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drawings/charts/chart4.xml" ContentType="application/vnd.openxmlformats-officedocument.drawingml.char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1.xml" ContentType="application/vnd.openxmlformats-officedocument.spreadsheetml.table+xml"/>
  <Override PartName="/xl/worksheets/sheet9.xml" ContentType="application/vnd.openxmlformats-officedocument.spreadsheetml.worksheet+xml"/>
  <Override PartName="/xl/tables/table2.xml" ContentType="application/vnd.openxmlformats-officedocument.spreadsheetml.table+xml"/>
  <Override PartName="/xl/worksheets/sheet10.xml" ContentType="application/vnd.openxmlformats-officedocument.spreadsheetml.worksheet+xml"/>
  <Override PartName="/xl/tables/table3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4.xml" ContentType="application/vnd.openxmlformats-officedocument.spreadsheetml.table+xml"/>
  <Override PartName="/xl/worksheets/sheet13.xml" ContentType="application/vnd.openxmlformats-officedocument.spreadsheetml.worksheet+xml"/>
  <Override PartName="/xl/tables/table5.xml" ContentType="application/vnd.openxmlformats-officedocument.spreadsheetml.table+xml"/>
  <Override PartName="/xl/worksheets/sheet14.xml" ContentType="application/vnd.openxmlformats-officedocument.spreadsheetml.worksheet+xml"/>
  <Override PartName="/xl/tables/table6.xml" ContentType="application/vnd.openxmlformats-officedocument.spreadsheetml.table+xml"/>
  <Override PartName="/xl/worksheets/sheet15.xml" ContentType="application/vnd.openxmlformats-officedocument.spreadsheetml.worksheet+xml"/>
  <Override PartName="/xl/tables/table7.xml" ContentType="application/vnd.openxmlformats-officedocument.spreadsheetml.table+xml"/>
  <Override PartName="/xl/worksheets/sheet16.xml" ContentType="application/vnd.openxmlformats-officedocument.spreadsheetml.worksheet+xml"/>
  <Override PartName="/xl/tables/table8.xml" ContentType="application/vnd.openxmlformats-officedocument.spreadsheetml.table+xml"/>
  <Override PartName="/xl/worksheets/sheet17.xml" ContentType="application/vnd.openxmlformats-officedocument.spreadsheetml.worksheet+xml"/>
  <Override PartName="/xl/tables/table9.xml" ContentType="application/vnd.openxmlformats-officedocument.spreadsheetml.table+xml"/>
  <Override PartName="/xl/worksheets/sheet18.xml" ContentType="application/vnd.openxmlformats-officedocument.spreadsheetml.worksheet+xml"/>
  <Override PartName="/xl/tables/table10.xml" ContentType="application/vnd.openxmlformats-officedocument.spreadsheetml.table+xml"/>
  <Override PartName="/xl/worksheets/sheet19.xml" ContentType="application/vnd.openxmlformats-officedocument.spreadsheetml.worksheet+xml"/>
  <Override PartName="/xl/tables/table11.xml" ContentType="application/vnd.openxmlformats-officedocument.spreadsheetml.table+xml"/>
  <Override PartName="/xl/worksheets/sheet20.xml" ContentType="application/vnd.openxmlformats-officedocument.spreadsheetml.worksheet+xml"/>
  <Override PartName="/xl/tables/table12.xml" ContentType="application/vnd.openxmlformats-officedocument.spreadsheetml.table+xml"/>
  <Override PartName="/xl/worksheets/sheet21.xml" ContentType="application/vnd.openxmlformats-officedocument.spreadsheetml.worksheet+xml"/>
  <Override PartName="/xl/tables/table13.xml" ContentType="application/vnd.openxmlformats-officedocument.spreadsheetml.table+xml"/>
  <Override PartName="/xl/worksheets/sheet22.xml" ContentType="application/vnd.openxmlformats-officedocument.spreadsheetml.worksheet+xml"/>
  <Override PartName="/xl/tables/table14.xml" ContentType="application/vnd.openxmlformats-officedocument.spreadsheetml.table+xml"/>
  <Override PartName="/xl/worksheets/sheet23.xml" ContentType="application/vnd.openxmlformats-officedocument.spreadsheetml.worksheet+xml"/>
  <Override PartName="/xl/tables/table15.xml" ContentType="application/vnd.openxmlformats-officedocument.spreadsheetml.table+xml"/>
  <Override PartName="/xl/worksheets/sheet24.xml" ContentType="application/vnd.openxmlformats-officedocument.spreadsheetml.worksheet+xml"/>
  <Override PartName="/xl/tables/table16.xml" ContentType="application/vnd.openxmlformats-officedocument.spreadsheetml.table+xml"/>
  <Override PartName="/xl/worksheets/sheet25.xml" ContentType="application/vnd.openxmlformats-officedocument.spreadsheetml.worksheet+xml"/>
  <Override PartName="/xl/tables/table17.xml" ContentType="application/vnd.openxmlformats-officedocument.spreadsheetml.table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worksheets/sheet28.xml" ContentType="application/vnd.openxmlformats-officedocument.spreadsheetml.worksheet+xml"/>
  <Override PartName="/xl/tables/table2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d57e62419a48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5f46912801574b9a"/>
    <x:sheet xmlns:r="http://schemas.openxmlformats.org/officeDocument/2006/relationships" name="Settings" sheetId="2" r:id="Re2b252441f3d4aa6"/>
    <x:sheet xmlns:r="http://schemas.openxmlformats.org/officeDocument/2006/relationships" name="Customer" sheetId="3" r:id="R699be4179ff94d53"/>
    <x:sheet xmlns:r="http://schemas.openxmlformats.org/officeDocument/2006/relationships" name="Portfolio" sheetId="4" r:id="Rcbd21927db92440b"/>
    <x:sheet xmlns:r="http://schemas.openxmlformats.org/officeDocument/2006/relationships" name="Capital" sheetId="5" r:id="Rcf8bf3c7c61344d5"/>
    <x:sheet xmlns:r="http://schemas.openxmlformats.org/officeDocument/2006/relationships" name="Disclosures" sheetId="6" r:id="Rc8f66f4e52bb4518"/>
    <x:sheet xmlns:r="http://schemas.openxmlformats.org/officeDocument/2006/relationships" name="Bank" sheetId="7" r:id="R87563f3ee54145f3"/>
    <x:sheet xmlns:r="http://schemas.openxmlformats.org/officeDocument/2006/relationships" name="Credit" sheetId="8" r:id="R0114c5490d9c4f6c"/>
    <x:sheet xmlns:r="http://schemas.openxmlformats.org/officeDocument/2006/relationships" name="ECL" sheetId="9" r:id="R6d2fa47878184006"/>
    <x:sheet xmlns:r="http://schemas.openxmlformats.org/officeDocument/2006/relationships" name="Facility Plan" sheetId="10" r:id="R35a7012b5028460e"/>
    <x:sheet xmlns:r="http://schemas.openxmlformats.org/officeDocument/2006/relationships" name="Scenario Paths" sheetId="11" r:id="Rb771f4a4dcce4316"/>
    <x:sheet xmlns:r="http://schemas.openxmlformats.org/officeDocument/2006/relationships" name="ESG" sheetId="12" r:id="Rde240fcd7429434e"/>
    <x:sheet xmlns:r="http://schemas.openxmlformats.org/officeDocument/2006/relationships" name="Taxonomy" sheetId="13" r:id="R07b2818685404059"/>
    <x:sheet xmlns:r="http://schemas.openxmlformats.org/officeDocument/2006/relationships" name="Actions" sheetId="14" r:id="R0d232d374ecd4c32"/>
    <x:sheet xmlns:r="http://schemas.openxmlformats.org/officeDocument/2006/relationships" name="Readiness" sheetId="15" r:id="Rccf6fe74adc2464e"/>
    <x:sheet xmlns:r="http://schemas.openxmlformats.org/officeDocument/2006/relationships" name="Requirements" sheetId="16" r:id="Rf1a2f623042c425d"/>
    <x:sheet xmlns:r="http://schemas.openxmlformats.org/officeDocument/2006/relationships" name="Inventory" sheetId="17" r:id="R81d91285a3d644cb"/>
    <x:sheet xmlns:r="http://schemas.openxmlformats.org/officeDocument/2006/relationships" name="Financed Emissions" sheetId="18" r:id="Rfe70ca88db72414d"/>
    <x:sheet xmlns:r="http://schemas.openxmlformats.org/officeDocument/2006/relationships" name="Operations" sheetId="19" r:id="R411665a9669d4f32"/>
    <x:sheet xmlns:r="http://schemas.openxmlformats.org/officeDocument/2006/relationships" name="Scope 3" sheetId="20" r:id="Rf54b558d0c9a4491"/>
    <x:sheet xmlns:r="http://schemas.openxmlformats.org/officeDocument/2006/relationships" name="Borrowers" sheetId="21" r:id="R6c0af84b171d498a"/>
    <x:sheet xmlns:r="http://schemas.openxmlformats.org/officeDocument/2006/relationships" name="Facilities" sheetId="22" r:id="Rfd44727d41974c4e"/>
    <x:sheet xmlns:r="http://schemas.openxmlformats.org/officeDocument/2006/relationships" name="Sites" sheetId="23" r:id="Ra19e8beefc144ebb"/>
    <x:sheet xmlns:r="http://schemas.openxmlformats.org/officeDocument/2006/relationships" name="Activity Data" sheetId="24" r:id="Rf8de04cfc241491a"/>
    <x:sheet xmlns:r="http://schemas.openxmlformats.org/officeDocument/2006/relationships" name="Factors" sheetId="25" r:id="R8324256e95b04e42"/>
    <x:sheet xmlns:r="http://schemas.openxmlformats.org/officeDocument/2006/relationships" name="Controls" sheetId="26" r:id="R2e2e32964e29425e"/>
    <x:sheet xmlns:r="http://schemas.openxmlformats.org/officeDocument/2006/relationships" name="Taxonomy Rules" sheetId="27" r:id="R5bcd1f4f418f4691"/>
    <x:sheet xmlns:r="http://schemas.openxmlformats.org/officeDocument/2006/relationships" name="Taxonomy Tests" sheetId="28" r:id="R9cdca21d8d344d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7">
    <x:numFmt numFmtId="200" formatCode="dd mmm yyyy"/>
    <x:numFmt numFmtId="201" formatCode="0.0%;[Red](0.0%);&quot;–&quot;"/>
    <x:numFmt numFmtId="202" formatCode="#,##0.00;[Red](#,##0.00);&quot;–&quot;"/>
    <x:numFmt numFmtId="203" formatCode="0.00000"/>
    <x:numFmt numFmtId="204" formatCode="dd mmm yy"/>
    <x:numFmt numFmtId="205" formatCode="#,##0;[Red](#,##0);&quot;–&quot;"/>
    <x:numFmt numFmtId="206" formatCode="0"/>
    <x:numFmt numFmtId="207" formatCode="0.000"/>
    <x:numFmt numFmtId="208" formatCode="0.0"/>
    <x:numFmt numFmtId="209" formatCode="0.0000"/>
    <x:numFmt numFmtId="210" formatCode="dd-mmm-yy"/>
    <x:numFmt numFmtId="211" formatCode="0.00&quot;×&quot;"/>
    <x:numFmt numFmtId="212" formatCode="0.00"/>
    <x:numFmt numFmtId="213" formatCode="General"/>
    <x:numFmt numFmtId="214" formatCode="#,##0.00&quot;  &quot;;[Red](#,##0.00)&quot;  &quot;;&quot;–&quot;&quot;  &quot;"/>
    <x:numFmt numFmtId="215" formatCode="0.0%&quot;  &quot;"/>
    <x:numFmt numFmtId="216" formatCode="0.000;[Red](0.000);&quot;Year-specific&quot;"/>
  </x:numFmts>
  <x:fonts count="22">
    <x:font>
      <x:sz val="11"/>
      <x:name val="Carlito"/>
    </x:font>
    <x:font>
      <x:sz val="11"/>
      <x:color rgb="FF152C43"/>
      <x:name val="Aptos"/>
    </x:font>
    <x:font>
      <x:b/>
      <x:sz val="22"/>
      <x:color rgb="FFFFFFFF"/>
      <x:name val="Aptos Display"/>
    </x:font>
    <x:font>
      <x:sz val="11"/>
      <x:color rgb="FF657A8A"/>
      <x:name val="Aptos"/>
    </x:font>
    <x:font>
      <x:sz val="11"/>
      <x:color rgb="FF135AC4"/>
      <x:name val="Aptos"/>
    </x:font>
    <x:font>
      <x:sz val="11"/>
      <x:color rgb="FF007865"/>
      <x:name val="Aptos"/>
    </x:font>
    <x:font>
      <x:b/>
      <x:sz val="11"/>
      <x:color rgb="FF152C43"/>
      <x:name val="Aptos"/>
    </x:font>
    <x:font>
      <x:b/>
      <x:sz val="10"/>
      <x:color rgb="FFFFFFFF"/>
      <x:name val="Aptos"/>
    </x:font>
    <x:font>
      <x:sz val="11"/>
      <x:color rgb="FF657A8A"/>
      <x:name val="Carlito"/>
    </x:font>
    <x:font>
      <x:sz val="11"/>
      <x:color rgb="FF152C43"/>
      <x:name val="Carlito"/>
    </x:font>
    <x:font>
      <x:sz val="11"/>
      <x:color rgb="FF007865"/>
      <x:name val="Carlito"/>
    </x:font>
    <x:font>
      <x:b/>
      <x:sz val="10"/>
      <x:color rgb="FF657A8A"/>
      <x:name val="Aptos"/>
    </x:font>
    <x:font>
      <x:b/>
      <x:sz val="11"/>
      <x:color rgb="FFFFFFFF"/>
      <x:name val="Aptos"/>
    </x:font>
    <x:font>
      <x:b/>
      <x:sz val="27"/>
      <x:color rgb="FF152C43"/>
      <x:name val="Aptos Display"/>
    </x:font>
    <x:font>
      <x:sz val="9"/>
      <x:color rgb="FF657A8A"/>
      <x:name val="Aptos"/>
    </x:font>
    <x:font>
      <x:sz val="19"/>
      <x:color rgb="FF007865"/>
      <x:name val="Aptos"/>
    </x:font>
    <x:font>
      <x:sz val="19"/>
      <x:color rgb="FF152C43"/>
      <x:name val="Aptos"/>
    </x:font>
    <x:font>
      <x:b/>
      <x:sz val="17"/>
      <x:color rgb="FF152C43"/>
      <x:name val="Aptos"/>
    </x:font>
    <x:font>
      <x:sz val="20"/>
      <x:color rgb="FF007865"/>
      <x:name val="Aptos"/>
    </x:font>
    <x:font>
      <x:sz val="20"/>
      <x:color rgb="FF152C43"/>
      <x:name val="Aptos"/>
    </x:font>
    <x:font>
      <x:b/>
      <x:sz val="27"/>
      <x:color rgb="FF007865"/>
      <x:name val="Aptos Display"/>
    </x:font>
    <x:font>
      <x:b/>
      <x:sz val="10"/>
      <x:color rgb="FF152C43"/>
      <x:name val="Aptos"/>
    </x:font>
  </x:fonts>
  <x:fills count="9">
    <x:fill>
      <x:patternFill patternType="none"/>
    </x:fill>
    <x:fill>
      <x:patternFill patternType="gray125"/>
    </x:fill>
    <x:fill>
      <x:patternFill patternType="solid">
        <x:fgColor rgb="FF102D42"/>
      </x:patternFill>
    </x:fill>
    <x:fill>
      <x:patternFill patternType="solid">
        <x:fgColor rgb="FFEEF5FF"/>
      </x:patternFill>
    </x:fill>
    <x:fill>
      <x:patternFill patternType="solid">
        <x:fgColor rgb="FFEAF2F6"/>
      </x:patternFill>
    </x:fill>
    <x:fill>
      <x:patternFill patternType="solid">
        <x:fgColor rgb="FFF4F7FA"/>
      </x:patternFill>
    </x:fill>
    <x:fill>
      <x:patternFill patternType="solid">
        <x:fgColor rgb="FF1668D5"/>
      </x:patternFill>
    </x:fill>
    <x:fill>
      <x:patternFill patternType="solid">
        <x:fgColor rgb="FFFFFFFF"/>
      </x:patternFill>
    </x:fill>
    <x:fill>
      <x:patternFill patternType="solid">
        <x:fgColor rgb="FF007F86"/>
      </x:patternFill>
    </x:fill>
  </x:fills>
  <x:borders count="3">
    <x:border/>
    <x:border>
      <x:left style="thin">
        <x:color rgb="FFF4F7FA"/>
      </x:left>
    </x:border>
    <x:border>
      <x:right style="medium">
        <x:color rgb="FFF4F7FA"/>
      </x:right>
    </x:border>
  </x:borders>
  <x:cellStyleXfs count="1">
    <x:xf numFmtId="0" fontId="0" fillId="0" borderId="0"/>
  </x:cellStyleXfs>
  <x:cellXfs count="12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200" fontId="4" fillId="3" borderId="0" xfId="0" applyNumberFormat="1" applyFont="1" applyFill="1" applyBorder="1" applyAlignment="1">
      <x:alignment vertical="center" wrapText="1"/>
    </x:xf>
    <x:xf numFmtId="201" fontId="4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vertical="center" wrapText="1"/>
    </x:xf>
    <x:xf numFmtId="202" fontId="4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3" fontId="4" fillId="3" borderId="0" xfId="0" applyNumberFormat="1" applyFont="1" applyFill="1" applyBorder="1" applyAlignment="1">
      <x:alignment vertical="center" wrapText="1"/>
    </x:xf>
    <x:xf numFmtId="204" fontId="4" fillId="3" borderId="0" xfId="0" applyNumberFormat="1" applyFont="1" applyFill="1" applyBorder="1" applyAlignment="1">
      <x:alignment vertical="center" wrapText="1"/>
    </x:xf>
    <x:xf numFmtId="205" fontId="4" fillId="3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6" fontId="4" fillId="3" borderId="0" xfId="0" applyNumberFormat="1" applyFont="1" applyFill="1" applyBorder="1" applyAlignment="1">
      <x:alignment vertical="center" wrapText="1"/>
    </x:xf>
    <x:xf numFmtId="202" fontId="5" fillId="0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/>
    <x:xf numFmtId="0" fontId="5" fillId="4" borderId="0" xfId="0" applyNumberFormat="1" applyFont="1" applyFill="1" applyBorder="1" applyAlignment="1">
      <x:alignment vertical="center" wrapText="1"/>
    </x:xf>
    <x:xf numFmtId="202" fontId="5" fillId="4" borderId="0" xfId="0" applyNumberFormat="1" applyFont="1" applyFill="1" applyBorder="1" applyAlignment="1">
      <x:alignment vertical="center" wrapText="1"/>
    </x:xf>
    <x:xf numFmtId="201" fontId="5" fillId="4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/>
    <x:xf numFmtId="0" fontId="10" fillId="0" borderId="0" xfId="0" applyNumberFormat="1" applyFont="1" applyFill="1" applyBorder="1"/>
    <x:xf numFmtId="201" fontId="5" fillId="0" borderId="0" xfId="0" applyNumberFormat="1" applyFont="1" applyFill="1" applyBorder="1" applyAlignment="1">
      <x:alignment vertical="center" wrapText="1"/>
    </x:xf>
    <x:xf numFmtId="202" fontId="6" fillId="4" borderId="0" xfId="0" applyNumberFormat="1" applyFont="1" applyFill="1" applyBorder="1" applyAlignment="1">
      <x:alignment vertical="center" wrapText="1"/>
    </x:xf>
    <x:xf numFmtId="202" fontId="1" fillId="4" borderId="0" xfId="0" applyNumberFormat="1" applyFont="1" applyFill="1" applyBorder="1" applyAlignment="1">
      <x:alignment vertical="center" wrapText="1"/>
    </x:xf>
    <x:xf numFmtId="201" fontId="1" fillId="4" borderId="0" xfId="0" applyNumberFormat="1" applyFont="1" applyFill="1" applyBorder="1" applyAlignment="1">
      <x:alignment vertical="center" wrapText="1"/>
    </x:xf>
    <x:xf numFmtId="201" fontId="6" fillId="4" borderId="0" xfId="0" applyNumberFormat="1" applyFont="1" applyFill="1" applyBorder="1" applyAlignment="1">
      <x:alignment vertical="center" wrapText="1"/>
    </x:xf>
    <x:xf numFmtId="207" fontId="4" fillId="3" borderId="0" xfId="0" applyNumberFormat="1" applyFont="1" applyFill="1" applyBorder="1" applyAlignment="1">
      <x:alignment vertical="center" wrapText="1"/>
    </x:xf>
    <x:xf numFmtId="207" fontId="1" fillId="0" borderId="0" xfId="0" applyNumberFormat="1" applyFont="1" applyFill="1" applyBorder="1" applyAlignment="1">
      <x:alignment vertical="center" wrapText="1"/>
    </x:xf>
    <x:xf numFmtId="208" fontId="5" fillId="0" borderId="0" xfId="0" applyNumberFormat="1" applyFont="1" applyFill="1" applyBorder="1" applyAlignment="1">
      <x:alignment vertical="center" wrapText="1"/>
    </x:xf>
    <x:xf numFmtId="202" fontId="5" fillId="3" borderId="0" xfId="0" applyNumberFormat="1" applyFont="1" applyFill="1" applyBorder="1" applyAlignment="1">
      <x:alignment vertical="center" wrapText="1"/>
    </x:xf>
    <x:xf numFmtId="209" fontId="4" fillId="3" borderId="0" xfId="0" applyNumberFormat="1" applyFont="1" applyFill="1" applyBorder="1" applyAlignment="1">
      <x:alignment vertical="center" wrapText="1"/>
    </x:xf>
    <x:xf numFmtId="210" fontId="4" fillId="3" borderId="0" xfId="0" applyNumberFormat="1" applyFont="1" applyFill="1" applyBorder="1" applyAlignment="1">
      <x:alignment vertical="center" wrapText="1"/>
    </x:xf>
    <x:xf numFmtId="209" fontId="5" fillId="0" borderId="0" xfId="0" applyNumberFormat="1" applyFont="1" applyFill="1" applyBorder="1" applyAlignment="1">
      <x:alignment vertical="center" wrapText="1"/>
    </x:xf>
    <x:xf numFmtId="206" fontId="5" fillId="0" borderId="0" xfId="0" applyNumberFormat="1" applyFont="1" applyFill="1" applyBorder="1" applyAlignment="1">
      <x:alignment vertical="center" wrapText="1"/>
    </x:xf>
    <x:xf numFmtId="210" fontId="5" fillId="0" borderId="0" xfId="0" applyNumberFormat="1" applyFont="1" applyFill="1" applyBorder="1" applyAlignment="1">
      <x:alignment vertical="center" wrapText="1"/>
    </x:xf>
    <x:xf numFmtId="206" fontId="1" fillId="0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11" fillId="5" borderId="0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 wrapText="1"/>
    </x:xf>
    <x:xf numFmtId="0" fontId="12" fillId="6" borderId="0" xfId="0" applyNumberFormat="1" applyFont="1" applyFill="1" applyBorder="1" applyAlignment="1">
      <x:alignment vertical="center" wrapText="1"/>
    </x:xf>
    <x:xf numFmtId="0" fontId="12" fillId="6" borderId="0" xfId="0" applyNumberFormat="1" applyFont="1" applyFill="1" applyBorder="1" applyAlignment="1">
      <x:alignment horizontal="center" vertical="center" wrapText="1"/>
    </x:xf>
    <x:xf numFmtId="0" fontId="5" fillId="7" borderId="0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vertical="center" wrapText="1"/>
    </x:xf>
    <x:xf numFmtId="0" fontId="13" fillId="7" borderId="0" xfId="0" applyNumberFormat="1" applyFont="1" applyFill="1" applyBorder="1" applyAlignment="1">
      <x:alignment vertical="center" wrapText="1"/>
    </x:xf>
    <x:xf numFmtId="202" fontId="13" fillId="7" borderId="0" xfId="0" applyNumberFormat="1" applyFont="1" applyFill="1" applyBorder="1" applyAlignment="1">
      <x:alignment vertical="center" wrapText="1"/>
    </x:xf>
    <x:xf numFmtId="0" fontId="14" fillId="7" borderId="0" xfId="0" applyNumberFormat="1" applyFont="1" applyFill="1" applyBorder="1" applyAlignment="1">
      <x:alignment vertical="center" wrapText="1"/>
    </x:xf>
    <x:xf numFmtId="0" fontId="1" fillId="8" borderId="0" xfId="0" applyNumberFormat="1" applyFont="1" applyFill="1" applyBorder="1" applyAlignment="1">
      <x:alignment vertical="center" wrapText="1"/>
    </x:xf>
    <x:xf numFmtId="0" fontId="7" fillId="8" borderId="0" xfId="0" applyNumberFormat="1" applyFont="1" applyFill="1" applyBorder="1" applyAlignment="1">
      <x:alignment vertical="center" wrapText="1"/>
    </x:xf>
    <x:xf numFmtId="201" fontId="13" fillId="7" borderId="0" xfId="0" applyNumberFormat="1" applyFont="1" applyFill="1" applyBorder="1" applyAlignment="1">
      <x:alignment vertical="center" wrapText="1"/>
    </x:xf>
    <x:xf numFmtId="205" fontId="13" fillId="7" borderId="0" xfId="0" applyNumberFormat="1" applyFont="1" applyFill="1" applyBorder="1" applyAlignment="1">
      <x:alignment vertical="center" wrapText="1"/>
    </x:xf>
    <x:xf numFmtId="201" fontId="1" fillId="5" borderId="0" xfId="0" applyNumberFormat="1" applyFont="1" applyFill="1" applyBorder="1" applyAlignment="1">
      <x:alignment vertical="center" wrapText="1"/>
    </x:xf>
    <x:xf numFmtId="0" fontId="15" fillId="7" borderId="0" xfId="0" applyNumberFormat="1" applyFont="1" applyFill="1" applyBorder="1" applyAlignment="1">
      <x:alignment vertical="center" wrapText="1"/>
    </x:xf>
    <x:xf numFmtId="0" fontId="16" fillId="7" borderId="0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 applyAlignment="1">
      <x:alignment horizontal="center" vertical="center" wrapText="1"/>
    </x:xf>
    <x:xf numFmtId="0" fontId="17" fillId="5" borderId="0" xfId="0" applyNumberFormat="1" applyFont="1" applyFill="1" applyBorder="1" applyAlignment="1">
      <x:alignment vertical="center" wrapText="1"/>
    </x:xf>
    <x:xf numFmtId="208" fontId="13" fillId="7" borderId="0" xfId="0" applyNumberFormat="1" applyFont="1" applyFill="1" applyBorder="1" applyAlignment="1">
      <x:alignment vertical="center" wrapText="1"/>
    </x:xf>
    <x:xf numFmtId="211" fontId="13" fillId="7" borderId="0" xfId="0" applyNumberFormat="1" applyFont="1" applyFill="1" applyBorder="1" applyAlignment="1">
      <x:alignment vertical="center" wrapText="1"/>
    </x:xf>
    <x:xf numFmtId="202" fontId="5" fillId="5" borderId="0" xfId="0" applyNumberFormat="1" applyFont="1" applyFill="1" applyBorder="1" applyAlignment="1">
      <x:alignment vertical="center" wrapText="1"/>
    </x:xf>
    <x:xf numFmtId="202" fontId="1" fillId="5" borderId="0" xfId="0" applyNumberFormat="1" applyFont="1" applyFill="1" applyBorder="1" applyAlignment="1">
      <x:alignment vertical="center" wrapText="1"/>
    </x:xf>
    <x:xf numFmtId="202" fontId="5" fillId="7" borderId="0" xfId="0" applyNumberFormat="1" applyFont="1" applyFill="1" applyBorder="1" applyAlignment="1">
      <x:alignment vertical="center" wrapText="1"/>
    </x:xf>
    <x:xf numFmtId="202" fontId="1" fillId="7" borderId="0" xfId="0" applyNumberFormat="1" applyFont="1" applyFill="1" applyBorder="1" applyAlignment="1">
      <x:alignment vertical="center" wrapText="1"/>
    </x:xf>
    <x:xf numFmtId="201" fontId="5" fillId="5" borderId="0" xfId="0" applyNumberFormat="1" applyFont="1" applyFill="1" applyBorder="1" applyAlignment="1">
      <x:alignment vertical="center" wrapText="1"/>
    </x:xf>
    <x:xf numFmtId="201" fontId="5" fillId="7" borderId="0" xfId="0" applyNumberFormat="1" applyFont="1" applyFill="1" applyBorder="1" applyAlignment="1">
      <x:alignment vertical="center" wrapText="1"/>
    </x:xf>
    <x:xf numFmtId="201" fontId="1" fillId="7" borderId="0" xfId="0" applyNumberFormat="1" applyFont="1" applyFill="1" applyBorder="1" applyAlignment="1">
      <x:alignment vertical="center" wrapText="1"/>
    </x:xf>
    <x:xf numFmtId="0" fontId="18" fillId="5" borderId="0" xfId="0" applyNumberFormat="1" applyFont="1" applyFill="1" applyBorder="1" applyAlignment="1">
      <x:alignment vertical="center" wrapText="1"/>
    </x:xf>
    <x:xf numFmtId="0" fontId="19" fillId="5" borderId="0" xfId="0" applyNumberFormat="1" applyFont="1" applyFill="1" applyBorder="1" applyAlignment="1">
      <x:alignment vertical="center" wrapText="1"/>
    </x:xf>
    <x:xf numFmtId="205" fontId="18" fillId="5" borderId="0" xfId="0" applyNumberFormat="1" applyFont="1" applyFill="1" applyBorder="1" applyAlignment="1">
      <x:alignment vertical="center" wrapText="1"/>
    </x:xf>
    <x:xf numFmtId="205" fontId="19" fillId="5" borderId="0" xfId="0" applyNumberFormat="1" applyFont="1" applyFill="1" applyBorder="1" applyAlignment="1">
      <x:alignment vertical="center" wrapText="1"/>
    </x:xf>
    <x:xf numFmtId="202" fontId="18" fillId="5" borderId="0" xfId="0" applyNumberFormat="1" applyFont="1" applyFill="1" applyBorder="1" applyAlignment="1">
      <x:alignment vertical="center" wrapText="1"/>
    </x:xf>
    <x:xf numFmtId="202" fontId="19" fillId="5" borderId="0" xfId="0" applyNumberFormat="1" applyFont="1" applyFill="1" applyBorder="1" applyAlignment="1">
      <x:alignment vertical="center" wrapText="1"/>
    </x:xf>
    <x:xf numFmtId="212" fontId="5" fillId="5" borderId="0" xfId="0" applyNumberFormat="1" applyFont="1" applyFill="1" applyBorder="1" applyAlignment="1">
      <x:alignment vertical="center" wrapText="1"/>
    </x:xf>
    <x:xf numFmtId="212" fontId="1" fillId="5" borderId="0" xfId="0" applyNumberFormat="1" applyFont="1" applyFill="1" applyBorder="1" applyAlignment="1">
      <x:alignment vertical="center" wrapText="1"/>
    </x:xf>
    <x:xf numFmtId="212" fontId="5" fillId="7" borderId="0" xfId="0" applyNumberFormat="1" applyFont="1" applyFill="1" applyBorder="1" applyAlignment="1">
      <x:alignment vertical="center" wrapText="1"/>
    </x:xf>
    <x:xf numFmtId="212" fontId="1" fillId="7" borderId="0" xfId="0" applyNumberFormat="1" applyFont="1" applyFill="1" applyBorder="1" applyAlignment="1">
      <x:alignment vertical="center" wrapText="1"/>
    </x:xf>
    <x:xf numFmtId="213" fontId="5" fillId="5" borderId="0" xfId="0" applyNumberFormat="1" applyFont="1" applyFill="1" applyBorder="1" applyAlignment="1">
      <x:alignment vertical="center" wrapText="1"/>
    </x:xf>
    <x:xf numFmtId="213" fontId="1" fillId="5" borderId="0" xfId="0" applyNumberFormat="1" applyFont="1" applyFill="1" applyBorder="1" applyAlignment="1">
      <x:alignment vertical="center" wrapText="1"/>
    </x:xf>
    <x:xf numFmtId="213" fontId="5" fillId="7" borderId="0" xfId="0" applyNumberFormat="1" applyFont="1" applyFill="1" applyBorder="1" applyAlignment="1">
      <x:alignment vertical="center" wrapText="1"/>
    </x:xf>
    <x:xf numFmtId="213" fontId="1" fillId="7" borderId="0" xfId="0" applyNumberFormat="1" applyFont="1" applyFill="1" applyBorder="1" applyAlignment="1">
      <x:alignment vertical="center" wrapText="1"/>
    </x:xf>
    <x:xf numFmtId="202" fontId="20" fillId="7" borderId="0" xfId="0" applyNumberFormat="1" applyFont="1" applyFill="1" applyBorder="1" applyAlignment="1">
      <x:alignment vertical="center" wrapText="1"/>
    </x:xf>
    <x:xf numFmtId="201" fontId="20" fillId="7" borderId="0" xfId="0" applyNumberFormat="1" applyFont="1" applyFill="1" applyBorder="1" applyAlignment="1">
      <x:alignment vertical="center" wrapText="1"/>
    </x:xf>
    <x:xf numFmtId="211" fontId="20" fillId="7" borderId="0" xfId="0" applyNumberFormat="1" applyFont="1" applyFill="1" applyBorder="1" applyAlignment="1">
      <x:alignment vertical="center" wrapText="1"/>
    </x:xf>
    <x:xf numFmtId="0" fontId="3" fillId="5" borderId="0" xfId="0" applyNumberFormat="1" applyFont="1" applyFill="1" applyBorder="1" applyAlignment="1">
      <x:alignment vertical="center" wrapText="1"/>
    </x:xf>
    <x:xf numFmtId="0" fontId="21" fillId="5" borderId="0" xfId="0" applyNumberFormat="1" applyFont="1" applyFill="1" applyBorder="1" applyAlignment="1">
      <x:alignment vertical="center" wrapText="1"/>
    </x:xf>
    <x:xf numFmtId="0" fontId="7" fillId="2" borderId="1" xfId="0" applyNumberFormat="1" applyFont="1" applyFill="1" applyBorder="1" applyAlignment="1">
      <x:alignment vertical="center" wrapText="1"/>
    </x:xf>
    <x:xf numFmtId="0" fontId="7" fillId="2" borderId="2" xfId="0" applyNumberFormat="1" applyFont="1" applyFill="1" applyBorder="1" applyAlignment="1">
      <x:alignment vertical="center" wrapText="1"/>
    </x:xf>
    <x:xf numFmtId="202" fontId="13" fillId="7" borderId="1" xfId="0" applyNumberFormat="1" applyFont="1" applyFill="1" applyBorder="1" applyAlignment="1">
      <x:alignment vertical="center" wrapText="1"/>
    </x:xf>
    <x:xf numFmtId="202" fontId="13" fillId="7" borderId="2" xfId="0" applyNumberFormat="1" applyFont="1" applyFill="1" applyBorder="1" applyAlignment="1">
      <x:alignment vertical="center" wrapText="1"/>
    </x:xf>
    <x:xf numFmtId="0" fontId="14" fillId="7" borderId="1" xfId="0" applyNumberFormat="1" applyFont="1" applyFill="1" applyBorder="1" applyAlignment="1">
      <x:alignment vertical="center" wrapText="1"/>
    </x:xf>
    <x:xf numFmtId="0" fontId="14" fillId="7" borderId="2" xfId="0" applyNumberFormat="1" applyFont="1" applyFill="1" applyBorder="1" applyAlignment="1">
      <x:alignment vertical="center" wrapText="1"/>
    </x:xf>
    <x:xf numFmtId="0" fontId="7" fillId="8" borderId="1" xfId="0" applyNumberFormat="1" applyFont="1" applyFill="1" applyBorder="1" applyAlignment="1">
      <x:alignment vertical="center" wrapText="1"/>
    </x:xf>
    <x:xf numFmtId="0" fontId="7" fillId="8" borderId="2" xfId="0" applyNumberFormat="1" applyFont="1" applyFill="1" applyBorder="1" applyAlignment="1">
      <x:alignment vertical="center" wrapText="1"/>
    </x:xf>
    <x:xf numFmtId="201" fontId="13" fillId="7" borderId="1" xfId="0" applyNumberFormat="1" applyFont="1" applyFill="1" applyBorder="1" applyAlignment="1">
      <x:alignment vertical="center" wrapText="1"/>
    </x:xf>
    <x:xf numFmtId="201" fontId="13" fillId="7" borderId="2" xfId="0" applyNumberFormat="1" applyFont="1" applyFill="1" applyBorder="1" applyAlignment="1">
      <x:alignment vertical="center" wrapText="1"/>
    </x:xf>
    <x:xf numFmtId="205" fontId="13" fillId="7" borderId="1" xfId="0" applyNumberFormat="1" applyFont="1" applyFill="1" applyBorder="1" applyAlignment="1">
      <x:alignment vertical="center" wrapText="1"/>
    </x:xf>
    <x:xf numFmtId="205" fontId="13" fillId="7" borderId="2" xfId="0" applyNumberFormat="1" applyFont="1" applyFill="1" applyBorder="1" applyAlignment="1">
      <x:alignment vertical="center" wrapText="1"/>
    </x:xf>
    <x:xf numFmtId="208" fontId="13" fillId="7" borderId="1" xfId="0" applyNumberFormat="1" applyFont="1" applyFill="1" applyBorder="1" applyAlignment="1">
      <x:alignment vertical="center" wrapText="1"/>
    </x:xf>
    <x:xf numFmtId="208" fontId="13" fillId="7" borderId="2" xfId="0" applyNumberFormat="1" applyFont="1" applyFill="1" applyBorder="1" applyAlignment="1">
      <x:alignment vertical="center" wrapText="1"/>
    </x:xf>
    <x:xf numFmtId="211" fontId="13" fillId="7" borderId="1" xfId="0" applyNumberFormat="1" applyFont="1" applyFill="1" applyBorder="1" applyAlignment="1">
      <x:alignment vertical="center" wrapText="1"/>
    </x:xf>
    <x:xf numFmtId="211" fontId="13" fillId="7" borderId="2" xfId="0" applyNumberFormat="1" applyFont="1" applyFill="1" applyBorder="1" applyAlignment="1">
      <x:alignment vertical="center" wrapText="1"/>
    </x:xf>
    <x:xf numFmtId="214" fontId="1" fillId="7" borderId="0" xfId="0" applyNumberFormat="1" applyFont="1" applyFill="1" applyBorder="1" applyAlignment="1">
      <x:alignment vertical="center" wrapText="1"/>
    </x:xf>
    <x:xf numFmtId="215" fontId="1" fillId="7" borderId="0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center" wrapText="1"/>
    </x:xf>
    <x:xf numFmtId="200" fontId="4" fillId="5" borderId="0" xfId="0" applyNumberFormat="1" applyFont="1" applyFill="1" applyBorder="1" applyAlignment="1">
      <x:alignment vertical="center" wrapText="1"/>
    </x:xf>
    <x:xf numFmtId="201" fontId="4" fillId="5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0" fontId="11" fillId="5" borderId="0" xfId="0" applyNumberFormat="1" applyFont="1" applyFill="1" applyBorder="1"/>
    <x:xf numFmtId="0" fontId="0" fillId="6" borderId="0" xfId="0" applyNumberFormat="1" applyFont="1" applyFill="1" applyBorder="1"/>
    <x:xf numFmtId="0" fontId="12" fillId="6" borderId="0" xfId="0" applyNumberFormat="1" applyFont="1" applyFill="1" applyBorder="1"/>
    <x:xf numFmtId="0" fontId="12" fillId="6" borderId="0" xfId="0" applyNumberFormat="1" applyFont="1" applyFill="1" applyBorder="1" applyAlignment="1">
      <x:alignment vertical="center"/>
    </x:xf>
    <x:xf numFmtId="0" fontId="12" fillId="6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horizontal="center" vertical="center"/>
    </x:xf>
    <x:xf numFmtId="216" fontId="1" fillId="0" borderId="0" xfId="0" applyNumberFormat="1" applyFont="1" applyFill="1" applyBorder="1" applyAlignment="1">
      <x:alignment vertical="center" wrapText="1"/>
    </x:xf>
    <x:xf numFmtId="211" fontId="5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592"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color rgb="FF875C20"/>
      </x:font>
      <x:fill>
        <x:patternFill patternType="solid">
          <x:bgColor rgb="FFFFF0D9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  <x:dxf>
      <x:font>
        <x:b/>
        <x:color rgb="FFA22D38"/>
      </x:font>
      <x:fill>
        <x:patternFill patternType="solid">
          <x:bgColor rgb="FFFBE6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b2a50208df4151" /><Relationship Type="http://schemas.openxmlformats.org/officeDocument/2006/relationships/theme" Target="/xl/theme/theme1.xml" Id="R36ddd170985f4758" /><Relationship Type="http://schemas.openxmlformats.org/officeDocument/2006/relationships/sharedStrings" Target="/xl/sharedStrings.xml" Id="Rcef161ed93db4736" /><Relationship Type="http://schemas.openxmlformats.org/officeDocument/2006/relationships/worksheet" Target="/xl/worksheets/sheet1.xml" Id="R5f46912801574b9a" /><Relationship Type="http://schemas.openxmlformats.org/officeDocument/2006/relationships/worksheet" Target="/xl/worksheets/sheet2.xml" Id="Re2b252441f3d4aa6" /><Relationship Type="http://schemas.openxmlformats.org/officeDocument/2006/relationships/worksheet" Target="/xl/worksheets/sheet3.xml" Id="R699be4179ff94d53" /><Relationship Type="http://schemas.openxmlformats.org/officeDocument/2006/relationships/worksheet" Target="/xl/worksheets/sheet4.xml" Id="Rcbd21927db92440b" /><Relationship Type="http://schemas.openxmlformats.org/officeDocument/2006/relationships/worksheet" Target="/xl/worksheets/sheet5.xml" Id="Rcf8bf3c7c61344d5" /><Relationship Type="http://schemas.openxmlformats.org/officeDocument/2006/relationships/worksheet" Target="/xl/worksheets/sheet6.xml" Id="Rc8f66f4e52bb4518" /><Relationship Type="http://schemas.openxmlformats.org/officeDocument/2006/relationships/worksheet" Target="/xl/worksheets/sheet7.xml" Id="R87563f3ee54145f3" /><Relationship Type="http://schemas.openxmlformats.org/officeDocument/2006/relationships/worksheet" Target="/xl/worksheets/sheet8.xml" Id="R0114c5490d9c4f6c" /><Relationship Type="http://schemas.openxmlformats.org/officeDocument/2006/relationships/worksheet" Target="/xl/worksheets/sheet9.xml" Id="R6d2fa47878184006" /><Relationship Type="http://schemas.openxmlformats.org/officeDocument/2006/relationships/worksheet" Target="/xl/worksheets/sheet10.xml" Id="R35a7012b5028460e" /><Relationship Type="http://schemas.openxmlformats.org/officeDocument/2006/relationships/worksheet" Target="/xl/worksheets/sheet11.xml" Id="Rb771f4a4dcce4316" /><Relationship Type="http://schemas.openxmlformats.org/officeDocument/2006/relationships/worksheet" Target="/xl/worksheets/sheet12.xml" Id="Rde240fcd7429434e" /><Relationship Type="http://schemas.openxmlformats.org/officeDocument/2006/relationships/worksheet" Target="/xl/worksheets/sheet13.xml" Id="R07b2818685404059" /><Relationship Type="http://schemas.openxmlformats.org/officeDocument/2006/relationships/worksheet" Target="/xl/worksheets/sheet14.xml" Id="R0d232d374ecd4c32" /><Relationship Type="http://schemas.openxmlformats.org/officeDocument/2006/relationships/worksheet" Target="/xl/worksheets/sheet15.xml" Id="Rccf6fe74adc2464e" /><Relationship Type="http://schemas.openxmlformats.org/officeDocument/2006/relationships/worksheet" Target="/xl/worksheets/sheet16.xml" Id="Rf1a2f623042c425d" /><Relationship Type="http://schemas.openxmlformats.org/officeDocument/2006/relationships/worksheet" Target="/xl/worksheets/sheet17.xml" Id="R81d91285a3d644cb" /><Relationship Type="http://schemas.openxmlformats.org/officeDocument/2006/relationships/worksheet" Target="/xl/worksheets/sheet18.xml" Id="Rfe70ca88db72414d" /><Relationship Type="http://schemas.openxmlformats.org/officeDocument/2006/relationships/worksheet" Target="/xl/worksheets/sheet19.xml" Id="R411665a9669d4f32" /><Relationship Type="http://schemas.openxmlformats.org/officeDocument/2006/relationships/worksheet" Target="/xl/worksheets/sheet20.xml" Id="Rf54b558d0c9a4491" /><Relationship Type="http://schemas.openxmlformats.org/officeDocument/2006/relationships/worksheet" Target="/xl/worksheets/sheet21.xml" Id="R6c0af84b171d498a" /><Relationship Type="http://schemas.openxmlformats.org/officeDocument/2006/relationships/worksheet" Target="/xl/worksheets/sheet22.xml" Id="Rfd44727d41974c4e" /><Relationship Type="http://schemas.openxmlformats.org/officeDocument/2006/relationships/worksheet" Target="/xl/worksheets/sheet23.xml" Id="Ra19e8beefc144ebb" /><Relationship Type="http://schemas.openxmlformats.org/officeDocument/2006/relationships/worksheet" Target="/xl/worksheets/sheet24.xml" Id="Rf8de04cfc241491a" /><Relationship Type="http://schemas.openxmlformats.org/officeDocument/2006/relationships/worksheet" Target="/xl/worksheets/sheet25.xml" Id="R8324256e95b04e42" /><Relationship Type="http://schemas.openxmlformats.org/officeDocument/2006/relationships/worksheet" Target="/xl/worksheets/sheet26.xml" Id="R2e2e32964e29425e" /><Relationship Type="http://schemas.openxmlformats.org/officeDocument/2006/relationships/worksheet" Target="/xl/worksheets/sheet27.xml" Id="R5bcd1f4f418f4691" /><Relationship Type="http://schemas.openxmlformats.org/officeDocument/2006/relationships/worksheet" Target="/xl/worksheets/sheet28.xml" Id="R9cdca21d8d344d5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8571d0c7765404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72e14d188a5c4290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ec61bef0e8714e06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14c5aa3c3f464d9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ptos"/>
                <a:ea typeface="Aptos"/>
                <a:cs typeface="Aptos"/>
              </a:rPr>
              <a:t>CET1 capital path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ptos"/>
              <a:ea typeface="Aptos"/>
              <a:cs typeface="Aptos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After actions</c:v>
          </c:tx>
          <c:spPr>
            <a:solidFill xmlns:a="http://schemas.openxmlformats.org/drawingml/2006/main">
              <a:srgbClr val="007F86"/>
            </a:solidFill>
            <a:ln xmlns:a="http://schemas.openxmlformats.org/drawingml/2006/main" w="19050">
              <a:solidFill>
                <a:srgbClr val="007F86"/>
              </a:solidFill>
              <a:prstDash val="solid"/>
            </a:ln>
          </c:spPr>
          <c:marker>
            <c:symbol val="none"/>
          </c:marker>
          <c:cat>
            <c:strRef>
              <c:f>'Overview'!$C$50:$C$54</c:f>
              <c:strCache>
                <c:ptCount val="5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</c:strCache>
            </c:strRef>
          </c:cat>
          <c:val>
            <c:numRef>
              <c:f>'Overview'!$D$50:$D$54</c:f>
              <c:numCache>
                <c:formatCode>0.0%;[Red](0.0%);"–"</c:formatCode>
                <c:ptCount val="5"/>
                <c:pt idx="0">
                  <c:v>0.16468913402630928</c:v>
                </c:pt>
                <c:pt idx="1">
                  <c:v>0.20481880292646737</c:v>
                </c:pt>
                <c:pt idx="2">
                  <c:v>0.2095399363728992</c:v>
                </c:pt>
                <c:pt idx="3">
                  <c:v>0.24259646014426214</c:v>
                </c:pt>
                <c:pt idx="4">
                  <c:v>0.35561375077834556</c:v>
                </c:pt>
              </c:numCache>
            </c:numRef>
          </c:val>
          <c:smooth val="0"/>
        </c:ser>
        <c:ser>
          <c:idx val="1"/>
          <c:order val="1"/>
          <c:tx>
            <c:v>Before actions</c:v>
          </c:tx>
          <c:spPr>
            <a:solidFill xmlns:a="http://schemas.openxmlformats.org/drawingml/2006/main">
              <a:srgbClr val="1668D5"/>
            </a:solidFill>
            <a:ln xmlns:a="http://schemas.openxmlformats.org/drawingml/2006/main" w="19050">
              <a:solidFill>
                <a:srgbClr val="1668D5"/>
              </a:solidFill>
              <a:prstDash val="solid"/>
            </a:ln>
          </c:spPr>
          <c:marker>
            <c:symbol val="none"/>
          </c:marker>
          <c:cat>
            <c:strRef>
              <c:f>'Overview'!$C$50:$C$54</c:f>
              <c:strCache>
                <c:ptCount val="5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</c:strCache>
            </c:strRef>
          </c:cat>
          <c:val>
            <c:numRef>
              <c:f>'Overview'!$E$50:$E$54</c:f>
              <c:numCache>
                <c:formatCode>0.0%;[Red](0.0%);"–"</c:formatCode>
                <c:ptCount val="5"/>
                <c:pt idx="0">
                  <c:v>0.16468913402630928</c:v>
                </c:pt>
                <c:pt idx="1">
                  <c:v>0.20481880292646737</c:v>
                </c:pt>
                <c:pt idx="2">
                  <c:v>0.18006391033758443</c:v>
                </c:pt>
                <c:pt idx="3">
                  <c:v>0.21086179918700834</c:v>
                </c:pt>
                <c:pt idx="4">
                  <c:v>0.31157481308510626</c:v>
                </c:pt>
              </c:numCache>
            </c:numRef>
          </c:val>
          <c:smooth val="0"/>
        </c:ser>
        <c:ser>
          <c:idx val="2"/>
          <c:order val="2"/>
          <c:tx>
            <c:v>Internal target</c:v>
          </c:tx>
          <c:spPr>
            <a:solidFill xmlns:a="http://schemas.openxmlformats.org/drawingml/2006/main">
              <a:srgbClr val="B79459"/>
            </a:solidFill>
            <a:ln xmlns:a="http://schemas.openxmlformats.org/drawingml/2006/main" w="19050">
              <a:solidFill>
                <a:srgbClr val="B79459"/>
              </a:solidFill>
              <a:prstDash val="dash"/>
            </a:ln>
          </c:spPr>
          <c:marker>
            <c:symbol val="none"/>
          </c:marker>
          <c:cat>
            <c:strRef>
              <c:f>'Overview'!$C$50:$C$54</c:f>
              <c:strCache>
                <c:ptCount val="5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</c:strCache>
            </c:strRef>
          </c:cat>
          <c:val>
            <c:numRef>
              <c:f>'Overview'!$F$50:$F$54</c:f>
              <c:numCache>
                <c:formatCode>0.0%;[Red](0.0%);"–"</c:formatCode>
                <c:ptCount val="5"/>
                <c:pt idx="0">
                  <c:v>0.09</c:v>
                </c:pt>
                <c:pt idx="1">
                  <c:v>0.09</c:v>
                </c:pt>
                <c:pt idx="2">
                  <c:v>0.09</c:v>
                </c:pt>
                <c:pt idx="3">
                  <c:v>0.09</c:v>
                </c:pt>
                <c:pt idx="4">
                  <c:v>0.09</c:v>
                </c:pt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ptos"/>
                <a:ea typeface="Aptos"/>
                <a:cs typeface="Aptos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;[Red](0.0%);&quot;–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ptos"/>
                <a:ea typeface="Aptos"/>
                <a:cs typeface="Aptos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ptos"/>
              <a:ea typeface="Aptos"/>
              <a:cs typeface="Aptos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ptos"/>
                <a:ea typeface="Aptos"/>
                <a:cs typeface="Aptos"/>
              </a:rPr>
              <a:t>Customer cash resilience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ptos"/>
              <a:ea typeface="Aptos"/>
              <a:cs typeface="Aptos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Cash available</c:v>
          </c:tx>
          <c:spPr>
            <a:solidFill xmlns:a="http://schemas.openxmlformats.org/drawingml/2006/main">
              <a:srgbClr val="007F86"/>
            </a:solidFill>
            <a:ln xmlns:a="http://schemas.openxmlformats.org/drawingml/2006/main" w="19050">
              <a:solidFill>
                <a:srgbClr val="007F86"/>
              </a:solidFill>
              <a:prstDash val="solid"/>
            </a:ln>
          </c:spPr>
          <c:marker>
            <c:symbol val="none"/>
          </c:marker>
          <c:cat>
            <c:strRef>
              <c:f>'Customer'!$C$51:$C$55</c:f>
              <c:strCache>
                <c:ptCount val="5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</c:strCache>
            </c:strRef>
          </c:cat>
          <c:val>
            <c:numRef>
              <c:f>'Customer'!$D$51:$D$55</c:f>
              <c:numCache>
                <c:formatCode>#,##0.00;[Red](#,##0.00);"–"</c:formatCode>
                <c:ptCount val="5"/>
                <c:pt idx="0">
                  <c:v>7.7925888</c:v>
                </c:pt>
                <c:pt idx="1">
                  <c:v>5.992927999999999</c:v>
                </c:pt>
                <c:pt idx="2">
                  <c:v>-3.6309936000000005</c:v>
                </c:pt>
                <c:pt idx="3">
                  <c:v>-4.577564000000001</c:v>
                </c:pt>
                <c:pt idx="4">
                  <c:v>-4.456609599999998</c:v>
                </c:pt>
              </c:numCache>
            </c:numRef>
          </c:val>
          <c:smooth val="0"/>
        </c:ser>
        <c:ser>
          <c:idx val="1"/>
          <c:order val="1"/>
          <c:tx>
            <c:v>Debt service</c:v>
          </c:tx>
          <c:spPr>
            <a:solidFill xmlns:a="http://schemas.openxmlformats.org/drawingml/2006/main">
              <a:srgbClr val="1668D5"/>
            </a:solidFill>
            <a:ln xmlns:a="http://schemas.openxmlformats.org/drawingml/2006/main" w="19050">
              <a:solidFill>
                <a:srgbClr val="1668D5"/>
              </a:solidFill>
              <a:prstDash val="solid"/>
            </a:ln>
          </c:spPr>
          <c:marker>
            <c:symbol val="none"/>
          </c:marker>
          <c:cat>
            <c:strRef>
              <c:f>'Customer'!$C$51:$C$55</c:f>
              <c:strCache>
                <c:ptCount val="5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</c:strCache>
            </c:strRef>
          </c:cat>
          <c:val>
            <c:numRef>
              <c:f>'Customer'!$E$51:$E$55</c:f>
              <c:numCache>
                <c:formatCode>#,##0.00;[Red](#,##0.00);"–"</c:formatCode>
                <c:ptCount val="5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</c:numCache>
            </c:numRef>
          </c:val>
          <c:smooth val="0"/>
        </c:ser>
        <c:ser>
          <c:idx val="2"/>
          <c:order val="2"/>
          <c:tx>
            <c:v>EBITDA</c:v>
          </c:tx>
          <c:spPr>
            <a:solidFill xmlns:a="http://schemas.openxmlformats.org/drawingml/2006/main">
              <a:srgbClr val="B79459"/>
            </a:solidFill>
            <a:ln xmlns:a="http://schemas.openxmlformats.org/drawingml/2006/main" w="19050">
              <a:solidFill>
                <a:srgbClr val="B79459"/>
              </a:solidFill>
              <a:prstDash val="dash"/>
            </a:ln>
          </c:spPr>
          <c:marker>
            <c:symbol val="none"/>
          </c:marker>
          <c:cat>
            <c:strRef>
              <c:f>'Customer'!$C$51:$C$55</c:f>
              <c:strCache>
                <c:ptCount val="5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</c:strCache>
            </c:strRef>
          </c:cat>
          <c:val>
            <c:numRef>
              <c:f>'Customer'!$F$51:$F$55</c:f>
              <c:numCache>
                <c:formatCode>#,##0.00;[Red](#,##0.00);"–"</c:formatCode>
                <c:ptCount val="5"/>
                <c:pt idx="0">
                  <c:v>10.0925888</c:v>
                </c:pt>
                <c:pt idx="1">
                  <c:v>8.592927999999999</c:v>
                </c:pt>
                <c:pt idx="2">
                  <c:v>1.0690063999999992</c:v>
                </c:pt>
                <c:pt idx="3">
                  <c:v>-0.477564000000001</c:v>
                </c:pt>
                <c:pt idx="4">
                  <c:v>-0.9566095999999984</c:v>
                </c:pt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ptos"/>
                <a:ea typeface="Aptos"/>
                <a:cs typeface="Aptos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.00;[Red](#,##0.00);&quot;–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ptos"/>
                <a:ea typeface="Aptos"/>
                <a:cs typeface="Aptos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ptos"/>
              <a:ea typeface="Aptos"/>
              <a:cs typeface="Aptos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ptos"/>
                <a:ea typeface="Aptos"/>
                <a:cs typeface="Aptos"/>
              </a:rPr>
              <a:t>Exposure by country (USD m)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ptos"/>
              <a:ea typeface="Aptos"/>
              <a:cs typeface="Aptos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Drawn USD m</c:v>
          </c:tx>
          <c:spPr>
            <a:solidFill xmlns:a="http://schemas.openxmlformats.org/drawingml/2006/main">
              <a:srgbClr val="007F86"/>
            </a:solidFill>
          </c:spPr>
          <c:cat>
            <c:strRef>
              <c:f>'Portfolio'!$C$29:$C$31</c:f>
              <c:strCache>
                <c:ptCount val="3"/>
                <c:pt idx="0">
                  <c:v>Egypt</c:v>
                </c:pt>
                <c:pt idx="1">
                  <c:v>Jordan</c:v>
                </c:pt>
                <c:pt idx="2">
                  <c:v>UAE</c:v>
                </c:pt>
              </c:strCache>
            </c:strRef>
          </c:cat>
          <c:val>
            <c:numRef>
              <c:f>'Portfolio'!$D$29:$D$31</c:f>
              <c:numCache>
                <c:formatCode>#,##0.00;[Red](#,##0.00);"–"</c:formatCode>
                <c:ptCount val="3"/>
                <c:pt idx="0">
                  <c:v>103.49999999999999</c:v>
                </c:pt>
                <c:pt idx="1">
                  <c:v>93.04999999999998</c:v>
                </c:pt>
                <c:pt idx="2">
                  <c:v>73.15</c:v>
                </c:pt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ptos"/>
                <a:ea typeface="Aptos"/>
                <a:cs typeface="Aptos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.00;[Red](#,##0.00);&quot;–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ptos"/>
                <a:ea typeface="Aptos"/>
                <a:cs typeface="Aptos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ptos"/>
                <a:ea typeface="Aptos"/>
                <a:cs typeface="Aptos"/>
              </a:rPr>
              <a:t>CET1 path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ptos"/>
              <a:ea typeface="Aptos"/>
              <a:cs typeface="Aptos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After actions</c:v>
          </c:tx>
          <c:spPr>
            <a:solidFill xmlns:a="http://schemas.openxmlformats.org/drawingml/2006/main">
              <a:srgbClr val="007F86"/>
            </a:solidFill>
            <a:ln xmlns:a="http://schemas.openxmlformats.org/drawingml/2006/main" w="19050">
              <a:solidFill>
                <a:srgbClr val="007F86"/>
              </a:solidFill>
              <a:prstDash val="solid"/>
            </a:ln>
          </c:spPr>
          <c:marker>
            <c:symbol val="none"/>
          </c:marker>
          <c:cat>
            <c:strRef>
              <c:f>'Capital'!$K$49:$K$53</c:f>
              <c:strCache>
                <c:ptCount val="5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</c:strCache>
            </c:strRef>
          </c:cat>
          <c:val>
            <c:numRef>
              <c:f>'Capital'!$L$49:$L$53</c:f>
              <c:numCache>
                <c:formatCode>0.0%;[Red](0.0%);"–"</c:formatCode>
                <c:ptCount val="5"/>
                <c:pt idx="0">
                  <c:v>0.16468913402630928</c:v>
                </c:pt>
                <c:pt idx="1">
                  <c:v>0.20481880292646737</c:v>
                </c:pt>
                <c:pt idx="2">
                  <c:v>0.2095399363728992</c:v>
                </c:pt>
                <c:pt idx="3">
                  <c:v>0.24259646014426214</c:v>
                </c:pt>
                <c:pt idx="4">
                  <c:v>0.35561375077834556</c:v>
                </c:pt>
              </c:numCache>
            </c:numRef>
          </c:val>
          <c:smooth val="0"/>
        </c:ser>
        <c:ser>
          <c:idx val="1"/>
          <c:order val="1"/>
          <c:tx>
            <c:v>Before actions</c:v>
          </c:tx>
          <c:spPr>
            <a:solidFill xmlns:a="http://schemas.openxmlformats.org/drawingml/2006/main">
              <a:srgbClr val="1668D5"/>
            </a:solidFill>
            <a:ln xmlns:a="http://schemas.openxmlformats.org/drawingml/2006/main" w="19050">
              <a:solidFill>
                <a:srgbClr val="1668D5"/>
              </a:solidFill>
              <a:prstDash val="solid"/>
            </a:ln>
          </c:spPr>
          <c:marker>
            <c:symbol val="none"/>
          </c:marker>
          <c:cat>
            <c:strRef>
              <c:f>'Capital'!$K$49:$K$53</c:f>
              <c:strCache>
                <c:ptCount val="5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</c:strCache>
            </c:strRef>
          </c:cat>
          <c:val>
            <c:numRef>
              <c:f>'Capital'!$M$49:$M$53</c:f>
              <c:numCache>
                <c:formatCode>0.0%;[Red](0.0%);"–"</c:formatCode>
                <c:ptCount val="5"/>
                <c:pt idx="0">
                  <c:v>0.16468913402630928</c:v>
                </c:pt>
                <c:pt idx="1">
                  <c:v>0.20481880292646737</c:v>
                </c:pt>
                <c:pt idx="2">
                  <c:v>0.18006391033758443</c:v>
                </c:pt>
                <c:pt idx="3">
                  <c:v>0.21086179918700834</c:v>
                </c:pt>
                <c:pt idx="4">
                  <c:v>0.31157481308510626</c:v>
                </c:pt>
              </c:numCache>
            </c:numRef>
          </c:val>
          <c:smooth val="0"/>
        </c:ser>
        <c:ser>
          <c:idx val="2"/>
          <c:order val="2"/>
          <c:tx>
            <c:v>Internal target</c:v>
          </c:tx>
          <c:spPr>
            <a:solidFill xmlns:a="http://schemas.openxmlformats.org/drawingml/2006/main">
              <a:srgbClr val="B79459"/>
            </a:solidFill>
            <a:ln xmlns:a="http://schemas.openxmlformats.org/drawingml/2006/main" w="19050">
              <a:solidFill>
                <a:srgbClr val="B79459"/>
              </a:solidFill>
              <a:prstDash val="dash"/>
            </a:ln>
          </c:spPr>
          <c:marker>
            <c:symbol val="none"/>
          </c:marker>
          <c:cat>
            <c:strRef>
              <c:f>'Capital'!$K$49:$K$53</c:f>
              <c:strCache>
                <c:ptCount val="5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</c:strCache>
            </c:strRef>
          </c:cat>
          <c:val>
            <c:numRef>
              <c:f>'Capital'!$N$49:$N$53</c:f>
              <c:numCache>
                <c:formatCode>0.0%;[Red](0.0%);"–"</c:formatCode>
                <c:ptCount val="5"/>
                <c:pt idx="0">
                  <c:v>0.09</c:v>
                </c:pt>
                <c:pt idx="1">
                  <c:v>0.09</c:v>
                </c:pt>
                <c:pt idx="2">
                  <c:v>0.09</c:v>
                </c:pt>
                <c:pt idx="3">
                  <c:v>0.09</c:v>
                </c:pt>
                <c:pt idx="4">
                  <c:v>0.09</c:v>
                </c:pt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ptos"/>
                <a:ea typeface="Aptos"/>
                <a:cs typeface="Aptos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;[Red](0.0%);&quot;–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ptos"/>
                <a:ea typeface="Aptos"/>
                <a:cs typeface="Aptos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ptos"/>
              <a:ea typeface="Aptos"/>
              <a:cs typeface="Aptos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2</xdr:col>
      <xdr:colOff>0</xdr:colOff>
      <xdr:row>19</xdr:row>
      <xdr:rowOff>0</xdr:rowOff>
    </xdr:from>
    <xdr:to>
      <xdr:col>10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8571d0c7765404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2</xdr:col>
      <xdr:colOff>0</xdr:colOff>
      <xdr:row>29</xdr:row>
      <xdr:rowOff>0</xdr:rowOff>
    </xdr:from>
    <xdr:to>
      <xdr:col>10</xdr:col>
      <xdr:colOff>0</xdr:colOff>
      <xdr:row>42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2e14d188a5c4290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9</xdr:col>
      <xdr:colOff>0</xdr:colOff>
      <xdr:row>11</xdr:row>
      <xdr:rowOff>0</xdr:rowOff>
    </xdr:from>
    <xdr:to>
      <xdr:col>15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c61bef0e8714e0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9</xdr:col>
      <xdr:colOff>0</xdr:colOff>
      <xdr:row>5</xdr:row>
      <xdr:rowOff>0</xdr:rowOff>
    </xdr:from>
    <xdr:to>
      <xdr:col>15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4c5aa3c3f464d9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4" name="CreditTransmission" displayName="CreditTransmission" ref="C8:W508" headerRowCount="1" totalsRowCount="0" totalsRowShown="0">
  <x:autoFilter ref="C8:W508"/>
  <x:tableColumns count="21">
    <x:tableColumn id="1" name="Borrower ID"/>
    <x:tableColumn id="2" name="Year index"/>
    <x:tableColumn id="3" name="Year"/>
    <x:tableColumn id="4" name="Sector"/>
    <x:tableColumn id="5" name="Baseline cash USD m"/>
    <x:tableColumn id="6" name="Demand EBITDA change"/>
    <x:tableColumn id="7" name="Net carbon cost"/>
    <x:tableColumn id="8" name="Net energy cost"/>
    <x:tableColumn id="9" name="Interruption loss"/>
    <x:tableColumn id="10" name="Net repair expense"/>
    <x:tableColumn id="11" name="Stressed EBITDA"/>
    <x:tableColumn id="12" name="Transition capex"/>
    <x:tableColumn id="13" name="Available cash"/>
    <x:tableColumn id="14" name="Debt service coverage"/>
    <x:tableColumn id="15" name="Conditional annual PD"/>
    <x:tableColumn id="16" name="Conditional LGD"/>
    <x:tableColumn id="17" name="Physical exposure index"/>
    <x:tableColumn id="18" name="Collateral loss share"/>
    <x:tableColumn id="19" name="Input status"/>
    <x:tableColumn id="20" name="Cash deterioration"/>
    <x:tableColumn id="21" name="Borrower nam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5" name="AccountingECL" displayName="AccountingECL" ref="C8:AF108" headerRowCount="1" totalsRowCount="0" totalsRowShown="0">
  <x:autoFilter ref="C8:AF108"/>
  <x:tableColumns count="30">
    <x:tableColumn id="1" name="Facility ID"/>
    <x:tableColumn id="2" name="Borrower ID"/>
    <x:tableColumn id="3" name="Stage"/>
    <x:tableColumn id="4" name="Drawn USD m"/>
    <x:tableColumn id="5" name="Undrawn USD m"/>
    <x:tableColumn id="6" name="Remaining years"/>
    <x:tableColumn id="7" name="EIR"/>
    <x:tableColumn id="8" name="Annual PD"/>
    <x:tableColumn id="9" name="Base LGD"/>
    <x:tableColumn id="10" name="Amortisation"/>
    <x:tableColumn id="11" name="Recovery lag years"/>
    <x:tableColumn id="12" name="Recovery fraction"/>
    <x:tableColumn id="13" name="Input status"/>
    <x:tableColumn id="14" name="Central PD"/>
    <x:tableColumn id="15" name="Downside PD"/>
    <x:tableColumn id="16" name="Upside PD"/>
    <x:tableColumn id="17" name="Central LGD"/>
    <x:tableColumn id="18" name="Downside LGD"/>
    <x:tableColumn id="19" name="Upside LGD"/>
    <x:tableColumn id="20" name="Central drawn ECL"/>
    <x:tableColumn id="21" name="Downside drawn ECL"/>
    <x:tableColumn id="22" name="Upside drawn ECL"/>
    <x:tableColumn id="23" name="Central undrawn ECL"/>
    <x:tableColumn id="24" name="Downside undrawn ECL"/>
    <x:tableColumn id="25" name="Upside undrawn ECL"/>
    <x:tableColumn id="26" name="Weighted drawn ECL"/>
    <x:tableColumn id="27" name="Weighted undrawn ECL"/>
    <x:tableColumn id="28" name="Total ECL"/>
    <x:tableColumn id="29" name="Allowance / gross"/>
    <x:tableColumn id="30" name="Horizon year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6" name="FacilityForecast" displayName="FacilityForecast" ref="C8:AR508" headerRowCount="1" totalsRowCount="0" totalsRowShown="0">
  <x:autoFilter ref="C8:AR508"/>
  <x:tableColumns count="42">
    <x:tableColumn id="1" name="Facility ID"/>
    <x:tableColumn id="2" name="Year index"/>
    <x:tableColumn id="3" name="Year"/>
    <x:tableColumn id="4" name="Borrower ID"/>
    <x:tableColumn id="5" name="Opening performing"/>
    <x:tableColumn id="6" name="Opening defaulted"/>
    <x:tableColumn id="7" name="Opening undrawn"/>
    <x:tableColumn id="8" name="Drawings"/>
    <x:tableColumn id="9" name="Repayments"/>
    <x:tableColumn id="10" name="Transfer to default"/>
    <x:tableColumn id="11" name="Cash recoveries"/>
    <x:tableColumn id="12" name="Write-offs"/>
    <x:tableColumn id="13" name="Closing performing"/>
    <x:tableColumn id="14" name="Closing defaulted"/>
    <x:tableColumn id="15" name="Closing undrawn"/>
    <x:tableColumn id="16" name="Conditional PD"/>
    <x:tableColumn id="17" name="Conditional LGD"/>
    <x:tableColumn id="18" name="Stage at horizon"/>
    <x:tableColumn id="19" name="Closing drawn allowance"/>
    <x:tableColumn id="20" name="Closing undrawn provision"/>
    <x:tableColumn id="21" name="Opening drawn allowance"/>
    <x:tableColumn id="22" name="Opening undrawn provision"/>
    <x:tableColumn id="23" name="Credit charge"/>
    <x:tableColumn id="24" name="Interest income"/>
    <x:tableColumn id="25" name="Credit RWA"/>
    <x:tableColumn id="26" name="Gross loan change"/>
    <x:tableColumn id="27" name="Forecast default year"/>
    <x:tableColumn id="28" name="Opening total gross"/>
    <x:tableColumn id="29" name="Gross reconciliation"/>
    <x:tableColumn id="30" name="Stressed RW"/>
    <x:tableColumn id="31" name="Recovery discount unwind"/>
    <x:tableColumn id="32" name="Closing total gross"/>
    <x:tableColumn id="33" name="Net credit contribution"/>
    <x:tableColumn id="34" name="Remaining life"/>
    <x:tableColumn id="35" name="Default opening allowance"/>
    <x:tableColumn id="36" name="Default closing allowance"/>
    <x:tableColumn id="37" name="Recovery fraction"/>
    <x:tableColumn id="38" name="Physical loss share"/>
    <x:tableColumn id="39" name="Forecast EAD"/>
    <x:tableColumn id="40" name="Net loans"/>
    <x:tableColumn id="41" name="Input status"/>
    <x:tableColumn id="42" name="30-day collection proxy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11" name="BorrowerEsgAssessment" displayName="BorrowerEsgAssessment" ref="C8:X108" headerRowCount="1" totalsRowCount="0" totalsRowShown="0">
  <x:autoFilter ref="C8:X108"/>
  <x:tableColumns count="22">
    <x:tableColumn id="1" name="Borrower ID"/>
    <x:tableColumn id="2" name="Borrower"/>
    <x:tableColumn id="3" name="Country"/>
    <x:tableColumn id="4" name="Sector"/>
    <x:tableColumn id="5" name="Inherent E&amp;S risk"/>
    <x:tableColumn id="6" name="Legal prohibition"/>
    <x:tableColumn id="7" name="Environment /100"/>
    <x:tableColumn id="8" name="Social /100"/>
    <x:tableColumn id="9" name="Governance /100"/>
    <x:tableColumn id="10" name="Owner"/>
    <x:tableColumn id="11" name="Review date"/>
    <x:tableColumn id="12" name="Valid to"/>
    <x:tableColumn id="13" name="Evidence"/>
    <x:tableColumn id="14" name="Weighted score"/>
    <x:tableColumn id="15" name="Management band"/>
    <x:tableColumn id="16" name="Critical unresolved"/>
    <x:tableColumn id="17" name="Actions overdue"/>
    <x:tableColumn id="18" name="Evidence state"/>
    <x:tableColumn id="19" name="E&amp;S decision"/>
    <x:tableColumn id="20" name="Conditions open"/>
    <x:tableColumn id="21" name="Weight control"/>
    <x:tableColumn id="22" name="Diligence completed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12" name="ActivityTaxonomyRegister" displayName="ActivityTaxonomyRegister" ref="C8:AH108" headerRowCount="1" totalsRowCount="0" totalsRowShown="0">
  <x:autoFilter ref="C8:AH108"/>
  <x:tableColumns count="32">
    <x:tableColumn id="1" name="Assessment ID"/>
    <x:tableColumn id="2" name="Facility ID"/>
    <x:tableColumn id="3" name="Borrower ID"/>
    <x:tableColumn id="4" name="Country"/>
    <x:tableColumn id="5" name="Activity"/>
    <x:tableColumn id="6" name="Scheme / version"/>
    <x:tableColumn id="7" name="Use of scheme"/>
    <x:tableColumn id="8" name="Performance year"/>
    <x:tableColumn id="9" name="Primary metric"/>
    <x:tableColumn id="10" name="Secondary metric"/>
    <x:tableColumn id="11" name="Pathway"/>
    <x:tableColumn id="12" name="Allocated USDm"/>
    <x:tableColumn id="13" name="Allocation evidence"/>
    <x:tableColumn id="14" name="Owner"/>
    <x:tableColumn id="15" name="Reviewer"/>
    <x:tableColumn id="16" name="Review date"/>
    <x:tableColumn id="17" name="Valid to"/>
    <x:tableColumn id="18" name="Approval"/>
    <x:tableColumn id="19" name="Technical route"/>
    <x:tableColumn id="20" name="Tests required"/>
    <x:tableColumn id="21" name="Tests complete"/>
    <x:tableColumn id="22" name="Tests failed"/>
    <x:tableColumn id="23" name="Tests unresolved"/>
    <x:tableColumn id="24" name="Safeguards"/>
    <x:tableColumn id="25" name="Allocation control"/>
    <x:tableColumn id="26" name="Classification"/>
    <x:tableColumn id="27" name="Claim state"/>
    <x:tableColumn id="28" name="Eligible / Green USDm"/>
    <x:tableColumn id="29" name="Amber USDm"/>
    <x:tableColumn id="30" name="Decision note"/>
    <x:tableColumn id="31" name="Source"/>
    <x:tableColumn id="32" name="Record control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10" name="EsgActionRegister" displayName="EsgActionRegister" ref="C8:U308" headerRowCount="1" totalsRowCount="0" totalsRowShown="0">
  <x:autoFilter ref="C8:U308"/>
  <x:tableColumns count="19">
    <x:tableColumn id="1" name="Action ID"/>
    <x:tableColumn id="2" name="Borrower ID"/>
    <x:tableColumn id="3" name="Domain"/>
    <x:tableColumn id="4" name="Severity"/>
    <x:tableColumn id="5" name="Required action"/>
    <x:tableColumn id="6" name="Owner"/>
    <x:tableColumn id="7" name="Due date"/>
    <x:tableColumn id="8" name="State entered"/>
    <x:tableColumn id="9" name="Closure evidence"/>
    <x:tableColumn id="10" name="Verifier"/>
    <x:tableColumn id="11" name="Verified date"/>
    <x:tableColumn id="12" name="Opened date"/>
    <x:tableColumn id="13" name="Valid closure"/>
    <x:tableColumn id="14" name="Decision state"/>
    <x:tableColumn id="15" name="Overdue"/>
    <x:tableColumn id="16" name="Days overdue"/>
    <x:tableColumn id="17" name="Key control"/>
    <x:tableColumn id="18" name="Borrower"/>
    <x:tableColumn id="19" name="Sourc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14" name="BankReadinessControls" displayName="BankReadinessControls" ref="C8:U108" headerRowCount="1" totalsRowCount="0" totalsRowShown="0">
  <x:autoFilter ref="C8:U108"/>
  <x:tableColumns count="19">
    <x:tableColumn id="1" name="Control ID"/>
    <x:tableColumn id="2" name="Jurisdiction"/>
    <x:tableColumn id="3" name="Control area"/>
    <x:tableColumn id="4" name="Requirement / outcome"/>
    <x:tableColumn id="5" name="Owner"/>
    <x:tableColumn id="6" name="Approver"/>
    <x:tableColumn id="7" name="Internal target date"/>
    <x:tableColumn id="8" name="State entered"/>
    <x:tableColumn id="9" name="Evidence"/>
    <x:tableColumn id="10" name="Last reviewed"/>
    <x:tableColumn id="11" name="Valid to"/>
    <x:tableColumn id="12" name="Applies"/>
    <x:tableColumn id="13" name="Readiness"/>
    <x:tableColumn id="14" name="Overdue"/>
    <x:tableColumn id="15" name="Days overdue"/>
    <x:tableColumn id="16" name="Key control"/>
    <x:tableColumn id="17" name="Reference"/>
    <x:tableColumn id="18" name="Authority"/>
    <x:tableColumn id="19" name="Completion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21" name="CountryRequirements" displayName="CountryRequirements" ref="C8:M23" headerRowCount="1" totalsRowCount="0" totalsRowShown="0">
  <x:autoFilter ref="C8:M23"/>
  <x:tableColumns count="11">
    <x:tableColumn id="1" name="Country"/>
    <x:tableColumn id="2" name="Rule ID"/>
    <x:tableColumn id="3" name="Requirement"/>
    <x:tableColumn id="4" name="Version"/>
    <x:tableColumn id="5" name="Authority"/>
    <x:tableColumn id="6" name="Scope"/>
    <x:tableColumn id="7" name="Timing"/>
    <x:tableColumn id="8" name="Selected"/>
    <x:tableColumn id="9" name="Verification"/>
    <x:tableColumn id="10" name="Source URL"/>
    <x:tableColumn id="11" name="Accounting / taxonomy boundary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17" name="EntityInventory" displayName="EntityInventory" ref="C8:AR108" headerRowCount="1" totalsRowCount="0" totalsRowShown="0">
  <x:autoFilter ref="C8:AR108"/>
  <x:tableColumns count="42">
    <x:tableColumn id="1" name="Entity ID"/>
    <x:tableColumn id="2" name="Borrower ID"/>
    <x:tableColumn id="3" name="Entity name"/>
    <x:tableColumn id="4" name="Asset class"/>
    <x:tableColumn id="5" name="Country"/>
    <x:tableColumn id="6" name="Inventory date"/>
    <x:tableColumn id="7" name="Equity USDm"/>
    <x:tableColumn id="8" name="Debt USDm"/>
    <x:tableColumn id="9" name="EVIC USDm"/>
    <x:tableColumn id="10" name="Original asset USDm"/>
    <x:tableColumn id="11" name="Value basis"/>
    <x:tableColumn id="12" name="Denominator USDm"/>
    <x:tableColumn id="13" name="Emissions evidence"/>
    <x:tableColumn id="14" name="Evidence expires"/>
    <x:tableColumn id="15" name="S1 method"/>
    <x:tableColumn id="16" name="S1 reported t"/>
    <x:tableColumn id="17" name="S1 complete"/>
    <x:tableColumn id="18" name="S1 selected t"/>
    <x:tableColumn id="19" name="S1 DQ"/>
    <x:tableColumn id="20" name="S1 status"/>
    <x:tableColumn id="21" name="S2 method"/>
    <x:tableColumn id="22" name="S2 reported t"/>
    <x:tableColumn id="23" name="S2 complete"/>
    <x:tableColumn id="24" name="S2 selected t"/>
    <x:tableColumn id="25" name="S2 DQ"/>
    <x:tableColumn id="26" name="S2 status"/>
    <x:tableColumn id="27" name="S2 basis"/>
    <x:tableColumn id="28" name="S3 method"/>
    <x:tableColumn id="29" name="S3 reported t"/>
    <x:tableColumn id="30" name="S3 complete"/>
    <x:tableColumn id="31" name="S3 selected t"/>
    <x:tableColumn id="32" name="S3 DQ"/>
    <x:tableColumn id="33" name="S3 status"/>
    <x:tableColumn id="34" name="Finance evidence"/>
    <x:tableColumn id="35" name="Value date"/>
    <x:tableColumn id="36" name="Finance status"/>
    <x:tableColumn id="37" name="S3 screening evidence"/>
    <x:tableColumn id="38" name="Boundary overlap"/>
    <x:tableColumn id="39" name="Project equity USDm"/>
    <x:tableColumn id="40" name="Project debt USDm"/>
    <x:tableColumn id="41" name="Asset value evidence"/>
    <x:tableColumn id="42" name="Asset value date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8" name="FinancedEmissions" displayName="FinancedEmissions" ref="C8:AF108" headerRowCount="1" totalsRowCount="0" totalsRowShown="0">
  <x:autoFilter ref="C8:AF108"/>
  <x:tableColumns count="30">
    <x:tableColumn id="1" name="Facility ID"/>
    <x:tableColumn id="2" name="Borrower ID"/>
    <x:tableColumn id="3" name="Asset class"/>
    <x:tableColumn id="4" name="Entity ID"/>
    <x:tableColumn id="5" name="Drawn USDm"/>
    <x:tableColumn id="6" name="Denominator USDm"/>
    <x:tableColumn id="7" name="Attribution"/>
    <x:tableColumn id="8" name="Financed S1 t"/>
    <x:tableColumn id="9" name="Financed S2 t"/>
    <x:tableColumn id="10" name="Financed S3 t"/>
    <x:tableColumn id="11" name="S1 + S2 covered USDm"/>
    <x:tableColumn id="12" name="S3 covered USDm"/>
    <x:tableColumn id="13" name="S1 DQ"/>
    <x:tableColumn id="14" name="S2 DQ"/>
    <x:tableColumn id="15" name="S3 DQ"/>
    <x:tableColumn id="16" name="Method status"/>
    <x:tableColumn id="17" name="S1 status"/>
    <x:tableColumn id="18" name="S2 status"/>
    <x:tableColumn id="19" name="S3 status"/>
    <x:tableColumn id="20" name="Evidence expiry"/>
    <x:tableColumn id="21" name="Method reference"/>
    <x:tableColumn id="22" name="Entity drawn USDm"/>
    <x:tableColumn id="23" name="S1 covered USDm"/>
    <x:tableColumn id="24" name="S2 covered USDm"/>
    <x:tableColumn id="25" name="S1 DQ weighted"/>
    <x:tableColumn id="26" name="S2 DQ weighted"/>
    <x:tableColumn id="27" name="S3 DQ weighted"/>
    <x:tableColumn id="28" name="S1 + S2 DQ weighted"/>
    <x:tableColumn id="29" name="S2 basis"/>
    <x:tableColumn id="30" name="Overlap statu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9" name="BankOperations" displayName="BankOperations" ref="C8:AC108" headerRowCount="1" totalsRowCount="0" totalsRowShown="0">
  <x:autoFilter ref="C8:AC108"/>
  <x:tableColumns count="27">
    <x:tableColumn id="1" name="Operation ID"/>
    <x:tableColumn id="2" name="Country"/>
    <x:tableColumn id="3" name="Operation"/>
    <x:tableColumn id="4" name="Within control"/>
    <x:tableColumn id="5" name="Year"/>
    <x:tableColumn id="6" name="Diesel litres"/>
    <x:tableColumn id="7" name="Fuel factor ID"/>
    <x:tableColumn id="8" name="Electricity kWh"/>
    <x:tableColumn id="9" name="LB factor ID"/>
    <x:tableColumn id="10" name="Market information"/>
    <x:tableColumn id="11" name="Contract kWh"/>
    <x:tableColumn id="12" name="Contract factor ID"/>
    <x:tableColumn id="13" name="8 criteria review"/>
    <x:tableColumn id="14" name="Retirement evidence"/>
    <x:tableColumn id="15" name="Residual available"/>
    <x:tableColumn id="16" name="Residual factor ID"/>
    <x:tableColumn id="17" name="Activity evidence"/>
    <x:tableColumn id="18" name="Expires"/>
    <x:tableColumn id="19" name="S1 t"/>
    <x:tableColumn id="20" name="S2 LB t"/>
    <x:tableColumn id="21" name="S2 MB t"/>
    <x:tableColumn id="22" name="S1 status"/>
    <x:tableColumn id="23" name="S2 LB status"/>
    <x:tableColumn id="24" name="S2 MB status"/>
    <x:tableColumn id="25" name="S1 boundary complete"/>
    <x:tableColumn id="26" name="Other S1 gross t"/>
    <x:tableColumn id="27" name="Other S1 evidence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20" name="BankScope3" displayName="BankScope3" ref="C8:Q23" headerRowCount="1" totalsRowCount="0" totalsRowShown="0">
  <x:autoFilter ref="C8:Q23"/>
  <x:tableColumns count="15">
    <x:tableColumn id="1" name="Category"/>
    <x:tableColumn id="2" name="Category name"/>
    <x:tableColumn id="3" name="Disposition"/>
    <x:tableColumn id="4" name="Gross t input"/>
    <x:tableColumn id="5" name="Method"/>
    <x:tableColumn id="6" name="Rationale"/>
    <x:tableColumn id="7" name="Evidence"/>
    <x:tableColumn id="8" name="Expires"/>
    <x:tableColumn id="9" name="Selected gross t"/>
    <x:tableColumn id="10" name="Category status"/>
    <x:tableColumn id="11" name="Overlap review"/>
    <x:tableColumn id="12" name="Boundary review"/>
    <x:tableColumn id="13" name="Year"/>
    <x:tableColumn id="14" name="Boundary"/>
    <x:tableColumn id="15" name="Investee S3 t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" name="BorrowerData" displayName="BorrowerData" ref="C8:AA108" headerRowCount="1" totalsRowCount="0" totalsRowShown="0">
  <x:autoFilter ref="C8:AA108"/>
  <x:tableColumns count="25">
    <x:tableColumn id="1" name="Borrower ID"/>
    <x:tableColumn id="2" name="Borrower name"/>
    <x:tableColumn id="3" name="Country"/>
    <x:tableColumn id="4" name="Sector"/>
    <x:tableColumn id="5" name="Listing"/>
    <x:tableColumn id="6" name="Financial date"/>
    <x:tableColumn id="7" name="Revenue USD m"/>
    <x:tableColumn id="8" name="EBITDA USD m"/>
    <x:tableColumn id="9" name="Maintenance capex USD m"/>
    <x:tableColumn id="10" name="Debt service USD m"/>
    <x:tableColumn id="11" name="Equity USD m"/>
    <x:tableColumn id="12" name="Debt USD m"/>
    <x:tableColumn id="13" name="EVIC USD m"/>
    <x:tableColumn id="14" name="Annual PD"/>
    <x:tableColumn id="15" name="LGD"/>
    <x:tableColumn id="16" name="Priced tonnes"/>
    <x:tableColumn id="17" name="Energy cost / sales"/>
    <x:tableColumn id="18" name="Cost pass-through"/>
    <x:tableColumn id="19" name="Contribution margin"/>
    <x:tableColumn id="20" name="PD sensitivity"/>
    <x:tableColumn id="21" name="Planned abatement"/>
    <x:tableColumn id="22" name="Evidence ID"/>
    <x:tableColumn id="23" name="Evidence expiry"/>
    <x:tableColumn id="24" name="Credit impaired"/>
    <x:tableColumn id="25" name="Input status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2" name="FacilityData" displayName="FacilityData" ref="C8:AQ108" headerRowCount="1" totalsRowCount="0" totalsRowShown="0">
  <x:autoFilter ref="C8:AQ108"/>
  <x:tableColumns count="41">
    <x:tableColumn id="1" name="Facility ID"/>
    <x:tableColumn id="2" name="Borrower ID"/>
    <x:tableColumn id="3" name="PCAF asset class"/>
    <x:tableColumn id="4" name="Currency"/>
    <x:tableColumn id="5" name="Drawn local m"/>
    <x:tableColumn id="6" name="Undrawn local m"/>
    <x:tableColumn id="7" name="Accounting CCF"/>
    <x:tableColumn id="8" name="Remaining years"/>
    <x:tableColumn id="9" name="EIR"/>
    <x:tableColumn id="10" name="Origination PD"/>
    <x:tableColumn id="11" name="Days past due"/>
    <x:tableColumn id="12" name="Stage override"/>
    <x:tableColumn id="13" name="Origination collateral USD m"/>
    <x:tableColumn id="14" name="Current collateral USD m"/>
    <x:tableColumn id="15" name="Secured recovery share"/>
    <x:tableColumn id="16" name="Annual amortisation"/>
    <x:tableColumn id="17" name="Approved base RW"/>
    <x:tableColumn id="18" name="Loan yield"/>
    <x:tableColumn id="19" name="Emissions entity ID"/>
    <x:tableColumn id="20" name="Purpose"/>
    <x:tableColumn id="21" name="Taxonomy activity"/>
    <x:tableColumn id="22" name="Approved prudential provision USD m"/>
    <x:tableColumn id="23" name="Evidence ID"/>
    <x:tableColumn id="24" name="USD per unit"/>
    <x:tableColumn id="25" name="Drawn USD m"/>
    <x:tableColumn id="26" name="Undrawn USD m"/>
    <x:tableColumn id="27" name="Accounting EAD"/>
    <x:tableColumn id="28" name="Accounting stage"/>
    <x:tableColumn id="29" name="Credit RWA USD m"/>
    <x:tableColumn id="30" name="Input status"/>
    <x:tableColumn id="31" name="Override evidence"/>
    <x:tableColumn id="32" name="Override reviewer"/>
    <x:tableColumn id="33" name="Regulatory CCF"/>
    <x:tableColumn id="34" name="Default RW"/>
    <x:tableColumn id="35" name="Recovery lag years"/>
    <x:tableColumn id="36" name="Expected recovery fraction"/>
    <x:tableColumn id="37" name="Qualitative SICR"/>
    <x:tableColumn id="38" name="Stress default year"/>
    <x:tableColumn id="39" name="Regulatory EAD"/>
    <x:tableColumn id="40" name="Booked undrawn provision local m (reference)"/>
    <x:tableColumn id="41" name="Default schedule source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3" name="SiteData" displayName="SiteData" ref="C8:Q108" headerRowCount="1" totalsRowCount="0" totalsRowShown="0">
  <x:autoFilter ref="C8:Q108"/>
  <x:tableColumns count="15">
    <x:tableColumn id="1" name="Site ID"/>
    <x:tableColumn id="2" name="Borrower ID"/>
    <x:tableColumn id="3" name="Country"/>
    <x:tableColumn id="4" name="Location"/>
    <x:tableColumn id="5" name="Peril"/>
    <x:tableColumn id="6" name="Asset value USD m"/>
    <x:tableColumn id="7" name="Revenue share"/>
    <x:tableColumn id="8" name="Hazard index"/>
    <x:tableColumn id="9" name="Vulnerability"/>
    <x:tableColumn id="10" name="Adaptation"/>
    <x:tableColumn id="11" name="Insurance recovery"/>
    <x:tableColumn id="12" name="Collateral share"/>
    <x:tableColumn id="13" name="Evidence ID"/>
    <x:tableColumn id="14" name="Evidence expiry"/>
    <x:tableColumn id="15" name="Input status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BorrowerActivities" displayName="BorrowerActivities" ref="C8:X308" headerRowCount="1" totalsRowCount="0" totalsRowShown="0">
  <x:autoFilter ref="C8:X308"/>
  <x:tableColumns count="22">
    <x:tableColumn id="1" name="Activity ID"/>
    <x:tableColumn id="2" name="Entity ID"/>
    <x:tableColumn id="3" name="Site / asset ID"/>
    <x:tableColumn id="4" name="Scope"/>
    <x:tableColumn id="5" name="Activity"/>
    <x:tableColumn id="6" name="Quantity"/>
    <x:tableColumn id="7" name="Unit"/>
    <x:tableColumn id="8" name="Factor ID"/>
    <x:tableColumn id="9" name="Year"/>
    <x:tableColumn id="10" name="Evidence"/>
    <x:tableColumn id="11" name="Data class"/>
    <x:tableColumn id="12" name="Expires"/>
    <x:tableColumn id="13" name="kg CO2e / unit"/>
    <x:tableColumn id="14" name="Factor unit"/>
    <x:tableColumn id="15" name="Factor scope"/>
    <x:tableColumn id="16" name="Factor country"/>
    <x:tableColumn id="17" name="Factor year"/>
    <x:tableColumn id="18" name="Source / version"/>
    <x:tableColumn id="19" name="Tonnes CO2e"/>
    <x:tableColumn id="20" name="Row status"/>
    <x:tableColumn id="21" name="Entity country"/>
    <x:tableColumn id="22" name="Factor status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5" name="EmissionFactors" displayName="EmissionFactors" ref="C8:P108" headerRowCount="1" totalsRowCount="0" totalsRowShown="0">
  <x:autoFilter ref="C8:P108"/>
  <x:tableColumns count="14">
    <x:tableColumn id="1" name="Factor ID"/>
    <x:tableColumn id="2" name="Activity"/>
    <x:tableColumn id="3" name="Country"/>
    <x:tableColumn id="4" name="Activity unit"/>
    <x:tableColumn id="5" name="kg CO2e / unit"/>
    <x:tableColumn id="6" name="Scope"/>
    <x:tableColumn id="7" name="Boundary basis"/>
    <x:tableColumn id="8" name="Factor year"/>
    <x:tableColumn id="9" name="Valid through"/>
    <x:tableColumn id="10" name="Source"/>
    <x:tableColumn id="11" name="Version"/>
    <x:tableColumn id="12" name="Data basis"/>
    <x:tableColumn id="13" name="Gas basis"/>
    <x:tableColumn id="14" name="Factor status"/>
  </x:tableColumns>
  <x:tableStyleInfo name="TableStyleMedium2" showFirstColumn="0" showLastColumn="0" showRowStripes="1" showColumnStripes="0"/>
</x:table>
</file>

<file path=xl/tables/table18.xml><?xml version="1.0" encoding="utf-8"?>
<ns0:table xmlns:ns0="http://schemas.openxmlformats.org/spreadsheetml/2006/main" id="7" name="TaxonomyPolicyRules" displayName="TaxonomyPolicyRules" ref="C8:N20" headerRowCount="1" totalsRowCount="0" totalsRowShown="0">
  <ns0:autoFilter ref="C8:N20"/>
  <ns0:tableColumns count="12">
    <ns0:tableColumn id="1" name="Rule key"/>
    <ns0:tableColumn id="2" name="Scheme / version"/>
    <ns0:tableColumn id="3" name="Activity"/>
    <ns0:tableColumn id="4" name="Primary metric"/>
    <ns0:tableColumn id="5" name="Reference trigger"/>
    <ns0:tableColumn id="6" name="Unit"/>
    <ns0:tableColumn id="7" name="Interpretation"/>
    <ns0:tableColumn id="8" name="Required tests"/>
    <ns0:tableColumn id="9" name="Authority"/>
    <ns0:tableColumn id="10" name="Source locator"/>
    <ns0:tableColumn id="11" name="Secondary metric"/>
    <ns0:tableColumn id="12" name="Permitted pathway"/>
  </ns0:tableColumns>
  <ns0:tableStyleInfo name="TableStyleMedium2" showFirstColumn="0" showLastColumn="0" showRowStripes="1" showColumnStripes="0"/>
</ns0:table>
</file>

<file path=xl/tables/table19.xml><?xml version="1.0" encoding="utf-8"?>
<x:table xmlns:x="http://schemas.openxmlformats.org/spreadsheetml/2006/main" id="8" name="SectorMaterialityWeights" displayName="SectorMaterialityWeights" ref="C25:G37" headerRowCount="1" totalsRowCount="0" totalsRowShown="0">
  <x:autoFilter ref="C25:G37"/>
  <x:tableColumns count="5">
    <x:tableColumn id="1" name="Sector"/>
    <x:tableColumn id="2" name="E weight"/>
    <x:tableColumn id="3" name="S weight"/>
    <x:tableColumn id="4" name="G weight"/>
    <x:tableColumn id="5" name="Control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9" name="TaxonomyEvidenceLibrary" displayName="TaxonomyEvidenceLibrary" ref="C41:G68" headerRowCount="1" totalsRowCount="0" totalsRowShown="0">
  <x:autoFilter ref="C41:G68"/>
  <x:tableColumns count="5">
    <x:tableColumn id="1" name="Test ID"/>
    <x:tableColumn id="2" name="Family"/>
    <x:tableColumn id="3" name="Evidence requirement"/>
    <x:tableColumn id="4" name="Source"/>
    <x:tableColumn id="5" name="Activity scope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13" name="TaxonomyEvidenceTests" displayName="TaxonomyEvidenceTests" ref="C8:U2008" headerRowCount="1" totalsRowCount="0" totalsRowShown="0">
  <x:autoFilter ref="C8:U2008"/>
  <x:tableColumns count="19">
    <x:tableColumn id="1" name="Test record ID"/>
    <x:tableColumn id="2" name="Assessment ID"/>
    <x:tableColumn id="3" name="Criterion ID"/>
    <x:tableColumn id="4" name="Family"/>
    <x:tableColumn id="5" name="Applicability"/>
    <x:tableColumn id="6" name="Result entered"/>
    <x:tableColumn id="7" name="Evidence / document"/>
    <x:tableColumn id="8" name="N/A rationale"/>
    <x:tableColumn id="9" name="Owner"/>
    <x:tableColumn id="10" name="Reviewer"/>
    <x:tableColumn id="11" name="Review date"/>
    <x:tableColumn id="12" name="Valid to"/>
    <x:tableColumn id="13" name="Review note"/>
    <x:tableColumn id="14" name="Result validated"/>
    <x:tableColumn id="15" name="Complete state"/>
    <x:tableColumn id="16" name="Key control"/>
    <x:tableColumn id="17" name="Requirement"/>
    <x:tableColumn id="18" name="Source"/>
    <x:tableColumn id="19" name="Activit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0d3c197e47041f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49257736778a461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9f4e4e8ffe794e9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4.xml" Id="R373f5b0cef474f9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1.xml" Id="R33cf518440c646d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2.xml" Id="R383b5845760f4df4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3.xml" Id="R723f006714104c15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4.xml" Id="R9334582daa1248d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5.xml" Id="R37003548c1c0478b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6.xml" Id="Re07a596a9d1b4ccb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7.xml" Id="R391b4d0823c84384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8.xml" Id="Rb9bc3dcb2ee24bdd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9.xml" Id="R4462403dd12f43e3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0.xml" Id="R73b3f302879b4a93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1.xml" Id="R2cf33bc363b5440d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2.xml" Id="R8295860ea0724b14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13.xml" Id="R7c7cbc909ba74b0f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14.xml" Id="Ra12b235e057442a5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15.xml" Id="R881c29f58bca4e8f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16.xml" Id="Reb38b923f8ef435a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17.xml" Id="Raa9eddd85801419f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table" Target="/xl/tables/table18.xml" Id="Rd69366e0a1a847b5" /><Relationship Type="http://schemas.openxmlformats.org/officeDocument/2006/relationships/table" Target="/xl/tables/table19.xml" Id="Rf634667d548e4177" /><Relationship Type="http://schemas.openxmlformats.org/officeDocument/2006/relationships/table" Target="/xl/tables/table20.xml" Id="R471d65db094b488a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table" Target="/xl/tables/table21.xml" Id="Ra6517b9057584b8a" /></Relationships>
</file>

<file path=xl/worksheets/sheet1.xml><?xml version="1.0" encoding="utf-8"?>
<x:worksheet xmlns:x="http://schemas.openxmlformats.org/spreadsheetml/2006/main">
  <x:sheetPr>
    <x:tabColor rgb="FF102D42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.4000000953674316" hidden="0" customWidth="1"/>
    <x:col min="2" max="2" width="2.4000000953674316" hidden="0" customWidth="1"/>
    <x:col min="3" max="3" width="10.5" hidden="0" customWidth="1"/>
    <x:col min="4" max="4" width="10.5" hidden="0" customWidth="1"/>
    <x:col min="5" max="5" width="10.5" hidden="0" customWidth="1"/>
    <x:col min="6" max="6" width="10.5" hidden="0" customWidth="1"/>
    <x:col min="7" max="7" width="10.5" hidden="0" customWidth="1"/>
    <x:col min="8" max="8" width="10.5" hidden="0" customWidth="1"/>
    <x:col min="9" max="9" width="10.5" hidden="0" customWidth="1"/>
    <x:col min="10" max="10" width="10.5" hidden="0" customWidth="1"/>
    <x:col min="11" max="11" width="10.5" hidden="0" customWidth="1"/>
    <x:col min="12" max="12" width="10.5" hidden="0" customWidth="1"/>
    <x:col min="13" max="13" width="10.5" hidden="0" customWidth="1"/>
    <x:col min="14" max="14" width="10.5" hidden="0" customWidth="1"/>
    <x:col min="15" max="15" width="10.5" hidden="0" customWidth="1"/>
  </x:cols>
  <x:sheetData>
    <x:row r="1" ht="27" customHeight="1">
      <x:c r="A1" s="1"/>
      <x:c r="B1" s="1"/>
      <x:c r="C1" s="50" t="str">
        <x:v>Home</x:v>
      </x:c>
      <x:c r="D1" s="50"/>
      <x:c r="E1" s="63" t="str">
        <x:v>Customer</x:v>
      </x:c>
      <x:c r="F1" s="63"/>
      <x:c r="G1" s="63" t="str">
        <x:v>Capital</x:v>
      </x:c>
      <x:c r="H1" s="63"/>
      <x:c r="I1" s="63" t="str">
        <x:v>Reporting</x:v>
      </x:c>
      <x:c r="J1" s="63"/>
      <x:c r="K1" s="63" t="str">
        <x:v>Inputs</x:v>
      </x:c>
      <x:c r="L1" s="63"/>
      <x:c r="M1" s="63" t="str">
        <x:v>Settings</x:v>
      </x:c>
      <x:c r="N1" s="63"/>
      <x:c r="O1" s="3"/>
    </x:row>
    <x:row r="2" ht="45" customHeight="1">
      <x:c r="A2" s="1"/>
      <x:c r="B2" s="1"/>
      <x:c r="C2" s="5" t="str">
        <x:v>ESG Banking</x:v>
      </x:c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</x:row>
    <x:row r="3" ht="32" customHeight="1">
      <x:c r="A3" s="1"/>
      <x:c r="B3" s="1"/>
      <x:c r="C3" s="6" t="str">
        <x:v>Portfolio intelligence, climate stress and capital planning</x:v>
      </x:c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3"/>
      <x:c r="O3" s="3"/>
    </x:row>
    <x:row r="4" ht="26" customHeight="1">
      <x:c r="A4" s="1"/>
      <x:c r="B4" s="1"/>
      <x:c r="C4" s="45"/>
      <x:c r="D4" s="45"/>
      <x:c r="E4" s="45"/>
      <x:c r="F4" s="45"/>
      <x:c r="G4" s="45"/>
      <x:c r="H4" s="45"/>
      <x:c r="I4" s="45"/>
      <x:c r="J4" s="45"/>
      <x:c r="K4" s="45"/>
      <x:c r="L4" s="45"/>
      <x:c r="M4" s="45"/>
      <x:c r="N4" s="45"/>
      <x:c r="O4" s="45"/>
    </x:row>
    <x:row r="5" ht="26" customHeight="1">
      <x:c r="A5" s="1"/>
      <x:c r="B5" s="1"/>
      <x:c r="C5" s="46" t="str">
        <x:v>ACTIVE SCENARIO</x:v>
      </x:c>
      <x:c r="D5" s="46"/>
      <x:c r="E5" s="46"/>
      <x:c r="F5" s="46"/>
      <x:c r="G5" s="45" t="str">
        <x:f>Settings!F6</x:f>
        <x:v>Delayed transition</x:v>
      </x:c>
      <x:c r="H5" s="45"/>
      <x:c r="I5" s="45"/>
      <x:c r="J5" s="45"/>
      <x:c r="K5" s="50" t="str">
        <x:v>Change scenario or country</x:v>
      </x:c>
      <x:c r="L5" s="50"/>
      <x:c r="M5" s="50"/>
      <x:c r="N5" s="50"/>
      <x:c r="O5" s="50"/>
    </x:row>
    <x:row r="6" ht="26" customHeight="1">
      <x:c r="A6" s="1"/>
      <x:c r="B6" s="1"/>
      <x:c r="C6" s="45"/>
      <x:c r="D6" s="45"/>
      <x:c r="E6" s="45"/>
      <x:c r="F6" s="45"/>
      <x:c r="G6" s="45"/>
      <x:c r="H6" s="45"/>
      <x:c r="I6" s="45"/>
      <x:c r="J6" s="45"/>
      <x:c r="K6" s="45"/>
      <x:c r="L6" s="45"/>
      <x:c r="M6" s="45"/>
      <x:c r="N6" s="45"/>
      <x:c r="O6" s="45"/>
    </x:row>
    <x:row r="7" ht="26" customHeight="1">
      <x:c r="A7" s="1"/>
      <x:c r="B7" s="1"/>
      <x:c r="C7" s="93" t="str">
        <x:v>LOANS IN SCOPE  ·  USD m</x:v>
      </x:c>
      <x:c r="D7" s="15"/>
      <x:c r="E7" s="15"/>
      <x:c r="F7" s="94"/>
      <x:c r="G7" s="93" t="str">
        <x:v>REPORTING ECL  ·  USD m</x:v>
      </x:c>
      <x:c r="H7" s="15"/>
      <x:c r="I7" s="15"/>
      <x:c r="J7" s="94"/>
      <x:c r="K7" s="99" t="str">
        <x:v>YEAR 5 CET1 RATIO</x:v>
      </x:c>
      <x:c r="L7" s="57"/>
      <x:c r="M7" s="57"/>
      <x:c r="N7" s="57"/>
      <x:c r="O7" s="100"/>
    </x:row>
    <x:row r="8" ht="26" customHeight="1">
      <x:c r="A8" s="1"/>
      <x:c r="B8" s="1"/>
      <x:c r="C8" s="95" t="n">
        <x:f>IF(Bank!F103="Ready",Bank!F25,"Unavailable")</x:f>
        <x:v>269.7</x:v>
      </x:c>
      <x:c r="D8" s="54"/>
      <x:c r="E8" s="54"/>
      <x:c r="F8" s="96"/>
      <x:c r="G8" s="95" t="n">
        <x:f>IF(Bank!F103="Ready",SUM(ECL!AD9:AD108),"Unavailable")</x:f>
        <x:v>14.373489786299864</x:v>
      </x:c>
      <x:c r="H8" s="54"/>
      <x:c r="I8" s="54"/>
      <x:c r="J8" s="96"/>
      <x:c r="K8" s="101" t="n">
        <x:f>IF(Bank!F104="Ready",Bank!K40/Bank!K46,"Unavailable")</x:f>
        <x:v>0.35561375077834556</x:v>
      </x:c>
      <x:c r="L8" s="58"/>
      <x:c r="M8" s="58"/>
      <x:c r="N8" s="58"/>
      <x:c r="O8" s="102"/>
    </x:row>
    <x:row r="9" ht="26" customHeight="1">
      <x:c r="A9" s="1"/>
      <x:c r="B9" s="1"/>
      <x:c r="C9" s="95"/>
      <x:c r="D9" s="54"/>
      <x:c r="E9" s="54"/>
      <x:c r="F9" s="96"/>
      <x:c r="G9" s="95"/>
      <x:c r="H9" s="54"/>
      <x:c r="I9" s="54"/>
      <x:c r="J9" s="96"/>
      <x:c r="K9" s="101"/>
      <x:c r="L9" s="58"/>
      <x:c r="M9" s="58"/>
      <x:c r="N9" s="58"/>
      <x:c r="O9" s="102"/>
    </x:row>
    <x:row r="10" ht="26" customHeight="1">
      <x:c r="A10" s="1"/>
      <x:c r="B10" s="1"/>
      <x:c r="C10" s="95"/>
      <x:c r="D10" s="54"/>
      <x:c r="E10" s="54"/>
      <x:c r="F10" s="96"/>
      <x:c r="G10" s="95"/>
      <x:c r="H10" s="54"/>
      <x:c r="I10" s="54"/>
      <x:c r="J10" s="96"/>
      <x:c r="K10" s="101"/>
      <x:c r="L10" s="58"/>
      <x:c r="M10" s="58"/>
      <x:c r="N10" s="58"/>
      <x:c r="O10" s="102"/>
    </x:row>
    <x:row r="11" ht="26" customHeight="1">
      <x:c r="A11" s="1"/>
      <x:c r="B11" s="1"/>
      <x:c r="C11" s="97" t="str">
        <x:v>Complete synthetic facility register</x:v>
      </x:c>
      <x:c r="D11" s="55"/>
      <x:c r="E11" s="55"/>
      <x:c r="F11" s="98"/>
      <x:c r="G11" s="97" t="str">
        <x:v>Weighted drawn + off-balance ECL</x:v>
      </x:c>
      <x:c r="H11" s="55"/>
      <x:c r="I11" s="55"/>
      <x:c r="J11" s="98"/>
      <x:c r="K11" s="97" t="str">
        <x:v>After approved management actions</x:v>
      </x:c>
      <x:c r="L11" s="55"/>
      <x:c r="M11" s="55"/>
      <x:c r="N11" s="55"/>
      <x:c r="O11" s="98"/>
    </x:row>
    <x:row r="12" ht="26" customHeight="1">
      <x:c r="A12" s="1"/>
      <x:c r="B12" s="1"/>
      <x:c r="C12" s="45"/>
      <x:c r="D12" s="45"/>
      <x:c r="E12" s="45"/>
      <x:c r="F12" s="45"/>
      <x:c r="G12" s="45"/>
      <x:c r="H12" s="45"/>
      <x:c r="I12" s="45"/>
      <x:c r="J12" s="45"/>
      <x:c r="K12" s="45"/>
      <x:c r="L12" s="45"/>
      <x:c r="M12" s="45"/>
      <x:c r="N12" s="45"/>
      <x:c r="O12" s="45"/>
    </x:row>
    <x:row r="13" ht="26" customHeight="1">
      <x:c r="A13" s="1"/>
      <x:c r="B13" s="1"/>
      <x:c r="C13" s="99" t="str">
        <x:v>FINANCED EMISSIONS  ·  tCO₂e</x:v>
      </x:c>
      <x:c r="D13" s="57"/>
      <x:c r="E13" s="57"/>
      <x:c r="F13" s="100"/>
      <x:c r="G13" s="99" t="str">
        <x:v>EMISSIONS COVERAGE</x:v>
      </x:c>
      <x:c r="H13" s="57"/>
      <x:c r="I13" s="57"/>
      <x:c r="J13" s="100"/>
      <x:c r="K13" s="93" t="str">
        <x:v>ELIGIBLE / GREEN  ·  USD m</x:v>
      </x:c>
      <x:c r="L13" s="15"/>
      <x:c r="M13" s="15"/>
      <x:c r="N13" s="15"/>
      <x:c r="O13" s="94"/>
    </x:row>
    <x:row r="14" ht="26" customHeight="1">
      <x:c r="A14" s="1"/>
      <x:c r="B14" s="1"/>
      <x:c r="C14" s="103" t="n">
        <x:f>'Financed Emissions'!$D$5</x:f>
        <x:v>48668.63080271585</x:v>
      </x:c>
      <x:c r="D14" s="59"/>
      <x:c r="E14" s="59"/>
      <x:c r="F14" s="104"/>
      <x:c r="G14" s="101" t="n">
        <x:f>'Financed Emissions'!$L$5</x:f>
        <x:v>1</x:v>
      </x:c>
      <x:c r="H14" s="58"/>
      <x:c r="I14" s="58"/>
      <x:c r="J14" s="102"/>
      <x:c r="K14" s="95" t="n">
        <x:f>'Taxonomy'!H5</x:f>
        <x:v>16.12</x:v>
      </x:c>
      <x:c r="L14" s="54"/>
      <x:c r="M14" s="54"/>
      <x:c r="N14" s="54"/>
      <x:c r="O14" s="96"/>
    </x:row>
    <x:row r="15" ht="26" customHeight="1">
      <x:c r="A15" s="1"/>
      <x:c r="B15" s="1"/>
      <x:c r="C15" s="103"/>
      <x:c r="D15" s="59"/>
      <x:c r="E15" s="59"/>
      <x:c r="F15" s="104"/>
      <x:c r="G15" s="101"/>
      <x:c r="H15" s="58"/>
      <x:c r="I15" s="58"/>
      <x:c r="J15" s="102"/>
      <x:c r="K15" s="95"/>
      <x:c r="L15" s="54"/>
      <x:c r="M15" s="54"/>
      <x:c r="N15" s="54"/>
      <x:c r="O15" s="96"/>
    </x:row>
    <x:row r="16" ht="26" customHeight="1">
      <x:c r="A16" s="1"/>
      <x:c r="B16" s="1"/>
      <x:c r="C16" s="103"/>
      <x:c r="D16" s="59"/>
      <x:c r="E16" s="59"/>
      <x:c r="F16" s="104"/>
      <x:c r="G16" s="101"/>
      <x:c r="H16" s="58"/>
      <x:c r="I16" s="58"/>
      <x:c r="J16" s="102"/>
      <x:c r="K16" s="95"/>
      <x:c r="L16" s="54"/>
      <x:c r="M16" s="54"/>
      <x:c r="N16" s="54"/>
      <x:c r="O16" s="96"/>
    </x:row>
    <x:row r="17" ht="26" customHeight="1">
      <x:c r="A17" s="1"/>
      <x:c r="B17" s="1"/>
      <x:c r="C17" s="97" t="str">
        <x:v>Covered Scope 1 + 2 only</x:v>
      </x:c>
      <x:c r="D17" s="55"/>
      <x:c r="E17" s="55"/>
      <x:c r="F17" s="98"/>
      <x:c r="G17" s="97" t="str">
        <x:v>Share of drawn exposure</x:v>
      </x:c>
      <x:c r="H17" s="55"/>
      <x:c r="I17" s="55"/>
      <x:c r="J17" s="98"/>
      <x:c r="K17" s="97" t="str">
        <x:v>Classification follows selected scheme</x:v>
      </x:c>
      <x:c r="L17" s="55"/>
      <x:c r="M17" s="55"/>
      <x:c r="N17" s="55"/>
      <x:c r="O17" s="98"/>
    </x:row>
    <x:row r="18" ht="26" customHeight="1">
      <x:c r="A18" s="1"/>
      <x:c r="B18" s="1"/>
      <x:c r="C18" s="45"/>
      <x:c r="D18" s="45"/>
      <x:c r="E18" s="45"/>
      <x:c r="F18" s="45"/>
      <x:c r="G18" s="45"/>
      <x:c r="H18" s="45"/>
      <x:c r="I18" s="45"/>
      <x:c r="J18" s="45"/>
      <x:c r="K18" s="45"/>
      <x:c r="L18" s="45"/>
      <x:c r="M18" s="45"/>
      <x:c r="N18" s="45"/>
      <x:c r="O18" s="45"/>
    </x:row>
    <x:row r="19" ht="26" customHeight="1">
      <x:c r="A19" s="1"/>
      <x:c r="B19" s="1"/>
      <x:c r="C19" s="45"/>
      <x:c r="D19" s="45"/>
      <x:c r="E19" s="45"/>
      <x:c r="F19" s="45"/>
      <x:c r="G19" s="45"/>
      <x:c r="H19" s="45"/>
      <x:c r="I19" s="45"/>
      <x:c r="J19" s="45"/>
      <x:c r="K19" s="45"/>
      <x:c r="L19" s="45"/>
      <x:c r="M19" s="45"/>
      <x:c r="N19" s="45"/>
      <x:c r="O19" s="45"/>
    </x:row>
    <x:row r="20" ht="26" customHeight="1">
      <x:c r="A20" s="1"/>
      <x:c r="B20" s="1"/>
      <x:c r="C20" s="45"/>
      <x:c r="D20" s="45"/>
      <x:c r="E20" s="45"/>
      <x:c r="F20" s="45"/>
      <x:c r="G20" s="45"/>
      <x:c r="H20" s="45"/>
      <x:c r="I20" s="45"/>
      <x:c r="J20" s="45"/>
      <x:c r="K20" s="46" t="str">
        <x:v>REVIEW QUEUE</x:v>
      </x:c>
      <x:c r="L20" s="46"/>
      <x:c r="M20" s="46"/>
      <x:c r="N20" s="46"/>
      <x:c r="O20" s="46"/>
    </x:row>
    <x:row r="21" ht="26" customHeight="1">
      <x:c r="A21" s="1"/>
      <x:c r="B21" s="1"/>
      <x:c r="C21" s="45"/>
      <x:c r="D21" s="45"/>
      <x:c r="E21" s="45"/>
      <x:c r="F21" s="45"/>
      <x:c r="G21" s="45"/>
      <x:c r="H21" s="45"/>
      <x:c r="I21" s="45"/>
      <x:c r="J21" s="45"/>
      <x:c r="K21" s="45"/>
      <x:c r="L21" s="45"/>
      <x:c r="M21" s="45"/>
      <x:c r="N21" s="45"/>
      <x:c r="O21" s="45"/>
    </x:row>
    <x:row r="22" ht="26" customHeight="1">
      <x:c r="A22" s="1"/>
      <x:c r="B22" s="1"/>
      <x:c r="C22" s="45"/>
      <x:c r="D22" s="45"/>
      <x:c r="E22" s="45"/>
      <x:c r="F22" s="45"/>
      <x:c r="G22" s="45"/>
      <x:c r="H22" s="45"/>
      <x:c r="I22" s="45"/>
      <x:c r="J22" s="45"/>
      <x:c r="K22" s="52" t="str">
        <x:v>E&amp;S decisions held</x:v>
      </x:c>
      <x:c r="L22" s="52"/>
      <x:c r="M22" s="52"/>
      <x:c r="N22" s="52"/>
      <x:c r="O22" s="62" t="n">
        <x:f>'ESG'!L5</x:f>
        <x:v>4</x:v>
      </x:c>
    </x:row>
    <x:row r="23" ht="26" customHeight="1">
      <x:c r="A23" s="1"/>
      <x:c r="B23" s="1"/>
      <x:c r="C23" s="45"/>
      <x:c r="D23" s="45"/>
      <x:c r="E23" s="45"/>
      <x:c r="F23" s="45"/>
      <x:c r="G23" s="45"/>
      <x:c r="H23" s="45"/>
      <x:c r="I23" s="45"/>
      <x:c r="J23" s="45"/>
      <x:c r="K23" s="52"/>
      <x:c r="L23" s="52"/>
      <x:c r="M23" s="52"/>
      <x:c r="N23" s="52"/>
      <x:c r="O23" s="62"/>
    </x:row>
    <x:row r="24" ht="26" customHeight="1">
      <x:c r="A24" s="1"/>
      <x:c r="B24" s="1"/>
      <x:c r="C24" s="45"/>
      <x:c r="D24" s="45"/>
      <x:c r="E24" s="45"/>
      <x:c r="F24" s="45"/>
      <x:c r="G24" s="45"/>
      <x:c r="H24" s="45"/>
      <x:c r="I24" s="45"/>
      <x:c r="J24" s="45"/>
      <x:c r="K24" s="45"/>
      <x:c r="L24" s="45"/>
      <x:c r="M24" s="45"/>
      <x:c r="N24" s="45"/>
      <x:c r="O24" s="45"/>
    </x:row>
    <x:row r="25" ht="26" customHeight="1">
      <x:c r="A25" s="1"/>
      <x:c r="B25" s="1"/>
      <x:c r="C25" s="45"/>
      <x:c r="D25" s="45"/>
      <x:c r="E25" s="45"/>
      <x:c r="F25" s="45"/>
      <x:c r="G25" s="45"/>
      <x:c r="H25" s="45"/>
      <x:c r="I25" s="45"/>
      <x:c r="J25" s="45"/>
      <x:c r="K25" s="52" t="str">
        <x:v>Critical actions open</x:v>
      </x:c>
      <x:c r="L25" s="52"/>
      <x:c r="M25" s="52"/>
      <x:c r="N25" s="52"/>
      <x:c r="O25" s="62" t="n">
        <x:f>'Actions'!L5</x:f>
        <x:v>3</x:v>
      </x:c>
    </x:row>
    <x:row r="26" ht="26" customHeight="1">
      <x:c r="A26" s="1"/>
      <x:c r="B26" s="1"/>
      <x:c r="C26" s="45"/>
      <x:c r="D26" s="45"/>
      <x:c r="E26" s="45"/>
      <x:c r="F26" s="45"/>
      <x:c r="G26" s="45"/>
      <x:c r="H26" s="45"/>
      <x:c r="I26" s="45"/>
      <x:c r="J26" s="45"/>
      <x:c r="K26" s="52"/>
      <x:c r="L26" s="52"/>
      <x:c r="M26" s="52"/>
      <x:c r="N26" s="52"/>
      <x:c r="O26" s="62"/>
    </x:row>
    <x:row r="27" ht="26" customHeight="1">
      <x:c r="A27" s="1"/>
      <x:c r="B27" s="1"/>
      <x:c r="C27" s="45"/>
      <x:c r="D27" s="45"/>
      <x:c r="E27" s="45"/>
      <x:c r="F27" s="45"/>
      <x:c r="G27" s="45"/>
      <x:c r="H27" s="45"/>
      <x:c r="I27" s="45"/>
      <x:c r="J27" s="45"/>
      <x:c r="K27" s="45"/>
      <x:c r="L27" s="45"/>
      <x:c r="M27" s="45"/>
      <x:c r="N27" s="45"/>
      <x:c r="O27" s="45"/>
    </x:row>
    <x:row r="28" ht="26" customHeight="1">
      <x:c r="A28" s="1"/>
      <x:c r="B28" s="1"/>
      <x:c r="C28" s="45"/>
      <x:c r="D28" s="45"/>
      <x:c r="E28" s="45"/>
      <x:c r="F28" s="45"/>
      <x:c r="G28" s="45"/>
      <x:c r="H28" s="45"/>
      <x:c r="I28" s="45"/>
      <x:c r="J28" s="45"/>
      <x:c r="K28" s="52" t="str">
        <x:v>Taxonomy claims pending</x:v>
      </x:c>
      <x:c r="L28" s="52"/>
      <x:c r="M28" s="52"/>
      <x:c r="N28" s="52"/>
      <x:c r="O28" s="62" t="n">
        <x:f>'Taxonomy'!X5</x:f>
        <x:v>22</x:v>
      </x:c>
    </x:row>
    <x:row r="29" ht="26" customHeight="1">
      <x:c r="A29" s="1"/>
      <x:c r="B29" s="1"/>
      <x:c r="C29" s="45"/>
      <x:c r="D29" s="45"/>
      <x:c r="E29" s="45"/>
      <x:c r="F29" s="45"/>
      <x:c r="G29" s="45"/>
      <x:c r="H29" s="45"/>
      <x:c r="I29" s="45"/>
      <x:c r="J29" s="45"/>
      <x:c r="K29" s="52"/>
      <x:c r="L29" s="52"/>
      <x:c r="M29" s="52"/>
      <x:c r="N29" s="52"/>
      <x:c r="O29" s="62"/>
    </x:row>
    <x:row r="30" ht="26" customHeight="1">
      <x:c r="A30" s="1"/>
      <x:c r="B30" s="1"/>
      <x:c r="C30" s="45"/>
      <x:c r="D30" s="45"/>
      <x:c r="E30" s="45"/>
      <x:c r="F30" s="45"/>
      <x:c r="G30" s="45"/>
      <x:c r="H30" s="45"/>
      <x:c r="I30" s="45"/>
      <x:c r="J30" s="45"/>
      <x:c r="K30" s="45"/>
      <x:c r="L30" s="45"/>
      <x:c r="M30" s="45"/>
      <x:c r="N30" s="45"/>
      <x:c r="O30" s="45"/>
    </x:row>
    <x:row r="31" ht="26" customHeight="1">
      <x:c r="A31" s="1"/>
      <x:c r="B31" s="1"/>
      <x:c r="C31" s="45"/>
      <x:c r="D31" s="45"/>
      <x:c r="E31" s="45"/>
      <x:c r="F31" s="45"/>
      <x:c r="G31" s="45"/>
      <x:c r="H31" s="45"/>
      <x:c r="I31" s="45"/>
      <x:c r="J31" s="45"/>
      <x:c r="K31" s="52" t="str">
        <x:v>Emissions methods pending</x:v>
      </x:c>
      <x:c r="L31" s="52"/>
      <x:c r="M31" s="52"/>
      <x:c r="N31" s="52"/>
      <x:c r="O31" s="62" t="n">
        <x:f>'Financed Emissions'!$L$6</x:f>
        <x:v>0</x:v>
      </x:c>
    </x:row>
    <x:row r="32" ht="26" customHeight="1">
      <x:c r="A32" s="1"/>
      <x:c r="B32" s="1"/>
      <x:c r="C32" s="45"/>
      <x:c r="D32" s="45"/>
      <x:c r="E32" s="45"/>
      <x:c r="F32" s="45"/>
      <x:c r="G32" s="45"/>
      <x:c r="H32" s="45"/>
      <x:c r="I32" s="45"/>
      <x:c r="J32" s="45"/>
      <x:c r="K32" s="52"/>
      <x:c r="L32" s="52"/>
      <x:c r="M32" s="52"/>
      <x:c r="N32" s="52"/>
      <x:c r="O32" s="62"/>
    </x:row>
    <x:row r="33" ht="26" customHeight="1">
      <x:c r="A33" s="1"/>
      <x:c r="B33" s="1"/>
      <x:c r="C33" s="45"/>
      <x:c r="D33" s="45"/>
      <x:c r="E33" s="45"/>
      <x:c r="F33" s="45"/>
      <x:c r="G33" s="45"/>
      <x:c r="H33" s="45"/>
      <x:c r="I33" s="45"/>
      <x:c r="J33" s="45"/>
      <x:c r="K33" s="45"/>
      <x:c r="L33" s="45"/>
      <x:c r="M33" s="45"/>
      <x:c r="N33" s="45"/>
      <x:c r="O33" s="45"/>
    </x:row>
    <x:row r="34" ht="26" customHeight="1">
      <x:c r="A34" s="1"/>
      <x:c r="B34" s="1"/>
      <x:c r="C34" s="45"/>
      <x:c r="D34" s="45"/>
      <x:c r="E34" s="45"/>
      <x:c r="F34" s="45"/>
      <x:c r="G34" s="45"/>
      <x:c r="H34" s="45"/>
      <x:c r="I34" s="45"/>
      <x:c r="J34" s="45"/>
      <x:c r="K34" s="45"/>
      <x:c r="L34" s="45"/>
      <x:c r="M34" s="45"/>
      <x:c r="N34" s="45"/>
      <x:c r="O34" s="45"/>
    </x:row>
    <x:row r="35" ht="26" customHeight="1">
      <x:c r="A35" s="1"/>
      <x:c r="B35" s="1"/>
      <x:c r="C35" s="45"/>
      <x:c r="D35" s="45"/>
      <x:c r="E35" s="45"/>
      <x:c r="F35" s="45"/>
      <x:c r="G35" s="45"/>
      <x:c r="H35" s="45"/>
      <x:c r="I35" s="45"/>
      <x:c r="J35" s="45"/>
      <x:c r="K35" s="45"/>
      <x:c r="L35" s="45"/>
      <x:c r="M35" s="45"/>
      <x:c r="N35" s="45"/>
      <x:c r="O35" s="45"/>
    </x:row>
    <x:row r="36" ht="26" customHeight="1">
      <x:c r="A36" s="1"/>
      <x:c r="B36" s="1"/>
      <x:c r="C36" s="50" t="str">
        <x:v>Customer workspace</x:v>
      </x:c>
      <x:c r="D36" s="50"/>
      <x:c r="E36" s="50"/>
      <x:c r="F36" s="50"/>
      <x:c r="G36" s="50" t="str">
        <x:v>Portfolio analytics</x:v>
      </x:c>
      <x:c r="H36" s="50"/>
      <x:c r="I36" s="50"/>
      <x:c r="J36" s="50"/>
      <x:c r="K36" s="50" t="str">
        <x:v>Capital and liquidity</x:v>
      </x:c>
      <x:c r="L36" s="50"/>
      <x:c r="M36" s="50"/>
      <x:c r="N36" s="50"/>
      <x:c r="O36" s="50"/>
    </x:row>
    <x:row r="37" ht="26" customHeight="1">
      <x:c r="A37" s="1"/>
      <x:c r="B37" s="1"/>
      <x:c r="C37" s="50"/>
      <x:c r="D37" s="50"/>
      <x:c r="E37" s="50"/>
      <x:c r="F37" s="50"/>
      <x:c r="G37" s="50"/>
      <x:c r="H37" s="50"/>
      <x:c r="I37" s="50"/>
      <x:c r="J37" s="50"/>
      <x:c r="K37" s="50"/>
      <x:c r="L37" s="50"/>
      <x:c r="M37" s="50"/>
      <x:c r="N37" s="50"/>
      <x:c r="O37" s="50"/>
    </x:row>
    <x:row r="38" ht="26" customHeight="1">
      <x:c r="A38" s="1"/>
      <x:c r="B38" s="1"/>
      <x:c r="C38" s="45"/>
      <x:c r="D38" s="45"/>
      <x:c r="E38" s="45"/>
      <x:c r="F38" s="45"/>
      <x:c r="G38" s="45"/>
      <x:c r="H38" s="45"/>
      <x:c r="I38" s="45"/>
      <x:c r="J38" s="45"/>
      <x:c r="K38" s="45"/>
      <x:c r="L38" s="45"/>
      <x:c r="M38" s="45"/>
      <x:c r="N38" s="45"/>
      <x:c r="O38" s="45"/>
    </x:row>
    <x:row r="39" ht="26" customHeight="1">
      <x:c r="A39" s="1"/>
      <x:c r="B39" s="1"/>
      <x:c r="C39" s="45"/>
      <x:c r="D39" s="45"/>
      <x:c r="E39" s="45"/>
      <x:c r="F39" s="45"/>
      <x:c r="G39" s="45"/>
      <x:c r="H39" s="45"/>
      <x:c r="I39" s="45"/>
      <x:c r="J39" s="45"/>
      <x:c r="K39" s="45"/>
      <x:c r="L39" s="45"/>
      <x:c r="M39" s="45"/>
      <x:c r="N39" s="45"/>
      <x:c r="O39" s="45"/>
    </x:row>
    <x:row r="40" ht="26" customHeight="1">
      <x:c r="A40" s="1"/>
      <x:c r="B40" s="1"/>
      <x:c r="C40" s="46" t="str">
        <x:v>BANK PROFILE</x:v>
      </x:c>
      <x:c r="D40" s="46"/>
      <x:c r="E40" s="46"/>
      <x:c r="F40" s="46"/>
      <x:c r="G40" s="45" t="str">
        <x:f>Settings!F9</x:f>
        <x:v>Egypt</x:v>
      </x:c>
      <x:c r="H40" s="45"/>
      <x:c r="I40" s="45"/>
      <x:c r="J40" s="45"/>
      <x:c r="K40" s="45" t="str">
        <x:f>Settings!F13&amp;" calibration"</x:f>
        <x:v>Illustrative calibration</x:v>
      </x:c>
      <x:c r="L40" s="45"/>
      <x:c r="M40" s="45"/>
      <x:c r="N40" s="45"/>
      <x:c r="O40" s="45"/>
    </x:row>
    <x:row r="41" ht="26" customHeight="1">
      <x:c r="A41" s="1"/>
      <x:c r="B41" s="1"/>
      <x:c r="C41" s="45"/>
      <x:c r="D41" s="45"/>
      <x:c r="E41" s="45"/>
      <x:c r="F41" s="45"/>
      <x:c r="G41" s="45"/>
      <x:c r="H41" s="45"/>
      <x:c r="I41" s="45"/>
      <x:c r="J41" s="45"/>
      <x:c r="K41" s="45"/>
      <x:c r="L41" s="45"/>
      <x:c r="M41" s="45"/>
      <x:c r="N41" s="45"/>
      <x:c r="O41" s="45"/>
    </x:row>
    <x:row r="42" ht="26" customHeight="1">
      <x:c r="A42" s="1"/>
      <x:c r="B42" s="1"/>
      <x:c r="C42" s="46" t="str">
        <x:v>DATA STATUS</x:v>
      </x:c>
      <x:c r="D42" s="46"/>
      <x:c r="E42" s="46"/>
      <x:c r="F42" s="46"/>
      <x:c r="G42" s="45" t="str">
        <x:f>Bank!F104</x:f>
        <x:v>Ready</x:v>
      </x:c>
      <x:c r="H42" s="45"/>
      <x:c r="I42" s="45"/>
      <x:c r="J42" s="45"/>
      <x:c r="K42" s="45"/>
      <x:c r="L42" s="45"/>
      <x:c r="M42" s="45"/>
      <x:c r="N42" s="45"/>
      <x:c r="O42" s="45"/>
    </x:row>
    <x:row r="43" ht="26" customHeight="1">
      <x:c r="A43" s="1"/>
      <x:c r="B43" s="1"/>
      <x:c r="C43" s="45"/>
      <x:c r="D43" s="45"/>
      <x:c r="E43" s="45"/>
      <x:c r="F43" s="45"/>
      <x:c r="G43" s="45"/>
      <x:c r="H43" s="45"/>
      <x:c r="I43" s="45"/>
      <x:c r="J43" s="45"/>
      <x:c r="K43" s="45"/>
      <x:c r="L43" s="45"/>
      <x:c r="M43" s="45"/>
      <x:c r="N43" s="45"/>
      <x:c r="O43" s="45"/>
    </x:row>
    <x:row r="44" ht="26" customHeight="1">
      <x:c r="A44" s="1"/>
      <x:c r="B44" s="1"/>
      <x:c r="C44" s="63" t="str">
        <x:v>Evidence and actions</x:v>
      </x:c>
      <x:c r="D44" s="63"/>
      <x:c r="E44" s="63"/>
      <x:c r="F44" s="63"/>
      <x:c r="G44" s="63" t="str">
        <x:v>Control review</x:v>
      </x:c>
      <x:c r="H44" s="63"/>
      <x:c r="I44" s="63"/>
      <x:c r="J44" s="63"/>
      <x:c r="K44" s="63" t="str">
        <x:v>Disclosure pack</x:v>
      </x:c>
      <x:c r="L44" s="63"/>
      <x:c r="M44" s="63"/>
      <x:c r="N44" s="63"/>
      <x:c r="O44" s="63"/>
    </x:row>
    <x:row r="45" ht="26" customHeight="1">
      <x:c r="A45" s="1"/>
      <x:c r="B45" s="1"/>
      <x:c r="C45" s="45"/>
      <x:c r="D45" s="45"/>
      <x:c r="E45" s="45"/>
      <x:c r="F45" s="45"/>
      <x:c r="G45" s="45"/>
      <x:c r="H45" s="45"/>
      <x:c r="I45" s="45"/>
      <x:c r="J45" s="45"/>
      <x:c r="K45" s="45"/>
      <x:c r="L45" s="45"/>
      <x:c r="M45" s="45"/>
      <x:c r="N45" s="45"/>
      <x:c r="O45" s="45"/>
    </x:row>
    <x:row r="46" ht="26" customHeight="1">
      <x:c r="A46" s="1"/>
      <x:c r="B46" s="1"/>
      <x:c r="C46" s="45"/>
      <x:c r="D46" s="45"/>
      <x:c r="E46" s="45"/>
      <x:c r="F46" s="45"/>
      <x:c r="G46" s="45"/>
      <x:c r="H46" s="45"/>
      <x:c r="I46" s="45"/>
      <x:c r="J46" s="45"/>
      <x:c r="K46" s="45"/>
      <x:c r="L46" s="45"/>
      <x:c r="M46" s="45"/>
      <x:c r="N46" s="45"/>
      <x:c r="O46" s="45"/>
    </x:row>
    <x:row r="47" ht="26" customHeight="1">
      <x:c r="A47" s="1"/>
      <x:c r="B47" s="1"/>
      <x:c r="C47" s="45"/>
      <x:c r="D47" s="45"/>
      <x:c r="E47" s="45"/>
      <x:c r="F47" s="45"/>
      <x:c r="G47" s="45"/>
      <x:c r="H47" s="45"/>
      <x:c r="I47" s="45"/>
      <x:c r="J47" s="45"/>
      <x:c r="K47" s="45"/>
      <x:c r="L47" s="45"/>
      <x:c r="M47" s="45"/>
      <x:c r="N47" s="45"/>
      <x:c r="O47" s="45"/>
    </x:row>
    <x:row r="48" ht="26" customHeight="1">
      <x:c r="A48" s="1"/>
      <x:c r="B48" s="1"/>
      <x:c r="C48" s="45"/>
      <x:c r="D48" s="45"/>
      <x:c r="E48" s="45"/>
      <x:c r="F48" s="45"/>
      <x:c r="G48" s="45"/>
      <x:c r="H48" s="45"/>
      <x:c r="I48" s="45"/>
      <x:c r="J48" s="45"/>
      <x:c r="K48" s="45"/>
      <x:c r="L48" s="45"/>
      <x:c r="M48" s="45"/>
      <x:c r="N48" s="45"/>
      <x:c r="O48" s="45"/>
    </x:row>
    <x:row r="49" ht="26" customHeight="1">
      <x:c r="A49" s="1"/>
      <x:c r="B49" s="1"/>
      <x:c r="C49" s="45" t="str">
        <x:v>Year</x:v>
      </x:c>
      <x:c r="D49" s="45" t="str">
        <x:v>After actions</x:v>
      </x:c>
      <x:c r="E49" s="45" t="str">
        <x:v>Before actions</x:v>
      </x:c>
      <x:c r="F49" s="45" t="str">
        <x:v>Internal target</x:v>
      </x:c>
      <x:c r="G49" s="45"/>
      <x:c r="H49" s="45"/>
      <x:c r="I49" s="45"/>
      <x:c r="J49" s="45"/>
      <x:c r="K49" s="45"/>
      <x:c r="L49" s="45"/>
      <x:c r="M49" s="45"/>
      <x:c r="N49" s="45"/>
      <x:c r="O49" s="45"/>
    </x:row>
    <x:row r="50" ht="26" customHeight="1">
      <x:c r="A50" s="1"/>
      <x:c r="B50" s="1"/>
      <x:c r="C50" s="45" t="n">
        <x:f>Bank!G8</x:f>
        <x:v>2027</x:v>
      </x:c>
      <x:c r="D50" s="60" t="n">
        <x:f>Bank!G40/Bank!G46</x:f>
        <x:v>0.16468913402630928</x:v>
      </x:c>
      <x:c r="E50" s="60" t="n">
        <x:f>Bank!G39/Bank!G46</x:f>
        <x:v>0.16468913402630928</x:v>
      </x:c>
      <x:c r="F50" s="60" t="n">
        <x:f>Settings!F23</x:f>
        <x:v>0.09</x:v>
      </x:c>
      <x:c r="G50" s="45"/>
      <x:c r="H50" s="45"/>
      <x:c r="I50" s="45"/>
      <x:c r="J50" s="45"/>
      <x:c r="K50" s="45"/>
      <x:c r="L50" s="45"/>
      <x:c r="M50" s="45"/>
      <x:c r="N50" s="45"/>
      <x:c r="O50" s="45"/>
    </x:row>
    <x:row r="51" ht="26" customHeight="1">
      <x:c r="A51" s="1"/>
      <x:c r="B51" s="1"/>
      <x:c r="C51" s="45" t="n">
        <x:f>Bank!H8</x:f>
        <x:v>2028</x:v>
      </x:c>
      <x:c r="D51" s="60" t="n">
        <x:f>Bank!H40/Bank!H46</x:f>
        <x:v>0.20481880292646737</x:v>
      </x:c>
      <x:c r="E51" s="60" t="n">
        <x:f>Bank!H39/Bank!H46</x:f>
        <x:v>0.20481880292646737</x:v>
      </x:c>
      <x:c r="F51" s="60" t="n">
        <x:f>Settings!F23</x:f>
        <x:v>0.09</x:v>
      </x:c>
      <x:c r="G51" s="45"/>
      <x:c r="H51" s="45"/>
      <x:c r="I51" s="45"/>
      <x:c r="J51" s="45"/>
      <x:c r="K51" s="45"/>
      <x:c r="L51" s="45"/>
      <x:c r="M51" s="45"/>
      <x:c r="N51" s="45"/>
      <x:c r="O51" s="45"/>
    </x:row>
    <x:row r="52" ht="26" customHeight="1">
      <x:c r="A52" s="1"/>
      <x:c r="B52" s="1"/>
      <x:c r="C52" s="45" t="n">
        <x:f>Bank!I8</x:f>
        <x:v>2029</x:v>
      </x:c>
      <x:c r="D52" s="60" t="n">
        <x:f>Bank!I40/Bank!I46</x:f>
        <x:v>0.2095399363728992</x:v>
      </x:c>
      <x:c r="E52" s="60" t="n">
        <x:f>Bank!I39/Bank!I46</x:f>
        <x:v>0.18006391033758443</x:v>
      </x:c>
      <x:c r="F52" s="60" t="n">
        <x:f>Settings!F23</x:f>
        <x:v>0.09</x:v>
      </x:c>
      <x:c r="G52" s="45"/>
      <x:c r="H52" s="45"/>
      <x:c r="I52" s="45"/>
      <x:c r="J52" s="45"/>
      <x:c r="K52" s="45"/>
      <x:c r="L52" s="45"/>
      <x:c r="M52" s="45"/>
      <x:c r="N52" s="45"/>
      <x:c r="O52" s="45"/>
    </x:row>
    <x:row r="53" ht="26" customHeight="1">
      <x:c r="A53" s="1"/>
      <x:c r="B53" s="1"/>
      <x:c r="C53" s="45" t="n">
        <x:f>Bank!J8</x:f>
        <x:v>2030</x:v>
      </x:c>
      <x:c r="D53" s="60" t="n">
        <x:f>Bank!J40/Bank!J46</x:f>
        <x:v>0.24259646014426214</x:v>
      </x:c>
      <x:c r="E53" s="60" t="n">
        <x:f>Bank!J39/Bank!J46</x:f>
        <x:v>0.21086179918700834</x:v>
      </x:c>
      <x:c r="F53" s="60" t="n">
        <x:f>Settings!F23</x:f>
        <x:v>0.09</x:v>
      </x:c>
      <x:c r="G53" s="45"/>
      <x:c r="H53" s="45"/>
      <x:c r="I53" s="45"/>
      <x:c r="J53" s="45"/>
      <x:c r="K53" s="45"/>
      <x:c r="L53" s="45"/>
      <x:c r="M53" s="45"/>
      <x:c r="N53" s="45"/>
      <x:c r="O53" s="45"/>
    </x:row>
    <x:row r="54" ht="26" customHeight="1">
      <x:c r="A54" s="1"/>
      <x:c r="B54" s="1"/>
      <x:c r="C54" s="45" t="n">
        <x:f>Bank!K8</x:f>
        <x:v>2031</x:v>
      </x:c>
      <x:c r="D54" s="60" t="n">
        <x:f>Bank!K40/Bank!K46</x:f>
        <x:v>0.35561375077834556</x:v>
      </x:c>
      <x:c r="E54" s="60" t="n">
        <x:f>Bank!K39/Bank!K46</x:f>
        <x:v>0.31157481308510626</x:v>
      </x:c>
      <x:c r="F54" s="60" t="n">
        <x:f>Settings!F23</x:f>
        <x:v>0.09</x:v>
      </x:c>
      <x:c r="G54" s="45"/>
      <x:c r="H54" s="45"/>
      <x:c r="I54" s="45"/>
      <x:c r="J54" s="45"/>
      <x:c r="K54" s="45"/>
      <x:c r="L54" s="45"/>
      <x:c r="M54" s="45"/>
      <x:c r="N54" s="45"/>
      <x:c r="O54" s="45"/>
    </x:row>
    <x:row r="55" ht="26" customHeight="1">
      <x:c r="A55" s="1"/>
      <x:c r="B55" s="1"/>
      <x:c r="C55" s="45"/>
      <x:c r="D55" s="45"/>
      <x:c r="E55" s="45"/>
      <x:c r="F55" s="45"/>
      <x:c r="G55" s="45"/>
      <x:c r="H55" s="45"/>
      <x:c r="I55" s="45"/>
      <x:c r="J55" s="45"/>
      <x:c r="K55" s="45"/>
      <x:c r="L55" s="45"/>
      <x:c r="M55" s="45"/>
      <x:c r="N55" s="45"/>
      <x:c r="O55" s="45"/>
    </x:row>
    <x:row r="56" ht="26" customHeight="1">
      <x:c r="A56" s="1"/>
      <x:c r="B56" s="1"/>
      <x:c r="C56" s="45"/>
      <x:c r="D56" s="45"/>
      <x:c r="E56" s="45"/>
      <x:c r="F56" s="45"/>
      <x:c r="G56" s="45"/>
      <x:c r="H56" s="45"/>
      <x:c r="I56" s="45"/>
      <x:c r="J56" s="45"/>
      <x:c r="K56" s="45"/>
      <x:c r="L56" s="45"/>
      <x:c r="M56" s="45"/>
      <x:c r="N56" s="45"/>
      <x:c r="O56" s="45"/>
    </x:row>
    <x:row r="57" ht="26" customHeight="1">
      <x:c r="A57" s="1"/>
      <x:c r="B57" s="1"/>
      <x:c r="C57" s="45"/>
      <x:c r="D57" s="45"/>
      <x:c r="E57" s="45"/>
      <x:c r="F57" s="45"/>
      <x:c r="G57" s="45"/>
      <x:c r="H57" s="45"/>
      <x:c r="I57" s="45"/>
      <x:c r="J57" s="45"/>
      <x:c r="K57" s="45"/>
      <x:c r="L57" s="45"/>
      <x:c r="M57" s="45"/>
      <x:c r="N57" s="45"/>
      <x:c r="O57" s="45"/>
    </x:row>
    <x:row r="58" ht="26" customHeight="1">
      <x:c r="A58" s="1"/>
      <x:c r="B58" s="1"/>
      <x:c r="C58" s="45"/>
      <x:c r="D58" s="45"/>
      <x:c r="E58" s="45"/>
      <x:c r="F58" s="45"/>
      <x:c r="G58" s="45"/>
      <x:c r="H58" s="45"/>
      <x:c r="I58" s="45"/>
      <x:c r="J58" s="45"/>
      <x:c r="K58" s="45"/>
      <x:c r="L58" s="45"/>
      <x:c r="M58" s="45"/>
      <x:c r="N58" s="45"/>
      <x:c r="O58" s="45"/>
    </x:row>
    <x:row r="59" ht="26" customHeight="1">
      <x:c r="A59" s="1"/>
      <x:c r="B59" s="1"/>
      <x:c r="C59" s="45"/>
      <x:c r="D59" s="45"/>
      <x:c r="E59" s="45"/>
      <x:c r="F59" s="45"/>
      <x:c r="G59" s="45"/>
      <x:c r="H59" s="45"/>
      <x:c r="I59" s="45"/>
      <x:c r="J59" s="45"/>
      <x:c r="K59" s="45"/>
      <x:c r="L59" s="45"/>
      <x:c r="M59" s="45"/>
      <x:c r="N59" s="45"/>
      <x:c r="O59" s="45"/>
    </x:row>
    <x:row r="60" ht="26" customHeight="1">
      <x:c r="A60" s="1"/>
      <x:c r="B60" s="1"/>
      <x:c r="C60" s="45"/>
      <x:c r="D60" s="45"/>
      <x:c r="E60" s="45"/>
      <x:c r="F60" s="45"/>
      <x:c r="G60" s="45"/>
      <x:c r="H60" s="45"/>
      <x:c r="I60" s="45"/>
      <x:c r="J60" s="45"/>
      <x:c r="K60" s="45"/>
      <x:c r="L60" s="45"/>
      <x:c r="M60" s="45"/>
      <x:c r="N60" s="45"/>
      <x:c r="O60" s="45"/>
    </x:row>
    <x:row r="61" ht="26" customHeight="1">
      <x:c r="A61" s="1"/>
      <x:c r="B61" s="1"/>
      <x:c r="C61" s="45"/>
      <x:c r="D61" s="45"/>
      <x:c r="E61" s="45"/>
      <x:c r="F61" s="45"/>
      <x:c r="G61" s="45"/>
      <x:c r="H61" s="45"/>
      <x:c r="I61" s="45"/>
      <x:c r="J61" s="45"/>
      <x:c r="K61" s="45"/>
      <x:c r="L61" s="45"/>
      <x:c r="M61" s="45"/>
      <x:c r="N61" s="45"/>
      <x:c r="O61" s="45"/>
    </x:row>
    <x:row r="62" ht="26" customHeight="1">
      <x:c r="A62" s="1"/>
      <x:c r="B62" s="1"/>
      <x:c r="C62" s="45"/>
      <x:c r="D62" s="45"/>
      <x:c r="E62" s="45"/>
      <x:c r="F62" s="45"/>
      <x:c r="G62" s="45"/>
      <x:c r="H62" s="45"/>
      <x:c r="I62" s="45"/>
      <x:c r="J62" s="45"/>
      <x:c r="K62" s="45"/>
      <x:c r="L62" s="45"/>
      <x:c r="M62" s="45"/>
      <x:c r="N62" s="45"/>
      <x:c r="O62" s="45"/>
    </x:row>
    <x:row r="63" ht="26" customHeight="1">
      <x:c r="A63" s="1"/>
      <x:c r="B63" s="1"/>
      <x:c r="C63" s="45"/>
      <x:c r="D63" s="45"/>
      <x:c r="E63" s="45"/>
      <x:c r="F63" s="45"/>
      <x:c r="G63" s="45"/>
      <x:c r="H63" s="45"/>
      <x:c r="I63" s="45"/>
      <x:c r="J63" s="45"/>
      <x:c r="K63" s="45"/>
      <x:c r="L63" s="45"/>
      <x:c r="M63" s="45"/>
      <x:c r="N63" s="45"/>
      <x:c r="O63" s="45"/>
    </x:row>
    <x:row r="64" ht="26" customHeight="1">
      <x:c r="A64" s="1"/>
      <x:c r="B64" s="1"/>
      <x:c r="C64" s="45"/>
      <x:c r="D64" s="45"/>
      <x:c r="E64" s="45"/>
      <x:c r="F64" s="45"/>
      <x:c r="G64" s="45"/>
      <x:c r="H64" s="45"/>
      <x:c r="I64" s="45"/>
      <x:c r="J64" s="45"/>
      <x:c r="K64" s="45"/>
      <x:c r="L64" s="45"/>
      <x:c r="M64" s="45"/>
      <x:c r="N64" s="45"/>
      <x:c r="O64" s="45"/>
    </x:row>
    <x:row r="65" ht="26" customHeight="1">
      <x:c r="A65" s="1"/>
      <x:c r="B65" s="1"/>
      <x:c r="C65" s="45"/>
      <x:c r="D65" s="45"/>
      <x:c r="E65" s="45"/>
      <x:c r="F65" s="45"/>
      <x:c r="G65" s="45"/>
      <x:c r="H65" s="45"/>
      <x:c r="I65" s="45"/>
      <x:c r="J65" s="45"/>
      <x:c r="K65" s="45"/>
      <x:c r="L65" s="45"/>
      <x:c r="M65" s="45"/>
      <x:c r="N65" s="45"/>
      <x:c r="O65" s="45"/>
    </x:row>
    <x:row r="66" ht="26" customHeight="1">
      <x:c r="A66" s="1"/>
      <x:c r="B66" s="1"/>
      <x:c r="C66" s="45"/>
      <x:c r="D66" s="45"/>
      <x:c r="E66" s="45"/>
      <x:c r="F66" s="45"/>
      <x:c r="G66" s="45"/>
      <x:c r="H66" s="45"/>
      <x:c r="I66" s="45"/>
      <x:c r="J66" s="45"/>
      <x:c r="K66" s="45"/>
      <x:c r="L66" s="45"/>
      <x:c r="M66" s="45"/>
      <x:c r="N66" s="45"/>
      <x:c r="O66" s="45"/>
    </x:row>
    <x:row r="67" ht="26" customHeight="1">
      <x:c r="A67" s="1"/>
      <x:c r="B67" s="1"/>
      <x:c r="C67" s="45"/>
      <x:c r="D67" s="45"/>
      <x:c r="E67" s="45"/>
      <x:c r="F67" s="45"/>
      <x:c r="G67" s="45"/>
      <x:c r="H67" s="45"/>
      <x:c r="I67" s="45"/>
      <x:c r="J67" s="45"/>
      <x:c r="K67" s="45"/>
      <x:c r="L67" s="45"/>
      <x:c r="M67" s="45"/>
      <x:c r="N67" s="45"/>
      <x:c r="O67" s="45"/>
    </x:row>
    <x:row r="68" ht="26" customHeight="1">
      <x:c r="A68" s="1"/>
      <x:c r="B68" s="1"/>
      <x:c r="C68" s="45"/>
      <x:c r="D68" s="45"/>
      <x:c r="E68" s="45"/>
      <x:c r="F68" s="45"/>
      <x:c r="G68" s="45"/>
      <x:c r="H68" s="45"/>
      <x:c r="I68" s="45"/>
      <x:c r="J68" s="45"/>
      <x:c r="K68" s="45"/>
      <x:c r="L68" s="45"/>
      <x:c r="M68" s="45"/>
      <x:c r="N68" s="45"/>
      <x:c r="O68" s="45"/>
    </x:row>
    <x:row r="69" ht="26" customHeight="1">
      <x:c r="A69" s="1"/>
      <x:c r="B69" s="1"/>
      <x:c r="C69" s="45"/>
      <x:c r="D69" s="45"/>
      <x:c r="E69" s="45"/>
      <x:c r="F69" s="45"/>
      <x:c r="G69" s="45"/>
      <x:c r="H69" s="45"/>
      <x:c r="I69" s="45"/>
      <x:c r="J69" s="45"/>
      <x:c r="K69" s="45"/>
      <x:c r="L69" s="45"/>
      <x:c r="M69" s="45"/>
      <x:c r="N69" s="45"/>
      <x:c r="O69" s="45"/>
    </x:row>
    <x:row r="70" ht="26" customHeight="1">
      <x:c r="A70" s="1"/>
      <x:c r="B70" s="1"/>
      <x:c r="C70" s="45"/>
      <x:c r="D70" s="45"/>
      <x:c r="E70" s="45"/>
      <x:c r="F70" s="45"/>
      <x:c r="G70" s="45"/>
      <x:c r="H70" s="45"/>
      <x:c r="I70" s="45"/>
      <x:c r="J70" s="45"/>
      <x:c r="K70" s="45"/>
      <x:c r="L70" s="45"/>
      <x:c r="M70" s="45"/>
      <x:c r="N70" s="45"/>
      <x:c r="O70" s="45"/>
    </x:row>
  </x:sheetData>
  <x:mergeCells>
    <x:mergeCell ref="C2:H2"/>
    <x:mergeCell ref="C3:M3"/>
    <x:mergeCell ref="C5:F5"/>
    <x:mergeCell ref="G5:J5"/>
    <x:mergeCell ref="K5:O5"/>
    <x:mergeCell ref="C7:F7"/>
    <x:mergeCell ref="C8:F10"/>
    <x:mergeCell ref="C11:F11"/>
    <x:mergeCell ref="G7:J7"/>
    <x:mergeCell ref="G8:J10"/>
    <x:mergeCell ref="G11:J11"/>
    <x:mergeCell ref="K7:O7"/>
    <x:mergeCell ref="K8:O10"/>
    <x:mergeCell ref="K11:O11"/>
    <x:mergeCell ref="C13:F13"/>
    <x:mergeCell ref="C14:F16"/>
    <x:mergeCell ref="C17:F17"/>
    <x:mergeCell ref="G13:J13"/>
    <x:mergeCell ref="G14:J16"/>
    <x:mergeCell ref="G17:J17"/>
    <x:mergeCell ref="K13:O13"/>
    <x:mergeCell ref="K14:O16"/>
    <x:mergeCell ref="K17:O17"/>
    <x:mergeCell ref="K20:O20"/>
    <x:mergeCell ref="K22:N23"/>
    <x:mergeCell ref="O22:O23"/>
    <x:mergeCell ref="K25:N26"/>
    <x:mergeCell ref="O25:O26"/>
    <x:mergeCell ref="K28:N29"/>
    <x:mergeCell ref="O28:O29"/>
    <x:mergeCell ref="K31:N32"/>
    <x:mergeCell ref="O31:O32"/>
    <x:mergeCell ref="C36:F37"/>
    <x:mergeCell ref="G36:J37"/>
    <x:mergeCell ref="K36:O37"/>
    <x:mergeCell ref="C40:F40"/>
    <x:mergeCell ref="G40:J40"/>
    <x:mergeCell ref="K40:O40"/>
    <x:mergeCell ref="C42:F42"/>
    <x:mergeCell ref="G42:O42"/>
    <x:mergeCell ref="C44:F44"/>
    <x:mergeCell ref="G44:J44"/>
    <x:mergeCell ref="K44:O44"/>
    <x:mergeCell ref="C1:D1"/>
    <x:mergeCell ref="E1:F1"/>
    <x:mergeCell ref="G1:H1"/>
    <x:mergeCell ref="I1:J1"/>
    <x:mergeCell ref="K1:L1"/>
    <x:mergeCell ref="M1:N1"/>
  </x:mergeCells>
  <x:conditionalFormatting sqref="G42:O42">
    <x:cfRule type="containsText" dxfId="512" priority="1" operator="containsText" text="Missing"/>
    <x:cfRule type="containsText" dxfId="513" priority="2" operator="containsText" text="Required"/>
    <x:cfRule type="containsText" dxfId="514" priority="3" operator="containsText" text="required"/>
    <x:cfRule type="containsText" dxfId="515" priority="4" operator="containsText" text="Expired"/>
    <x:cfRule type="containsText" dxfId="516" priority="5" operator="containsText" text="Hold"/>
    <x:cfRule type="containsText" dxfId="517" priority="6" operator="containsText" text="Review"/>
    <x:cfRule type="containsText" dxfId="518" priority="7" operator="containsText" text="Incomplete"/>
    <x:cfRule type="containsText" dxfId="519" priority="8" operator="containsText" text="Pending"/>
    <x:cfRule type="containsText" dxfId="520" priority="9" operator="containsText" text="Unsupported"/>
    <x:cfRule type="containsText" dxfId="521" priority="10" operator="containsText" text="Criteria"/>
    <x:cfRule type="containsText" dxfId="522" priority="11" operator="containsText" text="Fail"/>
    <x:cfRule type="containsText" dxfId="523" priority="12" operator="containsText" text="Stop"/>
    <x:cfRule type="containsText" dxfId="524" priority="13" operator="containsText" text="Breach"/>
    <x:cfRule type="containsText" dxfId="525" priority="14" operator="containsText" text="Invalid"/>
    <x:cfRule type="containsText" dxfId="526" priority="15" operator="containsText" text="Duplicate"/>
    <x:cfRule type="containsText" dxfId="527" priority="16" operator="containsText" text="Not aligned"/>
  </x:conditionalFormatting>
  <x:hyperlinks>
    <x:hyperlink ref="K5" location="'Settings'!F6" display="Change scenario or country" tooltip="Open Settings"/>
    <x:hyperlink ref="C36" location="'Customer'!C2" display="Customer workspace" tooltip="Open Customer"/>
    <x:hyperlink ref="G36" location="'Portfolio'!C2" display="Portfolio analytics" tooltip="Open Portfolio"/>
    <x:hyperlink ref="K36" location="'Capital'!C2" display="Capital and liquidity" tooltip="Open Capital"/>
    <x:hyperlink ref="C44" location="'Actions'!C8" display="Evidence and actions" tooltip="Open Actions"/>
    <x:hyperlink ref="G44" location="'Controls'!C8" display="Control review" tooltip="Open Controls"/>
    <x:hyperlink ref="K44" location="'Disclosures'!C2" display="Disclosure pack" tooltip="Open Disclosures"/>
    <x:hyperlink ref="C1" location="'Overview'!C2" display="Home" tooltip="Open Overview"/>
    <x:hyperlink ref="E1" location="'Customer'!C2" display="Customer" tooltip="Open Customer"/>
    <x:hyperlink ref="G1" location="'Capital'!C2" display="Capital" tooltip="Open Capital"/>
    <x:hyperlink ref="I1" location="'Disclosures'!C2" display="Reporting" tooltip="Open Disclosures"/>
    <x:hyperlink ref="K1" location="'Borrowers'!C8" display="Inputs" tooltip="Open Borrowers"/>
    <x:hyperlink ref="M1" location="'Settings'!C5" display="Settings" tooltip="Open Settings"/>
  </x:hyperlinks>
  <x:pageMargins left="0.7" right="0.7" top="0.75" bottom="0.75" header="0.3" footer="0.3"/>
  <x:drawing xmlns:r="http://schemas.openxmlformats.org/officeDocument/2006/relationships" r:id="R90d3c197e47041f7"/>
</x:worksheet>
</file>

<file path=xl/worksheets/sheet2.xml><?xml version="1.0" encoding="utf-8"?>
<x:worksheet xmlns:x="http://schemas.openxmlformats.org/spreadsheetml/2006/main">
  <x:sheetPr>
    <x:tabColor rgb="FF007F86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.4000000953674316" hidden="0" customWidth="1"/>
    <x:col min="2" max="2" width="2.4000000953674316" hidden="0" customWidth="1"/>
    <x:col min="3" max="3" width="31" hidden="0" customWidth="1"/>
    <x:col min="4" max="4" width="8" hidden="0" customWidth="1"/>
    <x:col min="5" max="5" width="8" hidden="0" customWidth="1"/>
    <x:col min="6" max="6" width="28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</x:cols>
  <x:sheetData>
    <x:row r="1" ht="27" customHeight="1">
      <x:c r="A1" s="1"/>
      <x:c r="B1" s="1"/>
      <x:c r="C1" s="50" t="str">
        <x:v>Home</x:v>
      </x:c>
      <x:c r="D1" s="50"/>
      <x:c r="E1" s="63" t="str">
        <x:v>Customer</x:v>
      </x:c>
      <x:c r="F1" s="63"/>
      <x:c r="G1" s="63" t="str">
        <x:v>Capital</x:v>
      </x:c>
      <x:c r="H1" s="63"/>
      <x:c r="I1" s="63" t="str">
        <x:v>Reporting</x:v>
      </x:c>
      <x:c r="J1" s="63"/>
      <x:c r="K1" s="63" t="str">
        <x:v>Inputs</x:v>
      </x:c>
      <x:c r="L1" s="63"/>
      <x:c r="M1" s="63" t="str">
        <x:v>Settings</x:v>
      </x:c>
      <x:c r="N1" s="125"/>
    </x:row>
    <x:row r="2" ht="45" customHeight="1">
      <x:c r="A2" s="1"/>
      <x:c r="B2" s="1"/>
      <x:c r="C2" s="5" t="str">
        <x:v>Model settings</x:v>
      </x:c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111"/>
      <x:c r="O2" s="111"/>
    </x:row>
    <x:row r="3" ht="32" customHeight="1">
      <x:c r="A3" s="1"/>
      <x:c r="B3" s="1"/>
      <x:c r="C3" s="6" t="str">
        <x:v>Blue cells are editable. All seeded data and financial calibrations are illustrative.</x:v>
      </x:c>
      <x:c r="D3" s="6"/>
      <x:c r="E3" s="6"/>
      <x:c r="F3" s="6"/>
      <x:c r="G3" s="6"/>
      <x:c r="H3" s="6"/>
      <x:c r="I3" s="6"/>
      <x:c r="J3" s="6"/>
      <x:c r="K3" s="6"/>
      <x:c r="L3" s="6"/>
      <x:c r="M3" s="6"/>
    </x:row>
    <x:row r="4" ht="26" customHeight="1">
      <x:c r="A4" s="1"/>
      <x:c r="B4" s="1"/>
      <x:c r="C4" s="45"/>
      <x:c r="D4" s="45"/>
      <x:c r="E4" s="45"/>
      <x:c r="F4" s="45"/>
      <x:c r="G4" s="45"/>
      <x:c r="H4" s="45"/>
      <x:c r="I4" s="45"/>
      <x:c r="J4" s="45"/>
      <x:c r="K4" s="45"/>
      <x:c r="L4" s="45"/>
      <x:c r="M4" s="45"/>
      <x:c r="N4" s="112"/>
      <x:c r="O4" s="112"/>
    </x:row>
    <x:row r="5" ht="26" customHeight="1">
      <x:c r="A5" s="1"/>
      <x:c r="B5" s="1"/>
      <x:c r="C5" s="45"/>
      <x:c r="D5" s="45"/>
      <x:c r="E5" s="45"/>
      <x:c r="F5" s="45"/>
      <x:c r="G5" s="45"/>
      <x:c r="H5" s="45"/>
      <x:c r="I5" s="45"/>
      <x:c r="J5" s="45"/>
      <x:c r="K5" s="45"/>
      <x:c r="L5" s="45"/>
      <x:c r="M5" s="45"/>
      <x:c r="N5" s="112"/>
      <x:c r="O5" s="112"/>
    </x:row>
    <x:row r="6" ht="26" customHeight="1">
      <x:c r="A6" s="1"/>
      <x:c r="B6" s="1"/>
      <x:c r="C6" s="45" t="str">
        <x:v>Stress scenario</x:v>
      </x:c>
      <x:c r="D6" s="45"/>
      <x:c r="E6" s="45"/>
      <x:c r="F6" s="8" t="str">
        <x:v>Delayed transition</x:v>
      </x:c>
      <x:c r="G6" s="45"/>
      <x:c r="H6" s="46" t="str">
        <x:v>WORKSPACES</x:v>
      </x:c>
      <x:c r="I6" s="46"/>
      <x:c r="J6" s="46"/>
      <x:c r="K6" s="46"/>
      <x:c r="L6" s="46"/>
      <x:c r="M6" s="46"/>
      <x:c r="N6" s="117"/>
      <x:c r="O6" s="117"/>
    </x:row>
    <x:row r="7" ht="26" customHeight="1">
      <x:c r="A7" s="1"/>
      <x:c r="B7" s="1"/>
      <x:c r="C7" s="45" t="str">
        <x:v>Customer</x:v>
      </x:c>
      <x:c r="D7" s="45"/>
      <x:c r="E7" s="45"/>
      <x:c r="F7" s="8" t="str">
        <x:v>Demo Nile Cement</x:v>
      </x:c>
      <x:c r="G7" s="45"/>
      <x:c r="H7" s="45"/>
      <x:c r="I7" s="45"/>
      <x:c r="J7" s="45"/>
      <x:c r="K7" s="45"/>
      <x:c r="L7" s="45"/>
      <x:c r="M7" s="45"/>
      <x:c r="N7" s="112"/>
      <x:c r="O7" s="112"/>
    </x:row>
    <x:row r="8" ht="26" customHeight="1">
      <x:c r="A8" s="1"/>
      <x:c r="B8" s="1"/>
      <x:c r="C8" s="45" t="str">
        <x:v>Reporting date</x:v>
      </x:c>
      <x:c r="D8" s="45"/>
      <x:c r="E8" s="45"/>
      <x:c r="F8" s="10" t="n">
        <x:v>46387</x:v>
      </x:c>
      <x:c r="G8" s="45"/>
      <x:c r="H8" s="50" t="str">
        <x:v>Borrowers and facilities</x:v>
      </x:c>
      <x:c r="I8" s="50"/>
      <x:c r="J8" s="50"/>
      <x:c r="K8" s="50"/>
      <x:c r="L8" s="50"/>
      <x:c r="M8" s="50"/>
      <x:c r="N8" s="121"/>
      <x:c r="O8" s="121"/>
    </x:row>
    <x:row r="9" ht="26" customHeight="1">
      <x:c r="A9" s="1"/>
      <x:c r="B9" s="1"/>
      <x:c r="C9" s="45" t="str">
        <x:v>Bank country</x:v>
      </x:c>
      <x:c r="D9" s="45"/>
      <x:c r="E9" s="45"/>
      <x:c r="F9" s="8" t="str">
        <x:v>Egypt</x:v>
      </x:c>
      <x:c r="G9" s="45"/>
      <x:c r="H9" s="50"/>
      <x:c r="I9" s="50"/>
      <x:c r="J9" s="50"/>
      <x:c r="K9" s="50"/>
      <x:c r="L9" s="50"/>
      <x:c r="M9" s="50"/>
      <x:c r="N9" s="121"/>
      <x:c r="O9" s="121"/>
    </x:row>
    <x:row r="10" ht="26" customHeight="1">
      <x:c r="A10" s="1"/>
      <x:c r="B10" s="1"/>
      <x:c r="C10" s="45" t="str">
        <x:v>Taxonomy selection</x:v>
      </x:c>
      <x:c r="D10" s="45"/>
      <x:c r="E10" s="45"/>
      <x:c r="F10" s="8" t="str">
        <x:v>Auto</x:v>
      </x:c>
      <x:c r="G10" s="45"/>
      <x:c r="H10" s="45"/>
      <x:c r="I10" s="45"/>
      <x:c r="J10" s="45"/>
      <x:c r="K10" s="45"/>
      <x:c r="L10" s="45"/>
      <x:c r="M10" s="45"/>
      <x:c r="N10" s="112"/>
      <x:c r="O10" s="112"/>
    </x:row>
    <x:row r="11" ht="26" customHeight="1">
      <x:c r="A11" s="1"/>
      <x:c r="B11" s="1"/>
      <x:c r="C11" s="45" t="str">
        <x:v>Effective taxonomy</x:v>
      </x:c>
      <x:c r="D11" s="45"/>
      <x:c r="E11" s="45"/>
      <x:c r="F11" s="45" t="str">
        <x:f>IF(F10="Auto",IF(F9="Jordan","Jordan 2026","Internal criteria"),IF(F10="Jordan 2026","Jordan 2026","Internal criteria"))</x:f>
        <x:v>Internal criteria</x:v>
      </x:c>
      <x:c r="G11" s="45"/>
      <x:c r="H11" s="63" t="str">
        <x:v>Scenarios and credit</x:v>
      </x:c>
      <x:c r="I11" s="63"/>
      <x:c r="J11" s="63"/>
      <x:c r="K11" s="63"/>
      <x:c r="L11" s="63"/>
      <x:c r="M11" s="63"/>
      <x:c r="N11" s="125"/>
      <x:c r="O11" s="125"/>
    </x:row>
    <x:row r="12" ht="26" customHeight="1">
      <x:c r="A12" s="1"/>
      <x:c r="B12" s="1"/>
      <x:c r="C12" s="45" t="str">
        <x:v>Forecast years</x:v>
      </x:c>
      <x:c r="D12" s="45"/>
      <x:c r="E12" s="45"/>
      <x:c r="F12" s="12" t="n">
        <x:v>5</x:v>
      </x:c>
      <x:c r="G12" s="45"/>
      <x:c r="H12" s="63"/>
      <x:c r="I12" s="63"/>
      <x:c r="J12" s="63"/>
      <x:c r="K12" s="63"/>
      <x:c r="L12" s="63"/>
      <x:c r="M12" s="63"/>
      <x:c r="N12" s="125"/>
      <x:c r="O12" s="125"/>
    </x:row>
    <x:row r="13" ht="26" customHeight="1">
      <x:c r="A13" s="1"/>
      <x:c r="B13" s="1"/>
      <x:c r="C13" s="45" t="str">
        <x:v>Calibration status</x:v>
      </x:c>
      <x:c r="D13" s="45"/>
      <x:c r="E13" s="45"/>
      <x:c r="F13" s="8" t="str">
        <x:v>Illustrative</x:v>
      </x:c>
      <x:c r="G13" s="45"/>
      <x:c r="H13" s="45"/>
      <x:c r="I13" s="45"/>
      <x:c r="J13" s="45"/>
      <x:c r="K13" s="45"/>
      <x:c r="L13" s="45"/>
      <x:c r="M13" s="45"/>
      <x:c r="N13" s="112"/>
      <x:c r="O13" s="112"/>
    </x:row>
    <x:row r="14" ht="26" customHeight="1">
      <x:c r="A14" s="1"/>
      <x:c r="B14" s="1"/>
      <x:c r="C14" s="45" t="str">
        <x:v>Validation reference</x:v>
      </x:c>
      <x:c r="D14" s="45"/>
      <x:c r="E14" s="45"/>
      <x:c r="F14" s="8" t="str">
        <x:v>Pending bank validation</x:v>
      </x:c>
      <x:c r="G14" s="45"/>
      <x:c r="H14" s="63" t="str">
        <x:v>E&amp;S and action evidence</x:v>
      </x:c>
      <x:c r="I14" s="63"/>
      <x:c r="J14" s="63"/>
      <x:c r="K14" s="63"/>
      <x:c r="L14" s="63"/>
      <x:c r="M14" s="63"/>
      <x:c r="N14" s="125"/>
      <x:c r="O14" s="125"/>
    </x:row>
    <x:row r="15" ht="26" customHeight="1">
      <x:c r="A15" s="1"/>
      <x:c r="B15" s="1"/>
      <x:c r="C15" s="45" t="str">
        <x:v>Approving officer</x:v>
      </x:c>
      <x:c r="D15" s="45"/>
      <x:c r="E15" s="45"/>
      <x:c r="F15" s="8" t="str">
        <x:v>Unassigned</x:v>
      </x:c>
      <x:c r="G15" s="45"/>
      <x:c r="H15" s="63"/>
      <x:c r="I15" s="63"/>
      <x:c r="J15" s="63"/>
      <x:c r="K15" s="63"/>
      <x:c r="L15" s="63"/>
      <x:c r="M15" s="63"/>
      <x:c r="N15" s="125"/>
      <x:c r="O15" s="125"/>
    </x:row>
    <x:row r="16" ht="26" customHeight="1">
      <x:c r="A16" s="1"/>
      <x:c r="B16" s="1"/>
      <x:c r="C16" s="45"/>
      <x:c r="D16" s="45"/>
      <x:c r="E16" s="45"/>
      <x:c r="F16" s="45"/>
      <x:c r="G16" s="45"/>
      <x:c r="H16" s="45"/>
      <x:c r="I16" s="45"/>
      <x:c r="J16" s="45"/>
      <x:c r="K16" s="45"/>
      <x:c r="L16" s="45"/>
      <x:c r="M16" s="45"/>
      <x:c r="N16" s="112"/>
      <x:c r="O16" s="112"/>
    </x:row>
    <x:row r="17" ht="26" customHeight="1">
      <x:c r="A17" s="1"/>
      <x:c r="B17" s="1"/>
      <x:c r="C17" s="45" t="str">
        <x:v>Selected borrower ID</x:v>
      </x:c>
      <x:c r="D17" s="45"/>
      <x:c r="E17" s="45"/>
      <x:c r="F17" s="47" t="str">
        <x:f>IFERROR(INDEX(Borrowers!C9:C108,MATCH(F7,Borrowers!D9:D108,0)),"Missing borrower")</x:f>
        <x:v>B001</x:v>
      </x:c>
      <x:c r="G17" s="45"/>
      <x:c r="H17" s="63" t="str">
        <x:v>Taxonomy and safeguards</x:v>
      </x:c>
      <x:c r="I17" s="63"/>
      <x:c r="J17" s="63"/>
      <x:c r="K17" s="63"/>
      <x:c r="L17" s="63"/>
      <x:c r="M17" s="63"/>
      <x:c r="N17" s="125"/>
      <x:c r="O17" s="125"/>
    </x:row>
    <x:row r="18" ht="26" customHeight="1">
      <x:c r="A18" s="1"/>
      <x:c r="B18" s="1"/>
      <x:c r="C18" s="45" t="str">
        <x:v>First forecast year</x:v>
      </x:c>
      <x:c r="D18" s="45"/>
      <x:c r="E18" s="45"/>
      <x:c r="F18" s="45" t="n">
        <x:f>YEAR(F8)+1</x:f>
        <x:v>2027</x:v>
      </x:c>
      <x:c r="G18" s="45"/>
      <x:c r="H18" s="63"/>
      <x:c r="I18" s="63"/>
      <x:c r="J18" s="63"/>
      <x:c r="K18" s="63"/>
      <x:c r="L18" s="63"/>
      <x:c r="M18" s="63"/>
      <x:c r="N18" s="125"/>
      <x:c r="O18" s="125"/>
    </x:row>
    <x:row r="19" ht="26" customHeight="1">
      <x:c r="A19" s="1"/>
      <x:c r="B19" s="1"/>
      <x:c r="C19" s="45" t="str">
        <x:v>SICR relative PD threshold</x:v>
      </x:c>
      <x:c r="D19" s="45"/>
      <x:c r="E19" s="45"/>
      <x:c r="F19" s="8" t="n">
        <x:v>2</x:v>
      </x:c>
      <x:c r="G19" s="45"/>
      <x:c r="H19" s="45"/>
      <x:c r="I19" s="45"/>
      <x:c r="J19" s="45"/>
      <x:c r="K19" s="45"/>
      <x:c r="L19" s="45"/>
      <x:c r="M19" s="45"/>
      <x:c r="N19" s="112"/>
      <x:c r="O19" s="112"/>
    </x:row>
    <x:row r="20" ht="26" customHeight="1">
      <x:c r="A20" s="1"/>
      <x:c r="B20" s="1"/>
      <x:c r="C20" s="45" t="str">
        <x:v>SICR absolute PD increase</x:v>
      </x:c>
      <x:c r="D20" s="45"/>
      <x:c r="E20" s="45"/>
      <x:c r="F20" s="11" t="n">
        <x:v>0.01</x:v>
      </x:c>
      <x:c r="G20" s="45"/>
      <x:c r="H20" s="63" t="str">
        <x:v>Inventory and attribution</x:v>
      </x:c>
      <x:c r="I20" s="63"/>
      <x:c r="J20" s="63"/>
      <x:c r="K20" s="63"/>
      <x:c r="L20" s="63"/>
      <x:c r="M20" s="63"/>
      <x:c r="N20" s="125"/>
      <x:c r="O20" s="125"/>
    </x:row>
    <x:row r="21" ht="26" customHeight="1">
      <x:c r="A21" s="1"/>
      <x:c r="B21" s="1"/>
      <x:c r="C21" s="45" t="str">
        <x:v>Effective tax rate</x:v>
      </x:c>
      <x:c r="D21" s="45"/>
      <x:c r="E21" s="45"/>
      <x:c r="F21" s="11" t="n">
        <x:v>0.225</x:v>
      </x:c>
      <x:c r="G21" s="45"/>
      <x:c r="H21" s="63"/>
      <x:c r="I21" s="63"/>
      <x:c r="J21" s="63"/>
      <x:c r="K21" s="63"/>
      <x:c r="L21" s="63"/>
      <x:c r="M21" s="63"/>
      <x:c r="N21" s="125"/>
      <x:c r="O21" s="125"/>
    </x:row>
    <x:row r="22" ht="26" customHeight="1">
      <x:c r="A22" s="1"/>
      <x:c r="B22" s="1"/>
      <x:c r="C22" s="45" t="str">
        <x:v>Dividend payout</x:v>
      </x:c>
      <x:c r="D22" s="45"/>
      <x:c r="E22" s="45"/>
      <x:c r="F22" s="11" t="n">
        <x:v>0.25</x:v>
      </x:c>
      <x:c r="G22" s="45"/>
      <x:c r="H22" s="45"/>
      <x:c r="I22" s="45"/>
      <x:c r="J22" s="45"/>
      <x:c r="K22" s="45"/>
      <x:c r="L22" s="45"/>
      <x:c r="M22" s="45"/>
      <x:c r="N22" s="112"/>
      <x:c r="O22" s="112"/>
    </x:row>
    <x:row r="23" ht="26" customHeight="1">
      <x:c r="A23" s="1"/>
      <x:c r="B23" s="1"/>
      <x:c r="C23" s="45" t="str">
        <x:v>Internal CET1 target</x:v>
      </x:c>
      <x:c r="D23" s="45"/>
      <x:c r="E23" s="45"/>
      <x:c r="F23" s="11" t="n">
        <x:v>0.09</x:v>
      </x:c>
      <x:c r="G23" s="45"/>
      <x:c r="H23" s="63" t="str">
        <x:v>Bank operations and Scope 3</x:v>
      </x:c>
      <x:c r="I23" s="63"/>
      <x:c r="J23" s="63"/>
      <x:c r="K23" s="63"/>
      <x:c r="L23" s="63"/>
      <x:c r="M23" s="63"/>
      <x:c r="N23" s="125"/>
      <x:c r="O23" s="125"/>
    </x:row>
    <x:row r="24" ht="26" customHeight="1">
      <x:c r="A24" s="1"/>
      <x:c r="B24" s="1"/>
      <x:c r="C24" s="45" t="str">
        <x:v>Internal Tier 1 target</x:v>
      </x:c>
      <x:c r="D24" s="45"/>
      <x:c r="E24" s="45"/>
      <x:c r="F24" s="11" t="n">
        <x:v>0.105</x:v>
      </x:c>
      <x:c r="G24" s="45"/>
      <x:c r="H24" s="63"/>
      <x:c r="I24" s="63"/>
      <x:c r="J24" s="63"/>
      <x:c r="K24" s="63"/>
      <x:c r="L24" s="63"/>
      <x:c r="M24" s="63"/>
      <x:c r="N24" s="125"/>
      <x:c r="O24" s="125"/>
    </x:row>
    <x:row r="25" ht="26" customHeight="1">
      <x:c r="A25" s="1"/>
      <x:c r="B25" s="1"/>
      <x:c r="C25" s="45" t="str">
        <x:v>Internal total capital target</x:v>
      </x:c>
      <x:c r="D25" s="45"/>
      <x:c r="E25" s="45"/>
      <x:c r="F25" s="11" t="n">
        <x:v>0.125</x:v>
      </x:c>
      <x:c r="G25" s="45"/>
      <x:c r="H25" s="45"/>
      <x:c r="I25" s="45"/>
      <x:c r="J25" s="45"/>
      <x:c r="K25" s="45"/>
      <x:c r="L25" s="45"/>
      <x:c r="M25" s="45"/>
      <x:c r="N25" s="112"/>
      <x:c r="O25" s="112"/>
    </x:row>
    <x:row r="26" ht="26" customHeight="1">
      <x:c r="A26" s="1"/>
      <x:c r="B26" s="1"/>
      <x:c r="C26" s="45" t="str">
        <x:v>Internal LCR target</x:v>
      </x:c>
      <x:c r="D26" s="45"/>
      <x:c r="E26" s="45"/>
      <x:c r="F26" s="11" t="n">
        <x:v>1</x:v>
      </x:c>
      <x:c r="G26" s="45"/>
      <x:c r="H26" s="63" t="str">
        <x:v>Country requirements</x:v>
      </x:c>
      <x:c r="I26" s="63"/>
      <x:c r="J26" s="63"/>
      <x:c r="K26" s="63"/>
      <x:c r="L26" s="63"/>
      <x:c r="M26" s="63"/>
      <x:c r="N26" s="125"/>
      <x:c r="O26" s="125"/>
    </x:row>
    <x:row r="27" ht="26" customHeight="1">
      <x:c r="A27" s="1"/>
      <x:c r="B27" s="1"/>
      <x:c r="C27" s="45" t="str">
        <x:v>Internal NSFR target</x:v>
      </x:c>
      <x:c r="D27" s="45"/>
      <x:c r="E27" s="45"/>
      <x:c r="F27" s="11" t="n">
        <x:v>1</x:v>
      </x:c>
      <x:c r="G27" s="45"/>
      <x:c r="H27" s="63"/>
      <x:c r="I27" s="63"/>
      <x:c r="J27" s="63"/>
      <x:c r="K27" s="63"/>
      <x:c r="L27" s="63"/>
      <x:c r="M27" s="63"/>
      <x:c r="N27" s="125"/>
      <x:c r="O27" s="125"/>
    </x:row>
    <x:row r="28" ht="26" customHeight="1">
      <x:c r="A28" s="1"/>
      <x:c r="B28" s="1"/>
      <x:c r="C28" s="45" t="str">
        <x:v>Management actions</x:v>
      </x:c>
      <x:c r="D28" s="45"/>
      <x:c r="E28" s="45"/>
      <x:c r="F28" s="8" t="str">
        <x:v>On</x:v>
      </x:c>
      <x:c r="G28" s="45"/>
      <x:c r="H28" s="45"/>
      <x:c r="I28" s="45"/>
      <x:c r="J28" s="45"/>
      <x:c r="K28" s="45"/>
      <x:c r="L28" s="45"/>
      <x:c r="M28" s="45"/>
      <x:c r="N28" s="112"/>
      <x:c r="O28" s="112"/>
    </x:row>
    <x:row r="29" ht="26" customHeight="1">
      <x:c r="A29" s="1"/>
      <x:c r="B29" s="1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</x:row>
    <x:row r="30" ht="30" customHeight="1">
      <x:c r="A30" s="1"/>
      <x:c r="B30" s="1"/>
      <x:c r="C30" s="13" t="str">
        <x:v>Accounting ECL scenarios</x:v>
      </x:c>
      <x:c r="D30" s="13"/>
      <x:c r="E30" s="13"/>
      <x:c r="F30" s="13"/>
      <x:c r="G30" s="13"/>
      <x:c r="H30" s="13"/>
      <x:c r="I30" s="13"/>
      <x:c r="J30" s="13"/>
      <x:c r="K30" s="3"/>
      <x:c r="L30" s="3"/>
      <x:c r="M30" s="3"/>
    </x:row>
    <x:row r="31" ht="48" customHeight="1">
      <x:c r="A31" s="1"/>
      <x:c r="B31" s="1"/>
      <x:c r="C31" s="15" t="str">
        <x:v>Scenario</x:v>
      </x:c>
      <x:c r="D31" s="15" t="str"/>
      <x:c r="E31" s="15" t="str"/>
      <x:c r="F31" s="15" t="str">
        <x:v>Probability</x:v>
      </x:c>
      <x:c r="G31" s="15" t="str">
        <x:v>PD multiple</x:v>
      </x:c>
      <x:c r="H31" s="15" t="str">
        <x:v>LGD multiple</x:v>
      </x:c>
      <x:c r="I31" s="3"/>
      <x:c r="J31" s="3"/>
      <x:c r="K31" s="3"/>
      <x:c r="L31" s="3"/>
      <x:c r="M31" s="3"/>
    </x:row>
    <x:row r="32" ht="26" customHeight="1">
      <x:c r="A32" s="1"/>
      <x:c r="B32" s="1"/>
      <x:c r="C32" s="3" t="str">
        <x:v>Central</x:v>
      </x:c>
      <x:c r="D32" s="3"/>
      <x:c r="E32" s="3"/>
      <x:c r="F32" s="11" t="n">
        <x:v>0.6</x:v>
      </x:c>
      <x:c r="G32" s="16" t="n">
        <x:v>1</x:v>
      </x:c>
      <x:c r="H32" s="16" t="n">
        <x:v>1</x:v>
      </x:c>
      <x:c r="I32" s="3"/>
      <x:c r="J32" s="3"/>
      <x:c r="K32" s="3"/>
      <x:c r="L32" s="3"/>
      <x:c r="M32" s="3"/>
    </x:row>
    <x:row r="33" ht="26" customHeight="1">
      <x:c r="A33" s="1"/>
      <x:c r="B33" s="1"/>
      <x:c r="C33" s="3" t="str">
        <x:v>Downside</x:v>
      </x:c>
      <x:c r="D33" s="3"/>
      <x:c r="E33" s="3"/>
      <x:c r="F33" s="11" t="n">
        <x:v>0.3</x:v>
      </x:c>
      <x:c r="G33" s="16" t="n">
        <x:v>1.8</x:v>
      </x:c>
      <x:c r="H33" s="16" t="n">
        <x:v>1.15</x:v>
      </x:c>
      <x:c r="I33" s="3"/>
      <x:c r="J33" s="3"/>
      <x:c r="K33" s="3"/>
      <x:c r="L33" s="3"/>
      <x:c r="M33" s="3"/>
    </x:row>
    <x:row r="34" ht="26" customHeight="1">
      <x:c r="A34" s="1"/>
      <x:c r="B34" s="1"/>
      <x:c r="C34" s="3" t="str">
        <x:v>Upside</x:v>
      </x:c>
      <x:c r="D34" s="3"/>
      <x:c r="E34" s="3"/>
      <x:c r="F34" s="11" t="n">
        <x:v>0.1</x:v>
      </x:c>
      <x:c r="G34" s="16" t="n">
        <x:v>0.75</x:v>
      </x:c>
      <x:c r="H34" s="16" t="n">
        <x:v>0.95</x:v>
      </x:c>
      <x:c r="I34" s="3"/>
      <x:c r="J34" s="3"/>
      <x:c r="K34" s="3"/>
      <x:c r="L34" s="3"/>
      <x:c r="M34" s="3"/>
    </x:row>
    <x:row r="35" ht="26" customHeight="1">
      <x:c r="A35" s="1"/>
      <x:c r="B35" s="1"/>
      <x:c r="C35" s="3" t="str">
        <x:v>Probability total</x:v>
      </x:c>
      <x:c r="D35" s="3"/>
      <x:c r="E35" s="3"/>
      <x:c r="F35" s="17" t="n">
        <x:f>SUM(F32:F34)</x:f>
        <x:v>0.9999999999999999</x:v>
      </x:c>
      <x:c r="G35" s="3"/>
      <x:c r="H35" s="3"/>
      <x:c r="I35" s="3"/>
      <x:c r="J35" s="3"/>
      <x:c r="K35" s="3"/>
      <x:c r="L35" s="3"/>
      <x:c r="M35" s="3"/>
    </x:row>
    <x:row r="36" ht="26" customHeight="1">
      <x:c r="A36" s="1"/>
      <x:c r="B36" s="1"/>
      <x:c r="C36" s="3" t="str">
        <x:v>Accounting input status</x:v>
      </x:c>
      <x:c r="D36" s="3"/>
      <x:c r="E36" s="3"/>
      <x:c r="F36" s="3" t="str">
        <x:f>IF(OR(COUNT(F32:H34)&lt;&gt;9,MIN(F32:H34)&lt;0,ABS(F35-1)&gt;0.000001),"Review ECL assumptions","Ready")</x:f>
        <x:v>Ready</x:v>
      </x:c>
      <x:c r="G36" s="3"/>
      <x:c r="H36" s="3"/>
      <x:c r="I36" s="3"/>
      <x:c r="J36" s="3"/>
      <x:c r="K36" s="3"/>
      <x:c r="L36" s="3"/>
      <x:c r="M36" s="3"/>
    </x:row>
    <x:row r="37" ht="26" customHeight="1">
      <x:c r="A37" s="1"/>
      <x:c r="B37" s="1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</x:row>
    <x:row r="38" ht="26" customHeight="1">
      <x:c r="A38" s="1"/>
      <x:c r="B38" s="1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</x:row>
    <x:row r="39" ht="30" customHeight="1">
      <x:c r="A39" s="1"/>
      <x:c r="B39" s="1"/>
      <x:c r="C39" s="13" t="str">
        <x:v>Currency conversion</x:v>
      </x:c>
      <x:c r="D39" s="13"/>
      <x:c r="E39" s="13"/>
      <x:c r="F39" s="13"/>
      <x:c r="G39" s="13"/>
      <x:c r="H39" s="13"/>
      <x:c r="I39" s="13"/>
      <x:c r="J39" s="13"/>
      <x:c r="K39" s="3"/>
      <x:c r="L39" s="3"/>
      <x:c r="M39" s="3"/>
    </x:row>
    <x:row r="40" ht="46" customHeight="1">
      <x:c r="A40" s="1"/>
      <x:c r="B40" s="1"/>
      <x:c r="C40" s="15" t="str">
        <x:v>Currency</x:v>
      </x:c>
      <x:c r="D40" s="15" t="str">
        <x:v>USD per unit</x:v>
      </x:c>
      <x:c r="E40" s="15" t="str">
        <x:v>Status</x:v>
      </x:c>
      <x:c r="F40" s="15" t="str">
        <x:v>Rate date</x:v>
      </x:c>
      <x:c r="G40" s="3"/>
      <x:c r="H40" s="3"/>
      <x:c r="I40" s="3"/>
      <x:c r="J40" s="3"/>
      <x:c r="K40" s="3"/>
      <x:c r="L40" s="3"/>
      <x:c r="M40" s="3"/>
    </x:row>
    <x:row r="41" ht="26" customHeight="1">
      <x:c r="A41" s="1"/>
      <x:c r="B41" s="1"/>
      <x:c r="C41" s="3" t="str">
        <x:v>USD</x:v>
      </x:c>
      <x:c r="D41" s="18" t="n">
        <x:v>1</x:v>
      </x:c>
      <x:c r="E41" s="8" t="str">
        <x:v>Synthetic</x:v>
      </x:c>
      <x:c r="F41" s="19" t="n">
        <x:v>46387</x:v>
      </x:c>
      <x:c r="G41" s="3"/>
      <x:c r="H41" s="3"/>
      <x:c r="I41" s="3"/>
      <x:c r="J41" s="3"/>
      <x:c r="K41" s="3"/>
      <x:c r="L41" s="3"/>
      <x:c r="M41" s="3"/>
    </x:row>
    <x:row r="42" ht="26" customHeight="1">
      <x:c r="A42" s="1"/>
      <x:c r="B42" s="1"/>
      <x:c r="C42" s="3" t="str">
        <x:v>EGP</x:v>
      </x:c>
      <x:c r="D42" s="18" t="n">
        <x:v>0.02</x:v>
      </x:c>
      <x:c r="E42" s="8" t="str">
        <x:v>Synthetic</x:v>
      </x:c>
      <x:c r="F42" s="19" t="n">
        <x:v>46387</x:v>
      </x:c>
      <x:c r="G42" s="3"/>
      <x:c r="H42" s="3"/>
      <x:c r="I42" s="3"/>
      <x:c r="J42" s="3"/>
      <x:c r="K42" s="3"/>
      <x:c r="L42" s="3"/>
      <x:c r="M42" s="3"/>
    </x:row>
    <x:row r="43" ht="26" customHeight="1">
      <x:c r="A43" s="1"/>
      <x:c r="B43" s="1"/>
      <x:c r="C43" s="3" t="str">
        <x:v>JOD</x:v>
      </x:c>
      <x:c r="D43" s="18" t="n">
        <x:v>1.4104</x:v>
      </x:c>
      <x:c r="E43" s="8" t="str">
        <x:v>Synthetic</x:v>
      </x:c>
      <x:c r="F43" s="19" t="n">
        <x:v>46387</x:v>
      </x:c>
      <x:c r="G43" s="3"/>
      <x:c r="H43" s="3"/>
      <x:c r="I43" s="3"/>
      <x:c r="J43" s="3"/>
      <x:c r="K43" s="3"/>
      <x:c r="L43" s="3"/>
      <x:c r="M43" s="3"/>
    </x:row>
    <x:row r="44" ht="26" customHeight="1">
      <x:c r="A44" s="1"/>
      <x:c r="B44" s="1"/>
      <x:c r="C44" s="3" t="str">
        <x:v>AED</x:v>
      </x:c>
      <x:c r="D44" s="18" t="n">
        <x:v>0.2723</x:v>
      </x:c>
      <x:c r="E44" s="8" t="str">
        <x:v>Synthetic</x:v>
      </x:c>
      <x:c r="F44" s="19" t="n">
        <x:v>46387</x:v>
      </x:c>
      <x:c r="G44" s="3"/>
      <x:c r="H44" s="3"/>
      <x:c r="I44" s="3"/>
      <x:c r="J44" s="3"/>
      <x:c r="K44" s="3"/>
      <x:c r="L44" s="3"/>
      <x:c r="M44" s="3"/>
    </x:row>
    <x:row r="45" ht="26" customHeight="1">
      <x:c r="A45" s="1"/>
      <x:c r="B45" s="1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</x:row>
    <x:row r="46" ht="26" customHeight="1">
      <x:c r="A46" s="1"/>
      <x:c r="B46" s="1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</x:row>
    <x:row r="47" ht="30" customHeight="1">
      <x:c r="A47" s="1"/>
      <x:c r="B47" s="1"/>
      <x:c r="C47" s="13" t="str">
        <x:v>Country profile</x:v>
      </x:c>
      <x:c r="D47" s="13"/>
      <x:c r="E47" s="13"/>
      <x:c r="F47" s="13"/>
      <x:c r="G47" s="13"/>
      <x:c r="H47" s="13"/>
      <x:c r="I47" s="13"/>
      <x:c r="J47" s="13"/>
      <x:c r="K47" s="13"/>
      <x:c r="L47" s="13"/>
      <x:c r="M47" s="13"/>
    </x:row>
    <x:row r="48" ht="26" customHeight="1">
      <x:c r="A48" s="1"/>
      <x:c r="B48" s="1"/>
      <x:c r="C48" s="3" t="str">
        <x:v>Profile</x:v>
      </x:c>
      <x:c r="D48" s="3"/>
      <x:c r="E48" s="3"/>
      <x:c r="F48" s="3" t="str">
        <x:f>F9</x:f>
        <x:v>Egypt</x:v>
      </x:c>
      <x:c r="G48" s="3"/>
      <x:c r="H48" s="3"/>
      <x:c r="I48" s="3"/>
      <x:c r="J48" s="3"/>
      <x:c r="K48" s="3"/>
      <x:c r="L48" s="3"/>
      <x:c r="M48" s="3"/>
    </x:row>
    <x:row r="49" ht="26" customHeight="1">
      <x:c r="A49" s="1"/>
      <x:c r="B49" s="1"/>
      <x:c r="C49" s="3" t="str">
        <x:v>Reporting currency</x:v>
      </x:c>
      <x:c r="D49" s="3"/>
      <x:c r="E49" s="3"/>
      <x:c r="F49" s="3" t="str">
        <x:f>IF(F9="Egypt","EGP",IF(F9="Jordan","JOD",IF(F9="UAE","AED","USD")))</x:f>
        <x:v>EGP</x:v>
      </x:c>
      <x:c r="G49" s="3"/>
      <x:c r="H49" s="3"/>
      <x:c r="I49" s="3"/>
      <x:c r="J49" s="3"/>
      <x:c r="K49" s="3"/>
      <x:c r="L49" s="3"/>
      <x:c r="M49" s="3"/>
    </x:row>
    <x:row r="50" ht="26" customHeight="1">
      <x:c r="A50" s="1"/>
      <x:c r="B50" s="1"/>
      <x:c r="C50" s="3" t="str">
        <x:v>Local units per USD</x:v>
      </x:c>
      <x:c r="D50" s="3"/>
      <x:c r="E50" s="3"/>
      <x:c r="F50" s="3" t="n">
        <x:f>1/INDEX(D41:D44,MATCH(F49,C41:C44,0))</x:f>
        <x:v>50</x:v>
      </x:c>
      <x:c r="G50" s="3"/>
      <x:c r="H50" s="3"/>
      <x:c r="I50" s="3"/>
      <x:c r="J50" s="3"/>
      <x:c r="K50" s="3"/>
      <x:c r="L50" s="3"/>
      <x:c r="M50" s="3"/>
    </x:row>
    <x:row r="51" ht="26" customHeight="1">
      <x:c r="A51" s="1"/>
      <x:c r="B51" s="1"/>
      <x:c r="C51" s="3" t="str">
        <x:v>Local reporting amount unit</x:v>
      </x:c>
      <x:c r="D51" s="3"/>
      <x:c r="E51" s="3"/>
      <x:c r="F51" s="3" t="str">
        <x:v>Thousands</x:v>
      </x:c>
      <x:c r="G51" s="3"/>
      <x:c r="H51" s="3"/>
      <x:c r="I51" s="3"/>
      <x:c r="J51" s="3"/>
      <x:c r="K51" s="3"/>
      <x:c r="L51" s="3"/>
      <x:c r="M51" s="3"/>
    </x:row>
    <x:row r="52" ht="26" customHeight="1">
      <x:c r="A52" s="1"/>
      <x:c r="B52" s="1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</x:row>
    <x:row r="53" ht="26" customHeight="1">
      <x:c r="A53" s="1"/>
      <x:c r="B53" s="1"/>
      <x:c r="C53" s="3" t="str">
        <x:v>Capital and liquidity thresholds</x:v>
      </x:c>
      <x:c r="D53" s="3"/>
      <x:c r="E53" s="3"/>
      <x:c r="F53" s="3" t="str">
        <x:v>Internal targets above require bank approval. Country choice does not invent supervisory ratios.</x:v>
      </x:c>
      <x:c r="G53" s="3"/>
      <x:c r="H53" s="3"/>
      <x:c r="I53" s="3"/>
      <x:c r="J53" s="3"/>
      <x:c r="K53" s="3"/>
      <x:c r="L53" s="3"/>
      <x:c r="M53" s="3"/>
    </x:row>
    <x:row r="54" ht="26" customHeight="1">
      <x:c r="A54" s="1"/>
      <x:c r="B54" s="1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</x:row>
    <x:row r="55" ht="26" customHeight="1">
      <x:c r="A55" s="1"/>
      <x:c r="B55" s="1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</x:row>
    <x:row r="56" ht="26" customHeight="1">
      <x:c r="A56" s="1"/>
      <x:c r="B56" s="1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</x:row>
    <x:row r="57" ht="26" customHeight="1">
      <x:c r="A57" s="1"/>
      <x:c r="B57" s="1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</x:row>
    <x:row r="58" ht="26" customHeight="1">
      <x:c r="A58" s="1"/>
      <x:c r="B58" s="1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</x:row>
    <x:row r="59" ht="26" customHeight="1">
      <x:c r="A59" s="1"/>
      <x:c r="B59" s="1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</x:row>
    <x:row r="60" ht="26" customHeight="1">
      <x:c r="A60" s="1"/>
      <x:c r="B60" s="1"/>
      <x:c r="C60" s="3"/>
      <x:c r="D60" s="3"/>
      <x:c r="E60" s="3"/>
      <x:c r="F60" s="3"/>
      <x:c r="G60" s="3"/>
      <x:c r="H60" s="3"/>
      <x:c r="I60" s="3"/>
      <x:c r="J60" s="3"/>
      <x:c r="K60" s="3"/>
      <x:c r="L60" s="3"/>
      <x:c r="M60" s="3"/>
    </x:row>
    <x:row r="61" ht="26" customHeight="1">
      <x:c r="A61" s="1"/>
      <x:c r="B61" s="1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</x:row>
    <x:row r="62" ht="26" customHeight="1">
      <x:c r="A62" s="1"/>
      <x:c r="B62" s="1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</x:row>
    <x:row r="63" ht="26" customHeight="1">
      <x:c r="A63" s="1"/>
      <x:c r="B63" s="1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</x:row>
    <x:row r="64" ht="26" customHeight="1">
      <x:c r="A64" s="1"/>
      <x:c r="B64" s="1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</x:row>
    <x:row r="65" ht="26" customHeight="1">
      <x:c r="A65" s="1"/>
      <x:c r="B65" s="1"/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</x:row>
    <x:row r="66" ht="26" customHeight="1">
      <x:c r="A66" s="1"/>
      <x:c r="B66" s="1"/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</x:row>
    <x:row r="67" ht="26" customHeight="1">
      <x:c r="A67" s="1"/>
      <x:c r="B67" s="1"/>
      <x:c r="C67" s="3"/>
      <x:c r="D67" s="3"/>
      <x:c r="E67" s="3"/>
      <x:c r="F67" s="3"/>
      <x:c r="G67" s="3"/>
      <x:c r="H67" s="3"/>
      <x:c r="I67" s="3"/>
      <x:c r="J67" s="3"/>
      <x:c r="K67" s="3"/>
      <x:c r="L67" s="3"/>
      <x:c r="M67" s="3"/>
    </x:row>
    <x:row r="68" ht="26" customHeight="1">
      <x:c r="A68" s="1"/>
      <x:c r="B68" s="1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</x:row>
    <x:row r="69" ht="26" customHeight="1">
      <x:c r="A69" s="1"/>
      <x:c r="B69" s="1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</x:row>
    <x:row r="70" ht="26" customHeight="1">
      <x:c r="A70" s="1"/>
      <x:c r="B70" s="1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</x:row>
    <x:row r="71" ht="26" customHeight="1">
      <x:c r="A71" s="1"/>
      <x:c r="B71" s="1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</x:row>
    <x:row r="72" ht="26" customHeight="1">
      <x:c r="A72" s="1"/>
      <x:c r="B72" s="1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</x:row>
    <x:row r="73" ht="26" customHeight="1">
      <x:c r="A73" s="1"/>
      <x:c r="B73" s="1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</x:row>
    <x:row r="74" ht="26" customHeight="1">
      <x:c r="A74" s="1"/>
      <x:c r="B74" s="1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</x:row>
    <x:row r="75" ht="26" customHeight="1">
      <x:c r="A75" s="1"/>
      <x:c r="B75" s="1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</x:row>
    <x:row r="76" ht="26" customHeight="1">
      <x:c r="A76" s="1"/>
      <x:c r="B76" s="1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</x:row>
    <x:row r="77" ht="26" customHeight="1">
      <x:c r="A77" s="1"/>
      <x:c r="B77" s="1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</x:row>
    <x:row r="78" ht="26" customHeight="1">
      <x:c r="A78" s="1"/>
      <x:c r="B78" s="1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</x:row>
    <x:row r="79" ht="26" customHeight="1">
      <x:c r="A79" s="1"/>
      <x:c r="B79" s="1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</x:row>
    <x:row r="80" ht="26" customHeight="1">
      <x:c r="A80" s="1"/>
      <x:c r="B80" s="1"/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</x:row>
    <x:row r="81" ht="26" customHeight="1">
      <x:c r="A81" s="1"/>
      <x:c r="B81" s="1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</x:row>
    <x:row r="82" ht="26" customHeight="1">
      <x:c r="A82" s="1"/>
      <x:c r="B82" s="1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</x:row>
    <x:row r="83" ht="26" customHeight="1">
      <x:c r="A83" s="1"/>
      <x:c r="B83" s="1"/>
      <x:c r="C83" s="3"/>
      <x:c r="D83" s="3"/>
      <x:c r="E83" s="3"/>
      <x:c r="F83" s="3"/>
      <x:c r="G83" s="3"/>
      <x:c r="H83" s="3"/>
      <x:c r="I83" s="3"/>
      <x:c r="J83" s="3"/>
      <x:c r="K83" s="3"/>
      <x:c r="L83" s="3"/>
      <x:c r="M83" s="3"/>
    </x:row>
    <x:row r="84" ht="26" customHeight="1">
      <x:c r="A84" s="1"/>
      <x:c r="B84" s="1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</x:row>
    <x:row r="85" ht="26" customHeight="1">
      <x:c r="A85" s="1"/>
      <x:c r="B85" s="1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</x:row>
    <x:row r="86" ht="26" customHeight="1">
      <x:c r="A86" s="1"/>
      <x:c r="B86" s="1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</x:row>
    <x:row r="87" ht="26" customHeight="1">
      <x:c r="A87" s="1"/>
      <x:c r="B87" s="1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</x:row>
    <x:row r="88" ht="26" customHeight="1">
      <x:c r="A88" s="1"/>
      <x:c r="B88" s="1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</x:row>
    <x:row r="89" ht="26" customHeight="1">
      <x:c r="A89" s="1"/>
      <x:c r="B89" s="1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</x:row>
    <x:row r="90" ht="26" customHeight="1">
      <x:c r="A90" s="1"/>
      <x:c r="B90" s="1"/>
      <x:c r="C90" s="3"/>
      <x:c r="D90" s="3"/>
      <x:c r="E90" s="3"/>
      <x:c r="F90" s="3"/>
      <x:c r="G90" s="3"/>
      <x:c r="H90" s="3"/>
      <x:c r="I90" s="3"/>
      <x:c r="J90" s="3"/>
      <x:c r="K90" s="3"/>
      <x:c r="L90" s="3"/>
      <x:c r="M90" s="3"/>
    </x:row>
    <x:row r="91" ht="26" customHeight="1">
      <x:c r="A91" s="1"/>
      <x:c r="B91" s="1"/>
      <x:c r="C91" s="3"/>
      <x:c r="D91" s="3"/>
      <x:c r="E91" s="3"/>
      <x:c r="F91" s="3"/>
      <x:c r="G91" s="3"/>
      <x:c r="H91" s="3"/>
      <x:c r="I91" s="3"/>
      <x:c r="J91" s="3"/>
      <x:c r="K91" s="3"/>
      <x:c r="L91" s="3"/>
      <x:c r="M91" s="3"/>
    </x:row>
    <x:row r="92" ht="26" customHeight="1">
      <x:c r="A92" s="1"/>
      <x:c r="B92" s="1"/>
      <x:c r="C92" s="3"/>
      <x:c r="D92" s="3"/>
      <x:c r="E92" s="3"/>
      <x:c r="F92" s="3"/>
      <x:c r="G92" s="3"/>
      <x:c r="H92" s="3"/>
      <x:c r="I92" s="3"/>
      <x:c r="J92" s="3"/>
      <x:c r="K92" s="3"/>
      <x:c r="L92" s="3"/>
      <x:c r="M92" s="3"/>
    </x:row>
    <x:row r="93" ht="26" customHeight="1">
      <x:c r="A93" s="1"/>
      <x:c r="B93" s="1"/>
      <x:c r="C93" s="3"/>
      <x:c r="D93" s="3"/>
      <x:c r="E93" s="3"/>
      <x:c r="F93" s="3"/>
      <x:c r="G93" s="3"/>
      <x:c r="H93" s="3"/>
      <x:c r="I93" s="3"/>
      <x:c r="J93" s="3"/>
      <x:c r="K93" s="3"/>
      <x:c r="L93" s="3"/>
      <x:c r="M93" s="3"/>
    </x:row>
    <x:row r="94" ht="26" customHeight="1">
      <x:c r="A94" s="1"/>
      <x:c r="B94" s="1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</x:row>
    <x:row r="95" ht="26" customHeight="1">
      <x:c r="A95" s="1"/>
      <x:c r="B95" s="1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</x:row>
    <x:row r="96" ht="26" customHeight="1">
      <x:c r="A96" s="1"/>
      <x:c r="B96" s="1"/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</x:row>
    <x:row r="97" ht="26" customHeight="1">
      <x:c r="A97" s="1"/>
      <x:c r="B97" s="1"/>
      <x:c r="C97" s="3"/>
      <x:c r="D97" s="3"/>
      <x:c r="E97" s="3"/>
      <x:c r="F97" s="3"/>
      <x:c r="G97" s="3"/>
      <x:c r="H97" s="3"/>
      <x:c r="I97" s="3"/>
      <x:c r="J97" s="3"/>
      <x:c r="K97" s="3"/>
      <x:c r="L97" s="3"/>
      <x:c r="M97" s="3"/>
    </x:row>
    <x:row r="98" ht="26" customHeight="1">
      <x:c r="A98" s="1"/>
      <x:c r="B98" s="1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</x:row>
    <x:row r="99" ht="26" customHeight="1">
      <x:c r="A99" s="1"/>
      <x:c r="B99" s="1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</x:row>
    <x:row r="100" ht="26" customHeight="1">
      <x:c r="A100" s="1"/>
      <x:c r="B100" s="1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</x:row>
  </x:sheetData>
  <x:mergeCells>
    <x:mergeCell ref="C30:J30"/>
    <x:mergeCell ref="C39:J39"/>
    <x:mergeCell ref="C47:M47"/>
    <x:mergeCell ref="F53:M54"/>
    <x:mergeCell ref="C2:O2"/>
    <x:mergeCell ref="C3:O3"/>
    <x:mergeCell ref="H6:O6"/>
    <x:mergeCell ref="H8:O9"/>
    <x:mergeCell ref="H11:O12"/>
    <x:mergeCell ref="H14:O15"/>
    <x:mergeCell ref="H17:O18"/>
    <x:mergeCell ref="H20:O21"/>
    <x:mergeCell ref="H23:O24"/>
    <x:mergeCell ref="H26:O27"/>
    <x:mergeCell ref="C31:E31"/>
    <x:mergeCell ref="C32:E32"/>
    <x:mergeCell ref="C33:E33"/>
    <x:mergeCell ref="C34:E34"/>
    <x:mergeCell ref="C1:D1"/>
    <x:mergeCell ref="E1:F1"/>
    <x:mergeCell ref="G1:H1"/>
    <x:mergeCell ref="I1:J1"/>
    <x:mergeCell ref="K1:L1"/>
    <x:mergeCell ref="M1:N1"/>
  </x:mergeCells>
  <x:conditionalFormatting sqref="F36:F36">
    <x:cfRule type="containsText" dxfId="0" priority="1" operator="containsText" text="Missing"/>
    <x:cfRule type="containsText" dxfId="1" priority="2" operator="containsText" text="Required"/>
    <x:cfRule type="containsText" dxfId="2" priority="3" operator="containsText" text="required"/>
    <x:cfRule type="containsText" dxfId="3" priority="4" operator="containsText" text="Expired"/>
    <x:cfRule type="containsText" dxfId="4" priority="5" operator="containsText" text="Hold"/>
    <x:cfRule type="containsText" dxfId="5" priority="6" operator="containsText" text="Review"/>
    <x:cfRule type="containsText" dxfId="6" priority="7" operator="containsText" text="Incomplete"/>
    <x:cfRule type="containsText" dxfId="7" priority="8" operator="containsText" text="Pending"/>
    <x:cfRule type="containsText" dxfId="8" priority="9" operator="containsText" text="Unsupported"/>
    <x:cfRule type="containsText" dxfId="9" priority="10" operator="containsText" text="Criteria"/>
    <x:cfRule type="containsText" dxfId="10" priority="11" operator="containsText" text="Fail"/>
    <x:cfRule type="containsText" dxfId="11" priority="12" operator="containsText" text="Stop"/>
    <x:cfRule type="containsText" dxfId="12" priority="13" operator="containsText" text="Breach"/>
    <x:cfRule type="containsText" dxfId="13" priority="14" operator="containsText" text="Invalid"/>
    <x:cfRule type="containsText" dxfId="14" priority="15" operator="containsText" text="Duplicate"/>
    <x:cfRule type="containsText" dxfId="15" priority="16" operator="containsText" text="Not aligned"/>
  </x:conditionalFormatting>
  <x:dataValidations count="7">
    <x:dataValidation type="list" sqref="F6">
      <x:formula1>"Baseline,Orderly transition,Delayed transition,Physical shock"</x:formula1>
    </x:dataValidation>
    <x:dataValidation type="list" sqref="F7">
      <x:formula1>'Borrowers'!$D$9:$D$108</x:formula1>
    </x:dataValidation>
    <x:dataValidation type="list" sqref="F9">
      <x:formula1>"Egypt,Jordan,UAE,Global"</x:formula1>
    </x:dataValidation>
    <x:dataValidation type="list" sqref="F10">
      <x:formula1>"Auto,Internal,Jordan 2026"</x:formula1>
    </x:dataValidation>
    <x:dataValidation type="list" sqref="F13">
      <x:formula1>"Illustrative,Validated"</x:formula1>
    </x:dataValidation>
    <x:dataValidation type="list" sqref="F28">
      <x:formula1>"On,Off"</x:formula1>
    </x:dataValidation>
    <x:dataValidation type="list" sqref="F12">
      <x:formula1>"5"</x:formula1>
    </x:dataValidation>
  </x:dataValidations>
  <x:hyperlinks>
    <x:hyperlink ref="H8" location="'Borrowers'!C8" display="Borrowers and facilities" tooltip="Open Borrowers"/>
    <x:hyperlink ref="H11" location="'Scenario Paths'!C8" display="Scenarios and credit" tooltip="Open Scenario Paths"/>
    <x:hyperlink ref="H14" location="'ESG'!C8" display="E&amp;S and action evidence" tooltip="Open ESG"/>
    <x:hyperlink ref="H17" location="'Taxonomy'!C8" display="Taxonomy and safeguards" tooltip="Open Taxonomy"/>
    <x:hyperlink ref="H20" location="'Inventory'!C8" display="Inventory and attribution" tooltip="Open Inventory"/>
    <x:hyperlink ref="H23" location="'Operations'!C8" display="Bank operations and Scope 3" tooltip="Open Operations"/>
    <x:hyperlink ref="H26" location="'Requirements'!C8" display="Country requirements" tooltip="Open Requirements"/>
    <x:hyperlink ref="C1" location="'Overview'!C2" display="Home" tooltip="Open Overview"/>
    <x:hyperlink ref="E1" location="'Customer'!C2" display="Customer" tooltip="Open Customer"/>
    <x:hyperlink ref="G1" location="'Capital'!C2" display="Capital" tooltip="Open Capital"/>
    <x:hyperlink ref="I1" location="'Disclosures'!C2" display="Reporting" tooltip="Open Disclosures"/>
    <x:hyperlink ref="K1" location="'Borrowers'!C8" display="Inputs" tooltip="Open Borrowers"/>
    <x:hyperlink ref="M1" location="'Settings'!C5" display="Settings" tooltip="Open Settings"/>
  </x:hyperlink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02D42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.4000000953674316" hidden="0" customWidth="1"/>
    <x:col min="2" max="2" width="2.4000000953674316" hidden="0" customWidth="1"/>
    <x:col min="3" max="3" width="10.5" hidden="0" customWidth="1"/>
    <x:col min="4" max="4" width="10.5" hidden="0" customWidth="1"/>
    <x:col min="5" max="5" width="10.5" hidden="0" customWidth="1"/>
    <x:col min="6" max="6" width="10.5" hidden="0" customWidth="1"/>
    <x:col min="7" max="7" width="10.5" hidden="0" customWidth="1"/>
    <x:col min="8" max="8" width="10.5" hidden="0" customWidth="1"/>
    <x:col min="9" max="9" width="10.5" hidden="0" customWidth="1"/>
    <x:col min="10" max="10" width="10.5" hidden="0" customWidth="1"/>
    <x:col min="11" max="11" width="10.5" hidden="0" customWidth="1"/>
    <x:col min="12" max="12" width="10.5" hidden="0" customWidth="1"/>
    <x:col min="13" max="13" width="10.5" hidden="0" customWidth="1"/>
    <x:col min="14" max="14" width="10.5" hidden="0" customWidth="1"/>
    <x:col min="15" max="15" width="10.5" hidden="0" customWidth="1"/>
  </x:cols>
  <x:sheetData>
    <x:row r="1" ht="27" customHeight="1">
      <x:c r="A1" s="1"/>
      <x:c r="B1" s="1"/>
      <x:c r="C1" s="50" t="str">
        <x:v>Home</x:v>
      </x:c>
      <x:c r="D1" s="50"/>
      <x:c r="E1" s="63" t="str">
        <x:v>Customer</x:v>
      </x:c>
      <x:c r="F1" s="63"/>
      <x:c r="G1" s="63" t="str">
        <x:v>Capital</x:v>
      </x:c>
      <x:c r="H1" s="63"/>
      <x:c r="I1" s="63" t="str">
        <x:v>Reporting</x:v>
      </x:c>
      <x:c r="J1" s="63"/>
      <x:c r="K1" s="63" t="str">
        <x:v>Inputs</x:v>
      </x:c>
      <x:c r="L1" s="63"/>
      <x:c r="M1" s="63" t="str">
        <x:v>Settings</x:v>
      </x:c>
      <x:c r="N1" s="63"/>
      <x:c r="O1" s="3"/>
    </x:row>
    <x:row r="2" ht="45" customHeight="1">
      <x:c r="A2" s="1"/>
      <x:c r="B2" s="1"/>
      <x:c r="C2" s="5" t="str">
        <x:v>Customer workspace</x:v>
      </x:c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</x:row>
    <x:row r="3" ht="32" customHeight="1">
      <x:c r="A3" s="1"/>
      <x:c r="B3" s="1"/>
      <x:c r="C3" s="6" t="str">
        <x:v>One borrower, all facilities. Change the customer from Settings.</x:v>
      </x:c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3"/>
      <x:c r="O3" s="3"/>
    </x:row>
    <x:row r="4" ht="26" customHeight="1">
      <x:c r="A4" s="1"/>
      <x:c r="B4" s="1"/>
      <x:c r="C4" s="45"/>
      <x:c r="D4" s="45"/>
      <x:c r="E4" s="45"/>
      <x:c r="F4" s="45"/>
      <x:c r="G4" s="45"/>
      <x:c r="H4" s="45"/>
      <x:c r="I4" s="45"/>
      <x:c r="J4" s="45"/>
      <x:c r="K4" s="45"/>
      <x:c r="L4" s="45"/>
      <x:c r="M4" s="45"/>
      <x:c r="N4" s="45"/>
      <x:c r="O4" s="45"/>
    </x:row>
    <x:row r="5" ht="26" customHeight="1">
      <x:c r="A5" s="1"/>
      <x:c r="B5" s="1"/>
      <x:c r="C5" s="64" t="str">
        <x:f>Settings!F7</x:f>
        <x:v>Demo Nile Cement</x:v>
      </x:c>
      <x:c r="D5" s="64"/>
      <x:c r="E5" s="64"/>
      <x:c r="F5" s="64"/>
      <x:c r="G5" s="64"/>
      <x:c r="H5" s="64"/>
      <x:c r="I5" s="64"/>
      <x:c r="J5" s="64"/>
      <x:c r="K5" s="50" t="str">
        <x:v>Choose customer</x:v>
      </x:c>
      <x:c r="L5" s="50"/>
      <x:c r="M5" s="50"/>
      <x:c r="N5" s="50"/>
      <x:c r="O5" s="50"/>
    </x:row>
    <x:row r="6" ht="26" customHeight="1">
      <x:c r="A6" s="1"/>
      <x:c r="B6" s="1"/>
      <x:c r="C6" s="45"/>
      <x:c r="D6" s="45"/>
      <x:c r="E6" s="45"/>
      <x:c r="F6" s="45"/>
      <x:c r="G6" s="45"/>
      <x:c r="H6" s="45"/>
      <x:c r="I6" s="45"/>
      <x:c r="J6" s="45"/>
      <x:c r="K6" s="45"/>
      <x:c r="L6" s="45"/>
      <x:c r="M6" s="45"/>
      <x:c r="N6" s="45"/>
      <x:c r="O6" s="45"/>
    </x:row>
    <x:row r="7" ht="26" customHeight="1">
      <x:c r="A7" s="1"/>
      <x:c r="B7" s="1"/>
      <x:c r="C7" s="93" t="str">
        <x:v>DRAWN EXPOSURE  ·  USD m</x:v>
      </x:c>
      <x:c r="D7" s="15"/>
      <x:c r="E7" s="15"/>
      <x:c r="F7" s="94"/>
      <x:c r="G7" s="93" t="str">
        <x:v>E&amp;S MANAGEMENT SCORE</x:v>
      </x:c>
      <x:c r="H7" s="15"/>
      <x:c r="I7" s="15"/>
      <x:c r="J7" s="94"/>
      <x:c r="K7" s="99" t="str">
        <x:v>YEAR 1 CASH / DEBT SERVICE</x:v>
      </x:c>
      <x:c r="L7" s="57"/>
      <x:c r="M7" s="57"/>
      <x:c r="N7" s="57"/>
      <x:c r="O7" s="100"/>
    </x:row>
    <x:row r="8" ht="26" customHeight="1">
      <x:c r="A8" s="1"/>
      <x:c r="B8" s="1"/>
      <x:c r="C8" s="95" t="n">
        <x:f>IF(Bank!F103="Ready",SUMIF('Facilities'!$D$9:$D$108,Settings!$F$17,'Facilities'!$AA$9:$AA$108),"Unavailable")</x:f>
        <x:v>7.5</x:v>
      </x:c>
      <x:c r="D8" s="54"/>
      <x:c r="E8" s="54"/>
      <x:c r="F8" s="96"/>
      <x:c r="G8" s="105" t="n">
        <x:f>IFERROR(INDEX('ESG'!$P$9:$P$108,MATCH(Settings!$F$17,'ESG'!$C$9:$C$108,0)),"Unavailable")</x:f>
        <x:v>61.6</x:v>
      </x:c>
      <x:c r="H8" s="65"/>
      <x:c r="I8" s="65"/>
      <x:c r="J8" s="106"/>
      <x:c r="K8" s="107" t="n">
        <x:f>IF(Bank!F104="Ready",IFERROR(INDEX('Credit'!$P$9:$P$108,MATCH(Settings!$F$17,'Credit'!$C$9:$C$108,0)),"Unavailable"),"Unavailable")</x:f>
        <x:v>1.55851776</x:v>
      </x:c>
      <x:c r="L8" s="66"/>
      <x:c r="M8" s="66"/>
      <x:c r="N8" s="66"/>
      <x:c r="O8" s="108"/>
    </x:row>
    <x:row r="9" ht="26" customHeight="1">
      <x:c r="A9" s="1"/>
      <x:c r="B9" s="1"/>
      <x:c r="C9" s="95"/>
      <x:c r="D9" s="54"/>
      <x:c r="E9" s="54"/>
      <x:c r="F9" s="96"/>
      <x:c r="G9" s="105"/>
      <x:c r="H9" s="65"/>
      <x:c r="I9" s="65"/>
      <x:c r="J9" s="106"/>
      <x:c r="K9" s="107"/>
      <x:c r="L9" s="66"/>
      <x:c r="M9" s="66"/>
      <x:c r="N9" s="66"/>
      <x:c r="O9" s="108"/>
    </x:row>
    <x:row r="10" ht="26" customHeight="1">
      <x:c r="A10" s="1"/>
      <x:c r="B10" s="1"/>
      <x:c r="C10" s="95"/>
      <x:c r="D10" s="54"/>
      <x:c r="E10" s="54"/>
      <x:c r="F10" s="96"/>
      <x:c r="G10" s="105"/>
      <x:c r="H10" s="65"/>
      <x:c r="I10" s="65"/>
      <x:c r="J10" s="106"/>
      <x:c r="K10" s="107"/>
      <x:c r="L10" s="66"/>
      <x:c r="M10" s="66"/>
      <x:c r="N10" s="66"/>
      <x:c r="O10" s="108"/>
    </x:row>
    <x:row r="11" ht="26" customHeight="1">
      <x:c r="A11" s="1"/>
      <x:c r="B11" s="1"/>
      <x:c r="C11" s="97" t="str">
        <x:v>All facilities</x:v>
      </x:c>
      <x:c r="D11" s="55"/>
      <x:c r="E11" s="55"/>
      <x:c r="F11" s="98"/>
      <x:c r="G11" s="97" t="str">
        <x:v>Independent of credit risk</x:v>
      </x:c>
      <x:c r="H11" s="55"/>
      <x:c r="I11" s="55"/>
      <x:c r="J11" s="98"/>
      <x:c r="K11" s="97" t="str">
        <x:v>After selected climate shocks</x:v>
      </x:c>
      <x:c r="L11" s="55"/>
      <x:c r="M11" s="55"/>
      <x:c r="N11" s="55"/>
      <x:c r="O11" s="98"/>
    </x:row>
    <x:row r="12" ht="26" customHeight="1">
      <x:c r="A12" s="1"/>
      <x:c r="B12" s="1"/>
      <x:c r="C12" s="45"/>
      <x:c r="D12" s="45"/>
      <x:c r="E12" s="45"/>
      <x:c r="F12" s="45"/>
      <x:c r="G12" s="45"/>
      <x:c r="H12" s="45"/>
      <x:c r="I12" s="45"/>
      <x:c r="J12" s="45"/>
      <x:c r="K12" s="45"/>
      <x:c r="L12" s="45"/>
      <x:c r="M12" s="45"/>
      <x:c r="N12" s="45"/>
      <x:c r="O12" s="45"/>
    </x:row>
    <x:row r="13" ht="26" customHeight="1">
      <x:c r="A13" s="1"/>
      <x:c r="B13" s="1"/>
      <x:c r="C13" s="45"/>
      <x:c r="D13" s="45"/>
      <x:c r="E13" s="45"/>
      <x:c r="F13" s="45"/>
      <x:c r="G13" s="45"/>
      <x:c r="H13" s="45"/>
      <x:c r="I13" s="45"/>
      <x:c r="J13" s="45"/>
      <x:c r="K13" s="45"/>
      <x:c r="L13" s="45"/>
      <x:c r="M13" s="45"/>
      <x:c r="N13" s="45"/>
      <x:c r="O13" s="45"/>
    </x:row>
    <x:row r="14" ht="26" customHeight="1">
      <x:c r="A14" s="1"/>
      <x:c r="B14" s="1"/>
      <x:c r="C14" s="46" t="str">
        <x:v>E&amp;S DISPOSITION</x:v>
      </x:c>
      <x:c r="D14" s="46"/>
      <x:c r="E14" s="46"/>
      <x:c r="F14" s="46"/>
      <x:c r="G14" s="47" t="str">
        <x:f>IFERROR(INDEX('ESG'!$U$9:$U$108,MATCH(Settings!$F$17,'ESG'!$C$9:$C$108,0)),"Unavailable")</x:f>
        <x:v>Hold — critical issue</x:v>
      </x:c>
      <x:c r="H14" s="45"/>
      <x:c r="I14" s="45"/>
      <x:c r="J14" s="45"/>
      <x:c r="K14" s="45"/>
      <x:c r="L14" s="45"/>
      <x:c r="M14" s="45"/>
      <x:c r="N14" s="45"/>
      <x:c r="O14" s="45"/>
    </x:row>
    <x:row r="15" ht="26" customHeight="1">
      <x:c r="A15" s="1"/>
      <x:c r="B15" s="1"/>
      <x:c r="C15" s="45"/>
      <x:c r="D15" s="45"/>
      <x:c r="E15" s="45"/>
      <x:c r="F15" s="45"/>
      <x:c r="G15" s="45"/>
      <x:c r="H15" s="45"/>
      <x:c r="I15" s="45"/>
      <x:c r="J15" s="45"/>
      <x:c r="K15" s="45"/>
      <x:c r="L15" s="45"/>
      <x:c r="M15" s="45"/>
      <x:c r="N15" s="45"/>
      <x:c r="O15" s="45"/>
    </x:row>
    <x:row r="16" ht="26" customHeight="1">
      <x:c r="A16" s="1"/>
      <x:c r="B16" s="1"/>
      <x:c r="C16" s="45"/>
      <x:c r="D16" s="45"/>
      <x:c r="E16" s="45"/>
      <x:c r="F16" s="45"/>
      <x:c r="G16" s="45"/>
      <x:c r="H16" s="45"/>
      <x:c r="I16" s="45"/>
      <x:c r="J16" s="45"/>
      <x:c r="K16" s="45"/>
      <x:c r="L16" s="45"/>
      <x:c r="M16" s="45"/>
      <x:c r="N16" s="45"/>
      <x:c r="O16" s="45"/>
    </x:row>
    <x:row r="17" ht="26" customHeight="1">
      <x:c r="A17" s="1"/>
      <x:c r="B17" s="1"/>
      <x:c r="C17" s="45"/>
      <x:c r="D17" s="45"/>
      <x:c r="E17" s="45"/>
      <x:c r="F17" s="45"/>
      <x:c r="G17" s="45"/>
      <x:c r="H17" s="45"/>
      <x:c r="I17" s="45"/>
      <x:c r="J17" s="45"/>
      <x:c r="K17" s="45"/>
      <x:c r="L17" s="45"/>
      <x:c r="M17" s="45"/>
      <x:c r="N17" s="45"/>
      <x:c r="O17" s="45"/>
    </x:row>
    <x:row r="18" ht="26" customHeight="1">
      <x:c r="A18" s="1"/>
      <x:c r="B18" s="1"/>
      <x:c r="C18" s="46" t="str">
        <x:v>CREDIT TRANSMISSION  ·  YEAR 1</x:v>
      </x:c>
      <x:c r="D18" s="46"/>
      <x:c r="E18" s="46"/>
      <x:c r="F18" s="46"/>
      <x:c r="G18" s="46"/>
      <x:c r="H18" s="46"/>
      <x:c r="I18" s="46"/>
      <x:c r="J18" s="46"/>
      <x:c r="K18" s="46" t="str">
        <x:v>EMISSIONS</x:v>
      </x:c>
      <x:c r="L18" s="46"/>
      <x:c r="M18" s="46"/>
      <x:c r="N18" s="46"/>
      <x:c r="O18" s="46"/>
    </x:row>
    <x:row r="19" ht="26" customHeight="1">
      <x:c r="A19" s="1"/>
      <x:c r="B19" s="1"/>
      <x:c r="C19" s="45"/>
      <x:c r="D19" s="45"/>
      <x:c r="E19" s="45"/>
      <x:c r="F19" s="45"/>
      <x:c r="G19" s="45"/>
      <x:c r="H19" s="45"/>
      <x:c r="I19" s="45"/>
      <x:c r="J19" s="45"/>
      <x:c r="K19" s="45"/>
      <x:c r="L19" s="45"/>
      <x:c r="M19" s="45"/>
      <x:c r="N19" s="45"/>
      <x:c r="O19" s="45"/>
    </x:row>
    <x:row r="20" ht="26" customHeight="1">
      <x:c r="A20" s="1"/>
      <x:c r="B20" s="1"/>
      <x:c r="C20" s="52" t="str">
        <x:v>Baseline available cash</x:v>
      </x:c>
      <x:c r="D20" s="52"/>
      <x:c r="E20" s="52"/>
      <x:c r="F20" s="52"/>
      <x:c r="G20" s="52"/>
      <x:c r="H20" s="109" t="n">
        <x:f>IFERROR(INDEX('Credit'!$G$9:$G$108,MATCH(Settings!$F$17,'Credit'!$C$9:$C$108,0)),"Unavailable")</x:f>
        <x:v>10</x:v>
      </x:c>
      <x:c r="I20" s="109"/>
      <x:c r="J20" s="109"/>
      <x:c r="K20" s="46" t="str">
        <x:v>Financed S1 + 2</x:v>
      </x:c>
      <x:c r="L20" s="46"/>
      <x:c r="M20" s="46"/>
      <x:c r="N20" s="46"/>
      <x:c r="O20" s="46"/>
    </x:row>
    <x:row r="21" ht="26" customHeight="1">
      <x:c r="A21" s="1"/>
      <x:c r="B21" s="1"/>
      <x:c r="C21" s="52" t="str">
        <x:v>Stressed EBITDA</x:v>
      </x:c>
      <x:c r="D21" s="52"/>
      <x:c r="E21" s="52"/>
      <x:c r="F21" s="52"/>
      <x:c r="G21" s="52"/>
      <x:c r="H21" s="109" t="n">
        <x:f>IFERROR(INDEX('Credit'!$M$9:$M$108,MATCH(Settings!$F$17,'Credit'!$C$9:$C$108,0)),"Unavailable")</x:f>
        <x:v>10.0925888</x:v>
      </x:c>
      <x:c r="I21" s="109"/>
      <x:c r="J21" s="109"/>
      <x:c r="K21" s="77" t="n">
        <x:f>SUMIFS('Financed Emissions'!$J$9:$J$108,'Financed Emissions'!$D$9:$D$108,Settings!$F$17,'Financed Emissions'!$M$9:$M$108,"&gt;0")+SUMIFS('Financed Emissions'!$K$9:$K$108,'Financed Emissions'!$D$9:$D$108,Settings!$F$17,'Financed Emissions'!$M$9:$M$108,"&gt;0")</x:f>
        <x:v>8979.545454545454</x:v>
      </x:c>
      <x:c r="L21" s="77"/>
      <x:c r="M21" s="77"/>
      <x:c r="N21" s="77"/>
      <x:c r="O21" s="77"/>
    </x:row>
    <x:row r="22" ht="26" customHeight="1">
      <x:c r="A22" s="1"/>
      <x:c r="B22" s="1"/>
      <x:c r="C22" s="52" t="str">
        <x:v>Transition capex</x:v>
      </x:c>
      <x:c r="D22" s="52"/>
      <x:c r="E22" s="52"/>
      <x:c r="F22" s="52"/>
      <x:c r="G22" s="52"/>
      <x:c r="H22" s="109" t="n">
        <x:f>IFERROR(INDEX('Credit'!$N$9:$N$108,MATCH(Settings!$F$17,'Credit'!$C$9:$C$108,0)),"Unavailable")</x:f>
        <x:v>0.3</x:v>
      </x:c>
      <x:c r="I22" s="109"/>
      <x:c r="J22" s="109"/>
      <x:c r="K22" s="77"/>
      <x:c r="L22" s="77"/>
      <x:c r="M22" s="77"/>
      <x:c r="N22" s="77"/>
      <x:c r="O22" s="77"/>
    </x:row>
    <x:row r="23" ht="26" customHeight="1">
      <x:c r="A23" s="1"/>
      <x:c r="B23" s="1"/>
      <x:c r="C23" s="52" t="str">
        <x:v>Stressed available cash</x:v>
      </x:c>
      <x:c r="D23" s="52"/>
      <x:c r="E23" s="52"/>
      <x:c r="F23" s="52"/>
      <x:c r="G23" s="52"/>
      <x:c r="H23" s="109" t="n">
        <x:f>IFERROR(INDEX('Credit'!$O$9:$O$108,MATCH(Settings!$F$17,'Credit'!$C$9:$C$108,0)),"Unavailable")</x:f>
        <x:v>7.7925888</x:v>
      </x:c>
      <x:c r="I23" s="109"/>
      <x:c r="J23" s="109"/>
      <x:c r="K23" s="92" t="str">
        <x:v>Financed borrower S3</x:v>
      </x:c>
      <x:c r="L23" s="92"/>
      <x:c r="M23" s="92"/>
      <x:c r="N23" s="92"/>
      <x:c r="O23" s="92"/>
    </x:row>
    <x:row r="24" ht="26" customHeight="1">
      <x:c r="A24" s="1"/>
      <x:c r="B24" s="1"/>
      <x:c r="C24" s="52" t="str">
        <x:v>Conditional annual PD</x:v>
      </x:c>
      <x:c r="D24" s="52"/>
      <x:c r="E24" s="52"/>
      <x:c r="F24" s="52"/>
      <x:c r="G24" s="52"/>
      <x:c r="H24" s="110" t="n">
        <x:f>IFERROR(INDEX('Credit'!$Q$9:$Q$108,MATCH(Settings!$F$17,'Credit'!$C$9:$C$108,0)),"Unavailable")</x:f>
        <x:v>0.017083147338488053</x:v>
      </x:c>
      <x:c r="I24" s="110"/>
      <x:c r="J24" s="110"/>
      <x:c r="K24" s="77" t="n">
        <x:f>SUMIF('Financed Emissions'!$D$9:$D$108,Settings!$F$17,'Financed Emissions'!$L$9:$L$108)</x:f>
        <x:v>15000</x:v>
      </x:c>
      <x:c r="L24" s="77"/>
      <x:c r="M24" s="77"/>
      <x:c r="N24" s="77"/>
      <x:c r="O24" s="77"/>
    </x:row>
    <x:row r="25" ht="26" customHeight="1">
      <x:c r="A25" s="1"/>
      <x:c r="B25" s="1"/>
      <x:c r="C25" s="52" t="str">
        <x:v>Conditional LGD</x:v>
      </x:c>
      <x:c r="D25" s="52"/>
      <x:c r="E25" s="52"/>
      <x:c r="F25" s="52"/>
      <x:c r="G25" s="52"/>
      <x:c r="H25" s="110" t="n">
        <x:f>IFERROR(INDEX('Credit'!$R$9:$R$108,MATCH(Settings!$F$17,'Credit'!$C$9:$C$108,0)),"Unavailable")</x:f>
        <x:v>0.28020160000000005</x:v>
      </x:c>
      <x:c r="I25" s="110"/>
      <x:c r="J25" s="110"/>
      <x:c r="K25" s="77"/>
      <x:c r="L25" s="77"/>
      <x:c r="M25" s="77"/>
      <x:c r="N25" s="77"/>
      <x:c r="O25" s="77"/>
    </x:row>
    <x:row r="26" ht="26" customHeight="1">
      <x:c r="A26" s="1"/>
      <x:c r="B26" s="1"/>
      <x:c r="C26" s="52" t="str">
        <x:v>Accounting ECL</x:v>
      </x:c>
      <x:c r="D26" s="52"/>
      <x:c r="E26" s="52"/>
      <x:c r="F26" s="52"/>
      <x:c r="G26" s="52"/>
      <x:c r="H26" s="109" t="n">
        <x:f>SUMIF('ECL'!$D$9:$D$108,Settings!$F$17,'ECL'!$AD$9:$AD$108)</x:f>
        <x:v>0.04566806698673983</x:v>
      </x:c>
      <x:c r="I26" s="109"/>
      <x:c r="J26" s="109"/>
      <x:c r="K26" s="92" t="str">
        <x:v>Evidenced allocations</x:v>
      </x:c>
      <x:c r="L26" s="92"/>
      <x:c r="M26" s="92"/>
      <x:c r="N26" s="92"/>
      <x:c r="O26" s="92"/>
    </x:row>
    <x:row r="27" ht="26" customHeight="1">
      <x:c r="A27" s="1"/>
      <x:c r="B27" s="1"/>
      <x:c r="C27" s="45"/>
      <x:c r="D27" s="45"/>
      <x:c r="E27" s="45"/>
      <x:c r="F27" s="45"/>
      <x:c r="G27" s="45"/>
      <x:c r="H27" s="45"/>
      <x:c r="I27" s="45"/>
      <x:c r="J27" s="45"/>
      <x:c r="K27" s="79" t="n">
        <x:f>SUMIF('Taxonomy'!$E$9:$E$108,Settings!$F$17,'Taxonomy'!$AD$9:$AD$108)</x:f>
        <x:v>0</x:v>
      </x:c>
      <x:c r="L27" s="79"/>
      <x:c r="M27" s="79"/>
      <x:c r="N27" s="79"/>
      <x:c r="O27" s="79"/>
    </x:row>
    <x:row r="28" ht="26" customHeight="1">
      <x:c r="A28" s="1"/>
      <x:c r="B28" s="1"/>
      <x:c r="C28" s="45"/>
      <x:c r="D28" s="45"/>
      <x:c r="E28" s="45"/>
      <x:c r="F28" s="45"/>
      <x:c r="G28" s="45"/>
      <x:c r="H28" s="45"/>
      <x:c r="I28" s="45"/>
      <x:c r="J28" s="45"/>
      <x:c r="K28" s="79"/>
      <x:c r="L28" s="79"/>
      <x:c r="M28" s="79"/>
      <x:c r="N28" s="79"/>
      <x:c r="O28" s="79"/>
    </x:row>
    <x:row r="29" ht="26" customHeight="1">
      <x:c r="A29" s="1"/>
      <x:c r="B29" s="1"/>
      <x:c r="C29" s="45"/>
      <x:c r="D29" s="45"/>
      <x:c r="E29" s="45"/>
      <x:c r="F29" s="45"/>
      <x:c r="G29" s="45"/>
      <x:c r="H29" s="45"/>
      <x:c r="I29" s="45"/>
      <x:c r="J29" s="45"/>
      <x:c r="K29" s="45"/>
      <x:c r="L29" s="45"/>
      <x:c r="M29" s="45"/>
      <x:c r="N29" s="45"/>
      <x:c r="O29" s="45"/>
    </x:row>
    <x:row r="30" ht="26" customHeight="1">
      <x:c r="A30" s="1"/>
      <x:c r="B30" s="1"/>
      <x:c r="C30" s="45"/>
      <x:c r="D30" s="45"/>
      <x:c r="E30" s="45"/>
      <x:c r="F30" s="45"/>
      <x:c r="G30" s="45"/>
      <x:c r="H30" s="45"/>
      <x:c r="I30" s="45"/>
      <x:c r="J30" s="45"/>
      <x:c r="K30" s="45"/>
      <x:c r="L30" s="45"/>
      <x:c r="M30" s="45"/>
      <x:c r="N30" s="45"/>
      <x:c r="O30" s="45"/>
    </x:row>
    <x:row r="31" ht="26" customHeight="1">
      <x:c r="A31" s="1"/>
      <x:c r="B31" s="1"/>
      <x:c r="C31" s="45"/>
      <x:c r="D31" s="45"/>
      <x:c r="E31" s="45"/>
      <x:c r="F31" s="45"/>
      <x:c r="G31" s="45"/>
      <x:c r="H31" s="45"/>
      <x:c r="I31" s="45"/>
      <x:c r="J31" s="45"/>
      <x:c r="K31" s="63" t="str">
        <x:v>Review E&amp;S assessment</x:v>
      </x:c>
      <x:c r="L31" s="63"/>
      <x:c r="M31" s="63"/>
      <x:c r="N31" s="63"/>
      <x:c r="O31" s="63"/>
    </x:row>
    <x:row r="32" ht="26" customHeight="1">
      <x:c r="A32" s="1"/>
      <x:c r="B32" s="1"/>
      <x:c r="C32" s="45"/>
      <x:c r="D32" s="45"/>
      <x:c r="E32" s="45"/>
      <x:c r="F32" s="45"/>
      <x:c r="G32" s="45"/>
      <x:c r="H32" s="45"/>
      <x:c r="I32" s="45"/>
      <x:c r="J32" s="45"/>
      <x:c r="K32" s="63"/>
      <x:c r="L32" s="63"/>
      <x:c r="M32" s="63"/>
      <x:c r="N32" s="63"/>
      <x:c r="O32" s="63"/>
    </x:row>
    <x:row r="33" ht="26" customHeight="1">
      <x:c r="A33" s="1"/>
      <x:c r="B33" s="1"/>
      <x:c r="C33" s="45"/>
      <x:c r="D33" s="45"/>
      <x:c r="E33" s="45"/>
      <x:c r="F33" s="45"/>
      <x:c r="G33" s="45"/>
      <x:c r="H33" s="45"/>
      <x:c r="I33" s="45"/>
      <x:c r="J33" s="45"/>
      <x:c r="K33" s="45"/>
      <x:c r="L33" s="45"/>
      <x:c r="M33" s="45"/>
      <x:c r="N33" s="45"/>
      <x:c r="O33" s="45"/>
    </x:row>
    <x:row r="34" ht="26" customHeight="1">
      <x:c r="A34" s="1"/>
      <x:c r="B34" s="1"/>
      <x:c r="C34" s="45"/>
      <x:c r="D34" s="45"/>
      <x:c r="E34" s="45"/>
      <x:c r="F34" s="45"/>
      <x:c r="G34" s="45"/>
      <x:c r="H34" s="45"/>
      <x:c r="I34" s="45"/>
      <x:c r="J34" s="45"/>
      <x:c r="K34" s="45"/>
      <x:c r="L34" s="45"/>
      <x:c r="M34" s="45"/>
      <x:c r="N34" s="45"/>
      <x:c r="O34" s="45"/>
    </x:row>
    <x:row r="35" ht="26" customHeight="1">
      <x:c r="A35" s="1"/>
      <x:c r="B35" s="1"/>
      <x:c r="C35" s="45"/>
      <x:c r="D35" s="45"/>
      <x:c r="E35" s="45"/>
      <x:c r="F35" s="45"/>
      <x:c r="G35" s="45"/>
      <x:c r="H35" s="45"/>
      <x:c r="I35" s="45"/>
      <x:c r="J35" s="45"/>
      <x:c r="K35" s="63" t="str">
        <x:v>Review action evidence</x:v>
      </x:c>
      <x:c r="L35" s="63"/>
      <x:c r="M35" s="63"/>
      <x:c r="N35" s="63"/>
      <x:c r="O35" s="63"/>
    </x:row>
    <x:row r="36" ht="26" customHeight="1">
      <x:c r="A36" s="1"/>
      <x:c r="B36" s="1"/>
      <x:c r="C36" s="45"/>
      <x:c r="D36" s="45"/>
      <x:c r="E36" s="45"/>
      <x:c r="F36" s="45"/>
      <x:c r="G36" s="45"/>
      <x:c r="H36" s="45"/>
      <x:c r="I36" s="45"/>
      <x:c r="J36" s="45"/>
      <x:c r="K36" s="63"/>
      <x:c r="L36" s="63"/>
      <x:c r="M36" s="63"/>
      <x:c r="N36" s="63"/>
      <x:c r="O36" s="63"/>
    </x:row>
    <x:row r="37" ht="26" customHeight="1">
      <x:c r="A37" s="1"/>
      <x:c r="B37" s="1"/>
      <x:c r="C37" s="45"/>
      <x:c r="D37" s="45"/>
      <x:c r="E37" s="45"/>
      <x:c r="F37" s="45"/>
      <x:c r="G37" s="45"/>
      <x:c r="H37" s="45"/>
      <x:c r="I37" s="45"/>
      <x:c r="J37" s="45"/>
      <x:c r="K37" s="45"/>
      <x:c r="L37" s="45"/>
      <x:c r="M37" s="45"/>
      <x:c r="N37" s="45"/>
      <x:c r="O37" s="45"/>
    </x:row>
    <x:row r="38" ht="26" customHeight="1">
      <x:c r="A38" s="1"/>
      <x:c r="B38" s="1"/>
      <x:c r="C38" s="45"/>
      <x:c r="D38" s="45"/>
      <x:c r="E38" s="45"/>
      <x:c r="F38" s="45"/>
      <x:c r="G38" s="45"/>
      <x:c r="H38" s="45"/>
      <x:c r="I38" s="45"/>
      <x:c r="J38" s="45"/>
      <x:c r="K38" s="45"/>
      <x:c r="L38" s="45"/>
      <x:c r="M38" s="45"/>
      <x:c r="N38" s="45"/>
      <x:c r="O38" s="45"/>
    </x:row>
    <x:row r="39" ht="26" customHeight="1">
      <x:c r="A39" s="1"/>
      <x:c r="B39" s="1"/>
      <x:c r="C39" s="45"/>
      <x:c r="D39" s="45"/>
      <x:c r="E39" s="45"/>
      <x:c r="F39" s="45"/>
      <x:c r="G39" s="45"/>
      <x:c r="H39" s="45"/>
      <x:c r="I39" s="45"/>
      <x:c r="J39" s="45"/>
      <x:c r="K39" s="63" t="str">
        <x:v>Review taxonomy tests</x:v>
      </x:c>
      <x:c r="L39" s="63"/>
      <x:c r="M39" s="63"/>
      <x:c r="N39" s="63"/>
      <x:c r="O39" s="63"/>
    </x:row>
    <x:row r="40" ht="26" customHeight="1">
      <x:c r="A40" s="1"/>
      <x:c r="B40" s="1"/>
      <x:c r="C40" s="45"/>
      <x:c r="D40" s="45"/>
      <x:c r="E40" s="45"/>
      <x:c r="F40" s="45"/>
      <x:c r="G40" s="45"/>
      <x:c r="H40" s="45"/>
      <x:c r="I40" s="45"/>
      <x:c r="J40" s="45"/>
      <x:c r="K40" s="63"/>
      <x:c r="L40" s="63"/>
      <x:c r="M40" s="63"/>
      <x:c r="N40" s="63"/>
      <x:c r="O40" s="63"/>
    </x:row>
    <x:row r="41" ht="26" customHeight="1">
      <x:c r="A41" s="1"/>
      <x:c r="B41" s="1"/>
      <x:c r="C41" s="45"/>
      <x:c r="D41" s="45"/>
      <x:c r="E41" s="45"/>
      <x:c r="F41" s="45"/>
      <x:c r="G41" s="45"/>
      <x:c r="H41" s="45"/>
      <x:c r="I41" s="45"/>
      <x:c r="J41" s="45"/>
      <x:c r="K41" s="45"/>
      <x:c r="L41" s="45"/>
      <x:c r="M41" s="45"/>
      <x:c r="N41" s="45"/>
      <x:c r="O41" s="45"/>
    </x:row>
    <x:row r="42" ht="26" customHeight="1">
      <x:c r="A42" s="1"/>
      <x:c r="B42" s="1"/>
      <x:c r="C42" s="45"/>
      <x:c r="D42" s="45"/>
      <x:c r="E42" s="45"/>
      <x:c r="F42" s="45"/>
      <x:c r="G42" s="45"/>
      <x:c r="H42" s="45"/>
      <x:c r="I42" s="45"/>
      <x:c r="J42" s="45"/>
      <x:c r="K42" s="45"/>
      <x:c r="L42" s="45"/>
      <x:c r="M42" s="45"/>
      <x:c r="N42" s="45"/>
      <x:c r="O42" s="45"/>
    </x:row>
    <x:row r="43" ht="26" customHeight="1">
      <x:c r="A43" s="1"/>
      <x:c r="B43" s="1"/>
      <x:c r="C43" s="45"/>
      <x:c r="D43" s="45"/>
      <x:c r="E43" s="45"/>
      <x:c r="F43" s="45"/>
      <x:c r="G43" s="45"/>
      <x:c r="H43" s="45"/>
      <x:c r="I43" s="45"/>
      <x:c r="J43" s="45"/>
      <x:c r="K43" s="45"/>
      <x:c r="L43" s="45"/>
      <x:c r="M43" s="45"/>
      <x:c r="N43" s="45"/>
      <x:c r="O43" s="45"/>
    </x:row>
    <x:row r="44" ht="26" customHeight="1">
      <x:c r="A44" s="1"/>
      <x:c r="B44" s="1"/>
      <x:c r="C44" s="45"/>
      <x:c r="D44" s="45"/>
      <x:c r="E44" s="45"/>
      <x:c r="F44" s="45"/>
      <x:c r="G44" s="45"/>
      <x:c r="H44" s="45"/>
      <x:c r="I44" s="45"/>
      <x:c r="J44" s="45"/>
      <x:c r="K44" s="45"/>
      <x:c r="L44" s="45"/>
      <x:c r="M44" s="45"/>
      <x:c r="N44" s="45"/>
      <x:c r="O44" s="45"/>
    </x:row>
    <x:row r="45" ht="26" customHeight="1">
      <x:c r="A45" s="1"/>
      <x:c r="B45" s="1"/>
      <x:c r="C45" s="45"/>
      <x:c r="D45" s="45"/>
      <x:c r="E45" s="45"/>
      <x:c r="F45" s="45"/>
      <x:c r="G45" s="45"/>
      <x:c r="H45" s="45"/>
      <x:c r="I45" s="45"/>
      <x:c r="J45" s="45"/>
      <x:c r="K45" s="45"/>
      <x:c r="L45" s="45"/>
      <x:c r="M45" s="45"/>
      <x:c r="N45" s="45"/>
      <x:c r="O45" s="45"/>
    </x:row>
    <x:row r="46" ht="26" customHeight="1">
      <x:c r="A46" s="1"/>
      <x:c r="B46" s="1"/>
      <x:c r="C46" s="45"/>
      <x:c r="D46" s="45"/>
      <x:c r="E46" s="45"/>
      <x:c r="F46" s="45"/>
      <x:c r="G46" s="45"/>
      <x:c r="H46" s="45"/>
      <x:c r="I46" s="45"/>
      <x:c r="J46" s="45"/>
      <x:c r="K46" s="45"/>
      <x:c r="L46" s="45"/>
      <x:c r="M46" s="45"/>
      <x:c r="N46" s="45"/>
      <x:c r="O46" s="45"/>
    </x:row>
    <x:row r="47" ht="26" customHeight="1">
      <x:c r="A47" s="1"/>
      <x:c r="B47" s="1"/>
      <x:c r="C47" s="45"/>
      <x:c r="D47" s="45"/>
      <x:c r="E47" s="45"/>
      <x:c r="F47" s="45"/>
      <x:c r="G47" s="45"/>
      <x:c r="H47" s="45"/>
      <x:c r="I47" s="45"/>
      <x:c r="J47" s="45"/>
      <x:c r="K47" s="45"/>
      <x:c r="L47" s="45"/>
      <x:c r="M47" s="45"/>
      <x:c r="N47" s="45"/>
      <x:c r="O47" s="45"/>
    </x:row>
    <x:row r="48" ht="26" customHeight="1">
      <x:c r="A48" s="1"/>
      <x:c r="B48" s="1"/>
      <x:c r="C48" s="45"/>
      <x:c r="D48" s="45"/>
      <x:c r="E48" s="45"/>
      <x:c r="F48" s="45"/>
      <x:c r="G48" s="45"/>
      <x:c r="H48" s="45"/>
      <x:c r="I48" s="45"/>
      <x:c r="J48" s="45"/>
      <x:c r="K48" s="45"/>
      <x:c r="L48" s="45"/>
      <x:c r="M48" s="45"/>
      <x:c r="N48" s="45"/>
      <x:c r="O48" s="45"/>
    </x:row>
    <x:row r="49" ht="26" customHeight="1">
      <x:c r="A49" s="1"/>
      <x:c r="B49" s="1"/>
      <x:c r="C49" s="45"/>
      <x:c r="D49" s="45"/>
      <x:c r="E49" s="45"/>
      <x:c r="F49" s="45"/>
      <x:c r="G49" s="45"/>
      <x:c r="H49" s="45"/>
      <x:c r="I49" s="45"/>
      <x:c r="J49" s="45"/>
      <x:c r="K49" s="45"/>
      <x:c r="L49" s="45"/>
      <x:c r="M49" s="45"/>
      <x:c r="N49" s="45"/>
      <x:c r="O49" s="45"/>
    </x:row>
    <x:row r="50" ht="26" customHeight="1">
      <x:c r="A50" s="1"/>
      <x:c r="B50" s="1"/>
      <x:c r="C50" s="45" t="str">
        <x:v>Year</x:v>
      </x:c>
      <x:c r="D50" s="45" t="str">
        <x:v>Cash available</x:v>
      </x:c>
      <x:c r="E50" s="45" t="str">
        <x:v>Debt service</x:v>
      </x:c>
      <x:c r="F50" s="45" t="str">
        <x:v>EBITDA</x:v>
      </x:c>
      <x:c r="G50" s="45"/>
      <x:c r="H50" s="45"/>
      <x:c r="I50" s="45"/>
      <x:c r="J50" s="45"/>
      <x:c r="K50" s="45"/>
      <x:c r="L50" s="45"/>
      <x:c r="M50" s="45"/>
      <x:c r="N50" s="45"/>
      <x:c r="O50" s="45"/>
    </x:row>
    <x:row r="51" ht="26" customHeight="1">
      <x:c r="A51" s="1"/>
      <x:c r="B51" s="1"/>
      <x:c r="C51" s="45" t="n">
        <x:f>Settings!F18+0</x:f>
        <x:v>2027</x:v>
      </x:c>
      <x:c r="D51" s="45" t="n">
        <x:f>IFERROR(INDEX(Credit!O9:O108,MATCH(Settings!$F$17,Credit!C9:C108,0)),0)</x:f>
        <x:v>7.7925888</x:v>
      </x:c>
      <x:c r="E51" s="45" t="n">
        <x:f>IFERROR(INDEX('Borrowers'!$L$9:$L$108,MATCH(Settings!$F$17,'Borrowers'!$C$9:$C$108,0)),"Unavailable")</x:f>
        <x:v>5</x:v>
      </x:c>
      <x:c r="F51" s="45" t="n">
        <x:f>IFERROR(INDEX(Credit!M9:M108,MATCH(Settings!$F$17,Credit!C9:C108,0)),0)</x:f>
        <x:v>10.0925888</x:v>
      </x:c>
      <x:c r="G51" s="45"/>
      <x:c r="H51" s="45"/>
      <x:c r="I51" s="45"/>
      <x:c r="J51" s="45"/>
      <x:c r="K51" s="45"/>
      <x:c r="L51" s="45"/>
      <x:c r="M51" s="45"/>
      <x:c r="N51" s="45"/>
      <x:c r="O51" s="45"/>
    </x:row>
    <x:row r="52" ht="26" customHeight="1">
      <x:c r="A52" s="1"/>
      <x:c r="B52" s="1"/>
      <x:c r="C52" s="45" t="n">
        <x:f>Settings!F18+1</x:f>
        <x:v>2028</x:v>
      </x:c>
      <x:c r="D52" s="45" t="n">
        <x:f>IFERROR(INDEX(Credit!O109:O208,MATCH(Settings!$F$17,Credit!C109:C208,0)),0)</x:f>
        <x:v>5.992927999999999</x:v>
      </x:c>
      <x:c r="E52" s="45" t="n">
        <x:f>IFERROR(INDEX('Borrowers'!$L$9:$L$108,MATCH(Settings!$F$17,'Borrowers'!$C$9:$C$108,0)),"Unavailable")</x:f>
        <x:v>5</x:v>
      </x:c>
      <x:c r="F52" s="45" t="n">
        <x:f>IFERROR(INDEX(Credit!M109:M208,MATCH(Settings!$F$17,Credit!C109:C208,0)),0)</x:f>
        <x:v>8.592927999999999</x:v>
      </x:c>
      <x:c r="G52" s="45"/>
      <x:c r="H52" s="45"/>
      <x:c r="I52" s="45"/>
      <x:c r="J52" s="45"/>
      <x:c r="K52" s="45"/>
      <x:c r="L52" s="45"/>
      <x:c r="M52" s="45"/>
      <x:c r="N52" s="45"/>
      <x:c r="O52" s="45"/>
    </x:row>
    <x:row r="53" ht="26" customHeight="1">
      <x:c r="A53" s="1"/>
      <x:c r="B53" s="1"/>
      <x:c r="C53" s="45" t="n">
        <x:f>Settings!F18+2</x:f>
        <x:v>2029</x:v>
      </x:c>
      <x:c r="D53" s="45" t="n">
        <x:f>IFERROR(INDEX(Credit!O209:O308,MATCH(Settings!$F$17,Credit!C209:C308,0)),0)</x:f>
        <x:v>-3.6309936000000005</x:v>
      </x:c>
      <x:c r="E53" s="45" t="n">
        <x:f>IFERROR(INDEX('Borrowers'!$L$9:$L$108,MATCH(Settings!$F$17,'Borrowers'!$C$9:$C$108,0)),"Unavailable")</x:f>
        <x:v>5</x:v>
      </x:c>
      <x:c r="F53" s="45" t="n">
        <x:f>IFERROR(INDEX(Credit!M209:M308,MATCH(Settings!$F$17,Credit!C209:C308,0)),0)</x:f>
        <x:v>1.0690063999999992</x:v>
      </x:c>
      <x:c r="G53" s="45"/>
      <x:c r="H53" s="45"/>
      <x:c r="I53" s="45"/>
      <x:c r="J53" s="45"/>
      <x:c r="K53" s="45"/>
      <x:c r="L53" s="45"/>
      <x:c r="M53" s="45"/>
      <x:c r="N53" s="45"/>
      <x:c r="O53" s="45"/>
    </x:row>
    <x:row r="54" ht="26" customHeight="1">
      <x:c r="A54" s="1"/>
      <x:c r="B54" s="1"/>
      <x:c r="C54" s="45" t="n">
        <x:f>Settings!F18+3</x:f>
        <x:v>2030</x:v>
      </x:c>
      <x:c r="D54" s="45" t="n">
        <x:f>IFERROR(INDEX(Credit!O309:O408,MATCH(Settings!$F$17,Credit!C309:C408,0)),0)</x:f>
        <x:v>-4.577564000000001</x:v>
      </x:c>
      <x:c r="E54" s="45" t="n">
        <x:f>IFERROR(INDEX('Borrowers'!$L$9:$L$108,MATCH(Settings!$F$17,'Borrowers'!$C$9:$C$108,0)),"Unavailable")</x:f>
        <x:v>5</x:v>
      </x:c>
      <x:c r="F54" s="45" t="n">
        <x:f>IFERROR(INDEX(Credit!M309:M408,MATCH(Settings!$F$17,Credit!C309:C408,0)),0)</x:f>
        <x:v>-0.477564000000001</x:v>
      </x:c>
      <x:c r="G54" s="45"/>
      <x:c r="H54" s="45"/>
      <x:c r="I54" s="45"/>
      <x:c r="J54" s="45"/>
      <x:c r="K54" s="45"/>
      <x:c r="L54" s="45"/>
      <x:c r="M54" s="45"/>
      <x:c r="N54" s="45"/>
      <x:c r="O54" s="45"/>
    </x:row>
    <x:row r="55" ht="26" customHeight="1">
      <x:c r="A55" s="1"/>
      <x:c r="B55" s="1"/>
      <x:c r="C55" s="45" t="n">
        <x:f>Settings!F18+4</x:f>
        <x:v>2031</x:v>
      </x:c>
      <x:c r="D55" s="45" t="n">
        <x:f>IFERROR(INDEX(Credit!O409:O508,MATCH(Settings!$F$17,Credit!C409:C508,0)),0)</x:f>
        <x:v>-4.456609599999998</x:v>
      </x:c>
      <x:c r="E55" s="45" t="n">
        <x:f>IFERROR(INDEX('Borrowers'!$L$9:$L$108,MATCH(Settings!$F$17,'Borrowers'!$C$9:$C$108,0)),"Unavailable")</x:f>
        <x:v>5</x:v>
      </x:c>
      <x:c r="F55" s="45" t="n">
        <x:f>IFERROR(INDEX(Credit!M409:M508,MATCH(Settings!$F$17,Credit!C409:C508,0)),0)</x:f>
        <x:v>-0.9566095999999984</x:v>
      </x:c>
      <x:c r="G55" s="45"/>
      <x:c r="H55" s="45"/>
      <x:c r="I55" s="45"/>
      <x:c r="J55" s="45"/>
      <x:c r="K55" s="45"/>
      <x:c r="L55" s="45"/>
      <x:c r="M55" s="45"/>
      <x:c r="N55" s="45"/>
      <x:c r="O55" s="45"/>
    </x:row>
    <x:row r="56" ht="26" customHeight="1">
      <x:c r="A56" s="1"/>
      <x:c r="B56" s="1"/>
      <x:c r="C56" s="45"/>
      <x:c r="D56" s="45"/>
      <x:c r="E56" s="45"/>
      <x:c r="F56" s="45"/>
      <x:c r="G56" s="45"/>
      <x:c r="H56" s="45"/>
      <x:c r="I56" s="45"/>
      <x:c r="J56" s="45"/>
      <x:c r="K56" s="45"/>
      <x:c r="L56" s="45"/>
      <x:c r="M56" s="45"/>
      <x:c r="N56" s="45"/>
      <x:c r="O56" s="45"/>
    </x:row>
    <x:row r="57" ht="26" customHeight="1">
      <x:c r="A57" s="1"/>
      <x:c r="B57" s="1"/>
      <x:c r="C57" s="45"/>
      <x:c r="D57" s="45"/>
      <x:c r="E57" s="45"/>
      <x:c r="F57" s="45"/>
      <x:c r="G57" s="45"/>
      <x:c r="H57" s="45"/>
      <x:c r="I57" s="45"/>
      <x:c r="J57" s="45"/>
      <x:c r="K57" s="45"/>
      <x:c r="L57" s="45"/>
      <x:c r="M57" s="45"/>
      <x:c r="N57" s="45"/>
      <x:c r="O57" s="45"/>
    </x:row>
    <x:row r="58" ht="26" customHeight="1">
      <x:c r="A58" s="1"/>
      <x:c r="B58" s="1"/>
      <x:c r="C58" s="45"/>
      <x:c r="D58" s="45"/>
      <x:c r="E58" s="45"/>
      <x:c r="F58" s="45"/>
      <x:c r="G58" s="45"/>
      <x:c r="H58" s="45"/>
      <x:c r="I58" s="45"/>
      <x:c r="J58" s="45"/>
      <x:c r="K58" s="45"/>
      <x:c r="L58" s="45"/>
      <x:c r="M58" s="45"/>
      <x:c r="N58" s="45"/>
      <x:c r="O58" s="45"/>
    </x:row>
    <x:row r="59" ht="26" customHeight="1">
      <x:c r="A59" s="1"/>
      <x:c r="B59" s="1"/>
      <x:c r="C59" s="45"/>
      <x:c r="D59" s="45"/>
      <x:c r="E59" s="45"/>
      <x:c r="F59" s="45"/>
      <x:c r="G59" s="45"/>
      <x:c r="H59" s="45"/>
      <x:c r="I59" s="45"/>
      <x:c r="J59" s="45"/>
      <x:c r="K59" s="45"/>
      <x:c r="L59" s="45"/>
      <x:c r="M59" s="45"/>
      <x:c r="N59" s="45"/>
      <x:c r="O59" s="45"/>
    </x:row>
    <x:row r="60" ht="26" customHeight="1">
      <x:c r="A60" s="1"/>
      <x:c r="B60" s="1"/>
      <x:c r="C60" s="45"/>
      <x:c r="D60" s="45"/>
      <x:c r="E60" s="45"/>
      <x:c r="F60" s="45"/>
      <x:c r="G60" s="45"/>
      <x:c r="H60" s="45"/>
      <x:c r="I60" s="45"/>
      <x:c r="J60" s="45"/>
      <x:c r="K60" s="45"/>
      <x:c r="L60" s="45"/>
      <x:c r="M60" s="45"/>
      <x:c r="N60" s="45"/>
      <x:c r="O60" s="45"/>
    </x:row>
    <x:row r="61" ht="26" customHeight="1">
      <x:c r="A61" s="1"/>
      <x:c r="B61" s="1"/>
      <x:c r="C61" s="45"/>
      <x:c r="D61" s="45"/>
      <x:c r="E61" s="45"/>
      <x:c r="F61" s="45"/>
      <x:c r="G61" s="45"/>
      <x:c r="H61" s="45"/>
      <x:c r="I61" s="45"/>
      <x:c r="J61" s="45"/>
      <x:c r="K61" s="45"/>
      <x:c r="L61" s="45"/>
      <x:c r="M61" s="45"/>
      <x:c r="N61" s="45"/>
      <x:c r="O61" s="45"/>
    </x:row>
    <x:row r="62" ht="26" customHeight="1">
      <x:c r="A62" s="1"/>
      <x:c r="B62" s="1"/>
      <x:c r="C62" s="45"/>
      <x:c r="D62" s="45"/>
      <x:c r="E62" s="45"/>
      <x:c r="F62" s="45"/>
      <x:c r="G62" s="45"/>
      <x:c r="H62" s="45"/>
      <x:c r="I62" s="45"/>
      <x:c r="J62" s="45"/>
      <x:c r="K62" s="45"/>
      <x:c r="L62" s="45"/>
      <x:c r="M62" s="45"/>
      <x:c r="N62" s="45"/>
      <x:c r="O62" s="45"/>
    </x:row>
    <x:row r="63" ht="26" customHeight="1">
      <x:c r="A63" s="1"/>
      <x:c r="B63" s="1"/>
      <x:c r="C63" s="45"/>
      <x:c r="D63" s="45"/>
      <x:c r="E63" s="45"/>
      <x:c r="F63" s="45"/>
      <x:c r="G63" s="45"/>
      <x:c r="H63" s="45"/>
      <x:c r="I63" s="45"/>
      <x:c r="J63" s="45"/>
      <x:c r="K63" s="45"/>
      <x:c r="L63" s="45"/>
      <x:c r="M63" s="45"/>
      <x:c r="N63" s="45"/>
      <x:c r="O63" s="45"/>
    </x:row>
    <x:row r="64" ht="26" customHeight="1">
      <x:c r="A64" s="1"/>
      <x:c r="B64" s="1"/>
      <x:c r="C64" s="45"/>
      <x:c r="D64" s="45"/>
      <x:c r="E64" s="45"/>
      <x:c r="F64" s="45"/>
      <x:c r="G64" s="45"/>
      <x:c r="H64" s="45"/>
      <x:c r="I64" s="45"/>
      <x:c r="J64" s="45"/>
      <x:c r="K64" s="45"/>
      <x:c r="L64" s="45"/>
      <x:c r="M64" s="45"/>
      <x:c r="N64" s="45"/>
      <x:c r="O64" s="45"/>
    </x:row>
    <x:row r="65" ht="26" customHeight="1">
      <x:c r="A65" s="1"/>
      <x:c r="B65" s="1"/>
      <x:c r="C65" s="45"/>
      <x:c r="D65" s="45"/>
      <x:c r="E65" s="45"/>
      <x:c r="F65" s="45"/>
      <x:c r="G65" s="45"/>
      <x:c r="H65" s="45"/>
      <x:c r="I65" s="45"/>
      <x:c r="J65" s="45"/>
      <x:c r="K65" s="45"/>
      <x:c r="L65" s="45"/>
      <x:c r="M65" s="45"/>
      <x:c r="N65" s="45"/>
      <x:c r="O65" s="45"/>
    </x:row>
    <x:row r="66" ht="26" customHeight="1">
      <x:c r="A66" s="1"/>
      <x:c r="B66" s="1"/>
      <x:c r="C66" s="45"/>
      <x:c r="D66" s="45"/>
      <x:c r="E66" s="45"/>
      <x:c r="F66" s="45"/>
      <x:c r="G66" s="45"/>
      <x:c r="H66" s="45"/>
      <x:c r="I66" s="45"/>
      <x:c r="J66" s="45"/>
      <x:c r="K66" s="45"/>
      <x:c r="L66" s="45"/>
      <x:c r="M66" s="45"/>
      <x:c r="N66" s="45"/>
      <x:c r="O66" s="45"/>
    </x:row>
    <x:row r="67" ht="26" customHeight="1">
      <x:c r="A67" s="1"/>
      <x:c r="B67" s="1"/>
      <x:c r="C67" s="45"/>
      <x:c r="D67" s="45"/>
      <x:c r="E67" s="45"/>
      <x:c r="F67" s="45"/>
      <x:c r="G67" s="45"/>
      <x:c r="H67" s="45"/>
      <x:c r="I67" s="45"/>
      <x:c r="J67" s="45"/>
      <x:c r="K67" s="45"/>
      <x:c r="L67" s="45"/>
      <x:c r="M67" s="45"/>
      <x:c r="N67" s="45"/>
      <x:c r="O67" s="45"/>
    </x:row>
    <x:row r="68" ht="26" customHeight="1">
      <x:c r="A68" s="1"/>
      <x:c r="B68" s="1"/>
      <x:c r="C68" s="45"/>
      <x:c r="D68" s="45"/>
      <x:c r="E68" s="45"/>
      <x:c r="F68" s="45"/>
      <x:c r="G68" s="45"/>
      <x:c r="H68" s="45"/>
      <x:c r="I68" s="45"/>
      <x:c r="J68" s="45"/>
      <x:c r="K68" s="45"/>
      <x:c r="L68" s="45"/>
      <x:c r="M68" s="45"/>
      <x:c r="N68" s="45"/>
      <x:c r="O68" s="45"/>
    </x:row>
    <x:row r="69" ht="26" customHeight="1">
      <x:c r="A69" s="1"/>
      <x:c r="B69" s="1"/>
      <x:c r="C69" s="45"/>
      <x:c r="D69" s="45"/>
      <x:c r="E69" s="45"/>
      <x:c r="F69" s="45"/>
      <x:c r="G69" s="45"/>
      <x:c r="H69" s="45"/>
      <x:c r="I69" s="45"/>
      <x:c r="J69" s="45"/>
      <x:c r="K69" s="45"/>
      <x:c r="L69" s="45"/>
      <x:c r="M69" s="45"/>
      <x:c r="N69" s="45"/>
      <x:c r="O69" s="45"/>
    </x:row>
    <x:row r="70" ht="26" customHeight="1">
      <x:c r="A70" s="1"/>
      <x:c r="B70" s="1"/>
      <x:c r="C70" s="45"/>
      <x:c r="D70" s="45"/>
      <x:c r="E70" s="45"/>
      <x:c r="F70" s="45"/>
      <x:c r="G70" s="45"/>
      <x:c r="H70" s="45"/>
      <x:c r="I70" s="45"/>
      <x:c r="J70" s="45"/>
      <x:c r="K70" s="45"/>
      <x:c r="L70" s="45"/>
      <x:c r="M70" s="45"/>
      <x:c r="N70" s="45"/>
      <x:c r="O70" s="45"/>
    </x:row>
  </x:sheetData>
  <x:mergeCells>
    <x:mergeCell ref="C2:H2"/>
    <x:mergeCell ref="C3:M3"/>
    <x:mergeCell ref="C5:J5"/>
    <x:mergeCell ref="K5:O5"/>
    <x:mergeCell ref="C7:F7"/>
    <x:mergeCell ref="C8:F10"/>
    <x:mergeCell ref="C11:F11"/>
    <x:mergeCell ref="G7:J7"/>
    <x:mergeCell ref="G8:J10"/>
    <x:mergeCell ref="G11:J11"/>
    <x:mergeCell ref="K7:O7"/>
    <x:mergeCell ref="K8:O10"/>
    <x:mergeCell ref="K11:O11"/>
    <x:mergeCell ref="C14:F14"/>
    <x:mergeCell ref="G14:O15"/>
    <x:mergeCell ref="C18:J18"/>
    <x:mergeCell ref="C20:G20"/>
    <x:mergeCell ref="H20:J20"/>
    <x:mergeCell ref="C21:G21"/>
    <x:mergeCell ref="H21:J21"/>
    <x:mergeCell ref="C22:G22"/>
    <x:mergeCell ref="H22:J22"/>
    <x:mergeCell ref="C23:G23"/>
    <x:mergeCell ref="H23:J23"/>
    <x:mergeCell ref="C24:G24"/>
    <x:mergeCell ref="H24:J24"/>
    <x:mergeCell ref="C25:G25"/>
    <x:mergeCell ref="H25:J25"/>
    <x:mergeCell ref="C26:G26"/>
    <x:mergeCell ref="H26:J26"/>
    <x:mergeCell ref="K18:O18"/>
    <x:mergeCell ref="K20:O20"/>
    <x:mergeCell ref="K21:O22"/>
    <x:mergeCell ref="K23:O23"/>
    <x:mergeCell ref="K24:O25"/>
    <x:mergeCell ref="K26:O26"/>
    <x:mergeCell ref="K27:O28"/>
    <x:mergeCell ref="K31:O32"/>
    <x:mergeCell ref="K35:O36"/>
    <x:mergeCell ref="K39:O40"/>
    <x:mergeCell ref="C1:D1"/>
    <x:mergeCell ref="E1:F1"/>
    <x:mergeCell ref="G1:H1"/>
    <x:mergeCell ref="I1:J1"/>
    <x:mergeCell ref="K1:L1"/>
    <x:mergeCell ref="M1:N1"/>
  </x:mergeCells>
  <x:conditionalFormatting sqref="G14:O15">
    <x:cfRule type="containsText" dxfId="528" priority="1" operator="containsText" text="Missing"/>
    <x:cfRule type="containsText" dxfId="529" priority="2" operator="containsText" text="Required"/>
    <x:cfRule type="containsText" dxfId="530" priority="3" operator="containsText" text="required"/>
    <x:cfRule type="containsText" dxfId="531" priority="4" operator="containsText" text="Expired"/>
    <x:cfRule type="containsText" dxfId="532" priority="5" operator="containsText" text="Hold"/>
    <x:cfRule type="containsText" dxfId="533" priority="6" operator="containsText" text="Review"/>
    <x:cfRule type="containsText" dxfId="534" priority="7" operator="containsText" text="Incomplete"/>
    <x:cfRule type="containsText" dxfId="535" priority="8" operator="containsText" text="Pending"/>
    <x:cfRule type="containsText" dxfId="536" priority="9" operator="containsText" text="Unsupported"/>
    <x:cfRule type="containsText" dxfId="537" priority="10" operator="containsText" text="Criteria"/>
    <x:cfRule type="containsText" dxfId="538" priority="11" operator="containsText" text="Fail"/>
    <x:cfRule type="containsText" dxfId="539" priority="12" operator="containsText" text="Stop"/>
    <x:cfRule type="containsText" dxfId="540" priority="13" operator="containsText" text="Breach"/>
    <x:cfRule type="containsText" dxfId="541" priority="14" operator="containsText" text="Invalid"/>
    <x:cfRule type="containsText" dxfId="542" priority="15" operator="containsText" text="Duplicate"/>
    <x:cfRule type="containsText" dxfId="543" priority="16" operator="containsText" text="Not aligned"/>
  </x:conditionalFormatting>
  <x:hyperlinks>
    <x:hyperlink ref="K5" location="'Settings'!F7" display="Choose customer" tooltip="Open Settings"/>
    <x:hyperlink ref="K31" location="'ESG'!C8" display="Review E&amp;S assessment" tooltip="Open ESG"/>
    <x:hyperlink ref="K35" location="'Actions'!C8" display="Review action evidence" tooltip="Open Actions"/>
    <x:hyperlink ref="K39" location="'Taxonomy Tests'!C8" display="Review taxonomy tests" tooltip="Open Taxonomy Tests"/>
    <x:hyperlink ref="C1" location="'Overview'!C2" display="Home" tooltip="Open Overview"/>
    <x:hyperlink ref="E1" location="'Customer'!C2" display="Customer" tooltip="Open Customer"/>
    <x:hyperlink ref="G1" location="'Capital'!C2" display="Capital" tooltip="Open Capital"/>
    <x:hyperlink ref="I1" location="'Disclosures'!C2" display="Reporting" tooltip="Open Disclosures"/>
    <x:hyperlink ref="K1" location="'Borrowers'!C8" display="Inputs" tooltip="Open Borrowers"/>
    <x:hyperlink ref="M1" location="'Settings'!C5" display="Settings" tooltip="Open Settings"/>
  </x:hyperlinks>
  <x:pageMargins left="0.7" right="0.7" top="0.75" bottom="0.75" header="0.3" footer="0.3"/>
  <x:drawing xmlns:r="http://schemas.openxmlformats.org/officeDocument/2006/relationships" r:id="R49257736778a4611"/>
</x:worksheet>
</file>

<file path=xl/worksheets/sheet4.xml><?xml version="1.0" encoding="utf-8"?>
<x:worksheet xmlns:x="http://schemas.openxmlformats.org/spreadsheetml/2006/main">
  <x:sheetPr>
    <x:tabColor rgb="FF102D42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.4000000953674316" hidden="0" customWidth="1"/>
    <x:col min="2" max="2" width="2.4000000953674316" hidden="0" customWidth="1"/>
    <x:col min="3" max="3" width="22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0.5" hidden="0" customWidth="1"/>
    <x:col min="10" max="10" width="10.5" hidden="0" customWidth="1"/>
    <x:col min="11" max="11" width="10.5" hidden="0" customWidth="1"/>
    <x:col min="12" max="12" width="10.5" hidden="0" customWidth="1"/>
    <x:col min="13" max="13" width="10.5" hidden="0" customWidth="1"/>
    <x:col min="14" max="14" width="10.5" hidden="0" customWidth="1"/>
    <x:col min="15" max="15" width="10.5" hidden="0" customWidth="1"/>
  </x:cols>
  <x:sheetData>
    <x:row r="1" ht="27" customHeight="1">
      <x:c r="A1" s="1"/>
      <x:c r="B1" s="1"/>
      <x:c r="C1" s="50" t="str">
        <x:v>Home</x:v>
      </x:c>
      <x:c r="D1" s="50"/>
      <x:c r="E1" s="63" t="str">
        <x:v>Customer</x:v>
      </x:c>
      <x:c r="F1" s="63"/>
      <x:c r="G1" s="63" t="str">
        <x:v>Capital</x:v>
      </x:c>
      <x:c r="H1" s="63"/>
      <x:c r="I1" s="63" t="str">
        <x:v>Reporting</x:v>
      </x:c>
      <x:c r="J1" s="63"/>
      <x:c r="K1" s="63" t="str">
        <x:v>Inputs</x:v>
      </x:c>
      <x:c r="L1" s="63"/>
      <x:c r="M1" s="63" t="str">
        <x:v>Settings</x:v>
      </x:c>
      <x:c r="N1" s="63"/>
      <x:c r="O1" s="3"/>
    </x:row>
    <x:row r="2" ht="45" customHeight="1">
      <x:c r="A2" s="1"/>
      <x:c r="B2" s="1"/>
      <x:c r="C2" s="5" t="str">
        <x:v>Portfolio analytics</x:v>
      </x:c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</x:row>
    <x:row r="3" ht="32" customHeight="1">
      <x:c r="A3" s="1"/>
      <x:c r="B3" s="1"/>
      <x:c r="C3" s="6" t="str">
        <x:v>Concentration, credit quality and climate coverage across the facility register.</x:v>
      </x:c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3"/>
      <x:c r="O3" s="3"/>
    </x:row>
    <x:row r="4" ht="26" customHeight="1">
      <x:c r="A4" s="1"/>
      <x:c r="B4" s="1"/>
      <x:c r="C4" s="45"/>
      <x:c r="D4" s="45"/>
      <x:c r="E4" s="45"/>
      <x:c r="F4" s="45"/>
      <x:c r="G4" s="45"/>
      <x:c r="H4" s="45"/>
      <x:c r="I4" s="45"/>
      <x:c r="J4" s="45"/>
      <x:c r="K4" s="45"/>
      <x:c r="L4" s="45"/>
      <x:c r="M4" s="45"/>
      <x:c r="N4" s="45"/>
      <x:c r="O4" s="45"/>
    </x:row>
    <x:row r="5" ht="26" customHeight="1">
      <x:c r="A5" s="1"/>
      <x:c r="B5" s="1"/>
      <x:c r="C5" s="15" t="str">
        <x:v>BORROWERS</x:v>
      </x:c>
      <x:c r="D5" s="15"/>
      <x:c r="E5" s="15"/>
      <x:c r="F5" s="15"/>
      <x:c r="G5" s="15" t="str">
        <x:v>FACILITIES</x:v>
      </x:c>
      <x:c r="H5" s="15"/>
      <x:c r="I5" s="15"/>
      <x:c r="J5" s="15"/>
      <x:c r="K5" s="57" t="str">
        <x:v>PHYSICAL SITES</x:v>
      </x:c>
      <x:c r="L5" s="57"/>
      <x:c r="M5" s="57"/>
      <x:c r="N5" s="57"/>
      <x:c r="O5" s="57"/>
    </x:row>
    <x:row r="6" ht="26" customHeight="1">
      <x:c r="A6" s="1"/>
      <x:c r="B6" s="1"/>
      <x:c r="C6" s="59" t="n">
        <x:f>COUNTA(Borrowers!C9:C108)</x:f>
        <x:v>24</x:v>
      </x:c>
      <x:c r="D6" s="59"/>
      <x:c r="E6" s="59"/>
      <x:c r="F6" s="59"/>
      <x:c r="G6" s="59" t="n">
        <x:f>COUNTA(Facilities!C9:C108)</x:f>
        <x:v>36</x:v>
      </x:c>
      <x:c r="H6" s="59"/>
      <x:c r="I6" s="59"/>
      <x:c r="J6" s="59"/>
      <x:c r="K6" s="59" t="n">
        <x:f>COUNTA(Sites!C9:C108)</x:f>
        <x:v>48</x:v>
      </x:c>
      <x:c r="L6" s="59"/>
      <x:c r="M6" s="59"/>
      <x:c r="N6" s="59"/>
      <x:c r="O6" s="59"/>
    </x:row>
    <x:row r="7" ht="26" customHeight="1">
      <x:c r="A7" s="1"/>
      <x:c r="B7" s="1"/>
      <x:c r="C7" s="59"/>
      <x:c r="D7" s="59"/>
      <x:c r="E7" s="59"/>
      <x:c r="F7" s="59"/>
      <x:c r="G7" s="59"/>
      <x:c r="H7" s="59"/>
      <x:c r="I7" s="59"/>
      <x:c r="J7" s="59"/>
      <x:c r="K7" s="59"/>
      <x:c r="L7" s="59"/>
      <x:c r="M7" s="59"/>
      <x:c r="N7" s="59"/>
      <x:c r="O7" s="59"/>
    </x:row>
    <x:row r="8" ht="26" customHeight="1">
      <x:c r="A8" s="1"/>
      <x:c r="B8" s="1"/>
      <x:c r="C8" s="59"/>
      <x:c r="D8" s="59"/>
      <x:c r="E8" s="59"/>
      <x:c r="F8" s="59"/>
      <x:c r="G8" s="59"/>
      <x:c r="H8" s="59"/>
      <x:c r="I8" s="59"/>
      <x:c r="J8" s="59"/>
      <x:c r="K8" s="59"/>
      <x:c r="L8" s="59"/>
      <x:c r="M8" s="59"/>
      <x:c r="N8" s="59"/>
      <x:c r="O8" s="59"/>
    </x:row>
    <x:row r="9" ht="26" customHeight="1">
      <x:c r="A9" s="1"/>
      <x:c r="B9" s="1"/>
      <x:c r="C9" s="55" t="str">
        <x:v>100 borrower slots</x:v>
      </x:c>
      <x:c r="D9" s="55"/>
      <x:c r="E9" s="55"/>
      <x:c r="F9" s="55"/>
      <x:c r="G9" s="55" t="str">
        <x:v>100 facility slots</x:v>
      </x:c>
      <x:c r="H9" s="55"/>
      <x:c r="I9" s="55"/>
      <x:c r="J9" s="55"/>
      <x:c r="K9" s="55" t="str">
        <x:v>100 site slots</x:v>
      </x:c>
      <x:c r="L9" s="55"/>
      <x:c r="M9" s="55"/>
      <x:c r="N9" s="55"/>
      <x:c r="O9" s="55"/>
    </x:row>
    <x:row r="10" ht="26" customHeight="1">
      <x:c r="A10" s="1"/>
      <x:c r="B10" s="1"/>
      <x:c r="C10" s="45"/>
      <x:c r="D10" s="45"/>
      <x:c r="E10" s="45"/>
      <x:c r="F10" s="45"/>
      <x:c r="G10" s="45"/>
      <x:c r="H10" s="45"/>
      <x:c r="I10" s="45"/>
      <x:c r="J10" s="45"/>
      <x:c r="K10" s="45"/>
      <x:c r="L10" s="45"/>
      <x:c r="M10" s="45"/>
      <x:c r="N10" s="45"/>
      <x:c r="O10" s="45"/>
    </x:row>
    <x:row r="11" ht="26" customHeight="1">
      <x:c r="A11" s="1"/>
      <x:c r="B11" s="1"/>
      <x:c r="C11" s="45"/>
      <x:c r="D11" s="45"/>
      <x:c r="E11" s="45"/>
      <x:c r="F11" s="45"/>
      <x:c r="G11" s="45"/>
      <x:c r="H11" s="45"/>
      <x:c r="I11" s="45"/>
      <x:c r="J11" s="45"/>
      <x:c r="K11" s="45"/>
      <x:c r="L11" s="45"/>
      <x:c r="M11" s="45"/>
      <x:c r="N11" s="45"/>
      <x:c r="O11" s="45"/>
    </x:row>
    <x:row r="12" ht="46" customHeight="1">
      <x:c r="A12" s="1"/>
      <x:c r="B12" s="1"/>
      <x:c r="C12" s="15" t="str">
        <x:v>Sector</x:v>
      </x:c>
      <x:c r="D12" s="15" t="str">
        <x:v>Drawn USD m</x:v>
      </x:c>
      <x:c r="E12" s="15" t="str">
        <x:v>ECL USD m</x:v>
      </x:c>
      <x:c r="F12" s="15" t="str">
        <x:v>Financed tCO2e</x:v>
      </x:c>
      <x:c r="G12" s="15" t="str">
        <x:v>Covered USD m</x:v>
      </x:c>
      <x:c r="H12" s="15" t="str">
        <x:v>Coverage</x:v>
      </x:c>
      <x:c r="I12" s="45"/>
      <x:c r="J12" s="45"/>
      <x:c r="K12" s="45"/>
      <x:c r="L12" s="45"/>
      <x:c r="M12" s="45"/>
      <x:c r="N12" s="45"/>
      <x:c r="O12" s="45"/>
    </x:row>
    <x:row r="13" ht="26" customHeight="1">
      <x:c r="A13" s="1"/>
      <x:c r="B13" s="1"/>
      <x:c r="C13" s="45" t="str">
        <x:v>Cement</x:v>
      </x:c>
      <x:c r="D13" s="68" t="n">
        <x:f>SUMIF($D$50:$D$149,C13,$F$50:$F$149)</x:f>
        <x:v>28.4</x:v>
      </x:c>
      <x:c r="E13" s="68" t="n">
        <x:f>SUMIF($D$50:$D$149,C13,$G$50:$G$149)</x:f>
        <x:v>0.18341221707818933</x:v>
      </x:c>
      <x:c r="F13" s="68" t="n">
        <x:f>SUMIF($D$50:$D$149,C13,$H$50:$H$149)</x:f>
        <x:v>38785.713875598085</x:v>
      </x:c>
      <x:c r="G13" s="68" t="n">
        <x:f>SUMIF($D$50:$D$149,C13,$I$50:$I$149)</x:f>
        <x:v>28.4</x:v>
      </x:c>
      <x:c r="H13" s="60" t="n">
        <x:f>IF(D13&gt;0,G13/D13,0)</x:f>
        <x:v>1</x:v>
      </x:c>
      <x:c r="I13" s="45"/>
      <x:c r="J13" s="45"/>
      <x:c r="K13" s="45"/>
      <x:c r="L13" s="45"/>
      <x:c r="M13" s="45"/>
      <x:c r="N13" s="45"/>
      <x:c r="O13" s="45"/>
    </x:row>
    <x:row r="14" ht="26" customHeight="1">
      <x:c r="A14" s="1"/>
      <x:c r="B14" s="1"/>
      <x:c r="C14" s="45" t="str">
        <x:v>Solar</x:v>
      </x:c>
      <x:c r="D14" s="68" t="n">
        <x:f>SUMIF($D$50:$D$149,C14,$F$50:$F$149)</x:f>
        <x:v>30.15</x:v>
      </x:c>
      <x:c r="E14" s="68" t="n">
        <x:f>SUMIF($D$50:$D$149,C14,$G$50:$G$149)</x:f>
        <x:v>0.3145555898491084</x:v>
      </x:c>
      <x:c r="F14" s="68" t="n">
        <x:f>SUMIF($D$50:$D$149,C14,$H$50:$H$149)</x:f>
        <x:v>20.430489340659335</x:v>
      </x:c>
      <x:c r="G14" s="68" t="n">
        <x:f>SUMIF($D$50:$D$149,C14,$I$50:$I$149)</x:f>
        <x:v>30.15</x:v>
      </x:c>
      <x:c r="H14" s="60" t="n">
        <x:f>IF(D14&gt;0,G14/D14,0)</x:f>
        <x:v>1</x:v>
      </x:c>
      <x:c r="I14" s="45"/>
      <x:c r="J14" s="45"/>
      <x:c r="K14" s="45"/>
      <x:c r="L14" s="45"/>
      <x:c r="M14" s="45"/>
      <x:c r="N14" s="45"/>
      <x:c r="O14" s="45"/>
    </x:row>
    <x:row r="15" ht="26" customHeight="1">
      <x:c r="A15" s="1"/>
      <x:c r="B15" s="1"/>
      <x:c r="C15" s="45" t="str">
        <x:v>Logistics</x:v>
      </x:c>
      <x:c r="D15" s="68" t="n">
        <x:f>SUMIF($D$50:$D$149,C15,$F$50:$F$149)</x:f>
        <x:v>31.9</x:v>
      </x:c>
      <x:c r="E15" s="68" t="n">
        <x:f>SUMIF($D$50:$D$149,C15,$G$50:$G$149)</x:f>
        <x:v>1.0805968841733304</x:v>
      </x:c>
      <x:c r="F15" s="68" t="n">
        <x:f>SUMIF($D$50:$D$149,C15,$H$50:$H$149)</x:f>
        <x:v>1897.1245714285712</x:v>
      </x:c>
      <x:c r="G15" s="68" t="n">
        <x:f>SUMIF($D$50:$D$149,C15,$I$50:$I$149)</x:f>
        <x:v>31.9</x:v>
      </x:c>
      <x:c r="H15" s="60" t="n">
        <x:f>IF(D15&gt;0,G15/D15,0)</x:f>
        <x:v>1</x:v>
      </x:c>
      <x:c r="I15" s="45"/>
      <x:c r="J15" s="45"/>
      <x:c r="K15" s="45"/>
      <x:c r="L15" s="45"/>
      <x:c r="M15" s="45"/>
      <x:c r="N15" s="45"/>
      <x:c r="O15" s="45"/>
    </x:row>
    <x:row r="16" ht="26" customHeight="1">
      <x:c r="A16" s="1"/>
      <x:c r="B16" s="1"/>
      <x:c r="C16" s="45" t="str">
        <x:v>Food</x:v>
      </x:c>
      <x:c r="D16" s="68" t="n">
        <x:f>SUMIF($D$50:$D$149,C16,$F$50:$F$149)</x:f>
        <x:v>33.65</x:v>
      </x:c>
      <x:c r="E16" s="68" t="n">
        <x:f>SUMIF($D$50:$D$149,C16,$G$50:$G$149)</x:f>
        <x:v>1.4711045968357492</x:v>
      </x:c>
      <x:c r="F16" s="68" t="n">
        <x:f>SUMIF($D$50:$D$149,C16,$H$50:$H$149)</x:f>
        <x:v>1698.2375000000002</x:v>
      </x:c>
      <x:c r="G16" s="68" t="n">
        <x:f>SUMIF($D$50:$D$149,C16,$I$50:$I$149)</x:f>
        <x:v>33.65</x:v>
      </x:c>
      <x:c r="H16" s="60" t="n">
        <x:f>IF(D16&gt;0,G16/D16,0)</x:f>
        <x:v>1</x:v>
      </x:c>
      <x:c r="I16" s="45"/>
      <x:c r="J16" s="45"/>
      <x:c r="K16" s="45"/>
      <x:c r="L16" s="45"/>
      <x:c r="M16" s="45"/>
      <x:c r="N16" s="45"/>
      <x:c r="O16" s="45"/>
    </x:row>
    <x:row r="17" ht="26" customHeight="1">
      <x:c r="A17" s="1"/>
      <x:c r="B17" s="1"/>
      <x:c r="C17" s="45" t="str">
        <x:v>Property</x:v>
      </x:c>
      <x:c r="D17" s="68" t="n">
        <x:f>SUMIF($D$50:$D$149,C17,$F$50:$F$149)</x:f>
        <x:v>35.4</x:v>
      </x:c>
      <x:c r="E17" s="68" t="n">
        <x:f>SUMIF($D$50:$D$149,C17,$G$50:$G$149)</x:f>
        <x:v>1.9914286696668082</x:v>
      </x:c>
      <x:c r="F17" s="68" t="n">
        <x:f>SUMIF($D$50:$D$149,C17,$H$50:$H$149)</x:f>
        <x:v>1117.8240040567953</x:v>
      </x:c>
      <x:c r="G17" s="68" t="n">
        <x:f>SUMIF($D$50:$D$149,C17,$I$50:$I$149)</x:f>
        <x:v>35.4</x:v>
      </x:c>
      <x:c r="H17" s="60" t="n">
        <x:f>IF(D17&gt;0,G17/D17,0)</x:f>
        <x:v>1</x:v>
      </x:c>
      <x:c r="I17" s="45"/>
      <x:c r="J17" s="45"/>
      <x:c r="K17" s="45"/>
      <x:c r="L17" s="45"/>
      <x:c r="M17" s="45"/>
      <x:c r="N17" s="45"/>
      <x:c r="O17" s="45"/>
    </x:row>
    <x:row r="18" ht="26" customHeight="1">
      <x:c r="A18" s="1"/>
      <x:c r="B18" s="1"/>
      <x:c r="C18" s="45" t="str">
        <x:v>Hospitality</x:v>
      </x:c>
      <x:c r="D18" s="68" t="n">
        <x:f>SUMIF($D$50:$D$149,C18,$F$50:$F$149)</x:f>
        <x:v>21.95</x:v>
      </x:c>
      <x:c r="E18" s="68" t="n">
        <x:f>SUMIF($D$50:$D$149,C18,$G$50:$G$149)</x:f>
        <x:v>0.4859940243484225</x:v>
      </x:c>
      <x:c r="F18" s="68" t="n">
        <x:f>SUMIF($D$50:$D$149,C18,$H$50:$H$149)</x:f>
        <x:v>1017.13</x:v>
      </x:c>
      <x:c r="G18" s="68" t="n">
        <x:f>SUMIF($D$50:$D$149,C18,$I$50:$I$149)</x:f>
        <x:v>21.95</x:v>
      </x:c>
      <x:c r="H18" s="60" t="n">
        <x:f>IF(D18&gt;0,G18/D18,0)</x:f>
        <x:v>1</x:v>
      </x:c>
      <x:c r="I18" s="45"/>
      <x:c r="J18" s="45"/>
      <x:c r="K18" s="45"/>
      <x:c r="L18" s="45"/>
      <x:c r="M18" s="45"/>
      <x:c r="N18" s="45"/>
      <x:c r="O18" s="45"/>
    </x:row>
    <x:row r="19" ht="26" customHeight="1">
      <x:c r="A19" s="1"/>
      <x:c r="B19" s="1"/>
      <x:c r="C19" s="45" t="str">
        <x:v>Healthcare</x:v>
      </x:c>
      <x:c r="D19" s="68" t="n">
        <x:f>SUMIF($D$50:$D$149,C19,$F$50:$F$149)</x:f>
        <x:v>15.2</x:v>
      </x:c>
      <x:c r="E19" s="68" t="n">
        <x:f>SUMIF($D$50:$D$149,C19,$G$50:$G$149)</x:f>
        <x:v>0.3325518518518519</x:v>
      </x:c>
      <x:c r="F19" s="68" t="n">
        <x:f>SUMIF($D$50:$D$149,C19,$H$50:$H$149)</x:f>
        <x:v>910.7333333333333</x:v>
      </x:c>
      <x:c r="G19" s="68" t="n">
        <x:f>SUMIF($D$50:$D$149,C19,$I$50:$I$149)</x:f>
        <x:v>15.2</x:v>
      </x:c>
      <x:c r="H19" s="60" t="n">
        <x:f>IF(D19&gt;0,G19/D19,0)</x:f>
        <x:v>1</x:v>
      </x:c>
      <x:c r="I19" s="45"/>
      <x:c r="J19" s="45"/>
      <x:c r="K19" s="45"/>
      <x:c r="L19" s="45"/>
      <x:c r="M19" s="45"/>
      <x:c r="N19" s="45"/>
      <x:c r="O19" s="45"/>
    </x:row>
    <x:row r="20" ht="26" customHeight="1">
      <x:c r="A20" s="1"/>
      <x:c r="B20" s="1"/>
      <x:c r="C20" s="45" t="str">
        <x:v>Manufacturing</x:v>
      </x:c>
      <x:c r="D20" s="68" t="n">
        <x:f>SUMIF($D$50:$D$149,C20,$F$50:$F$149)</x:f>
        <x:v>23.65</x:v>
      </x:c>
      <x:c r="E20" s="68" t="n">
        <x:f>SUMIF($D$50:$D$149,C20,$G$50:$G$149)</x:f>
        <x:v>0.274623816872428</x:v>
      </x:c>
      <x:c r="F20" s="68" t="n">
        <x:f>SUMIF($D$50:$D$149,C20,$H$50:$H$149)</x:f>
        <x:v>1380.4407020872866</x:v>
      </x:c>
      <x:c r="G20" s="68" t="n">
        <x:f>SUMIF($D$50:$D$149,C20,$I$50:$I$149)</x:f>
        <x:v>23.65</x:v>
      </x:c>
      <x:c r="H20" s="60" t="n">
        <x:f>IF(D20&gt;0,G20/D20,0)</x:f>
        <x:v>1</x:v>
      </x:c>
      <x:c r="I20" s="45"/>
      <x:c r="J20" s="45"/>
      <x:c r="K20" s="45"/>
      <x:c r="L20" s="45"/>
      <x:c r="M20" s="45"/>
      <x:c r="N20" s="45"/>
      <x:c r="O20" s="45"/>
    </x:row>
    <x:row r="21" ht="26" customHeight="1">
      <x:c r="A21" s="1"/>
      <x:c r="B21" s="1"/>
      <x:c r="C21" s="45" t="str">
        <x:v>Agriculture</x:v>
      </x:c>
      <x:c r="D21" s="68" t="n">
        <x:f>SUMIF($D$50:$D$149,C21,$F$50:$F$149)</x:f>
        <x:v>11.649999999999999</x:v>
      </x:c>
      <x:c r="E21" s="68" t="n">
        <x:f>SUMIF($D$50:$D$149,C21,$G$50:$G$149)</x:f>
        <x:v>0.13656690672153635</x:v>
      </x:c>
      <x:c r="F21" s="68" t="n">
        <x:f>SUMIF($D$50:$D$149,C21,$H$50:$H$149)</x:f>
        <x:v>285.6245062499999</x:v>
      </x:c>
      <x:c r="G21" s="68" t="n">
        <x:f>SUMIF($D$50:$D$149,C21,$I$50:$I$149)</x:f>
        <x:v>11.649999999999999</x:v>
      </x:c>
      <x:c r="H21" s="60" t="n">
        <x:f>IF(D21&gt;0,G21/D21,0)</x:f>
        <x:v>1</x:v>
      </x:c>
      <x:c r="I21" s="45"/>
      <x:c r="J21" s="45"/>
      <x:c r="K21" s="45"/>
      <x:c r="L21" s="45"/>
      <x:c r="M21" s="45"/>
      <x:c r="N21" s="45"/>
      <x:c r="O21" s="45"/>
    </x:row>
    <x:row r="22" ht="26" customHeight="1">
      <x:c r="A22" s="1"/>
      <x:c r="B22" s="1"/>
      <x:c r="C22" s="45" t="str">
        <x:v>Utilities</x:v>
      </x:c>
      <x:c r="D22" s="68" t="n">
        <x:f>SUMIF($D$50:$D$149,C22,$F$50:$F$149)</x:f>
        <x:v>12</x:v>
      </x:c>
      <x:c r="E22" s="68" t="n">
        <x:f>SUMIF($D$50:$D$149,C22,$G$50:$G$149)</x:f>
        <x:v>0.45640684069942283</x:v>
      </x:c>
      <x:c r="F22" s="68" t="n">
        <x:f>SUMIF($D$50:$D$149,C22,$H$50:$H$149)</x:f>
        <x:v>501.9130434782608</x:v>
      </x:c>
      <x:c r="G22" s="68" t="n">
        <x:f>SUMIF($D$50:$D$149,C22,$I$50:$I$149)</x:f>
        <x:v>12</x:v>
      </x:c>
      <x:c r="H22" s="60" t="n">
        <x:f>IF(D22&gt;0,G22/D22,0)</x:f>
        <x:v>1</x:v>
      </x:c>
      <x:c r="I22" s="45"/>
      <x:c r="J22" s="45"/>
      <x:c r="K22" s="45"/>
      <x:c r="L22" s="45"/>
      <x:c r="M22" s="45"/>
      <x:c r="N22" s="45"/>
      <x:c r="O22" s="45"/>
    </x:row>
    <x:row r="23" ht="26" customHeight="1">
      <x:c r="A23" s="1"/>
      <x:c r="B23" s="1"/>
      <x:c r="C23" s="45" t="str">
        <x:v>Technology</x:v>
      </x:c>
      <x:c r="D23" s="68" t="n">
        <x:f>SUMIF($D$50:$D$149,C23,$F$50:$F$149)</x:f>
        <x:v>12.7</x:v>
      </x:c>
      <x:c r="E23" s="68" t="n">
        <x:f>SUMIF($D$50:$D$149,C23,$G$50:$G$149)</x:f>
        <x:v>7.315397805212619</x:v>
      </x:c>
      <x:c r="F23" s="68" t="n">
        <x:f>SUMIF($D$50:$D$149,C23,$H$50:$H$149)</x:f>
        <x:v>297.28377714285716</x:v>
      </x:c>
      <x:c r="G23" s="68" t="n">
        <x:f>SUMIF($D$50:$D$149,C23,$I$50:$I$149)</x:f>
        <x:v>12.7</x:v>
      </x:c>
      <x:c r="H23" s="60" t="n">
        <x:f>IF(D23&gt;0,G23/D23,0)</x:f>
        <x:v>1</x:v>
      </x:c>
      <x:c r="I23" s="45"/>
      <x:c r="J23" s="45"/>
      <x:c r="K23" s="45"/>
      <x:c r="L23" s="45"/>
      <x:c r="M23" s="45"/>
      <x:c r="N23" s="45"/>
      <x:c r="O23" s="45"/>
    </x:row>
    <x:row r="24" ht="26" customHeight="1">
      <x:c r="A24" s="1"/>
      <x:c r="B24" s="1"/>
      <x:c r="C24" s="45" t="str">
        <x:v>Transport</x:v>
      </x:c>
      <x:c r="D24" s="68" t="n">
        <x:f>SUMIF($D$50:$D$149,C24,$F$50:$F$149)</x:f>
        <x:v>13.049999999999999</x:v>
      </x:c>
      <x:c r="E24" s="68" t="n">
        <x:f>SUMIF($D$50:$D$149,C24,$G$50:$G$149)</x:f>
        <x:v>0.3308505829903977</x:v>
      </x:c>
      <x:c r="F24" s="68" t="n">
        <x:f>SUMIF($D$50:$D$149,C24,$H$50:$H$149)</x:f>
        <x:v>756.175</x:v>
      </x:c>
      <x:c r="G24" s="68" t="n">
        <x:f>SUMIF($D$50:$D$149,C24,$I$50:$I$149)</x:f>
        <x:v>13.049999999999999</x:v>
      </x:c>
      <x:c r="H24" s="60" t="n">
        <x:f>IF(D24&gt;0,G24/D24,0)</x:f>
        <x:v>1</x:v>
      </x:c>
      <x:c r="I24" s="45"/>
      <x:c r="J24" s="45"/>
      <x:c r="K24" s="45"/>
      <x:c r="L24" s="45"/>
      <x:c r="M24" s="45"/>
      <x:c r="N24" s="45"/>
      <x:c r="O24" s="45"/>
    </x:row>
    <x:row r="25" ht="26" customHeight="1">
      <x:c r="A25" s="1"/>
      <x:c r="B25" s="1"/>
      <x:c r="C25" s="45"/>
      <x:c r="D25" s="45"/>
      <x:c r="E25" s="45"/>
      <x:c r="F25" s="45"/>
      <x:c r="G25" s="45"/>
      <x:c r="H25" s="45"/>
      <x:c r="I25" s="45"/>
      <x:c r="J25" s="45"/>
      <x:c r="K25" s="45"/>
      <x:c r="L25" s="45"/>
      <x:c r="M25" s="45"/>
      <x:c r="N25" s="45"/>
      <x:c r="O25" s="45"/>
    </x:row>
    <x:row r="26" ht="26" customHeight="1">
      <x:c r="A26" s="1"/>
      <x:c r="B26" s="1"/>
      <x:c r="C26" s="45"/>
      <x:c r="D26" s="45"/>
      <x:c r="E26" s="45"/>
      <x:c r="F26" s="45"/>
      <x:c r="G26" s="45"/>
      <x:c r="H26" s="45"/>
      <x:c r="I26" s="45"/>
      <x:c r="J26" s="45"/>
      <x:c r="K26" s="45"/>
      <x:c r="L26" s="45"/>
      <x:c r="M26" s="45"/>
      <x:c r="N26" s="45"/>
      <x:c r="O26" s="45"/>
    </x:row>
    <x:row r="27" ht="26" customHeight="1">
      <x:c r="A27" s="1"/>
      <x:c r="B27" s="1"/>
      <x:c r="C27" s="45"/>
      <x:c r="D27" s="45"/>
      <x:c r="E27" s="45"/>
      <x:c r="F27" s="45"/>
      <x:c r="G27" s="45"/>
      <x:c r="H27" s="45"/>
      <x:c r="I27" s="45"/>
      <x:c r="J27" s="45"/>
      <x:c r="K27" s="45"/>
      <x:c r="L27" s="45"/>
      <x:c r="M27" s="45"/>
      <x:c r="N27" s="45"/>
      <x:c r="O27" s="45"/>
    </x:row>
    <x:row r="28" ht="46" customHeight="1">
      <x:c r="A28" s="1"/>
      <x:c r="B28" s="1"/>
      <x:c r="C28" s="15" t="str">
        <x:v>Country</x:v>
      </x:c>
      <x:c r="D28" s="15" t="str">
        <x:v>Drawn USD m</x:v>
      </x:c>
      <x:c r="E28" s="15" t="str">
        <x:v>ECL USD m</x:v>
      </x:c>
      <x:c r="F28" s="15" t="str">
        <x:v>Financed tCO2e</x:v>
      </x:c>
      <x:c r="G28" s="15" t="str">
        <x:v>Coverage</x:v>
      </x:c>
      <x:c r="H28" s="45"/>
      <x:c r="I28" s="45"/>
      <x:c r="J28" s="45"/>
      <x:c r="K28" s="45"/>
      <x:c r="L28" s="45"/>
      <x:c r="M28" s="45"/>
      <x:c r="N28" s="45"/>
      <x:c r="O28" s="45"/>
    </x:row>
    <x:row r="29" ht="26" customHeight="1">
      <x:c r="A29" s="1"/>
      <x:c r="B29" s="1"/>
      <x:c r="C29" s="45" t="str">
        <x:v>Egypt</x:v>
      </x:c>
      <x:c r="D29" s="68" t="n">
        <x:f>SUMIF($E$50:$E$149,C29,$F$50:$F$149)</x:f>
        <x:v>103.49999999999999</x:v>
      </x:c>
      <x:c r="E29" s="68" t="n">
        <x:f>SUMIF($E$50:$E$149,C29,$G$50:$G$149)</x:f>
        <x:v>2.6991025026152364</x:v>
      </x:c>
      <x:c r="F29" s="68" t="n">
        <x:f>SUMIF($E$50:$E$149,C29,$H$50:$H$149)</x:f>
        <x:v>12943.474337733549</x:v>
      </x:c>
      <x:c r="G29" s="60" t="n">
        <x:f>IF(D29&gt;0,SUMIF($E$50:$E$149,C29,$I$50:$I$149)/D29,0)</x:f>
        <x:v>1</x:v>
      </x:c>
      <x:c r="H29" s="45"/>
      <x:c r="I29" s="45"/>
      <x:c r="J29" s="45"/>
      <x:c r="K29" s="45"/>
      <x:c r="L29" s="45"/>
      <x:c r="M29" s="45"/>
      <x:c r="N29" s="45"/>
      <x:c r="O29" s="45"/>
    </x:row>
    <x:row r="30" ht="26" customHeight="1">
      <x:c r="A30" s="1"/>
      <x:c r="B30" s="1"/>
      <x:c r="C30" s="45" t="str">
        <x:v>Jordan</x:v>
      </x:c>
      <x:c r="D30" s="68" t="n">
        <x:f>SUMIF($E$50:$E$149,C30,$F$50:$F$149)</x:f>
        <x:v>93.04999999999998</x:v>
      </x:c>
      <x:c r="E30" s="68" t="n">
        <x:f>SUMIF($E$50:$E$149,C30,$G$50:$G$149)</x:f>
        <x:v>2.916897777305376</x:v>
      </x:c>
      <x:c r="F30" s="68" t="n">
        <x:f>SUMIF($E$50:$E$149,C30,$H$50:$H$149)</x:f>
        <x:v>21719.376562817342</x:v>
      </x:c>
      <x:c r="G30" s="60" t="n">
        <x:f>IF(D30&gt;0,SUMIF($E$50:$E$149,C30,$I$50:$I$149)/D30,0)</x:f>
        <x:v>1</x:v>
      </x:c>
      <x:c r="H30" s="45"/>
      <x:c r="I30" s="45"/>
      <x:c r="J30" s="46" t="str">
        <x:v>CREDIT DATA STATUS</x:v>
      </x:c>
      <x:c r="K30" s="46"/>
      <x:c r="L30" s="46"/>
      <x:c r="M30" s="46"/>
      <x:c r="N30" s="46"/>
      <x:c r="O30" s="46"/>
    </x:row>
    <x:row r="31" ht="26" customHeight="1">
      <x:c r="A31" s="1"/>
      <x:c r="B31" s="1"/>
      <x:c r="C31" s="45" t="str">
        <x:v>UAE</x:v>
      </x:c>
      <x:c r="D31" s="68" t="n">
        <x:f>SUMIF($E$50:$E$149,C31,$F$50:$F$149)</x:f>
        <x:v>73.15</x:v>
      </x:c>
      <x:c r="E31" s="68" t="n">
        <x:f>SUMIF($E$50:$E$149,C31,$G$50:$G$149)</x:f>
        <x:v>8.757489506379251</x:v>
      </x:c>
      <x:c r="F31" s="68" t="n">
        <x:f>SUMIF($E$50:$E$149,C31,$H$50:$H$149)</x:f>
        <x:v>14005.779902164957</x:v>
      </x:c>
      <x:c r="G31" s="60" t="n">
        <x:f>IF(D31&gt;0,SUMIF($E$50:$E$149,C31,$I$50:$I$149)/D31,0)</x:f>
        <x:v>1</x:v>
      </x:c>
      <x:c r="H31" s="45"/>
      <x:c r="I31" s="45"/>
      <x:c r="J31" s="47" t="str">
        <x:f>Bank!F103</x:f>
        <x:v>Ready</x:v>
      </x:c>
      <x:c r="K31" s="45"/>
      <x:c r="L31" s="45"/>
      <x:c r="M31" s="45"/>
      <x:c r="N31" s="45"/>
      <x:c r="O31" s="45"/>
    </x:row>
    <x:row r="32" ht="26" customHeight="1">
      <x:c r="A32" s="1"/>
      <x:c r="B32" s="1"/>
      <x:c r="C32" s="45" t="str">
        <x:v>Other</x:v>
      </x:c>
      <x:c r="D32" s="68" t="n">
        <x:f>SUMIF($E$50:$E$149,C32,$F$50:$F$149)</x:f>
        <x:v>0</x:v>
      </x:c>
      <x:c r="E32" s="68" t="n">
        <x:f>SUMIF($E$50:$E$149,C32,$G$50:$G$149)</x:f>
        <x:v>0</x:v>
      </x:c>
      <x:c r="F32" s="68" t="n">
        <x:f>SUMIF($E$50:$E$149,C32,$H$50:$H$149)</x:f>
        <x:v>0</x:v>
      </x:c>
      <x:c r="G32" s="60" t="n">
        <x:f>IF(D32&gt;0,SUMIF($E$50:$E$149,C32,$I$50:$I$149)/D32,0)</x:f>
        <x:v>0</x:v>
      </x:c>
      <x:c r="H32" s="45"/>
      <x:c r="I32" s="45"/>
      <x:c r="J32" s="45"/>
      <x:c r="K32" s="45"/>
      <x:c r="L32" s="45"/>
      <x:c r="M32" s="45"/>
      <x:c r="N32" s="45"/>
      <x:c r="O32" s="45"/>
    </x:row>
    <x:row r="33" ht="26" customHeight="1">
      <x:c r="A33" s="1"/>
      <x:c r="B33" s="1"/>
      <x:c r="C33" s="45"/>
      <x:c r="D33" s="45"/>
      <x:c r="E33" s="45"/>
      <x:c r="F33" s="45"/>
      <x:c r="G33" s="45"/>
      <x:c r="H33" s="45"/>
      <x:c r="I33" s="45"/>
      <x:c r="J33" s="45"/>
      <x:c r="K33" s="45"/>
      <x:c r="L33" s="45"/>
      <x:c r="M33" s="45"/>
      <x:c r="N33" s="45"/>
      <x:c r="O33" s="45"/>
    </x:row>
    <x:row r="34" ht="26" customHeight="1">
      <x:c r="A34" s="1"/>
      <x:c r="B34" s="1"/>
      <x:c r="C34" s="45"/>
      <x:c r="D34" s="45"/>
      <x:c r="E34" s="45"/>
      <x:c r="F34" s="45"/>
      <x:c r="G34" s="45"/>
      <x:c r="H34" s="45"/>
      <x:c r="I34" s="45"/>
      <x:c r="J34" s="45"/>
      <x:c r="K34" s="45"/>
      <x:c r="L34" s="45"/>
      <x:c r="M34" s="45"/>
      <x:c r="N34" s="45"/>
      <x:c r="O34" s="45"/>
    </x:row>
    <x:row r="35" ht="26" customHeight="1">
      <x:c r="A35" s="1"/>
      <x:c r="B35" s="1"/>
      <x:c r="C35" s="45"/>
      <x:c r="D35" s="45"/>
      <x:c r="E35" s="45"/>
      <x:c r="F35" s="45"/>
      <x:c r="G35" s="45"/>
      <x:c r="H35" s="45"/>
      <x:c r="I35" s="45"/>
      <x:c r="J35" s="45"/>
      <x:c r="K35" s="45"/>
      <x:c r="L35" s="45"/>
      <x:c r="M35" s="45"/>
      <x:c r="N35" s="45"/>
      <x:c r="O35" s="45"/>
    </x:row>
    <x:row r="36" ht="26" customHeight="1">
      <x:c r="A36" s="1"/>
      <x:c r="B36" s="1"/>
      <x:c r="C36" s="50" t="str">
        <x:v>Facility register</x:v>
      </x:c>
      <x:c r="D36" s="50"/>
      <x:c r="E36" s="50"/>
      <x:c r="F36" s="50"/>
      <x:c r="G36" s="63" t="str">
        <x:v>Financed emissions</x:v>
      </x:c>
      <x:c r="H36" s="63"/>
      <x:c r="I36" s="63"/>
      <x:c r="J36" s="63"/>
      <x:c r="K36" s="63" t="str">
        <x:v>Physical sites</x:v>
      </x:c>
      <x:c r="L36" s="63"/>
      <x:c r="M36" s="63"/>
      <x:c r="N36" s="63"/>
      <x:c r="O36" s="63"/>
    </x:row>
    <x:row r="37" ht="26" customHeight="1">
      <x:c r="A37" s="1"/>
      <x:c r="B37" s="1"/>
      <x:c r="C37" s="50"/>
      <x:c r="D37" s="50"/>
      <x:c r="E37" s="50"/>
      <x:c r="F37" s="50"/>
      <x:c r="G37" s="63"/>
      <x:c r="H37" s="63"/>
      <x:c r="I37" s="63"/>
      <x:c r="J37" s="63"/>
      <x:c r="K37" s="63"/>
      <x:c r="L37" s="63"/>
      <x:c r="M37" s="63"/>
      <x:c r="N37" s="63"/>
      <x:c r="O37" s="63"/>
    </x:row>
    <x:row r="38" ht="26" customHeight="1">
      <x:c r="A38" s="1"/>
      <x:c r="B38" s="1"/>
      <x:c r="C38" s="45"/>
      <x:c r="D38" s="45"/>
      <x:c r="E38" s="45"/>
      <x:c r="F38" s="45"/>
      <x:c r="G38" s="45"/>
      <x:c r="H38" s="45"/>
      <x:c r="I38" s="45"/>
      <x:c r="J38" s="45"/>
      <x:c r="K38" s="45"/>
      <x:c r="L38" s="45"/>
      <x:c r="M38" s="45"/>
      <x:c r="N38" s="45"/>
      <x:c r="O38" s="45"/>
    </x:row>
    <x:row r="39" ht="26" customHeight="1">
      <x:c r="A39" s="1"/>
      <x:c r="B39" s="1"/>
      <x:c r="C39" s="45"/>
      <x:c r="D39" s="45"/>
      <x:c r="E39" s="45"/>
      <x:c r="F39" s="45"/>
      <x:c r="G39" s="45"/>
      <x:c r="H39" s="45"/>
      <x:c r="I39" s="45"/>
      <x:c r="J39" s="45"/>
      <x:c r="K39" s="45"/>
      <x:c r="L39" s="45"/>
      <x:c r="M39" s="45"/>
      <x:c r="N39" s="45"/>
      <x:c r="O39" s="45"/>
    </x:row>
    <x:row r="40" ht="26" customHeight="1">
      <x:c r="A40" s="1"/>
      <x:c r="B40" s="1"/>
      <x:c r="C40" s="45"/>
      <x:c r="D40" s="45"/>
      <x:c r="E40" s="45"/>
      <x:c r="F40" s="45"/>
      <x:c r="G40" s="45"/>
      <x:c r="H40" s="45"/>
      <x:c r="I40" s="45"/>
      <x:c r="J40" s="45"/>
      <x:c r="K40" s="45"/>
      <x:c r="L40" s="45"/>
      <x:c r="M40" s="45"/>
      <x:c r="N40" s="45"/>
      <x:c r="O40" s="45"/>
    </x:row>
    <x:row r="41" ht="26" customHeight="1">
      <x:c r="A41" s="1"/>
      <x:c r="B41" s="1"/>
      <x:c r="C41" s="45"/>
      <x:c r="D41" s="45"/>
      <x:c r="E41" s="45"/>
      <x:c r="F41" s="45"/>
      <x:c r="G41" s="45"/>
      <x:c r="H41" s="45"/>
      <x:c r="I41" s="45"/>
      <x:c r="J41" s="45"/>
      <x:c r="K41" s="45"/>
      <x:c r="L41" s="45"/>
      <x:c r="M41" s="45"/>
      <x:c r="N41" s="45"/>
      <x:c r="O41" s="45"/>
    </x:row>
    <x:row r="42" ht="26" customHeight="1">
      <x:c r="A42" s="1"/>
      <x:c r="B42" s="1"/>
      <x:c r="C42" s="45"/>
      <x:c r="D42" s="45"/>
      <x:c r="E42" s="45"/>
      <x:c r="F42" s="45"/>
      <x:c r="G42" s="45"/>
      <x:c r="H42" s="45"/>
      <x:c r="I42" s="45"/>
      <x:c r="J42" s="45"/>
      <x:c r="K42" s="45"/>
      <x:c r="L42" s="45"/>
      <x:c r="M42" s="45"/>
      <x:c r="N42" s="45"/>
      <x:c r="O42" s="45"/>
    </x:row>
    <x:row r="43" ht="26" customHeight="1">
      <x:c r="A43" s="1"/>
      <x:c r="B43" s="1"/>
      <x:c r="C43" s="45"/>
      <x:c r="D43" s="45"/>
      <x:c r="E43" s="45"/>
      <x:c r="F43" s="45"/>
      <x:c r="G43" s="45"/>
      <x:c r="H43" s="45"/>
      <x:c r="I43" s="45"/>
      <x:c r="J43" s="45"/>
      <x:c r="K43" s="45"/>
      <x:c r="L43" s="45"/>
      <x:c r="M43" s="45"/>
      <x:c r="N43" s="45"/>
      <x:c r="O43" s="45"/>
    </x:row>
    <x:row r="44" ht="26" customHeight="1">
      <x:c r="A44" s="1"/>
      <x:c r="B44" s="1"/>
      <x:c r="C44" s="45"/>
      <x:c r="D44" s="45"/>
      <x:c r="E44" s="45"/>
      <x:c r="F44" s="45"/>
      <x:c r="G44" s="45"/>
      <x:c r="H44" s="45"/>
      <x:c r="I44" s="45"/>
      <x:c r="J44" s="45"/>
      <x:c r="K44" s="45"/>
      <x:c r="L44" s="45"/>
      <x:c r="M44" s="45"/>
      <x:c r="N44" s="45"/>
      <x:c r="O44" s="45"/>
    </x:row>
    <x:row r="45" ht="26" customHeight="1">
      <x:c r="A45" s="1"/>
      <x:c r="B45" s="1"/>
      <x:c r="C45" s="45"/>
      <x:c r="D45" s="45"/>
      <x:c r="E45" s="45"/>
      <x:c r="F45" s="45"/>
      <x:c r="G45" s="45"/>
      <x:c r="H45" s="45"/>
      <x:c r="I45" s="45"/>
      <x:c r="J45" s="45"/>
      <x:c r="K45" s="45"/>
      <x:c r="L45" s="45"/>
      <x:c r="M45" s="45"/>
      <x:c r="N45" s="45"/>
      <x:c r="O45" s="45"/>
    </x:row>
    <x:row r="46" ht="26" customHeight="1">
      <x:c r="A46" s="1"/>
      <x:c r="B46" s="1"/>
      <x:c r="C46" s="45"/>
      <x:c r="D46" s="45"/>
      <x:c r="E46" s="45"/>
      <x:c r="F46" s="45"/>
      <x:c r="G46" s="45"/>
      <x:c r="H46" s="45"/>
      <x:c r="I46" s="45"/>
      <x:c r="J46" s="45"/>
      <x:c r="K46" s="45"/>
      <x:c r="L46" s="45"/>
      <x:c r="M46" s="45"/>
      <x:c r="N46" s="45"/>
      <x:c r="O46" s="45"/>
    </x:row>
    <x:row r="47" ht="26" customHeight="1">
      <x:c r="A47" s="1"/>
      <x:c r="B47" s="1"/>
      <x:c r="C47" s="45"/>
      <x:c r="D47" s="45"/>
      <x:c r="E47" s="45"/>
      <x:c r="F47" s="45"/>
      <x:c r="G47" s="45"/>
      <x:c r="H47" s="45"/>
      <x:c r="I47" s="45"/>
      <x:c r="J47" s="45"/>
      <x:c r="K47" s="45"/>
      <x:c r="L47" s="45"/>
      <x:c r="M47" s="45"/>
      <x:c r="N47" s="45"/>
      <x:c r="O47" s="45"/>
    </x:row>
    <x:row r="48" ht="26" customHeight="1">
      <x:c r="A48" s="1"/>
      <x:c r="B48" s="1"/>
      <x:c r="C48" s="45"/>
      <x:c r="D48" s="45"/>
      <x:c r="E48" s="45"/>
      <x:c r="F48" s="45"/>
      <x:c r="G48" s="45"/>
      <x:c r="H48" s="45"/>
      <x:c r="I48" s="45"/>
      <x:c r="J48" s="45"/>
      <x:c r="K48" s="45"/>
      <x:c r="L48" s="45"/>
      <x:c r="M48" s="45"/>
      <x:c r="N48" s="45"/>
      <x:c r="O48" s="45"/>
    </x:row>
    <x:row r="49" ht="26" customHeight="1">
      <x:c r="A49" s="1"/>
      <x:c r="B49" s="1"/>
      <x:c r="C49" s="45" t="str">
        <x:v>Facility</x:v>
      </x:c>
      <x:c r="D49" s="45" t="str">
        <x:v>Sector</x:v>
      </x:c>
      <x:c r="E49" s="45" t="str">
        <x:v>Country</x:v>
      </x:c>
      <x:c r="F49" s="45" t="str">
        <x:v>Drawn USD m</x:v>
      </x:c>
      <x:c r="G49" s="45" t="str">
        <x:v>ECL USD m</x:v>
      </x:c>
      <x:c r="H49" s="45" t="str">
        <x:v>Financed S1+2</x:v>
      </x:c>
      <x:c r="I49" s="45" t="str">
        <x:v>Covered USD m</x:v>
      </x:c>
      <x:c r="J49" s="45"/>
      <x:c r="K49" s="45"/>
      <x:c r="L49" s="45"/>
      <x:c r="M49" s="45"/>
      <x:c r="N49" s="45"/>
      <x:c r="O49" s="45"/>
    </x:row>
    <x:row r="50" ht="26" customHeight="1">
      <x:c r="A50" s="1"/>
      <x:c r="B50" s="1"/>
      <x:c r="C50" s="47" t="str">
        <x:f>IF(Facilities!C9="","",Facilities!C9)</x:f>
        <x:v>F001</x:v>
      </x:c>
      <x:c r="D50" s="47" t="str">
        <x:f>IF(C50="","",IFERROR(INDEX(Borrowers!$F$9:$F$108,MATCH(Facilities!D9,Borrowers!$C$9:$C$108,0)),0))</x:f>
        <x:v>Cement</x:v>
      </x:c>
      <x:c r="E50" s="47" t="str">
        <x:f>IF(C50="","",IFERROR(INDEX(Borrowers!$E$9:$E$108,MATCH(Facilities!D9,Borrowers!$C$9:$C$108,0)),0))</x:f>
        <x:v>Egypt</x:v>
      </x:c>
      <x:c r="F50" s="47" t="n">
        <x:f>IF(C50="","",IFERROR(Facilities!AA9,0))</x:f>
        <x:v>5</x:v>
      </x:c>
      <x:c r="G50" s="47" t="n">
        <x:f>IF(C50="","",IFERROR(ECL!AD9,0))</x:f>
        <x:v>0.030893104138088708</x:v>
      </x:c>
      <x:c r="H50" s="47" t="n">
        <x:f>IF(C50="","",IF('Financed Emissions'!M9&gt;0,SUM('Financed Emissions'!J9:K9),0))</x:f>
        <x:v>5986.363636363636</x:v>
      </x:c>
      <x:c r="I50" s="47" t="n">
        <x:f>IF(C50="","",IFERROR('Financed Emissions'!M9,0))</x:f>
        <x:v>5</x:v>
      </x:c>
      <x:c r="J50" s="45"/>
      <x:c r="K50" s="45"/>
      <x:c r="L50" s="45"/>
      <x:c r="M50" s="45"/>
      <x:c r="N50" s="45"/>
      <x:c r="O50" s="45"/>
    </x:row>
    <x:row r="51" ht="26" customHeight="1">
      <x:c r="A51" s="1"/>
      <x:c r="B51" s="1"/>
      <x:c r="C51" s="47" t="str">
        <x:f>IF(Facilities!C10="","",Facilities!C10)</x:f>
        <x:v>F002</x:v>
      </x:c>
      <x:c r="D51" s="47" t="str">
        <x:f>IF(C51="","",IFERROR(INDEX(Borrowers!$F$9:$F$108,MATCH(Facilities!D10,Borrowers!$C$9:$C$108,0)),0))</x:f>
        <x:v>Cement</x:v>
      </x:c>
      <x:c r="E51" s="47" t="str">
        <x:f>IF(C51="","",IFERROR(INDEX(Borrowers!$E$9:$E$108,MATCH(Facilities!D10,Borrowers!$C$9:$C$108,0)),0))</x:f>
        <x:v>Egypt</x:v>
      </x:c>
      <x:c r="F51" s="47" t="n">
        <x:f>IF(C51="","",IFERROR(Facilities!AA10,0))</x:f>
        <x:v>2.5</x:v>
      </x:c>
      <x:c r="G51" s="47" t="n">
        <x:f>IF(C51="","",IFERROR(ECL!AD10,0))</x:f>
        <x:v>0.01477496284865112</x:v>
      </x:c>
      <x:c r="H51" s="47" t="n">
        <x:f>IF(C51="","",IF('Financed Emissions'!M10&gt;0,SUM('Financed Emissions'!J10:K10),0))</x:f>
        <x:v>2993.181818181818</x:v>
      </x:c>
      <x:c r="I51" s="47" t="n">
        <x:f>IF(C51="","",IFERROR('Financed Emissions'!M10,0))</x:f>
        <x:v>2.5</x:v>
      </x:c>
      <x:c r="J51" s="45"/>
      <x:c r="K51" s="45"/>
      <x:c r="L51" s="45"/>
      <x:c r="M51" s="45"/>
      <x:c r="N51" s="45"/>
      <x:c r="O51" s="45"/>
    </x:row>
    <x:row r="52" ht="26" customHeight="1">
      <x:c r="A52" s="1"/>
      <x:c r="B52" s="1"/>
      <x:c r="C52" s="47" t="str">
        <x:f>IF(Facilities!C11="","",Facilities!C11)</x:f>
        <x:v>F003</x:v>
      </x:c>
      <x:c r="D52" s="47" t="str">
        <x:f>IF(C52="","",IFERROR(INDEX(Borrowers!$F$9:$F$108,MATCH(Facilities!D11,Borrowers!$C$9:$C$108,0)),0))</x:f>
        <x:v>Solar</x:v>
      </x:c>
      <x:c r="E52" s="47" t="str">
        <x:f>IF(C52="","",IFERROR(INDEX(Borrowers!$E$9:$E$108,MATCH(Facilities!D11,Borrowers!$C$9:$C$108,0)),0))</x:f>
        <x:v>Egypt</x:v>
      </x:c>
      <x:c r="F52" s="47" t="n">
        <x:f>IF(C52="","",IFERROR(Facilities!AA11,0))</x:f>
        <x:v>5.35</x:v>
      </x:c>
      <x:c r="G52" s="47" t="n">
        <x:f>IF(C52="","",IFERROR(ECL!AD11,0))</x:f>
        <x:v>0.05366577503429357</x:v>
      </x:c>
      <x:c r="H52" s="47" t="n">
        <x:f>IF(C52="","",IF('Financed Emissions'!M11&gt;0,SUM('Financed Emissions'!J11:K11),0))</x:f>
        <x:v>2.3723428571428573</x:v>
      </x:c>
      <x:c r="I52" s="47" t="n">
        <x:f>IF(C52="","",IFERROR('Financed Emissions'!M11,0))</x:f>
        <x:v>5.35</x:v>
      </x:c>
      <x:c r="J52" s="45"/>
      <x:c r="K52" s="45"/>
      <x:c r="L52" s="45"/>
      <x:c r="M52" s="45"/>
      <x:c r="N52" s="45"/>
      <x:c r="O52" s="45"/>
    </x:row>
    <x:row r="53" ht="26" customHeight="1">
      <x:c r="A53" s="1"/>
      <x:c r="B53" s="1"/>
      <x:c r="C53" s="47" t="str">
        <x:f>IF(Facilities!C12="","",Facilities!C12)</x:f>
        <x:v>F004</x:v>
      </x:c>
      <x:c r="D53" s="47" t="str">
        <x:f>IF(C53="","",IFERROR(INDEX(Borrowers!$F$9:$F$108,MATCH(Facilities!D12,Borrowers!$C$9:$C$108,0)),0))</x:f>
        <x:v>Solar</x:v>
      </x:c>
      <x:c r="E53" s="47" t="str">
        <x:f>IF(C53="","",IFERROR(INDEX(Borrowers!$E$9:$E$108,MATCH(Facilities!D12,Borrowers!$C$9:$C$108,0)),0))</x:f>
        <x:v>Egypt</x:v>
      </x:c>
      <x:c r="F53" s="47" t="n">
        <x:f>IF(C53="","",IFERROR(Facilities!AA12,0))</x:f>
        <x:v>2.85</x:v>
      </x:c>
      <x:c r="G53" s="47" t="n">
        <x:f>IF(C53="","",IFERROR(ECL!AD12,0))</x:f>
        <x:v>0.02727277091906722</x:v>
      </x:c>
      <x:c r="H53" s="47" t="n">
        <x:f>IF(C53="","",IF('Financed Emissions'!M12&gt;0,SUM('Financed Emissions'!J12:K12),0))</x:f>
        <x:v>5.178857142857143</x:v>
      </x:c>
      <x:c r="I53" s="47" t="n">
        <x:f>IF(C53="","",IFERROR('Financed Emissions'!M12,0))</x:f>
        <x:v>2.85</x:v>
      </x:c>
      <x:c r="J53" s="45"/>
      <x:c r="K53" s="45"/>
      <x:c r="L53" s="45"/>
      <x:c r="M53" s="45"/>
      <x:c r="N53" s="45"/>
      <x:c r="O53" s="45"/>
    </x:row>
    <x:row r="54" ht="26" customHeight="1">
      <x:c r="A54" s="1"/>
      <x:c r="B54" s="1"/>
      <x:c r="C54" s="47" t="str">
        <x:f>IF(Facilities!C13="","",Facilities!C13)</x:f>
        <x:v>F005</x:v>
      </x:c>
      <x:c r="D54" s="47" t="str">
        <x:f>IF(C54="","",IFERROR(INDEX(Borrowers!$F$9:$F$108,MATCH(Facilities!D13,Borrowers!$C$9:$C$108,0)),0))</x:f>
        <x:v>Logistics</x:v>
      </x:c>
      <x:c r="E54" s="47" t="str">
        <x:f>IF(C54="","",IFERROR(INDEX(Borrowers!$E$9:$E$108,MATCH(Facilities!D13,Borrowers!$C$9:$C$108,0)),0))</x:f>
        <x:v>Egypt</x:v>
      </x:c>
      <x:c r="F54" s="47" t="n">
        <x:f>IF(C54="","",IFERROR(Facilities!AA13,0))</x:f>
        <x:v>5.7</x:v>
      </x:c>
      <x:c r="G54" s="47" t="n">
        <x:f>IF(C54="","",IFERROR(ECL!AD13,0))</x:f>
        <x:v>0.0820118827160494</x:v>
      </x:c>
      <x:c r="H54" s="47" t="n">
        <x:f>IF(C54="","",IF('Financed Emissions'!M13&gt;0,SUM('Financed Emissions'!J13:K13),0))</x:f>
        <x:v>259.15999999999997</x:v>
      </x:c>
      <x:c r="I54" s="47" t="n">
        <x:f>IF(C54="","",IFERROR('Financed Emissions'!M13,0))</x:f>
        <x:v>5.7</x:v>
      </x:c>
      <x:c r="J54" s="45"/>
      <x:c r="K54" s="45"/>
      <x:c r="L54" s="45"/>
      <x:c r="M54" s="45"/>
      <x:c r="N54" s="45"/>
      <x:c r="O54" s="45"/>
    </x:row>
    <x:row r="55" ht="26" customHeight="1">
      <x:c r="A55" s="1"/>
      <x:c r="B55" s="1"/>
      <x:c r="C55" s="47" t="str">
        <x:f>IF(Facilities!C14="","",Facilities!C14)</x:f>
        <x:v>F006</x:v>
      </x:c>
      <x:c r="D55" s="47" t="str">
        <x:f>IF(C55="","",IFERROR(INDEX(Borrowers!$F$9:$F$108,MATCH(Facilities!D14,Borrowers!$C$9:$C$108,0)),0))</x:f>
        <x:v>Logistics</x:v>
      </x:c>
      <x:c r="E55" s="47" t="str">
        <x:f>IF(C55="","",IFERROR(INDEX(Borrowers!$E$9:$E$108,MATCH(Facilities!D14,Borrowers!$C$9:$C$108,0)),0))</x:f>
        <x:v>Egypt</x:v>
      </x:c>
      <x:c r="F55" s="47" t="n">
        <x:f>IF(C55="","",IFERROR(Facilities!AA14,0))</x:f>
        <x:v>3.2</x:v>
      </x:c>
      <x:c r="G55" s="47" t="n">
        <x:f>IF(C55="","",IFERROR(ECL!AD14,0))</x:f>
        <x:v>0.043866820987654334</x:v>
      </x:c>
      <x:c r="H55" s="47" t="n">
        <x:f>IF(C55="","",IF('Financed Emissions'!M14&gt;0,SUM('Financed Emissions'!J14:K14),0))</x:f>
        <x:v>232.61866666666668</x:v>
      </x:c>
      <x:c r="I55" s="47" t="n">
        <x:f>IF(C55="","",IFERROR('Financed Emissions'!M14,0))</x:f>
        <x:v>3.2</x:v>
      </x:c>
      <x:c r="J55" s="45"/>
      <x:c r="K55" s="45"/>
      <x:c r="L55" s="45"/>
      <x:c r="M55" s="45"/>
      <x:c r="N55" s="45"/>
      <x:c r="O55" s="45"/>
    </x:row>
    <x:row r="56" ht="26" customHeight="1">
      <x:c r="A56" s="1"/>
      <x:c r="B56" s="1"/>
      <x:c r="C56" s="47" t="str">
        <x:f>IF(Facilities!C15="","",Facilities!C15)</x:f>
        <x:v>F007</x:v>
      </x:c>
      <x:c r="D56" s="47" t="str">
        <x:f>IF(C56="","",IFERROR(INDEX(Borrowers!$F$9:$F$108,MATCH(Facilities!D15,Borrowers!$C$9:$C$108,0)),0))</x:f>
        <x:v>Food</x:v>
      </x:c>
      <x:c r="E56" s="47" t="str">
        <x:f>IF(C56="","",IFERROR(INDEX(Borrowers!$E$9:$E$108,MATCH(Facilities!D15,Borrowers!$C$9:$C$108,0)),0))</x:f>
        <x:v>Egypt</x:v>
      </x:c>
      <x:c r="F56" s="47" t="n">
        <x:f>IF(C56="","",IFERROR(Facilities!AA15,0))</x:f>
        <x:v>6.05</x:v>
      </x:c>
      <x:c r="G56" s="47" t="n">
        <x:f>IF(C56="","",IFERROR(ECL!AD15,0))</x:f>
        <x:v>0.1164484453589392</x:v>
      </x:c>
      <x:c r="H56" s="47" t="n">
        <x:f>IF(C56="","",IF('Financed Emissions'!M15&gt;0,SUM('Financed Emissions'!J15:K15),0))</x:f>
        <x:v>298.71875</x:v>
      </x:c>
      <x:c r="I56" s="47" t="n">
        <x:f>IF(C56="","",IFERROR('Financed Emissions'!M15,0))</x:f>
        <x:v>6.05</x:v>
      </x:c>
      <x:c r="J56" s="45"/>
      <x:c r="K56" s="45"/>
      <x:c r="L56" s="45"/>
      <x:c r="M56" s="45"/>
      <x:c r="N56" s="45"/>
      <x:c r="O56" s="45"/>
    </x:row>
    <x:row r="57" ht="26" customHeight="1">
      <x:c r="A57" s="1"/>
      <x:c r="B57" s="1"/>
      <x:c r="C57" s="47" t="str">
        <x:f>IF(Facilities!C16="","",Facilities!C16)</x:f>
        <x:v>F008</x:v>
      </x:c>
      <x:c r="D57" s="47" t="str">
        <x:f>IF(C57="","",IFERROR(INDEX(Borrowers!$F$9:$F$108,MATCH(Facilities!D16,Borrowers!$C$9:$C$108,0)),0))</x:f>
        <x:v>Food</x:v>
      </x:c>
      <x:c r="E57" s="47" t="str">
        <x:f>IF(C57="","",IFERROR(INDEX(Borrowers!$E$9:$E$108,MATCH(Facilities!D16,Borrowers!$C$9:$C$108,0)),0))</x:f>
        <x:v>Egypt</x:v>
      </x:c>
      <x:c r="F57" s="47" t="n">
        <x:f>IF(C57="","",IFERROR(Facilities!AA16,0))</x:f>
        <x:v>3.55</x:v>
      </x:c>
      <x:c r="G57" s="47" t="n">
        <x:f>IF(C57="","",IFERROR(ECL!AD16,0))</x:f>
        <x:v>0.06507413122999542</x:v>
      </x:c>
      <x:c r="H57" s="47" t="n">
        <x:f>IF(C57="","",IF('Financed Emissions'!M16&gt;0,SUM('Financed Emissions'!J16:K16),0))</x:f>
        <x:v>175.28125</x:v>
      </x:c>
      <x:c r="I57" s="47" t="n">
        <x:f>IF(C57="","",IFERROR('Financed Emissions'!M16,0))</x:f>
        <x:v>3.55</x:v>
      </x:c>
      <x:c r="J57" s="45"/>
      <x:c r="K57" s="45"/>
      <x:c r="L57" s="45"/>
      <x:c r="M57" s="45"/>
      <x:c r="N57" s="45"/>
      <x:c r="O57" s="45"/>
    </x:row>
    <x:row r="58" ht="26" customHeight="1">
      <x:c r="A58" s="1"/>
      <x:c r="B58" s="1"/>
      <x:c r="C58" s="47" t="str">
        <x:f>IF(Facilities!C17="","",Facilities!C17)</x:f>
        <x:v>F009</x:v>
      </x:c>
      <x:c r="D58" s="47" t="str">
        <x:f>IF(C58="","",IFERROR(INDEX(Borrowers!$F$9:$F$108,MATCH(Facilities!D17,Borrowers!$C$9:$C$108,0)),0))</x:f>
        <x:v>Property</x:v>
      </x:c>
      <x:c r="E58" s="47" t="str">
        <x:f>IF(C58="","",IFERROR(INDEX(Borrowers!$E$9:$E$108,MATCH(Facilities!D17,Borrowers!$C$9:$C$108,0)),0))</x:f>
        <x:v>Egypt</x:v>
      </x:c>
      <x:c r="F58" s="47" t="n">
        <x:f>IF(C58="","",IFERROR(Facilities!AA17,0))</x:f>
        <x:v>6.4</x:v>
      </x:c>
      <x:c r="G58" s="47" t="n">
        <x:f>IF(C58="","",IFERROR(ECL!AD17,0))</x:f>
        <x:v>0.6581062979870929</x:v>
      </x:c>
      <x:c r="H58" s="47" t="n">
        <x:f>IF(C58="","",IF('Financed Emissions'!M17&gt;0,SUM('Financed Emissions'!J17:K17),0))</x:f>
        <x:v>317.74117647058824</x:v>
      </x:c>
      <x:c r="I58" s="47" t="n">
        <x:f>IF(C58="","",IFERROR('Financed Emissions'!M17,0))</x:f>
        <x:v>6.4</x:v>
      </x:c>
      <x:c r="J58" s="45"/>
      <x:c r="K58" s="45"/>
      <x:c r="L58" s="45"/>
      <x:c r="M58" s="45"/>
      <x:c r="N58" s="45"/>
      <x:c r="O58" s="45"/>
    </x:row>
    <x:row r="59" ht="26" customHeight="1">
      <x:c r="A59" s="1"/>
      <x:c r="B59" s="1"/>
      <x:c r="C59" s="47" t="str">
        <x:f>IF(Facilities!C18="","",Facilities!C18)</x:f>
        <x:v>F010</x:v>
      </x:c>
      <x:c r="D59" s="47" t="str">
        <x:f>IF(C59="","",IFERROR(INDEX(Borrowers!$F$9:$F$108,MATCH(Facilities!D18,Borrowers!$C$9:$C$108,0)),0))</x:f>
        <x:v>Property</x:v>
      </x:c>
      <x:c r="E59" s="47" t="str">
        <x:f>IF(C59="","",IFERROR(INDEX(Borrowers!$E$9:$E$108,MATCH(Facilities!D18,Borrowers!$C$9:$C$108,0)),0))</x:f>
        <x:v>Egypt</x:v>
      </x:c>
      <x:c r="F59" s="47" t="n">
        <x:f>IF(C59="","",IFERROR(Facilities!AA18,0))</x:f>
        <x:v>3.9</x:v>
      </x:c>
      <x:c r="G59" s="47" t="n">
        <x:f>IF(C59="","",IFERROR(ECL!AD18,0))</x:f>
        <x:v>0.3749686048980853</x:v>
      </x:c>
      <x:c r="H59" s="47" t="n">
        <x:f>IF(C59="","",IF('Financed Emissions'!M18&gt;0,SUM('Financed Emissions'!J18:K18),0))</x:f>
        <x:v>93.184</x:v>
      </x:c>
      <x:c r="I59" s="47" t="n">
        <x:f>IF(C59="","",IFERROR('Financed Emissions'!M18,0))</x:f>
        <x:v>3.9</x:v>
      </x:c>
      <x:c r="J59" s="45"/>
      <x:c r="K59" s="45"/>
      <x:c r="L59" s="45"/>
      <x:c r="M59" s="45"/>
      <x:c r="N59" s="45"/>
      <x:c r="O59" s="45"/>
    </x:row>
    <x:row r="60" ht="26" customHeight="1">
      <x:c r="A60" s="1"/>
      <x:c r="B60" s="1"/>
      <x:c r="C60" s="47" t="str">
        <x:f>IF(Facilities!C19="","",Facilities!C19)</x:f>
        <x:v>F011</x:v>
      </x:c>
      <x:c r="D60" s="47" t="str">
        <x:f>IF(C60="","",IFERROR(INDEX(Borrowers!$F$9:$F$108,MATCH(Facilities!D19,Borrowers!$C$9:$C$108,0)),0))</x:f>
        <x:v>Hospitality</x:v>
      </x:c>
      <x:c r="E60" s="47" t="str">
        <x:f>IF(C60="","",IFERROR(INDEX(Borrowers!$E$9:$E$108,MATCH(Facilities!D19,Borrowers!$C$9:$C$108,0)),0))</x:f>
        <x:v>Egypt</x:v>
      </x:c>
      <x:c r="F60" s="47" t="n">
        <x:f>IF(C60="","",IFERROR(Facilities!AA19,0))</x:f>
        <x:v>6.75</x:v>
      </x:c>
      <x:c r="G60" s="47" t="n">
        <x:f>IF(C60="","",IFERROR(ECL!AD19,0))</x:f>
        <x:v>0.14103373628257887</x:v>
      </x:c>
      <x:c r="H60" s="47" t="n">
        <x:f>IF(C60="","",IF('Financed Emissions'!M19&gt;0,SUM('Financed Emissions'!J19:K19),0))</x:f>
        <x:v>229.5</x:v>
      </x:c>
      <x:c r="I60" s="47" t="n">
        <x:f>IF(C60="","",IFERROR('Financed Emissions'!M19,0))</x:f>
        <x:v>6.75</x:v>
      </x:c>
      <x:c r="J60" s="45"/>
      <x:c r="K60" s="45"/>
      <x:c r="L60" s="45"/>
      <x:c r="M60" s="45"/>
      <x:c r="N60" s="45"/>
      <x:c r="O60" s="45"/>
    </x:row>
    <x:row r="61" ht="26" customHeight="1">
      <x:c r="A61" s="1"/>
      <x:c r="B61" s="1"/>
      <x:c r="C61" s="47" t="str">
        <x:f>IF(Facilities!C20="","",Facilities!C20)</x:f>
        <x:v>F012</x:v>
      </x:c>
      <x:c r="D61" s="47" t="str">
        <x:f>IF(C61="","",IFERROR(INDEX(Borrowers!$F$9:$F$108,MATCH(Facilities!D20,Borrowers!$C$9:$C$108,0)),0))</x:f>
        <x:v>Hospitality</x:v>
      </x:c>
      <x:c r="E61" s="47" t="str">
        <x:f>IF(C61="","",IFERROR(INDEX(Borrowers!$E$9:$E$108,MATCH(Facilities!D20,Borrowers!$C$9:$C$108,0)),0))</x:f>
        <x:v>Egypt</x:v>
      </x:c>
      <x:c r="F61" s="47" t="n">
        <x:f>IF(C61="","",IFERROR(Facilities!AA20,0))</x:f>
        <x:v>4.25</x:v>
      </x:c>
      <x:c r="G61" s="47" t="n">
        <x:f>IF(C61="","",IFERROR(ECL!AD20,0))</x:f>
        <x:v>0.08462024176954734</x:v>
      </x:c>
      <x:c r="H61" s="47" t="n">
        <x:f>IF(C61="","",IF('Financed Emissions'!M20&gt;0,SUM('Financed Emissions'!J20:K20),0))</x:f>
        <x:v>144.5</x:v>
      </x:c>
      <x:c r="I61" s="47" t="n">
        <x:f>IF(C61="","",IFERROR('Financed Emissions'!M20,0))</x:f>
        <x:v>4.25</x:v>
      </x:c>
      <x:c r="J61" s="45"/>
      <x:c r="K61" s="45"/>
      <x:c r="L61" s="45"/>
      <x:c r="M61" s="45"/>
      <x:c r="N61" s="45"/>
      <x:c r="O61" s="45"/>
    </x:row>
    <x:row r="62" ht="26" customHeight="1">
      <x:c r="A62" s="1"/>
      <x:c r="B62" s="1"/>
      <x:c r="C62" s="47" t="str">
        <x:f>IF(Facilities!C21="","",Facilities!C21)</x:f>
        <x:v>F013</x:v>
      </x:c>
      <x:c r="D62" s="47" t="str">
        <x:f>IF(C62="","",IFERROR(INDEX(Borrowers!$F$9:$F$108,MATCH(Facilities!D21,Borrowers!$C$9:$C$108,0)),0))</x:f>
        <x:v>Cement</x:v>
      </x:c>
      <x:c r="E62" s="47" t="str">
        <x:f>IF(C62="","",IFERROR(INDEX(Borrowers!$E$9:$E$108,MATCH(Facilities!D21,Borrowers!$C$9:$C$108,0)),0))</x:f>
        <x:v>Jordan</x:v>
      </x:c>
      <x:c r="F62" s="47" t="n">
        <x:f>IF(C62="","",IFERROR(Facilities!AA21,0))</x:f>
        <x:v>7.1</x:v>
      </x:c>
      <x:c r="G62" s="47" t="n">
        <x:f>IF(C62="","",IFERROR(ECL!AD21,0))</x:f>
        <x:v>0.04604112940100594</x:v>
      </x:c>
      <x:c r="H62" s="47" t="n">
        <x:f>IF(C62="","",IF('Financed Emissions'!M21&gt;0,SUM('Financed Emissions'!J21:K21),0))</x:f>
        <x:v>10919.052631578948</x:v>
      </x:c>
      <x:c r="I62" s="47" t="n">
        <x:f>IF(C62="","",IFERROR('Financed Emissions'!M21,0))</x:f>
        <x:v>7.1</x:v>
      </x:c>
      <x:c r="J62" s="45"/>
      <x:c r="K62" s="45"/>
      <x:c r="L62" s="45"/>
      <x:c r="M62" s="45"/>
      <x:c r="N62" s="45"/>
      <x:c r="O62" s="45"/>
    </x:row>
    <x:row r="63" ht="26" customHeight="1">
      <x:c r="A63" s="1"/>
      <x:c r="B63" s="1"/>
      <x:c r="C63" s="47" t="str">
        <x:f>IF(Facilities!C22="","",Facilities!C22)</x:f>
        <x:v>F014</x:v>
      </x:c>
      <x:c r="D63" s="47" t="str">
        <x:f>IF(C63="","",IFERROR(INDEX(Borrowers!$F$9:$F$108,MATCH(Facilities!D22,Borrowers!$C$9:$C$108,0)),0))</x:f>
        <x:v>Cement</x:v>
      </x:c>
      <x:c r="E63" s="47" t="str">
        <x:f>IF(C63="","",IFERROR(INDEX(Borrowers!$E$9:$E$108,MATCH(Facilities!D22,Borrowers!$C$9:$C$108,0)),0))</x:f>
        <x:v>Jordan</x:v>
      </x:c>
      <x:c r="F63" s="47" t="n">
        <x:f>IF(C63="","",IFERROR(Facilities!AA22,0))</x:f>
        <x:v>4.6</x:v>
      </x:c>
      <x:c r="G63" s="47" t="n">
        <x:f>IF(C63="","",IFERROR(ECL!AD22,0))</x:f>
        <x:v>0.02844579332418839</x:v>
      </x:c>
      <x:c r="H63" s="47" t="n">
        <x:f>IF(C63="","",IF('Financed Emissions'!M22&gt;0,SUM('Financed Emissions'!J22:K22),0))</x:f>
        <x:v>7074.315789473683</x:v>
      </x:c>
      <x:c r="I63" s="47" t="n">
        <x:f>IF(C63="","",IFERROR('Financed Emissions'!M22,0))</x:f>
        <x:v>4.6</x:v>
      </x:c>
      <x:c r="J63" s="45"/>
      <x:c r="K63" s="45"/>
      <x:c r="L63" s="45"/>
      <x:c r="M63" s="45"/>
      <x:c r="N63" s="45"/>
      <x:c r="O63" s="45"/>
    </x:row>
    <x:row r="64" ht="26" customHeight="1">
      <x:c r="A64" s="1"/>
      <x:c r="B64" s="1"/>
      <x:c r="C64" s="47" t="str">
        <x:f>IF(Facilities!C23="","",Facilities!C23)</x:f>
        <x:v>F015</x:v>
      </x:c>
      <x:c r="D64" s="47" t="str">
        <x:f>IF(C64="","",IFERROR(INDEX(Borrowers!$F$9:$F$108,MATCH(Facilities!D23,Borrowers!$C$9:$C$108,0)),0))</x:f>
        <x:v>Solar</x:v>
      </x:c>
      <x:c r="E64" s="47" t="str">
        <x:f>IF(C64="","",IFERROR(INDEX(Borrowers!$E$9:$E$108,MATCH(Facilities!D23,Borrowers!$C$9:$C$108,0)),0))</x:f>
        <x:v>Jordan</x:v>
      </x:c>
      <x:c r="F64" s="47" t="n">
        <x:f>IF(C64="","",IFERROR(Facilities!AA23,0))</x:f>
        <x:v>7.449999999999999</x:v>
      </x:c>
      <x:c r="G64" s="47" t="n">
        <x:f>IF(C64="","",IFERROR(ECL!AD23,0))</x:f>
        <x:v>0.07819737654320989</x:v>
      </x:c>
      <x:c r="H64" s="47" t="n">
        <x:f>IF(C64="","",IF('Financed Emissions'!M23&gt;0,SUM('Financed Emissions'!J23:K23),0))</x:f>
        <x:v>2.20073</x:v>
      </x:c>
      <x:c r="I64" s="47" t="n">
        <x:f>IF(C64="","",IFERROR('Financed Emissions'!M23,0))</x:f>
        <x:v>7.449999999999999</x:v>
      </x:c>
      <x:c r="J64" s="45"/>
      <x:c r="K64" s="45"/>
      <x:c r="L64" s="45"/>
      <x:c r="M64" s="45"/>
      <x:c r="N64" s="45"/>
      <x:c r="O64" s="45"/>
    </x:row>
    <x:row r="65" ht="26" customHeight="1">
      <x:c r="A65" s="1"/>
      <x:c r="B65" s="1"/>
      <x:c r="C65" s="47" t="str">
        <x:f>IF(Facilities!C24="","",Facilities!C24)</x:f>
        <x:v>F016</x:v>
      </x:c>
      <x:c r="D65" s="47" t="str">
        <x:f>IF(C65="","",IFERROR(INDEX(Borrowers!$F$9:$F$108,MATCH(Facilities!D24,Borrowers!$C$9:$C$108,0)),0))</x:f>
        <x:v>Solar</x:v>
      </x:c>
      <x:c r="E65" s="47" t="str">
        <x:f>IF(C65="","",IFERROR(INDEX(Borrowers!$E$9:$E$108,MATCH(Facilities!D24,Borrowers!$C$9:$C$108,0)),0))</x:f>
        <x:v>Jordan</x:v>
      </x:c>
      <x:c r="F65" s="47" t="n">
        <x:f>IF(C65="","",IFERROR(Facilities!AA24,0))</x:f>
        <x:v>4.949999999999999</x:v>
      </x:c>
      <x:c r="G65" s="47" t="n">
        <x:f>IF(C65="","",IFERROR(ECL!AD24,0))</x:f>
        <x:v>0.04958858024691359</x:v>
      </x:c>
      <x:c r="H65" s="47" t="n">
        <x:f>IF(C65="","",IF('Financed Emissions'!M24&gt;0,SUM('Financed Emissions'!J24:K24),0))</x:f>
        <x:v>8.655428571428569</x:v>
      </x:c>
      <x:c r="I65" s="47" t="n">
        <x:f>IF(C65="","",IFERROR('Financed Emissions'!M24,0))</x:f>
        <x:v>4.949999999999999</x:v>
      </x:c>
      <x:c r="J65" s="45"/>
      <x:c r="K65" s="45"/>
      <x:c r="L65" s="45"/>
      <x:c r="M65" s="45"/>
      <x:c r="N65" s="45"/>
      <x:c r="O65" s="45"/>
    </x:row>
    <x:row r="66" ht="26" customHeight="1">
      <x:c r="A66" s="1"/>
      <x:c r="B66" s="1"/>
      <x:c r="C66" s="47" t="str">
        <x:f>IF(Facilities!C25="","",Facilities!C25)</x:f>
        <x:v>F017</x:v>
      </x:c>
      <x:c r="D66" s="47" t="str">
        <x:f>IF(C66="","",IFERROR(INDEX(Borrowers!$F$9:$F$108,MATCH(Facilities!D25,Borrowers!$C$9:$C$108,0)),0))</x:f>
        <x:v>Logistics</x:v>
      </x:c>
      <x:c r="E66" s="47" t="str">
        <x:f>IF(C66="","",IFERROR(INDEX(Borrowers!$E$9:$E$108,MATCH(Facilities!D25,Borrowers!$C$9:$C$108,0)),0))</x:f>
        <x:v>Jordan</x:v>
      </x:c>
      <x:c r="F66" s="47" t="n">
        <x:f>IF(C66="","",IFERROR(Facilities!AA25,0))</x:f>
        <x:v>7.8</x:v>
      </x:c>
      <x:c r="G66" s="47" t="n">
        <x:f>IF(C66="","",IFERROR(ECL!AD25,0))</x:f>
        <x:v>0.4872373099288073</x:v>
      </x:c>
      <x:c r="H66" s="47" t="n">
        <x:f>IF(C66="","",IF('Financed Emissions'!M25&gt;0,SUM('Financed Emissions'!J25:K25),0))</x:f>
        <x:v>433.8285714285714</x:v>
      </x:c>
      <x:c r="I66" s="47" t="n">
        <x:f>IF(C66="","",IFERROR('Financed Emissions'!M25,0))</x:f>
        <x:v>7.8</x:v>
      </x:c>
      <x:c r="J66" s="45"/>
      <x:c r="K66" s="45"/>
      <x:c r="L66" s="45"/>
      <x:c r="M66" s="45"/>
      <x:c r="N66" s="45"/>
      <x:c r="O66" s="45"/>
    </x:row>
    <x:row r="67" ht="26" customHeight="1">
      <x:c r="A67" s="1"/>
      <x:c r="B67" s="1"/>
      <x:c r="C67" s="47" t="str">
        <x:f>IF(Facilities!C26="","",Facilities!C26)</x:f>
        <x:v>F018</x:v>
      </x:c>
      <x:c r="D67" s="47" t="str">
        <x:f>IF(C67="","",IFERROR(INDEX(Borrowers!$F$9:$F$108,MATCH(Facilities!D26,Borrowers!$C$9:$C$108,0)),0))</x:f>
        <x:v>Logistics</x:v>
      </x:c>
      <x:c r="E67" s="47" t="str">
        <x:f>IF(C67="","",IFERROR(INDEX(Borrowers!$E$9:$E$108,MATCH(Facilities!D26,Borrowers!$C$9:$C$108,0)),0))</x:f>
        <x:v>Jordan</x:v>
      </x:c>
      <x:c r="F67" s="47" t="n">
        <x:f>IF(C67="","",IFERROR(Facilities!AA26,0))</x:f>
        <x:v>5.3</x:v>
      </x:c>
      <x:c r="G67" s="47" t="n">
        <x:f>IF(C67="","",IFERROR(ECL!AD26,0))</x:f>
        <x:v>0.3110897354242213</x:v>
      </x:c>
      <x:c r="H67" s="47" t="n">
        <x:f>IF(C67="","",IF('Financed Emissions'!M26&gt;0,SUM('Financed Emissions'!J26:K26),0))</x:f>
        <x:v>384.85066666666665</x:v>
      </x:c>
      <x:c r="I67" s="47" t="n">
        <x:f>IF(C67="","",IFERROR('Financed Emissions'!M26,0))</x:f>
        <x:v>5.3</x:v>
      </x:c>
      <x:c r="J67" s="45"/>
      <x:c r="K67" s="45"/>
      <x:c r="L67" s="45"/>
      <x:c r="M67" s="45"/>
      <x:c r="N67" s="45"/>
      <x:c r="O67" s="45"/>
    </x:row>
    <x:row r="68" ht="26" customHeight="1">
      <x:c r="A68" s="1"/>
      <x:c r="B68" s="1"/>
      <x:c r="C68" s="47" t="str">
        <x:f>IF(Facilities!C27="","",Facilities!C27)</x:f>
        <x:v>F019</x:v>
      </x:c>
      <x:c r="D68" s="47" t="str">
        <x:f>IF(C68="","",IFERROR(INDEX(Borrowers!$F$9:$F$108,MATCH(Facilities!D27,Borrowers!$C$9:$C$108,0)),0))</x:f>
        <x:v>Food</x:v>
      </x:c>
      <x:c r="E68" s="47" t="str">
        <x:f>IF(C68="","",IFERROR(INDEX(Borrowers!$E$9:$E$108,MATCH(Facilities!D27,Borrowers!$C$9:$C$108,0)),0))</x:f>
        <x:v>Jordan</x:v>
      </x:c>
      <x:c r="F68" s="47" t="n">
        <x:f>IF(C68="","",IFERROR(Facilities!AA27,0))</x:f>
        <x:v>8.15</x:v>
      </x:c>
      <x:c r="G68" s="47" t="n">
        <x:f>IF(C68="","",IFERROR(ECL!AD27,0))</x:f>
        <x:v>0.6915243396960489</x:v>
      </x:c>
      <x:c r="H68" s="47" t="n">
        <x:f>IF(C68="","",IF('Financed Emissions'!M27&gt;0,SUM('Financed Emissions'!J27:K27),0))</x:f>
        <x:v>472.70000000000005</x:v>
      </x:c>
      <x:c r="I68" s="47" t="n">
        <x:f>IF(C68="","",IFERROR('Financed Emissions'!M27,0))</x:f>
        <x:v>8.15</x:v>
      </x:c>
      <x:c r="J68" s="45"/>
      <x:c r="K68" s="45"/>
      <x:c r="L68" s="45"/>
      <x:c r="M68" s="45"/>
      <x:c r="N68" s="45"/>
      <x:c r="O68" s="45"/>
    </x:row>
    <x:row r="69" ht="26" customHeight="1">
      <x:c r="A69" s="1"/>
      <x:c r="B69" s="1"/>
      <x:c r="C69" s="47" t="str">
        <x:f>IF(Facilities!C28="","",Facilities!C28)</x:f>
        <x:v>F020</x:v>
      </x:c>
      <x:c r="D69" s="47" t="str">
        <x:f>IF(C69="","",IFERROR(INDEX(Borrowers!$F$9:$F$108,MATCH(Facilities!D28,Borrowers!$C$9:$C$108,0)),0))</x:f>
        <x:v>Food</x:v>
      </x:c>
      <x:c r="E69" s="47" t="str">
        <x:f>IF(C69="","",IFERROR(INDEX(Borrowers!$E$9:$E$108,MATCH(Facilities!D28,Borrowers!$C$9:$C$108,0)),0))</x:f>
        <x:v>Jordan</x:v>
      </x:c>
      <x:c r="F69" s="47" t="n">
        <x:f>IF(C69="","",IFERROR(Facilities!AA28,0))</x:f>
        <x:v>5.65</x:v>
      </x:c>
      <x:c r="G69" s="47" t="n">
        <x:f>IF(C69="","",IFERROR(ECL!AD28,0))</x:f>
        <x:v>0.4503080520642546</x:v>
      </x:c>
      <x:c r="H69" s="47" t="n">
        <x:f>IF(C69="","",IF('Financed Emissions'!M28&gt;0,SUM('Financed Emissions'!J28:K28),0))</x:f>
        <x:v>327.70000000000005</x:v>
      </x:c>
      <x:c r="I69" s="47" t="n">
        <x:f>IF(C69="","",IFERROR('Financed Emissions'!M28,0))</x:f>
        <x:v>5.65</x:v>
      </x:c>
      <x:c r="J69" s="45"/>
      <x:c r="K69" s="45"/>
      <x:c r="L69" s="45"/>
      <x:c r="M69" s="45"/>
      <x:c r="N69" s="45"/>
      <x:c r="O69" s="45"/>
    </x:row>
    <x:row r="70" ht="26" customHeight="1">
      <x:c r="A70" s="1"/>
      <x:c r="B70" s="1"/>
      <x:c r="C70" s="47" t="str">
        <x:f>IF(Facilities!C29="","",Facilities!C29)</x:f>
        <x:v>F021</x:v>
      </x:c>
      <x:c r="D70" s="47" t="str">
        <x:f>IF(C70="","",IFERROR(INDEX(Borrowers!$F$9:$F$108,MATCH(Facilities!D29,Borrowers!$C$9:$C$108,0)),0))</x:f>
        <x:v>Property</x:v>
      </x:c>
      <x:c r="E70" s="47" t="str">
        <x:f>IF(C70="","",IFERROR(INDEX(Borrowers!$E$9:$E$108,MATCH(Facilities!D29,Borrowers!$C$9:$C$108,0)),0))</x:f>
        <x:v>Jordan</x:v>
      </x:c>
      <x:c r="F70" s="47" t="n">
        <x:f>IF(C70="","",IFERROR(Facilities!AA29,0))</x:f>
        <x:v>8.5</x:v>
      </x:c>
      <x:c r="G70" s="47" t="n">
        <x:f>IF(C70="","",IFERROR(ECL!AD29,0))</x:f>
        <x:v>0.1490928069272977</x:v>
      </x:c>
      <x:c r="H70" s="47" t="n">
        <x:f>IF(C70="","",IF('Financed Emissions'!M29&gt;0,SUM('Financed Emissions'!J29:K29),0))</x:f>
        <x:v>332.5</x:v>
      </x:c>
      <x:c r="I70" s="47" t="n">
        <x:f>IF(C70="","",IFERROR('Financed Emissions'!M29,0))</x:f>
        <x:v>8.5</x:v>
      </x:c>
      <x:c r="J70" s="45"/>
      <x:c r="K70" s="45"/>
      <x:c r="L70" s="45"/>
      <x:c r="M70" s="45"/>
      <x:c r="N70" s="45"/>
      <x:c r="O70" s="45"/>
    </x:row>
    <x:row r="71">
      <x:c r="C71" s="29" t="str">
        <x:f>IF(Facilities!C30="","",Facilities!C30)</x:f>
        <x:v>F022</x:v>
      </x:c>
      <x:c r="D71" s="29" t="str">
        <x:f>IF(C71="","",IFERROR(INDEX(Borrowers!$F$9:$F$108,MATCH(Facilities!D30,Borrowers!$C$9:$C$108,0)),0))</x:f>
        <x:v>Property</x:v>
      </x:c>
      <x:c r="E71" s="29" t="str">
        <x:f>IF(C71="","",IFERROR(INDEX(Borrowers!$E$9:$E$108,MATCH(Facilities!D30,Borrowers!$C$9:$C$108,0)),0))</x:f>
        <x:v>Jordan</x:v>
      </x:c>
      <x:c r="F71" s="29" t="n">
        <x:f>IF(C71="","",IFERROR(Facilities!AA30,0))</x:f>
        <x:v>6</x:v>
      </x:c>
      <x:c r="G71" s="29" t="n">
        <x:f>IF(C71="","",IFERROR(ECL!AD30,0))</x:f>
        <x:v>0.10073838305898494</x:v>
      </x:c>
      <x:c r="H71" s="29" t="n">
        <x:f>IF(C71="","",IF('Financed Emissions'!M30&gt;0,SUM('Financed Emissions'!J30:K30),0))</x:f>
        <x:v>134.36</x:v>
      </x:c>
      <x:c r="I71" s="29" t="n">
        <x:f>IF(C71="","",IFERROR('Financed Emissions'!M30,0))</x:f>
        <x:v>6</x:v>
      </x:c>
    </x:row>
    <x:row r="72">
      <x:c r="C72" s="29" t="str">
        <x:f>IF(Facilities!C31="","",Facilities!C31)</x:f>
        <x:v>F023</x:v>
      </x:c>
      <x:c r="D72" s="29" t="str">
        <x:f>IF(C72="","",IFERROR(INDEX(Borrowers!$F$9:$F$108,MATCH(Facilities!D31,Borrowers!$C$9:$C$108,0)),0))</x:f>
        <x:v>Healthcare</x:v>
      </x:c>
      <x:c r="E72" s="29" t="str">
        <x:f>IF(C72="","",IFERROR(INDEX(Borrowers!$E$9:$E$108,MATCH(Facilities!D31,Borrowers!$C$9:$C$108,0)),0))</x:f>
        <x:v>Jordan</x:v>
      </x:c>
      <x:c r="F72" s="29" t="n">
        <x:f>IF(C72="","",IFERROR(Facilities!AA31,0))</x:f>
        <x:v>8.85</x:v>
      </x:c>
      <x:c r="G72" s="29" t="n">
        <x:f>IF(C72="","",IFERROR(ECL!AD31,0))</x:f>
        <x:v>0.19706776406035664</x:v>
      </x:c>
      <x:c r="H72" s="29" t="n">
        <x:f>IF(C72="","",IF('Financed Emissions'!M31&gt;0,SUM('Financed Emissions'!J31:K31),0))</x:f>
        <x:v>530.2625</x:v>
      </x:c>
      <x:c r="I72" s="29" t="n">
        <x:f>IF(C72="","",IFERROR('Financed Emissions'!M31,0))</x:f>
        <x:v>8.85</x:v>
      </x:c>
    </x:row>
    <x:row r="73">
      <x:c r="C73" s="29" t="str">
        <x:f>IF(Facilities!C32="","",Facilities!C32)</x:f>
        <x:v>F024</x:v>
      </x:c>
      <x:c r="D73" s="29" t="str">
        <x:f>IF(C73="","",IFERROR(INDEX(Borrowers!$F$9:$F$108,MATCH(Facilities!D32,Borrowers!$C$9:$C$108,0)),0))</x:f>
        <x:v>Healthcare</x:v>
      </x:c>
      <x:c r="E73" s="29" t="str">
        <x:f>IF(C73="","",IFERROR(INDEX(Borrowers!$E$9:$E$108,MATCH(Facilities!D32,Borrowers!$C$9:$C$108,0)),0))</x:f>
        <x:v>Jordan</x:v>
      </x:c>
      <x:c r="F73" s="29" t="n">
        <x:f>IF(C73="","",IFERROR(Facilities!AA32,0))</x:f>
        <x:v>6.35</x:v>
      </x:c>
      <x:c r="G73" s="29" t="n">
        <x:f>IF(C73="","",IFERROR(ECL!AD32,0))</x:f>
        <x:v>0.1354840877914952</x:v>
      </x:c>
      <x:c r="H73" s="29" t="n">
        <x:f>IF(C73="","",IF('Financed Emissions'!M32&gt;0,SUM('Financed Emissions'!J32:K32),0))</x:f>
        <x:v>380.4708333333333</x:v>
      </x:c>
      <x:c r="I73" s="29" t="n">
        <x:f>IF(C73="","",IFERROR('Financed Emissions'!M32,0))</x:f>
        <x:v>6.35</x:v>
      </x:c>
    </x:row>
    <x:row r="74">
      <x:c r="C74" s="29" t="str">
        <x:f>IF(Facilities!C33="","",Facilities!C33)</x:f>
        <x:v>F025</x:v>
      </x:c>
      <x:c r="D74" s="29" t="str">
        <x:f>IF(C74="","",IFERROR(INDEX(Borrowers!$F$9:$F$108,MATCH(Facilities!D33,Borrowers!$C$9:$C$108,0)),0))</x:f>
        <x:v>Cement</x:v>
      </x:c>
      <x:c r="E74" s="29" t="str">
        <x:f>IF(C74="","",IFERROR(INDEX(Borrowers!$E$9:$E$108,MATCH(Facilities!D33,Borrowers!$C$9:$C$108,0)),0))</x:f>
        <x:v>UAE</x:v>
      </x:c>
      <x:c r="F74" s="29" t="n">
        <x:f>IF(C74="","",IFERROR(Facilities!AA33,0))</x:f>
        <x:v>9.2</x:v>
      </x:c>
      <x:c r="G74" s="29" t="n">
        <x:f>IF(C74="","",IFERROR(ECL!AD33,0))</x:f>
        <x:v>0.06325722736625515</x:v>
      </x:c>
      <x:c r="H74" s="29" t="n">
        <x:f>IF(C74="","",IF('Financed Emissions'!M33&gt;0,SUM('Financed Emissions'!J33:K33),0))</x:f>
        <x:v>11812.8</x:v>
      </x:c>
      <x:c r="I74" s="29" t="n">
        <x:f>IF(C74="","",IFERROR('Financed Emissions'!M33,0))</x:f>
        <x:v>9.2</x:v>
      </x:c>
    </x:row>
    <x:row r="75">
      <x:c r="C75" s="29" t="str">
        <x:f>IF(Facilities!C34="","",Facilities!C34)</x:f>
        <x:v>F026</x:v>
      </x:c>
      <x:c r="D75" s="29" t="str">
        <x:f>IF(C75="","",IFERROR(INDEX(Borrowers!$F$9:$F$108,MATCH(Facilities!D34,Borrowers!$C$9:$C$108,0)),0))</x:f>
        <x:v>Solar</x:v>
      </x:c>
      <x:c r="E75" s="29" t="str">
        <x:f>IF(C75="","",IFERROR(INDEX(Borrowers!$E$9:$E$108,MATCH(Facilities!D34,Borrowers!$C$9:$C$108,0)),0))</x:f>
        <x:v>UAE</x:v>
      </x:c>
      <x:c r="F75" s="29" t="n">
        <x:f>IF(C75="","",IFERROR(Facilities!AA34,0))</x:f>
        <x:v>9.55</x:v>
      </x:c>
      <x:c r="G75" s="29" t="n">
        <x:f>IF(C75="","",IFERROR(ECL!AD34,0))</x:f>
        <x:v>0.10583108710562417</x:v>
      </x:c>
      <x:c r="H75" s="29" t="n">
        <x:f>IF(C75="","",IF('Financed Emissions'!M34&gt;0,SUM('Financed Emissions'!J34:K34),0))</x:f>
        <x:v>2.0231307692307694</x:v>
      </x:c>
      <x:c r="I75" s="29" t="n">
        <x:f>IF(C75="","",IFERROR('Financed Emissions'!M34,0))</x:f>
        <x:v>9.55</x:v>
      </x:c>
    </x:row>
    <x:row r="76">
      <x:c r="C76" s="29" t="str">
        <x:f>IF(Facilities!C35="","",Facilities!C35)</x:f>
        <x:v>F027</x:v>
      </x:c>
      <x:c r="D76" s="29" t="str">
        <x:f>IF(C76="","",IFERROR(INDEX(Borrowers!$F$9:$F$108,MATCH(Facilities!D35,Borrowers!$C$9:$C$108,0)),0))</x:f>
        <x:v>Logistics</x:v>
      </x:c>
      <x:c r="E76" s="29" t="str">
        <x:f>IF(C76="","",IFERROR(INDEX(Borrowers!$E$9:$E$108,MATCH(Facilities!D35,Borrowers!$C$9:$C$108,0)),0))</x:f>
        <x:v>UAE</x:v>
      </x:c>
      <x:c r="F76" s="29" t="n">
        <x:f>IF(C76="","",IFERROR(Facilities!AA35,0))</x:f>
        <x:v>9.899999999999999</x:v>
      </x:c>
      <x:c r="G76" s="29" t="n">
        <x:f>IF(C76="","",IFERROR(ECL!AD35,0))</x:f>
        <x:v>0.15639113511659808</x:v>
      </x:c>
      <x:c r="H76" s="29" t="n">
        <x:f>IF(C76="","",IF('Financed Emissions'!M35&gt;0,SUM('Financed Emissions'!J35:K35),0))</x:f>
        <x:v>586.6666666666665</x:v>
      </x:c>
      <x:c r="I76" s="29" t="n">
        <x:f>IF(C76="","",IFERROR('Financed Emissions'!M35,0))</x:f>
        <x:v>9.899999999999999</x:v>
      </x:c>
    </x:row>
    <x:row r="77">
      <x:c r="C77" s="29" t="str">
        <x:f>IF(Facilities!C36="","",Facilities!C36)</x:f>
        <x:v>F028</x:v>
      </x:c>
      <x:c r="D77" s="29" t="str">
        <x:f>IF(C77="","",IFERROR(INDEX(Borrowers!$F$9:$F$108,MATCH(Facilities!D36,Borrowers!$C$9:$C$108,0)),0))</x:f>
        <x:v>Food</x:v>
      </x:c>
      <x:c r="E77" s="29" t="str">
        <x:f>IF(C77="","",IFERROR(INDEX(Borrowers!$E$9:$E$108,MATCH(Facilities!D36,Borrowers!$C$9:$C$108,0)),0))</x:f>
        <x:v>UAE</x:v>
      </x:c>
      <x:c r="F77" s="29" t="n">
        <x:f>IF(C77="","",IFERROR(Facilities!AA36,0))</x:f>
        <x:v>10.25</x:v>
      </x:c>
      <x:c r="G77" s="29" t="n">
        <x:f>IF(C77="","",IFERROR(ECL!AD36,0))</x:f>
        <x:v>0.14774962848651121</x:v>
      </x:c>
      <x:c r="H77" s="29" t="n">
        <x:f>IF(C77="","",IF('Financed Emissions'!M36&gt;0,SUM('Financed Emissions'!J36:K36),0))</x:f>
        <x:v>423.8375</x:v>
      </x:c>
      <x:c r="I77" s="29" t="n">
        <x:f>IF(C77="","",IFERROR('Financed Emissions'!M36,0))</x:f>
        <x:v>10.25</x:v>
      </x:c>
    </x:row>
    <x:row r="78">
      <x:c r="C78" s="29" t="str">
        <x:f>IF(Facilities!C37="","",Facilities!C37)</x:f>
        <x:v>F029</x:v>
      </x:c>
      <x:c r="D78" s="29" t="str">
        <x:f>IF(C78="","",IFERROR(INDEX(Borrowers!$F$9:$F$108,MATCH(Facilities!D37,Borrowers!$C$9:$C$108,0)),0))</x:f>
        <x:v>Property</x:v>
      </x:c>
      <x:c r="E78" s="29" t="str">
        <x:f>IF(C78="","",IFERROR(INDEX(Borrowers!$E$9:$E$108,MATCH(Facilities!D37,Borrowers!$C$9:$C$108,0)),0))</x:f>
        <x:v>UAE</x:v>
      </x:c>
      <x:c r="F78" s="29" t="n">
        <x:f>IF(C78="","",IFERROR(Facilities!AA37,0))</x:f>
        <x:v>10.6</x:v>
      </x:c>
      <x:c r="G78" s="29" t="n">
        <x:f>IF(C78="","",IFERROR(ECL!AD37,0))</x:f>
        <x:v>0.7085225767953474</x:v>
      </x:c>
      <x:c r="H78" s="29" t="n">
        <x:f>IF(C78="","",IF('Financed Emissions'!M37&gt;0,SUM('Financed Emissions'!J37:K37),0))</x:f>
        <x:v>240.03882758620693</x:v>
      </x:c>
      <x:c r="I78" s="29" t="n">
        <x:f>IF(C78="","",IFERROR('Financed Emissions'!M37,0))</x:f>
        <x:v>10.6</x:v>
      </x:c>
    </x:row>
    <x:row r="79">
      <x:c r="C79" s="29" t="str">
        <x:f>IF(Facilities!C38="","",Facilities!C38)</x:f>
        <x:v>F030</x:v>
      </x:c>
      <x:c r="D79" s="29" t="str">
        <x:f>IF(C79="","",IFERROR(INDEX(Borrowers!$F$9:$F$108,MATCH(Facilities!D38,Borrowers!$C$9:$C$108,0)),0))</x:f>
        <x:v>Hospitality</x:v>
      </x:c>
      <x:c r="E79" s="29" t="str">
        <x:f>IF(C79="","",IFERROR(INDEX(Borrowers!$E$9:$E$108,MATCH(Facilities!D38,Borrowers!$C$9:$C$108,0)),0))</x:f>
        <x:v>UAE</x:v>
      </x:c>
      <x:c r="F79" s="29" t="n">
        <x:f>IF(C79="","",IFERROR(Facilities!AA38,0))</x:f>
        <x:v>10.95</x:v>
      </x:c>
      <x:c r="G79" s="29" t="n">
        <x:f>IF(C79="","",IFERROR(ECL!AD38,0))</x:f>
        <x:v>0.26034004629629626</x:v>
      </x:c>
      <x:c r="H79" s="29" t="n">
        <x:f>IF(C79="","",IF('Financed Emissions'!M38&gt;0,SUM('Financed Emissions'!J38:K38),0))</x:f>
        <x:v>643.13</x:v>
      </x:c>
      <x:c r="I79" s="29" t="n">
        <x:f>IF(C79="","",IFERROR('Financed Emissions'!M38,0))</x:f>
        <x:v>10.95</x:v>
      </x:c>
    </x:row>
    <x:row r="80">
      <x:c r="C80" s="29" t="str">
        <x:f>IF(Facilities!C39="","",Facilities!C39)</x:f>
        <x:v>F031</x:v>
      </x:c>
      <x:c r="D80" s="29" t="str">
        <x:f>IF(C80="","",IFERROR(INDEX(Borrowers!$F$9:$F$108,MATCH(Facilities!D39,Borrowers!$C$9:$C$108,0)),0))</x:f>
        <x:v>Manufacturing</x:v>
      </x:c>
      <x:c r="E80" s="29" t="str">
        <x:f>IF(C80="","",IFERROR(INDEX(Borrowers!$E$9:$E$108,MATCH(Facilities!D39,Borrowers!$C$9:$C$108,0)),0))</x:f>
        <x:v>Egypt</x:v>
      </x:c>
      <x:c r="F80" s="29" t="n">
        <x:f>IF(C80="","",IFERROR(Facilities!AA39,0))</x:f>
        <x:v>11.3</x:v>
      </x:c>
      <x:c r="G80" s="29" t="n">
        <x:f>IF(C80="","",IFERROR(ECL!AD39,0))</x:f>
        <x:v>0.08254139803383631</x:v>
      </x:c>
      <x:c r="H80" s="29" t="n">
        <x:f>IF(C80="","",IF('Financed Emissions'!M39&gt;0,SUM('Financed Emissions'!J39:K39),0))</x:f>
        <x:v>661.9612903225807</x:v>
      </x:c>
      <x:c r="I80" s="29" t="n">
        <x:f>IF(C80="","",IFERROR('Financed Emissions'!M39,0))</x:f>
        <x:v>11.3</x:v>
      </x:c>
    </x:row>
    <x:row r="81">
      <x:c r="C81" s="29" t="str">
        <x:f>IF(Facilities!C40="","",Facilities!C40)</x:f>
        <x:v>F032</x:v>
      </x:c>
      <x:c r="D81" s="29" t="str">
        <x:f>IF(C81="","",IFERROR(INDEX(Borrowers!$F$9:$F$108,MATCH(Facilities!D40,Borrowers!$C$9:$C$108,0)),0))</x:f>
        <x:v>Agriculture</x:v>
      </x:c>
      <x:c r="E81" s="29" t="str">
        <x:f>IF(C81="","",IFERROR(INDEX(Borrowers!$E$9:$E$108,MATCH(Facilities!D40,Borrowers!$C$9:$C$108,0)),0))</x:f>
        <x:v>Egypt</x:v>
      </x:c>
      <x:c r="F81" s="29" t="n">
        <x:f>IF(C81="","",IFERROR(Facilities!AA40,0))</x:f>
        <x:v>11.649999999999999</x:v>
      </x:c>
      <x:c r="G81" s="29" t="n">
        <x:f>IF(C81="","",IFERROR(ECL!AD40,0))</x:f>
        <x:v>0.13656690672153635</x:v>
      </x:c>
      <x:c r="H81" s="29" t="n">
        <x:f>IF(C81="","",IF('Financed Emissions'!M40&gt;0,SUM('Financed Emissions'!J40:K40),0))</x:f>
        <x:v>285.6245062499999</x:v>
      </x:c>
      <x:c r="I81" s="29" t="n">
        <x:f>IF(C81="","",IFERROR('Financed Emissions'!M40,0))</x:f>
        <x:v>11.649999999999999</x:v>
      </x:c>
    </x:row>
    <x:row r="82">
      <x:c r="C82" s="29" t="str">
        <x:f>IF(Facilities!C41="","",Facilities!C41)</x:f>
        <x:v>F033</x:v>
      </x:c>
      <x:c r="D82" s="29" t="str">
        <x:f>IF(C82="","",IFERROR(INDEX(Borrowers!$F$9:$F$108,MATCH(Facilities!D41,Borrowers!$C$9:$C$108,0)),0))</x:f>
        <x:v>Utilities</x:v>
      </x:c>
      <x:c r="E82" s="29" t="str">
        <x:f>IF(C82="","",IFERROR(INDEX(Borrowers!$E$9:$E$108,MATCH(Facilities!D41,Borrowers!$C$9:$C$108,0)),0))</x:f>
        <x:v>Egypt</x:v>
      </x:c>
      <x:c r="F82" s="29" t="n">
        <x:f>IF(C82="","",IFERROR(Facilities!AA41,0))</x:f>
        <x:v>12</x:v>
      </x:c>
      <x:c r="G82" s="29" t="n">
        <x:f>IF(C82="","",IFERROR(ECL!AD41,0))</x:f>
        <x:v>0.45640684069942283</x:v>
      </x:c>
      <x:c r="H82" s="29" t="n">
        <x:f>IF(C82="","",IF('Financed Emissions'!M41&gt;0,SUM('Financed Emissions'!J41:K41),0))</x:f>
        <x:v>501.9130434782608</x:v>
      </x:c>
      <x:c r="I82" s="29" t="n">
        <x:f>IF(C82="","",IFERROR('Financed Emissions'!M41,0))</x:f>
        <x:v>12</x:v>
      </x:c>
    </x:row>
    <x:row r="83">
      <x:c r="C83" s="29" t="str">
        <x:f>IF(Facilities!C42="","",Facilities!C42)</x:f>
        <x:v>F034</x:v>
      </x:c>
      <x:c r="D83" s="29" t="str">
        <x:f>IF(C83="","",IFERROR(INDEX(Borrowers!$F$9:$F$108,MATCH(Facilities!D42,Borrowers!$C$9:$C$108,0)),0))</x:f>
        <x:v>Manufacturing</x:v>
      </x:c>
      <x:c r="E83" s="29" t="str">
        <x:f>IF(C83="","",IFERROR(INDEX(Borrowers!$E$9:$E$108,MATCH(Facilities!D42,Borrowers!$C$9:$C$108,0)),0))</x:f>
        <x:v>Jordan</x:v>
      </x:c>
      <x:c r="F83" s="29" t="n">
        <x:f>IF(C83="","",IFERROR(Facilities!AA42,0))</x:f>
        <x:v>12.35</x:v>
      </x:c>
      <x:c r="G83" s="29" t="n">
        <x:f>IF(C83="","",IFERROR(ECL!AD42,0))</x:f>
        <x:v>0.1920824188385917</x:v>
      </x:c>
      <x:c r="H83" s="29" t="n">
        <x:f>IF(C83="","",IF('Financed Emissions'!M42&gt;0,SUM('Financed Emissions'!J42:K42),0))</x:f>
        <x:v>718.4794117647059</x:v>
      </x:c>
      <x:c r="I83" s="29" t="n">
        <x:f>IF(C83="","",IFERROR('Financed Emissions'!M42,0))</x:f>
        <x:v>12.35</x:v>
      </x:c>
    </x:row>
    <x:row r="84">
      <x:c r="C84" s="29" t="str">
        <x:f>IF(Facilities!C43="","",Facilities!C43)</x:f>
        <x:v>F035</x:v>
      </x:c>
      <x:c r="D84" s="29" t="str">
        <x:f>IF(C84="","",IFERROR(INDEX(Borrowers!$F$9:$F$108,MATCH(Facilities!D43,Borrowers!$C$9:$C$108,0)),0))</x:f>
        <x:v>Technology</x:v>
      </x:c>
      <x:c r="E84" s="29" t="str">
        <x:f>IF(C84="","",IFERROR(INDEX(Borrowers!$E$9:$E$108,MATCH(Facilities!D43,Borrowers!$C$9:$C$108,0)),0))</x:f>
        <x:v>UAE</x:v>
      </x:c>
      <x:c r="F84" s="29" t="n">
        <x:f>IF(C84="","",IFERROR(Facilities!AA43,0))</x:f>
        <x:v>12.7</x:v>
      </x:c>
      <x:c r="G84" s="29" t="n">
        <x:f>IF(C84="","",IFERROR(ECL!AD43,0))</x:f>
        <x:v>7.315397805212619</x:v>
      </x:c>
      <x:c r="H84" s="29" t="n">
        <x:f>IF(C84="","",IF('Financed Emissions'!M43&gt;0,SUM('Financed Emissions'!J43:K43),0))</x:f>
        <x:v>297.28377714285716</x:v>
      </x:c>
      <x:c r="I84" s="29" t="n">
        <x:f>IF(C84="","",IFERROR('Financed Emissions'!M43,0))</x:f>
        <x:v>12.7</x:v>
      </x:c>
    </x:row>
    <x:row r="85">
      <x:c r="C85" s="29" t="str">
        <x:f>IF(Facilities!C44="","",Facilities!C44)</x:f>
        <x:v>F036</x:v>
      </x:c>
      <x:c r="D85" s="29" t="str">
        <x:f>IF(C85="","",IFERROR(INDEX(Borrowers!$F$9:$F$108,MATCH(Facilities!D44,Borrowers!$C$9:$C$108,0)),0))</x:f>
        <x:v>Transport</x:v>
      </x:c>
      <x:c r="E85" s="29" t="str">
        <x:f>IF(C85="","",IFERROR(INDEX(Borrowers!$E$9:$E$108,MATCH(Facilities!D44,Borrowers!$C$9:$C$108,0)),0))</x:f>
        <x:v>Egypt</x:v>
      </x:c>
      <x:c r="F85" s="29" t="n">
        <x:f>IF(C85="","",IFERROR(Facilities!AA44,0))</x:f>
        <x:v>13.049999999999999</x:v>
      </x:c>
      <x:c r="G85" s="29" t="n">
        <x:f>IF(C85="","",IFERROR(ECL!AD44,0))</x:f>
        <x:v>0.3308505829903977</x:v>
      </x:c>
      <x:c r="H85" s="29" t="n">
        <x:f>IF(C85="","",IF('Financed Emissions'!M44&gt;0,SUM('Financed Emissions'!J44:K44),0))</x:f>
        <x:v>756.175</x:v>
      </x:c>
      <x:c r="I85" s="29" t="n">
        <x:f>IF(C85="","",IFERROR('Financed Emissions'!M44,0))</x:f>
        <x:v>13.049999999999999</x:v>
      </x:c>
    </x:row>
    <x:row r="86">
      <x:c r="C86" s="29" t="str">
        <x:f>IF(Facilities!C45="","",Facilities!C45)</x:f>
      </x:c>
      <x:c r="D86" s="29" t="str">
        <x:f>IF(C86="","",IFERROR(INDEX(Borrowers!$F$9:$F$108,MATCH(Facilities!D45,Borrowers!$C$9:$C$108,0)),0))</x:f>
      </x:c>
      <x:c r="E86" s="29" t="str">
        <x:f>IF(C86="","",IFERROR(INDEX(Borrowers!$E$9:$E$108,MATCH(Facilities!D45,Borrowers!$C$9:$C$108,0)),0))</x:f>
      </x:c>
      <x:c r="F86" s="29" t="str">
        <x:f>IF(C86="","",IFERROR(Facilities!AA45,0))</x:f>
      </x:c>
      <x:c r="G86" s="29" t="str">
        <x:f>IF(C86="","",IFERROR(ECL!AD45,0))</x:f>
      </x:c>
      <x:c r="H86" s="29" t="str">
        <x:f>IF(C86="","",IF('Financed Emissions'!M45&gt;0,SUM('Financed Emissions'!J45:K45),0))</x:f>
      </x:c>
      <x:c r="I86" s="29" t="str">
        <x:f>IF(C86="","",IFERROR('Financed Emissions'!M45,0))</x:f>
      </x:c>
    </x:row>
    <x:row r="87">
      <x:c r="C87" s="29" t="str">
        <x:f>IF(Facilities!C46="","",Facilities!C46)</x:f>
      </x:c>
      <x:c r="D87" s="29" t="str">
        <x:f>IF(C87="","",IFERROR(INDEX(Borrowers!$F$9:$F$108,MATCH(Facilities!D46,Borrowers!$C$9:$C$108,0)),0))</x:f>
      </x:c>
      <x:c r="E87" s="29" t="str">
        <x:f>IF(C87="","",IFERROR(INDEX(Borrowers!$E$9:$E$108,MATCH(Facilities!D46,Borrowers!$C$9:$C$108,0)),0))</x:f>
      </x:c>
      <x:c r="F87" s="29" t="str">
        <x:f>IF(C87="","",IFERROR(Facilities!AA46,0))</x:f>
      </x:c>
      <x:c r="G87" s="29" t="str">
        <x:f>IF(C87="","",IFERROR(ECL!AD46,0))</x:f>
      </x:c>
      <x:c r="H87" s="29" t="str">
        <x:f>IF(C87="","",IF('Financed Emissions'!M46&gt;0,SUM('Financed Emissions'!J46:K46),0))</x:f>
      </x:c>
      <x:c r="I87" s="29" t="str">
        <x:f>IF(C87="","",IFERROR('Financed Emissions'!M46,0))</x:f>
      </x:c>
    </x:row>
    <x:row r="88">
      <x:c r="C88" s="29" t="str">
        <x:f>IF(Facilities!C47="","",Facilities!C47)</x:f>
      </x:c>
      <x:c r="D88" s="29" t="str">
        <x:f>IF(C88="","",IFERROR(INDEX(Borrowers!$F$9:$F$108,MATCH(Facilities!D47,Borrowers!$C$9:$C$108,0)),0))</x:f>
      </x:c>
      <x:c r="E88" s="29" t="str">
        <x:f>IF(C88="","",IFERROR(INDEX(Borrowers!$E$9:$E$108,MATCH(Facilities!D47,Borrowers!$C$9:$C$108,0)),0))</x:f>
      </x:c>
      <x:c r="F88" s="29" t="str">
        <x:f>IF(C88="","",IFERROR(Facilities!AA47,0))</x:f>
      </x:c>
      <x:c r="G88" s="29" t="str">
        <x:f>IF(C88="","",IFERROR(ECL!AD47,0))</x:f>
      </x:c>
      <x:c r="H88" s="29" t="str">
        <x:f>IF(C88="","",IF('Financed Emissions'!M47&gt;0,SUM('Financed Emissions'!J47:K47),0))</x:f>
      </x:c>
      <x:c r="I88" s="29" t="str">
        <x:f>IF(C88="","",IFERROR('Financed Emissions'!M47,0))</x:f>
      </x:c>
    </x:row>
    <x:row r="89">
      <x:c r="C89" s="29" t="str">
        <x:f>IF(Facilities!C48="","",Facilities!C48)</x:f>
      </x:c>
      <x:c r="D89" s="29" t="str">
        <x:f>IF(C89="","",IFERROR(INDEX(Borrowers!$F$9:$F$108,MATCH(Facilities!D48,Borrowers!$C$9:$C$108,0)),0))</x:f>
      </x:c>
      <x:c r="E89" s="29" t="str">
        <x:f>IF(C89="","",IFERROR(INDEX(Borrowers!$E$9:$E$108,MATCH(Facilities!D48,Borrowers!$C$9:$C$108,0)),0))</x:f>
      </x:c>
      <x:c r="F89" s="29" t="str">
        <x:f>IF(C89="","",IFERROR(Facilities!AA48,0))</x:f>
      </x:c>
      <x:c r="G89" s="29" t="str">
        <x:f>IF(C89="","",IFERROR(ECL!AD48,0))</x:f>
      </x:c>
      <x:c r="H89" s="29" t="str">
        <x:f>IF(C89="","",IF('Financed Emissions'!M48&gt;0,SUM('Financed Emissions'!J48:K48),0))</x:f>
      </x:c>
      <x:c r="I89" s="29" t="str">
        <x:f>IF(C89="","",IFERROR('Financed Emissions'!M48,0))</x:f>
      </x:c>
    </x:row>
    <x:row r="90">
      <x:c r="C90" s="29" t="str">
        <x:f>IF(Facilities!C49="","",Facilities!C49)</x:f>
      </x:c>
      <x:c r="D90" s="29" t="str">
        <x:f>IF(C90="","",IFERROR(INDEX(Borrowers!$F$9:$F$108,MATCH(Facilities!D49,Borrowers!$C$9:$C$108,0)),0))</x:f>
      </x:c>
      <x:c r="E90" s="29" t="str">
        <x:f>IF(C90="","",IFERROR(INDEX(Borrowers!$E$9:$E$108,MATCH(Facilities!D49,Borrowers!$C$9:$C$108,0)),0))</x:f>
      </x:c>
      <x:c r="F90" s="29" t="str">
        <x:f>IF(C90="","",IFERROR(Facilities!AA49,0))</x:f>
      </x:c>
      <x:c r="G90" s="29" t="str">
        <x:f>IF(C90="","",IFERROR(ECL!AD49,0))</x:f>
      </x:c>
      <x:c r="H90" s="29" t="str">
        <x:f>IF(C90="","",IF('Financed Emissions'!M49&gt;0,SUM('Financed Emissions'!J49:K49),0))</x:f>
      </x:c>
      <x:c r="I90" s="29" t="str">
        <x:f>IF(C90="","",IFERROR('Financed Emissions'!M49,0))</x:f>
      </x:c>
    </x:row>
    <x:row r="91">
      <x:c r="C91" s="29" t="str">
        <x:f>IF(Facilities!C50="","",Facilities!C50)</x:f>
      </x:c>
      <x:c r="D91" s="29" t="str">
        <x:f>IF(C91="","",IFERROR(INDEX(Borrowers!$F$9:$F$108,MATCH(Facilities!D50,Borrowers!$C$9:$C$108,0)),0))</x:f>
      </x:c>
      <x:c r="E91" s="29" t="str">
        <x:f>IF(C91="","",IFERROR(INDEX(Borrowers!$E$9:$E$108,MATCH(Facilities!D50,Borrowers!$C$9:$C$108,0)),0))</x:f>
      </x:c>
      <x:c r="F91" s="29" t="str">
        <x:f>IF(C91="","",IFERROR(Facilities!AA50,0))</x:f>
      </x:c>
      <x:c r="G91" s="29" t="str">
        <x:f>IF(C91="","",IFERROR(ECL!AD50,0))</x:f>
      </x:c>
      <x:c r="H91" s="29" t="str">
        <x:f>IF(C91="","",IF('Financed Emissions'!M50&gt;0,SUM('Financed Emissions'!J50:K50),0))</x:f>
      </x:c>
      <x:c r="I91" s="29" t="str">
        <x:f>IF(C91="","",IFERROR('Financed Emissions'!M50,0))</x:f>
      </x:c>
    </x:row>
    <x:row r="92">
      <x:c r="C92" s="29" t="str">
        <x:f>IF(Facilities!C51="","",Facilities!C51)</x:f>
      </x:c>
      <x:c r="D92" s="29" t="str">
        <x:f>IF(C92="","",IFERROR(INDEX(Borrowers!$F$9:$F$108,MATCH(Facilities!D51,Borrowers!$C$9:$C$108,0)),0))</x:f>
      </x:c>
      <x:c r="E92" s="29" t="str">
        <x:f>IF(C92="","",IFERROR(INDEX(Borrowers!$E$9:$E$108,MATCH(Facilities!D51,Borrowers!$C$9:$C$108,0)),0))</x:f>
      </x:c>
      <x:c r="F92" s="29" t="str">
        <x:f>IF(C92="","",IFERROR(Facilities!AA51,0))</x:f>
      </x:c>
      <x:c r="G92" s="29" t="str">
        <x:f>IF(C92="","",IFERROR(ECL!AD51,0))</x:f>
      </x:c>
      <x:c r="H92" s="29" t="str">
        <x:f>IF(C92="","",IF('Financed Emissions'!M51&gt;0,SUM('Financed Emissions'!J51:K51),0))</x:f>
      </x:c>
      <x:c r="I92" s="29" t="str">
        <x:f>IF(C92="","",IFERROR('Financed Emissions'!M51,0))</x:f>
      </x:c>
    </x:row>
    <x:row r="93">
      <x:c r="C93" s="29" t="str">
        <x:f>IF(Facilities!C52="","",Facilities!C52)</x:f>
      </x:c>
      <x:c r="D93" s="29" t="str">
        <x:f>IF(C93="","",IFERROR(INDEX(Borrowers!$F$9:$F$108,MATCH(Facilities!D52,Borrowers!$C$9:$C$108,0)),0))</x:f>
      </x:c>
      <x:c r="E93" s="29" t="str">
        <x:f>IF(C93="","",IFERROR(INDEX(Borrowers!$E$9:$E$108,MATCH(Facilities!D52,Borrowers!$C$9:$C$108,0)),0))</x:f>
      </x:c>
      <x:c r="F93" s="29" t="str">
        <x:f>IF(C93="","",IFERROR(Facilities!AA52,0))</x:f>
      </x:c>
      <x:c r="G93" s="29" t="str">
        <x:f>IF(C93="","",IFERROR(ECL!AD52,0))</x:f>
      </x:c>
      <x:c r="H93" s="29" t="str">
        <x:f>IF(C93="","",IF('Financed Emissions'!M52&gt;0,SUM('Financed Emissions'!J52:K52),0))</x:f>
      </x:c>
      <x:c r="I93" s="29" t="str">
        <x:f>IF(C93="","",IFERROR('Financed Emissions'!M52,0))</x:f>
      </x:c>
    </x:row>
    <x:row r="94">
      <x:c r="C94" s="29" t="str">
        <x:f>IF(Facilities!C53="","",Facilities!C53)</x:f>
      </x:c>
      <x:c r="D94" s="29" t="str">
        <x:f>IF(C94="","",IFERROR(INDEX(Borrowers!$F$9:$F$108,MATCH(Facilities!D53,Borrowers!$C$9:$C$108,0)),0))</x:f>
      </x:c>
      <x:c r="E94" s="29" t="str">
        <x:f>IF(C94="","",IFERROR(INDEX(Borrowers!$E$9:$E$108,MATCH(Facilities!D53,Borrowers!$C$9:$C$108,0)),0))</x:f>
      </x:c>
      <x:c r="F94" s="29" t="str">
        <x:f>IF(C94="","",IFERROR(Facilities!AA53,0))</x:f>
      </x:c>
      <x:c r="G94" s="29" t="str">
        <x:f>IF(C94="","",IFERROR(ECL!AD53,0))</x:f>
      </x:c>
      <x:c r="H94" s="29" t="str">
        <x:f>IF(C94="","",IF('Financed Emissions'!M53&gt;0,SUM('Financed Emissions'!J53:K53),0))</x:f>
      </x:c>
      <x:c r="I94" s="29" t="str">
        <x:f>IF(C94="","",IFERROR('Financed Emissions'!M53,0))</x:f>
      </x:c>
    </x:row>
    <x:row r="95">
      <x:c r="C95" s="29" t="str">
        <x:f>IF(Facilities!C54="","",Facilities!C54)</x:f>
      </x:c>
      <x:c r="D95" s="29" t="str">
        <x:f>IF(C95="","",IFERROR(INDEX(Borrowers!$F$9:$F$108,MATCH(Facilities!D54,Borrowers!$C$9:$C$108,0)),0))</x:f>
      </x:c>
      <x:c r="E95" s="29" t="str">
        <x:f>IF(C95="","",IFERROR(INDEX(Borrowers!$E$9:$E$108,MATCH(Facilities!D54,Borrowers!$C$9:$C$108,0)),0))</x:f>
      </x:c>
      <x:c r="F95" s="29" t="str">
        <x:f>IF(C95="","",IFERROR(Facilities!AA54,0))</x:f>
      </x:c>
      <x:c r="G95" s="29" t="str">
        <x:f>IF(C95="","",IFERROR(ECL!AD54,0))</x:f>
      </x:c>
      <x:c r="H95" s="29" t="str">
        <x:f>IF(C95="","",IF('Financed Emissions'!M54&gt;0,SUM('Financed Emissions'!J54:K54),0))</x:f>
      </x:c>
      <x:c r="I95" s="29" t="str">
        <x:f>IF(C95="","",IFERROR('Financed Emissions'!M54,0))</x:f>
      </x:c>
    </x:row>
    <x:row r="96">
      <x:c r="C96" s="29" t="str">
        <x:f>IF(Facilities!C55="","",Facilities!C55)</x:f>
      </x:c>
      <x:c r="D96" s="29" t="str">
        <x:f>IF(C96="","",IFERROR(INDEX(Borrowers!$F$9:$F$108,MATCH(Facilities!D55,Borrowers!$C$9:$C$108,0)),0))</x:f>
      </x:c>
      <x:c r="E96" s="29" t="str">
        <x:f>IF(C96="","",IFERROR(INDEX(Borrowers!$E$9:$E$108,MATCH(Facilities!D55,Borrowers!$C$9:$C$108,0)),0))</x:f>
      </x:c>
      <x:c r="F96" s="29" t="str">
        <x:f>IF(C96="","",IFERROR(Facilities!AA55,0))</x:f>
      </x:c>
      <x:c r="G96" s="29" t="str">
        <x:f>IF(C96="","",IFERROR(ECL!AD55,0))</x:f>
      </x:c>
      <x:c r="H96" s="29" t="str">
        <x:f>IF(C96="","",IF('Financed Emissions'!M55&gt;0,SUM('Financed Emissions'!J55:K55),0))</x:f>
      </x:c>
      <x:c r="I96" s="29" t="str">
        <x:f>IF(C96="","",IFERROR('Financed Emissions'!M55,0))</x:f>
      </x:c>
    </x:row>
    <x:row r="97">
      <x:c r="C97" s="29" t="str">
        <x:f>IF(Facilities!C56="","",Facilities!C56)</x:f>
      </x:c>
      <x:c r="D97" s="29" t="str">
        <x:f>IF(C97="","",IFERROR(INDEX(Borrowers!$F$9:$F$108,MATCH(Facilities!D56,Borrowers!$C$9:$C$108,0)),0))</x:f>
      </x:c>
      <x:c r="E97" s="29" t="str">
        <x:f>IF(C97="","",IFERROR(INDEX(Borrowers!$E$9:$E$108,MATCH(Facilities!D56,Borrowers!$C$9:$C$108,0)),0))</x:f>
      </x:c>
      <x:c r="F97" s="29" t="str">
        <x:f>IF(C97="","",IFERROR(Facilities!AA56,0))</x:f>
      </x:c>
      <x:c r="G97" s="29" t="str">
        <x:f>IF(C97="","",IFERROR(ECL!AD56,0))</x:f>
      </x:c>
      <x:c r="H97" s="29" t="str">
        <x:f>IF(C97="","",IF('Financed Emissions'!M56&gt;0,SUM('Financed Emissions'!J56:K56),0))</x:f>
      </x:c>
      <x:c r="I97" s="29" t="str">
        <x:f>IF(C97="","",IFERROR('Financed Emissions'!M56,0))</x:f>
      </x:c>
    </x:row>
    <x:row r="98">
      <x:c r="C98" s="29" t="str">
        <x:f>IF(Facilities!C57="","",Facilities!C57)</x:f>
      </x:c>
      <x:c r="D98" s="29" t="str">
        <x:f>IF(C98="","",IFERROR(INDEX(Borrowers!$F$9:$F$108,MATCH(Facilities!D57,Borrowers!$C$9:$C$108,0)),0))</x:f>
      </x:c>
      <x:c r="E98" s="29" t="str">
        <x:f>IF(C98="","",IFERROR(INDEX(Borrowers!$E$9:$E$108,MATCH(Facilities!D57,Borrowers!$C$9:$C$108,0)),0))</x:f>
      </x:c>
      <x:c r="F98" s="29" t="str">
        <x:f>IF(C98="","",IFERROR(Facilities!AA57,0))</x:f>
      </x:c>
      <x:c r="G98" s="29" t="str">
        <x:f>IF(C98="","",IFERROR(ECL!AD57,0))</x:f>
      </x:c>
      <x:c r="H98" s="29" t="str">
        <x:f>IF(C98="","",IF('Financed Emissions'!M57&gt;0,SUM('Financed Emissions'!J57:K57),0))</x:f>
      </x:c>
      <x:c r="I98" s="29" t="str">
        <x:f>IF(C98="","",IFERROR('Financed Emissions'!M57,0))</x:f>
      </x:c>
    </x:row>
    <x:row r="99">
      <x:c r="C99" s="29" t="str">
        <x:f>IF(Facilities!C58="","",Facilities!C58)</x:f>
      </x:c>
      <x:c r="D99" s="29" t="str">
        <x:f>IF(C99="","",IFERROR(INDEX(Borrowers!$F$9:$F$108,MATCH(Facilities!D58,Borrowers!$C$9:$C$108,0)),0))</x:f>
      </x:c>
      <x:c r="E99" s="29" t="str">
        <x:f>IF(C99="","",IFERROR(INDEX(Borrowers!$E$9:$E$108,MATCH(Facilities!D58,Borrowers!$C$9:$C$108,0)),0))</x:f>
      </x:c>
      <x:c r="F99" s="29" t="str">
        <x:f>IF(C99="","",IFERROR(Facilities!AA58,0))</x:f>
      </x:c>
      <x:c r="G99" s="29" t="str">
        <x:f>IF(C99="","",IFERROR(ECL!AD58,0))</x:f>
      </x:c>
      <x:c r="H99" s="29" t="str">
        <x:f>IF(C99="","",IF('Financed Emissions'!M58&gt;0,SUM('Financed Emissions'!J58:K58),0))</x:f>
      </x:c>
      <x:c r="I99" s="29" t="str">
        <x:f>IF(C99="","",IFERROR('Financed Emissions'!M58,0))</x:f>
      </x:c>
    </x:row>
    <x:row r="100">
      <x:c r="C100" s="29" t="str">
        <x:f>IF(Facilities!C59="","",Facilities!C59)</x:f>
      </x:c>
      <x:c r="D100" s="29" t="str">
        <x:f>IF(C100="","",IFERROR(INDEX(Borrowers!$F$9:$F$108,MATCH(Facilities!D59,Borrowers!$C$9:$C$108,0)),0))</x:f>
      </x:c>
      <x:c r="E100" s="29" t="str">
        <x:f>IF(C100="","",IFERROR(INDEX(Borrowers!$E$9:$E$108,MATCH(Facilities!D59,Borrowers!$C$9:$C$108,0)),0))</x:f>
      </x:c>
      <x:c r="F100" s="29" t="str">
        <x:f>IF(C100="","",IFERROR(Facilities!AA59,0))</x:f>
      </x:c>
      <x:c r="G100" s="29" t="str">
        <x:f>IF(C100="","",IFERROR(ECL!AD59,0))</x:f>
      </x:c>
      <x:c r="H100" s="29" t="str">
        <x:f>IF(C100="","",IF('Financed Emissions'!M59&gt;0,SUM('Financed Emissions'!J59:K59),0))</x:f>
      </x:c>
      <x:c r="I100" s="29" t="str">
        <x:f>IF(C100="","",IFERROR('Financed Emissions'!M59,0))</x:f>
      </x:c>
    </x:row>
    <x:row r="101">
      <x:c r="C101" s="29" t="str">
        <x:f>IF(Facilities!C60="","",Facilities!C60)</x:f>
      </x:c>
      <x:c r="D101" s="29" t="str">
        <x:f>IF(C101="","",IFERROR(INDEX(Borrowers!$F$9:$F$108,MATCH(Facilities!D60,Borrowers!$C$9:$C$108,0)),0))</x:f>
      </x:c>
      <x:c r="E101" s="29" t="str">
        <x:f>IF(C101="","",IFERROR(INDEX(Borrowers!$E$9:$E$108,MATCH(Facilities!D60,Borrowers!$C$9:$C$108,0)),0))</x:f>
      </x:c>
      <x:c r="F101" s="29" t="str">
        <x:f>IF(C101="","",IFERROR(Facilities!AA60,0))</x:f>
      </x:c>
      <x:c r="G101" s="29" t="str">
        <x:f>IF(C101="","",IFERROR(ECL!AD60,0))</x:f>
      </x:c>
      <x:c r="H101" s="29" t="str">
        <x:f>IF(C101="","",IF('Financed Emissions'!M60&gt;0,SUM('Financed Emissions'!J60:K60),0))</x:f>
      </x:c>
      <x:c r="I101" s="29" t="str">
        <x:f>IF(C101="","",IFERROR('Financed Emissions'!M60,0))</x:f>
      </x:c>
    </x:row>
    <x:row r="102">
      <x:c r="C102" s="29" t="str">
        <x:f>IF(Facilities!C61="","",Facilities!C61)</x:f>
      </x:c>
      <x:c r="D102" s="29" t="str">
        <x:f>IF(C102="","",IFERROR(INDEX(Borrowers!$F$9:$F$108,MATCH(Facilities!D61,Borrowers!$C$9:$C$108,0)),0))</x:f>
      </x:c>
      <x:c r="E102" s="29" t="str">
        <x:f>IF(C102="","",IFERROR(INDEX(Borrowers!$E$9:$E$108,MATCH(Facilities!D61,Borrowers!$C$9:$C$108,0)),0))</x:f>
      </x:c>
      <x:c r="F102" s="29" t="str">
        <x:f>IF(C102="","",IFERROR(Facilities!AA61,0))</x:f>
      </x:c>
      <x:c r="G102" s="29" t="str">
        <x:f>IF(C102="","",IFERROR(ECL!AD61,0))</x:f>
      </x:c>
      <x:c r="H102" s="29" t="str">
        <x:f>IF(C102="","",IF('Financed Emissions'!M61&gt;0,SUM('Financed Emissions'!J61:K61),0))</x:f>
      </x:c>
      <x:c r="I102" s="29" t="str">
        <x:f>IF(C102="","",IFERROR('Financed Emissions'!M61,0))</x:f>
      </x:c>
    </x:row>
    <x:row r="103">
      <x:c r="C103" s="29" t="str">
        <x:f>IF(Facilities!C62="","",Facilities!C62)</x:f>
      </x:c>
      <x:c r="D103" s="29" t="str">
        <x:f>IF(C103="","",IFERROR(INDEX(Borrowers!$F$9:$F$108,MATCH(Facilities!D62,Borrowers!$C$9:$C$108,0)),0))</x:f>
      </x:c>
      <x:c r="E103" s="29" t="str">
        <x:f>IF(C103="","",IFERROR(INDEX(Borrowers!$E$9:$E$108,MATCH(Facilities!D62,Borrowers!$C$9:$C$108,0)),0))</x:f>
      </x:c>
      <x:c r="F103" s="29" t="str">
        <x:f>IF(C103="","",IFERROR(Facilities!AA62,0))</x:f>
      </x:c>
      <x:c r="G103" s="29" t="str">
        <x:f>IF(C103="","",IFERROR(ECL!AD62,0))</x:f>
      </x:c>
      <x:c r="H103" s="29" t="str">
        <x:f>IF(C103="","",IF('Financed Emissions'!M62&gt;0,SUM('Financed Emissions'!J62:K62),0))</x:f>
      </x:c>
      <x:c r="I103" s="29" t="str">
        <x:f>IF(C103="","",IFERROR('Financed Emissions'!M62,0))</x:f>
      </x:c>
    </x:row>
    <x:row r="104">
      <x:c r="C104" s="29" t="str">
        <x:f>IF(Facilities!C63="","",Facilities!C63)</x:f>
      </x:c>
      <x:c r="D104" s="29" t="str">
        <x:f>IF(C104="","",IFERROR(INDEX(Borrowers!$F$9:$F$108,MATCH(Facilities!D63,Borrowers!$C$9:$C$108,0)),0))</x:f>
      </x:c>
      <x:c r="E104" s="29" t="str">
        <x:f>IF(C104="","",IFERROR(INDEX(Borrowers!$E$9:$E$108,MATCH(Facilities!D63,Borrowers!$C$9:$C$108,0)),0))</x:f>
      </x:c>
      <x:c r="F104" s="29" t="str">
        <x:f>IF(C104="","",IFERROR(Facilities!AA63,0))</x:f>
      </x:c>
      <x:c r="G104" s="29" t="str">
        <x:f>IF(C104="","",IFERROR(ECL!AD63,0))</x:f>
      </x:c>
      <x:c r="H104" s="29" t="str">
        <x:f>IF(C104="","",IF('Financed Emissions'!M63&gt;0,SUM('Financed Emissions'!J63:K63),0))</x:f>
      </x:c>
      <x:c r="I104" s="29" t="str">
        <x:f>IF(C104="","",IFERROR('Financed Emissions'!M63,0))</x:f>
      </x:c>
    </x:row>
    <x:row r="105">
      <x:c r="C105" s="29" t="str">
        <x:f>IF(Facilities!C64="","",Facilities!C64)</x:f>
      </x:c>
      <x:c r="D105" s="29" t="str">
        <x:f>IF(C105="","",IFERROR(INDEX(Borrowers!$F$9:$F$108,MATCH(Facilities!D64,Borrowers!$C$9:$C$108,0)),0))</x:f>
      </x:c>
      <x:c r="E105" s="29" t="str">
        <x:f>IF(C105="","",IFERROR(INDEX(Borrowers!$E$9:$E$108,MATCH(Facilities!D64,Borrowers!$C$9:$C$108,0)),0))</x:f>
      </x:c>
      <x:c r="F105" s="29" t="str">
        <x:f>IF(C105="","",IFERROR(Facilities!AA64,0))</x:f>
      </x:c>
      <x:c r="G105" s="29" t="str">
        <x:f>IF(C105="","",IFERROR(ECL!AD64,0))</x:f>
      </x:c>
      <x:c r="H105" s="29" t="str">
        <x:f>IF(C105="","",IF('Financed Emissions'!M64&gt;0,SUM('Financed Emissions'!J64:K64),0))</x:f>
      </x:c>
      <x:c r="I105" s="29" t="str">
        <x:f>IF(C105="","",IFERROR('Financed Emissions'!M64,0))</x:f>
      </x:c>
    </x:row>
    <x:row r="106">
      <x:c r="C106" s="29" t="str">
        <x:f>IF(Facilities!C65="","",Facilities!C65)</x:f>
      </x:c>
      <x:c r="D106" s="29" t="str">
        <x:f>IF(C106="","",IFERROR(INDEX(Borrowers!$F$9:$F$108,MATCH(Facilities!D65,Borrowers!$C$9:$C$108,0)),0))</x:f>
      </x:c>
      <x:c r="E106" s="29" t="str">
        <x:f>IF(C106="","",IFERROR(INDEX(Borrowers!$E$9:$E$108,MATCH(Facilities!D65,Borrowers!$C$9:$C$108,0)),0))</x:f>
      </x:c>
      <x:c r="F106" s="29" t="str">
        <x:f>IF(C106="","",IFERROR(Facilities!AA65,0))</x:f>
      </x:c>
      <x:c r="G106" s="29" t="str">
        <x:f>IF(C106="","",IFERROR(ECL!AD65,0))</x:f>
      </x:c>
      <x:c r="H106" s="29" t="str">
        <x:f>IF(C106="","",IF('Financed Emissions'!M65&gt;0,SUM('Financed Emissions'!J65:K65),0))</x:f>
      </x:c>
      <x:c r="I106" s="29" t="str">
        <x:f>IF(C106="","",IFERROR('Financed Emissions'!M65,0))</x:f>
      </x:c>
    </x:row>
    <x:row r="107">
      <x:c r="C107" s="29" t="str">
        <x:f>IF(Facilities!C66="","",Facilities!C66)</x:f>
      </x:c>
      <x:c r="D107" s="29" t="str">
        <x:f>IF(C107="","",IFERROR(INDEX(Borrowers!$F$9:$F$108,MATCH(Facilities!D66,Borrowers!$C$9:$C$108,0)),0))</x:f>
      </x:c>
      <x:c r="E107" s="29" t="str">
        <x:f>IF(C107="","",IFERROR(INDEX(Borrowers!$E$9:$E$108,MATCH(Facilities!D66,Borrowers!$C$9:$C$108,0)),0))</x:f>
      </x:c>
      <x:c r="F107" s="29" t="str">
        <x:f>IF(C107="","",IFERROR(Facilities!AA66,0))</x:f>
      </x:c>
      <x:c r="G107" s="29" t="str">
        <x:f>IF(C107="","",IFERROR(ECL!AD66,0))</x:f>
      </x:c>
      <x:c r="H107" s="29" t="str">
        <x:f>IF(C107="","",IF('Financed Emissions'!M66&gt;0,SUM('Financed Emissions'!J66:K66),0))</x:f>
      </x:c>
      <x:c r="I107" s="29" t="str">
        <x:f>IF(C107="","",IFERROR('Financed Emissions'!M66,0))</x:f>
      </x:c>
    </x:row>
    <x:row r="108">
      <x:c r="C108" s="29" t="str">
        <x:f>IF(Facilities!C67="","",Facilities!C67)</x:f>
      </x:c>
      <x:c r="D108" s="29" t="str">
        <x:f>IF(C108="","",IFERROR(INDEX(Borrowers!$F$9:$F$108,MATCH(Facilities!D67,Borrowers!$C$9:$C$108,0)),0))</x:f>
      </x:c>
      <x:c r="E108" s="29" t="str">
        <x:f>IF(C108="","",IFERROR(INDEX(Borrowers!$E$9:$E$108,MATCH(Facilities!D67,Borrowers!$C$9:$C$108,0)),0))</x:f>
      </x:c>
      <x:c r="F108" s="29" t="str">
        <x:f>IF(C108="","",IFERROR(Facilities!AA67,0))</x:f>
      </x:c>
      <x:c r="G108" s="29" t="str">
        <x:f>IF(C108="","",IFERROR(ECL!AD67,0))</x:f>
      </x:c>
      <x:c r="H108" s="29" t="str">
        <x:f>IF(C108="","",IF('Financed Emissions'!M67&gt;0,SUM('Financed Emissions'!J67:K67),0))</x:f>
      </x:c>
      <x:c r="I108" s="29" t="str">
        <x:f>IF(C108="","",IFERROR('Financed Emissions'!M67,0))</x:f>
      </x:c>
    </x:row>
    <x:row r="109">
      <x:c r="C109" s="29" t="str">
        <x:f>IF(Facilities!C68="","",Facilities!C68)</x:f>
      </x:c>
      <x:c r="D109" s="29" t="str">
        <x:f>IF(C109="","",IFERROR(INDEX(Borrowers!$F$9:$F$108,MATCH(Facilities!D68,Borrowers!$C$9:$C$108,0)),0))</x:f>
      </x:c>
      <x:c r="E109" s="29" t="str">
        <x:f>IF(C109="","",IFERROR(INDEX(Borrowers!$E$9:$E$108,MATCH(Facilities!D68,Borrowers!$C$9:$C$108,0)),0))</x:f>
      </x:c>
      <x:c r="F109" s="29" t="str">
        <x:f>IF(C109="","",IFERROR(Facilities!AA68,0))</x:f>
      </x:c>
      <x:c r="G109" s="29" t="str">
        <x:f>IF(C109="","",IFERROR(ECL!AD68,0))</x:f>
      </x:c>
      <x:c r="H109" s="29" t="str">
        <x:f>IF(C109="","",IF('Financed Emissions'!M68&gt;0,SUM('Financed Emissions'!J68:K68),0))</x:f>
      </x:c>
      <x:c r="I109" s="29" t="str">
        <x:f>IF(C109="","",IFERROR('Financed Emissions'!M68,0))</x:f>
      </x:c>
    </x:row>
    <x:row r="110">
      <x:c r="C110" s="29" t="str">
        <x:f>IF(Facilities!C69="","",Facilities!C69)</x:f>
      </x:c>
      <x:c r="D110" s="29" t="str">
        <x:f>IF(C110="","",IFERROR(INDEX(Borrowers!$F$9:$F$108,MATCH(Facilities!D69,Borrowers!$C$9:$C$108,0)),0))</x:f>
      </x:c>
      <x:c r="E110" s="29" t="str">
        <x:f>IF(C110="","",IFERROR(INDEX(Borrowers!$E$9:$E$108,MATCH(Facilities!D69,Borrowers!$C$9:$C$108,0)),0))</x:f>
      </x:c>
      <x:c r="F110" s="29" t="str">
        <x:f>IF(C110="","",IFERROR(Facilities!AA69,0))</x:f>
      </x:c>
      <x:c r="G110" s="29" t="str">
        <x:f>IF(C110="","",IFERROR(ECL!AD69,0))</x:f>
      </x:c>
      <x:c r="H110" s="29" t="str">
        <x:f>IF(C110="","",IF('Financed Emissions'!M69&gt;0,SUM('Financed Emissions'!J69:K69),0))</x:f>
      </x:c>
      <x:c r="I110" s="29" t="str">
        <x:f>IF(C110="","",IFERROR('Financed Emissions'!M69,0))</x:f>
      </x:c>
    </x:row>
    <x:row r="111">
      <x:c r="C111" s="29" t="str">
        <x:f>IF(Facilities!C70="","",Facilities!C70)</x:f>
      </x:c>
      <x:c r="D111" s="29" t="str">
        <x:f>IF(C111="","",IFERROR(INDEX(Borrowers!$F$9:$F$108,MATCH(Facilities!D70,Borrowers!$C$9:$C$108,0)),0))</x:f>
      </x:c>
      <x:c r="E111" s="29" t="str">
        <x:f>IF(C111="","",IFERROR(INDEX(Borrowers!$E$9:$E$108,MATCH(Facilities!D70,Borrowers!$C$9:$C$108,0)),0))</x:f>
      </x:c>
      <x:c r="F111" s="29" t="str">
        <x:f>IF(C111="","",IFERROR(Facilities!AA70,0))</x:f>
      </x:c>
      <x:c r="G111" s="29" t="str">
        <x:f>IF(C111="","",IFERROR(ECL!AD70,0))</x:f>
      </x:c>
      <x:c r="H111" s="29" t="str">
        <x:f>IF(C111="","",IF('Financed Emissions'!M70&gt;0,SUM('Financed Emissions'!J70:K70),0))</x:f>
      </x:c>
      <x:c r="I111" s="29" t="str">
        <x:f>IF(C111="","",IFERROR('Financed Emissions'!M70,0))</x:f>
      </x:c>
    </x:row>
    <x:row r="112">
      <x:c r="C112" s="29" t="str">
        <x:f>IF(Facilities!C71="","",Facilities!C71)</x:f>
      </x:c>
      <x:c r="D112" s="29" t="str">
        <x:f>IF(C112="","",IFERROR(INDEX(Borrowers!$F$9:$F$108,MATCH(Facilities!D71,Borrowers!$C$9:$C$108,0)),0))</x:f>
      </x:c>
      <x:c r="E112" s="29" t="str">
        <x:f>IF(C112="","",IFERROR(INDEX(Borrowers!$E$9:$E$108,MATCH(Facilities!D71,Borrowers!$C$9:$C$108,0)),0))</x:f>
      </x:c>
      <x:c r="F112" s="29" t="str">
        <x:f>IF(C112="","",IFERROR(Facilities!AA71,0))</x:f>
      </x:c>
      <x:c r="G112" s="29" t="str">
        <x:f>IF(C112="","",IFERROR(ECL!AD71,0))</x:f>
      </x:c>
      <x:c r="H112" s="29" t="str">
        <x:f>IF(C112="","",IF('Financed Emissions'!M71&gt;0,SUM('Financed Emissions'!J71:K71),0))</x:f>
      </x:c>
      <x:c r="I112" s="29" t="str">
        <x:f>IF(C112="","",IFERROR('Financed Emissions'!M71,0))</x:f>
      </x:c>
    </x:row>
    <x:row r="113">
      <x:c r="C113" s="29" t="str">
        <x:f>IF(Facilities!C72="","",Facilities!C72)</x:f>
      </x:c>
      <x:c r="D113" s="29" t="str">
        <x:f>IF(C113="","",IFERROR(INDEX(Borrowers!$F$9:$F$108,MATCH(Facilities!D72,Borrowers!$C$9:$C$108,0)),0))</x:f>
      </x:c>
      <x:c r="E113" s="29" t="str">
        <x:f>IF(C113="","",IFERROR(INDEX(Borrowers!$E$9:$E$108,MATCH(Facilities!D72,Borrowers!$C$9:$C$108,0)),0))</x:f>
      </x:c>
      <x:c r="F113" s="29" t="str">
        <x:f>IF(C113="","",IFERROR(Facilities!AA72,0))</x:f>
      </x:c>
      <x:c r="G113" s="29" t="str">
        <x:f>IF(C113="","",IFERROR(ECL!AD72,0))</x:f>
      </x:c>
      <x:c r="H113" s="29" t="str">
        <x:f>IF(C113="","",IF('Financed Emissions'!M72&gt;0,SUM('Financed Emissions'!J72:K72),0))</x:f>
      </x:c>
      <x:c r="I113" s="29" t="str">
        <x:f>IF(C113="","",IFERROR('Financed Emissions'!M72,0))</x:f>
      </x:c>
    </x:row>
    <x:row r="114">
      <x:c r="C114" s="29" t="str">
        <x:f>IF(Facilities!C73="","",Facilities!C73)</x:f>
      </x:c>
      <x:c r="D114" s="29" t="str">
        <x:f>IF(C114="","",IFERROR(INDEX(Borrowers!$F$9:$F$108,MATCH(Facilities!D73,Borrowers!$C$9:$C$108,0)),0))</x:f>
      </x:c>
      <x:c r="E114" s="29" t="str">
        <x:f>IF(C114="","",IFERROR(INDEX(Borrowers!$E$9:$E$108,MATCH(Facilities!D73,Borrowers!$C$9:$C$108,0)),0))</x:f>
      </x:c>
      <x:c r="F114" s="29" t="str">
        <x:f>IF(C114="","",IFERROR(Facilities!AA73,0))</x:f>
      </x:c>
      <x:c r="G114" s="29" t="str">
        <x:f>IF(C114="","",IFERROR(ECL!AD73,0))</x:f>
      </x:c>
      <x:c r="H114" s="29" t="str">
        <x:f>IF(C114="","",IF('Financed Emissions'!M73&gt;0,SUM('Financed Emissions'!J73:K73),0))</x:f>
      </x:c>
      <x:c r="I114" s="29" t="str">
        <x:f>IF(C114="","",IFERROR('Financed Emissions'!M73,0))</x:f>
      </x:c>
    </x:row>
    <x:row r="115">
      <x:c r="C115" s="29" t="str">
        <x:f>IF(Facilities!C74="","",Facilities!C74)</x:f>
      </x:c>
      <x:c r="D115" s="29" t="str">
        <x:f>IF(C115="","",IFERROR(INDEX(Borrowers!$F$9:$F$108,MATCH(Facilities!D74,Borrowers!$C$9:$C$108,0)),0))</x:f>
      </x:c>
      <x:c r="E115" s="29" t="str">
        <x:f>IF(C115="","",IFERROR(INDEX(Borrowers!$E$9:$E$108,MATCH(Facilities!D74,Borrowers!$C$9:$C$108,0)),0))</x:f>
      </x:c>
      <x:c r="F115" s="29" t="str">
        <x:f>IF(C115="","",IFERROR(Facilities!AA74,0))</x:f>
      </x:c>
      <x:c r="G115" s="29" t="str">
        <x:f>IF(C115="","",IFERROR(ECL!AD74,0))</x:f>
      </x:c>
      <x:c r="H115" s="29" t="str">
        <x:f>IF(C115="","",IF('Financed Emissions'!M74&gt;0,SUM('Financed Emissions'!J74:K74),0))</x:f>
      </x:c>
      <x:c r="I115" s="29" t="str">
        <x:f>IF(C115="","",IFERROR('Financed Emissions'!M74,0))</x:f>
      </x:c>
    </x:row>
    <x:row r="116">
      <x:c r="C116" s="29" t="str">
        <x:f>IF(Facilities!C75="","",Facilities!C75)</x:f>
      </x:c>
      <x:c r="D116" s="29" t="str">
        <x:f>IF(C116="","",IFERROR(INDEX(Borrowers!$F$9:$F$108,MATCH(Facilities!D75,Borrowers!$C$9:$C$108,0)),0))</x:f>
      </x:c>
      <x:c r="E116" s="29" t="str">
        <x:f>IF(C116="","",IFERROR(INDEX(Borrowers!$E$9:$E$108,MATCH(Facilities!D75,Borrowers!$C$9:$C$108,0)),0))</x:f>
      </x:c>
      <x:c r="F116" s="29" t="str">
        <x:f>IF(C116="","",IFERROR(Facilities!AA75,0))</x:f>
      </x:c>
      <x:c r="G116" s="29" t="str">
        <x:f>IF(C116="","",IFERROR(ECL!AD75,0))</x:f>
      </x:c>
      <x:c r="H116" s="29" t="str">
        <x:f>IF(C116="","",IF('Financed Emissions'!M75&gt;0,SUM('Financed Emissions'!J75:K75),0))</x:f>
      </x:c>
      <x:c r="I116" s="29" t="str">
        <x:f>IF(C116="","",IFERROR('Financed Emissions'!M75,0))</x:f>
      </x:c>
    </x:row>
    <x:row r="117">
      <x:c r="C117" s="29" t="str">
        <x:f>IF(Facilities!C76="","",Facilities!C76)</x:f>
      </x:c>
      <x:c r="D117" s="29" t="str">
        <x:f>IF(C117="","",IFERROR(INDEX(Borrowers!$F$9:$F$108,MATCH(Facilities!D76,Borrowers!$C$9:$C$108,0)),0))</x:f>
      </x:c>
      <x:c r="E117" s="29" t="str">
        <x:f>IF(C117="","",IFERROR(INDEX(Borrowers!$E$9:$E$108,MATCH(Facilities!D76,Borrowers!$C$9:$C$108,0)),0))</x:f>
      </x:c>
      <x:c r="F117" s="29" t="str">
        <x:f>IF(C117="","",IFERROR(Facilities!AA76,0))</x:f>
      </x:c>
      <x:c r="G117" s="29" t="str">
        <x:f>IF(C117="","",IFERROR(ECL!AD76,0))</x:f>
      </x:c>
      <x:c r="H117" s="29" t="str">
        <x:f>IF(C117="","",IF('Financed Emissions'!M76&gt;0,SUM('Financed Emissions'!J76:K76),0))</x:f>
      </x:c>
      <x:c r="I117" s="29" t="str">
        <x:f>IF(C117="","",IFERROR('Financed Emissions'!M76,0))</x:f>
      </x:c>
    </x:row>
    <x:row r="118">
      <x:c r="C118" s="29" t="str">
        <x:f>IF(Facilities!C77="","",Facilities!C77)</x:f>
      </x:c>
      <x:c r="D118" s="29" t="str">
        <x:f>IF(C118="","",IFERROR(INDEX(Borrowers!$F$9:$F$108,MATCH(Facilities!D77,Borrowers!$C$9:$C$108,0)),0))</x:f>
      </x:c>
      <x:c r="E118" s="29" t="str">
        <x:f>IF(C118="","",IFERROR(INDEX(Borrowers!$E$9:$E$108,MATCH(Facilities!D77,Borrowers!$C$9:$C$108,0)),0))</x:f>
      </x:c>
      <x:c r="F118" s="29" t="str">
        <x:f>IF(C118="","",IFERROR(Facilities!AA77,0))</x:f>
      </x:c>
      <x:c r="G118" s="29" t="str">
        <x:f>IF(C118="","",IFERROR(ECL!AD77,0))</x:f>
      </x:c>
      <x:c r="H118" s="29" t="str">
        <x:f>IF(C118="","",IF('Financed Emissions'!M77&gt;0,SUM('Financed Emissions'!J77:K77),0))</x:f>
      </x:c>
      <x:c r="I118" s="29" t="str">
        <x:f>IF(C118="","",IFERROR('Financed Emissions'!M77,0))</x:f>
      </x:c>
    </x:row>
    <x:row r="119">
      <x:c r="C119" s="29" t="str">
        <x:f>IF(Facilities!C78="","",Facilities!C78)</x:f>
      </x:c>
      <x:c r="D119" s="29" t="str">
        <x:f>IF(C119="","",IFERROR(INDEX(Borrowers!$F$9:$F$108,MATCH(Facilities!D78,Borrowers!$C$9:$C$108,0)),0))</x:f>
      </x:c>
      <x:c r="E119" s="29" t="str">
        <x:f>IF(C119="","",IFERROR(INDEX(Borrowers!$E$9:$E$108,MATCH(Facilities!D78,Borrowers!$C$9:$C$108,0)),0))</x:f>
      </x:c>
      <x:c r="F119" s="29" t="str">
        <x:f>IF(C119="","",IFERROR(Facilities!AA78,0))</x:f>
      </x:c>
      <x:c r="G119" s="29" t="str">
        <x:f>IF(C119="","",IFERROR(ECL!AD78,0))</x:f>
      </x:c>
      <x:c r="H119" s="29" t="str">
        <x:f>IF(C119="","",IF('Financed Emissions'!M78&gt;0,SUM('Financed Emissions'!J78:K78),0))</x:f>
      </x:c>
      <x:c r="I119" s="29" t="str">
        <x:f>IF(C119="","",IFERROR('Financed Emissions'!M78,0))</x:f>
      </x:c>
    </x:row>
    <x:row r="120">
      <x:c r="C120" s="29" t="str">
        <x:f>IF(Facilities!C79="","",Facilities!C79)</x:f>
      </x:c>
      <x:c r="D120" s="29" t="str">
        <x:f>IF(C120="","",IFERROR(INDEX(Borrowers!$F$9:$F$108,MATCH(Facilities!D79,Borrowers!$C$9:$C$108,0)),0))</x:f>
      </x:c>
      <x:c r="E120" s="29" t="str">
        <x:f>IF(C120="","",IFERROR(INDEX(Borrowers!$E$9:$E$108,MATCH(Facilities!D79,Borrowers!$C$9:$C$108,0)),0))</x:f>
      </x:c>
      <x:c r="F120" s="29" t="str">
        <x:f>IF(C120="","",IFERROR(Facilities!AA79,0))</x:f>
      </x:c>
      <x:c r="G120" s="29" t="str">
        <x:f>IF(C120="","",IFERROR(ECL!AD79,0))</x:f>
      </x:c>
      <x:c r="H120" s="29" t="str">
        <x:f>IF(C120="","",IF('Financed Emissions'!M79&gt;0,SUM('Financed Emissions'!J79:K79),0))</x:f>
      </x:c>
      <x:c r="I120" s="29" t="str">
        <x:f>IF(C120="","",IFERROR('Financed Emissions'!M79,0))</x:f>
      </x:c>
    </x:row>
    <x:row r="121">
      <x:c r="C121" s="29" t="str">
        <x:f>IF(Facilities!C80="","",Facilities!C80)</x:f>
      </x:c>
      <x:c r="D121" s="29" t="str">
        <x:f>IF(C121="","",IFERROR(INDEX(Borrowers!$F$9:$F$108,MATCH(Facilities!D80,Borrowers!$C$9:$C$108,0)),0))</x:f>
      </x:c>
      <x:c r="E121" s="29" t="str">
        <x:f>IF(C121="","",IFERROR(INDEX(Borrowers!$E$9:$E$108,MATCH(Facilities!D80,Borrowers!$C$9:$C$108,0)),0))</x:f>
      </x:c>
      <x:c r="F121" s="29" t="str">
        <x:f>IF(C121="","",IFERROR(Facilities!AA80,0))</x:f>
      </x:c>
      <x:c r="G121" s="29" t="str">
        <x:f>IF(C121="","",IFERROR(ECL!AD80,0))</x:f>
      </x:c>
      <x:c r="H121" s="29" t="str">
        <x:f>IF(C121="","",IF('Financed Emissions'!M80&gt;0,SUM('Financed Emissions'!J80:K80),0))</x:f>
      </x:c>
      <x:c r="I121" s="29" t="str">
        <x:f>IF(C121="","",IFERROR('Financed Emissions'!M80,0))</x:f>
      </x:c>
    </x:row>
    <x:row r="122">
      <x:c r="C122" s="29" t="str">
        <x:f>IF(Facilities!C81="","",Facilities!C81)</x:f>
      </x:c>
      <x:c r="D122" s="29" t="str">
        <x:f>IF(C122="","",IFERROR(INDEX(Borrowers!$F$9:$F$108,MATCH(Facilities!D81,Borrowers!$C$9:$C$108,0)),0))</x:f>
      </x:c>
      <x:c r="E122" s="29" t="str">
        <x:f>IF(C122="","",IFERROR(INDEX(Borrowers!$E$9:$E$108,MATCH(Facilities!D81,Borrowers!$C$9:$C$108,0)),0))</x:f>
      </x:c>
      <x:c r="F122" s="29" t="str">
        <x:f>IF(C122="","",IFERROR(Facilities!AA81,0))</x:f>
      </x:c>
      <x:c r="G122" s="29" t="str">
        <x:f>IF(C122="","",IFERROR(ECL!AD81,0))</x:f>
      </x:c>
      <x:c r="H122" s="29" t="str">
        <x:f>IF(C122="","",IF('Financed Emissions'!M81&gt;0,SUM('Financed Emissions'!J81:K81),0))</x:f>
      </x:c>
      <x:c r="I122" s="29" t="str">
        <x:f>IF(C122="","",IFERROR('Financed Emissions'!M81,0))</x:f>
      </x:c>
    </x:row>
    <x:row r="123">
      <x:c r="C123" s="29" t="str">
        <x:f>IF(Facilities!C82="","",Facilities!C82)</x:f>
      </x:c>
      <x:c r="D123" s="29" t="str">
        <x:f>IF(C123="","",IFERROR(INDEX(Borrowers!$F$9:$F$108,MATCH(Facilities!D82,Borrowers!$C$9:$C$108,0)),0))</x:f>
      </x:c>
      <x:c r="E123" s="29" t="str">
        <x:f>IF(C123="","",IFERROR(INDEX(Borrowers!$E$9:$E$108,MATCH(Facilities!D82,Borrowers!$C$9:$C$108,0)),0))</x:f>
      </x:c>
      <x:c r="F123" s="29" t="str">
        <x:f>IF(C123="","",IFERROR(Facilities!AA82,0))</x:f>
      </x:c>
      <x:c r="G123" s="29" t="str">
        <x:f>IF(C123="","",IFERROR(ECL!AD82,0))</x:f>
      </x:c>
      <x:c r="H123" s="29" t="str">
        <x:f>IF(C123="","",IF('Financed Emissions'!M82&gt;0,SUM('Financed Emissions'!J82:K82),0))</x:f>
      </x:c>
      <x:c r="I123" s="29" t="str">
        <x:f>IF(C123="","",IFERROR('Financed Emissions'!M82,0))</x:f>
      </x:c>
    </x:row>
    <x:row r="124">
      <x:c r="C124" s="29" t="str">
        <x:f>IF(Facilities!C83="","",Facilities!C83)</x:f>
      </x:c>
      <x:c r="D124" s="29" t="str">
        <x:f>IF(C124="","",IFERROR(INDEX(Borrowers!$F$9:$F$108,MATCH(Facilities!D83,Borrowers!$C$9:$C$108,0)),0))</x:f>
      </x:c>
      <x:c r="E124" s="29" t="str">
        <x:f>IF(C124="","",IFERROR(INDEX(Borrowers!$E$9:$E$108,MATCH(Facilities!D83,Borrowers!$C$9:$C$108,0)),0))</x:f>
      </x:c>
      <x:c r="F124" s="29" t="str">
        <x:f>IF(C124="","",IFERROR(Facilities!AA83,0))</x:f>
      </x:c>
      <x:c r="G124" s="29" t="str">
        <x:f>IF(C124="","",IFERROR(ECL!AD83,0))</x:f>
      </x:c>
      <x:c r="H124" s="29" t="str">
        <x:f>IF(C124="","",IF('Financed Emissions'!M83&gt;0,SUM('Financed Emissions'!J83:K83),0))</x:f>
      </x:c>
      <x:c r="I124" s="29" t="str">
        <x:f>IF(C124="","",IFERROR('Financed Emissions'!M83,0))</x:f>
      </x:c>
    </x:row>
    <x:row r="125">
      <x:c r="C125" s="29" t="str">
        <x:f>IF(Facilities!C84="","",Facilities!C84)</x:f>
      </x:c>
      <x:c r="D125" s="29" t="str">
        <x:f>IF(C125="","",IFERROR(INDEX(Borrowers!$F$9:$F$108,MATCH(Facilities!D84,Borrowers!$C$9:$C$108,0)),0))</x:f>
      </x:c>
      <x:c r="E125" s="29" t="str">
        <x:f>IF(C125="","",IFERROR(INDEX(Borrowers!$E$9:$E$108,MATCH(Facilities!D84,Borrowers!$C$9:$C$108,0)),0))</x:f>
      </x:c>
      <x:c r="F125" s="29" t="str">
        <x:f>IF(C125="","",IFERROR(Facilities!AA84,0))</x:f>
      </x:c>
      <x:c r="G125" s="29" t="str">
        <x:f>IF(C125="","",IFERROR(ECL!AD84,0))</x:f>
      </x:c>
      <x:c r="H125" s="29" t="str">
        <x:f>IF(C125="","",IF('Financed Emissions'!M84&gt;0,SUM('Financed Emissions'!J84:K84),0))</x:f>
      </x:c>
      <x:c r="I125" s="29" t="str">
        <x:f>IF(C125="","",IFERROR('Financed Emissions'!M84,0))</x:f>
      </x:c>
    </x:row>
    <x:row r="126">
      <x:c r="C126" s="29" t="str">
        <x:f>IF(Facilities!C85="","",Facilities!C85)</x:f>
      </x:c>
      <x:c r="D126" s="29" t="str">
        <x:f>IF(C126="","",IFERROR(INDEX(Borrowers!$F$9:$F$108,MATCH(Facilities!D85,Borrowers!$C$9:$C$108,0)),0))</x:f>
      </x:c>
      <x:c r="E126" s="29" t="str">
        <x:f>IF(C126="","",IFERROR(INDEX(Borrowers!$E$9:$E$108,MATCH(Facilities!D85,Borrowers!$C$9:$C$108,0)),0))</x:f>
      </x:c>
      <x:c r="F126" s="29" t="str">
        <x:f>IF(C126="","",IFERROR(Facilities!AA85,0))</x:f>
      </x:c>
      <x:c r="G126" s="29" t="str">
        <x:f>IF(C126="","",IFERROR(ECL!AD85,0))</x:f>
      </x:c>
      <x:c r="H126" s="29" t="str">
        <x:f>IF(C126="","",IF('Financed Emissions'!M85&gt;0,SUM('Financed Emissions'!J85:K85),0))</x:f>
      </x:c>
      <x:c r="I126" s="29" t="str">
        <x:f>IF(C126="","",IFERROR('Financed Emissions'!M85,0))</x:f>
      </x:c>
    </x:row>
    <x:row r="127">
      <x:c r="C127" s="29" t="str">
        <x:f>IF(Facilities!C86="","",Facilities!C86)</x:f>
      </x:c>
      <x:c r="D127" s="29" t="str">
        <x:f>IF(C127="","",IFERROR(INDEX(Borrowers!$F$9:$F$108,MATCH(Facilities!D86,Borrowers!$C$9:$C$108,0)),0))</x:f>
      </x:c>
      <x:c r="E127" s="29" t="str">
        <x:f>IF(C127="","",IFERROR(INDEX(Borrowers!$E$9:$E$108,MATCH(Facilities!D86,Borrowers!$C$9:$C$108,0)),0))</x:f>
      </x:c>
      <x:c r="F127" s="29" t="str">
        <x:f>IF(C127="","",IFERROR(Facilities!AA86,0))</x:f>
      </x:c>
      <x:c r="G127" s="29" t="str">
        <x:f>IF(C127="","",IFERROR(ECL!AD86,0))</x:f>
      </x:c>
      <x:c r="H127" s="29" t="str">
        <x:f>IF(C127="","",IF('Financed Emissions'!M86&gt;0,SUM('Financed Emissions'!J86:K86),0))</x:f>
      </x:c>
      <x:c r="I127" s="29" t="str">
        <x:f>IF(C127="","",IFERROR('Financed Emissions'!M86,0))</x:f>
      </x:c>
    </x:row>
    <x:row r="128">
      <x:c r="C128" s="29" t="str">
        <x:f>IF(Facilities!C87="","",Facilities!C87)</x:f>
      </x:c>
      <x:c r="D128" s="29" t="str">
        <x:f>IF(C128="","",IFERROR(INDEX(Borrowers!$F$9:$F$108,MATCH(Facilities!D87,Borrowers!$C$9:$C$108,0)),0))</x:f>
      </x:c>
      <x:c r="E128" s="29" t="str">
        <x:f>IF(C128="","",IFERROR(INDEX(Borrowers!$E$9:$E$108,MATCH(Facilities!D87,Borrowers!$C$9:$C$108,0)),0))</x:f>
      </x:c>
      <x:c r="F128" s="29" t="str">
        <x:f>IF(C128="","",IFERROR(Facilities!AA87,0))</x:f>
      </x:c>
      <x:c r="G128" s="29" t="str">
        <x:f>IF(C128="","",IFERROR(ECL!AD87,0))</x:f>
      </x:c>
      <x:c r="H128" s="29" t="str">
        <x:f>IF(C128="","",IF('Financed Emissions'!M87&gt;0,SUM('Financed Emissions'!J87:K87),0))</x:f>
      </x:c>
      <x:c r="I128" s="29" t="str">
        <x:f>IF(C128="","",IFERROR('Financed Emissions'!M87,0))</x:f>
      </x:c>
    </x:row>
    <x:row r="129">
      <x:c r="C129" s="29" t="str">
        <x:f>IF(Facilities!C88="","",Facilities!C88)</x:f>
      </x:c>
      <x:c r="D129" s="29" t="str">
        <x:f>IF(C129="","",IFERROR(INDEX(Borrowers!$F$9:$F$108,MATCH(Facilities!D88,Borrowers!$C$9:$C$108,0)),0))</x:f>
      </x:c>
      <x:c r="E129" s="29" t="str">
        <x:f>IF(C129="","",IFERROR(INDEX(Borrowers!$E$9:$E$108,MATCH(Facilities!D88,Borrowers!$C$9:$C$108,0)),0))</x:f>
      </x:c>
      <x:c r="F129" s="29" t="str">
        <x:f>IF(C129="","",IFERROR(Facilities!AA88,0))</x:f>
      </x:c>
      <x:c r="G129" s="29" t="str">
        <x:f>IF(C129="","",IFERROR(ECL!AD88,0))</x:f>
      </x:c>
      <x:c r="H129" s="29" t="str">
        <x:f>IF(C129="","",IF('Financed Emissions'!M88&gt;0,SUM('Financed Emissions'!J88:K88),0))</x:f>
      </x:c>
      <x:c r="I129" s="29" t="str">
        <x:f>IF(C129="","",IFERROR('Financed Emissions'!M88,0))</x:f>
      </x:c>
    </x:row>
    <x:row r="130">
      <x:c r="C130" s="29" t="str">
        <x:f>IF(Facilities!C89="","",Facilities!C89)</x:f>
      </x:c>
      <x:c r="D130" s="29" t="str">
        <x:f>IF(C130="","",IFERROR(INDEX(Borrowers!$F$9:$F$108,MATCH(Facilities!D89,Borrowers!$C$9:$C$108,0)),0))</x:f>
      </x:c>
      <x:c r="E130" s="29" t="str">
        <x:f>IF(C130="","",IFERROR(INDEX(Borrowers!$E$9:$E$108,MATCH(Facilities!D89,Borrowers!$C$9:$C$108,0)),0))</x:f>
      </x:c>
      <x:c r="F130" s="29" t="str">
        <x:f>IF(C130="","",IFERROR(Facilities!AA89,0))</x:f>
      </x:c>
      <x:c r="G130" s="29" t="str">
        <x:f>IF(C130="","",IFERROR(ECL!AD89,0))</x:f>
      </x:c>
      <x:c r="H130" s="29" t="str">
        <x:f>IF(C130="","",IF('Financed Emissions'!M89&gt;0,SUM('Financed Emissions'!J89:K89),0))</x:f>
      </x:c>
      <x:c r="I130" s="29" t="str">
        <x:f>IF(C130="","",IFERROR('Financed Emissions'!M89,0))</x:f>
      </x:c>
    </x:row>
    <x:row r="131">
      <x:c r="C131" s="29" t="str">
        <x:f>IF(Facilities!C90="","",Facilities!C90)</x:f>
      </x:c>
      <x:c r="D131" s="29" t="str">
        <x:f>IF(C131="","",IFERROR(INDEX(Borrowers!$F$9:$F$108,MATCH(Facilities!D90,Borrowers!$C$9:$C$108,0)),0))</x:f>
      </x:c>
      <x:c r="E131" s="29" t="str">
        <x:f>IF(C131="","",IFERROR(INDEX(Borrowers!$E$9:$E$108,MATCH(Facilities!D90,Borrowers!$C$9:$C$108,0)),0))</x:f>
      </x:c>
      <x:c r="F131" s="29" t="str">
        <x:f>IF(C131="","",IFERROR(Facilities!AA90,0))</x:f>
      </x:c>
      <x:c r="G131" s="29" t="str">
        <x:f>IF(C131="","",IFERROR(ECL!AD90,0))</x:f>
      </x:c>
      <x:c r="H131" s="29" t="str">
        <x:f>IF(C131="","",IF('Financed Emissions'!M90&gt;0,SUM('Financed Emissions'!J90:K90),0))</x:f>
      </x:c>
      <x:c r="I131" s="29" t="str">
        <x:f>IF(C131="","",IFERROR('Financed Emissions'!M90,0))</x:f>
      </x:c>
    </x:row>
    <x:row r="132">
      <x:c r="C132" s="29" t="str">
        <x:f>IF(Facilities!C91="","",Facilities!C91)</x:f>
      </x:c>
      <x:c r="D132" s="29" t="str">
        <x:f>IF(C132="","",IFERROR(INDEX(Borrowers!$F$9:$F$108,MATCH(Facilities!D91,Borrowers!$C$9:$C$108,0)),0))</x:f>
      </x:c>
      <x:c r="E132" s="29" t="str">
        <x:f>IF(C132="","",IFERROR(INDEX(Borrowers!$E$9:$E$108,MATCH(Facilities!D91,Borrowers!$C$9:$C$108,0)),0))</x:f>
      </x:c>
      <x:c r="F132" s="29" t="str">
        <x:f>IF(C132="","",IFERROR(Facilities!AA91,0))</x:f>
      </x:c>
      <x:c r="G132" s="29" t="str">
        <x:f>IF(C132="","",IFERROR(ECL!AD91,0))</x:f>
      </x:c>
      <x:c r="H132" s="29" t="str">
        <x:f>IF(C132="","",IF('Financed Emissions'!M91&gt;0,SUM('Financed Emissions'!J91:K91),0))</x:f>
      </x:c>
      <x:c r="I132" s="29" t="str">
        <x:f>IF(C132="","",IFERROR('Financed Emissions'!M91,0))</x:f>
      </x:c>
    </x:row>
    <x:row r="133">
      <x:c r="C133" s="29" t="str">
        <x:f>IF(Facilities!C92="","",Facilities!C92)</x:f>
      </x:c>
      <x:c r="D133" s="29" t="str">
        <x:f>IF(C133="","",IFERROR(INDEX(Borrowers!$F$9:$F$108,MATCH(Facilities!D92,Borrowers!$C$9:$C$108,0)),0))</x:f>
      </x:c>
      <x:c r="E133" s="29" t="str">
        <x:f>IF(C133="","",IFERROR(INDEX(Borrowers!$E$9:$E$108,MATCH(Facilities!D92,Borrowers!$C$9:$C$108,0)),0))</x:f>
      </x:c>
      <x:c r="F133" s="29" t="str">
        <x:f>IF(C133="","",IFERROR(Facilities!AA92,0))</x:f>
      </x:c>
      <x:c r="G133" s="29" t="str">
        <x:f>IF(C133="","",IFERROR(ECL!AD92,0))</x:f>
      </x:c>
      <x:c r="H133" s="29" t="str">
        <x:f>IF(C133="","",IF('Financed Emissions'!M92&gt;0,SUM('Financed Emissions'!J92:K92),0))</x:f>
      </x:c>
      <x:c r="I133" s="29" t="str">
        <x:f>IF(C133="","",IFERROR('Financed Emissions'!M92,0))</x:f>
      </x:c>
    </x:row>
    <x:row r="134">
      <x:c r="C134" s="29" t="str">
        <x:f>IF(Facilities!C93="","",Facilities!C93)</x:f>
      </x:c>
      <x:c r="D134" s="29" t="str">
        <x:f>IF(C134="","",IFERROR(INDEX(Borrowers!$F$9:$F$108,MATCH(Facilities!D93,Borrowers!$C$9:$C$108,0)),0))</x:f>
      </x:c>
      <x:c r="E134" s="29" t="str">
        <x:f>IF(C134="","",IFERROR(INDEX(Borrowers!$E$9:$E$108,MATCH(Facilities!D93,Borrowers!$C$9:$C$108,0)),0))</x:f>
      </x:c>
      <x:c r="F134" s="29" t="str">
        <x:f>IF(C134="","",IFERROR(Facilities!AA93,0))</x:f>
      </x:c>
      <x:c r="G134" s="29" t="str">
        <x:f>IF(C134="","",IFERROR(ECL!AD93,0))</x:f>
      </x:c>
      <x:c r="H134" s="29" t="str">
        <x:f>IF(C134="","",IF('Financed Emissions'!M93&gt;0,SUM('Financed Emissions'!J93:K93),0))</x:f>
      </x:c>
      <x:c r="I134" s="29" t="str">
        <x:f>IF(C134="","",IFERROR('Financed Emissions'!M93,0))</x:f>
      </x:c>
    </x:row>
    <x:row r="135">
      <x:c r="C135" s="29" t="str">
        <x:f>IF(Facilities!C94="","",Facilities!C94)</x:f>
      </x:c>
      <x:c r="D135" s="29" t="str">
        <x:f>IF(C135="","",IFERROR(INDEX(Borrowers!$F$9:$F$108,MATCH(Facilities!D94,Borrowers!$C$9:$C$108,0)),0))</x:f>
      </x:c>
      <x:c r="E135" s="29" t="str">
        <x:f>IF(C135="","",IFERROR(INDEX(Borrowers!$E$9:$E$108,MATCH(Facilities!D94,Borrowers!$C$9:$C$108,0)),0))</x:f>
      </x:c>
      <x:c r="F135" s="29" t="str">
        <x:f>IF(C135="","",IFERROR(Facilities!AA94,0))</x:f>
      </x:c>
      <x:c r="G135" s="29" t="str">
        <x:f>IF(C135="","",IFERROR(ECL!AD94,0))</x:f>
      </x:c>
      <x:c r="H135" s="29" t="str">
        <x:f>IF(C135="","",IF('Financed Emissions'!M94&gt;0,SUM('Financed Emissions'!J94:K94),0))</x:f>
      </x:c>
      <x:c r="I135" s="29" t="str">
        <x:f>IF(C135="","",IFERROR('Financed Emissions'!M94,0))</x:f>
      </x:c>
    </x:row>
    <x:row r="136">
      <x:c r="C136" s="29" t="str">
        <x:f>IF(Facilities!C95="","",Facilities!C95)</x:f>
      </x:c>
      <x:c r="D136" s="29" t="str">
        <x:f>IF(C136="","",IFERROR(INDEX(Borrowers!$F$9:$F$108,MATCH(Facilities!D95,Borrowers!$C$9:$C$108,0)),0))</x:f>
      </x:c>
      <x:c r="E136" s="29" t="str">
        <x:f>IF(C136="","",IFERROR(INDEX(Borrowers!$E$9:$E$108,MATCH(Facilities!D95,Borrowers!$C$9:$C$108,0)),0))</x:f>
      </x:c>
      <x:c r="F136" s="29" t="str">
        <x:f>IF(C136="","",IFERROR(Facilities!AA95,0))</x:f>
      </x:c>
      <x:c r="G136" s="29" t="str">
        <x:f>IF(C136="","",IFERROR(ECL!AD95,0))</x:f>
      </x:c>
      <x:c r="H136" s="29" t="str">
        <x:f>IF(C136="","",IF('Financed Emissions'!M95&gt;0,SUM('Financed Emissions'!J95:K95),0))</x:f>
      </x:c>
      <x:c r="I136" s="29" t="str">
        <x:f>IF(C136="","",IFERROR('Financed Emissions'!M95,0))</x:f>
      </x:c>
    </x:row>
    <x:row r="137">
      <x:c r="C137" s="29" t="str">
        <x:f>IF(Facilities!C96="","",Facilities!C96)</x:f>
      </x:c>
      <x:c r="D137" s="29" t="str">
        <x:f>IF(C137="","",IFERROR(INDEX(Borrowers!$F$9:$F$108,MATCH(Facilities!D96,Borrowers!$C$9:$C$108,0)),0))</x:f>
      </x:c>
      <x:c r="E137" s="29" t="str">
        <x:f>IF(C137="","",IFERROR(INDEX(Borrowers!$E$9:$E$108,MATCH(Facilities!D96,Borrowers!$C$9:$C$108,0)),0))</x:f>
      </x:c>
      <x:c r="F137" s="29" t="str">
        <x:f>IF(C137="","",IFERROR(Facilities!AA96,0))</x:f>
      </x:c>
      <x:c r="G137" s="29" t="str">
        <x:f>IF(C137="","",IFERROR(ECL!AD96,0))</x:f>
      </x:c>
      <x:c r="H137" s="29" t="str">
        <x:f>IF(C137="","",IF('Financed Emissions'!M96&gt;0,SUM('Financed Emissions'!J96:K96),0))</x:f>
      </x:c>
      <x:c r="I137" s="29" t="str">
        <x:f>IF(C137="","",IFERROR('Financed Emissions'!M96,0))</x:f>
      </x:c>
    </x:row>
    <x:row r="138">
      <x:c r="C138" s="29" t="str">
        <x:f>IF(Facilities!C97="","",Facilities!C97)</x:f>
      </x:c>
      <x:c r="D138" s="29" t="str">
        <x:f>IF(C138="","",IFERROR(INDEX(Borrowers!$F$9:$F$108,MATCH(Facilities!D97,Borrowers!$C$9:$C$108,0)),0))</x:f>
      </x:c>
      <x:c r="E138" s="29" t="str">
        <x:f>IF(C138="","",IFERROR(INDEX(Borrowers!$E$9:$E$108,MATCH(Facilities!D97,Borrowers!$C$9:$C$108,0)),0))</x:f>
      </x:c>
      <x:c r="F138" s="29" t="str">
        <x:f>IF(C138="","",IFERROR(Facilities!AA97,0))</x:f>
      </x:c>
      <x:c r="G138" s="29" t="str">
        <x:f>IF(C138="","",IFERROR(ECL!AD97,0))</x:f>
      </x:c>
      <x:c r="H138" s="29" t="str">
        <x:f>IF(C138="","",IF('Financed Emissions'!M97&gt;0,SUM('Financed Emissions'!J97:K97),0))</x:f>
      </x:c>
      <x:c r="I138" s="29" t="str">
        <x:f>IF(C138="","",IFERROR('Financed Emissions'!M97,0))</x:f>
      </x:c>
    </x:row>
    <x:row r="139">
      <x:c r="C139" s="29" t="str">
        <x:f>IF(Facilities!C98="","",Facilities!C98)</x:f>
      </x:c>
      <x:c r="D139" s="29" t="str">
        <x:f>IF(C139="","",IFERROR(INDEX(Borrowers!$F$9:$F$108,MATCH(Facilities!D98,Borrowers!$C$9:$C$108,0)),0))</x:f>
      </x:c>
      <x:c r="E139" s="29" t="str">
        <x:f>IF(C139="","",IFERROR(INDEX(Borrowers!$E$9:$E$108,MATCH(Facilities!D98,Borrowers!$C$9:$C$108,0)),0))</x:f>
      </x:c>
      <x:c r="F139" s="29" t="str">
        <x:f>IF(C139="","",IFERROR(Facilities!AA98,0))</x:f>
      </x:c>
      <x:c r="G139" s="29" t="str">
        <x:f>IF(C139="","",IFERROR(ECL!AD98,0))</x:f>
      </x:c>
      <x:c r="H139" s="29" t="str">
        <x:f>IF(C139="","",IF('Financed Emissions'!M98&gt;0,SUM('Financed Emissions'!J98:K98),0))</x:f>
      </x:c>
      <x:c r="I139" s="29" t="str">
        <x:f>IF(C139="","",IFERROR('Financed Emissions'!M98,0))</x:f>
      </x:c>
    </x:row>
    <x:row r="140">
      <x:c r="C140" s="29" t="str">
        <x:f>IF(Facilities!C99="","",Facilities!C99)</x:f>
      </x:c>
      <x:c r="D140" s="29" t="str">
        <x:f>IF(C140="","",IFERROR(INDEX(Borrowers!$F$9:$F$108,MATCH(Facilities!D99,Borrowers!$C$9:$C$108,0)),0))</x:f>
      </x:c>
      <x:c r="E140" s="29" t="str">
        <x:f>IF(C140="","",IFERROR(INDEX(Borrowers!$E$9:$E$108,MATCH(Facilities!D99,Borrowers!$C$9:$C$108,0)),0))</x:f>
      </x:c>
      <x:c r="F140" s="29" t="str">
        <x:f>IF(C140="","",IFERROR(Facilities!AA99,0))</x:f>
      </x:c>
      <x:c r="G140" s="29" t="str">
        <x:f>IF(C140="","",IFERROR(ECL!AD99,0))</x:f>
      </x:c>
      <x:c r="H140" s="29" t="str">
        <x:f>IF(C140="","",IF('Financed Emissions'!M99&gt;0,SUM('Financed Emissions'!J99:K99),0))</x:f>
      </x:c>
      <x:c r="I140" s="29" t="str">
        <x:f>IF(C140="","",IFERROR('Financed Emissions'!M99,0))</x:f>
      </x:c>
    </x:row>
    <x:row r="141">
      <x:c r="C141" s="29" t="str">
        <x:f>IF(Facilities!C100="","",Facilities!C100)</x:f>
      </x:c>
      <x:c r="D141" s="29" t="str">
        <x:f>IF(C141="","",IFERROR(INDEX(Borrowers!$F$9:$F$108,MATCH(Facilities!D100,Borrowers!$C$9:$C$108,0)),0))</x:f>
      </x:c>
      <x:c r="E141" s="29" t="str">
        <x:f>IF(C141="","",IFERROR(INDEX(Borrowers!$E$9:$E$108,MATCH(Facilities!D100,Borrowers!$C$9:$C$108,0)),0))</x:f>
      </x:c>
      <x:c r="F141" s="29" t="str">
        <x:f>IF(C141="","",IFERROR(Facilities!AA100,0))</x:f>
      </x:c>
      <x:c r="G141" s="29" t="str">
        <x:f>IF(C141="","",IFERROR(ECL!AD100,0))</x:f>
      </x:c>
      <x:c r="H141" s="29" t="str">
        <x:f>IF(C141="","",IF('Financed Emissions'!M100&gt;0,SUM('Financed Emissions'!J100:K100),0))</x:f>
      </x:c>
      <x:c r="I141" s="29" t="str">
        <x:f>IF(C141="","",IFERROR('Financed Emissions'!M100,0))</x:f>
      </x:c>
    </x:row>
    <x:row r="142">
      <x:c r="C142" s="29" t="str">
        <x:f>IF(Facilities!C101="","",Facilities!C101)</x:f>
      </x:c>
      <x:c r="D142" s="29" t="str">
        <x:f>IF(C142="","",IFERROR(INDEX(Borrowers!$F$9:$F$108,MATCH(Facilities!D101,Borrowers!$C$9:$C$108,0)),0))</x:f>
      </x:c>
      <x:c r="E142" s="29" t="str">
        <x:f>IF(C142="","",IFERROR(INDEX(Borrowers!$E$9:$E$108,MATCH(Facilities!D101,Borrowers!$C$9:$C$108,0)),0))</x:f>
      </x:c>
      <x:c r="F142" s="29" t="str">
        <x:f>IF(C142="","",IFERROR(Facilities!AA101,0))</x:f>
      </x:c>
      <x:c r="G142" s="29" t="str">
        <x:f>IF(C142="","",IFERROR(ECL!AD101,0))</x:f>
      </x:c>
      <x:c r="H142" s="29" t="str">
        <x:f>IF(C142="","",IF('Financed Emissions'!M101&gt;0,SUM('Financed Emissions'!J101:K101),0))</x:f>
      </x:c>
      <x:c r="I142" s="29" t="str">
        <x:f>IF(C142="","",IFERROR('Financed Emissions'!M101,0))</x:f>
      </x:c>
    </x:row>
    <x:row r="143">
      <x:c r="C143" s="29" t="str">
        <x:f>IF(Facilities!C102="","",Facilities!C102)</x:f>
      </x:c>
      <x:c r="D143" s="29" t="str">
        <x:f>IF(C143="","",IFERROR(INDEX(Borrowers!$F$9:$F$108,MATCH(Facilities!D102,Borrowers!$C$9:$C$108,0)),0))</x:f>
      </x:c>
      <x:c r="E143" s="29" t="str">
        <x:f>IF(C143="","",IFERROR(INDEX(Borrowers!$E$9:$E$108,MATCH(Facilities!D102,Borrowers!$C$9:$C$108,0)),0))</x:f>
      </x:c>
      <x:c r="F143" s="29" t="str">
        <x:f>IF(C143="","",IFERROR(Facilities!AA102,0))</x:f>
      </x:c>
      <x:c r="G143" s="29" t="str">
        <x:f>IF(C143="","",IFERROR(ECL!AD102,0))</x:f>
      </x:c>
      <x:c r="H143" s="29" t="str">
        <x:f>IF(C143="","",IF('Financed Emissions'!M102&gt;0,SUM('Financed Emissions'!J102:K102),0))</x:f>
      </x:c>
      <x:c r="I143" s="29" t="str">
        <x:f>IF(C143="","",IFERROR('Financed Emissions'!M102,0))</x:f>
      </x:c>
    </x:row>
    <x:row r="144">
      <x:c r="C144" s="29" t="str">
        <x:f>IF(Facilities!C103="","",Facilities!C103)</x:f>
      </x:c>
      <x:c r="D144" s="29" t="str">
        <x:f>IF(C144="","",IFERROR(INDEX(Borrowers!$F$9:$F$108,MATCH(Facilities!D103,Borrowers!$C$9:$C$108,0)),0))</x:f>
      </x:c>
      <x:c r="E144" s="29" t="str">
        <x:f>IF(C144="","",IFERROR(INDEX(Borrowers!$E$9:$E$108,MATCH(Facilities!D103,Borrowers!$C$9:$C$108,0)),0))</x:f>
      </x:c>
      <x:c r="F144" s="29" t="str">
        <x:f>IF(C144="","",IFERROR(Facilities!AA103,0))</x:f>
      </x:c>
      <x:c r="G144" s="29" t="str">
        <x:f>IF(C144="","",IFERROR(ECL!AD103,0))</x:f>
      </x:c>
      <x:c r="H144" s="29" t="str">
        <x:f>IF(C144="","",IF('Financed Emissions'!M103&gt;0,SUM('Financed Emissions'!J103:K103),0))</x:f>
      </x:c>
      <x:c r="I144" s="29" t="str">
        <x:f>IF(C144="","",IFERROR('Financed Emissions'!M103,0))</x:f>
      </x:c>
    </x:row>
    <x:row r="145">
      <x:c r="C145" s="29" t="str">
        <x:f>IF(Facilities!C104="","",Facilities!C104)</x:f>
      </x:c>
      <x:c r="D145" s="29" t="str">
        <x:f>IF(C145="","",IFERROR(INDEX(Borrowers!$F$9:$F$108,MATCH(Facilities!D104,Borrowers!$C$9:$C$108,0)),0))</x:f>
      </x:c>
      <x:c r="E145" s="29" t="str">
        <x:f>IF(C145="","",IFERROR(INDEX(Borrowers!$E$9:$E$108,MATCH(Facilities!D104,Borrowers!$C$9:$C$108,0)),0))</x:f>
      </x:c>
      <x:c r="F145" s="29" t="str">
        <x:f>IF(C145="","",IFERROR(Facilities!AA104,0))</x:f>
      </x:c>
      <x:c r="G145" s="29" t="str">
        <x:f>IF(C145="","",IFERROR(ECL!AD104,0))</x:f>
      </x:c>
      <x:c r="H145" s="29" t="str">
        <x:f>IF(C145="","",IF('Financed Emissions'!M104&gt;0,SUM('Financed Emissions'!J104:K104),0))</x:f>
      </x:c>
      <x:c r="I145" s="29" t="str">
        <x:f>IF(C145="","",IFERROR('Financed Emissions'!M104,0))</x:f>
      </x:c>
    </x:row>
    <x:row r="146">
      <x:c r="C146" s="29" t="str">
        <x:f>IF(Facilities!C105="","",Facilities!C105)</x:f>
      </x:c>
      <x:c r="D146" s="29" t="str">
        <x:f>IF(C146="","",IFERROR(INDEX(Borrowers!$F$9:$F$108,MATCH(Facilities!D105,Borrowers!$C$9:$C$108,0)),0))</x:f>
      </x:c>
      <x:c r="E146" s="29" t="str">
        <x:f>IF(C146="","",IFERROR(INDEX(Borrowers!$E$9:$E$108,MATCH(Facilities!D105,Borrowers!$C$9:$C$108,0)),0))</x:f>
      </x:c>
      <x:c r="F146" s="29" t="str">
        <x:f>IF(C146="","",IFERROR(Facilities!AA105,0))</x:f>
      </x:c>
      <x:c r="G146" s="29" t="str">
        <x:f>IF(C146="","",IFERROR(ECL!AD105,0))</x:f>
      </x:c>
      <x:c r="H146" s="29" t="str">
        <x:f>IF(C146="","",IF('Financed Emissions'!M105&gt;0,SUM('Financed Emissions'!J105:K105),0))</x:f>
      </x:c>
      <x:c r="I146" s="29" t="str">
        <x:f>IF(C146="","",IFERROR('Financed Emissions'!M105,0))</x:f>
      </x:c>
    </x:row>
    <x:row r="147">
      <x:c r="C147" s="29" t="str">
        <x:f>IF(Facilities!C106="","",Facilities!C106)</x:f>
      </x:c>
      <x:c r="D147" s="29" t="str">
        <x:f>IF(C147="","",IFERROR(INDEX(Borrowers!$F$9:$F$108,MATCH(Facilities!D106,Borrowers!$C$9:$C$108,0)),0))</x:f>
      </x:c>
      <x:c r="E147" s="29" t="str">
        <x:f>IF(C147="","",IFERROR(INDEX(Borrowers!$E$9:$E$108,MATCH(Facilities!D106,Borrowers!$C$9:$C$108,0)),0))</x:f>
      </x:c>
      <x:c r="F147" s="29" t="str">
        <x:f>IF(C147="","",IFERROR(Facilities!AA106,0))</x:f>
      </x:c>
      <x:c r="G147" s="29" t="str">
        <x:f>IF(C147="","",IFERROR(ECL!AD106,0))</x:f>
      </x:c>
      <x:c r="H147" s="29" t="str">
        <x:f>IF(C147="","",IF('Financed Emissions'!M106&gt;0,SUM('Financed Emissions'!J106:K106),0))</x:f>
      </x:c>
      <x:c r="I147" s="29" t="str">
        <x:f>IF(C147="","",IFERROR('Financed Emissions'!M106,0))</x:f>
      </x:c>
    </x:row>
    <x:row r="148">
      <x:c r="C148" s="29" t="str">
        <x:f>IF(Facilities!C107="","",Facilities!C107)</x:f>
      </x:c>
      <x:c r="D148" s="29" t="str">
        <x:f>IF(C148="","",IFERROR(INDEX(Borrowers!$F$9:$F$108,MATCH(Facilities!D107,Borrowers!$C$9:$C$108,0)),0))</x:f>
      </x:c>
      <x:c r="E148" s="29" t="str">
        <x:f>IF(C148="","",IFERROR(INDEX(Borrowers!$E$9:$E$108,MATCH(Facilities!D107,Borrowers!$C$9:$C$108,0)),0))</x:f>
      </x:c>
      <x:c r="F148" s="29" t="str">
        <x:f>IF(C148="","",IFERROR(Facilities!AA107,0))</x:f>
      </x:c>
      <x:c r="G148" s="29" t="str">
        <x:f>IF(C148="","",IFERROR(ECL!AD107,0))</x:f>
      </x:c>
      <x:c r="H148" s="29" t="str">
        <x:f>IF(C148="","",IF('Financed Emissions'!M107&gt;0,SUM('Financed Emissions'!J107:K107),0))</x:f>
      </x:c>
      <x:c r="I148" s="29" t="str">
        <x:f>IF(C148="","",IFERROR('Financed Emissions'!M107,0))</x:f>
      </x:c>
    </x:row>
    <x:row r="149">
      <x:c r="C149" s="29" t="str">
        <x:f>IF(Facilities!C108="","",Facilities!C108)</x:f>
      </x:c>
      <x:c r="D149" s="29" t="str">
        <x:f>IF(C149="","",IFERROR(INDEX(Borrowers!$F$9:$F$108,MATCH(Facilities!D108,Borrowers!$C$9:$C$108,0)),0))</x:f>
      </x:c>
      <x:c r="E149" s="29" t="str">
        <x:f>IF(C149="","",IFERROR(INDEX(Borrowers!$E$9:$E$108,MATCH(Facilities!D108,Borrowers!$C$9:$C$108,0)),0))</x:f>
      </x:c>
      <x:c r="F149" s="29" t="str">
        <x:f>IF(C149="","",IFERROR(Facilities!AA108,0))</x:f>
      </x:c>
      <x:c r="G149" s="29" t="str">
        <x:f>IF(C149="","",IFERROR(ECL!AD108,0))</x:f>
      </x:c>
      <x:c r="H149" s="29" t="str">
        <x:f>IF(C149="","",IF('Financed Emissions'!M108&gt;0,SUM('Financed Emissions'!J108:K108),0))</x:f>
      </x:c>
      <x:c r="I149" s="29" t="str">
        <x:f>IF(C149="","",IFERROR('Financed Emissions'!M108,0))</x:f>
      </x:c>
    </x:row>
  </x:sheetData>
  <x:mergeCells>
    <x:mergeCell ref="C2:H2"/>
    <x:mergeCell ref="C3:M3"/>
    <x:mergeCell ref="C5:F5"/>
    <x:mergeCell ref="C6:F8"/>
    <x:mergeCell ref="C9:F9"/>
    <x:mergeCell ref="G5:J5"/>
    <x:mergeCell ref="G6:J8"/>
    <x:mergeCell ref="G9:J9"/>
    <x:mergeCell ref="K5:O5"/>
    <x:mergeCell ref="K6:O8"/>
    <x:mergeCell ref="K9:O9"/>
    <x:mergeCell ref="C36:F37"/>
    <x:mergeCell ref="G36:J37"/>
    <x:mergeCell ref="K36:O37"/>
    <x:mergeCell ref="J30:O30"/>
    <x:mergeCell ref="J31:O32"/>
    <x:mergeCell ref="C1:D1"/>
    <x:mergeCell ref="E1:F1"/>
    <x:mergeCell ref="G1:H1"/>
    <x:mergeCell ref="I1:J1"/>
    <x:mergeCell ref="K1:L1"/>
    <x:mergeCell ref="M1:N1"/>
  </x:mergeCells>
  <x:conditionalFormatting sqref="J31:O32">
    <x:cfRule type="containsText" dxfId="576" priority="1" operator="containsText" text="Missing"/>
    <x:cfRule type="containsText" dxfId="577" priority="2" operator="containsText" text="Required"/>
    <x:cfRule type="containsText" dxfId="578" priority="3" operator="containsText" text="required"/>
    <x:cfRule type="containsText" dxfId="579" priority="4" operator="containsText" text="Expired"/>
    <x:cfRule type="containsText" dxfId="580" priority="5" operator="containsText" text="Hold"/>
    <x:cfRule type="containsText" dxfId="581" priority="6" operator="containsText" text="Review"/>
    <x:cfRule type="containsText" dxfId="582" priority="7" operator="containsText" text="Incomplete"/>
    <x:cfRule type="containsText" dxfId="583" priority="8" operator="containsText" text="Pending"/>
    <x:cfRule type="containsText" dxfId="584" priority="9" operator="containsText" text="Unsupported"/>
    <x:cfRule type="containsText" dxfId="585" priority="10" operator="containsText" text="Criteria"/>
    <x:cfRule type="containsText" dxfId="586" priority="11" operator="containsText" text="Fail"/>
    <x:cfRule type="containsText" dxfId="587" priority="12" operator="containsText" text="Stop"/>
    <x:cfRule type="containsText" dxfId="588" priority="13" operator="containsText" text="Breach"/>
    <x:cfRule type="containsText" dxfId="589" priority="14" operator="containsText" text="Invalid"/>
    <x:cfRule type="containsText" dxfId="590" priority="15" operator="containsText" text="Duplicate"/>
    <x:cfRule type="containsText" dxfId="591" priority="16" operator="containsText" text="Not aligned"/>
  </x:conditionalFormatting>
  <x:hyperlinks>
    <x:hyperlink ref="C36" location="'Facilities'!C8" display="Facility register" tooltip="Open Facilities"/>
    <x:hyperlink ref="G36" location="'Financed Emissions'!C8" display="Financed emissions" tooltip="Open Financed Emissions"/>
    <x:hyperlink ref="K36" location="'Sites'!C8" display="Physical sites" tooltip="Open Sites"/>
    <x:hyperlink ref="C1" location="'Overview'!C2" display="Home" tooltip="Open Overview"/>
    <x:hyperlink ref="E1" location="'Customer'!C2" display="Customer" tooltip="Open Customer"/>
    <x:hyperlink ref="G1" location="'Capital'!C2" display="Capital" tooltip="Open Capital"/>
    <x:hyperlink ref="I1" location="'Disclosures'!C2" display="Reporting" tooltip="Open Disclosures"/>
    <x:hyperlink ref="K1" location="'Borrowers'!C8" display="Inputs" tooltip="Open Borrowers"/>
    <x:hyperlink ref="M1" location="'Settings'!C5" display="Settings" tooltip="Open Settings"/>
  </x:hyperlinks>
  <x:pageMargins left="0.7" right="0.7" top="0.75" bottom="0.75" header="0.3" footer="0.3"/>
  <x:drawing xmlns:r="http://schemas.openxmlformats.org/officeDocument/2006/relationships" r:id="R9f4e4e8ffe794e9a"/>
</x:worksheet>
</file>

<file path=xl/worksheets/sheet5.xml><?xml version="1.0" encoding="utf-8"?>
<x:worksheet xmlns:x="http://schemas.openxmlformats.org/spreadsheetml/2006/main">
  <x:sheetPr>
    <x:tabColor rgb="FF102D42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.4000000953674316" hidden="0" customWidth="1"/>
    <x:col min="2" max="2" width="2.4000000953674316" hidden="0" customWidth="1"/>
    <x:col min="3" max="3" width="24" hidden="0" customWidth="1"/>
    <x:col min="4" max="4" width="8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</x:cols>
  <x:sheetData>
    <x:row r="1" ht="27" customHeight="1">
      <x:c r="A1" s="1"/>
      <x:c r="B1" s="1"/>
      <x:c r="C1" s="50" t="str">
        <x:v>Home</x:v>
      </x:c>
      <x:c r="D1" s="50"/>
      <x:c r="E1" s="63" t="str">
        <x:v>Customer</x:v>
      </x:c>
      <x:c r="F1" s="63"/>
      <x:c r="G1" s="63" t="str">
        <x:v>Capital</x:v>
      </x:c>
      <x:c r="H1" s="63"/>
      <x:c r="I1" s="63" t="str">
        <x:v>Reporting</x:v>
      </x:c>
      <x:c r="J1" s="63"/>
      <x:c r="K1" s="63" t="str">
        <x:v>Inputs</x:v>
      </x:c>
      <x:c r="L1" s="63"/>
      <x:c r="M1" s="63" t="str">
        <x:v>Settings</x:v>
      </x:c>
      <x:c r="N1" s="63"/>
      <x:c r="O1" s="3"/>
    </x:row>
    <x:row r="2" ht="45" customHeight="1">
      <x:c r="A2" s="1"/>
      <x:c r="B2" s="1"/>
      <x:c r="C2" s="5" t="str">
        <x:v>Capital and liquidity</x:v>
      </x:c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</x:row>
    <x:row r="3" ht="32" customHeight="1">
      <x:c r="A3" s="1"/>
      <x:c r="B3" s="1"/>
      <x:c r="C3" s="6" t="str">
        <x:v>Five-year ICAAP planning view. Internal targets and approved action costs are explicit.</x:v>
      </x:c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3"/>
      <x:c r="O3" s="3"/>
    </x:row>
    <x:row r="4" ht="26" customHeight="1">
      <x:c r="A4" s="1"/>
      <x:c r="B4" s="1"/>
      <x:c r="C4" s="45"/>
      <x:c r="D4" s="45"/>
      <x:c r="E4" s="45"/>
      <x:c r="F4" s="45"/>
      <x:c r="G4" s="45"/>
      <x:c r="H4" s="45"/>
      <x:c r="I4" s="45"/>
      <x:c r="J4" s="45"/>
      <x:c r="K4" s="45"/>
      <x:c r="L4" s="45"/>
      <x:c r="M4" s="45"/>
      <x:c r="N4" s="45"/>
      <x:c r="O4" s="45"/>
    </x:row>
    <x:row r="5" ht="26" customHeight="1">
      <x:c r="A5" s="1"/>
      <x:c r="B5" s="1"/>
      <x:c r="C5" s="45"/>
      <x:c r="D5" s="45"/>
      <x:c r="E5" s="45"/>
      <x:c r="F5" s="45"/>
      <x:c r="G5" s="45"/>
      <x:c r="H5" s="45"/>
      <x:c r="I5" s="45"/>
      <x:c r="J5" s="45"/>
      <x:c r="K5" s="45"/>
      <x:c r="L5" s="45"/>
      <x:c r="M5" s="45"/>
      <x:c r="N5" s="45"/>
      <x:c r="O5" s="45"/>
    </x:row>
    <x:row r="6" ht="46" customHeight="1">
      <x:c r="A6" s="1"/>
      <x:c r="B6" s="1"/>
      <x:c r="C6" s="15" t="str">
        <x:v>Capital forecast</x:v>
      </x:c>
      <x:c r="D6" s="15"/>
      <x:c r="E6" s="15" t="n">
        <x:f>Bank!G8</x:f>
        <x:v>2027</x:v>
      </x:c>
      <x:c r="F6" s="15" t="n">
        <x:f>Bank!H8</x:f>
        <x:v>2028</x:v>
      </x:c>
      <x:c r="G6" s="15" t="n">
        <x:f>Bank!I8</x:f>
        <x:v>2029</x:v>
      </x:c>
      <x:c r="H6" s="15" t="n">
        <x:f>Bank!J8</x:f>
        <x:v>2030</x:v>
      </x:c>
      <x:c r="I6" s="15" t="n">
        <x:f>Bank!K8</x:f>
        <x:v>2031</x:v>
      </x:c>
      <x:c r="J6" s="45"/>
      <x:c r="K6" s="45"/>
      <x:c r="L6" s="45"/>
      <x:c r="M6" s="45"/>
      <x:c r="N6" s="45"/>
      <x:c r="O6" s="45"/>
    </x:row>
    <x:row r="7" ht="26" customHeight="1">
      <x:c r="A7" s="1"/>
      <x:c r="B7" s="1"/>
      <x:c r="C7" s="45"/>
      <x:c r="D7" s="45"/>
      <x:c r="E7" s="45"/>
      <x:c r="F7" s="45"/>
      <x:c r="G7" s="45"/>
      <x:c r="H7" s="45"/>
      <x:c r="I7" s="45"/>
      <x:c r="J7" s="45"/>
      <x:c r="K7" s="45"/>
      <x:c r="L7" s="45"/>
      <x:c r="M7" s="45"/>
      <x:c r="N7" s="45"/>
      <x:c r="O7" s="45"/>
    </x:row>
    <x:row r="8" ht="26" customHeight="1">
      <x:c r="A8" s="1"/>
      <x:c r="B8" s="1"/>
      <x:c r="C8" s="45" t="str">
        <x:v>Profit after tax</x:v>
      </x:c>
      <x:c r="D8" s="45"/>
      <x:c r="E8" s="68" t="n">
        <x:f>IF(Bank!$F$104="Ready",Bank!G19,"Review inputs")</x:f>
        <x:v>10.000494546617158</x:v>
      </x:c>
      <x:c r="F8" s="68" t="n">
        <x:f>IF(Bank!$F$104="Ready",Bank!H19,"Review inputs")</x:f>
        <x:v>7.0683411003988335</x:v>
      </x:c>
      <x:c r="G8" s="68" t="n">
        <x:f>IF(Bank!$F$104="Ready",Bank!I19,"Review inputs")</x:f>
        <x:v>-5.034736470065816</x:v>
      </x:c>
      <x:c r="H8" s="68" t="n">
        <x:f>IF(Bank!$F$104="Ready",Bank!J19,"Review inputs")</x:f>
        <x:v>6.668636509025261</x:v>
      </x:c>
      <x:c r="I8" s="68" t="n">
        <x:f>IF(Bank!$F$104="Ready",Bank!K19,"Review inputs")</x:f>
        <x:v>5.795663518346345</x:v>
      </x:c>
      <x:c r="J8" s="45"/>
      <x:c r="K8" s="45"/>
      <x:c r="L8" s="45"/>
      <x:c r="M8" s="45"/>
      <x:c r="N8" s="45"/>
      <x:c r="O8" s="45"/>
    </x:row>
    <x:row r="9" ht="26" customHeight="1">
      <x:c r="A9" s="1"/>
      <x:c r="B9" s="1"/>
      <x:c r="C9" s="45" t="str">
        <x:v>CET1 before actions</x:v>
      </x:c>
      <x:c r="D9" s="45"/>
      <x:c r="E9" s="68" t="n">
        <x:f>IF(Bank!$F$104="Ready",Bank!G39,"Review inputs")</x:f>
        <x:v>46.82688112366296</x:v>
      </x:c>
      <x:c r="F9" s="68" t="n">
        <x:f>IF(Bank!$F$104="Ready",Bank!H39,"Review inputs")</x:f>
        <x:v>52.12813694896208</x:v>
      </x:c>
      <x:c r="G9" s="68" t="n">
        <x:f>IF(Bank!$F$104="Ready",Bank!I39,"Review inputs")</x:f>
        <x:v>47.343400478896264</x:v>
      </x:c>
      <x:c r="H9" s="68" t="n">
        <x:f>IF(Bank!$F$104="Ready",Bank!J39,"Review inputs")</x:f>
        <x:v>52.233713798165205</x:v>
      </x:c>
      <x:c r="I9" s="68" t="n">
        <x:f>IF(Bank!$F$104="Ready",Bank!K39,"Review inputs")</x:f>
        <x:v>56.46122338052847</x:v>
      </x:c>
      <x:c r="J9" s="45"/>
      <x:c r="K9" s="45"/>
      <x:c r="L9" s="45"/>
      <x:c r="M9" s="45"/>
      <x:c r="N9" s="45"/>
      <x:c r="O9" s="45"/>
    </x:row>
    <x:row r="10" ht="26" customHeight="1">
      <x:c r="A10" s="1"/>
      <x:c r="B10" s="1"/>
      <x:c r="C10" s="45" t="str">
        <x:v>CET1 after actions</x:v>
      </x:c>
      <x:c r="D10" s="45"/>
      <x:c r="E10" s="68" t="n">
        <x:f>IF(Bank!$F$104="Ready",Bank!G40,"Review inputs")</x:f>
        <x:v>46.82688112366296</x:v>
      </x:c>
      <x:c r="F10" s="68" t="n">
        <x:f>IF(Bank!$F$104="Ready",Bank!H40,"Review inputs")</x:f>
        <x:v>52.12813694896208</x:v>
      </x:c>
      <x:c r="G10" s="68" t="n">
        <x:f>IF(Bank!$F$104="Ready",Bank!I40,"Review inputs")</x:f>
        <x:v>55.093400478896264</x:v>
      </x:c>
      <x:c r="H10" s="68" t="n">
        <x:f>IF(Bank!$F$104="Ready",Bank!J40,"Review inputs")</x:f>
        <x:v>60.09487786066521</x:v>
      </x:c>
      <x:c r="I10" s="68" t="n">
        <x:f>IF(Bank!$F$104="Ready",Bank!K40,"Review inputs")</x:f>
        <x:v>64.44162549942496</x:v>
      </x:c>
      <x:c r="J10" s="45"/>
      <x:c r="K10" s="45"/>
      <x:c r="L10" s="45"/>
      <x:c r="M10" s="45"/>
      <x:c r="N10" s="45"/>
      <x:c r="O10" s="45"/>
    </x:row>
    <x:row r="11" ht="26" customHeight="1">
      <x:c r="A11" s="1"/>
      <x:c r="B11" s="1"/>
      <x:c r="C11" s="45" t="str">
        <x:v>Total RWA</x:v>
      </x:c>
      <x:c r="D11" s="45"/>
      <x:c r="E11" s="68" t="n">
        <x:f>IF(Bank!$F$104="Ready",Bank!G46,"Review inputs")</x:f>
        <x:v>284.33497692800006</x:v>
      </x:c>
      <x:c r="F11" s="68" t="n">
        <x:f>IF(Bank!$F$104="Ready",Bank!H46,"Review inputs")</x:f>
        <x:v>254.5085519696</x:v>
      </x:c>
      <x:c r="G11" s="68" t="n">
        <x:f>IF(Bank!$F$104="Ready",Bank!I46,"Review inputs")</x:f>
        <x:v>262.92553788339205</x:v>
      </x:c>
      <x:c r="H11" s="68" t="n">
        <x:f>IF(Bank!$F$104="Ready",Bank!J46,"Review inputs")</x:f>
        <x:v>247.71539463077596</x:v>
      </x:c>
      <x:c r="I11" s="68" t="n">
        <x:f>IF(Bank!$F$104="Ready",Bank!K46,"Review inputs")</x:f>
        <x:v>181.21241194520482</x:v>
      </x:c>
      <x:c r="J11" s="45"/>
      <x:c r="K11" s="45"/>
      <x:c r="L11" s="45"/>
      <x:c r="M11" s="45"/>
      <x:c r="N11" s="45"/>
      <x:c r="O11" s="45"/>
    </x:row>
    <x:row r="12" ht="26" customHeight="1">
      <x:c r="A12" s="1"/>
      <x:c r="B12" s="1"/>
      <x:c r="C12" s="45"/>
      <x:c r="D12" s="45"/>
      <x:c r="E12" s="68"/>
      <x:c r="F12" s="68"/>
      <x:c r="G12" s="68"/>
      <x:c r="H12" s="68"/>
      <x:c r="I12" s="68"/>
      <x:c r="J12" s="45"/>
      <x:c r="K12" s="45"/>
      <x:c r="L12" s="45"/>
      <x:c r="M12" s="45"/>
      <x:c r="N12" s="45"/>
      <x:c r="O12" s="45"/>
    </x:row>
    <x:row r="13" ht="26" customHeight="1">
      <x:c r="A13" s="1"/>
      <x:c r="B13" s="1"/>
      <x:c r="C13" s="45" t="str">
        <x:v>CET1 ratio</x:v>
      </x:c>
      <x:c r="D13" s="45"/>
      <x:c r="E13" s="60" t="n">
        <x:f>IF(Bank!$F$104="Ready",Bank!G40/Bank!G46,"Review inputs")</x:f>
        <x:v>0.16468913402630928</x:v>
      </x:c>
      <x:c r="F13" s="60" t="n">
        <x:f>IF(Bank!$F$104="Ready",Bank!H40/Bank!H46,"Review inputs")</x:f>
        <x:v>0.20481880292646737</x:v>
      </x:c>
      <x:c r="G13" s="60" t="n">
        <x:f>IF(Bank!$F$104="Ready",Bank!I40/Bank!I46,"Review inputs")</x:f>
        <x:v>0.2095399363728992</x:v>
      </x:c>
      <x:c r="H13" s="60" t="n">
        <x:f>IF(Bank!$F$104="Ready",Bank!J40/Bank!J46,"Review inputs")</x:f>
        <x:v>0.24259646014426214</x:v>
      </x:c>
      <x:c r="I13" s="60" t="n">
        <x:f>IF(Bank!$F$104="Ready",Bank!K40/Bank!K46,"Review inputs")</x:f>
        <x:v>0.35561375077834556</x:v>
      </x:c>
      <x:c r="J13" s="45"/>
      <x:c r="K13" s="45"/>
      <x:c r="L13" s="45"/>
      <x:c r="M13" s="45"/>
      <x:c r="N13" s="45"/>
      <x:c r="O13" s="45"/>
    </x:row>
    <x:row r="14" ht="26" customHeight="1">
      <x:c r="A14" s="1"/>
      <x:c r="B14" s="1"/>
      <x:c r="C14" s="45" t="str">
        <x:v>Tier 1 ratio</x:v>
      </x:c>
      <x:c r="D14" s="45"/>
      <x:c r="E14" s="60" t="n">
        <x:f>IF(Bank!$F$104="Ready",(Bank!G40+Bank!G41)/Bank!G46,"Review inputs")</x:f>
        <x:v>0.17875704801711206</x:v>
      </x:c>
      <x:c r="F14" s="60" t="n">
        <x:f>IF(Bank!$F$104="Ready",(Bank!H40+Bank!H41)/Bank!H46,"Review inputs")</x:f>
        <x:v>0.22053536714030086</x:v>
      </x:c>
      <x:c r="G14" s="60" t="n">
        <x:f>IF(Bank!$F$104="Ready",(Bank!I40+Bank!I41)/Bank!I46,"Review inputs")</x:f>
        <x:v>0.2247533691653197</x:v>
      </x:c>
      <x:c r="H14" s="60" t="n">
        <x:f>IF(Bank!$F$104="Ready",(Bank!J40+Bank!J41)/Bank!J46,"Review inputs")</x:f>
        <x:v>0.2587440233829622</x:v>
      </x:c>
      <x:c r="I14" s="60" t="n">
        <x:f>IF(Bank!$F$104="Ready",(Bank!K40+Bank!K41)/Bank!K46,"Review inputs")</x:f>
        <x:v>0.37768729395931444</x:v>
      </x:c>
      <x:c r="J14" s="45"/>
      <x:c r="K14" s="45"/>
      <x:c r="L14" s="45"/>
      <x:c r="M14" s="45"/>
      <x:c r="N14" s="45"/>
      <x:c r="O14" s="45"/>
    </x:row>
    <x:row r="15" ht="26" customHeight="1">
      <x:c r="A15" s="1"/>
      <x:c r="B15" s="1"/>
      <x:c r="C15" s="45" t="str">
        <x:v>Total capital ratio</x:v>
      </x:c>
      <x:c r="D15" s="45"/>
      <x:c r="E15" s="60" t="n">
        <x:f>IF(Bank!$F$104="Ready",SUM(Bank!G40:G42)/Bank!G46,"Review inputs")</x:f>
        <x:v>0.19634194050561554</x:v>
      </x:c>
      <x:c r="F15" s="60" t="n">
        <x:f>IF(Bank!$F$104="Ready",SUM(Bank!H40:H42)/Bank!H46,"Review inputs")</x:f>
        <x:v>0.24018107240759273</x:v>
      </x:c>
      <x:c r="G15" s="60" t="n">
        <x:f>IF(Bank!$F$104="Ready",SUM(Bank!I40:I42)/Bank!I46,"Review inputs")</x:f>
        <x:v>0.24377016015584532</x:v>
      </x:c>
      <x:c r="H15" s="60" t="n">
        <x:f>IF(Bank!$F$104="Ready",SUM(Bank!J40:J42)/Bank!J46,"Review inputs")</x:f>
        <x:v>0.2789284774313373</x:v>
      </x:c>
      <x:c r="I15" s="60" t="n">
        <x:f>IF(Bank!$F$104="Ready",SUM(Bank!K40:K42)/Bank!K46,"Review inputs")</x:f>
        <x:v>0.40527922293552554</x:v>
      </x:c>
      <x:c r="J15" s="45"/>
      <x:c r="K15" s="45"/>
      <x:c r="L15" s="45"/>
      <x:c r="M15" s="45"/>
      <x:c r="N15" s="45"/>
      <x:c r="O15" s="45"/>
    </x:row>
    <x:row r="16" ht="26" customHeight="1">
      <x:c r="A16" s="1"/>
      <x:c r="B16" s="1"/>
      <x:c r="C16" s="45"/>
      <x:c r="D16" s="45"/>
      <x:c r="E16" s="68"/>
      <x:c r="F16" s="68"/>
      <x:c r="G16" s="68"/>
      <x:c r="H16" s="68"/>
      <x:c r="I16" s="68"/>
      <x:c r="J16" s="45"/>
      <x:c r="K16" s="45"/>
      <x:c r="L16" s="45"/>
      <x:c r="M16" s="45"/>
      <x:c r="N16" s="45"/>
      <x:c r="O16" s="45"/>
    </x:row>
    <x:row r="17" ht="26" customHeight="1">
      <x:c r="A17" s="1"/>
      <x:c r="B17" s="1"/>
      <x:c r="C17" s="45" t="str">
        <x:v>CET1 headroom USD m</x:v>
      </x:c>
      <x:c r="D17" s="45"/>
      <x:c r="E17" s="68" t="n">
        <x:f>IF(Bank!$F$104="Ready",Bank!G40-Settings!$F$23*Bank!G46,"Review inputs")</x:f>
        <x:v>21.236733200142954</x:v>
      </x:c>
      <x:c r="F17" s="68" t="n">
        <x:f>IF(Bank!$F$104="Ready",Bank!H40-Settings!$F$23*Bank!H46,"Review inputs")</x:f>
        <x:v>29.22236727169808</x:v>
      </x:c>
      <x:c r="G17" s="68" t="n">
        <x:f>IF(Bank!$F$104="Ready",Bank!I40-Settings!$F$23*Bank!I46,"Review inputs")</x:f>
        <x:v>31.43010206939098</x:v>
      </x:c>
      <x:c r="H17" s="68" t="n">
        <x:f>IF(Bank!$F$104="Ready",Bank!J40-Settings!$F$23*Bank!J46,"Review inputs")</x:f>
        <x:v>37.80049234389537</x:v>
      </x:c>
      <x:c r="I17" s="68" t="n">
        <x:f>IF(Bank!$F$104="Ready",Bank!K40-Settings!$F$23*Bank!K46,"Review inputs")</x:f>
        <x:v>48.13250842435653</x:v>
      </x:c>
      <x:c r="J17" s="45"/>
      <x:c r="K17" s="45"/>
      <x:c r="L17" s="45"/>
      <x:c r="M17" s="45"/>
      <x:c r="N17" s="45"/>
      <x:c r="O17" s="45"/>
    </x:row>
    <x:row r="18" ht="26" customHeight="1">
      <x:c r="A18" s="1"/>
      <x:c r="B18" s="1"/>
      <x:c r="C18" s="45" t="str">
        <x:v>Total capital headroom</x:v>
      </x:c>
      <x:c r="D18" s="45"/>
      <x:c r="E18" s="68" t="n">
        <x:f>IF(Bank!$F$104="Ready",SUM(Bank!G40:G42)-Settings!$F$25*Bank!G46,"Review inputs")</x:f>
        <x:v>20.28500900766295</x:v>
      </x:c>
      <x:c r="F18" s="68" t="n">
        <x:f>IF(Bank!$F$104="Ready",SUM(Bank!H40:H42)-Settings!$F$25*Bank!H46,"Review inputs")</x:f>
        <x:v>29.31456795276208</x:v>
      </x:c>
      <x:c r="G18" s="68" t="n">
        <x:f>IF(Bank!$F$104="Ready",SUM(Bank!I40:I42)-Settings!$F$25*Bank!I46,"Review inputs")</x:f>
        <x:v>31.22770824347225</x:v>
      </x:c>
      <x:c r="H18" s="68" t="n">
        <x:f>IF(Bank!$F$104="Ready",SUM(Bank!J40:J42)-Settings!$F$25*Bank!J46,"Review inputs")</x:f>
        <x:v>38.13045353181821</x:v>
      </x:c>
      <x:c r="I18" s="68" t="n">
        <x:f>IF(Bank!$F$104="Ready",SUM(Bank!K40:K42)-Settings!$F$25*Bank!K46,"Review inputs")</x:f>
        <x:v>50.79007400627435</x:v>
      </x:c>
      <x:c r="J18" s="45"/>
      <x:c r="K18" s="45"/>
      <x:c r="L18" s="45"/>
      <x:c r="M18" s="45"/>
      <x:c r="N18" s="45"/>
      <x:c r="O18" s="45"/>
    </x:row>
    <x:row r="19" ht="26" customHeight="1">
      <x:c r="A19" s="1"/>
      <x:c r="B19" s="1"/>
      <x:c r="C19" s="45"/>
      <x:c r="D19" s="45"/>
      <x:c r="E19" s="68"/>
      <x:c r="F19" s="68"/>
      <x:c r="G19" s="68"/>
      <x:c r="H19" s="68"/>
      <x:c r="I19" s="68"/>
      <x:c r="J19" s="45"/>
      <x:c r="K19" s="45"/>
      <x:c r="L19" s="45"/>
      <x:c r="M19" s="45"/>
      <x:c r="N19" s="45"/>
      <x:c r="O19" s="45"/>
    </x:row>
    <x:row r="20" ht="26" customHeight="1">
      <x:c r="A20" s="1"/>
      <x:c r="B20" s="1"/>
      <x:c r="C20" s="45" t="str">
        <x:v>LCR</x:v>
      </x:c>
      <x:c r="D20" s="45"/>
      <x:c r="E20" s="60" t="n">
        <x:f>IF(Bank!$F$104="Ready",Bank!G52,"Review inputs")</x:f>
        <x:v>3.7552317187829165</x:v>
      </x:c>
      <x:c r="F20" s="60" t="n">
        <x:f>IF(Bank!$F$104="Ready",Bank!H52,"Review inputs")</x:f>
        <x:v>5.013557605101501</x:v>
      </x:c>
      <x:c r="G20" s="60" t="n">
        <x:f>IF(Bank!$F$104="Ready",Bank!I52,"Review inputs")</x:f>
        <x:v>6.391071002035488</x:v>
      </x:c>
      <x:c r="H20" s="60" t="n">
        <x:f>IF(Bank!$F$104="Ready",Bank!J52,"Review inputs")</x:f>
        <x:v>7.507827211090431</x:v>
      </x:c>
      <x:c r="I20" s="60" t="n">
        <x:f>IF(Bank!$F$104="Ready",Bank!K52,"Review inputs")</x:f>
        <x:v>9.571449852706039</x:v>
      </x:c>
      <x:c r="J20" s="45"/>
      <x:c r="K20" s="45"/>
      <x:c r="L20" s="45"/>
      <x:c r="M20" s="45"/>
      <x:c r="N20" s="45"/>
      <x:c r="O20" s="45"/>
    </x:row>
    <x:row r="21" ht="26" customHeight="1">
      <x:c r="A21" s="1"/>
      <x:c r="B21" s="1"/>
      <x:c r="C21" s="45" t="str">
        <x:v>NSFR</x:v>
      </x:c>
      <x:c r="D21" s="45"/>
      <x:c r="E21" s="60" t="n">
        <x:f>IF(Bank!$F$104="Ready",Bank!G55,"Review inputs")</x:f>
        <x:v>1.4581555266251325</x:v>
      </x:c>
      <x:c r="F21" s="60" t="n">
        <x:f>IF(Bank!$F$104="Ready",Bank!H55,"Review inputs")</x:f>
        <x:v>1.6699329762683546</x:v>
      </x:c>
      <x:c r="G21" s="60" t="n">
        <x:f>IF(Bank!$F$104="Ready",Bank!I55,"Review inputs")</x:f>
        <x:v>1.9138231838842155</x:v>
      </x:c>
      <x:c r="H21" s="60" t="n">
        <x:f>IF(Bank!$F$104="Ready",Bank!J55,"Review inputs")</x:f>
        <x:v>2.0827073264177622</x:v>
      </x:c>
      <x:c r="I21" s="60" t="n">
        <x:f>IF(Bank!$F$104="Ready",Bank!K55,"Review inputs")</x:f>
        <x:v>2.7934801369158824</x:v>
      </x:c>
      <x:c r="J21" s="45"/>
      <x:c r="K21" s="45"/>
      <x:c r="L21" s="45"/>
      <x:c r="M21" s="45"/>
      <x:c r="N21" s="45"/>
      <x:c r="O21" s="45"/>
    </x:row>
    <x:row r="22" ht="26" customHeight="1">
      <x:c r="A22" s="1"/>
      <x:c r="B22" s="1"/>
      <x:c r="C22" s="45"/>
      <x:c r="D22" s="45"/>
      <x:c r="E22" s="45"/>
      <x:c r="F22" s="45"/>
      <x:c r="G22" s="45"/>
      <x:c r="H22" s="45"/>
      <x:c r="I22" s="45"/>
      <x:c r="J22" s="45"/>
      <x:c r="K22" s="45"/>
      <x:c r="L22" s="45"/>
      <x:c r="M22" s="45"/>
      <x:c r="N22" s="45"/>
      <x:c r="O22" s="45"/>
    </x:row>
    <x:row r="23" ht="35" customHeight="1">
      <x:c r="A23" s="1"/>
      <x:c r="B23" s="1"/>
      <x:c r="C23" s="45" t="str">
        <x:v>Capital status</x:v>
      </x:c>
      <x:c r="D23" s="45"/>
      <x:c r="E23" s="47" t="str">
        <x:f>IF(Bank!$F$104="Ready",IF(OR(E13&lt;Settings!$F$23,E14&lt;Settings!$F$24,E15&lt;Settings!$F$25),"Breach","Within targets"),"Review inputs")</x:f>
        <x:v>Within targets</x:v>
      </x:c>
      <x:c r="F23" s="47" t="str">
        <x:f>IF(Bank!$F$104="Ready",IF(OR(F13&lt;Settings!$F$23,F14&lt;Settings!$F$24,F15&lt;Settings!$F$25),"Breach","Within targets"),"Review inputs")</x:f>
        <x:v>Within targets</x:v>
      </x:c>
      <x:c r="G23" s="47" t="str">
        <x:f>IF(Bank!$F$104="Ready",IF(OR(G13&lt;Settings!$F$23,G14&lt;Settings!$F$24,G15&lt;Settings!$F$25),"Breach","Within targets"),"Review inputs")</x:f>
        <x:v>Within targets</x:v>
      </x:c>
      <x:c r="H23" s="47" t="str">
        <x:f>IF(Bank!$F$104="Ready",IF(OR(H13&lt;Settings!$F$23,H14&lt;Settings!$F$24,H15&lt;Settings!$F$25),"Breach","Within targets"),"Review inputs")</x:f>
        <x:v>Within targets</x:v>
      </x:c>
      <x:c r="I23" s="47" t="str">
        <x:f>IF(Bank!$F$104="Ready",IF(OR(I13&lt;Settings!$F$23,I14&lt;Settings!$F$24,I15&lt;Settings!$F$25),"Breach","Within targets"),"Review inputs")</x:f>
        <x:v>Within targets</x:v>
      </x:c>
      <x:c r="J23" s="45"/>
      <x:c r="K23" s="45"/>
      <x:c r="L23" s="45"/>
      <x:c r="M23" s="45"/>
      <x:c r="N23" s="45"/>
      <x:c r="O23" s="45"/>
    </x:row>
    <x:row r="24" ht="35" customHeight="1">
      <x:c r="A24" s="1"/>
      <x:c r="B24" s="1"/>
      <x:c r="C24" s="45" t="str">
        <x:v>Liquidity status</x:v>
      </x:c>
      <x:c r="D24" s="45"/>
      <x:c r="E24" s="47" t="str">
        <x:f>IF(Bank!$F$104="Ready",IF(OR(E20&lt;Settings!$F$26,E21&lt;Settings!$F$27,Bank!G23&lt;0),"Breach","Within targets"),"Review inputs")</x:f>
        <x:v>Within targets</x:v>
      </x:c>
      <x:c r="F24" s="47" t="str">
        <x:f>IF(Bank!$F$104="Ready",IF(OR(F20&lt;Settings!$F$26,F21&lt;Settings!$F$27,Bank!H23&lt;0),"Breach","Within targets"),"Review inputs")</x:f>
        <x:v>Within targets</x:v>
      </x:c>
      <x:c r="G24" s="47" t="str">
        <x:f>IF(Bank!$F$104="Ready",IF(OR(G20&lt;Settings!$F$26,G21&lt;Settings!$F$27,Bank!I23&lt;0),"Breach","Within targets"),"Review inputs")</x:f>
        <x:v>Within targets</x:v>
      </x:c>
      <x:c r="H24" s="47" t="str">
        <x:f>IF(Bank!$F$104="Ready",IF(OR(H20&lt;Settings!$F$26,H21&lt;Settings!$F$27,Bank!J23&lt;0),"Breach","Within targets"),"Review inputs")</x:f>
        <x:v>Within targets</x:v>
      </x:c>
      <x:c r="I24" s="47" t="str">
        <x:f>IF(Bank!$F$104="Ready",IF(OR(I20&lt;Settings!$F$26,I21&lt;Settings!$F$27,Bank!K23&lt;0),"Breach","Within targets"),"Review inputs")</x:f>
        <x:v>Within targets</x:v>
      </x:c>
      <x:c r="J24" s="45"/>
      <x:c r="K24" s="45"/>
      <x:c r="L24" s="45"/>
      <x:c r="M24" s="45"/>
      <x:c r="N24" s="45"/>
      <x:c r="O24" s="45"/>
    </x:row>
    <x:row r="25" ht="26" customHeight="1">
      <x:c r="A25" s="1"/>
      <x:c r="B25" s="1"/>
      <x:c r="C25" s="45"/>
      <x:c r="D25" s="45"/>
      <x:c r="E25" s="45"/>
      <x:c r="F25" s="45"/>
      <x:c r="G25" s="45"/>
      <x:c r="H25" s="45"/>
      <x:c r="I25" s="45"/>
      <x:c r="J25" s="45"/>
      <x:c r="K25" s="45"/>
      <x:c r="L25" s="45"/>
      <x:c r="M25" s="45"/>
      <x:c r="N25" s="45"/>
      <x:c r="O25" s="45"/>
    </x:row>
    <x:row r="26" ht="26" customHeight="1">
      <x:c r="A26" s="1"/>
      <x:c r="B26" s="1"/>
      <x:c r="C26" s="45"/>
      <x:c r="D26" s="45"/>
      <x:c r="E26" s="45"/>
      <x:c r="F26" s="45"/>
      <x:c r="G26" s="45"/>
      <x:c r="H26" s="45"/>
      <x:c r="I26" s="45"/>
      <x:c r="J26" s="45"/>
      <x:c r="K26" s="45"/>
      <x:c r="L26" s="45"/>
      <x:c r="M26" s="45"/>
      <x:c r="N26" s="45"/>
      <x:c r="O26" s="45"/>
    </x:row>
    <x:row r="27" ht="26" customHeight="1">
      <x:c r="A27" s="1"/>
      <x:c r="B27" s="1"/>
      <x:c r="C27" s="50" t="str">
        <x:v>Approve management actions</x:v>
      </x:c>
      <x:c r="D27" s="50"/>
      <x:c r="E27" s="50"/>
      <x:c r="F27" s="50"/>
      <x:c r="G27" s="63" t="str">
        <x:v>Edit stress paths</x:v>
      </x:c>
      <x:c r="H27" s="63"/>
      <x:c r="I27" s="63"/>
      <x:c r="J27" s="63"/>
      <x:c r="K27" s="63" t="str">
        <x:v>Inspect bank financials</x:v>
      </x:c>
      <x:c r="L27" s="63"/>
      <x:c r="M27" s="63"/>
      <x:c r="N27" s="63"/>
      <x:c r="O27" s="63"/>
    </x:row>
    <x:row r="28" ht="26" customHeight="1">
      <x:c r="A28" s="1"/>
      <x:c r="B28" s="1"/>
      <x:c r="C28" s="50"/>
      <x:c r="D28" s="50"/>
      <x:c r="E28" s="50"/>
      <x:c r="F28" s="50"/>
      <x:c r="G28" s="63"/>
      <x:c r="H28" s="63"/>
      <x:c r="I28" s="63"/>
      <x:c r="J28" s="63"/>
      <x:c r="K28" s="63"/>
      <x:c r="L28" s="63"/>
      <x:c r="M28" s="63"/>
      <x:c r="N28" s="63"/>
      <x:c r="O28" s="63"/>
    </x:row>
    <x:row r="29" ht="26" customHeight="1">
      <x:c r="A29" s="1"/>
      <x:c r="B29" s="1"/>
      <x:c r="C29" s="45"/>
      <x:c r="D29" s="45"/>
      <x:c r="E29" s="45"/>
      <x:c r="F29" s="45"/>
      <x:c r="G29" s="45"/>
      <x:c r="H29" s="45"/>
      <x:c r="I29" s="45"/>
      <x:c r="J29" s="45"/>
      <x:c r="K29" s="45"/>
      <x:c r="L29" s="45"/>
      <x:c r="M29" s="45"/>
      <x:c r="N29" s="45"/>
      <x:c r="O29" s="45"/>
    </x:row>
    <x:row r="30" ht="26" customHeight="1">
      <x:c r="A30" s="1"/>
      <x:c r="B30" s="1"/>
      <x:c r="C30" s="45"/>
      <x:c r="D30" s="45"/>
      <x:c r="E30" s="45"/>
      <x:c r="F30" s="45"/>
      <x:c r="G30" s="45"/>
      <x:c r="H30" s="45"/>
      <x:c r="I30" s="45"/>
      <x:c r="J30" s="45"/>
      <x:c r="K30" s="45"/>
      <x:c r="L30" s="45"/>
      <x:c r="M30" s="45"/>
      <x:c r="N30" s="45"/>
      <x:c r="O30" s="45"/>
    </x:row>
    <x:row r="31" ht="26" customHeight="1">
      <x:c r="A31" s="1"/>
      <x:c r="B31" s="1"/>
      <x:c r="C31" s="46" t="str">
        <x:v>MANAGEMENT ACTIONS  ·  USD m</x:v>
      </x:c>
      <x:c r="D31" s="46"/>
      <x:c r="E31" s="46"/>
      <x:c r="F31" s="46"/>
      <x:c r="G31" s="46"/>
      <x:c r="H31" s="46"/>
      <x:c r="I31" s="46"/>
      <x:c r="J31" s="45"/>
      <x:c r="K31" s="45"/>
      <x:c r="L31" s="45"/>
      <x:c r="M31" s="45"/>
      <x:c r="N31" s="45"/>
      <x:c r="O31" s="45"/>
    </x:row>
    <x:row r="32" ht="26" customHeight="1">
      <x:c r="A32" s="1"/>
      <x:c r="B32" s="1"/>
      <x:c r="C32" s="45"/>
      <x:c r="D32" s="45"/>
      <x:c r="E32" s="45"/>
      <x:c r="F32" s="45"/>
      <x:c r="G32" s="45"/>
      <x:c r="H32" s="45"/>
      <x:c r="I32" s="45"/>
      <x:c r="J32" s="45"/>
      <x:c r="K32" s="45"/>
      <x:c r="L32" s="45"/>
      <x:c r="M32" s="45"/>
      <x:c r="N32" s="45"/>
      <x:c r="O32" s="45"/>
    </x:row>
    <x:row r="33" ht="26" customHeight="1">
      <x:c r="A33" s="1"/>
      <x:c r="B33" s="1"/>
      <x:c r="C33" s="45" t="str">
        <x:v>Equity issuance</x:v>
      </x:c>
      <x:c r="D33" s="45"/>
      <x:c r="E33" s="68" t="n">
        <x:f>Bank!G89*Bank!G94</x:f>
        <x:v>0</x:v>
      </x:c>
      <x:c r="F33" s="68" t="n">
        <x:f>Bank!H89*Bank!H94</x:f>
        <x:v>0</x:v>
      </x:c>
      <x:c r="G33" s="68" t="n">
        <x:f>Bank!I89*Bank!I94</x:f>
        <x:v>8</x:v>
      </x:c>
      <x:c r="H33" s="68" t="n">
        <x:f>Bank!J89*Bank!J94</x:f>
        <x:v>0</x:v>
      </x:c>
      <x:c r="I33" s="68" t="n">
        <x:f>Bank!K89*Bank!K94</x:f>
        <x:v>0</x:v>
      </x:c>
      <x:c r="J33" s="45"/>
      <x:c r="K33" s="47" t="str">
        <x:f>IF(Settings!F28="On","Approved actions active","Actions switched off")</x:f>
        <x:v>Approved actions active</x:v>
      </x:c>
      <x:c r="L33" s="45"/>
      <x:c r="M33" s="45"/>
      <x:c r="N33" s="45"/>
      <x:c r="O33" s="45"/>
    </x:row>
    <x:row r="34" ht="26" customHeight="1">
      <x:c r="A34" s="1"/>
      <x:c r="B34" s="1"/>
      <x:c r="C34" s="45" t="str">
        <x:v>Term funding</x:v>
      </x:c>
      <x:c r="D34" s="45"/>
      <x:c r="E34" s="68" t="n">
        <x:f>Bank!G90*Bank!G94</x:f>
        <x:v>0</x:v>
      </x:c>
      <x:c r="F34" s="68" t="n">
        <x:f>Bank!H90*Bank!H94</x:f>
        <x:v>0</x:v>
      </x:c>
      <x:c r="G34" s="68" t="n">
        <x:f>Bank!I90*Bank!I94</x:f>
        <x:v>5</x:v>
      </x:c>
      <x:c r="H34" s="68" t="n">
        <x:f>Bank!J90*Bank!J94</x:f>
        <x:v>0</x:v>
      </x:c>
      <x:c r="I34" s="68" t="n">
        <x:f>Bank!K90*Bank!K94</x:f>
        <x:v>0</x:v>
      </x:c>
      <x:c r="J34" s="45"/>
      <x:c r="K34" s="45"/>
      <x:c r="L34" s="45"/>
      <x:c r="M34" s="45"/>
      <x:c r="N34" s="45"/>
      <x:c r="O34" s="45"/>
    </x:row>
    <x:row r="35" ht="26" customHeight="1">
      <x:c r="A35" s="1"/>
      <x:c r="B35" s="1"/>
      <x:c r="C35" s="45" t="str">
        <x:v>Implementation cost</x:v>
      </x:c>
      <x:c r="D35" s="45"/>
      <x:c r="E35" s="68" t="n">
        <x:f>Bank!G91*Bank!G94</x:f>
        <x:v>0</x:v>
      </x:c>
      <x:c r="F35" s="68" t="n">
        <x:f>Bank!H91*Bank!H94</x:f>
        <x:v>0</x:v>
      </x:c>
      <x:c r="G35" s="68" t="n">
        <x:f>Bank!I91*Bank!I94</x:f>
        <x:v>0.25</x:v>
      </x:c>
      <x:c r="H35" s="68" t="n">
        <x:f>Bank!J91*Bank!J94</x:f>
        <x:v>0</x:v>
      </x:c>
      <x:c r="I35" s="68" t="n">
        <x:f>Bank!K91*Bank!K94</x:f>
        <x:v>0</x:v>
      </x:c>
      <x:c r="J35" s="45"/>
      <x:c r="K35" s="45"/>
      <x:c r="L35" s="45"/>
      <x:c r="M35" s="45"/>
      <x:c r="N35" s="45"/>
      <x:c r="O35" s="45"/>
    </x:row>
    <x:row r="36" ht="26" customHeight="1">
      <x:c r="A36" s="1"/>
      <x:c r="B36" s="1"/>
      <x:c r="C36" s="45"/>
      <x:c r="D36" s="45"/>
      <x:c r="E36" s="45"/>
      <x:c r="F36" s="45"/>
      <x:c r="G36" s="45"/>
      <x:c r="H36" s="45"/>
      <x:c r="I36" s="45"/>
      <x:c r="J36" s="45"/>
      <x:c r="K36" s="45"/>
      <x:c r="L36" s="45"/>
      <x:c r="M36" s="45"/>
      <x:c r="N36" s="45"/>
      <x:c r="O36" s="45"/>
    </x:row>
    <x:row r="37" ht="26" customHeight="1">
      <x:c r="A37" s="1"/>
      <x:c r="B37" s="1"/>
      <x:c r="C37" s="45"/>
      <x:c r="D37" s="45"/>
      <x:c r="E37" s="45"/>
      <x:c r="F37" s="45"/>
      <x:c r="G37" s="45"/>
      <x:c r="H37" s="45"/>
      <x:c r="I37" s="45"/>
      <x:c r="J37" s="45"/>
      <x:c r="K37" s="45"/>
      <x:c r="L37" s="45"/>
      <x:c r="M37" s="45"/>
      <x:c r="N37" s="45"/>
      <x:c r="O37" s="45"/>
    </x:row>
    <x:row r="38" ht="26" customHeight="1">
      <x:c r="A38" s="1"/>
      <x:c r="B38" s="1"/>
      <x:c r="C38" s="45"/>
      <x:c r="D38" s="45"/>
      <x:c r="E38" s="45"/>
      <x:c r="F38" s="45"/>
      <x:c r="G38" s="45"/>
      <x:c r="H38" s="45"/>
      <x:c r="I38" s="45"/>
      <x:c r="J38" s="45"/>
      <x:c r="K38" s="45"/>
      <x:c r="L38" s="45"/>
      <x:c r="M38" s="45"/>
      <x:c r="N38" s="45"/>
      <x:c r="O38" s="45"/>
    </x:row>
    <x:row r="39" ht="26" customHeight="1">
      <x:c r="A39" s="1"/>
      <x:c r="B39" s="1"/>
      <x:c r="C39" s="45"/>
      <x:c r="D39" s="45"/>
      <x:c r="E39" s="45"/>
      <x:c r="F39" s="45"/>
      <x:c r="G39" s="45"/>
      <x:c r="H39" s="45"/>
      <x:c r="I39" s="45"/>
      <x:c r="J39" s="45"/>
      <x:c r="K39" s="45"/>
      <x:c r="L39" s="45"/>
      <x:c r="M39" s="45"/>
      <x:c r="N39" s="45"/>
      <x:c r="O39" s="45"/>
    </x:row>
    <x:row r="40" ht="26" customHeight="1">
      <x:c r="A40" s="1"/>
      <x:c r="B40" s="1"/>
      <x:c r="C40" s="45"/>
      <x:c r="D40" s="45"/>
      <x:c r="E40" s="45"/>
      <x:c r="F40" s="45"/>
      <x:c r="G40" s="45"/>
      <x:c r="H40" s="45"/>
      <x:c r="I40" s="45"/>
      <x:c r="J40" s="45"/>
      <x:c r="K40" s="45"/>
      <x:c r="L40" s="45"/>
      <x:c r="M40" s="45"/>
      <x:c r="N40" s="45"/>
      <x:c r="O40" s="45"/>
    </x:row>
    <x:row r="41" ht="26" customHeight="1">
      <x:c r="A41" s="1"/>
      <x:c r="B41" s="1"/>
      <x:c r="C41" s="45"/>
      <x:c r="D41" s="45"/>
      <x:c r="E41" s="45"/>
      <x:c r="F41" s="45"/>
      <x:c r="G41" s="45"/>
      <x:c r="H41" s="45"/>
      <x:c r="I41" s="45"/>
      <x:c r="J41" s="45"/>
      <x:c r="K41" s="45"/>
      <x:c r="L41" s="45"/>
      <x:c r="M41" s="45"/>
      <x:c r="N41" s="45"/>
      <x:c r="O41" s="45"/>
    </x:row>
    <x:row r="42" ht="26" customHeight="1">
      <x:c r="A42" s="1"/>
      <x:c r="B42" s="1"/>
      <x:c r="C42" s="45"/>
      <x:c r="D42" s="45"/>
      <x:c r="E42" s="45"/>
      <x:c r="F42" s="45"/>
      <x:c r="G42" s="45"/>
      <x:c r="H42" s="45"/>
      <x:c r="I42" s="45"/>
      <x:c r="J42" s="45"/>
      <x:c r="K42" s="45"/>
      <x:c r="L42" s="45"/>
      <x:c r="M42" s="45"/>
      <x:c r="N42" s="45"/>
      <x:c r="O42" s="45"/>
    </x:row>
    <x:row r="43" ht="26" customHeight="1">
      <x:c r="A43" s="1"/>
      <x:c r="B43" s="1"/>
      <x:c r="C43" s="45"/>
      <x:c r="D43" s="45"/>
      <x:c r="E43" s="45"/>
      <x:c r="F43" s="45"/>
      <x:c r="G43" s="45"/>
      <x:c r="H43" s="45"/>
      <x:c r="I43" s="45"/>
      <x:c r="J43" s="45"/>
      <x:c r="K43" s="45"/>
      <x:c r="L43" s="45"/>
      <x:c r="M43" s="45"/>
      <x:c r="N43" s="45"/>
      <x:c r="O43" s="45"/>
    </x:row>
    <x:row r="44" ht="26" customHeight="1">
      <x:c r="A44" s="1"/>
      <x:c r="B44" s="1"/>
      <x:c r="C44" s="45"/>
      <x:c r="D44" s="45"/>
      <x:c r="E44" s="45"/>
      <x:c r="F44" s="45"/>
      <x:c r="G44" s="45"/>
      <x:c r="H44" s="45"/>
      <x:c r="I44" s="45"/>
      <x:c r="J44" s="45"/>
      <x:c r="K44" s="45"/>
      <x:c r="L44" s="45"/>
      <x:c r="M44" s="45"/>
      <x:c r="N44" s="45"/>
      <x:c r="O44" s="45"/>
    </x:row>
    <x:row r="45" ht="26" customHeight="1">
      <x:c r="A45" s="1"/>
      <x:c r="B45" s="1"/>
      <x:c r="C45" s="45"/>
      <x:c r="D45" s="45"/>
      <x:c r="E45" s="45"/>
      <x:c r="F45" s="45"/>
      <x:c r="G45" s="45"/>
      <x:c r="H45" s="45"/>
      <x:c r="I45" s="45"/>
      <x:c r="J45" s="45"/>
      <x:c r="K45" s="45"/>
      <x:c r="L45" s="45"/>
      <x:c r="M45" s="45"/>
      <x:c r="N45" s="45"/>
      <x:c r="O45" s="45"/>
    </x:row>
    <x:row r="46" ht="26" customHeight="1">
      <x:c r="A46" s="1"/>
      <x:c r="B46" s="1"/>
      <x:c r="C46" s="45"/>
      <x:c r="D46" s="45"/>
      <x:c r="E46" s="45"/>
      <x:c r="F46" s="45"/>
      <x:c r="G46" s="45"/>
      <x:c r="H46" s="45"/>
      <x:c r="I46" s="45"/>
      <x:c r="J46" s="45"/>
      <x:c r="K46" s="45"/>
      <x:c r="L46" s="45"/>
      <x:c r="M46" s="45"/>
      <x:c r="N46" s="45"/>
      <x:c r="O46" s="45"/>
    </x:row>
    <x:row r="47" ht="26" customHeight="1">
      <x:c r="A47" s="1"/>
      <x:c r="B47" s="1"/>
      <x:c r="C47" s="45"/>
      <x:c r="D47" s="45"/>
      <x:c r="E47" s="45"/>
      <x:c r="F47" s="45"/>
      <x:c r="G47" s="45"/>
      <x:c r="H47" s="45"/>
      <x:c r="I47" s="45"/>
      <x:c r="J47" s="45"/>
      <x:c r="K47" s="45"/>
      <x:c r="L47" s="45"/>
      <x:c r="M47" s="45"/>
      <x:c r="N47" s="45"/>
      <x:c r="O47" s="45"/>
    </x:row>
    <x:row r="48" ht="26" customHeight="1">
      <x:c r="A48" s="1"/>
      <x:c r="B48" s="1"/>
      <x:c r="C48" s="45"/>
      <x:c r="D48" s="45"/>
      <x:c r="E48" s="45"/>
      <x:c r="F48" s="45"/>
      <x:c r="G48" s="45"/>
      <x:c r="H48" s="45"/>
      <x:c r="I48" s="45"/>
      <x:c r="J48" s="45"/>
      <x:c r="K48" s="45" t="str">
        <x:v>Year</x:v>
      </x:c>
      <x:c r="L48" s="45" t="str">
        <x:v>After actions</x:v>
      </x:c>
      <x:c r="M48" s="45" t="str">
        <x:v>Before actions</x:v>
      </x:c>
      <x:c r="N48" s="45" t="str">
        <x:v>Internal target</x:v>
      </x:c>
      <x:c r="O48" s="45"/>
    </x:row>
    <x:row r="49" ht="26" customHeight="1">
      <x:c r="A49" s="1"/>
      <x:c r="B49" s="1"/>
      <x:c r="C49" s="45"/>
      <x:c r="D49" s="45"/>
      <x:c r="E49" s="45"/>
      <x:c r="F49" s="45"/>
      <x:c r="G49" s="45"/>
      <x:c r="H49" s="45"/>
      <x:c r="I49" s="45"/>
      <x:c r="J49" s="45"/>
      <x:c r="K49" s="45" t="n">
        <x:f>Bank!G8</x:f>
        <x:v>2027</x:v>
      </x:c>
      <x:c r="L49" s="45" t="n">
        <x:f>Bank!G40/Bank!G46</x:f>
        <x:v>0.16468913402630928</x:v>
      </x:c>
      <x:c r="M49" s="45" t="n">
        <x:f>Bank!G39/Bank!G46</x:f>
        <x:v>0.16468913402630928</x:v>
      </x:c>
      <x:c r="N49" s="45" t="n">
        <x:f>Settings!F23</x:f>
        <x:v>0.09</x:v>
      </x:c>
      <x:c r="O49" s="45"/>
    </x:row>
    <x:row r="50" ht="26" customHeight="1">
      <x:c r="A50" s="1"/>
      <x:c r="B50" s="1"/>
      <x:c r="C50" s="45"/>
      <x:c r="D50" s="45"/>
      <x:c r="E50" s="45"/>
      <x:c r="F50" s="45"/>
      <x:c r="G50" s="45"/>
      <x:c r="H50" s="45"/>
      <x:c r="I50" s="45"/>
      <x:c r="J50" s="45"/>
      <x:c r="K50" s="45" t="n">
        <x:f>Bank!H8</x:f>
        <x:v>2028</x:v>
      </x:c>
      <x:c r="L50" s="45" t="n">
        <x:f>Bank!H40/Bank!H46</x:f>
        <x:v>0.20481880292646737</x:v>
      </x:c>
      <x:c r="M50" s="45" t="n">
        <x:f>Bank!H39/Bank!H46</x:f>
        <x:v>0.20481880292646737</x:v>
      </x:c>
      <x:c r="N50" s="45" t="n">
        <x:f>Settings!F23</x:f>
        <x:v>0.09</x:v>
      </x:c>
      <x:c r="O50" s="45"/>
    </x:row>
    <x:row r="51" ht="26" customHeight="1">
      <x:c r="A51" s="1"/>
      <x:c r="B51" s="1"/>
      <x:c r="C51" s="45"/>
      <x:c r="D51" s="45"/>
      <x:c r="E51" s="45"/>
      <x:c r="F51" s="45"/>
      <x:c r="G51" s="45"/>
      <x:c r="H51" s="45"/>
      <x:c r="I51" s="45"/>
      <x:c r="J51" s="45"/>
      <x:c r="K51" s="45" t="n">
        <x:f>Bank!I8</x:f>
        <x:v>2029</x:v>
      </x:c>
      <x:c r="L51" s="45" t="n">
        <x:f>Bank!I40/Bank!I46</x:f>
        <x:v>0.2095399363728992</x:v>
      </x:c>
      <x:c r="M51" s="45" t="n">
        <x:f>Bank!I39/Bank!I46</x:f>
        <x:v>0.18006391033758443</x:v>
      </x:c>
      <x:c r="N51" s="45" t="n">
        <x:f>Settings!F23</x:f>
        <x:v>0.09</x:v>
      </x:c>
      <x:c r="O51" s="45"/>
    </x:row>
    <x:row r="52" ht="26" customHeight="1">
      <x:c r="A52" s="1"/>
      <x:c r="B52" s="1"/>
      <x:c r="C52" s="45"/>
      <x:c r="D52" s="45"/>
      <x:c r="E52" s="45"/>
      <x:c r="F52" s="45"/>
      <x:c r="G52" s="45"/>
      <x:c r="H52" s="45"/>
      <x:c r="I52" s="45"/>
      <x:c r="J52" s="45"/>
      <x:c r="K52" s="45" t="n">
        <x:f>Bank!J8</x:f>
        <x:v>2030</x:v>
      </x:c>
      <x:c r="L52" s="45" t="n">
        <x:f>Bank!J40/Bank!J46</x:f>
        <x:v>0.24259646014426214</x:v>
      </x:c>
      <x:c r="M52" s="45" t="n">
        <x:f>Bank!J39/Bank!J46</x:f>
        <x:v>0.21086179918700834</x:v>
      </x:c>
      <x:c r="N52" s="45" t="n">
        <x:f>Settings!F23</x:f>
        <x:v>0.09</x:v>
      </x:c>
      <x:c r="O52" s="45"/>
    </x:row>
    <x:row r="53" ht="26" customHeight="1">
      <x:c r="A53" s="1"/>
      <x:c r="B53" s="1"/>
      <x:c r="C53" s="45"/>
      <x:c r="D53" s="45"/>
      <x:c r="E53" s="45"/>
      <x:c r="F53" s="45"/>
      <x:c r="G53" s="45"/>
      <x:c r="H53" s="45"/>
      <x:c r="I53" s="45"/>
      <x:c r="J53" s="45"/>
      <x:c r="K53" s="45" t="n">
        <x:f>Bank!K8</x:f>
        <x:v>2031</x:v>
      </x:c>
      <x:c r="L53" s="45" t="n">
        <x:f>Bank!K40/Bank!K46</x:f>
        <x:v>0.35561375077834556</x:v>
      </x:c>
      <x:c r="M53" s="45" t="n">
        <x:f>Bank!K39/Bank!K46</x:f>
        <x:v>0.31157481308510626</x:v>
      </x:c>
      <x:c r="N53" s="45" t="n">
        <x:f>Settings!F23</x:f>
        <x:v>0.09</x:v>
      </x:c>
      <x:c r="O53" s="45"/>
    </x:row>
    <x:row r="54" ht="26" customHeight="1">
      <x:c r="A54" s="1"/>
      <x:c r="B54" s="1"/>
      <x:c r="C54" s="45"/>
      <x:c r="D54" s="45"/>
      <x:c r="E54" s="45"/>
      <x:c r="F54" s="45"/>
      <x:c r="G54" s="45"/>
      <x:c r="H54" s="45"/>
      <x:c r="I54" s="45"/>
      <x:c r="J54" s="45"/>
      <x:c r="K54" s="45"/>
      <x:c r="L54" s="45"/>
      <x:c r="M54" s="45"/>
      <x:c r="N54" s="45"/>
      <x:c r="O54" s="45"/>
    </x:row>
    <x:row r="55" ht="26" customHeight="1">
      <x:c r="A55" s="1"/>
      <x:c r="B55" s="1"/>
      <x:c r="C55" s="45"/>
      <x:c r="D55" s="45"/>
      <x:c r="E55" s="45"/>
      <x:c r="F55" s="45"/>
      <x:c r="G55" s="45"/>
      <x:c r="H55" s="45"/>
      <x:c r="I55" s="45"/>
      <x:c r="J55" s="45"/>
      <x:c r="K55" s="45"/>
      <x:c r="L55" s="45"/>
      <x:c r="M55" s="45"/>
      <x:c r="N55" s="45"/>
      <x:c r="O55" s="45"/>
    </x:row>
    <x:row r="56" ht="26" customHeight="1">
      <x:c r="A56" s="1"/>
      <x:c r="B56" s="1"/>
      <x:c r="C56" s="45"/>
      <x:c r="D56" s="45"/>
      <x:c r="E56" s="45"/>
      <x:c r="F56" s="45"/>
      <x:c r="G56" s="45"/>
      <x:c r="H56" s="45"/>
      <x:c r="I56" s="45"/>
      <x:c r="J56" s="45"/>
      <x:c r="K56" s="45"/>
      <x:c r="L56" s="45"/>
      <x:c r="M56" s="45"/>
      <x:c r="N56" s="45"/>
      <x:c r="O56" s="45"/>
    </x:row>
    <x:row r="57" ht="26" customHeight="1">
      <x:c r="A57" s="1"/>
      <x:c r="B57" s="1"/>
      <x:c r="C57" s="45"/>
      <x:c r="D57" s="45"/>
      <x:c r="E57" s="45"/>
      <x:c r="F57" s="45"/>
      <x:c r="G57" s="45"/>
      <x:c r="H57" s="45"/>
      <x:c r="I57" s="45"/>
      <x:c r="J57" s="45"/>
      <x:c r="K57" s="45"/>
      <x:c r="L57" s="45"/>
      <x:c r="M57" s="45"/>
      <x:c r="N57" s="45"/>
      <x:c r="O57" s="45"/>
    </x:row>
    <x:row r="58" ht="26" customHeight="1">
      <x:c r="A58" s="1"/>
      <x:c r="B58" s="1"/>
      <x:c r="C58" s="45"/>
      <x:c r="D58" s="45"/>
      <x:c r="E58" s="45"/>
      <x:c r="F58" s="45"/>
      <x:c r="G58" s="45"/>
      <x:c r="H58" s="45"/>
      <x:c r="I58" s="45"/>
      <x:c r="J58" s="45"/>
      <x:c r="K58" s="45"/>
      <x:c r="L58" s="45"/>
      <x:c r="M58" s="45"/>
      <x:c r="N58" s="45"/>
      <x:c r="O58" s="45"/>
    </x:row>
    <x:row r="59" ht="26" customHeight="1">
      <x:c r="A59" s="1"/>
      <x:c r="B59" s="1"/>
      <x:c r="C59" s="45"/>
      <x:c r="D59" s="45"/>
      <x:c r="E59" s="45"/>
      <x:c r="F59" s="45"/>
      <x:c r="G59" s="45"/>
      <x:c r="H59" s="45"/>
      <x:c r="I59" s="45"/>
      <x:c r="J59" s="45"/>
      <x:c r="K59" s="45"/>
      <x:c r="L59" s="45"/>
      <x:c r="M59" s="45"/>
      <x:c r="N59" s="45"/>
      <x:c r="O59" s="45"/>
    </x:row>
    <x:row r="60" ht="26" customHeight="1">
      <x:c r="A60" s="1"/>
      <x:c r="B60" s="1"/>
      <x:c r="C60" s="45"/>
      <x:c r="D60" s="45"/>
      <x:c r="E60" s="45"/>
      <x:c r="F60" s="45"/>
      <x:c r="G60" s="45"/>
      <x:c r="H60" s="45"/>
      <x:c r="I60" s="45"/>
      <x:c r="J60" s="45"/>
      <x:c r="K60" s="45"/>
      <x:c r="L60" s="45"/>
      <x:c r="M60" s="45"/>
      <x:c r="N60" s="45"/>
      <x:c r="O60" s="45"/>
    </x:row>
    <x:row r="61" ht="26" customHeight="1">
      <x:c r="A61" s="1"/>
      <x:c r="B61" s="1"/>
      <x:c r="C61" s="45"/>
      <x:c r="D61" s="45"/>
      <x:c r="E61" s="45"/>
      <x:c r="F61" s="45"/>
      <x:c r="G61" s="45"/>
      <x:c r="H61" s="45"/>
      <x:c r="I61" s="45"/>
      <x:c r="J61" s="45"/>
      <x:c r="K61" s="45"/>
      <x:c r="L61" s="45"/>
      <x:c r="M61" s="45"/>
      <x:c r="N61" s="45"/>
      <x:c r="O61" s="45"/>
    </x:row>
    <x:row r="62" ht="26" customHeight="1">
      <x:c r="A62" s="1"/>
      <x:c r="B62" s="1"/>
      <x:c r="C62" s="45"/>
      <x:c r="D62" s="45"/>
      <x:c r="E62" s="45"/>
      <x:c r="F62" s="45"/>
      <x:c r="G62" s="45"/>
      <x:c r="H62" s="45"/>
      <x:c r="I62" s="45"/>
      <x:c r="J62" s="45"/>
      <x:c r="K62" s="45"/>
      <x:c r="L62" s="45"/>
      <x:c r="M62" s="45"/>
      <x:c r="N62" s="45"/>
      <x:c r="O62" s="45"/>
    </x:row>
    <x:row r="63" ht="26" customHeight="1">
      <x:c r="A63" s="1"/>
      <x:c r="B63" s="1"/>
      <x:c r="C63" s="45"/>
      <x:c r="D63" s="45"/>
      <x:c r="E63" s="45"/>
      <x:c r="F63" s="45"/>
      <x:c r="G63" s="45"/>
      <x:c r="H63" s="45"/>
      <x:c r="I63" s="45"/>
      <x:c r="J63" s="45"/>
      <x:c r="K63" s="45"/>
      <x:c r="L63" s="45"/>
      <x:c r="M63" s="45"/>
      <x:c r="N63" s="45"/>
      <x:c r="O63" s="45"/>
    </x:row>
    <x:row r="64" ht="26" customHeight="1">
      <x:c r="A64" s="1"/>
      <x:c r="B64" s="1"/>
      <x:c r="C64" s="45"/>
      <x:c r="D64" s="45"/>
      <x:c r="E64" s="45"/>
      <x:c r="F64" s="45"/>
      <x:c r="G64" s="45"/>
      <x:c r="H64" s="45"/>
      <x:c r="I64" s="45"/>
      <x:c r="J64" s="45"/>
      <x:c r="K64" s="45"/>
      <x:c r="L64" s="45"/>
      <x:c r="M64" s="45"/>
      <x:c r="N64" s="45"/>
      <x:c r="O64" s="45"/>
    </x:row>
    <x:row r="65" ht="26" customHeight="1">
      <x:c r="A65" s="1"/>
      <x:c r="B65" s="1"/>
      <x:c r="C65" s="45"/>
      <x:c r="D65" s="45"/>
      <x:c r="E65" s="45"/>
      <x:c r="F65" s="45"/>
      <x:c r="G65" s="45"/>
      <x:c r="H65" s="45"/>
      <x:c r="I65" s="45"/>
      <x:c r="J65" s="45"/>
      <x:c r="K65" s="45"/>
      <x:c r="L65" s="45"/>
      <x:c r="M65" s="45"/>
      <x:c r="N65" s="45"/>
      <x:c r="O65" s="45"/>
    </x:row>
    <x:row r="66" ht="26" customHeight="1">
      <x:c r="A66" s="1"/>
      <x:c r="B66" s="1"/>
      <x:c r="C66" s="45"/>
      <x:c r="D66" s="45"/>
      <x:c r="E66" s="45"/>
      <x:c r="F66" s="45"/>
      <x:c r="G66" s="45"/>
      <x:c r="H66" s="45"/>
      <x:c r="I66" s="45"/>
      <x:c r="J66" s="45"/>
      <x:c r="K66" s="45"/>
      <x:c r="L66" s="45"/>
      <x:c r="M66" s="45"/>
      <x:c r="N66" s="45"/>
      <x:c r="O66" s="45"/>
    </x:row>
    <x:row r="67" ht="26" customHeight="1">
      <x:c r="A67" s="1"/>
      <x:c r="B67" s="1"/>
      <x:c r="C67" s="45"/>
      <x:c r="D67" s="45"/>
      <x:c r="E67" s="45"/>
      <x:c r="F67" s="45"/>
      <x:c r="G67" s="45"/>
      <x:c r="H67" s="45"/>
      <x:c r="I67" s="45"/>
      <x:c r="J67" s="45"/>
      <x:c r="K67" s="45"/>
      <x:c r="L67" s="45"/>
      <x:c r="M67" s="45"/>
      <x:c r="N67" s="45"/>
      <x:c r="O67" s="45"/>
    </x:row>
    <x:row r="68" ht="26" customHeight="1">
      <x:c r="A68" s="1"/>
      <x:c r="B68" s="1"/>
      <x:c r="C68" s="45"/>
      <x:c r="D68" s="45"/>
      <x:c r="E68" s="45"/>
      <x:c r="F68" s="45"/>
      <x:c r="G68" s="45"/>
      <x:c r="H68" s="45"/>
      <x:c r="I68" s="45"/>
      <x:c r="J68" s="45"/>
      <x:c r="K68" s="45"/>
      <x:c r="L68" s="45"/>
      <x:c r="M68" s="45"/>
      <x:c r="N68" s="45"/>
      <x:c r="O68" s="45"/>
    </x:row>
    <x:row r="69" ht="26" customHeight="1">
      <x:c r="A69" s="1"/>
      <x:c r="B69" s="1"/>
      <x:c r="C69" s="45"/>
      <x:c r="D69" s="45"/>
      <x:c r="E69" s="45"/>
      <x:c r="F69" s="45"/>
      <x:c r="G69" s="45"/>
      <x:c r="H69" s="45"/>
      <x:c r="I69" s="45"/>
      <x:c r="J69" s="45"/>
      <x:c r="K69" s="45"/>
      <x:c r="L69" s="45"/>
      <x:c r="M69" s="45"/>
      <x:c r="N69" s="45"/>
      <x:c r="O69" s="45"/>
    </x:row>
    <x:row r="70" ht="26" customHeight="1">
      <x:c r="A70" s="1"/>
      <x:c r="B70" s="1"/>
      <x:c r="C70" s="45"/>
      <x:c r="D70" s="45"/>
      <x:c r="E70" s="45"/>
      <x:c r="F70" s="45"/>
      <x:c r="G70" s="45"/>
      <x:c r="H70" s="45"/>
      <x:c r="I70" s="45"/>
      <x:c r="J70" s="45"/>
      <x:c r="K70" s="45"/>
      <x:c r="L70" s="45"/>
      <x:c r="M70" s="45"/>
      <x:c r="N70" s="45"/>
      <x:c r="O70" s="45"/>
    </x:row>
  </x:sheetData>
  <x:mergeCells>
    <x:mergeCell ref="C2:H2"/>
    <x:mergeCell ref="C3:M3"/>
    <x:mergeCell ref="C8:D8"/>
    <x:mergeCell ref="C9:D9"/>
    <x:mergeCell ref="C10:D10"/>
    <x:mergeCell ref="C11:D11"/>
    <x:mergeCell ref="C13:D13"/>
    <x:mergeCell ref="C14:D14"/>
    <x:mergeCell ref="C15:D15"/>
    <x:mergeCell ref="C17:D17"/>
    <x:mergeCell ref="C18:D18"/>
    <x:mergeCell ref="C20:D20"/>
    <x:mergeCell ref="C21:D21"/>
    <x:mergeCell ref="C23:D23"/>
    <x:mergeCell ref="C24:D24"/>
    <x:mergeCell ref="C27:F28"/>
    <x:mergeCell ref="G27:J28"/>
    <x:mergeCell ref="K27:O28"/>
    <x:mergeCell ref="C31:I31"/>
    <x:mergeCell ref="C33:D33"/>
    <x:mergeCell ref="C34:D34"/>
    <x:mergeCell ref="C35:D35"/>
    <x:mergeCell ref="K33:O36"/>
    <x:mergeCell ref="C1:D1"/>
    <x:mergeCell ref="E1:F1"/>
    <x:mergeCell ref="G1:H1"/>
    <x:mergeCell ref="I1:J1"/>
    <x:mergeCell ref="K1:L1"/>
    <x:mergeCell ref="M1:N1"/>
  </x:mergeCells>
  <x:conditionalFormatting sqref="E23:I24">
    <x:cfRule type="containsText" dxfId="544" priority="1" operator="containsText" text="Missing"/>
    <x:cfRule type="containsText" dxfId="545" priority="2" operator="containsText" text="Required"/>
    <x:cfRule type="containsText" dxfId="546" priority="3" operator="containsText" text="required"/>
    <x:cfRule type="containsText" dxfId="547" priority="4" operator="containsText" text="Expired"/>
    <x:cfRule type="containsText" dxfId="548" priority="5" operator="containsText" text="Hold"/>
    <x:cfRule type="containsText" dxfId="549" priority="6" operator="containsText" text="Review"/>
    <x:cfRule type="containsText" dxfId="550" priority="7" operator="containsText" text="Incomplete"/>
    <x:cfRule type="containsText" dxfId="551" priority="8" operator="containsText" text="Pending"/>
    <x:cfRule type="containsText" dxfId="552" priority="9" operator="containsText" text="Unsupported"/>
    <x:cfRule type="containsText" dxfId="553" priority="10" operator="containsText" text="Criteria"/>
    <x:cfRule type="containsText" dxfId="554" priority="11" operator="containsText" text="Fail"/>
    <x:cfRule type="containsText" dxfId="555" priority="12" operator="containsText" text="Stop"/>
    <x:cfRule type="containsText" dxfId="556" priority="13" operator="containsText" text="Breach"/>
    <x:cfRule type="containsText" dxfId="557" priority="14" operator="containsText" text="Invalid"/>
    <x:cfRule type="containsText" dxfId="558" priority="15" operator="containsText" text="Duplicate"/>
    <x:cfRule type="containsText" dxfId="559" priority="16" operator="containsText" text="Not aligned"/>
  </x:conditionalFormatting>
  <x:hyperlinks>
    <x:hyperlink ref="C27" location="'Bank'!C88" display="Approve management actions" tooltip="Open Bank"/>
    <x:hyperlink ref="G27" location="'Scenario Paths'!C8" display="Edit stress paths" tooltip="Open Scenario Paths"/>
    <x:hyperlink ref="K27" location="'Bank'!C8" display="Inspect bank financials" tooltip="Open Bank"/>
    <x:hyperlink ref="C1" location="'Overview'!C2" display="Home" tooltip="Open Overview"/>
    <x:hyperlink ref="E1" location="'Customer'!C2" display="Customer" tooltip="Open Customer"/>
    <x:hyperlink ref="G1" location="'Capital'!C2" display="Capital" tooltip="Open Capital"/>
    <x:hyperlink ref="I1" location="'Disclosures'!C2" display="Reporting" tooltip="Open Disclosures"/>
    <x:hyperlink ref="K1" location="'Borrowers'!C8" display="Inputs" tooltip="Open Borrowers"/>
    <x:hyperlink ref="M1" location="'Settings'!C5" display="Settings" tooltip="Open Settings"/>
  </x:hyperlinks>
  <x:pageMargins left="0.7" right="0.7" top="0.75" bottom="0.75" header="0.3" footer="0.3"/>
  <x:drawing xmlns:r="http://schemas.openxmlformats.org/officeDocument/2006/relationships" r:id="R373f5b0cef474f91"/>
</x:worksheet>
</file>

<file path=xl/worksheets/sheet6.xml><?xml version="1.0" encoding="utf-8"?>
<x:worksheet xmlns:x="http://schemas.openxmlformats.org/spreadsheetml/2006/main">
  <x:sheetPr>
    <x:tabColor rgb="FF102D42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.4000000953674316" hidden="0" customWidth="1"/>
    <x:col min="2" max="2" width="2.4000000953674316" hidden="0" customWidth="1"/>
    <x:col min="3" max="3" width="10.5" hidden="0" customWidth="1"/>
    <x:col min="4" max="4" width="10.5" hidden="0" customWidth="1"/>
    <x:col min="5" max="5" width="10.5" hidden="0" customWidth="1"/>
    <x:col min="6" max="6" width="10.5" hidden="0" customWidth="1"/>
    <x:col min="7" max="7" width="10.5" hidden="0" customWidth="1"/>
    <x:col min="8" max="8" width="10.5" hidden="0" customWidth="1"/>
    <x:col min="9" max="9" width="10.5" hidden="0" customWidth="1"/>
    <x:col min="10" max="10" width="10.5" hidden="0" customWidth="1"/>
    <x:col min="11" max="11" width="10.5" hidden="0" customWidth="1"/>
    <x:col min="12" max="12" width="10.5" hidden="0" customWidth="1"/>
    <x:col min="13" max="13" width="10.5" hidden="0" customWidth="1"/>
    <x:col min="14" max="14" width="10.5" hidden="0" customWidth="1"/>
    <x:col min="15" max="15" width="10.5" hidden="0" customWidth="1"/>
  </x:cols>
  <x:sheetData>
    <x:row r="1" ht="27" customHeight="1">
      <x:c r="A1" s="1"/>
      <x:c r="B1" s="1"/>
      <x:c r="C1" s="50" t="str">
        <x:v>Home</x:v>
      </x:c>
      <x:c r="D1" s="50"/>
      <x:c r="E1" s="63" t="str">
        <x:v>Customer</x:v>
      </x:c>
      <x:c r="F1" s="63"/>
      <x:c r="G1" s="63" t="str">
        <x:v>Capital</x:v>
      </x:c>
      <x:c r="H1" s="63"/>
      <x:c r="I1" s="63" t="str">
        <x:v>Reporting</x:v>
      </x:c>
      <x:c r="J1" s="63"/>
      <x:c r="K1" s="63" t="str">
        <x:v>Inputs</x:v>
      </x:c>
      <x:c r="L1" s="63"/>
      <x:c r="M1" s="63" t="str">
        <x:v>Settings</x:v>
      </x:c>
      <x:c r="N1" s="63"/>
      <x:c r="O1" s="3"/>
    </x:row>
    <x:row r="2" ht="45" customHeight="1">
      <x:c r="A2" s="1"/>
      <x:c r="B2" s="1"/>
      <x:c r="C2" s="5" t="str">
        <x:v>Disclosure workspace</x:v>
      </x:c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</x:row>
    <x:row r="3" ht="32" customHeight="1">
      <x:c r="A3" s="1"/>
      <x:c r="B3" s="1"/>
      <x:c r="C3" s="6" t="str">
        <x:v>Prepared indicators with coverage and applicability. Review the national templates before filing.</x:v>
      </x:c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3"/>
      <x:c r="O3" s="3"/>
    </x:row>
    <x:row r="4" ht="26" customHeight="1">
      <x:c r="A4" s="1"/>
      <x:c r="B4" s="1"/>
      <x:c r="C4" s="45"/>
      <x:c r="D4" s="45"/>
      <x:c r="E4" s="45"/>
      <x:c r="F4" s="45"/>
      <x:c r="G4" s="45"/>
      <x:c r="H4" s="45"/>
      <x:c r="I4" s="45"/>
      <x:c r="J4" s="45"/>
      <x:c r="K4" s="45"/>
      <x:c r="L4" s="45"/>
      <x:c r="M4" s="45"/>
      <x:c r="N4" s="45"/>
      <x:c r="O4" s="45"/>
    </x:row>
    <x:row r="5" ht="26" customHeight="1">
      <x:c r="A5" s="1"/>
      <x:c r="B5" s="1"/>
      <x:c r="C5" s="47" t="str">
        <x:f>Settings!F9&amp;" profile"</x:f>
        <x:v>Egypt profile</x:v>
      </x:c>
      <x:c r="D5" s="45"/>
      <x:c r="E5" s="45"/>
      <x:c r="F5" s="45"/>
      <x:c r="G5" s="47" t="str">
        <x:f>Settings!F11</x:f>
        <x:v>Internal criteria</x:v>
      </x:c>
      <x:c r="H5" s="45"/>
      <x:c r="I5" s="45"/>
      <x:c r="J5" s="45"/>
      <x:c r="K5" s="45"/>
      <x:c r="L5" s="50" t="str">
        <x:v>Edit profile</x:v>
      </x:c>
      <x:c r="M5" s="50"/>
      <x:c r="N5" s="50"/>
      <x:c r="O5" s="50"/>
    </x:row>
    <x:row r="6" ht="26" customHeight="1">
      <x:c r="A6" s="1"/>
      <x:c r="B6" s="1"/>
      <x:c r="C6" s="45"/>
      <x:c r="D6" s="45"/>
      <x:c r="E6" s="45"/>
      <x:c r="F6" s="45"/>
      <x:c r="G6" s="45"/>
      <x:c r="H6" s="45"/>
      <x:c r="I6" s="45"/>
      <x:c r="J6" s="45"/>
      <x:c r="K6" s="45"/>
      <x:c r="L6" s="45"/>
      <x:c r="M6" s="45"/>
      <x:c r="N6" s="45"/>
      <x:c r="O6" s="45"/>
    </x:row>
    <x:row r="7" ht="26" customHeight="1">
      <x:c r="A7" s="1"/>
      <x:c r="B7" s="1"/>
      <x:c r="C7" s="45"/>
      <x:c r="D7" s="45"/>
      <x:c r="E7" s="45"/>
      <x:c r="F7" s="45"/>
      <x:c r="G7" s="45"/>
      <x:c r="H7" s="45"/>
      <x:c r="I7" s="45"/>
      <x:c r="J7" s="45"/>
      <x:c r="K7" s="45"/>
      <x:c r="L7" s="45"/>
      <x:c r="M7" s="45"/>
      <x:c r="N7" s="45"/>
      <x:c r="O7" s="45"/>
    </x:row>
    <x:row r="8" ht="26" customHeight="1">
      <x:c r="A8" s="1"/>
      <x:c r="B8" s="1"/>
      <x:c r="C8" s="52" t="str">
        <x:v>Gross loans</x:v>
      </x:c>
      <x:c r="D8" s="52"/>
      <x:c r="E8" s="52"/>
      <x:c r="F8" s="52"/>
      <x:c r="G8" s="52"/>
      <x:c r="H8" s="52" t="str">
        <x:v>USD m</x:v>
      </x:c>
      <x:c r="I8" s="52"/>
      <x:c r="J8" s="52"/>
      <x:c r="K8" s="70" t="n">
        <x:f>IF(Bank!$F$103="Ready",Bank!F25,"Unavailable")</x:f>
        <x:v>269.7</x:v>
      </x:c>
      <x:c r="L8" s="70"/>
      <x:c r="M8" s="70"/>
      <x:c r="N8" s="70"/>
      <x:c r="O8" s="70"/>
    </x:row>
    <x:row r="9" ht="26" customHeight="1">
      <x:c r="A9" s="1"/>
      <x:c r="B9" s="1"/>
      <x:c r="C9" s="52" t="str">
        <x:v>Reporting ECL</x:v>
      </x:c>
      <x:c r="D9" s="52"/>
      <x:c r="E9" s="52"/>
      <x:c r="F9" s="52"/>
      <x:c r="G9" s="52"/>
      <x:c r="H9" s="52" t="str">
        <x:v>USD m</x:v>
      </x:c>
      <x:c r="I9" s="52"/>
      <x:c r="J9" s="52"/>
      <x:c r="K9" s="70" t="n">
        <x:f>IF(Bank!$F$103="Ready",SUM(ECL!AD9:AD108),"Unavailable")</x:f>
        <x:v>14.373489786299864</x:v>
      </x:c>
      <x:c r="L9" s="70"/>
      <x:c r="M9" s="70"/>
      <x:c r="N9" s="70"/>
      <x:c r="O9" s="70"/>
    </x:row>
    <x:row r="10" ht="26" customHeight="1">
      <x:c r="A10" s="1"/>
      <x:c r="B10" s="1"/>
      <x:c r="C10" s="52" t="str">
        <x:v>Eligible / Green financing</x:v>
      </x:c>
      <x:c r="D10" s="52"/>
      <x:c r="E10" s="52"/>
      <x:c r="F10" s="52"/>
      <x:c r="G10" s="52"/>
      <x:c r="H10" s="52" t="str">
        <x:v>USD m</x:v>
      </x:c>
      <x:c r="I10" s="52"/>
      <x:c r="J10" s="52"/>
      <x:c r="K10" s="70" t="n">
        <x:f>'Taxonomy'!H5</x:f>
        <x:v>16.12</x:v>
      </x:c>
      <x:c r="L10" s="70"/>
      <x:c r="M10" s="70"/>
      <x:c r="N10" s="70"/>
      <x:c r="O10" s="70"/>
    </x:row>
    <x:row r="11" ht="26" customHeight="1">
      <x:c r="A11" s="1"/>
      <x:c r="B11" s="1"/>
      <x:c r="C11" s="52" t="str">
        <x:v>Transition / Amber financing</x:v>
      </x:c>
      <x:c r="D11" s="52"/>
      <x:c r="E11" s="52"/>
      <x:c r="F11" s="52"/>
      <x:c r="G11" s="52"/>
      <x:c r="H11" s="52" t="str">
        <x:v>USD m</x:v>
      </x:c>
      <x:c r="I11" s="52"/>
      <x:c r="J11" s="52"/>
      <x:c r="K11" s="70" t="n">
        <x:f>'Taxonomy'!P5</x:f>
        <x:v>0</x:v>
      </x:c>
      <x:c r="L11" s="70"/>
      <x:c r="M11" s="70"/>
      <x:c r="N11" s="70"/>
      <x:c r="O11" s="70"/>
    </x:row>
    <x:row r="12" ht="26" customHeight="1">
      <x:c r="A12" s="1"/>
      <x:c r="B12" s="1"/>
      <x:c r="C12" s="45"/>
      <x:c r="D12" s="45"/>
      <x:c r="E12" s="45"/>
      <x:c r="F12" s="45"/>
      <x:c r="G12" s="45"/>
      <x:c r="H12" s="45"/>
      <x:c r="I12" s="45"/>
      <x:c r="J12" s="45"/>
      <x:c r="K12" s="45"/>
      <x:c r="L12" s="45"/>
      <x:c r="M12" s="45"/>
      <x:c r="N12" s="45"/>
      <x:c r="O12" s="45"/>
    </x:row>
    <x:row r="13" ht="26" customHeight="1">
      <x:c r="A13" s="1"/>
      <x:c r="B13" s="1"/>
      <x:c r="C13" s="52" t="str">
        <x:v>Bank Scope 1</x:v>
      </x:c>
      <x:c r="D13" s="52"/>
      <x:c r="E13" s="52"/>
      <x:c r="F13" s="52"/>
      <x:c r="G13" s="52"/>
      <x:c r="H13" s="52" t="str">
        <x:v>tCO2e</x:v>
      </x:c>
      <x:c r="I13" s="52"/>
      <x:c r="J13" s="52"/>
      <x:c r="K13" s="70" t="n">
        <x:f>'Operations'!$D$5</x:f>
        <x:v>115.24000000000001</x:v>
      </x:c>
      <x:c r="L13" s="70"/>
      <x:c r="M13" s="70"/>
      <x:c r="N13" s="70"/>
      <x:c r="O13" s="70"/>
    </x:row>
    <x:row r="14" ht="26" customHeight="1">
      <x:c r="A14" s="1"/>
      <x:c r="B14" s="1"/>
      <x:c r="C14" s="52" t="str">
        <x:v>Bank Scope 2 location-based</x:v>
      </x:c>
      <x:c r="D14" s="52"/>
      <x:c r="E14" s="52"/>
      <x:c r="F14" s="52"/>
      <x:c r="G14" s="52"/>
      <x:c r="H14" s="52" t="str">
        <x:v>tCO2e</x:v>
      </x:c>
      <x:c r="I14" s="52"/>
      <x:c r="J14" s="52"/>
      <x:c r="K14" s="70" t="n">
        <x:f>'Operations'!$H$5</x:f>
        <x:v>1599</x:v>
      </x:c>
      <x:c r="L14" s="70"/>
      <x:c r="M14" s="70"/>
      <x:c r="N14" s="70"/>
      <x:c r="O14" s="70"/>
    </x:row>
    <x:row r="15" ht="26" customHeight="1">
      <x:c r="A15" s="1"/>
      <x:c r="B15" s="1"/>
      <x:c r="C15" s="52" t="str">
        <x:v>Bank Scope 2 market-based</x:v>
      </x:c>
      <x:c r="D15" s="52"/>
      <x:c r="E15" s="52"/>
      <x:c r="F15" s="52"/>
      <x:c r="G15" s="52"/>
      <x:c r="H15" s="52" t="str">
        <x:v>tCO2e</x:v>
      </x:c>
      <x:c r="I15" s="52"/>
      <x:c r="J15" s="52"/>
      <x:c r="K15" s="70" t="n">
        <x:f>'Operations'!$L$5</x:f>
        <x:v>1407</x:v>
      </x:c>
      <x:c r="L15" s="70"/>
      <x:c r="M15" s="70"/>
      <x:c r="N15" s="70"/>
      <x:c r="O15" s="70"/>
    </x:row>
    <x:row r="16" ht="26" customHeight="1">
      <x:c r="A16" s="1"/>
      <x:c r="B16" s="1"/>
      <x:c r="C16" s="45"/>
      <x:c r="D16" s="45"/>
      <x:c r="E16" s="45"/>
      <x:c r="F16" s="45"/>
      <x:c r="G16" s="45"/>
      <x:c r="H16" s="45"/>
      <x:c r="I16" s="45"/>
      <x:c r="J16" s="45"/>
      <x:c r="K16" s="45"/>
      <x:c r="L16" s="45"/>
      <x:c r="M16" s="45"/>
      <x:c r="N16" s="45"/>
      <x:c r="O16" s="45"/>
    </x:row>
    <x:row r="17" ht="26" customHeight="1">
      <x:c r="A17" s="1"/>
      <x:c r="B17" s="1"/>
      <x:c r="C17" s="52" t="str">
        <x:v>Financed Scope 1 + 2</x:v>
      </x:c>
      <x:c r="D17" s="52"/>
      <x:c r="E17" s="52"/>
      <x:c r="F17" s="52"/>
      <x:c r="G17" s="52"/>
      <x:c r="H17" s="52" t="str">
        <x:v>tCO2e</x:v>
      </x:c>
      <x:c r="I17" s="52"/>
      <x:c r="J17" s="52"/>
      <x:c r="K17" s="70" t="n">
        <x:f>'Financed Emissions'!$D$5</x:f>
        <x:v>48668.63080271585</x:v>
      </x:c>
      <x:c r="L17" s="70"/>
      <x:c r="M17" s="70"/>
      <x:c r="N17" s="70"/>
      <x:c r="O17" s="70"/>
    </x:row>
    <x:row r="18" ht="26" customHeight="1">
      <x:c r="A18" s="1"/>
      <x:c r="B18" s="1"/>
      <x:c r="C18" s="52" t="str">
        <x:v>Financed borrower Scope 3</x:v>
      </x:c>
      <x:c r="D18" s="52"/>
      <x:c r="E18" s="52"/>
      <x:c r="F18" s="52"/>
      <x:c r="G18" s="52"/>
      <x:c r="H18" s="52" t="str">
        <x:v>tCO2e</x:v>
      </x:c>
      <x:c r="I18" s="52"/>
      <x:c r="J18" s="52"/>
      <x:c r="K18" s="70" t="n">
        <x:f>'Financed Emissions'!$H$5</x:f>
        <x:v>93029.8912921727</x:v>
      </x:c>
      <x:c r="L18" s="70"/>
      <x:c r="M18" s="70"/>
      <x:c r="N18" s="70"/>
      <x:c r="O18" s="70"/>
    </x:row>
    <x:row r="19" ht="26" customHeight="1">
      <x:c r="A19" s="1"/>
      <x:c r="B19" s="1"/>
      <x:c r="C19" s="52" t="str">
        <x:v>Financed S1 + 2 coverage</x:v>
      </x:c>
      <x:c r="D19" s="52"/>
      <x:c r="E19" s="52"/>
      <x:c r="F19" s="52"/>
      <x:c r="G19" s="52"/>
      <x:c r="H19" s="52" t="str">
        <x:v>%</x:v>
      </x:c>
      <x:c r="I19" s="52"/>
      <x:c r="J19" s="52"/>
      <x:c r="K19" s="73" t="n">
        <x:f>'Financed Emissions'!$L$5</x:f>
        <x:v>1</x:v>
      </x:c>
      <x:c r="L19" s="73"/>
      <x:c r="M19" s="73"/>
      <x:c r="N19" s="73"/>
      <x:c r="O19" s="73"/>
    </x:row>
    <x:row r="20" ht="26" customHeight="1">
      <x:c r="A20" s="1"/>
      <x:c r="B20" s="1"/>
      <x:c r="C20" s="52" t="str">
        <x:v>Financed S3 coverage</x:v>
      </x:c>
      <x:c r="D20" s="52"/>
      <x:c r="E20" s="52"/>
      <x:c r="F20" s="52"/>
      <x:c r="G20" s="52"/>
      <x:c r="H20" s="52" t="str">
        <x:v>%</x:v>
      </x:c>
      <x:c r="I20" s="52"/>
      <x:c r="J20" s="52"/>
      <x:c r="K20" s="73" t="n">
        <x:f>'Financed Emissions'!$P$5</x:f>
        <x:v>0.8648498331479422</x:v>
      </x:c>
      <x:c r="L20" s="73"/>
      <x:c r="M20" s="73"/>
      <x:c r="N20" s="73"/>
      <x:c r="O20" s="73"/>
    </x:row>
    <x:row r="21" ht="26" customHeight="1">
      <x:c r="A21" s="1"/>
      <x:c r="B21" s="1"/>
      <x:c r="C21" s="52" t="str">
        <x:v>Weighted PCAF DQ (S1 + 2)</x:v>
      </x:c>
      <x:c r="D21" s="52"/>
      <x:c r="E21" s="52"/>
      <x:c r="F21" s="52"/>
      <x:c r="G21" s="52"/>
      <x:c r="H21" s="52" t="str">
        <x:v>1 best; 5 weakest</x:v>
      </x:c>
      <x:c r="I21" s="52"/>
      <x:c r="J21" s="52"/>
      <x:c r="K21" s="83" t="n">
        <x:f>'Financed Emissions'!$T$5</x:f>
        <x:v>1.632183908045977</x:v>
      </x:c>
      <x:c r="L21" s="83"/>
      <x:c r="M21" s="83"/>
      <x:c r="N21" s="83"/>
      <x:c r="O21" s="83"/>
    </x:row>
    <x:row r="22" ht="26" customHeight="1">
      <x:c r="A22" s="1"/>
      <x:c r="B22" s="1"/>
      <x:c r="C22" s="45"/>
      <x:c r="D22" s="45"/>
      <x:c r="E22" s="45"/>
      <x:c r="F22" s="45"/>
      <x:c r="G22" s="45"/>
      <x:c r="H22" s="45"/>
      <x:c r="I22" s="45"/>
      <x:c r="J22" s="45"/>
      <x:c r="K22" s="45"/>
      <x:c r="L22" s="45"/>
      <x:c r="M22" s="45"/>
      <x:c r="N22" s="45"/>
      <x:c r="O22" s="45"/>
    </x:row>
    <x:row r="23" ht="26" customHeight="1">
      <x:c r="A23" s="1"/>
      <x:c r="B23" s="1"/>
      <x:c r="C23" s="52" t="str">
        <x:v>Loan exposure, local reporting units</x:v>
      </x:c>
      <x:c r="D23" s="52"/>
      <x:c r="E23" s="52"/>
      <x:c r="F23" s="52"/>
      <x:c r="G23" s="52"/>
      <x:c r="H23" s="52" t="str">
        <x:v>Local thousands</x:v>
      </x:c>
      <x:c r="I23" s="52"/>
      <x:c r="J23" s="52"/>
      <x:c r="K23" s="70" t="n">
        <x:f>IF(Bank!$F$103="Ready",Bank!F25*Settings!F50*1000,"Unavailable")</x:f>
        <x:v>13485000</x:v>
      </x:c>
      <x:c r="L23" s="70"/>
      <x:c r="M23" s="70"/>
      <x:c r="N23" s="70"/>
      <x:c r="O23" s="70"/>
    </x:row>
    <x:row r="24" ht="26" customHeight="1">
      <x:c r="A24" s="1"/>
      <x:c r="B24" s="1"/>
      <x:c r="C24" s="52" t="str">
        <x:v>ECL, local reporting units</x:v>
      </x:c>
      <x:c r="D24" s="52"/>
      <x:c r="E24" s="52"/>
      <x:c r="F24" s="52"/>
      <x:c r="G24" s="52"/>
      <x:c r="H24" s="52" t="str">
        <x:v>Local thousands</x:v>
      </x:c>
      <x:c r="I24" s="52"/>
      <x:c r="J24" s="52"/>
      <x:c r="K24" s="70" t="n">
        <x:f>IF(Bank!$F$103="Ready",SUM(ECL!AD9:AD108)*Settings!F50*1000,"Unavailable")</x:f>
        <x:v>718674.4893149931</x:v>
      </x:c>
      <x:c r="L24" s="70"/>
      <x:c r="M24" s="70"/>
      <x:c r="N24" s="70"/>
      <x:c r="O24" s="70"/>
    </x:row>
    <x:row r="25" ht="26" customHeight="1">
      <x:c r="A25" s="1"/>
      <x:c r="B25" s="1"/>
      <x:c r="C25" s="45"/>
      <x:c r="D25" s="45"/>
      <x:c r="E25" s="45"/>
      <x:c r="F25" s="45"/>
      <x:c r="G25" s="45"/>
      <x:c r="H25" s="45"/>
      <x:c r="I25" s="45"/>
      <x:c r="J25" s="45"/>
      <x:c r="K25" s="45"/>
      <x:c r="L25" s="45"/>
      <x:c r="M25" s="45"/>
      <x:c r="N25" s="45"/>
      <x:c r="O25" s="45"/>
    </x:row>
    <x:row r="26" ht="26" customHeight="1">
      <x:c r="A26" s="1"/>
      <x:c r="B26" s="1"/>
      <x:c r="C26" s="45"/>
      <x:c r="D26" s="45"/>
      <x:c r="E26" s="45"/>
      <x:c r="F26" s="45"/>
      <x:c r="G26" s="45"/>
      <x:c r="H26" s="45"/>
      <x:c r="I26" s="45"/>
      <x:c r="J26" s="45"/>
      <x:c r="K26" s="45"/>
      <x:c r="L26" s="45"/>
      <x:c r="M26" s="45"/>
      <x:c r="N26" s="45"/>
      <x:c r="O26" s="45"/>
    </x:row>
    <x:row r="27" ht="26" customHeight="1">
      <x:c r="A27" s="1"/>
      <x:c r="B27" s="1"/>
      <x:c r="C27" s="46" t="str">
        <x:v>SCOPE AND APPROVAL</x:v>
      </x:c>
      <x:c r="D27" s="46"/>
      <x:c r="E27" s="46"/>
      <x:c r="F27" s="46"/>
      <x:c r="G27" s="46"/>
      <x:c r="H27" s="45" t="str">
        <x:v>Partial disclosure pack</x:v>
      </x:c>
      <x:c r="I27" s="45"/>
      <x:c r="J27" s="45"/>
      <x:c r="K27" s="45"/>
      <x:c r="L27" s="45"/>
      <x:c r="M27" s="45"/>
      <x:c r="N27" s="45"/>
      <x:c r="O27" s="45"/>
    </x:row>
    <x:row r="28" ht="26" customHeight="1">
      <x:c r="A28" s="1"/>
      <x:c r="B28" s="1"/>
      <x:c r="C28" s="45"/>
      <x:c r="D28" s="45"/>
      <x:c r="E28" s="45"/>
      <x:c r="F28" s="45"/>
      <x:c r="G28" s="45"/>
      <x:c r="H28" s="45"/>
      <x:c r="I28" s="45"/>
      <x:c r="J28" s="45"/>
      <x:c r="K28" s="45"/>
      <x:c r="L28" s="45"/>
      <x:c r="M28" s="45"/>
      <x:c r="N28" s="45"/>
      <x:c r="O28" s="45"/>
    </x:row>
    <x:row r="29" ht="26" customHeight="1">
      <x:c r="A29" s="1"/>
      <x:c r="B29" s="1"/>
      <x:c r="C29" s="52" t="str">
        <x:v>Bank operational inventory</x:v>
      </x:c>
      <x:c r="D29" s="52"/>
      <x:c r="E29" s="52"/>
      <x:c r="F29" s="52"/>
      <x:c r="G29" s="52"/>
      <x:c r="H29" s="86" t="str">
        <x:f>'Operations'!$L$6</x:f>
        <x:v>Complete for listed operations</x:v>
      </x:c>
      <x:c r="I29" s="87"/>
      <x:c r="J29" s="87"/>
      <x:c r="K29" s="63" t="str">
        <x:v>Review national requirements</x:v>
      </x:c>
      <x:c r="L29" s="63"/>
      <x:c r="M29" s="63"/>
      <x:c r="N29" s="63"/>
      <x:c r="O29" s="63"/>
    </x:row>
    <x:row r="30" ht="26" customHeight="1">
      <x:c r="A30" s="1"/>
      <x:c r="B30" s="1"/>
      <x:c r="C30" s="52" t="str">
        <x:v>Bank full Scope 3 inventory</x:v>
      </x:c>
      <x:c r="D30" s="52"/>
      <x:c r="E30" s="52"/>
      <x:c r="F30" s="52"/>
      <x:c r="G30" s="52"/>
      <x:c r="H30" s="86" t="str">
        <x:f>'Scope 3'!$H$6</x:f>
        <x:v>Screening incomplete</x:v>
      </x:c>
      <x:c r="I30" s="87"/>
      <x:c r="J30" s="87"/>
      <x:c r="K30" s="63"/>
      <x:c r="L30" s="63"/>
      <x:c r="M30" s="63"/>
      <x:c r="N30" s="63"/>
      <x:c r="O30" s="63"/>
    </x:row>
    <x:row r="31" ht="26" customHeight="1">
      <x:c r="A31" s="1"/>
      <x:c r="B31" s="1"/>
      <x:c r="C31" s="52" t="str">
        <x:v>Bank control readiness</x:v>
      </x:c>
      <x:c r="D31" s="52"/>
      <x:c r="E31" s="52"/>
      <x:c r="F31" s="52"/>
      <x:c r="G31" s="52"/>
      <x:c r="H31" s="72" t="n">
        <x:f>'Readiness'!T5</x:f>
        <x:v>0.36363636363636365</x:v>
      </x:c>
      <x:c r="I31" s="73"/>
      <x:c r="J31" s="73"/>
      <x:c r="K31" s="45"/>
      <x:c r="L31" s="45"/>
      <x:c r="M31" s="45"/>
      <x:c r="N31" s="45"/>
      <x:c r="O31" s="45"/>
    </x:row>
    <x:row r="32" ht="26" customHeight="1">
      <x:c r="A32" s="1"/>
      <x:c r="B32" s="1"/>
      <x:c r="C32" s="45"/>
      <x:c r="D32" s="45"/>
      <x:c r="E32" s="45"/>
      <x:c r="F32" s="45"/>
      <x:c r="G32" s="45"/>
      <x:c r="H32" s="45"/>
      <x:c r="I32" s="45"/>
      <x:c r="J32" s="45"/>
      <x:c r="K32" s="63" t="str">
        <x:v>Review control evidence</x:v>
      </x:c>
      <x:c r="L32" s="63"/>
      <x:c r="M32" s="63"/>
      <x:c r="N32" s="63"/>
      <x:c r="O32" s="63"/>
    </x:row>
    <x:row r="33" ht="26" customHeight="1">
      <x:c r="A33" s="1"/>
      <x:c r="B33" s="1"/>
      <x:c r="C33" s="45"/>
      <x:c r="D33" s="45"/>
      <x:c r="E33" s="45"/>
      <x:c r="F33" s="45"/>
      <x:c r="G33" s="45"/>
      <x:c r="H33" s="45"/>
      <x:c r="I33" s="45"/>
      <x:c r="J33" s="45"/>
      <x:c r="K33" s="63"/>
      <x:c r="L33" s="63"/>
      <x:c r="M33" s="63"/>
      <x:c r="N33" s="63"/>
      <x:c r="O33" s="63"/>
    </x:row>
    <x:row r="34" ht="26" customHeight="1">
      <x:c r="A34" s="1"/>
      <x:c r="B34" s="1"/>
      <x:c r="C34" s="45"/>
      <x:c r="D34" s="45"/>
      <x:c r="E34" s="45"/>
      <x:c r="F34" s="45"/>
      <x:c r="G34" s="45"/>
      <x:c r="H34" s="45"/>
      <x:c r="I34" s="45"/>
      <x:c r="J34" s="45"/>
      <x:c r="K34" s="45"/>
      <x:c r="L34" s="45"/>
      <x:c r="M34" s="45"/>
      <x:c r="N34" s="45"/>
      <x:c r="O34" s="45"/>
    </x:row>
    <x:row r="35" ht="26" customHeight="1">
      <x:c r="A35" s="1"/>
      <x:c r="B35" s="1"/>
      <x:c r="C35" s="50" t="str">
        <x:v>Review emissions boundary</x:v>
      </x:c>
      <x:c r="D35" s="50"/>
      <x:c r="E35" s="50"/>
      <x:c r="F35" s="50"/>
      <x:c r="G35" s="63" t="str">
        <x:v>Review taxonomy allocation</x:v>
      </x:c>
      <x:c r="H35" s="63"/>
      <x:c r="I35" s="63"/>
      <x:c r="J35" s="63"/>
      <x:c r="K35" s="63" t="str">
        <x:v>Review assurance checks</x:v>
      </x:c>
      <x:c r="L35" s="63"/>
      <x:c r="M35" s="63"/>
      <x:c r="N35" s="63"/>
      <x:c r="O35" s="63"/>
    </x:row>
    <x:row r="36" ht="26" customHeight="1">
      <x:c r="A36" s="1"/>
      <x:c r="B36" s="1"/>
      <x:c r="C36" s="50"/>
      <x:c r="D36" s="50"/>
      <x:c r="E36" s="50"/>
      <x:c r="F36" s="50"/>
      <x:c r="G36" s="63"/>
      <x:c r="H36" s="63"/>
      <x:c r="I36" s="63"/>
      <x:c r="J36" s="63"/>
      <x:c r="K36" s="63"/>
      <x:c r="L36" s="63"/>
      <x:c r="M36" s="63"/>
      <x:c r="N36" s="63"/>
      <x:c r="O36" s="63"/>
    </x:row>
    <x:row r="37" ht="26" customHeight="1">
      <x:c r="A37" s="1"/>
      <x:c r="B37" s="1"/>
      <x:c r="C37" s="45"/>
      <x:c r="D37" s="45"/>
      <x:c r="E37" s="45"/>
      <x:c r="F37" s="45"/>
      <x:c r="G37" s="45"/>
      <x:c r="H37" s="45"/>
      <x:c r="I37" s="45"/>
      <x:c r="J37" s="45"/>
      <x:c r="K37" s="45"/>
      <x:c r="L37" s="45"/>
      <x:c r="M37" s="45"/>
      <x:c r="N37" s="45"/>
      <x:c r="O37" s="45"/>
    </x:row>
    <x:row r="38" ht="26" customHeight="1">
      <x:c r="A38" s="1"/>
      <x:c r="B38" s="1"/>
      <x:c r="C38" s="45"/>
      <x:c r="D38" s="45"/>
      <x:c r="E38" s="45"/>
      <x:c r="F38" s="45"/>
      <x:c r="G38" s="45"/>
      <x:c r="H38" s="45"/>
      <x:c r="I38" s="45"/>
      <x:c r="J38" s="45"/>
      <x:c r="K38" s="45"/>
      <x:c r="L38" s="45"/>
      <x:c r="M38" s="45"/>
      <x:c r="N38" s="45"/>
      <x:c r="O38" s="45"/>
    </x:row>
    <x:row r="39" ht="26" customHeight="1">
      <x:c r="A39" s="1"/>
      <x:c r="B39" s="1"/>
      <x:c r="C39" s="45" t="str">
        <x:v>Exposure with emissions boundary overlap under review</x:v>
      </x:c>
      <x:c r="D39" s="45"/>
      <x:c r="E39" s="45"/>
      <x:c r="F39" s="45"/>
      <x:c r="G39" s="45"/>
      <x:c r="H39" s="45"/>
      <x:c r="I39" s="45"/>
      <x:c r="J39" s="45"/>
      <x:c r="K39" s="68" t="n">
        <x:f>'Financed Emissions'!$P$6</x:f>
        <x:v>67.39999999999999</x:v>
      </x:c>
      <x:c r="L39" s="68"/>
      <x:c r="M39" s="68"/>
      <x:c r="N39" s="68"/>
      <x:c r="O39" s="68"/>
    </x:row>
    <x:row r="40" ht="26" customHeight="1">
      <x:c r="A40" s="1"/>
      <x:c r="B40" s="1"/>
      <x:c r="C40" s="91" t="str">
        <x:v>USD m. Financed totals are gross attributed emissions, not a deduplicated physical footprint.</x:v>
      </x:c>
      <x:c r="D40" s="91"/>
      <x:c r="E40" s="91"/>
      <x:c r="F40" s="91"/>
      <x:c r="G40" s="91"/>
      <x:c r="H40" s="91"/>
      <x:c r="I40" s="91"/>
      <x:c r="J40" s="91"/>
      <x:c r="K40" s="91"/>
      <x:c r="L40" s="91"/>
      <x:c r="M40" s="91"/>
      <x:c r="N40" s="91"/>
      <x:c r="O40" s="91"/>
    </x:row>
    <x:row r="41" ht="26" customHeight="1">
      <x:c r="A41" s="1"/>
      <x:c r="B41" s="1"/>
      <x:c r="C41" s="91"/>
      <x:c r="D41" s="91"/>
      <x:c r="E41" s="91"/>
      <x:c r="F41" s="91"/>
      <x:c r="G41" s="91"/>
      <x:c r="H41" s="91"/>
      <x:c r="I41" s="91"/>
      <x:c r="J41" s="91"/>
      <x:c r="K41" s="91"/>
      <x:c r="L41" s="91"/>
      <x:c r="M41" s="91"/>
      <x:c r="N41" s="91"/>
      <x:c r="O41" s="91"/>
    </x:row>
    <x:row r="42" ht="26" customHeight="1">
      <x:c r="A42" s="1"/>
      <x:c r="B42" s="1"/>
      <x:c r="C42" s="45"/>
      <x:c r="D42" s="45"/>
      <x:c r="E42" s="45"/>
      <x:c r="F42" s="45"/>
      <x:c r="G42" s="45"/>
      <x:c r="H42" s="45"/>
      <x:c r="I42" s="45"/>
      <x:c r="J42" s="45"/>
      <x:c r="K42" s="45"/>
      <x:c r="L42" s="45"/>
      <x:c r="M42" s="45"/>
      <x:c r="N42" s="45"/>
      <x:c r="O42" s="45"/>
    </x:row>
    <x:row r="43" ht="26" customHeight="1">
      <x:c r="A43" s="1"/>
      <x:c r="B43" s="1"/>
      <x:c r="C43" s="45"/>
      <x:c r="D43" s="45"/>
      <x:c r="E43" s="45"/>
      <x:c r="F43" s="45"/>
      <x:c r="G43" s="45"/>
      <x:c r="H43" s="45"/>
      <x:c r="I43" s="45"/>
      <x:c r="J43" s="45"/>
      <x:c r="K43" s="45"/>
      <x:c r="L43" s="45"/>
      <x:c r="M43" s="45"/>
      <x:c r="N43" s="45"/>
      <x:c r="O43" s="45"/>
    </x:row>
    <x:row r="44" ht="26" customHeight="1">
      <x:c r="A44" s="1"/>
      <x:c r="B44" s="1"/>
      <x:c r="C44" s="45"/>
      <x:c r="D44" s="45"/>
      <x:c r="E44" s="45"/>
      <x:c r="F44" s="45"/>
      <x:c r="G44" s="45"/>
      <x:c r="H44" s="45"/>
      <x:c r="I44" s="45"/>
      <x:c r="J44" s="45"/>
      <x:c r="K44" s="45"/>
      <x:c r="L44" s="45"/>
      <x:c r="M44" s="45"/>
      <x:c r="N44" s="45"/>
      <x:c r="O44" s="45"/>
    </x:row>
    <x:row r="45" ht="26" customHeight="1">
      <x:c r="A45" s="1"/>
      <x:c r="B45" s="1"/>
      <x:c r="C45" s="45"/>
      <x:c r="D45" s="45"/>
      <x:c r="E45" s="45"/>
      <x:c r="F45" s="45"/>
      <x:c r="G45" s="45"/>
      <x:c r="H45" s="45"/>
      <x:c r="I45" s="45"/>
      <x:c r="J45" s="45"/>
      <x:c r="K45" s="45"/>
      <x:c r="L45" s="45"/>
      <x:c r="M45" s="45"/>
      <x:c r="N45" s="45"/>
      <x:c r="O45" s="45"/>
    </x:row>
    <x:row r="46" ht="26" customHeight="1">
      <x:c r="A46" s="1"/>
      <x:c r="B46" s="1"/>
      <x:c r="C46" s="45"/>
      <x:c r="D46" s="45"/>
      <x:c r="E46" s="45"/>
      <x:c r="F46" s="45"/>
      <x:c r="G46" s="45"/>
      <x:c r="H46" s="45"/>
      <x:c r="I46" s="45"/>
      <x:c r="J46" s="45"/>
      <x:c r="K46" s="45"/>
      <x:c r="L46" s="45"/>
      <x:c r="M46" s="45"/>
      <x:c r="N46" s="45"/>
      <x:c r="O46" s="45"/>
    </x:row>
    <x:row r="47" ht="26" customHeight="1">
      <x:c r="A47" s="1"/>
      <x:c r="B47" s="1"/>
      <x:c r="C47" s="45"/>
      <x:c r="D47" s="45"/>
      <x:c r="E47" s="45"/>
      <x:c r="F47" s="45"/>
      <x:c r="G47" s="45"/>
      <x:c r="H47" s="45"/>
      <x:c r="I47" s="45"/>
      <x:c r="J47" s="45"/>
      <x:c r="K47" s="45"/>
      <x:c r="L47" s="45"/>
      <x:c r="M47" s="45"/>
      <x:c r="N47" s="45"/>
      <x:c r="O47" s="45"/>
    </x:row>
    <x:row r="48" ht="26" customHeight="1">
      <x:c r="A48" s="1"/>
      <x:c r="B48" s="1"/>
      <x:c r="C48" s="45"/>
      <x:c r="D48" s="45"/>
      <x:c r="E48" s="45"/>
      <x:c r="F48" s="45"/>
      <x:c r="G48" s="45"/>
      <x:c r="H48" s="45"/>
      <x:c r="I48" s="45"/>
      <x:c r="J48" s="45"/>
      <x:c r="K48" s="45"/>
      <x:c r="L48" s="45"/>
      <x:c r="M48" s="45"/>
      <x:c r="N48" s="45"/>
      <x:c r="O48" s="45"/>
    </x:row>
    <x:row r="49" ht="26" customHeight="1">
      <x:c r="A49" s="1"/>
      <x:c r="B49" s="1"/>
      <x:c r="C49" s="45"/>
      <x:c r="D49" s="45"/>
      <x:c r="E49" s="45"/>
      <x:c r="F49" s="45"/>
      <x:c r="G49" s="45"/>
      <x:c r="H49" s="45"/>
      <x:c r="I49" s="45"/>
      <x:c r="J49" s="45"/>
      <x:c r="K49" s="45"/>
      <x:c r="L49" s="45"/>
      <x:c r="M49" s="45"/>
      <x:c r="N49" s="45"/>
      <x:c r="O49" s="45"/>
    </x:row>
    <x:row r="50" ht="26" customHeight="1">
      <x:c r="A50" s="1"/>
      <x:c r="B50" s="1"/>
      <x:c r="C50" s="45"/>
      <x:c r="D50" s="45"/>
      <x:c r="E50" s="45"/>
      <x:c r="F50" s="45"/>
      <x:c r="G50" s="45"/>
      <x:c r="H50" s="45"/>
      <x:c r="I50" s="45"/>
      <x:c r="J50" s="45"/>
      <x:c r="K50" s="45"/>
      <x:c r="L50" s="45"/>
      <x:c r="M50" s="45"/>
      <x:c r="N50" s="45"/>
      <x:c r="O50" s="45"/>
    </x:row>
    <x:row r="51" ht="26" customHeight="1">
      <x:c r="A51" s="1"/>
      <x:c r="B51" s="1"/>
      <x:c r="C51" s="45"/>
      <x:c r="D51" s="45"/>
      <x:c r="E51" s="45"/>
      <x:c r="F51" s="45"/>
      <x:c r="G51" s="45"/>
      <x:c r="H51" s="45"/>
      <x:c r="I51" s="45"/>
      <x:c r="J51" s="45"/>
      <x:c r="K51" s="45"/>
      <x:c r="L51" s="45"/>
      <x:c r="M51" s="45"/>
      <x:c r="N51" s="45"/>
      <x:c r="O51" s="45"/>
    </x:row>
    <x:row r="52" ht="26" customHeight="1">
      <x:c r="A52" s="1"/>
      <x:c r="B52" s="1"/>
      <x:c r="C52" s="45"/>
      <x:c r="D52" s="45"/>
      <x:c r="E52" s="45"/>
      <x:c r="F52" s="45"/>
      <x:c r="G52" s="45"/>
      <x:c r="H52" s="45"/>
      <x:c r="I52" s="45"/>
      <x:c r="J52" s="45"/>
      <x:c r="K52" s="45"/>
      <x:c r="L52" s="45"/>
      <x:c r="M52" s="45"/>
      <x:c r="N52" s="45"/>
      <x:c r="O52" s="45"/>
    </x:row>
    <x:row r="53" ht="26" customHeight="1">
      <x:c r="A53" s="1"/>
      <x:c r="B53" s="1"/>
      <x:c r="C53" s="45"/>
      <x:c r="D53" s="45"/>
      <x:c r="E53" s="45"/>
      <x:c r="F53" s="45"/>
      <x:c r="G53" s="45"/>
      <x:c r="H53" s="45"/>
      <x:c r="I53" s="45"/>
      <x:c r="J53" s="45"/>
      <x:c r="K53" s="45"/>
      <x:c r="L53" s="45"/>
      <x:c r="M53" s="45"/>
      <x:c r="N53" s="45"/>
      <x:c r="O53" s="45"/>
    </x:row>
    <x:row r="54" ht="26" customHeight="1">
      <x:c r="A54" s="1"/>
      <x:c r="B54" s="1"/>
      <x:c r="C54" s="45"/>
      <x:c r="D54" s="45"/>
      <x:c r="E54" s="45"/>
      <x:c r="F54" s="45"/>
      <x:c r="G54" s="45"/>
      <x:c r="H54" s="45"/>
      <x:c r="I54" s="45"/>
      <x:c r="J54" s="45"/>
      <x:c r="K54" s="45"/>
      <x:c r="L54" s="45"/>
      <x:c r="M54" s="45"/>
      <x:c r="N54" s="45"/>
      <x:c r="O54" s="45"/>
    </x:row>
    <x:row r="55" ht="26" customHeight="1">
      <x:c r="A55" s="1"/>
      <x:c r="B55" s="1"/>
      <x:c r="C55" s="45"/>
      <x:c r="D55" s="45"/>
      <x:c r="E55" s="45"/>
      <x:c r="F55" s="45"/>
      <x:c r="G55" s="45"/>
      <x:c r="H55" s="45"/>
      <x:c r="I55" s="45"/>
      <x:c r="J55" s="45"/>
      <x:c r="K55" s="45"/>
      <x:c r="L55" s="45"/>
      <x:c r="M55" s="45"/>
      <x:c r="N55" s="45"/>
      <x:c r="O55" s="45"/>
    </x:row>
    <x:row r="56" ht="26" customHeight="1">
      <x:c r="A56" s="1"/>
      <x:c r="B56" s="1"/>
      <x:c r="C56" s="45"/>
      <x:c r="D56" s="45"/>
      <x:c r="E56" s="45"/>
      <x:c r="F56" s="45"/>
      <x:c r="G56" s="45"/>
      <x:c r="H56" s="45"/>
      <x:c r="I56" s="45"/>
      <x:c r="J56" s="45"/>
      <x:c r="K56" s="45"/>
      <x:c r="L56" s="45"/>
      <x:c r="M56" s="45"/>
      <x:c r="N56" s="45"/>
      <x:c r="O56" s="45"/>
    </x:row>
    <x:row r="57" ht="26" customHeight="1">
      <x:c r="A57" s="1"/>
      <x:c r="B57" s="1"/>
      <x:c r="C57" s="45"/>
      <x:c r="D57" s="45"/>
      <x:c r="E57" s="45"/>
      <x:c r="F57" s="45"/>
      <x:c r="G57" s="45"/>
      <x:c r="H57" s="45"/>
      <x:c r="I57" s="45"/>
      <x:c r="J57" s="45"/>
      <x:c r="K57" s="45"/>
      <x:c r="L57" s="45"/>
      <x:c r="M57" s="45"/>
      <x:c r="N57" s="45"/>
      <x:c r="O57" s="45"/>
    </x:row>
    <x:row r="58" ht="26" customHeight="1">
      <x:c r="A58" s="1"/>
      <x:c r="B58" s="1"/>
      <x:c r="C58" s="45"/>
      <x:c r="D58" s="45"/>
      <x:c r="E58" s="45"/>
      <x:c r="F58" s="45"/>
      <x:c r="G58" s="45"/>
      <x:c r="H58" s="45"/>
      <x:c r="I58" s="45"/>
      <x:c r="J58" s="45"/>
      <x:c r="K58" s="45"/>
      <x:c r="L58" s="45"/>
      <x:c r="M58" s="45"/>
      <x:c r="N58" s="45"/>
      <x:c r="O58" s="45"/>
    </x:row>
    <x:row r="59" ht="26" customHeight="1">
      <x:c r="A59" s="1"/>
      <x:c r="B59" s="1"/>
      <x:c r="C59" s="45"/>
      <x:c r="D59" s="45"/>
      <x:c r="E59" s="45"/>
      <x:c r="F59" s="45"/>
      <x:c r="G59" s="45"/>
      <x:c r="H59" s="45"/>
      <x:c r="I59" s="45"/>
      <x:c r="J59" s="45"/>
      <x:c r="K59" s="45"/>
      <x:c r="L59" s="45"/>
      <x:c r="M59" s="45"/>
      <x:c r="N59" s="45"/>
      <x:c r="O59" s="45"/>
    </x:row>
    <x:row r="60" ht="26" customHeight="1">
      <x:c r="A60" s="1"/>
      <x:c r="B60" s="1"/>
      <x:c r="C60" s="45"/>
      <x:c r="D60" s="45"/>
      <x:c r="E60" s="45"/>
      <x:c r="F60" s="45"/>
      <x:c r="G60" s="45"/>
      <x:c r="H60" s="45"/>
      <x:c r="I60" s="45"/>
      <x:c r="J60" s="45"/>
      <x:c r="K60" s="45"/>
      <x:c r="L60" s="45"/>
      <x:c r="M60" s="45"/>
      <x:c r="N60" s="45"/>
      <x:c r="O60" s="45"/>
    </x:row>
    <x:row r="61" ht="26" customHeight="1">
      <x:c r="A61" s="1"/>
      <x:c r="B61" s="1"/>
      <x:c r="C61" s="45"/>
      <x:c r="D61" s="45"/>
      <x:c r="E61" s="45"/>
      <x:c r="F61" s="45"/>
      <x:c r="G61" s="45"/>
      <x:c r="H61" s="45"/>
      <x:c r="I61" s="45"/>
      <x:c r="J61" s="45"/>
      <x:c r="K61" s="45"/>
      <x:c r="L61" s="45"/>
      <x:c r="M61" s="45"/>
      <x:c r="N61" s="45"/>
      <x:c r="O61" s="45"/>
    </x:row>
    <x:row r="62" ht="26" customHeight="1">
      <x:c r="A62" s="1"/>
      <x:c r="B62" s="1"/>
      <x:c r="C62" s="45"/>
      <x:c r="D62" s="45"/>
      <x:c r="E62" s="45"/>
      <x:c r="F62" s="45"/>
      <x:c r="G62" s="45"/>
      <x:c r="H62" s="45"/>
      <x:c r="I62" s="45"/>
      <x:c r="J62" s="45"/>
      <x:c r="K62" s="45"/>
      <x:c r="L62" s="45"/>
      <x:c r="M62" s="45"/>
      <x:c r="N62" s="45"/>
      <x:c r="O62" s="45"/>
    </x:row>
    <x:row r="63" ht="26" customHeight="1">
      <x:c r="A63" s="1"/>
      <x:c r="B63" s="1"/>
      <x:c r="C63" s="45"/>
      <x:c r="D63" s="45"/>
      <x:c r="E63" s="45"/>
      <x:c r="F63" s="45"/>
      <x:c r="G63" s="45"/>
      <x:c r="H63" s="45"/>
      <x:c r="I63" s="45"/>
      <x:c r="J63" s="45"/>
      <x:c r="K63" s="45"/>
      <x:c r="L63" s="45"/>
      <x:c r="M63" s="45"/>
      <x:c r="N63" s="45"/>
      <x:c r="O63" s="45"/>
    </x:row>
    <x:row r="64" ht="26" customHeight="1">
      <x:c r="A64" s="1"/>
      <x:c r="B64" s="1"/>
      <x:c r="C64" s="45"/>
      <x:c r="D64" s="45"/>
      <x:c r="E64" s="45"/>
      <x:c r="F64" s="45"/>
      <x:c r="G64" s="45"/>
      <x:c r="H64" s="45"/>
      <x:c r="I64" s="45"/>
      <x:c r="J64" s="45"/>
      <x:c r="K64" s="45"/>
      <x:c r="L64" s="45"/>
      <x:c r="M64" s="45"/>
      <x:c r="N64" s="45"/>
      <x:c r="O64" s="45"/>
    </x:row>
    <x:row r="65" ht="26" customHeight="1">
      <x:c r="A65" s="1"/>
      <x:c r="B65" s="1"/>
      <x:c r="C65" s="45"/>
      <x:c r="D65" s="45"/>
      <x:c r="E65" s="45"/>
      <x:c r="F65" s="45"/>
      <x:c r="G65" s="45"/>
      <x:c r="H65" s="45"/>
      <x:c r="I65" s="45"/>
      <x:c r="J65" s="45"/>
      <x:c r="K65" s="45"/>
      <x:c r="L65" s="45"/>
      <x:c r="M65" s="45"/>
      <x:c r="N65" s="45"/>
      <x:c r="O65" s="45"/>
    </x:row>
    <x:row r="66" ht="26" customHeight="1">
      <x:c r="A66" s="1"/>
      <x:c r="B66" s="1"/>
      <x:c r="C66" s="45"/>
      <x:c r="D66" s="45"/>
      <x:c r="E66" s="45"/>
      <x:c r="F66" s="45"/>
      <x:c r="G66" s="45"/>
      <x:c r="H66" s="45"/>
      <x:c r="I66" s="45"/>
      <x:c r="J66" s="45"/>
      <x:c r="K66" s="45"/>
      <x:c r="L66" s="45"/>
      <x:c r="M66" s="45"/>
      <x:c r="N66" s="45"/>
      <x:c r="O66" s="45"/>
    </x:row>
    <x:row r="67" ht="26" customHeight="1">
      <x:c r="A67" s="1"/>
      <x:c r="B67" s="1"/>
      <x:c r="C67" s="45"/>
      <x:c r="D67" s="45"/>
      <x:c r="E67" s="45"/>
      <x:c r="F67" s="45"/>
      <x:c r="G67" s="45"/>
      <x:c r="H67" s="45"/>
      <x:c r="I67" s="45"/>
      <x:c r="J67" s="45"/>
      <x:c r="K67" s="45"/>
      <x:c r="L67" s="45"/>
      <x:c r="M67" s="45"/>
      <x:c r="N67" s="45"/>
      <x:c r="O67" s="45"/>
    </x:row>
    <x:row r="68" ht="26" customHeight="1">
      <x:c r="A68" s="1"/>
      <x:c r="B68" s="1"/>
      <x:c r="C68" s="45"/>
      <x:c r="D68" s="45"/>
      <x:c r="E68" s="45"/>
      <x:c r="F68" s="45"/>
      <x:c r="G68" s="45"/>
      <x:c r="H68" s="45"/>
      <x:c r="I68" s="45"/>
      <x:c r="J68" s="45"/>
      <x:c r="K68" s="45"/>
      <x:c r="L68" s="45"/>
      <x:c r="M68" s="45"/>
      <x:c r="N68" s="45"/>
      <x:c r="O68" s="45"/>
    </x:row>
    <x:row r="69" ht="26" customHeight="1">
      <x:c r="A69" s="1"/>
      <x:c r="B69" s="1"/>
      <x:c r="C69" s="45"/>
      <x:c r="D69" s="45"/>
      <x:c r="E69" s="45"/>
      <x:c r="F69" s="45"/>
      <x:c r="G69" s="45"/>
      <x:c r="H69" s="45"/>
      <x:c r="I69" s="45"/>
      <x:c r="J69" s="45"/>
      <x:c r="K69" s="45"/>
      <x:c r="L69" s="45"/>
      <x:c r="M69" s="45"/>
      <x:c r="N69" s="45"/>
      <x:c r="O69" s="45"/>
    </x:row>
    <x:row r="70" ht="26" customHeight="1">
      <x:c r="A70" s="1"/>
      <x:c r="B70" s="1"/>
      <x:c r="C70" s="45"/>
      <x:c r="D70" s="45"/>
      <x:c r="E70" s="45"/>
      <x:c r="F70" s="45"/>
      <x:c r="G70" s="45"/>
      <x:c r="H70" s="45"/>
      <x:c r="I70" s="45"/>
      <x:c r="J70" s="45"/>
      <x:c r="K70" s="45"/>
      <x:c r="L70" s="45"/>
      <x:c r="M70" s="45"/>
      <x:c r="N70" s="45"/>
      <x:c r="O70" s="45"/>
    </x:row>
  </x:sheetData>
  <x:mergeCells>
    <x:mergeCell ref="C2:H2"/>
    <x:mergeCell ref="C3:M3"/>
    <x:mergeCell ref="C5:F5"/>
    <x:mergeCell ref="G5:K5"/>
    <x:mergeCell ref="L5:O5"/>
    <x:mergeCell ref="C8:G8"/>
    <x:mergeCell ref="H8:J8"/>
    <x:mergeCell ref="K8:O8"/>
    <x:mergeCell ref="C9:G9"/>
    <x:mergeCell ref="H9:J9"/>
    <x:mergeCell ref="K9:O9"/>
    <x:mergeCell ref="C10:G10"/>
    <x:mergeCell ref="H10:J10"/>
    <x:mergeCell ref="K10:O10"/>
    <x:mergeCell ref="C11:G11"/>
    <x:mergeCell ref="H11:J11"/>
    <x:mergeCell ref="K11:O11"/>
    <x:mergeCell ref="C13:G13"/>
    <x:mergeCell ref="H13:J13"/>
    <x:mergeCell ref="K13:O13"/>
    <x:mergeCell ref="C14:G14"/>
    <x:mergeCell ref="H14:J14"/>
    <x:mergeCell ref="K14:O14"/>
    <x:mergeCell ref="C15:G15"/>
    <x:mergeCell ref="H15:J15"/>
    <x:mergeCell ref="K15:O15"/>
    <x:mergeCell ref="C17:G17"/>
    <x:mergeCell ref="H17:J17"/>
    <x:mergeCell ref="K17:O17"/>
    <x:mergeCell ref="C18:G18"/>
    <x:mergeCell ref="H18:J18"/>
    <x:mergeCell ref="K18:O18"/>
    <x:mergeCell ref="C19:G19"/>
    <x:mergeCell ref="H19:J19"/>
    <x:mergeCell ref="K19:O19"/>
    <x:mergeCell ref="C20:G20"/>
    <x:mergeCell ref="H20:J20"/>
    <x:mergeCell ref="K20:O20"/>
    <x:mergeCell ref="C21:G21"/>
    <x:mergeCell ref="H21:J21"/>
    <x:mergeCell ref="K21:O21"/>
    <x:mergeCell ref="C23:G23"/>
    <x:mergeCell ref="H23:J23"/>
    <x:mergeCell ref="K23:O23"/>
    <x:mergeCell ref="C24:G24"/>
    <x:mergeCell ref="H24:J24"/>
    <x:mergeCell ref="K24:O24"/>
    <x:mergeCell ref="C27:G27"/>
    <x:mergeCell ref="H27:O27"/>
    <x:mergeCell ref="C29:G29"/>
    <x:mergeCell ref="H29:J29"/>
    <x:mergeCell ref="C30:G30"/>
    <x:mergeCell ref="H30:J30"/>
    <x:mergeCell ref="C31:G31"/>
    <x:mergeCell ref="H31:J31"/>
    <x:mergeCell ref="K29:O30"/>
    <x:mergeCell ref="K32:O33"/>
    <x:mergeCell ref="C35:F36"/>
    <x:mergeCell ref="G35:J36"/>
    <x:mergeCell ref="K35:O36"/>
    <x:mergeCell ref="C39:J39"/>
    <x:mergeCell ref="K39:O39"/>
    <x:mergeCell ref="C40:O41"/>
    <x:mergeCell ref="C1:D1"/>
    <x:mergeCell ref="E1:F1"/>
    <x:mergeCell ref="G1:H1"/>
    <x:mergeCell ref="I1:J1"/>
    <x:mergeCell ref="K1:L1"/>
    <x:mergeCell ref="M1:N1"/>
  </x:mergeCells>
  <x:hyperlinks>
    <x:hyperlink ref="L5" location="'Settings'!F9" display="Edit profile" tooltip="Open Settings"/>
    <x:hyperlink ref="K29" location="'Requirements'!C8" display="Review national requirements" tooltip="Open Requirements"/>
    <x:hyperlink ref="K32" location="'Readiness'!C8" display="Review control evidence" tooltip="Open Readiness"/>
    <x:hyperlink ref="C35" location="'Inventory'!C8" display="Review emissions boundary" tooltip="Open Inventory"/>
    <x:hyperlink ref="G35" location="'Taxonomy'!C8" display="Review taxonomy allocation" tooltip="Open Taxonomy"/>
    <x:hyperlink ref="K35" location="'Controls'!C8" display="Review assurance checks" tooltip="Open Controls"/>
    <x:hyperlink ref="C1" location="'Overview'!C2" display="Home" tooltip="Open Overview"/>
    <x:hyperlink ref="E1" location="'Customer'!C2" display="Customer" tooltip="Open Customer"/>
    <x:hyperlink ref="G1" location="'Capital'!C2" display="Capital" tooltip="Open Capital"/>
    <x:hyperlink ref="I1" location="'Disclosures'!C2" display="Reporting" tooltip="Open Disclosures"/>
    <x:hyperlink ref="K1" location="'Borrowers'!C8" display="Inputs" tooltip="Open Borrowers"/>
    <x:hyperlink ref="M1" location="'Settings'!C5" display="Settings" tooltip="Open Settings"/>
  </x:hyperlink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007F86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2.4000000953674316" hidden="0" customWidth="1"/>
    <x:col min="2" max="2" width="2.4000000953674316" hidden="0" customWidth="1"/>
    <x:col min="3" max="3" width="38" hidden="0" customWidth="1"/>
    <x:col min="4" max="4" width="3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</x:cols>
  <x:sheetData>
    <x:row r="1" ht="27" customHeight="1">
      <x:c r="A1" s="1"/>
      <x:c r="B1" s="1"/>
      <x:c r="C1" s="50" t="str">
        <x:v>Home</x:v>
      </x:c>
      <x:c r="D1" s="50"/>
      <x:c r="E1" s="63" t="str">
        <x:v>Customer</x:v>
      </x:c>
      <x:c r="F1" s="63"/>
      <x:c r="G1" s="63" t="str">
        <x:v>Capital</x:v>
      </x:c>
      <x:c r="H1" s="63"/>
      <x:c r="I1" s="63" t="str">
        <x:v>Reporting</x:v>
      </x:c>
      <x:c r="J1" s="63"/>
      <x:c r="K1" s="63" t="str">
        <x:v>Inputs</x:v>
      </x:c>
      <x:c r="L1" s="125"/>
      <x:c r="M1" s="125" t="str">
        <x:v>Settings</x:v>
      </x:c>
      <x:c r="N1" s="125"/>
    </x:row>
    <x:row r="2" ht="45" customHeight="1">
      <x:c r="A2" s="1"/>
      <x:c r="B2" s="1"/>
      <x:c r="C2" s="5" t="str">
        <x:v>Bank financial forecast</x:v>
      </x:c>
      <x:c r="D2" s="5"/>
      <x:c r="E2" s="5"/>
      <x:c r="F2" s="5"/>
      <x:c r="G2" s="5"/>
      <x:c r="H2" s="5"/>
      <x:c r="I2" s="5"/>
      <x:c r="J2" s="5"/>
      <x:c r="K2" s="5"/>
    </x:row>
    <x:row r="3" ht="32" customHeight="1">
      <x:c r="A3" s="1"/>
      <x:c r="B3" s="1"/>
      <x:c r="C3" s="6" t="str">
        <x:v>USD millions. Integrated planning ledger; liquidity ratios are proxies using annual schedules. AT1 is equity; Tier 2 is included in term funding.</x:v>
      </x:c>
      <x:c r="D3" s="6"/>
      <x:c r="E3" s="6"/>
      <x:c r="F3" s="6"/>
      <x:c r="G3" s="6"/>
      <x:c r="H3" s="6"/>
      <x:c r="I3" s="6"/>
      <x:c r="J3" s="6"/>
      <x:c r="K3" s="6"/>
      <x:c r="L3" s="24"/>
      <x:c r="M3" s="24"/>
    </x:row>
    <x:row r="4" ht="26" customHeight="1">
      <x:c r="A4" s="1"/>
      <x:c r="B4" s="1"/>
      <x:c r="C4" s="3"/>
      <x:c r="D4" s="3"/>
      <x:c r="E4" s="3"/>
      <x:c r="F4" s="3"/>
      <x:c r="G4" s="3"/>
      <x:c r="H4" s="3"/>
      <x:c r="I4" s="3"/>
      <x:c r="J4" s="3"/>
      <x:c r="K4" s="3"/>
    </x:row>
    <x:row r="5" ht="26" customHeight="1">
      <x:c r="A5" s="1"/>
      <x:c r="B5" s="1"/>
      <x:c r="C5" s="3"/>
      <x:c r="D5" s="3"/>
      <x:c r="E5" s="3"/>
      <x:c r="F5" s="3"/>
      <x:c r="G5" s="3"/>
      <x:c r="H5" s="3"/>
      <x:c r="I5" s="3"/>
      <x:c r="J5" s="3"/>
      <x:c r="K5" s="3"/>
    </x:row>
    <x:row r="6" ht="26" customHeight="1">
      <x:c r="A6" s="1"/>
      <x:c r="B6" s="1"/>
      <x:c r="C6" s="3"/>
      <x:c r="D6" s="3"/>
      <x:c r="E6" s="3"/>
      <x:c r="F6" s="3"/>
      <x:c r="G6" s="3"/>
      <x:c r="H6" s="3"/>
      <x:c r="I6" s="3"/>
      <x:c r="J6" s="3"/>
      <x:c r="K6" s="3"/>
    </x:row>
    <x:row r="7" ht="26" customHeight="1">
      <x:c r="A7" s="1"/>
      <x:c r="B7" s="1"/>
      <x:c r="C7" s="3"/>
      <x:c r="D7" s="3"/>
      <x:c r="E7" s="3"/>
      <x:c r="F7" s="3"/>
      <x:c r="G7" s="3"/>
      <x:c r="H7" s="3"/>
      <x:c r="I7" s="3"/>
      <x:c r="J7" s="3"/>
      <x:c r="K7" s="3"/>
    </x:row>
    <x:row r="8" ht="46" customHeight="1">
      <x:c r="A8" s="1"/>
      <x:c r="B8" s="1"/>
      <x:c r="C8" s="15" t="str">
        <x:v>Bank forecast</x:v>
      </x:c>
      <x:c r="D8" s="15"/>
      <x:c r="E8" s="15"/>
      <x:c r="F8" s="15" t="n">
        <x:f>YEAR(Settings!F8)</x:f>
        <x:v>2026</x:v>
      </x:c>
      <x:c r="G8" s="15" t="n">
        <x:f>Settings!F18+0</x:f>
        <x:v>2027</x:v>
      </x:c>
      <x:c r="H8" s="15" t="n">
        <x:f>Settings!F18+1</x:f>
        <x:v>2028</x:v>
      </x:c>
      <x:c r="I8" s="15" t="n">
        <x:f>Settings!F18+2</x:f>
        <x:v>2029</x:v>
      </x:c>
      <x:c r="J8" s="15" t="n">
        <x:f>Settings!F18+3</x:f>
        <x:v>2030</x:v>
      </x:c>
      <x:c r="K8" s="15" t="n">
        <x:f>Settings!F18+4</x:f>
        <x:v>2031</x:v>
      </x:c>
    </x:row>
    <x:row r="9" ht="26" customHeight="1">
      <x:c r="A9" s="1"/>
      <x:c r="B9" s="1"/>
      <x:c r="C9" s="3" t="str">
        <x:v>Loan interest income</x:v>
      </x:c>
      <x:c r="D9" s="3"/>
      <x:c r="E9" s="3"/>
      <x:c r="F9" s="21"/>
      <x:c r="G9" s="23" t="n">
        <x:f>SUM('Facility Plan'!Z9:Z108)</x:f>
        <x:v>23.50968942043896</x:v>
      </x:c>
      <x:c r="H9" s="23" t="n">
        <x:f>SUM('Facility Plan'!Z109:Z208)</x:f>
        <x:v>21.04053290740741</x:v>
      </x:c>
      <x:c r="I9" s="23" t="n">
        <x:f>SUM('Facility Plan'!Z209:Z308)</x:f>
        <x:v>18.486490249000003</x:v>
      </x:c>
      <x:c r="J9" s="23" t="n">
        <x:f>SUM('Facility Plan'!Z309:Z408)</x:f>
        <x:v>16.424597076619314</x:v>
      </x:c>
      <x:c r="K9" s="23" t="n">
        <x:f>SUM('Facility Plan'!Z409:Z508)</x:f>
        <x:v>13.400624331932862</x:v>
      </x:c>
    </x:row>
    <x:row r="10" ht="26" customHeight="1">
      <x:c r="A10" s="1"/>
      <x:c r="B10" s="1"/>
      <x:c r="C10" s="3" t="str">
        <x:v>Liquid asset income</x:v>
      </x:c>
      <x:c r="D10" s="3"/>
      <x:c r="E10" s="3"/>
      <x:c r="F10" s="21"/>
      <x:c r="G10" s="21" t="n">
        <x:f>(F23+F24)*$F$66</x:f>
        <x:v>2.45</x:v>
      </x:c>
      <x:c r="H10" s="21" t="n">
        <x:f>(G23+G24)*$F$66</x:f>
        <x:v>3.5550478067595384</x:v>
      </x:c>
      <x:c r="I10" s="21" t="n">
        <x:f>(H23+H24)*$F$66</x:f>
        <x:v>4.641891921847451</x:v>
      </x:c>
      <x:c r="J10" s="21" t="n">
        <x:f>(I23+I24)*$F$66</x:f>
        <x:v>5.654930793827112</x:v>
      </x:c>
      <x:c r="K10" s="21" t="n">
        <x:f>(J23+J24)*$F$66</x:f>
        <x:v>6.189935058237323</x:v>
      </x:c>
    </x:row>
    <x:row r="11" ht="26" customHeight="1">
      <x:c r="A11" s="1"/>
      <x:c r="B11" s="1"/>
      <x:c r="C11" s="3" t="str">
        <x:v>Fee income</x:v>
      </x:c>
      <x:c r="D11" s="3"/>
      <x:c r="E11" s="3"/>
      <x:c r="F11" s="21"/>
      <x:c r="G11" s="21" t="n">
        <x:f>$F$67</x:f>
        <x:v>5</x:v>
      </x:c>
      <x:c r="H11" s="21" t="n">
        <x:f>$F$67</x:f>
        <x:v>5</x:v>
      </x:c>
      <x:c r="I11" s="21" t="n">
        <x:f>$F$67</x:f>
        <x:v>5</x:v>
      </x:c>
      <x:c r="J11" s="21" t="n">
        <x:f>$F$67</x:f>
        <x:v>5</x:v>
      </x:c>
      <x:c r="K11" s="21" t="n">
        <x:f>$F$67</x:f>
        <x:v>5</x:v>
      </x:c>
    </x:row>
    <x:row r="12" ht="26" customHeight="1">
      <x:c r="A12" s="1"/>
      <x:c r="B12" s="1"/>
      <x:c r="C12" s="3" t="str">
        <x:v>Funding expense</x:v>
      </x:c>
      <x:c r="D12" s="3"/>
      <x:c r="E12" s="3"/>
      <x:c r="F12" s="21"/>
      <x:c r="G12" s="23" t="n">
        <x:f>F31*($F$68+'Scenario Paths'!F69)+F32*($F$69+'Scenario Paths'!F69)</x:f>
        <x:v>9.235</x:v>
      </x:c>
      <x:c r="H12" s="23" t="n">
        <x:f>G31*($F$68+'Scenario Paths'!G69)+G32*($F$69+'Scenario Paths'!G69)</x:f>
        <x:v>9.453499999999998</x:v>
      </x:c>
      <x:c r="I12" s="23" t="n">
        <x:f>H31*($F$68+'Scenario Paths'!H69)+H32*($F$69+'Scenario Paths'!H69)</x:f>
        <x:v>11.026436</x:v>
      </x:c>
      <x:c r="J12" s="23" t="n">
        <x:f>I31*($F$68+'Scenario Paths'!I69)+I32*($F$69+'Scenario Paths'!I69)</x:f>
        <x:v>10.454284979999999</x:v>
      </x:c>
      <x:c r="K12" s="23" t="n">
        <x:f>J31*($F$68+'Scenario Paths'!J69)+J32*($F$69+'Scenario Paths'!J69)</x:f>
        <x:v>9.7307404992</x:v>
      </x:c>
    </x:row>
    <x:row r="13" ht="26" customHeight="1">
      <x:c r="A13" s="1"/>
      <x:c r="B13" s="1"/>
      <x:c r="C13" s="3" t="str">
        <x:v>Operating expense</x:v>
      </x:c>
      <x:c r="D13" s="3"/>
      <x:c r="E13" s="3"/>
      <x:c r="F13" s="21"/>
      <x:c r="G13" s="21" t="n">
        <x:f>$F$70+G91*G94</x:f>
        <x:v>10</x:v>
      </x:c>
      <x:c r="H13" s="21" t="n">
        <x:f>$F$70+H91*H94</x:f>
        <x:v>10</x:v>
      </x:c>
      <x:c r="I13" s="21" t="n">
        <x:f>$F$70+I91*I94</x:f>
        <x:v>10.25</x:v>
      </x:c>
      <x:c r="J13" s="21" t="n">
        <x:f>$F$70+J91*J94</x:f>
        <x:v>10</x:v>
      </x:c>
      <x:c r="K13" s="21" t="n">
        <x:f>$F$70+K91*K94</x:f>
        <x:v>10</x:v>
      </x:c>
    </x:row>
    <x:row r="14" ht="26" customHeight="1">
      <x:c r="A14" s="1"/>
      <x:c r="B14" s="1"/>
      <x:c r="C14" s="3" t="str">
        <x:v>Credit impairment charge</x:v>
      </x:c>
      <x:c r="D14" s="3"/>
      <x:c r="E14" s="3"/>
      <x:c r="F14" s="21"/>
      <x:c r="G14" s="23" t="n">
        <x:f>SUM('Facility Plan'!Y9:Y108)</x:f>
        <x:v>-1.8291745106799526</x:v>
      </x:c>
      <x:c r="H14" s="23" t="n">
        <x:f>SUM('Facility Plan'!Y109:Y208)</x:f>
        <x:v>-0.17135941537993338</x:v>
      </x:c>
      <x:c r="I14" s="23" t="n">
        <x:f>SUM('Facility Plan'!Y209:Y308)</x:f>
        <x:v>9.128402640913265</x:v>
      </x:c>
      <x:c r="J14" s="23" t="n">
        <x:f>SUM('Facility Plan'!Y309:Y408)</x:f>
        <x:v>-3.757410979263585</x:v>
      </x:c>
      <x:c r="K14" s="23" t="n">
        <x:f>SUM('Facility Plan'!Y409:Y508)</x:f>
        <x:v>-3.750871784573486</x:v>
      </x:c>
    </x:row>
    <x:row r="15" ht="26" customHeight="1">
      <x:c r="A15" s="1"/>
      <x:c r="B15" s="1"/>
      <x:c r="C15" s="3" t="str">
        <x:v>Direct operational loss</x:v>
      </x:c>
      <x:c r="D15" s="3"/>
      <x:c r="E15" s="3"/>
      <x:c r="F15" s="21"/>
      <x:c r="G15" s="23" t="n">
        <x:f>'Scenario Paths'!F51</x:f>
        <x:v>0.2</x:v>
      </x:c>
      <x:c r="H15" s="23" t="n">
        <x:f>'Scenario Paths'!G51</x:f>
        <x:v>0.3</x:v>
      </x:c>
      <x:c r="I15" s="23" t="n">
        <x:f>'Scenario Paths'!H51</x:f>
        <x:v>0.7</x:v>
      </x:c>
      <x:c r="J15" s="23" t="n">
        <x:f>'Scenario Paths'!I51</x:f>
        <x:v>0.5</x:v>
      </x:c>
      <x:c r="K15" s="23" t="n">
        <x:f>'Scenario Paths'!J51</x:f>
        <x:v>0.3</x:v>
      </x:c>
    </x:row>
    <x:row r="16" ht="26" customHeight="1">
      <x:c r="A16" s="1"/>
      <x:c r="B16" s="1"/>
      <x:c r="C16" s="3" t="str">
        <x:v>Market value loss</x:v>
      </x:c>
      <x:c r="D16" s="3"/>
      <x:c r="E16" s="3"/>
      <x:c r="F16" s="21"/>
      <x:c r="G16" s="23" t="n">
        <x:f>MIN(MAX(0,F28),'Scenario Paths'!F57)+F24*'Scenario Paths'!F63</x:f>
        <x:v>0.45000000000000007</x:v>
      </x:c>
      <x:c r="H16" s="23" t="n">
        <x:f>MIN(MAX(0,G28),'Scenario Paths'!G57)+G24*'Scenario Paths'!G63</x:f>
        <x:v>0.893</x:v>
      </x:c>
      <x:c r="I16" s="23" t="n">
        <x:f>MIN(MAX(0,H28),'Scenario Paths'!H57)+H24*'Scenario Paths'!H63</x:f>
        <x:v>2.05828</x:v>
      </x:c>
      <x:c r="J16" s="23" t="n">
        <x:f>MIN(MAX(0,I28),'Scenario Paths'!I57)+I24*'Scenario Paths'!I63</x:f>
        <x:v>1.2779616</x:v>
      </x:c>
      <x:c r="K16" s="23" t="n">
        <x:f>MIN(MAX(0,J28),'Scenario Paths'!J57)+J24*'Scenario Paths'!J63</x:f>
        <x:v>0.832415168</x:v>
      </x:c>
    </x:row>
    <x:row r="17" ht="26" customHeight="1">
      <x:c r="A17" s="1"/>
      <x:c r="B17" s="1"/>
      <x:c r="C17" s="13" t="str">
        <x:v>Profit before tax</x:v>
      </x:c>
      <x:c r="D17" s="13"/>
      <x:c r="E17" s="13"/>
      <x:c r="F17" s="31"/>
      <x:c r="G17" s="31" t="n">
        <x:f>SUM(G9:G11)-SUM(G12:G16)</x:f>
        <x:v>12.903863931118913</x:v>
      </x:c>
      <x:c r="H17" s="31" t="n">
        <x:f>SUM(H9:H11)-SUM(H12:H16)</x:f>
        <x:v>9.120440129546882</x:v>
      </x:c>
      <x:c r="I17" s="31" t="n">
        <x:f>SUM(I9:I11)-SUM(I12:I16)</x:f>
        <x:v>-5.034736470065816</x:v>
      </x:c>
      <x:c r="J17" s="31" t="n">
        <x:f>SUM(J9:J11)-SUM(J12:J16)</x:f>
        <x:v>8.604692269710014</x:v>
      </x:c>
      <x:c r="K17" s="31" t="n">
        <x:f>SUM(K9:K11)-SUM(K12:K16)</x:f>
        <x:v>7.478275507543671</x:v>
      </x:c>
    </x:row>
    <x:row r="18" ht="26" customHeight="1">
      <x:c r="A18" s="1"/>
      <x:c r="B18" s="1"/>
      <x:c r="C18" s="3" t="str">
        <x:v>Tax expense</x:v>
      </x:c>
      <x:c r="D18" s="3"/>
      <x:c r="E18" s="3"/>
      <x:c r="F18" s="21"/>
      <x:c r="G18" s="23" t="n">
        <x:f>MAX(0,G17)*Settings!$F$21</x:f>
        <x:v>2.9033693845017554</x:v>
      </x:c>
      <x:c r="H18" s="23" t="n">
        <x:f>MAX(0,H17)*Settings!$F$21</x:f>
        <x:v>2.0520990291480485</x:v>
      </x:c>
      <x:c r="I18" s="23" t="n">
        <x:f>MAX(0,I17)*Settings!$F$21</x:f>
        <x:v>0</x:v>
      </x:c>
      <x:c r="J18" s="23" t="n">
        <x:f>MAX(0,J17)*Settings!$F$21</x:f>
        <x:v>1.9360557606847533</x:v>
      </x:c>
      <x:c r="K18" s="23" t="n">
        <x:f>MAX(0,K17)*Settings!$F$21</x:f>
        <x:v>1.6826119891973261</x:v>
      </x:c>
    </x:row>
    <x:row r="19" ht="26" customHeight="1">
      <x:c r="A19" s="1"/>
      <x:c r="B19" s="1"/>
      <x:c r="C19" s="13" t="str">
        <x:v>Profit after tax</x:v>
      </x:c>
      <x:c r="D19" s="13"/>
      <x:c r="E19" s="13"/>
      <x:c r="F19" s="31"/>
      <x:c r="G19" s="31" t="n">
        <x:f>G17-G18</x:f>
        <x:v>10.000494546617158</x:v>
      </x:c>
      <x:c r="H19" s="31" t="n">
        <x:f>H17-H18</x:f>
        <x:v>7.0683411003988335</x:v>
      </x:c>
      <x:c r="I19" s="31" t="n">
        <x:f>I17-I18</x:f>
        <x:v>-5.034736470065816</x:v>
      </x:c>
      <x:c r="J19" s="31" t="n">
        <x:f>J17-J18</x:f>
        <x:v>6.668636509025261</x:v>
      </x:c>
      <x:c r="K19" s="31" t="n">
        <x:f>K17-K18</x:f>
        <x:v>5.795663518346345</x:v>
      </x:c>
    </x:row>
    <x:row r="20" ht="26" customHeight="1">
      <x:c r="A20" s="1"/>
      <x:c r="B20" s="1"/>
      <x:c r="C20" s="3" t="str">
        <x:v>Dividends</x:v>
      </x:c>
      <x:c r="D20" s="3"/>
      <x:c r="E20" s="3"/>
      <x:c r="F20" s="21"/>
      <x:c r="G20" s="23" t="n">
        <x:f>MAX(0,G19)*Settings!$F$22</x:f>
        <x:v>2.5001236366542896</x:v>
      </x:c>
      <x:c r="H20" s="23" t="n">
        <x:f>MAX(0,H19)*Settings!$F$22</x:f>
        <x:v>1.7670852750997084</x:v>
      </x:c>
      <x:c r="I20" s="23" t="n">
        <x:f>MAX(0,I19)*Settings!$F$22</x:f>
        <x:v>0</x:v>
      </x:c>
      <x:c r="J20" s="23" t="n">
        <x:f>MAX(0,J19)*Settings!$F$22</x:f>
        <x:v>1.6671591272563153</x:v>
      </x:c>
      <x:c r="K20" s="23" t="n">
        <x:f>MAX(0,K19)*Settings!$F$22</x:f>
        <x:v>1.4489158795865862</x:v>
      </x:c>
    </x:row>
    <x:row r="21" ht="26" customHeight="1">
      <x:c r="A21" s="1"/>
      <x:c r="B21" s="1"/>
      <x:c r="C21" s="13" t="str">
        <x:v>Retained earnings</x:v>
      </x:c>
      <x:c r="D21" s="13"/>
      <x:c r="E21" s="13"/>
      <x:c r="F21" s="31"/>
      <x:c r="G21" s="31" t="n">
        <x:f>G19-G20</x:f>
        <x:v>7.500370909962869</x:v>
      </x:c>
      <x:c r="H21" s="31" t="n">
        <x:f>H19-H20</x:f>
        <x:v>5.301255825299125</x:v>
      </x:c>
      <x:c r="I21" s="31" t="n">
        <x:f>I19-I20</x:f>
        <x:v>-5.034736470065816</x:v>
      </x:c>
      <x:c r="J21" s="31" t="n">
        <x:f>J19-J20</x:f>
        <x:v>5.001477381768946</x:v>
      </x:c>
      <x:c r="K21" s="31" t="n">
        <x:f>K19-K20</x:f>
        <x:v>4.346747638759759</x:v>
      </x:c>
    </x:row>
    <x:row r="22" ht="26" customHeight="1">
      <x:c r="A22" s="1"/>
      <x:c r="B22" s="1"/>
      <x:c r="C22" s="3"/>
      <x:c r="D22" s="3"/>
      <x:c r="E22" s="3"/>
      <x:c r="F22" s="21"/>
      <x:c r="G22" s="21"/>
      <x:c r="H22" s="21"/>
      <x:c r="I22" s="21"/>
      <x:c r="J22" s="21"/>
      <x:c r="K22" s="21"/>
    </x:row>
    <x:row r="23" ht="26" customHeight="1">
      <x:c r="A23" s="1"/>
      <x:c r="B23" s="1"/>
      <x:c r="C23" s="3" t="str">
        <x:v>Cash and central bank reserves</x:v>
      </x:c>
      <x:c r="D23" s="3"/>
      <x:c r="E23" s="3"/>
      <x:c r="F23" s="21" t="n">
        <x:f>F60</x:f>
        <x:v>35</x:v>
      </x:c>
      <x:c r="G23" s="23" t="n">
        <x:f>F23+G19+G14-SUM('Facility Plan'!AG9:AG108)+G16+SUM('Facility Plan'!K9:K108)+SUM('Facility Plan'!M9:M108)-SUM('Facility Plan'!J9:J108)+G31-F31+G90*G94+G89*G94-G20</x:f>
        <x:v>66.92279447884395</x:v>
      </x:c>
      <x:c r="H23" s="23" t="n">
        <x:f>G23+H19+H14-SUM('Facility Plan'!AG109:AG208)+H16+SUM('Facility Plan'!K109:K208)+SUM('Facility Plan'!M109:M208)-SUM('Facility Plan'!J109:J208)+H31-G31+H90*H94+H89*H94-H20</x:f>
        <x:v>98.66848348135574</x:v>
      </x:c>
      <x:c r="I23" s="23" t="n">
        <x:f>H23+I19+I14-SUM('Facility Plan'!AG209:AG308)+I16+SUM('Facility Plan'!K209:K308)+SUM('Facility Plan'!M209:M308)-SUM('Facility Plan'!J209:J308)+I31-H31+I90*I94+I89*I94-I20</x:f>
        <x:v>128.9707312522032</x:v>
      </x:c>
      <x:c r="J23" s="23" t="n">
        <x:f>I23+J19+J14-SUM('Facility Plan'!AG309:AG408)+J16+SUM('Facility Plan'!K309:K408)+SUM('Facility Plan'!M309:M408)-SUM('Facility Plan'!J309:J408)+J31-I31+J90*J94+J89*J94-J20</x:f>
        <x:v>145.2345289782092</x:v>
      </x:c>
      <x:c r="K23" s="23" t="n">
        <x:f>J23+K19+K14-SUM('Facility Plan'!AG409:AG508)+K16+SUM('Facility Plan'!K409:K508)+SUM('Facility Plan'!M409:M508)-SUM('Facility Plan'!J409:J508)+K31-J31+K90*K94+K89*K94-K20</x:f>
        <x:v>192.1406606733762</x:v>
      </x:c>
    </x:row>
    <x:row r="24" ht="26" customHeight="1">
      <x:c r="A24" s="1"/>
      <x:c r="B24" s="1"/>
      <x:c r="C24" s="3" t="str">
        <x:v>Liquid securities</x:v>
      </x:c>
      <x:c r="D24" s="3"/>
      <x:c r="E24" s="3"/>
      <x:c r="F24" s="21" t="n">
        <x:f>F61</x:f>
        <x:v>35</x:v>
      </x:c>
      <x:c r="G24" s="23" t="n">
        <x:f>MAX(0,F24*(1-'Scenario Paths'!F63))</x:f>
        <x:v>34.65</x:v>
      </x:c>
      <x:c r="H24" s="23" t="n">
        <x:f>MAX(0,G24*(1-'Scenario Paths'!G63))</x:f>
        <x:v>33.957</x:v>
      </x:c>
      <x:c r="I24" s="23" t="n">
        <x:f>MAX(0,H24*(1-'Scenario Paths'!H63))</x:f>
        <x:v>32.59872</x:v>
      </x:c>
      <x:c r="J24" s="23" t="n">
        <x:f>MAX(0,I24*(1-'Scenario Paths'!I63))</x:f>
        <x:v>31.6207584</x:v>
      </x:c>
      <x:c r="K24" s="23" t="n">
        <x:f>MAX(0,J24*(1-'Scenario Paths'!J63))</x:f>
        <x:v>30.988343232</x:v>
      </x:c>
    </x:row>
    <x:row r="25" ht="26" customHeight="1">
      <x:c r="A25" s="1"/>
      <x:c r="B25" s="1"/>
      <x:c r="C25" s="3" t="str">
        <x:v>Gross customer loans</x:v>
      </x:c>
      <x:c r="D25" s="3"/>
      <x:c r="E25" s="3"/>
      <x:c r="F25" s="23" t="n">
        <x:f>SUM(Facilities!AA9:AA108)</x:f>
        <x:v>269.7</x:v>
      </x:c>
      <x:c r="G25" s="23" t="n">
        <x:f>SUM('Facility Plan'!AH9:AH108)</x:f>
        <x:v>240.885</x:v>
      </x:c>
      <x:c r="H25" s="23" t="n">
        <x:f>SUM('Facility Plan'!AH109:AH208)</x:f>
        <x:v>203.88080000000008</x:v>
      </x:c>
      <x:c r="I25" s="23" t="n">
        <x:f>SUM('Facility Plan'!AH209:AH308)</x:f>
        <x:v>185.3084684</x:v>
      </x:c>
      <x:c r="J25" s="23" t="n">
        <x:f>SUM('Facility Plan'!AH309:AH408)</x:f>
        <x:v>166.576174592</x:v>
      </x:c>
      <x:c r="K25" s="23" t="n">
        <x:f>SUM('Facility Plan'!AH409:AH508)</x:f>
        <x:v>116.26252325376</x:v>
      </x:c>
    </x:row>
    <x:row r="26" ht="26" customHeight="1">
      <x:c r="A26" s="1"/>
      <x:c r="B26" s="1"/>
      <x:c r="C26" s="3" t="str">
        <x:v>Drawn allowance</x:v>
      </x:c>
      <x:c r="D26" s="3"/>
      <x:c r="E26" s="3"/>
      <x:c r="F26" s="23" t="n">
        <x:f>SUM(ECL!AB9:AB108)</x:f>
        <x:v>13.355693185003394</x:v>
      </x:c>
      <x:c r="G26" s="23" t="n">
        <x:f>SUM('Facility Plan'!U9:U108)</x:f>
        <x:v>11.53111346999971</x:v>
      </x:c>
      <x:c r="H26" s="23" t="n">
        <x:f>SUM('Facility Plan'!U109:U208)</x:f>
        <x:v>5.140502005206318</x:v>
      </x:c>
      <x:c r="I26" s="23" t="n">
        <x:f>SUM('Facility Plan'!U209:U308)</x:f>
        <x:v>13.717987306477694</x:v>
      </x:c>
      <x:c r="J26" s="23" t="n">
        <x:f>SUM('Facility Plan'!U309:U408)</x:f>
        <x:v>10.107805783525135</x:v>
      </x:c>
      <x:c r="K26" s="23" t="n">
        <x:f>SUM('Facility Plan'!U409:U508)</x:f>
        <x:v>4.178071654475987</x:v>
      </x:c>
    </x:row>
    <x:row r="27" ht="26" customHeight="1">
      <x:c r="A27" s="1"/>
      <x:c r="B27" s="1"/>
      <x:c r="C27" s="3" t="str">
        <x:v>Net customer loans</x:v>
      </x:c>
      <x:c r="D27" s="3"/>
      <x:c r="E27" s="3"/>
      <x:c r="F27" s="21" t="n">
        <x:f>F25-F26</x:f>
        <x:v>256.34430681499657</x:v>
      </x:c>
      <x:c r="G27" s="21" t="n">
        <x:f>G25-G26</x:f>
        <x:v>229.3538865300003</x:v>
      </x:c>
      <x:c r="H27" s="21" t="n">
        <x:f>H25-H26</x:f>
        <x:v>198.74029799479376</x:v>
      </x:c>
      <x:c r="I27" s="21" t="n">
        <x:f>I25-I26</x:f>
        <x:v>171.59048109352233</x:v>
      </x:c>
      <x:c r="J27" s="21" t="n">
        <x:f>J25-J26</x:f>
        <x:v>156.46836880847488</x:v>
      </x:c>
      <x:c r="K27" s="21" t="n">
        <x:f>K25-K26</x:f>
        <x:v>112.08445159928401</x:v>
      </x:c>
    </x:row>
    <x:row r="28" ht="26" customHeight="1">
      <x:c r="A28" s="1"/>
      <x:c r="B28" s="1"/>
      <x:c r="C28" s="3" t="str">
        <x:v>Other assets</x:v>
      </x:c>
      <x:c r="D28" s="3"/>
      <x:c r="E28" s="3"/>
      <x:c r="F28" s="21" t="n">
        <x:f>F62</x:f>
        <x:v>20</x:v>
      </x:c>
      <x:c r="G28" s="23" t="n">
        <x:f>MAX(0,F28-'Scenario Paths'!F57)</x:f>
        <x:v>19.9</x:v>
      </x:c>
      <x:c r="H28" s="23" t="n">
        <x:f>MAX(0,G28-'Scenario Paths'!G57)</x:f>
        <x:v>19.7</x:v>
      </x:c>
      <x:c r="I28" s="23" t="n">
        <x:f>MAX(0,H28-'Scenario Paths'!H57)</x:f>
        <x:v>19</x:v>
      </x:c>
      <x:c r="J28" s="23" t="n">
        <x:f>MAX(0,I28-'Scenario Paths'!I57)</x:f>
        <x:v>18.7</x:v>
      </x:c>
      <x:c r="K28" s="23" t="n">
        <x:f>MAX(0,J28-'Scenario Paths'!J57)</x:f>
        <x:v>18.5</x:v>
      </x:c>
    </x:row>
    <x:row r="29" ht="26" customHeight="1">
      <x:c r="A29" s="1"/>
      <x:c r="B29" s="1"/>
      <x:c r="C29" s="13" t="str">
        <x:v>Total assets</x:v>
      </x:c>
      <x:c r="D29" s="13"/>
      <x:c r="E29" s="13"/>
      <x:c r="F29" s="31" t="n">
        <x:f>SUM(F23:F24)+F27+F28</x:f>
        <x:v>346.34430681499657</x:v>
      </x:c>
      <x:c r="G29" s="31" t="n">
        <x:f>SUM(G23:G24)+G27+G28</x:f>
        <x:v>350.8266810088442</x:v>
      </x:c>
      <x:c r="H29" s="31" t="n">
        <x:f>SUM(H23:H24)+H27+H28</x:f>
        <x:v>351.0657814761495</x:v>
      </x:c>
      <x:c r="I29" s="31" t="n">
        <x:f>SUM(I23:I24)+I27+I28</x:f>
        <x:v>352.1599323457255</x:v>
      </x:c>
      <x:c r="J29" s="31" t="n">
        <x:f>SUM(J23:J24)+J27+J28</x:f>
        <x:v>352.02365618668404</x:v>
      </x:c>
      <x:c r="K29" s="31" t="n">
        <x:f>SUM(K23:K24)+K27+K28</x:f>
        <x:v>353.7134555046602</x:v>
      </x:c>
    </x:row>
    <x:row r="30" ht="26" customHeight="1">
      <x:c r="A30" s="1"/>
      <x:c r="B30" s="1"/>
      <x:c r="C30" s="3"/>
      <x:c r="D30" s="3"/>
      <x:c r="E30" s="3"/>
      <x:c r="F30" s="21"/>
      <x:c r="G30" s="21"/>
      <x:c r="H30" s="21"/>
      <x:c r="I30" s="21"/>
      <x:c r="J30" s="21"/>
      <x:c r="K30" s="21"/>
    </x:row>
    <x:row r="31" ht="26" customHeight="1">
      <x:c r="A31" s="1"/>
      <x:c r="B31" s="1"/>
      <x:c r="C31" s="3" t="str">
        <x:v>Deposits</x:v>
      </x:c>
      <x:c r="D31" s="3"/>
      <x:c r="E31" s="3"/>
      <x:c r="F31" s="21" t="n">
        <x:f>F63</x:f>
        <x:v>255</x:v>
      </x:c>
      <x:c r="G31" s="23" t="n">
        <x:f>F31*(1-'Scenario Paths'!F45)</x:f>
        <x:v>252.45</x:v>
      </x:c>
      <x:c r="H31" s="23" t="n">
        <x:f>G31*(1-'Scenario Paths'!G45)</x:f>
        <x:v>247.40099999999998</x:v>
      </x:c>
      <x:c r="I31" s="23" t="n">
        <x:f>H31*(1-'Scenario Paths'!H45)</x:f>
        <x:v>239.97896999999998</x:v>
      </x:c>
      <x:c r="J31" s="23" t="n">
        <x:f>I31*(1-'Scenario Paths'!I45)</x:f>
        <x:v>235.17939059999998</x:v>
      </x:c>
      <x:c r="K31" s="23" t="n">
        <x:f>J31*(1-'Scenario Paths'!J45)</x:f>
        <x:v>232.82759669399996</x:v>
      </x:c>
    </x:row>
    <x:row r="32" ht="26" customHeight="1">
      <x:c r="A32" s="1"/>
      <x:c r="B32" s="1"/>
      <x:c r="C32" s="3" t="str">
        <x:v>Term funding</x:v>
      </x:c>
      <x:c r="D32" s="3"/>
      <x:c r="E32" s="3"/>
      <x:c r="F32" s="21" t="n">
        <x:f>F64</x:f>
        <x:v>40</x:v>
      </x:c>
      <x:c r="G32" s="21" t="n">
        <x:f>F32+G90*G94</x:f>
        <x:v>40</x:v>
      </x:c>
      <x:c r="H32" s="21" t="n">
        <x:f>G32+H90*H94</x:f>
        <x:v>40</x:v>
      </x:c>
      <x:c r="I32" s="21" t="n">
        <x:f>H32+I90*I94</x:f>
        <x:v>45</x:v>
      </x:c>
      <x:c r="J32" s="21" t="n">
        <x:f>I32+J90*J94</x:f>
        <x:v>45</x:v>
      </x:c>
      <x:c r="K32" s="21" t="n">
        <x:f>J32+K90*K94</x:f>
        <x:v>45</x:v>
      </x:c>
    </x:row>
    <x:row r="33" ht="26" customHeight="1">
      <x:c r="A33" s="1"/>
      <x:c r="B33" s="1"/>
      <x:c r="C33" s="3" t="str">
        <x:v>Off-balance provision</x:v>
      </x:c>
      <x:c r="D33" s="3"/>
      <x:c r="E33" s="3"/>
      <x:c r="F33" s="23" t="n">
        <x:f>SUM(ECL!AC9:AC108)</x:f>
        <x:v>1.0177966012964703</x:v>
      </x:c>
      <x:c r="G33" s="23" t="n">
        <x:f>SUM('Facility Plan'!V9:V108)</x:f>
        <x:v>0.5497998851812437</x:v>
      </x:c>
      <x:c r="H33" s="23" t="n">
        <x:f>SUM('Facility Plan'!V109:V208)</x:f>
        <x:v>0.5366445271872962</x:v>
      </x:c>
      <x:c r="I33" s="23" t="n">
        <x:f>SUM('Facility Plan'!V209:V308)</x:f>
        <x:v>1.0875618668291804</x:v>
      </x:c>
      <x:c r="J33" s="23" t="n">
        <x:f>SUM('Facility Plan'!V309:V408)</x:f>
        <x:v>0.7493877260188428</x:v>
      </x:c>
      <x:c r="K33" s="23" t="n">
        <x:f>SUM('Facility Plan'!V409:V508)</x:f>
        <x:v>0.44423331123524523</x:v>
      </x:c>
    </x:row>
    <x:row r="34" ht="26" customHeight="1">
      <x:c r="A34" s="1"/>
      <x:c r="B34" s="1"/>
      <x:c r="C34" s="3" t="str">
        <x:v>Other liabilities</x:v>
      </x:c>
      <x:c r="D34" s="3"/>
      <x:c r="E34" s="3"/>
      <x:c r="F34" s="21" t="n">
        <x:f>F65</x:f>
        <x:v>5</x:v>
      </x:c>
      <x:c r="G34" s="21" t="n">
        <x:f>$F$65</x:f>
        <x:v>5</x:v>
      </x:c>
      <x:c r="H34" s="21" t="n">
        <x:f>$F$65</x:f>
        <x:v>5</x:v>
      </x:c>
      <x:c r="I34" s="21" t="n">
        <x:f>$F$65</x:f>
        <x:v>5</x:v>
      </x:c>
      <x:c r="J34" s="21" t="n">
        <x:f>$F$65</x:f>
        <x:v>5</x:v>
      </x:c>
      <x:c r="K34" s="21" t="n">
        <x:f>$F$65</x:f>
        <x:v>5</x:v>
      </x:c>
    </x:row>
    <x:row r="35" ht="26" customHeight="1">
      <x:c r="A35" s="1"/>
      <x:c r="B35" s="1"/>
      <x:c r="C35" s="13" t="str">
        <x:v>Book equity</x:v>
      </x:c>
      <x:c r="D35" s="13"/>
      <x:c r="E35" s="13"/>
      <x:c r="F35" s="31" t="n">
        <x:f>F29-SUM(F31:F34)</x:f>
        <x:v>45.32651021370009</x:v>
      </x:c>
      <x:c r="G35" s="31" t="n">
        <x:f>F35+G21+G89*G94</x:f>
        <x:v>52.82688112366296</x:v>
      </x:c>
      <x:c r="H35" s="31" t="n">
        <x:f>G35+H21+H89*H94</x:f>
        <x:v>58.12813694896208</x:v>
      </x:c>
      <x:c r="I35" s="31" t="n">
        <x:f>H35+I21+I89*I94</x:f>
        <x:v>61.093400478896264</x:v>
      </x:c>
      <x:c r="J35" s="31" t="n">
        <x:f>I35+J21+J89*J94</x:f>
        <x:v>66.0948778606652</x:v>
      </x:c>
      <x:c r="K35" s="31" t="n">
        <x:f>J35+K21+K89*K94</x:f>
        <x:v>70.44162549942496</x:v>
      </x:c>
    </x:row>
    <x:row r="36" ht="26" customHeight="1">
      <x:c r="A36" s="1"/>
      <x:c r="B36" s="1"/>
      <x:c r="C36" s="13" t="str">
        <x:v>Total liabilities and equity</x:v>
      </x:c>
      <x:c r="D36" s="13"/>
      <x:c r="E36" s="13"/>
      <x:c r="F36" s="31" t="n">
        <x:f>SUM(F31:F35)</x:f>
        <x:v>346.34430681499657</x:v>
      </x:c>
      <x:c r="G36" s="31" t="n">
        <x:f>SUM(G31:G35)</x:f>
        <x:v>350.82668100884416</x:v>
      </x:c>
      <x:c r="H36" s="31" t="n">
        <x:f>SUM(H31:H35)</x:f>
        <x:v>351.06578147614937</x:v>
      </x:c>
      <x:c r="I36" s="31" t="n">
        <x:f>SUM(I31:I35)</x:f>
        <x:v>352.15993234572545</x:v>
      </x:c>
      <x:c r="J36" s="31" t="n">
        <x:f>SUM(J31:J35)</x:f>
        <x:v>352.023656186684</x:v>
      </x:c>
      <x:c r="K36" s="31" t="n">
        <x:f>SUM(K31:K35)</x:f>
        <x:v>353.71345550466015</x:v>
      </x:c>
    </x:row>
    <x:row r="37" ht="26" customHeight="1">
      <x:c r="A37" s="1"/>
      <x:c r="B37" s="1"/>
      <x:c r="C37" s="3" t="str">
        <x:v>Balance-sheet difference</x:v>
      </x:c>
      <x:c r="D37" s="3"/>
      <x:c r="E37" s="3"/>
      <x:c r="F37" s="21" t="n">
        <x:f>F29-F36</x:f>
        <x:v>0</x:v>
      </x:c>
      <x:c r="G37" s="21" t="n">
        <x:f>G29-G36</x:f>
        <x:v>5.684341886080802e-14</x:v>
      </x:c>
      <x:c r="H37" s="21" t="n">
        <x:f>H29-H36</x:f>
        <x:v>1.1368683772161603e-13</x:v>
      </x:c>
      <x:c r="I37" s="21" t="n">
        <x:f>I29-I36</x:f>
        <x:v>5.684341886080802e-14</x:v>
      </x:c>
      <x:c r="J37" s="21" t="n">
        <x:f>J29-J36</x:f>
        <x:v>5.684341886080802e-14</x:v>
      </x:c>
      <x:c r="K37" s="21" t="n">
        <x:f>K29-K36</x:f>
        <x:v>5.684341886080802e-14</x:v>
      </x:c>
    </x:row>
    <x:row r="38" ht="26" customHeight="1">
      <x:c r="A38" s="1"/>
      <x:c r="B38" s="1"/>
      <x:c r="C38" s="3"/>
      <x:c r="D38" s="3"/>
      <x:c r="E38" s="3"/>
      <x:c r="F38" s="21"/>
      <x:c r="G38" s="21"/>
      <x:c r="H38" s="21"/>
      <x:c r="I38" s="21"/>
      <x:c r="J38" s="21"/>
      <x:c r="K38" s="21"/>
    </x:row>
    <x:row r="39" ht="26" customHeight="1">
      <x:c r="A39" s="1"/>
      <x:c r="B39" s="1"/>
      <x:c r="C39" s="3" t="str">
        <x:v>Eligible CET1 before actions</x:v>
      </x:c>
      <x:c r="D39" s="3"/>
      <x:c r="E39" s="3"/>
      <x:c r="F39" s="21" t="n">
        <x:f>F35-F71-F72</x:f>
        <x:v>39.32651021370009</x:v>
      </x:c>
      <x:c r="G39" s="21" t="n">
        <x:f>G100</x:f>
        <x:v>46.82688112366296</x:v>
      </x:c>
      <x:c r="H39" s="21" t="n">
        <x:f>H100</x:f>
        <x:v>52.12813694896208</x:v>
      </x:c>
      <x:c r="I39" s="21" t="n">
        <x:f>I100</x:f>
        <x:v>47.343400478896264</x:v>
      </x:c>
      <x:c r="J39" s="21" t="n">
        <x:f>J100</x:f>
        <x:v>52.233713798165205</x:v>
      </x:c>
      <x:c r="K39" s="21" t="n">
        <x:f>K100</x:f>
        <x:v>56.46122338052847</x:v>
      </x:c>
    </x:row>
    <x:row r="40" ht="26" customHeight="1">
      <x:c r="A40" s="1"/>
      <x:c r="B40" s="1"/>
      <x:c r="C40" s="13" t="str">
        <x:v>Eligible CET1 after actions</x:v>
      </x:c>
      <x:c r="D40" s="13"/>
      <x:c r="E40" s="13"/>
      <x:c r="F40" s="31" t="n">
        <x:f>F39</x:f>
        <x:v>39.32651021370009</x:v>
      </x:c>
      <x:c r="G40" s="31" t="n">
        <x:f>G35-$F$71-$F$72</x:f>
        <x:v>46.82688112366296</x:v>
      </x:c>
      <x:c r="H40" s="31" t="n">
        <x:f>H35-$F$71-$F$72</x:f>
        <x:v>52.12813694896208</x:v>
      </x:c>
      <x:c r="I40" s="31" t="n">
        <x:f>I35-$F$71-$F$72</x:f>
        <x:v>55.093400478896264</x:v>
      </x:c>
      <x:c r="J40" s="31" t="n">
        <x:f>J35-$F$71-$F$72</x:f>
        <x:v>60.09487786066521</x:v>
      </x:c>
      <x:c r="K40" s="31" t="n">
        <x:f>K35-$F$71-$F$72</x:f>
        <x:v>64.44162549942496</x:v>
      </x:c>
    </x:row>
    <x:row r="41" ht="26" customHeight="1">
      <x:c r="A41" s="1"/>
      <x:c r="B41" s="1"/>
      <x:c r="C41" s="3" t="str">
        <x:v>AT1 capital</x:v>
      </x:c>
      <x:c r="D41" s="3"/>
      <x:c r="E41" s="3"/>
      <x:c r="F41" s="21" t="n">
        <x:f>F72</x:f>
        <x:v>4</x:v>
      </x:c>
      <x:c r="G41" s="21" t="n">
        <x:f>$F$72</x:f>
        <x:v>4</x:v>
      </x:c>
      <x:c r="H41" s="21" t="n">
        <x:f>$F$72</x:f>
        <x:v>4</x:v>
      </x:c>
      <x:c r="I41" s="21" t="n">
        <x:f>$F$72</x:f>
        <x:v>4</x:v>
      </x:c>
      <x:c r="J41" s="21" t="n">
        <x:f>$F$72</x:f>
        <x:v>4</x:v>
      </x:c>
      <x:c r="K41" s="21" t="n">
        <x:f>$F$72</x:f>
        <x:v>4</x:v>
      </x:c>
    </x:row>
    <x:row r="42" ht="26" customHeight="1">
      <x:c r="A42" s="1"/>
      <x:c r="B42" s="1"/>
      <x:c r="C42" s="3" t="str">
        <x:v>Tier 2 capital</x:v>
      </x:c>
      <x:c r="D42" s="3"/>
      <x:c r="E42" s="3"/>
      <x:c r="F42" s="21" t="n">
        <x:f>F73</x:f>
        <x:v>5</x:v>
      </x:c>
      <x:c r="G42" s="21" t="n">
        <x:f>$F$73</x:f>
        <x:v>5</x:v>
      </x:c>
      <x:c r="H42" s="21" t="n">
        <x:f>$F$73</x:f>
        <x:v>5</x:v>
      </x:c>
      <x:c r="I42" s="21" t="n">
        <x:f>$F$73</x:f>
        <x:v>5</x:v>
      </x:c>
      <x:c r="J42" s="21" t="n">
        <x:f>$F$73</x:f>
        <x:v>5</x:v>
      </x:c>
      <x:c r="K42" s="21" t="n">
        <x:f>$F$73</x:f>
        <x:v>5</x:v>
      </x:c>
    </x:row>
    <x:row r="43" ht="26" customHeight="1">
      <x:c r="A43" s="1"/>
      <x:c r="B43" s="1"/>
      <x:c r="C43" s="3" t="str">
        <x:v>Credit RWA</x:v>
      </x:c>
      <x:c r="D43" s="3"/>
      <x:c r="E43" s="3"/>
      <x:c r="F43" s="23" t="n">
        <x:f>SUM(Facilities!AE9:AE108)</x:f>
        <x:v>283.49258</x:v>
      </x:c>
      <x:c r="G43" s="23" t="n">
        <x:f>SUM('Facility Plan'!AA9:AA108)</x:f>
        <x:v>258.33497692800006</x:v>
      </x:c>
      <x:c r="H43" s="23" t="n">
        <x:f>SUM('Facility Plan'!AA109:AA208)</x:f>
        <x:v>228.5085519696</x:v>
      </x:c>
      <x:c r="I43" s="23" t="n">
        <x:f>SUM('Facility Plan'!AA209:AA308)</x:f>
        <x:v>236.92553788339205</x:v>
      </x:c>
      <x:c r="J43" s="23" t="n">
        <x:f>SUM('Facility Plan'!AA309:AA408)</x:f>
        <x:v>221.71539463077596</x:v>
      </x:c>
      <x:c r="K43" s="23" t="n">
        <x:f>SUM('Facility Plan'!AA409:AA508)</x:f>
        <x:v>155.21241194520482</x:v>
      </x:c>
    </x:row>
    <x:row r="44" ht="26" customHeight="1">
      <x:c r="A44" s="1"/>
      <x:c r="B44" s="1"/>
      <x:c r="C44" s="3" t="str">
        <x:v>Market RWA</x:v>
      </x:c>
      <x:c r="D44" s="3"/>
      <x:c r="E44" s="3"/>
      <x:c r="F44" s="21" t="n">
        <x:f>F74</x:f>
        <x:v>8</x:v>
      </x:c>
      <x:c r="G44" s="21" t="n">
        <x:f>$F$74</x:f>
        <x:v>8</x:v>
      </x:c>
      <x:c r="H44" s="21" t="n">
        <x:f>$F$74</x:f>
        <x:v>8</x:v>
      </x:c>
      <x:c r="I44" s="21" t="n">
        <x:f>$F$74</x:f>
        <x:v>8</x:v>
      </x:c>
      <x:c r="J44" s="21" t="n">
        <x:f>$F$74</x:f>
        <x:v>8</x:v>
      </x:c>
      <x:c r="K44" s="21" t="n">
        <x:f>$F$74</x:f>
        <x:v>8</x:v>
      </x:c>
    </x:row>
    <x:row r="45" ht="26" customHeight="1">
      <x:c r="A45" s="1"/>
      <x:c r="B45" s="1"/>
      <x:c r="C45" s="3" t="str">
        <x:v>Operational RWA</x:v>
      </x:c>
      <x:c r="D45" s="3"/>
      <x:c r="E45" s="3"/>
      <x:c r="F45" s="21" t="n">
        <x:f>F75</x:f>
        <x:v>18</x:v>
      </x:c>
      <x:c r="G45" s="21" t="n">
        <x:f>$F$75</x:f>
        <x:v>18</x:v>
      </x:c>
      <x:c r="H45" s="21" t="n">
        <x:f>$F$75</x:f>
        <x:v>18</x:v>
      </x:c>
      <x:c r="I45" s="21" t="n">
        <x:f>$F$75</x:f>
        <x:v>18</x:v>
      </x:c>
      <x:c r="J45" s="21" t="n">
        <x:f>$F$75</x:f>
        <x:v>18</x:v>
      </x:c>
      <x:c r="K45" s="21" t="n">
        <x:f>$F$75</x:f>
        <x:v>18</x:v>
      </x:c>
    </x:row>
    <x:row r="46" ht="26" customHeight="1">
      <x:c r="A46" s="1"/>
      <x:c r="B46" s="1"/>
      <x:c r="C46" s="13" t="str">
        <x:v>Total RWA</x:v>
      </x:c>
      <x:c r="D46" s="13"/>
      <x:c r="E46" s="13"/>
      <x:c r="F46" s="31" t="n">
        <x:f>SUM(F43:F45)</x:f>
        <x:v>309.49258</x:v>
      </x:c>
      <x:c r="G46" s="31" t="n">
        <x:f>SUM(G43:G45)</x:f>
        <x:v>284.33497692800006</x:v>
      </x:c>
      <x:c r="H46" s="31" t="n">
        <x:f>SUM(H43:H45)</x:f>
        <x:v>254.5085519696</x:v>
      </x:c>
      <x:c r="I46" s="31" t="n">
        <x:f>SUM(I43:I45)</x:f>
        <x:v>262.92553788339205</x:v>
      </x:c>
      <x:c r="J46" s="31" t="n">
        <x:f>SUM(J43:J45)</x:f>
        <x:v>247.71539463077596</x:v>
      </x:c>
      <x:c r="K46" s="31" t="n">
        <x:f>SUM(K43:K45)</x:f>
        <x:v>181.21241194520482</x:v>
      </x:c>
    </x:row>
    <x:row r="47" ht="26" customHeight="1">
      <x:c r="A47" s="1"/>
      <x:c r="B47" s="1"/>
      <x:c r="C47" s="3"/>
      <x:c r="D47" s="3"/>
      <x:c r="E47" s="3"/>
      <x:c r="F47" s="21"/>
      <x:c r="G47" s="21"/>
      <x:c r="H47" s="21"/>
      <x:c r="I47" s="21"/>
      <x:c r="J47" s="21"/>
      <x:c r="K47" s="21"/>
    </x:row>
    <x:row r="48" ht="26" customHeight="1">
      <x:c r="A48" s="1"/>
      <x:c r="B48" s="1"/>
      <x:c r="C48" s="3" t="str">
        <x:v>Available HQLA</x:v>
      </x:c>
      <x:c r="D48" s="3"/>
      <x:c r="E48" s="3"/>
      <x:c r="F48" s="21"/>
      <x:c r="G48" s="21" t="n">
        <x:f>MAX(0,G23)+G24*$F$87</x:f>
        <x:v>101.57279447884395</x:v>
      </x:c>
      <x:c r="H48" s="21" t="n">
        <x:f>MAX(0,H23)+H24*$F$87</x:f>
        <x:v>132.62548348135573</x:v>
      </x:c>
      <x:c r="I48" s="21" t="n">
        <x:f>MAX(0,I23)+I24*$F$87</x:f>
        <x:v>161.56945125220318</x:v>
      </x:c>
      <x:c r="J48" s="21" t="n">
        <x:f>MAX(0,J23)+J24*$F$87</x:f>
        <x:v>176.8552873782092</x:v>
      </x:c>
      <x:c r="K48" s="21" t="n">
        <x:f>MAX(0,K23)+K24*$F$87</x:f>
        <x:v>223.1290039053762</x:v>
      </x:c>
    </x:row>
    <x:row r="49" ht="26" customHeight="1">
      <x:c r="A49" s="1"/>
      <x:c r="B49" s="1"/>
      <x:c r="C49" s="3" t="str">
        <x:v>30-day cash outflows</x:v>
      </x:c>
      <x:c r="D49" s="3"/>
      <x:c r="E49" s="3"/>
      <x:c r="F49" s="21"/>
      <x:c r="G49" s="23" t="n">
        <x:f>G31*$F$76+SUM('Facility Plan'!Q9:Q108)*$F$77</x:f>
        <x:v>29.0925</x:v>
      </x:c>
      <x:c r="H49" s="23" t="n">
        <x:f>H31*$F$76+SUM('Facility Plan'!Q109:Q208)*$F$77</x:f>
        <x:v>28.279799999999998</x:v>
      </x:c>
      <x:c r="I49" s="23" t="n">
        <x:f>I31*$F$76+SUM('Facility Plan'!Q209:Q308)*$F$77</x:f>
        <x:v>26.895207</x:v>
      </x:c>
      <x:c r="J49" s="23" t="n">
        <x:f>J31*$F$76+SUM('Facility Plan'!Q309:Q408)*$F$77</x:f>
        <x:v>26.12551806</x:v>
      </x:c>
      <x:c r="K49" s="23" t="n">
        <x:f>K31*$F$76+SUM('Facility Plan'!Q409:Q508)*$F$77</x:f>
        <x:v>25.315334069399995</x:v>
      </x:c>
    </x:row>
    <x:row r="50" ht="26" customHeight="1">
      <x:c r="A50" s="1"/>
      <x:c r="B50" s="1"/>
      <x:c r="C50" s="3" t="str">
        <x:v>Eligible 30-day inflows</x:v>
      </x:c>
      <x:c r="D50" s="3"/>
      <x:c r="E50" s="3"/>
      <x:c r="F50" s="21"/>
      <x:c r="G50" s="23" t="n">
        <x:f>MIN(G49*$F$78,SUM('Facility Plan'!AR9:AR108)*$F$86)</x:f>
        <x:v>2.044157291666667</x:v>
      </x:c>
      <x:c r="H50" s="23" t="n">
        <x:f>MIN(H49*$F$78,SUM('Facility Plan'!AR109:AR208)*$F$86)</x:f>
        <x:v>1.8264321666666667</x:v>
      </x:c>
      <x:c r="I50" s="23" t="n">
        <x:f>MIN(I49*$F$78,SUM('Facility Plan'!AR209:AR308)*$F$86)</x:f>
        <x:v>1.6147100065000002</x:v>
      </x:c>
      <x:c r="J50" s="23" t="n">
        <x:f>MIN(J49*$F$78,SUM('Facility Plan'!AR309:AR408)*$F$86)</x:f>
        <x:v>2.56939690727</x:v>
      </x:c>
      <x:c r="K50" s="23" t="n">
        <x:f>MIN(K49*$F$78,SUM('Facility Plan'!AR409:AR508)*$F$86)</x:f>
        <x:v>2.003400418899467</x:v>
      </x:c>
    </x:row>
    <x:row r="51" ht="26" customHeight="1">
      <x:c r="A51" s="1"/>
      <x:c r="B51" s="1"/>
      <x:c r="C51" s="3" t="str">
        <x:v>Net 30-day outflows</x:v>
      </x:c>
      <x:c r="D51" s="3"/>
      <x:c r="E51" s="3"/>
      <x:c r="F51" s="21"/>
      <x:c r="G51" s="21" t="n">
        <x:f>MAX(0,G49-G50)</x:f>
        <x:v>27.048342708333333</x:v>
      </x:c>
      <x:c r="H51" s="21" t="n">
        <x:f>MAX(0,H49-H50)</x:f>
        <x:v>26.45336783333333</x:v>
      </x:c>
      <x:c r="I51" s="21" t="n">
        <x:f>MAX(0,I49-I50)</x:f>
        <x:v>25.280496993499998</x:v>
      </x:c>
      <x:c r="J51" s="21" t="n">
        <x:f>MAX(0,J49-J50)</x:f>
        <x:v>23.55612115273</x:v>
      </x:c>
      <x:c r="K51" s="21" t="n">
        <x:f>MAX(0,K49-K50)</x:f>
        <x:v>23.311933650500528</x:v>
      </x:c>
    </x:row>
    <x:row r="52" ht="26" customHeight="1">
      <x:c r="A52" s="1"/>
      <x:c r="B52" s="1"/>
      <x:c r="C52" s="13" t="str">
        <x:v>LCR planning proxy</x:v>
      </x:c>
      <x:c r="D52" s="13"/>
      <x:c r="E52" s="13"/>
      <x:c r="F52" s="31"/>
      <x:c r="G52" s="34" t="n">
        <x:f>IF(G23&lt;0,"Funding required",IF(G51=0,"No net outflow",G48/G51))</x:f>
        <x:v>3.7552317187829165</x:v>
      </x:c>
      <x:c r="H52" s="34" t="n">
        <x:f>IF(H23&lt;0,"Funding required",IF(H51=0,"No net outflow",H48/H51))</x:f>
        <x:v>5.013557605101501</x:v>
      </x:c>
      <x:c r="I52" s="34" t="n">
        <x:f>IF(I23&lt;0,"Funding required",IF(I51=0,"No net outflow",I48/I51))</x:f>
        <x:v>6.391071002035488</x:v>
      </x:c>
      <x:c r="J52" s="34" t="n">
        <x:f>IF(J23&lt;0,"Funding required",IF(J51=0,"No net outflow",J48/J51))</x:f>
        <x:v>7.507827211090431</x:v>
      </x:c>
      <x:c r="K52" s="34" t="n">
        <x:f>IF(K23&lt;0,"Funding required",IF(K51=0,"No net outflow",K48/K51))</x:f>
        <x:v>9.571449852706039</x:v>
      </x:c>
    </x:row>
    <x:row r="53" ht="26" customHeight="1">
      <x:c r="A53" s="1"/>
      <x:c r="B53" s="1"/>
      <x:c r="C53" s="3" t="str">
        <x:v>Available stable funding</x:v>
      </x:c>
      <x:c r="D53" s="3"/>
      <x:c r="E53" s="3"/>
      <x:c r="F53" s="21"/>
      <x:c r="G53" s="21" t="n">
        <x:f>G31*$F$79+G32*$F$80+G35</x:f>
        <x:v>320.03188112366297</x:v>
      </x:c>
      <x:c r="H53" s="21" t="n">
        <x:f>H31*$F$79+H32*$F$80+H35</x:f>
        <x:v>320.78903694896206</x:v>
      </x:c>
      <x:c r="I53" s="21" t="n">
        <x:f>I31*$F$79+I32*$F$80+I35</x:f>
        <x:v>322.07447347889627</x:v>
      </x:c>
      <x:c r="J53" s="21" t="n">
        <x:f>J31*$F$79+J32*$F$80+J35</x:f>
        <x:v>322.7563294006652</x:v>
      </x:c>
      <x:c r="K53" s="21" t="n">
        <x:f>K31*$F$79+K32*$F$80+K35</x:f>
        <x:v>324.98646252402494</x:v>
      </x:c>
    </x:row>
    <x:row r="54" ht="26" customHeight="1">
      <x:c r="A54" s="1"/>
      <x:c r="B54" s="1"/>
      <x:c r="C54" s="3" t="str">
        <x:v>Required stable funding</x:v>
      </x:c>
      <x:c r="D54" s="3"/>
      <x:c r="E54" s="3"/>
      <x:c r="F54" s="21"/>
      <x:c r="G54" s="23" t="n">
        <x:f>MAX(0,SUM('Facility Plan'!O9:O108)-(G26-SUM('Facility Plan'!AL9:AL108)))*$F$81+MAX(0,SUM('Facility Plan'!P9:P108)-SUM('Facility Plan'!AL9:AL108))*$F$82+G24*$F$83+G28*$F$84+SUM('Facility Plan'!Q9:Q108)*$F$85</x:f>
        <x:v>219.4771924393891</x:v>
      </x:c>
      <x:c r="H54" s="23" t="n">
        <x:f>MAX(0,SUM('Facility Plan'!O109:O208)-(H26-SUM('Facility Plan'!AL109:AL208)))*$F$81+MAX(0,SUM('Facility Plan'!P109:P208)-SUM('Facility Plan'!AL109:AL208))*$F$82+H24*$F$83+H28*$F$84+SUM('Facility Plan'!Q109:Q208)*$F$85</x:f>
        <x:v>192.09695329557465</x:v>
      </x:c>
      <x:c r="I54" s="23" t="n">
        <x:f>MAX(0,SUM('Facility Plan'!O209:O308)-(I26-SUM('Facility Plan'!AL209:AL308)))*$F$81+MAX(0,SUM('Facility Plan'!P209:P308)-SUM('Facility Plan'!AL209:AL308))*$F$82+I24*$F$83+I28*$F$84+SUM('Facility Plan'!Q209:Q308)*$F$85</x:f>
        <x:v>168.28852121293014</x:v>
      </x:c>
      <x:c r="J54" s="23" t="n">
        <x:f>MAX(0,SUM('Facility Plan'!O309:O408)-(J26-SUM('Facility Plan'!AL309:AL408)))*$F$81+MAX(0,SUM('Facility Plan'!P309:P408)-SUM('Facility Plan'!AL309:AL408))*$F$82+J24*$F$83+J28*$F$84+SUM('Facility Plan'!Q309:Q408)*$F$85</x:f>
        <x:v>154.96960389331474</x:v>
      </x:c>
      <x:c r="K54" s="23" t="n">
        <x:f>MAX(0,SUM('Facility Plan'!O409:O508)-(K26-SUM('Facility Plan'!AL409:AL508)))*$F$81+MAX(0,SUM('Facility Plan'!P409:P508)-SUM('Facility Plan'!AL409:AL508))*$F$82+K24*$F$83+K28*$F$84+SUM('Facility Plan'!Q409:Q508)*$F$85</x:f>
        <x:v>116.3374882209914</x:v>
      </x:c>
    </x:row>
    <x:row r="55" ht="26" customHeight="1">
      <x:c r="A55" s="1"/>
      <x:c r="B55" s="1"/>
      <x:c r="C55" s="13" t="str">
        <x:v>NSFR planning proxy</x:v>
      </x:c>
      <x:c r="D55" s="13"/>
      <x:c r="E55" s="13"/>
      <x:c r="F55" s="31"/>
      <x:c r="G55" s="34" t="n">
        <x:f>IF(G54=0,"No funding requirement",G53/G54)</x:f>
        <x:v>1.4581555266251325</x:v>
      </x:c>
      <x:c r="H55" s="34" t="n">
        <x:f>IF(H54=0,"No funding requirement",H53/H54)</x:f>
        <x:v>1.6699329762683546</x:v>
      </x:c>
      <x:c r="I55" s="34" t="n">
        <x:f>IF(I54=0,"No funding requirement",I53/I54)</x:f>
        <x:v>1.9138231838842155</x:v>
      </x:c>
      <x:c r="J55" s="34" t="n">
        <x:f>IF(J54=0,"No funding requirement",J53/J54)</x:f>
        <x:v>2.0827073264177622</x:v>
      </x:c>
      <x:c r="K55" s="34" t="n">
        <x:f>IF(K54=0,"No funding requirement",K53/K54)</x:f>
        <x:v>2.7934801369158824</x:v>
      </x:c>
    </x:row>
    <x:row r="56" ht="26" customHeight="1">
      <x:c r="A56" s="1"/>
      <x:c r="B56" s="1"/>
      <x:c r="C56" s="3" t="str">
        <x:v>Unfunded cash shortfall</x:v>
      </x:c>
      <x:c r="D56" s="3"/>
      <x:c r="E56" s="3"/>
      <x:c r="F56" s="21"/>
      <x:c r="G56" s="21" t="n">
        <x:f>MAX(0,-G23)</x:f>
        <x:v>0</x:v>
      </x:c>
      <x:c r="H56" s="21" t="n">
        <x:f>MAX(0,-H23)</x:f>
        <x:v>0</x:v>
      </x:c>
      <x:c r="I56" s="21" t="n">
        <x:f>MAX(0,-I23)</x:f>
        <x:v>0</x:v>
      </x:c>
      <x:c r="J56" s="21" t="n">
        <x:f>MAX(0,-J23)</x:f>
        <x:v>0</x:v>
      </x:c>
      <x:c r="K56" s="21" t="n">
        <x:f>MAX(0,-K23)</x:f>
        <x:v>0</x:v>
      </x:c>
    </x:row>
    <x:row r="57" ht="26" customHeight="1">
      <x:c r="A57" s="1"/>
      <x:c r="B57" s="1"/>
      <x:c r="C57" s="3"/>
      <x:c r="D57" s="3"/>
      <x:c r="E57" s="3"/>
      <x:c r="F57" s="21"/>
      <x:c r="G57" s="21"/>
      <x:c r="H57" s="21"/>
      <x:c r="I57" s="21"/>
      <x:c r="J57" s="21"/>
      <x:c r="K57" s="21"/>
    </x:row>
    <x:row r="58" ht="30" customHeight="1">
      <x:c r="A58" s="1"/>
      <x:c r="B58" s="1"/>
      <x:c r="C58" s="13" t="str">
        <x:v>Opening bank and liquidity assumptions</x:v>
      </x:c>
      <x:c r="D58" s="13"/>
      <x:c r="E58" s="13"/>
      <x:c r="F58" s="31"/>
      <x:c r="G58" s="31"/>
      <x:c r="H58" s="31"/>
      <x:c r="I58" s="31"/>
      <x:c r="J58" s="31"/>
      <x:c r="K58" s="31"/>
    </x:row>
    <x:row r="59" ht="26" customHeight="1">
      <x:c r="A59" s="1"/>
      <x:c r="B59" s="1"/>
      <x:c r="C59" s="3"/>
      <x:c r="D59" s="3"/>
      <x:c r="E59" s="3"/>
      <x:c r="F59" s="21"/>
      <x:c r="G59" s="21"/>
      <x:c r="H59" s="21"/>
      <x:c r="I59" s="21"/>
      <x:c r="J59" s="21"/>
      <x:c r="K59" s="21"/>
    </x:row>
    <x:row r="60" ht="26" customHeight="1">
      <x:c r="A60" s="1"/>
      <x:c r="B60" s="1"/>
      <x:c r="C60" s="3" t="str">
        <x:v>Opening cash</x:v>
      </x:c>
      <x:c r="D60" s="3"/>
      <x:c r="E60" s="3"/>
      <x:c r="F60" s="16" t="n">
        <x:v>35</x:v>
      </x:c>
      <x:c r="G60" s="21"/>
      <x:c r="H60" s="21"/>
      <x:c r="I60" s="21"/>
      <x:c r="J60" s="21"/>
      <x:c r="K60" s="21"/>
    </x:row>
    <x:row r="61" ht="26" customHeight="1">
      <x:c r="A61" s="1"/>
      <x:c r="B61" s="1"/>
      <x:c r="C61" s="3" t="str">
        <x:v>Opening liquid securities</x:v>
      </x:c>
      <x:c r="D61" s="3"/>
      <x:c r="E61" s="3"/>
      <x:c r="F61" s="16" t="n">
        <x:v>35</x:v>
      </x:c>
      <x:c r="G61" s="21"/>
      <x:c r="H61" s="21"/>
      <x:c r="I61" s="21"/>
      <x:c r="J61" s="21"/>
      <x:c r="K61" s="21"/>
    </x:row>
    <x:row r="62" ht="26" customHeight="1">
      <x:c r="A62" s="1"/>
      <x:c r="B62" s="1"/>
      <x:c r="C62" s="3" t="str">
        <x:v>Opening other assets</x:v>
      </x:c>
      <x:c r="D62" s="3"/>
      <x:c r="E62" s="3"/>
      <x:c r="F62" s="16" t="n">
        <x:v>20</x:v>
      </x:c>
      <x:c r="G62" s="21"/>
      <x:c r="H62" s="21"/>
      <x:c r="I62" s="21"/>
      <x:c r="J62" s="21"/>
      <x:c r="K62" s="21"/>
    </x:row>
    <x:row r="63" ht="26" customHeight="1">
      <x:c r="A63" s="1"/>
      <x:c r="B63" s="1"/>
      <x:c r="C63" s="3" t="str">
        <x:v>Opening deposits</x:v>
      </x:c>
      <x:c r="D63" s="3"/>
      <x:c r="E63" s="3"/>
      <x:c r="F63" s="16" t="n">
        <x:v>255</x:v>
      </x:c>
      <x:c r="G63" s="21"/>
      <x:c r="H63" s="21"/>
      <x:c r="I63" s="21"/>
      <x:c r="J63" s="21"/>
      <x:c r="K63" s="21"/>
    </x:row>
    <x:row r="64" ht="26" customHeight="1">
      <x:c r="A64" s="1"/>
      <x:c r="B64" s="1"/>
      <x:c r="C64" s="3" t="str">
        <x:v>Opening term funding incl. Tier 2</x:v>
      </x:c>
      <x:c r="D64" s="3"/>
      <x:c r="E64" s="3"/>
      <x:c r="F64" s="16" t="n">
        <x:v>40</x:v>
      </x:c>
      <x:c r="G64" s="21"/>
      <x:c r="H64" s="21"/>
      <x:c r="I64" s="21"/>
      <x:c r="J64" s="21"/>
      <x:c r="K64" s="21"/>
    </x:row>
    <x:row r="65" ht="26" customHeight="1">
      <x:c r="A65" s="1"/>
      <x:c r="B65" s="1"/>
      <x:c r="C65" s="3" t="str">
        <x:v>Other liabilities</x:v>
      </x:c>
      <x:c r="D65" s="3"/>
      <x:c r="E65" s="3"/>
      <x:c r="F65" s="16" t="n">
        <x:v>5</x:v>
      </x:c>
      <x:c r="G65" s="21"/>
      <x:c r="H65" s="21"/>
      <x:c r="I65" s="21"/>
      <x:c r="J65" s="21"/>
      <x:c r="K65" s="21"/>
    </x:row>
    <x:row r="66" ht="26" customHeight="1">
      <x:c r="A66" s="1"/>
      <x:c r="B66" s="1"/>
      <x:c r="C66" s="3" t="str">
        <x:v>Other earning assets yield</x:v>
      </x:c>
      <x:c r="D66" s="3"/>
      <x:c r="E66" s="3"/>
      <x:c r="F66" s="11" t="n">
        <x:v>0.035</x:v>
      </x:c>
      <x:c r="G66" s="21"/>
      <x:c r="H66" s="21"/>
      <x:c r="I66" s="21"/>
      <x:c r="J66" s="21"/>
      <x:c r="K66" s="21"/>
    </x:row>
    <x:row r="67" ht="26" customHeight="1">
      <x:c r="A67" s="1"/>
      <x:c r="B67" s="1"/>
      <x:c r="C67" s="3" t="str">
        <x:v>Annual fee income</x:v>
      </x:c>
      <x:c r="D67" s="3"/>
      <x:c r="E67" s="3"/>
      <x:c r="F67" s="16" t="n">
        <x:v>5</x:v>
      </x:c>
      <x:c r="G67" s="21"/>
      <x:c r="H67" s="21"/>
      <x:c r="I67" s="21"/>
      <x:c r="J67" s="21"/>
      <x:c r="K67" s="21"/>
    </x:row>
    <x:row r="68" ht="26" customHeight="1">
      <x:c r="A68" s="1"/>
      <x:c r="B68" s="1"/>
      <x:c r="C68" s="3" t="str">
        <x:v>Deposit rate</x:v>
      </x:c>
      <x:c r="D68" s="3"/>
      <x:c r="E68" s="3"/>
      <x:c r="F68" s="11" t="n">
        <x:v>0.028</x:v>
      </x:c>
      <x:c r="G68" s="21"/>
      <x:c r="H68" s="21"/>
      <x:c r="I68" s="21"/>
      <x:c r="J68" s="21"/>
      <x:c r="K68" s="21"/>
    </x:row>
    <x:row r="69" ht="26" customHeight="1">
      <x:c r="A69" s="1"/>
      <x:c r="B69" s="1"/>
      <x:c r="C69" s="3" t="str">
        <x:v>Term funding rate</x:v>
      </x:c>
      <x:c r="D69" s="3"/>
      <x:c r="E69" s="3"/>
      <x:c r="F69" s="11" t="n">
        <x:v>0.045</x:v>
      </x:c>
      <x:c r="G69" s="21"/>
      <x:c r="H69" s="21"/>
      <x:c r="I69" s="21"/>
      <x:c r="J69" s="21"/>
      <x:c r="K69" s="21"/>
    </x:row>
    <x:row r="70" ht="26" customHeight="1">
      <x:c r="A70" s="1"/>
      <x:c r="B70" s="1"/>
      <x:c r="C70" s="3" t="str">
        <x:v>Annual operating costs</x:v>
      </x:c>
      <x:c r="D70" s="3"/>
      <x:c r="E70" s="3"/>
      <x:c r="F70" s="16" t="n">
        <x:v>10</x:v>
      </x:c>
      <x:c r="G70" s="21"/>
      <x:c r="H70" s="21"/>
      <x:c r="I70" s="21"/>
      <x:c r="J70" s="21"/>
      <x:c r="K70" s="21"/>
    </x:row>
    <x:row r="71" ht="26" customHeight="1">
      <x:c r="A71" s="1"/>
      <x:c r="B71" s="1"/>
      <x:c r="C71" s="3" t="str">
        <x:v>Non-cash capital deductions</x:v>
      </x:c>
      <x:c r="D71" s="3"/>
      <x:c r="E71" s="3"/>
      <x:c r="F71" s="16" t="n">
        <x:v>2</x:v>
      </x:c>
      <x:c r="G71" s="21"/>
      <x:c r="H71" s="21"/>
      <x:c r="I71" s="21"/>
      <x:c r="J71" s="21"/>
      <x:c r="K71" s="21"/>
    </x:row>
    <x:row r="72" ht="26" customHeight="1">
      <x:c r="A72" s="1"/>
      <x:c r="B72" s="1"/>
      <x:c r="C72" s="3" t="str">
        <x:v>Eligible AT1 in book equity</x:v>
      </x:c>
      <x:c r="D72" s="3"/>
      <x:c r="E72" s="3"/>
      <x:c r="F72" s="16" t="n">
        <x:v>4</x:v>
      </x:c>
      <x:c r="G72" s="21"/>
      <x:c r="H72" s="21"/>
      <x:c r="I72" s="21"/>
      <x:c r="J72" s="21"/>
      <x:c r="K72" s="21"/>
    </x:row>
    <x:row r="73" ht="26" customHeight="1">
      <x:c r="A73" s="1"/>
      <x:c r="B73" s="1"/>
      <x:c r="C73" s="3" t="str">
        <x:v>Eligible Tier 2 in term funding</x:v>
      </x:c>
      <x:c r="D73" s="3"/>
      <x:c r="E73" s="3"/>
      <x:c r="F73" s="16" t="n">
        <x:v>5</x:v>
      </x:c>
      <x:c r="G73" s="21"/>
      <x:c r="H73" s="21"/>
      <x:c r="I73" s="21"/>
      <x:c r="J73" s="21"/>
      <x:c r="K73" s="21"/>
    </x:row>
    <x:row r="74" ht="26" customHeight="1">
      <x:c r="A74" s="1"/>
      <x:c r="B74" s="1"/>
      <x:c r="C74" s="3" t="str">
        <x:v>Market RWA</x:v>
      </x:c>
      <x:c r="D74" s="3"/>
      <x:c r="E74" s="3"/>
      <x:c r="F74" s="16" t="n">
        <x:v>8</x:v>
      </x:c>
      <x:c r="G74" s="21"/>
      <x:c r="H74" s="21"/>
      <x:c r="I74" s="21"/>
      <x:c r="J74" s="21"/>
      <x:c r="K74" s="21"/>
    </x:row>
    <x:row r="75" ht="26" customHeight="1">
      <x:c r="A75" s="1"/>
      <x:c r="B75" s="1"/>
      <x:c r="C75" s="3" t="str">
        <x:v>Operational RWA</x:v>
      </x:c>
      <x:c r="D75" s="3"/>
      <x:c r="E75" s="3"/>
      <x:c r="F75" s="16" t="n">
        <x:v>18</x:v>
      </x:c>
      <x:c r="G75" s="21"/>
      <x:c r="H75" s="21"/>
      <x:c r="I75" s="21"/>
      <x:c r="J75" s="21"/>
      <x:c r="K75" s="21"/>
    </x:row>
    <x:row r="76" ht="26" customHeight="1">
      <x:c r="A76" s="1"/>
      <x:c r="B76" s="1"/>
      <x:c r="C76" s="3" t="str">
        <x:v>Deposit 30-day runoff</x:v>
      </x:c>
      <x:c r="D76" s="3"/>
      <x:c r="E76" s="3"/>
      <x:c r="F76" s="11" t="n">
        <x:v>0.1</x:v>
      </x:c>
      <x:c r="G76" s="21"/>
      <x:c r="H76" s="21"/>
      <x:c r="I76" s="21"/>
      <x:c r="J76" s="21"/>
      <x:c r="K76" s="21"/>
    </x:row>
    <x:row r="77" ht="26" customHeight="1">
      <x:c r="A77" s="1"/>
      <x:c r="B77" s="1"/>
      <x:c r="C77" s="3" t="str">
        <x:v>Undrawn 30-day draw factor</x:v>
      </x:c>
      <x:c r="D77" s="3"/>
      <x:c r="E77" s="3"/>
      <x:c r="F77" s="11" t="n">
        <x:v>0.1</x:v>
      </x:c>
      <x:c r="G77" s="21"/>
      <x:c r="H77" s="21"/>
      <x:c r="I77" s="21"/>
      <x:c r="J77" s="21"/>
      <x:c r="K77" s="21"/>
    </x:row>
    <x:row r="78" ht="26" customHeight="1">
      <x:c r="A78" s="1"/>
      <x:c r="B78" s="1"/>
      <x:c r="C78" s="3" t="str">
        <x:v>Cash inflow cap</x:v>
      </x:c>
      <x:c r="D78" s="3"/>
      <x:c r="E78" s="3"/>
      <x:c r="F78" s="11" t="n">
        <x:v>0.75</x:v>
      </x:c>
      <x:c r="G78" s="21"/>
      <x:c r="H78" s="21"/>
      <x:c r="I78" s="21"/>
      <x:c r="J78" s="21"/>
      <x:c r="K78" s="21"/>
    </x:row>
    <x:row r="79" ht="26" customHeight="1">
      <x:c r="A79" s="1"/>
      <x:c r="B79" s="1"/>
      <x:c r="C79" s="3" t="str">
        <x:v>Deposit ASF factor</x:v>
      </x:c>
      <x:c r="D79" s="3"/>
      <x:c r="E79" s="3"/>
      <x:c r="F79" s="11" t="n">
        <x:v>0.9</x:v>
      </x:c>
      <x:c r="G79" s="21"/>
      <x:c r="H79" s="21"/>
      <x:c r="I79" s="21"/>
      <x:c r="J79" s="21"/>
      <x:c r="K79" s="21"/>
    </x:row>
    <x:row r="80" ht="26" customHeight="1">
      <x:c r="A80" s="1"/>
      <x:c r="B80" s="1"/>
      <x:c r="C80" s="3" t="str">
        <x:v>Term funding ASF factor</x:v>
      </x:c>
      <x:c r="D80" s="3"/>
      <x:c r="E80" s="3"/>
      <x:c r="F80" s="11" t="n">
        <x:v>1</x:v>
      </x:c>
      <x:c r="G80" s="21"/>
      <x:c r="H80" s="21"/>
      <x:c r="I80" s="21"/>
      <x:c r="J80" s="21"/>
      <x:c r="K80" s="21"/>
    </x:row>
    <x:row r="81" ht="26" customHeight="1">
      <x:c r="A81" s="1"/>
      <x:c r="B81" s="1"/>
      <x:c r="C81" s="3" t="str">
        <x:v>Performing loan RSF factor</x:v>
      </x:c>
      <x:c r="D81" s="3"/>
      <x:c r="E81" s="3"/>
      <x:c r="F81" s="11" t="n">
        <x:v>0.85</x:v>
      </x:c>
      <x:c r="G81" s="21"/>
      <x:c r="H81" s="21"/>
      <x:c r="I81" s="21"/>
      <x:c r="J81" s="21"/>
      <x:c r="K81" s="21"/>
    </x:row>
    <x:row r="82" ht="26" customHeight="1">
      <x:c r="A82" s="1"/>
      <x:c r="B82" s="1"/>
      <x:c r="C82" s="3" t="str">
        <x:v>Defaulted loan RSF factor</x:v>
      </x:c>
      <x:c r="D82" s="3"/>
      <x:c r="E82" s="3"/>
      <x:c r="F82" s="11" t="n">
        <x:v>1</x:v>
      </x:c>
      <x:c r="G82" s="21"/>
      <x:c r="H82" s="21"/>
      <x:c r="I82" s="21"/>
      <x:c r="J82" s="21"/>
      <x:c r="K82" s="21"/>
    </x:row>
    <x:row r="83" ht="26" customHeight="1">
      <x:c r="A83" s="1"/>
      <x:c r="B83" s="1"/>
      <x:c r="C83" s="3" t="str">
        <x:v>Liquid securities RSF factor</x:v>
      </x:c>
      <x:c r="D83" s="3"/>
      <x:c r="E83" s="3"/>
      <x:c r="F83" s="11" t="n">
        <x:v>0.05</x:v>
      </x:c>
      <x:c r="G83" s="21"/>
      <x:c r="H83" s="21"/>
      <x:c r="I83" s="21"/>
      <x:c r="J83" s="21"/>
      <x:c r="K83" s="21"/>
    </x:row>
    <x:row r="84" ht="26" customHeight="1">
      <x:c r="A84" s="1"/>
      <x:c r="B84" s="1"/>
      <x:c r="C84" s="3" t="str">
        <x:v>Other asset RSF factor</x:v>
      </x:c>
      <x:c r="D84" s="3"/>
      <x:c r="E84" s="3"/>
      <x:c r="F84" s="11" t="n">
        <x:v>1</x:v>
      </x:c>
      <x:c r="G84" s="21"/>
      <x:c r="H84" s="21"/>
      <x:c r="I84" s="21"/>
      <x:c r="J84" s="21"/>
      <x:c r="K84" s="21"/>
    </x:row>
    <x:row r="85" ht="26" customHeight="1">
      <x:c r="A85" s="1"/>
      <x:c r="B85" s="1"/>
      <x:c r="C85" s="3" t="str">
        <x:v>Undrawn RSF factor</x:v>
      </x:c>
      <x:c r="D85" s="3"/>
      <x:c r="E85" s="3"/>
      <x:c r="F85" s="11" t="n">
        <x:v>0.05</x:v>
      </x:c>
      <x:c r="G85" s="21"/>
      <x:c r="H85" s="21"/>
      <x:c r="I85" s="21"/>
      <x:c r="J85" s="21"/>
      <x:c r="K85" s="21"/>
    </x:row>
    <x:row r="86" ht="26" customHeight="1">
      <x:c r="A86" s="1"/>
      <x:c r="B86" s="1"/>
      <x:c r="C86" s="3" t="str">
        <x:v>Contractual inflow recognition factor</x:v>
      </x:c>
      <x:c r="D86" s="3"/>
      <x:c r="E86" s="3"/>
      <x:c r="F86" s="11" t="n">
        <x:v>0.5</x:v>
      </x:c>
      <x:c r="G86" s="21"/>
      <x:c r="H86" s="21"/>
      <x:c r="I86" s="21"/>
      <x:c r="J86" s="21"/>
      <x:c r="K86" s="21"/>
    </x:row>
    <x:row r="87" ht="26" customHeight="1">
      <x:c r="A87" s="1"/>
      <x:c r="B87" s="1"/>
      <x:c r="C87" s="3" t="str">
        <x:v>Securities HQLA recognition factor</x:v>
      </x:c>
      <x:c r="D87" s="3"/>
      <x:c r="E87" s="3"/>
      <x:c r="F87" s="11" t="n">
        <x:v>1</x:v>
      </x:c>
      <x:c r="G87" s="21"/>
      <x:c r="H87" s="21"/>
      <x:c r="I87" s="21"/>
      <x:c r="J87" s="21"/>
      <x:c r="K87" s="21"/>
    </x:row>
    <x:row r="88" ht="30" customHeight="1">
      <x:c r="A88" s="1"/>
      <x:c r="B88" s="1"/>
      <x:c r="C88" s="13" t="str">
        <x:v>Approved management actions</x:v>
      </x:c>
      <x:c r="D88" s="13"/>
      <x:c r="E88" s="13"/>
      <x:c r="F88" s="31"/>
      <x:c r="G88" s="31"/>
      <x:c r="H88" s="31"/>
      <x:c r="I88" s="31"/>
      <x:c r="J88" s="31"/>
      <x:c r="K88" s="31"/>
    </x:row>
    <x:row r="89" ht="26" customHeight="1">
      <x:c r="A89" s="1"/>
      <x:c r="B89" s="1"/>
      <x:c r="C89" s="3" t="str">
        <x:v>Common equity issuance</x:v>
      </x:c>
      <x:c r="D89" s="3"/>
      <x:c r="E89" s="3"/>
      <x:c r="F89" s="21"/>
      <x:c r="G89" s="16" t="n">
        <x:v>0</x:v>
      </x:c>
      <x:c r="H89" s="16" t="n">
        <x:v>0</x:v>
      </x:c>
      <x:c r="I89" s="16" t="n">
        <x:v>8</x:v>
      </x:c>
      <x:c r="J89" s="16" t="n">
        <x:v>0</x:v>
      </x:c>
      <x:c r="K89" s="16" t="n">
        <x:v>0</x:v>
      </x:c>
    </x:row>
    <x:row r="90" ht="26" customHeight="1">
      <x:c r="A90" s="1"/>
      <x:c r="B90" s="1"/>
      <x:c r="C90" s="3" t="str">
        <x:v>Long-term funding raised</x:v>
      </x:c>
      <x:c r="D90" s="3"/>
      <x:c r="E90" s="3"/>
      <x:c r="F90" s="21"/>
      <x:c r="G90" s="16" t="n">
        <x:v>0</x:v>
      </x:c>
      <x:c r="H90" s="16" t="n">
        <x:v>0</x:v>
      </x:c>
      <x:c r="I90" s="16" t="n">
        <x:v>5</x:v>
      </x:c>
      <x:c r="J90" s="16" t="n">
        <x:v>0</x:v>
      </x:c>
      <x:c r="K90" s="16" t="n">
        <x:v>0</x:v>
      </x:c>
    </x:row>
    <x:row r="91" ht="26" customHeight="1">
      <x:c r="A91" s="1"/>
      <x:c r="B91" s="1"/>
      <x:c r="C91" s="3" t="str">
        <x:v>Action fees</x:v>
      </x:c>
      <x:c r="D91" s="3"/>
      <x:c r="E91" s="3"/>
      <x:c r="F91" s="21"/>
      <x:c r="G91" s="16" t="n">
        <x:v>0</x:v>
      </x:c>
      <x:c r="H91" s="16" t="n">
        <x:v>0</x:v>
      </x:c>
      <x:c r="I91" s="16" t="n">
        <x:v>0.25</x:v>
      </x:c>
      <x:c r="J91" s="16" t="n">
        <x:v>0</x:v>
      </x:c>
      <x:c r="K91" s="16" t="n">
        <x:v>0</x:v>
      </x:c>
    </x:row>
    <x:row r="92" ht="26" customHeight="1">
      <x:c r="A92" s="1"/>
      <x:c r="B92" s="1"/>
      <x:c r="C92" s="3" t="str">
        <x:v>Action approval</x:v>
      </x:c>
      <x:c r="D92" s="3"/>
      <x:c r="E92" s="3"/>
      <x:c r="F92" s="21"/>
      <x:c r="G92" s="16" t="str">
        <x:v>Approved</x:v>
      </x:c>
      <x:c r="H92" s="16" t="str">
        <x:v>Approved</x:v>
      </x:c>
      <x:c r="I92" s="16" t="str">
        <x:v>Approved</x:v>
      </x:c>
      <x:c r="J92" s="16" t="str">
        <x:v>Approved</x:v>
      </x:c>
      <x:c r="K92" s="16" t="str">
        <x:v>Approved</x:v>
      </x:c>
    </x:row>
    <x:row r="93" ht="26" customHeight="1">
      <x:c r="A93" s="1"/>
      <x:c r="B93" s="1"/>
      <x:c r="C93" s="3" t="str">
        <x:v>Evidence reference</x:v>
      </x:c>
      <x:c r="D93" s="3"/>
      <x:c r="E93" s="3"/>
      <x:c r="F93" s="21"/>
      <x:c r="G93" s="16" t="str">
        <x:v>SYN-ACT-1</x:v>
      </x:c>
      <x:c r="H93" s="16" t="str">
        <x:v>SYN-ACT-2</x:v>
      </x:c>
      <x:c r="I93" s="16" t="str">
        <x:v>SYN-ACT-3</x:v>
      </x:c>
      <x:c r="J93" s="16" t="str">
        <x:v>SYN-ACT-4</x:v>
      </x:c>
      <x:c r="K93" s="16" t="str">
        <x:v>SYN-ACT-5</x:v>
      </x:c>
    </x:row>
    <x:row r="94" ht="26" customHeight="1">
      <x:c r="A94" s="1"/>
      <x:c r="B94" s="1"/>
      <x:c r="C94" s="3" t="str">
        <x:v>Action effective flag</x:v>
      </x:c>
      <x:c r="D94" s="3"/>
      <x:c r="E94" s="3"/>
      <x:c r="F94" s="21"/>
      <x:c r="G94" s="23" t="n">
        <x:f>IF(AND(Settings!$F$28="On",G92="Approved",G93&lt;&gt;""),1,0)</x:f>
        <x:v>1</x:v>
      </x:c>
      <x:c r="H94" s="23" t="n">
        <x:f>IF(AND(Settings!$F$28="On",H92="Approved",H93&lt;&gt;""),1,0)</x:f>
        <x:v>1</x:v>
      </x:c>
      <x:c r="I94" s="23" t="n">
        <x:f>IF(AND(Settings!$F$28="On",I92="Approved",I93&lt;&gt;""),1,0)</x:f>
        <x:v>1</x:v>
      </x:c>
      <x:c r="J94" s="23" t="n">
        <x:f>IF(AND(Settings!$F$28="On",J92="Approved",J93&lt;&gt;""),1,0)</x:f>
        <x:v>1</x:v>
      </x:c>
      <x:c r="K94" s="23" t="n">
        <x:f>IF(AND(Settings!$F$28="On",K92="Approved",K93&lt;&gt;""),1,0)</x:f>
        <x:v>1</x:v>
      </x:c>
    </x:row>
    <x:row r="95" ht="26" customHeight="1">
      <x:c r="A95" s="1"/>
      <x:c r="B95" s="1"/>
      <x:c r="C95" s="3"/>
      <x:c r="D95" s="3"/>
      <x:c r="E95" s="3"/>
      <x:c r="F95" s="21"/>
      <x:c r="G95" s="21"/>
      <x:c r="H95" s="21"/>
      <x:c r="I95" s="21"/>
      <x:c r="J95" s="21"/>
      <x:c r="K95" s="21"/>
    </x:row>
    <x:row r="96" ht="26" customHeight="1">
      <x:c r="A96" s="1"/>
      <x:c r="B96" s="1"/>
      <x:c r="C96" s="3"/>
      <x:c r="D96" s="3"/>
      <x:c r="E96" s="3"/>
      <x:c r="F96" s="21"/>
      <x:c r="G96" s="21"/>
      <x:c r="H96" s="21"/>
      <x:c r="I96" s="21"/>
      <x:c r="J96" s="21"/>
      <x:c r="K96" s="21"/>
    </x:row>
    <x:row r="97" ht="26" customHeight="1">
      <x:c r="A97" s="1"/>
      <x:c r="B97" s="1"/>
      <x:c r="C97" s="3" t="str">
        <x:v>Cumulative retained earnings from actions</x:v>
      </x:c>
      <x:c r="D97" s="3"/>
      <x:c r="E97" s="3"/>
      <x:c r="F97" s="21"/>
      <x:c r="G97" s="21" t="n">
        <x:f>G112</x:f>
        <x:v>0</x:v>
      </x:c>
      <x:c r="H97" s="21" t="n">
        <x:f>G97+H112</x:f>
        <x:v>0</x:v>
      </x:c>
      <x:c r="I97" s="21" t="n">
        <x:f>H97+I112</x:f>
        <x:v>-0.25</x:v>
      </x:c>
      <x:c r="J97" s="21" t="n">
        <x:f>I97+J112</x:f>
        <x:v>-0.13883593749999967</x:v>
      </x:c>
      <x:c r="K97" s="21" t="n">
        <x:f>J97+K112</x:f>
        <x:v>-0.01959788110351557</x:v>
      </x:c>
    </x:row>
    <x:row r="98" ht="26" customHeight="1">
      <x:c r="A98" s="1"/>
      <x:c r="B98" s="1"/>
      <x:c r="C98" s="3" t="str">
        <x:v>Cumulative action funding</x:v>
      </x:c>
      <x:c r="D98" s="3"/>
      <x:c r="E98" s="3"/>
      <x:c r="F98" s="21"/>
      <x:c r="G98" s="21" t="n">
        <x:f>G90*G94</x:f>
        <x:v>0</x:v>
      </x:c>
      <x:c r="H98" s="21" t="n">
        <x:f>G98+H90*H94</x:f>
        <x:v>0</x:v>
      </x:c>
      <x:c r="I98" s="21" t="n">
        <x:f>H98+I90*I94</x:f>
        <x:v>5</x:v>
      </x:c>
      <x:c r="J98" s="21" t="n">
        <x:f>I98+J90*J94</x:f>
        <x:v>5</x:v>
      </x:c>
      <x:c r="K98" s="21" t="n">
        <x:f>J98+K90*K94</x:f>
        <x:v>5</x:v>
      </x:c>
    </x:row>
    <x:row r="99" ht="26" customHeight="1">
      <x:c r="A99" s="1"/>
      <x:c r="B99" s="1"/>
      <x:c r="C99" s="3" t="str">
        <x:v>Cumulative action equity</x:v>
      </x:c>
      <x:c r="D99" s="3"/>
      <x:c r="E99" s="3"/>
      <x:c r="F99" s="21"/>
      <x:c r="G99" s="21" t="n">
        <x:f>G89*G94</x:f>
        <x:v>0</x:v>
      </x:c>
      <x:c r="H99" s="21" t="n">
        <x:f>G99+H89*H94</x:f>
        <x:v>0</x:v>
      </x:c>
      <x:c r="I99" s="21" t="n">
        <x:f>H99+I89*I94</x:f>
        <x:v>8</x:v>
      </x:c>
      <x:c r="J99" s="21" t="n">
        <x:f>I99+J89*J94</x:f>
        <x:v>8</x:v>
      </x:c>
      <x:c r="K99" s="21" t="n">
        <x:f>J99+K89*K94</x:f>
        <x:v>8</x:v>
      </x:c>
    </x:row>
    <x:row r="100" ht="26" customHeight="1">
      <x:c r="A100" s="1"/>
      <x:c r="B100" s="1"/>
      <x:c r="C100" s="3" t="str">
        <x:v>Pre-action CET1 reconstruction</x:v>
      </x:c>
      <x:c r="D100" s="3"/>
      <x:c r="E100" s="3"/>
      <x:c r="F100" s="21"/>
      <x:c r="G100" s="21" t="n">
        <x:f>G40-G99-G97</x:f>
        <x:v>46.82688112366296</x:v>
      </x:c>
      <x:c r="H100" s="21" t="n">
        <x:f>H40-H99-H97</x:f>
        <x:v>52.12813694896208</x:v>
      </x:c>
      <x:c r="I100" s="21" t="n">
        <x:f>I40-I99-I97</x:f>
        <x:v>47.343400478896264</x:v>
      </x:c>
      <x:c r="J100" s="21" t="n">
        <x:f>J40-J99-J97</x:f>
        <x:v>52.233713798165205</x:v>
      </x:c>
      <x:c r="K100" s="21" t="n">
        <x:f>K40-K99-K97</x:f>
        <x:v>56.46122338052847</x:v>
      </x:c>
    </x:row>
    <x:row r="101" ht="26" customHeight="1">
      <x:c r="A101" s="1"/>
      <x:c r="B101" s="1"/>
      <x:c r="C101" s="3"/>
      <x:c r="D101" s="3"/>
      <x:c r="E101" s="3"/>
      <x:c r="F101" s="21"/>
      <x:c r="G101" s="21"/>
      <x:c r="H101" s="21"/>
      <x:c r="I101" s="21"/>
      <x:c r="J101" s="21"/>
      <x:c r="K101" s="21"/>
    </x:row>
    <x:row r="102" ht="26" customHeight="1">
      <x:c r="A102" s="1"/>
      <x:c r="B102" s="1"/>
      <x:c r="C102" s="3"/>
      <x:c r="D102" s="3"/>
      <x:c r="E102" s="3"/>
      <x:c r="F102" s="21"/>
      <x:c r="G102" s="21"/>
      <x:c r="H102" s="21"/>
      <x:c r="I102" s="21"/>
      <x:c r="J102" s="21"/>
      <x:c r="K102" s="21"/>
    </x:row>
    <x:row r="103" ht="26" customHeight="1">
      <x:c r="A103" s="1"/>
      <x:c r="B103" s="1"/>
      <x:c r="C103" s="3" t="str">
        <x:v>Reporting input completeness</x:v>
      </x:c>
      <x:c r="D103" s="3"/>
      <x:c r="E103" s="3"/>
      <x:c r="F103" s="23" t="str">
        <x:f>IF(OR(COUNTA(Facilities!C9:C108)=0,COUNTIF(Facilities!AF9:AF108,"Ready")&lt;&gt;COUNTA(Facilities!C9:C108),COUNTIF(ECL!O9:O108,"Ready")&lt;&gt;COUNTA(Facilities!C9:C108)),"Incomplete input data","Ready")</x:f>
        <x:v>Ready</x:v>
      </x:c>
      <x:c r="G103" s="21"/>
      <x:c r="H103" s="21"/>
      <x:c r="I103" s="21"/>
      <x:c r="J103" s="21"/>
      <x:c r="K103" s="21"/>
    </x:row>
    <x:row r="104" ht="26" customHeight="1">
      <x:c r="A104" s="1"/>
      <x:c r="B104" s="1"/>
      <x:c r="C104" s="3" t="str">
        <x:v>Forecast input completeness</x:v>
      </x:c>
      <x:c r="D104" s="3"/>
      <x:c r="E104" s="3"/>
      <x:c r="F104" s="23" t="str">
        <x:f>IF(OR(F103&lt;&gt;"Ready",COUNTIF('Facility Plan'!AQ9:AQ508,"Ready")&lt;&gt;COUNTA(Facilities!C9:C108)*5),"Incomplete forecast data","Ready")</x:f>
        <x:v>Ready</x:v>
      </x:c>
      <x:c r="G104" s="21"/>
      <x:c r="H104" s="21"/>
      <x:c r="I104" s="21"/>
      <x:c r="J104" s="21"/>
      <x:c r="K104" s="21"/>
    </x:row>
    <x:row r="105" ht="26" customHeight="1">
      <x:c r="A105" s="1"/>
      <x:c r="B105" s="1"/>
      <x:c r="C105" s="3"/>
      <x:c r="D105" s="3"/>
      <x:c r="E105" s="3"/>
      <x:c r="F105" s="21"/>
      <x:c r="G105" s="21"/>
      <x:c r="H105" s="21"/>
      <x:c r="I105" s="21"/>
      <x:c r="J105" s="21"/>
      <x:c r="K105" s="21"/>
    </x:row>
    <x:row r="106" ht="26" customHeight="1">
      <x:c r="A106" s="1"/>
      <x:c r="B106" s="1"/>
      <x:c r="C106" s="3" t="str">
        <x:v>Opening cash attributable to actions</x:v>
      </x:c>
      <x:c r="D106" s="3"/>
      <x:c r="E106" s="3"/>
      <x:c r="F106" s="21"/>
      <x:c r="G106" s="21" t="n">
        <x:f>0</x:f>
        <x:v>0</x:v>
      </x:c>
      <x:c r="H106" s="21" t="n">
        <x:f>G98+G99+G97</x:f>
        <x:v>0</x:v>
      </x:c>
      <x:c r="I106" s="21" t="n">
        <x:f>H98+H99+H97</x:f>
        <x:v>0</x:v>
      </x:c>
      <x:c r="J106" s="21" t="n">
        <x:f>I98+I99+I97</x:f>
        <x:v>12.75</x:v>
      </x:c>
      <x:c r="K106" s="21" t="n">
        <x:f>J98+J99+J97</x:f>
        <x:v>12.8611640625</x:v>
      </x:c>
    </x:row>
    <x:row r="107" ht="26" customHeight="1">
      <x:c r="A107" s="1"/>
      <x:c r="B107" s="1"/>
      <x:c r="C107" s="3" t="str">
        <x:v>Current action effect before tax</x:v>
      </x:c>
      <x:c r="D107" s="3"/>
      <x:c r="E107" s="3"/>
      <x:c r="F107" s="21"/>
      <x:c r="G107" s="23" t="n">
        <x:f>G106*$F$66-0*($F$69+'Scenario Paths'!F69)-G91*G94</x:f>
        <x:v>0</x:v>
      </x:c>
      <x:c r="H107" s="23" t="n">
        <x:f>H106*$F$66-G98*($F$69+'Scenario Paths'!G69)-H91*H94</x:f>
        <x:v>0</x:v>
      </x:c>
      <x:c r="I107" s="23" t="n">
        <x:f>I106*$F$66-H98*($F$69+'Scenario Paths'!H69)-I91*I94</x:f>
        <x:v>-0.25</x:v>
      </x:c>
      <x:c r="J107" s="23" t="n">
        <x:f>J106*$F$66-I98*($F$69+'Scenario Paths'!I69)-J91*J94</x:f>
        <x:v>0.19125000000000003</x:v>
      </x:c>
      <x:c r="K107" s="23" t="n">
        <x:f>K106*$F$66-J98*($F$69+'Scenario Paths'!J69)-K91*K94</x:f>
        <x:v>0.20514074218750006</x:v>
      </x:c>
    </x:row>
    <x:row r="108" ht="26" customHeight="1">
      <x:c r="A108" s="1"/>
      <x:c r="B108" s="1"/>
      <x:c r="C108" s="3" t="str">
        <x:v>Pre-action profit before tax</x:v>
      </x:c>
      <x:c r="D108" s="3"/>
      <x:c r="E108" s="3"/>
      <x:c r="F108" s="21"/>
      <x:c r="G108" s="21" t="n">
        <x:f>G17-G107</x:f>
        <x:v>12.903863931118913</x:v>
      </x:c>
      <x:c r="H108" s="21" t="n">
        <x:f>H17-H107</x:f>
        <x:v>9.120440129546882</x:v>
      </x:c>
      <x:c r="I108" s="21" t="n">
        <x:f>I17-I107</x:f>
        <x:v>-4.784736470065816</x:v>
      </x:c>
      <x:c r="J108" s="21" t="n">
        <x:f>J17-J107</x:f>
        <x:v>8.413442269710014</x:v>
      </x:c>
      <x:c r="K108" s="21" t="n">
        <x:f>K17-K107</x:f>
        <x:v>7.273134765356171</x:v>
      </x:c>
    </x:row>
    <x:row r="109" ht="26" customHeight="1">
      <x:c r="A109" s="1"/>
      <x:c r="B109" s="1"/>
      <x:c r="C109" s="3" t="str">
        <x:v>Pre-action tax</x:v>
      </x:c>
      <x:c r="D109" s="3"/>
      <x:c r="E109" s="3"/>
      <x:c r="F109" s="21"/>
      <x:c r="G109" s="23" t="n">
        <x:f>MAX(0,G108)*Settings!$F$21</x:f>
        <x:v>2.9033693845017554</x:v>
      </x:c>
      <x:c r="H109" s="23" t="n">
        <x:f>MAX(0,H108)*Settings!$F$21</x:f>
        <x:v>2.0520990291480485</x:v>
      </x:c>
      <x:c r="I109" s="23" t="n">
        <x:f>MAX(0,I108)*Settings!$F$21</x:f>
        <x:v>0</x:v>
      </x:c>
      <x:c r="J109" s="23" t="n">
        <x:f>MAX(0,J108)*Settings!$F$21</x:f>
        <x:v>1.8930245106847532</x:v>
      </x:c>
      <x:c r="K109" s="23" t="n">
        <x:f>MAX(0,K108)*Settings!$F$21</x:f>
        <x:v>1.6364553222051386</x:v>
      </x:c>
    </x:row>
    <x:row r="110" ht="26" customHeight="1">
      <x:c r="A110" s="1"/>
      <x:c r="B110" s="1"/>
      <x:c r="C110" s="3" t="str">
        <x:v>Pre-action net profit</x:v>
      </x:c>
      <x:c r="D110" s="3"/>
      <x:c r="E110" s="3"/>
      <x:c r="F110" s="21"/>
      <x:c r="G110" s="21" t="n">
        <x:f>G108-G109</x:f>
        <x:v>10.000494546617158</x:v>
      </x:c>
      <x:c r="H110" s="21" t="n">
        <x:f>H108-H109</x:f>
        <x:v>7.0683411003988335</x:v>
      </x:c>
      <x:c r="I110" s="21" t="n">
        <x:f>I108-I109</x:f>
        <x:v>-4.784736470065816</x:v>
      </x:c>
      <x:c r="J110" s="21" t="n">
        <x:f>J108-J109</x:f>
        <x:v>6.5204177590252606</x:v>
      </x:c>
      <x:c r="K110" s="21" t="n">
        <x:f>K108-K109</x:f>
        <x:v>5.636679443151032</x:v>
      </x:c>
    </x:row>
    <x:row r="111" ht="26" customHeight="1">
      <x:c r="A111" s="1"/>
      <x:c r="B111" s="1"/>
      <x:c r="C111" s="3" t="str">
        <x:v>Pre-action dividends</x:v>
      </x:c>
      <x:c r="D111" s="3"/>
      <x:c r="E111" s="3"/>
      <x:c r="F111" s="21"/>
      <x:c r="G111" s="23" t="n">
        <x:f>MAX(0,G110)*Settings!$F$22</x:f>
        <x:v>2.5001236366542896</x:v>
      </x:c>
      <x:c r="H111" s="23" t="n">
        <x:f>MAX(0,H110)*Settings!$F$22</x:f>
        <x:v>1.7670852750997084</x:v>
      </x:c>
      <x:c r="I111" s="23" t="n">
        <x:f>MAX(0,I110)*Settings!$F$22</x:f>
        <x:v>0</x:v>
      </x:c>
      <x:c r="J111" s="23" t="n">
        <x:f>MAX(0,J110)*Settings!$F$22</x:f>
        <x:v>1.6301044397563151</x:v>
      </x:c>
      <x:c r="K111" s="23" t="n">
        <x:f>MAX(0,K110)*Settings!$F$22</x:f>
        <x:v>1.409169860787758</x:v>
      </x:c>
    </x:row>
    <x:row r="112" ht="26" customHeight="1">
      <x:c r="A112" s="1"/>
      <x:c r="B112" s="1"/>
      <x:c r="C112" s="3" t="str">
        <x:v>Current action retained earnings</x:v>
      </x:c>
      <x:c r="D112" s="3"/>
      <x:c r="E112" s="3"/>
      <x:c r="F112" s="21"/>
      <x:c r="G112" s="21" t="n">
        <x:f>G21-(G110-G111)</x:f>
        <x:v>0</x:v>
      </x:c>
      <x:c r="H112" s="21" t="n">
        <x:f>H21-(H110-H111)</x:f>
        <x:v>0</x:v>
      </x:c>
      <x:c r="I112" s="21" t="n">
        <x:f>I21-(I110-I111)</x:f>
        <x:v>-0.25</x:v>
      </x:c>
      <x:c r="J112" s="21" t="n">
        <x:f>J21-(J110-J111)</x:f>
        <x:v>0.11116406250000033</x:v>
      </x:c>
      <x:c r="K112" s="21" t="n">
        <x:f>K21-(K110-K111)</x:f>
        <x:v>0.1192380563964841</x:v>
      </x:c>
    </x:row>
    <x:row r="113" ht="26" customHeight="1">
      <x:c r="A113" s="1"/>
      <x:c r="B113" s="1"/>
      <x:c r="C113" s="3" t="str">
        <x:v>Pre-action cash</x:v>
      </x:c>
      <x:c r="D113" s="3"/>
      <x:c r="E113" s="3"/>
      <x:c r="F113" s="21"/>
      <x:c r="G113" s="21" t="n">
        <x:f>G23-G98-G99-G97</x:f>
        <x:v>66.92279447884395</x:v>
      </x:c>
      <x:c r="H113" s="21" t="n">
        <x:f>H23-H98-H99-H97</x:f>
        <x:v>98.66848348135574</x:v>
      </x:c>
      <x:c r="I113" s="21" t="n">
        <x:f>I23-I98-I99-I97</x:f>
        <x:v>116.2207312522032</x:v>
      </x:c>
      <x:c r="J113" s="21" t="n">
        <x:f>J23-J98-J99-J97</x:f>
        <x:v>132.3733649157092</x:v>
      </x:c>
      <x:c r="K113" s="21" t="n">
        <x:f>K23-K98-K99-K97</x:f>
        <x:v>179.16025855447973</x:v>
      </x:c>
    </x:row>
    <x:row r="114" ht="26" customHeight="1">
      <x:c r="A114" s="1"/>
      <x:c r="B114" s="1"/>
      <x:c r="C114" s="3" t="str">
        <x:v>Pre-action term funding</x:v>
      </x:c>
      <x:c r="D114" s="3"/>
      <x:c r="E114" s="3"/>
      <x:c r="F114" s="21"/>
      <x:c r="G114" s="21" t="n">
        <x:f>G32-G98</x:f>
        <x:v>40</x:v>
      </x:c>
      <x:c r="H114" s="21" t="n">
        <x:f>H32-H98</x:f>
        <x:v>40</x:v>
      </x:c>
      <x:c r="I114" s="21" t="n">
        <x:f>I32-I98</x:f>
        <x:v>40</x:v>
      </x:c>
      <x:c r="J114" s="21" t="n">
        <x:f>J32-J98</x:f>
        <x:v>40</x:v>
      </x:c>
      <x:c r="K114" s="21" t="n">
        <x:f>K32-K98</x:f>
        <x:v>40</x:v>
      </x:c>
    </x:row>
    <x:row r="115" ht="26" customHeight="1">
      <x:c r="A115" s="1"/>
      <x:c r="B115" s="1"/>
      <x:c r="C115" s="3"/>
      <x:c r="D115" s="3"/>
      <x:c r="E115" s="3"/>
      <x:c r="F115" s="3"/>
      <x:c r="G115" s="3"/>
      <x:c r="H115" s="3"/>
      <x:c r="I115" s="3"/>
      <x:c r="J115" s="3"/>
      <x:c r="K115" s="3"/>
    </x:row>
    <x:row r="116" ht="26" customHeight="1">
      <x:c r="A116" s="1"/>
      <x:c r="B116" s="1"/>
      <x:c r="C116" s="3"/>
      <x:c r="D116" s="3"/>
      <x:c r="E116" s="3"/>
      <x:c r="F116" s="3"/>
      <x:c r="G116" s="3"/>
      <x:c r="H116" s="3"/>
      <x:c r="I116" s="3"/>
      <x:c r="J116" s="3"/>
      <x:c r="K116" s="3"/>
    </x:row>
    <x:row r="117" ht="26" customHeight="1">
      <x:c r="A117" s="1"/>
      <x:c r="B117" s="1"/>
      <x:c r="C117" s="3"/>
      <x:c r="D117" s="3"/>
      <x:c r="E117" s="3"/>
      <x:c r="F117" s="3"/>
      <x:c r="G117" s="3"/>
      <x:c r="H117" s="3"/>
      <x:c r="I117" s="3"/>
      <x:c r="J117" s="3"/>
      <x:c r="K117" s="3"/>
    </x:row>
    <x:row r="118" ht="26" customHeight="1">
      <x:c r="A118" s="1"/>
      <x:c r="B118" s="1"/>
      <x:c r="C118" s="3"/>
      <x:c r="D118" s="3"/>
      <x:c r="E118" s="3"/>
      <x:c r="F118" s="3"/>
      <x:c r="G118" s="3"/>
      <x:c r="H118" s="3"/>
      <x:c r="I118" s="3"/>
      <x:c r="J118" s="3"/>
      <x:c r="K118" s="3"/>
    </x:row>
    <x:row r="119" ht="26" customHeight="1">
      <x:c r="A119" s="1"/>
      <x:c r="B119" s="1"/>
      <x:c r="C119" s="3"/>
      <x:c r="D119" s="3"/>
      <x:c r="E119" s="3"/>
      <x:c r="F119" s="3"/>
      <x:c r="G119" s="3"/>
      <x:c r="H119" s="3"/>
      <x:c r="I119" s="3"/>
      <x:c r="J119" s="3"/>
      <x:c r="K119" s="3"/>
    </x:row>
    <x:row r="120" ht="26" customHeight="1">
      <x:c r="A120" s="1"/>
      <x:c r="B120" s="1"/>
      <x:c r="C120" s="3"/>
      <x:c r="D120" s="3"/>
      <x:c r="E120" s="3"/>
      <x:c r="F120" s="3"/>
      <x:c r="G120" s="3"/>
      <x:c r="H120" s="3"/>
      <x:c r="I120" s="3"/>
      <x:c r="J120" s="3"/>
      <x:c r="K120" s="3"/>
    </x:row>
    <x:row r="121" ht="26" customHeight="1">
      <x:c r="A121" s="1"/>
      <x:c r="B121" s="1"/>
      <x:c r="C121" s="3"/>
      <x:c r="D121" s="3"/>
      <x:c r="E121" s="3"/>
      <x:c r="F121" s="3"/>
      <x:c r="G121" s="3"/>
      <x:c r="H121" s="3"/>
      <x:c r="I121" s="3"/>
      <x:c r="J121" s="3"/>
      <x:c r="K121" s="3"/>
    </x:row>
    <x:row r="122" ht="26" customHeight="1">
      <x:c r="A122" s="1"/>
      <x:c r="B122" s="1"/>
      <x:c r="C122" s="3"/>
      <x:c r="D122" s="3"/>
      <x:c r="E122" s="3"/>
      <x:c r="F122" s="3"/>
      <x:c r="G122" s="3"/>
      <x:c r="H122" s="3"/>
      <x:c r="I122" s="3"/>
      <x:c r="J122" s="3"/>
      <x:c r="K122" s="3"/>
    </x:row>
    <x:row r="123" ht="26" customHeight="1">
      <x:c r="A123" s="1"/>
      <x:c r="B123" s="1"/>
      <x:c r="C123" s="3"/>
      <x:c r="D123" s="3"/>
      <x:c r="E123" s="3"/>
      <x:c r="F123" s="3"/>
      <x:c r="G123" s="3"/>
      <x:c r="H123" s="3"/>
      <x:c r="I123" s="3"/>
      <x:c r="J123" s="3"/>
      <x:c r="K123" s="3"/>
    </x:row>
    <x:row r="124" ht="26" customHeight="1">
      <x:c r="A124" s="1"/>
      <x:c r="B124" s="1"/>
      <x:c r="C124" s="3"/>
      <x:c r="D124" s="3"/>
      <x:c r="E124" s="3"/>
      <x:c r="F124" s="3"/>
      <x:c r="G124" s="3"/>
      <x:c r="H124" s="3"/>
      <x:c r="I124" s="3"/>
      <x:c r="J124" s="3"/>
      <x:c r="K124" s="3"/>
    </x:row>
    <x:row r="125" ht="26" customHeight="1">
      <x:c r="A125" s="1"/>
      <x:c r="B125" s="1"/>
      <x:c r="C125" s="3"/>
      <x:c r="D125" s="3"/>
      <x:c r="E125" s="3"/>
      <x:c r="F125" s="3"/>
      <x:c r="G125" s="3"/>
      <x:c r="H125" s="3"/>
      <x:c r="I125" s="3"/>
      <x:c r="J125" s="3"/>
      <x:c r="K125" s="3"/>
    </x:row>
  </x:sheetData>
  <x:mergeCells>
    <x:mergeCell ref="C2:H2"/>
    <x:mergeCell ref="C3:M3"/>
    <x:mergeCell ref="C58:K58"/>
    <x:mergeCell ref="C88:K88"/>
    <x:mergeCell ref="C1:D1"/>
    <x:mergeCell ref="E1:F1"/>
    <x:mergeCell ref="G1:H1"/>
    <x:mergeCell ref="I1:J1"/>
    <x:mergeCell ref="K1:L1"/>
    <x:mergeCell ref="M1:N1"/>
  </x:mergeCells>
  <x:conditionalFormatting sqref="F103:F104">
    <x:cfRule type="containsText" dxfId="128" priority="1" operator="containsText" text="Missing"/>
    <x:cfRule type="containsText" dxfId="129" priority="2" operator="containsText" text="Required"/>
    <x:cfRule type="containsText" dxfId="130" priority="3" operator="containsText" text="required"/>
    <x:cfRule type="containsText" dxfId="131" priority="4" operator="containsText" text="Expired"/>
    <x:cfRule type="containsText" dxfId="132" priority="5" operator="containsText" text="Hold"/>
    <x:cfRule type="containsText" dxfId="133" priority="6" operator="containsText" text="Review"/>
    <x:cfRule type="containsText" dxfId="134" priority="7" operator="containsText" text="Incomplete"/>
    <x:cfRule type="containsText" dxfId="135" priority="8" operator="containsText" text="Pending"/>
    <x:cfRule type="containsText" dxfId="136" priority="9" operator="containsText" text="Unsupported"/>
    <x:cfRule type="containsText" dxfId="137" priority="10" operator="containsText" text="Criteria"/>
    <x:cfRule type="containsText" dxfId="138" priority="11" operator="containsText" text="Fail"/>
    <x:cfRule type="containsText" dxfId="139" priority="12" operator="containsText" text="Stop"/>
    <x:cfRule type="containsText" dxfId="140" priority="13" operator="containsText" text="Breach"/>
    <x:cfRule type="containsText" dxfId="141" priority="14" operator="containsText" text="Invalid"/>
    <x:cfRule type="containsText" dxfId="142" priority="15" operator="containsText" text="Duplicate"/>
    <x:cfRule type="containsText" dxfId="143" priority="16" operator="containsText" text="Not aligned"/>
  </x:conditionalFormatting>
  <x:dataValidations count="1">
    <x:dataValidation type="list" sqref="G92:K92">
      <x:formula1>"Proposed,Approved,Rejected"</x:formula1>
    </x:dataValidation>
  </x:dataValidations>
  <x:hyperlinks>
    <x:hyperlink ref="C1" location="'Overview'!C2" display="Home" tooltip="Open Overview"/>
    <x:hyperlink ref="E1" location="'Customer'!C2" display="Customer" tooltip="Open Customer"/>
    <x:hyperlink ref="G1" location="'Capital'!C2" display="Capital" tooltip="Open Capital"/>
    <x:hyperlink ref="I1" location="'Disclosures'!C2" display="Reporting" tooltip="Open Disclosures"/>
    <x:hyperlink ref="K1" location="'Borrowers'!C8" display="Inputs" tooltip="Open Borrowers"/>
    <x:hyperlink ref="M1" location="'Settings'!C5" display="Settings" tooltip="Open Settings"/>
  </x:hyperlink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007F86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2.4000000953674316" hidden="0" customWidth="1"/>
    <x:col min="2" max="2" width="2.4000000953674316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</x:cols>
  <x:sheetData>
    <x:row r="1" ht="27" customHeight="1">
      <x:c r="A1" s="1"/>
      <x:c r="B1" s="1"/>
      <x:c r="C1" s="50" t="str">
        <x:v>Home</x:v>
      </x:c>
      <x:c r="D1" s="50"/>
      <x:c r="E1" s="63" t="str">
        <x:v>Customer</x:v>
      </x:c>
      <x:c r="F1" s="63"/>
      <x:c r="G1" s="63" t="str">
        <x:v>Capital</x:v>
      </x:c>
      <x:c r="H1" s="63"/>
      <x:c r="I1" s="63" t="str">
        <x:v>Reporting</x:v>
      </x:c>
      <x:c r="J1" s="63"/>
      <x:c r="K1" s="63" t="str">
        <x:v>Inputs</x:v>
      </x:c>
      <x:c r="L1" s="63"/>
      <x:c r="M1" s="63" t="str">
        <x:v>Settings</x:v>
      </x:c>
      <x:c r="N1" s="63"/>
      <x:c r="O1" s="3"/>
      <x:c r="P1" s="3"/>
      <x:c r="Q1" s="3"/>
      <x:c r="R1" s="3"/>
      <x:c r="S1" s="3"/>
      <x:c r="T1" s="3"/>
      <x:c r="U1" s="3"/>
      <x:c r="V1" s="3"/>
      <x:c r="W1" s="3"/>
    </x:row>
    <x:row r="2" ht="45" customHeight="1">
      <x:c r="A2" s="1"/>
      <x:c r="B2" s="1"/>
      <x:c r="C2" s="5" t="str">
        <x:v>Climate to credit</x:v>
      </x:c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</x:row>
    <x:row r="3" ht="32" customHeight="1">
      <x:c r="A3" s="1"/>
      <x:c r="B3" s="1"/>
      <x:c r="C3" s="6" t="str">
        <x:v>Conditional borrower transmission by year. PD/LGD sensitivities are explicit, uncalibrated assumptions.</x:v>
      </x:c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3"/>
      <x:c r="O3" s="3"/>
      <x:c r="P3" s="3"/>
      <x:c r="Q3" s="3"/>
      <x:c r="R3" s="3"/>
      <x:c r="S3" s="3"/>
      <x:c r="T3" s="3"/>
      <x:c r="U3" s="3"/>
      <x:c r="V3" s="3"/>
      <x:c r="W3" s="3"/>
    </x:row>
    <x:row r="4" ht="26" customHeight="1">
      <x:c r="A4" s="1"/>
      <x:c r="B4" s="1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</x:row>
    <x:row r="5" ht="26" customHeight="1">
      <x:c r="A5" s="1"/>
      <x:c r="B5" s="1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6" customHeight="1">
      <x:c r="A6" s="1"/>
      <x:c r="B6" s="1"/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  <x:c r="O6" s="3"/>
      <x:c r="P6" s="3"/>
      <x:c r="Q6" s="3"/>
      <x:c r="R6" s="3"/>
      <x:c r="S6" s="3"/>
      <x:c r="T6" s="3"/>
      <x:c r="U6" s="3"/>
      <x:c r="V6" s="3"/>
      <x:c r="W6" s="3"/>
    </x:row>
    <x:row r="7" ht="26" customHeight="1">
      <x:c r="A7" s="1"/>
      <x:c r="B7" s="1"/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3"/>
      <x:c r="Q7" s="3"/>
      <x:c r="R7" s="3"/>
      <x:c r="S7" s="3"/>
      <x:c r="T7" s="3"/>
      <x:c r="U7" s="3"/>
      <x:c r="V7" s="3"/>
      <x:c r="W7" s="3"/>
    </x:row>
    <x:row r="8" ht="46" customHeight="1">
      <x:c r="A8" s="1"/>
      <x:c r="B8" s="1"/>
      <x:c r="C8" s="15" t="str">
        <x:v>Borrower ID</x:v>
      </x:c>
      <x:c r="D8" s="15" t="str">
        <x:v>Year index</x:v>
      </x:c>
      <x:c r="E8" s="15" t="str">
        <x:v>Year</x:v>
      </x:c>
      <x:c r="F8" s="15" t="str">
        <x:v>Sector</x:v>
      </x:c>
      <x:c r="G8" s="15" t="str">
        <x:v>Baseline cash USD m</x:v>
      </x:c>
      <x:c r="H8" s="15" t="str">
        <x:v>Demand EBITDA change</x:v>
      </x:c>
      <x:c r="I8" s="15" t="str">
        <x:v>Net carbon cost</x:v>
      </x:c>
      <x:c r="J8" s="15" t="str">
        <x:v>Net energy cost</x:v>
      </x:c>
      <x:c r="K8" s="15" t="str">
        <x:v>Interruption loss</x:v>
      </x:c>
      <x:c r="L8" s="15" t="str">
        <x:v>Net repair expense</x:v>
      </x:c>
      <x:c r="M8" s="15" t="str">
        <x:v>Stressed EBITDA</x:v>
      </x:c>
      <x:c r="N8" s="15" t="str">
        <x:v>Transition capex</x:v>
      </x:c>
      <x:c r="O8" s="15" t="str">
        <x:v>Available cash</x:v>
      </x:c>
      <x:c r="P8" s="15" t="str">
        <x:v>Debt service coverage</x:v>
      </x:c>
      <x:c r="Q8" s="15" t="str">
        <x:v>Conditional annual PD</x:v>
      </x:c>
      <x:c r="R8" s="15" t="str">
        <x:v>Conditional LGD</x:v>
      </x:c>
      <x:c r="S8" s="15" t="str">
        <x:v>Physical exposure index</x:v>
      </x:c>
      <x:c r="T8" s="15" t="str">
        <x:v>Collateral loss share</x:v>
      </x:c>
      <x:c r="U8" s="15" t="str">
        <x:v>Input status</x:v>
      </x:c>
      <x:c r="V8" s="15" t="str">
        <x:v>Cash deterioration</x:v>
      </x:c>
      <x:c r="W8" s="15" t="str">
        <x:v>Borrower name</x:v>
      </x:c>
    </x:row>
    <x:row r="9" ht="26" customHeight="1">
      <x:c r="A9" s="1"/>
      <x:c r="B9" s="1"/>
      <x:c r="C9" s="9" t="str">
        <x:f>IF(Borrowers!C9="","",Borrowers!C9)</x:f>
        <x:v>B001</x:v>
      </x:c>
      <x:c r="D9" s="3" t="n">
        <x:v>1</x:v>
      </x:c>
      <x:c r="E9" s="9" t="n">
        <x:f>Settings!$F$18+0</x:f>
        <x:v>2027</x:v>
      </x:c>
      <x:c r="F9" s="9" t="str">
        <x:f>IF(C9="","",INDEX('Borrowers'!$F$9:$F$108,MATCH(C9,'Borrowers'!$C$9:$C$108,0)))</x:f>
        <x:v>Cement</x:v>
      </x:c>
      <x:c r="G9" s="23" t="n">
        <x:f>IF(C9="","",IFERROR(INDEX('Borrowers'!$J$9:$J$108,MATCH(C9,'Borrowers'!$C$9:$C$108,0))-INDEX('Borrowers'!$K$9:$K$108,MATCH(C9,'Borrowers'!$C$9:$C$108,0)),"Unavailable"))</x:f>
        <x:v>10</x:v>
      </x:c>
      <x:c r="H9" s="23" t="n">
        <x:f>IF(C9="","",IFERROR(INDEX('Borrowers'!$I$9:$I$108,MATCH(C9,'Borrowers'!$C$9:$C$108,0))*INDEX('Borrowers'!$U$9:$U$108,MATCH(C9,'Borrowers'!$C$9:$C$108,0))*(IF(F9="Transport",'Scenario Paths'!F156,IF(F9="Technology",'Scenario Paths'!F150,IF(F9="Utilities",'Scenario Paths'!F144,IF(F9="Agriculture",'Scenario Paths'!F138,IF(F9="Manufacturing",'Scenario Paths'!F132,IF(F9="Healthcare",'Scenario Paths'!F126,IF(F9="Hospitality",'Scenario Paths'!F120,IF(F9="Property",'Scenario Paths'!F114,IF(F9="Food",'Scenario Paths'!F108,IF(F9="Logistics",'Scenario Paths'!F102,IF(F9="Solar",'Scenario Paths'!F96,IF(F9="Cement",'Scenario Paths'!F90,0))))))))))))),"Unavailable"))</x:f>
        <x:v>-0.288</x:v>
      </x:c>
      <x:c r="I9" s="23" t="n">
        <x:f>IF(C9="","",IFERROR(INDEX('Borrowers'!$R$9:$R$108,MATCH(C9,'Borrowers'!$C$9:$C$108,0))*(1-INDEX('Borrowers'!$W$9:$W$108,MATCH(C9,'Borrowers'!$C$9:$C$108,0))*'Scenario Paths'!F39)*'Scenario Paths'!F9/1000000*(1-INDEX('Borrowers'!$T$9:$T$108,MATCH(C9,'Borrowers'!$C$9:$C$108,0))),"Unavailable"))</x:f>
        <x:v>1.1583</x:v>
      </x:c>
      <x:c r="J9" s="23" t="n">
        <x:f>IF(C9="","",IFERROR(INDEX('Borrowers'!$I$9:$I$108,MATCH(C9,'Borrowers'!$C$9:$C$108,0))*INDEX('Borrowers'!$S$9:$S$108,MATCH(C9,'Borrowers'!$C$9:$C$108,0))*'Scenario Paths'!F15*(1-INDEX('Borrowers'!$T$9:$T$108,MATCH(C9,'Borrowers'!$C$9:$C$108,0))),"Unavailable"))</x:f>
        <x:v>0.44850000000000007</x:v>
      </x:c>
      <x:c r="K9" s="23" t="n">
        <x:f>IF(C9="","",IFERROR(INDEX('Borrowers'!$I$9:$I$108,MATCH(C9,'Borrowers'!$C$9:$C$108,0))*INDEX('Borrowers'!$U$9:$U$108,MATCH(C9,'Borrowers'!$C$9:$C$108,0))*'Scenario Paths'!F21*S9,"Unavailable"))</x:f>
        <x:v>0.0064512</x:v>
      </x:c>
      <x:c r="L9" s="23" t="n">
        <x:f>IF(C9="","",IFERROR(SUMPRODUCT((Sites!$D$9:$D$108=C9)*Sites!$H$9:$H$108*Sites!$J$9:$J$108*Sites!$K$9:$K$108*(1-Sites!$L$9:$L$108)*(1-Sites!$M$9:$M$108))*'Scenario Paths'!F27,"Unavailable"))</x:f>
        <x:v>0.00616</x:v>
      </x:c>
      <x:c r="M9" s="23" t="n">
        <x:f>IF(C9="","",IFERROR(INDEX('Borrowers'!$J$9:$J$108,MATCH(C9,'Borrowers'!$C$9:$C$108,0))+H9-SUM(I9:L9),"Unavailable"))</x:f>
        <x:v>10.0925888</x:v>
      </x:c>
      <x:c r="N9" s="23" t="n">
        <x:f>IF(C9="","",IFERROR(INDEX('Borrowers'!$I$9:$I$108,MATCH(C9,'Borrowers'!$C$9:$C$108,0))*'Scenario Paths'!F33,"Unavailable"))</x:f>
        <x:v>0.3</x:v>
      </x:c>
      <x:c r="O9" s="23" t="n">
        <x:f>IF(C9="","",IFERROR(M9-INDEX('Borrowers'!$K$9:$K$108,MATCH(C9,'Borrowers'!$C$9:$C$108,0))-N9,"Unavailable"))</x:f>
        <x:v>7.7925888</x:v>
      </x:c>
      <x:c r="P9" s="127" t="n">
        <x:f>IF(C9="","",IFERROR(O9/INDEX('Borrowers'!$L$9:$L$108,MATCH(C9,'Borrowers'!$C$9:$C$108,0)),"Unavailable"))</x:f>
        <x:v>1.55851776</x:v>
      </x:c>
      <x:c r="Q9" s="30" t="n">
        <x:f>IF(C9="","",IFERROR(IF(INDEX('Borrowers'!$Z$9:$Z$108,MATCH(C9,'Borrowers'!$C$9:$C$108,0))="Yes",1,IF(INDEX('Borrowers'!$P$9:$P$108,MATCH(C9,'Borrowers'!$C$9:$C$108,0))=0,0,MIN(1,INDEX('Borrowers'!$P$9:$P$108,MATCH(C9,'Borrowers'!$C$9:$C$108,0))*EXP(MIN(20,INDEX('Borrowers'!$V$9:$V$108,MATCH(C9,'Borrowers'!$C$9:$C$108,0))*V9))))),"Unavailable"))</x:f>
        <x:v>0.017083147338488053</x:v>
      </x:c>
      <x:c r="R9" s="30" t="n">
        <x:f>IF(C9="","",IFERROR(MIN(1,INDEX('Borrowers'!$Q$9:$Q$108,MATCH(C9,'Borrowers'!$C$9:$C$108,0))+(1-INDEX('Borrowers'!$Q$9:$Q$108,MATCH(C9,'Borrowers'!$C$9:$C$108,0)))*T9),"Unavailable"))</x:f>
        <x:v>0.28020160000000005</x:v>
      </x:c>
      <x:c r="S9" s="30" t="n">
        <x:f>IF(C9="","",IFERROR(SUMPRODUCT((Sites!$D$9:$D$108=C9)*Sites!$I$9:$I$108*Sites!$J$9:$J$108*Sites!$K$9:$K$108*(1-Sites!$L$9:$L$108)),"Unavailable"))</x:f>
        <x:v>0.056</x:v>
      </x:c>
      <x:c r="T9" s="30" t="n">
        <x:f>IF(C9="","",IFERROR(MIN(1,(SUMPRODUCT((Sites!$D$9:$D$108=C9)*Sites!$N$9:$N$108*Sites!$J$9:$J$108*Sites!$K$9:$K$108*(1-Sites!$L$9:$L$108)))*'Scenario Paths'!F27),"Unavailable"))</x:f>
        <x:v>0.00028000000000000003</x:v>
      </x:c>
      <x:c r="U9" s="9" t="str">
        <x:f>IF(C9="","",IF(OR(INDEX('Borrowers'!$AA$9:$AA$108,MATCH(C9,'Borrowers'!$C$9:$C$108,0))&lt;&gt;"Ready",COUNTIF(Sites!$D$9:$D$108,C9)=0,COUNTIFS(Sites!$D$9:$D$108,C9,Sites!$Q$9:$Q$108,"&lt;&gt;Ready")&gt;0,'Scenario Paths'!$F$6&lt;&gt;"Ready"),"Review source inputs","Ready"))</x:f>
        <x:v>Ready</x:v>
      </x:c>
      <x:c r="V9" s="17" t="n">
        <x:f>IF(C9="","",IFERROR(MAX(-1,(G9-O9)/MAX(0.000001,G9)),"Unavailable"))</x:f>
        <x:v>0.22074112</x:v>
      </x:c>
      <x:c r="W9" s="9" t="str">
        <x:f>IF(C9="","",IFERROR(INDEX('Borrowers'!$D$9:$D$108,MATCH(C9,'Borrowers'!$C$9:$C$108,0)),"Unavailable"))</x:f>
        <x:v>Demo Nile Cement</x:v>
      </x:c>
    </x:row>
    <x:row r="10" ht="26" customHeight="1">
      <x:c r="A10" s="1"/>
      <x:c r="B10" s="1"/>
      <x:c r="C10" s="9" t="str">
        <x:f>IF(Borrowers!C10="","",Borrowers!C10)</x:f>
        <x:v>B002</x:v>
      </x:c>
      <x:c r="D10" s="3" t="n">
        <x:v>1</x:v>
      </x:c>
      <x:c r="E10" s="9" t="n">
        <x:f>Settings!$F$18+0</x:f>
        <x:v>2027</x:v>
      </x:c>
      <x:c r="F10" s="9" t="str">
        <x:f>IF(C10="","",INDEX('Borrowers'!$F$9:$F$108,MATCH(C10,'Borrowers'!$C$9:$C$108,0)))</x:f>
        <x:v>Solar</x:v>
      </x:c>
      <x:c r="G10" s="23" t="n">
        <x:f>IF(C10="","",IFERROR(INDEX('Borrowers'!$J$9:$J$108,MATCH(C10,'Borrowers'!$C$9:$C$108,0))-INDEX('Borrowers'!$K$9:$K$108,MATCH(C10,'Borrowers'!$C$9:$C$108,0)),"Unavailable"))</x:f>
        <x:v>11.35</x:v>
      </x:c>
      <x:c r="H10" s="23" t="n">
        <x:f>IF(C10="","",IFERROR(INDEX('Borrowers'!$I$9:$I$108,MATCH(C10,'Borrowers'!$C$9:$C$108,0))*INDEX('Borrowers'!$U$9:$U$108,MATCH(C10,'Borrowers'!$C$9:$C$108,0))*(IF(F10="Transport",'Scenario Paths'!F156,IF(F10="Technology",'Scenario Paths'!F150,IF(F10="Utilities",'Scenario Paths'!F144,IF(F10="Agriculture",'Scenario Paths'!F138,IF(F10="Manufacturing",'Scenario Paths'!F132,IF(F10="Healthcare",'Scenario Paths'!F126,IF(F10="Hospitality",'Scenario Paths'!F120,IF(F10="Property",'Scenario Paths'!F114,IF(F10="Food",'Scenario Paths'!F108,IF(F10="Logistics",'Scenario Paths'!F102,IF(F10="Solar",'Scenario Paths'!F96,IF(F10="Cement",'Scenario Paths'!F90,0))))))))))))),"Unavailable"))</x:f>
        <x:v>0.3819</x:v>
      </x:c>
      <x:c r="I10" s="23" t="n">
        <x:f>IF(C10="","",IFERROR(INDEX('Borrowers'!$R$9:$R$108,MATCH(C10,'Borrowers'!$C$9:$C$108,0))*(1-INDEX('Borrowers'!$W$9:$W$108,MATCH(C10,'Borrowers'!$C$9:$C$108,0))*'Scenario Paths'!F39)*'Scenario Paths'!F9/1000000*(1-INDEX('Borrowers'!$T$9:$T$108,MATCH(C10,'Borrowers'!$C$9:$C$108,0))),"Unavailable"))</x:f>
        <x:v>0.0016335000000000002</x:v>
      </x:c>
      <x:c r="J10" s="23" t="n">
        <x:f>IF(C10="","",IFERROR(INDEX('Borrowers'!$I$9:$I$108,MATCH(C10,'Borrowers'!$C$9:$C$108,0))*INDEX('Borrowers'!$S$9:$S$108,MATCH(C10,'Borrowers'!$C$9:$C$108,0))*'Scenario Paths'!F15*(1-INDEX('Borrowers'!$T$9:$T$108,MATCH(C10,'Borrowers'!$C$9:$C$108,0))),"Unavailable"))</x:f>
        <x:v>0.16582500000000006</x:v>
      </x:c>
      <x:c r="K10" s="23" t="n">
        <x:f>IF(C10="","",IFERROR(INDEX('Borrowers'!$I$9:$I$108,MATCH(C10,'Borrowers'!$C$9:$C$108,0))*INDEX('Borrowers'!$U$9:$U$108,MATCH(C10,'Borrowers'!$C$9:$C$108,0))*'Scenario Paths'!F21*S10,"Unavailable"))</x:f>
        <x:v>0.019553280000000003</x:v>
      </x:c>
      <x:c r="L10" s="23" t="n">
        <x:f>IF(C10="","",IFERROR(SUMPRODUCT((Sites!$D$9:$D$108=C10)*Sites!$H$9:$H$108*Sites!$J$9:$J$108*Sites!$K$9:$K$108*(1-Sites!$L$9:$L$108)*(1-Sites!$M$9:$M$108))*'Scenario Paths'!F27,"Unavailable"))</x:f>
        <x:v>0.015488000000000002</x:v>
      </x:c>
      <x:c r="M10" s="23" t="n">
        <x:f>IF(C10="","",IFERROR(INDEX('Borrowers'!$J$9:$J$108,MATCH(C10,'Borrowers'!$C$9:$C$108,0))+H10-SUM(I10:L10),"Unavailable"))</x:f>
        <x:v>13.67940022</x:v>
      </x:c>
      <x:c r="N10" s="23" t="n">
        <x:f>IF(C10="","",IFERROR(INDEX('Borrowers'!$I$9:$I$108,MATCH(C10,'Borrowers'!$C$9:$C$108,0))*'Scenario Paths'!F33,"Unavailable"))</x:f>
        <x:v>0.335</x:v>
      </x:c>
      <x:c r="O10" s="23" t="n">
        <x:f>IF(C10="","",IFERROR(M10-INDEX('Borrowers'!$K$9:$K$108,MATCH(C10,'Borrowers'!$C$9:$C$108,0))-N10,"Unavailable"))</x:f>
        <x:v>11.194400219999999</x:v>
      </x:c>
      <x:c r="P10" s="127" t="n">
        <x:f>IF(C10="","",IFERROR(O10/INDEX('Borrowers'!$L$9:$L$108,MATCH(C10,'Borrowers'!$C$9:$C$108,0)),"Unavailable"))</x:f>
        <x:v>2.1121509849056603</x:v>
      </x:c>
      <x:c r="Q10" s="30" t="n">
        <x:f>IF(C10="","",IFERROR(IF(INDEX('Borrowers'!$Z$9:$Z$108,MATCH(C10,'Borrowers'!$C$9:$C$108,0))="Yes",1,IF(INDEX('Borrowers'!$P$9:$P$108,MATCH(C10,'Borrowers'!$C$9:$C$108,0))=0,0,MIN(1,INDEX('Borrowers'!$P$9:$P$108,MATCH(C10,'Borrowers'!$C$9:$C$108,0))*EXP(MIN(20,INDEX('Borrowers'!$V$9:$V$108,MATCH(C10,'Borrowers'!$C$9:$C$108,0))*V10))))),"Unavailable"))</x:f>
        <x:v>0.018399187916075463</x:v>
      </x:c>
      <x:c r="R10" s="30" t="n">
        <x:f>IF(C10="","",IFERROR(MIN(1,INDEX('Borrowers'!$Q$9:$Q$108,MATCH(C10,'Borrowers'!$C$9:$C$108,0))+(1-INDEX('Borrowers'!$Q$9:$Q$108,MATCH(C10,'Borrowers'!$C$9:$C$108,0)))*T10),"Unavailable"))</x:f>
        <x:v>0.32043520000000003</x:v>
      </x:c>
      <x:c r="S10" s="30" t="n">
        <x:f>IF(C10="","",IFERROR(SUMPRODUCT((Sites!$D$9:$D$108=C10)*Sites!$I$9:$I$108*Sites!$J$9:$J$108*Sites!$K$9:$K$108*(1-Sites!$L$9:$L$108)),"Unavailable"))</x:f>
        <x:v>0.128</x:v>
      </x:c>
      <x:c r="T10" s="30" t="n">
        <x:f>IF(C10="","",IFERROR(MIN(1,(SUMPRODUCT((Sites!$D$9:$D$108=C10)*Sites!$N$9:$N$108*Sites!$J$9:$J$108*Sites!$K$9:$K$108*(1-Sites!$L$9:$L$108)))*'Scenario Paths'!F27),"Unavailable"))</x:f>
        <x:v>0.00064</x:v>
      </x:c>
      <x:c r="U10" s="9" t="str">
        <x:f>IF(C10="","",IF(OR(INDEX('Borrowers'!$AA$9:$AA$108,MATCH(C10,'Borrowers'!$C$9:$C$108,0))&lt;&gt;"Ready",COUNTIF(Sites!$D$9:$D$108,C10)=0,COUNTIFS(Sites!$D$9:$D$108,C10,Sites!$Q$9:$Q$108,"&lt;&gt;Ready")&gt;0,'Scenario Paths'!$F$6&lt;&gt;"Ready"),"Review source inputs","Ready"))</x:f>
        <x:v>Ready</x:v>
      </x:c>
      <x:c r="V10" s="17" t="n">
        <x:f>IF(C10="","",IFERROR(MAX(-1,(G10-O10)/MAX(0.000001,G10)),"Unavailable"))</x:f>
        <x:v>0.013709231718061769</x:v>
      </x:c>
      <x:c r="W10" s="9" t="str">
        <x:f>IF(C10="","",IFERROR(INDEX('Borrowers'!$D$9:$D$108,MATCH(C10,'Borrowers'!$C$9:$C$108,0)),"Unavailable"))</x:f>
        <x:v>Demo Delta Solar</x:v>
      </x:c>
    </x:row>
    <x:row r="11" ht="26" customHeight="1">
      <x:c r="A11" s="1"/>
      <x:c r="B11" s="1"/>
      <x:c r="C11" s="9" t="str">
        <x:f>IF(Borrowers!C11="","",Borrowers!C11)</x:f>
        <x:v>B003</x:v>
      </x:c>
      <x:c r="D11" s="3" t="n">
        <x:v>1</x:v>
      </x:c>
      <x:c r="E11" s="9" t="n">
        <x:f>Settings!$F$18+0</x:f>
        <x:v>2027</x:v>
      </x:c>
      <x:c r="F11" s="9" t="str">
        <x:f>IF(C11="","",INDEX('Borrowers'!$F$9:$F$108,MATCH(C11,'Borrowers'!$C$9:$C$108,0)))</x:f>
        <x:v>Logistics</x:v>
      </x:c>
      <x:c r="G11" s="23" t="n">
        <x:f>IF(C11="","",IFERROR(INDEX('Borrowers'!$J$9:$J$108,MATCH(C11,'Borrowers'!$C$9:$C$108,0))-INDEX('Borrowers'!$K$9:$K$108,MATCH(C11,'Borrowers'!$C$9:$C$108,0)),"Unavailable"))</x:f>
        <x:v>12.7</x:v>
      </x:c>
      <x:c r="H11" s="23" t="n">
        <x:f>IF(C11="","",IFERROR(INDEX('Borrowers'!$I$9:$I$108,MATCH(C11,'Borrowers'!$C$9:$C$108,0))*INDEX('Borrowers'!$U$9:$U$108,MATCH(C11,'Borrowers'!$C$9:$C$108,0))*(IF(F11="Transport",'Scenario Paths'!F156,IF(F11="Technology",'Scenario Paths'!F150,IF(F11="Utilities",'Scenario Paths'!F144,IF(F11="Agriculture",'Scenario Paths'!F138,IF(F11="Manufacturing",'Scenario Paths'!F132,IF(F11="Healthcare",'Scenario Paths'!F126,IF(F11="Hospitality",'Scenario Paths'!F120,IF(F11="Property",'Scenario Paths'!F114,IF(F11="Food",'Scenario Paths'!F108,IF(F11="Logistics",'Scenario Paths'!F102,IF(F11="Solar",'Scenario Paths'!F96,IF(F11="Cement",'Scenario Paths'!F90,0))))))))))))),"Unavailable"))</x:f>
        <x:v>-0.4884</x:v>
      </x:c>
      <x:c r="I11" s="23" t="n">
        <x:f>IF(C11="","",IFERROR(INDEX('Borrowers'!$R$9:$R$108,MATCH(C11,'Borrowers'!$C$9:$C$108,0))*(1-INDEX('Borrowers'!$W$9:$W$108,MATCH(C11,'Borrowers'!$C$9:$C$108,0))*'Scenario Paths'!F39)*'Scenario Paths'!F9/1000000*(1-INDEX('Borrowers'!$T$9:$T$108,MATCH(C11,'Borrowers'!$C$9:$C$108,0))),"Unavailable"))</x:f>
        <x:v>0.03207599999999999</x:v>
      </x:c>
      <x:c r="J11" s="23" t="n">
        <x:f>IF(C11="","",IFERROR(INDEX('Borrowers'!$I$9:$I$108,MATCH(C11,'Borrowers'!$C$9:$C$108,0))*INDEX('Borrowers'!$S$9:$S$108,MATCH(C11,'Borrowers'!$C$9:$C$108,0))*'Scenario Paths'!F15*(1-INDEX('Borrowers'!$T$9:$T$108,MATCH(C11,'Borrowers'!$C$9:$C$108,0))),"Unavailable"))</x:f>
        <x:v>0.18315</x:v>
      </x:c>
      <x:c r="K11" s="23" t="n">
        <x:f>IF(C11="","",IFERROR(INDEX('Borrowers'!$I$9:$I$108,MATCH(C11,'Borrowers'!$C$9:$C$108,0))*INDEX('Borrowers'!$U$9:$U$108,MATCH(C11,'Borrowers'!$C$9:$C$108,0))*'Scenario Paths'!F21*S11,"Unavailable"))</x:f>
        <x:v>0.044698368</x:v>
      </x:c>
      <x:c r="L11" s="23" t="n">
        <x:f>IF(C11="","",IFERROR(SUMPRODUCT((Sites!$D$9:$D$108=C11)*Sites!$H$9:$H$108*Sites!$J$9:$J$108*Sites!$K$9:$K$108*(1-Sites!$L$9:$L$108)*(1-Sites!$M$9:$M$108))*'Scenario Paths'!F27,"Unavailable"))</x:f>
        <x:v>0.0302016</x:v>
      </x:c>
      <x:c r="M11" s="23" t="n">
        <x:f>IF(C11="","",IFERROR(INDEX('Borrowers'!$J$9:$J$108,MATCH(C11,'Borrowers'!$C$9:$C$108,0))+H11-SUM(I11:L11),"Unavailable"))</x:f>
        <x:v>14.221474032</x:v>
      </x:c>
      <x:c r="N11" s="23" t="n">
        <x:f>IF(C11="","",IFERROR(INDEX('Borrowers'!$I$9:$I$108,MATCH(C11,'Borrowers'!$C$9:$C$108,0))*'Scenario Paths'!F33,"Unavailable"))</x:f>
        <x:v>0.37</x:v>
      </x:c>
      <x:c r="O11" s="23" t="n">
        <x:f>IF(C11="","",IFERROR(M11-INDEX('Borrowers'!$K$9:$K$108,MATCH(C11,'Borrowers'!$C$9:$C$108,0))-N11,"Unavailable"))</x:f>
        <x:v>11.551474032</x:v>
      </x:c>
      <x:c r="P11" s="127" t="n">
        <x:f>IF(C11="","",IFERROR(O11/INDEX('Borrowers'!$L$9:$L$108,MATCH(C11,'Borrowers'!$C$9:$C$108,0)),"Unavailable"))</x:f>
        <x:v>2.06276322</x:v>
      </x:c>
      <x:c r="Q11" s="30" t="n">
        <x:f>IF(C11="","",IFERROR(IF(INDEX('Borrowers'!$Z$9:$Z$108,MATCH(C11,'Borrowers'!$C$9:$C$108,0))="Yes",1,IF(INDEX('Borrowers'!$P$9:$P$108,MATCH(C11,'Borrowers'!$C$9:$C$108,0))=0,0,MIN(1,INDEX('Borrowers'!$P$9:$P$108,MATCH(C11,'Borrowers'!$C$9:$C$108,0))*EXP(MIN(20,INDEX('Borrowers'!$V$9:$V$108,MATCH(C11,'Borrowers'!$C$9:$C$108,0))*V11))))),"Unavailable"))</x:f>
        <x:v>0.027736521633363816</x:v>
      </x:c>
      <x:c r="R11" s="30" t="n">
        <x:f>IF(C11="","",IFERROR(MIN(1,INDEX('Borrowers'!$Q$9:$Q$108,MATCH(C11,'Borrowers'!$C$9:$C$108,0))+(1-INDEX('Borrowers'!$Q$9:$Q$108,MATCH(C11,'Borrowers'!$C$9:$C$108,0)))*T11),"Unavailable"))</x:f>
        <x:v>0.36073216</x:v>
      </x:c>
      <x:c r="S11" s="30" t="n">
        <x:f>IF(C11="","",IFERROR(SUMPRODUCT((Sites!$D$9:$D$108=C11)*Sites!$I$9:$I$108*Sites!$J$9:$J$108*Sites!$K$9:$K$108*(1-Sites!$L$9:$L$108)),"Unavailable"))</x:f>
        <x:v>0.2288</x:v>
      </x:c>
      <x:c r="T11" s="30" t="n">
        <x:f>IF(C11="","",IFERROR(MIN(1,(SUMPRODUCT((Sites!$D$9:$D$108=C11)*Sites!$N$9:$N$108*Sites!$J$9:$J$108*Sites!$K$9:$K$108*(1-Sites!$L$9:$L$108)))*'Scenario Paths'!F27),"Unavailable"))</x:f>
        <x:v>0.001144</x:v>
      </x:c>
      <x:c r="U11" s="9" t="str">
        <x:f>IF(C11="","",IF(OR(INDEX('Borrowers'!$AA$9:$AA$108,MATCH(C11,'Borrowers'!$C$9:$C$108,0))&lt;&gt;"Ready",COUNTIF(Sites!$D$9:$D$108,C11)=0,COUNTIFS(Sites!$D$9:$D$108,C11,Sites!$Q$9:$Q$108,"&lt;&gt;Ready")&gt;0,'Scenario Paths'!$F$6&lt;&gt;"Ready"),"Review source inputs","Ready"))</x:f>
        <x:v>Ready</x:v>
      </x:c>
      <x:c r="V11" s="17" t="n">
        <x:f>IF(C11="","",IFERROR(MAX(-1,(G11-O11)/MAX(0.000001,G11)),"Unavailable"))</x:f>
        <x:v>0.09043511559055115</x:v>
      </x:c>
      <x:c r="W11" s="9" t="str">
        <x:f>IF(C11="","",IFERROR(INDEX('Borrowers'!$D$9:$D$108,MATCH(C11,'Borrowers'!$C$9:$C$108,0)),"Unavailable"))</x:f>
        <x:v>Demo Alexandria Logistics</x:v>
      </x:c>
    </x:row>
    <x:row r="12" ht="26" customHeight="1">
      <x:c r="A12" s="1"/>
      <x:c r="B12" s="1"/>
      <x:c r="C12" s="9" t="str">
        <x:f>IF(Borrowers!C12="","",Borrowers!C12)</x:f>
        <x:v>B004</x:v>
      </x:c>
      <x:c r="D12" s="3" t="n">
        <x:v>1</x:v>
      </x:c>
      <x:c r="E12" s="9" t="n">
        <x:f>Settings!$F$18+0</x:f>
        <x:v>2027</x:v>
      </x:c>
      <x:c r="F12" s="9" t="str">
        <x:f>IF(C12="","",INDEX('Borrowers'!$F$9:$F$108,MATCH(C12,'Borrowers'!$C$9:$C$108,0)))</x:f>
        <x:v>Food</x:v>
      </x:c>
      <x:c r="G12" s="23" t="n">
        <x:f>IF(C12="","",IFERROR(INDEX('Borrowers'!$J$9:$J$108,MATCH(C12,'Borrowers'!$C$9:$C$108,0))-INDEX('Borrowers'!$K$9:$K$108,MATCH(C12,'Borrowers'!$C$9:$C$108,0)),"Unavailable"))</x:f>
        <x:v>14.05</x:v>
      </x:c>
      <x:c r="H12" s="23" t="n">
        <x:f>IF(C12="","",IFERROR(INDEX('Borrowers'!$I$9:$I$108,MATCH(C12,'Borrowers'!$C$9:$C$108,0))*INDEX('Borrowers'!$U$9:$U$108,MATCH(C12,'Borrowers'!$C$9:$C$108,0))*(IF(F12="Transport",'Scenario Paths'!F156,IF(F12="Technology",'Scenario Paths'!F150,IF(F12="Utilities",'Scenario Paths'!F144,IF(F12="Agriculture",'Scenario Paths'!F138,IF(F12="Manufacturing",'Scenario Paths'!F132,IF(F12="Healthcare",'Scenario Paths'!F126,IF(F12="Hospitality",'Scenario Paths'!F120,IF(F12="Property",'Scenario Paths'!F114,IF(F12="Food",'Scenario Paths'!F108,IF(F12="Logistics",'Scenario Paths'!F102,IF(F12="Solar",'Scenario Paths'!F96,IF(F12="Cement",'Scenario Paths'!F90,0))))))))))))),"Unavailable"))</x:f>
        <x:v>-0.38880000000000003</x:v>
      </x:c>
      <x:c r="I12" s="23" t="n">
        <x:f>IF(C12="","",IFERROR(INDEX('Borrowers'!$R$9:$R$108,MATCH(C12,'Borrowers'!$C$9:$C$108,0))*(1-INDEX('Borrowers'!$W$9:$W$108,MATCH(C12,'Borrowers'!$C$9:$C$108,0))*'Scenario Paths'!F39)*'Scenario Paths'!F9/1000000*(1-INDEX('Borrowers'!$T$9:$T$108,MATCH(C12,'Borrowers'!$C$9:$C$108,0))),"Unavailable"))</x:f>
        <x:v>0.027027</x:v>
      </x:c>
      <x:c r="J12" s="23" t="n">
        <x:f>IF(C12="","",IFERROR(INDEX('Borrowers'!$I$9:$I$108,MATCH(C12,'Borrowers'!$C$9:$C$108,0))*INDEX('Borrowers'!$S$9:$S$108,MATCH(C12,'Borrowers'!$C$9:$C$108,0))*'Scenario Paths'!F15*(1-INDEX('Borrowers'!$T$9:$T$108,MATCH(C12,'Borrowers'!$C$9:$C$108,0))),"Unavailable"))</x:f>
        <x:v>0.18427500000000002</x:v>
      </x:c>
      <x:c r="K12" s="23" t="n">
        <x:f>IF(C12="","",IFERROR(INDEX('Borrowers'!$I$9:$I$108,MATCH(C12,'Borrowers'!$C$9:$C$108,0))*INDEX('Borrowers'!$U$9:$U$108,MATCH(C12,'Borrowers'!$C$9:$C$108,0))*'Scenario Paths'!F21*S12,"Unavailable"))</x:f>
        <x:v>0.024385536000000003</x:v>
      </x:c>
      <x:c r="L12" s="23" t="n">
        <x:f>IF(C12="","",IFERROR(SUMPRODUCT((Sites!$D$9:$D$108=C12)*Sites!$H$9:$H$108*Sites!$J$9:$J$108*Sites!$K$9:$K$108*(1-Sites!$L$9:$L$108)*(1-Sites!$M$9:$M$108))*'Scenario Paths'!F27,"Unavailable"))</x:f>
        <x:v>0.022422400000000002</x:v>
      </x:c>
      <x:c r="M12" s="23" t="n">
        <x:f>IF(C12="","",IFERROR(INDEX('Borrowers'!$J$9:$J$108,MATCH(C12,'Borrowers'!$C$9:$C$108,0))+H12-SUM(I12:L12),"Unavailable"))</x:f>
        <x:v>15.853090064</x:v>
      </x:c>
      <x:c r="N12" s="23" t="n">
        <x:f>IF(C12="","",IFERROR(INDEX('Borrowers'!$I$9:$I$108,MATCH(C12,'Borrowers'!$C$9:$C$108,0))*'Scenario Paths'!F33,"Unavailable"))</x:f>
        <x:v>0.405</x:v>
      </x:c>
      <x:c r="O12" s="23" t="n">
        <x:f>IF(C12="","",IFERROR(M12-INDEX('Borrowers'!$K$9:$K$108,MATCH(C12,'Borrowers'!$C$9:$C$108,0))-N12,"Unavailable"))</x:f>
        <x:v>12.998090064000001</x:v>
      </x:c>
      <x:c r="P12" s="127" t="n">
        <x:f>IF(C12="","",IFERROR(O12/INDEX('Borrowers'!$L$9:$L$108,MATCH(C12,'Borrowers'!$C$9:$C$108,0)),"Unavailable"))</x:f>
        <x:v>2.203066112542373</x:v>
      </x:c>
      <x:c r="Q12" s="30" t="n">
        <x:f>IF(C12="","",IFERROR(IF(INDEX('Borrowers'!$Z$9:$Z$108,MATCH(C12,'Borrowers'!$C$9:$C$108,0))="Yes",1,IF(INDEX('Borrowers'!$P$9:$P$108,MATCH(C12,'Borrowers'!$C$9:$C$108,0))=0,0,MIN(1,INDEX('Borrowers'!$P$9:$P$108,MATCH(C12,'Borrowers'!$C$9:$C$108,0))*EXP(MIN(20,INDEX('Borrowers'!$V$9:$V$108,MATCH(C12,'Borrowers'!$C$9:$C$108,0))*V12))))),"Unavailable"))</x:f>
        <x:v>0.033817818461780946</x:v>
      </x:c>
      <x:c r="R12" s="30" t="n">
        <x:f>IF(C12="","",IFERROR(MIN(1,INDEX('Borrowers'!$Q$9:$Q$108,MATCH(C12,'Borrowers'!$C$9:$C$108,0))+(1-INDEX('Borrowers'!$Q$9:$Q$108,MATCH(C12,'Borrowers'!$C$9:$C$108,0)))*T12),"Unavailable"))</x:f>
        <x:v>0.4004704</x:v>
      </x:c>
      <x:c r="S12" s="30" t="n">
        <x:f>IF(C12="","",IFERROR(SUMPRODUCT((Sites!$D$9:$D$108=C12)*Sites!$I$9:$I$108*Sites!$J$9:$J$108*Sites!$K$9:$K$108*(1-Sites!$L$9:$L$108)),"Unavailable"))</x:f>
        <x:v>0.1568</x:v>
      </x:c>
      <x:c r="T12" s="30" t="n">
        <x:f>IF(C12="","",IFERROR(MIN(1,(SUMPRODUCT((Sites!$D$9:$D$108=C12)*Sites!$N$9:$N$108*Sites!$J$9:$J$108*Sites!$K$9:$K$108*(1-Sites!$L$9:$L$108)))*'Scenario Paths'!F27),"Unavailable"))</x:f>
        <x:v>0.000784</x:v>
      </x:c>
      <x:c r="U12" s="9" t="str">
        <x:f>IF(C12="","",IF(OR(INDEX('Borrowers'!$AA$9:$AA$108,MATCH(C12,'Borrowers'!$C$9:$C$108,0))&lt;&gt;"Ready",COUNTIF(Sites!$D$9:$D$108,C12)=0,COUNTIFS(Sites!$D$9:$D$108,C12,Sites!$Q$9:$Q$108,"&lt;&gt;Ready")&gt;0,'Scenario Paths'!$F$6&lt;&gt;"Ready"),"Review source inputs","Ready"))</x:f>
        <x:v>Ready</x:v>
      </x:c>
      <x:c r="V12" s="17" t="n">
        <x:f>IF(C12="","",IFERROR(MAX(-1,(G12-O12)/MAX(0.000001,G12)),"Unavailable"))</x:f>
        <x:v>0.07486903459074729</x:v>
      </x:c>
      <x:c r="W12" s="9" t="str">
        <x:f>IF(C12="","",IFERROR(INDEX('Borrowers'!$D$9:$D$108,MATCH(C12,'Borrowers'!$C$9:$C$108,0)),"Unavailable"))</x:f>
        <x:v>Demo Oasis Foods</x:v>
      </x:c>
    </x:row>
    <x:row r="13" ht="26" customHeight="1">
      <x:c r="A13" s="1"/>
      <x:c r="B13" s="1"/>
      <x:c r="C13" s="9" t="str">
        <x:f>IF(Borrowers!C13="","",Borrowers!C13)</x:f>
        <x:v>B005</x:v>
      </x:c>
      <x:c r="D13" s="3" t="n">
        <x:v>1</x:v>
      </x:c>
      <x:c r="E13" s="9" t="n">
        <x:f>Settings!$F$18+0</x:f>
        <x:v>2027</x:v>
      </x:c>
      <x:c r="F13" s="9" t="str">
        <x:f>IF(C13="","",INDEX('Borrowers'!$F$9:$F$108,MATCH(C13,'Borrowers'!$C$9:$C$108,0)))</x:f>
        <x:v>Property</x:v>
      </x:c>
      <x:c r="G13" s="23" t="n">
        <x:f>IF(C13="","",IFERROR(INDEX('Borrowers'!$J$9:$J$108,MATCH(C13,'Borrowers'!$C$9:$C$108,0))-INDEX('Borrowers'!$K$9:$K$108,MATCH(C13,'Borrowers'!$C$9:$C$108,0)),"Unavailable"))</x:f>
        <x:v>15.4</x:v>
      </x:c>
      <x:c r="H13" s="23" t="n">
        <x:f>IF(C13="","",IFERROR(INDEX('Borrowers'!$I$9:$I$108,MATCH(C13,'Borrowers'!$C$9:$C$108,0))*INDEX('Borrowers'!$U$9:$U$108,MATCH(C13,'Borrowers'!$C$9:$C$108,0))*(IF(F13="Transport",'Scenario Paths'!F156,IF(F13="Technology",'Scenario Paths'!F150,IF(F13="Utilities",'Scenario Paths'!F144,IF(F13="Agriculture",'Scenario Paths'!F138,IF(F13="Manufacturing",'Scenario Paths'!F132,IF(F13="Healthcare",'Scenario Paths'!F126,IF(F13="Hospitality",'Scenario Paths'!F120,IF(F13="Property",'Scenario Paths'!F114,IF(F13="Food",'Scenario Paths'!F108,IF(F13="Logistics",'Scenario Paths'!F102,IF(F13="Solar",'Scenario Paths'!F96,IF(F13="Cement",'Scenario Paths'!F90,0))))))))))))),"Unavailable"))</x:f>
        <x:v>-0.5015999999999999</x:v>
      </x:c>
      <x:c r="I13" s="23" t="n">
        <x:f>IF(C13="","",IFERROR(INDEX('Borrowers'!$R$9:$R$108,MATCH(C13,'Borrowers'!$C$9:$C$108,0))*(1-INDEX('Borrowers'!$W$9:$W$108,MATCH(C13,'Borrowers'!$C$9:$C$108,0))*'Scenario Paths'!F39)*'Scenario Paths'!F9/1000000*(1-INDEX('Borrowers'!$T$9:$T$108,MATCH(C13,'Borrowers'!$C$9:$C$108,0))),"Unavailable"))</x:f>
        <x:v>0.054054</x:v>
      </x:c>
      <x:c r="J13" s="23" t="n">
        <x:f>IF(C13="","",IFERROR(INDEX('Borrowers'!$I$9:$I$108,MATCH(C13,'Borrowers'!$C$9:$C$108,0))*INDEX('Borrowers'!$S$9:$S$108,MATCH(C13,'Borrowers'!$C$9:$C$108,0))*'Scenario Paths'!F15*(1-INDEX('Borrowers'!$T$9:$T$108,MATCH(C13,'Borrowers'!$C$9:$C$108,0))),"Unavailable"))</x:f>
        <x:v>0.20020000000000004</x:v>
      </x:c>
      <x:c r="K13" s="23" t="n">
        <x:f>IF(C13="","",IFERROR(INDEX('Borrowers'!$I$9:$I$108,MATCH(C13,'Borrowers'!$C$9:$C$108,0))*INDEX('Borrowers'!$U$9:$U$108,MATCH(C13,'Borrowers'!$C$9:$C$108,0))*'Scenario Paths'!F21*S13,"Unavailable"))</x:f>
        <x:v>0.05457408</x:v>
      </x:c>
      <x:c r="L13" s="23" t="n">
        <x:f>IF(C13="","",IFERROR(SUMPRODUCT((Sites!$D$9:$D$108=C13)*Sites!$H$9:$H$108*Sites!$J$9:$J$108*Sites!$K$9:$K$108*(1-Sites!$L$9:$L$108)*(1-Sites!$M$9:$M$108))*'Scenario Paths'!F27,"Unavailable"))</x:f>
        <x:v>0.04188800000000001</x:v>
      </x:c>
      <x:c r="M13" s="23" t="n">
        <x:f>IF(C13="","",IFERROR(INDEX('Borrowers'!$J$9:$J$108,MATCH(C13,'Borrowers'!$C$9:$C$108,0))+H13-SUM(I13:L13),"Unavailable"))</x:f>
        <x:v>17.14768392</x:v>
      </x:c>
      <x:c r="N13" s="23" t="n">
        <x:f>IF(C13="","",IFERROR(INDEX('Borrowers'!$I$9:$I$108,MATCH(C13,'Borrowers'!$C$9:$C$108,0))*'Scenario Paths'!F33,"Unavailable"))</x:f>
        <x:v>0.44</x:v>
      </x:c>
      <x:c r="O13" s="23" t="n">
        <x:f>IF(C13="","",IFERROR(M13-INDEX('Borrowers'!$K$9:$K$108,MATCH(C13,'Borrowers'!$C$9:$C$108,0))-N13,"Unavailable"))</x:f>
        <x:v>14.10768392</x:v>
      </x:c>
      <x:c r="P13" s="127" t="n">
        <x:f>IF(C13="","",IFERROR(O13/INDEX('Borrowers'!$L$9:$L$108,MATCH(C13,'Borrowers'!$C$9:$C$108,0)),"Unavailable"))</x:f>
        <x:v>2.2754328903225804</x:v>
      </x:c>
      <x:c r="Q13" s="30" t="n">
        <x:f>IF(C13="","",IFERROR(IF(INDEX('Borrowers'!$Z$9:$Z$108,MATCH(C13,'Borrowers'!$C$9:$C$108,0))="Yes",1,IF(INDEX('Borrowers'!$P$9:$P$108,MATCH(C13,'Borrowers'!$C$9:$C$108,0))=0,0,MIN(1,INDEX('Borrowers'!$P$9:$P$108,MATCH(C13,'Borrowers'!$C$9:$C$108,0))*EXP(MIN(20,INDEX('Borrowers'!$V$9:$V$108,MATCH(C13,'Borrowers'!$C$9:$C$108,0))*V13))))),"Unavailable"))</x:f>
        <x:v>0.0411731170323492</x:v>
      </x:c>
      <x:c r="R13" s="30" t="n">
        <x:f>IF(C13="","",IFERROR(MIN(1,INDEX('Borrowers'!$Q$9:$Q$108,MATCH(C13,'Borrowers'!$C$9:$C$108,0))+(1-INDEX('Borrowers'!$Q$9:$Q$108,MATCH(C13,'Borrowers'!$C$9:$C$108,0)))*T13),"Unavailable"))</x:f>
        <x:v>0.44076160000000003</x:v>
      </x:c>
      <x:c r="S13" s="30" t="n">
        <x:f>IF(C13="","",IFERROR(SUMPRODUCT((Sites!$D$9:$D$108=C13)*Sites!$I$9:$I$108*Sites!$J$9:$J$108*Sites!$K$9:$K$108*(1-Sites!$L$9:$L$108)),"Unavailable"))</x:f>
        <x:v>0.272</x:v>
      </x:c>
      <x:c r="T13" s="30" t="n">
        <x:f>IF(C13="","",IFERROR(MIN(1,(SUMPRODUCT((Sites!$D$9:$D$108=C13)*Sites!$N$9:$N$108*Sites!$J$9:$J$108*Sites!$K$9:$K$108*(1-Sites!$L$9:$L$108)))*'Scenario Paths'!F27),"Unavailable"))</x:f>
        <x:v>0.00136</x:v>
      </x:c>
      <x:c r="U13" s="9" t="str">
        <x:f>IF(C13="","",IF(OR(INDEX('Borrowers'!$AA$9:$AA$108,MATCH(C13,'Borrowers'!$C$9:$C$108,0))&lt;&gt;"Ready",COUNTIF(Sites!$D$9:$D$108,C13)=0,COUNTIFS(Sites!$D$9:$D$108,C13,Sites!$Q$9:$Q$108,"&lt;&gt;Ready")&gt;0,'Scenario Paths'!$F$6&lt;&gt;"Ready"),"Review source inputs","Ready"))</x:f>
        <x:v>Ready</x:v>
      </x:c>
      <x:c r="V13" s="17" t="n">
        <x:f>IF(C13="","",IFERROR(MAX(-1,(G13-O13)/MAX(0.000001,G13)),"Unavailable"))</x:f>
        <x:v>0.08391662857142862</x:v>
      </x:c>
      <x:c r="W13" s="9" t="str">
        <x:f>IF(C13="","",IFERROR(INDEX('Borrowers'!$D$9:$D$108,MATCH(C13,'Borrowers'!$C$9:$C$108,0)),"Unavailable"))</x:f>
        <x:v>Demo Cairo Properties</x:v>
      </x:c>
    </x:row>
    <x:row r="14" ht="26" customHeight="1">
      <x:c r="A14" s="1"/>
      <x:c r="B14" s="1"/>
      <x:c r="C14" s="9" t="str">
        <x:f>IF(Borrowers!C14="","",Borrowers!C14)</x:f>
        <x:v>B006</x:v>
      </x:c>
      <x:c r="D14" s="3" t="n">
        <x:v>1</x:v>
      </x:c>
      <x:c r="E14" s="9" t="n">
        <x:f>Settings!$F$18+0</x:f>
        <x:v>2027</x:v>
      </x:c>
      <x:c r="F14" s="9" t="str">
        <x:f>IF(C14="","",INDEX('Borrowers'!$F$9:$F$108,MATCH(C14,'Borrowers'!$C$9:$C$108,0)))</x:f>
        <x:v>Hospitality</x:v>
      </x:c>
      <x:c r="G14" s="23" t="n">
        <x:f>IF(C14="","",IFERROR(INDEX('Borrowers'!$J$9:$J$108,MATCH(C14,'Borrowers'!$C$9:$C$108,0))-INDEX('Borrowers'!$K$9:$K$108,MATCH(C14,'Borrowers'!$C$9:$C$108,0)),"Unavailable"))</x:f>
        <x:v>16.75</x:v>
      </x:c>
      <x:c r="H14" s="23" t="n">
        <x:f>IF(C14="","",IFERROR(INDEX('Borrowers'!$I$9:$I$108,MATCH(C14,'Borrowers'!$C$9:$C$108,0))*INDEX('Borrowers'!$U$9:$U$108,MATCH(C14,'Borrowers'!$C$9:$C$108,0))*(IF(F14="Transport",'Scenario Paths'!F156,IF(F14="Technology",'Scenario Paths'!F150,IF(F14="Utilities",'Scenario Paths'!F144,IF(F14="Agriculture",'Scenario Paths'!F138,IF(F14="Manufacturing",'Scenario Paths'!F132,IF(F14="Healthcare",'Scenario Paths'!F126,IF(F14="Hospitality",'Scenario Paths'!F120,IF(F14="Property",'Scenario Paths'!F114,IF(F14="Food",'Scenario Paths'!F108,IF(F14="Logistics",'Scenario Paths'!F102,IF(F14="Solar",'Scenario Paths'!F96,IF(F14="Cement",'Scenario Paths'!F90,0))))))))))))),"Unavailable"))</x:f>
        <x:v>-0.6269999999999999</x:v>
      </x:c>
      <x:c r="I14" s="23" t="n">
        <x:f>IF(C14="","",IFERROR(INDEX('Borrowers'!$R$9:$R$108,MATCH(C14,'Borrowers'!$C$9:$C$108,0))*(1-INDEX('Borrowers'!$W$9:$W$108,MATCH(C14,'Borrowers'!$C$9:$C$108,0))*'Scenario Paths'!F39)*'Scenario Paths'!F9/1000000*(1-INDEX('Borrowers'!$T$9:$T$108,MATCH(C14,'Borrowers'!$C$9:$C$108,0))),"Unavailable"))</x:f>
        <x:v>0.049005</x:v>
      </x:c>
      <x:c r="J14" s="23" t="n">
        <x:f>IF(C14="","",IFERROR(INDEX('Borrowers'!$I$9:$I$108,MATCH(C14,'Borrowers'!$C$9:$C$108,0))*INDEX('Borrowers'!$S$9:$S$108,MATCH(C14,'Borrowers'!$C$9:$C$108,0))*'Scenario Paths'!F15*(1-INDEX('Borrowers'!$T$9:$T$108,MATCH(C14,'Borrowers'!$C$9:$C$108,0))),"Unavailable"))</x:f>
        <x:v>0.23512500000000006</x:v>
      </x:c>
      <x:c r="K14" s="23" t="n">
        <x:f>IF(C14="","",IFERROR(INDEX('Borrowers'!$I$9:$I$108,MATCH(C14,'Borrowers'!$C$9:$C$108,0))*INDEX('Borrowers'!$U$9:$U$108,MATCH(C14,'Borrowers'!$C$9:$C$108,0))*'Scenario Paths'!F21*S14,"Unavailable"))</x:f>
        <x:v>0.026083199999999994</x:v>
      </x:c>
      <x:c r="L14" s="23" t="n">
        <x:f>IF(C14="","",IFERROR(SUMPRODUCT((Sites!$D$9:$D$108=C14)*Sites!$H$9:$H$108*Sites!$J$9:$J$108*Sites!$K$9:$K$108*(1-Sites!$L$9:$L$108)*(1-Sites!$M$9:$M$108))*'Scenario Paths'!F27,"Unavailable"))</x:f>
        <x:v>0.01716</x:v>
      </x:c>
      <x:c r="M14" s="23" t="n">
        <x:f>IF(C14="","",IFERROR(INDEX('Borrowers'!$J$9:$J$108,MATCH(C14,'Borrowers'!$C$9:$C$108,0))+H14-SUM(I14:L14),"Unavailable"))</x:f>
        <x:v>18.5456268</x:v>
      </x:c>
      <x:c r="N14" s="23" t="n">
        <x:f>IF(C14="","",IFERROR(INDEX('Borrowers'!$I$9:$I$108,MATCH(C14,'Borrowers'!$C$9:$C$108,0))*'Scenario Paths'!F33,"Unavailable"))</x:f>
        <x:v>0.47500000000000003</x:v>
      </x:c>
      <x:c r="O14" s="23" t="n">
        <x:f>IF(C14="","",IFERROR(M14-INDEX('Borrowers'!$K$9:$K$108,MATCH(C14,'Borrowers'!$C$9:$C$108,0))-N14,"Unavailable"))</x:f>
        <x:v>15.320626800000001</x:v>
      </x:c>
      <x:c r="P14" s="127" t="n">
        <x:f>IF(C14="","",IFERROR(O14/INDEX('Borrowers'!$L$9:$L$108,MATCH(C14,'Borrowers'!$C$9:$C$108,0)),"Unavailable"))</x:f>
        <x:v>2.357019507692308</x:v>
      </x:c>
      <x:c r="Q14" s="30" t="n">
        <x:f>IF(C14="","",IFERROR(IF(INDEX('Borrowers'!$Z$9:$Z$108,MATCH(C14,'Borrowers'!$C$9:$C$108,0))="Yes",1,IF(INDEX('Borrowers'!$P$9:$P$108,MATCH(C14,'Borrowers'!$C$9:$C$108,0))=0,0,MIN(1,INDEX('Borrowers'!$P$9:$P$108,MATCH(C14,'Borrowers'!$C$9:$C$108,0))*EXP(MIN(20,INDEX('Borrowers'!$V$9:$V$108,MATCH(C14,'Borrowers'!$C$9:$C$108,0))*V14))))),"Unavailable"))</x:f>
        <x:v>0.048144492991702356</x:v>
      </x:c>
      <x:c r="R14" s="30" t="n">
        <x:f>IF(C14="","",IFERROR(MIN(1,INDEX('Borrowers'!$Q$9:$Q$108,MATCH(C14,'Borrowers'!$C$9:$C$108,0))+(1-INDEX('Borrowers'!$Q$9:$Q$108,MATCH(C14,'Borrowers'!$C$9:$C$108,0)))*T14),"Unavailable"))</x:f>
        <x:v>0.2803744</x:v>
      </x:c>
      <x:c r="S14" s="30" t="n">
        <x:f>IF(C14="","",IFERROR(SUMPRODUCT((Sites!$D$9:$D$108=C14)*Sites!$I$9:$I$108*Sites!$J$9:$J$108*Sites!$K$9:$K$108*(1-Sites!$L$9:$L$108)),"Unavailable"))</x:f>
        <x:v>0.104</x:v>
      </x:c>
      <x:c r="T14" s="30" t="n">
        <x:f>IF(C14="","",IFERROR(MIN(1,(SUMPRODUCT((Sites!$D$9:$D$108=C14)*Sites!$N$9:$N$108*Sites!$J$9:$J$108*Sites!$K$9:$K$108*(1-Sites!$L$9:$L$108)))*'Scenario Paths'!F27),"Unavailable"))</x:f>
        <x:v>0.00052</x:v>
      </x:c>
      <x:c r="U14" s="9" t="str">
        <x:f>IF(C14="","",IF(OR(INDEX('Borrowers'!$AA$9:$AA$108,MATCH(C14,'Borrowers'!$C$9:$C$108,0))&lt;&gt;"Ready",COUNTIF(Sites!$D$9:$D$108,C14)=0,COUNTIFS(Sites!$D$9:$D$108,C14,Sites!$Q$9:$Q$108,"&lt;&gt;Ready")&gt;0,'Scenario Paths'!$F$6&lt;&gt;"Ready"),"Review source inputs","Ready"))</x:f>
        <x:v>Ready</x:v>
      </x:c>
      <x:c r="V14" s="17" t="n">
        <x:f>IF(C14="","",IFERROR(MAX(-1,(G14-O14)/MAX(0.000001,G14)),"Unavailable"))</x:f>
        <x:v>0.08533571343283575</x:v>
      </x:c>
      <x:c r="W14" s="9" t="str">
        <x:f>IF(C14="","",IFERROR(INDEX('Borrowers'!$D$9:$D$108,MATCH(C14,'Borrowers'!$C$9:$C$108,0)),"Unavailable"))</x:f>
        <x:v>Demo Red Sea Hotels</x:v>
      </x:c>
    </x:row>
    <x:row r="15" ht="26" customHeight="1">
      <x:c r="A15" s="1"/>
      <x:c r="B15" s="1"/>
      <x:c r="C15" s="9" t="str">
        <x:f>IF(Borrowers!C15="","",Borrowers!C15)</x:f>
        <x:v>B007</x:v>
      </x:c>
      <x:c r="D15" s="3" t="n">
        <x:v>1</x:v>
      </x:c>
      <x:c r="E15" s="9" t="n">
        <x:f>Settings!$F$18+0</x:f>
        <x:v>2027</x:v>
      </x:c>
      <x:c r="F15" s="9" t="str">
        <x:f>IF(C15="","",INDEX('Borrowers'!$F$9:$F$108,MATCH(C15,'Borrowers'!$C$9:$C$108,0)))</x:f>
        <x:v>Cement</x:v>
      </x:c>
      <x:c r="G15" s="23" t="n">
        <x:f>IF(C15="","",IFERROR(INDEX('Borrowers'!$J$9:$J$108,MATCH(C15,'Borrowers'!$C$9:$C$108,0))-INDEX('Borrowers'!$K$9:$K$108,MATCH(C15,'Borrowers'!$C$9:$C$108,0)),"Unavailable"))</x:f>
        <x:v>18.1</x:v>
      </x:c>
      <x:c r="H15" s="23" t="n">
        <x:f>IF(C15="","",IFERROR(INDEX('Borrowers'!$I$9:$I$108,MATCH(C15,'Borrowers'!$C$9:$C$108,0))*INDEX('Borrowers'!$U$9:$U$108,MATCH(C15,'Borrowers'!$C$9:$C$108,0))*(IF(F15="Transport",'Scenario Paths'!F156,IF(F15="Technology",'Scenario Paths'!F150,IF(F15="Utilities",'Scenario Paths'!F144,IF(F15="Agriculture",'Scenario Paths'!F138,IF(F15="Manufacturing",'Scenario Paths'!F132,IF(F15="Healthcare",'Scenario Paths'!F126,IF(F15="Hospitality",'Scenario Paths'!F120,IF(F15="Property",'Scenario Paths'!F114,IF(F15="Food",'Scenario Paths'!F108,IF(F15="Logistics",'Scenario Paths'!F102,IF(F15="Solar",'Scenario Paths'!F96,IF(F15="Cement",'Scenario Paths'!F90,0))))))))))))),"Unavailable"))</x:f>
        <x:v>-0.4896</x:v>
      </x:c>
      <x:c r="I15" s="23" t="n">
        <x:f>IF(C15="","",IFERROR(INDEX('Borrowers'!$R$9:$R$108,MATCH(C15,'Borrowers'!$C$9:$C$108,0))*(1-INDEX('Borrowers'!$W$9:$W$108,MATCH(C15,'Borrowers'!$C$9:$C$108,0))*'Scenario Paths'!F39)*'Scenario Paths'!F9/1000000*(1-INDEX('Borrowers'!$T$9:$T$108,MATCH(C15,'Borrowers'!$C$9:$C$108,0))),"Unavailable"))</x:f>
        <x:v>0.8419949999999999</x:v>
      </x:c>
      <x:c r="J15" s="23" t="n">
        <x:f>IF(C15="","",IFERROR(INDEX('Borrowers'!$I$9:$I$108,MATCH(C15,'Borrowers'!$C$9:$C$108,0))*INDEX('Borrowers'!$S$9:$S$108,MATCH(C15,'Borrowers'!$C$9:$C$108,0))*'Scenario Paths'!F15*(1-INDEX('Borrowers'!$T$9:$T$108,MATCH(C15,'Borrowers'!$C$9:$C$108,0))),"Unavailable"))</x:f>
        <x:v>0.5278499999999999</x:v>
      </x:c>
      <x:c r="K15" s="23" t="n">
        <x:f>IF(C15="","",IFERROR(INDEX('Borrowers'!$I$9:$I$108,MATCH(C15,'Borrowers'!$C$9:$C$108,0))*INDEX('Borrowers'!$U$9:$U$108,MATCH(C15,'Borrowers'!$C$9:$C$108,0))*'Scenario Paths'!F21*S15,"Unavailable"))</x:f>
        <x:v>0.017547264000000003</x:v>
      </x:c>
      <x:c r="L15" s="23" t="n">
        <x:f>IF(C15="","",IFERROR(SUMPRODUCT((Sites!$D$9:$D$108=C15)*Sites!$H$9:$H$108*Sites!$J$9:$J$108*Sites!$K$9:$K$108*(1-Sites!$L$9:$L$108)*(1-Sites!$M$9:$M$108))*'Scenario Paths'!F27,"Unavailable"))</x:f>
        <x:v>0.0157696</x:v>
      </x:c>
      <x:c r="M15" s="23" t="n">
        <x:f>IF(C15="","",IFERROR(INDEX('Borrowers'!$J$9:$J$108,MATCH(C15,'Borrowers'!$C$9:$C$108,0))+H15-SUM(I15:L15),"Unavailable"))</x:f>
        <x:v>19.107238136</x:v>
      </x:c>
      <x:c r="N15" s="23" t="n">
        <x:f>IF(C15="","",IFERROR(INDEX('Borrowers'!$I$9:$I$108,MATCH(C15,'Borrowers'!$C$9:$C$108,0))*'Scenario Paths'!F33,"Unavailable"))</x:f>
        <x:v>0.51</x:v>
      </x:c>
      <x:c r="O15" s="23" t="n">
        <x:f>IF(C15="","",IFERROR(M15-INDEX('Borrowers'!$K$9:$K$108,MATCH(C15,'Borrowers'!$C$9:$C$108,0))-N15,"Unavailable"))</x:f>
        <x:v>15.697238136000001</x:v>
      </x:c>
      <x:c r="P15" s="127" t="n">
        <x:f>IF(C15="","",IFERROR(O15/INDEX('Borrowers'!$L$9:$L$108,MATCH(C15,'Borrowers'!$C$9:$C$108,0)),"Unavailable"))</x:f>
        <x:v>2.3084173729411765</x:v>
      </x:c>
      <x:c r="Q15" s="30" t="n">
        <x:f>IF(C15="","",IFERROR(IF(INDEX('Borrowers'!$Z$9:$Z$108,MATCH(C15,'Borrowers'!$C$9:$C$108,0))="Yes",1,IF(INDEX('Borrowers'!$P$9:$P$108,MATCH(C15,'Borrowers'!$C$9:$C$108,0))=0,0,MIN(1,INDEX('Borrowers'!$P$9:$P$108,MATCH(C15,'Borrowers'!$C$9:$C$108,0))*EXP(MIN(20,INDEX('Borrowers'!$V$9:$V$108,MATCH(C15,'Borrowers'!$C$9:$C$108,0))*V15))))),"Unavailable"))</x:f>
        <x:v>0.014839692085888562</x:v>
      </x:c>
      <x:c r="R15" s="30" t="n">
        <x:f>IF(C15="","",IFERROR(MIN(1,INDEX('Borrowers'!$Q$9:$Q$108,MATCH(C15,'Borrowers'!$C$9:$C$108,0))+(1-INDEX('Borrowers'!$Q$9:$Q$108,MATCH(C15,'Borrowers'!$C$9:$C$108,0)))*T15),"Unavailable"))</x:f>
        <x:v>0.32030464000000003</x:v>
      </x:c>
      <x:c r="S15" s="30" t="n">
        <x:f>IF(C15="","",IFERROR(SUMPRODUCT((Sites!$D$9:$D$108=C15)*Sites!$I$9:$I$108*Sites!$J$9:$J$108*Sites!$K$9:$K$108*(1-Sites!$L$9:$L$108)),"Unavailable"))</x:f>
        <x:v>0.08960000000000001</x:v>
      </x:c>
      <x:c r="T15" s="30" t="n">
        <x:f>IF(C15="","",IFERROR(MIN(1,(SUMPRODUCT((Sites!$D$9:$D$108=C15)*Sites!$N$9:$N$108*Sites!$J$9:$J$108*Sites!$K$9:$K$108*(1-Sites!$L$9:$L$108)))*'Scenario Paths'!F27),"Unavailable"))</x:f>
        <x:v>0.00044800000000000005</x:v>
      </x:c>
      <x:c r="U15" s="9" t="str">
        <x:f>IF(C15="","",IF(OR(INDEX('Borrowers'!$AA$9:$AA$108,MATCH(C15,'Borrowers'!$C$9:$C$108,0))&lt;&gt;"Ready",COUNTIF(Sites!$D$9:$D$108,C15)=0,COUNTIFS(Sites!$D$9:$D$108,C15,Sites!$Q$9:$Q$108,"&lt;&gt;Ready")&gt;0,'Scenario Paths'!$F$6&lt;&gt;"Ready"),"Review source inputs","Ready"))</x:f>
        <x:v>Ready</x:v>
      </x:c>
      <x:c r="V15" s="17" t="n">
        <x:f>IF(C15="","",IFERROR(MAX(-1,(G15-O15)/MAX(0.000001,G15)),"Unavailable"))</x:f>
        <x:v>0.13274927425414365</x:v>
      </x:c>
      <x:c r="W15" s="9" t="str">
        <x:f>IF(C15="","",IFERROR(INDEX('Borrowers'!$D$9:$D$108,MATCH(C15,'Borrowers'!$C$9:$C$108,0)),"Unavailable"))</x:f>
        <x:v>Demo Amman Cement</x:v>
      </x:c>
    </x:row>
    <x:row r="16" ht="26" customHeight="1">
      <x:c r="A16" s="1"/>
      <x:c r="B16" s="1"/>
      <x:c r="C16" s="9" t="str">
        <x:f>IF(Borrowers!C16="","",Borrowers!C16)</x:f>
        <x:v>B008</x:v>
      </x:c>
      <x:c r="D16" s="3" t="n">
        <x:v>1</x:v>
      </x:c>
      <x:c r="E16" s="9" t="n">
        <x:f>Settings!$F$18+0</x:f>
        <x:v>2027</x:v>
      </x:c>
      <x:c r="F16" s="9" t="str">
        <x:f>IF(C16="","",INDEX('Borrowers'!$F$9:$F$108,MATCH(C16,'Borrowers'!$C$9:$C$108,0)))</x:f>
        <x:v>Solar</x:v>
      </x:c>
      <x:c r="G16" s="23" t="n">
        <x:f>IF(C16="","",IFERROR(INDEX('Borrowers'!$J$9:$J$108,MATCH(C16,'Borrowers'!$C$9:$C$108,0))-INDEX('Borrowers'!$K$9:$K$108,MATCH(C16,'Borrowers'!$C$9:$C$108,0)),"Unavailable"))</x:f>
        <x:v>19.45</x:v>
      </x:c>
      <x:c r="H16" s="23" t="n">
        <x:f>IF(C16="","",IFERROR(INDEX('Borrowers'!$I$9:$I$108,MATCH(C16,'Borrowers'!$C$9:$C$108,0))*INDEX('Borrowers'!$U$9:$U$108,MATCH(C16,'Borrowers'!$C$9:$C$108,0))*(IF(F16="Transport",'Scenario Paths'!F156,IF(F16="Technology",'Scenario Paths'!F150,IF(F16="Utilities",'Scenario Paths'!F144,IF(F16="Agriculture",'Scenario Paths'!F138,IF(F16="Manufacturing",'Scenario Paths'!F132,IF(F16="Healthcare",'Scenario Paths'!F126,IF(F16="Hospitality",'Scenario Paths'!F120,IF(F16="Property",'Scenario Paths'!F114,IF(F16="Food",'Scenario Paths'!F108,IF(F16="Logistics",'Scenario Paths'!F102,IF(F16="Solar",'Scenario Paths'!F96,IF(F16="Cement",'Scenario Paths'!F90,0))))))))))))),"Unavailable"))</x:f>
        <x:v>0.6213</x:v>
      </x:c>
      <x:c r="I16" s="23" t="n">
        <x:f>IF(C16="","",IFERROR(INDEX('Borrowers'!$R$9:$R$108,MATCH(C16,'Borrowers'!$C$9:$C$108,0))*(1-INDEX('Borrowers'!$W$9:$W$108,MATCH(C16,'Borrowers'!$C$9:$C$108,0))*'Scenario Paths'!F39)*'Scenario Paths'!F9/1000000*(1-INDEX('Borrowers'!$T$9:$T$108,MATCH(C16,'Borrowers'!$C$9:$C$108,0))),"Unavailable"))</x:f>
        <x:v>0.0010394999999999998</x:v>
      </x:c>
      <x:c r="J16" s="23" t="n">
        <x:f>IF(C16="","",IFERROR(INDEX('Borrowers'!$I$9:$I$108,MATCH(C16,'Borrowers'!$C$9:$C$108,0))*INDEX('Borrowers'!$S$9:$S$108,MATCH(C16,'Borrowers'!$C$9:$C$108,0))*'Scenario Paths'!F15*(1-INDEX('Borrowers'!$T$9:$T$108,MATCH(C16,'Borrowers'!$C$9:$C$108,0))),"Unavailable"))</x:f>
        <x:v>0.247975</x:v>
      </x:c>
      <x:c r="K16" s="23" t="n">
        <x:f>IF(C16="","",IFERROR(INDEX('Borrowers'!$I$9:$I$108,MATCH(C16,'Borrowers'!$C$9:$C$108,0))*INDEX('Borrowers'!$U$9:$U$108,MATCH(C16,'Borrowers'!$C$9:$C$108,0))*'Scenario Paths'!F21*S16,"Unavailable"))</x:f>
        <x:v>0.04373952000000001</x:v>
      </x:c>
      <x:c r="L16" s="23" t="n">
        <x:f>IF(C16="","",IFERROR(SUMPRODUCT((Sites!$D$9:$D$108=C16)*Sites!$H$9:$H$108*Sites!$J$9:$J$108*Sites!$K$9:$K$108*(1-Sites!$L$9:$L$108)*(1-Sites!$M$9:$M$108))*'Scenario Paths'!F27,"Unavailable"))</x:f>
        <x:v>0.03291200000000001</x:v>
      </x:c>
      <x:c r="M16" s="23" t="n">
        <x:f>IF(C16="","",IFERROR(INDEX('Borrowers'!$J$9:$J$108,MATCH(C16,'Borrowers'!$C$9:$C$108,0))+H16-SUM(I16:L16),"Unavailable"))</x:f>
        <x:v>22.79563398</x:v>
      </x:c>
      <x:c r="N16" s="23" t="n">
        <x:f>IF(C16="","",IFERROR(INDEX('Borrowers'!$I$9:$I$108,MATCH(C16,'Borrowers'!$C$9:$C$108,0))*'Scenario Paths'!F33,"Unavailable"))</x:f>
        <x:v>0.545</x:v>
      </x:c>
      <x:c r="O16" s="23" t="n">
        <x:f>IF(C16="","",IFERROR(M16-INDEX('Borrowers'!$K$9:$K$108,MATCH(C16,'Borrowers'!$C$9:$C$108,0))-N16,"Unavailable"))</x:f>
        <x:v>19.20063398</x:v>
      </x:c>
      <x:c r="P16" s="127" t="n">
        <x:f>IF(C16="","",IFERROR(O16/INDEX('Borrowers'!$L$9:$L$108,MATCH(C16,'Borrowers'!$C$9:$C$108,0)),"Unavailable"))</x:f>
        <x:v>2.7043146450704225</x:v>
      </x:c>
      <x:c r="Q16" s="30" t="n">
        <x:f>IF(C16="","",IFERROR(IF(INDEX('Borrowers'!$Z$9:$Z$108,MATCH(C16,'Borrowers'!$C$9:$C$108,0))="Yes",1,IF(INDEX('Borrowers'!$P$9:$P$108,MATCH(C16,'Borrowers'!$C$9:$C$108,0))=0,0,MIN(1,INDEX('Borrowers'!$P$9:$P$108,MATCH(C16,'Borrowers'!$C$9:$C$108,0))*EXP(MIN(20,INDEX('Borrowers'!$V$9:$V$108,MATCH(C16,'Borrowers'!$C$9:$C$108,0))*V16))))),"Unavailable"))</x:f>
        <x:v>0.018373054427546526</x:v>
      </x:c>
      <x:c r="R16" s="30" t="n">
        <x:f>IF(C16="","",IFERROR(MIN(1,INDEX('Borrowers'!$Q$9:$Q$108,MATCH(C16,'Borrowers'!$C$9:$C$108,0))+(1-INDEX('Borrowers'!$Q$9:$Q$108,MATCH(C16,'Borrowers'!$C$9:$C$108,0)))*T16),"Unavailable"))</x:f>
        <x:v>0.36056320000000003</x:v>
      </x:c>
      <x:c r="S16" s="30" t="n">
        <x:f>IF(C16="","",IFERROR(SUMPRODUCT((Sites!$D$9:$D$108=C16)*Sites!$I$9:$I$108*Sites!$J$9:$J$108*Sites!$K$9:$K$108*(1-Sites!$L$9:$L$108)),"Unavailable"))</x:f>
        <x:v>0.17600000000000002</x:v>
      </x:c>
      <x:c r="T16" s="30" t="n">
        <x:f>IF(C16="","",IFERROR(MIN(1,(SUMPRODUCT((Sites!$D$9:$D$108=C16)*Sites!$N$9:$N$108*Sites!$J$9:$J$108*Sites!$K$9:$K$108*(1-Sites!$L$9:$L$108)))*'Scenario Paths'!F27),"Unavailable"))</x:f>
        <x:v>0.0008800000000000001</x:v>
      </x:c>
      <x:c r="U16" s="9" t="str">
        <x:f>IF(C16="","",IF(OR(INDEX('Borrowers'!$AA$9:$AA$108,MATCH(C16,'Borrowers'!$C$9:$C$108,0))&lt;&gt;"Ready",COUNTIF(Sites!$D$9:$D$108,C16)=0,COUNTIFS(Sites!$D$9:$D$108,C16,Sites!$Q$9:$Q$108,"&lt;&gt;Ready")&gt;0,'Scenario Paths'!$F$6&lt;&gt;"Ready"),"Review source inputs","Ready"))</x:f>
        <x:v>Ready</x:v>
      </x:c>
      <x:c r="V16" s="17" t="n">
        <x:f>IF(C16="","",IFERROR(MAX(-1,(G16-O16)/MAX(0.000001,G16)),"Unavailable"))</x:f>
        <x:v>0.012820875064267356</x:v>
      </x:c>
      <x:c r="W16" s="9" t="str">
        <x:f>IF(C16="","",IFERROR(INDEX('Borrowers'!$D$9:$D$108,MATCH(C16,'Borrowers'!$C$9:$C$108,0)),"Unavailable"))</x:f>
        <x:v>Demo Petra Solar</x:v>
      </x:c>
    </x:row>
    <x:row r="17" ht="26" customHeight="1">
      <x:c r="A17" s="1"/>
      <x:c r="B17" s="1"/>
      <x:c r="C17" s="9" t="str">
        <x:f>IF(Borrowers!C17="","",Borrowers!C17)</x:f>
        <x:v>B009</x:v>
      </x:c>
      <x:c r="D17" s="3" t="n">
        <x:v>1</x:v>
      </x:c>
      <x:c r="E17" s="9" t="n">
        <x:f>Settings!$F$18+0</x:f>
        <x:v>2027</x:v>
      </x:c>
      <x:c r="F17" s="9" t="str">
        <x:f>IF(C17="","",INDEX('Borrowers'!$F$9:$F$108,MATCH(C17,'Borrowers'!$C$9:$C$108,0)))</x:f>
        <x:v>Logistics</x:v>
      </x:c>
      <x:c r="G17" s="23" t="n">
        <x:f>IF(C17="","",IFERROR(INDEX('Borrowers'!$J$9:$J$108,MATCH(C17,'Borrowers'!$C$9:$C$108,0))-INDEX('Borrowers'!$K$9:$K$108,MATCH(C17,'Borrowers'!$C$9:$C$108,0)),"Unavailable"))</x:f>
        <x:v>20.8</x:v>
      </x:c>
      <x:c r="H17" s="23" t="n">
        <x:f>IF(C17="","",IFERROR(INDEX('Borrowers'!$I$9:$I$108,MATCH(C17,'Borrowers'!$C$9:$C$108,0))*INDEX('Borrowers'!$U$9:$U$108,MATCH(C17,'Borrowers'!$C$9:$C$108,0))*(IF(F17="Transport",'Scenario Paths'!F156,IF(F17="Technology",'Scenario Paths'!F150,IF(F17="Utilities",'Scenario Paths'!F144,IF(F17="Agriculture",'Scenario Paths'!F138,IF(F17="Manufacturing",'Scenario Paths'!F132,IF(F17="Healthcare",'Scenario Paths'!F126,IF(F17="Hospitality",'Scenario Paths'!F120,IF(F17="Property",'Scenario Paths'!F114,IF(F17="Food",'Scenario Paths'!F108,IF(F17="Logistics",'Scenario Paths'!F102,IF(F17="Solar",'Scenario Paths'!F96,IF(F17="Cement",'Scenario Paths'!F90,0))))))))))))),"Unavailable"))</x:f>
        <x:v>-0.7656</x:v>
      </x:c>
      <x:c r="I17" s="23" t="n">
        <x:f>IF(C17="","",IFERROR(INDEX('Borrowers'!$R$9:$R$108,MATCH(C17,'Borrowers'!$C$9:$C$108,0))*(1-INDEX('Borrowers'!$W$9:$W$108,MATCH(C17,'Borrowers'!$C$9:$C$108,0))*'Scenario Paths'!F39)*'Scenario Paths'!F9/1000000*(1-INDEX('Borrowers'!$T$9:$T$108,MATCH(C17,'Borrowers'!$C$9:$C$108,0))),"Unavailable"))</x:f>
        <x:v>0.069498</x:v>
      </x:c>
      <x:c r="J17" s="23" t="n">
        <x:f>IF(C17="","",IFERROR(INDEX('Borrowers'!$I$9:$I$108,MATCH(C17,'Borrowers'!$C$9:$C$108,0))*INDEX('Borrowers'!$S$9:$S$108,MATCH(C17,'Borrowers'!$C$9:$C$108,0))*'Scenario Paths'!F15*(1-INDEX('Borrowers'!$T$9:$T$108,MATCH(C17,'Borrowers'!$C$9:$C$108,0))),"Unavailable"))</x:f>
        <x:v>0.2639000000000001</x:v>
      </x:c>
      <x:c r="K17" s="23" t="n">
        <x:f>IF(C17="","",IFERROR(INDEX('Borrowers'!$I$9:$I$108,MATCH(C17,'Borrowers'!$C$9:$C$108,0))*INDEX('Borrowers'!$U$9:$U$108,MATCH(C17,'Borrowers'!$C$9:$C$108,0))*'Scenario Paths'!F21*S17,"Unavailable"))</x:f>
        <x:v>0.089177088</x:v>
      </x:c>
      <x:c r="L17" s="23" t="n">
        <x:f>IF(C17="","",IFERROR(SUMPRODUCT((Sites!$D$9:$D$108=C17)*Sites!$H$9:$H$108*Sites!$J$9:$J$108*Sites!$K$9:$K$108*(1-Sites!$L$9:$L$108)*(1-Sites!$M$9:$M$108))*'Scenario Paths'!F27,"Unavailable"))</x:f>
        <x:v>0.05765760000000001</x:v>
      </x:c>
      <x:c r="M17" s="23" t="n">
        <x:f>IF(C17="","",IFERROR(INDEX('Borrowers'!$J$9:$J$108,MATCH(C17,'Borrowers'!$C$9:$C$108,0))+H17-SUM(I17:L17),"Unavailable"))</x:f>
        <x:v>22.754167312</x:v>
      </x:c>
      <x:c r="N17" s="23" t="n">
        <x:f>IF(C17="","",IFERROR(INDEX('Borrowers'!$I$9:$I$108,MATCH(C17,'Borrowers'!$C$9:$C$108,0))*'Scenario Paths'!F33,"Unavailable"))</x:f>
        <x:v>0.58</x:v>
      </x:c>
      <x:c r="O17" s="23" t="n">
        <x:f>IF(C17="","",IFERROR(M17-INDEX('Borrowers'!$K$9:$K$108,MATCH(C17,'Borrowers'!$C$9:$C$108,0))-N17,"Unavailable"))</x:f>
        <x:v>18.974167312000002</x:v>
      </x:c>
      <x:c r="P17" s="127" t="n">
        <x:f>IF(C17="","",IFERROR(O17/INDEX('Borrowers'!$L$9:$L$108,MATCH(C17,'Borrowers'!$C$9:$C$108,0)),"Unavailable"))</x:f>
        <x:v>2.564076663783784</x:v>
      </x:c>
      <x:c r="Q17" s="30" t="n">
        <x:f>IF(C17="","",IFERROR(IF(INDEX('Borrowers'!$Z$9:$Z$108,MATCH(C17,'Borrowers'!$C$9:$C$108,0))="Yes",1,IF(INDEX('Borrowers'!$P$9:$P$108,MATCH(C17,'Borrowers'!$C$9:$C$108,0))=0,0,MIN(1,INDEX('Borrowers'!$P$9:$P$108,MATCH(C17,'Borrowers'!$C$9:$C$108,0))*EXP(MIN(20,INDEX('Borrowers'!$V$9:$V$108,MATCH(C17,'Borrowers'!$C$9:$C$108,0))*V17))))),"Unavailable"))</x:f>
        <x:v>0.0276189601452045</x:v>
      </x:c>
      <x:c r="R17" s="30" t="n">
        <x:f>IF(C17="","",IFERROR(MIN(1,INDEX('Borrowers'!$Q$9:$Q$108,MATCH(C17,'Borrowers'!$C$9:$C$108,0))+(1-INDEX('Borrowers'!$Q$9:$Q$108,MATCH(C17,'Borrowers'!$C$9:$C$108,0)))*T17),"Unavailable"))</x:f>
        <x:v>0.4008736</x:v>
      </x:c>
      <x:c r="S17" s="30" t="n">
        <x:f>IF(C17="","",IFERROR(SUMPRODUCT((Sites!$D$9:$D$108=C17)*Sites!$I$9:$I$108*Sites!$J$9:$J$108*Sites!$K$9:$K$108*(1-Sites!$L$9:$L$108)),"Unavailable"))</x:f>
        <x:v>0.2912</x:v>
      </x:c>
      <x:c r="T17" s="30" t="n">
        <x:f>IF(C17="","",IFERROR(MIN(1,(SUMPRODUCT((Sites!$D$9:$D$108=C17)*Sites!$N$9:$N$108*Sites!$J$9:$J$108*Sites!$K$9:$K$108*(1-Sites!$L$9:$L$108)))*'Scenario Paths'!F27),"Unavailable"))</x:f>
        <x:v>0.001456</x:v>
      </x:c>
      <x:c r="U17" s="9" t="str">
        <x:f>IF(C17="","",IF(OR(INDEX('Borrowers'!$AA$9:$AA$108,MATCH(C17,'Borrowers'!$C$9:$C$108,0))&lt;&gt;"Ready",COUNTIF(Sites!$D$9:$D$108,C17)=0,COUNTIFS(Sites!$D$9:$D$108,C17,Sites!$Q$9:$Q$108,"&lt;&gt;Ready")&gt;0,'Scenario Paths'!$F$6&lt;&gt;"Ready"),"Review source inputs","Ready"))</x:f>
        <x:v>Ready</x:v>
      </x:c>
      <x:c r="V17" s="17" t="n">
        <x:f>IF(C17="","",IFERROR(MAX(-1,(G17-O17)/MAX(0.000001,G17)),"Unavailable"))</x:f>
        <x:v>0.08778041769230761</x:v>
      </x:c>
      <x:c r="W17" s="9" t="str">
        <x:f>IF(C17="","",IFERROR(INDEX('Borrowers'!$D$9:$D$108,MATCH(C17,'Borrowers'!$C$9:$C$108,0)),"Unavailable"))</x:f>
        <x:v>Demo Levant Freight</x:v>
      </x:c>
    </x:row>
    <x:row r="18" ht="26" customHeight="1">
      <x:c r="A18" s="1"/>
      <x:c r="B18" s="1"/>
      <x:c r="C18" s="9" t="str">
        <x:f>IF(Borrowers!C18="","",Borrowers!C18)</x:f>
        <x:v>B010</x:v>
      </x:c>
      <x:c r="D18" s="3" t="n">
        <x:v>1</x:v>
      </x:c>
      <x:c r="E18" s="9" t="n">
        <x:f>Settings!$F$18+0</x:f>
        <x:v>2027</x:v>
      </x:c>
      <x:c r="F18" s="9" t="str">
        <x:f>IF(C18="","",INDEX('Borrowers'!$F$9:$F$108,MATCH(C18,'Borrowers'!$C$9:$C$108,0)))</x:f>
        <x:v>Food</x:v>
      </x:c>
      <x:c r="G18" s="23" t="n">
        <x:f>IF(C18="","",IFERROR(INDEX('Borrowers'!$J$9:$J$108,MATCH(C18,'Borrowers'!$C$9:$C$108,0))-INDEX('Borrowers'!$K$9:$K$108,MATCH(C18,'Borrowers'!$C$9:$C$108,0)),"Unavailable"))</x:f>
        <x:v>22.15</x:v>
      </x:c>
      <x:c r="H18" s="23" t="n">
        <x:f>IF(C18="","",IFERROR(INDEX('Borrowers'!$I$9:$I$108,MATCH(C18,'Borrowers'!$C$9:$C$108,0))*INDEX('Borrowers'!$U$9:$U$108,MATCH(C18,'Borrowers'!$C$9:$C$108,0))*(IF(F18="Transport",'Scenario Paths'!F156,IF(F18="Technology",'Scenario Paths'!F150,IF(F18="Utilities",'Scenario Paths'!F144,IF(F18="Agriculture",'Scenario Paths'!F138,IF(F18="Manufacturing",'Scenario Paths'!F132,IF(F18="Healthcare",'Scenario Paths'!F126,IF(F18="Hospitality",'Scenario Paths'!F120,IF(F18="Property",'Scenario Paths'!F114,IF(F18="Food",'Scenario Paths'!F108,IF(F18="Logistics",'Scenario Paths'!F102,IF(F18="Solar",'Scenario Paths'!F96,IF(F18="Cement",'Scenario Paths'!F90,0))))))))))))),"Unavailable"))</x:f>
        <x:v>-0.5903999999999999</x:v>
      </x:c>
      <x:c r="I18" s="23" t="n">
        <x:f>IF(C18="","",IFERROR(INDEX('Borrowers'!$R$9:$R$108,MATCH(C18,'Borrowers'!$C$9:$C$108,0))*(1-INDEX('Borrowers'!$W$9:$W$108,MATCH(C18,'Borrowers'!$C$9:$C$108,0))*'Scenario Paths'!F39)*'Scenario Paths'!F9/1000000*(1-INDEX('Borrowers'!$T$9:$T$108,MATCH(C18,'Borrowers'!$C$9:$C$108,0))),"Unavailable"))</x:f>
        <x:v>0.062073</x:v>
      </x:c>
      <x:c r="J18" s="23" t="n">
        <x:f>IF(C18="","",IFERROR(INDEX('Borrowers'!$I$9:$I$108,MATCH(C18,'Borrowers'!$C$9:$C$108,0))*INDEX('Borrowers'!$S$9:$S$108,MATCH(C18,'Borrowers'!$C$9:$C$108,0))*'Scenario Paths'!F15*(1-INDEX('Borrowers'!$T$9:$T$108,MATCH(C18,'Borrowers'!$C$9:$C$108,0))),"Unavailable"))</x:f>
        <x:v>0.30442500000000006</x:v>
      </x:c>
      <x:c r="K18" s="23" t="n">
        <x:f>IF(C18="","",IFERROR(INDEX('Borrowers'!$I$9:$I$108,MATCH(C18,'Borrowers'!$C$9:$C$108,0))*INDEX('Borrowers'!$U$9:$U$108,MATCH(C18,'Borrowers'!$C$9:$C$108,0))*'Scenario Paths'!F21*S18,"Unavailable"))</x:f>
        <x:v>0.044964864</x:v>
      </x:c>
      <x:c r="L18" s="23" t="n">
        <x:f>IF(C18="","",IFERROR(SUMPRODUCT((Sites!$D$9:$D$108=C18)*Sites!$H$9:$H$108*Sites!$J$9:$J$108*Sites!$K$9:$K$108*(1-Sites!$L$9:$L$108)*(1-Sites!$M$9:$M$108))*'Scenario Paths'!F27,"Unavailable"))</x:f>
        <x:v>0.0397936</x:v>
      </x:c>
      <x:c r="M18" s="23" t="n">
        <x:f>IF(C18="","",IFERROR(INDEX('Borrowers'!$J$9:$J$108,MATCH(C18,'Borrowers'!$C$9:$C$108,0))+H18-SUM(I18:L18),"Unavailable"))</x:f>
        <x:v>24.458343536</x:v>
      </x:c>
      <x:c r="N18" s="23" t="n">
        <x:f>IF(C18="","",IFERROR(INDEX('Borrowers'!$I$9:$I$108,MATCH(C18,'Borrowers'!$C$9:$C$108,0))*'Scenario Paths'!F33,"Unavailable"))</x:f>
        <x:v>0.615</x:v>
      </x:c>
      <x:c r="O18" s="23" t="n">
        <x:f>IF(C18="","",IFERROR(M18-INDEX('Borrowers'!$K$9:$K$108,MATCH(C18,'Borrowers'!$C$9:$C$108,0))-N18,"Unavailable"))</x:f>
        <x:v>20.493343536</x:v>
      </x:c>
      <x:c r="P18" s="127" t="n">
        <x:f>IF(C18="","",IFERROR(O18/INDEX('Borrowers'!$L$9:$L$108,MATCH(C18,'Borrowers'!$C$9:$C$108,0)),"Unavailable"))</x:f>
        <x:v>2.661473186493507</x:v>
      </x:c>
      <x:c r="Q18" s="30" t="n">
        <x:f>IF(C18="","",IFERROR(IF(INDEX('Borrowers'!$Z$9:$Z$108,MATCH(C18,'Borrowers'!$C$9:$C$108,0))="Yes",1,IF(INDEX('Borrowers'!$P$9:$P$108,MATCH(C18,'Borrowers'!$C$9:$C$108,0))=0,0,MIN(1,INDEX('Borrowers'!$P$9:$P$108,MATCH(C18,'Borrowers'!$C$9:$C$108,0))*EXP(MIN(20,INDEX('Borrowers'!$V$9:$V$108,MATCH(C18,'Borrowers'!$C$9:$C$108,0))*V18))))),"Unavailable"))</x:f>
        <x:v>0.033813683866384045</x:v>
      </x:c>
      <x:c r="R18" s="30" t="n">
        <x:f>IF(C18="","",IFERROR(MIN(1,INDEX('Borrowers'!$Q$9:$Q$108,MATCH(C18,'Borrowers'!$C$9:$C$108,0))+(1-INDEX('Borrowers'!$Q$9:$Q$108,MATCH(C18,'Borrowers'!$C$9:$C$108,0)))*T18),"Unavailable"))</x:f>
        <x:v>0.44053312000000006</x:v>
      </x:c>
      <x:c r="S18" s="30" t="n">
        <x:f>IF(C18="","",IFERROR(SUMPRODUCT((Sites!$D$9:$D$108=C18)*Sites!$I$9:$I$108*Sites!$J$9:$J$108*Sites!$K$9:$K$108*(1-Sites!$L$9:$L$108)),"Unavailable"))</x:f>
        <x:v>0.19039999999999999</x:v>
      </x:c>
      <x:c r="T18" s="30" t="n">
        <x:f>IF(C18="","",IFERROR(MIN(1,(SUMPRODUCT((Sites!$D$9:$D$108=C18)*Sites!$N$9:$N$108*Sites!$J$9:$J$108*Sites!$K$9:$K$108*(1-Sites!$L$9:$L$108)))*'Scenario Paths'!F27),"Unavailable"))</x:f>
        <x:v>0.0009519999999999999</x:v>
      </x:c>
      <x:c r="U18" s="9" t="str">
        <x:f>IF(C18="","",IF(OR(INDEX('Borrowers'!$AA$9:$AA$108,MATCH(C18,'Borrowers'!$C$9:$C$108,0))&lt;&gt;"Ready",COUNTIF(Sites!$D$9:$D$108,C18)=0,COUNTIFS(Sites!$D$9:$D$108,C18,Sites!$Q$9:$Q$108,"&lt;&gt;Ready")&gt;0,'Scenario Paths'!$F$6&lt;&gt;"Ready"),"Review source inputs","Ready"))</x:f>
        <x:v>Ready</x:v>
      </x:c>
      <x:c r="V18" s="17" t="n">
        <x:f>IF(C18="","",IFERROR(MAX(-1,(G18-O18)/MAX(0.000001,G18)),"Unavailable"))</x:f>
        <x:v>0.07479261688487573</x:v>
      </x:c>
      <x:c r="W18" s="9" t="str">
        <x:f>IF(C18="","",IFERROR(INDEX('Borrowers'!$D$9:$D$108,MATCH(C18,'Borrowers'!$C$9:$C$108,0)),"Unavailable"))</x:f>
        <x:v>Demo Jordan Foods</x:v>
      </x:c>
    </x:row>
    <x:row r="19" ht="26" customHeight="1">
      <x:c r="A19" s="1"/>
      <x:c r="B19" s="1"/>
      <x:c r="C19" s="9" t="str">
        <x:f>IF(Borrowers!C19="","",Borrowers!C19)</x:f>
        <x:v>B011</x:v>
      </x:c>
      <x:c r="D19" s="3" t="n">
        <x:v>1</x:v>
      </x:c>
      <x:c r="E19" s="9" t="n">
        <x:f>Settings!$F$18+0</x:f>
        <x:v>2027</x:v>
      </x:c>
      <x:c r="F19" s="9" t="str">
        <x:f>IF(C19="","",INDEX('Borrowers'!$F$9:$F$108,MATCH(C19,'Borrowers'!$C$9:$C$108,0)))</x:f>
        <x:v>Property</x:v>
      </x:c>
      <x:c r="G19" s="23" t="n">
        <x:f>IF(C19="","",IFERROR(INDEX('Borrowers'!$J$9:$J$108,MATCH(C19,'Borrowers'!$C$9:$C$108,0))-INDEX('Borrowers'!$K$9:$K$108,MATCH(C19,'Borrowers'!$C$9:$C$108,0)),"Unavailable"))</x:f>
        <x:v>23.5</x:v>
      </x:c>
      <x:c r="H19" s="23" t="n">
        <x:f>IF(C19="","",IFERROR(INDEX('Borrowers'!$I$9:$I$108,MATCH(C19,'Borrowers'!$C$9:$C$108,0))*INDEX('Borrowers'!$U$9:$U$108,MATCH(C19,'Borrowers'!$C$9:$C$108,0))*(IF(F19="Transport",'Scenario Paths'!F156,IF(F19="Technology",'Scenario Paths'!F150,IF(F19="Utilities",'Scenario Paths'!F144,IF(F19="Agriculture",'Scenario Paths'!F138,IF(F19="Manufacturing",'Scenario Paths'!F132,IF(F19="Healthcare",'Scenario Paths'!F126,IF(F19="Hospitality",'Scenario Paths'!F120,IF(F19="Property",'Scenario Paths'!F114,IF(F19="Food",'Scenario Paths'!F108,IF(F19="Logistics",'Scenario Paths'!F102,IF(F19="Solar",'Scenario Paths'!F96,IF(F19="Cement",'Scenario Paths'!F90,0))))))))))))),"Unavailable"))</x:f>
        <x:v>-0.741</x:v>
      </x:c>
      <x:c r="I19" s="23" t="n">
        <x:f>IF(C19="","",IFERROR(INDEX('Borrowers'!$R$9:$R$108,MATCH(C19,'Borrowers'!$C$9:$C$108,0))*(1-INDEX('Borrowers'!$W$9:$W$108,MATCH(C19,'Borrowers'!$C$9:$C$108,0))*'Scenario Paths'!F39)*'Scenario Paths'!F9/1000000*(1-INDEX('Borrowers'!$T$9:$T$108,MATCH(C19,'Borrowers'!$C$9:$C$108,0))),"Unavailable"))</x:f>
        <x:v>0.053459999999999994</x:v>
      </x:c>
      <x:c r="J19" s="23" t="n">
        <x:f>IF(C19="","",IFERROR(INDEX('Borrowers'!$I$9:$I$108,MATCH(C19,'Borrowers'!$C$9:$C$108,0))*INDEX('Borrowers'!$S$9:$S$108,MATCH(C19,'Borrowers'!$C$9:$C$108,0))*'Scenario Paths'!F15*(1-INDEX('Borrowers'!$T$9:$T$108,MATCH(C19,'Borrowers'!$C$9:$C$108,0))),"Unavailable"))</x:f>
        <x:v>0.32175000000000004</x:v>
      </x:c>
      <x:c r="K19" s="23" t="n">
        <x:f>IF(C19="","",IFERROR(INDEX('Borrowers'!$I$9:$I$108,MATCH(C19,'Borrowers'!$C$9:$C$108,0))*INDEX('Borrowers'!$U$9:$U$108,MATCH(C19,'Borrowers'!$C$9:$C$108,0))*'Scenario Paths'!F21*S19,"Unavailable"))</x:f>
        <x:v>0.023712000000000004</x:v>
      </x:c>
      <x:c r="L19" s="23" t="n">
        <x:f>IF(C19="","",IFERROR(SUMPRODUCT((Sites!$D$9:$D$108=C19)*Sites!$H$9:$H$108*Sites!$J$9:$J$108*Sites!$K$9:$K$108*(1-Sites!$L$9:$L$108)*(1-Sites!$M$9:$M$108))*'Scenario Paths'!F27,"Unavailable"))</x:f>
        <x:v>0.0176</x:v>
      </x:c>
      <x:c r="M19" s="23" t="n">
        <x:f>IF(C19="","",IFERROR(INDEX('Borrowers'!$J$9:$J$108,MATCH(C19,'Borrowers'!$C$9:$C$108,0))+H19-SUM(I19:L19),"Unavailable"))</x:f>
        <x:v>25.842478</x:v>
      </x:c>
      <x:c r="N19" s="23" t="n">
        <x:f>IF(C19="","",IFERROR(INDEX('Borrowers'!$I$9:$I$108,MATCH(C19,'Borrowers'!$C$9:$C$108,0))*'Scenario Paths'!F33,"Unavailable"))</x:f>
        <x:v>0.65</x:v>
      </x:c>
      <x:c r="O19" s="23" t="n">
        <x:f>IF(C19="","",IFERROR(M19-INDEX('Borrowers'!$K$9:$K$108,MATCH(C19,'Borrowers'!$C$9:$C$108,0))-N19,"Unavailable"))</x:f>
        <x:v>21.692478</x:v>
      </x:c>
      <x:c r="P19" s="127" t="n">
        <x:f>IF(C19="","",IFERROR(O19/INDEX('Borrowers'!$L$9:$L$108,MATCH(C19,'Borrowers'!$C$9:$C$108,0)),"Unavailable"))</x:f>
        <x:v>2.71155975</x:v>
      </x:c>
      <x:c r="Q19" s="30" t="n">
        <x:f>IF(C19="","",IFERROR(IF(INDEX('Borrowers'!$Z$9:$Z$108,MATCH(C19,'Borrowers'!$C$9:$C$108,0))="Yes",1,IF(INDEX('Borrowers'!$P$9:$P$108,MATCH(C19,'Borrowers'!$C$9:$C$108,0))=0,0,MIN(1,INDEX('Borrowers'!$P$9:$P$108,MATCH(C19,'Borrowers'!$C$9:$C$108,0))*EXP(MIN(20,INDEX('Borrowers'!$V$9:$V$108,MATCH(C19,'Borrowers'!$C$9:$C$108,0))*V19))))),"Unavailable"))</x:f>
        <x:v>0.04071449885015344</x:v>
      </x:c>
      <x:c r="R19" s="30" t="n">
        <x:f>IF(C19="","",IFERROR(MIN(1,INDEX('Borrowers'!$Q$9:$Q$108,MATCH(C19,'Borrowers'!$C$9:$C$108,0))+(1-INDEX('Borrowers'!$Q$9:$Q$108,MATCH(C19,'Borrowers'!$C$9:$C$108,0)))*T19),"Unavailable"))</x:f>
        <x:v>0.28028800000000004</x:v>
      </x:c>
      <x:c r="S19" s="30" t="n">
        <x:f>IF(C19="","",IFERROR(SUMPRODUCT((Sites!$D$9:$D$108=C19)*Sites!$I$9:$I$108*Sites!$J$9:$J$108*Sites!$K$9:$K$108*(1-Sites!$L$9:$L$108)),"Unavailable"))</x:f>
        <x:v>0.08000000000000002</x:v>
      </x:c>
      <x:c r="T19" s="30" t="n">
        <x:f>IF(C19="","",IFERROR(MIN(1,(SUMPRODUCT((Sites!$D$9:$D$108=C19)*Sites!$N$9:$N$108*Sites!$J$9:$J$108*Sites!$K$9:$K$108*(1-Sites!$L$9:$L$108)))*'Scenario Paths'!F27),"Unavailable"))</x:f>
        <x:v>0.0004000000000000001</x:v>
      </x:c>
      <x:c r="U19" s="9" t="str">
        <x:f>IF(C19="","",IF(OR(INDEX('Borrowers'!$AA$9:$AA$108,MATCH(C19,'Borrowers'!$C$9:$C$108,0))&lt;&gt;"Ready",COUNTIF(Sites!$D$9:$D$108,C19)=0,COUNTIFS(Sites!$D$9:$D$108,C19,Sites!$Q$9:$Q$108,"&lt;&gt;Ready")&gt;0,'Scenario Paths'!$F$6&lt;&gt;"Ready"),"Review source inputs","Ready"))</x:f>
        <x:v>Ready</x:v>
      </x:c>
      <x:c r="V19" s="17" t="n">
        <x:f>IF(C19="","",IFERROR(MAX(-1,(G19-O19)/MAX(0.000001,G19)),"Unavailable"))</x:f>
        <x:v>0.07691582978723399</x:v>
      </x:c>
      <x:c r="W19" s="9" t="str">
        <x:f>IF(C19="","",IFERROR(INDEX('Borrowers'!$D$9:$D$108,MATCH(C19,'Borrowers'!$C$9:$C$108,0)),"Unavailable"))</x:f>
        <x:v>Demo Aqaba Properties</x:v>
      </x:c>
    </x:row>
    <x:row r="20" ht="26" customHeight="1">
      <x:c r="A20" s="1"/>
      <x:c r="B20" s="1"/>
      <x:c r="C20" s="9" t="str">
        <x:f>IF(Borrowers!C20="","",Borrowers!C20)</x:f>
        <x:v>B012</x:v>
      </x:c>
      <x:c r="D20" s="3" t="n">
        <x:v>1</x:v>
      </x:c>
      <x:c r="E20" s="9" t="n">
        <x:f>Settings!$F$18+0</x:f>
        <x:v>2027</x:v>
      </x:c>
      <x:c r="F20" s="9" t="str">
        <x:f>IF(C20="","",INDEX('Borrowers'!$F$9:$F$108,MATCH(C20,'Borrowers'!$C$9:$C$108,0)))</x:f>
        <x:v>Healthcare</x:v>
      </x:c>
      <x:c r="G20" s="23" t="n">
        <x:f>IF(C20="","",IFERROR(INDEX('Borrowers'!$J$9:$J$108,MATCH(C20,'Borrowers'!$C$9:$C$108,0))-INDEX('Borrowers'!$K$9:$K$108,MATCH(C20,'Borrowers'!$C$9:$C$108,0)),"Unavailable"))</x:f>
        <x:v>24.85</x:v>
      </x:c>
      <x:c r="H20" s="23" t="n">
        <x:f>IF(C20="","",IFERROR(INDEX('Borrowers'!$I$9:$I$108,MATCH(C20,'Borrowers'!$C$9:$C$108,0))*INDEX('Borrowers'!$U$9:$U$108,MATCH(C20,'Borrowers'!$C$9:$C$108,0))*(IF(F20="Transport",'Scenario Paths'!F156,IF(F20="Technology",'Scenario Paths'!F150,IF(F20="Utilities",'Scenario Paths'!F144,IF(F20="Agriculture",'Scenario Paths'!F138,IF(F20="Manufacturing",'Scenario Paths'!F132,IF(F20="Healthcare",'Scenario Paths'!F126,IF(F20="Hospitality",'Scenario Paths'!F120,IF(F20="Property",'Scenario Paths'!F114,IF(F20="Food",'Scenario Paths'!F108,IF(F20="Logistics",'Scenario Paths'!F102,IF(F20="Solar",'Scenario Paths'!F96,IF(F20="Cement",'Scenario Paths'!F90,0))))))))))))),"Unavailable"))</x:f>
        <x:v>-0.9042</x:v>
      </x:c>
      <x:c r="I20" s="23" t="n">
        <x:f>IF(C20="","",IFERROR(INDEX('Borrowers'!$R$9:$R$108,MATCH(C20,'Borrowers'!$C$9:$C$108,0))*(1-INDEX('Borrowers'!$W$9:$W$108,MATCH(C20,'Borrowers'!$C$9:$C$108,0))*'Scenario Paths'!F39)*'Scenario Paths'!F9/1000000*(1-INDEX('Borrowers'!$T$9:$T$108,MATCH(C20,'Borrowers'!$C$9:$C$108,0))),"Unavailable"))</x:f>
        <x:v>0.043658999999999996</x:v>
      </x:c>
      <x:c r="J20" s="23" t="n">
        <x:f>IF(C20="","",IFERROR(INDEX('Borrowers'!$I$9:$I$108,MATCH(C20,'Borrowers'!$C$9:$C$108,0))*INDEX('Borrowers'!$S$9:$S$108,MATCH(C20,'Borrowers'!$C$9:$C$108,0))*'Scenario Paths'!F15*(1-INDEX('Borrowers'!$T$9:$T$108,MATCH(C20,'Borrowers'!$C$9:$C$108,0))),"Unavailable"))</x:f>
        <x:v>0.31167500000000004</x:v>
      </x:c>
      <x:c r="K20" s="23" t="n">
        <x:f>IF(C20="","",IFERROR(INDEX('Borrowers'!$I$9:$I$108,MATCH(C20,'Borrowers'!$C$9:$C$108,0))*INDEX('Borrowers'!$U$9:$U$108,MATCH(C20,'Borrowers'!$C$9:$C$108,0))*'Scenario Paths'!F21*S20,"Unavailable"))</x:f>
        <x:v>0.060183551999999994</x:v>
      </x:c>
      <x:c r="L20" s="23" t="n">
        <x:f>IF(C20="","",IFERROR(SUMPRODUCT((Sites!$D$9:$D$108=C20)*Sites!$H$9:$H$108*Sites!$J$9:$J$108*Sites!$K$9:$K$108*(1-Sites!$L$9:$L$108)*(1-Sites!$M$9:$M$108))*'Scenario Paths'!F27,"Unavailable"))</x:f>
        <x:v>0.038438400000000005</x:v>
      </x:c>
      <x:c r="M20" s="23" t="n">
        <x:f>IF(C20="","",IFERROR(INDEX('Borrowers'!$J$9:$J$108,MATCH(C20,'Borrowers'!$C$9:$C$108,0))+H20-SUM(I20:L20),"Unavailable"))</x:f>
        <x:v>27.141844048</x:v>
      </x:c>
      <x:c r="N20" s="23" t="n">
        <x:f>IF(C20="","",IFERROR(INDEX('Borrowers'!$I$9:$I$108,MATCH(C20,'Borrowers'!$C$9:$C$108,0))*'Scenario Paths'!F33,"Unavailable"))</x:f>
        <x:v>0.685</x:v>
      </x:c>
      <x:c r="O20" s="23" t="n">
        <x:f>IF(C20="","",IFERROR(M20-INDEX('Borrowers'!$K$9:$K$108,MATCH(C20,'Borrowers'!$C$9:$C$108,0))-N20,"Unavailable"))</x:f>
        <x:v>22.806844048000002</x:v>
      </x:c>
      <x:c r="P20" s="127" t="n">
        <x:f>IF(C20="","",IFERROR(O20/INDEX('Borrowers'!$L$9:$L$108,MATCH(C20,'Borrowers'!$C$9:$C$108,0)),"Unavailable"))</x:f>
        <x:v>2.7478125359036145</x:v>
      </x:c>
      <x:c r="Q20" s="30" t="n">
        <x:f>IF(C20="","",IFERROR(IF(INDEX('Borrowers'!$Z$9:$Z$108,MATCH(C20,'Borrowers'!$C$9:$C$108,0))="Yes",1,IF(INDEX('Borrowers'!$P$9:$P$108,MATCH(C20,'Borrowers'!$C$9:$C$108,0))=0,0,MIN(1,INDEX('Borrowers'!$P$9:$P$108,MATCH(C20,'Borrowers'!$C$9:$C$108,0))*EXP(MIN(20,INDEX('Borrowers'!$V$9:$V$108,MATCH(C20,'Borrowers'!$C$9:$C$108,0))*V20))))),"Unavailable"))</x:f>
        <x:v>0.04790504904710385</x:v>
      </x:c>
      <x:c r="R20" s="30" t="n">
        <x:f>IF(C20="","",IFERROR(MIN(1,INDEX('Borrowers'!$Q$9:$Q$108,MATCH(C20,'Borrowers'!$C$9:$C$108,0))+(1-INDEX('Borrowers'!$Q$9:$Q$108,MATCH(C20,'Borrowers'!$C$9:$C$108,0)))*T20),"Unavailable"))</x:f>
        <x:v>0.32056576000000003</x:v>
      </x:c>
      <x:c r="S20" s="30" t="n">
        <x:f>IF(C20="","",IFERROR(SUMPRODUCT((Sites!$D$9:$D$108=C20)*Sites!$I$9:$I$108*Sites!$J$9:$J$108*Sites!$K$9:$K$108*(1-Sites!$L$9:$L$108)),"Unavailable"))</x:f>
        <x:v>0.1664</x:v>
      </x:c>
      <x:c r="T20" s="30" t="n">
        <x:f>IF(C20="","",IFERROR(MIN(1,(SUMPRODUCT((Sites!$D$9:$D$108=C20)*Sites!$N$9:$N$108*Sites!$J$9:$J$108*Sites!$K$9:$K$108*(1-Sites!$L$9:$L$108)))*'Scenario Paths'!F27),"Unavailable"))</x:f>
        <x:v>0.000832</x:v>
      </x:c>
      <x:c r="U20" s="9" t="str">
        <x:f>IF(C20="","",IF(OR(INDEX('Borrowers'!$AA$9:$AA$108,MATCH(C20,'Borrowers'!$C$9:$C$108,0))&lt;&gt;"Ready",COUNTIF(Sites!$D$9:$D$108,C20)=0,COUNTIFS(Sites!$D$9:$D$108,C20,Sites!$Q$9:$Q$108,"&lt;&gt;Ready")&gt;0,'Scenario Paths'!$F$6&lt;&gt;"Ready"),"Review source inputs","Ready"))</x:f>
        <x:v>Ready</x:v>
      </x:c>
      <x:c r="V20" s="17" t="n">
        <x:f>IF(C20="","",IFERROR(MAX(-1,(G20-O20)/MAX(0.000001,G20)),"Unavailable"))</x:f>
        <x:v>0.08221955541247482</x:v>
      </x:c>
      <x:c r="W20" s="9" t="str">
        <x:f>IF(C20="","",IFERROR(INDEX('Borrowers'!$D$9:$D$108,MATCH(C20,'Borrowers'!$C$9:$C$108,0)),"Unavailable"))</x:f>
        <x:v>Demo Amman Healthcare</x:v>
      </x:c>
    </x:row>
    <x:row r="21" ht="26" customHeight="1">
      <x:c r="A21" s="1"/>
      <x:c r="B21" s="1"/>
      <x:c r="C21" s="9" t="str">
        <x:f>IF(Borrowers!C21="","",Borrowers!C21)</x:f>
        <x:v>B013</x:v>
      </x:c>
      <x:c r="D21" s="3" t="n">
        <x:v>1</x:v>
      </x:c>
      <x:c r="E21" s="9" t="n">
        <x:f>Settings!$F$18+0</x:f>
        <x:v>2027</x:v>
      </x:c>
      <x:c r="F21" s="9" t="str">
        <x:f>IF(C21="","",INDEX('Borrowers'!$F$9:$F$108,MATCH(C21,'Borrowers'!$C$9:$C$108,0)))</x:f>
        <x:v>Cement</x:v>
      </x:c>
      <x:c r="G21" s="23" t="n">
        <x:f>IF(C21="","",IFERROR(INDEX('Borrowers'!$J$9:$J$108,MATCH(C21,'Borrowers'!$C$9:$C$108,0))-INDEX('Borrowers'!$K$9:$K$108,MATCH(C21,'Borrowers'!$C$9:$C$108,0)),"Unavailable"))</x:f>
        <x:v>26.2</x:v>
      </x:c>
      <x:c r="H21" s="23" t="n">
        <x:f>IF(C21="","",IFERROR(INDEX('Borrowers'!$I$9:$I$108,MATCH(C21,'Borrowers'!$C$9:$C$108,0))*INDEX('Borrowers'!$U$9:$U$108,MATCH(C21,'Borrowers'!$C$9:$C$108,0))*(IF(F21="Transport",'Scenario Paths'!F156,IF(F21="Technology",'Scenario Paths'!F150,IF(F21="Utilities",'Scenario Paths'!F144,IF(F21="Agriculture",'Scenario Paths'!F138,IF(F21="Manufacturing",'Scenario Paths'!F132,IF(F21="Healthcare",'Scenario Paths'!F126,IF(F21="Hospitality",'Scenario Paths'!F120,IF(F21="Property",'Scenario Paths'!F114,IF(F21="Food",'Scenario Paths'!F108,IF(F21="Logistics",'Scenario Paths'!F102,IF(F21="Solar",'Scenario Paths'!F96,IF(F21="Cement",'Scenario Paths'!F90,0))))))))))))),"Unavailable"))</x:f>
        <x:v>-0.6911999999999999</x:v>
      </x:c>
      <x:c r="I21" s="23" t="n">
        <x:f>IF(C21="","",IFERROR(INDEX('Borrowers'!$R$9:$R$108,MATCH(C21,'Borrowers'!$C$9:$C$108,0))*(1-INDEX('Borrowers'!$W$9:$W$108,MATCH(C21,'Borrowers'!$C$9:$C$108,0))*'Scenario Paths'!F39)*'Scenario Paths'!F9/1000000*(1-INDEX('Borrowers'!$T$9:$T$108,MATCH(C21,'Borrowers'!$C$9:$C$108,0))),"Unavailable"))</x:f>
        <x:v>1.27413</x:v>
      </x:c>
      <x:c r="J21" s="23" t="n">
        <x:f>IF(C21="","",IFERROR(INDEX('Borrowers'!$I$9:$I$108,MATCH(C21,'Borrowers'!$C$9:$C$108,0))*INDEX('Borrowers'!$S$9:$S$108,MATCH(C21,'Borrowers'!$C$9:$C$108,0))*'Scenario Paths'!F15*(1-INDEX('Borrowers'!$T$9:$T$108,MATCH(C21,'Borrowers'!$C$9:$C$108,0))),"Unavailable"))</x:f>
        <x:v>1.0764000000000002</x:v>
      </x:c>
      <x:c r="K21" s="23" t="n">
        <x:f>IF(C21="","",IFERROR(INDEX('Borrowers'!$I$9:$I$108,MATCH(C21,'Borrowers'!$C$9:$C$108,0))*INDEX('Borrowers'!$U$9:$U$108,MATCH(C21,'Borrowers'!$C$9:$C$108,0))*'Scenario Paths'!F21*S21,"Unavailable"))</x:f>
        <x:v>0.034062336</x:v>
      </x:c>
      <x:c r="L21" s="23" t="n">
        <x:f>IF(C21="","",IFERROR(SUMPRODUCT((Sites!$D$9:$D$108=C21)*Sites!$H$9:$H$108*Sites!$J$9:$J$108*Sites!$K$9:$K$108*(1-Sites!$L$9:$L$108)*(1-Sites!$M$9:$M$108))*'Scenario Paths'!F27,"Unavailable"))</x:f>
        <x:v>0.0298144</x:v>
      </x:c>
      <x:c r="M21" s="23" t="n">
        <x:f>IF(C21="","",IFERROR(INDEX('Borrowers'!$J$9:$J$108,MATCH(C21,'Borrowers'!$C$9:$C$108,0))+H21-SUM(I21:L21),"Unavailable"))</x:f>
        <x:v>26.894393264</x:v>
      </x:c>
      <x:c r="N21" s="23" t="n">
        <x:f>IF(C21="","",IFERROR(INDEX('Borrowers'!$I$9:$I$108,MATCH(C21,'Borrowers'!$C$9:$C$108,0))*'Scenario Paths'!F33,"Unavailable"))</x:f>
        <x:v>0.72</x:v>
      </x:c>
      <x:c r="O21" s="23" t="n">
        <x:f>IF(C21="","",IFERROR(M21-INDEX('Borrowers'!$K$9:$K$108,MATCH(C21,'Borrowers'!$C$9:$C$108,0))-N21,"Unavailable"))</x:f>
        <x:v>22.374393264000002</x:v>
      </x:c>
      <x:c r="P21" s="127" t="n">
        <x:f>IF(C21="","",IFERROR(O21/INDEX('Borrowers'!$L$9:$L$108,MATCH(C21,'Borrowers'!$C$9:$C$108,0)),"Unavailable"))</x:f>
        <x:v>2.6016736353488374</x:v>
      </x:c>
      <x:c r="Q21" s="30" t="n">
        <x:f>IF(C21="","",IFERROR(IF(INDEX('Borrowers'!$Z$9:$Z$108,MATCH(C21,'Borrowers'!$C$9:$C$108,0))="Yes",1,IF(INDEX('Borrowers'!$P$9:$P$108,MATCH(C21,'Borrowers'!$C$9:$C$108,0))=0,0,MIN(1,INDEX('Borrowers'!$P$9:$P$108,MATCH(C21,'Borrowers'!$C$9:$C$108,0))*EXP(MIN(20,INDEX('Borrowers'!$V$9:$V$108,MATCH(C21,'Borrowers'!$C$9:$C$108,0))*V21))))),"Unavailable"))</x:f>
        <x:v>0.015158046129469634</x:v>
      </x:c>
      <x:c r="R21" s="30" t="n">
        <x:f>IF(C21="","",IFERROR(MIN(1,INDEX('Borrowers'!$Q$9:$Q$108,MATCH(C21,'Borrowers'!$C$9:$C$108,0))+(1-INDEX('Borrowers'!$Q$9:$Q$108,MATCH(C21,'Borrowers'!$C$9:$C$108,0)))*T21),"Unavailable"))</x:f>
        <x:v>0.36039424000000003</x:v>
      </x:c>
      <x:c r="S21" s="30" t="n">
        <x:f>IF(C21="","",IFERROR(SUMPRODUCT((Sites!$D$9:$D$108=C21)*Sites!$I$9:$I$108*Sites!$J$9:$J$108*Sites!$K$9:$K$108*(1-Sites!$L$9:$L$108)),"Unavailable"))</x:f>
        <x:v>0.1232</x:v>
      </x:c>
      <x:c r="T21" s="30" t="n">
        <x:f>IF(C21="","",IFERROR(MIN(1,(SUMPRODUCT((Sites!$D$9:$D$108=C21)*Sites!$N$9:$N$108*Sites!$J$9:$J$108*Sites!$K$9:$K$108*(1-Sites!$L$9:$L$108)))*'Scenario Paths'!F27),"Unavailable"))</x:f>
        <x:v>0.000616</x:v>
      </x:c>
      <x:c r="U21" s="9" t="str">
        <x:f>IF(C21="","",IF(OR(INDEX('Borrowers'!$AA$9:$AA$108,MATCH(C21,'Borrowers'!$C$9:$C$108,0))&lt;&gt;"Ready",COUNTIF(Sites!$D$9:$D$108,C21)=0,COUNTIFS(Sites!$D$9:$D$108,C21,Sites!$Q$9:$Q$108,"&lt;&gt;Ready")&gt;0,'Scenario Paths'!$F$6&lt;&gt;"Ready"),"Review source inputs","Ready"))</x:f>
        <x:v>Ready</x:v>
      </x:c>
      <x:c r="V21" s="17" t="n">
        <x:f>IF(C21="","",IFERROR(MAX(-1,(G21-O21)/MAX(0.000001,G21)),"Unavailable"))</x:f>
        <x:v>0.14601552427480907</x:v>
      </x:c>
      <x:c r="W21" s="9" t="str">
        <x:f>IF(C21="","",IFERROR(INDEX('Borrowers'!$D$9:$D$108,MATCH(C21,'Borrowers'!$C$9:$C$108,0)),"Unavailable"))</x:f>
        <x:v>Demo Emirates Materials</x:v>
      </x:c>
    </x:row>
    <x:row r="22" ht="26" customHeight="1">
      <x:c r="A22" s="1"/>
      <x:c r="B22" s="1"/>
      <x:c r="C22" s="9" t="str">
        <x:f>IF(Borrowers!C22="","",Borrowers!C22)</x:f>
        <x:v>B014</x:v>
      </x:c>
      <x:c r="D22" s="3" t="n">
        <x:v>1</x:v>
      </x:c>
      <x:c r="E22" s="9" t="n">
        <x:f>Settings!$F$18+0</x:f>
        <x:v>2027</x:v>
      </x:c>
      <x:c r="F22" s="9" t="str">
        <x:f>IF(C22="","",INDEX('Borrowers'!$F$9:$F$108,MATCH(C22,'Borrowers'!$C$9:$C$108,0)))</x:f>
        <x:v>Solar</x:v>
      </x:c>
      <x:c r="G22" s="23" t="n">
        <x:f>IF(C22="","",IFERROR(INDEX('Borrowers'!$J$9:$J$108,MATCH(C22,'Borrowers'!$C$9:$C$108,0))-INDEX('Borrowers'!$K$9:$K$108,MATCH(C22,'Borrowers'!$C$9:$C$108,0)),"Unavailable"))</x:f>
        <x:v>27.55</x:v>
      </x:c>
      <x:c r="H22" s="23" t="n">
        <x:f>IF(C22="","",IFERROR(INDEX('Borrowers'!$I$9:$I$108,MATCH(C22,'Borrowers'!$C$9:$C$108,0))*INDEX('Borrowers'!$U$9:$U$108,MATCH(C22,'Borrowers'!$C$9:$C$108,0))*(IF(F22="Transport",'Scenario Paths'!F156,IF(F22="Technology",'Scenario Paths'!F150,IF(F22="Utilities",'Scenario Paths'!F144,IF(F22="Agriculture",'Scenario Paths'!F138,IF(F22="Manufacturing",'Scenario Paths'!F132,IF(F22="Healthcare",'Scenario Paths'!F126,IF(F22="Hospitality",'Scenario Paths'!F120,IF(F22="Property",'Scenario Paths'!F114,IF(F22="Food",'Scenario Paths'!F108,IF(F22="Logistics",'Scenario Paths'!F102,IF(F22="Solar",'Scenario Paths'!F96,IF(F22="Cement",'Scenario Paths'!F90,0))))))))))))),"Unavailable"))</x:f>
        <x:v>0.8607</x:v>
      </x:c>
      <x:c r="I22" s="23" t="n">
        <x:f>IF(C22="","",IFERROR(INDEX('Borrowers'!$R$9:$R$108,MATCH(C22,'Borrowers'!$C$9:$C$108,0))*(1-INDEX('Borrowers'!$W$9:$W$108,MATCH(C22,'Borrowers'!$C$9:$C$108,0))*'Scenario Paths'!F39)*'Scenario Paths'!F9/1000000*(1-INDEX('Borrowers'!$T$9:$T$108,MATCH(C22,'Borrowers'!$C$9:$C$108,0))),"Unavailable"))</x:f>
        <x:v>0.0016335000000000002</x:v>
      </x:c>
      <x:c r="J22" s="23" t="n">
        <x:f>IF(C22="","",IFERROR(INDEX('Borrowers'!$I$9:$I$108,MATCH(C22,'Borrowers'!$C$9:$C$108,0))*INDEX('Borrowers'!$S$9:$S$108,MATCH(C22,'Borrowers'!$C$9:$C$108,0))*'Scenario Paths'!F15*(1-INDEX('Borrowers'!$T$9:$T$108,MATCH(C22,'Borrowers'!$C$9:$C$108,0))),"Unavailable"))</x:f>
        <x:v>0.3737250000000001</x:v>
      </x:c>
      <x:c r="K22" s="23" t="n">
        <x:f>IF(C22="","",IFERROR(INDEX('Borrowers'!$I$9:$I$108,MATCH(C22,'Borrowers'!$C$9:$C$108,0))*INDEX('Borrowers'!$U$9:$U$108,MATCH(C22,'Borrowers'!$C$9:$C$108,0))*'Scenario Paths'!F21*S22,"Unavailable"))</x:f>
        <x:v>0.07711872000000002</x:v>
      </x:c>
      <x:c r="L22" s="23" t="n">
        <x:f>IF(C22="","",IFERROR(SUMPRODUCT((Sites!$D$9:$D$108=C22)*Sites!$H$9:$H$108*Sites!$J$9:$J$108*Sites!$K$9:$K$108*(1-Sites!$L$9:$L$108)*(1-Sites!$M$9:$M$108))*'Scenario Paths'!F27,"Unavailable"))</x:f>
        <x:v>0.05667200000000002</x:v>
      </x:c>
      <x:c r="M22" s="23" t="n">
        <x:f>IF(C22="","",IFERROR(INDEX('Borrowers'!$J$9:$J$108,MATCH(C22,'Borrowers'!$C$9:$C$108,0))+H22-SUM(I22:L22),"Unavailable"))</x:f>
        <x:v>31.85155078</x:v>
      </x:c>
      <x:c r="N22" s="23" t="n">
        <x:f>IF(C22="","",IFERROR(INDEX('Borrowers'!$I$9:$I$108,MATCH(C22,'Borrowers'!$C$9:$C$108,0))*'Scenario Paths'!F33,"Unavailable"))</x:f>
        <x:v>0.755</x:v>
      </x:c>
      <x:c r="O22" s="23" t="n">
        <x:f>IF(C22="","",IFERROR(M22-INDEX('Borrowers'!$K$9:$K$108,MATCH(C22,'Borrowers'!$C$9:$C$108,0))-N22,"Unavailable"))</x:f>
        <x:v>27.146550780000002</x:v>
      </x:c>
      <x:c r="P22" s="127" t="n">
        <x:f>IF(C22="","",IFERROR(O22/INDEX('Borrowers'!$L$9:$L$108,MATCH(C22,'Borrowers'!$C$9:$C$108,0)),"Unavailable"))</x:f>
        <x:v>3.0501742449438205</x:v>
      </x:c>
      <x:c r="Q22" s="30" t="n">
        <x:f>IF(C22="","",IFERROR(IF(INDEX('Borrowers'!$Z$9:$Z$108,MATCH(C22,'Borrowers'!$C$9:$C$108,0))="Yes",1,IF(INDEX('Borrowers'!$P$9:$P$108,MATCH(C22,'Borrowers'!$C$9:$C$108,0))=0,0,MIN(1,INDEX('Borrowers'!$P$9:$P$108,MATCH(C22,'Borrowers'!$C$9:$C$108,0))*EXP(MIN(20,INDEX('Borrowers'!$V$9:$V$108,MATCH(C22,'Borrowers'!$C$9:$C$108,0))*V22))))),"Unavailable"))</x:f>
        <x:v>0.018426734381105012</x:v>
      </x:c>
      <x:c r="R22" s="30" t="n">
        <x:f>IF(C22="","",IFERROR(MIN(1,INDEX('Borrowers'!$Q$9:$Q$108,MATCH(C22,'Borrowers'!$C$9:$C$108,0))+(1-INDEX('Borrowers'!$Q$9:$Q$108,MATCH(C22,'Borrowers'!$C$9:$C$108,0)))*T22),"Unavailable"))</x:f>
        <x:v>0.40067200000000003</x:v>
      </x:c>
      <x:c r="S22" s="30" t="n">
        <x:f>IF(C22="","",IFERROR(SUMPRODUCT((Sites!$D$9:$D$108=C22)*Sites!$I$9:$I$108*Sites!$J$9:$J$108*Sites!$K$9:$K$108*(1-Sites!$L$9:$L$108)),"Unavailable"))</x:f>
        <x:v>0.22400000000000003</x:v>
      </x:c>
      <x:c r="T22" s="30" t="n">
        <x:f>IF(C22="","",IFERROR(MIN(1,(SUMPRODUCT((Sites!$D$9:$D$108=C22)*Sites!$N$9:$N$108*Sites!$J$9:$J$108*Sites!$K$9:$K$108*(1-Sites!$L$9:$L$108)))*'Scenario Paths'!F27),"Unavailable"))</x:f>
        <x:v>0.0011200000000000001</x:v>
      </x:c>
      <x:c r="U22" s="9" t="str">
        <x:f>IF(C22="","",IF(OR(INDEX('Borrowers'!$AA$9:$AA$108,MATCH(C22,'Borrowers'!$C$9:$C$108,0))&lt;&gt;"Ready",COUNTIF(Sites!$D$9:$D$108,C22)=0,COUNTIFS(Sites!$D$9:$D$108,C22,Sites!$Q$9:$Q$108,"&lt;&gt;Ready")&gt;0,'Scenario Paths'!$F$6&lt;&gt;"Ready"),"Review source inputs","Ready"))</x:f>
        <x:v>Ready</x:v>
      </x:c>
      <x:c r="V22" s="17" t="n">
        <x:f>IF(C22="","",IFERROR(MAX(-1,(G22-O22)/MAX(0.000001,G22)),"Unavailable"))</x:f>
        <x:v>0.014644254809437344</x:v>
      </x:c>
      <x:c r="W22" s="9" t="str">
        <x:f>IF(C22="","",IFERROR(INDEX('Borrowers'!$D$9:$D$108,MATCH(C22,'Borrowers'!$C$9:$C$108,0)),"Unavailable"))</x:f>
        <x:v>Demo Desert Solar</x:v>
      </x:c>
    </x:row>
    <x:row r="23" ht="26" customHeight="1">
      <x:c r="A23" s="1"/>
      <x:c r="B23" s="1"/>
      <x:c r="C23" s="9" t="str">
        <x:f>IF(Borrowers!C23="","",Borrowers!C23)</x:f>
        <x:v>B015</x:v>
      </x:c>
      <x:c r="D23" s="3" t="n">
        <x:v>1</x:v>
      </x:c>
      <x:c r="E23" s="9" t="n">
        <x:f>Settings!$F$18+0</x:f>
        <x:v>2027</x:v>
      </x:c>
      <x:c r="F23" s="9" t="str">
        <x:f>IF(C23="","",INDEX('Borrowers'!$F$9:$F$108,MATCH(C23,'Borrowers'!$C$9:$C$108,0)))</x:f>
        <x:v>Logistics</x:v>
      </x:c>
      <x:c r="G23" s="23" t="n">
        <x:f>IF(C23="","",IFERROR(INDEX('Borrowers'!$J$9:$J$108,MATCH(C23,'Borrowers'!$C$9:$C$108,0))-INDEX('Borrowers'!$K$9:$K$108,MATCH(C23,'Borrowers'!$C$9:$C$108,0)),"Unavailable"))</x:f>
        <x:v>28.9</x:v>
      </x:c>
      <x:c r="H23" s="23" t="n">
        <x:f>IF(C23="","",IFERROR(INDEX('Borrowers'!$I$9:$I$108,MATCH(C23,'Borrowers'!$C$9:$C$108,0))*INDEX('Borrowers'!$U$9:$U$108,MATCH(C23,'Borrowers'!$C$9:$C$108,0))*(IF(F23="Transport",'Scenario Paths'!F156,IF(F23="Technology",'Scenario Paths'!F150,IF(F23="Utilities",'Scenario Paths'!F144,IF(F23="Agriculture",'Scenario Paths'!F138,IF(F23="Manufacturing",'Scenario Paths'!F132,IF(F23="Healthcare",'Scenario Paths'!F126,IF(F23="Hospitality",'Scenario Paths'!F120,IF(F23="Property",'Scenario Paths'!F114,IF(F23="Food",'Scenario Paths'!F108,IF(F23="Logistics",'Scenario Paths'!F102,IF(F23="Solar",'Scenario Paths'!F96,IF(F23="Cement",'Scenario Paths'!F90,0))))))))))))),"Unavailable"))</x:f>
        <x:v>-1.0428</x:v>
      </x:c>
      <x:c r="I23" s="23" t="n">
        <x:f>IF(C23="","",IFERROR(INDEX('Borrowers'!$R$9:$R$108,MATCH(C23,'Borrowers'!$C$9:$C$108,0))*(1-INDEX('Borrowers'!$W$9:$W$108,MATCH(C23,'Borrowers'!$C$9:$C$108,0))*'Scenario Paths'!F39)*'Scenario Paths'!F9/1000000*(1-INDEX('Borrowers'!$T$9:$T$108,MATCH(C23,'Borrowers'!$C$9:$C$108,0))),"Unavailable"))</x:f>
        <x:v>0.06415199999999999</x:v>
      </x:c>
      <x:c r="J23" s="23" t="n">
        <x:f>IF(C23="","",IFERROR(INDEX('Borrowers'!$I$9:$I$108,MATCH(C23,'Borrowers'!$C$9:$C$108,0))*INDEX('Borrowers'!$S$9:$S$108,MATCH(C23,'Borrowers'!$C$9:$C$108,0))*'Scenario Paths'!F15*(1-INDEX('Borrowers'!$T$9:$T$108,MATCH(C23,'Borrowers'!$C$9:$C$108,0))),"Unavailable"))</x:f>
        <x:v>0.39105000000000006</x:v>
      </x:c>
      <x:c r="K23" s="23" t="n">
        <x:f>IF(C23="","",IFERROR(INDEX('Borrowers'!$I$9:$I$108,MATCH(C23,'Borrowers'!$C$9:$C$108,0))*INDEX('Borrowers'!$U$9:$U$108,MATCH(C23,'Borrowers'!$C$9:$C$108,0))*'Scenario Paths'!F21*S23,"Unavailable"))</x:f>
        <x:v>0.14749363199999996</x:v>
      </x:c>
      <x:c r="L23" s="23" t="n">
        <x:f>IF(C23="","",IFERROR(SUMPRODUCT((Sites!$D$9:$D$108=C23)*Sites!$H$9:$H$108*Sites!$J$9:$J$108*Sites!$K$9:$K$108*(1-Sites!$L$9:$L$108)*(1-Sites!$M$9:$M$108))*'Scenario Paths'!F27,"Unavailable"))</x:f>
        <x:v>0.09335040000000001</x:v>
      </x:c>
      <x:c r="M23" s="23" t="n">
        <x:f>IF(C23="","",IFERROR(INDEX('Borrowers'!$J$9:$J$108,MATCH(C23,'Borrowers'!$C$9:$C$108,0))+H23-SUM(I23:L23),"Unavailable"))</x:f>
        <x:v>31.261153968</x:v>
      </x:c>
      <x:c r="N23" s="23" t="n">
        <x:f>IF(C23="","",IFERROR(INDEX('Borrowers'!$I$9:$I$108,MATCH(C23,'Borrowers'!$C$9:$C$108,0))*'Scenario Paths'!F33,"Unavailable"))</x:f>
        <x:v>0.79</x:v>
      </x:c>
      <x:c r="O23" s="23" t="n">
        <x:f>IF(C23="","",IFERROR(M23-INDEX('Borrowers'!$K$9:$K$108,MATCH(C23,'Borrowers'!$C$9:$C$108,0))-N23,"Unavailable"))</x:f>
        <x:v>26.371153968</x:v>
      </x:c>
      <x:c r="P23" s="127" t="n">
        <x:f>IF(C23="","",IFERROR(O23/INDEX('Borrowers'!$L$9:$L$108,MATCH(C23,'Borrowers'!$C$9:$C$108,0)),"Unavailable"))</x:f>
        <x:v>2.866429779130435</x:v>
      </x:c>
      <x:c r="Q23" s="30" t="n">
        <x:f>IF(C23="","",IFERROR(IF(INDEX('Borrowers'!$Z$9:$Z$108,MATCH(C23,'Borrowers'!$C$9:$C$108,0))="Yes",1,IF(INDEX('Borrowers'!$P$9:$P$108,MATCH(C23,'Borrowers'!$C$9:$C$108,0))=0,0,MIN(1,INDEX('Borrowers'!$P$9:$P$108,MATCH(C23,'Borrowers'!$C$9:$C$108,0))*EXP(MIN(20,INDEX('Borrowers'!$V$9:$V$108,MATCH(C23,'Borrowers'!$C$9:$C$108,0))*V23))))),"Unavailable"))</x:f>
        <x:v>0.02760671794745458</x:v>
      </x:c>
      <x:c r="R23" s="30" t="n">
        <x:f>IF(C23="","",IFERROR(MIN(1,INDEX('Borrowers'!$Q$9:$Q$108,MATCH(C23,'Borrowers'!$C$9:$C$108,0))+(1-INDEX('Borrowers'!$Q$9:$Q$108,MATCH(C23,'Borrowers'!$C$9:$C$108,0)))*T23),"Unavailable"))</x:f>
        <x:v>0.44099008000000006</x:v>
      </x:c>
      <x:c r="S23" s="30" t="n">
        <x:f>IF(C23="","",IFERROR(SUMPRODUCT((Sites!$D$9:$D$108=C23)*Sites!$I$9:$I$108*Sites!$J$9:$J$108*Sites!$K$9:$K$108*(1-Sites!$L$9:$L$108)),"Unavailable"))</x:f>
        <x:v>0.3535999999999999</x:v>
      </x:c>
      <x:c r="T23" s="30" t="n">
        <x:f>IF(C23="","",IFERROR(MIN(1,(SUMPRODUCT((Sites!$D$9:$D$108=C23)*Sites!$N$9:$N$108*Sites!$J$9:$J$108*Sites!$K$9:$K$108*(1-Sites!$L$9:$L$108)))*'Scenario Paths'!F27),"Unavailable"))</x:f>
        <x:v>0.0017679999999999996</x:v>
      </x:c>
      <x:c r="U23" s="9" t="str">
        <x:f>IF(C23="","",IF(OR(INDEX('Borrowers'!$AA$9:$AA$108,MATCH(C23,'Borrowers'!$C$9:$C$108,0))&lt;&gt;"Ready",COUNTIF(Sites!$D$9:$D$108,C23)=0,COUNTIFS(Sites!$D$9:$D$108,C23,Sites!$Q$9:$Q$108,"&lt;&gt;Ready")&gt;0,'Scenario Paths'!$F$6&lt;&gt;"Ready"),"Review source inputs","Ready"))</x:f>
        <x:v>Ready</x:v>
      </x:c>
      <x:c r="V23" s="17" t="n">
        <x:f>IF(C23="","",IFERROR(MAX(-1,(G23-O23)/MAX(0.000001,G23)),"Unavailable"))</x:f>
        <x:v>0.0875033229065743</x:v>
      </x:c>
      <x:c r="W23" s="9" t="str">
        <x:f>IF(C23="","",IFERROR(INDEX('Borrowers'!$D$9:$D$108,MATCH(C23,'Borrowers'!$C$9:$C$108,0)),"Unavailable"))</x:f>
        <x:v>Demo Gulf Logistics</x:v>
      </x:c>
    </x:row>
    <x:row r="24" ht="26" customHeight="1">
      <x:c r="A24" s="1"/>
      <x:c r="B24" s="1"/>
      <x:c r="C24" s="9" t="str">
        <x:f>IF(Borrowers!C24="","",Borrowers!C24)</x:f>
        <x:v>B016</x:v>
      </x:c>
      <x:c r="D24" s="3" t="n">
        <x:v>1</x:v>
      </x:c>
      <x:c r="E24" s="9" t="n">
        <x:f>Settings!$F$18+0</x:f>
        <x:v>2027</x:v>
      </x:c>
      <x:c r="F24" s="9" t="str">
        <x:f>IF(C24="","",INDEX('Borrowers'!$F$9:$F$108,MATCH(C24,'Borrowers'!$C$9:$C$108,0)))</x:f>
        <x:v>Food</x:v>
      </x:c>
      <x:c r="G24" s="23" t="n">
        <x:f>IF(C24="","",IFERROR(INDEX('Borrowers'!$J$9:$J$108,MATCH(C24,'Borrowers'!$C$9:$C$108,0))-INDEX('Borrowers'!$K$9:$K$108,MATCH(C24,'Borrowers'!$C$9:$C$108,0)),"Unavailable"))</x:f>
        <x:v>30.25</x:v>
      </x:c>
      <x:c r="H24" s="23" t="n">
        <x:f>IF(C24="","",IFERROR(INDEX('Borrowers'!$I$9:$I$108,MATCH(C24,'Borrowers'!$C$9:$C$108,0))*INDEX('Borrowers'!$U$9:$U$108,MATCH(C24,'Borrowers'!$C$9:$C$108,0))*(IF(F24="Transport",'Scenario Paths'!F156,IF(F24="Technology",'Scenario Paths'!F150,IF(F24="Utilities",'Scenario Paths'!F144,IF(F24="Agriculture",'Scenario Paths'!F138,IF(F24="Manufacturing",'Scenario Paths'!F132,IF(F24="Healthcare",'Scenario Paths'!F126,IF(F24="Hospitality",'Scenario Paths'!F120,IF(F24="Property",'Scenario Paths'!F114,IF(F24="Food",'Scenario Paths'!F108,IF(F24="Logistics",'Scenario Paths'!F102,IF(F24="Solar",'Scenario Paths'!F96,IF(F24="Cement",'Scenario Paths'!F90,0))))))))))))),"Unavailable"))</x:f>
        <x:v>-0.792</x:v>
      </x:c>
      <x:c r="I24" s="23" t="n">
        <x:f>IF(C24="","",IFERROR(INDEX('Borrowers'!$R$9:$R$108,MATCH(C24,'Borrowers'!$C$9:$C$108,0))*(1-INDEX('Borrowers'!$W$9:$W$108,MATCH(C24,'Borrowers'!$C$9:$C$108,0))*'Scenario Paths'!F39)*'Scenario Paths'!F9/1000000*(1-INDEX('Borrowers'!$T$9:$T$108,MATCH(C24,'Borrowers'!$C$9:$C$108,0))),"Unavailable"))</x:f>
        <x:v>0.05197499999999999</x:v>
      </x:c>
      <x:c r="J24" s="23" t="n">
        <x:f>IF(C24="","",IFERROR(INDEX('Borrowers'!$I$9:$I$108,MATCH(C24,'Borrowers'!$C$9:$C$108,0))*INDEX('Borrowers'!$S$9:$S$108,MATCH(C24,'Borrowers'!$C$9:$C$108,0))*'Scenario Paths'!F15*(1-INDEX('Borrowers'!$T$9:$T$108,MATCH(C24,'Borrowers'!$C$9:$C$108,0))),"Unavailable"))</x:f>
        <x:v>0.37537499999999996</x:v>
      </x:c>
      <x:c r="K24" s="23" t="n">
        <x:f>IF(C24="","",IFERROR(INDEX('Borrowers'!$I$9:$I$108,MATCH(C24,'Borrowers'!$C$9:$C$108,0))*INDEX('Borrowers'!$U$9:$U$108,MATCH(C24,'Borrowers'!$C$9:$C$108,0))*'Scenario Paths'!F21*S24,"Unavailable"))</x:f>
        <x:v>0.0177408</x:v>
      </x:c>
      <x:c r="L24" s="23" t="n">
        <x:f>IF(C24="","",IFERROR(SUMPRODUCT((Sites!$D$9:$D$108=C24)*Sites!$H$9:$H$108*Sites!$J$9:$J$108*Sites!$K$9:$K$108*(1-Sites!$L$9:$L$108)*(1-Sites!$M$9:$M$108))*'Scenario Paths'!F27,"Unavailable"))</x:f>
        <x:v>0.015400000000000002</x:v>
      </x:c>
      <x:c r="M24" s="23" t="n">
        <x:f>IF(C24="","",IFERROR(INDEX('Borrowers'!$J$9:$J$108,MATCH(C24,'Borrowers'!$C$9:$C$108,0))+H24-SUM(I24:L24),"Unavailable"))</x:f>
        <x:v>33.247509199999996</x:v>
      </x:c>
      <x:c r="N24" s="23" t="n">
        <x:f>IF(C24="","",IFERROR(INDEX('Borrowers'!$I$9:$I$108,MATCH(C24,'Borrowers'!$C$9:$C$108,0))*'Scenario Paths'!F33,"Unavailable"))</x:f>
        <x:v>0.8250000000000001</x:v>
      </x:c>
      <x:c r="O24" s="23" t="n">
        <x:f>IF(C24="","",IFERROR(M24-INDEX('Borrowers'!$K$9:$K$108,MATCH(C24,'Borrowers'!$C$9:$C$108,0))-N24,"Unavailable"))</x:f>
        <x:v>28.172509199999997</x:v>
      </x:c>
      <x:c r="P24" s="127" t="n">
        <x:f>IF(C24="","",IFERROR(O24/INDEX('Borrowers'!$L$9:$L$108,MATCH(C24,'Borrowers'!$C$9:$C$108,0)),"Unavailable"))</x:f>
        <x:v>2.965527284210526</x:v>
      </x:c>
      <x:c r="Q24" s="30" t="n">
        <x:f>IF(C24="","",IFERROR(IF(INDEX('Borrowers'!$Z$9:$Z$108,MATCH(C24,'Borrowers'!$C$9:$C$108,0))="Yes",1,IF(INDEX('Borrowers'!$P$9:$P$108,MATCH(C24,'Borrowers'!$C$9:$C$108,0))=0,0,MIN(1,INDEX('Borrowers'!$P$9:$P$108,MATCH(C24,'Borrowers'!$C$9:$C$108,0))*EXP(MIN(20,INDEX('Borrowers'!$V$9:$V$108,MATCH(C24,'Borrowers'!$C$9:$C$108,0))*V24))))),"Unavailable"))</x:f>
        <x:v>0.03348445135977586</x:v>
      </x:c>
      <x:c r="R24" s="30" t="n">
        <x:f>IF(C24="","",IFERROR(MIN(1,INDEX('Borrowers'!$Q$9:$Q$108,MATCH(C24,'Borrowers'!$C$9:$C$108,0))+(1-INDEX('Borrowers'!$Q$9:$Q$108,MATCH(C24,'Borrowers'!$C$9:$C$108,0)))*T24),"Unavailable"))</x:f>
        <x:v>0.28020160000000005</x:v>
      </x:c>
      <x:c r="S24" s="30" t="n">
        <x:f>IF(C24="","",IFERROR(SUMPRODUCT((Sites!$D$9:$D$108=C24)*Sites!$I$9:$I$108*Sites!$J$9:$J$108*Sites!$K$9:$K$108*(1-Sites!$L$9:$L$108)),"Unavailable"))</x:f>
        <x:v>0.056</x:v>
      </x:c>
      <x:c r="T24" s="30" t="n">
        <x:f>IF(C24="","",IFERROR(MIN(1,(SUMPRODUCT((Sites!$D$9:$D$108=C24)*Sites!$N$9:$N$108*Sites!$J$9:$J$108*Sites!$K$9:$K$108*(1-Sites!$L$9:$L$108)))*'Scenario Paths'!F27),"Unavailable"))</x:f>
        <x:v>0.00028000000000000003</x:v>
      </x:c>
      <x:c r="U24" s="9" t="str">
        <x:f>IF(C24="","",IF(OR(INDEX('Borrowers'!$AA$9:$AA$108,MATCH(C24,'Borrowers'!$C$9:$C$108,0))&lt;&gt;"Ready",COUNTIF(Sites!$D$9:$D$108,C24)=0,COUNTIFS(Sites!$D$9:$D$108,C24,Sites!$Q$9:$Q$108,"&lt;&gt;Ready")&gt;0,'Scenario Paths'!$F$6&lt;&gt;"Ready"),"Review source inputs","Ready"))</x:f>
        <x:v>Ready</x:v>
      </x:c>
      <x:c r="V24" s="17" t="n">
        <x:f>IF(C24="","",IFERROR(MAX(-1,(G24-O24)/MAX(0.000001,G24)),"Unavailable"))</x:f>
        <x:v>0.06867738181818192</x:v>
      </x:c>
      <x:c r="W24" s="9" t="str">
        <x:f>IF(C24="","",IFERROR(INDEX('Borrowers'!$D$9:$D$108,MATCH(C24,'Borrowers'!$C$9:$C$108,0)),"Unavailable"))</x:f>
        <x:v>Demo Emirates Foods</x:v>
      </x:c>
    </x:row>
    <x:row r="25" ht="26" customHeight="1">
      <x:c r="A25" s="1"/>
      <x:c r="B25" s="1"/>
      <x:c r="C25" s="9" t="str">
        <x:f>IF(Borrowers!C25="","",Borrowers!C25)</x:f>
        <x:v>B017</x:v>
      </x:c>
      <x:c r="D25" s="3" t="n">
        <x:v>1</x:v>
      </x:c>
      <x:c r="E25" s="9" t="n">
        <x:f>Settings!$F$18+0</x:f>
        <x:v>2027</x:v>
      </x:c>
      <x:c r="F25" s="9" t="str">
        <x:f>IF(C25="","",INDEX('Borrowers'!$F$9:$F$108,MATCH(C25,'Borrowers'!$C$9:$C$108,0)))</x:f>
        <x:v>Property</x:v>
      </x:c>
      <x:c r="G25" s="23" t="n">
        <x:f>IF(C25="","",IFERROR(INDEX('Borrowers'!$J$9:$J$108,MATCH(C25,'Borrowers'!$C$9:$C$108,0))-INDEX('Borrowers'!$K$9:$K$108,MATCH(C25,'Borrowers'!$C$9:$C$108,0)),"Unavailable"))</x:f>
        <x:v>31.6</x:v>
      </x:c>
      <x:c r="H25" s="23" t="n">
        <x:f>IF(C25="","",IFERROR(INDEX('Borrowers'!$I$9:$I$108,MATCH(C25,'Borrowers'!$C$9:$C$108,0))*INDEX('Borrowers'!$U$9:$U$108,MATCH(C25,'Borrowers'!$C$9:$C$108,0))*(IF(F25="Transport",'Scenario Paths'!F156,IF(F25="Technology",'Scenario Paths'!F150,IF(F25="Utilities",'Scenario Paths'!F144,IF(F25="Agriculture",'Scenario Paths'!F138,IF(F25="Manufacturing",'Scenario Paths'!F132,IF(F25="Healthcare",'Scenario Paths'!F126,IF(F25="Hospitality",'Scenario Paths'!F120,IF(F25="Property",'Scenario Paths'!F114,IF(F25="Food",'Scenario Paths'!F108,IF(F25="Logistics",'Scenario Paths'!F102,IF(F25="Solar",'Scenario Paths'!F96,IF(F25="Cement",'Scenario Paths'!F90,0))))))))))))),"Unavailable"))</x:f>
        <x:v>-0.9803999999999999</x:v>
      </x:c>
      <x:c r="I25" s="23" t="n">
        <x:f>IF(C25="","",IFERROR(INDEX('Borrowers'!$R$9:$R$108,MATCH(C25,'Borrowers'!$C$9:$C$108,0))*(1-INDEX('Borrowers'!$W$9:$W$108,MATCH(C25,'Borrowers'!$C$9:$C$108,0))*'Scenario Paths'!F39)*'Scenario Paths'!F9/1000000*(1-INDEX('Borrowers'!$T$9:$T$108,MATCH(C25,'Borrowers'!$C$9:$C$108,0))),"Unavailable"))</x:f>
        <x:v>0.100386</x:v>
      </x:c>
      <x:c r="J25" s="23" t="n">
        <x:f>IF(C25="","",IFERROR(INDEX('Borrowers'!$I$9:$I$108,MATCH(C25,'Borrowers'!$C$9:$C$108,0))*INDEX('Borrowers'!$S$9:$S$108,MATCH(C25,'Borrowers'!$C$9:$C$108,0))*'Scenario Paths'!F15*(1-INDEX('Borrowers'!$T$9:$T$108,MATCH(C25,'Borrowers'!$C$9:$C$108,0))),"Unavailable"))</x:f>
        <x:v>0.3913000000000001</x:v>
      </x:c>
      <x:c r="K25" s="23" t="n">
        <x:f>IF(C25="","",IFERROR(INDEX('Borrowers'!$I$9:$I$108,MATCH(C25,'Borrowers'!$C$9:$C$108,0))*INDEX('Borrowers'!$U$9:$U$108,MATCH(C25,'Borrowers'!$C$9:$C$108,0))*'Scenario Paths'!F21*S25,"Unavailable"))</x:f>
        <x:v>0.05019648</x:v>
      </x:c>
      <x:c r="L25" s="23" t="n">
        <x:f>IF(C25="","",IFERROR(SUMPRODUCT((Sites!$D$9:$D$108=C25)*Sites!$H$9:$H$108*Sites!$J$9:$J$108*Sites!$K$9:$K$108*(1-Sites!$L$9:$L$108)*(1-Sites!$M$9:$M$108))*'Scenario Paths'!F27,"Unavailable"))</x:f>
        <x:v>0.03660800000000001</x:v>
      </x:c>
      <x:c r="M25" s="23" t="n">
        <x:f>IF(C25="","",IFERROR(INDEX('Borrowers'!$J$9:$J$108,MATCH(C25,'Borrowers'!$C$9:$C$108,0))+H25-SUM(I25:L25),"Unavailable"))</x:f>
        <x:v>34.44110952</x:v>
      </x:c>
      <x:c r="N25" s="23" t="n">
        <x:f>IF(C25="","",IFERROR(INDEX('Borrowers'!$I$9:$I$108,MATCH(C25,'Borrowers'!$C$9:$C$108,0))*'Scenario Paths'!F33,"Unavailable"))</x:f>
        <x:v>0.86</x:v>
      </x:c>
      <x:c r="O25" s="23" t="n">
        <x:f>IF(C25="","",IFERROR(M25-INDEX('Borrowers'!$K$9:$K$108,MATCH(C25,'Borrowers'!$C$9:$C$108,0))-N25,"Unavailable"))</x:f>
        <x:v>29.18110952</x:v>
      </x:c>
      <x:c r="P25" s="127" t="n">
        <x:f>IF(C25="","",IFERROR(O25/INDEX('Borrowers'!$L$9:$L$108,MATCH(C25,'Borrowers'!$C$9:$C$108,0)),"Unavailable"))</x:f>
        <x:v>2.9776642367346935</x:v>
      </x:c>
      <x:c r="Q25" s="30" t="n">
        <x:f>IF(C25="","",IFERROR(IF(INDEX('Borrowers'!$Z$9:$Z$108,MATCH(C25,'Borrowers'!$C$9:$C$108,0))="Yes",1,IF(INDEX('Borrowers'!$P$9:$P$108,MATCH(C25,'Borrowers'!$C$9:$C$108,0))=0,0,MIN(1,INDEX('Borrowers'!$P$9:$P$108,MATCH(C25,'Borrowers'!$C$9:$C$108,0))*EXP(MIN(20,INDEX('Borrowers'!$V$9:$V$108,MATCH(C25,'Borrowers'!$C$9:$C$108,0))*V25))))),"Unavailable"))</x:f>
        <x:v>0.04069049006453361</x:v>
      </x:c>
      <x:c r="R25" s="30" t="n">
        <x:f>IF(C25="","",IFERROR(MIN(1,INDEX('Borrowers'!$Q$9:$Q$108,MATCH(C25,'Borrowers'!$C$9:$C$108,0))+(1-INDEX('Borrowers'!$Q$9:$Q$108,MATCH(C25,'Borrowers'!$C$9:$C$108,0)))*T25),"Unavailable"))</x:f>
        <x:v>0.32043520000000003</x:v>
      </x:c>
      <x:c r="S25" s="30" t="n">
        <x:f>IF(C25="","",IFERROR(SUMPRODUCT((Sites!$D$9:$D$108=C25)*Sites!$I$9:$I$108*Sites!$J$9:$J$108*Sites!$K$9:$K$108*(1-Sites!$L$9:$L$108)),"Unavailable"))</x:f>
        <x:v>0.128</x:v>
      </x:c>
      <x:c r="T25" s="30" t="n">
        <x:f>IF(C25="","",IFERROR(MIN(1,(SUMPRODUCT((Sites!$D$9:$D$108=C25)*Sites!$N$9:$N$108*Sites!$J$9:$J$108*Sites!$K$9:$K$108*(1-Sites!$L$9:$L$108)))*'Scenario Paths'!F27),"Unavailable"))</x:f>
        <x:v>0.00064</x:v>
      </x:c>
      <x:c r="U25" s="9" t="str">
        <x:f>IF(C25="","",IF(OR(INDEX('Borrowers'!$AA$9:$AA$108,MATCH(C25,'Borrowers'!$C$9:$C$108,0))&lt;&gt;"Ready",COUNTIF(Sites!$D$9:$D$108,C25)=0,COUNTIFS(Sites!$D$9:$D$108,C25,Sites!$Q$9:$Q$108,"&lt;&gt;Ready")&gt;0,'Scenario Paths'!$F$6&lt;&gt;"Ready"),"Review source inputs","Ready"))</x:f>
        <x:v>Ready</x:v>
      </x:c>
      <x:c r="V25" s="17" t="n">
        <x:f>IF(C25="","",IFERROR(MAX(-1,(G25-O25)/MAX(0.000001,G25)),"Unavailable"))</x:f>
        <x:v>0.07654716708860765</x:v>
      </x:c>
      <x:c r="W25" s="9" t="str">
        <x:f>IF(C25="","",IFERROR(INDEX('Borrowers'!$D$9:$D$108,MATCH(C25,'Borrowers'!$C$9:$C$108,0)),"Unavailable"))</x:f>
        <x:v>Demo Marina Properties</x:v>
      </x:c>
    </x:row>
    <x:row r="26" ht="26" customHeight="1">
      <x:c r="A26" s="1"/>
      <x:c r="B26" s="1"/>
      <x:c r="C26" s="9" t="str">
        <x:f>IF(Borrowers!C26="","",Borrowers!C26)</x:f>
        <x:v>B018</x:v>
      </x:c>
      <x:c r="D26" s="3" t="n">
        <x:v>1</x:v>
      </x:c>
      <x:c r="E26" s="9" t="n">
        <x:f>Settings!$F$18+0</x:f>
        <x:v>2027</x:v>
      </x:c>
      <x:c r="F26" s="9" t="str">
        <x:f>IF(C26="","",INDEX('Borrowers'!$F$9:$F$108,MATCH(C26,'Borrowers'!$C$9:$C$108,0)))</x:f>
        <x:v>Hospitality</x:v>
      </x:c>
      <x:c r="G26" s="23" t="n">
        <x:f>IF(C26="","",IFERROR(INDEX('Borrowers'!$J$9:$J$108,MATCH(C26,'Borrowers'!$C$9:$C$108,0))-INDEX('Borrowers'!$K$9:$K$108,MATCH(C26,'Borrowers'!$C$9:$C$108,0)),"Unavailable"))</x:f>
        <x:v>32.95</x:v>
      </x:c>
      <x:c r="H26" s="23" t="n">
        <x:f>IF(C26="","",IFERROR(INDEX('Borrowers'!$I$9:$I$108,MATCH(C26,'Borrowers'!$C$9:$C$108,0))*INDEX('Borrowers'!$U$9:$U$108,MATCH(C26,'Borrowers'!$C$9:$C$108,0))*(IF(F26="Transport",'Scenario Paths'!F156,IF(F26="Technology",'Scenario Paths'!F150,IF(F26="Utilities",'Scenario Paths'!F144,IF(F26="Agriculture",'Scenario Paths'!F138,IF(F26="Manufacturing",'Scenario Paths'!F132,IF(F26="Healthcare",'Scenario Paths'!F126,IF(F26="Hospitality",'Scenario Paths'!F120,IF(F26="Property",'Scenario Paths'!F114,IF(F26="Food",'Scenario Paths'!F108,IF(F26="Logistics",'Scenario Paths'!F102,IF(F26="Solar",'Scenario Paths'!F96,IF(F26="Cement",'Scenario Paths'!F90,0))))))))))))),"Unavailable"))</x:f>
        <x:v>-1.1814</x:v>
      </x:c>
      <x:c r="I26" s="23" t="n">
        <x:f>IF(C26="","",IFERROR(INDEX('Borrowers'!$R$9:$R$108,MATCH(C26,'Borrowers'!$C$9:$C$108,0))*(1-INDEX('Borrowers'!$W$9:$W$108,MATCH(C26,'Borrowers'!$C$9:$C$108,0))*'Scenario Paths'!F39)*'Scenario Paths'!F9/1000000*(1-INDEX('Borrowers'!$T$9:$T$108,MATCH(C26,'Borrowers'!$C$9:$C$108,0))),"Unavailable"))</x:f>
        <x:v>0.08820900000000001</x:v>
      </x:c>
      <x:c r="J26" s="23" t="n">
        <x:f>IF(C26="","",IFERROR(INDEX('Borrowers'!$I$9:$I$108,MATCH(C26,'Borrowers'!$C$9:$C$108,0))*INDEX('Borrowers'!$S$9:$S$108,MATCH(C26,'Borrowers'!$C$9:$C$108,0))*'Scenario Paths'!F15*(1-INDEX('Borrowers'!$T$9:$T$108,MATCH(C26,'Borrowers'!$C$9:$C$108,0))),"Unavailable"))</x:f>
        <x:v>0.44302500000000017</x:v>
      </x:c>
      <x:c r="K26" s="23" t="n">
        <x:f>IF(C26="","",IFERROR(INDEX('Borrowers'!$I$9:$I$108,MATCH(C26,'Borrowers'!$C$9:$C$108,0))*INDEX('Borrowers'!$U$9:$U$108,MATCH(C26,'Borrowers'!$C$9:$C$108,0))*'Scenario Paths'!F21*S26,"Unavailable"))</x:f>
        <x:v>0.10812172800000001</x:v>
      </x:c>
      <x:c r="L26" s="23" t="n">
        <x:f>IF(C26="","",IFERROR(SUMPRODUCT((Sites!$D$9:$D$108=C26)*Sites!$H$9:$H$108*Sites!$J$9:$J$108*Sites!$K$9:$K$108*(1-Sites!$L$9:$L$108)*(1-Sites!$M$9:$M$108))*'Scenario Paths'!F27,"Unavailable"))</x:f>
        <x:v>0.0679536</x:v>
      </x:c>
      <x:c r="M26" s="23" t="n">
        <x:f>IF(C26="","",IFERROR(INDEX('Borrowers'!$J$9:$J$108,MATCH(C26,'Borrowers'!$C$9:$C$108,0))+H26-SUM(I26:L26),"Unavailable"))</x:f>
        <x:v>35.611290672</x:v>
      </x:c>
      <x:c r="N26" s="23" t="n">
        <x:f>IF(C26="","",IFERROR(INDEX('Borrowers'!$I$9:$I$108,MATCH(C26,'Borrowers'!$C$9:$C$108,0))*'Scenario Paths'!F33,"Unavailable"))</x:f>
        <x:v>0.895</x:v>
      </x:c>
      <x:c r="O26" s="23" t="n">
        <x:f>IF(C26="","",IFERROR(M26-INDEX('Borrowers'!$K$9:$K$108,MATCH(C26,'Borrowers'!$C$9:$C$108,0))-N26,"Unavailable"))</x:f>
        <x:v>30.166290672000002</x:v>
      </x:c>
      <x:c r="P26" s="127" t="n">
        <x:f>IF(C26="","",IFERROR(O26/INDEX('Borrowers'!$L$9:$L$108,MATCH(C26,'Borrowers'!$C$9:$C$108,0)),"Unavailable"))</x:f>
        <x:v>2.9867614526732678</x:v>
      </x:c>
      <x:c r="Q26" s="30" t="n">
        <x:f>IF(C26="","",IFERROR(IF(INDEX('Borrowers'!$Z$9:$Z$108,MATCH(C26,'Borrowers'!$C$9:$C$108,0))="Yes",1,IF(INDEX('Borrowers'!$P$9:$P$108,MATCH(C26,'Borrowers'!$C$9:$C$108,0))=0,0,MIN(1,INDEX('Borrowers'!$P$9:$P$108,MATCH(C26,'Borrowers'!$C$9:$C$108,0))*EXP(MIN(20,INDEX('Borrowers'!$V$9:$V$108,MATCH(C26,'Borrowers'!$C$9:$C$108,0))*V26))))),"Unavailable"))</x:f>
        <x:v>0.04807883935880929</x:v>
      </x:c>
      <x:c r="R26" s="30" t="n">
        <x:f>IF(C26="","",IFERROR(MIN(1,INDEX('Borrowers'!$Q$9:$Q$108,MATCH(C26,'Borrowers'!$C$9:$C$108,0))+(1-INDEX('Borrowers'!$Q$9:$Q$108,MATCH(C26,'Borrowers'!$C$9:$C$108,0)))*T26),"Unavailable"))</x:f>
        <x:v>0.36073216</x:v>
      </x:c>
      <x:c r="S26" s="30" t="n">
        <x:f>IF(C26="","",IFERROR(SUMPRODUCT((Sites!$D$9:$D$108=C26)*Sites!$I$9:$I$108*Sites!$J$9:$J$108*Sites!$K$9:$K$108*(1-Sites!$L$9:$L$108)),"Unavailable"))</x:f>
        <x:v>0.2288</x:v>
      </x:c>
      <x:c r="T26" s="30" t="n">
        <x:f>IF(C26="","",IFERROR(MIN(1,(SUMPRODUCT((Sites!$D$9:$D$108=C26)*Sites!$N$9:$N$108*Sites!$J$9:$J$108*Sites!$K$9:$K$108*(1-Sites!$L$9:$L$108)))*'Scenario Paths'!F27),"Unavailable"))</x:f>
        <x:v>0.001144</x:v>
      </x:c>
      <x:c r="U26" s="9" t="str">
        <x:f>IF(C26="","",IF(OR(INDEX('Borrowers'!$AA$9:$AA$108,MATCH(C26,'Borrowers'!$C$9:$C$108,0))&lt;&gt;"Ready",COUNTIF(Sites!$D$9:$D$108,C26)=0,COUNTIFS(Sites!$D$9:$D$108,C26,Sites!$Q$9:$Q$108,"&lt;&gt;Ready")&gt;0,'Scenario Paths'!$F$6&lt;&gt;"Ready"),"Review source inputs","Ready"))</x:f>
        <x:v>Ready</x:v>
      </x:c>
      <x:c r="V26" s="17" t="n">
        <x:f>IF(C26="","",IFERROR(MAX(-1,(G26-O26)/MAX(0.000001,G26)),"Unavailable"))</x:f>
        <x:v>0.0844828324127466</x:v>
      </x:c>
      <x:c r="W26" s="9" t="str">
        <x:f>IF(C26="","",IFERROR(INDEX('Borrowers'!$D$9:$D$108,MATCH(C26,'Borrowers'!$C$9:$C$108,0)),"Unavailable"))</x:f>
        <x:v>Demo Gulf Hospitality</x:v>
      </x:c>
    </x:row>
    <x:row r="27" ht="26" customHeight="1">
      <x:c r="A27" s="1"/>
      <x:c r="B27" s="1"/>
      <x:c r="C27" s="9" t="str">
        <x:f>IF(Borrowers!C27="","",Borrowers!C27)</x:f>
        <x:v>B019</x:v>
      </x:c>
      <x:c r="D27" s="3" t="n">
        <x:v>1</x:v>
      </x:c>
      <x:c r="E27" s="9" t="n">
        <x:f>Settings!$F$18+0</x:f>
        <x:v>2027</x:v>
      </x:c>
      <x:c r="F27" s="9" t="str">
        <x:f>IF(C27="","",INDEX('Borrowers'!$F$9:$F$108,MATCH(C27,'Borrowers'!$C$9:$C$108,0)))</x:f>
        <x:v>Manufacturing</x:v>
      </x:c>
      <x:c r="G27" s="23" t="n">
        <x:f>IF(C27="","",IFERROR(INDEX('Borrowers'!$J$9:$J$108,MATCH(C27,'Borrowers'!$C$9:$C$108,0))-INDEX('Borrowers'!$K$9:$K$108,MATCH(C27,'Borrowers'!$C$9:$C$108,0)),"Unavailable"))</x:f>
        <x:v>34.3</x:v>
      </x:c>
      <x:c r="H27" s="23" t="n">
        <x:f>IF(C27="","",IFERROR(INDEX('Borrowers'!$I$9:$I$108,MATCH(C27,'Borrowers'!$C$9:$C$108,0))*INDEX('Borrowers'!$U$9:$U$108,MATCH(C27,'Borrowers'!$C$9:$C$108,0))*(IF(F27="Transport",'Scenario Paths'!F156,IF(F27="Technology",'Scenario Paths'!F150,IF(F27="Utilities",'Scenario Paths'!F144,IF(F27="Agriculture",'Scenario Paths'!F138,IF(F27="Manufacturing",'Scenario Paths'!F132,IF(F27="Healthcare",'Scenario Paths'!F126,IF(F27="Hospitality",'Scenario Paths'!F120,IF(F27="Property",'Scenario Paths'!F114,IF(F27="Food",'Scenario Paths'!F108,IF(F27="Logistics",'Scenario Paths'!F102,IF(F27="Solar",'Scenario Paths'!F96,IF(F27="Cement",'Scenario Paths'!F90,0))))))))))))),"Unavailable"))</x:f>
        <x:v>-0.8928</x:v>
      </x:c>
      <x:c r="I27" s="23" t="n">
        <x:f>IF(C27="","",IFERROR(INDEX('Borrowers'!$R$9:$R$108,MATCH(C27,'Borrowers'!$C$9:$C$108,0))*(1-INDEX('Borrowers'!$W$9:$W$108,MATCH(C27,'Borrowers'!$C$9:$C$108,0))*'Scenario Paths'!F39)*'Scenario Paths'!F9/1000000*(1-INDEX('Borrowers'!$T$9:$T$108,MATCH(C27,'Borrowers'!$C$9:$C$108,0))),"Unavailable"))</x:f>
        <x:v>0.074844</x:v>
      </x:c>
      <x:c r="J27" s="23" t="n">
        <x:f>IF(C27="","",IFERROR(INDEX('Borrowers'!$I$9:$I$108,MATCH(C27,'Borrowers'!$C$9:$C$108,0))*INDEX('Borrowers'!$S$9:$S$108,MATCH(C27,'Borrowers'!$C$9:$C$108,0))*'Scenario Paths'!F15*(1-INDEX('Borrowers'!$T$9:$T$108,MATCH(C27,'Borrowers'!$C$9:$C$108,0))),"Unavailable"))</x:f>
        <x:v>0.4603500000000001</x:v>
      </x:c>
      <x:c r="K27" s="23" t="n">
        <x:f>IF(C27="","",IFERROR(INDEX('Borrowers'!$I$9:$I$108,MATCH(C27,'Borrowers'!$C$9:$C$108,0))*INDEX('Borrowers'!$U$9:$U$108,MATCH(C27,'Borrowers'!$C$9:$C$108,0))*'Scenario Paths'!F21*S27,"Unavailable"))</x:f>
        <x:v>0.05599641600000001</x:v>
      </x:c>
      <x:c r="L27" s="23" t="n">
        <x:f>IF(C27="","",IFERROR(SUMPRODUCT((Sites!$D$9:$D$108=C27)*Sites!$H$9:$H$108*Sites!$J$9:$J$108*Sites!$K$9:$K$108*(1-Sites!$L$9:$L$108)*(1-Sites!$M$9:$M$108))*'Scenario Paths'!F27,"Unavailable"))</x:f>
        <x:v>0.04829440000000001</x:v>
      </x:c>
      <x:c r="M27" s="23" t="n">
        <x:f>IF(C27="","",IFERROR(INDEX('Borrowers'!$J$9:$J$108,MATCH(C27,'Borrowers'!$C$9:$C$108,0))+H27-SUM(I27:L27),"Unavailable"))</x:f>
        <x:v>37.467715184</x:v>
      </x:c>
      <x:c r="N27" s="23" t="n">
        <x:f>IF(C27="","",IFERROR(INDEX('Borrowers'!$I$9:$I$108,MATCH(C27,'Borrowers'!$C$9:$C$108,0))*'Scenario Paths'!F33,"Unavailable"))</x:f>
        <x:v>0.93</x:v>
      </x:c>
      <x:c r="O27" s="23" t="n">
        <x:f>IF(C27="","",IFERROR(M27-INDEX('Borrowers'!$K$9:$K$108,MATCH(C27,'Borrowers'!$C$9:$C$108,0))-N27,"Unavailable"))</x:f>
        <x:v>31.837715183999997</x:v>
      </x:c>
      <x:c r="P27" s="127" t="n">
        <x:f>IF(C27="","",IFERROR(O27/INDEX('Borrowers'!$L$9:$L$108,MATCH(C27,'Borrowers'!$C$9:$C$108,0)),"Unavailable"))</x:f>
        <x:v>3.061318767692308</x:v>
      </x:c>
      <x:c r="Q27" s="30" t="n">
        <x:f>IF(C27="","",IFERROR(IF(INDEX('Borrowers'!$Z$9:$Z$108,MATCH(C27,'Borrowers'!$C$9:$C$108,0))="Yes",1,IF(INDEX('Borrowers'!$P$9:$P$108,MATCH(C27,'Borrowers'!$C$9:$C$108,0))=0,0,MIN(1,INDEX('Borrowers'!$P$9:$P$108,MATCH(C27,'Borrowers'!$C$9:$C$108,0))*EXP(MIN(20,INDEX('Borrowers'!$V$9:$V$108,MATCH(C27,'Borrowers'!$C$9:$C$108,0))*V27))))),"Unavailable"))</x:f>
        <x:v>0.01346058003752779</x:v>
      </x:c>
      <x:c r="R27" s="30" t="n">
        <x:f>IF(C27="","",IFERROR(MIN(1,INDEX('Borrowers'!$Q$9:$Q$108,MATCH(C27,'Borrowers'!$C$9:$C$108,0))+(1-INDEX('Borrowers'!$Q$9:$Q$108,MATCH(C27,'Borrowers'!$C$9:$C$108,0)))*T27),"Unavailable"))</x:f>
        <x:v>0.4004704</x:v>
      </x:c>
      <x:c r="S27" s="30" t="n">
        <x:f>IF(C27="","",IFERROR(SUMPRODUCT((Sites!$D$9:$D$108=C27)*Sites!$I$9:$I$108*Sites!$J$9:$J$108*Sites!$K$9:$K$108*(1-Sites!$L$9:$L$108)),"Unavailable"))</x:f>
        <x:v>0.1568</x:v>
      </x:c>
      <x:c r="T27" s="30" t="n">
        <x:f>IF(C27="","",IFERROR(MIN(1,(SUMPRODUCT((Sites!$D$9:$D$108=C27)*Sites!$N$9:$N$108*Sites!$J$9:$J$108*Sites!$K$9:$K$108*(1-Sites!$L$9:$L$108)))*'Scenario Paths'!F27),"Unavailable"))</x:f>
        <x:v>0.000784</x:v>
      </x:c>
      <x:c r="U27" s="9" t="str">
        <x:f>IF(C27="","",IF(OR(INDEX('Borrowers'!$AA$9:$AA$108,MATCH(C27,'Borrowers'!$C$9:$C$108,0))&lt;&gt;"Ready",COUNTIF(Sites!$D$9:$D$108,C27)=0,COUNTIFS(Sites!$D$9:$D$108,C27,Sites!$Q$9:$Q$108,"&lt;&gt;Ready")&gt;0,'Scenario Paths'!$F$6&lt;&gt;"Ready"),"Review source inputs","Ready"))</x:f>
        <x:v>Ready</x:v>
      </x:c>
      <x:c r="V27" s="17" t="n">
        <x:f>IF(C27="","",IFERROR(MAX(-1,(G27-O27)/MAX(0.000001,G27)),"Unavailable"))</x:f>
        <x:v>0.07178672932944608</x:v>
      </x:c>
      <x:c r="W27" s="9" t="str">
        <x:f>IF(C27="","",IFERROR(INDEX('Borrowers'!$D$9:$D$108,MATCH(C27,'Borrowers'!$C$9:$C$108,0)),"Unavailable"))</x:f>
        <x:v>Demo Nile Textiles</x:v>
      </x:c>
    </x:row>
    <x:row r="28" ht="26" customHeight="1">
      <x:c r="A28" s="1"/>
      <x:c r="B28" s="1"/>
      <x:c r="C28" s="9" t="str">
        <x:f>IF(Borrowers!C28="","",Borrowers!C28)</x:f>
        <x:v>B020</x:v>
      </x:c>
      <x:c r="D28" s="3" t="n">
        <x:v>1</x:v>
      </x:c>
      <x:c r="E28" s="9" t="n">
        <x:f>Settings!$F$18+0</x:f>
        <x:v>2027</x:v>
      </x:c>
      <x:c r="F28" s="9" t="str">
        <x:f>IF(C28="","",INDEX('Borrowers'!$F$9:$F$108,MATCH(C28,'Borrowers'!$C$9:$C$108,0)))</x:f>
        <x:v>Agriculture</x:v>
      </x:c>
      <x:c r="G28" s="23" t="n">
        <x:f>IF(C28="","",IFERROR(INDEX('Borrowers'!$J$9:$J$108,MATCH(C28,'Borrowers'!$C$9:$C$108,0))-INDEX('Borrowers'!$K$9:$K$108,MATCH(C28,'Borrowers'!$C$9:$C$108,0)),"Unavailable"))</x:f>
        <x:v>35.65</x:v>
      </x:c>
      <x:c r="H28" s="23" t="n">
        <x:f>IF(C28="","",IFERROR(INDEX('Borrowers'!$I$9:$I$108,MATCH(C28,'Borrowers'!$C$9:$C$108,0))*INDEX('Borrowers'!$U$9:$U$108,MATCH(C28,'Borrowers'!$C$9:$C$108,0))*(IF(F28="Transport",'Scenario Paths'!F156,IF(F28="Technology",'Scenario Paths'!F150,IF(F28="Utilities",'Scenario Paths'!F144,IF(F28="Agriculture",'Scenario Paths'!F138,IF(F28="Manufacturing",'Scenario Paths'!F132,IF(F28="Healthcare",'Scenario Paths'!F126,IF(F28="Hospitality",'Scenario Paths'!F120,IF(F28="Property",'Scenario Paths'!F114,IF(F28="Food",'Scenario Paths'!F108,IF(F28="Logistics",'Scenario Paths'!F102,IF(F28="Solar",'Scenario Paths'!F96,IF(F28="Cement",'Scenario Paths'!F90,0))))))))))))),"Unavailable"))</x:f>
        <x:v>-1.1001</x:v>
      </x:c>
      <x:c r="I28" s="23" t="n">
        <x:f>IF(C28="","",IFERROR(INDEX('Borrowers'!$R$9:$R$108,MATCH(C28,'Borrowers'!$C$9:$C$108,0))*(1-INDEX('Borrowers'!$W$9:$W$108,MATCH(C28,'Borrowers'!$C$9:$C$108,0))*'Scenario Paths'!F39)*'Scenario Paths'!F9/1000000*(1-INDEX('Borrowers'!$T$9:$T$108,MATCH(C28,'Borrowers'!$C$9:$C$108,0))),"Unavailable"))</x:f>
        <x:v>0.060291</x:v>
      </x:c>
      <x:c r="J28" s="23" t="n">
        <x:f>IF(C28="","",IFERROR(INDEX('Borrowers'!$I$9:$I$108,MATCH(C28,'Borrowers'!$C$9:$C$108,0))*INDEX('Borrowers'!$S$9:$S$108,MATCH(C28,'Borrowers'!$C$9:$C$108,0))*'Scenario Paths'!F15*(1-INDEX('Borrowers'!$T$9:$T$108,MATCH(C28,'Borrowers'!$C$9:$C$108,0))),"Unavailable"))</x:f>
        <x:v>0.43907500000000005</x:v>
      </x:c>
      <x:c r="K28" s="23" t="n">
        <x:f>IF(C28="","",IFERROR(INDEX('Borrowers'!$I$9:$I$108,MATCH(C28,'Borrowers'!$C$9:$C$108,0))*INDEX('Borrowers'!$U$9:$U$108,MATCH(C28,'Borrowers'!$C$9:$C$108,0))*'Scenario Paths'!F21*S28,"Unavailable"))</x:f>
        <x:v>0.11969088000000001</x:v>
      </x:c>
      <x:c r="L28" s="23" t="n">
        <x:f>IF(C28="","",IFERROR(SUMPRODUCT((Sites!$D$9:$D$108=C28)*Sites!$H$9:$H$108*Sites!$J$9:$J$108*Sites!$K$9:$K$108*(1-Sites!$L$9:$L$108)*(1-Sites!$M$9:$M$108))*'Scenario Paths'!F27,"Unavailable"))</x:f>
        <x:v>0.086768</x:v>
      </x:c>
      <x:c r="M28" s="23" t="n">
        <x:f>IF(C28="","",IFERROR(INDEX('Borrowers'!$J$9:$J$108,MATCH(C28,'Borrowers'!$C$9:$C$108,0))+H28-SUM(I28:L28),"Unavailable"))</x:f>
        <x:v>38.69407512</x:v>
      </x:c>
      <x:c r="N28" s="23" t="n">
        <x:f>IF(C28="","",IFERROR(INDEX('Borrowers'!$I$9:$I$108,MATCH(C28,'Borrowers'!$C$9:$C$108,0))*'Scenario Paths'!F33,"Unavailable"))</x:f>
        <x:v>0.965</x:v>
      </x:c>
      <x:c r="O28" s="23" t="n">
        <x:f>IF(C28="","",IFERROR(M28-INDEX('Borrowers'!$K$9:$K$108,MATCH(C28,'Borrowers'!$C$9:$C$108,0))-N28,"Unavailable"))</x:f>
        <x:v>32.879075119999996</x:v>
      </x:c>
      <x:c r="P28" s="127" t="n">
        <x:f>IF(C28="","",IFERROR(O28/INDEX('Borrowers'!$L$9:$L$108,MATCH(C28,'Borrowers'!$C$9:$C$108,0)),"Unavailable"))</x:f>
        <x:v>3.0728107588785045</x:v>
      </x:c>
      <x:c r="Q28" s="30" t="n">
        <x:f>IF(C28="","",IFERROR(IF(INDEX('Borrowers'!$Z$9:$Z$108,MATCH(C28,'Borrowers'!$C$9:$C$108,0))="Yes",1,IF(INDEX('Borrowers'!$P$9:$P$108,MATCH(C28,'Borrowers'!$C$9:$C$108,0))=0,0,MIN(1,INDEX('Borrowers'!$P$9:$P$108,MATCH(C28,'Borrowers'!$C$9:$C$108,0))*EXP(MIN(20,INDEX('Borrowers'!$V$9:$V$108,MATCH(C28,'Borrowers'!$C$9:$C$108,0))*V28))))),"Unavailable"))</x:f>
        <x:v>0.02038364865305621</x:v>
      </x:c>
      <x:c r="R28" s="30" t="n">
        <x:f>IF(C28="","",IFERROR(MIN(1,INDEX('Borrowers'!$Q$9:$Q$108,MATCH(C28,'Borrowers'!$C$9:$C$108,0))+(1-INDEX('Borrowers'!$Q$9:$Q$108,MATCH(C28,'Borrowers'!$C$9:$C$108,0)))*T28),"Unavailable"))</x:f>
        <x:v>0.44076160000000003</x:v>
      </x:c>
      <x:c r="S28" s="30" t="n">
        <x:f>IF(C28="","",IFERROR(SUMPRODUCT((Sites!$D$9:$D$108=C28)*Sites!$I$9:$I$108*Sites!$J$9:$J$108*Sites!$K$9:$K$108*(1-Sites!$L$9:$L$108)),"Unavailable"))</x:f>
        <x:v>0.272</x:v>
      </x:c>
      <x:c r="T28" s="30" t="n">
        <x:f>IF(C28="","",IFERROR(MIN(1,(SUMPRODUCT((Sites!$D$9:$D$108=C28)*Sites!$N$9:$N$108*Sites!$J$9:$J$108*Sites!$K$9:$K$108*(1-Sites!$L$9:$L$108)))*'Scenario Paths'!F27),"Unavailable"))</x:f>
        <x:v>0.00136</x:v>
      </x:c>
      <x:c r="U28" s="9" t="str">
        <x:f>IF(C28="","",IF(OR(INDEX('Borrowers'!$AA$9:$AA$108,MATCH(C28,'Borrowers'!$C$9:$C$108,0))&lt;&gt;"Ready",COUNTIF(Sites!$D$9:$D$108,C28)=0,COUNTIFS(Sites!$D$9:$D$108,C28,Sites!$Q$9:$Q$108,"&lt;&gt;Ready")&gt;0,'Scenario Paths'!$F$6&lt;&gt;"Ready"),"Review source inputs","Ready"))</x:f>
        <x:v>Ready</x:v>
      </x:c>
      <x:c r="V28" s="17" t="n">
        <x:f>IF(C28="","",IFERROR(MAX(-1,(G28-O28)/MAX(0.000001,G28)),"Unavailable"))</x:f>
        <x:v>0.07772580308555407</x:v>
      </x:c>
      <x:c r="W28" s="9" t="str">
        <x:f>IF(C28="","",IFERROR(INDEX('Borrowers'!$D$9:$D$108,MATCH(C28,'Borrowers'!$C$9:$C$108,0)),"Unavailable"))</x:f>
        <x:v>Demo Delta Agriculture</x:v>
      </x:c>
    </x:row>
    <x:row r="29" ht="26" customHeight="1">
      <x:c r="A29" s="1"/>
      <x:c r="B29" s="1"/>
      <x:c r="C29" s="9" t="str">
        <x:f>IF(Borrowers!C29="","",Borrowers!C29)</x:f>
        <x:v>B021</x:v>
      </x:c>
      <x:c r="D29" s="3" t="n">
        <x:v>1</x:v>
      </x:c>
      <x:c r="E29" s="9" t="n">
        <x:f>Settings!$F$18+0</x:f>
        <x:v>2027</x:v>
      </x:c>
      <x:c r="F29" s="9" t="str">
        <x:f>IF(C29="","",INDEX('Borrowers'!$F$9:$F$108,MATCH(C29,'Borrowers'!$C$9:$C$108,0)))</x:f>
        <x:v>Utilities</x:v>
      </x:c>
      <x:c r="G29" s="23" t="n">
        <x:f>IF(C29="","",IFERROR(INDEX('Borrowers'!$J$9:$J$108,MATCH(C29,'Borrowers'!$C$9:$C$108,0))-INDEX('Borrowers'!$K$9:$K$108,MATCH(C29,'Borrowers'!$C$9:$C$108,0)),"Unavailable"))</x:f>
        <x:v>37</x:v>
      </x:c>
      <x:c r="H29" s="23" t="n">
        <x:f>IF(C29="","",IFERROR(INDEX('Borrowers'!$I$9:$I$108,MATCH(C29,'Borrowers'!$C$9:$C$108,0))*INDEX('Borrowers'!$U$9:$U$108,MATCH(C29,'Borrowers'!$C$9:$C$108,0))*(IF(F29="Transport",'Scenario Paths'!F156,IF(F29="Technology",'Scenario Paths'!F150,IF(F29="Utilities",'Scenario Paths'!F144,IF(F29="Agriculture",'Scenario Paths'!F138,IF(F29="Manufacturing",'Scenario Paths'!F132,IF(F29="Healthcare",'Scenario Paths'!F126,IF(F29="Hospitality",'Scenario Paths'!F120,IF(F29="Property",'Scenario Paths'!F114,IF(F29="Food",'Scenario Paths'!F108,IF(F29="Logistics",'Scenario Paths'!F102,IF(F29="Solar",'Scenario Paths'!F96,IF(F29="Cement",'Scenario Paths'!F90,0))))))))))))),"Unavailable"))</x:f>
        <x:v>-1.3199999999999998</x:v>
      </x:c>
      <x:c r="I29" s="23" t="n">
        <x:f>IF(C29="","",IFERROR(INDEX('Borrowers'!$R$9:$R$108,MATCH(C29,'Borrowers'!$C$9:$C$108,0))*(1-INDEX('Borrowers'!$W$9:$W$108,MATCH(C29,'Borrowers'!$C$9:$C$108,0))*'Scenario Paths'!F39)*'Scenario Paths'!F9/1000000*(1-INDEX('Borrowers'!$T$9:$T$108,MATCH(C29,'Borrowers'!$C$9:$C$108,0))),"Unavailable"))</x:f>
        <x:v>0.11583</x:v>
      </x:c>
      <x:c r="J29" s="23" t="n">
        <x:f>IF(C29="","",IFERROR(INDEX('Borrowers'!$I$9:$I$108,MATCH(C29,'Borrowers'!$C$9:$C$108,0))*INDEX('Borrowers'!$S$9:$S$108,MATCH(C29,'Borrowers'!$C$9:$C$108,0))*'Scenario Paths'!F15*(1-INDEX('Borrowers'!$T$9:$T$108,MATCH(C29,'Borrowers'!$C$9:$C$108,0))),"Unavailable"))</x:f>
        <x:v>0.4550000000000001</x:v>
      </x:c>
      <x:c r="K29" s="23" t="n">
        <x:f>IF(C29="","",IFERROR(INDEX('Borrowers'!$I$9:$I$108,MATCH(C29,'Borrowers'!$C$9:$C$108,0))*INDEX('Borrowers'!$U$9:$U$108,MATCH(C29,'Borrowers'!$C$9:$C$108,0))*'Scenario Paths'!F21*S29,"Unavailable"))</x:f>
        <x:v>0.054912</x:v>
      </x:c>
      <x:c r="L29" s="23" t="n">
        <x:f>IF(C29="","",IFERROR(SUMPRODUCT((Sites!$D$9:$D$108=C29)*Sites!$H$9:$H$108*Sites!$J$9:$J$108*Sites!$K$9:$K$108*(1-Sites!$L$9:$L$108)*(1-Sites!$M$9:$M$108))*'Scenario Paths'!F27,"Unavailable"))</x:f>
        <x:v>0.03432</x:v>
      </x:c>
      <x:c r="M29" s="23" t="n">
        <x:f>IF(C29="","",IFERROR(INDEX('Borrowers'!$J$9:$J$108,MATCH(C29,'Borrowers'!$C$9:$C$108,0))+H29-SUM(I29:L29),"Unavailable"))</x:f>
        <x:v>40.019937999999996</x:v>
      </x:c>
      <x:c r="N29" s="23" t="n">
        <x:f>IF(C29="","",IFERROR(INDEX('Borrowers'!$I$9:$I$108,MATCH(C29,'Borrowers'!$C$9:$C$108,0))*'Scenario Paths'!F33,"Unavailable"))</x:f>
        <x:v>1</x:v>
      </x:c>
      <x:c r="O29" s="23" t="n">
        <x:f>IF(C29="","",IFERROR(M29-INDEX('Borrowers'!$K$9:$K$108,MATCH(C29,'Borrowers'!$C$9:$C$108,0))-N29,"Unavailable"))</x:f>
        <x:v>34.019937999999996</x:v>
      </x:c>
      <x:c r="P29" s="127" t="n">
        <x:f>IF(C29="","",IFERROR(O29/INDEX('Borrowers'!$L$9:$L$108,MATCH(C29,'Borrowers'!$C$9:$C$108,0)),"Unavailable"))</x:f>
        <x:v>3.092721636363636</x:v>
      </x:c>
      <x:c r="Q29" s="30" t="n">
        <x:f>IF(C29="","",IFERROR(IF(INDEX('Borrowers'!$Z$9:$Z$108,MATCH(C29,'Borrowers'!$C$9:$C$108,0))="Yes",1,IF(INDEX('Borrowers'!$P$9:$P$108,MATCH(C29,'Borrowers'!$C$9:$C$108,0))=0,0,MIN(1,INDEX('Borrowers'!$P$9:$P$108,MATCH(C29,'Borrowers'!$C$9:$C$108,0))*EXP(MIN(20,INDEX('Borrowers'!$V$9:$V$108,MATCH(C29,'Borrowers'!$C$9:$C$108,0))*V29))))),"Unavailable"))</x:f>
        <x:v>0.02730094661942279</x:v>
      </x:c>
      <x:c r="R29" s="30" t="n">
        <x:f>IF(C29="","",IFERROR(MIN(1,INDEX('Borrowers'!$Q$9:$Q$108,MATCH(C29,'Borrowers'!$C$9:$C$108,0))+(1-INDEX('Borrowers'!$Q$9:$Q$108,MATCH(C29,'Borrowers'!$C$9:$C$108,0)))*T29),"Unavailable"))</x:f>
        <x:v>0.2803744</x:v>
      </x:c>
      <x:c r="S29" s="30" t="n">
        <x:f>IF(C29="","",IFERROR(SUMPRODUCT((Sites!$D$9:$D$108=C29)*Sites!$I$9:$I$108*Sites!$J$9:$J$108*Sites!$K$9:$K$108*(1-Sites!$L$9:$L$108)),"Unavailable"))</x:f>
        <x:v>0.104</x:v>
      </x:c>
      <x:c r="T29" s="30" t="n">
        <x:f>IF(C29="","",IFERROR(MIN(1,(SUMPRODUCT((Sites!$D$9:$D$108=C29)*Sites!$N$9:$N$108*Sites!$J$9:$J$108*Sites!$K$9:$K$108*(1-Sites!$L$9:$L$108)))*'Scenario Paths'!F27),"Unavailable"))</x:f>
        <x:v>0.00052</x:v>
      </x:c>
      <x:c r="U29" s="9" t="str">
        <x:f>IF(C29="","",IF(OR(INDEX('Borrowers'!$AA$9:$AA$108,MATCH(C29,'Borrowers'!$C$9:$C$108,0))&lt;&gt;"Ready",COUNTIF(Sites!$D$9:$D$108,C29)=0,COUNTIFS(Sites!$D$9:$D$108,C29,Sites!$Q$9:$Q$108,"&lt;&gt;Ready")&gt;0,'Scenario Paths'!$F$6&lt;&gt;"Ready"),"Review source inputs","Ready"))</x:f>
        <x:v>Ready</x:v>
      </x:c>
      <x:c r="V29" s="17" t="n">
        <x:f>IF(C29="","",IFERROR(MAX(-1,(G29-O29)/MAX(0.000001,G29)),"Unavailable"))</x:f>
        <x:v>0.08054221621621632</x:v>
      </x:c>
      <x:c r="W29" s="9" t="str">
        <x:f>IF(C29="","",IFERROR(INDEX('Borrowers'!$D$9:$D$108,MATCH(C29,'Borrowers'!$C$9:$C$108,0)),"Unavailable"))</x:f>
        <x:v>Demo Sinai Utilities</x:v>
      </x:c>
    </x:row>
    <x:row r="30" ht="26" customHeight="1">
      <x:c r="A30" s="1"/>
      <x:c r="B30" s="1"/>
      <x:c r="C30" s="9" t="str">
        <x:f>IF(Borrowers!C30="","",Borrowers!C30)</x:f>
        <x:v>B022</x:v>
      </x:c>
      <x:c r="D30" s="3" t="n">
        <x:v>1</x:v>
      </x:c>
      <x:c r="E30" s="9" t="n">
        <x:f>Settings!$F$18+0</x:f>
        <x:v>2027</x:v>
      </x:c>
      <x:c r="F30" s="9" t="str">
        <x:f>IF(C30="","",INDEX('Borrowers'!$F$9:$F$108,MATCH(C30,'Borrowers'!$C$9:$C$108,0)))</x:f>
        <x:v>Manufacturing</x:v>
      </x:c>
      <x:c r="G30" s="23" t="n">
        <x:f>IF(C30="","",IFERROR(INDEX('Borrowers'!$J$9:$J$108,MATCH(C30,'Borrowers'!$C$9:$C$108,0))-INDEX('Borrowers'!$K$9:$K$108,MATCH(C30,'Borrowers'!$C$9:$C$108,0)),"Unavailable"))</x:f>
        <x:v>38.35</x:v>
      </x:c>
      <x:c r="H30" s="23" t="n">
        <x:f>IF(C30="","",IFERROR(INDEX('Borrowers'!$I$9:$I$108,MATCH(C30,'Borrowers'!$C$9:$C$108,0))*INDEX('Borrowers'!$U$9:$U$108,MATCH(C30,'Borrowers'!$C$9:$C$108,0))*(IF(F30="Transport",'Scenario Paths'!F156,IF(F30="Technology",'Scenario Paths'!F150,IF(F30="Utilities",'Scenario Paths'!F144,IF(F30="Agriculture",'Scenario Paths'!F138,IF(F30="Manufacturing",'Scenario Paths'!F132,IF(F30="Healthcare",'Scenario Paths'!F126,IF(F30="Hospitality",'Scenario Paths'!F120,IF(F30="Property",'Scenario Paths'!F114,IF(F30="Food",'Scenario Paths'!F108,IF(F30="Logistics",'Scenario Paths'!F102,IF(F30="Solar",'Scenario Paths'!F96,IF(F30="Cement",'Scenario Paths'!F90,0))))))))))))),"Unavailable"))</x:f>
        <x:v>-0.9935999999999999</x:v>
      </x:c>
      <x:c r="I30" s="23" t="n">
        <x:f>IF(C30="","",IFERROR(INDEX('Borrowers'!$R$9:$R$108,MATCH(C30,'Borrowers'!$C$9:$C$108,0))*(1-INDEX('Borrowers'!$W$9:$W$108,MATCH(C30,'Borrowers'!$C$9:$C$108,0))*'Scenario Paths'!F39)*'Scenario Paths'!F9/1000000*(1-INDEX('Borrowers'!$T$9:$T$108,MATCH(C30,'Borrowers'!$C$9:$C$108,0))),"Unavailable"))</x:f>
        <x:v>0.101277</x:v>
      </x:c>
      <x:c r="J30" s="23" t="n">
        <x:f>IF(C30="","",IFERROR(INDEX('Borrowers'!$I$9:$I$108,MATCH(C30,'Borrowers'!$C$9:$C$108,0))*INDEX('Borrowers'!$S$9:$S$108,MATCH(C30,'Borrowers'!$C$9:$C$108,0))*'Scenario Paths'!F15*(1-INDEX('Borrowers'!$T$9:$T$108,MATCH(C30,'Borrowers'!$C$9:$C$108,0))),"Unavailable"))</x:f>
        <x:v>0.5123250000000001</x:v>
      </x:c>
      <x:c r="K30" s="23" t="n">
        <x:f>IF(C30="","",IFERROR(INDEX('Borrowers'!$I$9:$I$108,MATCH(C30,'Borrowers'!$C$9:$C$108,0))*INDEX('Borrowers'!$U$9:$U$108,MATCH(C30,'Borrowers'!$C$9:$C$108,0))*'Scenario Paths'!F21*S30,"Unavailable"))</x:f>
        <x:v>0.035610624</x:v>
      </x:c>
      <x:c r="L30" s="23" t="n">
        <x:f>IF(C30="","",IFERROR(SUMPRODUCT((Sites!$D$9:$D$108=C30)*Sites!$H$9:$H$108*Sites!$J$9:$J$108*Sites!$K$9:$K$108*(1-Sites!$L$9:$L$108)*(1-Sites!$M$9:$M$108))*'Scenario Paths'!F27,"Unavailable"))</x:f>
        <x:v>0.030553600000000004</x:v>
      </x:c>
      <x:c r="M30" s="23" t="n">
        <x:f>IF(C30="","",IFERROR(INDEX('Borrowers'!$J$9:$J$108,MATCH(C30,'Borrowers'!$C$9:$C$108,0))+H30-SUM(I30:L30),"Unavailable"))</x:f>
        <x:v>41.826633776</x:v>
      </x:c>
      <x:c r="N30" s="23" t="n">
        <x:f>IF(C30="","",IFERROR(INDEX('Borrowers'!$I$9:$I$108,MATCH(C30,'Borrowers'!$C$9:$C$108,0))*'Scenario Paths'!F33,"Unavailable"))</x:f>
        <x:v>1.035</x:v>
      </x:c>
      <x:c r="O30" s="23" t="n">
        <x:f>IF(C30="","",IFERROR(M30-INDEX('Borrowers'!$K$9:$K$108,MATCH(C30,'Borrowers'!$C$9:$C$108,0))-N30,"Unavailable"))</x:f>
        <x:v>35.641633776000006</x:v>
      </x:c>
      <x:c r="P30" s="127" t="n">
        <x:f>IF(C30="","",IFERROR(O30/INDEX('Borrowers'!$L$9:$L$108,MATCH(C30,'Borrowers'!$C$9:$C$108,0)),"Unavailable"))</x:f>
        <x:v>3.154126882831859</x:v>
      </x:c>
      <x:c r="Q30" s="30" t="n">
        <x:f>IF(C30="","",IFERROR(IF(INDEX('Borrowers'!$Z$9:$Z$108,MATCH(C30,'Borrowers'!$C$9:$C$108,0))="Yes",1,IF(INDEX('Borrowers'!$P$9:$P$108,MATCH(C30,'Borrowers'!$C$9:$C$108,0))=0,0,MIN(1,INDEX('Borrowers'!$P$9:$P$108,MATCH(C30,'Borrowers'!$C$9:$C$108,0))*EXP(MIN(20,INDEX('Borrowers'!$V$9:$V$108,MATCH(C30,'Borrowers'!$C$9:$C$108,0))*V30))))),"Unavailable"))</x:f>
        <x:v>0.033588814312456895</x:v>
      </x:c>
      <x:c r="R30" s="30" t="n">
        <x:f>IF(C30="","",IFERROR(MIN(1,INDEX('Borrowers'!$Q$9:$Q$108,MATCH(C30,'Borrowers'!$C$9:$C$108,0))+(1-INDEX('Borrowers'!$Q$9:$Q$108,MATCH(C30,'Borrowers'!$C$9:$C$108,0)))*T30),"Unavailable"))</x:f>
        <x:v>0.32030464000000003</x:v>
      </x:c>
      <x:c r="S30" s="30" t="n">
        <x:f>IF(C30="","",IFERROR(SUMPRODUCT((Sites!$D$9:$D$108=C30)*Sites!$I$9:$I$108*Sites!$J$9:$J$108*Sites!$K$9:$K$108*(1-Sites!$L$9:$L$108)),"Unavailable"))</x:f>
        <x:v>0.08960000000000001</x:v>
      </x:c>
      <x:c r="T30" s="30" t="n">
        <x:f>IF(C30="","",IFERROR(MIN(1,(SUMPRODUCT((Sites!$D$9:$D$108=C30)*Sites!$N$9:$N$108*Sites!$J$9:$J$108*Sites!$K$9:$K$108*(1-Sites!$L$9:$L$108)))*'Scenario Paths'!F27),"Unavailable"))</x:f>
        <x:v>0.00044800000000000005</x:v>
      </x:c>
      <x:c r="U30" s="9" t="str">
        <x:f>IF(C30="","",IF(OR(INDEX('Borrowers'!$AA$9:$AA$108,MATCH(C30,'Borrowers'!$C$9:$C$108,0))&lt;&gt;"Ready",COUNTIF(Sites!$D$9:$D$108,C30)=0,COUNTIFS(Sites!$D$9:$D$108,C30,Sites!$Q$9:$Q$108,"&lt;&gt;Ready")&gt;0,'Scenario Paths'!$F$6&lt;&gt;"Ready"),"Review source inputs","Ready"))</x:f>
        <x:v>Ready</x:v>
      </x:c>
      <x:c r="V30" s="17" t="n">
        <x:f>IF(C30="","",IFERROR(MAX(-1,(G30-O30)/MAX(0.000001,G30)),"Unavailable"))</x:f>
        <x:v>0.07062232657105594</x:v>
      </x:c>
      <x:c r="W30" s="9" t="str">
        <x:f>IF(C30="","",IFERROR(INDEX('Borrowers'!$D$9:$D$108,MATCH(C30,'Borrowers'!$C$9:$C$108,0)),"Unavailable"))</x:f>
        <x:v>Demo Petra Manufacturing</x:v>
      </x:c>
    </x:row>
    <x:row r="31" ht="26" customHeight="1">
      <x:c r="A31" s="1"/>
      <x:c r="B31" s="1"/>
      <x:c r="C31" s="9" t="str">
        <x:f>IF(Borrowers!C31="","",Borrowers!C31)</x:f>
        <x:v>B023</x:v>
      </x:c>
      <x:c r="D31" s="3" t="n">
        <x:v>1</x:v>
      </x:c>
      <x:c r="E31" s="9" t="n">
        <x:f>Settings!$F$18+0</x:f>
        <x:v>2027</x:v>
      </x:c>
      <x:c r="F31" s="9" t="str">
        <x:f>IF(C31="","",INDEX('Borrowers'!$F$9:$F$108,MATCH(C31,'Borrowers'!$C$9:$C$108,0)))</x:f>
        <x:v>Technology</x:v>
      </x:c>
      <x:c r="G31" s="23" t="n">
        <x:f>IF(C31="","",IFERROR(INDEX('Borrowers'!$J$9:$J$108,MATCH(C31,'Borrowers'!$C$9:$C$108,0))-INDEX('Borrowers'!$K$9:$K$108,MATCH(C31,'Borrowers'!$C$9:$C$108,0)),"Unavailable"))</x:f>
        <x:v>39.7</x:v>
      </x:c>
      <x:c r="H31" s="23" t="n">
        <x:f>IF(C31="","",IFERROR(INDEX('Borrowers'!$I$9:$I$108,MATCH(C31,'Borrowers'!$C$9:$C$108,0))*INDEX('Borrowers'!$U$9:$U$108,MATCH(C31,'Borrowers'!$C$9:$C$108,0))*(IF(F31="Transport",'Scenario Paths'!F156,IF(F31="Technology",'Scenario Paths'!F150,IF(F31="Utilities",'Scenario Paths'!F144,IF(F31="Agriculture",'Scenario Paths'!F138,IF(F31="Manufacturing",'Scenario Paths'!F132,IF(F31="Healthcare",'Scenario Paths'!F126,IF(F31="Hospitality",'Scenario Paths'!F120,IF(F31="Property",'Scenario Paths'!F114,IF(F31="Food",'Scenario Paths'!F108,IF(F31="Logistics",'Scenario Paths'!F102,IF(F31="Solar",'Scenario Paths'!F96,IF(F31="Cement",'Scenario Paths'!F90,0))))))))))))),"Unavailable"))</x:f>
        <x:v>-1.2198</x:v>
      </x:c>
      <x:c r="I31" s="23" t="n">
        <x:f>IF(C31="","",IFERROR(INDEX('Borrowers'!$R$9:$R$108,MATCH(C31,'Borrowers'!$C$9:$C$108,0))*(1-INDEX('Borrowers'!$W$9:$W$108,MATCH(C31,'Borrowers'!$C$9:$C$108,0))*'Scenario Paths'!F39)*'Scenario Paths'!F9/1000000*(1-INDEX('Borrowers'!$T$9:$T$108,MATCH(C31,'Borrowers'!$C$9:$C$108,0))),"Unavailable"))</x:f>
        <x:v>0.08553599999999999</x:v>
      </x:c>
      <x:c r="J31" s="23" t="n">
        <x:f>IF(C31="","",IFERROR(INDEX('Borrowers'!$I$9:$I$108,MATCH(C31,'Borrowers'!$C$9:$C$108,0))*INDEX('Borrowers'!$S$9:$S$108,MATCH(C31,'Borrowers'!$C$9:$C$108,0))*'Scenario Paths'!F15*(1-INDEX('Borrowers'!$T$9:$T$108,MATCH(C31,'Borrowers'!$C$9:$C$108,0))),"Unavailable"))</x:f>
        <x:v>0.5296500000000001</x:v>
      </x:c>
      <x:c r="K31" s="23" t="n">
        <x:f>IF(C31="","",IFERROR(INDEX('Borrowers'!$I$9:$I$108,MATCH(C31,'Borrowers'!$C$9:$C$108,0))*INDEX('Borrowers'!$U$9:$U$108,MATCH(C31,'Borrowers'!$C$9:$C$108,0))*'Scenario Paths'!F21*S31,"Unavailable"))</x:f>
        <x:v>0.08587392000000002</x:v>
      </x:c>
      <x:c r="L31" s="23" t="n">
        <x:f>IF(C31="","",IFERROR(SUMPRODUCT((Sites!$D$9:$D$108=C31)*Sites!$H$9:$H$108*Sites!$J$9:$J$108*Sites!$K$9:$K$108*(1-Sites!$L$9:$L$108)*(1-Sites!$M$9:$M$108))*'Scenario Paths'!F27,"Unavailable"))</x:f>
        <x:v>0.06195200000000001</x:v>
      </x:c>
      <x:c r="M31" s="23" t="n">
        <x:f>IF(C31="","",IFERROR(INDEX('Borrowers'!$J$9:$J$108,MATCH(C31,'Borrowers'!$C$9:$C$108,0))+H31-SUM(I31:L31),"Unavailable"))</x:f>
        <x:v>43.017188080000004</x:v>
      </x:c>
      <x:c r="N31" s="23" t="n">
        <x:f>IF(C31="","",IFERROR(INDEX('Borrowers'!$I$9:$I$108,MATCH(C31,'Borrowers'!$C$9:$C$108,0))*'Scenario Paths'!F33,"Unavailable"))</x:f>
        <x:v>1.07</x:v>
      </x:c>
      <x:c r="O31" s="23" t="n">
        <x:f>IF(C31="","",IFERROR(M31-INDEX('Borrowers'!$K$9:$K$108,MATCH(C31,'Borrowers'!$C$9:$C$108,0))-N31,"Unavailable"))</x:f>
        <x:v>36.64718808000001</x:v>
      </x:c>
      <x:c r="P31" s="127" t="n">
        <x:f>IF(C31="","",IFERROR(O31/INDEX('Borrowers'!$L$9:$L$108,MATCH(C31,'Borrowers'!$C$9:$C$108,0)),"Unavailable"))</x:f>
        <x:v>3.1592403517241388</x:v>
      </x:c>
      <x:c r="Q31" s="30" t="n">
        <x:f>IF(C31="","",IFERROR(IF(INDEX('Borrowers'!$Z$9:$Z$108,MATCH(C31,'Borrowers'!$C$9:$C$108,0))="Yes",1,IF(INDEX('Borrowers'!$P$9:$P$108,MATCH(C31,'Borrowers'!$C$9:$C$108,0))=0,0,MIN(1,INDEX('Borrowers'!$P$9:$P$108,MATCH(C31,'Borrowers'!$C$9:$C$108,0))*EXP(MIN(20,INDEX('Borrowers'!$V$9:$V$108,MATCH(C31,'Borrowers'!$C$9:$C$108,0))*V31))))),"Unavailable"))</x:f>
        <x:v>1</x:v>
      </x:c>
      <x:c r="R31" s="30" t="n">
        <x:f>IF(C31="","",IFERROR(MIN(1,INDEX('Borrowers'!$Q$9:$Q$108,MATCH(C31,'Borrowers'!$C$9:$C$108,0))+(1-INDEX('Borrowers'!$Q$9:$Q$108,MATCH(C31,'Borrowers'!$C$9:$C$108,0)))*T31),"Unavailable"))</x:f>
        <x:v>0.36056320000000003</x:v>
      </x:c>
      <x:c r="S31" s="30" t="n">
        <x:f>IF(C31="","",IFERROR(SUMPRODUCT((Sites!$D$9:$D$108=C31)*Sites!$I$9:$I$108*Sites!$J$9:$J$108*Sites!$K$9:$K$108*(1-Sites!$L$9:$L$108)),"Unavailable"))</x:f>
        <x:v>0.17600000000000002</x:v>
      </x:c>
      <x:c r="T31" s="30" t="n">
        <x:f>IF(C31="","",IFERROR(MIN(1,(SUMPRODUCT((Sites!$D$9:$D$108=C31)*Sites!$N$9:$N$108*Sites!$J$9:$J$108*Sites!$K$9:$K$108*(1-Sites!$L$9:$L$108)))*'Scenario Paths'!F27),"Unavailable"))</x:f>
        <x:v>0.0008800000000000001</x:v>
      </x:c>
      <x:c r="U31" s="9" t="str">
        <x:f>IF(C31="","",IF(OR(INDEX('Borrowers'!$AA$9:$AA$108,MATCH(C31,'Borrowers'!$C$9:$C$108,0))&lt;&gt;"Ready",COUNTIF(Sites!$D$9:$D$108,C31)=0,COUNTIFS(Sites!$D$9:$D$108,C31,Sites!$Q$9:$Q$108,"&lt;&gt;Ready")&gt;0,'Scenario Paths'!$F$6&lt;&gt;"Ready"),"Review source inputs","Ready"))</x:f>
        <x:v>Ready</x:v>
      </x:c>
      <x:c r="V31" s="17" t="n">
        <x:f>IF(C31="","",IFERROR(MAX(-1,(G31-O31)/MAX(0.000001,G31)),"Unavailable"))</x:f>
        <x:v>0.07689702569269512</x:v>
      </x:c>
      <x:c r="W31" s="9" t="str">
        <x:f>IF(C31="","",IFERROR(INDEX('Borrowers'!$D$9:$D$108,MATCH(C31,'Borrowers'!$C$9:$C$108,0)),"Unavailable"))</x:f>
        <x:v>Demo Gulf Technology</x:v>
      </x:c>
    </x:row>
    <x:row r="32" ht="26" customHeight="1">
      <x:c r="A32" s="1"/>
      <x:c r="B32" s="1"/>
      <x:c r="C32" s="9" t="str">
        <x:f>IF(Borrowers!C32="","",Borrowers!C32)</x:f>
        <x:v>B024</x:v>
      </x:c>
      <x:c r="D32" s="3" t="n">
        <x:v>1</x:v>
      </x:c>
      <x:c r="E32" s="9" t="n">
        <x:f>Settings!$F$18+0</x:f>
        <x:v>2027</x:v>
      </x:c>
      <x:c r="F32" s="9" t="str">
        <x:f>IF(C32="","",INDEX('Borrowers'!$F$9:$F$108,MATCH(C32,'Borrowers'!$C$9:$C$108,0)))</x:f>
        <x:v>Transport</x:v>
      </x:c>
      <x:c r="G32" s="23" t="n">
        <x:f>IF(C32="","",IFERROR(INDEX('Borrowers'!$J$9:$J$108,MATCH(C32,'Borrowers'!$C$9:$C$108,0))-INDEX('Borrowers'!$K$9:$K$108,MATCH(C32,'Borrowers'!$C$9:$C$108,0)),"Unavailable"))</x:f>
        <x:v>41.05</x:v>
      </x:c>
      <x:c r="H32" s="23" t="n">
        <x:f>IF(C32="","",IFERROR(INDEX('Borrowers'!$I$9:$I$108,MATCH(C32,'Borrowers'!$C$9:$C$108,0))*INDEX('Borrowers'!$U$9:$U$108,MATCH(C32,'Borrowers'!$C$9:$C$108,0))*(IF(F32="Transport",'Scenario Paths'!F156,IF(F32="Technology",'Scenario Paths'!F150,IF(F32="Utilities",'Scenario Paths'!F144,IF(F32="Agriculture",'Scenario Paths'!F138,IF(F32="Manufacturing",'Scenario Paths'!F132,IF(F32="Healthcare",'Scenario Paths'!F126,IF(F32="Hospitality",'Scenario Paths'!F120,IF(F32="Property",'Scenario Paths'!F114,IF(F32="Food",'Scenario Paths'!F108,IF(F32="Logistics",'Scenario Paths'!F102,IF(F32="Solar",'Scenario Paths'!F96,IF(F32="Cement",'Scenario Paths'!F90,0))))))))))))),"Unavailable"))</x:f>
        <x:v>-1.4586</x:v>
      </x:c>
      <x:c r="I32" s="23" t="n">
        <x:f>IF(C32="","",IFERROR(INDEX('Borrowers'!$R$9:$R$108,MATCH(C32,'Borrowers'!$C$9:$C$108,0))*(1-INDEX('Borrowers'!$W$9:$W$108,MATCH(C32,'Borrowers'!$C$9:$C$108,0))*'Scenario Paths'!F39)*'Scenario Paths'!F9/1000000*(1-INDEX('Borrowers'!$T$9:$T$108,MATCH(C32,'Borrowers'!$C$9:$C$108,0))),"Unavailable"))</x:f>
        <x:v>0.068607</x:v>
      </x:c>
      <x:c r="J32" s="23" t="n">
        <x:f>IF(C32="","",IFERROR(INDEX('Borrowers'!$I$9:$I$108,MATCH(C32,'Borrowers'!$C$9:$C$108,0))*INDEX('Borrowers'!$S$9:$S$108,MATCH(C32,'Borrowers'!$C$9:$C$108,0))*'Scenario Paths'!F15*(1-INDEX('Borrowers'!$T$9:$T$108,MATCH(C32,'Borrowers'!$C$9:$C$108,0))),"Unavailable"))</x:f>
        <x:v>0.502775</x:v>
      </x:c>
      <x:c r="K32" s="23" t="n">
        <x:f>IF(C32="","",IFERROR(INDEX('Borrowers'!$I$9:$I$108,MATCH(C32,'Borrowers'!$C$9:$C$108,0))*INDEX('Borrowers'!$U$9:$U$108,MATCH(C32,'Borrowers'!$C$9:$C$108,0))*'Scenario Paths'!F21*S32,"Unavailable"))</x:f>
        <x:v>0.169897728</x:v>
      </x:c>
      <x:c r="L32" s="23" t="n">
        <x:f>IF(C32="","",IFERROR(SUMPRODUCT((Sites!$D$9:$D$108=C32)*Sites!$H$9:$H$108*Sites!$J$9:$J$108*Sites!$K$9:$K$108*(1-Sites!$L$9:$L$108)*(1-Sites!$M$9:$M$108))*'Scenario Paths'!F27,"Unavailable"))</x:f>
        <x:v>0.10570560000000001</x:v>
      </x:c>
      <x:c r="M32" s="23" t="n">
        <x:f>IF(C32="","",IFERROR(INDEX('Borrowers'!$J$9:$J$108,MATCH(C32,'Borrowers'!$C$9:$C$108,0))+H32-SUM(I32:L32),"Unavailable"))</x:f>
        <x:v>44.194414672</x:v>
      </x:c>
      <x:c r="N32" s="23" t="n">
        <x:f>IF(C32="","",IFERROR(INDEX('Borrowers'!$I$9:$I$108,MATCH(C32,'Borrowers'!$C$9:$C$108,0))*'Scenario Paths'!F33,"Unavailable"))</x:f>
        <x:v>1.105</x:v>
      </x:c>
      <x:c r="O32" s="23" t="n">
        <x:f>IF(C32="","",IFERROR(M32-INDEX('Borrowers'!$K$9:$K$108,MATCH(C32,'Borrowers'!$C$9:$C$108,0))-N32,"Unavailable"))</x:f>
        <x:v>37.63941467200001</x:v>
      </x:c>
      <x:c r="P32" s="127" t="n">
        <x:f>IF(C32="","",IFERROR(O32/INDEX('Borrowers'!$L$9:$L$108,MATCH(C32,'Borrowers'!$C$9:$C$108,0)),"Unavailable"))</x:f>
        <x:v>3.1629760228571437</x:v>
      </x:c>
      <x:c r="Q32" s="30" t="n">
        <x:f>IF(C32="","",IFERROR(IF(INDEX('Borrowers'!$Z$9:$Z$108,MATCH(C32,'Borrowers'!$C$9:$C$108,0))="Yes",1,IF(INDEX('Borrowers'!$P$9:$P$108,MATCH(C32,'Borrowers'!$C$9:$C$108,0))=0,0,MIN(1,INDEX('Borrowers'!$P$9:$P$108,MATCH(C32,'Borrowers'!$C$9:$C$108,0))*EXP(MIN(20,INDEX('Borrowers'!$V$9:$V$108,MATCH(C32,'Borrowers'!$C$9:$C$108,0))*V32))))),"Unavailable"))</x:f>
        <x:v>0.04797132883821896</x:v>
      </x:c>
      <x:c r="R32" s="30" t="n">
        <x:f>IF(C32="","",IFERROR(MIN(1,INDEX('Borrowers'!$Q$9:$Q$108,MATCH(C32,'Borrowers'!$C$9:$C$108,0))+(1-INDEX('Borrowers'!$Q$9:$Q$108,MATCH(C32,'Borrowers'!$C$9:$C$108,0)))*T32),"Unavailable"))</x:f>
        <x:v>0.4008736</x:v>
      </x:c>
      <x:c r="S32" s="30" t="n">
        <x:f>IF(C32="","",IFERROR(SUMPRODUCT((Sites!$D$9:$D$108=C32)*Sites!$I$9:$I$108*Sites!$J$9:$J$108*Sites!$K$9:$K$108*(1-Sites!$L$9:$L$108)),"Unavailable"))</x:f>
        <x:v>0.2912</x:v>
      </x:c>
      <x:c r="T32" s="30" t="n">
        <x:f>IF(C32="","",IFERROR(MIN(1,(SUMPRODUCT((Sites!$D$9:$D$108=C32)*Sites!$N$9:$N$108*Sites!$J$9:$J$108*Sites!$K$9:$K$108*(1-Sites!$L$9:$L$108)))*'Scenario Paths'!F27),"Unavailable"))</x:f>
        <x:v>0.001456</x:v>
      </x:c>
      <x:c r="U32" s="9" t="str">
        <x:f>IF(C32="","",IF(OR(INDEX('Borrowers'!$AA$9:$AA$108,MATCH(C32,'Borrowers'!$C$9:$C$108,0))&lt;&gt;"Ready",COUNTIF(Sites!$D$9:$D$108,C32)=0,COUNTIFS(Sites!$D$9:$D$108,C32,Sites!$Q$9:$Q$108,"&lt;&gt;Ready")&gt;0,'Scenario Paths'!$F$6&lt;&gt;"Ready"),"Review source inputs","Ready"))</x:f>
        <x:v>Ready</x:v>
      </x:c>
      <x:c r="V32" s="17" t="n">
        <x:f>IF(C32="","",IFERROR(MAX(-1,(G32-O32)/MAX(0.000001,G32)),"Unavailable"))</x:f>
        <x:v>0.08308368643118123</x:v>
      </x:c>
      <x:c r="W32" s="9" t="str">
        <x:f>IF(C32="","",IFERROR(INDEX('Borrowers'!$D$9:$D$108,MATCH(C32,'Borrowers'!$C$9:$C$108,0)),"Unavailable"))</x:f>
        <x:v>Demo Cairo Mobility</x:v>
      </x:c>
    </x:row>
    <x:row r="33" ht="26" customHeight="1">
      <x:c r="A33" s="1"/>
      <x:c r="B33" s="1"/>
      <x:c r="C33" s="9" t="str">
        <x:f>IF(Borrowers!C33="","",Borrowers!C33)</x:f>
      </x:c>
      <x:c r="D33" s="3" t="n">
        <x:v>1</x:v>
      </x:c>
      <x:c r="E33" s="9" t="n">
        <x:f>Settings!$F$18+0</x:f>
        <x:v>2027</x:v>
      </x:c>
      <x:c r="F33" s="9" t="str">
        <x:f>IF(C33="","",INDEX('Borrowers'!$F$9:$F$108,MATCH(C33,'Borrowers'!$C$9:$C$108,0)))</x:f>
      </x:c>
      <x:c r="G33" s="23" t="str">
        <x:f>IF(C33="","",IFERROR(INDEX('Borrowers'!$J$9:$J$108,MATCH(C33,'Borrowers'!$C$9:$C$108,0))-INDEX('Borrowers'!$K$9:$K$108,MATCH(C33,'Borrowers'!$C$9:$C$108,0)),"Unavailable"))</x:f>
      </x:c>
      <x:c r="H33" s="23" t="str">
        <x:f>IF(C33="","",IFERROR(INDEX('Borrowers'!$I$9:$I$108,MATCH(C33,'Borrowers'!$C$9:$C$108,0))*INDEX('Borrowers'!$U$9:$U$108,MATCH(C33,'Borrowers'!$C$9:$C$108,0))*(IF(F33="Transport",'Scenario Paths'!F156,IF(F33="Technology",'Scenario Paths'!F150,IF(F33="Utilities",'Scenario Paths'!F144,IF(F33="Agriculture",'Scenario Paths'!F138,IF(F33="Manufacturing",'Scenario Paths'!F132,IF(F33="Healthcare",'Scenario Paths'!F126,IF(F33="Hospitality",'Scenario Paths'!F120,IF(F33="Property",'Scenario Paths'!F114,IF(F33="Food",'Scenario Paths'!F108,IF(F33="Logistics",'Scenario Paths'!F102,IF(F33="Solar",'Scenario Paths'!F96,IF(F33="Cement",'Scenario Paths'!F90,0))))))))))))),"Unavailable"))</x:f>
      </x:c>
      <x:c r="I33" s="23" t="str">
        <x:f>IF(C33="","",IFERROR(INDEX('Borrowers'!$R$9:$R$108,MATCH(C33,'Borrowers'!$C$9:$C$108,0))*(1-INDEX('Borrowers'!$W$9:$W$108,MATCH(C33,'Borrowers'!$C$9:$C$108,0))*'Scenario Paths'!F39)*'Scenario Paths'!F9/1000000*(1-INDEX('Borrowers'!$T$9:$T$108,MATCH(C33,'Borrowers'!$C$9:$C$108,0))),"Unavailable"))</x:f>
      </x:c>
      <x:c r="J33" s="23" t="str">
        <x:f>IF(C33="","",IFERROR(INDEX('Borrowers'!$I$9:$I$108,MATCH(C33,'Borrowers'!$C$9:$C$108,0))*INDEX('Borrowers'!$S$9:$S$108,MATCH(C33,'Borrowers'!$C$9:$C$108,0))*'Scenario Paths'!F15*(1-INDEX('Borrowers'!$T$9:$T$108,MATCH(C33,'Borrowers'!$C$9:$C$108,0))),"Unavailable"))</x:f>
      </x:c>
      <x:c r="K33" s="23" t="str">
        <x:f>IF(C33="","",IFERROR(INDEX('Borrowers'!$I$9:$I$108,MATCH(C33,'Borrowers'!$C$9:$C$108,0))*INDEX('Borrowers'!$U$9:$U$108,MATCH(C33,'Borrowers'!$C$9:$C$108,0))*'Scenario Paths'!F21*S33,"Unavailable"))</x:f>
      </x:c>
      <x:c r="L33" s="23" t="str">
        <x:f>IF(C33="","",IFERROR(SUMPRODUCT((Sites!$D$9:$D$108=C33)*Sites!$H$9:$H$108*Sites!$J$9:$J$108*Sites!$K$9:$K$108*(1-Sites!$L$9:$L$108)*(1-Sites!$M$9:$M$108))*'Scenario Paths'!F27,"Unavailable"))</x:f>
      </x:c>
      <x:c r="M33" s="23" t="str">
        <x:f>IF(C33="","",IFERROR(INDEX('Borrowers'!$J$9:$J$108,MATCH(C33,'Borrowers'!$C$9:$C$108,0))+H33-SUM(I33:L33),"Unavailable"))</x:f>
      </x:c>
      <x:c r="N33" s="23" t="str">
        <x:f>IF(C33="","",IFERROR(INDEX('Borrowers'!$I$9:$I$108,MATCH(C33,'Borrowers'!$C$9:$C$108,0))*'Scenario Paths'!F33,"Unavailable"))</x:f>
      </x:c>
      <x:c r="O33" s="23" t="str">
        <x:f>IF(C33="","",IFERROR(M33-INDEX('Borrowers'!$K$9:$K$108,MATCH(C33,'Borrowers'!$C$9:$C$108,0))-N33,"Unavailable"))</x:f>
      </x:c>
      <x:c r="P33" s="127" t="str">
        <x:f>IF(C33="","",IFERROR(O33/INDEX('Borrowers'!$L$9:$L$108,MATCH(C33,'Borrowers'!$C$9:$C$108,0)),"Unavailable"))</x:f>
      </x:c>
      <x:c r="Q33" s="30" t="str">
        <x:f>IF(C33="","",IFERROR(IF(INDEX('Borrowers'!$Z$9:$Z$108,MATCH(C33,'Borrowers'!$C$9:$C$108,0))="Yes",1,IF(INDEX('Borrowers'!$P$9:$P$108,MATCH(C33,'Borrowers'!$C$9:$C$108,0))=0,0,MIN(1,INDEX('Borrowers'!$P$9:$P$108,MATCH(C33,'Borrowers'!$C$9:$C$108,0))*EXP(MIN(20,INDEX('Borrowers'!$V$9:$V$108,MATCH(C33,'Borrowers'!$C$9:$C$108,0))*V33))))),"Unavailable"))</x:f>
      </x:c>
      <x:c r="R33" s="30" t="str">
        <x:f>IF(C33="","",IFERROR(MIN(1,INDEX('Borrowers'!$Q$9:$Q$108,MATCH(C33,'Borrowers'!$C$9:$C$108,0))+(1-INDEX('Borrowers'!$Q$9:$Q$108,MATCH(C33,'Borrowers'!$C$9:$C$108,0)))*T33),"Unavailable"))</x:f>
      </x:c>
      <x:c r="S33" s="30" t="str">
        <x:f>IF(C33="","",IFERROR(SUMPRODUCT((Sites!$D$9:$D$108=C33)*Sites!$I$9:$I$108*Sites!$J$9:$J$108*Sites!$K$9:$K$108*(1-Sites!$L$9:$L$108)),"Unavailable"))</x:f>
      </x:c>
      <x:c r="T33" s="30" t="str">
        <x:f>IF(C33="","",IFERROR(MIN(1,(SUMPRODUCT((Sites!$D$9:$D$108=C33)*Sites!$N$9:$N$108*Sites!$J$9:$J$108*Sites!$K$9:$K$108*(1-Sites!$L$9:$L$108)))*'Scenario Paths'!F27),"Unavailable"))</x:f>
      </x:c>
      <x:c r="U33" s="9" t="str">
        <x:f>IF(C33="","",IF(OR(INDEX('Borrowers'!$AA$9:$AA$108,MATCH(C33,'Borrowers'!$C$9:$C$108,0))&lt;&gt;"Ready",COUNTIF(Sites!$D$9:$D$108,C33)=0,COUNTIFS(Sites!$D$9:$D$108,C33,Sites!$Q$9:$Q$108,"&lt;&gt;Ready")&gt;0,'Scenario Paths'!$F$6&lt;&gt;"Ready"),"Review source inputs","Ready"))</x:f>
      </x:c>
      <x:c r="V33" s="17" t="str">
        <x:f>IF(C33="","",IFERROR(MAX(-1,(G33-O33)/MAX(0.000001,G33)),"Unavailable"))</x:f>
      </x:c>
      <x:c r="W33" s="9" t="str">
        <x:f>IF(C33="","",IFERROR(INDEX('Borrowers'!$D$9:$D$108,MATCH(C33,'Borrowers'!$C$9:$C$108,0)),"Unavailable"))</x:f>
      </x:c>
    </x:row>
    <x:row r="34" ht="26" customHeight="1">
      <x:c r="A34" s="1"/>
      <x:c r="B34" s="1"/>
      <x:c r="C34" s="9" t="str">
        <x:f>IF(Borrowers!C34="","",Borrowers!C34)</x:f>
      </x:c>
      <x:c r="D34" s="3" t="n">
        <x:v>1</x:v>
      </x:c>
      <x:c r="E34" s="9" t="n">
        <x:f>Settings!$F$18+0</x:f>
        <x:v>2027</x:v>
      </x:c>
      <x:c r="F34" s="9" t="str">
        <x:f>IF(C34="","",INDEX('Borrowers'!$F$9:$F$108,MATCH(C34,'Borrowers'!$C$9:$C$108,0)))</x:f>
      </x:c>
      <x:c r="G34" s="23" t="str">
        <x:f>IF(C34="","",IFERROR(INDEX('Borrowers'!$J$9:$J$108,MATCH(C34,'Borrowers'!$C$9:$C$108,0))-INDEX('Borrowers'!$K$9:$K$108,MATCH(C34,'Borrowers'!$C$9:$C$108,0)),"Unavailable"))</x:f>
      </x:c>
      <x:c r="H34" s="23" t="str">
        <x:f>IF(C34="","",IFERROR(INDEX('Borrowers'!$I$9:$I$108,MATCH(C34,'Borrowers'!$C$9:$C$108,0))*INDEX('Borrowers'!$U$9:$U$108,MATCH(C34,'Borrowers'!$C$9:$C$108,0))*(IF(F34="Transport",'Scenario Paths'!F156,IF(F34="Technology",'Scenario Paths'!F150,IF(F34="Utilities",'Scenario Paths'!F144,IF(F34="Agriculture",'Scenario Paths'!F138,IF(F34="Manufacturing",'Scenario Paths'!F132,IF(F34="Healthcare",'Scenario Paths'!F126,IF(F34="Hospitality",'Scenario Paths'!F120,IF(F34="Property",'Scenario Paths'!F114,IF(F34="Food",'Scenario Paths'!F108,IF(F34="Logistics",'Scenario Paths'!F102,IF(F34="Solar",'Scenario Paths'!F96,IF(F34="Cement",'Scenario Paths'!F90,0))))))))))))),"Unavailable"))</x:f>
      </x:c>
      <x:c r="I34" s="23" t="str">
        <x:f>IF(C34="","",IFERROR(INDEX('Borrowers'!$R$9:$R$108,MATCH(C34,'Borrowers'!$C$9:$C$108,0))*(1-INDEX('Borrowers'!$W$9:$W$108,MATCH(C34,'Borrowers'!$C$9:$C$108,0))*'Scenario Paths'!F39)*'Scenario Paths'!F9/1000000*(1-INDEX('Borrowers'!$T$9:$T$108,MATCH(C34,'Borrowers'!$C$9:$C$108,0))),"Unavailable"))</x:f>
      </x:c>
      <x:c r="J34" s="23" t="str">
        <x:f>IF(C34="","",IFERROR(INDEX('Borrowers'!$I$9:$I$108,MATCH(C34,'Borrowers'!$C$9:$C$108,0))*INDEX('Borrowers'!$S$9:$S$108,MATCH(C34,'Borrowers'!$C$9:$C$108,0))*'Scenario Paths'!F15*(1-INDEX('Borrowers'!$T$9:$T$108,MATCH(C34,'Borrowers'!$C$9:$C$108,0))),"Unavailable"))</x:f>
      </x:c>
      <x:c r="K34" s="23" t="str">
        <x:f>IF(C34="","",IFERROR(INDEX('Borrowers'!$I$9:$I$108,MATCH(C34,'Borrowers'!$C$9:$C$108,0))*INDEX('Borrowers'!$U$9:$U$108,MATCH(C34,'Borrowers'!$C$9:$C$108,0))*'Scenario Paths'!F21*S34,"Unavailable"))</x:f>
      </x:c>
      <x:c r="L34" s="23" t="str">
        <x:f>IF(C34="","",IFERROR(SUMPRODUCT((Sites!$D$9:$D$108=C34)*Sites!$H$9:$H$108*Sites!$J$9:$J$108*Sites!$K$9:$K$108*(1-Sites!$L$9:$L$108)*(1-Sites!$M$9:$M$108))*'Scenario Paths'!F27,"Unavailable"))</x:f>
      </x:c>
      <x:c r="M34" s="23" t="str">
        <x:f>IF(C34="","",IFERROR(INDEX('Borrowers'!$J$9:$J$108,MATCH(C34,'Borrowers'!$C$9:$C$108,0))+H34-SUM(I34:L34),"Unavailable"))</x:f>
      </x:c>
      <x:c r="N34" s="23" t="str">
        <x:f>IF(C34="","",IFERROR(INDEX('Borrowers'!$I$9:$I$108,MATCH(C34,'Borrowers'!$C$9:$C$108,0))*'Scenario Paths'!F33,"Unavailable"))</x:f>
      </x:c>
      <x:c r="O34" s="23" t="str">
        <x:f>IF(C34="","",IFERROR(M34-INDEX('Borrowers'!$K$9:$K$108,MATCH(C34,'Borrowers'!$C$9:$C$108,0))-N34,"Unavailable"))</x:f>
      </x:c>
      <x:c r="P34" s="127" t="str">
        <x:f>IF(C34="","",IFERROR(O34/INDEX('Borrowers'!$L$9:$L$108,MATCH(C34,'Borrowers'!$C$9:$C$108,0)),"Unavailable"))</x:f>
      </x:c>
      <x:c r="Q34" s="30" t="str">
        <x:f>IF(C34="","",IFERROR(IF(INDEX('Borrowers'!$Z$9:$Z$108,MATCH(C34,'Borrowers'!$C$9:$C$108,0))="Yes",1,IF(INDEX('Borrowers'!$P$9:$P$108,MATCH(C34,'Borrowers'!$C$9:$C$108,0))=0,0,MIN(1,INDEX('Borrowers'!$P$9:$P$108,MATCH(C34,'Borrowers'!$C$9:$C$108,0))*EXP(MIN(20,INDEX('Borrowers'!$V$9:$V$108,MATCH(C34,'Borrowers'!$C$9:$C$108,0))*V34))))),"Unavailable"))</x:f>
      </x:c>
      <x:c r="R34" s="30" t="str">
        <x:f>IF(C34="","",IFERROR(MIN(1,INDEX('Borrowers'!$Q$9:$Q$108,MATCH(C34,'Borrowers'!$C$9:$C$108,0))+(1-INDEX('Borrowers'!$Q$9:$Q$108,MATCH(C34,'Borrowers'!$C$9:$C$108,0)))*T34),"Unavailable"))</x:f>
      </x:c>
      <x:c r="S34" s="30" t="str">
        <x:f>IF(C34="","",IFERROR(SUMPRODUCT((Sites!$D$9:$D$108=C34)*Sites!$I$9:$I$108*Sites!$J$9:$J$108*Sites!$K$9:$K$108*(1-Sites!$L$9:$L$108)),"Unavailable"))</x:f>
      </x:c>
      <x:c r="T34" s="30" t="str">
        <x:f>IF(C34="","",IFERROR(MIN(1,(SUMPRODUCT((Sites!$D$9:$D$108=C34)*Sites!$N$9:$N$108*Sites!$J$9:$J$108*Sites!$K$9:$K$108*(1-Sites!$L$9:$L$108)))*'Scenario Paths'!F27),"Unavailable"))</x:f>
      </x:c>
      <x:c r="U34" s="9" t="str">
        <x:f>IF(C34="","",IF(OR(INDEX('Borrowers'!$AA$9:$AA$108,MATCH(C34,'Borrowers'!$C$9:$C$108,0))&lt;&gt;"Ready",COUNTIF(Sites!$D$9:$D$108,C34)=0,COUNTIFS(Sites!$D$9:$D$108,C34,Sites!$Q$9:$Q$108,"&lt;&gt;Ready")&gt;0,'Scenario Paths'!$F$6&lt;&gt;"Ready"),"Review source inputs","Ready"))</x:f>
      </x:c>
      <x:c r="V34" s="17" t="str">
        <x:f>IF(C34="","",IFERROR(MAX(-1,(G34-O34)/MAX(0.000001,G34)),"Unavailable"))</x:f>
      </x:c>
      <x:c r="W34" s="9" t="str">
        <x:f>IF(C34="","",IFERROR(INDEX('Borrowers'!$D$9:$D$108,MATCH(C34,'Borrowers'!$C$9:$C$108,0)),"Unavailable"))</x:f>
      </x:c>
    </x:row>
    <x:row r="35" ht="26" customHeight="1">
      <x:c r="A35" s="1"/>
      <x:c r="B35" s="1"/>
      <x:c r="C35" s="9" t="str">
        <x:f>IF(Borrowers!C35="","",Borrowers!C35)</x:f>
      </x:c>
      <x:c r="D35" s="3" t="n">
        <x:v>1</x:v>
      </x:c>
      <x:c r="E35" s="9" t="n">
        <x:f>Settings!$F$18+0</x:f>
        <x:v>2027</x:v>
      </x:c>
      <x:c r="F35" s="9" t="str">
        <x:f>IF(C35="","",INDEX('Borrowers'!$F$9:$F$108,MATCH(C35,'Borrowers'!$C$9:$C$108,0)))</x:f>
      </x:c>
      <x:c r="G35" s="23" t="str">
        <x:f>IF(C35="","",IFERROR(INDEX('Borrowers'!$J$9:$J$108,MATCH(C35,'Borrowers'!$C$9:$C$108,0))-INDEX('Borrowers'!$K$9:$K$108,MATCH(C35,'Borrowers'!$C$9:$C$108,0)),"Unavailable"))</x:f>
      </x:c>
      <x:c r="H35" s="23" t="str">
        <x:f>IF(C35="","",IFERROR(INDEX('Borrowers'!$I$9:$I$108,MATCH(C35,'Borrowers'!$C$9:$C$108,0))*INDEX('Borrowers'!$U$9:$U$108,MATCH(C35,'Borrowers'!$C$9:$C$108,0))*(IF(F35="Transport",'Scenario Paths'!F156,IF(F35="Technology",'Scenario Paths'!F150,IF(F35="Utilities",'Scenario Paths'!F144,IF(F35="Agriculture",'Scenario Paths'!F138,IF(F35="Manufacturing",'Scenario Paths'!F132,IF(F35="Healthcare",'Scenario Paths'!F126,IF(F35="Hospitality",'Scenario Paths'!F120,IF(F35="Property",'Scenario Paths'!F114,IF(F35="Food",'Scenario Paths'!F108,IF(F35="Logistics",'Scenario Paths'!F102,IF(F35="Solar",'Scenario Paths'!F96,IF(F35="Cement",'Scenario Paths'!F90,0))))))))))))),"Unavailable"))</x:f>
      </x:c>
      <x:c r="I35" s="23" t="str">
        <x:f>IF(C35="","",IFERROR(INDEX('Borrowers'!$R$9:$R$108,MATCH(C35,'Borrowers'!$C$9:$C$108,0))*(1-INDEX('Borrowers'!$W$9:$W$108,MATCH(C35,'Borrowers'!$C$9:$C$108,0))*'Scenario Paths'!F39)*'Scenario Paths'!F9/1000000*(1-INDEX('Borrowers'!$T$9:$T$108,MATCH(C35,'Borrowers'!$C$9:$C$108,0))),"Unavailable"))</x:f>
      </x:c>
      <x:c r="J35" s="23" t="str">
        <x:f>IF(C35="","",IFERROR(INDEX('Borrowers'!$I$9:$I$108,MATCH(C35,'Borrowers'!$C$9:$C$108,0))*INDEX('Borrowers'!$S$9:$S$108,MATCH(C35,'Borrowers'!$C$9:$C$108,0))*'Scenario Paths'!F15*(1-INDEX('Borrowers'!$T$9:$T$108,MATCH(C35,'Borrowers'!$C$9:$C$108,0))),"Unavailable"))</x:f>
      </x:c>
      <x:c r="K35" s="23" t="str">
        <x:f>IF(C35="","",IFERROR(INDEX('Borrowers'!$I$9:$I$108,MATCH(C35,'Borrowers'!$C$9:$C$108,0))*INDEX('Borrowers'!$U$9:$U$108,MATCH(C35,'Borrowers'!$C$9:$C$108,0))*'Scenario Paths'!F21*S35,"Unavailable"))</x:f>
      </x:c>
      <x:c r="L35" s="23" t="str">
        <x:f>IF(C35="","",IFERROR(SUMPRODUCT((Sites!$D$9:$D$108=C35)*Sites!$H$9:$H$108*Sites!$J$9:$J$108*Sites!$K$9:$K$108*(1-Sites!$L$9:$L$108)*(1-Sites!$M$9:$M$108))*'Scenario Paths'!F27,"Unavailable"))</x:f>
      </x:c>
      <x:c r="M35" s="23" t="str">
        <x:f>IF(C35="","",IFERROR(INDEX('Borrowers'!$J$9:$J$108,MATCH(C35,'Borrowers'!$C$9:$C$108,0))+H35-SUM(I35:L35),"Unavailable"))</x:f>
      </x:c>
      <x:c r="N35" s="23" t="str">
        <x:f>IF(C35="","",IFERROR(INDEX('Borrowers'!$I$9:$I$108,MATCH(C35,'Borrowers'!$C$9:$C$108,0))*'Scenario Paths'!F33,"Unavailable"))</x:f>
      </x:c>
      <x:c r="O35" s="23" t="str">
        <x:f>IF(C35="","",IFERROR(M35-INDEX('Borrowers'!$K$9:$K$108,MATCH(C35,'Borrowers'!$C$9:$C$108,0))-N35,"Unavailable"))</x:f>
      </x:c>
      <x:c r="P35" s="127" t="str">
        <x:f>IF(C35="","",IFERROR(O35/INDEX('Borrowers'!$L$9:$L$108,MATCH(C35,'Borrowers'!$C$9:$C$108,0)),"Unavailable"))</x:f>
      </x:c>
      <x:c r="Q35" s="30" t="str">
        <x:f>IF(C35="","",IFERROR(IF(INDEX('Borrowers'!$Z$9:$Z$108,MATCH(C35,'Borrowers'!$C$9:$C$108,0))="Yes",1,IF(INDEX('Borrowers'!$P$9:$P$108,MATCH(C35,'Borrowers'!$C$9:$C$108,0))=0,0,MIN(1,INDEX('Borrowers'!$P$9:$P$108,MATCH(C35,'Borrowers'!$C$9:$C$108,0))*EXP(MIN(20,INDEX('Borrowers'!$V$9:$V$108,MATCH(C35,'Borrowers'!$C$9:$C$108,0))*V35))))),"Unavailable"))</x:f>
      </x:c>
      <x:c r="R35" s="30" t="str">
        <x:f>IF(C35="","",IFERROR(MIN(1,INDEX('Borrowers'!$Q$9:$Q$108,MATCH(C35,'Borrowers'!$C$9:$C$108,0))+(1-INDEX('Borrowers'!$Q$9:$Q$108,MATCH(C35,'Borrowers'!$C$9:$C$108,0)))*T35),"Unavailable"))</x:f>
      </x:c>
      <x:c r="S35" s="30" t="str">
        <x:f>IF(C35="","",IFERROR(SUMPRODUCT((Sites!$D$9:$D$108=C35)*Sites!$I$9:$I$108*Sites!$J$9:$J$108*Sites!$K$9:$K$108*(1-Sites!$L$9:$L$108)),"Unavailable"))</x:f>
      </x:c>
      <x:c r="T35" s="30" t="str">
        <x:f>IF(C35="","",IFERROR(MIN(1,(SUMPRODUCT((Sites!$D$9:$D$108=C35)*Sites!$N$9:$N$108*Sites!$J$9:$J$108*Sites!$K$9:$K$108*(1-Sites!$L$9:$L$108)))*'Scenario Paths'!F27),"Unavailable"))</x:f>
      </x:c>
      <x:c r="U35" s="9" t="str">
        <x:f>IF(C35="","",IF(OR(INDEX('Borrowers'!$AA$9:$AA$108,MATCH(C35,'Borrowers'!$C$9:$C$108,0))&lt;&gt;"Ready",COUNTIF(Sites!$D$9:$D$108,C35)=0,COUNTIFS(Sites!$D$9:$D$108,C35,Sites!$Q$9:$Q$108,"&lt;&gt;Ready")&gt;0,'Scenario Paths'!$F$6&lt;&gt;"Ready"),"Review source inputs","Ready"))</x:f>
      </x:c>
      <x:c r="V35" s="17" t="str">
        <x:f>IF(C35="","",IFERROR(MAX(-1,(G35-O35)/MAX(0.000001,G35)),"Unavailable"))</x:f>
      </x:c>
      <x:c r="W35" s="9" t="str">
        <x:f>IF(C35="","",IFERROR(INDEX('Borrowers'!$D$9:$D$108,MATCH(C35,'Borrowers'!$C$9:$C$108,0)),"Unavailable"))</x:f>
      </x:c>
    </x:row>
    <x:row r="36" ht="26" customHeight="1">
      <x:c r="A36" s="1"/>
      <x:c r="B36" s="1"/>
      <x:c r="C36" s="9" t="str">
        <x:f>IF(Borrowers!C36="","",Borrowers!C36)</x:f>
      </x:c>
      <x:c r="D36" s="3" t="n">
        <x:v>1</x:v>
      </x:c>
      <x:c r="E36" s="9" t="n">
        <x:f>Settings!$F$18+0</x:f>
        <x:v>2027</x:v>
      </x:c>
      <x:c r="F36" s="9" t="str">
        <x:f>IF(C36="","",INDEX('Borrowers'!$F$9:$F$108,MATCH(C36,'Borrowers'!$C$9:$C$108,0)))</x:f>
      </x:c>
      <x:c r="G36" s="23" t="str">
        <x:f>IF(C36="","",IFERROR(INDEX('Borrowers'!$J$9:$J$108,MATCH(C36,'Borrowers'!$C$9:$C$108,0))-INDEX('Borrowers'!$K$9:$K$108,MATCH(C36,'Borrowers'!$C$9:$C$108,0)),"Unavailable"))</x:f>
      </x:c>
      <x:c r="H36" s="23" t="str">
        <x:f>IF(C36="","",IFERROR(INDEX('Borrowers'!$I$9:$I$108,MATCH(C36,'Borrowers'!$C$9:$C$108,0))*INDEX('Borrowers'!$U$9:$U$108,MATCH(C36,'Borrowers'!$C$9:$C$108,0))*(IF(F36="Transport",'Scenario Paths'!F156,IF(F36="Technology",'Scenario Paths'!F150,IF(F36="Utilities",'Scenario Paths'!F144,IF(F36="Agriculture",'Scenario Paths'!F138,IF(F36="Manufacturing",'Scenario Paths'!F132,IF(F36="Healthcare",'Scenario Paths'!F126,IF(F36="Hospitality",'Scenario Paths'!F120,IF(F36="Property",'Scenario Paths'!F114,IF(F36="Food",'Scenario Paths'!F108,IF(F36="Logistics",'Scenario Paths'!F102,IF(F36="Solar",'Scenario Paths'!F96,IF(F36="Cement",'Scenario Paths'!F90,0))))))))))))),"Unavailable"))</x:f>
      </x:c>
      <x:c r="I36" s="23" t="str">
        <x:f>IF(C36="","",IFERROR(INDEX('Borrowers'!$R$9:$R$108,MATCH(C36,'Borrowers'!$C$9:$C$108,0))*(1-INDEX('Borrowers'!$W$9:$W$108,MATCH(C36,'Borrowers'!$C$9:$C$108,0))*'Scenario Paths'!F39)*'Scenario Paths'!F9/1000000*(1-INDEX('Borrowers'!$T$9:$T$108,MATCH(C36,'Borrowers'!$C$9:$C$108,0))),"Unavailable"))</x:f>
      </x:c>
      <x:c r="J36" s="23" t="str">
        <x:f>IF(C36="","",IFERROR(INDEX('Borrowers'!$I$9:$I$108,MATCH(C36,'Borrowers'!$C$9:$C$108,0))*INDEX('Borrowers'!$S$9:$S$108,MATCH(C36,'Borrowers'!$C$9:$C$108,0))*'Scenario Paths'!F15*(1-INDEX('Borrowers'!$T$9:$T$108,MATCH(C36,'Borrowers'!$C$9:$C$108,0))),"Unavailable"))</x:f>
      </x:c>
      <x:c r="K36" s="23" t="str">
        <x:f>IF(C36="","",IFERROR(INDEX('Borrowers'!$I$9:$I$108,MATCH(C36,'Borrowers'!$C$9:$C$108,0))*INDEX('Borrowers'!$U$9:$U$108,MATCH(C36,'Borrowers'!$C$9:$C$108,0))*'Scenario Paths'!F21*S36,"Unavailable"))</x:f>
      </x:c>
      <x:c r="L36" s="23" t="str">
        <x:f>IF(C36="","",IFERROR(SUMPRODUCT((Sites!$D$9:$D$108=C36)*Sites!$H$9:$H$108*Sites!$J$9:$J$108*Sites!$K$9:$K$108*(1-Sites!$L$9:$L$108)*(1-Sites!$M$9:$M$108))*'Scenario Paths'!F27,"Unavailable"))</x:f>
      </x:c>
      <x:c r="M36" s="23" t="str">
        <x:f>IF(C36="","",IFERROR(INDEX('Borrowers'!$J$9:$J$108,MATCH(C36,'Borrowers'!$C$9:$C$108,0))+H36-SUM(I36:L36),"Unavailable"))</x:f>
      </x:c>
      <x:c r="N36" s="23" t="str">
        <x:f>IF(C36="","",IFERROR(INDEX('Borrowers'!$I$9:$I$108,MATCH(C36,'Borrowers'!$C$9:$C$108,0))*'Scenario Paths'!F33,"Unavailable"))</x:f>
      </x:c>
      <x:c r="O36" s="23" t="str">
        <x:f>IF(C36="","",IFERROR(M36-INDEX('Borrowers'!$K$9:$K$108,MATCH(C36,'Borrowers'!$C$9:$C$108,0))-N36,"Unavailable"))</x:f>
      </x:c>
      <x:c r="P36" s="127" t="str">
        <x:f>IF(C36="","",IFERROR(O36/INDEX('Borrowers'!$L$9:$L$108,MATCH(C36,'Borrowers'!$C$9:$C$108,0)),"Unavailable"))</x:f>
      </x:c>
      <x:c r="Q36" s="30" t="str">
        <x:f>IF(C36="","",IFERROR(IF(INDEX('Borrowers'!$Z$9:$Z$108,MATCH(C36,'Borrowers'!$C$9:$C$108,0))="Yes",1,IF(INDEX('Borrowers'!$P$9:$P$108,MATCH(C36,'Borrowers'!$C$9:$C$108,0))=0,0,MIN(1,INDEX('Borrowers'!$P$9:$P$108,MATCH(C36,'Borrowers'!$C$9:$C$108,0))*EXP(MIN(20,INDEX('Borrowers'!$V$9:$V$108,MATCH(C36,'Borrowers'!$C$9:$C$108,0))*V36))))),"Unavailable"))</x:f>
      </x:c>
      <x:c r="R36" s="30" t="str">
        <x:f>IF(C36="","",IFERROR(MIN(1,INDEX('Borrowers'!$Q$9:$Q$108,MATCH(C36,'Borrowers'!$C$9:$C$108,0))+(1-INDEX('Borrowers'!$Q$9:$Q$108,MATCH(C36,'Borrowers'!$C$9:$C$108,0)))*T36),"Unavailable"))</x:f>
      </x:c>
      <x:c r="S36" s="30" t="str">
        <x:f>IF(C36="","",IFERROR(SUMPRODUCT((Sites!$D$9:$D$108=C36)*Sites!$I$9:$I$108*Sites!$J$9:$J$108*Sites!$K$9:$K$108*(1-Sites!$L$9:$L$108)),"Unavailable"))</x:f>
      </x:c>
      <x:c r="T36" s="30" t="str">
        <x:f>IF(C36="","",IFERROR(MIN(1,(SUMPRODUCT((Sites!$D$9:$D$108=C36)*Sites!$N$9:$N$108*Sites!$J$9:$J$108*Sites!$K$9:$K$108*(1-Sites!$L$9:$L$108)))*'Scenario Paths'!F27),"Unavailable"))</x:f>
      </x:c>
      <x:c r="U36" s="9" t="str">
        <x:f>IF(C36="","",IF(OR(INDEX('Borrowers'!$AA$9:$AA$108,MATCH(C36,'Borrowers'!$C$9:$C$108,0))&lt;&gt;"Ready",COUNTIF(Sites!$D$9:$D$108,C36)=0,COUNTIFS(Sites!$D$9:$D$108,C36,Sites!$Q$9:$Q$108,"&lt;&gt;Ready")&gt;0,'Scenario Paths'!$F$6&lt;&gt;"Ready"),"Review source inputs","Ready"))</x:f>
      </x:c>
      <x:c r="V36" s="17" t="str">
        <x:f>IF(C36="","",IFERROR(MAX(-1,(G36-O36)/MAX(0.000001,G36)),"Unavailable"))</x:f>
      </x:c>
      <x:c r="W36" s="9" t="str">
        <x:f>IF(C36="","",IFERROR(INDEX('Borrowers'!$D$9:$D$108,MATCH(C36,'Borrowers'!$C$9:$C$108,0)),"Unavailable"))</x:f>
      </x:c>
    </x:row>
    <x:row r="37" ht="26" customHeight="1">
      <x:c r="A37" s="1"/>
      <x:c r="B37" s="1"/>
      <x:c r="C37" s="9" t="str">
        <x:f>IF(Borrowers!C37="","",Borrowers!C37)</x:f>
      </x:c>
      <x:c r="D37" s="3" t="n">
        <x:v>1</x:v>
      </x:c>
      <x:c r="E37" s="9" t="n">
        <x:f>Settings!$F$18+0</x:f>
        <x:v>2027</x:v>
      </x:c>
      <x:c r="F37" s="9" t="str">
        <x:f>IF(C37="","",INDEX('Borrowers'!$F$9:$F$108,MATCH(C37,'Borrowers'!$C$9:$C$108,0)))</x:f>
      </x:c>
      <x:c r="G37" s="23" t="str">
        <x:f>IF(C37="","",IFERROR(INDEX('Borrowers'!$J$9:$J$108,MATCH(C37,'Borrowers'!$C$9:$C$108,0))-INDEX('Borrowers'!$K$9:$K$108,MATCH(C37,'Borrowers'!$C$9:$C$108,0)),"Unavailable"))</x:f>
      </x:c>
      <x:c r="H37" s="23" t="str">
        <x:f>IF(C37="","",IFERROR(INDEX('Borrowers'!$I$9:$I$108,MATCH(C37,'Borrowers'!$C$9:$C$108,0))*INDEX('Borrowers'!$U$9:$U$108,MATCH(C37,'Borrowers'!$C$9:$C$108,0))*(IF(F37="Transport",'Scenario Paths'!F156,IF(F37="Technology",'Scenario Paths'!F150,IF(F37="Utilities",'Scenario Paths'!F144,IF(F37="Agriculture",'Scenario Paths'!F138,IF(F37="Manufacturing",'Scenario Paths'!F132,IF(F37="Healthcare",'Scenario Paths'!F126,IF(F37="Hospitality",'Scenario Paths'!F120,IF(F37="Property",'Scenario Paths'!F114,IF(F37="Food",'Scenario Paths'!F108,IF(F37="Logistics",'Scenario Paths'!F102,IF(F37="Solar",'Scenario Paths'!F96,IF(F37="Cement",'Scenario Paths'!F90,0))))))))))))),"Unavailable"))</x:f>
      </x:c>
      <x:c r="I37" s="23" t="str">
        <x:f>IF(C37="","",IFERROR(INDEX('Borrowers'!$R$9:$R$108,MATCH(C37,'Borrowers'!$C$9:$C$108,0))*(1-INDEX('Borrowers'!$W$9:$W$108,MATCH(C37,'Borrowers'!$C$9:$C$108,0))*'Scenario Paths'!F39)*'Scenario Paths'!F9/1000000*(1-INDEX('Borrowers'!$T$9:$T$108,MATCH(C37,'Borrowers'!$C$9:$C$108,0))),"Unavailable"))</x:f>
      </x:c>
      <x:c r="J37" s="23" t="str">
        <x:f>IF(C37="","",IFERROR(INDEX('Borrowers'!$I$9:$I$108,MATCH(C37,'Borrowers'!$C$9:$C$108,0))*INDEX('Borrowers'!$S$9:$S$108,MATCH(C37,'Borrowers'!$C$9:$C$108,0))*'Scenario Paths'!F15*(1-INDEX('Borrowers'!$T$9:$T$108,MATCH(C37,'Borrowers'!$C$9:$C$108,0))),"Unavailable"))</x:f>
      </x:c>
      <x:c r="K37" s="23" t="str">
        <x:f>IF(C37="","",IFERROR(INDEX('Borrowers'!$I$9:$I$108,MATCH(C37,'Borrowers'!$C$9:$C$108,0))*INDEX('Borrowers'!$U$9:$U$108,MATCH(C37,'Borrowers'!$C$9:$C$108,0))*'Scenario Paths'!F21*S37,"Unavailable"))</x:f>
      </x:c>
      <x:c r="L37" s="23" t="str">
        <x:f>IF(C37="","",IFERROR(SUMPRODUCT((Sites!$D$9:$D$108=C37)*Sites!$H$9:$H$108*Sites!$J$9:$J$108*Sites!$K$9:$K$108*(1-Sites!$L$9:$L$108)*(1-Sites!$M$9:$M$108))*'Scenario Paths'!F27,"Unavailable"))</x:f>
      </x:c>
      <x:c r="M37" s="23" t="str">
        <x:f>IF(C37="","",IFERROR(INDEX('Borrowers'!$J$9:$J$108,MATCH(C37,'Borrowers'!$C$9:$C$108,0))+H37-SUM(I37:L37),"Unavailable"))</x:f>
      </x:c>
      <x:c r="N37" s="23" t="str">
        <x:f>IF(C37="","",IFERROR(INDEX('Borrowers'!$I$9:$I$108,MATCH(C37,'Borrowers'!$C$9:$C$108,0))*'Scenario Paths'!F33,"Unavailable"))</x:f>
      </x:c>
      <x:c r="O37" s="23" t="str">
        <x:f>IF(C37="","",IFERROR(M37-INDEX('Borrowers'!$K$9:$K$108,MATCH(C37,'Borrowers'!$C$9:$C$108,0))-N37,"Unavailable"))</x:f>
      </x:c>
      <x:c r="P37" s="127" t="str">
        <x:f>IF(C37="","",IFERROR(O37/INDEX('Borrowers'!$L$9:$L$108,MATCH(C37,'Borrowers'!$C$9:$C$108,0)),"Unavailable"))</x:f>
      </x:c>
      <x:c r="Q37" s="30" t="str">
        <x:f>IF(C37="","",IFERROR(IF(INDEX('Borrowers'!$Z$9:$Z$108,MATCH(C37,'Borrowers'!$C$9:$C$108,0))="Yes",1,IF(INDEX('Borrowers'!$P$9:$P$108,MATCH(C37,'Borrowers'!$C$9:$C$108,0))=0,0,MIN(1,INDEX('Borrowers'!$P$9:$P$108,MATCH(C37,'Borrowers'!$C$9:$C$108,0))*EXP(MIN(20,INDEX('Borrowers'!$V$9:$V$108,MATCH(C37,'Borrowers'!$C$9:$C$108,0))*V37))))),"Unavailable"))</x:f>
      </x:c>
      <x:c r="R37" s="30" t="str">
        <x:f>IF(C37="","",IFERROR(MIN(1,INDEX('Borrowers'!$Q$9:$Q$108,MATCH(C37,'Borrowers'!$C$9:$C$108,0))+(1-INDEX('Borrowers'!$Q$9:$Q$108,MATCH(C37,'Borrowers'!$C$9:$C$108,0)))*T37),"Unavailable"))</x:f>
      </x:c>
      <x:c r="S37" s="30" t="str">
        <x:f>IF(C37="","",IFERROR(SUMPRODUCT((Sites!$D$9:$D$108=C37)*Sites!$I$9:$I$108*Sites!$J$9:$J$108*Sites!$K$9:$K$108*(1-Sites!$L$9:$L$108)),"Unavailable"))</x:f>
      </x:c>
      <x:c r="T37" s="30" t="str">
        <x:f>IF(C37="","",IFERROR(MIN(1,(SUMPRODUCT((Sites!$D$9:$D$108=C37)*Sites!$N$9:$N$108*Sites!$J$9:$J$108*Sites!$K$9:$K$108*(1-Sites!$L$9:$L$108)))*'Scenario Paths'!F27),"Unavailable"))</x:f>
      </x:c>
      <x:c r="U37" s="9" t="str">
        <x:f>IF(C37="","",IF(OR(INDEX('Borrowers'!$AA$9:$AA$108,MATCH(C37,'Borrowers'!$C$9:$C$108,0))&lt;&gt;"Ready",COUNTIF(Sites!$D$9:$D$108,C37)=0,COUNTIFS(Sites!$D$9:$D$108,C37,Sites!$Q$9:$Q$108,"&lt;&gt;Ready")&gt;0,'Scenario Paths'!$F$6&lt;&gt;"Ready"),"Review source inputs","Ready"))</x:f>
      </x:c>
      <x:c r="V37" s="17" t="str">
        <x:f>IF(C37="","",IFERROR(MAX(-1,(G37-O37)/MAX(0.000001,G37)),"Unavailable"))</x:f>
      </x:c>
      <x:c r="W37" s="9" t="str">
        <x:f>IF(C37="","",IFERROR(INDEX('Borrowers'!$D$9:$D$108,MATCH(C37,'Borrowers'!$C$9:$C$108,0)),"Unavailable"))</x:f>
      </x:c>
    </x:row>
    <x:row r="38" ht="26" customHeight="1">
      <x:c r="A38" s="1"/>
      <x:c r="B38" s="1"/>
      <x:c r="C38" s="9" t="str">
        <x:f>IF(Borrowers!C38="","",Borrowers!C38)</x:f>
      </x:c>
      <x:c r="D38" s="3" t="n">
        <x:v>1</x:v>
      </x:c>
      <x:c r="E38" s="9" t="n">
        <x:f>Settings!$F$18+0</x:f>
        <x:v>2027</x:v>
      </x:c>
      <x:c r="F38" s="9" t="str">
        <x:f>IF(C38="","",INDEX('Borrowers'!$F$9:$F$108,MATCH(C38,'Borrowers'!$C$9:$C$108,0)))</x:f>
      </x:c>
      <x:c r="G38" s="23" t="str">
        <x:f>IF(C38="","",IFERROR(INDEX('Borrowers'!$J$9:$J$108,MATCH(C38,'Borrowers'!$C$9:$C$108,0))-INDEX('Borrowers'!$K$9:$K$108,MATCH(C38,'Borrowers'!$C$9:$C$108,0)),"Unavailable"))</x:f>
      </x:c>
      <x:c r="H38" s="23" t="str">
        <x:f>IF(C38="","",IFERROR(INDEX('Borrowers'!$I$9:$I$108,MATCH(C38,'Borrowers'!$C$9:$C$108,0))*INDEX('Borrowers'!$U$9:$U$108,MATCH(C38,'Borrowers'!$C$9:$C$108,0))*(IF(F38="Transport",'Scenario Paths'!F156,IF(F38="Technology",'Scenario Paths'!F150,IF(F38="Utilities",'Scenario Paths'!F144,IF(F38="Agriculture",'Scenario Paths'!F138,IF(F38="Manufacturing",'Scenario Paths'!F132,IF(F38="Healthcare",'Scenario Paths'!F126,IF(F38="Hospitality",'Scenario Paths'!F120,IF(F38="Property",'Scenario Paths'!F114,IF(F38="Food",'Scenario Paths'!F108,IF(F38="Logistics",'Scenario Paths'!F102,IF(F38="Solar",'Scenario Paths'!F96,IF(F38="Cement",'Scenario Paths'!F90,0))))))))))))),"Unavailable"))</x:f>
      </x:c>
      <x:c r="I38" s="23" t="str">
        <x:f>IF(C38="","",IFERROR(INDEX('Borrowers'!$R$9:$R$108,MATCH(C38,'Borrowers'!$C$9:$C$108,0))*(1-INDEX('Borrowers'!$W$9:$W$108,MATCH(C38,'Borrowers'!$C$9:$C$108,0))*'Scenario Paths'!F39)*'Scenario Paths'!F9/1000000*(1-INDEX('Borrowers'!$T$9:$T$108,MATCH(C38,'Borrowers'!$C$9:$C$108,0))),"Unavailable"))</x:f>
      </x:c>
      <x:c r="J38" s="23" t="str">
        <x:f>IF(C38="","",IFERROR(INDEX('Borrowers'!$I$9:$I$108,MATCH(C38,'Borrowers'!$C$9:$C$108,0))*INDEX('Borrowers'!$S$9:$S$108,MATCH(C38,'Borrowers'!$C$9:$C$108,0))*'Scenario Paths'!F15*(1-INDEX('Borrowers'!$T$9:$T$108,MATCH(C38,'Borrowers'!$C$9:$C$108,0))),"Unavailable"))</x:f>
      </x:c>
      <x:c r="K38" s="23" t="str">
        <x:f>IF(C38="","",IFERROR(INDEX('Borrowers'!$I$9:$I$108,MATCH(C38,'Borrowers'!$C$9:$C$108,0))*INDEX('Borrowers'!$U$9:$U$108,MATCH(C38,'Borrowers'!$C$9:$C$108,0))*'Scenario Paths'!F21*S38,"Unavailable"))</x:f>
      </x:c>
      <x:c r="L38" s="23" t="str">
        <x:f>IF(C38="","",IFERROR(SUMPRODUCT((Sites!$D$9:$D$108=C38)*Sites!$H$9:$H$108*Sites!$J$9:$J$108*Sites!$K$9:$K$108*(1-Sites!$L$9:$L$108)*(1-Sites!$M$9:$M$108))*'Scenario Paths'!F27,"Unavailable"))</x:f>
      </x:c>
      <x:c r="M38" s="23" t="str">
        <x:f>IF(C38="","",IFERROR(INDEX('Borrowers'!$J$9:$J$108,MATCH(C38,'Borrowers'!$C$9:$C$108,0))+H38-SUM(I38:L38),"Unavailable"))</x:f>
      </x:c>
      <x:c r="N38" s="23" t="str">
        <x:f>IF(C38="","",IFERROR(INDEX('Borrowers'!$I$9:$I$108,MATCH(C38,'Borrowers'!$C$9:$C$108,0))*'Scenario Paths'!F33,"Unavailable"))</x:f>
      </x:c>
      <x:c r="O38" s="23" t="str">
        <x:f>IF(C38="","",IFERROR(M38-INDEX('Borrowers'!$K$9:$K$108,MATCH(C38,'Borrowers'!$C$9:$C$108,0))-N38,"Unavailable"))</x:f>
      </x:c>
      <x:c r="P38" s="127" t="str">
        <x:f>IF(C38="","",IFERROR(O38/INDEX('Borrowers'!$L$9:$L$108,MATCH(C38,'Borrowers'!$C$9:$C$108,0)),"Unavailable"))</x:f>
      </x:c>
      <x:c r="Q38" s="30" t="str">
        <x:f>IF(C38="","",IFERROR(IF(INDEX('Borrowers'!$Z$9:$Z$108,MATCH(C38,'Borrowers'!$C$9:$C$108,0))="Yes",1,IF(INDEX('Borrowers'!$P$9:$P$108,MATCH(C38,'Borrowers'!$C$9:$C$108,0))=0,0,MIN(1,INDEX('Borrowers'!$P$9:$P$108,MATCH(C38,'Borrowers'!$C$9:$C$108,0))*EXP(MIN(20,INDEX('Borrowers'!$V$9:$V$108,MATCH(C38,'Borrowers'!$C$9:$C$108,0))*V38))))),"Unavailable"))</x:f>
      </x:c>
      <x:c r="R38" s="30" t="str">
        <x:f>IF(C38="","",IFERROR(MIN(1,INDEX('Borrowers'!$Q$9:$Q$108,MATCH(C38,'Borrowers'!$C$9:$C$108,0))+(1-INDEX('Borrowers'!$Q$9:$Q$108,MATCH(C38,'Borrowers'!$C$9:$C$108,0)))*T38),"Unavailable"))</x:f>
      </x:c>
      <x:c r="S38" s="30" t="str">
        <x:f>IF(C38="","",IFERROR(SUMPRODUCT((Sites!$D$9:$D$108=C38)*Sites!$I$9:$I$108*Sites!$J$9:$J$108*Sites!$K$9:$K$108*(1-Sites!$L$9:$L$108)),"Unavailable"))</x:f>
      </x:c>
      <x:c r="T38" s="30" t="str">
        <x:f>IF(C38="","",IFERROR(MIN(1,(SUMPRODUCT((Sites!$D$9:$D$108=C38)*Sites!$N$9:$N$108*Sites!$J$9:$J$108*Sites!$K$9:$K$108*(1-Sites!$L$9:$L$108)))*'Scenario Paths'!F27),"Unavailable"))</x:f>
      </x:c>
      <x:c r="U38" s="9" t="str">
        <x:f>IF(C38="","",IF(OR(INDEX('Borrowers'!$AA$9:$AA$108,MATCH(C38,'Borrowers'!$C$9:$C$108,0))&lt;&gt;"Ready",COUNTIF(Sites!$D$9:$D$108,C38)=0,COUNTIFS(Sites!$D$9:$D$108,C38,Sites!$Q$9:$Q$108,"&lt;&gt;Ready")&gt;0,'Scenario Paths'!$F$6&lt;&gt;"Ready"),"Review source inputs","Ready"))</x:f>
      </x:c>
      <x:c r="V38" s="17" t="str">
        <x:f>IF(C38="","",IFERROR(MAX(-1,(G38-O38)/MAX(0.000001,G38)),"Unavailable"))</x:f>
      </x:c>
      <x:c r="W38" s="9" t="str">
        <x:f>IF(C38="","",IFERROR(INDEX('Borrowers'!$D$9:$D$108,MATCH(C38,'Borrowers'!$C$9:$C$108,0)),"Unavailable"))</x:f>
      </x:c>
    </x:row>
    <x:row r="39" ht="26" customHeight="1">
      <x:c r="A39" s="1"/>
      <x:c r="B39" s="1"/>
      <x:c r="C39" s="9" t="str">
        <x:f>IF(Borrowers!C39="","",Borrowers!C39)</x:f>
      </x:c>
      <x:c r="D39" s="3" t="n">
        <x:v>1</x:v>
      </x:c>
      <x:c r="E39" s="9" t="n">
        <x:f>Settings!$F$18+0</x:f>
        <x:v>2027</x:v>
      </x:c>
      <x:c r="F39" s="9" t="str">
        <x:f>IF(C39="","",INDEX('Borrowers'!$F$9:$F$108,MATCH(C39,'Borrowers'!$C$9:$C$108,0)))</x:f>
      </x:c>
      <x:c r="G39" s="23" t="str">
        <x:f>IF(C39="","",IFERROR(INDEX('Borrowers'!$J$9:$J$108,MATCH(C39,'Borrowers'!$C$9:$C$108,0))-INDEX('Borrowers'!$K$9:$K$108,MATCH(C39,'Borrowers'!$C$9:$C$108,0)),"Unavailable"))</x:f>
      </x:c>
      <x:c r="H39" s="23" t="str">
        <x:f>IF(C39="","",IFERROR(INDEX('Borrowers'!$I$9:$I$108,MATCH(C39,'Borrowers'!$C$9:$C$108,0))*INDEX('Borrowers'!$U$9:$U$108,MATCH(C39,'Borrowers'!$C$9:$C$108,0))*(IF(F39="Transport",'Scenario Paths'!F156,IF(F39="Technology",'Scenario Paths'!F150,IF(F39="Utilities",'Scenario Paths'!F144,IF(F39="Agriculture",'Scenario Paths'!F138,IF(F39="Manufacturing",'Scenario Paths'!F132,IF(F39="Healthcare",'Scenario Paths'!F126,IF(F39="Hospitality",'Scenario Paths'!F120,IF(F39="Property",'Scenario Paths'!F114,IF(F39="Food",'Scenario Paths'!F108,IF(F39="Logistics",'Scenario Paths'!F102,IF(F39="Solar",'Scenario Paths'!F96,IF(F39="Cement",'Scenario Paths'!F90,0))))))))))))),"Unavailable"))</x:f>
      </x:c>
      <x:c r="I39" s="23" t="str">
        <x:f>IF(C39="","",IFERROR(INDEX('Borrowers'!$R$9:$R$108,MATCH(C39,'Borrowers'!$C$9:$C$108,0))*(1-INDEX('Borrowers'!$W$9:$W$108,MATCH(C39,'Borrowers'!$C$9:$C$108,0))*'Scenario Paths'!F39)*'Scenario Paths'!F9/1000000*(1-INDEX('Borrowers'!$T$9:$T$108,MATCH(C39,'Borrowers'!$C$9:$C$108,0))),"Unavailable"))</x:f>
      </x:c>
      <x:c r="J39" s="23" t="str">
        <x:f>IF(C39="","",IFERROR(INDEX('Borrowers'!$I$9:$I$108,MATCH(C39,'Borrowers'!$C$9:$C$108,0))*INDEX('Borrowers'!$S$9:$S$108,MATCH(C39,'Borrowers'!$C$9:$C$108,0))*'Scenario Paths'!F15*(1-INDEX('Borrowers'!$T$9:$T$108,MATCH(C39,'Borrowers'!$C$9:$C$108,0))),"Unavailable"))</x:f>
      </x:c>
      <x:c r="K39" s="23" t="str">
        <x:f>IF(C39="","",IFERROR(INDEX('Borrowers'!$I$9:$I$108,MATCH(C39,'Borrowers'!$C$9:$C$108,0))*INDEX('Borrowers'!$U$9:$U$108,MATCH(C39,'Borrowers'!$C$9:$C$108,0))*'Scenario Paths'!F21*S39,"Unavailable"))</x:f>
      </x:c>
      <x:c r="L39" s="23" t="str">
        <x:f>IF(C39="","",IFERROR(SUMPRODUCT((Sites!$D$9:$D$108=C39)*Sites!$H$9:$H$108*Sites!$J$9:$J$108*Sites!$K$9:$K$108*(1-Sites!$L$9:$L$108)*(1-Sites!$M$9:$M$108))*'Scenario Paths'!F27,"Unavailable"))</x:f>
      </x:c>
      <x:c r="M39" s="23" t="str">
        <x:f>IF(C39="","",IFERROR(INDEX('Borrowers'!$J$9:$J$108,MATCH(C39,'Borrowers'!$C$9:$C$108,0))+H39-SUM(I39:L39),"Unavailable"))</x:f>
      </x:c>
      <x:c r="N39" s="23" t="str">
        <x:f>IF(C39="","",IFERROR(INDEX('Borrowers'!$I$9:$I$108,MATCH(C39,'Borrowers'!$C$9:$C$108,0))*'Scenario Paths'!F33,"Unavailable"))</x:f>
      </x:c>
      <x:c r="O39" s="23" t="str">
        <x:f>IF(C39="","",IFERROR(M39-INDEX('Borrowers'!$K$9:$K$108,MATCH(C39,'Borrowers'!$C$9:$C$108,0))-N39,"Unavailable"))</x:f>
      </x:c>
      <x:c r="P39" s="127" t="str">
        <x:f>IF(C39="","",IFERROR(O39/INDEX('Borrowers'!$L$9:$L$108,MATCH(C39,'Borrowers'!$C$9:$C$108,0)),"Unavailable"))</x:f>
      </x:c>
      <x:c r="Q39" s="30" t="str">
        <x:f>IF(C39="","",IFERROR(IF(INDEX('Borrowers'!$Z$9:$Z$108,MATCH(C39,'Borrowers'!$C$9:$C$108,0))="Yes",1,IF(INDEX('Borrowers'!$P$9:$P$108,MATCH(C39,'Borrowers'!$C$9:$C$108,0))=0,0,MIN(1,INDEX('Borrowers'!$P$9:$P$108,MATCH(C39,'Borrowers'!$C$9:$C$108,0))*EXP(MIN(20,INDEX('Borrowers'!$V$9:$V$108,MATCH(C39,'Borrowers'!$C$9:$C$108,0))*V39))))),"Unavailable"))</x:f>
      </x:c>
      <x:c r="R39" s="30" t="str">
        <x:f>IF(C39="","",IFERROR(MIN(1,INDEX('Borrowers'!$Q$9:$Q$108,MATCH(C39,'Borrowers'!$C$9:$C$108,0))+(1-INDEX('Borrowers'!$Q$9:$Q$108,MATCH(C39,'Borrowers'!$C$9:$C$108,0)))*T39),"Unavailable"))</x:f>
      </x:c>
      <x:c r="S39" s="30" t="str">
        <x:f>IF(C39="","",IFERROR(SUMPRODUCT((Sites!$D$9:$D$108=C39)*Sites!$I$9:$I$108*Sites!$J$9:$J$108*Sites!$K$9:$K$108*(1-Sites!$L$9:$L$108)),"Unavailable"))</x:f>
      </x:c>
      <x:c r="T39" s="30" t="str">
        <x:f>IF(C39="","",IFERROR(MIN(1,(SUMPRODUCT((Sites!$D$9:$D$108=C39)*Sites!$N$9:$N$108*Sites!$J$9:$J$108*Sites!$K$9:$K$108*(1-Sites!$L$9:$L$108)))*'Scenario Paths'!F27),"Unavailable"))</x:f>
      </x:c>
      <x:c r="U39" s="9" t="str">
        <x:f>IF(C39="","",IF(OR(INDEX('Borrowers'!$AA$9:$AA$108,MATCH(C39,'Borrowers'!$C$9:$C$108,0))&lt;&gt;"Ready",COUNTIF(Sites!$D$9:$D$108,C39)=0,COUNTIFS(Sites!$D$9:$D$108,C39,Sites!$Q$9:$Q$108,"&lt;&gt;Ready")&gt;0,'Scenario Paths'!$F$6&lt;&gt;"Ready"),"Review source inputs","Ready"))</x:f>
      </x:c>
      <x:c r="V39" s="17" t="str">
        <x:f>IF(C39="","",IFERROR(MAX(-1,(G39-O39)/MAX(0.000001,G39)),"Unavailable"))</x:f>
      </x:c>
      <x:c r="W39" s="9" t="str">
        <x:f>IF(C39="","",IFERROR(INDEX('Borrowers'!$D$9:$D$108,MATCH(C39,'Borrowers'!$C$9:$C$108,0)),"Unavailable"))</x:f>
      </x:c>
    </x:row>
    <x:row r="40" ht="26" customHeight="1">
      <x:c r="A40" s="1"/>
      <x:c r="B40" s="1"/>
      <x:c r="C40" s="9" t="str">
        <x:f>IF(Borrowers!C40="","",Borrowers!C40)</x:f>
      </x:c>
      <x:c r="D40" s="3" t="n">
        <x:v>1</x:v>
      </x:c>
      <x:c r="E40" s="9" t="n">
        <x:f>Settings!$F$18+0</x:f>
        <x:v>2027</x:v>
      </x:c>
      <x:c r="F40" s="9" t="str">
        <x:f>IF(C40="","",INDEX('Borrowers'!$F$9:$F$108,MATCH(C40,'Borrowers'!$C$9:$C$108,0)))</x:f>
      </x:c>
      <x:c r="G40" s="23" t="str">
        <x:f>IF(C40="","",IFERROR(INDEX('Borrowers'!$J$9:$J$108,MATCH(C40,'Borrowers'!$C$9:$C$108,0))-INDEX('Borrowers'!$K$9:$K$108,MATCH(C40,'Borrowers'!$C$9:$C$108,0)),"Unavailable"))</x:f>
      </x:c>
      <x:c r="H40" s="23" t="str">
        <x:f>IF(C40="","",IFERROR(INDEX('Borrowers'!$I$9:$I$108,MATCH(C40,'Borrowers'!$C$9:$C$108,0))*INDEX('Borrowers'!$U$9:$U$108,MATCH(C40,'Borrowers'!$C$9:$C$108,0))*(IF(F40="Transport",'Scenario Paths'!F156,IF(F40="Technology",'Scenario Paths'!F150,IF(F40="Utilities",'Scenario Paths'!F144,IF(F40="Agriculture",'Scenario Paths'!F138,IF(F40="Manufacturing",'Scenario Paths'!F132,IF(F40="Healthcare",'Scenario Paths'!F126,IF(F40="Hospitality",'Scenario Paths'!F120,IF(F40="Property",'Scenario Paths'!F114,IF(F40="Food",'Scenario Paths'!F108,IF(F40="Logistics",'Scenario Paths'!F102,IF(F40="Solar",'Scenario Paths'!F96,IF(F40="Cement",'Scenario Paths'!F90,0))))))))))))),"Unavailable"))</x:f>
      </x:c>
      <x:c r="I40" s="23" t="str">
        <x:f>IF(C40="","",IFERROR(INDEX('Borrowers'!$R$9:$R$108,MATCH(C40,'Borrowers'!$C$9:$C$108,0))*(1-INDEX('Borrowers'!$W$9:$W$108,MATCH(C40,'Borrowers'!$C$9:$C$108,0))*'Scenario Paths'!F39)*'Scenario Paths'!F9/1000000*(1-INDEX('Borrowers'!$T$9:$T$108,MATCH(C40,'Borrowers'!$C$9:$C$108,0))),"Unavailable"))</x:f>
      </x:c>
      <x:c r="J40" s="23" t="str">
        <x:f>IF(C40="","",IFERROR(INDEX('Borrowers'!$I$9:$I$108,MATCH(C40,'Borrowers'!$C$9:$C$108,0))*INDEX('Borrowers'!$S$9:$S$108,MATCH(C40,'Borrowers'!$C$9:$C$108,0))*'Scenario Paths'!F15*(1-INDEX('Borrowers'!$T$9:$T$108,MATCH(C40,'Borrowers'!$C$9:$C$108,0))),"Unavailable"))</x:f>
      </x:c>
      <x:c r="K40" s="23" t="str">
        <x:f>IF(C40="","",IFERROR(INDEX('Borrowers'!$I$9:$I$108,MATCH(C40,'Borrowers'!$C$9:$C$108,0))*INDEX('Borrowers'!$U$9:$U$108,MATCH(C40,'Borrowers'!$C$9:$C$108,0))*'Scenario Paths'!F21*S40,"Unavailable"))</x:f>
      </x:c>
      <x:c r="L40" s="23" t="str">
        <x:f>IF(C40="","",IFERROR(SUMPRODUCT((Sites!$D$9:$D$108=C40)*Sites!$H$9:$H$108*Sites!$J$9:$J$108*Sites!$K$9:$K$108*(1-Sites!$L$9:$L$108)*(1-Sites!$M$9:$M$108))*'Scenario Paths'!F27,"Unavailable"))</x:f>
      </x:c>
      <x:c r="M40" s="23" t="str">
        <x:f>IF(C40="","",IFERROR(INDEX('Borrowers'!$J$9:$J$108,MATCH(C40,'Borrowers'!$C$9:$C$108,0))+H40-SUM(I40:L40),"Unavailable"))</x:f>
      </x:c>
      <x:c r="N40" s="23" t="str">
        <x:f>IF(C40="","",IFERROR(INDEX('Borrowers'!$I$9:$I$108,MATCH(C40,'Borrowers'!$C$9:$C$108,0))*'Scenario Paths'!F33,"Unavailable"))</x:f>
      </x:c>
      <x:c r="O40" s="23" t="str">
        <x:f>IF(C40="","",IFERROR(M40-INDEX('Borrowers'!$K$9:$K$108,MATCH(C40,'Borrowers'!$C$9:$C$108,0))-N40,"Unavailable"))</x:f>
      </x:c>
      <x:c r="P40" s="127" t="str">
        <x:f>IF(C40="","",IFERROR(O40/INDEX('Borrowers'!$L$9:$L$108,MATCH(C40,'Borrowers'!$C$9:$C$108,0)),"Unavailable"))</x:f>
      </x:c>
      <x:c r="Q40" s="30" t="str">
        <x:f>IF(C40="","",IFERROR(IF(INDEX('Borrowers'!$Z$9:$Z$108,MATCH(C40,'Borrowers'!$C$9:$C$108,0))="Yes",1,IF(INDEX('Borrowers'!$P$9:$P$108,MATCH(C40,'Borrowers'!$C$9:$C$108,0))=0,0,MIN(1,INDEX('Borrowers'!$P$9:$P$108,MATCH(C40,'Borrowers'!$C$9:$C$108,0))*EXP(MIN(20,INDEX('Borrowers'!$V$9:$V$108,MATCH(C40,'Borrowers'!$C$9:$C$108,0))*V40))))),"Unavailable"))</x:f>
      </x:c>
      <x:c r="R40" s="30" t="str">
        <x:f>IF(C40="","",IFERROR(MIN(1,INDEX('Borrowers'!$Q$9:$Q$108,MATCH(C40,'Borrowers'!$C$9:$C$108,0))+(1-INDEX('Borrowers'!$Q$9:$Q$108,MATCH(C40,'Borrowers'!$C$9:$C$108,0)))*T40),"Unavailable"))</x:f>
      </x:c>
      <x:c r="S40" s="30" t="str">
        <x:f>IF(C40="","",IFERROR(SUMPRODUCT((Sites!$D$9:$D$108=C40)*Sites!$I$9:$I$108*Sites!$J$9:$J$108*Sites!$K$9:$K$108*(1-Sites!$L$9:$L$108)),"Unavailable"))</x:f>
      </x:c>
      <x:c r="T40" s="30" t="str">
        <x:f>IF(C40="","",IFERROR(MIN(1,(SUMPRODUCT((Sites!$D$9:$D$108=C40)*Sites!$N$9:$N$108*Sites!$J$9:$J$108*Sites!$K$9:$K$108*(1-Sites!$L$9:$L$108)))*'Scenario Paths'!F27),"Unavailable"))</x:f>
      </x:c>
      <x:c r="U40" s="9" t="str">
        <x:f>IF(C40="","",IF(OR(INDEX('Borrowers'!$AA$9:$AA$108,MATCH(C40,'Borrowers'!$C$9:$C$108,0))&lt;&gt;"Ready",COUNTIF(Sites!$D$9:$D$108,C40)=0,COUNTIFS(Sites!$D$9:$D$108,C40,Sites!$Q$9:$Q$108,"&lt;&gt;Ready")&gt;0,'Scenario Paths'!$F$6&lt;&gt;"Ready"),"Review source inputs","Ready"))</x:f>
      </x:c>
      <x:c r="V40" s="17" t="str">
        <x:f>IF(C40="","",IFERROR(MAX(-1,(G40-O40)/MAX(0.000001,G40)),"Unavailable"))</x:f>
      </x:c>
      <x:c r="W40" s="9" t="str">
        <x:f>IF(C40="","",IFERROR(INDEX('Borrowers'!$D$9:$D$108,MATCH(C40,'Borrowers'!$C$9:$C$108,0)),"Unavailable"))</x:f>
      </x:c>
    </x:row>
    <x:row r="41" ht="26" customHeight="1">
      <x:c r="A41" s="1"/>
      <x:c r="B41" s="1"/>
      <x:c r="C41" s="9" t="str">
        <x:f>IF(Borrowers!C41="","",Borrowers!C41)</x:f>
      </x:c>
      <x:c r="D41" s="3" t="n">
        <x:v>1</x:v>
      </x:c>
      <x:c r="E41" s="9" t="n">
        <x:f>Settings!$F$18+0</x:f>
        <x:v>2027</x:v>
      </x:c>
      <x:c r="F41" s="9" t="str">
        <x:f>IF(C41="","",INDEX('Borrowers'!$F$9:$F$108,MATCH(C41,'Borrowers'!$C$9:$C$108,0)))</x:f>
      </x:c>
      <x:c r="G41" s="23" t="str">
        <x:f>IF(C41="","",IFERROR(INDEX('Borrowers'!$J$9:$J$108,MATCH(C41,'Borrowers'!$C$9:$C$108,0))-INDEX('Borrowers'!$K$9:$K$108,MATCH(C41,'Borrowers'!$C$9:$C$108,0)),"Unavailable"))</x:f>
      </x:c>
      <x:c r="H41" s="23" t="str">
        <x:f>IF(C41="","",IFERROR(INDEX('Borrowers'!$I$9:$I$108,MATCH(C41,'Borrowers'!$C$9:$C$108,0))*INDEX('Borrowers'!$U$9:$U$108,MATCH(C41,'Borrowers'!$C$9:$C$108,0))*(IF(F41="Transport",'Scenario Paths'!F156,IF(F41="Technology",'Scenario Paths'!F150,IF(F41="Utilities",'Scenario Paths'!F144,IF(F41="Agriculture",'Scenario Paths'!F138,IF(F41="Manufacturing",'Scenario Paths'!F132,IF(F41="Healthcare",'Scenario Paths'!F126,IF(F41="Hospitality",'Scenario Paths'!F120,IF(F41="Property",'Scenario Paths'!F114,IF(F41="Food",'Scenario Paths'!F108,IF(F41="Logistics",'Scenario Paths'!F102,IF(F41="Solar",'Scenario Paths'!F96,IF(F41="Cement",'Scenario Paths'!F90,0))))))))))))),"Unavailable"))</x:f>
      </x:c>
      <x:c r="I41" s="23" t="str">
        <x:f>IF(C41="","",IFERROR(INDEX('Borrowers'!$R$9:$R$108,MATCH(C41,'Borrowers'!$C$9:$C$108,0))*(1-INDEX('Borrowers'!$W$9:$W$108,MATCH(C41,'Borrowers'!$C$9:$C$108,0))*'Scenario Paths'!F39)*'Scenario Paths'!F9/1000000*(1-INDEX('Borrowers'!$T$9:$T$108,MATCH(C41,'Borrowers'!$C$9:$C$108,0))),"Unavailable"))</x:f>
      </x:c>
      <x:c r="J41" s="23" t="str">
        <x:f>IF(C41="","",IFERROR(INDEX('Borrowers'!$I$9:$I$108,MATCH(C41,'Borrowers'!$C$9:$C$108,0))*INDEX('Borrowers'!$S$9:$S$108,MATCH(C41,'Borrowers'!$C$9:$C$108,0))*'Scenario Paths'!F15*(1-INDEX('Borrowers'!$T$9:$T$108,MATCH(C41,'Borrowers'!$C$9:$C$108,0))),"Unavailable"))</x:f>
      </x:c>
      <x:c r="K41" s="23" t="str">
        <x:f>IF(C41="","",IFERROR(INDEX('Borrowers'!$I$9:$I$108,MATCH(C41,'Borrowers'!$C$9:$C$108,0))*INDEX('Borrowers'!$U$9:$U$108,MATCH(C41,'Borrowers'!$C$9:$C$108,0))*'Scenario Paths'!F21*S41,"Unavailable"))</x:f>
      </x:c>
      <x:c r="L41" s="23" t="str">
        <x:f>IF(C41="","",IFERROR(SUMPRODUCT((Sites!$D$9:$D$108=C41)*Sites!$H$9:$H$108*Sites!$J$9:$J$108*Sites!$K$9:$K$108*(1-Sites!$L$9:$L$108)*(1-Sites!$M$9:$M$108))*'Scenario Paths'!F27,"Unavailable"))</x:f>
      </x:c>
      <x:c r="M41" s="23" t="str">
        <x:f>IF(C41="","",IFERROR(INDEX('Borrowers'!$J$9:$J$108,MATCH(C41,'Borrowers'!$C$9:$C$108,0))+H41-SUM(I41:L41),"Unavailable"))</x:f>
      </x:c>
      <x:c r="N41" s="23" t="str">
        <x:f>IF(C41="","",IFERROR(INDEX('Borrowers'!$I$9:$I$108,MATCH(C41,'Borrowers'!$C$9:$C$108,0))*'Scenario Paths'!F33,"Unavailable"))</x:f>
      </x:c>
      <x:c r="O41" s="23" t="str">
        <x:f>IF(C41="","",IFERROR(M41-INDEX('Borrowers'!$K$9:$K$108,MATCH(C41,'Borrowers'!$C$9:$C$108,0))-N41,"Unavailable"))</x:f>
      </x:c>
      <x:c r="P41" s="127" t="str">
        <x:f>IF(C41="","",IFERROR(O41/INDEX('Borrowers'!$L$9:$L$108,MATCH(C41,'Borrowers'!$C$9:$C$108,0)),"Unavailable"))</x:f>
      </x:c>
      <x:c r="Q41" s="30" t="str">
        <x:f>IF(C41="","",IFERROR(IF(INDEX('Borrowers'!$Z$9:$Z$108,MATCH(C41,'Borrowers'!$C$9:$C$108,0))="Yes",1,IF(INDEX('Borrowers'!$P$9:$P$108,MATCH(C41,'Borrowers'!$C$9:$C$108,0))=0,0,MIN(1,INDEX('Borrowers'!$P$9:$P$108,MATCH(C41,'Borrowers'!$C$9:$C$108,0))*EXP(MIN(20,INDEX('Borrowers'!$V$9:$V$108,MATCH(C41,'Borrowers'!$C$9:$C$108,0))*V41))))),"Unavailable"))</x:f>
      </x:c>
      <x:c r="R41" s="30" t="str">
        <x:f>IF(C41="","",IFERROR(MIN(1,INDEX('Borrowers'!$Q$9:$Q$108,MATCH(C41,'Borrowers'!$C$9:$C$108,0))+(1-INDEX('Borrowers'!$Q$9:$Q$108,MATCH(C41,'Borrowers'!$C$9:$C$108,0)))*T41),"Unavailable"))</x:f>
      </x:c>
      <x:c r="S41" s="30" t="str">
        <x:f>IF(C41="","",IFERROR(SUMPRODUCT((Sites!$D$9:$D$108=C41)*Sites!$I$9:$I$108*Sites!$J$9:$J$108*Sites!$K$9:$K$108*(1-Sites!$L$9:$L$108)),"Unavailable"))</x:f>
      </x:c>
      <x:c r="T41" s="30" t="str">
        <x:f>IF(C41="","",IFERROR(MIN(1,(SUMPRODUCT((Sites!$D$9:$D$108=C41)*Sites!$N$9:$N$108*Sites!$J$9:$J$108*Sites!$K$9:$K$108*(1-Sites!$L$9:$L$108)))*'Scenario Paths'!F27),"Unavailable"))</x:f>
      </x:c>
      <x:c r="U41" s="9" t="str">
        <x:f>IF(C41="","",IF(OR(INDEX('Borrowers'!$AA$9:$AA$108,MATCH(C41,'Borrowers'!$C$9:$C$108,0))&lt;&gt;"Ready",COUNTIF(Sites!$D$9:$D$108,C41)=0,COUNTIFS(Sites!$D$9:$D$108,C41,Sites!$Q$9:$Q$108,"&lt;&gt;Ready")&gt;0,'Scenario Paths'!$F$6&lt;&gt;"Ready"),"Review source inputs","Ready"))</x:f>
      </x:c>
      <x:c r="V41" s="17" t="str">
        <x:f>IF(C41="","",IFERROR(MAX(-1,(G41-O41)/MAX(0.000001,G41)),"Unavailable"))</x:f>
      </x:c>
      <x:c r="W41" s="9" t="str">
        <x:f>IF(C41="","",IFERROR(INDEX('Borrowers'!$D$9:$D$108,MATCH(C41,'Borrowers'!$C$9:$C$108,0)),"Unavailable"))</x:f>
      </x:c>
    </x:row>
    <x:row r="42" ht="26" customHeight="1">
      <x:c r="A42" s="1"/>
      <x:c r="B42" s="1"/>
      <x:c r="C42" s="9" t="str">
        <x:f>IF(Borrowers!C42="","",Borrowers!C42)</x:f>
      </x:c>
      <x:c r="D42" s="3" t="n">
        <x:v>1</x:v>
      </x:c>
      <x:c r="E42" s="9" t="n">
        <x:f>Settings!$F$18+0</x:f>
        <x:v>2027</x:v>
      </x:c>
      <x:c r="F42" s="9" t="str">
        <x:f>IF(C42="","",INDEX('Borrowers'!$F$9:$F$108,MATCH(C42,'Borrowers'!$C$9:$C$108,0)))</x:f>
      </x:c>
      <x:c r="G42" s="23" t="str">
        <x:f>IF(C42="","",IFERROR(INDEX('Borrowers'!$J$9:$J$108,MATCH(C42,'Borrowers'!$C$9:$C$108,0))-INDEX('Borrowers'!$K$9:$K$108,MATCH(C42,'Borrowers'!$C$9:$C$108,0)),"Unavailable"))</x:f>
      </x:c>
      <x:c r="H42" s="23" t="str">
        <x:f>IF(C42="","",IFERROR(INDEX('Borrowers'!$I$9:$I$108,MATCH(C42,'Borrowers'!$C$9:$C$108,0))*INDEX('Borrowers'!$U$9:$U$108,MATCH(C42,'Borrowers'!$C$9:$C$108,0))*(IF(F42="Transport",'Scenario Paths'!F156,IF(F42="Technology",'Scenario Paths'!F150,IF(F42="Utilities",'Scenario Paths'!F144,IF(F42="Agriculture",'Scenario Paths'!F138,IF(F42="Manufacturing",'Scenario Paths'!F132,IF(F42="Healthcare",'Scenario Paths'!F126,IF(F42="Hospitality",'Scenario Paths'!F120,IF(F42="Property",'Scenario Paths'!F114,IF(F42="Food",'Scenario Paths'!F108,IF(F42="Logistics",'Scenario Paths'!F102,IF(F42="Solar",'Scenario Paths'!F96,IF(F42="Cement",'Scenario Paths'!F90,0))))))))))))),"Unavailable"))</x:f>
      </x:c>
      <x:c r="I42" s="23" t="str">
        <x:f>IF(C42="","",IFERROR(INDEX('Borrowers'!$R$9:$R$108,MATCH(C42,'Borrowers'!$C$9:$C$108,0))*(1-INDEX('Borrowers'!$W$9:$W$108,MATCH(C42,'Borrowers'!$C$9:$C$108,0))*'Scenario Paths'!F39)*'Scenario Paths'!F9/1000000*(1-INDEX('Borrowers'!$T$9:$T$108,MATCH(C42,'Borrowers'!$C$9:$C$108,0))),"Unavailable"))</x:f>
      </x:c>
      <x:c r="J42" s="23" t="str">
        <x:f>IF(C42="","",IFERROR(INDEX('Borrowers'!$I$9:$I$108,MATCH(C42,'Borrowers'!$C$9:$C$108,0))*INDEX('Borrowers'!$S$9:$S$108,MATCH(C42,'Borrowers'!$C$9:$C$108,0))*'Scenario Paths'!F15*(1-INDEX('Borrowers'!$T$9:$T$108,MATCH(C42,'Borrowers'!$C$9:$C$108,0))),"Unavailable"))</x:f>
      </x:c>
      <x:c r="K42" s="23" t="str">
        <x:f>IF(C42="","",IFERROR(INDEX('Borrowers'!$I$9:$I$108,MATCH(C42,'Borrowers'!$C$9:$C$108,0))*INDEX('Borrowers'!$U$9:$U$108,MATCH(C42,'Borrowers'!$C$9:$C$108,0))*'Scenario Paths'!F21*S42,"Unavailable"))</x:f>
      </x:c>
      <x:c r="L42" s="23" t="str">
        <x:f>IF(C42="","",IFERROR(SUMPRODUCT((Sites!$D$9:$D$108=C42)*Sites!$H$9:$H$108*Sites!$J$9:$J$108*Sites!$K$9:$K$108*(1-Sites!$L$9:$L$108)*(1-Sites!$M$9:$M$108))*'Scenario Paths'!F27,"Unavailable"))</x:f>
      </x:c>
      <x:c r="M42" s="23" t="str">
        <x:f>IF(C42="","",IFERROR(INDEX('Borrowers'!$J$9:$J$108,MATCH(C42,'Borrowers'!$C$9:$C$108,0))+H42-SUM(I42:L42),"Unavailable"))</x:f>
      </x:c>
      <x:c r="N42" s="23" t="str">
        <x:f>IF(C42="","",IFERROR(INDEX('Borrowers'!$I$9:$I$108,MATCH(C42,'Borrowers'!$C$9:$C$108,0))*'Scenario Paths'!F33,"Unavailable"))</x:f>
      </x:c>
      <x:c r="O42" s="23" t="str">
        <x:f>IF(C42="","",IFERROR(M42-INDEX('Borrowers'!$K$9:$K$108,MATCH(C42,'Borrowers'!$C$9:$C$108,0))-N42,"Unavailable"))</x:f>
      </x:c>
      <x:c r="P42" s="127" t="str">
        <x:f>IF(C42="","",IFERROR(O42/INDEX('Borrowers'!$L$9:$L$108,MATCH(C42,'Borrowers'!$C$9:$C$108,0)),"Unavailable"))</x:f>
      </x:c>
      <x:c r="Q42" s="30" t="str">
        <x:f>IF(C42="","",IFERROR(IF(INDEX('Borrowers'!$Z$9:$Z$108,MATCH(C42,'Borrowers'!$C$9:$C$108,0))="Yes",1,IF(INDEX('Borrowers'!$P$9:$P$108,MATCH(C42,'Borrowers'!$C$9:$C$108,0))=0,0,MIN(1,INDEX('Borrowers'!$P$9:$P$108,MATCH(C42,'Borrowers'!$C$9:$C$108,0))*EXP(MIN(20,INDEX('Borrowers'!$V$9:$V$108,MATCH(C42,'Borrowers'!$C$9:$C$108,0))*V42))))),"Unavailable"))</x:f>
      </x:c>
      <x:c r="R42" s="30" t="str">
        <x:f>IF(C42="","",IFERROR(MIN(1,INDEX('Borrowers'!$Q$9:$Q$108,MATCH(C42,'Borrowers'!$C$9:$C$108,0))+(1-INDEX('Borrowers'!$Q$9:$Q$108,MATCH(C42,'Borrowers'!$C$9:$C$108,0)))*T42),"Unavailable"))</x:f>
      </x:c>
      <x:c r="S42" s="30" t="str">
        <x:f>IF(C42="","",IFERROR(SUMPRODUCT((Sites!$D$9:$D$108=C42)*Sites!$I$9:$I$108*Sites!$J$9:$J$108*Sites!$K$9:$K$108*(1-Sites!$L$9:$L$108)),"Unavailable"))</x:f>
      </x:c>
      <x:c r="T42" s="30" t="str">
        <x:f>IF(C42="","",IFERROR(MIN(1,(SUMPRODUCT((Sites!$D$9:$D$108=C42)*Sites!$N$9:$N$108*Sites!$J$9:$J$108*Sites!$K$9:$K$108*(1-Sites!$L$9:$L$108)))*'Scenario Paths'!F27),"Unavailable"))</x:f>
      </x:c>
      <x:c r="U42" s="9" t="str">
        <x:f>IF(C42="","",IF(OR(INDEX('Borrowers'!$AA$9:$AA$108,MATCH(C42,'Borrowers'!$C$9:$C$108,0))&lt;&gt;"Ready",COUNTIF(Sites!$D$9:$D$108,C42)=0,COUNTIFS(Sites!$D$9:$D$108,C42,Sites!$Q$9:$Q$108,"&lt;&gt;Ready")&gt;0,'Scenario Paths'!$F$6&lt;&gt;"Ready"),"Review source inputs","Ready"))</x:f>
      </x:c>
      <x:c r="V42" s="17" t="str">
        <x:f>IF(C42="","",IFERROR(MAX(-1,(G42-O42)/MAX(0.000001,G42)),"Unavailable"))</x:f>
      </x:c>
      <x:c r="W42" s="9" t="str">
        <x:f>IF(C42="","",IFERROR(INDEX('Borrowers'!$D$9:$D$108,MATCH(C42,'Borrowers'!$C$9:$C$108,0)),"Unavailable"))</x:f>
      </x:c>
    </x:row>
    <x:row r="43" ht="26" customHeight="1">
      <x:c r="A43" s="1"/>
      <x:c r="B43" s="1"/>
      <x:c r="C43" s="9" t="str">
        <x:f>IF(Borrowers!C43="","",Borrowers!C43)</x:f>
      </x:c>
      <x:c r="D43" s="3" t="n">
        <x:v>1</x:v>
      </x:c>
      <x:c r="E43" s="9" t="n">
        <x:f>Settings!$F$18+0</x:f>
        <x:v>2027</x:v>
      </x:c>
      <x:c r="F43" s="9" t="str">
        <x:f>IF(C43="","",INDEX('Borrowers'!$F$9:$F$108,MATCH(C43,'Borrowers'!$C$9:$C$108,0)))</x:f>
      </x:c>
      <x:c r="G43" s="23" t="str">
        <x:f>IF(C43="","",IFERROR(INDEX('Borrowers'!$J$9:$J$108,MATCH(C43,'Borrowers'!$C$9:$C$108,0))-INDEX('Borrowers'!$K$9:$K$108,MATCH(C43,'Borrowers'!$C$9:$C$108,0)),"Unavailable"))</x:f>
      </x:c>
      <x:c r="H43" s="23" t="str">
        <x:f>IF(C43="","",IFERROR(INDEX('Borrowers'!$I$9:$I$108,MATCH(C43,'Borrowers'!$C$9:$C$108,0))*INDEX('Borrowers'!$U$9:$U$108,MATCH(C43,'Borrowers'!$C$9:$C$108,0))*(IF(F43="Transport",'Scenario Paths'!F156,IF(F43="Technology",'Scenario Paths'!F150,IF(F43="Utilities",'Scenario Paths'!F144,IF(F43="Agriculture",'Scenario Paths'!F138,IF(F43="Manufacturing",'Scenario Paths'!F132,IF(F43="Healthcare",'Scenario Paths'!F126,IF(F43="Hospitality",'Scenario Paths'!F120,IF(F43="Property",'Scenario Paths'!F114,IF(F43="Food",'Scenario Paths'!F108,IF(F43="Logistics",'Scenario Paths'!F102,IF(F43="Solar",'Scenario Paths'!F96,IF(F43="Cement",'Scenario Paths'!F90,0))))))))))))),"Unavailable"))</x:f>
      </x:c>
      <x:c r="I43" s="23" t="str">
        <x:f>IF(C43="","",IFERROR(INDEX('Borrowers'!$R$9:$R$108,MATCH(C43,'Borrowers'!$C$9:$C$108,0))*(1-INDEX('Borrowers'!$W$9:$W$108,MATCH(C43,'Borrowers'!$C$9:$C$108,0))*'Scenario Paths'!F39)*'Scenario Paths'!F9/1000000*(1-INDEX('Borrowers'!$T$9:$T$108,MATCH(C43,'Borrowers'!$C$9:$C$108,0))),"Unavailable"))</x:f>
      </x:c>
      <x:c r="J43" s="23" t="str">
        <x:f>IF(C43="","",IFERROR(INDEX('Borrowers'!$I$9:$I$108,MATCH(C43,'Borrowers'!$C$9:$C$108,0))*INDEX('Borrowers'!$S$9:$S$108,MATCH(C43,'Borrowers'!$C$9:$C$108,0))*'Scenario Paths'!F15*(1-INDEX('Borrowers'!$T$9:$T$108,MATCH(C43,'Borrowers'!$C$9:$C$108,0))),"Unavailable"))</x:f>
      </x:c>
      <x:c r="K43" s="23" t="str">
        <x:f>IF(C43="","",IFERROR(INDEX('Borrowers'!$I$9:$I$108,MATCH(C43,'Borrowers'!$C$9:$C$108,0))*INDEX('Borrowers'!$U$9:$U$108,MATCH(C43,'Borrowers'!$C$9:$C$108,0))*'Scenario Paths'!F21*S43,"Unavailable"))</x:f>
      </x:c>
      <x:c r="L43" s="23" t="str">
        <x:f>IF(C43="","",IFERROR(SUMPRODUCT((Sites!$D$9:$D$108=C43)*Sites!$H$9:$H$108*Sites!$J$9:$J$108*Sites!$K$9:$K$108*(1-Sites!$L$9:$L$108)*(1-Sites!$M$9:$M$108))*'Scenario Paths'!F27,"Unavailable"))</x:f>
      </x:c>
      <x:c r="M43" s="23" t="str">
        <x:f>IF(C43="","",IFERROR(INDEX('Borrowers'!$J$9:$J$108,MATCH(C43,'Borrowers'!$C$9:$C$108,0))+H43-SUM(I43:L43),"Unavailable"))</x:f>
      </x:c>
      <x:c r="N43" s="23" t="str">
        <x:f>IF(C43="","",IFERROR(INDEX('Borrowers'!$I$9:$I$108,MATCH(C43,'Borrowers'!$C$9:$C$108,0))*'Scenario Paths'!F33,"Unavailable"))</x:f>
      </x:c>
      <x:c r="O43" s="23" t="str">
        <x:f>IF(C43="","",IFERROR(M43-INDEX('Borrowers'!$K$9:$K$108,MATCH(C43,'Borrowers'!$C$9:$C$108,0))-N43,"Unavailable"))</x:f>
      </x:c>
      <x:c r="P43" s="127" t="str">
        <x:f>IF(C43="","",IFERROR(O43/INDEX('Borrowers'!$L$9:$L$108,MATCH(C43,'Borrowers'!$C$9:$C$108,0)),"Unavailable"))</x:f>
      </x:c>
      <x:c r="Q43" s="30" t="str">
        <x:f>IF(C43="","",IFERROR(IF(INDEX('Borrowers'!$Z$9:$Z$108,MATCH(C43,'Borrowers'!$C$9:$C$108,0))="Yes",1,IF(INDEX('Borrowers'!$P$9:$P$108,MATCH(C43,'Borrowers'!$C$9:$C$108,0))=0,0,MIN(1,INDEX('Borrowers'!$P$9:$P$108,MATCH(C43,'Borrowers'!$C$9:$C$108,0))*EXP(MIN(20,INDEX('Borrowers'!$V$9:$V$108,MATCH(C43,'Borrowers'!$C$9:$C$108,0))*V43))))),"Unavailable"))</x:f>
      </x:c>
      <x:c r="R43" s="30" t="str">
        <x:f>IF(C43="","",IFERROR(MIN(1,INDEX('Borrowers'!$Q$9:$Q$108,MATCH(C43,'Borrowers'!$C$9:$C$108,0))+(1-INDEX('Borrowers'!$Q$9:$Q$108,MATCH(C43,'Borrowers'!$C$9:$C$108,0)))*T43),"Unavailable"))</x:f>
      </x:c>
      <x:c r="S43" s="30" t="str">
        <x:f>IF(C43="","",IFERROR(SUMPRODUCT((Sites!$D$9:$D$108=C43)*Sites!$I$9:$I$108*Sites!$J$9:$J$108*Sites!$K$9:$K$108*(1-Sites!$L$9:$L$108)),"Unavailable"))</x:f>
      </x:c>
      <x:c r="T43" s="30" t="str">
        <x:f>IF(C43="","",IFERROR(MIN(1,(SUMPRODUCT((Sites!$D$9:$D$108=C43)*Sites!$N$9:$N$108*Sites!$J$9:$J$108*Sites!$K$9:$K$108*(1-Sites!$L$9:$L$108)))*'Scenario Paths'!F27),"Unavailable"))</x:f>
      </x:c>
      <x:c r="U43" s="9" t="str">
        <x:f>IF(C43="","",IF(OR(INDEX('Borrowers'!$AA$9:$AA$108,MATCH(C43,'Borrowers'!$C$9:$C$108,0))&lt;&gt;"Ready",COUNTIF(Sites!$D$9:$D$108,C43)=0,COUNTIFS(Sites!$D$9:$D$108,C43,Sites!$Q$9:$Q$108,"&lt;&gt;Ready")&gt;0,'Scenario Paths'!$F$6&lt;&gt;"Ready"),"Review source inputs","Ready"))</x:f>
      </x:c>
      <x:c r="V43" s="17" t="str">
        <x:f>IF(C43="","",IFERROR(MAX(-1,(G43-O43)/MAX(0.000001,G43)),"Unavailable"))</x:f>
      </x:c>
      <x:c r="W43" s="9" t="str">
        <x:f>IF(C43="","",IFERROR(INDEX('Borrowers'!$D$9:$D$108,MATCH(C43,'Borrowers'!$C$9:$C$108,0)),"Unavailable"))</x:f>
      </x:c>
    </x:row>
    <x:row r="44" ht="26" customHeight="1">
      <x:c r="A44" s="1"/>
      <x:c r="B44" s="1"/>
      <x:c r="C44" s="9" t="str">
        <x:f>IF(Borrowers!C44="","",Borrowers!C44)</x:f>
      </x:c>
      <x:c r="D44" s="3" t="n">
        <x:v>1</x:v>
      </x:c>
      <x:c r="E44" s="9" t="n">
        <x:f>Settings!$F$18+0</x:f>
        <x:v>2027</x:v>
      </x:c>
      <x:c r="F44" s="9" t="str">
        <x:f>IF(C44="","",INDEX('Borrowers'!$F$9:$F$108,MATCH(C44,'Borrowers'!$C$9:$C$108,0)))</x:f>
      </x:c>
      <x:c r="G44" s="23" t="str">
        <x:f>IF(C44="","",IFERROR(INDEX('Borrowers'!$J$9:$J$108,MATCH(C44,'Borrowers'!$C$9:$C$108,0))-INDEX('Borrowers'!$K$9:$K$108,MATCH(C44,'Borrowers'!$C$9:$C$108,0)),"Unavailable"))</x:f>
      </x:c>
      <x:c r="H44" s="23" t="str">
        <x:f>IF(C44="","",IFERROR(INDEX('Borrowers'!$I$9:$I$108,MATCH(C44,'Borrowers'!$C$9:$C$108,0))*INDEX('Borrowers'!$U$9:$U$108,MATCH(C44,'Borrowers'!$C$9:$C$108,0))*(IF(F44="Transport",'Scenario Paths'!F156,IF(F44="Technology",'Scenario Paths'!F150,IF(F44="Utilities",'Scenario Paths'!F144,IF(F44="Agriculture",'Scenario Paths'!F138,IF(F44="Manufacturing",'Scenario Paths'!F132,IF(F44="Healthcare",'Scenario Paths'!F126,IF(F44="Hospitality",'Scenario Paths'!F120,IF(F44="Property",'Scenario Paths'!F114,IF(F44="Food",'Scenario Paths'!F108,IF(F44="Logistics",'Scenario Paths'!F102,IF(F44="Solar",'Scenario Paths'!F96,IF(F44="Cement",'Scenario Paths'!F90,0))))))))))))),"Unavailable"))</x:f>
      </x:c>
      <x:c r="I44" s="23" t="str">
        <x:f>IF(C44="","",IFERROR(INDEX('Borrowers'!$R$9:$R$108,MATCH(C44,'Borrowers'!$C$9:$C$108,0))*(1-INDEX('Borrowers'!$W$9:$W$108,MATCH(C44,'Borrowers'!$C$9:$C$108,0))*'Scenario Paths'!F39)*'Scenario Paths'!F9/1000000*(1-INDEX('Borrowers'!$T$9:$T$108,MATCH(C44,'Borrowers'!$C$9:$C$108,0))),"Unavailable"))</x:f>
      </x:c>
      <x:c r="J44" s="23" t="str">
        <x:f>IF(C44="","",IFERROR(INDEX('Borrowers'!$I$9:$I$108,MATCH(C44,'Borrowers'!$C$9:$C$108,0))*INDEX('Borrowers'!$S$9:$S$108,MATCH(C44,'Borrowers'!$C$9:$C$108,0))*'Scenario Paths'!F15*(1-INDEX('Borrowers'!$T$9:$T$108,MATCH(C44,'Borrowers'!$C$9:$C$108,0))),"Unavailable"))</x:f>
      </x:c>
      <x:c r="K44" s="23" t="str">
        <x:f>IF(C44="","",IFERROR(INDEX('Borrowers'!$I$9:$I$108,MATCH(C44,'Borrowers'!$C$9:$C$108,0))*INDEX('Borrowers'!$U$9:$U$108,MATCH(C44,'Borrowers'!$C$9:$C$108,0))*'Scenario Paths'!F21*S44,"Unavailable"))</x:f>
      </x:c>
      <x:c r="L44" s="23" t="str">
        <x:f>IF(C44="","",IFERROR(SUMPRODUCT((Sites!$D$9:$D$108=C44)*Sites!$H$9:$H$108*Sites!$J$9:$J$108*Sites!$K$9:$K$108*(1-Sites!$L$9:$L$108)*(1-Sites!$M$9:$M$108))*'Scenario Paths'!F27,"Unavailable"))</x:f>
      </x:c>
      <x:c r="M44" s="23" t="str">
        <x:f>IF(C44="","",IFERROR(INDEX('Borrowers'!$J$9:$J$108,MATCH(C44,'Borrowers'!$C$9:$C$108,0))+H44-SUM(I44:L44),"Unavailable"))</x:f>
      </x:c>
      <x:c r="N44" s="23" t="str">
        <x:f>IF(C44="","",IFERROR(INDEX('Borrowers'!$I$9:$I$108,MATCH(C44,'Borrowers'!$C$9:$C$108,0))*'Scenario Paths'!F33,"Unavailable"))</x:f>
      </x:c>
      <x:c r="O44" s="23" t="str">
        <x:f>IF(C44="","",IFERROR(M44-INDEX('Borrowers'!$K$9:$K$108,MATCH(C44,'Borrowers'!$C$9:$C$108,0))-N44,"Unavailable"))</x:f>
      </x:c>
      <x:c r="P44" s="127" t="str">
        <x:f>IF(C44="","",IFERROR(O44/INDEX('Borrowers'!$L$9:$L$108,MATCH(C44,'Borrowers'!$C$9:$C$108,0)),"Unavailable"))</x:f>
      </x:c>
      <x:c r="Q44" s="30" t="str">
        <x:f>IF(C44="","",IFERROR(IF(INDEX('Borrowers'!$Z$9:$Z$108,MATCH(C44,'Borrowers'!$C$9:$C$108,0))="Yes",1,IF(INDEX('Borrowers'!$P$9:$P$108,MATCH(C44,'Borrowers'!$C$9:$C$108,0))=0,0,MIN(1,INDEX('Borrowers'!$P$9:$P$108,MATCH(C44,'Borrowers'!$C$9:$C$108,0))*EXP(MIN(20,INDEX('Borrowers'!$V$9:$V$108,MATCH(C44,'Borrowers'!$C$9:$C$108,0))*V44))))),"Unavailable"))</x:f>
      </x:c>
      <x:c r="R44" s="30" t="str">
        <x:f>IF(C44="","",IFERROR(MIN(1,INDEX('Borrowers'!$Q$9:$Q$108,MATCH(C44,'Borrowers'!$C$9:$C$108,0))+(1-INDEX('Borrowers'!$Q$9:$Q$108,MATCH(C44,'Borrowers'!$C$9:$C$108,0)))*T44),"Unavailable"))</x:f>
      </x:c>
      <x:c r="S44" s="30" t="str">
        <x:f>IF(C44="","",IFERROR(SUMPRODUCT((Sites!$D$9:$D$108=C44)*Sites!$I$9:$I$108*Sites!$J$9:$J$108*Sites!$K$9:$K$108*(1-Sites!$L$9:$L$108)),"Unavailable"))</x:f>
      </x:c>
      <x:c r="T44" s="30" t="str">
        <x:f>IF(C44="","",IFERROR(MIN(1,(SUMPRODUCT((Sites!$D$9:$D$108=C44)*Sites!$N$9:$N$108*Sites!$J$9:$J$108*Sites!$K$9:$K$108*(1-Sites!$L$9:$L$108)))*'Scenario Paths'!F27),"Unavailable"))</x:f>
      </x:c>
      <x:c r="U44" s="9" t="str">
        <x:f>IF(C44="","",IF(OR(INDEX('Borrowers'!$AA$9:$AA$108,MATCH(C44,'Borrowers'!$C$9:$C$108,0))&lt;&gt;"Ready",COUNTIF(Sites!$D$9:$D$108,C44)=0,COUNTIFS(Sites!$D$9:$D$108,C44,Sites!$Q$9:$Q$108,"&lt;&gt;Ready")&gt;0,'Scenario Paths'!$F$6&lt;&gt;"Ready"),"Review source inputs","Ready"))</x:f>
      </x:c>
      <x:c r="V44" s="17" t="str">
        <x:f>IF(C44="","",IFERROR(MAX(-1,(G44-O44)/MAX(0.000001,G44)),"Unavailable"))</x:f>
      </x:c>
      <x:c r="W44" s="9" t="str">
        <x:f>IF(C44="","",IFERROR(INDEX('Borrowers'!$D$9:$D$108,MATCH(C44,'Borrowers'!$C$9:$C$108,0)),"Unavailable"))</x:f>
      </x:c>
    </x:row>
    <x:row r="45" ht="26" customHeight="1">
      <x:c r="A45" s="1"/>
      <x:c r="B45" s="1"/>
      <x:c r="C45" s="9" t="str">
        <x:f>IF(Borrowers!C45="","",Borrowers!C45)</x:f>
      </x:c>
      <x:c r="D45" s="3" t="n">
        <x:v>1</x:v>
      </x:c>
      <x:c r="E45" s="9" t="n">
        <x:f>Settings!$F$18+0</x:f>
        <x:v>2027</x:v>
      </x:c>
      <x:c r="F45" s="9" t="str">
        <x:f>IF(C45="","",INDEX('Borrowers'!$F$9:$F$108,MATCH(C45,'Borrowers'!$C$9:$C$108,0)))</x:f>
      </x:c>
      <x:c r="G45" s="23" t="str">
        <x:f>IF(C45="","",IFERROR(INDEX('Borrowers'!$J$9:$J$108,MATCH(C45,'Borrowers'!$C$9:$C$108,0))-INDEX('Borrowers'!$K$9:$K$108,MATCH(C45,'Borrowers'!$C$9:$C$108,0)),"Unavailable"))</x:f>
      </x:c>
      <x:c r="H45" s="23" t="str">
        <x:f>IF(C45="","",IFERROR(INDEX('Borrowers'!$I$9:$I$108,MATCH(C45,'Borrowers'!$C$9:$C$108,0))*INDEX('Borrowers'!$U$9:$U$108,MATCH(C45,'Borrowers'!$C$9:$C$108,0))*(IF(F45="Transport",'Scenario Paths'!F156,IF(F45="Technology",'Scenario Paths'!F150,IF(F45="Utilities",'Scenario Paths'!F144,IF(F45="Agriculture",'Scenario Paths'!F138,IF(F45="Manufacturing",'Scenario Paths'!F132,IF(F45="Healthcare",'Scenario Paths'!F126,IF(F45="Hospitality",'Scenario Paths'!F120,IF(F45="Property",'Scenario Paths'!F114,IF(F45="Food",'Scenario Paths'!F108,IF(F45="Logistics",'Scenario Paths'!F102,IF(F45="Solar",'Scenario Paths'!F96,IF(F45="Cement",'Scenario Paths'!F90,0))))))))))))),"Unavailable"))</x:f>
      </x:c>
      <x:c r="I45" s="23" t="str">
        <x:f>IF(C45="","",IFERROR(INDEX('Borrowers'!$R$9:$R$108,MATCH(C45,'Borrowers'!$C$9:$C$108,0))*(1-INDEX('Borrowers'!$W$9:$W$108,MATCH(C45,'Borrowers'!$C$9:$C$108,0))*'Scenario Paths'!F39)*'Scenario Paths'!F9/1000000*(1-INDEX('Borrowers'!$T$9:$T$108,MATCH(C45,'Borrowers'!$C$9:$C$108,0))),"Unavailable"))</x:f>
      </x:c>
      <x:c r="J45" s="23" t="str">
        <x:f>IF(C45="","",IFERROR(INDEX('Borrowers'!$I$9:$I$108,MATCH(C45,'Borrowers'!$C$9:$C$108,0))*INDEX('Borrowers'!$S$9:$S$108,MATCH(C45,'Borrowers'!$C$9:$C$108,0))*'Scenario Paths'!F15*(1-INDEX('Borrowers'!$T$9:$T$108,MATCH(C45,'Borrowers'!$C$9:$C$108,0))),"Unavailable"))</x:f>
      </x:c>
      <x:c r="K45" s="23" t="str">
        <x:f>IF(C45="","",IFERROR(INDEX('Borrowers'!$I$9:$I$108,MATCH(C45,'Borrowers'!$C$9:$C$108,0))*INDEX('Borrowers'!$U$9:$U$108,MATCH(C45,'Borrowers'!$C$9:$C$108,0))*'Scenario Paths'!F21*S45,"Unavailable"))</x:f>
      </x:c>
      <x:c r="L45" s="23" t="str">
        <x:f>IF(C45="","",IFERROR(SUMPRODUCT((Sites!$D$9:$D$108=C45)*Sites!$H$9:$H$108*Sites!$J$9:$J$108*Sites!$K$9:$K$108*(1-Sites!$L$9:$L$108)*(1-Sites!$M$9:$M$108))*'Scenario Paths'!F27,"Unavailable"))</x:f>
      </x:c>
      <x:c r="M45" s="23" t="str">
        <x:f>IF(C45="","",IFERROR(INDEX('Borrowers'!$J$9:$J$108,MATCH(C45,'Borrowers'!$C$9:$C$108,0))+H45-SUM(I45:L45),"Unavailable"))</x:f>
      </x:c>
      <x:c r="N45" s="23" t="str">
        <x:f>IF(C45="","",IFERROR(INDEX('Borrowers'!$I$9:$I$108,MATCH(C45,'Borrowers'!$C$9:$C$108,0))*'Scenario Paths'!F33,"Unavailable"))</x:f>
      </x:c>
      <x:c r="O45" s="23" t="str">
        <x:f>IF(C45="","",IFERROR(M45-INDEX('Borrowers'!$K$9:$K$108,MATCH(C45,'Borrowers'!$C$9:$C$108,0))-N45,"Unavailable"))</x:f>
      </x:c>
      <x:c r="P45" s="127" t="str">
        <x:f>IF(C45="","",IFERROR(O45/INDEX('Borrowers'!$L$9:$L$108,MATCH(C45,'Borrowers'!$C$9:$C$108,0)),"Unavailable"))</x:f>
      </x:c>
      <x:c r="Q45" s="30" t="str">
        <x:f>IF(C45="","",IFERROR(IF(INDEX('Borrowers'!$Z$9:$Z$108,MATCH(C45,'Borrowers'!$C$9:$C$108,0))="Yes",1,IF(INDEX('Borrowers'!$P$9:$P$108,MATCH(C45,'Borrowers'!$C$9:$C$108,0))=0,0,MIN(1,INDEX('Borrowers'!$P$9:$P$108,MATCH(C45,'Borrowers'!$C$9:$C$108,0))*EXP(MIN(20,INDEX('Borrowers'!$V$9:$V$108,MATCH(C45,'Borrowers'!$C$9:$C$108,0))*V45))))),"Unavailable"))</x:f>
      </x:c>
      <x:c r="R45" s="30" t="str">
        <x:f>IF(C45="","",IFERROR(MIN(1,INDEX('Borrowers'!$Q$9:$Q$108,MATCH(C45,'Borrowers'!$C$9:$C$108,0))+(1-INDEX('Borrowers'!$Q$9:$Q$108,MATCH(C45,'Borrowers'!$C$9:$C$108,0)))*T45),"Unavailable"))</x:f>
      </x:c>
      <x:c r="S45" s="30" t="str">
        <x:f>IF(C45="","",IFERROR(SUMPRODUCT((Sites!$D$9:$D$108=C45)*Sites!$I$9:$I$108*Sites!$J$9:$J$108*Sites!$K$9:$K$108*(1-Sites!$L$9:$L$108)),"Unavailable"))</x:f>
      </x:c>
      <x:c r="T45" s="30" t="str">
        <x:f>IF(C45="","",IFERROR(MIN(1,(SUMPRODUCT((Sites!$D$9:$D$108=C45)*Sites!$N$9:$N$108*Sites!$J$9:$J$108*Sites!$K$9:$K$108*(1-Sites!$L$9:$L$108)))*'Scenario Paths'!F27),"Unavailable"))</x:f>
      </x:c>
      <x:c r="U45" s="9" t="str">
        <x:f>IF(C45="","",IF(OR(INDEX('Borrowers'!$AA$9:$AA$108,MATCH(C45,'Borrowers'!$C$9:$C$108,0))&lt;&gt;"Ready",COUNTIF(Sites!$D$9:$D$108,C45)=0,COUNTIFS(Sites!$D$9:$D$108,C45,Sites!$Q$9:$Q$108,"&lt;&gt;Ready")&gt;0,'Scenario Paths'!$F$6&lt;&gt;"Ready"),"Review source inputs","Ready"))</x:f>
      </x:c>
      <x:c r="V45" s="17" t="str">
        <x:f>IF(C45="","",IFERROR(MAX(-1,(G45-O45)/MAX(0.000001,G45)),"Unavailable"))</x:f>
      </x:c>
      <x:c r="W45" s="9" t="str">
        <x:f>IF(C45="","",IFERROR(INDEX('Borrowers'!$D$9:$D$108,MATCH(C45,'Borrowers'!$C$9:$C$108,0)),"Unavailable"))</x:f>
      </x:c>
    </x:row>
    <x:row r="46" ht="26" customHeight="1">
      <x:c r="A46" s="1"/>
      <x:c r="B46" s="1"/>
      <x:c r="C46" s="9" t="str">
        <x:f>IF(Borrowers!C46="","",Borrowers!C46)</x:f>
      </x:c>
      <x:c r="D46" s="3" t="n">
        <x:v>1</x:v>
      </x:c>
      <x:c r="E46" s="9" t="n">
        <x:f>Settings!$F$18+0</x:f>
        <x:v>2027</x:v>
      </x:c>
      <x:c r="F46" s="9" t="str">
        <x:f>IF(C46="","",INDEX('Borrowers'!$F$9:$F$108,MATCH(C46,'Borrowers'!$C$9:$C$108,0)))</x:f>
      </x:c>
      <x:c r="G46" s="23" t="str">
        <x:f>IF(C46="","",IFERROR(INDEX('Borrowers'!$J$9:$J$108,MATCH(C46,'Borrowers'!$C$9:$C$108,0))-INDEX('Borrowers'!$K$9:$K$108,MATCH(C46,'Borrowers'!$C$9:$C$108,0)),"Unavailable"))</x:f>
      </x:c>
      <x:c r="H46" s="23" t="str">
        <x:f>IF(C46="","",IFERROR(INDEX('Borrowers'!$I$9:$I$108,MATCH(C46,'Borrowers'!$C$9:$C$108,0))*INDEX('Borrowers'!$U$9:$U$108,MATCH(C46,'Borrowers'!$C$9:$C$108,0))*(IF(F46="Transport",'Scenario Paths'!F156,IF(F46="Technology",'Scenario Paths'!F150,IF(F46="Utilities",'Scenario Paths'!F144,IF(F46="Agriculture",'Scenario Paths'!F138,IF(F46="Manufacturing",'Scenario Paths'!F132,IF(F46="Healthcare",'Scenario Paths'!F126,IF(F46="Hospitality",'Scenario Paths'!F120,IF(F46="Property",'Scenario Paths'!F114,IF(F46="Food",'Scenario Paths'!F108,IF(F46="Logistics",'Scenario Paths'!F102,IF(F46="Solar",'Scenario Paths'!F96,IF(F46="Cement",'Scenario Paths'!F90,0))))))))))))),"Unavailable"))</x:f>
      </x:c>
      <x:c r="I46" s="23" t="str">
        <x:f>IF(C46="","",IFERROR(INDEX('Borrowers'!$R$9:$R$108,MATCH(C46,'Borrowers'!$C$9:$C$108,0))*(1-INDEX('Borrowers'!$W$9:$W$108,MATCH(C46,'Borrowers'!$C$9:$C$108,0))*'Scenario Paths'!F39)*'Scenario Paths'!F9/1000000*(1-INDEX('Borrowers'!$T$9:$T$108,MATCH(C46,'Borrowers'!$C$9:$C$108,0))),"Unavailable"))</x:f>
      </x:c>
      <x:c r="J46" s="23" t="str">
        <x:f>IF(C46="","",IFERROR(INDEX('Borrowers'!$I$9:$I$108,MATCH(C46,'Borrowers'!$C$9:$C$108,0))*INDEX('Borrowers'!$S$9:$S$108,MATCH(C46,'Borrowers'!$C$9:$C$108,0))*'Scenario Paths'!F15*(1-INDEX('Borrowers'!$T$9:$T$108,MATCH(C46,'Borrowers'!$C$9:$C$108,0))),"Unavailable"))</x:f>
      </x:c>
      <x:c r="K46" s="23" t="str">
        <x:f>IF(C46="","",IFERROR(INDEX('Borrowers'!$I$9:$I$108,MATCH(C46,'Borrowers'!$C$9:$C$108,0))*INDEX('Borrowers'!$U$9:$U$108,MATCH(C46,'Borrowers'!$C$9:$C$108,0))*'Scenario Paths'!F21*S46,"Unavailable"))</x:f>
      </x:c>
      <x:c r="L46" s="23" t="str">
        <x:f>IF(C46="","",IFERROR(SUMPRODUCT((Sites!$D$9:$D$108=C46)*Sites!$H$9:$H$108*Sites!$J$9:$J$108*Sites!$K$9:$K$108*(1-Sites!$L$9:$L$108)*(1-Sites!$M$9:$M$108))*'Scenario Paths'!F27,"Unavailable"))</x:f>
      </x:c>
      <x:c r="M46" s="23" t="str">
        <x:f>IF(C46="","",IFERROR(INDEX('Borrowers'!$J$9:$J$108,MATCH(C46,'Borrowers'!$C$9:$C$108,0))+H46-SUM(I46:L46),"Unavailable"))</x:f>
      </x:c>
      <x:c r="N46" s="23" t="str">
        <x:f>IF(C46="","",IFERROR(INDEX('Borrowers'!$I$9:$I$108,MATCH(C46,'Borrowers'!$C$9:$C$108,0))*'Scenario Paths'!F33,"Unavailable"))</x:f>
      </x:c>
      <x:c r="O46" s="23" t="str">
        <x:f>IF(C46="","",IFERROR(M46-INDEX('Borrowers'!$K$9:$K$108,MATCH(C46,'Borrowers'!$C$9:$C$108,0))-N46,"Unavailable"))</x:f>
      </x:c>
      <x:c r="P46" s="127" t="str">
        <x:f>IF(C46="","",IFERROR(O46/INDEX('Borrowers'!$L$9:$L$108,MATCH(C46,'Borrowers'!$C$9:$C$108,0)),"Unavailable"))</x:f>
      </x:c>
      <x:c r="Q46" s="30" t="str">
        <x:f>IF(C46="","",IFERROR(IF(INDEX('Borrowers'!$Z$9:$Z$108,MATCH(C46,'Borrowers'!$C$9:$C$108,0))="Yes",1,IF(INDEX('Borrowers'!$P$9:$P$108,MATCH(C46,'Borrowers'!$C$9:$C$108,0))=0,0,MIN(1,INDEX('Borrowers'!$P$9:$P$108,MATCH(C46,'Borrowers'!$C$9:$C$108,0))*EXP(MIN(20,INDEX('Borrowers'!$V$9:$V$108,MATCH(C46,'Borrowers'!$C$9:$C$108,0))*V46))))),"Unavailable"))</x:f>
      </x:c>
      <x:c r="R46" s="30" t="str">
        <x:f>IF(C46="","",IFERROR(MIN(1,INDEX('Borrowers'!$Q$9:$Q$108,MATCH(C46,'Borrowers'!$C$9:$C$108,0))+(1-INDEX('Borrowers'!$Q$9:$Q$108,MATCH(C46,'Borrowers'!$C$9:$C$108,0)))*T46),"Unavailable"))</x:f>
      </x:c>
      <x:c r="S46" s="30" t="str">
        <x:f>IF(C46="","",IFERROR(SUMPRODUCT((Sites!$D$9:$D$108=C46)*Sites!$I$9:$I$108*Sites!$J$9:$J$108*Sites!$K$9:$K$108*(1-Sites!$L$9:$L$108)),"Unavailable"))</x:f>
      </x:c>
      <x:c r="T46" s="30" t="str">
        <x:f>IF(C46="","",IFERROR(MIN(1,(SUMPRODUCT((Sites!$D$9:$D$108=C46)*Sites!$N$9:$N$108*Sites!$J$9:$J$108*Sites!$K$9:$K$108*(1-Sites!$L$9:$L$108)))*'Scenario Paths'!F27),"Unavailable"))</x:f>
      </x:c>
      <x:c r="U46" s="9" t="str">
        <x:f>IF(C46="","",IF(OR(INDEX('Borrowers'!$AA$9:$AA$108,MATCH(C46,'Borrowers'!$C$9:$C$108,0))&lt;&gt;"Ready",COUNTIF(Sites!$D$9:$D$108,C46)=0,COUNTIFS(Sites!$D$9:$D$108,C46,Sites!$Q$9:$Q$108,"&lt;&gt;Ready")&gt;0,'Scenario Paths'!$F$6&lt;&gt;"Ready"),"Review source inputs","Ready"))</x:f>
      </x:c>
      <x:c r="V46" s="17" t="str">
        <x:f>IF(C46="","",IFERROR(MAX(-1,(G46-O46)/MAX(0.000001,G46)),"Unavailable"))</x:f>
      </x:c>
      <x:c r="W46" s="9" t="str">
        <x:f>IF(C46="","",IFERROR(INDEX('Borrowers'!$D$9:$D$108,MATCH(C46,'Borrowers'!$C$9:$C$108,0)),"Unavailable"))</x:f>
      </x:c>
    </x:row>
    <x:row r="47" ht="26" customHeight="1">
      <x:c r="A47" s="1"/>
      <x:c r="B47" s="1"/>
      <x:c r="C47" s="9" t="str">
        <x:f>IF(Borrowers!C47="","",Borrowers!C47)</x:f>
      </x:c>
      <x:c r="D47" s="3" t="n">
        <x:v>1</x:v>
      </x:c>
      <x:c r="E47" s="9" t="n">
        <x:f>Settings!$F$18+0</x:f>
        <x:v>2027</x:v>
      </x:c>
      <x:c r="F47" s="9" t="str">
        <x:f>IF(C47="","",INDEX('Borrowers'!$F$9:$F$108,MATCH(C47,'Borrowers'!$C$9:$C$108,0)))</x:f>
      </x:c>
      <x:c r="G47" s="23" t="str">
        <x:f>IF(C47="","",IFERROR(INDEX('Borrowers'!$J$9:$J$108,MATCH(C47,'Borrowers'!$C$9:$C$108,0))-INDEX('Borrowers'!$K$9:$K$108,MATCH(C47,'Borrowers'!$C$9:$C$108,0)),"Unavailable"))</x:f>
      </x:c>
      <x:c r="H47" s="23" t="str">
        <x:f>IF(C47="","",IFERROR(INDEX('Borrowers'!$I$9:$I$108,MATCH(C47,'Borrowers'!$C$9:$C$108,0))*INDEX('Borrowers'!$U$9:$U$108,MATCH(C47,'Borrowers'!$C$9:$C$108,0))*(IF(F47="Transport",'Scenario Paths'!F156,IF(F47="Technology",'Scenario Paths'!F150,IF(F47="Utilities",'Scenario Paths'!F144,IF(F47="Agriculture",'Scenario Paths'!F138,IF(F47="Manufacturing",'Scenario Paths'!F132,IF(F47="Healthcare",'Scenario Paths'!F126,IF(F47="Hospitality",'Scenario Paths'!F120,IF(F47="Property",'Scenario Paths'!F114,IF(F47="Food",'Scenario Paths'!F108,IF(F47="Logistics",'Scenario Paths'!F102,IF(F47="Solar",'Scenario Paths'!F96,IF(F47="Cement",'Scenario Paths'!F90,0))))))))))))),"Unavailable"))</x:f>
      </x:c>
      <x:c r="I47" s="23" t="str">
        <x:f>IF(C47="","",IFERROR(INDEX('Borrowers'!$R$9:$R$108,MATCH(C47,'Borrowers'!$C$9:$C$108,0))*(1-INDEX('Borrowers'!$W$9:$W$108,MATCH(C47,'Borrowers'!$C$9:$C$108,0))*'Scenario Paths'!F39)*'Scenario Paths'!F9/1000000*(1-INDEX('Borrowers'!$T$9:$T$108,MATCH(C47,'Borrowers'!$C$9:$C$108,0))),"Unavailable"))</x:f>
      </x:c>
      <x:c r="J47" s="23" t="str">
        <x:f>IF(C47="","",IFERROR(INDEX('Borrowers'!$I$9:$I$108,MATCH(C47,'Borrowers'!$C$9:$C$108,0))*INDEX('Borrowers'!$S$9:$S$108,MATCH(C47,'Borrowers'!$C$9:$C$108,0))*'Scenario Paths'!F15*(1-INDEX('Borrowers'!$T$9:$T$108,MATCH(C47,'Borrowers'!$C$9:$C$108,0))),"Unavailable"))</x:f>
      </x:c>
      <x:c r="K47" s="23" t="str">
        <x:f>IF(C47="","",IFERROR(INDEX('Borrowers'!$I$9:$I$108,MATCH(C47,'Borrowers'!$C$9:$C$108,0))*INDEX('Borrowers'!$U$9:$U$108,MATCH(C47,'Borrowers'!$C$9:$C$108,0))*'Scenario Paths'!F21*S47,"Unavailable"))</x:f>
      </x:c>
      <x:c r="L47" s="23" t="str">
        <x:f>IF(C47="","",IFERROR(SUMPRODUCT((Sites!$D$9:$D$108=C47)*Sites!$H$9:$H$108*Sites!$J$9:$J$108*Sites!$K$9:$K$108*(1-Sites!$L$9:$L$108)*(1-Sites!$M$9:$M$108))*'Scenario Paths'!F27,"Unavailable"))</x:f>
      </x:c>
      <x:c r="M47" s="23" t="str">
        <x:f>IF(C47="","",IFERROR(INDEX('Borrowers'!$J$9:$J$108,MATCH(C47,'Borrowers'!$C$9:$C$108,0))+H47-SUM(I47:L47),"Unavailable"))</x:f>
      </x:c>
      <x:c r="N47" s="23" t="str">
        <x:f>IF(C47="","",IFERROR(INDEX('Borrowers'!$I$9:$I$108,MATCH(C47,'Borrowers'!$C$9:$C$108,0))*'Scenario Paths'!F33,"Unavailable"))</x:f>
      </x:c>
      <x:c r="O47" s="23" t="str">
        <x:f>IF(C47="","",IFERROR(M47-INDEX('Borrowers'!$K$9:$K$108,MATCH(C47,'Borrowers'!$C$9:$C$108,0))-N47,"Unavailable"))</x:f>
      </x:c>
      <x:c r="P47" s="127" t="str">
        <x:f>IF(C47="","",IFERROR(O47/INDEX('Borrowers'!$L$9:$L$108,MATCH(C47,'Borrowers'!$C$9:$C$108,0)),"Unavailable"))</x:f>
      </x:c>
      <x:c r="Q47" s="30" t="str">
        <x:f>IF(C47="","",IFERROR(IF(INDEX('Borrowers'!$Z$9:$Z$108,MATCH(C47,'Borrowers'!$C$9:$C$108,0))="Yes",1,IF(INDEX('Borrowers'!$P$9:$P$108,MATCH(C47,'Borrowers'!$C$9:$C$108,0))=0,0,MIN(1,INDEX('Borrowers'!$P$9:$P$108,MATCH(C47,'Borrowers'!$C$9:$C$108,0))*EXP(MIN(20,INDEX('Borrowers'!$V$9:$V$108,MATCH(C47,'Borrowers'!$C$9:$C$108,0))*V47))))),"Unavailable"))</x:f>
      </x:c>
      <x:c r="R47" s="30" t="str">
        <x:f>IF(C47="","",IFERROR(MIN(1,INDEX('Borrowers'!$Q$9:$Q$108,MATCH(C47,'Borrowers'!$C$9:$C$108,0))+(1-INDEX('Borrowers'!$Q$9:$Q$108,MATCH(C47,'Borrowers'!$C$9:$C$108,0)))*T47),"Unavailable"))</x:f>
      </x:c>
      <x:c r="S47" s="30" t="str">
        <x:f>IF(C47="","",IFERROR(SUMPRODUCT((Sites!$D$9:$D$108=C47)*Sites!$I$9:$I$108*Sites!$J$9:$J$108*Sites!$K$9:$K$108*(1-Sites!$L$9:$L$108)),"Unavailable"))</x:f>
      </x:c>
      <x:c r="T47" s="30" t="str">
        <x:f>IF(C47="","",IFERROR(MIN(1,(SUMPRODUCT((Sites!$D$9:$D$108=C47)*Sites!$N$9:$N$108*Sites!$J$9:$J$108*Sites!$K$9:$K$108*(1-Sites!$L$9:$L$108)))*'Scenario Paths'!F27),"Unavailable"))</x:f>
      </x:c>
      <x:c r="U47" s="9" t="str">
        <x:f>IF(C47="","",IF(OR(INDEX('Borrowers'!$AA$9:$AA$108,MATCH(C47,'Borrowers'!$C$9:$C$108,0))&lt;&gt;"Ready",COUNTIF(Sites!$D$9:$D$108,C47)=0,COUNTIFS(Sites!$D$9:$D$108,C47,Sites!$Q$9:$Q$108,"&lt;&gt;Ready")&gt;0,'Scenario Paths'!$F$6&lt;&gt;"Ready"),"Review source inputs","Ready"))</x:f>
      </x:c>
      <x:c r="V47" s="17" t="str">
        <x:f>IF(C47="","",IFERROR(MAX(-1,(G47-O47)/MAX(0.000001,G47)),"Unavailable"))</x:f>
      </x:c>
      <x:c r="W47" s="9" t="str">
        <x:f>IF(C47="","",IFERROR(INDEX('Borrowers'!$D$9:$D$108,MATCH(C47,'Borrowers'!$C$9:$C$108,0)),"Unavailable"))</x:f>
      </x:c>
    </x:row>
    <x:row r="48" ht="26" customHeight="1">
      <x:c r="A48" s="1"/>
      <x:c r="B48" s="1"/>
      <x:c r="C48" s="9" t="str">
        <x:f>IF(Borrowers!C48="","",Borrowers!C48)</x:f>
      </x:c>
      <x:c r="D48" s="3" t="n">
        <x:v>1</x:v>
      </x:c>
      <x:c r="E48" s="9" t="n">
        <x:f>Settings!$F$18+0</x:f>
        <x:v>2027</x:v>
      </x:c>
      <x:c r="F48" s="9" t="str">
        <x:f>IF(C48="","",INDEX('Borrowers'!$F$9:$F$108,MATCH(C48,'Borrowers'!$C$9:$C$108,0)))</x:f>
      </x:c>
      <x:c r="G48" s="23" t="str">
        <x:f>IF(C48="","",IFERROR(INDEX('Borrowers'!$J$9:$J$108,MATCH(C48,'Borrowers'!$C$9:$C$108,0))-INDEX('Borrowers'!$K$9:$K$108,MATCH(C48,'Borrowers'!$C$9:$C$108,0)),"Unavailable"))</x:f>
      </x:c>
      <x:c r="H48" s="23" t="str">
        <x:f>IF(C48="","",IFERROR(INDEX('Borrowers'!$I$9:$I$108,MATCH(C48,'Borrowers'!$C$9:$C$108,0))*INDEX('Borrowers'!$U$9:$U$108,MATCH(C48,'Borrowers'!$C$9:$C$108,0))*(IF(F48="Transport",'Scenario Paths'!F156,IF(F48="Technology",'Scenario Paths'!F150,IF(F48="Utilities",'Scenario Paths'!F144,IF(F48="Agriculture",'Scenario Paths'!F138,IF(F48="Manufacturing",'Scenario Paths'!F132,IF(F48="Healthcare",'Scenario Paths'!F126,IF(F48="Hospitality",'Scenario Paths'!F120,IF(F48="Property",'Scenario Paths'!F114,IF(F48="Food",'Scenario Paths'!F108,IF(F48="Logistics",'Scenario Paths'!F102,IF(F48="Solar",'Scenario Paths'!F96,IF(F48="Cement",'Scenario Paths'!F90,0))))))))))))),"Unavailable"))</x:f>
      </x:c>
      <x:c r="I48" s="23" t="str">
        <x:f>IF(C48="","",IFERROR(INDEX('Borrowers'!$R$9:$R$108,MATCH(C48,'Borrowers'!$C$9:$C$108,0))*(1-INDEX('Borrowers'!$W$9:$W$108,MATCH(C48,'Borrowers'!$C$9:$C$108,0))*'Scenario Paths'!F39)*'Scenario Paths'!F9/1000000*(1-INDEX('Borrowers'!$T$9:$T$108,MATCH(C48,'Borrowers'!$C$9:$C$108,0))),"Unavailable"))</x:f>
      </x:c>
      <x:c r="J48" s="23" t="str">
        <x:f>IF(C48="","",IFERROR(INDEX('Borrowers'!$I$9:$I$108,MATCH(C48,'Borrowers'!$C$9:$C$108,0))*INDEX('Borrowers'!$S$9:$S$108,MATCH(C48,'Borrowers'!$C$9:$C$108,0))*'Scenario Paths'!F15*(1-INDEX('Borrowers'!$T$9:$T$108,MATCH(C48,'Borrowers'!$C$9:$C$108,0))),"Unavailable"))</x:f>
      </x:c>
      <x:c r="K48" s="23" t="str">
        <x:f>IF(C48="","",IFERROR(INDEX('Borrowers'!$I$9:$I$108,MATCH(C48,'Borrowers'!$C$9:$C$108,0))*INDEX('Borrowers'!$U$9:$U$108,MATCH(C48,'Borrowers'!$C$9:$C$108,0))*'Scenario Paths'!F21*S48,"Unavailable"))</x:f>
      </x:c>
      <x:c r="L48" s="23" t="str">
        <x:f>IF(C48="","",IFERROR(SUMPRODUCT((Sites!$D$9:$D$108=C48)*Sites!$H$9:$H$108*Sites!$J$9:$J$108*Sites!$K$9:$K$108*(1-Sites!$L$9:$L$108)*(1-Sites!$M$9:$M$108))*'Scenario Paths'!F27,"Unavailable"))</x:f>
      </x:c>
      <x:c r="M48" s="23" t="str">
        <x:f>IF(C48="","",IFERROR(INDEX('Borrowers'!$J$9:$J$108,MATCH(C48,'Borrowers'!$C$9:$C$108,0))+H48-SUM(I48:L48),"Unavailable"))</x:f>
      </x:c>
      <x:c r="N48" s="23" t="str">
        <x:f>IF(C48="","",IFERROR(INDEX('Borrowers'!$I$9:$I$108,MATCH(C48,'Borrowers'!$C$9:$C$108,0))*'Scenario Paths'!F33,"Unavailable"))</x:f>
      </x:c>
      <x:c r="O48" s="23" t="str">
        <x:f>IF(C48="","",IFERROR(M48-INDEX('Borrowers'!$K$9:$K$108,MATCH(C48,'Borrowers'!$C$9:$C$108,0))-N48,"Unavailable"))</x:f>
      </x:c>
      <x:c r="P48" s="127" t="str">
        <x:f>IF(C48="","",IFERROR(O48/INDEX('Borrowers'!$L$9:$L$108,MATCH(C48,'Borrowers'!$C$9:$C$108,0)),"Unavailable"))</x:f>
      </x:c>
      <x:c r="Q48" s="30" t="str">
        <x:f>IF(C48="","",IFERROR(IF(INDEX('Borrowers'!$Z$9:$Z$108,MATCH(C48,'Borrowers'!$C$9:$C$108,0))="Yes",1,IF(INDEX('Borrowers'!$P$9:$P$108,MATCH(C48,'Borrowers'!$C$9:$C$108,0))=0,0,MIN(1,INDEX('Borrowers'!$P$9:$P$108,MATCH(C48,'Borrowers'!$C$9:$C$108,0))*EXP(MIN(20,INDEX('Borrowers'!$V$9:$V$108,MATCH(C48,'Borrowers'!$C$9:$C$108,0))*V48))))),"Unavailable"))</x:f>
      </x:c>
      <x:c r="R48" s="30" t="str">
        <x:f>IF(C48="","",IFERROR(MIN(1,INDEX('Borrowers'!$Q$9:$Q$108,MATCH(C48,'Borrowers'!$C$9:$C$108,0))+(1-INDEX('Borrowers'!$Q$9:$Q$108,MATCH(C48,'Borrowers'!$C$9:$C$108,0)))*T48),"Unavailable"))</x:f>
      </x:c>
      <x:c r="S48" s="30" t="str">
        <x:f>IF(C48="","",IFERROR(SUMPRODUCT((Sites!$D$9:$D$108=C48)*Sites!$I$9:$I$108*Sites!$J$9:$J$108*Sites!$K$9:$K$108*(1-Sites!$L$9:$L$108)),"Unavailable"))</x:f>
      </x:c>
      <x:c r="T48" s="30" t="str">
        <x:f>IF(C48="","",IFERROR(MIN(1,(SUMPRODUCT((Sites!$D$9:$D$108=C48)*Sites!$N$9:$N$108*Sites!$J$9:$J$108*Sites!$K$9:$K$108*(1-Sites!$L$9:$L$108)))*'Scenario Paths'!F27),"Unavailable"))</x:f>
      </x:c>
      <x:c r="U48" s="9" t="str">
        <x:f>IF(C48="","",IF(OR(INDEX('Borrowers'!$AA$9:$AA$108,MATCH(C48,'Borrowers'!$C$9:$C$108,0))&lt;&gt;"Ready",COUNTIF(Sites!$D$9:$D$108,C48)=0,COUNTIFS(Sites!$D$9:$D$108,C48,Sites!$Q$9:$Q$108,"&lt;&gt;Ready")&gt;0,'Scenario Paths'!$F$6&lt;&gt;"Ready"),"Review source inputs","Ready"))</x:f>
      </x:c>
      <x:c r="V48" s="17" t="str">
        <x:f>IF(C48="","",IFERROR(MAX(-1,(G48-O48)/MAX(0.000001,G48)),"Unavailable"))</x:f>
      </x:c>
      <x:c r="W48" s="9" t="str">
        <x:f>IF(C48="","",IFERROR(INDEX('Borrowers'!$D$9:$D$108,MATCH(C48,'Borrowers'!$C$9:$C$108,0)),"Unavailable"))</x:f>
      </x:c>
    </x:row>
    <x:row r="49" ht="26" customHeight="1">
      <x:c r="A49" s="1"/>
      <x:c r="B49" s="1"/>
      <x:c r="C49" s="9" t="str">
        <x:f>IF(Borrowers!C49="","",Borrowers!C49)</x:f>
      </x:c>
      <x:c r="D49" s="3" t="n">
        <x:v>1</x:v>
      </x:c>
      <x:c r="E49" s="9" t="n">
        <x:f>Settings!$F$18+0</x:f>
        <x:v>2027</x:v>
      </x:c>
      <x:c r="F49" s="9" t="str">
        <x:f>IF(C49="","",INDEX('Borrowers'!$F$9:$F$108,MATCH(C49,'Borrowers'!$C$9:$C$108,0)))</x:f>
      </x:c>
      <x:c r="G49" s="23" t="str">
        <x:f>IF(C49="","",IFERROR(INDEX('Borrowers'!$J$9:$J$108,MATCH(C49,'Borrowers'!$C$9:$C$108,0))-INDEX('Borrowers'!$K$9:$K$108,MATCH(C49,'Borrowers'!$C$9:$C$108,0)),"Unavailable"))</x:f>
      </x:c>
      <x:c r="H49" s="23" t="str">
        <x:f>IF(C49="","",IFERROR(INDEX('Borrowers'!$I$9:$I$108,MATCH(C49,'Borrowers'!$C$9:$C$108,0))*INDEX('Borrowers'!$U$9:$U$108,MATCH(C49,'Borrowers'!$C$9:$C$108,0))*(IF(F49="Transport",'Scenario Paths'!F156,IF(F49="Technology",'Scenario Paths'!F150,IF(F49="Utilities",'Scenario Paths'!F144,IF(F49="Agriculture",'Scenario Paths'!F138,IF(F49="Manufacturing",'Scenario Paths'!F132,IF(F49="Healthcare",'Scenario Paths'!F126,IF(F49="Hospitality",'Scenario Paths'!F120,IF(F49="Property",'Scenario Paths'!F114,IF(F49="Food",'Scenario Paths'!F108,IF(F49="Logistics",'Scenario Paths'!F102,IF(F49="Solar",'Scenario Paths'!F96,IF(F49="Cement",'Scenario Paths'!F90,0))))))))))))),"Unavailable"))</x:f>
      </x:c>
      <x:c r="I49" s="23" t="str">
        <x:f>IF(C49="","",IFERROR(INDEX('Borrowers'!$R$9:$R$108,MATCH(C49,'Borrowers'!$C$9:$C$108,0))*(1-INDEX('Borrowers'!$W$9:$W$108,MATCH(C49,'Borrowers'!$C$9:$C$108,0))*'Scenario Paths'!F39)*'Scenario Paths'!F9/1000000*(1-INDEX('Borrowers'!$T$9:$T$108,MATCH(C49,'Borrowers'!$C$9:$C$108,0))),"Unavailable"))</x:f>
      </x:c>
      <x:c r="J49" s="23" t="str">
        <x:f>IF(C49="","",IFERROR(INDEX('Borrowers'!$I$9:$I$108,MATCH(C49,'Borrowers'!$C$9:$C$108,0))*INDEX('Borrowers'!$S$9:$S$108,MATCH(C49,'Borrowers'!$C$9:$C$108,0))*'Scenario Paths'!F15*(1-INDEX('Borrowers'!$T$9:$T$108,MATCH(C49,'Borrowers'!$C$9:$C$108,0))),"Unavailable"))</x:f>
      </x:c>
      <x:c r="K49" s="23" t="str">
        <x:f>IF(C49="","",IFERROR(INDEX('Borrowers'!$I$9:$I$108,MATCH(C49,'Borrowers'!$C$9:$C$108,0))*INDEX('Borrowers'!$U$9:$U$108,MATCH(C49,'Borrowers'!$C$9:$C$108,0))*'Scenario Paths'!F21*S49,"Unavailable"))</x:f>
      </x:c>
      <x:c r="L49" s="23" t="str">
        <x:f>IF(C49="","",IFERROR(SUMPRODUCT((Sites!$D$9:$D$108=C49)*Sites!$H$9:$H$108*Sites!$J$9:$J$108*Sites!$K$9:$K$108*(1-Sites!$L$9:$L$108)*(1-Sites!$M$9:$M$108))*'Scenario Paths'!F27,"Unavailable"))</x:f>
      </x:c>
      <x:c r="M49" s="23" t="str">
        <x:f>IF(C49="","",IFERROR(INDEX('Borrowers'!$J$9:$J$108,MATCH(C49,'Borrowers'!$C$9:$C$108,0))+H49-SUM(I49:L49),"Unavailable"))</x:f>
      </x:c>
      <x:c r="N49" s="23" t="str">
        <x:f>IF(C49="","",IFERROR(INDEX('Borrowers'!$I$9:$I$108,MATCH(C49,'Borrowers'!$C$9:$C$108,0))*'Scenario Paths'!F33,"Unavailable"))</x:f>
      </x:c>
      <x:c r="O49" s="23" t="str">
        <x:f>IF(C49="","",IFERROR(M49-INDEX('Borrowers'!$K$9:$K$108,MATCH(C49,'Borrowers'!$C$9:$C$108,0))-N49,"Unavailable"))</x:f>
      </x:c>
      <x:c r="P49" s="127" t="str">
        <x:f>IF(C49="","",IFERROR(O49/INDEX('Borrowers'!$L$9:$L$108,MATCH(C49,'Borrowers'!$C$9:$C$108,0)),"Unavailable"))</x:f>
      </x:c>
      <x:c r="Q49" s="30" t="str">
        <x:f>IF(C49="","",IFERROR(IF(INDEX('Borrowers'!$Z$9:$Z$108,MATCH(C49,'Borrowers'!$C$9:$C$108,0))="Yes",1,IF(INDEX('Borrowers'!$P$9:$P$108,MATCH(C49,'Borrowers'!$C$9:$C$108,0))=0,0,MIN(1,INDEX('Borrowers'!$P$9:$P$108,MATCH(C49,'Borrowers'!$C$9:$C$108,0))*EXP(MIN(20,INDEX('Borrowers'!$V$9:$V$108,MATCH(C49,'Borrowers'!$C$9:$C$108,0))*V49))))),"Unavailable"))</x:f>
      </x:c>
      <x:c r="R49" s="30" t="str">
        <x:f>IF(C49="","",IFERROR(MIN(1,INDEX('Borrowers'!$Q$9:$Q$108,MATCH(C49,'Borrowers'!$C$9:$C$108,0))+(1-INDEX('Borrowers'!$Q$9:$Q$108,MATCH(C49,'Borrowers'!$C$9:$C$108,0)))*T49),"Unavailable"))</x:f>
      </x:c>
      <x:c r="S49" s="30" t="str">
        <x:f>IF(C49="","",IFERROR(SUMPRODUCT((Sites!$D$9:$D$108=C49)*Sites!$I$9:$I$108*Sites!$J$9:$J$108*Sites!$K$9:$K$108*(1-Sites!$L$9:$L$108)),"Unavailable"))</x:f>
      </x:c>
      <x:c r="T49" s="30" t="str">
        <x:f>IF(C49="","",IFERROR(MIN(1,(SUMPRODUCT((Sites!$D$9:$D$108=C49)*Sites!$N$9:$N$108*Sites!$J$9:$J$108*Sites!$K$9:$K$108*(1-Sites!$L$9:$L$108)))*'Scenario Paths'!F27),"Unavailable"))</x:f>
      </x:c>
      <x:c r="U49" s="9" t="str">
        <x:f>IF(C49="","",IF(OR(INDEX('Borrowers'!$AA$9:$AA$108,MATCH(C49,'Borrowers'!$C$9:$C$108,0))&lt;&gt;"Ready",COUNTIF(Sites!$D$9:$D$108,C49)=0,COUNTIFS(Sites!$D$9:$D$108,C49,Sites!$Q$9:$Q$108,"&lt;&gt;Ready")&gt;0,'Scenario Paths'!$F$6&lt;&gt;"Ready"),"Review source inputs","Ready"))</x:f>
      </x:c>
      <x:c r="V49" s="17" t="str">
        <x:f>IF(C49="","",IFERROR(MAX(-1,(G49-O49)/MAX(0.000001,G49)),"Unavailable"))</x:f>
      </x:c>
      <x:c r="W49" s="9" t="str">
        <x:f>IF(C49="","",IFERROR(INDEX('Borrowers'!$D$9:$D$108,MATCH(C49,'Borrowers'!$C$9:$C$108,0)),"Unavailable"))</x:f>
      </x:c>
    </x:row>
    <x:row r="50" ht="26" customHeight="1">
      <x:c r="A50" s="1"/>
      <x:c r="B50" s="1"/>
      <x:c r="C50" s="9" t="str">
        <x:f>IF(Borrowers!C50="","",Borrowers!C50)</x:f>
      </x:c>
      <x:c r="D50" s="3" t="n">
        <x:v>1</x:v>
      </x:c>
      <x:c r="E50" s="9" t="n">
        <x:f>Settings!$F$18+0</x:f>
        <x:v>2027</x:v>
      </x:c>
      <x:c r="F50" s="9" t="str">
        <x:f>IF(C50="","",INDEX('Borrowers'!$F$9:$F$108,MATCH(C50,'Borrowers'!$C$9:$C$108,0)))</x:f>
      </x:c>
      <x:c r="G50" s="23" t="str">
        <x:f>IF(C50="","",IFERROR(INDEX('Borrowers'!$J$9:$J$108,MATCH(C50,'Borrowers'!$C$9:$C$108,0))-INDEX('Borrowers'!$K$9:$K$108,MATCH(C50,'Borrowers'!$C$9:$C$108,0)),"Unavailable"))</x:f>
      </x:c>
      <x:c r="H50" s="23" t="str">
        <x:f>IF(C50="","",IFERROR(INDEX('Borrowers'!$I$9:$I$108,MATCH(C50,'Borrowers'!$C$9:$C$108,0))*INDEX('Borrowers'!$U$9:$U$108,MATCH(C50,'Borrowers'!$C$9:$C$108,0))*(IF(F50="Transport",'Scenario Paths'!F156,IF(F50="Technology",'Scenario Paths'!F150,IF(F50="Utilities",'Scenario Paths'!F144,IF(F50="Agriculture",'Scenario Paths'!F138,IF(F50="Manufacturing",'Scenario Paths'!F132,IF(F50="Healthcare",'Scenario Paths'!F126,IF(F50="Hospitality",'Scenario Paths'!F120,IF(F50="Property",'Scenario Paths'!F114,IF(F50="Food",'Scenario Paths'!F108,IF(F50="Logistics",'Scenario Paths'!F102,IF(F50="Solar",'Scenario Paths'!F96,IF(F50="Cement",'Scenario Paths'!F90,0))))))))))))),"Unavailable"))</x:f>
      </x:c>
      <x:c r="I50" s="23" t="str">
        <x:f>IF(C50="","",IFERROR(INDEX('Borrowers'!$R$9:$R$108,MATCH(C50,'Borrowers'!$C$9:$C$108,0))*(1-INDEX('Borrowers'!$W$9:$W$108,MATCH(C50,'Borrowers'!$C$9:$C$108,0))*'Scenario Paths'!F39)*'Scenario Paths'!F9/1000000*(1-INDEX('Borrowers'!$T$9:$T$108,MATCH(C50,'Borrowers'!$C$9:$C$108,0))),"Unavailable"))</x:f>
      </x:c>
      <x:c r="J50" s="23" t="str">
        <x:f>IF(C50="","",IFERROR(INDEX('Borrowers'!$I$9:$I$108,MATCH(C50,'Borrowers'!$C$9:$C$108,0))*INDEX('Borrowers'!$S$9:$S$108,MATCH(C50,'Borrowers'!$C$9:$C$108,0))*'Scenario Paths'!F15*(1-INDEX('Borrowers'!$T$9:$T$108,MATCH(C50,'Borrowers'!$C$9:$C$108,0))),"Unavailable"))</x:f>
      </x:c>
      <x:c r="K50" s="23" t="str">
        <x:f>IF(C50="","",IFERROR(INDEX('Borrowers'!$I$9:$I$108,MATCH(C50,'Borrowers'!$C$9:$C$108,0))*INDEX('Borrowers'!$U$9:$U$108,MATCH(C50,'Borrowers'!$C$9:$C$108,0))*'Scenario Paths'!F21*S50,"Unavailable"))</x:f>
      </x:c>
      <x:c r="L50" s="23" t="str">
        <x:f>IF(C50="","",IFERROR(SUMPRODUCT((Sites!$D$9:$D$108=C50)*Sites!$H$9:$H$108*Sites!$J$9:$J$108*Sites!$K$9:$K$108*(1-Sites!$L$9:$L$108)*(1-Sites!$M$9:$M$108))*'Scenario Paths'!F27,"Unavailable"))</x:f>
      </x:c>
      <x:c r="M50" s="23" t="str">
        <x:f>IF(C50="","",IFERROR(INDEX('Borrowers'!$J$9:$J$108,MATCH(C50,'Borrowers'!$C$9:$C$108,0))+H50-SUM(I50:L50),"Unavailable"))</x:f>
      </x:c>
      <x:c r="N50" s="23" t="str">
        <x:f>IF(C50="","",IFERROR(INDEX('Borrowers'!$I$9:$I$108,MATCH(C50,'Borrowers'!$C$9:$C$108,0))*'Scenario Paths'!F33,"Unavailable"))</x:f>
      </x:c>
      <x:c r="O50" s="23" t="str">
        <x:f>IF(C50="","",IFERROR(M50-INDEX('Borrowers'!$K$9:$K$108,MATCH(C50,'Borrowers'!$C$9:$C$108,0))-N50,"Unavailable"))</x:f>
      </x:c>
      <x:c r="P50" s="127" t="str">
        <x:f>IF(C50="","",IFERROR(O50/INDEX('Borrowers'!$L$9:$L$108,MATCH(C50,'Borrowers'!$C$9:$C$108,0)),"Unavailable"))</x:f>
      </x:c>
      <x:c r="Q50" s="30" t="str">
        <x:f>IF(C50="","",IFERROR(IF(INDEX('Borrowers'!$Z$9:$Z$108,MATCH(C50,'Borrowers'!$C$9:$C$108,0))="Yes",1,IF(INDEX('Borrowers'!$P$9:$P$108,MATCH(C50,'Borrowers'!$C$9:$C$108,0))=0,0,MIN(1,INDEX('Borrowers'!$P$9:$P$108,MATCH(C50,'Borrowers'!$C$9:$C$108,0))*EXP(MIN(20,INDEX('Borrowers'!$V$9:$V$108,MATCH(C50,'Borrowers'!$C$9:$C$108,0))*V50))))),"Unavailable"))</x:f>
      </x:c>
      <x:c r="R50" s="30" t="str">
        <x:f>IF(C50="","",IFERROR(MIN(1,INDEX('Borrowers'!$Q$9:$Q$108,MATCH(C50,'Borrowers'!$C$9:$C$108,0))+(1-INDEX('Borrowers'!$Q$9:$Q$108,MATCH(C50,'Borrowers'!$C$9:$C$108,0)))*T50),"Unavailable"))</x:f>
      </x:c>
      <x:c r="S50" s="30" t="str">
        <x:f>IF(C50="","",IFERROR(SUMPRODUCT((Sites!$D$9:$D$108=C50)*Sites!$I$9:$I$108*Sites!$J$9:$J$108*Sites!$K$9:$K$108*(1-Sites!$L$9:$L$108)),"Unavailable"))</x:f>
      </x:c>
      <x:c r="T50" s="30" t="str">
        <x:f>IF(C50="","",IFERROR(MIN(1,(SUMPRODUCT((Sites!$D$9:$D$108=C50)*Sites!$N$9:$N$108*Sites!$J$9:$J$108*Sites!$K$9:$K$108*(1-Sites!$L$9:$L$108)))*'Scenario Paths'!F27),"Unavailable"))</x:f>
      </x:c>
      <x:c r="U50" s="9" t="str">
        <x:f>IF(C50="","",IF(OR(INDEX('Borrowers'!$AA$9:$AA$108,MATCH(C50,'Borrowers'!$C$9:$C$108,0))&lt;&gt;"Ready",COUNTIF(Sites!$D$9:$D$108,C50)=0,COUNTIFS(Sites!$D$9:$D$108,C50,Sites!$Q$9:$Q$108,"&lt;&gt;Ready")&gt;0,'Scenario Paths'!$F$6&lt;&gt;"Ready"),"Review source inputs","Ready"))</x:f>
      </x:c>
      <x:c r="V50" s="17" t="str">
        <x:f>IF(C50="","",IFERROR(MAX(-1,(G50-O50)/MAX(0.000001,G50)),"Unavailable"))</x:f>
      </x:c>
      <x:c r="W50" s="9" t="str">
        <x:f>IF(C50="","",IFERROR(INDEX('Borrowers'!$D$9:$D$108,MATCH(C50,'Borrowers'!$C$9:$C$108,0)),"Unavailable"))</x:f>
      </x:c>
    </x:row>
    <x:row r="51" ht="26" customHeight="1">
      <x:c r="A51" s="1"/>
      <x:c r="B51" s="1"/>
      <x:c r="C51" s="9" t="str">
        <x:f>IF(Borrowers!C51="","",Borrowers!C51)</x:f>
      </x:c>
      <x:c r="D51" s="3" t="n">
        <x:v>1</x:v>
      </x:c>
      <x:c r="E51" s="9" t="n">
        <x:f>Settings!$F$18+0</x:f>
        <x:v>2027</x:v>
      </x:c>
      <x:c r="F51" s="9" t="str">
        <x:f>IF(C51="","",INDEX('Borrowers'!$F$9:$F$108,MATCH(C51,'Borrowers'!$C$9:$C$108,0)))</x:f>
      </x:c>
      <x:c r="G51" s="23" t="str">
        <x:f>IF(C51="","",IFERROR(INDEX('Borrowers'!$J$9:$J$108,MATCH(C51,'Borrowers'!$C$9:$C$108,0))-INDEX('Borrowers'!$K$9:$K$108,MATCH(C51,'Borrowers'!$C$9:$C$108,0)),"Unavailable"))</x:f>
      </x:c>
      <x:c r="H51" s="23" t="str">
        <x:f>IF(C51="","",IFERROR(INDEX('Borrowers'!$I$9:$I$108,MATCH(C51,'Borrowers'!$C$9:$C$108,0))*INDEX('Borrowers'!$U$9:$U$108,MATCH(C51,'Borrowers'!$C$9:$C$108,0))*(IF(F51="Transport",'Scenario Paths'!F156,IF(F51="Technology",'Scenario Paths'!F150,IF(F51="Utilities",'Scenario Paths'!F144,IF(F51="Agriculture",'Scenario Paths'!F138,IF(F51="Manufacturing",'Scenario Paths'!F132,IF(F51="Healthcare",'Scenario Paths'!F126,IF(F51="Hospitality",'Scenario Paths'!F120,IF(F51="Property",'Scenario Paths'!F114,IF(F51="Food",'Scenario Paths'!F108,IF(F51="Logistics",'Scenario Paths'!F102,IF(F51="Solar",'Scenario Paths'!F96,IF(F51="Cement",'Scenario Paths'!F90,0))))))))))))),"Unavailable"))</x:f>
      </x:c>
      <x:c r="I51" s="23" t="str">
        <x:f>IF(C51="","",IFERROR(INDEX('Borrowers'!$R$9:$R$108,MATCH(C51,'Borrowers'!$C$9:$C$108,0))*(1-INDEX('Borrowers'!$W$9:$W$108,MATCH(C51,'Borrowers'!$C$9:$C$108,0))*'Scenario Paths'!F39)*'Scenario Paths'!F9/1000000*(1-INDEX('Borrowers'!$T$9:$T$108,MATCH(C51,'Borrowers'!$C$9:$C$108,0))),"Unavailable"))</x:f>
      </x:c>
      <x:c r="J51" s="23" t="str">
        <x:f>IF(C51="","",IFERROR(INDEX('Borrowers'!$I$9:$I$108,MATCH(C51,'Borrowers'!$C$9:$C$108,0))*INDEX('Borrowers'!$S$9:$S$108,MATCH(C51,'Borrowers'!$C$9:$C$108,0))*'Scenario Paths'!F15*(1-INDEX('Borrowers'!$T$9:$T$108,MATCH(C51,'Borrowers'!$C$9:$C$108,0))),"Unavailable"))</x:f>
      </x:c>
      <x:c r="K51" s="23" t="str">
        <x:f>IF(C51="","",IFERROR(INDEX('Borrowers'!$I$9:$I$108,MATCH(C51,'Borrowers'!$C$9:$C$108,0))*INDEX('Borrowers'!$U$9:$U$108,MATCH(C51,'Borrowers'!$C$9:$C$108,0))*'Scenario Paths'!F21*S51,"Unavailable"))</x:f>
      </x:c>
      <x:c r="L51" s="23" t="str">
        <x:f>IF(C51="","",IFERROR(SUMPRODUCT((Sites!$D$9:$D$108=C51)*Sites!$H$9:$H$108*Sites!$J$9:$J$108*Sites!$K$9:$K$108*(1-Sites!$L$9:$L$108)*(1-Sites!$M$9:$M$108))*'Scenario Paths'!F27,"Unavailable"))</x:f>
      </x:c>
      <x:c r="M51" s="23" t="str">
        <x:f>IF(C51="","",IFERROR(INDEX('Borrowers'!$J$9:$J$108,MATCH(C51,'Borrowers'!$C$9:$C$108,0))+H51-SUM(I51:L51),"Unavailable"))</x:f>
      </x:c>
      <x:c r="N51" s="23" t="str">
        <x:f>IF(C51="","",IFERROR(INDEX('Borrowers'!$I$9:$I$108,MATCH(C51,'Borrowers'!$C$9:$C$108,0))*'Scenario Paths'!F33,"Unavailable"))</x:f>
      </x:c>
      <x:c r="O51" s="23" t="str">
        <x:f>IF(C51="","",IFERROR(M51-INDEX('Borrowers'!$K$9:$K$108,MATCH(C51,'Borrowers'!$C$9:$C$108,0))-N51,"Unavailable"))</x:f>
      </x:c>
      <x:c r="P51" s="127" t="str">
        <x:f>IF(C51="","",IFERROR(O51/INDEX('Borrowers'!$L$9:$L$108,MATCH(C51,'Borrowers'!$C$9:$C$108,0)),"Unavailable"))</x:f>
      </x:c>
      <x:c r="Q51" s="30" t="str">
        <x:f>IF(C51="","",IFERROR(IF(INDEX('Borrowers'!$Z$9:$Z$108,MATCH(C51,'Borrowers'!$C$9:$C$108,0))="Yes",1,IF(INDEX('Borrowers'!$P$9:$P$108,MATCH(C51,'Borrowers'!$C$9:$C$108,0))=0,0,MIN(1,INDEX('Borrowers'!$P$9:$P$108,MATCH(C51,'Borrowers'!$C$9:$C$108,0))*EXP(MIN(20,INDEX('Borrowers'!$V$9:$V$108,MATCH(C51,'Borrowers'!$C$9:$C$108,0))*V51))))),"Unavailable"))</x:f>
      </x:c>
      <x:c r="R51" s="30" t="str">
        <x:f>IF(C51="","",IFERROR(MIN(1,INDEX('Borrowers'!$Q$9:$Q$108,MATCH(C51,'Borrowers'!$C$9:$C$108,0))+(1-INDEX('Borrowers'!$Q$9:$Q$108,MATCH(C51,'Borrowers'!$C$9:$C$108,0)))*T51),"Unavailable"))</x:f>
      </x:c>
      <x:c r="S51" s="30" t="str">
        <x:f>IF(C51="","",IFERROR(SUMPRODUCT((Sites!$D$9:$D$108=C51)*Sites!$I$9:$I$108*Sites!$J$9:$J$108*Sites!$K$9:$K$108*(1-Sites!$L$9:$L$108)),"Unavailable"))</x:f>
      </x:c>
      <x:c r="T51" s="30" t="str">
        <x:f>IF(C51="","",IFERROR(MIN(1,(SUMPRODUCT((Sites!$D$9:$D$108=C51)*Sites!$N$9:$N$108*Sites!$J$9:$J$108*Sites!$K$9:$K$108*(1-Sites!$L$9:$L$108)))*'Scenario Paths'!F27),"Unavailable"))</x:f>
      </x:c>
      <x:c r="U51" s="9" t="str">
        <x:f>IF(C51="","",IF(OR(INDEX('Borrowers'!$AA$9:$AA$108,MATCH(C51,'Borrowers'!$C$9:$C$108,0))&lt;&gt;"Ready",COUNTIF(Sites!$D$9:$D$108,C51)=0,COUNTIFS(Sites!$D$9:$D$108,C51,Sites!$Q$9:$Q$108,"&lt;&gt;Ready")&gt;0,'Scenario Paths'!$F$6&lt;&gt;"Ready"),"Review source inputs","Ready"))</x:f>
      </x:c>
      <x:c r="V51" s="17" t="str">
        <x:f>IF(C51="","",IFERROR(MAX(-1,(G51-O51)/MAX(0.000001,G51)),"Unavailable"))</x:f>
      </x:c>
      <x:c r="W51" s="9" t="str">
        <x:f>IF(C51="","",IFERROR(INDEX('Borrowers'!$D$9:$D$108,MATCH(C51,'Borrowers'!$C$9:$C$108,0)),"Unavailable"))</x:f>
      </x:c>
    </x:row>
    <x:row r="52" ht="26" customHeight="1">
      <x:c r="A52" s="1"/>
      <x:c r="B52" s="1"/>
      <x:c r="C52" s="9" t="str">
        <x:f>IF(Borrowers!C52="","",Borrowers!C52)</x:f>
      </x:c>
      <x:c r="D52" s="3" t="n">
        <x:v>1</x:v>
      </x:c>
      <x:c r="E52" s="9" t="n">
        <x:f>Settings!$F$18+0</x:f>
        <x:v>2027</x:v>
      </x:c>
      <x:c r="F52" s="9" t="str">
        <x:f>IF(C52="","",INDEX('Borrowers'!$F$9:$F$108,MATCH(C52,'Borrowers'!$C$9:$C$108,0)))</x:f>
      </x:c>
      <x:c r="G52" s="23" t="str">
        <x:f>IF(C52="","",IFERROR(INDEX('Borrowers'!$J$9:$J$108,MATCH(C52,'Borrowers'!$C$9:$C$108,0))-INDEX('Borrowers'!$K$9:$K$108,MATCH(C52,'Borrowers'!$C$9:$C$108,0)),"Unavailable"))</x:f>
      </x:c>
      <x:c r="H52" s="23" t="str">
        <x:f>IF(C52="","",IFERROR(INDEX('Borrowers'!$I$9:$I$108,MATCH(C52,'Borrowers'!$C$9:$C$108,0))*INDEX('Borrowers'!$U$9:$U$108,MATCH(C52,'Borrowers'!$C$9:$C$108,0))*(IF(F52="Transport",'Scenario Paths'!F156,IF(F52="Technology",'Scenario Paths'!F150,IF(F52="Utilities",'Scenario Paths'!F144,IF(F52="Agriculture",'Scenario Paths'!F138,IF(F52="Manufacturing",'Scenario Paths'!F132,IF(F52="Healthcare",'Scenario Paths'!F126,IF(F52="Hospitality",'Scenario Paths'!F120,IF(F52="Property",'Scenario Paths'!F114,IF(F52="Food",'Scenario Paths'!F108,IF(F52="Logistics",'Scenario Paths'!F102,IF(F52="Solar",'Scenario Paths'!F96,IF(F52="Cement",'Scenario Paths'!F90,0))))))))))))),"Unavailable"))</x:f>
      </x:c>
      <x:c r="I52" s="23" t="str">
        <x:f>IF(C52="","",IFERROR(INDEX('Borrowers'!$R$9:$R$108,MATCH(C52,'Borrowers'!$C$9:$C$108,0))*(1-INDEX('Borrowers'!$W$9:$W$108,MATCH(C52,'Borrowers'!$C$9:$C$108,0))*'Scenario Paths'!F39)*'Scenario Paths'!F9/1000000*(1-INDEX('Borrowers'!$T$9:$T$108,MATCH(C52,'Borrowers'!$C$9:$C$108,0))),"Unavailable"))</x:f>
      </x:c>
      <x:c r="J52" s="23" t="str">
        <x:f>IF(C52="","",IFERROR(INDEX('Borrowers'!$I$9:$I$108,MATCH(C52,'Borrowers'!$C$9:$C$108,0))*INDEX('Borrowers'!$S$9:$S$108,MATCH(C52,'Borrowers'!$C$9:$C$108,0))*'Scenario Paths'!F15*(1-INDEX('Borrowers'!$T$9:$T$108,MATCH(C52,'Borrowers'!$C$9:$C$108,0))),"Unavailable"))</x:f>
      </x:c>
      <x:c r="K52" s="23" t="str">
        <x:f>IF(C52="","",IFERROR(INDEX('Borrowers'!$I$9:$I$108,MATCH(C52,'Borrowers'!$C$9:$C$108,0))*INDEX('Borrowers'!$U$9:$U$108,MATCH(C52,'Borrowers'!$C$9:$C$108,0))*'Scenario Paths'!F21*S52,"Unavailable"))</x:f>
      </x:c>
      <x:c r="L52" s="23" t="str">
        <x:f>IF(C52="","",IFERROR(SUMPRODUCT((Sites!$D$9:$D$108=C52)*Sites!$H$9:$H$108*Sites!$J$9:$J$108*Sites!$K$9:$K$108*(1-Sites!$L$9:$L$108)*(1-Sites!$M$9:$M$108))*'Scenario Paths'!F27,"Unavailable"))</x:f>
      </x:c>
      <x:c r="M52" s="23" t="str">
        <x:f>IF(C52="","",IFERROR(INDEX('Borrowers'!$J$9:$J$108,MATCH(C52,'Borrowers'!$C$9:$C$108,0))+H52-SUM(I52:L52),"Unavailable"))</x:f>
      </x:c>
      <x:c r="N52" s="23" t="str">
        <x:f>IF(C52="","",IFERROR(INDEX('Borrowers'!$I$9:$I$108,MATCH(C52,'Borrowers'!$C$9:$C$108,0))*'Scenario Paths'!F33,"Unavailable"))</x:f>
      </x:c>
      <x:c r="O52" s="23" t="str">
        <x:f>IF(C52="","",IFERROR(M52-INDEX('Borrowers'!$K$9:$K$108,MATCH(C52,'Borrowers'!$C$9:$C$108,0))-N52,"Unavailable"))</x:f>
      </x:c>
      <x:c r="P52" s="127" t="str">
        <x:f>IF(C52="","",IFERROR(O52/INDEX('Borrowers'!$L$9:$L$108,MATCH(C52,'Borrowers'!$C$9:$C$108,0)),"Unavailable"))</x:f>
      </x:c>
      <x:c r="Q52" s="30" t="str">
        <x:f>IF(C52="","",IFERROR(IF(INDEX('Borrowers'!$Z$9:$Z$108,MATCH(C52,'Borrowers'!$C$9:$C$108,0))="Yes",1,IF(INDEX('Borrowers'!$P$9:$P$108,MATCH(C52,'Borrowers'!$C$9:$C$108,0))=0,0,MIN(1,INDEX('Borrowers'!$P$9:$P$108,MATCH(C52,'Borrowers'!$C$9:$C$108,0))*EXP(MIN(20,INDEX('Borrowers'!$V$9:$V$108,MATCH(C52,'Borrowers'!$C$9:$C$108,0))*V52))))),"Unavailable"))</x:f>
      </x:c>
      <x:c r="R52" s="30" t="str">
        <x:f>IF(C52="","",IFERROR(MIN(1,INDEX('Borrowers'!$Q$9:$Q$108,MATCH(C52,'Borrowers'!$C$9:$C$108,0))+(1-INDEX('Borrowers'!$Q$9:$Q$108,MATCH(C52,'Borrowers'!$C$9:$C$108,0)))*T52),"Unavailable"))</x:f>
      </x:c>
      <x:c r="S52" s="30" t="str">
        <x:f>IF(C52="","",IFERROR(SUMPRODUCT((Sites!$D$9:$D$108=C52)*Sites!$I$9:$I$108*Sites!$J$9:$J$108*Sites!$K$9:$K$108*(1-Sites!$L$9:$L$108)),"Unavailable"))</x:f>
      </x:c>
      <x:c r="T52" s="30" t="str">
        <x:f>IF(C52="","",IFERROR(MIN(1,(SUMPRODUCT((Sites!$D$9:$D$108=C52)*Sites!$N$9:$N$108*Sites!$J$9:$J$108*Sites!$K$9:$K$108*(1-Sites!$L$9:$L$108)))*'Scenario Paths'!F27),"Unavailable"))</x:f>
      </x:c>
      <x:c r="U52" s="9" t="str">
        <x:f>IF(C52="","",IF(OR(INDEX('Borrowers'!$AA$9:$AA$108,MATCH(C52,'Borrowers'!$C$9:$C$108,0))&lt;&gt;"Ready",COUNTIF(Sites!$D$9:$D$108,C52)=0,COUNTIFS(Sites!$D$9:$D$108,C52,Sites!$Q$9:$Q$108,"&lt;&gt;Ready")&gt;0,'Scenario Paths'!$F$6&lt;&gt;"Ready"),"Review source inputs","Ready"))</x:f>
      </x:c>
      <x:c r="V52" s="17" t="str">
        <x:f>IF(C52="","",IFERROR(MAX(-1,(G52-O52)/MAX(0.000001,G52)),"Unavailable"))</x:f>
      </x:c>
      <x:c r="W52" s="9" t="str">
        <x:f>IF(C52="","",IFERROR(INDEX('Borrowers'!$D$9:$D$108,MATCH(C52,'Borrowers'!$C$9:$C$108,0)),"Unavailable"))</x:f>
      </x:c>
    </x:row>
    <x:row r="53" ht="26" customHeight="1">
      <x:c r="A53" s="1"/>
      <x:c r="B53" s="1"/>
      <x:c r="C53" s="9" t="str">
        <x:f>IF(Borrowers!C53="","",Borrowers!C53)</x:f>
      </x:c>
      <x:c r="D53" s="3" t="n">
        <x:v>1</x:v>
      </x:c>
      <x:c r="E53" s="9" t="n">
        <x:f>Settings!$F$18+0</x:f>
        <x:v>2027</x:v>
      </x:c>
      <x:c r="F53" s="9" t="str">
        <x:f>IF(C53="","",INDEX('Borrowers'!$F$9:$F$108,MATCH(C53,'Borrowers'!$C$9:$C$108,0)))</x:f>
      </x:c>
      <x:c r="G53" s="23" t="str">
        <x:f>IF(C53="","",IFERROR(INDEX('Borrowers'!$J$9:$J$108,MATCH(C53,'Borrowers'!$C$9:$C$108,0))-INDEX('Borrowers'!$K$9:$K$108,MATCH(C53,'Borrowers'!$C$9:$C$108,0)),"Unavailable"))</x:f>
      </x:c>
      <x:c r="H53" s="23" t="str">
        <x:f>IF(C53="","",IFERROR(INDEX('Borrowers'!$I$9:$I$108,MATCH(C53,'Borrowers'!$C$9:$C$108,0))*INDEX('Borrowers'!$U$9:$U$108,MATCH(C53,'Borrowers'!$C$9:$C$108,0))*(IF(F53="Transport",'Scenario Paths'!F156,IF(F53="Technology",'Scenario Paths'!F150,IF(F53="Utilities",'Scenario Paths'!F144,IF(F53="Agriculture",'Scenario Paths'!F138,IF(F53="Manufacturing",'Scenario Paths'!F132,IF(F53="Healthcare",'Scenario Paths'!F126,IF(F53="Hospitality",'Scenario Paths'!F120,IF(F53="Property",'Scenario Paths'!F114,IF(F53="Food",'Scenario Paths'!F108,IF(F53="Logistics",'Scenario Paths'!F102,IF(F53="Solar",'Scenario Paths'!F96,IF(F53="Cement",'Scenario Paths'!F90,0))))))))))))),"Unavailable"))</x:f>
      </x:c>
      <x:c r="I53" s="23" t="str">
        <x:f>IF(C53="","",IFERROR(INDEX('Borrowers'!$R$9:$R$108,MATCH(C53,'Borrowers'!$C$9:$C$108,0))*(1-INDEX('Borrowers'!$W$9:$W$108,MATCH(C53,'Borrowers'!$C$9:$C$108,0))*'Scenario Paths'!F39)*'Scenario Paths'!F9/1000000*(1-INDEX('Borrowers'!$T$9:$T$108,MATCH(C53,'Borrowers'!$C$9:$C$108,0))),"Unavailable"))</x:f>
      </x:c>
      <x:c r="J53" s="23" t="str">
        <x:f>IF(C53="","",IFERROR(INDEX('Borrowers'!$I$9:$I$108,MATCH(C53,'Borrowers'!$C$9:$C$108,0))*INDEX('Borrowers'!$S$9:$S$108,MATCH(C53,'Borrowers'!$C$9:$C$108,0))*'Scenario Paths'!F15*(1-INDEX('Borrowers'!$T$9:$T$108,MATCH(C53,'Borrowers'!$C$9:$C$108,0))),"Unavailable"))</x:f>
      </x:c>
      <x:c r="K53" s="23" t="str">
        <x:f>IF(C53="","",IFERROR(INDEX('Borrowers'!$I$9:$I$108,MATCH(C53,'Borrowers'!$C$9:$C$108,0))*INDEX('Borrowers'!$U$9:$U$108,MATCH(C53,'Borrowers'!$C$9:$C$108,0))*'Scenario Paths'!F21*S53,"Unavailable"))</x:f>
      </x:c>
      <x:c r="L53" s="23" t="str">
        <x:f>IF(C53="","",IFERROR(SUMPRODUCT((Sites!$D$9:$D$108=C53)*Sites!$H$9:$H$108*Sites!$J$9:$J$108*Sites!$K$9:$K$108*(1-Sites!$L$9:$L$108)*(1-Sites!$M$9:$M$108))*'Scenario Paths'!F27,"Unavailable"))</x:f>
      </x:c>
      <x:c r="M53" s="23" t="str">
        <x:f>IF(C53="","",IFERROR(INDEX('Borrowers'!$J$9:$J$108,MATCH(C53,'Borrowers'!$C$9:$C$108,0))+H53-SUM(I53:L53),"Unavailable"))</x:f>
      </x:c>
      <x:c r="N53" s="23" t="str">
        <x:f>IF(C53="","",IFERROR(INDEX('Borrowers'!$I$9:$I$108,MATCH(C53,'Borrowers'!$C$9:$C$108,0))*'Scenario Paths'!F33,"Unavailable"))</x:f>
      </x:c>
      <x:c r="O53" s="23" t="str">
        <x:f>IF(C53="","",IFERROR(M53-INDEX('Borrowers'!$K$9:$K$108,MATCH(C53,'Borrowers'!$C$9:$C$108,0))-N53,"Unavailable"))</x:f>
      </x:c>
      <x:c r="P53" s="127" t="str">
        <x:f>IF(C53="","",IFERROR(O53/INDEX('Borrowers'!$L$9:$L$108,MATCH(C53,'Borrowers'!$C$9:$C$108,0)),"Unavailable"))</x:f>
      </x:c>
      <x:c r="Q53" s="30" t="str">
        <x:f>IF(C53="","",IFERROR(IF(INDEX('Borrowers'!$Z$9:$Z$108,MATCH(C53,'Borrowers'!$C$9:$C$108,0))="Yes",1,IF(INDEX('Borrowers'!$P$9:$P$108,MATCH(C53,'Borrowers'!$C$9:$C$108,0))=0,0,MIN(1,INDEX('Borrowers'!$P$9:$P$108,MATCH(C53,'Borrowers'!$C$9:$C$108,0))*EXP(MIN(20,INDEX('Borrowers'!$V$9:$V$108,MATCH(C53,'Borrowers'!$C$9:$C$108,0))*V53))))),"Unavailable"))</x:f>
      </x:c>
      <x:c r="R53" s="30" t="str">
        <x:f>IF(C53="","",IFERROR(MIN(1,INDEX('Borrowers'!$Q$9:$Q$108,MATCH(C53,'Borrowers'!$C$9:$C$108,0))+(1-INDEX('Borrowers'!$Q$9:$Q$108,MATCH(C53,'Borrowers'!$C$9:$C$108,0)))*T53),"Unavailable"))</x:f>
      </x:c>
      <x:c r="S53" s="30" t="str">
        <x:f>IF(C53="","",IFERROR(SUMPRODUCT((Sites!$D$9:$D$108=C53)*Sites!$I$9:$I$108*Sites!$J$9:$J$108*Sites!$K$9:$K$108*(1-Sites!$L$9:$L$108)),"Unavailable"))</x:f>
      </x:c>
      <x:c r="T53" s="30" t="str">
        <x:f>IF(C53="","",IFERROR(MIN(1,(SUMPRODUCT((Sites!$D$9:$D$108=C53)*Sites!$N$9:$N$108*Sites!$J$9:$J$108*Sites!$K$9:$K$108*(1-Sites!$L$9:$L$108)))*'Scenario Paths'!F27),"Unavailable"))</x:f>
      </x:c>
      <x:c r="U53" s="9" t="str">
        <x:f>IF(C53="","",IF(OR(INDEX('Borrowers'!$AA$9:$AA$108,MATCH(C53,'Borrowers'!$C$9:$C$108,0))&lt;&gt;"Ready",COUNTIF(Sites!$D$9:$D$108,C53)=0,COUNTIFS(Sites!$D$9:$D$108,C53,Sites!$Q$9:$Q$108,"&lt;&gt;Ready")&gt;0,'Scenario Paths'!$F$6&lt;&gt;"Ready"),"Review source inputs","Ready"))</x:f>
      </x:c>
      <x:c r="V53" s="17" t="str">
        <x:f>IF(C53="","",IFERROR(MAX(-1,(G53-O53)/MAX(0.000001,G53)),"Unavailable"))</x:f>
      </x:c>
      <x:c r="W53" s="9" t="str">
        <x:f>IF(C53="","",IFERROR(INDEX('Borrowers'!$D$9:$D$108,MATCH(C53,'Borrowers'!$C$9:$C$108,0)),"Unavailable"))</x:f>
      </x:c>
    </x:row>
    <x:row r="54" ht="26" customHeight="1">
      <x:c r="A54" s="1"/>
      <x:c r="B54" s="1"/>
      <x:c r="C54" s="9" t="str">
        <x:f>IF(Borrowers!C54="","",Borrowers!C54)</x:f>
      </x:c>
      <x:c r="D54" s="3" t="n">
        <x:v>1</x:v>
      </x:c>
      <x:c r="E54" s="9" t="n">
        <x:f>Settings!$F$18+0</x:f>
        <x:v>2027</x:v>
      </x:c>
      <x:c r="F54" s="9" t="str">
        <x:f>IF(C54="","",INDEX('Borrowers'!$F$9:$F$108,MATCH(C54,'Borrowers'!$C$9:$C$108,0)))</x:f>
      </x:c>
      <x:c r="G54" s="23" t="str">
        <x:f>IF(C54="","",IFERROR(INDEX('Borrowers'!$J$9:$J$108,MATCH(C54,'Borrowers'!$C$9:$C$108,0))-INDEX('Borrowers'!$K$9:$K$108,MATCH(C54,'Borrowers'!$C$9:$C$108,0)),"Unavailable"))</x:f>
      </x:c>
      <x:c r="H54" s="23" t="str">
        <x:f>IF(C54="","",IFERROR(INDEX('Borrowers'!$I$9:$I$108,MATCH(C54,'Borrowers'!$C$9:$C$108,0))*INDEX('Borrowers'!$U$9:$U$108,MATCH(C54,'Borrowers'!$C$9:$C$108,0))*(IF(F54="Transport",'Scenario Paths'!F156,IF(F54="Technology",'Scenario Paths'!F150,IF(F54="Utilities",'Scenario Paths'!F144,IF(F54="Agriculture",'Scenario Paths'!F138,IF(F54="Manufacturing",'Scenario Paths'!F132,IF(F54="Healthcare",'Scenario Paths'!F126,IF(F54="Hospitality",'Scenario Paths'!F120,IF(F54="Property",'Scenario Paths'!F114,IF(F54="Food",'Scenario Paths'!F108,IF(F54="Logistics",'Scenario Paths'!F102,IF(F54="Solar",'Scenario Paths'!F96,IF(F54="Cement",'Scenario Paths'!F90,0))))))))))))),"Unavailable"))</x:f>
      </x:c>
      <x:c r="I54" s="23" t="str">
        <x:f>IF(C54="","",IFERROR(INDEX('Borrowers'!$R$9:$R$108,MATCH(C54,'Borrowers'!$C$9:$C$108,0))*(1-INDEX('Borrowers'!$W$9:$W$108,MATCH(C54,'Borrowers'!$C$9:$C$108,0))*'Scenario Paths'!F39)*'Scenario Paths'!F9/1000000*(1-INDEX('Borrowers'!$T$9:$T$108,MATCH(C54,'Borrowers'!$C$9:$C$108,0))),"Unavailable"))</x:f>
      </x:c>
      <x:c r="J54" s="23" t="str">
        <x:f>IF(C54="","",IFERROR(INDEX('Borrowers'!$I$9:$I$108,MATCH(C54,'Borrowers'!$C$9:$C$108,0))*INDEX('Borrowers'!$S$9:$S$108,MATCH(C54,'Borrowers'!$C$9:$C$108,0))*'Scenario Paths'!F15*(1-INDEX('Borrowers'!$T$9:$T$108,MATCH(C54,'Borrowers'!$C$9:$C$108,0))),"Unavailable"))</x:f>
      </x:c>
      <x:c r="K54" s="23" t="str">
        <x:f>IF(C54="","",IFERROR(INDEX('Borrowers'!$I$9:$I$108,MATCH(C54,'Borrowers'!$C$9:$C$108,0))*INDEX('Borrowers'!$U$9:$U$108,MATCH(C54,'Borrowers'!$C$9:$C$108,0))*'Scenario Paths'!F21*S54,"Unavailable"))</x:f>
      </x:c>
      <x:c r="L54" s="23" t="str">
        <x:f>IF(C54="","",IFERROR(SUMPRODUCT((Sites!$D$9:$D$108=C54)*Sites!$H$9:$H$108*Sites!$J$9:$J$108*Sites!$K$9:$K$108*(1-Sites!$L$9:$L$108)*(1-Sites!$M$9:$M$108))*'Scenario Paths'!F27,"Unavailable"))</x:f>
      </x:c>
      <x:c r="M54" s="23" t="str">
        <x:f>IF(C54="","",IFERROR(INDEX('Borrowers'!$J$9:$J$108,MATCH(C54,'Borrowers'!$C$9:$C$108,0))+H54-SUM(I54:L54),"Unavailable"))</x:f>
      </x:c>
      <x:c r="N54" s="23" t="str">
        <x:f>IF(C54="","",IFERROR(INDEX('Borrowers'!$I$9:$I$108,MATCH(C54,'Borrowers'!$C$9:$C$108,0))*'Scenario Paths'!F33,"Unavailable"))</x:f>
      </x:c>
      <x:c r="O54" s="23" t="str">
        <x:f>IF(C54="","",IFERROR(M54-INDEX('Borrowers'!$K$9:$K$108,MATCH(C54,'Borrowers'!$C$9:$C$108,0))-N54,"Unavailable"))</x:f>
      </x:c>
      <x:c r="P54" s="127" t="str">
        <x:f>IF(C54="","",IFERROR(O54/INDEX('Borrowers'!$L$9:$L$108,MATCH(C54,'Borrowers'!$C$9:$C$108,0)),"Unavailable"))</x:f>
      </x:c>
      <x:c r="Q54" s="30" t="str">
        <x:f>IF(C54="","",IFERROR(IF(INDEX('Borrowers'!$Z$9:$Z$108,MATCH(C54,'Borrowers'!$C$9:$C$108,0))="Yes",1,IF(INDEX('Borrowers'!$P$9:$P$108,MATCH(C54,'Borrowers'!$C$9:$C$108,0))=0,0,MIN(1,INDEX('Borrowers'!$P$9:$P$108,MATCH(C54,'Borrowers'!$C$9:$C$108,0))*EXP(MIN(20,INDEX('Borrowers'!$V$9:$V$108,MATCH(C54,'Borrowers'!$C$9:$C$108,0))*V54))))),"Unavailable"))</x:f>
      </x:c>
      <x:c r="R54" s="30" t="str">
        <x:f>IF(C54="","",IFERROR(MIN(1,INDEX('Borrowers'!$Q$9:$Q$108,MATCH(C54,'Borrowers'!$C$9:$C$108,0))+(1-INDEX('Borrowers'!$Q$9:$Q$108,MATCH(C54,'Borrowers'!$C$9:$C$108,0)))*T54),"Unavailable"))</x:f>
      </x:c>
      <x:c r="S54" s="30" t="str">
        <x:f>IF(C54="","",IFERROR(SUMPRODUCT((Sites!$D$9:$D$108=C54)*Sites!$I$9:$I$108*Sites!$J$9:$J$108*Sites!$K$9:$K$108*(1-Sites!$L$9:$L$108)),"Unavailable"))</x:f>
      </x:c>
      <x:c r="T54" s="30" t="str">
        <x:f>IF(C54="","",IFERROR(MIN(1,(SUMPRODUCT((Sites!$D$9:$D$108=C54)*Sites!$N$9:$N$108*Sites!$J$9:$J$108*Sites!$K$9:$K$108*(1-Sites!$L$9:$L$108)))*'Scenario Paths'!F27),"Unavailable"))</x:f>
      </x:c>
      <x:c r="U54" s="9" t="str">
        <x:f>IF(C54="","",IF(OR(INDEX('Borrowers'!$AA$9:$AA$108,MATCH(C54,'Borrowers'!$C$9:$C$108,0))&lt;&gt;"Ready",COUNTIF(Sites!$D$9:$D$108,C54)=0,COUNTIFS(Sites!$D$9:$D$108,C54,Sites!$Q$9:$Q$108,"&lt;&gt;Ready")&gt;0,'Scenario Paths'!$F$6&lt;&gt;"Ready"),"Review source inputs","Ready"))</x:f>
      </x:c>
      <x:c r="V54" s="17" t="str">
        <x:f>IF(C54="","",IFERROR(MAX(-1,(G54-O54)/MAX(0.000001,G54)),"Unavailable"))</x:f>
      </x:c>
      <x:c r="W54" s="9" t="str">
        <x:f>IF(C54="","",IFERROR(INDEX('Borrowers'!$D$9:$D$108,MATCH(C54,'Borrowers'!$C$9:$C$108,0)),"Unavailable"))</x:f>
      </x:c>
    </x:row>
    <x:row r="55" ht="26" customHeight="1">
      <x:c r="A55" s="1"/>
      <x:c r="B55" s="1"/>
      <x:c r="C55" s="9" t="str">
        <x:f>IF(Borrowers!C55="","",Borrowers!C55)</x:f>
      </x:c>
      <x:c r="D55" s="3" t="n">
        <x:v>1</x:v>
      </x:c>
      <x:c r="E55" s="9" t="n">
        <x:f>Settings!$F$18+0</x:f>
        <x:v>2027</x:v>
      </x:c>
      <x:c r="F55" s="9" t="str">
        <x:f>IF(C55="","",INDEX('Borrowers'!$F$9:$F$108,MATCH(C55,'Borrowers'!$C$9:$C$108,0)))</x:f>
      </x:c>
      <x:c r="G55" s="23" t="str">
        <x:f>IF(C55="","",IFERROR(INDEX('Borrowers'!$J$9:$J$108,MATCH(C55,'Borrowers'!$C$9:$C$108,0))-INDEX('Borrowers'!$K$9:$K$108,MATCH(C55,'Borrowers'!$C$9:$C$108,0)),"Unavailable"))</x:f>
      </x:c>
      <x:c r="H55" s="23" t="str">
        <x:f>IF(C55="","",IFERROR(INDEX('Borrowers'!$I$9:$I$108,MATCH(C55,'Borrowers'!$C$9:$C$108,0))*INDEX('Borrowers'!$U$9:$U$108,MATCH(C55,'Borrowers'!$C$9:$C$108,0))*(IF(F55="Transport",'Scenario Paths'!F156,IF(F55="Technology",'Scenario Paths'!F150,IF(F55="Utilities",'Scenario Paths'!F144,IF(F55="Agriculture",'Scenario Paths'!F138,IF(F55="Manufacturing",'Scenario Paths'!F132,IF(F55="Healthcare",'Scenario Paths'!F126,IF(F55="Hospitality",'Scenario Paths'!F120,IF(F55="Property",'Scenario Paths'!F114,IF(F55="Food",'Scenario Paths'!F108,IF(F55="Logistics",'Scenario Paths'!F102,IF(F55="Solar",'Scenario Paths'!F96,IF(F55="Cement",'Scenario Paths'!F90,0))))))))))))),"Unavailable"))</x:f>
      </x:c>
      <x:c r="I55" s="23" t="str">
        <x:f>IF(C55="","",IFERROR(INDEX('Borrowers'!$R$9:$R$108,MATCH(C55,'Borrowers'!$C$9:$C$108,0))*(1-INDEX('Borrowers'!$W$9:$W$108,MATCH(C55,'Borrowers'!$C$9:$C$108,0))*'Scenario Paths'!F39)*'Scenario Paths'!F9/1000000*(1-INDEX('Borrowers'!$T$9:$T$108,MATCH(C55,'Borrowers'!$C$9:$C$108,0))),"Unavailable"))</x:f>
      </x:c>
      <x:c r="J55" s="23" t="str">
        <x:f>IF(C55="","",IFERROR(INDEX('Borrowers'!$I$9:$I$108,MATCH(C55,'Borrowers'!$C$9:$C$108,0))*INDEX('Borrowers'!$S$9:$S$108,MATCH(C55,'Borrowers'!$C$9:$C$108,0))*'Scenario Paths'!F15*(1-INDEX('Borrowers'!$T$9:$T$108,MATCH(C55,'Borrowers'!$C$9:$C$108,0))),"Unavailable"))</x:f>
      </x:c>
      <x:c r="K55" s="23" t="str">
        <x:f>IF(C55="","",IFERROR(INDEX('Borrowers'!$I$9:$I$108,MATCH(C55,'Borrowers'!$C$9:$C$108,0))*INDEX('Borrowers'!$U$9:$U$108,MATCH(C55,'Borrowers'!$C$9:$C$108,0))*'Scenario Paths'!F21*S55,"Unavailable"))</x:f>
      </x:c>
      <x:c r="L55" s="23" t="str">
        <x:f>IF(C55="","",IFERROR(SUMPRODUCT((Sites!$D$9:$D$108=C55)*Sites!$H$9:$H$108*Sites!$J$9:$J$108*Sites!$K$9:$K$108*(1-Sites!$L$9:$L$108)*(1-Sites!$M$9:$M$108))*'Scenario Paths'!F27,"Unavailable"))</x:f>
      </x:c>
      <x:c r="M55" s="23" t="str">
        <x:f>IF(C55="","",IFERROR(INDEX('Borrowers'!$J$9:$J$108,MATCH(C55,'Borrowers'!$C$9:$C$108,0))+H55-SUM(I55:L55),"Unavailable"))</x:f>
      </x:c>
      <x:c r="N55" s="23" t="str">
        <x:f>IF(C55="","",IFERROR(INDEX('Borrowers'!$I$9:$I$108,MATCH(C55,'Borrowers'!$C$9:$C$108,0))*'Scenario Paths'!F33,"Unavailable"))</x:f>
      </x:c>
      <x:c r="O55" s="23" t="str">
        <x:f>IF(C55="","",IFERROR(M55-INDEX('Borrowers'!$K$9:$K$108,MATCH(C55,'Borrowers'!$C$9:$C$108,0))-N55,"Unavailable"))</x:f>
      </x:c>
      <x:c r="P55" s="127" t="str">
        <x:f>IF(C55="","",IFERROR(O55/INDEX('Borrowers'!$L$9:$L$108,MATCH(C55,'Borrowers'!$C$9:$C$108,0)),"Unavailable"))</x:f>
      </x:c>
      <x:c r="Q55" s="30" t="str">
        <x:f>IF(C55="","",IFERROR(IF(INDEX('Borrowers'!$Z$9:$Z$108,MATCH(C55,'Borrowers'!$C$9:$C$108,0))="Yes",1,IF(INDEX('Borrowers'!$P$9:$P$108,MATCH(C55,'Borrowers'!$C$9:$C$108,0))=0,0,MIN(1,INDEX('Borrowers'!$P$9:$P$108,MATCH(C55,'Borrowers'!$C$9:$C$108,0))*EXP(MIN(20,INDEX('Borrowers'!$V$9:$V$108,MATCH(C55,'Borrowers'!$C$9:$C$108,0))*V55))))),"Unavailable"))</x:f>
      </x:c>
      <x:c r="R55" s="30" t="str">
        <x:f>IF(C55="","",IFERROR(MIN(1,INDEX('Borrowers'!$Q$9:$Q$108,MATCH(C55,'Borrowers'!$C$9:$C$108,0))+(1-INDEX('Borrowers'!$Q$9:$Q$108,MATCH(C55,'Borrowers'!$C$9:$C$108,0)))*T55),"Unavailable"))</x:f>
      </x:c>
      <x:c r="S55" s="30" t="str">
        <x:f>IF(C55="","",IFERROR(SUMPRODUCT((Sites!$D$9:$D$108=C55)*Sites!$I$9:$I$108*Sites!$J$9:$J$108*Sites!$K$9:$K$108*(1-Sites!$L$9:$L$108)),"Unavailable"))</x:f>
      </x:c>
      <x:c r="T55" s="30" t="str">
        <x:f>IF(C55="","",IFERROR(MIN(1,(SUMPRODUCT((Sites!$D$9:$D$108=C55)*Sites!$N$9:$N$108*Sites!$J$9:$J$108*Sites!$K$9:$K$108*(1-Sites!$L$9:$L$108)))*'Scenario Paths'!F27),"Unavailable"))</x:f>
      </x:c>
      <x:c r="U55" s="9" t="str">
        <x:f>IF(C55="","",IF(OR(INDEX('Borrowers'!$AA$9:$AA$108,MATCH(C55,'Borrowers'!$C$9:$C$108,0))&lt;&gt;"Ready",COUNTIF(Sites!$D$9:$D$108,C55)=0,COUNTIFS(Sites!$D$9:$D$108,C55,Sites!$Q$9:$Q$108,"&lt;&gt;Ready")&gt;0,'Scenario Paths'!$F$6&lt;&gt;"Ready"),"Review source inputs","Ready"))</x:f>
      </x:c>
      <x:c r="V55" s="17" t="str">
        <x:f>IF(C55="","",IFERROR(MAX(-1,(G55-O55)/MAX(0.000001,G55)),"Unavailable"))</x:f>
      </x:c>
      <x:c r="W55" s="9" t="str">
        <x:f>IF(C55="","",IFERROR(INDEX('Borrowers'!$D$9:$D$108,MATCH(C55,'Borrowers'!$C$9:$C$108,0)),"Unavailable"))</x:f>
      </x:c>
    </x:row>
    <x:row r="56" ht="26" customHeight="1">
      <x:c r="A56" s="1"/>
      <x:c r="B56" s="1"/>
      <x:c r="C56" s="9" t="str">
        <x:f>IF(Borrowers!C56="","",Borrowers!C56)</x:f>
      </x:c>
      <x:c r="D56" s="3" t="n">
        <x:v>1</x:v>
      </x:c>
      <x:c r="E56" s="9" t="n">
        <x:f>Settings!$F$18+0</x:f>
        <x:v>2027</x:v>
      </x:c>
      <x:c r="F56" s="9" t="str">
        <x:f>IF(C56="","",INDEX('Borrowers'!$F$9:$F$108,MATCH(C56,'Borrowers'!$C$9:$C$108,0)))</x:f>
      </x:c>
      <x:c r="G56" s="23" t="str">
        <x:f>IF(C56="","",IFERROR(INDEX('Borrowers'!$J$9:$J$108,MATCH(C56,'Borrowers'!$C$9:$C$108,0))-INDEX('Borrowers'!$K$9:$K$108,MATCH(C56,'Borrowers'!$C$9:$C$108,0)),"Unavailable"))</x:f>
      </x:c>
      <x:c r="H56" s="23" t="str">
        <x:f>IF(C56="","",IFERROR(INDEX('Borrowers'!$I$9:$I$108,MATCH(C56,'Borrowers'!$C$9:$C$108,0))*INDEX('Borrowers'!$U$9:$U$108,MATCH(C56,'Borrowers'!$C$9:$C$108,0))*(IF(F56="Transport",'Scenario Paths'!F156,IF(F56="Technology",'Scenario Paths'!F150,IF(F56="Utilities",'Scenario Paths'!F144,IF(F56="Agriculture",'Scenario Paths'!F138,IF(F56="Manufacturing",'Scenario Paths'!F132,IF(F56="Healthcare",'Scenario Paths'!F126,IF(F56="Hospitality",'Scenario Paths'!F120,IF(F56="Property",'Scenario Paths'!F114,IF(F56="Food",'Scenario Paths'!F108,IF(F56="Logistics",'Scenario Paths'!F102,IF(F56="Solar",'Scenario Paths'!F96,IF(F56="Cement",'Scenario Paths'!F90,0))))))))))))),"Unavailable"))</x:f>
      </x:c>
      <x:c r="I56" s="23" t="str">
        <x:f>IF(C56="","",IFERROR(INDEX('Borrowers'!$R$9:$R$108,MATCH(C56,'Borrowers'!$C$9:$C$108,0))*(1-INDEX('Borrowers'!$W$9:$W$108,MATCH(C56,'Borrowers'!$C$9:$C$108,0))*'Scenario Paths'!F39)*'Scenario Paths'!F9/1000000*(1-INDEX('Borrowers'!$T$9:$T$108,MATCH(C56,'Borrowers'!$C$9:$C$108,0))),"Unavailable"))</x:f>
      </x:c>
      <x:c r="J56" s="23" t="str">
        <x:f>IF(C56="","",IFERROR(INDEX('Borrowers'!$I$9:$I$108,MATCH(C56,'Borrowers'!$C$9:$C$108,0))*INDEX('Borrowers'!$S$9:$S$108,MATCH(C56,'Borrowers'!$C$9:$C$108,0))*'Scenario Paths'!F15*(1-INDEX('Borrowers'!$T$9:$T$108,MATCH(C56,'Borrowers'!$C$9:$C$108,0))),"Unavailable"))</x:f>
      </x:c>
      <x:c r="K56" s="23" t="str">
        <x:f>IF(C56="","",IFERROR(INDEX('Borrowers'!$I$9:$I$108,MATCH(C56,'Borrowers'!$C$9:$C$108,0))*INDEX('Borrowers'!$U$9:$U$108,MATCH(C56,'Borrowers'!$C$9:$C$108,0))*'Scenario Paths'!F21*S56,"Unavailable"))</x:f>
      </x:c>
      <x:c r="L56" s="23" t="str">
        <x:f>IF(C56="","",IFERROR(SUMPRODUCT((Sites!$D$9:$D$108=C56)*Sites!$H$9:$H$108*Sites!$J$9:$J$108*Sites!$K$9:$K$108*(1-Sites!$L$9:$L$108)*(1-Sites!$M$9:$M$108))*'Scenario Paths'!F27,"Unavailable"))</x:f>
      </x:c>
      <x:c r="M56" s="23" t="str">
        <x:f>IF(C56="","",IFERROR(INDEX('Borrowers'!$J$9:$J$108,MATCH(C56,'Borrowers'!$C$9:$C$108,0))+H56-SUM(I56:L56),"Unavailable"))</x:f>
      </x:c>
      <x:c r="N56" s="23" t="str">
        <x:f>IF(C56="","",IFERROR(INDEX('Borrowers'!$I$9:$I$108,MATCH(C56,'Borrowers'!$C$9:$C$108,0))*'Scenario Paths'!F33,"Unavailable"))</x:f>
      </x:c>
      <x:c r="O56" s="23" t="str">
        <x:f>IF(C56="","",IFERROR(M56-INDEX('Borrowers'!$K$9:$K$108,MATCH(C56,'Borrowers'!$C$9:$C$108,0))-N56,"Unavailable"))</x:f>
      </x:c>
      <x:c r="P56" s="127" t="str">
        <x:f>IF(C56="","",IFERROR(O56/INDEX('Borrowers'!$L$9:$L$108,MATCH(C56,'Borrowers'!$C$9:$C$108,0)),"Unavailable"))</x:f>
      </x:c>
      <x:c r="Q56" s="30" t="str">
        <x:f>IF(C56="","",IFERROR(IF(INDEX('Borrowers'!$Z$9:$Z$108,MATCH(C56,'Borrowers'!$C$9:$C$108,0))="Yes",1,IF(INDEX('Borrowers'!$P$9:$P$108,MATCH(C56,'Borrowers'!$C$9:$C$108,0))=0,0,MIN(1,INDEX('Borrowers'!$P$9:$P$108,MATCH(C56,'Borrowers'!$C$9:$C$108,0))*EXP(MIN(20,INDEX('Borrowers'!$V$9:$V$108,MATCH(C56,'Borrowers'!$C$9:$C$108,0))*V56))))),"Unavailable"))</x:f>
      </x:c>
      <x:c r="R56" s="30" t="str">
        <x:f>IF(C56="","",IFERROR(MIN(1,INDEX('Borrowers'!$Q$9:$Q$108,MATCH(C56,'Borrowers'!$C$9:$C$108,0))+(1-INDEX('Borrowers'!$Q$9:$Q$108,MATCH(C56,'Borrowers'!$C$9:$C$108,0)))*T56),"Unavailable"))</x:f>
      </x:c>
      <x:c r="S56" s="30" t="str">
        <x:f>IF(C56="","",IFERROR(SUMPRODUCT((Sites!$D$9:$D$108=C56)*Sites!$I$9:$I$108*Sites!$J$9:$J$108*Sites!$K$9:$K$108*(1-Sites!$L$9:$L$108)),"Unavailable"))</x:f>
      </x:c>
      <x:c r="T56" s="30" t="str">
        <x:f>IF(C56="","",IFERROR(MIN(1,(SUMPRODUCT((Sites!$D$9:$D$108=C56)*Sites!$N$9:$N$108*Sites!$J$9:$J$108*Sites!$K$9:$K$108*(1-Sites!$L$9:$L$108)))*'Scenario Paths'!F27),"Unavailable"))</x:f>
      </x:c>
      <x:c r="U56" s="9" t="str">
        <x:f>IF(C56="","",IF(OR(INDEX('Borrowers'!$AA$9:$AA$108,MATCH(C56,'Borrowers'!$C$9:$C$108,0))&lt;&gt;"Ready",COUNTIF(Sites!$D$9:$D$108,C56)=0,COUNTIFS(Sites!$D$9:$D$108,C56,Sites!$Q$9:$Q$108,"&lt;&gt;Ready")&gt;0,'Scenario Paths'!$F$6&lt;&gt;"Ready"),"Review source inputs","Ready"))</x:f>
      </x:c>
      <x:c r="V56" s="17" t="str">
        <x:f>IF(C56="","",IFERROR(MAX(-1,(G56-O56)/MAX(0.000001,G56)),"Unavailable"))</x:f>
      </x:c>
      <x:c r="W56" s="9" t="str">
        <x:f>IF(C56="","",IFERROR(INDEX('Borrowers'!$D$9:$D$108,MATCH(C56,'Borrowers'!$C$9:$C$108,0)),"Unavailable"))</x:f>
      </x:c>
    </x:row>
    <x:row r="57" ht="26" customHeight="1">
      <x:c r="A57" s="1"/>
      <x:c r="B57" s="1"/>
      <x:c r="C57" s="9" t="str">
        <x:f>IF(Borrowers!C57="","",Borrowers!C57)</x:f>
      </x:c>
      <x:c r="D57" s="3" t="n">
        <x:v>1</x:v>
      </x:c>
      <x:c r="E57" s="9" t="n">
        <x:f>Settings!$F$18+0</x:f>
        <x:v>2027</x:v>
      </x:c>
      <x:c r="F57" s="9" t="str">
        <x:f>IF(C57="","",INDEX('Borrowers'!$F$9:$F$108,MATCH(C57,'Borrowers'!$C$9:$C$108,0)))</x:f>
      </x:c>
      <x:c r="G57" s="23" t="str">
        <x:f>IF(C57="","",IFERROR(INDEX('Borrowers'!$J$9:$J$108,MATCH(C57,'Borrowers'!$C$9:$C$108,0))-INDEX('Borrowers'!$K$9:$K$108,MATCH(C57,'Borrowers'!$C$9:$C$108,0)),"Unavailable"))</x:f>
      </x:c>
      <x:c r="H57" s="23" t="str">
        <x:f>IF(C57="","",IFERROR(INDEX('Borrowers'!$I$9:$I$108,MATCH(C57,'Borrowers'!$C$9:$C$108,0))*INDEX('Borrowers'!$U$9:$U$108,MATCH(C57,'Borrowers'!$C$9:$C$108,0))*(IF(F57="Transport",'Scenario Paths'!F156,IF(F57="Technology",'Scenario Paths'!F150,IF(F57="Utilities",'Scenario Paths'!F144,IF(F57="Agriculture",'Scenario Paths'!F138,IF(F57="Manufacturing",'Scenario Paths'!F132,IF(F57="Healthcare",'Scenario Paths'!F126,IF(F57="Hospitality",'Scenario Paths'!F120,IF(F57="Property",'Scenario Paths'!F114,IF(F57="Food",'Scenario Paths'!F108,IF(F57="Logistics",'Scenario Paths'!F102,IF(F57="Solar",'Scenario Paths'!F96,IF(F57="Cement",'Scenario Paths'!F90,0))))))))))))),"Unavailable"))</x:f>
      </x:c>
      <x:c r="I57" s="23" t="str">
        <x:f>IF(C57="","",IFERROR(INDEX('Borrowers'!$R$9:$R$108,MATCH(C57,'Borrowers'!$C$9:$C$108,0))*(1-INDEX('Borrowers'!$W$9:$W$108,MATCH(C57,'Borrowers'!$C$9:$C$108,0))*'Scenario Paths'!F39)*'Scenario Paths'!F9/1000000*(1-INDEX('Borrowers'!$T$9:$T$108,MATCH(C57,'Borrowers'!$C$9:$C$108,0))),"Unavailable"))</x:f>
      </x:c>
      <x:c r="J57" s="23" t="str">
        <x:f>IF(C57="","",IFERROR(INDEX('Borrowers'!$I$9:$I$108,MATCH(C57,'Borrowers'!$C$9:$C$108,0))*INDEX('Borrowers'!$S$9:$S$108,MATCH(C57,'Borrowers'!$C$9:$C$108,0))*'Scenario Paths'!F15*(1-INDEX('Borrowers'!$T$9:$T$108,MATCH(C57,'Borrowers'!$C$9:$C$108,0))),"Unavailable"))</x:f>
      </x:c>
      <x:c r="K57" s="23" t="str">
        <x:f>IF(C57="","",IFERROR(INDEX('Borrowers'!$I$9:$I$108,MATCH(C57,'Borrowers'!$C$9:$C$108,0))*INDEX('Borrowers'!$U$9:$U$108,MATCH(C57,'Borrowers'!$C$9:$C$108,0))*'Scenario Paths'!F21*S57,"Unavailable"))</x:f>
      </x:c>
      <x:c r="L57" s="23" t="str">
        <x:f>IF(C57="","",IFERROR(SUMPRODUCT((Sites!$D$9:$D$108=C57)*Sites!$H$9:$H$108*Sites!$J$9:$J$108*Sites!$K$9:$K$108*(1-Sites!$L$9:$L$108)*(1-Sites!$M$9:$M$108))*'Scenario Paths'!F27,"Unavailable"))</x:f>
      </x:c>
      <x:c r="M57" s="23" t="str">
        <x:f>IF(C57="","",IFERROR(INDEX('Borrowers'!$J$9:$J$108,MATCH(C57,'Borrowers'!$C$9:$C$108,0))+H57-SUM(I57:L57),"Unavailable"))</x:f>
      </x:c>
      <x:c r="N57" s="23" t="str">
        <x:f>IF(C57="","",IFERROR(INDEX('Borrowers'!$I$9:$I$108,MATCH(C57,'Borrowers'!$C$9:$C$108,0))*'Scenario Paths'!F33,"Unavailable"))</x:f>
      </x:c>
      <x:c r="O57" s="23" t="str">
        <x:f>IF(C57="","",IFERROR(M57-INDEX('Borrowers'!$K$9:$K$108,MATCH(C57,'Borrowers'!$C$9:$C$108,0))-N57,"Unavailable"))</x:f>
      </x:c>
      <x:c r="P57" s="127" t="str">
        <x:f>IF(C57="","",IFERROR(O57/INDEX('Borrowers'!$L$9:$L$108,MATCH(C57,'Borrowers'!$C$9:$C$108,0)),"Unavailable"))</x:f>
      </x:c>
      <x:c r="Q57" s="30" t="str">
        <x:f>IF(C57="","",IFERROR(IF(INDEX('Borrowers'!$Z$9:$Z$108,MATCH(C57,'Borrowers'!$C$9:$C$108,0))="Yes",1,IF(INDEX('Borrowers'!$P$9:$P$108,MATCH(C57,'Borrowers'!$C$9:$C$108,0))=0,0,MIN(1,INDEX('Borrowers'!$P$9:$P$108,MATCH(C57,'Borrowers'!$C$9:$C$108,0))*EXP(MIN(20,INDEX('Borrowers'!$V$9:$V$108,MATCH(C57,'Borrowers'!$C$9:$C$108,0))*V57))))),"Unavailable"))</x:f>
      </x:c>
      <x:c r="R57" s="30" t="str">
        <x:f>IF(C57="","",IFERROR(MIN(1,INDEX('Borrowers'!$Q$9:$Q$108,MATCH(C57,'Borrowers'!$C$9:$C$108,0))+(1-INDEX('Borrowers'!$Q$9:$Q$108,MATCH(C57,'Borrowers'!$C$9:$C$108,0)))*T57),"Unavailable"))</x:f>
      </x:c>
      <x:c r="S57" s="30" t="str">
        <x:f>IF(C57="","",IFERROR(SUMPRODUCT((Sites!$D$9:$D$108=C57)*Sites!$I$9:$I$108*Sites!$J$9:$J$108*Sites!$K$9:$K$108*(1-Sites!$L$9:$L$108)),"Unavailable"))</x:f>
      </x:c>
      <x:c r="T57" s="30" t="str">
        <x:f>IF(C57="","",IFERROR(MIN(1,(SUMPRODUCT((Sites!$D$9:$D$108=C57)*Sites!$N$9:$N$108*Sites!$J$9:$J$108*Sites!$K$9:$K$108*(1-Sites!$L$9:$L$108)))*'Scenario Paths'!F27),"Unavailable"))</x:f>
      </x:c>
      <x:c r="U57" s="9" t="str">
        <x:f>IF(C57="","",IF(OR(INDEX('Borrowers'!$AA$9:$AA$108,MATCH(C57,'Borrowers'!$C$9:$C$108,0))&lt;&gt;"Ready",COUNTIF(Sites!$D$9:$D$108,C57)=0,COUNTIFS(Sites!$D$9:$D$108,C57,Sites!$Q$9:$Q$108,"&lt;&gt;Ready")&gt;0,'Scenario Paths'!$F$6&lt;&gt;"Ready"),"Review source inputs","Ready"))</x:f>
      </x:c>
      <x:c r="V57" s="17" t="str">
        <x:f>IF(C57="","",IFERROR(MAX(-1,(G57-O57)/MAX(0.000001,G57)),"Unavailable"))</x:f>
      </x:c>
      <x:c r="W57" s="9" t="str">
        <x:f>IF(C57="","",IFERROR(INDEX('Borrowers'!$D$9:$D$108,MATCH(C57,'Borrowers'!$C$9:$C$108,0)),"Unavailable"))</x:f>
      </x:c>
    </x:row>
    <x:row r="58" ht="26" customHeight="1">
      <x:c r="A58" s="1"/>
      <x:c r="B58" s="1"/>
      <x:c r="C58" s="9" t="str">
        <x:f>IF(Borrowers!C58="","",Borrowers!C58)</x:f>
      </x:c>
      <x:c r="D58" s="3" t="n">
        <x:v>1</x:v>
      </x:c>
      <x:c r="E58" s="9" t="n">
        <x:f>Settings!$F$18+0</x:f>
        <x:v>2027</x:v>
      </x:c>
      <x:c r="F58" s="9" t="str">
        <x:f>IF(C58="","",INDEX('Borrowers'!$F$9:$F$108,MATCH(C58,'Borrowers'!$C$9:$C$108,0)))</x:f>
      </x:c>
      <x:c r="G58" s="23" t="str">
        <x:f>IF(C58="","",IFERROR(INDEX('Borrowers'!$J$9:$J$108,MATCH(C58,'Borrowers'!$C$9:$C$108,0))-INDEX('Borrowers'!$K$9:$K$108,MATCH(C58,'Borrowers'!$C$9:$C$108,0)),"Unavailable"))</x:f>
      </x:c>
      <x:c r="H58" s="23" t="str">
        <x:f>IF(C58="","",IFERROR(INDEX('Borrowers'!$I$9:$I$108,MATCH(C58,'Borrowers'!$C$9:$C$108,0))*INDEX('Borrowers'!$U$9:$U$108,MATCH(C58,'Borrowers'!$C$9:$C$108,0))*(IF(F58="Transport",'Scenario Paths'!F156,IF(F58="Technology",'Scenario Paths'!F150,IF(F58="Utilities",'Scenario Paths'!F144,IF(F58="Agriculture",'Scenario Paths'!F138,IF(F58="Manufacturing",'Scenario Paths'!F132,IF(F58="Healthcare",'Scenario Paths'!F126,IF(F58="Hospitality",'Scenario Paths'!F120,IF(F58="Property",'Scenario Paths'!F114,IF(F58="Food",'Scenario Paths'!F108,IF(F58="Logistics",'Scenario Paths'!F102,IF(F58="Solar",'Scenario Paths'!F96,IF(F58="Cement",'Scenario Paths'!F90,0))))))))))))),"Unavailable"))</x:f>
      </x:c>
      <x:c r="I58" s="23" t="str">
        <x:f>IF(C58="","",IFERROR(INDEX('Borrowers'!$R$9:$R$108,MATCH(C58,'Borrowers'!$C$9:$C$108,0))*(1-INDEX('Borrowers'!$W$9:$W$108,MATCH(C58,'Borrowers'!$C$9:$C$108,0))*'Scenario Paths'!F39)*'Scenario Paths'!F9/1000000*(1-INDEX('Borrowers'!$T$9:$T$108,MATCH(C58,'Borrowers'!$C$9:$C$108,0))),"Unavailable"))</x:f>
      </x:c>
      <x:c r="J58" s="23" t="str">
        <x:f>IF(C58="","",IFERROR(INDEX('Borrowers'!$I$9:$I$108,MATCH(C58,'Borrowers'!$C$9:$C$108,0))*INDEX('Borrowers'!$S$9:$S$108,MATCH(C58,'Borrowers'!$C$9:$C$108,0))*'Scenario Paths'!F15*(1-INDEX('Borrowers'!$T$9:$T$108,MATCH(C58,'Borrowers'!$C$9:$C$108,0))),"Unavailable"))</x:f>
      </x:c>
      <x:c r="K58" s="23" t="str">
        <x:f>IF(C58="","",IFERROR(INDEX('Borrowers'!$I$9:$I$108,MATCH(C58,'Borrowers'!$C$9:$C$108,0))*INDEX('Borrowers'!$U$9:$U$108,MATCH(C58,'Borrowers'!$C$9:$C$108,0))*'Scenario Paths'!F21*S58,"Unavailable"))</x:f>
      </x:c>
      <x:c r="L58" s="23" t="str">
        <x:f>IF(C58="","",IFERROR(SUMPRODUCT((Sites!$D$9:$D$108=C58)*Sites!$H$9:$H$108*Sites!$J$9:$J$108*Sites!$K$9:$K$108*(1-Sites!$L$9:$L$108)*(1-Sites!$M$9:$M$108))*'Scenario Paths'!F27,"Unavailable"))</x:f>
      </x:c>
      <x:c r="M58" s="23" t="str">
        <x:f>IF(C58="","",IFERROR(INDEX('Borrowers'!$J$9:$J$108,MATCH(C58,'Borrowers'!$C$9:$C$108,0))+H58-SUM(I58:L58),"Unavailable"))</x:f>
      </x:c>
      <x:c r="N58" s="23" t="str">
        <x:f>IF(C58="","",IFERROR(INDEX('Borrowers'!$I$9:$I$108,MATCH(C58,'Borrowers'!$C$9:$C$108,0))*'Scenario Paths'!F33,"Unavailable"))</x:f>
      </x:c>
      <x:c r="O58" s="23" t="str">
        <x:f>IF(C58="","",IFERROR(M58-INDEX('Borrowers'!$K$9:$K$108,MATCH(C58,'Borrowers'!$C$9:$C$108,0))-N58,"Unavailable"))</x:f>
      </x:c>
      <x:c r="P58" s="127" t="str">
        <x:f>IF(C58="","",IFERROR(O58/INDEX('Borrowers'!$L$9:$L$108,MATCH(C58,'Borrowers'!$C$9:$C$108,0)),"Unavailable"))</x:f>
      </x:c>
      <x:c r="Q58" s="30" t="str">
        <x:f>IF(C58="","",IFERROR(IF(INDEX('Borrowers'!$Z$9:$Z$108,MATCH(C58,'Borrowers'!$C$9:$C$108,0))="Yes",1,IF(INDEX('Borrowers'!$P$9:$P$108,MATCH(C58,'Borrowers'!$C$9:$C$108,0))=0,0,MIN(1,INDEX('Borrowers'!$P$9:$P$108,MATCH(C58,'Borrowers'!$C$9:$C$108,0))*EXP(MIN(20,INDEX('Borrowers'!$V$9:$V$108,MATCH(C58,'Borrowers'!$C$9:$C$108,0))*V58))))),"Unavailable"))</x:f>
      </x:c>
      <x:c r="R58" s="30" t="str">
        <x:f>IF(C58="","",IFERROR(MIN(1,INDEX('Borrowers'!$Q$9:$Q$108,MATCH(C58,'Borrowers'!$C$9:$C$108,0))+(1-INDEX('Borrowers'!$Q$9:$Q$108,MATCH(C58,'Borrowers'!$C$9:$C$108,0)))*T58),"Unavailable"))</x:f>
      </x:c>
      <x:c r="S58" s="30" t="str">
        <x:f>IF(C58="","",IFERROR(SUMPRODUCT((Sites!$D$9:$D$108=C58)*Sites!$I$9:$I$108*Sites!$J$9:$J$108*Sites!$K$9:$K$108*(1-Sites!$L$9:$L$108)),"Unavailable"))</x:f>
      </x:c>
      <x:c r="T58" s="30" t="str">
        <x:f>IF(C58="","",IFERROR(MIN(1,(SUMPRODUCT((Sites!$D$9:$D$108=C58)*Sites!$N$9:$N$108*Sites!$J$9:$J$108*Sites!$K$9:$K$108*(1-Sites!$L$9:$L$108)))*'Scenario Paths'!F27),"Unavailable"))</x:f>
      </x:c>
      <x:c r="U58" s="9" t="str">
        <x:f>IF(C58="","",IF(OR(INDEX('Borrowers'!$AA$9:$AA$108,MATCH(C58,'Borrowers'!$C$9:$C$108,0))&lt;&gt;"Ready",COUNTIF(Sites!$D$9:$D$108,C58)=0,COUNTIFS(Sites!$D$9:$D$108,C58,Sites!$Q$9:$Q$108,"&lt;&gt;Ready")&gt;0,'Scenario Paths'!$F$6&lt;&gt;"Ready"),"Review source inputs","Ready"))</x:f>
      </x:c>
      <x:c r="V58" s="17" t="str">
        <x:f>IF(C58="","",IFERROR(MAX(-1,(G58-O58)/MAX(0.000001,G58)),"Unavailable"))</x:f>
      </x:c>
      <x:c r="W58" s="9" t="str">
        <x:f>IF(C58="","",IFERROR(INDEX('Borrowers'!$D$9:$D$108,MATCH(C58,'Borrowers'!$C$9:$C$108,0)),"Unavailable"))</x:f>
      </x:c>
    </x:row>
    <x:row r="59" ht="26" customHeight="1">
      <x:c r="A59" s="1"/>
      <x:c r="B59" s="1"/>
      <x:c r="C59" s="9" t="str">
        <x:f>IF(Borrowers!C59="","",Borrowers!C59)</x:f>
      </x:c>
      <x:c r="D59" s="3" t="n">
        <x:v>1</x:v>
      </x:c>
      <x:c r="E59" s="9" t="n">
        <x:f>Settings!$F$18+0</x:f>
        <x:v>2027</x:v>
      </x:c>
      <x:c r="F59" s="9" t="str">
        <x:f>IF(C59="","",INDEX('Borrowers'!$F$9:$F$108,MATCH(C59,'Borrowers'!$C$9:$C$108,0)))</x:f>
      </x:c>
      <x:c r="G59" s="23" t="str">
        <x:f>IF(C59="","",IFERROR(INDEX('Borrowers'!$J$9:$J$108,MATCH(C59,'Borrowers'!$C$9:$C$108,0))-INDEX('Borrowers'!$K$9:$K$108,MATCH(C59,'Borrowers'!$C$9:$C$108,0)),"Unavailable"))</x:f>
      </x:c>
      <x:c r="H59" s="23" t="str">
        <x:f>IF(C59="","",IFERROR(INDEX('Borrowers'!$I$9:$I$108,MATCH(C59,'Borrowers'!$C$9:$C$108,0))*INDEX('Borrowers'!$U$9:$U$108,MATCH(C59,'Borrowers'!$C$9:$C$108,0))*(IF(F59="Transport",'Scenario Paths'!F156,IF(F59="Technology",'Scenario Paths'!F150,IF(F59="Utilities",'Scenario Paths'!F144,IF(F59="Agriculture",'Scenario Paths'!F138,IF(F59="Manufacturing",'Scenario Paths'!F132,IF(F59="Healthcare",'Scenario Paths'!F126,IF(F59="Hospitality",'Scenario Paths'!F120,IF(F59="Property",'Scenario Paths'!F114,IF(F59="Food",'Scenario Paths'!F108,IF(F59="Logistics",'Scenario Paths'!F102,IF(F59="Solar",'Scenario Paths'!F96,IF(F59="Cement",'Scenario Paths'!F90,0))))))))))))),"Unavailable"))</x:f>
      </x:c>
      <x:c r="I59" s="23" t="str">
        <x:f>IF(C59="","",IFERROR(INDEX('Borrowers'!$R$9:$R$108,MATCH(C59,'Borrowers'!$C$9:$C$108,0))*(1-INDEX('Borrowers'!$W$9:$W$108,MATCH(C59,'Borrowers'!$C$9:$C$108,0))*'Scenario Paths'!F39)*'Scenario Paths'!F9/1000000*(1-INDEX('Borrowers'!$T$9:$T$108,MATCH(C59,'Borrowers'!$C$9:$C$108,0))),"Unavailable"))</x:f>
      </x:c>
      <x:c r="J59" s="23" t="str">
        <x:f>IF(C59="","",IFERROR(INDEX('Borrowers'!$I$9:$I$108,MATCH(C59,'Borrowers'!$C$9:$C$108,0))*INDEX('Borrowers'!$S$9:$S$108,MATCH(C59,'Borrowers'!$C$9:$C$108,0))*'Scenario Paths'!F15*(1-INDEX('Borrowers'!$T$9:$T$108,MATCH(C59,'Borrowers'!$C$9:$C$108,0))),"Unavailable"))</x:f>
      </x:c>
      <x:c r="K59" s="23" t="str">
        <x:f>IF(C59="","",IFERROR(INDEX('Borrowers'!$I$9:$I$108,MATCH(C59,'Borrowers'!$C$9:$C$108,0))*INDEX('Borrowers'!$U$9:$U$108,MATCH(C59,'Borrowers'!$C$9:$C$108,0))*'Scenario Paths'!F21*S59,"Unavailable"))</x:f>
      </x:c>
      <x:c r="L59" s="23" t="str">
        <x:f>IF(C59="","",IFERROR(SUMPRODUCT((Sites!$D$9:$D$108=C59)*Sites!$H$9:$H$108*Sites!$J$9:$J$108*Sites!$K$9:$K$108*(1-Sites!$L$9:$L$108)*(1-Sites!$M$9:$M$108))*'Scenario Paths'!F27,"Unavailable"))</x:f>
      </x:c>
      <x:c r="M59" s="23" t="str">
        <x:f>IF(C59="","",IFERROR(INDEX('Borrowers'!$J$9:$J$108,MATCH(C59,'Borrowers'!$C$9:$C$108,0))+H59-SUM(I59:L59),"Unavailable"))</x:f>
      </x:c>
      <x:c r="N59" s="23" t="str">
        <x:f>IF(C59="","",IFERROR(INDEX('Borrowers'!$I$9:$I$108,MATCH(C59,'Borrowers'!$C$9:$C$108,0))*'Scenario Paths'!F33,"Unavailable"))</x:f>
      </x:c>
      <x:c r="O59" s="23" t="str">
        <x:f>IF(C59="","",IFERROR(M59-INDEX('Borrowers'!$K$9:$K$108,MATCH(C59,'Borrowers'!$C$9:$C$108,0))-N59,"Unavailable"))</x:f>
      </x:c>
      <x:c r="P59" s="127" t="str">
        <x:f>IF(C59="","",IFERROR(O59/INDEX('Borrowers'!$L$9:$L$108,MATCH(C59,'Borrowers'!$C$9:$C$108,0)),"Unavailable"))</x:f>
      </x:c>
      <x:c r="Q59" s="30" t="str">
        <x:f>IF(C59="","",IFERROR(IF(INDEX('Borrowers'!$Z$9:$Z$108,MATCH(C59,'Borrowers'!$C$9:$C$108,0))="Yes",1,IF(INDEX('Borrowers'!$P$9:$P$108,MATCH(C59,'Borrowers'!$C$9:$C$108,0))=0,0,MIN(1,INDEX('Borrowers'!$P$9:$P$108,MATCH(C59,'Borrowers'!$C$9:$C$108,0))*EXP(MIN(20,INDEX('Borrowers'!$V$9:$V$108,MATCH(C59,'Borrowers'!$C$9:$C$108,0))*V59))))),"Unavailable"))</x:f>
      </x:c>
      <x:c r="R59" s="30" t="str">
        <x:f>IF(C59="","",IFERROR(MIN(1,INDEX('Borrowers'!$Q$9:$Q$108,MATCH(C59,'Borrowers'!$C$9:$C$108,0))+(1-INDEX('Borrowers'!$Q$9:$Q$108,MATCH(C59,'Borrowers'!$C$9:$C$108,0)))*T59),"Unavailable"))</x:f>
      </x:c>
      <x:c r="S59" s="30" t="str">
        <x:f>IF(C59="","",IFERROR(SUMPRODUCT((Sites!$D$9:$D$108=C59)*Sites!$I$9:$I$108*Sites!$J$9:$J$108*Sites!$K$9:$K$108*(1-Sites!$L$9:$L$108)),"Unavailable"))</x:f>
      </x:c>
      <x:c r="T59" s="30" t="str">
        <x:f>IF(C59="","",IFERROR(MIN(1,(SUMPRODUCT((Sites!$D$9:$D$108=C59)*Sites!$N$9:$N$108*Sites!$J$9:$J$108*Sites!$K$9:$K$108*(1-Sites!$L$9:$L$108)))*'Scenario Paths'!F27),"Unavailable"))</x:f>
      </x:c>
      <x:c r="U59" s="9" t="str">
        <x:f>IF(C59="","",IF(OR(INDEX('Borrowers'!$AA$9:$AA$108,MATCH(C59,'Borrowers'!$C$9:$C$108,0))&lt;&gt;"Ready",COUNTIF(Sites!$D$9:$D$108,C59)=0,COUNTIFS(Sites!$D$9:$D$108,C59,Sites!$Q$9:$Q$108,"&lt;&gt;Ready")&gt;0,'Scenario Paths'!$F$6&lt;&gt;"Ready"),"Review source inputs","Ready"))</x:f>
      </x:c>
      <x:c r="V59" s="17" t="str">
        <x:f>IF(C59="","",IFERROR(MAX(-1,(G59-O59)/MAX(0.000001,G59)),"Unavailable"))</x:f>
      </x:c>
      <x:c r="W59" s="9" t="str">
        <x:f>IF(C59="","",IFERROR(INDEX('Borrowers'!$D$9:$D$108,MATCH(C59,'Borrowers'!$C$9:$C$108,0)),"Unavailable"))</x:f>
      </x:c>
    </x:row>
    <x:row r="60" ht="26" customHeight="1">
      <x:c r="A60" s="1"/>
      <x:c r="B60" s="1"/>
      <x:c r="C60" s="9" t="str">
        <x:f>IF(Borrowers!C60="","",Borrowers!C60)</x:f>
      </x:c>
      <x:c r="D60" s="3" t="n">
        <x:v>1</x:v>
      </x:c>
      <x:c r="E60" s="9" t="n">
        <x:f>Settings!$F$18+0</x:f>
        <x:v>2027</x:v>
      </x:c>
      <x:c r="F60" s="9" t="str">
        <x:f>IF(C60="","",INDEX('Borrowers'!$F$9:$F$108,MATCH(C60,'Borrowers'!$C$9:$C$108,0)))</x:f>
      </x:c>
      <x:c r="G60" s="23" t="str">
        <x:f>IF(C60="","",IFERROR(INDEX('Borrowers'!$J$9:$J$108,MATCH(C60,'Borrowers'!$C$9:$C$108,0))-INDEX('Borrowers'!$K$9:$K$108,MATCH(C60,'Borrowers'!$C$9:$C$108,0)),"Unavailable"))</x:f>
      </x:c>
      <x:c r="H60" s="23" t="str">
        <x:f>IF(C60="","",IFERROR(INDEX('Borrowers'!$I$9:$I$108,MATCH(C60,'Borrowers'!$C$9:$C$108,0))*INDEX('Borrowers'!$U$9:$U$108,MATCH(C60,'Borrowers'!$C$9:$C$108,0))*(IF(F60="Transport",'Scenario Paths'!F156,IF(F60="Technology",'Scenario Paths'!F150,IF(F60="Utilities",'Scenario Paths'!F144,IF(F60="Agriculture",'Scenario Paths'!F138,IF(F60="Manufacturing",'Scenario Paths'!F132,IF(F60="Healthcare",'Scenario Paths'!F126,IF(F60="Hospitality",'Scenario Paths'!F120,IF(F60="Property",'Scenario Paths'!F114,IF(F60="Food",'Scenario Paths'!F108,IF(F60="Logistics",'Scenario Paths'!F102,IF(F60="Solar",'Scenario Paths'!F96,IF(F60="Cement",'Scenario Paths'!F90,0))))))))))))),"Unavailable"))</x:f>
      </x:c>
      <x:c r="I60" s="23" t="str">
        <x:f>IF(C60="","",IFERROR(INDEX('Borrowers'!$R$9:$R$108,MATCH(C60,'Borrowers'!$C$9:$C$108,0))*(1-INDEX('Borrowers'!$W$9:$W$108,MATCH(C60,'Borrowers'!$C$9:$C$108,0))*'Scenario Paths'!F39)*'Scenario Paths'!F9/1000000*(1-INDEX('Borrowers'!$T$9:$T$108,MATCH(C60,'Borrowers'!$C$9:$C$108,0))),"Unavailable"))</x:f>
      </x:c>
      <x:c r="J60" s="23" t="str">
        <x:f>IF(C60="","",IFERROR(INDEX('Borrowers'!$I$9:$I$108,MATCH(C60,'Borrowers'!$C$9:$C$108,0))*INDEX('Borrowers'!$S$9:$S$108,MATCH(C60,'Borrowers'!$C$9:$C$108,0))*'Scenario Paths'!F15*(1-INDEX('Borrowers'!$T$9:$T$108,MATCH(C60,'Borrowers'!$C$9:$C$108,0))),"Unavailable"))</x:f>
      </x:c>
      <x:c r="K60" s="23" t="str">
        <x:f>IF(C60="","",IFERROR(INDEX('Borrowers'!$I$9:$I$108,MATCH(C60,'Borrowers'!$C$9:$C$108,0))*INDEX('Borrowers'!$U$9:$U$108,MATCH(C60,'Borrowers'!$C$9:$C$108,0))*'Scenario Paths'!F21*S60,"Unavailable"))</x:f>
      </x:c>
      <x:c r="L60" s="23" t="str">
        <x:f>IF(C60="","",IFERROR(SUMPRODUCT((Sites!$D$9:$D$108=C60)*Sites!$H$9:$H$108*Sites!$J$9:$J$108*Sites!$K$9:$K$108*(1-Sites!$L$9:$L$108)*(1-Sites!$M$9:$M$108))*'Scenario Paths'!F27,"Unavailable"))</x:f>
      </x:c>
      <x:c r="M60" s="23" t="str">
        <x:f>IF(C60="","",IFERROR(INDEX('Borrowers'!$J$9:$J$108,MATCH(C60,'Borrowers'!$C$9:$C$108,0))+H60-SUM(I60:L60),"Unavailable"))</x:f>
      </x:c>
      <x:c r="N60" s="23" t="str">
        <x:f>IF(C60="","",IFERROR(INDEX('Borrowers'!$I$9:$I$108,MATCH(C60,'Borrowers'!$C$9:$C$108,0))*'Scenario Paths'!F33,"Unavailable"))</x:f>
      </x:c>
      <x:c r="O60" s="23" t="str">
        <x:f>IF(C60="","",IFERROR(M60-INDEX('Borrowers'!$K$9:$K$108,MATCH(C60,'Borrowers'!$C$9:$C$108,0))-N60,"Unavailable"))</x:f>
      </x:c>
      <x:c r="P60" s="127" t="str">
        <x:f>IF(C60="","",IFERROR(O60/INDEX('Borrowers'!$L$9:$L$108,MATCH(C60,'Borrowers'!$C$9:$C$108,0)),"Unavailable"))</x:f>
      </x:c>
      <x:c r="Q60" s="30" t="str">
        <x:f>IF(C60="","",IFERROR(IF(INDEX('Borrowers'!$Z$9:$Z$108,MATCH(C60,'Borrowers'!$C$9:$C$108,0))="Yes",1,IF(INDEX('Borrowers'!$P$9:$P$108,MATCH(C60,'Borrowers'!$C$9:$C$108,0))=0,0,MIN(1,INDEX('Borrowers'!$P$9:$P$108,MATCH(C60,'Borrowers'!$C$9:$C$108,0))*EXP(MIN(20,INDEX('Borrowers'!$V$9:$V$108,MATCH(C60,'Borrowers'!$C$9:$C$108,0))*V60))))),"Unavailable"))</x:f>
      </x:c>
      <x:c r="R60" s="30" t="str">
        <x:f>IF(C60="","",IFERROR(MIN(1,INDEX('Borrowers'!$Q$9:$Q$108,MATCH(C60,'Borrowers'!$C$9:$C$108,0))+(1-INDEX('Borrowers'!$Q$9:$Q$108,MATCH(C60,'Borrowers'!$C$9:$C$108,0)))*T60),"Unavailable"))</x:f>
      </x:c>
      <x:c r="S60" s="30" t="str">
        <x:f>IF(C60="","",IFERROR(SUMPRODUCT((Sites!$D$9:$D$108=C60)*Sites!$I$9:$I$108*Sites!$J$9:$J$108*Sites!$K$9:$K$108*(1-Sites!$L$9:$L$108)),"Unavailable"))</x:f>
      </x:c>
      <x:c r="T60" s="30" t="str">
        <x:f>IF(C60="","",IFERROR(MIN(1,(SUMPRODUCT((Sites!$D$9:$D$108=C60)*Sites!$N$9:$N$108*Sites!$J$9:$J$108*Sites!$K$9:$K$108*(1-Sites!$L$9:$L$108)))*'Scenario Paths'!F27),"Unavailable"))</x:f>
      </x:c>
      <x:c r="U60" s="9" t="str">
        <x:f>IF(C60="","",IF(OR(INDEX('Borrowers'!$AA$9:$AA$108,MATCH(C60,'Borrowers'!$C$9:$C$108,0))&lt;&gt;"Ready",COUNTIF(Sites!$D$9:$D$108,C60)=0,COUNTIFS(Sites!$D$9:$D$108,C60,Sites!$Q$9:$Q$108,"&lt;&gt;Ready")&gt;0,'Scenario Paths'!$F$6&lt;&gt;"Ready"),"Review source inputs","Ready"))</x:f>
      </x:c>
      <x:c r="V60" s="17" t="str">
        <x:f>IF(C60="","",IFERROR(MAX(-1,(G60-O60)/MAX(0.000001,G60)),"Unavailable"))</x:f>
      </x:c>
      <x:c r="W60" s="9" t="str">
        <x:f>IF(C60="","",IFERROR(INDEX('Borrowers'!$D$9:$D$108,MATCH(C60,'Borrowers'!$C$9:$C$108,0)),"Unavailable"))</x:f>
      </x:c>
    </x:row>
    <x:row r="61" ht="26" customHeight="1">
      <x:c r="A61" s="1"/>
      <x:c r="B61" s="1"/>
      <x:c r="C61" s="9" t="str">
        <x:f>IF(Borrowers!C61="","",Borrowers!C61)</x:f>
      </x:c>
      <x:c r="D61" s="3" t="n">
        <x:v>1</x:v>
      </x:c>
      <x:c r="E61" s="9" t="n">
        <x:f>Settings!$F$18+0</x:f>
        <x:v>2027</x:v>
      </x:c>
      <x:c r="F61" s="9" t="str">
        <x:f>IF(C61="","",INDEX('Borrowers'!$F$9:$F$108,MATCH(C61,'Borrowers'!$C$9:$C$108,0)))</x:f>
      </x:c>
      <x:c r="G61" s="23" t="str">
        <x:f>IF(C61="","",IFERROR(INDEX('Borrowers'!$J$9:$J$108,MATCH(C61,'Borrowers'!$C$9:$C$108,0))-INDEX('Borrowers'!$K$9:$K$108,MATCH(C61,'Borrowers'!$C$9:$C$108,0)),"Unavailable"))</x:f>
      </x:c>
      <x:c r="H61" s="23" t="str">
        <x:f>IF(C61="","",IFERROR(INDEX('Borrowers'!$I$9:$I$108,MATCH(C61,'Borrowers'!$C$9:$C$108,0))*INDEX('Borrowers'!$U$9:$U$108,MATCH(C61,'Borrowers'!$C$9:$C$108,0))*(IF(F61="Transport",'Scenario Paths'!F156,IF(F61="Technology",'Scenario Paths'!F150,IF(F61="Utilities",'Scenario Paths'!F144,IF(F61="Agriculture",'Scenario Paths'!F138,IF(F61="Manufacturing",'Scenario Paths'!F132,IF(F61="Healthcare",'Scenario Paths'!F126,IF(F61="Hospitality",'Scenario Paths'!F120,IF(F61="Property",'Scenario Paths'!F114,IF(F61="Food",'Scenario Paths'!F108,IF(F61="Logistics",'Scenario Paths'!F102,IF(F61="Solar",'Scenario Paths'!F96,IF(F61="Cement",'Scenario Paths'!F90,0))))))))))))),"Unavailable"))</x:f>
      </x:c>
      <x:c r="I61" s="23" t="str">
        <x:f>IF(C61="","",IFERROR(INDEX('Borrowers'!$R$9:$R$108,MATCH(C61,'Borrowers'!$C$9:$C$108,0))*(1-INDEX('Borrowers'!$W$9:$W$108,MATCH(C61,'Borrowers'!$C$9:$C$108,0))*'Scenario Paths'!F39)*'Scenario Paths'!F9/1000000*(1-INDEX('Borrowers'!$T$9:$T$108,MATCH(C61,'Borrowers'!$C$9:$C$108,0))),"Unavailable"))</x:f>
      </x:c>
      <x:c r="J61" s="23" t="str">
        <x:f>IF(C61="","",IFERROR(INDEX('Borrowers'!$I$9:$I$108,MATCH(C61,'Borrowers'!$C$9:$C$108,0))*INDEX('Borrowers'!$S$9:$S$108,MATCH(C61,'Borrowers'!$C$9:$C$108,0))*'Scenario Paths'!F15*(1-INDEX('Borrowers'!$T$9:$T$108,MATCH(C61,'Borrowers'!$C$9:$C$108,0))),"Unavailable"))</x:f>
      </x:c>
      <x:c r="K61" s="23" t="str">
        <x:f>IF(C61="","",IFERROR(INDEX('Borrowers'!$I$9:$I$108,MATCH(C61,'Borrowers'!$C$9:$C$108,0))*INDEX('Borrowers'!$U$9:$U$108,MATCH(C61,'Borrowers'!$C$9:$C$108,0))*'Scenario Paths'!F21*S61,"Unavailable"))</x:f>
      </x:c>
      <x:c r="L61" s="23" t="str">
        <x:f>IF(C61="","",IFERROR(SUMPRODUCT((Sites!$D$9:$D$108=C61)*Sites!$H$9:$H$108*Sites!$J$9:$J$108*Sites!$K$9:$K$108*(1-Sites!$L$9:$L$108)*(1-Sites!$M$9:$M$108))*'Scenario Paths'!F27,"Unavailable"))</x:f>
      </x:c>
      <x:c r="M61" s="23" t="str">
        <x:f>IF(C61="","",IFERROR(INDEX('Borrowers'!$J$9:$J$108,MATCH(C61,'Borrowers'!$C$9:$C$108,0))+H61-SUM(I61:L61),"Unavailable"))</x:f>
      </x:c>
      <x:c r="N61" s="23" t="str">
        <x:f>IF(C61="","",IFERROR(INDEX('Borrowers'!$I$9:$I$108,MATCH(C61,'Borrowers'!$C$9:$C$108,0))*'Scenario Paths'!F33,"Unavailable"))</x:f>
      </x:c>
      <x:c r="O61" s="23" t="str">
        <x:f>IF(C61="","",IFERROR(M61-INDEX('Borrowers'!$K$9:$K$108,MATCH(C61,'Borrowers'!$C$9:$C$108,0))-N61,"Unavailable"))</x:f>
      </x:c>
      <x:c r="P61" s="127" t="str">
        <x:f>IF(C61="","",IFERROR(O61/INDEX('Borrowers'!$L$9:$L$108,MATCH(C61,'Borrowers'!$C$9:$C$108,0)),"Unavailable"))</x:f>
      </x:c>
      <x:c r="Q61" s="30" t="str">
        <x:f>IF(C61="","",IFERROR(IF(INDEX('Borrowers'!$Z$9:$Z$108,MATCH(C61,'Borrowers'!$C$9:$C$108,0))="Yes",1,IF(INDEX('Borrowers'!$P$9:$P$108,MATCH(C61,'Borrowers'!$C$9:$C$108,0))=0,0,MIN(1,INDEX('Borrowers'!$P$9:$P$108,MATCH(C61,'Borrowers'!$C$9:$C$108,0))*EXP(MIN(20,INDEX('Borrowers'!$V$9:$V$108,MATCH(C61,'Borrowers'!$C$9:$C$108,0))*V61))))),"Unavailable"))</x:f>
      </x:c>
      <x:c r="R61" s="30" t="str">
        <x:f>IF(C61="","",IFERROR(MIN(1,INDEX('Borrowers'!$Q$9:$Q$108,MATCH(C61,'Borrowers'!$C$9:$C$108,0))+(1-INDEX('Borrowers'!$Q$9:$Q$108,MATCH(C61,'Borrowers'!$C$9:$C$108,0)))*T61),"Unavailable"))</x:f>
      </x:c>
      <x:c r="S61" s="30" t="str">
        <x:f>IF(C61="","",IFERROR(SUMPRODUCT((Sites!$D$9:$D$108=C61)*Sites!$I$9:$I$108*Sites!$J$9:$J$108*Sites!$K$9:$K$108*(1-Sites!$L$9:$L$108)),"Unavailable"))</x:f>
      </x:c>
      <x:c r="T61" s="30" t="str">
        <x:f>IF(C61="","",IFERROR(MIN(1,(SUMPRODUCT((Sites!$D$9:$D$108=C61)*Sites!$N$9:$N$108*Sites!$J$9:$J$108*Sites!$K$9:$K$108*(1-Sites!$L$9:$L$108)))*'Scenario Paths'!F27),"Unavailable"))</x:f>
      </x:c>
      <x:c r="U61" s="9" t="str">
        <x:f>IF(C61="","",IF(OR(INDEX('Borrowers'!$AA$9:$AA$108,MATCH(C61,'Borrowers'!$C$9:$C$108,0))&lt;&gt;"Ready",COUNTIF(Sites!$D$9:$D$108,C61)=0,COUNTIFS(Sites!$D$9:$D$108,C61,Sites!$Q$9:$Q$108,"&lt;&gt;Ready")&gt;0,'Scenario Paths'!$F$6&lt;&gt;"Ready"),"Review source inputs","Ready"))</x:f>
      </x:c>
      <x:c r="V61" s="17" t="str">
        <x:f>IF(C61="","",IFERROR(MAX(-1,(G61-O61)/MAX(0.000001,G61)),"Unavailable"))</x:f>
      </x:c>
      <x:c r="W61" s="9" t="str">
        <x:f>IF(C61="","",IFERROR(INDEX('Borrowers'!$D$9:$D$108,MATCH(C61,'Borrowers'!$C$9:$C$108,0)),"Unavailable"))</x:f>
      </x:c>
    </x:row>
    <x:row r="62" ht="26" customHeight="1">
      <x:c r="A62" s="1"/>
      <x:c r="B62" s="1"/>
      <x:c r="C62" s="9" t="str">
        <x:f>IF(Borrowers!C62="","",Borrowers!C62)</x:f>
      </x:c>
      <x:c r="D62" s="3" t="n">
        <x:v>1</x:v>
      </x:c>
      <x:c r="E62" s="9" t="n">
        <x:f>Settings!$F$18+0</x:f>
        <x:v>2027</x:v>
      </x:c>
      <x:c r="F62" s="9" t="str">
        <x:f>IF(C62="","",INDEX('Borrowers'!$F$9:$F$108,MATCH(C62,'Borrowers'!$C$9:$C$108,0)))</x:f>
      </x:c>
      <x:c r="G62" s="23" t="str">
        <x:f>IF(C62="","",IFERROR(INDEX('Borrowers'!$J$9:$J$108,MATCH(C62,'Borrowers'!$C$9:$C$108,0))-INDEX('Borrowers'!$K$9:$K$108,MATCH(C62,'Borrowers'!$C$9:$C$108,0)),"Unavailable"))</x:f>
      </x:c>
      <x:c r="H62" s="23" t="str">
        <x:f>IF(C62="","",IFERROR(INDEX('Borrowers'!$I$9:$I$108,MATCH(C62,'Borrowers'!$C$9:$C$108,0))*INDEX('Borrowers'!$U$9:$U$108,MATCH(C62,'Borrowers'!$C$9:$C$108,0))*(IF(F62="Transport",'Scenario Paths'!F156,IF(F62="Technology",'Scenario Paths'!F150,IF(F62="Utilities",'Scenario Paths'!F144,IF(F62="Agriculture",'Scenario Paths'!F138,IF(F62="Manufacturing",'Scenario Paths'!F132,IF(F62="Healthcare",'Scenario Paths'!F126,IF(F62="Hospitality",'Scenario Paths'!F120,IF(F62="Property",'Scenario Paths'!F114,IF(F62="Food",'Scenario Paths'!F108,IF(F62="Logistics",'Scenario Paths'!F102,IF(F62="Solar",'Scenario Paths'!F96,IF(F62="Cement",'Scenario Paths'!F90,0))))))))))))),"Unavailable"))</x:f>
      </x:c>
      <x:c r="I62" s="23" t="str">
        <x:f>IF(C62="","",IFERROR(INDEX('Borrowers'!$R$9:$R$108,MATCH(C62,'Borrowers'!$C$9:$C$108,0))*(1-INDEX('Borrowers'!$W$9:$W$108,MATCH(C62,'Borrowers'!$C$9:$C$108,0))*'Scenario Paths'!F39)*'Scenario Paths'!F9/1000000*(1-INDEX('Borrowers'!$T$9:$T$108,MATCH(C62,'Borrowers'!$C$9:$C$108,0))),"Unavailable"))</x:f>
      </x:c>
      <x:c r="J62" s="23" t="str">
        <x:f>IF(C62="","",IFERROR(INDEX('Borrowers'!$I$9:$I$108,MATCH(C62,'Borrowers'!$C$9:$C$108,0))*INDEX('Borrowers'!$S$9:$S$108,MATCH(C62,'Borrowers'!$C$9:$C$108,0))*'Scenario Paths'!F15*(1-INDEX('Borrowers'!$T$9:$T$108,MATCH(C62,'Borrowers'!$C$9:$C$108,0))),"Unavailable"))</x:f>
      </x:c>
      <x:c r="K62" s="23" t="str">
        <x:f>IF(C62="","",IFERROR(INDEX('Borrowers'!$I$9:$I$108,MATCH(C62,'Borrowers'!$C$9:$C$108,0))*INDEX('Borrowers'!$U$9:$U$108,MATCH(C62,'Borrowers'!$C$9:$C$108,0))*'Scenario Paths'!F21*S62,"Unavailable"))</x:f>
      </x:c>
      <x:c r="L62" s="23" t="str">
        <x:f>IF(C62="","",IFERROR(SUMPRODUCT((Sites!$D$9:$D$108=C62)*Sites!$H$9:$H$108*Sites!$J$9:$J$108*Sites!$K$9:$K$108*(1-Sites!$L$9:$L$108)*(1-Sites!$M$9:$M$108))*'Scenario Paths'!F27,"Unavailable"))</x:f>
      </x:c>
      <x:c r="M62" s="23" t="str">
        <x:f>IF(C62="","",IFERROR(INDEX('Borrowers'!$J$9:$J$108,MATCH(C62,'Borrowers'!$C$9:$C$108,0))+H62-SUM(I62:L62),"Unavailable"))</x:f>
      </x:c>
      <x:c r="N62" s="23" t="str">
        <x:f>IF(C62="","",IFERROR(INDEX('Borrowers'!$I$9:$I$108,MATCH(C62,'Borrowers'!$C$9:$C$108,0))*'Scenario Paths'!F33,"Unavailable"))</x:f>
      </x:c>
      <x:c r="O62" s="23" t="str">
        <x:f>IF(C62="","",IFERROR(M62-INDEX('Borrowers'!$K$9:$K$108,MATCH(C62,'Borrowers'!$C$9:$C$108,0))-N62,"Unavailable"))</x:f>
      </x:c>
      <x:c r="P62" s="127" t="str">
        <x:f>IF(C62="","",IFERROR(O62/INDEX('Borrowers'!$L$9:$L$108,MATCH(C62,'Borrowers'!$C$9:$C$108,0)),"Unavailable"))</x:f>
      </x:c>
      <x:c r="Q62" s="30" t="str">
        <x:f>IF(C62="","",IFERROR(IF(INDEX('Borrowers'!$Z$9:$Z$108,MATCH(C62,'Borrowers'!$C$9:$C$108,0))="Yes",1,IF(INDEX('Borrowers'!$P$9:$P$108,MATCH(C62,'Borrowers'!$C$9:$C$108,0))=0,0,MIN(1,INDEX('Borrowers'!$P$9:$P$108,MATCH(C62,'Borrowers'!$C$9:$C$108,0))*EXP(MIN(20,INDEX('Borrowers'!$V$9:$V$108,MATCH(C62,'Borrowers'!$C$9:$C$108,0))*V62))))),"Unavailable"))</x:f>
      </x:c>
      <x:c r="R62" s="30" t="str">
        <x:f>IF(C62="","",IFERROR(MIN(1,INDEX('Borrowers'!$Q$9:$Q$108,MATCH(C62,'Borrowers'!$C$9:$C$108,0))+(1-INDEX('Borrowers'!$Q$9:$Q$108,MATCH(C62,'Borrowers'!$C$9:$C$108,0)))*T62),"Unavailable"))</x:f>
      </x:c>
      <x:c r="S62" s="30" t="str">
        <x:f>IF(C62="","",IFERROR(SUMPRODUCT((Sites!$D$9:$D$108=C62)*Sites!$I$9:$I$108*Sites!$J$9:$J$108*Sites!$K$9:$K$108*(1-Sites!$L$9:$L$108)),"Unavailable"))</x:f>
      </x:c>
      <x:c r="T62" s="30" t="str">
        <x:f>IF(C62="","",IFERROR(MIN(1,(SUMPRODUCT((Sites!$D$9:$D$108=C62)*Sites!$N$9:$N$108*Sites!$J$9:$J$108*Sites!$K$9:$K$108*(1-Sites!$L$9:$L$108)))*'Scenario Paths'!F27),"Unavailable"))</x:f>
      </x:c>
      <x:c r="U62" s="9" t="str">
        <x:f>IF(C62="","",IF(OR(INDEX('Borrowers'!$AA$9:$AA$108,MATCH(C62,'Borrowers'!$C$9:$C$108,0))&lt;&gt;"Ready",COUNTIF(Sites!$D$9:$D$108,C62)=0,COUNTIFS(Sites!$D$9:$D$108,C62,Sites!$Q$9:$Q$108,"&lt;&gt;Ready")&gt;0,'Scenario Paths'!$F$6&lt;&gt;"Ready"),"Review source inputs","Ready"))</x:f>
      </x:c>
      <x:c r="V62" s="17" t="str">
        <x:f>IF(C62="","",IFERROR(MAX(-1,(G62-O62)/MAX(0.000001,G62)),"Unavailable"))</x:f>
      </x:c>
      <x:c r="W62" s="9" t="str">
        <x:f>IF(C62="","",IFERROR(INDEX('Borrowers'!$D$9:$D$108,MATCH(C62,'Borrowers'!$C$9:$C$108,0)),"Unavailable"))</x:f>
      </x:c>
    </x:row>
    <x:row r="63" ht="26" customHeight="1">
      <x:c r="A63" s="1"/>
      <x:c r="B63" s="1"/>
      <x:c r="C63" s="9" t="str">
        <x:f>IF(Borrowers!C63="","",Borrowers!C63)</x:f>
      </x:c>
      <x:c r="D63" s="3" t="n">
        <x:v>1</x:v>
      </x:c>
      <x:c r="E63" s="9" t="n">
        <x:f>Settings!$F$18+0</x:f>
        <x:v>2027</x:v>
      </x:c>
      <x:c r="F63" s="9" t="str">
        <x:f>IF(C63="","",INDEX('Borrowers'!$F$9:$F$108,MATCH(C63,'Borrowers'!$C$9:$C$108,0)))</x:f>
      </x:c>
      <x:c r="G63" s="23" t="str">
        <x:f>IF(C63="","",IFERROR(INDEX('Borrowers'!$J$9:$J$108,MATCH(C63,'Borrowers'!$C$9:$C$108,0))-INDEX('Borrowers'!$K$9:$K$108,MATCH(C63,'Borrowers'!$C$9:$C$108,0)),"Unavailable"))</x:f>
      </x:c>
      <x:c r="H63" s="23" t="str">
        <x:f>IF(C63="","",IFERROR(INDEX('Borrowers'!$I$9:$I$108,MATCH(C63,'Borrowers'!$C$9:$C$108,0))*INDEX('Borrowers'!$U$9:$U$108,MATCH(C63,'Borrowers'!$C$9:$C$108,0))*(IF(F63="Transport",'Scenario Paths'!F156,IF(F63="Technology",'Scenario Paths'!F150,IF(F63="Utilities",'Scenario Paths'!F144,IF(F63="Agriculture",'Scenario Paths'!F138,IF(F63="Manufacturing",'Scenario Paths'!F132,IF(F63="Healthcare",'Scenario Paths'!F126,IF(F63="Hospitality",'Scenario Paths'!F120,IF(F63="Property",'Scenario Paths'!F114,IF(F63="Food",'Scenario Paths'!F108,IF(F63="Logistics",'Scenario Paths'!F102,IF(F63="Solar",'Scenario Paths'!F96,IF(F63="Cement",'Scenario Paths'!F90,0))))))))))))),"Unavailable"))</x:f>
      </x:c>
      <x:c r="I63" s="23" t="str">
        <x:f>IF(C63="","",IFERROR(INDEX('Borrowers'!$R$9:$R$108,MATCH(C63,'Borrowers'!$C$9:$C$108,0))*(1-INDEX('Borrowers'!$W$9:$W$108,MATCH(C63,'Borrowers'!$C$9:$C$108,0))*'Scenario Paths'!F39)*'Scenario Paths'!F9/1000000*(1-INDEX('Borrowers'!$T$9:$T$108,MATCH(C63,'Borrowers'!$C$9:$C$108,0))),"Unavailable"))</x:f>
      </x:c>
      <x:c r="J63" s="23" t="str">
        <x:f>IF(C63="","",IFERROR(INDEX('Borrowers'!$I$9:$I$108,MATCH(C63,'Borrowers'!$C$9:$C$108,0))*INDEX('Borrowers'!$S$9:$S$108,MATCH(C63,'Borrowers'!$C$9:$C$108,0))*'Scenario Paths'!F15*(1-INDEX('Borrowers'!$T$9:$T$108,MATCH(C63,'Borrowers'!$C$9:$C$108,0))),"Unavailable"))</x:f>
      </x:c>
      <x:c r="K63" s="23" t="str">
        <x:f>IF(C63="","",IFERROR(INDEX('Borrowers'!$I$9:$I$108,MATCH(C63,'Borrowers'!$C$9:$C$108,0))*INDEX('Borrowers'!$U$9:$U$108,MATCH(C63,'Borrowers'!$C$9:$C$108,0))*'Scenario Paths'!F21*S63,"Unavailable"))</x:f>
      </x:c>
      <x:c r="L63" s="23" t="str">
        <x:f>IF(C63="","",IFERROR(SUMPRODUCT((Sites!$D$9:$D$108=C63)*Sites!$H$9:$H$108*Sites!$J$9:$J$108*Sites!$K$9:$K$108*(1-Sites!$L$9:$L$108)*(1-Sites!$M$9:$M$108))*'Scenario Paths'!F27,"Unavailable"))</x:f>
      </x:c>
      <x:c r="M63" s="23" t="str">
        <x:f>IF(C63="","",IFERROR(INDEX('Borrowers'!$J$9:$J$108,MATCH(C63,'Borrowers'!$C$9:$C$108,0))+H63-SUM(I63:L63),"Unavailable"))</x:f>
      </x:c>
      <x:c r="N63" s="23" t="str">
        <x:f>IF(C63="","",IFERROR(INDEX('Borrowers'!$I$9:$I$108,MATCH(C63,'Borrowers'!$C$9:$C$108,0))*'Scenario Paths'!F33,"Unavailable"))</x:f>
      </x:c>
      <x:c r="O63" s="23" t="str">
        <x:f>IF(C63="","",IFERROR(M63-INDEX('Borrowers'!$K$9:$K$108,MATCH(C63,'Borrowers'!$C$9:$C$108,0))-N63,"Unavailable"))</x:f>
      </x:c>
      <x:c r="P63" s="127" t="str">
        <x:f>IF(C63="","",IFERROR(O63/INDEX('Borrowers'!$L$9:$L$108,MATCH(C63,'Borrowers'!$C$9:$C$108,0)),"Unavailable"))</x:f>
      </x:c>
      <x:c r="Q63" s="30" t="str">
        <x:f>IF(C63="","",IFERROR(IF(INDEX('Borrowers'!$Z$9:$Z$108,MATCH(C63,'Borrowers'!$C$9:$C$108,0))="Yes",1,IF(INDEX('Borrowers'!$P$9:$P$108,MATCH(C63,'Borrowers'!$C$9:$C$108,0))=0,0,MIN(1,INDEX('Borrowers'!$P$9:$P$108,MATCH(C63,'Borrowers'!$C$9:$C$108,0))*EXP(MIN(20,INDEX('Borrowers'!$V$9:$V$108,MATCH(C63,'Borrowers'!$C$9:$C$108,0))*V63))))),"Unavailable"))</x:f>
      </x:c>
      <x:c r="R63" s="30" t="str">
        <x:f>IF(C63="","",IFERROR(MIN(1,INDEX('Borrowers'!$Q$9:$Q$108,MATCH(C63,'Borrowers'!$C$9:$C$108,0))+(1-INDEX('Borrowers'!$Q$9:$Q$108,MATCH(C63,'Borrowers'!$C$9:$C$108,0)))*T63),"Unavailable"))</x:f>
      </x:c>
      <x:c r="S63" s="30" t="str">
        <x:f>IF(C63="","",IFERROR(SUMPRODUCT((Sites!$D$9:$D$108=C63)*Sites!$I$9:$I$108*Sites!$J$9:$J$108*Sites!$K$9:$K$108*(1-Sites!$L$9:$L$108)),"Unavailable"))</x:f>
      </x:c>
      <x:c r="T63" s="30" t="str">
        <x:f>IF(C63="","",IFERROR(MIN(1,(SUMPRODUCT((Sites!$D$9:$D$108=C63)*Sites!$N$9:$N$108*Sites!$J$9:$J$108*Sites!$K$9:$K$108*(1-Sites!$L$9:$L$108)))*'Scenario Paths'!F27),"Unavailable"))</x:f>
      </x:c>
      <x:c r="U63" s="9" t="str">
        <x:f>IF(C63="","",IF(OR(INDEX('Borrowers'!$AA$9:$AA$108,MATCH(C63,'Borrowers'!$C$9:$C$108,0))&lt;&gt;"Ready",COUNTIF(Sites!$D$9:$D$108,C63)=0,COUNTIFS(Sites!$D$9:$D$108,C63,Sites!$Q$9:$Q$108,"&lt;&gt;Ready")&gt;0,'Scenario Paths'!$F$6&lt;&gt;"Ready"),"Review source inputs","Ready"))</x:f>
      </x:c>
      <x:c r="V63" s="17" t="str">
        <x:f>IF(C63="","",IFERROR(MAX(-1,(G63-O63)/MAX(0.000001,G63)),"Unavailable"))</x:f>
      </x:c>
      <x:c r="W63" s="9" t="str">
        <x:f>IF(C63="","",IFERROR(INDEX('Borrowers'!$D$9:$D$108,MATCH(C63,'Borrowers'!$C$9:$C$108,0)),"Unavailable"))</x:f>
      </x:c>
    </x:row>
    <x:row r="64" ht="26" customHeight="1">
      <x:c r="A64" s="1"/>
      <x:c r="B64" s="1"/>
      <x:c r="C64" s="9" t="str">
        <x:f>IF(Borrowers!C64="","",Borrowers!C64)</x:f>
      </x:c>
      <x:c r="D64" s="3" t="n">
        <x:v>1</x:v>
      </x:c>
      <x:c r="E64" s="9" t="n">
        <x:f>Settings!$F$18+0</x:f>
        <x:v>2027</x:v>
      </x:c>
      <x:c r="F64" s="9" t="str">
        <x:f>IF(C64="","",INDEX('Borrowers'!$F$9:$F$108,MATCH(C64,'Borrowers'!$C$9:$C$108,0)))</x:f>
      </x:c>
      <x:c r="G64" s="23" t="str">
        <x:f>IF(C64="","",IFERROR(INDEX('Borrowers'!$J$9:$J$108,MATCH(C64,'Borrowers'!$C$9:$C$108,0))-INDEX('Borrowers'!$K$9:$K$108,MATCH(C64,'Borrowers'!$C$9:$C$108,0)),"Unavailable"))</x:f>
      </x:c>
      <x:c r="H64" s="23" t="str">
        <x:f>IF(C64="","",IFERROR(INDEX('Borrowers'!$I$9:$I$108,MATCH(C64,'Borrowers'!$C$9:$C$108,0))*INDEX('Borrowers'!$U$9:$U$108,MATCH(C64,'Borrowers'!$C$9:$C$108,0))*(IF(F64="Transport",'Scenario Paths'!F156,IF(F64="Technology",'Scenario Paths'!F150,IF(F64="Utilities",'Scenario Paths'!F144,IF(F64="Agriculture",'Scenario Paths'!F138,IF(F64="Manufacturing",'Scenario Paths'!F132,IF(F64="Healthcare",'Scenario Paths'!F126,IF(F64="Hospitality",'Scenario Paths'!F120,IF(F64="Property",'Scenario Paths'!F114,IF(F64="Food",'Scenario Paths'!F108,IF(F64="Logistics",'Scenario Paths'!F102,IF(F64="Solar",'Scenario Paths'!F96,IF(F64="Cement",'Scenario Paths'!F90,0))))))))))))),"Unavailable"))</x:f>
      </x:c>
      <x:c r="I64" s="23" t="str">
        <x:f>IF(C64="","",IFERROR(INDEX('Borrowers'!$R$9:$R$108,MATCH(C64,'Borrowers'!$C$9:$C$108,0))*(1-INDEX('Borrowers'!$W$9:$W$108,MATCH(C64,'Borrowers'!$C$9:$C$108,0))*'Scenario Paths'!F39)*'Scenario Paths'!F9/1000000*(1-INDEX('Borrowers'!$T$9:$T$108,MATCH(C64,'Borrowers'!$C$9:$C$108,0))),"Unavailable"))</x:f>
      </x:c>
      <x:c r="J64" s="23" t="str">
        <x:f>IF(C64="","",IFERROR(INDEX('Borrowers'!$I$9:$I$108,MATCH(C64,'Borrowers'!$C$9:$C$108,0))*INDEX('Borrowers'!$S$9:$S$108,MATCH(C64,'Borrowers'!$C$9:$C$108,0))*'Scenario Paths'!F15*(1-INDEX('Borrowers'!$T$9:$T$108,MATCH(C64,'Borrowers'!$C$9:$C$108,0))),"Unavailable"))</x:f>
      </x:c>
      <x:c r="K64" s="23" t="str">
        <x:f>IF(C64="","",IFERROR(INDEX('Borrowers'!$I$9:$I$108,MATCH(C64,'Borrowers'!$C$9:$C$108,0))*INDEX('Borrowers'!$U$9:$U$108,MATCH(C64,'Borrowers'!$C$9:$C$108,0))*'Scenario Paths'!F21*S64,"Unavailable"))</x:f>
      </x:c>
      <x:c r="L64" s="23" t="str">
        <x:f>IF(C64="","",IFERROR(SUMPRODUCT((Sites!$D$9:$D$108=C64)*Sites!$H$9:$H$108*Sites!$J$9:$J$108*Sites!$K$9:$K$108*(1-Sites!$L$9:$L$108)*(1-Sites!$M$9:$M$108))*'Scenario Paths'!F27,"Unavailable"))</x:f>
      </x:c>
      <x:c r="M64" s="23" t="str">
        <x:f>IF(C64="","",IFERROR(INDEX('Borrowers'!$J$9:$J$108,MATCH(C64,'Borrowers'!$C$9:$C$108,0))+H64-SUM(I64:L64),"Unavailable"))</x:f>
      </x:c>
      <x:c r="N64" s="23" t="str">
        <x:f>IF(C64="","",IFERROR(INDEX('Borrowers'!$I$9:$I$108,MATCH(C64,'Borrowers'!$C$9:$C$108,0))*'Scenario Paths'!F33,"Unavailable"))</x:f>
      </x:c>
      <x:c r="O64" s="23" t="str">
        <x:f>IF(C64="","",IFERROR(M64-INDEX('Borrowers'!$K$9:$K$108,MATCH(C64,'Borrowers'!$C$9:$C$108,0))-N64,"Unavailable"))</x:f>
      </x:c>
      <x:c r="P64" s="127" t="str">
        <x:f>IF(C64="","",IFERROR(O64/INDEX('Borrowers'!$L$9:$L$108,MATCH(C64,'Borrowers'!$C$9:$C$108,0)),"Unavailable"))</x:f>
      </x:c>
      <x:c r="Q64" s="30" t="str">
        <x:f>IF(C64="","",IFERROR(IF(INDEX('Borrowers'!$Z$9:$Z$108,MATCH(C64,'Borrowers'!$C$9:$C$108,0))="Yes",1,IF(INDEX('Borrowers'!$P$9:$P$108,MATCH(C64,'Borrowers'!$C$9:$C$108,0))=0,0,MIN(1,INDEX('Borrowers'!$P$9:$P$108,MATCH(C64,'Borrowers'!$C$9:$C$108,0))*EXP(MIN(20,INDEX('Borrowers'!$V$9:$V$108,MATCH(C64,'Borrowers'!$C$9:$C$108,0))*V64))))),"Unavailable"))</x:f>
      </x:c>
      <x:c r="R64" s="30" t="str">
        <x:f>IF(C64="","",IFERROR(MIN(1,INDEX('Borrowers'!$Q$9:$Q$108,MATCH(C64,'Borrowers'!$C$9:$C$108,0))+(1-INDEX('Borrowers'!$Q$9:$Q$108,MATCH(C64,'Borrowers'!$C$9:$C$108,0)))*T64),"Unavailable"))</x:f>
      </x:c>
      <x:c r="S64" s="30" t="str">
        <x:f>IF(C64="","",IFERROR(SUMPRODUCT((Sites!$D$9:$D$108=C64)*Sites!$I$9:$I$108*Sites!$J$9:$J$108*Sites!$K$9:$K$108*(1-Sites!$L$9:$L$108)),"Unavailable"))</x:f>
      </x:c>
      <x:c r="T64" s="30" t="str">
        <x:f>IF(C64="","",IFERROR(MIN(1,(SUMPRODUCT((Sites!$D$9:$D$108=C64)*Sites!$N$9:$N$108*Sites!$J$9:$J$108*Sites!$K$9:$K$108*(1-Sites!$L$9:$L$108)))*'Scenario Paths'!F27),"Unavailable"))</x:f>
      </x:c>
      <x:c r="U64" s="9" t="str">
        <x:f>IF(C64="","",IF(OR(INDEX('Borrowers'!$AA$9:$AA$108,MATCH(C64,'Borrowers'!$C$9:$C$108,0))&lt;&gt;"Ready",COUNTIF(Sites!$D$9:$D$108,C64)=0,COUNTIFS(Sites!$D$9:$D$108,C64,Sites!$Q$9:$Q$108,"&lt;&gt;Ready")&gt;0,'Scenario Paths'!$F$6&lt;&gt;"Ready"),"Review source inputs","Ready"))</x:f>
      </x:c>
      <x:c r="V64" s="17" t="str">
        <x:f>IF(C64="","",IFERROR(MAX(-1,(G64-O64)/MAX(0.000001,G64)),"Unavailable"))</x:f>
      </x:c>
      <x:c r="W64" s="9" t="str">
        <x:f>IF(C64="","",IFERROR(INDEX('Borrowers'!$D$9:$D$108,MATCH(C64,'Borrowers'!$C$9:$C$108,0)),"Unavailable"))</x:f>
      </x:c>
    </x:row>
    <x:row r="65" ht="26" customHeight="1">
      <x:c r="A65" s="1"/>
      <x:c r="B65" s="1"/>
      <x:c r="C65" s="9" t="str">
        <x:f>IF(Borrowers!C65="","",Borrowers!C65)</x:f>
      </x:c>
      <x:c r="D65" s="3" t="n">
        <x:v>1</x:v>
      </x:c>
      <x:c r="E65" s="9" t="n">
        <x:f>Settings!$F$18+0</x:f>
        <x:v>2027</x:v>
      </x:c>
      <x:c r="F65" s="9" t="str">
        <x:f>IF(C65="","",INDEX('Borrowers'!$F$9:$F$108,MATCH(C65,'Borrowers'!$C$9:$C$108,0)))</x:f>
      </x:c>
      <x:c r="G65" s="23" t="str">
        <x:f>IF(C65="","",IFERROR(INDEX('Borrowers'!$J$9:$J$108,MATCH(C65,'Borrowers'!$C$9:$C$108,0))-INDEX('Borrowers'!$K$9:$K$108,MATCH(C65,'Borrowers'!$C$9:$C$108,0)),"Unavailable"))</x:f>
      </x:c>
      <x:c r="H65" s="23" t="str">
        <x:f>IF(C65="","",IFERROR(INDEX('Borrowers'!$I$9:$I$108,MATCH(C65,'Borrowers'!$C$9:$C$108,0))*INDEX('Borrowers'!$U$9:$U$108,MATCH(C65,'Borrowers'!$C$9:$C$108,0))*(IF(F65="Transport",'Scenario Paths'!F156,IF(F65="Technology",'Scenario Paths'!F150,IF(F65="Utilities",'Scenario Paths'!F144,IF(F65="Agriculture",'Scenario Paths'!F138,IF(F65="Manufacturing",'Scenario Paths'!F132,IF(F65="Healthcare",'Scenario Paths'!F126,IF(F65="Hospitality",'Scenario Paths'!F120,IF(F65="Property",'Scenario Paths'!F114,IF(F65="Food",'Scenario Paths'!F108,IF(F65="Logistics",'Scenario Paths'!F102,IF(F65="Solar",'Scenario Paths'!F96,IF(F65="Cement",'Scenario Paths'!F90,0))))))))))))),"Unavailable"))</x:f>
      </x:c>
      <x:c r="I65" s="23" t="str">
        <x:f>IF(C65="","",IFERROR(INDEX('Borrowers'!$R$9:$R$108,MATCH(C65,'Borrowers'!$C$9:$C$108,0))*(1-INDEX('Borrowers'!$W$9:$W$108,MATCH(C65,'Borrowers'!$C$9:$C$108,0))*'Scenario Paths'!F39)*'Scenario Paths'!F9/1000000*(1-INDEX('Borrowers'!$T$9:$T$108,MATCH(C65,'Borrowers'!$C$9:$C$108,0))),"Unavailable"))</x:f>
      </x:c>
      <x:c r="J65" s="23" t="str">
        <x:f>IF(C65="","",IFERROR(INDEX('Borrowers'!$I$9:$I$108,MATCH(C65,'Borrowers'!$C$9:$C$108,0))*INDEX('Borrowers'!$S$9:$S$108,MATCH(C65,'Borrowers'!$C$9:$C$108,0))*'Scenario Paths'!F15*(1-INDEX('Borrowers'!$T$9:$T$108,MATCH(C65,'Borrowers'!$C$9:$C$108,0))),"Unavailable"))</x:f>
      </x:c>
      <x:c r="K65" s="23" t="str">
        <x:f>IF(C65="","",IFERROR(INDEX('Borrowers'!$I$9:$I$108,MATCH(C65,'Borrowers'!$C$9:$C$108,0))*INDEX('Borrowers'!$U$9:$U$108,MATCH(C65,'Borrowers'!$C$9:$C$108,0))*'Scenario Paths'!F21*S65,"Unavailable"))</x:f>
      </x:c>
      <x:c r="L65" s="23" t="str">
        <x:f>IF(C65="","",IFERROR(SUMPRODUCT((Sites!$D$9:$D$108=C65)*Sites!$H$9:$H$108*Sites!$J$9:$J$108*Sites!$K$9:$K$108*(1-Sites!$L$9:$L$108)*(1-Sites!$M$9:$M$108))*'Scenario Paths'!F27,"Unavailable"))</x:f>
      </x:c>
      <x:c r="M65" s="23" t="str">
        <x:f>IF(C65="","",IFERROR(INDEX('Borrowers'!$J$9:$J$108,MATCH(C65,'Borrowers'!$C$9:$C$108,0))+H65-SUM(I65:L65),"Unavailable"))</x:f>
      </x:c>
      <x:c r="N65" s="23" t="str">
        <x:f>IF(C65="","",IFERROR(INDEX('Borrowers'!$I$9:$I$108,MATCH(C65,'Borrowers'!$C$9:$C$108,0))*'Scenario Paths'!F33,"Unavailable"))</x:f>
      </x:c>
      <x:c r="O65" s="23" t="str">
        <x:f>IF(C65="","",IFERROR(M65-INDEX('Borrowers'!$K$9:$K$108,MATCH(C65,'Borrowers'!$C$9:$C$108,0))-N65,"Unavailable"))</x:f>
      </x:c>
      <x:c r="P65" s="127" t="str">
        <x:f>IF(C65="","",IFERROR(O65/INDEX('Borrowers'!$L$9:$L$108,MATCH(C65,'Borrowers'!$C$9:$C$108,0)),"Unavailable"))</x:f>
      </x:c>
      <x:c r="Q65" s="30" t="str">
        <x:f>IF(C65="","",IFERROR(IF(INDEX('Borrowers'!$Z$9:$Z$108,MATCH(C65,'Borrowers'!$C$9:$C$108,0))="Yes",1,IF(INDEX('Borrowers'!$P$9:$P$108,MATCH(C65,'Borrowers'!$C$9:$C$108,0))=0,0,MIN(1,INDEX('Borrowers'!$P$9:$P$108,MATCH(C65,'Borrowers'!$C$9:$C$108,0))*EXP(MIN(20,INDEX('Borrowers'!$V$9:$V$108,MATCH(C65,'Borrowers'!$C$9:$C$108,0))*V65))))),"Unavailable"))</x:f>
      </x:c>
      <x:c r="R65" s="30" t="str">
        <x:f>IF(C65="","",IFERROR(MIN(1,INDEX('Borrowers'!$Q$9:$Q$108,MATCH(C65,'Borrowers'!$C$9:$C$108,0))+(1-INDEX('Borrowers'!$Q$9:$Q$108,MATCH(C65,'Borrowers'!$C$9:$C$108,0)))*T65),"Unavailable"))</x:f>
      </x:c>
      <x:c r="S65" s="30" t="str">
        <x:f>IF(C65="","",IFERROR(SUMPRODUCT((Sites!$D$9:$D$108=C65)*Sites!$I$9:$I$108*Sites!$J$9:$J$108*Sites!$K$9:$K$108*(1-Sites!$L$9:$L$108)),"Unavailable"))</x:f>
      </x:c>
      <x:c r="T65" s="30" t="str">
        <x:f>IF(C65="","",IFERROR(MIN(1,(SUMPRODUCT((Sites!$D$9:$D$108=C65)*Sites!$N$9:$N$108*Sites!$J$9:$J$108*Sites!$K$9:$K$108*(1-Sites!$L$9:$L$108)))*'Scenario Paths'!F27),"Unavailable"))</x:f>
      </x:c>
      <x:c r="U65" s="9" t="str">
        <x:f>IF(C65="","",IF(OR(INDEX('Borrowers'!$AA$9:$AA$108,MATCH(C65,'Borrowers'!$C$9:$C$108,0))&lt;&gt;"Ready",COUNTIF(Sites!$D$9:$D$108,C65)=0,COUNTIFS(Sites!$D$9:$D$108,C65,Sites!$Q$9:$Q$108,"&lt;&gt;Ready")&gt;0,'Scenario Paths'!$F$6&lt;&gt;"Ready"),"Review source inputs","Ready"))</x:f>
      </x:c>
      <x:c r="V65" s="17" t="str">
        <x:f>IF(C65="","",IFERROR(MAX(-1,(G65-O65)/MAX(0.000001,G65)),"Unavailable"))</x:f>
      </x:c>
      <x:c r="W65" s="9" t="str">
        <x:f>IF(C65="","",IFERROR(INDEX('Borrowers'!$D$9:$D$108,MATCH(C65,'Borrowers'!$C$9:$C$108,0)),"Unavailable"))</x:f>
      </x:c>
    </x:row>
    <x:row r="66" ht="26" customHeight="1">
      <x:c r="A66" s="1"/>
      <x:c r="B66" s="1"/>
      <x:c r="C66" s="9" t="str">
        <x:f>IF(Borrowers!C66="","",Borrowers!C66)</x:f>
      </x:c>
      <x:c r="D66" s="3" t="n">
        <x:v>1</x:v>
      </x:c>
      <x:c r="E66" s="9" t="n">
        <x:f>Settings!$F$18+0</x:f>
        <x:v>2027</x:v>
      </x:c>
      <x:c r="F66" s="9" t="str">
        <x:f>IF(C66="","",INDEX('Borrowers'!$F$9:$F$108,MATCH(C66,'Borrowers'!$C$9:$C$108,0)))</x:f>
      </x:c>
      <x:c r="G66" s="23" t="str">
        <x:f>IF(C66="","",IFERROR(INDEX('Borrowers'!$J$9:$J$108,MATCH(C66,'Borrowers'!$C$9:$C$108,0))-INDEX('Borrowers'!$K$9:$K$108,MATCH(C66,'Borrowers'!$C$9:$C$108,0)),"Unavailable"))</x:f>
      </x:c>
      <x:c r="H66" s="23" t="str">
        <x:f>IF(C66="","",IFERROR(INDEX('Borrowers'!$I$9:$I$108,MATCH(C66,'Borrowers'!$C$9:$C$108,0))*INDEX('Borrowers'!$U$9:$U$108,MATCH(C66,'Borrowers'!$C$9:$C$108,0))*(IF(F66="Transport",'Scenario Paths'!F156,IF(F66="Technology",'Scenario Paths'!F150,IF(F66="Utilities",'Scenario Paths'!F144,IF(F66="Agriculture",'Scenario Paths'!F138,IF(F66="Manufacturing",'Scenario Paths'!F132,IF(F66="Healthcare",'Scenario Paths'!F126,IF(F66="Hospitality",'Scenario Paths'!F120,IF(F66="Property",'Scenario Paths'!F114,IF(F66="Food",'Scenario Paths'!F108,IF(F66="Logistics",'Scenario Paths'!F102,IF(F66="Solar",'Scenario Paths'!F96,IF(F66="Cement",'Scenario Paths'!F90,0))))))))))))),"Unavailable"))</x:f>
      </x:c>
      <x:c r="I66" s="23" t="str">
        <x:f>IF(C66="","",IFERROR(INDEX('Borrowers'!$R$9:$R$108,MATCH(C66,'Borrowers'!$C$9:$C$108,0))*(1-INDEX('Borrowers'!$W$9:$W$108,MATCH(C66,'Borrowers'!$C$9:$C$108,0))*'Scenario Paths'!F39)*'Scenario Paths'!F9/1000000*(1-INDEX('Borrowers'!$T$9:$T$108,MATCH(C66,'Borrowers'!$C$9:$C$108,0))),"Unavailable"))</x:f>
      </x:c>
      <x:c r="J66" s="23" t="str">
        <x:f>IF(C66="","",IFERROR(INDEX('Borrowers'!$I$9:$I$108,MATCH(C66,'Borrowers'!$C$9:$C$108,0))*INDEX('Borrowers'!$S$9:$S$108,MATCH(C66,'Borrowers'!$C$9:$C$108,0))*'Scenario Paths'!F15*(1-INDEX('Borrowers'!$T$9:$T$108,MATCH(C66,'Borrowers'!$C$9:$C$108,0))),"Unavailable"))</x:f>
      </x:c>
      <x:c r="K66" s="23" t="str">
        <x:f>IF(C66="","",IFERROR(INDEX('Borrowers'!$I$9:$I$108,MATCH(C66,'Borrowers'!$C$9:$C$108,0))*INDEX('Borrowers'!$U$9:$U$108,MATCH(C66,'Borrowers'!$C$9:$C$108,0))*'Scenario Paths'!F21*S66,"Unavailable"))</x:f>
      </x:c>
      <x:c r="L66" s="23" t="str">
        <x:f>IF(C66="","",IFERROR(SUMPRODUCT((Sites!$D$9:$D$108=C66)*Sites!$H$9:$H$108*Sites!$J$9:$J$108*Sites!$K$9:$K$108*(1-Sites!$L$9:$L$108)*(1-Sites!$M$9:$M$108))*'Scenario Paths'!F27,"Unavailable"))</x:f>
      </x:c>
      <x:c r="M66" s="23" t="str">
        <x:f>IF(C66="","",IFERROR(INDEX('Borrowers'!$J$9:$J$108,MATCH(C66,'Borrowers'!$C$9:$C$108,0))+H66-SUM(I66:L66),"Unavailable"))</x:f>
      </x:c>
      <x:c r="N66" s="23" t="str">
        <x:f>IF(C66="","",IFERROR(INDEX('Borrowers'!$I$9:$I$108,MATCH(C66,'Borrowers'!$C$9:$C$108,0))*'Scenario Paths'!F33,"Unavailable"))</x:f>
      </x:c>
      <x:c r="O66" s="23" t="str">
        <x:f>IF(C66="","",IFERROR(M66-INDEX('Borrowers'!$K$9:$K$108,MATCH(C66,'Borrowers'!$C$9:$C$108,0))-N66,"Unavailable"))</x:f>
      </x:c>
      <x:c r="P66" s="127" t="str">
        <x:f>IF(C66="","",IFERROR(O66/INDEX('Borrowers'!$L$9:$L$108,MATCH(C66,'Borrowers'!$C$9:$C$108,0)),"Unavailable"))</x:f>
      </x:c>
      <x:c r="Q66" s="30" t="str">
        <x:f>IF(C66="","",IFERROR(IF(INDEX('Borrowers'!$Z$9:$Z$108,MATCH(C66,'Borrowers'!$C$9:$C$108,0))="Yes",1,IF(INDEX('Borrowers'!$P$9:$P$108,MATCH(C66,'Borrowers'!$C$9:$C$108,0))=0,0,MIN(1,INDEX('Borrowers'!$P$9:$P$108,MATCH(C66,'Borrowers'!$C$9:$C$108,0))*EXP(MIN(20,INDEX('Borrowers'!$V$9:$V$108,MATCH(C66,'Borrowers'!$C$9:$C$108,0))*V66))))),"Unavailable"))</x:f>
      </x:c>
      <x:c r="R66" s="30" t="str">
        <x:f>IF(C66="","",IFERROR(MIN(1,INDEX('Borrowers'!$Q$9:$Q$108,MATCH(C66,'Borrowers'!$C$9:$C$108,0))+(1-INDEX('Borrowers'!$Q$9:$Q$108,MATCH(C66,'Borrowers'!$C$9:$C$108,0)))*T66),"Unavailable"))</x:f>
      </x:c>
      <x:c r="S66" s="30" t="str">
        <x:f>IF(C66="","",IFERROR(SUMPRODUCT((Sites!$D$9:$D$108=C66)*Sites!$I$9:$I$108*Sites!$J$9:$J$108*Sites!$K$9:$K$108*(1-Sites!$L$9:$L$108)),"Unavailable"))</x:f>
      </x:c>
      <x:c r="T66" s="30" t="str">
        <x:f>IF(C66="","",IFERROR(MIN(1,(SUMPRODUCT((Sites!$D$9:$D$108=C66)*Sites!$N$9:$N$108*Sites!$J$9:$J$108*Sites!$K$9:$K$108*(1-Sites!$L$9:$L$108)))*'Scenario Paths'!F27),"Unavailable"))</x:f>
      </x:c>
      <x:c r="U66" s="9" t="str">
        <x:f>IF(C66="","",IF(OR(INDEX('Borrowers'!$AA$9:$AA$108,MATCH(C66,'Borrowers'!$C$9:$C$108,0))&lt;&gt;"Ready",COUNTIF(Sites!$D$9:$D$108,C66)=0,COUNTIFS(Sites!$D$9:$D$108,C66,Sites!$Q$9:$Q$108,"&lt;&gt;Ready")&gt;0,'Scenario Paths'!$F$6&lt;&gt;"Ready"),"Review source inputs","Ready"))</x:f>
      </x:c>
      <x:c r="V66" s="17" t="str">
        <x:f>IF(C66="","",IFERROR(MAX(-1,(G66-O66)/MAX(0.000001,G66)),"Unavailable"))</x:f>
      </x:c>
      <x:c r="W66" s="9" t="str">
        <x:f>IF(C66="","",IFERROR(INDEX('Borrowers'!$D$9:$D$108,MATCH(C66,'Borrowers'!$C$9:$C$108,0)),"Unavailable"))</x:f>
      </x:c>
    </x:row>
    <x:row r="67" ht="26" customHeight="1">
      <x:c r="A67" s="1"/>
      <x:c r="B67" s="1"/>
      <x:c r="C67" s="9" t="str">
        <x:f>IF(Borrowers!C67="","",Borrowers!C67)</x:f>
      </x:c>
      <x:c r="D67" s="3" t="n">
        <x:v>1</x:v>
      </x:c>
      <x:c r="E67" s="9" t="n">
        <x:f>Settings!$F$18+0</x:f>
        <x:v>2027</x:v>
      </x:c>
      <x:c r="F67" s="9" t="str">
        <x:f>IF(C67="","",INDEX('Borrowers'!$F$9:$F$108,MATCH(C67,'Borrowers'!$C$9:$C$108,0)))</x:f>
      </x:c>
      <x:c r="G67" s="23" t="str">
        <x:f>IF(C67="","",IFERROR(INDEX('Borrowers'!$J$9:$J$108,MATCH(C67,'Borrowers'!$C$9:$C$108,0))-INDEX('Borrowers'!$K$9:$K$108,MATCH(C67,'Borrowers'!$C$9:$C$108,0)),"Unavailable"))</x:f>
      </x:c>
      <x:c r="H67" s="23" t="str">
        <x:f>IF(C67="","",IFERROR(INDEX('Borrowers'!$I$9:$I$108,MATCH(C67,'Borrowers'!$C$9:$C$108,0))*INDEX('Borrowers'!$U$9:$U$108,MATCH(C67,'Borrowers'!$C$9:$C$108,0))*(IF(F67="Transport",'Scenario Paths'!F156,IF(F67="Technology",'Scenario Paths'!F150,IF(F67="Utilities",'Scenario Paths'!F144,IF(F67="Agriculture",'Scenario Paths'!F138,IF(F67="Manufacturing",'Scenario Paths'!F132,IF(F67="Healthcare",'Scenario Paths'!F126,IF(F67="Hospitality",'Scenario Paths'!F120,IF(F67="Property",'Scenario Paths'!F114,IF(F67="Food",'Scenario Paths'!F108,IF(F67="Logistics",'Scenario Paths'!F102,IF(F67="Solar",'Scenario Paths'!F96,IF(F67="Cement",'Scenario Paths'!F90,0))))))))))))),"Unavailable"))</x:f>
      </x:c>
      <x:c r="I67" s="23" t="str">
        <x:f>IF(C67="","",IFERROR(INDEX('Borrowers'!$R$9:$R$108,MATCH(C67,'Borrowers'!$C$9:$C$108,0))*(1-INDEX('Borrowers'!$W$9:$W$108,MATCH(C67,'Borrowers'!$C$9:$C$108,0))*'Scenario Paths'!F39)*'Scenario Paths'!F9/1000000*(1-INDEX('Borrowers'!$T$9:$T$108,MATCH(C67,'Borrowers'!$C$9:$C$108,0))),"Unavailable"))</x:f>
      </x:c>
      <x:c r="J67" s="23" t="str">
        <x:f>IF(C67="","",IFERROR(INDEX('Borrowers'!$I$9:$I$108,MATCH(C67,'Borrowers'!$C$9:$C$108,0))*INDEX('Borrowers'!$S$9:$S$108,MATCH(C67,'Borrowers'!$C$9:$C$108,0))*'Scenario Paths'!F15*(1-INDEX('Borrowers'!$T$9:$T$108,MATCH(C67,'Borrowers'!$C$9:$C$108,0))),"Unavailable"))</x:f>
      </x:c>
      <x:c r="K67" s="23" t="str">
        <x:f>IF(C67="","",IFERROR(INDEX('Borrowers'!$I$9:$I$108,MATCH(C67,'Borrowers'!$C$9:$C$108,0))*INDEX('Borrowers'!$U$9:$U$108,MATCH(C67,'Borrowers'!$C$9:$C$108,0))*'Scenario Paths'!F21*S67,"Unavailable"))</x:f>
      </x:c>
      <x:c r="L67" s="23" t="str">
        <x:f>IF(C67="","",IFERROR(SUMPRODUCT((Sites!$D$9:$D$108=C67)*Sites!$H$9:$H$108*Sites!$J$9:$J$108*Sites!$K$9:$K$108*(1-Sites!$L$9:$L$108)*(1-Sites!$M$9:$M$108))*'Scenario Paths'!F27,"Unavailable"))</x:f>
      </x:c>
      <x:c r="M67" s="23" t="str">
        <x:f>IF(C67="","",IFERROR(INDEX('Borrowers'!$J$9:$J$108,MATCH(C67,'Borrowers'!$C$9:$C$108,0))+H67-SUM(I67:L67),"Unavailable"))</x:f>
      </x:c>
      <x:c r="N67" s="23" t="str">
        <x:f>IF(C67="","",IFERROR(INDEX('Borrowers'!$I$9:$I$108,MATCH(C67,'Borrowers'!$C$9:$C$108,0))*'Scenario Paths'!F33,"Unavailable"))</x:f>
      </x:c>
      <x:c r="O67" s="23" t="str">
        <x:f>IF(C67="","",IFERROR(M67-INDEX('Borrowers'!$K$9:$K$108,MATCH(C67,'Borrowers'!$C$9:$C$108,0))-N67,"Unavailable"))</x:f>
      </x:c>
      <x:c r="P67" s="127" t="str">
        <x:f>IF(C67="","",IFERROR(O67/INDEX('Borrowers'!$L$9:$L$108,MATCH(C67,'Borrowers'!$C$9:$C$108,0)),"Unavailable"))</x:f>
      </x:c>
      <x:c r="Q67" s="30" t="str">
        <x:f>IF(C67="","",IFERROR(IF(INDEX('Borrowers'!$Z$9:$Z$108,MATCH(C67,'Borrowers'!$C$9:$C$108,0))="Yes",1,IF(INDEX('Borrowers'!$P$9:$P$108,MATCH(C67,'Borrowers'!$C$9:$C$108,0))=0,0,MIN(1,INDEX('Borrowers'!$P$9:$P$108,MATCH(C67,'Borrowers'!$C$9:$C$108,0))*EXP(MIN(20,INDEX('Borrowers'!$V$9:$V$108,MATCH(C67,'Borrowers'!$C$9:$C$108,0))*V67))))),"Unavailable"))</x:f>
      </x:c>
      <x:c r="R67" s="30" t="str">
        <x:f>IF(C67="","",IFERROR(MIN(1,INDEX('Borrowers'!$Q$9:$Q$108,MATCH(C67,'Borrowers'!$C$9:$C$108,0))+(1-INDEX('Borrowers'!$Q$9:$Q$108,MATCH(C67,'Borrowers'!$C$9:$C$108,0)))*T67),"Unavailable"))</x:f>
      </x:c>
      <x:c r="S67" s="30" t="str">
        <x:f>IF(C67="","",IFERROR(SUMPRODUCT((Sites!$D$9:$D$108=C67)*Sites!$I$9:$I$108*Sites!$J$9:$J$108*Sites!$K$9:$K$108*(1-Sites!$L$9:$L$108)),"Unavailable"))</x:f>
      </x:c>
      <x:c r="T67" s="30" t="str">
        <x:f>IF(C67="","",IFERROR(MIN(1,(SUMPRODUCT((Sites!$D$9:$D$108=C67)*Sites!$N$9:$N$108*Sites!$J$9:$J$108*Sites!$K$9:$K$108*(1-Sites!$L$9:$L$108)))*'Scenario Paths'!F27),"Unavailable"))</x:f>
      </x:c>
      <x:c r="U67" s="9" t="str">
        <x:f>IF(C67="","",IF(OR(INDEX('Borrowers'!$AA$9:$AA$108,MATCH(C67,'Borrowers'!$C$9:$C$108,0))&lt;&gt;"Ready",COUNTIF(Sites!$D$9:$D$108,C67)=0,COUNTIFS(Sites!$D$9:$D$108,C67,Sites!$Q$9:$Q$108,"&lt;&gt;Ready")&gt;0,'Scenario Paths'!$F$6&lt;&gt;"Ready"),"Review source inputs","Ready"))</x:f>
      </x:c>
      <x:c r="V67" s="17" t="str">
        <x:f>IF(C67="","",IFERROR(MAX(-1,(G67-O67)/MAX(0.000001,G67)),"Unavailable"))</x:f>
      </x:c>
      <x:c r="W67" s="9" t="str">
        <x:f>IF(C67="","",IFERROR(INDEX('Borrowers'!$D$9:$D$108,MATCH(C67,'Borrowers'!$C$9:$C$108,0)),"Unavailable"))</x:f>
      </x:c>
    </x:row>
    <x:row r="68" ht="26" customHeight="1">
      <x:c r="A68" s="1"/>
      <x:c r="B68" s="1"/>
      <x:c r="C68" s="9" t="str">
        <x:f>IF(Borrowers!C68="","",Borrowers!C68)</x:f>
      </x:c>
      <x:c r="D68" s="3" t="n">
        <x:v>1</x:v>
      </x:c>
      <x:c r="E68" s="9" t="n">
        <x:f>Settings!$F$18+0</x:f>
        <x:v>2027</x:v>
      </x:c>
      <x:c r="F68" s="9" t="str">
        <x:f>IF(C68="","",INDEX('Borrowers'!$F$9:$F$108,MATCH(C68,'Borrowers'!$C$9:$C$108,0)))</x:f>
      </x:c>
      <x:c r="G68" s="23" t="str">
        <x:f>IF(C68="","",IFERROR(INDEX('Borrowers'!$J$9:$J$108,MATCH(C68,'Borrowers'!$C$9:$C$108,0))-INDEX('Borrowers'!$K$9:$K$108,MATCH(C68,'Borrowers'!$C$9:$C$108,0)),"Unavailable"))</x:f>
      </x:c>
      <x:c r="H68" s="23" t="str">
        <x:f>IF(C68="","",IFERROR(INDEX('Borrowers'!$I$9:$I$108,MATCH(C68,'Borrowers'!$C$9:$C$108,0))*INDEX('Borrowers'!$U$9:$U$108,MATCH(C68,'Borrowers'!$C$9:$C$108,0))*(IF(F68="Transport",'Scenario Paths'!F156,IF(F68="Technology",'Scenario Paths'!F150,IF(F68="Utilities",'Scenario Paths'!F144,IF(F68="Agriculture",'Scenario Paths'!F138,IF(F68="Manufacturing",'Scenario Paths'!F132,IF(F68="Healthcare",'Scenario Paths'!F126,IF(F68="Hospitality",'Scenario Paths'!F120,IF(F68="Property",'Scenario Paths'!F114,IF(F68="Food",'Scenario Paths'!F108,IF(F68="Logistics",'Scenario Paths'!F102,IF(F68="Solar",'Scenario Paths'!F96,IF(F68="Cement",'Scenario Paths'!F90,0))))))))))))),"Unavailable"))</x:f>
      </x:c>
      <x:c r="I68" s="23" t="str">
        <x:f>IF(C68="","",IFERROR(INDEX('Borrowers'!$R$9:$R$108,MATCH(C68,'Borrowers'!$C$9:$C$108,0))*(1-INDEX('Borrowers'!$W$9:$W$108,MATCH(C68,'Borrowers'!$C$9:$C$108,0))*'Scenario Paths'!F39)*'Scenario Paths'!F9/1000000*(1-INDEX('Borrowers'!$T$9:$T$108,MATCH(C68,'Borrowers'!$C$9:$C$108,0))),"Unavailable"))</x:f>
      </x:c>
      <x:c r="J68" s="23" t="str">
        <x:f>IF(C68="","",IFERROR(INDEX('Borrowers'!$I$9:$I$108,MATCH(C68,'Borrowers'!$C$9:$C$108,0))*INDEX('Borrowers'!$S$9:$S$108,MATCH(C68,'Borrowers'!$C$9:$C$108,0))*'Scenario Paths'!F15*(1-INDEX('Borrowers'!$T$9:$T$108,MATCH(C68,'Borrowers'!$C$9:$C$108,0))),"Unavailable"))</x:f>
      </x:c>
      <x:c r="K68" s="23" t="str">
        <x:f>IF(C68="","",IFERROR(INDEX('Borrowers'!$I$9:$I$108,MATCH(C68,'Borrowers'!$C$9:$C$108,0))*INDEX('Borrowers'!$U$9:$U$108,MATCH(C68,'Borrowers'!$C$9:$C$108,0))*'Scenario Paths'!F21*S68,"Unavailable"))</x:f>
      </x:c>
      <x:c r="L68" s="23" t="str">
        <x:f>IF(C68="","",IFERROR(SUMPRODUCT((Sites!$D$9:$D$108=C68)*Sites!$H$9:$H$108*Sites!$J$9:$J$108*Sites!$K$9:$K$108*(1-Sites!$L$9:$L$108)*(1-Sites!$M$9:$M$108))*'Scenario Paths'!F27,"Unavailable"))</x:f>
      </x:c>
      <x:c r="M68" s="23" t="str">
        <x:f>IF(C68="","",IFERROR(INDEX('Borrowers'!$J$9:$J$108,MATCH(C68,'Borrowers'!$C$9:$C$108,0))+H68-SUM(I68:L68),"Unavailable"))</x:f>
      </x:c>
      <x:c r="N68" s="23" t="str">
        <x:f>IF(C68="","",IFERROR(INDEX('Borrowers'!$I$9:$I$108,MATCH(C68,'Borrowers'!$C$9:$C$108,0))*'Scenario Paths'!F33,"Unavailable"))</x:f>
      </x:c>
      <x:c r="O68" s="23" t="str">
        <x:f>IF(C68="","",IFERROR(M68-INDEX('Borrowers'!$K$9:$K$108,MATCH(C68,'Borrowers'!$C$9:$C$108,0))-N68,"Unavailable"))</x:f>
      </x:c>
      <x:c r="P68" s="127" t="str">
        <x:f>IF(C68="","",IFERROR(O68/INDEX('Borrowers'!$L$9:$L$108,MATCH(C68,'Borrowers'!$C$9:$C$108,0)),"Unavailable"))</x:f>
      </x:c>
      <x:c r="Q68" s="30" t="str">
        <x:f>IF(C68="","",IFERROR(IF(INDEX('Borrowers'!$Z$9:$Z$108,MATCH(C68,'Borrowers'!$C$9:$C$108,0))="Yes",1,IF(INDEX('Borrowers'!$P$9:$P$108,MATCH(C68,'Borrowers'!$C$9:$C$108,0))=0,0,MIN(1,INDEX('Borrowers'!$P$9:$P$108,MATCH(C68,'Borrowers'!$C$9:$C$108,0))*EXP(MIN(20,INDEX('Borrowers'!$V$9:$V$108,MATCH(C68,'Borrowers'!$C$9:$C$108,0))*V68))))),"Unavailable"))</x:f>
      </x:c>
      <x:c r="R68" s="30" t="str">
        <x:f>IF(C68="","",IFERROR(MIN(1,INDEX('Borrowers'!$Q$9:$Q$108,MATCH(C68,'Borrowers'!$C$9:$C$108,0))+(1-INDEX('Borrowers'!$Q$9:$Q$108,MATCH(C68,'Borrowers'!$C$9:$C$108,0)))*T68),"Unavailable"))</x:f>
      </x:c>
      <x:c r="S68" s="30" t="str">
        <x:f>IF(C68="","",IFERROR(SUMPRODUCT((Sites!$D$9:$D$108=C68)*Sites!$I$9:$I$108*Sites!$J$9:$J$108*Sites!$K$9:$K$108*(1-Sites!$L$9:$L$108)),"Unavailable"))</x:f>
      </x:c>
      <x:c r="T68" s="30" t="str">
        <x:f>IF(C68="","",IFERROR(MIN(1,(SUMPRODUCT((Sites!$D$9:$D$108=C68)*Sites!$N$9:$N$108*Sites!$J$9:$J$108*Sites!$K$9:$K$108*(1-Sites!$L$9:$L$108)))*'Scenario Paths'!F27),"Unavailable"))</x:f>
      </x:c>
      <x:c r="U68" s="9" t="str">
        <x:f>IF(C68="","",IF(OR(INDEX('Borrowers'!$AA$9:$AA$108,MATCH(C68,'Borrowers'!$C$9:$C$108,0))&lt;&gt;"Ready",COUNTIF(Sites!$D$9:$D$108,C68)=0,COUNTIFS(Sites!$D$9:$D$108,C68,Sites!$Q$9:$Q$108,"&lt;&gt;Ready")&gt;0,'Scenario Paths'!$F$6&lt;&gt;"Ready"),"Review source inputs","Ready"))</x:f>
      </x:c>
      <x:c r="V68" s="17" t="str">
        <x:f>IF(C68="","",IFERROR(MAX(-1,(G68-O68)/MAX(0.000001,G68)),"Unavailable"))</x:f>
      </x:c>
      <x:c r="W68" s="9" t="str">
        <x:f>IF(C68="","",IFERROR(INDEX('Borrowers'!$D$9:$D$108,MATCH(C68,'Borrowers'!$C$9:$C$108,0)),"Unavailable"))</x:f>
      </x:c>
    </x:row>
    <x:row r="69" ht="26" customHeight="1">
      <x:c r="A69" s="1"/>
      <x:c r="B69" s="1"/>
      <x:c r="C69" s="9" t="str">
        <x:f>IF(Borrowers!C69="","",Borrowers!C69)</x:f>
      </x:c>
      <x:c r="D69" s="3" t="n">
        <x:v>1</x:v>
      </x:c>
      <x:c r="E69" s="9" t="n">
        <x:f>Settings!$F$18+0</x:f>
        <x:v>2027</x:v>
      </x:c>
      <x:c r="F69" s="9" t="str">
        <x:f>IF(C69="","",INDEX('Borrowers'!$F$9:$F$108,MATCH(C69,'Borrowers'!$C$9:$C$108,0)))</x:f>
      </x:c>
      <x:c r="G69" s="23" t="str">
        <x:f>IF(C69="","",IFERROR(INDEX('Borrowers'!$J$9:$J$108,MATCH(C69,'Borrowers'!$C$9:$C$108,0))-INDEX('Borrowers'!$K$9:$K$108,MATCH(C69,'Borrowers'!$C$9:$C$108,0)),"Unavailable"))</x:f>
      </x:c>
      <x:c r="H69" s="23" t="str">
        <x:f>IF(C69="","",IFERROR(INDEX('Borrowers'!$I$9:$I$108,MATCH(C69,'Borrowers'!$C$9:$C$108,0))*INDEX('Borrowers'!$U$9:$U$108,MATCH(C69,'Borrowers'!$C$9:$C$108,0))*(IF(F69="Transport",'Scenario Paths'!F156,IF(F69="Technology",'Scenario Paths'!F150,IF(F69="Utilities",'Scenario Paths'!F144,IF(F69="Agriculture",'Scenario Paths'!F138,IF(F69="Manufacturing",'Scenario Paths'!F132,IF(F69="Healthcare",'Scenario Paths'!F126,IF(F69="Hospitality",'Scenario Paths'!F120,IF(F69="Property",'Scenario Paths'!F114,IF(F69="Food",'Scenario Paths'!F108,IF(F69="Logistics",'Scenario Paths'!F102,IF(F69="Solar",'Scenario Paths'!F96,IF(F69="Cement",'Scenario Paths'!F90,0))))))))))))),"Unavailable"))</x:f>
      </x:c>
      <x:c r="I69" s="23" t="str">
        <x:f>IF(C69="","",IFERROR(INDEX('Borrowers'!$R$9:$R$108,MATCH(C69,'Borrowers'!$C$9:$C$108,0))*(1-INDEX('Borrowers'!$W$9:$W$108,MATCH(C69,'Borrowers'!$C$9:$C$108,0))*'Scenario Paths'!F39)*'Scenario Paths'!F9/1000000*(1-INDEX('Borrowers'!$T$9:$T$108,MATCH(C69,'Borrowers'!$C$9:$C$108,0))),"Unavailable"))</x:f>
      </x:c>
      <x:c r="J69" s="23" t="str">
        <x:f>IF(C69="","",IFERROR(INDEX('Borrowers'!$I$9:$I$108,MATCH(C69,'Borrowers'!$C$9:$C$108,0))*INDEX('Borrowers'!$S$9:$S$108,MATCH(C69,'Borrowers'!$C$9:$C$108,0))*'Scenario Paths'!F15*(1-INDEX('Borrowers'!$T$9:$T$108,MATCH(C69,'Borrowers'!$C$9:$C$108,0))),"Unavailable"))</x:f>
      </x:c>
      <x:c r="K69" s="23" t="str">
        <x:f>IF(C69="","",IFERROR(INDEX('Borrowers'!$I$9:$I$108,MATCH(C69,'Borrowers'!$C$9:$C$108,0))*INDEX('Borrowers'!$U$9:$U$108,MATCH(C69,'Borrowers'!$C$9:$C$108,0))*'Scenario Paths'!F21*S69,"Unavailable"))</x:f>
      </x:c>
      <x:c r="L69" s="23" t="str">
        <x:f>IF(C69="","",IFERROR(SUMPRODUCT((Sites!$D$9:$D$108=C69)*Sites!$H$9:$H$108*Sites!$J$9:$J$108*Sites!$K$9:$K$108*(1-Sites!$L$9:$L$108)*(1-Sites!$M$9:$M$108))*'Scenario Paths'!F27,"Unavailable"))</x:f>
      </x:c>
      <x:c r="M69" s="23" t="str">
        <x:f>IF(C69="","",IFERROR(INDEX('Borrowers'!$J$9:$J$108,MATCH(C69,'Borrowers'!$C$9:$C$108,0))+H69-SUM(I69:L69),"Unavailable"))</x:f>
      </x:c>
      <x:c r="N69" s="23" t="str">
        <x:f>IF(C69="","",IFERROR(INDEX('Borrowers'!$I$9:$I$108,MATCH(C69,'Borrowers'!$C$9:$C$108,0))*'Scenario Paths'!F33,"Unavailable"))</x:f>
      </x:c>
      <x:c r="O69" s="23" t="str">
        <x:f>IF(C69="","",IFERROR(M69-INDEX('Borrowers'!$K$9:$K$108,MATCH(C69,'Borrowers'!$C$9:$C$108,0))-N69,"Unavailable"))</x:f>
      </x:c>
      <x:c r="P69" s="127" t="str">
        <x:f>IF(C69="","",IFERROR(O69/INDEX('Borrowers'!$L$9:$L$108,MATCH(C69,'Borrowers'!$C$9:$C$108,0)),"Unavailable"))</x:f>
      </x:c>
      <x:c r="Q69" s="30" t="str">
        <x:f>IF(C69="","",IFERROR(IF(INDEX('Borrowers'!$Z$9:$Z$108,MATCH(C69,'Borrowers'!$C$9:$C$108,0))="Yes",1,IF(INDEX('Borrowers'!$P$9:$P$108,MATCH(C69,'Borrowers'!$C$9:$C$108,0))=0,0,MIN(1,INDEX('Borrowers'!$P$9:$P$108,MATCH(C69,'Borrowers'!$C$9:$C$108,0))*EXP(MIN(20,INDEX('Borrowers'!$V$9:$V$108,MATCH(C69,'Borrowers'!$C$9:$C$108,0))*V69))))),"Unavailable"))</x:f>
      </x:c>
      <x:c r="R69" s="30" t="str">
        <x:f>IF(C69="","",IFERROR(MIN(1,INDEX('Borrowers'!$Q$9:$Q$108,MATCH(C69,'Borrowers'!$C$9:$C$108,0))+(1-INDEX('Borrowers'!$Q$9:$Q$108,MATCH(C69,'Borrowers'!$C$9:$C$108,0)))*T69),"Unavailable"))</x:f>
      </x:c>
      <x:c r="S69" s="30" t="str">
        <x:f>IF(C69="","",IFERROR(SUMPRODUCT((Sites!$D$9:$D$108=C69)*Sites!$I$9:$I$108*Sites!$J$9:$J$108*Sites!$K$9:$K$108*(1-Sites!$L$9:$L$108)),"Unavailable"))</x:f>
      </x:c>
      <x:c r="T69" s="30" t="str">
        <x:f>IF(C69="","",IFERROR(MIN(1,(SUMPRODUCT((Sites!$D$9:$D$108=C69)*Sites!$N$9:$N$108*Sites!$J$9:$J$108*Sites!$K$9:$K$108*(1-Sites!$L$9:$L$108)))*'Scenario Paths'!F27),"Unavailable"))</x:f>
      </x:c>
      <x:c r="U69" s="9" t="str">
        <x:f>IF(C69="","",IF(OR(INDEX('Borrowers'!$AA$9:$AA$108,MATCH(C69,'Borrowers'!$C$9:$C$108,0))&lt;&gt;"Ready",COUNTIF(Sites!$D$9:$D$108,C69)=0,COUNTIFS(Sites!$D$9:$D$108,C69,Sites!$Q$9:$Q$108,"&lt;&gt;Ready")&gt;0,'Scenario Paths'!$F$6&lt;&gt;"Ready"),"Review source inputs","Ready"))</x:f>
      </x:c>
      <x:c r="V69" s="17" t="str">
        <x:f>IF(C69="","",IFERROR(MAX(-1,(G69-O69)/MAX(0.000001,G69)),"Unavailable"))</x:f>
      </x:c>
      <x:c r="W69" s="9" t="str">
        <x:f>IF(C69="","",IFERROR(INDEX('Borrowers'!$D$9:$D$108,MATCH(C69,'Borrowers'!$C$9:$C$108,0)),"Unavailable"))</x:f>
      </x:c>
    </x:row>
    <x:row r="70" ht="26" customHeight="1">
      <x:c r="A70" s="1"/>
      <x:c r="B70" s="1"/>
      <x:c r="C70" s="9" t="str">
        <x:f>IF(Borrowers!C70="","",Borrowers!C70)</x:f>
      </x:c>
      <x:c r="D70" s="3" t="n">
        <x:v>1</x:v>
      </x:c>
      <x:c r="E70" s="9" t="n">
        <x:f>Settings!$F$18+0</x:f>
        <x:v>2027</x:v>
      </x:c>
      <x:c r="F70" s="9" t="str">
        <x:f>IF(C70="","",INDEX('Borrowers'!$F$9:$F$108,MATCH(C70,'Borrowers'!$C$9:$C$108,0)))</x:f>
      </x:c>
      <x:c r="G70" s="23" t="str">
        <x:f>IF(C70="","",IFERROR(INDEX('Borrowers'!$J$9:$J$108,MATCH(C70,'Borrowers'!$C$9:$C$108,0))-INDEX('Borrowers'!$K$9:$K$108,MATCH(C70,'Borrowers'!$C$9:$C$108,0)),"Unavailable"))</x:f>
      </x:c>
      <x:c r="H70" s="23" t="str">
        <x:f>IF(C70="","",IFERROR(INDEX('Borrowers'!$I$9:$I$108,MATCH(C70,'Borrowers'!$C$9:$C$108,0))*INDEX('Borrowers'!$U$9:$U$108,MATCH(C70,'Borrowers'!$C$9:$C$108,0))*(IF(F70="Transport",'Scenario Paths'!F156,IF(F70="Technology",'Scenario Paths'!F150,IF(F70="Utilities",'Scenario Paths'!F144,IF(F70="Agriculture",'Scenario Paths'!F138,IF(F70="Manufacturing",'Scenario Paths'!F132,IF(F70="Healthcare",'Scenario Paths'!F126,IF(F70="Hospitality",'Scenario Paths'!F120,IF(F70="Property",'Scenario Paths'!F114,IF(F70="Food",'Scenario Paths'!F108,IF(F70="Logistics",'Scenario Paths'!F102,IF(F70="Solar",'Scenario Paths'!F96,IF(F70="Cement",'Scenario Paths'!F90,0))))))))))))),"Unavailable"))</x:f>
      </x:c>
      <x:c r="I70" s="23" t="str">
        <x:f>IF(C70="","",IFERROR(INDEX('Borrowers'!$R$9:$R$108,MATCH(C70,'Borrowers'!$C$9:$C$108,0))*(1-INDEX('Borrowers'!$W$9:$W$108,MATCH(C70,'Borrowers'!$C$9:$C$108,0))*'Scenario Paths'!F39)*'Scenario Paths'!F9/1000000*(1-INDEX('Borrowers'!$T$9:$T$108,MATCH(C70,'Borrowers'!$C$9:$C$108,0))),"Unavailable"))</x:f>
      </x:c>
      <x:c r="J70" s="23" t="str">
        <x:f>IF(C70="","",IFERROR(INDEX('Borrowers'!$I$9:$I$108,MATCH(C70,'Borrowers'!$C$9:$C$108,0))*INDEX('Borrowers'!$S$9:$S$108,MATCH(C70,'Borrowers'!$C$9:$C$108,0))*'Scenario Paths'!F15*(1-INDEX('Borrowers'!$T$9:$T$108,MATCH(C70,'Borrowers'!$C$9:$C$108,0))),"Unavailable"))</x:f>
      </x:c>
      <x:c r="K70" s="23" t="str">
        <x:f>IF(C70="","",IFERROR(INDEX('Borrowers'!$I$9:$I$108,MATCH(C70,'Borrowers'!$C$9:$C$108,0))*INDEX('Borrowers'!$U$9:$U$108,MATCH(C70,'Borrowers'!$C$9:$C$108,0))*'Scenario Paths'!F21*S70,"Unavailable"))</x:f>
      </x:c>
      <x:c r="L70" s="23" t="str">
        <x:f>IF(C70="","",IFERROR(SUMPRODUCT((Sites!$D$9:$D$108=C70)*Sites!$H$9:$H$108*Sites!$J$9:$J$108*Sites!$K$9:$K$108*(1-Sites!$L$9:$L$108)*(1-Sites!$M$9:$M$108))*'Scenario Paths'!F27,"Unavailable"))</x:f>
      </x:c>
      <x:c r="M70" s="23" t="str">
        <x:f>IF(C70="","",IFERROR(INDEX('Borrowers'!$J$9:$J$108,MATCH(C70,'Borrowers'!$C$9:$C$108,0))+H70-SUM(I70:L70),"Unavailable"))</x:f>
      </x:c>
      <x:c r="N70" s="23" t="str">
        <x:f>IF(C70="","",IFERROR(INDEX('Borrowers'!$I$9:$I$108,MATCH(C70,'Borrowers'!$C$9:$C$108,0))*'Scenario Paths'!F33,"Unavailable"))</x:f>
      </x:c>
      <x:c r="O70" s="23" t="str">
        <x:f>IF(C70="","",IFERROR(M70-INDEX('Borrowers'!$K$9:$K$108,MATCH(C70,'Borrowers'!$C$9:$C$108,0))-N70,"Unavailable"))</x:f>
      </x:c>
      <x:c r="P70" s="127" t="str">
        <x:f>IF(C70="","",IFERROR(O70/INDEX('Borrowers'!$L$9:$L$108,MATCH(C70,'Borrowers'!$C$9:$C$108,0)),"Unavailable"))</x:f>
      </x:c>
      <x:c r="Q70" s="30" t="str">
        <x:f>IF(C70="","",IFERROR(IF(INDEX('Borrowers'!$Z$9:$Z$108,MATCH(C70,'Borrowers'!$C$9:$C$108,0))="Yes",1,IF(INDEX('Borrowers'!$P$9:$P$108,MATCH(C70,'Borrowers'!$C$9:$C$108,0))=0,0,MIN(1,INDEX('Borrowers'!$P$9:$P$108,MATCH(C70,'Borrowers'!$C$9:$C$108,0))*EXP(MIN(20,INDEX('Borrowers'!$V$9:$V$108,MATCH(C70,'Borrowers'!$C$9:$C$108,0))*V70))))),"Unavailable"))</x:f>
      </x:c>
      <x:c r="R70" s="30" t="str">
        <x:f>IF(C70="","",IFERROR(MIN(1,INDEX('Borrowers'!$Q$9:$Q$108,MATCH(C70,'Borrowers'!$C$9:$C$108,0))+(1-INDEX('Borrowers'!$Q$9:$Q$108,MATCH(C70,'Borrowers'!$C$9:$C$108,0)))*T70),"Unavailable"))</x:f>
      </x:c>
      <x:c r="S70" s="30" t="str">
        <x:f>IF(C70="","",IFERROR(SUMPRODUCT((Sites!$D$9:$D$108=C70)*Sites!$I$9:$I$108*Sites!$J$9:$J$108*Sites!$K$9:$K$108*(1-Sites!$L$9:$L$108)),"Unavailable"))</x:f>
      </x:c>
      <x:c r="T70" s="30" t="str">
        <x:f>IF(C70="","",IFERROR(MIN(1,(SUMPRODUCT((Sites!$D$9:$D$108=C70)*Sites!$N$9:$N$108*Sites!$J$9:$J$108*Sites!$K$9:$K$108*(1-Sites!$L$9:$L$108)))*'Scenario Paths'!F27),"Unavailable"))</x:f>
      </x:c>
      <x:c r="U70" s="9" t="str">
        <x:f>IF(C70="","",IF(OR(INDEX('Borrowers'!$AA$9:$AA$108,MATCH(C70,'Borrowers'!$C$9:$C$108,0))&lt;&gt;"Ready",COUNTIF(Sites!$D$9:$D$108,C70)=0,COUNTIFS(Sites!$D$9:$D$108,C70,Sites!$Q$9:$Q$108,"&lt;&gt;Ready")&gt;0,'Scenario Paths'!$F$6&lt;&gt;"Ready"),"Review source inputs","Ready"))</x:f>
      </x:c>
      <x:c r="V70" s="17" t="str">
        <x:f>IF(C70="","",IFERROR(MAX(-1,(G70-O70)/MAX(0.000001,G70)),"Unavailable"))</x:f>
      </x:c>
      <x:c r="W70" s="9" t="str">
        <x:f>IF(C70="","",IFERROR(INDEX('Borrowers'!$D$9:$D$108,MATCH(C70,'Borrowers'!$C$9:$C$108,0)),"Unavailable"))</x:f>
      </x:c>
    </x:row>
    <x:row r="71" ht="26" customHeight="1">
      <x:c r="A71" s="1"/>
      <x:c r="B71" s="1"/>
      <x:c r="C71" s="9" t="str">
        <x:f>IF(Borrowers!C71="","",Borrowers!C71)</x:f>
      </x:c>
      <x:c r="D71" s="3" t="n">
        <x:v>1</x:v>
      </x:c>
      <x:c r="E71" s="9" t="n">
        <x:f>Settings!$F$18+0</x:f>
        <x:v>2027</x:v>
      </x:c>
      <x:c r="F71" s="9" t="str">
        <x:f>IF(C71="","",INDEX('Borrowers'!$F$9:$F$108,MATCH(C71,'Borrowers'!$C$9:$C$108,0)))</x:f>
      </x:c>
      <x:c r="G71" s="23" t="str">
        <x:f>IF(C71="","",IFERROR(INDEX('Borrowers'!$J$9:$J$108,MATCH(C71,'Borrowers'!$C$9:$C$108,0))-INDEX('Borrowers'!$K$9:$K$108,MATCH(C71,'Borrowers'!$C$9:$C$108,0)),"Unavailable"))</x:f>
      </x:c>
      <x:c r="H71" s="23" t="str">
        <x:f>IF(C71="","",IFERROR(INDEX('Borrowers'!$I$9:$I$108,MATCH(C71,'Borrowers'!$C$9:$C$108,0))*INDEX('Borrowers'!$U$9:$U$108,MATCH(C71,'Borrowers'!$C$9:$C$108,0))*(IF(F71="Transport",'Scenario Paths'!F156,IF(F71="Technology",'Scenario Paths'!F150,IF(F71="Utilities",'Scenario Paths'!F144,IF(F71="Agriculture",'Scenario Paths'!F138,IF(F71="Manufacturing",'Scenario Paths'!F132,IF(F71="Healthcare",'Scenario Paths'!F126,IF(F71="Hospitality",'Scenario Paths'!F120,IF(F71="Property",'Scenario Paths'!F114,IF(F71="Food",'Scenario Paths'!F108,IF(F71="Logistics",'Scenario Paths'!F102,IF(F71="Solar",'Scenario Paths'!F96,IF(F71="Cement",'Scenario Paths'!F90,0))))))))))))),"Unavailable"))</x:f>
      </x:c>
      <x:c r="I71" s="23" t="str">
        <x:f>IF(C71="","",IFERROR(INDEX('Borrowers'!$R$9:$R$108,MATCH(C71,'Borrowers'!$C$9:$C$108,0))*(1-INDEX('Borrowers'!$W$9:$W$108,MATCH(C71,'Borrowers'!$C$9:$C$108,0))*'Scenario Paths'!F39)*'Scenario Paths'!F9/1000000*(1-INDEX('Borrowers'!$T$9:$T$108,MATCH(C71,'Borrowers'!$C$9:$C$108,0))),"Unavailable"))</x:f>
      </x:c>
      <x:c r="J71" s="23" t="str">
        <x:f>IF(C71="","",IFERROR(INDEX('Borrowers'!$I$9:$I$108,MATCH(C71,'Borrowers'!$C$9:$C$108,0))*INDEX('Borrowers'!$S$9:$S$108,MATCH(C71,'Borrowers'!$C$9:$C$108,0))*'Scenario Paths'!F15*(1-INDEX('Borrowers'!$T$9:$T$108,MATCH(C71,'Borrowers'!$C$9:$C$108,0))),"Unavailable"))</x:f>
      </x:c>
      <x:c r="K71" s="23" t="str">
        <x:f>IF(C71="","",IFERROR(INDEX('Borrowers'!$I$9:$I$108,MATCH(C71,'Borrowers'!$C$9:$C$108,0))*INDEX('Borrowers'!$U$9:$U$108,MATCH(C71,'Borrowers'!$C$9:$C$108,0))*'Scenario Paths'!F21*S71,"Unavailable"))</x:f>
      </x:c>
      <x:c r="L71" s="23" t="str">
        <x:f>IF(C71="","",IFERROR(SUMPRODUCT((Sites!$D$9:$D$108=C71)*Sites!$H$9:$H$108*Sites!$J$9:$J$108*Sites!$K$9:$K$108*(1-Sites!$L$9:$L$108)*(1-Sites!$M$9:$M$108))*'Scenario Paths'!F27,"Unavailable"))</x:f>
      </x:c>
      <x:c r="M71" s="23" t="str">
        <x:f>IF(C71="","",IFERROR(INDEX('Borrowers'!$J$9:$J$108,MATCH(C71,'Borrowers'!$C$9:$C$108,0))+H71-SUM(I71:L71),"Unavailable"))</x:f>
      </x:c>
      <x:c r="N71" s="23" t="str">
        <x:f>IF(C71="","",IFERROR(INDEX('Borrowers'!$I$9:$I$108,MATCH(C71,'Borrowers'!$C$9:$C$108,0))*'Scenario Paths'!F33,"Unavailable"))</x:f>
      </x:c>
      <x:c r="O71" s="23" t="str">
        <x:f>IF(C71="","",IFERROR(M71-INDEX('Borrowers'!$K$9:$K$108,MATCH(C71,'Borrowers'!$C$9:$C$108,0))-N71,"Unavailable"))</x:f>
      </x:c>
      <x:c r="P71" s="127" t="str">
        <x:f>IF(C71="","",IFERROR(O71/INDEX('Borrowers'!$L$9:$L$108,MATCH(C71,'Borrowers'!$C$9:$C$108,0)),"Unavailable"))</x:f>
      </x:c>
      <x:c r="Q71" s="30" t="str">
        <x:f>IF(C71="","",IFERROR(IF(INDEX('Borrowers'!$Z$9:$Z$108,MATCH(C71,'Borrowers'!$C$9:$C$108,0))="Yes",1,IF(INDEX('Borrowers'!$P$9:$P$108,MATCH(C71,'Borrowers'!$C$9:$C$108,0))=0,0,MIN(1,INDEX('Borrowers'!$P$9:$P$108,MATCH(C71,'Borrowers'!$C$9:$C$108,0))*EXP(MIN(20,INDEX('Borrowers'!$V$9:$V$108,MATCH(C71,'Borrowers'!$C$9:$C$108,0))*V71))))),"Unavailable"))</x:f>
      </x:c>
      <x:c r="R71" s="30" t="str">
        <x:f>IF(C71="","",IFERROR(MIN(1,INDEX('Borrowers'!$Q$9:$Q$108,MATCH(C71,'Borrowers'!$C$9:$C$108,0))+(1-INDEX('Borrowers'!$Q$9:$Q$108,MATCH(C71,'Borrowers'!$C$9:$C$108,0)))*T71),"Unavailable"))</x:f>
      </x:c>
      <x:c r="S71" s="30" t="str">
        <x:f>IF(C71="","",IFERROR(SUMPRODUCT((Sites!$D$9:$D$108=C71)*Sites!$I$9:$I$108*Sites!$J$9:$J$108*Sites!$K$9:$K$108*(1-Sites!$L$9:$L$108)),"Unavailable"))</x:f>
      </x:c>
      <x:c r="T71" s="30" t="str">
        <x:f>IF(C71="","",IFERROR(MIN(1,(SUMPRODUCT((Sites!$D$9:$D$108=C71)*Sites!$N$9:$N$108*Sites!$J$9:$J$108*Sites!$K$9:$K$108*(1-Sites!$L$9:$L$108)))*'Scenario Paths'!F27),"Unavailable"))</x:f>
      </x:c>
      <x:c r="U71" s="9" t="str">
        <x:f>IF(C71="","",IF(OR(INDEX('Borrowers'!$AA$9:$AA$108,MATCH(C71,'Borrowers'!$C$9:$C$108,0))&lt;&gt;"Ready",COUNTIF(Sites!$D$9:$D$108,C71)=0,COUNTIFS(Sites!$D$9:$D$108,C71,Sites!$Q$9:$Q$108,"&lt;&gt;Ready")&gt;0,'Scenario Paths'!$F$6&lt;&gt;"Ready"),"Review source inputs","Ready"))</x:f>
      </x:c>
      <x:c r="V71" s="17" t="str">
        <x:f>IF(C71="","",IFERROR(MAX(-1,(G71-O71)/MAX(0.000001,G71)),"Unavailable"))</x:f>
      </x:c>
      <x:c r="W71" s="9" t="str">
        <x:f>IF(C71="","",IFERROR(INDEX('Borrowers'!$D$9:$D$108,MATCH(C71,'Borrowers'!$C$9:$C$108,0)),"Unavailable"))</x:f>
      </x:c>
    </x:row>
    <x:row r="72" ht="26" customHeight="1">
      <x:c r="A72" s="1"/>
      <x:c r="B72" s="1"/>
      <x:c r="C72" s="9" t="str">
        <x:f>IF(Borrowers!C72="","",Borrowers!C72)</x:f>
      </x:c>
      <x:c r="D72" s="3" t="n">
        <x:v>1</x:v>
      </x:c>
      <x:c r="E72" s="9" t="n">
        <x:f>Settings!$F$18+0</x:f>
        <x:v>2027</x:v>
      </x:c>
      <x:c r="F72" s="9" t="str">
        <x:f>IF(C72="","",INDEX('Borrowers'!$F$9:$F$108,MATCH(C72,'Borrowers'!$C$9:$C$108,0)))</x:f>
      </x:c>
      <x:c r="G72" s="23" t="str">
        <x:f>IF(C72="","",IFERROR(INDEX('Borrowers'!$J$9:$J$108,MATCH(C72,'Borrowers'!$C$9:$C$108,0))-INDEX('Borrowers'!$K$9:$K$108,MATCH(C72,'Borrowers'!$C$9:$C$108,0)),"Unavailable"))</x:f>
      </x:c>
      <x:c r="H72" s="23" t="str">
        <x:f>IF(C72="","",IFERROR(INDEX('Borrowers'!$I$9:$I$108,MATCH(C72,'Borrowers'!$C$9:$C$108,0))*INDEX('Borrowers'!$U$9:$U$108,MATCH(C72,'Borrowers'!$C$9:$C$108,0))*(IF(F72="Transport",'Scenario Paths'!F156,IF(F72="Technology",'Scenario Paths'!F150,IF(F72="Utilities",'Scenario Paths'!F144,IF(F72="Agriculture",'Scenario Paths'!F138,IF(F72="Manufacturing",'Scenario Paths'!F132,IF(F72="Healthcare",'Scenario Paths'!F126,IF(F72="Hospitality",'Scenario Paths'!F120,IF(F72="Property",'Scenario Paths'!F114,IF(F72="Food",'Scenario Paths'!F108,IF(F72="Logistics",'Scenario Paths'!F102,IF(F72="Solar",'Scenario Paths'!F96,IF(F72="Cement",'Scenario Paths'!F90,0))))))))))))),"Unavailable"))</x:f>
      </x:c>
      <x:c r="I72" s="23" t="str">
        <x:f>IF(C72="","",IFERROR(INDEX('Borrowers'!$R$9:$R$108,MATCH(C72,'Borrowers'!$C$9:$C$108,0))*(1-INDEX('Borrowers'!$W$9:$W$108,MATCH(C72,'Borrowers'!$C$9:$C$108,0))*'Scenario Paths'!F39)*'Scenario Paths'!F9/1000000*(1-INDEX('Borrowers'!$T$9:$T$108,MATCH(C72,'Borrowers'!$C$9:$C$108,0))),"Unavailable"))</x:f>
      </x:c>
      <x:c r="J72" s="23" t="str">
        <x:f>IF(C72="","",IFERROR(INDEX('Borrowers'!$I$9:$I$108,MATCH(C72,'Borrowers'!$C$9:$C$108,0))*INDEX('Borrowers'!$S$9:$S$108,MATCH(C72,'Borrowers'!$C$9:$C$108,0))*'Scenario Paths'!F15*(1-INDEX('Borrowers'!$T$9:$T$108,MATCH(C72,'Borrowers'!$C$9:$C$108,0))),"Unavailable"))</x:f>
      </x:c>
      <x:c r="K72" s="23" t="str">
        <x:f>IF(C72="","",IFERROR(INDEX('Borrowers'!$I$9:$I$108,MATCH(C72,'Borrowers'!$C$9:$C$108,0))*INDEX('Borrowers'!$U$9:$U$108,MATCH(C72,'Borrowers'!$C$9:$C$108,0))*'Scenario Paths'!F21*S72,"Unavailable"))</x:f>
      </x:c>
      <x:c r="L72" s="23" t="str">
        <x:f>IF(C72="","",IFERROR(SUMPRODUCT((Sites!$D$9:$D$108=C72)*Sites!$H$9:$H$108*Sites!$J$9:$J$108*Sites!$K$9:$K$108*(1-Sites!$L$9:$L$108)*(1-Sites!$M$9:$M$108))*'Scenario Paths'!F27,"Unavailable"))</x:f>
      </x:c>
      <x:c r="M72" s="23" t="str">
        <x:f>IF(C72="","",IFERROR(INDEX('Borrowers'!$J$9:$J$108,MATCH(C72,'Borrowers'!$C$9:$C$108,0))+H72-SUM(I72:L72),"Unavailable"))</x:f>
      </x:c>
      <x:c r="N72" s="23" t="str">
        <x:f>IF(C72="","",IFERROR(INDEX('Borrowers'!$I$9:$I$108,MATCH(C72,'Borrowers'!$C$9:$C$108,0))*'Scenario Paths'!F33,"Unavailable"))</x:f>
      </x:c>
      <x:c r="O72" s="23" t="str">
        <x:f>IF(C72="","",IFERROR(M72-INDEX('Borrowers'!$K$9:$K$108,MATCH(C72,'Borrowers'!$C$9:$C$108,0))-N72,"Unavailable"))</x:f>
      </x:c>
      <x:c r="P72" s="127" t="str">
        <x:f>IF(C72="","",IFERROR(O72/INDEX('Borrowers'!$L$9:$L$108,MATCH(C72,'Borrowers'!$C$9:$C$108,0)),"Unavailable"))</x:f>
      </x:c>
      <x:c r="Q72" s="30" t="str">
        <x:f>IF(C72="","",IFERROR(IF(INDEX('Borrowers'!$Z$9:$Z$108,MATCH(C72,'Borrowers'!$C$9:$C$108,0))="Yes",1,IF(INDEX('Borrowers'!$P$9:$P$108,MATCH(C72,'Borrowers'!$C$9:$C$108,0))=0,0,MIN(1,INDEX('Borrowers'!$P$9:$P$108,MATCH(C72,'Borrowers'!$C$9:$C$108,0))*EXP(MIN(20,INDEX('Borrowers'!$V$9:$V$108,MATCH(C72,'Borrowers'!$C$9:$C$108,0))*V72))))),"Unavailable"))</x:f>
      </x:c>
      <x:c r="R72" s="30" t="str">
        <x:f>IF(C72="","",IFERROR(MIN(1,INDEX('Borrowers'!$Q$9:$Q$108,MATCH(C72,'Borrowers'!$C$9:$C$108,0))+(1-INDEX('Borrowers'!$Q$9:$Q$108,MATCH(C72,'Borrowers'!$C$9:$C$108,0)))*T72),"Unavailable"))</x:f>
      </x:c>
      <x:c r="S72" s="30" t="str">
        <x:f>IF(C72="","",IFERROR(SUMPRODUCT((Sites!$D$9:$D$108=C72)*Sites!$I$9:$I$108*Sites!$J$9:$J$108*Sites!$K$9:$K$108*(1-Sites!$L$9:$L$108)),"Unavailable"))</x:f>
      </x:c>
      <x:c r="T72" s="30" t="str">
        <x:f>IF(C72="","",IFERROR(MIN(1,(SUMPRODUCT((Sites!$D$9:$D$108=C72)*Sites!$N$9:$N$108*Sites!$J$9:$J$108*Sites!$K$9:$K$108*(1-Sites!$L$9:$L$108)))*'Scenario Paths'!F27),"Unavailable"))</x:f>
      </x:c>
      <x:c r="U72" s="9" t="str">
        <x:f>IF(C72="","",IF(OR(INDEX('Borrowers'!$AA$9:$AA$108,MATCH(C72,'Borrowers'!$C$9:$C$108,0))&lt;&gt;"Ready",COUNTIF(Sites!$D$9:$D$108,C72)=0,COUNTIFS(Sites!$D$9:$D$108,C72,Sites!$Q$9:$Q$108,"&lt;&gt;Ready")&gt;0,'Scenario Paths'!$F$6&lt;&gt;"Ready"),"Review source inputs","Ready"))</x:f>
      </x:c>
      <x:c r="V72" s="17" t="str">
        <x:f>IF(C72="","",IFERROR(MAX(-1,(G72-O72)/MAX(0.000001,G72)),"Unavailable"))</x:f>
      </x:c>
      <x:c r="W72" s="9" t="str">
        <x:f>IF(C72="","",IFERROR(INDEX('Borrowers'!$D$9:$D$108,MATCH(C72,'Borrowers'!$C$9:$C$108,0)),"Unavailable"))</x:f>
      </x:c>
    </x:row>
    <x:row r="73" ht="26" customHeight="1">
      <x:c r="A73" s="1"/>
      <x:c r="B73" s="1"/>
      <x:c r="C73" s="9" t="str">
        <x:f>IF(Borrowers!C73="","",Borrowers!C73)</x:f>
      </x:c>
      <x:c r="D73" s="3" t="n">
        <x:v>1</x:v>
      </x:c>
      <x:c r="E73" s="9" t="n">
        <x:f>Settings!$F$18+0</x:f>
        <x:v>2027</x:v>
      </x:c>
      <x:c r="F73" s="9" t="str">
        <x:f>IF(C73="","",INDEX('Borrowers'!$F$9:$F$108,MATCH(C73,'Borrowers'!$C$9:$C$108,0)))</x:f>
      </x:c>
      <x:c r="G73" s="23" t="str">
        <x:f>IF(C73="","",IFERROR(INDEX('Borrowers'!$J$9:$J$108,MATCH(C73,'Borrowers'!$C$9:$C$108,0))-INDEX('Borrowers'!$K$9:$K$108,MATCH(C73,'Borrowers'!$C$9:$C$108,0)),"Unavailable"))</x:f>
      </x:c>
      <x:c r="H73" s="23" t="str">
        <x:f>IF(C73="","",IFERROR(INDEX('Borrowers'!$I$9:$I$108,MATCH(C73,'Borrowers'!$C$9:$C$108,0))*INDEX('Borrowers'!$U$9:$U$108,MATCH(C73,'Borrowers'!$C$9:$C$108,0))*(IF(F73="Transport",'Scenario Paths'!F156,IF(F73="Technology",'Scenario Paths'!F150,IF(F73="Utilities",'Scenario Paths'!F144,IF(F73="Agriculture",'Scenario Paths'!F138,IF(F73="Manufacturing",'Scenario Paths'!F132,IF(F73="Healthcare",'Scenario Paths'!F126,IF(F73="Hospitality",'Scenario Paths'!F120,IF(F73="Property",'Scenario Paths'!F114,IF(F73="Food",'Scenario Paths'!F108,IF(F73="Logistics",'Scenario Paths'!F102,IF(F73="Solar",'Scenario Paths'!F96,IF(F73="Cement",'Scenario Paths'!F90,0))))))))))))),"Unavailable"))</x:f>
      </x:c>
      <x:c r="I73" s="23" t="str">
        <x:f>IF(C73="","",IFERROR(INDEX('Borrowers'!$R$9:$R$108,MATCH(C73,'Borrowers'!$C$9:$C$108,0))*(1-INDEX('Borrowers'!$W$9:$W$108,MATCH(C73,'Borrowers'!$C$9:$C$108,0))*'Scenario Paths'!F39)*'Scenario Paths'!F9/1000000*(1-INDEX('Borrowers'!$T$9:$T$108,MATCH(C73,'Borrowers'!$C$9:$C$108,0))),"Unavailable"))</x:f>
      </x:c>
      <x:c r="J73" s="23" t="str">
        <x:f>IF(C73="","",IFERROR(INDEX('Borrowers'!$I$9:$I$108,MATCH(C73,'Borrowers'!$C$9:$C$108,0))*INDEX('Borrowers'!$S$9:$S$108,MATCH(C73,'Borrowers'!$C$9:$C$108,0))*'Scenario Paths'!F15*(1-INDEX('Borrowers'!$T$9:$T$108,MATCH(C73,'Borrowers'!$C$9:$C$108,0))),"Unavailable"))</x:f>
      </x:c>
      <x:c r="K73" s="23" t="str">
        <x:f>IF(C73="","",IFERROR(INDEX('Borrowers'!$I$9:$I$108,MATCH(C73,'Borrowers'!$C$9:$C$108,0))*INDEX('Borrowers'!$U$9:$U$108,MATCH(C73,'Borrowers'!$C$9:$C$108,0))*'Scenario Paths'!F21*S73,"Unavailable"))</x:f>
      </x:c>
      <x:c r="L73" s="23" t="str">
        <x:f>IF(C73="","",IFERROR(SUMPRODUCT((Sites!$D$9:$D$108=C73)*Sites!$H$9:$H$108*Sites!$J$9:$J$108*Sites!$K$9:$K$108*(1-Sites!$L$9:$L$108)*(1-Sites!$M$9:$M$108))*'Scenario Paths'!F27,"Unavailable"))</x:f>
      </x:c>
      <x:c r="M73" s="23" t="str">
        <x:f>IF(C73="","",IFERROR(INDEX('Borrowers'!$J$9:$J$108,MATCH(C73,'Borrowers'!$C$9:$C$108,0))+H73-SUM(I73:L73),"Unavailable"))</x:f>
      </x:c>
      <x:c r="N73" s="23" t="str">
        <x:f>IF(C73="","",IFERROR(INDEX('Borrowers'!$I$9:$I$108,MATCH(C73,'Borrowers'!$C$9:$C$108,0))*'Scenario Paths'!F33,"Unavailable"))</x:f>
      </x:c>
      <x:c r="O73" s="23" t="str">
        <x:f>IF(C73="","",IFERROR(M73-INDEX('Borrowers'!$K$9:$K$108,MATCH(C73,'Borrowers'!$C$9:$C$108,0))-N73,"Unavailable"))</x:f>
      </x:c>
      <x:c r="P73" s="127" t="str">
        <x:f>IF(C73="","",IFERROR(O73/INDEX('Borrowers'!$L$9:$L$108,MATCH(C73,'Borrowers'!$C$9:$C$108,0)),"Unavailable"))</x:f>
      </x:c>
      <x:c r="Q73" s="30" t="str">
        <x:f>IF(C73="","",IFERROR(IF(INDEX('Borrowers'!$Z$9:$Z$108,MATCH(C73,'Borrowers'!$C$9:$C$108,0))="Yes",1,IF(INDEX('Borrowers'!$P$9:$P$108,MATCH(C73,'Borrowers'!$C$9:$C$108,0))=0,0,MIN(1,INDEX('Borrowers'!$P$9:$P$108,MATCH(C73,'Borrowers'!$C$9:$C$108,0))*EXP(MIN(20,INDEX('Borrowers'!$V$9:$V$108,MATCH(C73,'Borrowers'!$C$9:$C$108,0))*V73))))),"Unavailable"))</x:f>
      </x:c>
      <x:c r="R73" s="30" t="str">
        <x:f>IF(C73="","",IFERROR(MIN(1,INDEX('Borrowers'!$Q$9:$Q$108,MATCH(C73,'Borrowers'!$C$9:$C$108,0))+(1-INDEX('Borrowers'!$Q$9:$Q$108,MATCH(C73,'Borrowers'!$C$9:$C$108,0)))*T73),"Unavailable"))</x:f>
      </x:c>
      <x:c r="S73" s="30" t="str">
        <x:f>IF(C73="","",IFERROR(SUMPRODUCT((Sites!$D$9:$D$108=C73)*Sites!$I$9:$I$108*Sites!$J$9:$J$108*Sites!$K$9:$K$108*(1-Sites!$L$9:$L$108)),"Unavailable"))</x:f>
      </x:c>
      <x:c r="T73" s="30" t="str">
        <x:f>IF(C73="","",IFERROR(MIN(1,(SUMPRODUCT((Sites!$D$9:$D$108=C73)*Sites!$N$9:$N$108*Sites!$J$9:$J$108*Sites!$K$9:$K$108*(1-Sites!$L$9:$L$108)))*'Scenario Paths'!F27),"Unavailable"))</x:f>
      </x:c>
      <x:c r="U73" s="9" t="str">
        <x:f>IF(C73="","",IF(OR(INDEX('Borrowers'!$AA$9:$AA$108,MATCH(C73,'Borrowers'!$C$9:$C$108,0))&lt;&gt;"Ready",COUNTIF(Sites!$D$9:$D$108,C73)=0,COUNTIFS(Sites!$D$9:$D$108,C73,Sites!$Q$9:$Q$108,"&lt;&gt;Ready")&gt;0,'Scenario Paths'!$F$6&lt;&gt;"Ready"),"Review source inputs","Ready"))</x:f>
      </x:c>
      <x:c r="V73" s="17" t="str">
        <x:f>IF(C73="","",IFERROR(MAX(-1,(G73-O73)/MAX(0.000001,G73)),"Unavailable"))</x:f>
      </x:c>
      <x:c r="W73" s="9" t="str">
        <x:f>IF(C73="","",IFERROR(INDEX('Borrowers'!$D$9:$D$108,MATCH(C73,'Borrowers'!$C$9:$C$108,0)),"Unavailable"))</x:f>
      </x:c>
    </x:row>
    <x:row r="74" ht="26" customHeight="1">
      <x:c r="A74" s="1"/>
      <x:c r="B74" s="1"/>
      <x:c r="C74" s="9" t="str">
        <x:f>IF(Borrowers!C74="","",Borrowers!C74)</x:f>
      </x:c>
      <x:c r="D74" s="3" t="n">
        <x:v>1</x:v>
      </x:c>
      <x:c r="E74" s="9" t="n">
        <x:f>Settings!$F$18+0</x:f>
        <x:v>2027</x:v>
      </x:c>
      <x:c r="F74" s="9" t="str">
        <x:f>IF(C74="","",INDEX('Borrowers'!$F$9:$F$108,MATCH(C74,'Borrowers'!$C$9:$C$108,0)))</x:f>
      </x:c>
      <x:c r="G74" s="23" t="str">
        <x:f>IF(C74="","",IFERROR(INDEX('Borrowers'!$J$9:$J$108,MATCH(C74,'Borrowers'!$C$9:$C$108,0))-INDEX('Borrowers'!$K$9:$K$108,MATCH(C74,'Borrowers'!$C$9:$C$108,0)),"Unavailable"))</x:f>
      </x:c>
      <x:c r="H74" s="23" t="str">
        <x:f>IF(C74="","",IFERROR(INDEX('Borrowers'!$I$9:$I$108,MATCH(C74,'Borrowers'!$C$9:$C$108,0))*INDEX('Borrowers'!$U$9:$U$108,MATCH(C74,'Borrowers'!$C$9:$C$108,0))*(IF(F74="Transport",'Scenario Paths'!F156,IF(F74="Technology",'Scenario Paths'!F150,IF(F74="Utilities",'Scenario Paths'!F144,IF(F74="Agriculture",'Scenario Paths'!F138,IF(F74="Manufacturing",'Scenario Paths'!F132,IF(F74="Healthcare",'Scenario Paths'!F126,IF(F74="Hospitality",'Scenario Paths'!F120,IF(F74="Property",'Scenario Paths'!F114,IF(F74="Food",'Scenario Paths'!F108,IF(F74="Logistics",'Scenario Paths'!F102,IF(F74="Solar",'Scenario Paths'!F96,IF(F74="Cement",'Scenario Paths'!F90,0))))))))))))),"Unavailable"))</x:f>
      </x:c>
      <x:c r="I74" s="23" t="str">
        <x:f>IF(C74="","",IFERROR(INDEX('Borrowers'!$R$9:$R$108,MATCH(C74,'Borrowers'!$C$9:$C$108,0))*(1-INDEX('Borrowers'!$W$9:$W$108,MATCH(C74,'Borrowers'!$C$9:$C$108,0))*'Scenario Paths'!F39)*'Scenario Paths'!F9/1000000*(1-INDEX('Borrowers'!$T$9:$T$108,MATCH(C74,'Borrowers'!$C$9:$C$108,0))),"Unavailable"))</x:f>
      </x:c>
      <x:c r="J74" s="23" t="str">
        <x:f>IF(C74="","",IFERROR(INDEX('Borrowers'!$I$9:$I$108,MATCH(C74,'Borrowers'!$C$9:$C$108,0))*INDEX('Borrowers'!$S$9:$S$108,MATCH(C74,'Borrowers'!$C$9:$C$108,0))*'Scenario Paths'!F15*(1-INDEX('Borrowers'!$T$9:$T$108,MATCH(C74,'Borrowers'!$C$9:$C$108,0))),"Unavailable"))</x:f>
      </x:c>
      <x:c r="K74" s="23" t="str">
        <x:f>IF(C74="","",IFERROR(INDEX('Borrowers'!$I$9:$I$108,MATCH(C74,'Borrowers'!$C$9:$C$108,0))*INDEX('Borrowers'!$U$9:$U$108,MATCH(C74,'Borrowers'!$C$9:$C$108,0))*'Scenario Paths'!F21*S74,"Unavailable"))</x:f>
      </x:c>
      <x:c r="L74" s="23" t="str">
        <x:f>IF(C74="","",IFERROR(SUMPRODUCT((Sites!$D$9:$D$108=C74)*Sites!$H$9:$H$108*Sites!$J$9:$J$108*Sites!$K$9:$K$108*(1-Sites!$L$9:$L$108)*(1-Sites!$M$9:$M$108))*'Scenario Paths'!F27,"Unavailable"))</x:f>
      </x:c>
      <x:c r="M74" s="23" t="str">
        <x:f>IF(C74="","",IFERROR(INDEX('Borrowers'!$J$9:$J$108,MATCH(C74,'Borrowers'!$C$9:$C$108,0))+H74-SUM(I74:L74),"Unavailable"))</x:f>
      </x:c>
      <x:c r="N74" s="23" t="str">
        <x:f>IF(C74="","",IFERROR(INDEX('Borrowers'!$I$9:$I$108,MATCH(C74,'Borrowers'!$C$9:$C$108,0))*'Scenario Paths'!F33,"Unavailable"))</x:f>
      </x:c>
      <x:c r="O74" s="23" t="str">
        <x:f>IF(C74="","",IFERROR(M74-INDEX('Borrowers'!$K$9:$K$108,MATCH(C74,'Borrowers'!$C$9:$C$108,0))-N74,"Unavailable"))</x:f>
      </x:c>
      <x:c r="P74" s="127" t="str">
        <x:f>IF(C74="","",IFERROR(O74/INDEX('Borrowers'!$L$9:$L$108,MATCH(C74,'Borrowers'!$C$9:$C$108,0)),"Unavailable"))</x:f>
      </x:c>
      <x:c r="Q74" s="30" t="str">
        <x:f>IF(C74="","",IFERROR(IF(INDEX('Borrowers'!$Z$9:$Z$108,MATCH(C74,'Borrowers'!$C$9:$C$108,0))="Yes",1,IF(INDEX('Borrowers'!$P$9:$P$108,MATCH(C74,'Borrowers'!$C$9:$C$108,0))=0,0,MIN(1,INDEX('Borrowers'!$P$9:$P$108,MATCH(C74,'Borrowers'!$C$9:$C$108,0))*EXP(MIN(20,INDEX('Borrowers'!$V$9:$V$108,MATCH(C74,'Borrowers'!$C$9:$C$108,0))*V74))))),"Unavailable"))</x:f>
      </x:c>
      <x:c r="R74" s="30" t="str">
        <x:f>IF(C74="","",IFERROR(MIN(1,INDEX('Borrowers'!$Q$9:$Q$108,MATCH(C74,'Borrowers'!$C$9:$C$108,0))+(1-INDEX('Borrowers'!$Q$9:$Q$108,MATCH(C74,'Borrowers'!$C$9:$C$108,0)))*T74),"Unavailable"))</x:f>
      </x:c>
      <x:c r="S74" s="30" t="str">
        <x:f>IF(C74="","",IFERROR(SUMPRODUCT((Sites!$D$9:$D$108=C74)*Sites!$I$9:$I$108*Sites!$J$9:$J$108*Sites!$K$9:$K$108*(1-Sites!$L$9:$L$108)),"Unavailable"))</x:f>
      </x:c>
      <x:c r="T74" s="30" t="str">
        <x:f>IF(C74="","",IFERROR(MIN(1,(SUMPRODUCT((Sites!$D$9:$D$108=C74)*Sites!$N$9:$N$108*Sites!$J$9:$J$108*Sites!$K$9:$K$108*(1-Sites!$L$9:$L$108)))*'Scenario Paths'!F27),"Unavailable"))</x:f>
      </x:c>
      <x:c r="U74" s="9" t="str">
        <x:f>IF(C74="","",IF(OR(INDEX('Borrowers'!$AA$9:$AA$108,MATCH(C74,'Borrowers'!$C$9:$C$108,0))&lt;&gt;"Ready",COUNTIF(Sites!$D$9:$D$108,C74)=0,COUNTIFS(Sites!$D$9:$D$108,C74,Sites!$Q$9:$Q$108,"&lt;&gt;Ready")&gt;0,'Scenario Paths'!$F$6&lt;&gt;"Ready"),"Review source inputs","Ready"))</x:f>
      </x:c>
      <x:c r="V74" s="17" t="str">
        <x:f>IF(C74="","",IFERROR(MAX(-1,(G74-O74)/MAX(0.000001,G74)),"Unavailable"))</x:f>
      </x:c>
      <x:c r="W74" s="9" t="str">
        <x:f>IF(C74="","",IFERROR(INDEX('Borrowers'!$D$9:$D$108,MATCH(C74,'Borrowers'!$C$9:$C$108,0)),"Unavailable"))</x:f>
      </x:c>
    </x:row>
    <x:row r="75" ht="26" customHeight="1">
      <x:c r="A75" s="1"/>
      <x:c r="B75" s="1"/>
      <x:c r="C75" s="9" t="str">
        <x:f>IF(Borrowers!C75="","",Borrowers!C75)</x:f>
      </x:c>
      <x:c r="D75" s="3" t="n">
        <x:v>1</x:v>
      </x:c>
      <x:c r="E75" s="9" t="n">
        <x:f>Settings!$F$18+0</x:f>
        <x:v>2027</x:v>
      </x:c>
      <x:c r="F75" s="9" t="str">
        <x:f>IF(C75="","",INDEX('Borrowers'!$F$9:$F$108,MATCH(C75,'Borrowers'!$C$9:$C$108,0)))</x:f>
      </x:c>
      <x:c r="G75" s="23" t="str">
        <x:f>IF(C75="","",IFERROR(INDEX('Borrowers'!$J$9:$J$108,MATCH(C75,'Borrowers'!$C$9:$C$108,0))-INDEX('Borrowers'!$K$9:$K$108,MATCH(C75,'Borrowers'!$C$9:$C$108,0)),"Unavailable"))</x:f>
      </x:c>
      <x:c r="H75" s="23" t="str">
        <x:f>IF(C75="","",IFERROR(INDEX('Borrowers'!$I$9:$I$108,MATCH(C75,'Borrowers'!$C$9:$C$108,0))*INDEX('Borrowers'!$U$9:$U$108,MATCH(C75,'Borrowers'!$C$9:$C$108,0))*(IF(F75="Transport",'Scenario Paths'!F156,IF(F75="Technology",'Scenario Paths'!F150,IF(F75="Utilities",'Scenario Paths'!F144,IF(F75="Agriculture",'Scenario Paths'!F138,IF(F75="Manufacturing",'Scenario Paths'!F132,IF(F75="Healthcare",'Scenario Paths'!F126,IF(F75="Hospitality",'Scenario Paths'!F120,IF(F75="Property",'Scenario Paths'!F114,IF(F75="Food",'Scenario Paths'!F108,IF(F75="Logistics",'Scenario Paths'!F102,IF(F75="Solar",'Scenario Paths'!F96,IF(F75="Cement",'Scenario Paths'!F90,0))))))))))))),"Unavailable"))</x:f>
      </x:c>
      <x:c r="I75" s="23" t="str">
        <x:f>IF(C75="","",IFERROR(INDEX('Borrowers'!$R$9:$R$108,MATCH(C75,'Borrowers'!$C$9:$C$108,0))*(1-INDEX('Borrowers'!$W$9:$W$108,MATCH(C75,'Borrowers'!$C$9:$C$108,0))*'Scenario Paths'!F39)*'Scenario Paths'!F9/1000000*(1-INDEX('Borrowers'!$T$9:$T$108,MATCH(C75,'Borrowers'!$C$9:$C$108,0))),"Unavailable"))</x:f>
      </x:c>
      <x:c r="J75" s="23" t="str">
        <x:f>IF(C75="","",IFERROR(INDEX('Borrowers'!$I$9:$I$108,MATCH(C75,'Borrowers'!$C$9:$C$108,0))*INDEX('Borrowers'!$S$9:$S$108,MATCH(C75,'Borrowers'!$C$9:$C$108,0))*'Scenario Paths'!F15*(1-INDEX('Borrowers'!$T$9:$T$108,MATCH(C75,'Borrowers'!$C$9:$C$108,0))),"Unavailable"))</x:f>
      </x:c>
      <x:c r="K75" s="23" t="str">
        <x:f>IF(C75="","",IFERROR(INDEX('Borrowers'!$I$9:$I$108,MATCH(C75,'Borrowers'!$C$9:$C$108,0))*INDEX('Borrowers'!$U$9:$U$108,MATCH(C75,'Borrowers'!$C$9:$C$108,0))*'Scenario Paths'!F21*S75,"Unavailable"))</x:f>
      </x:c>
      <x:c r="L75" s="23" t="str">
        <x:f>IF(C75="","",IFERROR(SUMPRODUCT((Sites!$D$9:$D$108=C75)*Sites!$H$9:$H$108*Sites!$J$9:$J$108*Sites!$K$9:$K$108*(1-Sites!$L$9:$L$108)*(1-Sites!$M$9:$M$108))*'Scenario Paths'!F27,"Unavailable"))</x:f>
      </x:c>
      <x:c r="M75" s="23" t="str">
        <x:f>IF(C75="","",IFERROR(INDEX('Borrowers'!$J$9:$J$108,MATCH(C75,'Borrowers'!$C$9:$C$108,0))+H75-SUM(I75:L75),"Unavailable"))</x:f>
      </x:c>
      <x:c r="N75" s="23" t="str">
        <x:f>IF(C75="","",IFERROR(INDEX('Borrowers'!$I$9:$I$108,MATCH(C75,'Borrowers'!$C$9:$C$108,0))*'Scenario Paths'!F33,"Unavailable"))</x:f>
      </x:c>
      <x:c r="O75" s="23" t="str">
        <x:f>IF(C75="","",IFERROR(M75-INDEX('Borrowers'!$K$9:$K$108,MATCH(C75,'Borrowers'!$C$9:$C$108,0))-N75,"Unavailable"))</x:f>
      </x:c>
      <x:c r="P75" s="127" t="str">
        <x:f>IF(C75="","",IFERROR(O75/INDEX('Borrowers'!$L$9:$L$108,MATCH(C75,'Borrowers'!$C$9:$C$108,0)),"Unavailable"))</x:f>
      </x:c>
      <x:c r="Q75" s="30" t="str">
        <x:f>IF(C75="","",IFERROR(IF(INDEX('Borrowers'!$Z$9:$Z$108,MATCH(C75,'Borrowers'!$C$9:$C$108,0))="Yes",1,IF(INDEX('Borrowers'!$P$9:$P$108,MATCH(C75,'Borrowers'!$C$9:$C$108,0))=0,0,MIN(1,INDEX('Borrowers'!$P$9:$P$108,MATCH(C75,'Borrowers'!$C$9:$C$108,0))*EXP(MIN(20,INDEX('Borrowers'!$V$9:$V$108,MATCH(C75,'Borrowers'!$C$9:$C$108,0))*V75))))),"Unavailable"))</x:f>
      </x:c>
      <x:c r="R75" s="30" t="str">
        <x:f>IF(C75="","",IFERROR(MIN(1,INDEX('Borrowers'!$Q$9:$Q$108,MATCH(C75,'Borrowers'!$C$9:$C$108,0))+(1-INDEX('Borrowers'!$Q$9:$Q$108,MATCH(C75,'Borrowers'!$C$9:$C$108,0)))*T75),"Unavailable"))</x:f>
      </x:c>
      <x:c r="S75" s="30" t="str">
        <x:f>IF(C75="","",IFERROR(SUMPRODUCT((Sites!$D$9:$D$108=C75)*Sites!$I$9:$I$108*Sites!$J$9:$J$108*Sites!$K$9:$K$108*(1-Sites!$L$9:$L$108)),"Unavailable"))</x:f>
      </x:c>
      <x:c r="T75" s="30" t="str">
        <x:f>IF(C75="","",IFERROR(MIN(1,(SUMPRODUCT((Sites!$D$9:$D$108=C75)*Sites!$N$9:$N$108*Sites!$J$9:$J$108*Sites!$K$9:$K$108*(1-Sites!$L$9:$L$108)))*'Scenario Paths'!F27),"Unavailable"))</x:f>
      </x:c>
      <x:c r="U75" s="9" t="str">
        <x:f>IF(C75="","",IF(OR(INDEX('Borrowers'!$AA$9:$AA$108,MATCH(C75,'Borrowers'!$C$9:$C$108,0))&lt;&gt;"Ready",COUNTIF(Sites!$D$9:$D$108,C75)=0,COUNTIFS(Sites!$D$9:$D$108,C75,Sites!$Q$9:$Q$108,"&lt;&gt;Ready")&gt;0,'Scenario Paths'!$F$6&lt;&gt;"Ready"),"Review source inputs","Ready"))</x:f>
      </x:c>
      <x:c r="V75" s="17" t="str">
        <x:f>IF(C75="","",IFERROR(MAX(-1,(G75-O75)/MAX(0.000001,G75)),"Unavailable"))</x:f>
      </x:c>
      <x:c r="W75" s="9" t="str">
        <x:f>IF(C75="","",IFERROR(INDEX('Borrowers'!$D$9:$D$108,MATCH(C75,'Borrowers'!$C$9:$C$108,0)),"Unavailable"))</x:f>
      </x:c>
    </x:row>
    <x:row r="76" ht="26" customHeight="1">
      <x:c r="A76" s="1"/>
      <x:c r="B76" s="1"/>
      <x:c r="C76" s="9" t="str">
        <x:f>IF(Borrowers!C76="","",Borrowers!C76)</x:f>
      </x:c>
      <x:c r="D76" s="3" t="n">
        <x:v>1</x:v>
      </x:c>
      <x:c r="E76" s="9" t="n">
        <x:f>Settings!$F$18+0</x:f>
        <x:v>2027</x:v>
      </x:c>
      <x:c r="F76" s="9" t="str">
        <x:f>IF(C76="","",INDEX('Borrowers'!$F$9:$F$108,MATCH(C76,'Borrowers'!$C$9:$C$108,0)))</x:f>
      </x:c>
      <x:c r="G76" s="23" t="str">
        <x:f>IF(C76="","",IFERROR(INDEX('Borrowers'!$J$9:$J$108,MATCH(C76,'Borrowers'!$C$9:$C$108,0))-INDEX('Borrowers'!$K$9:$K$108,MATCH(C76,'Borrowers'!$C$9:$C$108,0)),"Unavailable"))</x:f>
      </x:c>
      <x:c r="H76" s="23" t="str">
        <x:f>IF(C76="","",IFERROR(INDEX('Borrowers'!$I$9:$I$108,MATCH(C76,'Borrowers'!$C$9:$C$108,0))*INDEX('Borrowers'!$U$9:$U$108,MATCH(C76,'Borrowers'!$C$9:$C$108,0))*(IF(F76="Transport",'Scenario Paths'!F156,IF(F76="Technology",'Scenario Paths'!F150,IF(F76="Utilities",'Scenario Paths'!F144,IF(F76="Agriculture",'Scenario Paths'!F138,IF(F76="Manufacturing",'Scenario Paths'!F132,IF(F76="Healthcare",'Scenario Paths'!F126,IF(F76="Hospitality",'Scenario Paths'!F120,IF(F76="Property",'Scenario Paths'!F114,IF(F76="Food",'Scenario Paths'!F108,IF(F76="Logistics",'Scenario Paths'!F102,IF(F76="Solar",'Scenario Paths'!F96,IF(F76="Cement",'Scenario Paths'!F90,0))))))))))))),"Unavailable"))</x:f>
      </x:c>
      <x:c r="I76" s="23" t="str">
        <x:f>IF(C76="","",IFERROR(INDEX('Borrowers'!$R$9:$R$108,MATCH(C76,'Borrowers'!$C$9:$C$108,0))*(1-INDEX('Borrowers'!$W$9:$W$108,MATCH(C76,'Borrowers'!$C$9:$C$108,0))*'Scenario Paths'!F39)*'Scenario Paths'!F9/1000000*(1-INDEX('Borrowers'!$T$9:$T$108,MATCH(C76,'Borrowers'!$C$9:$C$108,0))),"Unavailable"))</x:f>
      </x:c>
      <x:c r="J76" s="23" t="str">
        <x:f>IF(C76="","",IFERROR(INDEX('Borrowers'!$I$9:$I$108,MATCH(C76,'Borrowers'!$C$9:$C$108,0))*INDEX('Borrowers'!$S$9:$S$108,MATCH(C76,'Borrowers'!$C$9:$C$108,0))*'Scenario Paths'!F15*(1-INDEX('Borrowers'!$T$9:$T$108,MATCH(C76,'Borrowers'!$C$9:$C$108,0))),"Unavailable"))</x:f>
      </x:c>
      <x:c r="K76" s="23" t="str">
        <x:f>IF(C76="","",IFERROR(INDEX('Borrowers'!$I$9:$I$108,MATCH(C76,'Borrowers'!$C$9:$C$108,0))*INDEX('Borrowers'!$U$9:$U$108,MATCH(C76,'Borrowers'!$C$9:$C$108,0))*'Scenario Paths'!F21*S76,"Unavailable"))</x:f>
      </x:c>
      <x:c r="L76" s="23" t="str">
        <x:f>IF(C76="","",IFERROR(SUMPRODUCT((Sites!$D$9:$D$108=C76)*Sites!$H$9:$H$108*Sites!$J$9:$J$108*Sites!$K$9:$K$108*(1-Sites!$L$9:$L$108)*(1-Sites!$M$9:$M$108))*'Scenario Paths'!F27,"Unavailable"))</x:f>
      </x:c>
      <x:c r="M76" s="23" t="str">
        <x:f>IF(C76="","",IFERROR(INDEX('Borrowers'!$J$9:$J$108,MATCH(C76,'Borrowers'!$C$9:$C$108,0))+H76-SUM(I76:L76),"Unavailable"))</x:f>
      </x:c>
      <x:c r="N76" s="23" t="str">
        <x:f>IF(C76="","",IFERROR(INDEX('Borrowers'!$I$9:$I$108,MATCH(C76,'Borrowers'!$C$9:$C$108,0))*'Scenario Paths'!F33,"Unavailable"))</x:f>
      </x:c>
      <x:c r="O76" s="23" t="str">
        <x:f>IF(C76="","",IFERROR(M76-INDEX('Borrowers'!$K$9:$K$108,MATCH(C76,'Borrowers'!$C$9:$C$108,0))-N76,"Unavailable"))</x:f>
      </x:c>
      <x:c r="P76" s="127" t="str">
        <x:f>IF(C76="","",IFERROR(O76/INDEX('Borrowers'!$L$9:$L$108,MATCH(C76,'Borrowers'!$C$9:$C$108,0)),"Unavailable"))</x:f>
      </x:c>
      <x:c r="Q76" s="30" t="str">
        <x:f>IF(C76="","",IFERROR(IF(INDEX('Borrowers'!$Z$9:$Z$108,MATCH(C76,'Borrowers'!$C$9:$C$108,0))="Yes",1,IF(INDEX('Borrowers'!$P$9:$P$108,MATCH(C76,'Borrowers'!$C$9:$C$108,0))=0,0,MIN(1,INDEX('Borrowers'!$P$9:$P$108,MATCH(C76,'Borrowers'!$C$9:$C$108,0))*EXP(MIN(20,INDEX('Borrowers'!$V$9:$V$108,MATCH(C76,'Borrowers'!$C$9:$C$108,0))*V76))))),"Unavailable"))</x:f>
      </x:c>
      <x:c r="R76" s="30" t="str">
        <x:f>IF(C76="","",IFERROR(MIN(1,INDEX('Borrowers'!$Q$9:$Q$108,MATCH(C76,'Borrowers'!$C$9:$C$108,0))+(1-INDEX('Borrowers'!$Q$9:$Q$108,MATCH(C76,'Borrowers'!$C$9:$C$108,0)))*T76),"Unavailable"))</x:f>
      </x:c>
      <x:c r="S76" s="30" t="str">
        <x:f>IF(C76="","",IFERROR(SUMPRODUCT((Sites!$D$9:$D$108=C76)*Sites!$I$9:$I$108*Sites!$J$9:$J$108*Sites!$K$9:$K$108*(1-Sites!$L$9:$L$108)),"Unavailable"))</x:f>
      </x:c>
      <x:c r="T76" s="30" t="str">
        <x:f>IF(C76="","",IFERROR(MIN(1,(SUMPRODUCT((Sites!$D$9:$D$108=C76)*Sites!$N$9:$N$108*Sites!$J$9:$J$108*Sites!$K$9:$K$108*(1-Sites!$L$9:$L$108)))*'Scenario Paths'!F27),"Unavailable"))</x:f>
      </x:c>
      <x:c r="U76" s="9" t="str">
        <x:f>IF(C76="","",IF(OR(INDEX('Borrowers'!$AA$9:$AA$108,MATCH(C76,'Borrowers'!$C$9:$C$108,0))&lt;&gt;"Ready",COUNTIF(Sites!$D$9:$D$108,C76)=0,COUNTIFS(Sites!$D$9:$D$108,C76,Sites!$Q$9:$Q$108,"&lt;&gt;Ready")&gt;0,'Scenario Paths'!$F$6&lt;&gt;"Ready"),"Review source inputs","Ready"))</x:f>
      </x:c>
      <x:c r="V76" s="17" t="str">
        <x:f>IF(C76="","",IFERROR(MAX(-1,(G76-O76)/MAX(0.000001,G76)),"Unavailable"))</x:f>
      </x:c>
      <x:c r="W76" s="9" t="str">
        <x:f>IF(C76="","",IFERROR(INDEX('Borrowers'!$D$9:$D$108,MATCH(C76,'Borrowers'!$C$9:$C$108,0)),"Unavailable"))</x:f>
      </x:c>
    </x:row>
    <x:row r="77" ht="26" customHeight="1">
      <x:c r="A77" s="1"/>
      <x:c r="B77" s="1"/>
      <x:c r="C77" s="9" t="str">
        <x:f>IF(Borrowers!C77="","",Borrowers!C77)</x:f>
      </x:c>
      <x:c r="D77" s="3" t="n">
        <x:v>1</x:v>
      </x:c>
      <x:c r="E77" s="9" t="n">
        <x:f>Settings!$F$18+0</x:f>
        <x:v>2027</x:v>
      </x:c>
      <x:c r="F77" s="9" t="str">
        <x:f>IF(C77="","",INDEX('Borrowers'!$F$9:$F$108,MATCH(C77,'Borrowers'!$C$9:$C$108,0)))</x:f>
      </x:c>
      <x:c r="G77" s="23" t="str">
        <x:f>IF(C77="","",IFERROR(INDEX('Borrowers'!$J$9:$J$108,MATCH(C77,'Borrowers'!$C$9:$C$108,0))-INDEX('Borrowers'!$K$9:$K$108,MATCH(C77,'Borrowers'!$C$9:$C$108,0)),"Unavailable"))</x:f>
      </x:c>
      <x:c r="H77" s="23" t="str">
        <x:f>IF(C77="","",IFERROR(INDEX('Borrowers'!$I$9:$I$108,MATCH(C77,'Borrowers'!$C$9:$C$108,0))*INDEX('Borrowers'!$U$9:$U$108,MATCH(C77,'Borrowers'!$C$9:$C$108,0))*(IF(F77="Transport",'Scenario Paths'!F156,IF(F77="Technology",'Scenario Paths'!F150,IF(F77="Utilities",'Scenario Paths'!F144,IF(F77="Agriculture",'Scenario Paths'!F138,IF(F77="Manufacturing",'Scenario Paths'!F132,IF(F77="Healthcare",'Scenario Paths'!F126,IF(F77="Hospitality",'Scenario Paths'!F120,IF(F77="Property",'Scenario Paths'!F114,IF(F77="Food",'Scenario Paths'!F108,IF(F77="Logistics",'Scenario Paths'!F102,IF(F77="Solar",'Scenario Paths'!F96,IF(F77="Cement",'Scenario Paths'!F90,0))))))))))))),"Unavailable"))</x:f>
      </x:c>
      <x:c r="I77" s="23" t="str">
        <x:f>IF(C77="","",IFERROR(INDEX('Borrowers'!$R$9:$R$108,MATCH(C77,'Borrowers'!$C$9:$C$108,0))*(1-INDEX('Borrowers'!$W$9:$W$108,MATCH(C77,'Borrowers'!$C$9:$C$108,0))*'Scenario Paths'!F39)*'Scenario Paths'!F9/1000000*(1-INDEX('Borrowers'!$T$9:$T$108,MATCH(C77,'Borrowers'!$C$9:$C$108,0))),"Unavailable"))</x:f>
      </x:c>
      <x:c r="J77" s="23" t="str">
        <x:f>IF(C77="","",IFERROR(INDEX('Borrowers'!$I$9:$I$108,MATCH(C77,'Borrowers'!$C$9:$C$108,0))*INDEX('Borrowers'!$S$9:$S$108,MATCH(C77,'Borrowers'!$C$9:$C$108,0))*'Scenario Paths'!F15*(1-INDEX('Borrowers'!$T$9:$T$108,MATCH(C77,'Borrowers'!$C$9:$C$108,0))),"Unavailable"))</x:f>
      </x:c>
      <x:c r="K77" s="23" t="str">
        <x:f>IF(C77="","",IFERROR(INDEX('Borrowers'!$I$9:$I$108,MATCH(C77,'Borrowers'!$C$9:$C$108,0))*INDEX('Borrowers'!$U$9:$U$108,MATCH(C77,'Borrowers'!$C$9:$C$108,0))*'Scenario Paths'!F21*S77,"Unavailable"))</x:f>
      </x:c>
      <x:c r="L77" s="23" t="str">
        <x:f>IF(C77="","",IFERROR(SUMPRODUCT((Sites!$D$9:$D$108=C77)*Sites!$H$9:$H$108*Sites!$J$9:$J$108*Sites!$K$9:$K$108*(1-Sites!$L$9:$L$108)*(1-Sites!$M$9:$M$108))*'Scenario Paths'!F27,"Unavailable"))</x:f>
      </x:c>
      <x:c r="M77" s="23" t="str">
        <x:f>IF(C77="","",IFERROR(INDEX('Borrowers'!$J$9:$J$108,MATCH(C77,'Borrowers'!$C$9:$C$108,0))+H77-SUM(I77:L77),"Unavailable"))</x:f>
      </x:c>
      <x:c r="N77" s="23" t="str">
        <x:f>IF(C77="","",IFERROR(INDEX('Borrowers'!$I$9:$I$108,MATCH(C77,'Borrowers'!$C$9:$C$108,0))*'Scenario Paths'!F33,"Unavailable"))</x:f>
      </x:c>
      <x:c r="O77" s="23" t="str">
        <x:f>IF(C77="","",IFERROR(M77-INDEX('Borrowers'!$K$9:$K$108,MATCH(C77,'Borrowers'!$C$9:$C$108,0))-N77,"Unavailable"))</x:f>
      </x:c>
      <x:c r="P77" s="127" t="str">
        <x:f>IF(C77="","",IFERROR(O77/INDEX('Borrowers'!$L$9:$L$108,MATCH(C77,'Borrowers'!$C$9:$C$108,0)),"Unavailable"))</x:f>
      </x:c>
      <x:c r="Q77" s="30" t="str">
        <x:f>IF(C77="","",IFERROR(IF(INDEX('Borrowers'!$Z$9:$Z$108,MATCH(C77,'Borrowers'!$C$9:$C$108,0))="Yes",1,IF(INDEX('Borrowers'!$P$9:$P$108,MATCH(C77,'Borrowers'!$C$9:$C$108,0))=0,0,MIN(1,INDEX('Borrowers'!$P$9:$P$108,MATCH(C77,'Borrowers'!$C$9:$C$108,0))*EXP(MIN(20,INDEX('Borrowers'!$V$9:$V$108,MATCH(C77,'Borrowers'!$C$9:$C$108,0))*V77))))),"Unavailable"))</x:f>
      </x:c>
      <x:c r="R77" s="30" t="str">
        <x:f>IF(C77="","",IFERROR(MIN(1,INDEX('Borrowers'!$Q$9:$Q$108,MATCH(C77,'Borrowers'!$C$9:$C$108,0))+(1-INDEX('Borrowers'!$Q$9:$Q$108,MATCH(C77,'Borrowers'!$C$9:$C$108,0)))*T77),"Unavailable"))</x:f>
      </x:c>
      <x:c r="S77" s="30" t="str">
        <x:f>IF(C77="","",IFERROR(SUMPRODUCT((Sites!$D$9:$D$108=C77)*Sites!$I$9:$I$108*Sites!$J$9:$J$108*Sites!$K$9:$K$108*(1-Sites!$L$9:$L$108)),"Unavailable"))</x:f>
      </x:c>
      <x:c r="T77" s="30" t="str">
        <x:f>IF(C77="","",IFERROR(MIN(1,(SUMPRODUCT((Sites!$D$9:$D$108=C77)*Sites!$N$9:$N$108*Sites!$J$9:$J$108*Sites!$K$9:$K$108*(1-Sites!$L$9:$L$108)))*'Scenario Paths'!F27),"Unavailable"))</x:f>
      </x:c>
      <x:c r="U77" s="9" t="str">
        <x:f>IF(C77="","",IF(OR(INDEX('Borrowers'!$AA$9:$AA$108,MATCH(C77,'Borrowers'!$C$9:$C$108,0))&lt;&gt;"Ready",COUNTIF(Sites!$D$9:$D$108,C77)=0,COUNTIFS(Sites!$D$9:$D$108,C77,Sites!$Q$9:$Q$108,"&lt;&gt;Ready")&gt;0,'Scenario Paths'!$F$6&lt;&gt;"Ready"),"Review source inputs","Ready"))</x:f>
      </x:c>
      <x:c r="V77" s="17" t="str">
        <x:f>IF(C77="","",IFERROR(MAX(-1,(G77-O77)/MAX(0.000001,G77)),"Unavailable"))</x:f>
      </x:c>
      <x:c r="W77" s="9" t="str">
        <x:f>IF(C77="","",IFERROR(INDEX('Borrowers'!$D$9:$D$108,MATCH(C77,'Borrowers'!$C$9:$C$108,0)),"Unavailable"))</x:f>
      </x:c>
    </x:row>
    <x:row r="78" ht="26" customHeight="1">
      <x:c r="A78" s="1"/>
      <x:c r="B78" s="1"/>
      <x:c r="C78" s="9" t="str">
        <x:f>IF(Borrowers!C78="","",Borrowers!C78)</x:f>
      </x:c>
      <x:c r="D78" s="3" t="n">
        <x:v>1</x:v>
      </x:c>
      <x:c r="E78" s="9" t="n">
        <x:f>Settings!$F$18+0</x:f>
        <x:v>2027</x:v>
      </x:c>
      <x:c r="F78" s="9" t="str">
        <x:f>IF(C78="","",INDEX('Borrowers'!$F$9:$F$108,MATCH(C78,'Borrowers'!$C$9:$C$108,0)))</x:f>
      </x:c>
      <x:c r="G78" s="23" t="str">
        <x:f>IF(C78="","",IFERROR(INDEX('Borrowers'!$J$9:$J$108,MATCH(C78,'Borrowers'!$C$9:$C$108,0))-INDEX('Borrowers'!$K$9:$K$108,MATCH(C78,'Borrowers'!$C$9:$C$108,0)),"Unavailable"))</x:f>
      </x:c>
      <x:c r="H78" s="23" t="str">
        <x:f>IF(C78="","",IFERROR(INDEX('Borrowers'!$I$9:$I$108,MATCH(C78,'Borrowers'!$C$9:$C$108,0))*INDEX('Borrowers'!$U$9:$U$108,MATCH(C78,'Borrowers'!$C$9:$C$108,0))*(IF(F78="Transport",'Scenario Paths'!F156,IF(F78="Technology",'Scenario Paths'!F150,IF(F78="Utilities",'Scenario Paths'!F144,IF(F78="Agriculture",'Scenario Paths'!F138,IF(F78="Manufacturing",'Scenario Paths'!F132,IF(F78="Healthcare",'Scenario Paths'!F126,IF(F78="Hospitality",'Scenario Paths'!F120,IF(F78="Property",'Scenario Paths'!F114,IF(F78="Food",'Scenario Paths'!F108,IF(F78="Logistics",'Scenario Paths'!F102,IF(F78="Solar",'Scenario Paths'!F96,IF(F78="Cement",'Scenario Paths'!F90,0))))))))))))),"Unavailable"))</x:f>
      </x:c>
      <x:c r="I78" s="23" t="str">
        <x:f>IF(C78="","",IFERROR(INDEX('Borrowers'!$R$9:$R$108,MATCH(C78,'Borrowers'!$C$9:$C$108,0))*(1-INDEX('Borrowers'!$W$9:$W$108,MATCH(C78,'Borrowers'!$C$9:$C$108,0))*'Scenario Paths'!F39)*'Scenario Paths'!F9/1000000*(1-INDEX('Borrowers'!$T$9:$T$108,MATCH(C78,'Borrowers'!$C$9:$C$108,0))),"Unavailable"))</x:f>
      </x:c>
      <x:c r="J78" s="23" t="str">
        <x:f>IF(C78="","",IFERROR(INDEX('Borrowers'!$I$9:$I$108,MATCH(C78,'Borrowers'!$C$9:$C$108,0))*INDEX('Borrowers'!$S$9:$S$108,MATCH(C78,'Borrowers'!$C$9:$C$108,0))*'Scenario Paths'!F15*(1-INDEX('Borrowers'!$T$9:$T$108,MATCH(C78,'Borrowers'!$C$9:$C$108,0))),"Unavailable"))</x:f>
      </x:c>
      <x:c r="K78" s="23" t="str">
        <x:f>IF(C78="","",IFERROR(INDEX('Borrowers'!$I$9:$I$108,MATCH(C78,'Borrowers'!$C$9:$C$108,0))*INDEX('Borrowers'!$U$9:$U$108,MATCH(C78,'Borrowers'!$C$9:$C$108,0))*'Scenario Paths'!F21*S78,"Unavailable"))</x:f>
      </x:c>
      <x:c r="L78" s="23" t="str">
        <x:f>IF(C78="","",IFERROR(SUMPRODUCT((Sites!$D$9:$D$108=C78)*Sites!$H$9:$H$108*Sites!$J$9:$J$108*Sites!$K$9:$K$108*(1-Sites!$L$9:$L$108)*(1-Sites!$M$9:$M$108))*'Scenario Paths'!F27,"Unavailable"))</x:f>
      </x:c>
      <x:c r="M78" s="23" t="str">
        <x:f>IF(C78="","",IFERROR(INDEX('Borrowers'!$J$9:$J$108,MATCH(C78,'Borrowers'!$C$9:$C$108,0))+H78-SUM(I78:L78),"Unavailable"))</x:f>
      </x:c>
      <x:c r="N78" s="23" t="str">
        <x:f>IF(C78="","",IFERROR(INDEX('Borrowers'!$I$9:$I$108,MATCH(C78,'Borrowers'!$C$9:$C$108,0))*'Scenario Paths'!F33,"Unavailable"))</x:f>
      </x:c>
      <x:c r="O78" s="23" t="str">
        <x:f>IF(C78="","",IFERROR(M78-INDEX('Borrowers'!$K$9:$K$108,MATCH(C78,'Borrowers'!$C$9:$C$108,0))-N78,"Unavailable"))</x:f>
      </x:c>
      <x:c r="P78" s="127" t="str">
        <x:f>IF(C78="","",IFERROR(O78/INDEX('Borrowers'!$L$9:$L$108,MATCH(C78,'Borrowers'!$C$9:$C$108,0)),"Unavailable"))</x:f>
      </x:c>
      <x:c r="Q78" s="30" t="str">
        <x:f>IF(C78="","",IFERROR(IF(INDEX('Borrowers'!$Z$9:$Z$108,MATCH(C78,'Borrowers'!$C$9:$C$108,0))="Yes",1,IF(INDEX('Borrowers'!$P$9:$P$108,MATCH(C78,'Borrowers'!$C$9:$C$108,0))=0,0,MIN(1,INDEX('Borrowers'!$P$9:$P$108,MATCH(C78,'Borrowers'!$C$9:$C$108,0))*EXP(MIN(20,INDEX('Borrowers'!$V$9:$V$108,MATCH(C78,'Borrowers'!$C$9:$C$108,0))*V78))))),"Unavailable"))</x:f>
      </x:c>
      <x:c r="R78" s="30" t="str">
        <x:f>IF(C78="","",IFERROR(MIN(1,INDEX('Borrowers'!$Q$9:$Q$108,MATCH(C78,'Borrowers'!$C$9:$C$108,0))+(1-INDEX('Borrowers'!$Q$9:$Q$108,MATCH(C78,'Borrowers'!$C$9:$C$108,0)))*T78),"Unavailable"))</x:f>
      </x:c>
      <x:c r="S78" s="30" t="str">
        <x:f>IF(C78="","",IFERROR(SUMPRODUCT((Sites!$D$9:$D$108=C78)*Sites!$I$9:$I$108*Sites!$J$9:$J$108*Sites!$K$9:$K$108*(1-Sites!$L$9:$L$108)),"Unavailable"))</x:f>
      </x:c>
      <x:c r="T78" s="30" t="str">
        <x:f>IF(C78="","",IFERROR(MIN(1,(SUMPRODUCT((Sites!$D$9:$D$108=C78)*Sites!$N$9:$N$108*Sites!$J$9:$J$108*Sites!$K$9:$K$108*(1-Sites!$L$9:$L$108)))*'Scenario Paths'!F27),"Unavailable"))</x:f>
      </x:c>
      <x:c r="U78" s="9" t="str">
        <x:f>IF(C78="","",IF(OR(INDEX('Borrowers'!$AA$9:$AA$108,MATCH(C78,'Borrowers'!$C$9:$C$108,0))&lt;&gt;"Ready",COUNTIF(Sites!$D$9:$D$108,C78)=0,COUNTIFS(Sites!$D$9:$D$108,C78,Sites!$Q$9:$Q$108,"&lt;&gt;Ready")&gt;0,'Scenario Paths'!$F$6&lt;&gt;"Ready"),"Review source inputs","Ready"))</x:f>
      </x:c>
      <x:c r="V78" s="17" t="str">
        <x:f>IF(C78="","",IFERROR(MAX(-1,(G78-O78)/MAX(0.000001,G78)),"Unavailable"))</x:f>
      </x:c>
      <x:c r="W78" s="9" t="str">
        <x:f>IF(C78="","",IFERROR(INDEX('Borrowers'!$D$9:$D$108,MATCH(C78,'Borrowers'!$C$9:$C$108,0)),"Unavailable"))</x:f>
      </x:c>
    </x:row>
    <x:row r="79" ht="26" customHeight="1">
      <x:c r="A79" s="1"/>
      <x:c r="B79" s="1"/>
      <x:c r="C79" s="9" t="str">
        <x:f>IF(Borrowers!C79="","",Borrowers!C79)</x:f>
      </x:c>
      <x:c r="D79" s="3" t="n">
        <x:v>1</x:v>
      </x:c>
      <x:c r="E79" s="9" t="n">
        <x:f>Settings!$F$18+0</x:f>
        <x:v>2027</x:v>
      </x:c>
      <x:c r="F79" s="9" t="str">
        <x:f>IF(C79="","",INDEX('Borrowers'!$F$9:$F$108,MATCH(C79,'Borrowers'!$C$9:$C$108,0)))</x:f>
      </x:c>
      <x:c r="G79" s="23" t="str">
        <x:f>IF(C79="","",IFERROR(INDEX('Borrowers'!$J$9:$J$108,MATCH(C79,'Borrowers'!$C$9:$C$108,0))-INDEX('Borrowers'!$K$9:$K$108,MATCH(C79,'Borrowers'!$C$9:$C$108,0)),"Unavailable"))</x:f>
      </x:c>
      <x:c r="H79" s="23" t="str">
        <x:f>IF(C79="","",IFERROR(INDEX('Borrowers'!$I$9:$I$108,MATCH(C79,'Borrowers'!$C$9:$C$108,0))*INDEX('Borrowers'!$U$9:$U$108,MATCH(C79,'Borrowers'!$C$9:$C$108,0))*(IF(F79="Transport",'Scenario Paths'!F156,IF(F79="Technology",'Scenario Paths'!F150,IF(F79="Utilities",'Scenario Paths'!F144,IF(F79="Agriculture",'Scenario Paths'!F138,IF(F79="Manufacturing",'Scenario Paths'!F132,IF(F79="Healthcare",'Scenario Paths'!F126,IF(F79="Hospitality",'Scenario Paths'!F120,IF(F79="Property",'Scenario Paths'!F114,IF(F79="Food",'Scenario Paths'!F108,IF(F79="Logistics",'Scenario Paths'!F102,IF(F79="Solar",'Scenario Paths'!F96,IF(F79="Cement",'Scenario Paths'!F90,0))))))))))))),"Unavailable"))</x:f>
      </x:c>
      <x:c r="I79" s="23" t="str">
        <x:f>IF(C79="","",IFERROR(INDEX('Borrowers'!$R$9:$R$108,MATCH(C79,'Borrowers'!$C$9:$C$108,0))*(1-INDEX('Borrowers'!$W$9:$W$108,MATCH(C79,'Borrowers'!$C$9:$C$108,0))*'Scenario Paths'!F39)*'Scenario Paths'!F9/1000000*(1-INDEX('Borrowers'!$T$9:$T$108,MATCH(C79,'Borrowers'!$C$9:$C$108,0))),"Unavailable"))</x:f>
      </x:c>
      <x:c r="J79" s="23" t="str">
        <x:f>IF(C79="","",IFERROR(INDEX('Borrowers'!$I$9:$I$108,MATCH(C79,'Borrowers'!$C$9:$C$108,0))*INDEX('Borrowers'!$S$9:$S$108,MATCH(C79,'Borrowers'!$C$9:$C$108,0))*'Scenario Paths'!F15*(1-INDEX('Borrowers'!$T$9:$T$108,MATCH(C79,'Borrowers'!$C$9:$C$108,0))),"Unavailable"))</x:f>
      </x:c>
      <x:c r="K79" s="23" t="str">
        <x:f>IF(C79="","",IFERROR(INDEX('Borrowers'!$I$9:$I$108,MATCH(C79,'Borrowers'!$C$9:$C$108,0))*INDEX('Borrowers'!$U$9:$U$108,MATCH(C79,'Borrowers'!$C$9:$C$108,0))*'Scenario Paths'!F21*S79,"Unavailable"))</x:f>
      </x:c>
      <x:c r="L79" s="23" t="str">
        <x:f>IF(C79="","",IFERROR(SUMPRODUCT((Sites!$D$9:$D$108=C79)*Sites!$H$9:$H$108*Sites!$J$9:$J$108*Sites!$K$9:$K$108*(1-Sites!$L$9:$L$108)*(1-Sites!$M$9:$M$108))*'Scenario Paths'!F27,"Unavailable"))</x:f>
      </x:c>
      <x:c r="M79" s="23" t="str">
        <x:f>IF(C79="","",IFERROR(INDEX('Borrowers'!$J$9:$J$108,MATCH(C79,'Borrowers'!$C$9:$C$108,0))+H79-SUM(I79:L79),"Unavailable"))</x:f>
      </x:c>
      <x:c r="N79" s="23" t="str">
        <x:f>IF(C79="","",IFERROR(INDEX('Borrowers'!$I$9:$I$108,MATCH(C79,'Borrowers'!$C$9:$C$108,0))*'Scenario Paths'!F33,"Unavailable"))</x:f>
      </x:c>
      <x:c r="O79" s="23" t="str">
        <x:f>IF(C79="","",IFERROR(M79-INDEX('Borrowers'!$K$9:$K$108,MATCH(C79,'Borrowers'!$C$9:$C$108,0))-N79,"Unavailable"))</x:f>
      </x:c>
      <x:c r="P79" s="127" t="str">
        <x:f>IF(C79="","",IFERROR(O79/INDEX('Borrowers'!$L$9:$L$108,MATCH(C79,'Borrowers'!$C$9:$C$108,0)),"Unavailable"))</x:f>
      </x:c>
      <x:c r="Q79" s="30" t="str">
        <x:f>IF(C79="","",IFERROR(IF(INDEX('Borrowers'!$Z$9:$Z$108,MATCH(C79,'Borrowers'!$C$9:$C$108,0))="Yes",1,IF(INDEX('Borrowers'!$P$9:$P$108,MATCH(C79,'Borrowers'!$C$9:$C$108,0))=0,0,MIN(1,INDEX('Borrowers'!$P$9:$P$108,MATCH(C79,'Borrowers'!$C$9:$C$108,0))*EXP(MIN(20,INDEX('Borrowers'!$V$9:$V$108,MATCH(C79,'Borrowers'!$C$9:$C$108,0))*V79))))),"Unavailable"))</x:f>
      </x:c>
      <x:c r="R79" s="30" t="str">
        <x:f>IF(C79="","",IFERROR(MIN(1,INDEX('Borrowers'!$Q$9:$Q$108,MATCH(C79,'Borrowers'!$C$9:$C$108,0))+(1-INDEX('Borrowers'!$Q$9:$Q$108,MATCH(C79,'Borrowers'!$C$9:$C$108,0)))*T79),"Unavailable"))</x:f>
      </x:c>
      <x:c r="S79" s="30" t="str">
        <x:f>IF(C79="","",IFERROR(SUMPRODUCT((Sites!$D$9:$D$108=C79)*Sites!$I$9:$I$108*Sites!$J$9:$J$108*Sites!$K$9:$K$108*(1-Sites!$L$9:$L$108)),"Unavailable"))</x:f>
      </x:c>
      <x:c r="T79" s="30" t="str">
        <x:f>IF(C79="","",IFERROR(MIN(1,(SUMPRODUCT((Sites!$D$9:$D$108=C79)*Sites!$N$9:$N$108*Sites!$J$9:$J$108*Sites!$K$9:$K$108*(1-Sites!$L$9:$L$108)))*'Scenario Paths'!F27),"Unavailable"))</x:f>
      </x:c>
      <x:c r="U79" s="9" t="str">
        <x:f>IF(C79="","",IF(OR(INDEX('Borrowers'!$AA$9:$AA$108,MATCH(C79,'Borrowers'!$C$9:$C$108,0))&lt;&gt;"Ready",COUNTIF(Sites!$D$9:$D$108,C79)=0,COUNTIFS(Sites!$D$9:$D$108,C79,Sites!$Q$9:$Q$108,"&lt;&gt;Ready")&gt;0,'Scenario Paths'!$F$6&lt;&gt;"Ready"),"Review source inputs","Ready"))</x:f>
      </x:c>
      <x:c r="V79" s="17" t="str">
        <x:f>IF(C79="","",IFERROR(MAX(-1,(G79-O79)/MAX(0.000001,G79)),"Unavailable"))</x:f>
      </x:c>
      <x:c r="W79" s="9" t="str">
        <x:f>IF(C79="","",IFERROR(INDEX('Borrowers'!$D$9:$D$108,MATCH(C79,'Borrowers'!$C$9:$C$108,0)),"Unavailable"))</x:f>
      </x:c>
    </x:row>
    <x:row r="80" ht="26" customHeight="1">
      <x:c r="A80" s="1"/>
      <x:c r="B80" s="1"/>
      <x:c r="C80" s="9" t="str">
        <x:f>IF(Borrowers!C80="","",Borrowers!C80)</x:f>
      </x:c>
      <x:c r="D80" s="3" t="n">
        <x:v>1</x:v>
      </x:c>
      <x:c r="E80" s="9" t="n">
        <x:f>Settings!$F$18+0</x:f>
        <x:v>2027</x:v>
      </x:c>
      <x:c r="F80" s="9" t="str">
        <x:f>IF(C80="","",INDEX('Borrowers'!$F$9:$F$108,MATCH(C80,'Borrowers'!$C$9:$C$108,0)))</x:f>
      </x:c>
      <x:c r="G80" s="23" t="str">
        <x:f>IF(C80="","",IFERROR(INDEX('Borrowers'!$J$9:$J$108,MATCH(C80,'Borrowers'!$C$9:$C$108,0))-INDEX('Borrowers'!$K$9:$K$108,MATCH(C80,'Borrowers'!$C$9:$C$108,0)),"Unavailable"))</x:f>
      </x:c>
      <x:c r="H80" s="23" t="str">
        <x:f>IF(C80="","",IFERROR(INDEX('Borrowers'!$I$9:$I$108,MATCH(C80,'Borrowers'!$C$9:$C$108,0))*INDEX('Borrowers'!$U$9:$U$108,MATCH(C80,'Borrowers'!$C$9:$C$108,0))*(IF(F80="Transport",'Scenario Paths'!F156,IF(F80="Technology",'Scenario Paths'!F150,IF(F80="Utilities",'Scenario Paths'!F144,IF(F80="Agriculture",'Scenario Paths'!F138,IF(F80="Manufacturing",'Scenario Paths'!F132,IF(F80="Healthcare",'Scenario Paths'!F126,IF(F80="Hospitality",'Scenario Paths'!F120,IF(F80="Property",'Scenario Paths'!F114,IF(F80="Food",'Scenario Paths'!F108,IF(F80="Logistics",'Scenario Paths'!F102,IF(F80="Solar",'Scenario Paths'!F96,IF(F80="Cement",'Scenario Paths'!F90,0))))))))))))),"Unavailable"))</x:f>
      </x:c>
      <x:c r="I80" s="23" t="str">
        <x:f>IF(C80="","",IFERROR(INDEX('Borrowers'!$R$9:$R$108,MATCH(C80,'Borrowers'!$C$9:$C$108,0))*(1-INDEX('Borrowers'!$W$9:$W$108,MATCH(C80,'Borrowers'!$C$9:$C$108,0))*'Scenario Paths'!F39)*'Scenario Paths'!F9/1000000*(1-INDEX('Borrowers'!$T$9:$T$108,MATCH(C80,'Borrowers'!$C$9:$C$108,0))),"Unavailable"))</x:f>
      </x:c>
      <x:c r="J80" s="23" t="str">
        <x:f>IF(C80="","",IFERROR(INDEX('Borrowers'!$I$9:$I$108,MATCH(C80,'Borrowers'!$C$9:$C$108,0))*INDEX('Borrowers'!$S$9:$S$108,MATCH(C80,'Borrowers'!$C$9:$C$108,0))*'Scenario Paths'!F15*(1-INDEX('Borrowers'!$T$9:$T$108,MATCH(C80,'Borrowers'!$C$9:$C$108,0))),"Unavailable"))</x:f>
      </x:c>
      <x:c r="K80" s="23" t="str">
        <x:f>IF(C80="","",IFERROR(INDEX('Borrowers'!$I$9:$I$108,MATCH(C80,'Borrowers'!$C$9:$C$108,0))*INDEX('Borrowers'!$U$9:$U$108,MATCH(C80,'Borrowers'!$C$9:$C$108,0))*'Scenario Paths'!F21*S80,"Unavailable"))</x:f>
      </x:c>
      <x:c r="L80" s="23" t="str">
        <x:f>IF(C80="","",IFERROR(SUMPRODUCT((Sites!$D$9:$D$108=C80)*Sites!$H$9:$H$108*Sites!$J$9:$J$108*Sites!$K$9:$K$108*(1-Sites!$L$9:$L$108)*(1-Sites!$M$9:$M$108))*'Scenario Paths'!F27,"Unavailable"))</x:f>
      </x:c>
      <x:c r="M80" s="23" t="str">
        <x:f>IF(C80="","",IFERROR(INDEX('Borrowers'!$J$9:$J$108,MATCH(C80,'Borrowers'!$C$9:$C$108,0))+H80-SUM(I80:L80),"Unavailable"))</x:f>
      </x:c>
      <x:c r="N80" s="23" t="str">
        <x:f>IF(C80="","",IFERROR(INDEX('Borrowers'!$I$9:$I$108,MATCH(C80,'Borrowers'!$C$9:$C$108,0))*'Scenario Paths'!F33,"Unavailable"))</x:f>
      </x:c>
      <x:c r="O80" s="23" t="str">
        <x:f>IF(C80="","",IFERROR(M80-INDEX('Borrowers'!$K$9:$K$108,MATCH(C80,'Borrowers'!$C$9:$C$108,0))-N80,"Unavailable"))</x:f>
      </x:c>
      <x:c r="P80" s="127" t="str">
        <x:f>IF(C80="","",IFERROR(O80/INDEX('Borrowers'!$L$9:$L$108,MATCH(C80,'Borrowers'!$C$9:$C$108,0)),"Unavailable"))</x:f>
      </x:c>
      <x:c r="Q80" s="30" t="str">
        <x:f>IF(C80="","",IFERROR(IF(INDEX('Borrowers'!$Z$9:$Z$108,MATCH(C80,'Borrowers'!$C$9:$C$108,0))="Yes",1,IF(INDEX('Borrowers'!$P$9:$P$108,MATCH(C80,'Borrowers'!$C$9:$C$108,0))=0,0,MIN(1,INDEX('Borrowers'!$P$9:$P$108,MATCH(C80,'Borrowers'!$C$9:$C$108,0))*EXP(MIN(20,INDEX('Borrowers'!$V$9:$V$108,MATCH(C80,'Borrowers'!$C$9:$C$108,0))*V80))))),"Unavailable"))</x:f>
      </x:c>
      <x:c r="R80" s="30" t="str">
        <x:f>IF(C80="","",IFERROR(MIN(1,INDEX('Borrowers'!$Q$9:$Q$108,MATCH(C80,'Borrowers'!$C$9:$C$108,0))+(1-INDEX('Borrowers'!$Q$9:$Q$108,MATCH(C80,'Borrowers'!$C$9:$C$108,0)))*T80),"Unavailable"))</x:f>
      </x:c>
      <x:c r="S80" s="30" t="str">
        <x:f>IF(C80="","",IFERROR(SUMPRODUCT((Sites!$D$9:$D$108=C80)*Sites!$I$9:$I$108*Sites!$J$9:$J$108*Sites!$K$9:$K$108*(1-Sites!$L$9:$L$108)),"Unavailable"))</x:f>
      </x:c>
      <x:c r="T80" s="30" t="str">
        <x:f>IF(C80="","",IFERROR(MIN(1,(SUMPRODUCT((Sites!$D$9:$D$108=C80)*Sites!$N$9:$N$108*Sites!$J$9:$J$108*Sites!$K$9:$K$108*(1-Sites!$L$9:$L$108)))*'Scenario Paths'!F27),"Unavailable"))</x:f>
      </x:c>
      <x:c r="U80" s="9" t="str">
        <x:f>IF(C80="","",IF(OR(INDEX('Borrowers'!$AA$9:$AA$108,MATCH(C80,'Borrowers'!$C$9:$C$108,0))&lt;&gt;"Ready",COUNTIF(Sites!$D$9:$D$108,C80)=0,COUNTIFS(Sites!$D$9:$D$108,C80,Sites!$Q$9:$Q$108,"&lt;&gt;Ready")&gt;0,'Scenario Paths'!$F$6&lt;&gt;"Ready"),"Review source inputs","Ready"))</x:f>
      </x:c>
      <x:c r="V80" s="17" t="str">
        <x:f>IF(C80="","",IFERROR(MAX(-1,(G80-O80)/MAX(0.000001,G80)),"Unavailable"))</x:f>
      </x:c>
      <x:c r="W80" s="9" t="str">
        <x:f>IF(C80="","",IFERROR(INDEX('Borrowers'!$D$9:$D$108,MATCH(C80,'Borrowers'!$C$9:$C$108,0)),"Unavailable"))</x:f>
      </x:c>
    </x:row>
    <x:row r="81" ht="26" customHeight="1">
      <x:c r="A81" s="1"/>
      <x:c r="B81" s="1"/>
      <x:c r="C81" s="9" t="str">
        <x:f>IF(Borrowers!C81="","",Borrowers!C81)</x:f>
      </x:c>
      <x:c r="D81" s="3" t="n">
        <x:v>1</x:v>
      </x:c>
      <x:c r="E81" s="9" t="n">
        <x:f>Settings!$F$18+0</x:f>
        <x:v>2027</x:v>
      </x:c>
      <x:c r="F81" s="9" t="str">
        <x:f>IF(C81="","",INDEX('Borrowers'!$F$9:$F$108,MATCH(C81,'Borrowers'!$C$9:$C$108,0)))</x:f>
      </x:c>
      <x:c r="G81" s="23" t="str">
        <x:f>IF(C81="","",IFERROR(INDEX('Borrowers'!$J$9:$J$108,MATCH(C81,'Borrowers'!$C$9:$C$108,0))-INDEX('Borrowers'!$K$9:$K$108,MATCH(C81,'Borrowers'!$C$9:$C$108,0)),"Unavailable"))</x:f>
      </x:c>
      <x:c r="H81" s="23" t="str">
        <x:f>IF(C81="","",IFERROR(INDEX('Borrowers'!$I$9:$I$108,MATCH(C81,'Borrowers'!$C$9:$C$108,0))*INDEX('Borrowers'!$U$9:$U$108,MATCH(C81,'Borrowers'!$C$9:$C$108,0))*(IF(F81="Transport",'Scenario Paths'!F156,IF(F81="Technology",'Scenario Paths'!F150,IF(F81="Utilities",'Scenario Paths'!F144,IF(F81="Agriculture",'Scenario Paths'!F138,IF(F81="Manufacturing",'Scenario Paths'!F132,IF(F81="Healthcare",'Scenario Paths'!F126,IF(F81="Hospitality",'Scenario Paths'!F120,IF(F81="Property",'Scenario Paths'!F114,IF(F81="Food",'Scenario Paths'!F108,IF(F81="Logistics",'Scenario Paths'!F102,IF(F81="Solar",'Scenario Paths'!F96,IF(F81="Cement",'Scenario Paths'!F90,0))))))))))))),"Unavailable"))</x:f>
      </x:c>
      <x:c r="I81" s="23" t="str">
        <x:f>IF(C81="","",IFERROR(INDEX('Borrowers'!$R$9:$R$108,MATCH(C81,'Borrowers'!$C$9:$C$108,0))*(1-INDEX('Borrowers'!$W$9:$W$108,MATCH(C81,'Borrowers'!$C$9:$C$108,0))*'Scenario Paths'!F39)*'Scenario Paths'!F9/1000000*(1-INDEX('Borrowers'!$T$9:$T$108,MATCH(C81,'Borrowers'!$C$9:$C$108,0))),"Unavailable"))</x:f>
      </x:c>
      <x:c r="J81" s="23" t="str">
        <x:f>IF(C81="","",IFERROR(INDEX('Borrowers'!$I$9:$I$108,MATCH(C81,'Borrowers'!$C$9:$C$108,0))*INDEX('Borrowers'!$S$9:$S$108,MATCH(C81,'Borrowers'!$C$9:$C$108,0))*'Scenario Paths'!F15*(1-INDEX('Borrowers'!$T$9:$T$108,MATCH(C81,'Borrowers'!$C$9:$C$108,0))),"Unavailable"))</x:f>
      </x:c>
      <x:c r="K81" s="23" t="str">
        <x:f>IF(C81="","",IFERROR(INDEX('Borrowers'!$I$9:$I$108,MATCH(C81,'Borrowers'!$C$9:$C$108,0))*INDEX('Borrowers'!$U$9:$U$108,MATCH(C81,'Borrowers'!$C$9:$C$108,0))*'Scenario Paths'!F21*S81,"Unavailable"))</x:f>
      </x:c>
      <x:c r="L81" s="23" t="str">
        <x:f>IF(C81="","",IFERROR(SUMPRODUCT((Sites!$D$9:$D$108=C81)*Sites!$H$9:$H$108*Sites!$J$9:$J$108*Sites!$K$9:$K$108*(1-Sites!$L$9:$L$108)*(1-Sites!$M$9:$M$108))*'Scenario Paths'!F27,"Unavailable"))</x:f>
      </x:c>
      <x:c r="M81" s="23" t="str">
        <x:f>IF(C81="","",IFERROR(INDEX('Borrowers'!$J$9:$J$108,MATCH(C81,'Borrowers'!$C$9:$C$108,0))+H81-SUM(I81:L81),"Unavailable"))</x:f>
      </x:c>
      <x:c r="N81" s="23" t="str">
        <x:f>IF(C81="","",IFERROR(INDEX('Borrowers'!$I$9:$I$108,MATCH(C81,'Borrowers'!$C$9:$C$108,0))*'Scenario Paths'!F33,"Unavailable"))</x:f>
      </x:c>
      <x:c r="O81" s="23" t="str">
        <x:f>IF(C81="","",IFERROR(M81-INDEX('Borrowers'!$K$9:$K$108,MATCH(C81,'Borrowers'!$C$9:$C$108,0))-N81,"Unavailable"))</x:f>
      </x:c>
      <x:c r="P81" s="127" t="str">
        <x:f>IF(C81="","",IFERROR(O81/INDEX('Borrowers'!$L$9:$L$108,MATCH(C81,'Borrowers'!$C$9:$C$108,0)),"Unavailable"))</x:f>
      </x:c>
      <x:c r="Q81" s="30" t="str">
        <x:f>IF(C81="","",IFERROR(IF(INDEX('Borrowers'!$Z$9:$Z$108,MATCH(C81,'Borrowers'!$C$9:$C$108,0))="Yes",1,IF(INDEX('Borrowers'!$P$9:$P$108,MATCH(C81,'Borrowers'!$C$9:$C$108,0))=0,0,MIN(1,INDEX('Borrowers'!$P$9:$P$108,MATCH(C81,'Borrowers'!$C$9:$C$108,0))*EXP(MIN(20,INDEX('Borrowers'!$V$9:$V$108,MATCH(C81,'Borrowers'!$C$9:$C$108,0))*V81))))),"Unavailable"))</x:f>
      </x:c>
      <x:c r="R81" s="30" t="str">
        <x:f>IF(C81="","",IFERROR(MIN(1,INDEX('Borrowers'!$Q$9:$Q$108,MATCH(C81,'Borrowers'!$C$9:$C$108,0))+(1-INDEX('Borrowers'!$Q$9:$Q$108,MATCH(C81,'Borrowers'!$C$9:$C$108,0)))*T81),"Unavailable"))</x:f>
      </x:c>
      <x:c r="S81" s="30" t="str">
        <x:f>IF(C81="","",IFERROR(SUMPRODUCT((Sites!$D$9:$D$108=C81)*Sites!$I$9:$I$108*Sites!$J$9:$J$108*Sites!$K$9:$K$108*(1-Sites!$L$9:$L$108)),"Unavailable"))</x:f>
      </x:c>
      <x:c r="T81" s="30" t="str">
        <x:f>IF(C81="","",IFERROR(MIN(1,(SUMPRODUCT((Sites!$D$9:$D$108=C81)*Sites!$N$9:$N$108*Sites!$J$9:$J$108*Sites!$K$9:$K$108*(1-Sites!$L$9:$L$108)))*'Scenario Paths'!F27),"Unavailable"))</x:f>
      </x:c>
      <x:c r="U81" s="9" t="str">
        <x:f>IF(C81="","",IF(OR(INDEX('Borrowers'!$AA$9:$AA$108,MATCH(C81,'Borrowers'!$C$9:$C$108,0))&lt;&gt;"Ready",COUNTIF(Sites!$D$9:$D$108,C81)=0,COUNTIFS(Sites!$D$9:$D$108,C81,Sites!$Q$9:$Q$108,"&lt;&gt;Ready")&gt;0,'Scenario Paths'!$F$6&lt;&gt;"Ready"),"Review source inputs","Ready"))</x:f>
      </x:c>
      <x:c r="V81" s="17" t="str">
        <x:f>IF(C81="","",IFERROR(MAX(-1,(G81-O81)/MAX(0.000001,G81)),"Unavailable"))</x:f>
      </x:c>
      <x:c r="W81" s="9" t="str">
        <x:f>IF(C81="","",IFERROR(INDEX('Borrowers'!$D$9:$D$108,MATCH(C81,'Borrowers'!$C$9:$C$108,0)),"Unavailable"))</x:f>
      </x:c>
    </x:row>
    <x:row r="82" ht="26" customHeight="1">
      <x:c r="A82" s="1"/>
      <x:c r="B82" s="1"/>
      <x:c r="C82" s="9" t="str">
        <x:f>IF(Borrowers!C82="","",Borrowers!C82)</x:f>
      </x:c>
      <x:c r="D82" s="3" t="n">
        <x:v>1</x:v>
      </x:c>
      <x:c r="E82" s="9" t="n">
        <x:f>Settings!$F$18+0</x:f>
        <x:v>2027</x:v>
      </x:c>
      <x:c r="F82" s="9" t="str">
        <x:f>IF(C82="","",INDEX('Borrowers'!$F$9:$F$108,MATCH(C82,'Borrowers'!$C$9:$C$108,0)))</x:f>
      </x:c>
      <x:c r="G82" s="23" t="str">
        <x:f>IF(C82="","",IFERROR(INDEX('Borrowers'!$J$9:$J$108,MATCH(C82,'Borrowers'!$C$9:$C$108,0))-INDEX('Borrowers'!$K$9:$K$108,MATCH(C82,'Borrowers'!$C$9:$C$108,0)),"Unavailable"))</x:f>
      </x:c>
      <x:c r="H82" s="23" t="str">
        <x:f>IF(C82="","",IFERROR(INDEX('Borrowers'!$I$9:$I$108,MATCH(C82,'Borrowers'!$C$9:$C$108,0))*INDEX('Borrowers'!$U$9:$U$108,MATCH(C82,'Borrowers'!$C$9:$C$108,0))*(IF(F82="Transport",'Scenario Paths'!F156,IF(F82="Technology",'Scenario Paths'!F150,IF(F82="Utilities",'Scenario Paths'!F144,IF(F82="Agriculture",'Scenario Paths'!F138,IF(F82="Manufacturing",'Scenario Paths'!F132,IF(F82="Healthcare",'Scenario Paths'!F126,IF(F82="Hospitality",'Scenario Paths'!F120,IF(F82="Property",'Scenario Paths'!F114,IF(F82="Food",'Scenario Paths'!F108,IF(F82="Logistics",'Scenario Paths'!F102,IF(F82="Solar",'Scenario Paths'!F96,IF(F82="Cement",'Scenario Paths'!F90,0))))))))))))),"Unavailable"))</x:f>
      </x:c>
      <x:c r="I82" s="23" t="str">
        <x:f>IF(C82="","",IFERROR(INDEX('Borrowers'!$R$9:$R$108,MATCH(C82,'Borrowers'!$C$9:$C$108,0))*(1-INDEX('Borrowers'!$W$9:$W$108,MATCH(C82,'Borrowers'!$C$9:$C$108,0))*'Scenario Paths'!F39)*'Scenario Paths'!F9/1000000*(1-INDEX('Borrowers'!$T$9:$T$108,MATCH(C82,'Borrowers'!$C$9:$C$108,0))),"Unavailable"))</x:f>
      </x:c>
      <x:c r="J82" s="23" t="str">
        <x:f>IF(C82="","",IFERROR(INDEX('Borrowers'!$I$9:$I$108,MATCH(C82,'Borrowers'!$C$9:$C$108,0))*INDEX('Borrowers'!$S$9:$S$108,MATCH(C82,'Borrowers'!$C$9:$C$108,0))*'Scenario Paths'!F15*(1-INDEX('Borrowers'!$T$9:$T$108,MATCH(C82,'Borrowers'!$C$9:$C$108,0))),"Unavailable"))</x:f>
      </x:c>
      <x:c r="K82" s="23" t="str">
        <x:f>IF(C82="","",IFERROR(INDEX('Borrowers'!$I$9:$I$108,MATCH(C82,'Borrowers'!$C$9:$C$108,0))*INDEX('Borrowers'!$U$9:$U$108,MATCH(C82,'Borrowers'!$C$9:$C$108,0))*'Scenario Paths'!F21*S82,"Unavailable"))</x:f>
      </x:c>
      <x:c r="L82" s="23" t="str">
        <x:f>IF(C82="","",IFERROR(SUMPRODUCT((Sites!$D$9:$D$108=C82)*Sites!$H$9:$H$108*Sites!$J$9:$J$108*Sites!$K$9:$K$108*(1-Sites!$L$9:$L$108)*(1-Sites!$M$9:$M$108))*'Scenario Paths'!F27,"Unavailable"))</x:f>
      </x:c>
      <x:c r="M82" s="23" t="str">
        <x:f>IF(C82="","",IFERROR(INDEX('Borrowers'!$J$9:$J$108,MATCH(C82,'Borrowers'!$C$9:$C$108,0))+H82-SUM(I82:L82),"Unavailable"))</x:f>
      </x:c>
      <x:c r="N82" s="23" t="str">
        <x:f>IF(C82="","",IFERROR(INDEX('Borrowers'!$I$9:$I$108,MATCH(C82,'Borrowers'!$C$9:$C$108,0))*'Scenario Paths'!F33,"Unavailable"))</x:f>
      </x:c>
      <x:c r="O82" s="23" t="str">
        <x:f>IF(C82="","",IFERROR(M82-INDEX('Borrowers'!$K$9:$K$108,MATCH(C82,'Borrowers'!$C$9:$C$108,0))-N82,"Unavailable"))</x:f>
      </x:c>
      <x:c r="P82" s="127" t="str">
        <x:f>IF(C82="","",IFERROR(O82/INDEX('Borrowers'!$L$9:$L$108,MATCH(C82,'Borrowers'!$C$9:$C$108,0)),"Unavailable"))</x:f>
      </x:c>
      <x:c r="Q82" s="30" t="str">
        <x:f>IF(C82="","",IFERROR(IF(INDEX('Borrowers'!$Z$9:$Z$108,MATCH(C82,'Borrowers'!$C$9:$C$108,0))="Yes",1,IF(INDEX('Borrowers'!$P$9:$P$108,MATCH(C82,'Borrowers'!$C$9:$C$108,0))=0,0,MIN(1,INDEX('Borrowers'!$P$9:$P$108,MATCH(C82,'Borrowers'!$C$9:$C$108,0))*EXP(MIN(20,INDEX('Borrowers'!$V$9:$V$108,MATCH(C82,'Borrowers'!$C$9:$C$108,0))*V82))))),"Unavailable"))</x:f>
      </x:c>
      <x:c r="R82" s="30" t="str">
        <x:f>IF(C82="","",IFERROR(MIN(1,INDEX('Borrowers'!$Q$9:$Q$108,MATCH(C82,'Borrowers'!$C$9:$C$108,0))+(1-INDEX('Borrowers'!$Q$9:$Q$108,MATCH(C82,'Borrowers'!$C$9:$C$108,0)))*T82),"Unavailable"))</x:f>
      </x:c>
      <x:c r="S82" s="30" t="str">
        <x:f>IF(C82="","",IFERROR(SUMPRODUCT((Sites!$D$9:$D$108=C82)*Sites!$I$9:$I$108*Sites!$J$9:$J$108*Sites!$K$9:$K$108*(1-Sites!$L$9:$L$108)),"Unavailable"))</x:f>
      </x:c>
      <x:c r="T82" s="30" t="str">
        <x:f>IF(C82="","",IFERROR(MIN(1,(SUMPRODUCT((Sites!$D$9:$D$108=C82)*Sites!$N$9:$N$108*Sites!$J$9:$J$108*Sites!$K$9:$K$108*(1-Sites!$L$9:$L$108)))*'Scenario Paths'!F27),"Unavailable"))</x:f>
      </x:c>
      <x:c r="U82" s="9" t="str">
        <x:f>IF(C82="","",IF(OR(INDEX('Borrowers'!$AA$9:$AA$108,MATCH(C82,'Borrowers'!$C$9:$C$108,0))&lt;&gt;"Ready",COUNTIF(Sites!$D$9:$D$108,C82)=0,COUNTIFS(Sites!$D$9:$D$108,C82,Sites!$Q$9:$Q$108,"&lt;&gt;Ready")&gt;0,'Scenario Paths'!$F$6&lt;&gt;"Ready"),"Review source inputs","Ready"))</x:f>
      </x:c>
      <x:c r="V82" s="17" t="str">
        <x:f>IF(C82="","",IFERROR(MAX(-1,(G82-O82)/MAX(0.000001,G82)),"Unavailable"))</x:f>
      </x:c>
      <x:c r="W82" s="9" t="str">
        <x:f>IF(C82="","",IFERROR(INDEX('Borrowers'!$D$9:$D$108,MATCH(C82,'Borrowers'!$C$9:$C$108,0)),"Unavailable"))</x:f>
      </x:c>
    </x:row>
    <x:row r="83" ht="26" customHeight="1">
      <x:c r="A83" s="1"/>
      <x:c r="B83" s="1"/>
      <x:c r="C83" s="9" t="str">
        <x:f>IF(Borrowers!C83="","",Borrowers!C83)</x:f>
      </x:c>
      <x:c r="D83" s="3" t="n">
        <x:v>1</x:v>
      </x:c>
      <x:c r="E83" s="9" t="n">
        <x:f>Settings!$F$18+0</x:f>
        <x:v>2027</x:v>
      </x:c>
      <x:c r="F83" s="9" t="str">
        <x:f>IF(C83="","",INDEX('Borrowers'!$F$9:$F$108,MATCH(C83,'Borrowers'!$C$9:$C$108,0)))</x:f>
      </x:c>
      <x:c r="G83" s="23" t="str">
        <x:f>IF(C83="","",IFERROR(INDEX('Borrowers'!$J$9:$J$108,MATCH(C83,'Borrowers'!$C$9:$C$108,0))-INDEX('Borrowers'!$K$9:$K$108,MATCH(C83,'Borrowers'!$C$9:$C$108,0)),"Unavailable"))</x:f>
      </x:c>
      <x:c r="H83" s="23" t="str">
        <x:f>IF(C83="","",IFERROR(INDEX('Borrowers'!$I$9:$I$108,MATCH(C83,'Borrowers'!$C$9:$C$108,0))*INDEX('Borrowers'!$U$9:$U$108,MATCH(C83,'Borrowers'!$C$9:$C$108,0))*(IF(F83="Transport",'Scenario Paths'!F156,IF(F83="Technology",'Scenario Paths'!F150,IF(F83="Utilities",'Scenario Paths'!F144,IF(F83="Agriculture",'Scenario Paths'!F138,IF(F83="Manufacturing",'Scenario Paths'!F132,IF(F83="Healthcare",'Scenario Paths'!F126,IF(F83="Hospitality",'Scenario Paths'!F120,IF(F83="Property",'Scenario Paths'!F114,IF(F83="Food",'Scenario Paths'!F108,IF(F83="Logistics",'Scenario Paths'!F102,IF(F83="Solar",'Scenario Paths'!F96,IF(F83="Cement",'Scenario Paths'!F90,0))))))))))))),"Unavailable"))</x:f>
      </x:c>
      <x:c r="I83" s="23" t="str">
        <x:f>IF(C83="","",IFERROR(INDEX('Borrowers'!$R$9:$R$108,MATCH(C83,'Borrowers'!$C$9:$C$108,0))*(1-INDEX('Borrowers'!$W$9:$W$108,MATCH(C83,'Borrowers'!$C$9:$C$108,0))*'Scenario Paths'!F39)*'Scenario Paths'!F9/1000000*(1-INDEX('Borrowers'!$T$9:$T$108,MATCH(C83,'Borrowers'!$C$9:$C$108,0))),"Unavailable"))</x:f>
      </x:c>
      <x:c r="J83" s="23" t="str">
        <x:f>IF(C83="","",IFERROR(INDEX('Borrowers'!$I$9:$I$108,MATCH(C83,'Borrowers'!$C$9:$C$108,0))*INDEX('Borrowers'!$S$9:$S$108,MATCH(C83,'Borrowers'!$C$9:$C$108,0))*'Scenario Paths'!F15*(1-INDEX('Borrowers'!$T$9:$T$108,MATCH(C83,'Borrowers'!$C$9:$C$108,0))),"Unavailable"))</x:f>
      </x:c>
      <x:c r="K83" s="23" t="str">
        <x:f>IF(C83="","",IFERROR(INDEX('Borrowers'!$I$9:$I$108,MATCH(C83,'Borrowers'!$C$9:$C$108,0))*INDEX('Borrowers'!$U$9:$U$108,MATCH(C83,'Borrowers'!$C$9:$C$108,0))*'Scenario Paths'!F21*S83,"Unavailable"))</x:f>
      </x:c>
      <x:c r="L83" s="23" t="str">
        <x:f>IF(C83="","",IFERROR(SUMPRODUCT((Sites!$D$9:$D$108=C83)*Sites!$H$9:$H$108*Sites!$J$9:$J$108*Sites!$K$9:$K$108*(1-Sites!$L$9:$L$108)*(1-Sites!$M$9:$M$108))*'Scenario Paths'!F27,"Unavailable"))</x:f>
      </x:c>
      <x:c r="M83" s="23" t="str">
        <x:f>IF(C83="","",IFERROR(INDEX('Borrowers'!$J$9:$J$108,MATCH(C83,'Borrowers'!$C$9:$C$108,0))+H83-SUM(I83:L83),"Unavailable"))</x:f>
      </x:c>
      <x:c r="N83" s="23" t="str">
        <x:f>IF(C83="","",IFERROR(INDEX('Borrowers'!$I$9:$I$108,MATCH(C83,'Borrowers'!$C$9:$C$108,0))*'Scenario Paths'!F33,"Unavailable"))</x:f>
      </x:c>
      <x:c r="O83" s="23" t="str">
        <x:f>IF(C83="","",IFERROR(M83-INDEX('Borrowers'!$K$9:$K$108,MATCH(C83,'Borrowers'!$C$9:$C$108,0))-N83,"Unavailable"))</x:f>
      </x:c>
      <x:c r="P83" s="127" t="str">
        <x:f>IF(C83="","",IFERROR(O83/INDEX('Borrowers'!$L$9:$L$108,MATCH(C83,'Borrowers'!$C$9:$C$108,0)),"Unavailable"))</x:f>
      </x:c>
      <x:c r="Q83" s="30" t="str">
        <x:f>IF(C83="","",IFERROR(IF(INDEX('Borrowers'!$Z$9:$Z$108,MATCH(C83,'Borrowers'!$C$9:$C$108,0))="Yes",1,IF(INDEX('Borrowers'!$P$9:$P$108,MATCH(C83,'Borrowers'!$C$9:$C$108,0))=0,0,MIN(1,INDEX('Borrowers'!$P$9:$P$108,MATCH(C83,'Borrowers'!$C$9:$C$108,0))*EXP(MIN(20,INDEX('Borrowers'!$V$9:$V$108,MATCH(C83,'Borrowers'!$C$9:$C$108,0))*V83))))),"Unavailable"))</x:f>
      </x:c>
      <x:c r="R83" s="30" t="str">
        <x:f>IF(C83="","",IFERROR(MIN(1,INDEX('Borrowers'!$Q$9:$Q$108,MATCH(C83,'Borrowers'!$C$9:$C$108,0))+(1-INDEX('Borrowers'!$Q$9:$Q$108,MATCH(C83,'Borrowers'!$C$9:$C$108,0)))*T83),"Unavailable"))</x:f>
      </x:c>
      <x:c r="S83" s="30" t="str">
        <x:f>IF(C83="","",IFERROR(SUMPRODUCT((Sites!$D$9:$D$108=C83)*Sites!$I$9:$I$108*Sites!$J$9:$J$108*Sites!$K$9:$K$108*(1-Sites!$L$9:$L$108)),"Unavailable"))</x:f>
      </x:c>
      <x:c r="T83" s="30" t="str">
        <x:f>IF(C83="","",IFERROR(MIN(1,(SUMPRODUCT((Sites!$D$9:$D$108=C83)*Sites!$N$9:$N$108*Sites!$J$9:$J$108*Sites!$K$9:$K$108*(1-Sites!$L$9:$L$108)))*'Scenario Paths'!F27),"Unavailable"))</x:f>
      </x:c>
      <x:c r="U83" s="9" t="str">
        <x:f>IF(C83="","",IF(OR(INDEX('Borrowers'!$AA$9:$AA$108,MATCH(C83,'Borrowers'!$C$9:$C$108,0))&lt;&gt;"Ready",COUNTIF(Sites!$D$9:$D$108,C83)=0,COUNTIFS(Sites!$D$9:$D$108,C83,Sites!$Q$9:$Q$108,"&lt;&gt;Ready")&gt;0,'Scenario Paths'!$F$6&lt;&gt;"Ready"),"Review source inputs","Ready"))</x:f>
      </x:c>
      <x:c r="V83" s="17" t="str">
        <x:f>IF(C83="","",IFERROR(MAX(-1,(G83-O83)/MAX(0.000001,G83)),"Unavailable"))</x:f>
      </x:c>
      <x:c r="W83" s="9" t="str">
        <x:f>IF(C83="","",IFERROR(INDEX('Borrowers'!$D$9:$D$108,MATCH(C83,'Borrowers'!$C$9:$C$108,0)),"Unavailable"))</x:f>
      </x:c>
    </x:row>
    <x:row r="84" ht="26" customHeight="1">
      <x:c r="A84" s="1"/>
      <x:c r="B84" s="1"/>
      <x:c r="C84" s="9" t="str">
        <x:f>IF(Borrowers!C84="","",Borrowers!C84)</x:f>
      </x:c>
      <x:c r="D84" s="3" t="n">
        <x:v>1</x:v>
      </x:c>
      <x:c r="E84" s="9" t="n">
        <x:f>Settings!$F$18+0</x:f>
        <x:v>2027</x:v>
      </x:c>
      <x:c r="F84" s="9" t="str">
        <x:f>IF(C84="","",INDEX('Borrowers'!$F$9:$F$108,MATCH(C84,'Borrowers'!$C$9:$C$108,0)))</x:f>
      </x:c>
      <x:c r="G84" s="23" t="str">
        <x:f>IF(C84="","",IFERROR(INDEX('Borrowers'!$J$9:$J$108,MATCH(C84,'Borrowers'!$C$9:$C$108,0))-INDEX('Borrowers'!$K$9:$K$108,MATCH(C84,'Borrowers'!$C$9:$C$108,0)),"Unavailable"))</x:f>
      </x:c>
      <x:c r="H84" s="23" t="str">
        <x:f>IF(C84="","",IFERROR(INDEX('Borrowers'!$I$9:$I$108,MATCH(C84,'Borrowers'!$C$9:$C$108,0))*INDEX('Borrowers'!$U$9:$U$108,MATCH(C84,'Borrowers'!$C$9:$C$108,0))*(IF(F84="Transport",'Scenario Paths'!F156,IF(F84="Technology",'Scenario Paths'!F150,IF(F84="Utilities",'Scenario Paths'!F144,IF(F84="Agriculture",'Scenario Paths'!F138,IF(F84="Manufacturing",'Scenario Paths'!F132,IF(F84="Healthcare",'Scenario Paths'!F126,IF(F84="Hospitality",'Scenario Paths'!F120,IF(F84="Property",'Scenario Paths'!F114,IF(F84="Food",'Scenario Paths'!F108,IF(F84="Logistics",'Scenario Paths'!F102,IF(F84="Solar",'Scenario Paths'!F96,IF(F84="Cement",'Scenario Paths'!F90,0))))))))))))),"Unavailable"))</x:f>
      </x:c>
      <x:c r="I84" s="23" t="str">
        <x:f>IF(C84="","",IFERROR(INDEX('Borrowers'!$R$9:$R$108,MATCH(C84,'Borrowers'!$C$9:$C$108,0))*(1-INDEX('Borrowers'!$W$9:$W$108,MATCH(C84,'Borrowers'!$C$9:$C$108,0))*'Scenario Paths'!F39)*'Scenario Paths'!F9/1000000*(1-INDEX('Borrowers'!$T$9:$T$108,MATCH(C84,'Borrowers'!$C$9:$C$108,0))),"Unavailable"))</x:f>
      </x:c>
      <x:c r="J84" s="23" t="str">
        <x:f>IF(C84="","",IFERROR(INDEX('Borrowers'!$I$9:$I$108,MATCH(C84,'Borrowers'!$C$9:$C$108,0))*INDEX('Borrowers'!$S$9:$S$108,MATCH(C84,'Borrowers'!$C$9:$C$108,0))*'Scenario Paths'!F15*(1-INDEX('Borrowers'!$T$9:$T$108,MATCH(C84,'Borrowers'!$C$9:$C$108,0))),"Unavailable"))</x:f>
      </x:c>
      <x:c r="K84" s="23" t="str">
        <x:f>IF(C84="","",IFERROR(INDEX('Borrowers'!$I$9:$I$108,MATCH(C84,'Borrowers'!$C$9:$C$108,0))*INDEX('Borrowers'!$U$9:$U$108,MATCH(C84,'Borrowers'!$C$9:$C$108,0))*'Scenario Paths'!F21*S84,"Unavailable"))</x:f>
      </x:c>
      <x:c r="L84" s="23" t="str">
        <x:f>IF(C84="","",IFERROR(SUMPRODUCT((Sites!$D$9:$D$108=C84)*Sites!$H$9:$H$108*Sites!$J$9:$J$108*Sites!$K$9:$K$108*(1-Sites!$L$9:$L$108)*(1-Sites!$M$9:$M$108))*'Scenario Paths'!F27,"Unavailable"))</x:f>
      </x:c>
      <x:c r="M84" s="23" t="str">
        <x:f>IF(C84="","",IFERROR(INDEX('Borrowers'!$J$9:$J$108,MATCH(C84,'Borrowers'!$C$9:$C$108,0))+H84-SUM(I84:L84),"Unavailable"))</x:f>
      </x:c>
      <x:c r="N84" s="23" t="str">
        <x:f>IF(C84="","",IFERROR(INDEX('Borrowers'!$I$9:$I$108,MATCH(C84,'Borrowers'!$C$9:$C$108,0))*'Scenario Paths'!F33,"Unavailable"))</x:f>
      </x:c>
      <x:c r="O84" s="23" t="str">
        <x:f>IF(C84="","",IFERROR(M84-INDEX('Borrowers'!$K$9:$K$108,MATCH(C84,'Borrowers'!$C$9:$C$108,0))-N84,"Unavailable"))</x:f>
      </x:c>
      <x:c r="P84" s="127" t="str">
        <x:f>IF(C84="","",IFERROR(O84/INDEX('Borrowers'!$L$9:$L$108,MATCH(C84,'Borrowers'!$C$9:$C$108,0)),"Unavailable"))</x:f>
      </x:c>
      <x:c r="Q84" s="30" t="str">
        <x:f>IF(C84="","",IFERROR(IF(INDEX('Borrowers'!$Z$9:$Z$108,MATCH(C84,'Borrowers'!$C$9:$C$108,0))="Yes",1,IF(INDEX('Borrowers'!$P$9:$P$108,MATCH(C84,'Borrowers'!$C$9:$C$108,0))=0,0,MIN(1,INDEX('Borrowers'!$P$9:$P$108,MATCH(C84,'Borrowers'!$C$9:$C$108,0))*EXP(MIN(20,INDEX('Borrowers'!$V$9:$V$108,MATCH(C84,'Borrowers'!$C$9:$C$108,0))*V84))))),"Unavailable"))</x:f>
      </x:c>
      <x:c r="R84" s="30" t="str">
        <x:f>IF(C84="","",IFERROR(MIN(1,INDEX('Borrowers'!$Q$9:$Q$108,MATCH(C84,'Borrowers'!$C$9:$C$108,0))+(1-INDEX('Borrowers'!$Q$9:$Q$108,MATCH(C84,'Borrowers'!$C$9:$C$108,0)))*T84),"Unavailable"))</x:f>
      </x:c>
      <x:c r="S84" s="30" t="str">
        <x:f>IF(C84="","",IFERROR(SUMPRODUCT((Sites!$D$9:$D$108=C84)*Sites!$I$9:$I$108*Sites!$J$9:$J$108*Sites!$K$9:$K$108*(1-Sites!$L$9:$L$108)),"Unavailable"))</x:f>
      </x:c>
      <x:c r="T84" s="30" t="str">
        <x:f>IF(C84="","",IFERROR(MIN(1,(SUMPRODUCT((Sites!$D$9:$D$108=C84)*Sites!$N$9:$N$108*Sites!$J$9:$J$108*Sites!$K$9:$K$108*(1-Sites!$L$9:$L$108)))*'Scenario Paths'!F27),"Unavailable"))</x:f>
      </x:c>
      <x:c r="U84" s="9" t="str">
        <x:f>IF(C84="","",IF(OR(INDEX('Borrowers'!$AA$9:$AA$108,MATCH(C84,'Borrowers'!$C$9:$C$108,0))&lt;&gt;"Ready",COUNTIF(Sites!$D$9:$D$108,C84)=0,COUNTIFS(Sites!$D$9:$D$108,C84,Sites!$Q$9:$Q$108,"&lt;&gt;Ready")&gt;0,'Scenario Paths'!$F$6&lt;&gt;"Ready"),"Review source inputs","Ready"))</x:f>
      </x:c>
      <x:c r="V84" s="17" t="str">
        <x:f>IF(C84="","",IFERROR(MAX(-1,(G84-O84)/MAX(0.000001,G84)),"Unavailable"))</x:f>
      </x:c>
      <x:c r="W84" s="9" t="str">
        <x:f>IF(C84="","",IFERROR(INDEX('Borrowers'!$D$9:$D$108,MATCH(C84,'Borrowers'!$C$9:$C$108,0)),"Unavailable"))</x:f>
      </x:c>
    </x:row>
    <x:row r="85" ht="26" customHeight="1">
      <x:c r="A85" s="1"/>
      <x:c r="B85" s="1"/>
      <x:c r="C85" s="9" t="str">
        <x:f>IF(Borrowers!C85="","",Borrowers!C85)</x:f>
      </x:c>
      <x:c r="D85" s="3" t="n">
        <x:v>1</x:v>
      </x:c>
      <x:c r="E85" s="9" t="n">
        <x:f>Settings!$F$18+0</x:f>
        <x:v>2027</x:v>
      </x:c>
      <x:c r="F85" s="9" t="str">
        <x:f>IF(C85="","",INDEX('Borrowers'!$F$9:$F$108,MATCH(C85,'Borrowers'!$C$9:$C$108,0)))</x:f>
      </x:c>
      <x:c r="G85" s="23" t="str">
        <x:f>IF(C85="","",IFERROR(INDEX('Borrowers'!$J$9:$J$108,MATCH(C85,'Borrowers'!$C$9:$C$108,0))-INDEX('Borrowers'!$K$9:$K$108,MATCH(C85,'Borrowers'!$C$9:$C$108,0)),"Unavailable"))</x:f>
      </x:c>
      <x:c r="H85" s="23" t="str">
        <x:f>IF(C85="","",IFERROR(INDEX('Borrowers'!$I$9:$I$108,MATCH(C85,'Borrowers'!$C$9:$C$108,0))*INDEX('Borrowers'!$U$9:$U$108,MATCH(C85,'Borrowers'!$C$9:$C$108,0))*(IF(F85="Transport",'Scenario Paths'!F156,IF(F85="Technology",'Scenario Paths'!F150,IF(F85="Utilities",'Scenario Paths'!F144,IF(F85="Agriculture",'Scenario Paths'!F138,IF(F85="Manufacturing",'Scenario Paths'!F132,IF(F85="Healthcare",'Scenario Paths'!F126,IF(F85="Hospitality",'Scenario Paths'!F120,IF(F85="Property",'Scenario Paths'!F114,IF(F85="Food",'Scenario Paths'!F108,IF(F85="Logistics",'Scenario Paths'!F102,IF(F85="Solar",'Scenario Paths'!F96,IF(F85="Cement",'Scenario Paths'!F90,0))))))))))))),"Unavailable"))</x:f>
      </x:c>
      <x:c r="I85" s="23" t="str">
        <x:f>IF(C85="","",IFERROR(INDEX('Borrowers'!$R$9:$R$108,MATCH(C85,'Borrowers'!$C$9:$C$108,0))*(1-INDEX('Borrowers'!$W$9:$W$108,MATCH(C85,'Borrowers'!$C$9:$C$108,0))*'Scenario Paths'!F39)*'Scenario Paths'!F9/1000000*(1-INDEX('Borrowers'!$T$9:$T$108,MATCH(C85,'Borrowers'!$C$9:$C$108,0))),"Unavailable"))</x:f>
      </x:c>
      <x:c r="J85" s="23" t="str">
        <x:f>IF(C85="","",IFERROR(INDEX('Borrowers'!$I$9:$I$108,MATCH(C85,'Borrowers'!$C$9:$C$108,0))*INDEX('Borrowers'!$S$9:$S$108,MATCH(C85,'Borrowers'!$C$9:$C$108,0))*'Scenario Paths'!F15*(1-INDEX('Borrowers'!$T$9:$T$108,MATCH(C85,'Borrowers'!$C$9:$C$108,0))),"Unavailable"))</x:f>
      </x:c>
      <x:c r="K85" s="23" t="str">
        <x:f>IF(C85="","",IFERROR(INDEX('Borrowers'!$I$9:$I$108,MATCH(C85,'Borrowers'!$C$9:$C$108,0))*INDEX('Borrowers'!$U$9:$U$108,MATCH(C85,'Borrowers'!$C$9:$C$108,0))*'Scenario Paths'!F21*S85,"Unavailable"))</x:f>
      </x:c>
      <x:c r="L85" s="23" t="str">
        <x:f>IF(C85="","",IFERROR(SUMPRODUCT((Sites!$D$9:$D$108=C85)*Sites!$H$9:$H$108*Sites!$J$9:$J$108*Sites!$K$9:$K$108*(1-Sites!$L$9:$L$108)*(1-Sites!$M$9:$M$108))*'Scenario Paths'!F27,"Unavailable"))</x:f>
      </x:c>
      <x:c r="M85" s="23" t="str">
        <x:f>IF(C85="","",IFERROR(INDEX('Borrowers'!$J$9:$J$108,MATCH(C85,'Borrowers'!$C$9:$C$108,0))+H85-SUM(I85:L85),"Unavailable"))</x:f>
      </x:c>
      <x:c r="N85" s="23" t="str">
        <x:f>IF(C85="","",IFERROR(INDEX('Borrowers'!$I$9:$I$108,MATCH(C85,'Borrowers'!$C$9:$C$108,0))*'Scenario Paths'!F33,"Unavailable"))</x:f>
      </x:c>
      <x:c r="O85" s="23" t="str">
        <x:f>IF(C85="","",IFERROR(M85-INDEX('Borrowers'!$K$9:$K$108,MATCH(C85,'Borrowers'!$C$9:$C$108,0))-N85,"Unavailable"))</x:f>
      </x:c>
      <x:c r="P85" s="127" t="str">
        <x:f>IF(C85="","",IFERROR(O85/INDEX('Borrowers'!$L$9:$L$108,MATCH(C85,'Borrowers'!$C$9:$C$108,0)),"Unavailable"))</x:f>
      </x:c>
      <x:c r="Q85" s="30" t="str">
        <x:f>IF(C85="","",IFERROR(IF(INDEX('Borrowers'!$Z$9:$Z$108,MATCH(C85,'Borrowers'!$C$9:$C$108,0))="Yes",1,IF(INDEX('Borrowers'!$P$9:$P$108,MATCH(C85,'Borrowers'!$C$9:$C$108,0))=0,0,MIN(1,INDEX('Borrowers'!$P$9:$P$108,MATCH(C85,'Borrowers'!$C$9:$C$108,0))*EXP(MIN(20,INDEX('Borrowers'!$V$9:$V$108,MATCH(C85,'Borrowers'!$C$9:$C$108,0))*V85))))),"Unavailable"))</x:f>
      </x:c>
      <x:c r="R85" s="30" t="str">
        <x:f>IF(C85="","",IFERROR(MIN(1,INDEX('Borrowers'!$Q$9:$Q$108,MATCH(C85,'Borrowers'!$C$9:$C$108,0))+(1-INDEX('Borrowers'!$Q$9:$Q$108,MATCH(C85,'Borrowers'!$C$9:$C$108,0)))*T85),"Unavailable"))</x:f>
      </x:c>
      <x:c r="S85" s="30" t="str">
        <x:f>IF(C85="","",IFERROR(SUMPRODUCT((Sites!$D$9:$D$108=C85)*Sites!$I$9:$I$108*Sites!$J$9:$J$108*Sites!$K$9:$K$108*(1-Sites!$L$9:$L$108)),"Unavailable"))</x:f>
      </x:c>
      <x:c r="T85" s="30" t="str">
        <x:f>IF(C85="","",IFERROR(MIN(1,(SUMPRODUCT((Sites!$D$9:$D$108=C85)*Sites!$N$9:$N$108*Sites!$J$9:$J$108*Sites!$K$9:$K$108*(1-Sites!$L$9:$L$108)))*'Scenario Paths'!F27),"Unavailable"))</x:f>
      </x:c>
      <x:c r="U85" s="9" t="str">
        <x:f>IF(C85="","",IF(OR(INDEX('Borrowers'!$AA$9:$AA$108,MATCH(C85,'Borrowers'!$C$9:$C$108,0))&lt;&gt;"Ready",COUNTIF(Sites!$D$9:$D$108,C85)=0,COUNTIFS(Sites!$D$9:$D$108,C85,Sites!$Q$9:$Q$108,"&lt;&gt;Ready")&gt;0,'Scenario Paths'!$F$6&lt;&gt;"Ready"),"Review source inputs","Ready"))</x:f>
      </x:c>
      <x:c r="V85" s="17" t="str">
        <x:f>IF(C85="","",IFERROR(MAX(-1,(G85-O85)/MAX(0.000001,G85)),"Unavailable"))</x:f>
      </x:c>
      <x:c r="W85" s="9" t="str">
        <x:f>IF(C85="","",IFERROR(INDEX('Borrowers'!$D$9:$D$108,MATCH(C85,'Borrowers'!$C$9:$C$108,0)),"Unavailable"))</x:f>
      </x:c>
    </x:row>
    <x:row r="86" ht="26" customHeight="1">
      <x:c r="A86" s="1"/>
      <x:c r="B86" s="1"/>
      <x:c r="C86" s="9" t="str">
        <x:f>IF(Borrowers!C86="","",Borrowers!C86)</x:f>
      </x:c>
      <x:c r="D86" s="3" t="n">
        <x:v>1</x:v>
      </x:c>
      <x:c r="E86" s="9" t="n">
        <x:f>Settings!$F$18+0</x:f>
        <x:v>2027</x:v>
      </x:c>
      <x:c r="F86" s="9" t="str">
        <x:f>IF(C86="","",INDEX('Borrowers'!$F$9:$F$108,MATCH(C86,'Borrowers'!$C$9:$C$108,0)))</x:f>
      </x:c>
      <x:c r="G86" s="23" t="str">
        <x:f>IF(C86="","",IFERROR(INDEX('Borrowers'!$J$9:$J$108,MATCH(C86,'Borrowers'!$C$9:$C$108,0))-INDEX('Borrowers'!$K$9:$K$108,MATCH(C86,'Borrowers'!$C$9:$C$108,0)),"Unavailable"))</x:f>
      </x:c>
      <x:c r="H86" s="23" t="str">
        <x:f>IF(C86="","",IFERROR(INDEX('Borrowers'!$I$9:$I$108,MATCH(C86,'Borrowers'!$C$9:$C$108,0))*INDEX('Borrowers'!$U$9:$U$108,MATCH(C86,'Borrowers'!$C$9:$C$108,0))*(IF(F86="Transport",'Scenario Paths'!F156,IF(F86="Technology",'Scenario Paths'!F150,IF(F86="Utilities",'Scenario Paths'!F144,IF(F86="Agriculture",'Scenario Paths'!F138,IF(F86="Manufacturing",'Scenario Paths'!F132,IF(F86="Healthcare",'Scenario Paths'!F126,IF(F86="Hospitality",'Scenario Paths'!F120,IF(F86="Property",'Scenario Paths'!F114,IF(F86="Food",'Scenario Paths'!F108,IF(F86="Logistics",'Scenario Paths'!F102,IF(F86="Solar",'Scenario Paths'!F96,IF(F86="Cement",'Scenario Paths'!F90,0))))))))))))),"Unavailable"))</x:f>
      </x:c>
      <x:c r="I86" s="23" t="str">
        <x:f>IF(C86="","",IFERROR(INDEX('Borrowers'!$R$9:$R$108,MATCH(C86,'Borrowers'!$C$9:$C$108,0))*(1-INDEX('Borrowers'!$W$9:$W$108,MATCH(C86,'Borrowers'!$C$9:$C$108,0))*'Scenario Paths'!F39)*'Scenario Paths'!F9/1000000*(1-INDEX('Borrowers'!$T$9:$T$108,MATCH(C86,'Borrowers'!$C$9:$C$108,0))),"Unavailable"))</x:f>
      </x:c>
      <x:c r="J86" s="23" t="str">
        <x:f>IF(C86="","",IFERROR(INDEX('Borrowers'!$I$9:$I$108,MATCH(C86,'Borrowers'!$C$9:$C$108,0))*INDEX('Borrowers'!$S$9:$S$108,MATCH(C86,'Borrowers'!$C$9:$C$108,0))*'Scenario Paths'!F15*(1-INDEX('Borrowers'!$T$9:$T$108,MATCH(C86,'Borrowers'!$C$9:$C$108,0))),"Unavailable"))</x:f>
      </x:c>
      <x:c r="K86" s="23" t="str">
        <x:f>IF(C86="","",IFERROR(INDEX('Borrowers'!$I$9:$I$108,MATCH(C86,'Borrowers'!$C$9:$C$108,0))*INDEX('Borrowers'!$U$9:$U$108,MATCH(C86,'Borrowers'!$C$9:$C$108,0))*'Scenario Paths'!F21*S86,"Unavailable"))</x:f>
      </x:c>
      <x:c r="L86" s="23" t="str">
        <x:f>IF(C86="","",IFERROR(SUMPRODUCT((Sites!$D$9:$D$108=C86)*Sites!$H$9:$H$108*Sites!$J$9:$J$108*Sites!$K$9:$K$108*(1-Sites!$L$9:$L$108)*(1-Sites!$M$9:$M$108))*'Scenario Paths'!F27,"Unavailable"))</x:f>
      </x:c>
      <x:c r="M86" s="23" t="str">
        <x:f>IF(C86="","",IFERROR(INDEX('Borrowers'!$J$9:$J$108,MATCH(C86,'Borrowers'!$C$9:$C$108,0))+H86-SUM(I86:L86),"Unavailable"))</x:f>
      </x:c>
      <x:c r="N86" s="23" t="str">
        <x:f>IF(C86="","",IFERROR(INDEX('Borrowers'!$I$9:$I$108,MATCH(C86,'Borrowers'!$C$9:$C$108,0))*'Scenario Paths'!F33,"Unavailable"))</x:f>
      </x:c>
      <x:c r="O86" s="23" t="str">
        <x:f>IF(C86="","",IFERROR(M86-INDEX('Borrowers'!$K$9:$K$108,MATCH(C86,'Borrowers'!$C$9:$C$108,0))-N86,"Unavailable"))</x:f>
      </x:c>
      <x:c r="P86" s="127" t="str">
        <x:f>IF(C86="","",IFERROR(O86/INDEX('Borrowers'!$L$9:$L$108,MATCH(C86,'Borrowers'!$C$9:$C$108,0)),"Unavailable"))</x:f>
      </x:c>
      <x:c r="Q86" s="30" t="str">
        <x:f>IF(C86="","",IFERROR(IF(INDEX('Borrowers'!$Z$9:$Z$108,MATCH(C86,'Borrowers'!$C$9:$C$108,0))="Yes",1,IF(INDEX('Borrowers'!$P$9:$P$108,MATCH(C86,'Borrowers'!$C$9:$C$108,0))=0,0,MIN(1,INDEX('Borrowers'!$P$9:$P$108,MATCH(C86,'Borrowers'!$C$9:$C$108,0))*EXP(MIN(20,INDEX('Borrowers'!$V$9:$V$108,MATCH(C86,'Borrowers'!$C$9:$C$108,0))*V86))))),"Unavailable"))</x:f>
      </x:c>
      <x:c r="R86" s="30" t="str">
        <x:f>IF(C86="","",IFERROR(MIN(1,INDEX('Borrowers'!$Q$9:$Q$108,MATCH(C86,'Borrowers'!$C$9:$C$108,0))+(1-INDEX('Borrowers'!$Q$9:$Q$108,MATCH(C86,'Borrowers'!$C$9:$C$108,0)))*T86),"Unavailable"))</x:f>
      </x:c>
      <x:c r="S86" s="30" t="str">
        <x:f>IF(C86="","",IFERROR(SUMPRODUCT((Sites!$D$9:$D$108=C86)*Sites!$I$9:$I$108*Sites!$J$9:$J$108*Sites!$K$9:$K$108*(1-Sites!$L$9:$L$108)),"Unavailable"))</x:f>
      </x:c>
      <x:c r="T86" s="30" t="str">
        <x:f>IF(C86="","",IFERROR(MIN(1,(SUMPRODUCT((Sites!$D$9:$D$108=C86)*Sites!$N$9:$N$108*Sites!$J$9:$J$108*Sites!$K$9:$K$108*(1-Sites!$L$9:$L$108)))*'Scenario Paths'!F27),"Unavailable"))</x:f>
      </x:c>
      <x:c r="U86" s="9" t="str">
        <x:f>IF(C86="","",IF(OR(INDEX('Borrowers'!$AA$9:$AA$108,MATCH(C86,'Borrowers'!$C$9:$C$108,0))&lt;&gt;"Ready",COUNTIF(Sites!$D$9:$D$108,C86)=0,COUNTIFS(Sites!$D$9:$D$108,C86,Sites!$Q$9:$Q$108,"&lt;&gt;Ready")&gt;0,'Scenario Paths'!$F$6&lt;&gt;"Ready"),"Review source inputs","Ready"))</x:f>
      </x:c>
      <x:c r="V86" s="17" t="str">
        <x:f>IF(C86="","",IFERROR(MAX(-1,(G86-O86)/MAX(0.000001,G86)),"Unavailable"))</x:f>
      </x:c>
      <x:c r="W86" s="9" t="str">
        <x:f>IF(C86="","",IFERROR(INDEX('Borrowers'!$D$9:$D$108,MATCH(C86,'Borrowers'!$C$9:$C$108,0)),"Unavailable"))</x:f>
      </x:c>
    </x:row>
    <x:row r="87" ht="26" customHeight="1">
      <x:c r="A87" s="1"/>
      <x:c r="B87" s="1"/>
      <x:c r="C87" s="9" t="str">
        <x:f>IF(Borrowers!C87="","",Borrowers!C87)</x:f>
      </x:c>
      <x:c r="D87" s="3" t="n">
        <x:v>1</x:v>
      </x:c>
      <x:c r="E87" s="9" t="n">
        <x:f>Settings!$F$18+0</x:f>
        <x:v>2027</x:v>
      </x:c>
      <x:c r="F87" s="9" t="str">
        <x:f>IF(C87="","",INDEX('Borrowers'!$F$9:$F$108,MATCH(C87,'Borrowers'!$C$9:$C$108,0)))</x:f>
      </x:c>
      <x:c r="G87" s="23" t="str">
        <x:f>IF(C87="","",IFERROR(INDEX('Borrowers'!$J$9:$J$108,MATCH(C87,'Borrowers'!$C$9:$C$108,0))-INDEX('Borrowers'!$K$9:$K$108,MATCH(C87,'Borrowers'!$C$9:$C$108,0)),"Unavailable"))</x:f>
      </x:c>
      <x:c r="H87" s="23" t="str">
        <x:f>IF(C87="","",IFERROR(INDEX('Borrowers'!$I$9:$I$108,MATCH(C87,'Borrowers'!$C$9:$C$108,0))*INDEX('Borrowers'!$U$9:$U$108,MATCH(C87,'Borrowers'!$C$9:$C$108,0))*(IF(F87="Transport",'Scenario Paths'!F156,IF(F87="Technology",'Scenario Paths'!F150,IF(F87="Utilities",'Scenario Paths'!F144,IF(F87="Agriculture",'Scenario Paths'!F138,IF(F87="Manufacturing",'Scenario Paths'!F132,IF(F87="Healthcare",'Scenario Paths'!F126,IF(F87="Hospitality",'Scenario Paths'!F120,IF(F87="Property",'Scenario Paths'!F114,IF(F87="Food",'Scenario Paths'!F108,IF(F87="Logistics",'Scenario Paths'!F102,IF(F87="Solar",'Scenario Paths'!F96,IF(F87="Cement",'Scenario Paths'!F90,0))))))))))))),"Unavailable"))</x:f>
      </x:c>
      <x:c r="I87" s="23" t="str">
        <x:f>IF(C87="","",IFERROR(INDEX('Borrowers'!$R$9:$R$108,MATCH(C87,'Borrowers'!$C$9:$C$108,0))*(1-INDEX('Borrowers'!$W$9:$W$108,MATCH(C87,'Borrowers'!$C$9:$C$108,0))*'Scenario Paths'!F39)*'Scenario Paths'!F9/1000000*(1-INDEX('Borrowers'!$T$9:$T$108,MATCH(C87,'Borrowers'!$C$9:$C$108,0))),"Unavailable"))</x:f>
      </x:c>
      <x:c r="J87" s="23" t="str">
        <x:f>IF(C87="","",IFERROR(INDEX('Borrowers'!$I$9:$I$108,MATCH(C87,'Borrowers'!$C$9:$C$108,0))*INDEX('Borrowers'!$S$9:$S$108,MATCH(C87,'Borrowers'!$C$9:$C$108,0))*'Scenario Paths'!F15*(1-INDEX('Borrowers'!$T$9:$T$108,MATCH(C87,'Borrowers'!$C$9:$C$108,0))),"Unavailable"))</x:f>
      </x:c>
      <x:c r="K87" s="23" t="str">
        <x:f>IF(C87="","",IFERROR(INDEX('Borrowers'!$I$9:$I$108,MATCH(C87,'Borrowers'!$C$9:$C$108,0))*INDEX('Borrowers'!$U$9:$U$108,MATCH(C87,'Borrowers'!$C$9:$C$108,0))*'Scenario Paths'!F21*S87,"Unavailable"))</x:f>
      </x:c>
      <x:c r="L87" s="23" t="str">
        <x:f>IF(C87="","",IFERROR(SUMPRODUCT((Sites!$D$9:$D$108=C87)*Sites!$H$9:$H$108*Sites!$J$9:$J$108*Sites!$K$9:$K$108*(1-Sites!$L$9:$L$108)*(1-Sites!$M$9:$M$108))*'Scenario Paths'!F27,"Unavailable"))</x:f>
      </x:c>
      <x:c r="M87" s="23" t="str">
        <x:f>IF(C87="","",IFERROR(INDEX('Borrowers'!$J$9:$J$108,MATCH(C87,'Borrowers'!$C$9:$C$108,0))+H87-SUM(I87:L87),"Unavailable"))</x:f>
      </x:c>
      <x:c r="N87" s="23" t="str">
        <x:f>IF(C87="","",IFERROR(INDEX('Borrowers'!$I$9:$I$108,MATCH(C87,'Borrowers'!$C$9:$C$108,0))*'Scenario Paths'!F33,"Unavailable"))</x:f>
      </x:c>
      <x:c r="O87" s="23" t="str">
        <x:f>IF(C87="","",IFERROR(M87-INDEX('Borrowers'!$K$9:$K$108,MATCH(C87,'Borrowers'!$C$9:$C$108,0))-N87,"Unavailable"))</x:f>
      </x:c>
      <x:c r="P87" s="127" t="str">
        <x:f>IF(C87="","",IFERROR(O87/INDEX('Borrowers'!$L$9:$L$108,MATCH(C87,'Borrowers'!$C$9:$C$108,0)),"Unavailable"))</x:f>
      </x:c>
      <x:c r="Q87" s="30" t="str">
        <x:f>IF(C87="","",IFERROR(IF(INDEX('Borrowers'!$Z$9:$Z$108,MATCH(C87,'Borrowers'!$C$9:$C$108,0))="Yes",1,IF(INDEX('Borrowers'!$P$9:$P$108,MATCH(C87,'Borrowers'!$C$9:$C$108,0))=0,0,MIN(1,INDEX('Borrowers'!$P$9:$P$108,MATCH(C87,'Borrowers'!$C$9:$C$108,0))*EXP(MIN(20,INDEX('Borrowers'!$V$9:$V$108,MATCH(C87,'Borrowers'!$C$9:$C$108,0))*V87))))),"Unavailable"))</x:f>
      </x:c>
      <x:c r="R87" s="30" t="str">
        <x:f>IF(C87="","",IFERROR(MIN(1,INDEX('Borrowers'!$Q$9:$Q$108,MATCH(C87,'Borrowers'!$C$9:$C$108,0))+(1-INDEX('Borrowers'!$Q$9:$Q$108,MATCH(C87,'Borrowers'!$C$9:$C$108,0)))*T87),"Unavailable"))</x:f>
      </x:c>
      <x:c r="S87" s="30" t="str">
        <x:f>IF(C87="","",IFERROR(SUMPRODUCT((Sites!$D$9:$D$108=C87)*Sites!$I$9:$I$108*Sites!$J$9:$J$108*Sites!$K$9:$K$108*(1-Sites!$L$9:$L$108)),"Unavailable"))</x:f>
      </x:c>
      <x:c r="T87" s="30" t="str">
        <x:f>IF(C87="","",IFERROR(MIN(1,(SUMPRODUCT((Sites!$D$9:$D$108=C87)*Sites!$N$9:$N$108*Sites!$J$9:$J$108*Sites!$K$9:$K$108*(1-Sites!$L$9:$L$108)))*'Scenario Paths'!F27),"Unavailable"))</x:f>
      </x:c>
      <x:c r="U87" s="9" t="str">
        <x:f>IF(C87="","",IF(OR(INDEX('Borrowers'!$AA$9:$AA$108,MATCH(C87,'Borrowers'!$C$9:$C$108,0))&lt;&gt;"Ready",COUNTIF(Sites!$D$9:$D$108,C87)=0,COUNTIFS(Sites!$D$9:$D$108,C87,Sites!$Q$9:$Q$108,"&lt;&gt;Ready")&gt;0,'Scenario Paths'!$F$6&lt;&gt;"Ready"),"Review source inputs","Ready"))</x:f>
      </x:c>
      <x:c r="V87" s="17" t="str">
        <x:f>IF(C87="","",IFERROR(MAX(-1,(G87-O87)/MAX(0.000001,G87)),"Unavailable"))</x:f>
      </x:c>
      <x:c r="W87" s="9" t="str">
        <x:f>IF(C87="","",IFERROR(INDEX('Borrowers'!$D$9:$D$108,MATCH(C87,'Borrowers'!$C$9:$C$108,0)),"Unavailable"))</x:f>
      </x:c>
    </x:row>
    <x:row r="88" ht="26" customHeight="1">
      <x:c r="A88" s="1"/>
      <x:c r="B88" s="1"/>
      <x:c r="C88" s="9" t="str">
        <x:f>IF(Borrowers!C88="","",Borrowers!C88)</x:f>
      </x:c>
      <x:c r="D88" s="3" t="n">
        <x:v>1</x:v>
      </x:c>
      <x:c r="E88" s="9" t="n">
        <x:f>Settings!$F$18+0</x:f>
        <x:v>2027</x:v>
      </x:c>
      <x:c r="F88" s="9" t="str">
        <x:f>IF(C88="","",INDEX('Borrowers'!$F$9:$F$108,MATCH(C88,'Borrowers'!$C$9:$C$108,0)))</x:f>
      </x:c>
      <x:c r="G88" s="23" t="str">
        <x:f>IF(C88="","",IFERROR(INDEX('Borrowers'!$J$9:$J$108,MATCH(C88,'Borrowers'!$C$9:$C$108,0))-INDEX('Borrowers'!$K$9:$K$108,MATCH(C88,'Borrowers'!$C$9:$C$108,0)),"Unavailable"))</x:f>
      </x:c>
      <x:c r="H88" s="23" t="str">
        <x:f>IF(C88="","",IFERROR(INDEX('Borrowers'!$I$9:$I$108,MATCH(C88,'Borrowers'!$C$9:$C$108,0))*INDEX('Borrowers'!$U$9:$U$108,MATCH(C88,'Borrowers'!$C$9:$C$108,0))*(IF(F88="Transport",'Scenario Paths'!F156,IF(F88="Technology",'Scenario Paths'!F150,IF(F88="Utilities",'Scenario Paths'!F144,IF(F88="Agriculture",'Scenario Paths'!F138,IF(F88="Manufacturing",'Scenario Paths'!F132,IF(F88="Healthcare",'Scenario Paths'!F126,IF(F88="Hospitality",'Scenario Paths'!F120,IF(F88="Property",'Scenario Paths'!F114,IF(F88="Food",'Scenario Paths'!F108,IF(F88="Logistics",'Scenario Paths'!F102,IF(F88="Solar",'Scenario Paths'!F96,IF(F88="Cement",'Scenario Paths'!F90,0))))))))))))),"Unavailable"))</x:f>
      </x:c>
      <x:c r="I88" s="23" t="str">
        <x:f>IF(C88="","",IFERROR(INDEX('Borrowers'!$R$9:$R$108,MATCH(C88,'Borrowers'!$C$9:$C$108,0))*(1-INDEX('Borrowers'!$W$9:$W$108,MATCH(C88,'Borrowers'!$C$9:$C$108,0))*'Scenario Paths'!F39)*'Scenario Paths'!F9/1000000*(1-INDEX('Borrowers'!$T$9:$T$108,MATCH(C88,'Borrowers'!$C$9:$C$108,0))),"Unavailable"))</x:f>
      </x:c>
      <x:c r="J88" s="23" t="str">
        <x:f>IF(C88="","",IFERROR(INDEX('Borrowers'!$I$9:$I$108,MATCH(C88,'Borrowers'!$C$9:$C$108,0))*INDEX('Borrowers'!$S$9:$S$108,MATCH(C88,'Borrowers'!$C$9:$C$108,0))*'Scenario Paths'!F15*(1-INDEX('Borrowers'!$T$9:$T$108,MATCH(C88,'Borrowers'!$C$9:$C$108,0))),"Unavailable"))</x:f>
      </x:c>
      <x:c r="K88" s="23" t="str">
        <x:f>IF(C88="","",IFERROR(INDEX('Borrowers'!$I$9:$I$108,MATCH(C88,'Borrowers'!$C$9:$C$108,0))*INDEX('Borrowers'!$U$9:$U$108,MATCH(C88,'Borrowers'!$C$9:$C$108,0))*'Scenario Paths'!F21*S88,"Unavailable"))</x:f>
      </x:c>
      <x:c r="L88" s="23" t="str">
        <x:f>IF(C88="","",IFERROR(SUMPRODUCT((Sites!$D$9:$D$108=C88)*Sites!$H$9:$H$108*Sites!$J$9:$J$108*Sites!$K$9:$K$108*(1-Sites!$L$9:$L$108)*(1-Sites!$M$9:$M$108))*'Scenario Paths'!F27,"Unavailable"))</x:f>
      </x:c>
      <x:c r="M88" s="23" t="str">
        <x:f>IF(C88="","",IFERROR(INDEX('Borrowers'!$J$9:$J$108,MATCH(C88,'Borrowers'!$C$9:$C$108,0))+H88-SUM(I88:L88),"Unavailable"))</x:f>
      </x:c>
      <x:c r="N88" s="23" t="str">
        <x:f>IF(C88="","",IFERROR(INDEX('Borrowers'!$I$9:$I$108,MATCH(C88,'Borrowers'!$C$9:$C$108,0))*'Scenario Paths'!F33,"Unavailable"))</x:f>
      </x:c>
      <x:c r="O88" s="23" t="str">
        <x:f>IF(C88="","",IFERROR(M88-INDEX('Borrowers'!$K$9:$K$108,MATCH(C88,'Borrowers'!$C$9:$C$108,0))-N88,"Unavailable"))</x:f>
      </x:c>
      <x:c r="P88" s="127" t="str">
        <x:f>IF(C88="","",IFERROR(O88/INDEX('Borrowers'!$L$9:$L$108,MATCH(C88,'Borrowers'!$C$9:$C$108,0)),"Unavailable"))</x:f>
      </x:c>
      <x:c r="Q88" s="30" t="str">
        <x:f>IF(C88="","",IFERROR(IF(INDEX('Borrowers'!$Z$9:$Z$108,MATCH(C88,'Borrowers'!$C$9:$C$108,0))="Yes",1,IF(INDEX('Borrowers'!$P$9:$P$108,MATCH(C88,'Borrowers'!$C$9:$C$108,0))=0,0,MIN(1,INDEX('Borrowers'!$P$9:$P$108,MATCH(C88,'Borrowers'!$C$9:$C$108,0))*EXP(MIN(20,INDEX('Borrowers'!$V$9:$V$108,MATCH(C88,'Borrowers'!$C$9:$C$108,0))*V88))))),"Unavailable"))</x:f>
      </x:c>
      <x:c r="R88" s="30" t="str">
        <x:f>IF(C88="","",IFERROR(MIN(1,INDEX('Borrowers'!$Q$9:$Q$108,MATCH(C88,'Borrowers'!$C$9:$C$108,0))+(1-INDEX('Borrowers'!$Q$9:$Q$108,MATCH(C88,'Borrowers'!$C$9:$C$108,0)))*T88),"Unavailable"))</x:f>
      </x:c>
      <x:c r="S88" s="30" t="str">
        <x:f>IF(C88="","",IFERROR(SUMPRODUCT((Sites!$D$9:$D$108=C88)*Sites!$I$9:$I$108*Sites!$J$9:$J$108*Sites!$K$9:$K$108*(1-Sites!$L$9:$L$108)),"Unavailable"))</x:f>
      </x:c>
      <x:c r="T88" s="30" t="str">
        <x:f>IF(C88="","",IFERROR(MIN(1,(SUMPRODUCT((Sites!$D$9:$D$108=C88)*Sites!$N$9:$N$108*Sites!$J$9:$J$108*Sites!$K$9:$K$108*(1-Sites!$L$9:$L$108)))*'Scenario Paths'!F27),"Unavailable"))</x:f>
      </x:c>
      <x:c r="U88" s="9" t="str">
        <x:f>IF(C88="","",IF(OR(INDEX('Borrowers'!$AA$9:$AA$108,MATCH(C88,'Borrowers'!$C$9:$C$108,0))&lt;&gt;"Ready",COUNTIF(Sites!$D$9:$D$108,C88)=0,COUNTIFS(Sites!$D$9:$D$108,C88,Sites!$Q$9:$Q$108,"&lt;&gt;Ready")&gt;0,'Scenario Paths'!$F$6&lt;&gt;"Ready"),"Review source inputs","Ready"))</x:f>
      </x:c>
      <x:c r="V88" s="17" t="str">
        <x:f>IF(C88="","",IFERROR(MAX(-1,(G88-O88)/MAX(0.000001,G88)),"Unavailable"))</x:f>
      </x:c>
      <x:c r="W88" s="9" t="str">
        <x:f>IF(C88="","",IFERROR(INDEX('Borrowers'!$D$9:$D$108,MATCH(C88,'Borrowers'!$C$9:$C$108,0)),"Unavailable"))</x:f>
      </x:c>
    </x:row>
    <x:row r="89" ht="26" customHeight="1">
      <x:c r="A89" s="1"/>
      <x:c r="B89" s="1"/>
      <x:c r="C89" s="9" t="str">
        <x:f>IF(Borrowers!C89="","",Borrowers!C89)</x:f>
      </x:c>
      <x:c r="D89" s="3" t="n">
        <x:v>1</x:v>
      </x:c>
      <x:c r="E89" s="9" t="n">
        <x:f>Settings!$F$18+0</x:f>
        <x:v>2027</x:v>
      </x:c>
      <x:c r="F89" s="9" t="str">
        <x:f>IF(C89="","",INDEX('Borrowers'!$F$9:$F$108,MATCH(C89,'Borrowers'!$C$9:$C$108,0)))</x:f>
      </x:c>
      <x:c r="G89" s="23" t="str">
        <x:f>IF(C89="","",IFERROR(INDEX('Borrowers'!$J$9:$J$108,MATCH(C89,'Borrowers'!$C$9:$C$108,0))-INDEX('Borrowers'!$K$9:$K$108,MATCH(C89,'Borrowers'!$C$9:$C$108,0)),"Unavailable"))</x:f>
      </x:c>
      <x:c r="H89" s="23" t="str">
        <x:f>IF(C89="","",IFERROR(INDEX('Borrowers'!$I$9:$I$108,MATCH(C89,'Borrowers'!$C$9:$C$108,0))*INDEX('Borrowers'!$U$9:$U$108,MATCH(C89,'Borrowers'!$C$9:$C$108,0))*(IF(F89="Transport",'Scenario Paths'!F156,IF(F89="Technology",'Scenario Paths'!F150,IF(F89="Utilities",'Scenario Paths'!F144,IF(F89="Agriculture",'Scenario Paths'!F138,IF(F89="Manufacturing",'Scenario Paths'!F132,IF(F89="Healthcare",'Scenario Paths'!F126,IF(F89="Hospitality",'Scenario Paths'!F120,IF(F89="Property",'Scenario Paths'!F114,IF(F89="Food",'Scenario Paths'!F108,IF(F89="Logistics",'Scenario Paths'!F102,IF(F89="Solar",'Scenario Paths'!F96,IF(F89="Cement",'Scenario Paths'!F90,0))))))))))))),"Unavailable"))</x:f>
      </x:c>
      <x:c r="I89" s="23" t="str">
        <x:f>IF(C89="","",IFERROR(INDEX('Borrowers'!$R$9:$R$108,MATCH(C89,'Borrowers'!$C$9:$C$108,0))*(1-INDEX('Borrowers'!$W$9:$W$108,MATCH(C89,'Borrowers'!$C$9:$C$108,0))*'Scenario Paths'!F39)*'Scenario Paths'!F9/1000000*(1-INDEX('Borrowers'!$T$9:$T$108,MATCH(C89,'Borrowers'!$C$9:$C$108,0))),"Unavailable"))</x:f>
      </x:c>
      <x:c r="J89" s="23" t="str">
        <x:f>IF(C89="","",IFERROR(INDEX('Borrowers'!$I$9:$I$108,MATCH(C89,'Borrowers'!$C$9:$C$108,0))*INDEX('Borrowers'!$S$9:$S$108,MATCH(C89,'Borrowers'!$C$9:$C$108,0))*'Scenario Paths'!F15*(1-INDEX('Borrowers'!$T$9:$T$108,MATCH(C89,'Borrowers'!$C$9:$C$108,0))),"Unavailable"))</x:f>
      </x:c>
      <x:c r="K89" s="23" t="str">
        <x:f>IF(C89="","",IFERROR(INDEX('Borrowers'!$I$9:$I$108,MATCH(C89,'Borrowers'!$C$9:$C$108,0))*INDEX('Borrowers'!$U$9:$U$108,MATCH(C89,'Borrowers'!$C$9:$C$108,0))*'Scenario Paths'!F21*S89,"Unavailable"))</x:f>
      </x:c>
      <x:c r="L89" s="23" t="str">
        <x:f>IF(C89="","",IFERROR(SUMPRODUCT((Sites!$D$9:$D$108=C89)*Sites!$H$9:$H$108*Sites!$J$9:$J$108*Sites!$K$9:$K$108*(1-Sites!$L$9:$L$108)*(1-Sites!$M$9:$M$108))*'Scenario Paths'!F27,"Unavailable"))</x:f>
      </x:c>
      <x:c r="M89" s="23" t="str">
        <x:f>IF(C89="","",IFERROR(INDEX('Borrowers'!$J$9:$J$108,MATCH(C89,'Borrowers'!$C$9:$C$108,0))+H89-SUM(I89:L89),"Unavailable"))</x:f>
      </x:c>
      <x:c r="N89" s="23" t="str">
        <x:f>IF(C89="","",IFERROR(INDEX('Borrowers'!$I$9:$I$108,MATCH(C89,'Borrowers'!$C$9:$C$108,0))*'Scenario Paths'!F33,"Unavailable"))</x:f>
      </x:c>
      <x:c r="O89" s="23" t="str">
        <x:f>IF(C89="","",IFERROR(M89-INDEX('Borrowers'!$K$9:$K$108,MATCH(C89,'Borrowers'!$C$9:$C$108,0))-N89,"Unavailable"))</x:f>
      </x:c>
      <x:c r="P89" s="127" t="str">
        <x:f>IF(C89="","",IFERROR(O89/INDEX('Borrowers'!$L$9:$L$108,MATCH(C89,'Borrowers'!$C$9:$C$108,0)),"Unavailable"))</x:f>
      </x:c>
      <x:c r="Q89" s="30" t="str">
        <x:f>IF(C89="","",IFERROR(IF(INDEX('Borrowers'!$Z$9:$Z$108,MATCH(C89,'Borrowers'!$C$9:$C$108,0))="Yes",1,IF(INDEX('Borrowers'!$P$9:$P$108,MATCH(C89,'Borrowers'!$C$9:$C$108,0))=0,0,MIN(1,INDEX('Borrowers'!$P$9:$P$108,MATCH(C89,'Borrowers'!$C$9:$C$108,0))*EXP(MIN(20,INDEX('Borrowers'!$V$9:$V$108,MATCH(C89,'Borrowers'!$C$9:$C$108,0))*V89))))),"Unavailable"))</x:f>
      </x:c>
      <x:c r="R89" s="30" t="str">
        <x:f>IF(C89="","",IFERROR(MIN(1,INDEX('Borrowers'!$Q$9:$Q$108,MATCH(C89,'Borrowers'!$C$9:$C$108,0))+(1-INDEX('Borrowers'!$Q$9:$Q$108,MATCH(C89,'Borrowers'!$C$9:$C$108,0)))*T89),"Unavailable"))</x:f>
      </x:c>
      <x:c r="S89" s="30" t="str">
        <x:f>IF(C89="","",IFERROR(SUMPRODUCT((Sites!$D$9:$D$108=C89)*Sites!$I$9:$I$108*Sites!$J$9:$J$108*Sites!$K$9:$K$108*(1-Sites!$L$9:$L$108)),"Unavailable"))</x:f>
      </x:c>
      <x:c r="T89" s="30" t="str">
        <x:f>IF(C89="","",IFERROR(MIN(1,(SUMPRODUCT((Sites!$D$9:$D$108=C89)*Sites!$N$9:$N$108*Sites!$J$9:$J$108*Sites!$K$9:$K$108*(1-Sites!$L$9:$L$108)))*'Scenario Paths'!F27),"Unavailable"))</x:f>
      </x:c>
      <x:c r="U89" s="9" t="str">
        <x:f>IF(C89="","",IF(OR(INDEX('Borrowers'!$AA$9:$AA$108,MATCH(C89,'Borrowers'!$C$9:$C$108,0))&lt;&gt;"Ready",COUNTIF(Sites!$D$9:$D$108,C89)=0,COUNTIFS(Sites!$D$9:$D$108,C89,Sites!$Q$9:$Q$108,"&lt;&gt;Ready")&gt;0,'Scenario Paths'!$F$6&lt;&gt;"Ready"),"Review source inputs","Ready"))</x:f>
      </x:c>
      <x:c r="V89" s="17" t="str">
        <x:f>IF(C89="","",IFERROR(MAX(-1,(G89-O89)/MAX(0.000001,G89)),"Unavailable"))</x:f>
      </x:c>
      <x:c r="W89" s="9" t="str">
        <x:f>IF(C89="","",IFERROR(INDEX('Borrowers'!$D$9:$D$108,MATCH(C89,'Borrowers'!$C$9:$C$108,0)),"Unavailable"))</x:f>
      </x:c>
    </x:row>
    <x:row r="90" ht="26" customHeight="1">
      <x:c r="A90" s="1"/>
      <x:c r="B90" s="1"/>
      <x:c r="C90" s="9" t="str">
        <x:f>IF(Borrowers!C90="","",Borrowers!C90)</x:f>
      </x:c>
      <x:c r="D90" s="3" t="n">
        <x:v>1</x:v>
      </x:c>
      <x:c r="E90" s="9" t="n">
        <x:f>Settings!$F$18+0</x:f>
        <x:v>2027</x:v>
      </x:c>
      <x:c r="F90" s="9" t="str">
        <x:f>IF(C90="","",INDEX('Borrowers'!$F$9:$F$108,MATCH(C90,'Borrowers'!$C$9:$C$108,0)))</x:f>
      </x:c>
      <x:c r="G90" s="23" t="str">
        <x:f>IF(C90="","",IFERROR(INDEX('Borrowers'!$J$9:$J$108,MATCH(C90,'Borrowers'!$C$9:$C$108,0))-INDEX('Borrowers'!$K$9:$K$108,MATCH(C90,'Borrowers'!$C$9:$C$108,0)),"Unavailable"))</x:f>
      </x:c>
      <x:c r="H90" s="23" t="str">
        <x:f>IF(C90="","",IFERROR(INDEX('Borrowers'!$I$9:$I$108,MATCH(C90,'Borrowers'!$C$9:$C$108,0))*INDEX('Borrowers'!$U$9:$U$108,MATCH(C90,'Borrowers'!$C$9:$C$108,0))*(IF(F90="Transport",'Scenario Paths'!F156,IF(F90="Technology",'Scenario Paths'!F150,IF(F90="Utilities",'Scenario Paths'!F144,IF(F90="Agriculture",'Scenario Paths'!F138,IF(F90="Manufacturing",'Scenario Paths'!F132,IF(F90="Healthcare",'Scenario Paths'!F126,IF(F90="Hospitality",'Scenario Paths'!F120,IF(F90="Property",'Scenario Paths'!F114,IF(F90="Food",'Scenario Paths'!F108,IF(F90="Logistics",'Scenario Paths'!F102,IF(F90="Solar",'Scenario Paths'!F96,IF(F90="Cement",'Scenario Paths'!F90,0))))))))))))),"Unavailable"))</x:f>
      </x:c>
      <x:c r="I90" s="23" t="str">
        <x:f>IF(C90="","",IFERROR(INDEX('Borrowers'!$R$9:$R$108,MATCH(C90,'Borrowers'!$C$9:$C$108,0))*(1-INDEX('Borrowers'!$W$9:$W$108,MATCH(C90,'Borrowers'!$C$9:$C$108,0))*'Scenario Paths'!F39)*'Scenario Paths'!F9/1000000*(1-INDEX('Borrowers'!$T$9:$T$108,MATCH(C90,'Borrowers'!$C$9:$C$108,0))),"Unavailable"))</x:f>
      </x:c>
      <x:c r="J90" s="23" t="str">
        <x:f>IF(C90="","",IFERROR(INDEX('Borrowers'!$I$9:$I$108,MATCH(C90,'Borrowers'!$C$9:$C$108,0))*INDEX('Borrowers'!$S$9:$S$108,MATCH(C90,'Borrowers'!$C$9:$C$108,0))*'Scenario Paths'!F15*(1-INDEX('Borrowers'!$T$9:$T$108,MATCH(C90,'Borrowers'!$C$9:$C$108,0))),"Unavailable"))</x:f>
      </x:c>
      <x:c r="K90" s="23" t="str">
        <x:f>IF(C90="","",IFERROR(INDEX('Borrowers'!$I$9:$I$108,MATCH(C90,'Borrowers'!$C$9:$C$108,0))*INDEX('Borrowers'!$U$9:$U$108,MATCH(C90,'Borrowers'!$C$9:$C$108,0))*'Scenario Paths'!F21*S90,"Unavailable"))</x:f>
      </x:c>
      <x:c r="L90" s="23" t="str">
        <x:f>IF(C90="","",IFERROR(SUMPRODUCT((Sites!$D$9:$D$108=C90)*Sites!$H$9:$H$108*Sites!$J$9:$J$108*Sites!$K$9:$K$108*(1-Sites!$L$9:$L$108)*(1-Sites!$M$9:$M$108))*'Scenario Paths'!F27,"Unavailable"))</x:f>
      </x:c>
      <x:c r="M90" s="23" t="str">
        <x:f>IF(C90="","",IFERROR(INDEX('Borrowers'!$J$9:$J$108,MATCH(C90,'Borrowers'!$C$9:$C$108,0))+H90-SUM(I90:L90),"Unavailable"))</x:f>
      </x:c>
      <x:c r="N90" s="23" t="str">
        <x:f>IF(C90="","",IFERROR(INDEX('Borrowers'!$I$9:$I$108,MATCH(C90,'Borrowers'!$C$9:$C$108,0))*'Scenario Paths'!F33,"Unavailable"))</x:f>
      </x:c>
      <x:c r="O90" s="23" t="str">
        <x:f>IF(C90="","",IFERROR(M90-INDEX('Borrowers'!$K$9:$K$108,MATCH(C90,'Borrowers'!$C$9:$C$108,0))-N90,"Unavailable"))</x:f>
      </x:c>
      <x:c r="P90" s="127" t="str">
        <x:f>IF(C90="","",IFERROR(O90/INDEX('Borrowers'!$L$9:$L$108,MATCH(C90,'Borrowers'!$C$9:$C$108,0)),"Unavailable"))</x:f>
      </x:c>
      <x:c r="Q90" s="30" t="str">
        <x:f>IF(C90="","",IFERROR(IF(INDEX('Borrowers'!$Z$9:$Z$108,MATCH(C90,'Borrowers'!$C$9:$C$108,0))="Yes",1,IF(INDEX('Borrowers'!$P$9:$P$108,MATCH(C90,'Borrowers'!$C$9:$C$108,0))=0,0,MIN(1,INDEX('Borrowers'!$P$9:$P$108,MATCH(C90,'Borrowers'!$C$9:$C$108,0))*EXP(MIN(20,INDEX('Borrowers'!$V$9:$V$108,MATCH(C90,'Borrowers'!$C$9:$C$108,0))*V90))))),"Unavailable"))</x:f>
      </x:c>
      <x:c r="R90" s="30" t="str">
        <x:f>IF(C90="","",IFERROR(MIN(1,INDEX('Borrowers'!$Q$9:$Q$108,MATCH(C90,'Borrowers'!$C$9:$C$108,0))+(1-INDEX('Borrowers'!$Q$9:$Q$108,MATCH(C90,'Borrowers'!$C$9:$C$108,0)))*T90),"Unavailable"))</x:f>
      </x:c>
      <x:c r="S90" s="30" t="str">
        <x:f>IF(C90="","",IFERROR(SUMPRODUCT((Sites!$D$9:$D$108=C90)*Sites!$I$9:$I$108*Sites!$J$9:$J$108*Sites!$K$9:$K$108*(1-Sites!$L$9:$L$108)),"Unavailable"))</x:f>
      </x:c>
      <x:c r="T90" s="30" t="str">
        <x:f>IF(C90="","",IFERROR(MIN(1,(SUMPRODUCT((Sites!$D$9:$D$108=C90)*Sites!$N$9:$N$108*Sites!$J$9:$J$108*Sites!$K$9:$K$108*(1-Sites!$L$9:$L$108)))*'Scenario Paths'!F27),"Unavailable"))</x:f>
      </x:c>
      <x:c r="U90" s="9" t="str">
        <x:f>IF(C90="","",IF(OR(INDEX('Borrowers'!$AA$9:$AA$108,MATCH(C90,'Borrowers'!$C$9:$C$108,0))&lt;&gt;"Ready",COUNTIF(Sites!$D$9:$D$108,C90)=0,COUNTIFS(Sites!$D$9:$D$108,C90,Sites!$Q$9:$Q$108,"&lt;&gt;Ready")&gt;0,'Scenario Paths'!$F$6&lt;&gt;"Ready"),"Review source inputs","Ready"))</x:f>
      </x:c>
      <x:c r="V90" s="17" t="str">
        <x:f>IF(C90="","",IFERROR(MAX(-1,(G90-O90)/MAX(0.000001,G90)),"Unavailable"))</x:f>
      </x:c>
      <x:c r="W90" s="9" t="str">
        <x:f>IF(C90="","",IFERROR(INDEX('Borrowers'!$D$9:$D$108,MATCH(C90,'Borrowers'!$C$9:$C$108,0)),"Unavailable"))</x:f>
      </x:c>
    </x:row>
    <x:row r="91" ht="26" customHeight="1">
      <x:c r="A91" s="1"/>
      <x:c r="B91" s="1"/>
      <x:c r="C91" s="9" t="str">
        <x:f>IF(Borrowers!C91="","",Borrowers!C91)</x:f>
      </x:c>
      <x:c r="D91" s="3" t="n">
        <x:v>1</x:v>
      </x:c>
      <x:c r="E91" s="9" t="n">
        <x:f>Settings!$F$18+0</x:f>
        <x:v>2027</x:v>
      </x:c>
      <x:c r="F91" s="9" t="str">
        <x:f>IF(C91="","",INDEX('Borrowers'!$F$9:$F$108,MATCH(C91,'Borrowers'!$C$9:$C$108,0)))</x:f>
      </x:c>
      <x:c r="G91" s="23" t="str">
        <x:f>IF(C91="","",IFERROR(INDEX('Borrowers'!$J$9:$J$108,MATCH(C91,'Borrowers'!$C$9:$C$108,0))-INDEX('Borrowers'!$K$9:$K$108,MATCH(C91,'Borrowers'!$C$9:$C$108,0)),"Unavailable"))</x:f>
      </x:c>
      <x:c r="H91" s="23" t="str">
        <x:f>IF(C91="","",IFERROR(INDEX('Borrowers'!$I$9:$I$108,MATCH(C91,'Borrowers'!$C$9:$C$108,0))*INDEX('Borrowers'!$U$9:$U$108,MATCH(C91,'Borrowers'!$C$9:$C$108,0))*(IF(F91="Transport",'Scenario Paths'!F156,IF(F91="Technology",'Scenario Paths'!F150,IF(F91="Utilities",'Scenario Paths'!F144,IF(F91="Agriculture",'Scenario Paths'!F138,IF(F91="Manufacturing",'Scenario Paths'!F132,IF(F91="Healthcare",'Scenario Paths'!F126,IF(F91="Hospitality",'Scenario Paths'!F120,IF(F91="Property",'Scenario Paths'!F114,IF(F91="Food",'Scenario Paths'!F108,IF(F91="Logistics",'Scenario Paths'!F102,IF(F91="Solar",'Scenario Paths'!F96,IF(F91="Cement",'Scenario Paths'!F90,0))))))))))))),"Unavailable"))</x:f>
      </x:c>
      <x:c r="I91" s="23" t="str">
        <x:f>IF(C91="","",IFERROR(INDEX('Borrowers'!$R$9:$R$108,MATCH(C91,'Borrowers'!$C$9:$C$108,0))*(1-INDEX('Borrowers'!$W$9:$W$108,MATCH(C91,'Borrowers'!$C$9:$C$108,0))*'Scenario Paths'!F39)*'Scenario Paths'!F9/1000000*(1-INDEX('Borrowers'!$T$9:$T$108,MATCH(C91,'Borrowers'!$C$9:$C$108,0))),"Unavailable"))</x:f>
      </x:c>
      <x:c r="J91" s="23" t="str">
        <x:f>IF(C91="","",IFERROR(INDEX('Borrowers'!$I$9:$I$108,MATCH(C91,'Borrowers'!$C$9:$C$108,0))*INDEX('Borrowers'!$S$9:$S$108,MATCH(C91,'Borrowers'!$C$9:$C$108,0))*'Scenario Paths'!F15*(1-INDEX('Borrowers'!$T$9:$T$108,MATCH(C91,'Borrowers'!$C$9:$C$108,0))),"Unavailable"))</x:f>
      </x:c>
      <x:c r="K91" s="23" t="str">
        <x:f>IF(C91="","",IFERROR(INDEX('Borrowers'!$I$9:$I$108,MATCH(C91,'Borrowers'!$C$9:$C$108,0))*INDEX('Borrowers'!$U$9:$U$108,MATCH(C91,'Borrowers'!$C$9:$C$108,0))*'Scenario Paths'!F21*S91,"Unavailable"))</x:f>
      </x:c>
      <x:c r="L91" s="23" t="str">
        <x:f>IF(C91="","",IFERROR(SUMPRODUCT((Sites!$D$9:$D$108=C91)*Sites!$H$9:$H$108*Sites!$J$9:$J$108*Sites!$K$9:$K$108*(1-Sites!$L$9:$L$108)*(1-Sites!$M$9:$M$108))*'Scenario Paths'!F27,"Unavailable"))</x:f>
      </x:c>
      <x:c r="M91" s="23" t="str">
        <x:f>IF(C91="","",IFERROR(INDEX('Borrowers'!$J$9:$J$108,MATCH(C91,'Borrowers'!$C$9:$C$108,0))+H91-SUM(I91:L91),"Unavailable"))</x:f>
      </x:c>
      <x:c r="N91" s="23" t="str">
        <x:f>IF(C91="","",IFERROR(INDEX('Borrowers'!$I$9:$I$108,MATCH(C91,'Borrowers'!$C$9:$C$108,0))*'Scenario Paths'!F33,"Unavailable"))</x:f>
      </x:c>
      <x:c r="O91" s="23" t="str">
        <x:f>IF(C91="","",IFERROR(M91-INDEX('Borrowers'!$K$9:$K$108,MATCH(C91,'Borrowers'!$C$9:$C$108,0))-N91,"Unavailable"))</x:f>
      </x:c>
      <x:c r="P91" s="127" t="str">
        <x:f>IF(C91="","",IFERROR(O91/INDEX('Borrowers'!$L$9:$L$108,MATCH(C91,'Borrowers'!$C$9:$C$108,0)),"Unavailable"))</x:f>
      </x:c>
      <x:c r="Q91" s="30" t="str">
        <x:f>IF(C91="","",IFERROR(IF(INDEX('Borrowers'!$Z$9:$Z$108,MATCH(C91,'Borrowers'!$C$9:$C$108,0))="Yes",1,IF(INDEX('Borrowers'!$P$9:$P$108,MATCH(C91,'Borrowers'!$C$9:$C$108,0))=0,0,MIN(1,INDEX('Borrowers'!$P$9:$P$108,MATCH(C91,'Borrowers'!$C$9:$C$108,0))*EXP(MIN(20,INDEX('Borrowers'!$V$9:$V$108,MATCH(C91,'Borrowers'!$C$9:$C$108,0))*V91))))),"Unavailable"))</x:f>
      </x:c>
      <x:c r="R91" s="30" t="str">
        <x:f>IF(C91="","",IFERROR(MIN(1,INDEX('Borrowers'!$Q$9:$Q$108,MATCH(C91,'Borrowers'!$C$9:$C$108,0))+(1-INDEX('Borrowers'!$Q$9:$Q$108,MATCH(C91,'Borrowers'!$C$9:$C$108,0)))*T91),"Unavailable"))</x:f>
      </x:c>
      <x:c r="S91" s="30" t="str">
        <x:f>IF(C91="","",IFERROR(SUMPRODUCT((Sites!$D$9:$D$108=C91)*Sites!$I$9:$I$108*Sites!$J$9:$J$108*Sites!$K$9:$K$108*(1-Sites!$L$9:$L$108)),"Unavailable"))</x:f>
      </x:c>
      <x:c r="T91" s="30" t="str">
        <x:f>IF(C91="","",IFERROR(MIN(1,(SUMPRODUCT((Sites!$D$9:$D$108=C91)*Sites!$N$9:$N$108*Sites!$J$9:$J$108*Sites!$K$9:$K$108*(1-Sites!$L$9:$L$108)))*'Scenario Paths'!F27),"Unavailable"))</x:f>
      </x:c>
      <x:c r="U91" s="9" t="str">
        <x:f>IF(C91="","",IF(OR(INDEX('Borrowers'!$AA$9:$AA$108,MATCH(C91,'Borrowers'!$C$9:$C$108,0))&lt;&gt;"Ready",COUNTIF(Sites!$D$9:$D$108,C91)=0,COUNTIFS(Sites!$D$9:$D$108,C91,Sites!$Q$9:$Q$108,"&lt;&gt;Ready")&gt;0,'Scenario Paths'!$F$6&lt;&gt;"Ready"),"Review source inputs","Ready"))</x:f>
      </x:c>
      <x:c r="V91" s="17" t="str">
        <x:f>IF(C91="","",IFERROR(MAX(-1,(G91-O91)/MAX(0.000001,G91)),"Unavailable"))</x:f>
      </x:c>
      <x:c r="W91" s="9" t="str">
        <x:f>IF(C91="","",IFERROR(INDEX('Borrowers'!$D$9:$D$108,MATCH(C91,'Borrowers'!$C$9:$C$108,0)),"Unavailable"))</x:f>
      </x:c>
    </x:row>
    <x:row r="92" ht="26" customHeight="1">
      <x:c r="A92" s="1"/>
      <x:c r="B92" s="1"/>
      <x:c r="C92" s="9" t="str">
        <x:f>IF(Borrowers!C92="","",Borrowers!C92)</x:f>
      </x:c>
      <x:c r="D92" s="3" t="n">
        <x:v>1</x:v>
      </x:c>
      <x:c r="E92" s="9" t="n">
        <x:f>Settings!$F$18+0</x:f>
        <x:v>2027</x:v>
      </x:c>
      <x:c r="F92" s="9" t="str">
        <x:f>IF(C92="","",INDEX('Borrowers'!$F$9:$F$108,MATCH(C92,'Borrowers'!$C$9:$C$108,0)))</x:f>
      </x:c>
      <x:c r="G92" s="23" t="str">
        <x:f>IF(C92="","",IFERROR(INDEX('Borrowers'!$J$9:$J$108,MATCH(C92,'Borrowers'!$C$9:$C$108,0))-INDEX('Borrowers'!$K$9:$K$108,MATCH(C92,'Borrowers'!$C$9:$C$108,0)),"Unavailable"))</x:f>
      </x:c>
      <x:c r="H92" s="23" t="str">
        <x:f>IF(C92="","",IFERROR(INDEX('Borrowers'!$I$9:$I$108,MATCH(C92,'Borrowers'!$C$9:$C$108,0))*INDEX('Borrowers'!$U$9:$U$108,MATCH(C92,'Borrowers'!$C$9:$C$108,0))*(IF(F92="Transport",'Scenario Paths'!F156,IF(F92="Technology",'Scenario Paths'!F150,IF(F92="Utilities",'Scenario Paths'!F144,IF(F92="Agriculture",'Scenario Paths'!F138,IF(F92="Manufacturing",'Scenario Paths'!F132,IF(F92="Healthcare",'Scenario Paths'!F126,IF(F92="Hospitality",'Scenario Paths'!F120,IF(F92="Property",'Scenario Paths'!F114,IF(F92="Food",'Scenario Paths'!F108,IF(F92="Logistics",'Scenario Paths'!F102,IF(F92="Solar",'Scenario Paths'!F96,IF(F92="Cement",'Scenario Paths'!F90,0))))))))))))),"Unavailable"))</x:f>
      </x:c>
      <x:c r="I92" s="23" t="str">
        <x:f>IF(C92="","",IFERROR(INDEX('Borrowers'!$R$9:$R$108,MATCH(C92,'Borrowers'!$C$9:$C$108,0))*(1-INDEX('Borrowers'!$W$9:$W$108,MATCH(C92,'Borrowers'!$C$9:$C$108,0))*'Scenario Paths'!F39)*'Scenario Paths'!F9/1000000*(1-INDEX('Borrowers'!$T$9:$T$108,MATCH(C92,'Borrowers'!$C$9:$C$108,0))),"Unavailable"))</x:f>
      </x:c>
      <x:c r="J92" s="23" t="str">
        <x:f>IF(C92="","",IFERROR(INDEX('Borrowers'!$I$9:$I$108,MATCH(C92,'Borrowers'!$C$9:$C$108,0))*INDEX('Borrowers'!$S$9:$S$108,MATCH(C92,'Borrowers'!$C$9:$C$108,0))*'Scenario Paths'!F15*(1-INDEX('Borrowers'!$T$9:$T$108,MATCH(C92,'Borrowers'!$C$9:$C$108,0))),"Unavailable"))</x:f>
      </x:c>
      <x:c r="K92" s="23" t="str">
        <x:f>IF(C92="","",IFERROR(INDEX('Borrowers'!$I$9:$I$108,MATCH(C92,'Borrowers'!$C$9:$C$108,0))*INDEX('Borrowers'!$U$9:$U$108,MATCH(C92,'Borrowers'!$C$9:$C$108,0))*'Scenario Paths'!F21*S92,"Unavailable"))</x:f>
      </x:c>
      <x:c r="L92" s="23" t="str">
        <x:f>IF(C92="","",IFERROR(SUMPRODUCT((Sites!$D$9:$D$108=C92)*Sites!$H$9:$H$108*Sites!$J$9:$J$108*Sites!$K$9:$K$108*(1-Sites!$L$9:$L$108)*(1-Sites!$M$9:$M$108))*'Scenario Paths'!F27,"Unavailable"))</x:f>
      </x:c>
      <x:c r="M92" s="23" t="str">
        <x:f>IF(C92="","",IFERROR(INDEX('Borrowers'!$J$9:$J$108,MATCH(C92,'Borrowers'!$C$9:$C$108,0))+H92-SUM(I92:L92),"Unavailable"))</x:f>
      </x:c>
      <x:c r="N92" s="23" t="str">
        <x:f>IF(C92="","",IFERROR(INDEX('Borrowers'!$I$9:$I$108,MATCH(C92,'Borrowers'!$C$9:$C$108,0))*'Scenario Paths'!F33,"Unavailable"))</x:f>
      </x:c>
      <x:c r="O92" s="23" t="str">
        <x:f>IF(C92="","",IFERROR(M92-INDEX('Borrowers'!$K$9:$K$108,MATCH(C92,'Borrowers'!$C$9:$C$108,0))-N92,"Unavailable"))</x:f>
      </x:c>
      <x:c r="P92" s="127" t="str">
        <x:f>IF(C92="","",IFERROR(O92/INDEX('Borrowers'!$L$9:$L$108,MATCH(C92,'Borrowers'!$C$9:$C$108,0)),"Unavailable"))</x:f>
      </x:c>
      <x:c r="Q92" s="30" t="str">
        <x:f>IF(C92="","",IFERROR(IF(INDEX('Borrowers'!$Z$9:$Z$108,MATCH(C92,'Borrowers'!$C$9:$C$108,0))="Yes",1,IF(INDEX('Borrowers'!$P$9:$P$108,MATCH(C92,'Borrowers'!$C$9:$C$108,0))=0,0,MIN(1,INDEX('Borrowers'!$P$9:$P$108,MATCH(C92,'Borrowers'!$C$9:$C$108,0))*EXP(MIN(20,INDEX('Borrowers'!$V$9:$V$108,MATCH(C92,'Borrowers'!$C$9:$C$108,0))*V92))))),"Unavailable"))</x:f>
      </x:c>
      <x:c r="R92" s="30" t="str">
        <x:f>IF(C92="","",IFERROR(MIN(1,INDEX('Borrowers'!$Q$9:$Q$108,MATCH(C92,'Borrowers'!$C$9:$C$108,0))+(1-INDEX('Borrowers'!$Q$9:$Q$108,MATCH(C92,'Borrowers'!$C$9:$C$108,0)))*T92),"Unavailable"))</x:f>
      </x:c>
      <x:c r="S92" s="30" t="str">
        <x:f>IF(C92="","",IFERROR(SUMPRODUCT((Sites!$D$9:$D$108=C92)*Sites!$I$9:$I$108*Sites!$J$9:$J$108*Sites!$K$9:$K$108*(1-Sites!$L$9:$L$108)),"Unavailable"))</x:f>
      </x:c>
      <x:c r="T92" s="30" t="str">
        <x:f>IF(C92="","",IFERROR(MIN(1,(SUMPRODUCT((Sites!$D$9:$D$108=C92)*Sites!$N$9:$N$108*Sites!$J$9:$J$108*Sites!$K$9:$K$108*(1-Sites!$L$9:$L$108)))*'Scenario Paths'!F27),"Unavailable"))</x:f>
      </x:c>
      <x:c r="U92" s="9" t="str">
        <x:f>IF(C92="","",IF(OR(INDEX('Borrowers'!$AA$9:$AA$108,MATCH(C92,'Borrowers'!$C$9:$C$108,0))&lt;&gt;"Ready",COUNTIF(Sites!$D$9:$D$108,C92)=0,COUNTIFS(Sites!$D$9:$D$108,C92,Sites!$Q$9:$Q$108,"&lt;&gt;Ready")&gt;0,'Scenario Paths'!$F$6&lt;&gt;"Ready"),"Review source inputs","Ready"))</x:f>
      </x:c>
      <x:c r="V92" s="17" t="str">
        <x:f>IF(C92="","",IFERROR(MAX(-1,(G92-O92)/MAX(0.000001,G92)),"Unavailable"))</x:f>
      </x:c>
      <x:c r="W92" s="9" t="str">
        <x:f>IF(C92="","",IFERROR(INDEX('Borrowers'!$D$9:$D$108,MATCH(C92,'Borrowers'!$C$9:$C$108,0)),"Unavailable"))</x:f>
      </x:c>
    </x:row>
    <x:row r="93" ht="26" customHeight="1">
      <x:c r="A93" s="1"/>
      <x:c r="B93" s="1"/>
      <x:c r="C93" s="9" t="str">
        <x:f>IF(Borrowers!C93="","",Borrowers!C93)</x:f>
      </x:c>
      <x:c r="D93" s="3" t="n">
        <x:v>1</x:v>
      </x:c>
      <x:c r="E93" s="9" t="n">
        <x:f>Settings!$F$18+0</x:f>
        <x:v>2027</x:v>
      </x:c>
      <x:c r="F93" s="9" t="str">
        <x:f>IF(C93="","",INDEX('Borrowers'!$F$9:$F$108,MATCH(C93,'Borrowers'!$C$9:$C$108,0)))</x:f>
      </x:c>
      <x:c r="G93" s="23" t="str">
        <x:f>IF(C93="","",IFERROR(INDEX('Borrowers'!$J$9:$J$108,MATCH(C93,'Borrowers'!$C$9:$C$108,0))-INDEX('Borrowers'!$K$9:$K$108,MATCH(C93,'Borrowers'!$C$9:$C$108,0)),"Unavailable"))</x:f>
      </x:c>
      <x:c r="H93" s="23" t="str">
        <x:f>IF(C93="","",IFERROR(INDEX('Borrowers'!$I$9:$I$108,MATCH(C93,'Borrowers'!$C$9:$C$108,0))*INDEX('Borrowers'!$U$9:$U$108,MATCH(C93,'Borrowers'!$C$9:$C$108,0))*(IF(F93="Transport",'Scenario Paths'!F156,IF(F93="Technology",'Scenario Paths'!F150,IF(F93="Utilities",'Scenario Paths'!F144,IF(F93="Agriculture",'Scenario Paths'!F138,IF(F93="Manufacturing",'Scenario Paths'!F132,IF(F93="Healthcare",'Scenario Paths'!F126,IF(F93="Hospitality",'Scenario Paths'!F120,IF(F93="Property",'Scenario Paths'!F114,IF(F93="Food",'Scenario Paths'!F108,IF(F93="Logistics",'Scenario Paths'!F102,IF(F93="Solar",'Scenario Paths'!F96,IF(F93="Cement",'Scenario Paths'!F90,0))))))))))))),"Unavailable"))</x:f>
      </x:c>
      <x:c r="I93" s="23" t="str">
        <x:f>IF(C93="","",IFERROR(INDEX('Borrowers'!$R$9:$R$108,MATCH(C93,'Borrowers'!$C$9:$C$108,0))*(1-INDEX('Borrowers'!$W$9:$W$108,MATCH(C93,'Borrowers'!$C$9:$C$108,0))*'Scenario Paths'!F39)*'Scenario Paths'!F9/1000000*(1-INDEX('Borrowers'!$T$9:$T$108,MATCH(C93,'Borrowers'!$C$9:$C$108,0))),"Unavailable"))</x:f>
      </x:c>
      <x:c r="J93" s="23" t="str">
        <x:f>IF(C93="","",IFERROR(INDEX('Borrowers'!$I$9:$I$108,MATCH(C93,'Borrowers'!$C$9:$C$108,0))*INDEX('Borrowers'!$S$9:$S$108,MATCH(C93,'Borrowers'!$C$9:$C$108,0))*'Scenario Paths'!F15*(1-INDEX('Borrowers'!$T$9:$T$108,MATCH(C93,'Borrowers'!$C$9:$C$108,0))),"Unavailable"))</x:f>
      </x:c>
      <x:c r="K93" s="23" t="str">
        <x:f>IF(C93="","",IFERROR(INDEX('Borrowers'!$I$9:$I$108,MATCH(C93,'Borrowers'!$C$9:$C$108,0))*INDEX('Borrowers'!$U$9:$U$108,MATCH(C93,'Borrowers'!$C$9:$C$108,0))*'Scenario Paths'!F21*S93,"Unavailable"))</x:f>
      </x:c>
      <x:c r="L93" s="23" t="str">
        <x:f>IF(C93="","",IFERROR(SUMPRODUCT((Sites!$D$9:$D$108=C93)*Sites!$H$9:$H$108*Sites!$J$9:$J$108*Sites!$K$9:$K$108*(1-Sites!$L$9:$L$108)*(1-Sites!$M$9:$M$108))*'Scenario Paths'!F27,"Unavailable"))</x:f>
      </x:c>
      <x:c r="M93" s="23" t="str">
        <x:f>IF(C93="","",IFERROR(INDEX('Borrowers'!$J$9:$J$108,MATCH(C93,'Borrowers'!$C$9:$C$108,0))+H93-SUM(I93:L93),"Unavailable"))</x:f>
      </x:c>
      <x:c r="N93" s="23" t="str">
        <x:f>IF(C93="","",IFERROR(INDEX('Borrowers'!$I$9:$I$108,MATCH(C93,'Borrowers'!$C$9:$C$108,0))*'Scenario Paths'!F33,"Unavailable"))</x:f>
      </x:c>
      <x:c r="O93" s="23" t="str">
        <x:f>IF(C93="","",IFERROR(M93-INDEX('Borrowers'!$K$9:$K$108,MATCH(C93,'Borrowers'!$C$9:$C$108,0))-N93,"Unavailable"))</x:f>
      </x:c>
      <x:c r="P93" s="127" t="str">
        <x:f>IF(C93="","",IFERROR(O93/INDEX('Borrowers'!$L$9:$L$108,MATCH(C93,'Borrowers'!$C$9:$C$108,0)),"Unavailable"))</x:f>
      </x:c>
      <x:c r="Q93" s="30" t="str">
        <x:f>IF(C93="","",IFERROR(IF(INDEX('Borrowers'!$Z$9:$Z$108,MATCH(C93,'Borrowers'!$C$9:$C$108,0))="Yes",1,IF(INDEX('Borrowers'!$P$9:$P$108,MATCH(C93,'Borrowers'!$C$9:$C$108,0))=0,0,MIN(1,INDEX('Borrowers'!$P$9:$P$108,MATCH(C93,'Borrowers'!$C$9:$C$108,0))*EXP(MIN(20,INDEX('Borrowers'!$V$9:$V$108,MATCH(C93,'Borrowers'!$C$9:$C$108,0))*V93))))),"Unavailable"))</x:f>
      </x:c>
      <x:c r="R93" s="30" t="str">
        <x:f>IF(C93="","",IFERROR(MIN(1,INDEX('Borrowers'!$Q$9:$Q$108,MATCH(C93,'Borrowers'!$C$9:$C$108,0))+(1-INDEX('Borrowers'!$Q$9:$Q$108,MATCH(C93,'Borrowers'!$C$9:$C$108,0)))*T93),"Unavailable"))</x:f>
      </x:c>
      <x:c r="S93" s="30" t="str">
        <x:f>IF(C93="","",IFERROR(SUMPRODUCT((Sites!$D$9:$D$108=C93)*Sites!$I$9:$I$108*Sites!$J$9:$J$108*Sites!$K$9:$K$108*(1-Sites!$L$9:$L$108)),"Unavailable"))</x:f>
      </x:c>
      <x:c r="T93" s="30" t="str">
        <x:f>IF(C93="","",IFERROR(MIN(1,(SUMPRODUCT((Sites!$D$9:$D$108=C93)*Sites!$N$9:$N$108*Sites!$J$9:$J$108*Sites!$K$9:$K$108*(1-Sites!$L$9:$L$108)))*'Scenario Paths'!F27),"Unavailable"))</x:f>
      </x:c>
      <x:c r="U93" s="9" t="str">
        <x:f>IF(C93="","",IF(OR(INDEX('Borrowers'!$AA$9:$AA$108,MATCH(C93,'Borrowers'!$C$9:$C$108,0))&lt;&gt;"Ready",COUNTIF(Sites!$D$9:$D$108,C93)=0,COUNTIFS(Sites!$D$9:$D$108,C93,Sites!$Q$9:$Q$108,"&lt;&gt;Ready")&gt;0,'Scenario Paths'!$F$6&lt;&gt;"Ready"),"Review source inputs","Ready"))</x:f>
      </x:c>
      <x:c r="V93" s="17" t="str">
        <x:f>IF(C93="","",IFERROR(MAX(-1,(G93-O93)/MAX(0.000001,G93)),"Unavailable"))</x:f>
      </x:c>
      <x:c r="W93" s="9" t="str">
        <x:f>IF(C93="","",IFERROR(INDEX('Borrowers'!$D$9:$D$108,MATCH(C93,'Borrowers'!$C$9:$C$108,0)),"Unavailable"))</x:f>
      </x:c>
    </x:row>
    <x:row r="94" ht="26" customHeight="1">
      <x:c r="A94" s="1"/>
      <x:c r="B94" s="1"/>
      <x:c r="C94" s="9" t="str">
        <x:f>IF(Borrowers!C94="","",Borrowers!C94)</x:f>
      </x:c>
      <x:c r="D94" s="3" t="n">
        <x:v>1</x:v>
      </x:c>
      <x:c r="E94" s="9" t="n">
        <x:f>Settings!$F$18+0</x:f>
        <x:v>2027</x:v>
      </x:c>
      <x:c r="F94" s="9" t="str">
        <x:f>IF(C94="","",INDEX('Borrowers'!$F$9:$F$108,MATCH(C94,'Borrowers'!$C$9:$C$108,0)))</x:f>
      </x:c>
      <x:c r="G94" s="23" t="str">
        <x:f>IF(C94="","",IFERROR(INDEX('Borrowers'!$J$9:$J$108,MATCH(C94,'Borrowers'!$C$9:$C$108,0))-INDEX('Borrowers'!$K$9:$K$108,MATCH(C94,'Borrowers'!$C$9:$C$108,0)),"Unavailable"))</x:f>
      </x:c>
      <x:c r="H94" s="23" t="str">
        <x:f>IF(C94="","",IFERROR(INDEX('Borrowers'!$I$9:$I$108,MATCH(C94,'Borrowers'!$C$9:$C$108,0))*INDEX('Borrowers'!$U$9:$U$108,MATCH(C94,'Borrowers'!$C$9:$C$108,0))*(IF(F94="Transport",'Scenario Paths'!F156,IF(F94="Technology",'Scenario Paths'!F150,IF(F94="Utilities",'Scenario Paths'!F144,IF(F94="Agriculture",'Scenario Paths'!F138,IF(F94="Manufacturing",'Scenario Paths'!F132,IF(F94="Healthcare",'Scenario Paths'!F126,IF(F94="Hospitality",'Scenario Paths'!F120,IF(F94="Property",'Scenario Paths'!F114,IF(F94="Food",'Scenario Paths'!F108,IF(F94="Logistics",'Scenario Paths'!F102,IF(F94="Solar",'Scenario Paths'!F96,IF(F94="Cement",'Scenario Paths'!F90,0))))))))))))),"Unavailable"))</x:f>
      </x:c>
      <x:c r="I94" s="23" t="str">
        <x:f>IF(C94="","",IFERROR(INDEX('Borrowers'!$R$9:$R$108,MATCH(C94,'Borrowers'!$C$9:$C$108,0))*(1-INDEX('Borrowers'!$W$9:$W$108,MATCH(C94,'Borrowers'!$C$9:$C$108,0))*'Scenario Paths'!F39)*'Scenario Paths'!F9/1000000*(1-INDEX('Borrowers'!$T$9:$T$108,MATCH(C94,'Borrowers'!$C$9:$C$108,0))),"Unavailable"))</x:f>
      </x:c>
      <x:c r="J94" s="23" t="str">
        <x:f>IF(C94="","",IFERROR(INDEX('Borrowers'!$I$9:$I$108,MATCH(C94,'Borrowers'!$C$9:$C$108,0))*INDEX('Borrowers'!$S$9:$S$108,MATCH(C94,'Borrowers'!$C$9:$C$108,0))*'Scenario Paths'!F15*(1-INDEX('Borrowers'!$T$9:$T$108,MATCH(C94,'Borrowers'!$C$9:$C$108,0))),"Unavailable"))</x:f>
      </x:c>
      <x:c r="K94" s="23" t="str">
        <x:f>IF(C94="","",IFERROR(INDEX('Borrowers'!$I$9:$I$108,MATCH(C94,'Borrowers'!$C$9:$C$108,0))*INDEX('Borrowers'!$U$9:$U$108,MATCH(C94,'Borrowers'!$C$9:$C$108,0))*'Scenario Paths'!F21*S94,"Unavailable"))</x:f>
      </x:c>
      <x:c r="L94" s="23" t="str">
        <x:f>IF(C94="","",IFERROR(SUMPRODUCT((Sites!$D$9:$D$108=C94)*Sites!$H$9:$H$108*Sites!$J$9:$J$108*Sites!$K$9:$K$108*(1-Sites!$L$9:$L$108)*(1-Sites!$M$9:$M$108))*'Scenario Paths'!F27,"Unavailable"))</x:f>
      </x:c>
      <x:c r="M94" s="23" t="str">
        <x:f>IF(C94="","",IFERROR(INDEX('Borrowers'!$J$9:$J$108,MATCH(C94,'Borrowers'!$C$9:$C$108,0))+H94-SUM(I94:L94),"Unavailable"))</x:f>
      </x:c>
      <x:c r="N94" s="23" t="str">
        <x:f>IF(C94="","",IFERROR(INDEX('Borrowers'!$I$9:$I$108,MATCH(C94,'Borrowers'!$C$9:$C$108,0))*'Scenario Paths'!F33,"Unavailable"))</x:f>
      </x:c>
      <x:c r="O94" s="23" t="str">
        <x:f>IF(C94="","",IFERROR(M94-INDEX('Borrowers'!$K$9:$K$108,MATCH(C94,'Borrowers'!$C$9:$C$108,0))-N94,"Unavailable"))</x:f>
      </x:c>
      <x:c r="P94" s="127" t="str">
        <x:f>IF(C94="","",IFERROR(O94/INDEX('Borrowers'!$L$9:$L$108,MATCH(C94,'Borrowers'!$C$9:$C$108,0)),"Unavailable"))</x:f>
      </x:c>
      <x:c r="Q94" s="30" t="str">
        <x:f>IF(C94="","",IFERROR(IF(INDEX('Borrowers'!$Z$9:$Z$108,MATCH(C94,'Borrowers'!$C$9:$C$108,0))="Yes",1,IF(INDEX('Borrowers'!$P$9:$P$108,MATCH(C94,'Borrowers'!$C$9:$C$108,0))=0,0,MIN(1,INDEX('Borrowers'!$P$9:$P$108,MATCH(C94,'Borrowers'!$C$9:$C$108,0))*EXP(MIN(20,INDEX('Borrowers'!$V$9:$V$108,MATCH(C94,'Borrowers'!$C$9:$C$108,0))*V94))))),"Unavailable"))</x:f>
      </x:c>
      <x:c r="R94" s="30" t="str">
        <x:f>IF(C94="","",IFERROR(MIN(1,INDEX('Borrowers'!$Q$9:$Q$108,MATCH(C94,'Borrowers'!$C$9:$C$108,0))+(1-INDEX('Borrowers'!$Q$9:$Q$108,MATCH(C94,'Borrowers'!$C$9:$C$108,0)))*T94),"Unavailable"))</x:f>
      </x:c>
      <x:c r="S94" s="30" t="str">
        <x:f>IF(C94="","",IFERROR(SUMPRODUCT((Sites!$D$9:$D$108=C94)*Sites!$I$9:$I$108*Sites!$J$9:$J$108*Sites!$K$9:$K$108*(1-Sites!$L$9:$L$108)),"Unavailable"))</x:f>
      </x:c>
      <x:c r="T94" s="30" t="str">
        <x:f>IF(C94="","",IFERROR(MIN(1,(SUMPRODUCT((Sites!$D$9:$D$108=C94)*Sites!$N$9:$N$108*Sites!$J$9:$J$108*Sites!$K$9:$K$108*(1-Sites!$L$9:$L$108)))*'Scenario Paths'!F27),"Unavailable"))</x:f>
      </x:c>
      <x:c r="U94" s="9" t="str">
        <x:f>IF(C94="","",IF(OR(INDEX('Borrowers'!$AA$9:$AA$108,MATCH(C94,'Borrowers'!$C$9:$C$108,0))&lt;&gt;"Ready",COUNTIF(Sites!$D$9:$D$108,C94)=0,COUNTIFS(Sites!$D$9:$D$108,C94,Sites!$Q$9:$Q$108,"&lt;&gt;Ready")&gt;0,'Scenario Paths'!$F$6&lt;&gt;"Ready"),"Review source inputs","Ready"))</x:f>
      </x:c>
      <x:c r="V94" s="17" t="str">
        <x:f>IF(C94="","",IFERROR(MAX(-1,(G94-O94)/MAX(0.000001,G94)),"Unavailable"))</x:f>
      </x:c>
      <x:c r="W94" s="9" t="str">
        <x:f>IF(C94="","",IFERROR(INDEX('Borrowers'!$D$9:$D$108,MATCH(C94,'Borrowers'!$C$9:$C$108,0)),"Unavailable"))</x:f>
      </x:c>
    </x:row>
    <x:row r="95" ht="26" customHeight="1">
      <x:c r="A95" s="1"/>
      <x:c r="B95" s="1"/>
      <x:c r="C95" s="9" t="str">
        <x:f>IF(Borrowers!C95="","",Borrowers!C95)</x:f>
      </x:c>
      <x:c r="D95" s="3" t="n">
        <x:v>1</x:v>
      </x:c>
      <x:c r="E95" s="9" t="n">
        <x:f>Settings!$F$18+0</x:f>
        <x:v>2027</x:v>
      </x:c>
      <x:c r="F95" s="9" t="str">
        <x:f>IF(C95="","",INDEX('Borrowers'!$F$9:$F$108,MATCH(C95,'Borrowers'!$C$9:$C$108,0)))</x:f>
      </x:c>
      <x:c r="G95" s="23" t="str">
        <x:f>IF(C95="","",IFERROR(INDEX('Borrowers'!$J$9:$J$108,MATCH(C95,'Borrowers'!$C$9:$C$108,0))-INDEX('Borrowers'!$K$9:$K$108,MATCH(C95,'Borrowers'!$C$9:$C$108,0)),"Unavailable"))</x:f>
      </x:c>
      <x:c r="H95" s="23" t="str">
        <x:f>IF(C95="","",IFERROR(INDEX('Borrowers'!$I$9:$I$108,MATCH(C95,'Borrowers'!$C$9:$C$108,0))*INDEX('Borrowers'!$U$9:$U$108,MATCH(C95,'Borrowers'!$C$9:$C$108,0))*(IF(F95="Transport",'Scenario Paths'!F156,IF(F95="Technology",'Scenario Paths'!F150,IF(F95="Utilities",'Scenario Paths'!F144,IF(F95="Agriculture",'Scenario Paths'!F138,IF(F95="Manufacturing",'Scenario Paths'!F132,IF(F95="Healthcare",'Scenario Paths'!F126,IF(F95="Hospitality",'Scenario Paths'!F120,IF(F95="Property",'Scenario Paths'!F114,IF(F95="Food",'Scenario Paths'!F108,IF(F95="Logistics",'Scenario Paths'!F102,IF(F95="Solar",'Scenario Paths'!F96,IF(F95="Cement",'Scenario Paths'!F90,0))))))))))))),"Unavailable"))</x:f>
      </x:c>
      <x:c r="I95" s="23" t="str">
        <x:f>IF(C95="","",IFERROR(INDEX('Borrowers'!$R$9:$R$108,MATCH(C95,'Borrowers'!$C$9:$C$108,0))*(1-INDEX('Borrowers'!$W$9:$W$108,MATCH(C95,'Borrowers'!$C$9:$C$108,0))*'Scenario Paths'!F39)*'Scenario Paths'!F9/1000000*(1-INDEX('Borrowers'!$T$9:$T$108,MATCH(C95,'Borrowers'!$C$9:$C$108,0))),"Unavailable"))</x:f>
      </x:c>
      <x:c r="J95" s="23" t="str">
        <x:f>IF(C95="","",IFERROR(INDEX('Borrowers'!$I$9:$I$108,MATCH(C95,'Borrowers'!$C$9:$C$108,0))*INDEX('Borrowers'!$S$9:$S$108,MATCH(C95,'Borrowers'!$C$9:$C$108,0))*'Scenario Paths'!F15*(1-INDEX('Borrowers'!$T$9:$T$108,MATCH(C95,'Borrowers'!$C$9:$C$108,0))),"Unavailable"))</x:f>
      </x:c>
      <x:c r="K95" s="23" t="str">
        <x:f>IF(C95="","",IFERROR(INDEX('Borrowers'!$I$9:$I$108,MATCH(C95,'Borrowers'!$C$9:$C$108,0))*INDEX('Borrowers'!$U$9:$U$108,MATCH(C95,'Borrowers'!$C$9:$C$108,0))*'Scenario Paths'!F21*S95,"Unavailable"))</x:f>
      </x:c>
      <x:c r="L95" s="23" t="str">
        <x:f>IF(C95="","",IFERROR(SUMPRODUCT((Sites!$D$9:$D$108=C95)*Sites!$H$9:$H$108*Sites!$J$9:$J$108*Sites!$K$9:$K$108*(1-Sites!$L$9:$L$108)*(1-Sites!$M$9:$M$108))*'Scenario Paths'!F27,"Unavailable"))</x:f>
      </x:c>
      <x:c r="M95" s="23" t="str">
        <x:f>IF(C95="","",IFERROR(INDEX('Borrowers'!$J$9:$J$108,MATCH(C95,'Borrowers'!$C$9:$C$108,0))+H95-SUM(I95:L95),"Unavailable"))</x:f>
      </x:c>
      <x:c r="N95" s="23" t="str">
        <x:f>IF(C95="","",IFERROR(INDEX('Borrowers'!$I$9:$I$108,MATCH(C95,'Borrowers'!$C$9:$C$108,0))*'Scenario Paths'!F33,"Unavailable"))</x:f>
      </x:c>
      <x:c r="O95" s="23" t="str">
        <x:f>IF(C95="","",IFERROR(M95-INDEX('Borrowers'!$K$9:$K$108,MATCH(C95,'Borrowers'!$C$9:$C$108,0))-N95,"Unavailable"))</x:f>
      </x:c>
      <x:c r="P95" s="127" t="str">
        <x:f>IF(C95="","",IFERROR(O95/INDEX('Borrowers'!$L$9:$L$108,MATCH(C95,'Borrowers'!$C$9:$C$108,0)),"Unavailable"))</x:f>
      </x:c>
      <x:c r="Q95" s="30" t="str">
        <x:f>IF(C95="","",IFERROR(IF(INDEX('Borrowers'!$Z$9:$Z$108,MATCH(C95,'Borrowers'!$C$9:$C$108,0))="Yes",1,IF(INDEX('Borrowers'!$P$9:$P$108,MATCH(C95,'Borrowers'!$C$9:$C$108,0))=0,0,MIN(1,INDEX('Borrowers'!$P$9:$P$108,MATCH(C95,'Borrowers'!$C$9:$C$108,0))*EXP(MIN(20,INDEX('Borrowers'!$V$9:$V$108,MATCH(C95,'Borrowers'!$C$9:$C$108,0))*V95))))),"Unavailable"))</x:f>
      </x:c>
      <x:c r="R95" s="30" t="str">
        <x:f>IF(C95="","",IFERROR(MIN(1,INDEX('Borrowers'!$Q$9:$Q$108,MATCH(C95,'Borrowers'!$C$9:$C$108,0))+(1-INDEX('Borrowers'!$Q$9:$Q$108,MATCH(C95,'Borrowers'!$C$9:$C$108,0)))*T95),"Unavailable"))</x:f>
      </x:c>
      <x:c r="S95" s="30" t="str">
        <x:f>IF(C95="","",IFERROR(SUMPRODUCT((Sites!$D$9:$D$108=C95)*Sites!$I$9:$I$108*Sites!$J$9:$J$108*Sites!$K$9:$K$108*(1-Sites!$L$9:$L$108)),"Unavailable"))</x:f>
      </x:c>
      <x:c r="T95" s="30" t="str">
        <x:f>IF(C95="","",IFERROR(MIN(1,(SUMPRODUCT((Sites!$D$9:$D$108=C95)*Sites!$N$9:$N$108*Sites!$J$9:$J$108*Sites!$K$9:$K$108*(1-Sites!$L$9:$L$108)))*'Scenario Paths'!F27),"Unavailable"))</x:f>
      </x:c>
      <x:c r="U95" s="9" t="str">
        <x:f>IF(C95="","",IF(OR(INDEX('Borrowers'!$AA$9:$AA$108,MATCH(C95,'Borrowers'!$C$9:$C$108,0))&lt;&gt;"Ready",COUNTIF(Sites!$D$9:$D$108,C95)=0,COUNTIFS(Sites!$D$9:$D$108,C95,Sites!$Q$9:$Q$108,"&lt;&gt;Ready")&gt;0,'Scenario Paths'!$F$6&lt;&gt;"Ready"),"Review source inputs","Ready"))</x:f>
      </x:c>
      <x:c r="V95" s="17" t="str">
        <x:f>IF(C95="","",IFERROR(MAX(-1,(G95-O95)/MAX(0.000001,G95)),"Unavailable"))</x:f>
      </x:c>
      <x:c r="W95" s="9" t="str">
        <x:f>IF(C95="","",IFERROR(INDEX('Borrowers'!$D$9:$D$108,MATCH(C95,'Borrowers'!$C$9:$C$108,0)),"Unavailable"))</x:f>
      </x:c>
    </x:row>
    <x:row r="96" ht="26" customHeight="1">
      <x:c r="A96" s="1"/>
      <x:c r="B96" s="1"/>
      <x:c r="C96" s="9" t="str">
        <x:f>IF(Borrowers!C96="","",Borrowers!C96)</x:f>
      </x:c>
      <x:c r="D96" s="3" t="n">
        <x:v>1</x:v>
      </x:c>
      <x:c r="E96" s="9" t="n">
        <x:f>Settings!$F$18+0</x:f>
        <x:v>2027</x:v>
      </x:c>
      <x:c r="F96" s="9" t="str">
        <x:f>IF(C96="","",INDEX('Borrowers'!$F$9:$F$108,MATCH(C96,'Borrowers'!$C$9:$C$108,0)))</x:f>
      </x:c>
      <x:c r="G96" s="23" t="str">
        <x:f>IF(C96="","",IFERROR(INDEX('Borrowers'!$J$9:$J$108,MATCH(C96,'Borrowers'!$C$9:$C$108,0))-INDEX('Borrowers'!$K$9:$K$108,MATCH(C96,'Borrowers'!$C$9:$C$108,0)),"Unavailable"))</x:f>
      </x:c>
      <x:c r="H96" s="23" t="str">
        <x:f>IF(C96="","",IFERROR(INDEX('Borrowers'!$I$9:$I$108,MATCH(C96,'Borrowers'!$C$9:$C$108,0))*INDEX('Borrowers'!$U$9:$U$108,MATCH(C96,'Borrowers'!$C$9:$C$108,0))*(IF(F96="Transport",'Scenario Paths'!F156,IF(F96="Technology",'Scenario Paths'!F150,IF(F96="Utilities",'Scenario Paths'!F144,IF(F96="Agriculture",'Scenario Paths'!F138,IF(F96="Manufacturing",'Scenario Paths'!F132,IF(F96="Healthcare",'Scenario Paths'!F126,IF(F96="Hospitality",'Scenario Paths'!F120,IF(F96="Property",'Scenario Paths'!F114,IF(F96="Food",'Scenario Paths'!F108,IF(F96="Logistics",'Scenario Paths'!F102,IF(F96="Solar",'Scenario Paths'!F96,IF(F96="Cement",'Scenario Paths'!F90,0))))))))))))),"Unavailable"))</x:f>
      </x:c>
      <x:c r="I96" s="23" t="str">
        <x:f>IF(C96="","",IFERROR(INDEX('Borrowers'!$R$9:$R$108,MATCH(C96,'Borrowers'!$C$9:$C$108,0))*(1-INDEX('Borrowers'!$W$9:$W$108,MATCH(C96,'Borrowers'!$C$9:$C$108,0))*'Scenario Paths'!F39)*'Scenario Paths'!F9/1000000*(1-INDEX('Borrowers'!$T$9:$T$108,MATCH(C96,'Borrowers'!$C$9:$C$108,0))),"Unavailable"))</x:f>
      </x:c>
      <x:c r="J96" s="23" t="str">
        <x:f>IF(C96="","",IFERROR(INDEX('Borrowers'!$I$9:$I$108,MATCH(C96,'Borrowers'!$C$9:$C$108,0))*INDEX('Borrowers'!$S$9:$S$108,MATCH(C96,'Borrowers'!$C$9:$C$108,0))*'Scenario Paths'!F15*(1-INDEX('Borrowers'!$T$9:$T$108,MATCH(C96,'Borrowers'!$C$9:$C$108,0))),"Unavailable"))</x:f>
      </x:c>
      <x:c r="K96" s="23" t="str">
        <x:f>IF(C96="","",IFERROR(INDEX('Borrowers'!$I$9:$I$108,MATCH(C96,'Borrowers'!$C$9:$C$108,0))*INDEX('Borrowers'!$U$9:$U$108,MATCH(C96,'Borrowers'!$C$9:$C$108,0))*'Scenario Paths'!F21*S96,"Unavailable"))</x:f>
      </x:c>
      <x:c r="L96" s="23" t="str">
        <x:f>IF(C96="","",IFERROR(SUMPRODUCT((Sites!$D$9:$D$108=C96)*Sites!$H$9:$H$108*Sites!$J$9:$J$108*Sites!$K$9:$K$108*(1-Sites!$L$9:$L$108)*(1-Sites!$M$9:$M$108))*'Scenario Paths'!F27,"Unavailable"))</x:f>
      </x:c>
      <x:c r="M96" s="23" t="str">
        <x:f>IF(C96="","",IFERROR(INDEX('Borrowers'!$J$9:$J$108,MATCH(C96,'Borrowers'!$C$9:$C$108,0))+H96-SUM(I96:L96),"Unavailable"))</x:f>
      </x:c>
      <x:c r="N96" s="23" t="str">
        <x:f>IF(C96="","",IFERROR(INDEX('Borrowers'!$I$9:$I$108,MATCH(C96,'Borrowers'!$C$9:$C$108,0))*'Scenario Paths'!F33,"Unavailable"))</x:f>
      </x:c>
      <x:c r="O96" s="23" t="str">
        <x:f>IF(C96="","",IFERROR(M96-INDEX('Borrowers'!$K$9:$K$108,MATCH(C96,'Borrowers'!$C$9:$C$108,0))-N96,"Unavailable"))</x:f>
      </x:c>
      <x:c r="P96" s="127" t="str">
        <x:f>IF(C96="","",IFERROR(O96/INDEX('Borrowers'!$L$9:$L$108,MATCH(C96,'Borrowers'!$C$9:$C$108,0)),"Unavailable"))</x:f>
      </x:c>
      <x:c r="Q96" s="30" t="str">
        <x:f>IF(C96="","",IFERROR(IF(INDEX('Borrowers'!$Z$9:$Z$108,MATCH(C96,'Borrowers'!$C$9:$C$108,0))="Yes",1,IF(INDEX('Borrowers'!$P$9:$P$108,MATCH(C96,'Borrowers'!$C$9:$C$108,0))=0,0,MIN(1,INDEX('Borrowers'!$P$9:$P$108,MATCH(C96,'Borrowers'!$C$9:$C$108,0))*EXP(MIN(20,INDEX('Borrowers'!$V$9:$V$108,MATCH(C96,'Borrowers'!$C$9:$C$108,0))*V96))))),"Unavailable"))</x:f>
      </x:c>
      <x:c r="R96" s="30" t="str">
        <x:f>IF(C96="","",IFERROR(MIN(1,INDEX('Borrowers'!$Q$9:$Q$108,MATCH(C96,'Borrowers'!$C$9:$C$108,0))+(1-INDEX('Borrowers'!$Q$9:$Q$108,MATCH(C96,'Borrowers'!$C$9:$C$108,0)))*T96),"Unavailable"))</x:f>
      </x:c>
      <x:c r="S96" s="30" t="str">
        <x:f>IF(C96="","",IFERROR(SUMPRODUCT((Sites!$D$9:$D$108=C96)*Sites!$I$9:$I$108*Sites!$J$9:$J$108*Sites!$K$9:$K$108*(1-Sites!$L$9:$L$108)),"Unavailable"))</x:f>
      </x:c>
      <x:c r="T96" s="30" t="str">
        <x:f>IF(C96="","",IFERROR(MIN(1,(SUMPRODUCT((Sites!$D$9:$D$108=C96)*Sites!$N$9:$N$108*Sites!$J$9:$J$108*Sites!$K$9:$K$108*(1-Sites!$L$9:$L$108)))*'Scenario Paths'!F27),"Unavailable"))</x:f>
      </x:c>
      <x:c r="U96" s="9" t="str">
        <x:f>IF(C96="","",IF(OR(INDEX('Borrowers'!$AA$9:$AA$108,MATCH(C96,'Borrowers'!$C$9:$C$108,0))&lt;&gt;"Ready",COUNTIF(Sites!$D$9:$D$108,C96)=0,COUNTIFS(Sites!$D$9:$D$108,C96,Sites!$Q$9:$Q$108,"&lt;&gt;Ready")&gt;0,'Scenario Paths'!$F$6&lt;&gt;"Ready"),"Review source inputs","Ready"))</x:f>
      </x:c>
      <x:c r="V96" s="17" t="str">
        <x:f>IF(C96="","",IFERROR(MAX(-1,(G96-O96)/MAX(0.000001,G96)),"Unavailable"))</x:f>
      </x:c>
      <x:c r="W96" s="9" t="str">
        <x:f>IF(C96="","",IFERROR(INDEX('Borrowers'!$D$9:$D$108,MATCH(C96,'Borrowers'!$C$9:$C$108,0)),"Unavailable"))</x:f>
      </x:c>
    </x:row>
    <x:row r="97" ht="26" customHeight="1">
      <x:c r="A97" s="1"/>
      <x:c r="B97" s="1"/>
      <x:c r="C97" s="9" t="str">
        <x:f>IF(Borrowers!C97="","",Borrowers!C97)</x:f>
      </x:c>
      <x:c r="D97" s="3" t="n">
        <x:v>1</x:v>
      </x:c>
      <x:c r="E97" s="9" t="n">
        <x:f>Settings!$F$18+0</x:f>
        <x:v>2027</x:v>
      </x:c>
      <x:c r="F97" s="9" t="str">
        <x:f>IF(C97="","",INDEX('Borrowers'!$F$9:$F$108,MATCH(C97,'Borrowers'!$C$9:$C$108,0)))</x:f>
      </x:c>
      <x:c r="G97" s="23" t="str">
        <x:f>IF(C97="","",IFERROR(INDEX('Borrowers'!$J$9:$J$108,MATCH(C97,'Borrowers'!$C$9:$C$108,0))-INDEX('Borrowers'!$K$9:$K$108,MATCH(C97,'Borrowers'!$C$9:$C$108,0)),"Unavailable"))</x:f>
      </x:c>
      <x:c r="H97" s="23" t="str">
        <x:f>IF(C97="","",IFERROR(INDEX('Borrowers'!$I$9:$I$108,MATCH(C97,'Borrowers'!$C$9:$C$108,0))*INDEX('Borrowers'!$U$9:$U$108,MATCH(C97,'Borrowers'!$C$9:$C$108,0))*(IF(F97="Transport",'Scenario Paths'!F156,IF(F97="Technology",'Scenario Paths'!F150,IF(F97="Utilities",'Scenario Paths'!F144,IF(F97="Agriculture",'Scenario Paths'!F138,IF(F97="Manufacturing",'Scenario Paths'!F132,IF(F97="Healthcare",'Scenario Paths'!F126,IF(F97="Hospitality",'Scenario Paths'!F120,IF(F97="Property",'Scenario Paths'!F114,IF(F97="Food",'Scenario Paths'!F108,IF(F97="Logistics",'Scenario Paths'!F102,IF(F97="Solar",'Scenario Paths'!F96,IF(F97="Cement",'Scenario Paths'!F90,0))))))))))))),"Unavailable"))</x:f>
      </x:c>
      <x:c r="I97" s="23" t="str">
        <x:f>IF(C97="","",IFERROR(INDEX('Borrowers'!$R$9:$R$108,MATCH(C97,'Borrowers'!$C$9:$C$108,0))*(1-INDEX('Borrowers'!$W$9:$W$108,MATCH(C97,'Borrowers'!$C$9:$C$108,0))*'Scenario Paths'!F39)*'Scenario Paths'!F9/1000000*(1-INDEX('Borrowers'!$T$9:$T$108,MATCH(C97,'Borrowers'!$C$9:$C$108,0))),"Unavailable"))</x:f>
      </x:c>
      <x:c r="J97" s="23" t="str">
        <x:f>IF(C97="","",IFERROR(INDEX('Borrowers'!$I$9:$I$108,MATCH(C97,'Borrowers'!$C$9:$C$108,0))*INDEX('Borrowers'!$S$9:$S$108,MATCH(C97,'Borrowers'!$C$9:$C$108,0))*'Scenario Paths'!F15*(1-INDEX('Borrowers'!$T$9:$T$108,MATCH(C97,'Borrowers'!$C$9:$C$108,0))),"Unavailable"))</x:f>
      </x:c>
      <x:c r="K97" s="23" t="str">
        <x:f>IF(C97="","",IFERROR(INDEX('Borrowers'!$I$9:$I$108,MATCH(C97,'Borrowers'!$C$9:$C$108,0))*INDEX('Borrowers'!$U$9:$U$108,MATCH(C97,'Borrowers'!$C$9:$C$108,0))*'Scenario Paths'!F21*S97,"Unavailable"))</x:f>
      </x:c>
      <x:c r="L97" s="23" t="str">
        <x:f>IF(C97="","",IFERROR(SUMPRODUCT((Sites!$D$9:$D$108=C97)*Sites!$H$9:$H$108*Sites!$J$9:$J$108*Sites!$K$9:$K$108*(1-Sites!$L$9:$L$108)*(1-Sites!$M$9:$M$108))*'Scenario Paths'!F27,"Unavailable"))</x:f>
      </x:c>
      <x:c r="M97" s="23" t="str">
        <x:f>IF(C97="","",IFERROR(INDEX('Borrowers'!$J$9:$J$108,MATCH(C97,'Borrowers'!$C$9:$C$108,0))+H97-SUM(I97:L97),"Unavailable"))</x:f>
      </x:c>
      <x:c r="N97" s="23" t="str">
        <x:f>IF(C97="","",IFERROR(INDEX('Borrowers'!$I$9:$I$108,MATCH(C97,'Borrowers'!$C$9:$C$108,0))*'Scenario Paths'!F33,"Unavailable"))</x:f>
      </x:c>
      <x:c r="O97" s="23" t="str">
        <x:f>IF(C97="","",IFERROR(M97-INDEX('Borrowers'!$K$9:$K$108,MATCH(C97,'Borrowers'!$C$9:$C$108,0))-N97,"Unavailable"))</x:f>
      </x:c>
      <x:c r="P97" s="127" t="str">
        <x:f>IF(C97="","",IFERROR(O97/INDEX('Borrowers'!$L$9:$L$108,MATCH(C97,'Borrowers'!$C$9:$C$108,0)),"Unavailable"))</x:f>
      </x:c>
      <x:c r="Q97" s="30" t="str">
        <x:f>IF(C97="","",IFERROR(IF(INDEX('Borrowers'!$Z$9:$Z$108,MATCH(C97,'Borrowers'!$C$9:$C$108,0))="Yes",1,IF(INDEX('Borrowers'!$P$9:$P$108,MATCH(C97,'Borrowers'!$C$9:$C$108,0))=0,0,MIN(1,INDEX('Borrowers'!$P$9:$P$108,MATCH(C97,'Borrowers'!$C$9:$C$108,0))*EXP(MIN(20,INDEX('Borrowers'!$V$9:$V$108,MATCH(C97,'Borrowers'!$C$9:$C$108,0))*V97))))),"Unavailable"))</x:f>
      </x:c>
      <x:c r="R97" s="30" t="str">
        <x:f>IF(C97="","",IFERROR(MIN(1,INDEX('Borrowers'!$Q$9:$Q$108,MATCH(C97,'Borrowers'!$C$9:$C$108,0))+(1-INDEX('Borrowers'!$Q$9:$Q$108,MATCH(C97,'Borrowers'!$C$9:$C$108,0)))*T97),"Unavailable"))</x:f>
      </x:c>
      <x:c r="S97" s="30" t="str">
        <x:f>IF(C97="","",IFERROR(SUMPRODUCT((Sites!$D$9:$D$108=C97)*Sites!$I$9:$I$108*Sites!$J$9:$J$108*Sites!$K$9:$K$108*(1-Sites!$L$9:$L$108)),"Unavailable"))</x:f>
      </x:c>
      <x:c r="T97" s="30" t="str">
        <x:f>IF(C97="","",IFERROR(MIN(1,(SUMPRODUCT((Sites!$D$9:$D$108=C97)*Sites!$N$9:$N$108*Sites!$J$9:$J$108*Sites!$K$9:$K$108*(1-Sites!$L$9:$L$108)))*'Scenario Paths'!F27),"Unavailable"))</x:f>
      </x:c>
      <x:c r="U97" s="9" t="str">
        <x:f>IF(C97="","",IF(OR(INDEX('Borrowers'!$AA$9:$AA$108,MATCH(C97,'Borrowers'!$C$9:$C$108,0))&lt;&gt;"Ready",COUNTIF(Sites!$D$9:$D$108,C97)=0,COUNTIFS(Sites!$D$9:$D$108,C97,Sites!$Q$9:$Q$108,"&lt;&gt;Ready")&gt;0,'Scenario Paths'!$F$6&lt;&gt;"Ready"),"Review source inputs","Ready"))</x:f>
      </x:c>
      <x:c r="V97" s="17" t="str">
        <x:f>IF(C97="","",IFERROR(MAX(-1,(G97-O97)/MAX(0.000001,G97)),"Unavailable"))</x:f>
      </x:c>
      <x:c r="W97" s="9" t="str">
        <x:f>IF(C97="","",IFERROR(INDEX('Borrowers'!$D$9:$D$108,MATCH(C97,'Borrowers'!$C$9:$C$108,0)),"Unavailable"))</x:f>
      </x:c>
    </x:row>
    <x:row r="98" ht="26" customHeight="1">
      <x:c r="A98" s="1"/>
      <x:c r="B98" s="1"/>
      <x:c r="C98" s="9" t="str">
        <x:f>IF(Borrowers!C98="","",Borrowers!C98)</x:f>
      </x:c>
      <x:c r="D98" s="3" t="n">
        <x:v>1</x:v>
      </x:c>
      <x:c r="E98" s="9" t="n">
        <x:f>Settings!$F$18+0</x:f>
        <x:v>2027</x:v>
      </x:c>
      <x:c r="F98" s="9" t="str">
        <x:f>IF(C98="","",INDEX('Borrowers'!$F$9:$F$108,MATCH(C98,'Borrowers'!$C$9:$C$108,0)))</x:f>
      </x:c>
      <x:c r="G98" s="23" t="str">
        <x:f>IF(C98="","",IFERROR(INDEX('Borrowers'!$J$9:$J$108,MATCH(C98,'Borrowers'!$C$9:$C$108,0))-INDEX('Borrowers'!$K$9:$K$108,MATCH(C98,'Borrowers'!$C$9:$C$108,0)),"Unavailable"))</x:f>
      </x:c>
      <x:c r="H98" s="23" t="str">
        <x:f>IF(C98="","",IFERROR(INDEX('Borrowers'!$I$9:$I$108,MATCH(C98,'Borrowers'!$C$9:$C$108,0))*INDEX('Borrowers'!$U$9:$U$108,MATCH(C98,'Borrowers'!$C$9:$C$108,0))*(IF(F98="Transport",'Scenario Paths'!F156,IF(F98="Technology",'Scenario Paths'!F150,IF(F98="Utilities",'Scenario Paths'!F144,IF(F98="Agriculture",'Scenario Paths'!F138,IF(F98="Manufacturing",'Scenario Paths'!F132,IF(F98="Healthcare",'Scenario Paths'!F126,IF(F98="Hospitality",'Scenario Paths'!F120,IF(F98="Property",'Scenario Paths'!F114,IF(F98="Food",'Scenario Paths'!F108,IF(F98="Logistics",'Scenario Paths'!F102,IF(F98="Solar",'Scenario Paths'!F96,IF(F98="Cement",'Scenario Paths'!F90,0))))))))))))),"Unavailable"))</x:f>
      </x:c>
      <x:c r="I98" s="23" t="str">
        <x:f>IF(C98="","",IFERROR(INDEX('Borrowers'!$R$9:$R$108,MATCH(C98,'Borrowers'!$C$9:$C$108,0))*(1-INDEX('Borrowers'!$W$9:$W$108,MATCH(C98,'Borrowers'!$C$9:$C$108,0))*'Scenario Paths'!F39)*'Scenario Paths'!F9/1000000*(1-INDEX('Borrowers'!$T$9:$T$108,MATCH(C98,'Borrowers'!$C$9:$C$108,0))),"Unavailable"))</x:f>
      </x:c>
      <x:c r="J98" s="23" t="str">
        <x:f>IF(C98="","",IFERROR(INDEX('Borrowers'!$I$9:$I$108,MATCH(C98,'Borrowers'!$C$9:$C$108,0))*INDEX('Borrowers'!$S$9:$S$108,MATCH(C98,'Borrowers'!$C$9:$C$108,0))*'Scenario Paths'!F15*(1-INDEX('Borrowers'!$T$9:$T$108,MATCH(C98,'Borrowers'!$C$9:$C$108,0))),"Unavailable"))</x:f>
      </x:c>
      <x:c r="K98" s="23" t="str">
        <x:f>IF(C98="","",IFERROR(INDEX('Borrowers'!$I$9:$I$108,MATCH(C98,'Borrowers'!$C$9:$C$108,0))*INDEX('Borrowers'!$U$9:$U$108,MATCH(C98,'Borrowers'!$C$9:$C$108,0))*'Scenario Paths'!F21*S98,"Unavailable"))</x:f>
      </x:c>
      <x:c r="L98" s="23" t="str">
        <x:f>IF(C98="","",IFERROR(SUMPRODUCT((Sites!$D$9:$D$108=C98)*Sites!$H$9:$H$108*Sites!$J$9:$J$108*Sites!$K$9:$K$108*(1-Sites!$L$9:$L$108)*(1-Sites!$M$9:$M$108))*'Scenario Paths'!F27,"Unavailable"))</x:f>
      </x:c>
      <x:c r="M98" s="23" t="str">
        <x:f>IF(C98="","",IFERROR(INDEX('Borrowers'!$J$9:$J$108,MATCH(C98,'Borrowers'!$C$9:$C$108,0))+H98-SUM(I98:L98),"Unavailable"))</x:f>
      </x:c>
      <x:c r="N98" s="23" t="str">
        <x:f>IF(C98="","",IFERROR(INDEX('Borrowers'!$I$9:$I$108,MATCH(C98,'Borrowers'!$C$9:$C$108,0))*'Scenario Paths'!F33,"Unavailable"))</x:f>
      </x:c>
      <x:c r="O98" s="23" t="str">
        <x:f>IF(C98="","",IFERROR(M98-INDEX('Borrowers'!$K$9:$K$108,MATCH(C98,'Borrowers'!$C$9:$C$108,0))-N98,"Unavailable"))</x:f>
      </x:c>
      <x:c r="P98" s="127" t="str">
        <x:f>IF(C98="","",IFERROR(O98/INDEX('Borrowers'!$L$9:$L$108,MATCH(C98,'Borrowers'!$C$9:$C$108,0)),"Unavailable"))</x:f>
      </x:c>
      <x:c r="Q98" s="30" t="str">
        <x:f>IF(C98="","",IFERROR(IF(INDEX('Borrowers'!$Z$9:$Z$108,MATCH(C98,'Borrowers'!$C$9:$C$108,0))="Yes",1,IF(INDEX('Borrowers'!$P$9:$P$108,MATCH(C98,'Borrowers'!$C$9:$C$108,0))=0,0,MIN(1,INDEX('Borrowers'!$P$9:$P$108,MATCH(C98,'Borrowers'!$C$9:$C$108,0))*EXP(MIN(20,INDEX('Borrowers'!$V$9:$V$108,MATCH(C98,'Borrowers'!$C$9:$C$108,0))*V98))))),"Unavailable"))</x:f>
      </x:c>
      <x:c r="R98" s="30" t="str">
        <x:f>IF(C98="","",IFERROR(MIN(1,INDEX('Borrowers'!$Q$9:$Q$108,MATCH(C98,'Borrowers'!$C$9:$C$108,0))+(1-INDEX('Borrowers'!$Q$9:$Q$108,MATCH(C98,'Borrowers'!$C$9:$C$108,0)))*T98),"Unavailable"))</x:f>
      </x:c>
      <x:c r="S98" s="30" t="str">
        <x:f>IF(C98="","",IFERROR(SUMPRODUCT((Sites!$D$9:$D$108=C98)*Sites!$I$9:$I$108*Sites!$J$9:$J$108*Sites!$K$9:$K$108*(1-Sites!$L$9:$L$108)),"Unavailable"))</x:f>
      </x:c>
      <x:c r="T98" s="30" t="str">
        <x:f>IF(C98="","",IFERROR(MIN(1,(SUMPRODUCT((Sites!$D$9:$D$108=C98)*Sites!$N$9:$N$108*Sites!$J$9:$J$108*Sites!$K$9:$K$108*(1-Sites!$L$9:$L$108)))*'Scenario Paths'!F27),"Unavailable"))</x:f>
      </x:c>
      <x:c r="U98" s="9" t="str">
        <x:f>IF(C98="","",IF(OR(INDEX('Borrowers'!$AA$9:$AA$108,MATCH(C98,'Borrowers'!$C$9:$C$108,0))&lt;&gt;"Ready",COUNTIF(Sites!$D$9:$D$108,C98)=0,COUNTIFS(Sites!$D$9:$D$108,C98,Sites!$Q$9:$Q$108,"&lt;&gt;Ready")&gt;0,'Scenario Paths'!$F$6&lt;&gt;"Ready"),"Review source inputs","Ready"))</x:f>
      </x:c>
      <x:c r="V98" s="17" t="str">
        <x:f>IF(C98="","",IFERROR(MAX(-1,(G98-O98)/MAX(0.000001,G98)),"Unavailable"))</x:f>
      </x:c>
      <x:c r="W98" s="9" t="str">
        <x:f>IF(C98="","",IFERROR(INDEX('Borrowers'!$D$9:$D$108,MATCH(C98,'Borrowers'!$C$9:$C$108,0)),"Unavailable"))</x:f>
      </x:c>
    </x:row>
    <x:row r="99" ht="26" customHeight="1">
      <x:c r="A99" s="1"/>
      <x:c r="B99" s="1"/>
      <x:c r="C99" s="9" t="str">
        <x:f>IF(Borrowers!C99="","",Borrowers!C99)</x:f>
      </x:c>
      <x:c r="D99" s="3" t="n">
        <x:v>1</x:v>
      </x:c>
      <x:c r="E99" s="9" t="n">
        <x:f>Settings!$F$18+0</x:f>
        <x:v>2027</x:v>
      </x:c>
      <x:c r="F99" s="9" t="str">
        <x:f>IF(C99="","",INDEX('Borrowers'!$F$9:$F$108,MATCH(C99,'Borrowers'!$C$9:$C$108,0)))</x:f>
      </x:c>
      <x:c r="G99" s="23" t="str">
        <x:f>IF(C99="","",IFERROR(INDEX('Borrowers'!$J$9:$J$108,MATCH(C99,'Borrowers'!$C$9:$C$108,0))-INDEX('Borrowers'!$K$9:$K$108,MATCH(C99,'Borrowers'!$C$9:$C$108,0)),"Unavailable"))</x:f>
      </x:c>
      <x:c r="H99" s="23" t="str">
        <x:f>IF(C99="","",IFERROR(INDEX('Borrowers'!$I$9:$I$108,MATCH(C99,'Borrowers'!$C$9:$C$108,0))*INDEX('Borrowers'!$U$9:$U$108,MATCH(C99,'Borrowers'!$C$9:$C$108,0))*(IF(F99="Transport",'Scenario Paths'!F156,IF(F99="Technology",'Scenario Paths'!F150,IF(F99="Utilities",'Scenario Paths'!F144,IF(F99="Agriculture",'Scenario Paths'!F138,IF(F99="Manufacturing",'Scenario Paths'!F132,IF(F99="Healthcare",'Scenario Paths'!F126,IF(F99="Hospitality",'Scenario Paths'!F120,IF(F99="Property",'Scenario Paths'!F114,IF(F99="Food",'Scenario Paths'!F108,IF(F99="Logistics",'Scenario Paths'!F102,IF(F99="Solar",'Scenario Paths'!F96,IF(F99="Cement",'Scenario Paths'!F90,0))))))))))))),"Unavailable"))</x:f>
      </x:c>
      <x:c r="I99" s="23" t="str">
        <x:f>IF(C99="","",IFERROR(INDEX('Borrowers'!$R$9:$R$108,MATCH(C99,'Borrowers'!$C$9:$C$108,0))*(1-INDEX('Borrowers'!$W$9:$W$108,MATCH(C99,'Borrowers'!$C$9:$C$108,0))*'Scenario Paths'!F39)*'Scenario Paths'!F9/1000000*(1-INDEX('Borrowers'!$T$9:$T$108,MATCH(C99,'Borrowers'!$C$9:$C$108,0))),"Unavailable"))</x:f>
      </x:c>
      <x:c r="J99" s="23" t="str">
        <x:f>IF(C99="","",IFERROR(INDEX('Borrowers'!$I$9:$I$108,MATCH(C99,'Borrowers'!$C$9:$C$108,0))*INDEX('Borrowers'!$S$9:$S$108,MATCH(C99,'Borrowers'!$C$9:$C$108,0))*'Scenario Paths'!F15*(1-INDEX('Borrowers'!$T$9:$T$108,MATCH(C99,'Borrowers'!$C$9:$C$108,0))),"Unavailable"))</x:f>
      </x:c>
      <x:c r="K99" s="23" t="str">
        <x:f>IF(C99="","",IFERROR(INDEX('Borrowers'!$I$9:$I$108,MATCH(C99,'Borrowers'!$C$9:$C$108,0))*INDEX('Borrowers'!$U$9:$U$108,MATCH(C99,'Borrowers'!$C$9:$C$108,0))*'Scenario Paths'!F21*S99,"Unavailable"))</x:f>
      </x:c>
      <x:c r="L99" s="23" t="str">
        <x:f>IF(C99="","",IFERROR(SUMPRODUCT((Sites!$D$9:$D$108=C99)*Sites!$H$9:$H$108*Sites!$J$9:$J$108*Sites!$K$9:$K$108*(1-Sites!$L$9:$L$108)*(1-Sites!$M$9:$M$108))*'Scenario Paths'!F27,"Unavailable"))</x:f>
      </x:c>
      <x:c r="M99" s="23" t="str">
        <x:f>IF(C99="","",IFERROR(INDEX('Borrowers'!$J$9:$J$108,MATCH(C99,'Borrowers'!$C$9:$C$108,0))+H99-SUM(I99:L99),"Unavailable"))</x:f>
      </x:c>
      <x:c r="N99" s="23" t="str">
        <x:f>IF(C99="","",IFERROR(INDEX('Borrowers'!$I$9:$I$108,MATCH(C99,'Borrowers'!$C$9:$C$108,0))*'Scenario Paths'!F33,"Unavailable"))</x:f>
      </x:c>
      <x:c r="O99" s="23" t="str">
        <x:f>IF(C99="","",IFERROR(M99-INDEX('Borrowers'!$K$9:$K$108,MATCH(C99,'Borrowers'!$C$9:$C$108,0))-N99,"Unavailable"))</x:f>
      </x:c>
      <x:c r="P99" s="127" t="str">
        <x:f>IF(C99="","",IFERROR(O99/INDEX('Borrowers'!$L$9:$L$108,MATCH(C99,'Borrowers'!$C$9:$C$108,0)),"Unavailable"))</x:f>
      </x:c>
      <x:c r="Q99" s="30" t="str">
        <x:f>IF(C99="","",IFERROR(IF(INDEX('Borrowers'!$Z$9:$Z$108,MATCH(C99,'Borrowers'!$C$9:$C$108,0))="Yes",1,IF(INDEX('Borrowers'!$P$9:$P$108,MATCH(C99,'Borrowers'!$C$9:$C$108,0))=0,0,MIN(1,INDEX('Borrowers'!$P$9:$P$108,MATCH(C99,'Borrowers'!$C$9:$C$108,0))*EXP(MIN(20,INDEX('Borrowers'!$V$9:$V$108,MATCH(C99,'Borrowers'!$C$9:$C$108,0))*V99))))),"Unavailable"))</x:f>
      </x:c>
      <x:c r="R99" s="30" t="str">
        <x:f>IF(C99="","",IFERROR(MIN(1,INDEX('Borrowers'!$Q$9:$Q$108,MATCH(C99,'Borrowers'!$C$9:$C$108,0))+(1-INDEX('Borrowers'!$Q$9:$Q$108,MATCH(C99,'Borrowers'!$C$9:$C$108,0)))*T99),"Unavailable"))</x:f>
      </x:c>
      <x:c r="S99" s="30" t="str">
        <x:f>IF(C99="","",IFERROR(SUMPRODUCT((Sites!$D$9:$D$108=C99)*Sites!$I$9:$I$108*Sites!$J$9:$J$108*Sites!$K$9:$K$108*(1-Sites!$L$9:$L$108)),"Unavailable"))</x:f>
      </x:c>
      <x:c r="T99" s="30" t="str">
        <x:f>IF(C99="","",IFERROR(MIN(1,(SUMPRODUCT((Sites!$D$9:$D$108=C99)*Sites!$N$9:$N$108*Sites!$J$9:$J$108*Sites!$K$9:$K$108*(1-Sites!$L$9:$L$108)))*'Scenario Paths'!F27),"Unavailable"))</x:f>
      </x:c>
      <x:c r="U99" s="9" t="str">
        <x:f>IF(C99="","",IF(OR(INDEX('Borrowers'!$AA$9:$AA$108,MATCH(C99,'Borrowers'!$C$9:$C$108,0))&lt;&gt;"Ready",COUNTIF(Sites!$D$9:$D$108,C99)=0,COUNTIFS(Sites!$D$9:$D$108,C99,Sites!$Q$9:$Q$108,"&lt;&gt;Ready")&gt;0,'Scenario Paths'!$F$6&lt;&gt;"Ready"),"Review source inputs","Ready"))</x:f>
      </x:c>
      <x:c r="V99" s="17" t="str">
        <x:f>IF(C99="","",IFERROR(MAX(-1,(G99-O99)/MAX(0.000001,G99)),"Unavailable"))</x:f>
      </x:c>
      <x:c r="W99" s="9" t="str">
        <x:f>IF(C99="","",IFERROR(INDEX('Borrowers'!$D$9:$D$108,MATCH(C99,'Borrowers'!$C$9:$C$108,0)),"Unavailable"))</x:f>
      </x:c>
    </x:row>
    <x:row r="100" ht="26" customHeight="1">
      <x:c r="A100" s="1"/>
      <x:c r="B100" s="1"/>
      <x:c r="C100" s="9" t="str">
        <x:f>IF(Borrowers!C100="","",Borrowers!C100)</x:f>
      </x:c>
      <x:c r="D100" s="3" t="n">
        <x:v>1</x:v>
      </x:c>
      <x:c r="E100" s="9" t="n">
        <x:f>Settings!$F$18+0</x:f>
        <x:v>2027</x:v>
      </x:c>
      <x:c r="F100" s="9" t="str">
        <x:f>IF(C100="","",INDEX('Borrowers'!$F$9:$F$108,MATCH(C100,'Borrowers'!$C$9:$C$108,0)))</x:f>
      </x:c>
      <x:c r="G100" s="23" t="str">
        <x:f>IF(C100="","",IFERROR(INDEX('Borrowers'!$J$9:$J$108,MATCH(C100,'Borrowers'!$C$9:$C$108,0))-INDEX('Borrowers'!$K$9:$K$108,MATCH(C100,'Borrowers'!$C$9:$C$108,0)),"Unavailable"))</x:f>
      </x:c>
      <x:c r="H100" s="23" t="str">
        <x:f>IF(C100="","",IFERROR(INDEX('Borrowers'!$I$9:$I$108,MATCH(C100,'Borrowers'!$C$9:$C$108,0))*INDEX('Borrowers'!$U$9:$U$108,MATCH(C100,'Borrowers'!$C$9:$C$108,0))*(IF(F100="Transport",'Scenario Paths'!F156,IF(F100="Technology",'Scenario Paths'!F150,IF(F100="Utilities",'Scenario Paths'!F144,IF(F100="Agriculture",'Scenario Paths'!F138,IF(F100="Manufacturing",'Scenario Paths'!F132,IF(F100="Healthcare",'Scenario Paths'!F126,IF(F100="Hospitality",'Scenario Paths'!F120,IF(F100="Property",'Scenario Paths'!F114,IF(F100="Food",'Scenario Paths'!F108,IF(F100="Logistics",'Scenario Paths'!F102,IF(F100="Solar",'Scenario Paths'!F96,IF(F100="Cement",'Scenario Paths'!F90,0))))))))))))),"Unavailable"))</x:f>
      </x:c>
      <x:c r="I100" s="23" t="str">
        <x:f>IF(C100="","",IFERROR(INDEX('Borrowers'!$R$9:$R$108,MATCH(C100,'Borrowers'!$C$9:$C$108,0))*(1-INDEX('Borrowers'!$W$9:$W$108,MATCH(C100,'Borrowers'!$C$9:$C$108,0))*'Scenario Paths'!F39)*'Scenario Paths'!F9/1000000*(1-INDEX('Borrowers'!$T$9:$T$108,MATCH(C100,'Borrowers'!$C$9:$C$108,0))),"Unavailable"))</x:f>
      </x:c>
      <x:c r="J100" s="23" t="str">
        <x:f>IF(C100="","",IFERROR(INDEX('Borrowers'!$I$9:$I$108,MATCH(C100,'Borrowers'!$C$9:$C$108,0))*INDEX('Borrowers'!$S$9:$S$108,MATCH(C100,'Borrowers'!$C$9:$C$108,0))*'Scenario Paths'!F15*(1-INDEX('Borrowers'!$T$9:$T$108,MATCH(C100,'Borrowers'!$C$9:$C$108,0))),"Unavailable"))</x:f>
      </x:c>
      <x:c r="K100" s="23" t="str">
        <x:f>IF(C100="","",IFERROR(INDEX('Borrowers'!$I$9:$I$108,MATCH(C100,'Borrowers'!$C$9:$C$108,0))*INDEX('Borrowers'!$U$9:$U$108,MATCH(C100,'Borrowers'!$C$9:$C$108,0))*'Scenario Paths'!F21*S100,"Unavailable"))</x:f>
      </x:c>
      <x:c r="L100" s="23" t="str">
        <x:f>IF(C100="","",IFERROR(SUMPRODUCT((Sites!$D$9:$D$108=C100)*Sites!$H$9:$H$108*Sites!$J$9:$J$108*Sites!$K$9:$K$108*(1-Sites!$L$9:$L$108)*(1-Sites!$M$9:$M$108))*'Scenario Paths'!F27,"Unavailable"))</x:f>
      </x:c>
      <x:c r="M100" s="23" t="str">
        <x:f>IF(C100="","",IFERROR(INDEX('Borrowers'!$J$9:$J$108,MATCH(C100,'Borrowers'!$C$9:$C$108,0))+H100-SUM(I100:L100),"Unavailable"))</x:f>
      </x:c>
      <x:c r="N100" s="23" t="str">
        <x:f>IF(C100="","",IFERROR(INDEX('Borrowers'!$I$9:$I$108,MATCH(C100,'Borrowers'!$C$9:$C$108,0))*'Scenario Paths'!F33,"Unavailable"))</x:f>
      </x:c>
      <x:c r="O100" s="23" t="str">
        <x:f>IF(C100="","",IFERROR(M100-INDEX('Borrowers'!$K$9:$K$108,MATCH(C100,'Borrowers'!$C$9:$C$108,0))-N100,"Unavailable"))</x:f>
      </x:c>
      <x:c r="P100" s="127" t="str">
        <x:f>IF(C100="","",IFERROR(O100/INDEX('Borrowers'!$L$9:$L$108,MATCH(C100,'Borrowers'!$C$9:$C$108,0)),"Unavailable"))</x:f>
      </x:c>
      <x:c r="Q100" s="30" t="str">
        <x:f>IF(C100="","",IFERROR(IF(INDEX('Borrowers'!$Z$9:$Z$108,MATCH(C100,'Borrowers'!$C$9:$C$108,0))="Yes",1,IF(INDEX('Borrowers'!$P$9:$P$108,MATCH(C100,'Borrowers'!$C$9:$C$108,0))=0,0,MIN(1,INDEX('Borrowers'!$P$9:$P$108,MATCH(C100,'Borrowers'!$C$9:$C$108,0))*EXP(MIN(20,INDEX('Borrowers'!$V$9:$V$108,MATCH(C100,'Borrowers'!$C$9:$C$108,0))*V100))))),"Unavailable"))</x:f>
      </x:c>
      <x:c r="R100" s="30" t="str">
        <x:f>IF(C100="","",IFERROR(MIN(1,INDEX('Borrowers'!$Q$9:$Q$108,MATCH(C100,'Borrowers'!$C$9:$C$108,0))+(1-INDEX('Borrowers'!$Q$9:$Q$108,MATCH(C100,'Borrowers'!$C$9:$C$108,0)))*T100),"Unavailable"))</x:f>
      </x:c>
      <x:c r="S100" s="30" t="str">
        <x:f>IF(C100="","",IFERROR(SUMPRODUCT((Sites!$D$9:$D$108=C100)*Sites!$I$9:$I$108*Sites!$J$9:$J$108*Sites!$K$9:$K$108*(1-Sites!$L$9:$L$108)),"Unavailable"))</x:f>
      </x:c>
      <x:c r="T100" s="30" t="str">
        <x:f>IF(C100="","",IFERROR(MIN(1,(SUMPRODUCT((Sites!$D$9:$D$108=C100)*Sites!$N$9:$N$108*Sites!$J$9:$J$108*Sites!$K$9:$K$108*(1-Sites!$L$9:$L$108)))*'Scenario Paths'!F27),"Unavailable"))</x:f>
      </x:c>
      <x:c r="U100" s="9" t="str">
        <x:f>IF(C100="","",IF(OR(INDEX('Borrowers'!$AA$9:$AA$108,MATCH(C100,'Borrowers'!$C$9:$C$108,0))&lt;&gt;"Ready",COUNTIF(Sites!$D$9:$D$108,C100)=0,COUNTIFS(Sites!$D$9:$D$108,C100,Sites!$Q$9:$Q$108,"&lt;&gt;Ready")&gt;0,'Scenario Paths'!$F$6&lt;&gt;"Ready"),"Review source inputs","Ready"))</x:f>
      </x:c>
      <x:c r="V100" s="17" t="str">
        <x:f>IF(C100="","",IFERROR(MAX(-1,(G100-O100)/MAX(0.000001,G100)),"Unavailable"))</x:f>
      </x:c>
      <x:c r="W100" s="9" t="str">
        <x:f>IF(C100="","",IFERROR(INDEX('Borrowers'!$D$9:$D$108,MATCH(C100,'Borrowers'!$C$9:$C$108,0)),"Unavailable"))</x:f>
      </x:c>
    </x:row>
    <x:row r="101" ht="26" customHeight="1">
      <x:c r="A101" s="1"/>
      <x:c r="B101" s="1"/>
      <x:c r="C101" s="9" t="str">
        <x:f>IF(Borrowers!C101="","",Borrowers!C101)</x:f>
      </x:c>
      <x:c r="D101" s="3" t="n">
        <x:v>1</x:v>
      </x:c>
      <x:c r="E101" s="9" t="n">
        <x:f>Settings!$F$18+0</x:f>
        <x:v>2027</x:v>
      </x:c>
      <x:c r="F101" s="9" t="str">
        <x:f>IF(C101="","",INDEX('Borrowers'!$F$9:$F$108,MATCH(C101,'Borrowers'!$C$9:$C$108,0)))</x:f>
      </x:c>
      <x:c r="G101" s="23" t="str">
        <x:f>IF(C101="","",IFERROR(INDEX('Borrowers'!$J$9:$J$108,MATCH(C101,'Borrowers'!$C$9:$C$108,0))-INDEX('Borrowers'!$K$9:$K$108,MATCH(C101,'Borrowers'!$C$9:$C$108,0)),"Unavailable"))</x:f>
      </x:c>
      <x:c r="H101" s="23" t="str">
        <x:f>IF(C101="","",IFERROR(INDEX('Borrowers'!$I$9:$I$108,MATCH(C101,'Borrowers'!$C$9:$C$108,0))*INDEX('Borrowers'!$U$9:$U$108,MATCH(C101,'Borrowers'!$C$9:$C$108,0))*(IF(F101="Transport",'Scenario Paths'!F156,IF(F101="Technology",'Scenario Paths'!F150,IF(F101="Utilities",'Scenario Paths'!F144,IF(F101="Agriculture",'Scenario Paths'!F138,IF(F101="Manufacturing",'Scenario Paths'!F132,IF(F101="Healthcare",'Scenario Paths'!F126,IF(F101="Hospitality",'Scenario Paths'!F120,IF(F101="Property",'Scenario Paths'!F114,IF(F101="Food",'Scenario Paths'!F108,IF(F101="Logistics",'Scenario Paths'!F102,IF(F101="Solar",'Scenario Paths'!F96,IF(F101="Cement",'Scenario Paths'!F90,0))))))))))))),"Unavailable"))</x:f>
      </x:c>
      <x:c r="I101" s="23" t="str">
        <x:f>IF(C101="","",IFERROR(INDEX('Borrowers'!$R$9:$R$108,MATCH(C101,'Borrowers'!$C$9:$C$108,0))*(1-INDEX('Borrowers'!$W$9:$W$108,MATCH(C101,'Borrowers'!$C$9:$C$108,0))*'Scenario Paths'!F39)*'Scenario Paths'!F9/1000000*(1-INDEX('Borrowers'!$T$9:$T$108,MATCH(C101,'Borrowers'!$C$9:$C$108,0))),"Unavailable"))</x:f>
      </x:c>
      <x:c r="J101" s="23" t="str">
        <x:f>IF(C101="","",IFERROR(INDEX('Borrowers'!$I$9:$I$108,MATCH(C101,'Borrowers'!$C$9:$C$108,0))*INDEX('Borrowers'!$S$9:$S$108,MATCH(C101,'Borrowers'!$C$9:$C$108,0))*'Scenario Paths'!F15*(1-INDEX('Borrowers'!$T$9:$T$108,MATCH(C101,'Borrowers'!$C$9:$C$108,0))),"Unavailable"))</x:f>
      </x:c>
      <x:c r="K101" s="23" t="str">
        <x:f>IF(C101="","",IFERROR(INDEX('Borrowers'!$I$9:$I$108,MATCH(C101,'Borrowers'!$C$9:$C$108,0))*INDEX('Borrowers'!$U$9:$U$108,MATCH(C101,'Borrowers'!$C$9:$C$108,0))*'Scenario Paths'!F21*S101,"Unavailable"))</x:f>
      </x:c>
      <x:c r="L101" s="23" t="str">
        <x:f>IF(C101="","",IFERROR(SUMPRODUCT((Sites!$D$9:$D$108=C101)*Sites!$H$9:$H$108*Sites!$J$9:$J$108*Sites!$K$9:$K$108*(1-Sites!$L$9:$L$108)*(1-Sites!$M$9:$M$108))*'Scenario Paths'!F27,"Unavailable"))</x:f>
      </x:c>
      <x:c r="M101" s="23" t="str">
        <x:f>IF(C101="","",IFERROR(INDEX('Borrowers'!$J$9:$J$108,MATCH(C101,'Borrowers'!$C$9:$C$108,0))+H101-SUM(I101:L101),"Unavailable"))</x:f>
      </x:c>
      <x:c r="N101" s="23" t="str">
        <x:f>IF(C101="","",IFERROR(INDEX('Borrowers'!$I$9:$I$108,MATCH(C101,'Borrowers'!$C$9:$C$108,0))*'Scenario Paths'!F33,"Unavailable"))</x:f>
      </x:c>
      <x:c r="O101" s="23" t="str">
        <x:f>IF(C101="","",IFERROR(M101-INDEX('Borrowers'!$K$9:$K$108,MATCH(C101,'Borrowers'!$C$9:$C$108,0))-N101,"Unavailable"))</x:f>
      </x:c>
      <x:c r="P101" s="127" t="str">
        <x:f>IF(C101="","",IFERROR(O101/INDEX('Borrowers'!$L$9:$L$108,MATCH(C101,'Borrowers'!$C$9:$C$108,0)),"Unavailable"))</x:f>
      </x:c>
      <x:c r="Q101" s="30" t="str">
        <x:f>IF(C101="","",IFERROR(IF(INDEX('Borrowers'!$Z$9:$Z$108,MATCH(C101,'Borrowers'!$C$9:$C$108,0))="Yes",1,IF(INDEX('Borrowers'!$P$9:$P$108,MATCH(C101,'Borrowers'!$C$9:$C$108,0))=0,0,MIN(1,INDEX('Borrowers'!$P$9:$P$108,MATCH(C101,'Borrowers'!$C$9:$C$108,0))*EXP(MIN(20,INDEX('Borrowers'!$V$9:$V$108,MATCH(C101,'Borrowers'!$C$9:$C$108,0))*V101))))),"Unavailable"))</x:f>
      </x:c>
      <x:c r="R101" s="30" t="str">
        <x:f>IF(C101="","",IFERROR(MIN(1,INDEX('Borrowers'!$Q$9:$Q$108,MATCH(C101,'Borrowers'!$C$9:$C$108,0))+(1-INDEX('Borrowers'!$Q$9:$Q$108,MATCH(C101,'Borrowers'!$C$9:$C$108,0)))*T101),"Unavailable"))</x:f>
      </x:c>
      <x:c r="S101" s="30" t="str">
        <x:f>IF(C101="","",IFERROR(SUMPRODUCT((Sites!$D$9:$D$108=C101)*Sites!$I$9:$I$108*Sites!$J$9:$J$108*Sites!$K$9:$K$108*(1-Sites!$L$9:$L$108)),"Unavailable"))</x:f>
      </x:c>
      <x:c r="T101" s="30" t="str">
        <x:f>IF(C101="","",IFERROR(MIN(1,(SUMPRODUCT((Sites!$D$9:$D$108=C101)*Sites!$N$9:$N$108*Sites!$J$9:$J$108*Sites!$K$9:$K$108*(1-Sites!$L$9:$L$108)))*'Scenario Paths'!F27),"Unavailable"))</x:f>
      </x:c>
      <x:c r="U101" s="9" t="str">
        <x:f>IF(C101="","",IF(OR(INDEX('Borrowers'!$AA$9:$AA$108,MATCH(C101,'Borrowers'!$C$9:$C$108,0))&lt;&gt;"Ready",COUNTIF(Sites!$D$9:$D$108,C101)=0,COUNTIFS(Sites!$D$9:$D$108,C101,Sites!$Q$9:$Q$108,"&lt;&gt;Ready")&gt;0,'Scenario Paths'!$F$6&lt;&gt;"Ready"),"Review source inputs","Ready"))</x:f>
      </x:c>
      <x:c r="V101" s="17" t="str">
        <x:f>IF(C101="","",IFERROR(MAX(-1,(G101-O101)/MAX(0.000001,G101)),"Unavailable"))</x:f>
      </x:c>
      <x:c r="W101" s="9" t="str">
        <x:f>IF(C101="","",IFERROR(INDEX('Borrowers'!$D$9:$D$108,MATCH(C101,'Borrowers'!$C$9:$C$108,0)),"Unavailable"))</x:f>
      </x:c>
    </x:row>
    <x:row r="102" ht="26" customHeight="1">
      <x:c r="A102" s="1"/>
      <x:c r="B102" s="1"/>
      <x:c r="C102" s="9" t="str">
        <x:f>IF(Borrowers!C102="","",Borrowers!C102)</x:f>
      </x:c>
      <x:c r="D102" s="3" t="n">
        <x:v>1</x:v>
      </x:c>
      <x:c r="E102" s="9" t="n">
        <x:f>Settings!$F$18+0</x:f>
        <x:v>2027</x:v>
      </x:c>
      <x:c r="F102" s="9" t="str">
        <x:f>IF(C102="","",INDEX('Borrowers'!$F$9:$F$108,MATCH(C102,'Borrowers'!$C$9:$C$108,0)))</x:f>
      </x:c>
      <x:c r="G102" s="23" t="str">
        <x:f>IF(C102="","",IFERROR(INDEX('Borrowers'!$J$9:$J$108,MATCH(C102,'Borrowers'!$C$9:$C$108,0))-INDEX('Borrowers'!$K$9:$K$108,MATCH(C102,'Borrowers'!$C$9:$C$108,0)),"Unavailable"))</x:f>
      </x:c>
      <x:c r="H102" s="23" t="str">
        <x:f>IF(C102="","",IFERROR(INDEX('Borrowers'!$I$9:$I$108,MATCH(C102,'Borrowers'!$C$9:$C$108,0))*INDEX('Borrowers'!$U$9:$U$108,MATCH(C102,'Borrowers'!$C$9:$C$108,0))*(IF(F102="Transport",'Scenario Paths'!F156,IF(F102="Technology",'Scenario Paths'!F150,IF(F102="Utilities",'Scenario Paths'!F144,IF(F102="Agriculture",'Scenario Paths'!F138,IF(F102="Manufacturing",'Scenario Paths'!F132,IF(F102="Healthcare",'Scenario Paths'!F126,IF(F102="Hospitality",'Scenario Paths'!F120,IF(F102="Property",'Scenario Paths'!F114,IF(F102="Food",'Scenario Paths'!F108,IF(F102="Logistics",'Scenario Paths'!F102,IF(F102="Solar",'Scenario Paths'!F96,IF(F102="Cement",'Scenario Paths'!F90,0))))))))))))),"Unavailable"))</x:f>
      </x:c>
      <x:c r="I102" s="23" t="str">
        <x:f>IF(C102="","",IFERROR(INDEX('Borrowers'!$R$9:$R$108,MATCH(C102,'Borrowers'!$C$9:$C$108,0))*(1-INDEX('Borrowers'!$W$9:$W$108,MATCH(C102,'Borrowers'!$C$9:$C$108,0))*'Scenario Paths'!F39)*'Scenario Paths'!F9/1000000*(1-INDEX('Borrowers'!$T$9:$T$108,MATCH(C102,'Borrowers'!$C$9:$C$108,0))),"Unavailable"))</x:f>
      </x:c>
      <x:c r="J102" s="23" t="str">
        <x:f>IF(C102="","",IFERROR(INDEX('Borrowers'!$I$9:$I$108,MATCH(C102,'Borrowers'!$C$9:$C$108,0))*INDEX('Borrowers'!$S$9:$S$108,MATCH(C102,'Borrowers'!$C$9:$C$108,0))*'Scenario Paths'!F15*(1-INDEX('Borrowers'!$T$9:$T$108,MATCH(C102,'Borrowers'!$C$9:$C$108,0))),"Unavailable"))</x:f>
      </x:c>
      <x:c r="K102" s="23" t="str">
        <x:f>IF(C102="","",IFERROR(INDEX('Borrowers'!$I$9:$I$108,MATCH(C102,'Borrowers'!$C$9:$C$108,0))*INDEX('Borrowers'!$U$9:$U$108,MATCH(C102,'Borrowers'!$C$9:$C$108,0))*'Scenario Paths'!F21*S102,"Unavailable"))</x:f>
      </x:c>
      <x:c r="L102" s="23" t="str">
        <x:f>IF(C102="","",IFERROR(SUMPRODUCT((Sites!$D$9:$D$108=C102)*Sites!$H$9:$H$108*Sites!$J$9:$J$108*Sites!$K$9:$K$108*(1-Sites!$L$9:$L$108)*(1-Sites!$M$9:$M$108))*'Scenario Paths'!F27,"Unavailable"))</x:f>
      </x:c>
      <x:c r="M102" s="23" t="str">
        <x:f>IF(C102="","",IFERROR(INDEX('Borrowers'!$J$9:$J$108,MATCH(C102,'Borrowers'!$C$9:$C$108,0))+H102-SUM(I102:L102),"Unavailable"))</x:f>
      </x:c>
      <x:c r="N102" s="23" t="str">
        <x:f>IF(C102="","",IFERROR(INDEX('Borrowers'!$I$9:$I$108,MATCH(C102,'Borrowers'!$C$9:$C$108,0))*'Scenario Paths'!F33,"Unavailable"))</x:f>
      </x:c>
      <x:c r="O102" s="23" t="str">
        <x:f>IF(C102="","",IFERROR(M102-INDEX('Borrowers'!$K$9:$K$108,MATCH(C102,'Borrowers'!$C$9:$C$108,0))-N102,"Unavailable"))</x:f>
      </x:c>
      <x:c r="P102" s="127" t="str">
        <x:f>IF(C102="","",IFERROR(O102/INDEX('Borrowers'!$L$9:$L$108,MATCH(C102,'Borrowers'!$C$9:$C$108,0)),"Unavailable"))</x:f>
      </x:c>
      <x:c r="Q102" s="30" t="str">
        <x:f>IF(C102="","",IFERROR(IF(INDEX('Borrowers'!$Z$9:$Z$108,MATCH(C102,'Borrowers'!$C$9:$C$108,0))="Yes",1,IF(INDEX('Borrowers'!$P$9:$P$108,MATCH(C102,'Borrowers'!$C$9:$C$108,0))=0,0,MIN(1,INDEX('Borrowers'!$P$9:$P$108,MATCH(C102,'Borrowers'!$C$9:$C$108,0))*EXP(MIN(20,INDEX('Borrowers'!$V$9:$V$108,MATCH(C102,'Borrowers'!$C$9:$C$108,0))*V102))))),"Unavailable"))</x:f>
      </x:c>
      <x:c r="R102" s="30" t="str">
        <x:f>IF(C102="","",IFERROR(MIN(1,INDEX('Borrowers'!$Q$9:$Q$108,MATCH(C102,'Borrowers'!$C$9:$C$108,0))+(1-INDEX('Borrowers'!$Q$9:$Q$108,MATCH(C102,'Borrowers'!$C$9:$C$108,0)))*T102),"Unavailable"))</x:f>
      </x:c>
      <x:c r="S102" s="30" t="str">
        <x:f>IF(C102="","",IFERROR(SUMPRODUCT((Sites!$D$9:$D$108=C102)*Sites!$I$9:$I$108*Sites!$J$9:$J$108*Sites!$K$9:$K$108*(1-Sites!$L$9:$L$108)),"Unavailable"))</x:f>
      </x:c>
      <x:c r="T102" s="30" t="str">
        <x:f>IF(C102="","",IFERROR(MIN(1,(SUMPRODUCT((Sites!$D$9:$D$108=C102)*Sites!$N$9:$N$108*Sites!$J$9:$J$108*Sites!$K$9:$K$108*(1-Sites!$L$9:$L$108)))*'Scenario Paths'!F27),"Unavailable"))</x:f>
      </x:c>
      <x:c r="U102" s="9" t="str">
        <x:f>IF(C102="","",IF(OR(INDEX('Borrowers'!$AA$9:$AA$108,MATCH(C102,'Borrowers'!$C$9:$C$108,0))&lt;&gt;"Ready",COUNTIF(Sites!$D$9:$D$108,C102)=0,COUNTIFS(Sites!$D$9:$D$108,C102,Sites!$Q$9:$Q$108,"&lt;&gt;Ready")&gt;0,'Scenario Paths'!$F$6&lt;&gt;"Ready"),"Review source inputs","Ready"))</x:f>
      </x:c>
      <x:c r="V102" s="17" t="str">
        <x:f>IF(C102="","",IFERROR(MAX(-1,(G102-O102)/MAX(0.000001,G102)),"Unavailable"))</x:f>
      </x:c>
      <x:c r="W102" s="9" t="str">
        <x:f>IF(C102="","",IFERROR(INDEX('Borrowers'!$D$9:$D$108,MATCH(C102,'Borrowers'!$C$9:$C$108,0)),"Unavailable"))</x:f>
      </x:c>
    </x:row>
    <x:row r="103" ht="26" customHeight="1">
      <x:c r="A103" s="1"/>
      <x:c r="B103" s="1"/>
      <x:c r="C103" s="9" t="str">
        <x:f>IF(Borrowers!C103="","",Borrowers!C103)</x:f>
      </x:c>
      <x:c r="D103" s="3" t="n">
        <x:v>1</x:v>
      </x:c>
      <x:c r="E103" s="9" t="n">
        <x:f>Settings!$F$18+0</x:f>
        <x:v>2027</x:v>
      </x:c>
      <x:c r="F103" s="9" t="str">
        <x:f>IF(C103="","",INDEX('Borrowers'!$F$9:$F$108,MATCH(C103,'Borrowers'!$C$9:$C$108,0)))</x:f>
      </x:c>
      <x:c r="G103" s="23" t="str">
        <x:f>IF(C103="","",IFERROR(INDEX('Borrowers'!$J$9:$J$108,MATCH(C103,'Borrowers'!$C$9:$C$108,0))-INDEX('Borrowers'!$K$9:$K$108,MATCH(C103,'Borrowers'!$C$9:$C$108,0)),"Unavailable"))</x:f>
      </x:c>
      <x:c r="H103" s="23" t="str">
        <x:f>IF(C103="","",IFERROR(INDEX('Borrowers'!$I$9:$I$108,MATCH(C103,'Borrowers'!$C$9:$C$108,0))*INDEX('Borrowers'!$U$9:$U$108,MATCH(C103,'Borrowers'!$C$9:$C$108,0))*(IF(F103="Transport",'Scenario Paths'!F156,IF(F103="Technology",'Scenario Paths'!F150,IF(F103="Utilities",'Scenario Paths'!F144,IF(F103="Agriculture",'Scenario Paths'!F138,IF(F103="Manufacturing",'Scenario Paths'!F132,IF(F103="Healthcare",'Scenario Paths'!F126,IF(F103="Hospitality",'Scenario Paths'!F120,IF(F103="Property",'Scenario Paths'!F114,IF(F103="Food",'Scenario Paths'!F108,IF(F103="Logistics",'Scenario Paths'!F102,IF(F103="Solar",'Scenario Paths'!F96,IF(F103="Cement",'Scenario Paths'!F90,0))))))))))))),"Unavailable"))</x:f>
      </x:c>
      <x:c r="I103" s="23" t="str">
        <x:f>IF(C103="","",IFERROR(INDEX('Borrowers'!$R$9:$R$108,MATCH(C103,'Borrowers'!$C$9:$C$108,0))*(1-INDEX('Borrowers'!$W$9:$W$108,MATCH(C103,'Borrowers'!$C$9:$C$108,0))*'Scenario Paths'!F39)*'Scenario Paths'!F9/1000000*(1-INDEX('Borrowers'!$T$9:$T$108,MATCH(C103,'Borrowers'!$C$9:$C$108,0))),"Unavailable"))</x:f>
      </x:c>
      <x:c r="J103" s="23" t="str">
        <x:f>IF(C103="","",IFERROR(INDEX('Borrowers'!$I$9:$I$108,MATCH(C103,'Borrowers'!$C$9:$C$108,0))*INDEX('Borrowers'!$S$9:$S$108,MATCH(C103,'Borrowers'!$C$9:$C$108,0))*'Scenario Paths'!F15*(1-INDEX('Borrowers'!$T$9:$T$108,MATCH(C103,'Borrowers'!$C$9:$C$108,0))),"Unavailable"))</x:f>
      </x:c>
      <x:c r="K103" s="23" t="str">
        <x:f>IF(C103="","",IFERROR(INDEX('Borrowers'!$I$9:$I$108,MATCH(C103,'Borrowers'!$C$9:$C$108,0))*INDEX('Borrowers'!$U$9:$U$108,MATCH(C103,'Borrowers'!$C$9:$C$108,0))*'Scenario Paths'!F21*S103,"Unavailable"))</x:f>
      </x:c>
      <x:c r="L103" s="23" t="str">
        <x:f>IF(C103="","",IFERROR(SUMPRODUCT((Sites!$D$9:$D$108=C103)*Sites!$H$9:$H$108*Sites!$J$9:$J$108*Sites!$K$9:$K$108*(1-Sites!$L$9:$L$108)*(1-Sites!$M$9:$M$108))*'Scenario Paths'!F27,"Unavailable"))</x:f>
      </x:c>
      <x:c r="M103" s="23" t="str">
        <x:f>IF(C103="","",IFERROR(INDEX('Borrowers'!$J$9:$J$108,MATCH(C103,'Borrowers'!$C$9:$C$108,0))+H103-SUM(I103:L103),"Unavailable"))</x:f>
      </x:c>
      <x:c r="N103" s="23" t="str">
        <x:f>IF(C103="","",IFERROR(INDEX('Borrowers'!$I$9:$I$108,MATCH(C103,'Borrowers'!$C$9:$C$108,0))*'Scenario Paths'!F33,"Unavailable"))</x:f>
      </x:c>
      <x:c r="O103" s="23" t="str">
        <x:f>IF(C103="","",IFERROR(M103-INDEX('Borrowers'!$K$9:$K$108,MATCH(C103,'Borrowers'!$C$9:$C$108,0))-N103,"Unavailable"))</x:f>
      </x:c>
      <x:c r="P103" s="127" t="str">
        <x:f>IF(C103="","",IFERROR(O103/INDEX('Borrowers'!$L$9:$L$108,MATCH(C103,'Borrowers'!$C$9:$C$108,0)),"Unavailable"))</x:f>
      </x:c>
      <x:c r="Q103" s="30" t="str">
        <x:f>IF(C103="","",IFERROR(IF(INDEX('Borrowers'!$Z$9:$Z$108,MATCH(C103,'Borrowers'!$C$9:$C$108,0))="Yes",1,IF(INDEX('Borrowers'!$P$9:$P$108,MATCH(C103,'Borrowers'!$C$9:$C$108,0))=0,0,MIN(1,INDEX('Borrowers'!$P$9:$P$108,MATCH(C103,'Borrowers'!$C$9:$C$108,0))*EXP(MIN(20,INDEX('Borrowers'!$V$9:$V$108,MATCH(C103,'Borrowers'!$C$9:$C$108,0))*V103))))),"Unavailable"))</x:f>
      </x:c>
      <x:c r="R103" s="30" t="str">
        <x:f>IF(C103="","",IFERROR(MIN(1,INDEX('Borrowers'!$Q$9:$Q$108,MATCH(C103,'Borrowers'!$C$9:$C$108,0))+(1-INDEX('Borrowers'!$Q$9:$Q$108,MATCH(C103,'Borrowers'!$C$9:$C$108,0)))*T103),"Unavailable"))</x:f>
      </x:c>
      <x:c r="S103" s="30" t="str">
        <x:f>IF(C103="","",IFERROR(SUMPRODUCT((Sites!$D$9:$D$108=C103)*Sites!$I$9:$I$108*Sites!$J$9:$J$108*Sites!$K$9:$K$108*(1-Sites!$L$9:$L$108)),"Unavailable"))</x:f>
      </x:c>
      <x:c r="T103" s="30" t="str">
        <x:f>IF(C103="","",IFERROR(MIN(1,(SUMPRODUCT((Sites!$D$9:$D$108=C103)*Sites!$N$9:$N$108*Sites!$J$9:$J$108*Sites!$K$9:$K$108*(1-Sites!$L$9:$L$108)))*'Scenario Paths'!F27),"Unavailable"))</x:f>
      </x:c>
      <x:c r="U103" s="9" t="str">
        <x:f>IF(C103="","",IF(OR(INDEX('Borrowers'!$AA$9:$AA$108,MATCH(C103,'Borrowers'!$C$9:$C$108,0))&lt;&gt;"Ready",COUNTIF(Sites!$D$9:$D$108,C103)=0,COUNTIFS(Sites!$D$9:$D$108,C103,Sites!$Q$9:$Q$108,"&lt;&gt;Ready")&gt;0,'Scenario Paths'!$F$6&lt;&gt;"Ready"),"Review source inputs","Ready"))</x:f>
      </x:c>
      <x:c r="V103" s="17" t="str">
        <x:f>IF(C103="","",IFERROR(MAX(-1,(G103-O103)/MAX(0.000001,G103)),"Unavailable"))</x:f>
      </x:c>
      <x:c r="W103" s="9" t="str">
        <x:f>IF(C103="","",IFERROR(INDEX('Borrowers'!$D$9:$D$108,MATCH(C103,'Borrowers'!$C$9:$C$108,0)),"Unavailable"))</x:f>
      </x:c>
    </x:row>
    <x:row r="104" ht="26" customHeight="1">
      <x:c r="A104" s="1"/>
      <x:c r="B104" s="1"/>
      <x:c r="C104" s="9" t="str">
        <x:f>IF(Borrowers!C104="","",Borrowers!C104)</x:f>
      </x:c>
      <x:c r="D104" s="3" t="n">
        <x:v>1</x:v>
      </x:c>
      <x:c r="E104" s="9" t="n">
        <x:f>Settings!$F$18+0</x:f>
        <x:v>2027</x:v>
      </x:c>
      <x:c r="F104" s="9" t="str">
        <x:f>IF(C104="","",INDEX('Borrowers'!$F$9:$F$108,MATCH(C104,'Borrowers'!$C$9:$C$108,0)))</x:f>
      </x:c>
      <x:c r="G104" s="23" t="str">
        <x:f>IF(C104="","",IFERROR(INDEX('Borrowers'!$J$9:$J$108,MATCH(C104,'Borrowers'!$C$9:$C$108,0))-INDEX('Borrowers'!$K$9:$K$108,MATCH(C104,'Borrowers'!$C$9:$C$108,0)),"Unavailable"))</x:f>
      </x:c>
      <x:c r="H104" s="23" t="str">
        <x:f>IF(C104="","",IFERROR(INDEX('Borrowers'!$I$9:$I$108,MATCH(C104,'Borrowers'!$C$9:$C$108,0))*INDEX('Borrowers'!$U$9:$U$108,MATCH(C104,'Borrowers'!$C$9:$C$108,0))*(IF(F104="Transport",'Scenario Paths'!F156,IF(F104="Technology",'Scenario Paths'!F150,IF(F104="Utilities",'Scenario Paths'!F144,IF(F104="Agriculture",'Scenario Paths'!F138,IF(F104="Manufacturing",'Scenario Paths'!F132,IF(F104="Healthcare",'Scenario Paths'!F126,IF(F104="Hospitality",'Scenario Paths'!F120,IF(F104="Property",'Scenario Paths'!F114,IF(F104="Food",'Scenario Paths'!F108,IF(F104="Logistics",'Scenario Paths'!F102,IF(F104="Solar",'Scenario Paths'!F96,IF(F104="Cement",'Scenario Paths'!F90,0))))))))))))),"Unavailable"))</x:f>
      </x:c>
      <x:c r="I104" s="23" t="str">
        <x:f>IF(C104="","",IFERROR(INDEX('Borrowers'!$R$9:$R$108,MATCH(C104,'Borrowers'!$C$9:$C$108,0))*(1-INDEX('Borrowers'!$W$9:$W$108,MATCH(C104,'Borrowers'!$C$9:$C$108,0))*'Scenario Paths'!F39)*'Scenario Paths'!F9/1000000*(1-INDEX('Borrowers'!$T$9:$T$108,MATCH(C104,'Borrowers'!$C$9:$C$108,0))),"Unavailable"))</x:f>
      </x:c>
      <x:c r="J104" s="23" t="str">
        <x:f>IF(C104="","",IFERROR(INDEX('Borrowers'!$I$9:$I$108,MATCH(C104,'Borrowers'!$C$9:$C$108,0))*INDEX('Borrowers'!$S$9:$S$108,MATCH(C104,'Borrowers'!$C$9:$C$108,0))*'Scenario Paths'!F15*(1-INDEX('Borrowers'!$T$9:$T$108,MATCH(C104,'Borrowers'!$C$9:$C$108,0))),"Unavailable"))</x:f>
      </x:c>
      <x:c r="K104" s="23" t="str">
        <x:f>IF(C104="","",IFERROR(INDEX('Borrowers'!$I$9:$I$108,MATCH(C104,'Borrowers'!$C$9:$C$108,0))*INDEX('Borrowers'!$U$9:$U$108,MATCH(C104,'Borrowers'!$C$9:$C$108,0))*'Scenario Paths'!F21*S104,"Unavailable"))</x:f>
      </x:c>
      <x:c r="L104" s="23" t="str">
        <x:f>IF(C104="","",IFERROR(SUMPRODUCT((Sites!$D$9:$D$108=C104)*Sites!$H$9:$H$108*Sites!$J$9:$J$108*Sites!$K$9:$K$108*(1-Sites!$L$9:$L$108)*(1-Sites!$M$9:$M$108))*'Scenario Paths'!F27,"Unavailable"))</x:f>
      </x:c>
      <x:c r="M104" s="23" t="str">
        <x:f>IF(C104="","",IFERROR(INDEX('Borrowers'!$J$9:$J$108,MATCH(C104,'Borrowers'!$C$9:$C$108,0))+H104-SUM(I104:L104),"Unavailable"))</x:f>
      </x:c>
      <x:c r="N104" s="23" t="str">
        <x:f>IF(C104="","",IFERROR(INDEX('Borrowers'!$I$9:$I$108,MATCH(C104,'Borrowers'!$C$9:$C$108,0))*'Scenario Paths'!F33,"Unavailable"))</x:f>
      </x:c>
      <x:c r="O104" s="23" t="str">
        <x:f>IF(C104="","",IFERROR(M104-INDEX('Borrowers'!$K$9:$K$108,MATCH(C104,'Borrowers'!$C$9:$C$108,0))-N104,"Unavailable"))</x:f>
      </x:c>
      <x:c r="P104" s="127" t="str">
        <x:f>IF(C104="","",IFERROR(O104/INDEX('Borrowers'!$L$9:$L$108,MATCH(C104,'Borrowers'!$C$9:$C$108,0)),"Unavailable"))</x:f>
      </x:c>
      <x:c r="Q104" s="30" t="str">
        <x:f>IF(C104="","",IFERROR(IF(INDEX('Borrowers'!$Z$9:$Z$108,MATCH(C104,'Borrowers'!$C$9:$C$108,0))="Yes",1,IF(INDEX('Borrowers'!$P$9:$P$108,MATCH(C104,'Borrowers'!$C$9:$C$108,0))=0,0,MIN(1,INDEX('Borrowers'!$P$9:$P$108,MATCH(C104,'Borrowers'!$C$9:$C$108,0))*EXP(MIN(20,INDEX('Borrowers'!$V$9:$V$108,MATCH(C104,'Borrowers'!$C$9:$C$108,0))*V104))))),"Unavailable"))</x:f>
      </x:c>
      <x:c r="R104" s="30" t="str">
        <x:f>IF(C104="","",IFERROR(MIN(1,INDEX('Borrowers'!$Q$9:$Q$108,MATCH(C104,'Borrowers'!$C$9:$C$108,0))+(1-INDEX('Borrowers'!$Q$9:$Q$108,MATCH(C104,'Borrowers'!$C$9:$C$108,0)))*T104),"Unavailable"))</x:f>
      </x:c>
      <x:c r="S104" s="30" t="str">
        <x:f>IF(C104="","",IFERROR(SUMPRODUCT((Sites!$D$9:$D$108=C104)*Sites!$I$9:$I$108*Sites!$J$9:$J$108*Sites!$K$9:$K$108*(1-Sites!$L$9:$L$108)),"Unavailable"))</x:f>
      </x:c>
      <x:c r="T104" s="30" t="str">
        <x:f>IF(C104="","",IFERROR(MIN(1,(SUMPRODUCT((Sites!$D$9:$D$108=C104)*Sites!$N$9:$N$108*Sites!$J$9:$J$108*Sites!$K$9:$K$108*(1-Sites!$L$9:$L$108)))*'Scenario Paths'!F27),"Unavailable"))</x:f>
      </x:c>
      <x:c r="U104" s="9" t="str">
        <x:f>IF(C104="","",IF(OR(INDEX('Borrowers'!$AA$9:$AA$108,MATCH(C104,'Borrowers'!$C$9:$C$108,0))&lt;&gt;"Ready",COUNTIF(Sites!$D$9:$D$108,C104)=0,COUNTIFS(Sites!$D$9:$D$108,C104,Sites!$Q$9:$Q$108,"&lt;&gt;Ready")&gt;0,'Scenario Paths'!$F$6&lt;&gt;"Ready"),"Review source inputs","Ready"))</x:f>
      </x:c>
      <x:c r="V104" s="17" t="str">
        <x:f>IF(C104="","",IFERROR(MAX(-1,(G104-O104)/MAX(0.000001,G104)),"Unavailable"))</x:f>
      </x:c>
      <x:c r="W104" s="9" t="str">
        <x:f>IF(C104="","",IFERROR(INDEX('Borrowers'!$D$9:$D$108,MATCH(C104,'Borrowers'!$C$9:$C$108,0)),"Unavailable"))</x:f>
      </x:c>
    </x:row>
    <x:row r="105" ht="26" customHeight="1">
      <x:c r="A105" s="1"/>
      <x:c r="B105" s="1"/>
      <x:c r="C105" s="9" t="str">
        <x:f>IF(Borrowers!C105="","",Borrowers!C105)</x:f>
      </x:c>
      <x:c r="D105" s="3" t="n">
        <x:v>1</x:v>
      </x:c>
      <x:c r="E105" s="9" t="n">
        <x:f>Settings!$F$18+0</x:f>
        <x:v>2027</x:v>
      </x:c>
      <x:c r="F105" s="9" t="str">
        <x:f>IF(C105="","",INDEX('Borrowers'!$F$9:$F$108,MATCH(C105,'Borrowers'!$C$9:$C$108,0)))</x:f>
      </x:c>
      <x:c r="G105" s="23" t="str">
        <x:f>IF(C105="","",IFERROR(INDEX('Borrowers'!$J$9:$J$108,MATCH(C105,'Borrowers'!$C$9:$C$108,0))-INDEX('Borrowers'!$K$9:$K$108,MATCH(C105,'Borrowers'!$C$9:$C$108,0)),"Unavailable"))</x:f>
      </x:c>
      <x:c r="H105" s="23" t="str">
        <x:f>IF(C105="","",IFERROR(INDEX('Borrowers'!$I$9:$I$108,MATCH(C105,'Borrowers'!$C$9:$C$108,0))*INDEX('Borrowers'!$U$9:$U$108,MATCH(C105,'Borrowers'!$C$9:$C$108,0))*(IF(F105="Transport",'Scenario Paths'!F156,IF(F105="Technology",'Scenario Paths'!F150,IF(F105="Utilities",'Scenario Paths'!F144,IF(F105="Agriculture",'Scenario Paths'!F138,IF(F105="Manufacturing",'Scenario Paths'!F132,IF(F105="Healthcare",'Scenario Paths'!F126,IF(F105="Hospitality",'Scenario Paths'!F120,IF(F105="Property",'Scenario Paths'!F114,IF(F105="Food",'Scenario Paths'!F108,IF(F105="Logistics",'Scenario Paths'!F102,IF(F105="Solar",'Scenario Paths'!F96,IF(F105="Cement",'Scenario Paths'!F90,0))))))))))))),"Unavailable"))</x:f>
      </x:c>
      <x:c r="I105" s="23" t="str">
        <x:f>IF(C105="","",IFERROR(INDEX('Borrowers'!$R$9:$R$108,MATCH(C105,'Borrowers'!$C$9:$C$108,0))*(1-INDEX('Borrowers'!$W$9:$W$108,MATCH(C105,'Borrowers'!$C$9:$C$108,0))*'Scenario Paths'!F39)*'Scenario Paths'!F9/1000000*(1-INDEX('Borrowers'!$T$9:$T$108,MATCH(C105,'Borrowers'!$C$9:$C$108,0))),"Unavailable"))</x:f>
      </x:c>
      <x:c r="J105" s="23" t="str">
        <x:f>IF(C105="","",IFERROR(INDEX('Borrowers'!$I$9:$I$108,MATCH(C105,'Borrowers'!$C$9:$C$108,0))*INDEX('Borrowers'!$S$9:$S$108,MATCH(C105,'Borrowers'!$C$9:$C$108,0))*'Scenario Paths'!F15*(1-INDEX('Borrowers'!$T$9:$T$108,MATCH(C105,'Borrowers'!$C$9:$C$108,0))),"Unavailable"))</x:f>
      </x:c>
      <x:c r="K105" s="23" t="str">
        <x:f>IF(C105="","",IFERROR(INDEX('Borrowers'!$I$9:$I$108,MATCH(C105,'Borrowers'!$C$9:$C$108,0))*INDEX('Borrowers'!$U$9:$U$108,MATCH(C105,'Borrowers'!$C$9:$C$108,0))*'Scenario Paths'!F21*S105,"Unavailable"))</x:f>
      </x:c>
      <x:c r="L105" s="23" t="str">
        <x:f>IF(C105="","",IFERROR(SUMPRODUCT((Sites!$D$9:$D$108=C105)*Sites!$H$9:$H$108*Sites!$J$9:$J$108*Sites!$K$9:$K$108*(1-Sites!$L$9:$L$108)*(1-Sites!$M$9:$M$108))*'Scenario Paths'!F27,"Unavailable"))</x:f>
      </x:c>
      <x:c r="M105" s="23" t="str">
        <x:f>IF(C105="","",IFERROR(INDEX('Borrowers'!$J$9:$J$108,MATCH(C105,'Borrowers'!$C$9:$C$108,0))+H105-SUM(I105:L105),"Unavailable"))</x:f>
      </x:c>
      <x:c r="N105" s="23" t="str">
        <x:f>IF(C105="","",IFERROR(INDEX('Borrowers'!$I$9:$I$108,MATCH(C105,'Borrowers'!$C$9:$C$108,0))*'Scenario Paths'!F33,"Unavailable"))</x:f>
      </x:c>
      <x:c r="O105" s="23" t="str">
        <x:f>IF(C105="","",IFERROR(M105-INDEX('Borrowers'!$K$9:$K$108,MATCH(C105,'Borrowers'!$C$9:$C$108,0))-N105,"Unavailable"))</x:f>
      </x:c>
      <x:c r="P105" s="127" t="str">
        <x:f>IF(C105="","",IFERROR(O105/INDEX('Borrowers'!$L$9:$L$108,MATCH(C105,'Borrowers'!$C$9:$C$108,0)),"Unavailable"))</x:f>
      </x:c>
      <x:c r="Q105" s="30" t="str">
        <x:f>IF(C105="","",IFERROR(IF(INDEX('Borrowers'!$Z$9:$Z$108,MATCH(C105,'Borrowers'!$C$9:$C$108,0))="Yes",1,IF(INDEX('Borrowers'!$P$9:$P$108,MATCH(C105,'Borrowers'!$C$9:$C$108,0))=0,0,MIN(1,INDEX('Borrowers'!$P$9:$P$108,MATCH(C105,'Borrowers'!$C$9:$C$108,0))*EXP(MIN(20,INDEX('Borrowers'!$V$9:$V$108,MATCH(C105,'Borrowers'!$C$9:$C$108,0))*V105))))),"Unavailable"))</x:f>
      </x:c>
      <x:c r="R105" s="30" t="str">
        <x:f>IF(C105="","",IFERROR(MIN(1,INDEX('Borrowers'!$Q$9:$Q$108,MATCH(C105,'Borrowers'!$C$9:$C$108,0))+(1-INDEX('Borrowers'!$Q$9:$Q$108,MATCH(C105,'Borrowers'!$C$9:$C$108,0)))*T105),"Unavailable"))</x:f>
      </x:c>
      <x:c r="S105" s="30" t="str">
        <x:f>IF(C105="","",IFERROR(SUMPRODUCT((Sites!$D$9:$D$108=C105)*Sites!$I$9:$I$108*Sites!$J$9:$J$108*Sites!$K$9:$K$108*(1-Sites!$L$9:$L$108)),"Unavailable"))</x:f>
      </x:c>
      <x:c r="T105" s="30" t="str">
        <x:f>IF(C105="","",IFERROR(MIN(1,(SUMPRODUCT((Sites!$D$9:$D$108=C105)*Sites!$N$9:$N$108*Sites!$J$9:$J$108*Sites!$K$9:$K$108*(1-Sites!$L$9:$L$108)))*'Scenario Paths'!F27),"Unavailable"))</x:f>
      </x:c>
      <x:c r="U105" s="9" t="str">
        <x:f>IF(C105="","",IF(OR(INDEX('Borrowers'!$AA$9:$AA$108,MATCH(C105,'Borrowers'!$C$9:$C$108,0))&lt;&gt;"Ready",COUNTIF(Sites!$D$9:$D$108,C105)=0,COUNTIFS(Sites!$D$9:$D$108,C105,Sites!$Q$9:$Q$108,"&lt;&gt;Ready")&gt;0,'Scenario Paths'!$F$6&lt;&gt;"Ready"),"Review source inputs","Ready"))</x:f>
      </x:c>
      <x:c r="V105" s="17" t="str">
        <x:f>IF(C105="","",IFERROR(MAX(-1,(G105-O105)/MAX(0.000001,G105)),"Unavailable"))</x:f>
      </x:c>
      <x:c r="W105" s="9" t="str">
        <x:f>IF(C105="","",IFERROR(INDEX('Borrowers'!$D$9:$D$108,MATCH(C105,'Borrowers'!$C$9:$C$108,0)),"Unavailable"))</x:f>
      </x:c>
    </x:row>
    <x:row r="106" ht="26" customHeight="1">
      <x:c r="A106" s="1"/>
      <x:c r="B106" s="1"/>
      <x:c r="C106" s="9" t="str">
        <x:f>IF(Borrowers!C106="","",Borrowers!C106)</x:f>
      </x:c>
      <x:c r="D106" s="3" t="n">
        <x:v>1</x:v>
      </x:c>
      <x:c r="E106" s="9" t="n">
        <x:f>Settings!$F$18+0</x:f>
        <x:v>2027</x:v>
      </x:c>
      <x:c r="F106" s="9" t="str">
        <x:f>IF(C106="","",INDEX('Borrowers'!$F$9:$F$108,MATCH(C106,'Borrowers'!$C$9:$C$108,0)))</x:f>
      </x:c>
      <x:c r="G106" s="23" t="str">
        <x:f>IF(C106="","",IFERROR(INDEX('Borrowers'!$J$9:$J$108,MATCH(C106,'Borrowers'!$C$9:$C$108,0))-INDEX('Borrowers'!$K$9:$K$108,MATCH(C106,'Borrowers'!$C$9:$C$108,0)),"Unavailable"))</x:f>
      </x:c>
      <x:c r="H106" s="23" t="str">
        <x:f>IF(C106="","",IFERROR(INDEX('Borrowers'!$I$9:$I$108,MATCH(C106,'Borrowers'!$C$9:$C$108,0))*INDEX('Borrowers'!$U$9:$U$108,MATCH(C106,'Borrowers'!$C$9:$C$108,0))*(IF(F106="Transport",'Scenario Paths'!F156,IF(F106="Technology",'Scenario Paths'!F150,IF(F106="Utilities",'Scenario Paths'!F144,IF(F106="Agriculture",'Scenario Paths'!F138,IF(F106="Manufacturing",'Scenario Paths'!F132,IF(F106="Healthcare",'Scenario Paths'!F126,IF(F106="Hospitality",'Scenario Paths'!F120,IF(F106="Property",'Scenario Paths'!F114,IF(F106="Food",'Scenario Paths'!F108,IF(F106="Logistics",'Scenario Paths'!F102,IF(F106="Solar",'Scenario Paths'!F96,IF(F106="Cement",'Scenario Paths'!F90,0))))))))))))),"Unavailable"))</x:f>
      </x:c>
      <x:c r="I106" s="23" t="str">
        <x:f>IF(C106="","",IFERROR(INDEX('Borrowers'!$R$9:$R$108,MATCH(C106,'Borrowers'!$C$9:$C$108,0))*(1-INDEX('Borrowers'!$W$9:$W$108,MATCH(C106,'Borrowers'!$C$9:$C$108,0))*'Scenario Paths'!F39)*'Scenario Paths'!F9/1000000*(1-INDEX('Borrowers'!$T$9:$T$108,MATCH(C106,'Borrowers'!$C$9:$C$108,0))),"Unavailable"))</x:f>
      </x:c>
      <x:c r="J106" s="23" t="str">
        <x:f>IF(C106="","",IFERROR(INDEX('Borrowers'!$I$9:$I$108,MATCH(C106,'Borrowers'!$C$9:$C$108,0))*INDEX('Borrowers'!$S$9:$S$108,MATCH(C106,'Borrowers'!$C$9:$C$108,0))*'Scenario Paths'!F15*(1-INDEX('Borrowers'!$T$9:$T$108,MATCH(C106,'Borrowers'!$C$9:$C$108,0))),"Unavailable"))</x:f>
      </x:c>
      <x:c r="K106" s="23" t="str">
        <x:f>IF(C106="","",IFERROR(INDEX('Borrowers'!$I$9:$I$108,MATCH(C106,'Borrowers'!$C$9:$C$108,0))*INDEX('Borrowers'!$U$9:$U$108,MATCH(C106,'Borrowers'!$C$9:$C$108,0))*'Scenario Paths'!F21*S106,"Unavailable"))</x:f>
      </x:c>
      <x:c r="L106" s="23" t="str">
        <x:f>IF(C106="","",IFERROR(SUMPRODUCT((Sites!$D$9:$D$108=C106)*Sites!$H$9:$H$108*Sites!$J$9:$J$108*Sites!$K$9:$K$108*(1-Sites!$L$9:$L$108)*(1-Sites!$M$9:$M$108))*'Scenario Paths'!F27,"Unavailable"))</x:f>
      </x:c>
      <x:c r="M106" s="23" t="str">
        <x:f>IF(C106="","",IFERROR(INDEX('Borrowers'!$J$9:$J$108,MATCH(C106,'Borrowers'!$C$9:$C$108,0))+H106-SUM(I106:L106),"Unavailable"))</x:f>
      </x:c>
      <x:c r="N106" s="23" t="str">
        <x:f>IF(C106="","",IFERROR(INDEX('Borrowers'!$I$9:$I$108,MATCH(C106,'Borrowers'!$C$9:$C$108,0))*'Scenario Paths'!F33,"Unavailable"))</x:f>
      </x:c>
      <x:c r="O106" s="23" t="str">
        <x:f>IF(C106="","",IFERROR(M106-INDEX('Borrowers'!$K$9:$K$108,MATCH(C106,'Borrowers'!$C$9:$C$108,0))-N106,"Unavailable"))</x:f>
      </x:c>
      <x:c r="P106" s="127" t="str">
        <x:f>IF(C106="","",IFERROR(O106/INDEX('Borrowers'!$L$9:$L$108,MATCH(C106,'Borrowers'!$C$9:$C$108,0)),"Unavailable"))</x:f>
      </x:c>
      <x:c r="Q106" s="30" t="str">
        <x:f>IF(C106="","",IFERROR(IF(INDEX('Borrowers'!$Z$9:$Z$108,MATCH(C106,'Borrowers'!$C$9:$C$108,0))="Yes",1,IF(INDEX('Borrowers'!$P$9:$P$108,MATCH(C106,'Borrowers'!$C$9:$C$108,0))=0,0,MIN(1,INDEX('Borrowers'!$P$9:$P$108,MATCH(C106,'Borrowers'!$C$9:$C$108,0))*EXP(MIN(20,INDEX('Borrowers'!$V$9:$V$108,MATCH(C106,'Borrowers'!$C$9:$C$108,0))*V106))))),"Unavailable"))</x:f>
      </x:c>
      <x:c r="R106" s="30" t="str">
        <x:f>IF(C106="","",IFERROR(MIN(1,INDEX('Borrowers'!$Q$9:$Q$108,MATCH(C106,'Borrowers'!$C$9:$C$108,0))+(1-INDEX('Borrowers'!$Q$9:$Q$108,MATCH(C106,'Borrowers'!$C$9:$C$108,0)))*T106),"Unavailable"))</x:f>
      </x:c>
      <x:c r="S106" s="30" t="str">
        <x:f>IF(C106="","",IFERROR(SUMPRODUCT((Sites!$D$9:$D$108=C106)*Sites!$I$9:$I$108*Sites!$J$9:$J$108*Sites!$K$9:$K$108*(1-Sites!$L$9:$L$108)),"Unavailable"))</x:f>
      </x:c>
      <x:c r="T106" s="30" t="str">
        <x:f>IF(C106="","",IFERROR(MIN(1,(SUMPRODUCT((Sites!$D$9:$D$108=C106)*Sites!$N$9:$N$108*Sites!$J$9:$J$108*Sites!$K$9:$K$108*(1-Sites!$L$9:$L$108)))*'Scenario Paths'!F27),"Unavailable"))</x:f>
      </x:c>
      <x:c r="U106" s="9" t="str">
        <x:f>IF(C106="","",IF(OR(INDEX('Borrowers'!$AA$9:$AA$108,MATCH(C106,'Borrowers'!$C$9:$C$108,0))&lt;&gt;"Ready",COUNTIF(Sites!$D$9:$D$108,C106)=0,COUNTIFS(Sites!$D$9:$D$108,C106,Sites!$Q$9:$Q$108,"&lt;&gt;Ready")&gt;0,'Scenario Paths'!$F$6&lt;&gt;"Ready"),"Review source inputs","Ready"))</x:f>
      </x:c>
      <x:c r="V106" s="17" t="str">
        <x:f>IF(C106="","",IFERROR(MAX(-1,(G106-O106)/MAX(0.000001,G106)),"Unavailable"))</x:f>
      </x:c>
      <x:c r="W106" s="9" t="str">
        <x:f>IF(C106="","",IFERROR(INDEX('Borrowers'!$D$9:$D$108,MATCH(C106,'Borrowers'!$C$9:$C$108,0)),"Unavailable"))</x:f>
      </x:c>
    </x:row>
    <x:row r="107" ht="26" customHeight="1">
      <x:c r="A107" s="1"/>
      <x:c r="B107" s="1"/>
      <x:c r="C107" s="9" t="str">
        <x:f>IF(Borrowers!C107="","",Borrowers!C107)</x:f>
      </x:c>
      <x:c r="D107" s="3" t="n">
        <x:v>1</x:v>
      </x:c>
      <x:c r="E107" s="9" t="n">
        <x:f>Settings!$F$18+0</x:f>
        <x:v>2027</x:v>
      </x:c>
      <x:c r="F107" s="9" t="str">
        <x:f>IF(C107="","",INDEX('Borrowers'!$F$9:$F$108,MATCH(C107,'Borrowers'!$C$9:$C$108,0)))</x:f>
      </x:c>
      <x:c r="G107" s="23" t="str">
        <x:f>IF(C107="","",IFERROR(INDEX('Borrowers'!$J$9:$J$108,MATCH(C107,'Borrowers'!$C$9:$C$108,0))-INDEX('Borrowers'!$K$9:$K$108,MATCH(C107,'Borrowers'!$C$9:$C$108,0)),"Unavailable"))</x:f>
      </x:c>
      <x:c r="H107" s="23" t="str">
        <x:f>IF(C107="","",IFERROR(INDEX('Borrowers'!$I$9:$I$108,MATCH(C107,'Borrowers'!$C$9:$C$108,0))*INDEX('Borrowers'!$U$9:$U$108,MATCH(C107,'Borrowers'!$C$9:$C$108,0))*(IF(F107="Transport",'Scenario Paths'!F156,IF(F107="Technology",'Scenario Paths'!F150,IF(F107="Utilities",'Scenario Paths'!F144,IF(F107="Agriculture",'Scenario Paths'!F138,IF(F107="Manufacturing",'Scenario Paths'!F132,IF(F107="Healthcare",'Scenario Paths'!F126,IF(F107="Hospitality",'Scenario Paths'!F120,IF(F107="Property",'Scenario Paths'!F114,IF(F107="Food",'Scenario Paths'!F108,IF(F107="Logistics",'Scenario Paths'!F102,IF(F107="Solar",'Scenario Paths'!F96,IF(F107="Cement",'Scenario Paths'!F90,0))))))))))))),"Unavailable"))</x:f>
      </x:c>
      <x:c r="I107" s="23" t="str">
        <x:f>IF(C107="","",IFERROR(INDEX('Borrowers'!$R$9:$R$108,MATCH(C107,'Borrowers'!$C$9:$C$108,0))*(1-INDEX('Borrowers'!$W$9:$W$108,MATCH(C107,'Borrowers'!$C$9:$C$108,0))*'Scenario Paths'!F39)*'Scenario Paths'!F9/1000000*(1-INDEX('Borrowers'!$T$9:$T$108,MATCH(C107,'Borrowers'!$C$9:$C$108,0))),"Unavailable"))</x:f>
      </x:c>
      <x:c r="J107" s="23" t="str">
        <x:f>IF(C107="","",IFERROR(INDEX('Borrowers'!$I$9:$I$108,MATCH(C107,'Borrowers'!$C$9:$C$108,0))*INDEX('Borrowers'!$S$9:$S$108,MATCH(C107,'Borrowers'!$C$9:$C$108,0))*'Scenario Paths'!F15*(1-INDEX('Borrowers'!$T$9:$T$108,MATCH(C107,'Borrowers'!$C$9:$C$108,0))),"Unavailable"))</x:f>
      </x:c>
      <x:c r="K107" s="23" t="str">
        <x:f>IF(C107="","",IFERROR(INDEX('Borrowers'!$I$9:$I$108,MATCH(C107,'Borrowers'!$C$9:$C$108,0))*INDEX('Borrowers'!$U$9:$U$108,MATCH(C107,'Borrowers'!$C$9:$C$108,0))*'Scenario Paths'!F21*S107,"Unavailable"))</x:f>
      </x:c>
      <x:c r="L107" s="23" t="str">
        <x:f>IF(C107="","",IFERROR(SUMPRODUCT((Sites!$D$9:$D$108=C107)*Sites!$H$9:$H$108*Sites!$J$9:$J$108*Sites!$K$9:$K$108*(1-Sites!$L$9:$L$108)*(1-Sites!$M$9:$M$108))*'Scenario Paths'!F27,"Unavailable"))</x:f>
      </x:c>
      <x:c r="M107" s="23" t="str">
        <x:f>IF(C107="","",IFERROR(INDEX('Borrowers'!$J$9:$J$108,MATCH(C107,'Borrowers'!$C$9:$C$108,0))+H107-SUM(I107:L107),"Unavailable"))</x:f>
      </x:c>
      <x:c r="N107" s="23" t="str">
        <x:f>IF(C107="","",IFERROR(INDEX('Borrowers'!$I$9:$I$108,MATCH(C107,'Borrowers'!$C$9:$C$108,0))*'Scenario Paths'!F33,"Unavailable"))</x:f>
      </x:c>
      <x:c r="O107" s="23" t="str">
        <x:f>IF(C107="","",IFERROR(M107-INDEX('Borrowers'!$K$9:$K$108,MATCH(C107,'Borrowers'!$C$9:$C$108,0))-N107,"Unavailable"))</x:f>
      </x:c>
      <x:c r="P107" s="127" t="str">
        <x:f>IF(C107="","",IFERROR(O107/INDEX('Borrowers'!$L$9:$L$108,MATCH(C107,'Borrowers'!$C$9:$C$108,0)),"Unavailable"))</x:f>
      </x:c>
      <x:c r="Q107" s="30" t="str">
        <x:f>IF(C107="","",IFERROR(IF(INDEX('Borrowers'!$Z$9:$Z$108,MATCH(C107,'Borrowers'!$C$9:$C$108,0))="Yes",1,IF(INDEX('Borrowers'!$P$9:$P$108,MATCH(C107,'Borrowers'!$C$9:$C$108,0))=0,0,MIN(1,INDEX('Borrowers'!$P$9:$P$108,MATCH(C107,'Borrowers'!$C$9:$C$108,0))*EXP(MIN(20,INDEX('Borrowers'!$V$9:$V$108,MATCH(C107,'Borrowers'!$C$9:$C$108,0))*V107))))),"Unavailable"))</x:f>
      </x:c>
      <x:c r="R107" s="30" t="str">
        <x:f>IF(C107="","",IFERROR(MIN(1,INDEX('Borrowers'!$Q$9:$Q$108,MATCH(C107,'Borrowers'!$C$9:$C$108,0))+(1-INDEX('Borrowers'!$Q$9:$Q$108,MATCH(C107,'Borrowers'!$C$9:$C$108,0)))*T107),"Unavailable"))</x:f>
      </x:c>
      <x:c r="S107" s="30" t="str">
        <x:f>IF(C107="","",IFERROR(SUMPRODUCT((Sites!$D$9:$D$108=C107)*Sites!$I$9:$I$108*Sites!$J$9:$J$108*Sites!$K$9:$K$108*(1-Sites!$L$9:$L$108)),"Unavailable"))</x:f>
      </x:c>
      <x:c r="T107" s="30" t="str">
        <x:f>IF(C107="","",IFERROR(MIN(1,(SUMPRODUCT((Sites!$D$9:$D$108=C107)*Sites!$N$9:$N$108*Sites!$J$9:$J$108*Sites!$K$9:$K$108*(1-Sites!$L$9:$L$108)))*'Scenario Paths'!F27),"Unavailable"))</x:f>
      </x:c>
      <x:c r="U107" s="9" t="str">
        <x:f>IF(C107="","",IF(OR(INDEX('Borrowers'!$AA$9:$AA$108,MATCH(C107,'Borrowers'!$C$9:$C$108,0))&lt;&gt;"Ready",COUNTIF(Sites!$D$9:$D$108,C107)=0,COUNTIFS(Sites!$D$9:$D$108,C107,Sites!$Q$9:$Q$108,"&lt;&gt;Ready")&gt;0,'Scenario Paths'!$F$6&lt;&gt;"Ready"),"Review source inputs","Ready"))</x:f>
      </x:c>
      <x:c r="V107" s="17" t="str">
        <x:f>IF(C107="","",IFERROR(MAX(-1,(G107-O107)/MAX(0.000001,G107)),"Unavailable"))</x:f>
      </x:c>
      <x:c r="W107" s="9" t="str">
        <x:f>IF(C107="","",IFERROR(INDEX('Borrowers'!$D$9:$D$108,MATCH(C107,'Borrowers'!$C$9:$C$108,0)),"Unavailable"))</x:f>
      </x:c>
    </x:row>
    <x:row r="108" ht="26" customHeight="1">
      <x:c r="A108" s="1"/>
      <x:c r="B108" s="1"/>
      <x:c r="C108" s="9" t="str">
        <x:f>IF(Borrowers!C108="","",Borrowers!C108)</x:f>
      </x:c>
      <x:c r="D108" s="3" t="n">
        <x:v>1</x:v>
      </x:c>
      <x:c r="E108" s="9" t="n">
        <x:f>Settings!$F$18+0</x:f>
        <x:v>2027</x:v>
      </x:c>
      <x:c r="F108" s="9" t="str">
        <x:f>IF(C108="","",INDEX('Borrowers'!$F$9:$F$108,MATCH(C108,'Borrowers'!$C$9:$C$108,0)))</x:f>
      </x:c>
      <x:c r="G108" s="23" t="str">
        <x:f>IF(C108="","",IFERROR(INDEX('Borrowers'!$J$9:$J$108,MATCH(C108,'Borrowers'!$C$9:$C$108,0))-INDEX('Borrowers'!$K$9:$K$108,MATCH(C108,'Borrowers'!$C$9:$C$108,0)),"Unavailable"))</x:f>
      </x:c>
      <x:c r="H108" s="23" t="str">
        <x:f>IF(C108="","",IFERROR(INDEX('Borrowers'!$I$9:$I$108,MATCH(C108,'Borrowers'!$C$9:$C$108,0))*INDEX('Borrowers'!$U$9:$U$108,MATCH(C108,'Borrowers'!$C$9:$C$108,0))*(IF(F108="Transport",'Scenario Paths'!F156,IF(F108="Technology",'Scenario Paths'!F150,IF(F108="Utilities",'Scenario Paths'!F144,IF(F108="Agriculture",'Scenario Paths'!F138,IF(F108="Manufacturing",'Scenario Paths'!F132,IF(F108="Healthcare",'Scenario Paths'!F126,IF(F108="Hospitality",'Scenario Paths'!F120,IF(F108="Property",'Scenario Paths'!F114,IF(F108="Food",'Scenario Paths'!F108,IF(F108="Logistics",'Scenario Paths'!F102,IF(F108="Solar",'Scenario Paths'!F96,IF(F108="Cement",'Scenario Paths'!F90,0))))))))))))),"Unavailable"))</x:f>
      </x:c>
      <x:c r="I108" s="23" t="str">
        <x:f>IF(C108="","",IFERROR(INDEX('Borrowers'!$R$9:$R$108,MATCH(C108,'Borrowers'!$C$9:$C$108,0))*(1-INDEX('Borrowers'!$W$9:$W$108,MATCH(C108,'Borrowers'!$C$9:$C$108,0))*'Scenario Paths'!F39)*'Scenario Paths'!F9/1000000*(1-INDEX('Borrowers'!$T$9:$T$108,MATCH(C108,'Borrowers'!$C$9:$C$108,0))),"Unavailable"))</x:f>
      </x:c>
      <x:c r="J108" s="23" t="str">
        <x:f>IF(C108="","",IFERROR(INDEX('Borrowers'!$I$9:$I$108,MATCH(C108,'Borrowers'!$C$9:$C$108,0))*INDEX('Borrowers'!$S$9:$S$108,MATCH(C108,'Borrowers'!$C$9:$C$108,0))*'Scenario Paths'!F15*(1-INDEX('Borrowers'!$T$9:$T$108,MATCH(C108,'Borrowers'!$C$9:$C$108,0))),"Unavailable"))</x:f>
      </x:c>
      <x:c r="K108" s="23" t="str">
        <x:f>IF(C108="","",IFERROR(INDEX('Borrowers'!$I$9:$I$108,MATCH(C108,'Borrowers'!$C$9:$C$108,0))*INDEX('Borrowers'!$U$9:$U$108,MATCH(C108,'Borrowers'!$C$9:$C$108,0))*'Scenario Paths'!F21*S108,"Unavailable"))</x:f>
      </x:c>
      <x:c r="L108" s="23" t="str">
        <x:f>IF(C108="","",IFERROR(SUMPRODUCT((Sites!$D$9:$D$108=C108)*Sites!$H$9:$H$108*Sites!$J$9:$J$108*Sites!$K$9:$K$108*(1-Sites!$L$9:$L$108)*(1-Sites!$M$9:$M$108))*'Scenario Paths'!F27,"Unavailable"))</x:f>
      </x:c>
      <x:c r="M108" s="23" t="str">
        <x:f>IF(C108="","",IFERROR(INDEX('Borrowers'!$J$9:$J$108,MATCH(C108,'Borrowers'!$C$9:$C$108,0))+H108-SUM(I108:L108),"Unavailable"))</x:f>
      </x:c>
      <x:c r="N108" s="23" t="str">
        <x:f>IF(C108="","",IFERROR(INDEX('Borrowers'!$I$9:$I$108,MATCH(C108,'Borrowers'!$C$9:$C$108,0))*'Scenario Paths'!F33,"Unavailable"))</x:f>
      </x:c>
      <x:c r="O108" s="23" t="str">
        <x:f>IF(C108="","",IFERROR(M108-INDEX('Borrowers'!$K$9:$K$108,MATCH(C108,'Borrowers'!$C$9:$C$108,0))-N108,"Unavailable"))</x:f>
      </x:c>
      <x:c r="P108" s="127" t="str">
        <x:f>IF(C108="","",IFERROR(O108/INDEX('Borrowers'!$L$9:$L$108,MATCH(C108,'Borrowers'!$C$9:$C$108,0)),"Unavailable"))</x:f>
      </x:c>
      <x:c r="Q108" s="30" t="str">
        <x:f>IF(C108="","",IFERROR(IF(INDEX('Borrowers'!$Z$9:$Z$108,MATCH(C108,'Borrowers'!$C$9:$C$108,0))="Yes",1,IF(INDEX('Borrowers'!$P$9:$P$108,MATCH(C108,'Borrowers'!$C$9:$C$108,0))=0,0,MIN(1,INDEX('Borrowers'!$P$9:$P$108,MATCH(C108,'Borrowers'!$C$9:$C$108,0))*EXP(MIN(20,INDEX('Borrowers'!$V$9:$V$108,MATCH(C108,'Borrowers'!$C$9:$C$108,0))*V108))))),"Unavailable"))</x:f>
      </x:c>
      <x:c r="R108" s="30" t="str">
        <x:f>IF(C108="","",IFERROR(MIN(1,INDEX('Borrowers'!$Q$9:$Q$108,MATCH(C108,'Borrowers'!$C$9:$C$108,0))+(1-INDEX('Borrowers'!$Q$9:$Q$108,MATCH(C108,'Borrowers'!$C$9:$C$108,0)))*T108),"Unavailable"))</x:f>
      </x:c>
      <x:c r="S108" s="30" t="str">
        <x:f>IF(C108="","",IFERROR(SUMPRODUCT((Sites!$D$9:$D$108=C108)*Sites!$I$9:$I$108*Sites!$J$9:$J$108*Sites!$K$9:$K$108*(1-Sites!$L$9:$L$108)),"Unavailable"))</x:f>
      </x:c>
      <x:c r="T108" s="30" t="str">
        <x:f>IF(C108="","",IFERROR(MIN(1,(SUMPRODUCT((Sites!$D$9:$D$108=C108)*Sites!$N$9:$N$108*Sites!$J$9:$J$108*Sites!$K$9:$K$108*(1-Sites!$L$9:$L$108)))*'Scenario Paths'!F27),"Unavailable"))</x:f>
      </x:c>
      <x:c r="U108" s="9" t="str">
        <x:f>IF(C108="","",IF(OR(INDEX('Borrowers'!$AA$9:$AA$108,MATCH(C108,'Borrowers'!$C$9:$C$108,0))&lt;&gt;"Ready",COUNTIF(Sites!$D$9:$D$108,C108)=0,COUNTIFS(Sites!$D$9:$D$108,C108,Sites!$Q$9:$Q$108,"&lt;&gt;Ready")&gt;0,'Scenario Paths'!$F$6&lt;&gt;"Ready"),"Review source inputs","Ready"))</x:f>
      </x:c>
      <x:c r="V108" s="17" t="str">
        <x:f>IF(C108="","",IFERROR(MAX(-1,(G108-O108)/MAX(0.000001,G108)),"Unavailable"))</x:f>
      </x:c>
      <x:c r="W108" s="9" t="str">
        <x:f>IF(C108="","",IFERROR(INDEX('Borrowers'!$D$9:$D$108,MATCH(C108,'Borrowers'!$C$9:$C$108,0)),"Unavailable"))</x:f>
      </x:c>
    </x:row>
    <x:row r="109" ht="26" customHeight="1">
      <x:c r="A109" s="1"/>
      <x:c r="B109" s="1"/>
      <x:c r="C109" s="9" t="str">
        <x:f>IF(Borrowers!C9="","",Borrowers!C9)</x:f>
        <x:v>B001</x:v>
      </x:c>
      <x:c r="D109" s="3" t="n">
        <x:v>2</x:v>
      </x:c>
      <x:c r="E109" s="9" t="n">
        <x:f>Settings!$F$18+1</x:f>
        <x:v>2028</x:v>
      </x:c>
      <x:c r="F109" s="9" t="str">
        <x:f>IF(C109="","",INDEX('Borrowers'!$F$9:$F$108,MATCH(C109,'Borrowers'!$C$9:$C$108,0)))</x:f>
        <x:v>Cement</x:v>
      </x:c>
      <x:c r="G109" s="23" t="n">
        <x:f>IF(C109="","",IFERROR(INDEX('Borrowers'!$J$9:$J$108,MATCH(C109,'Borrowers'!$C$9:$C$108,0))-INDEX('Borrowers'!$K$9:$K$108,MATCH(C109,'Borrowers'!$C$9:$C$108,0)),"Unavailable"))</x:f>
        <x:v>10</x:v>
      </x:c>
      <x:c r="H109" s="23" t="n">
        <x:f>IF(C109="","",IFERROR(INDEX('Borrowers'!$I$9:$I$108,MATCH(C109,'Borrowers'!$C$9:$C$108,0))*INDEX('Borrowers'!$U$9:$U$108,MATCH(C109,'Borrowers'!$C$9:$C$108,0))*(IF(F109="Transport",'Scenario Paths'!G156,IF(F109="Technology",'Scenario Paths'!G150,IF(F109="Utilities",'Scenario Paths'!G144,IF(F109="Agriculture",'Scenario Paths'!G138,IF(F109="Manufacturing",'Scenario Paths'!G132,IF(F109="Healthcare",'Scenario Paths'!G126,IF(F109="Hospitality",'Scenario Paths'!G120,IF(F109="Property",'Scenario Paths'!G114,IF(F109="Food",'Scenario Paths'!G108,IF(F109="Logistics",'Scenario Paths'!G102,IF(F109="Solar",'Scenario Paths'!G96,IF(F109="Cement",'Scenario Paths'!G90,0))))))))))))),"Unavailable"))</x:f>
        <x:v>-0.576</x:v>
      </x:c>
      <x:c r="I109" s="23" t="n">
        <x:f>IF(C109="","",IFERROR(INDEX('Borrowers'!$R$9:$R$108,MATCH(C109,'Borrowers'!$C$9:$C$108,0))*(1-INDEX('Borrowers'!$W$9:$W$108,MATCH(C109,'Borrowers'!$C$9:$C$108,0))*'Scenario Paths'!G39)*'Scenario Paths'!G9/1000000*(1-INDEX('Borrowers'!$T$9:$T$108,MATCH(C109,'Borrowers'!$C$9:$C$108,0))),"Unavailable"))</x:f>
        <x:v>1.911</x:v>
      </x:c>
      <x:c r="J109" s="23" t="n">
        <x:f>IF(C109="","",IFERROR(INDEX('Borrowers'!$I$9:$I$108,MATCH(C109,'Borrowers'!$C$9:$C$108,0))*INDEX('Borrowers'!$S$9:$S$108,MATCH(C109,'Borrowers'!$C$9:$C$108,0))*'Scenario Paths'!G15*(1-INDEX('Borrowers'!$T$9:$T$108,MATCH(C109,'Borrowers'!$C$9:$C$108,0))),"Unavailable"))</x:f>
        <x:v>0.8970000000000001</x:v>
      </x:c>
      <x:c r="K109" s="23" t="n">
        <x:f>IF(C109="","",IFERROR(INDEX('Borrowers'!$I$9:$I$108,MATCH(C109,'Borrowers'!$C$9:$C$108,0))*INDEX('Borrowers'!$U$9:$U$108,MATCH(C109,'Borrowers'!$C$9:$C$108,0))*'Scenario Paths'!G21*S109,"Unavailable"))</x:f>
        <x:v>0.010752000000000001</x:v>
      </x:c>
      <x:c r="L109" s="23" t="n">
        <x:f>IF(C109="","",IFERROR(SUMPRODUCT((Sites!$D$9:$D$108=C109)*Sites!$H$9:$H$108*Sites!$J$9:$J$108*Sites!$K$9:$K$108*(1-Sites!$L$9:$L$108)*(1-Sites!$M$9:$M$108))*'Scenario Paths'!G27,"Unavailable"))</x:f>
        <x:v>0.01232</x:v>
      </x:c>
      <x:c r="M109" s="23" t="n">
        <x:f>IF(C109="","",IFERROR(INDEX('Borrowers'!$J$9:$J$108,MATCH(C109,'Borrowers'!$C$9:$C$108,0))+H109-SUM(I109:L109),"Unavailable"))</x:f>
        <x:v>8.592927999999999</x:v>
      </x:c>
      <x:c r="N109" s="23" t="n">
        <x:f>IF(C109="","",IFERROR(INDEX('Borrowers'!$I$9:$I$108,MATCH(C109,'Borrowers'!$C$9:$C$108,0))*'Scenario Paths'!G33,"Unavailable"))</x:f>
        <x:v>0.6</x:v>
      </x:c>
      <x:c r="O109" s="23" t="n">
        <x:f>IF(C109="","",IFERROR(M109-INDEX('Borrowers'!$K$9:$K$108,MATCH(C109,'Borrowers'!$C$9:$C$108,0))-N109,"Unavailable"))</x:f>
        <x:v>5.992927999999999</x:v>
      </x:c>
      <x:c r="P109" s="127" t="n">
        <x:f>IF(C109="","",IFERROR(O109/INDEX('Borrowers'!$L$9:$L$108,MATCH(C109,'Borrowers'!$C$9:$C$108,0)),"Unavailable"))</x:f>
        <x:v>1.1985856</x:v>
      </x:c>
      <x:c r="Q109" s="30" t="n">
        <x:f>IF(C109="","",IFERROR(IF(INDEX('Borrowers'!$Z$9:$Z$108,MATCH(C109,'Borrowers'!$C$9:$C$108,0))="Yes",1,IF(INDEX('Borrowers'!$P$9:$P$108,MATCH(C109,'Borrowers'!$C$9:$C$108,0))=0,0,MIN(1,INDEX('Borrowers'!$P$9:$P$108,MATCH(C109,'Borrowers'!$C$9:$C$108,0))*EXP(MIN(20,INDEX('Borrowers'!$V$9:$V$108,MATCH(C109,'Borrowers'!$C$9:$C$108,0))*V109))))),"Unavailable"))</x:f>
        <x:v>0.022783535998504204</x:v>
      </x:c>
      <x:c r="R109" s="30" t="n">
        <x:f>IF(C109="","",IFERROR(MIN(1,INDEX('Borrowers'!$Q$9:$Q$108,MATCH(C109,'Borrowers'!$C$9:$C$108,0))+(1-INDEX('Borrowers'!$Q$9:$Q$108,MATCH(C109,'Borrowers'!$C$9:$C$108,0)))*T109),"Unavailable"))</x:f>
        <x:v>0.2804032</x:v>
      </x:c>
      <x:c r="S109" s="30" t="n">
        <x:f>IF(C109="","",IFERROR(SUMPRODUCT((Sites!$D$9:$D$108=C109)*Sites!$I$9:$I$108*Sites!$J$9:$J$108*Sites!$K$9:$K$108*(1-Sites!$L$9:$L$108)),"Unavailable"))</x:f>
        <x:v>0.056</x:v>
      </x:c>
      <x:c r="T109" s="30" t="n">
        <x:f>IF(C109="","",IFERROR(MIN(1,(SUMPRODUCT((Sites!$D$9:$D$108=C109)*Sites!$N$9:$N$108*Sites!$J$9:$J$108*Sites!$K$9:$K$108*(1-Sites!$L$9:$L$108)))*'Scenario Paths'!G27),"Unavailable"))</x:f>
        <x:v>0.0005600000000000001</x:v>
      </x:c>
      <x:c r="U109" s="9" t="str">
        <x:f>IF(C109="","",IF(OR(INDEX('Borrowers'!$AA$9:$AA$108,MATCH(C109,'Borrowers'!$C$9:$C$108,0))&lt;&gt;"Ready",COUNTIF(Sites!$D$9:$D$108,C109)=0,COUNTIFS(Sites!$D$9:$D$108,C109,Sites!$Q$9:$Q$108,"&lt;&gt;Ready")&gt;0,'Scenario Paths'!$F$6&lt;&gt;"Ready"),"Review source inputs","Ready"))</x:f>
        <x:v>Ready</x:v>
      </x:c>
      <x:c r="V109" s="17" t="n">
        <x:f>IF(C109="","",IFERROR(MAX(-1,(G109-O109)/MAX(0.000001,G109)),"Unavailable"))</x:f>
        <x:v>0.4007072000000001</x:v>
      </x:c>
      <x:c r="W109" s="9" t="str">
        <x:f>IF(C109="","",IFERROR(INDEX('Borrowers'!$D$9:$D$108,MATCH(C109,'Borrowers'!$C$9:$C$108,0)),"Unavailable"))</x:f>
        <x:v>Demo Nile Cement</x:v>
      </x:c>
    </x:row>
    <x:row r="110" ht="26" customHeight="1">
      <x:c r="A110" s="1"/>
      <x:c r="B110" s="1"/>
      <x:c r="C110" s="9" t="str">
        <x:f>IF(Borrowers!C10="","",Borrowers!C10)</x:f>
        <x:v>B002</x:v>
      </x:c>
      <x:c r="D110" s="3" t="n">
        <x:v>2</x:v>
      </x:c>
      <x:c r="E110" s="9" t="n">
        <x:f>Settings!$F$18+1</x:f>
        <x:v>2028</x:v>
      </x:c>
      <x:c r="F110" s="9" t="str">
        <x:f>IF(C110="","",INDEX('Borrowers'!$F$9:$F$108,MATCH(C110,'Borrowers'!$C$9:$C$108,0)))</x:f>
        <x:v>Solar</x:v>
      </x:c>
      <x:c r="G110" s="23" t="n">
        <x:f>IF(C110="","",IFERROR(INDEX('Borrowers'!$J$9:$J$108,MATCH(C110,'Borrowers'!$C$9:$C$108,0))-INDEX('Borrowers'!$K$9:$K$108,MATCH(C110,'Borrowers'!$C$9:$C$108,0)),"Unavailable"))</x:f>
        <x:v>11.35</x:v>
      </x:c>
      <x:c r="H110" s="23" t="n">
        <x:f>IF(C110="","",IFERROR(INDEX('Borrowers'!$I$9:$I$108,MATCH(C110,'Borrowers'!$C$9:$C$108,0))*INDEX('Borrowers'!$U$9:$U$108,MATCH(C110,'Borrowers'!$C$9:$C$108,0))*(IF(F110="Transport",'Scenario Paths'!G156,IF(F110="Technology",'Scenario Paths'!G150,IF(F110="Utilities",'Scenario Paths'!G144,IF(F110="Agriculture",'Scenario Paths'!G138,IF(F110="Manufacturing",'Scenario Paths'!G132,IF(F110="Healthcare",'Scenario Paths'!G126,IF(F110="Hospitality",'Scenario Paths'!G120,IF(F110="Property",'Scenario Paths'!G114,IF(F110="Food",'Scenario Paths'!G108,IF(F110="Logistics",'Scenario Paths'!G102,IF(F110="Solar",'Scenario Paths'!G96,IF(F110="Cement",'Scenario Paths'!G90,0))))))))))))),"Unavailable"))</x:f>
        <x:v>0.7638</x:v>
      </x:c>
      <x:c r="I110" s="23" t="n">
        <x:f>IF(C110="","",IFERROR(INDEX('Borrowers'!$R$9:$R$108,MATCH(C110,'Borrowers'!$C$9:$C$108,0))*(1-INDEX('Borrowers'!$W$9:$W$108,MATCH(C110,'Borrowers'!$C$9:$C$108,0))*'Scenario Paths'!G39)*'Scenario Paths'!G9/1000000*(1-INDEX('Borrowers'!$T$9:$T$108,MATCH(C110,'Borrowers'!$C$9:$C$108,0))),"Unavailable"))</x:f>
        <x:v>0.0026950000000000003</x:v>
      </x:c>
      <x:c r="J110" s="23" t="n">
        <x:f>IF(C110="","",IFERROR(INDEX('Borrowers'!$I$9:$I$108,MATCH(C110,'Borrowers'!$C$9:$C$108,0))*INDEX('Borrowers'!$S$9:$S$108,MATCH(C110,'Borrowers'!$C$9:$C$108,0))*'Scenario Paths'!G15*(1-INDEX('Borrowers'!$T$9:$T$108,MATCH(C110,'Borrowers'!$C$9:$C$108,0))),"Unavailable"))</x:f>
        <x:v>0.3316500000000001</x:v>
      </x:c>
      <x:c r="K110" s="23" t="n">
        <x:f>IF(C110="","",IFERROR(INDEX('Borrowers'!$I$9:$I$108,MATCH(C110,'Borrowers'!$C$9:$C$108,0))*INDEX('Borrowers'!$U$9:$U$108,MATCH(C110,'Borrowers'!$C$9:$C$108,0))*'Scenario Paths'!G21*S110,"Unavailable"))</x:f>
        <x:v>0.0325888</x:v>
      </x:c>
      <x:c r="L110" s="23" t="n">
        <x:f>IF(C110="","",IFERROR(SUMPRODUCT((Sites!$D$9:$D$108=C110)*Sites!$H$9:$H$108*Sites!$J$9:$J$108*Sites!$K$9:$K$108*(1-Sites!$L$9:$L$108)*(1-Sites!$M$9:$M$108))*'Scenario Paths'!G27,"Unavailable"))</x:f>
        <x:v>0.030976000000000004</x:v>
      </x:c>
      <x:c r="M110" s="23" t="n">
        <x:f>IF(C110="","",IFERROR(INDEX('Borrowers'!$J$9:$J$108,MATCH(C110,'Borrowers'!$C$9:$C$108,0))+H110-SUM(I110:L110),"Unavailable"))</x:f>
        <x:v>13.865890199999999</x:v>
      </x:c>
      <x:c r="N110" s="23" t="n">
        <x:f>IF(C110="","",IFERROR(INDEX('Borrowers'!$I$9:$I$108,MATCH(C110,'Borrowers'!$C$9:$C$108,0))*'Scenario Paths'!G33,"Unavailable"))</x:f>
        <x:v>0.67</x:v>
      </x:c>
      <x:c r="O110" s="23" t="n">
        <x:f>IF(C110="","",IFERROR(M110-INDEX('Borrowers'!$K$9:$K$108,MATCH(C110,'Borrowers'!$C$9:$C$108,0))-N110,"Unavailable"))</x:f>
        <x:v>11.045890199999999</x:v>
      </x:c>
      <x:c r="P110" s="127" t="n">
        <x:f>IF(C110="","",IFERROR(O110/INDEX('Borrowers'!$L$9:$L$108,MATCH(C110,'Borrowers'!$C$9:$C$108,0)),"Unavailable"))</x:f>
        <x:v>2.0841302264150943</x:v>
      </x:c>
      <x:c r="Q110" s="30" t="n">
        <x:f>IF(C110="","",IFERROR(IF(INDEX('Borrowers'!$Z$9:$Z$108,MATCH(C110,'Borrowers'!$C$9:$C$108,0))="Yes",1,IF(INDEX('Borrowers'!$P$9:$P$108,MATCH(C110,'Borrowers'!$C$9:$C$108,0))=0,0,MIN(1,INDEX('Borrowers'!$P$9:$P$108,MATCH(C110,'Borrowers'!$C$9:$C$108,0))*EXP(MIN(20,INDEX('Borrowers'!$V$9:$V$108,MATCH(C110,'Borrowers'!$C$9:$C$108,0))*V110))))),"Unavailable"))</x:f>
        <x:v>0.018788441404748814</x:v>
      </x:c>
      <x:c r="R110" s="30" t="n">
        <x:f>IF(C110="","",IFERROR(MIN(1,INDEX('Borrowers'!$Q$9:$Q$108,MATCH(C110,'Borrowers'!$C$9:$C$108,0))+(1-INDEX('Borrowers'!$Q$9:$Q$108,MATCH(C110,'Borrowers'!$C$9:$C$108,0)))*T110),"Unavailable"))</x:f>
        <x:v>0.3208704</x:v>
      </x:c>
      <x:c r="S110" s="30" t="n">
        <x:f>IF(C110="","",IFERROR(SUMPRODUCT((Sites!$D$9:$D$108=C110)*Sites!$I$9:$I$108*Sites!$J$9:$J$108*Sites!$K$9:$K$108*(1-Sites!$L$9:$L$108)),"Unavailable"))</x:f>
        <x:v>0.128</x:v>
      </x:c>
      <x:c r="T110" s="30" t="n">
        <x:f>IF(C110="","",IFERROR(MIN(1,(SUMPRODUCT((Sites!$D$9:$D$108=C110)*Sites!$N$9:$N$108*Sites!$J$9:$J$108*Sites!$K$9:$K$108*(1-Sites!$L$9:$L$108)))*'Scenario Paths'!G27),"Unavailable"))</x:f>
        <x:v>0.00128</x:v>
      </x:c>
      <x:c r="U110" s="9" t="str">
        <x:f>IF(C110="","",IF(OR(INDEX('Borrowers'!$AA$9:$AA$108,MATCH(C110,'Borrowers'!$C$9:$C$108,0))&lt;&gt;"Ready",COUNTIF(Sites!$D$9:$D$108,C110)=0,COUNTIFS(Sites!$D$9:$D$108,C110,Sites!$Q$9:$Q$108,"&lt;&gt;Ready")&gt;0,'Scenario Paths'!$F$6&lt;&gt;"Ready"),"Review source inputs","Ready"))</x:f>
        <x:v>Ready</x:v>
      </x:c>
      <x:c r="V110" s="17" t="n">
        <x:f>IF(C110="","",IFERROR(MAX(-1,(G110-O110)/MAX(0.000001,G110)),"Unavailable"))</x:f>
        <x:v>0.026793814977973646</x:v>
      </x:c>
      <x:c r="W110" s="9" t="str">
        <x:f>IF(C110="","",IFERROR(INDEX('Borrowers'!$D$9:$D$108,MATCH(C110,'Borrowers'!$C$9:$C$108,0)),"Unavailable"))</x:f>
        <x:v>Demo Delta Solar</x:v>
      </x:c>
    </x:row>
    <x:row r="111" ht="26" customHeight="1">
      <x:c r="A111" s="1"/>
      <x:c r="B111" s="1"/>
      <x:c r="C111" s="9" t="str">
        <x:f>IF(Borrowers!C11="","",Borrowers!C11)</x:f>
        <x:v>B003</x:v>
      </x:c>
      <x:c r="D111" s="3" t="n">
        <x:v>2</x:v>
      </x:c>
      <x:c r="E111" s="9" t="n">
        <x:f>Settings!$F$18+1</x:f>
        <x:v>2028</x:v>
      </x:c>
      <x:c r="F111" s="9" t="str">
        <x:f>IF(C111="","",INDEX('Borrowers'!$F$9:$F$108,MATCH(C111,'Borrowers'!$C$9:$C$108,0)))</x:f>
        <x:v>Logistics</x:v>
      </x:c>
      <x:c r="G111" s="23" t="n">
        <x:f>IF(C111="","",IFERROR(INDEX('Borrowers'!$J$9:$J$108,MATCH(C111,'Borrowers'!$C$9:$C$108,0))-INDEX('Borrowers'!$K$9:$K$108,MATCH(C111,'Borrowers'!$C$9:$C$108,0)),"Unavailable"))</x:f>
        <x:v>12.7</x:v>
      </x:c>
      <x:c r="H111" s="23" t="n">
        <x:f>IF(C111="","",IFERROR(INDEX('Borrowers'!$I$9:$I$108,MATCH(C111,'Borrowers'!$C$9:$C$108,0))*INDEX('Borrowers'!$U$9:$U$108,MATCH(C111,'Borrowers'!$C$9:$C$108,0))*(IF(F111="Transport",'Scenario Paths'!G156,IF(F111="Technology",'Scenario Paths'!G150,IF(F111="Utilities",'Scenario Paths'!G144,IF(F111="Agriculture",'Scenario Paths'!G138,IF(F111="Manufacturing",'Scenario Paths'!G132,IF(F111="Healthcare",'Scenario Paths'!G126,IF(F111="Hospitality",'Scenario Paths'!G120,IF(F111="Property",'Scenario Paths'!G114,IF(F111="Food",'Scenario Paths'!G108,IF(F111="Logistics",'Scenario Paths'!G102,IF(F111="Solar",'Scenario Paths'!G96,IF(F111="Cement",'Scenario Paths'!G90,0))))))))))))),"Unavailable"))</x:f>
        <x:v>-0.9768</x:v>
      </x:c>
      <x:c r="I111" s="23" t="n">
        <x:f>IF(C111="","",IFERROR(INDEX('Borrowers'!$R$9:$R$108,MATCH(C111,'Borrowers'!$C$9:$C$108,0))*(1-INDEX('Borrowers'!$W$9:$W$108,MATCH(C111,'Borrowers'!$C$9:$C$108,0))*'Scenario Paths'!G39)*'Scenario Paths'!G9/1000000*(1-INDEX('Borrowers'!$T$9:$T$108,MATCH(C111,'Borrowers'!$C$9:$C$108,0))),"Unavailable"))</x:f>
        <x:v>0.052919999999999995</x:v>
      </x:c>
      <x:c r="J111" s="23" t="n">
        <x:f>IF(C111="","",IFERROR(INDEX('Borrowers'!$I$9:$I$108,MATCH(C111,'Borrowers'!$C$9:$C$108,0))*INDEX('Borrowers'!$S$9:$S$108,MATCH(C111,'Borrowers'!$C$9:$C$108,0))*'Scenario Paths'!G15*(1-INDEX('Borrowers'!$T$9:$T$108,MATCH(C111,'Borrowers'!$C$9:$C$108,0))),"Unavailable"))</x:f>
        <x:v>0.3663</x:v>
      </x:c>
      <x:c r="K111" s="23" t="n">
        <x:f>IF(C111="","",IFERROR(INDEX('Borrowers'!$I$9:$I$108,MATCH(C111,'Borrowers'!$C$9:$C$108,0))*INDEX('Borrowers'!$U$9:$U$108,MATCH(C111,'Borrowers'!$C$9:$C$108,0))*'Scenario Paths'!G21*S111,"Unavailable"))</x:f>
        <x:v>0.07449728000000001</x:v>
      </x:c>
      <x:c r="L111" s="23" t="n">
        <x:f>IF(C111="","",IFERROR(SUMPRODUCT((Sites!$D$9:$D$108=C111)*Sites!$H$9:$H$108*Sites!$J$9:$J$108*Sites!$K$9:$K$108*(1-Sites!$L$9:$L$108)*(1-Sites!$M$9:$M$108))*'Scenario Paths'!G27,"Unavailable"))</x:f>
        <x:v>0.0604032</x:v>
      </x:c>
      <x:c r="M111" s="23" t="n">
        <x:f>IF(C111="","",IFERROR(INDEX('Borrowers'!$J$9:$J$108,MATCH(C111,'Borrowers'!$C$9:$C$108,0))+H111-SUM(I111:L111),"Unavailable"))</x:f>
        <x:v>13.46907952</x:v>
      </x:c>
      <x:c r="N111" s="23" t="n">
        <x:f>IF(C111="","",IFERROR(INDEX('Borrowers'!$I$9:$I$108,MATCH(C111,'Borrowers'!$C$9:$C$108,0))*'Scenario Paths'!G33,"Unavailable"))</x:f>
        <x:v>0.74</x:v>
      </x:c>
      <x:c r="O111" s="23" t="n">
        <x:f>IF(C111="","",IFERROR(M111-INDEX('Borrowers'!$K$9:$K$108,MATCH(C111,'Borrowers'!$C$9:$C$108,0))-N111,"Unavailable"))</x:f>
        <x:v>10.42907952</x:v>
      </x:c>
      <x:c r="P111" s="127" t="n">
        <x:f>IF(C111="","",IFERROR(O111/INDEX('Borrowers'!$L$9:$L$108,MATCH(C111,'Borrowers'!$C$9:$C$108,0)),"Unavailable"))</x:f>
        <x:v>1.8623356285714288</x:v>
      </x:c>
      <x:c r="Q111" s="30" t="n">
        <x:f>IF(C111="","",IFERROR(IF(INDEX('Borrowers'!$Z$9:$Z$108,MATCH(C111,'Borrowers'!$C$9:$C$108,0))="Yes",1,IF(INDEX('Borrowers'!$P$9:$P$108,MATCH(C111,'Borrowers'!$C$9:$C$108,0))=0,0,MIN(1,INDEX('Borrowers'!$P$9:$P$108,MATCH(C111,'Borrowers'!$C$9:$C$108,0))*EXP(MIN(20,INDEX('Borrowers'!$V$9:$V$108,MATCH(C111,'Borrowers'!$C$9:$C$108,0))*V111))))),"Unavailable"))</x:f>
        <x:v>0.031949420671147546</x:v>
      </x:c>
      <x:c r="R111" s="30" t="n">
        <x:f>IF(C111="","",IFERROR(MIN(1,INDEX('Borrowers'!$Q$9:$Q$108,MATCH(C111,'Borrowers'!$C$9:$C$108,0))+(1-INDEX('Borrowers'!$Q$9:$Q$108,MATCH(C111,'Borrowers'!$C$9:$C$108,0)))*T111),"Unavailable"))</x:f>
        <x:v>0.36146432000000006</x:v>
      </x:c>
      <x:c r="S111" s="30" t="n">
        <x:f>IF(C111="","",IFERROR(SUMPRODUCT((Sites!$D$9:$D$108=C111)*Sites!$I$9:$I$108*Sites!$J$9:$J$108*Sites!$K$9:$K$108*(1-Sites!$L$9:$L$108)),"Unavailable"))</x:f>
        <x:v>0.2288</x:v>
      </x:c>
      <x:c r="T111" s="30" t="n">
        <x:f>IF(C111="","",IFERROR(MIN(1,(SUMPRODUCT((Sites!$D$9:$D$108=C111)*Sites!$N$9:$N$108*Sites!$J$9:$J$108*Sites!$K$9:$K$108*(1-Sites!$L$9:$L$108)))*'Scenario Paths'!G27),"Unavailable"))</x:f>
        <x:v>0.002288</x:v>
      </x:c>
      <x:c r="U111" s="9" t="str">
        <x:f>IF(C111="","",IF(OR(INDEX('Borrowers'!$AA$9:$AA$108,MATCH(C111,'Borrowers'!$C$9:$C$108,0))&lt;&gt;"Ready",COUNTIF(Sites!$D$9:$D$108,C111)=0,COUNTIFS(Sites!$D$9:$D$108,C111,Sites!$Q$9:$Q$108,"&lt;&gt;Ready")&gt;0,'Scenario Paths'!$F$6&lt;&gt;"Ready"),"Review source inputs","Ready"))</x:f>
        <x:v>Ready</x:v>
      </x:c>
      <x:c r="V111" s="17" t="n">
        <x:f>IF(C111="","",IFERROR(MAX(-1,(G111-O111)/MAX(0.000001,G111)),"Unavailable"))</x:f>
        <x:v>0.1788126362204724</x:v>
      </x:c>
      <x:c r="W111" s="9" t="str">
        <x:f>IF(C111="","",IFERROR(INDEX('Borrowers'!$D$9:$D$108,MATCH(C111,'Borrowers'!$C$9:$C$108,0)),"Unavailable"))</x:f>
        <x:v>Demo Alexandria Logistics</x:v>
      </x:c>
    </x:row>
    <x:row r="112" ht="26" customHeight="1">
      <x:c r="A112" s="1"/>
      <x:c r="B112" s="1"/>
      <x:c r="C112" s="9" t="str">
        <x:f>IF(Borrowers!C12="","",Borrowers!C12)</x:f>
        <x:v>B004</x:v>
      </x:c>
      <x:c r="D112" s="3" t="n">
        <x:v>2</x:v>
      </x:c>
      <x:c r="E112" s="9" t="n">
        <x:f>Settings!$F$18+1</x:f>
        <x:v>2028</x:v>
      </x:c>
      <x:c r="F112" s="9" t="str">
        <x:f>IF(C112="","",INDEX('Borrowers'!$F$9:$F$108,MATCH(C112,'Borrowers'!$C$9:$C$108,0)))</x:f>
        <x:v>Food</x:v>
      </x:c>
      <x:c r="G112" s="23" t="n">
        <x:f>IF(C112="","",IFERROR(INDEX('Borrowers'!$J$9:$J$108,MATCH(C112,'Borrowers'!$C$9:$C$108,0))-INDEX('Borrowers'!$K$9:$K$108,MATCH(C112,'Borrowers'!$C$9:$C$108,0)),"Unavailable"))</x:f>
        <x:v>14.05</x:v>
      </x:c>
      <x:c r="H112" s="23" t="n">
        <x:f>IF(C112="","",IFERROR(INDEX('Borrowers'!$I$9:$I$108,MATCH(C112,'Borrowers'!$C$9:$C$108,0))*INDEX('Borrowers'!$U$9:$U$108,MATCH(C112,'Borrowers'!$C$9:$C$108,0))*(IF(F112="Transport",'Scenario Paths'!G156,IF(F112="Technology",'Scenario Paths'!G150,IF(F112="Utilities",'Scenario Paths'!G144,IF(F112="Agriculture",'Scenario Paths'!G138,IF(F112="Manufacturing",'Scenario Paths'!G132,IF(F112="Healthcare",'Scenario Paths'!G126,IF(F112="Hospitality",'Scenario Paths'!G120,IF(F112="Property",'Scenario Paths'!G114,IF(F112="Food",'Scenario Paths'!G108,IF(F112="Logistics",'Scenario Paths'!G102,IF(F112="Solar",'Scenario Paths'!G96,IF(F112="Cement",'Scenario Paths'!G90,0))))))))))))),"Unavailable"))</x:f>
        <x:v>-0.7776000000000001</x:v>
      </x:c>
      <x:c r="I112" s="23" t="n">
        <x:f>IF(C112="","",IFERROR(INDEX('Borrowers'!$R$9:$R$108,MATCH(C112,'Borrowers'!$C$9:$C$108,0))*(1-INDEX('Borrowers'!$W$9:$W$108,MATCH(C112,'Borrowers'!$C$9:$C$108,0))*'Scenario Paths'!G39)*'Scenario Paths'!G9/1000000*(1-INDEX('Borrowers'!$T$9:$T$108,MATCH(C112,'Borrowers'!$C$9:$C$108,0))),"Unavailable"))</x:f>
        <x:v>0.044590000000000005</x:v>
      </x:c>
      <x:c r="J112" s="23" t="n">
        <x:f>IF(C112="","",IFERROR(INDEX('Borrowers'!$I$9:$I$108,MATCH(C112,'Borrowers'!$C$9:$C$108,0))*INDEX('Borrowers'!$S$9:$S$108,MATCH(C112,'Borrowers'!$C$9:$C$108,0))*'Scenario Paths'!G15*(1-INDEX('Borrowers'!$T$9:$T$108,MATCH(C112,'Borrowers'!$C$9:$C$108,0))),"Unavailable"))</x:f>
        <x:v>0.36855000000000004</x:v>
      </x:c>
      <x:c r="K112" s="23" t="n">
        <x:f>IF(C112="","",IFERROR(INDEX('Borrowers'!$I$9:$I$108,MATCH(C112,'Borrowers'!$C$9:$C$108,0))*INDEX('Borrowers'!$U$9:$U$108,MATCH(C112,'Borrowers'!$C$9:$C$108,0))*'Scenario Paths'!G21*S112,"Unavailable"))</x:f>
        <x:v>0.04064256000000001</x:v>
      </x:c>
      <x:c r="L112" s="23" t="n">
        <x:f>IF(C112="","",IFERROR(SUMPRODUCT((Sites!$D$9:$D$108=C112)*Sites!$H$9:$H$108*Sites!$J$9:$J$108*Sites!$K$9:$K$108*(1-Sites!$L$9:$L$108)*(1-Sites!$M$9:$M$108))*'Scenario Paths'!G27,"Unavailable"))</x:f>
        <x:v>0.044844800000000004</x:v>
      </x:c>
      <x:c r="M112" s="23" t="n">
        <x:f>IF(C112="","",IFERROR(INDEX('Borrowers'!$J$9:$J$108,MATCH(C112,'Borrowers'!$C$9:$C$108,0))+H112-SUM(I112:L112),"Unavailable"))</x:f>
        <x:v>15.22377264</x:v>
      </x:c>
      <x:c r="N112" s="23" t="n">
        <x:f>IF(C112="","",IFERROR(INDEX('Borrowers'!$I$9:$I$108,MATCH(C112,'Borrowers'!$C$9:$C$108,0))*'Scenario Paths'!G33,"Unavailable"))</x:f>
        <x:v>0.81</x:v>
      </x:c>
      <x:c r="O112" s="23" t="n">
        <x:f>IF(C112="","",IFERROR(M112-INDEX('Borrowers'!$K$9:$K$108,MATCH(C112,'Borrowers'!$C$9:$C$108,0))-N112,"Unavailable"))</x:f>
        <x:v>11.96377264</x:v>
      </x:c>
      <x:c r="P112" s="127" t="n">
        <x:f>IF(C112="","",IFERROR(O112/INDEX('Borrowers'!$L$9:$L$108,MATCH(C112,'Borrowers'!$C$9:$C$108,0)),"Unavailable"))</x:f>
        <x:v>2.027758074576271</x:v>
      </x:c>
      <x:c r="Q112" s="30" t="n">
        <x:f>IF(C112="","",IFERROR(IF(INDEX('Borrowers'!$Z$9:$Z$108,MATCH(C112,'Borrowers'!$C$9:$C$108,0))="Yes",1,IF(INDEX('Borrowers'!$P$9:$P$108,MATCH(C112,'Borrowers'!$C$9:$C$108,0))=0,0,MIN(1,INDEX('Borrowers'!$P$9:$P$108,MATCH(C112,'Borrowers'!$C$9:$C$108,0))*EXP(MIN(20,INDEX('Borrowers'!$V$9:$V$108,MATCH(C112,'Borrowers'!$C$9:$C$108,0))*V112))))),"Unavailable"))</x:f>
        <x:v>0.03804519802426122</x:v>
      </x:c>
      <x:c r="R112" s="30" t="n">
        <x:f>IF(C112="","",IFERROR(MIN(1,INDEX('Borrowers'!$Q$9:$Q$108,MATCH(C112,'Borrowers'!$C$9:$C$108,0))+(1-INDEX('Borrowers'!$Q$9:$Q$108,MATCH(C112,'Borrowers'!$C$9:$C$108,0)))*T112),"Unavailable"))</x:f>
        <x:v>0.40094080000000004</x:v>
      </x:c>
      <x:c r="S112" s="30" t="n">
        <x:f>IF(C112="","",IFERROR(SUMPRODUCT((Sites!$D$9:$D$108=C112)*Sites!$I$9:$I$108*Sites!$J$9:$J$108*Sites!$K$9:$K$108*(1-Sites!$L$9:$L$108)),"Unavailable"))</x:f>
        <x:v>0.1568</x:v>
      </x:c>
      <x:c r="T112" s="30" t="n">
        <x:f>IF(C112="","",IFERROR(MIN(1,(SUMPRODUCT((Sites!$D$9:$D$108=C112)*Sites!$N$9:$N$108*Sites!$J$9:$J$108*Sites!$K$9:$K$108*(1-Sites!$L$9:$L$108)))*'Scenario Paths'!G27),"Unavailable"))</x:f>
        <x:v>0.001568</x:v>
      </x:c>
      <x:c r="U112" s="9" t="str">
        <x:f>IF(C112="","",IF(OR(INDEX('Borrowers'!$AA$9:$AA$108,MATCH(C112,'Borrowers'!$C$9:$C$108,0))&lt;&gt;"Ready",COUNTIF(Sites!$D$9:$D$108,C112)=0,COUNTIFS(Sites!$D$9:$D$108,C112,Sites!$Q$9:$Q$108,"&lt;&gt;Ready")&gt;0,'Scenario Paths'!$F$6&lt;&gt;"Ready"),"Review source inputs","Ready"))</x:f>
        <x:v>Ready</x:v>
      </x:c>
      <x:c r="V112" s="17" t="n">
        <x:f>IF(C112="","",IFERROR(MAX(-1,(G112-O112)/MAX(0.000001,G112)),"Unavailable"))</x:f>
        <x:v>0.14848593309608543</x:v>
      </x:c>
      <x:c r="W112" s="9" t="str">
        <x:f>IF(C112="","",IFERROR(INDEX('Borrowers'!$D$9:$D$108,MATCH(C112,'Borrowers'!$C$9:$C$108,0)),"Unavailable"))</x:f>
        <x:v>Demo Oasis Foods</x:v>
      </x:c>
    </x:row>
    <x:row r="113" ht="26" customHeight="1">
      <x:c r="A113" s="1"/>
      <x:c r="B113" s="1"/>
      <x:c r="C113" s="9" t="str">
        <x:f>IF(Borrowers!C13="","",Borrowers!C13)</x:f>
        <x:v>B005</x:v>
      </x:c>
      <x:c r="D113" s="3" t="n">
        <x:v>2</x:v>
      </x:c>
      <x:c r="E113" s="9" t="n">
        <x:f>Settings!$F$18+1</x:f>
        <x:v>2028</x:v>
      </x:c>
      <x:c r="F113" s="9" t="str">
        <x:f>IF(C113="","",INDEX('Borrowers'!$F$9:$F$108,MATCH(C113,'Borrowers'!$C$9:$C$108,0)))</x:f>
        <x:v>Property</x:v>
      </x:c>
      <x:c r="G113" s="23" t="n">
        <x:f>IF(C113="","",IFERROR(INDEX('Borrowers'!$J$9:$J$108,MATCH(C113,'Borrowers'!$C$9:$C$108,0))-INDEX('Borrowers'!$K$9:$K$108,MATCH(C113,'Borrowers'!$C$9:$C$108,0)),"Unavailable"))</x:f>
        <x:v>15.4</x:v>
      </x:c>
      <x:c r="H113" s="23" t="n">
        <x:f>IF(C113="","",IFERROR(INDEX('Borrowers'!$I$9:$I$108,MATCH(C113,'Borrowers'!$C$9:$C$108,0))*INDEX('Borrowers'!$U$9:$U$108,MATCH(C113,'Borrowers'!$C$9:$C$108,0))*(IF(F113="Transport",'Scenario Paths'!G156,IF(F113="Technology",'Scenario Paths'!G150,IF(F113="Utilities",'Scenario Paths'!G144,IF(F113="Agriculture",'Scenario Paths'!G138,IF(F113="Manufacturing",'Scenario Paths'!G132,IF(F113="Healthcare",'Scenario Paths'!G126,IF(F113="Hospitality",'Scenario Paths'!G120,IF(F113="Property",'Scenario Paths'!G114,IF(F113="Food",'Scenario Paths'!G108,IF(F113="Logistics",'Scenario Paths'!G102,IF(F113="Solar",'Scenario Paths'!G96,IF(F113="Cement",'Scenario Paths'!G90,0))))))))))))),"Unavailable"))</x:f>
        <x:v>-1.0031999999999999</x:v>
      </x:c>
      <x:c r="I113" s="23" t="n">
        <x:f>IF(C113="","",IFERROR(INDEX('Borrowers'!$R$9:$R$108,MATCH(C113,'Borrowers'!$C$9:$C$108,0))*(1-INDEX('Borrowers'!$W$9:$W$108,MATCH(C113,'Borrowers'!$C$9:$C$108,0))*'Scenario Paths'!G39)*'Scenario Paths'!G9/1000000*(1-INDEX('Borrowers'!$T$9:$T$108,MATCH(C113,'Borrowers'!$C$9:$C$108,0))),"Unavailable"))</x:f>
        <x:v>0.08918</x:v>
      </x:c>
      <x:c r="J113" s="23" t="n">
        <x:f>IF(C113="","",IFERROR(INDEX('Borrowers'!$I$9:$I$108,MATCH(C113,'Borrowers'!$C$9:$C$108,0))*INDEX('Borrowers'!$S$9:$S$108,MATCH(C113,'Borrowers'!$C$9:$C$108,0))*'Scenario Paths'!G15*(1-INDEX('Borrowers'!$T$9:$T$108,MATCH(C113,'Borrowers'!$C$9:$C$108,0))),"Unavailable"))</x:f>
        <x:v>0.4004000000000001</x:v>
      </x:c>
      <x:c r="K113" s="23" t="n">
        <x:f>IF(C113="","",IFERROR(INDEX('Borrowers'!$I$9:$I$108,MATCH(C113,'Borrowers'!$C$9:$C$108,0))*INDEX('Borrowers'!$U$9:$U$108,MATCH(C113,'Borrowers'!$C$9:$C$108,0))*'Scenario Paths'!G21*S113,"Unavailable"))</x:f>
        <x:v>0.0909568</x:v>
      </x:c>
      <x:c r="L113" s="23" t="n">
        <x:f>IF(C113="","",IFERROR(SUMPRODUCT((Sites!$D$9:$D$108=C113)*Sites!$H$9:$H$108*Sites!$J$9:$J$108*Sites!$K$9:$K$108*(1-Sites!$L$9:$L$108)*(1-Sites!$M$9:$M$108))*'Scenario Paths'!G27,"Unavailable"))</x:f>
        <x:v>0.08377600000000002</x:v>
      </x:c>
      <x:c r="M113" s="23" t="n">
        <x:f>IF(C113="","",IFERROR(INDEX('Borrowers'!$J$9:$J$108,MATCH(C113,'Borrowers'!$C$9:$C$108,0))+H113-SUM(I113:L113),"Unavailable"))</x:f>
        <x:v>16.3324872</x:v>
      </x:c>
      <x:c r="N113" s="23" t="n">
        <x:f>IF(C113="","",IFERROR(INDEX('Borrowers'!$I$9:$I$108,MATCH(C113,'Borrowers'!$C$9:$C$108,0))*'Scenario Paths'!G33,"Unavailable"))</x:f>
        <x:v>0.88</x:v>
      </x:c>
      <x:c r="O113" s="23" t="n">
        <x:f>IF(C113="","",IFERROR(M113-INDEX('Borrowers'!$K$9:$K$108,MATCH(C113,'Borrowers'!$C$9:$C$108,0))-N113,"Unavailable"))</x:f>
        <x:v>12.852487199999999</x:v>
      </x:c>
      <x:c r="P113" s="127" t="n">
        <x:f>IF(C113="","",IFERROR(O113/INDEX('Borrowers'!$L$9:$L$108,MATCH(C113,'Borrowers'!$C$9:$C$108,0)),"Unavailable"))</x:f>
        <x:v>2.0729818064516126</x:v>
      </x:c>
      <x:c r="Q113" s="30" t="n">
        <x:f>IF(C113="","",IFERROR(IF(INDEX('Borrowers'!$Z$9:$Z$108,MATCH(C113,'Borrowers'!$C$9:$C$108,0))="Yes",1,IF(INDEX('Borrowers'!$P$9:$P$108,MATCH(C113,'Borrowers'!$C$9:$C$108,0))=0,0,MIN(1,INDEX('Borrowers'!$P$9:$P$108,MATCH(C113,'Borrowers'!$C$9:$C$108,0))*EXP(MIN(20,INDEX('Borrowers'!$V$9:$V$108,MATCH(C113,'Borrowers'!$C$9:$C$108,0))*V113))))),"Unavailable"))</x:f>
        <x:v>0.0469083450754093</x:v>
      </x:c>
      <x:c r="R113" s="30" t="n">
        <x:f>IF(C113="","",IFERROR(MIN(1,INDEX('Borrowers'!$Q$9:$Q$108,MATCH(C113,'Borrowers'!$C$9:$C$108,0))+(1-INDEX('Borrowers'!$Q$9:$Q$108,MATCH(C113,'Borrowers'!$C$9:$C$108,0)))*T113),"Unavailable"))</x:f>
        <x:v>0.44152320000000006</x:v>
      </x:c>
      <x:c r="S113" s="30" t="n">
        <x:f>IF(C113="","",IFERROR(SUMPRODUCT((Sites!$D$9:$D$108=C113)*Sites!$I$9:$I$108*Sites!$J$9:$J$108*Sites!$K$9:$K$108*(1-Sites!$L$9:$L$108)),"Unavailable"))</x:f>
        <x:v>0.272</x:v>
      </x:c>
      <x:c r="T113" s="30" t="n">
        <x:f>IF(C113="","",IFERROR(MIN(1,(SUMPRODUCT((Sites!$D$9:$D$108=C113)*Sites!$N$9:$N$108*Sites!$J$9:$J$108*Sites!$K$9:$K$108*(1-Sites!$L$9:$L$108)))*'Scenario Paths'!G27),"Unavailable"))</x:f>
        <x:v>0.00272</x:v>
      </x:c>
      <x:c r="U113" s="9" t="str">
        <x:f>IF(C113="","",IF(OR(INDEX('Borrowers'!$AA$9:$AA$108,MATCH(C113,'Borrowers'!$C$9:$C$108,0))&lt;&gt;"Ready",COUNTIF(Sites!$D$9:$D$108,C113)=0,COUNTIFS(Sites!$D$9:$D$108,C113,Sites!$Q$9:$Q$108,"&lt;&gt;Ready")&gt;0,'Scenario Paths'!$F$6&lt;&gt;"Ready"),"Review source inputs","Ready"))</x:f>
        <x:v>Ready</x:v>
      </x:c>
      <x:c r="V113" s="17" t="n">
        <x:f>IF(C113="","",IFERROR(MAX(-1,(G113-O113)/MAX(0.000001,G113)),"Unavailable"))</x:f>
        <x:v>0.16542290909090918</x:v>
      </x:c>
      <x:c r="W113" s="9" t="str">
        <x:f>IF(C113="","",IFERROR(INDEX('Borrowers'!$D$9:$D$108,MATCH(C113,'Borrowers'!$C$9:$C$108,0)),"Unavailable"))</x:f>
        <x:v>Demo Cairo Properties</x:v>
      </x:c>
    </x:row>
    <x:row r="114" ht="26" customHeight="1">
      <x:c r="A114" s="1"/>
      <x:c r="B114" s="1"/>
      <x:c r="C114" s="9" t="str">
        <x:f>IF(Borrowers!C14="","",Borrowers!C14)</x:f>
        <x:v>B006</x:v>
      </x:c>
      <x:c r="D114" s="3" t="n">
        <x:v>2</x:v>
      </x:c>
      <x:c r="E114" s="9" t="n">
        <x:f>Settings!$F$18+1</x:f>
        <x:v>2028</x:v>
      </x:c>
      <x:c r="F114" s="9" t="str">
        <x:f>IF(C114="","",INDEX('Borrowers'!$F$9:$F$108,MATCH(C114,'Borrowers'!$C$9:$C$108,0)))</x:f>
        <x:v>Hospitality</x:v>
      </x:c>
      <x:c r="G114" s="23" t="n">
        <x:f>IF(C114="","",IFERROR(INDEX('Borrowers'!$J$9:$J$108,MATCH(C114,'Borrowers'!$C$9:$C$108,0))-INDEX('Borrowers'!$K$9:$K$108,MATCH(C114,'Borrowers'!$C$9:$C$108,0)),"Unavailable"))</x:f>
        <x:v>16.75</x:v>
      </x:c>
      <x:c r="H114" s="23" t="n">
        <x:f>IF(C114="","",IFERROR(INDEX('Borrowers'!$I$9:$I$108,MATCH(C114,'Borrowers'!$C$9:$C$108,0))*INDEX('Borrowers'!$U$9:$U$108,MATCH(C114,'Borrowers'!$C$9:$C$108,0))*(IF(F114="Transport",'Scenario Paths'!G156,IF(F114="Technology",'Scenario Paths'!G150,IF(F114="Utilities",'Scenario Paths'!G144,IF(F114="Agriculture",'Scenario Paths'!G138,IF(F114="Manufacturing",'Scenario Paths'!G132,IF(F114="Healthcare",'Scenario Paths'!G126,IF(F114="Hospitality",'Scenario Paths'!G120,IF(F114="Property",'Scenario Paths'!G114,IF(F114="Food",'Scenario Paths'!G108,IF(F114="Logistics",'Scenario Paths'!G102,IF(F114="Solar",'Scenario Paths'!G96,IF(F114="Cement",'Scenario Paths'!G90,0))))))))))))),"Unavailable"))</x:f>
        <x:v>-1.2539999999999998</x:v>
      </x:c>
      <x:c r="I114" s="23" t="n">
        <x:f>IF(C114="","",IFERROR(INDEX('Borrowers'!$R$9:$R$108,MATCH(C114,'Borrowers'!$C$9:$C$108,0))*(1-INDEX('Borrowers'!$W$9:$W$108,MATCH(C114,'Borrowers'!$C$9:$C$108,0))*'Scenario Paths'!G39)*'Scenario Paths'!G9/1000000*(1-INDEX('Borrowers'!$T$9:$T$108,MATCH(C114,'Borrowers'!$C$9:$C$108,0))),"Unavailable"))</x:f>
        <x:v>0.08085</x:v>
      </x:c>
      <x:c r="J114" s="23" t="n">
        <x:f>IF(C114="","",IFERROR(INDEX('Borrowers'!$I$9:$I$108,MATCH(C114,'Borrowers'!$C$9:$C$108,0))*INDEX('Borrowers'!$S$9:$S$108,MATCH(C114,'Borrowers'!$C$9:$C$108,0))*'Scenario Paths'!G15*(1-INDEX('Borrowers'!$T$9:$T$108,MATCH(C114,'Borrowers'!$C$9:$C$108,0))),"Unavailable"))</x:f>
        <x:v>0.4702500000000001</x:v>
      </x:c>
      <x:c r="K114" s="23" t="n">
        <x:f>IF(C114="","",IFERROR(INDEX('Borrowers'!$I$9:$I$108,MATCH(C114,'Borrowers'!$C$9:$C$108,0))*INDEX('Borrowers'!$U$9:$U$108,MATCH(C114,'Borrowers'!$C$9:$C$108,0))*'Scenario Paths'!G21*S114,"Unavailable"))</x:f>
        <x:v>0.043472</x:v>
      </x:c>
      <x:c r="L114" s="23" t="n">
        <x:f>IF(C114="","",IFERROR(SUMPRODUCT((Sites!$D$9:$D$108=C114)*Sites!$H$9:$H$108*Sites!$J$9:$J$108*Sites!$K$9:$K$108*(1-Sites!$L$9:$L$108)*(1-Sites!$M$9:$M$108))*'Scenario Paths'!G27,"Unavailable"))</x:f>
        <x:v>0.03432</x:v>
      </x:c>
      <x:c r="M114" s="23" t="n">
        <x:f>IF(C114="","",IFERROR(INDEX('Borrowers'!$J$9:$J$108,MATCH(C114,'Borrowers'!$C$9:$C$108,0))+H114-SUM(I114:L114),"Unavailable"))</x:f>
        <x:v>17.617107999999998</x:v>
      </x:c>
      <x:c r="N114" s="23" t="n">
        <x:f>IF(C114="","",IFERROR(INDEX('Borrowers'!$I$9:$I$108,MATCH(C114,'Borrowers'!$C$9:$C$108,0))*'Scenario Paths'!G33,"Unavailable"))</x:f>
        <x:v>0.9500000000000001</x:v>
      </x:c>
      <x:c r="O114" s="23" t="n">
        <x:f>IF(C114="","",IFERROR(M114-INDEX('Borrowers'!$K$9:$K$108,MATCH(C114,'Borrowers'!$C$9:$C$108,0))-N114,"Unavailable"))</x:f>
        <x:v>13.917107999999999</x:v>
      </x:c>
      <x:c r="P114" s="127" t="n">
        <x:f>IF(C114="","",IFERROR(O114/INDEX('Borrowers'!$L$9:$L$108,MATCH(C114,'Borrowers'!$C$9:$C$108,0)),"Unavailable"))</x:f>
        <x:v>2.141093538461538</x:v>
      </x:c>
      <x:c r="Q114" s="30" t="n">
        <x:f>IF(C114="","",IFERROR(IF(INDEX('Borrowers'!$Z$9:$Z$108,MATCH(C114,'Borrowers'!$C$9:$C$108,0))="Yes",1,IF(INDEX('Borrowers'!$P$9:$P$108,MATCH(C114,'Borrowers'!$C$9:$C$108,0))=0,0,MIN(1,INDEX('Borrowers'!$P$9:$P$108,MATCH(C114,'Borrowers'!$C$9:$C$108,0))*EXP(MIN(20,INDEX('Borrowers'!$V$9:$V$108,MATCH(C114,'Borrowers'!$C$9:$C$108,0))*V114))))),"Unavailable"))</x:f>
        <x:v>0.05505178167087908</x:v>
      </x:c>
      <x:c r="R114" s="30" t="n">
        <x:f>IF(C114="","",IFERROR(MIN(1,INDEX('Borrowers'!$Q$9:$Q$108,MATCH(C114,'Borrowers'!$C$9:$C$108,0))+(1-INDEX('Borrowers'!$Q$9:$Q$108,MATCH(C114,'Borrowers'!$C$9:$C$108,0)))*T114),"Unavailable"))</x:f>
        <x:v>0.2807488</x:v>
      </x:c>
      <x:c r="S114" s="30" t="n">
        <x:f>IF(C114="","",IFERROR(SUMPRODUCT((Sites!$D$9:$D$108=C114)*Sites!$I$9:$I$108*Sites!$J$9:$J$108*Sites!$K$9:$K$108*(1-Sites!$L$9:$L$108)),"Unavailable"))</x:f>
        <x:v>0.104</x:v>
      </x:c>
      <x:c r="T114" s="30" t="n">
        <x:f>IF(C114="","",IFERROR(MIN(1,(SUMPRODUCT((Sites!$D$9:$D$108=C114)*Sites!$N$9:$N$108*Sites!$J$9:$J$108*Sites!$K$9:$K$108*(1-Sites!$L$9:$L$108)))*'Scenario Paths'!G27),"Unavailable"))</x:f>
        <x:v>0.00104</x:v>
      </x:c>
      <x:c r="U114" s="9" t="str">
        <x:f>IF(C114="","",IF(OR(INDEX('Borrowers'!$AA$9:$AA$108,MATCH(C114,'Borrowers'!$C$9:$C$108,0))&lt;&gt;"Ready",COUNTIF(Sites!$D$9:$D$108,C114)=0,COUNTIFS(Sites!$D$9:$D$108,C114,Sites!$Q$9:$Q$108,"&lt;&gt;Ready")&gt;0,'Scenario Paths'!$F$6&lt;&gt;"Ready"),"Review source inputs","Ready"))</x:f>
        <x:v>Ready</x:v>
      </x:c>
      <x:c r="V114" s="17" t="n">
        <x:f>IF(C114="","",IFERROR(MAX(-1,(G114-O114)/MAX(0.000001,G114)),"Unavailable"))</x:f>
        <x:v>0.169127880597015</x:v>
      </x:c>
      <x:c r="W114" s="9" t="str">
        <x:f>IF(C114="","",IFERROR(INDEX('Borrowers'!$D$9:$D$108,MATCH(C114,'Borrowers'!$C$9:$C$108,0)),"Unavailable"))</x:f>
        <x:v>Demo Red Sea Hotels</x:v>
      </x:c>
    </x:row>
    <x:row r="115" ht="26" customHeight="1">
      <x:c r="A115" s="1"/>
      <x:c r="B115" s="1"/>
      <x:c r="C115" s="9" t="str">
        <x:f>IF(Borrowers!C15="","",Borrowers!C15)</x:f>
        <x:v>B007</x:v>
      </x:c>
      <x:c r="D115" s="3" t="n">
        <x:v>2</x:v>
      </x:c>
      <x:c r="E115" s="9" t="n">
        <x:f>Settings!$F$18+1</x:f>
        <x:v>2028</x:v>
      </x:c>
      <x:c r="F115" s="9" t="str">
        <x:f>IF(C115="","",INDEX('Borrowers'!$F$9:$F$108,MATCH(C115,'Borrowers'!$C$9:$C$108,0)))</x:f>
        <x:v>Cement</x:v>
      </x:c>
      <x:c r="G115" s="23" t="n">
        <x:f>IF(C115="","",IFERROR(INDEX('Borrowers'!$J$9:$J$108,MATCH(C115,'Borrowers'!$C$9:$C$108,0))-INDEX('Borrowers'!$K$9:$K$108,MATCH(C115,'Borrowers'!$C$9:$C$108,0)),"Unavailable"))</x:f>
        <x:v>18.1</x:v>
      </x:c>
      <x:c r="H115" s="23" t="n">
        <x:f>IF(C115="","",IFERROR(INDEX('Borrowers'!$I$9:$I$108,MATCH(C115,'Borrowers'!$C$9:$C$108,0))*INDEX('Borrowers'!$U$9:$U$108,MATCH(C115,'Borrowers'!$C$9:$C$108,0))*(IF(F115="Transport",'Scenario Paths'!G156,IF(F115="Technology",'Scenario Paths'!G150,IF(F115="Utilities",'Scenario Paths'!G144,IF(F115="Agriculture",'Scenario Paths'!G138,IF(F115="Manufacturing",'Scenario Paths'!G132,IF(F115="Healthcare",'Scenario Paths'!G126,IF(F115="Hospitality",'Scenario Paths'!G120,IF(F115="Property",'Scenario Paths'!G114,IF(F115="Food",'Scenario Paths'!G108,IF(F115="Logistics",'Scenario Paths'!G102,IF(F115="Solar",'Scenario Paths'!G96,IF(F115="Cement",'Scenario Paths'!G90,0))))))))))))),"Unavailable"))</x:f>
        <x:v>-0.9792</x:v>
      </x:c>
      <x:c r="I115" s="23" t="n">
        <x:f>IF(C115="","",IFERROR(INDEX('Borrowers'!$R$9:$R$108,MATCH(C115,'Borrowers'!$C$9:$C$108,0))*(1-INDEX('Borrowers'!$W$9:$W$108,MATCH(C115,'Borrowers'!$C$9:$C$108,0))*'Scenario Paths'!G39)*'Scenario Paths'!G9/1000000*(1-INDEX('Borrowers'!$T$9:$T$108,MATCH(C115,'Borrowers'!$C$9:$C$108,0))),"Unavailable"))</x:f>
        <x:v>1.3891499999999999</x:v>
      </x:c>
      <x:c r="J115" s="23" t="n">
        <x:f>IF(C115="","",IFERROR(INDEX('Borrowers'!$I$9:$I$108,MATCH(C115,'Borrowers'!$C$9:$C$108,0))*INDEX('Borrowers'!$S$9:$S$108,MATCH(C115,'Borrowers'!$C$9:$C$108,0))*'Scenario Paths'!G15*(1-INDEX('Borrowers'!$T$9:$T$108,MATCH(C115,'Borrowers'!$C$9:$C$108,0))),"Unavailable"))</x:f>
        <x:v>1.0556999999999999</x:v>
      </x:c>
      <x:c r="K115" s="23" t="n">
        <x:f>IF(C115="","",IFERROR(INDEX('Borrowers'!$I$9:$I$108,MATCH(C115,'Borrowers'!$C$9:$C$108,0))*INDEX('Borrowers'!$U$9:$U$108,MATCH(C115,'Borrowers'!$C$9:$C$108,0))*'Scenario Paths'!G21*S115,"Unavailable"))</x:f>
        <x:v>0.029245440000000008</x:v>
      </x:c>
      <x:c r="L115" s="23" t="n">
        <x:f>IF(C115="","",IFERROR(SUMPRODUCT((Sites!$D$9:$D$108=C115)*Sites!$H$9:$H$108*Sites!$J$9:$J$108*Sites!$K$9:$K$108*(1-Sites!$L$9:$L$108)*(1-Sites!$M$9:$M$108))*'Scenario Paths'!G27,"Unavailable"))</x:f>
        <x:v>0.0315392</x:v>
      </x:c>
      <x:c r="M115" s="23" t="n">
        <x:f>IF(C115="","",IFERROR(INDEX('Borrowers'!$J$9:$J$108,MATCH(C115,'Borrowers'!$C$9:$C$108,0))+H115-SUM(I115:L115),"Unavailable"))</x:f>
        <x:v>17.51516536</x:v>
      </x:c>
      <x:c r="N115" s="23" t="n">
        <x:f>IF(C115="","",IFERROR(INDEX('Borrowers'!$I$9:$I$108,MATCH(C115,'Borrowers'!$C$9:$C$108,0))*'Scenario Paths'!G33,"Unavailable"))</x:f>
        <x:v>1.02</x:v>
      </x:c>
      <x:c r="O115" s="23" t="n">
        <x:f>IF(C115="","",IFERROR(M115-INDEX('Borrowers'!$K$9:$K$108,MATCH(C115,'Borrowers'!$C$9:$C$108,0))-N115,"Unavailable"))</x:f>
        <x:v>13.595165360000001</x:v>
      </x:c>
      <x:c r="P115" s="127" t="n">
        <x:f>IF(C115="","",IFERROR(O115/INDEX('Borrowers'!$L$9:$L$108,MATCH(C115,'Borrowers'!$C$9:$C$108,0)),"Unavailable"))</x:f>
        <x:v>1.999289023529412</x:v>
      </x:c>
      <x:c r="Q115" s="30" t="n">
        <x:f>IF(C115="","",IFERROR(IF(INDEX('Borrowers'!$Z$9:$Z$108,MATCH(C115,'Borrowers'!$C$9:$C$108,0))="Yes",1,IF(INDEX('Borrowers'!$P$9:$P$108,MATCH(C115,'Borrowers'!$C$9:$C$108,0))=0,0,MIN(1,INDEX('Borrowers'!$P$9:$P$108,MATCH(C115,'Borrowers'!$C$9:$C$108,0))*EXP(MIN(20,INDEX('Borrowers'!$V$9:$V$108,MATCH(C115,'Borrowers'!$C$9:$C$108,0))*V115))))),"Unavailable"))</x:f>
        <x:v>0.017870013355274494</x:v>
      </x:c>
      <x:c r="R115" s="30" t="n">
        <x:f>IF(C115="","",IFERROR(MIN(1,INDEX('Borrowers'!$Q$9:$Q$108,MATCH(C115,'Borrowers'!$C$9:$C$108,0))+(1-INDEX('Borrowers'!$Q$9:$Q$108,MATCH(C115,'Borrowers'!$C$9:$C$108,0)))*T115),"Unavailable"))</x:f>
        <x:v>0.32060928</x:v>
      </x:c>
      <x:c r="S115" s="30" t="n">
        <x:f>IF(C115="","",IFERROR(SUMPRODUCT((Sites!$D$9:$D$108=C115)*Sites!$I$9:$I$108*Sites!$J$9:$J$108*Sites!$K$9:$K$108*(1-Sites!$L$9:$L$108)),"Unavailable"))</x:f>
        <x:v>0.08960000000000001</x:v>
      </x:c>
      <x:c r="T115" s="30" t="n">
        <x:f>IF(C115="","",IFERROR(MIN(1,(SUMPRODUCT((Sites!$D$9:$D$108=C115)*Sites!$N$9:$N$108*Sites!$J$9:$J$108*Sites!$K$9:$K$108*(1-Sites!$L$9:$L$108)))*'Scenario Paths'!G27),"Unavailable"))</x:f>
        <x:v>0.0008960000000000001</x:v>
      </x:c>
      <x:c r="U115" s="9" t="str">
        <x:f>IF(C115="","",IF(OR(INDEX('Borrowers'!$AA$9:$AA$108,MATCH(C115,'Borrowers'!$C$9:$C$108,0))&lt;&gt;"Ready",COUNTIF(Sites!$D$9:$D$108,C115)=0,COUNTIFS(Sites!$D$9:$D$108,C115,Sites!$Q$9:$Q$108,"&lt;&gt;Ready")&gt;0,'Scenario Paths'!$F$6&lt;&gt;"Ready"),"Review source inputs","Ready"))</x:f>
        <x:v>Ready</x:v>
      </x:c>
      <x:c r="V115" s="17" t="n">
        <x:f>IF(C115="","",IFERROR(MAX(-1,(G115-O115)/MAX(0.000001,G115)),"Unavailable"))</x:f>
        <x:v>0.24888589171270717</x:v>
      </x:c>
      <x:c r="W115" s="9" t="str">
        <x:f>IF(C115="","",IFERROR(INDEX('Borrowers'!$D$9:$D$108,MATCH(C115,'Borrowers'!$C$9:$C$108,0)),"Unavailable"))</x:f>
        <x:v>Demo Amman Cement</x:v>
      </x:c>
    </x:row>
    <x:row r="116" ht="26" customHeight="1">
      <x:c r="A116" s="1"/>
      <x:c r="B116" s="1"/>
      <x:c r="C116" s="9" t="str">
        <x:f>IF(Borrowers!C16="","",Borrowers!C16)</x:f>
        <x:v>B008</x:v>
      </x:c>
      <x:c r="D116" s="3" t="n">
        <x:v>2</x:v>
      </x:c>
      <x:c r="E116" s="9" t="n">
        <x:f>Settings!$F$18+1</x:f>
        <x:v>2028</x:v>
      </x:c>
      <x:c r="F116" s="9" t="str">
        <x:f>IF(C116="","",INDEX('Borrowers'!$F$9:$F$108,MATCH(C116,'Borrowers'!$C$9:$C$108,0)))</x:f>
        <x:v>Solar</x:v>
      </x:c>
      <x:c r="G116" s="23" t="n">
        <x:f>IF(C116="","",IFERROR(INDEX('Borrowers'!$J$9:$J$108,MATCH(C116,'Borrowers'!$C$9:$C$108,0))-INDEX('Borrowers'!$K$9:$K$108,MATCH(C116,'Borrowers'!$C$9:$C$108,0)),"Unavailable"))</x:f>
        <x:v>19.45</x:v>
      </x:c>
      <x:c r="H116" s="23" t="n">
        <x:f>IF(C116="","",IFERROR(INDEX('Borrowers'!$I$9:$I$108,MATCH(C116,'Borrowers'!$C$9:$C$108,0))*INDEX('Borrowers'!$U$9:$U$108,MATCH(C116,'Borrowers'!$C$9:$C$108,0))*(IF(F116="Transport",'Scenario Paths'!G156,IF(F116="Technology",'Scenario Paths'!G150,IF(F116="Utilities",'Scenario Paths'!G144,IF(F116="Agriculture",'Scenario Paths'!G138,IF(F116="Manufacturing",'Scenario Paths'!G132,IF(F116="Healthcare",'Scenario Paths'!G126,IF(F116="Hospitality",'Scenario Paths'!G120,IF(F116="Property",'Scenario Paths'!G114,IF(F116="Food",'Scenario Paths'!G108,IF(F116="Logistics",'Scenario Paths'!G102,IF(F116="Solar",'Scenario Paths'!G96,IF(F116="Cement",'Scenario Paths'!G90,0))))))))))))),"Unavailable"))</x:f>
        <x:v>1.2426</x:v>
      </x:c>
      <x:c r="I116" s="23" t="n">
        <x:f>IF(C116="","",IFERROR(INDEX('Borrowers'!$R$9:$R$108,MATCH(C116,'Borrowers'!$C$9:$C$108,0))*(1-INDEX('Borrowers'!$W$9:$W$108,MATCH(C116,'Borrowers'!$C$9:$C$108,0))*'Scenario Paths'!G39)*'Scenario Paths'!G9/1000000*(1-INDEX('Borrowers'!$T$9:$T$108,MATCH(C116,'Borrowers'!$C$9:$C$108,0))),"Unavailable"))</x:f>
        <x:v>0.0017149999999999997</x:v>
      </x:c>
      <x:c r="J116" s="23" t="n">
        <x:f>IF(C116="","",IFERROR(INDEX('Borrowers'!$I$9:$I$108,MATCH(C116,'Borrowers'!$C$9:$C$108,0))*INDEX('Borrowers'!$S$9:$S$108,MATCH(C116,'Borrowers'!$C$9:$C$108,0))*'Scenario Paths'!G15*(1-INDEX('Borrowers'!$T$9:$T$108,MATCH(C116,'Borrowers'!$C$9:$C$108,0))),"Unavailable"))</x:f>
        <x:v>0.49595</x:v>
      </x:c>
      <x:c r="K116" s="23" t="n">
        <x:f>IF(C116="","",IFERROR(INDEX('Borrowers'!$I$9:$I$108,MATCH(C116,'Borrowers'!$C$9:$C$108,0))*INDEX('Borrowers'!$U$9:$U$108,MATCH(C116,'Borrowers'!$C$9:$C$108,0))*'Scenario Paths'!G21*S116,"Unavailable"))</x:f>
        <x:v>0.07289920000000001</x:v>
      </x:c>
      <x:c r="L116" s="23" t="n">
        <x:f>IF(C116="","",IFERROR(SUMPRODUCT((Sites!$D$9:$D$108=C116)*Sites!$H$9:$H$108*Sites!$J$9:$J$108*Sites!$K$9:$K$108*(1-Sites!$L$9:$L$108)*(1-Sites!$M$9:$M$108))*'Scenario Paths'!G27,"Unavailable"))</x:f>
        <x:v>0.06582400000000002</x:v>
      </x:c>
      <x:c r="M116" s="23" t="n">
        <x:f>IF(C116="","",IFERROR(INDEX('Borrowers'!$J$9:$J$108,MATCH(C116,'Borrowers'!$C$9:$C$108,0))+H116-SUM(I116:L116),"Unavailable"))</x:f>
        <x:v>23.1062118</x:v>
      </x:c>
      <x:c r="N116" s="23" t="n">
        <x:f>IF(C116="","",IFERROR(INDEX('Borrowers'!$I$9:$I$108,MATCH(C116,'Borrowers'!$C$9:$C$108,0))*'Scenario Paths'!G33,"Unavailable"))</x:f>
        <x:v>1.09</x:v>
      </x:c>
      <x:c r="O116" s="23" t="n">
        <x:f>IF(C116="","",IFERROR(M116-INDEX('Borrowers'!$K$9:$K$108,MATCH(C116,'Borrowers'!$C$9:$C$108,0))-N116,"Unavailable"))</x:f>
        <x:v>18.9662118</x:v>
      </x:c>
      <x:c r="P116" s="127" t="n">
        <x:f>IF(C116="","",IFERROR(O116/INDEX('Borrowers'!$L$9:$L$108,MATCH(C116,'Borrowers'!$C$9:$C$108,0)),"Unavailable"))</x:f>
        <x:v>2.6712974366197186</x:v>
      </x:c>
      <x:c r="Q116" s="30" t="n">
        <x:f>IF(C116="","",IFERROR(IF(INDEX('Borrowers'!$Z$9:$Z$108,MATCH(C116,'Borrowers'!$C$9:$C$108,0))="Yes",1,IF(INDEX('Borrowers'!$P$9:$P$108,MATCH(C116,'Borrowers'!$C$9:$C$108,0))=0,0,MIN(1,INDEX('Borrowers'!$P$9:$P$108,MATCH(C116,'Borrowers'!$C$9:$C$108,0))*EXP(MIN(20,INDEX('Borrowers'!$V$9:$V$108,MATCH(C116,'Borrowers'!$C$9:$C$108,0))*V116))))),"Unavailable"))</x:f>
        <x:v>0.018730800318711948</x:v>
      </x:c>
      <x:c r="R116" s="30" t="n">
        <x:f>IF(C116="","",IFERROR(MIN(1,INDEX('Borrowers'!$Q$9:$Q$108,MATCH(C116,'Borrowers'!$C$9:$C$108,0))+(1-INDEX('Borrowers'!$Q$9:$Q$108,MATCH(C116,'Borrowers'!$C$9:$C$108,0)))*T116),"Unavailable"))</x:f>
        <x:v>0.36112640000000007</x:v>
      </x:c>
      <x:c r="S116" s="30" t="n">
        <x:f>IF(C116="","",IFERROR(SUMPRODUCT((Sites!$D$9:$D$108=C116)*Sites!$I$9:$I$108*Sites!$J$9:$J$108*Sites!$K$9:$K$108*(1-Sites!$L$9:$L$108)),"Unavailable"))</x:f>
        <x:v>0.17600000000000002</x:v>
      </x:c>
      <x:c r="T116" s="30" t="n">
        <x:f>IF(C116="","",IFERROR(MIN(1,(SUMPRODUCT((Sites!$D$9:$D$108=C116)*Sites!$N$9:$N$108*Sites!$J$9:$J$108*Sites!$K$9:$K$108*(1-Sites!$L$9:$L$108)))*'Scenario Paths'!G27),"Unavailable"))</x:f>
        <x:v>0.0017600000000000003</x:v>
      </x:c>
      <x:c r="U116" s="9" t="str">
        <x:f>IF(C116="","",IF(OR(INDEX('Borrowers'!$AA$9:$AA$108,MATCH(C116,'Borrowers'!$C$9:$C$108,0))&lt;&gt;"Ready",COUNTIF(Sites!$D$9:$D$108,C116)=0,COUNTIFS(Sites!$D$9:$D$108,C116,Sites!$Q$9:$Q$108,"&lt;&gt;Ready")&gt;0,'Scenario Paths'!$F$6&lt;&gt;"Ready"),"Review source inputs","Ready"))</x:f>
        <x:v>Ready</x:v>
      </x:c>
      <x:c r="V116" s="17" t="n">
        <x:f>IF(C116="","",IFERROR(MAX(-1,(G116-O116)/MAX(0.000001,G116)),"Unavailable"))</x:f>
        <x:v>0.02487342930591256</x:v>
      </x:c>
      <x:c r="W116" s="9" t="str">
        <x:f>IF(C116="","",IFERROR(INDEX('Borrowers'!$D$9:$D$108,MATCH(C116,'Borrowers'!$C$9:$C$108,0)),"Unavailable"))</x:f>
        <x:v>Demo Petra Solar</x:v>
      </x:c>
    </x:row>
    <x:row r="117" ht="26" customHeight="1">
      <x:c r="A117" s="1"/>
      <x:c r="B117" s="1"/>
      <x:c r="C117" s="9" t="str">
        <x:f>IF(Borrowers!C17="","",Borrowers!C17)</x:f>
        <x:v>B009</x:v>
      </x:c>
      <x:c r="D117" s="3" t="n">
        <x:v>2</x:v>
      </x:c>
      <x:c r="E117" s="9" t="n">
        <x:f>Settings!$F$18+1</x:f>
        <x:v>2028</x:v>
      </x:c>
      <x:c r="F117" s="9" t="str">
        <x:f>IF(C117="","",INDEX('Borrowers'!$F$9:$F$108,MATCH(C117,'Borrowers'!$C$9:$C$108,0)))</x:f>
        <x:v>Logistics</x:v>
      </x:c>
      <x:c r="G117" s="23" t="n">
        <x:f>IF(C117="","",IFERROR(INDEX('Borrowers'!$J$9:$J$108,MATCH(C117,'Borrowers'!$C$9:$C$108,0))-INDEX('Borrowers'!$K$9:$K$108,MATCH(C117,'Borrowers'!$C$9:$C$108,0)),"Unavailable"))</x:f>
        <x:v>20.8</x:v>
      </x:c>
      <x:c r="H117" s="23" t="n">
        <x:f>IF(C117="","",IFERROR(INDEX('Borrowers'!$I$9:$I$108,MATCH(C117,'Borrowers'!$C$9:$C$108,0))*INDEX('Borrowers'!$U$9:$U$108,MATCH(C117,'Borrowers'!$C$9:$C$108,0))*(IF(F117="Transport",'Scenario Paths'!G156,IF(F117="Technology",'Scenario Paths'!G150,IF(F117="Utilities",'Scenario Paths'!G144,IF(F117="Agriculture",'Scenario Paths'!G138,IF(F117="Manufacturing",'Scenario Paths'!G132,IF(F117="Healthcare",'Scenario Paths'!G126,IF(F117="Hospitality",'Scenario Paths'!G120,IF(F117="Property",'Scenario Paths'!G114,IF(F117="Food",'Scenario Paths'!G108,IF(F117="Logistics",'Scenario Paths'!G102,IF(F117="Solar",'Scenario Paths'!G96,IF(F117="Cement",'Scenario Paths'!G90,0))))))))))))),"Unavailable"))</x:f>
        <x:v>-1.5312</x:v>
      </x:c>
      <x:c r="I117" s="23" t="n">
        <x:f>IF(C117="","",IFERROR(INDEX('Borrowers'!$R$9:$R$108,MATCH(C117,'Borrowers'!$C$9:$C$108,0))*(1-INDEX('Borrowers'!$W$9:$W$108,MATCH(C117,'Borrowers'!$C$9:$C$108,0))*'Scenario Paths'!G39)*'Scenario Paths'!G9/1000000*(1-INDEX('Borrowers'!$T$9:$T$108,MATCH(C117,'Borrowers'!$C$9:$C$108,0))),"Unavailable"))</x:f>
        <x:v>0.11466</x:v>
      </x:c>
      <x:c r="J117" s="23" t="n">
        <x:f>IF(C117="","",IFERROR(INDEX('Borrowers'!$I$9:$I$108,MATCH(C117,'Borrowers'!$C$9:$C$108,0))*INDEX('Borrowers'!$S$9:$S$108,MATCH(C117,'Borrowers'!$C$9:$C$108,0))*'Scenario Paths'!G15*(1-INDEX('Borrowers'!$T$9:$T$108,MATCH(C117,'Borrowers'!$C$9:$C$108,0))),"Unavailable"))</x:f>
        <x:v>0.5278000000000002</x:v>
      </x:c>
      <x:c r="K117" s="23" t="n">
        <x:f>IF(C117="","",IFERROR(INDEX('Borrowers'!$I$9:$I$108,MATCH(C117,'Borrowers'!$C$9:$C$108,0))*INDEX('Borrowers'!$U$9:$U$108,MATCH(C117,'Borrowers'!$C$9:$C$108,0))*'Scenario Paths'!G21*S117,"Unavailable"))</x:f>
        <x:v>0.14862848</x:v>
      </x:c>
      <x:c r="L117" s="23" t="n">
        <x:f>IF(C117="","",IFERROR(SUMPRODUCT((Sites!$D$9:$D$108=C117)*Sites!$H$9:$H$108*Sites!$J$9:$J$108*Sites!$K$9:$K$108*(1-Sites!$L$9:$L$108)*(1-Sites!$M$9:$M$108))*'Scenario Paths'!G27,"Unavailable"))</x:f>
        <x:v>0.11531520000000002</x:v>
      </x:c>
      <x:c r="M117" s="23" t="n">
        <x:f>IF(C117="","",IFERROR(INDEX('Borrowers'!$J$9:$J$108,MATCH(C117,'Borrowers'!$C$9:$C$108,0))+H117-SUM(I117:L117),"Unavailable"))</x:f>
        <x:v>21.56239632</x:v>
      </x:c>
      <x:c r="N117" s="23" t="n">
        <x:f>IF(C117="","",IFERROR(INDEX('Borrowers'!$I$9:$I$108,MATCH(C117,'Borrowers'!$C$9:$C$108,0))*'Scenario Paths'!G33,"Unavailable"))</x:f>
        <x:v>1.16</x:v>
      </x:c>
      <x:c r="O117" s="23" t="n">
        <x:f>IF(C117="","",IFERROR(M117-INDEX('Borrowers'!$K$9:$K$108,MATCH(C117,'Borrowers'!$C$9:$C$108,0))-N117,"Unavailable"))</x:f>
        <x:v>17.202396320000002</x:v>
      </x:c>
      <x:c r="P117" s="127" t="n">
        <x:f>IF(C117="","",IFERROR(O117/INDEX('Borrowers'!$L$9:$L$108,MATCH(C117,'Borrowers'!$C$9:$C$108,0)),"Unavailable"))</x:f>
        <x:v>2.3246481513513513</x:v>
      </x:c>
      <x:c r="Q117" s="30" t="n">
        <x:f>IF(C117="","",IFERROR(IF(INDEX('Borrowers'!$Z$9:$Z$108,MATCH(C117,'Borrowers'!$C$9:$C$108,0))="Yes",1,IF(INDEX('Borrowers'!$P$9:$P$108,MATCH(C117,'Borrowers'!$C$9:$C$108,0))=0,0,MIN(1,INDEX('Borrowers'!$P$9:$P$108,MATCH(C117,'Borrowers'!$C$9:$C$108,0))*EXP(MIN(20,INDEX('Borrowers'!$V$9:$V$108,MATCH(C117,'Borrowers'!$C$9:$C$108,0))*V117))))),"Unavailable"))</x:f>
        <x:v>0.031651722641588186</x:v>
      </x:c>
      <x:c r="R117" s="30" t="n">
        <x:f>IF(C117="","",IFERROR(MIN(1,INDEX('Borrowers'!$Q$9:$Q$108,MATCH(C117,'Borrowers'!$C$9:$C$108,0))+(1-INDEX('Borrowers'!$Q$9:$Q$108,MATCH(C117,'Borrowers'!$C$9:$C$108,0)))*T117),"Unavailable"))</x:f>
        <x:v>0.4017472</x:v>
      </x:c>
      <x:c r="S117" s="30" t="n">
        <x:f>IF(C117="","",IFERROR(SUMPRODUCT((Sites!$D$9:$D$108=C117)*Sites!$I$9:$I$108*Sites!$J$9:$J$108*Sites!$K$9:$K$108*(1-Sites!$L$9:$L$108)),"Unavailable"))</x:f>
        <x:v>0.2912</x:v>
      </x:c>
      <x:c r="T117" s="30" t="n">
        <x:f>IF(C117="","",IFERROR(MIN(1,(SUMPRODUCT((Sites!$D$9:$D$108=C117)*Sites!$N$9:$N$108*Sites!$J$9:$J$108*Sites!$K$9:$K$108*(1-Sites!$L$9:$L$108)))*'Scenario Paths'!G27),"Unavailable"))</x:f>
        <x:v>0.002912</x:v>
      </x:c>
      <x:c r="U117" s="9" t="str">
        <x:f>IF(C117="","",IF(OR(INDEX('Borrowers'!$AA$9:$AA$108,MATCH(C117,'Borrowers'!$C$9:$C$108,0))&lt;&gt;"Ready",COUNTIF(Sites!$D$9:$D$108,C117)=0,COUNTIFS(Sites!$D$9:$D$108,C117,Sites!$Q$9:$Q$108,"&lt;&gt;Ready")&gt;0,'Scenario Paths'!$F$6&lt;&gt;"Ready"),"Review source inputs","Ready"))</x:f>
        <x:v>Ready</x:v>
      </x:c>
      <x:c r="V117" s="17" t="n">
        <x:f>IF(C117="","",IFERROR(MAX(-1,(G117-O117)/MAX(0.000001,G117)),"Unavailable"))</x:f>
        <x:v>0.17296171538461533</x:v>
      </x:c>
      <x:c r="W117" s="9" t="str">
        <x:f>IF(C117="","",IFERROR(INDEX('Borrowers'!$D$9:$D$108,MATCH(C117,'Borrowers'!$C$9:$C$108,0)),"Unavailable"))</x:f>
        <x:v>Demo Levant Freight</x:v>
      </x:c>
    </x:row>
    <x:row r="118" ht="26" customHeight="1">
      <x:c r="A118" s="1"/>
      <x:c r="B118" s="1"/>
      <x:c r="C118" s="9" t="str">
        <x:f>IF(Borrowers!C18="","",Borrowers!C18)</x:f>
        <x:v>B010</x:v>
      </x:c>
      <x:c r="D118" s="3" t="n">
        <x:v>2</x:v>
      </x:c>
      <x:c r="E118" s="9" t="n">
        <x:f>Settings!$F$18+1</x:f>
        <x:v>2028</x:v>
      </x:c>
      <x:c r="F118" s="9" t="str">
        <x:f>IF(C118="","",INDEX('Borrowers'!$F$9:$F$108,MATCH(C118,'Borrowers'!$C$9:$C$108,0)))</x:f>
        <x:v>Food</x:v>
      </x:c>
      <x:c r="G118" s="23" t="n">
        <x:f>IF(C118="","",IFERROR(INDEX('Borrowers'!$J$9:$J$108,MATCH(C118,'Borrowers'!$C$9:$C$108,0))-INDEX('Borrowers'!$K$9:$K$108,MATCH(C118,'Borrowers'!$C$9:$C$108,0)),"Unavailable"))</x:f>
        <x:v>22.15</x:v>
      </x:c>
      <x:c r="H118" s="23" t="n">
        <x:f>IF(C118="","",IFERROR(INDEX('Borrowers'!$I$9:$I$108,MATCH(C118,'Borrowers'!$C$9:$C$108,0))*INDEX('Borrowers'!$U$9:$U$108,MATCH(C118,'Borrowers'!$C$9:$C$108,0))*(IF(F118="Transport",'Scenario Paths'!G156,IF(F118="Technology",'Scenario Paths'!G150,IF(F118="Utilities",'Scenario Paths'!G144,IF(F118="Agriculture",'Scenario Paths'!G138,IF(F118="Manufacturing",'Scenario Paths'!G132,IF(F118="Healthcare",'Scenario Paths'!G126,IF(F118="Hospitality",'Scenario Paths'!G120,IF(F118="Property",'Scenario Paths'!G114,IF(F118="Food",'Scenario Paths'!G108,IF(F118="Logistics",'Scenario Paths'!G102,IF(F118="Solar",'Scenario Paths'!G96,IF(F118="Cement",'Scenario Paths'!G90,0))))))))))))),"Unavailable"))</x:f>
        <x:v>-1.1807999999999998</x:v>
      </x:c>
      <x:c r="I118" s="23" t="n">
        <x:f>IF(C118="","",IFERROR(INDEX('Borrowers'!$R$9:$R$108,MATCH(C118,'Borrowers'!$C$9:$C$108,0))*(1-INDEX('Borrowers'!$W$9:$W$108,MATCH(C118,'Borrowers'!$C$9:$C$108,0))*'Scenario Paths'!G39)*'Scenario Paths'!G9/1000000*(1-INDEX('Borrowers'!$T$9:$T$108,MATCH(C118,'Borrowers'!$C$9:$C$108,0))),"Unavailable"))</x:f>
        <x:v>0.10241000000000001</x:v>
      </x:c>
      <x:c r="J118" s="23" t="n">
        <x:f>IF(C118="","",IFERROR(INDEX('Borrowers'!$I$9:$I$108,MATCH(C118,'Borrowers'!$C$9:$C$108,0))*INDEX('Borrowers'!$S$9:$S$108,MATCH(C118,'Borrowers'!$C$9:$C$108,0))*'Scenario Paths'!G15*(1-INDEX('Borrowers'!$T$9:$T$108,MATCH(C118,'Borrowers'!$C$9:$C$108,0))),"Unavailable"))</x:f>
        <x:v>0.6088500000000001</x:v>
      </x:c>
      <x:c r="K118" s="23" t="n">
        <x:f>IF(C118="","",IFERROR(INDEX('Borrowers'!$I$9:$I$108,MATCH(C118,'Borrowers'!$C$9:$C$108,0))*INDEX('Borrowers'!$U$9:$U$108,MATCH(C118,'Borrowers'!$C$9:$C$108,0))*'Scenario Paths'!G21*S118,"Unavailable"))</x:f>
        <x:v>0.07494144</x:v>
      </x:c>
      <x:c r="L118" s="23" t="n">
        <x:f>IF(C118="","",IFERROR(SUMPRODUCT((Sites!$D$9:$D$108=C118)*Sites!$H$9:$H$108*Sites!$J$9:$J$108*Sites!$K$9:$K$108*(1-Sites!$L$9:$L$108)*(1-Sites!$M$9:$M$108))*'Scenario Paths'!G27,"Unavailable"))</x:f>
        <x:v>0.0795872</x:v>
      </x:c>
      <x:c r="M118" s="23" t="n">
        <x:f>IF(C118="","",IFERROR(INDEX('Borrowers'!$J$9:$J$108,MATCH(C118,'Borrowers'!$C$9:$C$108,0))+H118-SUM(I118:L118),"Unavailable"))</x:f>
        <x:v>23.453411359999997</x:v>
      </x:c>
      <x:c r="N118" s="23" t="n">
        <x:f>IF(C118="","",IFERROR(INDEX('Borrowers'!$I$9:$I$108,MATCH(C118,'Borrowers'!$C$9:$C$108,0))*'Scenario Paths'!G33,"Unavailable"))</x:f>
        <x:v>1.23</x:v>
      </x:c>
      <x:c r="O118" s="23" t="n">
        <x:f>IF(C118="","",IFERROR(M118-INDEX('Borrowers'!$K$9:$K$108,MATCH(C118,'Borrowers'!$C$9:$C$108,0))-N118,"Unavailable"))</x:f>
        <x:v>18.873411359999995</x:v>
      </x:c>
      <x:c r="P118" s="127" t="n">
        <x:f>IF(C118="","",IFERROR(O118/INDEX('Borrowers'!$L$9:$L$108,MATCH(C118,'Borrowers'!$C$9:$C$108,0)),"Unavailable"))</x:f>
        <x:v>2.451092384415584</x:v>
      </x:c>
      <x:c r="Q118" s="30" t="n">
        <x:f>IF(C118="","",IFERROR(IF(INDEX('Borrowers'!$Z$9:$Z$108,MATCH(C118,'Borrowers'!$C$9:$C$108,0))="Yes",1,IF(INDEX('Borrowers'!$P$9:$P$108,MATCH(C118,'Borrowers'!$C$9:$C$108,0))=0,0,MIN(1,INDEX('Borrowers'!$P$9:$P$108,MATCH(C118,'Borrowers'!$C$9:$C$108,0))*EXP(MIN(20,INDEX('Borrowers'!$V$9:$V$108,MATCH(C118,'Borrowers'!$C$9:$C$108,0))*V118))))),"Unavailable"))</x:f>
        <x:v>0.038011205029351916</x:v>
      </x:c>
      <x:c r="R118" s="30" t="n">
        <x:f>IF(C118="","",IFERROR(MIN(1,INDEX('Borrowers'!$Q$9:$Q$108,MATCH(C118,'Borrowers'!$C$9:$C$108,0))+(1-INDEX('Borrowers'!$Q$9:$Q$108,MATCH(C118,'Borrowers'!$C$9:$C$108,0)))*T118),"Unavailable"))</x:f>
        <x:v>0.44106624000000005</x:v>
      </x:c>
      <x:c r="S118" s="30" t="n">
        <x:f>IF(C118="","",IFERROR(SUMPRODUCT((Sites!$D$9:$D$108=C118)*Sites!$I$9:$I$108*Sites!$J$9:$J$108*Sites!$K$9:$K$108*(1-Sites!$L$9:$L$108)),"Unavailable"))</x:f>
        <x:v>0.19039999999999999</x:v>
      </x:c>
      <x:c r="T118" s="30" t="n">
        <x:f>IF(C118="","",IFERROR(MIN(1,(SUMPRODUCT((Sites!$D$9:$D$108=C118)*Sites!$N$9:$N$108*Sites!$J$9:$J$108*Sites!$K$9:$K$108*(1-Sites!$L$9:$L$108)))*'Scenario Paths'!G27),"Unavailable"))</x:f>
        <x:v>0.0019039999999999999</x:v>
      </x:c>
      <x:c r="U118" s="9" t="str">
        <x:f>IF(C118="","",IF(OR(INDEX('Borrowers'!$AA$9:$AA$108,MATCH(C118,'Borrowers'!$C$9:$C$108,0))&lt;&gt;"Ready",COUNTIF(Sites!$D$9:$D$108,C118)=0,COUNTIFS(Sites!$D$9:$D$108,C118,Sites!$Q$9:$Q$108,"&lt;&gt;Ready")&gt;0,'Scenario Paths'!$F$6&lt;&gt;"Ready"),"Review source inputs","Ready"))</x:f>
        <x:v>Ready</x:v>
      </x:c>
      <x:c r="V118" s="17" t="n">
        <x:f>IF(C118="","",IFERROR(MAX(-1,(G118-O118)/MAX(0.000001,G118)),"Unavailable"))</x:f>
        <x:v>0.14792725237020332</x:v>
      </x:c>
      <x:c r="W118" s="9" t="str">
        <x:f>IF(C118="","",IFERROR(INDEX('Borrowers'!$D$9:$D$108,MATCH(C118,'Borrowers'!$C$9:$C$108,0)),"Unavailable"))</x:f>
        <x:v>Demo Jordan Foods</x:v>
      </x:c>
    </x:row>
    <x:row r="119" ht="26" customHeight="1">
      <x:c r="A119" s="1"/>
      <x:c r="B119" s="1"/>
      <x:c r="C119" s="9" t="str">
        <x:f>IF(Borrowers!C19="","",Borrowers!C19)</x:f>
        <x:v>B011</x:v>
      </x:c>
      <x:c r="D119" s="3" t="n">
        <x:v>2</x:v>
      </x:c>
      <x:c r="E119" s="9" t="n">
        <x:f>Settings!$F$18+1</x:f>
        <x:v>2028</x:v>
      </x:c>
      <x:c r="F119" s="9" t="str">
        <x:f>IF(C119="","",INDEX('Borrowers'!$F$9:$F$108,MATCH(C119,'Borrowers'!$C$9:$C$108,0)))</x:f>
        <x:v>Property</x:v>
      </x:c>
      <x:c r="G119" s="23" t="n">
        <x:f>IF(C119="","",IFERROR(INDEX('Borrowers'!$J$9:$J$108,MATCH(C119,'Borrowers'!$C$9:$C$108,0))-INDEX('Borrowers'!$K$9:$K$108,MATCH(C119,'Borrowers'!$C$9:$C$108,0)),"Unavailable"))</x:f>
        <x:v>23.5</x:v>
      </x:c>
      <x:c r="H119" s="23" t="n">
        <x:f>IF(C119="","",IFERROR(INDEX('Borrowers'!$I$9:$I$108,MATCH(C119,'Borrowers'!$C$9:$C$108,0))*INDEX('Borrowers'!$U$9:$U$108,MATCH(C119,'Borrowers'!$C$9:$C$108,0))*(IF(F119="Transport",'Scenario Paths'!G156,IF(F119="Technology",'Scenario Paths'!G150,IF(F119="Utilities",'Scenario Paths'!G144,IF(F119="Agriculture",'Scenario Paths'!G138,IF(F119="Manufacturing",'Scenario Paths'!G132,IF(F119="Healthcare",'Scenario Paths'!G126,IF(F119="Hospitality",'Scenario Paths'!G120,IF(F119="Property",'Scenario Paths'!G114,IF(F119="Food",'Scenario Paths'!G108,IF(F119="Logistics",'Scenario Paths'!G102,IF(F119="Solar",'Scenario Paths'!G96,IF(F119="Cement",'Scenario Paths'!G90,0))))))))))))),"Unavailable"))</x:f>
        <x:v>-1.482</x:v>
      </x:c>
      <x:c r="I119" s="23" t="n">
        <x:f>IF(C119="","",IFERROR(INDEX('Borrowers'!$R$9:$R$108,MATCH(C119,'Borrowers'!$C$9:$C$108,0))*(1-INDEX('Borrowers'!$W$9:$W$108,MATCH(C119,'Borrowers'!$C$9:$C$108,0))*'Scenario Paths'!G39)*'Scenario Paths'!G9/1000000*(1-INDEX('Borrowers'!$T$9:$T$108,MATCH(C119,'Borrowers'!$C$9:$C$108,0))),"Unavailable"))</x:f>
        <x:v>0.0882</x:v>
      </x:c>
      <x:c r="J119" s="23" t="n">
        <x:f>IF(C119="","",IFERROR(INDEX('Borrowers'!$I$9:$I$108,MATCH(C119,'Borrowers'!$C$9:$C$108,0))*INDEX('Borrowers'!$S$9:$S$108,MATCH(C119,'Borrowers'!$C$9:$C$108,0))*'Scenario Paths'!G15*(1-INDEX('Borrowers'!$T$9:$T$108,MATCH(C119,'Borrowers'!$C$9:$C$108,0))),"Unavailable"))</x:f>
        <x:v>0.6435000000000001</x:v>
      </x:c>
      <x:c r="K119" s="23" t="n">
        <x:f>IF(C119="","",IFERROR(INDEX('Borrowers'!$I$9:$I$108,MATCH(C119,'Borrowers'!$C$9:$C$108,0))*INDEX('Borrowers'!$U$9:$U$108,MATCH(C119,'Borrowers'!$C$9:$C$108,0))*'Scenario Paths'!G21*S119,"Unavailable"))</x:f>
        <x:v>0.039520000000000007</x:v>
      </x:c>
      <x:c r="L119" s="23" t="n">
        <x:f>IF(C119="","",IFERROR(SUMPRODUCT((Sites!$D$9:$D$108=C119)*Sites!$H$9:$H$108*Sites!$J$9:$J$108*Sites!$K$9:$K$108*(1-Sites!$L$9:$L$108)*(1-Sites!$M$9:$M$108))*'Scenario Paths'!G27,"Unavailable"))</x:f>
        <x:v>0.0352</x:v>
      </x:c>
      <x:c r="M119" s="23" t="n">
        <x:f>IF(C119="","",IFERROR(INDEX('Borrowers'!$J$9:$J$108,MATCH(C119,'Borrowers'!$C$9:$C$108,0))+H119-SUM(I119:L119),"Unavailable"))</x:f>
        <x:v>24.71158</x:v>
      </x:c>
      <x:c r="N119" s="23" t="n">
        <x:f>IF(C119="","",IFERROR(INDEX('Borrowers'!$I$9:$I$108,MATCH(C119,'Borrowers'!$C$9:$C$108,0))*'Scenario Paths'!G33,"Unavailable"))</x:f>
        <x:v>1.3</x:v>
      </x:c>
      <x:c r="O119" s="23" t="n">
        <x:f>IF(C119="","",IFERROR(M119-INDEX('Borrowers'!$K$9:$K$108,MATCH(C119,'Borrowers'!$C$9:$C$108,0))-N119,"Unavailable"))</x:f>
        <x:v>19.91158</x:v>
      </x:c>
      <x:c r="P119" s="127" t="n">
        <x:f>IF(C119="","",IFERROR(O119/INDEX('Borrowers'!$L$9:$L$108,MATCH(C119,'Borrowers'!$C$9:$C$108,0)),"Unavailable"))</x:f>
        <x:v>2.4889475</x:v>
      </x:c>
      <x:c r="Q119" s="30" t="n">
        <x:f>IF(C119="","",IFERROR(IF(INDEX('Borrowers'!$Z$9:$Z$108,MATCH(C119,'Borrowers'!$C$9:$C$108,0))="Yes",1,IF(INDEX('Borrowers'!$P$9:$P$108,MATCH(C119,'Borrowers'!$C$9:$C$108,0))=0,0,MIN(1,INDEX('Borrowers'!$P$9:$P$108,MATCH(C119,'Borrowers'!$C$9:$C$108,0))*EXP(MIN(20,INDEX('Borrowers'!$V$9:$V$108,MATCH(C119,'Borrowers'!$C$9:$C$108,0))*V119))))),"Unavailable"))</x:f>
        <x:v>0.045963007855132174</x:v>
      </x:c>
      <x:c r="R119" s="30" t="n">
        <x:f>IF(C119="","",IFERROR(MIN(1,INDEX('Borrowers'!$Q$9:$Q$108,MATCH(C119,'Borrowers'!$C$9:$C$108,0))+(1-INDEX('Borrowers'!$Q$9:$Q$108,MATCH(C119,'Borrowers'!$C$9:$C$108,0)))*T119),"Unavailable"))</x:f>
        <x:v>0.28057600000000005</x:v>
      </x:c>
      <x:c r="S119" s="30" t="n">
        <x:f>IF(C119="","",IFERROR(SUMPRODUCT((Sites!$D$9:$D$108=C119)*Sites!$I$9:$I$108*Sites!$J$9:$J$108*Sites!$K$9:$K$108*(1-Sites!$L$9:$L$108)),"Unavailable"))</x:f>
        <x:v>0.08000000000000002</x:v>
      </x:c>
      <x:c r="T119" s="30" t="n">
        <x:f>IF(C119="","",IFERROR(MIN(1,(SUMPRODUCT((Sites!$D$9:$D$108=C119)*Sites!$N$9:$N$108*Sites!$J$9:$J$108*Sites!$K$9:$K$108*(1-Sites!$L$9:$L$108)))*'Scenario Paths'!G27),"Unavailable"))</x:f>
        <x:v>0.0008000000000000001</x:v>
      </x:c>
      <x:c r="U119" s="9" t="str">
        <x:f>IF(C119="","",IF(OR(INDEX('Borrowers'!$AA$9:$AA$108,MATCH(C119,'Borrowers'!$C$9:$C$108,0))&lt;&gt;"Ready",COUNTIF(Sites!$D$9:$D$108,C119)=0,COUNTIFS(Sites!$D$9:$D$108,C119,Sites!$Q$9:$Q$108,"&lt;&gt;Ready")&gt;0,'Scenario Paths'!$F$6&lt;&gt;"Ready"),"Review source inputs","Ready"))</x:f>
        <x:v>Ready</x:v>
      </x:c>
      <x:c r="V119" s="17" t="n">
        <x:f>IF(C119="","",IFERROR(MAX(-1,(G119-O119)/MAX(0.000001,G119)),"Unavailable"))</x:f>
        <x:v>0.15269872340425528</x:v>
      </x:c>
      <x:c r="W119" s="9" t="str">
        <x:f>IF(C119="","",IFERROR(INDEX('Borrowers'!$D$9:$D$108,MATCH(C119,'Borrowers'!$C$9:$C$108,0)),"Unavailable"))</x:f>
        <x:v>Demo Aqaba Properties</x:v>
      </x:c>
    </x:row>
    <x:row r="120" ht="26" customHeight="1">
      <x:c r="A120" s="1"/>
      <x:c r="B120" s="1"/>
      <x:c r="C120" s="9" t="str">
        <x:f>IF(Borrowers!C20="","",Borrowers!C20)</x:f>
        <x:v>B012</x:v>
      </x:c>
      <x:c r="D120" s="3" t="n">
        <x:v>2</x:v>
      </x:c>
      <x:c r="E120" s="9" t="n">
        <x:f>Settings!$F$18+1</x:f>
        <x:v>2028</x:v>
      </x:c>
      <x:c r="F120" s="9" t="str">
        <x:f>IF(C120="","",INDEX('Borrowers'!$F$9:$F$108,MATCH(C120,'Borrowers'!$C$9:$C$108,0)))</x:f>
        <x:v>Healthcare</x:v>
      </x:c>
      <x:c r="G120" s="23" t="n">
        <x:f>IF(C120="","",IFERROR(INDEX('Borrowers'!$J$9:$J$108,MATCH(C120,'Borrowers'!$C$9:$C$108,0))-INDEX('Borrowers'!$K$9:$K$108,MATCH(C120,'Borrowers'!$C$9:$C$108,0)),"Unavailable"))</x:f>
        <x:v>24.85</x:v>
      </x:c>
      <x:c r="H120" s="23" t="n">
        <x:f>IF(C120="","",IFERROR(INDEX('Borrowers'!$I$9:$I$108,MATCH(C120,'Borrowers'!$C$9:$C$108,0))*INDEX('Borrowers'!$U$9:$U$108,MATCH(C120,'Borrowers'!$C$9:$C$108,0))*(IF(F120="Transport",'Scenario Paths'!G156,IF(F120="Technology",'Scenario Paths'!G150,IF(F120="Utilities",'Scenario Paths'!G144,IF(F120="Agriculture",'Scenario Paths'!G138,IF(F120="Manufacturing",'Scenario Paths'!G132,IF(F120="Healthcare",'Scenario Paths'!G126,IF(F120="Hospitality",'Scenario Paths'!G120,IF(F120="Property",'Scenario Paths'!G114,IF(F120="Food",'Scenario Paths'!G108,IF(F120="Logistics",'Scenario Paths'!G102,IF(F120="Solar",'Scenario Paths'!G96,IF(F120="Cement",'Scenario Paths'!G90,0))))))))))))),"Unavailable"))</x:f>
        <x:v>-1.8084</x:v>
      </x:c>
      <x:c r="I120" s="23" t="n">
        <x:f>IF(C120="","",IFERROR(INDEX('Borrowers'!$R$9:$R$108,MATCH(C120,'Borrowers'!$C$9:$C$108,0))*(1-INDEX('Borrowers'!$W$9:$W$108,MATCH(C120,'Borrowers'!$C$9:$C$108,0))*'Scenario Paths'!G39)*'Scenario Paths'!G9/1000000*(1-INDEX('Borrowers'!$T$9:$T$108,MATCH(C120,'Borrowers'!$C$9:$C$108,0))),"Unavailable"))</x:f>
        <x:v>0.07203</x:v>
      </x:c>
      <x:c r="J120" s="23" t="n">
        <x:f>IF(C120="","",IFERROR(INDEX('Borrowers'!$I$9:$I$108,MATCH(C120,'Borrowers'!$C$9:$C$108,0))*INDEX('Borrowers'!$S$9:$S$108,MATCH(C120,'Borrowers'!$C$9:$C$108,0))*'Scenario Paths'!G15*(1-INDEX('Borrowers'!$T$9:$T$108,MATCH(C120,'Borrowers'!$C$9:$C$108,0))),"Unavailable"))</x:f>
        <x:v>0.6233500000000001</x:v>
      </x:c>
      <x:c r="K120" s="23" t="n">
        <x:f>IF(C120="","",IFERROR(INDEX('Borrowers'!$I$9:$I$108,MATCH(C120,'Borrowers'!$C$9:$C$108,0))*INDEX('Borrowers'!$U$9:$U$108,MATCH(C120,'Borrowers'!$C$9:$C$108,0))*'Scenario Paths'!G21*S120,"Unavailable"))</x:f>
        <x:v>0.10030591999999999</x:v>
      </x:c>
      <x:c r="L120" s="23" t="n">
        <x:f>IF(C120="","",IFERROR(SUMPRODUCT((Sites!$D$9:$D$108=C120)*Sites!$H$9:$H$108*Sites!$J$9:$J$108*Sites!$K$9:$K$108*(1-Sites!$L$9:$L$108)*(1-Sites!$M$9:$M$108))*'Scenario Paths'!G27,"Unavailable"))</x:f>
        <x:v>0.07687680000000001</x:v>
      </x:c>
      <x:c r="M120" s="23" t="n">
        <x:f>IF(C120="","",IFERROR(INDEX('Borrowers'!$J$9:$J$108,MATCH(C120,'Borrowers'!$C$9:$C$108,0))+H120-SUM(I120:L120),"Unavailable"))</x:f>
        <x:v>25.81903728</x:v>
      </x:c>
      <x:c r="N120" s="23" t="n">
        <x:f>IF(C120="","",IFERROR(INDEX('Borrowers'!$I$9:$I$108,MATCH(C120,'Borrowers'!$C$9:$C$108,0))*'Scenario Paths'!G33,"Unavailable"))</x:f>
        <x:v>1.37</x:v>
      </x:c>
      <x:c r="O120" s="23" t="n">
        <x:f>IF(C120="","",IFERROR(M120-INDEX('Borrowers'!$K$9:$K$108,MATCH(C120,'Borrowers'!$C$9:$C$108,0))-N120,"Unavailable"))</x:f>
        <x:v>20.79903728</x:v>
      </x:c>
      <x:c r="P120" s="127" t="n">
        <x:f>IF(C120="","",IFERROR(O120/INDEX('Borrowers'!$L$9:$L$108,MATCH(C120,'Borrowers'!$C$9:$C$108,0)),"Unavailable"))</x:f>
        <x:v>2.5059081060240964</x:v>
      </x:c>
      <x:c r="Q120" s="30" t="n">
        <x:f>IF(C120="","",IFERROR(IF(INDEX('Borrowers'!$Z$9:$Z$108,MATCH(C120,'Borrowers'!$C$9:$C$108,0))="Yes",1,IF(INDEX('Borrowers'!$P$9:$P$108,MATCH(C120,'Borrowers'!$C$9:$C$108,0))=0,0,MIN(1,INDEX('Borrowers'!$P$9:$P$108,MATCH(C120,'Borrowers'!$C$9:$C$108,0))*EXP(MIN(20,INDEX('Borrowers'!$V$9:$V$108,MATCH(C120,'Borrowers'!$C$9:$C$108,0))*V120))))),"Unavailable"))</x:f>
        <x:v>0.05451610659192599</x:v>
      </x:c>
      <x:c r="R120" s="30" t="n">
        <x:f>IF(C120="","",IFERROR(MIN(1,INDEX('Borrowers'!$Q$9:$Q$108,MATCH(C120,'Borrowers'!$C$9:$C$108,0))+(1-INDEX('Borrowers'!$Q$9:$Q$108,MATCH(C120,'Borrowers'!$C$9:$C$108,0)))*T120),"Unavailable"))</x:f>
        <x:v>0.32113152</x:v>
      </x:c>
      <x:c r="S120" s="30" t="n">
        <x:f>IF(C120="","",IFERROR(SUMPRODUCT((Sites!$D$9:$D$108=C120)*Sites!$I$9:$I$108*Sites!$J$9:$J$108*Sites!$K$9:$K$108*(1-Sites!$L$9:$L$108)),"Unavailable"))</x:f>
        <x:v>0.1664</x:v>
      </x:c>
      <x:c r="T120" s="30" t="n">
        <x:f>IF(C120="","",IFERROR(MIN(1,(SUMPRODUCT((Sites!$D$9:$D$108=C120)*Sites!$N$9:$N$108*Sites!$J$9:$J$108*Sites!$K$9:$K$108*(1-Sites!$L$9:$L$108)))*'Scenario Paths'!G27),"Unavailable"))</x:f>
        <x:v>0.001664</x:v>
      </x:c>
      <x:c r="U120" s="9" t="str">
        <x:f>IF(C120="","",IF(OR(INDEX('Borrowers'!$AA$9:$AA$108,MATCH(C120,'Borrowers'!$C$9:$C$108,0))&lt;&gt;"Ready",COUNTIF(Sites!$D$9:$D$108,C120)=0,COUNTIFS(Sites!$D$9:$D$108,C120,Sites!$Q$9:$Q$108,"&lt;&gt;Ready")&gt;0,'Scenario Paths'!$F$6&lt;&gt;"Ready"),"Review source inputs","Ready"))</x:f>
        <x:v>Ready</x:v>
      </x:c>
      <x:c r="V120" s="17" t="n">
        <x:f>IF(C120="","",IFERROR(MAX(-1,(G120-O120)/MAX(0.000001,G120)),"Unavailable"))</x:f>
        <x:v>0.16301660845070426</x:v>
      </x:c>
      <x:c r="W120" s="9" t="str">
        <x:f>IF(C120="","",IFERROR(INDEX('Borrowers'!$D$9:$D$108,MATCH(C120,'Borrowers'!$C$9:$C$108,0)),"Unavailable"))</x:f>
        <x:v>Demo Amman Healthcare</x:v>
      </x:c>
    </x:row>
    <x:row r="121" ht="26" customHeight="1">
      <x:c r="A121" s="1"/>
      <x:c r="B121" s="1"/>
      <x:c r="C121" s="9" t="str">
        <x:f>IF(Borrowers!C21="","",Borrowers!C21)</x:f>
        <x:v>B013</x:v>
      </x:c>
      <x:c r="D121" s="3" t="n">
        <x:v>2</x:v>
      </x:c>
      <x:c r="E121" s="9" t="n">
        <x:f>Settings!$F$18+1</x:f>
        <x:v>2028</x:v>
      </x:c>
      <x:c r="F121" s="9" t="str">
        <x:f>IF(C121="","",INDEX('Borrowers'!$F$9:$F$108,MATCH(C121,'Borrowers'!$C$9:$C$108,0)))</x:f>
        <x:v>Cement</x:v>
      </x:c>
      <x:c r="G121" s="23" t="n">
        <x:f>IF(C121="","",IFERROR(INDEX('Borrowers'!$J$9:$J$108,MATCH(C121,'Borrowers'!$C$9:$C$108,0))-INDEX('Borrowers'!$K$9:$K$108,MATCH(C121,'Borrowers'!$C$9:$C$108,0)),"Unavailable"))</x:f>
        <x:v>26.2</x:v>
      </x:c>
      <x:c r="H121" s="23" t="n">
        <x:f>IF(C121="","",IFERROR(INDEX('Borrowers'!$I$9:$I$108,MATCH(C121,'Borrowers'!$C$9:$C$108,0))*INDEX('Borrowers'!$U$9:$U$108,MATCH(C121,'Borrowers'!$C$9:$C$108,0))*(IF(F121="Transport",'Scenario Paths'!G156,IF(F121="Technology",'Scenario Paths'!G150,IF(F121="Utilities",'Scenario Paths'!G144,IF(F121="Agriculture",'Scenario Paths'!G138,IF(F121="Manufacturing",'Scenario Paths'!G132,IF(F121="Healthcare",'Scenario Paths'!G126,IF(F121="Hospitality",'Scenario Paths'!G120,IF(F121="Property",'Scenario Paths'!G114,IF(F121="Food",'Scenario Paths'!G108,IF(F121="Logistics",'Scenario Paths'!G102,IF(F121="Solar",'Scenario Paths'!G96,IF(F121="Cement",'Scenario Paths'!G90,0))))))))))))),"Unavailable"))</x:f>
        <x:v>-1.3823999999999999</x:v>
      </x:c>
      <x:c r="I121" s="23" t="n">
        <x:f>IF(C121="","",IFERROR(INDEX('Borrowers'!$R$9:$R$108,MATCH(C121,'Borrowers'!$C$9:$C$108,0))*(1-INDEX('Borrowers'!$W$9:$W$108,MATCH(C121,'Borrowers'!$C$9:$C$108,0))*'Scenario Paths'!G39)*'Scenario Paths'!G9/1000000*(1-INDEX('Borrowers'!$T$9:$T$108,MATCH(C121,'Borrowers'!$C$9:$C$108,0))),"Unavailable"))</x:f>
        <x:v>2.1021</x:v>
      </x:c>
      <x:c r="J121" s="23" t="n">
        <x:f>IF(C121="","",IFERROR(INDEX('Borrowers'!$I$9:$I$108,MATCH(C121,'Borrowers'!$C$9:$C$108,0))*INDEX('Borrowers'!$S$9:$S$108,MATCH(C121,'Borrowers'!$C$9:$C$108,0))*'Scenario Paths'!G15*(1-INDEX('Borrowers'!$T$9:$T$108,MATCH(C121,'Borrowers'!$C$9:$C$108,0))),"Unavailable"))</x:f>
        <x:v>2.1528000000000005</x:v>
      </x:c>
      <x:c r="K121" s="23" t="n">
        <x:f>IF(C121="","",IFERROR(INDEX('Borrowers'!$I$9:$I$108,MATCH(C121,'Borrowers'!$C$9:$C$108,0))*INDEX('Borrowers'!$U$9:$U$108,MATCH(C121,'Borrowers'!$C$9:$C$108,0))*'Scenario Paths'!G21*S121,"Unavailable"))</x:f>
        <x:v>0.05677056</x:v>
      </x:c>
      <x:c r="L121" s="23" t="n">
        <x:f>IF(C121="","",IFERROR(SUMPRODUCT((Sites!$D$9:$D$108=C121)*Sites!$H$9:$H$108*Sites!$J$9:$J$108*Sites!$K$9:$K$108*(1-Sites!$L$9:$L$108)*(1-Sites!$M$9:$M$108))*'Scenario Paths'!G27,"Unavailable"))</x:f>
        <x:v>0.0596288</x:v>
      </x:c>
      <x:c r="M121" s="23" t="n">
        <x:f>IF(C121="","",IFERROR(INDEX('Borrowers'!$J$9:$J$108,MATCH(C121,'Borrowers'!$C$9:$C$108,0))+H121-SUM(I121:L121),"Unavailable"))</x:f>
        <x:v>24.246300639999998</x:v>
      </x:c>
      <x:c r="N121" s="23" t="n">
        <x:f>IF(C121="","",IFERROR(INDEX('Borrowers'!$I$9:$I$108,MATCH(C121,'Borrowers'!$C$9:$C$108,0))*'Scenario Paths'!G33,"Unavailable"))</x:f>
        <x:v>1.44</x:v>
      </x:c>
      <x:c r="O121" s="23" t="n">
        <x:f>IF(C121="","",IFERROR(M121-INDEX('Borrowers'!$K$9:$K$108,MATCH(C121,'Borrowers'!$C$9:$C$108,0))-N121,"Unavailable"))</x:f>
        <x:v>19.006300639999996</x:v>
      </x:c>
      <x:c r="P121" s="127" t="n">
        <x:f>IF(C121="","",IFERROR(O121/INDEX('Borrowers'!$L$9:$L$108,MATCH(C121,'Borrowers'!$C$9:$C$108,0)),"Unavailable"))</x:f>
        <x:v>2.2100349581395347</x:v>
      </x:c>
      <x:c r="Q121" s="30" t="n">
        <x:f>IF(C121="","",IFERROR(IF(INDEX('Borrowers'!$Z$9:$Z$108,MATCH(C121,'Borrowers'!$C$9:$C$108,0))="Yes",1,IF(INDEX('Borrowers'!$P$9:$P$108,MATCH(C121,'Borrowers'!$C$9:$C$108,0))=0,0,MIN(1,INDEX('Borrowers'!$P$9:$P$108,MATCH(C121,'Borrowers'!$C$9:$C$108,0))*EXP(MIN(20,INDEX('Borrowers'!$V$9:$V$108,MATCH(C121,'Borrowers'!$C$9:$C$108,0))*V121))))),"Unavailable"))</x:f>
        <x:v>0.01861963249173496</x:v>
      </x:c>
      <x:c r="R121" s="30" t="n">
        <x:f>IF(C121="","",IFERROR(MIN(1,INDEX('Borrowers'!$Q$9:$Q$108,MATCH(C121,'Borrowers'!$C$9:$C$108,0))+(1-INDEX('Borrowers'!$Q$9:$Q$108,MATCH(C121,'Borrowers'!$C$9:$C$108,0)))*T121),"Unavailable"))</x:f>
        <x:v>0.36078848</x:v>
      </x:c>
      <x:c r="S121" s="30" t="n">
        <x:f>IF(C121="","",IFERROR(SUMPRODUCT((Sites!$D$9:$D$108=C121)*Sites!$I$9:$I$108*Sites!$J$9:$J$108*Sites!$K$9:$K$108*(1-Sites!$L$9:$L$108)),"Unavailable"))</x:f>
        <x:v>0.1232</x:v>
      </x:c>
      <x:c r="T121" s="30" t="n">
        <x:f>IF(C121="","",IFERROR(MIN(1,(SUMPRODUCT((Sites!$D$9:$D$108=C121)*Sites!$N$9:$N$108*Sites!$J$9:$J$108*Sites!$K$9:$K$108*(1-Sites!$L$9:$L$108)))*'Scenario Paths'!G27),"Unavailable"))</x:f>
        <x:v>0.001232</x:v>
      </x:c>
      <x:c r="U121" s="9" t="str">
        <x:f>IF(C121="","",IF(OR(INDEX('Borrowers'!$AA$9:$AA$108,MATCH(C121,'Borrowers'!$C$9:$C$108,0))&lt;&gt;"Ready",COUNTIF(Sites!$D$9:$D$108,C121)=0,COUNTIFS(Sites!$D$9:$D$108,C121,Sites!$Q$9:$Q$108,"&lt;&gt;Ready")&gt;0,'Scenario Paths'!$F$6&lt;&gt;"Ready"),"Review source inputs","Ready"))</x:f>
        <x:v>Ready</x:v>
      </x:c>
      <x:c r="V121" s="17" t="n">
        <x:f>IF(C121="","",IFERROR(MAX(-1,(G121-O121)/MAX(0.000001,G121)),"Unavailable"))</x:f>
        <x:v>0.2745686778625956</x:v>
      </x:c>
      <x:c r="W121" s="9" t="str">
        <x:f>IF(C121="","",IFERROR(INDEX('Borrowers'!$D$9:$D$108,MATCH(C121,'Borrowers'!$C$9:$C$108,0)),"Unavailable"))</x:f>
        <x:v>Demo Emirates Materials</x:v>
      </x:c>
    </x:row>
    <x:row r="122" ht="26" customHeight="1">
      <x:c r="A122" s="1"/>
      <x:c r="B122" s="1"/>
      <x:c r="C122" s="9" t="str">
        <x:f>IF(Borrowers!C22="","",Borrowers!C22)</x:f>
        <x:v>B014</x:v>
      </x:c>
      <x:c r="D122" s="3" t="n">
        <x:v>2</x:v>
      </x:c>
      <x:c r="E122" s="9" t="n">
        <x:f>Settings!$F$18+1</x:f>
        <x:v>2028</x:v>
      </x:c>
      <x:c r="F122" s="9" t="str">
        <x:f>IF(C122="","",INDEX('Borrowers'!$F$9:$F$108,MATCH(C122,'Borrowers'!$C$9:$C$108,0)))</x:f>
        <x:v>Solar</x:v>
      </x:c>
      <x:c r="G122" s="23" t="n">
        <x:f>IF(C122="","",IFERROR(INDEX('Borrowers'!$J$9:$J$108,MATCH(C122,'Borrowers'!$C$9:$C$108,0))-INDEX('Borrowers'!$K$9:$K$108,MATCH(C122,'Borrowers'!$C$9:$C$108,0)),"Unavailable"))</x:f>
        <x:v>27.55</x:v>
      </x:c>
      <x:c r="H122" s="23" t="n">
        <x:f>IF(C122="","",IFERROR(INDEX('Borrowers'!$I$9:$I$108,MATCH(C122,'Borrowers'!$C$9:$C$108,0))*INDEX('Borrowers'!$U$9:$U$108,MATCH(C122,'Borrowers'!$C$9:$C$108,0))*(IF(F122="Transport",'Scenario Paths'!G156,IF(F122="Technology",'Scenario Paths'!G150,IF(F122="Utilities",'Scenario Paths'!G144,IF(F122="Agriculture",'Scenario Paths'!G138,IF(F122="Manufacturing",'Scenario Paths'!G132,IF(F122="Healthcare",'Scenario Paths'!G126,IF(F122="Hospitality",'Scenario Paths'!G120,IF(F122="Property",'Scenario Paths'!G114,IF(F122="Food",'Scenario Paths'!G108,IF(F122="Logistics",'Scenario Paths'!G102,IF(F122="Solar",'Scenario Paths'!G96,IF(F122="Cement",'Scenario Paths'!G90,0))))))))))))),"Unavailable"))</x:f>
        <x:v>1.7214</x:v>
      </x:c>
      <x:c r="I122" s="23" t="n">
        <x:f>IF(C122="","",IFERROR(INDEX('Borrowers'!$R$9:$R$108,MATCH(C122,'Borrowers'!$C$9:$C$108,0))*(1-INDEX('Borrowers'!$W$9:$W$108,MATCH(C122,'Borrowers'!$C$9:$C$108,0))*'Scenario Paths'!G39)*'Scenario Paths'!G9/1000000*(1-INDEX('Borrowers'!$T$9:$T$108,MATCH(C122,'Borrowers'!$C$9:$C$108,0))),"Unavailable"))</x:f>
        <x:v>0.0026950000000000003</x:v>
      </x:c>
      <x:c r="J122" s="23" t="n">
        <x:f>IF(C122="","",IFERROR(INDEX('Borrowers'!$I$9:$I$108,MATCH(C122,'Borrowers'!$C$9:$C$108,0))*INDEX('Borrowers'!$S$9:$S$108,MATCH(C122,'Borrowers'!$C$9:$C$108,0))*'Scenario Paths'!G15*(1-INDEX('Borrowers'!$T$9:$T$108,MATCH(C122,'Borrowers'!$C$9:$C$108,0))),"Unavailable"))</x:f>
        <x:v>0.7474500000000002</x:v>
      </x:c>
      <x:c r="K122" s="23" t="n">
        <x:f>IF(C122="","",IFERROR(INDEX('Borrowers'!$I$9:$I$108,MATCH(C122,'Borrowers'!$C$9:$C$108,0))*INDEX('Borrowers'!$U$9:$U$108,MATCH(C122,'Borrowers'!$C$9:$C$108,0))*'Scenario Paths'!G21*S122,"Unavailable"))</x:f>
        <x:v>0.12853120000000004</x:v>
      </x:c>
      <x:c r="L122" s="23" t="n">
        <x:f>IF(C122="","",IFERROR(SUMPRODUCT((Sites!$D$9:$D$108=C122)*Sites!$H$9:$H$108*Sites!$J$9:$J$108*Sites!$K$9:$K$108*(1-Sites!$L$9:$L$108)*(1-Sites!$M$9:$M$108))*'Scenario Paths'!G27,"Unavailable"))</x:f>
        <x:v>0.11334400000000004</x:v>
      </x:c>
      <x:c r="M122" s="23" t="n">
        <x:f>IF(C122="","",IFERROR(INDEX('Borrowers'!$J$9:$J$108,MATCH(C122,'Borrowers'!$C$9:$C$108,0))+H122-SUM(I122:L122),"Unavailable"))</x:f>
        <x:v>32.229379800000004</x:v>
      </x:c>
      <x:c r="N122" s="23" t="n">
        <x:f>IF(C122="","",IFERROR(INDEX('Borrowers'!$I$9:$I$108,MATCH(C122,'Borrowers'!$C$9:$C$108,0))*'Scenario Paths'!G33,"Unavailable"))</x:f>
        <x:v>1.51</x:v>
      </x:c>
      <x:c r="O122" s="23" t="n">
        <x:f>IF(C122="","",IFERROR(M122-INDEX('Borrowers'!$K$9:$K$108,MATCH(C122,'Borrowers'!$C$9:$C$108,0))-N122,"Unavailable"))</x:f>
        <x:v>26.769379800000003</x:v>
      </x:c>
      <x:c r="P122" s="127" t="n">
        <x:f>IF(C122="","",IFERROR(O122/INDEX('Borrowers'!$L$9:$L$108,MATCH(C122,'Borrowers'!$C$9:$C$108,0)),"Unavailable"))</x:f>
        <x:v>3.007795483146068</x:v>
      </x:c>
      <x:c r="Q122" s="30" t="n">
        <x:f>IF(C122="","",IFERROR(IF(INDEX('Borrowers'!$Z$9:$Z$108,MATCH(C122,'Borrowers'!$C$9:$C$108,0))="Yes",1,IF(INDEX('Borrowers'!$P$9:$P$108,MATCH(C122,'Borrowers'!$C$9:$C$108,0))=0,0,MIN(1,INDEX('Borrowers'!$P$9:$P$108,MATCH(C122,'Borrowers'!$C$9:$C$108,0))*EXP(MIN(20,INDEX('Borrowers'!$V$9:$V$108,MATCH(C122,'Borrowers'!$C$9:$C$108,0))*V122))))),"Unavailable"))</x:f>
        <x:v>0.018834819018411875</x:v>
      </x:c>
      <x:c r="R122" s="30" t="n">
        <x:f>IF(C122="","",IFERROR(MIN(1,INDEX('Borrowers'!$Q$9:$Q$108,MATCH(C122,'Borrowers'!$C$9:$C$108,0))+(1-INDEX('Borrowers'!$Q$9:$Q$108,MATCH(C122,'Borrowers'!$C$9:$C$108,0)))*T122),"Unavailable"))</x:f>
        <x:v>0.40134400000000003</x:v>
      </x:c>
      <x:c r="S122" s="30" t="n">
        <x:f>IF(C122="","",IFERROR(SUMPRODUCT((Sites!$D$9:$D$108=C122)*Sites!$I$9:$I$108*Sites!$J$9:$J$108*Sites!$K$9:$K$108*(1-Sites!$L$9:$L$108)),"Unavailable"))</x:f>
        <x:v>0.22400000000000003</x:v>
      </x:c>
      <x:c r="T122" s="30" t="n">
        <x:f>IF(C122="","",IFERROR(MIN(1,(SUMPRODUCT((Sites!$D$9:$D$108=C122)*Sites!$N$9:$N$108*Sites!$J$9:$J$108*Sites!$K$9:$K$108*(1-Sites!$L$9:$L$108)))*'Scenario Paths'!G27),"Unavailable"))</x:f>
        <x:v>0.0022400000000000002</x:v>
      </x:c>
      <x:c r="U122" s="9" t="str">
        <x:f>IF(C122="","",IF(OR(INDEX('Borrowers'!$AA$9:$AA$108,MATCH(C122,'Borrowers'!$C$9:$C$108,0))&lt;&gt;"Ready",COUNTIF(Sites!$D$9:$D$108,C122)=0,COUNTIFS(Sites!$D$9:$D$108,C122,Sites!$Q$9:$Q$108,"&lt;&gt;Ready")&gt;0,'Scenario Paths'!$F$6&lt;&gt;"Ready"),"Review source inputs","Ready"))</x:f>
        <x:v>Ready</x:v>
      </x:c>
      <x:c r="V122" s="17" t="n">
        <x:f>IF(C122="","",IFERROR(MAX(-1,(G122-O122)/MAX(0.000001,G122)),"Unavailable"))</x:f>
        <x:v>0.028334671506352004</x:v>
      </x:c>
      <x:c r="W122" s="9" t="str">
        <x:f>IF(C122="","",IFERROR(INDEX('Borrowers'!$D$9:$D$108,MATCH(C122,'Borrowers'!$C$9:$C$108,0)),"Unavailable"))</x:f>
        <x:v>Demo Desert Solar</x:v>
      </x:c>
    </x:row>
    <x:row r="123" ht="26" customHeight="1">
      <x:c r="A123" s="1"/>
      <x:c r="B123" s="1"/>
      <x:c r="C123" s="9" t="str">
        <x:f>IF(Borrowers!C23="","",Borrowers!C23)</x:f>
        <x:v>B015</x:v>
      </x:c>
      <x:c r="D123" s="3" t="n">
        <x:v>2</x:v>
      </x:c>
      <x:c r="E123" s="9" t="n">
        <x:f>Settings!$F$18+1</x:f>
        <x:v>2028</x:v>
      </x:c>
      <x:c r="F123" s="9" t="str">
        <x:f>IF(C123="","",INDEX('Borrowers'!$F$9:$F$108,MATCH(C123,'Borrowers'!$C$9:$C$108,0)))</x:f>
        <x:v>Logistics</x:v>
      </x:c>
      <x:c r="G123" s="23" t="n">
        <x:f>IF(C123="","",IFERROR(INDEX('Borrowers'!$J$9:$J$108,MATCH(C123,'Borrowers'!$C$9:$C$108,0))-INDEX('Borrowers'!$K$9:$K$108,MATCH(C123,'Borrowers'!$C$9:$C$108,0)),"Unavailable"))</x:f>
        <x:v>28.9</x:v>
      </x:c>
      <x:c r="H123" s="23" t="n">
        <x:f>IF(C123="","",IFERROR(INDEX('Borrowers'!$I$9:$I$108,MATCH(C123,'Borrowers'!$C$9:$C$108,0))*INDEX('Borrowers'!$U$9:$U$108,MATCH(C123,'Borrowers'!$C$9:$C$108,0))*(IF(F123="Transport",'Scenario Paths'!G156,IF(F123="Technology",'Scenario Paths'!G150,IF(F123="Utilities",'Scenario Paths'!G144,IF(F123="Agriculture",'Scenario Paths'!G138,IF(F123="Manufacturing",'Scenario Paths'!G132,IF(F123="Healthcare",'Scenario Paths'!G126,IF(F123="Hospitality",'Scenario Paths'!G120,IF(F123="Property",'Scenario Paths'!G114,IF(F123="Food",'Scenario Paths'!G108,IF(F123="Logistics",'Scenario Paths'!G102,IF(F123="Solar",'Scenario Paths'!G96,IF(F123="Cement",'Scenario Paths'!G90,0))))))))))))),"Unavailable"))</x:f>
        <x:v>-2.0856</x:v>
      </x:c>
      <x:c r="I123" s="23" t="n">
        <x:f>IF(C123="","",IFERROR(INDEX('Borrowers'!$R$9:$R$108,MATCH(C123,'Borrowers'!$C$9:$C$108,0))*(1-INDEX('Borrowers'!$W$9:$W$108,MATCH(C123,'Borrowers'!$C$9:$C$108,0))*'Scenario Paths'!G39)*'Scenario Paths'!G9/1000000*(1-INDEX('Borrowers'!$T$9:$T$108,MATCH(C123,'Borrowers'!$C$9:$C$108,0))),"Unavailable"))</x:f>
        <x:v>0.10583999999999999</x:v>
      </x:c>
      <x:c r="J123" s="23" t="n">
        <x:f>IF(C123="","",IFERROR(INDEX('Borrowers'!$I$9:$I$108,MATCH(C123,'Borrowers'!$C$9:$C$108,0))*INDEX('Borrowers'!$S$9:$S$108,MATCH(C123,'Borrowers'!$C$9:$C$108,0))*'Scenario Paths'!G15*(1-INDEX('Borrowers'!$T$9:$T$108,MATCH(C123,'Borrowers'!$C$9:$C$108,0))),"Unavailable"))</x:f>
        <x:v>0.7821000000000001</x:v>
      </x:c>
      <x:c r="K123" s="23" t="n">
        <x:f>IF(C123="","",IFERROR(INDEX('Borrowers'!$I$9:$I$108,MATCH(C123,'Borrowers'!$C$9:$C$108,0))*INDEX('Borrowers'!$U$9:$U$108,MATCH(C123,'Borrowers'!$C$9:$C$108,0))*'Scenario Paths'!G21*S123,"Unavailable"))</x:f>
        <x:v>0.2458227199999999</x:v>
      </x:c>
      <x:c r="L123" s="23" t="n">
        <x:f>IF(C123="","",IFERROR(SUMPRODUCT((Sites!$D$9:$D$108=C123)*Sites!$H$9:$H$108*Sites!$J$9:$J$108*Sites!$K$9:$K$108*(1-Sites!$L$9:$L$108)*(1-Sites!$M$9:$M$108))*'Scenario Paths'!G27,"Unavailable"))</x:f>
        <x:v>0.18670080000000003</x:v>
      </x:c>
      <x:c r="M123" s="23" t="n">
        <x:f>IF(C123="","",IFERROR(INDEX('Borrowers'!$J$9:$J$108,MATCH(C123,'Borrowers'!$C$9:$C$108,0))+H123-SUM(I123:L123),"Unavailable"))</x:f>
        <x:v>29.59393648</x:v>
      </x:c>
      <x:c r="N123" s="23" t="n">
        <x:f>IF(C123="","",IFERROR(INDEX('Borrowers'!$I$9:$I$108,MATCH(C123,'Borrowers'!$C$9:$C$108,0))*'Scenario Paths'!G33,"Unavailable"))</x:f>
        <x:v>1.58</x:v>
      </x:c>
      <x:c r="O123" s="23" t="n">
        <x:f>IF(C123="","",IFERROR(M123-INDEX('Borrowers'!$K$9:$K$108,MATCH(C123,'Borrowers'!$C$9:$C$108,0))-N123,"Unavailable"))</x:f>
        <x:v>23.913936480000004</x:v>
      </x:c>
      <x:c r="P123" s="127" t="n">
        <x:f>IF(C123="","",IFERROR(O123/INDEX('Borrowers'!$L$9:$L$108,MATCH(C123,'Borrowers'!$C$9:$C$108,0)),"Unavailable"))</x:f>
        <x:v>2.599340921739131</x:v>
      </x:c>
      <x:c r="Q123" s="30" t="n">
        <x:f>IF(C123="","",IFERROR(IF(INDEX('Borrowers'!$Z$9:$Z$108,MATCH(C123,'Borrowers'!$C$9:$C$108,0))="Yes",1,IF(INDEX('Borrowers'!$P$9:$P$108,MATCH(C123,'Borrowers'!$C$9:$C$108,0))=0,0,MIN(1,INDEX('Borrowers'!$P$9:$P$108,MATCH(C123,'Borrowers'!$C$9:$C$108,0))*EXP(MIN(20,INDEX('Borrowers'!$V$9:$V$108,MATCH(C123,'Borrowers'!$C$9:$C$108,0))*V123))))),"Unavailable"))</x:f>
        <x:v>0.031629773283296574</x:v>
      </x:c>
      <x:c r="R123" s="30" t="n">
        <x:f>IF(C123="","",IFERROR(MIN(1,INDEX('Borrowers'!$Q$9:$Q$108,MATCH(C123,'Borrowers'!$C$9:$C$108,0))+(1-INDEX('Borrowers'!$Q$9:$Q$108,MATCH(C123,'Borrowers'!$C$9:$C$108,0)))*T123),"Unavailable"))</x:f>
        <x:v>0.44198016000000007</x:v>
      </x:c>
      <x:c r="S123" s="30" t="n">
        <x:f>IF(C123="","",IFERROR(SUMPRODUCT((Sites!$D$9:$D$108=C123)*Sites!$I$9:$I$108*Sites!$J$9:$J$108*Sites!$K$9:$K$108*(1-Sites!$L$9:$L$108)),"Unavailable"))</x:f>
        <x:v>0.3535999999999999</x:v>
      </x:c>
      <x:c r="T123" s="30" t="n">
        <x:f>IF(C123="","",IFERROR(MIN(1,(SUMPRODUCT((Sites!$D$9:$D$108=C123)*Sites!$N$9:$N$108*Sites!$J$9:$J$108*Sites!$K$9:$K$108*(1-Sites!$L$9:$L$108)))*'Scenario Paths'!G27),"Unavailable"))</x:f>
        <x:v>0.003535999999999999</x:v>
      </x:c>
      <x:c r="U123" s="9" t="str">
        <x:f>IF(C123="","",IF(OR(INDEX('Borrowers'!$AA$9:$AA$108,MATCH(C123,'Borrowers'!$C$9:$C$108,0))&lt;&gt;"Ready",COUNTIF(Sites!$D$9:$D$108,C123)=0,COUNTIFS(Sites!$D$9:$D$108,C123,Sites!$Q$9:$Q$108,"&lt;&gt;Ready")&gt;0,'Scenario Paths'!$F$6&lt;&gt;"Ready"),"Review source inputs","Ready"))</x:f>
        <x:v>Ready</x:v>
      </x:c>
      <x:c r="V123" s="17" t="n">
        <x:f>IF(C123="","",IFERROR(MAX(-1,(G123-O123)/MAX(0.000001,G123)),"Unavailable"))</x:f>
        <x:v>0.17252814948096867</x:v>
      </x:c>
      <x:c r="W123" s="9" t="str">
        <x:f>IF(C123="","",IFERROR(INDEX('Borrowers'!$D$9:$D$108,MATCH(C123,'Borrowers'!$C$9:$C$108,0)),"Unavailable"))</x:f>
        <x:v>Demo Gulf Logistics</x:v>
      </x:c>
    </x:row>
    <x:row r="124" ht="26" customHeight="1">
      <x:c r="A124" s="1"/>
      <x:c r="B124" s="1"/>
      <x:c r="C124" s="9" t="str">
        <x:f>IF(Borrowers!C24="","",Borrowers!C24)</x:f>
        <x:v>B016</x:v>
      </x:c>
      <x:c r="D124" s="3" t="n">
        <x:v>2</x:v>
      </x:c>
      <x:c r="E124" s="9" t="n">
        <x:f>Settings!$F$18+1</x:f>
        <x:v>2028</x:v>
      </x:c>
      <x:c r="F124" s="9" t="str">
        <x:f>IF(C124="","",INDEX('Borrowers'!$F$9:$F$108,MATCH(C124,'Borrowers'!$C$9:$C$108,0)))</x:f>
        <x:v>Food</x:v>
      </x:c>
      <x:c r="G124" s="23" t="n">
        <x:f>IF(C124="","",IFERROR(INDEX('Borrowers'!$J$9:$J$108,MATCH(C124,'Borrowers'!$C$9:$C$108,0))-INDEX('Borrowers'!$K$9:$K$108,MATCH(C124,'Borrowers'!$C$9:$C$108,0)),"Unavailable"))</x:f>
        <x:v>30.25</x:v>
      </x:c>
      <x:c r="H124" s="23" t="n">
        <x:f>IF(C124="","",IFERROR(INDEX('Borrowers'!$I$9:$I$108,MATCH(C124,'Borrowers'!$C$9:$C$108,0))*INDEX('Borrowers'!$U$9:$U$108,MATCH(C124,'Borrowers'!$C$9:$C$108,0))*(IF(F124="Transport",'Scenario Paths'!G156,IF(F124="Technology",'Scenario Paths'!G150,IF(F124="Utilities",'Scenario Paths'!G144,IF(F124="Agriculture",'Scenario Paths'!G138,IF(F124="Manufacturing",'Scenario Paths'!G132,IF(F124="Healthcare",'Scenario Paths'!G126,IF(F124="Hospitality",'Scenario Paths'!G120,IF(F124="Property",'Scenario Paths'!G114,IF(F124="Food",'Scenario Paths'!G108,IF(F124="Logistics",'Scenario Paths'!G102,IF(F124="Solar",'Scenario Paths'!G96,IF(F124="Cement",'Scenario Paths'!G90,0))))))))))))),"Unavailable"))</x:f>
        <x:v>-1.584</x:v>
      </x:c>
      <x:c r="I124" s="23" t="n">
        <x:f>IF(C124="","",IFERROR(INDEX('Borrowers'!$R$9:$R$108,MATCH(C124,'Borrowers'!$C$9:$C$108,0))*(1-INDEX('Borrowers'!$W$9:$W$108,MATCH(C124,'Borrowers'!$C$9:$C$108,0))*'Scenario Paths'!G39)*'Scenario Paths'!G9/1000000*(1-INDEX('Borrowers'!$T$9:$T$108,MATCH(C124,'Borrowers'!$C$9:$C$108,0))),"Unavailable"))</x:f>
        <x:v>0.08574999999999999</x:v>
      </x:c>
      <x:c r="J124" s="23" t="n">
        <x:f>IF(C124="","",IFERROR(INDEX('Borrowers'!$I$9:$I$108,MATCH(C124,'Borrowers'!$C$9:$C$108,0))*INDEX('Borrowers'!$S$9:$S$108,MATCH(C124,'Borrowers'!$C$9:$C$108,0))*'Scenario Paths'!G15*(1-INDEX('Borrowers'!$T$9:$T$108,MATCH(C124,'Borrowers'!$C$9:$C$108,0))),"Unavailable"))</x:f>
        <x:v>0.7507499999999999</x:v>
      </x:c>
      <x:c r="K124" s="23" t="n">
        <x:f>IF(C124="","",IFERROR(INDEX('Borrowers'!$I$9:$I$108,MATCH(C124,'Borrowers'!$C$9:$C$108,0))*INDEX('Borrowers'!$U$9:$U$108,MATCH(C124,'Borrowers'!$C$9:$C$108,0))*'Scenario Paths'!G21*S124,"Unavailable"))</x:f>
        <x:v>0.029568</x:v>
      </x:c>
      <x:c r="L124" s="23" t="n">
        <x:f>IF(C124="","",IFERROR(SUMPRODUCT((Sites!$D$9:$D$108=C124)*Sites!$H$9:$H$108*Sites!$J$9:$J$108*Sites!$K$9:$K$108*(1-Sites!$L$9:$L$108)*(1-Sites!$M$9:$M$108))*'Scenario Paths'!G27,"Unavailable"))</x:f>
        <x:v>0.030800000000000004</x:v>
      </x:c>
      <x:c r="M124" s="23" t="n">
        <x:f>IF(C124="","",IFERROR(INDEX('Borrowers'!$J$9:$J$108,MATCH(C124,'Borrowers'!$C$9:$C$108,0))+H124-SUM(I124:L124),"Unavailable"))</x:f>
        <x:v>32.019132</x:v>
      </x:c>
      <x:c r="N124" s="23" t="n">
        <x:f>IF(C124="","",IFERROR(INDEX('Borrowers'!$I$9:$I$108,MATCH(C124,'Borrowers'!$C$9:$C$108,0))*'Scenario Paths'!G33,"Unavailable"))</x:f>
        <x:v>1.6500000000000001</x:v>
      </x:c>
      <x:c r="O124" s="23" t="n">
        <x:f>IF(C124="","",IFERROR(M124-INDEX('Borrowers'!$K$9:$K$108,MATCH(C124,'Borrowers'!$C$9:$C$108,0))-N124,"Unavailable"))</x:f>
        <x:v>26.119132</x:v>
      </x:c>
      <x:c r="P124" s="127" t="n">
        <x:f>IF(C124="","",IFERROR(O124/INDEX('Borrowers'!$L$9:$L$108,MATCH(C124,'Borrowers'!$C$9:$C$108,0)),"Unavailable"))</x:f>
        <x:v>2.749382315789474</x:v>
      </x:c>
      <x:c r="Q124" s="30" t="n">
        <x:f>IF(C124="","",IFERROR(IF(INDEX('Borrowers'!$Z$9:$Z$108,MATCH(C124,'Borrowers'!$C$9:$C$108,0))="Yes",1,IF(INDEX('Borrowers'!$P$9:$P$108,MATCH(C124,'Borrowers'!$C$9:$C$108,0))=0,0,MIN(1,INDEX('Borrowers'!$P$9:$P$108,MATCH(C124,'Borrowers'!$C$9:$C$108,0))*EXP(MIN(20,INDEX('Borrowers'!$V$9:$V$108,MATCH(C124,'Borrowers'!$C$9:$C$108,0))*V124))))),"Unavailable"))</x:f>
        <x:v>0.037325979046561396</x:v>
      </x:c>
      <x:c r="R124" s="30" t="n">
        <x:f>IF(C124="","",IFERROR(MIN(1,INDEX('Borrowers'!$Q$9:$Q$108,MATCH(C124,'Borrowers'!$C$9:$C$108,0))+(1-INDEX('Borrowers'!$Q$9:$Q$108,MATCH(C124,'Borrowers'!$C$9:$C$108,0)))*T124),"Unavailable"))</x:f>
        <x:v>0.2804032</x:v>
      </x:c>
      <x:c r="S124" s="30" t="n">
        <x:f>IF(C124="","",IFERROR(SUMPRODUCT((Sites!$D$9:$D$108=C124)*Sites!$I$9:$I$108*Sites!$J$9:$J$108*Sites!$K$9:$K$108*(1-Sites!$L$9:$L$108)),"Unavailable"))</x:f>
        <x:v>0.056</x:v>
      </x:c>
      <x:c r="T124" s="30" t="n">
        <x:f>IF(C124="","",IFERROR(MIN(1,(SUMPRODUCT((Sites!$D$9:$D$108=C124)*Sites!$N$9:$N$108*Sites!$J$9:$J$108*Sites!$K$9:$K$108*(1-Sites!$L$9:$L$108)))*'Scenario Paths'!G27),"Unavailable"))</x:f>
        <x:v>0.0005600000000000001</x:v>
      </x:c>
      <x:c r="U124" s="9" t="str">
        <x:f>IF(C124="","",IF(OR(INDEX('Borrowers'!$AA$9:$AA$108,MATCH(C124,'Borrowers'!$C$9:$C$108,0))&lt;&gt;"Ready",COUNTIF(Sites!$D$9:$D$108,C124)=0,COUNTIFS(Sites!$D$9:$D$108,C124,Sites!$Q$9:$Q$108,"&lt;&gt;Ready")&gt;0,'Scenario Paths'!$F$6&lt;&gt;"Ready"),"Review source inputs","Ready"))</x:f>
        <x:v>Ready</x:v>
      </x:c>
      <x:c r="V124" s="17" t="n">
        <x:f>IF(C124="","",IFERROR(MAX(-1,(G124-O124)/MAX(0.000001,G124)),"Unavailable"))</x:f>
        <x:v>0.13655761983471074</x:v>
      </x:c>
      <x:c r="W124" s="9" t="str">
        <x:f>IF(C124="","",IFERROR(INDEX('Borrowers'!$D$9:$D$108,MATCH(C124,'Borrowers'!$C$9:$C$108,0)),"Unavailable"))</x:f>
        <x:v>Demo Emirates Foods</x:v>
      </x:c>
    </x:row>
    <x:row r="125" ht="26" customHeight="1">
      <x:c r="A125" s="1"/>
      <x:c r="B125" s="1"/>
      <x:c r="C125" s="9" t="str">
        <x:f>IF(Borrowers!C25="","",Borrowers!C25)</x:f>
        <x:v>B017</x:v>
      </x:c>
      <x:c r="D125" s="3" t="n">
        <x:v>2</x:v>
      </x:c>
      <x:c r="E125" s="9" t="n">
        <x:f>Settings!$F$18+1</x:f>
        <x:v>2028</x:v>
      </x:c>
      <x:c r="F125" s="9" t="str">
        <x:f>IF(C125="","",INDEX('Borrowers'!$F$9:$F$108,MATCH(C125,'Borrowers'!$C$9:$C$108,0)))</x:f>
        <x:v>Property</x:v>
      </x:c>
      <x:c r="G125" s="23" t="n">
        <x:f>IF(C125="","",IFERROR(INDEX('Borrowers'!$J$9:$J$108,MATCH(C125,'Borrowers'!$C$9:$C$108,0))-INDEX('Borrowers'!$K$9:$K$108,MATCH(C125,'Borrowers'!$C$9:$C$108,0)),"Unavailable"))</x:f>
        <x:v>31.6</x:v>
      </x:c>
      <x:c r="H125" s="23" t="n">
        <x:f>IF(C125="","",IFERROR(INDEX('Borrowers'!$I$9:$I$108,MATCH(C125,'Borrowers'!$C$9:$C$108,0))*INDEX('Borrowers'!$U$9:$U$108,MATCH(C125,'Borrowers'!$C$9:$C$108,0))*(IF(F125="Transport",'Scenario Paths'!G156,IF(F125="Technology",'Scenario Paths'!G150,IF(F125="Utilities",'Scenario Paths'!G144,IF(F125="Agriculture",'Scenario Paths'!G138,IF(F125="Manufacturing",'Scenario Paths'!G132,IF(F125="Healthcare",'Scenario Paths'!G126,IF(F125="Hospitality",'Scenario Paths'!G120,IF(F125="Property",'Scenario Paths'!G114,IF(F125="Food",'Scenario Paths'!G108,IF(F125="Logistics",'Scenario Paths'!G102,IF(F125="Solar",'Scenario Paths'!G96,IF(F125="Cement",'Scenario Paths'!G90,0))))))))))))),"Unavailable"))</x:f>
        <x:v>-1.9607999999999999</x:v>
      </x:c>
      <x:c r="I125" s="23" t="n">
        <x:f>IF(C125="","",IFERROR(INDEX('Borrowers'!$R$9:$R$108,MATCH(C125,'Borrowers'!$C$9:$C$108,0))*(1-INDEX('Borrowers'!$W$9:$W$108,MATCH(C125,'Borrowers'!$C$9:$C$108,0))*'Scenario Paths'!G39)*'Scenario Paths'!G9/1000000*(1-INDEX('Borrowers'!$T$9:$T$108,MATCH(C125,'Borrowers'!$C$9:$C$108,0))),"Unavailable"))</x:f>
        <x:v>0.16562000000000002</x:v>
      </x:c>
      <x:c r="J125" s="23" t="n">
        <x:f>IF(C125="","",IFERROR(INDEX('Borrowers'!$I$9:$I$108,MATCH(C125,'Borrowers'!$C$9:$C$108,0))*INDEX('Borrowers'!$S$9:$S$108,MATCH(C125,'Borrowers'!$C$9:$C$108,0))*'Scenario Paths'!G15*(1-INDEX('Borrowers'!$T$9:$T$108,MATCH(C125,'Borrowers'!$C$9:$C$108,0))),"Unavailable"))</x:f>
        <x:v>0.7826000000000002</x:v>
      </x:c>
      <x:c r="K125" s="23" t="n">
        <x:f>IF(C125="","",IFERROR(INDEX('Borrowers'!$I$9:$I$108,MATCH(C125,'Borrowers'!$C$9:$C$108,0))*INDEX('Borrowers'!$U$9:$U$108,MATCH(C125,'Borrowers'!$C$9:$C$108,0))*'Scenario Paths'!G21*S125,"Unavailable"))</x:f>
        <x:v>0.0836608</x:v>
      </x:c>
      <x:c r="L125" s="23" t="n">
        <x:f>IF(C125="","",IFERROR(SUMPRODUCT((Sites!$D$9:$D$108=C125)*Sites!$H$9:$H$108*Sites!$J$9:$J$108*Sites!$K$9:$K$108*(1-Sites!$L$9:$L$108)*(1-Sites!$M$9:$M$108))*'Scenario Paths'!G27,"Unavailable"))</x:f>
        <x:v>0.07321600000000002</x:v>
      </x:c>
      <x:c r="M125" s="23" t="n">
        <x:f>IF(C125="","",IFERROR(INDEX('Borrowers'!$J$9:$J$108,MATCH(C125,'Borrowers'!$C$9:$C$108,0))+H125-SUM(I125:L125),"Unavailable"))</x:f>
        <x:v>32.9341032</x:v>
      </x:c>
      <x:c r="N125" s="23" t="n">
        <x:f>IF(C125="","",IFERROR(INDEX('Borrowers'!$I$9:$I$108,MATCH(C125,'Borrowers'!$C$9:$C$108,0))*'Scenario Paths'!G33,"Unavailable"))</x:f>
        <x:v>1.72</x:v>
      </x:c>
      <x:c r="O125" s="23" t="n">
        <x:f>IF(C125="","",IFERROR(M125-INDEX('Borrowers'!$K$9:$K$108,MATCH(C125,'Borrowers'!$C$9:$C$108,0))-N125,"Unavailable"))</x:f>
        <x:v>26.814103200000005</x:v>
      </x:c>
      <x:c r="P125" s="127" t="n">
        <x:f>IF(C125="","",IFERROR(O125/INDEX('Borrowers'!$L$9:$L$108,MATCH(C125,'Borrowers'!$C$9:$C$108,0)),"Unavailable"))</x:f>
        <x:v>2.736132979591837</x:v>
      </x:c>
      <x:c r="Q125" s="30" t="n">
        <x:f>IF(C125="","",IFERROR(IF(INDEX('Borrowers'!$Z$9:$Z$108,MATCH(C125,'Borrowers'!$C$9:$C$108,0))="Yes",1,IF(INDEX('Borrowers'!$P$9:$P$108,MATCH(C125,'Borrowers'!$C$9:$C$108,0))=0,0,MIN(1,INDEX('Borrowers'!$P$9:$P$108,MATCH(C125,'Borrowers'!$C$9:$C$108,0))*EXP(MIN(20,INDEX('Borrowers'!$V$9:$V$108,MATCH(C125,'Borrowers'!$C$9:$C$108,0))*V125))))),"Unavailable"))</x:f>
        <x:v>0.04587144577429778</x:v>
      </x:c>
      <x:c r="R125" s="30" t="n">
        <x:f>IF(C125="","",IFERROR(MIN(1,INDEX('Borrowers'!$Q$9:$Q$108,MATCH(C125,'Borrowers'!$C$9:$C$108,0))+(1-INDEX('Borrowers'!$Q$9:$Q$108,MATCH(C125,'Borrowers'!$C$9:$C$108,0)))*T125),"Unavailable"))</x:f>
        <x:v>0.3208704</x:v>
      </x:c>
      <x:c r="S125" s="30" t="n">
        <x:f>IF(C125="","",IFERROR(SUMPRODUCT((Sites!$D$9:$D$108=C125)*Sites!$I$9:$I$108*Sites!$J$9:$J$108*Sites!$K$9:$K$108*(1-Sites!$L$9:$L$108)),"Unavailable"))</x:f>
        <x:v>0.128</x:v>
      </x:c>
      <x:c r="T125" s="30" t="n">
        <x:f>IF(C125="","",IFERROR(MIN(1,(SUMPRODUCT((Sites!$D$9:$D$108=C125)*Sites!$N$9:$N$108*Sites!$J$9:$J$108*Sites!$K$9:$K$108*(1-Sites!$L$9:$L$108)))*'Scenario Paths'!G27),"Unavailable"))</x:f>
        <x:v>0.00128</x:v>
      </x:c>
      <x:c r="U125" s="9" t="str">
        <x:f>IF(C125="","",IF(OR(INDEX('Borrowers'!$AA$9:$AA$108,MATCH(C125,'Borrowers'!$C$9:$C$108,0))&lt;&gt;"Ready",COUNTIF(Sites!$D$9:$D$108,C125)=0,COUNTIFS(Sites!$D$9:$D$108,C125,Sites!$Q$9:$Q$108,"&lt;&gt;Ready")&gt;0,'Scenario Paths'!$F$6&lt;&gt;"Ready"),"Review source inputs","Ready"))</x:f>
        <x:v>Ready</x:v>
      </x:c>
      <x:c r="V125" s="17" t="n">
        <x:f>IF(C125="","",IFERROR(MAX(-1,(G125-O125)/MAX(0.000001,G125)),"Unavailable"))</x:f>
        <x:v>0.1514524303797467</x:v>
      </x:c>
      <x:c r="W125" s="9" t="str">
        <x:f>IF(C125="","",IFERROR(INDEX('Borrowers'!$D$9:$D$108,MATCH(C125,'Borrowers'!$C$9:$C$108,0)),"Unavailable"))</x:f>
        <x:v>Demo Marina Properties</x:v>
      </x:c>
    </x:row>
    <x:row r="126" ht="26" customHeight="1">
      <x:c r="A126" s="1"/>
      <x:c r="B126" s="1"/>
      <x:c r="C126" s="9" t="str">
        <x:f>IF(Borrowers!C26="","",Borrowers!C26)</x:f>
        <x:v>B018</x:v>
      </x:c>
      <x:c r="D126" s="3" t="n">
        <x:v>2</x:v>
      </x:c>
      <x:c r="E126" s="9" t="n">
        <x:f>Settings!$F$18+1</x:f>
        <x:v>2028</x:v>
      </x:c>
      <x:c r="F126" s="9" t="str">
        <x:f>IF(C126="","",INDEX('Borrowers'!$F$9:$F$108,MATCH(C126,'Borrowers'!$C$9:$C$108,0)))</x:f>
        <x:v>Hospitality</x:v>
      </x:c>
      <x:c r="G126" s="23" t="n">
        <x:f>IF(C126="","",IFERROR(INDEX('Borrowers'!$J$9:$J$108,MATCH(C126,'Borrowers'!$C$9:$C$108,0))-INDEX('Borrowers'!$K$9:$K$108,MATCH(C126,'Borrowers'!$C$9:$C$108,0)),"Unavailable"))</x:f>
        <x:v>32.95</x:v>
      </x:c>
      <x:c r="H126" s="23" t="n">
        <x:f>IF(C126="","",IFERROR(INDEX('Borrowers'!$I$9:$I$108,MATCH(C126,'Borrowers'!$C$9:$C$108,0))*INDEX('Borrowers'!$U$9:$U$108,MATCH(C126,'Borrowers'!$C$9:$C$108,0))*(IF(F126="Transport",'Scenario Paths'!G156,IF(F126="Technology",'Scenario Paths'!G150,IF(F126="Utilities",'Scenario Paths'!G144,IF(F126="Agriculture",'Scenario Paths'!G138,IF(F126="Manufacturing",'Scenario Paths'!G132,IF(F126="Healthcare",'Scenario Paths'!G126,IF(F126="Hospitality",'Scenario Paths'!G120,IF(F126="Property",'Scenario Paths'!G114,IF(F126="Food",'Scenario Paths'!G108,IF(F126="Logistics",'Scenario Paths'!G102,IF(F126="Solar",'Scenario Paths'!G96,IF(F126="Cement",'Scenario Paths'!G90,0))))))))))))),"Unavailable"))</x:f>
        <x:v>-2.3628</x:v>
      </x:c>
      <x:c r="I126" s="23" t="n">
        <x:f>IF(C126="","",IFERROR(INDEX('Borrowers'!$R$9:$R$108,MATCH(C126,'Borrowers'!$C$9:$C$108,0))*(1-INDEX('Borrowers'!$W$9:$W$108,MATCH(C126,'Borrowers'!$C$9:$C$108,0))*'Scenario Paths'!G39)*'Scenario Paths'!G9/1000000*(1-INDEX('Borrowers'!$T$9:$T$108,MATCH(C126,'Borrowers'!$C$9:$C$108,0))),"Unavailable"))</x:f>
        <x:v>0.14553000000000002</x:v>
      </x:c>
      <x:c r="J126" s="23" t="n">
        <x:f>IF(C126="","",IFERROR(INDEX('Borrowers'!$I$9:$I$108,MATCH(C126,'Borrowers'!$C$9:$C$108,0))*INDEX('Borrowers'!$S$9:$S$108,MATCH(C126,'Borrowers'!$C$9:$C$108,0))*'Scenario Paths'!G15*(1-INDEX('Borrowers'!$T$9:$T$108,MATCH(C126,'Borrowers'!$C$9:$C$108,0))),"Unavailable"))</x:f>
        <x:v>0.8860500000000003</x:v>
      </x:c>
      <x:c r="K126" s="23" t="n">
        <x:f>IF(C126="","",IFERROR(INDEX('Borrowers'!$I$9:$I$108,MATCH(C126,'Borrowers'!$C$9:$C$108,0))*INDEX('Borrowers'!$U$9:$U$108,MATCH(C126,'Borrowers'!$C$9:$C$108,0))*'Scenario Paths'!G21*S126,"Unavailable"))</x:f>
        <x:v>0.18020288</x:v>
      </x:c>
      <x:c r="L126" s="23" t="n">
        <x:f>IF(C126="","",IFERROR(SUMPRODUCT((Sites!$D$9:$D$108=C126)*Sites!$H$9:$H$108*Sites!$J$9:$J$108*Sites!$K$9:$K$108*(1-Sites!$L$9:$L$108)*(1-Sites!$M$9:$M$108))*'Scenario Paths'!G27,"Unavailable"))</x:f>
        <x:v>0.1359072</x:v>
      </x:c>
      <x:c r="M126" s="23" t="n">
        <x:f>IF(C126="","",IFERROR(INDEX('Borrowers'!$J$9:$J$108,MATCH(C126,'Borrowers'!$C$9:$C$108,0))+H126-SUM(I126:L126),"Unavailable"))</x:f>
        <x:v>33.78950992</x:v>
      </x:c>
      <x:c r="N126" s="23" t="n">
        <x:f>IF(C126="","",IFERROR(INDEX('Borrowers'!$I$9:$I$108,MATCH(C126,'Borrowers'!$C$9:$C$108,0))*'Scenario Paths'!G33,"Unavailable"))</x:f>
        <x:v>1.79</x:v>
      </x:c>
      <x:c r="O126" s="23" t="n">
        <x:f>IF(C126="","",IFERROR(M126-INDEX('Borrowers'!$K$9:$K$108,MATCH(C126,'Borrowers'!$C$9:$C$108,0))-N126,"Unavailable"))</x:f>
        <x:v>27.44950992</x:v>
      </x:c>
      <x:c r="P126" s="127" t="n">
        <x:f>IF(C126="","",IFERROR(O126/INDEX('Borrowers'!$L$9:$L$108,MATCH(C126,'Borrowers'!$C$9:$C$108,0)),"Unavailable"))</x:f>
        <x:v>2.717773259405941</x:v>
      </x:c>
      <x:c r="Q126" s="30" t="n">
        <x:f>IF(C126="","",IFERROR(IF(INDEX('Borrowers'!$Z$9:$Z$108,MATCH(C126,'Borrowers'!$C$9:$C$108,0))="Yes",1,IF(INDEX('Borrowers'!$P$9:$P$108,MATCH(C126,'Borrowers'!$C$9:$C$108,0))=0,0,MIN(1,INDEX('Borrowers'!$P$9:$P$108,MATCH(C126,'Borrowers'!$C$9:$C$108,0))*EXP(MIN(20,INDEX('Borrowers'!$V$9:$V$108,MATCH(C126,'Borrowers'!$C$9:$C$108,0))*V126))))),"Unavailable"))</x:f>
        <x:v>0.05485891655133964</x:v>
      </x:c>
      <x:c r="R126" s="30" t="n">
        <x:f>IF(C126="","",IFERROR(MIN(1,INDEX('Borrowers'!$Q$9:$Q$108,MATCH(C126,'Borrowers'!$C$9:$C$108,0))+(1-INDEX('Borrowers'!$Q$9:$Q$108,MATCH(C126,'Borrowers'!$C$9:$C$108,0)))*T126),"Unavailable"))</x:f>
        <x:v>0.36146432000000006</x:v>
      </x:c>
      <x:c r="S126" s="30" t="n">
        <x:f>IF(C126="","",IFERROR(SUMPRODUCT((Sites!$D$9:$D$108=C126)*Sites!$I$9:$I$108*Sites!$J$9:$J$108*Sites!$K$9:$K$108*(1-Sites!$L$9:$L$108)),"Unavailable"))</x:f>
        <x:v>0.2288</x:v>
      </x:c>
      <x:c r="T126" s="30" t="n">
        <x:f>IF(C126="","",IFERROR(MIN(1,(SUMPRODUCT((Sites!$D$9:$D$108=C126)*Sites!$N$9:$N$108*Sites!$J$9:$J$108*Sites!$K$9:$K$108*(1-Sites!$L$9:$L$108)))*'Scenario Paths'!G27),"Unavailable"))</x:f>
        <x:v>0.002288</x:v>
      </x:c>
      <x:c r="U126" s="9" t="str">
        <x:f>IF(C126="","",IF(OR(INDEX('Borrowers'!$AA$9:$AA$108,MATCH(C126,'Borrowers'!$C$9:$C$108,0))&lt;&gt;"Ready",COUNTIF(Sites!$D$9:$D$108,C126)=0,COUNTIFS(Sites!$D$9:$D$108,C126,Sites!$Q$9:$Q$108,"&lt;&gt;Ready")&gt;0,'Scenario Paths'!$F$6&lt;&gt;"Ready"),"Review source inputs","Ready"))</x:f>
        <x:v>Ready</x:v>
      </x:c>
      <x:c r="V126" s="17" t="n">
        <x:f>IF(C126="","",IFERROR(MAX(-1,(G126-O126)/MAX(0.000001,G126)),"Unavailable"))</x:f>
        <x:v>0.1669344485584219</x:v>
      </x:c>
      <x:c r="W126" s="9" t="str">
        <x:f>IF(C126="","",IFERROR(INDEX('Borrowers'!$D$9:$D$108,MATCH(C126,'Borrowers'!$C$9:$C$108,0)),"Unavailable"))</x:f>
        <x:v>Demo Gulf Hospitality</x:v>
      </x:c>
    </x:row>
    <x:row r="127" ht="26" customHeight="1">
      <x:c r="A127" s="1"/>
      <x:c r="B127" s="1"/>
      <x:c r="C127" s="9" t="str">
        <x:f>IF(Borrowers!C27="","",Borrowers!C27)</x:f>
        <x:v>B019</x:v>
      </x:c>
      <x:c r="D127" s="3" t="n">
        <x:v>2</x:v>
      </x:c>
      <x:c r="E127" s="9" t="n">
        <x:f>Settings!$F$18+1</x:f>
        <x:v>2028</x:v>
      </x:c>
      <x:c r="F127" s="9" t="str">
        <x:f>IF(C127="","",INDEX('Borrowers'!$F$9:$F$108,MATCH(C127,'Borrowers'!$C$9:$C$108,0)))</x:f>
        <x:v>Manufacturing</x:v>
      </x:c>
      <x:c r="G127" s="23" t="n">
        <x:f>IF(C127="","",IFERROR(INDEX('Borrowers'!$J$9:$J$108,MATCH(C127,'Borrowers'!$C$9:$C$108,0))-INDEX('Borrowers'!$K$9:$K$108,MATCH(C127,'Borrowers'!$C$9:$C$108,0)),"Unavailable"))</x:f>
        <x:v>34.3</x:v>
      </x:c>
      <x:c r="H127" s="23" t="n">
        <x:f>IF(C127="","",IFERROR(INDEX('Borrowers'!$I$9:$I$108,MATCH(C127,'Borrowers'!$C$9:$C$108,0))*INDEX('Borrowers'!$U$9:$U$108,MATCH(C127,'Borrowers'!$C$9:$C$108,0))*(IF(F127="Transport",'Scenario Paths'!G156,IF(F127="Technology",'Scenario Paths'!G150,IF(F127="Utilities",'Scenario Paths'!G144,IF(F127="Agriculture",'Scenario Paths'!G138,IF(F127="Manufacturing",'Scenario Paths'!G132,IF(F127="Healthcare",'Scenario Paths'!G126,IF(F127="Hospitality",'Scenario Paths'!G120,IF(F127="Property",'Scenario Paths'!G114,IF(F127="Food",'Scenario Paths'!G108,IF(F127="Logistics",'Scenario Paths'!G102,IF(F127="Solar",'Scenario Paths'!G96,IF(F127="Cement",'Scenario Paths'!G90,0))))))))))))),"Unavailable"))</x:f>
        <x:v>-1.7856</x:v>
      </x:c>
      <x:c r="I127" s="23" t="n">
        <x:f>IF(C127="","",IFERROR(INDEX('Borrowers'!$R$9:$R$108,MATCH(C127,'Borrowers'!$C$9:$C$108,0))*(1-INDEX('Borrowers'!$W$9:$W$108,MATCH(C127,'Borrowers'!$C$9:$C$108,0))*'Scenario Paths'!G39)*'Scenario Paths'!G9/1000000*(1-INDEX('Borrowers'!$T$9:$T$108,MATCH(C127,'Borrowers'!$C$9:$C$108,0))),"Unavailable"))</x:f>
        <x:v>0.12347999999999998</x:v>
      </x:c>
      <x:c r="J127" s="23" t="n">
        <x:f>IF(C127="","",IFERROR(INDEX('Borrowers'!$I$9:$I$108,MATCH(C127,'Borrowers'!$C$9:$C$108,0))*INDEX('Borrowers'!$S$9:$S$108,MATCH(C127,'Borrowers'!$C$9:$C$108,0))*'Scenario Paths'!G15*(1-INDEX('Borrowers'!$T$9:$T$108,MATCH(C127,'Borrowers'!$C$9:$C$108,0))),"Unavailable"))</x:f>
        <x:v>0.9207000000000002</x:v>
      </x:c>
      <x:c r="K127" s="23" t="n">
        <x:f>IF(C127="","",IFERROR(INDEX('Borrowers'!$I$9:$I$108,MATCH(C127,'Borrowers'!$C$9:$C$108,0))*INDEX('Borrowers'!$U$9:$U$108,MATCH(C127,'Borrowers'!$C$9:$C$108,0))*'Scenario Paths'!G21*S127,"Unavailable"))</x:f>
        <x:v>0.09332736000000001</x:v>
      </x:c>
      <x:c r="L127" s="23" t="n">
        <x:f>IF(C127="","",IFERROR(SUMPRODUCT((Sites!$D$9:$D$108=C127)*Sites!$H$9:$H$108*Sites!$J$9:$J$108*Sites!$K$9:$K$108*(1-Sites!$L$9:$L$108)*(1-Sites!$M$9:$M$108))*'Scenario Paths'!G27,"Unavailable"))</x:f>
        <x:v>0.09658880000000002</x:v>
      </x:c>
      <x:c r="M127" s="23" t="n">
        <x:f>IF(C127="","",IFERROR(INDEX('Borrowers'!$J$9:$J$108,MATCH(C127,'Borrowers'!$C$9:$C$108,0))+H127-SUM(I127:L127),"Unavailable"))</x:f>
        <x:v>35.98030384</x:v>
      </x:c>
      <x:c r="N127" s="23" t="n">
        <x:f>IF(C127="","",IFERROR(INDEX('Borrowers'!$I$9:$I$108,MATCH(C127,'Borrowers'!$C$9:$C$108,0))*'Scenario Paths'!G33,"Unavailable"))</x:f>
        <x:v>1.86</x:v>
      </x:c>
      <x:c r="O127" s="23" t="n">
        <x:f>IF(C127="","",IFERROR(M127-INDEX('Borrowers'!$K$9:$K$108,MATCH(C127,'Borrowers'!$C$9:$C$108,0))-N127,"Unavailable"))</x:f>
        <x:v>29.42030384</x:v>
      </x:c>
      <x:c r="P127" s="127" t="n">
        <x:f>IF(C127="","",IFERROR(O127/INDEX('Borrowers'!$L$9:$L$108,MATCH(C127,'Borrowers'!$C$9:$C$108,0)),"Unavailable"))</x:f>
        <x:v>2.8288753692307695</x:v>
      </x:c>
      <x:c r="Q127" s="30" t="n">
        <x:f>IF(C127="","",IFERROR(IF(INDEX('Borrowers'!$Z$9:$Z$108,MATCH(C127,'Borrowers'!$C$9:$C$108,0))="Yes",1,IF(INDEX('Borrowers'!$P$9:$P$108,MATCH(C127,'Borrowers'!$C$9:$C$108,0))=0,0,MIN(1,INDEX('Borrowers'!$P$9:$P$108,MATCH(C127,'Borrowers'!$C$9:$C$108,0))*EXP(MIN(20,INDEX('Borrowers'!$V$9:$V$108,MATCH(C127,'Borrowers'!$C$9:$C$108,0))*V127))))),"Unavailable"))</x:f>
        <x:v>0.015067362194533198</x:v>
      </x:c>
      <x:c r="R127" s="30" t="n">
        <x:f>IF(C127="","",IFERROR(MIN(1,INDEX('Borrowers'!$Q$9:$Q$108,MATCH(C127,'Borrowers'!$C$9:$C$108,0))+(1-INDEX('Borrowers'!$Q$9:$Q$108,MATCH(C127,'Borrowers'!$C$9:$C$108,0)))*T127),"Unavailable"))</x:f>
        <x:v>0.40094080000000004</x:v>
      </x:c>
      <x:c r="S127" s="30" t="n">
        <x:f>IF(C127="","",IFERROR(SUMPRODUCT((Sites!$D$9:$D$108=C127)*Sites!$I$9:$I$108*Sites!$J$9:$J$108*Sites!$K$9:$K$108*(1-Sites!$L$9:$L$108)),"Unavailable"))</x:f>
        <x:v>0.1568</x:v>
      </x:c>
      <x:c r="T127" s="30" t="n">
        <x:f>IF(C127="","",IFERROR(MIN(1,(SUMPRODUCT((Sites!$D$9:$D$108=C127)*Sites!$N$9:$N$108*Sites!$J$9:$J$108*Sites!$K$9:$K$108*(1-Sites!$L$9:$L$108)))*'Scenario Paths'!G27),"Unavailable"))</x:f>
        <x:v>0.001568</x:v>
      </x:c>
      <x:c r="U127" s="9" t="str">
        <x:f>IF(C127="","",IF(OR(INDEX('Borrowers'!$AA$9:$AA$108,MATCH(C127,'Borrowers'!$C$9:$C$108,0))&lt;&gt;"Ready",COUNTIF(Sites!$D$9:$D$108,C127)=0,COUNTIFS(Sites!$D$9:$D$108,C127,Sites!$Q$9:$Q$108,"&lt;&gt;Ready")&gt;0,'Scenario Paths'!$F$6&lt;&gt;"Ready"),"Review source inputs","Ready"))</x:f>
        <x:v>Ready</x:v>
      </x:c>
      <x:c r="V127" s="17" t="n">
        <x:f>IF(C127="","",IFERROR(MAX(-1,(G127-O127)/MAX(0.000001,G127)),"Unavailable"))</x:f>
        <x:v>0.14226519416909617</x:v>
      </x:c>
      <x:c r="W127" s="9" t="str">
        <x:f>IF(C127="","",IFERROR(INDEX('Borrowers'!$D$9:$D$108,MATCH(C127,'Borrowers'!$C$9:$C$108,0)),"Unavailable"))</x:f>
        <x:v>Demo Nile Textiles</x:v>
      </x:c>
    </x:row>
    <x:row r="128" ht="26" customHeight="1">
      <x:c r="A128" s="1"/>
      <x:c r="B128" s="1"/>
      <x:c r="C128" s="9" t="str">
        <x:f>IF(Borrowers!C28="","",Borrowers!C28)</x:f>
        <x:v>B020</x:v>
      </x:c>
      <x:c r="D128" s="3" t="n">
        <x:v>2</x:v>
      </x:c>
      <x:c r="E128" s="9" t="n">
        <x:f>Settings!$F$18+1</x:f>
        <x:v>2028</x:v>
      </x:c>
      <x:c r="F128" s="9" t="str">
        <x:f>IF(C128="","",INDEX('Borrowers'!$F$9:$F$108,MATCH(C128,'Borrowers'!$C$9:$C$108,0)))</x:f>
        <x:v>Agriculture</x:v>
      </x:c>
      <x:c r="G128" s="23" t="n">
        <x:f>IF(C128="","",IFERROR(INDEX('Borrowers'!$J$9:$J$108,MATCH(C128,'Borrowers'!$C$9:$C$108,0))-INDEX('Borrowers'!$K$9:$K$108,MATCH(C128,'Borrowers'!$C$9:$C$108,0)),"Unavailable"))</x:f>
        <x:v>35.65</x:v>
      </x:c>
      <x:c r="H128" s="23" t="n">
        <x:f>IF(C128="","",IFERROR(INDEX('Borrowers'!$I$9:$I$108,MATCH(C128,'Borrowers'!$C$9:$C$108,0))*INDEX('Borrowers'!$U$9:$U$108,MATCH(C128,'Borrowers'!$C$9:$C$108,0))*(IF(F128="Transport",'Scenario Paths'!G156,IF(F128="Technology",'Scenario Paths'!G150,IF(F128="Utilities",'Scenario Paths'!G144,IF(F128="Agriculture",'Scenario Paths'!G138,IF(F128="Manufacturing",'Scenario Paths'!G132,IF(F128="Healthcare",'Scenario Paths'!G126,IF(F128="Hospitality",'Scenario Paths'!G120,IF(F128="Property",'Scenario Paths'!G114,IF(F128="Food",'Scenario Paths'!G108,IF(F128="Logistics",'Scenario Paths'!G102,IF(F128="Solar",'Scenario Paths'!G96,IF(F128="Cement",'Scenario Paths'!G90,0))))))))))))),"Unavailable"))</x:f>
        <x:v>-2.2002</x:v>
      </x:c>
      <x:c r="I128" s="23" t="n">
        <x:f>IF(C128="","",IFERROR(INDEX('Borrowers'!$R$9:$R$108,MATCH(C128,'Borrowers'!$C$9:$C$108,0))*(1-INDEX('Borrowers'!$W$9:$W$108,MATCH(C128,'Borrowers'!$C$9:$C$108,0))*'Scenario Paths'!G39)*'Scenario Paths'!G9/1000000*(1-INDEX('Borrowers'!$T$9:$T$108,MATCH(C128,'Borrowers'!$C$9:$C$108,0))),"Unavailable"))</x:f>
        <x:v>0.09947</x:v>
      </x:c>
      <x:c r="J128" s="23" t="n">
        <x:f>IF(C128="","",IFERROR(INDEX('Borrowers'!$I$9:$I$108,MATCH(C128,'Borrowers'!$C$9:$C$108,0))*INDEX('Borrowers'!$S$9:$S$108,MATCH(C128,'Borrowers'!$C$9:$C$108,0))*'Scenario Paths'!G15*(1-INDEX('Borrowers'!$T$9:$T$108,MATCH(C128,'Borrowers'!$C$9:$C$108,0))),"Unavailable"))</x:f>
        <x:v>0.8781500000000001</x:v>
      </x:c>
      <x:c r="K128" s="23" t="n">
        <x:f>IF(C128="","",IFERROR(INDEX('Borrowers'!$I$9:$I$108,MATCH(C128,'Borrowers'!$C$9:$C$108,0))*INDEX('Borrowers'!$U$9:$U$108,MATCH(C128,'Borrowers'!$C$9:$C$108,0))*'Scenario Paths'!G21*S128,"Unavailable"))</x:f>
        <x:v>0.19948480000000002</x:v>
      </x:c>
      <x:c r="L128" s="23" t="n">
        <x:f>IF(C128="","",IFERROR(SUMPRODUCT((Sites!$D$9:$D$108=C128)*Sites!$H$9:$H$108*Sites!$J$9:$J$108*Sites!$K$9:$K$108*(1-Sites!$L$9:$L$108)*(1-Sites!$M$9:$M$108))*'Scenario Paths'!G27,"Unavailable"))</x:f>
        <x:v>0.173536</x:v>
      </x:c>
      <x:c r="M128" s="23" t="n">
        <x:f>IF(C128="","",IFERROR(INDEX('Borrowers'!$J$9:$J$108,MATCH(C128,'Borrowers'!$C$9:$C$108,0))+H128-SUM(I128:L128),"Unavailable"))</x:f>
        <x:v>36.9491592</x:v>
      </x:c>
      <x:c r="N128" s="23" t="n">
        <x:f>IF(C128="","",IFERROR(INDEX('Borrowers'!$I$9:$I$108,MATCH(C128,'Borrowers'!$C$9:$C$108,0))*'Scenario Paths'!G33,"Unavailable"))</x:f>
        <x:v>1.93</x:v>
      </x:c>
      <x:c r="O128" s="23" t="n">
        <x:f>IF(C128="","",IFERROR(M128-INDEX('Borrowers'!$K$9:$K$108,MATCH(C128,'Borrowers'!$C$9:$C$108,0))-N128,"Unavailable"))</x:f>
        <x:v>30.169159199999996</x:v>
      </x:c>
      <x:c r="P128" s="127" t="n">
        <x:f>IF(C128="","",IFERROR(O128/INDEX('Borrowers'!$L$9:$L$108,MATCH(C128,'Borrowers'!$C$9:$C$108,0)),"Unavailable"))</x:f>
        <x:v>2.8195475887850465</x:v>
      </x:c>
      <x:c r="Q128" s="30" t="n">
        <x:f>IF(C128="","",IFERROR(IF(INDEX('Borrowers'!$Z$9:$Z$108,MATCH(C128,'Borrowers'!$C$9:$C$108,0))="Yes",1,IF(INDEX('Borrowers'!$P$9:$P$108,MATCH(C128,'Borrowers'!$C$9:$C$108,0))=0,0,MIN(1,INDEX('Borrowers'!$P$9:$P$108,MATCH(C128,'Borrowers'!$C$9:$C$108,0))*EXP(MIN(20,INDEX('Borrowers'!$V$9:$V$108,MATCH(C128,'Borrowers'!$C$9:$C$108,0))*V128))))),"Unavailable"))</x:f>
        <x:v>0.023019834128471167</x:v>
      </x:c>
      <x:c r="R128" s="30" t="n">
        <x:f>IF(C128="","",IFERROR(MIN(1,INDEX('Borrowers'!$Q$9:$Q$108,MATCH(C128,'Borrowers'!$C$9:$C$108,0))+(1-INDEX('Borrowers'!$Q$9:$Q$108,MATCH(C128,'Borrowers'!$C$9:$C$108,0)))*T128),"Unavailable"))</x:f>
        <x:v>0.44152320000000006</x:v>
      </x:c>
      <x:c r="S128" s="30" t="n">
        <x:f>IF(C128="","",IFERROR(SUMPRODUCT((Sites!$D$9:$D$108=C128)*Sites!$I$9:$I$108*Sites!$J$9:$J$108*Sites!$K$9:$K$108*(1-Sites!$L$9:$L$108)),"Unavailable"))</x:f>
        <x:v>0.272</x:v>
      </x:c>
      <x:c r="T128" s="30" t="n">
        <x:f>IF(C128="","",IFERROR(MIN(1,(SUMPRODUCT((Sites!$D$9:$D$108=C128)*Sites!$N$9:$N$108*Sites!$J$9:$J$108*Sites!$K$9:$K$108*(1-Sites!$L$9:$L$108)))*'Scenario Paths'!G27),"Unavailable"))</x:f>
        <x:v>0.00272</x:v>
      </x:c>
      <x:c r="U128" s="9" t="str">
        <x:f>IF(C128="","",IF(OR(INDEX('Borrowers'!$AA$9:$AA$108,MATCH(C128,'Borrowers'!$C$9:$C$108,0))&lt;&gt;"Ready",COUNTIF(Sites!$D$9:$D$108,C128)=0,COUNTIFS(Sites!$D$9:$D$108,C128,Sites!$Q$9:$Q$108,"&lt;&gt;Ready")&gt;0,'Scenario Paths'!$F$6&lt;&gt;"Ready"),"Review source inputs","Ready"))</x:f>
        <x:v>Ready</x:v>
      </x:c>
      <x:c r="V128" s="17" t="n">
        <x:f>IF(C128="","",IFERROR(MAX(-1,(G128-O128)/MAX(0.000001,G128)),"Unavailable"))</x:f>
        <x:v>0.15374027489481074</x:v>
      </x:c>
      <x:c r="W128" s="9" t="str">
        <x:f>IF(C128="","",IFERROR(INDEX('Borrowers'!$D$9:$D$108,MATCH(C128,'Borrowers'!$C$9:$C$108,0)),"Unavailable"))</x:f>
        <x:v>Demo Delta Agriculture</x:v>
      </x:c>
    </x:row>
    <x:row r="129" ht="26" customHeight="1">
      <x:c r="A129" s="1"/>
      <x:c r="B129" s="1"/>
      <x:c r="C129" s="9" t="str">
        <x:f>IF(Borrowers!C29="","",Borrowers!C29)</x:f>
        <x:v>B021</x:v>
      </x:c>
      <x:c r="D129" s="3" t="n">
        <x:v>2</x:v>
      </x:c>
      <x:c r="E129" s="9" t="n">
        <x:f>Settings!$F$18+1</x:f>
        <x:v>2028</x:v>
      </x:c>
      <x:c r="F129" s="9" t="str">
        <x:f>IF(C129="","",INDEX('Borrowers'!$F$9:$F$108,MATCH(C129,'Borrowers'!$C$9:$C$108,0)))</x:f>
        <x:v>Utilities</x:v>
      </x:c>
      <x:c r="G129" s="23" t="n">
        <x:f>IF(C129="","",IFERROR(INDEX('Borrowers'!$J$9:$J$108,MATCH(C129,'Borrowers'!$C$9:$C$108,0))-INDEX('Borrowers'!$K$9:$K$108,MATCH(C129,'Borrowers'!$C$9:$C$108,0)),"Unavailable"))</x:f>
        <x:v>37</x:v>
      </x:c>
      <x:c r="H129" s="23" t="n">
        <x:f>IF(C129="","",IFERROR(INDEX('Borrowers'!$I$9:$I$108,MATCH(C129,'Borrowers'!$C$9:$C$108,0))*INDEX('Borrowers'!$U$9:$U$108,MATCH(C129,'Borrowers'!$C$9:$C$108,0))*(IF(F129="Transport",'Scenario Paths'!G156,IF(F129="Technology",'Scenario Paths'!G150,IF(F129="Utilities",'Scenario Paths'!G144,IF(F129="Agriculture",'Scenario Paths'!G138,IF(F129="Manufacturing",'Scenario Paths'!G132,IF(F129="Healthcare",'Scenario Paths'!G126,IF(F129="Hospitality",'Scenario Paths'!G120,IF(F129="Property",'Scenario Paths'!G114,IF(F129="Food",'Scenario Paths'!G108,IF(F129="Logistics",'Scenario Paths'!G102,IF(F129="Solar",'Scenario Paths'!G96,IF(F129="Cement",'Scenario Paths'!G90,0))))))))))))),"Unavailable"))</x:f>
        <x:v>-2.6399999999999997</x:v>
      </x:c>
      <x:c r="I129" s="23" t="n">
        <x:f>IF(C129="","",IFERROR(INDEX('Borrowers'!$R$9:$R$108,MATCH(C129,'Borrowers'!$C$9:$C$108,0))*(1-INDEX('Borrowers'!$W$9:$W$108,MATCH(C129,'Borrowers'!$C$9:$C$108,0))*'Scenario Paths'!G39)*'Scenario Paths'!G9/1000000*(1-INDEX('Borrowers'!$T$9:$T$108,MATCH(C129,'Borrowers'!$C$9:$C$108,0))),"Unavailable"))</x:f>
        <x:v>0.1911</x:v>
      </x:c>
      <x:c r="J129" s="23" t="n">
        <x:f>IF(C129="","",IFERROR(INDEX('Borrowers'!$I$9:$I$108,MATCH(C129,'Borrowers'!$C$9:$C$108,0))*INDEX('Borrowers'!$S$9:$S$108,MATCH(C129,'Borrowers'!$C$9:$C$108,0))*'Scenario Paths'!G15*(1-INDEX('Borrowers'!$T$9:$T$108,MATCH(C129,'Borrowers'!$C$9:$C$108,0))),"Unavailable"))</x:f>
        <x:v>0.9100000000000003</x:v>
      </x:c>
      <x:c r="K129" s="23" t="n">
        <x:f>IF(C129="","",IFERROR(INDEX('Borrowers'!$I$9:$I$108,MATCH(C129,'Borrowers'!$C$9:$C$108,0))*INDEX('Borrowers'!$U$9:$U$108,MATCH(C129,'Borrowers'!$C$9:$C$108,0))*'Scenario Paths'!G21*S129,"Unavailable"))</x:f>
        <x:v>0.09151999999999999</x:v>
      </x:c>
      <x:c r="L129" s="23" t="n">
        <x:f>IF(C129="","",IFERROR(SUMPRODUCT((Sites!$D$9:$D$108=C129)*Sites!$H$9:$H$108*Sites!$J$9:$J$108*Sites!$K$9:$K$108*(1-Sites!$L$9:$L$108)*(1-Sites!$M$9:$M$108))*'Scenario Paths'!G27,"Unavailable"))</x:f>
        <x:v>0.06864</x:v>
      </x:c>
      <x:c r="M129" s="23" t="n">
        <x:f>IF(C129="","",IFERROR(INDEX('Borrowers'!$J$9:$J$108,MATCH(C129,'Borrowers'!$C$9:$C$108,0))+H129-SUM(I129:L129),"Unavailable"))</x:f>
        <x:v>38.09874</x:v>
      </x:c>
      <x:c r="N129" s="23" t="n">
        <x:f>IF(C129="","",IFERROR(INDEX('Borrowers'!$I$9:$I$108,MATCH(C129,'Borrowers'!$C$9:$C$108,0))*'Scenario Paths'!G33,"Unavailable"))</x:f>
        <x:v>2</x:v>
      </x:c>
      <x:c r="O129" s="23" t="n">
        <x:f>IF(C129="","",IFERROR(M129-INDEX('Borrowers'!$K$9:$K$108,MATCH(C129,'Borrowers'!$C$9:$C$108,0))-N129,"Unavailable"))</x:f>
        <x:v>31.09874</x:v>
      </x:c>
      <x:c r="P129" s="127" t="n">
        <x:f>IF(C129="","",IFERROR(O129/INDEX('Borrowers'!$L$9:$L$108,MATCH(C129,'Borrowers'!$C$9:$C$108,0)),"Unavailable"))</x:f>
        <x:v>2.8271581818181817</x:v>
      </x:c>
      <x:c r="Q129" s="30" t="n">
        <x:f>IF(C129="","",IFERROR(IF(INDEX('Borrowers'!$Z$9:$Z$108,MATCH(C129,'Borrowers'!$C$9:$C$108,0))="Yes",1,IF(INDEX('Borrowers'!$P$9:$P$108,MATCH(C129,'Borrowers'!$C$9:$C$108,0))=0,0,MIN(1,INDEX('Borrowers'!$P$9:$P$108,MATCH(C129,'Borrowers'!$C$9:$C$108,0))*EXP(MIN(20,INDEX('Borrowers'!$V$9:$V$108,MATCH(C129,'Borrowers'!$C$9:$C$108,0))*V129))))),"Unavailable"))</x:f>
        <x:v>0.030976952243992745</x:v>
      </x:c>
      <x:c r="R129" s="30" t="n">
        <x:f>IF(C129="","",IFERROR(MIN(1,INDEX('Borrowers'!$Q$9:$Q$108,MATCH(C129,'Borrowers'!$C$9:$C$108,0))+(1-INDEX('Borrowers'!$Q$9:$Q$108,MATCH(C129,'Borrowers'!$C$9:$C$108,0)))*T129),"Unavailable"))</x:f>
        <x:v>0.2807488</x:v>
      </x:c>
      <x:c r="S129" s="30" t="n">
        <x:f>IF(C129="","",IFERROR(SUMPRODUCT((Sites!$D$9:$D$108=C129)*Sites!$I$9:$I$108*Sites!$J$9:$J$108*Sites!$K$9:$K$108*(1-Sites!$L$9:$L$108)),"Unavailable"))</x:f>
        <x:v>0.104</x:v>
      </x:c>
      <x:c r="T129" s="30" t="n">
        <x:f>IF(C129="","",IFERROR(MIN(1,(SUMPRODUCT((Sites!$D$9:$D$108=C129)*Sites!$N$9:$N$108*Sites!$J$9:$J$108*Sites!$K$9:$K$108*(1-Sites!$L$9:$L$108)))*'Scenario Paths'!G27),"Unavailable"))</x:f>
        <x:v>0.00104</x:v>
      </x:c>
      <x:c r="U129" s="9" t="str">
        <x:f>IF(C129="","",IF(OR(INDEX('Borrowers'!$AA$9:$AA$108,MATCH(C129,'Borrowers'!$C$9:$C$108,0))&lt;&gt;"Ready",COUNTIF(Sites!$D$9:$D$108,C129)=0,COUNTIFS(Sites!$D$9:$D$108,C129,Sites!$Q$9:$Q$108,"&lt;&gt;Ready")&gt;0,'Scenario Paths'!$F$6&lt;&gt;"Ready"),"Review source inputs","Ready"))</x:f>
        <x:v>Ready</x:v>
      </x:c>
      <x:c r="V129" s="17" t="n">
        <x:f>IF(C129="","",IFERROR(MAX(-1,(G129-O129)/MAX(0.000001,G129)),"Unavailable"))</x:f>
        <x:v>0.15949351351351354</x:v>
      </x:c>
      <x:c r="W129" s="9" t="str">
        <x:f>IF(C129="","",IFERROR(INDEX('Borrowers'!$D$9:$D$108,MATCH(C129,'Borrowers'!$C$9:$C$108,0)),"Unavailable"))</x:f>
        <x:v>Demo Sinai Utilities</x:v>
      </x:c>
    </x:row>
    <x:row r="130" ht="26" customHeight="1">
      <x:c r="A130" s="1"/>
      <x:c r="B130" s="1"/>
      <x:c r="C130" s="9" t="str">
        <x:f>IF(Borrowers!C30="","",Borrowers!C30)</x:f>
        <x:v>B022</x:v>
      </x:c>
      <x:c r="D130" s="3" t="n">
        <x:v>2</x:v>
      </x:c>
      <x:c r="E130" s="9" t="n">
        <x:f>Settings!$F$18+1</x:f>
        <x:v>2028</x:v>
      </x:c>
      <x:c r="F130" s="9" t="str">
        <x:f>IF(C130="","",INDEX('Borrowers'!$F$9:$F$108,MATCH(C130,'Borrowers'!$C$9:$C$108,0)))</x:f>
        <x:v>Manufacturing</x:v>
      </x:c>
      <x:c r="G130" s="23" t="n">
        <x:f>IF(C130="","",IFERROR(INDEX('Borrowers'!$J$9:$J$108,MATCH(C130,'Borrowers'!$C$9:$C$108,0))-INDEX('Borrowers'!$K$9:$K$108,MATCH(C130,'Borrowers'!$C$9:$C$108,0)),"Unavailable"))</x:f>
        <x:v>38.35</x:v>
      </x:c>
      <x:c r="H130" s="23" t="n">
        <x:f>IF(C130="","",IFERROR(INDEX('Borrowers'!$I$9:$I$108,MATCH(C130,'Borrowers'!$C$9:$C$108,0))*INDEX('Borrowers'!$U$9:$U$108,MATCH(C130,'Borrowers'!$C$9:$C$108,0))*(IF(F130="Transport",'Scenario Paths'!G156,IF(F130="Technology",'Scenario Paths'!G150,IF(F130="Utilities",'Scenario Paths'!G144,IF(F130="Agriculture",'Scenario Paths'!G138,IF(F130="Manufacturing",'Scenario Paths'!G132,IF(F130="Healthcare",'Scenario Paths'!G126,IF(F130="Hospitality",'Scenario Paths'!G120,IF(F130="Property",'Scenario Paths'!G114,IF(F130="Food",'Scenario Paths'!G108,IF(F130="Logistics",'Scenario Paths'!G102,IF(F130="Solar",'Scenario Paths'!G96,IF(F130="Cement",'Scenario Paths'!G90,0))))))))))))),"Unavailable"))</x:f>
        <x:v>-1.9871999999999999</x:v>
      </x:c>
      <x:c r="I130" s="23" t="n">
        <x:f>IF(C130="","",IFERROR(INDEX('Borrowers'!$R$9:$R$108,MATCH(C130,'Borrowers'!$C$9:$C$108,0))*(1-INDEX('Borrowers'!$W$9:$W$108,MATCH(C130,'Borrowers'!$C$9:$C$108,0))*'Scenario Paths'!G39)*'Scenario Paths'!G9/1000000*(1-INDEX('Borrowers'!$T$9:$T$108,MATCH(C130,'Borrowers'!$C$9:$C$108,0))),"Unavailable"))</x:f>
        <x:v>0.16709000000000002</x:v>
      </x:c>
      <x:c r="J130" s="23" t="n">
        <x:f>IF(C130="","",IFERROR(INDEX('Borrowers'!$I$9:$I$108,MATCH(C130,'Borrowers'!$C$9:$C$108,0))*INDEX('Borrowers'!$S$9:$S$108,MATCH(C130,'Borrowers'!$C$9:$C$108,0))*'Scenario Paths'!G15*(1-INDEX('Borrowers'!$T$9:$T$108,MATCH(C130,'Borrowers'!$C$9:$C$108,0))),"Unavailable"))</x:f>
        <x:v>1.0246500000000003</x:v>
      </x:c>
      <x:c r="K130" s="23" t="n">
        <x:f>IF(C130="","",IFERROR(INDEX('Borrowers'!$I$9:$I$108,MATCH(C130,'Borrowers'!$C$9:$C$108,0))*INDEX('Borrowers'!$U$9:$U$108,MATCH(C130,'Borrowers'!$C$9:$C$108,0))*'Scenario Paths'!G21*S130,"Unavailable"))</x:f>
        <x:v>0.05935104000000001</x:v>
      </x:c>
      <x:c r="L130" s="23" t="n">
        <x:f>IF(C130="","",IFERROR(SUMPRODUCT((Sites!$D$9:$D$108=C130)*Sites!$H$9:$H$108*Sites!$J$9:$J$108*Sites!$K$9:$K$108*(1-Sites!$L$9:$L$108)*(1-Sites!$M$9:$M$108))*'Scenario Paths'!G27,"Unavailable"))</x:f>
        <x:v>0.06110720000000001</x:v>
      </x:c>
      <x:c r="M130" s="23" t="n">
        <x:f>IF(C130="","",IFERROR(INDEX('Borrowers'!$J$9:$J$108,MATCH(C130,'Borrowers'!$C$9:$C$108,0))+H130-SUM(I130:L130),"Unavailable"))</x:f>
        <x:v>40.20060176</x:v>
      </x:c>
      <x:c r="N130" s="23" t="n">
        <x:f>IF(C130="","",IFERROR(INDEX('Borrowers'!$I$9:$I$108,MATCH(C130,'Borrowers'!$C$9:$C$108,0))*'Scenario Paths'!G33,"Unavailable"))</x:f>
        <x:v>2.07</x:v>
      </x:c>
      <x:c r="O130" s="23" t="n">
        <x:f>IF(C130="","",IFERROR(M130-INDEX('Borrowers'!$K$9:$K$108,MATCH(C130,'Borrowers'!$C$9:$C$108,0))-N130,"Unavailable"))</x:f>
        <x:v>32.98060176</x:v>
      </x:c>
      <x:c r="P130" s="127" t="n">
        <x:f>IF(C130="","",IFERROR(O130/INDEX('Borrowers'!$L$9:$L$108,MATCH(C130,'Borrowers'!$C$9:$C$108,0)),"Unavailable"))</x:f>
        <x:v>2.918637323893805</x:v>
      </x:c>
      <x:c r="Q130" s="30" t="n">
        <x:f>IF(C130="","",IFERROR(IF(INDEX('Borrowers'!$Z$9:$Z$108,MATCH(C130,'Borrowers'!$C$9:$C$108,0))="Yes",1,IF(INDEX('Borrowers'!$P$9:$P$108,MATCH(C130,'Borrowers'!$C$9:$C$108,0))=0,0,MIN(1,INDEX('Borrowers'!$P$9:$P$108,MATCH(C130,'Borrowers'!$C$9:$C$108,0))*EXP(MIN(20,INDEX('Borrowers'!$V$9:$V$108,MATCH(C130,'Borrowers'!$C$9:$C$108,0))*V130))))),"Unavailable"))</x:f>
        <x:v>0.037532754183157706</x:v>
      </x:c>
      <x:c r="R130" s="30" t="n">
        <x:f>IF(C130="","",IFERROR(MIN(1,INDEX('Borrowers'!$Q$9:$Q$108,MATCH(C130,'Borrowers'!$C$9:$C$108,0))+(1-INDEX('Borrowers'!$Q$9:$Q$108,MATCH(C130,'Borrowers'!$C$9:$C$108,0)))*T130),"Unavailable"))</x:f>
        <x:v>0.32060928</x:v>
      </x:c>
      <x:c r="S130" s="30" t="n">
        <x:f>IF(C130="","",IFERROR(SUMPRODUCT((Sites!$D$9:$D$108=C130)*Sites!$I$9:$I$108*Sites!$J$9:$J$108*Sites!$K$9:$K$108*(1-Sites!$L$9:$L$108)),"Unavailable"))</x:f>
        <x:v>0.08960000000000001</x:v>
      </x:c>
      <x:c r="T130" s="30" t="n">
        <x:f>IF(C130="","",IFERROR(MIN(1,(SUMPRODUCT((Sites!$D$9:$D$108=C130)*Sites!$N$9:$N$108*Sites!$J$9:$J$108*Sites!$K$9:$K$108*(1-Sites!$L$9:$L$108)))*'Scenario Paths'!G27),"Unavailable"))</x:f>
        <x:v>0.0008960000000000001</x:v>
      </x:c>
      <x:c r="U130" s="9" t="str">
        <x:f>IF(C130="","",IF(OR(INDEX('Borrowers'!$AA$9:$AA$108,MATCH(C130,'Borrowers'!$C$9:$C$108,0))&lt;&gt;"Ready",COUNTIF(Sites!$D$9:$D$108,C130)=0,COUNTIFS(Sites!$D$9:$D$108,C130,Sites!$Q$9:$Q$108,"&lt;&gt;Ready")&gt;0,'Scenario Paths'!$F$6&lt;&gt;"Ready"),"Review source inputs","Ready"))</x:f>
        <x:v>Ready</x:v>
      </x:c>
      <x:c r="V130" s="17" t="n">
        <x:f>IF(C130="","",IFERROR(MAX(-1,(G130-O130)/MAX(0.000001,G130)),"Unavailable"))</x:f>
        <x:v>0.14001038435462848</x:v>
      </x:c>
      <x:c r="W130" s="9" t="str">
        <x:f>IF(C130="","",IFERROR(INDEX('Borrowers'!$D$9:$D$108,MATCH(C130,'Borrowers'!$C$9:$C$108,0)),"Unavailable"))</x:f>
        <x:v>Demo Petra Manufacturing</x:v>
      </x:c>
    </x:row>
    <x:row r="131" ht="26" customHeight="1">
      <x:c r="A131" s="1"/>
      <x:c r="B131" s="1"/>
      <x:c r="C131" s="9" t="str">
        <x:f>IF(Borrowers!C31="","",Borrowers!C31)</x:f>
        <x:v>B023</x:v>
      </x:c>
      <x:c r="D131" s="3" t="n">
        <x:v>2</x:v>
      </x:c>
      <x:c r="E131" s="9" t="n">
        <x:f>Settings!$F$18+1</x:f>
        <x:v>2028</x:v>
      </x:c>
      <x:c r="F131" s="9" t="str">
        <x:f>IF(C131="","",INDEX('Borrowers'!$F$9:$F$108,MATCH(C131,'Borrowers'!$C$9:$C$108,0)))</x:f>
        <x:v>Technology</x:v>
      </x:c>
      <x:c r="G131" s="23" t="n">
        <x:f>IF(C131="","",IFERROR(INDEX('Borrowers'!$J$9:$J$108,MATCH(C131,'Borrowers'!$C$9:$C$108,0))-INDEX('Borrowers'!$K$9:$K$108,MATCH(C131,'Borrowers'!$C$9:$C$108,0)),"Unavailable"))</x:f>
        <x:v>39.7</x:v>
      </x:c>
      <x:c r="H131" s="23" t="n">
        <x:f>IF(C131="","",IFERROR(INDEX('Borrowers'!$I$9:$I$108,MATCH(C131,'Borrowers'!$C$9:$C$108,0))*INDEX('Borrowers'!$U$9:$U$108,MATCH(C131,'Borrowers'!$C$9:$C$108,0))*(IF(F131="Transport",'Scenario Paths'!G156,IF(F131="Technology",'Scenario Paths'!G150,IF(F131="Utilities",'Scenario Paths'!G144,IF(F131="Agriculture",'Scenario Paths'!G138,IF(F131="Manufacturing",'Scenario Paths'!G132,IF(F131="Healthcare",'Scenario Paths'!G126,IF(F131="Hospitality",'Scenario Paths'!G120,IF(F131="Property",'Scenario Paths'!G114,IF(F131="Food",'Scenario Paths'!G108,IF(F131="Logistics",'Scenario Paths'!G102,IF(F131="Solar",'Scenario Paths'!G96,IF(F131="Cement",'Scenario Paths'!G90,0))))))))))))),"Unavailable"))</x:f>
        <x:v>-2.4396</x:v>
      </x:c>
      <x:c r="I131" s="23" t="n">
        <x:f>IF(C131="","",IFERROR(INDEX('Borrowers'!$R$9:$R$108,MATCH(C131,'Borrowers'!$C$9:$C$108,0))*(1-INDEX('Borrowers'!$W$9:$W$108,MATCH(C131,'Borrowers'!$C$9:$C$108,0))*'Scenario Paths'!G39)*'Scenario Paths'!G9/1000000*(1-INDEX('Borrowers'!$T$9:$T$108,MATCH(C131,'Borrowers'!$C$9:$C$108,0))),"Unavailable"))</x:f>
        <x:v>0.14111999999999997</x:v>
      </x:c>
      <x:c r="J131" s="23" t="n">
        <x:f>IF(C131="","",IFERROR(INDEX('Borrowers'!$I$9:$I$108,MATCH(C131,'Borrowers'!$C$9:$C$108,0))*INDEX('Borrowers'!$S$9:$S$108,MATCH(C131,'Borrowers'!$C$9:$C$108,0))*'Scenario Paths'!G15*(1-INDEX('Borrowers'!$T$9:$T$108,MATCH(C131,'Borrowers'!$C$9:$C$108,0))),"Unavailable"))</x:f>
        <x:v>1.0593000000000001</x:v>
      </x:c>
      <x:c r="K131" s="23" t="n">
        <x:f>IF(C131="","",IFERROR(INDEX('Borrowers'!$I$9:$I$108,MATCH(C131,'Borrowers'!$C$9:$C$108,0))*INDEX('Borrowers'!$U$9:$U$108,MATCH(C131,'Borrowers'!$C$9:$C$108,0))*'Scenario Paths'!G21*S131,"Unavailable"))</x:f>
        <x:v>0.14312320000000003</x:v>
      </x:c>
      <x:c r="L131" s="23" t="n">
        <x:f>IF(C131="","",IFERROR(SUMPRODUCT((Sites!$D$9:$D$108=C131)*Sites!$H$9:$H$108*Sites!$J$9:$J$108*Sites!$K$9:$K$108*(1-Sites!$L$9:$L$108)*(1-Sites!$M$9:$M$108))*'Scenario Paths'!G27,"Unavailable"))</x:f>
        <x:v>0.12390400000000001</x:v>
      </x:c>
      <x:c r="M131" s="23" t="n">
        <x:f>IF(C131="","",IFERROR(INDEX('Borrowers'!$J$9:$J$108,MATCH(C131,'Borrowers'!$C$9:$C$108,0))+H131-SUM(I131:L131),"Unavailable"))</x:f>
        <x:v>41.0929528</x:v>
      </x:c>
      <x:c r="N131" s="23" t="n">
        <x:f>IF(C131="","",IFERROR(INDEX('Borrowers'!$I$9:$I$108,MATCH(C131,'Borrowers'!$C$9:$C$108,0))*'Scenario Paths'!G33,"Unavailable"))</x:f>
        <x:v>2.14</x:v>
      </x:c>
      <x:c r="O131" s="23" t="n">
        <x:f>IF(C131="","",IFERROR(M131-INDEX('Borrowers'!$K$9:$K$108,MATCH(C131,'Borrowers'!$C$9:$C$108,0))-N131,"Unavailable"))</x:f>
        <x:v>33.6529528</x:v>
      </x:c>
      <x:c r="P131" s="127" t="n">
        <x:f>IF(C131="","",IFERROR(O131/INDEX('Borrowers'!$L$9:$L$108,MATCH(C131,'Borrowers'!$C$9:$C$108,0)),"Unavailable"))</x:f>
        <x:v>2.9011166206896553</x:v>
      </x:c>
      <x:c r="Q131" s="30" t="n">
        <x:f>IF(C131="","",IFERROR(IF(INDEX('Borrowers'!$Z$9:$Z$108,MATCH(C131,'Borrowers'!$C$9:$C$108,0))="Yes",1,IF(INDEX('Borrowers'!$P$9:$P$108,MATCH(C131,'Borrowers'!$C$9:$C$108,0))=0,0,MIN(1,INDEX('Borrowers'!$P$9:$P$108,MATCH(C131,'Borrowers'!$C$9:$C$108,0))*EXP(MIN(20,INDEX('Borrowers'!$V$9:$V$108,MATCH(C131,'Borrowers'!$C$9:$C$108,0))*V131))))),"Unavailable"))</x:f>
        <x:v>1</x:v>
      </x:c>
      <x:c r="R131" s="30" t="n">
        <x:f>IF(C131="","",IFERROR(MIN(1,INDEX('Borrowers'!$Q$9:$Q$108,MATCH(C131,'Borrowers'!$C$9:$C$108,0))+(1-INDEX('Borrowers'!$Q$9:$Q$108,MATCH(C131,'Borrowers'!$C$9:$C$108,0)))*T131),"Unavailable"))</x:f>
        <x:v>0.36112640000000007</x:v>
      </x:c>
      <x:c r="S131" s="30" t="n">
        <x:f>IF(C131="","",IFERROR(SUMPRODUCT((Sites!$D$9:$D$108=C131)*Sites!$I$9:$I$108*Sites!$J$9:$J$108*Sites!$K$9:$K$108*(1-Sites!$L$9:$L$108)),"Unavailable"))</x:f>
        <x:v>0.17600000000000002</x:v>
      </x:c>
      <x:c r="T131" s="30" t="n">
        <x:f>IF(C131="","",IFERROR(MIN(1,(SUMPRODUCT((Sites!$D$9:$D$108=C131)*Sites!$N$9:$N$108*Sites!$J$9:$J$108*Sites!$K$9:$K$108*(1-Sites!$L$9:$L$108)))*'Scenario Paths'!G27),"Unavailable"))</x:f>
        <x:v>0.0017600000000000003</x:v>
      </x:c>
      <x:c r="U131" s="9" t="str">
        <x:f>IF(C131="","",IF(OR(INDEX('Borrowers'!$AA$9:$AA$108,MATCH(C131,'Borrowers'!$C$9:$C$108,0))&lt;&gt;"Ready",COUNTIF(Sites!$D$9:$D$108,C131)=0,COUNTIFS(Sites!$D$9:$D$108,C131,Sites!$Q$9:$Q$108,"&lt;&gt;Ready")&gt;0,'Scenario Paths'!$F$6&lt;&gt;"Ready"),"Review source inputs","Ready"))</x:f>
        <x:v>Ready</x:v>
      </x:c>
      <x:c r="V131" s="17" t="n">
        <x:f>IF(C131="","",IFERROR(MAX(-1,(G131-O131)/MAX(0.000001,G131)),"Unavailable"))</x:f>
        <x:v>0.15231856926952145</x:v>
      </x:c>
      <x:c r="W131" s="9" t="str">
        <x:f>IF(C131="","",IFERROR(INDEX('Borrowers'!$D$9:$D$108,MATCH(C131,'Borrowers'!$C$9:$C$108,0)),"Unavailable"))</x:f>
        <x:v>Demo Gulf Technology</x:v>
      </x:c>
    </x:row>
    <x:row r="132" ht="26" customHeight="1">
      <x:c r="A132" s="1"/>
      <x:c r="B132" s="1"/>
      <x:c r="C132" s="9" t="str">
        <x:f>IF(Borrowers!C32="","",Borrowers!C32)</x:f>
        <x:v>B024</x:v>
      </x:c>
      <x:c r="D132" s="3" t="n">
        <x:v>2</x:v>
      </x:c>
      <x:c r="E132" s="9" t="n">
        <x:f>Settings!$F$18+1</x:f>
        <x:v>2028</x:v>
      </x:c>
      <x:c r="F132" s="9" t="str">
        <x:f>IF(C132="","",INDEX('Borrowers'!$F$9:$F$108,MATCH(C132,'Borrowers'!$C$9:$C$108,0)))</x:f>
        <x:v>Transport</x:v>
      </x:c>
      <x:c r="G132" s="23" t="n">
        <x:f>IF(C132="","",IFERROR(INDEX('Borrowers'!$J$9:$J$108,MATCH(C132,'Borrowers'!$C$9:$C$108,0))-INDEX('Borrowers'!$K$9:$K$108,MATCH(C132,'Borrowers'!$C$9:$C$108,0)),"Unavailable"))</x:f>
        <x:v>41.05</x:v>
      </x:c>
      <x:c r="H132" s="23" t="n">
        <x:f>IF(C132="","",IFERROR(INDEX('Borrowers'!$I$9:$I$108,MATCH(C132,'Borrowers'!$C$9:$C$108,0))*INDEX('Borrowers'!$U$9:$U$108,MATCH(C132,'Borrowers'!$C$9:$C$108,0))*(IF(F132="Transport",'Scenario Paths'!G156,IF(F132="Technology",'Scenario Paths'!G150,IF(F132="Utilities",'Scenario Paths'!G144,IF(F132="Agriculture",'Scenario Paths'!G138,IF(F132="Manufacturing",'Scenario Paths'!G132,IF(F132="Healthcare",'Scenario Paths'!G126,IF(F132="Hospitality",'Scenario Paths'!G120,IF(F132="Property",'Scenario Paths'!G114,IF(F132="Food",'Scenario Paths'!G108,IF(F132="Logistics",'Scenario Paths'!G102,IF(F132="Solar",'Scenario Paths'!G96,IF(F132="Cement",'Scenario Paths'!G90,0))))))))))))),"Unavailable"))</x:f>
        <x:v>-2.9172</x:v>
      </x:c>
      <x:c r="I132" s="23" t="n">
        <x:f>IF(C132="","",IFERROR(INDEX('Borrowers'!$R$9:$R$108,MATCH(C132,'Borrowers'!$C$9:$C$108,0))*(1-INDEX('Borrowers'!$W$9:$W$108,MATCH(C132,'Borrowers'!$C$9:$C$108,0))*'Scenario Paths'!G39)*'Scenario Paths'!G9/1000000*(1-INDEX('Borrowers'!$T$9:$T$108,MATCH(C132,'Borrowers'!$C$9:$C$108,0))),"Unavailable"))</x:f>
        <x:v>0.11319</x:v>
      </x:c>
      <x:c r="J132" s="23" t="n">
        <x:f>IF(C132="","",IFERROR(INDEX('Borrowers'!$I$9:$I$108,MATCH(C132,'Borrowers'!$C$9:$C$108,0))*INDEX('Borrowers'!$S$9:$S$108,MATCH(C132,'Borrowers'!$C$9:$C$108,0))*'Scenario Paths'!G15*(1-INDEX('Borrowers'!$T$9:$T$108,MATCH(C132,'Borrowers'!$C$9:$C$108,0))),"Unavailable"))</x:f>
        <x:v>1.00555</x:v>
      </x:c>
      <x:c r="K132" s="23" t="n">
        <x:f>IF(C132="","",IFERROR(INDEX('Borrowers'!$I$9:$I$108,MATCH(C132,'Borrowers'!$C$9:$C$108,0))*INDEX('Borrowers'!$U$9:$U$108,MATCH(C132,'Borrowers'!$C$9:$C$108,0))*'Scenario Paths'!G21*S132,"Unavailable"))</x:f>
        <x:v>0.28316288</x:v>
      </x:c>
      <x:c r="L132" s="23" t="n">
        <x:f>IF(C132="","",IFERROR(SUMPRODUCT((Sites!$D$9:$D$108=C132)*Sites!$H$9:$H$108*Sites!$J$9:$J$108*Sites!$K$9:$K$108*(1-Sites!$L$9:$L$108)*(1-Sites!$M$9:$M$108))*'Scenario Paths'!G27,"Unavailable"))</x:f>
        <x:v>0.21141120000000002</x:v>
      </x:c>
      <x:c r="M132" s="23" t="n">
        <x:f>IF(C132="","",IFERROR(INDEX('Borrowers'!$J$9:$J$108,MATCH(C132,'Borrowers'!$C$9:$C$108,0))+H132-SUM(I132:L132),"Unavailable"))</x:f>
        <x:v>41.96948592</x:v>
      </x:c>
      <x:c r="N132" s="23" t="n">
        <x:f>IF(C132="","",IFERROR(INDEX('Borrowers'!$I$9:$I$108,MATCH(C132,'Borrowers'!$C$9:$C$108,0))*'Scenario Paths'!G33,"Unavailable"))</x:f>
        <x:v>2.21</x:v>
      </x:c>
      <x:c r="O132" s="23" t="n">
        <x:f>IF(C132="","",IFERROR(M132-INDEX('Borrowers'!$K$9:$K$108,MATCH(C132,'Borrowers'!$C$9:$C$108,0))-N132,"Unavailable"))</x:f>
        <x:v>34.30948591999999</x:v>
      </x:c>
      <x:c r="P132" s="127" t="n">
        <x:f>IF(C132="","",IFERROR(O132/INDEX('Borrowers'!$L$9:$L$108,MATCH(C132,'Borrowers'!$C$9:$C$108,0)),"Unavailable"))</x:f>
        <x:v>2.883150077310924</x:v>
      </x:c>
      <x:c r="Q132" s="30" t="n">
        <x:f>IF(C132="","",IFERROR(IF(INDEX('Borrowers'!$Z$9:$Z$108,MATCH(C132,'Borrowers'!$C$9:$C$108,0))="Yes",1,IF(INDEX('Borrowers'!$P$9:$P$108,MATCH(C132,'Borrowers'!$C$9:$C$108,0))=0,0,MIN(1,INDEX('Borrowers'!$P$9:$P$108,MATCH(C132,'Borrowers'!$C$9:$C$108,0))*EXP(MIN(20,INDEX('Borrowers'!$V$9:$V$108,MATCH(C132,'Borrowers'!$C$9:$C$108,0))*V132))))),"Unavailable"))</x:f>
        <x:v>0.05461964819093488</x:v>
      </x:c>
      <x:c r="R132" s="30" t="n">
        <x:f>IF(C132="","",IFERROR(MIN(1,INDEX('Borrowers'!$Q$9:$Q$108,MATCH(C132,'Borrowers'!$C$9:$C$108,0))+(1-INDEX('Borrowers'!$Q$9:$Q$108,MATCH(C132,'Borrowers'!$C$9:$C$108,0)))*T132),"Unavailable"))</x:f>
        <x:v>0.4017472</x:v>
      </x:c>
      <x:c r="S132" s="30" t="n">
        <x:f>IF(C132="","",IFERROR(SUMPRODUCT((Sites!$D$9:$D$108=C132)*Sites!$I$9:$I$108*Sites!$J$9:$J$108*Sites!$K$9:$K$108*(1-Sites!$L$9:$L$108)),"Unavailable"))</x:f>
        <x:v>0.2912</x:v>
      </x:c>
      <x:c r="T132" s="30" t="n">
        <x:f>IF(C132="","",IFERROR(MIN(1,(SUMPRODUCT((Sites!$D$9:$D$108=C132)*Sites!$N$9:$N$108*Sites!$J$9:$J$108*Sites!$K$9:$K$108*(1-Sites!$L$9:$L$108)))*'Scenario Paths'!G27),"Unavailable"))</x:f>
        <x:v>0.002912</x:v>
      </x:c>
      <x:c r="U132" s="9" t="str">
        <x:f>IF(C132="","",IF(OR(INDEX('Borrowers'!$AA$9:$AA$108,MATCH(C132,'Borrowers'!$C$9:$C$108,0))&lt;&gt;"Ready",COUNTIF(Sites!$D$9:$D$108,C132)=0,COUNTIFS(Sites!$D$9:$D$108,C132,Sites!$Q$9:$Q$108,"&lt;&gt;Ready")&gt;0,'Scenario Paths'!$F$6&lt;&gt;"Ready"),"Review source inputs","Ready"))</x:f>
        <x:v>Ready</x:v>
      </x:c>
      <x:c r="V132" s="17" t="n">
        <x:f>IF(C132="","",IFERROR(MAX(-1,(G132-O132)/MAX(0.000001,G132)),"Unavailable"))</x:f>
        <x:v>0.16420253544457988</x:v>
      </x:c>
      <x:c r="W132" s="9" t="str">
        <x:f>IF(C132="","",IFERROR(INDEX('Borrowers'!$D$9:$D$108,MATCH(C132,'Borrowers'!$C$9:$C$108,0)),"Unavailable"))</x:f>
        <x:v>Demo Cairo Mobility</x:v>
      </x:c>
    </x:row>
    <x:row r="133" ht="26" customHeight="1">
      <x:c r="A133" s="1"/>
      <x:c r="B133" s="1"/>
      <x:c r="C133" s="9" t="str">
        <x:f>IF(Borrowers!C33="","",Borrowers!C33)</x:f>
      </x:c>
      <x:c r="D133" s="3" t="n">
        <x:v>2</x:v>
      </x:c>
      <x:c r="E133" s="9" t="n">
        <x:f>Settings!$F$18+1</x:f>
        <x:v>2028</x:v>
      </x:c>
      <x:c r="F133" s="9" t="str">
        <x:f>IF(C133="","",INDEX('Borrowers'!$F$9:$F$108,MATCH(C133,'Borrowers'!$C$9:$C$108,0)))</x:f>
      </x:c>
      <x:c r="G133" s="23" t="str">
        <x:f>IF(C133="","",IFERROR(INDEX('Borrowers'!$J$9:$J$108,MATCH(C133,'Borrowers'!$C$9:$C$108,0))-INDEX('Borrowers'!$K$9:$K$108,MATCH(C133,'Borrowers'!$C$9:$C$108,0)),"Unavailable"))</x:f>
      </x:c>
      <x:c r="H133" s="23" t="str">
        <x:f>IF(C133="","",IFERROR(INDEX('Borrowers'!$I$9:$I$108,MATCH(C133,'Borrowers'!$C$9:$C$108,0))*INDEX('Borrowers'!$U$9:$U$108,MATCH(C133,'Borrowers'!$C$9:$C$108,0))*(IF(F133="Transport",'Scenario Paths'!G156,IF(F133="Technology",'Scenario Paths'!G150,IF(F133="Utilities",'Scenario Paths'!G144,IF(F133="Agriculture",'Scenario Paths'!G138,IF(F133="Manufacturing",'Scenario Paths'!G132,IF(F133="Healthcare",'Scenario Paths'!G126,IF(F133="Hospitality",'Scenario Paths'!G120,IF(F133="Property",'Scenario Paths'!G114,IF(F133="Food",'Scenario Paths'!G108,IF(F133="Logistics",'Scenario Paths'!G102,IF(F133="Solar",'Scenario Paths'!G96,IF(F133="Cement",'Scenario Paths'!G90,0))))))))))))),"Unavailable"))</x:f>
      </x:c>
      <x:c r="I133" s="23" t="str">
        <x:f>IF(C133="","",IFERROR(INDEX('Borrowers'!$R$9:$R$108,MATCH(C133,'Borrowers'!$C$9:$C$108,0))*(1-INDEX('Borrowers'!$W$9:$W$108,MATCH(C133,'Borrowers'!$C$9:$C$108,0))*'Scenario Paths'!G39)*'Scenario Paths'!G9/1000000*(1-INDEX('Borrowers'!$T$9:$T$108,MATCH(C133,'Borrowers'!$C$9:$C$108,0))),"Unavailable"))</x:f>
      </x:c>
      <x:c r="J133" s="23" t="str">
        <x:f>IF(C133="","",IFERROR(INDEX('Borrowers'!$I$9:$I$108,MATCH(C133,'Borrowers'!$C$9:$C$108,0))*INDEX('Borrowers'!$S$9:$S$108,MATCH(C133,'Borrowers'!$C$9:$C$108,0))*'Scenario Paths'!G15*(1-INDEX('Borrowers'!$T$9:$T$108,MATCH(C133,'Borrowers'!$C$9:$C$108,0))),"Unavailable"))</x:f>
      </x:c>
      <x:c r="K133" s="23" t="str">
        <x:f>IF(C133="","",IFERROR(INDEX('Borrowers'!$I$9:$I$108,MATCH(C133,'Borrowers'!$C$9:$C$108,0))*INDEX('Borrowers'!$U$9:$U$108,MATCH(C133,'Borrowers'!$C$9:$C$108,0))*'Scenario Paths'!G21*S133,"Unavailable"))</x:f>
      </x:c>
      <x:c r="L133" s="23" t="str">
        <x:f>IF(C133="","",IFERROR(SUMPRODUCT((Sites!$D$9:$D$108=C133)*Sites!$H$9:$H$108*Sites!$J$9:$J$108*Sites!$K$9:$K$108*(1-Sites!$L$9:$L$108)*(1-Sites!$M$9:$M$108))*'Scenario Paths'!G27,"Unavailable"))</x:f>
      </x:c>
      <x:c r="M133" s="23" t="str">
        <x:f>IF(C133="","",IFERROR(INDEX('Borrowers'!$J$9:$J$108,MATCH(C133,'Borrowers'!$C$9:$C$108,0))+H133-SUM(I133:L133),"Unavailable"))</x:f>
      </x:c>
      <x:c r="N133" s="23" t="str">
        <x:f>IF(C133="","",IFERROR(INDEX('Borrowers'!$I$9:$I$108,MATCH(C133,'Borrowers'!$C$9:$C$108,0))*'Scenario Paths'!G33,"Unavailable"))</x:f>
      </x:c>
      <x:c r="O133" s="23" t="str">
        <x:f>IF(C133="","",IFERROR(M133-INDEX('Borrowers'!$K$9:$K$108,MATCH(C133,'Borrowers'!$C$9:$C$108,0))-N133,"Unavailable"))</x:f>
      </x:c>
      <x:c r="P133" s="127" t="str">
        <x:f>IF(C133="","",IFERROR(O133/INDEX('Borrowers'!$L$9:$L$108,MATCH(C133,'Borrowers'!$C$9:$C$108,0)),"Unavailable"))</x:f>
      </x:c>
      <x:c r="Q133" s="30" t="str">
        <x:f>IF(C133="","",IFERROR(IF(INDEX('Borrowers'!$Z$9:$Z$108,MATCH(C133,'Borrowers'!$C$9:$C$108,0))="Yes",1,IF(INDEX('Borrowers'!$P$9:$P$108,MATCH(C133,'Borrowers'!$C$9:$C$108,0))=0,0,MIN(1,INDEX('Borrowers'!$P$9:$P$108,MATCH(C133,'Borrowers'!$C$9:$C$108,0))*EXP(MIN(20,INDEX('Borrowers'!$V$9:$V$108,MATCH(C133,'Borrowers'!$C$9:$C$108,0))*V133))))),"Unavailable"))</x:f>
      </x:c>
      <x:c r="R133" s="30" t="str">
        <x:f>IF(C133="","",IFERROR(MIN(1,INDEX('Borrowers'!$Q$9:$Q$108,MATCH(C133,'Borrowers'!$C$9:$C$108,0))+(1-INDEX('Borrowers'!$Q$9:$Q$108,MATCH(C133,'Borrowers'!$C$9:$C$108,0)))*T133),"Unavailable"))</x:f>
      </x:c>
      <x:c r="S133" s="30" t="str">
        <x:f>IF(C133="","",IFERROR(SUMPRODUCT((Sites!$D$9:$D$108=C133)*Sites!$I$9:$I$108*Sites!$J$9:$J$108*Sites!$K$9:$K$108*(1-Sites!$L$9:$L$108)),"Unavailable"))</x:f>
      </x:c>
      <x:c r="T133" s="30" t="str">
        <x:f>IF(C133="","",IFERROR(MIN(1,(SUMPRODUCT((Sites!$D$9:$D$108=C133)*Sites!$N$9:$N$108*Sites!$J$9:$J$108*Sites!$K$9:$K$108*(1-Sites!$L$9:$L$108)))*'Scenario Paths'!G27),"Unavailable"))</x:f>
      </x:c>
      <x:c r="U133" s="9" t="str">
        <x:f>IF(C133="","",IF(OR(INDEX('Borrowers'!$AA$9:$AA$108,MATCH(C133,'Borrowers'!$C$9:$C$108,0))&lt;&gt;"Ready",COUNTIF(Sites!$D$9:$D$108,C133)=0,COUNTIFS(Sites!$D$9:$D$108,C133,Sites!$Q$9:$Q$108,"&lt;&gt;Ready")&gt;0,'Scenario Paths'!$F$6&lt;&gt;"Ready"),"Review source inputs","Ready"))</x:f>
      </x:c>
      <x:c r="V133" s="17" t="str">
        <x:f>IF(C133="","",IFERROR(MAX(-1,(G133-O133)/MAX(0.000001,G133)),"Unavailable"))</x:f>
      </x:c>
      <x:c r="W133" s="9" t="str">
        <x:f>IF(C133="","",IFERROR(INDEX('Borrowers'!$D$9:$D$108,MATCH(C133,'Borrowers'!$C$9:$C$108,0)),"Unavailable"))</x:f>
      </x:c>
    </x:row>
    <x:row r="134" ht="26" customHeight="1">
      <x:c r="A134" s="1"/>
      <x:c r="B134" s="1"/>
      <x:c r="C134" s="9" t="str">
        <x:f>IF(Borrowers!C34="","",Borrowers!C34)</x:f>
      </x:c>
      <x:c r="D134" s="3" t="n">
        <x:v>2</x:v>
      </x:c>
      <x:c r="E134" s="9" t="n">
        <x:f>Settings!$F$18+1</x:f>
        <x:v>2028</x:v>
      </x:c>
      <x:c r="F134" s="9" t="str">
        <x:f>IF(C134="","",INDEX('Borrowers'!$F$9:$F$108,MATCH(C134,'Borrowers'!$C$9:$C$108,0)))</x:f>
      </x:c>
      <x:c r="G134" s="23" t="str">
        <x:f>IF(C134="","",IFERROR(INDEX('Borrowers'!$J$9:$J$108,MATCH(C134,'Borrowers'!$C$9:$C$108,0))-INDEX('Borrowers'!$K$9:$K$108,MATCH(C134,'Borrowers'!$C$9:$C$108,0)),"Unavailable"))</x:f>
      </x:c>
      <x:c r="H134" s="23" t="str">
        <x:f>IF(C134="","",IFERROR(INDEX('Borrowers'!$I$9:$I$108,MATCH(C134,'Borrowers'!$C$9:$C$108,0))*INDEX('Borrowers'!$U$9:$U$108,MATCH(C134,'Borrowers'!$C$9:$C$108,0))*(IF(F134="Transport",'Scenario Paths'!G156,IF(F134="Technology",'Scenario Paths'!G150,IF(F134="Utilities",'Scenario Paths'!G144,IF(F134="Agriculture",'Scenario Paths'!G138,IF(F134="Manufacturing",'Scenario Paths'!G132,IF(F134="Healthcare",'Scenario Paths'!G126,IF(F134="Hospitality",'Scenario Paths'!G120,IF(F134="Property",'Scenario Paths'!G114,IF(F134="Food",'Scenario Paths'!G108,IF(F134="Logistics",'Scenario Paths'!G102,IF(F134="Solar",'Scenario Paths'!G96,IF(F134="Cement",'Scenario Paths'!G90,0))))))))))))),"Unavailable"))</x:f>
      </x:c>
      <x:c r="I134" s="23" t="str">
        <x:f>IF(C134="","",IFERROR(INDEX('Borrowers'!$R$9:$R$108,MATCH(C134,'Borrowers'!$C$9:$C$108,0))*(1-INDEX('Borrowers'!$W$9:$W$108,MATCH(C134,'Borrowers'!$C$9:$C$108,0))*'Scenario Paths'!G39)*'Scenario Paths'!G9/1000000*(1-INDEX('Borrowers'!$T$9:$T$108,MATCH(C134,'Borrowers'!$C$9:$C$108,0))),"Unavailable"))</x:f>
      </x:c>
      <x:c r="J134" s="23" t="str">
        <x:f>IF(C134="","",IFERROR(INDEX('Borrowers'!$I$9:$I$108,MATCH(C134,'Borrowers'!$C$9:$C$108,0))*INDEX('Borrowers'!$S$9:$S$108,MATCH(C134,'Borrowers'!$C$9:$C$108,0))*'Scenario Paths'!G15*(1-INDEX('Borrowers'!$T$9:$T$108,MATCH(C134,'Borrowers'!$C$9:$C$108,0))),"Unavailable"))</x:f>
      </x:c>
      <x:c r="K134" s="23" t="str">
        <x:f>IF(C134="","",IFERROR(INDEX('Borrowers'!$I$9:$I$108,MATCH(C134,'Borrowers'!$C$9:$C$108,0))*INDEX('Borrowers'!$U$9:$U$108,MATCH(C134,'Borrowers'!$C$9:$C$108,0))*'Scenario Paths'!G21*S134,"Unavailable"))</x:f>
      </x:c>
      <x:c r="L134" s="23" t="str">
        <x:f>IF(C134="","",IFERROR(SUMPRODUCT((Sites!$D$9:$D$108=C134)*Sites!$H$9:$H$108*Sites!$J$9:$J$108*Sites!$K$9:$K$108*(1-Sites!$L$9:$L$108)*(1-Sites!$M$9:$M$108))*'Scenario Paths'!G27,"Unavailable"))</x:f>
      </x:c>
      <x:c r="M134" s="23" t="str">
        <x:f>IF(C134="","",IFERROR(INDEX('Borrowers'!$J$9:$J$108,MATCH(C134,'Borrowers'!$C$9:$C$108,0))+H134-SUM(I134:L134),"Unavailable"))</x:f>
      </x:c>
      <x:c r="N134" s="23" t="str">
        <x:f>IF(C134="","",IFERROR(INDEX('Borrowers'!$I$9:$I$108,MATCH(C134,'Borrowers'!$C$9:$C$108,0))*'Scenario Paths'!G33,"Unavailable"))</x:f>
      </x:c>
      <x:c r="O134" s="23" t="str">
        <x:f>IF(C134="","",IFERROR(M134-INDEX('Borrowers'!$K$9:$K$108,MATCH(C134,'Borrowers'!$C$9:$C$108,0))-N134,"Unavailable"))</x:f>
      </x:c>
      <x:c r="P134" s="127" t="str">
        <x:f>IF(C134="","",IFERROR(O134/INDEX('Borrowers'!$L$9:$L$108,MATCH(C134,'Borrowers'!$C$9:$C$108,0)),"Unavailable"))</x:f>
      </x:c>
      <x:c r="Q134" s="30" t="str">
        <x:f>IF(C134="","",IFERROR(IF(INDEX('Borrowers'!$Z$9:$Z$108,MATCH(C134,'Borrowers'!$C$9:$C$108,0))="Yes",1,IF(INDEX('Borrowers'!$P$9:$P$108,MATCH(C134,'Borrowers'!$C$9:$C$108,0))=0,0,MIN(1,INDEX('Borrowers'!$P$9:$P$108,MATCH(C134,'Borrowers'!$C$9:$C$108,0))*EXP(MIN(20,INDEX('Borrowers'!$V$9:$V$108,MATCH(C134,'Borrowers'!$C$9:$C$108,0))*V134))))),"Unavailable"))</x:f>
      </x:c>
      <x:c r="R134" s="30" t="str">
        <x:f>IF(C134="","",IFERROR(MIN(1,INDEX('Borrowers'!$Q$9:$Q$108,MATCH(C134,'Borrowers'!$C$9:$C$108,0))+(1-INDEX('Borrowers'!$Q$9:$Q$108,MATCH(C134,'Borrowers'!$C$9:$C$108,0)))*T134),"Unavailable"))</x:f>
      </x:c>
      <x:c r="S134" s="30" t="str">
        <x:f>IF(C134="","",IFERROR(SUMPRODUCT((Sites!$D$9:$D$108=C134)*Sites!$I$9:$I$108*Sites!$J$9:$J$108*Sites!$K$9:$K$108*(1-Sites!$L$9:$L$108)),"Unavailable"))</x:f>
      </x:c>
      <x:c r="T134" s="30" t="str">
        <x:f>IF(C134="","",IFERROR(MIN(1,(SUMPRODUCT((Sites!$D$9:$D$108=C134)*Sites!$N$9:$N$108*Sites!$J$9:$J$108*Sites!$K$9:$K$108*(1-Sites!$L$9:$L$108)))*'Scenario Paths'!G27),"Unavailable"))</x:f>
      </x:c>
      <x:c r="U134" s="9" t="str">
        <x:f>IF(C134="","",IF(OR(INDEX('Borrowers'!$AA$9:$AA$108,MATCH(C134,'Borrowers'!$C$9:$C$108,0))&lt;&gt;"Ready",COUNTIF(Sites!$D$9:$D$108,C134)=0,COUNTIFS(Sites!$D$9:$D$108,C134,Sites!$Q$9:$Q$108,"&lt;&gt;Ready")&gt;0,'Scenario Paths'!$F$6&lt;&gt;"Ready"),"Review source inputs","Ready"))</x:f>
      </x:c>
      <x:c r="V134" s="17" t="str">
        <x:f>IF(C134="","",IFERROR(MAX(-1,(G134-O134)/MAX(0.000001,G134)),"Unavailable"))</x:f>
      </x:c>
      <x:c r="W134" s="9" t="str">
        <x:f>IF(C134="","",IFERROR(INDEX('Borrowers'!$D$9:$D$108,MATCH(C134,'Borrowers'!$C$9:$C$108,0)),"Unavailable"))</x:f>
      </x:c>
    </x:row>
    <x:row r="135" ht="26" customHeight="1">
      <x:c r="A135" s="1"/>
      <x:c r="B135" s="1"/>
      <x:c r="C135" s="9" t="str">
        <x:f>IF(Borrowers!C35="","",Borrowers!C35)</x:f>
      </x:c>
      <x:c r="D135" s="3" t="n">
        <x:v>2</x:v>
      </x:c>
      <x:c r="E135" s="9" t="n">
        <x:f>Settings!$F$18+1</x:f>
        <x:v>2028</x:v>
      </x:c>
      <x:c r="F135" s="9" t="str">
        <x:f>IF(C135="","",INDEX('Borrowers'!$F$9:$F$108,MATCH(C135,'Borrowers'!$C$9:$C$108,0)))</x:f>
      </x:c>
      <x:c r="G135" s="23" t="str">
        <x:f>IF(C135="","",IFERROR(INDEX('Borrowers'!$J$9:$J$108,MATCH(C135,'Borrowers'!$C$9:$C$108,0))-INDEX('Borrowers'!$K$9:$K$108,MATCH(C135,'Borrowers'!$C$9:$C$108,0)),"Unavailable"))</x:f>
      </x:c>
      <x:c r="H135" s="23" t="str">
        <x:f>IF(C135="","",IFERROR(INDEX('Borrowers'!$I$9:$I$108,MATCH(C135,'Borrowers'!$C$9:$C$108,0))*INDEX('Borrowers'!$U$9:$U$108,MATCH(C135,'Borrowers'!$C$9:$C$108,0))*(IF(F135="Transport",'Scenario Paths'!G156,IF(F135="Technology",'Scenario Paths'!G150,IF(F135="Utilities",'Scenario Paths'!G144,IF(F135="Agriculture",'Scenario Paths'!G138,IF(F135="Manufacturing",'Scenario Paths'!G132,IF(F135="Healthcare",'Scenario Paths'!G126,IF(F135="Hospitality",'Scenario Paths'!G120,IF(F135="Property",'Scenario Paths'!G114,IF(F135="Food",'Scenario Paths'!G108,IF(F135="Logistics",'Scenario Paths'!G102,IF(F135="Solar",'Scenario Paths'!G96,IF(F135="Cement",'Scenario Paths'!G90,0))))))))))))),"Unavailable"))</x:f>
      </x:c>
      <x:c r="I135" s="23" t="str">
        <x:f>IF(C135="","",IFERROR(INDEX('Borrowers'!$R$9:$R$108,MATCH(C135,'Borrowers'!$C$9:$C$108,0))*(1-INDEX('Borrowers'!$W$9:$W$108,MATCH(C135,'Borrowers'!$C$9:$C$108,0))*'Scenario Paths'!G39)*'Scenario Paths'!G9/1000000*(1-INDEX('Borrowers'!$T$9:$T$108,MATCH(C135,'Borrowers'!$C$9:$C$108,0))),"Unavailable"))</x:f>
      </x:c>
      <x:c r="J135" s="23" t="str">
        <x:f>IF(C135="","",IFERROR(INDEX('Borrowers'!$I$9:$I$108,MATCH(C135,'Borrowers'!$C$9:$C$108,0))*INDEX('Borrowers'!$S$9:$S$108,MATCH(C135,'Borrowers'!$C$9:$C$108,0))*'Scenario Paths'!G15*(1-INDEX('Borrowers'!$T$9:$T$108,MATCH(C135,'Borrowers'!$C$9:$C$108,0))),"Unavailable"))</x:f>
      </x:c>
      <x:c r="K135" s="23" t="str">
        <x:f>IF(C135="","",IFERROR(INDEX('Borrowers'!$I$9:$I$108,MATCH(C135,'Borrowers'!$C$9:$C$108,0))*INDEX('Borrowers'!$U$9:$U$108,MATCH(C135,'Borrowers'!$C$9:$C$108,0))*'Scenario Paths'!G21*S135,"Unavailable"))</x:f>
      </x:c>
      <x:c r="L135" s="23" t="str">
        <x:f>IF(C135="","",IFERROR(SUMPRODUCT((Sites!$D$9:$D$108=C135)*Sites!$H$9:$H$108*Sites!$J$9:$J$108*Sites!$K$9:$K$108*(1-Sites!$L$9:$L$108)*(1-Sites!$M$9:$M$108))*'Scenario Paths'!G27,"Unavailable"))</x:f>
      </x:c>
      <x:c r="M135" s="23" t="str">
        <x:f>IF(C135="","",IFERROR(INDEX('Borrowers'!$J$9:$J$108,MATCH(C135,'Borrowers'!$C$9:$C$108,0))+H135-SUM(I135:L135),"Unavailable"))</x:f>
      </x:c>
      <x:c r="N135" s="23" t="str">
        <x:f>IF(C135="","",IFERROR(INDEX('Borrowers'!$I$9:$I$108,MATCH(C135,'Borrowers'!$C$9:$C$108,0))*'Scenario Paths'!G33,"Unavailable"))</x:f>
      </x:c>
      <x:c r="O135" s="23" t="str">
        <x:f>IF(C135="","",IFERROR(M135-INDEX('Borrowers'!$K$9:$K$108,MATCH(C135,'Borrowers'!$C$9:$C$108,0))-N135,"Unavailable"))</x:f>
      </x:c>
      <x:c r="P135" s="127" t="str">
        <x:f>IF(C135="","",IFERROR(O135/INDEX('Borrowers'!$L$9:$L$108,MATCH(C135,'Borrowers'!$C$9:$C$108,0)),"Unavailable"))</x:f>
      </x:c>
      <x:c r="Q135" s="30" t="str">
        <x:f>IF(C135="","",IFERROR(IF(INDEX('Borrowers'!$Z$9:$Z$108,MATCH(C135,'Borrowers'!$C$9:$C$108,0))="Yes",1,IF(INDEX('Borrowers'!$P$9:$P$108,MATCH(C135,'Borrowers'!$C$9:$C$108,0))=0,0,MIN(1,INDEX('Borrowers'!$P$9:$P$108,MATCH(C135,'Borrowers'!$C$9:$C$108,0))*EXP(MIN(20,INDEX('Borrowers'!$V$9:$V$108,MATCH(C135,'Borrowers'!$C$9:$C$108,0))*V135))))),"Unavailable"))</x:f>
      </x:c>
      <x:c r="R135" s="30" t="str">
        <x:f>IF(C135="","",IFERROR(MIN(1,INDEX('Borrowers'!$Q$9:$Q$108,MATCH(C135,'Borrowers'!$C$9:$C$108,0))+(1-INDEX('Borrowers'!$Q$9:$Q$108,MATCH(C135,'Borrowers'!$C$9:$C$108,0)))*T135),"Unavailable"))</x:f>
      </x:c>
      <x:c r="S135" s="30" t="str">
        <x:f>IF(C135="","",IFERROR(SUMPRODUCT((Sites!$D$9:$D$108=C135)*Sites!$I$9:$I$108*Sites!$J$9:$J$108*Sites!$K$9:$K$108*(1-Sites!$L$9:$L$108)),"Unavailable"))</x:f>
      </x:c>
      <x:c r="T135" s="30" t="str">
        <x:f>IF(C135="","",IFERROR(MIN(1,(SUMPRODUCT((Sites!$D$9:$D$108=C135)*Sites!$N$9:$N$108*Sites!$J$9:$J$108*Sites!$K$9:$K$108*(1-Sites!$L$9:$L$108)))*'Scenario Paths'!G27),"Unavailable"))</x:f>
      </x:c>
      <x:c r="U135" s="9" t="str">
        <x:f>IF(C135="","",IF(OR(INDEX('Borrowers'!$AA$9:$AA$108,MATCH(C135,'Borrowers'!$C$9:$C$108,0))&lt;&gt;"Ready",COUNTIF(Sites!$D$9:$D$108,C135)=0,COUNTIFS(Sites!$D$9:$D$108,C135,Sites!$Q$9:$Q$108,"&lt;&gt;Ready")&gt;0,'Scenario Paths'!$F$6&lt;&gt;"Ready"),"Review source inputs","Ready"))</x:f>
      </x:c>
      <x:c r="V135" s="17" t="str">
        <x:f>IF(C135="","",IFERROR(MAX(-1,(G135-O135)/MAX(0.000001,G135)),"Unavailable"))</x:f>
      </x:c>
      <x:c r="W135" s="9" t="str">
        <x:f>IF(C135="","",IFERROR(INDEX('Borrowers'!$D$9:$D$108,MATCH(C135,'Borrowers'!$C$9:$C$108,0)),"Unavailable"))</x:f>
      </x:c>
    </x:row>
    <x:row r="136" ht="26" customHeight="1">
      <x:c r="A136" s="1"/>
      <x:c r="B136" s="1"/>
      <x:c r="C136" s="9" t="str">
        <x:f>IF(Borrowers!C36="","",Borrowers!C36)</x:f>
      </x:c>
      <x:c r="D136" s="3" t="n">
        <x:v>2</x:v>
      </x:c>
      <x:c r="E136" s="9" t="n">
        <x:f>Settings!$F$18+1</x:f>
        <x:v>2028</x:v>
      </x:c>
      <x:c r="F136" s="9" t="str">
        <x:f>IF(C136="","",INDEX('Borrowers'!$F$9:$F$108,MATCH(C136,'Borrowers'!$C$9:$C$108,0)))</x:f>
      </x:c>
      <x:c r="G136" s="23" t="str">
        <x:f>IF(C136="","",IFERROR(INDEX('Borrowers'!$J$9:$J$108,MATCH(C136,'Borrowers'!$C$9:$C$108,0))-INDEX('Borrowers'!$K$9:$K$108,MATCH(C136,'Borrowers'!$C$9:$C$108,0)),"Unavailable"))</x:f>
      </x:c>
      <x:c r="H136" s="23" t="str">
        <x:f>IF(C136="","",IFERROR(INDEX('Borrowers'!$I$9:$I$108,MATCH(C136,'Borrowers'!$C$9:$C$108,0))*INDEX('Borrowers'!$U$9:$U$108,MATCH(C136,'Borrowers'!$C$9:$C$108,0))*(IF(F136="Transport",'Scenario Paths'!G156,IF(F136="Technology",'Scenario Paths'!G150,IF(F136="Utilities",'Scenario Paths'!G144,IF(F136="Agriculture",'Scenario Paths'!G138,IF(F136="Manufacturing",'Scenario Paths'!G132,IF(F136="Healthcare",'Scenario Paths'!G126,IF(F136="Hospitality",'Scenario Paths'!G120,IF(F136="Property",'Scenario Paths'!G114,IF(F136="Food",'Scenario Paths'!G108,IF(F136="Logistics",'Scenario Paths'!G102,IF(F136="Solar",'Scenario Paths'!G96,IF(F136="Cement",'Scenario Paths'!G90,0))))))))))))),"Unavailable"))</x:f>
      </x:c>
      <x:c r="I136" s="23" t="str">
        <x:f>IF(C136="","",IFERROR(INDEX('Borrowers'!$R$9:$R$108,MATCH(C136,'Borrowers'!$C$9:$C$108,0))*(1-INDEX('Borrowers'!$W$9:$W$108,MATCH(C136,'Borrowers'!$C$9:$C$108,0))*'Scenario Paths'!G39)*'Scenario Paths'!G9/1000000*(1-INDEX('Borrowers'!$T$9:$T$108,MATCH(C136,'Borrowers'!$C$9:$C$108,0))),"Unavailable"))</x:f>
      </x:c>
      <x:c r="J136" s="23" t="str">
        <x:f>IF(C136="","",IFERROR(INDEX('Borrowers'!$I$9:$I$108,MATCH(C136,'Borrowers'!$C$9:$C$108,0))*INDEX('Borrowers'!$S$9:$S$108,MATCH(C136,'Borrowers'!$C$9:$C$108,0))*'Scenario Paths'!G15*(1-INDEX('Borrowers'!$T$9:$T$108,MATCH(C136,'Borrowers'!$C$9:$C$108,0))),"Unavailable"))</x:f>
      </x:c>
      <x:c r="K136" s="23" t="str">
        <x:f>IF(C136="","",IFERROR(INDEX('Borrowers'!$I$9:$I$108,MATCH(C136,'Borrowers'!$C$9:$C$108,0))*INDEX('Borrowers'!$U$9:$U$108,MATCH(C136,'Borrowers'!$C$9:$C$108,0))*'Scenario Paths'!G21*S136,"Unavailable"))</x:f>
      </x:c>
      <x:c r="L136" s="23" t="str">
        <x:f>IF(C136="","",IFERROR(SUMPRODUCT((Sites!$D$9:$D$108=C136)*Sites!$H$9:$H$108*Sites!$J$9:$J$108*Sites!$K$9:$K$108*(1-Sites!$L$9:$L$108)*(1-Sites!$M$9:$M$108))*'Scenario Paths'!G27,"Unavailable"))</x:f>
      </x:c>
      <x:c r="M136" s="23" t="str">
        <x:f>IF(C136="","",IFERROR(INDEX('Borrowers'!$J$9:$J$108,MATCH(C136,'Borrowers'!$C$9:$C$108,0))+H136-SUM(I136:L136),"Unavailable"))</x:f>
      </x:c>
      <x:c r="N136" s="23" t="str">
        <x:f>IF(C136="","",IFERROR(INDEX('Borrowers'!$I$9:$I$108,MATCH(C136,'Borrowers'!$C$9:$C$108,0))*'Scenario Paths'!G33,"Unavailable"))</x:f>
      </x:c>
      <x:c r="O136" s="23" t="str">
        <x:f>IF(C136="","",IFERROR(M136-INDEX('Borrowers'!$K$9:$K$108,MATCH(C136,'Borrowers'!$C$9:$C$108,0))-N136,"Unavailable"))</x:f>
      </x:c>
      <x:c r="P136" s="127" t="str">
        <x:f>IF(C136="","",IFERROR(O136/INDEX('Borrowers'!$L$9:$L$108,MATCH(C136,'Borrowers'!$C$9:$C$108,0)),"Unavailable"))</x:f>
      </x:c>
      <x:c r="Q136" s="30" t="str">
        <x:f>IF(C136="","",IFERROR(IF(INDEX('Borrowers'!$Z$9:$Z$108,MATCH(C136,'Borrowers'!$C$9:$C$108,0))="Yes",1,IF(INDEX('Borrowers'!$P$9:$P$108,MATCH(C136,'Borrowers'!$C$9:$C$108,0))=0,0,MIN(1,INDEX('Borrowers'!$P$9:$P$108,MATCH(C136,'Borrowers'!$C$9:$C$108,0))*EXP(MIN(20,INDEX('Borrowers'!$V$9:$V$108,MATCH(C136,'Borrowers'!$C$9:$C$108,0))*V136))))),"Unavailable"))</x:f>
      </x:c>
      <x:c r="R136" s="30" t="str">
        <x:f>IF(C136="","",IFERROR(MIN(1,INDEX('Borrowers'!$Q$9:$Q$108,MATCH(C136,'Borrowers'!$C$9:$C$108,0))+(1-INDEX('Borrowers'!$Q$9:$Q$108,MATCH(C136,'Borrowers'!$C$9:$C$108,0)))*T136),"Unavailable"))</x:f>
      </x:c>
      <x:c r="S136" s="30" t="str">
        <x:f>IF(C136="","",IFERROR(SUMPRODUCT((Sites!$D$9:$D$108=C136)*Sites!$I$9:$I$108*Sites!$J$9:$J$108*Sites!$K$9:$K$108*(1-Sites!$L$9:$L$108)),"Unavailable"))</x:f>
      </x:c>
      <x:c r="T136" s="30" t="str">
        <x:f>IF(C136="","",IFERROR(MIN(1,(SUMPRODUCT((Sites!$D$9:$D$108=C136)*Sites!$N$9:$N$108*Sites!$J$9:$J$108*Sites!$K$9:$K$108*(1-Sites!$L$9:$L$108)))*'Scenario Paths'!G27),"Unavailable"))</x:f>
      </x:c>
      <x:c r="U136" s="9" t="str">
        <x:f>IF(C136="","",IF(OR(INDEX('Borrowers'!$AA$9:$AA$108,MATCH(C136,'Borrowers'!$C$9:$C$108,0))&lt;&gt;"Ready",COUNTIF(Sites!$D$9:$D$108,C136)=0,COUNTIFS(Sites!$D$9:$D$108,C136,Sites!$Q$9:$Q$108,"&lt;&gt;Ready")&gt;0,'Scenario Paths'!$F$6&lt;&gt;"Ready"),"Review source inputs","Ready"))</x:f>
      </x:c>
      <x:c r="V136" s="17" t="str">
        <x:f>IF(C136="","",IFERROR(MAX(-1,(G136-O136)/MAX(0.000001,G136)),"Unavailable"))</x:f>
      </x:c>
      <x:c r="W136" s="9" t="str">
        <x:f>IF(C136="","",IFERROR(INDEX('Borrowers'!$D$9:$D$108,MATCH(C136,'Borrowers'!$C$9:$C$108,0)),"Unavailable"))</x:f>
      </x:c>
    </x:row>
    <x:row r="137" ht="26" customHeight="1">
      <x:c r="A137" s="1"/>
      <x:c r="B137" s="1"/>
      <x:c r="C137" s="9" t="str">
        <x:f>IF(Borrowers!C37="","",Borrowers!C37)</x:f>
      </x:c>
      <x:c r="D137" s="3" t="n">
        <x:v>2</x:v>
      </x:c>
      <x:c r="E137" s="9" t="n">
        <x:f>Settings!$F$18+1</x:f>
        <x:v>2028</x:v>
      </x:c>
      <x:c r="F137" s="9" t="str">
        <x:f>IF(C137="","",INDEX('Borrowers'!$F$9:$F$108,MATCH(C137,'Borrowers'!$C$9:$C$108,0)))</x:f>
      </x:c>
      <x:c r="G137" s="23" t="str">
        <x:f>IF(C137="","",IFERROR(INDEX('Borrowers'!$J$9:$J$108,MATCH(C137,'Borrowers'!$C$9:$C$108,0))-INDEX('Borrowers'!$K$9:$K$108,MATCH(C137,'Borrowers'!$C$9:$C$108,0)),"Unavailable"))</x:f>
      </x:c>
      <x:c r="H137" s="23" t="str">
        <x:f>IF(C137="","",IFERROR(INDEX('Borrowers'!$I$9:$I$108,MATCH(C137,'Borrowers'!$C$9:$C$108,0))*INDEX('Borrowers'!$U$9:$U$108,MATCH(C137,'Borrowers'!$C$9:$C$108,0))*(IF(F137="Transport",'Scenario Paths'!G156,IF(F137="Technology",'Scenario Paths'!G150,IF(F137="Utilities",'Scenario Paths'!G144,IF(F137="Agriculture",'Scenario Paths'!G138,IF(F137="Manufacturing",'Scenario Paths'!G132,IF(F137="Healthcare",'Scenario Paths'!G126,IF(F137="Hospitality",'Scenario Paths'!G120,IF(F137="Property",'Scenario Paths'!G114,IF(F137="Food",'Scenario Paths'!G108,IF(F137="Logistics",'Scenario Paths'!G102,IF(F137="Solar",'Scenario Paths'!G96,IF(F137="Cement",'Scenario Paths'!G90,0))))))))))))),"Unavailable"))</x:f>
      </x:c>
      <x:c r="I137" s="23" t="str">
        <x:f>IF(C137="","",IFERROR(INDEX('Borrowers'!$R$9:$R$108,MATCH(C137,'Borrowers'!$C$9:$C$108,0))*(1-INDEX('Borrowers'!$W$9:$W$108,MATCH(C137,'Borrowers'!$C$9:$C$108,0))*'Scenario Paths'!G39)*'Scenario Paths'!G9/1000000*(1-INDEX('Borrowers'!$T$9:$T$108,MATCH(C137,'Borrowers'!$C$9:$C$108,0))),"Unavailable"))</x:f>
      </x:c>
      <x:c r="J137" s="23" t="str">
        <x:f>IF(C137="","",IFERROR(INDEX('Borrowers'!$I$9:$I$108,MATCH(C137,'Borrowers'!$C$9:$C$108,0))*INDEX('Borrowers'!$S$9:$S$108,MATCH(C137,'Borrowers'!$C$9:$C$108,0))*'Scenario Paths'!G15*(1-INDEX('Borrowers'!$T$9:$T$108,MATCH(C137,'Borrowers'!$C$9:$C$108,0))),"Unavailable"))</x:f>
      </x:c>
      <x:c r="K137" s="23" t="str">
        <x:f>IF(C137="","",IFERROR(INDEX('Borrowers'!$I$9:$I$108,MATCH(C137,'Borrowers'!$C$9:$C$108,0))*INDEX('Borrowers'!$U$9:$U$108,MATCH(C137,'Borrowers'!$C$9:$C$108,0))*'Scenario Paths'!G21*S137,"Unavailable"))</x:f>
      </x:c>
      <x:c r="L137" s="23" t="str">
        <x:f>IF(C137="","",IFERROR(SUMPRODUCT((Sites!$D$9:$D$108=C137)*Sites!$H$9:$H$108*Sites!$J$9:$J$108*Sites!$K$9:$K$108*(1-Sites!$L$9:$L$108)*(1-Sites!$M$9:$M$108))*'Scenario Paths'!G27,"Unavailable"))</x:f>
      </x:c>
      <x:c r="M137" s="23" t="str">
        <x:f>IF(C137="","",IFERROR(INDEX('Borrowers'!$J$9:$J$108,MATCH(C137,'Borrowers'!$C$9:$C$108,0))+H137-SUM(I137:L137),"Unavailable"))</x:f>
      </x:c>
      <x:c r="N137" s="23" t="str">
        <x:f>IF(C137="","",IFERROR(INDEX('Borrowers'!$I$9:$I$108,MATCH(C137,'Borrowers'!$C$9:$C$108,0))*'Scenario Paths'!G33,"Unavailable"))</x:f>
      </x:c>
      <x:c r="O137" s="23" t="str">
        <x:f>IF(C137="","",IFERROR(M137-INDEX('Borrowers'!$K$9:$K$108,MATCH(C137,'Borrowers'!$C$9:$C$108,0))-N137,"Unavailable"))</x:f>
      </x:c>
      <x:c r="P137" s="127" t="str">
        <x:f>IF(C137="","",IFERROR(O137/INDEX('Borrowers'!$L$9:$L$108,MATCH(C137,'Borrowers'!$C$9:$C$108,0)),"Unavailable"))</x:f>
      </x:c>
      <x:c r="Q137" s="30" t="str">
        <x:f>IF(C137="","",IFERROR(IF(INDEX('Borrowers'!$Z$9:$Z$108,MATCH(C137,'Borrowers'!$C$9:$C$108,0))="Yes",1,IF(INDEX('Borrowers'!$P$9:$P$108,MATCH(C137,'Borrowers'!$C$9:$C$108,0))=0,0,MIN(1,INDEX('Borrowers'!$P$9:$P$108,MATCH(C137,'Borrowers'!$C$9:$C$108,0))*EXP(MIN(20,INDEX('Borrowers'!$V$9:$V$108,MATCH(C137,'Borrowers'!$C$9:$C$108,0))*V137))))),"Unavailable"))</x:f>
      </x:c>
      <x:c r="R137" s="30" t="str">
        <x:f>IF(C137="","",IFERROR(MIN(1,INDEX('Borrowers'!$Q$9:$Q$108,MATCH(C137,'Borrowers'!$C$9:$C$108,0))+(1-INDEX('Borrowers'!$Q$9:$Q$108,MATCH(C137,'Borrowers'!$C$9:$C$108,0)))*T137),"Unavailable"))</x:f>
      </x:c>
      <x:c r="S137" s="30" t="str">
        <x:f>IF(C137="","",IFERROR(SUMPRODUCT((Sites!$D$9:$D$108=C137)*Sites!$I$9:$I$108*Sites!$J$9:$J$108*Sites!$K$9:$K$108*(1-Sites!$L$9:$L$108)),"Unavailable"))</x:f>
      </x:c>
      <x:c r="T137" s="30" t="str">
        <x:f>IF(C137="","",IFERROR(MIN(1,(SUMPRODUCT((Sites!$D$9:$D$108=C137)*Sites!$N$9:$N$108*Sites!$J$9:$J$108*Sites!$K$9:$K$108*(1-Sites!$L$9:$L$108)))*'Scenario Paths'!G27),"Unavailable"))</x:f>
      </x:c>
      <x:c r="U137" s="9" t="str">
        <x:f>IF(C137="","",IF(OR(INDEX('Borrowers'!$AA$9:$AA$108,MATCH(C137,'Borrowers'!$C$9:$C$108,0))&lt;&gt;"Ready",COUNTIF(Sites!$D$9:$D$108,C137)=0,COUNTIFS(Sites!$D$9:$D$108,C137,Sites!$Q$9:$Q$108,"&lt;&gt;Ready")&gt;0,'Scenario Paths'!$F$6&lt;&gt;"Ready"),"Review source inputs","Ready"))</x:f>
      </x:c>
      <x:c r="V137" s="17" t="str">
        <x:f>IF(C137="","",IFERROR(MAX(-1,(G137-O137)/MAX(0.000001,G137)),"Unavailable"))</x:f>
      </x:c>
      <x:c r="W137" s="9" t="str">
        <x:f>IF(C137="","",IFERROR(INDEX('Borrowers'!$D$9:$D$108,MATCH(C137,'Borrowers'!$C$9:$C$108,0)),"Unavailable"))</x:f>
      </x:c>
    </x:row>
    <x:row r="138" ht="26" customHeight="1">
      <x:c r="A138" s="1"/>
      <x:c r="B138" s="1"/>
      <x:c r="C138" s="9" t="str">
        <x:f>IF(Borrowers!C38="","",Borrowers!C38)</x:f>
      </x:c>
      <x:c r="D138" s="3" t="n">
        <x:v>2</x:v>
      </x:c>
      <x:c r="E138" s="9" t="n">
        <x:f>Settings!$F$18+1</x:f>
        <x:v>2028</x:v>
      </x:c>
      <x:c r="F138" s="9" t="str">
        <x:f>IF(C138="","",INDEX('Borrowers'!$F$9:$F$108,MATCH(C138,'Borrowers'!$C$9:$C$108,0)))</x:f>
      </x:c>
      <x:c r="G138" s="23" t="str">
        <x:f>IF(C138="","",IFERROR(INDEX('Borrowers'!$J$9:$J$108,MATCH(C138,'Borrowers'!$C$9:$C$108,0))-INDEX('Borrowers'!$K$9:$K$108,MATCH(C138,'Borrowers'!$C$9:$C$108,0)),"Unavailable"))</x:f>
      </x:c>
      <x:c r="H138" s="23" t="str">
        <x:f>IF(C138="","",IFERROR(INDEX('Borrowers'!$I$9:$I$108,MATCH(C138,'Borrowers'!$C$9:$C$108,0))*INDEX('Borrowers'!$U$9:$U$108,MATCH(C138,'Borrowers'!$C$9:$C$108,0))*(IF(F138="Transport",'Scenario Paths'!G156,IF(F138="Technology",'Scenario Paths'!G150,IF(F138="Utilities",'Scenario Paths'!G144,IF(F138="Agriculture",'Scenario Paths'!G138,IF(F138="Manufacturing",'Scenario Paths'!G132,IF(F138="Healthcare",'Scenario Paths'!G126,IF(F138="Hospitality",'Scenario Paths'!G120,IF(F138="Property",'Scenario Paths'!G114,IF(F138="Food",'Scenario Paths'!G108,IF(F138="Logistics",'Scenario Paths'!G102,IF(F138="Solar",'Scenario Paths'!G96,IF(F138="Cement",'Scenario Paths'!G90,0))))))))))))),"Unavailable"))</x:f>
      </x:c>
      <x:c r="I138" s="23" t="str">
        <x:f>IF(C138="","",IFERROR(INDEX('Borrowers'!$R$9:$R$108,MATCH(C138,'Borrowers'!$C$9:$C$108,0))*(1-INDEX('Borrowers'!$W$9:$W$108,MATCH(C138,'Borrowers'!$C$9:$C$108,0))*'Scenario Paths'!G39)*'Scenario Paths'!G9/1000000*(1-INDEX('Borrowers'!$T$9:$T$108,MATCH(C138,'Borrowers'!$C$9:$C$108,0))),"Unavailable"))</x:f>
      </x:c>
      <x:c r="J138" s="23" t="str">
        <x:f>IF(C138="","",IFERROR(INDEX('Borrowers'!$I$9:$I$108,MATCH(C138,'Borrowers'!$C$9:$C$108,0))*INDEX('Borrowers'!$S$9:$S$108,MATCH(C138,'Borrowers'!$C$9:$C$108,0))*'Scenario Paths'!G15*(1-INDEX('Borrowers'!$T$9:$T$108,MATCH(C138,'Borrowers'!$C$9:$C$108,0))),"Unavailable"))</x:f>
      </x:c>
      <x:c r="K138" s="23" t="str">
        <x:f>IF(C138="","",IFERROR(INDEX('Borrowers'!$I$9:$I$108,MATCH(C138,'Borrowers'!$C$9:$C$108,0))*INDEX('Borrowers'!$U$9:$U$108,MATCH(C138,'Borrowers'!$C$9:$C$108,0))*'Scenario Paths'!G21*S138,"Unavailable"))</x:f>
      </x:c>
      <x:c r="L138" s="23" t="str">
        <x:f>IF(C138="","",IFERROR(SUMPRODUCT((Sites!$D$9:$D$108=C138)*Sites!$H$9:$H$108*Sites!$J$9:$J$108*Sites!$K$9:$K$108*(1-Sites!$L$9:$L$108)*(1-Sites!$M$9:$M$108))*'Scenario Paths'!G27,"Unavailable"))</x:f>
      </x:c>
      <x:c r="M138" s="23" t="str">
        <x:f>IF(C138="","",IFERROR(INDEX('Borrowers'!$J$9:$J$108,MATCH(C138,'Borrowers'!$C$9:$C$108,0))+H138-SUM(I138:L138),"Unavailable"))</x:f>
      </x:c>
      <x:c r="N138" s="23" t="str">
        <x:f>IF(C138="","",IFERROR(INDEX('Borrowers'!$I$9:$I$108,MATCH(C138,'Borrowers'!$C$9:$C$108,0))*'Scenario Paths'!G33,"Unavailable"))</x:f>
      </x:c>
      <x:c r="O138" s="23" t="str">
        <x:f>IF(C138="","",IFERROR(M138-INDEX('Borrowers'!$K$9:$K$108,MATCH(C138,'Borrowers'!$C$9:$C$108,0))-N138,"Unavailable"))</x:f>
      </x:c>
      <x:c r="P138" s="127" t="str">
        <x:f>IF(C138="","",IFERROR(O138/INDEX('Borrowers'!$L$9:$L$108,MATCH(C138,'Borrowers'!$C$9:$C$108,0)),"Unavailable"))</x:f>
      </x:c>
      <x:c r="Q138" s="30" t="str">
        <x:f>IF(C138="","",IFERROR(IF(INDEX('Borrowers'!$Z$9:$Z$108,MATCH(C138,'Borrowers'!$C$9:$C$108,0))="Yes",1,IF(INDEX('Borrowers'!$P$9:$P$108,MATCH(C138,'Borrowers'!$C$9:$C$108,0))=0,0,MIN(1,INDEX('Borrowers'!$P$9:$P$108,MATCH(C138,'Borrowers'!$C$9:$C$108,0))*EXP(MIN(20,INDEX('Borrowers'!$V$9:$V$108,MATCH(C138,'Borrowers'!$C$9:$C$108,0))*V138))))),"Unavailable"))</x:f>
      </x:c>
      <x:c r="R138" s="30" t="str">
        <x:f>IF(C138="","",IFERROR(MIN(1,INDEX('Borrowers'!$Q$9:$Q$108,MATCH(C138,'Borrowers'!$C$9:$C$108,0))+(1-INDEX('Borrowers'!$Q$9:$Q$108,MATCH(C138,'Borrowers'!$C$9:$C$108,0)))*T138),"Unavailable"))</x:f>
      </x:c>
      <x:c r="S138" s="30" t="str">
        <x:f>IF(C138="","",IFERROR(SUMPRODUCT((Sites!$D$9:$D$108=C138)*Sites!$I$9:$I$108*Sites!$J$9:$J$108*Sites!$K$9:$K$108*(1-Sites!$L$9:$L$108)),"Unavailable"))</x:f>
      </x:c>
      <x:c r="T138" s="30" t="str">
        <x:f>IF(C138="","",IFERROR(MIN(1,(SUMPRODUCT((Sites!$D$9:$D$108=C138)*Sites!$N$9:$N$108*Sites!$J$9:$J$108*Sites!$K$9:$K$108*(1-Sites!$L$9:$L$108)))*'Scenario Paths'!G27),"Unavailable"))</x:f>
      </x:c>
      <x:c r="U138" s="9" t="str">
        <x:f>IF(C138="","",IF(OR(INDEX('Borrowers'!$AA$9:$AA$108,MATCH(C138,'Borrowers'!$C$9:$C$108,0))&lt;&gt;"Ready",COUNTIF(Sites!$D$9:$D$108,C138)=0,COUNTIFS(Sites!$D$9:$D$108,C138,Sites!$Q$9:$Q$108,"&lt;&gt;Ready")&gt;0,'Scenario Paths'!$F$6&lt;&gt;"Ready"),"Review source inputs","Ready"))</x:f>
      </x:c>
      <x:c r="V138" s="17" t="str">
        <x:f>IF(C138="","",IFERROR(MAX(-1,(G138-O138)/MAX(0.000001,G138)),"Unavailable"))</x:f>
      </x:c>
      <x:c r="W138" s="9" t="str">
        <x:f>IF(C138="","",IFERROR(INDEX('Borrowers'!$D$9:$D$108,MATCH(C138,'Borrowers'!$C$9:$C$108,0)),"Unavailable"))</x:f>
      </x:c>
    </x:row>
    <x:row r="139" ht="26" customHeight="1">
      <x:c r="A139" s="1"/>
      <x:c r="B139" s="1"/>
      <x:c r="C139" s="9" t="str">
        <x:f>IF(Borrowers!C39="","",Borrowers!C39)</x:f>
      </x:c>
      <x:c r="D139" s="3" t="n">
        <x:v>2</x:v>
      </x:c>
      <x:c r="E139" s="9" t="n">
        <x:f>Settings!$F$18+1</x:f>
        <x:v>2028</x:v>
      </x:c>
      <x:c r="F139" s="9" t="str">
        <x:f>IF(C139="","",INDEX('Borrowers'!$F$9:$F$108,MATCH(C139,'Borrowers'!$C$9:$C$108,0)))</x:f>
      </x:c>
      <x:c r="G139" s="23" t="str">
        <x:f>IF(C139="","",IFERROR(INDEX('Borrowers'!$J$9:$J$108,MATCH(C139,'Borrowers'!$C$9:$C$108,0))-INDEX('Borrowers'!$K$9:$K$108,MATCH(C139,'Borrowers'!$C$9:$C$108,0)),"Unavailable"))</x:f>
      </x:c>
      <x:c r="H139" s="23" t="str">
        <x:f>IF(C139="","",IFERROR(INDEX('Borrowers'!$I$9:$I$108,MATCH(C139,'Borrowers'!$C$9:$C$108,0))*INDEX('Borrowers'!$U$9:$U$108,MATCH(C139,'Borrowers'!$C$9:$C$108,0))*(IF(F139="Transport",'Scenario Paths'!G156,IF(F139="Technology",'Scenario Paths'!G150,IF(F139="Utilities",'Scenario Paths'!G144,IF(F139="Agriculture",'Scenario Paths'!G138,IF(F139="Manufacturing",'Scenario Paths'!G132,IF(F139="Healthcare",'Scenario Paths'!G126,IF(F139="Hospitality",'Scenario Paths'!G120,IF(F139="Property",'Scenario Paths'!G114,IF(F139="Food",'Scenario Paths'!G108,IF(F139="Logistics",'Scenario Paths'!G102,IF(F139="Solar",'Scenario Paths'!G96,IF(F139="Cement",'Scenario Paths'!G90,0))))))))))))),"Unavailable"))</x:f>
      </x:c>
      <x:c r="I139" s="23" t="str">
        <x:f>IF(C139="","",IFERROR(INDEX('Borrowers'!$R$9:$R$108,MATCH(C139,'Borrowers'!$C$9:$C$108,0))*(1-INDEX('Borrowers'!$W$9:$W$108,MATCH(C139,'Borrowers'!$C$9:$C$108,0))*'Scenario Paths'!G39)*'Scenario Paths'!G9/1000000*(1-INDEX('Borrowers'!$T$9:$T$108,MATCH(C139,'Borrowers'!$C$9:$C$108,0))),"Unavailable"))</x:f>
      </x:c>
      <x:c r="J139" s="23" t="str">
        <x:f>IF(C139="","",IFERROR(INDEX('Borrowers'!$I$9:$I$108,MATCH(C139,'Borrowers'!$C$9:$C$108,0))*INDEX('Borrowers'!$S$9:$S$108,MATCH(C139,'Borrowers'!$C$9:$C$108,0))*'Scenario Paths'!G15*(1-INDEX('Borrowers'!$T$9:$T$108,MATCH(C139,'Borrowers'!$C$9:$C$108,0))),"Unavailable"))</x:f>
      </x:c>
      <x:c r="K139" s="23" t="str">
        <x:f>IF(C139="","",IFERROR(INDEX('Borrowers'!$I$9:$I$108,MATCH(C139,'Borrowers'!$C$9:$C$108,0))*INDEX('Borrowers'!$U$9:$U$108,MATCH(C139,'Borrowers'!$C$9:$C$108,0))*'Scenario Paths'!G21*S139,"Unavailable"))</x:f>
      </x:c>
      <x:c r="L139" s="23" t="str">
        <x:f>IF(C139="","",IFERROR(SUMPRODUCT((Sites!$D$9:$D$108=C139)*Sites!$H$9:$H$108*Sites!$J$9:$J$108*Sites!$K$9:$K$108*(1-Sites!$L$9:$L$108)*(1-Sites!$M$9:$M$108))*'Scenario Paths'!G27,"Unavailable"))</x:f>
      </x:c>
      <x:c r="M139" s="23" t="str">
        <x:f>IF(C139="","",IFERROR(INDEX('Borrowers'!$J$9:$J$108,MATCH(C139,'Borrowers'!$C$9:$C$108,0))+H139-SUM(I139:L139),"Unavailable"))</x:f>
      </x:c>
      <x:c r="N139" s="23" t="str">
        <x:f>IF(C139="","",IFERROR(INDEX('Borrowers'!$I$9:$I$108,MATCH(C139,'Borrowers'!$C$9:$C$108,0))*'Scenario Paths'!G33,"Unavailable"))</x:f>
      </x:c>
      <x:c r="O139" s="23" t="str">
        <x:f>IF(C139="","",IFERROR(M139-INDEX('Borrowers'!$K$9:$K$108,MATCH(C139,'Borrowers'!$C$9:$C$108,0))-N139,"Unavailable"))</x:f>
      </x:c>
      <x:c r="P139" s="127" t="str">
        <x:f>IF(C139="","",IFERROR(O139/INDEX('Borrowers'!$L$9:$L$108,MATCH(C139,'Borrowers'!$C$9:$C$108,0)),"Unavailable"))</x:f>
      </x:c>
      <x:c r="Q139" s="30" t="str">
        <x:f>IF(C139="","",IFERROR(IF(INDEX('Borrowers'!$Z$9:$Z$108,MATCH(C139,'Borrowers'!$C$9:$C$108,0))="Yes",1,IF(INDEX('Borrowers'!$P$9:$P$108,MATCH(C139,'Borrowers'!$C$9:$C$108,0))=0,0,MIN(1,INDEX('Borrowers'!$P$9:$P$108,MATCH(C139,'Borrowers'!$C$9:$C$108,0))*EXP(MIN(20,INDEX('Borrowers'!$V$9:$V$108,MATCH(C139,'Borrowers'!$C$9:$C$108,0))*V139))))),"Unavailable"))</x:f>
      </x:c>
      <x:c r="R139" s="30" t="str">
        <x:f>IF(C139="","",IFERROR(MIN(1,INDEX('Borrowers'!$Q$9:$Q$108,MATCH(C139,'Borrowers'!$C$9:$C$108,0))+(1-INDEX('Borrowers'!$Q$9:$Q$108,MATCH(C139,'Borrowers'!$C$9:$C$108,0)))*T139),"Unavailable"))</x:f>
      </x:c>
      <x:c r="S139" s="30" t="str">
        <x:f>IF(C139="","",IFERROR(SUMPRODUCT((Sites!$D$9:$D$108=C139)*Sites!$I$9:$I$108*Sites!$J$9:$J$108*Sites!$K$9:$K$108*(1-Sites!$L$9:$L$108)),"Unavailable"))</x:f>
      </x:c>
      <x:c r="T139" s="30" t="str">
        <x:f>IF(C139="","",IFERROR(MIN(1,(SUMPRODUCT((Sites!$D$9:$D$108=C139)*Sites!$N$9:$N$108*Sites!$J$9:$J$108*Sites!$K$9:$K$108*(1-Sites!$L$9:$L$108)))*'Scenario Paths'!G27),"Unavailable"))</x:f>
      </x:c>
      <x:c r="U139" s="9" t="str">
        <x:f>IF(C139="","",IF(OR(INDEX('Borrowers'!$AA$9:$AA$108,MATCH(C139,'Borrowers'!$C$9:$C$108,0))&lt;&gt;"Ready",COUNTIF(Sites!$D$9:$D$108,C139)=0,COUNTIFS(Sites!$D$9:$D$108,C139,Sites!$Q$9:$Q$108,"&lt;&gt;Ready")&gt;0,'Scenario Paths'!$F$6&lt;&gt;"Ready"),"Review source inputs","Ready"))</x:f>
      </x:c>
      <x:c r="V139" s="17" t="str">
        <x:f>IF(C139="","",IFERROR(MAX(-1,(G139-O139)/MAX(0.000001,G139)),"Unavailable"))</x:f>
      </x:c>
      <x:c r="W139" s="9" t="str">
        <x:f>IF(C139="","",IFERROR(INDEX('Borrowers'!$D$9:$D$108,MATCH(C139,'Borrowers'!$C$9:$C$108,0)),"Unavailable"))</x:f>
      </x:c>
    </x:row>
    <x:row r="140" ht="26" customHeight="1">
      <x:c r="A140" s="1"/>
      <x:c r="B140" s="1"/>
      <x:c r="C140" s="9" t="str">
        <x:f>IF(Borrowers!C40="","",Borrowers!C40)</x:f>
      </x:c>
      <x:c r="D140" s="3" t="n">
        <x:v>2</x:v>
      </x:c>
      <x:c r="E140" s="9" t="n">
        <x:f>Settings!$F$18+1</x:f>
        <x:v>2028</x:v>
      </x:c>
      <x:c r="F140" s="9" t="str">
        <x:f>IF(C140="","",INDEX('Borrowers'!$F$9:$F$108,MATCH(C140,'Borrowers'!$C$9:$C$108,0)))</x:f>
      </x:c>
      <x:c r="G140" s="23" t="str">
        <x:f>IF(C140="","",IFERROR(INDEX('Borrowers'!$J$9:$J$108,MATCH(C140,'Borrowers'!$C$9:$C$108,0))-INDEX('Borrowers'!$K$9:$K$108,MATCH(C140,'Borrowers'!$C$9:$C$108,0)),"Unavailable"))</x:f>
      </x:c>
      <x:c r="H140" s="23" t="str">
        <x:f>IF(C140="","",IFERROR(INDEX('Borrowers'!$I$9:$I$108,MATCH(C140,'Borrowers'!$C$9:$C$108,0))*INDEX('Borrowers'!$U$9:$U$108,MATCH(C140,'Borrowers'!$C$9:$C$108,0))*(IF(F140="Transport",'Scenario Paths'!G156,IF(F140="Technology",'Scenario Paths'!G150,IF(F140="Utilities",'Scenario Paths'!G144,IF(F140="Agriculture",'Scenario Paths'!G138,IF(F140="Manufacturing",'Scenario Paths'!G132,IF(F140="Healthcare",'Scenario Paths'!G126,IF(F140="Hospitality",'Scenario Paths'!G120,IF(F140="Property",'Scenario Paths'!G114,IF(F140="Food",'Scenario Paths'!G108,IF(F140="Logistics",'Scenario Paths'!G102,IF(F140="Solar",'Scenario Paths'!G96,IF(F140="Cement",'Scenario Paths'!G90,0))))))))))))),"Unavailable"))</x:f>
      </x:c>
      <x:c r="I140" s="23" t="str">
        <x:f>IF(C140="","",IFERROR(INDEX('Borrowers'!$R$9:$R$108,MATCH(C140,'Borrowers'!$C$9:$C$108,0))*(1-INDEX('Borrowers'!$W$9:$W$108,MATCH(C140,'Borrowers'!$C$9:$C$108,0))*'Scenario Paths'!G39)*'Scenario Paths'!G9/1000000*(1-INDEX('Borrowers'!$T$9:$T$108,MATCH(C140,'Borrowers'!$C$9:$C$108,0))),"Unavailable"))</x:f>
      </x:c>
      <x:c r="J140" s="23" t="str">
        <x:f>IF(C140="","",IFERROR(INDEX('Borrowers'!$I$9:$I$108,MATCH(C140,'Borrowers'!$C$9:$C$108,0))*INDEX('Borrowers'!$S$9:$S$108,MATCH(C140,'Borrowers'!$C$9:$C$108,0))*'Scenario Paths'!G15*(1-INDEX('Borrowers'!$T$9:$T$108,MATCH(C140,'Borrowers'!$C$9:$C$108,0))),"Unavailable"))</x:f>
      </x:c>
      <x:c r="K140" s="23" t="str">
        <x:f>IF(C140="","",IFERROR(INDEX('Borrowers'!$I$9:$I$108,MATCH(C140,'Borrowers'!$C$9:$C$108,0))*INDEX('Borrowers'!$U$9:$U$108,MATCH(C140,'Borrowers'!$C$9:$C$108,0))*'Scenario Paths'!G21*S140,"Unavailable"))</x:f>
      </x:c>
      <x:c r="L140" s="23" t="str">
        <x:f>IF(C140="","",IFERROR(SUMPRODUCT((Sites!$D$9:$D$108=C140)*Sites!$H$9:$H$108*Sites!$J$9:$J$108*Sites!$K$9:$K$108*(1-Sites!$L$9:$L$108)*(1-Sites!$M$9:$M$108))*'Scenario Paths'!G27,"Unavailable"))</x:f>
      </x:c>
      <x:c r="M140" s="23" t="str">
        <x:f>IF(C140="","",IFERROR(INDEX('Borrowers'!$J$9:$J$108,MATCH(C140,'Borrowers'!$C$9:$C$108,0))+H140-SUM(I140:L140),"Unavailable"))</x:f>
      </x:c>
      <x:c r="N140" s="23" t="str">
        <x:f>IF(C140="","",IFERROR(INDEX('Borrowers'!$I$9:$I$108,MATCH(C140,'Borrowers'!$C$9:$C$108,0))*'Scenario Paths'!G33,"Unavailable"))</x:f>
      </x:c>
      <x:c r="O140" s="23" t="str">
        <x:f>IF(C140="","",IFERROR(M140-INDEX('Borrowers'!$K$9:$K$108,MATCH(C140,'Borrowers'!$C$9:$C$108,0))-N140,"Unavailable"))</x:f>
      </x:c>
      <x:c r="P140" s="127" t="str">
        <x:f>IF(C140="","",IFERROR(O140/INDEX('Borrowers'!$L$9:$L$108,MATCH(C140,'Borrowers'!$C$9:$C$108,0)),"Unavailable"))</x:f>
      </x:c>
      <x:c r="Q140" s="30" t="str">
        <x:f>IF(C140="","",IFERROR(IF(INDEX('Borrowers'!$Z$9:$Z$108,MATCH(C140,'Borrowers'!$C$9:$C$108,0))="Yes",1,IF(INDEX('Borrowers'!$P$9:$P$108,MATCH(C140,'Borrowers'!$C$9:$C$108,0))=0,0,MIN(1,INDEX('Borrowers'!$P$9:$P$108,MATCH(C140,'Borrowers'!$C$9:$C$108,0))*EXP(MIN(20,INDEX('Borrowers'!$V$9:$V$108,MATCH(C140,'Borrowers'!$C$9:$C$108,0))*V140))))),"Unavailable"))</x:f>
      </x:c>
      <x:c r="R140" s="30" t="str">
        <x:f>IF(C140="","",IFERROR(MIN(1,INDEX('Borrowers'!$Q$9:$Q$108,MATCH(C140,'Borrowers'!$C$9:$C$108,0))+(1-INDEX('Borrowers'!$Q$9:$Q$108,MATCH(C140,'Borrowers'!$C$9:$C$108,0)))*T140),"Unavailable"))</x:f>
      </x:c>
      <x:c r="S140" s="30" t="str">
        <x:f>IF(C140="","",IFERROR(SUMPRODUCT((Sites!$D$9:$D$108=C140)*Sites!$I$9:$I$108*Sites!$J$9:$J$108*Sites!$K$9:$K$108*(1-Sites!$L$9:$L$108)),"Unavailable"))</x:f>
      </x:c>
      <x:c r="T140" s="30" t="str">
        <x:f>IF(C140="","",IFERROR(MIN(1,(SUMPRODUCT((Sites!$D$9:$D$108=C140)*Sites!$N$9:$N$108*Sites!$J$9:$J$108*Sites!$K$9:$K$108*(1-Sites!$L$9:$L$108)))*'Scenario Paths'!G27),"Unavailable"))</x:f>
      </x:c>
      <x:c r="U140" s="9" t="str">
        <x:f>IF(C140="","",IF(OR(INDEX('Borrowers'!$AA$9:$AA$108,MATCH(C140,'Borrowers'!$C$9:$C$108,0))&lt;&gt;"Ready",COUNTIF(Sites!$D$9:$D$108,C140)=0,COUNTIFS(Sites!$D$9:$D$108,C140,Sites!$Q$9:$Q$108,"&lt;&gt;Ready")&gt;0,'Scenario Paths'!$F$6&lt;&gt;"Ready"),"Review source inputs","Ready"))</x:f>
      </x:c>
      <x:c r="V140" s="17" t="str">
        <x:f>IF(C140="","",IFERROR(MAX(-1,(G140-O140)/MAX(0.000001,G140)),"Unavailable"))</x:f>
      </x:c>
      <x:c r="W140" s="9" t="str">
        <x:f>IF(C140="","",IFERROR(INDEX('Borrowers'!$D$9:$D$108,MATCH(C140,'Borrowers'!$C$9:$C$108,0)),"Unavailable"))</x:f>
      </x:c>
    </x:row>
    <x:row r="141" ht="26" customHeight="1">
      <x:c r="A141" s="1"/>
      <x:c r="B141" s="1"/>
      <x:c r="C141" s="9" t="str">
        <x:f>IF(Borrowers!C41="","",Borrowers!C41)</x:f>
      </x:c>
      <x:c r="D141" s="3" t="n">
        <x:v>2</x:v>
      </x:c>
      <x:c r="E141" s="9" t="n">
        <x:f>Settings!$F$18+1</x:f>
        <x:v>2028</x:v>
      </x:c>
      <x:c r="F141" s="9" t="str">
        <x:f>IF(C141="","",INDEX('Borrowers'!$F$9:$F$108,MATCH(C141,'Borrowers'!$C$9:$C$108,0)))</x:f>
      </x:c>
      <x:c r="G141" s="23" t="str">
        <x:f>IF(C141="","",IFERROR(INDEX('Borrowers'!$J$9:$J$108,MATCH(C141,'Borrowers'!$C$9:$C$108,0))-INDEX('Borrowers'!$K$9:$K$108,MATCH(C141,'Borrowers'!$C$9:$C$108,0)),"Unavailable"))</x:f>
      </x:c>
      <x:c r="H141" s="23" t="str">
        <x:f>IF(C141="","",IFERROR(INDEX('Borrowers'!$I$9:$I$108,MATCH(C141,'Borrowers'!$C$9:$C$108,0))*INDEX('Borrowers'!$U$9:$U$108,MATCH(C141,'Borrowers'!$C$9:$C$108,0))*(IF(F141="Transport",'Scenario Paths'!G156,IF(F141="Technology",'Scenario Paths'!G150,IF(F141="Utilities",'Scenario Paths'!G144,IF(F141="Agriculture",'Scenario Paths'!G138,IF(F141="Manufacturing",'Scenario Paths'!G132,IF(F141="Healthcare",'Scenario Paths'!G126,IF(F141="Hospitality",'Scenario Paths'!G120,IF(F141="Property",'Scenario Paths'!G114,IF(F141="Food",'Scenario Paths'!G108,IF(F141="Logistics",'Scenario Paths'!G102,IF(F141="Solar",'Scenario Paths'!G96,IF(F141="Cement",'Scenario Paths'!G90,0))))))))))))),"Unavailable"))</x:f>
      </x:c>
      <x:c r="I141" s="23" t="str">
        <x:f>IF(C141="","",IFERROR(INDEX('Borrowers'!$R$9:$R$108,MATCH(C141,'Borrowers'!$C$9:$C$108,0))*(1-INDEX('Borrowers'!$W$9:$W$108,MATCH(C141,'Borrowers'!$C$9:$C$108,0))*'Scenario Paths'!G39)*'Scenario Paths'!G9/1000000*(1-INDEX('Borrowers'!$T$9:$T$108,MATCH(C141,'Borrowers'!$C$9:$C$108,0))),"Unavailable"))</x:f>
      </x:c>
      <x:c r="J141" s="23" t="str">
        <x:f>IF(C141="","",IFERROR(INDEX('Borrowers'!$I$9:$I$108,MATCH(C141,'Borrowers'!$C$9:$C$108,0))*INDEX('Borrowers'!$S$9:$S$108,MATCH(C141,'Borrowers'!$C$9:$C$108,0))*'Scenario Paths'!G15*(1-INDEX('Borrowers'!$T$9:$T$108,MATCH(C141,'Borrowers'!$C$9:$C$108,0))),"Unavailable"))</x:f>
      </x:c>
      <x:c r="K141" s="23" t="str">
        <x:f>IF(C141="","",IFERROR(INDEX('Borrowers'!$I$9:$I$108,MATCH(C141,'Borrowers'!$C$9:$C$108,0))*INDEX('Borrowers'!$U$9:$U$108,MATCH(C141,'Borrowers'!$C$9:$C$108,0))*'Scenario Paths'!G21*S141,"Unavailable"))</x:f>
      </x:c>
      <x:c r="L141" s="23" t="str">
        <x:f>IF(C141="","",IFERROR(SUMPRODUCT((Sites!$D$9:$D$108=C141)*Sites!$H$9:$H$108*Sites!$J$9:$J$108*Sites!$K$9:$K$108*(1-Sites!$L$9:$L$108)*(1-Sites!$M$9:$M$108))*'Scenario Paths'!G27,"Unavailable"))</x:f>
      </x:c>
      <x:c r="M141" s="23" t="str">
        <x:f>IF(C141="","",IFERROR(INDEX('Borrowers'!$J$9:$J$108,MATCH(C141,'Borrowers'!$C$9:$C$108,0))+H141-SUM(I141:L141),"Unavailable"))</x:f>
      </x:c>
      <x:c r="N141" s="23" t="str">
        <x:f>IF(C141="","",IFERROR(INDEX('Borrowers'!$I$9:$I$108,MATCH(C141,'Borrowers'!$C$9:$C$108,0))*'Scenario Paths'!G33,"Unavailable"))</x:f>
      </x:c>
      <x:c r="O141" s="23" t="str">
        <x:f>IF(C141="","",IFERROR(M141-INDEX('Borrowers'!$K$9:$K$108,MATCH(C141,'Borrowers'!$C$9:$C$108,0))-N141,"Unavailable"))</x:f>
      </x:c>
      <x:c r="P141" s="127" t="str">
        <x:f>IF(C141="","",IFERROR(O141/INDEX('Borrowers'!$L$9:$L$108,MATCH(C141,'Borrowers'!$C$9:$C$108,0)),"Unavailable"))</x:f>
      </x:c>
      <x:c r="Q141" s="30" t="str">
        <x:f>IF(C141="","",IFERROR(IF(INDEX('Borrowers'!$Z$9:$Z$108,MATCH(C141,'Borrowers'!$C$9:$C$108,0))="Yes",1,IF(INDEX('Borrowers'!$P$9:$P$108,MATCH(C141,'Borrowers'!$C$9:$C$108,0))=0,0,MIN(1,INDEX('Borrowers'!$P$9:$P$108,MATCH(C141,'Borrowers'!$C$9:$C$108,0))*EXP(MIN(20,INDEX('Borrowers'!$V$9:$V$108,MATCH(C141,'Borrowers'!$C$9:$C$108,0))*V141))))),"Unavailable"))</x:f>
      </x:c>
      <x:c r="R141" s="30" t="str">
        <x:f>IF(C141="","",IFERROR(MIN(1,INDEX('Borrowers'!$Q$9:$Q$108,MATCH(C141,'Borrowers'!$C$9:$C$108,0))+(1-INDEX('Borrowers'!$Q$9:$Q$108,MATCH(C141,'Borrowers'!$C$9:$C$108,0)))*T141),"Unavailable"))</x:f>
      </x:c>
      <x:c r="S141" s="30" t="str">
        <x:f>IF(C141="","",IFERROR(SUMPRODUCT((Sites!$D$9:$D$108=C141)*Sites!$I$9:$I$108*Sites!$J$9:$J$108*Sites!$K$9:$K$108*(1-Sites!$L$9:$L$108)),"Unavailable"))</x:f>
      </x:c>
      <x:c r="T141" s="30" t="str">
        <x:f>IF(C141="","",IFERROR(MIN(1,(SUMPRODUCT((Sites!$D$9:$D$108=C141)*Sites!$N$9:$N$108*Sites!$J$9:$J$108*Sites!$K$9:$K$108*(1-Sites!$L$9:$L$108)))*'Scenario Paths'!G27),"Unavailable"))</x:f>
      </x:c>
      <x:c r="U141" s="9" t="str">
        <x:f>IF(C141="","",IF(OR(INDEX('Borrowers'!$AA$9:$AA$108,MATCH(C141,'Borrowers'!$C$9:$C$108,0))&lt;&gt;"Ready",COUNTIF(Sites!$D$9:$D$108,C141)=0,COUNTIFS(Sites!$D$9:$D$108,C141,Sites!$Q$9:$Q$108,"&lt;&gt;Ready")&gt;0,'Scenario Paths'!$F$6&lt;&gt;"Ready"),"Review source inputs","Ready"))</x:f>
      </x:c>
      <x:c r="V141" s="17" t="str">
        <x:f>IF(C141="","",IFERROR(MAX(-1,(G141-O141)/MAX(0.000001,G141)),"Unavailable"))</x:f>
      </x:c>
      <x:c r="W141" s="9" t="str">
        <x:f>IF(C141="","",IFERROR(INDEX('Borrowers'!$D$9:$D$108,MATCH(C141,'Borrowers'!$C$9:$C$108,0)),"Unavailable"))</x:f>
      </x:c>
    </x:row>
    <x:row r="142" ht="26" customHeight="1">
      <x:c r="A142" s="1"/>
      <x:c r="B142" s="1"/>
      <x:c r="C142" s="9" t="str">
        <x:f>IF(Borrowers!C42="","",Borrowers!C42)</x:f>
      </x:c>
      <x:c r="D142" s="3" t="n">
        <x:v>2</x:v>
      </x:c>
      <x:c r="E142" s="9" t="n">
        <x:f>Settings!$F$18+1</x:f>
        <x:v>2028</x:v>
      </x:c>
      <x:c r="F142" s="9" t="str">
        <x:f>IF(C142="","",INDEX('Borrowers'!$F$9:$F$108,MATCH(C142,'Borrowers'!$C$9:$C$108,0)))</x:f>
      </x:c>
      <x:c r="G142" s="23" t="str">
        <x:f>IF(C142="","",IFERROR(INDEX('Borrowers'!$J$9:$J$108,MATCH(C142,'Borrowers'!$C$9:$C$108,0))-INDEX('Borrowers'!$K$9:$K$108,MATCH(C142,'Borrowers'!$C$9:$C$108,0)),"Unavailable"))</x:f>
      </x:c>
      <x:c r="H142" s="23" t="str">
        <x:f>IF(C142="","",IFERROR(INDEX('Borrowers'!$I$9:$I$108,MATCH(C142,'Borrowers'!$C$9:$C$108,0))*INDEX('Borrowers'!$U$9:$U$108,MATCH(C142,'Borrowers'!$C$9:$C$108,0))*(IF(F142="Transport",'Scenario Paths'!G156,IF(F142="Technology",'Scenario Paths'!G150,IF(F142="Utilities",'Scenario Paths'!G144,IF(F142="Agriculture",'Scenario Paths'!G138,IF(F142="Manufacturing",'Scenario Paths'!G132,IF(F142="Healthcare",'Scenario Paths'!G126,IF(F142="Hospitality",'Scenario Paths'!G120,IF(F142="Property",'Scenario Paths'!G114,IF(F142="Food",'Scenario Paths'!G108,IF(F142="Logistics",'Scenario Paths'!G102,IF(F142="Solar",'Scenario Paths'!G96,IF(F142="Cement",'Scenario Paths'!G90,0))))))))))))),"Unavailable"))</x:f>
      </x:c>
      <x:c r="I142" s="23" t="str">
        <x:f>IF(C142="","",IFERROR(INDEX('Borrowers'!$R$9:$R$108,MATCH(C142,'Borrowers'!$C$9:$C$108,0))*(1-INDEX('Borrowers'!$W$9:$W$108,MATCH(C142,'Borrowers'!$C$9:$C$108,0))*'Scenario Paths'!G39)*'Scenario Paths'!G9/1000000*(1-INDEX('Borrowers'!$T$9:$T$108,MATCH(C142,'Borrowers'!$C$9:$C$108,0))),"Unavailable"))</x:f>
      </x:c>
      <x:c r="J142" s="23" t="str">
        <x:f>IF(C142="","",IFERROR(INDEX('Borrowers'!$I$9:$I$108,MATCH(C142,'Borrowers'!$C$9:$C$108,0))*INDEX('Borrowers'!$S$9:$S$108,MATCH(C142,'Borrowers'!$C$9:$C$108,0))*'Scenario Paths'!G15*(1-INDEX('Borrowers'!$T$9:$T$108,MATCH(C142,'Borrowers'!$C$9:$C$108,0))),"Unavailable"))</x:f>
      </x:c>
      <x:c r="K142" s="23" t="str">
        <x:f>IF(C142="","",IFERROR(INDEX('Borrowers'!$I$9:$I$108,MATCH(C142,'Borrowers'!$C$9:$C$108,0))*INDEX('Borrowers'!$U$9:$U$108,MATCH(C142,'Borrowers'!$C$9:$C$108,0))*'Scenario Paths'!G21*S142,"Unavailable"))</x:f>
      </x:c>
      <x:c r="L142" s="23" t="str">
        <x:f>IF(C142="","",IFERROR(SUMPRODUCT((Sites!$D$9:$D$108=C142)*Sites!$H$9:$H$108*Sites!$J$9:$J$108*Sites!$K$9:$K$108*(1-Sites!$L$9:$L$108)*(1-Sites!$M$9:$M$108))*'Scenario Paths'!G27,"Unavailable"))</x:f>
      </x:c>
      <x:c r="M142" s="23" t="str">
        <x:f>IF(C142="","",IFERROR(INDEX('Borrowers'!$J$9:$J$108,MATCH(C142,'Borrowers'!$C$9:$C$108,0))+H142-SUM(I142:L142),"Unavailable"))</x:f>
      </x:c>
      <x:c r="N142" s="23" t="str">
        <x:f>IF(C142="","",IFERROR(INDEX('Borrowers'!$I$9:$I$108,MATCH(C142,'Borrowers'!$C$9:$C$108,0))*'Scenario Paths'!G33,"Unavailable"))</x:f>
      </x:c>
      <x:c r="O142" s="23" t="str">
        <x:f>IF(C142="","",IFERROR(M142-INDEX('Borrowers'!$K$9:$K$108,MATCH(C142,'Borrowers'!$C$9:$C$108,0))-N142,"Unavailable"))</x:f>
      </x:c>
      <x:c r="P142" s="127" t="str">
        <x:f>IF(C142="","",IFERROR(O142/INDEX('Borrowers'!$L$9:$L$108,MATCH(C142,'Borrowers'!$C$9:$C$108,0)),"Unavailable"))</x:f>
      </x:c>
      <x:c r="Q142" s="30" t="str">
        <x:f>IF(C142="","",IFERROR(IF(INDEX('Borrowers'!$Z$9:$Z$108,MATCH(C142,'Borrowers'!$C$9:$C$108,0))="Yes",1,IF(INDEX('Borrowers'!$P$9:$P$108,MATCH(C142,'Borrowers'!$C$9:$C$108,0))=0,0,MIN(1,INDEX('Borrowers'!$P$9:$P$108,MATCH(C142,'Borrowers'!$C$9:$C$108,0))*EXP(MIN(20,INDEX('Borrowers'!$V$9:$V$108,MATCH(C142,'Borrowers'!$C$9:$C$108,0))*V142))))),"Unavailable"))</x:f>
      </x:c>
      <x:c r="R142" s="30" t="str">
        <x:f>IF(C142="","",IFERROR(MIN(1,INDEX('Borrowers'!$Q$9:$Q$108,MATCH(C142,'Borrowers'!$C$9:$C$108,0))+(1-INDEX('Borrowers'!$Q$9:$Q$108,MATCH(C142,'Borrowers'!$C$9:$C$108,0)))*T142),"Unavailable"))</x:f>
      </x:c>
      <x:c r="S142" s="30" t="str">
        <x:f>IF(C142="","",IFERROR(SUMPRODUCT((Sites!$D$9:$D$108=C142)*Sites!$I$9:$I$108*Sites!$J$9:$J$108*Sites!$K$9:$K$108*(1-Sites!$L$9:$L$108)),"Unavailable"))</x:f>
      </x:c>
      <x:c r="T142" s="30" t="str">
        <x:f>IF(C142="","",IFERROR(MIN(1,(SUMPRODUCT((Sites!$D$9:$D$108=C142)*Sites!$N$9:$N$108*Sites!$J$9:$J$108*Sites!$K$9:$K$108*(1-Sites!$L$9:$L$108)))*'Scenario Paths'!G27),"Unavailable"))</x:f>
      </x:c>
      <x:c r="U142" s="9" t="str">
        <x:f>IF(C142="","",IF(OR(INDEX('Borrowers'!$AA$9:$AA$108,MATCH(C142,'Borrowers'!$C$9:$C$108,0))&lt;&gt;"Ready",COUNTIF(Sites!$D$9:$D$108,C142)=0,COUNTIFS(Sites!$D$9:$D$108,C142,Sites!$Q$9:$Q$108,"&lt;&gt;Ready")&gt;0,'Scenario Paths'!$F$6&lt;&gt;"Ready"),"Review source inputs","Ready"))</x:f>
      </x:c>
      <x:c r="V142" s="17" t="str">
        <x:f>IF(C142="","",IFERROR(MAX(-1,(G142-O142)/MAX(0.000001,G142)),"Unavailable"))</x:f>
      </x:c>
      <x:c r="W142" s="9" t="str">
        <x:f>IF(C142="","",IFERROR(INDEX('Borrowers'!$D$9:$D$108,MATCH(C142,'Borrowers'!$C$9:$C$108,0)),"Unavailable"))</x:f>
      </x:c>
    </x:row>
    <x:row r="143" ht="26" customHeight="1">
      <x:c r="A143" s="1"/>
      <x:c r="B143" s="1"/>
      <x:c r="C143" s="9" t="str">
        <x:f>IF(Borrowers!C43="","",Borrowers!C43)</x:f>
      </x:c>
      <x:c r="D143" s="3" t="n">
        <x:v>2</x:v>
      </x:c>
      <x:c r="E143" s="9" t="n">
        <x:f>Settings!$F$18+1</x:f>
        <x:v>2028</x:v>
      </x:c>
      <x:c r="F143" s="9" t="str">
        <x:f>IF(C143="","",INDEX('Borrowers'!$F$9:$F$108,MATCH(C143,'Borrowers'!$C$9:$C$108,0)))</x:f>
      </x:c>
      <x:c r="G143" s="23" t="str">
        <x:f>IF(C143="","",IFERROR(INDEX('Borrowers'!$J$9:$J$108,MATCH(C143,'Borrowers'!$C$9:$C$108,0))-INDEX('Borrowers'!$K$9:$K$108,MATCH(C143,'Borrowers'!$C$9:$C$108,0)),"Unavailable"))</x:f>
      </x:c>
      <x:c r="H143" s="23" t="str">
        <x:f>IF(C143="","",IFERROR(INDEX('Borrowers'!$I$9:$I$108,MATCH(C143,'Borrowers'!$C$9:$C$108,0))*INDEX('Borrowers'!$U$9:$U$108,MATCH(C143,'Borrowers'!$C$9:$C$108,0))*(IF(F143="Transport",'Scenario Paths'!G156,IF(F143="Technology",'Scenario Paths'!G150,IF(F143="Utilities",'Scenario Paths'!G144,IF(F143="Agriculture",'Scenario Paths'!G138,IF(F143="Manufacturing",'Scenario Paths'!G132,IF(F143="Healthcare",'Scenario Paths'!G126,IF(F143="Hospitality",'Scenario Paths'!G120,IF(F143="Property",'Scenario Paths'!G114,IF(F143="Food",'Scenario Paths'!G108,IF(F143="Logistics",'Scenario Paths'!G102,IF(F143="Solar",'Scenario Paths'!G96,IF(F143="Cement",'Scenario Paths'!G90,0))))))))))))),"Unavailable"))</x:f>
      </x:c>
      <x:c r="I143" s="23" t="str">
        <x:f>IF(C143="","",IFERROR(INDEX('Borrowers'!$R$9:$R$108,MATCH(C143,'Borrowers'!$C$9:$C$108,0))*(1-INDEX('Borrowers'!$W$9:$W$108,MATCH(C143,'Borrowers'!$C$9:$C$108,0))*'Scenario Paths'!G39)*'Scenario Paths'!G9/1000000*(1-INDEX('Borrowers'!$T$9:$T$108,MATCH(C143,'Borrowers'!$C$9:$C$108,0))),"Unavailable"))</x:f>
      </x:c>
      <x:c r="J143" s="23" t="str">
        <x:f>IF(C143="","",IFERROR(INDEX('Borrowers'!$I$9:$I$108,MATCH(C143,'Borrowers'!$C$9:$C$108,0))*INDEX('Borrowers'!$S$9:$S$108,MATCH(C143,'Borrowers'!$C$9:$C$108,0))*'Scenario Paths'!G15*(1-INDEX('Borrowers'!$T$9:$T$108,MATCH(C143,'Borrowers'!$C$9:$C$108,0))),"Unavailable"))</x:f>
      </x:c>
      <x:c r="K143" s="23" t="str">
        <x:f>IF(C143="","",IFERROR(INDEX('Borrowers'!$I$9:$I$108,MATCH(C143,'Borrowers'!$C$9:$C$108,0))*INDEX('Borrowers'!$U$9:$U$108,MATCH(C143,'Borrowers'!$C$9:$C$108,0))*'Scenario Paths'!G21*S143,"Unavailable"))</x:f>
      </x:c>
      <x:c r="L143" s="23" t="str">
        <x:f>IF(C143="","",IFERROR(SUMPRODUCT((Sites!$D$9:$D$108=C143)*Sites!$H$9:$H$108*Sites!$J$9:$J$108*Sites!$K$9:$K$108*(1-Sites!$L$9:$L$108)*(1-Sites!$M$9:$M$108))*'Scenario Paths'!G27,"Unavailable"))</x:f>
      </x:c>
      <x:c r="M143" s="23" t="str">
        <x:f>IF(C143="","",IFERROR(INDEX('Borrowers'!$J$9:$J$108,MATCH(C143,'Borrowers'!$C$9:$C$108,0))+H143-SUM(I143:L143),"Unavailable"))</x:f>
      </x:c>
      <x:c r="N143" s="23" t="str">
        <x:f>IF(C143="","",IFERROR(INDEX('Borrowers'!$I$9:$I$108,MATCH(C143,'Borrowers'!$C$9:$C$108,0))*'Scenario Paths'!G33,"Unavailable"))</x:f>
      </x:c>
      <x:c r="O143" s="23" t="str">
        <x:f>IF(C143="","",IFERROR(M143-INDEX('Borrowers'!$K$9:$K$108,MATCH(C143,'Borrowers'!$C$9:$C$108,0))-N143,"Unavailable"))</x:f>
      </x:c>
      <x:c r="P143" s="127" t="str">
        <x:f>IF(C143="","",IFERROR(O143/INDEX('Borrowers'!$L$9:$L$108,MATCH(C143,'Borrowers'!$C$9:$C$108,0)),"Unavailable"))</x:f>
      </x:c>
      <x:c r="Q143" s="30" t="str">
        <x:f>IF(C143="","",IFERROR(IF(INDEX('Borrowers'!$Z$9:$Z$108,MATCH(C143,'Borrowers'!$C$9:$C$108,0))="Yes",1,IF(INDEX('Borrowers'!$P$9:$P$108,MATCH(C143,'Borrowers'!$C$9:$C$108,0))=0,0,MIN(1,INDEX('Borrowers'!$P$9:$P$108,MATCH(C143,'Borrowers'!$C$9:$C$108,0))*EXP(MIN(20,INDEX('Borrowers'!$V$9:$V$108,MATCH(C143,'Borrowers'!$C$9:$C$108,0))*V143))))),"Unavailable"))</x:f>
      </x:c>
      <x:c r="R143" s="30" t="str">
        <x:f>IF(C143="","",IFERROR(MIN(1,INDEX('Borrowers'!$Q$9:$Q$108,MATCH(C143,'Borrowers'!$C$9:$C$108,0))+(1-INDEX('Borrowers'!$Q$9:$Q$108,MATCH(C143,'Borrowers'!$C$9:$C$108,0)))*T143),"Unavailable"))</x:f>
      </x:c>
      <x:c r="S143" s="30" t="str">
        <x:f>IF(C143="","",IFERROR(SUMPRODUCT((Sites!$D$9:$D$108=C143)*Sites!$I$9:$I$108*Sites!$J$9:$J$108*Sites!$K$9:$K$108*(1-Sites!$L$9:$L$108)),"Unavailable"))</x:f>
      </x:c>
      <x:c r="T143" s="30" t="str">
        <x:f>IF(C143="","",IFERROR(MIN(1,(SUMPRODUCT((Sites!$D$9:$D$108=C143)*Sites!$N$9:$N$108*Sites!$J$9:$J$108*Sites!$K$9:$K$108*(1-Sites!$L$9:$L$108)))*'Scenario Paths'!G27),"Unavailable"))</x:f>
      </x:c>
      <x:c r="U143" s="9" t="str">
        <x:f>IF(C143="","",IF(OR(INDEX('Borrowers'!$AA$9:$AA$108,MATCH(C143,'Borrowers'!$C$9:$C$108,0))&lt;&gt;"Ready",COUNTIF(Sites!$D$9:$D$108,C143)=0,COUNTIFS(Sites!$D$9:$D$108,C143,Sites!$Q$9:$Q$108,"&lt;&gt;Ready")&gt;0,'Scenario Paths'!$F$6&lt;&gt;"Ready"),"Review source inputs","Ready"))</x:f>
      </x:c>
      <x:c r="V143" s="17" t="str">
        <x:f>IF(C143="","",IFERROR(MAX(-1,(G143-O143)/MAX(0.000001,G143)),"Unavailable"))</x:f>
      </x:c>
      <x:c r="W143" s="9" t="str">
        <x:f>IF(C143="","",IFERROR(INDEX('Borrowers'!$D$9:$D$108,MATCH(C143,'Borrowers'!$C$9:$C$108,0)),"Unavailable"))</x:f>
      </x:c>
    </x:row>
    <x:row r="144" ht="26" customHeight="1">
      <x:c r="A144" s="1"/>
      <x:c r="B144" s="1"/>
      <x:c r="C144" s="9" t="str">
        <x:f>IF(Borrowers!C44="","",Borrowers!C44)</x:f>
      </x:c>
      <x:c r="D144" s="3" t="n">
        <x:v>2</x:v>
      </x:c>
      <x:c r="E144" s="9" t="n">
        <x:f>Settings!$F$18+1</x:f>
        <x:v>2028</x:v>
      </x:c>
      <x:c r="F144" s="9" t="str">
        <x:f>IF(C144="","",INDEX('Borrowers'!$F$9:$F$108,MATCH(C144,'Borrowers'!$C$9:$C$108,0)))</x:f>
      </x:c>
      <x:c r="G144" s="23" t="str">
        <x:f>IF(C144="","",IFERROR(INDEX('Borrowers'!$J$9:$J$108,MATCH(C144,'Borrowers'!$C$9:$C$108,0))-INDEX('Borrowers'!$K$9:$K$108,MATCH(C144,'Borrowers'!$C$9:$C$108,0)),"Unavailable"))</x:f>
      </x:c>
      <x:c r="H144" s="23" t="str">
        <x:f>IF(C144="","",IFERROR(INDEX('Borrowers'!$I$9:$I$108,MATCH(C144,'Borrowers'!$C$9:$C$108,0))*INDEX('Borrowers'!$U$9:$U$108,MATCH(C144,'Borrowers'!$C$9:$C$108,0))*(IF(F144="Transport",'Scenario Paths'!G156,IF(F144="Technology",'Scenario Paths'!G150,IF(F144="Utilities",'Scenario Paths'!G144,IF(F144="Agriculture",'Scenario Paths'!G138,IF(F144="Manufacturing",'Scenario Paths'!G132,IF(F144="Healthcare",'Scenario Paths'!G126,IF(F144="Hospitality",'Scenario Paths'!G120,IF(F144="Property",'Scenario Paths'!G114,IF(F144="Food",'Scenario Paths'!G108,IF(F144="Logistics",'Scenario Paths'!G102,IF(F144="Solar",'Scenario Paths'!G96,IF(F144="Cement",'Scenario Paths'!G90,0))))))))))))),"Unavailable"))</x:f>
      </x:c>
      <x:c r="I144" s="23" t="str">
        <x:f>IF(C144="","",IFERROR(INDEX('Borrowers'!$R$9:$R$108,MATCH(C144,'Borrowers'!$C$9:$C$108,0))*(1-INDEX('Borrowers'!$W$9:$W$108,MATCH(C144,'Borrowers'!$C$9:$C$108,0))*'Scenario Paths'!G39)*'Scenario Paths'!G9/1000000*(1-INDEX('Borrowers'!$T$9:$T$108,MATCH(C144,'Borrowers'!$C$9:$C$108,0))),"Unavailable"))</x:f>
      </x:c>
      <x:c r="J144" s="23" t="str">
        <x:f>IF(C144="","",IFERROR(INDEX('Borrowers'!$I$9:$I$108,MATCH(C144,'Borrowers'!$C$9:$C$108,0))*INDEX('Borrowers'!$S$9:$S$108,MATCH(C144,'Borrowers'!$C$9:$C$108,0))*'Scenario Paths'!G15*(1-INDEX('Borrowers'!$T$9:$T$108,MATCH(C144,'Borrowers'!$C$9:$C$108,0))),"Unavailable"))</x:f>
      </x:c>
      <x:c r="K144" s="23" t="str">
        <x:f>IF(C144="","",IFERROR(INDEX('Borrowers'!$I$9:$I$108,MATCH(C144,'Borrowers'!$C$9:$C$108,0))*INDEX('Borrowers'!$U$9:$U$108,MATCH(C144,'Borrowers'!$C$9:$C$108,0))*'Scenario Paths'!G21*S144,"Unavailable"))</x:f>
      </x:c>
      <x:c r="L144" s="23" t="str">
        <x:f>IF(C144="","",IFERROR(SUMPRODUCT((Sites!$D$9:$D$108=C144)*Sites!$H$9:$H$108*Sites!$J$9:$J$108*Sites!$K$9:$K$108*(1-Sites!$L$9:$L$108)*(1-Sites!$M$9:$M$108))*'Scenario Paths'!G27,"Unavailable"))</x:f>
      </x:c>
      <x:c r="M144" s="23" t="str">
        <x:f>IF(C144="","",IFERROR(INDEX('Borrowers'!$J$9:$J$108,MATCH(C144,'Borrowers'!$C$9:$C$108,0))+H144-SUM(I144:L144),"Unavailable"))</x:f>
      </x:c>
      <x:c r="N144" s="23" t="str">
        <x:f>IF(C144="","",IFERROR(INDEX('Borrowers'!$I$9:$I$108,MATCH(C144,'Borrowers'!$C$9:$C$108,0))*'Scenario Paths'!G33,"Unavailable"))</x:f>
      </x:c>
      <x:c r="O144" s="23" t="str">
        <x:f>IF(C144="","",IFERROR(M144-INDEX('Borrowers'!$K$9:$K$108,MATCH(C144,'Borrowers'!$C$9:$C$108,0))-N144,"Unavailable"))</x:f>
      </x:c>
      <x:c r="P144" s="127" t="str">
        <x:f>IF(C144="","",IFERROR(O144/INDEX('Borrowers'!$L$9:$L$108,MATCH(C144,'Borrowers'!$C$9:$C$108,0)),"Unavailable"))</x:f>
      </x:c>
      <x:c r="Q144" s="30" t="str">
        <x:f>IF(C144="","",IFERROR(IF(INDEX('Borrowers'!$Z$9:$Z$108,MATCH(C144,'Borrowers'!$C$9:$C$108,0))="Yes",1,IF(INDEX('Borrowers'!$P$9:$P$108,MATCH(C144,'Borrowers'!$C$9:$C$108,0))=0,0,MIN(1,INDEX('Borrowers'!$P$9:$P$108,MATCH(C144,'Borrowers'!$C$9:$C$108,0))*EXP(MIN(20,INDEX('Borrowers'!$V$9:$V$108,MATCH(C144,'Borrowers'!$C$9:$C$108,0))*V144))))),"Unavailable"))</x:f>
      </x:c>
      <x:c r="R144" s="30" t="str">
        <x:f>IF(C144="","",IFERROR(MIN(1,INDEX('Borrowers'!$Q$9:$Q$108,MATCH(C144,'Borrowers'!$C$9:$C$108,0))+(1-INDEX('Borrowers'!$Q$9:$Q$108,MATCH(C144,'Borrowers'!$C$9:$C$108,0)))*T144),"Unavailable"))</x:f>
      </x:c>
      <x:c r="S144" s="30" t="str">
        <x:f>IF(C144="","",IFERROR(SUMPRODUCT((Sites!$D$9:$D$108=C144)*Sites!$I$9:$I$108*Sites!$J$9:$J$108*Sites!$K$9:$K$108*(1-Sites!$L$9:$L$108)),"Unavailable"))</x:f>
      </x:c>
      <x:c r="T144" s="30" t="str">
        <x:f>IF(C144="","",IFERROR(MIN(1,(SUMPRODUCT((Sites!$D$9:$D$108=C144)*Sites!$N$9:$N$108*Sites!$J$9:$J$108*Sites!$K$9:$K$108*(1-Sites!$L$9:$L$108)))*'Scenario Paths'!G27),"Unavailable"))</x:f>
      </x:c>
      <x:c r="U144" s="9" t="str">
        <x:f>IF(C144="","",IF(OR(INDEX('Borrowers'!$AA$9:$AA$108,MATCH(C144,'Borrowers'!$C$9:$C$108,0))&lt;&gt;"Ready",COUNTIF(Sites!$D$9:$D$108,C144)=0,COUNTIFS(Sites!$D$9:$D$108,C144,Sites!$Q$9:$Q$108,"&lt;&gt;Ready")&gt;0,'Scenario Paths'!$F$6&lt;&gt;"Ready"),"Review source inputs","Ready"))</x:f>
      </x:c>
      <x:c r="V144" s="17" t="str">
        <x:f>IF(C144="","",IFERROR(MAX(-1,(G144-O144)/MAX(0.000001,G144)),"Unavailable"))</x:f>
      </x:c>
      <x:c r="W144" s="9" t="str">
        <x:f>IF(C144="","",IFERROR(INDEX('Borrowers'!$D$9:$D$108,MATCH(C144,'Borrowers'!$C$9:$C$108,0)),"Unavailable"))</x:f>
      </x:c>
    </x:row>
    <x:row r="145" ht="26" customHeight="1">
      <x:c r="A145" s="1"/>
      <x:c r="B145" s="1"/>
      <x:c r="C145" s="9" t="str">
        <x:f>IF(Borrowers!C45="","",Borrowers!C45)</x:f>
      </x:c>
      <x:c r="D145" s="3" t="n">
        <x:v>2</x:v>
      </x:c>
      <x:c r="E145" s="9" t="n">
        <x:f>Settings!$F$18+1</x:f>
        <x:v>2028</x:v>
      </x:c>
      <x:c r="F145" s="9" t="str">
        <x:f>IF(C145="","",INDEX('Borrowers'!$F$9:$F$108,MATCH(C145,'Borrowers'!$C$9:$C$108,0)))</x:f>
      </x:c>
      <x:c r="G145" s="23" t="str">
        <x:f>IF(C145="","",IFERROR(INDEX('Borrowers'!$J$9:$J$108,MATCH(C145,'Borrowers'!$C$9:$C$108,0))-INDEX('Borrowers'!$K$9:$K$108,MATCH(C145,'Borrowers'!$C$9:$C$108,0)),"Unavailable"))</x:f>
      </x:c>
      <x:c r="H145" s="23" t="str">
        <x:f>IF(C145="","",IFERROR(INDEX('Borrowers'!$I$9:$I$108,MATCH(C145,'Borrowers'!$C$9:$C$108,0))*INDEX('Borrowers'!$U$9:$U$108,MATCH(C145,'Borrowers'!$C$9:$C$108,0))*(IF(F145="Transport",'Scenario Paths'!G156,IF(F145="Technology",'Scenario Paths'!G150,IF(F145="Utilities",'Scenario Paths'!G144,IF(F145="Agriculture",'Scenario Paths'!G138,IF(F145="Manufacturing",'Scenario Paths'!G132,IF(F145="Healthcare",'Scenario Paths'!G126,IF(F145="Hospitality",'Scenario Paths'!G120,IF(F145="Property",'Scenario Paths'!G114,IF(F145="Food",'Scenario Paths'!G108,IF(F145="Logistics",'Scenario Paths'!G102,IF(F145="Solar",'Scenario Paths'!G96,IF(F145="Cement",'Scenario Paths'!G90,0))))))))))))),"Unavailable"))</x:f>
      </x:c>
      <x:c r="I145" s="23" t="str">
        <x:f>IF(C145="","",IFERROR(INDEX('Borrowers'!$R$9:$R$108,MATCH(C145,'Borrowers'!$C$9:$C$108,0))*(1-INDEX('Borrowers'!$W$9:$W$108,MATCH(C145,'Borrowers'!$C$9:$C$108,0))*'Scenario Paths'!G39)*'Scenario Paths'!G9/1000000*(1-INDEX('Borrowers'!$T$9:$T$108,MATCH(C145,'Borrowers'!$C$9:$C$108,0))),"Unavailable"))</x:f>
      </x:c>
      <x:c r="J145" s="23" t="str">
        <x:f>IF(C145="","",IFERROR(INDEX('Borrowers'!$I$9:$I$108,MATCH(C145,'Borrowers'!$C$9:$C$108,0))*INDEX('Borrowers'!$S$9:$S$108,MATCH(C145,'Borrowers'!$C$9:$C$108,0))*'Scenario Paths'!G15*(1-INDEX('Borrowers'!$T$9:$T$108,MATCH(C145,'Borrowers'!$C$9:$C$108,0))),"Unavailable"))</x:f>
      </x:c>
      <x:c r="K145" s="23" t="str">
        <x:f>IF(C145="","",IFERROR(INDEX('Borrowers'!$I$9:$I$108,MATCH(C145,'Borrowers'!$C$9:$C$108,0))*INDEX('Borrowers'!$U$9:$U$108,MATCH(C145,'Borrowers'!$C$9:$C$108,0))*'Scenario Paths'!G21*S145,"Unavailable"))</x:f>
      </x:c>
      <x:c r="L145" s="23" t="str">
        <x:f>IF(C145="","",IFERROR(SUMPRODUCT((Sites!$D$9:$D$108=C145)*Sites!$H$9:$H$108*Sites!$J$9:$J$108*Sites!$K$9:$K$108*(1-Sites!$L$9:$L$108)*(1-Sites!$M$9:$M$108))*'Scenario Paths'!G27,"Unavailable"))</x:f>
      </x:c>
      <x:c r="M145" s="23" t="str">
        <x:f>IF(C145="","",IFERROR(INDEX('Borrowers'!$J$9:$J$108,MATCH(C145,'Borrowers'!$C$9:$C$108,0))+H145-SUM(I145:L145),"Unavailable"))</x:f>
      </x:c>
      <x:c r="N145" s="23" t="str">
        <x:f>IF(C145="","",IFERROR(INDEX('Borrowers'!$I$9:$I$108,MATCH(C145,'Borrowers'!$C$9:$C$108,0))*'Scenario Paths'!G33,"Unavailable"))</x:f>
      </x:c>
      <x:c r="O145" s="23" t="str">
        <x:f>IF(C145="","",IFERROR(M145-INDEX('Borrowers'!$K$9:$K$108,MATCH(C145,'Borrowers'!$C$9:$C$108,0))-N145,"Unavailable"))</x:f>
      </x:c>
      <x:c r="P145" s="127" t="str">
        <x:f>IF(C145="","",IFERROR(O145/INDEX('Borrowers'!$L$9:$L$108,MATCH(C145,'Borrowers'!$C$9:$C$108,0)),"Unavailable"))</x:f>
      </x:c>
      <x:c r="Q145" s="30" t="str">
        <x:f>IF(C145="","",IFERROR(IF(INDEX('Borrowers'!$Z$9:$Z$108,MATCH(C145,'Borrowers'!$C$9:$C$108,0))="Yes",1,IF(INDEX('Borrowers'!$P$9:$P$108,MATCH(C145,'Borrowers'!$C$9:$C$108,0))=0,0,MIN(1,INDEX('Borrowers'!$P$9:$P$108,MATCH(C145,'Borrowers'!$C$9:$C$108,0))*EXP(MIN(20,INDEX('Borrowers'!$V$9:$V$108,MATCH(C145,'Borrowers'!$C$9:$C$108,0))*V145))))),"Unavailable"))</x:f>
      </x:c>
      <x:c r="R145" s="30" t="str">
        <x:f>IF(C145="","",IFERROR(MIN(1,INDEX('Borrowers'!$Q$9:$Q$108,MATCH(C145,'Borrowers'!$C$9:$C$108,0))+(1-INDEX('Borrowers'!$Q$9:$Q$108,MATCH(C145,'Borrowers'!$C$9:$C$108,0)))*T145),"Unavailable"))</x:f>
      </x:c>
      <x:c r="S145" s="30" t="str">
        <x:f>IF(C145="","",IFERROR(SUMPRODUCT((Sites!$D$9:$D$108=C145)*Sites!$I$9:$I$108*Sites!$J$9:$J$108*Sites!$K$9:$K$108*(1-Sites!$L$9:$L$108)),"Unavailable"))</x:f>
      </x:c>
      <x:c r="T145" s="30" t="str">
        <x:f>IF(C145="","",IFERROR(MIN(1,(SUMPRODUCT((Sites!$D$9:$D$108=C145)*Sites!$N$9:$N$108*Sites!$J$9:$J$108*Sites!$K$9:$K$108*(1-Sites!$L$9:$L$108)))*'Scenario Paths'!G27),"Unavailable"))</x:f>
      </x:c>
      <x:c r="U145" s="9" t="str">
        <x:f>IF(C145="","",IF(OR(INDEX('Borrowers'!$AA$9:$AA$108,MATCH(C145,'Borrowers'!$C$9:$C$108,0))&lt;&gt;"Ready",COUNTIF(Sites!$D$9:$D$108,C145)=0,COUNTIFS(Sites!$D$9:$D$108,C145,Sites!$Q$9:$Q$108,"&lt;&gt;Ready")&gt;0,'Scenario Paths'!$F$6&lt;&gt;"Ready"),"Review source inputs","Ready"))</x:f>
      </x:c>
      <x:c r="V145" s="17" t="str">
        <x:f>IF(C145="","",IFERROR(MAX(-1,(G145-O145)/MAX(0.000001,G145)),"Unavailable"))</x:f>
      </x:c>
      <x:c r="W145" s="9" t="str">
        <x:f>IF(C145="","",IFERROR(INDEX('Borrowers'!$D$9:$D$108,MATCH(C145,'Borrowers'!$C$9:$C$108,0)),"Unavailable"))</x:f>
      </x:c>
    </x:row>
    <x:row r="146" ht="26" customHeight="1">
      <x:c r="A146" s="1"/>
      <x:c r="B146" s="1"/>
      <x:c r="C146" s="9" t="str">
        <x:f>IF(Borrowers!C46="","",Borrowers!C46)</x:f>
      </x:c>
      <x:c r="D146" s="3" t="n">
        <x:v>2</x:v>
      </x:c>
      <x:c r="E146" s="9" t="n">
        <x:f>Settings!$F$18+1</x:f>
        <x:v>2028</x:v>
      </x:c>
      <x:c r="F146" s="9" t="str">
        <x:f>IF(C146="","",INDEX('Borrowers'!$F$9:$F$108,MATCH(C146,'Borrowers'!$C$9:$C$108,0)))</x:f>
      </x:c>
      <x:c r="G146" s="23" t="str">
        <x:f>IF(C146="","",IFERROR(INDEX('Borrowers'!$J$9:$J$108,MATCH(C146,'Borrowers'!$C$9:$C$108,0))-INDEX('Borrowers'!$K$9:$K$108,MATCH(C146,'Borrowers'!$C$9:$C$108,0)),"Unavailable"))</x:f>
      </x:c>
      <x:c r="H146" s="23" t="str">
        <x:f>IF(C146="","",IFERROR(INDEX('Borrowers'!$I$9:$I$108,MATCH(C146,'Borrowers'!$C$9:$C$108,0))*INDEX('Borrowers'!$U$9:$U$108,MATCH(C146,'Borrowers'!$C$9:$C$108,0))*(IF(F146="Transport",'Scenario Paths'!G156,IF(F146="Technology",'Scenario Paths'!G150,IF(F146="Utilities",'Scenario Paths'!G144,IF(F146="Agriculture",'Scenario Paths'!G138,IF(F146="Manufacturing",'Scenario Paths'!G132,IF(F146="Healthcare",'Scenario Paths'!G126,IF(F146="Hospitality",'Scenario Paths'!G120,IF(F146="Property",'Scenario Paths'!G114,IF(F146="Food",'Scenario Paths'!G108,IF(F146="Logistics",'Scenario Paths'!G102,IF(F146="Solar",'Scenario Paths'!G96,IF(F146="Cement",'Scenario Paths'!G90,0))))))))))))),"Unavailable"))</x:f>
      </x:c>
      <x:c r="I146" s="23" t="str">
        <x:f>IF(C146="","",IFERROR(INDEX('Borrowers'!$R$9:$R$108,MATCH(C146,'Borrowers'!$C$9:$C$108,0))*(1-INDEX('Borrowers'!$W$9:$W$108,MATCH(C146,'Borrowers'!$C$9:$C$108,0))*'Scenario Paths'!G39)*'Scenario Paths'!G9/1000000*(1-INDEX('Borrowers'!$T$9:$T$108,MATCH(C146,'Borrowers'!$C$9:$C$108,0))),"Unavailable"))</x:f>
      </x:c>
      <x:c r="J146" s="23" t="str">
        <x:f>IF(C146="","",IFERROR(INDEX('Borrowers'!$I$9:$I$108,MATCH(C146,'Borrowers'!$C$9:$C$108,0))*INDEX('Borrowers'!$S$9:$S$108,MATCH(C146,'Borrowers'!$C$9:$C$108,0))*'Scenario Paths'!G15*(1-INDEX('Borrowers'!$T$9:$T$108,MATCH(C146,'Borrowers'!$C$9:$C$108,0))),"Unavailable"))</x:f>
      </x:c>
      <x:c r="K146" s="23" t="str">
        <x:f>IF(C146="","",IFERROR(INDEX('Borrowers'!$I$9:$I$108,MATCH(C146,'Borrowers'!$C$9:$C$108,0))*INDEX('Borrowers'!$U$9:$U$108,MATCH(C146,'Borrowers'!$C$9:$C$108,0))*'Scenario Paths'!G21*S146,"Unavailable"))</x:f>
      </x:c>
      <x:c r="L146" s="23" t="str">
        <x:f>IF(C146="","",IFERROR(SUMPRODUCT((Sites!$D$9:$D$108=C146)*Sites!$H$9:$H$108*Sites!$J$9:$J$108*Sites!$K$9:$K$108*(1-Sites!$L$9:$L$108)*(1-Sites!$M$9:$M$108))*'Scenario Paths'!G27,"Unavailable"))</x:f>
      </x:c>
      <x:c r="M146" s="23" t="str">
        <x:f>IF(C146="","",IFERROR(INDEX('Borrowers'!$J$9:$J$108,MATCH(C146,'Borrowers'!$C$9:$C$108,0))+H146-SUM(I146:L146),"Unavailable"))</x:f>
      </x:c>
      <x:c r="N146" s="23" t="str">
        <x:f>IF(C146="","",IFERROR(INDEX('Borrowers'!$I$9:$I$108,MATCH(C146,'Borrowers'!$C$9:$C$108,0))*'Scenario Paths'!G33,"Unavailable"))</x:f>
      </x:c>
      <x:c r="O146" s="23" t="str">
        <x:f>IF(C146="","",IFERROR(M146-INDEX('Borrowers'!$K$9:$K$108,MATCH(C146,'Borrowers'!$C$9:$C$108,0))-N146,"Unavailable"))</x:f>
      </x:c>
      <x:c r="P146" s="127" t="str">
        <x:f>IF(C146="","",IFERROR(O146/INDEX('Borrowers'!$L$9:$L$108,MATCH(C146,'Borrowers'!$C$9:$C$108,0)),"Unavailable"))</x:f>
      </x:c>
      <x:c r="Q146" s="30" t="str">
        <x:f>IF(C146="","",IFERROR(IF(INDEX('Borrowers'!$Z$9:$Z$108,MATCH(C146,'Borrowers'!$C$9:$C$108,0))="Yes",1,IF(INDEX('Borrowers'!$P$9:$P$108,MATCH(C146,'Borrowers'!$C$9:$C$108,0))=0,0,MIN(1,INDEX('Borrowers'!$P$9:$P$108,MATCH(C146,'Borrowers'!$C$9:$C$108,0))*EXP(MIN(20,INDEX('Borrowers'!$V$9:$V$108,MATCH(C146,'Borrowers'!$C$9:$C$108,0))*V146))))),"Unavailable"))</x:f>
      </x:c>
      <x:c r="R146" s="30" t="str">
        <x:f>IF(C146="","",IFERROR(MIN(1,INDEX('Borrowers'!$Q$9:$Q$108,MATCH(C146,'Borrowers'!$C$9:$C$108,0))+(1-INDEX('Borrowers'!$Q$9:$Q$108,MATCH(C146,'Borrowers'!$C$9:$C$108,0)))*T146),"Unavailable"))</x:f>
      </x:c>
      <x:c r="S146" s="30" t="str">
        <x:f>IF(C146="","",IFERROR(SUMPRODUCT((Sites!$D$9:$D$108=C146)*Sites!$I$9:$I$108*Sites!$J$9:$J$108*Sites!$K$9:$K$108*(1-Sites!$L$9:$L$108)),"Unavailable"))</x:f>
      </x:c>
      <x:c r="T146" s="30" t="str">
        <x:f>IF(C146="","",IFERROR(MIN(1,(SUMPRODUCT((Sites!$D$9:$D$108=C146)*Sites!$N$9:$N$108*Sites!$J$9:$J$108*Sites!$K$9:$K$108*(1-Sites!$L$9:$L$108)))*'Scenario Paths'!G27),"Unavailable"))</x:f>
      </x:c>
      <x:c r="U146" s="9" t="str">
        <x:f>IF(C146="","",IF(OR(INDEX('Borrowers'!$AA$9:$AA$108,MATCH(C146,'Borrowers'!$C$9:$C$108,0))&lt;&gt;"Ready",COUNTIF(Sites!$D$9:$D$108,C146)=0,COUNTIFS(Sites!$D$9:$D$108,C146,Sites!$Q$9:$Q$108,"&lt;&gt;Ready")&gt;0,'Scenario Paths'!$F$6&lt;&gt;"Ready"),"Review source inputs","Ready"))</x:f>
      </x:c>
      <x:c r="V146" s="17" t="str">
        <x:f>IF(C146="","",IFERROR(MAX(-1,(G146-O146)/MAX(0.000001,G146)),"Unavailable"))</x:f>
      </x:c>
      <x:c r="W146" s="9" t="str">
        <x:f>IF(C146="","",IFERROR(INDEX('Borrowers'!$D$9:$D$108,MATCH(C146,'Borrowers'!$C$9:$C$108,0)),"Unavailable"))</x:f>
      </x:c>
    </x:row>
    <x:row r="147" ht="26" customHeight="1">
      <x:c r="A147" s="1"/>
      <x:c r="B147" s="1"/>
      <x:c r="C147" s="9" t="str">
        <x:f>IF(Borrowers!C47="","",Borrowers!C47)</x:f>
      </x:c>
      <x:c r="D147" s="3" t="n">
        <x:v>2</x:v>
      </x:c>
      <x:c r="E147" s="9" t="n">
        <x:f>Settings!$F$18+1</x:f>
        <x:v>2028</x:v>
      </x:c>
      <x:c r="F147" s="9" t="str">
        <x:f>IF(C147="","",INDEX('Borrowers'!$F$9:$F$108,MATCH(C147,'Borrowers'!$C$9:$C$108,0)))</x:f>
      </x:c>
      <x:c r="G147" s="23" t="str">
        <x:f>IF(C147="","",IFERROR(INDEX('Borrowers'!$J$9:$J$108,MATCH(C147,'Borrowers'!$C$9:$C$108,0))-INDEX('Borrowers'!$K$9:$K$108,MATCH(C147,'Borrowers'!$C$9:$C$108,0)),"Unavailable"))</x:f>
      </x:c>
      <x:c r="H147" s="23" t="str">
        <x:f>IF(C147="","",IFERROR(INDEX('Borrowers'!$I$9:$I$108,MATCH(C147,'Borrowers'!$C$9:$C$108,0))*INDEX('Borrowers'!$U$9:$U$108,MATCH(C147,'Borrowers'!$C$9:$C$108,0))*(IF(F147="Transport",'Scenario Paths'!G156,IF(F147="Technology",'Scenario Paths'!G150,IF(F147="Utilities",'Scenario Paths'!G144,IF(F147="Agriculture",'Scenario Paths'!G138,IF(F147="Manufacturing",'Scenario Paths'!G132,IF(F147="Healthcare",'Scenario Paths'!G126,IF(F147="Hospitality",'Scenario Paths'!G120,IF(F147="Property",'Scenario Paths'!G114,IF(F147="Food",'Scenario Paths'!G108,IF(F147="Logistics",'Scenario Paths'!G102,IF(F147="Solar",'Scenario Paths'!G96,IF(F147="Cement",'Scenario Paths'!G90,0))))))))))))),"Unavailable"))</x:f>
      </x:c>
      <x:c r="I147" s="23" t="str">
        <x:f>IF(C147="","",IFERROR(INDEX('Borrowers'!$R$9:$R$108,MATCH(C147,'Borrowers'!$C$9:$C$108,0))*(1-INDEX('Borrowers'!$W$9:$W$108,MATCH(C147,'Borrowers'!$C$9:$C$108,0))*'Scenario Paths'!G39)*'Scenario Paths'!G9/1000000*(1-INDEX('Borrowers'!$T$9:$T$108,MATCH(C147,'Borrowers'!$C$9:$C$108,0))),"Unavailable"))</x:f>
      </x:c>
      <x:c r="J147" s="23" t="str">
        <x:f>IF(C147="","",IFERROR(INDEX('Borrowers'!$I$9:$I$108,MATCH(C147,'Borrowers'!$C$9:$C$108,0))*INDEX('Borrowers'!$S$9:$S$108,MATCH(C147,'Borrowers'!$C$9:$C$108,0))*'Scenario Paths'!G15*(1-INDEX('Borrowers'!$T$9:$T$108,MATCH(C147,'Borrowers'!$C$9:$C$108,0))),"Unavailable"))</x:f>
      </x:c>
      <x:c r="K147" s="23" t="str">
        <x:f>IF(C147="","",IFERROR(INDEX('Borrowers'!$I$9:$I$108,MATCH(C147,'Borrowers'!$C$9:$C$108,0))*INDEX('Borrowers'!$U$9:$U$108,MATCH(C147,'Borrowers'!$C$9:$C$108,0))*'Scenario Paths'!G21*S147,"Unavailable"))</x:f>
      </x:c>
      <x:c r="L147" s="23" t="str">
        <x:f>IF(C147="","",IFERROR(SUMPRODUCT((Sites!$D$9:$D$108=C147)*Sites!$H$9:$H$108*Sites!$J$9:$J$108*Sites!$K$9:$K$108*(1-Sites!$L$9:$L$108)*(1-Sites!$M$9:$M$108))*'Scenario Paths'!G27,"Unavailable"))</x:f>
      </x:c>
      <x:c r="M147" s="23" t="str">
        <x:f>IF(C147="","",IFERROR(INDEX('Borrowers'!$J$9:$J$108,MATCH(C147,'Borrowers'!$C$9:$C$108,0))+H147-SUM(I147:L147),"Unavailable"))</x:f>
      </x:c>
      <x:c r="N147" s="23" t="str">
        <x:f>IF(C147="","",IFERROR(INDEX('Borrowers'!$I$9:$I$108,MATCH(C147,'Borrowers'!$C$9:$C$108,0))*'Scenario Paths'!G33,"Unavailable"))</x:f>
      </x:c>
      <x:c r="O147" s="23" t="str">
        <x:f>IF(C147="","",IFERROR(M147-INDEX('Borrowers'!$K$9:$K$108,MATCH(C147,'Borrowers'!$C$9:$C$108,0))-N147,"Unavailable"))</x:f>
      </x:c>
      <x:c r="P147" s="127" t="str">
        <x:f>IF(C147="","",IFERROR(O147/INDEX('Borrowers'!$L$9:$L$108,MATCH(C147,'Borrowers'!$C$9:$C$108,0)),"Unavailable"))</x:f>
      </x:c>
      <x:c r="Q147" s="30" t="str">
        <x:f>IF(C147="","",IFERROR(IF(INDEX('Borrowers'!$Z$9:$Z$108,MATCH(C147,'Borrowers'!$C$9:$C$108,0))="Yes",1,IF(INDEX('Borrowers'!$P$9:$P$108,MATCH(C147,'Borrowers'!$C$9:$C$108,0))=0,0,MIN(1,INDEX('Borrowers'!$P$9:$P$108,MATCH(C147,'Borrowers'!$C$9:$C$108,0))*EXP(MIN(20,INDEX('Borrowers'!$V$9:$V$108,MATCH(C147,'Borrowers'!$C$9:$C$108,0))*V147))))),"Unavailable"))</x:f>
      </x:c>
      <x:c r="R147" s="30" t="str">
        <x:f>IF(C147="","",IFERROR(MIN(1,INDEX('Borrowers'!$Q$9:$Q$108,MATCH(C147,'Borrowers'!$C$9:$C$108,0))+(1-INDEX('Borrowers'!$Q$9:$Q$108,MATCH(C147,'Borrowers'!$C$9:$C$108,0)))*T147),"Unavailable"))</x:f>
      </x:c>
      <x:c r="S147" s="30" t="str">
        <x:f>IF(C147="","",IFERROR(SUMPRODUCT((Sites!$D$9:$D$108=C147)*Sites!$I$9:$I$108*Sites!$J$9:$J$108*Sites!$K$9:$K$108*(1-Sites!$L$9:$L$108)),"Unavailable"))</x:f>
      </x:c>
      <x:c r="T147" s="30" t="str">
        <x:f>IF(C147="","",IFERROR(MIN(1,(SUMPRODUCT((Sites!$D$9:$D$108=C147)*Sites!$N$9:$N$108*Sites!$J$9:$J$108*Sites!$K$9:$K$108*(1-Sites!$L$9:$L$108)))*'Scenario Paths'!G27),"Unavailable"))</x:f>
      </x:c>
      <x:c r="U147" s="9" t="str">
        <x:f>IF(C147="","",IF(OR(INDEX('Borrowers'!$AA$9:$AA$108,MATCH(C147,'Borrowers'!$C$9:$C$108,0))&lt;&gt;"Ready",COUNTIF(Sites!$D$9:$D$108,C147)=0,COUNTIFS(Sites!$D$9:$D$108,C147,Sites!$Q$9:$Q$108,"&lt;&gt;Ready")&gt;0,'Scenario Paths'!$F$6&lt;&gt;"Ready"),"Review source inputs","Ready"))</x:f>
      </x:c>
      <x:c r="V147" s="17" t="str">
        <x:f>IF(C147="","",IFERROR(MAX(-1,(G147-O147)/MAX(0.000001,G147)),"Unavailable"))</x:f>
      </x:c>
      <x:c r="W147" s="9" t="str">
        <x:f>IF(C147="","",IFERROR(INDEX('Borrowers'!$D$9:$D$108,MATCH(C147,'Borrowers'!$C$9:$C$108,0)),"Unavailable"))</x:f>
      </x:c>
    </x:row>
    <x:row r="148" ht="26" customHeight="1">
      <x:c r="A148" s="1"/>
      <x:c r="B148" s="1"/>
      <x:c r="C148" s="9" t="str">
        <x:f>IF(Borrowers!C48="","",Borrowers!C48)</x:f>
      </x:c>
      <x:c r="D148" s="3" t="n">
        <x:v>2</x:v>
      </x:c>
      <x:c r="E148" s="9" t="n">
        <x:f>Settings!$F$18+1</x:f>
        <x:v>2028</x:v>
      </x:c>
      <x:c r="F148" s="9" t="str">
        <x:f>IF(C148="","",INDEX('Borrowers'!$F$9:$F$108,MATCH(C148,'Borrowers'!$C$9:$C$108,0)))</x:f>
      </x:c>
      <x:c r="G148" s="23" t="str">
        <x:f>IF(C148="","",IFERROR(INDEX('Borrowers'!$J$9:$J$108,MATCH(C148,'Borrowers'!$C$9:$C$108,0))-INDEX('Borrowers'!$K$9:$K$108,MATCH(C148,'Borrowers'!$C$9:$C$108,0)),"Unavailable"))</x:f>
      </x:c>
      <x:c r="H148" s="23" t="str">
        <x:f>IF(C148="","",IFERROR(INDEX('Borrowers'!$I$9:$I$108,MATCH(C148,'Borrowers'!$C$9:$C$108,0))*INDEX('Borrowers'!$U$9:$U$108,MATCH(C148,'Borrowers'!$C$9:$C$108,0))*(IF(F148="Transport",'Scenario Paths'!G156,IF(F148="Technology",'Scenario Paths'!G150,IF(F148="Utilities",'Scenario Paths'!G144,IF(F148="Agriculture",'Scenario Paths'!G138,IF(F148="Manufacturing",'Scenario Paths'!G132,IF(F148="Healthcare",'Scenario Paths'!G126,IF(F148="Hospitality",'Scenario Paths'!G120,IF(F148="Property",'Scenario Paths'!G114,IF(F148="Food",'Scenario Paths'!G108,IF(F148="Logistics",'Scenario Paths'!G102,IF(F148="Solar",'Scenario Paths'!G96,IF(F148="Cement",'Scenario Paths'!G90,0))))))))))))),"Unavailable"))</x:f>
      </x:c>
      <x:c r="I148" s="23" t="str">
        <x:f>IF(C148="","",IFERROR(INDEX('Borrowers'!$R$9:$R$108,MATCH(C148,'Borrowers'!$C$9:$C$108,0))*(1-INDEX('Borrowers'!$W$9:$W$108,MATCH(C148,'Borrowers'!$C$9:$C$108,0))*'Scenario Paths'!G39)*'Scenario Paths'!G9/1000000*(1-INDEX('Borrowers'!$T$9:$T$108,MATCH(C148,'Borrowers'!$C$9:$C$108,0))),"Unavailable"))</x:f>
      </x:c>
      <x:c r="J148" s="23" t="str">
        <x:f>IF(C148="","",IFERROR(INDEX('Borrowers'!$I$9:$I$108,MATCH(C148,'Borrowers'!$C$9:$C$108,0))*INDEX('Borrowers'!$S$9:$S$108,MATCH(C148,'Borrowers'!$C$9:$C$108,0))*'Scenario Paths'!G15*(1-INDEX('Borrowers'!$T$9:$T$108,MATCH(C148,'Borrowers'!$C$9:$C$108,0))),"Unavailable"))</x:f>
      </x:c>
      <x:c r="K148" s="23" t="str">
        <x:f>IF(C148="","",IFERROR(INDEX('Borrowers'!$I$9:$I$108,MATCH(C148,'Borrowers'!$C$9:$C$108,0))*INDEX('Borrowers'!$U$9:$U$108,MATCH(C148,'Borrowers'!$C$9:$C$108,0))*'Scenario Paths'!G21*S148,"Unavailable"))</x:f>
      </x:c>
      <x:c r="L148" s="23" t="str">
        <x:f>IF(C148="","",IFERROR(SUMPRODUCT((Sites!$D$9:$D$108=C148)*Sites!$H$9:$H$108*Sites!$J$9:$J$108*Sites!$K$9:$K$108*(1-Sites!$L$9:$L$108)*(1-Sites!$M$9:$M$108))*'Scenario Paths'!G27,"Unavailable"))</x:f>
      </x:c>
      <x:c r="M148" s="23" t="str">
        <x:f>IF(C148="","",IFERROR(INDEX('Borrowers'!$J$9:$J$108,MATCH(C148,'Borrowers'!$C$9:$C$108,0))+H148-SUM(I148:L148),"Unavailable"))</x:f>
      </x:c>
      <x:c r="N148" s="23" t="str">
        <x:f>IF(C148="","",IFERROR(INDEX('Borrowers'!$I$9:$I$108,MATCH(C148,'Borrowers'!$C$9:$C$108,0))*'Scenario Paths'!G33,"Unavailable"))</x:f>
      </x:c>
      <x:c r="O148" s="23" t="str">
        <x:f>IF(C148="","",IFERROR(M148-INDEX('Borrowers'!$K$9:$K$108,MATCH(C148,'Borrowers'!$C$9:$C$108,0))-N148,"Unavailable"))</x:f>
      </x:c>
      <x:c r="P148" s="127" t="str">
        <x:f>IF(C148="","",IFERROR(O148/INDEX('Borrowers'!$L$9:$L$108,MATCH(C148,'Borrowers'!$C$9:$C$108,0)),"Unavailable"))</x:f>
      </x:c>
      <x:c r="Q148" s="30" t="str">
        <x:f>IF(C148="","",IFERROR(IF(INDEX('Borrowers'!$Z$9:$Z$108,MATCH(C148,'Borrowers'!$C$9:$C$108,0))="Yes",1,IF(INDEX('Borrowers'!$P$9:$P$108,MATCH(C148,'Borrowers'!$C$9:$C$108,0))=0,0,MIN(1,INDEX('Borrowers'!$P$9:$P$108,MATCH(C148,'Borrowers'!$C$9:$C$108,0))*EXP(MIN(20,INDEX('Borrowers'!$V$9:$V$108,MATCH(C148,'Borrowers'!$C$9:$C$108,0))*V148))))),"Unavailable"))</x:f>
      </x:c>
      <x:c r="R148" s="30" t="str">
        <x:f>IF(C148="","",IFERROR(MIN(1,INDEX('Borrowers'!$Q$9:$Q$108,MATCH(C148,'Borrowers'!$C$9:$C$108,0))+(1-INDEX('Borrowers'!$Q$9:$Q$108,MATCH(C148,'Borrowers'!$C$9:$C$108,0)))*T148),"Unavailable"))</x:f>
      </x:c>
      <x:c r="S148" s="30" t="str">
        <x:f>IF(C148="","",IFERROR(SUMPRODUCT((Sites!$D$9:$D$108=C148)*Sites!$I$9:$I$108*Sites!$J$9:$J$108*Sites!$K$9:$K$108*(1-Sites!$L$9:$L$108)),"Unavailable"))</x:f>
      </x:c>
      <x:c r="T148" s="30" t="str">
        <x:f>IF(C148="","",IFERROR(MIN(1,(SUMPRODUCT((Sites!$D$9:$D$108=C148)*Sites!$N$9:$N$108*Sites!$J$9:$J$108*Sites!$K$9:$K$108*(1-Sites!$L$9:$L$108)))*'Scenario Paths'!G27),"Unavailable"))</x:f>
      </x:c>
      <x:c r="U148" s="9" t="str">
        <x:f>IF(C148="","",IF(OR(INDEX('Borrowers'!$AA$9:$AA$108,MATCH(C148,'Borrowers'!$C$9:$C$108,0))&lt;&gt;"Ready",COUNTIF(Sites!$D$9:$D$108,C148)=0,COUNTIFS(Sites!$D$9:$D$108,C148,Sites!$Q$9:$Q$108,"&lt;&gt;Ready")&gt;0,'Scenario Paths'!$F$6&lt;&gt;"Ready"),"Review source inputs","Ready"))</x:f>
      </x:c>
      <x:c r="V148" s="17" t="str">
        <x:f>IF(C148="","",IFERROR(MAX(-1,(G148-O148)/MAX(0.000001,G148)),"Unavailable"))</x:f>
      </x:c>
      <x:c r="W148" s="9" t="str">
        <x:f>IF(C148="","",IFERROR(INDEX('Borrowers'!$D$9:$D$108,MATCH(C148,'Borrowers'!$C$9:$C$108,0)),"Unavailable"))</x:f>
      </x:c>
    </x:row>
    <x:row r="149" ht="26" customHeight="1">
      <x:c r="A149" s="1"/>
      <x:c r="B149" s="1"/>
      <x:c r="C149" s="9" t="str">
        <x:f>IF(Borrowers!C49="","",Borrowers!C49)</x:f>
      </x:c>
      <x:c r="D149" s="3" t="n">
        <x:v>2</x:v>
      </x:c>
      <x:c r="E149" s="9" t="n">
        <x:f>Settings!$F$18+1</x:f>
        <x:v>2028</x:v>
      </x:c>
      <x:c r="F149" s="9" t="str">
        <x:f>IF(C149="","",INDEX('Borrowers'!$F$9:$F$108,MATCH(C149,'Borrowers'!$C$9:$C$108,0)))</x:f>
      </x:c>
      <x:c r="G149" s="23" t="str">
        <x:f>IF(C149="","",IFERROR(INDEX('Borrowers'!$J$9:$J$108,MATCH(C149,'Borrowers'!$C$9:$C$108,0))-INDEX('Borrowers'!$K$9:$K$108,MATCH(C149,'Borrowers'!$C$9:$C$108,0)),"Unavailable"))</x:f>
      </x:c>
      <x:c r="H149" s="23" t="str">
        <x:f>IF(C149="","",IFERROR(INDEX('Borrowers'!$I$9:$I$108,MATCH(C149,'Borrowers'!$C$9:$C$108,0))*INDEX('Borrowers'!$U$9:$U$108,MATCH(C149,'Borrowers'!$C$9:$C$108,0))*(IF(F149="Transport",'Scenario Paths'!G156,IF(F149="Technology",'Scenario Paths'!G150,IF(F149="Utilities",'Scenario Paths'!G144,IF(F149="Agriculture",'Scenario Paths'!G138,IF(F149="Manufacturing",'Scenario Paths'!G132,IF(F149="Healthcare",'Scenario Paths'!G126,IF(F149="Hospitality",'Scenario Paths'!G120,IF(F149="Property",'Scenario Paths'!G114,IF(F149="Food",'Scenario Paths'!G108,IF(F149="Logistics",'Scenario Paths'!G102,IF(F149="Solar",'Scenario Paths'!G96,IF(F149="Cement",'Scenario Paths'!G90,0))))))))))))),"Unavailable"))</x:f>
      </x:c>
      <x:c r="I149" s="23" t="str">
        <x:f>IF(C149="","",IFERROR(INDEX('Borrowers'!$R$9:$R$108,MATCH(C149,'Borrowers'!$C$9:$C$108,0))*(1-INDEX('Borrowers'!$W$9:$W$108,MATCH(C149,'Borrowers'!$C$9:$C$108,0))*'Scenario Paths'!G39)*'Scenario Paths'!G9/1000000*(1-INDEX('Borrowers'!$T$9:$T$108,MATCH(C149,'Borrowers'!$C$9:$C$108,0))),"Unavailable"))</x:f>
      </x:c>
      <x:c r="J149" s="23" t="str">
        <x:f>IF(C149="","",IFERROR(INDEX('Borrowers'!$I$9:$I$108,MATCH(C149,'Borrowers'!$C$9:$C$108,0))*INDEX('Borrowers'!$S$9:$S$108,MATCH(C149,'Borrowers'!$C$9:$C$108,0))*'Scenario Paths'!G15*(1-INDEX('Borrowers'!$T$9:$T$108,MATCH(C149,'Borrowers'!$C$9:$C$108,0))),"Unavailable"))</x:f>
      </x:c>
      <x:c r="K149" s="23" t="str">
        <x:f>IF(C149="","",IFERROR(INDEX('Borrowers'!$I$9:$I$108,MATCH(C149,'Borrowers'!$C$9:$C$108,0))*INDEX('Borrowers'!$U$9:$U$108,MATCH(C149,'Borrowers'!$C$9:$C$108,0))*'Scenario Paths'!G21*S149,"Unavailable"))</x:f>
      </x:c>
      <x:c r="L149" s="23" t="str">
        <x:f>IF(C149="","",IFERROR(SUMPRODUCT((Sites!$D$9:$D$108=C149)*Sites!$H$9:$H$108*Sites!$J$9:$J$108*Sites!$K$9:$K$108*(1-Sites!$L$9:$L$108)*(1-Sites!$M$9:$M$108))*'Scenario Paths'!G27,"Unavailable"))</x:f>
      </x:c>
      <x:c r="M149" s="23" t="str">
        <x:f>IF(C149="","",IFERROR(INDEX('Borrowers'!$J$9:$J$108,MATCH(C149,'Borrowers'!$C$9:$C$108,0))+H149-SUM(I149:L149),"Unavailable"))</x:f>
      </x:c>
      <x:c r="N149" s="23" t="str">
        <x:f>IF(C149="","",IFERROR(INDEX('Borrowers'!$I$9:$I$108,MATCH(C149,'Borrowers'!$C$9:$C$108,0))*'Scenario Paths'!G33,"Unavailable"))</x:f>
      </x:c>
      <x:c r="O149" s="23" t="str">
        <x:f>IF(C149="","",IFERROR(M149-INDEX('Borrowers'!$K$9:$K$108,MATCH(C149,'Borrowers'!$C$9:$C$108,0))-N149,"Unavailable"))</x:f>
      </x:c>
      <x:c r="P149" s="127" t="str">
        <x:f>IF(C149="","",IFERROR(O149/INDEX('Borrowers'!$L$9:$L$108,MATCH(C149,'Borrowers'!$C$9:$C$108,0)),"Unavailable"))</x:f>
      </x:c>
      <x:c r="Q149" s="30" t="str">
        <x:f>IF(C149="","",IFERROR(IF(INDEX('Borrowers'!$Z$9:$Z$108,MATCH(C149,'Borrowers'!$C$9:$C$108,0))="Yes",1,IF(INDEX('Borrowers'!$P$9:$P$108,MATCH(C149,'Borrowers'!$C$9:$C$108,0))=0,0,MIN(1,INDEX('Borrowers'!$P$9:$P$108,MATCH(C149,'Borrowers'!$C$9:$C$108,0))*EXP(MIN(20,INDEX('Borrowers'!$V$9:$V$108,MATCH(C149,'Borrowers'!$C$9:$C$108,0))*V149))))),"Unavailable"))</x:f>
      </x:c>
      <x:c r="R149" s="30" t="str">
        <x:f>IF(C149="","",IFERROR(MIN(1,INDEX('Borrowers'!$Q$9:$Q$108,MATCH(C149,'Borrowers'!$C$9:$C$108,0))+(1-INDEX('Borrowers'!$Q$9:$Q$108,MATCH(C149,'Borrowers'!$C$9:$C$108,0)))*T149),"Unavailable"))</x:f>
      </x:c>
      <x:c r="S149" s="30" t="str">
        <x:f>IF(C149="","",IFERROR(SUMPRODUCT((Sites!$D$9:$D$108=C149)*Sites!$I$9:$I$108*Sites!$J$9:$J$108*Sites!$K$9:$K$108*(1-Sites!$L$9:$L$108)),"Unavailable"))</x:f>
      </x:c>
      <x:c r="T149" s="30" t="str">
        <x:f>IF(C149="","",IFERROR(MIN(1,(SUMPRODUCT((Sites!$D$9:$D$108=C149)*Sites!$N$9:$N$108*Sites!$J$9:$J$108*Sites!$K$9:$K$108*(1-Sites!$L$9:$L$108)))*'Scenario Paths'!G27),"Unavailable"))</x:f>
      </x:c>
      <x:c r="U149" s="9" t="str">
        <x:f>IF(C149="","",IF(OR(INDEX('Borrowers'!$AA$9:$AA$108,MATCH(C149,'Borrowers'!$C$9:$C$108,0))&lt;&gt;"Ready",COUNTIF(Sites!$D$9:$D$108,C149)=0,COUNTIFS(Sites!$D$9:$D$108,C149,Sites!$Q$9:$Q$108,"&lt;&gt;Ready")&gt;0,'Scenario Paths'!$F$6&lt;&gt;"Ready"),"Review source inputs","Ready"))</x:f>
      </x:c>
      <x:c r="V149" s="17" t="str">
        <x:f>IF(C149="","",IFERROR(MAX(-1,(G149-O149)/MAX(0.000001,G149)),"Unavailable"))</x:f>
      </x:c>
      <x:c r="W149" s="9" t="str">
        <x:f>IF(C149="","",IFERROR(INDEX('Borrowers'!$D$9:$D$108,MATCH(C149,'Borrowers'!$C$9:$C$108,0)),"Unavailable"))</x:f>
      </x:c>
    </x:row>
    <x:row r="150" ht="26" customHeight="1">
      <x:c r="A150" s="1"/>
      <x:c r="B150" s="1"/>
      <x:c r="C150" s="9" t="str">
        <x:f>IF(Borrowers!C50="","",Borrowers!C50)</x:f>
      </x:c>
      <x:c r="D150" s="3" t="n">
        <x:v>2</x:v>
      </x:c>
      <x:c r="E150" s="9" t="n">
        <x:f>Settings!$F$18+1</x:f>
        <x:v>2028</x:v>
      </x:c>
      <x:c r="F150" s="9" t="str">
        <x:f>IF(C150="","",INDEX('Borrowers'!$F$9:$F$108,MATCH(C150,'Borrowers'!$C$9:$C$108,0)))</x:f>
      </x:c>
      <x:c r="G150" s="23" t="str">
        <x:f>IF(C150="","",IFERROR(INDEX('Borrowers'!$J$9:$J$108,MATCH(C150,'Borrowers'!$C$9:$C$108,0))-INDEX('Borrowers'!$K$9:$K$108,MATCH(C150,'Borrowers'!$C$9:$C$108,0)),"Unavailable"))</x:f>
      </x:c>
      <x:c r="H150" s="23" t="str">
        <x:f>IF(C150="","",IFERROR(INDEX('Borrowers'!$I$9:$I$108,MATCH(C150,'Borrowers'!$C$9:$C$108,0))*INDEX('Borrowers'!$U$9:$U$108,MATCH(C150,'Borrowers'!$C$9:$C$108,0))*(IF(F150="Transport",'Scenario Paths'!G156,IF(F150="Technology",'Scenario Paths'!G150,IF(F150="Utilities",'Scenario Paths'!G144,IF(F150="Agriculture",'Scenario Paths'!G138,IF(F150="Manufacturing",'Scenario Paths'!G132,IF(F150="Healthcare",'Scenario Paths'!G126,IF(F150="Hospitality",'Scenario Paths'!G120,IF(F150="Property",'Scenario Paths'!G114,IF(F150="Food",'Scenario Paths'!G108,IF(F150="Logistics",'Scenario Paths'!G102,IF(F150="Solar",'Scenario Paths'!G96,IF(F150="Cement",'Scenario Paths'!G90,0))))))))))))),"Unavailable"))</x:f>
      </x:c>
      <x:c r="I150" s="23" t="str">
        <x:f>IF(C150="","",IFERROR(INDEX('Borrowers'!$R$9:$R$108,MATCH(C150,'Borrowers'!$C$9:$C$108,0))*(1-INDEX('Borrowers'!$W$9:$W$108,MATCH(C150,'Borrowers'!$C$9:$C$108,0))*'Scenario Paths'!G39)*'Scenario Paths'!G9/1000000*(1-INDEX('Borrowers'!$T$9:$T$108,MATCH(C150,'Borrowers'!$C$9:$C$108,0))),"Unavailable"))</x:f>
      </x:c>
      <x:c r="J150" s="23" t="str">
        <x:f>IF(C150="","",IFERROR(INDEX('Borrowers'!$I$9:$I$108,MATCH(C150,'Borrowers'!$C$9:$C$108,0))*INDEX('Borrowers'!$S$9:$S$108,MATCH(C150,'Borrowers'!$C$9:$C$108,0))*'Scenario Paths'!G15*(1-INDEX('Borrowers'!$T$9:$T$108,MATCH(C150,'Borrowers'!$C$9:$C$108,0))),"Unavailable"))</x:f>
      </x:c>
      <x:c r="K150" s="23" t="str">
        <x:f>IF(C150="","",IFERROR(INDEX('Borrowers'!$I$9:$I$108,MATCH(C150,'Borrowers'!$C$9:$C$108,0))*INDEX('Borrowers'!$U$9:$U$108,MATCH(C150,'Borrowers'!$C$9:$C$108,0))*'Scenario Paths'!G21*S150,"Unavailable"))</x:f>
      </x:c>
      <x:c r="L150" s="23" t="str">
        <x:f>IF(C150="","",IFERROR(SUMPRODUCT((Sites!$D$9:$D$108=C150)*Sites!$H$9:$H$108*Sites!$J$9:$J$108*Sites!$K$9:$K$108*(1-Sites!$L$9:$L$108)*(1-Sites!$M$9:$M$108))*'Scenario Paths'!G27,"Unavailable"))</x:f>
      </x:c>
      <x:c r="M150" s="23" t="str">
        <x:f>IF(C150="","",IFERROR(INDEX('Borrowers'!$J$9:$J$108,MATCH(C150,'Borrowers'!$C$9:$C$108,0))+H150-SUM(I150:L150),"Unavailable"))</x:f>
      </x:c>
      <x:c r="N150" s="23" t="str">
        <x:f>IF(C150="","",IFERROR(INDEX('Borrowers'!$I$9:$I$108,MATCH(C150,'Borrowers'!$C$9:$C$108,0))*'Scenario Paths'!G33,"Unavailable"))</x:f>
      </x:c>
      <x:c r="O150" s="23" t="str">
        <x:f>IF(C150="","",IFERROR(M150-INDEX('Borrowers'!$K$9:$K$108,MATCH(C150,'Borrowers'!$C$9:$C$108,0))-N150,"Unavailable"))</x:f>
      </x:c>
      <x:c r="P150" s="127" t="str">
        <x:f>IF(C150="","",IFERROR(O150/INDEX('Borrowers'!$L$9:$L$108,MATCH(C150,'Borrowers'!$C$9:$C$108,0)),"Unavailable"))</x:f>
      </x:c>
      <x:c r="Q150" s="30" t="str">
        <x:f>IF(C150="","",IFERROR(IF(INDEX('Borrowers'!$Z$9:$Z$108,MATCH(C150,'Borrowers'!$C$9:$C$108,0))="Yes",1,IF(INDEX('Borrowers'!$P$9:$P$108,MATCH(C150,'Borrowers'!$C$9:$C$108,0))=0,0,MIN(1,INDEX('Borrowers'!$P$9:$P$108,MATCH(C150,'Borrowers'!$C$9:$C$108,0))*EXP(MIN(20,INDEX('Borrowers'!$V$9:$V$108,MATCH(C150,'Borrowers'!$C$9:$C$108,0))*V150))))),"Unavailable"))</x:f>
      </x:c>
      <x:c r="R150" s="30" t="str">
        <x:f>IF(C150="","",IFERROR(MIN(1,INDEX('Borrowers'!$Q$9:$Q$108,MATCH(C150,'Borrowers'!$C$9:$C$108,0))+(1-INDEX('Borrowers'!$Q$9:$Q$108,MATCH(C150,'Borrowers'!$C$9:$C$108,0)))*T150),"Unavailable"))</x:f>
      </x:c>
      <x:c r="S150" s="30" t="str">
        <x:f>IF(C150="","",IFERROR(SUMPRODUCT((Sites!$D$9:$D$108=C150)*Sites!$I$9:$I$108*Sites!$J$9:$J$108*Sites!$K$9:$K$108*(1-Sites!$L$9:$L$108)),"Unavailable"))</x:f>
      </x:c>
      <x:c r="T150" s="30" t="str">
        <x:f>IF(C150="","",IFERROR(MIN(1,(SUMPRODUCT((Sites!$D$9:$D$108=C150)*Sites!$N$9:$N$108*Sites!$J$9:$J$108*Sites!$K$9:$K$108*(1-Sites!$L$9:$L$108)))*'Scenario Paths'!G27),"Unavailable"))</x:f>
      </x:c>
      <x:c r="U150" s="9" t="str">
        <x:f>IF(C150="","",IF(OR(INDEX('Borrowers'!$AA$9:$AA$108,MATCH(C150,'Borrowers'!$C$9:$C$108,0))&lt;&gt;"Ready",COUNTIF(Sites!$D$9:$D$108,C150)=0,COUNTIFS(Sites!$D$9:$D$108,C150,Sites!$Q$9:$Q$108,"&lt;&gt;Ready")&gt;0,'Scenario Paths'!$F$6&lt;&gt;"Ready"),"Review source inputs","Ready"))</x:f>
      </x:c>
      <x:c r="V150" s="17" t="str">
        <x:f>IF(C150="","",IFERROR(MAX(-1,(G150-O150)/MAX(0.000001,G150)),"Unavailable"))</x:f>
      </x:c>
      <x:c r="W150" s="9" t="str">
        <x:f>IF(C150="","",IFERROR(INDEX('Borrowers'!$D$9:$D$108,MATCH(C150,'Borrowers'!$C$9:$C$108,0)),"Unavailable"))</x:f>
      </x:c>
    </x:row>
    <x:row r="151" ht="26" customHeight="1">
      <x:c r="A151" s="1"/>
      <x:c r="B151" s="1"/>
      <x:c r="C151" s="9" t="str">
        <x:f>IF(Borrowers!C51="","",Borrowers!C51)</x:f>
      </x:c>
      <x:c r="D151" s="3" t="n">
        <x:v>2</x:v>
      </x:c>
      <x:c r="E151" s="9" t="n">
        <x:f>Settings!$F$18+1</x:f>
        <x:v>2028</x:v>
      </x:c>
      <x:c r="F151" s="9" t="str">
        <x:f>IF(C151="","",INDEX('Borrowers'!$F$9:$F$108,MATCH(C151,'Borrowers'!$C$9:$C$108,0)))</x:f>
      </x:c>
      <x:c r="G151" s="23" t="str">
        <x:f>IF(C151="","",IFERROR(INDEX('Borrowers'!$J$9:$J$108,MATCH(C151,'Borrowers'!$C$9:$C$108,0))-INDEX('Borrowers'!$K$9:$K$108,MATCH(C151,'Borrowers'!$C$9:$C$108,0)),"Unavailable"))</x:f>
      </x:c>
      <x:c r="H151" s="23" t="str">
        <x:f>IF(C151="","",IFERROR(INDEX('Borrowers'!$I$9:$I$108,MATCH(C151,'Borrowers'!$C$9:$C$108,0))*INDEX('Borrowers'!$U$9:$U$108,MATCH(C151,'Borrowers'!$C$9:$C$108,0))*(IF(F151="Transport",'Scenario Paths'!G156,IF(F151="Technology",'Scenario Paths'!G150,IF(F151="Utilities",'Scenario Paths'!G144,IF(F151="Agriculture",'Scenario Paths'!G138,IF(F151="Manufacturing",'Scenario Paths'!G132,IF(F151="Healthcare",'Scenario Paths'!G126,IF(F151="Hospitality",'Scenario Paths'!G120,IF(F151="Property",'Scenario Paths'!G114,IF(F151="Food",'Scenario Paths'!G108,IF(F151="Logistics",'Scenario Paths'!G102,IF(F151="Solar",'Scenario Paths'!G96,IF(F151="Cement",'Scenario Paths'!G90,0))))))))))))),"Unavailable"))</x:f>
      </x:c>
      <x:c r="I151" s="23" t="str">
        <x:f>IF(C151="","",IFERROR(INDEX('Borrowers'!$R$9:$R$108,MATCH(C151,'Borrowers'!$C$9:$C$108,0))*(1-INDEX('Borrowers'!$W$9:$W$108,MATCH(C151,'Borrowers'!$C$9:$C$108,0))*'Scenario Paths'!G39)*'Scenario Paths'!G9/1000000*(1-INDEX('Borrowers'!$T$9:$T$108,MATCH(C151,'Borrowers'!$C$9:$C$108,0))),"Unavailable"))</x:f>
      </x:c>
      <x:c r="J151" s="23" t="str">
        <x:f>IF(C151="","",IFERROR(INDEX('Borrowers'!$I$9:$I$108,MATCH(C151,'Borrowers'!$C$9:$C$108,0))*INDEX('Borrowers'!$S$9:$S$108,MATCH(C151,'Borrowers'!$C$9:$C$108,0))*'Scenario Paths'!G15*(1-INDEX('Borrowers'!$T$9:$T$108,MATCH(C151,'Borrowers'!$C$9:$C$108,0))),"Unavailable"))</x:f>
      </x:c>
      <x:c r="K151" s="23" t="str">
        <x:f>IF(C151="","",IFERROR(INDEX('Borrowers'!$I$9:$I$108,MATCH(C151,'Borrowers'!$C$9:$C$108,0))*INDEX('Borrowers'!$U$9:$U$108,MATCH(C151,'Borrowers'!$C$9:$C$108,0))*'Scenario Paths'!G21*S151,"Unavailable"))</x:f>
      </x:c>
      <x:c r="L151" s="23" t="str">
        <x:f>IF(C151="","",IFERROR(SUMPRODUCT((Sites!$D$9:$D$108=C151)*Sites!$H$9:$H$108*Sites!$J$9:$J$108*Sites!$K$9:$K$108*(1-Sites!$L$9:$L$108)*(1-Sites!$M$9:$M$108))*'Scenario Paths'!G27,"Unavailable"))</x:f>
      </x:c>
      <x:c r="M151" s="23" t="str">
        <x:f>IF(C151="","",IFERROR(INDEX('Borrowers'!$J$9:$J$108,MATCH(C151,'Borrowers'!$C$9:$C$108,0))+H151-SUM(I151:L151),"Unavailable"))</x:f>
      </x:c>
      <x:c r="N151" s="23" t="str">
        <x:f>IF(C151="","",IFERROR(INDEX('Borrowers'!$I$9:$I$108,MATCH(C151,'Borrowers'!$C$9:$C$108,0))*'Scenario Paths'!G33,"Unavailable"))</x:f>
      </x:c>
      <x:c r="O151" s="23" t="str">
        <x:f>IF(C151="","",IFERROR(M151-INDEX('Borrowers'!$K$9:$K$108,MATCH(C151,'Borrowers'!$C$9:$C$108,0))-N151,"Unavailable"))</x:f>
      </x:c>
      <x:c r="P151" s="127" t="str">
        <x:f>IF(C151="","",IFERROR(O151/INDEX('Borrowers'!$L$9:$L$108,MATCH(C151,'Borrowers'!$C$9:$C$108,0)),"Unavailable"))</x:f>
      </x:c>
      <x:c r="Q151" s="30" t="str">
        <x:f>IF(C151="","",IFERROR(IF(INDEX('Borrowers'!$Z$9:$Z$108,MATCH(C151,'Borrowers'!$C$9:$C$108,0))="Yes",1,IF(INDEX('Borrowers'!$P$9:$P$108,MATCH(C151,'Borrowers'!$C$9:$C$108,0))=0,0,MIN(1,INDEX('Borrowers'!$P$9:$P$108,MATCH(C151,'Borrowers'!$C$9:$C$108,0))*EXP(MIN(20,INDEX('Borrowers'!$V$9:$V$108,MATCH(C151,'Borrowers'!$C$9:$C$108,0))*V151))))),"Unavailable"))</x:f>
      </x:c>
      <x:c r="R151" s="30" t="str">
        <x:f>IF(C151="","",IFERROR(MIN(1,INDEX('Borrowers'!$Q$9:$Q$108,MATCH(C151,'Borrowers'!$C$9:$C$108,0))+(1-INDEX('Borrowers'!$Q$9:$Q$108,MATCH(C151,'Borrowers'!$C$9:$C$108,0)))*T151),"Unavailable"))</x:f>
      </x:c>
      <x:c r="S151" s="30" t="str">
        <x:f>IF(C151="","",IFERROR(SUMPRODUCT((Sites!$D$9:$D$108=C151)*Sites!$I$9:$I$108*Sites!$J$9:$J$108*Sites!$K$9:$K$108*(1-Sites!$L$9:$L$108)),"Unavailable"))</x:f>
      </x:c>
      <x:c r="T151" s="30" t="str">
        <x:f>IF(C151="","",IFERROR(MIN(1,(SUMPRODUCT((Sites!$D$9:$D$108=C151)*Sites!$N$9:$N$108*Sites!$J$9:$J$108*Sites!$K$9:$K$108*(1-Sites!$L$9:$L$108)))*'Scenario Paths'!G27),"Unavailable"))</x:f>
      </x:c>
      <x:c r="U151" s="9" t="str">
        <x:f>IF(C151="","",IF(OR(INDEX('Borrowers'!$AA$9:$AA$108,MATCH(C151,'Borrowers'!$C$9:$C$108,0))&lt;&gt;"Ready",COUNTIF(Sites!$D$9:$D$108,C151)=0,COUNTIFS(Sites!$D$9:$D$108,C151,Sites!$Q$9:$Q$108,"&lt;&gt;Ready")&gt;0,'Scenario Paths'!$F$6&lt;&gt;"Ready"),"Review source inputs","Ready"))</x:f>
      </x:c>
      <x:c r="V151" s="17" t="str">
        <x:f>IF(C151="","",IFERROR(MAX(-1,(G151-O151)/MAX(0.000001,G151)),"Unavailable"))</x:f>
      </x:c>
      <x:c r="W151" s="9" t="str">
        <x:f>IF(C151="","",IFERROR(INDEX('Borrowers'!$D$9:$D$108,MATCH(C151,'Borrowers'!$C$9:$C$108,0)),"Unavailable"))</x:f>
      </x:c>
    </x:row>
    <x:row r="152" ht="26" customHeight="1">
      <x:c r="A152" s="1"/>
      <x:c r="B152" s="1"/>
      <x:c r="C152" s="9" t="str">
        <x:f>IF(Borrowers!C52="","",Borrowers!C52)</x:f>
      </x:c>
      <x:c r="D152" s="3" t="n">
        <x:v>2</x:v>
      </x:c>
      <x:c r="E152" s="9" t="n">
        <x:f>Settings!$F$18+1</x:f>
        <x:v>2028</x:v>
      </x:c>
      <x:c r="F152" s="9" t="str">
        <x:f>IF(C152="","",INDEX('Borrowers'!$F$9:$F$108,MATCH(C152,'Borrowers'!$C$9:$C$108,0)))</x:f>
      </x:c>
      <x:c r="G152" s="23" t="str">
        <x:f>IF(C152="","",IFERROR(INDEX('Borrowers'!$J$9:$J$108,MATCH(C152,'Borrowers'!$C$9:$C$108,0))-INDEX('Borrowers'!$K$9:$K$108,MATCH(C152,'Borrowers'!$C$9:$C$108,0)),"Unavailable"))</x:f>
      </x:c>
      <x:c r="H152" s="23" t="str">
        <x:f>IF(C152="","",IFERROR(INDEX('Borrowers'!$I$9:$I$108,MATCH(C152,'Borrowers'!$C$9:$C$108,0))*INDEX('Borrowers'!$U$9:$U$108,MATCH(C152,'Borrowers'!$C$9:$C$108,0))*(IF(F152="Transport",'Scenario Paths'!G156,IF(F152="Technology",'Scenario Paths'!G150,IF(F152="Utilities",'Scenario Paths'!G144,IF(F152="Agriculture",'Scenario Paths'!G138,IF(F152="Manufacturing",'Scenario Paths'!G132,IF(F152="Healthcare",'Scenario Paths'!G126,IF(F152="Hospitality",'Scenario Paths'!G120,IF(F152="Property",'Scenario Paths'!G114,IF(F152="Food",'Scenario Paths'!G108,IF(F152="Logistics",'Scenario Paths'!G102,IF(F152="Solar",'Scenario Paths'!G96,IF(F152="Cement",'Scenario Paths'!G90,0))))))))))))),"Unavailable"))</x:f>
      </x:c>
      <x:c r="I152" s="23" t="str">
        <x:f>IF(C152="","",IFERROR(INDEX('Borrowers'!$R$9:$R$108,MATCH(C152,'Borrowers'!$C$9:$C$108,0))*(1-INDEX('Borrowers'!$W$9:$W$108,MATCH(C152,'Borrowers'!$C$9:$C$108,0))*'Scenario Paths'!G39)*'Scenario Paths'!G9/1000000*(1-INDEX('Borrowers'!$T$9:$T$108,MATCH(C152,'Borrowers'!$C$9:$C$108,0))),"Unavailable"))</x:f>
      </x:c>
      <x:c r="J152" s="23" t="str">
        <x:f>IF(C152="","",IFERROR(INDEX('Borrowers'!$I$9:$I$108,MATCH(C152,'Borrowers'!$C$9:$C$108,0))*INDEX('Borrowers'!$S$9:$S$108,MATCH(C152,'Borrowers'!$C$9:$C$108,0))*'Scenario Paths'!G15*(1-INDEX('Borrowers'!$T$9:$T$108,MATCH(C152,'Borrowers'!$C$9:$C$108,0))),"Unavailable"))</x:f>
      </x:c>
      <x:c r="K152" s="23" t="str">
        <x:f>IF(C152="","",IFERROR(INDEX('Borrowers'!$I$9:$I$108,MATCH(C152,'Borrowers'!$C$9:$C$108,0))*INDEX('Borrowers'!$U$9:$U$108,MATCH(C152,'Borrowers'!$C$9:$C$108,0))*'Scenario Paths'!G21*S152,"Unavailable"))</x:f>
      </x:c>
      <x:c r="L152" s="23" t="str">
        <x:f>IF(C152="","",IFERROR(SUMPRODUCT((Sites!$D$9:$D$108=C152)*Sites!$H$9:$H$108*Sites!$J$9:$J$108*Sites!$K$9:$K$108*(1-Sites!$L$9:$L$108)*(1-Sites!$M$9:$M$108))*'Scenario Paths'!G27,"Unavailable"))</x:f>
      </x:c>
      <x:c r="M152" s="23" t="str">
        <x:f>IF(C152="","",IFERROR(INDEX('Borrowers'!$J$9:$J$108,MATCH(C152,'Borrowers'!$C$9:$C$108,0))+H152-SUM(I152:L152),"Unavailable"))</x:f>
      </x:c>
      <x:c r="N152" s="23" t="str">
        <x:f>IF(C152="","",IFERROR(INDEX('Borrowers'!$I$9:$I$108,MATCH(C152,'Borrowers'!$C$9:$C$108,0))*'Scenario Paths'!G33,"Unavailable"))</x:f>
      </x:c>
      <x:c r="O152" s="23" t="str">
        <x:f>IF(C152="","",IFERROR(M152-INDEX('Borrowers'!$K$9:$K$108,MATCH(C152,'Borrowers'!$C$9:$C$108,0))-N152,"Unavailable"))</x:f>
      </x:c>
      <x:c r="P152" s="127" t="str">
        <x:f>IF(C152="","",IFERROR(O152/INDEX('Borrowers'!$L$9:$L$108,MATCH(C152,'Borrowers'!$C$9:$C$108,0)),"Unavailable"))</x:f>
      </x:c>
      <x:c r="Q152" s="30" t="str">
        <x:f>IF(C152="","",IFERROR(IF(INDEX('Borrowers'!$Z$9:$Z$108,MATCH(C152,'Borrowers'!$C$9:$C$108,0))="Yes",1,IF(INDEX('Borrowers'!$P$9:$P$108,MATCH(C152,'Borrowers'!$C$9:$C$108,0))=0,0,MIN(1,INDEX('Borrowers'!$P$9:$P$108,MATCH(C152,'Borrowers'!$C$9:$C$108,0))*EXP(MIN(20,INDEX('Borrowers'!$V$9:$V$108,MATCH(C152,'Borrowers'!$C$9:$C$108,0))*V152))))),"Unavailable"))</x:f>
      </x:c>
      <x:c r="R152" s="30" t="str">
        <x:f>IF(C152="","",IFERROR(MIN(1,INDEX('Borrowers'!$Q$9:$Q$108,MATCH(C152,'Borrowers'!$C$9:$C$108,0))+(1-INDEX('Borrowers'!$Q$9:$Q$108,MATCH(C152,'Borrowers'!$C$9:$C$108,0)))*T152),"Unavailable"))</x:f>
      </x:c>
      <x:c r="S152" s="30" t="str">
        <x:f>IF(C152="","",IFERROR(SUMPRODUCT((Sites!$D$9:$D$108=C152)*Sites!$I$9:$I$108*Sites!$J$9:$J$108*Sites!$K$9:$K$108*(1-Sites!$L$9:$L$108)),"Unavailable"))</x:f>
      </x:c>
      <x:c r="T152" s="30" t="str">
        <x:f>IF(C152="","",IFERROR(MIN(1,(SUMPRODUCT((Sites!$D$9:$D$108=C152)*Sites!$N$9:$N$108*Sites!$J$9:$J$108*Sites!$K$9:$K$108*(1-Sites!$L$9:$L$108)))*'Scenario Paths'!G27),"Unavailable"))</x:f>
      </x:c>
      <x:c r="U152" s="9" t="str">
        <x:f>IF(C152="","",IF(OR(INDEX('Borrowers'!$AA$9:$AA$108,MATCH(C152,'Borrowers'!$C$9:$C$108,0))&lt;&gt;"Ready",COUNTIF(Sites!$D$9:$D$108,C152)=0,COUNTIFS(Sites!$D$9:$D$108,C152,Sites!$Q$9:$Q$108,"&lt;&gt;Ready")&gt;0,'Scenario Paths'!$F$6&lt;&gt;"Ready"),"Review source inputs","Ready"))</x:f>
      </x:c>
      <x:c r="V152" s="17" t="str">
        <x:f>IF(C152="","",IFERROR(MAX(-1,(G152-O152)/MAX(0.000001,G152)),"Unavailable"))</x:f>
      </x:c>
      <x:c r="W152" s="9" t="str">
        <x:f>IF(C152="","",IFERROR(INDEX('Borrowers'!$D$9:$D$108,MATCH(C152,'Borrowers'!$C$9:$C$108,0)),"Unavailable"))</x:f>
      </x:c>
    </x:row>
    <x:row r="153" ht="26" customHeight="1">
      <x:c r="A153" s="1"/>
      <x:c r="B153" s="1"/>
      <x:c r="C153" s="9" t="str">
        <x:f>IF(Borrowers!C53="","",Borrowers!C53)</x:f>
      </x:c>
      <x:c r="D153" s="3" t="n">
        <x:v>2</x:v>
      </x:c>
      <x:c r="E153" s="9" t="n">
        <x:f>Settings!$F$18+1</x:f>
        <x:v>2028</x:v>
      </x:c>
      <x:c r="F153" s="9" t="str">
        <x:f>IF(C153="","",INDEX('Borrowers'!$F$9:$F$108,MATCH(C153,'Borrowers'!$C$9:$C$108,0)))</x:f>
      </x:c>
      <x:c r="G153" s="23" t="str">
        <x:f>IF(C153="","",IFERROR(INDEX('Borrowers'!$J$9:$J$108,MATCH(C153,'Borrowers'!$C$9:$C$108,0))-INDEX('Borrowers'!$K$9:$K$108,MATCH(C153,'Borrowers'!$C$9:$C$108,0)),"Unavailable"))</x:f>
      </x:c>
      <x:c r="H153" s="23" t="str">
        <x:f>IF(C153="","",IFERROR(INDEX('Borrowers'!$I$9:$I$108,MATCH(C153,'Borrowers'!$C$9:$C$108,0))*INDEX('Borrowers'!$U$9:$U$108,MATCH(C153,'Borrowers'!$C$9:$C$108,0))*(IF(F153="Transport",'Scenario Paths'!G156,IF(F153="Technology",'Scenario Paths'!G150,IF(F153="Utilities",'Scenario Paths'!G144,IF(F153="Agriculture",'Scenario Paths'!G138,IF(F153="Manufacturing",'Scenario Paths'!G132,IF(F153="Healthcare",'Scenario Paths'!G126,IF(F153="Hospitality",'Scenario Paths'!G120,IF(F153="Property",'Scenario Paths'!G114,IF(F153="Food",'Scenario Paths'!G108,IF(F153="Logistics",'Scenario Paths'!G102,IF(F153="Solar",'Scenario Paths'!G96,IF(F153="Cement",'Scenario Paths'!G90,0))))))))))))),"Unavailable"))</x:f>
      </x:c>
      <x:c r="I153" s="23" t="str">
        <x:f>IF(C153="","",IFERROR(INDEX('Borrowers'!$R$9:$R$108,MATCH(C153,'Borrowers'!$C$9:$C$108,0))*(1-INDEX('Borrowers'!$W$9:$W$108,MATCH(C153,'Borrowers'!$C$9:$C$108,0))*'Scenario Paths'!G39)*'Scenario Paths'!G9/1000000*(1-INDEX('Borrowers'!$T$9:$T$108,MATCH(C153,'Borrowers'!$C$9:$C$108,0))),"Unavailable"))</x:f>
      </x:c>
      <x:c r="J153" s="23" t="str">
        <x:f>IF(C153="","",IFERROR(INDEX('Borrowers'!$I$9:$I$108,MATCH(C153,'Borrowers'!$C$9:$C$108,0))*INDEX('Borrowers'!$S$9:$S$108,MATCH(C153,'Borrowers'!$C$9:$C$108,0))*'Scenario Paths'!G15*(1-INDEX('Borrowers'!$T$9:$T$108,MATCH(C153,'Borrowers'!$C$9:$C$108,0))),"Unavailable"))</x:f>
      </x:c>
      <x:c r="K153" s="23" t="str">
        <x:f>IF(C153="","",IFERROR(INDEX('Borrowers'!$I$9:$I$108,MATCH(C153,'Borrowers'!$C$9:$C$108,0))*INDEX('Borrowers'!$U$9:$U$108,MATCH(C153,'Borrowers'!$C$9:$C$108,0))*'Scenario Paths'!G21*S153,"Unavailable"))</x:f>
      </x:c>
      <x:c r="L153" s="23" t="str">
        <x:f>IF(C153="","",IFERROR(SUMPRODUCT((Sites!$D$9:$D$108=C153)*Sites!$H$9:$H$108*Sites!$J$9:$J$108*Sites!$K$9:$K$108*(1-Sites!$L$9:$L$108)*(1-Sites!$M$9:$M$108))*'Scenario Paths'!G27,"Unavailable"))</x:f>
      </x:c>
      <x:c r="M153" s="23" t="str">
        <x:f>IF(C153="","",IFERROR(INDEX('Borrowers'!$J$9:$J$108,MATCH(C153,'Borrowers'!$C$9:$C$108,0))+H153-SUM(I153:L153),"Unavailable"))</x:f>
      </x:c>
      <x:c r="N153" s="23" t="str">
        <x:f>IF(C153="","",IFERROR(INDEX('Borrowers'!$I$9:$I$108,MATCH(C153,'Borrowers'!$C$9:$C$108,0))*'Scenario Paths'!G33,"Unavailable"))</x:f>
      </x:c>
      <x:c r="O153" s="23" t="str">
        <x:f>IF(C153="","",IFERROR(M153-INDEX('Borrowers'!$K$9:$K$108,MATCH(C153,'Borrowers'!$C$9:$C$108,0))-N153,"Unavailable"))</x:f>
      </x:c>
      <x:c r="P153" s="127" t="str">
        <x:f>IF(C153="","",IFERROR(O153/INDEX('Borrowers'!$L$9:$L$108,MATCH(C153,'Borrowers'!$C$9:$C$108,0)),"Unavailable"))</x:f>
      </x:c>
      <x:c r="Q153" s="30" t="str">
        <x:f>IF(C153="","",IFERROR(IF(INDEX('Borrowers'!$Z$9:$Z$108,MATCH(C153,'Borrowers'!$C$9:$C$108,0))="Yes",1,IF(INDEX('Borrowers'!$P$9:$P$108,MATCH(C153,'Borrowers'!$C$9:$C$108,0))=0,0,MIN(1,INDEX('Borrowers'!$P$9:$P$108,MATCH(C153,'Borrowers'!$C$9:$C$108,0))*EXP(MIN(20,INDEX('Borrowers'!$V$9:$V$108,MATCH(C153,'Borrowers'!$C$9:$C$108,0))*V153))))),"Unavailable"))</x:f>
      </x:c>
      <x:c r="R153" s="30" t="str">
        <x:f>IF(C153="","",IFERROR(MIN(1,INDEX('Borrowers'!$Q$9:$Q$108,MATCH(C153,'Borrowers'!$C$9:$C$108,0))+(1-INDEX('Borrowers'!$Q$9:$Q$108,MATCH(C153,'Borrowers'!$C$9:$C$108,0)))*T153),"Unavailable"))</x:f>
      </x:c>
      <x:c r="S153" s="30" t="str">
        <x:f>IF(C153="","",IFERROR(SUMPRODUCT((Sites!$D$9:$D$108=C153)*Sites!$I$9:$I$108*Sites!$J$9:$J$108*Sites!$K$9:$K$108*(1-Sites!$L$9:$L$108)),"Unavailable"))</x:f>
      </x:c>
      <x:c r="T153" s="30" t="str">
        <x:f>IF(C153="","",IFERROR(MIN(1,(SUMPRODUCT((Sites!$D$9:$D$108=C153)*Sites!$N$9:$N$108*Sites!$J$9:$J$108*Sites!$K$9:$K$108*(1-Sites!$L$9:$L$108)))*'Scenario Paths'!G27),"Unavailable"))</x:f>
      </x:c>
      <x:c r="U153" s="9" t="str">
        <x:f>IF(C153="","",IF(OR(INDEX('Borrowers'!$AA$9:$AA$108,MATCH(C153,'Borrowers'!$C$9:$C$108,0))&lt;&gt;"Ready",COUNTIF(Sites!$D$9:$D$108,C153)=0,COUNTIFS(Sites!$D$9:$D$108,C153,Sites!$Q$9:$Q$108,"&lt;&gt;Ready")&gt;0,'Scenario Paths'!$F$6&lt;&gt;"Ready"),"Review source inputs","Ready"))</x:f>
      </x:c>
      <x:c r="V153" s="17" t="str">
        <x:f>IF(C153="","",IFERROR(MAX(-1,(G153-O153)/MAX(0.000001,G153)),"Unavailable"))</x:f>
      </x:c>
      <x:c r="W153" s="9" t="str">
        <x:f>IF(C153="","",IFERROR(INDEX('Borrowers'!$D$9:$D$108,MATCH(C153,'Borrowers'!$C$9:$C$108,0)),"Unavailable"))</x:f>
      </x:c>
    </x:row>
    <x:row r="154" ht="26" customHeight="1">
      <x:c r="A154" s="1"/>
      <x:c r="B154" s="1"/>
      <x:c r="C154" s="9" t="str">
        <x:f>IF(Borrowers!C54="","",Borrowers!C54)</x:f>
      </x:c>
      <x:c r="D154" s="3" t="n">
        <x:v>2</x:v>
      </x:c>
      <x:c r="E154" s="9" t="n">
        <x:f>Settings!$F$18+1</x:f>
        <x:v>2028</x:v>
      </x:c>
      <x:c r="F154" s="9" t="str">
        <x:f>IF(C154="","",INDEX('Borrowers'!$F$9:$F$108,MATCH(C154,'Borrowers'!$C$9:$C$108,0)))</x:f>
      </x:c>
      <x:c r="G154" s="23" t="str">
        <x:f>IF(C154="","",IFERROR(INDEX('Borrowers'!$J$9:$J$108,MATCH(C154,'Borrowers'!$C$9:$C$108,0))-INDEX('Borrowers'!$K$9:$K$108,MATCH(C154,'Borrowers'!$C$9:$C$108,0)),"Unavailable"))</x:f>
      </x:c>
      <x:c r="H154" s="23" t="str">
        <x:f>IF(C154="","",IFERROR(INDEX('Borrowers'!$I$9:$I$108,MATCH(C154,'Borrowers'!$C$9:$C$108,0))*INDEX('Borrowers'!$U$9:$U$108,MATCH(C154,'Borrowers'!$C$9:$C$108,0))*(IF(F154="Transport",'Scenario Paths'!G156,IF(F154="Technology",'Scenario Paths'!G150,IF(F154="Utilities",'Scenario Paths'!G144,IF(F154="Agriculture",'Scenario Paths'!G138,IF(F154="Manufacturing",'Scenario Paths'!G132,IF(F154="Healthcare",'Scenario Paths'!G126,IF(F154="Hospitality",'Scenario Paths'!G120,IF(F154="Property",'Scenario Paths'!G114,IF(F154="Food",'Scenario Paths'!G108,IF(F154="Logistics",'Scenario Paths'!G102,IF(F154="Solar",'Scenario Paths'!G96,IF(F154="Cement",'Scenario Paths'!G90,0))))))))))))),"Unavailable"))</x:f>
      </x:c>
      <x:c r="I154" s="23" t="str">
        <x:f>IF(C154="","",IFERROR(INDEX('Borrowers'!$R$9:$R$108,MATCH(C154,'Borrowers'!$C$9:$C$108,0))*(1-INDEX('Borrowers'!$W$9:$W$108,MATCH(C154,'Borrowers'!$C$9:$C$108,0))*'Scenario Paths'!G39)*'Scenario Paths'!G9/1000000*(1-INDEX('Borrowers'!$T$9:$T$108,MATCH(C154,'Borrowers'!$C$9:$C$108,0))),"Unavailable"))</x:f>
      </x:c>
      <x:c r="J154" s="23" t="str">
        <x:f>IF(C154="","",IFERROR(INDEX('Borrowers'!$I$9:$I$108,MATCH(C154,'Borrowers'!$C$9:$C$108,0))*INDEX('Borrowers'!$S$9:$S$108,MATCH(C154,'Borrowers'!$C$9:$C$108,0))*'Scenario Paths'!G15*(1-INDEX('Borrowers'!$T$9:$T$108,MATCH(C154,'Borrowers'!$C$9:$C$108,0))),"Unavailable"))</x:f>
      </x:c>
      <x:c r="K154" s="23" t="str">
        <x:f>IF(C154="","",IFERROR(INDEX('Borrowers'!$I$9:$I$108,MATCH(C154,'Borrowers'!$C$9:$C$108,0))*INDEX('Borrowers'!$U$9:$U$108,MATCH(C154,'Borrowers'!$C$9:$C$108,0))*'Scenario Paths'!G21*S154,"Unavailable"))</x:f>
      </x:c>
      <x:c r="L154" s="23" t="str">
        <x:f>IF(C154="","",IFERROR(SUMPRODUCT((Sites!$D$9:$D$108=C154)*Sites!$H$9:$H$108*Sites!$J$9:$J$108*Sites!$K$9:$K$108*(1-Sites!$L$9:$L$108)*(1-Sites!$M$9:$M$108))*'Scenario Paths'!G27,"Unavailable"))</x:f>
      </x:c>
      <x:c r="M154" s="23" t="str">
        <x:f>IF(C154="","",IFERROR(INDEX('Borrowers'!$J$9:$J$108,MATCH(C154,'Borrowers'!$C$9:$C$108,0))+H154-SUM(I154:L154),"Unavailable"))</x:f>
      </x:c>
      <x:c r="N154" s="23" t="str">
        <x:f>IF(C154="","",IFERROR(INDEX('Borrowers'!$I$9:$I$108,MATCH(C154,'Borrowers'!$C$9:$C$108,0))*'Scenario Paths'!G33,"Unavailable"))</x:f>
      </x:c>
      <x:c r="O154" s="23" t="str">
        <x:f>IF(C154="","",IFERROR(M154-INDEX('Borrowers'!$K$9:$K$108,MATCH(C154,'Borrowers'!$C$9:$C$108,0))-N154,"Unavailable"))</x:f>
      </x:c>
      <x:c r="P154" s="127" t="str">
        <x:f>IF(C154="","",IFERROR(O154/INDEX('Borrowers'!$L$9:$L$108,MATCH(C154,'Borrowers'!$C$9:$C$108,0)),"Unavailable"))</x:f>
      </x:c>
      <x:c r="Q154" s="30" t="str">
        <x:f>IF(C154="","",IFERROR(IF(INDEX('Borrowers'!$Z$9:$Z$108,MATCH(C154,'Borrowers'!$C$9:$C$108,0))="Yes",1,IF(INDEX('Borrowers'!$P$9:$P$108,MATCH(C154,'Borrowers'!$C$9:$C$108,0))=0,0,MIN(1,INDEX('Borrowers'!$P$9:$P$108,MATCH(C154,'Borrowers'!$C$9:$C$108,0))*EXP(MIN(20,INDEX('Borrowers'!$V$9:$V$108,MATCH(C154,'Borrowers'!$C$9:$C$108,0))*V154))))),"Unavailable"))</x:f>
      </x:c>
      <x:c r="R154" s="30" t="str">
        <x:f>IF(C154="","",IFERROR(MIN(1,INDEX('Borrowers'!$Q$9:$Q$108,MATCH(C154,'Borrowers'!$C$9:$C$108,0))+(1-INDEX('Borrowers'!$Q$9:$Q$108,MATCH(C154,'Borrowers'!$C$9:$C$108,0)))*T154),"Unavailable"))</x:f>
      </x:c>
      <x:c r="S154" s="30" t="str">
        <x:f>IF(C154="","",IFERROR(SUMPRODUCT((Sites!$D$9:$D$108=C154)*Sites!$I$9:$I$108*Sites!$J$9:$J$108*Sites!$K$9:$K$108*(1-Sites!$L$9:$L$108)),"Unavailable"))</x:f>
      </x:c>
      <x:c r="T154" s="30" t="str">
        <x:f>IF(C154="","",IFERROR(MIN(1,(SUMPRODUCT((Sites!$D$9:$D$108=C154)*Sites!$N$9:$N$108*Sites!$J$9:$J$108*Sites!$K$9:$K$108*(1-Sites!$L$9:$L$108)))*'Scenario Paths'!G27),"Unavailable"))</x:f>
      </x:c>
      <x:c r="U154" s="9" t="str">
        <x:f>IF(C154="","",IF(OR(INDEX('Borrowers'!$AA$9:$AA$108,MATCH(C154,'Borrowers'!$C$9:$C$108,0))&lt;&gt;"Ready",COUNTIF(Sites!$D$9:$D$108,C154)=0,COUNTIFS(Sites!$D$9:$D$108,C154,Sites!$Q$9:$Q$108,"&lt;&gt;Ready")&gt;0,'Scenario Paths'!$F$6&lt;&gt;"Ready"),"Review source inputs","Ready"))</x:f>
      </x:c>
      <x:c r="V154" s="17" t="str">
        <x:f>IF(C154="","",IFERROR(MAX(-1,(G154-O154)/MAX(0.000001,G154)),"Unavailable"))</x:f>
      </x:c>
      <x:c r="W154" s="9" t="str">
        <x:f>IF(C154="","",IFERROR(INDEX('Borrowers'!$D$9:$D$108,MATCH(C154,'Borrowers'!$C$9:$C$108,0)),"Unavailable"))</x:f>
      </x:c>
    </x:row>
    <x:row r="155" ht="26" customHeight="1">
      <x:c r="A155" s="1"/>
      <x:c r="B155" s="1"/>
      <x:c r="C155" s="9" t="str">
        <x:f>IF(Borrowers!C55="","",Borrowers!C55)</x:f>
      </x:c>
      <x:c r="D155" s="3" t="n">
        <x:v>2</x:v>
      </x:c>
      <x:c r="E155" s="9" t="n">
        <x:f>Settings!$F$18+1</x:f>
        <x:v>2028</x:v>
      </x:c>
      <x:c r="F155" s="9" t="str">
        <x:f>IF(C155="","",INDEX('Borrowers'!$F$9:$F$108,MATCH(C155,'Borrowers'!$C$9:$C$108,0)))</x:f>
      </x:c>
      <x:c r="G155" s="23" t="str">
        <x:f>IF(C155="","",IFERROR(INDEX('Borrowers'!$J$9:$J$108,MATCH(C155,'Borrowers'!$C$9:$C$108,0))-INDEX('Borrowers'!$K$9:$K$108,MATCH(C155,'Borrowers'!$C$9:$C$108,0)),"Unavailable"))</x:f>
      </x:c>
      <x:c r="H155" s="23" t="str">
        <x:f>IF(C155="","",IFERROR(INDEX('Borrowers'!$I$9:$I$108,MATCH(C155,'Borrowers'!$C$9:$C$108,0))*INDEX('Borrowers'!$U$9:$U$108,MATCH(C155,'Borrowers'!$C$9:$C$108,0))*(IF(F155="Transport",'Scenario Paths'!G156,IF(F155="Technology",'Scenario Paths'!G150,IF(F155="Utilities",'Scenario Paths'!G144,IF(F155="Agriculture",'Scenario Paths'!G138,IF(F155="Manufacturing",'Scenario Paths'!G132,IF(F155="Healthcare",'Scenario Paths'!G126,IF(F155="Hospitality",'Scenario Paths'!G120,IF(F155="Property",'Scenario Paths'!G114,IF(F155="Food",'Scenario Paths'!G108,IF(F155="Logistics",'Scenario Paths'!G102,IF(F155="Solar",'Scenario Paths'!G96,IF(F155="Cement",'Scenario Paths'!G90,0))))))))))))),"Unavailable"))</x:f>
      </x:c>
      <x:c r="I155" s="23" t="str">
        <x:f>IF(C155="","",IFERROR(INDEX('Borrowers'!$R$9:$R$108,MATCH(C155,'Borrowers'!$C$9:$C$108,0))*(1-INDEX('Borrowers'!$W$9:$W$108,MATCH(C155,'Borrowers'!$C$9:$C$108,0))*'Scenario Paths'!G39)*'Scenario Paths'!G9/1000000*(1-INDEX('Borrowers'!$T$9:$T$108,MATCH(C155,'Borrowers'!$C$9:$C$108,0))),"Unavailable"))</x:f>
      </x:c>
      <x:c r="J155" s="23" t="str">
        <x:f>IF(C155="","",IFERROR(INDEX('Borrowers'!$I$9:$I$108,MATCH(C155,'Borrowers'!$C$9:$C$108,0))*INDEX('Borrowers'!$S$9:$S$108,MATCH(C155,'Borrowers'!$C$9:$C$108,0))*'Scenario Paths'!G15*(1-INDEX('Borrowers'!$T$9:$T$108,MATCH(C155,'Borrowers'!$C$9:$C$108,0))),"Unavailable"))</x:f>
      </x:c>
      <x:c r="K155" s="23" t="str">
        <x:f>IF(C155="","",IFERROR(INDEX('Borrowers'!$I$9:$I$108,MATCH(C155,'Borrowers'!$C$9:$C$108,0))*INDEX('Borrowers'!$U$9:$U$108,MATCH(C155,'Borrowers'!$C$9:$C$108,0))*'Scenario Paths'!G21*S155,"Unavailable"))</x:f>
      </x:c>
      <x:c r="L155" s="23" t="str">
        <x:f>IF(C155="","",IFERROR(SUMPRODUCT((Sites!$D$9:$D$108=C155)*Sites!$H$9:$H$108*Sites!$J$9:$J$108*Sites!$K$9:$K$108*(1-Sites!$L$9:$L$108)*(1-Sites!$M$9:$M$108))*'Scenario Paths'!G27,"Unavailable"))</x:f>
      </x:c>
      <x:c r="M155" s="23" t="str">
        <x:f>IF(C155="","",IFERROR(INDEX('Borrowers'!$J$9:$J$108,MATCH(C155,'Borrowers'!$C$9:$C$108,0))+H155-SUM(I155:L155),"Unavailable"))</x:f>
      </x:c>
      <x:c r="N155" s="23" t="str">
        <x:f>IF(C155="","",IFERROR(INDEX('Borrowers'!$I$9:$I$108,MATCH(C155,'Borrowers'!$C$9:$C$108,0))*'Scenario Paths'!G33,"Unavailable"))</x:f>
      </x:c>
      <x:c r="O155" s="23" t="str">
        <x:f>IF(C155="","",IFERROR(M155-INDEX('Borrowers'!$K$9:$K$108,MATCH(C155,'Borrowers'!$C$9:$C$108,0))-N155,"Unavailable"))</x:f>
      </x:c>
      <x:c r="P155" s="127" t="str">
        <x:f>IF(C155="","",IFERROR(O155/INDEX('Borrowers'!$L$9:$L$108,MATCH(C155,'Borrowers'!$C$9:$C$108,0)),"Unavailable"))</x:f>
      </x:c>
      <x:c r="Q155" s="30" t="str">
        <x:f>IF(C155="","",IFERROR(IF(INDEX('Borrowers'!$Z$9:$Z$108,MATCH(C155,'Borrowers'!$C$9:$C$108,0))="Yes",1,IF(INDEX('Borrowers'!$P$9:$P$108,MATCH(C155,'Borrowers'!$C$9:$C$108,0))=0,0,MIN(1,INDEX('Borrowers'!$P$9:$P$108,MATCH(C155,'Borrowers'!$C$9:$C$108,0))*EXP(MIN(20,INDEX('Borrowers'!$V$9:$V$108,MATCH(C155,'Borrowers'!$C$9:$C$108,0))*V155))))),"Unavailable"))</x:f>
      </x:c>
      <x:c r="R155" s="30" t="str">
        <x:f>IF(C155="","",IFERROR(MIN(1,INDEX('Borrowers'!$Q$9:$Q$108,MATCH(C155,'Borrowers'!$C$9:$C$108,0))+(1-INDEX('Borrowers'!$Q$9:$Q$108,MATCH(C155,'Borrowers'!$C$9:$C$108,0)))*T155),"Unavailable"))</x:f>
      </x:c>
      <x:c r="S155" s="30" t="str">
        <x:f>IF(C155="","",IFERROR(SUMPRODUCT((Sites!$D$9:$D$108=C155)*Sites!$I$9:$I$108*Sites!$J$9:$J$108*Sites!$K$9:$K$108*(1-Sites!$L$9:$L$108)),"Unavailable"))</x:f>
      </x:c>
      <x:c r="T155" s="30" t="str">
        <x:f>IF(C155="","",IFERROR(MIN(1,(SUMPRODUCT((Sites!$D$9:$D$108=C155)*Sites!$N$9:$N$108*Sites!$J$9:$J$108*Sites!$K$9:$K$108*(1-Sites!$L$9:$L$108)))*'Scenario Paths'!G27),"Unavailable"))</x:f>
      </x:c>
      <x:c r="U155" s="9" t="str">
        <x:f>IF(C155="","",IF(OR(INDEX('Borrowers'!$AA$9:$AA$108,MATCH(C155,'Borrowers'!$C$9:$C$108,0))&lt;&gt;"Ready",COUNTIF(Sites!$D$9:$D$108,C155)=0,COUNTIFS(Sites!$D$9:$D$108,C155,Sites!$Q$9:$Q$108,"&lt;&gt;Ready")&gt;0,'Scenario Paths'!$F$6&lt;&gt;"Ready"),"Review source inputs","Ready"))</x:f>
      </x:c>
      <x:c r="V155" s="17" t="str">
        <x:f>IF(C155="","",IFERROR(MAX(-1,(G155-O155)/MAX(0.000001,G155)),"Unavailable"))</x:f>
      </x:c>
      <x:c r="W155" s="9" t="str">
        <x:f>IF(C155="","",IFERROR(INDEX('Borrowers'!$D$9:$D$108,MATCH(C155,'Borrowers'!$C$9:$C$108,0)),"Unavailable"))</x:f>
      </x:c>
    </x:row>
    <x:row r="156" ht="26" customHeight="1">
      <x:c r="A156" s="1"/>
      <x:c r="B156" s="1"/>
      <x:c r="C156" s="9" t="str">
        <x:f>IF(Borrowers!C56="","",Borrowers!C56)</x:f>
      </x:c>
      <x:c r="D156" s="3" t="n">
        <x:v>2</x:v>
      </x:c>
      <x:c r="E156" s="9" t="n">
        <x:f>Settings!$F$18+1</x:f>
        <x:v>2028</x:v>
      </x:c>
      <x:c r="F156" s="9" t="str">
        <x:f>IF(C156="","",INDEX('Borrowers'!$F$9:$F$108,MATCH(C156,'Borrowers'!$C$9:$C$108,0)))</x:f>
      </x:c>
      <x:c r="G156" s="23" t="str">
        <x:f>IF(C156="","",IFERROR(INDEX('Borrowers'!$J$9:$J$108,MATCH(C156,'Borrowers'!$C$9:$C$108,0))-INDEX('Borrowers'!$K$9:$K$108,MATCH(C156,'Borrowers'!$C$9:$C$108,0)),"Unavailable"))</x:f>
      </x:c>
      <x:c r="H156" s="23" t="str">
        <x:f>IF(C156="","",IFERROR(INDEX('Borrowers'!$I$9:$I$108,MATCH(C156,'Borrowers'!$C$9:$C$108,0))*INDEX('Borrowers'!$U$9:$U$108,MATCH(C156,'Borrowers'!$C$9:$C$108,0))*(IF(F156="Transport",'Scenario Paths'!G156,IF(F156="Technology",'Scenario Paths'!G150,IF(F156="Utilities",'Scenario Paths'!G144,IF(F156="Agriculture",'Scenario Paths'!G138,IF(F156="Manufacturing",'Scenario Paths'!G132,IF(F156="Healthcare",'Scenario Paths'!G126,IF(F156="Hospitality",'Scenario Paths'!G120,IF(F156="Property",'Scenario Paths'!G114,IF(F156="Food",'Scenario Paths'!G108,IF(F156="Logistics",'Scenario Paths'!G102,IF(F156="Solar",'Scenario Paths'!G96,IF(F156="Cement",'Scenario Paths'!G90,0))))))))))))),"Unavailable"))</x:f>
      </x:c>
      <x:c r="I156" s="23" t="str">
        <x:f>IF(C156="","",IFERROR(INDEX('Borrowers'!$R$9:$R$108,MATCH(C156,'Borrowers'!$C$9:$C$108,0))*(1-INDEX('Borrowers'!$W$9:$W$108,MATCH(C156,'Borrowers'!$C$9:$C$108,0))*'Scenario Paths'!G39)*'Scenario Paths'!G9/1000000*(1-INDEX('Borrowers'!$T$9:$T$108,MATCH(C156,'Borrowers'!$C$9:$C$108,0))),"Unavailable"))</x:f>
      </x:c>
      <x:c r="J156" s="23" t="str">
        <x:f>IF(C156="","",IFERROR(INDEX('Borrowers'!$I$9:$I$108,MATCH(C156,'Borrowers'!$C$9:$C$108,0))*INDEX('Borrowers'!$S$9:$S$108,MATCH(C156,'Borrowers'!$C$9:$C$108,0))*'Scenario Paths'!G15*(1-INDEX('Borrowers'!$T$9:$T$108,MATCH(C156,'Borrowers'!$C$9:$C$108,0))),"Unavailable"))</x:f>
      </x:c>
      <x:c r="K156" s="23" t="str">
        <x:f>IF(C156="","",IFERROR(INDEX('Borrowers'!$I$9:$I$108,MATCH(C156,'Borrowers'!$C$9:$C$108,0))*INDEX('Borrowers'!$U$9:$U$108,MATCH(C156,'Borrowers'!$C$9:$C$108,0))*'Scenario Paths'!G21*S156,"Unavailable"))</x:f>
      </x:c>
      <x:c r="L156" s="23" t="str">
        <x:f>IF(C156="","",IFERROR(SUMPRODUCT((Sites!$D$9:$D$108=C156)*Sites!$H$9:$H$108*Sites!$J$9:$J$108*Sites!$K$9:$K$108*(1-Sites!$L$9:$L$108)*(1-Sites!$M$9:$M$108))*'Scenario Paths'!G27,"Unavailable"))</x:f>
      </x:c>
      <x:c r="M156" s="23" t="str">
        <x:f>IF(C156="","",IFERROR(INDEX('Borrowers'!$J$9:$J$108,MATCH(C156,'Borrowers'!$C$9:$C$108,0))+H156-SUM(I156:L156),"Unavailable"))</x:f>
      </x:c>
      <x:c r="N156" s="23" t="str">
        <x:f>IF(C156="","",IFERROR(INDEX('Borrowers'!$I$9:$I$108,MATCH(C156,'Borrowers'!$C$9:$C$108,0))*'Scenario Paths'!G33,"Unavailable"))</x:f>
      </x:c>
      <x:c r="O156" s="23" t="str">
        <x:f>IF(C156="","",IFERROR(M156-INDEX('Borrowers'!$K$9:$K$108,MATCH(C156,'Borrowers'!$C$9:$C$108,0))-N156,"Unavailable"))</x:f>
      </x:c>
      <x:c r="P156" s="127" t="str">
        <x:f>IF(C156="","",IFERROR(O156/INDEX('Borrowers'!$L$9:$L$108,MATCH(C156,'Borrowers'!$C$9:$C$108,0)),"Unavailable"))</x:f>
      </x:c>
      <x:c r="Q156" s="30" t="str">
        <x:f>IF(C156="","",IFERROR(IF(INDEX('Borrowers'!$Z$9:$Z$108,MATCH(C156,'Borrowers'!$C$9:$C$108,0))="Yes",1,IF(INDEX('Borrowers'!$P$9:$P$108,MATCH(C156,'Borrowers'!$C$9:$C$108,0))=0,0,MIN(1,INDEX('Borrowers'!$P$9:$P$108,MATCH(C156,'Borrowers'!$C$9:$C$108,0))*EXP(MIN(20,INDEX('Borrowers'!$V$9:$V$108,MATCH(C156,'Borrowers'!$C$9:$C$108,0))*V156))))),"Unavailable"))</x:f>
      </x:c>
      <x:c r="R156" s="30" t="str">
        <x:f>IF(C156="","",IFERROR(MIN(1,INDEX('Borrowers'!$Q$9:$Q$108,MATCH(C156,'Borrowers'!$C$9:$C$108,0))+(1-INDEX('Borrowers'!$Q$9:$Q$108,MATCH(C156,'Borrowers'!$C$9:$C$108,0)))*T156),"Unavailable"))</x:f>
      </x:c>
      <x:c r="S156" s="30" t="str">
        <x:f>IF(C156="","",IFERROR(SUMPRODUCT((Sites!$D$9:$D$108=C156)*Sites!$I$9:$I$108*Sites!$J$9:$J$108*Sites!$K$9:$K$108*(1-Sites!$L$9:$L$108)),"Unavailable"))</x:f>
      </x:c>
      <x:c r="T156" s="30" t="str">
        <x:f>IF(C156="","",IFERROR(MIN(1,(SUMPRODUCT((Sites!$D$9:$D$108=C156)*Sites!$N$9:$N$108*Sites!$J$9:$J$108*Sites!$K$9:$K$108*(1-Sites!$L$9:$L$108)))*'Scenario Paths'!G27),"Unavailable"))</x:f>
      </x:c>
      <x:c r="U156" s="9" t="str">
        <x:f>IF(C156="","",IF(OR(INDEX('Borrowers'!$AA$9:$AA$108,MATCH(C156,'Borrowers'!$C$9:$C$108,0))&lt;&gt;"Ready",COUNTIF(Sites!$D$9:$D$108,C156)=0,COUNTIFS(Sites!$D$9:$D$108,C156,Sites!$Q$9:$Q$108,"&lt;&gt;Ready")&gt;0,'Scenario Paths'!$F$6&lt;&gt;"Ready"),"Review source inputs","Ready"))</x:f>
      </x:c>
      <x:c r="V156" s="17" t="str">
        <x:f>IF(C156="","",IFERROR(MAX(-1,(G156-O156)/MAX(0.000001,G156)),"Unavailable"))</x:f>
      </x:c>
      <x:c r="W156" s="9" t="str">
        <x:f>IF(C156="","",IFERROR(INDEX('Borrowers'!$D$9:$D$108,MATCH(C156,'Borrowers'!$C$9:$C$108,0)),"Unavailable"))</x:f>
      </x:c>
    </x:row>
    <x:row r="157" ht="26" customHeight="1">
      <x:c r="A157" s="1"/>
      <x:c r="B157" s="1"/>
      <x:c r="C157" s="9" t="str">
        <x:f>IF(Borrowers!C57="","",Borrowers!C57)</x:f>
      </x:c>
      <x:c r="D157" s="3" t="n">
        <x:v>2</x:v>
      </x:c>
      <x:c r="E157" s="9" t="n">
        <x:f>Settings!$F$18+1</x:f>
        <x:v>2028</x:v>
      </x:c>
      <x:c r="F157" s="9" t="str">
        <x:f>IF(C157="","",INDEX('Borrowers'!$F$9:$F$108,MATCH(C157,'Borrowers'!$C$9:$C$108,0)))</x:f>
      </x:c>
      <x:c r="G157" s="23" t="str">
        <x:f>IF(C157="","",IFERROR(INDEX('Borrowers'!$J$9:$J$108,MATCH(C157,'Borrowers'!$C$9:$C$108,0))-INDEX('Borrowers'!$K$9:$K$108,MATCH(C157,'Borrowers'!$C$9:$C$108,0)),"Unavailable"))</x:f>
      </x:c>
      <x:c r="H157" s="23" t="str">
        <x:f>IF(C157="","",IFERROR(INDEX('Borrowers'!$I$9:$I$108,MATCH(C157,'Borrowers'!$C$9:$C$108,0))*INDEX('Borrowers'!$U$9:$U$108,MATCH(C157,'Borrowers'!$C$9:$C$108,0))*(IF(F157="Transport",'Scenario Paths'!G156,IF(F157="Technology",'Scenario Paths'!G150,IF(F157="Utilities",'Scenario Paths'!G144,IF(F157="Agriculture",'Scenario Paths'!G138,IF(F157="Manufacturing",'Scenario Paths'!G132,IF(F157="Healthcare",'Scenario Paths'!G126,IF(F157="Hospitality",'Scenario Paths'!G120,IF(F157="Property",'Scenario Paths'!G114,IF(F157="Food",'Scenario Paths'!G108,IF(F157="Logistics",'Scenario Paths'!G102,IF(F157="Solar",'Scenario Paths'!G96,IF(F157="Cement",'Scenario Paths'!G90,0))))))))))))),"Unavailable"))</x:f>
      </x:c>
      <x:c r="I157" s="23" t="str">
        <x:f>IF(C157="","",IFERROR(INDEX('Borrowers'!$R$9:$R$108,MATCH(C157,'Borrowers'!$C$9:$C$108,0))*(1-INDEX('Borrowers'!$W$9:$W$108,MATCH(C157,'Borrowers'!$C$9:$C$108,0))*'Scenario Paths'!G39)*'Scenario Paths'!G9/1000000*(1-INDEX('Borrowers'!$T$9:$T$108,MATCH(C157,'Borrowers'!$C$9:$C$108,0))),"Unavailable"))</x:f>
      </x:c>
      <x:c r="J157" s="23" t="str">
        <x:f>IF(C157="","",IFERROR(INDEX('Borrowers'!$I$9:$I$108,MATCH(C157,'Borrowers'!$C$9:$C$108,0))*INDEX('Borrowers'!$S$9:$S$108,MATCH(C157,'Borrowers'!$C$9:$C$108,0))*'Scenario Paths'!G15*(1-INDEX('Borrowers'!$T$9:$T$108,MATCH(C157,'Borrowers'!$C$9:$C$108,0))),"Unavailable"))</x:f>
      </x:c>
      <x:c r="K157" s="23" t="str">
        <x:f>IF(C157="","",IFERROR(INDEX('Borrowers'!$I$9:$I$108,MATCH(C157,'Borrowers'!$C$9:$C$108,0))*INDEX('Borrowers'!$U$9:$U$108,MATCH(C157,'Borrowers'!$C$9:$C$108,0))*'Scenario Paths'!G21*S157,"Unavailable"))</x:f>
      </x:c>
      <x:c r="L157" s="23" t="str">
        <x:f>IF(C157="","",IFERROR(SUMPRODUCT((Sites!$D$9:$D$108=C157)*Sites!$H$9:$H$108*Sites!$J$9:$J$108*Sites!$K$9:$K$108*(1-Sites!$L$9:$L$108)*(1-Sites!$M$9:$M$108))*'Scenario Paths'!G27,"Unavailable"))</x:f>
      </x:c>
      <x:c r="M157" s="23" t="str">
        <x:f>IF(C157="","",IFERROR(INDEX('Borrowers'!$J$9:$J$108,MATCH(C157,'Borrowers'!$C$9:$C$108,0))+H157-SUM(I157:L157),"Unavailable"))</x:f>
      </x:c>
      <x:c r="N157" s="23" t="str">
        <x:f>IF(C157="","",IFERROR(INDEX('Borrowers'!$I$9:$I$108,MATCH(C157,'Borrowers'!$C$9:$C$108,0))*'Scenario Paths'!G33,"Unavailable"))</x:f>
      </x:c>
      <x:c r="O157" s="23" t="str">
        <x:f>IF(C157="","",IFERROR(M157-INDEX('Borrowers'!$K$9:$K$108,MATCH(C157,'Borrowers'!$C$9:$C$108,0))-N157,"Unavailable"))</x:f>
      </x:c>
      <x:c r="P157" s="127" t="str">
        <x:f>IF(C157="","",IFERROR(O157/INDEX('Borrowers'!$L$9:$L$108,MATCH(C157,'Borrowers'!$C$9:$C$108,0)),"Unavailable"))</x:f>
      </x:c>
      <x:c r="Q157" s="30" t="str">
        <x:f>IF(C157="","",IFERROR(IF(INDEX('Borrowers'!$Z$9:$Z$108,MATCH(C157,'Borrowers'!$C$9:$C$108,0))="Yes",1,IF(INDEX('Borrowers'!$P$9:$P$108,MATCH(C157,'Borrowers'!$C$9:$C$108,0))=0,0,MIN(1,INDEX('Borrowers'!$P$9:$P$108,MATCH(C157,'Borrowers'!$C$9:$C$108,0))*EXP(MIN(20,INDEX('Borrowers'!$V$9:$V$108,MATCH(C157,'Borrowers'!$C$9:$C$108,0))*V157))))),"Unavailable"))</x:f>
      </x:c>
      <x:c r="R157" s="30" t="str">
        <x:f>IF(C157="","",IFERROR(MIN(1,INDEX('Borrowers'!$Q$9:$Q$108,MATCH(C157,'Borrowers'!$C$9:$C$108,0))+(1-INDEX('Borrowers'!$Q$9:$Q$108,MATCH(C157,'Borrowers'!$C$9:$C$108,0)))*T157),"Unavailable"))</x:f>
      </x:c>
      <x:c r="S157" s="30" t="str">
        <x:f>IF(C157="","",IFERROR(SUMPRODUCT((Sites!$D$9:$D$108=C157)*Sites!$I$9:$I$108*Sites!$J$9:$J$108*Sites!$K$9:$K$108*(1-Sites!$L$9:$L$108)),"Unavailable"))</x:f>
      </x:c>
      <x:c r="T157" s="30" t="str">
        <x:f>IF(C157="","",IFERROR(MIN(1,(SUMPRODUCT((Sites!$D$9:$D$108=C157)*Sites!$N$9:$N$108*Sites!$J$9:$J$108*Sites!$K$9:$K$108*(1-Sites!$L$9:$L$108)))*'Scenario Paths'!G27),"Unavailable"))</x:f>
      </x:c>
      <x:c r="U157" s="9" t="str">
        <x:f>IF(C157="","",IF(OR(INDEX('Borrowers'!$AA$9:$AA$108,MATCH(C157,'Borrowers'!$C$9:$C$108,0))&lt;&gt;"Ready",COUNTIF(Sites!$D$9:$D$108,C157)=0,COUNTIFS(Sites!$D$9:$D$108,C157,Sites!$Q$9:$Q$108,"&lt;&gt;Ready")&gt;0,'Scenario Paths'!$F$6&lt;&gt;"Ready"),"Review source inputs","Ready"))</x:f>
      </x:c>
      <x:c r="V157" s="17" t="str">
        <x:f>IF(C157="","",IFERROR(MAX(-1,(G157-O157)/MAX(0.000001,G157)),"Unavailable"))</x:f>
      </x:c>
      <x:c r="W157" s="9" t="str">
        <x:f>IF(C157="","",IFERROR(INDEX('Borrowers'!$D$9:$D$108,MATCH(C157,'Borrowers'!$C$9:$C$108,0)),"Unavailable"))</x:f>
      </x:c>
    </x:row>
    <x:row r="158" ht="26" customHeight="1">
      <x:c r="A158" s="1"/>
      <x:c r="B158" s="1"/>
      <x:c r="C158" s="9" t="str">
        <x:f>IF(Borrowers!C58="","",Borrowers!C58)</x:f>
      </x:c>
      <x:c r="D158" s="3" t="n">
        <x:v>2</x:v>
      </x:c>
      <x:c r="E158" s="9" t="n">
        <x:f>Settings!$F$18+1</x:f>
        <x:v>2028</x:v>
      </x:c>
      <x:c r="F158" s="9" t="str">
        <x:f>IF(C158="","",INDEX('Borrowers'!$F$9:$F$108,MATCH(C158,'Borrowers'!$C$9:$C$108,0)))</x:f>
      </x:c>
      <x:c r="G158" s="23" t="str">
        <x:f>IF(C158="","",IFERROR(INDEX('Borrowers'!$J$9:$J$108,MATCH(C158,'Borrowers'!$C$9:$C$108,0))-INDEX('Borrowers'!$K$9:$K$108,MATCH(C158,'Borrowers'!$C$9:$C$108,0)),"Unavailable"))</x:f>
      </x:c>
      <x:c r="H158" s="23" t="str">
        <x:f>IF(C158="","",IFERROR(INDEX('Borrowers'!$I$9:$I$108,MATCH(C158,'Borrowers'!$C$9:$C$108,0))*INDEX('Borrowers'!$U$9:$U$108,MATCH(C158,'Borrowers'!$C$9:$C$108,0))*(IF(F158="Transport",'Scenario Paths'!G156,IF(F158="Technology",'Scenario Paths'!G150,IF(F158="Utilities",'Scenario Paths'!G144,IF(F158="Agriculture",'Scenario Paths'!G138,IF(F158="Manufacturing",'Scenario Paths'!G132,IF(F158="Healthcare",'Scenario Paths'!G126,IF(F158="Hospitality",'Scenario Paths'!G120,IF(F158="Property",'Scenario Paths'!G114,IF(F158="Food",'Scenario Paths'!G108,IF(F158="Logistics",'Scenario Paths'!G102,IF(F158="Solar",'Scenario Paths'!G96,IF(F158="Cement",'Scenario Paths'!G90,0))))))))))))),"Unavailable"))</x:f>
      </x:c>
      <x:c r="I158" s="23" t="str">
        <x:f>IF(C158="","",IFERROR(INDEX('Borrowers'!$R$9:$R$108,MATCH(C158,'Borrowers'!$C$9:$C$108,0))*(1-INDEX('Borrowers'!$W$9:$W$108,MATCH(C158,'Borrowers'!$C$9:$C$108,0))*'Scenario Paths'!G39)*'Scenario Paths'!G9/1000000*(1-INDEX('Borrowers'!$T$9:$T$108,MATCH(C158,'Borrowers'!$C$9:$C$108,0))),"Unavailable"))</x:f>
      </x:c>
      <x:c r="J158" s="23" t="str">
        <x:f>IF(C158="","",IFERROR(INDEX('Borrowers'!$I$9:$I$108,MATCH(C158,'Borrowers'!$C$9:$C$108,0))*INDEX('Borrowers'!$S$9:$S$108,MATCH(C158,'Borrowers'!$C$9:$C$108,0))*'Scenario Paths'!G15*(1-INDEX('Borrowers'!$T$9:$T$108,MATCH(C158,'Borrowers'!$C$9:$C$108,0))),"Unavailable"))</x:f>
      </x:c>
      <x:c r="K158" s="23" t="str">
        <x:f>IF(C158="","",IFERROR(INDEX('Borrowers'!$I$9:$I$108,MATCH(C158,'Borrowers'!$C$9:$C$108,0))*INDEX('Borrowers'!$U$9:$U$108,MATCH(C158,'Borrowers'!$C$9:$C$108,0))*'Scenario Paths'!G21*S158,"Unavailable"))</x:f>
      </x:c>
      <x:c r="L158" s="23" t="str">
        <x:f>IF(C158="","",IFERROR(SUMPRODUCT((Sites!$D$9:$D$108=C158)*Sites!$H$9:$H$108*Sites!$J$9:$J$108*Sites!$K$9:$K$108*(1-Sites!$L$9:$L$108)*(1-Sites!$M$9:$M$108))*'Scenario Paths'!G27,"Unavailable"))</x:f>
      </x:c>
      <x:c r="M158" s="23" t="str">
        <x:f>IF(C158="","",IFERROR(INDEX('Borrowers'!$J$9:$J$108,MATCH(C158,'Borrowers'!$C$9:$C$108,0))+H158-SUM(I158:L158),"Unavailable"))</x:f>
      </x:c>
      <x:c r="N158" s="23" t="str">
        <x:f>IF(C158="","",IFERROR(INDEX('Borrowers'!$I$9:$I$108,MATCH(C158,'Borrowers'!$C$9:$C$108,0))*'Scenario Paths'!G33,"Unavailable"))</x:f>
      </x:c>
      <x:c r="O158" s="23" t="str">
        <x:f>IF(C158="","",IFERROR(M158-INDEX('Borrowers'!$K$9:$K$108,MATCH(C158,'Borrowers'!$C$9:$C$108,0))-N158,"Unavailable"))</x:f>
      </x:c>
      <x:c r="P158" s="127" t="str">
        <x:f>IF(C158="","",IFERROR(O158/INDEX('Borrowers'!$L$9:$L$108,MATCH(C158,'Borrowers'!$C$9:$C$108,0)),"Unavailable"))</x:f>
      </x:c>
      <x:c r="Q158" s="30" t="str">
        <x:f>IF(C158="","",IFERROR(IF(INDEX('Borrowers'!$Z$9:$Z$108,MATCH(C158,'Borrowers'!$C$9:$C$108,0))="Yes",1,IF(INDEX('Borrowers'!$P$9:$P$108,MATCH(C158,'Borrowers'!$C$9:$C$108,0))=0,0,MIN(1,INDEX('Borrowers'!$P$9:$P$108,MATCH(C158,'Borrowers'!$C$9:$C$108,0))*EXP(MIN(20,INDEX('Borrowers'!$V$9:$V$108,MATCH(C158,'Borrowers'!$C$9:$C$108,0))*V158))))),"Unavailable"))</x:f>
      </x:c>
      <x:c r="R158" s="30" t="str">
        <x:f>IF(C158="","",IFERROR(MIN(1,INDEX('Borrowers'!$Q$9:$Q$108,MATCH(C158,'Borrowers'!$C$9:$C$108,0))+(1-INDEX('Borrowers'!$Q$9:$Q$108,MATCH(C158,'Borrowers'!$C$9:$C$108,0)))*T158),"Unavailable"))</x:f>
      </x:c>
      <x:c r="S158" s="30" t="str">
        <x:f>IF(C158="","",IFERROR(SUMPRODUCT((Sites!$D$9:$D$108=C158)*Sites!$I$9:$I$108*Sites!$J$9:$J$108*Sites!$K$9:$K$108*(1-Sites!$L$9:$L$108)),"Unavailable"))</x:f>
      </x:c>
      <x:c r="T158" s="30" t="str">
        <x:f>IF(C158="","",IFERROR(MIN(1,(SUMPRODUCT((Sites!$D$9:$D$108=C158)*Sites!$N$9:$N$108*Sites!$J$9:$J$108*Sites!$K$9:$K$108*(1-Sites!$L$9:$L$108)))*'Scenario Paths'!G27),"Unavailable"))</x:f>
      </x:c>
      <x:c r="U158" s="9" t="str">
        <x:f>IF(C158="","",IF(OR(INDEX('Borrowers'!$AA$9:$AA$108,MATCH(C158,'Borrowers'!$C$9:$C$108,0))&lt;&gt;"Ready",COUNTIF(Sites!$D$9:$D$108,C158)=0,COUNTIFS(Sites!$D$9:$D$108,C158,Sites!$Q$9:$Q$108,"&lt;&gt;Ready")&gt;0,'Scenario Paths'!$F$6&lt;&gt;"Ready"),"Review source inputs","Ready"))</x:f>
      </x:c>
      <x:c r="V158" s="17" t="str">
        <x:f>IF(C158="","",IFERROR(MAX(-1,(G158-O158)/MAX(0.000001,G158)),"Unavailable"))</x:f>
      </x:c>
      <x:c r="W158" s="9" t="str">
        <x:f>IF(C158="","",IFERROR(INDEX('Borrowers'!$D$9:$D$108,MATCH(C158,'Borrowers'!$C$9:$C$108,0)),"Unavailable"))</x:f>
      </x:c>
    </x:row>
    <x:row r="159" ht="26" customHeight="1">
      <x:c r="A159" s="1"/>
      <x:c r="B159" s="1"/>
      <x:c r="C159" s="9" t="str">
        <x:f>IF(Borrowers!C59="","",Borrowers!C59)</x:f>
      </x:c>
      <x:c r="D159" s="3" t="n">
        <x:v>2</x:v>
      </x:c>
      <x:c r="E159" s="9" t="n">
        <x:f>Settings!$F$18+1</x:f>
        <x:v>2028</x:v>
      </x:c>
      <x:c r="F159" s="9" t="str">
        <x:f>IF(C159="","",INDEX('Borrowers'!$F$9:$F$108,MATCH(C159,'Borrowers'!$C$9:$C$108,0)))</x:f>
      </x:c>
      <x:c r="G159" s="23" t="str">
        <x:f>IF(C159="","",IFERROR(INDEX('Borrowers'!$J$9:$J$108,MATCH(C159,'Borrowers'!$C$9:$C$108,0))-INDEX('Borrowers'!$K$9:$K$108,MATCH(C159,'Borrowers'!$C$9:$C$108,0)),"Unavailable"))</x:f>
      </x:c>
      <x:c r="H159" s="23" t="str">
        <x:f>IF(C159="","",IFERROR(INDEX('Borrowers'!$I$9:$I$108,MATCH(C159,'Borrowers'!$C$9:$C$108,0))*INDEX('Borrowers'!$U$9:$U$108,MATCH(C159,'Borrowers'!$C$9:$C$108,0))*(IF(F159="Transport",'Scenario Paths'!G156,IF(F159="Technology",'Scenario Paths'!G150,IF(F159="Utilities",'Scenario Paths'!G144,IF(F159="Agriculture",'Scenario Paths'!G138,IF(F159="Manufacturing",'Scenario Paths'!G132,IF(F159="Healthcare",'Scenario Paths'!G126,IF(F159="Hospitality",'Scenario Paths'!G120,IF(F159="Property",'Scenario Paths'!G114,IF(F159="Food",'Scenario Paths'!G108,IF(F159="Logistics",'Scenario Paths'!G102,IF(F159="Solar",'Scenario Paths'!G96,IF(F159="Cement",'Scenario Paths'!G90,0))))))))))))),"Unavailable"))</x:f>
      </x:c>
      <x:c r="I159" s="23" t="str">
        <x:f>IF(C159="","",IFERROR(INDEX('Borrowers'!$R$9:$R$108,MATCH(C159,'Borrowers'!$C$9:$C$108,0))*(1-INDEX('Borrowers'!$W$9:$W$108,MATCH(C159,'Borrowers'!$C$9:$C$108,0))*'Scenario Paths'!G39)*'Scenario Paths'!G9/1000000*(1-INDEX('Borrowers'!$T$9:$T$108,MATCH(C159,'Borrowers'!$C$9:$C$108,0))),"Unavailable"))</x:f>
      </x:c>
      <x:c r="J159" s="23" t="str">
        <x:f>IF(C159="","",IFERROR(INDEX('Borrowers'!$I$9:$I$108,MATCH(C159,'Borrowers'!$C$9:$C$108,0))*INDEX('Borrowers'!$S$9:$S$108,MATCH(C159,'Borrowers'!$C$9:$C$108,0))*'Scenario Paths'!G15*(1-INDEX('Borrowers'!$T$9:$T$108,MATCH(C159,'Borrowers'!$C$9:$C$108,0))),"Unavailable"))</x:f>
      </x:c>
      <x:c r="K159" s="23" t="str">
        <x:f>IF(C159="","",IFERROR(INDEX('Borrowers'!$I$9:$I$108,MATCH(C159,'Borrowers'!$C$9:$C$108,0))*INDEX('Borrowers'!$U$9:$U$108,MATCH(C159,'Borrowers'!$C$9:$C$108,0))*'Scenario Paths'!G21*S159,"Unavailable"))</x:f>
      </x:c>
      <x:c r="L159" s="23" t="str">
        <x:f>IF(C159="","",IFERROR(SUMPRODUCT((Sites!$D$9:$D$108=C159)*Sites!$H$9:$H$108*Sites!$J$9:$J$108*Sites!$K$9:$K$108*(1-Sites!$L$9:$L$108)*(1-Sites!$M$9:$M$108))*'Scenario Paths'!G27,"Unavailable"))</x:f>
      </x:c>
      <x:c r="M159" s="23" t="str">
        <x:f>IF(C159="","",IFERROR(INDEX('Borrowers'!$J$9:$J$108,MATCH(C159,'Borrowers'!$C$9:$C$108,0))+H159-SUM(I159:L159),"Unavailable"))</x:f>
      </x:c>
      <x:c r="N159" s="23" t="str">
        <x:f>IF(C159="","",IFERROR(INDEX('Borrowers'!$I$9:$I$108,MATCH(C159,'Borrowers'!$C$9:$C$108,0))*'Scenario Paths'!G33,"Unavailable"))</x:f>
      </x:c>
      <x:c r="O159" s="23" t="str">
        <x:f>IF(C159="","",IFERROR(M159-INDEX('Borrowers'!$K$9:$K$108,MATCH(C159,'Borrowers'!$C$9:$C$108,0))-N159,"Unavailable"))</x:f>
      </x:c>
      <x:c r="P159" s="127" t="str">
        <x:f>IF(C159="","",IFERROR(O159/INDEX('Borrowers'!$L$9:$L$108,MATCH(C159,'Borrowers'!$C$9:$C$108,0)),"Unavailable"))</x:f>
      </x:c>
      <x:c r="Q159" s="30" t="str">
        <x:f>IF(C159="","",IFERROR(IF(INDEX('Borrowers'!$Z$9:$Z$108,MATCH(C159,'Borrowers'!$C$9:$C$108,0))="Yes",1,IF(INDEX('Borrowers'!$P$9:$P$108,MATCH(C159,'Borrowers'!$C$9:$C$108,0))=0,0,MIN(1,INDEX('Borrowers'!$P$9:$P$108,MATCH(C159,'Borrowers'!$C$9:$C$108,0))*EXP(MIN(20,INDEX('Borrowers'!$V$9:$V$108,MATCH(C159,'Borrowers'!$C$9:$C$108,0))*V159))))),"Unavailable"))</x:f>
      </x:c>
      <x:c r="R159" s="30" t="str">
        <x:f>IF(C159="","",IFERROR(MIN(1,INDEX('Borrowers'!$Q$9:$Q$108,MATCH(C159,'Borrowers'!$C$9:$C$108,0))+(1-INDEX('Borrowers'!$Q$9:$Q$108,MATCH(C159,'Borrowers'!$C$9:$C$108,0)))*T159),"Unavailable"))</x:f>
      </x:c>
      <x:c r="S159" s="30" t="str">
        <x:f>IF(C159="","",IFERROR(SUMPRODUCT((Sites!$D$9:$D$108=C159)*Sites!$I$9:$I$108*Sites!$J$9:$J$108*Sites!$K$9:$K$108*(1-Sites!$L$9:$L$108)),"Unavailable"))</x:f>
      </x:c>
      <x:c r="T159" s="30" t="str">
        <x:f>IF(C159="","",IFERROR(MIN(1,(SUMPRODUCT((Sites!$D$9:$D$108=C159)*Sites!$N$9:$N$108*Sites!$J$9:$J$108*Sites!$K$9:$K$108*(1-Sites!$L$9:$L$108)))*'Scenario Paths'!G27),"Unavailable"))</x:f>
      </x:c>
      <x:c r="U159" s="9" t="str">
        <x:f>IF(C159="","",IF(OR(INDEX('Borrowers'!$AA$9:$AA$108,MATCH(C159,'Borrowers'!$C$9:$C$108,0))&lt;&gt;"Ready",COUNTIF(Sites!$D$9:$D$108,C159)=0,COUNTIFS(Sites!$D$9:$D$108,C159,Sites!$Q$9:$Q$108,"&lt;&gt;Ready")&gt;0,'Scenario Paths'!$F$6&lt;&gt;"Ready"),"Review source inputs","Ready"))</x:f>
      </x:c>
      <x:c r="V159" s="17" t="str">
        <x:f>IF(C159="","",IFERROR(MAX(-1,(G159-O159)/MAX(0.000001,G159)),"Unavailable"))</x:f>
      </x:c>
      <x:c r="W159" s="9" t="str">
        <x:f>IF(C159="","",IFERROR(INDEX('Borrowers'!$D$9:$D$108,MATCH(C159,'Borrowers'!$C$9:$C$108,0)),"Unavailable"))</x:f>
      </x:c>
    </x:row>
    <x:row r="160" ht="26" customHeight="1">
      <x:c r="A160" s="1"/>
      <x:c r="B160" s="1"/>
      <x:c r="C160" s="9" t="str">
        <x:f>IF(Borrowers!C60="","",Borrowers!C60)</x:f>
      </x:c>
      <x:c r="D160" s="3" t="n">
        <x:v>2</x:v>
      </x:c>
      <x:c r="E160" s="9" t="n">
        <x:f>Settings!$F$18+1</x:f>
        <x:v>2028</x:v>
      </x:c>
      <x:c r="F160" s="9" t="str">
        <x:f>IF(C160="","",INDEX('Borrowers'!$F$9:$F$108,MATCH(C160,'Borrowers'!$C$9:$C$108,0)))</x:f>
      </x:c>
      <x:c r="G160" s="23" t="str">
        <x:f>IF(C160="","",IFERROR(INDEX('Borrowers'!$J$9:$J$108,MATCH(C160,'Borrowers'!$C$9:$C$108,0))-INDEX('Borrowers'!$K$9:$K$108,MATCH(C160,'Borrowers'!$C$9:$C$108,0)),"Unavailable"))</x:f>
      </x:c>
      <x:c r="H160" s="23" t="str">
        <x:f>IF(C160="","",IFERROR(INDEX('Borrowers'!$I$9:$I$108,MATCH(C160,'Borrowers'!$C$9:$C$108,0))*INDEX('Borrowers'!$U$9:$U$108,MATCH(C160,'Borrowers'!$C$9:$C$108,0))*(IF(F160="Transport",'Scenario Paths'!G156,IF(F160="Technology",'Scenario Paths'!G150,IF(F160="Utilities",'Scenario Paths'!G144,IF(F160="Agriculture",'Scenario Paths'!G138,IF(F160="Manufacturing",'Scenario Paths'!G132,IF(F160="Healthcare",'Scenario Paths'!G126,IF(F160="Hospitality",'Scenario Paths'!G120,IF(F160="Property",'Scenario Paths'!G114,IF(F160="Food",'Scenario Paths'!G108,IF(F160="Logistics",'Scenario Paths'!G102,IF(F160="Solar",'Scenario Paths'!G96,IF(F160="Cement",'Scenario Paths'!G90,0))))))))))))),"Unavailable"))</x:f>
      </x:c>
      <x:c r="I160" s="23" t="str">
        <x:f>IF(C160="","",IFERROR(INDEX('Borrowers'!$R$9:$R$108,MATCH(C160,'Borrowers'!$C$9:$C$108,0))*(1-INDEX('Borrowers'!$W$9:$W$108,MATCH(C160,'Borrowers'!$C$9:$C$108,0))*'Scenario Paths'!G39)*'Scenario Paths'!G9/1000000*(1-INDEX('Borrowers'!$T$9:$T$108,MATCH(C160,'Borrowers'!$C$9:$C$108,0))),"Unavailable"))</x:f>
      </x:c>
      <x:c r="J160" s="23" t="str">
        <x:f>IF(C160="","",IFERROR(INDEX('Borrowers'!$I$9:$I$108,MATCH(C160,'Borrowers'!$C$9:$C$108,0))*INDEX('Borrowers'!$S$9:$S$108,MATCH(C160,'Borrowers'!$C$9:$C$108,0))*'Scenario Paths'!G15*(1-INDEX('Borrowers'!$T$9:$T$108,MATCH(C160,'Borrowers'!$C$9:$C$108,0))),"Unavailable"))</x:f>
      </x:c>
      <x:c r="K160" s="23" t="str">
        <x:f>IF(C160="","",IFERROR(INDEX('Borrowers'!$I$9:$I$108,MATCH(C160,'Borrowers'!$C$9:$C$108,0))*INDEX('Borrowers'!$U$9:$U$108,MATCH(C160,'Borrowers'!$C$9:$C$108,0))*'Scenario Paths'!G21*S160,"Unavailable"))</x:f>
      </x:c>
      <x:c r="L160" s="23" t="str">
        <x:f>IF(C160="","",IFERROR(SUMPRODUCT((Sites!$D$9:$D$108=C160)*Sites!$H$9:$H$108*Sites!$J$9:$J$108*Sites!$K$9:$K$108*(1-Sites!$L$9:$L$108)*(1-Sites!$M$9:$M$108))*'Scenario Paths'!G27,"Unavailable"))</x:f>
      </x:c>
      <x:c r="M160" s="23" t="str">
        <x:f>IF(C160="","",IFERROR(INDEX('Borrowers'!$J$9:$J$108,MATCH(C160,'Borrowers'!$C$9:$C$108,0))+H160-SUM(I160:L160),"Unavailable"))</x:f>
      </x:c>
      <x:c r="N160" s="23" t="str">
        <x:f>IF(C160="","",IFERROR(INDEX('Borrowers'!$I$9:$I$108,MATCH(C160,'Borrowers'!$C$9:$C$108,0))*'Scenario Paths'!G33,"Unavailable"))</x:f>
      </x:c>
      <x:c r="O160" s="23" t="str">
        <x:f>IF(C160="","",IFERROR(M160-INDEX('Borrowers'!$K$9:$K$108,MATCH(C160,'Borrowers'!$C$9:$C$108,0))-N160,"Unavailable"))</x:f>
      </x:c>
      <x:c r="P160" s="127" t="str">
        <x:f>IF(C160="","",IFERROR(O160/INDEX('Borrowers'!$L$9:$L$108,MATCH(C160,'Borrowers'!$C$9:$C$108,0)),"Unavailable"))</x:f>
      </x:c>
      <x:c r="Q160" s="30" t="str">
        <x:f>IF(C160="","",IFERROR(IF(INDEX('Borrowers'!$Z$9:$Z$108,MATCH(C160,'Borrowers'!$C$9:$C$108,0))="Yes",1,IF(INDEX('Borrowers'!$P$9:$P$108,MATCH(C160,'Borrowers'!$C$9:$C$108,0))=0,0,MIN(1,INDEX('Borrowers'!$P$9:$P$108,MATCH(C160,'Borrowers'!$C$9:$C$108,0))*EXP(MIN(20,INDEX('Borrowers'!$V$9:$V$108,MATCH(C160,'Borrowers'!$C$9:$C$108,0))*V160))))),"Unavailable"))</x:f>
      </x:c>
      <x:c r="R160" s="30" t="str">
        <x:f>IF(C160="","",IFERROR(MIN(1,INDEX('Borrowers'!$Q$9:$Q$108,MATCH(C160,'Borrowers'!$C$9:$C$108,0))+(1-INDEX('Borrowers'!$Q$9:$Q$108,MATCH(C160,'Borrowers'!$C$9:$C$108,0)))*T160),"Unavailable"))</x:f>
      </x:c>
      <x:c r="S160" s="30" t="str">
        <x:f>IF(C160="","",IFERROR(SUMPRODUCT((Sites!$D$9:$D$108=C160)*Sites!$I$9:$I$108*Sites!$J$9:$J$108*Sites!$K$9:$K$108*(1-Sites!$L$9:$L$108)),"Unavailable"))</x:f>
      </x:c>
      <x:c r="T160" s="30" t="str">
        <x:f>IF(C160="","",IFERROR(MIN(1,(SUMPRODUCT((Sites!$D$9:$D$108=C160)*Sites!$N$9:$N$108*Sites!$J$9:$J$108*Sites!$K$9:$K$108*(1-Sites!$L$9:$L$108)))*'Scenario Paths'!G27),"Unavailable"))</x:f>
      </x:c>
      <x:c r="U160" s="9" t="str">
        <x:f>IF(C160="","",IF(OR(INDEX('Borrowers'!$AA$9:$AA$108,MATCH(C160,'Borrowers'!$C$9:$C$108,0))&lt;&gt;"Ready",COUNTIF(Sites!$D$9:$D$108,C160)=0,COUNTIFS(Sites!$D$9:$D$108,C160,Sites!$Q$9:$Q$108,"&lt;&gt;Ready")&gt;0,'Scenario Paths'!$F$6&lt;&gt;"Ready"),"Review source inputs","Ready"))</x:f>
      </x:c>
      <x:c r="V160" s="17" t="str">
        <x:f>IF(C160="","",IFERROR(MAX(-1,(G160-O160)/MAX(0.000001,G160)),"Unavailable"))</x:f>
      </x:c>
      <x:c r="W160" s="9" t="str">
        <x:f>IF(C160="","",IFERROR(INDEX('Borrowers'!$D$9:$D$108,MATCH(C160,'Borrowers'!$C$9:$C$108,0)),"Unavailable"))</x:f>
      </x:c>
    </x:row>
    <x:row r="161" ht="26" customHeight="1">
      <x:c r="A161" s="1"/>
      <x:c r="B161" s="1"/>
      <x:c r="C161" s="9" t="str">
        <x:f>IF(Borrowers!C61="","",Borrowers!C61)</x:f>
      </x:c>
      <x:c r="D161" s="3" t="n">
        <x:v>2</x:v>
      </x:c>
      <x:c r="E161" s="9" t="n">
        <x:f>Settings!$F$18+1</x:f>
        <x:v>2028</x:v>
      </x:c>
      <x:c r="F161" s="9" t="str">
        <x:f>IF(C161="","",INDEX('Borrowers'!$F$9:$F$108,MATCH(C161,'Borrowers'!$C$9:$C$108,0)))</x:f>
      </x:c>
      <x:c r="G161" s="23" t="str">
        <x:f>IF(C161="","",IFERROR(INDEX('Borrowers'!$J$9:$J$108,MATCH(C161,'Borrowers'!$C$9:$C$108,0))-INDEX('Borrowers'!$K$9:$K$108,MATCH(C161,'Borrowers'!$C$9:$C$108,0)),"Unavailable"))</x:f>
      </x:c>
      <x:c r="H161" s="23" t="str">
        <x:f>IF(C161="","",IFERROR(INDEX('Borrowers'!$I$9:$I$108,MATCH(C161,'Borrowers'!$C$9:$C$108,0))*INDEX('Borrowers'!$U$9:$U$108,MATCH(C161,'Borrowers'!$C$9:$C$108,0))*(IF(F161="Transport",'Scenario Paths'!G156,IF(F161="Technology",'Scenario Paths'!G150,IF(F161="Utilities",'Scenario Paths'!G144,IF(F161="Agriculture",'Scenario Paths'!G138,IF(F161="Manufacturing",'Scenario Paths'!G132,IF(F161="Healthcare",'Scenario Paths'!G126,IF(F161="Hospitality",'Scenario Paths'!G120,IF(F161="Property",'Scenario Paths'!G114,IF(F161="Food",'Scenario Paths'!G108,IF(F161="Logistics",'Scenario Paths'!G102,IF(F161="Solar",'Scenario Paths'!G96,IF(F161="Cement",'Scenario Paths'!G90,0))))))))))))),"Unavailable"))</x:f>
      </x:c>
      <x:c r="I161" s="23" t="str">
        <x:f>IF(C161="","",IFERROR(INDEX('Borrowers'!$R$9:$R$108,MATCH(C161,'Borrowers'!$C$9:$C$108,0))*(1-INDEX('Borrowers'!$W$9:$W$108,MATCH(C161,'Borrowers'!$C$9:$C$108,0))*'Scenario Paths'!G39)*'Scenario Paths'!G9/1000000*(1-INDEX('Borrowers'!$T$9:$T$108,MATCH(C161,'Borrowers'!$C$9:$C$108,0))),"Unavailable"))</x:f>
      </x:c>
      <x:c r="J161" s="23" t="str">
        <x:f>IF(C161="","",IFERROR(INDEX('Borrowers'!$I$9:$I$108,MATCH(C161,'Borrowers'!$C$9:$C$108,0))*INDEX('Borrowers'!$S$9:$S$108,MATCH(C161,'Borrowers'!$C$9:$C$108,0))*'Scenario Paths'!G15*(1-INDEX('Borrowers'!$T$9:$T$108,MATCH(C161,'Borrowers'!$C$9:$C$108,0))),"Unavailable"))</x:f>
      </x:c>
      <x:c r="K161" s="23" t="str">
        <x:f>IF(C161="","",IFERROR(INDEX('Borrowers'!$I$9:$I$108,MATCH(C161,'Borrowers'!$C$9:$C$108,0))*INDEX('Borrowers'!$U$9:$U$108,MATCH(C161,'Borrowers'!$C$9:$C$108,0))*'Scenario Paths'!G21*S161,"Unavailable"))</x:f>
      </x:c>
      <x:c r="L161" s="23" t="str">
        <x:f>IF(C161="","",IFERROR(SUMPRODUCT((Sites!$D$9:$D$108=C161)*Sites!$H$9:$H$108*Sites!$J$9:$J$108*Sites!$K$9:$K$108*(1-Sites!$L$9:$L$108)*(1-Sites!$M$9:$M$108))*'Scenario Paths'!G27,"Unavailable"))</x:f>
      </x:c>
      <x:c r="M161" s="23" t="str">
        <x:f>IF(C161="","",IFERROR(INDEX('Borrowers'!$J$9:$J$108,MATCH(C161,'Borrowers'!$C$9:$C$108,0))+H161-SUM(I161:L161),"Unavailable"))</x:f>
      </x:c>
      <x:c r="N161" s="23" t="str">
        <x:f>IF(C161="","",IFERROR(INDEX('Borrowers'!$I$9:$I$108,MATCH(C161,'Borrowers'!$C$9:$C$108,0))*'Scenario Paths'!G33,"Unavailable"))</x:f>
      </x:c>
      <x:c r="O161" s="23" t="str">
        <x:f>IF(C161="","",IFERROR(M161-INDEX('Borrowers'!$K$9:$K$108,MATCH(C161,'Borrowers'!$C$9:$C$108,0))-N161,"Unavailable"))</x:f>
      </x:c>
      <x:c r="P161" s="127" t="str">
        <x:f>IF(C161="","",IFERROR(O161/INDEX('Borrowers'!$L$9:$L$108,MATCH(C161,'Borrowers'!$C$9:$C$108,0)),"Unavailable"))</x:f>
      </x:c>
      <x:c r="Q161" s="30" t="str">
        <x:f>IF(C161="","",IFERROR(IF(INDEX('Borrowers'!$Z$9:$Z$108,MATCH(C161,'Borrowers'!$C$9:$C$108,0))="Yes",1,IF(INDEX('Borrowers'!$P$9:$P$108,MATCH(C161,'Borrowers'!$C$9:$C$108,0))=0,0,MIN(1,INDEX('Borrowers'!$P$9:$P$108,MATCH(C161,'Borrowers'!$C$9:$C$108,0))*EXP(MIN(20,INDEX('Borrowers'!$V$9:$V$108,MATCH(C161,'Borrowers'!$C$9:$C$108,0))*V161))))),"Unavailable"))</x:f>
      </x:c>
      <x:c r="R161" s="30" t="str">
        <x:f>IF(C161="","",IFERROR(MIN(1,INDEX('Borrowers'!$Q$9:$Q$108,MATCH(C161,'Borrowers'!$C$9:$C$108,0))+(1-INDEX('Borrowers'!$Q$9:$Q$108,MATCH(C161,'Borrowers'!$C$9:$C$108,0)))*T161),"Unavailable"))</x:f>
      </x:c>
      <x:c r="S161" s="30" t="str">
        <x:f>IF(C161="","",IFERROR(SUMPRODUCT((Sites!$D$9:$D$108=C161)*Sites!$I$9:$I$108*Sites!$J$9:$J$108*Sites!$K$9:$K$108*(1-Sites!$L$9:$L$108)),"Unavailable"))</x:f>
      </x:c>
      <x:c r="T161" s="30" t="str">
        <x:f>IF(C161="","",IFERROR(MIN(1,(SUMPRODUCT((Sites!$D$9:$D$108=C161)*Sites!$N$9:$N$108*Sites!$J$9:$J$108*Sites!$K$9:$K$108*(1-Sites!$L$9:$L$108)))*'Scenario Paths'!G27),"Unavailable"))</x:f>
      </x:c>
      <x:c r="U161" s="9" t="str">
        <x:f>IF(C161="","",IF(OR(INDEX('Borrowers'!$AA$9:$AA$108,MATCH(C161,'Borrowers'!$C$9:$C$108,0))&lt;&gt;"Ready",COUNTIF(Sites!$D$9:$D$108,C161)=0,COUNTIFS(Sites!$D$9:$D$108,C161,Sites!$Q$9:$Q$108,"&lt;&gt;Ready")&gt;0,'Scenario Paths'!$F$6&lt;&gt;"Ready"),"Review source inputs","Ready"))</x:f>
      </x:c>
      <x:c r="V161" s="17" t="str">
        <x:f>IF(C161="","",IFERROR(MAX(-1,(G161-O161)/MAX(0.000001,G161)),"Unavailable"))</x:f>
      </x:c>
      <x:c r="W161" s="9" t="str">
        <x:f>IF(C161="","",IFERROR(INDEX('Borrowers'!$D$9:$D$108,MATCH(C161,'Borrowers'!$C$9:$C$108,0)),"Unavailable"))</x:f>
      </x:c>
    </x:row>
    <x:row r="162" ht="26" customHeight="1">
      <x:c r="A162" s="1"/>
      <x:c r="B162" s="1"/>
      <x:c r="C162" s="9" t="str">
        <x:f>IF(Borrowers!C62="","",Borrowers!C62)</x:f>
      </x:c>
      <x:c r="D162" s="3" t="n">
        <x:v>2</x:v>
      </x:c>
      <x:c r="E162" s="9" t="n">
        <x:f>Settings!$F$18+1</x:f>
        <x:v>2028</x:v>
      </x:c>
      <x:c r="F162" s="9" t="str">
        <x:f>IF(C162="","",INDEX('Borrowers'!$F$9:$F$108,MATCH(C162,'Borrowers'!$C$9:$C$108,0)))</x:f>
      </x:c>
      <x:c r="G162" s="23" t="str">
        <x:f>IF(C162="","",IFERROR(INDEX('Borrowers'!$J$9:$J$108,MATCH(C162,'Borrowers'!$C$9:$C$108,0))-INDEX('Borrowers'!$K$9:$K$108,MATCH(C162,'Borrowers'!$C$9:$C$108,0)),"Unavailable"))</x:f>
      </x:c>
      <x:c r="H162" s="23" t="str">
        <x:f>IF(C162="","",IFERROR(INDEX('Borrowers'!$I$9:$I$108,MATCH(C162,'Borrowers'!$C$9:$C$108,0))*INDEX('Borrowers'!$U$9:$U$108,MATCH(C162,'Borrowers'!$C$9:$C$108,0))*(IF(F162="Transport",'Scenario Paths'!G156,IF(F162="Technology",'Scenario Paths'!G150,IF(F162="Utilities",'Scenario Paths'!G144,IF(F162="Agriculture",'Scenario Paths'!G138,IF(F162="Manufacturing",'Scenario Paths'!G132,IF(F162="Healthcare",'Scenario Paths'!G126,IF(F162="Hospitality",'Scenario Paths'!G120,IF(F162="Property",'Scenario Paths'!G114,IF(F162="Food",'Scenario Paths'!G108,IF(F162="Logistics",'Scenario Paths'!G102,IF(F162="Solar",'Scenario Paths'!G96,IF(F162="Cement",'Scenario Paths'!G90,0))))))))))))),"Unavailable"))</x:f>
      </x:c>
      <x:c r="I162" s="23" t="str">
        <x:f>IF(C162="","",IFERROR(INDEX('Borrowers'!$R$9:$R$108,MATCH(C162,'Borrowers'!$C$9:$C$108,0))*(1-INDEX('Borrowers'!$W$9:$W$108,MATCH(C162,'Borrowers'!$C$9:$C$108,0))*'Scenario Paths'!G39)*'Scenario Paths'!G9/1000000*(1-INDEX('Borrowers'!$T$9:$T$108,MATCH(C162,'Borrowers'!$C$9:$C$108,0))),"Unavailable"))</x:f>
      </x:c>
      <x:c r="J162" s="23" t="str">
        <x:f>IF(C162="","",IFERROR(INDEX('Borrowers'!$I$9:$I$108,MATCH(C162,'Borrowers'!$C$9:$C$108,0))*INDEX('Borrowers'!$S$9:$S$108,MATCH(C162,'Borrowers'!$C$9:$C$108,0))*'Scenario Paths'!G15*(1-INDEX('Borrowers'!$T$9:$T$108,MATCH(C162,'Borrowers'!$C$9:$C$108,0))),"Unavailable"))</x:f>
      </x:c>
      <x:c r="K162" s="23" t="str">
        <x:f>IF(C162="","",IFERROR(INDEX('Borrowers'!$I$9:$I$108,MATCH(C162,'Borrowers'!$C$9:$C$108,0))*INDEX('Borrowers'!$U$9:$U$108,MATCH(C162,'Borrowers'!$C$9:$C$108,0))*'Scenario Paths'!G21*S162,"Unavailable"))</x:f>
      </x:c>
      <x:c r="L162" s="23" t="str">
        <x:f>IF(C162="","",IFERROR(SUMPRODUCT((Sites!$D$9:$D$108=C162)*Sites!$H$9:$H$108*Sites!$J$9:$J$108*Sites!$K$9:$K$108*(1-Sites!$L$9:$L$108)*(1-Sites!$M$9:$M$108))*'Scenario Paths'!G27,"Unavailable"))</x:f>
      </x:c>
      <x:c r="M162" s="23" t="str">
        <x:f>IF(C162="","",IFERROR(INDEX('Borrowers'!$J$9:$J$108,MATCH(C162,'Borrowers'!$C$9:$C$108,0))+H162-SUM(I162:L162),"Unavailable"))</x:f>
      </x:c>
      <x:c r="N162" s="23" t="str">
        <x:f>IF(C162="","",IFERROR(INDEX('Borrowers'!$I$9:$I$108,MATCH(C162,'Borrowers'!$C$9:$C$108,0))*'Scenario Paths'!G33,"Unavailable"))</x:f>
      </x:c>
      <x:c r="O162" s="23" t="str">
        <x:f>IF(C162="","",IFERROR(M162-INDEX('Borrowers'!$K$9:$K$108,MATCH(C162,'Borrowers'!$C$9:$C$108,0))-N162,"Unavailable"))</x:f>
      </x:c>
      <x:c r="P162" s="127" t="str">
        <x:f>IF(C162="","",IFERROR(O162/INDEX('Borrowers'!$L$9:$L$108,MATCH(C162,'Borrowers'!$C$9:$C$108,0)),"Unavailable"))</x:f>
      </x:c>
      <x:c r="Q162" s="30" t="str">
        <x:f>IF(C162="","",IFERROR(IF(INDEX('Borrowers'!$Z$9:$Z$108,MATCH(C162,'Borrowers'!$C$9:$C$108,0))="Yes",1,IF(INDEX('Borrowers'!$P$9:$P$108,MATCH(C162,'Borrowers'!$C$9:$C$108,0))=0,0,MIN(1,INDEX('Borrowers'!$P$9:$P$108,MATCH(C162,'Borrowers'!$C$9:$C$108,0))*EXP(MIN(20,INDEX('Borrowers'!$V$9:$V$108,MATCH(C162,'Borrowers'!$C$9:$C$108,0))*V162))))),"Unavailable"))</x:f>
      </x:c>
      <x:c r="R162" s="30" t="str">
        <x:f>IF(C162="","",IFERROR(MIN(1,INDEX('Borrowers'!$Q$9:$Q$108,MATCH(C162,'Borrowers'!$C$9:$C$108,0))+(1-INDEX('Borrowers'!$Q$9:$Q$108,MATCH(C162,'Borrowers'!$C$9:$C$108,0)))*T162),"Unavailable"))</x:f>
      </x:c>
      <x:c r="S162" s="30" t="str">
        <x:f>IF(C162="","",IFERROR(SUMPRODUCT((Sites!$D$9:$D$108=C162)*Sites!$I$9:$I$108*Sites!$J$9:$J$108*Sites!$K$9:$K$108*(1-Sites!$L$9:$L$108)),"Unavailable"))</x:f>
      </x:c>
      <x:c r="T162" s="30" t="str">
        <x:f>IF(C162="","",IFERROR(MIN(1,(SUMPRODUCT((Sites!$D$9:$D$108=C162)*Sites!$N$9:$N$108*Sites!$J$9:$J$108*Sites!$K$9:$K$108*(1-Sites!$L$9:$L$108)))*'Scenario Paths'!G27),"Unavailable"))</x:f>
      </x:c>
      <x:c r="U162" s="9" t="str">
        <x:f>IF(C162="","",IF(OR(INDEX('Borrowers'!$AA$9:$AA$108,MATCH(C162,'Borrowers'!$C$9:$C$108,0))&lt;&gt;"Ready",COUNTIF(Sites!$D$9:$D$108,C162)=0,COUNTIFS(Sites!$D$9:$D$108,C162,Sites!$Q$9:$Q$108,"&lt;&gt;Ready")&gt;0,'Scenario Paths'!$F$6&lt;&gt;"Ready"),"Review source inputs","Ready"))</x:f>
      </x:c>
      <x:c r="V162" s="17" t="str">
        <x:f>IF(C162="","",IFERROR(MAX(-1,(G162-O162)/MAX(0.000001,G162)),"Unavailable"))</x:f>
      </x:c>
      <x:c r="W162" s="9" t="str">
        <x:f>IF(C162="","",IFERROR(INDEX('Borrowers'!$D$9:$D$108,MATCH(C162,'Borrowers'!$C$9:$C$108,0)),"Unavailable"))</x:f>
      </x:c>
    </x:row>
    <x:row r="163" ht="26" customHeight="1">
      <x:c r="A163" s="1"/>
      <x:c r="B163" s="1"/>
      <x:c r="C163" s="9" t="str">
        <x:f>IF(Borrowers!C63="","",Borrowers!C63)</x:f>
      </x:c>
      <x:c r="D163" s="3" t="n">
        <x:v>2</x:v>
      </x:c>
      <x:c r="E163" s="9" t="n">
        <x:f>Settings!$F$18+1</x:f>
        <x:v>2028</x:v>
      </x:c>
      <x:c r="F163" s="9" t="str">
        <x:f>IF(C163="","",INDEX('Borrowers'!$F$9:$F$108,MATCH(C163,'Borrowers'!$C$9:$C$108,0)))</x:f>
      </x:c>
      <x:c r="G163" s="23" t="str">
        <x:f>IF(C163="","",IFERROR(INDEX('Borrowers'!$J$9:$J$108,MATCH(C163,'Borrowers'!$C$9:$C$108,0))-INDEX('Borrowers'!$K$9:$K$108,MATCH(C163,'Borrowers'!$C$9:$C$108,0)),"Unavailable"))</x:f>
      </x:c>
      <x:c r="H163" s="23" t="str">
        <x:f>IF(C163="","",IFERROR(INDEX('Borrowers'!$I$9:$I$108,MATCH(C163,'Borrowers'!$C$9:$C$108,0))*INDEX('Borrowers'!$U$9:$U$108,MATCH(C163,'Borrowers'!$C$9:$C$108,0))*(IF(F163="Transport",'Scenario Paths'!G156,IF(F163="Technology",'Scenario Paths'!G150,IF(F163="Utilities",'Scenario Paths'!G144,IF(F163="Agriculture",'Scenario Paths'!G138,IF(F163="Manufacturing",'Scenario Paths'!G132,IF(F163="Healthcare",'Scenario Paths'!G126,IF(F163="Hospitality",'Scenario Paths'!G120,IF(F163="Property",'Scenario Paths'!G114,IF(F163="Food",'Scenario Paths'!G108,IF(F163="Logistics",'Scenario Paths'!G102,IF(F163="Solar",'Scenario Paths'!G96,IF(F163="Cement",'Scenario Paths'!G90,0))))))))))))),"Unavailable"))</x:f>
      </x:c>
      <x:c r="I163" s="23" t="str">
        <x:f>IF(C163="","",IFERROR(INDEX('Borrowers'!$R$9:$R$108,MATCH(C163,'Borrowers'!$C$9:$C$108,0))*(1-INDEX('Borrowers'!$W$9:$W$108,MATCH(C163,'Borrowers'!$C$9:$C$108,0))*'Scenario Paths'!G39)*'Scenario Paths'!G9/1000000*(1-INDEX('Borrowers'!$T$9:$T$108,MATCH(C163,'Borrowers'!$C$9:$C$108,0))),"Unavailable"))</x:f>
      </x:c>
      <x:c r="J163" s="23" t="str">
        <x:f>IF(C163="","",IFERROR(INDEX('Borrowers'!$I$9:$I$108,MATCH(C163,'Borrowers'!$C$9:$C$108,0))*INDEX('Borrowers'!$S$9:$S$108,MATCH(C163,'Borrowers'!$C$9:$C$108,0))*'Scenario Paths'!G15*(1-INDEX('Borrowers'!$T$9:$T$108,MATCH(C163,'Borrowers'!$C$9:$C$108,0))),"Unavailable"))</x:f>
      </x:c>
      <x:c r="K163" s="23" t="str">
        <x:f>IF(C163="","",IFERROR(INDEX('Borrowers'!$I$9:$I$108,MATCH(C163,'Borrowers'!$C$9:$C$108,0))*INDEX('Borrowers'!$U$9:$U$108,MATCH(C163,'Borrowers'!$C$9:$C$108,0))*'Scenario Paths'!G21*S163,"Unavailable"))</x:f>
      </x:c>
      <x:c r="L163" s="23" t="str">
        <x:f>IF(C163="","",IFERROR(SUMPRODUCT((Sites!$D$9:$D$108=C163)*Sites!$H$9:$H$108*Sites!$J$9:$J$108*Sites!$K$9:$K$108*(1-Sites!$L$9:$L$108)*(1-Sites!$M$9:$M$108))*'Scenario Paths'!G27,"Unavailable"))</x:f>
      </x:c>
      <x:c r="M163" s="23" t="str">
        <x:f>IF(C163="","",IFERROR(INDEX('Borrowers'!$J$9:$J$108,MATCH(C163,'Borrowers'!$C$9:$C$108,0))+H163-SUM(I163:L163),"Unavailable"))</x:f>
      </x:c>
      <x:c r="N163" s="23" t="str">
        <x:f>IF(C163="","",IFERROR(INDEX('Borrowers'!$I$9:$I$108,MATCH(C163,'Borrowers'!$C$9:$C$108,0))*'Scenario Paths'!G33,"Unavailable"))</x:f>
      </x:c>
      <x:c r="O163" s="23" t="str">
        <x:f>IF(C163="","",IFERROR(M163-INDEX('Borrowers'!$K$9:$K$108,MATCH(C163,'Borrowers'!$C$9:$C$108,0))-N163,"Unavailable"))</x:f>
      </x:c>
      <x:c r="P163" s="127" t="str">
        <x:f>IF(C163="","",IFERROR(O163/INDEX('Borrowers'!$L$9:$L$108,MATCH(C163,'Borrowers'!$C$9:$C$108,0)),"Unavailable"))</x:f>
      </x:c>
      <x:c r="Q163" s="30" t="str">
        <x:f>IF(C163="","",IFERROR(IF(INDEX('Borrowers'!$Z$9:$Z$108,MATCH(C163,'Borrowers'!$C$9:$C$108,0))="Yes",1,IF(INDEX('Borrowers'!$P$9:$P$108,MATCH(C163,'Borrowers'!$C$9:$C$108,0))=0,0,MIN(1,INDEX('Borrowers'!$P$9:$P$108,MATCH(C163,'Borrowers'!$C$9:$C$108,0))*EXP(MIN(20,INDEX('Borrowers'!$V$9:$V$108,MATCH(C163,'Borrowers'!$C$9:$C$108,0))*V163))))),"Unavailable"))</x:f>
      </x:c>
      <x:c r="R163" s="30" t="str">
        <x:f>IF(C163="","",IFERROR(MIN(1,INDEX('Borrowers'!$Q$9:$Q$108,MATCH(C163,'Borrowers'!$C$9:$C$108,0))+(1-INDEX('Borrowers'!$Q$9:$Q$108,MATCH(C163,'Borrowers'!$C$9:$C$108,0)))*T163),"Unavailable"))</x:f>
      </x:c>
      <x:c r="S163" s="30" t="str">
        <x:f>IF(C163="","",IFERROR(SUMPRODUCT((Sites!$D$9:$D$108=C163)*Sites!$I$9:$I$108*Sites!$J$9:$J$108*Sites!$K$9:$K$108*(1-Sites!$L$9:$L$108)),"Unavailable"))</x:f>
      </x:c>
      <x:c r="T163" s="30" t="str">
        <x:f>IF(C163="","",IFERROR(MIN(1,(SUMPRODUCT((Sites!$D$9:$D$108=C163)*Sites!$N$9:$N$108*Sites!$J$9:$J$108*Sites!$K$9:$K$108*(1-Sites!$L$9:$L$108)))*'Scenario Paths'!G27),"Unavailable"))</x:f>
      </x:c>
      <x:c r="U163" s="9" t="str">
        <x:f>IF(C163="","",IF(OR(INDEX('Borrowers'!$AA$9:$AA$108,MATCH(C163,'Borrowers'!$C$9:$C$108,0))&lt;&gt;"Ready",COUNTIF(Sites!$D$9:$D$108,C163)=0,COUNTIFS(Sites!$D$9:$D$108,C163,Sites!$Q$9:$Q$108,"&lt;&gt;Ready")&gt;0,'Scenario Paths'!$F$6&lt;&gt;"Ready"),"Review source inputs","Ready"))</x:f>
      </x:c>
      <x:c r="V163" s="17" t="str">
        <x:f>IF(C163="","",IFERROR(MAX(-1,(G163-O163)/MAX(0.000001,G163)),"Unavailable"))</x:f>
      </x:c>
      <x:c r="W163" s="9" t="str">
        <x:f>IF(C163="","",IFERROR(INDEX('Borrowers'!$D$9:$D$108,MATCH(C163,'Borrowers'!$C$9:$C$108,0)),"Unavailable"))</x:f>
      </x:c>
    </x:row>
    <x:row r="164" ht="26" customHeight="1">
      <x:c r="A164" s="1"/>
      <x:c r="B164" s="1"/>
      <x:c r="C164" s="9" t="str">
        <x:f>IF(Borrowers!C64="","",Borrowers!C64)</x:f>
      </x:c>
      <x:c r="D164" s="3" t="n">
        <x:v>2</x:v>
      </x:c>
      <x:c r="E164" s="9" t="n">
        <x:f>Settings!$F$18+1</x:f>
        <x:v>2028</x:v>
      </x:c>
      <x:c r="F164" s="9" t="str">
        <x:f>IF(C164="","",INDEX('Borrowers'!$F$9:$F$108,MATCH(C164,'Borrowers'!$C$9:$C$108,0)))</x:f>
      </x:c>
      <x:c r="G164" s="23" t="str">
        <x:f>IF(C164="","",IFERROR(INDEX('Borrowers'!$J$9:$J$108,MATCH(C164,'Borrowers'!$C$9:$C$108,0))-INDEX('Borrowers'!$K$9:$K$108,MATCH(C164,'Borrowers'!$C$9:$C$108,0)),"Unavailable"))</x:f>
      </x:c>
      <x:c r="H164" s="23" t="str">
        <x:f>IF(C164="","",IFERROR(INDEX('Borrowers'!$I$9:$I$108,MATCH(C164,'Borrowers'!$C$9:$C$108,0))*INDEX('Borrowers'!$U$9:$U$108,MATCH(C164,'Borrowers'!$C$9:$C$108,0))*(IF(F164="Transport",'Scenario Paths'!G156,IF(F164="Technology",'Scenario Paths'!G150,IF(F164="Utilities",'Scenario Paths'!G144,IF(F164="Agriculture",'Scenario Paths'!G138,IF(F164="Manufacturing",'Scenario Paths'!G132,IF(F164="Healthcare",'Scenario Paths'!G126,IF(F164="Hospitality",'Scenario Paths'!G120,IF(F164="Property",'Scenario Paths'!G114,IF(F164="Food",'Scenario Paths'!G108,IF(F164="Logistics",'Scenario Paths'!G102,IF(F164="Solar",'Scenario Paths'!G96,IF(F164="Cement",'Scenario Paths'!G90,0))))))))))))),"Unavailable"))</x:f>
      </x:c>
      <x:c r="I164" s="23" t="str">
        <x:f>IF(C164="","",IFERROR(INDEX('Borrowers'!$R$9:$R$108,MATCH(C164,'Borrowers'!$C$9:$C$108,0))*(1-INDEX('Borrowers'!$W$9:$W$108,MATCH(C164,'Borrowers'!$C$9:$C$108,0))*'Scenario Paths'!G39)*'Scenario Paths'!G9/1000000*(1-INDEX('Borrowers'!$T$9:$T$108,MATCH(C164,'Borrowers'!$C$9:$C$108,0))),"Unavailable"))</x:f>
      </x:c>
      <x:c r="J164" s="23" t="str">
        <x:f>IF(C164="","",IFERROR(INDEX('Borrowers'!$I$9:$I$108,MATCH(C164,'Borrowers'!$C$9:$C$108,0))*INDEX('Borrowers'!$S$9:$S$108,MATCH(C164,'Borrowers'!$C$9:$C$108,0))*'Scenario Paths'!G15*(1-INDEX('Borrowers'!$T$9:$T$108,MATCH(C164,'Borrowers'!$C$9:$C$108,0))),"Unavailable"))</x:f>
      </x:c>
      <x:c r="K164" s="23" t="str">
        <x:f>IF(C164="","",IFERROR(INDEX('Borrowers'!$I$9:$I$108,MATCH(C164,'Borrowers'!$C$9:$C$108,0))*INDEX('Borrowers'!$U$9:$U$108,MATCH(C164,'Borrowers'!$C$9:$C$108,0))*'Scenario Paths'!G21*S164,"Unavailable"))</x:f>
      </x:c>
      <x:c r="L164" s="23" t="str">
        <x:f>IF(C164="","",IFERROR(SUMPRODUCT((Sites!$D$9:$D$108=C164)*Sites!$H$9:$H$108*Sites!$J$9:$J$108*Sites!$K$9:$K$108*(1-Sites!$L$9:$L$108)*(1-Sites!$M$9:$M$108))*'Scenario Paths'!G27,"Unavailable"))</x:f>
      </x:c>
      <x:c r="M164" s="23" t="str">
        <x:f>IF(C164="","",IFERROR(INDEX('Borrowers'!$J$9:$J$108,MATCH(C164,'Borrowers'!$C$9:$C$108,0))+H164-SUM(I164:L164),"Unavailable"))</x:f>
      </x:c>
      <x:c r="N164" s="23" t="str">
        <x:f>IF(C164="","",IFERROR(INDEX('Borrowers'!$I$9:$I$108,MATCH(C164,'Borrowers'!$C$9:$C$108,0))*'Scenario Paths'!G33,"Unavailable"))</x:f>
      </x:c>
      <x:c r="O164" s="23" t="str">
        <x:f>IF(C164="","",IFERROR(M164-INDEX('Borrowers'!$K$9:$K$108,MATCH(C164,'Borrowers'!$C$9:$C$108,0))-N164,"Unavailable"))</x:f>
      </x:c>
      <x:c r="P164" s="127" t="str">
        <x:f>IF(C164="","",IFERROR(O164/INDEX('Borrowers'!$L$9:$L$108,MATCH(C164,'Borrowers'!$C$9:$C$108,0)),"Unavailable"))</x:f>
      </x:c>
      <x:c r="Q164" s="30" t="str">
        <x:f>IF(C164="","",IFERROR(IF(INDEX('Borrowers'!$Z$9:$Z$108,MATCH(C164,'Borrowers'!$C$9:$C$108,0))="Yes",1,IF(INDEX('Borrowers'!$P$9:$P$108,MATCH(C164,'Borrowers'!$C$9:$C$108,0))=0,0,MIN(1,INDEX('Borrowers'!$P$9:$P$108,MATCH(C164,'Borrowers'!$C$9:$C$108,0))*EXP(MIN(20,INDEX('Borrowers'!$V$9:$V$108,MATCH(C164,'Borrowers'!$C$9:$C$108,0))*V164))))),"Unavailable"))</x:f>
      </x:c>
      <x:c r="R164" s="30" t="str">
        <x:f>IF(C164="","",IFERROR(MIN(1,INDEX('Borrowers'!$Q$9:$Q$108,MATCH(C164,'Borrowers'!$C$9:$C$108,0))+(1-INDEX('Borrowers'!$Q$9:$Q$108,MATCH(C164,'Borrowers'!$C$9:$C$108,0)))*T164),"Unavailable"))</x:f>
      </x:c>
      <x:c r="S164" s="30" t="str">
        <x:f>IF(C164="","",IFERROR(SUMPRODUCT((Sites!$D$9:$D$108=C164)*Sites!$I$9:$I$108*Sites!$J$9:$J$108*Sites!$K$9:$K$108*(1-Sites!$L$9:$L$108)),"Unavailable"))</x:f>
      </x:c>
      <x:c r="T164" s="30" t="str">
        <x:f>IF(C164="","",IFERROR(MIN(1,(SUMPRODUCT((Sites!$D$9:$D$108=C164)*Sites!$N$9:$N$108*Sites!$J$9:$J$108*Sites!$K$9:$K$108*(1-Sites!$L$9:$L$108)))*'Scenario Paths'!G27),"Unavailable"))</x:f>
      </x:c>
      <x:c r="U164" s="9" t="str">
        <x:f>IF(C164="","",IF(OR(INDEX('Borrowers'!$AA$9:$AA$108,MATCH(C164,'Borrowers'!$C$9:$C$108,0))&lt;&gt;"Ready",COUNTIF(Sites!$D$9:$D$108,C164)=0,COUNTIFS(Sites!$D$9:$D$108,C164,Sites!$Q$9:$Q$108,"&lt;&gt;Ready")&gt;0,'Scenario Paths'!$F$6&lt;&gt;"Ready"),"Review source inputs","Ready"))</x:f>
      </x:c>
      <x:c r="V164" s="17" t="str">
        <x:f>IF(C164="","",IFERROR(MAX(-1,(G164-O164)/MAX(0.000001,G164)),"Unavailable"))</x:f>
      </x:c>
      <x:c r="W164" s="9" t="str">
        <x:f>IF(C164="","",IFERROR(INDEX('Borrowers'!$D$9:$D$108,MATCH(C164,'Borrowers'!$C$9:$C$108,0)),"Unavailable"))</x:f>
      </x:c>
    </x:row>
    <x:row r="165" ht="26" customHeight="1">
      <x:c r="A165" s="1"/>
      <x:c r="B165" s="1"/>
      <x:c r="C165" s="9" t="str">
        <x:f>IF(Borrowers!C65="","",Borrowers!C65)</x:f>
      </x:c>
      <x:c r="D165" s="3" t="n">
        <x:v>2</x:v>
      </x:c>
      <x:c r="E165" s="9" t="n">
        <x:f>Settings!$F$18+1</x:f>
        <x:v>2028</x:v>
      </x:c>
      <x:c r="F165" s="9" t="str">
        <x:f>IF(C165="","",INDEX('Borrowers'!$F$9:$F$108,MATCH(C165,'Borrowers'!$C$9:$C$108,0)))</x:f>
      </x:c>
      <x:c r="G165" s="23" t="str">
        <x:f>IF(C165="","",IFERROR(INDEX('Borrowers'!$J$9:$J$108,MATCH(C165,'Borrowers'!$C$9:$C$108,0))-INDEX('Borrowers'!$K$9:$K$108,MATCH(C165,'Borrowers'!$C$9:$C$108,0)),"Unavailable"))</x:f>
      </x:c>
      <x:c r="H165" s="23" t="str">
        <x:f>IF(C165="","",IFERROR(INDEX('Borrowers'!$I$9:$I$108,MATCH(C165,'Borrowers'!$C$9:$C$108,0))*INDEX('Borrowers'!$U$9:$U$108,MATCH(C165,'Borrowers'!$C$9:$C$108,0))*(IF(F165="Transport",'Scenario Paths'!G156,IF(F165="Technology",'Scenario Paths'!G150,IF(F165="Utilities",'Scenario Paths'!G144,IF(F165="Agriculture",'Scenario Paths'!G138,IF(F165="Manufacturing",'Scenario Paths'!G132,IF(F165="Healthcare",'Scenario Paths'!G126,IF(F165="Hospitality",'Scenario Paths'!G120,IF(F165="Property",'Scenario Paths'!G114,IF(F165="Food",'Scenario Paths'!G108,IF(F165="Logistics",'Scenario Paths'!G102,IF(F165="Solar",'Scenario Paths'!G96,IF(F165="Cement",'Scenario Paths'!G90,0))))))))))))),"Unavailable"))</x:f>
      </x:c>
      <x:c r="I165" s="23" t="str">
        <x:f>IF(C165="","",IFERROR(INDEX('Borrowers'!$R$9:$R$108,MATCH(C165,'Borrowers'!$C$9:$C$108,0))*(1-INDEX('Borrowers'!$W$9:$W$108,MATCH(C165,'Borrowers'!$C$9:$C$108,0))*'Scenario Paths'!G39)*'Scenario Paths'!G9/1000000*(1-INDEX('Borrowers'!$T$9:$T$108,MATCH(C165,'Borrowers'!$C$9:$C$108,0))),"Unavailable"))</x:f>
      </x:c>
      <x:c r="J165" s="23" t="str">
        <x:f>IF(C165="","",IFERROR(INDEX('Borrowers'!$I$9:$I$108,MATCH(C165,'Borrowers'!$C$9:$C$108,0))*INDEX('Borrowers'!$S$9:$S$108,MATCH(C165,'Borrowers'!$C$9:$C$108,0))*'Scenario Paths'!G15*(1-INDEX('Borrowers'!$T$9:$T$108,MATCH(C165,'Borrowers'!$C$9:$C$108,0))),"Unavailable"))</x:f>
      </x:c>
      <x:c r="K165" s="23" t="str">
        <x:f>IF(C165="","",IFERROR(INDEX('Borrowers'!$I$9:$I$108,MATCH(C165,'Borrowers'!$C$9:$C$108,0))*INDEX('Borrowers'!$U$9:$U$108,MATCH(C165,'Borrowers'!$C$9:$C$108,0))*'Scenario Paths'!G21*S165,"Unavailable"))</x:f>
      </x:c>
      <x:c r="L165" s="23" t="str">
        <x:f>IF(C165="","",IFERROR(SUMPRODUCT((Sites!$D$9:$D$108=C165)*Sites!$H$9:$H$108*Sites!$J$9:$J$108*Sites!$K$9:$K$108*(1-Sites!$L$9:$L$108)*(1-Sites!$M$9:$M$108))*'Scenario Paths'!G27,"Unavailable"))</x:f>
      </x:c>
      <x:c r="M165" s="23" t="str">
        <x:f>IF(C165="","",IFERROR(INDEX('Borrowers'!$J$9:$J$108,MATCH(C165,'Borrowers'!$C$9:$C$108,0))+H165-SUM(I165:L165),"Unavailable"))</x:f>
      </x:c>
      <x:c r="N165" s="23" t="str">
        <x:f>IF(C165="","",IFERROR(INDEX('Borrowers'!$I$9:$I$108,MATCH(C165,'Borrowers'!$C$9:$C$108,0))*'Scenario Paths'!G33,"Unavailable"))</x:f>
      </x:c>
      <x:c r="O165" s="23" t="str">
        <x:f>IF(C165="","",IFERROR(M165-INDEX('Borrowers'!$K$9:$K$108,MATCH(C165,'Borrowers'!$C$9:$C$108,0))-N165,"Unavailable"))</x:f>
      </x:c>
      <x:c r="P165" s="127" t="str">
        <x:f>IF(C165="","",IFERROR(O165/INDEX('Borrowers'!$L$9:$L$108,MATCH(C165,'Borrowers'!$C$9:$C$108,0)),"Unavailable"))</x:f>
      </x:c>
      <x:c r="Q165" s="30" t="str">
        <x:f>IF(C165="","",IFERROR(IF(INDEX('Borrowers'!$Z$9:$Z$108,MATCH(C165,'Borrowers'!$C$9:$C$108,0))="Yes",1,IF(INDEX('Borrowers'!$P$9:$P$108,MATCH(C165,'Borrowers'!$C$9:$C$108,0))=0,0,MIN(1,INDEX('Borrowers'!$P$9:$P$108,MATCH(C165,'Borrowers'!$C$9:$C$108,0))*EXP(MIN(20,INDEX('Borrowers'!$V$9:$V$108,MATCH(C165,'Borrowers'!$C$9:$C$108,0))*V165))))),"Unavailable"))</x:f>
      </x:c>
      <x:c r="R165" s="30" t="str">
        <x:f>IF(C165="","",IFERROR(MIN(1,INDEX('Borrowers'!$Q$9:$Q$108,MATCH(C165,'Borrowers'!$C$9:$C$108,0))+(1-INDEX('Borrowers'!$Q$9:$Q$108,MATCH(C165,'Borrowers'!$C$9:$C$108,0)))*T165),"Unavailable"))</x:f>
      </x:c>
      <x:c r="S165" s="30" t="str">
        <x:f>IF(C165="","",IFERROR(SUMPRODUCT((Sites!$D$9:$D$108=C165)*Sites!$I$9:$I$108*Sites!$J$9:$J$108*Sites!$K$9:$K$108*(1-Sites!$L$9:$L$108)),"Unavailable"))</x:f>
      </x:c>
      <x:c r="T165" s="30" t="str">
        <x:f>IF(C165="","",IFERROR(MIN(1,(SUMPRODUCT((Sites!$D$9:$D$108=C165)*Sites!$N$9:$N$108*Sites!$J$9:$J$108*Sites!$K$9:$K$108*(1-Sites!$L$9:$L$108)))*'Scenario Paths'!G27),"Unavailable"))</x:f>
      </x:c>
      <x:c r="U165" s="9" t="str">
        <x:f>IF(C165="","",IF(OR(INDEX('Borrowers'!$AA$9:$AA$108,MATCH(C165,'Borrowers'!$C$9:$C$108,0))&lt;&gt;"Ready",COUNTIF(Sites!$D$9:$D$108,C165)=0,COUNTIFS(Sites!$D$9:$D$108,C165,Sites!$Q$9:$Q$108,"&lt;&gt;Ready")&gt;0,'Scenario Paths'!$F$6&lt;&gt;"Ready"),"Review source inputs","Ready"))</x:f>
      </x:c>
      <x:c r="V165" s="17" t="str">
        <x:f>IF(C165="","",IFERROR(MAX(-1,(G165-O165)/MAX(0.000001,G165)),"Unavailable"))</x:f>
      </x:c>
      <x:c r="W165" s="9" t="str">
        <x:f>IF(C165="","",IFERROR(INDEX('Borrowers'!$D$9:$D$108,MATCH(C165,'Borrowers'!$C$9:$C$108,0)),"Unavailable"))</x:f>
      </x:c>
    </x:row>
    <x:row r="166" ht="26" customHeight="1">
      <x:c r="A166" s="1"/>
      <x:c r="B166" s="1"/>
      <x:c r="C166" s="9" t="str">
        <x:f>IF(Borrowers!C66="","",Borrowers!C66)</x:f>
      </x:c>
      <x:c r="D166" s="3" t="n">
        <x:v>2</x:v>
      </x:c>
      <x:c r="E166" s="9" t="n">
        <x:f>Settings!$F$18+1</x:f>
        <x:v>2028</x:v>
      </x:c>
      <x:c r="F166" s="9" t="str">
        <x:f>IF(C166="","",INDEX('Borrowers'!$F$9:$F$108,MATCH(C166,'Borrowers'!$C$9:$C$108,0)))</x:f>
      </x:c>
      <x:c r="G166" s="23" t="str">
        <x:f>IF(C166="","",IFERROR(INDEX('Borrowers'!$J$9:$J$108,MATCH(C166,'Borrowers'!$C$9:$C$108,0))-INDEX('Borrowers'!$K$9:$K$108,MATCH(C166,'Borrowers'!$C$9:$C$108,0)),"Unavailable"))</x:f>
      </x:c>
      <x:c r="H166" s="23" t="str">
        <x:f>IF(C166="","",IFERROR(INDEX('Borrowers'!$I$9:$I$108,MATCH(C166,'Borrowers'!$C$9:$C$108,0))*INDEX('Borrowers'!$U$9:$U$108,MATCH(C166,'Borrowers'!$C$9:$C$108,0))*(IF(F166="Transport",'Scenario Paths'!G156,IF(F166="Technology",'Scenario Paths'!G150,IF(F166="Utilities",'Scenario Paths'!G144,IF(F166="Agriculture",'Scenario Paths'!G138,IF(F166="Manufacturing",'Scenario Paths'!G132,IF(F166="Healthcare",'Scenario Paths'!G126,IF(F166="Hospitality",'Scenario Paths'!G120,IF(F166="Property",'Scenario Paths'!G114,IF(F166="Food",'Scenario Paths'!G108,IF(F166="Logistics",'Scenario Paths'!G102,IF(F166="Solar",'Scenario Paths'!G96,IF(F166="Cement",'Scenario Paths'!G90,0))))))))))))),"Unavailable"))</x:f>
      </x:c>
      <x:c r="I166" s="23" t="str">
        <x:f>IF(C166="","",IFERROR(INDEX('Borrowers'!$R$9:$R$108,MATCH(C166,'Borrowers'!$C$9:$C$108,0))*(1-INDEX('Borrowers'!$W$9:$W$108,MATCH(C166,'Borrowers'!$C$9:$C$108,0))*'Scenario Paths'!G39)*'Scenario Paths'!G9/1000000*(1-INDEX('Borrowers'!$T$9:$T$108,MATCH(C166,'Borrowers'!$C$9:$C$108,0))),"Unavailable"))</x:f>
      </x:c>
      <x:c r="J166" s="23" t="str">
        <x:f>IF(C166="","",IFERROR(INDEX('Borrowers'!$I$9:$I$108,MATCH(C166,'Borrowers'!$C$9:$C$108,0))*INDEX('Borrowers'!$S$9:$S$108,MATCH(C166,'Borrowers'!$C$9:$C$108,0))*'Scenario Paths'!G15*(1-INDEX('Borrowers'!$T$9:$T$108,MATCH(C166,'Borrowers'!$C$9:$C$108,0))),"Unavailable"))</x:f>
      </x:c>
      <x:c r="K166" s="23" t="str">
        <x:f>IF(C166="","",IFERROR(INDEX('Borrowers'!$I$9:$I$108,MATCH(C166,'Borrowers'!$C$9:$C$108,0))*INDEX('Borrowers'!$U$9:$U$108,MATCH(C166,'Borrowers'!$C$9:$C$108,0))*'Scenario Paths'!G21*S166,"Unavailable"))</x:f>
      </x:c>
      <x:c r="L166" s="23" t="str">
        <x:f>IF(C166="","",IFERROR(SUMPRODUCT((Sites!$D$9:$D$108=C166)*Sites!$H$9:$H$108*Sites!$J$9:$J$108*Sites!$K$9:$K$108*(1-Sites!$L$9:$L$108)*(1-Sites!$M$9:$M$108))*'Scenario Paths'!G27,"Unavailable"))</x:f>
      </x:c>
      <x:c r="M166" s="23" t="str">
        <x:f>IF(C166="","",IFERROR(INDEX('Borrowers'!$J$9:$J$108,MATCH(C166,'Borrowers'!$C$9:$C$108,0))+H166-SUM(I166:L166),"Unavailable"))</x:f>
      </x:c>
      <x:c r="N166" s="23" t="str">
        <x:f>IF(C166="","",IFERROR(INDEX('Borrowers'!$I$9:$I$108,MATCH(C166,'Borrowers'!$C$9:$C$108,0))*'Scenario Paths'!G33,"Unavailable"))</x:f>
      </x:c>
      <x:c r="O166" s="23" t="str">
        <x:f>IF(C166="","",IFERROR(M166-INDEX('Borrowers'!$K$9:$K$108,MATCH(C166,'Borrowers'!$C$9:$C$108,0))-N166,"Unavailable"))</x:f>
      </x:c>
      <x:c r="P166" s="127" t="str">
        <x:f>IF(C166="","",IFERROR(O166/INDEX('Borrowers'!$L$9:$L$108,MATCH(C166,'Borrowers'!$C$9:$C$108,0)),"Unavailable"))</x:f>
      </x:c>
      <x:c r="Q166" s="30" t="str">
        <x:f>IF(C166="","",IFERROR(IF(INDEX('Borrowers'!$Z$9:$Z$108,MATCH(C166,'Borrowers'!$C$9:$C$108,0))="Yes",1,IF(INDEX('Borrowers'!$P$9:$P$108,MATCH(C166,'Borrowers'!$C$9:$C$108,0))=0,0,MIN(1,INDEX('Borrowers'!$P$9:$P$108,MATCH(C166,'Borrowers'!$C$9:$C$108,0))*EXP(MIN(20,INDEX('Borrowers'!$V$9:$V$108,MATCH(C166,'Borrowers'!$C$9:$C$108,0))*V166))))),"Unavailable"))</x:f>
      </x:c>
      <x:c r="R166" s="30" t="str">
        <x:f>IF(C166="","",IFERROR(MIN(1,INDEX('Borrowers'!$Q$9:$Q$108,MATCH(C166,'Borrowers'!$C$9:$C$108,0))+(1-INDEX('Borrowers'!$Q$9:$Q$108,MATCH(C166,'Borrowers'!$C$9:$C$108,0)))*T166),"Unavailable"))</x:f>
      </x:c>
      <x:c r="S166" s="30" t="str">
        <x:f>IF(C166="","",IFERROR(SUMPRODUCT((Sites!$D$9:$D$108=C166)*Sites!$I$9:$I$108*Sites!$J$9:$J$108*Sites!$K$9:$K$108*(1-Sites!$L$9:$L$108)),"Unavailable"))</x:f>
      </x:c>
      <x:c r="T166" s="30" t="str">
        <x:f>IF(C166="","",IFERROR(MIN(1,(SUMPRODUCT((Sites!$D$9:$D$108=C166)*Sites!$N$9:$N$108*Sites!$J$9:$J$108*Sites!$K$9:$K$108*(1-Sites!$L$9:$L$108)))*'Scenario Paths'!G27),"Unavailable"))</x:f>
      </x:c>
      <x:c r="U166" s="9" t="str">
        <x:f>IF(C166="","",IF(OR(INDEX('Borrowers'!$AA$9:$AA$108,MATCH(C166,'Borrowers'!$C$9:$C$108,0))&lt;&gt;"Ready",COUNTIF(Sites!$D$9:$D$108,C166)=0,COUNTIFS(Sites!$D$9:$D$108,C166,Sites!$Q$9:$Q$108,"&lt;&gt;Ready")&gt;0,'Scenario Paths'!$F$6&lt;&gt;"Ready"),"Review source inputs","Ready"))</x:f>
      </x:c>
      <x:c r="V166" s="17" t="str">
        <x:f>IF(C166="","",IFERROR(MAX(-1,(G166-O166)/MAX(0.000001,G166)),"Unavailable"))</x:f>
      </x:c>
      <x:c r="W166" s="9" t="str">
        <x:f>IF(C166="","",IFERROR(INDEX('Borrowers'!$D$9:$D$108,MATCH(C166,'Borrowers'!$C$9:$C$108,0)),"Unavailable"))</x:f>
      </x:c>
    </x:row>
    <x:row r="167" ht="26" customHeight="1">
      <x:c r="A167" s="1"/>
      <x:c r="B167" s="1"/>
      <x:c r="C167" s="9" t="str">
        <x:f>IF(Borrowers!C67="","",Borrowers!C67)</x:f>
      </x:c>
      <x:c r="D167" s="3" t="n">
        <x:v>2</x:v>
      </x:c>
      <x:c r="E167" s="9" t="n">
        <x:f>Settings!$F$18+1</x:f>
        <x:v>2028</x:v>
      </x:c>
      <x:c r="F167" s="9" t="str">
        <x:f>IF(C167="","",INDEX('Borrowers'!$F$9:$F$108,MATCH(C167,'Borrowers'!$C$9:$C$108,0)))</x:f>
      </x:c>
      <x:c r="G167" s="23" t="str">
        <x:f>IF(C167="","",IFERROR(INDEX('Borrowers'!$J$9:$J$108,MATCH(C167,'Borrowers'!$C$9:$C$108,0))-INDEX('Borrowers'!$K$9:$K$108,MATCH(C167,'Borrowers'!$C$9:$C$108,0)),"Unavailable"))</x:f>
      </x:c>
      <x:c r="H167" s="23" t="str">
        <x:f>IF(C167="","",IFERROR(INDEX('Borrowers'!$I$9:$I$108,MATCH(C167,'Borrowers'!$C$9:$C$108,0))*INDEX('Borrowers'!$U$9:$U$108,MATCH(C167,'Borrowers'!$C$9:$C$108,0))*(IF(F167="Transport",'Scenario Paths'!G156,IF(F167="Technology",'Scenario Paths'!G150,IF(F167="Utilities",'Scenario Paths'!G144,IF(F167="Agriculture",'Scenario Paths'!G138,IF(F167="Manufacturing",'Scenario Paths'!G132,IF(F167="Healthcare",'Scenario Paths'!G126,IF(F167="Hospitality",'Scenario Paths'!G120,IF(F167="Property",'Scenario Paths'!G114,IF(F167="Food",'Scenario Paths'!G108,IF(F167="Logistics",'Scenario Paths'!G102,IF(F167="Solar",'Scenario Paths'!G96,IF(F167="Cement",'Scenario Paths'!G90,0))))))))))))),"Unavailable"))</x:f>
      </x:c>
      <x:c r="I167" s="23" t="str">
        <x:f>IF(C167="","",IFERROR(INDEX('Borrowers'!$R$9:$R$108,MATCH(C167,'Borrowers'!$C$9:$C$108,0))*(1-INDEX('Borrowers'!$W$9:$W$108,MATCH(C167,'Borrowers'!$C$9:$C$108,0))*'Scenario Paths'!G39)*'Scenario Paths'!G9/1000000*(1-INDEX('Borrowers'!$T$9:$T$108,MATCH(C167,'Borrowers'!$C$9:$C$108,0))),"Unavailable"))</x:f>
      </x:c>
      <x:c r="J167" s="23" t="str">
        <x:f>IF(C167="","",IFERROR(INDEX('Borrowers'!$I$9:$I$108,MATCH(C167,'Borrowers'!$C$9:$C$108,0))*INDEX('Borrowers'!$S$9:$S$108,MATCH(C167,'Borrowers'!$C$9:$C$108,0))*'Scenario Paths'!G15*(1-INDEX('Borrowers'!$T$9:$T$108,MATCH(C167,'Borrowers'!$C$9:$C$108,0))),"Unavailable"))</x:f>
      </x:c>
      <x:c r="K167" s="23" t="str">
        <x:f>IF(C167="","",IFERROR(INDEX('Borrowers'!$I$9:$I$108,MATCH(C167,'Borrowers'!$C$9:$C$108,0))*INDEX('Borrowers'!$U$9:$U$108,MATCH(C167,'Borrowers'!$C$9:$C$108,0))*'Scenario Paths'!G21*S167,"Unavailable"))</x:f>
      </x:c>
      <x:c r="L167" s="23" t="str">
        <x:f>IF(C167="","",IFERROR(SUMPRODUCT((Sites!$D$9:$D$108=C167)*Sites!$H$9:$H$108*Sites!$J$9:$J$108*Sites!$K$9:$K$108*(1-Sites!$L$9:$L$108)*(1-Sites!$M$9:$M$108))*'Scenario Paths'!G27,"Unavailable"))</x:f>
      </x:c>
      <x:c r="M167" s="23" t="str">
        <x:f>IF(C167="","",IFERROR(INDEX('Borrowers'!$J$9:$J$108,MATCH(C167,'Borrowers'!$C$9:$C$108,0))+H167-SUM(I167:L167),"Unavailable"))</x:f>
      </x:c>
      <x:c r="N167" s="23" t="str">
        <x:f>IF(C167="","",IFERROR(INDEX('Borrowers'!$I$9:$I$108,MATCH(C167,'Borrowers'!$C$9:$C$108,0))*'Scenario Paths'!G33,"Unavailable"))</x:f>
      </x:c>
      <x:c r="O167" s="23" t="str">
        <x:f>IF(C167="","",IFERROR(M167-INDEX('Borrowers'!$K$9:$K$108,MATCH(C167,'Borrowers'!$C$9:$C$108,0))-N167,"Unavailable"))</x:f>
      </x:c>
      <x:c r="P167" s="127" t="str">
        <x:f>IF(C167="","",IFERROR(O167/INDEX('Borrowers'!$L$9:$L$108,MATCH(C167,'Borrowers'!$C$9:$C$108,0)),"Unavailable"))</x:f>
      </x:c>
      <x:c r="Q167" s="30" t="str">
        <x:f>IF(C167="","",IFERROR(IF(INDEX('Borrowers'!$Z$9:$Z$108,MATCH(C167,'Borrowers'!$C$9:$C$108,0))="Yes",1,IF(INDEX('Borrowers'!$P$9:$P$108,MATCH(C167,'Borrowers'!$C$9:$C$108,0))=0,0,MIN(1,INDEX('Borrowers'!$P$9:$P$108,MATCH(C167,'Borrowers'!$C$9:$C$108,0))*EXP(MIN(20,INDEX('Borrowers'!$V$9:$V$108,MATCH(C167,'Borrowers'!$C$9:$C$108,0))*V167))))),"Unavailable"))</x:f>
      </x:c>
      <x:c r="R167" s="30" t="str">
        <x:f>IF(C167="","",IFERROR(MIN(1,INDEX('Borrowers'!$Q$9:$Q$108,MATCH(C167,'Borrowers'!$C$9:$C$108,0))+(1-INDEX('Borrowers'!$Q$9:$Q$108,MATCH(C167,'Borrowers'!$C$9:$C$108,0)))*T167),"Unavailable"))</x:f>
      </x:c>
      <x:c r="S167" s="30" t="str">
        <x:f>IF(C167="","",IFERROR(SUMPRODUCT((Sites!$D$9:$D$108=C167)*Sites!$I$9:$I$108*Sites!$J$9:$J$108*Sites!$K$9:$K$108*(1-Sites!$L$9:$L$108)),"Unavailable"))</x:f>
      </x:c>
      <x:c r="T167" s="30" t="str">
        <x:f>IF(C167="","",IFERROR(MIN(1,(SUMPRODUCT((Sites!$D$9:$D$108=C167)*Sites!$N$9:$N$108*Sites!$J$9:$J$108*Sites!$K$9:$K$108*(1-Sites!$L$9:$L$108)))*'Scenario Paths'!G27),"Unavailable"))</x:f>
      </x:c>
      <x:c r="U167" s="9" t="str">
        <x:f>IF(C167="","",IF(OR(INDEX('Borrowers'!$AA$9:$AA$108,MATCH(C167,'Borrowers'!$C$9:$C$108,0))&lt;&gt;"Ready",COUNTIF(Sites!$D$9:$D$108,C167)=0,COUNTIFS(Sites!$D$9:$D$108,C167,Sites!$Q$9:$Q$108,"&lt;&gt;Ready")&gt;0,'Scenario Paths'!$F$6&lt;&gt;"Ready"),"Review source inputs","Ready"))</x:f>
      </x:c>
      <x:c r="V167" s="17" t="str">
        <x:f>IF(C167="","",IFERROR(MAX(-1,(G167-O167)/MAX(0.000001,G167)),"Unavailable"))</x:f>
      </x:c>
      <x:c r="W167" s="9" t="str">
        <x:f>IF(C167="","",IFERROR(INDEX('Borrowers'!$D$9:$D$108,MATCH(C167,'Borrowers'!$C$9:$C$108,0)),"Unavailable"))</x:f>
      </x:c>
    </x:row>
    <x:row r="168" ht="26" customHeight="1">
      <x:c r="A168" s="1"/>
      <x:c r="B168" s="1"/>
      <x:c r="C168" s="9" t="str">
        <x:f>IF(Borrowers!C68="","",Borrowers!C68)</x:f>
      </x:c>
      <x:c r="D168" s="3" t="n">
        <x:v>2</x:v>
      </x:c>
      <x:c r="E168" s="9" t="n">
        <x:f>Settings!$F$18+1</x:f>
        <x:v>2028</x:v>
      </x:c>
      <x:c r="F168" s="9" t="str">
        <x:f>IF(C168="","",INDEX('Borrowers'!$F$9:$F$108,MATCH(C168,'Borrowers'!$C$9:$C$108,0)))</x:f>
      </x:c>
      <x:c r="G168" s="23" t="str">
        <x:f>IF(C168="","",IFERROR(INDEX('Borrowers'!$J$9:$J$108,MATCH(C168,'Borrowers'!$C$9:$C$108,0))-INDEX('Borrowers'!$K$9:$K$108,MATCH(C168,'Borrowers'!$C$9:$C$108,0)),"Unavailable"))</x:f>
      </x:c>
      <x:c r="H168" s="23" t="str">
        <x:f>IF(C168="","",IFERROR(INDEX('Borrowers'!$I$9:$I$108,MATCH(C168,'Borrowers'!$C$9:$C$108,0))*INDEX('Borrowers'!$U$9:$U$108,MATCH(C168,'Borrowers'!$C$9:$C$108,0))*(IF(F168="Transport",'Scenario Paths'!G156,IF(F168="Technology",'Scenario Paths'!G150,IF(F168="Utilities",'Scenario Paths'!G144,IF(F168="Agriculture",'Scenario Paths'!G138,IF(F168="Manufacturing",'Scenario Paths'!G132,IF(F168="Healthcare",'Scenario Paths'!G126,IF(F168="Hospitality",'Scenario Paths'!G120,IF(F168="Property",'Scenario Paths'!G114,IF(F168="Food",'Scenario Paths'!G108,IF(F168="Logistics",'Scenario Paths'!G102,IF(F168="Solar",'Scenario Paths'!G96,IF(F168="Cement",'Scenario Paths'!G90,0))))))))))))),"Unavailable"))</x:f>
      </x:c>
      <x:c r="I168" s="23" t="str">
        <x:f>IF(C168="","",IFERROR(INDEX('Borrowers'!$R$9:$R$108,MATCH(C168,'Borrowers'!$C$9:$C$108,0))*(1-INDEX('Borrowers'!$W$9:$W$108,MATCH(C168,'Borrowers'!$C$9:$C$108,0))*'Scenario Paths'!G39)*'Scenario Paths'!G9/1000000*(1-INDEX('Borrowers'!$T$9:$T$108,MATCH(C168,'Borrowers'!$C$9:$C$108,0))),"Unavailable"))</x:f>
      </x:c>
      <x:c r="J168" s="23" t="str">
        <x:f>IF(C168="","",IFERROR(INDEX('Borrowers'!$I$9:$I$108,MATCH(C168,'Borrowers'!$C$9:$C$108,0))*INDEX('Borrowers'!$S$9:$S$108,MATCH(C168,'Borrowers'!$C$9:$C$108,0))*'Scenario Paths'!G15*(1-INDEX('Borrowers'!$T$9:$T$108,MATCH(C168,'Borrowers'!$C$9:$C$108,0))),"Unavailable"))</x:f>
      </x:c>
      <x:c r="K168" s="23" t="str">
        <x:f>IF(C168="","",IFERROR(INDEX('Borrowers'!$I$9:$I$108,MATCH(C168,'Borrowers'!$C$9:$C$108,0))*INDEX('Borrowers'!$U$9:$U$108,MATCH(C168,'Borrowers'!$C$9:$C$108,0))*'Scenario Paths'!G21*S168,"Unavailable"))</x:f>
      </x:c>
      <x:c r="L168" s="23" t="str">
        <x:f>IF(C168="","",IFERROR(SUMPRODUCT((Sites!$D$9:$D$108=C168)*Sites!$H$9:$H$108*Sites!$J$9:$J$108*Sites!$K$9:$K$108*(1-Sites!$L$9:$L$108)*(1-Sites!$M$9:$M$108))*'Scenario Paths'!G27,"Unavailable"))</x:f>
      </x:c>
      <x:c r="M168" s="23" t="str">
        <x:f>IF(C168="","",IFERROR(INDEX('Borrowers'!$J$9:$J$108,MATCH(C168,'Borrowers'!$C$9:$C$108,0))+H168-SUM(I168:L168),"Unavailable"))</x:f>
      </x:c>
      <x:c r="N168" s="23" t="str">
        <x:f>IF(C168="","",IFERROR(INDEX('Borrowers'!$I$9:$I$108,MATCH(C168,'Borrowers'!$C$9:$C$108,0))*'Scenario Paths'!G33,"Unavailable"))</x:f>
      </x:c>
      <x:c r="O168" s="23" t="str">
        <x:f>IF(C168="","",IFERROR(M168-INDEX('Borrowers'!$K$9:$K$108,MATCH(C168,'Borrowers'!$C$9:$C$108,0))-N168,"Unavailable"))</x:f>
      </x:c>
      <x:c r="P168" s="127" t="str">
        <x:f>IF(C168="","",IFERROR(O168/INDEX('Borrowers'!$L$9:$L$108,MATCH(C168,'Borrowers'!$C$9:$C$108,0)),"Unavailable"))</x:f>
      </x:c>
      <x:c r="Q168" s="30" t="str">
        <x:f>IF(C168="","",IFERROR(IF(INDEX('Borrowers'!$Z$9:$Z$108,MATCH(C168,'Borrowers'!$C$9:$C$108,0))="Yes",1,IF(INDEX('Borrowers'!$P$9:$P$108,MATCH(C168,'Borrowers'!$C$9:$C$108,0))=0,0,MIN(1,INDEX('Borrowers'!$P$9:$P$108,MATCH(C168,'Borrowers'!$C$9:$C$108,0))*EXP(MIN(20,INDEX('Borrowers'!$V$9:$V$108,MATCH(C168,'Borrowers'!$C$9:$C$108,0))*V168))))),"Unavailable"))</x:f>
      </x:c>
      <x:c r="R168" s="30" t="str">
        <x:f>IF(C168="","",IFERROR(MIN(1,INDEX('Borrowers'!$Q$9:$Q$108,MATCH(C168,'Borrowers'!$C$9:$C$108,0))+(1-INDEX('Borrowers'!$Q$9:$Q$108,MATCH(C168,'Borrowers'!$C$9:$C$108,0)))*T168),"Unavailable"))</x:f>
      </x:c>
      <x:c r="S168" s="30" t="str">
        <x:f>IF(C168="","",IFERROR(SUMPRODUCT((Sites!$D$9:$D$108=C168)*Sites!$I$9:$I$108*Sites!$J$9:$J$108*Sites!$K$9:$K$108*(1-Sites!$L$9:$L$108)),"Unavailable"))</x:f>
      </x:c>
      <x:c r="T168" s="30" t="str">
        <x:f>IF(C168="","",IFERROR(MIN(1,(SUMPRODUCT((Sites!$D$9:$D$108=C168)*Sites!$N$9:$N$108*Sites!$J$9:$J$108*Sites!$K$9:$K$108*(1-Sites!$L$9:$L$108)))*'Scenario Paths'!G27),"Unavailable"))</x:f>
      </x:c>
      <x:c r="U168" s="9" t="str">
        <x:f>IF(C168="","",IF(OR(INDEX('Borrowers'!$AA$9:$AA$108,MATCH(C168,'Borrowers'!$C$9:$C$108,0))&lt;&gt;"Ready",COUNTIF(Sites!$D$9:$D$108,C168)=0,COUNTIFS(Sites!$D$9:$D$108,C168,Sites!$Q$9:$Q$108,"&lt;&gt;Ready")&gt;0,'Scenario Paths'!$F$6&lt;&gt;"Ready"),"Review source inputs","Ready"))</x:f>
      </x:c>
      <x:c r="V168" s="17" t="str">
        <x:f>IF(C168="","",IFERROR(MAX(-1,(G168-O168)/MAX(0.000001,G168)),"Unavailable"))</x:f>
      </x:c>
      <x:c r="W168" s="9" t="str">
        <x:f>IF(C168="","",IFERROR(INDEX('Borrowers'!$D$9:$D$108,MATCH(C168,'Borrowers'!$C$9:$C$108,0)),"Unavailable"))</x:f>
      </x:c>
    </x:row>
    <x:row r="169" ht="26" customHeight="1">
      <x:c r="A169" s="1"/>
      <x:c r="B169" s="1"/>
      <x:c r="C169" s="9" t="str">
        <x:f>IF(Borrowers!C69="","",Borrowers!C69)</x:f>
      </x:c>
      <x:c r="D169" s="3" t="n">
        <x:v>2</x:v>
      </x:c>
      <x:c r="E169" s="9" t="n">
        <x:f>Settings!$F$18+1</x:f>
        <x:v>2028</x:v>
      </x:c>
      <x:c r="F169" s="9" t="str">
        <x:f>IF(C169="","",INDEX('Borrowers'!$F$9:$F$108,MATCH(C169,'Borrowers'!$C$9:$C$108,0)))</x:f>
      </x:c>
      <x:c r="G169" s="23" t="str">
        <x:f>IF(C169="","",IFERROR(INDEX('Borrowers'!$J$9:$J$108,MATCH(C169,'Borrowers'!$C$9:$C$108,0))-INDEX('Borrowers'!$K$9:$K$108,MATCH(C169,'Borrowers'!$C$9:$C$108,0)),"Unavailable"))</x:f>
      </x:c>
      <x:c r="H169" s="23" t="str">
        <x:f>IF(C169="","",IFERROR(INDEX('Borrowers'!$I$9:$I$108,MATCH(C169,'Borrowers'!$C$9:$C$108,0))*INDEX('Borrowers'!$U$9:$U$108,MATCH(C169,'Borrowers'!$C$9:$C$108,0))*(IF(F169="Transport",'Scenario Paths'!G156,IF(F169="Technology",'Scenario Paths'!G150,IF(F169="Utilities",'Scenario Paths'!G144,IF(F169="Agriculture",'Scenario Paths'!G138,IF(F169="Manufacturing",'Scenario Paths'!G132,IF(F169="Healthcare",'Scenario Paths'!G126,IF(F169="Hospitality",'Scenario Paths'!G120,IF(F169="Property",'Scenario Paths'!G114,IF(F169="Food",'Scenario Paths'!G108,IF(F169="Logistics",'Scenario Paths'!G102,IF(F169="Solar",'Scenario Paths'!G96,IF(F169="Cement",'Scenario Paths'!G90,0))))))))))))),"Unavailable"))</x:f>
      </x:c>
      <x:c r="I169" s="23" t="str">
        <x:f>IF(C169="","",IFERROR(INDEX('Borrowers'!$R$9:$R$108,MATCH(C169,'Borrowers'!$C$9:$C$108,0))*(1-INDEX('Borrowers'!$W$9:$W$108,MATCH(C169,'Borrowers'!$C$9:$C$108,0))*'Scenario Paths'!G39)*'Scenario Paths'!G9/1000000*(1-INDEX('Borrowers'!$T$9:$T$108,MATCH(C169,'Borrowers'!$C$9:$C$108,0))),"Unavailable"))</x:f>
      </x:c>
      <x:c r="J169" s="23" t="str">
        <x:f>IF(C169="","",IFERROR(INDEX('Borrowers'!$I$9:$I$108,MATCH(C169,'Borrowers'!$C$9:$C$108,0))*INDEX('Borrowers'!$S$9:$S$108,MATCH(C169,'Borrowers'!$C$9:$C$108,0))*'Scenario Paths'!G15*(1-INDEX('Borrowers'!$T$9:$T$108,MATCH(C169,'Borrowers'!$C$9:$C$108,0))),"Unavailable"))</x:f>
      </x:c>
      <x:c r="K169" s="23" t="str">
        <x:f>IF(C169="","",IFERROR(INDEX('Borrowers'!$I$9:$I$108,MATCH(C169,'Borrowers'!$C$9:$C$108,0))*INDEX('Borrowers'!$U$9:$U$108,MATCH(C169,'Borrowers'!$C$9:$C$108,0))*'Scenario Paths'!G21*S169,"Unavailable"))</x:f>
      </x:c>
      <x:c r="L169" s="23" t="str">
        <x:f>IF(C169="","",IFERROR(SUMPRODUCT((Sites!$D$9:$D$108=C169)*Sites!$H$9:$H$108*Sites!$J$9:$J$108*Sites!$K$9:$K$108*(1-Sites!$L$9:$L$108)*(1-Sites!$M$9:$M$108))*'Scenario Paths'!G27,"Unavailable"))</x:f>
      </x:c>
      <x:c r="M169" s="23" t="str">
        <x:f>IF(C169="","",IFERROR(INDEX('Borrowers'!$J$9:$J$108,MATCH(C169,'Borrowers'!$C$9:$C$108,0))+H169-SUM(I169:L169),"Unavailable"))</x:f>
      </x:c>
      <x:c r="N169" s="23" t="str">
        <x:f>IF(C169="","",IFERROR(INDEX('Borrowers'!$I$9:$I$108,MATCH(C169,'Borrowers'!$C$9:$C$108,0))*'Scenario Paths'!G33,"Unavailable"))</x:f>
      </x:c>
      <x:c r="O169" s="23" t="str">
        <x:f>IF(C169="","",IFERROR(M169-INDEX('Borrowers'!$K$9:$K$108,MATCH(C169,'Borrowers'!$C$9:$C$108,0))-N169,"Unavailable"))</x:f>
      </x:c>
      <x:c r="P169" s="127" t="str">
        <x:f>IF(C169="","",IFERROR(O169/INDEX('Borrowers'!$L$9:$L$108,MATCH(C169,'Borrowers'!$C$9:$C$108,0)),"Unavailable"))</x:f>
      </x:c>
      <x:c r="Q169" s="30" t="str">
        <x:f>IF(C169="","",IFERROR(IF(INDEX('Borrowers'!$Z$9:$Z$108,MATCH(C169,'Borrowers'!$C$9:$C$108,0))="Yes",1,IF(INDEX('Borrowers'!$P$9:$P$108,MATCH(C169,'Borrowers'!$C$9:$C$108,0))=0,0,MIN(1,INDEX('Borrowers'!$P$9:$P$108,MATCH(C169,'Borrowers'!$C$9:$C$108,0))*EXP(MIN(20,INDEX('Borrowers'!$V$9:$V$108,MATCH(C169,'Borrowers'!$C$9:$C$108,0))*V169))))),"Unavailable"))</x:f>
      </x:c>
      <x:c r="R169" s="30" t="str">
        <x:f>IF(C169="","",IFERROR(MIN(1,INDEX('Borrowers'!$Q$9:$Q$108,MATCH(C169,'Borrowers'!$C$9:$C$108,0))+(1-INDEX('Borrowers'!$Q$9:$Q$108,MATCH(C169,'Borrowers'!$C$9:$C$108,0)))*T169),"Unavailable"))</x:f>
      </x:c>
      <x:c r="S169" s="30" t="str">
        <x:f>IF(C169="","",IFERROR(SUMPRODUCT((Sites!$D$9:$D$108=C169)*Sites!$I$9:$I$108*Sites!$J$9:$J$108*Sites!$K$9:$K$108*(1-Sites!$L$9:$L$108)),"Unavailable"))</x:f>
      </x:c>
      <x:c r="T169" s="30" t="str">
        <x:f>IF(C169="","",IFERROR(MIN(1,(SUMPRODUCT((Sites!$D$9:$D$108=C169)*Sites!$N$9:$N$108*Sites!$J$9:$J$108*Sites!$K$9:$K$108*(1-Sites!$L$9:$L$108)))*'Scenario Paths'!G27),"Unavailable"))</x:f>
      </x:c>
      <x:c r="U169" s="9" t="str">
        <x:f>IF(C169="","",IF(OR(INDEX('Borrowers'!$AA$9:$AA$108,MATCH(C169,'Borrowers'!$C$9:$C$108,0))&lt;&gt;"Ready",COUNTIF(Sites!$D$9:$D$108,C169)=0,COUNTIFS(Sites!$D$9:$D$108,C169,Sites!$Q$9:$Q$108,"&lt;&gt;Ready")&gt;0,'Scenario Paths'!$F$6&lt;&gt;"Ready"),"Review source inputs","Ready"))</x:f>
      </x:c>
      <x:c r="V169" s="17" t="str">
        <x:f>IF(C169="","",IFERROR(MAX(-1,(G169-O169)/MAX(0.000001,G169)),"Unavailable"))</x:f>
      </x:c>
      <x:c r="W169" s="9" t="str">
        <x:f>IF(C169="","",IFERROR(INDEX('Borrowers'!$D$9:$D$108,MATCH(C169,'Borrowers'!$C$9:$C$108,0)),"Unavailable"))</x:f>
      </x:c>
    </x:row>
    <x:row r="170" ht="26" customHeight="1">
      <x:c r="A170" s="1"/>
      <x:c r="B170" s="1"/>
      <x:c r="C170" s="9" t="str">
        <x:f>IF(Borrowers!C70="","",Borrowers!C70)</x:f>
      </x:c>
      <x:c r="D170" s="3" t="n">
        <x:v>2</x:v>
      </x:c>
      <x:c r="E170" s="9" t="n">
        <x:f>Settings!$F$18+1</x:f>
        <x:v>2028</x:v>
      </x:c>
      <x:c r="F170" s="9" t="str">
        <x:f>IF(C170="","",INDEX('Borrowers'!$F$9:$F$108,MATCH(C170,'Borrowers'!$C$9:$C$108,0)))</x:f>
      </x:c>
      <x:c r="G170" s="23" t="str">
        <x:f>IF(C170="","",IFERROR(INDEX('Borrowers'!$J$9:$J$108,MATCH(C170,'Borrowers'!$C$9:$C$108,0))-INDEX('Borrowers'!$K$9:$K$108,MATCH(C170,'Borrowers'!$C$9:$C$108,0)),"Unavailable"))</x:f>
      </x:c>
      <x:c r="H170" s="23" t="str">
        <x:f>IF(C170="","",IFERROR(INDEX('Borrowers'!$I$9:$I$108,MATCH(C170,'Borrowers'!$C$9:$C$108,0))*INDEX('Borrowers'!$U$9:$U$108,MATCH(C170,'Borrowers'!$C$9:$C$108,0))*(IF(F170="Transport",'Scenario Paths'!G156,IF(F170="Technology",'Scenario Paths'!G150,IF(F170="Utilities",'Scenario Paths'!G144,IF(F170="Agriculture",'Scenario Paths'!G138,IF(F170="Manufacturing",'Scenario Paths'!G132,IF(F170="Healthcare",'Scenario Paths'!G126,IF(F170="Hospitality",'Scenario Paths'!G120,IF(F170="Property",'Scenario Paths'!G114,IF(F170="Food",'Scenario Paths'!G108,IF(F170="Logistics",'Scenario Paths'!G102,IF(F170="Solar",'Scenario Paths'!G96,IF(F170="Cement",'Scenario Paths'!G90,0))))))))))))),"Unavailable"))</x:f>
      </x:c>
      <x:c r="I170" s="23" t="str">
        <x:f>IF(C170="","",IFERROR(INDEX('Borrowers'!$R$9:$R$108,MATCH(C170,'Borrowers'!$C$9:$C$108,0))*(1-INDEX('Borrowers'!$W$9:$W$108,MATCH(C170,'Borrowers'!$C$9:$C$108,0))*'Scenario Paths'!G39)*'Scenario Paths'!G9/1000000*(1-INDEX('Borrowers'!$T$9:$T$108,MATCH(C170,'Borrowers'!$C$9:$C$108,0))),"Unavailable"))</x:f>
      </x:c>
      <x:c r="J170" s="23" t="str">
        <x:f>IF(C170="","",IFERROR(INDEX('Borrowers'!$I$9:$I$108,MATCH(C170,'Borrowers'!$C$9:$C$108,0))*INDEX('Borrowers'!$S$9:$S$108,MATCH(C170,'Borrowers'!$C$9:$C$108,0))*'Scenario Paths'!G15*(1-INDEX('Borrowers'!$T$9:$T$108,MATCH(C170,'Borrowers'!$C$9:$C$108,0))),"Unavailable"))</x:f>
      </x:c>
      <x:c r="K170" s="23" t="str">
        <x:f>IF(C170="","",IFERROR(INDEX('Borrowers'!$I$9:$I$108,MATCH(C170,'Borrowers'!$C$9:$C$108,0))*INDEX('Borrowers'!$U$9:$U$108,MATCH(C170,'Borrowers'!$C$9:$C$108,0))*'Scenario Paths'!G21*S170,"Unavailable"))</x:f>
      </x:c>
      <x:c r="L170" s="23" t="str">
        <x:f>IF(C170="","",IFERROR(SUMPRODUCT((Sites!$D$9:$D$108=C170)*Sites!$H$9:$H$108*Sites!$J$9:$J$108*Sites!$K$9:$K$108*(1-Sites!$L$9:$L$108)*(1-Sites!$M$9:$M$108))*'Scenario Paths'!G27,"Unavailable"))</x:f>
      </x:c>
      <x:c r="M170" s="23" t="str">
        <x:f>IF(C170="","",IFERROR(INDEX('Borrowers'!$J$9:$J$108,MATCH(C170,'Borrowers'!$C$9:$C$108,0))+H170-SUM(I170:L170),"Unavailable"))</x:f>
      </x:c>
      <x:c r="N170" s="23" t="str">
        <x:f>IF(C170="","",IFERROR(INDEX('Borrowers'!$I$9:$I$108,MATCH(C170,'Borrowers'!$C$9:$C$108,0))*'Scenario Paths'!G33,"Unavailable"))</x:f>
      </x:c>
      <x:c r="O170" s="23" t="str">
        <x:f>IF(C170="","",IFERROR(M170-INDEX('Borrowers'!$K$9:$K$108,MATCH(C170,'Borrowers'!$C$9:$C$108,0))-N170,"Unavailable"))</x:f>
      </x:c>
      <x:c r="P170" s="127" t="str">
        <x:f>IF(C170="","",IFERROR(O170/INDEX('Borrowers'!$L$9:$L$108,MATCH(C170,'Borrowers'!$C$9:$C$108,0)),"Unavailable"))</x:f>
      </x:c>
      <x:c r="Q170" s="30" t="str">
        <x:f>IF(C170="","",IFERROR(IF(INDEX('Borrowers'!$Z$9:$Z$108,MATCH(C170,'Borrowers'!$C$9:$C$108,0))="Yes",1,IF(INDEX('Borrowers'!$P$9:$P$108,MATCH(C170,'Borrowers'!$C$9:$C$108,0))=0,0,MIN(1,INDEX('Borrowers'!$P$9:$P$108,MATCH(C170,'Borrowers'!$C$9:$C$108,0))*EXP(MIN(20,INDEX('Borrowers'!$V$9:$V$108,MATCH(C170,'Borrowers'!$C$9:$C$108,0))*V170))))),"Unavailable"))</x:f>
      </x:c>
      <x:c r="R170" s="30" t="str">
        <x:f>IF(C170="","",IFERROR(MIN(1,INDEX('Borrowers'!$Q$9:$Q$108,MATCH(C170,'Borrowers'!$C$9:$C$108,0))+(1-INDEX('Borrowers'!$Q$9:$Q$108,MATCH(C170,'Borrowers'!$C$9:$C$108,0)))*T170),"Unavailable"))</x:f>
      </x:c>
      <x:c r="S170" s="30" t="str">
        <x:f>IF(C170="","",IFERROR(SUMPRODUCT((Sites!$D$9:$D$108=C170)*Sites!$I$9:$I$108*Sites!$J$9:$J$108*Sites!$K$9:$K$108*(1-Sites!$L$9:$L$108)),"Unavailable"))</x:f>
      </x:c>
      <x:c r="T170" s="30" t="str">
        <x:f>IF(C170="","",IFERROR(MIN(1,(SUMPRODUCT((Sites!$D$9:$D$108=C170)*Sites!$N$9:$N$108*Sites!$J$9:$J$108*Sites!$K$9:$K$108*(1-Sites!$L$9:$L$108)))*'Scenario Paths'!G27),"Unavailable"))</x:f>
      </x:c>
      <x:c r="U170" s="9" t="str">
        <x:f>IF(C170="","",IF(OR(INDEX('Borrowers'!$AA$9:$AA$108,MATCH(C170,'Borrowers'!$C$9:$C$108,0))&lt;&gt;"Ready",COUNTIF(Sites!$D$9:$D$108,C170)=0,COUNTIFS(Sites!$D$9:$D$108,C170,Sites!$Q$9:$Q$108,"&lt;&gt;Ready")&gt;0,'Scenario Paths'!$F$6&lt;&gt;"Ready"),"Review source inputs","Ready"))</x:f>
      </x:c>
      <x:c r="V170" s="17" t="str">
        <x:f>IF(C170="","",IFERROR(MAX(-1,(G170-O170)/MAX(0.000001,G170)),"Unavailable"))</x:f>
      </x:c>
      <x:c r="W170" s="9" t="str">
        <x:f>IF(C170="","",IFERROR(INDEX('Borrowers'!$D$9:$D$108,MATCH(C170,'Borrowers'!$C$9:$C$108,0)),"Unavailable"))</x:f>
      </x:c>
    </x:row>
    <x:row r="171" ht="26" customHeight="1">
      <x:c r="A171" s="1"/>
      <x:c r="B171" s="1"/>
      <x:c r="C171" s="9" t="str">
        <x:f>IF(Borrowers!C71="","",Borrowers!C71)</x:f>
      </x:c>
      <x:c r="D171" s="3" t="n">
        <x:v>2</x:v>
      </x:c>
      <x:c r="E171" s="9" t="n">
        <x:f>Settings!$F$18+1</x:f>
        <x:v>2028</x:v>
      </x:c>
      <x:c r="F171" s="9" t="str">
        <x:f>IF(C171="","",INDEX('Borrowers'!$F$9:$F$108,MATCH(C171,'Borrowers'!$C$9:$C$108,0)))</x:f>
      </x:c>
      <x:c r="G171" s="23" t="str">
        <x:f>IF(C171="","",IFERROR(INDEX('Borrowers'!$J$9:$J$108,MATCH(C171,'Borrowers'!$C$9:$C$108,0))-INDEX('Borrowers'!$K$9:$K$108,MATCH(C171,'Borrowers'!$C$9:$C$108,0)),"Unavailable"))</x:f>
      </x:c>
      <x:c r="H171" s="23" t="str">
        <x:f>IF(C171="","",IFERROR(INDEX('Borrowers'!$I$9:$I$108,MATCH(C171,'Borrowers'!$C$9:$C$108,0))*INDEX('Borrowers'!$U$9:$U$108,MATCH(C171,'Borrowers'!$C$9:$C$108,0))*(IF(F171="Transport",'Scenario Paths'!G156,IF(F171="Technology",'Scenario Paths'!G150,IF(F171="Utilities",'Scenario Paths'!G144,IF(F171="Agriculture",'Scenario Paths'!G138,IF(F171="Manufacturing",'Scenario Paths'!G132,IF(F171="Healthcare",'Scenario Paths'!G126,IF(F171="Hospitality",'Scenario Paths'!G120,IF(F171="Property",'Scenario Paths'!G114,IF(F171="Food",'Scenario Paths'!G108,IF(F171="Logistics",'Scenario Paths'!G102,IF(F171="Solar",'Scenario Paths'!G96,IF(F171="Cement",'Scenario Paths'!G90,0))))))))))))),"Unavailable"))</x:f>
      </x:c>
      <x:c r="I171" s="23" t="str">
        <x:f>IF(C171="","",IFERROR(INDEX('Borrowers'!$R$9:$R$108,MATCH(C171,'Borrowers'!$C$9:$C$108,0))*(1-INDEX('Borrowers'!$W$9:$W$108,MATCH(C171,'Borrowers'!$C$9:$C$108,0))*'Scenario Paths'!G39)*'Scenario Paths'!G9/1000000*(1-INDEX('Borrowers'!$T$9:$T$108,MATCH(C171,'Borrowers'!$C$9:$C$108,0))),"Unavailable"))</x:f>
      </x:c>
      <x:c r="J171" s="23" t="str">
        <x:f>IF(C171="","",IFERROR(INDEX('Borrowers'!$I$9:$I$108,MATCH(C171,'Borrowers'!$C$9:$C$108,0))*INDEX('Borrowers'!$S$9:$S$108,MATCH(C171,'Borrowers'!$C$9:$C$108,0))*'Scenario Paths'!G15*(1-INDEX('Borrowers'!$T$9:$T$108,MATCH(C171,'Borrowers'!$C$9:$C$108,0))),"Unavailable"))</x:f>
      </x:c>
      <x:c r="K171" s="23" t="str">
        <x:f>IF(C171="","",IFERROR(INDEX('Borrowers'!$I$9:$I$108,MATCH(C171,'Borrowers'!$C$9:$C$108,0))*INDEX('Borrowers'!$U$9:$U$108,MATCH(C171,'Borrowers'!$C$9:$C$108,0))*'Scenario Paths'!G21*S171,"Unavailable"))</x:f>
      </x:c>
      <x:c r="L171" s="23" t="str">
        <x:f>IF(C171="","",IFERROR(SUMPRODUCT((Sites!$D$9:$D$108=C171)*Sites!$H$9:$H$108*Sites!$J$9:$J$108*Sites!$K$9:$K$108*(1-Sites!$L$9:$L$108)*(1-Sites!$M$9:$M$108))*'Scenario Paths'!G27,"Unavailable"))</x:f>
      </x:c>
      <x:c r="M171" s="23" t="str">
        <x:f>IF(C171="","",IFERROR(INDEX('Borrowers'!$J$9:$J$108,MATCH(C171,'Borrowers'!$C$9:$C$108,0))+H171-SUM(I171:L171),"Unavailable"))</x:f>
      </x:c>
      <x:c r="N171" s="23" t="str">
        <x:f>IF(C171="","",IFERROR(INDEX('Borrowers'!$I$9:$I$108,MATCH(C171,'Borrowers'!$C$9:$C$108,0))*'Scenario Paths'!G33,"Unavailable"))</x:f>
      </x:c>
      <x:c r="O171" s="23" t="str">
        <x:f>IF(C171="","",IFERROR(M171-INDEX('Borrowers'!$K$9:$K$108,MATCH(C171,'Borrowers'!$C$9:$C$108,0))-N171,"Unavailable"))</x:f>
      </x:c>
      <x:c r="P171" s="127" t="str">
        <x:f>IF(C171="","",IFERROR(O171/INDEX('Borrowers'!$L$9:$L$108,MATCH(C171,'Borrowers'!$C$9:$C$108,0)),"Unavailable"))</x:f>
      </x:c>
      <x:c r="Q171" s="30" t="str">
        <x:f>IF(C171="","",IFERROR(IF(INDEX('Borrowers'!$Z$9:$Z$108,MATCH(C171,'Borrowers'!$C$9:$C$108,0))="Yes",1,IF(INDEX('Borrowers'!$P$9:$P$108,MATCH(C171,'Borrowers'!$C$9:$C$108,0))=0,0,MIN(1,INDEX('Borrowers'!$P$9:$P$108,MATCH(C171,'Borrowers'!$C$9:$C$108,0))*EXP(MIN(20,INDEX('Borrowers'!$V$9:$V$108,MATCH(C171,'Borrowers'!$C$9:$C$108,0))*V171))))),"Unavailable"))</x:f>
      </x:c>
      <x:c r="R171" s="30" t="str">
        <x:f>IF(C171="","",IFERROR(MIN(1,INDEX('Borrowers'!$Q$9:$Q$108,MATCH(C171,'Borrowers'!$C$9:$C$108,0))+(1-INDEX('Borrowers'!$Q$9:$Q$108,MATCH(C171,'Borrowers'!$C$9:$C$108,0)))*T171),"Unavailable"))</x:f>
      </x:c>
      <x:c r="S171" s="30" t="str">
        <x:f>IF(C171="","",IFERROR(SUMPRODUCT((Sites!$D$9:$D$108=C171)*Sites!$I$9:$I$108*Sites!$J$9:$J$108*Sites!$K$9:$K$108*(1-Sites!$L$9:$L$108)),"Unavailable"))</x:f>
      </x:c>
      <x:c r="T171" s="30" t="str">
        <x:f>IF(C171="","",IFERROR(MIN(1,(SUMPRODUCT((Sites!$D$9:$D$108=C171)*Sites!$N$9:$N$108*Sites!$J$9:$J$108*Sites!$K$9:$K$108*(1-Sites!$L$9:$L$108)))*'Scenario Paths'!G27),"Unavailable"))</x:f>
      </x:c>
      <x:c r="U171" s="9" t="str">
        <x:f>IF(C171="","",IF(OR(INDEX('Borrowers'!$AA$9:$AA$108,MATCH(C171,'Borrowers'!$C$9:$C$108,0))&lt;&gt;"Ready",COUNTIF(Sites!$D$9:$D$108,C171)=0,COUNTIFS(Sites!$D$9:$D$108,C171,Sites!$Q$9:$Q$108,"&lt;&gt;Ready")&gt;0,'Scenario Paths'!$F$6&lt;&gt;"Ready"),"Review source inputs","Ready"))</x:f>
      </x:c>
      <x:c r="V171" s="17" t="str">
        <x:f>IF(C171="","",IFERROR(MAX(-1,(G171-O171)/MAX(0.000001,G171)),"Unavailable"))</x:f>
      </x:c>
      <x:c r="W171" s="9" t="str">
        <x:f>IF(C171="","",IFERROR(INDEX('Borrowers'!$D$9:$D$108,MATCH(C171,'Borrowers'!$C$9:$C$108,0)),"Unavailable"))</x:f>
      </x:c>
    </x:row>
    <x:row r="172" ht="26" customHeight="1">
      <x:c r="A172" s="1"/>
      <x:c r="B172" s="1"/>
      <x:c r="C172" s="9" t="str">
        <x:f>IF(Borrowers!C72="","",Borrowers!C72)</x:f>
      </x:c>
      <x:c r="D172" s="3" t="n">
        <x:v>2</x:v>
      </x:c>
      <x:c r="E172" s="9" t="n">
        <x:f>Settings!$F$18+1</x:f>
        <x:v>2028</x:v>
      </x:c>
      <x:c r="F172" s="9" t="str">
        <x:f>IF(C172="","",INDEX('Borrowers'!$F$9:$F$108,MATCH(C172,'Borrowers'!$C$9:$C$108,0)))</x:f>
      </x:c>
      <x:c r="G172" s="23" t="str">
        <x:f>IF(C172="","",IFERROR(INDEX('Borrowers'!$J$9:$J$108,MATCH(C172,'Borrowers'!$C$9:$C$108,0))-INDEX('Borrowers'!$K$9:$K$108,MATCH(C172,'Borrowers'!$C$9:$C$108,0)),"Unavailable"))</x:f>
      </x:c>
      <x:c r="H172" s="23" t="str">
        <x:f>IF(C172="","",IFERROR(INDEX('Borrowers'!$I$9:$I$108,MATCH(C172,'Borrowers'!$C$9:$C$108,0))*INDEX('Borrowers'!$U$9:$U$108,MATCH(C172,'Borrowers'!$C$9:$C$108,0))*(IF(F172="Transport",'Scenario Paths'!G156,IF(F172="Technology",'Scenario Paths'!G150,IF(F172="Utilities",'Scenario Paths'!G144,IF(F172="Agriculture",'Scenario Paths'!G138,IF(F172="Manufacturing",'Scenario Paths'!G132,IF(F172="Healthcare",'Scenario Paths'!G126,IF(F172="Hospitality",'Scenario Paths'!G120,IF(F172="Property",'Scenario Paths'!G114,IF(F172="Food",'Scenario Paths'!G108,IF(F172="Logistics",'Scenario Paths'!G102,IF(F172="Solar",'Scenario Paths'!G96,IF(F172="Cement",'Scenario Paths'!G90,0))))))))))))),"Unavailable"))</x:f>
      </x:c>
      <x:c r="I172" s="23" t="str">
        <x:f>IF(C172="","",IFERROR(INDEX('Borrowers'!$R$9:$R$108,MATCH(C172,'Borrowers'!$C$9:$C$108,0))*(1-INDEX('Borrowers'!$W$9:$W$108,MATCH(C172,'Borrowers'!$C$9:$C$108,0))*'Scenario Paths'!G39)*'Scenario Paths'!G9/1000000*(1-INDEX('Borrowers'!$T$9:$T$108,MATCH(C172,'Borrowers'!$C$9:$C$108,0))),"Unavailable"))</x:f>
      </x:c>
      <x:c r="J172" s="23" t="str">
        <x:f>IF(C172="","",IFERROR(INDEX('Borrowers'!$I$9:$I$108,MATCH(C172,'Borrowers'!$C$9:$C$108,0))*INDEX('Borrowers'!$S$9:$S$108,MATCH(C172,'Borrowers'!$C$9:$C$108,0))*'Scenario Paths'!G15*(1-INDEX('Borrowers'!$T$9:$T$108,MATCH(C172,'Borrowers'!$C$9:$C$108,0))),"Unavailable"))</x:f>
      </x:c>
      <x:c r="K172" s="23" t="str">
        <x:f>IF(C172="","",IFERROR(INDEX('Borrowers'!$I$9:$I$108,MATCH(C172,'Borrowers'!$C$9:$C$108,0))*INDEX('Borrowers'!$U$9:$U$108,MATCH(C172,'Borrowers'!$C$9:$C$108,0))*'Scenario Paths'!G21*S172,"Unavailable"))</x:f>
      </x:c>
      <x:c r="L172" s="23" t="str">
        <x:f>IF(C172="","",IFERROR(SUMPRODUCT((Sites!$D$9:$D$108=C172)*Sites!$H$9:$H$108*Sites!$J$9:$J$108*Sites!$K$9:$K$108*(1-Sites!$L$9:$L$108)*(1-Sites!$M$9:$M$108))*'Scenario Paths'!G27,"Unavailable"))</x:f>
      </x:c>
      <x:c r="M172" s="23" t="str">
        <x:f>IF(C172="","",IFERROR(INDEX('Borrowers'!$J$9:$J$108,MATCH(C172,'Borrowers'!$C$9:$C$108,0))+H172-SUM(I172:L172),"Unavailable"))</x:f>
      </x:c>
      <x:c r="N172" s="23" t="str">
        <x:f>IF(C172="","",IFERROR(INDEX('Borrowers'!$I$9:$I$108,MATCH(C172,'Borrowers'!$C$9:$C$108,0))*'Scenario Paths'!G33,"Unavailable"))</x:f>
      </x:c>
      <x:c r="O172" s="23" t="str">
        <x:f>IF(C172="","",IFERROR(M172-INDEX('Borrowers'!$K$9:$K$108,MATCH(C172,'Borrowers'!$C$9:$C$108,0))-N172,"Unavailable"))</x:f>
      </x:c>
      <x:c r="P172" s="127" t="str">
        <x:f>IF(C172="","",IFERROR(O172/INDEX('Borrowers'!$L$9:$L$108,MATCH(C172,'Borrowers'!$C$9:$C$108,0)),"Unavailable"))</x:f>
      </x:c>
      <x:c r="Q172" s="30" t="str">
        <x:f>IF(C172="","",IFERROR(IF(INDEX('Borrowers'!$Z$9:$Z$108,MATCH(C172,'Borrowers'!$C$9:$C$108,0))="Yes",1,IF(INDEX('Borrowers'!$P$9:$P$108,MATCH(C172,'Borrowers'!$C$9:$C$108,0))=0,0,MIN(1,INDEX('Borrowers'!$P$9:$P$108,MATCH(C172,'Borrowers'!$C$9:$C$108,0))*EXP(MIN(20,INDEX('Borrowers'!$V$9:$V$108,MATCH(C172,'Borrowers'!$C$9:$C$108,0))*V172))))),"Unavailable"))</x:f>
      </x:c>
      <x:c r="R172" s="30" t="str">
        <x:f>IF(C172="","",IFERROR(MIN(1,INDEX('Borrowers'!$Q$9:$Q$108,MATCH(C172,'Borrowers'!$C$9:$C$108,0))+(1-INDEX('Borrowers'!$Q$9:$Q$108,MATCH(C172,'Borrowers'!$C$9:$C$108,0)))*T172),"Unavailable"))</x:f>
      </x:c>
      <x:c r="S172" s="30" t="str">
        <x:f>IF(C172="","",IFERROR(SUMPRODUCT((Sites!$D$9:$D$108=C172)*Sites!$I$9:$I$108*Sites!$J$9:$J$108*Sites!$K$9:$K$108*(1-Sites!$L$9:$L$108)),"Unavailable"))</x:f>
      </x:c>
      <x:c r="T172" s="30" t="str">
        <x:f>IF(C172="","",IFERROR(MIN(1,(SUMPRODUCT((Sites!$D$9:$D$108=C172)*Sites!$N$9:$N$108*Sites!$J$9:$J$108*Sites!$K$9:$K$108*(1-Sites!$L$9:$L$108)))*'Scenario Paths'!G27),"Unavailable"))</x:f>
      </x:c>
      <x:c r="U172" s="9" t="str">
        <x:f>IF(C172="","",IF(OR(INDEX('Borrowers'!$AA$9:$AA$108,MATCH(C172,'Borrowers'!$C$9:$C$108,0))&lt;&gt;"Ready",COUNTIF(Sites!$D$9:$D$108,C172)=0,COUNTIFS(Sites!$D$9:$D$108,C172,Sites!$Q$9:$Q$108,"&lt;&gt;Ready")&gt;0,'Scenario Paths'!$F$6&lt;&gt;"Ready"),"Review source inputs","Ready"))</x:f>
      </x:c>
      <x:c r="V172" s="17" t="str">
        <x:f>IF(C172="","",IFERROR(MAX(-1,(G172-O172)/MAX(0.000001,G172)),"Unavailable"))</x:f>
      </x:c>
      <x:c r="W172" s="9" t="str">
        <x:f>IF(C172="","",IFERROR(INDEX('Borrowers'!$D$9:$D$108,MATCH(C172,'Borrowers'!$C$9:$C$108,0)),"Unavailable"))</x:f>
      </x:c>
    </x:row>
    <x:row r="173" ht="26" customHeight="1">
      <x:c r="A173" s="1"/>
      <x:c r="B173" s="1"/>
      <x:c r="C173" s="9" t="str">
        <x:f>IF(Borrowers!C73="","",Borrowers!C73)</x:f>
      </x:c>
      <x:c r="D173" s="3" t="n">
        <x:v>2</x:v>
      </x:c>
      <x:c r="E173" s="9" t="n">
        <x:f>Settings!$F$18+1</x:f>
        <x:v>2028</x:v>
      </x:c>
      <x:c r="F173" s="9" t="str">
        <x:f>IF(C173="","",INDEX('Borrowers'!$F$9:$F$108,MATCH(C173,'Borrowers'!$C$9:$C$108,0)))</x:f>
      </x:c>
      <x:c r="G173" s="23" t="str">
        <x:f>IF(C173="","",IFERROR(INDEX('Borrowers'!$J$9:$J$108,MATCH(C173,'Borrowers'!$C$9:$C$108,0))-INDEX('Borrowers'!$K$9:$K$108,MATCH(C173,'Borrowers'!$C$9:$C$108,0)),"Unavailable"))</x:f>
      </x:c>
      <x:c r="H173" s="23" t="str">
        <x:f>IF(C173="","",IFERROR(INDEX('Borrowers'!$I$9:$I$108,MATCH(C173,'Borrowers'!$C$9:$C$108,0))*INDEX('Borrowers'!$U$9:$U$108,MATCH(C173,'Borrowers'!$C$9:$C$108,0))*(IF(F173="Transport",'Scenario Paths'!G156,IF(F173="Technology",'Scenario Paths'!G150,IF(F173="Utilities",'Scenario Paths'!G144,IF(F173="Agriculture",'Scenario Paths'!G138,IF(F173="Manufacturing",'Scenario Paths'!G132,IF(F173="Healthcare",'Scenario Paths'!G126,IF(F173="Hospitality",'Scenario Paths'!G120,IF(F173="Property",'Scenario Paths'!G114,IF(F173="Food",'Scenario Paths'!G108,IF(F173="Logistics",'Scenario Paths'!G102,IF(F173="Solar",'Scenario Paths'!G96,IF(F173="Cement",'Scenario Paths'!G90,0))))))))))))),"Unavailable"))</x:f>
      </x:c>
      <x:c r="I173" s="23" t="str">
        <x:f>IF(C173="","",IFERROR(INDEX('Borrowers'!$R$9:$R$108,MATCH(C173,'Borrowers'!$C$9:$C$108,0))*(1-INDEX('Borrowers'!$W$9:$W$108,MATCH(C173,'Borrowers'!$C$9:$C$108,0))*'Scenario Paths'!G39)*'Scenario Paths'!G9/1000000*(1-INDEX('Borrowers'!$T$9:$T$108,MATCH(C173,'Borrowers'!$C$9:$C$108,0))),"Unavailable"))</x:f>
      </x:c>
      <x:c r="J173" s="23" t="str">
        <x:f>IF(C173="","",IFERROR(INDEX('Borrowers'!$I$9:$I$108,MATCH(C173,'Borrowers'!$C$9:$C$108,0))*INDEX('Borrowers'!$S$9:$S$108,MATCH(C173,'Borrowers'!$C$9:$C$108,0))*'Scenario Paths'!G15*(1-INDEX('Borrowers'!$T$9:$T$108,MATCH(C173,'Borrowers'!$C$9:$C$108,0))),"Unavailable"))</x:f>
      </x:c>
      <x:c r="K173" s="23" t="str">
        <x:f>IF(C173="","",IFERROR(INDEX('Borrowers'!$I$9:$I$108,MATCH(C173,'Borrowers'!$C$9:$C$108,0))*INDEX('Borrowers'!$U$9:$U$108,MATCH(C173,'Borrowers'!$C$9:$C$108,0))*'Scenario Paths'!G21*S173,"Unavailable"))</x:f>
      </x:c>
      <x:c r="L173" s="23" t="str">
        <x:f>IF(C173="","",IFERROR(SUMPRODUCT((Sites!$D$9:$D$108=C173)*Sites!$H$9:$H$108*Sites!$J$9:$J$108*Sites!$K$9:$K$108*(1-Sites!$L$9:$L$108)*(1-Sites!$M$9:$M$108))*'Scenario Paths'!G27,"Unavailable"))</x:f>
      </x:c>
      <x:c r="M173" s="23" t="str">
        <x:f>IF(C173="","",IFERROR(INDEX('Borrowers'!$J$9:$J$108,MATCH(C173,'Borrowers'!$C$9:$C$108,0))+H173-SUM(I173:L173),"Unavailable"))</x:f>
      </x:c>
      <x:c r="N173" s="23" t="str">
        <x:f>IF(C173="","",IFERROR(INDEX('Borrowers'!$I$9:$I$108,MATCH(C173,'Borrowers'!$C$9:$C$108,0))*'Scenario Paths'!G33,"Unavailable"))</x:f>
      </x:c>
      <x:c r="O173" s="23" t="str">
        <x:f>IF(C173="","",IFERROR(M173-INDEX('Borrowers'!$K$9:$K$108,MATCH(C173,'Borrowers'!$C$9:$C$108,0))-N173,"Unavailable"))</x:f>
      </x:c>
      <x:c r="P173" s="127" t="str">
        <x:f>IF(C173="","",IFERROR(O173/INDEX('Borrowers'!$L$9:$L$108,MATCH(C173,'Borrowers'!$C$9:$C$108,0)),"Unavailable"))</x:f>
      </x:c>
      <x:c r="Q173" s="30" t="str">
        <x:f>IF(C173="","",IFERROR(IF(INDEX('Borrowers'!$Z$9:$Z$108,MATCH(C173,'Borrowers'!$C$9:$C$108,0))="Yes",1,IF(INDEX('Borrowers'!$P$9:$P$108,MATCH(C173,'Borrowers'!$C$9:$C$108,0))=0,0,MIN(1,INDEX('Borrowers'!$P$9:$P$108,MATCH(C173,'Borrowers'!$C$9:$C$108,0))*EXP(MIN(20,INDEX('Borrowers'!$V$9:$V$108,MATCH(C173,'Borrowers'!$C$9:$C$108,0))*V173))))),"Unavailable"))</x:f>
      </x:c>
      <x:c r="R173" s="30" t="str">
        <x:f>IF(C173="","",IFERROR(MIN(1,INDEX('Borrowers'!$Q$9:$Q$108,MATCH(C173,'Borrowers'!$C$9:$C$108,0))+(1-INDEX('Borrowers'!$Q$9:$Q$108,MATCH(C173,'Borrowers'!$C$9:$C$108,0)))*T173),"Unavailable"))</x:f>
      </x:c>
      <x:c r="S173" s="30" t="str">
        <x:f>IF(C173="","",IFERROR(SUMPRODUCT((Sites!$D$9:$D$108=C173)*Sites!$I$9:$I$108*Sites!$J$9:$J$108*Sites!$K$9:$K$108*(1-Sites!$L$9:$L$108)),"Unavailable"))</x:f>
      </x:c>
      <x:c r="T173" s="30" t="str">
        <x:f>IF(C173="","",IFERROR(MIN(1,(SUMPRODUCT((Sites!$D$9:$D$108=C173)*Sites!$N$9:$N$108*Sites!$J$9:$J$108*Sites!$K$9:$K$108*(1-Sites!$L$9:$L$108)))*'Scenario Paths'!G27),"Unavailable"))</x:f>
      </x:c>
      <x:c r="U173" s="9" t="str">
        <x:f>IF(C173="","",IF(OR(INDEX('Borrowers'!$AA$9:$AA$108,MATCH(C173,'Borrowers'!$C$9:$C$108,0))&lt;&gt;"Ready",COUNTIF(Sites!$D$9:$D$108,C173)=0,COUNTIFS(Sites!$D$9:$D$108,C173,Sites!$Q$9:$Q$108,"&lt;&gt;Ready")&gt;0,'Scenario Paths'!$F$6&lt;&gt;"Ready"),"Review source inputs","Ready"))</x:f>
      </x:c>
      <x:c r="V173" s="17" t="str">
        <x:f>IF(C173="","",IFERROR(MAX(-1,(G173-O173)/MAX(0.000001,G173)),"Unavailable"))</x:f>
      </x:c>
      <x:c r="W173" s="9" t="str">
        <x:f>IF(C173="","",IFERROR(INDEX('Borrowers'!$D$9:$D$108,MATCH(C173,'Borrowers'!$C$9:$C$108,0)),"Unavailable"))</x:f>
      </x:c>
    </x:row>
    <x:row r="174" ht="26" customHeight="1">
      <x:c r="A174" s="1"/>
      <x:c r="B174" s="1"/>
      <x:c r="C174" s="9" t="str">
        <x:f>IF(Borrowers!C74="","",Borrowers!C74)</x:f>
      </x:c>
      <x:c r="D174" s="3" t="n">
        <x:v>2</x:v>
      </x:c>
      <x:c r="E174" s="9" t="n">
        <x:f>Settings!$F$18+1</x:f>
        <x:v>2028</x:v>
      </x:c>
      <x:c r="F174" s="9" t="str">
        <x:f>IF(C174="","",INDEX('Borrowers'!$F$9:$F$108,MATCH(C174,'Borrowers'!$C$9:$C$108,0)))</x:f>
      </x:c>
      <x:c r="G174" s="23" t="str">
        <x:f>IF(C174="","",IFERROR(INDEX('Borrowers'!$J$9:$J$108,MATCH(C174,'Borrowers'!$C$9:$C$108,0))-INDEX('Borrowers'!$K$9:$K$108,MATCH(C174,'Borrowers'!$C$9:$C$108,0)),"Unavailable"))</x:f>
      </x:c>
      <x:c r="H174" s="23" t="str">
        <x:f>IF(C174="","",IFERROR(INDEX('Borrowers'!$I$9:$I$108,MATCH(C174,'Borrowers'!$C$9:$C$108,0))*INDEX('Borrowers'!$U$9:$U$108,MATCH(C174,'Borrowers'!$C$9:$C$108,0))*(IF(F174="Transport",'Scenario Paths'!G156,IF(F174="Technology",'Scenario Paths'!G150,IF(F174="Utilities",'Scenario Paths'!G144,IF(F174="Agriculture",'Scenario Paths'!G138,IF(F174="Manufacturing",'Scenario Paths'!G132,IF(F174="Healthcare",'Scenario Paths'!G126,IF(F174="Hospitality",'Scenario Paths'!G120,IF(F174="Property",'Scenario Paths'!G114,IF(F174="Food",'Scenario Paths'!G108,IF(F174="Logistics",'Scenario Paths'!G102,IF(F174="Solar",'Scenario Paths'!G96,IF(F174="Cement",'Scenario Paths'!G90,0))))))))))))),"Unavailable"))</x:f>
      </x:c>
      <x:c r="I174" s="23" t="str">
        <x:f>IF(C174="","",IFERROR(INDEX('Borrowers'!$R$9:$R$108,MATCH(C174,'Borrowers'!$C$9:$C$108,0))*(1-INDEX('Borrowers'!$W$9:$W$108,MATCH(C174,'Borrowers'!$C$9:$C$108,0))*'Scenario Paths'!G39)*'Scenario Paths'!G9/1000000*(1-INDEX('Borrowers'!$T$9:$T$108,MATCH(C174,'Borrowers'!$C$9:$C$108,0))),"Unavailable"))</x:f>
      </x:c>
      <x:c r="J174" s="23" t="str">
        <x:f>IF(C174="","",IFERROR(INDEX('Borrowers'!$I$9:$I$108,MATCH(C174,'Borrowers'!$C$9:$C$108,0))*INDEX('Borrowers'!$S$9:$S$108,MATCH(C174,'Borrowers'!$C$9:$C$108,0))*'Scenario Paths'!G15*(1-INDEX('Borrowers'!$T$9:$T$108,MATCH(C174,'Borrowers'!$C$9:$C$108,0))),"Unavailable"))</x:f>
      </x:c>
      <x:c r="K174" s="23" t="str">
        <x:f>IF(C174="","",IFERROR(INDEX('Borrowers'!$I$9:$I$108,MATCH(C174,'Borrowers'!$C$9:$C$108,0))*INDEX('Borrowers'!$U$9:$U$108,MATCH(C174,'Borrowers'!$C$9:$C$108,0))*'Scenario Paths'!G21*S174,"Unavailable"))</x:f>
      </x:c>
      <x:c r="L174" s="23" t="str">
        <x:f>IF(C174="","",IFERROR(SUMPRODUCT((Sites!$D$9:$D$108=C174)*Sites!$H$9:$H$108*Sites!$J$9:$J$108*Sites!$K$9:$K$108*(1-Sites!$L$9:$L$108)*(1-Sites!$M$9:$M$108))*'Scenario Paths'!G27,"Unavailable"))</x:f>
      </x:c>
      <x:c r="M174" s="23" t="str">
        <x:f>IF(C174="","",IFERROR(INDEX('Borrowers'!$J$9:$J$108,MATCH(C174,'Borrowers'!$C$9:$C$108,0))+H174-SUM(I174:L174),"Unavailable"))</x:f>
      </x:c>
      <x:c r="N174" s="23" t="str">
        <x:f>IF(C174="","",IFERROR(INDEX('Borrowers'!$I$9:$I$108,MATCH(C174,'Borrowers'!$C$9:$C$108,0))*'Scenario Paths'!G33,"Unavailable"))</x:f>
      </x:c>
      <x:c r="O174" s="23" t="str">
        <x:f>IF(C174="","",IFERROR(M174-INDEX('Borrowers'!$K$9:$K$108,MATCH(C174,'Borrowers'!$C$9:$C$108,0))-N174,"Unavailable"))</x:f>
      </x:c>
      <x:c r="P174" s="127" t="str">
        <x:f>IF(C174="","",IFERROR(O174/INDEX('Borrowers'!$L$9:$L$108,MATCH(C174,'Borrowers'!$C$9:$C$108,0)),"Unavailable"))</x:f>
      </x:c>
      <x:c r="Q174" s="30" t="str">
        <x:f>IF(C174="","",IFERROR(IF(INDEX('Borrowers'!$Z$9:$Z$108,MATCH(C174,'Borrowers'!$C$9:$C$108,0))="Yes",1,IF(INDEX('Borrowers'!$P$9:$P$108,MATCH(C174,'Borrowers'!$C$9:$C$108,0))=0,0,MIN(1,INDEX('Borrowers'!$P$9:$P$108,MATCH(C174,'Borrowers'!$C$9:$C$108,0))*EXP(MIN(20,INDEX('Borrowers'!$V$9:$V$108,MATCH(C174,'Borrowers'!$C$9:$C$108,0))*V174))))),"Unavailable"))</x:f>
      </x:c>
      <x:c r="R174" s="30" t="str">
        <x:f>IF(C174="","",IFERROR(MIN(1,INDEX('Borrowers'!$Q$9:$Q$108,MATCH(C174,'Borrowers'!$C$9:$C$108,0))+(1-INDEX('Borrowers'!$Q$9:$Q$108,MATCH(C174,'Borrowers'!$C$9:$C$108,0)))*T174),"Unavailable"))</x:f>
      </x:c>
      <x:c r="S174" s="30" t="str">
        <x:f>IF(C174="","",IFERROR(SUMPRODUCT((Sites!$D$9:$D$108=C174)*Sites!$I$9:$I$108*Sites!$J$9:$J$108*Sites!$K$9:$K$108*(1-Sites!$L$9:$L$108)),"Unavailable"))</x:f>
      </x:c>
      <x:c r="T174" s="30" t="str">
        <x:f>IF(C174="","",IFERROR(MIN(1,(SUMPRODUCT((Sites!$D$9:$D$108=C174)*Sites!$N$9:$N$108*Sites!$J$9:$J$108*Sites!$K$9:$K$108*(1-Sites!$L$9:$L$108)))*'Scenario Paths'!G27),"Unavailable"))</x:f>
      </x:c>
      <x:c r="U174" s="9" t="str">
        <x:f>IF(C174="","",IF(OR(INDEX('Borrowers'!$AA$9:$AA$108,MATCH(C174,'Borrowers'!$C$9:$C$108,0))&lt;&gt;"Ready",COUNTIF(Sites!$D$9:$D$108,C174)=0,COUNTIFS(Sites!$D$9:$D$108,C174,Sites!$Q$9:$Q$108,"&lt;&gt;Ready")&gt;0,'Scenario Paths'!$F$6&lt;&gt;"Ready"),"Review source inputs","Ready"))</x:f>
      </x:c>
      <x:c r="V174" s="17" t="str">
        <x:f>IF(C174="","",IFERROR(MAX(-1,(G174-O174)/MAX(0.000001,G174)),"Unavailable"))</x:f>
      </x:c>
      <x:c r="W174" s="9" t="str">
        <x:f>IF(C174="","",IFERROR(INDEX('Borrowers'!$D$9:$D$108,MATCH(C174,'Borrowers'!$C$9:$C$108,0)),"Unavailable"))</x:f>
      </x:c>
    </x:row>
    <x:row r="175" ht="26" customHeight="1">
      <x:c r="A175" s="1"/>
      <x:c r="B175" s="1"/>
      <x:c r="C175" s="9" t="str">
        <x:f>IF(Borrowers!C75="","",Borrowers!C75)</x:f>
      </x:c>
      <x:c r="D175" s="3" t="n">
        <x:v>2</x:v>
      </x:c>
      <x:c r="E175" s="9" t="n">
        <x:f>Settings!$F$18+1</x:f>
        <x:v>2028</x:v>
      </x:c>
      <x:c r="F175" s="9" t="str">
        <x:f>IF(C175="","",INDEX('Borrowers'!$F$9:$F$108,MATCH(C175,'Borrowers'!$C$9:$C$108,0)))</x:f>
      </x:c>
      <x:c r="G175" s="23" t="str">
        <x:f>IF(C175="","",IFERROR(INDEX('Borrowers'!$J$9:$J$108,MATCH(C175,'Borrowers'!$C$9:$C$108,0))-INDEX('Borrowers'!$K$9:$K$108,MATCH(C175,'Borrowers'!$C$9:$C$108,0)),"Unavailable"))</x:f>
      </x:c>
      <x:c r="H175" s="23" t="str">
        <x:f>IF(C175="","",IFERROR(INDEX('Borrowers'!$I$9:$I$108,MATCH(C175,'Borrowers'!$C$9:$C$108,0))*INDEX('Borrowers'!$U$9:$U$108,MATCH(C175,'Borrowers'!$C$9:$C$108,0))*(IF(F175="Transport",'Scenario Paths'!G156,IF(F175="Technology",'Scenario Paths'!G150,IF(F175="Utilities",'Scenario Paths'!G144,IF(F175="Agriculture",'Scenario Paths'!G138,IF(F175="Manufacturing",'Scenario Paths'!G132,IF(F175="Healthcare",'Scenario Paths'!G126,IF(F175="Hospitality",'Scenario Paths'!G120,IF(F175="Property",'Scenario Paths'!G114,IF(F175="Food",'Scenario Paths'!G108,IF(F175="Logistics",'Scenario Paths'!G102,IF(F175="Solar",'Scenario Paths'!G96,IF(F175="Cement",'Scenario Paths'!G90,0))))))))))))),"Unavailable"))</x:f>
      </x:c>
      <x:c r="I175" s="23" t="str">
        <x:f>IF(C175="","",IFERROR(INDEX('Borrowers'!$R$9:$R$108,MATCH(C175,'Borrowers'!$C$9:$C$108,0))*(1-INDEX('Borrowers'!$W$9:$W$108,MATCH(C175,'Borrowers'!$C$9:$C$108,0))*'Scenario Paths'!G39)*'Scenario Paths'!G9/1000000*(1-INDEX('Borrowers'!$T$9:$T$108,MATCH(C175,'Borrowers'!$C$9:$C$108,0))),"Unavailable"))</x:f>
      </x:c>
      <x:c r="J175" s="23" t="str">
        <x:f>IF(C175="","",IFERROR(INDEX('Borrowers'!$I$9:$I$108,MATCH(C175,'Borrowers'!$C$9:$C$108,0))*INDEX('Borrowers'!$S$9:$S$108,MATCH(C175,'Borrowers'!$C$9:$C$108,0))*'Scenario Paths'!G15*(1-INDEX('Borrowers'!$T$9:$T$108,MATCH(C175,'Borrowers'!$C$9:$C$108,0))),"Unavailable"))</x:f>
      </x:c>
      <x:c r="K175" s="23" t="str">
        <x:f>IF(C175="","",IFERROR(INDEX('Borrowers'!$I$9:$I$108,MATCH(C175,'Borrowers'!$C$9:$C$108,0))*INDEX('Borrowers'!$U$9:$U$108,MATCH(C175,'Borrowers'!$C$9:$C$108,0))*'Scenario Paths'!G21*S175,"Unavailable"))</x:f>
      </x:c>
      <x:c r="L175" s="23" t="str">
        <x:f>IF(C175="","",IFERROR(SUMPRODUCT((Sites!$D$9:$D$108=C175)*Sites!$H$9:$H$108*Sites!$J$9:$J$108*Sites!$K$9:$K$108*(1-Sites!$L$9:$L$108)*(1-Sites!$M$9:$M$108))*'Scenario Paths'!G27,"Unavailable"))</x:f>
      </x:c>
      <x:c r="M175" s="23" t="str">
        <x:f>IF(C175="","",IFERROR(INDEX('Borrowers'!$J$9:$J$108,MATCH(C175,'Borrowers'!$C$9:$C$108,0))+H175-SUM(I175:L175),"Unavailable"))</x:f>
      </x:c>
      <x:c r="N175" s="23" t="str">
        <x:f>IF(C175="","",IFERROR(INDEX('Borrowers'!$I$9:$I$108,MATCH(C175,'Borrowers'!$C$9:$C$108,0))*'Scenario Paths'!G33,"Unavailable"))</x:f>
      </x:c>
      <x:c r="O175" s="23" t="str">
        <x:f>IF(C175="","",IFERROR(M175-INDEX('Borrowers'!$K$9:$K$108,MATCH(C175,'Borrowers'!$C$9:$C$108,0))-N175,"Unavailable"))</x:f>
      </x:c>
      <x:c r="P175" s="127" t="str">
        <x:f>IF(C175="","",IFERROR(O175/INDEX('Borrowers'!$L$9:$L$108,MATCH(C175,'Borrowers'!$C$9:$C$108,0)),"Unavailable"))</x:f>
      </x:c>
      <x:c r="Q175" s="30" t="str">
        <x:f>IF(C175="","",IFERROR(IF(INDEX('Borrowers'!$Z$9:$Z$108,MATCH(C175,'Borrowers'!$C$9:$C$108,0))="Yes",1,IF(INDEX('Borrowers'!$P$9:$P$108,MATCH(C175,'Borrowers'!$C$9:$C$108,0))=0,0,MIN(1,INDEX('Borrowers'!$P$9:$P$108,MATCH(C175,'Borrowers'!$C$9:$C$108,0))*EXP(MIN(20,INDEX('Borrowers'!$V$9:$V$108,MATCH(C175,'Borrowers'!$C$9:$C$108,0))*V175))))),"Unavailable"))</x:f>
      </x:c>
      <x:c r="R175" s="30" t="str">
        <x:f>IF(C175="","",IFERROR(MIN(1,INDEX('Borrowers'!$Q$9:$Q$108,MATCH(C175,'Borrowers'!$C$9:$C$108,0))+(1-INDEX('Borrowers'!$Q$9:$Q$108,MATCH(C175,'Borrowers'!$C$9:$C$108,0)))*T175),"Unavailable"))</x:f>
      </x:c>
      <x:c r="S175" s="30" t="str">
        <x:f>IF(C175="","",IFERROR(SUMPRODUCT((Sites!$D$9:$D$108=C175)*Sites!$I$9:$I$108*Sites!$J$9:$J$108*Sites!$K$9:$K$108*(1-Sites!$L$9:$L$108)),"Unavailable"))</x:f>
      </x:c>
      <x:c r="T175" s="30" t="str">
        <x:f>IF(C175="","",IFERROR(MIN(1,(SUMPRODUCT((Sites!$D$9:$D$108=C175)*Sites!$N$9:$N$108*Sites!$J$9:$J$108*Sites!$K$9:$K$108*(1-Sites!$L$9:$L$108)))*'Scenario Paths'!G27),"Unavailable"))</x:f>
      </x:c>
      <x:c r="U175" s="9" t="str">
        <x:f>IF(C175="","",IF(OR(INDEX('Borrowers'!$AA$9:$AA$108,MATCH(C175,'Borrowers'!$C$9:$C$108,0))&lt;&gt;"Ready",COUNTIF(Sites!$D$9:$D$108,C175)=0,COUNTIFS(Sites!$D$9:$D$108,C175,Sites!$Q$9:$Q$108,"&lt;&gt;Ready")&gt;0,'Scenario Paths'!$F$6&lt;&gt;"Ready"),"Review source inputs","Ready"))</x:f>
      </x:c>
      <x:c r="V175" s="17" t="str">
        <x:f>IF(C175="","",IFERROR(MAX(-1,(G175-O175)/MAX(0.000001,G175)),"Unavailable"))</x:f>
      </x:c>
      <x:c r="W175" s="9" t="str">
        <x:f>IF(C175="","",IFERROR(INDEX('Borrowers'!$D$9:$D$108,MATCH(C175,'Borrowers'!$C$9:$C$108,0)),"Unavailable"))</x:f>
      </x:c>
    </x:row>
    <x:row r="176" ht="26" customHeight="1">
      <x:c r="A176" s="1"/>
      <x:c r="B176" s="1"/>
      <x:c r="C176" s="9" t="str">
        <x:f>IF(Borrowers!C76="","",Borrowers!C76)</x:f>
      </x:c>
      <x:c r="D176" s="3" t="n">
        <x:v>2</x:v>
      </x:c>
      <x:c r="E176" s="9" t="n">
        <x:f>Settings!$F$18+1</x:f>
        <x:v>2028</x:v>
      </x:c>
      <x:c r="F176" s="9" t="str">
        <x:f>IF(C176="","",INDEX('Borrowers'!$F$9:$F$108,MATCH(C176,'Borrowers'!$C$9:$C$108,0)))</x:f>
      </x:c>
      <x:c r="G176" s="23" t="str">
        <x:f>IF(C176="","",IFERROR(INDEX('Borrowers'!$J$9:$J$108,MATCH(C176,'Borrowers'!$C$9:$C$108,0))-INDEX('Borrowers'!$K$9:$K$108,MATCH(C176,'Borrowers'!$C$9:$C$108,0)),"Unavailable"))</x:f>
      </x:c>
      <x:c r="H176" s="23" t="str">
        <x:f>IF(C176="","",IFERROR(INDEX('Borrowers'!$I$9:$I$108,MATCH(C176,'Borrowers'!$C$9:$C$108,0))*INDEX('Borrowers'!$U$9:$U$108,MATCH(C176,'Borrowers'!$C$9:$C$108,0))*(IF(F176="Transport",'Scenario Paths'!G156,IF(F176="Technology",'Scenario Paths'!G150,IF(F176="Utilities",'Scenario Paths'!G144,IF(F176="Agriculture",'Scenario Paths'!G138,IF(F176="Manufacturing",'Scenario Paths'!G132,IF(F176="Healthcare",'Scenario Paths'!G126,IF(F176="Hospitality",'Scenario Paths'!G120,IF(F176="Property",'Scenario Paths'!G114,IF(F176="Food",'Scenario Paths'!G108,IF(F176="Logistics",'Scenario Paths'!G102,IF(F176="Solar",'Scenario Paths'!G96,IF(F176="Cement",'Scenario Paths'!G90,0))))))))))))),"Unavailable"))</x:f>
      </x:c>
      <x:c r="I176" s="23" t="str">
        <x:f>IF(C176="","",IFERROR(INDEX('Borrowers'!$R$9:$R$108,MATCH(C176,'Borrowers'!$C$9:$C$108,0))*(1-INDEX('Borrowers'!$W$9:$W$108,MATCH(C176,'Borrowers'!$C$9:$C$108,0))*'Scenario Paths'!G39)*'Scenario Paths'!G9/1000000*(1-INDEX('Borrowers'!$T$9:$T$108,MATCH(C176,'Borrowers'!$C$9:$C$108,0))),"Unavailable"))</x:f>
      </x:c>
      <x:c r="J176" s="23" t="str">
        <x:f>IF(C176="","",IFERROR(INDEX('Borrowers'!$I$9:$I$108,MATCH(C176,'Borrowers'!$C$9:$C$108,0))*INDEX('Borrowers'!$S$9:$S$108,MATCH(C176,'Borrowers'!$C$9:$C$108,0))*'Scenario Paths'!G15*(1-INDEX('Borrowers'!$T$9:$T$108,MATCH(C176,'Borrowers'!$C$9:$C$108,0))),"Unavailable"))</x:f>
      </x:c>
      <x:c r="K176" s="23" t="str">
        <x:f>IF(C176="","",IFERROR(INDEX('Borrowers'!$I$9:$I$108,MATCH(C176,'Borrowers'!$C$9:$C$108,0))*INDEX('Borrowers'!$U$9:$U$108,MATCH(C176,'Borrowers'!$C$9:$C$108,0))*'Scenario Paths'!G21*S176,"Unavailable"))</x:f>
      </x:c>
      <x:c r="L176" s="23" t="str">
        <x:f>IF(C176="","",IFERROR(SUMPRODUCT((Sites!$D$9:$D$108=C176)*Sites!$H$9:$H$108*Sites!$J$9:$J$108*Sites!$K$9:$K$108*(1-Sites!$L$9:$L$108)*(1-Sites!$M$9:$M$108))*'Scenario Paths'!G27,"Unavailable"))</x:f>
      </x:c>
      <x:c r="M176" s="23" t="str">
        <x:f>IF(C176="","",IFERROR(INDEX('Borrowers'!$J$9:$J$108,MATCH(C176,'Borrowers'!$C$9:$C$108,0))+H176-SUM(I176:L176),"Unavailable"))</x:f>
      </x:c>
      <x:c r="N176" s="23" t="str">
        <x:f>IF(C176="","",IFERROR(INDEX('Borrowers'!$I$9:$I$108,MATCH(C176,'Borrowers'!$C$9:$C$108,0))*'Scenario Paths'!G33,"Unavailable"))</x:f>
      </x:c>
      <x:c r="O176" s="23" t="str">
        <x:f>IF(C176="","",IFERROR(M176-INDEX('Borrowers'!$K$9:$K$108,MATCH(C176,'Borrowers'!$C$9:$C$108,0))-N176,"Unavailable"))</x:f>
      </x:c>
      <x:c r="P176" s="127" t="str">
        <x:f>IF(C176="","",IFERROR(O176/INDEX('Borrowers'!$L$9:$L$108,MATCH(C176,'Borrowers'!$C$9:$C$108,0)),"Unavailable"))</x:f>
      </x:c>
      <x:c r="Q176" s="30" t="str">
        <x:f>IF(C176="","",IFERROR(IF(INDEX('Borrowers'!$Z$9:$Z$108,MATCH(C176,'Borrowers'!$C$9:$C$108,0))="Yes",1,IF(INDEX('Borrowers'!$P$9:$P$108,MATCH(C176,'Borrowers'!$C$9:$C$108,0))=0,0,MIN(1,INDEX('Borrowers'!$P$9:$P$108,MATCH(C176,'Borrowers'!$C$9:$C$108,0))*EXP(MIN(20,INDEX('Borrowers'!$V$9:$V$108,MATCH(C176,'Borrowers'!$C$9:$C$108,0))*V176))))),"Unavailable"))</x:f>
      </x:c>
      <x:c r="R176" s="30" t="str">
        <x:f>IF(C176="","",IFERROR(MIN(1,INDEX('Borrowers'!$Q$9:$Q$108,MATCH(C176,'Borrowers'!$C$9:$C$108,0))+(1-INDEX('Borrowers'!$Q$9:$Q$108,MATCH(C176,'Borrowers'!$C$9:$C$108,0)))*T176),"Unavailable"))</x:f>
      </x:c>
      <x:c r="S176" s="30" t="str">
        <x:f>IF(C176="","",IFERROR(SUMPRODUCT((Sites!$D$9:$D$108=C176)*Sites!$I$9:$I$108*Sites!$J$9:$J$108*Sites!$K$9:$K$108*(1-Sites!$L$9:$L$108)),"Unavailable"))</x:f>
      </x:c>
      <x:c r="T176" s="30" t="str">
        <x:f>IF(C176="","",IFERROR(MIN(1,(SUMPRODUCT((Sites!$D$9:$D$108=C176)*Sites!$N$9:$N$108*Sites!$J$9:$J$108*Sites!$K$9:$K$108*(1-Sites!$L$9:$L$108)))*'Scenario Paths'!G27),"Unavailable"))</x:f>
      </x:c>
      <x:c r="U176" s="9" t="str">
        <x:f>IF(C176="","",IF(OR(INDEX('Borrowers'!$AA$9:$AA$108,MATCH(C176,'Borrowers'!$C$9:$C$108,0))&lt;&gt;"Ready",COUNTIF(Sites!$D$9:$D$108,C176)=0,COUNTIFS(Sites!$D$9:$D$108,C176,Sites!$Q$9:$Q$108,"&lt;&gt;Ready")&gt;0,'Scenario Paths'!$F$6&lt;&gt;"Ready"),"Review source inputs","Ready"))</x:f>
      </x:c>
      <x:c r="V176" s="17" t="str">
        <x:f>IF(C176="","",IFERROR(MAX(-1,(G176-O176)/MAX(0.000001,G176)),"Unavailable"))</x:f>
      </x:c>
      <x:c r="W176" s="9" t="str">
        <x:f>IF(C176="","",IFERROR(INDEX('Borrowers'!$D$9:$D$108,MATCH(C176,'Borrowers'!$C$9:$C$108,0)),"Unavailable"))</x:f>
      </x:c>
    </x:row>
    <x:row r="177" ht="26" customHeight="1">
      <x:c r="A177" s="1"/>
      <x:c r="B177" s="1"/>
      <x:c r="C177" s="9" t="str">
        <x:f>IF(Borrowers!C77="","",Borrowers!C77)</x:f>
      </x:c>
      <x:c r="D177" s="3" t="n">
        <x:v>2</x:v>
      </x:c>
      <x:c r="E177" s="9" t="n">
        <x:f>Settings!$F$18+1</x:f>
        <x:v>2028</x:v>
      </x:c>
      <x:c r="F177" s="9" t="str">
        <x:f>IF(C177="","",INDEX('Borrowers'!$F$9:$F$108,MATCH(C177,'Borrowers'!$C$9:$C$108,0)))</x:f>
      </x:c>
      <x:c r="G177" s="23" t="str">
        <x:f>IF(C177="","",IFERROR(INDEX('Borrowers'!$J$9:$J$108,MATCH(C177,'Borrowers'!$C$9:$C$108,0))-INDEX('Borrowers'!$K$9:$K$108,MATCH(C177,'Borrowers'!$C$9:$C$108,0)),"Unavailable"))</x:f>
      </x:c>
      <x:c r="H177" s="23" t="str">
        <x:f>IF(C177="","",IFERROR(INDEX('Borrowers'!$I$9:$I$108,MATCH(C177,'Borrowers'!$C$9:$C$108,0))*INDEX('Borrowers'!$U$9:$U$108,MATCH(C177,'Borrowers'!$C$9:$C$108,0))*(IF(F177="Transport",'Scenario Paths'!G156,IF(F177="Technology",'Scenario Paths'!G150,IF(F177="Utilities",'Scenario Paths'!G144,IF(F177="Agriculture",'Scenario Paths'!G138,IF(F177="Manufacturing",'Scenario Paths'!G132,IF(F177="Healthcare",'Scenario Paths'!G126,IF(F177="Hospitality",'Scenario Paths'!G120,IF(F177="Property",'Scenario Paths'!G114,IF(F177="Food",'Scenario Paths'!G108,IF(F177="Logistics",'Scenario Paths'!G102,IF(F177="Solar",'Scenario Paths'!G96,IF(F177="Cement",'Scenario Paths'!G90,0))))))))))))),"Unavailable"))</x:f>
      </x:c>
      <x:c r="I177" s="23" t="str">
        <x:f>IF(C177="","",IFERROR(INDEX('Borrowers'!$R$9:$R$108,MATCH(C177,'Borrowers'!$C$9:$C$108,0))*(1-INDEX('Borrowers'!$W$9:$W$108,MATCH(C177,'Borrowers'!$C$9:$C$108,0))*'Scenario Paths'!G39)*'Scenario Paths'!G9/1000000*(1-INDEX('Borrowers'!$T$9:$T$108,MATCH(C177,'Borrowers'!$C$9:$C$108,0))),"Unavailable"))</x:f>
      </x:c>
      <x:c r="J177" s="23" t="str">
        <x:f>IF(C177="","",IFERROR(INDEX('Borrowers'!$I$9:$I$108,MATCH(C177,'Borrowers'!$C$9:$C$108,0))*INDEX('Borrowers'!$S$9:$S$108,MATCH(C177,'Borrowers'!$C$9:$C$108,0))*'Scenario Paths'!G15*(1-INDEX('Borrowers'!$T$9:$T$108,MATCH(C177,'Borrowers'!$C$9:$C$108,0))),"Unavailable"))</x:f>
      </x:c>
      <x:c r="K177" s="23" t="str">
        <x:f>IF(C177="","",IFERROR(INDEX('Borrowers'!$I$9:$I$108,MATCH(C177,'Borrowers'!$C$9:$C$108,0))*INDEX('Borrowers'!$U$9:$U$108,MATCH(C177,'Borrowers'!$C$9:$C$108,0))*'Scenario Paths'!G21*S177,"Unavailable"))</x:f>
      </x:c>
      <x:c r="L177" s="23" t="str">
        <x:f>IF(C177="","",IFERROR(SUMPRODUCT((Sites!$D$9:$D$108=C177)*Sites!$H$9:$H$108*Sites!$J$9:$J$108*Sites!$K$9:$K$108*(1-Sites!$L$9:$L$108)*(1-Sites!$M$9:$M$108))*'Scenario Paths'!G27,"Unavailable"))</x:f>
      </x:c>
      <x:c r="M177" s="23" t="str">
        <x:f>IF(C177="","",IFERROR(INDEX('Borrowers'!$J$9:$J$108,MATCH(C177,'Borrowers'!$C$9:$C$108,0))+H177-SUM(I177:L177),"Unavailable"))</x:f>
      </x:c>
      <x:c r="N177" s="23" t="str">
        <x:f>IF(C177="","",IFERROR(INDEX('Borrowers'!$I$9:$I$108,MATCH(C177,'Borrowers'!$C$9:$C$108,0))*'Scenario Paths'!G33,"Unavailable"))</x:f>
      </x:c>
      <x:c r="O177" s="23" t="str">
        <x:f>IF(C177="","",IFERROR(M177-INDEX('Borrowers'!$K$9:$K$108,MATCH(C177,'Borrowers'!$C$9:$C$108,0))-N177,"Unavailable"))</x:f>
      </x:c>
      <x:c r="P177" s="127" t="str">
        <x:f>IF(C177="","",IFERROR(O177/INDEX('Borrowers'!$L$9:$L$108,MATCH(C177,'Borrowers'!$C$9:$C$108,0)),"Unavailable"))</x:f>
      </x:c>
      <x:c r="Q177" s="30" t="str">
        <x:f>IF(C177="","",IFERROR(IF(INDEX('Borrowers'!$Z$9:$Z$108,MATCH(C177,'Borrowers'!$C$9:$C$108,0))="Yes",1,IF(INDEX('Borrowers'!$P$9:$P$108,MATCH(C177,'Borrowers'!$C$9:$C$108,0))=0,0,MIN(1,INDEX('Borrowers'!$P$9:$P$108,MATCH(C177,'Borrowers'!$C$9:$C$108,0))*EXP(MIN(20,INDEX('Borrowers'!$V$9:$V$108,MATCH(C177,'Borrowers'!$C$9:$C$108,0))*V177))))),"Unavailable"))</x:f>
      </x:c>
      <x:c r="R177" s="30" t="str">
        <x:f>IF(C177="","",IFERROR(MIN(1,INDEX('Borrowers'!$Q$9:$Q$108,MATCH(C177,'Borrowers'!$C$9:$C$108,0))+(1-INDEX('Borrowers'!$Q$9:$Q$108,MATCH(C177,'Borrowers'!$C$9:$C$108,0)))*T177),"Unavailable"))</x:f>
      </x:c>
      <x:c r="S177" s="30" t="str">
        <x:f>IF(C177="","",IFERROR(SUMPRODUCT((Sites!$D$9:$D$108=C177)*Sites!$I$9:$I$108*Sites!$J$9:$J$108*Sites!$K$9:$K$108*(1-Sites!$L$9:$L$108)),"Unavailable"))</x:f>
      </x:c>
      <x:c r="T177" s="30" t="str">
        <x:f>IF(C177="","",IFERROR(MIN(1,(SUMPRODUCT((Sites!$D$9:$D$108=C177)*Sites!$N$9:$N$108*Sites!$J$9:$J$108*Sites!$K$9:$K$108*(1-Sites!$L$9:$L$108)))*'Scenario Paths'!G27),"Unavailable"))</x:f>
      </x:c>
      <x:c r="U177" s="9" t="str">
        <x:f>IF(C177="","",IF(OR(INDEX('Borrowers'!$AA$9:$AA$108,MATCH(C177,'Borrowers'!$C$9:$C$108,0))&lt;&gt;"Ready",COUNTIF(Sites!$D$9:$D$108,C177)=0,COUNTIFS(Sites!$D$9:$D$108,C177,Sites!$Q$9:$Q$108,"&lt;&gt;Ready")&gt;0,'Scenario Paths'!$F$6&lt;&gt;"Ready"),"Review source inputs","Ready"))</x:f>
      </x:c>
      <x:c r="V177" s="17" t="str">
        <x:f>IF(C177="","",IFERROR(MAX(-1,(G177-O177)/MAX(0.000001,G177)),"Unavailable"))</x:f>
      </x:c>
      <x:c r="W177" s="9" t="str">
        <x:f>IF(C177="","",IFERROR(INDEX('Borrowers'!$D$9:$D$108,MATCH(C177,'Borrowers'!$C$9:$C$108,0)),"Unavailable"))</x:f>
      </x:c>
    </x:row>
    <x:row r="178" ht="26" customHeight="1">
      <x:c r="A178" s="1"/>
      <x:c r="B178" s="1"/>
      <x:c r="C178" s="9" t="str">
        <x:f>IF(Borrowers!C78="","",Borrowers!C78)</x:f>
      </x:c>
      <x:c r="D178" s="3" t="n">
        <x:v>2</x:v>
      </x:c>
      <x:c r="E178" s="9" t="n">
        <x:f>Settings!$F$18+1</x:f>
        <x:v>2028</x:v>
      </x:c>
      <x:c r="F178" s="9" t="str">
        <x:f>IF(C178="","",INDEX('Borrowers'!$F$9:$F$108,MATCH(C178,'Borrowers'!$C$9:$C$108,0)))</x:f>
      </x:c>
      <x:c r="G178" s="23" t="str">
        <x:f>IF(C178="","",IFERROR(INDEX('Borrowers'!$J$9:$J$108,MATCH(C178,'Borrowers'!$C$9:$C$108,0))-INDEX('Borrowers'!$K$9:$K$108,MATCH(C178,'Borrowers'!$C$9:$C$108,0)),"Unavailable"))</x:f>
      </x:c>
      <x:c r="H178" s="23" t="str">
        <x:f>IF(C178="","",IFERROR(INDEX('Borrowers'!$I$9:$I$108,MATCH(C178,'Borrowers'!$C$9:$C$108,0))*INDEX('Borrowers'!$U$9:$U$108,MATCH(C178,'Borrowers'!$C$9:$C$108,0))*(IF(F178="Transport",'Scenario Paths'!G156,IF(F178="Technology",'Scenario Paths'!G150,IF(F178="Utilities",'Scenario Paths'!G144,IF(F178="Agriculture",'Scenario Paths'!G138,IF(F178="Manufacturing",'Scenario Paths'!G132,IF(F178="Healthcare",'Scenario Paths'!G126,IF(F178="Hospitality",'Scenario Paths'!G120,IF(F178="Property",'Scenario Paths'!G114,IF(F178="Food",'Scenario Paths'!G108,IF(F178="Logistics",'Scenario Paths'!G102,IF(F178="Solar",'Scenario Paths'!G96,IF(F178="Cement",'Scenario Paths'!G90,0))))))))))))),"Unavailable"))</x:f>
      </x:c>
      <x:c r="I178" s="23" t="str">
        <x:f>IF(C178="","",IFERROR(INDEX('Borrowers'!$R$9:$R$108,MATCH(C178,'Borrowers'!$C$9:$C$108,0))*(1-INDEX('Borrowers'!$W$9:$W$108,MATCH(C178,'Borrowers'!$C$9:$C$108,0))*'Scenario Paths'!G39)*'Scenario Paths'!G9/1000000*(1-INDEX('Borrowers'!$T$9:$T$108,MATCH(C178,'Borrowers'!$C$9:$C$108,0))),"Unavailable"))</x:f>
      </x:c>
      <x:c r="J178" s="23" t="str">
        <x:f>IF(C178="","",IFERROR(INDEX('Borrowers'!$I$9:$I$108,MATCH(C178,'Borrowers'!$C$9:$C$108,0))*INDEX('Borrowers'!$S$9:$S$108,MATCH(C178,'Borrowers'!$C$9:$C$108,0))*'Scenario Paths'!G15*(1-INDEX('Borrowers'!$T$9:$T$108,MATCH(C178,'Borrowers'!$C$9:$C$108,0))),"Unavailable"))</x:f>
      </x:c>
      <x:c r="K178" s="23" t="str">
        <x:f>IF(C178="","",IFERROR(INDEX('Borrowers'!$I$9:$I$108,MATCH(C178,'Borrowers'!$C$9:$C$108,0))*INDEX('Borrowers'!$U$9:$U$108,MATCH(C178,'Borrowers'!$C$9:$C$108,0))*'Scenario Paths'!G21*S178,"Unavailable"))</x:f>
      </x:c>
      <x:c r="L178" s="23" t="str">
        <x:f>IF(C178="","",IFERROR(SUMPRODUCT((Sites!$D$9:$D$108=C178)*Sites!$H$9:$H$108*Sites!$J$9:$J$108*Sites!$K$9:$K$108*(1-Sites!$L$9:$L$108)*(1-Sites!$M$9:$M$108))*'Scenario Paths'!G27,"Unavailable"))</x:f>
      </x:c>
      <x:c r="M178" s="23" t="str">
        <x:f>IF(C178="","",IFERROR(INDEX('Borrowers'!$J$9:$J$108,MATCH(C178,'Borrowers'!$C$9:$C$108,0))+H178-SUM(I178:L178),"Unavailable"))</x:f>
      </x:c>
      <x:c r="N178" s="23" t="str">
        <x:f>IF(C178="","",IFERROR(INDEX('Borrowers'!$I$9:$I$108,MATCH(C178,'Borrowers'!$C$9:$C$108,0))*'Scenario Paths'!G33,"Unavailable"))</x:f>
      </x:c>
      <x:c r="O178" s="23" t="str">
        <x:f>IF(C178="","",IFERROR(M178-INDEX('Borrowers'!$K$9:$K$108,MATCH(C178,'Borrowers'!$C$9:$C$108,0))-N178,"Unavailable"))</x:f>
      </x:c>
      <x:c r="P178" s="127" t="str">
        <x:f>IF(C178="","",IFERROR(O178/INDEX('Borrowers'!$L$9:$L$108,MATCH(C178,'Borrowers'!$C$9:$C$108,0)),"Unavailable"))</x:f>
      </x:c>
      <x:c r="Q178" s="30" t="str">
        <x:f>IF(C178="","",IFERROR(IF(INDEX('Borrowers'!$Z$9:$Z$108,MATCH(C178,'Borrowers'!$C$9:$C$108,0))="Yes",1,IF(INDEX('Borrowers'!$P$9:$P$108,MATCH(C178,'Borrowers'!$C$9:$C$108,0))=0,0,MIN(1,INDEX('Borrowers'!$P$9:$P$108,MATCH(C178,'Borrowers'!$C$9:$C$108,0))*EXP(MIN(20,INDEX('Borrowers'!$V$9:$V$108,MATCH(C178,'Borrowers'!$C$9:$C$108,0))*V178))))),"Unavailable"))</x:f>
      </x:c>
      <x:c r="R178" s="30" t="str">
        <x:f>IF(C178="","",IFERROR(MIN(1,INDEX('Borrowers'!$Q$9:$Q$108,MATCH(C178,'Borrowers'!$C$9:$C$108,0))+(1-INDEX('Borrowers'!$Q$9:$Q$108,MATCH(C178,'Borrowers'!$C$9:$C$108,0)))*T178),"Unavailable"))</x:f>
      </x:c>
      <x:c r="S178" s="30" t="str">
        <x:f>IF(C178="","",IFERROR(SUMPRODUCT((Sites!$D$9:$D$108=C178)*Sites!$I$9:$I$108*Sites!$J$9:$J$108*Sites!$K$9:$K$108*(1-Sites!$L$9:$L$108)),"Unavailable"))</x:f>
      </x:c>
      <x:c r="T178" s="30" t="str">
        <x:f>IF(C178="","",IFERROR(MIN(1,(SUMPRODUCT((Sites!$D$9:$D$108=C178)*Sites!$N$9:$N$108*Sites!$J$9:$J$108*Sites!$K$9:$K$108*(1-Sites!$L$9:$L$108)))*'Scenario Paths'!G27),"Unavailable"))</x:f>
      </x:c>
      <x:c r="U178" s="9" t="str">
        <x:f>IF(C178="","",IF(OR(INDEX('Borrowers'!$AA$9:$AA$108,MATCH(C178,'Borrowers'!$C$9:$C$108,0))&lt;&gt;"Ready",COUNTIF(Sites!$D$9:$D$108,C178)=0,COUNTIFS(Sites!$D$9:$D$108,C178,Sites!$Q$9:$Q$108,"&lt;&gt;Ready")&gt;0,'Scenario Paths'!$F$6&lt;&gt;"Ready"),"Review source inputs","Ready"))</x:f>
      </x:c>
      <x:c r="V178" s="17" t="str">
        <x:f>IF(C178="","",IFERROR(MAX(-1,(G178-O178)/MAX(0.000001,G178)),"Unavailable"))</x:f>
      </x:c>
      <x:c r="W178" s="9" t="str">
        <x:f>IF(C178="","",IFERROR(INDEX('Borrowers'!$D$9:$D$108,MATCH(C178,'Borrowers'!$C$9:$C$108,0)),"Unavailable"))</x:f>
      </x:c>
    </x:row>
    <x:row r="179" ht="26" customHeight="1">
      <x:c r="A179" s="1"/>
      <x:c r="B179" s="1"/>
      <x:c r="C179" s="9" t="str">
        <x:f>IF(Borrowers!C79="","",Borrowers!C79)</x:f>
      </x:c>
      <x:c r="D179" s="3" t="n">
        <x:v>2</x:v>
      </x:c>
      <x:c r="E179" s="9" t="n">
        <x:f>Settings!$F$18+1</x:f>
        <x:v>2028</x:v>
      </x:c>
      <x:c r="F179" s="9" t="str">
        <x:f>IF(C179="","",INDEX('Borrowers'!$F$9:$F$108,MATCH(C179,'Borrowers'!$C$9:$C$108,0)))</x:f>
      </x:c>
      <x:c r="G179" s="23" t="str">
        <x:f>IF(C179="","",IFERROR(INDEX('Borrowers'!$J$9:$J$108,MATCH(C179,'Borrowers'!$C$9:$C$108,0))-INDEX('Borrowers'!$K$9:$K$108,MATCH(C179,'Borrowers'!$C$9:$C$108,0)),"Unavailable"))</x:f>
      </x:c>
      <x:c r="H179" s="23" t="str">
        <x:f>IF(C179="","",IFERROR(INDEX('Borrowers'!$I$9:$I$108,MATCH(C179,'Borrowers'!$C$9:$C$108,0))*INDEX('Borrowers'!$U$9:$U$108,MATCH(C179,'Borrowers'!$C$9:$C$108,0))*(IF(F179="Transport",'Scenario Paths'!G156,IF(F179="Technology",'Scenario Paths'!G150,IF(F179="Utilities",'Scenario Paths'!G144,IF(F179="Agriculture",'Scenario Paths'!G138,IF(F179="Manufacturing",'Scenario Paths'!G132,IF(F179="Healthcare",'Scenario Paths'!G126,IF(F179="Hospitality",'Scenario Paths'!G120,IF(F179="Property",'Scenario Paths'!G114,IF(F179="Food",'Scenario Paths'!G108,IF(F179="Logistics",'Scenario Paths'!G102,IF(F179="Solar",'Scenario Paths'!G96,IF(F179="Cement",'Scenario Paths'!G90,0))))))))))))),"Unavailable"))</x:f>
      </x:c>
      <x:c r="I179" s="23" t="str">
        <x:f>IF(C179="","",IFERROR(INDEX('Borrowers'!$R$9:$R$108,MATCH(C179,'Borrowers'!$C$9:$C$108,0))*(1-INDEX('Borrowers'!$W$9:$W$108,MATCH(C179,'Borrowers'!$C$9:$C$108,0))*'Scenario Paths'!G39)*'Scenario Paths'!G9/1000000*(1-INDEX('Borrowers'!$T$9:$T$108,MATCH(C179,'Borrowers'!$C$9:$C$108,0))),"Unavailable"))</x:f>
      </x:c>
      <x:c r="J179" s="23" t="str">
        <x:f>IF(C179="","",IFERROR(INDEX('Borrowers'!$I$9:$I$108,MATCH(C179,'Borrowers'!$C$9:$C$108,0))*INDEX('Borrowers'!$S$9:$S$108,MATCH(C179,'Borrowers'!$C$9:$C$108,0))*'Scenario Paths'!G15*(1-INDEX('Borrowers'!$T$9:$T$108,MATCH(C179,'Borrowers'!$C$9:$C$108,0))),"Unavailable"))</x:f>
      </x:c>
      <x:c r="K179" s="23" t="str">
        <x:f>IF(C179="","",IFERROR(INDEX('Borrowers'!$I$9:$I$108,MATCH(C179,'Borrowers'!$C$9:$C$108,0))*INDEX('Borrowers'!$U$9:$U$108,MATCH(C179,'Borrowers'!$C$9:$C$108,0))*'Scenario Paths'!G21*S179,"Unavailable"))</x:f>
      </x:c>
      <x:c r="L179" s="23" t="str">
        <x:f>IF(C179="","",IFERROR(SUMPRODUCT((Sites!$D$9:$D$108=C179)*Sites!$H$9:$H$108*Sites!$J$9:$J$108*Sites!$K$9:$K$108*(1-Sites!$L$9:$L$108)*(1-Sites!$M$9:$M$108))*'Scenario Paths'!G27,"Unavailable"))</x:f>
      </x:c>
      <x:c r="M179" s="23" t="str">
        <x:f>IF(C179="","",IFERROR(INDEX('Borrowers'!$J$9:$J$108,MATCH(C179,'Borrowers'!$C$9:$C$108,0))+H179-SUM(I179:L179),"Unavailable"))</x:f>
      </x:c>
      <x:c r="N179" s="23" t="str">
        <x:f>IF(C179="","",IFERROR(INDEX('Borrowers'!$I$9:$I$108,MATCH(C179,'Borrowers'!$C$9:$C$108,0))*'Scenario Paths'!G33,"Unavailable"))</x:f>
      </x:c>
      <x:c r="O179" s="23" t="str">
        <x:f>IF(C179="","",IFERROR(M179-INDEX('Borrowers'!$K$9:$K$108,MATCH(C179,'Borrowers'!$C$9:$C$108,0))-N179,"Unavailable"))</x:f>
      </x:c>
      <x:c r="P179" s="127" t="str">
        <x:f>IF(C179="","",IFERROR(O179/INDEX('Borrowers'!$L$9:$L$108,MATCH(C179,'Borrowers'!$C$9:$C$108,0)),"Unavailable"))</x:f>
      </x:c>
      <x:c r="Q179" s="30" t="str">
        <x:f>IF(C179="","",IFERROR(IF(INDEX('Borrowers'!$Z$9:$Z$108,MATCH(C179,'Borrowers'!$C$9:$C$108,0))="Yes",1,IF(INDEX('Borrowers'!$P$9:$P$108,MATCH(C179,'Borrowers'!$C$9:$C$108,0))=0,0,MIN(1,INDEX('Borrowers'!$P$9:$P$108,MATCH(C179,'Borrowers'!$C$9:$C$108,0))*EXP(MIN(20,INDEX('Borrowers'!$V$9:$V$108,MATCH(C179,'Borrowers'!$C$9:$C$108,0))*V179))))),"Unavailable"))</x:f>
      </x:c>
      <x:c r="R179" s="30" t="str">
        <x:f>IF(C179="","",IFERROR(MIN(1,INDEX('Borrowers'!$Q$9:$Q$108,MATCH(C179,'Borrowers'!$C$9:$C$108,0))+(1-INDEX('Borrowers'!$Q$9:$Q$108,MATCH(C179,'Borrowers'!$C$9:$C$108,0)))*T179),"Unavailable"))</x:f>
      </x:c>
      <x:c r="S179" s="30" t="str">
        <x:f>IF(C179="","",IFERROR(SUMPRODUCT((Sites!$D$9:$D$108=C179)*Sites!$I$9:$I$108*Sites!$J$9:$J$108*Sites!$K$9:$K$108*(1-Sites!$L$9:$L$108)),"Unavailable"))</x:f>
      </x:c>
      <x:c r="T179" s="30" t="str">
        <x:f>IF(C179="","",IFERROR(MIN(1,(SUMPRODUCT((Sites!$D$9:$D$108=C179)*Sites!$N$9:$N$108*Sites!$J$9:$J$108*Sites!$K$9:$K$108*(1-Sites!$L$9:$L$108)))*'Scenario Paths'!G27),"Unavailable"))</x:f>
      </x:c>
      <x:c r="U179" s="9" t="str">
        <x:f>IF(C179="","",IF(OR(INDEX('Borrowers'!$AA$9:$AA$108,MATCH(C179,'Borrowers'!$C$9:$C$108,0))&lt;&gt;"Ready",COUNTIF(Sites!$D$9:$D$108,C179)=0,COUNTIFS(Sites!$D$9:$D$108,C179,Sites!$Q$9:$Q$108,"&lt;&gt;Ready")&gt;0,'Scenario Paths'!$F$6&lt;&gt;"Ready"),"Review source inputs","Ready"))</x:f>
      </x:c>
      <x:c r="V179" s="17" t="str">
        <x:f>IF(C179="","",IFERROR(MAX(-1,(G179-O179)/MAX(0.000001,G179)),"Unavailable"))</x:f>
      </x:c>
      <x:c r="W179" s="9" t="str">
        <x:f>IF(C179="","",IFERROR(INDEX('Borrowers'!$D$9:$D$108,MATCH(C179,'Borrowers'!$C$9:$C$108,0)),"Unavailable"))</x:f>
      </x:c>
    </x:row>
    <x:row r="180" ht="26" customHeight="1">
      <x:c r="A180" s="1"/>
      <x:c r="B180" s="1"/>
      <x:c r="C180" s="9" t="str">
        <x:f>IF(Borrowers!C80="","",Borrowers!C80)</x:f>
      </x:c>
      <x:c r="D180" s="3" t="n">
        <x:v>2</x:v>
      </x:c>
      <x:c r="E180" s="9" t="n">
        <x:f>Settings!$F$18+1</x:f>
        <x:v>2028</x:v>
      </x:c>
      <x:c r="F180" s="9" t="str">
        <x:f>IF(C180="","",INDEX('Borrowers'!$F$9:$F$108,MATCH(C180,'Borrowers'!$C$9:$C$108,0)))</x:f>
      </x:c>
      <x:c r="G180" s="23" t="str">
        <x:f>IF(C180="","",IFERROR(INDEX('Borrowers'!$J$9:$J$108,MATCH(C180,'Borrowers'!$C$9:$C$108,0))-INDEX('Borrowers'!$K$9:$K$108,MATCH(C180,'Borrowers'!$C$9:$C$108,0)),"Unavailable"))</x:f>
      </x:c>
      <x:c r="H180" s="23" t="str">
        <x:f>IF(C180="","",IFERROR(INDEX('Borrowers'!$I$9:$I$108,MATCH(C180,'Borrowers'!$C$9:$C$108,0))*INDEX('Borrowers'!$U$9:$U$108,MATCH(C180,'Borrowers'!$C$9:$C$108,0))*(IF(F180="Transport",'Scenario Paths'!G156,IF(F180="Technology",'Scenario Paths'!G150,IF(F180="Utilities",'Scenario Paths'!G144,IF(F180="Agriculture",'Scenario Paths'!G138,IF(F180="Manufacturing",'Scenario Paths'!G132,IF(F180="Healthcare",'Scenario Paths'!G126,IF(F180="Hospitality",'Scenario Paths'!G120,IF(F180="Property",'Scenario Paths'!G114,IF(F180="Food",'Scenario Paths'!G108,IF(F180="Logistics",'Scenario Paths'!G102,IF(F180="Solar",'Scenario Paths'!G96,IF(F180="Cement",'Scenario Paths'!G90,0))))))))))))),"Unavailable"))</x:f>
      </x:c>
      <x:c r="I180" s="23" t="str">
        <x:f>IF(C180="","",IFERROR(INDEX('Borrowers'!$R$9:$R$108,MATCH(C180,'Borrowers'!$C$9:$C$108,0))*(1-INDEX('Borrowers'!$W$9:$W$108,MATCH(C180,'Borrowers'!$C$9:$C$108,0))*'Scenario Paths'!G39)*'Scenario Paths'!G9/1000000*(1-INDEX('Borrowers'!$T$9:$T$108,MATCH(C180,'Borrowers'!$C$9:$C$108,0))),"Unavailable"))</x:f>
      </x:c>
      <x:c r="J180" s="23" t="str">
        <x:f>IF(C180="","",IFERROR(INDEX('Borrowers'!$I$9:$I$108,MATCH(C180,'Borrowers'!$C$9:$C$108,0))*INDEX('Borrowers'!$S$9:$S$108,MATCH(C180,'Borrowers'!$C$9:$C$108,0))*'Scenario Paths'!G15*(1-INDEX('Borrowers'!$T$9:$T$108,MATCH(C180,'Borrowers'!$C$9:$C$108,0))),"Unavailable"))</x:f>
      </x:c>
      <x:c r="K180" s="23" t="str">
        <x:f>IF(C180="","",IFERROR(INDEX('Borrowers'!$I$9:$I$108,MATCH(C180,'Borrowers'!$C$9:$C$108,0))*INDEX('Borrowers'!$U$9:$U$108,MATCH(C180,'Borrowers'!$C$9:$C$108,0))*'Scenario Paths'!G21*S180,"Unavailable"))</x:f>
      </x:c>
      <x:c r="L180" s="23" t="str">
        <x:f>IF(C180="","",IFERROR(SUMPRODUCT((Sites!$D$9:$D$108=C180)*Sites!$H$9:$H$108*Sites!$J$9:$J$108*Sites!$K$9:$K$108*(1-Sites!$L$9:$L$108)*(1-Sites!$M$9:$M$108))*'Scenario Paths'!G27,"Unavailable"))</x:f>
      </x:c>
      <x:c r="M180" s="23" t="str">
        <x:f>IF(C180="","",IFERROR(INDEX('Borrowers'!$J$9:$J$108,MATCH(C180,'Borrowers'!$C$9:$C$108,0))+H180-SUM(I180:L180),"Unavailable"))</x:f>
      </x:c>
      <x:c r="N180" s="23" t="str">
        <x:f>IF(C180="","",IFERROR(INDEX('Borrowers'!$I$9:$I$108,MATCH(C180,'Borrowers'!$C$9:$C$108,0))*'Scenario Paths'!G33,"Unavailable"))</x:f>
      </x:c>
      <x:c r="O180" s="23" t="str">
        <x:f>IF(C180="","",IFERROR(M180-INDEX('Borrowers'!$K$9:$K$108,MATCH(C180,'Borrowers'!$C$9:$C$108,0))-N180,"Unavailable"))</x:f>
      </x:c>
      <x:c r="P180" s="127" t="str">
        <x:f>IF(C180="","",IFERROR(O180/INDEX('Borrowers'!$L$9:$L$108,MATCH(C180,'Borrowers'!$C$9:$C$108,0)),"Unavailable"))</x:f>
      </x:c>
      <x:c r="Q180" s="30" t="str">
        <x:f>IF(C180="","",IFERROR(IF(INDEX('Borrowers'!$Z$9:$Z$108,MATCH(C180,'Borrowers'!$C$9:$C$108,0))="Yes",1,IF(INDEX('Borrowers'!$P$9:$P$108,MATCH(C180,'Borrowers'!$C$9:$C$108,0))=0,0,MIN(1,INDEX('Borrowers'!$P$9:$P$108,MATCH(C180,'Borrowers'!$C$9:$C$108,0))*EXP(MIN(20,INDEX('Borrowers'!$V$9:$V$108,MATCH(C180,'Borrowers'!$C$9:$C$108,0))*V180))))),"Unavailable"))</x:f>
      </x:c>
      <x:c r="R180" s="30" t="str">
        <x:f>IF(C180="","",IFERROR(MIN(1,INDEX('Borrowers'!$Q$9:$Q$108,MATCH(C180,'Borrowers'!$C$9:$C$108,0))+(1-INDEX('Borrowers'!$Q$9:$Q$108,MATCH(C180,'Borrowers'!$C$9:$C$108,0)))*T180),"Unavailable"))</x:f>
      </x:c>
      <x:c r="S180" s="30" t="str">
        <x:f>IF(C180="","",IFERROR(SUMPRODUCT((Sites!$D$9:$D$108=C180)*Sites!$I$9:$I$108*Sites!$J$9:$J$108*Sites!$K$9:$K$108*(1-Sites!$L$9:$L$108)),"Unavailable"))</x:f>
      </x:c>
      <x:c r="T180" s="30" t="str">
        <x:f>IF(C180="","",IFERROR(MIN(1,(SUMPRODUCT((Sites!$D$9:$D$108=C180)*Sites!$N$9:$N$108*Sites!$J$9:$J$108*Sites!$K$9:$K$108*(1-Sites!$L$9:$L$108)))*'Scenario Paths'!G27),"Unavailable"))</x:f>
      </x:c>
      <x:c r="U180" s="9" t="str">
        <x:f>IF(C180="","",IF(OR(INDEX('Borrowers'!$AA$9:$AA$108,MATCH(C180,'Borrowers'!$C$9:$C$108,0))&lt;&gt;"Ready",COUNTIF(Sites!$D$9:$D$108,C180)=0,COUNTIFS(Sites!$D$9:$D$108,C180,Sites!$Q$9:$Q$108,"&lt;&gt;Ready")&gt;0,'Scenario Paths'!$F$6&lt;&gt;"Ready"),"Review source inputs","Ready"))</x:f>
      </x:c>
      <x:c r="V180" s="17" t="str">
        <x:f>IF(C180="","",IFERROR(MAX(-1,(G180-O180)/MAX(0.000001,G180)),"Unavailable"))</x:f>
      </x:c>
      <x:c r="W180" s="9" t="str">
        <x:f>IF(C180="","",IFERROR(INDEX('Borrowers'!$D$9:$D$108,MATCH(C180,'Borrowers'!$C$9:$C$108,0)),"Unavailable"))</x:f>
      </x:c>
    </x:row>
    <x:row r="181" ht="26" customHeight="1">
      <x:c r="A181" s="1"/>
      <x:c r="B181" s="1"/>
      <x:c r="C181" s="9" t="str">
        <x:f>IF(Borrowers!C81="","",Borrowers!C81)</x:f>
      </x:c>
      <x:c r="D181" s="3" t="n">
        <x:v>2</x:v>
      </x:c>
      <x:c r="E181" s="9" t="n">
        <x:f>Settings!$F$18+1</x:f>
        <x:v>2028</x:v>
      </x:c>
      <x:c r="F181" s="9" t="str">
        <x:f>IF(C181="","",INDEX('Borrowers'!$F$9:$F$108,MATCH(C181,'Borrowers'!$C$9:$C$108,0)))</x:f>
      </x:c>
      <x:c r="G181" s="23" t="str">
        <x:f>IF(C181="","",IFERROR(INDEX('Borrowers'!$J$9:$J$108,MATCH(C181,'Borrowers'!$C$9:$C$108,0))-INDEX('Borrowers'!$K$9:$K$108,MATCH(C181,'Borrowers'!$C$9:$C$108,0)),"Unavailable"))</x:f>
      </x:c>
      <x:c r="H181" s="23" t="str">
        <x:f>IF(C181="","",IFERROR(INDEX('Borrowers'!$I$9:$I$108,MATCH(C181,'Borrowers'!$C$9:$C$108,0))*INDEX('Borrowers'!$U$9:$U$108,MATCH(C181,'Borrowers'!$C$9:$C$108,0))*(IF(F181="Transport",'Scenario Paths'!G156,IF(F181="Technology",'Scenario Paths'!G150,IF(F181="Utilities",'Scenario Paths'!G144,IF(F181="Agriculture",'Scenario Paths'!G138,IF(F181="Manufacturing",'Scenario Paths'!G132,IF(F181="Healthcare",'Scenario Paths'!G126,IF(F181="Hospitality",'Scenario Paths'!G120,IF(F181="Property",'Scenario Paths'!G114,IF(F181="Food",'Scenario Paths'!G108,IF(F181="Logistics",'Scenario Paths'!G102,IF(F181="Solar",'Scenario Paths'!G96,IF(F181="Cement",'Scenario Paths'!G90,0))))))))))))),"Unavailable"))</x:f>
      </x:c>
      <x:c r="I181" s="23" t="str">
        <x:f>IF(C181="","",IFERROR(INDEX('Borrowers'!$R$9:$R$108,MATCH(C181,'Borrowers'!$C$9:$C$108,0))*(1-INDEX('Borrowers'!$W$9:$W$108,MATCH(C181,'Borrowers'!$C$9:$C$108,0))*'Scenario Paths'!G39)*'Scenario Paths'!G9/1000000*(1-INDEX('Borrowers'!$T$9:$T$108,MATCH(C181,'Borrowers'!$C$9:$C$108,0))),"Unavailable"))</x:f>
      </x:c>
      <x:c r="J181" s="23" t="str">
        <x:f>IF(C181="","",IFERROR(INDEX('Borrowers'!$I$9:$I$108,MATCH(C181,'Borrowers'!$C$9:$C$108,0))*INDEX('Borrowers'!$S$9:$S$108,MATCH(C181,'Borrowers'!$C$9:$C$108,0))*'Scenario Paths'!G15*(1-INDEX('Borrowers'!$T$9:$T$108,MATCH(C181,'Borrowers'!$C$9:$C$108,0))),"Unavailable"))</x:f>
      </x:c>
      <x:c r="K181" s="23" t="str">
        <x:f>IF(C181="","",IFERROR(INDEX('Borrowers'!$I$9:$I$108,MATCH(C181,'Borrowers'!$C$9:$C$108,0))*INDEX('Borrowers'!$U$9:$U$108,MATCH(C181,'Borrowers'!$C$9:$C$108,0))*'Scenario Paths'!G21*S181,"Unavailable"))</x:f>
      </x:c>
      <x:c r="L181" s="23" t="str">
        <x:f>IF(C181="","",IFERROR(SUMPRODUCT((Sites!$D$9:$D$108=C181)*Sites!$H$9:$H$108*Sites!$J$9:$J$108*Sites!$K$9:$K$108*(1-Sites!$L$9:$L$108)*(1-Sites!$M$9:$M$108))*'Scenario Paths'!G27,"Unavailable"))</x:f>
      </x:c>
      <x:c r="M181" s="23" t="str">
        <x:f>IF(C181="","",IFERROR(INDEX('Borrowers'!$J$9:$J$108,MATCH(C181,'Borrowers'!$C$9:$C$108,0))+H181-SUM(I181:L181),"Unavailable"))</x:f>
      </x:c>
      <x:c r="N181" s="23" t="str">
        <x:f>IF(C181="","",IFERROR(INDEX('Borrowers'!$I$9:$I$108,MATCH(C181,'Borrowers'!$C$9:$C$108,0))*'Scenario Paths'!G33,"Unavailable"))</x:f>
      </x:c>
      <x:c r="O181" s="23" t="str">
        <x:f>IF(C181="","",IFERROR(M181-INDEX('Borrowers'!$K$9:$K$108,MATCH(C181,'Borrowers'!$C$9:$C$108,0))-N181,"Unavailable"))</x:f>
      </x:c>
      <x:c r="P181" s="127" t="str">
        <x:f>IF(C181="","",IFERROR(O181/INDEX('Borrowers'!$L$9:$L$108,MATCH(C181,'Borrowers'!$C$9:$C$108,0)),"Unavailable"))</x:f>
      </x:c>
      <x:c r="Q181" s="30" t="str">
        <x:f>IF(C181="","",IFERROR(IF(INDEX('Borrowers'!$Z$9:$Z$108,MATCH(C181,'Borrowers'!$C$9:$C$108,0))="Yes",1,IF(INDEX('Borrowers'!$P$9:$P$108,MATCH(C181,'Borrowers'!$C$9:$C$108,0))=0,0,MIN(1,INDEX('Borrowers'!$P$9:$P$108,MATCH(C181,'Borrowers'!$C$9:$C$108,0))*EXP(MIN(20,INDEX('Borrowers'!$V$9:$V$108,MATCH(C181,'Borrowers'!$C$9:$C$108,0))*V181))))),"Unavailable"))</x:f>
      </x:c>
      <x:c r="R181" s="30" t="str">
        <x:f>IF(C181="","",IFERROR(MIN(1,INDEX('Borrowers'!$Q$9:$Q$108,MATCH(C181,'Borrowers'!$C$9:$C$108,0))+(1-INDEX('Borrowers'!$Q$9:$Q$108,MATCH(C181,'Borrowers'!$C$9:$C$108,0)))*T181),"Unavailable"))</x:f>
      </x:c>
      <x:c r="S181" s="30" t="str">
        <x:f>IF(C181="","",IFERROR(SUMPRODUCT((Sites!$D$9:$D$108=C181)*Sites!$I$9:$I$108*Sites!$J$9:$J$108*Sites!$K$9:$K$108*(1-Sites!$L$9:$L$108)),"Unavailable"))</x:f>
      </x:c>
      <x:c r="T181" s="30" t="str">
        <x:f>IF(C181="","",IFERROR(MIN(1,(SUMPRODUCT((Sites!$D$9:$D$108=C181)*Sites!$N$9:$N$108*Sites!$J$9:$J$108*Sites!$K$9:$K$108*(1-Sites!$L$9:$L$108)))*'Scenario Paths'!G27),"Unavailable"))</x:f>
      </x:c>
      <x:c r="U181" s="9" t="str">
        <x:f>IF(C181="","",IF(OR(INDEX('Borrowers'!$AA$9:$AA$108,MATCH(C181,'Borrowers'!$C$9:$C$108,0))&lt;&gt;"Ready",COUNTIF(Sites!$D$9:$D$108,C181)=0,COUNTIFS(Sites!$D$9:$D$108,C181,Sites!$Q$9:$Q$108,"&lt;&gt;Ready")&gt;0,'Scenario Paths'!$F$6&lt;&gt;"Ready"),"Review source inputs","Ready"))</x:f>
      </x:c>
      <x:c r="V181" s="17" t="str">
        <x:f>IF(C181="","",IFERROR(MAX(-1,(G181-O181)/MAX(0.000001,G181)),"Unavailable"))</x:f>
      </x:c>
      <x:c r="W181" s="9" t="str">
        <x:f>IF(C181="","",IFERROR(INDEX('Borrowers'!$D$9:$D$108,MATCH(C181,'Borrowers'!$C$9:$C$108,0)),"Unavailable"))</x:f>
      </x:c>
    </x:row>
    <x:row r="182" ht="26" customHeight="1">
      <x:c r="A182" s="1"/>
      <x:c r="B182" s="1"/>
      <x:c r="C182" s="9" t="str">
        <x:f>IF(Borrowers!C82="","",Borrowers!C82)</x:f>
      </x:c>
      <x:c r="D182" s="3" t="n">
        <x:v>2</x:v>
      </x:c>
      <x:c r="E182" s="9" t="n">
        <x:f>Settings!$F$18+1</x:f>
        <x:v>2028</x:v>
      </x:c>
      <x:c r="F182" s="9" t="str">
        <x:f>IF(C182="","",INDEX('Borrowers'!$F$9:$F$108,MATCH(C182,'Borrowers'!$C$9:$C$108,0)))</x:f>
      </x:c>
      <x:c r="G182" s="23" t="str">
        <x:f>IF(C182="","",IFERROR(INDEX('Borrowers'!$J$9:$J$108,MATCH(C182,'Borrowers'!$C$9:$C$108,0))-INDEX('Borrowers'!$K$9:$K$108,MATCH(C182,'Borrowers'!$C$9:$C$108,0)),"Unavailable"))</x:f>
      </x:c>
      <x:c r="H182" s="23" t="str">
        <x:f>IF(C182="","",IFERROR(INDEX('Borrowers'!$I$9:$I$108,MATCH(C182,'Borrowers'!$C$9:$C$108,0))*INDEX('Borrowers'!$U$9:$U$108,MATCH(C182,'Borrowers'!$C$9:$C$108,0))*(IF(F182="Transport",'Scenario Paths'!G156,IF(F182="Technology",'Scenario Paths'!G150,IF(F182="Utilities",'Scenario Paths'!G144,IF(F182="Agriculture",'Scenario Paths'!G138,IF(F182="Manufacturing",'Scenario Paths'!G132,IF(F182="Healthcare",'Scenario Paths'!G126,IF(F182="Hospitality",'Scenario Paths'!G120,IF(F182="Property",'Scenario Paths'!G114,IF(F182="Food",'Scenario Paths'!G108,IF(F182="Logistics",'Scenario Paths'!G102,IF(F182="Solar",'Scenario Paths'!G96,IF(F182="Cement",'Scenario Paths'!G90,0))))))))))))),"Unavailable"))</x:f>
      </x:c>
      <x:c r="I182" s="23" t="str">
        <x:f>IF(C182="","",IFERROR(INDEX('Borrowers'!$R$9:$R$108,MATCH(C182,'Borrowers'!$C$9:$C$108,0))*(1-INDEX('Borrowers'!$W$9:$W$108,MATCH(C182,'Borrowers'!$C$9:$C$108,0))*'Scenario Paths'!G39)*'Scenario Paths'!G9/1000000*(1-INDEX('Borrowers'!$T$9:$T$108,MATCH(C182,'Borrowers'!$C$9:$C$108,0))),"Unavailable"))</x:f>
      </x:c>
      <x:c r="J182" s="23" t="str">
        <x:f>IF(C182="","",IFERROR(INDEX('Borrowers'!$I$9:$I$108,MATCH(C182,'Borrowers'!$C$9:$C$108,0))*INDEX('Borrowers'!$S$9:$S$108,MATCH(C182,'Borrowers'!$C$9:$C$108,0))*'Scenario Paths'!G15*(1-INDEX('Borrowers'!$T$9:$T$108,MATCH(C182,'Borrowers'!$C$9:$C$108,0))),"Unavailable"))</x:f>
      </x:c>
      <x:c r="K182" s="23" t="str">
        <x:f>IF(C182="","",IFERROR(INDEX('Borrowers'!$I$9:$I$108,MATCH(C182,'Borrowers'!$C$9:$C$108,0))*INDEX('Borrowers'!$U$9:$U$108,MATCH(C182,'Borrowers'!$C$9:$C$108,0))*'Scenario Paths'!G21*S182,"Unavailable"))</x:f>
      </x:c>
      <x:c r="L182" s="23" t="str">
        <x:f>IF(C182="","",IFERROR(SUMPRODUCT((Sites!$D$9:$D$108=C182)*Sites!$H$9:$H$108*Sites!$J$9:$J$108*Sites!$K$9:$K$108*(1-Sites!$L$9:$L$108)*(1-Sites!$M$9:$M$108))*'Scenario Paths'!G27,"Unavailable"))</x:f>
      </x:c>
      <x:c r="M182" s="23" t="str">
        <x:f>IF(C182="","",IFERROR(INDEX('Borrowers'!$J$9:$J$108,MATCH(C182,'Borrowers'!$C$9:$C$108,0))+H182-SUM(I182:L182),"Unavailable"))</x:f>
      </x:c>
      <x:c r="N182" s="23" t="str">
        <x:f>IF(C182="","",IFERROR(INDEX('Borrowers'!$I$9:$I$108,MATCH(C182,'Borrowers'!$C$9:$C$108,0))*'Scenario Paths'!G33,"Unavailable"))</x:f>
      </x:c>
      <x:c r="O182" s="23" t="str">
        <x:f>IF(C182="","",IFERROR(M182-INDEX('Borrowers'!$K$9:$K$108,MATCH(C182,'Borrowers'!$C$9:$C$108,0))-N182,"Unavailable"))</x:f>
      </x:c>
      <x:c r="P182" s="127" t="str">
        <x:f>IF(C182="","",IFERROR(O182/INDEX('Borrowers'!$L$9:$L$108,MATCH(C182,'Borrowers'!$C$9:$C$108,0)),"Unavailable"))</x:f>
      </x:c>
      <x:c r="Q182" s="30" t="str">
        <x:f>IF(C182="","",IFERROR(IF(INDEX('Borrowers'!$Z$9:$Z$108,MATCH(C182,'Borrowers'!$C$9:$C$108,0))="Yes",1,IF(INDEX('Borrowers'!$P$9:$P$108,MATCH(C182,'Borrowers'!$C$9:$C$108,0))=0,0,MIN(1,INDEX('Borrowers'!$P$9:$P$108,MATCH(C182,'Borrowers'!$C$9:$C$108,0))*EXP(MIN(20,INDEX('Borrowers'!$V$9:$V$108,MATCH(C182,'Borrowers'!$C$9:$C$108,0))*V182))))),"Unavailable"))</x:f>
      </x:c>
      <x:c r="R182" s="30" t="str">
        <x:f>IF(C182="","",IFERROR(MIN(1,INDEX('Borrowers'!$Q$9:$Q$108,MATCH(C182,'Borrowers'!$C$9:$C$108,0))+(1-INDEX('Borrowers'!$Q$9:$Q$108,MATCH(C182,'Borrowers'!$C$9:$C$108,0)))*T182),"Unavailable"))</x:f>
      </x:c>
      <x:c r="S182" s="30" t="str">
        <x:f>IF(C182="","",IFERROR(SUMPRODUCT((Sites!$D$9:$D$108=C182)*Sites!$I$9:$I$108*Sites!$J$9:$J$108*Sites!$K$9:$K$108*(1-Sites!$L$9:$L$108)),"Unavailable"))</x:f>
      </x:c>
      <x:c r="T182" s="30" t="str">
        <x:f>IF(C182="","",IFERROR(MIN(1,(SUMPRODUCT((Sites!$D$9:$D$108=C182)*Sites!$N$9:$N$108*Sites!$J$9:$J$108*Sites!$K$9:$K$108*(1-Sites!$L$9:$L$108)))*'Scenario Paths'!G27),"Unavailable"))</x:f>
      </x:c>
      <x:c r="U182" s="9" t="str">
        <x:f>IF(C182="","",IF(OR(INDEX('Borrowers'!$AA$9:$AA$108,MATCH(C182,'Borrowers'!$C$9:$C$108,0))&lt;&gt;"Ready",COUNTIF(Sites!$D$9:$D$108,C182)=0,COUNTIFS(Sites!$D$9:$D$108,C182,Sites!$Q$9:$Q$108,"&lt;&gt;Ready")&gt;0,'Scenario Paths'!$F$6&lt;&gt;"Ready"),"Review source inputs","Ready"))</x:f>
      </x:c>
      <x:c r="V182" s="17" t="str">
        <x:f>IF(C182="","",IFERROR(MAX(-1,(G182-O182)/MAX(0.000001,G182)),"Unavailable"))</x:f>
      </x:c>
      <x:c r="W182" s="9" t="str">
        <x:f>IF(C182="","",IFERROR(INDEX('Borrowers'!$D$9:$D$108,MATCH(C182,'Borrowers'!$C$9:$C$108,0)),"Unavailable"))</x:f>
      </x:c>
    </x:row>
    <x:row r="183" ht="26" customHeight="1">
      <x:c r="A183" s="1"/>
      <x:c r="B183" s="1"/>
      <x:c r="C183" s="9" t="str">
        <x:f>IF(Borrowers!C83="","",Borrowers!C83)</x:f>
      </x:c>
      <x:c r="D183" s="3" t="n">
        <x:v>2</x:v>
      </x:c>
      <x:c r="E183" s="9" t="n">
        <x:f>Settings!$F$18+1</x:f>
        <x:v>2028</x:v>
      </x:c>
      <x:c r="F183" s="9" t="str">
        <x:f>IF(C183="","",INDEX('Borrowers'!$F$9:$F$108,MATCH(C183,'Borrowers'!$C$9:$C$108,0)))</x:f>
      </x:c>
      <x:c r="G183" s="23" t="str">
        <x:f>IF(C183="","",IFERROR(INDEX('Borrowers'!$J$9:$J$108,MATCH(C183,'Borrowers'!$C$9:$C$108,0))-INDEX('Borrowers'!$K$9:$K$108,MATCH(C183,'Borrowers'!$C$9:$C$108,0)),"Unavailable"))</x:f>
      </x:c>
      <x:c r="H183" s="23" t="str">
        <x:f>IF(C183="","",IFERROR(INDEX('Borrowers'!$I$9:$I$108,MATCH(C183,'Borrowers'!$C$9:$C$108,0))*INDEX('Borrowers'!$U$9:$U$108,MATCH(C183,'Borrowers'!$C$9:$C$108,0))*(IF(F183="Transport",'Scenario Paths'!G156,IF(F183="Technology",'Scenario Paths'!G150,IF(F183="Utilities",'Scenario Paths'!G144,IF(F183="Agriculture",'Scenario Paths'!G138,IF(F183="Manufacturing",'Scenario Paths'!G132,IF(F183="Healthcare",'Scenario Paths'!G126,IF(F183="Hospitality",'Scenario Paths'!G120,IF(F183="Property",'Scenario Paths'!G114,IF(F183="Food",'Scenario Paths'!G108,IF(F183="Logistics",'Scenario Paths'!G102,IF(F183="Solar",'Scenario Paths'!G96,IF(F183="Cement",'Scenario Paths'!G90,0))))))))))))),"Unavailable"))</x:f>
      </x:c>
      <x:c r="I183" s="23" t="str">
        <x:f>IF(C183="","",IFERROR(INDEX('Borrowers'!$R$9:$R$108,MATCH(C183,'Borrowers'!$C$9:$C$108,0))*(1-INDEX('Borrowers'!$W$9:$W$108,MATCH(C183,'Borrowers'!$C$9:$C$108,0))*'Scenario Paths'!G39)*'Scenario Paths'!G9/1000000*(1-INDEX('Borrowers'!$T$9:$T$108,MATCH(C183,'Borrowers'!$C$9:$C$108,0))),"Unavailable"))</x:f>
      </x:c>
      <x:c r="J183" s="23" t="str">
        <x:f>IF(C183="","",IFERROR(INDEX('Borrowers'!$I$9:$I$108,MATCH(C183,'Borrowers'!$C$9:$C$108,0))*INDEX('Borrowers'!$S$9:$S$108,MATCH(C183,'Borrowers'!$C$9:$C$108,0))*'Scenario Paths'!G15*(1-INDEX('Borrowers'!$T$9:$T$108,MATCH(C183,'Borrowers'!$C$9:$C$108,0))),"Unavailable"))</x:f>
      </x:c>
      <x:c r="K183" s="23" t="str">
        <x:f>IF(C183="","",IFERROR(INDEX('Borrowers'!$I$9:$I$108,MATCH(C183,'Borrowers'!$C$9:$C$108,0))*INDEX('Borrowers'!$U$9:$U$108,MATCH(C183,'Borrowers'!$C$9:$C$108,0))*'Scenario Paths'!G21*S183,"Unavailable"))</x:f>
      </x:c>
      <x:c r="L183" s="23" t="str">
        <x:f>IF(C183="","",IFERROR(SUMPRODUCT((Sites!$D$9:$D$108=C183)*Sites!$H$9:$H$108*Sites!$J$9:$J$108*Sites!$K$9:$K$108*(1-Sites!$L$9:$L$108)*(1-Sites!$M$9:$M$108))*'Scenario Paths'!G27,"Unavailable"))</x:f>
      </x:c>
      <x:c r="M183" s="23" t="str">
        <x:f>IF(C183="","",IFERROR(INDEX('Borrowers'!$J$9:$J$108,MATCH(C183,'Borrowers'!$C$9:$C$108,0))+H183-SUM(I183:L183),"Unavailable"))</x:f>
      </x:c>
      <x:c r="N183" s="23" t="str">
        <x:f>IF(C183="","",IFERROR(INDEX('Borrowers'!$I$9:$I$108,MATCH(C183,'Borrowers'!$C$9:$C$108,0))*'Scenario Paths'!G33,"Unavailable"))</x:f>
      </x:c>
      <x:c r="O183" s="23" t="str">
        <x:f>IF(C183="","",IFERROR(M183-INDEX('Borrowers'!$K$9:$K$108,MATCH(C183,'Borrowers'!$C$9:$C$108,0))-N183,"Unavailable"))</x:f>
      </x:c>
      <x:c r="P183" s="127" t="str">
        <x:f>IF(C183="","",IFERROR(O183/INDEX('Borrowers'!$L$9:$L$108,MATCH(C183,'Borrowers'!$C$9:$C$108,0)),"Unavailable"))</x:f>
      </x:c>
      <x:c r="Q183" s="30" t="str">
        <x:f>IF(C183="","",IFERROR(IF(INDEX('Borrowers'!$Z$9:$Z$108,MATCH(C183,'Borrowers'!$C$9:$C$108,0))="Yes",1,IF(INDEX('Borrowers'!$P$9:$P$108,MATCH(C183,'Borrowers'!$C$9:$C$108,0))=0,0,MIN(1,INDEX('Borrowers'!$P$9:$P$108,MATCH(C183,'Borrowers'!$C$9:$C$108,0))*EXP(MIN(20,INDEX('Borrowers'!$V$9:$V$108,MATCH(C183,'Borrowers'!$C$9:$C$108,0))*V183))))),"Unavailable"))</x:f>
      </x:c>
      <x:c r="R183" s="30" t="str">
        <x:f>IF(C183="","",IFERROR(MIN(1,INDEX('Borrowers'!$Q$9:$Q$108,MATCH(C183,'Borrowers'!$C$9:$C$108,0))+(1-INDEX('Borrowers'!$Q$9:$Q$108,MATCH(C183,'Borrowers'!$C$9:$C$108,0)))*T183),"Unavailable"))</x:f>
      </x:c>
      <x:c r="S183" s="30" t="str">
        <x:f>IF(C183="","",IFERROR(SUMPRODUCT((Sites!$D$9:$D$108=C183)*Sites!$I$9:$I$108*Sites!$J$9:$J$108*Sites!$K$9:$K$108*(1-Sites!$L$9:$L$108)),"Unavailable"))</x:f>
      </x:c>
      <x:c r="T183" s="30" t="str">
        <x:f>IF(C183="","",IFERROR(MIN(1,(SUMPRODUCT((Sites!$D$9:$D$108=C183)*Sites!$N$9:$N$108*Sites!$J$9:$J$108*Sites!$K$9:$K$108*(1-Sites!$L$9:$L$108)))*'Scenario Paths'!G27),"Unavailable"))</x:f>
      </x:c>
      <x:c r="U183" s="9" t="str">
        <x:f>IF(C183="","",IF(OR(INDEX('Borrowers'!$AA$9:$AA$108,MATCH(C183,'Borrowers'!$C$9:$C$108,0))&lt;&gt;"Ready",COUNTIF(Sites!$D$9:$D$108,C183)=0,COUNTIFS(Sites!$D$9:$D$108,C183,Sites!$Q$9:$Q$108,"&lt;&gt;Ready")&gt;0,'Scenario Paths'!$F$6&lt;&gt;"Ready"),"Review source inputs","Ready"))</x:f>
      </x:c>
      <x:c r="V183" s="17" t="str">
        <x:f>IF(C183="","",IFERROR(MAX(-1,(G183-O183)/MAX(0.000001,G183)),"Unavailable"))</x:f>
      </x:c>
      <x:c r="W183" s="9" t="str">
        <x:f>IF(C183="","",IFERROR(INDEX('Borrowers'!$D$9:$D$108,MATCH(C183,'Borrowers'!$C$9:$C$108,0)),"Unavailable"))</x:f>
      </x:c>
    </x:row>
    <x:row r="184" ht="26" customHeight="1">
      <x:c r="A184" s="1"/>
      <x:c r="B184" s="1"/>
      <x:c r="C184" s="9" t="str">
        <x:f>IF(Borrowers!C84="","",Borrowers!C84)</x:f>
      </x:c>
      <x:c r="D184" s="3" t="n">
        <x:v>2</x:v>
      </x:c>
      <x:c r="E184" s="9" t="n">
        <x:f>Settings!$F$18+1</x:f>
        <x:v>2028</x:v>
      </x:c>
      <x:c r="F184" s="9" t="str">
        <x:f>IF(C184="","",INDEX('Borrowers'!$F$9:$F$108,MATCH(C184,'Borrowers'!$C$9:$C$108,0)))</x:f>
      </x:c>
      <x:c r="G184" s="23" t="str">
        <x:f>IF(C184="","",IFERROR(INDEX('Borrowers'!$J$9:$J$108,MATCH(C184,'Borrowers'!$C$9:$C$108,0))-INDEX('Borrowers'!$K$9:$K$108,MATCH(C184,'Borrowers'!$C$9:$C$108,0)),"Unavailable"))</x:f>
      </x:c>
      <x:c r="H184" s="23" t="str">
        <x:f>IF(C184="","",IFERROR(INDEX('Borrowers'!$I$9:$I$108,MATCH(C184,'Borrowers'!$C$9:$C$108,0))*INDEX('Borrowers'!$U$9:$U$108,MATCH(C184,'Borrowers'!$C$9:$C$108,0))*(IF(F184="Transport",'Scenario Paths'!G156,IF(F184="Technology",'Scenario Paths'!G150,IF(F184="Utilities",'Scenario Paths'!G144,IF(F184="Agriculture",'Scenario Paths'!G138,IF(F184="Manufacturing",'Scenario Paths'!G132,IF(F184="Healthcare",'Scenario Paths'!G126,IF(F184="Hospitality",'Scenario Paths'!G120,IF(F184="Property",'Scenario Paths'!G114,IF(F184="Food",'Scenario Paths'!G108,IF(F184="Logistics",'Scenario Paths'!G102,IF(F184="Solar",'Scenario Paths'!G96,IF(F184="Cement",'Scenario Paths'!G90,0))))))))))))),"Unavailable"))</x:f>
      </x:c>
      <x:c r="I184" s="23" t="str">
        <x:f>IF(C184="","",IFERROR(INDEX('Borrowers'!$R$9:$R$108,MATCH(C184,'Borrowers'!$C$9:$C$108,0))*(1-INDEX('Borrowers'!$W$9:$W$108,MATCH(C184,'Borrowers'!$C$9:$C$108,0))*'Scenario Paths'!G39)*'Scenario Paths'!G9/1000000*(1-INDEX('Borrowers'!$T$9:$T$108,MATCH(C184,'Borrowers'!$C$9:$C$108,0))),"Unavailable"))</x:f>
      </x:c>
      <x:c r="J184" s="23" t="str">
        <x:f>IF(C184="","",IFERROR(INDEX('Borrowers'!$I$9:$I$108,MATCH(C184,'Borrowers'!$C$9:$C$108,0))*INDEX('Borrowers'!$S$9:$S$108,MATCH(C184,'Borrowers'!$C$9:$C$108,0))*'Scenario Paths'!G15*(1-INDEX('Borrowers'!$T$9:$T$108,MATCH(C184,'Borrowers'!$C$9:$C$108,0))),"Unavailable"))</x:f>
      </x:c>
      <x:c r="K184" s="23" t="str">
        <x:f>IF(C184="","",IFERROR(INDEX('Borrowers'!$I$9:$I$108,MATCH(C184,'Borrowers'!$C$9:$C$108,0))*INDEX('Borrowers'!$U$9:$U$108,MATCH(C184,'Borrowers'!$C$9:$C$108,0))*'Scenario Paths'!G21*S184,"Unavailable"))</x:f>
      </x:c>
      <x:c r="L184" s="23" t="str">
        <x:f>IF(C184="","",IFERROR(SUMPRODUCT((Sites!$D$9:$D$108=C184)*Sites!$H$9:$H$108*Sites!$J$9:$J$108*Sites!$K$9:$K$108*(1-Sites!$L$9:$L$108)*(1-Sites!$M$9:$M$108))*'Scenario Paths'!G27,"Unavailable"))</x:f>
      </x:c>
      <x:c r="M184" s="23" t="str">
        <x:f>IF(C184="","",IFERROR(INDEX('Borrowers'!$J$9:$J$108,MATCH(C184,'Borrowers'!$C$9:$C$108,0))+H184-SUM(I184:L184),"Unavailable"))</x:f>
      </x:c>
      <x:c r="N184" s="23" t="str">
        <x:f>IF(C184="","",IFERROR(INDEX('Borrowers'!$I$9:$I$108,MATCH(C184,'Borrowers'!$C$9:$C$108,0))*'Scenario Paths'!G33,"Unavailable"))</x:f>
      </x:c>
      <x:c r="O184" s="23" t="str">
        <x:f>IF(C184="","",IFERROR(M184-INDEX('Borrowers'!$K$9:$K$108,MATCH(C184,'Borrowers'!$C$9:$C$108,0))-N184,"Unavailable"))</x:f>
      </x:c>
      <x:c r="P184" s="127" t="str">
        <x:f>IF(C184="","",IFERROR(O184/INDEX('Borrowers'!$L$9:$L$108,MATCH(C184,'Borrowers'!$C$9:$C$108,0)),"Unavailable"))</x:f>
      </x:c>
      <x:c r="Q184" s="30" t="str">
        <x:f>IF(C184="","",IFERROR(IF(INDEX('Borrowers'!$Z$9:$Z$108,MATCH(C184,'Borrowers'!$C$9:$C$108,0))="Yes",1,IF(INDEX('Borrowers'!$P$9:$P$108,MATCH(C184,'Borrowers'!$C$9:$C$108,0))=0,0,MIN(1,INDEX('Borrowers'!$P$9:$P$108,MATCH(C184,'Borrowers'!$C$9:$C$108,0))*EXP(MIN(20,INDEX('Borrowers'!$V$9:$V$108,MATCH(C184,'Borrowers'!$C$9:$C$108,0))*V184))))),"Unavailable"))</x:f>
      </x:c>
      <x:c r="R184" s="30" t="str">
        <x:f>IF(C184="","",IFERROR(MIN(1,INDEX('Borrowers'!$Q$9:$Q$108,MATCH(C184,'Borrowers'!$C$9:$C$108,0))+(1-INDEX('Borrowers'!$Q$9:$Q$108,MATCH(C184,'Borrowers'!$C$9:$C$108,0)))*T184),"Unavailable"))</x:f>
      </x:c>
      <x:c r="S184" s="30" t="str">
        <x:f>IF(C184="","",IFERROR(SUMPRODUCT((Sites!$D$9:$D$108=C184)*Sites!$I$9:$I$108*Sites!$J$9:$J$108*Sites!$K$9:$K$108*(1-Sites!$L$9:$L$108)),"Unavailable"))</x:f>
      </x:c>
      <x:c r="T184" s="30" t="str">
        <x:f>IF(C184="","",IFERROR(MIN(1,(SUMPRODUCT((Sites!$D$9:$D$108=C184)*Sites!$N$9:$N$108*Sites!$J$9:$J$108*Sites!$K$9:$K$108*(1-Sites!$L$9:$L$108)))*'Scenario Paths'!G27),"Unavailable"))</x:f>
      </x:c>
      <x:c r="U184" s="9" t="str">
        <x:f>IF(C184="","",IF(OR(INDEX('Borrowers'!$AA$9:$AA$108,MATCH(C184,'Borrowers'!$C$9:$C$108,0))&lt;&gt;"Ready",COUNTIF(Sites!$D$9:$D$108,C184)=0,COUNTIFS(Sites!$D$9:$D$108,C184,Sites!$Q$9:$Q$108,"&lt;&gt;Ready")&gt;0,'Scenario Paths'!$F$6&lt;&gt;"Ready"),"Review source inputs","Ready"))</x:f>
      </x:c>
      <x:c r="V184" s="17" t="str">
        <x:f>IF(C184="","",IFERROR(MAX(-1,(G184-O184)/MAX(0.000001,G184)),"Unavailable"))</x:f>
      </x:c>
      <x:c r="W184" s="9" t="str">
        <x:f>IF(C184="","",IFERROR(INDEX('Borrowers'!$D$9:$D$108,MATCH(C184,'Borrowers'!$C$9:$C$108,0)),"Unavailable"))</x:f>
      </x:c>
    </x:row>
    <x:row r="185" ht="26" customHeight="1">
      <x:c r="A185" s="1"/>
      <x:c r="B185" s="1"/>
      <x:c r="C185" s="9" t="str">
        <x:f>IF(Borrowers!C85="","",Borrowers!C85)</x:f>
      </x:c>
      <x:c r="D185" s="3" t="n">
        <x:v>2</x:v>
      </x:c>
      <x:c r="E185" s="9" t="n">
        <x:f>Settings!$F$18+1</x:f>
        <x:v>2028</x:v>
      </x:c>
      <x:c r="F185" s="9" t="str">
        <x:f>IF(C185="","",INDEX('Borrowers'!$F$9:$F$108,MATCH(C185,'Borrowers'!$C$9:$C$108,0)))</x:f>
      </x:c>
      <x:c r="G185" s="23" t="str">
        <x:f>IF(C185="","",IFERROR(INDEX('Borrowers'!$J$9:$J$108,MATCH(C185,'Borrowers'!$C$9:$C$108,0))-INDEX('Borrowers'!$K$9:$K$108,MATCH(C185,'Borrowers'!$C$9:$C$108,0)),"Unavailable"))</x:f>
      </x:c>
      <x:c r="H185" s="23" t="str">
        <x:f>IF(C185="","",IFERROR(INDEX('Borrowers'!$I$9:$I$108,MATCH(C185,'Borrowers'!$C$9:$C$108,0))*INDEX('Borrowers'!$U$9:$U$108,MATCH(C185,'Borrowers'!$C$9:$C$108,0))*(IF(F185="Transport",'Scenario Paths'!G156,IF(F185="Technology",'Scenario Paths'!G150,IF(F185="Utilities",'Scenario Paths'!G144,IF(F185="Agriculture",'Scenario Paths'!G138,IF(F185="Manufacturing",'Scenario Paths'!G132,IF(F185="Healthcare",'Scenario Paths'!G126,IF(F185="Hospitality",'Scenario Paths'!G120,IF(F185="Property",'Scenario Paths'!G114,IF(F185="Food",'Scenario Paths'!G108,IF(F185="Logistics",'Scenario Paths'!G102,IF(F185="Solar",'Scenario Paths'!G96,IF(F185="Cement",'Scenario Paths'!G90,0))))))))))))),"Unavailable"))</x:f>
      </x:c>
      <x:c r="I185" s="23" t="str">
        <x:f>IF(C185="","",IFERROR(INDEX('Borrowers'!$R$9:$R$108,MATCH(C185,'Borrowers'!$C$9:$C$108,0))*(1-INDEX('Borrowers'!$W$9:$W$108,MATCH(C185,'Borrowers'!$C$9:$C$108,0))*'Scenario Paths'!G39)*'Scenario Paths'!G9/1000000*(1-INDEX('Borrowers'!$T$9:$T$108,MATCH(C185,'Borrowers'!$C$9:$C$108,0))),"Unavailable"))</x:f>
      </x:c>
      <x:c r="J185" s="23" t="str">
        <x:f>IF(C185="","",IFERROR(INDEX('Borrowers'!$I$9:$I$108,MATCH(C185,'Borrowers'!$C$9:$C$108,0))*INDEX('Borrowers'!$S$9:$S$108,MATCH(C185,'Borrowers'!$C$9:$C$108,0))*'Scenario Paths'!G15*(1-INDEX('Borrowers'!$T$9:$T$108,MATCH(C185,'Borrowers'!$C$9:$C$108,0))),"Unavailable"))</x:f>
      </x:c>
      <x:c r="K185" s="23" t="str">
        <x:f>IF(C185="","",IFERROR(INDEX('Borrowers'!$I$9:$I$108,MATCH(C185,'Borrowers'!$C$9:$C$108,0))*INDEX('Borrowers'!$U$9:$U$108,MATCH(C185,'Borrowers'!$C$9:$C$108,0))*'Scenario Paths'!G21*S185,"Unavailable"))</x:f>
      </x:c>
      <x:c r="L185" s="23" t="str">
        <x:f>IF(C185="","",IFERROR(SUMPRODUCT((Sites!$D$9:$D$108=C185)*Sites!$H$9:$H$108*Sites!$J$9:$J$108*Sites!$K$9:$K$108*(1-Sites!$L$9:$L$108)*(1-Sites!$M$9:$M$108))*'Scenario Paths'!G27,"Unavailable"))</x:f>
      </x:c>
      <x:c r="M185" s="23" t="str">
        <x:f>IF(C185="","",IFERROR(INDEX('Borrowers'!$J$9:$J$108,MATCH(C185,'Borrowers'!$C$9:$C$108,0))+H185-SUM(I185:L185),"Unavailable"))</x:f>
      </x:c>
      <x:c r="N185" s="23" t="str">
        <x:f>IF(C185="","",IFERROR(INDEX('Borrowers'!$I$9:$I$108,MATCH(C185,'Borrowers'!$C$9:$C$108,0))*'Scenario Paths'!G33,"Unavailable"))</x:f>
      </x:c>
      <x:c r="O185" s="23" t="str">
        <x:f>IF(C185="","",IFERROR(M185-INDEX('Borrowers'!$K$9:$K$108,MATCH(C185,'Borrowers'!$C$9:$C$108,0))-N185,"Unavailable"))</x:f>
      </x:c>
      <x:c r="P185" s="127" t="str">
        <x:f>IF(C185="","",IFERROR(O185/INDEX('Borrowers'!$L$9:$L$108,MATCH(C185,'Borrowers'!$C$9:$C$108,0)),"Unavailable"))</x:f>
      </x:c>
      <x:c r="Q185" s="30" t="str">
        <x:f>IF(C185="","",IFERROR(IF(INDEX('Borrowers'!$Z$9:$Z$108,MATCH(C185,'Borrowers'!$C$9:$C$108,0))="Yes",1,IF(INDEX('Borrowers'!$P$9:$P$108,MATCH(C185,'Borrowers'!$C$9:$C$108,0))=0,0,MIN(1,INDEX('Borrowers'!$P$9:$P$108,MATCH(C185,'Borrowers'!$C$9:$C$108,0))*EXP(MIN(20,INDEX('Borrowers'!$V$9:$V$108,MATCH(C185,'Borrowers'!$C$9:$C$108,0))*V185))))),"Unavailable"))</x:f>
      </x:c>
      <x:c r="R185" s="30" t="str">
        <x:f>IF(C185="","",IFERROR(MIN(1,INDEX('Borrowers'!$Q$9:$Q$108,MATCH(C185,'Borrowers'!$C$9:$C$108,0))+(1-INDEX('Borrowers'!$Q$9:$Q$108,MATCH(C185,'Borrowers'!$C$9:$C$108,0)))*T185),"Unavailable"))</x:f>
      </x:c>
      <x:c r="S185" s="30" t="str">
        <x:f>IF(C185="","",IFERROR(SUMPRODUCT((Sites!$D$9:$D$108=C185)*Sites!$I$9:$I$108*Sites!$J$9:$J$108*Sites!$K$9:$K$108*(1-Sites!$L$9:$L$108)),"Unavailable"))</x:f>
      </x:c>
      <x:c r="T185" s="30" t="str">
        <x:f>IF(C185="","",IFERROR(MIN(1,(SUMPRODUCT((Sites!$D$9:$D$108=C185)*Sites!$N$9:$N$108*Sites!$J$9:$J$108*Sites!$K$9:$K$108*(1-Sites!$L$9:$L$108)))*'Scenario Paths'!G27),"Unavailable"))</x:f>
      </x:c>
      <x:c r="U185" s="9" t="str">
        <x:f>IF(C185="","",IF(OR(INDEX('Borrowers'!$AA$9:$AA$108,MATCH(C185,'Borrowers'!$C$9:$C$108,0))&lt;&gt;"Ready",COUNTIF(Sites!$D$9:$D$108,C185)=0,COUNTIFS(Sites!$D$9:$D$108,C185,Sites!$Q$9:$Q$108,"&lt;&gt;Ready")&gt;0,'Scenario Paths'!$F$6&lt;&gt;"Ready"),"Review source inputs","Ready"))</x:f>
      </x:c>
      <x:c r="V185" s="17" t="str">
        <x:f>IF(C185="","",IFERROR(MAX(-1,(G185-O185)/MAX(0.000001,G185)),"Unavailable"))</x:f>
      </x:c>
      <x:c r="W185" s="9" t="str">
        <x:f>IF(C185="","",IFERROR(INDEX('Borrowers'!$D$9:$D$108,MATCH(C185,'Borrowers'!$C$9:$C$108,0)),"Unavailable"))</x:f>
      </x:c>
    </x:row>
    <x:row r="186" ht="26" customHeight="1">
      <x:c r="A186" s="1"/>
      <x:c r="B186" s="1"/>
      <x:c r="C186" s="9" t="str">
        <x:f>IF(Borrowers!C86="","",Borrowers!C86)</x:f>
      </x:c>
      <x:c r="D186" s="3" t="n">
        <x:v>2</x:v>
      </x:c>
      <x:c r="E186" s="9" t="n">
        <x:f>Settings!$F$18+1</x:f>
        <x:v>2028</x:v>
      </x:c>
      <x:c r="F186" s="9" t="str">
        <x:f>IF(C186="","",INDEX('Borrowers'!$F$9:$F$108,MATCH(C186,'Borrowers'!$C$9:$C$108,0)))</x:f>
      </x:c>
      <x:c r="G186" s="23" t="str">
        <x:f>IF(C186="","",IFERROR(INDEX('Borrowers'!$J$9:$J$108,MATCH(C186,'Borrowers'!$C$9:$C$108,0))-INDEX('Borrowers'!$K$9:$K$108,MATCH(C186,'Borrowers'!$C$9:$C$108,0)),"Unavailable"))</x:f>
      </x:c>
      <x:c r="H186" s="23" t="str">
        <x:f>IF(C186="","",IFERROR(INDEX('Borrowers'!$I$9:$I$108,MATCH(C186,'Borrowers'!$C$9:$C$108,0))*INDEX('Borrowers'!$U$9:$U$108,MATCH(C186,'Borrowers'!$C$9:$C$108,0))*(IF(F186="Transport",'Scenario Paths'!G156,IF(F186="Technology",'Scenario Paths'!G150,IF(F186="Utilities",'Scenario Paths'!G144,IF(F186="Agriculture",'Scenario Paths'!G138,IF(F186="Manufacturing",'Scenario Paths'!G132,IF(F186="Healthcare",'Scenario Paths'!G126,IF(F186="Hospitality",'Scenario Paths'!G120,IF(F186="Property",'Scenario Paths'!G114,IF(F186="Food",'Scenario Paths'!G108,IF(F186="Logistics",'Scenario Paths'!G102,IF(F186="Solar",'Scenario Paths'!G96,IF(F186="Cement",'Scenario Paths'!G90,0))))))))))))),"Unavailable"))</x:f>
      </x:c>
      <x:c r="I186" s="23" t="str">
        <x:f>IF(C186="","",IFERROR(INDEX('Borrowers'!$R$9:$R$108,MATCH(C186,'Borrowers'!$C$9:$C$108,0))*(1-INDEX('Borrowers'!$W$9:$W$108,MATCH(C186,'Borrowers'!$C$9:$C$108,0))*'Scenario Paths'!G39)*'Scenario Paths'!G9/1000000*(1-INDEX('Borrowers'!$T$9:$T$108,MATCH(C186,'Borrowers'!$C$9:$C$108,0))),"Unavailable"))</x:f>
      </x:c>
      <x:c r="J186" s="23" t="str">
        <x:f>IF(C186="","",IFERROR(INDEX('Borrowers'!$I$9:$I$108,MATCH(C186,'Borrowers'!$C$9:$C$108,0))*INDEX('Borrowers'!$S$9:$S$108,MATCH(C186,'Borrowers'!$C$9:$C$108,0))*'Scenario Paths'!G15*(1-INDEX('Borrowers'!$T$9:$T$108,MATCH(C186,'Borrowers'!$C$9:$C$108,0))),"Unavailable"))</x:f>
      </x:c>
      <x:c r="K186" s="23" t="str">
        <x:f>IF(C186="","",IFERROR(INDEX('Borrowers'!$I$9:$I$108,MATCH(C186,'Borrowers'!$C$9:$C$108,0))*INDEX('Borrowers'!$U$9:$U$108,MATCH(C186,'Borrowers'!$C$9:$C$108,0))*'Scenario Paths'!G21*S186,"Unavailable"))</x:f>
      </x:c>
      <x:c r="L186" s="23" t="str">
        <x:f>IF(C186="","",IFERROR(SUMPRODUCT((Sites!$D$9:$D$108=C186)*Sites!$H$9:$H$108*Sites!$J$9:$J$108*Sites!$K$9:$K$108*(1-Sites!$L$9:$L$108)*(1-Sites!$M$9:$M$108))*'Scenario Paths'!G27,"Unavailable"))</x:f>
      </x:c>
      <x:c r="M186" s="23" t="str">
        <x:f>IF(C186="","",IFERROR(INDEX('Borrowers'!$J$9:$J$108,MATCH(C186,'Borrowers'!$C$9:$C$108,0))+H186-SUM(I186:L186),"Unavailable"))</x:f>
      </x:c>
      <x:c r="N186" s="23" t="str">
        <x:f>IF(C186="","",IFERROR(INDEX('Borrowers'!$I$9:$I$108,MATCH(C186,'Borrowers'!$C$9:$C$108,0))*'Scenario Paths'!G33,"Unavailable"))</x:f>
      </x:c>
      <x:c r="O186" s="23" t="str">
        <x:f>IF(C186="","",IFERROR(M186-INDEX('Borrowers'!$K$9:$K$108,MATCH(C186,'Borrowers'!$C$9:$C$108,0))-N186,"Unavailable"))</x:f>
      </x:c>
      <x:c r="P186" s="127" t="str">
        <x:f>IF(C186="","",IFERROR(O186/INDEX('Borrowers'!$L$9:$L$108,MATCH(C186,'Borrowers'!$C$9:$C$108,0)),"Unavailable"))</x:f>
      </x:c>
      <x:c r="Q186" s="30" t="str">
        <x:f>IF(C186="","",IFERROR(IF(INDEX('Borrowers'!$Z$9:$Z$108,MATCH(C186,'Borrowers'!$C$9:$C$108,0))="Yes",1,IF(INDEX('Borrowers'!$P$9:$P$108,MATCH(C186,'Borrowers'!$C$9:$C$108,0))=0,0,MIN(1,INDEX('Borrowers'!$P$9:$P$108,MATCH(C186,'Borrowers'!$C$9:$C$108,0))*EXP(MIN(20,INDEX('Borrowers'!$V$9:$V$108,MATCH(C186,'Borrowers'!$C$9:$C$108,0))*V186))))),"Unavailable"))</x:f>
      </x:c>
      <x:c r="R186" s="30" t="str">
        <x:f>IF(C186="","",IFERROR(MIN(1,INDEX('Borrowers'!$Q$9:$Q$108,MATCH(C186,'Borrowers'!$C$9:$C$108,0))+(1-INDEX('Borrowers'!$Q$9:$Q$108,MATCH(C186,'Borrowers'!$C$9:$C$108,0)))*T186),"Unavailable"))</x:f>
      </x:c>
      <x:c r="S186" s="30" t="str">
        <x:f>IF(C186="","",IFERROR(SUMPRODUCT((Sites!$D$9:$D$108=C186)*Sites!$I$9:$I$108*Sites!$J$9:$J$108*Sites!$K$9:$K$108*(1-Sites!$L$9:$L$108)),"Unavailable"))</x:f>
      </x:c>
      <x:c r="T186" s="30" t="str">
        <x:f>IF(C186="","",IFERROR(MIN(1,(SUMPRODUCT((Sites!$D$9:$D$108=C186)*Sites!$N$9:$N$108*Sites!$J$9:$J$108*Sites!$K$9:$K$108*(1-Sites!$L$9:$L$108)))*'Scenario Paths'!G27),"Unavailable"))</x:f>
      </x:c>
      <x:c r="U186" s="9" t="str">
        <x:f>IF(C186="","",IF(OR(INDEX('Borrowers'!$AA$9:$AA$108,MATCH(C186,'Borrowers'!$C$9:$C$108,0))&lt;&gt;"Ready",COUNTIF(Sites!$D$9:$D$108,C186)=0,COUNTIFS(Sites!$D$9:$D$108,C186,Sites!$Q$9:$Q$108,"&lt;&gt;Ready")&gt;0,'Scenario Paths'!$F$6&lt;&gt;"Ready"),"Review source inputs","Ready"))</x:f>
      </x:c>
      <x:c r="V186" s="17" t="str">
        <x:f>IF(C186="","",IFERROR(MAX(-1,(G186-O186)/MAX(0.000001,G186)),"Unavailable"))</x:f>
      </x:c>
      <x:c r="W186" s="9" t="str">
        <x:f>IF(C186="","",IFERROR(INDEX('Borrowers'!$D$9:$D$108,MATCH(C186,'Borrowers'!$C$9:$C$108,0)),"Unavailable"))</x:f>
      </x:c>
    </x:row>
    <x:row r="187" ht="26" customHeight="1">
      <x:c r="A187" s="1"/>
      <x:c r="B187" s="1"/>
      <x:c r="C187" s="9" t="str">
        <x:f>IF(Borrowers!C87="","",Borrowers!C87)</x:f>
      </x:c>
      <x:c r="D187" s="3" t="n">
        <x:v>2</x:v>
      </x:c>
      <x:c r="E187" s="9" t="n">
        <x:f>Settings!$F$18+1</x:f>
        <x:v>2028</x:v>
      </x:c>
      <x:c r="F187" s="9" t="str">
        <x:f>IF(C187="","",INDEX('Borrowers'!$F$9:$F$108,MATCH(C187,'Borrowers'!$C$9:$C$108,0)))</x:f>
      </x:c>
      <x:c r="G187" s="23" t="str">
        <x:f>IF(C187="","",IFERROR(INDEX('Borrowers'!$J$9:$J$108,MATCH(C187,'Borrowers'!$C$9:$C$108,0))-INDEX('Borrowers'!$K$9:$K$108,MATCH(C187,'Borrowers'!$C$9:$C$108,0)),"Unavailable"))</x:f>
      </x:c>
      <x:c r="H187" s="23" t="str">
        <x:f>IF(C187="","",IFERROR(INDEX('Borrowers'!$I$9:$I$108,MATCH(C187,'Borrowers'!$C$9:$C$108,0))*INDEX('Borrowers'!$U$9:$U$108,MATCH(C187,'Borrowers'!$C$9:$C$108,0))*(IF(F187="Transport",'Scenario Paths'!G156,IF(F187="Technology",'Scenario Paths'!G150,IF(F187="Utilities",'Scenario Paths'!G144,IF(F187="Agriculture",'Scenario Paths'!G138,IF(F187="Manufacturing",'Scenario Paths'!G132,IF(F187="Healthcare",'Scenario Paths'!G126,IF(F187="Hospitality",'Scenario Paths'!G120,IF(F187="Property",'Scenario Paths'!G114,IF(F187="Food",'Scenario Paths'!G108,IF(F187="Logistics",'Scenario Paths'!G102,IF(F187="Solar",'Scenario Paths'!G96,IF(F187="Cement",'Scenario Paths'!G90,0))))))))))))),"Unavailable"))</x:f>
      </x:c>
      <x:c r="I187" s="23" t="str">
        <x:f>IF(C187="","",IFERROR(INDEX('Borrowers'!$R$9:$R$108,MATCH(C187,'Borrowers'!$C$9:$C$108,0))*(1-INDEX('Borrowers'!$W$9:$W$108,MATCH(C187,'Borrowers'!$C$9:$C$108,0))*'Scenario Paths'!G39)*'Scenario Paths'!G9/1000000*(1-INDEX('Borrowers'!$T$9:$T$108,MATCH(C187,'Borrowers'!$C$9:$C$108,0))),"Unavailable"))</x:f>
      </x:c>
      <x:c r="J187" s="23" t="str">
        <x:f>IF(C187="","",IFERROR(INDEX('Borrowers'!$I$9:$I$108,MATCH(C187,'Borrowers'!$C$9:$C$108,0))*INDEX('Borrowers'!$S$9:$S$108,MATCH(C187,'Borrowers'!$C$9:$C$108,0))*'Scenario Paths'!G15*(1-INDEX('Borrowers'!$T$9:$T$108,MATCH(C187,'Borrowers'!$C$9:$C$108,0))),"Unavailable"))</x:f>
      </x:c>
      <x:c r="K187" s="23" t="str">
        <x:f>IF(C187="","",IFERROR(INDEX('Borrowers'!$I$9:$I$108,MATCH(C187,'Borrowers'!$C$9:$C$108,0))*INDEX('Borrowers'!$U$9:$U$108,MATCH(C187,'Borrowers'!$C$9:$C$108,0))*'Scenario Paths'!G21*S187,"Unavailable"))</x:f>
      </x:c>
      <x:c r="L187" s="23" t="str">
        <x:f>IF(C187="","",IFERROR(SUMPRODUCT((Sites!$D$9:$D$108=C187)*Sites!$H$9:$H$108*Sites!$J$9:$J$108*Sites!$K$9:$K$108*(1-Sites!$L$9:$L$108)*(1-Sites!$M$9:$M$108))*'Scenario Paths'!G27,"Unavailable"))</x:f>
      </x:c>
      <x:c r="M187" s="23" t="str">
        <x:f>IF(C187="","",IFERROR(INDEX('Borrowers'!$J$9:$J$108,MATCH(C187,'Borrowers'!$C$9:$C$108,0))+H187-SUM(I187:L187),"Unavailable"))</x:f>
      </x:c>
      <x:c r="N187" s="23" t="str">
        <x:f>IF(C187="","",IFERROR(INDEX('Borrowers'!$I$9:$I$108,MATCH(C187,'Borrowers'!$C$9:$C$108,0))*'Scenario Paths'!G33,"Unavailable"))</x:f>
      </x:c>
      <x:c r="O187" s="23" t="str">
        <x:f>IF(C187="","",IFERROR(M187-INDEX('Borrowers'!$K$9:$K$108,MATCH(C187,'Borrowers'!$C$9:$C$108,0))-N187,"Unavailable"))</x:f>
      </x:c>
      <x:c r="P187" s="127" t="str">
        <x:f>IF(C187="","",IFERROR(O187/INDEX('Borrowers'!$L$9:$L$108,MATCH(C187,'Borrowers'!$C$9:$C$108,0)),"Unavailable"))</x:f>
      </x:c>
      <x:c r="Q187" s="30" t="str">
        <x:f>IF(C187="","",IFERROR(IF(INDEX('Borrowers'!$Z$9:$Z$108,MATCH(C187,'Borrowers'!$C$9:$C$108,0))="Yes",1,IF(INDEX('Borrowers'!$P$9:$P$108,MATCH(C187,'Borrowers'!$C$9:$C$108,0))=0,0,MIN(1,INDEX('Borrowers'!$P$9:$P$108,MATCH(C187,'Borrowers'!$C$9:$C$108,0))*EXP(MIN(20,INDEX('Borrowers'!$V$9:$V$108,MATCH(C187,'Borrowers'!$C$9:$C$108,0))*V187))))),"Unavailable"))</x:f>
      </x:c>
      <x:c r="R187" s="30" t="str">
        <x:f>IF(C187="","",IFERROR(MIN(1,INDEX('Borrowers'!$Q$9:$Q$108,MATCH(C187,'Borrowers'!$C$9:$C$108,0))+(1-INDEX('Borrowers'!$Q$9:$Q$108,MATCH(C187,'Borrowers'!$C$9:$C$108,0)))*T187),"Unavailable"))</x:f>
      </x:c>
      <x:c r="S187" s="30" t="str">
        <x:f>IF(C187="","",IFERROR(SUMPRODUCT((Sites!$D$9:$D$108=C187)*Sites!$I$9:$I$108*Sites!$J$9:$J$108*Sites!$K$9:$K$108*(1-Sites!$L$9:$L$108)),"Unavailable"))</x:f>
      </x:c>
      <x:c r="T187" s="30" t="str">
        <x:f>IF(C187="","",IFERROR(MIN(1,(SUMPRODUCT((Sites!$D$9:$D$108=C187)*Sites!$N$9:$N$108*Sites!$J$9:$J$108*Sites!$K$9:$K$108*(1-Sites!$L$9:$L$108)))*'Scenario Paths'!G27),"Unavailable"))</x:f>
      </x:c>
      <x:c r="U187" s="9" t="str">
        <x:f>IF(C187="","",IF(OR(INDEX('Borrowers'!$AA$9:$AA$108,MATCH(C187,'Borrowers'!$C$9:$C$108,0))&lt;&gt;"Ready",COUNTIF(Sites!$D$9:$D$108,C187)=0,COUNTIFS(Sites!$D$9:$D$108,C187,Sites!$Q$9:$Q$108,"&lt;&gt;Ready")&gt;0,'Scenario Paths'!$F$6&lt;&gt;"Ready"),"Review source inputs","Ready"))</x:f>
      </x:c>
      <x:c r="V187" s="17" t="str">
        <x:f>IF(C187="","",IFERROR(MAX(-1,(G187-O187)/MAX(0.000001,G187)),"Unavailable"))</x:f>
      </x:c>
      <x:c r="W187" s="9" t="str">
        <x:f>IF(C187="","",IFERROR(INDEX('Borrowers'!$D$9:$D$108,MATCH(C187,'Borrowers'!$C$9:$C$108,0)),"Unavailable"))</x:f>
      </x:c>
    </x:row>
    <x:row r="188" ht="26" customHeight="1">
      <x:c r="A188" s="1"/>
      <x:c r="B188" s="1"/>
      <x:c r="C188" s="9" t="str">
        <x:f>IF(Borrowers!C88="","",Borrowers!C88)</x:f>
      </x:c>
      <x:c r="D188" s="3" t="n">
        <x:v>2</x:v>
      </x:c>
      <x:c r="E188" s="9" t="n">
        <x:f>Settings!$F$18+1</x:f>
        <x:v>2028</x:v>
      </x:c>
      <x:c r="F188" s="9" t="str">
        <x:f>IF(C188="","",INDEX('Borrowers'!$F$9:$F$108,MATCH(C188,'Borrowers'!$C$9:$C$108,0)))</x:f>
      </x:c>
      <x:c r="G188" s="23" t="str">
        <x:f>IF(C188="","",IFERROR(INDEX('Borrowers'!$J$9:$J$108,MATCH(C188,'Borrowers'!$C$9:$C$108,0))-INDEX('Borrowers'!$K$9:$K$108,MATCH(C188,'Borrowers'!$C$9:$C$108,0)),"Unavailable"))</x:f>
      </x:c>
      <x:c r="H188" s="23" t="str">
        <x:f>IF(C188="","",IFERROR(INDEX('Borrowers'!$I$9:$I$108,MATCH(C188,'Borrowers'!$C$9:$C$108,0))*INDEX('Borrowers'!$U$9:$U$108,MATCH(C188,'Borrowers'!$C$9:$C$108,0))*(IF(F188="Transport",'Scenario Paths'!G156,IF(F188="Technology",'Scenario Paths'!G150,IF(F188="Utilities",'Scenario Paths'!G144,IF(F188="Agriculture",'Scenario Paths'!G138,IF(F188="Manufacturing",'Scenario Paths'!G132,IF(F188="Healthcare",'Scenario Paths'!G126,IF(F188="Hospitality",'Scenario Paths'!G120,IF(F188="Property",'Scenario Paths'!G114,IF(F188="Food",'Scenario Paths'!G108,IF(F188="Logistics",'Scenario Paths'!G102,IF(F188="Solar",'Scenario Paths'!G96,IF(F188="Cement",'Scenario Paths'!G90,0))))))))))))),"Unavailable"))</x:f>
      </x:c>
      <x:c r="I188" s="23" t="str">
        <x:f>IF(C188="","",IFERROR(INDEX('Borrowers'!$R$9:$R$108,MATCH(C188,'Borrowers'!$C$9:$C$108,0))*(1-INDEX('Borrowers'!$W$9:$W$108,MATCH(C188,'Borrowers'!$C$9:$C$108,0))*'Scenario Paths'!G39)*'Scenario Paths'!G9/1000000*(1-INDEX('Borrowers'!$T$9:$T$108,MATCH(C188,'Borrowers'!$C$9:$C$108,0))),"Unavailable"))</x:f>
      </x:c>
      <x:c r="J188" s="23" t="str">
        <x:f>IF(C188="","",IFERROR(INDEX('Borrowers'!$I$9:$I$108,MATCH(C188,'Borrowers'!$C$9:$C$108,0))*INDEX('Borrowers'!$S$9:$S$108,MATCH(C188,'Borrowers'!$C$9:$C$108,0))*'Scenario Paths'!G15*(1-INDEX('Borrowers'!$T$9:$T$108,MATCH(C188,'Borrowers'!$C$9:$C$108,0))),"Unavailable"))</x:f>
      </x:c>
      <x:c r="K188" s="23" t="str">
        <x:f>IF(C188="","",IFERROR(INDEX('Borrowers'!$I$9:$I$108,MATCH(C188,'Borrowers'!$C$9:$C$108,0))*INDEX('Borrowers'!$U$9:$U$108,MATCH(C188,'Borrowers'!$C$9:$C$108,0))*'Scenario Paths'!G21*S188,"Unavailable"))</x:f>
      </x:c>
      <x:c r="L188" s="23" t="str">
        <x:f>IF(C188="","",IFERROR(SUMPRODUCT((Sites!$D$9:$D$108=C188)*Sites!$H$9:$H$108*Sites!$J$9:$J$108*Sites!$K$9:$K$108*(1-Sites!$L$9:$L$108)*(1-Sites!$M$9:$M$108))*'Scenario Paths'!G27,"Unavailable"))</x:f>
      </x:c>
      <x:c r="M188" s="23" t="str">
        <x:f>IF(C188="","",IFERROR(INDEX('Borrowers'!$J$9:$J$108,MATCH(C188,'Borrowers'!$C$9:$C$108,0))+H188-SUM(I188:L188),"Unavailable"))</x:f>
      </x:c>
      <x:c r="N188" s="23" t="str">
        <x:f>IF(C188="","",IFERROR(INDEX('Borrowers'!$I$9:$I$108,MATCH(C188,'Borrowers'!$C$9:$C$108,0))*'Scenario Paths'!G33,"Unavailable"))</x:f>
      </x:c>
      <x:c r="O188" s="23" t="str">
        <x:f>IF(C188="","",IFERROR(M188-INDEX('Borrowers'!$K$9:$K$108,MATCH(C188,'Borrowers'!$C$9:$C$108,0))-N188,"Unavailable"))</x:f>
      </x:c>
      <x:c r="P188" s="127" t="str">
        <x:f>IF(C188="","",IFERROR(O188/INDEX('Borrowers'!$L$9:$L$108,MATCH(C188,'Borrowers'!$C$9:$C$108,0)),"Unavailable"))</x:f>
      </x:c>
      <x:c r="Q188" s="30" t="str">
        <x:f>IF(C188="","",IFERROR(IF(INDEX('Borrowers'!$Z$9:$Z$108,MATCH(C188,'Borrowers'!$C$9:$C$108,0))="Yes",1,IF(INDEX('Borrowers'!$P$9:$P$108,MATCH(C188,'Borrowers'!$C$9:$C$108,0))=0,0,MIN(1,INDEX('Borrowers'!$P$9:$P$108,MATCH(C188,'Borrowers'!$C$9:$C$108,0))*EXP(MIN(20,INDEX('Borrowers'!$V$9:$V$108,MATCH(C188,'Borrowers'!$C$9:$C$108,0))*V188))))),"Unavailable"))</x:f>
      </x:c>
      <x:c r="R188" s="30" t="str">
        <x:f>IF(C188="","",IFERROR(MIN(1,INDEX('Borrowers'!$Q$9:$Q$108,MATCH(C188,'Borrowers'!$C$9:$C$108,0))+(1-INDEX('Borrowers'!$Q$9:$Q$108,MATCH(C188,'Borrowers'!$C$9:$C$108,0)))*T188),"Unavailable"))</x:f>
      </x:c>
      <x:c r="S188" s="30" t="str">
        <x:f>IF(C188="","",IFERROR(SUMPRODUCT((Sites!$D$9:$D$108=C188)*Sites!$I$9:$I$108*Sites!$J$9:$J$108*Sites!$K$9:$K$108*(1-Sites!$L$9:$L$108)),"Unavailable"))</x:f>
      </x:c>
      <x:c r="T188" s="30" t="str">
        <x:f>IF(C188="","",IFERROR(MIN(1,(SUMPRODUCT((Sites!$D$9:$D$108=C188)*Sites!$N$9:$N$108*Sites!$J$9:$J$108*Sites!$K$9:$K$108*(1-Sites!$L$9:$L$108)))*'Scenario Paths'!G27),"Unavailable"))</x:f>
      </x:c>
      <x:c r="U188" s="9" t="str">
        <x:f>IF(C188="","",IF(OR(INDEX('Borrowers'!$AA$9:$AA$108,MATCH(C188,'Borrowers'!$C$9:$C$108,0))&lt;&gt;"Ready",COUNTIF(Sites!$D$9:$D$108,C188)=0,COUNTIFS(Sites!$D$9:$D$108,C188,Sites!$Q$9:$Q$108,"&lt;&gt;Ready")&gt;0,'Scenario Paths'!$F$6&lt;&gt;"Ready"),"Review source inputs","Ready"))</x:f>
      </x:c>
      <x:c r="V188" s="17" t="str">
        <x:f>IF(C188="","",IFERROR(MAX(-1,(G188-O188)/MAX(0.000001,G188)),"Unavailable"))</x:f>
      </x:c>
      <x:c r="W188" s="9" t="str">
        <x:f>IF(C188="","",IFERROR(INDEX('Borrowers'!$D$9:$D$108,MATCH(C188,'Borrowers'!$C$9:$C$108,0)),"Unavailable"))</x:f>
      </x:c>
    </x:row>
    <x:row r="189" ht="26" customHeight="1">
      <x:c r="A189" s="1"/>
      <x:c r="B189" s="1"/>
      <x:c r="C189" s="9" t="str">
        <x:f>IF(Borrowers!C89="","",Borrowers!C89)</x:f>
      </x:c>
      <x:c r="D189" s="3" t="n">
        <x:v>2</x:v>
      </x:c>
      <x:c r="E189" s="9" t="n">
        <x:f>Settings!$F$18+1</x:f>
        <x:v>2028</x:v>
      </x:c>
      <x:c r="F189" s="9" t="str">
        <x:f>IF(C189="","",INDEX('Borrowers'!$F$9:$F$108,MATCH(C189,'Borrowers'!$C$9:$C$108,0)))</x:f>
      </x:c>
      <x:c r="G189" s="23" t="str">
        <x:f>IF(C189="","",IFERROR(INDEX('Borrowers'!$J$9:$J$108,MATCH(C189,'Borrowers'!$C$9:$C$108,0))-INDEX('Borrowers'!$K$9:$K$108,MATCH(C189,'Borrowers'!$C$9:$C$108,0)),"Unavailable"))</x:f>
      </x:c>
      <x:c r="H189" s="23" t="str">
        <x:f>IF(C189="","",IFERROR(INDEX('Borrowers'!$I$9:$I$108,MATCH(C189,'Borrowers'!$C$9:$C$108,0))*INDEX('Borrowers'!$U$9:$U$108,MATCH(C189,'Borrowers'!$C$9:$C$108,0))*(IF(F189="Transport",'Scenario Paths'!G156,IF(F189="Technology",'Scenario Paths'!G150,IF(F189="Utilities",'Scenario Paths'!G144,IF(F189="Agriculture",'Scenario Paths'!G138,IF(F189="Manufacturing",'Scenario Paths'!G132,IF(F189="Healthcare",'Scenario Paths'!G126,IF(F189="Hospitality",'Scenario Paths'!G120,IF(F189="Property",'Scenario Paths'!G114,IF(F189="Food",'Scenario Paths'!G108,IF(F189="Logistics",'Scenario Paths'!G102,IF(F189="Solar",'Scenario Paths'!G96,IF(F189="Cement",'Scenario Paths'!G90,0))))))))))))),"Unavailable"))</x:f>
      </x:c>
      <x:c r="I189" s="23" t="str">
        <x:f>IF(C189="","",IFERROR(INDEX('Borrowers'!$R$9:$R$108,MATCH(C189,'Borrowers'!$C$9:$C$108,0))*(1-INDEX('Borrowers'!$W$9:$W$108,MATCH(C189,'Borrowers'!$C$9:$C$108,0))*'Scenario Paths'!G39)*'Scenario Paths'!G9/1000000*(1-INDEX('Borrowers'!$T$9:$T$108,MATCH(C189,'Borrowers'!$C$9:$C$108,0))),"Unavailable"))</x:f>
      </x:c>
      <x:c r="J189" s="23" t="str">
        <x:f>IF(C189="","",IFERROR(INDEX('Borrowers'!$I$9:$I$108,MATCH(C189,'Borrowers'!$C$9:$C$108,0))*INDEX('Borrowers'!$S$9:$S$108,MATCH(C189,'Borrowers'!$C$9:$C$108,0))*'Scenario Paths'!G15*(1-INDEX('Borrowers'!$T$9:$T$108,MATCH(C189,'Borrowers'!$C$9:$C$108,0))),"Unavailable"))</x:f>
      </x:c>
      <x:c r="K189" s="23" t="str">
        <x:f>IF(C189="","",IFERROR(INDEX('Borrowers'!$I$9:$I$108,MATCH(C189,'Borrowers'!$C$9:$C$108,0))*INDEX('Borrowers'!$U$9:$U$108,MATCH(C189,'Borrowers'!$C$9:$C$108,0))*'Scenario Paths'!G21*S189,"Unavailable"))</x:f>
      </x:c>
      <x:c r="L189" s="23" t="str">
        <x:f>IF(C189="","",IFERROR(SUMPRODUCT((Sites!$D$9:$D$108=C189)*Sites!$H$9:$H$108*Sites!$J$9:$J$108*Sites!$K$9:$K$108*(1-Sites!$L$9:$L$108)*(1-Sites!$M$9:$M$108))*'Scenario Paths'!G27,"Unavailable"))</x:f>
      </x:c>
      <x:c r="M189" s="23" t="str">
        <x:f>IF(C189="","",IFERROR(INDEX('Borrowers'!$J$9:$J$108,MATCH(C189,'Borrowers'!$C$9:$C$108,0))+H189-SUM(I189:L189),"Unavailable"))</x:f>
      </x:c>
      <x:c r="N189" s="23" t="str">
        <x:f>IF(C189="","",IFERROR(INDEX('Borrowers'!$I$9:$I$108,MATCH(C189,'Borrowers'!$C$9:$C$108,0))*'Scenario Paths'!G33,"Unavailable"))</x:f>
      </x:c>
      <x:c r="O189" s="23" t="str">
        <x:f>IF(C189="","",IFERROR(M189-INDEX('Borrowers'!$K$9:$K$108,MATCH(C189,'Borrowers'!$C$9:$C$108,0))-N189,"Unavailable"))</x:f>
      </x:c>
      <x:c r="P189" s="127" t="str">
        <x:f>IF(C189="","",IFERROR(O189/INDEX('Borrowers'!$L$9:$L$108,MATCH(C189,'Borrowers'!$C$9:$C$108,0)),"Unavailable"))</x:f>
      </x:c>
      <x:c r="Q189" s="30" t="str">
        <x:f>IF(C189="","",IFERROR(IF(INDEX('Borrowers'!$Z$9:$Z$108,MATCH(C189,'Borrowers'!$C$9:$C$108,0))="Yes",1,IF(INDEX('Borrowers'!$P$9:$P$108,MATCH(C189,'Borrowers'!$C$9:$C$108,0))=0,0,MIN(1,INDEX('Borrowers'!$P$9:$P$108,MATCH(C189,'Borrowers'!$C$9:$C$108,0))*EXP(MIN(20,INDEX('Borrowers'!$V$9:$V$108,MATCH(C189,'Borrowers'!$C$9:$C$108,0))*V189))))),"Unavailable"))</x:f>
      </x:c>
      <x:c r="R189" s="30" t="str">
        <x:f>IF(C189="","",IFERROR(MIN(1,INDEX('Borrowers'!$Q$9:$Q$108,MATCH(C189,'Borrowers'!$C$9:$C$108,0))+(1-INDEX('Borrowers'!$Q$9:$Q$108,MATCH(C189,'Borrowers'!$C$9:$C$108,0)))*T189),"Unavailable"))</x:f>
      </x:c>
      <x:c r="S189" s="30" t="str">
        <x:f>IF(C189="","",IFERROR(SUMPRODUCT((Sites!$D$9:$D$108=C189)*Sites!$I$9:$I$108*Sites!$J$9:$J$108*Sites!$K$9:$K$108*(1-Sites!$L$9:$L$108)),"Unavailable"))</x:f>
      </x:c>
      <x:c r="T189" s="30" t="str">
        <x:f>IF(C189="","",IFERROR(MIN(1,(SUMPRODUCT((Sites!$D$9:$D$108=C189)*Sites!$N$9:$N$108*Sites!$J$9:$J$108*Sites!$K$9:$K$108*(1-Sites!$L$9:$L$108)))*'Scenario Paths'!G27),"Unavailable"))</x:f>
      </x:c>
      <x:c r="U189" s="9" t="str">
        <x:f>IF(C189="","",IF(OR(INDEX('Borrowers'!$AA$9:$AA$108,MATCH(C189,'Borrowers'!$C$9:$C$108,0))&lt;&gt;"Ready",COUNTIF(Sites!$D$9:$D$108,C189)=0,COUNTIFS(Sites!$D$9:$D$108,C189,Sites!$Q$9:$Q$108,"&lt;&gt;Ready")&gt;0,'Scenario Paths'!$F$6&lt;&gt;"Ready"),"Review source inputs","Ready"))</x:f>
      </x:c>
      <x:c r="V189" s="17" t="str">
        <x:f>IF(C189="","",IFERROR(MAX(-1,(G189-O189)/MAX(0.000001,G189)),"Unavailable"))</x:f>
      </x:c>
      <x:c r="W189" s="9" t="str">
        <x:f>IF(C189="","",IFERROR(INDEX('Borrowers'!$D$9:$D$108,MATCH(C189,'Borrowers'!$C$9:$C$108,0)),"Unavailable"))</x:f>
      </x:c>
    </x:row>
    <x:row r="190" ht="26" customHeight="1">
      <x:c r="A190" s="1"/>
      <x:c r="B190" s="1"/>
      <x:c r="C190" s="9" t="str">
        <x:f>IF(Borrowers!C90="","",Borrowers!C90)</x:f>
      </x:c>
      <x:c r="D190" s="3" t="n">
        <x:v>2</x:v>
      </x:c>
      <x:c r="E190" s="9" t="n">
        <x:f>Settings!$F$18+1</x:f>
        <x:v>2028</x:v>
      </x:c>
      <x:c r="F190" s="9" t="str">
        <x:f>IF(C190="","",INDEX('Borrowers'!$F$9:$F$108,MATCH(C190,'Borrowers'!$C$9:$C$108,0)))</x:f>
      </x:c>
      <x:c r="G190" s="23" t="str">
        <x:f>IF(C190="","",IFERROR(INDEX('Borrowers'!$J$9:$J$108,MATCH(C190,'Borrowers'!$C$9:$C$108,0))-INDEX('Borrowers'!$K$9:$K$108,MATCH(C190,'Borrowers'!$C$9:$C$108,0)),"Unavailable"))</x:f>
      </x:c>
      <x:c r="H190" s="23" t="str">
        <x:f>IF(C190="","",IFERROR(INDEX('Borrowers'!$I$9:$I$108,MATCH(C190,'Borrowers'!$C$9:$C$108,0))*INDEX('Borrowers'!$U$9:$U$108,MATCH(C190,'Borrowers'!$C$9:$C$108,0))*(IF(F190="Transport",'Scenario Paths'!G156,IF(F190="Technology",'Scenario Paths'!G150,IF(F190="Utilities",'Scenario Paths'!G144,IF(F190="Agriculture",'Scenario Paths'!G138,IF(F190="Manufacturing",'Scenario Paths'!G132,IF(F190="Healthcare",'Scenario Paths'!G126,IF(F190="Hospitality",'Scenario Paths'!G120,IF(F190="Property",'Scenario Paths'!G114,IF(F190="Food",'Scenario Paths'!G108,IF(F190="Logistics",'Scenario Paths'!G102,IF(F190="Solar",'Scenario Paths'!G96,IF(F190="Cement",'Scenario Paths'!G90,0))))))))))))),"Unavailable"))</x:f>
      </x:c>
      <x:c r="I190" s="23" t="str">
        <x:f>IF(C190="","",IFERROR(INDEX('Borrowers'!$R$9:$R$108,MATCH(C190,'Borrowers'!$C$9:$C$108,0))*(1-INDEX('Borrowers'!$W$9:$W$108,MATCH(C190,'Borrowers'!$C$9:$C$108,0))*'Scenario Paths'!G39)*'Scenario Paths'!G9/1000000*(1-INDEX('Borrowers'!$T$9:$T$108,MATCH(C190,'Borrowers'!$C$9:$C$108,0))),"Unavailable"))</x:f>
      </x:c>
      <x:c r="J190" s="23" t="str">
        <x:f>IF(C190="","",IFERROR(INDEX('Borrowers'!$I$9:$I$108,MATCH(C190,'Borrowers'!$C$9:$C$108,0))*INDEX('Borrowers'!$S$9:$S$108,MATCH(C190,'Borrowers'!$C$9:$C$108,0))*'Scenario Paths'!G15*(1-INDEX('Borrowers'!$T$9:$T$108,MATCH(C190,'Borrowers'!$C$9:$C$108,0))),"Unavailable"))</x:f>
      </x:c>
      <x:c r="K190" s="23" t="str">
        <x:f>IF(C190="","",IFERROR(INDEX('Borrowers'!$I$9:$I$108,MATCH(C190,'Borrowers'!$C$9:$C$108,0))*INDEX('Borrowers'!$U$9:$U$108,MATCH(C190,'Borrowers'!$C$9:$C$108,0))*'Scenario Paths'!G21*S190,"Unavailable"))</x:f>
      </x:c>
      <x:c r="L190" s="23" t="str">
        <x:f>IF(C190="","",IFERROR(SUMPRODUCT((Sites!$D$9:$D$108=C190)*Sites!$H$9:$H$108*Sites!$J$9:$J$108*Sites!$K$9:$K$108*(1-Sites!$L$9:$L$108)*(1-Sites!$M$9:$M$108))*'Scenario Paths'!G27,"Unavailable"))</x:f>
      </x:c>
      <x:c r="M190" s="23" t="str">
        <x:f>IF(C190="","",IFERROR(INDEX('Borrowers'!$J$9:$J$108,MATCH(C190,'Borrowers'!$C$9:$C$108,0))+H190-SUM(I190:L190),"Unavailable"))</x:f>
      </x:c>
      <x:c r="N190" s="23" t="str">
        <x:f>IF(C190="","",IFERROR(INDEX('Borrowers'!$I$9:$I$108,MATCH(C190,'Borrowers'!$C$9:$C$108,0))*'Scenario Paths'!G33,"Unavailable"))</x:f>
      </x:c>
      <x:c r="O190" s="23" t="str">
        <x:f>IF(C190="","",IFERROR(M190-INDEX('Borrowers'!$K$9:$K$108,MATCH(C190,'Borrowers'!$C$9:$C$108,0))-N190,"Unavailable"))</x:f>
      </x:c>
      <x:c r="P190" s="127" t="str">
        <x:f>IF(C190="","",IFERROR(O190/INDEX('Borrowers'!$L$9:$L$108,MATCH(C190,'Borrowers'!$C$9:$C$108,0)),"Unavailable"))</x:f>
      </x:c>
      <x:c r="Q190" s="30" t="str">
        <x:f>IF(C190="","",IFERROR(IF(INDEX('Borrowers'!$Z$9:$Z$108,MATCH(C190,'Borrowers'!$C$9:$C$108,0))="Yes",1,IF(INDEX('Borrowers'!$P$9:$P$108,MATCH(C190,'Borrowers'!$C$9:$C$108,0))=0,0,MIN(1,INDEX('Borrowers'!$P$9:$P$108,MATCH(C190,'Borrowers'!$C$9:$C$108,0))*EXP(MIN(20,INDEX('Borrowers'!$V$9:$V$108,MATCH(C190,'Borrowers'!$C$9:$C$108,0))*V190))))),"Unavailable"))</x:f>
      </x:c>
      <x:c r="R190" s="30" t="str">
        <x:f>IF(C190="","",IFERROR(MIN(1,INDEX('Borrowers'!$Q$9:$Q$108,MATCH(C190,'Borrowers'!$C$9:$C$108,0))+(1-INDEX('Borrowers'!$Q$9:$Q$108,MATCH(C190,'Borrowers'!$C$9:$C$108,0)))*T190),"Unavailable"))</x:f>
      </x:c>
      <x:c r="S190" s="30" t="str">
        <x:f>IF(C190="","",IFERROR(SUMPRODUCT((Sites!$D$9:$D$108=C190)*Sites!$I$9:$I$108*Sites!$J$9:$J$108*Sites!$K$9:$K$108*(1-Sites!$L$9:$L$108)),"Unavailable"))</x:f>
      </x:c>
      <x:c r="T190" s="30" t="str">
        <x:f>IF(C190="","",IFERROR(MIN(1,(SUMPRODUCT((Sites!$D$9:$D$108=C190)*Sites!$N$9:$N$108*Sites!$J$9:$J$108*Sites!$K$9:$K$108*(1-Sites!$L$9:$L$108)))*'Scenario Paths'!G27),"Unavailable"))</x:f>
      </x:c>
      <x:c r="U190" s="9" t="str">
        <x:f>IF(C190="","",IF(OR(INDEX('Borrowers'!$AA$9:$AA$108,MATCH(C190,'Borrowers'!$C$9:$C$108,0))&lt;&gt;"Ready",COUNTIF(Sites!$D$9:$D$108,C190)=0,COUNTIFS(Sites!$D$9:$D$108,C190,Sites!$Q$9:$Q$108,"&lt;&gt;Ready")&gt;0,'Scenario Paths'!$F$6&lt;&gt;"Ready"),"Review source inputs","Ready"))</x:f>
      </x:c>
      <x:c r="V190" s="17" t="str">
        <x:f>IF(C190="","",IFERROR(MAX(-1,(G190-O190)/MAX(0.000001,G190)),"Unavailable"))</x:f>
      </x:c>
      <x:c r="W190" s="9" t="str">
        <x:f>IF(C190="","",IFERROR(INDEX('Borrowers'!$D$9:$D$108,MATCH(C190,'Borrowers'!$C$9:$C$108,0)),"Unavailable"))</x:f>
      </x:c>
    </x:row>
    <x:row r="191" ht="26" customHeight="1">
      <x:c r="A191" s="1"/>
      <x:c r="B191" s="1"/>
      <x:c r="C191" s="9" t="str">
        <x:f>IF(Borrowers!C91="","",Borrowers!C91)</x:f>
      </x:c>
      <x:c r="D191" s="3" t="n">
        <x:v>2</x:v>
      </x:c>
      <x:c r="E191" s="9" t="n">
        <x:f>Settings!$F$18+1</x:f>
        <x:v>2028</x:v>
      </x:c>
      <x:c r="F191" s="9" t="str">
        <x:f>IF(C191="","",INDEX('Borrowers'!$F$9:$F$108,MATCH(C191,'Borrowers'!$C$9:$C$108,0)))</x:f>
      </x:c>
      <x:c r="G191" s="23" t="str">
        <x:f>IF(C191="","",IFERROR(INDEX('Borrowers'!$J$9:$J$108,MATCH(C191,'Borrowers'!$C$9:$C$108,0))-INDEX('Borrowers'!$K$9:$K$108,MATCH(C191,'Borrowers'!$C$9:$C$108,0)),"Unavailable"))</x:f>
      </x:c>
      <x:c r="H191" s="23" t="str">
        <x:f>IF(C191="","",IFERROR(INDEX('Borrowers'!$I$9:$I$108,MATCH(C191,'Borrowers'!$C$9:$C$108,0))*INDEX('Borrowers'!$U$9:$U$108,MATCH(C191,'Borrowers'!$C$9:$C$108,0))*(IF(F191="Transport",'Scenario Paths'!G156,IF(F191="Technology",'Scenario Paths'!G150,IF(F191="Utilities",'Scenario Paths'!G144,IF(F191="Agriculture",'Scenario Paths'!G138,IF(F191="Manufacturing",'Scenario Paths'!G132,IF(F191="Healthcare",'Scenario Paths'!G126,IF(F191="Hospitality",'Scenario Paths'!G120,IF(F191="Property",'Scenario Paths'!G114,IF(F191="Food",'Scenario Paths'!G108,IF(F191="Logistics",'Scenario Paths'!G102,IF(F191="Solar",'Scenario Paths'!G96,IF(F191="Cement",'Scenario Paths'!G90,0))))))))))))),"Unavailable"))</x:f>
      </x:c>
      <x:c r="I191" s="23" t="str">
        <x:f>IF(C191="","",IFERROR(INDEX('Borrowers'!$R$9:$R$108,MATCH(C191,'Borrowers'!$C$9:$C$108,0))*(1-INDEX('Borrowers'!$W$9:$W$108,MATCH(C191,'Borrowers'!$C$9:$C$108,0))*'Scenario Paths'!G39)*'Scenario Paths'!G9/1000000*(1-INDEX('Borrowers'!$T$9:$T$108,MATCH(C191,'Borrowers'!$C$9:$C$108,0))),"Unavailable"))</x:f>
      </x:c>
      <x:c r="J191" s="23" t="str">
        <x:f>IF(C191="","",IFERROR(INDEX('Borrowers'!$I$9:$I$108,MATCH(C191,'Borrowers'!$C$9:$C$108,0))*INDEX('Borrowers'!$S$9:$S$108,MATCH(C191,'Borrowers'!$C$9:$C$108,0))*'Scenario Paths'!G15*(1-INDEX('Borrowers'!$T$9:$T$108,MATCH(C191,'Borrowers'!$C$9:$C$108,0))),"Unavailable"))</x:f>
      </x:c>
      <x:c r="K191" s="23" t="str">
        <x:f>IF(C191="","",IFERROR(INDEX('Borrowers'!$I$9:$I$108,MATCH(C191,'Borrowers'!$C$9:$C$108,0))*INDEX('Borrowers'!$U$9:$U$108,MATCH(C191,'Borrowers'!$C$9:$C$108,0))*'Scenario Paths'!G21*S191,"Unavailable"))</x:f>
      </x:c>
      <x:c r="L191" s="23" t="str">
        <x:f>IF(C191="","",IFERROR(SUMPRODUCT((Sites!$D$9:$D$108=C191)*Sites!$H$9:$H$108*Sites!$J$9:$J$108*Sites!$K$9:$K$108*(1-Sites!$L$9:$L$108)*(1-Sites!$M$9:$M$108))*'Scenario Paths'!G27,"Unavailable"))</x:f>
      </x:c>
      <x:c r="M191" s="23" t="str">
        <x:f>IF(C191="","",IFERROR(INDEX('Borrowers'!$J$9:$J$108,MATCH(C191,'Borrowers'!$C$9:$C$108,0))+H191-SUM(I191:L191),"Unavailable"))</x:f>
      </x:c>
      <x:c r="N191" s="23" t="str">
        <x:f>IF(C191="","",IFERROR(INDEX('Borrowers'!$I$9:$I$108,MATCH(C191,'Borrowers'!$C$9:$C$108,0))*'Scenario Paths'!G33,"Unavailable"))</x:f>
      </x:c>
      <x:c r="O191" s="23" t="str">
        <x:f>IF(C191="","",IFERROR(M191-INDEX('Borrowers'!$K$9:$K$108,MATCH(C191,'Borrowers'!$C$9:$C$108,0))-N191,"Unavailable"))</x:f>
      </x:c>
      <x:c r="P191" s="127" t="str">
        <x:f>IF(C191="","",IFERROR(O191/INDEX('Borrowers'!$L$9:$L$108,MATCH(C191,'Borrowers'!$C$9:$C$108,0)),"Unavailable"))</x:f>
      </x:c>
      <x:c r="Q191" s="30" t="str">
        <x:f>IF(C191="","",IFERROR(IF(INDEX('Borrowers'!$Z$9:$Z$108,MATCH(C191,'Borrowers'!$C$9:$C$108,0))="Yes",1,IF(INDEX('Borrowers'!$P$9:$P$108,MATCH(C191,'Borrowers'!$C$9:$C$108,0))=0,0,MIN(1,INDEX('Borrowers'!$P$9:$P$108,MATCH(C191,'Borrowers'!$C$9:$C$108,0))*EXP(MIN(20,INDEX('Borrowers'!$V$9:$V$108,MATCH(C191,'Borrowers'!$C$9:$C$108,0))*V191))))),"Unavailable"))</x:f>
      </x:c>
      <x:c r="R191" s="30" t="str">
        <x:f>IF(C191="","",IFERROR(MIN(1,INDEX('Borrowers'!$Q$9:$Q$108,MATCH(C191,'Borrowers'!$C$9:$C$108,0))+(1-INDEX('Borrowers'!$Q$9:$Q$108,MATCH(C191,'Borrowers'!$C$9:$C$108,0)))*T191),"Unavailable"))</x:f>
      </x:c>
      <x:c r="S191" s="30" t="str">
        <x:f>IF(C191="","",IFERROR(SUMPRODUCT((Sites!$D$9:$D$108=C191)*Sites!$I$9:$I$108*Sites!$J$9:$J$108*Sites!$K$9:$K$108*(1-Sites!$L$9:$L$108)),"Unavailable"))</x:f>
      </x:c>
      <x:c r="T191" s="30" t="str">
        <x:f>IF(C191="","",IFERROR(MIN(1,(SUMPRODUCT((Sites!$D$9:$D$108=C191)*Sites!$N$9:$N$108*Sites!$J$9:$J$108*Sites!$K$9:$K$108*(1-Sites!$L$9:$L$108)))*'Scenario Paths'!G27),"Unavailable"))</x:f>
      </x:c>
      <x:c r="U191" s="9" t="str">
        <x:f>IF(C191="","",IF(OR(INDEX('Borrowers'!$AA$9:$AA$108,MATCH(C191,'Borrowers'!$C$9:$C$108,0))&lt;&gt;"Ready",COUNTIF(Sites!$D$9:$D$108,C191)=0,COUNTIFS(Sites!$D$9:$D$108,C191,Sites!$Q$9:$Q$108,"&lt;&gt;Ready")&gt;0,'Scenario Paths'!$F$6&lt;&gt;"Ready"),"Review source inputs","Ready"))</x:f>
      </x:c>
      <x:c r="V191" s="17" t="str">
        <x:f>IF(C191="","",IFERROR(MAX(-1,(G191-O191)/MAX(0.000001,G191)),"Unavailable"))</x:f>
      </x:c>
      <x:c r="W191" s="9" t="str">
        <x:f>IF(C191="","",IFERROR(INDEX('Borrowers'!$D$9:$D$108,MATCH(C191,'Borrowers'!$C$9:$C$108,0)),"Unavailable"))</x:f>
      </x:c>
    </x:row>
    <x:row r="192" ht="26" customHeight="1">
      <x:c r="A192" s="1"/>
      <x:c r="B192" s="1"/>
      <x:c r="C192" s="9" t="str">
        <x:f>IF(Borrowers!C92="","",Borrowers!C92)</x:f>
      </x:c>
      <x:c r="D192" s="3" t="n">
        <x:v>2</x:v>
      </x:c>
      <x:c r="E192" s="9" t="n">
        <x:f>Settings!$F$18+1</x:f>
        <x:v>2028</x:v>
      </x:c>
      <x:c r="F192" s="9" t="str">
        <x:f>IF(C192="","",INDEX('Borrowers'!$F$9:$F$108,MATCH(C192,'Borrowers'!$C$9:$C$108,0)))</x:f>
      </x:c>
      <x:c r="G192" s="23" t="str">
        <x:f>IF(C192="","",IFERROR(INDEX('Borrowers'!$J$9:$J$108,MATCH(C192,'Borrowers'!$C$9:$C$108,0))-INDEX('Borrowers'!$K$9:$K$108,MATCH(C192,'Borrowers'!$C$9:$C$108,0)),"Unavailable"))</x:f>
      </x:c>
      <x:c r="H192" s="23" t="str">
        <x:f>IF(C192="","",IFERROR(INDEX('Borrowers'!$I$9:$I$108,MATCH(C192,'Borrowers'!$C$9:$C$108,0))*INDEX('Borrowers'!$U$9:$U$108,MATCH(C192,'Borrowers'!$C$9:$C$108,0))*(IF(F192="Transport",'Scenario Paths'!G156,IF(F192="Technology",'Scenario Paths'!G150,IF(F192="Utilities",'Scenario Paths'!G144,IF(F192="Agriculture",'Scenario Paths'!G138,IF(F192="Manufacturing",'Scenario Paths'!G132,IF(F192="Healthcare",'Scenario Paths'!G126,IF(F192="Hospitality",'Scenario Paths'!G120,IF(F192="Property",'Scenario Paths'!G114,IF(F192="Food",'Scenario Paths'!G108,IF(F192="Logistics",'Scenario Paths'!G102,IF(F192="Solar",'Scenario Paths'!G96,IF(F192="Cement",'Scenario Paths'!G90,0))))))))))))),"Unavailable"))</x:f>
      </x:c>
      <x:c r="I192" s="23" t="str">
        <x:f>IF(C192="","",IFERROR(INDEX('Borrowers'!$R$9:$R$108,MATCH(C192,'Borrowers'!$C$9:$C$108,0))*(1-INDEX('Borrowers'!$W$9:$W$108,MATCH(C192,'Borrowers'!$C$9:$C$108,0))*'Scenario Paths'!G39)*'Scenario Paths'!G9/1000000*(1-INDEX('Borrowers'!$T$9:$T$108,MATCH(C192,'Borrowers'!$C$9:$C$108,0))),"Unavailable"))</x:f>
      </x:c>
      <x:c r="J192" s="23" t="str">
        <x:f>IF(C192="","",IFERROR(INDEX('Borrowers'!$I$9:$I$108,MATCH(C192,'Borrowers'!$C$9:$C$108,0))*INDEX('Borrowers'!$S$9:$S$108,MATCH(C192,'Borrowers'!$C$9:$C$108,0))*'Scenario Paths'!G15*(1-INDEX('Borrowers'!$T$9:$T$108,MATCH(C192,'Borrowers'!$C$9:$C$108,0))),"Unavailable"))</x:f>
      </x:c>
      <x:c r="K192" s="23" t="str">
        <x:f>IF(C192="","",IFERROR(INDEX('Borrowers'!$I$9:$I$108,MATCH(C192,'Borrowers'!$C$9:$C$108,0))*INDEX('Borrowers'!$U$9:$U$108,MATCH(C192,'Borrowers'!$C$9:$C$108,0))*'Scenario Paths'!G21*S192,"Unavailable"))</x:f>
      </x:c>
      <x:c r="L192" s="23" t="str">
        <x:f>IF(C192="","",IFERROR(SUMPRODUCT((Sites!$D$9:$D$108=C192)*Sites!$H$9:$H$108*Sites!$J$9:$J$108*Sites!$K$9:$K$108*(1-Sites!$L$9:$L$108)*(1-Sites!$M$9:$M$108))*'Scenario Paths'!G27,"Unavailable"))</x:f>
      </x:c>
      <x:c r="M192" s="23" t="str">
        <x:f>IF(C192="","",IFERROR(INDEX('Borrowers'!$J$9:$J$108,MATCH(C192,'Borrowers'!$C$9:$C$108,0))+H192-SUM(I192:L192),"Unavailable"))</x:f>
      </x:c>
      <x:c r="N192" s="23" t="str">
        <x:f>IF(C192="","",IFERROR(INDEX('Borrowers'!$I$9:$I$108,MATCH(C192,'Borrowers'!$C$9:$C$108,0))*'Scenario Paths'!G33,"Unavailable"))</x:f>
      </x:c>
      <x:c r="O192" s="23" t="str">
        <x:f>IF(C192="","",IFERROR(M192-INDEX('Borrowers'!$K$9:$K$108,MATCH(C192,'Borrowers'!$C$9:$C$108,0))-N192,"Unavailable"))</x:f>
      </x:c>
      <x:c r="P192" s="127" t="str">
        <x:f>IF(C192="","",IFERROR(O192/INDEX('Borrowers'!$L$9:$L$108,MATCH(C192,'Borrowers'!$C$9:$C$108,0)),"Unavailable"))</x:f>
      </x:c>
      <x:c r="Q192" s="30" t="str">
        <x:f>IF(C192="","",IFERROR(IF(INDEX('Borrowers'!$Z$9:$Z$108,MATCH(C192,'Borrowers'!$C$9:$C$108,0))="Yes",1,IF(INDEX('Borrowers'!$P$9:$P$108,MATCH(C192,'Borrowers'!$C$9:$C$108,0))=0,0,MIN(1,INDEX('Borrowers'!$P$9:$P$108,MATCH(C192,'Borrowers'!$C$9:$C$108,0))*EXP(MIN(20,INDEX('Borrowers'!$V$9:$V$108,MATCH(C192,'Borrowers'!$C$9:$C$108,0))*V192))))),"Unavailable"))</x:f>
      </x:c>
      <x:c r="R192" s="30" t="str">
        <x:f>IF(C192="","",IFERROR(MIN(1,INDEX('Borrowers'!$Q$9:$Q$108,MATCH(C192,'Borrowers'!$C$9:$C$108,0))+(1-INDEX('Borrowers'!$Q$9:$Q$108,MATCH(C192,'Borrowers'!$C$9:$C$108,0)))*T192),"Unavailable"))</x:f>
      </x:c>
      <x:c r="S192" s="30" t="str">
        <x:f>IF(C192="","",IFERROR(SUMPRODUCT((Sites!$D$9:$D$108=C192)*Sites!$I$9:$I$108*Sites!$J$9:$J$108*Sites!$K$9:$K$108*(1-Sites!$L$9:$L$108)),"Unavailable"))</x:f>
      </x:c>
      <x:c r="T192" s="30" t="str">
        <x:f>IF(C192="","",IFERROR(MIN(1,(SUMPRODUCT((Sites!$D$9:$D$108=C192)*Sites!$N$9:$N$108*Sites!$J$9:$J$108*Sites!$K$9:$K$108*(1-Sites!$L$9:$L$108)))*'Scenario Paths'!G27),"Unavailable"))</x:f>
      </x:c>
      <x:c r="U192" s="9" t="str">
        <x:f>IF(C192="","",IF(OR(INDEX('Borrowers'!$AA$9:$AA$108,MATCH(C192,'Borrowers'!$C$9:$C$108,0))&lt;&gt;"Ready",COUNTIF(Sites!$D$9:$D$108,C192)=0,COUNTIFS(Sites!$D$9:$D$108,C192,Sites!$Q$9:$Q$108,"&lt;&gt;Ready")&gt;0,'Scenario Paths'!$F$6&lt;&gt;"Ready"),"Review source inputs","Ready"))</x:f>
      </x:c>
      <x:c r="V192" s="17" t="str">
        <x:f>IF(C192="","",IFERROR(MAX(-1,(G192-O192)/MAX(0.000001,G192)),"Unavailable"))</x:f>
      </x:c>
      <x:c r="W192" s="9" t="str">
        <x:f>IF(C192="","",IFERROR(INDEX('Borrowers'!$D$9:$D$108,MATCH(C192,'Borrowers'!$C$9:$C$108,0)),"Unavailable"))</x:f>
      </x:c>
    </x:row>
    <x:row r="193" ht="26" customHeight="1">
      <x:c r="A193" s="1"/>
      <x:c r="B193" s="1"/>
      <x:c r="C193" s="9" t="str">
        <x:f>IF(Borrowers!C93="","",Borrowers!C93)</x:f>
      </x:c>
      <x:c r="D193" s="3" t="n">
        <x:v>2</x:v>
      </x:c>
      <x:c r="E193" s="9" t="n">
        <x:f>Settings!$F$18+1</x:f>
        <x:v>2028</x:v>
      </x:c>
      <x:c r="F193" s="9" t="str">
        <x:f>IF(C193="","",INDEX('Borrowers'!$F$9:$F$108,MATCH(C193,'Borrowers'!$C$9:$C$108,0)))</x:f>
      </x:c>
      <x:c r="G193" s="23" t="str">
        <x:f>IF(C193="","",IFERROR(INDEX('Borrowers'!$J$9:$J$108,MATCH(C193,'Borrowers'!$C$9:$C$108,0))-INDEX('Borrowers'!$K$9:$K$108,MATCH(C193,'Borrowers'!$C$9:$C$108,0)),"Unavailable"))</x:f>
      </x:c>
      <x:c r="H193" s="23" t="str">
        <x:f>IF(C193="","",IFERROR(INDEX('Borrowers'!$I$9:$I$108,MATCH(C193,'Borrowers'!$C$9:$C$108,0))*INDEX('Borrowers'!$U$9:$U$108,MATCH(C193,'Borrowers'!$C$9:$C$108,0))*(IF(F193="Transport",'Scenario Paths'!G156,IF(F193="Technology",'Scenario Paths'!G150,IF(F193="Utilities",'Scenario Paths'!G144,IF(F193="Agriculture",'Scenario Paths'!G138,IF(F193="Manufacturing",'Scenario Paths'!G132,IF(F193="Healthcare",'Scenario Paths'!G126,IF(F193="Hospitality",'Scenario Paths'!G120,IF(F193="Property",'Scenario Paths'!G114,IF(F193="Food",'Scenario Paths'!G108,IF(F193="Logistics",'Scenario Paths'!G102,IF(F193="Solar",'Scenario Paths'!G96,IF(F193="Cement",'Scenario Paths'!G90,0))))))))))))),"Unavailable"))</x:f>
      </x:c>
      <x:c r="I193" s="23" t="str">
        <x:f>IF(C193="","",IFERROR(INDEX('Borrowers'!$R$9:$R$108,MATCH(C193,'Borrowers'!$C$9:$C$108,0))*(1-INDEX('Borrowers'!$W$9:$W$108,MATCH(C193,'Borrowers'!$C$9:$C$108,0))*'Scenario Paths'!G39)*'Scenario Paths'!G9/1000000*(1-INDEX('Borrowers'!$T$9:$T$108,MATCH(C193,'Borrowers'!$C$9:$C$108,0))),"Unavailable"))</x:f>
      </x:c>
      <x:c r="J193" s="23" t="str">
        <x:f>IF(C193="","",IFERROR(INDEX('Borrowers'!$I$9:$I$108,MATCH(C193,'Borrowers'!$C$9:$C$108,0))*INDEX('Borrowers'!$S$9:$S$108,MATCH(C193,'Borrowers'!$C$9:$C$108,0))*'Scenario Paths'!G15*(1-INDEX('Borrowers'!$T$9:$T$108,MATCH(C193,'Borrowers'!$C$9:$C$108,0))),"Unavailable"))</x:f>
      </x:c>
      <x:c r="K193" s="23" t="str">
        <x:f>IF(C193="","",IFERROR(INDEX('Borrowers'!$I$9:$I$108,MATCH(C193,'Borrowers'!$C$9:$C$108,0))*INDEX('Borrowers'!$U$9:$U$108,MATCH(C193,'Borrowers'!$C$9:$C$108,0))*'Scenario Paths'!G21*S193,"Unavailable"))</x:f>
      </x:c>
      <x:c r="L193" s="23" t="str">
        <x:f>IF(C193="","",IFERROR(SUMPRODUCT((Sites!$D$9:$D$108=C193)*Sites!$H$9:$H$108*Sites!$J$9:$J$108*Sites!$K$9:$K$108*(1-Sites!$L$9:$L$108)*(1-Sites!$M$9:$M$108))*'Scenario Paths'!G27,"Unavailable"))</x:f>
      </x:c>
      <x:c r="M193" s="23" t="str">
        <x:f>IF(C193="","",IFERROR(INDEX('Borrowers'!$J$9:$J$108,MATCH(C193,'Borrowers'!$C$9:$C$108,0))+H193-SUM(I193:L193),"Unavailable"))</x:f>
      </x:c>
      <x:c r="N193" s="23" t="str">
        <x:f>IF(C193="","",IFERROR(INDEX('Borrowers'!$I$9:$I$108,MATCH(C193,'Borrowers'!$C$9:$C$108,0))*'Scenario Paths'!G33,"Unavailable"))</x:f>
      </x:c>
      <x:c r="O193" s="23" t="str">
        <x:f>IF(C193="","",IFERROR(M193-INDEX('Borrowers'!$K$9:$K$108,MATCH(C193,'Borrowers'!$C$9:$C$108,0))-N193,"Unavailable"))</x:f>
      </x:c>
      <x:c r="P193" s="127" t="str">
        <x:f>IF(C193="","",IFERROR(O193/INDEX('Borrowers'!$L$9:$L$108,MATCH(C193,'Borrowers'!$C$9:$C$108,0)),"Unavailable"))</x:f>
      </x:c>
      <x:c r="Q193" s="30" t="str">
        <x:f>IF(C193="","",IFERROR(IF(INDEX('Borrowers'!$Z$9:$Z$108,MATCH(C193,'Borrowers'!$C$9:$C$108,0))="Yes",1,IF(INDEX('Borrowers'!$P$9:$P$108,MATCH(C193,'Borrowers'!$C$9:$C$108,0))=0,0,MIN(1,INDEX('Borrowers'!$P$9:$P$108,MATCH(C193,'Borrowers'!$C$9:$C$108,0))*EXP(MIN(20,INDEX('Borrowers'!$V$9:$V$108,MATCH(C193,'Borrowers'!$C$9:$C$108,0))*V193))))),"Unavailable"))</x:f>
      </x:c>
      <x:c r="R193" s="30" t="str">
        <x:f>IF(C193="","",IFERROR(MIN(1,INDEX('Borrowers'!$Q$9:$Q$108,MATCH(C193,'Borrowers'!$C$9:$C$108,0))+(1-INDEX('Borrowers'!$Q$9:$Q$108,MATCH(C193,'Borrowers'!$C$9:$C$108,0)))*T193),"Unavailable"))</x:f>
      </x:c>
      <x:c r="S193" s="30" t="str">
        <x:f>IF(C193="","",IFERROR(SUMPRODUCT((Sites!$D$9:$D$108=C193)*Sites!$I$9:$I$108*Sites!$J$9:$J$108*Sites!$K$9:$K$108*(1-Sites!$L$9:$L$108)),"Unavailable"))</x:f>
      </x:c>
      <x:c r="T193" s="30" t="str">
        <x:f>IF(C193="","",IFERROR(MIN(1,(SUMPRODUCT((Sites!$D$9:$D$108=C193)*Sites!$N$9:$N$108*Sites!$J$9:$J$108*Sites!$K$9:$K$108*(1-Sites!$L$9:$L$108)))*'Scenario Paths'!G27),"Unavailable"))</x:f>
      </x:c>
      <x:c r="U193" s="9" t="str">
        <x:f>IF(C193="","",IF(OR(INDEX('Borrowers'!$AA$9:$AA$108,MATCH(C193,'Borrowers'!$C$9:$C$108,0))&lt;&gt;"Ready",COUNTIF(Sites!$D$9:$D$108,C193)=0,COUNTIFS(Sites!$D$9:$D$108,C193,Sites!$Q$9:$Q$108,"&lt;&gt;Ready")&gt;0,'Scenario Paths'!$F$6&lt;&gt;"Ready"),"Review source inputs","Ready"))</x:f>
      </x:c>
      <x:c r="V193" s="17" t="str">
        <x:f>IF(C193="","",IFERROR(MAX(-1,(G193-O193)/MAX(0.000001,G193)),"Unavailable"))</x:f>
      </x:c>
      <x:c r="W193" s="9" t="str">
        <x:f>IF(C193="","",IFERROR(INDEX('Borrowers'!$D$9:$D$108,MATCH(C193,'Borrowers'!$C$9:$C$108,0)),"Unavailable"))</x:f>
      </x:c>
    </x:row>
    <x:row r="194" ht="26" customHeight="1">
      <x:c r="A194" s="1"/>
      <x:c r="B194" s="1"/>
      <x:c r="C194" s="9" t="str">
        <x:f>IF(Borrowers!C94="","",Borrowers!C94)</x:f>
      </x:c>
      <x:c r="D194" s="3" t="n">
        <x:v>2</x:v>
      </x:c>
      <x:c r="E194" s="9" t="n">
        <x:f>Settings!$F$18+1</x:f>
        <x:v>2028</x:v>
      </x:c>
      <x:c r="F194" s="9" t="str">
        <x:f>IF(C194="","",INDEX('Borrowers'!$F$9:$F$108,MATCH(C194,'Borrowers'!$C$9:$C$108,0)))</x:f>
      </x:c>
      <x:c r="G194" s="23" t="str">
        <x:f>IF(C194="","",IFERROR(INDEX('Borrowers'!$J$9:$J$108,MATCH(C194,'Borrowers'!$C$9:$C$108,0))-INDEX('Borrowers'!$K$9:$K$108,MATCH(C194,'Borrowers'!$C$9:$C$108,0)),"Unavailable"))</x:f>
      </x:c>
      <x:c r="H194" s="23" t="str">
        <x:f>IF(C194="","",IFERROR(INDEX('Borrowers'!$I$9:$I$108,MATCH(C194,'Borrowers'!$C$9:$C$108,0))*INDEX('Borrowers'!$U$9:$U$108,MATCH(C194,'Borrowers'!$C$9:$C$108,0))*(IF(F194="Transport",'Scenario Paths'!G156,IF(F194="Technology",'Scenario Paths'!G150,IF(F194="Utilities",'Scenario Paths'!G144,IF(F194="Agriculture",'Scenario Paths'!G138,IF(F194="Manufacturing",'Scenario Paths'!G132,IF(F194="Healthcare",'Scenario Paths'!G126,IF(F194="Hospitality",'Scenario Paths'!G120,IF(F194="Property",'Scenario Paths'!G114,IF(F194="Food",'Scenario Paths'!G108,IF(F194="Logistics",'Scenario Paths'!G102,IF(F194="Solar",'Scenario Paths'!G96,IF(F194="Cement",'Scenario Paths'!G90,0))))))))))))),"Unavailable"))</x:f>
      </x:c>
      <x:c r="I194" s="23" t="str">
        <x:f>IF(C194="","",IFERROR(INDEX('Borrowers'!$R$9:$R$108,MATCH(C194,'Borrowers'!$C$9:$C$108,0))*(1-INDEX('Borrowers'!$W$9:$W$108,MATCH(C194,'Borrowers'!$C$9:$C$108,0))*'Scenario Paths'!G39)*'Scenario Paths'!G9/1000000*(1-INDEX('Borrowers'!$T$9:$T$108,MATCH(C194,'Borrowers'!$C$9:$C$108,0))),"Unavailable"))</x:f>
      </x:c>
      <x:c r="J194" s="23" t="str">
        <x:f>IF(C194="","",IFERROR(INDEX('Borrowers'!$I$9:$I$108,MATCH(C194,'Borrowers'!$C$9:$C$108,0))*INDEX('Borrowers'!$S$9:$S$108,MATCH(C194,'Borrowers'!$C$9:$C$108,0))*'Scenario Paths'!G15*(1-INDEX('Borrowers'!$T$9:$T$108,MATCH(C194,'Borrowers'!$C$9:$C$108,0))),"Unavailable"))</x:f>
      </x:c>
      <x:c r="K194" s="23" t="str">
        <x:f>IF(C194="","",IFERROR(INDEX('Borrowers'!$I$9:$I$108,MATCH(C194,'Borrowers'!$C$9:$C$108,0))*INDEX('Borrowers'!$U$9:$U$108,MATCH(C194,'Borrowers'!$C$9:$C$108,0))*'Scenario Paths'!G21*S194,"Unavailable"))</x:f>
      </x:c>
      <x:c r="L194" s="23" t="str">
        <x:f>IF(C194="","",IFERROR(SUMPRODUCT((Sites!$D$9:$D$108=C194)*Sites!$H$9:$H$108*Sites!$J$9:$J$108*Sites!$K$9:$K$108*(1-Sites!$L$9:$L$108)*(1-Sites!$M$9:$M$108))*'Scenario Paths'!G27,"Unavailable"))</x:f>
      </x:c>
      <x:c r="M194" s="23" t="str">
        <x:f>IF(C194="","",IFERROR(INDEX('Borrowers'!$J$9:$J$108,MATCH(C194,'Borrowers'!$C$9:$C$108,0))+H194-SUM(I194:L194),"Unavailable"))</x:f>
      </x:c>
      <x:c r="N194" s="23" t="str">
        <x:f>IF(C194="","",IFERROR(INDEX('Borrowers'!$I$9:$I$108,MATCH(C194,'Borrowers'!$C$9:$C$108,0))*'Scenario Paths'!G33,"Unavailable"))</x:f>
      </x:c>
      <x:c r="O194" s="23" t="str">
        <x:f>IF(C194="","",IFERROR(M194-INDEX('Borrowers'!$K$9:$K$108,MATCH(C194,'Borrowers'!$C$9:$C$108,0))-N194,"Unavailable"))</x:f>
      </x:c>
      <x:c r="P194" s="127" t="str">
        <x:f>IF(C194="","",IFERROR(O194/INDEX('Borrowers'!$L$9:$L$108,MATCH(C194,'Borrowers'!$C$9:$C$108,0)),"Unavailable"))</x:f>
      </x:c>
      <x:c r="Q194" s="30" t="str">
        <x:f>IF(C194="","",IFERROR(IF(INDEX('Borrowers'!$Z$9:$Z$108,MATCH(C194,'Borrowers'!$C$9:$C$108,0))="Yes",1,IF(INDEX('Borrowers'!$P$9:$P$108,MATCH(C194,'Borrowers'!$C$9:$C$108,0))=0,0,MIN(1,INDEX('Borrowers'!$P$9:$P$108,MATCH(C194,'Borrowers'!$C$9:$C$108,0))*EXP(MIN(20,INDEX('Borrowers'!$V$9:$V$108,MATCH(C194,'Borrowers'!$C$9:$C$108,0))*V194))))),"Unavailable"))</x:f>
      </x:c>
      <x:c r="R194" s="30" t="str">
        <x:f>IF(C194="","",IFERROR(MIN(1,INDEX('Borrowers'!$Q$9:$Q$108,MATCH(C194,'Borrowers'!$C$9:$C$108,0))+(1-INDEX('Borrowers'!$Q$9:$Q$108,MATCH(C194,'Borrowers'!$C$9:$C$108,0)))*T194),"Unavailable"))</x:f>
      </x:c>
      <x:c r="S194" s="30" t="str">
        <x:f>IF(C194="","",IFERROR(SUMPRODUCT((Sites!$D$9:$D$108=C194)*Sites!$I$9:$I$108*Sites!$J$9:$J$108*Sites!$K$9:$K$108*(1-Sites!$L$9:$L$108)),"Unavailable"))</x:f>
      </x:c>
      <x:c r="T194" s="30" t="str">
        <x:f>IF(C194="","",IFERROR(MIN(1,(SUMPRODUCT((Sites!$D$9:$D$108=C194)*Sites!$N$9:$N$108*Sites!$J$9:$J$108*Sites!$K$9:$K$108*(1-Sites!$L$9:$L$108)))*'Scenario Paths'!G27),"Unavailable"))</x:f>
      </x:c>
      <x:c r="U194" s="9" t="str">
        <x:f>IF(C194="","",IF(OR(INDEX('Borrowers'!$AA$9:$AA$108,MATCH(C194,'Borrowers'!$C$9:$C$108,0))&lt;&gt;"Ready",COUNTIF(Sites!$D$9:$D$108,C194)=0,COUNTIFS(Sites!$D$9:$D$108,C194,Sites!$Q$9:$Q$108,"&lt;&gt;Ready")&gt;0,'Scenario Paths'!$F$6&lt;&gt;"Ready"),"Review source inputs","Ready"))</x:f>
      </x:c>
      <x:c r="V194" s="17" t="str">
        <x:f>IF(C194="","",IFERROR(MAX(-1,(G194-O194)/MAX(0.000001,G194)),"Unavailable"))</x:f>
      </x:c>
      <x:c r="W194" s="9" t="str">
        <x:f>IF(C194="","",IFERROR(INDEX('Borrowers'!$D$9:$D$108,MATCH(C194,'Borrowers'!$C$9:$C$108,0)),"Unavailable"))</x:f>
      </x:c>
    </x:row>
    <x:row r="195" ht="26" customHeight="1">
      <x:c r="A195" s="1"/>
      <x:c r="B195" s="1"/>
      <x:c r="C195" s="9" t="str">
        <x:f>IF(Borrowers!C95="","",Borrowers!C95)</x:f>
      </x:c>
      <x:c r="D195" s="3" t="n">
        <x:v>2</x:v>
      </x:c>
      <x:c r="E195" s="9" t="n">
        <x:f>Settings!$F$18+1</x:f>
        <x:v>2028</x:v>
      </x:c>
      <x:c r="F195" s="9" t="str">
        <x:f>IF(C195="","",INDEX('Borrowers'!$F$9:$F$108,MATCH(C195,'Borrowers'!$C$9:$C$108,0)))</x:f>
      </x:c>
      <x:c r="G195" s="23" t="str">
        <x:f>IF(C195="","",IFERROR(INDEX('Borrowers'!$J$9:$J$108,MATCH(C195,'Borrowers'!$C$9:$C$108,0))-INDEX('Borrowers'!$K$9:$K$108,MATCH(C195,'Borrowers'!$C$9:$C$108,0)),"Unavailable"))</x:f>
      </x:c>
      <x:c r="H195" s="23" t="str">
        <x:f>IF(C195="","",IFERROR(INDEX('Borrowers'!$I$9:$I$108,MATCH(C195,'Borrowers'!$C$9:$C$108,0))*INDEX('Borrowers'!$U$9:$U$108,MATCH(C195,'Borrowers'!$C$9:$C$108,0))*(IF(F195="Transport",'Scenario Paths'!G156,IF(F195="Technology",'Scenario Paths'!G150,IF(F195="Utilities",'Scenario Paths'!G144,IF(F195="Agriculture",'Scenario Paths'!G138,IF(F195="Manufacturing",'Scenario Paths'!G132,IF(F195="Healthcare",'Scenario Paths'!G126,IF(F195="Hospitality",'Scenario Paths'!G120,IF(F195="Property",'Scenario Paths'!G114,IF(F195="Food",'Scenario Paths'!G108,IF(F195="Logistics",'Scenario Paths'!G102,IF(F195="Solar",'Scenario Paths'!G96,IF(F195="Cement",'Scenario Paths'!G90,0))))))))))))),"Unavailable"))</x:f>
      </x:c>
      <x:c r="I195" s="23" t="str">
        <x:f>IF(C195="","",IFERROR(INDEX('Borrowers'!$R$9:$R$108,MATCH(C195,'Borrowers'!$C$9:$C$108,0))*(1-INDEX('Borrowers'!$W$9:$W$108,MATCH(C195,'Borrowers'!$C$9:$C$108,0))*'Scenario Paths'!G39)*'Scenario Paths'!G9/1000000*(1-INDEX('Borrowers'!$T$9:$T$108,MATCH(C195,'Borrowers'!$C$9:$C$108,0))),"Unavailable"))</x:f>
      </x:c>
      <x:c r="J195" s="23" t="str">
        <x:f>IF(C195="","",IFERROR(INDEX('Borrowers'!$I$9:$I$108,MATCH(C195,'Borrowers'!$C$9:$C$108,0))*INDEX('Borrowers'!$S$9:$S$108,MATCH(C195,'Borrowers'!$C$9:$C$108,0))*'Scenario Paths'!G15*(1-INDEX('Borrowers'!$T$9:$T$108,MATCH(C195,'Borrowers'!$C$9:$C$108,0))),"Unavailable"))</x:f>
      </x:c>
      <x:c r="K195" s="23" t="str">
        <x:f>IF(C195="","",IFERROR(INDEX('Borrowers'!$I$9:$I$108,MATCH(C195,'Borrowers'!$C$9:$C$108,0))*INDEX('Borrowers'!$U$9:$U$108,MATCH(C195,'Borrowers'!$C$9:$C$108,0))*'Scenario Paths'!G21*S195,"Unavailable"))</x:f>
      </x:c>
      <x:c r="L195" s="23" t="str">
        <x:f>IF(C195="","",IFERROR(SUMPRODUCT((Sites!$D$9:$D$108=C195)*Sites!$H$9:$H$108*Sites!$J$9:$J$108*Sites!$K$9:$K$108*(1-Sites!$L$9:$L$108)*(1-Sites!$M$9:$M$108))*'Scenario Paths'!G27,"Unavailable"))</x:f>
      </x:c>
      <x:c r="M195" s="23" t="str">
        <x:f>IF(C195="","",IFERROR(INDEX('Borrowers'!$J$9:$J$108,MATCH(C195,'Borrowers'!$C$9:$C$108,0))+H195-SUM(I195:L195),"Unavailable"))</x:f>
      </x:c>
      <x:c r="N195" s="23" t="str">
        <x:f>IF(C195="","",IFERROR(INDEX('Borrowers'!$I$9:$I$108,MATCH(C195,'Borrowers'!$C$9:$C$108,0))*'Scenario Paths'!G33,"Unavailable"))</x:f>
      </x:c>
      <x:c r="O195" s="23" t="str">
        <x:f>IF(C195="","",IFERROR(M195-INDEX('Borrowers'!$K$9:$K$108,MATCH(C195,'Borrowers'!$C$9:$C$108,0))-N195,"Unavailable"))</x:f>
      </x:c>
      <x:c r="P195" s="127" t="str">
        <x:f>IF(C195="","",IFERROR(O195/INDEX('Borrowers'!$L$9:$L$108,MATCH(C195,'Borrowers'!$C$9:$C$108,0)),"Unavailable"))</x:f>
      </x:c>
      <x:c r="Q195" s="30" t="str">
        <x:f>IF(C195="","",IFERROR(IF(INDEX('Borrowers'!$Z$9:$Z$108,MATCH(C195,'Borrowers'!$C$9:$C$108,0))="Yes",1,IF(INDEX('Borrowers'!$P$9:$P$108,MATCH(C195,'Borrowers'!$C$9:$C$108,0))=0,0,MIN(1,INDEX('Borrowers'!$P$9:$P$108,MATCH(C195,'Borrowers'!$C$9:$C$108,0))*EXP(MIN(20,INDEX('Borrowers'!$V$9:$V$108,MATCH(C195,'Borrowers'!$C$9:$C$108,0))*V195))))),"Unavailable"))</x:f>
      </x:c>
      <x:c r="R195" s="30" t="str">
        <x:f>IF(C195="","",IFERROR(MIN(1,INDEX('Borrowers'!$Q$9:$Q$108,MATCH(C195,'Borrowers'!$C$9:$C$108,0))+(1-INDEX('Borrowers'!$Q$9:$Q$108,MATCH(C195,'Borrowers'!$C$9:$C$108,0)))*T195),"Unavailable"))</x:f>
      </x:c>
      <x:c r="S195" s="30" t="str">
        <x:f>IF(C195="","",IFERROR(SUMPRODUCT((Sites!$D$9:$D$108=C195)*Sites!$I$9:$I$108*Sites!$J$9:$J$108*Sites!$K$9:$K$108*(1-Sites!$L$9:$L$108)),"Unavailable"))</x:f>
      </x:c>
      <x:c r="T195" s="30" t="str">
        <x:f>IF(C195="","",IFERROR(MIN(1,(SUMPRODUCT((Sites!$D$9:$D$108=C195)*Sites!$N$9:$N$108*Sites!$J$9:$J$108*Sites!$K$9:$K$108*(1-Sites!$L$9:$L$108)))*'Scenario Paths'!G27),"Unavailable"))</x:f>
      </x:c>
      <x:c r="U195" s="9" t="str">
        <x:f>IF(C195="","",IF(OR(INDEX('Borrowers'!$AA$9:$AA$108,MATCH(C195,'Borrowers'!$C$9:$C$108,0))&lt;&gt;"Ready",COUNTIF(Sites!$D$9:$D$108,C195)=0,COUNTIFS(Sites!$D$9:$D$108,C195,Sites!$Q$9:$Q$108,"&lt;&gt;Ready")&gt;0,'Scenario Paths'!$F$6&lt;&gt;"Ready"),"Review source inputs","Ready"))</x:f>
      </x:c>
      <x:c r="V195" s="17" t="str">
        <x:f>IF(C195="","",IFERROR(MAX(-1,(G195-O195)/MAX(0.000001,G195)),"Unavailable"))</x:f>
      </x:c>
      <x:c r="W195" s="9" t="str">
        <x:f>IF(C195="","",IFERROR(INDEX('Borrowers'!$D$9:$D$108,MATCH(C195,'Borrowers'!$C$9:$C$108,0)),"Unavailable"))</x:f>
      </x:c>
    </x:row>
    <x:row r="196" ht="26" customHeight="1">
      <x:c r="A196" s="1"/>
      <x:c r="B196" s="1"/>
      <x:c r="C196" s="9" t="str">
        <x:f>IF(Borrowers!C96="","",Borrowers!C96)</x:f>
      </x:c>
      <x:c r="D196" s="3" t="n">
        <x:v>2</x:v>
      </x:c>
      <x:c r="E196" s="9" t="n">
        <x:f>Settings!$F$18+1</x:f>
        <x:v>2028</x:v>
      </x:c>
      <x:c r="F196" s="9" t="str">
        <x:f>IF(C196="","",INDEX('Borrowers'!$F$9:$F$108,MATCH(C196,'Borrowers'!$C$9:$C$108,0)))</x:f>
      </x:c>
      <x:c r="G196" s="23" t="str">
        <x:f>IF(C196="","",IFERROR(INDEX('Borrowers'!$J$9:$J$108,MATCH(C196,'Borrowers'!$C$9:$C$108,0))-INDEX('Borrowers'!$K$9:$K$108,MATCH(C196,'Borrowers'!$C$9:$C$108,0)),"Unavailable"))</x:f>
      </x:c>
      <x:c r="H196" s="23" t="str">
        <x:f>IF(C196="","",IFERROR(INDEX('Borrowers'!$I$9:$I$108,MATCH(C196,'Borrowers'!$C$9:$C$108,0))*INDEX('Borrowers'!$U$9:$U$108,MATCH(C196,'Borrowers'!$C$9:$C$108,0))*(IF(F196="Transport",'Scenario Paths'!G156,IF(F196="Technology",'Scenario Paths'!G150,IF(F196="Utilities",'Scenario Paths'!G144,IF(F196="Agriculture",'Scenario Paths'!G138,IF(F196="Manufacturing",'Scenario Paths'!G132,IF(F196="Healthcare",'Scenario Paths'!G126,IF(F196="Hospitality",'Scenario Paths'!G120,IF(F196="Property",'Scenario Paths'!G114,IF(F196="Food",'Scenario Paths'!G108,IF(F196="Logistics",'Scenario Paths'!G102,IF(F196="Solar",'Scenario Paths'!G96,IF(F196="Cement",'Scenario Paths'!G90,0))))))))))))),"Unavailable"))</x:f>
      </x:c>
      <x:c r="I196" s="23" t="str">
        <x:f>IF(C196="","",IFERROR(INDEX('Borrowers'!$R$9:$R$108,MATCH(C196,'Borrowers'!$C$9:$C$108,0))*(1-INDEX('Borrowers'!$W$9:$W$108,MATCH(C196,'Borrowers'!$C$9:$C$108,0))*'Scenario Paths'!G39)*'Scenario Paths'!G9/1000000*(1-INDEX('Borrowers'!$T$9:$T$108,MATCH(C196,'Borrowers'!$C$9:$C$108,0))),"Unavailable"))</x:f>
      </x:c>
      <x:c r="J196" s="23" t="str">
        <x:f>IF(C196="","",IFERROR(INDEX('Borrowers'!$I$9:$I$108,MATCH(C196,'Borrowers'!$C$9:$C$108,0))*INDEX('Borrowers'!$S$9:$S$108,MATCH(C196,'Borrowers'!$C$9:$C$108,0))*'Scenario Paths'!G15*(1-INDEX('Borrowers'!$T$9:$T$108,MATCH(C196,'Borrowers'!$C$9:$C$108,0))),"Unavailable"))</x:f>
      </x:c>
      <x:c r="K196" s="23" t="str">
        <x:f>IF(C196="","",IFERROR(INDEX('Borrowers'!$I$9:$I$108,MATCH(C196,'Borrowers'!$C$9:$C$108,0))*INDEX('Borrowers'!$U$9:$U$108,MATCH(C196,'Borrowers'!$C$9:$C$108,0))*'Scenario Paths'!G21*S196,"Unavailable"))</x:f>
      </x:c>
      <x:c r="L196" s="23" t="str">
        <x:f>IF(C196="","",IFERROR(SUMPRODUCT((Sites!$D$9:$D$108=C196)*Sites!$H$9:$H$108*Sites!$J$9:$J$108*Sites!$K$9:$K$108*(1-Sites!$L$9:$L$108)*(1-Sites!$M$9:$M$108))*'Scenario Paths'!G27,"Unavailable"))</x:f>
      </x:c>
      <x:c r="M196" s="23" t="str">
        <x:f>IF(C196="","",IFERROR(INDEX('Borrowers'!$J$9:$J$108,MATCH(C196,'Borrowers'!$C$9:$C$108,0))+H196-SUM(I196:L196),"Unavailable"))</x:f>
      </x:c>
      <x:c r="N196" s="23" t="str">
        <x:f>IF(C196="","",IFERROR(INDEX('Borrowers'!$I$9:$I$108,MATCH(C196,'Borrowers'!$C$9:$C$108,0))*'Scenario Paths'!G33,"Unavailable"))</x:f>
      </x:c>
      <x:c r="O196" s="23" t="str">
        <x:f>IF(C196="","",IFERROR(M196-INDEX('Borrowers'!$K$9:$K$108,MATCH(C196,'Borrowers'!$C$9:$C$108,0))-N196,"Unavailable"))</x:f>
      </x:c>
      <x:c r="P196" s="127" t="str">
        <x:f>IF(C196="","",IFERROR(O196/INDEX('Borrowers'!$L$9:$L$108,MATCH(C196,'Borrowers'!$C$9:$C$108,0)),"Unavailable"))</x:f>
      </x:c>
      <x:c r="Q196" s="30" t="str">
        <x:f>IF(C196="","",IFERROR(IF(INDEX('Borrowers'!$Z$9:$Z$108,MATCH(C196,'Borrowers'!$C$9:$C$108,0))="Yes",1,IF(INDEX('Borrowers'!$P$9:$P$108,MATCH(C196,'Borrowers'!$C$9:$C$108,0))=0,0,MIN(1,INDEX('Borrowers'!$P$9:$P$108,MATCH(C196,'Borrowers'!$C$9:$C$108,0))*EXP(MIN(20,INDEX('Borrowers'!$V$9:$V$108,MATCH(C196,'Borrowers'!$C$9:$C$108,0))*V196))))),"Unavailable"))</x:f>
      </x:c>
      <x:c r="R196" s="30" t="str">
        <x:f>IF(C196="","",IFERROR(MIN(1,INDEX('Borrowers'!$Q$9:$Q$108,MATCH(C196,'Borrowers'!$C$9:$C$108,0))+(1-INDEX('Borrowers'!$Q$9:$Q$108,MATCH(C196,'Borrowers'!$C$9:$C$108,0)))*T196),"Unavailable"))</x:f>
      </x:c>
      <x:c r="S196" s="30" t="str">
        <x:f>IF(C196="","",IFERROR(SUMPRODUCT((Sites!$D$9:$D$108=C196)*Sites!$I$9:$I$108*Sites!$J$9:$J$108*Sites!$K$9:$K$108*(1-Sites!$L$9:$L$108)),"Unavailable"))</x:f>
      </x:c>
      <x:c r="T196" s="30" t="str">
        <x:f>IF(C196="","",IFERROR(MIN(1,(SUMPRODUCT((Sites!$D$9:$D$108=C196)*Sites!$N$9:$N$108*Sites!$J$9:$J$108*Sites!$K$9:$K$108*(1-Sites!$L$9:$L$108)))*'Scenario Paths'!G27),"Unavailable"))</x:f>
      </x:c>
      <x:c r="U196" s="9" t="str">
        <x:f>IF(C196="","",IF(OR(INDEX('Borrowers'!$AA$9:$AA$108,MATCH(C196,'Borrowers'!$C$9:$C$108,0))&lt;&gt;"Ready",COUNTIF(Sites!$D$9:$D$108,C196)=0,COUNTIFS(Sites!$D$9:$D$108,C196,Sites!$Q$9:$Q$108,"&lt;&gt;Ready")&gt;0,'Scenario Paths'!$F$6&lt;&gt;"Ready"),"Review source inputs","Ready"))</x:f>
      </x:c>
      <x:c r="V196" s="17" t="str">
        <x:f>IF(C196="","",IFERROR(MAX(-1,(G196-O196)/MAX(0.000001,G196)),"Unavailable"))</x:f>
      </x:c>
      <x:c r="W196" s="9" t="str">
        <x:f>IF(C196="","",IFERROR(INDEX('Borrowers'!$D$9:$D$108,MATCH(C196,'Borrowers'!$C$9:$C$108,0)),"Unavailable"))</x:f>
      </x:c>
    </x:row>
    <x:row r="197" ht="26" customHeight="1">
      <x:c r="A197" s="1"/>
      <x:c r="B197" s="1"/>
      <x:c r="C197" s="9" t="str">
        <x:f>IF(Borrowers!C97="","",Borrowers!C97)</x:f>
      </x:c>
      <x:c r="D197" s="3" t="n">
        <x:v>2</x:v>
      </x:c>
      <x:c r="E197" s="9" t="n">
        <x:f>Settings!$F$18+1</x:f>
        <x:v>2028</x:v>
      </x:c>
      <x:c r="F197" s="9" t="str">
        <x:f>IF(C197="","",INDEX('Borrowers'!$F$9:$F$108,MATCH(C197,'Borrowers'!$C$9:$C$108,0)))</x:f>
      </x:c>
      <x:c r="G197" s="23" t="str">
        <x:f>IF(C197="","",IFERROR(INDEX('Borrowers'!$J$9:$J$108,MATCH(C197,'Borrowers'!$C$9:$C$108,0))-INDEX('Borrowers'!$K$9:$K$108,MATCH(C197,'Borrowers'!$C$9:$C$108,0)),"Unavailable"))</x:f>
      </x:c>
      <x:c r="H197" s="23" t="str">
        <x:f>IF(C197="","",IFERROR(INDEX('Borrowers'!$I$9:$I$108,MATCH(C197,'Borrowers'!$C$9:$C$108,0))*INDEX('Borrowers'!$U$9:$U$108,MATCH(C197,'Borrowers'!$C$9:$C$108,0))*(IF(F197="Transport",'Scenario Paths'!G156,IF(F197="Technology",'Scenario Paths'!G150,IF(F197="Utilities",'Scenario Paths'!G144,IF(F197="Agriculture",'Scenario Paths'!G138,IF(F197="Manufacturing",'Scenario Paths'!G132,IF(F197="Healthcare",'Scenario Paths'!G126,IF(F197="Hospitality",'Scenario Paths'!G120,IF(F197="Property",'Scenario Paths'!G114,IF(F197="Food",'Scenario Paths'!G108,IF(F197="Logistics",'Scenario Paths'!G102,IF(F197="Solar",'Scenario Paths'!G96,IF(F197="Cement",'Scenario Paths'!G90,0))))))))))))),"Unavailable"))</x:f>
      </x:c>
      <x:c r="I197" s="23" t="str">
        <x:f>IF(C197="","",IFERROR(INDEX('Borrowers'!$R$9:$R$108,MATCH(C197,'Borrowers'!$C$9:$C$108,0))*(1-INDEX('Borrowers'!$W$9:$W$108,MATCH(C197,'Borrowers'!$C$9:$C$108,0))*'Scenario Paths'!G39)*'Scenario Paths'!G9/1000000*(1-INDEX('Borrowers'!$T$9:$T$108,MATCH(C197,'Borrowers'!$C$9:$C$108,0))),"Unavailable"))</x:f>
      </x:c>
      <x:c r="J197" s="23" t="str">
        <x:f>IF(C197="","",IFERROR(INDEX('Borrowers'!$I$9:$I$108,MATCH(C197,'Borrowers'!$C$9:$C$108,0))*INDEX('Borrowers'!$S$9:$S$108,MATCH(C197,'Borrowers'!$C$9:$C$108,0))*'Scenario Paths'!G15*(1-INDEX('Borrowers'!$T$9:$T$108,MATCH(C197,'Borrowers'!$C$9:$C$108,0))),"Unavailable"))</x:f>
      </x:c>
      <x:c r="K197" s="23" t="str">
        <x:f>IF(C197="","",IFERROR(INDEX('Borrowers'!$I$9:$I$108,MATCH(C197,'Borrowers'!$C$9:$C$108,0))*INDEX('Borrowers'!$U$9:$U$108,MATCH(C197,'Borrowers'!$C$9:$C$108,0))*'Scenario Paths'!G21*S197,"Unavailable"))</x:f>
      </x:c>
      <x:c r="L197" s="23" t="str">
        <x:f>IF(C197="","",IFERROR(SUMPRODUCT((Sites!$D$9:$D$108=C197)*Sites!$H$9:$H$108*Sites!$J$9:$J$108*Sites!$K$9:$K$108*(1-Sites!$L$9:$L$108)*(1-Sites!$M$9:$M$108))*'Scenario Paths'!G27,"Unavailable"))</x:f>
      </x:c>
      <x:c r="M197" s="23" t="str">
        <x:f>IF(C197="","",IFERROR(INDEX('Borrowers'!$J$9:$J$108,MATCH(C197,'Borrowers'!$C$9:$C$108,0))+H197-SUM(I197:L197),"Unavailable"))</x:f>
      </x:c>
      <x:c r="N197" s="23" t="str">
        <x:f>IF(C197="","",IFERROR(INDEX('Borrowers'!$I$9:$I$108,MATCH(C197,'Borrowers'!$C$9:$C$108,0))*'Scenario Paths'!G33,"Unavailable"))</x:f>
      </x:c>
      <x:c r="O197" s="23" t="str">
        <x:f>IF(C197="","",IFERROR(M197-INDEX('Borrowers'!$K$9:$K$108,MATCH(C197,'Borrowers'!$C$9:$C$108,0))-N197,"Unavailable"))</x:f>
      </x:c>
      <x:c r="P197" s="127" t="str">
        <x:f>IF(C197="","",IFERROR(O197/INDEX('Borrowers'!$L$9:$L$108,MATCH(C197,'Borrowers'!$C$9:$C$108,0)),"Unavailable"))</x:f>
      </x:c>
      <x:c r="Q197" s="30" t="str">
        <x:f>IF(C197="","",IFERROR(IF(INDEX('Borrowers'!$Z$9:$Z$108,MATCH(C197,'Borrowers'!$C$9:$C$108,0))="Yes",1,IF(INDEX('Borrowers'!$P$9:$P$108,MATCH(C197,'Borrowers'!$C$9:$C$108,0))=0,0,MIN(1,INDEX('Borrowers'!$P$9:$P$108,MATCH(C197,'Borrowers'!$C$9:$C$108,0))*EXP(MIN(20,INDEX('Borrowers'!$V$9:$V$108,MATCH(C197,'Borrowers'!$C$9:$C$108,0))*V197))))),"Unavailable"))</x:f>
      </x:c>
      <x:c r="R197" s="30" t="str">
        <x:f>IF(C197="","",IFERROR(MIN(1,INDEX('Borrowers'!$Q$9:$Q$108,MATCH(C197,'Borrowers'!$C$9:$C$108,0))+(1-INDEX('Borrowers'!$Q$9:$Q$108,MATCH(C197,'Borrowers'!$C$9:$C$108,0)))*T197),"Unavailable"))</x:f>
      </x:c>
      <x:c r="S197" s="30" t="str">
        <x:f>IF(C197="","",IFERROR(SUMPRODUCT((Sites!$D$9:$D$108=C197)*Sites!$I$9:$I$108*Sites!$J$9:$J$108*Sites!$K$9:$K$108*(1-Sites!$L$9:$L$108)),"Unavailable"))</x:f>
      </x:c>
      <x:c r="T197" s="30" t="str">
        <x:f>IF(C197="","",IFERROR(MIN(1,(SUMPRODUCT((Sites!$D$9:$D$108=C197)*Sites!$N$9:$N$108*Sites!$J$9:$J$108*Sites!$K$9:$K$108*(1-Sites!$L$9:$L$108)))*'Scenario Paths'!G27),"Unavailable"))</x:f>
      </x:c>
      <x:c r="U197" s="9" t="str">
        <x:f>IF(C197="","",IF(OR(INDEX('Borrowers'!$AA$9:$AA$108,MATCH(C197,'Borrowers'!$C$9:$C$108,0))&lt;&gt;"Ready",COUNTIF(Sites!$D$9:$D$108,C197)=0,COUNTIFS(Sites!$D$9:$D$108,C197,Sites!$Q$9:$Q$108,"&lt;&gt;Ready")&gt;0,'Scenario Paths'!$F$6&lt;&gt;"Ready"),"Review source inputs","Ready"))</x:f>
      </x:c>
      <x:c r="V197" s="17" t="str">
        <x:f>IF(C197="","",IFERROR(MAX(-1,(G197-O197)/MAX(0.000001,G197)),"Unavailable"))</x:f>
      </x:c>
      <x:c r="W197" s="9" t="str">
        <x:f>IF(C197="","",IFERROR(INDEX('Borrowers'!$D$9:$D$108,MATCH(C197,'Borrowers'!$C$9:$C$108,0)),"Unavailable"))</x:f>
      </x:c>
    </x:row>
    <x:row r="198" ht="26" customHeight="1">
      <x:c r="A198" s="1"/>
      <x:c r="B198" s="1"/>
      <x:c r="C198" s="9" t="str">
        <x:f>IF(Borrowers!C98="","",Borrowers!C98)</x:f>
      </x:c>
      <x:c r="D198" s="3" t="n">
        <x:v>2</x:v>
      </x:c>
      <x:c r="E198" s="9" t="n">
        <x:f>Settings!$F$18+1</x:f>
        <x:v>2028</x:v>
      </x:c>
      <x:c r="F198" s="9" t="str">
        <x:f>IF(C198="","",INDEX('Borrowers'!$F$9:$F$108,MATCH(C198,'Borrowers'!$C$9:$C$108,0)))</x:f>
      </x:c>
      <x:c r="G198" s="23" t="str">
        <x:f>IF(C198="","",IFERROR(INDEX('Borrowers'!$J$9:$J$108,MATCH(C198,'Borrowers'!$C$9:$C$108,0))-INDEX('Borrowers'!$K$9:$K$108,MATCH(C198,'Borrowers'!$C$9:$C$108,0)),"Unavailable"))</x:f>
      </x:c>
      <x:c r="H198" s="23" t="str">
        <x:f>IF(C198="","",IFERROR(INDEX('Borrowers'!$I$9:$I$108,MATCH(C198,'Borrowers'!$C$9:$C$108,0))*INDEX('Borrowers'!$U$9:$U$108,MATCH(C198,'Borrowers'!$C$9:$C$108,0))*(IF(F198="Transport",'Scenario Paths'!G156,IF(F198="Technology",'Scenario Paths'!G150,IF(F198="Utilities",'Scenario Paths'!G144,IF(F198="Agriculture",'Scenario Paths'!G138,IF(F198="Manufacturing",'Scenario Paths'!G132,IF(F198="Healthcare",'Scenario Paths'!G126,IF(F198="Hospitality",'Scenario Paths'!G120,IF(F198="Property",'Scenario Paths'!G114,IF(F198="Food",'Scenario Paths'!G108,IF(F198="Logistics",'Scenario Paths'!G102,IF(F198="Solar",'Scenario Paths'!G96,IF(F198="Cement",'Scenario Paths'!G90,0))))))))))))),"Unavailable"))</x:f>
      </x:c>
      <x:c r="I198" s="23" t="str">
        <x:f>IF(C198="","",IFERROR(INDEX('Borrowers'!$R$9:$R$108,MATCH(C198,'Borrowers'!$C$9:$C$108,0))*(1-INDEX('Borrowers'!$W$9:$W$108,MATCH(C198,'Borrowers'!$C$9:$C$108,0))*'Scenario Paths'!G39)*'Scenario Paths'!G9/1000000*(1-INDEX('Borrowers'!$T$9:$T$108,MATCH(C198,'Borrowers'!$C$9:$C$108,0))),"Unavailable"))</x:f>
      </x:c>
      <x:c r="J198" s="23" t="str">
        <x:f>IF(C198="","",IFERROR(INDEX('Borrowers'!$I$9:$I$108,MATCH(C198,'Borrowers'!$C$9:$C$108,0))*INDEX('Borrowers'!$S$9:$S$108,MATCH(C198,'Borrowers'!$C$9:$C$108,0))*'Scenario Paths'!G15*(1-INDEX('Borrowers'!$T$9:$T$108,MATCH(C198,'Borrowers'!$C$9:$C$108,0))),"Unavailable"))</x:f>
      </x:c>
      <x:c r="K198" s="23" t="str">
        <x:f>IF(C198="","",IFERROR(INDEX('Borrowers'!$I$9:$I$108,MATCH(C198,'Borrowers'!$C$9:$C$108,0))*INDEX('Borrowers'!$U$9:$U$108,MATCH(C198,'Borrowers'!$C$9:$C$108,0))*'Scenario Paths'!G21*S198,"Unavailable"))</x:f>
      </x:c>
      <x:c r="L198" s="23" t="str">
        <x:f>IF(C198="","",IFERROR(SUMPRODUCT((Sites!$D$9:$D$108=C198)*Sites!$H$9:$H$108*Sites!$J$9:$J$108*Sites!$K$9:$K$108*(1-Sites!$L$9:$L$108)*(1-Sites!$M$9:$M$108))*'Scenario Paths'!G27,"Unavailable"))</x:f>
      </x:c>
      <x:c r="M198" s="23" t="str">
        <x:f>IF(C198="","",IFERROR(INDEX('Borrowers'!$J$9:$J$108,MATCH(C198,'Borrowers'!$C$9:$C$108,0))+H198-SUM(I198:L198),"Unavailable"))</x:f>
      </x:c>
      <x:c r="N198" s="23" t="str">
        <x:f>IF(C198="","",IFERROR(INDEX('Borrowers'!$I$9:$I$108,MATCH(C198,'Borrowers'!$C$9:$C$108,0))*'Scenario Paths'!G33,"Unavailable"))</x:f>
      </x:c>
      <x:c r="O198" s="23" t="str">
        <x:f>IF(C198="","",IFERROR(M198-INDEX('Borrowers'!$K$9:$K$108,MATCH(C198,'Borrowers'!$C$9:$C$108,0))-N198,"Unavailable"))</x:f>
      </x:c>
      <x:c r="P198" s="127" t="str">
        <x:f>IF(C198="","",IFERROR(O198/INDEX('Borrowers'!$L$9:$L$108,MATCH(C198,'Borrowers'!$C$9:$C$108,0)),"Unavailable"))</x:f>
      </x:c>
      <x:c r="Q198" s="30" t="str">
        <x:f>IF(C198="","",IFERROR(IF(INDEX('Borrowers'!$Z$9:$Z$108,MATCH(C198,'Borrowers'!$C$9:$C$108,0))="Yes",1,IF(INDEX('Borrowers'!$P$9:$P$108,MATCH(C198,'Borrowers'!$C$9:$C$108,0))=0,0,MIN(1,INDEX('Borrowers'!$P$9:$P$108,MATCH(C198,'Borrowers'!$C$9:$C$108,0))*EXP(MIN(20,INDEX('Borrowers'!$V$9:$V$108,MATCH(C198,'Borrowers'!$C$9:$C$108,0))*V198))))),"Unavailable"))</x:f>
      </x:c>
      <x:c r="R198" s="30" t="str">
        <x:f>IF(C198="","",IFERROR(MIN(1,INDEX('Borrowers'!$Q$9:$Q$108,MATCH(C198,'Borrowers'!$C$9:$C$108,0))+(1-INDEX('Borrowers'!$Q$9:$Q$108,MATCH(C198,'Borrowers'!$C$9:$C$108,0)))*T198),"Unavailable"))</x:f>
      </x:c>
      <x:c r="S198" s="30" t="str">
        <x:f>IF(C198="","",IFERROR(SUMPRODUCT((Sites!$D$9:$D$108=C198)*Sites!$I$9:$I$108*Sites!$J$9:$J$108*Sites!$K$9:$K$108*(1-Sites!$L$9:$L$108)),"Unavailable"))</x:f>
      </x:c>
      <x:c r="T198" s="30" t="str">
        <x:f>IF(C198="","",IFERROR(MIN(1,(SUMPRODUCT((Sites!$D$9:$D$108=C198)*Sites!$N$9:$N$108*Sites!$J$9:$J$108*Sites!$K$9:$K$108*(1-Sites!$L$9:$L$108)))*'Scenario Paths'!G27),"Unavailable"))</x:f>
      </x:c>
      <x:c r="U198" s="9" t="str">
        <x:f>IF(C198="","",IF(OR(INDEX('Borrowers'!$AA$9:$AA$108,MATCH(C198,'Borrowers'!$C$9:$C$108,0))&lt;&gt;"Ready",COUNTIF(Sites!$D$9:$D$108,C198)=0,COUNTIFS(Sites!$D$9:$D$108,C198,Sites!$Q$9:$Q$108,"&lt;&gt;Ready")&gt;0,'Scenario Paths'!$F$6&lt;&gt;"Ready"),"Review source inputs","Ready"))</x:f>
      </x:c>
      <x:c r="V198" s="17" t="str">
        <x:f>IF(C198="","",IFERROR(MAX(-1,(G198-O198)/MAX(0.000001,G198)),"Unavailable"))</x:f>
      </x:c>
      <x:c r="W198" s="9" t="str">
        <x:f>IF(C198="","",IFERROR(INDEX('Borrowers'!$D$9:$D$108,MATCH(C198,'Borrowers'!$C$9:$C$108,0)),"Unavailable"))</x:f>
      </x:c>
    </x:row>
    <x:row r="199" ht="26" customHeight="1">
      <x:c r="A199" s="1"/>
      <x:c r="B199" s="1"/>
      <x:c r="C199" s="9" t="str">
        <x:f>IF(Borrowers!C99="","",Borrowers!C99)</x:f>
      </x:c>
      <x:c r="D199" s="3" t="n">
        <x:v>2</x:v>
      </x:c>
      <x:c r="E199" s="9" t="n">
        <x:f>Settings!$F$18+1</x:f>
        <x:v>2028</x:v>
      </x:c>
      <x:c r="F199" s="9" t="str">
        <x:f>IF(C199="","",INDEX('Borrowers'!$F$9:$F$108,MATCH(C199,'Borrowers'!$C$9:$C$108,0)))</x:f>
      </x:c>
      <x:c r="G199" s="23" t="str">
        <x:f>IF(C199="","",IFERROR(INDEX('Borrowers'!$J$9:$J$108,MATCH(C199,'Borrowers'!$C$9:$C$108,0))-INDEX('Borrowers'!$K$9:$K$108,MATCH(C199,'Borrowers'!$C$9:$C$108,0)),"Unavailable"))</x:f>
      </x:c>
      <x:c r="H199" s="23" t="str">
        <x:f>IF(C199="","",IFERROR(INDEX('Borrowers'!$I$9:$I$108,MATCH(C199,'Borrowers'!$C$9:$C$108,0))*INDEX('Borrowers'!$U$9:$U$108,MATCH(C199,'Borrowers'!$C$9:$C$108,0))*(IF(F199="Transport",'Scenario Paths'!G156,IF(F199="Technology",'Scenario Paths'!G150,IF(F199="Utilities",'Scenario Paths'!G144,IF(F199="Agriculture",'Scenario Paths'!G138,IF(F199="Manufacturing",'Scenario Paths'!G132,IF(F199="Healthcare",'Scenario Paths'!G126,IF(F199="Hospitality",'Scenario Paths'!G120,IF(F199="Property",'Scenario Paths'!G114,IF(F199="Food",'Scenario Paths'!G108,IF(F199="Logistics",'Scenario Paths'!G102,IF(F199="Solar",'Scenario Paths'!G96,IF(F199="Cement",'Scenario Paths'!G90,0))))))))))))),"Unavailable"))</x:f>
      </x:c>
      <x:c r="I199" s="23" t="str">
        <x:f>IF(C199="","",IFERROR(INDEX('Borrowers'!$R$9:$R$108,MATCH(C199,'Borrowers'!$C$9:$C$108,0))*(1-INDEX('Borrowers'!$W$9:$W$108,MATCH(C199,'Borrowers'!$C$9:$C$108,0))*'Scenario Paths'!G39)*'Scenario Paths'!G9/1000000*(1-INDEX('Borrowers'!$T$9:$T$108,MATCH(C199,'Borrowers'!$C$9:$C$108,0))),"Unavailable"))</x:f>
      </x:c>
      <x:c r="J199" s="23" t="str">
        <x:f>IF(C199="","",IFERROR(INDEX('Borrowers'!$I$9:$I$108,MATCH(C199,'Borrowers'!$C$9:$C$108,0))*INDEX('Borrowers'!$S$9:$S$108,MATCH(C199,'Borrowers'!$C$9:$C$108,0))*'Scenario Paths'!G15*(1-INDEX('Borrowers'!$T$9:$T$108,MATCH(C199,'Borrowers'!$C$9:$C$108,0))),"Unavailable"))</x:f>
      </x:c>
      <x:c r="K199" s="23" t="str">
        <x:f>IF(C199="","",IFERROR(INDEX('Borrowers'!$I$9:$I$108,MATCH(C199,'Borrowers'!$C$9:$C$108,0))*INDEX('Borrowers'!$U$9:$U$108,MATCH(C199,'Borrowers'!$C$9:$C$108,0))*'Scenario Paths'!G21*S199,"Unavailable"))</x:f>
      </x:c>
      <x:c r="L199" s="23" t="str">
        <x:f>IF(C199="","",IFERROR(SUMPRODUCT((Sites!$D$9:$D$108=C199)*Sites!$H$9:$H$108*Sites!$J$9:$J$108*Sites!$K$9:$K$108*(1-Sites!$L$9:$L$108)*(1-Sites!$M$9:$M$108))*'Scenario Paths'!G27,"Unavailable"))</x:f>
      </x:c>
      <x:c r="M199" s="23" t="str">
        <x:f>IF(C199="","",IFERROR(INDEX('Borrowers'!$J$9:$J$108,MATCH(C199,'Borrowers'!$C$9:$C$108,0))+H199-SUM(I199:L199),"Unavailable"))</x:f>
      </x:c>
      <x:c r="N199" s="23" t="str">
        <x:f>IF(C199="","",IFERROR(INDEX('Borrowers'!$I$9:$I$108,MATCH(C199,'Borrowers'!$C$9:$C$108,0))*'Scenario Paths'!G33,"Unavailable"))</x:f>
      </x:c>
      <x:c r="O199" s="23" t="str">
        <x:f>IF(C199="","",IFERROR(M199-INDEX('Borrowers'!$K$9:$K$108,MATCH(C199,'Borrowers'!$C$9:$C$108,0))-N199,"Unavailable"))</x:f>
      </x:c>
      <x:c r="P199" s="127" t="str">
        <x:f>IF(C199="","",IFERROR(O199/INDEX('Borrowers'!$L$9:$L$108,MATCH(C199,'Borrowers'!$C$9:$C$108,0)),"Unavailable"))</x:f>
      </x:c>
      <x:c r="Q199" s="30" t="str">
        <x:f>IF(C199="","",IFERROR(IF(INDEX('Borrowers'!$Z$9:$Z$108,MATCH(C199,'Borrowers'!$C$9:$C$108,0))="Yes",1,IF(INDEX('Borrowers'!$P$9:$P$108,MATCH(C199,'Borrowers'!$C$9:$C$108,0))=0,0,MIN(1,INDEX('Borrowers'!$P$9:$P$108,MATCH(C199,'Borrowers'!$C$9:$C$108,0))*EXP(MIN(20,INDEX('Borrowers'!$V$9:$V$108,MATCH(C199,'Borrowers'!$C$9:$C$108,0))*V199))))),"Unavailable"))</x:f>
      </x:c>
      <x:c r="R199" s="30" t="str">
        <x:f>IF(C199="","",IFERROR(MIN(1,INDEX('Borrowers'!$Q$9:$Q$108,MATCH(C199,'Borrowers'!$C$9:$C$108,0))+(1-INDEX('Borrowers'!$Q$9:$Q$108,MATCH(C199,'Borrowers'!$C$9:$C$108,0)))*T199),"Unavailable"))</x:f>
      </x:c>
      <x:c r="S199" s="30" t="str">
        <x:f>IF(C199="","",IFERROR(SUMPRODUCT((Sites!$D$9:$D$108=C199)*Sites!$I$9:$I$108*Sites!$J$9:$J$108*Sites!$K$9:$K$108*(1-Sites!$L$9:$L$108)),"Unavailable"))</x:f>
      </x:c>
      <x:c r="T199" s="30" t="str">
        <x:f>IF(C199="","",IFERROR(MIN(1,(SUMPRODUCT((Sites!$D$9:$D$108=C199)*Sites!$N$9:$N$108*Sites!$J$9:$J$108*Sites!$K$9:$K$108*(1-Sites!$L$9:$L$108)))*'Scenario Paths'!G27),"Unavailable"))</x:f>
      </x:c>
      <x:c r="U199" s="9" t="str">
        <x:f>IF(C199="","",IF(OR(INDEX('Borrowers'!$AA$9:$AA$108,MATCH(C199,'Borrowers'!$C$9:$C$108,0))&lt;&gt;"Ready",COUNTIF(Sites!$D$9:$D$108,C199)=0,COUNTIFS(Sites!$D$9:$D$108,C199,Sites!$Q$9:$Q$108,"&lt;&gt;Ready")&gt;0,'Scenario Paths'!$F$6&lt;&gt;"Ready"),"Review source inputs","Ready"))</x:f>
      </x:c>
      <x:c r="V199" s="17" t="str">
        <x:f>IF(C199="","",IFERROR(MAX(-1,(G199-O199)/MAX(0.000001,G199)),"Unavailable"))</x:f>
      </x:c>
      <x:c r="W199" s="9" t="str">
        <x:f>IF(C199="","",IFERROR(INDEX('Borrowers'!$D$9:$D$108,MATCH(C199,'Borrowers'!$C$9:$C$108,0)),"Unavailable"))</x:f>
      </x:c>
    </x:row>
    <x:row r="200" ht="26" customHeight="1">
      <x:c r="A200" s="1"/>
      <x:c r="B200" s="1"/>
      <x:c r="C200" s="9" t="str">
        <x:f>IF(Borrowers!C100="","",Borrowers!C100)</x:f>
      </x:c>
      <x:c r="D200" s="3" t="n">
        <x:v>2</x:v>
      </x:c>
      <x:c r="E200" s="9" t="n">
        <x:f>Settings!$F$18+1</x:f>
        <x:v>2028</x:v>
      </x:c>
      <x:c r="F200" s="9" t="str">
        <x:f>IF(C200="","",INDEX('Borrowers'!$F$9:$F$108,MATCH(C200,'Borrowers'!$C$9:$C$108,0)))</x:f>
      </x:c>
      <x:c r="G200" s="23" t="str">
        <x:f>IF(C200="","",IFERROR(INDEX('Borrowers'!$J$9:$J$108,MATCH(C200,'Borrowers'!$C$9:$C$108,0))-INDEX('Borrowers'!$K$9:$K$108,MATCH(C200,'Borrowers'!$C$9:$C$108,0)),"Unavailable"))</x:f>
      </x:c>
      <x:c r="H200" s="23" t="str">
        <x:f>IF(C200="","",IFERROR(INDEX('Borrowers'!$I$9:$I$108,MATCH(C200,'Borrowers'!$C$9:$C$108,0))*INDEX('Borrowers'!$U$9:$U$108,MATCH(C200,'Borrowers'!$C$9:$C$108,0))*(IF(F200="Transport",'Scenario Paths'!G156,IF(F200="Technology",'Scenario Paths'!G150,IF(F200="Utilities",'Scenario Paths'!G144,IF(F200="Agriculture",'Scenario Paths'!G138,IF(F200="Manufacturing",'Scenario Paths'!G132,IF(F200="Healthcare",'Scenario Paths'!G126,IF(F200="Hospitality",'Scenario Paths'!G120,IF(F200="Property",'Scenario Paths'!G114,IF(F200="Food",'Scenario Paths'!G108,IF(F200="Logistics",'Scenario Paths'!G102,IF(F200="Solar",'Scenario Paths'!G96,IF(F200="Cement",'Scenario Paths'!G90,0))))))))))))),"Unavailable"))</x:f>
      </x:c>
      <x:c r="I200" s="23" t="str">
        <x:f>IF(C200="","",IFERROR(INDEX('Borrowers'!$R$9:$R$108,MATCH(C200,'Borrowers'!$C$9:$C$108,0))*(1-INDEX('Borrowers'!$W$9:$W$108,MATCH(C200,'Borrowers'!$C$9:$C$108,0))*'Scenario Paths'!G39)*'Scenario Paths'!G9/1000000*(1-INDEX('Borrowers'!$T$9:$T$108,MATCH(C200,'Borrowers'!$C$9:$C$108,0))),"Unavailable"))</x:f>
      </x:c>
      <x:c r="J200" s="23" t="str">
        <x:f>IF(C200="","",IFERROR(INDEX('Borrowers'!$I$9:$I$108,MATCH(C200,'Borrowers'!$C$9:$C$108,0))*INDEX('Borrowers'!$S$9:$S$108,MATCH(C200,'Borrowers'!$C$9:$C$108,0))*'Scenario Paths'!G15*(1-INDEX('Borrowers'!$T$9:$T$108,MATCH(C200,'Borrowers'!$C$9:$C$108,0))),"Unavailable"))</x:f>
      </x:c>
      <x:c r="K200" s="23" t="str">
        <x:f>IF(C200="","",IFERROR(INDEX('Borrowers'!$I$9:$I$108,MATCH(C200,'Borrowers'!$C$9:$C$108,0))*INDEX('Borrowers'!$U$9:$U$108,MATCH(C200,'Borrowers'!$C$9:$C$108,0))*'Scenario Paths'!G21*S200,"Unavailable"))</x:f>
      </x:c>
      <x:c r="L200" s="23" t="str">
        <x:f>IF(C200="","",IFERROR(SUMPRODUCT((Sites!$D$9:$D$108=C200)*Sites!$H$9:$H$108*Sites!$J$9:$J$108*Sites!$K$9:$K$108*(1-Sites!$L$9:$L$108)*(1-Sites!$M$9:$M$108))*'Scenario Paths'!G27,"Unavailable"))</x:f>
      </x:c>
      <x:c r="M200" s="23" t="str">
        <x:f>IF(C200="","",IFERROR(INDEX('Borrowers'!$J$9:$J$108,MATCH(C200,'Borrowers'!$C$9:$C$108,0))+H200-SUM(I200:L200),"Unavailable"))</x:f>
      </x:c>
      <x:c r="N200" s="23" t="str">
        <x:f>IF(C200="","",IFERROR(INDEX('Borrowers'!$I$9:$I$108,MATCH(C200,'Borrowers'!$C$9:$C$108,0))*'Scenario Paths'!G33,"Unavailable"))</x:f>
      </x:c>
      <x:c r="O200" s="23" t="str">
        <x:f>IF(C200="","",IFERROR(M200-INDEX('Borrowers'!$K$9:$K$108,MATCH(C200,'Borrowers'!$C$9:$C$108,0))-N200,"Unavailable"))</x:f>
      </x:c>
      <x:c r="P200" s="127" t="str">
        <x:f>IF(C200="","",IFERROR(O200/INDEX('Borrowers'!$L$9:$L$108,MATCH(C200,'Borrowers'!$C$9:$C$108,0)),"Unavailable"))</x:f>
      </x:c>
      <x:c r="Q200" s="30" t="str">
        <x:f>IF(C200="","",IFERROR(IF(INDEX('Borrowers'!$Z$9:$Z$108,MATCH(C200,'Borrowers'!$C$9:$C$108,0))="Yes",1,IF(INDEX('Borrowers'!$P$9:$P$108,MATCH(C200,'Borrowers'!$C$9:$C$108,0))=0,0,MIN(1,INDEX('Borrowers'!$P$9:$P$108,MATCH(C200,'Borrowers'!$C$9:$C$108,0))*EXP(MIN(20,INDEX('Borrowers'!$V$9:$V$108,MATCH(C200,'Borrowers'!$C$9:$C$108,0))*V200))))),"Unavailable"))</x:f>
      </x:c>
      <x:c r="R200" s="30" t="str">
        <x:f>IF(C200="","",IFERROR(MIN(1,INDEX('Borrowers'!$Q$9:$Q$108,MATCH(C200,'Borrowers'!$C$9:$C$108,0))+(1-INDEX('Borrowers'!$Q$9:$Q$108,MATCH(C200,'Borrowers'!$C$9:$C$108,0)))*T200),"Unavailable"))</x:f>
      </x:c>
      <x:c r="S200" s="30" t="str">
        <x:f>IF(C200="","",IFERROR(SUMPRODUCT((Sites!$D$9:$D$108=C200)*Sites!$I$9:$I$108*Sites!$J$9:$J$108*Sites!$K$9:$K$108*(1-Sites!$L$9:$L$108)),"Unavailable"))</x:f>
      </x:c>
      <x:c r="T200" s="30" t="str">
        <x:f>IF(C200="","",IFERROR(MIN(1,(SUMPRODUCT((Sites!$D$9:$D$108=C200)*Sites!$N$9:$N$108*Sites!$J$9:$J$108*Sites!$K$9:$K$108*(1-Sites!$L$9:$L$108)))*'Scenario Paths'!G27),"Unavailable"))</x:f>
      </x:c>
      <x:c r="U200" s="9" t="str">
        <x:f>IF(C200="","",IF(OR(INDEX('Borrowers'!$AA$9:$AA$108,MATCH(C200,'Borrowers'!$C$9:$C$108,0))&lt;&gt;"Ready",COUNTIF(Sites!$D$9:$D$108,C200)=0,COUNTIFS(Sites!$D$9:$D$108,C200,Sites!$Q$9:$Q$108,"&lt;&gt;Ready")&gt;0,'Scenario Paths'!$F$6&lt;&gt;"Ready"),"Review source inputs","Ready"))</x:f>
      </x:c>
      <x:c r="V200" s="17" t="str">
        <x:f>IF(C200="","",IFERROR(MAX(-1,(G200-O200)/MAX(0.000001,G200)),"Unavailable"))</x:f>
      </x:c>
      <x:c r="W200" s="9" t="str">
        <x:f>IF(C200="","",IFERROR(INDEX('Borrowers'!$D$9:$D$108,MATCH(C200,'Borrowers'!$C$9:$C$108,0)),"Unavailable"))</x:f>
      </x:c>
    </x:row>
    <x:row r="201" ht="26" customHeight="1">
      <x:c r="A201" s="1"/>
      <x:c r="B201" s="1"/>
      <x:c r="C201" s="9" t="str">
        <x:f>IF(Borrowers!C101="","",Borrowers!C101)</x:f>
      </x:c>
      <x:c r="D201" s="3" t="n">
        <x:v>2</x:v>
      </x:c>
      <x:c r="E201" s="9" t="n">
        <x:f>Settings!$F$18+1</x:f>
        <x:v>2028</x:v>
      </x:c>
      <x:c r="F201" s="9" t="str">
        <x:f>IF(C201="","",INDEX('Borrowers'!$F$9:$F$108,MATCH(C201,'Borrowers'!$C$9:$C$108,0)))</x:f>
      </x:c>
      <x:c r="G201" s="23" t="str">
        <x:f>IF(C201="","",IFERROR(INDEX('Borrowers'!$J$9:$J$108,MATCH(C201,'Borrowers'!$C$9:$C$108,0))-INDEX('Borrowers'!$K$9:$K$108,MATCH(C201,'Borrowers'!$C$9:$C$108,0)),"Unavailable"))</x:f>
      </x:c>
      <x:c r="H201" s="23" t="str">
        <x:f>IF(C201="","",IFERROR(INDEX('Borrowers'!$I$9:$I$108,MATCH(C201,'Borrowers'!$C$9:$C$108,0))*INDEX('Borrowers'!$U$9:$U$108,MATCH(C201,'Borrowers'!$C$9:$C$108,0))*(IF(F201="Transport",'Scenario Paths'!G156,IF(F201="Technology",'Scenario Paths'!G150,IF(F201="Utilities",'Scenario Paths'!G144,IF(F201="Agriculture",'Scenario Paths'!G138,IF(F201="Manufacturing",'Scenario Paths'!G132,IF(F201="Healthcare",'Scenario Paths'!G126,IF(F201="Hospitality",'Scenario Paths'!G120,IF(F201="Property",'Scenario Paths'!G114,IF(F201="Food",'Scenario Paths'!G108,IF(F201="Logistics",'Scenario Paths'!G102,IF(F201="Solar",'Scenario Paths'!G96,IF(F201="Cement",'Scenario Paths'!G90,0))))))))))))),"Unavailable"))</x:f>
      </x:c>
      <x:c r="I201" s="23" t="str">
        <x:f>IF(C201="","",IFERROR(INDEX('Borrowers'!$R$9:$R$108,MATCH(C201,'Borrowers'!$C$9:$C$108,0))*(1-INDEX('Borrowers'!$W$9:$W$108,MATCH(C201,'Borrowers'!$C$9:$C$108,0))*'Scenario Paths'!G39)*'Scenario Paths'!G9/1000000*(1-INDEX('Borrowers'!$T$9:$T$108,MATCH(C201,'Borrowers'!$C$9:$C$108,0))),"Unavailable"))</x:f>
      </x:c>
      <x:c r="J201" s="23" t="str">
        <x:f>IF(C201="","",IFERROR(INDEX('Borrowers'!$I$9:$I$108,MATCH(C201,'Borrowers'!$C$9:$C$108,0))*INDEX('Borrowers'!$S$9:$S$108,MATCH(C201,'Borrowers'!$C$9:$C$108,0))*'Scenario Paths'!G15*(1-INDEX('Borrowers'!$T$9:$T$108,MATCH(C201,'Borrowers'!$C$9:$C$108,0))),"Unavailable"))</x:f>
      </x:c>
      <x:c r="K201" s="23" t="str">
        <x:f>IF(C201="","",IFERROR(INDEX('Borrowers'!$I$9:$I$108,MATCH(C201,'Borrowers'!$C$9:$C$108,0))*INDEX('Borrowers'!$U$9:$U$108,MATCH(C201,'Borrowers'!$C$9:$C$108,0))*'Scenario Paths'!G21*S201,"Unavailable"))</x:f>
      </x:c>
      <x:c r="L201" s="23" t="str">
        <x:f>IF(C201="","",IFERROR(SUMPRODUCT((Sites!$D$9:$D$108=C201)*Sites!$H$9:$H$108*Sites!$J$9:$J$108*Sites!$K$9:$K$108*(1-Sites!$L$9:$L$108)*(1-Sites!$M$9:$M$108))*'Scenario Paths'!G27,"Unavailable"))</x:f>
      </x:c>
      <x:c r="M201" s="23" t="str">
        <x:f>IF(C201="","",IFERROR(INDEX('Borrowers'!$J$9:$J$108,MATCH(C201,'Borrowers'!$C$9:$C$108,0))+H201-SUM(I201:L201),"Unavailable"))</x:f>
      </x:c>
      <x:c r="N201" s="23" t="str">
        <x:f>IF(C201="","",IFERROR(INDEX('Borrowers'!$I$9:$I$108,MATCH(C201,'Borrowers'!$C$9:$C$108,0))*'Scenario Paths'!G33,"Unavailable"))</x:f>
      </x:c>
      <x:c r="O201" s="23" t="str">
        <x:f>IF(C201="","",IFERROR(M201-INDEX('Borrowers'!$K$9:$K$108,MATCH(C201,'Borrowers'!$C$9:$C$108,0))-N201,"Unavailable"))</x:f>
      </x:c>
      <x:c r="P201" s="127" t="str">
        <x:f>IF(C201="","",IFERROR(O201/INDEX('Borrowers'!$L$9:$L$108,MATCH(C201,'Borrowers'!$C$9:$C$108,0)),"Unavailable"))</x:f>
      </x:c>
      <x:c r="Q201" s="30" t="str">
        <x:f>IF(C201="","",IFERROR(IF(INDEX('Borrowers'!$Z$9:$Z$108,MATCH(C201,'Borrowers'!$C$9:$C$108,0))="Yes",1,IF(INDEX('Borrowers'!$P$9:$P$108,MATCH(C201,'Borrowers'!$C$9:$C$108,0))=0,0,MIN(1,INDEX('Borrowers'!$P$9:$P$108,MATCH(C201,'Borrowers'!$C$9:$C$108,0))*EXP(MIN(20,INDEX('Borrowers'!$V$9:$V$108,MATCH(C201,'Borrowers'!$C$9:$C$108,0))*V201))))),"Unavailable"))</x:f>
      </x:c>
      <x:c r="R201" s="30" t="str">
        <x:f>IF(C201="","",IFERROR(MIN(1,INDEX('Borrowers'!$Q$9:$Q$108,MATCH(C201,'Borrowers'!$C$9:$C$108,0))+(1-INDEX('Borrowers'!$Q$9:$Q$108,MATCH(C201,'Borrowers'!$C$9:$C$108,0)))*T201),"Unavailable"))</x:f>
      </x:c>
      <x:c r="S201" s="30" t="str">
        <x:f>IF(C201="","",IFERROR(SUMPRODUCT((Sites!$D$9:$D$108=C201)*Sites!$I$9:$I$108*Sites!$J$9:$J$108*Sites!$K$9:$K$108*(1-Sites!$L$9:$L$108)),"Unavailable"))</x:f>
      </x:c>
      <x:c r="T201" s="30" t="str">
        <x:f>IF(C201="","",IFERROR(MIN(1,(SUMPRODUCT((Sites!$D$9:$D$108=C201)*Sites!$N$9:$N$108*Sites!$J$9:$J$108*Sites!$K$9:$K$108*(1-Sites!$L$9:$L$108)))*'Scenario Paths'!G27),"Unavailable"))</x:f>
      </x:c>
      <x:c r="U201" s="9" t="str">
        <x:f>IF(C201="","",IF(OR(INDEX('Borrowers'!$AA$9:$AA$108,MATCH(C201,'Borrowers'!$C$9:$C$108,0))&lt;&gt;"Ready",COUNTIF(Sites!$D$9:$D$108,C201)=0,COUNTIFS(Sites!$D$9:$D$108,C201,Sites!$Q$9:$Q$108,"&lt;&gt;Ready")&gt;0,'Scenario Paths'!$F$6&lt;&gt;"Ready"),"Review source inputs","Ready"))</x:f>
      </x:c>
      <x:c r="V201" s="17" t="str">
        <x:f>IF(C201="","",IFERROR(MAX(-1,(G201-O201)/MAX(0.000001,G201)),"Unavailable"))</x:f>
      </x:c>
      <x:c r="W201" s="9" t="str">
        <x:f>IF(C201="","",IFERROR(INDEX('Borrowers'!$D$9:$D$108,MATCH(C201,'Borrowers'!$C$9:$C$108,0)),"Unavailable"))</x:f>
      </x:c>
    </x:row>
    <x:row r="202" ht="26" customHeight="1">
      <x:c r="A202" s="1"/>
      <x:c r="B202" s="1"/>
      <x:c r="C202" s="9" t="str">
        <x:f>IF(Borrowers!C102="","",Borrowers!C102)</x:f>
      </x:c>
      <x:c r="D202" s="3" t="n">
        <x:v>2</x:v>
      </x:c>
      <x:c r="E202" s="9" t="n">
        <x:f>Settings!$F$18+1</x:f>
        <x:v>2028</x:v>
      </x:c>
      <x:c r="F202" s="9" t="str">
        <x:f>IF(C202="","",INDEX('Borrowers'!$F$9:$F$108,MATCH(C202,'Borrowers'!$C$9:$C$108,0)))</x:f>
      </x:c>
      <x:c r="G202" s="23" t="str">
        <x:f>IF(C202="","",IFERROR(INDEX('Borrowers'!$J$9:$J$108,MATCH(C202,'Borrowers'!$C$9:$C$108,0))-INDEX('Borrowers'!$K$9:$K$108,MATCH(C202,'Borrowers'!$C$9:$C$108,0)),"Unavailable"))</x:f>
      </x:c>
      <x:c r="H202" s="23" t="str">
        <x:f>IF(C202="","",IFERROR(INDEX('Borrowers'!$I$9:$I$108,MATCH(C202,'Borrowers'!$C$9:$C$108,0))*INDEX('Borrowers'!$U$9:$U$108,MATCH(C202,'Borrowers'!$C$9:$C$108,0))*(IF(F202="Transport",'Scenario Paths'!G156,IF(F202="Technology",'Scenario Paths'!G150,IF(F202="Utilities",'Scenario Paths'!G144,IF(F202="Agriculture",'Scenario Paths'!G138,IF(F202="Manufacturing",'Scenario Paths'!G132,IF(F202="Healthcare",'Scenario Paths'!G126,IF(F202="Hospitality",'Scenario Paths'!G120,IF(F202="Property",'Scenario Paths'!G114,IF(F202="Food",'Scenario Paths'!G108,IF(F202="Logistics",'Scenario Paths'!G102,IF(F202="Solar",'Scenario Paths'!G96,IF(F202="Cement",'Scenario Paths'!G90,0))))))))))))),"Unavailable"))</x:f>
      </x:c>
      <x:c r="I202" s="23" t="str">
        <x:f>IF(C202="","",IFERROR(INDEX('Borrowers'!$R$9:$R$108,MATCH(C202,'Borrowers'!$C$9:$C$108,0))*(1-INDEX('Borrowers'!$W$9:$W$108,MATCH(C202,'Borrowers'!$C$9:$C$108,0))*'Scenario Paths'!G39)*'Scenario Paths'!G9/1000000*(1-INDEX('Borrowers'!$T$9:$T$108,MATCH(C202,'Borrowers'!$C$9:$C$108,0))),"Unavailable"))</x:f>
      </x:c>
      <x:c r="J202" s="23" t="str">
        <x:f>IF(C202="","",IFERROR(INDEX('Borrowers'!$I$9:$I$108,MATCH(C202,'Borrowers'!$C$9:$C$108,0))*INDEX('Borrowers'!$S$9:$S$108,MATCH(C202,'Borrowers'!$C$9:$C$108,0))*'Scenario Paths'!G15*(1-INDEX('Borrowers'!$T$9:$T$108,MATCH(C202,'Borrowers'!$C$9:$C$108,0))),"Unavailable"))</x:f>
      </x:c>
      <x:c r="K202" s="23" t="str">
        <x:f>IF(C202="","",IFERROR(INDEX('Borrowers'!$I$9:$I$108,MATCH(C202,'Borrowers'!$C$9:$C$108,0))*INDEX('Borrowers'!$U$9:$U$108,MATCH(C202,'Borrowers'!$C$9:$C$108,0))*'Scenario Paths'!G21*S202,"Unavailable"))</x:f>
      </x:c>
      <x:c r="L202" s="23" t="str">
        <x:f>IF(C202="","",IFERROR(SUMPRODUCT((Sites!$D$9:$D$108=C202)*Sites!$H$9:$H$108*Sites!$J$9:$J$108*Sites!$K$9:$K$108*(1-Sites!$L$9:$L$108)*(1-Sites!$M$9:$M$108))*'Scenario Paths'!G27,"Unavailable"))</x:f>
      </x:c>
      <x:c r="M202" s="23" t="str">
        <x:f>IF(C202="","",IFERROR(INDEX('Borrowers'!$J$9:$J$108,MATCH(C202,'Borrowers'!$C$9:$C$108,0))+H202-SUM(I202:L202),"Unavailable"))</x:f>
      </x:c>
      <x:c r="N202" s="23" t="str">
        <x:f>IF(C202="","",IFERROR(INDEX('Borrowers'!$I$9:$I$108,MATCH(C202,'Borrowers'!$C$9:$C$108,0))*'Scenario Paths'!G33,"Unavailable"))</x:f>
      </x:c>
      <x:c r="O202" s="23" t="str">
        <x:f>IF(C202="","",IFERROR(M202-INDEX('Borrowers'!$K$9:$K$108,MATCH(C202,'Borrowers'!$C$9:$C$108,0))-N202,"Unavailable"))</x:f>
      </x:c>
      <x:c r="P202" s="127" t="str">
        <x:f>IF(C202="","",IFERROR(O202/INDEX('Borrowers'!$L$9:$L$108,MATCH(C202,'Borrowers'!$C$9:$C$108,0)),"Unavailable"))</x:f>
      </x:c>
      <x:c r="Q202" s="30" t="str">
        <x:f>IF(C202="","",IFERROR(IF(INDEX('Borrowers'!$Z$9:$Z$108,MATCH(C202,'Borrowers'!$C$9:$C$108,0))="Yes",1,IF(INDEX('Borrowers'!$P$9:$P$108,MATCH(C202,'Borrowers'!$C$9:$C$108,0))=0,0,MIN(1,INDEX('Borrowers'!$P$9:$P$108,MATCH(C202,'Borrowers'!$C$9:$C$108,0))*EXP(MIN(20,INDEX('Borrowers'!$V$9:$V$108,MATCH(C202,'Borrowers'!$C$9:$C$108,0))*V202))))),"Unavailable"))</x:f>
      </x:c>
      <x:c r="R202" s="30" t="str">
        <x:f>IF(C202="","",IFERROR(MIN(1,INDEX('Borrowers'!$Q$9:$Q$108,MATCH(C202,'Borrowers'!$C$9:$C$108,0))+(1-INDEX('Borrowers'!$Q$9:$Q$108,MATCH(C202,'Borrowers'!$C$9:$C$108,0)))*T202),"Unavailable"))</x:f>
      </x:c>
      <x:c r="S202" s="30" t="str">
        <x:f>IF(C202="","",IFERROR(SUMPRODUCT((Sites!$D$9:$D$108=C202)*Sites!$I$9:$I$108*Sites!$J$9:$J$108*Sites!$K$9:$K$108*(1-Sites!$L$9:$L$108)),"Unavailable"))</x:f>
      </x:c>
      <x:c r="T202" s="30" t="str">
        <x:f>IF(C202="","",IFERROR(MIN(1,(SUMPRODUCT((Sites!$D$9:$D$108=C202)*Sites!$N$9:$N$108*Sites!$J$9:$J$108*Sites!$K$9:$K$108*(1-Sites!$L$9:$L$108)))*'Scenario Paths'!G27),"Unavailable"))</x:f>
      </x:c>
      <x:c r="U202" s="9" t="str">
        <x:f>IF(C202="","",IF(OR(INDEX('Borrowers'!$AA$9:$AA$108,MATCH(C202,'Borrowers'!$C$9:$C$108,0))&lt;&gt;"Ready",COUNTIF(Sites!$D$9:$D$108,C202)=0,COUNTIFS(Sites!$D$9:$D$108,C202,Sites!$Q$9:$Q$108,"&lt;&gt;Ready")&gt;0,'Scenario Paths'!$F$6&lt;&gt;"Ready"),"Review source inputs","Ready"))</x:f>
      </x:c>
      <x:c r="V202" s="17" t="str">
        <x:f>IF(C202="","",IFERROR(MAX(-1,(G202-O202)/MAX(0.000001,G202)),"Unavailable"))</x:f>
      </x:c>
      <x:c r="W202" s="9" t="str">
        <x:f>IF(C202="","",IFERROR(INDEX('Borrowers'!$D$9:$D$108,MATCH(C202,'Borrowers'!$C$9:$C$108,0)),"Unavailable"))</x:f>
      </x:c>
    </x:row>
    <x:row r="203" ht="26" customHeight="1">
      <x:c r="A203" s="1"/>
      <x:c r="B203" s="1"/>
      <x:c r="C203" s="9" t="str">
        <x:f>IF(Borrowers!C103="","",Borrowers!C103)</x:f>
      </x:c>
      <x:c r="D203" s="3" t="n">
        <x:v>2</x:v>
      </x:c>
      <x:c r="E203" s="9" t="n">
        <x:f>Settings!$F$18+1</x:f>
        <x:v>2028</x:v>
      </x:c>
      <x:c r="F203" s="9" t="str">
        <x:f>IF(C203="","",INDEX('Borrowers'!$F$9:$F$108,MATCH(C203,'Borrowers'!$C$9:$C$108,0)))</x:f>
      </x:c>
      <x:c r="G203" s="23" t="str">
        <x:f>IF(C203="","",IFERROR(INDEX('Borrowers'!$J$9:$J$108,MATCH(C203,'Borrowers'!$C$9:$C$108,0))-INDEX('Borrowers'!$K$9:$K$108,MATCH(C203,'Borrowers'!$C$9:$C$108,0)),"Unavailable"))</x:f>
      </x:c>
      <x:c r="H203" s="23" t="str">
        <x:f>IF(C203="","",IFERROR(INDEX('Borrowers'!$I$9:$I$108,MATCH(C203,'Borrowers'!$C$9:$C$108,0))*INDEX('Borrowers'!$U$9:$U$108,MATCH(C203,'Borrowers'!$C$9:$C$108,0))*(IF(F203="Transport",'Scenario Paths'!G156,IF(F203="Technology",'Scenario Paths'!G150,IF(F203="Utilities",'Scenario Paths'!G144,IF(F203="Agriculture",'Scenario Paths'!G138,IF(F203="Manufacturing",'Scenario Paths'!G132,IF(F203="Healthcare",'Scenario Paths'!G126,IF(F203="Hospitality",'Scenario Paths'!G120,IF(F203="Property",'Scenario Paths'!G114,IF(F203="Food",'Scenario Paths'!G108,IF(F203="Logistics",'Scenario Paths'!G102,IF(F203="Solar",'Scenario Paths'!G96,IF(F203="Cement",'Scenario Paths'!G90,0))))))))))))),"Unavailable"))</x:f>
      </x:c>
      <x:c r="I203" s="23" t="str">
        <x:f>IF(C203="","",IFERROR(INDEX('Borrowers'!$R$9:$R$108,MATCH(C203,'Borrowers'!$C$9:$C$108,0))*(1-INDEX('Borrowers'!$W$9:$W$108,MATCH(C203,'Borrowers'!$C$9:$C$108,0))*'Scenario Paths'!G39)*'Scenario Paths'!G9/1000000*(1-INDEX('Borrowers'!$T$9:$T$108,MATCH(C203,'Borrowers'!$C$9:$C$108,0))),"Unavailable"))</x:f>
      </x:c>
      <x:c r="J203" s="23" t="str">
        <x:f>IF(C203="","",IFERROR(INDEX('Borrowers'!$I$9:$I$108,MATCH(C203,'Borrowers'!$C$9:$C$108,0))*INDEX('Borrowers'!$S$9:$S$108,MATCH(C203,'Borrowers'!$C$9:$C$108,0))*'Scenario Paths'!G15*(1-INDEX('Borrowers'!$T$9:$T$108,MATCH(C203,'Borrowers'!$C$9:$C$108,0))),"Unavailable"))</x:f>
      </x:c>
      <x:c r="K203" s="23" t="str">
        <x:f>IF(C203="","",IFERROR(INDEX('Borrowers'!$I$9:$I$108,MATCH(C203,'Borrowers'!$C$9:$C$108,0))*INDEX('Borrowers'!$U$9:$U$108,MATCH(C203,'Borrowers'!$C$9:$C$108,0))*'Scenario Paths'!G21*S203,"Unavailable"))</x:f>
      </x:c>
      <x:c r="L203" s="23" t="str">
        <x:f>IF(C203="","",IFERROR(SUMPRODUCT((Sites!$D$9:$D$108=C203)*Sites!$H$9:$H$108*Sites!$J$9:$J$108*Sites!$K$9:$K$108*(1-Sites!$L$9:$L$108)*(1-Sites!$M$9:$M$108))*'Scenario Paths'!G27,"Unavailable"))</x:f>
      </x:c>
      <x:c r="M203" s="23" t="str">
        <x:f>IF(C203="","",IFERROR(INDEX('Borrowers'!$J$9:$J$108,MATCH(C203,'Borrowers'!$C$9:$C$108,0))+H203-SUM(I203:L203),"Unavailable"))</x:f>
      </x:c>
      <x:c r="N203" s="23" t="str">
        <x:f>IF(C203="","",IFERROR(INDEX('Borrowers'!$I$9:$I$108,MATCH(C203,'Borrowers'!$C$9:$C$108,0))*'Scenario Paths'!G33,"Unavailable"))</x:f>
      </x:c>
      <x:c r="O203" s="23" t="str">
        <x:f>IF(C203="","",IFERROR(M203-INDEX('Borrowers'!$K$9:$K$108,MATCH(C203,'Borrowers'!$C$9:$C$108,0))-N203,"Unavailable"))</x:f>
      </x:c>
      <x:c r="P203" s="127" t="str">
        <x:f>IF(C203="","",IFERROR(O203/INDEX('Borrowers'!$L$9:$L$108,MATCH(C203,'Borrowers'!$C$9:$C$108,0)),"Unavailable"))</x:f>
      </x:c>
      <x:c r="Q203" s="30" t="str">
        <x:f>IF(C203="","",IFERROR(IF(INDEX('Borrowers'!$Z$9:$Z$108,MATCH(C203,'Borrowers'!$C$9:$C$108,0))="Yes",1,IF(INDEX('Borrowers'!$P$9:$P$108,MATCH(C203,'Borrowers'!$C$9:$C$108,0))=0,0,MIN(1,INDEX('Borrowers'!$P$9:$P$108,MATCH(C203,'Borrowers'!$C$9:$C$108,0))*EXP(MIN(20,INDEX('Borrowers'!$V$9:$V$108,MATCH(C203,'Borrowers'!$C$9:$C$108,0))*V203))))),"Unavailable"))</x:f>
      </x:c>
      <x:c r="R203" s="30" t="str">
        <x:f>IF(C203="","",IFERROR(MIN(1,INDEX('Borrowers'!$Q$9:$Q$108,MATCH(C203,'Borrowers'!$C$9:$C$108,0))+(1-INDEX('Borrowers'!$Q$9:$Q$108,MATCH(C203,'Borrowers'!$C$9:$C$108,0)))*T203),"Unavailable"))</x:f>
      </x:c>
      <x:c r="S203" s="30" t="str">
        <x:f>IF(C203="","",IFERROR(SUMPRODUCT((Sites!$D$9:$D$108=C203)*Sites!$I$9:$I$108*Sites!$J$9:$J$108*Sites!$K$9:$K$108*(1-Sites!$L$9:$L$108)),"Unavailable"))</x:f>
      </x:c>
      <x:c r="T203" s="30" t="str">
        <x:f>IF(C203="","",IFERROR(MIN(1,(SUMPRODUCT((Sites!$D$9:$D$108=C203)*Sites!$N$9:$N$108*Sites!$J$9:$J$108*Sites!$K$9:$K$108*(1-Sites!$L$9:$L$108)))*'Scenario Paths'!G27),"Unavailable"))</x:f>
      </x:c>
      <x:c r="U203" s="9" t="str">
        <x:f>IF(C203="","",IF(OR(INDEX('Borrowers'!$AA$9:$AA$108,MATCH(C203,'Borrowers'!$C$9:$C$108,0))&lt;&gt;"Ready",COUNTIF(Sites!$D$9:$D$108,C203)=0,COUNTIFS(Sites!$D$9:$D$108,C203,Sites!$Q$9:$Q$108,"&lt;&gt;Ready")&gt;0,'Scenario Paths'!$F$6&lt;&gt;"Ready"),"Review source inputs","Ready"))</x:f>
      </x:c>
      <x:c r="V203" s="17" t="str">
        <x:f>IF(C203="","",IFERROR(MAX(-1,(G203-O203)/MAX(0.000001,G203)),"Unavailable"))</x:f>
      </x:c>
      <x:c r="W203" s="9" t="str">
        <x:f>IF(C203="","",IFERROR(INDEX('Borrowers'!$D$9:$D$108,MATCH(C203,'Borrowers'!$C$9:$C$108,0)),"Unavailable"))</x:f>
      </x:c>
    </x:row>
    <x:row r="204" ht="26" customHeight="1">
      <x:c r="A204" s="1"/>
      <x:c r="B204" s="1"/>
      <x:c r="C204" s="9" t="str">
        <x:f>IF(Borrowers!C104="","",Borrowers!C104)</x:f>
      </x:c>
      <x:c r="D204" s="3" t="n">
        <x:v>2</x:v>
      </x:c>
      <x:c r="E204" s="9" t="n">
        <x:f>Settings!$F$18+1</x:f>
        <x:v>2028</x:v>
      </x:c>
      <x:c r="F204" s="9" t="str">
        <x:f>IF(C204="","",INDEX('Borrowers'!$F$9:$F$108,MATCH(C204,'Borrowers'!$C$9:$C$108,0)))</x:f>
      </x:c>
      <x:c r="G204" s="23" t="str">
        <x:f>IF(C204="","",IFERROR(INDEX('Borrowers'!$J$9:$J$108,MATCH(C204,'Borrowers'!$C$9:$C$108,0))-INDEX('Borrowers'!$K$9:$K$108,MATCH(C204,'Borrowers'!$C$9:$C$108,0)),"Unavailable"))</x:f>
      </x:c>
      <x:c r="H204" s="23" t="str">
        <x:f>IF(C204="","",IFERROR(INDEX('Borrowers'!$I$9:$I$108,MATCH(C204,'Borrowers'!$C$9:$C$108,0))*INDEX('Borrowers'!$U$9:$U$108,MATCH(C204,'Borrowers'!$C$9:$C$108,0))*(IF(F204="Transport",'Scenario Paths'!G156,IF(F204="Technology",'Scenario Paths'!G150,IF(F204="Utilities",'Scenario Paths'!G144,IF(F204="Agriculture",'Scenario Paths'!G138,IF(F204="Manufacturing",'Scenario Paths'!G132,IF(F204="Healthcare",'Scenario Paths'!G126,IF(F204="Hospitality",'Scenario Paths'!G120,IF(F204="Property",'Scenario Paths'!G114,IF(F204="Food",'Scenario Paths'!G108,IF(F204="Logistics",'Scenario Paths'!G102,IF(F204="Solar",'Scenario Paths'!G96,IF(F204="Cement",'Scenario Paths'!G90,0))))))))))))),"Unavailable"))</x:f>
      </x:c>
      <x:c r="I204" s="23" t="str">
        <x:f>IF(C204="","",IFERROR(INDEX('Borrowers'!$R$9:$R$108,MATCH(C204,'Borrowers'!$C$9:$C$108,0))*(1-INDEX('Borrowers'!$W$9:$W$108,MATCH(C204,'Borrowers'!$C$9:$C$108,0))*'Scenario Paths'!G39)*'Scenario Paths'!G9/1000000*(1-INDEX('Borrowers'!$T$9:$T$108,MATCH(C204,'Borrowers'!$C$9:$C$108,0))),"Unavailable"))</x:f>
      </x:c>
      <x:c r="J204" s="23" t="str">
        <x:f>IF(C204="","",IFERROR(INDEX('Borrowers'!$I$9:$I$108,MATCH(C204,'Borrowers'!$C$9:$C$108,0))*INDEX('Borrowers'!$S$9:$S$108,MATCH(C204,'Borrowers'!$C$9:$C$108,0))*'Scenario Paths'!G15*(1-INDEX('Borrowers'!$T$9:$T$108,MATCH(C204,'Borrowers'!$C$9:$C$108,0))),"Unavailable"))</x:f>
      </x:c>
      <x:c r="K204" s="23" t="str">
        <x:f>IF(C204="","",IFERROR(INDEX('Borrowers'!$I$9:$I$108,MATCH(C204,'Borrowers'!$C$9:$C$108,0))*INDEX('Borrowers'!$U$9:$U$108,MATCH(C204,'Borrowers'!$C$9:$C$108,0))*'Scenario Paths'!G21*S204,"Unavailable"))</x:f>
      </x:c>
      <x:c r="L204" s="23" t="str">
        <x:f>IF(C204="","",IFERROR(SUMPRODUCT((Sites!$D$9:$D$108=C204)*Sites!$H$9:$H$108*Sites!$J$9:$J$108*Sites!$K$9:$K$108*(1-Sites!$L$9:$L$108)*(1-Sites!$M$9:$M$108))*'Scenario Paths'!G27,"Unavailable"))</x:f>
      </x:c>
      <x:c r="M204" s="23" t="str">
        <x:f>IF(C204="","",IFERROR(INDEX('Borrowers'!$J$9:$J$108,MATCH(C204,'Borrowers'!$C$9:$C$108,0))+H204-SUM(I204:L204),"Unavailable"))</x:f>
      </x:c>
      <x:c r="N204" s="23" t="str">
        <x:f>IF(C204="","",IFERROR(INDEX('Borrowers'!$I$9:$I$108,MATCH(C204,'Borrowers'!$C$9:$C$108,0))*'Scenario Paths'!G33,"Unavailable"))</x:f>
      </x:c>
      <x:c r="O204" s="23" t="str">
        <x:f>IF(C204="","",IFERROR(M204-INDEX('Borrowers'!$K$9:$K$108,MATCH(C204,'Borrowers'!$C$9:$C$108,0))-N204,"Unavailable"))</x:f>
      </x:c>
      <x:c r="P204" s="127" t="str">
        <x:f>IF(C204="","",IFERROR(O204/INDEX('Borrowers'!$L$9:$L$108,MATCH(C204,'Borrowers'!$C$9:$C$108,0)),"Unavailable"))</x:f>
      </x:c>
      <x:c r="Q204" s="30" t="str">
        <x:f>IF(C204="","",IFERROR(IF(INDEX('Borrowers'!$Z$9:$Z$108,MATCH(C204,'Borrowers'!$C$9:$C$108,0))="Yes",1,IF(INDEX('Borrowers'!$P$9:$P$108,MATCH(C204,'Borrowers'!$C$9:$C$108,0))=0,0,MIN(1,INDEX('Borrowers'!$P$9:$P$108,MATCH(C204,'Borrowers'!$C$9:$C$108,0))*EXP(MIN(20,INDEX('Borrowers'!$V$9:$V$108,MATCH(C204,'Borrowers'!$C$9:$C$108,0))*V204))))),"Unavailable"))</x:f>
      </x:c>
      <x:c r="R204" s="30" t="str">
        <x:f>IF(C204="","",IFERROR(MIN(1,INDEX('Borrowers'!$Q$9:$Q$108,MATCH(C204,'Borrowers'!$C$9:$C$108,0))+(1-INDEX('Borrowers'!$Q$9:$Q$108,MATCH(C204,'Borrowers'!$C$9:$C$108,0)))*T204),"Unavailable"))</x:f>
      </x:c>
      <x:c r="S204" s="30" t="str">
        <x:f>IF(C204="","",IFERROR(SUMPRODUCT((Sites!$D$9:$D$108=C204)*Sites!$I$9:$I$108*Sites!$J$9:$J$108*Sites!$K$9:$K$108*(1-Sites!$L$9:$L$108)),"Unavailable"))</x:f>
      </x:c>
      <x:c r="T204" s="30" t="str">
        <x:f>IF(C204="","",IFERROR(MIN(1,(SUMPRODUCT((Sites!$D$9:$D$108=C204)*Sites!$N$9:$N$108*Sites!$J$9:$J$108*Sites!$K$9:$K$108*(1-Sites!$L$9:$L$108)))*'Scenario Paths'!G27),"Unavailable"))</x:f>
      </x:c>
      <x:c r="U204" s="9" t="str">
        <x:f>IF(C204="","",IF(OR(INDEX('Borrowers'!$AA$9:$AA$108,MATCH(C204,'Borrowers'!$C$9:$C$108,0))&lt;&gt;"Ready",COUNTIF(Sites!$D$9:$D$108,C204)=0,COUNTIFS(Sites!$D$9:$D$108,C204,Sites!$Q$9:$Q$108,"&lt;&gt;Ready")&gt;0,'Scenario Paths'!$F$6&lt;&gt;"Ready"),"Review source inputs","Ready"))</x:f>
      </x:c>
      <x:c r="V204" s="17" t="str">
        <x:f>IF(C204="","",IFERROR(MAX(-1,(G204-O204)/MAX(0.000001,G204)),"Unavailable"))</x:f>
      </x:c>
      <x:c r="W204" s="9" t="str">
        <x:f>IF(C204="","",IFERROR(INDEX('Borrowers'!$D$9:$D$108,MATCH(C204,'Borrowers'!$C$9:$C$108,0)),"Unavailable"))</x:f>
      </x:c>
    </x:row>
    <x:row r="205" ht="26" customHeight="1">
      <x:c r="A205" s="1"/>
      <x:c r="B205" s="1"/>
      <x:c r="C205" s="9" t="str">
        <x:f>IF(Borrowers!C105="","",Borrowers!C105)</x:f>
      </x:c>
      <x:c r="D205" s="3" t="n">
        <x:v>2</x:v>
      </x:c>
      <x:c r="E205" s="9" t="n">
        <x:f>Settings!$F$18+1</x:f>
        <x:v>2028</x:v>
      </x:c>
      <x:c r="F205" s="9" t="str">
        <x:f>IF(C205="","",INDEX('Borrowers'!$F$9:$F$108,MATCH(C205,'Borrowers'!$C$9:$C$108,0)))</x:f>
      </x:c>
      <x:c r="G205" s="23" t="str">
        <x:f>IF(C205="","",IFERROR(INDEX('Borrowers'!$J$9:$J$108,MATCH(C205,'Borrowers'!$C$9:$C$108,0))-INDEX('Borrowers'!$K$9:$K$108,MATCH(C205,'Borrowers'!$C$9:$C$108,0)),"Unavailable"))</x:f>
      </x:c>
      <x:c r="H205" s="23" t="str">
        <x:f>IF(C205="","",IFERROR(INDEX('Borrowers'!$I$9:$I$108,MATCH(C205,'Borrowers'!$C$9:$C$108,0))*INDEX('Borrowers'!$U$9:$U$108,MATCH(C205,'Borrowers'!$C$9:$C$108,0))*(IF(F205="Transport",'Scenario Paths'!G156,IF(F205="Technology",'Scenario Paths'!G150,IF(F205="Utilities",'Scenario Paths'!G144,IF(F205="Agriculture",'Scenario Paths'!G138,IF(F205="Manufacturing",'Scenario Paths'!G132,IF(F205="Healthcare",'Scenario Paths'!G126,IF(F205="Hospitality",'Scenario Paths'!G120,IF(F205="Property",'Scenario Paths'!G114,IF(F205="Food",'Scenario Paths'!G108,IF(F205="Logistics",'Scenario Paths'!G102,IF(F205="Solar",'Scenario Paths'!G96,IF(F205="Cement",'Scenario Paths'!G90,0))))))))))))),"Unavailable"))</x:f>
      </x:c>
      <x:c r="I205" s="23" t="str">
        <x:f>IF(C205="","",IFERROR(INDEX('Borrowers'!$R$9:$R$108,MATCH(C205,'Borrowers'!$C$9:$C$108,0))*(1-INDEX('Borrowers'!$W$9:$W$108,MATCH(C205,'Borrowers'!$C$9:$C$108,0))*'Scenario Paths'!G39)*'Scenario Paths'!G9/1000000*(1-INDEX('Borrowers'!$T$9:$T$108,MATCH(C205,'Borrowers'!$C$9:$C$108,0))),"Unavailable"))</x:f>
      </x:c>
      <x:c r="J205" s="23" t="str">
        <x:f>IF(C205="","",IFERROR(INDEX('Borrowers'!$I$9:$I$108,MATCH(C205,'Borrowers'!$C$9:$C$108,0))*INDEX('Borrowers'!$S$9:$S$108,MATCH(C205,'Borrowers'!$C$9:$C$108,0))*'Scenario Paths'!G15*(1-INDEX('Borrowers'!$T$9:$T$108,MATCH(C205,'Borrowers'!$C$9:$C$108,0))),"Unavailable"))</x:f>
      </x:c>
      <x:c r="K205" s="23" t="str">
        <x:f>IF(C205="","",IFERROR(INDEX('Borrowers'!$I$9:$I$108,MATCH(C205,'Borrowers'!$C$9:$C$108,0))*INDEX('Borrowers'!$U$9:$U$108,MATCH(C205,'Borrowers'!$C$9:$C$108,0))*'Scenario Paths'!G21*S205,"Unavailable"))</x:f>
      </x:c>
      <x:c r="L205" s="23" t="str">
        <x:f>IF(C205="","",IFERROR(SUMPRODUCT((Sites!$D$9:$D$108=C205)*Sites!$H$9:$H$108*Sites!$J$9:$J$108*Sites!$K$9:$K$108*(1-Sites!$L$9:$L$108)*(1-Sites!$M$9:$M$108))*'Scenario Paths'!G27,"Unavailable"))</x:f>
      </x:c>
      <x:c r="M205" s="23" t="str">
        <x:f>IF(C205="","",IFERROR(INDEX('Borrowers'!$J$9:$J$108,MATCH(C205,'Borrowers'!$C$9:$C$108,0))+H205-SUM(I205:L205),"Unavailable"))</x:f>
      </x:c>
      <x:c r="N205" s="23" t="str">
        <x:f>IF(C205="","",IFERROR(INDEX('Borrowers'!$I$9:$I$108,MATCH(C205,'Borrowers'!$C$9:$C$108,0))*'Scenario Paths'!G33,"Unavailable"))</x:f>
      </x:c>
      <x:c r="O205" s="23" t="str">
        <x:f>IF(C205="","",IFERROR(M205-INDEX('Borrowers'!$K$9:$K$108,MATCH(C205,'Borrowers'!$C$9:$C$108,0))-N205,"Unavailable"))</x:f>
      </x:c>
      <x:c r="P205" s="127" t="str">
        <x:f>IF(C205="","",IFERROR(O205/INDEX('Borrowers'!$L$9:$L$108,MATCH(C205,'Borrowers'!$C$9:$C$108,0)),"Unavailable"))</x:f>
      </x:c>
      <x:c r="Q205" s="30" t="str">
        <x:f>IF(C205="","",IFERROR(IF(INDEX('Borrowers'!$Z$9:$Z$108,MATCH(C205,'Borrowers'!$C$9:$C$108,0))="Yes",1,IF(INDEX('Borrowers'!$P$9:$P$108,MATCH(C205,'Borrowers'!$C$9:$C$108,0))=0,0,MIN(1,INDEX('Borrowers'!$P$9:$P$108,MATCH(C205,'Borrowers'!$C$9:$C$108,0))*EXP(MIN(20,INDEX('Borrowers'!$V$9:$V$108,MATCH(C205,'Borrowers'!$C$9:$C$108,0))*V205))))),"Unavailable"))</x:f>
      </x:c>
      <x:c r="R205" s="30" t="str">
        <x:f>IF(C205="","",IFERROR(MIN(1,INDEX('Borrowers'!$Q$9:$Q$108,MATCH(C205,'Borrowers'!$C$9:$C$108,0))+(1-INDEX('Borrowers'!$Q$9:$Q$108,MATCH(C205,'Borrowers'!$C$9:$C$108,0)))*T205),"Unavailable"))</x:f>
      </x:c>
      <x:c r="S205" s="30" t="str">
        <x:f>IF(C205="","",IFERROR(SUMPRODUCT((Sites!$D$9:$D$108=C205)*Sites!$I$9:$I$108*Sites!$J$9:$J$108*Sites!$K$9:$K$108*(1-Sites!$L$9:$L$108)),"Unavailable"))</x:f>
      </x:c>
      <x:c r="T205" s="30" t="str">
        <x:f>IF(C205="","",IFERROR(MIN(1,(SUMPRODUCT((Sites!$D$9:$D$108=C205)*Sites!$N$9:$N$108*Sites!$J$9:$J$108*Sites!$K$9:$K$108*(1-Sites!$L$9:$L$108)))*'Scenario Paths'!G27),"Unavailable"))</x:f>
      </x:c>
      <x:c r="U205" s="9" t="str">
        <x:f>IF(C205="","",IF(OR(INDEX('Borrowers'!$AA$9:$AA$108,MATCH(C205,'Borrowers'!$C$9:$C$108,0))&lt;&gt;"Ready",COUNTIF(Sites!$D$9:$D$108,C205)=0,COUNTIFS(Sites!$D$9:$D$108,C205,Sites!$Q$9:$Q$108,"&lt;&gt;Ready")&gt;0,'Scenario Paths'!$F$6&lt;&gt;"Ready"),"Review source inputs","Ready"))</x:f>
      </x:c>
      <x:c r="V205" s="17" t="str">
        <x:f>IF(C205="","",IFERROR(MAX(-1,(G205-O205)/MAX(0.000001,G205)),"Unavailable"))</x:f>
      </x:c>
      <x:c r="W205" s="9" t="str">
        <x:f>IF(C205="","",IFERROR(INDEX('Borrowers'!$D$9:$D$108,MATCH(C205,'Borrowers'!$C$9:$C$108,0)),"Unavailable"))</x:f>
      </x:c>
    </x:row>
    <x:row r="206" ht="26" customHeight="1">
      <x:c r="A206" s="1"/>
      <x:c r="B206" s="1"/>
      <x:c r="C206" s="9" t="str">
        <x:f>IF(Borrowers!C106="","",Borrowers!C106)</x:f>
      </x:c>
      <x:c r="D206" s="3" t="n">
        <x:v>2</x:v>
      </x:c>
      <x:c r="E206" s="9" t="n">
        <x:f>Settings!$F$18+1</x:f>
        <x:v>2028</x:v>
      </x:c>
      <x:c r="F206" s="9" t="str">
        <x:f>IF(C206="","",INDEX('Borrowers'!$F$9:$F$108,MATCH(C206,'Borrowers'!$C$9:$C$108,0)))</x:f>
      </x:c>
      <x:c r="G206" s="23" t="str">
        <x:f>IF(C206="","",IFERROR(INDEX('Borrowers'!$J$9:$J$108,MATCH(C206,'Borrowers'!$C$9:$C$108,0))-INDEX('Borrowers'!$K$9:$K$108,MATCH(C206,'Borrowers'!$C$9:$C$108,0)),"Unavailable"))</x:f>
      </x:c>
      <x:c r="H206" s="23" t="str">
        <x:f>IF(C206="","",IFERROR(INDEX('Borrowers'!$I$9:$I$108,MATCH(C206,'Borrowers'!$C$9:$C$108,0))*INDEX('Borrowers'!$U$9:$U$108,MATCH(C206,'Borrowers'!$C$9:$C$108,0))*(IF(F206="Transport",'Scenario Paths'!G156,IF(F206="Technology",'Scenario Paths'!G150,IF(F206="Utilities",'Scenario Paths'!G144,IF(F206="Agriculture",'Scenario Paths'!G138,IF(F206="Manufacturing",'Scenario Paths'!G132,IF(F206="Healthcare",'Scenario Paths'!G126,IF(F206="Hospitality",'Scenario Paths'!G120,IF(F206="Property",'Scenario Paths'!G114,IF(F206="Food",'Scenario Paths'!G108,IF(F206="Logistics",'Scenario Paths'!G102,IF(F206="Solar",'Scenario Paths'!G96,IF(F206="Cement",'Scenario Paths'!G90,0))))))))))))),"Unavailable"))</x:f>
      </x:c>
      <x:c r="I206" s="23" t="str">
        <x:f>IF(C206="","",IFERROR(INDEX('Borrowers'!$R$9:$R$108,MATCH(C206,'Borrowers'!$C$9:$C$108,0))*(1-INDEX('Borrowers'!$W$9:$W$108,MATCH(C206,'Borrowers'!$C$9:$C$108,0))*'Scenario Paths'!G39)*'Scenario Paths'!G9/1000000*(1-INDEX('Borrowers'!$T$9:$T$108,MATCH(C206,'Borrowers'!$C$9:$C$108,0))),"Unavailable"))</x:f>
      </x:c>
      <x:c r="J206" s="23" t="str">
        <x:f>IF(C206="","",IFERROR(INDEX('Borrowers'!$I$9:$I$108,MATCH(C206,'Borrowers'!$C$9:$C$108,0))*INDEX('Borrowers'!$S$9:$S$108,MATCH(C206,'Borrowers'!$C$9:$C$108,0))*'Scenario Paths'!G15*(1-INDEX('Borrowers'!$T$9:$T$108,MATCH(C206,'Borrowers'!$C$9:$C$108,0))),"Unavailable"))</x:f>
      </x:c>
      <x:c r="K206" s="23" t="str">
        <x:f>IF(C206="","",IFERROR(INDEX('Borrowers'!$I$9:$I$108,MATCH(C206,'Borrowers'!$C$9:$C$108,0))*INDEX('Borrowers'!$U$9:$U$108,MATCH(C206,'Borrowers'!$C$9:$C$108,0))*'Scenario Paths'!G21*S206,"Unavailable"))</x:f>
      </x:c>
      <x:c r="L206" s="23" t="str">
        <x:f>IF(C206="","",IFERROR(SUMPRODUCT((Sites!$D$9:$D$108=C206)*Sites!$H$9:$H$108*Sites!$J$9:$J$108*Sites!$K$9:$K$108*(1-Sites!$L$9:$L$108)*(1-Sites!$M$9:$M$108))*'Scenario Paths'!G27,"Unavailable"))</x:f>
      </x:c>
      <x:c r="M206" s="23" t="str">
        <x:f>IF(C206="","",IFERROR(INDEX('Borrowers'!$J$9:$J$108,MATCH(C206,'Borrowers'!$C$9:$C$108,0))+H206-SUM(I206:L206),"Unavailable"))</x:f>
      </x:c>
      <x:c r="N206" s="23" t="str">
        <x:f>IF(C206="","",IFERROR(INDEX('Borrowers'!$I$9:$I$108,MATCH(C206,'Borrowers'!$C$9:$C$108,0))*'Scenario Paths'!G33,"Unavailable"))</x:f>
      </x:c>
      <x:c r="O206" s="23" t="str">
        <x:f>IF(C206="","",IFERROR(M206-INDEX('Borrowers'!$K$9:$K$108,MATCH(C206,'Borrowers'!$C$9:$C$108,0))-N206,"Unavailable"))</x:f>
      </x:c>
      <x:c r="P206" s="127" t="str">
        <x:f>IF(C206="","",IFERROR(O206/INDEX('Borrowers'!$L$9:$L$108,MATCH(C206,'Borrowers'!$C$9:$C$108,0)),"Unavailable"))</x:f>
      </x:c>
      <x:c r="Q206" s="30" t="str">
        <x:f>IF(C206="","",IFERROR(IF(INDEX('Borrowers'!$Z$9:$Z$108,MATCH(C206,'Borrowers'!$C$9:$C$108,0))="Yes",1,IF(INDEX('Borrowers'!$P$9:$P$108,MATCH(C206,'Borrowers'!$C$9:$C$108,0))=0,0,MIN(1,INDEX('Borrowers'!$P$9:$P$108,MATCH(C206,'Borrowers'!$C$9:$C$108,0))*EXP(MIN(20,INDEX('Borrowers'!$V$9:$V$108,MATCH(C206,'Borrowers'!$C$9:$C$108,0))*V206))))),"Unavailable"))</x:f>
      </x:c>
      <x:c r="R206" s="30" t="str">
        <x:f>IF(C206="","",IFERROR(MIN(1,INDEX('Borrowers'!$Q$9:$Q$108,MATCH(C206,'Borrowers'!$C$9:$C$108,0))+(1-INDEX('Borrowers'!$Q$9:$Q$108,MATCH(C206,'Borrowers'!$C$9:$C$108,0)))*T206),"Unavailable"))</x:f>
      </x:c>
      <x:c r="S206" s="30" t="str">
        <x:f>IF(C206="","",IFERROR(SUMPRODUCT((Sites!$D$9:$D$108=C206)*Sites!$I$9:$I$108*Sites!$J$9:$J$108*Sites!$K$9:$K$108*(1-Sites!$L$9:$L$108)),"Unavailable"))</x:f>
      </x:c>
      <x:c r="T206" s="30" t="str">
        <x:f>IF(C206="","",IFERROR(MIN(1,(SUMPRODUCT((Sites!$D$9:$D$108=C206)*Sites!$N$9:$N$108*Sites!$J$9:$J$108*Sites!$K$9:$K$108*(1-Sites!$L$9:$L$108)))*'Scenario Paths'!G27),"Unavailable"))</x:f>
      </x:c>
      <x:c r="U206" s="9" t="str">
        <x:f>IF(C206="","",IF(OR(INDEX('Borrowers'!$AA$9:$AA$108,MATCH(C206,'Borrowers'!$C$9:$C$108,0))&lt;&gt;"Ready",COUNTIF(Sites!$D$9:$D$108,C206)=0,COUNTIFS(Sites!$D$9:$D$108,C206,Sites!$Q$9:$Q$108,"&lt;&gt;Ready")&gt;0,'Scenario Paths'!$F$6&lt;&gt;"Ready"),"Review source inputs","Ready"))</x:f>
      </x:c>
      <x:c r="V206" s="17" t="str">
        <x:f>IF(C206="","",IFERROR(MAX(-1,(G206-O206)/MAX(0.000001,G206)),"Unavailable"))</x:f>
      </x:c>
      <x:c r="W206" s="9" t="str">
        <x:f>IF(C206="","",IFERROR(INDEX('Borrowers'!$D$9:$D$108,MATCH(C206,'Borrowers'!$C$9:$C$108,0)),"Unavailable"))</x:f>
      </x:c>
    </x:row>
    <x:row r="207" ht="26" customHeight="1">
      <x:c r="A207" s="1"/>
      <x:c r="B207" s="1"/>
      <x:c r="C207" s="9" t="str">
        <x:f>IF(Borrowers!C107="","",Borrowers!C107)</x:f>
      </x:c>
      <x:c r="D207" s="3" t="n">
        <x:v>2</x:v>
      </x:c>
      <x:c r="E207" s="9" t="n">
        <x:f>Settings!$F$18+1</x:f>
        <x:v>2028</x:v>
      </x:c>
      <x:c r="F207" s="9" t="str">
        <x:f>IF(C207="","",INDEX('Borrowers'!$F$9:$F$108,MATCH(C207,'Borrowers'!$C$9:$C$108,0)))</x:f>
      </x:c>
      <x:c r="G207" s="23" t="str">
        <x:f>IF(C207="","",IFERROR(INDEX('Borrowers'!$J$9:$J$108,MATCH(C207,'Borrowers'!$C$9:$C$108,0))-INDEX('Borrowers'!$K$9:$K$108,MATCH(C207,'Borrowers'!$C$9:$C$108,0)),"Unavailable"))</x:f>
      </x:c>
      <x:c r="H207" s="23" t="str">
        <x:f>IF(C207="","",IFERROR(INDEX('Borrowers'!$I$9:$I$108,MATCH(C207,'Borrowers'!$C$9:$C$108,0))*INDEX('Borrowers'!$U$9:$U$108,MATCH(C207,'Borrowers'!$C$9:$C$108,0))*(IF(F207="Transport",'Scenario Paths'!G156,IF(F207="Technology",'Scenario Paths'!G150,IF(F207="Utilities",'Scenario Paths'!G144,IF(F207="Agriculture",'Scenario Paths'!G138,IF(F207="Manufacturing",'Scenario Paths'!G132,IF(F207="Healthcare",'Scenario Paths'!G126,IF(F207="Hospitality",'Scenario Paths'!G120,IF(F207="Property",'Scenario Paths'!G114,IF(F207="Food",'Scenario Paths'!G108,IF(F207="Logistics",'Scenario Paths'!G102,IF(F207="Solar",'Scenario Paths'!G96,IF(F207="Cement",'Scenario Paths'!G90,0))))))))))))),"Unavailable"))</x:f>
      </x:c>
      <x:c r="I207" s="23" t="str">
        <x:f>IF(C207="","",IFERROR(INDEX('Borrowers'!$R$9:$R$108,MATCH(C207,'Borrowers'!$C$9:$C$108,0))*(1-INDEX('Borrowers'!$W$9:$W$108,MATCH(C207,'Borrowers'!$C$9:$C$108,0))*'Scenario Paths'!G39)*'Scenario Paths'!G9/1000000*(1-INDEX('Borrowers'!$T$9:$T$108,MATCH(C207,'Borrowers'!$C$9:$C$108,0))),"Unavailable"))</x:f>
      </x:c>
      <x:c r="J207" s="23" t="str">
        <x:f>IF(C207="","",IFERROR(INDEX('Borrowers'!$I$9:$I$108,MATCH(C207,'Borrowers'!$C$9:$C$108,0))*INDEX('Borrowers'!$S$9:$S$108,MATCH(C207,'Borrowers'!$C$9:$C$108,0))*'Scenario Paths'!G15*(1-INDEX('Borrowers'!$T$9:$T$108,MATCH(C207,'Borrowers'!$C$9:$C$108,0))),"Unavailable"))</x:f>
      </x:c>
      <x:c r="K207" s="23" t="str">
        <x:f>IF(C207="","",IFERROR(INDEX('Borrowers'!$I$9:$I$108,MATCH(C207,'Borrowers'!$C$9:$C$108,0))*INDEX('Borrowers'!$U$9:$U$108,MATCH(C207,'Borrowers'!$C$9:$C$108,0))*'Scenario Paths'!G21*S207,"Unavailable"))</x:f>
      </x:c>
      <x:c r="L207" s="23" t="str">
        <x:f>IF(C207="","",IFERROR(SUMPRODUCT((Sites!$D$9:$D$108=C207)*Sites!$H$9:$H$108*Sites!$J$9:$J$108*Sites!$K$9:$K$108*(1-Sites!$L$9:$L$108)*(1-Sites!$M$9:$M$108))*'Scenario Paths'!G27,"Unavailable"))</x:f>
      </x:c>
      <x:c r="M207" s="23" t="str">
        <x:f>IF(C207="","",IFERROR(INDEX('Borrowers'!$J$9:$J$108,MATCH(C207,'Borrowers'!$C$9:$C$108,0))+H207-SUM(I207:L207),"Unavailable"))</x:f>
      </x:c>
      <x:c r="N207" s="23" t="str">
        <x:f>IF(C207="","",IFERROR(INDEX('Borrowers'!$I$9:$I$108,MATCH(C207,'Borrowers'!$C$9:$C$108,0))*'Scenario Paths'!G33,"Unavailable"))</x:f>
      </x:c>
      <x:c r="O207" s="23" t="str">
        <x:f>IF(C207="","",IFERROR(M207-INDEX('Borrowers'!$K$9:$K$108,MATCH(C207,'Borrowers'!$C$9:$C$108,0))-N207,"Unavailable"))</x:f>
      </x:c>
      <x:c r="P207" s="127" t="str">
        <x:f>IF(C207="","",IFERROR(O207/INDEX('Borrowers'!$L$9:$L$108,MATCH(C207,'Borrowers'!$C$9:$C$108,0)),"Unavailable"))</x:f>
      </x:c>
      <x:c r="Q207" s="30" t="str">
        <x:f>IF(C207="","",IFERROR(IF(INDEX('Borrowers'!$Z$9:$Z$108,MATCH(C207,'Borrowers'!$C$9:$C$108,0))="Yes",1,IF(INDEX('Borrowers'!$P$9:$P$108,MATCH(C207,'Borrowers'!$C$9:$C$108,0))=0,0,MIN(1,INDEX('Borrowers'!$P$9:$P$108,MATCH(C207,'Borrowers'!$C$9:$C$108,0))*EXP(MIN(20,INDEX('Borrowers'!$V$9:$V$108,MATCH(C207,'Borrowers'!$C$9:$C$108,0))*V207))))),"Unavailable"))</x:f>
      </x:c>
      <x:c r="R207" s="30" t="str">
        <x:f>IF(C207="","",IFERROR(MIN(1,INDEX('Borrowers'!$Q$9:$Q$108,MATCH(C207,'Borrowers'!$C$9:$C$108,0))+(1-INDEX('Borrowers'!$Q$9:$Q$108,MATCH(C207,'Borrowers'!$C$9:$C$108,0)))*T207),"Unavailable"))</x:f>
      </x:c>
      <x:c r="S207" s="30" t="str">
        <x:f>IF(C207="","",IFERROR(SUMPRODUCT((Sites!$D$9:$D$108=C207)*Sites!$I$9:$I$108*Sites!$J$9:$J$108*Sites!$K$9:$K$108*(1-Sites!$L$9:$L$108)),"Unavailable"))</x:f>
      </x:c>
      <x:c r="T207" s="30" t="str">
        <x:f>IF(C207="","",IFERROR(MIN(1,(SUMPRODUCT((Sites!$D$9:$D$108=C207)*Sites!$N$9:$N$108*Sites!$J$9:$J$108*Sites!$K$9:$K$108*(1-Sites!$L$9:$L$108)))*'Scenario Paths'!G27),"Unavailable"))</x:f>
      </x:c>
      <x:c r="U207" s="9" t="str">
        <x:f>IF(C207="","",IF(OR(INDEX('Borrowers'!$AA$9:$AA$108,MATCH(C207,'Borrowers'!$C$9:$C$108,0))&lt;&gt;"Ready",COUNTIF(Sites!$D$9:$D$108,C207)=0,COUNTIFS(Sites!$D$9:$D$108,C207,Sites!$Q$9:$Q$108,"&lt;&gt;Ready")&gt;0,'Scenario Paths'!$F$6&lt;&gt;"Ready"),"Review source inputs","Ready"))</x:f>
      </x:c>
      <x:c r="V207" s="17" t="str">
        <x:f>IF(C207="","",IFERROR(MAX(-1,(G207-O207)/MAX(0.000001,G207)),"Unavailable"))</x:f>
      </x:c>
      <x:c r="W207" s="9" t="str">
        <x:f>IF(C207="","",IFERROR(INDEX('Borrowers'!$D$9:$D$108,MATCH(C207,'Borrowers'!$C$9:$C$108,0)),"Unavailable"))</x:f>
      </x:c>
    </x:row>
    <x:row r="208" ht="26" customHeight="1">
      <x:c r="A208" s="1"/>
      <x:c r="B208" s="1"/>
      <x:c r="C208" s="9" t="str">
        <x:f>IF(Borrowers!C108="","",Borrowers!C108)</x:f>
      </x:c>
      <x:c r="D208" s="3" t="n">
        <x:v>2</x:v>
      </x:c>
      <x:c r="E208" s="9" t="n">
        <x:f>Settings!$F$18+1</x:f>
        <x:v>2028</x:v>
      </x:c>
      <x:c r="F208" s="9" t="str">
        <x:f>IF(C208="","",INDEX('Borrowers'!$F$9:$F$108,MATCH(C208,'Borrowers'!$C$9:$C$108,0)))</x:f>
      </x:c>
      <x:c r="G208" s="23" t="str">
        <x:f>IF(C208="","",IFERROR(INDEX('Borrowers'!$J$9:$J$108,MATCH(C208,'Borrowers'!$C$9:$C$108,0))-INDEX('Borrowers'!$K$9:$K$108,MATCH(C208,'Borrowers'!$C$9:$C$108,0)),"Unavailable"))</x:f>
      </x:c>
      <x:c r="H208" s="23" t="str">
        <x:f>IF(C208="","",IFERROR(INDEX('Borrowers'!$I$9:$I$108,MATCH(C208,'Borrowers'!$C$9:$C$108,0))*INDEX('Borrowers'!$U$9:$U$108,MATCH(C208,'Borrowers'!$C$9:$C$108,0))*(IF(F208="Transport",'Scenario Paths'!G156,IF(F208="Technology",'Scenario Paths'!G150,IF(F208="Utilities",'Scenario Paths'!G144,IF(F208="Agriculture",'Scenario Paths'!G138,IF(F208="Manufacturing",'Scenario Paths'!G132,IF(F208="Healthcare",'Scenario Paths'!G126,IF(F208="Hospitality",'Scenario Paths'!G120,IF(F208="Property",'Scenario Paths'!G114,IF(F208="Food",'Scenario Paths'!G108,IF(F208="Logistics",'Scenario Paths'!G102,IF(F208="Solar",'Scenario Paths'!G96,IF(F208="Cement",'Scenario Paths'!G90,0))))))))))))),"Unavailable"))</x:f>
      </x:c>
      <x:c r="I208" s="23" t="str">
        <x:f>IF(C208="","",IFERROR(INDEX('Borrowers'!$R$9:$R$108,MATCH(C208,'Borrowers'!$C$9:$C$108,0))*(1-INDEX('Borrowers'!$W$9:$W$108,MATCH(C208,'Borrowers'!$C$9:$C$108,0))*'Scenario Paths'!G39)*'Scenario Paths'!G9/1000000*(1-INDEX('Borrowers'!$T$9:$T$108,MATCH(C208,'Borrowers'!$C$9:$C$108,0))),"Unavailable"))</x:f>
      </x:c>
      <x:c r="J208" s="23" t="str">
        <x:f>IF(C208="","",IFERROR(INDEX('Borrowers'!$I$9:$I$108,MATCH(C208,'Borrowers'!$C$9:$C$108,0))*INDEX('Borrowers'!$S$9:$S$108,MATCH(C208,'Borrowers'!$C$9:$C$108,0))*'Scenario Paths'!G15*(1-INDEX('Borrowers'!$T$9:$T$108,MATCH(C208,'Borrowers'!$C$9:$C$108,0))),"Unavailable"))</x:f>
      </x:c>
      <x:c r="K208" s="23" t="str">
        <x:f>IF(C208="","",IFERROR(INDEX('Borrowers'!$I$9:$I$108,MATCH(C208,'Borrowers'!$C$9:$C$108,0))*INDEX('Borrowers'!$U$9:$U$108,MATCH(C208,'Borrowers'!$C$9:$C$108,0))*'Scenario Paths'!G21*S208,"Unavailable"))</x:f>
      </x:c>
      <x:c r="L208" s="23" t="str">
        <x:f>IF(C208="","",IFERROR(SUMPRODUCT((Sites!$D$9:$D$108=C208)*Sites!$H$9:$H$108*Sites!$J$9:$J$108*Sites!$K$9:$K$108*(1-Sites!$L$9:$L$108)*(1-Sites!$M$9:$M$108))*'Scenario Paths'!G27,"Unavailable"))</x:f>
      </x:c>
      <x:c r="M208" s="23" t="str">
        <x:f>IF(C208="","",IFERROR(INDEX('Borrowers'!$J$9:$J$108,MATCH(C208,'Borrowers'!$C$9:$C$108,0))+H208-SUM(I208:L208),"Unavailable"))</x:f>
      </x:c>
      <x:c r="N208" s="23" t="str">
        <x:f>IF(C208="","",IFERROR(INDEX('Borrowers'!$I$9:$I$108,MATCH(C208,'Borrowers'!$C$9:$C$108,0))*'Scenario Paths'!G33,"Unavailable"))</x:f>
      </x:c>
      <x:c r="O208" s="23" t="str">
        <x:f>IF(C208="","",IFERROR(M208-INDEX('Borrowers'!$K$9:$K$108,MATCH(C208,'Borrowers'!$C$9:$C$108,0))-N208,"Unavailable"))</x:f>
      </x:c>
      <x:c r="P208" s="127" t="str">
        <x:f>IF(C208="","",IFERROR(O208/INDEX('Borrowers'!$L$9:$L$108,MATCH(C208,'Borrowers'!$C$9:$C$108,0)),"Unavailable"))</x:f>
      </x:c>
      <x:c r="Q208" s="30" t="str">
        <x:f>IF(C208="","",IFERROR(IF(INDEX('Borrowers'!$Z$9:$Z$108,MATCH(C208,'Borrowers'!$C$9:$C$108,0))="Yes",1,IF(INDEX('Borrowers'!$P$9:$P$108,MATCH(C208,'Borrowers'!$C$9:$C$108,0))=0,0,MIN(1,INDEX('Borrowers'!$P$9:$P$108,MATCH(C208,'Borrowers'!$C$9:$C$108,0))*EXP(MIN(20,INDEX('Borrowers'!$V$9:$V$108,MATCH(C208,'Borrowers'!$C$9:$C$108,0))*V208))))),"Unavailable"))</x:f>
      </x:c>
      <x:c r="R208" s="30" t="str">
        <x:f>IF(C208="","",IFERROR(MIN(1,INDEX('Borrowers'!$Q$9:$Q$108,MATCH(C208,'Borrowers'!$C$9:$C$108,0))+(1-INDEX('Borrowers'!$Q$9:$Q$108,MATCH(C208,'Borrowers'!$C$9:$C$108,0)))*T208),"Unavailable"))</x:f>
      </x:c>
      <x:c r="S208" s="30" t="str">
        <x:f>IF(C208="","",IFERROR(SUMPRODUCT((Sites!$D$9:$D$108=C208)*Sites!$I$9:$I$108*Sites!$J$9:$J$108*Sites!$K$9:$K$108*(1-Sites!$L$9:$L$108)),"Unavailable"))</x:f>
      </x:c>
      <x:c r="T208" s="30" t="str">
        <x:f>IF(C208="","",IFERROR(MIN(1,(SUMPRODUCT((Sites!$D$9:$D$108=C208)*Sites!$N$9:$N$108*Sites!$J$9:$J$108*Sites!$K$9:$K$108*(1-Sites!$L$9:$L$108)))*'Scenario Paths'!G27),"Unavailable"))</x:f>
      </x:c>
      <x:c r="U208" s="9" t="str">
        <x:f>IF(C208="","",IF(OR(INDEX('Borrowers'!$AA$9:$AA$108,MATCH(C208,'Borrowers'!$C$9:$C$108,0))&lt;&gt;"Ready",COUNTIF(Sites!$D$9:$D$108,C208)=0,COUNTIFS(Sites!$D$9:$D$108,C208,Sites!$Q$9:$Q$108,"&lt;&gt;Ready")&gt;0,'Scenario Paths'!$F$6&lt;&gt;"Ready"),"Review source inputs","Ready"))</x:f>
      </x:c>
      <x:c r="V208" s="17" t="str">
        <x:f>IF(C208="","",IFERROR(MAX(-1,(G208-O208)/MAX(0.000001,G208)),"Unavailable"))</x:f>
      </x:c>
      <x:c r="W208" s="9" t="str">
        <x:f>IF(C208="","",IFERROR(INDEX('Borrowers'!$D$9:$D$108,MATCH(C208,'Borrowers'!$C$9:$C$108,0)),"Unavailable"))</x:f>
      </x:c>
    </x:row>
    <x:row r="209" ht="26" customHeight="1">
      <x:c r="A209" s="1"/>
      <x:c r="B209" s="1"/>
      <x:c r="C209" s="9" t="str">
        <x:f>IF(Borrowers!C9="","",Borrowers!C9)</x:f>
        <x:v>B001</x:v>
      </x:c>
      <x:c r="D209" s="3" t="n">
        <x:v>3</x:v>
      </x:c>
      <x:c r="E209" s="9" t="n">
        <x:f>Settings!$F$18+2</x:f>
        <x:v>2029</x:v>
      </x:c>
      <x:c r="F209" s="9" t="str">
        <x:f>IF(C209="","",INDEX('Borrowers'!$F$9:$F$108,MATCH(C209,'Borrowers'!$C$9:$C$108,0)))</x:f>
        <x:v>Cement</x:v>
      </x:c>
      <x:c r="G209" s="23" t="n">
        <x:f>IF(C209="","",IFERROR(INDEX('Borrowers'!$J$9:$J$108,MATCH(C209,'Borrowers'!$C$9:$C$108,0))-INDEX('Borrowers'!$K$9:$K$108,MATCH(C209,'Borrowers'!$C$9:$C$108,0)),"Unavailable"))</x:f>
        <x:v>10</x:v>
      </x:c>
      <x:c r="H209" s="23" t="n">
        <x:f>IF(C209="","",IFERROR(INDEX('Borrowers'!$I$9:$I$108,MATCH(C209,'Borrowers'!$C$9:$C$108,0))*INDEX('Borrowers'!$U$9:$U$108,MATCH(C209,'Borrowers'!$C$9:$C$108,0))*(IF(F209="Transport",'Scenario Paths'!H156,IF(F209="Technology",'Scenario Paths'!H150,IF(F209="Utilities",'Scenario Paths'!H144,IF(F209="Agriculture",'Scenario Paths'!H138,IF(F209="Manufacturing",'Scenario Paths'!H132,IF(F209="Healthcare",'Scenario Paths'!H126,IF(F209="Hospitality",'Scenario Paths'!H120,IF(F209="Property",'Scenario Paths'!H114,IF(F209="Food",'Scenario Paths'!H108,IF(F209="Logistics",'Scenario Paths'!H102,IF(F209="Solar",'Scenario Paths'!H96,IF(F209="Cement",'Scenario Paths'!H90,0))))))))))))),"Unavailable"))</x:f>
        <x:v>-0.864</x:v>
      </x:c>
      <x:c r="I209" s="23" t="n">
        <x:f>IF(C209="","",IFERROR(INDEX('Borrowers'!$R$9:$R$108,MATCH(C209,'Borrowers'!$C$9:$C$108,0))*(1-INDEX('Borrowers'!$W$9:$W$108,MATCH(C209,'Borrowers'!$C$9:$C$108,0))*'Scenario Paths'!H39)*'Scenario Paths'!H9/1000000*(1-INDEX('Borrowers'!$T$9:$T$108,MATCH(C209,'Borrowers'!$C$9:$C$108,0))),"Unavailable"))</x:f>
        <x:v>7.332</x:v>
      </x:c>
      <x:c r="J209" s="23" t="n">
        <x:f>IF(C209="","",IFERROR(INDEX('Borrowers'!$I$9:$I$108,MATCH(C209,'Borrowers'!$C$9:$C$108,0))*INDEX('Borrowers'!$S$9:$S$108,MATCH(C209,'Borrowers'!$C$9:$C$108,0))*'Scenario Paths'!H15*(1-INDEX('Borrowers'!$T$9:$T$108,MATCH(C209,'Borrowers'!$C$9:$C$108,0))),"Unavailable"))</x:f>
        <x:v>2.691</x:v>
      </x:c>
      <x:c r="K209" s="23" t="n">
        <x:f>IF(C209="","",IFERROR(INDEX('Borrowers'!$I$9:$I$108,MATCH(C209,'Borrowers'!$C$9:$C$108,0))*INDEX('Borrowers'!$U$9:$U$108,MATCH(C209,'Borrowers'!$C$9:$C$108,0))*'Scenario Paths'!H21*S209,"Unavailable"))</x:f>
        <x:v>0.0193536</x:v>
      </x:c>
      <x:c r="L209" s="23" t="n">
        <x:f>IF(C209="","",IFERROR(SUMPRODUCT((Sites!$D$9:$D$108=C209)*Sites!$H$9:$H$108*Sites!$J$9:$J$108*Sites!$K$9:$K$108*(1-Sites!$L$9:$L$108)*(1-Sites!$M$9:$M$108))*'Scenario Paths'!H27,"Unavailable"))</x:f>
        <x:v>0.02464</x:v>
      </x:c>
      <x:c r="M209" s="23" t="n">
        <x:f>IF(C209="","",IFERROR(INDEX('Borrowers'!$J$9:$J$108,MATCH(C209,'Borrowers'!$C$9:$C$108,0))+H209-SUM(I209:L209),"Unavailable"))</x:f>
        <x:v>1.0690063999999992</x:v>
      </x:c>
      <x:c r="N209" s="23" t="n">
        <x:f>IF(C209="","",IFERROR(INDEX('Borrowers'!$I$9:$I$108,MATCH(C209,'Borrowers'!$C$9:$C$108,0))*'Scenario Paths'!H33,"Unavailable"))</x:f>
        <x:v>2.6999999999999997</x:v>
      </x:c>
      <x:c r="O209" s="23" t="n">
        <x:f>IF(C209="","",IFERROR(M209-INDEX('Borrowers'!$K$9:$K$108,MATCH(C209,'Borrowers'!$C$9:$C$108,0))-N209,"Unavailable"))</x:f>
        <x:v>-3.6309936000000005</x:v>
      </x:c>
      <x:c r="P209" s="127" t="n">
        <x:f>IF(C209="","",IFERROR(O209/INDEX('Borrowers'!$L$9:$L$108,MATCH(C209,'Borrowers'!$C$9:$C$108,0)),"Unavailable"))</x:f>
        <x:v>-0.7261987200000001</x:v>
      </x:c>
      <x:c r="Q209" s="30" t="n">
        <x:f>IF(C209="","",IFERROR(IF(INDEX('Borrowers'!$Z$9:$Z$108,MATCH(C209,'Borrowers'!$C$9:$C$108,0))="Yes",1,IF(INDEX('Borrowers'!$P$9:$P$108,MATCH(C209,'Borrowers'!$C$9:$C$108,0))=0,0,MIN(1,INDEX('Borrowers'!$P$9:$P$108,MATCH(C209,'Borrowers'!$C$9:$C$108,0))*EXP(MIN(20,INDEX('Borrowers'!$V$9:$V$108,MATCH(C209,'Borrowers'!$C$9:$C$108,0))*V209))))),"Unavailable"))</x:f>
        <x:v>0.10625752467718225</x:v>
      </x:c>
      <x:c r="R209" s="30" t="n">
        <x:f>IF(C209="","",IFERROR(MIN(1,INDEX('Borrowers'!$Q$9:$Q$108,MATCH(C209,'Borrowers'!$C$9:$C$108,0))+(1-INDEX('Borrowers'!$Q$9:$Q$108,MATCH(C209,'Borrowers'!$C$9:$C$108,0)))*T209),"Unavailable"))</x:f>
        <x:v>0.2808064</x:v>
      </x:c>
      <x:c r="S209" s="30" t="n">
        <x:f>IF(C209="","",IFERROR(SUMPRODUCT((Sites!$D$9:$D$108=C209)*Sites!$I$9:$I$108*Sites!$J$9:$J$108*Sites!$K$9:$K$108*(1-Sites!$L$9:$L$108)),"Unavailable"))</x:f>
        <x:v>0.056</x:v>
      </x:c>
      <x:c r="T209" s="30" t="n">
        <x:f>IF(C209="","",IFERROR(MIN(1,(SUMPRODUCT((Sites!$D$9:$D$108=C209)*Sites!$N$9:$N$108*Sites!$J$9:$J$108*Sites!$K$9:$K$108*(1-Sites!$L$9:$L$108)))*'Scenario Paths'!H27),"Unavailable"))</x:f>
        <x:v>0.0011200000000000001</x:v>
      </x:c>
      <x:c r="U209" s="9" t="str">
        <x:f>IF(C209="","",IF(OR(INDEX('Borrowers'!$AA$9:$AA$108,MATCH(C209,'Borrowers'!$C$9:$C$108,0))&lt;&gt;"Ready",COUNTIF(Sites!$D$9:$D$108,C209)=0,COUNTIFS(Sites!$D$9:$D$108,C209,Sites!$Q$9:$Q$108,"&lt;&gt;Ready")&gt;0,'Scenario Paths'!$F$6&lt;&gt;"Ready"),"Review source inputs","Ready"))</x:f>
        <x:v>Ready</x:v>
      </x:c>
      <x:c r="V209" s="17" t="n">
        <x:f>IF(C209="","",IFERROR(MAX(-1,(G209-O209)/MAX(0.000001,G209)),"Unavailable"))</x:f>
        <x:v>1.36309936</x:v>
      </x:c>
      <x:c r="W209" s="9" t="str">
        <x:f>IF(C209="","",IFERROR(INDEX('Borrowers'!$D$9:$D$108,MATCH(C209,'Borrowers'!$C$9:$C$108,0)),"Unavailable"))</x:f>
        <x:v>Demo Nile Cement</x:v>
      </x:c>
    </x:row>
    <x:row r="210" ht="26" customHeight="1">
      <x:c r="A210" s="1"/>
      <x:c r="B210" s="1"/>
      <x:c r="C210" s="9" t="str">
        <x:f>IF(Borrowers!C10="","",Borrowers!C10)</x:f>
        <x:v>B002</x:v>
      </x:c>
      <x:c r="D210" s="3" t="n">
        <x:v>3</x:v>
      </x:c>
      <x:c r="E210" s="9" t="n">
        <x:f>Settings!$F$18+2</x:f>
        <x:v>2029</x:v>
      </x:c>
      <x:c r="F210" s="9" t="str">
        <x:f>IF(C210="","",INDEX('Borrowers'!$F$9:$F$108,MATCH(C210,'Borrowers'!$C$9:$C$108,0)))</x:f>
        <x:v>Solar</x:v>
      </x:c>
      <x:c r="G210" s="23" t="n">
        <x:f>IF(C210="","",IFERROR(INDEX('Borrowers'!$J$9:$J$108,MATCH(C210,'Borrowers'!$C$9:$C$108,0))-INDEX('Borrowers'!$K$9:$K$108,MATCH(C210,'Borrowers'!$C$9:$C$108,0)),"Unavailable"))</x:f>
        <x:v>11.35</x:v>
      </x:c>
      <x:c r="H210" s="23" t="n">
        <x:f>IF(C210="","",IFERROR(INDEX('Borrowers'!$I$9:$I$108,MATCH(C210,'Borrowers'!$C$9:$C$108,0))*INDEX('Borrowers'!$U$9:$U$108,MATCH(C210,'Borrowers'!$C$9:$C$108,0))*(IF(F210="Transport",'Scenario Paths'!H156,IF(F210="Technology",'Scenario Paths'!H150,IF(F210="Utilities",'Scenario Paths'!H144,IF(F210="Agriculture",'Scenario Paths'!H138,IF(F210="Manufacturing",'Scenario Paths'!H132,IF(F210="Healthcare",'Scenario Paths'!H126,IF(F210="Hospitality",'Scenario Paths'!H120,IF(F210="Property",'Scenario Paths'!H114,IF(F210="Food",'Scenario Paths'!H108,IF(F210="Logistics",'Scenario Paths'!H102,IF(F210="Solar",'Scenario Paths'!H96,IF(F210="Cement",'Scenario Paths'!H90,0))))))))))))),"Unavailable"))</x:f>
        <x:v>1.1457</x:v>
      </x:c>
      <x:c r="I210" s="23" t="n">
        <x:f>IF(C210="","",IFERROR(INDEX('Borrowers'!$R$9:$R$108,MATCH(C210,'Borrowers'!$C$9:$C$108,0))*(1-INDEX('Borrowers'!$W$9:$W$108,MATCH(C210,'Borrowers'!$C$9:$C$108,0))*'Scenario Paths'!H39)*'Scenario Paths'!H9/1000000*(1-INDEX('Borrowers'!$T$9:$T$108,MATCH(C210,'Borrowers'!$C$9:$C$108,0))),"Unavailable"))</x:f>
        <x:v>0.010340000000000002</x:v>
      </x:c>
      <x:c r="J210" s="23" t="n">
        <x:f>IF(C210="","",IFERROR(INDEX('Borrowers'!$I$9:$I$108,MATCH(C210,'Borrowers'!$C$9:$C$108,0))*INDEX('Borrowers'!$S$9:$S$108,MATCH(C210,'Borrowers'!$C$9:$C$108,0))*'Scenario Paths'!H15*(1-INDEX('Borrowers'!$T$9:$T$108,MATCH(C210,'Borrowers'!$C$9:$C$108,0))),"Unavailable"))</x:f>
        <x:v>0.9949500000000002</x:v>
      </x:c>
      <x:c r="K210" s="23" t="n">
        <x:f>IF(C210="","",IFERROR(INDEX('Borrowers'!$I$9:$I$108,MATCH(C210,'Borrowers'!$C$9:$C$108,0))*INDEX('Borrowers'!$U$9:$U$108,MATCH(C210,'Borrowers'!$C$9:$C$108,0))*'Scenario Paths'!H21*S210,"Unavailable"))</x:f>
        <x:v>0.05865984</x:v>
      </x:c>
      <x:c r="L210" s="23" t="n">
        <x:f>IF(C210="","",IFERROR(SUMPRODUCT((Sites!$D$9:$D$108=C210)*Sites!$H$9:$H$108*Sites!$J$9:$J$108*Sites!$K$9:$K$108*(1-Sites!$L$9:$L$108)*(1-Sites!$M$9:$M$108))*'Scenario Paths'!H27,"Unavailable"))</x:f>
        <x:v>0.06195200000000001</x:v>
      </x:c>
      <x:c r="M210" s="23" t="n">
        <x:f>IF(C210="","",IFERROR(INDEX('Borrowers'!$J$9:$J$108,MATCH(C210,'Borrowers'!$C$9:$C$108,0))+H210-SUM(I210:L210),"Unavailable"))</x:f>
        <x:v>13.519798159999999</x:v>
      </x:c>
      <x:c r="N210" s="23" t="n">
        <x:f>IF(C210="","",IFERROR(INDEX('Borrowers'!$I$9:$I$108,MATCH(C210,'Borrowers'!$C$9:$C$108,0))*'Scenario Paths'!H33,"Unavailable"))</x:f>
        <x:v>3.0149999999999997</x:v>
      </x:c>
      <x:c r="O210" s="23" t="n">
        <x:f>IF(C210="","",IFERROR(M210-INDEX('Borrowers'!$K$9:$K$108,MATCH(C210,'Borrowers'!$C$9:$C$108,0))-N210,"Unavailable"))</x:f>
        <x:v>8.354798159999998</x:v>
      </x:c>
      <x:c r="P210" s="127" t="n">
        <x:f>IF(C210="","",IFERROR(O210/INDEX('Borrowers'!$L$9:$L$108,MATCH(C210,'Borrowers'!$C$9:$C$108,0)),"Unavailable"))</x:f>
        <x:v>1.5763770113207545</x:v>
      </x:c>
      <x:c r="Q210" s="30" t="n">
        <x:f>IF(C210="","",IFERROR(IF(INDEX('Borrowers'!$Z$9:$Z$108,MATCH(C210,'Borrowers'!$C$9:$C$108,0))="Yes",1,IF(INDEX('Borrowers'!$P$9:$P$108,MATCH(C210,'Borrowers'!$C$9:$C$108,0))=0,0,MIN(1,INDEX('Borrowers'!$P$9:$P$108,MATCH(C210,'Borrowers'!$C$9:$C$108,0))*EXP(MIN(20,INDEX('Borrowers'!$V$9:$V$108,MATCH(C210,'Borrowers'!$C$9:$C$108,0))*V210))))),"Unavailable"))</x:f>
        <x:v>0.027456497808652478</x:v>
      </x:c>
      <x:c r="R210" s="30" t="n">
        <x:f>IF(C210="","",IFERROR(MIN(1,INDEX('Borrowers'!$Q$9:$Q$108,MATCH(C210,'Borrowers'!$C$9:$C$108,0))+(1-INDEX('Borrowers'!$Q$9:$Q$108,MATCH(C210,'Borrowers'!$C$9:$C$108,0)))*T210),"Unavailable"))</x:f>
        <x:v>0.3217408</x:v>
      </x:c>
      <x:c r="S210" s="30" t="n">
        <x:f>IF(C210="","",IFERROR(SUMPRODUCT((Sites!$D$9:$D$108=C210)*Sites!$I$9:$I$108*Sites!$J$9:$J$108*Sites!$K$9:$K$108*(1-Sites!$L$9:$L$108)),"Unavailable"))</x:f>
        <x:v>0.128</x:v>
      </x:c>
      <x:c r="T210" s="30" t="n">
        <x:f>IF(C210="","",IFERROR(MIN(1,(SUMPRODUCT((Sites!$D$9:$D$108=C210)*Sites!$N$9:$N$108*Sites!$J$9:$J$108*Sites!$K$9:$K$108*(1-Sites!$L$9:$L$108)))*'Scenario Paths'!H27),"Unavailable"))</x:f>
        <x:v>0.00256</x:v>
      </x:c>
      <x:c r="U210" s="9" t="str">
        <x:f>IF(C210="","",IF(OR(INDEX('Borrowers'!$AA$9:$AA$108,MATCH(C210,'Borrowers'!$C$9:$C$108,0))&lt;&gt;"Ready",COUNTIF(Sites!$D$9:$D$108,C210)=0,COUNTIFS(Sites!$D$9:$D$108,C210,Sites!$Q$9:$Q$108,"&lt;&gt;Ready")&gt;0,'Scenario Paths'!$F$6&lt;&gt;"Ready"),"Review source inputs","Ready"))</x:f>
        <x:v>Ready</x:v>
      </x:c>
      <x:c r="V210" s="17" t="n">
        <x:f>IF(C210="","",IFERROR(MAX(-1,(G210-O210)/MAX(0.000001,G210)),"Unavailable"))</x:f>
        <x:v>0.2638944352422909</x:v>
      </x:c>
      <x:c r="W210" s="9" t="str">
        <x:f>IF(C210="","",IFERROR(INDEX('Borrowers'!$D$9:$D$108,MATCH(C210,'Borrowers'!$C$9:$C$108,0)),"Unavailable"))</x:f>
        <x:v>Demo Delta Solar</x:v>
      </x:c>
    </x:row>
    <x:row r="211" ht="26" customHeight="1">
      <x:c r="A211" s="1"/>
      <x:c r="B211" s="1"/>
      <x:c r="C211" s="9" t="str">
        <x:f>IF(Borrowers!C11="","",Borrowers!C11)</x:f>
        <x:v>B003</x:v>
      </x:c>
      <x:c r="D211" s="3" t="n">
        <x:v>3</x:v>
      </x:c>
      <x:c r="E211" s="9" t="n">
        <x:f>Settings!$F$18+2</x:f>
        <x:v>2029</x:v>
      </x:c>
      <x:c r="F211" s="9" t="str">
        <x:f>IF(C211="","",INDEX('Borrowers'!$F$9:$F$108,MATCH(C211,'Borrowers'!$C$9:$C$108,0)))</x:f>
        <x:v>Logistics</x:v>
      </x:c>
      <x:c r="G211" s="23" t="n">
        <x:f>IF(C211="","",IFERROR(INDEX('Borrowers'!$J$9:$J$108,MATCH(C211,'Borrowers'!$C$9:$C$108,0))-INDEX('Borrowers'!$K$9:$K$108,MATCH(C211,'Borrowers'!$C$9:$C$108,0)),"Unavailable"))</x:f>
        <x:v>12.7</x:v>
      </x:c>
      <x:c r="H211" s="23" t="n">
        <x:f>IF(C211="","",IFERROR(INDEX('Borrowers'!$I$9:$I$108,MATCH(C211,'Borrowers'!$C$9:$C$108,0))*INDEX('Borrowers'!$U$9:$U$108,MATCH(C211,'Borrowers'!$C$9:$C$108,0))*(IF(F211="Transport",'Scenario Paths'!H156,IF(F211="Technology",'Scenario Paths'!H150,IF(F211="Utilities",'Scenario Paths'!H144,IF(F211="Agriculture",'Scenario Paths'!H138,IF(F211="Manufacturing",'Scenario Paths'!H132,IF(F211="Healthcare",'Scenario Paths'!H126,IF(F211="Hospitality",'Scenario Paths'!H120,IF(F211="Property",'Scenario Paths'!H114,IF(F211="Food",'Scenario Paths'!H108,IF(F211="Logistics",'Scenario Paths'!H102,IF(F211="Solar",'Scenario Paths'!H96,IF(F211="Cement",'Scenario Paths'!H90,0))))))))))))),"Unavailable"))</x:f>
        <x:v>-1.4652</x:v>
      </x:c>
      <x:c r="I211" s="23" t="n">
        <x:f>IF(C211="","",IFERROR(INDEX('Borrowers'!$R$9:$R$108,MATCH(C211,'Borrowers'!$C$9:$C$108,0))*(1-INDEX('Borrowers'!$W$9:$W$108,MATCH(C211,'Borrowers'!$C$9:$C$108,0))*'Scenario Paths'!H39)*'Scenario Paths'!H9/1000000*(1-INDEX('Borrowers'!$T$9:$T$108,MATCH(C211,'Borrowers'!$C$9:$C$108,0))),"Unavailable"))</x:f>
        <x:v>0.20303999999999997</x:v>
      </x:c>
      <x:c r="J211" s="23" t="n">
        <x:f>IF(C211="","",IFERROR(INDEX('Borrowers'!$I$9:$I$108,MATCH(C211,'Borrowers'!$C$9:$C$108,0))*INDEX('Borrowers'!$S$9:$S$108,MATCH(C211,'Borrowers'!$C$9:$C$108,0))*'Scenario Paths'!H15*(1-INDEX('Borrowers'!$T$9:$T$108,MATCH(C211,'Borrowers'!$C$9:$C$108,0))),"Unavailable"))</x:f>
        <x:v>1.0989</x:v>
      </x:c>
      <x:c r="K211" s="23" t="n">
        <x:f>IF(C211="","",IFERROR(INDEX('Borrowers'!$I$9:$I$108,MATCH(C211,'Borrowers'!$C$9:$C$108,0))*INDEX('Borrowers'!$U$9:$U$108,MATCH(C211,'Borrowers'!$C$9:$C$108,0))*'Scenario Paths'!H21*S211,"Unavailable"))</x:f>
        <x:v>0.13409510400000002</x:v>
      </x:c>
      <x:c r="L211" s="23" t="n">
        <x:f>IF(C211="","",IFERROR(SUMPRODUCT((Sites!$D$9:$D$108=C211)*Sites!$H$9:$H$108*Sites!$J$9:$J$108*Sites!$K$9:$K$108*(1-Sites!$L$9:$L$108)*(1-Sites!$M$9:$M$108))*'Scenario Paths'!H27,"Unavailable"))</x:f>
        <x:v>0.1208064</x:v>
      </x:c>
      <x:c r="M211" s="23" t="n">
        <x:f>IF(C211="","",IFERROR(INDEX('Borrowers'!$J$9:$J$108,MATCH(C211,'Borrowers'!$C$9:$C$108,0))+H211-SUM(I211:L211),"Unavailable"))</x:f>
        <x:v>11.977958496000001</x:v>
      </x:c>
      <x:c r="N211" s="23" t="n">
        <x:f>IF(C211="","",IFERROR(INDEX('Borrowers'!$I$9:$I$108,MATCH(C211,'Borrowers'!$C$9:$C$108,0))*'Scenario Paths'!H33,"Unavailable"))</x:f>
        <x:v>3.33</x:v>
      </x:c>
      <x:c r="O211" s="23" t="n">
        <x:f>IF(C211="","",IFERROR(M211-INDEX('Borrowers'!$K$9:$K$108,MATCH(C211,'Borrowers'!$C$9:$C$108,0))-N211,"Unavailable"))</x:f>
        <x:v>6.347958496000002</x:v>
      </x:c>
      <x:c r="P211" s="127" t="n">
        <x:f>IF(C211="","",IFERROR(O211/INDEX('Borrowers'!$L$9:$L$108,MATCH(C211,'Borrowers'!$C$9:$C$108,0)),"Unavailable"))</x:f>
        <x:v>1.1335640171428576</x:v>
      </x:c>
      <x:c r="Q211" s="30" t="n">
        <x:f>IF(C211="","",IFERROR(IF(INDEX('Borrowers'!$Z$9:$Z$108,MATCH(C211,'Borrowers'!$C$9:$C$108,0))="Yes",1,IF(INDEX('Borrowers'!$P$9:$P$108,MATCH(C211,'Borrowers'!$C$9:$C$108,0))=0,0,MIN(1,INDEX('Borrowers'!$P$9:$P$108,MATCH(C211,'Borrowers'!$C$9:$C$108,0))*EXP(MIN(20,INDEX('Borrowers'!$V$9:$V$108,MATCH(C211,'Borrowers'!$C$9:$C$108,0))*V211))))),"Unavailable"))</x:f>
        <x:v>0.05342672172834817</x:v>
      </x:c>
      <x:c r="R211" s="30" t="n">
        <x:f>IF(C211="","",IFERROR(MIN(1,INDEX('Borrowers'!$Q$9:$Q$108,MATCH(C211,'Borrowers'!$C$9:$C$108,0))+(1-INDEX('Borrowers'!$Q$9:$Q$108,MATCH(C211,'Borrowers'!$C$9:$C$108,0)))*T211),"Unavailable"))</x:f>
        <x:v>0.36292864</x:v>
      </x:c>
      <x:c r="S211" s="30" t="n">
        <x:f>IF(C211="","",IFERROR(SUMPRODUCT((Sites!$D$9:$D$108=C211)*Sites!$I$9:$I$108*Sites!$J$9:$J$108*Sites!$K$9:$K$108*(1-Sites!$L$9:$L$108)),"Unavailable"))</x:f>
        <x:v>0.2288</x:v>
      </x:c>
      <x:c r="T211" s="30" t="n">
        <x:f>IF(C211="","",IFERROR(MIN(1,(SUMPRODUCT((Sites!$D$9:$D$108=C211)*Sites!$N$9:$N$108*Sites!$J$9:$J$108*Sites!$K$9:$K$108*(1-Sites!$L$9:$L$108)))*'Scenario Paths'!H27),"Unavailable"))</x:f>
        <x:v>0.004576</x:v>
      </x:c>
      <x:c r="U211" s="9" t="str">
        <x:f>IF(C211="","",IF(OR(INDEX('Borrowers'!$AA$9:$AA$108,MATCH(C211,'Borrowers'!$C$9:$C$108,0))&lt;&gt;"Ready",COUNTIF(Sites!$D$9:$D$108,C211)=0,COUNTIFS(Sites!$D$9:$D$108,C211,Sites!$Q$9:$Q$108,"&lt;&gt;Ready")&gt;0,'Scenario Paths'!$F$6&lt;&gt;"Ready"),"Review source inputs","Ready"))</x:f>
        <x:v>Ready</x:v>
      </x:c>
      <x:c r="V211" s="17" t="n">
        <x:f>IF(C211="","",IFERROR(MAX(-1,(G211-O211)/MAX(0.000001,G211)),"Unavailable"))</x:f>
        <x:v>0.5001607483464565</x:v>
      </x:c>
      <x:c r="W211" s="9" t="str">
        <x:f>IF(C211="","",IFERROR(INDEX('Borrowers'!$D$9:$D$108,MATCH(C211,'Borrowers'!$C$9:$C$108,0)),"Unavailable"))</x:f>
        <x:v>Demo Alexandria Logistics</x:v>
      </x:c>
    </x:row>
    <x:row r="212" ht="26" customHeight="1">
      <x:c r="A212" s="1"/>
      <x:c r="B212" s="1"/>
      <x:c r="C212" s="9" t="str">
        <x:f>IF(Borrowers!C12="","",Borrowers!C12)</x:f>
        <x:v>B004</x:v>
      </x:c>
      <x:c r="D212" s="3" t="n">
        <x:v>3</x:v>
      </x:c>
      <x:c r="E212" s="9" t="n">
        <x:f>Settings!$F$18+2</x:f>
        <x:v>2029</x:v>
      </x:c>
      <x:c r="F212" s="9" t="str">
        <x:f>IF(C212="","",INDEX('Borrowers'!$F$9:$F$108,MATCH(C212,'Borrowers'!$C$9:$C$108,0)))</x:f>
        <x:v>Food</x:v>
      </x:c>
      <x:c r="G212" s="23" t="n">
        <x:f>IF(C212="","",IFERROR(INDEX('Borrowers'!$J$9:$J$108,MATCH(C212,'Borrowers'!$C$9:$C$108,0))-INDEX('Borrowers'!$K$9:$K$108,MATCH(C212,'Borrowers'!$C$9:$C$108,0)),"Unavailable"))</x:f>
        <x:v>14.05</x:v>
      </x:c>
      <x:c r="H212" s="23" t="n">
        <x:f>IF(C212="","",IFERROR(INDEX('Borrowers'!$I$9:$I$108,MATCH(C212,'Borrowers'!$C$9:$C$108,0))*INDEX('Borrowers'!$U$9:$U$108,MATCH(C212,'Borrowers'!$C$9:$C$108,0))*(IF(F212="Transport",'Scenario Paths'!H156,IF(F212="Technology",'Scenario Paths'!H150,IF(F212="Utilities",'Scenario Paths'!H144,IF(F212="Agriculture",'Scenario Paths'!H138,IF(F212="Manufacturing",'Scenario Paths'!H132,IF(F212="Healthcare",'Scenario Paths'!H126,IF(F212="Hospitality",'Scenario Paths'!H120,IF(F212="Property",'Scenario Paths'!H114,IF(F212="Food",'Scenario Paths'!H108,IF(F212="Logistics",'Scenario Paths'!H102,IF(F212="Solar",'Scenario Paths'!H96,IF(F212="Cement",'Scenario Paths'!H90,0))))))))))))),"Unavailable"))</x:f>
        <x:v>-1.1664</x:v>
      </x:c>
      <x:c r="I212" s="23" t="n">
        <x:f>IF(C212="","",IFERROR(INDEX('Borrowers'!$R$9:$R$108,MATCH(C212,'Borrowers'!$C$9:$C$108,0))*(1-INDEX('Borrowers'!$W$9:$W$108,MATCH(C212,'Borrowers'!$C$9:$C$108,0))*'Scenario Paths'!H39)*'Scenario Paths'!H9/1000000*(1-INDEX('Borrowers'!$T$9:$T$108,MATCH(C212,'Borrowers'!$C$9:$C$108,0))),"Unavailable"))</x:f>
        <x:v>0.17107999999999998</x:v>
      </x:c>
      <x:c r="J212" s="23" t="n">
        <x:f>IF(C212="","",IFERROR(INDEX('Borrowers'!$I$9:$I$108,MATCH(C212,'Borrowers'!$C$9:$C$108,0))*INDEX('Borrowers'!$S$9:$S$108,MATCH(C212,'Borrowers'!$C$9:$C$108,0))*'Scenario Paths'!H15*(1-INDEX('Borrowers'!$T$9:$T$108,MATCH(C212,'Borrowers'!$C$9:$C$108,0))),"Unavailable"))</x:f>
        <x:v>1.10565</x:v>
      </x:c>
      <x:c r="K212" s="23" t="n">
        <x:f>IF(C212="","",IFERROR(INDEX('Borrowers'!$I$9:$I$108,MATCH(C212,'Borrowers'!$C$9:$C$108,0))*INDEX('Borrowers'!$U$9:$U$108,MATCH(C212,'Borrowers'!$C$9:$C$108,0))*'Scenario Paths'!H21*S212,"Unavailable"))</x:f>
        <x:v>0.073156608</x:v>
      </x:c>
      <x:c r="L212" s="23" t="n">
        <x:f>IF(C212="","",IFERROR(SUMPRODUCT((Sites!$D$9:$D$108=C212)*Sites!$H$9:$H$108*Sites!$J$9:$J$108*Sites!$K$9:$K$108*(1-Sites!$L$9:$L$108)*(1-Sites!$M$9:$M$108))*'Scenario Paths'!H27,"Unavailable"))</x:f>
        <x:v>0.08968960000000001</x:v>
      </x:c>
      <x:c r="M212" s="23" t="n">
        <x:f>IF(C212="","",IFERROR(INDEX('Borrowers'!$J$9:$J$108,MATCH(C212,'Borrowers'!$C$9:$C$108,0))+H212-SUM(I212:L212),"Unavailable"))</x:f>
        <x:v>13.894023792</x:v>
      </x:c>
      <x:c r="N212" s="23" t="n">
        <x:f>IF(C212="","",IFERROR(INDEX('Borrowers'!$I$9:$I$108,MATCH(C212,'Borrowers'!$C$9:$C$108,0))*'Scenario Paths'!H33,"Unavailable"))</x:f>
        <x:v>3.645</x:v>
      </x:c>
      <x:c r="O212" s="23" t="n">
        <x:f>IF(C212="","",IFERROR(M212-INDEX('Borrowers'!$K$9:$K$108,MATCH(C212,'Borrowers'!$C$9:$C$108,0))-N212,"Unavailable"))</x:f>
        <x:v>7.799023792</x:v>
      </x:c>
      <x:c r="P212" s="127" t="n">
        <x:f>IF(C212="","",IFERROR(O212/INDEX('Borrowers'!$L$9:$L$108,MATCH(C212,'Borrowers'!$C$9:$C$108,0)),"Unavailable"))</x:f>
        <x:v>1.3218684393220337</x:v>
      </x:c>
      <x:c r="Q212" s="30" t="n">
        <x:f>IF(C212="","",IFERROR(IF(INDEX('Borrowers'!$Z$9:$Z$108,MATCH(C212,'Borrowers'!$C$9:$C$108,0))="Yes",1,IF(INDEX('Borrowers'!$P$9:$P$108,MATCH(C212,'Borrowers'!$C$9:$C$108,0))=0,0,MIN(1,INDEX('Borrowers'!$P$9:$P$108,MATCH(C212,'Borrowers'!$C$9:$C$108,0))*EXP(MIN(20,INDEX('Borrowers'!$V$9:$V$108,MATCH(C212,'Borrowers'!$C$9:$C$108,0))*V212))))),"Unavailable"))</x:f>
        <x:v>0.06113303086739033</x:v>
      </x:c>
      <x:c r="R212" s="30" t="n">
        <x:f>IF(C212="","",IFERROR(MIN(1,INDEX('Borrowers'!$Q$9:$Q$108,MATCH(C212,'Borrowers'!$C$9:$C$108,0))+(1-INDEX('Borrowers'!$Q$9:$Q$108,MATCH(C212,'Borrowers'!$C$9:$C$108,0)))*T212),"Unavailable"))</x:f>
        <x:v>0.4018816</x:v>
      </x:c>
      <x:c r="S212" s="30" t="n">
        <x:f>IF(C212="","",IFERROR(SUMPRODUCT((Sites!$D$9:$D$108=C212)*Sites!$I$9:$I$108*Sites!$J$9:$J$108*Sites!$K$9:$K$108*(1-Sites!$L$9:$L$108)),"Unavailable"))</x:f>
        <x:v>0.1568</x:v>
      </x:c>
      <x:c r="T212" s="30" t="n">
        <x:f>IF(C212="","",IFERROR(MIN(1,(SUMPRODUCT((Sites!$D$9:$D$108=C212)*Sites!$N$9:$N$108*Sites!$J$9:$J$108*Sites!$K$9:$K$108*(1-Sites!$L$9:$L$108)))*'Scenario Paths'!H27),"Unavailable"))</x:f>
        <x:v>0.003136</x:v>
      </x:c>
      <x:c r="U212" s="9" t="str">
        <x:f>IF(C212="","",IF(OR(INDEX('Borrowers'!$AA$9:$AA$108,MATCH(C212,'Borrowers'!$C$9:$C$108,0))&lt;&gt;"Ready",COUNTIF(Sites!$D$9:$D$108,C212)=0,COUNTIFS(Sites!$D$9:$D$108,C212,Sites!$Q$9:$Q$108,"&lt;&gt;Ready")&gt;0,'Scenario Paths'!$F$6&lt;&gt;"Ready"),"Review source inputs","Ready"))</x:f>
        <x:v>Ready</x:v>
      </x:c>
      <x:c r="V212" s="17" t="n">
        <x:f>IF(C212="","",IFERROR(MAX(-1,(G212-O212)/MAX(0.000001,G212)),"Unavailable"))</x:f>
        <x:v>0.4449093386476869</x:v>
      </x:c>
      <x:c r="W212" s="9" t="str">
        <x:f>IF(C212="","",IFERROR(INDEX('Borrowers'!$D$9:$D$108,MATCH(C212,'Borrowers'!$C$9:$C$108,0)),"Unavailable"))</x:f>
        <x:v>Demo Oasis Foods</x:v>
      </x:c>
    </x:row>
    <x:row r="213" ht="26" customHeight="1">
      <x:c r="A213" s="1"/>
      <x:c r="B213" s="1"/>
      <x:c r="C213" s="9" t="str">
        <x:f>IF(Borrowers!C13="","",Borrowers!C13)</x:f>
        <x:v>B005</x:v>
      </x:c>
      <x:c r="D213" s="3" t="n">
        <x:v>3</x:v>
      </x:c>
      <x:c r="E213" s="9" t="n">
        <x:f>Settings!$F$18+2</x:f>
        <x:v>2029</x:v>
      </x:c>
      <x:c r="F213" s="9" t="str">
        <x:f>IF(C213="","",INDEX('Borrowers'!$F$9:$F$108,MATCH(C213,'Borrowers'!$C$9:$C$108,0)))</x:f>
        <x:v>Property</x:v>
      </x:c>
      <x:c r="G213" s="23" t="n">
        <x:f>IF(C213="","",IFERROR(INDEX('Borrowers'!$J$9:$J$108,MATCH(C213,'Borrowers'!$C$9:$C$108,0))-INDEX('Borrowers'!$K$9:$K$108,MATCH(C213,'Borrowers'!$C$9:$C$108,0)),"Unavailable"))</x:f>
        <x:v>15.4</x:v>
      </x:c>
      <x:c r="H213" s="23" t="n">
        <x:f>IF(C213="","",IFERROR(INDEX('Borrowers'!$I$9:$I$108,MATCH(C213,'Borrowers'!$C$9:$C$108,0))*INDEX('Borrowers'!$U$9:$U$108,MATCH(C213,'Borrowers'!$C$9:$C$108,0))*(IF(F213="Transport",'Scenario Paths'!H156,IF(F213="Technology",'Scenario Paths'!H150,IF(F213="Utilities",'Scenario Paths'!H144,IF(F213="Agriculture",'Scenario Paths'!H138,IF(F213="Manufacturing",'Scenario Paths'!H132,IF(F213="Healthcare",'Scenario Paths'!H126,IF(F213="Hospitality",'Scenario Paths'!H120,IF(F213="Property",'Scenario Paths'!H114,IF(F213="Food",'Scenario Paths'!H108,IF(F213="Logistics",'Scenario Paths'!H102,IF(F213="Solar",'Scenario Paths'!H96,IF(F213="Cement",'Scenario Paths'!H90,0))))))))))))),"Unavailable"))</x:f>
        <x:v>-1.5048</x:v>
      </x:c>
      <x:c r="I213" s="23" t="n">
        <x:f>IF(C213="","",IFERROR(INDEX('Borrowers'!$R$9:$R$108,MATCH(C213,'Borrowers'!$C$9:$C$108,0))*(1-INDEX('Borrowers'!$W$9:$W$108,MATCH(C213,'Borrowers'!$C$9:$C$108,0))*'Scenario Paths'!H39)*'Scenario Paths'!H9/1000000*(1-INDEX('Borrowers'!$T$9:$T$108,MATCH(C213,'Borrowers'!$C$9:$C$108,0))),"Unavailable"))</x:f>
        <x:v>0.34216</x:v>
      </x:c>
      <x:c r="J213" s="23" t="n">
        <x:f>IF(C213="","",IFERROR(INDEX('Borrowers'!$I$9:$I$108,MATCH(C213,'Borrowers'!$C$9:$C$108,0))*INDEX('Borrowers'!$S$9:$S$108,MATCH(C213,'Borrowers'!$C$9:$C$108,0))*'Scenario Paths'!H15*(1-INDEX('Borrowers'!$T$9:$T$108,MATCH(C213,'Borrowers'!$C$9:$C$108,0))),"Unavailable"))</x:f>
        <x:v>1.2012</x:v>
      </x:c>
      <x:c r="K213" s="23" t="n">
        <x:f>IF(C213="","",IFERROR(INDEX('Borrowers'!$I$9:$I$108,MATCH(C213,'Borrowers'!$C$9:$C$108,0))*INDEX('Borrowers'!$U$9:$U$108,MATCH(C213,'Borrowers'!$C$9:$C$108,0))*'Scenario Paths'!H21*S213,"Unavailable"))</x:f>
        <x:v>0.16372224</x:v>
      </x:c>
      <x:c r="L213" s="23" t="n">
        <x:f>IF(C213="","",IFERROR(SUMPRODUCT((Sites!$D$9:$D$108=C213)*Sites!$H$9:$H$108*Sites!$J$9:$J$108*Sites!$K$9:$K$108*(1-Sites!$L$9:$L$108)*(1-Sites!$M$9:$M$108))*'Scenario Paths'!H27,"Unavailable"))</x:f>
        <x:v>0.16755200000000003</x:v>
      </x:c>
      <x:c r="M213" s="23" t="n">
        <x:f>IF(C213="","",IFERROR(INDEX('Borrowers'!$J$9:$J$108,MATCH(C213,'Borrowers'!$C$9:$C$108,0))+H213-SUM(I213:L213),"Unavailable"))</x:f>
        <x:v>14.62056576</x:v>
      </x:c>
      <x:c r="N213" s="23" t="n">
        <x:f>IF(C213="","",IFERROR(INDEX('Borrowers'!$I$9:$I$108,MATCH(C213,'Borrowers'!$C$9:$C$108,0))*'Scenario Paths'!H33,"Unavailable"))</x:f>
        <x:v>3.96</x:v>
      </x:c>
      <x:c r="O213" s="23" t="n">
        <x:f>IF(C213="","",IFERROR(M213-INDEX('Borrowers'!$K$9:$K$108,MATCH(C213,'Borrowers'!$C$9:$C$108,0))-N213,"Unavailable"))</x:f>
        <x:v>8.06056576</x:v>
      </x:c>
      <x:c r="P213" s="127" t="n">
        <x:f>IF(C213="","",IFERROR(O213/INDEX('Borrowers'!$L$9:$L$108,MATCH(C213,'Borrowers'!$C$9:$C$108,0)),"Unavailable"))</x:f>
        <x:v>1.300091251612903</x:v>
      </x:c>
      <x:c r="Q213" s="30" t="n">
        <x:f>IF(C213="","",IFERROR(IF(INDEX('Borrowers'!$Z$9:$Z$108,MATCH(C213,'Borrowers'!$C$9:$C$108,0))="Yes",1,IF(INDEX('Borrowers'!$P$9:$P$108,MATCH(C213,'Borrowers'!$C$9:$C$108,0))=0,0,MIN(1,INDEX('Borrowers'!$P$9:$P$108,MATCH(C213,'Borrowers'!$C$9:$C$108,0))*EXP(MIN(20,INDEX('Borrowers'!$V$9:$V$108,MATCH(C213,'Borrowers'!$C$9:$C$108,0))*V213))))),"Unavailable"))</x:f>
        <x:v>0.0771736101220639</x:v>
      </x:c>
      <x:c r="R213" s="30" t="n">
        <x:f>IF(C213="","",IFERROR(MIN(1,INDEX('Borrowers'!$Q$9:$Q$108,MATCH(C213,'Borrowers'!$C$9:$C$108,0))+(1-INDEX('Borrowers'!$Q$9:$Q$108,MATCH(C213,'Borrowers'!$C$9:$C$108,0)))*T213),"Unavailable"))</x:f>
        <x:v>0.44304640000000006</x:v>
      </x:c>
      <x:c r="S213" s="30" t="n">
        <x:f>IF(C213="","",IFERROR(SUMPRODUCT((Sites!$D$9:$D$108=C213)*Sites!$I$9:$I$108*Sites!$J$9:$J$108*Sites!$K$9:$K$108*(1-Sites!$L$9:$L$108)),"Unavailable"))</x:f>
        <x:v>0.272</x:v>
      </x:c>
      <x:c r="T213" s="30" t="n">
        <x:f>IF(C213="","",IFERROR(MIN(1,(SUMPRODUCT((Sites!$D$9:$D$108=C213)*Sites!$N$9:$N$108*Sites!$J$9:$J$108*Sites!$K$9:$K$108*(1-Sites!$L$9:$L$108)))*'Scenario Paths'!H27),"Unavailable"))</x:f>
        <x:v>0.00544</x:v>
      </x:c>
      <x:c r="U213" s="9" t="str">
        <x:f>IF(C213="","",IF(OR(INDEX('Borrowers'!$AA$9:$AA$108,MATCH(C213,'Borrowers'!$C$9:$C$108,0))&lt;&gt;"Ready",COUNTIF(Sites!$D$9:$D$108,C213)=0,COUNTIFS(Sites!$D$9:$D$108,C213,Sites!$Q$9:$Q$108,"&lt;&gt;Ready")&gt;0,'Scenario Paths'!$F$6&lt;&gt;"Ready"),"Review source inputs","Ready"))</x:f>
        <x:v>Ready</x:v>
      </x:c>
      <x:c r="V213" s="17" t="n">
        <x:f>IF(C213="","",IFERROR(MAX(-1,(G213-O213)/MAX(0.000001,G213)),"Unavailable"))</x:f>
        <x:v>0.47658663896103903</x:v>
      </x:c>
      <x:c r="W213" s="9" t="str">
        <x:f>IF(C213="","",IFERROR(INDEX('Borrowers'!$D$9:$D$108,MATCH(C213,'Borrowers'!$C$9:$C$108,0)),"Unavailable"))</x:f>
        <x:v>Demo Cairo Properties</x:v>
      </x:c>
    </x:row>
    <x:row r="214" ht="26" customHeight="1">
      <x:c r="A214" s="1"/>
      <x:c r="B214" s="1"/>
      <x:c r="C214" s="9" t="str">
        <x:f>IF(Borrowers!C14="","",Borrowers!C14)</x:f>
        <x:v>B006</x:v>
      </x:c>
      <x:c r="D214" s="3" t="n">
        <x:v>3</x:v>
      </x:c>
      <x:c r="E214" s="9" t="n">
        <x:f>Settings!$F$18+2</x:f>
        <x:v>2029</x:v>
      </x:c>
      <x:c r="F214" s="9" t="str">
        <x:f>IF(C214="","",INDEX('Borrowers'!$F$9:$F$108,MATCH(C214,'Borrowers'!$C$9:$C$108,0)))</x:f>
        <x:v>Hospitality</x:v>
      </x:c>
      <x:c r="G214" s="23" t="n">
        <x:f>IF(C214="","",IFERROR(INDEX('Borrowers'!$J$9:$J$108,MATCH(C214,'Borrowers'!$C$9:$C$108,0))-INDEX('Borrowers'!$K$9:$K$108,MATCH(C214,'Borrowers'!$C$9:$C$108,0)),"Unavailable"))</x:f>
        <x:v>16.75</x:v>
      </x:c>
      <x:c r="H214" s="23" t="n">
        <x:f>IF(C214="","",IFERROR(INDEX('Borrowers'!$I$9:$I$108,MATCH(C214,'Borrowers'!$C$9:$C$108,0))*INDEX('Borrowers'!$U$9:$U$108,MATCH(C214,'Borrowers'!$C$9:$C$108,0))*(IF(F214="Transport",'Scenario Paths'!H156,IF(F214="Technology",'Scenario Paths'!H150,IF(F214="Utilities",'Scenario Paths'!H144,IF(F214="Agriculture",'Scenario Paths'!H138,IF(F214="Manufacturing",'Scenario Paths'!H132,IF(F214="Healthcare",'Scenario Paths'!H126,IF(F214="Hospitality",'Scenario Paths'!H120,IF(F214="Property",'Scenario Paths'!H114,IF(F214="Food",'Scenario Paths'!H108,IF(F214="Logistics",'Scenario Paths'!H102,IF(F214="Solar",'Scenario Paths'!H96,IF(F214="Cement",'Scenario Paths'!H90,0))))))))))))),"Unavailable"))</x:f>
        <x:v>-1.8809999999999998</x:v>
      </x:c>
      <x:c r="I214" s="23" t="n">
        <x:f>IF(C214="","",IFERROR(INDEX('Borrowers'!$R$9:$R$108,MATCH(C214,'Borrowers'!$C$9:$C$108,0))*(1-INDEX('Borrowers'!$W$9:$W$108,MATCH(C214,'Borrowers'!$C$9:$C$108,0))*'Scenario Paths'!H39)*'Scenario Paths'!H9/1000000*(1-INDEX('Borrowers'!$T$9:$T$108,MATCH(C214,'Borrowers'!$C$9:$C$108,0))),"Unavailable"))</x:f>
        <x:v>0.3102</x:v>
      </x:c>
      <x:c r="J214" s="23" t="n">
        <x:f>IF(C214="","",IFERROR(INDEX('Borrowers'!$I$9:$I$108,MATCH(C214,'Borrowers'!$C$9:$C$108,0))*INDEX('Borrowers'!$S$9:$S$108,MATCH(C214,'Borrowers'!$C$9:$C$108,0))*'Scenario Paths'!H15*(1-INDEX('Borrowers'!$T$9:$T$108,MATCH(C214,'Borrowers'!$C$9:$C$108,0))),"Unavailable"))</x:f>
        <x:v>1.4107500000000002</x:v>
      </x:c>
      <x:c r="K214" s="23" t="n">
        <x:f>IF(C214="","",IFERROR(INDEX('Borrowers'!$I$9:$I$108,MATCH(C214,'Borrowers'!$C$9:$C$108,0))*INDEX('Borrowers'!$U$9:$U$108,MATCH(C214,'Borrowers'!$C$9:$C$108,0))*'Scenario Paths'!H21*S214,"Unavailable"))</x:f>
        <x:v>0.07824959999999997</x:v>
      </x:c>
      <x:c r="L214" s="23" t="n">
        <x:f>IF(C214="","",IFERROR(SUMPRODUCT((Sites!$D$9:$D$108=C214)*Sites!$H$9:$H$108*Sites!$J$9:$J$108*Sites!$K$9:$K$108*(1-Sites!$L$9:$L$108)*(1-Sites!$M$9:$M$108))*'Scenario Paths'!H27,"Unavailable"))</x:f>
        <x:v>0.06864</x:v>
      </x:c>
      <x:c r="M214" s="23" t="n">
        <x:f>IF(C214="","",IFERROR(INDEX('Borrowers'!$J$9:$J$108,MATCH(C214,'Borrowers'!$C$9:$C$108,0))+H214-SUM(I214:L214),"Unavailable"))</x:f>
        <x:v>15.7511604</x:v>
      </x:c>
      <x:c r="N214" s="23" t="n">
        <x:f>IF(C214="","",IFERROR(INDEX('Borrowers'!$I$9:$I$108,MATCH(C214,'Borrowers'!$C$9:$C$108,0))*'Scenario Paths'!H33,"Unavailable"))</x:f>
        <x:v>4.2749999999999995</x:v>
      </x:c>
      <x:c r="O214" s="23" t="n">
        <x:f>IF(C214="","",IFERROR(M214-INDEX('Borrowers'!$K$9:$K$108,MATCH(C214,'Borrowers'!$C$9:$C$108,0))-N214,"Unavailable"))</x:f>
        <x:v>8.726160400000001</x:v>
      </x:c>
      <x:c r="P214" s="127" t="n">
        <x:f>IF(C214="","",IFERROR(O214/INDEX('Borrowers'!$L$9:$L$108,MATCH(C214,'Borrowers'!$C$9:$C$108,0)),"Unavailable"))</x:f>
        <x:v>1.3424862153846155</x:v>
      </x:c>
      <x:c r="Q214" s="30" t="n">
        <x:f>IF(C214="","",IFERROR(IF(INDEX('Borrowers'!$Z$9:$Z$108,MATCH(C214,'Borrowers'!$C$9:$C$108,0))="Yes",1,IF(INDEX('Borrowers'!$P$9:$P$108,MATCH(C214,'Borrowers'!$C$9:$C$108,0))=0,0,MIN(1,INDEX('Borrowers'!$P$9:$P$108,MATCH(C214,'Borrowers'!$C$9:$C$108,0))*EXP(MIN(20,INDEX('Borrowers'!$V$9:$V$108,MATCH(C214,'Borrowers'!$C$9:$C$108,0))*V214))))),"Unavailable"))</x:f>
        <x:v>0.09038930368088093</x:v>
      </x:c>
      <x:c r="R214" s="30" t="n">
        <x:f>IF(C214="","",IFERROR(MIN(1,INDEX('Borrowers'!$Q$9:$Q$108,MATCH(C214,'Borrowers'!$C$9:$C$108,0))+(1-INDEX('Borrowers'!$Q$9:$Q$108,MATCH(C214,'Borrowers'!$C$9:$C$108,0)))*T214),"Unavailable"))</x:f>
        <x:v>0.2814976</x:v>
      </x:c>
      <x:c r="S214" s="30" t="n">
        <x:f>IF(C214="","",IFERROR(SUMPRODUCT((Sites!$D$9:$D$108=C214)*Sites!$I$9:$I$108*Sites!$J$9:$J$108*Sites!$K$9:$K$108*(1-Sites!$L$9:$L$108)),"Unavailable"))</x:f>
        <x:v>0.104</x:v>
      </x:c>
      <x:c r="T214" s="30" t="n">
        <x:f>IF(C214="","",IFERROR(MIN(1,(SUMPRODUCT((Sites!$D$9:$D$108=C214)*Sites!$N$9:$N$108*Sites!$J$9:$J$108*Sites!$K$9:$K$108*(1-Sites!$L$9:$L$108)))*'Scenario Paths'!H27),"Unavailable"))</x:f>
        <x:v>0.00208</x:v>
      </x:c>
      <x:c r="U214" s="9" t="str">
        <x:f>IF(C214="","",IF(OR(INDEX('Borrowers'!$AA$9:$AA$108,MATCH(C214,'Borrowers'!$C$9:$C$108,0))&lt;&gt;"Ready",COUNTIF(Sites!$D$9:$D$108,C214)=0,COUNTIFS(Sites!$D$9:$D$108,C214,Sites!$Q$9:$Q$108,"&lt;&gt;Ready")&gt;0,'Scenario Paths'!$F$6&lt;&gt;"Ready"),"Review source inputs","Ready"))</x:f>
        <x:v>Ready</x:v>
      </x:c>
      <x:c r="V214" s="17" t="n">
        <x:f>IF(C214="","",IFERROR(MAX(-1,(G214-O214)/MAX(0.000001,G214)),"Unavailable"))</x:f>
        <x:v>0.47903519999999994</x:v>
      </x:c>
      <x:c r="W214" s="9" t="str">
        <x:f>IF(C214="","",IFERROR(INDEX('Borrowers'!$D$9:$D$108,MATCH(C214,'Borrowers'!$C$9:$C$108,0)),"Unavailable"))</x:f>
        <x:v>Demo Red Sea Hotels</x:v>
      </x:c>
    </x:row>
    <x:row r="215" ht="26" customHeight="1">
      <x:c r="A215" s="1"/>
      <x:c r="B215" s="1"/>
      <x:c r="C215" s="9" t="str">
        <x:f>IF(Borrowers!C15="","",Borrowers!C15)</x:f>
        <x:v>B007</x:v>
      </x:c>
      <x:c r="D215" s="3" t="n">
        <x:v>3</x:v>
      </x:c>
      <x:c r="E215" s="9" t="n">
        <x:f>Settings!$F$18+2</x:f>
        <x:v>2029</x:v>
      </x:c>
      <x:c r="F215" s="9" t="str">
        <x:f>IF(C215="","",INDEX('Borrowers'!$F$9:$F$108,MATCH(C215,'Borrowers'!$C$9:$C$108,0)))</x:f>
        <x:v>Cement</x:v>
      </x:c>
      <x:c r="G215" s="23" t="n">
        <x:f>IF(C215="","",IFERROR(INDEX('Borrowers'!$J$9:$J$108,MATCH(C215,'Borrowers'!$C$9:$C$108,0))-INDEX('Borrowers'!$K$9:$K$108,MATCH(C215,'Borrowers'!$C$9:$C$108,0)),"Unavailable"))</x:f>
        <x:v>18.1</x:v>
      </x:c>
      <x:c r="H215" s="23" t="n">
        <x:f>IF(C215="","",IFERROR(INDEX('Borrowers'!$I$9:$I$108,MATCH(C215,'Borrowers'!$C$9:$C$108,0))*INDEX('Borrowers'!$U$9:$U$108,MATCH(C215,'Borrowers'!$C$9:$C$108,0))*(IF(F215="Transport",'Scenario Paths'!H156,IF(F215="Technology",'Scenario Paths'!H150,IF(F215="Utilities",'Scenario Paths'!H144,IF(F215="Agriculture",'Scenario Paths'!H138,IF(F215="Manufacturing",'Scenario Paths'!H132,IF(F215="Healthcare",'Scenario Paths'!H126,IF(F215="Hospitality",'Scenario Paths'!H120,IF(F215="Property",'Scenario Paths'!H114,IF(F215="Food",'Scenario Paths'!H108,IF(F215="Logistics",'Scenario Paths'!H102,IF(F215="Solar",'Scenario Paths'!H96,IF(F215="Cement",'Scenario Paths'!H90,0))))))))))))),"Unavailable"))</x:f>
        <x:v>-1.4687999999999999</x:v>
      </x:c>
      <x:c r="I215" s="23" t="n">
        <x:f>IF(C215="","",IFERROR(INDEX('Borrowers'!$R$9:$R$108,MATCH(C215,'Borrowers'!$C$9:$C$108,0))*(1-INDEX('Borrowers'!$W$9:$W$108,MATCH(C215,'Borrowers'!$C$9:$C$108,0))*'Scenario Paths'!H39)*'Scenario Paths'!H9/1000000*(1-INDEX('Borrowers'!$T$9:$T$108,MATCH(C215,'Borrowers'!$C$9:$C$108,0))),"Unavailable"))</x:f>
        <x:v>5.3298</x:v>
      </x:c>
      <x:c r="J215" s="23" t="n">
        <x:f>IF(C215="","",IFERROR(INDEX('Borrowers'!$I$9:$I$108,MATCH(C215,'Borrowers'!$C$9:$C$108,0))*INDEX('Borrowers'!$S$9:$S$108,MATCH(C215,'Borrowers'!$C$9:$C$108,0))*'Scenario Paths'!H15*(1-INDEX('Borrowers'!$T$9:$T$108,MATCH(C215,'Borrowers'!$C$9:$C$108,0))),"Unavailable"))</x:f>
        <x:v>3.1670999999999996</x:v>
      </x:c>
      <x:c r="K215" s="23" t="n">
        <x:f>IF(C215="","",IFERROR(INDEX('Borrowers'!$I$9:$I$108,MATCH(C215,'Borrowers'!$C$9:$C$108,0))*INDEX('Borrowers'!$U$9:$U$108,MATCH(C215,'Borrowers'!$C$9:$C$108,0))*'Scenario Paths'!H21*S215,"Unavailable"))</x:f>
        <x:v>0.052641792</x:v>
      </x:c>
      <x:c r="L215" s="23" t="n">
        <x:f>IF(C215="","",IFERROR(SUMPRODUCT((Sites!$D$9:$D$108=C215)*Sites!$H$9:$H$108*Sites!$J$9:$J$108*Sites!$K$9:$K$108*(1-Sites!$L$9:$L$108)*(1-Sites!$M$9:$M$108))*'Scenario Paths'!H27,"Unavailable"))</x:f>
        <x:v>0.0630784</x:v>
      </x:c>
      <x:c r="M215" s="23" t="n">
        <x:f>IF(C215="","",IFERROR(INDEX('Borrowers'!$J$9:$J$108,MATCH(C215,'Borrowers'!$C$9:$C$108,0))+H215-SUM(I215:L215),"Unavailable"))</x:f>
        <x:v>10.918579807999999</x:v>
      </x:c>
      <x:c r="N215" s="23" t="n">
        <x:f>IF(C215="","",IFERROR(INDEX('Borrowers'!$I$9:$I$108,MATCH(C215,'Borrowers'!$C$9:$C$108,0))*'Scenario Paths'!H33,"Unavailable"))</x:f>
        <x:v>4.59</x:v>
      </x:c>
      <x:c r="O215" s="23" t="n">
        <x:f>IF(C215="","",IFERROR(M215-INDEX('Borrowers'!$K$9:$K$108,MATCH(C215,'Borrowers'!$C$9:$C$108,0))-N215,"Unavailable"))</x:f>
        <x:v>3.4285798079999985</x:v>
      </x:c>
      <x:c r="P215" s="127" t="n">
        <x:f>IF(C215="","",IFERROR(O215/INDEX('Borrowers'!$L$9:$L$108,MATCH(C215,'Borrowers'!$C$9:$C$108,0)),"Unavailable"))</x:f>
        <x:v>0.5042029129411763</x:v>
      </x:c>
      <x:c r="Q215" s="30" t="n">
        <x:f>IF(C215="","",IFERROR(IF(INDEX('Borrowers'!$Z$9:$Z$108,MATCH(C215,'Borrowers'!$C$9:$C$108,0))="Yes",1,IF(INDEX('Borrowers'!$P$9:$P$108,MATCH(C215,'Borrowers'!$C$9:$C$108,0))=0,0,MIN(1,INDEX('Borrowers'!$P$9:$P$108,MATCH(C215,'Borrowers'!$C$9:$C$108,0))*EXP(MIN(20,INDEX('Borrowers'!$V$9:$V$108,MATCH(C215,'Borrowers'!$C$9:$C$108,0))*V215))))),"Unavailable"))</x:f>
        <x:v>0.04389620069192069</x:v>
      </x:c>
      <x:c r="R215" s="30" t="n">
        <x:f>IF(C215="","",IFERROR(MIN(1,INDEX('Borrowers'!$Q$9:$Q$108,MATCH(C215,'Borrowers'!$C$9:$C$108,0))+(1-INDEX('Borrowers'!$Q$9:$Q$108,MATCH(C215,'Borrowers'!$C$9:$C$108,0)))*T215),"Unavailable"))</x:f>
        <x:v>0.32121856</x:v>
      </x:c>
      <x:c r="S215" s="30" t="n">
        <x:f>IF(C215="","",IFERROR(SUMPRODUCT((Sites!$D$9:$D$108=C215)*Sites!$I$9:$I$108*Sites!$J$9:$J$108*Sites!$K$9:$K$108*(1-Sites!$L$9:$L$108)),"Unavailable"))</x:f>
        <x:v>0.08960000000000001</x:v>
      </x:c>
      <x:c r="T215" s="30" t="n">
        <x:f>IF(C215="","",IFERROR(MIN(1,(SUMPRODUCT((Sites!$D$9:$D$108=C215)*Sites!$N$9:$N$108*Sites!$J$9:$J$108*Sites!$K$9:$K$108*(1-Sites!$L$9:$L$108)))*'Scenario Paths'!H27),"Unavailable"))</x:f>
        <x:v>0.0017920000000000002</x:v>
      </x:c>
      <x:c r="U215" s="9" t="str">
        <x:f>IF(C215="","",IF(OR(INDEX('Borrowers'!$AA$9:$AA$108,MATCH(C215,'Borrowers'!$C$9:$C$108,0))&lt;&gt;"Ready",COUNTIF(Sites!$D$9:$D$108,C215)=0,COUNTIFS(Sites!$D$9:$D$108,C215,Sites!$Q$9:$Q$108,"&lt;&gt;Ready")&gt;0,'Scenario Paths'!$F$6&lt;&gt;"Ready"),"Review source inputs","Ready"))</x:f>
        <x:v>Ready</x:v>
      </x:c>
      <x:c r="V215" s="17" t="n">
        <x:f>IF(C215="","",IFERROR(MAX(-1,(G215-O215)/MAX(0.000001,G215)),"Unavailable"))</x:f>
        <x:v>0.8105757012154697</x:v>
      </x:c>
      <x:c r="W215" s="9" t="str">
        <x:f>IF(C215="","",IFERROR(INDEX('Borrowers'!$D$9:$D$108,MATCH(C215,'Borrowers'!$C$9:$C$108,0)),"Unavailable"))</x:f>
        <x:v>Demo Amman Cement</x:v>
      </x:c>
    </x:row>
    <x:row r="216" ht="26" customHeight="1">
      <x:c r="A216" s="1"/>
      <x:c r="B216" s="1"/>
      <x:c r="C216" s="9" t="str">
        <x:f>IF(Borrowers!C16="","",Borrowers!C16)</x:f>
        <x:v>B008</x:v>
      </x:c>
      <x:c r="D216" s="3" t="n">
        <x:v>3</x:v>
      </x:c>
      <x:c r="E216" s="9" t="n">
        <x:f>Settings!$F$18+2</x:f>
        <x:v>2029</x:v>
      </x:c>
      <x:c r="F216" s="9" t="str">
        <x:f>IF(C216="","",INDEX('Borrowers'!$F$9:$F$108,MATCH(C216,'Borrowers'!$C$9:$C$108,0)))</x:f>
        <x:v>Solar</x:v>
      </x:c>
      <x:c r="G216" s="23" t="n">
        <x:f>IF(C216="","",IFERROR(INDEX('Borrowers'!$J$9:$J$108,MATCH(C216,'Borrowers'!$C$9:$C$108,0))-INDEX('Borrowers'!$K$9:$K$108,MATCH(C216,'Borrowers'!$C$9:$C$108,0)),"Unavailable"))</x:f>
        <x:v>19.45</x:v>
      </x:c>
      <x:c r="H216" s="23" t="n">
        <x:f>IF(C216="","",IFERROR(INDEX('Borrowers'!$I$9:$I$108,MATCH(C216,'Borrowers'!$C$9:$C$108,0))*INDEX('Borrowers'!$U$9:$U$108,MATCH(C216,'Borrowers'!$C$9:$C$108,0))*(IF(F216="Transport",'Scenario Paths'!H156,IF(F216="Technology",'Scenario Paths'!H150,IF(F216="Utilities",'Scenario Paths'!H144,IF(F216="Agriculture",'Scenario Paths'!H138,IF(F216="Manufacturing",'Scenario Paths'!H132,IF(F216="Healthcare",'Scenario Paths'!H126,IF(F216="Hospitality",'Scenario Paths'!H120,IF(F216="Property",'Scenario Paths'!H114,IF(F216="Food",'Scenario Paths'!H108,IF(F216="Logistics",'Scenario Paths'!H102,IF(F216="Solar",'Scenario Paths'!H96,IF(F216="Cement",'Scenario Paths'!H90,0))))))))))))),"Unavailable"))</x:f>
        <x:v>1.8639000000000001</x:v>
      </x:c>
      <x:c r="I216" s="23" t="n">
        <x:f>IF(C216="","",IFERROR(INDEX('Borrowers'!$R$9:$R$108,MATCH(C216,'Borrowers'!$C$9:$C$108,0))*(1-INDEX('Borrowers'!$W$9:$W$108,MATCH(C216,'Borrowers'!$C$9:$C$108,0))*'Scenario Paths'!H39)*'Scenario Paths'!H9/1000000*(1-INDEX('Borrowers'!$T$9:$T$108,MATCH(C216,'Borrowers'!$C$9:$C$108,0))),"Unavailable"))</x:f>
        <x:v>0.00658</x:v>
      </x:c>
      <x:c r="J216" s="23" t="n">
        <x:f>IF(C216="","",IFERROR(INDEX('Borrowers'!$I$9:$I$108,MATCH(C216,'Borrowers'!$C$9:$C$108,0))*INDEX('Borrowers'!$S$9:$S$108,MATCH(C216,'Borrowers'!$C$9:$C$108,0))*'Scenario Paths'!H15*(1-INDEX('Borrowers'!$T$9:$T$108,MATCH(C216,'Borrowers'!$C$9:$C$108,0))),"Unavailable"))</x:f>
        <x:v>1.4878499999999997</x:v>
      </x:c>
      <x:c r="K216" s="23" t="n">
        <x:f>IF(C216="","",IFERROR(INDEX('Borrowers'!$I$9:$I$108,MATCH(C216,'Borrowers'!$C$9:$C$108,0))*INDEX('Borrowers'!$U$9:$U$108,MATCH(C216,'Borrowers'!$C$9:$C$108,0))*'Scenario Paths'!H21*S216,"Unavailable"))</x:f>
        <x:v>0.13121856</x:v>
      </x:c>
      <x:c r="L216" s="23" t="n">
        <x:f>IF(C216="","",IFERROR(SUMPRODUCT((Sites!$D$9:$D$108=C216)*Sites!$H$9:$H$108*Sites!$J$9:$J$108*Sites!$K$9:$K$108*(1-Sites!$L$9:$L$108)*(1-Sites!$M$9:$M$108))*'Scenario Paths'!H27,"Unavailable"))</x:f>
        <x:v>0.13164800000000004</x:v>
      </x:c>
      <x:c r="M216" s="23" t="n">
        <x:f>IF(C216="","",IFERROR(INDEX('Borrowers'!$J$9:$J$108,MATCH(C216,'Borrowers'!$C$9:$C$108,0))+H216-SUM(I216:L216),"Unavailable"))</x:f>
        <x:v>22.60660344</x:v>
      </x:c>
      <x:c r="N216" s="23" t="n">
        <x:f>IF(C216="","",IFERROR(INDEX('Borrowers'!$I$9:$I$108,MATCH(C216,'Borrowers'!$C$9:$C$108,0))*'Scenario Paths'!H33,"Unavailable"))</x:f>
        <x:v>4.905</x:v>
      </x:c>
      <x:c r="O216" s="23" t="n">
        <x:f>IF(C216="","",IFERROR(M216-INDEX('Borrowers'!$K$9:$K$108,MATCH(C216,'Borrowers'!$C$9:$C$108,0))-N216,"Unavailable"))</x:f>
        <x:v>14.651603439999999</x:v>
      </x:c>
      <x:c r="P216" s="127" t="n">
        <x:f>IF(C216="","",IFERROR(O216/INDEX('Borrowers'!$L$9:$L$108,MATCH(C216,'Borrowers'!$C$9:$C$108,0)),"Unavailable"))</x:f>
        <x:v>2.0636061183098593</x:v>
      </x:c>
      <x:c r="Q216" s="30" t="n">
        <x:f>IF(C216="","",IFERROR(IF(INDEX('Borrowers'!$Z$9:$Z$108,MATCH(C216,'Borrowers'!$C$9:$C$108,0))="Yes",1,IF(INDEX('Borrowers'!$P$9:$P$108,MATCH(C216,'Borrowers'!$C$9:$C$108,0))=0,0,MIN(1,INDEX('Borrowers'!$P$9:$P$108,MATCH(C216,'Borrowers'!$C$9:$C$108,0))*EXP(MIN(20,INDEX('Borrowers'!$V$9:$V$108,MATCH(C216,'Borrowers'!$C$9:$C$108,0))*V216))))),"Unavailable"))</x:f>
        <x:v>0.026711614403329198</x:v>
      </x:c>
      <x:c r="R216" s="30" t="n">
        <x:f>IF(C216="","",IFERROR(MIN(1,INDEX('Borrowers'!$Q$9:$Q$108,MATCH(C216,'Borrowers'!$C$9:$C$108,0))+(1-INDEX('Borrowers'!$Q$9:$Q$108,MATCH(C216,'Borrowers'!$C$9:$C$108,0)))*T216),"Unavailable"))</x:f>
        <x:v>0.36225280000000004</x:v>
      </x:c>
      <x:c r="S216" s="30" t="n">
        <x:f>IF(C216="","",IFERROR(SUMPRODUCT((Sites!$D$9:$D$108=C216)*Sites!$I$9:$I$108*Sites!$J$9:$J$108*Sites!$K$9:$K$108*(1-Sites!$L$9:$L$108)),"Unavailable"))</x:f>
        <x:v>0.17600000000000002</x:v>
      </x:c>
      <x:c r="T216" s="30" t="n">
        <x:f>IF(C216="","",IFERROR(MIN(1,(SUMPRODUCT((Sites!$D$9:$D$108=C216)*Sites!$N$9:$N$108*Sites!$J$9:$J$108*Sites!$K$9:$K$108*(1-Sites!$L$9:$L$108)))*'Scenario Paths'!H27),"Unavailable"))</x:f>
        <x:v>0.0035200000000000006</x:v>
      </x:c>
      <x:c r="U216" s="9" t="str">
        <x:f>IF(C216="","",IF(OR(INDEX('Borrowers'!$AA$9:$AA$108,MATCH(C216,'Borrowers'!$C$9:$C$108,0))&lt;&gt;"Ready",COUNTIF(Sites!$D$9:$D$108,C216)=0,COUNTIFS(Sites!$D$9:$D$108,C216,Sites!$Q$9:$Q$108,"&lt;&gt;Ready")&gt;0,'Scenario Paths'!$F$6&lt;&gt;"Ready"),"Review source inputs","Ready"))</x:f>
        <x:v>Ready</x:v>
      </x:c>
      <x:c r="V216" s="17" t="n">
        <x:f>IF(C216="","",IFERROR(MAX(-1,(G216-O216)/MAX(0.000001,G216)),"Unavailable"))</x:f>
        <x:v>0.24670419331619542</x:v>
      </x:c>
      <x:c r="W216" s="9" t="str">
        <x:f>IF(C216="","",IFERROR(INDEX('Borrowers'!$D$9:$D$108,MATCH(C216,'Borrowers'!$C$9:$C$108,0)),"Unavailable"))</x:f>
        <x:v>Demo Petra Solar</x:v>
      </x:c>
    </x:row>
    <x:row r="217" ht="26" customHeight="1">
      <x:c r="A217" s="1"/>
      <x:c r="B217" s="1"/>
      <x:c r="C217" s="9" t="str">
        <x:f>IF(Borrowers!C17="","",Borrowers!C17)</x:f>
        <x:v>B009</x:v>
      </x:c>
      <x:c r="D217" s="3" t="n">
        <x:v>3</x:v>
      </x:c>
      <x:c r="E217" s="9" t="n">
        <x:f>Settings!$F$18+2</x:f>
        <x:v>2029</x:v>
      </x:c>
      <x:c r="F217" s="9" t="str">
        <x:f>IF(C217="","",INDEX('Borrowers'!$F$9:$F$108,MATCH(C217,'Borrowers'!$C$9:$C$108,0)))</x:f>
        <x:v>Logistics</x:v>
      </x:c>
      <x:c r="G217" s="23" t="n">
        <x:f>IF(C217="","",IFERROR(INDEX('Borrowers'!$J$9:$J$108,MATCH(C217,'Borrowers'!$C$9:$C$108,0))-INDEX('Borrowers'!$K$9:$K$108,MATCH(C217,'Borrowers'!$C$9:$C$108,0)),"Unavailable"))</x:f>
        <x:v>20.8</x:v>
      </x:c>
      <x:c r="H217" s="23" t="n">
        <x:f>IF(C217="","",IFERROR(INDEX('Borrowers'!$I$9:$I$108,MATCH(C217,'Borrowers'!$C$9:$C$108,0))*INDEX('Borrowers'!$U$9:$U$108,MATCH(C217,'Borrowers'!$C$9:$C$108,0))*(IF(F217="Transport",'Scenario Paths'!H156,IF(F217="Technology",'Scenario Paths'!H150,IF(F217="Utilities",'Scenario Paths'!H144,IF(F217="Agriculture",'Scenario Paths'!H138,IF(F217="Manufacturing",'Scenario Paths'!H132,IF(F217="Healthcare",'Scenario Paths'!H126,IF(F217="Hospitality",'Scenario Paths'!H120,IF(F217="Property",'Scenario Paths'!H114,IF(F217="Food",'Scenario Paths'!H108,IF(F217="Logistics",'Scenario Paths'!H102,IF(F217="Solar",'Scenario Paths'!H96,IF(F217="Cement",'Scenario Paths'!H90,0))))))))))))),"Unavailable"))</x:f>
        <x:v>-2.2967999999999997</x:v>
      </x:c>
      <x:c r="I217" s="23" t="n">
        <x:f>IF(C217="","",IFERROR(INDEX('Borrowers'!$R$9:$R$108,MATCH(C217,'Borrowers'!$C$9:$C$108,0))*(1-INDEX('Borrowers'!$W$9:$W$108,MATCH(C217,'Borrowers'!$C$9:$C$108,0))*'Scenario Paths'!H39)*'Scenario Paths'!H9/1000000*(1-INDEX('Borrowers'!$T$9:$T$108,MATCH(C217,'Borrowers'!$C$9:$C$108,0))),"Unavailable"))</x:f>
        <x:v>0.43992</x:v>
      </x:c>
      <x:c r="J217" s="23" t="n">
        <x:f>IF(C217="","",IFERROR(INDEX('Borrowers'!$I$9:$I$108,MATCH(C217,'Borrowers'!$C$9:$C$108,0))*INDEX('Borrowers'!$S$9:$S$108,MATCH(C217,'Borrowers'!$C$9:$C$108,0))*'Scenario Paths'!H15*(1-INDEX('Borrowers'!$T$9:$T$108,MATCH(C217,'Borrowers'!$C$9:$C$108,0))),"Unavailable"))</x:f>
        <x:v>1.5834000000000004</x:v>
      </x:c>
      <x:c r="K217" s="23" t="n">
        <x:f>IF(C217="","",IFERROR(INDEX('Borrowers'!$I$9:$I$108,MATCH(C217,'Borrowers'!$C$9:$C$108,0))*INDEX('Borrowers'!$U$9:$U$108,MATCH(C217,'Borrowers'!$C$9:$C$108,0))*'Scenario Paths'!H21*S217,"Unavailable"))</x:f>
        <x:v>0.267531264</x:v>
      </x:c>
      <x:c r="L217" s="23" t="n">
        <x:f>IF(C217="","",IFERROR(SUMPRODUCT((Sites!$D$9:$D$108=C217)*Sites!$H$9:$H$108*Sites!$J$9:$J$108*Sites!$K$9:$K$108*(1-Sites!$L$9:$L$108)*(1-Sites!$M$9:$M$108))*'Scenario Paths'!H27,"Unavailable"))</x:f>
        <x:v>0.23063040000000004</x:v>
      </x:c>
      <x:c r="M217" s="23" t="n">
        <x:f>IF(C217="","",IFERROR(INDEX('Borrowers'!$J$9:$J$108,MATCH(C217,'Borrowers'!$C$9:$C$108,0))+H217-SUM(I217:L217),"Unavailable"))</x:f>
        <x:v>19.181718336</x:v>
      </x:c>
      <x:c r="N217" s="23" t="n">
        <x:f>IF(C217="","",IFERROR(INDEX('Borrowers'!$I$9:$I$108,MATCH(C217,'Borrowers'!$C$9:$C$108,0))*'Scenario Paths'!H33,"Unavailable"))</x:f>
        <x:v>5.22</x:v>
      </x:c>
      <x:c r="O217" s="23" t="n">
        <x:f>IF(C217="","",IFERROR(M217-INDEX('Borrowers'!$K$9:$K$108,MATCH(C217,'Borrowers'!$C$9:$C$108,0))-N217,"Unavailable"))</x:f>
        <x:v>10.761718336000001</x:v>
      </x:c>
      <x:c r="P217" s="127" t="n">
        <x:f>IF(C217="","",IFERROR(O217/INDEX('Borrowers'!$L$9:$L$108,MATCH(C217,'Borrowers'!$C$9:$C$108,0)),"Unavailable"))</x:f>
        <x:v>1.4542862616216217</x:v>
      </x:c>
      <x:c r="Q217" s="30" t="n">
        <x:f>IF(C217="","",IFERROR(IF(INDEX('Borrowers'!$Z$9:$Z$108,MATCH(C217,'Borrowers'!$C$9:$C$108,0))="Yes",1,IF(INDEX('Borrowers'!$P$9:$P$108,MATCH(C217,'Borrowers'!$C$9:$C$108,0))=0,0,MIN(1,INDEX('Borrowers'!$P$9:$P$108,MATCH(C217,'Borrowers'!$C$9:$C$108,0))*EXP(MIN(20,INDEX('Borrowers'!$V$9:$V$108,MATCH(C217,'Borrowers'!$C$9:$C$108,0))*V217))))),"Unavailable"))</x:f>
        <x:v>0.051947279211720675</x:v>
      </x:c>
      <x:c r="R217" s="30" t="n">
        <x:f>IF(C217="","",IFERROR(MIN(1,INDEX('Borrowers'!$Q$9:$Q$108,MATCH(C217,'Borrowers'!$C$9:$C$108,0))+(1-INDEX('Borrowers'!$Q$9:$Q$108,MATCH(C217,'Borrowers'!$C$9:$C$108,0)))*T217),"Unavailable"))</x:f>
        <x:v>0.40349440000000003</x:v>
      </x:c>
      <x:c r="S217" s="30" t="n">
        <x:f>IF(C217="","",IFERROR(SUMPRODUCT((Sites!$D$9:$D$108=C217)*Sites!$I$9:$I$108*Sites!$J$9:$J$108*Sites!$K$9:$K$108*(1-Sites!$L$9:$L$108)),"Unavailable"))</x:f>
        <x:v>0.2912</x:v>
      </x:c>
      <x:c r="T217" s="30" t="n">
        <x:f>IF(C217="","",IFERROR(MIN(1,(SUMPRODUCT((Sites!$D$9:$D$108=C217)*Sites!$N$9:$N$108*Sites!$J$9:$J$108*Sites!$K$9:$K$108*(1-Sites!$L$9:$L$108)))*'Scenario Paths'!H27),"Unavailable"))</x:f>
        <x:v>0.005824</x:v>
      </x:c>
      <x:c r="U217" s="9" t="str">
        <x:f>IF(C217="","",IF(OR(INDEX('Borrowers'!$AA$9:$AA$108,MATCH(C217,'Borrowers'!$C$9:$C$108,0))&lt;&gt;"Ready",COUNTIF(Sites!$D$9:$D$108,C217)=0,COUNTIFS(Sites!$D$9:$D$108,C217,Sites!$Q$9:$Q$108,"&lt;&gt;Ready")&gt;0,'Scenario Paths'!$F$6&lt;&gt;"Ready"),"Review source inputs","Ready"))</x:f>
        <x:v>Ready</x:v>
      </x:c>
      <x:c r="V217" s="17" t="n">
        <x:f>IF(C217="","",IFERROR(MAX(-1,(G217-O217)/MAX(0.000001,G217)),"Unavailable"))</x:f>
        <x:v>0.48260969538461534</x:v>
      </x:c>
      <x:c r="W217" s="9" t="str">
        <x:f>IF(C217="","",IFERROR(INDEX('Borrowers'!$D$9:$D$108,MATCH(C217,'Borrowers'!$C$9:$C$108,0)),"Unavailable"))</x:f>
        <x:v>Demo Levant Freight</x:v>
      </x:c>
    </x:row>
    <x:row r="218" ht="26" customHeight="1">
      <x:c r="A218" s="1"/>
      <x:c r="B218" s="1"/>
      <x:c r="C218" s="9" t="str">
        <x:f>IF(Borrowers!C18="","",Borrowers!C18)</x:f>
        <x:v>B010</x:v>
      </x:c>
      <x:c r="D218" s="3" t="n">
        <x:v>3</x:v>
      </x:c>
      <x:c r="E218" s="9" t="n">
        <x:f>Settings!$F$18+2</x:f>
        <x:v>2029</x:v>
      </x:c>
      <x:c r="F218" s="9" t="str">
        <x:f>IF(C218="","",INDEX('Borrowers'!$F$9:$F$108,MATCH(C218,'Borrowers'!$C$9:$C$108,0)))</x:f>
        <x:v>Food</x:v>
      </x:c>
      <x:c r="G218" s="23" t="n">
        <x:f>IF(C218="","",IFERROR(INDEX('Borrowers'!$J$9:$J$108,MATCH(C218,'Borrowers'!$C$9:$C$108,0))-INDEX('Borrowers'!$K$9:$K$108,MATCH(C218,'Borrowers'!$C$9:$C$108,0)),"Unavailable"))</x:f>
        <x:v>22.15</x:v>
      </x:c>
      <x:c r="H218" s="23" t="n">
        <x:f>IF(C218="","",IFERROR(INDEX('Borrowers'!$I$9:$I$108,MATCH(C218,'Borrowers'!$C$9:$C$108,0))*INDEX('Borrowers'!$U$9:$U$108,MATCH(C218,'Borrowers'!$C$9:$C$108,0))*(IF(F218="Transport",'Scenario Paths'!H156,IF(F218="Technology",'Scenario Paths'!H150,IF(F218="Utilities",'Scenario Paths'!H144,IF(F218="Agriculture",'Scenario Paths'!H138,IF(F218="Manufacturing",'Scenario Paths'!H132,IF(F218="Healthcare",'Scenario Paths'!H126,IF(F218="Hospitality",'Scenario Paths'!H120,IF(F218="Property",'Scenario Paths'!H114,IF(F218="Food",'Scenario Paths'!H108,IF(F218="Logistics",'Scenario Paths'!H102,IF(F218="Solar",'Scenario Paths'!H96,IF(F218="Cement",'Scenario Paths'!H90,0))))))))))))),"Unavailable"))</x:f>
        <x:v>-1.7711999999999999</x:v>
      </x:c>
      <x:c r="I218" s="23" t="n">
        <x:f>IF(C218="","",IFERROR(INDEX('Borrowers'!$R$9:$R$108,MATCH(C218,'Borrowers'!$C$9:$C$108,0))*(1-INDEX('Borrowers'!$W$9:$W$108,MATCH(C218,'Borrowers'!$C$9:$C$108,0))*'Scenario Paths'!H39)*'Scenario Paths'!H9/1000000*(1-INDEX('Borrowers'!$T$9:$T$108,MATCH(C218,'Borrowers'!$C$9:$C$108,0))),"Unavailable"))</x:f>
        <x:v>0.39292000000000005</x:v>
      </x:c>
      <x:c r="J218" s="23" t="n">
        <x:f>IF(C218="","",IFERROR(INDEX('Borrowers'!$I$9:$I$108,MATCH(C218,'Borrowers'!$C$9:$C$108,0))*INDEX('Borrowers'!$S$9:$S$108,MATCH(C218,'Borrowers'!$C$9:$C$108,0))*'Scenario Paths'!H15*(1-INDEX('Borrowers'!$T$9:$T$108,MATCH(C218,'Borrowers'!$C$9:$C$108,0))),"Unavailable"))</x:f>
        <x:v>1.8265500000000006</x:v>
      </x:c>
      <x:c r="K218" s="23" t="n">
        <x:f>IF(C218="","",IFERROR(INDEX('Borrowers'!$I$9:$I$108,MATCH(C218,'Borrowers'!$C$9:$C$108,0))*INDEX('Borrowers'!$U$9:$U$108,MATCH(C218,'Borrowers'!$C$9:$C$108,0))*'Scenario Paths'!H21*S218,"Unavailable"))</x:f>
        <x:v>0.13489459199999998</x:v>
      </x:c>
      <x:c r="L218" s="23" t="n">
        <x:f>IF(C218="","",IFERROR(SUMPRODUCT((Sites!$D$9:$D$108=C218)*Sites!$H$9:$H$108*Sites!$J$9:$J$108*Sites!$K$9:$K$108*(1-Sites!$L$9:$L$108)*(1-Sites!$M$9:$M$108))*'Scenario Paths'!H27,"Unavailable"))</x:f>
        <x:v>0.1591744</x:v>
      </x:c>
      <x:c r="M218" s="23" t="n">
        <x:f>IF(C218="","",IFERROR(INDEX('Borrowers'!$J$9:$J$108,MATCH(C218,'Borrowers'!$C$9:$C$108,0))+H218-SUM(I218:L218),"Unavailable"))</x:f>
        <x:v>21.215261008</x:v>
      </x:c>
      <x:c r="N218" s="23" t="n">
        <x:f>IF(C218="","",IFERROR(INDEX('Borrowers'!$I$9:$I$108,MATCH(C218,'Borrowers'!$C$9:$C$108,0))*'Scenario Paths'!H33,"Unavailable"))</x:f>
        <x:v>5.535</x:v>
      </x:c>
      <x:c r="O218" s="23" t="n">
        <x:f>IF(C218="","",IFERROR(M218-INDEX('Borrowers'!$K$9:$K$108,MATCH(C218,'Borrowers'!$C$9:$C$108,0))-N218,"Unavailable"))</x:f>
        <x:v>12.330261007999997</x:v>
      </x:c>
      <x:c r="P218" s="127" t="n">
        <x:f>IF(C218="","",IFERROR(O218/INDEX('Borrowers'!$L$9:$L$108,MATCH(C218,'Borrowers'!$C$9:$C$108,0)),"Unavailable"))</x:f>
        <x:v>1.6013325984415583</x:v>
      </x:c>
      <x:c r="Q218" s="30" t="n">
        <x:f>IF(C218="","",IFERROR(IF(INDEX('Borrowers'!$Z$9:$Z$108,MATCH(C218,'Borrowers'!$C$9:$C$108,0))="Yes",1,IF(INDEX('Borrowers'!$P$9:$P$108,MATCH(C218,'Borrowers'!$C$9:$C$108,0))=0,0,MIN(1,INDEX('Borrowers'!$P$9:$P$108,MATCH(C218,'Borrowers'!$C$9:$C$108,0))*EXP(MIN(20,INDEX('Borrowers'!$V$9:$V$108,MATCH(C218,'Borrowers'!$C$9:$C$108,0))*V218))))),"Unavailable"))</x:f>
        <x:v>0.06097865593704146</x:v>
      </x:c>
      <x:c r="R218" s="30" t="n">
        <x:f>IF(C218="","",IFERROR(MIN(1,INDEX('Borrowers'!$Q$9:$Q$108,MATCH(C218,'Borrowers'!$C$9:$C$108,0))+(1-INDEX('Borrowers'!$Q$9:$Q$108,MATCH(C218,'Borrowers'!$C$9:$C$108,0)))*T218),"Unavailable"))</x:f>
        <x:v>0.44213248000000005</x:v>
      </x:c>
      <x:c r="S218" s="30" t="n">
        <x:f>IF(C218="","",IFERROR(SUMPRODUCT((Sites!$D$9:$D$108=C218)*Sites!$I$9:$I$108*Sites!$J$9:$J$108*Sites!$K$9:$K$108*(1-Sites!$L$9:$L$108)),"Unavailable"))</x:f>
        <x:v>0.19039999999999999</x:v>
      </x:c>
      <x:c r="T218" s="30" t="n">
        <x:f>IF(C218="","",IFERROR(MIN(1,(SUMPRODUCT((Sites!$D$9:$D$108=C218)*Sites!$N$9:$N$108*Sites!$J$9:$J$108*Sites!$K$9:$K$108*(1-Sites!$L$9:$L$108)))*'Scenario Paths'!H27),"Unavailable"))</x:f>
        <x:v>0.0038079999999999998</x:v>
      </x:c>
      <x:c r="U218" s="9" t="str">
        <x:f>IF(C218="","",IF(OR(INDEX('Borrowers'!$AA$9:$AA$108,MATCH(C218,'Borrowers'!$C$9:$C$108,0))&lt;&gt;"Ready",COUNTIF(Sites!$D$9:$D$108,C218)=0,COUNTIFS(Sites!$D$9:$D$108,C218,Sites!$Q$9:$Q$108,"&lt;&gt;Ready")&gt;0,'Scenario Paths'!$F$6&lt;&gt;"Ready"),"Review source inputs","Ready"))</x:f>
        <x:v>Ready</x:v>
      </x:c>
      <x:c r="V218" s="17" t="n">
        <x:f>IF(C218="","",IFERROR(MAX(-1,(G218-O218)/MAX(0.000001,G218)),"Unavailable"))</x:f>
        <x:v>0.4433290741309256</x:v>
      </x:c>
      <x:c r="W218" s="9" t="str">
        <x:f>IF(C218="","",IFERROR(INDEX('Borrowers'!$D$9:$D$108,MATCH(C218,'Borrowers'!$C$9:$C$108,0)),"Unavailable"))</x:f>
        <x:v>Demo Jordan Foods</x:v>
      </x:c>
    </x:row>
    <x:row r="219" ht="26" customHeight="1">
      <x:c r="A219" s="1"/>
      <x:c r="B219" s="1"/>
      <x:c r="C219" s="9" t="str">
        <x:f>IF(Borrowers!C19="","",Borrowers!C19)</x:f>
        <x:v>B011</x:v>
      </x:c>
      <x:c r="D219" s="3" t="n">
        <x:v>3</x:v>
      </x:c>
      <x:c r="E219" s="9" t="n">
        <x:f>Settings!$F$18+2</x:f>
        <x:v>2029</x:v>
      </x:c>
      <x:c r="F219" s="9" t="str">
        <x:f>IF(C219="","",INDEX('Borrowers'!$F$9:$F$108,MATCH(C219,'Borrowers'!$C$9:$C$108,0)))</x:f>
        <x:v>Property</x:v>
      </x:c>
      <x:c r="G219" s="23" t="n">
        <x:f>IF(C219="","",IFERROR(INDEX('Borrowers'!$J$9:$J$108,MATCH(C219,'Borrowers'!$C$9:$C$108,0))-INDEX('Borrowers'!$K$9:$K$108,MATCH(C219,'Borrowers'!$C$9:$C$108,0)),"Unavailable"))</x:f>
        <x:v>23.5</x:v>
      </x:c>
      <x:c r="H219" s="23" t="n">
        <x:f>IF(C219="","",IFERROR(INDEX('Borrowers'!$I$9:$I$108,MATCH(C219,'Borrowers'!$C$9:$C$108,0))*INDEX('Borrowers'!$U$9:$U$108,MATCH(C219,'Borrowers'!$C$9:$C$108,0))*(IF(F219="Transport",'Scenario Paths'!H156,IF(F219="Technology",'Scenario Paths'!H150,IF(F219="Utilities",'Scenario Paths'!H144,IF(F219="Agriculture",'Scenario Paths'!H138,IF(F219="Manufacturing",'Scenario Paths'!H132,IF(F219="Healthcare",'Scenario Paths'!H126,IF(F219="Hospitality",'Scenario Paths'!H120,IF(F219="Property",'Scenario Paths'!H114,IF(F219="Food",'Scenario Paths'!H108,IF(F219="Logistics",'Scenario Paths'!H102,IF(F219="Solar",'Scenario Paths'!H96,IF(F219="Cement",'Scenario Paths'!H90,0))))))))))))),"Unavailable"))</x:f>
        <x:v>-2.223</x:v>
      </x:c>
      <x:c r="I219" s="23" t="n">
        <x:f>IF(C219="","",IFERROR(INDEX('Borrowers'!$R$9:$R$108,MATCH(C219,'Borrowers'!$C$9:$C$108,0))*(1-INDEX('Borrowers'!$W$9:$W$108,MATCH(C219,'Borrowers'!$C$9:$C$108,0))*'Scenario Paths'!H39)*'Scenario Paths'!H9/1000000*(1-INDEX('Borrowers'!$T$9:$T$108,MATCH(C219,'Borrowers'!$C$9:$C$108,0))),"Unavailable"))</x:f>
        <x:v>0.3384</x:v>
      </x:c>
      <x:c r="J219" s="23" t="n">
        <x:f>IF(C219="","",IFERROR(INDEX('Borrowers'!$I$9:$I$108,MATCH(C219,'Borrowers'!$C$9:$C$108,0))*INDEX('Borrowers'!$S$9:$S$108,MATCH(C219,'Borrowers'!$C$9:$C$108,0))*'Scenario Paths'!H15*(1-INDEX('Borrowers'!$T$9:$T$108,MATCH(C219,'Borrowers'!$C$9:$C$108,0))),"Unavailable"))</x:f>
        <x:v>1.9305000000000003</x:v>
      </x:c>
      <x:c r="K219" s="23" t="n">
        <x:f>IF(C219="","",IFERROR(INDEX('Borrowers'!$I$9:$I$108,MATCH(C219,'Borrowers'!$C$9:$C$108,0))*INDEX('Borrowers'!$U$9:$U$108,MATCH(C219,'Borrowers'!$C$9:$C$108,0))*'Scenario Paths'!H21*S219,"Unavailable"))</x:f>
        <x:v>0.071136</x:v>
      </x:c>
      <x:c r="L219" s="23" t="n">
        <x:f>IF(C219="","",IFERROR(SUMPRODUCT((Sites!$D$9:$D$108=C219)*Sites!$H$9:$H$108*Sites!$J$9:$J$108*Sites!$K$9:$K$108*(1-Sites!$L$9:$L$108)*(1-Sites!$M$9:$M$108))*'Scenario Paths'!H27,"Unavailable"))</x:f>
        <x:v>0.0704</x:v>
      </x:c>
      <x:c r="M219" s="23" t="n">
        <x:f>IF(C219="","",IFERROR(INDEX('Borrowers'!$J$9:$J$108,MATCH(C219,'Borrowers'!$C$9:$C$108,0))+H219-SUM(I219:L219),"Unavailable"))</x:f>
        <x:v>22.366564</x:v>
      </x:c>
      <x:c r="N219" s="23" t="n">
        <x:f>IF(C219="","",IFERROR(INDEX('Borrowers'!$I$9:$I$108,MATCH(C219,'Borrowers'!$C$9:$C$108,0))*'Scenario Paths'!H33,"Unavailable"))</x:f>
        <x:v>5.85</x:v>
      </x:c>
      <x:c r="O219" s="23" t="n">
        <x:f>IF(C219="","",IFERROR(M219-INDEX('Borrowers'!$K$9:$K$108,MATCH(C219,'Borrowers'!$C$9:$C$108,0))-N219,"Unavailable"))</x:f>
        <x:v>13.016564</x:v>
      </x:c>
      <x:c r="P219" s="127" t="n">
        <x:f>IF(C219="","",IFERROR(O219/INDEX('Borrowers'!$L$9:$L$108,MATCH(C219,'Borrowers'!$C$9:$C$108,0)),"Unavailable"))</x:f>
        <x:v>1.6270705</x:v>
      </x:c>
      <x:c r="Q219" s="30" t="n">
        <x:f>IF(C219="","",IFERROR(IF(INDEX('Borrowers'!$Z$9:$Z$108,MATCH(C219,'Borrowers'!$C$9:$C$108,0))="Yes",1,IF(INDEX('Borrowers'!$P$9:$P$108,MATCH(C219,'Borrowers'!$C$9:$C$108,0))=0,0,MIN(1,INDEX('Borrowers'!$P$9:$P$108,MATCH(C219,'Borrowers'!$C$9:$C$108,0))*EXP(MIN(20,INDEX('Borrowers'!$V$9:$V$108,MATCH(C219,'Borrowers'!$C$9:$C$108,0))*V219))))),"Unavailable"))</x:f>
        <x:v>0.07349995498541419</x:v>
      </x:c>
      <x:c r="R219" s="30" t="n">
        <x:f>IF(C219="","",IFERROR(MIN(1,INDEX('Borrowers'!$Q$9:$Q$108,MATCH(C219,'Borrowers'!$C$9:$C$108,0))+(1-INDEX('Borrowers'!$Q$9:$Q$108,MATCH(C219,'Borrowers'!$C$9:$C$108,0)))*T219),"Unavailable"))</x:f>
        <x:v>0.281152</x:v>
      </x:c>
      <x:c r="S219" s="30" t="n">
        <x:f>IF(C219="","",IFERROR(SUMPRODUCT((Sites!$D$9:$D$108=C219)*Sites!$I$9:$I$108*Sites!$J$9:$J$108*Sites!$K$9:$K$108*(1-Sites!$L$9:$L$108)),"Unavailable"))</x:f>
        <x:v>0.08000000000000002</x:v>
      </x:c>
      <x:c r="T219" s="30" t="n">
        <x:f>IF(C219="","",IFERROR(MIN(1,(SUMPRODUCT((Sites!$D$9:$D$108=C219)*Sites!$N$9:$N$108*Sites!$J$9:$J$108*Sites!$K$9:$K$108*(1-Sites!$L$9:$L$108)))*'Scenario Paths'!H27),"Unavailable"))</x:f>
        <x:v>0.0016000000000000003</x:v>
      </x:c>
      <x:c r="U219" s="9" t="str">
        <x:f>IF(C219="","",IF(OR(INDEX('Borrowers'!$AA$9:$AA$108,MATCH(C219,'Borrowers'!$C$9:$C$108,0))&lt;&gt;"Ready",COUNTIF(Sites!$D$9:$D$108,C219)=0,COUNTIFS(Sites!$D$9:$D$108,C219,Sites!$Q$9:$Q$108,"&lt;&gt;Ready")&gt;0,'Scenario Paths'!$F$6&lt;&gt;"Ready"),"Review source inputs","Ready"))</x:f>
        <x:v>Ready</x:v>
      </x:c>
      <x:c r="V219" s="17" t="n">
        <x:f>IF(C219="","",IFERROR(MAX(-1,(G219-O219)/MAX(0.000001,G219)),"Unavailable"))</x:f>
        <x:v>0.44610365957446807</x:v>
      </x:c>
      <x:c r="W219" s="9" t="str">
        <x:f>IF(C219="","",IFERROR(INDEX('Borrowers'!$D$9:$D$108,MATCH(C219,'Borrowers'!$C$9:$C$108,0)),"Unavailable"))</x:f>
        <x:v>Demo Aqaba Properties</x:v>
      </x:c>
    </x:row>
    <x:row r="220" ht="26" customHeight="1">
      <x:c r="A220" s="1"/>
      <x:c r="B220" s="1"/>
      <x:c r="C220" s="9" t="str">
        <x:f>IF(Borrowers!C20="","",Borrowers!C20)</x:f>
        <x:v>B012</x:v>
      </x:c>
      <x:c r="D220" s="3" t="n">
        <x:v>3</x:v>
      </x:c>
      <x:c r="E220" s="9" t="n">
        <x:f>Settings!$F$18+2</x:f>
        <x:v>2029</x:v>
      </x:c>
      <x:c r="F220" s="9" t="str">
        <x:f>IF(C220="","",INDEX('Borrowers'!$F$9:$F$108,MATCH(C220,'Borrowers'!$C$9:$C$108,0)))</x:f>
        <x:v>Healthcare</x:v>
      </x:c>
      <x:c r="G220" s="23" t="n">
        <x:f>IF(C220="","",IFERROR(INDEX('Borrowers'!$J$9:$J$108,MATCH(C220,'Borrowers'!$C$9:$C$108,0))-INDEX('Borrowers'!$K$9:$K$108,MATCH(C220,'Borrowers'!$C$9:$C$108,0)),"Unavailable"))</x:f>
        <x:v>24.85</x:v>
      </x:c>
      <x:c r="H220" s="23" t="n">
        <x:f>IF(C220="","",IFERROR(INDEX('Borrowers'!$I$9:$I$108,MATCH(C220,'Borrowers'!$C$9:$C$108,0))*INDEX('Borrowers'!$U$9:$U$108,MATCH(C220,'Borrowers'!$C$9:$C$108,0))*(IF(F220="Transport",'Scenario Paths'!H156,IF(F220="Technology",'Scenario Paths'!H150,IF(F220="Utilities",'Scenario Paths'!H144,IF(F220="Agriculture",'Scenario Paths'!H138,IF(F220="Manufacturing",'Scenario Paths'!H132,IF(F220="Healthcare",'Scenario Paths'!H126,IF(F220="Hospitality",'Scenario Paths'!H120,IF(F220="Property",'Scenario Paths'!H114,IF(F220="Food",'Scenario Paths'!H108,IF(F220="Logistics",'Scenario Paths'!H102,IF(F220="Solar",'Scenario Paths'!H96,IF(F220="Cement",'Scenario Paths'!H90,0))))))))))))),"Unavailable"))</x:f>
        <x:v>-2.7126</x:v>
      </x:c>
      <x:c r="I220" s="23" t="n">
        <x:f>IF(C220="","",IFERROR(INDEX('Borrowers'!$R$9:$R$108,MATCH(C220,'Borrowers'!$C$9:$C$108,0))*(1-INDEX('Borrowers'!$W$9:$W$108,MATCH(C220,'Borrowers'!$C$9:$C$108,0))*'Scenario Paths'!H39)*'Scenario Paths'!H9/1000000*(1-INDEX('Borrowers'!$T$9:$T$108,MATCH(C220,'Borrowers'!$C$9:$C$108,0))),"Unavailable"))</x:f>
        <x:v>0.27636</x:v>
      </x:c>
      <x:c r="J220" s="23" t="n">
        <x:f>IF(C220="","",IFERROR(INDEX('Borrowers'!$I$9:$I$108,MATCH(C220,'Borrowers'!$C$9:$C$108,0))*INDEX('Borrowers'!$S$9:$S$108,MATCH(C220,'Borrowers'!$C$9:$C$108,0))*'Scenario Paths'!H15*(1-INDEX('Borrowers'!$T$9:$T$108,MATCH(C220,'Borrowers'!$C$9:$C$108,0))),"Unavailable"))</x:f>
        <x:v>1.8700500000000002</x:v>
      </x:c>
      <x:c r="K220" s="23" t="n">
        <x:f>IF(C220="","",IFERROR(INDEX('Borrowers'!$I$9:$I$108,MATCH(C220,'Borrowers'!$C$9:$C$108,0))*INDEX('Borrowers'!$U$9:$U$108,MATCH(C220,'Borrowers'!$C$9:$C$108,0))*'Scenario Paths'!H21*S220,"Unavailable"))</x:f>
        <x:v>0.180550656</x:v>
      </x:c>
      <x:c r="L220" s="23" t="n">
        <x:f>IF(C220="","",IFERROR(SUMPRODUCT((Sites!$D$9:$D$108=C220)*Sites!$H$9:$H$108*Sites!$J$9:$J$108*Sites!$K$9:$K$108*(1-Sites!$L$9:$L$108)*(1-Sites!$M$9:$M$108))*'Scenario Paths'!H27,"Unavailable"))</x:f>
        <x:v>0.15375360000000002</x:v>
      </x:c>
      <x:c r="M220" s="23" t="n">
        <x:f>IF(C220="","",IFERROR(INDEX('Borrowers'!$J$9:$J$108,MATCH(C220,'Borrowers'!$C$9:$C$108,0))+H220-SUM(I220:L220),"Unavailable"))</x:f>
        <x:v>23.306685744</x:v>
      </x:c>
      <x:c r="N220" s="23" t="n">
        <x:f>IF(C220="","",IFERROR(INDEX('Borrowers'!$I$9:$I$108,MATCH(C220,'Borrowers'!$C$9:$C$108,0))*'Scenario Paths'!H33,"Unavailable"))</x:f>
        <x:v>6.165</x:v>
      </x:c>
      <x:c r="O220" s="23" t="n">
        <x:f>IF(C220="","",IFERROR(M220-INDEX('Borrowers'!$K$9:$K$108,MATCH(C220,'Borrowers'!$C$9:$C$108,0))-N220,"Unavailable"))</x:f>
        <x:v>13.491685744000002</x:v>
      </x:c>
      <x:c r="P220" s="127" t="n">
        <x:f>IF(C220="","",IFERROR(O220/INDEX('Borrowers'!$L$9:$L$108,MATCH(C220,'Borrowers'!$C$9:$C$108,0)),"Unavailable"))</x:f>
        <x:v>1.6255043065060242</x:v>
      </x:c>
      <x:c r="Q220" s="30" t="n">
        <x:f>IF(C220="","",IFERROR(IF(INDEX('Borrowers'!$Z$9:$Z$108,MATCH(C220,'Borrowers'!$C$9:$C$108,0))="Yes",1,IF(INDEX('Borrowers'!$P$9:$P$108,MATCH(C220,'Borrowers'!$C$9:$C$108,0))=0,0,MIN(1,INDEX('Borrowers'!$P$9:$P$108,MATCH(C220,'Borrowers'!$C$9:$C$108,0))*EXP(MIN(20,INDEX('Borrowers'!$V$9:$V$108,MATCH(C220,'Borrowers'!$C$9:$C$108,0))*V220))))),"Unavailable"))</x:f>
        <x:v>0.08726850679581367</x:v>
      </x:c>
      <x:c r="R220" s="30" t="n">
        <x:f>IF(C220="","",IFERROR(MIN(1,INDEX('Borrowers'!$Q$9:$Q$108,MATCH(C220,'Borrowers'!$C$9:$C$108,0))+(1-INDEX('Borrowers'!$Q$9:$Q$108,MATCH(C220,'Borrowers'!$C$9:$C$108,0)))*T220),"Unavailable"))</x:f>
        <x:v>0.32226304</x:v>
      </x:c>
      <x:c r="S220" s="30" t="n">
        <x:f>IF(C220="","",IFERROR(SUMPRODUCT((Sites!$D$9:$D$108=C220)*Sites!$I$9:$I$108*Sites!$J$9:$J$108*Sites!$K$9:$K$108*(1-Sites!$L$9:$L$108)),"Unavailable"))</x:f>
        <x:v>0.1664</x:v>
      </x:c>
      <x:c r="T220" s="30" t="n">
        <x:f>IF(C220="","",IFERROR(MIN(1,(SUMPRODUCT((Sites!$D$9:$D$108=C220)*Sites!$N$9:$N$108*Sites!$J$9:$J$108*Sites!$K$9:$K$108*(1-Sites!$L$9:$L$108)))*'Scenario Paths'!H27),"Unavailable"))</x:f>
        <x:v>0.003328</x:v>
      </x:c>
      <x:c r="U220" s="9" t="str">
        <x:f>IF(C220="","",IF(OR(INDEX('Borrowers'!$AA$9:$AA$108,MATCH(C220,'Borrowers'!$C$9:$C$108,0))&lt;&gt;"Ready",COUNTIF(Sites!$D$9:$D$108,C220)=0,COUNTIFS(Sites!$D$9:$D$108,C220,Sites!$Q$9:$Q$108,"&lt;&gt;Ready")&gt;0,'Scenario Paths'!$F$6&lt;&gt;"Ready"),"Review source inputs","Ready"))</x:f>
        <x:v>Ready</x:v>
      </x:c>
      <x:c r="V220" s="17" t="n">
        <x:f>IF(C220="","",IFERROR(MAX(-1,(G220-O220)/MAX(0.000001,G220)),"Unavailable"))</x:f>
        <x:v>0.457075020362173</x:v>
      </x:c>
      <x:c r="W220" s="9" t="str">
        <x:f>IF(C220="","",IFERROR(INDEX('Borrowers'!$D$9:$D$108,MATCH(C220,'Borrowers'!$C$9:$C$108,0)),"Unavailable"))</x:f>
        <x:v>Demo Amman Healthcare</x:v>
      </x:c>
    </x:row>
    <x:row r="221" ht="26" customHeight="1">
      <x:c r="A221" s="1"/>
      <x:c r="B221" s="1"/>
      <x:c r="C221" s="9" t="str">
        <x:f>IF(Borrowers!C21="","",Borrowers!C21)</x:f>
        <x:v>B013</x:v>
      </x:c>
      <x:c r="D221" s="3" t="n">
        <x:v>3</x:v>
      </x:c>
      <x:c r="E221" s="9" t="n">
        <x:f>Settings!$F$18+2</x:f>
        <x:v>2029</x:v>
      </x:c>
      <x:c r="F221" s="9" t="str">
        <x:f>IF(C221="","",INDEX('Borrowers'!$F$9:$F$108,MATCH(C221,'Borrowers'!$C$9:$C$108,0)))</x:f>
        <x:v>Cement</x:v>
      </x:c>
      <x:c r="G221" s="23" t="n">
        <x:f>IF(C221="","",IFERROR(INDEX('Borrowers'!$J$9:$J$108,MATCH(C221,'Borrowers'!$C$9:$C$108,0))-INDEX('Borrowers'!$K$9:$K$108,MATCH(C221,'Borrowers'!$C$9:$C$108,0)),"Unavailable"))</x:f>
        <x:v>26.2</x:v>
      </x:c>
      <x:c r="H221" s="23" t="n">
        <x:f>IF(C221="","",IFERROR(INDEX('Borrowers'!$I$9:$I$108,MATCH(C221,'Borrowers'!$C$9:$C$108,0))*INDEX('Borrowers'!$U$9:$U$108,MATCH(C221,'Borrowers'!$C$9:$C$108,0))*(IF(F221="Transport",'Scenario Paths'!H156,IF(F221="Technology",'Scenario Paths'!H150,IF(F221="Utilities",'Scenario Paths'!H144,IF(F221="Agriculture",'Scenario Paths'!H138,IF(F221="Manufacturing",'Scenario Paths'!H132,IF(F221="Healthcare",'Scenario Paths'!H126,IF(F221="Hospitality",'Scenario Paths'!H120,IF(F221="Property",'Scenario Paths'!H114,IF(F221="Food",'Scenario Paths'!H108,IF(F221="Logistics",'Scenario Paths'!H102,IF(F221="Solar",'Scenario Paths'!H96,IF(F221="Cement",'Scenario Paths'!H90,0))))))))))))),"Unavailable"))</x:f>
        <x:v>-2.0736</x:v>
      </x:c>
      <x:c r="I221" s="23" t="n">
        <x:f>IF(C221="","",IFERROR(INDEX('Borrowers'!$R$9:$R$108,MATCH(C221,'Borrowers'!$C$9:$C$108,0))*(1-INDEX('Borrowers'!$W$9:$W$108,MATCH(C221,'Borrowers'!$C$9:$C$108,0))*'Scenario Paths'!H39)*'Scenario Paths'!H9/1000000*(1-INDEX('Borrowers'!$T$9:$T$108,MATCH(C221,'Borrowers'!$C$9:$C$108,0))),"Unavailable"))</x:f>
        <x:v>8.0652</x:v>
      </x:c>
      <x:c r="J221" s="23" t="n">
        <x:f>IF(C221="","",IFERROR(INDEX('Borrowers'!$I$9:$I$108,MATCH(C221,'Borrowers'!$C$9:$C$108,0))*INDEX('Borrowers'!$S$9:$S$108,MATCH(C221,'Borrowers'!$C$9:$C$108,0))*'Scenario Paths'!H15*(1-INDEX('Borrowers'!$T$9:$T$108,MATCH(C221,'Borrowers'!$C$9:$C$108,0))),"Unavailable"))</x:f>
        <x:v>6.458400000000001</x:v>
      </x:c>
      <x:c r="K221" s="23" t="n">
        <x:f>IF(C221="","",IFERROR(INDEX('Borrowers'!$I$9:$I$108,MATCH(C221,'Borrowers'!$C$9:$C$108,0))*INDEX('Borrowers'!$U$9:$U$108,MATCH(C221,'Borrowers'!$C$9:$C$108,0))*'Scenario Paths'!H21*S221,"Unavailable"))</x:f>
        <x:v>0.102187008</x:v>
      </x:c>
      <x:c r="L221" s="23" t="n">
        <x:f>IF(C221="","",IFERROR(SUMPRODUCT((Sites!$D$9:$D$108=C221)*Sites!$H$9:$H$108*Sites!$J$9:$J$108*Sites!$K$9:$K$108*(1-Sites!$L$9:$L$108)*(1-Sites!$M$9:$M$108))*'Scenario Paths'!H27,"Unavailable"))</x:f>
        <x:v>0.1192576</x:v>
      </x:c>
      <x:c r="M221" s="23" t="n">
        <x:f>IF(C221="","",IFERROR(INDEX('Borrowers'!$J$9:$J$108,MATCH(C221,'Borrowers'!$C$9:$C$108,0))+H221-SUM(I221:L221),"Unavailable"))</x:f>
        <x:v>13.181355392</x:v>
      </x:c>
      <x:c r="N221" s="23" t="n">
        <x:f>IF(C221="","",IFERROR(INDEX('Borrowers'!$I$9:$I$108,MATCH(C221,'Borrowers'!$C$9:$C$108,0))*'Scenario Paths'!H33,"Unavailable"))</x:f>
        <x:v>6.4799999999999995</x:v>
      </x:c>
      <x:c r="O221" s="23" t="n">
        <x:f>IF(C221="","",IFERROR(M221-INDEX('Borrowers'!$K$9:$K$108,MATCH(C221,'Borrowers'!$C$9:$C$108,0))-N221,"Unavailable"))</x:f>
        <x:v>2.901355392</x:v>
      </x:c>
      <x:c r="P221" s="127" t="n">
        <x:f>IF(C221="","",IFERROR(O221/INDEX('Borrowers'!$L$9:$L$108,MATCH(C221,'Borrowers'!$C$9:$C$108,0)),"Unavailable"))</x:f>
        <x:v>0.33736690604651165</x:v>
      </x:c>
      <x:c r="Q221" s="30" t="n">
        <x:f>IF(C221="","",IFERROR(IF(INDEX('Borrowers'!$Z$9:$Z$108,MATCH(C221,'Borrowers'!$C$9:$C$108,0))="Yes",1,IF(INDEX('Borrowers'!$P$9:$P$108,MATCH(C221,'Borrowers'!$C$9:$C$108,0))=0,0,MIN(1,INDEX('Borrowers'!$P$9:$P$108,MATCH(C221,'Borrowers'!$C$9:$C$108,0))*EXP(MIN(20,INDEX('Borrowers'!$V$9:$V$108,MATCH(C221,'Borrowers'!$C$9:$C$108,0))*V221))))),"Unavailable"))</x:f>
        <x:v>0.049785543021706916</x:v>
      </x:c>
      <x:c r="R221" s="30" t="n">
        <x:f>IF(C221="","",IFERROR(MIN(1,INDEX('Borrowers'!$Q$9:$Q$108,MATCH(C221,'Borrowers'!$C$9:$C$108,0))+(1-INDEX('Borrowers'!$Q$9:$Q$108,MATCH(C221,'Borrowers'!$C$9:$C$108,0)))*T221),"Unavailable"))</x:f>
        <x:v>0.36157696000000006</x:v>
      </x:c>
      <x:c r="S221" s="30" t="n">
        <x:f>IF(C221="","",IFERROR(SUMPRODUCT((Sites!$D$9:$D$108=C221)*Sites!$I$9:$I$108*Sites!$J$9:$J$108*Sites!$K$9:$K$108*(1-Sites!$L$9:$L$108)),"Unavailable"))</x:f>
        <x:v>0.1232</x:v>
      </x:c>
      <x:c r="T221" s="30" t="n">
        <x:f>IF(C221="","",IFERROR(MIN(1,(SUMPRODUCT((Sites!$D$9:$D$108=C221)*Sites!$N$9:$N$108*Sites!$J$9:$J$108*Sites!$K$9:$K$108*(1-Sites!$L$9:$L$108)))*'Scenario Paths'!H27),"Unavailable"))</x:f>
        <x:v>0.002464</x:v>
      </x:c>
      <x:c r="U221" s="9" t="str">
        <x:f>IF(C221="","",IF(OR(INDEX('Borrowers'!$AA$9:$AA$108,MATCH(C221,'Borrowers'!$C$9:$C$108,0))&lt;&gt;"Ready",COUNTIF(Sites!$D$9:$D$108,C221)=0,COUNTIFS(Sites!$D$9:$D$108,C221,Sites!$Q$9:$Q$108,"&lt;&gt;Ready")&gt;0,'Scenario Paths'!$F$6&lt;&gt;"Ready"),"Review source inputs","Ready"))</x:f>
        <x:v>Ready</x:v>
      </x:c>
      <x:c r="V221" s="17" t="n">
        <x:f>IF(C221="","",IFERROR(MAX(-1,(G221-O221)/MAX(0.000001,G221)),"Unavailable"))</x:f>
        <x:v>0.8892612445801527</x:v>
      </x:c>
      <x:c r="W221" s="9" t="str">
        <x:f>IF(C221="","",IFERROR(INDEX('Borrowers'!$D$9:$D$108,MATCH(C221,'Borrowers'!$C$9:$C$108,0)),"Unavailable"))</x:f>
        <x:v>Demo Emirates Materials</x:v>
      </x:c>
    </x:row>
    <x:row r="222" ht="26" customHeight="1">
      <x:c r="A222" s="1"/>
      <x:c r="B222" s="1"/>
      <x:c r="C222" s="9" t="str">
        <x:f>IF(Borrowers!C22="","",Borrowers!C22)</x:f>
        <x:v>B014</x:v>
      </x:c>
      <x:c r="D222" s="3" t="n">
        <x:v>3</x:v>
      </x:c>
      <x:c r="E222" s="9" t="n">
        <x:f>Settings!$F$18+2</x:f>
        <x:v>2029</x:v>
      </x:c>
      <x:c r="F222" s="9" t="str">
        <x:f>IF(C222="","",INDEX('Borrowers'!$F$9:$F$108,MATCH(C222,'Borrowers'!$C$9:$C$108,0)))</x:f>
        <x:v>Solar</x:v>
      </x:c>
      <x:c r="G222" s="23" t="n">
        <x:f>IF(C222="","",IFERROR(INDEX('Borrowers'!$J$9:$J$108,MATCH(C222,'Borrowers'!$C$9:$C$108,0))-INDEX('Borrowers'!$K$9:$K$108,MATCH(C222,'Borrowers'!$C$9:$C$108,0)),"Unavailable"))</x:f>
        <x:v>27.55</x:v>
      </x:c>
      <x:c r="H222" s="23" t="n">
        <x:f>IF(C222="","",IFERROR(INDEX('Borrowers'!$I$9:$I$108,MATCH(C222,'Borrowers'!$C$9:$C$108,0))*INDEX('Borrowers'!$U$9:$U$108,MATCH(C222,'Borrowers'!$C$9:$C$108,0))*(IF(F222="Transport",'Scenario Paths'!H156,IF(F222="Technology",'Scenario Paths'!H150,IF(F222="Utilities",'Scenario Paths'!H144,IF(F222="Agriculture",'Scenario Paths'!H138,IF(F222="Manufacturing",'Scenario Paths'!H132,IF(F222="Healthcare",'Scenario Paths'!H126,IF(F222="Hospitality",'Scenario Paths'!H120,IF(F222="Property",'Scenario Paths'!H114,IF(F222="Food",'Scenario Paths'!H108,IF(F222="Logistics",'Scenario Paths'!H102,IF(F222="Solar",'Scenario Paths'!H96,IF(F222="Cement",'Scenario Paths'!H90,0))))))))))))),"Unavailable"))</x:f>
        <x:v>2.5821</x:v>
      </x:c>
      <x:c r="I222" s="23" t="n">
        <x:f>IF(C222="","",IFERROR(INDEX('Borrowers'!$R$9:$R$108,MATCH(C222,'Borrowers'!$C$9:$C$108,0))*(1-INDEX('Borrowers'!$W$9:$W$108,MATCH(C222,'Borrowers'!$C$9:$C$108,0))*'Scenario Paths'!H39)*'Scenario Paths'!H9/1000000*(1-INDEX('Borrowers'!$T$9:$T$108,MATCH(C222,'Borrowers'!$C$9:$C$108,0))),"Unavailable"))</x:f>
        <x:v>0.010340000000000002</x:v>
      </x:c>
      <x:c r="J222" s="23" t="n">
        <x:f>IF(C222="","",IFERROR(INDEX('Borrowers'!$I$9:$I$108,MATCH(C222,'Borrowers'!$C$9:$C$108,0))*INDEX('Borrowers'!$S$9:$S$108,MATCH(C222,'Borrowers'!$C$9:$C$108,0))*'Scenario Paths'!H15*(1-INDEX('Borrowers'!$T$9:$T$108,MATCH(C222,'Borrowers'!$C$9:$C$108,0))),"Unavailable"))</x:f>
        <x:v>2.24235</x:v>
      </x:c>
      <x:c r="K222" s="23" t="n">
        <x:f>IF(C222="","",IFERROR(INDEX('Borrowers'!$I$9:$I$108,MATCH(C222,'Borrowers'!$C$9:$C$108,0))*INDEX('Borrowers'!$U$9:$U$108,MATCH(C222,'Borrowers'!$C$9:$C$108,0))*'Scenario Paths'!H21*S222,"Unavailable"))</x:f>
        <x:v>0.23135616000000003</x:v>
      </x:c>
      <x:c r="L222" s="23" t="n">
        <x:f>IF(C222="","",IFERROR(SUMPRODUCT((Sites!$D$9:$D$108=C222)*Sites!$H$9:$H$108*Sites!$J$9:$J$108*Sites!$K$9:$K$108*(1-Sites!$L$9:$L$108)*(1-Sites!$M$9:$M$108))*'Scenario Paths'!H27,"Unavailable"))</x:f>
        <x:v>0.22668800000000008</x:v>
      </x:c>
      <x:c r="M222" s="23" t="n">
        <x:f>IF(C222="","",IFERROR(INDEX('Borrowers'!$J$9:$J$108,MATCH(C222,'Borrowers'!$C$9:$C$108,0))+H222-SUM(I222:L222),"Unavailable"))</x:f>
        <x:v>31.371365839999996</x:v>
      </x:c>
      <x:c r="N222" s="23" t="n">
        <x:f>IF(C222="","",IFERROR(INDEX('Borrowers'!$I$9:$I$108,MATCH(C222,'Borrowers'!$C$9:$C$108,0))*'Scenario Paths'!H33,"Unavailable"))</x:f>
        <x:v>6.795</x:v>
      </x:c>
      <x:c r="O222" s="23" t="n">
        <x:f>IF(C222="","",IFERROR(M222-INDEX('Borrowers'!$K$9:$K$108,MATCH(C222,'Borrowers'!$C$9:$C$108,0))-N222,"Unavailable"))</x:f>
        <x:v>20.62636584</x:v>
      </x:c>
      <x:c r="P222" s="127" t="n">
        <x:f>IF(C222="","",IFERROR(O222/INDEX('Borrowers'!$L$9:$L$108,MATCH(C222,'Borrowers'!$C$9:$C$108,0)),"Unavailable"))</x:f>
        <x:v>2.3175691955056177</x:v>
      </x:c>
      <x:c r="Q222" s="30" t="n">
        <x:f>IF(C222="","",IFERROR(IF(INDEX('Borrowers'!$Z$9:$Z$108,MATCH(C222,'Borrowers'!$C$9:$C$108,0))="Yes",1,IF(INDEX('Borrowers'!$P$9:$P$108,MATCH(C222,'Borrowers'!$C$9:$C$108,0))=0,0,MIN(1,INDEX('Borrowers'!$P$9:$P$108,MATCH(C222,'Borrowers'!$C$9:$C$108,0))*EXP(MIN(20,INDEX('Borrowers'!$V$9:$V$108,MATCH(C222,'Borrowers'!$C$9:$C$108,0))*V222))))),"Unavailable"))</x:f>
        <x:v>0.026909255377377553</x:v>
      </x:c>
      <x:c r="R222" s="30" t="n">
        <x:f>IF(C222="","",IFERROR(MIN(1,INDEX('Borrowers'!$Q$9:$Q$108,MATCH(C222,'Borrowers'!$C$9:$C$108,0))+(1-INDEX('Borrowers'!$Q$9:$Q$108,MATCH(C222,'Borrowers'!$C$9:$C$108,0)))*T222),"Unavailable"))</x:f>
        <x:v>0.40268800000000005</x:v>
      </x:c>
      <x:c r="S222" s="30" t="n">
        <x:f>IF(C222="","",IFERROR(SUMPRODUCT((Sites!$D$9:$D$108=C222)*Sites!$I$9:$I$108*Sites!$J$9:$J$108*Sites!$K$9:$K$108*(1-Sites!$L$9:$L$108)),"Unavailable"))</x:f>
        <x:v>0.22400000000000003</x:v>
      </x:c>
      <x:c r="T222" s="30" t="n">
        <x:f>IF(C222="","",IFERROR(MIN(1,(SUMPRODUCT((Sites!$D$9:$D$108=C222)*Sites!$N$9:$N$108*Sites!$J$9:$J$108*Sites!$K$9:$K$108*(1-Sites!$L$9:$L$108)))*'Scenario Paths'!H27),"Unavailable"))</x:f>
        <x:v>0.0044800000000000005</x:v>
      </x:c>
      <x:c r="U222" s="9" t="str">
        <x:f>IF(C222="","",IF(OR(INDEX('Borrowers'!$AA$9:$AA$108,MATCH(C222,'Borrowers'!$C$9:$C$108,0))&lt;&gt;"Ready",COUNTIF(Sites!$D$9:$D$108,C222)=0,COUNTIFS(Sites!$D$9:$D$108,C222,Sites!$Q$9:$Q$108,"&lt;&gt;Ready")&gt;0,'Scenario Paths'!$F$6&lt;&gt;"Ready"),"Review source inputs","Ready"))</x:f>
        <x:v>Ready</x:v>
      </x:c>
      <x:c r="V222" s="17" t="n">
        <x:f>IF(C222="","",IFERROR(MAX(-1,(G222-O222)/MAX(0.000001,G222)),"Unavailable"))</x:f>
        <x:v>0.251311584754991</x:v>
      </x:c>
      <x:c r="W222" s="9" t="str">
        <x:f>IF(C222="","",IFERROR(INDEX('Borrowers'!$D$9:$D$108,MATCH(C222,'Borrowers'!$C$9:$C$108,0)),"Unavailable"))</x:f>
        <x:v>Demo Desert Solar</x:v>
      </x:c>
    </x:row>
    <x:row r="223" ht="26" customHeight="1">
      <x:c r="A223" s="1"/>
      <x:c r="B223" s="1"/>
      <x:c r="C223" s="9" t="str">
        <x:f>IF(Borrowers!C23="","",Borrowers!C23)</x:f>
        <x:v>B015</x:v>
      </x:c>
      <x:c r="D223" s="3" t="n">
        <x:v>3</x:v>
      </x:c>
      <x:c r="E223" s="9" t="n">
        <x:f>Settings!$F$18+2</x:f>
        <x:v>2029</x:v>
      </x:c>
      <x:c r="F223" s="9" t="str">
        <x:f>IF(C223="","",INDEX('Borrowers'!$F$9:$F$108,MATCH(C223,'Borrowers'!$C$9:$C$108,0)))</x:f>
        <x:v>Logistics</x:v>
      </x:c>
      <x:c r="G223" s="23" t="n">
        <x:f>IF(C223="","",IFERROR(INDEX('Borrowers'!$J$9:$J$108,MATCH(C223,'Borrowers'!$C$9:$C$108,0))-INDEX('Borrowers'!$K$9:$K$108,MATCH(C223,'Borrowers'!$C$9:$C$108,0)),"Unavailable"))</x:f>
        <x:v>28.9</x:v>
      </x:c>
      <x:c r="H223" s="23" t="n">
        <x:f>IF(C223="","",IFERROR(INDEX('Borrowers'!$I$9:$I$108,MATCH(C223,'Borrowers'!$C$9:$C$108,0))*INDEX('Borrowers'!$U$9:$U$108,MATCH(C223,'Borrowers'!$C$9:$C$108,0))*(IF(F223="Transport",'Scenario Paths'!H156,IF(F223="Technology",'Scenario Paths'!H150,IF(F223="Utilities",'Scenario Paths'!H144,IF(F223="Agriculture",'Scenario Paths'!H138,IF(F223="Manufacturing",'Scenario Paths'!H132,IF(F223="Healthcare",'Scenario Paths'!H126,IF(F223="Hospitality",'Scenario Paths'!H120,IF(F223="Property",'Scenario Paths'!H114,IF(F223="Food",'Scenario Paths'!H108,IF(F223="Logistics",'Scenario Paths'!H102,IF(F223="Solar",'Scenario Paths'!H96,IF(F223="Cement",'Scenario Paths'!H90,0))))))))))))),"Unavailable"))</x:f>
        <x:v>-3.1283999999999996</x:v>
      </x:c>
      <x:c r="I223" s="23" t="n">
        <x:f>IF(C223="","",IFERROR(INDEX('Borrowers'!$R$9:$R$108,MATCH(C223,'Borrowers'!$C$9:$C$108,0))*(1-INDEX('Borrowers'!$W$9:$W$108,MATCH(C223,'Borrowers'!$C$9:$C$108,0))*'Scenario Paths'!H39)*'Scenario Paths'!H9/1000000*(1-INDEX('Borrowers'!$T$9:$T$108,MATCH(C223,'Borrowers'!$C$9:$C$108,0))),"Unavailable"))</x:f>
        <x:v>0.40607999999999994</x:v>
      </x:c>
      <x:c r="J223" s="23" t="n">
        <x:f>IF(C223="","",IFERROR(INDEX('Borrowers'!$I$9:$I$108,MATCH(C223,'Borrowers'!$C$9:$C$108,0))*INDEX('Borrowers'!$S$9:$S$108,MATCH(C223,'Borrowers'!$C$9:$C$108,0))*'Scenario Paths'!H15*(1-INDEX('Borrowers'!$T$9:$T$108,MATCH(C223,'Borrowers'!$C$9:$C$108,0))),"Unavailable"))</x:f>
        <x:v>2.3463</x:v>
      </x:c>
      <x:c r="K223" s="23" t="n">
        <x:f>IF(C223="","",IFERROR(INDEX('Borrowers'!$I$9:$I$108,MATCH(C223,'Borrowers'!$C$9:$C$108,0))*INDEX('Borrowers'!$U$9:$U$108,MATCH(C223,'Borrowers'!$C$9:$C$108,0))*'Scenario Paths'!H21*S223,"Unavailable"))</x:f>
        <x:v>0.44248089599999985</x:v>
      </x:c>
      <x:c r="L223" s="23" t="n">
        <x:f>IF(C223="","",IFERROR(SUMPRODUCT((Sites!$D$9:$D$108=C223)*Sites!$H$9:$H$108*Sites!$J$9:$J$108*Sites!$K$9:$K$108*(1-Sites!$L$9:$L$108)*(1-Sites!$M$9:$M$108))*'Scenario Paths'!H27,"Unavailable"))</x:f>
        <x:v>0.37340160000000006</x:v>
      </x:c>
      <x:c r="M223" s="23" t="n">
        <x:f>IF(C223="","",IFERROR(INDEX('Borrowers'!$J$9:$J$108,MATCH(C223,'Borrowers'!$C$9:$C$108,0))+H223-SUM(I223:L223),"Unavailable"))</x:f>
        <x:v>26.303337504</x:v>
      </x:c>
      <x:c r="N223" s="23" t="n">
        <x:f>IF(C223="","",IFERROR(INDEX('Borrowers'!$I$9:$I$108,MATCH(C223,'Borrowers'!$C$9:$C$108,0))*'Scenario Paths'!H33,"Unavailable"))</x:f>
        <x:v>7.109999999999999</x:v>
      </x:c>
      <x:c r="O223" s="23" t="n">
        <x:f>IF(C223="","",IFERROR(M223-INDEX('Borrowers'!$K$9:$K$108,MATCH(C223,'Borrowers'!$C$9:$C$108,0))-N223,"Unavailable"))</x:f>
        <x:v>15.093337504000004</x:v>
      </x:c>
      <x:c r="P223" s="127" t="n">
        <x:f>IF(C223="","",IFERROR(O223/INDEX('Borrowers'!$L$9:$L$108,MATCH(C223,'Borrowers'!$C$9:$C$108,0)),"Unavailable"))</x:f>
        <x:v>1.6405801634782615</x:v>
      </x:c>
      <x:c r="Q223" s="30" t="n">
        <x:f>IF(C223="","",IFERROR(IF(INDEX('Borrowers'!$Z$9:$Z$108,MATCH(C223,'Borrowers'!$C$9:$C$108,0))="Yes",1,IF(INDEX('Borrowers'!$P$9:$P$108,MATCH(C223,'Borrowers'!$C$9:$C$108,0))=0,0,MIN(1,INDEX('Borrowers'!$P$9:$P$108,MATCH(C223,'Borrowers'!$C$9:$C$108,0))*EXP(MIN(20,INDEX('Borrowers'!$V$9:$V$108,MATCH(C223,'Borrowers'!$C$9:$C$108,0))*V223))))),"Unavailable"))</x:f>
        <x:v>0.051544036970054906</x:v>
      </x:c>
      <x:c r="R223" s="30" t="n">
        <x:f>IF(C223="","",IFERROR(MIN(1,INDEX('Borrowers'!$Q$9:$Q$108,MATCH(C223,'Borrowers'!$C$9:$C$108,0))+(1-INDEX('Borrowers'!$Q$9:$Q$108,MATCH(C223,'Borrowers'!$C$9:$C$108,0)))*T223),"Unavailable"))</x:f>
        <x:v>0.4439603200000001</x:v>
      </x:c>
      <x:c r="S223" s="30" t="n">
        <x:f>IF(C223="","",IFERROR(SUMPRODUCT((Sites!$D$9:$D$108=C223)*Sites!$I$9:$I$108*Sites!$J$9:$J$108*Sites!$K$9:$K$108*(1-Sites!$L$9:$L$108)),"Unavailable"))</x:f>
        <x:v>0.3535999999999999</x:v>
      </x:c>
      <x:c r="T223" s="30" t="n">
        <x:f>IF(C223="","",IFERROR(MIN(1,(SUMPRODUCT((Sites!$D$9:$D$108=C223)*Sites!$N$9:$N$108*Sites!$J$9:$J$108*Sites!$K$9:$K$108*(1-Sites!$L$9:$L$108)))*'Scenario Paths'!H27),"Unavailable"))</x:f>
        <x:v>0.007071999999999998</x:v>
      </x:c>
      <x:c r="U223" s="9" t="str">
        <x:f>IF(C223="","",IF(OR(INDEX('Borrowers'!$AA$9:$AA$108,MATCH(C223,'Borrowers'!$C$9:$C$108,0))&lt;&gt;"Ready",COUNTIF(Sites!$D$9:$D$108,C223)=0,COUNTIFS(Sites!$D$9:$D$108,C223,Sites!$Q$9:$Q$108,"&lt;&gt;Ready")&gt;0,'Scenario Paths'!$F$6&lt;&gt;"Ready"),"Review source inputs","Ready"))</x:f>
        <x:v>Ready</x:v>
      </x:c>
      <x:c r="V223" s="17" t="n">
        <x:f>IF(C223="","",IFERROR(MAX(-1,(G223-O223)/MAX(0.000001,G223)),"Unavailable"))</x:f>
        <x:v>0.4777391867128026</x:v>
      </x:c>
      <x:c r="W223" s="9" t="str">
        <x:f>IF(C223="","",IFERROR(INDEX('Borrowers'!$D$9:$D$108,MATCH(C223,'Borrowers'!$C$9:$C$108,0)),"Unavailable"))</x:f>
        <x:v>Demo Gulf Logistics</x:v>
      </x:c>
    </x:row>
    <x:row r="224" ht="26" customHeight="1">
      <x:c r="A224" s="1"/>
      <x:c r="B224" s="1"/>
      <x:c r="C224" s="9" t="str">
        <x:f>IF(Borrowers!C24="","",Borrowers!C24)</x:f>
        <x:v>B016</x:v>
      </x:c>
      <x:c r="D224" s="3" t="n">
        <x:v>3</x:v>
      </x:c>
      <x:c r="E224" s="9" t="n">
        <x:f>Settings!$F$18+2</x:f>
        <x:v>2029</x:v>
      </x:c>
      <x:c r="F224" s="9" t="str">
        <x:f>IF(C224="","",INDEX('Borrowers'!$F$9:$F$108,MATCH(C224,'Borrowers'!$C$9:$C$108,0)))</x:f>
        <x:v>Food</x:v>
      </x:c>
      <x:c r="G224" s="23" t="n">
        <x:f>IF(C224="","",IFERROR(INDEX('Borrowers'!$J$9:$J$108,MATCH(C224,'Borrowers'!$C$9:$C$108,0))-INDEX('Borrowers'!$K$9:$K$108,MATCH(C224,'Borrowers'!$C$9:$C$108,0)),"Unavailable"))</x:f>
        <x:v>30.25</x:v>
      </x:c>
      <x:c r="H224" s="23" t="n">
        <x:f>IF(C224="","",IFERROR(INDEX('Borrowers'!$I$9:$I$108,MATCH(C224,'Borrowers'!$C$9:$C$108,0))*INDEX('Borrowers'!$U$9:$U$108,MATCH(C224,'Borrowers'!$C$9:$C$108,0))*(IF(F224="Transport",'Scenario Paths'!H156,IF(F224="Technology",'Scenario Paths'!H150,IF(F224="Utilities",'Scenario Paths'!H144,IF(F224="Agriculture",'Scenario Paths'!H138,IF(F224="Manufacturing",'Scenario Paths'!H132,IF(F224="Healthcare",'Scenario Paths'!H126,IF(F224="Hospitality",'Scenario Paths'!H120,IF(F224="Property",'Scenario Paths'!H114,IF(F224="Food",'Scenario Paths'!H108,IF(F224="Logistics",'Scenario Paths'!H102,IF(F224="Solar",'Scenario Paths'!H96,IF(F224="Cement",'Scenario Paths'!H90,0))))))))))))),"Unavailable"))</x:f>
        <x:v>-2.376</x:v>
      </x:c>
      <x:c r="I224" s="23" t="n">
        <x:f>IF(C224="","",IFERROR(INDEX('Borrowers'!$R$9:$R$108,MATCH(C224,'Borrowers'!$C$9:$C$108,0))*(1-INDEX('Borrowers'!$W$9:$W$108,MATCH(C224,'Borrowers'!$C$9:$C$108,0))*'Scenario Paths'!H39)*'Scenario Paths'!H9/1000000*(1-INDEX('Borrowers'!$T$9:$T$108,MATCH(C224,'Borrowers'!$C$9:$C$108,0))),"Unavailable"))</x:f>
        <x:v>0.32899999999999996</x:v>
      </x:c>
      <x:c r="J224" s="23" t="n">
        <x:f>IF(C224="","",IFERROR(INDEX('Borrowers'!$I$9:$I$108,MATCH(C224,'Borrowers'!$C$9:$C$108,0))*INDEX('Borrowers'!$S$9:$S$108,MATCH(C224,'Borrowers'!$C$9:$C$108,0))*'Scenario Paths'!H15*(1-INDEX('Borrowers'!$T$9:$T$108,MATCH(C224,'Borrowers'!$C$9:$C$108,0))),"Unavailable"))</x:f>
        <x:v>2.2522499999999996</x:v>
      </x:c>
      <x:c r="K224" s="23" t="n">
        <x:f>IF(C224="","",IFERROR(INDEX('Borrowers'!$I$9:$I$108,MATCH(C224,'Borrowers'!$C$9:$C$108,0))*INDEX('Borrowers'!$U$9:$U$108,MATCH(C224,'Borrowers'!$C$9:$C$108,0))*'Scenario Paths'!H21*S224,"Unavailable"))</x:f>
        <x:v>0.0532224</x:v>
      </x:c>
      <x:c r="L224" s="23" t="n">
        <x:f>IF(C224="","",IFERROR(SUMPRODUCT((Sites!$D$9:$D$108=C224)*Sites!$H$9:$H$108*Sites!$J$9:$J$108*Sites!$K$9:$K$108*(1-Sites!$L$9:$L$108)*(1-Sites!$M$9:$M$108))*'Scenario Paths'!H27,"Unavailable"))</x:f>
        <x:v>0.06160000000000001</x:v>
      </x:c>
      <x:c r="M224" s="23" t="n">
        <x:f>IF(C224="","",IFERROR(INDEX('Borrowers'!$J$9:$J$108,MATCH(C224,'Borrowers'!$C$9:$C$108,0))+H224-SUM(I224:L224),"Unavailable"))</x:f>
        <x:v>29.427927600000004</x:v>
      </x:c>
      <x:c r="N224" s="23" t="n">
        <x:f>IF(C224="","",IFERROR(INDEX('Borrowers'!$I$9:$I$108,MATCH(C224,'Borrowers'!$C$9:$C$108,0))*'Scenario Paths'!H33,"Unavailable"))</x:f>
        <x:v>7.425</x:v>
      </x:c>
      <x:c r="O224" s="23" t="n">
        <x:f>IF(C224="","",IFERROR(M224-INDEX('Borrowers'!$K$9:$K$108,MATCH(C224,'Borrowers'!$C$9:$C$108,0))-N224,"Unavailable"))</x:f>
        <x:v>17.752927600000003</x:v>
      </x:c>
      <x:c r="P224" s="127" t="n">
        <x:f>IF(C224="","",IFERROR(O224/INDEX('Borrowers'!$L$9:$L$108,MATCH(C224,'Borrowers'!$C$9:$C$108,0)),"Unavailable"))</x:f>
        <x:v>1.8687292210526318</x:v>
      </x:c>
      <x:c r="Q224" s="30" t="n">
        <x:f>IF(C224="","",IFERROR(IF(INDEX('Borrowers'!$Z$9:$Z$108,MATCH(C224,'Borrowers'!$C$9:$C$108,0))="Yes",1,IF(INDEX('Borrowers'!$P$9:$P$108,MATCH(C224,'Borrowers'!$C$9:$C$108,0))=0,0,MIN(1,INDEX('Borrowers'!$P$9:$P$108,MATCH(C224,'Borrowers'!$C$9:$C$108,0))*EXP(MIN(20,INDEX('Borrowers'!$V$9:$V$108,MATCH(C224,'Borrowers'!$C$9:$C$108,0))*V224))))),"Unavailable"))</x:f>
        <x:v>0.05810196929413358</x:v>
      </x:c>
      <x:c r="R224" s="30" t="n">
        <x:f>IF(C224="","",IFERROR(MIN(1,INDEX('Borrowers'!$Q$9:$Q$108,MATCH(C224,'Borrowers'!$C$9:$C$108,0))+(1-INDEX('Borrowers'!$Q$9:$Q$108,MATCH(C224,'Borrowers'!$C$9:$C$108,0)))*T224),"Unavailable"))</x:f>
        <x:v>0.2808064</x:v>
      </x:c>
      <x:c r="S224" s="30" t="n">
        <x:f>IF(C224="","",IFERROR(SUMPRODUCT((Sites!$D$9:$D$108=C224)*Sites!$I$9:$I$108*Sites!$J$9:$J$108*Sites!$K$9:$K$108*(1-Sites!$L$9:$L$108)),"Unavailable"))</x:f>
        <x:v>0.056</x:v>
      </x:c>
      <x:c r="T224" s="30" t="n">
        <x:f>IF(C224="","",IFERROR(MIN(1,(SUMPRODUCT((Sites!$D$9:$D$108=C224)*Sites!$N$9:$N$108*Sites!$J$9:$J$108*Sites!$K$9:$K$108*(1-Sites!$L$9:$L$108)))*'Scenario Paths'!H27),"Unavailable"))</x:f>
        <x:v>0.0011200000000000001</x:v>
      </x:c>
      <x:c r="U224" s="9" t="str">
        <x:f>IF(C224="","",IF(OR(INDEX('Borrowers'!$AA$9:$AA$108,MATCH(C224,'Borrowers'!$C$9:$C$108,0))&lt;&gt;"Ready",COUNTIF(Sites!$D$9:$D$108,C224)=0,COUNTIFS(Sites!$D$9:$D$108,C224,Sites!$Q$9:$Q$108,"&lt;&gt;Ready")&gt;0,'Scenario Paths'!$F$6&lt;&gt;"Ready"),"Review source inputs","Ready"))</x:f>
        <x:v>Ready</x:v>
      </x:c>
      <x:c r="V224" s="17" t="n">
        <x:f>IF(C224="","",IFERROR(MAX(-1,(G224-O224)/MAX(0.000001,G224)),"Unavailable"))</x:f>
        <x:v>0.4131263603305784</x:v>
      </x:c>
      <x:c r="W224" s="9" t="str">
        <x:f>IF(C224="","",IFERROR(INDEX('Borrowers'!$D$9:$D$108,MATCH(C224,'Borrowers'!$C$9:$C$108,0)),"Unavailable"))</x:f>
        <x:v>Demo Emirates Foods</x:v>
      </x:c>
    </x:row>
    <x:row r="225" ht="26" customHeight="1">
      <x:c r="A225" s="1"/>
      <x:c r="B225" s="1"/>
      <x:c r="C225" s="9" t="str">
        <x:f>IF(Borrowers!C25="","",Borrowers!C25)</x:f>
        <x:v>B017</x:v>
      </x:c>
      <x:c r="D225" s="3" t="n">
        <x:v>3</x:v>
      </x:c>
      <x:c r="E225" s="9" t="n">
        <x:f>Settings!$F$18+2</x:f>
        <x:v>2029</x:v>
      </x:c>
      <x:c r="F225" s="9" t="str">
        <x:f>IF(C225="","",INDEX('Borrowers'!$F$9:$F$108,MATCH(C225,'Borrowers'!$C$9:$C$108,0)))</x:f>
        <x:v>Property</x:v>
      </x:c>
      <x:c r="G225" s="23" t="n">
        <x:f>IF(C225="","",IFERROR(INDEX('Borrowers'!$J$9:$J$108,MATCH(C225,'Borrowers'!$C$9:$C$108,0))-INDEX('Borrowers'!$K$9:$K$108,MATCH(C225,'Borrowers'!$C$9:$C$108,0)),"Unavailable"))</x:f>
        <x:v>31.6</x:v>
      </x:c>
      <x:c r="H225" s="23" t="n">
        <x:f>IF(C225="","",IFERROR(INDEX('Borrowers'!$I$9:$I$108,MATCH(C225,'Borrowers'!$C$9:$C$108,0))*INDEX('Borrowers'!$U$9:$U$108,MATCH(C225,'Borrowers'!$C$9:$C$108,0))*(IF(F225="Transport",'Scenario Paths'!H156,IF(F225="Technology",'Scenario Paths'!H150,IF(F225="Utilities",'Scenario Paths'!H144,IF(F225="Agriculture",'Scenario Paths'!H138,IF(F225="Manufacturing",'Scenario Paths'!H132,IF(F225="Healthcare",'Scenario Paths'!H126,IF(F225="Hospitality",'Scenario Paths'!H120,IF(F225="Property",'Scenario Paths'!H114,IF(F225="Food",'Scenario Paths'!H108,IF(F225="Logistics",'Scenario Paths'!H102,IF(F225="Solar",'Scenario Paths'!H96,IF(F225="Cement",'Scenario Paths'!H90,0))))))))))))),"Unavailable"))</x:f>
        <x:v>-2.9412</x:v>
      </x:c>
      <x:c r="I225" s="23" t="n">
        <x:f>IF(C225="","",IFERROR(INDEX('Borrowers'!$R$9:$R$108,MATCH(C225,'Borrowers'!$C$9:$C$108,0))*(1-INDEX('Borrowers'!$W$9:$W$108,MATCH(C225,'Borrowers'!$C$9:$C$108,0))*'Scenario Paths'!H39)*'Scenario Paths'!H9/1000000*(1-INDEX('Borrowers'!$T$9:$T$108,MATCH(C225,'Borrowers'!$C$9:$C$108,0))),"Unavailable"))</x:f>
        <x:v>0.63544</x:v>
      </x:c>
      <x:c r="J225" s="23" t="n">
        <x:f>IF(C225="","",IFERROR(INDEX('Borrowers'!$I$9:$I$108,MATCH(C225,'Borrowers'!$C$9:$C$108,0))*INDEX('Borrowers'!$S$9:$S$108,MATCH(C225,'Borrowers'!$C$9:$C$108,0))*'Scenario Paths'!H15*(1-INDEX('Borrowers'!$T$9:$T$108,MATCH(C225,'Borrowers'!$C$9:$C$108,0))),"Unavailable"))</x:f>
        <x:v>2.3478000000000003</x:v>
      </x:c>
      <x:c r="K225" s="23" t="n">
        <x:f>IF(C225="","",IFERROR(INDEX('Borrowers'!$I$9:$I$108,MATCH(C225,'Borrowers'!$C$9:$C$108,0))*INDEX('Borrowers'!$U$9:$U$108,MATCH(C225,'Borrowers'!$C$9:$C$108,0))*'Scenario Paths'!H21*S225,"Unavailable"))</x:f>
        <x:v>0.15058944</x:v>
      </x:c>
      <x:c r="L225" s="23" t="n">
        <x:f>IF(C225="","",IFERROR(SUMPRODUCT((Sites!$D$9:$D$108=C225)*Sites!$H$9:$H$108*Sites!$J$9:$J$108*Sites!$K$9:$K$108*(1-Sites!$L$9:$L$108)*(1-Sites!$M$9:$M$108))*'Scenario Paths'!H27,"Unavailable"))</x:f>
        <x:v>0.14643200000000003</x:v>
      </x:c>
      <x:c r="M225" s="23" t="n">
        <x:f>IF(C225="","",IFERROR(INDEX('Borrowers'!$J$9:$J$108,MATCH(C225,'Borrowers'!$C$9:$C$108,0))+H225-SUM(I225:L225),"Unavailable"))</x:f>
        <x:v>29.778538559999998</x:v>
      </x:c>
      <x:c r="N225" s="23" t="n">
        <x:f>IF(C225="","",IFERROR(INDEX('Borrowers'!$I$9:$I$108,MATCH(C225,'Borrowers'!$C$9:$C$108,0))*'Scenario Paths'!H33,"Unavailable"))</x:f>
        <x:v>7.739999999999999</x:v>
      </x:c>
      <x:c r="O225" s="23" t="n">
        <x:f>IF(C225="","",IFERROR(M225-INDEX('Borrowers'!$K$9:$K$108,MATCH(C225,'Borrowers'!$C$9:$C$108,0))-N225,"Unavailable"))</x:f>
        <x:v>17.638538559999997</x:v>
      </x:c>
      <x:c r="P225" s="127" t="n">
        <x:f>IF(C225="","",IFERROR(O225/INDEX('Borrowers'!$L$9:$L$108,MATCH(C225,'Borrowers'!$C$9:$C$108,0)),"Unavailable"))</x:f>
        <x:v>1.7998508734693874</x:v>
      </x:c>
      <x:c r="Q225" s="30" t="n">
        <x:f>IF(C225="","",IFERROR(IF(INDEX('Borrowers'!$Z$9:$Z$108,MATCH(C225,'Borrowers'!$C$9:$C$108,0))="Yes",1,IF(INDEX('Borrowers'!$P$9:$P$108,MATCH(C225,'Borrowers'!$C$9:$C$108,0))=0,0,MIN(1,INDEX('Borrowers'!$P$9:$P$108,MATCH(C225,'Borrowers'!$C$9:$C$108,0))*EXP(MIN(20,INDEX('Borrowers'!$V$9:$V$108,MATCH(C225,'Borrowers'!$C$9:$C$108,0))*V225))))),"Unavailable"))</x:f>
        <x:v>0.07299773245868166</x:v>
      </x:c>
      <x:c r="R225" s="30" t="n">
        <x:f>IF(C225="","",IFERROR(MIN(1,INDEX('Borrowers'!$Q$9:$Q$108,MATCH(C225,'Borrowers'!$C$9:$C$108,0))+(1-INDEX('Borrowers'!$Q$9:$Q$108,MATCH(C225,'Borrowers'!$C$9:$C$108,0)))*T225),"Unavailable"))</x:f>
        <x:v>0.3217408</x:v>
      </x:c>
      <x:c r="S225" s="30" t="n">
        <x:f>IF(C225="","",IFERROR(SUMPRODUCT((Sites!$D$9:$D$108=C225)*Sites!$I$9:$I$108*Sites!$J$9:$J$108*Sites!$K$9:$K$108*(1-Sites!$L$9:$L$108)),"Unavailable"))</x:f>
        <x:v>0.128</x:v>
      </x:c>
      <x:c r="T225" s="30" t="n">
        <x:f>IF(C225="","",IFERROR(MIN(1,(SUMPRODUCT((Sites!$D$9:$D$108=C225)*Sites!$N$9:$N$108*Sites!$J$9:$J$108*Sites!$K$9:$K$108*(1-Sites!$L$9:$L$108)))*'Scenario Paths'!H27),"Unavailable"))</x:f>
        <x:v>0.00256</x:v>
      </x:c>
      <x:c r="U225" s="9" t="str">
        <x:f>IF(C225="","",IF(OR(INDEX('Borrowers'!$AA$9:$AA$108,MATCH(C225,'Borrowers'!$C$9:$C$108,0))&lt;&gt;"Ready",COUNTIF(Sites!$D$9:$D$108,C225)=0,COUNTIFS(Sites!$D$9:$D$108,C225,Sites!$Q$9:$Q$108,"&lt;&gt;Ready")&gt;0,'Scenario Paths'!$F$6&lt;&gt;"Ready"),"Review source inputs","Ready"))</x:f>
        <x:v>Ready</x:v>
      </x:c>
      <x:c r="V225" s="17" t="n">
        <x:f>IF(C225="","",IFERROR(MAX(-1,(G225-O225)/MAX(0.000001,G225)),"Unavailable"))</x:f>
        <x:v>0.4418184000000001</x:v>
      </x:c>
      <x:c r="W225" s="9" t="str">
        <x:f>IF(C225="","",IFERROR(INDEX('Borrowers'!$D$9:$D$108,MATCH(C225,'Borrowers'!$C$9:$C$108,0)),"Unavailable"))</x:f>
        <x:v>Demo Marina Properties</x:v>
      </x:c>
    </x:row>
    <x:row r="226" ht="26" customHeight="1">
      <x:c r="A226" s="1"/>
      <x:c r="B226" s="1"/>
      <x:c r="C226" s="9" t="str">
        <x:f>IF(Borrowers!C26="","",Borrowers!C26)</x:f>
        <x:v>B018</x:v>
      </x:c>
      <x:c r="D226" s="3" t="n">
        <x:v>3</x:v>
      </x:c>
      <x:c r="E226" s="9" t="n">
        <x:f>Settings!$F$18+2</x:f>
        <x:v>2029</x:v>
      </x:c>
      <x:c r="F226" s="9" t="str">
        <x:f>IF(C226="","",INDEX('Borrowers'!$F$9:$F$108,MATCH(C226,'Borrowers'!$C$9:$C$108,0)))</x:f>
        <x:v>Hospitality</x:v>
      </x:c>
      <x:c r="G226" s="23" t="n">
        <x:f>IF(C226="","",IFERROR(INDEX('Borrowers'!$J$9:$J$108,MATCH(C226,'Borrowers'!$C$9:$C$108,0))-INDEX('Borrowers'!$K$9:$K$108,MATCH(C226,'Borrowers'!$C$9:$C$108,0)),"Unavailable"))</x:f>
        <x:v>32.95</x:v>
      </x:c>
      <x:c r="H226" s="23" t="n">
        <x:f>IF(C226="","",IFERROR(INDEX('Borrowers'!$I$9:$I$108,MATCH(C226,'Borrowers'!$C$9:$C$108,0))*INDEX('Borrowers'!$U$9:$U$108,MATCH(C226,'Borrowers'!$C$9:$C$108,0))*(IF(F226="Transport",'Scenario Paths'!H156,IF(F226="Technology",'Scenario Paths'!H150,IF(F226="Utilities",'Scenario Paths'!H144,IF(F226="Agriculture",'Scenario Paths'!H138,IF(F226="Manufacturing",'Scenario Paths'!H132,IF(F226="Healthcare",'Scenario Paths'!H126,IF(F226="Hospitality",'Scenario Paths'!H120,IF(F226="Property",'Scenario Paths'!H114,IF(F226="Food",'Scenario Paths'!H108,IF(F226="Logistics",'Scenario Paths'!H102,IF(F226="Solar",'Scenario Paths'!H96,IF(F226="Cement",'Scenario Paths'!H90,0))))))))))))),"Unavailable"))</x:f>
        <x:v>-3.5442</x:v>
      </x:c>
      <x:c r="I226" s="23" t="n">
        <x:f>IF(C226="","",IFERROR(INDEX('Borrowers'!$R$9:$R$108,MATCH(C226,'Borrowers'!$C$9:$C$108,0))*(1-INDEX('Borrowers'!$W$9:$W$108,MATCH(C226,'Borrowers'!$C$9:$C$108,0))*'Scenario Paths'!H39)*'Scenario Paths'!H9/1000000*(1-INDEX('Borrowers'!$T$9:$T$108,MATCH(C226,'Borrowers'!$C$9:$C$108,0))),"Unavailable"))</x:f>
        <x:v>0.5583600000000001</x:v>
      </x:c>
      <x:c r="J226" s="23" t="n">
        <x:f>IF(C226="","",IFERROR(INDEX('Borrowers'!$I$9:$I$108,MATCH(C226,'Borrowers'!$C$9:$C$108,0))*INDEX('Borrowers'!$S$9:$S$108,MATCH(C226,'Borrowers'!$C$9:$C$108,0))*'Scenario Paths'!H15*(1-INDEX('Borrowers'!$T$9:$T$108,MATCH(C226,'Borrowers'!$C$9:$C$108,0))),"Unavailable"))</x:f>
        <x:v>2.658150000000001</x:v>
      </x:c>
      <x:c r="K226" s="23" t="n">
        <x:f>IF(C226="","",IFERROR(INDEX('Borrowers'!$I$9:$I$108,MATCH(C226,'Borrowers'!$C$9:$C$108,0))*INDEX('Borrowers'!$U$9:$U$108,MATCH(C226,'Borrowers'!$C$9:$C$108,0))*'Scenario Paths'!H21*S226,"Unavailable"))</x:f>
        <x:v>0.32436518400000003</x:v>
      </x:c>
      <x:c r="L226" s="23" t="n">
        <x:f>IF(C226="","",IFERROR(SUMPRODUCT((Sites!$D$9:$D$108=C226)*Sites!$H$9:$H$108*Sites!$J$9:$J$108*Sites!$K$9:$K$108*(1-Sites!$L$9:$L$108)*(1-Sites!$M$9:$M$108))*'Scenario Paths'!H27,"Unavailable"))</x:f>
        <x:v>0.2718144</x:v>
      </x:c>
      <x:c r="M226" s="23" t="n">
        <x:f>IF(C226="","",IFERROR(INDEX('Borrowers'!$J$9:$J$108,MATCH(C226,'Borrowers'!$C$9:$C$108,0))+H226-SUM(I226:L226),"Unavailable"))</x:f>
        <x:v>30.143110415999995</x:v>
      </x:c>
      <x:c r="N226" s="23" t="n">
        <x:f>IF(C226="","",IFERROR(INDEX('Borrowers'!$I$9:$I$108,MATCH(C226,'Borrowers'!$C$9:$C$108,0))*'Scenario Paths'!H33,"Unavailable"))</x:f>
        <x:v>8.055</x:v>
      </x:c>
      <x:c r="O226" s="23" t="n">
        <x:f>IF(C226="","",IFERROR(M226-INDEX('Borrowers'!$K$9:$K$108,MATCH(C226,'Borrowers'!$C$9:$C$108,0))-N226,"Unavailable"))</x:f>
        <x:v>17.538110415999995</x:v>
      </x:c>
      <x:c r="P226" s="127" t="n">
        <x:f>IF(C226="","",IFERROR(O226/INDEX('Borrowers'!$L$9:$L$108,MATCH(C226,'Borrowers'!$C$9:$C$108,0)),"Unavailable"))</x:f>
        <x:v>1.7364465758415837</x:v>
      </x:c>
      <x:c r="Q226" s="30" t="n">
        <x:f>IF(C226="","",IFERROR(IF(INDEX('Borrowers'!$Z$9:$Z$108,MATCH(C226,'Borrowers'!$C$9:$C$108,0))="Yes",1,IF(INDEX('Borrowers'!$P$9:$P$108,MATCH(C226,'Borrowers'!$C$9:$C$108,0))=0,0,MIN(1,INDEX('Borrowers'!$P$9:$P$108,MATCH(C226,'Borrowers'!$C$9:$C$108,0))*EXP(MIN(20,INDEX('Borrowers'!$V$9:$V$108,MATCH(C226,'Borrowers'!$C$9:$C$108,0))*V226))))),"Unavailable"))</x:f>
        <x:v>0.08876981350760933</x:v>
      </x:c>
      <x:c r="R226" s="30" t="n">
        <x:f>IF(C226="","",IFERROR(MIN(1,INDEX('Borrowers'!$Q$9:$Q$108,MATCH(C226,'Borrowers'!$C$9:$C$108,0))+(1-INDEX('Borrowers'!$Q$9:$Q$108,MATCH(C226,'Borrowers'!$C$9:$C$108,0)))*T226),"Unavailable"))</x:f>
        <x:v>0.36292864</x:v>
      </x:c>
      <x:c r="S226" s="30" t="n">
        <x:f>IF(C226="","",IFERROR(SUMPRODUCT((Sites!$D$9:$D$108=C226)*Sites!$I$9:$I$108*Sites!$J$9:$J$108*Sites!$K$9:$K$108*(1-Sites!$L$9:$L$108)),"Unavailable"))</x:f>
        <x:v>0.2288</x:v>
      </x:c>
      <x:c r="T226" s="30" t="n">
        <x:f>IF(C226="","",IFERROR(MIN(1,(SUMPRODUCT((Sites!$D$9:$D$108=C226)*Sites!$N$9:$N$108*Sites!$J$9:$J$108*Sites!$K$9:$K$108*(1-Sites!$L$9:$L$108)))*'Scenario Paths'!H27),"Unavailable"))</x:f>
        <x:v>0.004576</x:v>
      </x:c>
      <x:c r="U226" s="9" t="str">
        <x:f>IF(C226="","",IF(OR(INDEX('Borrowers'!$AA$9:$AA$108,MATCH(C226,'Borrowers'!$C$9:$C$108,0))&lt;&gt;"Ready",COUNTIF(Sites!$D$9:$D$108,C226)=0,COUNTIFS(Sites!$D$9:$D$108,C226,Sites!$Q$9:$Q$108,"&lt;&gt;Ready")&gt;0,'Scenario Paths'!$F$6&lt;&gt;"Ready"),"Review source inputs","Ready"))</x:f>
        <x:v>Ready</x:v>
      </x:c>
      <x:c r="V226" s="17" t="n">
        <x:f>IF(C226="","",IFERROR(MAX(-1,(G226-O226)/MAX(0.000001,G226)),"Unavailable"))</x:f>
        <x:v>0.46773564746585755</x:v>
      </x:c>
      <x:c r="W226" s="9" t="str">
        <x:f>IF(C226="","",IFERROR(INDEX('Borrowers'!$D$9:$D$108,MATCH(C226,'Borrowers'!$C$9:$C$108,0)),"Unavailable"))</x:f>
        <x:v>Demo Gulf Hospitality</x:v>
      </x:c>
    </x:row>
    <x:row r="227" ht="26" customHeight="1">
      <x:c r="A227" s="1"/>
      <x:c r="B227" s="1"/>
      <x:c r="C227" s="9" t="str">
        <x:f>IF(Borrowers!C27="","",Borrowers!C27)</x:f>
        <x:v>B019</x:v>
      </x:c>
      <x:c r="D227" s="3" t="n">
        <x:v>3</x:v>
      </x:c>
      <x:c r="E227" s="9" t="n">
        <x:f>Settings!$F$18+2</x:f>
        <x:v>2029</x:v>
      </x:c>
      <x:c r="F227" s="9" t="str">
        <x:f>IF(C227="","",INDEX('Borrowers'!$F$9:$F$108,MATCH(C227,'Borrowers'!$C$9:$C$108,0)))</x:f>
        <x:v>Manufacturing</x:v>
      </x:c>
      <x:c r="G227" s="23" t="n">
        <x:f>IF(C227="","",IFERROR(INDEX('Borrowers'!$J$9:$J$108,MATCH(C227,'Borrowers'!$C$9:$C$108,0))-INDEX('Borrowers'!$K$9:$K$108,MATCH(C227,'Borrowers'!$C$9:$C$108,0)),"Unavailable"))</x:f>
        <x:v>34.3</x:v>
      </x:c>
      <x:c r="H227" s="23" t="n">
        <x:f>IF(C227="","",IFERROR(INDEX('Borrowers'!$I$9:$I$108,MATCH(C227,'Borrowers'!$C$9:$C$108,0))*INDEX('Borrowers'!$U$9:$U$108,MATCH(C227,'Borrowers'!$C$9:$C$108,0))*(IF(F227="Transport",'Scenario Paths'!H156,IF(F227="Technology",'Scenario Paths'!H150,IF(F227="Utilities",'Scenario Paths'!H144,IF(F227="Agriculture",'Scenario Paths'!H138,IF(F227="Manufacturing",'Scenario Paths'!H132,IF(F227="Healthcare",'Scenario Paths'!H126,IF(F227="Hospitality",'Scenario Paths'!H120,IF(F227="Property",'Scenario Paths'!H114,IF(F227="Food",'Scenario Paths'!H108,IF(F227="Logistics",'Scenario Paths'!H102,IF(F227="Solar",'Scenario Paths'!H96,IF(F227="Cement",'Scenario Paths'!H90,0))))))))))))),"Unavailable"))</x:f>
        <x:v>-2.6784</x:v>
      </x:c>
      <x:c r="I227" s="23" t="n">
        <x:f>IF(C227="","",IFERROR(INDEX('Borrowers'!$R$9:$R$108,MATCH(C227,'Borrowers'!$C$9:$C$108,0))*(1-INDEX('Borrowers'!$W$9:$W$108,MATCH(C227,'Borrowers'!$C$9:$C$108,0))*'Scenario Paths'!H39)*'Scenario Paths'!H9/1000000*(1-INDEX('Borrowers'!$T$9:$T$108,MATCH(C227,'Borrowers'!$C$9:$C$108,0))),"Unavailable"))</x:f>
        <x:v>0.47375999999999996</x:v>
      </x:c>
      <x:c r="J227" s="23" t="n">
        <x:f>IF(C227="","",IFERROR(INDEX('Borrowers'!$I$9:$I$108,MATCH(C227,'Borrowers'!$C$9:$C$108,0))*INDEX('Borrowers'!$S$9:$S$108,MATCH(C227,'Borrowers'!$C$9:$C$108,0))*'Scenario Paths'!H15*(1-INDEX('Borrowers'!$T$9:$T$108,MATCH(C227,'Borrowers'!$C$9:$C$108,0))),"Unavailable"))</x:f>
        <x:v>2.7621</x:v>
      </x:c>
      <x:c r="K227" s="23" t="n">
        <x:f>IF(C227="","",IFERROR(INDEX('Borrowers'!$I$9:$I$108,MATCH(C227,'Borrowers'!$C$9:$C$108,0))*INDEX('Borrowers'!$U$9:$U$108,MATCH(C227,'Borrowers'!$C$9:$C$108,0))*'Scenario Paths'!H21*S227,"Unavailable"))</x:f>
        <x:v>0.16798924799999998</x:v>
      </x:c>
      <x:c r="L227" s="23" t="n">
        <x:f>IF(C227="","",IFERROR(SUMPRODUCT((Sites!$D$9:$D$108=C227)*Sites!$H$9:$H$108*Sites!$J$9:$J$108*Sites!$K$9:$K$108*(1-Sites!$L$9:$L$108)*(1-Sites!$M$9:$M$108))*'Scenario Paths'!H27,"Unavailable"))</x:f>
        <x:v>0.19317760000000003</x:v>
      </x:c>
      <x:c r="M227" s="23" t="n">
        <x:f>IF(C227="","",IFERROR(INDEX('Borrowers'!$J$9:$J$108,MATCH(C227,'Borrowers'!$C$9:$C$108,0))+H227-SUM(I227:L227),"Unavailable"))</x:f>
        <x:v>32.724573152000005</x:v>
      </x:c>
      <x:c r="N227" s="23" t="n">
        <x:f>IF(C227="","",IFERROR(INDEX('Borrowers'!$I$9:$I$108,MATCH(C227,'Borrowers'!$C$9:$C$108,0))*'Scenario Paths'!H33,"Unavailable"))</x:f>
        <x:v>8.37</x:v>
      </x:c>
      <x:c r="O227" s="23" t="n">
        <x:f>IF(C227="","",IFERROR(M227-INDEX('Borrowers'!$K$9:$K$108,MATCH(C227,'Borrowers'!$C$9:$C$108,0))-N227,"Unavailable"))</x:f>
        <x:v>19.654573152000005</x:v>
      </x:c>
      <x:c r="P227" s="127" t="n">
        <x:f>IF(C227="","",IFERROR(O227/INDEX('Borrowers'!$L$9:$L$108,MATCH(C227,'Borrowers'!$C$9:$C$108,0)),"Unavailable"))</x:f>
        <x:v>1.8898628030769238</x:v>
      </x:c>
      <x:c r="Q227" s="30" t="n">
        <x:f>IF(C227="","",IFERROR(IF(INDEX('Borrowers'!$Z$9:$Z$108,MATCH(C227,'Borrowers'!$C$9:$C$108,0))="Yes",1,IF(INDEX('Borrowers'!$P$9:$P$108,MATCH(C227,'Borrowers'!$C$9:$C$108,0))=0,0,MIN(1,INDEX('Borrowers'!$P$9:$P$108,MATCH(C227,'Borrowers'!$C$9:$C$108,0))*EXP(MIN(20,INDEX('Borrowers'!$V$9:$V$108,MATCH(C227,'Borrowers'!$C$9:$C$108,0))*V227))))),"Unavailable"))</x:f>
        <x:v>0.023761704950872303</x:v>
      </x:c>
      <x:c r="R227" s="30" t="n">
        <x:f>IF(C227="","",IFERROR(MIN(1,INDEX('Borrowers'!$Q$9:$Q$108,MATCH(C227,'Borrowers'!$C$9:$C$108,0))+(1-INDEX('Borrowers'!$Q$9:$Q$108,MATCH(C227,'Borrowers'!$C$9:$C$108,0)))*T227),"Unavailable"))</x:f>
        <x:v>0.4018816</x:v>
      </x:c>
      <x:c r="S227" s="30" t="n">
        <x:f>IF(C227="","",IFERROR(SUMPRODUCT((Sites!$D$9:$D$108=C227)*Sites!$I$9:$I$108*Sites!$J$9:$J$108*Sites!$K$9:$K$108*(1-Sites!$L$9:$L$108)),"Unavailable"))</x:f>
        <x:v>0.1568</x:v>
      </x:c>
      <x:c r="T227" s="30" t="n">
        <x:f>IF(C227="","",IFERROR(MIN(1,(SUMPRODUCT((Sites!$D$9:$D$108=C227)*Sites!$N$9:$N$108*Sites!$J$9:$J$108*Sites!$K$9:$K$108*(1-Sites!$L$9:$L$108)))*'Scenario Paths'!H27),"Unavailable"))</x:f>
        <x:v>0.003136</x:v>
      </x:c>
      <x:c r="U227" s="9" t="str">
        <x:f>IF(C227="","",IF(OR(INDEX('Borrowers'!$AA$9:$AA$108,MATCH(C227,'Borrowers'!$C$9:$C$108,0))&lt;&gt;"Ready",COUNTIF(Sites!$D$9:$D$108,C227)=0,COUNTIFS(Sites!$D$9:$D$108,C227,Sites!$Q$9:$Q$108,"&lt;&gt;Ready")&gt;0,'Scenario Paths'!$F$6&lt;&gt;"Ready"),"Review source inputs","Ready"))</x:f>
        <x:v>Ready</x:v>
      </x:c>
      <x:c r="V227" s="17" t="n">
        <x:f>IF(C227="","",IFERROR(MAX(-1,(G227-O227)/MAX(0.000001,G227)),"Unavailable"))</x:f>
        <x:v>0.4269803745772593</x:v>
      </x:c>
      <x:c r="W227" s="9" t="str">
        <x:f>IF(C227="","",IFERROR(INDEX('Borrowers'!$D$9:$D$108,MATCH(C227,'Borrowers'!$C$9:$C$108,0)),"Unavailable"))</x:f>
        <x:v>Demo Nile Textiles</x:v>
      </x:c>
    </x:row>
    <x:row r="228" ht="26" customHeight="1">
      <x:c r="A228" s="1"/>
      <x:c r="B228" s="1"/>
      <x:c r="C228" s="9" t="str">
        <x:f>IF(Borrowers!C28="","",Borrowers!C28)</x:f>
        <x:v>B020</x:v>
      </x:c>
      <x:c r="D228" s="3" t="n">
        <x:v>3</x:v>
      </x:c>
      <x:c r="E228" s="9" t="n">
        <x:f>Settings!$F$18+2</x:f>
        <x:v>2029</x:v>
      </x:c>
      <x:c r="F228" s="9" t="str">
        <x:f>IF(C228="","",INDEX('Borrowers'!$F$9:$F$108,MATCH(C228,'Borrowers'!$C$9:$C$108,0)))</x:f>
        <x:v>Agriculture</x:v>
      </x:c>
      <x:c r="G228" s="23" t="n">
        <x:f>IF(C228="","",IFERROR(INDEX('Borrowers'!$J$9:$J$108,MATCH(C228,'Borrowers'!$C$9:$C$108,0))-INDEX('Borrowers'!$K$9:$K$108,MATCH(C228,'Borrowers'!$C$9:$C$108,0)),"Unavailable"))</x:f>
        <x:v>35.65</x:v>
      </x:c>
      <x:c r="H228" s="23" t="n">
        <x:f>IF(C228="","",IFERROR(INDEX('Borrowers'!$I$9:$I$108,MATCH(C228,'Borrowers'!$C$9:$C$108,0))*INDEX('Borrowers'!$U$9:$U$108,MATCH(C228,'Borrowers'!$C$9:$C$108,0))*(IF(F228="Transport",'Scenario Paths'!H156,IF(F228="Technology",'Scenario Paths'!H150,IF(F228="Utilities",'Scenario Paths'!H144,IF(F228="Agriculture",'Scenario Paths'!H138,IF(F228="Manufacturing",'Scenario Paths'!H132,IF(F228="Healthcare",'Scenario Paths'!H126,IF(F228="Hospitality",'Scenario Paths'!H120,IF(F228="Property",'Scenario Paths'!H114,IF(F228="Food",'Scenario Paths'!H108,IF(F228="Logistics",'Scenario Paths'!H102,IF(F228="Solar",'Scenario Paths'!H96,IF(F228="Cement",'Scenario Paths'!H90,0))))))))))))),"Unavailable"))</x:f>
        <x:v>-3.3003</x:v>
      </x:c>
      <x:c r="I228" s="23" t="n">
        <x:f>IF(C228="","",IFERROR(INDEX('Borrowers'!$R$9:$R$108,MATCH(C228,'Borrowers'!$C$9:$C$108,0))*(1-INDEX('Borrowers'!$W$9:$W$108,MATCH(C228,'Borrowers'!$C$9:$C$108,0))*'Scenario Paths'!H39)*'Scenario Paths'!H9/1000000*(1-INDEX('Borrowers'!$T$9:$T$108,MATCH(C228,'Borrowers'!$C$9:$C$108,0))),"Unavailable"))</x:f>
        <x:v>0.38164</x:v>
      </x:c>
      <x:c r="J228" s="23" t="n">
        <x:f>IF(C228="","",IFERROR(INDEX('Borrowers'!$I$9:$I$108,MATCH(C228,'Borrowers'!$C$9:$C$108,0))*INDEX('Borrowers'!$S$9:$S$108,MATCH(C228,'Borrowers'!$C$9:$C$108,0))*'Scenario Paths'!H15*(1-INDEX('Borrowers'!$T$9:$T$108,MATCH(C228,'Borrowers'!$C$9:$C$108,0))),"Unavailable"))</x:f>
        <x:v>2.6344499999999997</x:v>
      </x:c>
      <x:c r="K228" s="23" t="n">
        <x:f>IF(C228="","",IFERROR(INDEX('Borrowers'!$I$9:$I$108,MATCH(C228,'Borrowers'!$C$9:$C$108,0))*INDEX('Borrowers'!$U$9:$U$108,MATCH(C228,'Borrowers'!$C$9:$C$108,0))*'Scenario Paths'!H21*S228,"Unavailable"))</x:f>
        <x:v>0.35907264</x:v>
      </x:c>
      <x:c r="L228" s="23" t="n">
        <x:f>IF(C228="","",IFERROR(SUMPRODUCT((Sites!$D$9:$D$108=C228)*Sites!$H$9:$H$108*Sites!$J$9:$J$108*Sites!$K$9:$K$108*(1-Sites!$L$9:$L$108)*(1-Sites!$M$9:$M$108))*'Scenario Paths'!H27,"Unavailable"))</x:f>
        <x:v>0.347072</x:v>
      </x:c>
      <x:c r="M228" s="23" t="n">
        <x:f>IF(C228="","",IFERROR(INDEX('Borrowers'!$J$9:$J$108,MATCH(C228,'Borrowers'!$C$9:$C$108,0))+H228-SUM(I228:L228),"Unavailable"))</x:f>
        <x:v>33.477465360000004</x:v>
      </x:c>
      <x:c r="N228" s="23" t="n">
        <x:f>IF(C228="","",IFERROR(INDEX('Borrowers'!$I$9:$I$108,MATCH(C228,'Borrowers'!$C$9:$C$108,0))*'Scenario Paths'!H33,"Unavailable"))</x:f>
        <x:v>8.685</x:v>
      </x:c>
      <x:c r="O228" s="23" t="n">
        <x:f>IF(C228="","",IFERROR(M228-INDEX('Borrowers'!$K$9:$K$108,MATCH(C228,'Borrowers'!$C$9:$C$108,0))-N228,"Unavailable"))</x:f>
        <x:v>19.94246536</x:v>
      </x:c>
      <x:c r="P228" s="127" t="n">
        <x:f>IF(C228="","",IFERROR(O228/INDEX('Borrowers'!$L$9:$L$108,MATCH(C228,'Borrowers'!$C$9:$C$108,0)),"Unavailable"))</x:f>
        <x:v>1.8637818093457945</x:v>
      </x:c>
      <x:c r="Q228" s="30" t="n">
        <x:f>IF(C228="","",IFERROR(IF(INDEX('Borrowers'!$Z$9:$Z$108,MATCH(C228,'Borrowers'!$C$9:$C$108,0))="Yes",1,IF(INDEX('Borrowers'!$P$9:$P$108,MATCH(C228,'Borrowers'!$C$9:$C$108,0))=0,0,MIN(1,INDEX('Borrowers'!$P$9:$P$108,MATCH(C228,'Borrowers'!$C$9:$C$108,0))*EXP(MIN(20,INDEX('Borrowers'!$V$9:$V$108,MATCH(C228,'Borrowers'!$C$9:$C$108,0))*V228))))),"Unavailable"))</x:f>
        <x:v>0.03642801966192341</x:v>
      </x:c>
      <x:c r="R228" s="30" t="n">
        <x:f>IF(C228="","",IFERROR(MIN(1,INDEX('Borrowers'!$Q$9:$Q$108,MATCH(C228,'Borrowers'!$C$9:$C$108,0))+(1-INDEX('Borrowers'!$Q$9:$Q$108,MATCH(C228,'Borrowers'!$C$9:$C$108,0)))*T228),"Unavailable"))</x:f>
        <x:v>0.44304640000000006</x:v>
      </x:c>
      <x:c r="S228" s="30" t="n">
        <x:f>IF(C228="","",IFERROR(SUMPRODUCT((Sites!$D$9:$D$108=C228)*Sites!$I$9:$I$108*Sites!$J$9:$J$108*Sites!$K$9:$K$108*(1-Sites!$L$9:$L$108)),"Unavailable"))</x:f>
        <x:v>0.272</x:v>
      </x:c>
      <x:c r="T228" s="30" t="n">
        <x:f>IF(C228="","",IFERROR(MIN(1,(SUMPRODUCT((Sites!$D$9:$D$108=C228)*Sites!$N$9:$N$108*Sites!$J$9:$J$108*Sites!$K$9:$K$108*(1-Sites!$L$9:$L$108)))*'Scenario Paths'!H27),"Unavailable"))</x:f>
        <x:v>0.00544</x:v>
      </x:c>
      <x:c r="U228" s="9" t="str">
        <x:f>IF(C228="","",IF(OR(INDEX('Borrowers'!$AA$9:$AA$108,MATCH(C228,'Borrowers'!$C$9:$C$108,0))&lt;&gt;"Ready",COUNTIF(Sites!$D$9:$D$108,C228)=0,COUNTIFS(Sites!$D$9:$D$108,C228,Sites!$Q$9:$Q$108,"&lt;&gt;Ready")&gt;0,'Scenario Paths'!$F$6&lt;&gt;"Ready"),"Review source inputs","Ready"))</x:f>
        <x:v>Ready</x:v>
      </x:c>
      <x:c r="V228" s="17" t="n">
        <x:f>IF(C228="","",IFERROR(MAX(-1,(G228-O228)/MAX(0.000001,G228)),"Unavailable"))</x:f>
        <x:v>0.4406040572230014</x:v>
      </x:c>
      <x:c r="W228" s="9" t="str">
        <x:f>IF(C228="","",IFERROR(INDEX('Borrowers'!$D$9:$D$108,MATCH(C228,'Borrowers'!$C$9:$C$108,0)),"Unavailable"))</x:f>
        <x:v>Demo Delta Agriculture</x:v>
      </x:c>
    </x:row>
    <x:row r="229" ht="26" customHeight="1">
      <x:c r="A229" s="1"/>
      <x:c r="B229" s="1"/>
      <x:c r="C229" s="9" t="str">
        <x:f>IF(Borrowers!C29="","",Borrowers!C29)</x:f>
        <x:v>B021</x:v>
      </x:c>
      <x:c r="D229" s="3" t="n">
        <x:v>3</x:v>
      </x:c>
      <x:c r="E229" s="9" t="n">
        <x:f>Settings!$F$18+2</x:f>
        <x:v>2029</x:v>
      </x:c>
      <x:c r="F229" s="9" t="str">
        <x:f>IF(C229="","",INDEX('Borrowers'!$F$9:$F$108,MATCH(C229,'Borrowers'!$C$9:$C$108,0)))</x:f>
        <x:v>Utilities</x:v>
      </x:c>
      <x:c r="G229" s="23" t="n">
        <x:f>IF(C229="","",IFERROR(INDEX('Borrowers'!$J$9:$J$108,MATCH(C229,'Borrowers'!$C$9:$C$108,0))-INDEX('Borrowers'!$K$9:$K$108,MATCH(C229,'Borrowers'!$C$9:$C$108,0)),"Unavailable"))</x:f>
        <x:v>37</x:v>
      </x:c>
      <x:c r="H229" s="23" t="n">
        <x:f>IF(C229="","",IFERROR(INDEX('Borrowers'!$I$9:$I$108,MATCH(C229,'Borrowers'!$C$9:$C$108,0))*INDEX('Borrowers'!$U$9:$U$108,MATCH(C229,'Borrowers'!$C$9:$C$108,0))*(IF(F229="Transport",'Scenario Paths'!H156,IF(F229="Technology",'Scenario Paths'!H150,IF(F229="Utilities",'Scenario Paths'!H144,IF(F229="Agriculture",'Scenario Paths'!H138,IF(F229="Manufacturing",'Scenario Paths'!H132,IF(F229="Healthcare",'Scenario Paths'!H126,IF(F229="Hospitality",'Scenario Paths'!H120,IF(F229="Property",'Scenario Paths'!H114,IF(F229="Food",'Scenario Paths'!H108,IF(F229="Logistics",'Scenario Paths'!H102,IF(F229="Solar",'Scenario Paths'!H96,IF(F229="Cement",'Scenario Paths'!H90,0))))))))))))),"Unavailable"))</x:f>
        <x:v>-3.96</x:v>
      </x:c>
      <x:c r="I229" s="23" t="n">
        <x:f>IF(C229="","",IFERROR(INDEX('Borrowers'!$R$9:$R$108,MATCH(C229,'Borrowers'!$C$9:$C$108,0))*(1-INDEX('Borrowers'!$W$9:$W$108,MATCH(C229,'Borrowers'!$C$9:$C$108,0))*'Scenario Paths'!H39)*'Scenario Paths'!H9/1000000*(1-INDEX('Borrowers'!$T$9:$T$108,MATCH(C229,'Borrowers'!$C$9:$C$108,0))),"Unavailable"))</x:f>
        <x:v>0.7332</x:v>
      </x:c>
      <x:c r="J229" s="23" t="n">
        <x:f>IF(C229="","",IFERROR(INDEX('Borrowers'!$I$9:$I$108,MATCH(C229,'Borrowers'!$C$9:$C$108,0))*INDEX('Borrowers'!$S$9:$S$108,MATCH(C229,'Borrowers'!$C$9:$C$108,0))*'Scenario Paths'!H15*(1-INDEX('Borrowers'!$T$9:$T$108,MATCH(C229,'Borrowers'!$C$9:$C$108,0))),"Unavailable"))</x:f>
        <x:v>2.7300000000000004</x:v>
      </x:c>
      <x:c r="K229" s="23" t="n">
        <x:f>IF(C229="","",IFERROR(INDEX('Borrowers'!$I$9:$I$108,MATCH(C229,'Borrowers'!$C$9:$C$108,0))*INDEX('Borrowers'!$U$9:$U$108,MATCH(C229,'Borrowers'!$C$9:$C$108,0))*'Scenario Paths'!H21*S229,"Unavailable"))</x:f>
        <x:v>0.16473599999999997</x:v>
      </x:c>
      <x:c r="L229" s="23" t="n">
        <x:f>IF(C229="","",IFERROR(SUMPRODUCT((Sites!$D$9:$D$108=C229)*Sites!$H$9:$H$108*Sites!$J$9:$J$108*Sites!$K$9:$K$108*(1-Sites!$L$9:$L$108)*(1-Sites!$M$9:$M$108))*'Scenario Paths'!H27,"Unavailable"))</x:f>
        <x:v>0.13728</x:v>
      </x:c>
      <x:c r="M229" s="23" t="n">
        <x:f>IF(C229="","",IFERROR(INDEX('Borrowers'!$J$9:$J$108,MATCH(C229,'Borrowers'!$C$9:$C$108,0))+H229-SUM(I229:L229),"Unavailable"))</x:f>
        <x:v>34.274784</x:v>
      </x:c>
      <x:c r="N229" s="23" t="n">
        <x:f>IF(C229="","",IFERROR(INDEX('Borrowers'!$I$9:$I$108,MATCH(C229,'Borrowers'!$C$9:$C$108,0))*'Scenario Paths'!H33,"Unavailable"))</x:f>
        <x:v>9</x:v>
      </x:c>
      <x:c r="O229" s="23" t="n">
        <x:f>IF(C229="","",IFERROR(M229-INDEX('Borrowers'!$K$9:$K$108,MATCH(C229,'Borrowers'!$C$9:$C$108,0))-N229,"Unavailable"))</x:f>
        <x:v>20.274783999999997</x:v>
      </x:c>
      <x:c r="P229" s="127" t="n">
        <x:f>IF(C229="","",IFERROR(O229/INDEX('Borrowers'!$L$9:$L$108,MATCH(C229,'Borrowers'!$C$9:$C$108,0)),"Unavailable"))</x:f>
        <x:v>1.8431621818181816</x:v>
      </x:c>
      <x:c r="Q229" s="30" t="n">
        <x:f>IF(C229="","",IFERROR(IF(INDEX('Borrowers'!$Z$9:$Z$108,MATCH(C229,'Borrowers'!$C$9:$C$108,0))="Yes",1,IF(INDEX('Borrowers'!$P$9:$P$108,MATCH(C229,'Borrowers'!$C$9:$C$108,0))=0,0,MIN(1,INDEX('Borrowers'!$P$9:$P$108,MATCH(C229,'Borrowers'!$C$9:$C$108,0))*EXP(MIN(20,INDEX('Borrowers'!$V$9:$V$108,MATCH(C229,'Borrowers'!$C$9:$C$108,0))*V229))))),"Unavailable"))</x:f>
        <x:v>0.04946703133956999</x:v>
      </x:c>
      <x:c r="R229" s="30" t="n">
        <x:f>IF(C229="","",IFERROR(MIN(1,INDEX('Borrowers'!$Q$9:$Q$108,MATCH(C229,'Borrowers'!$C$9:$C$108,0))+(1-INDEX('Borrowers'!$Q$9:$Q$108,MATCH(C229,'Borrowers'!$C$9:$C$108,0)))*T229),"Unavailable"))</x:f>
        <x:v>0.2814976</x:v>
      </x:c>
      <x:c r="S229" s="30" t="n">
        <x:f>IF(C229="","",IFERROR(SUMPRODUCT((Sites!$D$9:$D$108=C229)*Sites!$I$9:$I$108*Sites!$J$9:$J$108*Sites!$K$9:$K$108*(1-Sites!$L$9:$L$108)),"Unavailable"))</x:f>
        <x:v>0.104</x:v>
      </x:c>
      <x:c r="T229" s="30" t="n">
        <x:f>IF(C229="","",IFERROR(MIN(1,(SUMPRODUCT((Sites!$D$9:$D$108=C229)*Sites!$N$9:$N$108*Sites!$J$9:$J$108*Sites!$K$9:$K$108*(1-Sites!$L$9:$L$108)))*'Scenario Paths'!H27),"Unavailable"))</x:f>
        <x:v>0.00208</x:v>
      </x:c>
      <x:c r="U229" s="9" t="str">
        <x:f>IF(C229="","",IF(OR(INDEX('Borrowers'!$AA$9:$AA$108,MATCH(C229,'Borrowers'!$C$9:$C$108,0))&lt;&gt;"Ready",COUNTIF(Sites!$D$9:$D$108,C229)=0,COUNTIFS(Sites!$D$9:$D$108,C229,Sites!$Q$9:$Q$108,"&lt;&gt;Ready")&gt;0,'Scenario Paths'!$F$6&lt;&gt;"Ready"),"Review source inputs","Ready"))</x:f>
        <x:v>Ready</x:v>
      </x:c>
      <x:c r="V229" s="17" t="n">
        <x:f>IF(C229="","",IFERROR(MAX(-1,(G229-O229)/MAX(0.000001,G229)),"Unavailable"))</x:f>
        <x:v>0.45203286486486494</x:v>
      </x:c>
      <x:c r="W229" s="9" t="str">
        <x:f>IF(C229="","",IFERROR(INDEX('Borrowers'!$D$9:$D$108,MATCH(C229,'Borrowers'!$C$9:$C$108,0)),"Unavailable"))</x:f>
        <x:v>Demo Sinai Utilities</x:v>
      </x:c>
    </x:row>
    <x:row r="230" ht="26" customHeight="1">
      <x:c r="A230" s="1"/>
      <x:c r="B230" s="1"/>
      <x:c r="C230" s="9" t="str">
        <x:f>IF(Borrowers!C30="","",Borrowers!C30)</x:f>
        <x:v>B022</x:v>
      </x:c>
      <x:c r="D230" s="3" t="n">
        <x:v>3</x:v>
      </x:c>
      <x:c r="E230" s="9" t="n">
        <x:f>Settings!$F$18+2</x:f>
        <x:v>2029</x:v>
      </x:c>
      <x:c r="F230" s="9" t="str">
        <x:f>IF(C230="","",INDEX('Borrowers'!$F$9:$F$108,MATCH(C230,'Borrowers'!$C$9:$C$108,0)))</x:f>
        <x:v>Manufacturing</x:v>
      </x:c>
      <x:c r="G230" s="23" t="n">
        <x:f>IF(C230="","",IFERROR(INDEX('Borrowers'!$J$9:$J$108,MATCH(C230,'Borrowers'!$C$9:$C$108,0))-INDEX('Borrowers'!$K$9:$K$108,MATCH(C230,'Borrowers'!$C$9:$C$108,0)),"Unavailable"))</x:f>
        <x:v>38.35</x:v>
      </x:c>
      <x:c r="H230" s="23" t="n">
        <x:f>IF(C230="","",IFERROR(INDEX('Borrowers'!$I$9:$I$108,MATCH(C230,'Borrowers'!$C$9:$C$108,0))*INDEX('Borrowers'!$U$9:$U$108,MATCH(C230,'Borrowers'!$C$9:$C$108,0))*(IF(F230="Transport",'Scenario Paths'!H156,IF(F230="Technology",'Scenario Paths'!H150,IF(F230="Utilities",'Scenario Paths'!H144,IF(F230="Agriculture",'Scenario Paths'!H138,IF(F230="Manufacturing",'Scenario Paths'!H132,IF(F230="Healthcare",'Scenario Paths'!H126,IF(F230="Hospitality",'Scenario Paths'!H120,IF(F230="Property",'Scenario Paths'!H114,IF(F230="Food",'Scenario Paths'!H108,IF(F230="Logistics",'Scenario Paths'!H102,IF(F230="Solar",'Scenario Paths'!H96,IF(F230="Cement",'Scenario Paths'!H90,0))))))))))))),"Unavailable"))</x:f>
        <x:v>-2.9807999999999995</x:v>
      </x:c>
      <x:c r="I230" s="23" t="n">
        <x:f>IF(C230="","",IFERROR(INDEX('Borrowers'!$R$9:$R$108,MATCH(C230,'Borrowers'!$C$9:$C$108,0))*(1-INDEX('Borrowers'!$W$9:$W$108,MATCH(C230,'Borrowers'!$C$9:$C$108,0))*'Scenario Paths'!H39)*'Scenario Paths'!H9/1000000*(1-INDEX('Borrowers'!$T$9:$T$108,MATCH(C230,'Borrowers'!$C$9:$C$108,0))),"Unavailable"))</x:f>
        <x:v>0.64108</x:v>
      </x:c>
      <x:c r="J230" s="23" t="n">
        <x:f>IF(C230="","",IFERROR(INDEX('Borrowers'!$I$9:$I$108,MATCH(C230,'Borrowers'!$C$9:$C$108,0))*INDEX('Borrowers'!$S$9:$S$108,MATCH(C230,'Borrowers'!$C$9:$C$108,0))*'Scenario Paths'!H15*(1-INDEX('Borrowers'!$T$9:$T$108,MATCH(C230,'Borrowers'!$C$9:$C$108,0))),"Unavailable"))</x:f>
        <x:v>3.0739500000000004</x:v>
      </x:c>
      <x:c r="K230" s="23" t="n">
        <x:f>IF(C230="","",IFERROR(INDEX('Borrowers'!$I$9:$I$108,MATCH(C230,'Borrowers'!$C$9:$C$108,0))*INDEX('Borrowers'!$U$9:$U$108,MATCH(C230,'Borrowers'!$C$9:$C$108,0))*'Scenario Paths'!H21*S230,"Unavailable"))</x:f>
        <x:v>0.106831872</x:v>
      </x:c>
      <x:c r="L230" s="23" t="n">
        <x:f>IF(C230="","",IFERROR(SUMPRODUCT((Sites!$D$9:$D$108=C230)*Sites!$H$9:$H$108*Sites!$J$9:$J$108*Sites!$K$9:$K$108*(1-Sites!$L$9:$L$108)*(1-Sites!$M$9:$M$108))*'Scenario Paths'!H27,"Unavailable"))</x:f>
        <x:v>0.12221440000000001</x:v>
      </x:c>
      <x:c r="M230" s="23" t="n">
        <x:f>IF(C230="","",IFERROR(INDEX('Borrowers'!$J$9:$J$108,MATCH(C230,'Borrowers'!$C$9:$C$108,0))+H230-SUM(I230:L230),"Unavailable"))</x:f>
        <x:v>36.575123727999994</x:v>
      </x:c>
      <x:c r="N230" s="23" t="n">
        <x:f>IF(C230="","",IFERROR(INDEX('Borrowers'!$I$9:$I$108,MATCH(C230,'Borrowers'!$C$9:$C$108,0))*'Scenario Paths'!H33,"Unavailable"))</x:f>
        <x:v>9.315</x:v>
      </x:c>
      <x:c r="O230" s="23" t="n">
        <x:f>IF(C230="","",IFERROR(M230-INDEX('Borrowers'!$K$9:$K$108,MATCH(C230,'Borrowers'!$C$9:$C$108,0))-N230,"Unavailable"))</x:f>
        <x:v>22.110123727999998</x:v>
      </x:c>
      <x:c r="P230" s="127" t="n">
        <x:f>IF(C230="","",IFERROR(O230/INDEX('Borrowers'!$L$9:$L$108,MATCH(C230,'Borrowers'!$C$9:$C$108,0)),"Unavailable"))</x:f>
        <x:v>1.9566481175221235</x:v>
      </x:c>
      <x:c r="Q230" s="30" t="n">
        <x:f>IF(C230="","",IFERROR(IF(INDEX('Borrowers'!$Z$9:$Z$108,MATCH(C230,'Borrowers'!$C$9:$C$108,0))="Yes",1,IF(INDEX('Borrowers'!$P$9:$P$108,MATCH(C230,'Borrowers'!$C$9:$C$108,0))=0,0,MIN(1,INDEX('Borrowers'!$P$9:$P$108,MATCH(C230,'Borrowers'!$C$9:$C$108,0))*EXP(MIN(20,INDEX('Borrowers'!$V$9:$V$108,MATCH(C230,'Borrowers'!$C$9:$C$108,0))*V230))))),"Unavailable"))</x:f>
        <x:v>0.059071059138991945</x:v>
      </x:c>
      <x:c r="R230" s="30" t="n">
        <x:f>IF(C230="","",IFERROR(MIN(1,INDEX('Borrowers'!$Q$9:$Q$108,MATCH(C230,'Borrowers'!$C$9:$C$108,0))+(1-INDEX('Borrowers'!$Q$9:$Q$108,MATCH(C230,'Borrowers'!$C$9:$C$108,0)))*T230),"Unavailable"))</x:f>
        <x:v>0.32121856</x:v>
      </x:c>
      <x:c r="S230" s="30" t="n">
        <x:f>IF(C230="","",IFERROR(SUMPRODUCT((Sites!$D$9:$D$108=C230)*Sites!$I$9:$I$108*Sites!$J$9:$J$108*Sites!$K$9:$K$108*(1-Sites!$L$9:$L$108)),"Unavailable"))</x:f>
        <x:v>0.08960000000000001</x:v>
      </x:c>
      <x:c r="T230" s="30" t="n">
        <x:f>IF(C230="","",IFERROR(MIN(1,(SUMPRODUCT((Sites!$D$9:$D$108=C230)*Sites!$N$9:$N$108*Sites!$J$9:$J$108*Sites!$K$9:$K$108*(1-Sites!$L$9:$L$108)))*'Scenario Paths'!H27),"Unavailable"))</x:f>
        <x:v>0.0017920000000000002</x:v>
      </x:c>
      <x:c r="U230" s="9" t="str">
        <x:f>IF(C230="","",IF(OR(INDEX('Borrowers'!$AA$9:$AA$108,MATCH(C230,'Borrowers'!$C$9:$C$108,0))&lt;&gt;"Ready",COUNTIF(Sites!$D$9:$D$108,C230)=0,COUNTIFS(Sites!$D$9:$D$108,C230,Sites!$Q$9:$Q$108,"&lt;&gt;Ready")&gt;0,'Scenario Paths'!$F$6&lt;&gt;"Ready"),"Review source inputs","Ready"))</x:f>
        <x:v>Ready</x:v>
      </x:c>
      <x:c r="V230" s="17" t="n">
        <x:f>IF(C230="","",IFERROR(MAX(-1,(G230-O230)/MAX(0.000001,G230)),"Unavailable"))</x:f>
        <x:v>0.4234648310821383</x:v>
      </x:c>
      <x:c r="W230" s="9" t="str">
        <x:f>IF(C230="","",IFERROR(INDEX('Borrowers'!$D$9:$D$108,MATCH(C230,'Borrowers'!$C$9:$C$108,0)),"Unavailable"))</x:f>
        <x:v>Demo Petra Manufacturing</x:v>
      </x:c>
    </x:row>
    <x:row r="231" ht="26" customHeight="1">
      <x:c r="A231" s="1"/>
      <x:c r="B231" s="1"/>
      <x:c r="C231" s="9" t="str">
        <x:f>IF(Borrowers!C31="","",Borrowers!C31)</x:f>
        <x:v>B023</x:v>
      </x:c>
      <x:c r="D231" s="3" t="n">
        <x:v>3</x:v>
      </x:c>
      <x:c r="E231" s="9" t="n">
        <x:f>Settings!$F$18+2</x:f>
        <x:v>2029</x:v>
      </x:c>
      <x:c r="F231" s="9" t="str">
        <x:f>IF(C231="","",INDEX('Borrowers'!$F$9:$F$108,MATCH(C231,'Borrowers'!$C$9:$C$108,0)))</x:f>
        <x:v>Technology</x:v>
      </x:c>
      <x:c r="G231" s="23" t="n">
        <x:f>IF(C231="","",IFERROR(INDEX('Borrowers'!$J$9:$J$108,MATCH(C231,'Borrowers'!$C$9:$C$108,0))-INDEX('Borrowers'!$K$9:$K$108,MATCH(C231,'Borrowers'!$C$9:$C$108,0)),"Unavailable"))</x:f>
        <x:v>39.7</x:v>
      </x:c>
      <x:c r="H231" s="23" t="n">
        <x:f>IF(C231="","",IFERROR(INDEX('Borrowers'!$I$9:$I$108,MATCH(C231,'Borrowers'!$C$9:$C$108,0))*INDEX('Borrowers'!$U$9:$U$108,MATCH(C231,'Borrowers'!$C$9:$C$108,0))*(IF(F231="Transport",'Scenario Paths'!H156,IF(F231="Technology",'Scenario Paths'!H150,IF(F231="Utilities",'Scenario Paths'!H144,IF(F231="Agriculture",'Scenario Paths'!H138,IF(F231="Manufacturing",'Scenario Paths'!H132,IF(F231="Healthcare",'Scenario Paths'!H126,IF(F231="Hospitality",'Scenario Paths'!H120,IF(F231="Property",'Scenario Paths'!H114,IF(F231="Food",'Scenario Paths'!H108,IF(F231="Logistics",'Scenario Paths'!H102,IF(F231="Solar",'Scenario Paths'!H96,IF(F231="Cement",'Scenario Paths'!H90,0))))))))))))),"Unavailable"))</x:f>
        <x:v>-3.6594</x:v>
      </x:c>
      <x:c r="I231" s="23" t="n">
        <x:f>IF(C231="","",IFERROR(INDEX('Borrowers'!$R$9:$R$108,MATCH(C231,'Borrowers'!$C$9:$C$108,0))*(1-INDEX('Borrowers'!$W$9:$W$108,MATCH(C231,'Borrowers'!$C$9:$C$108,0))*'Scenario Paths'!H39)*'Scenario Paths'!H9/1000000*(1-INDEX('Borrowers'!$T$9:$T$108,MATCH(C231,'Borrowers'!$C$9:$C$108,0))),"Unavailable"))</x:f>
        <x:v>0.5414399999999999</x:v>
      </x:c>
      <x:c r="J231" s="23" t="n">
        <x:f>IF(C231="","",IFERROR(INDEX('Borrowers'!$I$9:$I$108,MATCH(C231,'Borrowers'!$C$9:$C$108,0))*INDEX('Borrowers'!$S$9:$S$108,MATCH(C231,'Borrowers'!$C$9:$C$108,0))*'Scenario Paths'!H15*(1-INDEX('Borrowers'!$T$9:$T$108,MATCH(C231,'Borrowers'!$C$9:$C$108,0))),"Unavailable"))</x:f>
        <x:v>3.1778999999999997</x:v>
      </x:c>
      <x:c r="K231" s="23" t="n">
        <x:f>IF(C231="","",IFERROR(INDEX('Borrowers'!$I$9:$I$108,MATCH(C231,'Borrowers'!$C$9:$C$108,0))*INDEX('Borrowers'!$U$9:$U$108,MATCH(C231,'Borrowers'!$C$9:$C$108,0))*'Scenario Paths'!H21*S231,"Unavailable"))</x:f>
        <x:v>0.25762176000000003</x:v>
      </x:c>
      <x:c r="L231" s="23" t="n">
        <x:f>IF(C231="","",IFERROR(SUMPRODUCT((Sites!$D$9:$D$108=C231)*Sites!$H$9:$H$108*Sites!$J$9:$J$108*Sites!$K$9:$K$108*(1-Sites!$L$9:$L$108)*(1-Sites!$M$9:$M$108))*'Scenario Paths'!H27,"Unavailable"))</x:f>
        <x:v>0.24780800000000003</x:v>
      </x:c>
      <x:c r="M231" s="23" t="n">
        <x:f>IF(C231="","",IFERROR(INDEX('Borrowers'!$J$9:$J$108,MATCH(C231,'Borrowers'!$C$9:$C$108,0))+H231-SUM(I231:L231),"Unavailable"))</x:f>
        <x:v>37.11583024</x:v>
      </x:c>
      <x:c r="N231" s="23" t="n">
        <x:f>IF(C231="","",IFERROR(INDEX('Borrowers'!$I$9:$I$108,MATCH(C231,'Borrowers'!$C$9:$C$108,0))*'Scenario Paths'!H33,"Unavailable"))</x:f>
        <x:v>9.629999999999999</x:v>
      </x:c>
      <x:c r="O231" s="23" t="n">
        <x:f>IF(C231="","",IFERROR(M231-INDEX('Borrowers'!$K$9:$K$108,MATCH(C231,'Borrowers'!$C$9:$C$108,0))-N231,"Unavailable"))</x:f>
        <x:v>22.18583024</x:v>
      </x:c>
      <x:c r="P231" s="127" t="n">
        <x:f>IF(C231="","",IFERROR(O231/INDEX('Borrowers'!$L$9:$L$108,MATCH(C231,'Borrowers'!$C$9:$C$108,0)),"Unavailable"))</x:f>
        <x:v>1.9125715724137933</x:v>
      </x:c>
      <x:c r="Q231" s="30" t="n">
        <x:f>IF(C231="","",IFERROR(IF(INDEX('Borrowers'!$Z$9:$Z$108,MATCH(C231,'Borrowers'!$C$9:$C$108,0))="Yes",1,IF(INDEX('Borrowers'!$P$9:$P$108,MATCH(C231,'Borrowers'!$C$9:$C$108,0))=0,0,MIN(1,INDEX('Borrowers'!$P$9:$P$108,MATCH(C231,'Borrowers'!$C$9:$C$108,0))*EXP(MIN(20,INDEX('Borrowers'!$V$9:$V$108,MATCH(C231,'Borrowers'!$C$9:$C$108,0))*V231))))),"Unavailable"))</x:f>
        <x:v>1</x:v>
      </x:c>
      <x:c r="R231" s="30" t="n">
        <x:f>IF(C231="","",IFERROR(MIN(1,INDEX('Borrowers'!$Q$9:$Q$108,MATCH(C231,'Borrowers'!$C$9:$C$108,0))+(1-INDEX('Borrowers'!$Q$9:$Q$108,MATCH(C231,'Borrowers'!$C$9:$C$108,0)))*T231),"Unavailable"))</x:f>
        <x:v>0.36225280000000004</x:v>
      </x:c>
      <x:c r="S231" s="30" t="n">
        <x:f>IF(C231="","",IFERROR(SUMPRODUCT((Sites!$D$9:$D$108=C231)*Sites!$I$9:$I$108*Sites!$J$9:$J$108*Sites!$K$9:$K$108*(1-Sites!$L$9:$L$108)),"Unavailable"))</x:f>
        <x:v>0.17600000000000002</x:v>
      </x:c>
      <x:c r="T231" s="30" t="n">
        <x:f>IF(C231="","",IFERROR(MIN(1,(SUMPRODUCT((Sites!$D$9:$D$108=C231)*Sites!$N$9:$N$108*Sites!$J$9:$J$108*Sites!$K$9:$K$108*(1-Sites!$L$9:$L$108)))*'Scenario Paths'!H27),"Unavailable"))</x:f>
        <x:v>0.0035200000000000006</x:v>
      </x:c>
      <x:c r="U231" s="9" t="str">
        <x:f>IF(C231="","",IF(OR(INDEX('Borrowers'!$AA$9:$AA$108,MATCH(C231,'Borrowers'!$C$9:$C$108,0))&lt;&gt;"Ready",COUNTIF(Sites!$D$9:$D$108,C231)=0,COUNTIFS(Sites!$D$9:$D$108,C231,Sites!$Q$9:$Q$108,"&lt;&gt;Ready")&gt;0,'Scenario Paths'!$F$6&lt;&gt;"Ready"),"Review source inputs","Ready"))</x:f>
        <x:v>Ready</x:v>
      </x:c>
      <x:c r="V231" s="17" t="n">
        <x:f>IF(C231="","",IFERROR(MAX(-1,(G231-O231)/MAX(0.000001,G231)),"Unavailable"))</x:f>
        <x:v>0.4411629662468514</x:v>
      </x:c>
      <x:c r="W231" s="9" t="str">
        <x:f>IF(C231="","",IFERROR(INDEX('Borrowers'!$D$9:$D$108,MATCH(C231,'Borrowers'!$C$9:$C$108,0)),"Unavailable"))</x:f>
        <x:v>Demo Gulf Technology</x:v>
      </x:c>
    </x:row>
    <x:row r="232" ht="26" customHeight="1">
      <x:c r="A232" s="1"/>
      <x:c r="B232" s="1"/>
      <x:c r="C232" s="9" t="str">
        <x:f>IF(Borrowers!C32="","",Borrowers!C32)</x:f>
        <x:v>B024</x:v>
      </x:c>
      <x:c r="D232" s="3" t="n">
        <x:v>3</x:v>
      </x:c>
      <x:c r="E232" s="9" t="n">
        <x:f>Settings!$F$18+2</x:f>
        <x:v>2029</x:v>
      </x:c>
      <x:c r="F232" s="9" t="str">
        <x:f>IF(C232="","",INDEX('Borrowers'!$F$9:$F$108,MATCH(C232,'Borrowers'!$C$9:$C$108,0)))</x:f>
        <x:v>Transport</x:v>
      </x:c>
      <x:c r="G232" s="23" t="n">
        <x:f>IF(C232="","",IFERROR(INDEX('Borrowers'!$J$9:$J$108,MATCH(C232,'Borrowers'!$C$9:$C$108,0))-INDEX('Borrowers'!$K$9:$K$108,MATCH(C232,'Borrowers'!$C$9:$C$108,0)),"Unavailable"))</x:f>
        <x:v>41.05</x:v>
      </x:c>
      <x:c r="H232" s="23" t="n">
        <x:f>IF(C232="","",IFERROR(INDEX('Borrowers'!$I$9:$I$108,MATCH(C232,'Borrowers'!$C$9:$C$108,0))*INDEX('Borrowers'!$U$9:$U$108,MATCH(C232,'Borrowers'!$C$9:$C$108,0))*(IF(F232="Transport",'Scenario Paths'!H156,IF(F232="Technology",'Scenario Paths'!H150,IF(F232="Utilities",'Scenario Paths'!H144,IF(F232="Agriculture",'Scenario Paths'!H138,IF(F232="Manufacturing",'Scenario Paths'!H132,IF(F232="Healthcare",'Scenario Paths'!H126,IF(F232="Hospitality",'Scenario Paths'!H120,IF(F232="Property",'Scenario Paths'!H114,IF(F232="Food",'Scenario Paths'!H108,IF(F232="Logistics",'Scenario Paths'!H102,IF(F232="Solar",'Scenario Paths'!H96,IF(F232="Cement",'Scenario Paths'!H90,0))))))))))))),"Unavailable"))</x:f>
        <x:v>-4.3758</x:v>
      </x:c>
      <x:c r="I232" s="23" t="n">
        <x:f>IF(C232="","",IFERROR(INDEX('Borrowers'!$R$9:$R$108,MATCH(C232,'Borrowers'!$C$9:$C$108,0))*(1-INDEX('Borrowers'!$W$9:$W$108,MATCH(C232,'Borrowers'!$C$9:$C$108,0))*'Scenario Paths'!H39)*'Scenario Paths'!H9/1000000*(1-INDEX('Borrowers'!$T$9:$T$108,MATCH(C232,'Borrowers'!$C$9:$C$108,0))),"Unavailable"))</x:f>
        <x:v>0.43427999999999994</x:v>
      </x:c>
      <x:c r="J232" s="23" t="n">
        <x:f>IF(C232="","",IFERROR(INDEX('Borrowers'!$I$9:$I$108,MATCH(C232,'Borrowers'!$C$9:$C$108,0))*INDEX('Borrowers'!$S$9:$S$108,MATCH(C232,'Borrowers'!$C$9:$C$108,0))*'Scenario Paths'!H15*(1-INDEX('Borrowers'!$T$9:$T$108,MATCH(C232,'Borrowers'!$C$9:$C$108,0))),"Unavailable"))</x:f>
        <x:v>3.01665</x:v>
      </x:c>
      <x:c r="K232" s="23" t="n">
        <x:f>IF(C232="","",IFERROR(INDEX('Borrowers'!$I$9:$I$108,MATCH(C232,'Borrowers'!$C$9:$C$108,0))*INDEX('Borrowers'!$U$9:$U$108,MATCH(C232,'Borrowers'!$C$9:$C$108,0))*'Scenario Paths'!H21*S232,"Unavailable"))</x:f>
        <x:v>0.509693184</x:v>
      </x:c>
      <x:c r="L232" s="23" t="n">
        <x:f>IF(C232="","",IFERROR(SUMPRODUCT((Sites!$D$9:$D$108=C232)*Sites!$H$9:$H$108*Sites!$J$9:$J$108*Sites!$K$9:$K$108*(1-Sites!$L$9:$L$108)*(1-Sites!$M$9:$M$108))*'Scenario Paths'!H27,"Unavailable"))</x:f>
        <x:v>0.42282240000000004</x:v>
      </x:c>
      <x:c r="M232" s="23" t="n">
        <x:f>IF(C232="","",IFERROR(INDEX('Borrowers'!$J$9:$J$108,MATCH(C232,'Borrowers'!$C$9:$C$108,0))+H232-SUM(I232:L232),"Unavailable"))</x:f>
        <x:v>37.740754416</x:v>
      </x:c>
      <x:c r="N232" s="23" t="n">
        <x:f>IF(C232="","",IFERROR(INDEX('Borrowers'!$I$9:$I$108,MATCH(C232,'Borrowers'!$C$9:$C$108,0))*'Scenario Paths'!H33,"Unavailable"))</x:f>
        <x:v>9.945</x:v>
      </x:c>
      <x:c r="O232" s="23" t="n">
        <x:f>IF(C232="","",IFERROR(M232-INDEX('Borrowers'!$K$9:$K$108,MATCH(C232,'Borrowers'!$C$9:$C$108,0))-N232,"Unavailable"))</x:f>
        <x:v>22.345754416</x:v>
      </x:c>
      <x:c r="P232" s="127" t="n">
        <x:f>IF(C232="","",IFERROR(O232/INDEX('Borrowers'!$L$9:$L$108,MATCH(C232,'Borrowers'!$C$9:$C$108,0)),"Unavailable"))</x:f>
        <x:v>1.877794488739496</x:v>
      </x:c>
      <x:c r="Q232" s="30" t="n">
        <x:f>IF(C232="","",IFERROR(IF(INDEX('Borrowers'!$Z$9:$Z$108,MATCH(C232,'Borrowers'!$C$9:$C$108,0))="Yes",1,IF(INDEX('Borrowers'!$P$9:$P$108,MATCH(C232,'Borrowers'!$C$9:$C$108,0))=0,0,MIN(1,INDEX('Borrowers'!$P$9:$P$108,MATCH(C232,'Borrowers'!$C$9:$C$108,0))*EXP(MIN(20,INDEX('Borrowers'!$V$9:$V$108,MATCH(C232,'Borrowers'!$C$9:$C$108,0))*V232))))),"Unavailable"))</x:f>
        <x:v>0.08706912408408475</x:v>
      </x:c>
      <x:c r="R232" s="30" t="n">
        <x:f>IF(C232="","",IFERROR(MIN(1,INDEX('Borrowers'!$Q$9:$Q$108,MATCH(C232,'Borrowers'!$C$9:$C$108,0))+(1-INDEX('Borrowers'!$Q$9:$Q$108,MATCH(C232,'Borrowers'!$C$9:$C$108,0)))*T232),"Unavailable"))</x:f>
        <x:v>0.40349440000000003</x:v>
      </x:c>
      <x:c r="S232" s="30" t="n">
        <x:f>IF(C232="","",IFERROR(SUMPRODUCT((Sites!$D$9:$D$108=C232)*Sites!$I$9:$I$108*Sites!$J$9:$J$108*Sites!$K$9:$K$108*(1-Sites!$L$9:$L$108)),"Unavailable"))</x:f>
        <x:v>0.2912</x:v>
      </x:c>
      <x:c r="T232" s="30" t="n">
        <x:f>IF(C232="","",IFERROR(MIN(1,(SUMPRODUCT((Sites!$D$9:$D$108=C232)*Sites!$N$9:$N$108*Sites!$J$9:$J$108*Sites!$K$9:$K$108*(1-Sites!$L$9:$L$108)))*'Scenario Paths'!H27),"Unavailable"))</x:f>
        <x:v>0.005824</x:v>
      </x:c>
      <x:c r="U232" s="9" t="str">
        <x:f>IF(C232="","",IF(OR(INDEX('Borrowers'!$AA$9:$AA$108,MATCH(C232,'Borrowers'!$C$9:$C$108,0))&lt;&gt;"Ready",COUNTIF(Sites!$D$9:$D$108,C232)=0,COUNTIFS(Sites!$D$9:$D$108,C232,Sites!$Q$9:$Q$108,"&lt;&gt;Ready")&gt;0,'Scenario Paths'!$F$6&lt;&gt;"Ready"),"Review source inputs","Ready"))</x:f>
        <x:v>Ready</x:v>
      </x:c>
      <x:c r="V232" s="17" t="n">
        <x:f>IF(C232="","",IFERROR(MAX(-1,(G232-O232)/MAX(0.000001,G232)),"Unavailable"))</x:f>
        <x:v>0.45564544662606576</x:v>
      </x:c>
      <x:c r="W232" s="9" t="str">
        <x:f>IF(C232="","",IFERROR(INDEX('Borrowers'!$D$9:$D$108,MATCH(C232,'Borrowers'!$C$9:$C$108,0)),"Unavailable"))</x:f>
        <x:v>Demo Cairo Mobility</x:v>
      </x:c>
    </x:row>
    <x:row r="233" ht="26" customHeight="1">
      <x:c r="A233" s="1"/>
      <x:c r="B233" s="1"/>
      <x:c r="C233" s="9" t="str">
        <x:f>IF(Borrowers!C33="","",Borrowers!C33)</x:f>
      </x:c>
      <x:c r="D233" s="3" t="n">
        <x:v>3</x:v>
      </x:c>
      <x:c r="E233" s="9" t="n">
        <x:f>Settings!$F$18+2</x:f>
        <x:v>2029</x:v>
      </x:c>
      <x:c r="F233" s="9" t="str">
        <x:f>IF(C233="","",INDEX('Borrowers'!$F$9:$F$108,MATCH(C233,'Borrowers'!$C$9:$C$108,0)))</x:f>
      </x:c>
      <x:c r="G233" s="23" t="str">
        <x:f>IF(C233="","",IFERROR(INDEX('Borrowers'!$J$9:$J$108,MATCH(C233,'Borrowers'!$C$9:$C$108,0))-INDEX('Borrowers'!$K$9:$K$108,MATCH(C233,'Borrowers'!$C$9:$C$108,0)),"Unavailable"))</x:f>
      </x:c>
      <x:c r="H233" s="23" t="str">
        <x:f>IF(C233="","",IFERROR(INDEX('Borrowers'!$I$9:$I$108,MATCH(C233,'Borrowers'!$C$9:$C$108,0))*INDEX('Borrowers'!$U$9:$U$108,MATCH(C233,'Borrowers'!$C$9:$C$108,0))*(IF(F233="Transport",'Scenario Paths'!H156,IF(F233="Technology",'Scenario Paths'!H150,IF(F233="Utilities",'Scenario Paths'!H144,IF(F233="Agriculture",'Scenario Paths'!H138,IF(F233="Manufacturing",'Scenario Paths'!H132,IF(F233="Healthcare",'Scenario Paths'!H126,IF(F233="Hospitality",'Scenario Paths'!H120,IF(F233="Property",'Scenario Paths'!H114,IF(F233="Food",'Scenario Paths'!H108,IF(F233="Logistics",'Scenario Paths'!H102,IF(F233="Solar",'Scenario Paths'!H96,IF(F233="Cement",'Scenario Paths'!H90,0))))))))))))),"Unavailable"))</x:f>
      </x:c>
      <x:c r="I233" s="23" t="str">
        <x:f>IF(C233="","",IFERROR(INDEX('Borrowers'!$R$9:$R$108,MATCH(C233,'Borrowers'!$C$9:$C$108,0))*(1-INDEX('Borrowers'!$W$9:$W$108,MATCH(C233,'Borrowers'!$C$9:$C$108,0))*'Scenario Paths'!H39)*'Scenario Paths'!H9/1000000*(1-INDEX('Borrowers'!$T$9:$T$108,MATCH(C233,'Borrowers'!$C$9:$C$108,0))),"Unavailable"))</x:f>
      </x:c>
      <x:c r="J233" s="23" t="str">
        <x:f>IF(C233="","",IFERROR(INDEX('Borrowers'!$I$9:$I$108,MATCH(C233,'Borrowers'!$C$9:$C$108,0))*INDEX('Borrowers'!$S$9:$S$108,MATCH(C233,'Borrowers'!$C$9:$C$108,0))*'Scenario Paths'!H15*(1-INDEX('Borrowers'!$T$9:$T$108,MATCH(C233,'Borrowers'!$C$9:$C$108,0))),"Unavailable"))</x:f>
      </x:c>
      <x:c r="K233" s="23" t="str">
        <x:f>IF(C233="","",IFERROR(INDEX('Borrowers'!$I$9:$I$108,MATCH(C233,'Borrowers'!$C$9:$C$108,0))*INDEX('Borrowers'!$U$9:$U$108,MATCH(C233,'Borrowers'!$C$9:$C$108,0))*'Scenario Paths'!H21*S233,"Unavailable"))</x:f>
      </x:c>
      <x:c r="L233" s="23" t="str">
        <x:f>IF(C233="","",IFERROR(SUMPRODUCT((Sites!$D$9:$D$108=C233)*Sites!$H$9:$H$108*Sites!$J$9:$J$108*Sites!$K$9:$K$108*(1-Sites!$L$9:$L$108)*(1-Sites!$M$9:$M$108))*'Scenario Paths'!H27,"Unavailable"))</x:f>
      </x:c>
      <x:c r="M233" s="23" t="str">
        <x:f>IF(C233="","",IFERROR(INDEX('Borrowers'!$J$9:$J$108,MATCH(C233,'Borrowers'!$C$9:$C$108,0))+H233-SUM(I233:L233),"Unavailable"))</x:f>
      </x:c>
      <x:c r="N233" s="23" t="str">
        <x:f>IF(C233="","",IFERROR(INDEX('Borrowers'!$I$9:$I$108,MATCH(C233,'Borrowers'!$C$9:$C$108,0))*'Scenario Paths'!H33,"Unavailable"))</x:f>
      </x:c>
      <x:c r="O233" s="23" t="str">
        <x:f>IF(C233="","",IFERROR(M233-INDEX('Borrowers'!$K$9:$K$108,MATCH(C233,'Borrowers'!$C$9:$C$108,0))-N233,"Unavailable"))</x:f>
      </x:c>
      <x:c r="P233" s="127" t="str">
        <x:f>IF(C233="","",IFERROR(O233/INDEX('Borrowers'!$L$9:$L$108,MATCH(C233,'Borrowers'!$C$9:$C$108,0)),"Unavailable"))</x:f>
      </x:c>
      <x:c r="Q233" s="30" t="str">
        <x:f>IF(C233="","",IFERROR(IF(INDEX('Borrowers'!$Z$9:$Z$108,MATCH(C233,'Borrowers'!$C$9:$C$108,0))="Yes",1,IF(INDEX('Borrowers'!$P$9:$P$108,MATCH(C233,'Borrowers'!$C$9:$C$108,0))=0,0,MIN(1,INDEX('Borrowers'!$P$9:$P$108,MATCH(C233,'Borrowers'!$C$9:$C$108,0))*EXP(MIN(20,INDEX('Borrowers'!$V$9:$V$108,MATCH(C233,'Borrowers'!$C$9:$C$108,0))*V233))))),"Unavailable"))</x:f>
      </x:c>
      <x:c r="R233" s="30" t="str">
        <x:f>IF(C233="","",IFERROR(MIN(1,INDEX('Borrowers'!$Q$9:$Q$108,MATCH(C233,'Borrowers'!$C$9:$C$108,0))+(1-INDEX('Borrowers'!$Q$9:$Q$108,MATCH(C233,'Borrowers'!$C$9:$C$108,0)))*T233),"Unavailable"))</x:f>
      </x:c>
      <x:c r="S233" s="30" t="str">
        <x:f>IF(C233="","",IFERROR(SUMPRODUCT((Sites!$D$9:$D$108=C233)*Sites!$I$9:$I$108*Sites!$J$9:$J$108*Sites!$K$9:$K$108*(1-Sites!$L$9:$L$108)),"Unavailable"))</x:f>
      </x:c>
      <x:c r="T233" s="30" t="str">
        <x:f>IF(C233="","",IFERROR(MIN(1,(SUMPRODUCT((Sites!$D$9:$D$108=C233)*Sites!$N$9:$N$108*Sites!$J$9:$J$108*Sites!$K$9:$K$108*(1-Sites!$L$9:$L$108)))*'Scenario Paths'!H27),"Unavailable"))</x:f>
      </x:c>
      <x:c r="U233" s="9" t="str">
        <x:f>IF(C233="","",IF(OR(INDEX('Borrowers'!$AA$9:$AA$108,MATCH(C233,'Borrowers'!$C$9:$C$108,0))&lt;&gt;"Ready",COUNTIF(Sites!$D$9:$D$108,C233)=0,COUNTIFS(Sites!$D$9:$D$108,C233,Sites!$Q$9:$Q$108,"&lt;&gt;Ready")&gt;0,'Scenario Paths'!$F$6&lt;&gt;"Ready"),"Review source inputs","Ready"))</x:f>
      </x:c>
      <x:c r="V233" s="17" t="str">
        <x:f>IF(C233="","",IFERROR(MAX(-1,(G233-O233)/MAX(0.000001,G233)),"Unavailable"))</x:f>
      </x:c>
      <x:c r="W233" s="9" t="str">
        <x:f>IF(C233="","",IFERROR(INDEX('Borrowers'!$D$9:$D$108,MATCH(C233,'Borrowers'!$C$9:$C$108,0)),"Unavailable"))</x:f>
      </x:c>
    </x:row>
    <x:row r="234" ht="26" customHeight="1">
      <x:c r="A234" s="1"/>
      <x:c r="B234" s="1"/>
      <x:c r="C234" s="9" t="str">
        <x:f>IF(Borrowers!C34="","",Borrowers!C34)</x:f>
      </x:c>
      <x:c r="D234" s="3" t="n">
        <x:v>3</x:v>
      </x:c>
      <x:c r="E234" s="9" t="n">
        <x:f>Settings!$F$18+2</x:f>
        <x:v>2029</x:v>
      </x:c>
      <x:c r="F234" s="9" t="str">
        <x:f>IF(C234="","",INDEX('Borrowers'!$F$9:$F$108,MATCH(C234,'Borrowers'!$C$9:$C$108,0)))</x:f>
      </x:c>
      <x:c r="G234" s="23" t="str">
        <x:f>IF(C234="","",IFERROR(INDEX('Borrowers'!$J$9:$J$108,MATCH(C234,'Borrowers'!$C$9:$C$108,0))-INDEX('Borrowers'!$K$9:$K$108,MATCH(C234,'Borrowers'!$C$9:$C$108,0)),"Unavailable"))</x:f>
      </x:c>
      <x:c r="H234" s="23" t="str">
        <x:f>IF(C234="","",IFERROR(INDEX('Borrowers'!$I$9:$I$108,MATCH(C234,'Borrowers'!$C$9:$C$108,0))*INDEX('Borrowers'!$U$9:$U$108,MATCH(C234,'Borrowers'!$C$9:$C$108,0))*(IF(F234="Transport",'Scenario Paths'!H156,IF(F234="Technology",'Scenario Paths'!H150,IF(F234="Utilities",'Scenario Paths'!H144,IF(F234="Agriculture",'Scenario Paths'!H138,IF(F234="Manufacturing",'Scenario Paths'!H132,IF(F234="Healthcare",'Scenario Paths'!H126,IF(F234="Hospitality",'Scenario Paths'!H120,IF(F234="Property",'Scenario Paths'!H114,IF(F234="Food",'Scenario Paths'!H108,IF(F234="Logistics",'Scenario Paths'!H102,IF(F234="Solar",'Scenario Paths'!H96,IF(F234="Cement",'Scenario Paths'!H90,0))))))))))))),"Unavailable"))</x:f>
      </x:c>
      <x:c r="I234" s="23" t="str">
        <x:f>IF(C234="","",IFERROR(INDEX('Borrowers'!$R$9:$R$108,MATCH(C234,'Borrowers'!$C$9:$C$108,0))*(1-INDEX('Borrowers'!$W$9:$W$108,MATCH(C234,'Borrowers'!$C$9:$C$108,0))*'Scenario Paths'!H39)*'Scenario Paths'!H9/1000000*(1-INDEX('Borrowers'!$T$9:$T$108,MATCH(C234,'Borrowers'!$C$9:$C$108,0))),"Unavailable"))</x:f>
      </x:c>
      <x:c r="J234" s="23" t="str">
        <x:f>IF(C234="","",IFERROR(INDEX('Borrowers'!$I$9:$I$108,MATCH(C234,'Borrowers'!$C$9:$C$108,0))*INDEX('Borrowers'!$S$9:$S$108,MATCH(C234,'Borrowers'!$C$9:$C$108,0))*'Scenario Paths'!H15*(1-INDEX('Borrowers'!$T$9:$T$108,MATCH(C234,'Borrowers'!$C$9:$C$108,0))),"Unavailable"))</x:f>
      </x:c>
      <x:c r="K234" s="23" t="str">
        <x:f>IF(C234="","",IFERROR(INDEX('Borrowers'!$I$9:$I$108,MATCH(C234,'Borrowers'!$C$9:$C$108,0))*INDEX('Borrowers'!$U$9:$U$108,MATCH(C234,'Borrowers'!$C$9:$C$108,0))*'Scenario Paths'!H21*S234,"Unavailable"))</x:f>
      </x:c>
      <x:c r="L234" s="23" t="str">
        <x:f>IF(C234="","",IFERROR(SUMPRODUCT((Sites!$D$9:$D$108=C234)*Sites!$H$9:$H$108*Sites!$J$9:$J$108*Sites!$K$9:$K$108*(1-Sites!$L$9:$L$108)*(1-Sites!$M$9:$M$108))*'Scenario Paths'!H27,"Unavailable"))</x:f>
      </x:c>
      <x:c r="M234" s="23" t="str">
        <x:f>IF(C234="","",IFERROR(INDEX('Borrowers'!$J$9:$J$108,MATCH(C234,'Borrowers'!$C$9:$C$108,0))+H234-SUM(I234:L234),"Unavailable"))</x:f>
      </x:c>
      <x:c r="N234" s="23" t="str">
        <x:f>IF(C234="","",IFERROR(INDEX('Borrowers'!$I$9:$I$108,MATCH(C234,'Borrowers'!$C$9:$C$108,0))*'Scenario Paths'!H33,"Unavailable"))</x:f>
      </x:c>
      <x:c r="O234" s="23" t="str">
        <x:f>IF(C234="","",IFERROR(M234-INDEX('Borrowers'!$K$9:$K$108,MATCH(C234,'Borrowers'!$C$9:$C$108,0))-N234,"Unavailable"))</x:f>
      </x:c>
      <x:c r="P234" s="127" t="str">
        <x:f>IF(C234="","",IFERROR(O234/INDEX('Borrowers'!$L$9:$L$108,MATCH(C234,'Borrowers'!$C$9:$C$108,0)),"Unavailable"))</x:f>
      </x:c>
      <x:c r="Q234" s="30" t="str">
        <x:f>IF(C234="","",IFERROR(IF(INDEX('Borrowers'!$Z$9:$Z$108,MATCH(C234,'Borrowers'!$C$9:$C$108,0))="Yes",1,IF(INDEX('Borrowers'!$P$9:$P$108,MATCH(C234,'Borrowers'!$C$9:$C$108,0))=0,0,MIN(1,INDEX('Borrowers'!$P$9:$P$108,MATCH(C234,'Borrowers'!$C$9:$C$108,0))*EXP(MIN(20,INDEX('Borrowers'!$V$9:$V$108,MATCH(C234,'Borrowers'!$C$9:$C$108,0))*V234))))),"Unavailable"))</x:f>
      </x:c>
      <x:c r="R234" s="30" t="str">
        <x:f>IF(C234="","",IFERROR(MIN(1,INDEX('Borrowers'!$Q$9:$Q$108,MATCH(C234,'Borrowers'!$C$9:$C$108,0))+(1-INDEX('Borrowers'!$Q$9:$Q$108,MATCH(C234,'Borrowers'!$C$9:$C$108,0)))*T234),"Unavailable"))</x:f>
      </x:c>
      <x:c r="S234" s="30" t="str">
        <x:f>IF(C234="","",IFERROR(SUMPRODUCT((Sites!$D$9:$D$108=C234)*Sites!$I$9:$I$108*Sites!$J$9:$J$108*Sites!$K$9:$K$108*(1-Sites!$L$9:$L$108)),"Unavailable"))</x:f>
      </x:c>
      <x:c r="T234" s="30" t="str">
        <x:f>IF(C234="","",IFERROR(MIN(1,(SUMPRODUCT((Sites!$D$9:$D$108=C234)*Sites!$N$9:$N$108*Sites!$J$9:$J$108*Sites!$K$9:$K$108*(1-Sites!$L$9:$L$108)))*'Scenario Paths'!H27),"Unavailable"))</x:f>
      </x:c>
      <x:c r="U234" s="9" t="str">
        <x:f>IF(C234="","",IF(OR(INDEX('Borrowers'!$AA$9:$AA$108,MATCH(C234,'Borrowers'!$C$9:$C$108,0))&lt;&gt;"Ready",COUNTIF(Sites!$D$9:$D$108,C234)=0,COUNTIFS(Sites!$D$9:$D$108,C234,Sites!$Q$9:$Q$108,"&lt;&gt;Ready")&gt;0,'Scenario Paths'!$F$6&lt;&gt;"Ready"),"Review source inputs","Ready"))</x:f>
      </x:c>
      <x:c r="V234" s="17" t="str">
        <x:f>IF(C234="","",IFERROR(MAX(-1,(G234-O234)/MAX(0.000001,G234)),"Unavailable"))</x:f>
      </x:c>
      <x:c r="W234" s="9" t="str">
        <x:f>IF(C234="","",IFERROR(INDEX('Borrowers'!$D$9:$D$108,MATCH(C234,'Borrowers'!$C$9:$C$108,0)),"Unavailable"))</x:f>
      </x:c>
    </x:row>
    <x:row r="235" ht="26" customHeight="1">
      <x:c r="A235" s="1"/>
      <x:c r="B235" s="1"/>
      <x:c r="C235" s="9" t="str">
        <x:f>IF(Borrowers!C35="","",Borrowers!C35)</x:f>
      </x:c>
      <x:c r="D235" s="3" t="n">
        <x:v>3</x:v>
      </x:c>
      <x:c r="E235" s="9" t="n">
        <x:f>Settings!$F$18+2</x:f>
        <x:v>2029</x:v>
      </x:c>
      <x:c r="F235" s="9" t="str">
        <x:f>IF(C235="","",INDEX('Borrowers'!$F$9:$F$108,MATCH(C235,'Borrowers'!$C$9:$C$108,0)))</x:f>
      </x:c>
      <x:c r="G235" s="23" t="str">
        <x:f>IF(C235="","",IFERROR(INDEX('Borrowers'!$J$9:$J$108,MATCH(C235,'Borrowers'!$C$9:$C$108,0))-INDEX('Borrowers'!$K$9:$K$108,MATCH(C235,'Borrowers'!$C$9:$C$108,0)),"Unavailable"))</x:f>
      </x:c>
      <x:c r="H235" s="23" t="str">
        <x:f>IF(C235="","",IFERROR(INDEX('Borrowers'!$I$9:$I$108,MATCH(C235,'Borrowers'!$C$9:$C$108,0))*INDEX('Borrowers'!$U$9:$U$108,MATCH(C235,'Borrowers'!$C$9:$C$108,0))*(IF(F235="Transport",'Scenario Paths'!H156,IF(F235="Technology",'Scenario Paths'!H150,IF(F235="Utilities",'Scenario Paths'!H144,IF(F235="Agriculture",'Scenario Paths'!H138,IF(F235="Manufacturing",'Scenario Paths'!H132,IF(F235="Healthcare",'Scenario Paths'!H126,IF(F235="Hospitality",'Scenario Paths'!H120,IF(F235="Property",'Scenario Paths'!H114,IF(F235="Food",'Scenario Paths'!H108,IF(F235="Logistics",'Scenario Paths'!H102,IF(F235="Solar",'Scenario Paths'!H96,IF(F235="Cement",'Scenario Paths'!H90,0))))))))))))),"Unavailable"))</x:f>
      </x:c>
      <x:c r="I235" s="23" t="str">
        <x:f>IF(C235="","",IFERROR(INDEX('Borrowers'!$R$9:$R$108,MATCH(C235,'Borrowers'!$C$9:$C$108,0))*(1-INDEX('Borrowers'!$W$9:$W$108,MATCH(C235,'Borrowers'!$C$9:$C$108,0))*'Scenario Paths'!H39)*'Scenario Paths'!H9/1000000*(1-INDEX('Borrowers'!$T$9:$T$108,MATCH(C235,'Borrowers'!$C$9:$C$108,0))),"Unavailable"))</x:f>
      </x:c>
      <x:c r="J235" s="23" t="str">
        <x:f>IF(C235="","",IFERROR(INDEX('Borrowers'!$I$9:$I$108,MATCH(C235,'Borrowers'!$C$9:$C$108,0))*INDEX('Borrowers'!$S$9:$S$108,MATCH(C235,'Borrowers'!$C$9:$C$108,0))*'Scenario Paths'!H15*(1-INDEX('Borrowers'!$T$9:$T$108,MATCH(C235,'Borrowers'!$C$9:$C$108,0))),"Unavailable"))</x:f>
      </x:c>
      <x:c r="K235" s="23" t="str">
        <x:f>IF(C235="","",IFERROR(INDEX('Borrowers'!$I$9:$I$108,MATCH(C235,'Borrowers'!$C$9:$C$108,0))*INDEX('Borrowers'!$U$9:$U$108,MATCH(C235,'Borrowers'!$C$9:$C$108,0))*'Scenario Paths'!H21*S235,"Unavailable"))</x:f>
      </x:c>
      <x:c r="L235" s="23" t="str">
        <x:f>IF(C235="","",IFERROR(SUMPRODUCT((Sites!$D$9:$D$108=C235)*Sites!$H$9:$H$108*Sites!$J$9:$J$108*Sites!$K$9:$K$108*(1-Sites!$L$9:$L$108)*(1-Sites!$M$9:$M$108))*'Scenario Paths'!H27,"Unavailable"))</x:f>
      </x:c>
      <x:c r="M235" s="23" t="str">
        <x:f>IF(C235="","",IFERROR(INDEX('Borrowers'!$J$9:$J$108,MATCH(C235,'Borrowers'!$C$9:$C$108,0))+H235-SUM(I235:L235),"Unavailable"))</x:f>
      </x:c>
      <x:c r="N235" s="23" t="str">
        <x:f>IF(C235="","",IFERROR(INDEX('Borrowers'!$I$9:$I$108,MATCH(C235,'Borrowers'!$C$9:$C$108,0))*'Scenario Paths'!H33,"Unavailable"))</x:f>
      </x:c>
      <x:c r="O235" s="23" t="str">
        <x:f>IF(C235="","",IFERROR(M235-INDEX('Borrowers'!$K$9:$K$108,MATCH(C235,'Borrowers'!$C$9:$C$108,0))-N235,"Unavailable"))</x:f>
      </x:c>
      <x:c r="P235" s="127" t="str">
        <x:f>IF(C235="","",IFERROR(O235/INDEX('Borrowers'!$L$9:$L$108,MATCH(C235,'Borrowers'!$C$9:$C$108,0)),"Unavailable"))</x:f>
      </x:c>
      <x:c r="Q235" s="30" t="str">
        <x:f>IF(C235="","",IFERROR(IF(INDEX('Borrowers'!$Z$9:$Z$108,MATCH(C235,'Borrowers'!$C$9:$C$108,0))="Yes",1,IF(INDEX('Borrowers'!$P$9:$P$108,MATCH(C235,'Borrowers'!$C$9:$C$108,0))=0,0,MIN(1,INDEX('Borrowers'!$P$9:$P$108,MATCH(C235,'Borrowers'!$C$9:$C$108,0))*EXP(MIN(20,INDEX('Borrowers'!$V$9:$V$108,MATCH(C235,'Borrowers'!$C$9:$C$108,0))*V235))))),"Unavailable"))</x:f>
      </x:c>
      <x:c r="R235" s="30" t="str">
        <x:f>IF(C235="","",IFERROR(MIN(1,INDEX('Borrowers'!$Q$9:$Q$108,MATCH(C235,'Borrowers'!$C$9:$C$108,0))+(1-INDEX('Borrowers'!$Q$9:$Q$108,MATCH(C235,'Borrowers'!$C$9:$C$108,0)))*T235),"Unavailable"))</x:f>
      </x:c>
      <x:c r="S235" s="30" t="str">
        <x:f>IF(C235="","",IFERROR(SUMPRODUCT((Sites!$D$9:$D$108=C235)*Sites!$I$9:$I$108*Sites!$J$9:$J$108*Sites!$K$9:$K$108*(1-Sites!$L$9:$L$108)),"Unavailable"))</x:f>
      </x:c>
      <x:c r="T235" s="30" t="str">
        <x:f>IF(C235="","",IFERROR(MIN(1,(SUMPRODUCT((Sites!$D$9:$D$108=C235)*Sites!$N$9:$N$108*Sites!$J$9:$J$108*Sites!$K$9:$K$108*(1-Sites!$L$9:$L$108)))*'Scenario Paths'!H27),"Unavailable"))</x:f>
      </x:c>
      <x:c r="U235" s="9" t="str">
        <x:f>IF(C235="","",IF(OR(INDEX('Borrowers'!$AA$9:$AA$108,MATCH(C235,'Borrowers'!$C$9:$C$108,0))&lt;&gt;"Ready",COUNTIF(Sites!$D$9:$D$108,C235)=0,COUNTIFS(Sites!$D$9:$D$108,C235,Sites!$Q$9:$Q$108,"&lt;&gt;Ready")&gt;0,'Scenario Paths'!$F$6&lt;&gt;"Ready"),"Review source inputs","Ready"))</x:f>
      </x:c>
      <x:c r="V235" s="17" t="str">
        <x:f>IF(C235="","",IFERROR(MAX(-1,(G235-O235)/MAX(0.000001,G235)),"Unavailable"))</x:f>
      </x:c>
      <x:c r="W235" s="9" t="str">
        <x:f>IF(C235="","",IFERROR(INDEX('Borrowers'!$D$9:$D$108,MATCH(C235,'Borrowers'!$C$9:$C$108,0)),"Unavailable"))</x:f>
      </x:c>
    </x:row>
    <x:row r="236" ht="26" customHeight="1">
      <x:c r="A236" s="1"/>
      <x:c r="B236" s="1"/>
      <x:c r="C236" s="9" t="str">
        <x:f>IF(Borrowers!C36="","",Borrowers!C36)</x:f>
      </x:c>
      <x:c r="D236" s="3" t="n">
        <x:v>3</x:v>
      </x:c>
      <x:c r="E236" s="9" t="n">
        <x:f>Settings!$F$18+2</x:f>
        <x:v>2029</x:v>
      </x:c>
      <x:c r="F236" s="9" t="str">
        <x:f>IF(C236="","",INDEX('Borrowers'!$F$9:$F$108,MATCH(C236,'Borrowers'!$C$9:$C$108,0)))</x:f>
      </x:c>
      <x:c r="G236" s="23" t="str">
        <x:f>IF(C236="","",IFERROR(INDEX('Borrowers'!$J$9:$J$108,MATCH(C236,'Borrowers'!$C$9:$C$108,0))-INDEX('Borrowers'!$K$9:$K$108,MATCH(C236,'Borrowers'!$C$9:$C$108,0)),"Unavailable"))</x:f>
      </x:c>
      <x:c r="H236" s="23" t="str">
        <x:f>IF(C236="","",IFERROR(INDEX('Borrowers'!$I$9:$I$108,MATCH(C236,'Borrowers'!$C$9:$C$108,0))*INDEX('Borrowers'!$U$9:$U$108,MATCH(C236,'Borrowers'!$C$9:$C$108,0))*(IF(F236="Transport",'Scenario Paths'!H156,IF(F236="Technology",'Scenario Paths'!H150,IF(F236="Utilities",'Scenario Paths'!H144,IF(F236="Agriculture",'Scenario Paths'!H138,IF(F236="Manufacturing",'Scenario Paths'!H132,IF(F236="Healthcare",'Scenario Paths'!H126,IF(F236="Hospitality",'Scenario Paths'!H120,IF(F236="Property",'Scenario Paths'!H114,IF(F236="Food",'Scenario Paths'!H108,IF(F236="Logistics",'Scenario Paths'!H102,IF(F236="Solar",'Scenario Paths'!H96,IF(F236="Cement",'Scenario Paths'!H90,0))))))))))))),"Unavailable"))</x:f>
      </x:c>
      <x:c r="I236" s="23" t="str">
        <x:f>IF(C236="","",IFERROR(INDEX('Borrowers'!$R$9:$R$108,MATCH(C236,'Borrowers'!$C$9:$C$108,0))*(1-INDEX('Borrowers'!$W$9:$W$108,MATCH(C236,'Borrowers'!$C$9:$C$108,0))*'Scenario Paths'!H39)*'Scenario Paths'!H9/1000000*(1-INDEX('Borrowers'!$T$9:$T$108,MATCH(C236,'Borrowers'!$C$9:$C$108,0))),"Unavailable"))</x:f>
      </x:c>
      <x:c r="J236" s="23" t="str">
        <x:f>IF(C236="","",IFERROR(INDEX('Borrowers'!$I$9:$I$108,MATCH(C236,'Borrowers'!$C$9:$C$108,0))*INDEX('Borrowers'!$S$9:$S$108,MATCH(C236,'Borrowers'!$C$9:$C$108,0))*'Scenario Paths'!H15*(1-INDEX('Borrowers'!$T$9:$T$108,MATCH(C236,'Borrowers'!$C$9:$C$108,0))),"Unavailable"))</x:f>
      </x:c>
      <x:c r="K236" s="23" t="str">
        <x:f>IF(C236="","",IFERROR(INDEX('Borrowers'!$I$9:$I$108,MATCH(C236,'Borrowers'!$C$9:$C$108,0))*INDEX('Borrowers'!$U$9:$U$108,MATCH(C236,'Borrowers'!$C$9:$C$108,0))*'Scenario Paths'!H21*S236,"Unavailable"))</x:f>
      </x:c>
      <x:c r="L236" s="23" t="str">
        <x:f>IF(C236="","",IFERROR(SUMPRODUCT((Sites!$D$9:$D$108=C236)*Sites!$H$9:$H$108*Sites!$J$9:$J$108*Sites!$K$9:$K$108*(1-Sites!$L$9:$L$108)*(1-Sites!$M$9:$M$108))*'Scenario Paths'!H27,"Unavailable"))</x:f>
      </x:c>
      <x:c r="M236" s="23" t="str">
        <x:f>IF(C236="","",IFERROR(INDEX('Borrowers'!$J$9:$J$108,MATCH(C236,'Borrowers'!$C$9:$C$108,0))+H236-SUM(I236:L236),"Unavailable"))</x:f>
      </x:c>
      <x:c r="N236" s="23" t="str">
        <x:f>IF(C236="","",IFERROR(INDEX('Borrowers'!$I$9:$I$108,MATCH(C236,'Borrowers'!$C$9:$C$108,0))*'Scenario Paths'!H33,"Unavailable"))</x:f>
      </x:c>
      <x:c r="O236" s="23" t="str">
        <x:f>IF(C236="","",IFERROR(M236-INDEX('Borrowers'!$K$9:$K$108,MATCH(C236,'Borrowers'!$C$9:$C$108,0))-N236,"Unavailable"))</x:f>
      </x:c>
      <x:c r="P236" s="127" t="str">
        <x:f>IF(C236="","",IFERROR(O236/INDEX('Borrowers'!$L$9:$L$108,MATCH(C236,'Borrowers'!$C$9:$C$108,0)),"Unavailable"))</x:f>
      </x:c>
      <x:c r="Q236" s="30" t="str">
        <x:f>IF(C236="","",IFERROR(IF(INDEX('Borrowers'!$Z$9:$Z$108,MATCH(C236,'Borrowers'!$C$9:$C$108,0))="Yes",1,IF(INDEX('Borrowers'!$P$9:$P$108,MATCH(C236,'Borrowers'!$C$9:$C$108,0))=0,0,MIN(1,INDEX('Borrowers'!$P$9:$P$108,MATCH(C236,'Borrowers'!$C$9:$C$108,0))*EXP(MIN(20,INDEX('Borrowers'!$V$9:$V$108,MATCH(C236,'Borrowers'!$C$9:$C$108,0))*V236))))),"Unavailable"))</x:f>
      </x:c>
      <x:c r="R236" s="30" t="str">
        <x:f>IF(C236="","",IFERROR(MIN(1,INDEX('Borrowers'!$Q$9:$Q$108,MATCH(C236,'Borrowers'!$C$9:$C$108,0))+(1-INDEX('Borrowers'!$Q$9:$Q$108,MATCH(C236,'Borrowers'!$C$9:$C$108,0)))*T236),"Unavailable"))</x:f>
      </x:c>
      <x:c r="S236" s="30" t="str">
        <x:f>IF(C236="","",IFERROR(SUMPRODUCT((Sites!$D$9:$D$108=C236)*Sites!$I$9:$I$108*Sites!$J$9:$J$108*Sites!$K$9:$K$108*(1-Sites!$L$9:$L$108)),"Unavailable"))</x:f>
      </x:c>
      <x:c r="T236" s="30" t="str">
        <x:f>IF(C236="","",IFERROR(MIN(1,(SUMPRODUCT((Sites!$D$9:$D$108=C236)*Sites!$N$9:$N$108*Sites!$J$9:$J$108*Sites!$K$9:$K$108*(1-Sites!$L$9:$L$108)))*'Scenario Paths'!H27),"Unavailable"))</x:f>
      </x:c>
      <x:c r="U236" s="9" t="str">
        <x:f>IF(C236="","",IF(OR(INDEX('Borrowers'!$AA$9:$AA$108,MATCH(C236,'Borrowers'!$C$9:$C$108,0))&lt;&gt;"Ready",COUNTIF(Sites!$D$9:$D$108,C236)=0,COUNTIFS(Sites!$D$9:$D$108,C236,Sites!$Q$9:$Q$108,"&lt;&gt;Ready")&gt;0,'Scenario Paths'!$F$6&lt;&gt;"Ready"),"Review source inputs","Ready"))</x:f>
      </x:c>
      <x:c r="V236" s="17" t="str">
        <x:f>IF(C236="","",IFERROR(MAX(-1,(G236-O236)/MAX(0.000001,G236)),"Unavailable"))</x:f>
      </x:c>
      <x:c r="W236" s="9" t="str">
        <x:f>IF(C236="","",IFERROR(INDEX('Borrowers'!$D$9:$D$108,MATCH(C236,'Borrowers'!$C$9:$C$108,0)),"Unavailable"))</x:f>
      </x:c>
    </x:row>
    <x:row r="237" ht="26" customHeight="1">
      <x:c r="A237" s="1"/>
      <x:c r="B237" s="1"/>
      <x:c r="C237" s="9" t="str">
        <x:f>IF(Borrowers!C37="","",Borrowers!C37)</x:f>
      </x:c>
      <x:c r="D237" s="3" t="n">
        <x:v>3</x:v>
      </x:c>
      <x:c r="E237" s="9" t="n">
        <x:f>Settings!$F$18+2</x:f>
        <x:v>2029</x:v>
      </x:c>
      <x:c r="F237" s="9" t="str">
        <x:f>IF(C237="","",INDEX('Borrowers'!$F$9:$F$108,MATCH(C237,'Borrowers'!$C$9:$C$108,0)))</x:f>
      </x:c>
      <x:c r="G237" s="23" t="str">
        <x:f>IF(C237="","",IFERROR(INDEX('Borrowers'!$J$9:$J$108,MATCH(C237,'Borrowers'!$C$9:$C$108,0))-INDEX('Borrowers'!$K$9:$K$108,MATCH(C237,'Borrowers'!$C$9:$C$108,0)),"Unavailable"))</x:f>
      </x:c>
      <x:c r="H237" s="23" t="str">
        <x:f>IF(C237="","",IFERROR(INDEX('Borrowers'!$I$9:$I$108,MATCH(C237,'Borrowers'!$C$9:$C$108,0))*INDEX('Borrowers'!$U$9:$U$108,MATCH(C237,'Borrowers'!$C$9:$C$108,0))*(IF(F237="Transport",'Scenario Paths'!H156,IF(F237="Technology",'Scenario Paths'!H150,IF(F237="Utilities",'Scenario Paths'!H144,IF(F237="Agriculture",'Scenario Paths'!H138,IF(F237="Manufacturing",'Scenario Paths'!H132,IF(F237="Healthcare",'Scenario Paths'!H126,IF(F237="Hospitality",'Scenario Paths'!H120,IF(F237="Property",'Scenario Paths'!H114,IF(F237="Food",'Scenario Paths'!H108,IF(F237="Logistics",'Scenario Paths'!H102,IF(F237="Solar",'Scenario Paths'!H96,IF(F237="Cement",'Scenario Paths'!H90,0))))))))))))),"Unavailable"))</x:f>
      </x:c>
      <x:c r="I237" s="23" t="str">
        <x:f>IF(C237="","",IFERROR(INDEX('Borrowers'!$R$9:$R$108,MATCH(C237,'Borrowers'!$C$9:$C$108,0))*(1-INDEX('Borrowers'!$W$9:$W$108,MATCH(C237,'Borrowers'!$C$9:$C$108,0))*'Scenario Paths'!H39)*'Scenario Paths'!H9/1000000*(1-INDEX('Borrowers'!$T$9:$T$108,MATCH(C237,'Borrowers'!$C$9:$C$108,0))),"Unavailable"))</x:f>
      </x:c>
      <x:c r="J237" s="23" t="str">
        <x:f>IF(C237="","",IFERROR(INDEX('Borrowers'!$I$9:$I$108,MATCH(C237,'Borrowers'!$C$9:$C$108,0))*INDEX('Borrowers'!$S$9:$S$108,MATCH(C237,'Borrowers'!$C$9:$C$108,0))*'Scenario Paths'!H15*(1-INDEX('Borrowers'!$T$9:$T$108,MATCH(C237,'Borrowers'!$C$9:$C$108,0))),"Unavailable"))</x:f>
      </x:c>
      <x:c r="K237" s="23" t="str">
        <x:f>IF(C237="","",IFERROR(INDEX('Borrowers'!$I$9:$I$108,MATCH(C237,'Borrowers'!$C$9:$C$108,0))*INDEX('Borrowers'!$U$9:$U$108,MATCH(C237,'Borrowers'!$C$9:$C$108,0))*'Scenario Paths'!H21*S237,"Unavailable"))</x:f>
      </x:c>
      <x:c r="L237" s="23" t="str">
        <x:f>IF(C237="","",IFERROR(SUMPRODUCT((Sites!$D$9:$D$108=C237)*Sites!$H$9:$H$108*Sites!$J$9:$J$108*Sites!$K$9:$K$108*(1-Sites!$L$9:$L$108)*(1-Sites!$M$9:$M$108))*'Scenario Paths'!H27,"Unavailable"))</x:f>
      </x:c>
      <x:c r="M237" s="23" t="str">
        <x:f>IF(C237="","",IFERROR(INDEX('Borrowers'!$J$9:$J$108,MATCH(C237,'Borrowers'!$C$9:$C$108,0))+H237-SUM(I237:L237),"Unavailable"))</x:f>
      </x:c>
      <x:c r="N237" s="23" t="str">
        <x:f>IF(C237="","",IFERROR(INDEX('Borrowers'!$I$9:$I$108,MATCH(C237,'Borrowers'!$C$9:$C$108,0))*'Scenario Paths'!H33,"Unavailable"))</x:f>
      </x:c>
      <x:c r="O237" s="23" t="str">
        <x:f>IF(C237="","",IFERROR(M237-INDEX('Borrowers'!$K$9:$K$108,MATCH(C237,'Borrowers'!$C$9:$C$108,0))-N237,"Unavailable"))</x:f>
      </x:c>
      <x:c r="P237" s="127" t="str">
        <x:f>IF(C237="","",IFERROR(O237/INDEX('Borrowers'!$L$9:$L$108,MATCH(C237,'Borrowers'!$C$9:$C$108,0)),"Unavailable"))</x:f>
      </x:c>
      <x:c r="Q237" s="30" t="str">
        <x:f>IF(C237="","",IFERROR(IF(INDEX('Borrowers'!$Z$9:$Z$108,MATCH(C237,'Borrowers'!$C$9:$C$108,0))="Yes",1,IF(INDEX('Borrowers'!$P$9:$P$108,MATCH(C237,'Borrowers'!$C$9:$C$108,0))=0,0,MIN(1,INDEX('Borrowers'!$P$9:$P$108,MATCH(C237,'Borrowers'!$C$9:$C$108,0))*EXP(MIN(20,INDEX('Borrowers'!$V$9:$V$108,MATCH(C237,'Borrowers'!$C$9:$C$108,0))*V237))))),"Unavailable"))</x:f>
      </x:c>
      <x:c r="R237" s="30" t="str">
        <x:f>IF(C237="","",IFERROR(MIN(1,INDEX('Borrowers'!$Q$9:$Q$108,MATCH(C237,'Borrowers'!$C$9:$C$108,0))+(1-INDEX('Borrowers'!$Q$9:$Q$108,MATCH(C237,'Borrowers'!$C$9:$C$108,0)))*T237),"Unavailable"))</x:f>
      </x:c>
      <x:c r="S237" s="30" t="str">
        <x:f>IF(C237="","",IFERROR(SUMPRODUCT((Sites!$D$9:$D$108=C237)*Sites!$I$9:$I$108*Sites!$J$9:$J$108*Sites!$K$9:$K$108*(1-Sites!$L$9:$L$108)),"Unavailable"))</x:f>
      </x:c>
      <x:c r="T237" s="30" t="str">
        <x:f>IF(C237="","",IFERROR(MIN(1,(SUMPRODUCT((Sites!$D$9:$D$108=C237)*Sites!$N$9:$N$108*Sites!$J$9:$J$108*Sites!$K$9:$K$108*(1-Sites!$L$9:$L$108)))*'Scenario Paths'!H27),"Unavailable"))</x:f>
      </x:c>
      <x:c r="U237" s="9" t="str">
        <x:f>IF(C237="","",IF(OR(INDEX('Borrowers'!$AA$9:$AA$108,MATCH(C237,'Borrowers'!$C$9:$C$108,0))&lt;&gt;"Ready",COUNTIF(Sites!$D$9:$D$108,C237)=0,COUNTIFS(Sites!$D$9:$D$108,C237,Sites!$Q$9:$Q$108,"&lt;&gt;Ready")&gt;0,'Scenario Paths'!$F$6&lt;&gt;"Ready"),"Review source inputs","Ready"))</x:f>
      </x:c>
      <x:c r="V237" s="17" t="str">
        <x:f>IF(C237="","",IFERROR(MAX(-1,(G237-O237)/MAX(0.000001,G237)),"Unavailable"))</x:f>
      </x:c>
      <x:c r="W237" s="9" t="str">
        <x:f>IF(C237="","",IFERROR(INDEX('Borrowers'!$D$9:$D$108,MATCH(C237,'Borrowers'!$C$9:$C$108,0)),"Unavailable"))</x:f>
      </x:c>
    </x:row>
    <x:row r="238" ht="26" customHeight="1">
      <x:c r="A238" s="1"/>
      <x:c r="B238" s="1"/>
      <x:c r="C238" s="9" t="str">
        <x:f>IF(Borrowers!C38="","",Borrowers!C38)</x:f>
      </x:c>
      <x:c r="D238" s="3" t="n">
        <x:v>3</x:v>
      </x:c>
      <x:c r="E238" s="9" t="n">
        <x:f>Settings!$F$18+2</x:f>
        <x:v>2029</x:v>
      </x:c>
      <x:c r="F238" s="9" t="str">
        <x:f>IF(C238="","",INDEX('Borrowers'!$F$9:$F$108,MATCH(C238,'Borrowers'!$C$9:$C$108,0)))</x:f>
      </x:c>
      <x:c r="G238" s="23" t="str">
        <x:f>IF(C238="","",IFERROR(INDEX('Borrowers'!$J$9:$J$108,MATCH(C238,'Borrowers'!$C$9:$C$108,0))-INDEX('Borrowers'!$K$9:$K$108,MATCH(C238,'Borrowers'!$C$9:$C$108,0)),"Unavailable"))</x:f>
      </x:c>
      <x:c r="H238" s="23" t="str">
        <x:f>IF(C238="","",IFERROR(INDEX('Borrowers'!$I$9:$I$108,MATCH(C238,'Borrowers'!$C$9:$C$108,0))*INDEX('Borrowers'!$U$9:$U$108,MATCH(C238,'Borrowers'!$C$9:$C$108,0))*(IF(F238="Transport",'Scenario Paths'!H156,IF(F238="Technology",'Scenario Paths'!H150,IF(F238="Utilities",'Scenario Paths'!H144,IF(F238="Agriculture",'Scenario Paths'!H138,IF(F238="Manufacturing",'Scenario Paths'!H132,IF(F238="Healthcare",'Scenario Paths'!H126,IF(F238="Hospitality",'Scenario Paths'!H120,IF(F238="Property",'Scenario Paths'!H114,IF(F238="Food",'Scenario Paths'!H108,IF(F238="Logistics",'Scenario Paths'!H102,IF(F238="Solar",'Scenario Paths'!H96,IF(F238="Cement",'Scenario Paths'!H90,0))))))))))))),"Unavailable"))</x:f>
      </x:c>
      <x:c r="I238" s="23" t="str">
        <x:f>IF(C238="","",IFERROR(INDEX('Borrowers'!$R$9:$R$108,MATCH(C238,'Borrowers'!$C$9:$C$108,0))*(1-INDEX('Borrowers'!$W$9:$W$108,MATCH(C238,'Borrowers'!$C$9:$C$108,0))*'Scenario Paths'!H39)*'Scenario Paths'!H9/1000000*(1-INDEX('Borrowers'!$T$9:$T$108,MATCH(C238,'Borrowers'!$C$9:$C$108,0))),"Unavailable"))</x:f>
      </x:c>
      <x:c r="J238" s="23" t="str">
        <x:f>IF(C238="","",IFERROR(INDEX('Borrowers'!$I$9:$I$108,MATCH(C238,'Borrowers'!$C$9:$C$108,0))*INDEX('Borrowers'!$S$9:$S$108,MATCH(C238,'Borrowers'!$C$9:$C$108,0))*'Scenario Paths'!H15*(1-INDEX('Borrowers'!$T$9:$T$108,MATCH(C238,'Borrowers'!$C$9:$C$108,0))),"Unavailable"))</x:f>
      </x:c>
      <x:c r="K238" s="23" t="str">
        <x:f>IF(C238="","",IFERROR(INDEX('Borrowers'!$I$9:$I$108,MATCH(C238,'Borrowers'!$C$9:$C$108,0))*INDEX('Borrowers'!$U$9:$U$108,MATCH(C238,'Borrowers'!$C$9:$C$108,0))*'Scenario Paths'!H21*S238,"Unavailable"))</x:f>
      </x:c>
      <x:c r="L238" s="23" t="str">
        <x:f>IF(C238="","",IFERROR(SUMPRODUCT((Sites!$D$9:$D$108=C238)*Sites!$H$9:$H$108*Sites!$J$9:$J$108*Sites!$K$9:$K$108*(1-Sites!$L$9:$L$108)*(1-Sites!$M$9:$M$108))*'Scenario Paths'!H27,"Unavailable"))</x:f>
      </x:c>
      <x:c r="M238" s="23" t="str">
        <x:f>IF(C238="","",IFERROR(INDEX('Borrowers'!$J$9:$J$108,MATCH(C238,'Borrowers'!$C$9:$C$108,0))+H238-SUM(I238:L238),"Unavailable"))</x:f>
      </x:c>
      <x:c r="N238" s="23" t="str">
        <x:f>IF(C238="","",IFERROR(INDEX('Borrowers'!$I$9:$I$108,MATCH(C238,'Borrowers'!$C$9:$C$108,0))*'Scenario Paths'!H33,"Unavailable"))</x:f>
      </x:c>
      <x:c r="O238" s="23" t="str">
        <x:f>IF(C238="","",IFERROR(M238-INDEX('Borrowers'!$K$9:$K$108,MATCH(C238,'Borrowers'!$C$9:$C$108,0))-N238,"Unavailable"))</x:f>
      </x:c>
      <x:c r="P238" s="127" t="str">
        <x:f>IF(C238="","",IFERROR(O238/INDEX('Borrowers'!$L$9:$L$108,MATCH(C238,'Borrowers'!$C$9:$C$108,0)),"Unavailable"))</x:f>
      </x:c>
      <x:c r="Q238" s="30" t="str">
        <x:f>IF(C238="","",IFERROR(IF(INDEX('Borrowers'!$Z$9:$Z$108,MATCH(C238,'Borrowers'!$C$9:$C$108,0))="Yes",1,IF(INDEX('Borrowers'!$P$9:$P$108,MATCH(C238,'Borrowers'!$C$9:$C$108,0))=0,0,MIN(1,INDEX('Borrowers'!$P$9:$P$108,MATCH(C238,'Borrowers'!$C$9:$C$108,0))*EXP(MIN(20,INDEX('Borrowers'!$V$9:$V$108,MATCH(C238,'Borrowers'!$C$9:$C$108,0))*V238))))),"Unavailable"))</x:f>
      </x:c>
      <x:c r="R238" s="30" t="str">
        <x:f>IF(C238="","",IFERROR(MIN(1,INDEX('Borrowers'!$Q$9:$Q$108,MATCH(C238,'Borrowers'!$C$9:$C$108,0))+(1-INDEX('Borrowers'!$Q$9:$Q$108,MATCH(C238,'Borrowers'!$C$9:$C$108,0)))*T238),"Unavailable"))</x:f>
      </x:c>
      <x:c r="S238" s="30" t="str">
        <x:f>IF(C238="","",IFERROR(SUMPRODUCT((Sites!$D$9:$D$108=C238)*Sites!$I$9:$I$108*Sites!$J$9:$J$108*Sites!$K$9:$K$108*(1-Sites!$L$9:$L$108)),"Unavailable"))</x:f>
      </x:c>
      <x:c r="T238" s="30" t="str">
        <x:f>IF(C238="","",IFERROR(MIN(1,(SUMPRODUCT((Sites!$D$9:$D$108=C238)*Sites!$N$9:$N$108*Sites!$J$9:$J$108*Sites!$K$9:$K$108*(1-Sites!$L$9:$L$108)))*'Scenario Paths'!H27),"Unavailable"))</x:f>
      </x:c>
      <x:c r="U238" s="9" t="str">
        <x:f>IF(C238="","",IF(OR(INDEX('Borrowers'!$AA$9:$AA$108,MATCH(C238,'Borrowers'!$C$9:$C$108,0))&lt;&gt;"Ready",COUNTIF(Sites!$D$9:$D$108,C238)=0,COUNTIFS(Sites!$D$9:$D$108,C238,Sites!$Q$9:$Q$108,"&lt;&gt;Ready")&gt;0,'Scenario Paths'!$F$6&lt;&gt;"Ready"),"Review source inputs","Ready"))</x:f>
      </x:c>
      <x:c r="V238" s="17" t="str">
        <x:f>IF(C238="","",IFERROR(MAX(-1,(G238-O238)/MAX(0.000001,G238)),"Unavailable"))</x:f>
      </x:c>
      <x:c r="W238" s="9" t="str">
        <x:f>IF(C238="","",IFERROR(INDEX('Borrowers'!$D$9:$D$108,MATCH(C238,'Borrowers'!$C$9:$C$108,0)),"Unavailable"))</x:f>
      </x:c>
    </x:row>
    <x:row r="239" ht="26" customHeight="1">
      <x:c r="A239" s="1"/>
      <x:c r="B239" s="1"/>
      <x:c r="C239" s="9" t="str">
        <x:f>IF(Borrowers!C39="","",Borrowers!C39)</x:f>
      </x:c>
      <x:c r="D239" s="3" t="n">
        <x:v>3</x:v>
      </x:c>
      <x:c r="E239" s="9" t="n">
        <x:f>Settings!$F$18+2</x:f>
        <x:v>2029</x:v>
      </x:c>
      <x:c r="F239" s="9" t="str">
        <x:f>IF(C239="","",INDEX('Borrowers'!$F$9:$F$108,MATCH(C239,'Borrowers'!$C$9:$C$108,0)))</x:f>
      </x:c>
      <x:c r="G239" s="23" t="str">
        <x:f>IF(C239="","",IFERROR(INDEX('Borrowers'!$J$9:$J$108,MATCH(C239,'Borrowers'!$C$9:$C$108,0))-INDEX('Borrowers'!$K$9:$K$108,MATCH(C239,'Borrowers'!$C$9:$C$108,0)),"Unavailable"))</x:f>
      </x:c>
      <x:c r="H239" s="23" t="str">
        <x:f>IF(C239="","",IFERROR(INDEX('Borrowers'!$I$9:$I$108,MATCH(C239,'Borrowers'!$C$9:$C$108,0))*INDEX('Borrowers'!$U$9:$U$108,MATCH(C239,'Borrowers'!$C$9:$C$108,0))*(IF(F239="Transport",'Scenario Paths'!H156,IF(F239="Technology",'Scenario Paths'!H150,IF(F239="Utilities",'Scenario Paths'!H144,IF(F239="Agriculture",'Scenario Paths'!H138,IF(F239="Manufacturing",'Scenario Paths'!H132,IF(F239="Healthcare",'Scenario Paths'!H126,IF(F239="Hospitality",'Scenario Paths'!H120,IF(F239="Property",'Scenario Paths'!H114,IF(F239="Food",'Scenario Paths'!H108,IF(F239="Logistics",'Scenario Paths'!H102,IF(F239="Solar",'Scenario Paths'!H96,IF(F239="Cement",'Scenario Paths'!H90,0))))))))))))),"Unavailable"))</x:f>
      </x:c>
      <x:c r="I239" s="23" t="str">
        <x:f>IF(C239="","",IFERROR(INDEX('Borrowers'!$R$9:$R$108,MATCH(C239,'Borrowers'!$C$9:$C$108,0))*(1-INDEX('Borrowers'!$W$9:$W$108,MATCH(C239,'Borrowers'!$C$9:$C$108,0))*'Scenario Paths'!H39)*'Scenario Paths'!H9/1000000*(1-INDEX('Borrowers'!$T$9:$T$108,MATCH(C239,'Borrowers'!$C$9:$C$108,0))),"Unavailable"))</x:f>
      </x:c>
      <x:c r="J239" s="23" t="str">
        <x:f>IF(C239="","",IFERROR(INDEX('Borrowers'!$I$9:$I$108,MATCH(C239,'Borrowers'!$C$9:$C$108,0))*INDEX('Borrowers'!$S$9:$S$108,MATCH(C239,'Borrowers'!$C$9:$C$108,0))*'Scenario Paths'!H15*(1-INDEX('Borrowers'!$T$9:$T$108,MATCH(C239,'Borrowers'!$C$9:$C$108,0))),"Unavailable"))</x:f>
      </x:c>
      <x:c r="K239" s="23" t="str">
        <x:f>IF(C239="","",IFERROR(INDEX('Borrowers'!$I$9:$I$108,MATCH(C239,'Borrowers'!$C$9:$C$108,0))*INDEX('Borrowers'!$U$9:$U$108,MATCH(C239,'Borrowers'!$C$9:$C$108,0))*'Scenario Paths'!H21*S239,"Unavailable"))</x:f>
      </x:c>
      <x:c r="L239" s="23" t="str">
        <x:f>IF(C239="","",IFERROR(SUMPRODUCT((Sites!$D$9:$D$108=C239)*Sites!$H$9:$H$108*Sites!$J$9:$J$108*Sites!$K$9:$K$108*(1-Sites!$L$9:$L$108)*(1-Sites!$M$9:$M$108))*'Scenario Paths'!H27,"Unavailable"))</x:f>
      </x:c>
      <x:c r="M239" s="23" t="str">
        <x:f>IF(C239="","",IFERROR(INDEX('Borrowers'!$J$9:$J$108,MATCH(C239,'Borrowers'!$C$9:$C$108,0))+H239-SUM(I239:L239),"Unavailable"))</x:f>
      </x:c>
      <x:c r="N239" s="23" t="str">
        <x:f>IF(C239="","",IFERROR(INDEX('Borrowers'!$I$9:$I$108,MATCH(C239,'Borrowers'!$C$9:$C$108,0))*'Scenario Paths'!H33,"Unavailable"))</x:f>
      </x:c>
      <x:c r="O239" s="23" t="str">
        <x:f>IF(C239="","",IFERROR(M239-INDEX('Borrowers'!$K$9:$K$108,MATCH(C239,'Borrowers'!$C$9:$C$108,0))-N239,"Unavailable"))</x:f>
      </x:c>
      <x:c r="P239" s="127" t="str">
        <x:f>IF(C239="","",IFERROR(O239/INDEX('Borrowers'!$L$9:$L$108,MATCH(C239,'Borrowers'!$C$9:$C$108,0)),"Unavailable"))</x:f>
      </x:c>
      <x:c r="Q239" s="30" t="str">
        <x:f>IF(C239="","",IFERROR(IF(INDEX('Borrowers'!$Z$9:$Z$108,MATCH(C239,'Borrowers'!$C$9:$C$108,0))="Yes",1,IF(INDEX('Borrowers'!$P$9:$P$108,MATCH(C239,'Borrowers'!$C$9:$C$108,0))=0,0,MIN(1,INDEX('Borrowers'!$P$9:$P$108,MATCH(C239,'Borrowers'!$C$9:$C$108,0))*EXP(MIN(20,INDEX('Borrowers'!$V$9:$V$108,MATCH(C239,'Borrowers'!$C$9:$C$108,0))*V239))))),"Unavailable"))</x:f>
      </x:c>
      <x:c r="R239" s="30" t="str">
        <x:f>IF(C239="","",IFERROR(MIN(1,INDEX('Borrowers'!$Q$9:$Q$108,MATCH(C239,'Borrowers'!$C$9:$C$108,0))+(1-INDEX('Borrowers'!$Q$9:$Q$108,MATCH(C239,'Borrowers'!$C$9:$C$108,0)))*T239),"Unavailable"))</x:f>
      </x:c>
      <x:c r="S239" s="30" t="str">
        <x:f>IF(C239="","",IFERROR(SUMPRODUCT((Sites!$D$9:$D$108=C239)*Sites!$I$9:$I$108*Sites!$J$9:$J$108*Sites!$K$9:$K$108*(1-Sites!$L$9:$L$108)),"Unavailable"))</x:f>
      </x:c>
      <x:c r="T239" s="30" t="str">
        <x:f>IF(C239="","",IFERROR(MIN(1,(SUMPRODUCT((Sites!$D$9:$D$108=C239)*Sites!$N$9:$N$108*Sites!$J$9:$J$108*Sites!$K$9:$K$108*(1-Sites!$L$9:$L$108)))*'Scenario Paths'!H27),"Unavailable"))</x:f>
      </x:c>
      <x:c r="U239" s="9" t="str">
        <x:f>IF(C239="","",IF(OR(INDEX('Borrowers'!$AA$9:$AA$108,MATCH(C239,'Borrowers'!$C$9:$C$108,0))&lt;&gt;"Ready",COUNTIF(Sites!$D$9:$D$108,C239)=0,COUNTIFS(Sites!$D$9:$D$108,C239,Sites!$Q$9:$Q$108,"&lt;&gt;Ready")&gt;0,'Scenario Paths'!$F$6&lt;&gt;"Ready"),"Review source inputs","Ready"))</x:f>
      </x:c>
      <x:c r="V239" s="17" t="str">
        <x:f>IF(C239="","",IFERROR(MAX(-1,(G239-O239)/MAX(0.000001,G239)),"Unavailable"))</x:f>
      </x:c>
      <x:c r="W239" s="9" t="str">
        <x:f>IF(C239="","",IFERROR(INDEX('Borrowers'!$D$9:$D$108,MATCH(C239,'Borrowers'!$C$9:$C$108,0)),"Unavailable"))</x:f>
      </x:c>
    </x:row>
    <x:row r="240" ht="26" customHeight="1">
      <x:c r="A240" s="1"/>
      <x:c r="B240" s="1"/>
      <x:c r="C240" s="9" t="str">
        <x:f>IF(Borrowers!C40="","",Borrowers!C40)</x:f>
      </x:c>
      <x:c r="D240" s="3" t="n">
        <x:v>3</x:v>
      </x:c>
      <x:c r="E240" s="9" t="n">
        <x:f>Settings!$F$18+2</x:f>
        <x:v>2029</x:v>
      </x:c>
      <x:c r="F240" s="9" t="str">
        <x:f>IF(C240="","",INDEX('Borrowers'!$F$9:$F$108,MATCH(C240,'Borrowers'!$C$9:$C$108,0)))</x:f>
      </x:c>
      <x:c r="G240" s="23" t="str">
        <x:f>IF(C240="","",IFERROR(INDEX('Borrowers'!$J$9:$J$108,MATCH(C240,'Borrowers'!$C$9:$C$108,0))-INDEX('Borrowers'!$K$9:$K$108,MATCH(C240,'Borrowers'!$C$9:$C$108,0)),"Unavailable"))</x:f>
      </x:c>
      <x:c r="H240" s="23" t="str">
        <x:f>IF(C240="","",IFERROR(INDEX('Borrowers'!$I$9:$I$108,MATCH(C240,'Borrowers'!$C$9:$C$108,0))*INDEX('Borrowers'!$U$9:$U$108,MATCH(C240,'Borrowers'!$C$9:$C$108,0))*(IF(F240="Transport",'Scenario Paths'!H156,IF(F240="Technology",'Scenario Paths'!H150,IF(F240="Utilities",'Scenario Paths'!H144,IF(F240="Agriculture",'Scenario Paths'!H138,IF(F240="Manufacturing",'Scenario Paths'!H132,IF(F240="Healthcare",'Scenario Paths'!H126,IF(F240="Hospitality",'Scenario Paths'!H120,IF(F240="Property",'Scenario Paths'!H114,IF(F240="Food",'Scenario Paths'!H108,IF(F240="Logistics",'Scenario Paths'!H102,IF(F240="Solar",'Scenario Paths'!H96,IF(F240="Cement",'Scenario Paths'!H90,0))))))))))))),"Unavailable"))</x:f>
      </x:c>
      <x:c r="I240" s="23" t="str">
        <x:f>IF(C240="","",IFERROR(INDEX('Borrowers'!$R$9:$R$108,MATCH(C240,'Borrowers'!$C$9:$C$108,0))*(1-INDEX('Borrowers'!$W$9:$W$108,MATCH(C240,'Borrowers'!$C$9:$C$108,0))*'Scenario Paths'!H39)*'Scenario Paths'!H9/1000000*(1-INDEX('Borrowers'!$T$9:$T$108,MATCH(C240,'Borrowers'!$C$9:$C$108,0))),"Unavailable"))</x:f>
      </x:c>
      <x:c r="J240" s="23" t="str">
        <x:f>IF(C240="","",IFERROR(INDEX('Borrowers'!$I$9:$I$108,MATCH(C240,'Borrowers'!$C$9:$C$108,0))*INDEX('Borrowers'!$S$9:$S$108,MATCH(C240,'Borrowers'!$C$9:$C$108,0))*'Scenario Paths'!H15*(1-INDEX('Borrowers'!$T$9:$T$108,MATCH(C240,'Borrowers'!$C$9:$C$108,0))),"Unavailable"))</x:f>
      </x:c>
      <x:c r="K240" s="23" t="str">
        <x:f>IF(C240="","",IFERROR(INDEX('Borrowers'!$I$9:$I$108,MATCH(C240,'Borrowers'!$C$9:$C$108,0))*INDEX('Borrowers'!$U$9:$U$108,MATCH(C240,'Borrowers'!$C$9:$C$108,0))*'Scenario Paths'!H21*S240,"Unavailable"))</x:f>
      </x:c>
      <x:c r="L240" s="23" t="str">
        <x:f>IF(C240="","",IFERROR(SUMPRODUCT((Sites!$D$9:$D$108=C240)*Sites!$H$9:$H$108*Sites!$J$9:$J$108*Sites!$K$9:$K$108*(1-Sites!$L$9:$L$108)*(1-Sites!$M$9:$M$108))*'Scenario Paths'!H27,"Unavailable"))</x:f>
      </x:c>
      <x:c r="M240" s="23" t="str">
        <x:f>IF(C240="","",IFERROR(INDEX('Borrowers'!$J$9:$J$108,MATCH(C240,'Borrowers'!$C$9:$C$108,0))+H240-SUM(I240:L240),"Unavailable"))</x:f>
      </x:c>
      <x:c r="N240" s="23" t="str">
        <x:f>IF(C240="","",IFERROR(INDEX('Borrowers'!$I$9:$I$108,MATCH(C240,'Borrowers'!$C$9:$C$108,0))*'Scenario Paths'!H33,"Unavailable"))</x:f>
      </x:c>
      <x:c r="O240" s="23" t="str">
        <x:f>IF(C240="","",IFERROR(M240-INDEX('Borrowers'!$K$9:$K$108,MATCH(C240,'Borrowers'!$C$9:$C$108,0))-N240,"Unavailable"))</x:f>
      </x:c>
      <x:c r="P240" s="127" t="str">
        <x:f>IF(C240="","",IFERROR(O240/INDEX('Borrowers'!$L$9:$L$108,MATCH(C240,'Borrowers'!$C$9:$C$108,0)),"Unavailable"))</x:f>
      </x:c>
      <x:c r="Q240" s="30" t="str">
        <x:f>IF(C240="","",IFERROR(IF(INDEX('Borrowers'!$Z$9:$Z$108,MATCH(C240,'Borrowers'!$C$9:$C$108,0))="Yes",1,IF(INDEX('Borrowers'!$P$9:$P$108,MATCH(C240,'Borrowers'!$C$9:$C$108,0))=0,0,MIN(1,INDEX('Borrowers'!$P$9:$P$108,MATCH(C240,'Borrowers'!$C$9:$C$108,0))*EXP(MIN(20,INDEX('Borrowers'!$V$9:$V$108,MATCH(C240,'Borrowers'!$C$9:$C$108,0))*V240))))),"Unavailable"))</x:f>
      </x:c>
      <x:c r="R240" s="30" t="str">
        <x:f>IF(C240="","",IFERROR(MIN(1,INDEX('Borrowers'!$Q$9:$Q$108,MATCH(C240,'Borrowers'!$C$9:$C$108,0))+(1-INDEX('Borrowers'!$Q$9:$Q$108,MATCH(C240,'Borrowers'!$C$9:$C$108,0)))*T240),"Unavailable"))</x:f>
      </x:c>
      <x:c r="S240" s="30" t="str">
        <x:f>IF(C240="","",IFERROR(SUMPRODUCT((Sites!$D$9:$D$108=C240)*Sites!$I$9:$I$108*Sites!$J$9:$J$108*Sites!$K$9:$K$108*(1-Sites!$L$9:$L$108)),"Unavailable"))</x:f>
      </x:c>
      <x:c r="T240" s="30" t="str">
        <x:f>IF(C240="","",IFERROR(MIN(1,(SUMPRODUCT((Sites!$D$9:$D$108=C240)*Sites!$N$9:$N$108*Sites!$J$9:$J$108*Sites!$K$9:$K$108*(1-Sites!$L$9:$L$108)))*'Scenario Paths'!H27),"Unavailable"))</x:f>
      </x:c>
      <x:c r="U240" s="9" t="str">
        <x:f>IF(C240="","",IF(OR(INDEX('Borrowers'!$AA$9:$AA$108,MATCH(C240,'Borrowers'!$C$9:$C$108,0))&lt;&gt;"Ready",COUNTIF(Sites!$D$9:$D$108,C240)=0,COUNTIFS(Sites!$D$9:$D$108,C240,Sites!$Q$9:$Q$108,"&lt;&gt;Ready")&gt;0,'Scenario Paths'!$F$6&lt;&gt;"Ready"),"Review source inputs","Ready"))</x:f>
      </x:c>
      <x:c r="V240" s="17" t="str">
        <x:f>IF(C240="","",IFERROR(MAX(-1,(G240-O240)/MAX(0.000001,G240)),"Unavailable"))</x:f>
      </x:c>
      <x:c r="W240" s="9" t="str">
        <x:f>IF(C240="","",IFERROR(INDEX('Borrowers'!$D$9:$D$108,MATCH(C240,'Borrowers'!$C$9:$C$108,0)),"Unavailable"))</x:f>
      </x:c>
    </x:row>
    <x:row r="241" ht="26" customHeight="1">
      <x:c r="A241" s="1"/>
      <x:c r="B241" s="1"/>
      <x:c r="C241" s="9" t="str">
        <x:f>IF(Borrowers!C41="","",Borrowers!C41)</x:f>
      </x:c>
      <x:c r="D241" s="3" t="n">
        <x:v>3</x:v>
      </x:c>
      <x:c r="E241" s="9" t="n">
        <x:f>Settings!$F$18+2</x:f>
        <x:v>2029</x:v>
      </x:c>
      <x:c r="F241" s="9" t="str">
        <x:f>IF(C241="","",INDEX('Borrowers'!$F$9:$F$108,MATCH(C241,'Borrowers'!$C$9:$C$108,0)))</x:f>
      </x:c>
      <x:c r="G241" s="23" t="str">
        <x:f>IF(C241="","",IFERROR(INDEX('Borrowers'!$J$9:$J$108,MATCH(C241,'Borrowers'!$C$9:$C$108,0))-INDEX('Borrowers'!$K$9:$K$108,MATCH(C241,'Borrowers'!$C$9:$C$108,0)),"Unavailable"))</x:f>
      </x:c>
      <x:c r="H241" s="23" t="str">
        <x:f>IF(C241="","",IFERROR(INDEX('Borrowers'!$I$9:$I$108,MATCH(C241,'Borrowers'!$C$9:$C$108,0))*INDEX('Borrowers'!$U$9:$U$108,MATCH(C241,'Borrowers'!$C$9:$C$108,0))*(IF(F241="Transport",'Scenario Paths'!H156,IF(F241="Technology",'Scenario Paths'!H150,IF(F241="Utilities",'Scenario Paths'!H144,IF(F241="Agriculture",'Scenario Paths'!H138,IF(F241="Manufacturing",'Scenario Paths'!H132,IF(F241="Healthcare",'Scenario Paths'!H126,IF(F241="Hospitality",'Scenario Paths'!H120,IF(F241="Property",'Scenario Paths'!H114,IF(F241="Food",'Scenario Paths'!H108,IF(F241="Logistics",'Scenario Paths'!H102,IF(F241="Solar",'Scenario Paths'!H96,IF(F241="Cement",'Scenario Paths'!H90,0))))))))))))),"Unavailable"))</x:f>
      </x:c>
      <x:c r="I241" s="23" t="str">
        <x:f>IF(C241="","",IFERROR(INDEX('Borrowers'!$R$9:$R$108,MATCH(C241,'Borrowers'!$C$9:$C$108,0))*(1-INDEX('Borrowers'!$W$9:$W$108,MATCH(C241,'Borrowers'!$C$9:$C$108,0))*'Scenario Paths'!H39)*'Scenario Paths'!H9/1000000*(1-INDEX('Borrowers'!$T$9:$T$108,MATCH(C241,'Borrowers'!$C$9:$C$108,0))),"Unavailable"))</x:f>
      </x:c>
      <x:c r="J241" s="23" t="str">
        <x:f>IF(C241="","",IFERROR(INDEX('Borrowers'!$I$9:$I$108,MATCH(C241,'Borrowers'!$C$9:$C$108,0))*INDEX('Borrowers'!$S$9:$S$108,MATCH(C241,'Borrowers'!$C$9:$C$108,0))*'Scenario Paths'!H15*(1-INDEX('Borrowers'!$T$9:$T$108,MATCH(C241,'Borrowers'!$C$9:$C$108,0))),"Unavailable"))</x:f>
      </x:c>
      <x:c r="K241" s="23" t="str">
        <x:f>IF(C241="","",IFERROR(INDEX('Borrowers'!$I$9:$I$108,MATCH(C241,'Borrowers'!$C$9:$C$108,0))*INDEX('Borrowers'!$U$9:$U$108,MATCH(C241,'Borrowers'!$C$9:$C$108,0))*'Scenario Paths'!H21*S241,"Unavailable"))</x:f>
      </x:c>
      <x:c r="L241" s="23" t="str">
        <x:f>IF(C241="","",IFERROR(SUMPRODUCT((Sites!$D$9:$D$108=C241)*Sites!$H$9:$H$108*Sites!$J$9:$J$108*Sites!$K$9:$K$108*(1-Sites!$L$9:$L$108)*(1-Sites!$M$9:$M$108))*'Scenario Paths'!H27,"Unavailable"))</x:f>
      </x:c>
      <x:c r="M241" s="23" t="str">
        <x:f>IF(C241="","",IFERROR(INDEX('Borrowers'!$J$9:$J$108,MATCH(C241,'Borrowers'!$C$9:$C$108,0))+H241-SUM(I241:L241),"Unavailable"))</x:f>
      </x:c>
      <x:c r="N241" s="23" t="str">
        <x:f>IF(C241="","",IFERROR(INDEX('Borrowers'!$I$9:$I$108,MATCH(C241,'Borrowers'!$C$9:$C$108,0))*'Scenario Paths'!H33,"Unavailable"))</x:f>
      </x:c>
      <x:c r="O241" s="23" t="str">
        <x:f>IF(C241="","",IFERROR(M241-INDEX('Borrowers'!$K$9:$K$108,MATCH(C241,'Borrowers'!$C$9:$C$108,0))-N241,"Unavailable"))</x:f>
      </x:c>
      <x:c r="P241" s="127" t="str">
        <x:f>IF(C241="","",IFERROR(O241/INDEX('Borrowers'!$L$9:$L$108,MATCH(C241,'Borrowers'!$C$9:$C$108,0)),"Unavailable"))</x:f>
      </x:c>
      <x:c r="Q241" s="30" t="str">
        <x:f>IF(C241="","",IFERROR(IF(INDEX('Borrowers'!$Z$9:$Z$108,MATCH(C241,'Borrowers'!$C$9:$C$108,0))="Yes",1,IF(INDEX('Borrowers'!$P$9:$P$108,MATCH(C241,'Borrowers'!$C$9:$C$108,0))=0,0,MIN(1,INDEX('Borrowers'!$P$9:$P$108,MATCH(C241,'Borrowers'!$C$9:$C$108,0))*EXP(MIN(20,INDEX('Borrowers'!$V$9:$V$108,MATCH(C241,'Borrowers'!$C$9:$C$108,0))*V241))))),"Unavailable"))</x:f>
      </x:c>
      <x:c r="R241" s="30" t="str">
        <x:f>IF(C241="","",IFERROR(MIN(1,INDEX('Borrowers'!$Q$9:$Q$108,MATCH(C241,'Borrowers'!$C$9:$C$108,0))+(1-INDEX('Borrowers'!$Q$9:$Q$108,MATCH(C241,'Borrowers'!$C$9:$C$108,0)))*T241),"Unavailable"))</x:f>
      </x:c>
      <x:c r="S241" s="30" t="str">
        <x:f>IF(C241="","",IFERROR(SUMPRODUCT((Sites!$D$9:$D$108=C241)*Sites!$I$9:$I$108*Sites!$J$9:$J$108*Sites!$K$9:$K$108*(1-Sites!$L$9:$L$108)),"Unavailable"))</x:f>
      </x:c>
      <x:c r="T241" s="30" t="str">
        <x:f>IF(C241="","",IFERROR(MIN(1,(SUMPRODUCT((Sites!$D$9:$D$108=C241)*Sites!$N$9:$N$108*Sites!$J$9:$J$108*Sites!$K$9:$K$108*(1-Sites!$L$9:$L$108)))*'Scenario Paths'!H27),"Unavailable"))</x:f>
      </x:c>
      <x:c r="U241" s="9" t="str">
        <x:f>IF(C241="","",IF(OR(INDEX('Borrowers'!$AA$9:$AA$108,MATCH(C241,'Borrowers'!$C$9:$C$108,0))&lt;&gt;"Ready",COUNTIF(Sites!$D$9:$D$108,C241)=0,COUNTIFS(Sites!$D$9:$D$108,C241,Sites!$Q$9:$Q$108,"&lt;&gt;Ready")&gt;0,'Scenario Paths'!$F$6&lt;&gt;"Ready"),"Review source inputs","Ready"))</x:f>
      </x:c>
      <x:c r="V241" s="17" t="str">
        <x:f>IF(C241="","",IFERROR(MAX(-1,(G241-O241)/MAX(0.000001,G241)),"Unavailable"))</x:f>
      </x:c>
      <x:c r="W241" s="9" t="str">
        <x:f>IF(C241="","",IFERROR(INDEX('Borrowers'!$D$9:$D$108,MATCH(C241,'Borrowers'!$C$9:$C$108,0)),"Unavailable"))</x:f>
      </x:c>
    </x:row>
    <x:row r="242" ht="26" customHeight="1">
      <x:c r="A242" s="1"/>
      <x:c r="B242" s="1"/>
      <x:c r="C242" s="9" t="str">
        <x:f>IF(Borrowers!C42="","",Borrowers!C42)</x:f>
      </x:c>
      <x:c r="D242" s="3" t="n">
        <x:v>3</x:v>
      </x:c>
      <x:c r="E242" s="9" t="n">
        <x:f>Settings!$F$18+2</x:f>
        <x:v>2029</x:v>
      </x:c>
      <x:c r="F242" s="9" t="str">
        <x:f>IF(C242="","",INDEX('Borrowers'!$F$9:$F$108,MATCH(C242,'Borrowers'!$C$9:$C$108,0)))</x:f>
      </x:c>
      <x:c r="G242" s="23" t="str">
        <x:f>IF(C242="","",IFERROR(INDEX('Borrowers'!$J$9:$J$108,MATCH(C242,'Borrowers'!$C$9:$C$108,0))-INDEX('Borrowers'!$K$9:$K$108,MATCH(C242,'Borrowers'!$C$9:$C$108,0)),"Unavailable"))</x:f>
      </x:c>
      <x:c r="H242" s="23" t="str">
        <x:f>IF(C242="","",IFERROR(INDEX('Borrowers'!$I$9:$I$108,MATCH(C242,'Borrowers'!$C$9:$C$108,0))*INDEX('Borrowers'!$U$9:$U$108,MATCH(C242,'Borrowers'!$C$9:$C$108,0))*(IF(F242="Transport",'Scenario Paths'!H156,IF(F242="Technology",'Scenario Paths'!H150,IF(F242="Utilities",'Scenario Paths'!H144,IF(F242="Agriculture",'Scenario Paths'!H138,IF(F242="Manufacturing",'Scenario Paths'!H132,IF(F242="Healthcare",'Scenario Paths'!H126,IF(F242="Hospitality",'Scenario Paths'!H120,IF(F242="Property",'Scenario Paths'!H114,IF(F242="Food",'Scenario Paths'!H108,IF(F242="Logistics",'Scenario Paths'!H102,IF(F242="Solar",'Scenario Paths'!H96,IF(F242="Cement",'Scenario Paths'!H90,0))))))))))))),"Unavailable"))</x:f>
      </x:c>
      <x:c r="I242" s="23" t="str">
        <x:f>IF(C242="","",IFERROR(INDEX('Borrowers'!$R$9:$R$108,MATCH(C242,'Borrowers'!$C$9:$C$108,0))*(1-INDEX('Borrowers'!$W$9:$W$108,MATCH(C242,'Borrowers'!$C$9:$C$108,0))*'Scenario Paths'!H39)*'Scenario Paths'!H9/1000000*(1-INDEX('Borrowers'!$T$9:$T$108,MATCH(C242,'Borrowers'!$C$9:$C$108,0))),"Unavailable"))</x:f>
      </x:c>
      <x:c r="J242" s="23" t="str">
        <x:f>IF(C242="","",IFERROR(INDEX('Borrowers'!$I$9:$I$108,MATCH(C242,'Borrowers'!$C$9:$C$108,0))*INDEX('Borrowers'!$S$9:$S$108,MATCH(C242,'Borrowers'!$C$9:$C$108,0))*'Scenario Paths'!H15*(1-INDEX('Borrowers'!$T$9:$T$108,MATCH(C242,'Borrowers'!$C$9:$C$108,0))),"Unavailable"))</x:f>
      </x:c>
      <x:c r="K242" s="23" t="str">
        <x:f>IF(C242="","",IFERROR(INDEX('Borrowers'!$I$9:$I$108,MATCH(C242,'Borrowers'!$C$9:$C$108,0))*INDEX('Borrowers'!$U$9:$U$108,MATCH(C242,'Borrowers'!$C$9:$C$108,0))*'Scenario Paths'!H21*S242,"Unavailable"))</x:f>
      </x:c>
      <x:c r="L242" s="23" t="str">
        <x:f>IF(C242="","",IFERROR(SUMPRODUCT((Sites!$D$9:$D$108=C242)*Sites!$H$9:$H$108*Sites!$J$9:$J$108*Sites!$K$9:$K$108*(1-Sites!$L$9:$L$108)*(1-Sites!$M$9:$M$108))*'Scenario Paths'!H27,"Unavailable"))</x:f>
      </x:c>
      <x:c r="M242" s="23" t="str">
        <x:f>IF(C242="","",IFERROR(INDEX('Borrowers'!$J$9:$J$108,MATCH(C242,'Borrowers'!$C$9:$C$108,0))+H242-SUM(I242:L242),"Unavailable"))</x:f>
      </x:c>
      <x:c r="N242" s="23" t="str">
        <x:f>IF(C242="","",IFERROR(INDEX('Borrowers'!$I$9:$I$108,MATCH(C242,'Borrowers'!$C$9:$C$108,0))*'Scenario Paths'!H33,"Unavailable"))</x:f>
      </x:c>
      <x:c r="O242" s="23" t="str">
        <x:f>IF(C242="","",IFERROR(M242-INDEX('Borrowers'!$K$9:$K$108,MATCH(C242,'Borrowers'!$C$9:$C$108,0))-N242,"Unavailable"))</x:f>
      </x:c>
      <x:c r="P242" s="127" t="str">
        <x:f>IF(C242="","",IFERROR(O242/INDEX('Borrowers'!$L$9:$L$108,MATCH(C242,'Borrowers'!$C$9:$C$108,0)),"Unavailable"))</x:f>
      </x:c>
      <x:c r="Q242" s="30" t="str">
        <x:f>IF(C242="","",IFERROR(IF(INDEX('Borrowers'!$Z$9:$Z$108,MATCH(C242,'Borrowers'!$C$9:$C$108,0))="Yes",1,IF(INDEX('Borrowers'!$P$9:$P$108,MATCH(C242,'Borrowers'!$C$9:$C$108,0))=0,0,MIN(1,INDEX('Borrowers'!$P$9:$P$108,MATCH(C242,'Borrowers'!$C$9:$C$108,0))*EXP(MIN(20,INDEX('Borrowers'!$V$9:$V$108,MATCH(C242,'Borrowers'!$C$9:$C$108,0))*V242))))),"Unavailable"))</x:f>
      </x:c>
      <x:c r="R242" s="30" t="str">
        <x:f>IF(C242="","",IFERROR(MIN(1,INDEX('Borrowers'!$Q$9:$Q$108,MATCH(C242,'Borrowers'!$C$9:$C$108,0))+(1-INDEX('Borrowers'!$Q$9:$Q$108,MATCH(C242,'Borrowers'!$C$9:$C$108,0)))*T242),"Unavailable"))</x:f>
      </x:c>
      <x:c r="S242" s="30" t="str">
        <x:f>IF(C242="","",IFERROR(SUMPRODUCT((Sites!$D$9:$D$108=C242)*Sites!$I$9:$I$108*Sites!$J$9:$J$108*Sites!$K$9:$K$108*(1-Sites!$L$9:$L$108)),"Unavailable"))</x:f>
      </x:c>
      <x:c r="T242" s="30" t="str">
        <x:f>IF(C242="","",IFERROR(MIN(1,(SUMPRODUCT((Sites!$D$9:$D$108=C242)*Sites!$N$9:$N$108*Sites!$J$9:$J$108*Sites!$K$9:$K$108*(1-Sites!$L$9:$L$108)))*'Scenario Paths'!H27),"Unavailable"))</x:f>
      </x:c>
      <x:c r="U242" s="9" t="str">
        <x:f>IF(C242="","",IF(OR(INDEX('Borrowers'!$AA$9:$AA$108,MATCH(C242,'Borrowers'!$C$9:$C$108,0))&lt;&gt;"Ready",COUNTIF(Sites!$D$9:$D$108,C242)=0,COUNTIFS(Sites!$D$9:$D$108,C242,Sites!$Q$9:$Q$108,"&lt;&gt;Ready")&gt;0,'Scenario Paths'!$F$6&lt;&gt;"Ready"),"Review source inputs","Ready"))</x:f>
      </x:c>
      <x:c r="V242" s="17" t="str">
        <x:f>IF(C242="","",IFERROR(MAX(-1,(G242-O242)/MAX(0.000001,G242)),"Unavailable"))</x:f>
      </x:c>
      <x:c r="W242" s="9" t="str">
        <x:f>IF(C242="","",IFERROR(INDEX('Borrowers'!$D$9:$D$108,MATCH(C242,'Borrowers'!$C$9:$C$108,0)),"Unavailable"))</x:f>
      </x:c>
    </x:row>
    <x:row r="243" ht="26" customHeight="1">
      <x:c r="A243" s="1"/>
      <x:c r="B243" s="1"/>
      <x:c r="C243" s="9" t="str">
        <x:f>IF(Borrowers!C43="","",Borrowers!C43)</x:f>
      </x:c>
      <x:c r="D243" s="3" t="n">
        <x:v>3</x:v>
      </x:c>
      <x:c r="E243" s="9" t="n">
        <x:f>Settings!$F$18+2</x:f>
        <x:v>2029</x:v>
      </x:c>
      <x:c r="F243" s="9" t="str">
        <x:f>IF(C243="","",INDEX('Borrowers'!$F$9:$F$108,MATCH(C243,'Borrowers'!$C$9:$C$108,0)))</x:f>
      </x:c>
      <x:c r="G243" s="23" t="str">
        <x:f>IF(C243="","",IFERROR(INDEX('Borrowers'!$J$9:$J$108,MATCH(C243,'Borrowers'!$C$9:$C$108,0))-INDEX('Borrowers'!$K$9:$K$108,MATCH(C243,'Borrowers'!$C$9:$C$108,0)),"Unavailable"))</x:f>
      </x:c>
      <x:c r="H243" s="23" t="str">
        <x:f>IF(C243="","",IFERROR(INDEX('Borrowers'!$I$9:$I$108,MATCH(C243,'Borrowers'!$C$9:$C$108,0))*INDEX('Borrowers'!$U$9:$U$108,MATCH(C243,'Borrowers'!$C$9:$C$108,0))*(IF(F243="Transport",'Scenario Paths'!H156,IF(F243="Technology",'Scenario Paths'!H150,IF(F243="Utilities",'Scenario Paths'!H144,IF(F243="Agriculture",'Scenario Paths'!H138,IF(F243="Manufacturing",'Scenario Paths'!H132,IF(F243="Healthcare",'Scenario Paths'!H126,IF(F243="Hospitality",'Scenario Paths'!H120,IF(F243="Property",'Scenario Paths'!H114,IF(F243="Food",'Scenario Paths'!H108,IF(F243="Logistics",'Scenario Paths'!H102,IF(F243="Solar",'Scenario Paths'!H96,IF(F243="Cement",'Scenario Paths'!H90,0))))))))))))),"Unavailable"))</x:f>
      </x:c>
      <x:c r="I243" s="23" t="str">
        <x:f>IF(C243="","",IFERROR(INDEX('Borrowers'!$R$9:$R$108,MATCH(C243,'Borrowers'!$C$9:$C$108,0))*(1-INDEX('Borrowers'!$W$9:$W$108,MATCH(C243,'Borrowers'!$C$9:$C$108,0))*'Scenario Paths'!H39)*'Scenario Paths'!H9/1000000*(1-INDEX('Borrowers'!$T$9:$T$108,MATCH(C243,'Borrowers'!$C$9:$C$108,0))),"Unavailable"))</x:f>
      </x:c>
      <x:c r="J243" s="23" t="str">
        <x:f>IF(C243="","",IFERROR(INDEX('Borrowers'!$I$9:$I$108,MATCH(C243,'Borrowers'!$C$9:$C$108,0))*INDEX('Borrowers'!$S$9:$S$108,MATCH(C243,'Borrowers'!$C$9:$C$108,0))*'Scenario Paths'!H15*(1-INDEX('Borrowers'!$T$9:$T$108,MATCH(C243,'Borrowers'!$C$9:$C$108,0))),"Unavailable"))</x:f>
      </x:c>
      <x:c r="K243" s="23" t="str">
        <x:f>IF(C243="","",IFERROR(INDEX('Borrowers'!$I$9:$I$108,MATCH(C243,'Borrowers'!$C$9:$C$108,0))*INDEX('Borrowers'!$U$9:$U$108,MATCH(C243,'Borrowers'!$C$9:$C$108,0))*'Scenario Paths'!H21*S243,"Unavailable"))</x:f>
      </x:c>
      <x:c r="L243" s="23" t="str">
        <x:f>IF(C243="","",IFERROR(SUMPRODUCT((Sites!$D$9:$D$108=C243)*Sites!$H$9:$H$108*Sites!$J$9:$J$108*Sites!$K$9:$K$108*(1-Sites!$L$9:$L$108)*(1-Sites!$M$9:$M$108))*'Scenario Paths'!H27,"Unavailable"))</x:f>
      </x:c>
      <x:c r="M243" s="23" t="str">
        <x:f>IF(C243="","",IFERROR(INDEX('Borrowers'!$J$9:$J$108,MATCH(C243,'Borrowers'!$C$9:$C$108,0))+H243-SUM(I243:L243),"Unavailable"))</x:f>
      </x:c>
      <x:c r="N243" s="23" t="str">
        <x:f>IF(C243="","",IFERROR(INDEX('Borrowers'!$I$9:$I$108,MATCH(C243,'Borrowers'!$C$9:$C$108,0))*'Scenario Paths'!H33,"Unavailable"))</x:f>
      </x:c>
      <x:c r="O243" s="23" t="str">
        <x:f>IF(C243="","",IFERROR(M243-INDEX('Borrowers'!$K$9:$K$108,MATCH(C243,'Borrowers'!$C$9:$C$108,0))-N243,"Unavailable"))</x:f>
      </x:c>
      <x:c r="P243" s="127" t="str">
        <x:f>IF(C243="","",IFERROR(O243/INDEX('Borrowers'!$L$9:$L$108,MATCH(C243,'Borrowers'!$C$9:$C$108,0)),"Unavailable"))</x:f>
      </x:c>
      <x:c r="Q243" s="30" t="str">
        <x:f>IF(C243="","",IFERROR(IF(INDEX('Borrowers'!$Z$9:$Z$108,MATCH(C243,'Borrowers'!$C$9:$C$108,0))="Yes",1,IF(INDEX('Borrowers'!$P$9:$P$108,MATCH(C243,'Borrowers'!$C$9:$C$108,0))=0,0,MIN(1,INDEX('Borrowers'!$P$9:$P$108,MATCH(C243,'Borrowers'!$C$9:$C$108,0))*EXP(MIN(20,INDEX('Borrowers'!$V$9:$V$108,MATCH(C243,'Borrowers'!$C$9:$C$108,0))*V243))))),"Unavailable"))</x:f>
      </x:c>
      <x:c r="R243" s="30" t="str">
        <x:f>IF(C243="","",IFERROR(MIN(1,INDEX('Borrowers'!$Q$9:$Q$108,MATCH(C243,'Borrowers'!$C$9:$C$108,0))+(1-INDEX('Borrowers'!$Q$9:$Q$108,MATCH(C243,'Borrowers'!$C$9:$C$108,0)))*T243),"Unavailable"))</x:f>
      </x:c>
      <x:c r="S243" s="30" t="str">
        <x:f>IF(C243="","",IFERROR(SUMPRODUCT((Sites!$D$9:$D$108=C243)*Sites!$I$9:$I$108*Sites!$J$9:$J$108*Sites!$K$9:$K$108*(1-Sites!$L$9:$L$108)),"Unavailable"))</x:f>
      </x:c>
      <x:c r="T243" s="30" t="str">
        <x:f>IF(C243="","",IFERROR(MIN(1,(SUMPRODUCT((Sites!$D$9:$D$108=C243)*Sites!$N$9:$N$108*Sites!$J$9:$J$108*Sites!$K$9:$K$108*(1-Sites!$L$9:$L$108)))*'Scenario Paths'!H27),"Unavailable"))</x:f>
      </x:c>
      <x:c r="U243" s="9" t="str">
        <x:f>IF(C243="","",IF(OR(INDEX('Borrowers'!$AA$9:$AA$108,MATCH(C243,'Borrowers'!$C$9:$C$108,0))&lt;&gt;"Ready",COUNTIF(Sites!$D$9:$D$108,C243)=0,COUNTIFS(Sites!$D$9:$D$108,C243,Sites!$Q$9:$Q$108,"&lt;&gt;Ready")&gt;0,'Scenario Paths'!$F$6&lt;&gt;"Ready"),"Review source inputs","Ready"))</x:f>
      </x:c>
      <x:c r="V243" s="17" t="str">
        <x:f>IF(C243="","",IFERROR(MAX(-1,(G243-O243)/MAX(0.000001,G243)),"Unavailable"))</x:f>
      </x:c>
      <x:c r="W243" s="9" t="str">
        <x:f>IF(C243="","",IFERROR(INDEX('Borrowers'!$D$9:$D$108,MATCH(C243,'Borrowers'!$C$9:$C$108,0)),"Unavailable"))</x:f>
      </x:c>
    </x:row>
    <x:row r="244" ht="26" customHeight="1">
      <x:c r="A244" s="1"/>
      <x:c r="B244" s="1"/>
      <x:c r="C244" s="9" t="str">
        <x:f>IF(Borrowers!C44="","",Borrowers!C44)</x:f>
      </x:c>
      <x:c r="D244" s="3" t="n">
        <x:v>3</x:v>
      </x:c>
      <x:c r="E244" s="9" t="n">
        <x:f>Settings!$F$18+2</x:f>
        <x:v>2029</x:v>
      </x:c>
      <x:c r="F244" s="9" t="str">
        <x:f>IF(C244="","",INDEX('Borrowers'!$F$9:$F$108,MATCH(C244,'Borrowers'!$C$9:$C$108,0)))</x:f>
      </x:c>
      <x:c r="G244" s="23" t="str">
        <x:f>IF(C244="","",IFERROR(INDEX('Borrowers'!$J$9:$J$108,MATCH(C244,'Borrowers'!$C$9:$C$108,0))-INDEX('Borrowers'!$K$9:$K$108,MATCH(C244,'Borrowers'!$C$9:$C$108,0)),"Unavailable"))</x:f>
      </x:c>
      <x:c r="H244" s="23" t="str">
        <x:f>IF(C244="","",IFERROR(INDEX('Borrowers'!$I$9:$I$108,MATCH(C244,'Borrowers'!$C$9:$C$108,0))*INDEX('Borrowers'!$U$9:$U$108,MATCH(C244,'Borrowers'!$C$9:$C$108,0))*(IF(F244="Transport",'Scenario Paths'!H156,IF(F244="Technology",'Scenario Paths'!H150,IF(F244="Utilities",'Scenario Paths'!H144,IF(F244="Agriculture",'Scenario Paths'!H138,IF(F244="Manufacturing",'Scenario Paths'!H132,IF(F244="Healthcare",'Scenario Paths'!H126,IF(F244="Hospitality",'Scenario Paths'!H120,IF(F244="Property",'Scenario Paths'!H114,IF(F244="Food",'Scenario Paths'!H108,IF(F244="Logistics",'Scenario Paths'!H102,IF(F244="Solar",'Scenario Paths'!H96,IF(F244="Cement",'Scenario Paths'!H90,0))))))))))))),"Unavailable"))</x:f>
      </x:c>
      <x:c r="I244" s="23" t="str">
        <x:f>IF(C244="","",IFERROR(INDEX('Borrowers'!$R$9:$R$108,MATCH(C244,'Borrowers'!$C$9:$C$108,0))*(1-INDEX('Borrowers'!$W$9:$W$108,MATCH(C244,'Borrowers'!$C$9:$C$108,0))*'Scenario Paths'!H39)*'Scenario Paths'!H9/1000000*(1-INDEX('Borrowers'!$T$9:$T$108,MATCH(C244,'Borrowers'!$C$9:$C$108,0))),"Unavailable"))</x:f>
      </x:c>
      <x:c r="J244" s="23" t="str">
        <x:f>IF(C244="","",IFERROR(INDEX('Borrowers'!$I$9:$I$108,MATCH(C244,'Borrowers'!$C$9:$C$108,0))*INDEX('Borrowers'!$S$9:$S$108,MATCH(C244,'Borrowers'!$C$9:$C$108,0))*'Scenario Paths'!H15*(1-INDEX('Borrowers'!$T$9:$T$108,MATCH(C244,'Borrowers'!$C$9:$C$108,0))),"Unavailable"))</x:f>
      </x:c>
      <x:c r="K244" s="23" t="str">
        <x:f>IF(C244="","",IFERROR(INDEX('Borrowers'!$I$9:$I$108,MATCH(C244,'Borrowers'!$C$9:$C$108,0))*INDEX('Borrowers'!$U$9:$U$108,MATCH(C244,'Borrowers'!$C$9:$C$108,0))*'Scenario Paths'!H21*S244,"Unavailable"))</x:f>
      </x:c>
      <x:c r="L244" s="23" t="str">
        <x:f>IF(C244="","",IFERROR(SUMPRODUCT((Sites!$D$9:$D$108=C244)*Sites!$H$9:$H$108*Sites!$J$9:$J$108*Sites!$K$9:$K$108*(1-Sites!$L$9:$L$108)*(1-Sites!$M$9:$M$108))*'Scenario Paths'!H27,"Unavailable"))</x:f>
      </x:c>
      <x:c r="M244" s="23" t="str">
        <x:f>IF(C244="","",IFERROR(INDEX('Borrowers'!$J$9:$J$108,MATCH(C244,'Borrowers'!$C$9:$C$108,0))+H244-SUM(I244:L244),"Unavailable"))</x:f>
      </x:c>
      <x:c r="N244" s="23" t="str">
        <x:f>IF(C244="","",IFERROR(INDEX('Borrowers'!$I$9:$I$108,MATCH(C244,'Borrowers'!$C$9:$C$108,0))*'Scenario Paths'!H33,"Unavailable"))</x:f>
      </x:c>
      <x:c r="O244" s="23" t="str">
        <x:f>IF(C244="","",IFERROR(M244-INDEX('Borrowers'!$K$9:$K$108,MATCH(C244,'Borrowers'!$C$9:$C$108,0))-N244,"Unavailable"))</x:f>
      </x:c>
      <x:c r="P244" s="127" t="str">
        <x:f>IF(C244="","",IFERROR(O244/INDEX('Borrowers'!$L$9:$L$108,MATCH(C244,'Borrowers'!$C$9:$C$108,0)),"Unavailable"))</x:f>
      </x:c>
      <x:c r="Q244" s="30" t="str">
        <x:f>IF(C244="","",IFERROR(IF(INDEX('Borrowers'!$Z$9:$Z$108,MATCH(C244,'Borrowers'!$C$9:$C$108,0))="Yes",1,IF(INDEX('Borrowers'!$P$9:$P$108,MATCH(C244,'Borrowers'!$C$9:$C$108,0))=0,0,MIN(1,INDEX('Borrowers'!$P$9:$P$108,MATCH(C244,'Borrowers'!$C$9:$C$108,0))*EXP(MIN(20,INDEX('Borrowers'!$V$9:$V$108,MATCH(C244,'Borrowers'!$C$9:$C$108,0))*V244))))),"Unavailable"))</x:f>
      </x:c>
      <x:c r="R244" s="30" t="str">
        <x:f>IF(C244="","",IFERROR(MIN(1,INDEX('Borrowers'!$Q$9:$Q$108,MATCH(C244,'Borrowers'!$C$9:$C$108,0))+(1-INDEX('Borrowers'!$Q$9:$Q$108,MATCH(C244,'Borrowers'!$C$9:$C$108,0)))*T244),"Unavailable"))</x:f>
      </x:c>
      <x:c r="S244" s="30" t="str">
        <x:f>IF(C244="","",IFERROR(SUMPRODUCT((Sites!$D$9:$D$108=C244)*Sites!$I$9:$I$108*Sites!$J$9:$J$108*Sites!$K$9:$K$108*(1-Sites!$L$9:$L$108)),"Unavailable"))</x:f>
      </x:c>
      <x:c r="T244" s="30" t="str">
        <x:f>IF(C244="","",IFERROR(MIN(1,(SUMPRODUCT((Sites!$D$9:$D$108=C244)*Sites!$N$9:$N$108*Sites!$J$9:$J$108*Sites!$K$9:$K$108*(1-Sites!$L$9:$L$108)))*'Scenario Paths'!H27),"Unavailable"))</x:f>
      </x:c>
      <x:c r="U244" s="9" t="str">
        <x:f>IF(C244="","",IF(OR(INDEX('Borrowers'!$AA$9:$AA$108,MATCH(C244,'Borrowers'!$C$9:$C$108,0))&lt;&gt;"Ready",COUNTIF(Sites!$D$9:$D$108,C244)=0,COUNTIFS(Sites!$D$9:$D$108,C244,Sites!$Q$9:$Q$108,"&lt;&gt;Ready")&gt;0,'Scenario Paths'!$F$6&lt;&gt;"Ready"),"Review source inputs","Ready"))</x:f>
      </x:c>
      <x:c r="V244" s="17" t="str">
        <x:f>IF(C244="","",IFERROR(MAX(-1,(G244-O244)/MAX(0.000001,G244)),"Unavailable"))</x:f>
      </x:c>
      <x:c r="W244" s="9" t="str">
        <x:f>IF(C244="","",IFERROR(INDEX('Borrowers'!$D$9:$D$108,MATCH(C244,'Borrowers'!$C$9:$C$108,0)),"Unavailable"))</x:f>
      </x:c>
    </x:row>
    <x:row r="245" ht="26" customHeight="1">
      <x:c r="A245" s="1"/>
      <x:c r="B245" s="1"/>
      <x:c r="C245" s="9" t="str">
        <x:f>IF(Borrowers!C45="","",Borrowers!C45)</x:f>
      </x:c>
      <x:c r="D245" s="3" t="n">
        <x:v>3</x:v>
      </x:c>
      <x:c r="E245" s="9" t="n">
        <x:f>Settings!$F$18+2</x:f>
        <x:v>2029</x:v>
      </x:c>
      <x:c r="F245" s="9" t="str">
        <x:f>IF(C245="","",INDEX('Borrowers'!$F$9:$F$108,MATCH(C245,'Borrowers'!$C$9:$C$108,0)))</x:f>
      </x:c>
      <x:c r="G245" s="23" t="str">
        <x:f>IF(C245="","",IFERROR(INDEX('Borrowers'!$J$9:$J$108,MATCH(C245,'Borrowers'!$C$9:$C$108,0))-INDEX('Borrowers'!$K$9:$K$108,MATCH(C245,'Borrowers'!$C$9:$C$108,0)),"Unavailable"))</x:f>
      </x:c>
      <x:c r="H245" s="23" t="str">
        <x:f>IF(C245="","",IFERROR(INDEX('Borrowers'!$I$9:$I$108,MATCH(C245,'Borrowers'!$C$9:$C$108,0))*INDEX('Borrowers'!$U$9:$U$108,MATCH(C245,'Borrowers'!$C$9:$C$108,0))*(IF(F245="Transport",'Scenario Paths'!H156,IF(F245="Technology",'Scenario Paths'!H150,IF(F245="Utilities",'Scenario Paths'!H144,IF(F245="Agriculture",'Scenario Paths'!H138,IF(F245="Manufacturing",'Scenario Paths'!H132,IF(F245="Healthcare",'Scenario Paths'!H126,IF(F245="Hospitality",'Scenario Paths'!H120,IF(F245="Property",'Scenario Paths'!H114,IF(F245="Food",'Scenario Paths'!H108,IF(F245="Logistics",'Scenario Paths'!H102,IF(F245="Solar",'Scenario Paths'!H96,IF(F245="Cement",'Scenario Paths'!H90,0))))))))))))),"Unavailable"))</x:f>
      </x:c>
      <x:c r="I245" s="23" t="str">
        <x:f>IF(C245="","",IFERROR(INDEX('Borrowers'!$R$9:$R$108,MATCH(C245,'Borrowers'!$C$9:$C$108,0))*(1-INDEX('Borrowers'!$W$9:$W$108,MATCH(C245,'Borrowers'!$C$9:$C$108,0))*'Scenario Paths'!H39)*'Scenario Paths'!H9/1000000*(1-INDEX('Borrowers'!$T$9:$T$108,MATCH(C245,'Borrowers'!$C$9:$C$108,0))),"Unavailable"))</x:f>
      </x:c>
      <x:c r="J245" s="23" t="str">
        <x:f>IF(C245="","",IFERROR(INDEX('Borrowers'!$I$9:$I$108,MATCH(C245,'Borrowers'!$C$9:$C$108,0))*INDEX('Borrowers'!$S$9:$S$108,MATCH(C245,'Borrowers'!$C$9:$C$108,0))*'Scenario Paths'!H15*(1-INDEX('Borrowers'!$T$9:$T$108,MATCH(C245,'Borrowers'!$C$9:$C$108,0))),"Unavailable"))</x:f>
      </x:c>
      <x:c r="K245" s="23" t="str">
        <x:f>IF(C245="","",IFERROR(INDEX('Borrowers'!$I$9:$I$108,MATCH(C245,'Borrowers'!$C$9:$C$108,0))*INDEX('Borrowers'!$U$9:$U$108,MATCH(C245,'Borrowers'!$C$9:$C$108,0))*'Scenario Paths'!H21*S245,"Unavailable"))</x:f>
      </x:c>
      <x:c r="L245" s="23" t="str">
        <x:f>IF(C245="","",IFERROR(SUMPRODUCT((Sites!$D$9:$D$108=C245)*Sites!$H$9:$H$108*Sites!$J$9:$J$108*Sites!$K$9:$K$108*(1-Sites!$L$9:$L$108)*(1-Sites!$M$9:$M$108))*'Scenario Paths'!H27,"Unavailable"))</x:f>
      </x:c>
      <x:c r="M245" s="23" t="str">
        <x:f>IF(C245="","",IFERROR(INDEX('Borrowers'!$J$9:$J$108,MATCH(C245,'Borrowers'!$C$9:$C$108,0))+H245-SUM(I245:L245),"Unavailable"))</x:f>
      </x:c>
      <x:c r="N245" s="23" t="str">
        <x:f>IF(C245="","",IFERROR(INDEX('Borrowers'!$I$9:$I$108,MATCH(C245,'Borrowers'!$C$9:$C$108,0))*'Scenario Paths'!H33,"Unavailable"))</x:f>
      </x:c>
      <x:c r="O245" s="23" t="str">
        <x:f>IF(C245="","",IFERROR(M245-INDEX('Borrowers'!$K$9:$K$108,MATCH(C245,'Borrowers'!$C$9:$C$108,0))-N245,"Unavailable"))</x:f>
      </x:c>
      <x:c r="P245" s="127" t="str">
        <x:f>IF(C245="","",IFERROR(O245/INDEX('Borrowers'!$L$9:$L$108,MATCH(C245,'Borrowers'!$C$9:$C$108,0)),"Unavailable"))</x:f>
      </x:c>
      <x:c r="Q245" s="30" t="str">
        <x:f>IF(C245="","",IFERROR(IF(INDEX('Borrowers'!$Z$9:$Z$108,MATCH(C245,'Borrowers'!$C$9:$C$108,0))="Yes",1,IF(INDEX('Borrowers'!$P$9:$P$108,MATCH(C245,'Borrowers'!$C$9:$C$108,0))=0,0,MIN(1,INDEX('Borrowers'!$P$9:$P$108,MATCH(C245,'Borrowers'!$C$9:$C$108,0))*EXP(MIN(20,INDEX('Borrowers'!$V$9:$V$108,MATCH(C245,'Borrowers'!$C$9:$C$108,0))*V245))))),"Unavailable"))</x:f>
      </x:c>
      <x:c r="R245" s="30" t="str">
        <x:f>IF(C245="","",IFERROR(MIN(1,INDEX('Borrowers'!$Q$9:$Q$108,MATCH(C245,'Borrowers'!$C$9:$C$108,0))+(1-INDEX('Borrowers'!$Q$9:$Q$108,MATCH(C245,'Borrowers'!$C$9:$C$108,0)))*T245),"Unavailable"))</x:f>
      </x:c>
      <x:c r="S245" s="30" t="str">
        <x:f>IF(C245="","",IFERROR(SUMPRODUCT((Sites!$D$9:$D$108=C245)*Sites!$I$9:$I$108*Sites!$J$9:$J$108*Sites!$K$9:$K$108*(1-Sites!$L$9:$L$108)),"Unavailable"))</x:f>
      </x:c>
      <x:c r="T245" s="30" t="str">
        <x:f>IF(C245="","",IFERROR(MIN(1,(SUMPRODUCT((Sites!$D$9:$D$108=C245)*Sites!$N$9:$N$108*Sites!$J$9:$J$108*Sites!$K$9:$K$108*(1-Sites!$L$9:$L$108)))*'Scenario Paths'!H27),"Unavailable"))</x:f>
      </x:c>
      <x:c r="U245" s="9" t="str">
        <x:f>IF(C245="","",IF(OR(INDEX('Borrowers'!$AA$9:$AA$108,MATCH(C245,'Borrowers'!$C$9:$C$108,0))&lt;&gt;"Ready",COUNTIF(Sites!$D$9:$D$108,C245)=0,COUNTIFS(Sites!$D$9:$D$108,C245,Sites!$Q$9:$Q$108,"&lt;&gt;Ready")&gt;0,'Scenario Paths'!$F$6&lt;&gt;"Ready"),"Review source inputs","Ready"))</x:f>
      </x:c>
      <x:c r="V245" s="17" t="str">
        <x:f>IF(C245="","",IFERROR(MAX(-1,(G245-O245)/MAX(0.000001,G245)),"Unavailable"))</x:f>
      </x:c>
      <x:c r="W245" s="9" t="str">
        <x:f>IF(C245="","",IFERROR(INDEX('Borrowers'!$D$9:$D$108,MATCH(C245,'Borrowers'!$C$9:$C$108,0)),"Unavailable"))</x:f>
      </x:c>
    </x:row>
    <x:row r="246" ht="26" customHeight="1">
      <x:c r="A246" s="1"/>
      <x:c r="B246" s="1"/>
      <x:c r="C246" s="9" t="str">
        <x:f>IF(Borrowers!C46="","",Borrowers!C46)</x:f>
      </x:c>
      <x:c r="D246" s="3" t="n">
        <x:v>3</x:v>
      </x:c>
      <x:c r="E246" s="9" t="n">
        <x:f>Settings!$F$18+2</x:f>
        <x:v>2029</x:v>
      </x:c>
      <x:c r="F246" s="9" t="str">
        <x:f>IF(C246="","",INDEX('Borrowers'!$F$9:$F$108,MATCH(C246,'Borrowers'!$C$9:$C$108,0)))</x:f>
      </x:c>
      <x:c r="G246" s="23" t="str">
        <x:f>IF(C246="","",IFERROR(INDEX('Borrowers'!$J$9:$J$108,MATCH(C246,'Borrowers'!$C$9:$C$108,0))-INDEX('Borrowers'!$K$9:$K$108,MATCH(C246,'Borrowers'!$C$9:$C$108,0)),"Unavailable"))</x:f>
      </x:c>
      <x:c r="H246" s="23" t="str">
        <x:f>IF(C246="","",IFERROR(INDEX('Borrowers'!$I$9:$I$108,MATCH(C246,'Borrowers'!$C$9:$C$108,0))*INDEX('Borrowers'!$U$9:$U$108,MATCH(C246,'Borrowers'!$C$9:$C$108,0))*(IF(F246="Transport",'Scenario Paths'!H156,IF(F246="Technology",'Scenario Paths'!H150,IF(F246="Utilities",'Scenario Paths'!H144,IF(F246="Agriculture",'Scenario Paths'!H138,IF(F246="Manufacturing",'Scenario Paths'!H132,IF(F246="Healthcare",'Scenario Paths'!H126,IF(F246="Hospitality",'Scenario Paths'!H120,IF(F246="Property",'Scenario Paths'!H114,IF(F246="Food",'Scenario Paths'!H108,IF(F246="Logistics",'Scenario Paths'!H102,IF(F246="Solar",'Scenario Paths'!H96,IF(F246="Cement",'Scenario Paths'!H90,0))))))))))))),"Unavailable"))</x:f>
      </x:c>
      <x:c r="I246" s="23" t="str">
        <x:f>IF(C246="","",IFERROR(INDEX('Borrowers'!$R$9:$R$108,MATCH(C246,'Borrowers'!$C$9:$C$108,0))*(1-INDEX('Borrowers'!$W$9:$W$108,MATCH(C246,'Borrowers'!$C$9:$C$108,0))*'Scenario Paths'!H39)*'Scenario Paths'!H9/1000000*(1-INDEX('Borrowers'!$T$9:$T$108,MATCH(C246,'Borrowers'!$C$9:$C$108,0))),"Unavailable"))</x:f>
      </x:c>
      <x:c r="J246" s="23" t="str">
        <x:f>IF(C246="","",IFERROR(INDEX('Borrowers'!$I$9:$I$108,MATCH(C246,'Borrowers'!$C$9:$C$108,0))*INDEX('Borrowers'!$S$9:$S$108,MATCH(C246,'Borrowers'!$C$9:$C$108,0))*'Scenario Paths'!H15*(1-INDEX('Borrowers'!$T$9:$T$108,MATCH(C246,'Borrowers'!$C$9:$C$108,0))),"Unavailable"))</x:f>
      </x:c>
      <x:c r="K246" s="23" t="str">
        <x:f>IF(C246="","",IFERROR(INDEX('Borrowers'!$I$9:$I$108,MATCH(C246,'Borrowers'!$C$9:$C$108,0))*INDEX('Borrowers'!$U$9:$U$108,MATCH(C246,'Borrowers'!$C$9:$C$108,0))*'Scenario Paths'!H21*S246,"Unavailable"))</x:f>
      </x:c>
      <x:c r="L246" s="23" t="str">
        <x:f>IF(C246="","",IFERROR(SUMPRODUCT((Sites!$D$9:$D$108=C246)*Sites!$H$9:$H$108*Sites!$J$9:$J$108*Sites!$K$9:$K$108*(1-Sites!$L$9:$L$108)*(1-Sites!$M$9:$M$108))*'Scenario Paths'!H27,"Unavailable"))</x:f>
      </x:c>
      <x:c r="M246" s="23" t="str">
        <x:f>IF(C246="","",IFERROR(INDEX('Borrowers'!$J$9:$J$108,MATCH(C246,'Borrowers'!$C$9:$C$108,0))+H246-SUM(I246:L246),"Unavailable"))</x:f>
      </x:c>
      <x:c r="N246" s="23" t="str">
        <x:f>IF(C246="","",IFERROR(INDEX('Borrowers'!$I$9:$I$108,MATCH(C246,'Borrowers'!$C$9:$C$108,0))*'Scenario Paths'!H33,"Unavailable"))</x:f>
      </x:c>
      <x:c r="O246" s="23" t="str">
        <x:f>IF(C246="","",IFERROR(M246-INDEX('Borrowers'!$K$9:$K$108,MATCH(C246,'Borrowers'!$C$9:$C$108,0))-N246,"Unavailable"))</x:f>
      </x:c>
      <x:c r="P246" s="127" t="str">
        <x:f>IF(C246="","",IFERROR(O246/INDEX('Borrowers'!$L$9:$L$108,MATCH(C246,'Borrowers'!$C$9:$C$108,0)),"Unavailable"))</x:f>
      </x:c>
      <x:c r="Q246" s="30" t="str">
        <x:f>IF(C246="","",IFERROR(IF(INDEX('Borrowers'!$Z$9:$Z$108,MATCH(C246,'Borrowers'!$C$9:$C$108,0))="Yes",1,IF(INDEX('Borrowers'!$P$9:$P$108,MATCH(C246,'Borrowers'!$C$9:$C$108,0))=0,0,MIN(1,INDEX('Borrowers'!$P$9:$P$108,MATCH(C246,'Borrowers'!$C$9:$C$108,0))*EXP(MIN(20,INDEX('Borrowers'!$V$9:$V$108,MATCH(C246,'Borrowers'!$C$9:$C$108,0))*V246))))),"Unavailable"))</x:f>
      </x:c>
      <x:c r="R246" s="30" t="str">
        <x:f>IF(C246="","",IFERROR(MIN(1,INDEX('Borrowers'!$Q$9:$Q$108,MATCH(C246,'Borrowers'!$C$9:$C$108,0))+(1-INDEX('Borrowers'!$Q$9:$Q$108,MATCH(C246,'Borrowers'!$C$9:$C$108,0)))*T246),"Unavailable"))</x:f>
      </x:c>
      <x:c r="S246" s="30" t="str">
        <x:f>IF(C246="","",IFERROR(SUMPRODUCT((Sites!$D$9:$D$108=C246)*Sites!$I$9:$I$108*Sites!$J$9:$J$108*Sites!$K$9:$K$108*(1-Sites!$L$9:$L$108)),"Unavailable"))</x:f>
      </x:c>
      <x:c r="T246" s="30" t="str">
        <x:f>IF(C246="","",IFERROR(MIN(1,(SUMPRODUCT((Sites!$D$9:$D$108=C246)*Sites!$N$9:$N$108*Sites!$J$9:$J$108*Sites!$K$9:$K$108*(1-Sites!$L$9:$L$108)))*'Scenario Paths'!H27),"Unavailable"))</x:f>
      </x:c>
      <x:c r="U246" s="9" t="str">
        <x:f>IF(C246="","",IF(OR(INDEX('Borrowers'!$AA$9:$AA$108,MATCH(C246,'Borrowers'!$C$9:$C$108,0))&lt;&gt;"Ready",COUNTIF(Sites!$D$9:$D$108,C246)=0,COUNTIFS(Sites!$D$9:$D$108,C246,Sites!$Q$9:$Q$108,"&lt;&gt;Ready")&gt;0,'Scenario Paths'!$F$6&lt;&gt;"Ready"),"Review source inputs","Ready"))</x:f>
      </x:c>
      <x:c r="V246" s="17" t="str">
        <x:f>IF(C246="","",IFERROR(MAX(-1,(G246-O246)/MAX(0.000001,G246)),"Unavailable"))</x:f>
      </x:c>
      <x:c r="W246" s="9" t="str">
        <x:f>IF(C246="","",IFERROR(INDEX('Borrowers'!$D$9:$D$108,MATCH(C246,'Borrowers'!$C$9:$C$108,0)),"Unavailable"))</x:f>
      </x:c>
    </x:row>
    <x:row r="247" ht="26" customHeight="1">
      <x:c r="A247" s="1"/>
      <x:c r="B247" s="1"/>
      <x:c r="C247" s="9" t="str">
        <x:f>IF(Borrowers!C47="","",Borrowers!C47)</x:f>
      </x:c>
      <x:c r="D247" s="3" t="n">
        <x:v>3</x:v>
      </x:c>
      <x:c r="E247" s="9" t="n">
        <x:f>Settings!$F$18+2</x:f>
        <x:v>2029</x:v>
      </x:c>
      <x:c r="F247" s="9" t="str">
        <x:f>IF(C247="","",INDEX('Borrowers'!$F$9:$F$108,MATCH(C247,'Borrowers'!$C$9:$C$108,0)))</x:f>
      </x:c>
      <x:c r="G247" s="23" t="str">
        <x:f>IF(C247="","",IFERROR(INDEX('Borrowers'!$J$9:$J$108,MATCH(C247,'Borrowers'!$C$9:$C$108,0))-INDEX('Borrowers'!$K$9:$K$108,MATCH(C247,'Borrowers'!$C$9:$C$108,0)),"Unavailable"))</x:f>
      </x:c>
      <x:c r="H247" s="23" t="str">
        <x:f>IF(C247="","",IFERROR(INDEX('Borrowers'!$I$9:$I$108,MATCH(C247,'Borrowers'!$C$9:$C$108,0))*INDEX('Borrowers'!$U$9:$U$108,MATCH(C247,'Borrowers'!$C$9:$C$108,0))*(IF(F247="Transport",'Scenario Paths'!H156,IF(F247="Technology",'Scenario Paths'!H150,IF(F247="Utilities",'Scenario Paths'!H144,IF(F247="Agriculture",'Scenario Paths'!H138,IF(F247="Manufacturing",'Scenario Paths'!H132,IF(F247="Healthcare",'Scenario Paths'!H126,IF(F247="Hospitality",'Scenario Paths'!H120,IF(F247="Property",'Scenario Paths'!H114,IF(F247="Food",'Scenario Paths'!H108,IF(F247="Logistics",'Scenario Paths'!H102,IF(F247="Solar",'Scenario Paths'!H96,IF(F247="Cement",'Scenario Paths'!H90,0))))))))))))),"Unavailable"))</x:f>
      </x:c>
      <x:c r="I247" s="23" t="str">
        <x:f>IF(C247="","",IFERROR(INDEX('Borrowers'!$R$9:$R$108,MATCH(C247,'Borrowers'!$C$9:$C$108,0))*(1-INDEX('Borrowers'!$W$9:$W$108,MATCH(C247,'Borrowers'!$C$9:$C$108,0))*'Scenario Paths'!H39)*'Scenario Paths'!H9/1000000*(1-INDEX('Borrowers'!$T$9:$T$108,MATCH(C247,'Borrowers'!$C$9:$C$108,0))),"Unavailable"))</x:f>
      </x:c>
      <x:c r="J247" s="23" t="str">
        <x:f>IF(C247="","",IFERROR(INDEX('Borrowers'!$I$9:$I$108,MATCH(C247,'Borrowers'!$C$9:$C$108,0))*INDEX('Borrowers'!$S$9:$S$108,MATCH(C247,'Borrowers'!$C$9:$C$108,0))*'Scenario Paths'!H15*(1-INDEX('Borrowers'!$T$9:$T$108,MATCH(C247,'Borrowers'!$C$9:$C$108,0))),"Unavailable"))</x:f>
      </x:c>
      <x:c r="K247" s="23" t="str">
        <x:f>IF(C247="","",IFERROR(INDEX('Borrowers'!$I$9:$I$108,MATCH(C247,'Borrowers'!$C$9:$C$108,0))*INDEX('Borrowers'!$U$9:$U$108,MATCH(C247,'Borrowers'!$C$9:$C$108,0))*'Scenario Paths'!H21*S247,"Unavailable"))</x:f>
      </x:c>
      <x:c r="L247" s="23" t="str">
        <x:f>IF(C247="","",IFERROR(SUMPRODUCT((Sites!$D$9:$D$108=C247)*Sites!$H$9:$H$108*Sites!$J$9:$J$108*Sites!$K$9:$K$108*(1-Sites!$L$9:$L$108)*(1-Sites!$M$9:$M$108))*'Scenario Paths'!H27,"Unavailable"))</x:f>
      </x:c>
      <x:c r="M247" s="23" t="str">
        <x:f>IF(C247="","",IFERROR(INDEX('Borrowers'!$J$9:$J$108,MATCH(C247,'Borrowers'!$C$9:$C$108,0))+H247-SUM(I247:L247),"Unavailable"))</x:f>
      </x:c>
      <x:c r="N247" s="23" t="str">
        <x:f>IF(C247="","",IFERROR(INDEX('Borrowers'!$I$9:$I$108,MATCH(C247,'Borrowers'!$C$9:$C$108,0))*'Scenario Paths'!H33,"Unavailable"))</x:f>
      </x:c>
      <x:c r="O247" s="23" t="str">
        <x:f>IF(C247="","",IFERROR(M247-INDEX('Borrowers'!$K$9:$K$108,MATCH(C247,'Borrowers'!$C$9:$C$108,0))-N247,"Unavailable"))</x:f>
      </x:c>
      <x:c r="P247" s="127" t="str">
        <x:f>IF(C247="","",IFERROR(O247/INDEX('Borrowers'!$L$9:$L$108,MATCH(C247,'Borrowers'!$C$9:$C$108,0)),"Unavailable"))</x:f>
      </x:c>
      <x:c r="Q247" s="30" t="str">
        <x:f>IF(C247="","",IFERROR(IF(INDEX('Borrowers'!$Z$9:$Z$108,MATCH(C247,'Borrowers'!$C$9:$C$108,0))="Yes",1,IF(INDEX('Borrowers'!$P$9:$P$108,MATCH(C247,'Borrowers'!$C$9:$C$108,0))=0,0,MIN(1,INDEX('Borrowers'!$P$9:$P$108,MATCH(C247,'Borrowers'!$C$9:$C$108,0))*EXP(MIN(20,INDEX('Borrowers'!$V$9:$V$108,MATCH(C247,'Borrowers'!$C$9:$C$108,0))*V247))))),"Unavailable"))</x:f>
      </x:c>
      <x:c r="R247" s="30" t="str">
        <x:f>IF(C247="","",IFERROR(MIN(1,INDEX('Borrowers'!$Q$9:$Q$108,MATCH(C247,'Borrowers'!$C$9:$C$108,0))+(1-INDEX('Borrowers'!$Q$9:$Q$108,MATCH(C247,'Borrowers'!$C$9:$C$108,0)))*T247),"Unavailable"))</x:f>
      </x:c>
      <x:c r="S247" s="30" t="str">
        <x:f>IF(C247="","",IFERROR(SUMPRODUCT((Sites!$D$9:$D$108=C247)*Sites!$I$9:$I$108*Sites!$J$9:$J$108*Sites!$K$9:$K$108*(1-Sites!$L$9:$L$108)),"Unavailable"))</x:f>
      </x:c>
      <x:c r="T247" s="30" t="str">
        <x:f>IF(C247="","",IFERROR(MIN(1,(SUMPRODUCT((Sites!$D$9:$D$108=C247)*Sites!$N$9:$N$108*Sites!$J$9:$J$108*Sites!$K$9:$K$108*(1-Sites!$L$9:$L$108)))*'Scenario Paths'!H27),"Unavailable"))</x:f>
      </x:c>
      <x:c r="U247" s="9" t="str">
        <x:f>IF(C247="","",IF(OR(INDEX('Borrowers'!$AA$9:$AA$108,MATCH(C247,'Borrowers'!$C$9:$C$108,0))&lt;&gt;"Ready",COUNTIF(Sites!$D$9:$D$108,C247)=0,COUNTIFS(Sites!$D$9:$D$108,C247,Sites!$Q$9:$Q$108,"&lt;&gt;Ready")&gt;0,'Scenario Paths'!$F$6&lt;&gt;"Ready"),"Review source inputs","Ready"))</x:f>
      </x:c>
      <x:c r="V247" s="17" t="str">
        <x:f>IF(C247="","",IFERROR(MAX(-1,(G247-O247)/MAX(0.000001,G247)),"Unavailable"))</x:f>
      </x:c>
      <x:c r="W247" s="9" t="str">
        <x:f>IF(C247="","",IFERROR(INDEX('Borrowers'!$D$9:$D$108,MATCH(C247,'Borrowers'!$C$9:$C$108,0)),"Unavailable"))</x:f>
      </x:c>
    </x:row>
    <x:row r="248" ht="26" customHeight="1">
      <x:c r="A248" s="1"/>
      <x:c r="B248" s="1"/>
      <x:c r="C248" s="9" t="str">
        <x:f>IF(Borrowers!C48="","",Borrowers!C48)</x:f>
      </x:c>
      <x:c r="D248" s="3" t="n">
        <x:v>3</x:v>
      </x:c>
      <x:c r="E248" s="9" t="n">
        <x:f>Settings!$F$18+2</x:f>
        <x:v>2029</x:v>
      </x:c>
      <x:c r="F248" s="9" t="str">
        <x:f>IF(C248="","",INDEX('Borrowers'!$F$9:$F$108,MATCH(C248,'Borrowers'!$C$9:$C$108,0)))</x:f>
      </x:c>
      <x:c r="G248" s="23" t="str">
        <x:f>IF(C248="","",IFERROR(INDEX('Borrowers'!$J$9:$J$108,MATCH(C248,'Borrowers'!$C$9:$C$108,0))-INDEX('Borrowers'!$K$9:$K$108,MATCH(C248,'Borrowers'!$C$9:$C$108,0)),"Unavailable"))</x:f>
      </x:c>
      <x:c r="H248" s="23" t="str">
        <x:f>IF(C248="","",IFERROR(INDEX('Borrowers'!$I$9:$I$108,MATCH(C248,'Borrowers'!$C$9:$C$108,0))*INDEX('Borrowers'!$U$9:$U$108,MATCH(C248,'Borrowers'!$C$9:$C$108,0))*(IF(F248="Transport",'Scenario Paths'!H156,IF(F248="Technology",'Scenario Paths'!H150,IF(F248="Utilities",'Scenario Paths'!H144,IF(F248="Agriculture",'Scenario Paths'!H138,IF(F248="Manufacturing",'Scenario Paths'!H132,IF(F248="Healthcare",'Scenario Paths'!H126,IF(F248="Hospitality",'Scenario Paths'!H120,IF(F248="Property",'Scenario Paths'!H114,IF(F248="Food",'Scenario Paths'!H108,IF(F248="Logistics",'Scenario Paths'!H102,IF(F248="Solar",'Scenario Paths'!H96,IF(F248="Cement",'Scenario Paths'!H90,0))))))))))))),"Unavailable"))</x:f>
      </x:c>
      <x:c r="I248" s="23" t="str">
        <x:f>IF(C248="","",IFERROR(INDEX('Borrowers'!$R$9:$R$108,MATCH(C248,'Borrowers'!$C$9:$C$108,0))*(1-INDEX('Borrowers'!$W$9:$W$108,MATCH(C248,'Borrowers'!$C$9:$C$108,0))*'Scenario Paths'!H39)*'Scenario Paths'!H9/1000000*(1-INDEX('Borrowers'!$T$9:$T$108,MATCH(C248,'Borrowers'!$C$9:$C$108,0))),"Unavailable"))</x:f>
      </x:c>
      <x:c r="J248" s="23" t="str">
        <x:f>IF(C248="","",IFERROR(INDEX('Borrowers'!$I$9:$I$108,MATCH(C248,'Borrowers'!$C$9:$C$108,0))*INDEX('Borrowers'!$S$9:$S$108,MATCH(C248,'Borrowers'!$C$9:$C$108,0))*'Scenario Paths'!H15*(1-INDEX('Borrowers'!$T$9:$T$108,MATCH(C248,'Borrowers'!$C$9:$C$108,0))),"Unavailable"))</x:f>
      </x:c>
      <x:c r="K248" s="23" t="str">
        <x:f>IF(C248="","",IFERROR(INDEX('Borrowers'!$I$9:$I$108,MATCH(C248,'Borrowers'!$C$9:$C$108,0))*INDEX('Borrowers'!$U$9:$U$108,MATCH(C248,'Borrowers'!$C$9:$C$108,0))*'Scenario Paths'!H21*S248,"Unavailable"))</x:f>
      </x:c>
      <x:c r="L248" s="23" t="str">
        <x:f>IF(C248="","",IFERROR(SUMPRODUCT((Sites!$D$9:$D$108=C248)*Sites!$H$9:$H$108*Sites!$J$9:$J$108*Sites!$K$9:$K$108*(1-Sites!$L$9:$L$108)*(1-Sites!$M$9:$M$108))*'Scenario Paths'!H27,"Unavailable"))</x:f>
      </x:c>
      <x:c r="M248" s="23" t="str">
        <x:f>IF(C248="","",IFERROR(INDEX('Borrowers'!$J$9:$J$108,MATCH(C248,'Borrowers'!$C$9:$C$108,0))+H248-SUM(I248:L248),"Unavailable"))</x:f>
      </x:c>
      <x:c r="N248" s="23" t="str">
        <x:f>IF(C248="","",IFERROR(INDEX('Borrowers'!$I$9:$I$108,MATCH(C248,'Borrowers'!$C$9:$C$108,0))*'Scenario Paths'!H33,"Unavailable"))</x:f>
      </x:c>
      <x:c r="O248" s="23" t="str">
        <x:f>IF(C248="","",IFERROR(M248-INDEX('Borrowers'!$K$9:$K$108,MATCH(C248,'Borrowers'!$C$9:$C$108,0))-N248,"Unavailable"))</x:f>
      </x:c>
      <x:c r="P248" s="127" t="str">
        <x:f>IF(C248="","",IFERROR(O248/INDEX('Borrowers'!$L$9:$L$108,MATCH(C248,'Borrowers'!$C$9:$C$108,0)),"Unavailable"))</x:f>
      </x:c>
      <x:c r="Q248" s="30" t="str">
        <x:f>IF(C248="","",IFERROR(IF(INDEX('Borrowers'!$Z$9:$Z$108,MATCH(C248,'Borrowers'!$C$9:$C$108,0))="Yes",1,IF(INDEX('Borrowers'!$P$9:$P$108,MATCH(C248,'Borrowers'!$C$9:$C$108,0))=0,0,MIN(1,INDEX('Borrowers'!$P$9:$P$108,MATCH(C248,'Borrowers'!$C$9:$C$108,0))*EXP(MIN(20,INDEX('Borrowers'!$V$9:$V$108,MATCH(C248,'Borrowers'!$C$9:$C$108,0))*V248))))),"Unavailable"))</x:f>
      </x:c>
      <x:c r="R248" s="30" t="str">
        <x:f>IF(C248="","",IFERROR(MIN(1,INDEX('Borrowers'!$Q$9:$Q$108,MATCH(C248,'Borrowers'!$C$9:$C$108,0))+(1-INDEX('Borrowers'!$Q$9:$Q$108,MATCH(C248,'Borrowers'!$C$9:$C$108,0)))*T248),"Unavailable"))</x:f>
      </x:c>
      <x:c r="S248" s="30" t="str">
        <x:f>IF(C248="","",IFERROR(SUMPRODUCT((Sites!$D$9:$D$108=C248)*Sites!$I$9:$I$108*Sites!$J$9:$J$108*Sites!$K$9:$K$108*(1-Sites!$L$9:$L$108)),"Unavailable"))</x:f>
      </x:c>
      <x:c r="T248" s="30" t="str">
        <x:f>IF(C248="","",IFERROR(MIN(1,(SUMPRODUCT((Sites!$D$9:$D$108=C248)*Sites!$N$9:$N$108*Sites!$J$9:$J$108*Sites!$K$9:$K$108*(1-Sites!$L$9:$L$108)))*'Scenario Paths'!H27),"Unavailable"))</x:f>
      </x:c>
      <x:c r="U248" s="9" t="str">
        <x:f>IF(C248="","",IF(OR(INDEX('Borrowers'!$AA$9:$AA$108,MATCH(C248,'Borrowers'!$C$9:$C$108,0))&lt;&gt;"Ready",COUNTIF(Sites!$D$9:$D$108,C248)=0,COUNTIFS(Sites!$D$9:$D$108,C248,Sites!$Q$9:$Q$108,"&lt;&gt;Ready")&gt;0,'Scenario Paths'!$F$6&lt;&gt;"Ready"),"Review source inputs","Ready"))</x:f>
      </x:c>
      <x:c r="V248" s="17" t="str">
        <x:f>IF(C248="","",IFERROR(MAX(-1,(G248-O248)/MAX(0.000001,G248)),"Unavailable"))</x:f>
      </x:c>
      <x:c r="W248" s="9" t="str">
        <x:f>IF(C248="","",IFERROR(INDEX('Borrowers'!$D$9:$D$108,MATCH(C248,'Borrowers'!$C$9:$C$108,0)),"Unavailable"))</x:f>
      </x:c>
    </x:row>
    <x:row r="249" ht="26" customHeight="1">
      <x:c r="A249" s="1"/>
      <x:c r="B249" s="1"/>
      <x:c r="C249" s="9" t="str">
        <x:f>IF(Borrowers!C49="","",Borrowers!C49)</x:f>
      </x:c>
      <x:c r="D249" s="3" t="n">
        <x:v>3</x:v>
      </x:c>
      <x:c r="E249" s="9" t="n">
        <x:f>Settings!$F$18+2</x:f>
        <x:v>2029</x:v>
      </x:c>
      <x:c r="F249" s="9" t="str">
        <x:f>IF(C249="","",INDEX('Borrowers'!$F$9:$F$108,MATCH(C249,'Borrowers'!$C$9:$C$108,0)))</x:f>
      </x:c>
      <x:c r="G249" s="23" t="str">
        <x:f>IF(C249="","",IFERROR(INDEX('Borrowers'!$J$9:$J$108,MATCH(C249,'Borrowers'!$C$9:$C$108,0))-INDEX('Borrowers'!$K$9:$K$108,MATCH(C249,'Borrowers'!$C$9:$C$108,0)),"Unavailable"))</x:f>
      </x:c>
      <x:c r="H249" s="23" t="str">
        <x:f>IF(C249="","",IFERROR(INDEX('Borrowers'!$I$9:$I$108,MATCH(C249,'Borrowers'!$C$9:$C$108,0))*INDEX('Borrowers'!$U$9:$U$108,MATCH(C249,'Borrowers'!$C$9:$C$108,0))*(IF(F249="Transport",'Scenario Paths'!H156,IF(F249="Technology",'Scenario Paths'!H150,IF(F249="Utilities",'Scenario Paths'!H144,IF(F249="Agriculture",'Scenario Paths'!H138,IF(F249="Manufacturing",'Scenario Paths'!H132,IF(F249="Healthcare",'Scenario Paths'!H126,IF(F249="Hospitality",'Scenario Paths'!H120,IF(F249="Property",'Scenario Paths'!H114,IF(F249="Food",'Scenario Paths'!H108,IF(F249="Logistics",'Scenario Paths'!H102,IF(F249="Solar",'Scenario Paths'!H96,IF(F249="Cement",'Scenario Paths'!H90,0))))))))))))),"Unavailable"))</x:f>
      </x:c>
      <x:c r="I249" s="23" t="str">
        <x:f>IF(C249="","",IFERROR(INDEX('Borrowers'!$R$9:$R$108,MATCH(C249,'Borrowers'!$C$9:$C$108,0))*(1-INDEX('Borrowers'!$W$9:$W$108,MATCH(C249,'Borrowers'!$C$9:$C$108,0))*'Scenario Paths'!H39)*'Scenario Paths'!H9/1000000*(1-INDEX('Borrowers'!$T$9:$T$108,MATCH(C249,'Borrowers'!$C$9:$C$108,0))),"Unavailable"))</x:f>
      </x:c>
      <x:c r="J249" s="23" t="str">
        <x:f>IF(C249="","",IFERROR(INDEX('Borrowers'!$I$9:$I$108,MATCH(C249,'Borrowers'!$C$9:$C$108,0))*INDEX('Borrowers'!$S$9:$S$108,MATCH(C249,'Borrowers'!$C$9:$C$108,0))*'Scenario Paths'!H15*(1-INDEX('Borrowers'!$T$9:$T$108,MATCH(C249,'Borrowers'!$C$9:$C$108,0))),"Unavailable"))</x:f>
      </x:c>
      <x:c r="K249" s="23" t="str">
        <x:f>IF(C249="","",IFERROR(INDEX('Borrowers'!$I$9:$I$108,MATCH(C249,'Borrowers'!$C$9:$C$108,0))*INDEX('Borrowers'!$U$9:$U$108,MATCH(C249,'Borrowers'!$C$9:$C$108,0))*'Scenario Paths'!H21*S249,"Unavailable"))</x:f>
      </x:c>
      <x:c r="L249" s="23" t="str">
        <x:f>IF(C249="","",IFERROR(SUMPRODUCT((Sites!$D$9:$D$108=C249)*Sites!$H$9:$H$108*Sites!$J$9:$J$108*Sites!$K$9:$K$108*(1-Sites!$L$9:$L$108)*(1-Sites!$M$9:$M$108))*'Scenario Paths'!H27,"Unavailable"))</x:f>
      </x:c>
      <x:c r="M249" s="23" t="str">
        <x:f>IF(C249="","",IFERROR(INDEX('Borrowers'!$J$9:$J$108,MATCH(C249,'Borrowers'!$C$9:$C$108,0))+H249-SUM(I249:L249),"Unavailable"))</x:f>
      </x:c>
      <x:c r="N249" s="23" t="str">
        <x:f>IF(C249="","",IFERROR(INDEX('Borrowers'!$I$9:$I$108,MATCH(C249,'Borrowers'!$C$9:$C$108,0))*'Scenario Paths'!H33,"Unavailable"))</x:f>
      </x:c>
      <x:c r="O249" s="23" t="str">
        <x:f>IF(C249="","",IFERROR(M249-INDEX('Borrowers'!$K$9:$K$108,MATCH(C249,'Borrowers'!$C$9:$C$108,0))-N249,"Unavailable"))</x:f>
      </x:c>
      <x:c r="P249" s="127" t="str">
        <x:f>IF(C249="","",IFERROR(O249/INDEX('Borrowers'!$L$9:$L$108,MATCH(C249,'Borrowers'!$C$9:$C$108,0)),"Unavailable"))</x:f>
      </x:c>
      <x:c r="Q249" s="30" t="str">
        <x:f>IF(C249="","",IFERROR(IF(INDEX('Borrowers'!$Z$9:$Z$108,MATCH(C249,'Borrowers'!$C$9:$C$108,0))="Yes",1,IF(INDEX('Borrowers'!$P$9:$P$108,MATCH(C249,'Borrowers'!$C$9:$C$108,0))=0,0,MIN(1,INDEX('Borrowers'!$P$9:$P$108,MATCH(C249,'Borrowers'!$C$9:$C$108,0))*EXP(MIN(20,INDEX('Borrowers'!$V$9:$V$108,MATCH(C249,'Borrowers'!$C$9:$C$108,0))*V249))))),"Unavailable"))</x:f>
      </x:c>
      <x:c r="R249" s="30" t="str">
        <x:f>IF(C249="","",IFERROR(MIN(1,INDEX('Borrowers'!$Q$9:$Q$108,MATCH(C249,'Borrowers'!$C$9:$C$108,0))+(1-INDEX('Borrowers'!$Q$9:$Q$108,MATCH(C249,'Borrowers'!$C$9:$C$108,0)))*T249),"Unavailable"))</x:f>
      </x:c>
      <x:c r="S249" s="30" t="str">
        <x:f>IF(C249="","",IFERROR(SUMPRODUCT((Sites!$D$9:$D$108=C249)*Sites!$I$9:$I$108*Sites!$J$9:$J$108*Sites!$K$9:$K$108*(1-Sites!$L$9:$L$108)),"Unavailable"))</x:f>
      </x:c>
      <x:c r="T249" s="30" t="str">
        <x:f>IF(C249="","",IFERROR(MIN(1,(SUMPRODUCT((Sites!$D$9:$D$108=C249)*Sites!$N$9:$N$108*Sites!$J$9:$J$108*Sites!$K$9:$K$108*(1-Sites!$L$9:$L$108)))*'Scenario Paths'!H27),"Unavailable"))</x:f>
      </x:c>
      <x:c r="U249" s="9" t="str">
        <x:f>IF(C249="","",IF(OR(INDEX('Borrowers'!$AA$9:$AA$108,MATCH(C249,'Borrowers'!$C$9:$C$108,0))&lt;&gt;"Ready",COUNTIF(Sites!$D$9:$D$108,C249)=0,COUNTIFS(Sites!$D$9:$D$108,C249,Sites!$Q$9:$Q$108,"&lt;&gt;Ready")&gt;0,'Scenario Paths'!$F$6&lt;&gt;"Ready"),"Review source inputs","Ready"))</x:f>
      </x:c>
      <x:c r="V249" s="17" t="str">
        <x:f>IF(C249="","",IFERROR(MAX(-1,(G249-O249)/MAX(0.000001,G249)),"Unavailable"))</x:f>
      </x:c>
      <x:c r="W249" s="9" t="str">
        <x:f>IF(C249="","",IFERROR(INDEX('Borrowers'!$D$9:$D$108,MATCH(C249,'Borrowers'!$C$9:$C$108,0)),"Unavailable"))</x:f>
      </x:c>
    </x:row>
    <x:row r="250" ht="26" customHeight="1">
      <x:c r="A250" s="1"/>
      <x:c r="B250" s="1"/>
      <x:c r="C250" s="9" t="str">
        <x:f>IF(Borrowers!C50="","",Borrowers!C50)</x:f>
      </x:c>
      <x:c r="D250" s="3" t="n">
        <x:v>3</x:v>
      </x:c>
      <x:c r="E250" s="9" t="n">
        <x:f>Settings!$F$18+2</x:f>
        <x:v>2029</x:v>
      </x:c>
      <x:c r="F250" s="9" t="str">
        <x:f>IF(C250="","",INDEX('Borrowers'!$F$9:$F$108,MATCH(C250,'Borrowers'!$C$9:$C$108,0)))</x:f>
      </x:c>
      <x:c r="G250" s="23" t="str">
        <x:f>IF(C250="","",IFERROR(INDEX('Borrowers'!$J$9:$J$108,MATCH(C250,'Borrowers'!$C$9:$C$108,0))-INDEX('Borrowers'!$K$9:$K$108,MATCH(C250,'Borrowers'!$C$9:$C$108,0)),"Unavailable"))</x:f>
      </x:c>
      <x:c r="H250" s="23" t="str">
        <x:f>IF(C250="","",IFERROR(INDEX('Borrowers'!$I$9:$I$108,MATCH(C250,'Borrowers'!$C$9:$C$108,0))*INDEX('Borrowers'!$U$9:$U$108,MATCH(C250,'Borrowers'!$C$9:$C$108,0))*(IF(F250="Transport",'Scenario Paths'!H156,IF(F250="Technology",'Scenario Paths'!H150,IF(F250="Utilities",'Scenario Paths'!H144,IF(F250="Agriculture",'Scenario Paths'!H138,IF(F250="Manufacturing",'Scenario Paths'!H132,IF(F250="Healthcare",'Scenario Paths'!H126,IF(F250="Hospitality",'Scenario Paths'!H120,IF(F250="Property",'Scenario Paths'!H114,IF(F250="Food",'Scenario Paths'!H108,IF(F250="Logistics",'Scenario Paths'!H102,IF(F250="Solar",'Scenario Paths'!H96,IF(F250="Cement",'Scenario Paths'!H90,0))))))))))))),"Unavailable"))</x:f>
      </x:c>
      <x:c r="I250" s="23" t="str">
        <x:f>IF(C250="","",IFERROR(INDEX('Borrowers'!$R$9:$R$108,MATCH(C250,'Borrowers'!$C$9:$C$108,0))*(1-INDEX('Borrowers'!$W$9:$W$108,MATCH(C250,'Borrowers'!$C$9:$C$108,0))*'Scenario Paths'!H39)*'Scenario Paths'!H9/1000000*(1-INDEX('Borrowers'!$T$9:$T$108,MATCH(C250,'Borrowers'!$C$9:$C$108,0))),"Unavailable"))</x:f>
      </x:c>
      <x:c r="J250" s="23" t="str">
        <x:f>IF(C250="","",IFERROR(INDEX('Borrowers'!$I$9:$I$108,MATCH(C250,'Borrowers'!$C$9:$C$108,0))*INDEX('Borrowers'!$S$9:$S$108,MATCH(C250,'Borrowers'!$C$9:$C$108,0))*'Scenario Paths'!H15*(1-INDEX('Borrowers'!$T$9:$T$108,MATCH(C250,'Borrowers'!$C$9:$C$108,0))),"Unavailable"))</x:f>
      </x:c>
      <x:c r="K250" s="23" t="str">
        <x:f>IF(C250="","",IFERROR(INDEX('Borrowers'!$I$9:$I$108,MATCH(C250,'Borrowers'!$C$9:$C$108,0))*INDEX('Borrowers'!$U$9:$U$108,MATCH(C250,'Borrowers'!$C$9:$C$108,0))*'Scenario Paths'!H21*S250,"Unavailable"))</x:f>
      </x:c>
      <x:c r="L250" s="23" t="str">
        <x:f>IF(C250="","",IFERROR(SUMPRODUCT((Sites!$D$9:$D$108=C250)*Sites!$H$9:$H$108*Sites!$J$9:$J$108*Sites!$K$9:$K$108*(1-Sites!$L$9:$L$108)*(1-Sites!$M$9:$M$108))*'Scenario Paths'!H27,"Unavailable"))</x:f>
      </x:c>
      <x:c r="M250" s="23" t="str">
        <x:f>IF(C250="","",IFERROR(INDEX('Borrowers'!$J$9:$J$108,MATCH(C250,'Borrowers'!$C$9:$C$108,0))+H250-SUM(I250:L250),"Unavailable"))</x:f>
      </x:c>
      <x:c r="N250" s="23" t="str">
        <x:f>IF(C250="","",IFERROR(INDEX('Borrowers'!$I$9:$I$108,MATCH(C250,'Borrowers'!$C$9:$C$108,0))*'Scenario Paths'!H33,"Unavailable"))</x:f>
      </x:c>
      <x:c r="O250" s="23" t="str">
        <x:f>IF(C250="","",IFERROR(M250-INDEX('Borrowers'!$K$9:$K$108,MATCH(C250,'Borrowers'!$C$9:$C$108,0))-N250,"Unavailable"))</x:f>
      </x:c>
      <x:c r="P250" s="127" t="str">
        <x:f>IF(C250="","",IFERROR(O250/INDEX('Borrowers'!$L$9:$L$108,MATCH(C250,'Borrowers'!$C$9:$C$108,0)),"Unavailable"))</x:f>
      </x:c>
      <x:c r="Q250" s="30" t="str">
        <x:f>IF(C250="","",IFERROR(IF(INDEX('Borrowers'!$Z$9:$Z$108,MATCH(C250,'Borrowers'!$C$9:$C$108,0))="Yes",1,IF(INDEX('Borrowers'!$P$9:$P$108,MATCH(C250,'Borrowers'!$C$9:$C$108,0))=0,0,MIN(1,INDEX('Borrowers'!$P$9:$P$108,MATCH(C250,'Borrowers'!$C$9:$C$108,0))*EXP(MIN(20,INDEX('Borrowers'!$V$9:$V$108,MATCH(C250,'Borrowers'!$C$9:$C$108,0))*V250))))),"Unavailable"))</x:f>
      </x:c>
      <x:c r="R250" s="30" t="str">
        <x:f>IF(C250="","",IFERROR(MIN(1,INDEX('Borrowers'!$Q$9:$Q$108,MATCH(C250,'Borrowers'!$C$9:$C$108,0))+(1-INDEX('Borrowers'!$Q$9:$Q$108,MATCH(C250,'Borrowers'!$C$9:$C$108,0)))*T250),"Unavailable"))</x:f>
      </x:c>
      <x:c r="S250" s="30" t="str">
        <x:f>IF(C250="","",IFERROR(SUMPRODUCT((Sites!$D$9:$D$108=C250)*Sites!$I$9:$I$108*Sites!$J$9:$J$108*Sites!$K$9:$K$108*(1-Sites!$L$9:$L$108)),"Unavailable"))</x:f>
      </x:c>
      <x:c r="T250" s="30" t="str">
        <x:f>IF(C250="","",IFERROR(MIN(1,(SUMPRODUCT((Sites!$D$9:$D$108=C250)*Sites!$N$9:$N$108*Sites!$J$9:$J$108*Sites!$K$9:$K$108*(1-Sites!$L$9:$L$108)))*'Scenario Paths'!H27),"Unavailable"))</x:f>
      </x:c>
      <x:c r="U250" s="9" t="str">
        <x:f>IF(C250="","",IF(OR(INDEX('Borrowers'!$AA$9:$AA$108,MATCH(C250,'Borrowers'!$C$9:$C$108,0))&lt;&gt;"Ready",COUNTIF(Sites!$D$9:$D$108,C250)=0,COUNTIFS(Sites!$D$9:$D$108,C250,Sites!$Q$9:$Q$108,"&lt;&gt;Ready")&gt;0,'Scenario Paths'!$F$6&lt;&gt;"Ready"),"Review source inputs","Ready"))</x:f>
      </x:c>
      <x:c r="V250" s="17" t="str">
        <x:f>IF(C250="","",IFERROR(MAX(-1,(G250-O250)/MAX(0.000001,G250)),"Unavailable"))</x:f>
      </x:c>
      <x:c r="W250" s="9" t="str">
        <x:f>IF(C250="","",IFERROR(INDEX('Borrowers'!$D$9:$D$108,MATCH(C250,'Borrowers'!$C$9:$C$108,0)),"Unavailable"))</x:f>
      </x:c>
    </x:row>
    <x:row r="251" ht="26" customHeight="1">
      <x:c r="A251" s="1"/>
      <x:c r="B251" s="1"/>
      <x:c r="C251" s="9" t="str">
        <x:f>IF(Borrowers!C51="","",Borrowers!C51)</x:f>
      </x:c>
      <x:c r="D251" s="3" t="n">
        <x:v>3</x:v>
      </x:c>
      <x:c r="E251" s="9" t="n">
        <x:f>Settings!$F$18+2</x:f>
        <x:v>2029</x:v>
      </x:c>
      <x:c r="F251" s="9" t="str">
        <x:f>IF(C251="","",INDEX('Borrowers'!$F$9:$F$108,MATCH(C251,'Borrowers'!$C$9:$C$108,0)))</x:f>
      </x:c>
      <x:c r="G251" s="23" t="str">
        <x:f>IF(C251="","",IFERROR(INDEX('Borrowers'!$J$9:$J$108,MATCH(C251,'Borrowers'!$C$9:$C$108,0))-INDEX('Borrowers'!$K$9:$K$108,MATCH(C251,'Borrowers'!$C$9:$C$108,0)),"Unavailable"))</x:f>
      </x:c>
      <x:c r="H251" s="23" t="str">
        <x:f>IF(C251="","",IFERROR(INDEX('Borrowers'!$I$9:$I$108,MATCH(C251,'Borrowers'!$C$9:$C$108,0))*INDEX('Borrowers'!$U$9:$U$108,MATCH(C251,'Borrowers'!$C$9:$C$108,0))*(IF(F251="Transport",'Scenario Paths'!H156,IF(F251="Technology",'Scenario Paths'!H150,IF(F251="Utilities",'Scenario Paths'!H144,IF(F251="Agriculture",'Scenario Paths'!H138,IF(F251="Manufacturing",'Scenario Paths'!H132,IF(F251="Healthcare",'Scenario Paths'!H126,IF(F251="Hospitality",'Scenario Paths'!H120,IF(F251="Property",'Scenario Paths'!H114,IF(F251="Food",'Scenario Paths'!H108,IF(F251="Logistics",'Scenario Paths'!H102,IF(F251="Solar",'Scenario Paths'!H96,IF(F251="Cement",'Scenario Paths'!H90,0))))))))))))),"Unavailable"))</x:f>
      </x:c>
      <x:c r="I251" s="23" t="str">
        <x:f>IF(C251="","",IFERROR(INDEX('Borrowers'!$R$9:$R$108,MATCH(C251,'Borrowers'!$C$9:$C$108,0))*(1-INDEX('Borrowers'!$W$9:$W$108,MATCH(C251,'Borrowers'!$C$9:$C$108,0))*'Scenario Paths'!H39)*'Scenario Paths'!H9/1000000*(1-INDEX('Borrowers'!$T$9:$T$108,MATCH(C251,'Borrowers'!$C$9:$C$108,0))),"Unavailable"))</x:f>
      </x:c>
      <x:c r="J251" s="23" t="str">
        <x:f>IF(C251="","",IFERROR(INDEX('Borrowers'!$I$9:$I$108,MATCH(C251,'Borrowers'!$C$9:$C$108,0))*INDEX('Borrowers'!$S$9:$S$108,MATCH(C251,'Borrowers'!$C$9:$C$108,0))*'Scenario Paths'!H15*(1-INDEX('Borrowers'!$T$9:$T$108,MATCH(C251,'Borrowers'!$C$9:$C$108,0))),"Unavailable"))</x:f>
      </x:c>
      <x:c r="K251" s="23" t="str">
        <x:f>IF(C251="","",IFERROR(INDEX('Borrowers'!$I$9:$I$108,MATCH(C251,'Borrowers'!$C$9:$C$108,0))*INDEX('Borrowers'!$U$9:$U$108,MATCH(C251,'Borrowers'!$C$9:$C$108,0))*'Scenario Paths'!H21*S251,"Unavailable"))</x:f>
      </x:c>
      <x:c r="L251" s="23" t="str">
        <x:f>IF(C251="","",IFERROR(SUMPRODUCT((Sites!$D$9:$D$108=C251)*Sites!$H$9:$H$108*Sites!$J$9:$J$108*Sites!$K$9:$K$108*(1-Sites!$L$9:$L$108)*(1-Sites!$M$9:$M$108))*'Scenario Paths'!H27,"Unavailable"))</x:f>
      </x:c>
      <x:c r="M251" s="23" t="str">
        <x:f>IF(C251="","",IFERROR(INDEX('Borrowers'!$J$9:$J$108,MATCH(C251,'Borrowers'!$C$9:$C$108,0))+H251-SUM(I251:L251),"Unavailable"))</x:f>
      </x:c>
      <x:c r="N251" s="23" t="str">
        <x:f>IF(C251="","",IFERROR(INDEX('Borrowers'!$I$9:$I$108,MATCH(C251,'Borrowers'!$C$9:$C$108,0))*'Scenario Paths'!H33,"Unavailable"))</x:f>
      </x:c>
      <x:c r="O251" s="23" t="str">
        <x:f>IF(C251="","",IFERROR(M251-INDEX('Borrowers'!$K$9:$K$108,MATCH(C251,'Borrowers'!$C$9:$C$108,0))-N251,"Unavailable"))</x:f>
      </x:c>
      <x:c r="P251" s="127" t="str">
        <x:f>IF(C251="","",IFERROR(O251/INDEX('Borrowers'!$L$9:$L$108,MATCH(C251,'Borrowers'!$C$9:$C$108,0)),"Unavailable"))</x:f>
      </x:c>
      <x:c r="Q251" s="30" t="str">
        <x:f>IF(C251="","",IFERROR(IF(INDEX('Borrowers'!$Z$9:$Z$108,MATCH(C251,'Borrowers'!$C$9:$C$108,0))="Yes",1,IF(INDEX('Borrowers'!$P$9:$P$108,MATCH(C251,'Borrowers'!$C$9:$C$108,0))=0,0,MIN(1,INDEX('Borrowers'!$P$9:$P$108,MATCH(C251,'Borrowers'!$C$9:$C$108,0))*EXP(MIN(20,INDEX('Borrowers'!$V$9:$V$108,MATCH(C251,'Borrowers'!$C$9:$C$108,0))*V251))))),"Unavailable"))</x:f>
      </x:c>
      <x:c r="R251" s="30" t="str">
        <x:f>IF(C251="","",IFERROR(MIN(1,INDEX('Borrowers'!$Q$9:$Q$108,MATCH(C251,'Borrowers'!$C$9:$C$108,0))+(1-INDEX('Borrowers'!$Q$9:$Q$108,MATCH(C251,'Borrowers'!$C$9:$C$108,0)))*T251),"Unavailable"))</x:f>
      </x:c>
      <x:c r="S251" s="30" t="str">
        <x:f>IF(C251="","",IFERROR(SUMPRODUCT((Sites!$D$9:$D$108=C251)*Sites!$I$9:$I$108*Sites!$J$9:$J$108*Sites!$K$9:$K$108*(1-Sites!$L$9:$L$108)),"Unavailable"))</x:f>
      </x:c>
      <x:c r="T251" s="30" t="str">
        <x:f>IF(C251="","",IFERROR(MIN(1,(SUMPRODUCT((Sites!$D$9:$D$108=C251)*Sites!$N$9:$N$108*Sites!$J$9:$J$108*Sites!$K$9:$K$108*(1-Sites!$L$9:$L$108)))*'Scenario Paths'!H27),"Unavailable"))</x:f>
      </x:c>
      <x:c r="U251" s="9" t="str">
        <x:f>IF(C251="","",IF(OR(INDEX('Borrowers'!$AA$9:$AA$108,MATCH(C251,'Borrowers'!$C$9:$C$108,0))&lt;&gt;"Ready",COUNTIF(Sites!$D$9:$D$108,C251)=0,COUNTIFS(Sites!$D$9:$D$108,C251,Sites!$Q$9:$Q$108,"&lt;&gt;Ready")&gt;0,'Scenario Paths'!$F$6&lt;&gt;"Ready"),"Review source inputs","Ready"))</x:f>
      </x:c>
      <x:c r="V251" s="17" t="str">
        <x:f>IF(C251="","",IFERROR(MAX(-1,(G251-O251)/MAX(0.000001,G251)),"Unavailable"))</x:f>
      </x:c>
      <x:c r="W251" s="9" t="str">
        <x:f>IF(C251="","",IFERROR(INDEX('Borrowers'!$D$9:$D$108,MATCH(C251,'Borrowers'!$C$9:$C$108,0)),"Unavailable"))</x:f>
      </x:c>
    </x:row>
    <x:row r="252" ht="26" customHeight="1">
      <x:c r="A252" s="1"/>
      <x:c r="B252" s="1"/>
      <x:c r="C252" s="9" t="str">
        <x:f>IF(Borrowers!C52="","",Borrowers!C52)</x:f>
      </x:c>
      <x:c r="D252" s="3" t="n">
        <x:v>3</x:v>
      </x:c>
      <x:c r="E252" s="9" t="n">
        <x:f>Settings!$F$18+2</x:f>
        <x:v>2029</x:v>
      </x:c>
      <x:c r="F252" s="9" t="str">
        <x:f>IF(C252="","",INDEX('Borrowers'!$F$9:$F$108,MATCH(C252,'Borrowers'!$C$9:$C$108,0)))</x:f>
      </x:c>
      <x:c r="G252" s="23" t="str">
        <x:f>IF(C252="","",IFERROR(INDEX('Borrowers'!$J$9:$J$108,MATCH(C252,'Borrowers'!$C$9:$C$108,0))-INDEX('Borrowers'!$K$9:$K$108,MATCH(C252,'Borrowers'!$C$9:$C$108,0)),"Unavailable"))</x:f>
      </x:c>
      <x:c r="H252" s="23" t="str">
        <x:f>IF(C252="","",IFERROR(INDEX('Borrowers'!$I$9:$I$108,MATCH(C252,'Borrowers'!$C$9:$C$108,0))*INDEX('Borrowers'!$U$9:$U$108,MATCH(C252,'Borrowers'!$C$9:$C$108,0))*(IF(F252="Transport",'Scenario Paths'!H156,IF(F252="Technology",'Scenario Paths'!H150,IF(F252="Utilities",'Scenario Paths'!H144,IF(F252="Agriculture",'Scenario Paths'!H138,IF(F252="Manufacturing",'Scenario Paths'!H132,IF(F252="Healthcare",'Scenario Paths'!H126,IF(F252="Hospitality",'Scenario Paths'!H120,IF(F252="Property",'Scenario Paths'!H114,IF(F252="Food",'Scenario Paths'!H108,IF(F252="Logistics",'Scenario Paths'!H102,IF(F252="Solar",'Scenario Paths'!H96,IF(F252="Cement",'Scenario Paths'!H90,0))))))))))))),"Unavailable"))</x:f>
      </x:c>
      <x:c r="I252" s="23" t="str">
        <x:f>IF(C252="","",IFERROR(INDEX('Borrowers'!$R$9:$R$108,MATCH(C252,'Borrowers'!$C$9:$C$108,0))*(1-INDEX('Borrowers'!$W$9:$W$108,MATCH(C252,'Borrowers'!$C$9:$C$108,0))*'Scenario Paths'!H39)*'Scenario Paths'!H9/1000000*(1-INDEX('Borrowers'!$T$9:$T$108,MATCH(C252,'Borrowers'!$C$9:$C$108,0))),"Unavailable"))</x:f>
      </x:c>
      <x:c r="J252" s="23" t="str">
        <x:f>IF(C252="","",IFERROR(INDEX('Borrowers'!$I$9:$I$108,MATCH(C252,'Borrowers'!$C$9:$C$108,0))*INDEX('Borrowers'!$S$9:$S$108,MATCH(C252,'Borrowers'!$C$9:$C$108,0))*'Scenario Paths'!H15*(1-INDEX('Borrowers'!$T$9:$T$108,MATCH(C252,'Borrowers'!$C$9:$C$108,0))),"Unavailable"))</x:f>
      </x:c>
      <x:c r="K252" s="23" t="str">
        <x:f>IF(C252="","",IFERROR(INDEX('Borrowers'!$I$9:$I$108,MATCH(C252,'Borrowers'!$C$9:$C$108,0))*INDEX('Borrowers'!$U$9:$U$108,MATCH(C252,'Borrowers'!$C$9:$C$108,0))*'Scenario Paths'!H21*S252,"Unavailable"))</x:f>
      </x:c>
      <x:c r="L252" s="23" t="str">
        <x:f>IF(C252="","",IFERROR(SUMPRODUCT((Sites!$D$9:$D$108=C252)*Sites!$H$9:$H$108*Sites!$J$9:$J$108*Sites!$K$9:$K$108*(1-Sites!$L$9:$L$108)*(1-Sites!$M$9:$M$108))*'Scenario Paths'!H27,"Unavailable"))</x:f>
      </x:c>
      <x:c r="M252" s="23" t="str">
        <x:f>IF(C252="","",IFERROR(INDEX('Borrowers'!$J$9:$J$108,MATCH(C252,'Borrowers'!$C$9:$C$108,0))+H252-SUM(I252:L252),"Unavailable"))</x:f>
      </x:c>
      <x:c r="N252" s="23" t="str">
        <x:f>IF(C252="","",IFERROR(INDEX('Borrowers'!$I$9:$I$108,MATCH(C252,'Borrowers'!$C$9:$C$108,0))*'Scenario Paths'!H33,"Unavailable"))</x:f>
      </x:c>
      <x:c r="O252" s="23" t="str">
        <x:f>IF(C252="","",IFERROR(M252-INDEX('Borrowers'!$K$9:$K$108,MATCH(C252,'Borrowers'!$C$9:$C$108,0))-N252,"Unavailable"))</x:f>
      </x:c>
      <x:c r="P252" s="127" t="str">
        <x:f>IF(C252="","",IFERROR(O252/INDEX('Borrowers'!$L$9:$L$108,MATCH(C252,'Borrowers'!$C$9:$C$108,0)),"Unavailable"))</x:f>
      </x:c>
      <x:c r="Q252" s="30" t="str">
        <x:f>IF(C252="","",IFERROR(IF(INDEX('Borrowers'!$Z$9:$Z$108,MATCH(C252,'Borrowers'!$C$9:$C$108,0))="Yes",1,IF(INDEX('Borrowers'!$P$9:$P$108,MATCH(C252,'Borrowers'!$C$9:$C$108,0))=0,0,MIN(1,INDEX('Borrowers'!$P$9:$P$108,MATCH(C252,'Borrowers'!$C$9:$C$108,0))*EXP(MIN(20,INDEX('Borrowers'!$V$9:$V$108,MATCH(C252,'Borrowers'!$C$9:$C$108,0))*V252))))),"Unavailable"))</x:f>
      </x:c>
      <x:c r="R252" s="30" t="str">
        <x:f>IF(C252="","",IFERROR(MIN(1,INDEX('Borrowers'!$Q$9:$Q$108,MATCH(C252,'Borrowers'!$C$9:$C$108,0))+(1-INDEX('Borrowers'!$Q$9:$Q$108,MATCH(C252,'Borrowers'!$C$9:$C$108,0)))*T252),"Unavailable"))</x:f>
      </x:c>
      <x:c r="S252" s="30" t="str">
        <x:f>IF(C252="","",IFERROR(SUMPRODUCT((Sites!$D$9:$D$108=C252)*Sites!$I$9:$I$108*Sites!$J$9:$J$108*Sites!$K$9:$K$108*(1-Sites!$L$9:$L$108)),"Unavailable"))</x:f>
      </x:c>
      <x:c r="T252" s="30" t="str">
        <x:f>IF(C252="","",IFERROR(MIN(1,(SUMPRODUCT((Sites!$D$9:$D$108=C252)*Sites!$N$9:$N$108*Sites!$J$9:$J$108*Sites!$K$9:$K$108*(1-Sites!$L$9:$L$108)))*'Scenario Paths'!H27),"Unavailable"))</x:f>
      </x:c>
      <x:c r="U252" s="9" t="str">
        <x:f>IF(C252="","",IF(OR(INDEX('Borrowers'!$AA$9:$AA$108,MATCH(C252,'Borrowers'!$C$9:$C$108,0))&lt;&gt;"Ready",COUNTIF(Sites!$D$9:$D$108,C252)=0,COUNTIFS(Sites!$D$9:$D$108,C252,Sites!$Q$9:$Q$108,"&lt;&gt;Ready")&gt;0,'Scenario Paths'!$F$6&lt;&gt;"Ready"),"Review source inputs","Ready"))</x:f>
      </x:c>
      <x:c r="V252" s="17" t="str">
        <x:f>IF(C252="","",IFERROR(MAX(-1,(G252-O252)/MAX(0.000001,G252)),"Unavailable"))</x:f>
      </x:c>
      <x:c r="W252" s="9" t="str">
        <x:f>IF(C252="","",IFERROR(INDEX('Borrowers'!$D$9:$D$108,MATCH(C252,'Borrowers'!$C$9:$C$108,0)),"Unavailable"))</x:f>
      </x:c>
    </x:row>
    <x:row r="253" ht="26" customHeight="1">
      <x:c r="A253" s="1"/>
      <x:c r="B253" s="1"/>
      <x:c r="C253" s="9" t="str">
        <x:f>IF(Borrowers!C53="","",Borrowers!C53)</x:f>
      </x:c>
      <x:c r="D253" s="3" t="n">
        <x:v>3</x:v>
      </x:c>
      <x:c r="E253" s="9" t="n">
        <x:f>Settings!$F$18+2</x:f>
        <x:v>2029</x:v>
      </x:c>
      <x:c r="F253" s="9" t="str">
        <x:f>IF(C253="","",INDEX('Borrowers'!$F$9:$F$108,MATCH(C253,'Borrowers'!$C$9:$C$108,0)))</x:f>
      </x:c>
      <x:c r="G253" s="23" t="str">
        <x:f>IF(C253="","",IFERROR(INDEX('Borrowers'!$J$9:$J$108,MATCH(C253,'Borrowers'!$C$9:$C$108,0))-INDEX('Borrowers'!$K$9:$K$108,MATCH(C253,'Borrowers'!$C$9:$C$108,0)),"Unavailable"))</x:f>
      </x:c>
      <x:c r="H253" s="23" t="str">
        <x:f>IF(C253="","",IFERROR(INDEX('Borrowers'!$I$9:$I$108,MATCH(C253,'Borrowers'!$C$9:$C$108,0))*INDEX('Borrowers'!$U$9:$U$108,MATCH(C253,'Borrowers'!$C$9:$C$108,0))*(IF(F253="Transport",'Scenario Paths'!H156,IF(F253="Technology",'Scenario Paths'!H150,IF(F253="Utilities",'Scenario Paths'!H144,IF(F253="Agriculture",'Scenario Paths'!H138,IF(F253="Manufacturing",'Scenario Paths'!H132,IF(F253="Healthcare",'Scenario Paths'!H126,IF(F253="Hospitality",'Scenario Paths'!H120,IF(F253="Property",'Scenario Paths'!H114,IF(F253="Food",'Scenario Paths'!H108,IF(F253="Logistics",'Scenario Paths'!H102,IF(F253="Solar",'Scenario Paths'!H96,IF(F253="Cement",'Scenario Paths'!H90,0))))))))))))),"Unavailable"))</x:f>
      </x:c>
      <x:c r="I253" s="23" t="str">
        <x:f>IF(C253="","",IFERROR(INDEX('Borrowers'!$R$9:$R$108,MATCH(C253,'Borrowers'!$C$9:$C$108,0))*(1-INDEX('Borrowers'!$W$9:$W$108,MATCH(C253,'Borrowers'!$C$9:$C$108,0))*'Scenario Paths'!H39)*'Scenario Paths'!H9/1000000*(1-INDEX('Borrowers'!$T$9:$T$108,MATCH(C253,'Borrowers'!$C$9:$C$108,0))),"Unavailable"))</x:f>
      </x:c>
      <x:c r="J253" s="23" t="str">
        <x:f>IF(C253="","",IFERROR(INDEX('Borrowers'!$I$9:$I$108,MATCH(C253,'Borrowers'!$C$9:$C$108,0))*INDEX('Borrowers'!$S$9:$S$108,MATCH(C253,'Borrowers'!$C$9:$C$108,0))*'Scenario Paths'!H15*(1-INDEX('Borrowers'!$T$9:$T$108,MATCH(C253,'Borrowers'!$C$9:$C$108,0))),"Unavailable"))</x:f>
      </x:c>
      <x:c r="K253" s="23" t="str">
        <x:f>IF(C253="","",IFERROR(INDEX('Borrowers'!$I$9:$I$108,MATCH(C253,'Borrowers'!$C$9:$C$108,0))*INDEX('Borrowers'!$U$9:$U$108,MATCH(C253,'Borrowers'!$C$9:$C$108,0))*'Scenario Paths'!H21*S253,"Unavailable"))</x:f>
      </x:c>
      <x:c r="L253" s="23" t="str">
        <x:f>IF(C253="","",IFERROR(SUMPRODUCT((Sites!$D$9:$D$108=C253)*Sites!$H$9:$H$108*Sites!$J$9:$J$108*Sites!$K$9:$K$108*(1-Sites!$L$9:$L$108)*(1-Sites!$M$9:$M$108))*'Scenario Paths'!H27,"Unavailable"))</x:f>
      </x:c>
      <x:c r="M253" s="23" t="str">
        <x:f>IF(C253="","",IFERROR(INDEX('Borrowers'!$J$9:$J$108,MATCH(C253,'Borrowers'!$C$9:$C$108,0))+H253-SUM(I253:L253),"Unavailable"))</x:f>
      </x:c>
      <x:c r="N253" s="23" t="str">
        <x:f>IF(C253="","",IFERROR(INDEX('Borrowers'!$I$9:$I$108,MATCH(C253,'Borrowers'!$C$9:$C$108,0))*'Scenario Paths'!H33,"Unavailable"))</x:f>
      </x:c>
      <x:c r="O253" s="23" t="str">
        <x:f>IF(C253="","",IFERROR(M253-INDEX('Borrowers'!$K$9:$K$108,MATCH(C253,'Borrowers'!$C$9:$C$108,0))-N253,"Unavailable"))</x:f>
      </x:c>
      <x:c r="P253" s="127" t="str">
        <x:f>IF(C253="","",IFERROR(O253/INDEX('Borrowers'!$L$9:$L$108,MATCH(C253,'Borrowers'!$C$9:$C$108,0)),"Unavailable"))</x:f>
      </x:c>
      <x:c r="Q253" s="30" t="str">
        <x:f>IF(C253="","",IFERROR(IF(INDEX('Borrowers'!$Z$9:$Z$108,MATCH(C253,'Borrowers'!$C$9:$C$108,0))="Yes",1,IF(INDEX('Borrowers'!$P$9:$P$108,MATCH(C253,'Borrowers'!$C$9:$C$108,0))=0,0,MIN(1,INDEX('Borrowers'!$P$9:$P$108,MATCH(C253,'Borrowers'!$C$9:$C$108,0))*EXP(MIN(20,INDEX('Borrowers'!$V$9:$V$108,MATCH(C253,'Borrowers'!$C$9:$C$108,0))*V253))))),"Unavailable"))</x:f>
      </x:c>
      <x:c r="R253" s="30" t="str">
        <x:f>IF(C253="","",IFERROR(MIN(1,INDEX('Borrowers'!$Q$9:$Q$108,MATCH(C253,'Borrowers'!$C$9:$C$108,0))+(1-INDEX('Borrowers'!$Q$9:$Q$108,MATCH(C253,'Borrowers'!$C$9:$C$108,0)))*T253),"Unavailable"))</x:f>
      </x:c>
      <x:c r="S253" s="30" t="str">
        <x:f>IF(C253="","",IFERROR(SUMPRODUCT((Sites!$D$9:$D$108=C253)*Sites!$I$9:$I$108*Sites!$J$9:$J$108*Sites!$K$9:$K$108*(1-Sites!$L$9:$L$108)),"Unavailable"))</x:f>
      </x:c>
      <x:c r="T253" s="30" t="str">
        <x:f>IF(C253="","",IFERROR(MIN(1,(SUMPRODUCT((Sites!$D$9:$D$108=C253)*Sites!$N$9:$N$108*Sites!$J$9:$J$108*Sites!$K$9:$K$108*(1-Sites!$L$9:$L$108)))*'Scenario Paths'!H27),"Unavailable"))</x:f>
      </x:c>
      <x:c r="U253" s="9" t="str">
        <x:f>IF(C253="","",IF(OR(INDEX('Borrowers'!$AA$9:$AA$108,MATCH(C253,'Borrowers'!$C$9:$C$108,0))&lt;&gt;"Ready",COUNTIF(Sites!$D$9:$D$108,C253)=0,COUNTIFS(Sites!$D$9:$D$108,C253,Sites!$Q$9:$Q$108,"&lt;&gt;Ready")&gt;0,'Scenario Paths'!$F$6&lt;&gt;"Ready"),"Review source inputs","Ready"))</x:f>
      </x:c>
      <x:c r="V253" s="17" t="str">
        <x:f>IF(C253="","",IFERROR(MAX(-1,(G253-O253)/MAX(0.000001,G253)),"Unavailable"))</x:f>
      </x:c>
      <x:c r="W253" s="9" t="str">
        <x:f>IF(C253="","",IFERROR(INDEX('Borrowers'!$D$9:$D$108,MATCH(C253,'Borrowers'!$C$9:$C$108,0)),"Unavailable"))</x:f>
      </x:c>
    </x:row>
    <x:row r="254" ht="26" customHeight="1">
      <x:c r="A254" s="1"/>
      <x:c r="B254" s="1"/>
      <x:c r="C254" s="9" t="str">
        <x:f>IF(Borrowers!C54="","",Borrowers!C54)</x:f>
      </x:c>
      <x:c r="D254" s="3" t="n">
        <x:v>3</x:v>
      </x:c>
      <x:c r="E254" s="9" t="n">
        <x:f>Settings!$F$18+2</x:f>
        <x:v>2029</x:v>
      </x:c>
      <x:c r="F254" s="9" t="str">
        <x:f>IF(C254="","",INDEX('Borrowers'!$F$9:$F$108,MATCH(C254,'Borrowers'!$C$9:$C$108,0)))</x:f>
      </x:c>
      <x:c r="G254" s="23" t="str">
        <x:f>IF(C254="","",IFERROR(INDEX('Borrowers'!$J$9:$J$108,MATCH(C254,'Borrowers'!$C$9:$C$108,0))-INDEX('Borrowers'!$K$9:$K$108,MATCH(C254,'Borrowers'!$C$9:$C$108,0)),"Unavailable"))</x:f>
      </x:c>
      <x:c r="H254" s="23" t="str">
        <x:f>IF(C254="","",IFERROR(INDEX('Borrowers'!$I$9:$I$108,MATCH(C254,'Borrowers'!$C$9:$C$108,0))*INDEX('Borrowers'!$U$9:$U$108,MATCH(C254,'Borrowers'!$C$9:$C$108,0))*(IF(F254="Transport",'Scenario Paths'!H156,IF(F254="Technology",'Scenario Paths'!H150,IF(F254="Utilities",'Scenario Paths'!H144,IF(F254="Agriculture",'Scenario Paths'!H138,IF(F254="Manufacturing",'Scenario Paths'!H132,IF(F254="Healthcare",'Scenario Paths'!H126,IF(F254="Hospitality",'Scenario Paths'!H120,IF(F254="Property",'Scenario Paths'!H114,IF(F254="Food",'Scenario Paths'!H108,IF(F254="Logistics",'Scenario Paths'!H102,IF(F254="Solar",'Scenario Paths'!H96,IF(F254="Cement",'Scenario Paths'!H90,0))))))))))))),"Unavailable"))</x:f>
      </x:c>
      <x:c r="I254" s="23" t="str">
        <x:f>IF(C254="","",IFERROR(INDEX('Borrowers'!$R$9:$R$108,MATCH(C254,'Borrowers'!$C$9:$C$108,0))*(1-INDEX('Borrowers'!$W$9:$W$108,MATCH(C254,'Borrowers'!$C$9:$C$108,0))*'Scenario Paths'!H39)*'Scenario Paths'!H9/1000000*(1-INDEX('Borrowers'!$T$9:$T$108,MATCH(C254,'Borrowers'!$C$9:$C$108,0))),"Unavailable"))</x:f>
      </x:c>
      <x:c r="J254" s="23" t="str">
        <x:f>IF(C254="","",IFERROR(INDEX('Borrowers'!$I$9:$I$108,MATCH(C254,'Borrowers'!$C$9:$C$108,0))*INDEX('Borrowers'!$S$9:$S$108,MATCH(C254,'Borrowers'!$C$9:$C$108,0))*'Scenario Paths'!H15*(1-INDEX('Borrowers'!$T$9:$T$108,MATCH(C254,'Borrowers'!$C$9:$C$108,0))),"Unavailable"))</x:f>
      </x:c>
      <x:c r="K254" s="23" t="str">
        <x:f>IF(C254="","",IFERROR(INDEX('Borrowers'!$I$9:$I$108,MATCH(C254,'Borrowers'!$C$9:$C$108,0))*INDEX('Borrowers'!$U$9:$U$108,MATCH(C254,'Borrowers'!$C$9:$C$108,0))*'Scenario Paths'!H21*S254,"Unavailable"))</x:f>
      </x:c>
      <x:c r="L254" s="23" t="str">
        <x:f>IF(C254="","",IFERROR(SUMPRODUCT((Sites!$D$9:$D$108=C254)*Sites!$H$9:$H$108*Sites!$J$9:$J$108*Sites!$K$9:$K$108*(1-Sites!$L$9:$L$108)*(1-Sites!$M$9:$M$108))*'Scenario Paths'!H27,"Unavailable"))</x:f>
      </x:c>
      <x:c r="M254" s="23" t="str">
        <x:f>IF(C254="","",IFERROR(INDEX('Borrowers'!$J$9:$J$108,MATCH(C254,'Borrowers'!$C$9:$C$108,0))+H254-SUM(I254:L254),"Unavailable"))</x:f>
      </x:c>
      <x:c r="N254" s="23" t="str">
        <x:f>IF(C254="","",IFERROR(INDEX('Borrowers'!$I$9:$I$108,MATCH(C254,'Borrowers'!$C$9:$C$108,0))*'Scenario Paths'!H33,"Unavailable"))</x:f>
      </x:c>
      <x:c r="O254" s="23" t="str">
        <x:f>IF(C254="","",IFERROR(M254-INDEX('Borrowers'!$K$9:$K$108,MATCH(C254,'Borrowers'!$C$9:$C$108,0))-N254,"Unavailable"))</x:f>
      </x:c>
      <x:c r="P254" s="127" t="str">
        <x:f>IF(C254="","",IFERROR(O254/INDEX('Borrowers'!$L$9:$L$108,MATCH(C254,'Borrowers'!$C$9:$C$108,0)),"Unavailable"))</x:f>
      </x:c>
      <x:c r="Q254" s="30" t="str">
        <x:f>IF(C254="","",IFERROR(IF(INDEX('Borrowers'!$Z$9:$Z$108,MATCH(C254,'Borrowers'!$C$9:$C$108,0))="Yes",1,IF(INDEX('Borrowers'!$P$9:$P$108,MATCH(C254,'Borrowers'!$C$9:$C$108,0))=0,0,MIN(1,INDEX('Borrowers'!$P$9:$P$108,MATCH(C254,'Borrowers'!$C$9:$C$108,0))*EXP(MIN(20,INDEX('Borrowers'!$V$9:$V$108,MATCH(C254,'Borrowers'!$C$9:$C$108,0))*V254))))),"Unavailable"))</x:f>
      </x:c>
      <x:c r="R254" s="30" t="str">
        <x:f>IF(C254="","",IFERROR(MIN(1,INDEX('Borrowers'!$Q$9:$Q$108,MATCH(C254,'Borrowers'!$C$9:$C$108,0))+(1-INDEX('Borrowers'!$Q$9:$Q$108,MATCH(C254,'Borrowers'!$C$9:$C$108,0)))*T254),"Unavailable"))</x:f>
      </x:c>
      <x:c r="S254" s="30" t="str">
        <x:f>IF(C254="","",IFERROR(SUMPRODUCT((Sites!$D$9:$D$108=C254)*Sites!$I$9:$I$108*Sites!$J$9:$J$108*Sites!$K$9:$K$108*(1-Sites!$L$9:$L$108)),"Unavailable"))</x:f>
      </x:c>
      <x:c r="T254" s="30" t="str">
        <x:f>IF(C254="","",IFERROR(MIN(1,(SUMPRODUCT((Sites!$D$9:$D$108=C254)*Sites!$N$9:$N$108*Sites!$J$9:$J$108*Sites!$K$9:$K$108*(1-Sites!$L$9:$L$108)))*'Scenario Paths'!H27),"Unavailable"))</x:f>
      </x:c>
      <x:c r="U254" s="9" t="str">
        <x:f>IF(C254="","",IF(OR(INDEX('Borrowers'!$AA$9:$AA$108,MATCH(C254,'Borrowers'!$C$9:$C$108,0))&lt;&gt;"Ready",COUNTIF(Sites!$D$9:$D$108,C254)=0,COUNTIFS(Sites!$D$9:$D$108,C254,Sites!$Q$9:$Q$108,"&lt;&gt;Ready")&gt;0,'Scenario Paths'!$F$6&lt;&gt;"Ready"),"Review source inputs","Ready"))</x:f>
      </x:c>
      <x:c r="V254" s="17" t="str">
        <x:f>IF(C254="","",IFERROR(MAX(-1,(G254-O254)/MAX(0.000001,G254)),"Unavailable"))</x:f>
      </x:c>
      <x:c r="W254" s="9" t="str">
        <x:f>IF(C254="","",IFERROR(INDEX('Borrowers'!$D$9:$D$108,MATCH(C254,'Borrowers'!$C$9:$C$108,0)),"Unavailable"))</x:f>
      </x:c>
    </x:row>
    <x:row r="255" ht="26" customHeight="1">
      <x:c r="A255" s="1"/>
      <x:c r="B255" s="1"/>
      <x:c r="C255" s="9" t="str">
        <x:f>IF(Borrowers!C55="","",Borrowers!C55)</x:f>
      </x:c>
      <x:c r="D255" s="3" t="n">
        <x:v>3</x:v>
      </x:c>
      <x:c r="E255" s="9" t="n">
        <x:f>Settings!$F$18+2</x:f>
        <x:v>2029</x:v>
      </x:c>
      <x:c r="F255" s="9" t="str">
        <x:f>IF(C255="","",INDEX('Borrowers'!$F$9:$F$108,MATCH(C255,'Borrowers'!$C$9:$C$108,0)))</x:f>
      </x:c>
      <x:c r="G255" s="23" t="str">
        <x:f>IF(C255="","",IFERROR(INDEX('Borrowers'!$J$9:$J$108,MATCH(C255,'Borrowers'!$C$9:$C$108,0))-INDEX('Borrowers'!$K$9:$K$108,MATCH(C255,'Borrowers'!$C$9:$C$108,0)),"Unavailable"))</x:f>
      </x:c>
      <x:c r="H255" s="23" t="str">
        <x:f>IF(C255="","",IFERROR(INDEX('Borrowers'!$I$9:$I$108,MATCH(C255,'Borrowers'!$C$9:$C$108,0))*INDEX('Borrowers'!$U$9:$U$108,MATCH(C255,'Borrowers'!$C$9:$C$108,0))*(IF(F255="Transport",'Scenario Paths'!H156,IF(F255="Technology",'Scenario Paths'!H150,IF(F255="Utilities",'Scenario Paths'!H144,IF(F255="Agriculture",'Scenario Paths'!H138,IF(F255="Manufacturing",'Scenario Paths'!H132,IF(F255="Healthcare",'Scenario Paths'!H126,IF(F255="Hospitality",'Scenario Paths'!H120,IF(F255="Property",'Scenario Paths'!H114,IF(F255="Food",'Scenario Paths'!H108,IF(F255="Logistics",'Scenario Paths'!H102,IF(F255="Solar",'Scenario Paths'!H96,IF(F255="Cement",'Scenario Paths'!H90,0))))))))))))),"Unavailable"))</x:f>
      </x:c>
      <x:c r="I255" s="23" t="str">
        <x:f>IF(C255="","",IFERROR(INDEX('Borrowers'!$R$9:$R$108,MATCH(C255,'Borrowers'!$C$9:$C$108,0))*(1-INDEX('Borrowers'!$W$9:$W$108,MATCH(C255,'Borrowers'!$C$9:$C$108,0))*'Scenario Paths'!H39)*'Scenario Paths'!H9/1000000*(1-INDEX('Borrowers'!$T$9:$T$108,MATCH(C255,'Borrowers'!$C$9:$C$108,0))),"Unavailable"))</x:f>
      </x:c>
      <x:c r="J255" s="23" t="str">
        <x:f>IF(C255="","",IFERROR(INDEX('Borrowers'!$I$9:$I$108,MATCH(C255,'Borrowers'!$C$9:$C$108,0))*INDEX('Borrowers'!$S$9:$S$108,MATCH(C255,'Borrowers'!$C$9:$C$108,0))*'Scenario Paths'!H15*(1-INDEX('Borrowers'!$T$9:$T$108,MATCH(C255,'Borrowers'!$C$9:$C$108,0))),"Unavailable"))</x:f>
      </x:c>
      <x:c r="K255" s="23" t="str">
        <x:f>IF(C255="","",IFERROR(INDEX('Borrowers'!$I$9:$I$108,MATCH(C255,'Borrowers'!$C$9:$C$108,0))*INDEX('Borrowers'!$U$9:$U$108,MATCH(C255,'Borrowers'!$C$9:$C$108,0))*'Scenario Paths'!H21*S255,"Unavailable"))</x:f>
      </x:c>
      <x:c r="L255" s="23" t="str">
        <x:f>IF(C255="","",IFERROR(SUMPRODUCT((Sites!$D$9:$D$108=C255)*Sites!$H$9:$H$108*Sites!$J$9:$J$108*Sites!$K$9:$K$108*(1-Sites!$L$9:$L$108)*(1-Sites!$M$9:$M$108))*'Scenario Paths'!H27,"Unavailable"))</x:f>
      </x:c>
      <x:c r="M255" s="23" t="str">
        <x:f>IF(C255="","",IFERROR(INDEX('Borrowers'!$J$9:$J$108,MATCH(C255,'Borrowers'!$C$9:$C$108,0))+H255-SUM(I255:L255),"Unavailable"))</x:f>
      </x:c>
      <x:c r="N255" s="23" t="str">
        <x:f>IF(C255="","",IFERROR(INDEX('Borrowers'!$I$9:$I$108,MATCH(C255,'Borrowers'!$C$9:$C$108,0))*'Scenario Paths'!H33,"Unavailable"))</x:f>
      </x:c>
      <x:c r="O255" s="23" t="str">
        <x:f>IF(C255="","",IFERROR(M255-INDEX('Borrowers'!$K$9:$K$108,MATCH(C255,'Borrowers'!$C$9:$C$108,0))-N255,"Unavailable"))</x:f>
      </x:c>
      <x:c r="P255" s="127" t="str">
        <x:f>IF(C255="","",IFERROR(O255/INDEX('Borrowers'!$L$9:$L$108,MATCH(C255,'Borrowers'!$C$9:$C$108,0)),"Unavailable"))</x:f>
      </x:c>
      <x:c r="Q255" s="30" t="str">
        <x:f>IF(C255="","",IFERROR(IF(INDEX('Borrowers'!$Z$9:$Z$108,MATCH(C255,'Borrowers'!$C$9:$C$108,0))="Yes",1,IF(INDEX('Borrowers'!$P$9:$P$108,MATCH(C255,'Borrowers'!$C$9:$C$108,0))=0,0,MIN(1,INDEX('Borrowers'!$P$9:$P$108,MATCH(C255,'Borrowers'!$C$9:$C$108,0))*EXP(MIN(20,INDEX('Borrowers'!$V$9:$V$108,MATCH(C255,'Borrowers'!$C$9:$C$108,0))*V255))))),"Unavailable"))</x:f>
      </x:c>
      <x:c r="R255" s="30" t="str">
        <x:f>IF(C255="","",IFERROR(MIN(1,INDEX('Borrowers'!$Q$9:$Q$108,MATCH(C255,'Borrowers'!$C$9:$C$108,0))+(1-INDEX('Borrowers'!$Q$9:$Q$108,MATCH(C255,'Borrowers'!$C$9:$C$108,0)))*T255),"Unavailable"))</x:f>
      </x:c>
      <x:c r="S255" s="30" t="str">
        <x:f>IF(C255="","",IFERROR(SUMPRODUCT((Sites!$D$9:$D$108=C255)*Sites!$I$9:$I$108*Sites!$J$9:$J$108*Sites!$K$9:$K$108*(1-Sites!$L$9:$L$108)),"Unavailable"))</x:f>
      </x:c>
      <x:c r="T255" s="30" t="str">
        <x:f>IF(C255="","",IFERROR(MIN(1,(SUMPRODUCT((Sites!$D$9:$D$108=C255)*Sites!$N$9:$N$108*Sites!$J$9:$J$108*Sites!$K$9:$K$108*(1-Sites!$L$9:$L$108)))*'Scenario Paths'!H27),"Unavailable"))</x:f>
      </x:c>
      <x:c r="U255" s="9" t="str">
        <x:f>IF(C255="","",IF(OR(INDEX('Borrowers'!$AA$9:$AA$108,MATCH(C255,'Borrowers'!$C$9:$C$108,0))&lt;&gt;"Ready",COUNTIF(Sites!$D$9:$D$108,C255)=0,COUNTIFS(Sites!$D$9:$D$108,C255,Sites!$Q$9:$Q$108,"&lt;&gt;Ready")&gt;0,'Scenario Paths'!$F$6&lt;&gt;"Ready"),"Review source inputs","Ready"))</x:f>
      </x:c>
      <x:c r="V255" s="17" t="str">
        <x:f>IF(C255="","",IFERROR(MAX(-1,(G255-O255)/MAX(0.000001,G255)),"Unavailable"))</x:f>
      </x:c>
      <x:c r="W255" s="9" t="str">
        <x:f>IF(C255="","",IFERROR(INDEX('Borrowers'!$D$9:$D$108,MATCH(C255,'Borrowers'!$C$9:$C$108,0)),"Unavailable"))</x:f>
      </x:c>
    </x:row>
    <x:row r="256" ht="26" customHeight="1">
      <x:c r="A256" s="1"/>
      <x:c r="B256" s="1"/>
      <x:c r="C256" s="9" t="str">
        <x:f>IF(Borrowers!C56="","",Borrowers!C56)</x:f>
      </x:c>
      <x:c r="D256" s="3" t="n">
        <x:v>3</x:v>
      </x:c>
      <x:c r="E256" s="9" t="n">
        <x:f>Settings!$F$18+2</x:f>
        <x:v>2029</x:v>
      </x:c>
      <x:c r="F256" s="9" t="str">
        <x:f>IF(C256="","",INDEX('Borrowers'!$F$9:$F$108,MATCH(C256,'Borrowers'!$C$9:$C$108,0)))</x:f>
      </x:c>
      <x:c r="G256" s="23" t="str">
        <x:f>IF(C256="","",IFERROR(INDEX('Borrowers'!$J$9:$J$108,MATCH(C256,'Borrowers'!$C$9:$C$108,0))-INDEX('Borrowers'!$K$9:$K$108,MATCH(C256,'Borrowers'!$C$9:$C$108,0)),"Unavailable"))</x:f>
      </x:c>
      <x:c r="H256" s="23" t="str">
        <x:f>IF(C256="","",IFERROR(INDEX('Borrowers'!$I$9:$I$108,MATCH(C256,'Borrowers'!$C$9:$C$108,0))*INDEX('Borrowers'!$U$9:$U$108,MATCH(C256,'Borrowers'!$C$9:$C$108,0))*(IF(F256="Transport",'Scenario Paths'!H156,IF(F256="Technology",'Scenario Paths'!H150,IF(F256="Utilities",'Scenario Paths'!H144,IF(F256="Agriculture",'Scenario Paths'!H138,IF(F256="Manufacturing",'Scenario Paths'!H132,IF(F256="Healthcare",'Scenario Paths'!H126,IF(F256="Hospitality",'Scenario Paths'!H120,IF(F256="Property",'Scenario Paths'!H114,IF(F256="Food",'Scenario Paths'!H108,IF(F256="Logistics",'Scenario Paths'!H102,IF(F256="Solar",'Scenario Paths'!H96,IF(F256="Cement",'Scenario Paths'!H90,0))))))))))))),"Unavailable"))</x:f>
      </x:c>
      <x:c r="I256" s="23" t="str">
        <x:f>IF(C256="","",IFERROR(INDEX('Borrowers'!$R$9:$R$108,MATCH(C256,'Borrowers'!$C$9:$C$108,0))*(1-INDEX('Borrowers'!$W$9:$W$108,MATCH(C256,'Borrowers'!$C$9:$C$108,0))*'Scenario Paths'!H39)*'Scenario Paths'!H9/1000000*(1-INDEX('Borrowers'!$T$9:$T$108,MATCH(C256,'Borrowers'!$C$9:$C$108,0))),"Unavailable"))</x:f>
      </x:c>
      <x:c r="J256" s="23" t="str">
        <x:f>IF(C256="","",IFERROR(INDEX('Borrowers'!$I$9:$I$108,MATCH(C256,'Borrowers'!$C$9:$C$108,0))*INDEX('Borrowers'!$S$9:$S$108,MATCH(C256,'Borrowers'!$C$9:$C$108,0))*'Scenario Paths'!H15*(1-INDEX('Borrowers'!$T$9:$T$108,MATCH(C256,'Borrowers'!$C$9:$C$108,0))),"Unavailable"))</x:f>
      </x:c>
      <x:c r="K256" s="23" t="str">
        <x:f>IF(C256="","",IFERROR(INDEX('Borrowers'!$I$9:$I$108,MATCH(C256,'Borrowers'!$C$9:$C$108,0))*INDEX('Borrowers'!$U$9:$U$108,MATCH(C256,'Borrowers'!$C$9:$C$108,0))*'Scenario Paths'!H21*S256,"Unavailable"))</x:f>
      </x:c>
      <x:c r="L256" s="23" t="str">
        <x:f>IF(C256="","",IFERROR(SUMPRODUCT((Sites!$D$9:$D$108=C256)*Sites!$H$9:$H$108*Sites!$J$9:$J$108*Sites!$K$9:$K$108*(1-Sites!$L$9:$L$108)*(1-Sites!$M$9:$M$108))*'Scenario Paths'!H27,"Unavailable"))</x:f>
      </x:c>
      <x:c r="M256" s="23" t="str">
        <x:f>IF(C256="","",IFERROR(INDEX('Borrowers'!$J$9:$J$108,MATCH(C256,'Borrowers'!$C$9:$C$108,0))+H256-SUM(I256:L256),"Unavailable"))</x:f>
      </x:c>
      <x:c r="N256" s="23" t="str">
        <x:f>IF(C256="","",IFERROR(INDEX('Borrowers'!$I$9:$I$108,MATCH(C256,'Borrowers'!$C$9:$C$108,0))*'Scenario Paths'!H33,"Unavailable"))</x:f>
      </x:c>
      <x:c r="O256" s="23" t="str">
        <x:f>IF(C256="","",IFERROR(M256-INDEX('Borrowers'!$K$9:$K$108,MATCH(C256,'Borrowers'!$C$9:$C$108,0))-N256,"Unavailable"))</x:f>
      </x:c>
      <x:c r="P256" s="127" t="str">
        <x:f>IF(C256="","",IFERROR(O256/INDEX('Borrowers'!$L$9:$L$108,MATCH(C256,'Borrowers'!$C$9:$C$108,0)),"Unavailable"))</x:f>
      </x:c>
      <x:c r="Q256" s="30" t="str">
        <x:f>IF(C256="","",IFERROR(IF(INDEX('Borrowers'!$Z$9:$Z$108,MATCH(C256,'Borrowers'!$C$9:$C$108,0))="Yes",1,IF(INDEX('Borrowers'!$P$9:$P$108,MATCH(C256,'Borrowers'!$C$9:$C$108,0))=0,0,MIN(1,INDEX('Borrowers'!$P$9:$P$108,MATCH(C256,'Borrowers'!$C$9:$C$108,0))*EXP(MIN(20,INDEX('Borrowers'!$V$9:$V$108,MATCH(C256,'Borrowers'!$C$9:$C$108,0))*V256))))),"Unavailable"))</x:f>
      </x:c>
      <x:c r="R256" s="30" t="str">
        <x:f>IF(C256="","",IFERROR(MIN(1,INDEX('Borrowers'!$Q$9:$Q$108,MATCH(C256,'Borrowers'!$C$9:$C$108,0))+(1-INDEX('Borrowers'!$Q$9:$Q$108,MATCH(C256,'Borrowers'!$C$9:$C$108,0)))*T256),"Unavailable"))</x:f>
      </x:c>
      <x:c r="S256" s="30" t="str">
        <x:f>IF(C256="","",IFERROR(SUMPRODUCT((Sites!$D$9:$D$108=C256)*Sites!$I$9:$I$108*Sites!$J$9:$J$108*Sites!$K$9:$K$108*(1-Sites!$L$9:$L$108)),"Unavailable"))</x:f>
      </x:c>
      <x:c r="T256" s="30" t="str">
        <x:f>IF(C256="","",IFERROR(MIN(1,(SUMPRODUCT((Sites!$D$9:$D$108=C256)*Sites!$N$9:$N$108*Sites!$J$9:$J$108*Sites!$K$9:$K$108*(1-Sites!$L$9:$L$108)))*'Scenario Paths'!H27),"Unavailable"))</x:f>
      </x:c>
      <x:c r="U256" s="9" t="str">
        <x:f>IF(C256="","",IF(OR(INDEX('Borrowers'!$AA$9:$AA$108,MATCH(C256,'Borrowers'!$C$9:$C$108,0))&lt;&gt;"Ready",COUNTIF(Sites!$D$9:$D$108,C256)=0,COUNTIFS(Sites!$D$9:$D$108,C256,Sites!$Q$9:$Q$108,"&lt;&gt;Ready")&gt;0,'Scenario Paths'!$F$6&lt;&gt;"Ready"),"Review source inputs","Ready"))</x:f>
      </x:c>
      <x:c r="V256" s="17" t="str">
        <x:f>IF(C256="","",IFERROR(MAX(-1,(G256-O256)/MAX(0.000001,G256)),"Unavailable"))</x:f>
      </x:c>
      <x:c r="W256" s="9" t="str">
        <x:f>IF(C256="","",IFERROR(INDEX('Borrowers'!$D$9:$D$108,MATCH(C256,'Borrowers'!$C$9:$C$108,0)),"Unavailable"))</x:f>
      </x:c>
    </x:row>
    <x:row r="257" ht="26" customHeight="1">
      <x:c r="A257" s="1"/>
      <x:c r="B257" s="1"/>
      <x:c r="C257" s="9" t="str">
        <x:f>IF(Borrowers!C57="","",Borrowers!C57)</x:f>
      </x:c>
      <x:c r="D257" s="3" t="n">
        <x:v>3</x:v>
      </x:c>
      <x:c r="E257" s="9" t="n">
        <x:f>Settings!$F$18+2</x:f>
        <x:v>2029</x:v>
      </x:c>
      <x:c r="F257" s="9" t="str">
        <x:f>IF(C257="","",INDEX('Borrowers'!$F$9:$F$108,MATCH(C257,'Borrowers'!$C$9:$C$108,0)))</x:f>
      </x:c>
      <x:c r="G257" s="23" t="str">
        <x:f>IF(C257="","",IFERROR(INDEX('Borrowers'!$J$9:$J$108,MATCH(C257,'Borrowers'!$C$9:$C$108,0))-INDEX('Borrowers'!$K$9:$K$108,MATCH(C257,'Borrowers'!$C$9:$C$108,0)),"Unavailable"))</x:f>
      </x:c>
      <x:c r="H257" s="23" t="str">
        <x:f>IF(C257="","",IFERROR(INDEX('Borrowers'!$I$9:$I$108,MATCH(C257,'Borrowers'!$C$9:$C$108,0))*INDEX('Borrowers'!$U$9:$U$108,MATCH(C257,'Borrowers'!$C$9:$C$108,0))*(IF(F257="Transport",'Scenario Paths'!H156,IF(F257="Technology",'Scenario Paths'!H150,IF(F257="Utilities",'Scenario Paths'!H144,IF(F257="Agriculture",'Scenario Paths'!H138,IF(F257="Manufacturing",'Scenario Paths'!H132,IF(F257="Healthcare",'Scenario Paths'!H126,IF(F257="Hospitality",'Scenario Paths'!H120,IF(F257="Property",'Scenario Paths'!H114,IF(F257="Food",'Scenario Paths'!H108,IF(F257="Logistics",'Scenario Paths'!H102,IF(F257="Solar",'Scenario Paths'!H96,IF(F257="Cement",'Scenario Paths'!H90,0))))))))))))),"Unavailable"))</x:f>
      </x:c>
      <x:c r="I257" s="23" t="str">
        <x:f>IF(C257="","",IFERROR(INDEX('Borrowers'!$R$9:$R$108,MATCH(C257,'Borrowers'!$C$9:$C$108,0))*(1-INDEX('Borrowers'!$W$9:$W$108,MATCH(C257,'Borrowers'!$C$9:$C$108,0))*'Scenario Paths'!H39)*'Scenario Paths'!H9/1000000*(1-INDEX('Borrowers'!$T$9:$T$108,MATCH(C257,'Borrowers'!$C$9:$C$108,0))),"Unavailable"))</x:f>
      </x:c>
      <x:c r="J257" s="23" t="str">
        <x:f>IF(C257="","",IFERROR(INDEX('Borrowers'!$I$9:$I$108,MATCH(C257,'Borrowers'!$C$9:$C$108,0))*INDEX('Borrowers'!$S$9:$S$108,MATCH(C257,'Borrowers'!$C$9:$C$108,0))*'Scenario Paths'!H15*(1-INDEX('Borrowers'!$T$9:$T$108,MATCH(C257,'Borrowers'!$C$9:$C$108,0))),"Unavailable"))</x:f>
      </x:c>
      <x:c r="K257" s="23" t="str">
        <x:f>IF(C257="","",IFERROR(INDEX('Borrowers'!$I$9:$I$108,MATCH(C257,'Borrowers'!$C$9:$C$108,0))*INDEX('Borrowers'!$U$9:$U$108,MATCH(C257,'Borrowers'!$C$9:$C$108,0))*'Scenario Paths'!H21*S257,"Unavailable"))</x:f>
      </x:c>
      <x:c r="L257" s="23" t="str">
        <x:f>IF(C257="","",IFERROR(SUMPRODUCT((Sites!$D$9:$D$108=C257)*Sites!$H$9:$H$108*Sites!$J$9:$J$108*Sites!$K$9:$K$108*(1-Sites!$L$9:$L$108)*(1-Sites!$M$9:$M$108))*'Scenario Paths'!H27,"Unavailable"))</x:f>
      </x:c>
      <x:c r="M257" s="23" t="str">
        <x:f>IF(C257="","",IFERROR(INDEX('Borrowers'!$J$9:$J$108,MATCH(C257,'Borrowers'!$C$9:$C$108,0))+H257-SUM(I257:L257),"Unavailable"))</x:f>
      </x:c>
      <x:c r="N257" s="23" t="str">
        <x:f>IF(C257="","",IFERROR(INDEX('Borrowers'!$I$9:$I$108,MATCH(C257,'Borrowers'!$C$9:$C$108,0))*'Scenario Paths'!H33,"Unavailable"))</x:f>
      </x:c>
      <x:c r="O257" s="23" t="str">
        <x:f>IF(C257="","",IFERROR(M257-INDEX('Borrowers'!$K$9:$K$108,MATCH(C257,'Borrowers'!$C$9:$C$108,0))-N257,"Unavailable"))</x:f>
      </x:c>
      <x:c r="P257" s="127" t="str">
        <x:f>IF(C257="","",IFERROR(O257/INDEX('Borrowers'!$L$9:$L$108,MATCH(C257,'Borrowers'!$C$9:$C$108,0)),"Unavailable"))</x:f>
      </x:c>
      <x:c r="Q257" s="30" t="str">
        <x:f>IF(C257="","",IFERROR(IF(INDEX('Borrowers'!$Z$9:$Z$108,MATCH(C257,'Borrowers'!$C$9:$C$108,0))="Yes",1,IF(INDEX('Borrowers'!$P$9:$P$108,MATCH(C257,'Borrowers'!$C$9:$C$108,0))=0,0,MIN(1,INDEX('Borrowers'!$P$9:$P$108,MATCH(C257,'Borrowers'!$C$9:$C$108,0))*EXP(MIN(20,INDEX('Borrowers'!$V$9:$V$108,MATCH(C257,'Borrowers'!$C$9:$C$108,0))*V257))))),"Unavailable"))</x:f>
      </x:c>
      <x:c r="R257" s="30" t="str">
        <x:f>IF(C257="","",IFERROR(MIN(1,INDEX('Borrowers'!$Q$9:$Q$108,MATCH(C257,'Borrowers'!$C$9:$C$108,0))+(1-INDEX('Borrowers'!$Q$9:$Q$108,MATCH(C257,'Borrowers'!$C$9:$C$108,0)))*T257),"Unavailable"))</x:f>
      </x:c>
      <x:c r="S257" s="30" t="str">
        <x:f>IF(C257="","",IFERROR(SUMPRODUCT((Sites!$D$9:$D$108=C257)*Sites!$I$9:$I$108*Sites!$J$9:$J$108*Sites!$K$9:$K$108*(1-Sites!$L$9:$L$108)),"Unavailable"))</x:f>
      </x:c>
      <x:c r="T257" s="30" t="str">
        <x:f>IF(C257="","",IFERROR(MIN(1,(SUMPRODUCT((Sites!$D$9:$D$108=C257)*Sites!$N$9:$N$108*Sites!$J$9:$J$108*Sites!$K$9:$K$108*(1-Sites!$L$9:$L$108)))*'Scenario Paths'!H27),"Unavailable"))</x:f>
      </x:c>
      <x:c r="U257" s="9" t="str">
        <x:f>IF(C257="","",IF(OR(INDEX('Borrowers'!$AA$9:$AA$108,MATCH(C257,'Borrowers'!$C$9:$C$108,0))&lt;&gt;"Ready",COUNTIF(Sites!$D$9:$D$108,C257)=0,COUNTIFS(Sites!$D$9:$D$108,C257,Sites!$Q$9:$Q$108,"&lt;&gt;Ready")&gt;0,'Scenario Paths'!$F$6&lt;&gt;"Ready"),"Review source inputs","Ready"))</x:f>
      </x:c>
      <x:c r="V257" s="17" t="str">
        <x:f>IF(C257="","",IFERROR(MAX(-1,(G257-O257)/MAX(0.000001,G257)),"Unavailable"))</x:f>
      </x:c>
      <x:c r="W257" s="9" t="str">
        <x:f>IF(C257="","",IFERROR(INDEX('Borrowers'!$D$9:$D$108,MATCH(C257,'Borrowers'!$C$9:$C$108,0)),"Unavailable"))</x:f>
      </x:c>
    </x:row>
    <x:row r="258" ht="26" customHeight="1">
      <x:c r="A258" s="1"/>
      <x:c r="B258" s="1"/>
      <x:c r="C258" s="9" t="str">
        <x:f>IF(Borrowers!C58="","",Borrowers!C58)</x:f>
      </x:c>
      <x:c r="D258" s="3" t="n">
        <x:v>3</x:v>
      </x:c>
      <x:c r="E258" s="9" t="n">
        <x:f>Settings!$F$18+2</x:f>
        <x:v>2029</x:v>
      </x:c>
      <x:c r="F258" s="9" t="str">
        <x:f>IF(C258="","",INDEX('Borrowers'!$F$9:$F$108,MATCH(C258,'Borrowers'!$C$9:$C$108,0)))</x:f>
      </x:c>
      <x:c r="G258" s="23" t="str">
        <x:f>IF(C258="","",IFERROR(INDEX('Borrowers'!$J$9:$J$108,MATCH(C258,'Borrowers'!$C$9:$C$108,0))-INDEX('Borrowers'!$K$9:$K$108,MATCH(C258,'Borrowers'!$C$9:$C$108,0)),"Unavailable"))</x:f>
      </x:c>
      <x:c r="H258" s="23" t="str">
        <x:f>IF(C258="","",IFERROR(INDEX('Borrowers'!$I$9:$I$108,MATCH(C258,'Borrowers'!$C$9:$C$108,0))*INDEX('Borrowers'!$U$9:$U$108,MATCH(C258,'Borrowers'!$C$9:$C$108,0))*(IF(F258="Transport",'Scenario Paths'!H156,IF(F258="Technology",'Scenario Paths'!H150,IF(F258="Utilities",'Scenario Paths'!H144,IF(F258="Agriculture",'Scenario Paths'!H138,IF(F258="Manufacturing",'Scenario Paths'!H132,IF(F258="Healthcare",'Scenario Paths'!H126,IF(F258="Hospitality",'Scenario Paths'!H120,IF(F258="Property",'Scenario Paths'!H114,IF(F258="Food",'Scenario Paths'!H108,IF(F258="Logistics",'Scenario Paths'!H102,IF(F258="Solar",'Scenario Paths'!H96,IF(F258="Cement",'Scenario Paths'!H90,0))))))))))))),"Unavailable"))</x:f>
      </x:c>
      <x:c r="I258" s="23" t="str">
        <x:f>IF(C258="","",IFERROR(INDEX('Borrowers'!$R$9:$R$108,MATCH(C258,'Borrowers'!$C$9:$C$108,0))*(1-INDEX('Borrowers'!$W$9:$W$108,MATCH(C258,'Borrowers'!$C$9:$C$108,0))*'Scenario Paths'!H39)*'Scenario Paths'!H9/1000000*(1-INDEX('Borrowers'!$T$9:$T$108,MATCH(C258,'Borrowers'!$C$9:$C$108,0))),"Unavailable"))</x:f>
      </x:c>
      <x:c r="J258" s="23" t="str">
        <x:f>IF(C258="","",IFERROR(INDEX('Borrowers'!$I$9:$I$108,MATCH(C258,'Borrowers'!$C$9:$C$108,0))*INDEX('Borrowers'!$S$9:$S$108,MATCH(C258,'Borrowers'!$C$9:$C$108,0))*'Scenario Paths'!H15*(1-INDEX('Borrowers'!$T$9:$T$108,MATCH(C258,'Borrowers'!$C$9:$C$108,0))),"Unavailable"))</x:f>
      </x:c>
      <x:c r="K258" s="23" t="str">
        <x:f>IF(C258="","",IFERROR(INDEX('Borrowers'!$I$9:$I$108,MATCH(C258,'Borrowers'!$C$9:$C$108,0))*INDEX('Borrowers'!$U$9:$U$108,MATCH(C258,'Borrowers'!$C$9:$C$108,0))*'Scenario Paths'!H21*S258,"Unavailable"))</x:f>
      </x:c>
      <x:c r="L258" s="23" t="str">
        <x:f>IF(C258="","",IFERROR(SUMPRODUCT((Sites!$D$9:$D$108=C258)*Sites!$H$9:$H$108*Sites!$J$9:$J$108*Sites!$K$9:$K$108*(1-Sites!$L$9:$L$108)*(1-Sites!$M$9:$M$108))*'Scenario Paths'!H27,"Unavailable"))</x:f>
      </x:c>
      <x:c r="M258" s="23" t="str">
        <x:f>IF(C258="","",IFERROR(INDEX('Borrowers'!$J$9:$J$108,MATCH(C258,'Borrowers'!$C$9:$C$108,0))+H258-SUM(I258:L258),"Unavailable"))</x:f>
      </x:c>
      <x:c r="N258" s="23" t="str">
        <x:f>IF(C258="","",IFERROR(INDEX('Borrowers'!$I$9:$I$108,MATCH(C258,'Borrowers'!$C$9:$C$108,0))*'Scenario Paths'!H33,"Unavailable"))</x:f>
      </x:c>
      <x:c r="O258" s="23" t="str">
        <x:f>IF(C258="","",IFERROR(M258-INDEX('Borrowers'!$K$9:$K$108,MATCH(C258,'Borrowers'!$C$9:$C$108,0))-N258,"Unavailable"))</x:f>
      </x:c>
      <x:c r="P258" s="127" t="str">
        <x:f>IF(C258="","",IFERROR(O258/INDEX('Borrowers'!$L$9:$L$108,MATCH(C258,'Borrowers'!$C$9:$C$108,0)),"Unavailable"))</x:f>
      </x:c>
      <x:c r="Q258" s="30" t="str">
        <x:f>IF(C258="","",IFERROR(IF(INDEX('Borrowers'!$Z$9:$Z$108,MATCH(C258,'Borrowers'!$C$9:$C$108,0))="Yes",1,IF(INDEX('Borrowers'!$P$9:$P$108,MATCH(C258,'Borrowers'!$C$9:$C$108,0))=0,0,MIN(1,INDEX('Borrowers'!$P$9:$P$108,MATCH(C258,'Borrowers'!$C$9:$C$108,0))*EXP(MIN(20,INDEX('Borrowers'!$V$9:$V$108,MATCH(C258,'Borrowers'!$C$9:$C$108,0))*V258))))),"Unavailable"))</x:f>
      </x:c>
      <x:c r="R258" s="30" t="str">
        <x:f>IF(C258="","",IFERROR(MIN(1,INDEX('Borrowers'!$Q$9:$Q$108,MATCH(C258,'Borrowers'!$C$9:$C$108,0))+(1-INDEX('Borrowers'!$Q$9:$Q$108,MATCH(C258,'Borrowers'!$C$9:$C$108,0)))*T258),"Unavailable"))</x:f>
      </x:c>
      <x:c r="S258" s="30" t="str">
        <x:f>IF(C258="","",IFERROR(SUMPRODUCT((Sites!$D$9:$D$108=C258)*Sites!$I$9:$I$108*Sites!$J$9:$J$108*Sites!$K$9:$K$108*(1-Sites!$L$9:$L$108)),"Unavailable"))</x:f>
      </x:c>
      <x:c r="T258" s="30" t="str">
        <x:f>IF(C258="","",IFERROR(MIN(1,(SUMPRODUCT((Sites!$D$9:$D$108=C258)*Sites!$N$9:$N$108*Sites!$J$9:$J$108*Sites!$K$9:$K$108*(1-Sites!$L$9:$L$108)))*'Scenario Paths'!H27),"Unavailable"))</x:f>
      </x:c>
      <x:c r="U258" s="9" t="str">
        <x:f>IF(C258="","",IF(OR(INDEX('Borrowers'!$AA$9:$AA$108,MATCH(C258,'Borrowers'!$C$9:$C$108,0))&lt;&gt;"Ready",COUNTIF(Sites!$D$9:$D$108,C258)=0,COUNTIFS(Sites!$D$9:$D$108,C258,Sites!$Q$9:$Q$108,"&lt;&gt;Ready")&gt;0,'Scenario Paths'!$F$6&lt;&gt;"Ready"),"Review source inputs","Ready"))</x:f>
      </x:c>
      <x:c r="V258" s="17" t="str">
        <x:f>IF(C258="","",IFERROR(MAX(-1,(G258-O258)/MAX(0.000001,G258)),"Unavailable"))</x:f>
      </x:c>
      <x:c r="W258" s="9" t="str">
        <x:f>IF(C258="","",IFERROR(INDEX('Borrowers'!$D$9:$D$108,MATCH(C258,'Borrowers'!$C$9:$C$108,0)),"Unavailable"))</x:f>
      </x:c>
    </x:row>
    <x:row r="259" ht="26" customHeight="1">
      <x:c r="A259" s="1"/>
      <x:c r="B259" s="1"/>
      <x:c r="C259" s="9" t="str">
        <x:f>IF(Borrowers!C59="","",Borrowers!C59)</x:f>
      </x:c>
      <x:c r="D259" s="3" t="n">
        <x:v>3</x:v>
      </x:c>
      <x:c r="E259" s="9" t="n">
        <x:f>Settings!$F$18+2</x:f>
        <x:v>2029</x:v>
      </x:c>
      <x:c r="F259" s="9" t="str">
        <x:f>IF(C259="","",INDEX('Borrowers'!$F$9:$F$108,MATCH(C259,'Borrowers'!$C$9:$C$108,0)))</x:f>
      </x:c>
      <x:c r="G259" s="23" t="str">
        <x:f>IF(C259="","",IFERROR(INDEX('Borrowers'!$J$9:$J$108,MATCH(C259,'Borrowers'!$C$9:$C$108,0))-INDEX('Borrowers'!$K$9:$K$108,MATCH(C259,'Borrowers'!$C$9:$C$108,0)),"Unavailable"))</x:f>
      </x:c>
      <x:c r="H259" s="23" t="str">
        <x:f>IF(C259="","",IFERROR(INDEX('Borrowers'!$I$9:$I$108,MATCH(C259,'Borrowers'!$C$9:$C$108,0))*INDEX('Borrowers'!$U$9:$U$108,MATCH(C259,'Borrowers'!$C$9:$C$108,0))*(IF(F259="Transport",'Scenario Paths'!H156,IF(F259="Technology",'Scenario Paths'!H150,IF(F259="Utilities",'Scenario Paths'!H144,IF(F259="Agriculture",'Scenario Paths'!H138,IF(F259="Manufacturing",'Scenario Paths'!H132,IF(F259="Healthcare",'Scenario Paths'!H126,IF(F259="Hospitality",'Scenario Paths'!H120,IF(F259="Property",'Scenario Paths'!H114,IF(F259="Food",'Scenario Paths'!H108,IF(F259="Logistics",'Scenario Paths'!H102,IF(F259="Solar",'Scenario Paths'!H96,IF(F259="Cement",'Scenario Paths'!H90,0))))))))))))),"Unavailable"))</x:f>
      </x:c>
      <x:c r="I259" s="23" t="str">
        <x:f>IF(C259="","",IFERROR(INDEX('Borrowers'!$R$9:$R$108,MATCH(C259,'Borrowers'!$C$9:$C$108,0))*(1-INDEX('Borrowers'!$W$9:$W$108,MATCH(C259,'Borrowers'!$C$9:$C$108,0))*'Scenario Paths'!H39)*'Scenario Paths'!H9/1000000*(1-INDEX('Borrowers'!$T$9:$T$108,MATCH(C259,'Borrowers'!$C$9:$C$108,0))),"Unavailable"))</x:f>
      </x:c>
      <x:c r="J259" s="23" t="str">
        <x:f>IF(C259="","",IFERROR(INDEX('Borrowers'!$I$9:$I$108,MATCH(C259,'Borrowers'!$C$9:$C$108,0))*INDEX('Borrowers'!$S$9:$S$108,MATCH(C259,'Borrowers'!$C$9:$C$108,0))*'Scenario Paths'!H15*(1-INDEX('Borrowers'!$T$9:$T$108,MATCH(C259,'Borrowers'!$C$9:$C$108,0))),"Unavailable"))</x:f>
      </x:c>
      <x:c r="K259" s="23" t="str">
        <x:f>IF(C259="","",IFERROR(INDEX('Borrowers'!$I$9:$I$108,MATCH(C259,'Borrowers'!$C$9:$C$108,0))*INDEX('Borrowers'!$U$9:$U$108,MATCH(C259,'Borrowers'!$C$9:$C$108,0))*'Scenario Paths'!H21*S259,"Unavailable"))</x:f>
      </x:c>
      <x:c r="L259" s="23" t="str">
        <x:f>IF(C259="","",IFERROR(SUMPRODUCT((Sites!$D$9:$D$108=C259)*Sites!$H$9:$H$108*Sites!$J$9:$J$108*Sites!$K$9:$K$108*(1-Sites!$L$9:$L$108)*(1-Sites!$M$9:$M$108))*'Scenario Paths'!H27,"Unavailable"))</x:f>
      </x:c>
      <x:c r="M259" s="23" t="str">
        <x:f>IF(C259="","",IFERROR(INDEX('Borrowers'!$J$9:$J$108,MATCH(C259,'Borrowers'!$C$9:$C$108,0))+H259-SUM(I259:L259),"Unavailable"))</x:f>
      </x:c>
      <x:c r="N259" s="23" t="str">
        <x:f>IF(C259="","",IFERROR(INDEX('Borrowers'!$I$9:$I$108,MATCH(C259,'Borrowers'!$C$9:$C$108,0))*'Scenario Paths'!H33,"Unavailable"))</x:f>
      </x:c>
      <x:c r="O259" s="23" t="str">
        <x:f>IF(C259="","",IFERROR(M259-INDEX('Borrowers'!$K$9:$K$108,MATCH(C259,'Borrowers'!$C$9:$C$108,0))-N259,"Unavailable"))</x:f>
      </x:c>
      <x:c r="P259" s="127" t="str">
        <x:f>IF(C259="","",IFERROR(O259/INDEX('Borrowers'!$L$9:$L$108,MATCH(C259,'Borrowers'!$C$9:$C$108,0)),"Unavailable"))</x:f>
      </x:c>
      <x:c r="Q259" s="30" t="str">
        <x:f>IF(C259="","",IFERROR(IF(INDEX('Borrowers'!$Z$9:$Z$108,MATCH(C259,'Borrowers'!$C$9:$C$108,0))="Yes",1,IF(INDEX('Borrowers'!$P$9:$P$108,MATCH(C259,'Borrowers'!$C$9:$C$108,0))=0,0,MIN(1,INDEX('Borrowers'!$P$9:$P$108,MATCH(C259,'Borrowers'!$C$9:$C$108,0))*EXP(MIN(20,INDEX('Borrowers'!$V$9:$V$108,MATCH(C259,'Borrowers'!$C$9:$C$108,0))*V259))))),"Unavailable"))</x:f>
      </x:c>
      <x:c r="R259" s="30" t="str">
        <x:f>IF(C259="","",IFERROR(MIN(1,INDEX('Borrowers'!$Q$9:$Q$108,MATCH(C259,'Borrowers'!$C$9:$C$108,0))+(1-INDEX('Borrowers'!$Q$9:$Q$108,MATCH(C259,'Borrowers'!$C$9:$C$108,0)))*T259),"Unavailable"))</x:f>
      </x:c>
      <x:c r="S259" s="30" t="str">
        <x:f>IF(C259="","",IFERROR(SUMPRODUCT((Sites!$D$9:$D$108=C259)*Sites!$I$9:$I$108*Sites!$J$9:$J$108*Sites!$K$9:$K$108*(1-Sites!$L$9:$L$108)),"Unavailable"))</x:f>
      </x:c>
      <x:c r="T259" s="30" t="str">
        <x:f>IF(C259="","",IFERROR(MIN(1,(SUMPRODUCT((Sites!$D$9:$D$108=C259)*Sites!$N$9:$N$108*Sites!$J$9:$J$108*Sites!$K$9:$K$108*(1-Sites!$L$9:$L$108)))*'Scenario Paths'!H27),"Unavailable"))</x:f>
      </x:c>
      <x:c r="U259" s="9" t="str">
        <x:f>IF(C259="","",IF(OR(INDEX('Borrowers'!$AA$9:$AA$108,MATCH(C259,'Borrowers'!$C$9:$C$108,0))&lt;&gt;"Ready",COUNTIF(Sites!$D$9:$D$108,C259)=0,COUNTIFS(Sites!$D$9:$D$108,C259,Sites!$Q$9:$Q$108,"&lt;&gt;Ready")&gt;0,'Scenario Paths'!$F$6&lt;&gt;"Ready"),"Review source inputs","Ready"))</x:f>
      </x:c>
      <x:c r="V259" s="17" t="str">
        <x:f>IF(C259="","",IFERROR(MAX(-1,(G259-O259)/MAX(0.000001,G259)),"Unavailable"))</x:f>
      </x:c>
      <x:c r="W259" s="9" t="str">
        <x:f>IF(C259="","",IFERROR(INDEX('Borrowers'!$D$9:$D$108,MATCH(C259,'Borrowers'!$C$9:$C$108,0)),"Unavailable"))</x:f>
      </x:c>
    </x:row>
    <x:row r="260" ht="26" customHeight="1">
      <x:c r="A260" s="1"/>
      <x:c r="B260" s="1"/>
      <x:c r="C260" s="9" t="str">
        <x:f>IF(Borrowers!C60="","",Borrowers!C60)</x:f>
      </x:c>
      <x:c r="D260" s="3" t="n">
        <x:v>3</x:v>
      </x:c>
      <x:c r="E260" s="9" t="n">
        <x:f>Settings!$F$18+2</x:f>
        <x:v>2029</x:v>
      </x:c>
      <x:c r="F260" s="9" t="str">
        <x:f>IF(C260="","",INDEX('Borrowers'!$F$9:$F$108,MATCH(C260,'Borrowers'!$C$9:$C$108,0)))</x:f>
      </x:c>
      <x:c r="G260" s="23" t="str">
        <x:f>IF(C260="","",IFERROR(INDEX('Borrowers'!$J$9:$J$108,MATCH(C260,'Borrowers'!$C$9:$C$108,0))-INDEX('Borrowers'!$K$9:$K$108,MATCH(C260,'Borrowers'!$C$9:$C$108,0)),"Unavailable"))</x:f>
      </x:c>
      <x:c r="H260" s="23" t="str">
        <x:f>IF(C260="","",IFERROR(INDEX('Borrowers'!$I$9:$I$108,MATCH(C260,'Borrowers'!$C$9:$C$108,0))*INDEX('Borrowers'!$U$9:$U$108,MATCH(C260,'Borrowers'!$C$9:$C$108,0))*(IF(F260="Transport",'Scenario Paths'!H156,IF(F260="Technology",'Scenario Paths'!H150,IF(F260="Utilities",'Scenario Paths'!H144,IF(F260="Agriculture",'Scenario Paths'!H138,IF(F260="Manufacturing",'Scenario Paths'!H132,IF(F260="Healthcare",'Scenario Paths'!H126,IF(F260="Hospitality",'Scenario Paths'!H120,IF(F260="Property",'Scenario Paths'!H114,IF(F260="Food",'Scenario Paths'!H108,IF(F260="Logistics",'Scenario Paths'!H102,IF(F260="Solar",'Scenario Paths'!H96,IF(F260="Cement",'Scenario Paths'!H90,0))))))))))))),"Unavailable"))</x:f>
      </x:c>
      <x:c r="I260" s="23" t="str">
        <x:f>IF(C260="","",IFERROR(INDEX('Borrowers'!$R$9:$R$108,MATCH(C260,'Borrowers'!$C$9:$C$108,0))*(1-INDEX('Borrowers'!$W$9:$W$108,MATCH(C260,'Borrowers'!$C$9:$C$108,0))*'Scenario Paths'!H39)*'Scenario Paths'!H9/1000000*(1-INDEX('Borrowers'!$T$9:$T$108,MATCH(C260,'Borrowers'!$C$9:$C$108,0))),"Unavailable"))</x:f>
      </x:c>
      <x:c r="J260" s="23" t="str">
        <x:f>IF(C260="","",IFERROR(INDEX('Borrowers'!$I$9:$I$108,MATCH(C260,'Borrowers'!$C$9:$C$108,0))*INDEX('Borrowers'!$S$9:$S$108,MATCH(C260,'Borrowers'!$C$9:$C$108,0))*'Scenario Paths'!H15*(1-INDEX('Borrowers'!$T$9:$T$108,MATCH(C260,'Borrowers'!$C$9:$C$108,0))),"Unavailable"))</x:f>
      </x:c>
      <x:c r="K260" s="23" t="str">
        <x:f>IF(C260="","",IFERROR(INDEX('Borrowers'!$I$9:$I$108,MATCH(C260,'Borrowers'!$C$9:$C$108,0))*INDEX('Borrowers'!$U$9:$U$108,MATCH(C260,'Borrowers'!$C$9:$C$108,0))*'Scenario Paths'!H21*S260,"Unavailable"))</x:f>
      </x:c>
      <x:c r="L260" s="23" t="str">
        <x:f>IF(C260="","",IFERROR(SUMPRODUCT((Sites!$D$9:$D$108=C260)*Sites!$H$9:$H$108*Sites!$J$9:$J$108*Sites!$K$9:$K$108*(1-Sites!$L$9:$L$108)*(1-Sites!$M$9:$M$108))*'Scenario Paths'!H27,"Unavailable"))</x:f>
      </x:c>
      <x:c r="M260" s="23" t="str">
        <x:f>IF(C260="","",IFERROR(INDEX('Borrowers'!$J$9:$J$108,MATCH(C260,'Borrowers'!$C$9:$C$108,0))+H260-SUM(I260:L260),"Unavailable"))</x:f>
      </x:c>
      <x:c r="N260" s="23" t="str">
        <x:f>IF(C260="","",IFERROR(INDEX('Borrowers'!$I$9:$I$108,MATCH(C260,'Borrowers'!$C$9:$C$108,0))*'Scenario Paths'!H33,"Unavailable"))</x:f>
      </x:c>
      <x:c r="O260" s="23" t="str">
        <x:f>IF(C260="","",IFERROR(M260-INDEX('Borrowers'!$K$9:$K$108,MATCH(C260,'Borrowers'!$C$9:$C$108,0))-N260,"Unavailable"))</x:f>
      </x:c>
      <x:c r="P260" s="127" t="str">
        <x:f>IF(C260="","",IFERROR(O260/INDEX('Borrowers'!$L$9:$L$108,MATCH(C260,'Borrowers'!$C$9:$C$108,0)),"Unavailable"))</x:f>
      </x:c>
      <x:c r="Q260" s="30" t="str">
        <x:f>IF(C260="","",IFERROR(IF(INDEX('Borrowers'!$Z$9:$Z$108,MATCH(C260,'Borrowers'!$C$9:$C$108,0))="Yes",1,IF(INDEX('Borrowers'!$P$9:$P$108,MATCH(C260,'Borrowers'!$C$9:$C$108,0))=0,0,MIN(1,INDEX('Borrowers'!$P$9:$P$108,MATCH(C260,'Borrowers'!$C$9:$C$108,0))*EXP(MIN(20,INDEX('Borrowers'!$V$9:$V$108,MATCH(C260,'Borrowers'!$C$9:$C$108,0))*V260))))),"Unavailable"))</x:f>
      </x:c>
      <x:c r="R260" s="30" t="str">
        <x:f>IF(C260="","",IFERROR(MIN(1,INDEX('Borrowers'!$Q$9:$Q$108,MATCH(C260,'Borrowers'!$C$9:$C$108,0))+(1-INDEX('Borrowers'!$Q$9:$Q$108,MATCH(C260,'Borrowers'!$C$9:$C$108,0)))*T260),"Unavailable"))</x:f>
      </x:c>
      <x:c r="S260" s="30" t="str">
        <x:f>IF(C260="","",IFERROR(SUMPRODUCT((Sites!$D$9:$D$108=C260)*Sites!$I$9:$I$108*Sites!$J$9:$J$108*Sites!$K$9:$K$108*(1-Sites!$L$9:$L$108)),"Unavailable"))</x:f>
      </x:c>
      <x:c r="T260" s="30" t="str">
        <x:f>IF(C260="","",IFERROR(MIN(1,(SUMPRODUCT((Sites!$D$9:$D$108=C260)*Sites!$N$9:$N$108*Sites!$J$9:$J$108*Sites!$K$9:$K$108*(1-Sites!$L$9:$L$108)))*'Scenario Paths'!H27),"Unavailable"))</x:f>
      </x:c>
      <x:c r="U260" s="9" t="str">
        <x:f>IF(C260="","",IF(OR(INDEX('Borrowers'!$AA$9:$AA$108,MATCH(C260,'Borrowers'!$C$9:$C$108,0))&lt;&gt;"Ready",COUNTIF(Sites!$D$9:$D$108,C260)=0,COUNTIFS(Sites!$D$9:$D$108,C260,Sites!$Q$9:$Q$108,"&lt;&gt;Ready")&gt;0,'Scenario Paths'!$F$6&lt;&gt;"Ready"),"Review source inputs","Ready"))</x:f>
      </x:c>
      <x:c r="V260" s="17" t="str">
        <x:f>IF(C260="","",IFERROR(MAX(-1,(G260-O260)/MAX(0.000001,G260)),"Unavailable"))</x:f>
      </x:c>
      <x:c r="W260" s="9" t="str">
        <x:f>IF(C260="","",IFERROR(INDEX('Borrowers'!$D$9:$D$108,MATCH(C260,'Borrowers'!$C$9:$C$108,0)),"Unavailable"))</x:f>
      </x:c>
    </x:row>
    <x:row r="261" ht="26" customHeight="1">
      <x:c r="A261" s="1"/>
      <x:c r="B261" s="1"/>
      <x:c r="C261" s="9" t="str">
        <x:f>IF(Borrowers!C61="","",Borrowers!C61)</x:f>
      </x:c>
      <x:c r="D261" s="3" t="n">
        <x:v>3</x:v>
      </x:c>
      <x:c r="E261" s="9" t="n">
        <x:f>Settings!$F$18+2</x:f>
        <x:v>2029</x:v>
      </x:c>
      <x:c r="F261" s="9" t="str">
        <x:f>IF(C261="","",INDEX('Borrowers'!$F$9:$F$108,MATCH(C261,'Borrowers'!$C$9:$C$108,0)))</x:f>
      </x:c>
      <x:c r="G261" s="23" t="str">
        <x:f>IF(C261="","",IFERROR(INDEX('Borrowers'!$J$9:$J$108,MATCH(C261,'Borrowers'!$C$9:$C$108,0))-INDEX('Borrowers'!$K$9:$K$108,MATCH(C261,'Borrowers'!$C$9:$C$108,0)),"Unavailable"))</x:f>
      </x:c>
      <x:c r="H261" s="23" t="str">
        <x:f>IF(C261="","",IFERROR(INDEX('Borrowers'!$I$9:$I$108,MATCH(C261,'Borrowers'!$C$9:$C$108,0))*INDEX('Borrowers'!$U$9:$U$108,MATCH(C261,'Borrowers'!$C$9:$C$108,0))*(IF(F261="Transport",'Scenario Paths'!H156,IF(F261="Technology",'Scenario Paths'!H150,IF(F261="Utilities",'Scenario Paths'!H144,IF(F261="Agriculture",'Scenario Paths'!H138,IF(F261="Manufacturing",'Scenario Paths'!H132,IF(F261="Healthcare",'Scenario Paths'!H126,IF(F261="Hospitality",'Scenario Paths'!H120,IF(F261="Property",'Scenario Paths'!H114,IF(F261="Food",'Scenario Paths'!H108,IF(F261="Logistics",'Scenario Paths'!H102,IF(F261="Solar",'Scenario Paths'!H96,IF(F261="Cement",'Scenario Paths'!H90,0))))))))))))),"Unavailable"))</x:f>
      </x:c>
      <x:c r="I261" s="23" t="str">
        <x:f>IF(C261="","",IFERROR(INDEX('Borrowers'!$R$9:$R$108,MATCH(C261,'Borrowers'!$C$9:$C$108,0))*(1-INDEX('Borrowers'!$W$9:$W$108,MATCH(C261,'Borrowers'!$C$9:$C$108,0))*'Scenario Paths'!H39)*'Scenario Paths'!H9/1000000*(1-INDEX('Borrowers'!$T$9:$T$108,MATCH(C261,'Borrowers'!$C$9:$C$108,0))),"Unavailable"))</x:f>
      </x:c>
      <x:c r="J261" s="23" t="str">
        <x:f>IF(C261="","",IFERROR(INDEX('Borrowers'!$I$9:$I$108,MATCH(C261,'Borrowers'!$C$9:$C$108,0))*INDEX('Borrowers'!$S$9:$S$108,MATCH(C261,'Borrowers'!$C$9:$C$108,0))*'Scenario Paths'!H15*(1-INDEX('Borrowers'!$T$9:$T$108,MATCH(C261,'Borrowers'!$C$9:$C$108,0))),"Unavailable"))</x:f>
      </x:c>
      <x:c r="K261" s="23" t="str">
        <x:f>IF(C261="","",IFERROR(INDEX('Borrowers'!$I$9:$I$108,MATCH(C261,'Borrowers'!$C$9:$C$108,0))*INDEX('Borrowers'!$U$9:$U$108,MATCH(C261,'Borrowers'!$C$9:$C$108,0))*'Scenario Paths'!H21*S261,"Unavailable"))</x:f>
      </x:c>
      <x:c r="L261" s="23" t="str">
        <x:f>IF(C261="","",IFERROR(SUMPRODUCT((Sites!$D$9:$D$108=C261)*Sites!$H$9:$H$108*Sites!$J$9:$J$108*Sites!$K$9:$K$108*(1-Sites!$L$9:$L$108)*(1-Sites!$M$9:$M$108))*'Scenario Paths'!H27,"Unavailable"))</x:f>
      </x:c>
      <x:c r="M261" s="23" t="str">
        <x:f>IF(C261="","",IFERROR(INDEX('Borrowers'!$J$9:$J$108,MATCH(C261,'Borrowers'!$C$9:$C$108,0))+H261-SUM(I261:L261),"Unavailable"))</x:f>
      </x:c>
      <x:c r="N261" s="23" t="str">
        <x:f>IF(C261="","",IFERROR(INDEX('Borrowers'!$I$9:$I$108,MATCH(C261,'Borrowers'!$C$9:$C$108,0))*'Scenario Paths'!H33,"Unavailable"))</x:f>
      </x:c>
      <x:c r="O261" s="23" t="str">
        <x:f>IF(C261="","",IFERROR(M261-INDEX('Borrowers'!$K$9:$K$108,MATCH(C261,'Borrowers'!$C$9:$C$108,0))-N261,"Unavailable"))</x:f>
      </x:c>
      <x:c r="P261" s="127" t="str">
        <x:f>IF(C261="","",IFERROR(O261/INDEX('Borrowers'!$L$9:$L$108,MATCH(C261,'Borrowers'!$C$9:$C$108,0)),"Unavailable"))</x:f>
      </x:c>
      <x:c r="Q261" s="30" t="str">
        <x:f>IF(C261="","",IFERROR(IF(INDEX('Borrowers'!$Z$9:$Z$108,MATCH(C261,'Borrowers'!$C$9:$C$108,0))="Yes",1,IF(INDEX('Borrowers'!$P$9:$P$108,MATCH(C261,'Borrowers'!$C$9:$C$108,0))=0,0,MIN(1,INDEX('Borrowers'!$P$9:$P$108,MATCH(C261,'Borrowers'!$C$9:$C$108,0))*EXP(MIN(20,INDEX('Borrowers'!$V$9:$V$108,MATCH(C261,'Borrowers'!$C$9:$C$108,0))*V261))))),"Unavailable"))</x:f>
      </x:c>
      <x:c r="R261" s="30" t="str">
        <x:f>IF(C261="","",IFERROR(MIN(1,INDEX('Borrowers'!$Q$9:$Q$108,MATCH(C261,'Borrowers'!$C$9:$C$108,0))+(1-INDEX('Borrowers'!$Q$9:$Q$108,MATCH(C261,'Borrowers'!$C$9:$C$108,0)))*T261),"Unavailable"))</x:f>
      </x:c>
      <x:c r="S261" s="30" t="str">
        <x:f>IF(C261="","",IFERROR(SUMPRODUCT((Sites!$D$9:$D$108=C261)*Sites!$I$9:$I$108*Sites!$J$9:$J$108*Sites!$K$9:$K$108*(1-Sites!$L$9:$L$108)),"Unavailable"))</x:f>
      </x:c>
      <x:c r="T261" s="30" t="str">
        <x:f>IF(C261="","",IFERROR(MIN(1,(SUMPRODUCT((Sites!$D$9:$D$108=C261)*Sites!$N$9:$N$108*Sites!$J$9:$J$108*Sites!$K$9:$K$108*(1-Sites!$L$9:$L$108)))*'Scenario Paths'!H27),"Unavailable"))</x:f>
      </x:c>
      <x:c r="U261" s="9" t="str">
        <x:f>IF(C261="","",IF(OR(INDEX('Borrowers'!$AA$9:$AA$108,MATCH(C261,'Borrowers'!$C$9:$C$108,0))&lt;&gt;"Ready",COUNTIF(Sites!$D$9:$D$108,C261)=0,COUNTIFS(Sites!$D$9:$D$108,C261,Sites!$Q$9:$Q$108,"&lt;&gt;Ready")&gt;0,'Scenario Paths'!$F$6&lt;&gt;"Ready"),"Review source inputs","Ready"))</x:f>
      </x:c>
      <x:c r="V261" s="17" t="str">
        <x:f>IF(C261="","",IFERROR(MAX(-1,(G261-O261)/MAX(0.000001,G261)),"Unavailable"))</x:f>
      </x:c>
      <x:c r="W261" s="9" t="str">
        <x:f>IF(C261="","",IFERROR(INDEX('Borrowers'!$D$9:$D$108,MATCH(C261,'Borrowers'!$C$9:$C$108,0)),"Unavailable"))</x:f>
      </x:c>
    </x:row>
    <x:row r="262" ht="26" customHeight="1">
      <x:c r="A262" s="1"/>
      <x:c r="B262" s="1"/>
      <x:c r="C262" s="9" t="str">
        <x:f>IF(Borrowers!C62="","",Borrowers!C62)</x:f>
      </x:c>
      <x:c r="D262" s="3" t="n">
        <x:v>3</x:v>
      </x:c>
      <x:c r="E262" s="9" t="n">
        <x:f>Settings!$F$18+2</x:f>
        <x:v>2029</x:v>
      </x:c>
      <x:c r="F262" s="9" t="str">
        <x:f>IF(C262="","",INDEX('Borrowers'!$F$9:$F$108,MATCH(C262,'Borrowers'!$C$9:$C$108,0)))</x:f>
      </x:c>
      <x:c r="G262" s="23" t="str">
        <x:f>IF(C262="","",IFERROR(INDEX('Borrowers'!$J$9:$J$108,MATCH(C262,'Borrowers'!$C$9:$C$108,0))-INDEX('Borrowers'!$K$9:$K$108,MATCH(C262,'Borrowers'!$C$9:$C$108,0)),"Unavailable"))</x:f>
      </x:c>
      <x:c r="H262" s="23" t="str">
        <x:f>IF(C262="","",IFERROR(INDEX('Borrowers'!$I$9:$I$108,MATCH(C262,'Borrowers'!$C$9:$C$108,0))*INDEX('Borrowers'!$U$9:$U$108,MATCH(C262,'Borrowers'!$C$9:$C$108,0))*(IF(F262="Transport",'Scenario Paths'!H156,IF(F262="Technology",'Scenario Paths'!H150,IF(F262="Utilities",'Scenario Paths'!H144,IF(F262="Agriculture",'Scenario Paths'!H138,IF(F262="Manufacturing",'Scenario Paths'!H132,IF(F262="Healthcare",'Scenario Paths'!H126,IF(F262="Hospitality",'Scenario Paths'!H120,IF(F262="Property",'Scenario Paths'!H114,IF(F262="Food",'Scenario Paths'!H108,IF(F262="Logistics",'Scenario Paths'!H102,IF(F262="Solar",'Scenario Paths'!H96,IF(F262="Cement",'Scenario Paths'!H90,0))))))))))))),"Unavailable"))</x:f>
      </x:c>
      <x:c r="I262" s="23" t="str">
        <x:f>IF(C262="","",IFERROR(INDEX('Borrowers'!$R$9:$R$108,MATCH(C262,'Borrowers'!$C$9:$C$108,0))*(1-INDEX('Borrowers'!$W$9:$W$108,MATCH(C262,'Borrowers'!$C$9:$C$108,0))*'Scenario Paths'!H39)*'Scenario Paths'!H9/1000000*(1-INDEX('Borrowers'!$T$9:$T$108,MATCH(C262,'Borrowers'!$C$9:$C$108,0))),"Unavailable"))</x:f>
      </x:c>
      <x:c r="J262" s="23" t="str">
        <x:f>IF(C262="","",IFERROR(INDEX('Borrowers'!$I$9:$I$108,MATCH(C262,'Borrowers'!$C$9:$C$108,0))*INDEX('Borrowers'!$S$9:$S$108,MATCH(C262,'Borrowers'!$C$9:$C$108,0))*'Scenario Paths'!H15*(1-INDEX('Borrowers'!$T$9:$T$108,MATCH(C262,'Borrowers'!$C$9:$C$108,0))),"Unavailable"))</x:f>
      </x:c>
      <x:c r="K262" s="23" t="str">
        <x:f>IF(C262="","",IFERROR(INDEX('Borrowers'!$I$9:$I$108,MATCH(C262,'Borrowers'!$C$9:$C$108,0))*INDEX('Borrowers'!$U$9:$U$108,MATCH(C262,'Borrowers'!$C$9:$C$108,0))*'Scenario Paths'!H21*S262,"Unavailable"))</x:f>
      </x:c>
      <x:c r="L262" s="23" t="str">
        <x:f>IF(C262="","",IFERROR(SUMPRODUCT((Sites!$D$9:$D$108=C262)*Sites!$H$9:$H$108*Sites!$J$9:$J$108*Sites!$K$9:$K$108*(1-Sites!$L$9:$L$108)*(1-Sites!$M$9:$M$108))*'Scenario Paths'!H27,"Unavailable"))</x:f>
      </x:c>
      <x:c r="M262" s="23" t="str">
        <x:f>IF(C262="","",IFERROR(INDEX('Borrowers'!$J$9:$J$108,MATCH(C262,'Borrowers'!$C$9:$C$108,0))+H262-SUM(I262:L262),"Unavailable"))</x:f>
      </x:c>
      <x:c r="N262" s="23" t="str">
        <x:f>IF(C262="","",IFERROR(INDEX('Borrowers'!$I$9:$I$108,MATCH(C262,'Borrowers'!$C$9:$C$108,0))*'Scenario Paths'!H33,"Unavailable"))</x:f>
      </x:c>
      <x:c r="O262" s="23" t="str">
        <x:f>IF(C262="","",IFERROR(M262-INDEX('Borrowers'!$K$9:$K$108,MATCH(C262,'Borrowers'!$C$9:$C$108,0))-N262,"Unavailable"))</x:f>
      </x:c>
      <x:c r="P262" s="127" t="str">
        <x:f>IF(C262="","",IFERROR(O262/INDEX('Borrowers'!$L$9:$L$108,MATCH(C262,'Borrowers'!$C$9:$C$108,0)),"Unavailable"))</x:f>
      </x:c>
      <x:c r="Q262" s="30" t="str">
        <x:f>IF(C262="","",IFERROR(IF(INDEX('Borrowers'!$Z$9:$Z$108,MATCH(C262,'Borrowers'!$C$9:$C$108,0))="Yes",1,IF(INDEX('Borrowers'!$P$9:$P$108,MATCH(C262,'Borrowers'!$C$9:$C$108,0))=0,0,MIN(1,INDEX('Borrowers'!$P$9:$P$108,MATCH(C262,'Borrowers'!$C$9:$C$108,0))*EXP(MIN(20,INDEX('Borrowers'!$V$9:$V$108,MATCH(C262,'Borrowers'!$C$9:$C$108,0))*V262))))),"Unavailable"))</x:f>
      </x:c>
      <x:c r="R262" s="30" t="str">
        <x:f>IF(C262="","",IFERROR(MIN(1,INDEX('Borrowers'!$Q$9:$Q$108,MATCH(C262,'Borrowers'!$C$9:$C$108,0))+(1-INDEX('Borrowers'!$Q$9:$Q$108,MATCH(C262,'Borrowers'!$C$9:$C$108,0)))*T262),"Unavailable"))</x:f>
      </x:c>
      <x:c r="S262" s="30" t="str">
        <x:f>IF(C262="","",IFERROR(SUMPRODUCT((Sites!$D$9:$D$108=C262)*Sites!$I$9:$I$108*Sites!$J$9:$J$108*Sites!$K$9:$K$108*(1-Sites!$L$9:$L$108)),"Unavailable"))</x:f>
      </x:c>
      <x:c r="T262" s="30" t="str">
        <x:f>IF(C262="","",IFERROR(MIN(1,(SUMPRODUCT((Sites!$D$9:$D$108=C262)*Sites!$N$9:$N$108*Sites!$J$9:$J$108*Sites!$K$9:$K$108*(1-Sites!$L$9:$L$108)))*'Scenario Paths'!H27),"Unavailable"))</x:f>
      </x:c>
      <x:c r="U262" s="9" t="str">
        <x:f>IF(C262="","",IF(OR(INDEX('Borrowers'!$AA$9:$AA$108,MATCH(C262,'Borrowers'!$C$9:$C$108,0))&lt;&gt;"Ready",COUNTIF(Sites!$D$9:$D$108,C262)=0,COUNTIFS(Sites!$D$9:$D$108,C262,Sites!$Q$9:$Q$108,"&lt;&gt;Ready")&gt;0,'Scenario Paths'!$F$6&lt;&gt;"Ready"),"Review source inputs","Ready"))</x:f>
      </x:c>
      <x:c r="V262" s="17" t="str">
        <x:f>IF(C262="","",IFERROR(MAX(-1,(G262-O262)/MAX(0.000001,G262)),"Unavailable"))</x:f>
      </x:c>
      <x:c r="W262" s="9" t="str">
        <x:f>IF(C262="","",IFERROR(INDEX('Borrowers'!$D$9:$D$108,MATCH(C262,'Borrowers'!$C$9:$C$108,0)),"Unavailable"))</x:f>
      </x:c>
    </x:row>
    <x:row r="263" ht="26" customHeight="1">
      <x:c r="A263" s="1"/>
      <x:c r="B263" s="1"/>
      <x:c r="C263" s="9" t="str">
        <x:f>IF(Borrowers!C63="","",Borrowers!C63)</x:f>
      </x:c>
      <x:c r="D263" s="3" t="n">
        <x:v>3</x:v>
      </x:c>
      <x:c r="E263" s="9" t="n">
        <x:f>Settings!$F$18+2</x:f>
        <x:v>2029</x:v>
      </x:c>
      <x:c r="F263" s="9" t="str">
        <x:f>IF(C263="","",INDEX('Borrowers'!$F$9:$F$108,MATCH(C263,'Borrowers'!$C$9:$C$108,0)))</x:f>
      </x:c>
      <x:c r="G263" s="23" t="str">
        <x:f>IF(C263="","",IFERROR(INDEX('Borrowers'!$J$9:$J$108,MATCH(C263,'Borrowers'!$C$9:$C$108,0))-INDEX('Borrowers'!$K$9:$K$108,MATCH(C263,'Borrowers'!$C$9:$C$108,0)),"Unavailable"))</x:f>
      </x:c>
      <x:c r="H263" s="23" t="str">
        <x:f>IF(C263="","",IFERROR(INDEX('Borrowers'!$I$9:$I$108,MATCH(C263,'Borrowers'!$C$9:$C$108,0))*INDEX('Borrowers'!$U$9:$U$108,MATCH(C263,'Borrowers'!$C$9:$C$108,0))*(IF(F263="Transport",'Scenario Paths'!H156,IF(F263="Technology",'Scenario Paths'!H150,IF(F263="Utilities",'Scenario Paths'!H144,IF(F263="Agriculture",'Scenario Paths'!H138,IF(F263="Manufacturing",'Scenario Paths'!H132,IF(F263="Healthcare",'Scenario Paths'!H126,IF(F263="Hospitality",'Scenario Paths'!H120,IF(F263="Property",'Scenario Paths'!H114,IF(F263="Food",'Scenario Paths'!H108,IF(F263="Logistics",'Scenario Paths'!H102,IF(F263="Solar",'Scenario Paths'!H96,IF(F263="Cement",'Scenario Paths'!H90,0))))))))))))),"Unavailable"))</x:f>
      </x:c>
      <x:c r="I263" s="23" t="str">
        <x:f>IF(C263="","",IFERROR(INDEX('Borrowers'!$R$9:$R$108,MATCH(C263,'Borrowers'!$C$9:$C$108,0))*(1-INDEX('Borrowers'!$W$9:$W$108,MATCH(C263,'Borrowers'!$C$9:$C$108,0))*'Scenario Paths'!H39)*'Scenario Paths'!H9/1000000*(1-INDEX('Borrowers'!$T$9:$T$108,MATCH(C263,'Borrowers'!$C$9:$C$108,0))),"Unavailable"))</x:f>
      </x:c>
      <x:c r="J263" s="23" t="str">
        <x:f>IF(C263="","",IFERROR(INDEX('Borrowers'!$I$9:$I$108,MATCH(C263,'Borrowers'!$C$9:$C$108,0))*INDEX('Borrowers'!$S$9:$S$108,MATCH(C263,'Borrowers'!$C$9:$C$108,0))*'Scenario Paths'!H15*(1-INDEX('Borrowers'!$T$9:$T$108,MATCH(C263,'Borrowers'!$C$9:$C$108,0))),"Unavailable"))</x:f>
      </x:c>
      <x:c r="K263" s="23" t="str">
        <x:f>IF(C263="","",IFERROR(INDEX('Borrowers'!$I$9:$I$108,MATCH(C263,'Borrowers'!$C$9:$C$108,0))*INDEX('Borrowers'!$U$9:$U$108,MATCH(C263,'Borrowers'!$C$9:$C$108,0))*'Scenario Paths'!H21*S263,"Unavailable"))</x:f>
      </x:c>
      <x:c r="L263" s="23" t="str">
        <x:f>IF(C263="","",IFERROR(SUMPRODUCT((Sites!$D$9:$D$108=C263)*Sites!$H$9:$H$108*Sites!$J$9:$J$108*Sites!$K$9:$K$108*(1-Sites!$L$9:$L$108)*(1-Sites!$M$9:$M$108))*'Scenario Paths'!H27,"Unavailable"))</x:f>
      </x:c>
      <x:c r="M263" s="23" t="str">
        <x:f>IF(C263="","",IFERROR(INDEX('Borrowers'!$J$9:$J$108,MATCH(C263,'Borrowers'!$C$9:$C$108,0))+H263-SUM(I263:L263),"Unavailable"))</x:f>
      </x:c>
      <x:c r="N263" s="23" t="str">
        <x:f>IF(C263="","",IFERROR(INDEX('Borrowers'!$I$9:$I$108,MATCH(C263,'Borrowers'!$C$9:$C$108,0))*'Scenario Paths'!H33,"Unavailable"))</x:f>
      </x:c>
      <x:c r="O263" s="23" t="str">
        <x:f>IF(C263="","",IFERROR(M263-INDEX('Borrowers'!$K$9:$K$108,MATCH(C263,'Borrowers'!$C$9:$C$108,0))-N263,"Unavailable"))</x:f>
      </x:c>
      <x:c r="P263" s="127" t="str">
        <x:f>IF(C263="","",IFERROR(O263/INDEX('Borrowers'!$L$9:$L$108,MATCH(C263,'Borrowers'!$C$9:$C$108,0)),"Unavailable"))</x:f>
      </x:c>
      <x:c r="Q263" s="30" t="str">
        <x:f>IF(C263="","",IFERROR(IF(INDEX('Borrowers'!$Z$9:$Z$108,MATCH(C263,'Borrowers'!$C$9:$C$108,0))="Yes",1,IF(INDEX('Borrowers'!$P$9:$P$108,MATCH(C263,'Borrowers'!$C$9:$C$108,0))=0,0,MIN(1,INDEX('Borrowers'!$P$9:$P$108,MATCH(C263,'Borrowers'!$C$9:$C$108,0))*EXP(MIN(20,INDEX('Borrowers'!$V$9:$V$108,MATCH(C263,'Borrowers'!$C$9:$C$108,0))*V263))))),"Unavailable"))</x:f>
      </x:c>
      <x:c r="R263" s="30" t="str">
        <x:f>IF(C263="","",IFERROR(MIN(1,INDEX('Borrowers'!$Q$9:$Q$108,MATCH(C263,'Borrowers'!$C$9:$C$108,0))+(1-INDEX('Borrowers'!$Q$9:$Q$108,MATCH(C263,'Borrowers'!$C$9:$C$108,0)))*T263),"Unavailable"))</x:f>
      </x:c>
      <x:c r="S263" s="30" t="str">
        <x:f>IF(C263="","",IFERROR(SUMPRODUCT((Sites!$D$9:$D$108=C263)*Sites!$I$9:$I$108*Sites!$J$9:$J$108*Sites!$K$9:$K$108*(1-Sites!$L$9:$L$108)),"Unavailable"))</x:f>
      </x:c>
      <x:c r="T263" s="30" t="str">
        <x:f>IF(C263="","",IFERROR(MIN(1,(SUMPRODUCT((Sites!$D$9:$D$108=C263)*Sites!$N$9:$N$108*Sites!$J$9:$J$108*Sites!$K$9:$K$108*(1-Sites!$L$9:$L$108)))*'Scenario Paths'!H27),"Unavailable"))</x:f>
      </x:c>
      <x:c r="U263" s="9" t="str">
        <x:f>IF(C263="","",IF(OR(INDEX('Borrowers'!$AA$9:$AA$108,MATCH(C263,'Borrowers'!$C$9:$C$108,0))&lt;&gt;"Ready",COUNTIF(Sites!$D$9:$D$108,C263)=0,COUNTIFS(Sites!$D$9:$D$108,C263,Sites!$Q$9:$Q$108,"&lt;&gt;Ready")&gt;0,'Scenario Paths'!$F$6&lt;&gt;"Ready"),"Review source inputs","Ready"))</x:f>
      </x:c>
      <x:c r="V263" s="17" t="str">
        <x:f>IF(C263="","",IFERROR(MAX(-1,(G263-O263)/MAX(0.000001,G263)),"Unavailable"))</x:f>
      </x:c>
      <x:c r="W263" s="9" t="str">
        <x:f>IF(C263="","",IFERROR(INDEX('Borrowers'!$D$9:$D$108,MATCH(C263,'Borrowers'!$C$9:$C$108,0)),"Unavailable"))</x:f>
      </x:c>
    </x:row>
    <x:row r="264" ht="26" customHeight="1">
      <x:c r="A264" s="1"/>
      <x:c r="B264" s="1"/>
      <x:c r="C264" s="9" t="str">
        <x:f>IF(Borrowers!C64="","",Borrowers!C64)</x:f>
      </x:c>
      <x:c r="D264" s="3" t="n">
        <x:v>3</x:v>
      </x:c>
      <x:c r="E264" s="9" t="n">
        <x:f>Settings!$F$18+2</x:f>
        <x:v>2029</x:v>
      </x:c>
      <x:c r="F264" s="9" t="str">
        <x:f>IF(C264="","",INDEX('Borrowers'!$F$9:$F$108,MATCH(C264,'Borrowers'!$C$9:$C$108,0)))</x:f>
      </x:c>
      <x:c r="G264" s="23" t="str">
        <x:f>IF(C264="","",IFERROR(INDEX('Borrowers'!$J$9:$J$108,MATCH(C264,'Borrowers'!$C$9:$C$108,0))-INDEX('Borrowers'!$K$9:$K$108,MATCH(C264,'Borrowers'!$C$9:$C$108,0)),"Unavailable"))</x:f>
      </x:c>
      <x:c r="H264" s="23" t="str">
        <x:f>IF(C264="","",IFERROR(INDEX('Borrowers'!$I$9:$I$108,MATCH(C264,'Borrowers'!$C$9:$C$108,0))*INDEX('Borrowers'!$U$9:$U$108,MATCH(C264,'Borrowers'!$C$9:$C$108,0))*(IF(F264="Transport",'Scenario Paths'!H156,IF(F264="Technology",'Scenario Paths'!H150,IF(F264="Utilities",'Scenario Paths'!H144,IF(F264="Agriculture",'Scenario Paths'!H138,IF(F264="Manufacturing",'Scenario Paths'!H132,IF(F264="Healthcare",'Scenario Paths'!H126,IF(F264="Hospitality",'Scenario Paths'!H120,IF(F264="Property",'Scenario Paths'!H114,IF(F264="Food",'Scenario Paths'!H108,IF(F264="Logistics",'Scenario Paths'!H102,IF(F264="Solar",'Scenario Paths'!H96,IF(F264="Cement",'Scenario Paths'!H90,0))))))))))))),"Unavailable"))</x:f>
      </x:c>
      <x:c r="I264" s="23" t="str">
        <x:f>IF(C264="","",IFERROR(INDEX('Borrowers'!$R$9:$R$108,MATCH(C264,'Borrowers'!$C$9:$C$108,0))*(1-INDEX('Borrowers'!$W$9:$W$108,MATCH(C264,'Borrowers'!$C$9:$C$108,0))*'Scenario Paths'!H39)*'Scenario Paths'!H9/1000000*(1-INDEX('Borrowers'!$T$9:$T$108,MATCH(C264,'Borrowers'!$C$9:$C$108,0))),"Unavailable"))</x:f>
      </x:c>
      <x:c r="J264" s="23" t="str">
        <x:f>IF(C264="","",IFERROR(INDEX('Borrowers'!$I$9:$I$108,MATCH(C264,'Borrowers'!$C$9:$C$108,0))*INDEX('Borrowers'!$S$9:$S$108,MATCH(C264,'Borrowers'!$C$9:$C$108,0))*'Scenario Paths'!H15*(1-INDEX('Borrowers'!$T$9:$T$108,MATCH(C264,'Borrowers'!$C$9:$C$108,0))),"Unavailable"))</x:f>
      </x:c>
      <x:c r="K264" s="23" t="str">
        <x:f>IF(C264="","",IFERROR(INDEX('Borrowers'!$I$9:$I$108,MATCH(C264,'Borrowers'!$C$9:$C$108,0))*INDEX('Borrowers'!$U$9:$U$108,MATCH(C264,'Borrowers'!$C$9:$C$108,0))*'Scenario Paths'!H21*S264,"Unavailable"))</x:f>
      </x:c>
      <x:c r="L264" s="23" t="str">
        <x:f>IF(C264="","",IFERROR(SUMPRODUCT((Sites!$D$9:$D$108=C264)*Sites!$H$9:$H$108*Sites!$J$9:$J$108*Sites!$K$9:$K$108*(1-Sites!$L$9:$L$108)*(1-Sites!$M$9:$M$108))*'Scenario Paths'!H27,"Unavailable"))</x:f>
      </x:c>
      <x:c r="M264" s="23" t="str">
        <x:f>IF(C264="","",IFERROR(INDEX('Borrowers'!$J$9:$J$108,MATCH(C264,'Borrowers'!$C$9:$C$108,0))+H264-SUM(I264:L264),"Unavailable"))</x:f>
      </x:c>
      <x:c r="N264" s="23" t="str">
        <x:f>IF(C264="","",IFERROR(INDEX('Borrowers'!$I$9:$I$108,MATCH(C264,'Borrowers'!$C$9:$C$108,0))*'Scenario Paths'!H33,"Unavailable"))</x:f>
      </x:c>
      <x:c r="O264" s="23" t="str">
        <x:f>IF(C264="","",IFERROR(M264-INDEX('Borrowers'!$K$9:$K$108,MATCH(C264,'Borrowers'!$C$9:$C$108,0))-N264,"Unavailable"))</x:f>
      </x:c>
      <x:c r="P264" s="127" t="str">
        <x:f>IF(C264="","",IFERROR(O264/INDEX('Borrowers'!$L$9:$L$108,MATCH(C264,'Borrowers'!$C$9:$C$108,0)),"Unavailable"))</x:f>
      </x:c>
      <x:c r="Q264" s="30" t="str">
        <x:f>IF(C264="","",IFERROR(IF(INDEX('Borrowers'!$Z$9:$Z$108,MATCH(C264,'Borrowers'!$C$9:$C$108,0))="Yes",1,IF(INDEX('Borrowers'!$P$9:$P$108,MATCH(C264,'Borrowers'!$C$9:$C$108,0))=0,0,MIN(1,INDEX('Borrowers'!$P$9:$P$108,MATCH(C264,'Borrowers'!$C$9:$C$108,0))*EXP(MIN(20,INDEX('Borrowers'!$V$9:$V$108,MATCH(C264,'Borrowers'!$C$9:$C$108,0))*V264))))),"Unavailable"))</x:f>
      </x:c>
      <x:c r="R264" s="30" t="str">
        <x:f>IF(C264="","",IFERROR(MIN(1,INDEX('Borrowers'!$Q$9:$Q$108,MATCH(C264,'Borrowers'!$C$9:$C$108,0))+(1-INDEX('Borrowers'!$Q$9:$Q$108,MATCH(C264,'Borrowers'!$C$9:$C$108,0)))*T264),"Unavailable"))</x:f>
      </x:c>
      <x:c r="S264" s="30" t="str">
        <x:f>IF(C264="","",IFERROR(SUMPRODUCT((Sites!$D$9:$D$108=C264)*Sites!$I$9:$I$108*Sites!$J$9:$J$108*Sites!$K$9:$K$108*(1-Sites!$L$9:$L$108)),"Unavailable"))</x:f>
      </x:c>
      <x:c r="T264" s="30" t="str">
        <x:f>IF(C264="","",IFERROR(MIN(1,(SUMPRODUCT((Sites!$D$9:$D$108=C264)*Sites!$N$9:$N$108*Sites!$J$9:$J$108*Sites!$K$9:$K$108*(1-Sites!$L$9:$L$108)))*'Scenario Paths'!H27),"Unavailable"))</x:f>
      </x:c>
      <x:c r="U264" s="9" t="str">
        <x:f>IF(C264="","",IF(OR(INDEX('Borrowers'!$AA$9:$AA$108,MATCH(C264,'Borrowers'!$C$9:$C$108,0))&lt;&gt;"Ready",COUNTIF(Sites!$D$9:$D$108,C264)=0,COUNTIFS(Sites!$D$9:$D$108,C264,Sites!$Q$9:$Q$108,"&lt;&gt;Ready")&gt;0,'Scenario Paths'!$F$6&lt;&gt;"Ready"),"Review source inputs","Ready"))</x:f>
      </x:c>
      <x:c r="V264" s="17" t="str">
        <x:f>IF(C264="","",IFERROR(MAX(-1,(G264-O264)/MAX(0.000001,G264)),"Unavailable"))</x:f>
      </x:c>
      <x:c r="W264" s="9" t="str">
        <x:f>IF(C264="","",IFERROR(INDEX('Borrowers'!$D$9:$D$108,MATCH(C264,'Borrowers'!$C$9:$C$108,0)),"Unavailable"))</x:f>
      </x:c>
    </x:row>
    <x:row r="265" ht="26" customHeight="1">
      <x:c r="A265" s="1"/>
      <x:c r="B265" s="1"/>
      <x:c r="C265" s="9" t="str">
        <x:f>IF(Borrowers!C65="","",Borrowers!C65)</x:f>
      </x:c>
      <x:c r="D265" s="3" t="n">
        <x:v>3</x:v>
      </x:c>
      <x:c r="E265" s="9" t="n">
        <x:f>Settings!$F$18+2</x:f>
        <x:v>2029</x:v>
      </x:c>
      <x:c r="F265" s="9" t="str">
        <x:f>IF(C265="","",INDEX('Borrowers'!$F$9:$F$108,MATCH(C265,'Borrowers'!$C$9:$C$108,0)))</x:f>
      </x:c>
      <x:c r="G265" s="23" t="str">
        <x:f>IF(C265="","",IFERROR(INDEX('Borrowers'!$J$9:$J$108,MATCH(C265,'Borrowers'!$C$9:$C$108,0))-INDEX('Borrowers'!$K$9:$K$108,MATCH(C265,'Borrowers'!$C$9:$C$108,0)),"Unavailable"))</x:f>
      </x:c>
      <x:c r="H265" s="23" t="str">
        <x:f>IF(C265="","",IFERROR(INDEX('Borrowers'!$I$9:$I$108,MATCH(C265,'Borrowers'!$C$9:$C$108,0))*INDEX('Borrowers'!$U$9:$U$108,MATCH(C265,'Borrowers'!$C$9:$C$108,0))*(IF(F265="Transport",'Scenario Paths'!H156,IF(F265="Technology",'Scenario Paths'!H150,IF(F265="Utilities",'Scenario Paths'!H144,IF(F265="Agriculture",'Scenario Paths'!H138,IF(F265="Manufacturing",'Scenario Paths'!H132,IF(F265="Healthcare",'Scenario Paths'!H126,IF(F265="Hospitality",'Scenario Paths'!H120,IF(F265="Property",'Scenario Paths'!H114,IF(F265="Food",'Scenario Paths'!H108,IF(F265="Logistics",'Scenario Paths'!H102,IF(F265="Solar",'Scenario Paths'!H96,IF(F265="Cement",'Scenario Paths'!H90,0))))))))))))),"Unavailable"))</x:f>
      </x:c>
      <x:c r="I265" s="23" t="str">
        <x:f>IF(C265="","",IFERROR(INDEX('Borrowers'!$R$9:$R$108,MATCH(C265,'Borrowers'!$C$9:$C$108,0))*(1-INDEX('Borrowers'!$W$9:$W$108,MATCH(C265,'Borrowers'!$C$9:$C$108,0))*'Scenario Paths'!H39)*'Scenario Paths'!H9/1000000*(1-INDEX('Borrowers'!$T$9:$T$108,MATCH(C265,'Borrowers'!$C$9:$C$108,0))),"Unavailable"))</x:f>
      </x:c>
      <x:c r="J265" s="23" t="str">
        <x:f>IF(C265="","",IFERROR(INDEX('Borrowers'!$I$9:$I$108,MATCH(C265,'Borrowers'!$C$9:$C$108,0))*INDEX('Borrowers'!$S$9:$S$108,MATCH(C265,'Borrowers'!$C$9:$C$108,0))*'Scenario Paths'!H15*(1-INDEX('Borrowers'!$T$9:$T$108,MATCH(C265,'Borrowers'!$C$9:$C$108,0))),"Unavailable"))</x:f>
      </x:c>
      <x:c r="K265" s="23" t="str">
        <x:f>IF(C265="","",IFERROR(INDEX('Borrowers'!$I$9:$I$108,MATCH(C265,'Borrowers'!$C$9:$C$108,0))*INDEX('Borrowers'!$U$9:$U$108,MATCH(C265,'Borrowers'!$C$9:$C$108,0))*'Scenario Paths'!H21*S265,"Unavailable"))</x:f>
      </x:c>
      <x:c r="L265" s="23" t="str">
        <x:f>IF(C265="","",IFERROR(SUMPRODUCT((Sites!$D$9:$D$108=C265)*Sites!$H$9:$H$108*Sites!$J$9:$J$108*Sites!$K$9:$K$108*(1-Sites!$L$9:$L$108)*(1-Sites!$M$9:$M$108))*'Scenario Paths'!H27,"Unavailable"))</x:f>
      </x:c>
      <x:c r="M265" s="23" t="str">
        <x:f>IF(C265="","",IFERROR(INDEX('Borrowers'!$J$9:$J$108,MATCH(C265,'Borrowers'!$C$9:$C$108,0))+H265-SUM(I265:L265),"Unavailable"))</x:f>
      </x:c>
      <x:c r="N265" s="23" t="str">
        <x:f>IF(C265="","",IFERROR(INDEX('Borrowers'!$I$9:$I$108,MATCH(C265,'Borrowers'!$C$9:$C$108,0))*'Scenario Paths'!H33,"Unavailable"))</x:f>
      </x:c>
      <x:c r="O265" s="23" t="str">
        <x:f>IF(C265="","",IFERROR(M265-INDEX('Borrowers'!$K$9:$K$108,MATCH(C265,'Borrowers'!$C$9:$C$108,0))-N265,"Unavailable"))</x:f>
      </x:c>
      <x:c r="P265" s="127" t="str">
        <x:f>IF(C265="","",IFERROR(O265/INDEX('Borrowers'!$L$9:$L$108,MATCH(C265,'Borrowers'!$C$9:$C$108,0)),"Unavailable"))</x:f>
      </x:c>
      <x:c r="Q265" s="30" t="str">
        <x:f>IF(C265="","",IFERROR(IF(INDEX('Borrowers'!$Z$9:$Z$108,MATCH(C265,'Borrowers'!$C$9:$C$108,0))="Yes",1,IF(INDEX('Borrowers'!$P$9:$P$108,MATCH(C265,'Borrowers'!$C$9:$C$108,0))=0,0,MIN(1,INDEX('Borrowers'!$P$9:$P$108,MATCH(C265,'Borrowers'!$C$9:$C$108,0))*EXP(MIN(20,INDEX('Borrowers'!$V$9:$V$108,MATCH(C265,'Borrowers'!$C$9:$C$108,0))*V265))))),"Unavailable"))</x:f>
      </x:c>
      <x:c r="R265" s="30" t="str">
        <x:f>IF(C265="","",IFERROR(MIN(1,INDEX('Borrowers'!$Q$9:$Q$108,MATCH(C265,'Borrowers'!$C$9:$C$108,0))+(1-INDEX('Borrowers'!$Q$9:$Q$108,MATCH(C265,'Borrowers'!$C$9:$C$108,0)))*T265),"Unavailable"))</x:f>
      </x:c>
      <x:c r="S265" s="30" t="str">
        <x:f>IF(C265="","",IFERROR(SUMPRODUCT((Sites!$D$9:$D$108=C265)*Sites!$I$9:$I$108*Sites!$J$9:$J$108*Sites!$K$9:$K$108*(1-Sites!$L$9:$L$108)),"Unavailable"))</x:f>
      </x:c>
      <x:c r="T265" s="30" t="str">
        <x:f>IF(C265="","",IFERROR(MIN(1,(SUMPRODUCT((Sites!$D$9:$D$108=C265)*Sites!$N$9:$N$108*Sites!$J$9:$J$108*Sites!$K$9:$K$108*(1-Sites!$L$9:$L$108)))*'Scenario Paths'!H27),"Unavailable"))</x:f>
      </x:c>
      <x:c r="U265" s="9" t="str">
        <x:f>IF(C265="","",IF(OR(INDEX('Borrowers'!$AA$9:$AA$108,MATCH(C265,'Borrowers'!$C$9:$C$108,0))&lt;&gt;"Ready",COUNTIF(Sites!$D$9:$D$108,C265)=0,COUNTIFS(Sites!$D$9:$D$108,C265,Sites!$Q$9:$Q$108,"&lt;&gt;Ready")&gt;0,'Scenario Paths'!$F$6&lt;&gt;"Ready"),"Review source inputs","Ready"))</x:f>
      </x:c>
      <x:c r="V265" s="17" t="str">
        <x:f>IF(C265="","",IFERROR(MAX(-1,(G265-O265)/MAX(0.000001,G265)),"Unavailable"))</x:f>
      </x:c>
      <x:c r="W265" s="9" t="str">
        <x:f>IF(C265="","",IFERROR(INDEX('Borrowers'!$D$9:$D$108,MATCH(C265,'Borrowers'!$C$9:$C$108,0)),"Unavailable"))</x:f>
      </x:c>
    </x:row>
    <x:row r="266" ht="26" customHeight="1">
      <x:c r="A266" s="1"/>
      <x:c r="B266" s="1"/>
      <x:c r="C266" s="9" t="str">
        <x:f>IF(Borrowers!C66="","",Borrowers!C66)</x:f>
      </x:c>
      <x:c r="D266" s="3" t="n">
        <x:v>3</x:v>
      </x:c>
      <x:c r="E266" s="9" t="n">
        <x:f>Settings!$F$18+2</x:f>
        <x:v>2029</x:v>
      </x:c>
      <x:c r="F266" s="9" t="str">
        <x:f>IF(C266="","",INDEX('Borrowers'!$F$9:$F$108,MATCH(C266,'Borrowers'!$C$9:$C$108,0)))</x:f>
      </x:c>
      <x:c r="G266" s="23" t="str">
        <x:f>IF(C266="","",IFERROR(INDEX('Borrowers'!$J$9:$J$108,MATCH(C266,'Borrowers'!$C$9:$C$108,0))-INDEX('Borrowers'!$K$9:$K$108,MATCH(C266,'Borrowers'!$C$9:$C$108,0)),"Unavailable"))</x:f>
      </x:c>
      <x:c r="H266" s="23" t="str">
        <x:f>IF(C266="","",IFERROR(INDEX('Borrowers'!$I$9:$I$108,MATCH(C266,'Borrowers'!$C$9:$C$108,0))*INDEX('Borrowers'!$U$9:$U$108,MATCH(C266,'Borrowers'!$C$9:$C$108,0))*(IF(F266="Transport",'Scenario Paths'!H156,IF(F266="Technology",'Scenario Paths'!H150,IF(F266="Utilities",'Scenario Paths'!H144,IF(F266="Agriculture",'Scenario Paths'!H138,IF(F266="Manufacturing",'Scenario Paths'!H132,IF(F266="Healthcare",'Scenario Paths'!H126,IF(F266="Hospitality",'Scenario Paths'!H120,IF(F266="Property",'Scenario Paths'!H114,IF(F266="Food",'Scenario Paths'!H108,IF(F266="Logistics",'Scenario Paths'!H102,IF(F266="Solar",'Scenario Paths'!H96,IF(F266="Cement",'Scenario Paths'!H90,0))))))))))))),"Unavailable"))</x:f>
      </x:c>
      <x:c r="I266" s="23" t="str">
        <x:f>IF(C266="","",IFERROR(INDEX('Borrowers'!$R$9:$R$108,MATCH(C266,'Borrowers'!$C$9:$C$108,0))*(1-INDEX('Borrowers'!$W$9:$W$108,MATCH(C266,'Borrowers'!$C$9:$C$108,0))*'Scenario Paths'!H39)*'Scenario Paths'!H9/1000000*(1-INDEX('Borrowers'!$T$9:$T$108,MATCH(C266,'Borrowers'!$C$9:$C$108,0))),"Unavailable"))</x:f>
      </x:c>
      <x:c r="J266" s="23" t="str">
        <x:f>IF(C266="","",IFERROR(INDEX('Borrowers'!$I$9:$I$108,MATCH(C266,'Borrowers'!$C$9:$C$108,0))*INDEX('Borrowers'!$S$9:$S$108,MATCH(C266,'Borrowers'!$C$9:$C$108,0))*'Scenario Paths'!H15*(1-INDEX('Borrowers'!$T$9:$T$108,MATCH(C266,'Borrowers'!$C$9:$C$108,0))),"Unavailable"))</x:f>
      </x:c>
      <x:c r="K266" s="23" t="str">
        <x:f>IF(C266="","",IFERROR(INDEX('Borrowers'!$I$9:$I$108,MATCH(C266,'Borrowers'!$C$9:$C$108,0))*INDEX('Borrowers'!$U$9:$U$108,MATCH(C266,'Borrowers'!$C$9:$C$108,0))*'Scenario Paths'!H21*S266,"Unavailable"))</x:f>
      </x:c>
      <x:c r="L266" s="23" t="str">
        <x:f>IF(C266="","",IFERROR(SUMPRODUCT((Sites!$D$9:$D$108=C266)*Sites!$H$9:$H$108*Sites!$J$9:$J$108*Sites!$K$9:$K$108*(1-Sites!$L$9:$L$108)*(1-Sites!$M$9:$M$108))*'Scenario Paths'!H27,"Unavailable"))</x:f>
      </x:c>
      <x:c r="M266" s="23" t="str">
        <x:f>IF(C266="","",IFERROR(INDEX('Borrowers'!$J$9:$J$108,MATCH(C266,'Borrowers'!$C$9:$C$108,0))+H266-SUM(I266:L266),"Unavailable"))</x:f>
      </x:c>
      <x:c r="N266" s="23" t="str">
        <x:f>IF(C266="","",IFERROR(INDEX('Borrowers'!$I$9:$I$108,MATCH(C266,'Borrowers'!$C$9:$C$108,0))*'Scenario Paths'!H33,"Unavailable"))</x:f>
      </x:c>
      <x:c r="O266" s="23" t="str">
        <x:f>IF(C266="","",IFERROR(M266-INDEX('Borrowers'!$K$9:$K$108,MATCH(C266,'Borrowers'!$C$9:$C$108,0))-N266,"Unavailable"))</x:f>
      </x:c>
      <x:c r="P266" s="127" t="str">
        <x:f>IF(C266="","",IFERROR(O266/INDEX('Borrowers'!$L$9:$L$108,MATCH(C266,'Borrowers'!$C$9:$C$108,0)),"Unavailable"))</x:f>
      </x:c>
      <x:c r="Q266" s="30" t="str">
        <x:f>IF(C266="","",IFERROR(IF(INDEX('Borrowers'!$Z$9:$Z$108,MATCH(C266,'Borrowers'!$C$9:$C$108,0))="Yes",1,IF(INDEX('Borrowers'!$P$9:$P$108,MATCH(C266,'Borrowers'!$C$9:$C$108,0))=0,0,MIN(1,INDEX('Borrowers'!$P$9:$P$108,MATCH(C266,'Borrowers'!$C$9:$C$108,0))*EXP(MIN(20,INDEX('Borrowers'!$V$9:$V$108,MATCH(C266,'Borrowers'!$C$9:$C$108,0))*V266))))),"Unavailable"))</x:f>
      </x:c>
      <x:c r="R266" s="30" t="str">
        <x:f>IF(C266="","",IFERROR(MIN(1,INDEX('Borrowers'!$Q$9:$Q$108,MATCH(C266,'Borrowers'!$C$9:$C$108,0))+(1-INDEX('Borrowers'!$Q$9:$Q$108,MATCH(C266,'Borrowers'!$C$9:$C$108,0)))*T266),"Unavailable"))</x:f>
      </x:c>
      <x:c r="S266" s="30" t="str">
        <x:f>IF(C266="","",IFERROR(SUMPRODUCT((Sites!$D$9:$D$108=C266)*Sites!$I$9:$I$108*Sites!$J$9:$J$108*Sites!$K$9:$K$108*(1-Sites!$L$9:$L$108)),"Unavailable"))</x:f>
      </x:c>
      <x:c r="T266" s="30" t="str">
        <x:f>IF(C266="","",IFERROR(MIN(1,(SUMPRODUCT((Sites!$D$9:$D$108=C266)*Sites!$N$9:$N$108*Sites!$J$9:$J$108*Sites!$K$9:$K$108*(1-Sites!$L$9:$L$108)))*'Scenario Paths'!H27),"Unavailable"))</x:f>
      </x:c>
      <x:c r="U266" s="9" t="str">
        <x:f>IF(C266="","",IF(OR(INDEX('Borrowers'!$AA$9:$AA$108,MATCH(C266,'Borrowers'!$C$9:$C$108,0))&lt;&gt;"Ready",COUNTIF(Sites!$D$9:$D$108,C266)=0,COUNTIFS(Sites!$D$9:$D$108,C266,Sites!$Q$9:$Q$108,"&lt;&gt;Ready")&gt;0,'Scenario Paths'!$F$6&lt;&gt;"Ready"),"Review source inputs","Ready"))</x:f>
      </x:c>
      <x:c r="V266" s="17" t="str">
        <x:f>IF(C266="","",IFERROR(MAX(-1,(G266-O266)/MAX(0.000001,G266)),"Unavailable"))</x:f>
      </x:c>
      <x:c r="W266" s="9" t="str">
        <x:f>IF(C266="","",IFERROR(INDEX('Borrowers'!$D$9:$D$108,MATCH(C266,'Borrowers'!$C$9:$C$108,0)),"Unavailable"))</x:f>
      </x:c>
    </x:row>
    <x:row r="267" ht="26" customHeight="1">
      <x:c r="A267" s="1"/>
      <x:c r="B267" s="1"/>
      <x:c r="C267" s="9" t="str">
        <x:f>IF(Borrowers!C67="","",Borrowers!C67)</x:f>
      </x:c>
      <x:c r="D267" s="3" t="n">
        <x:v>3</x:v>
      </x:c>
      <x:c r="E267" s="9" t="n">
        <x:f>Settings!$F$18+2</x:f>
        <x:v>2029</x:v>
      </x:c>
      <x:c r="F267" s="9" t="str">
        <x:f>IF(C267="","",INDEX('Borrowers'!$F$9:$F$108,MATCH(C267,'Borrowers'!$C$9:$C$108,0)))</x:f>
      </x:c>
      <x:c r="G267" s="23" t="str">
        <x:f>IF(C267="","",IFERROR(INDEX('Borrowers'!$J$9:$J$108,MATCH(C267,'Borrowers'!$C$9:$C$108,0))-INDEX('Borrowers'!$K$9:$K$108,MATCH(C267,'Borrowers'!$C$9:$C$108,0)),"Unavailable"))</x:f>
      </x:c>
      <x:c r="H267" s="23" t="str">
        <x:f>IF(C267="","",IFERROR(INDEX('Borrowers'!$I$9:$I$108,MATCH(C267,'Borrowers'!$C$9:$C$108,0))*INDEX('Borrowers'!$U$9:$U$108,MATCH(C267,'Borrowers'!$C$9:$C$108,0))*(IF(F267="Transport",'Scenario Paths'!H156,IF(F267="Technology",'Scenario Paths'!H150,IF(F267="Utilities",'Scenario Paths'!H144,IF(F267="Agriculture",'Scenario Paths'!H138,IF(F267="Manufacturing",'Scenario Paths'!H132,IF(F267="Healthcare",'Scenario Paths'!H126,IF(F267="Hospitality",'Scenario Paths'!H120,IF(F267="Property",'Scenario Paths'!H114,IF(F267="Food",'Scenario Paths'!H108,IF(F267="Logistics",'Scenario Paths'!H102,IF(F267="Solar",'Scenario Paths'!H96,IF(F267="Cement",'Scenario Paths'!H90,0))))))))))))),"Unavailable"))</x:f>
      </x:c>
      <x:c r="I267" s="23" t="str">
        <x:f>IF(C267="","",IFERROR(INDEX('Borrowers'!$R$9:$R$108,MATCH(C267,'Borrowers'!$C$9:$C$108,0))*(1-INDEX('Borrowers'!$W$9:$W$108,MATCH(C267,'Borrowers'!$C$9:$C$108,0))*'Scenario Paths'!H39)*'Scenario Paths'!H9/1000000*(1-INDEX('Borrowers'!$T$9:$T$108,MATCH(C267,'Borrowers'!$C$9:$C$108,0))),"Unavailable"))</x:f>
      </x:c>
      <x:c r="J267" s="23" t="str">
        <x:f>IF(C267="","",IFERROR(INDEX('Borrowers'!$I$9:$I$108,MATCH(C267,'Borrowers'!$C$9:$C$108,0))*INDEX('Borrowers'!$S$9:$S$108,MATCH(C267,'Borrowers'!$C$9:$C$108,0))*'Scenario Paths'!H15*(1-INDEX('Borrowers'!$T$9:$T$108,MATCH(C267,'Borrowers'!$C$9:$C$108,0))),"Unavailable"))</x:f>
      </x:c>
      <x:c r="K267" s="23" t="str">
        <x:f>IF(C267="","",IFERROR(INDEX('Borrowers'!$I$9:$I$108,MATCH(C267,'Borrowers'!$C$9:$C$108,0))*INDEX('Borrowers'!$U$9:$U$108,MATCH(C267,'Borrowers'!$C$9:$C$108,0))*'Scenario Paths'!H21*S267,"Unavailable"))</x:f>
      </x:c>
      <x:c r="L267" s="23" t="str">
        <x:f>IF(C267="","",IFERROR(SUMPRODUCT((Sites!$D$9:$D$108=C267)*Sites!$H$9:$H$108*Sites!$J$9:$J$108*Sites!$K$9:$K$108*(1-Sites!$L$9:$L$108)*(1-Sites!$M$9:$M$108))*'Scenario Paths'!H27,"Unavailable"))</x:f>
      </x:c>
      <x:c r="M267" s="23" t="str">
        <x:f>IF(C267="","",IFERROR(INDEX('Borrowers'!$J$9:$J$108,MATCH(C267,'Borrowers'!$C$9:$C$108,0))+H267-SUM(I267:L267),"Unavailable"))</x:f>
      </x:c>
      <x:c r="N267" s="23" t="str">
        <x:f>IF(C267="","",IFERROR(INDEX('Borrowers'!$I$9:$I$108,MATCH(C267,'Borrowers'!$C$9:$C$108,0))*'Scenario Paths'!H33,"Unavailable"))</x:f>
      </x:c>
      <x:c r="O267" s="23" t="str">
        <x:f>IF(C267="","",IFERROR(M267-INDEX('Borrowers'!$K$9:$K$108,MATCH(C267,'Borrowers'!$C$9:$C$108,0))-N267,"Unavailable"))</x:f>
      </x:c>
      <x:c r="P267" s="127" t="str">
        <x:f>IF(C267="","",IFERROR(O267/INDEX('Borrowers'!$L$9:$L$108,MATCH(C267,'Borrowers'!$C$9:$C$108,0)),"Unavailable"))</x:f>
      </x:c>
      <x:c r="Q267" s="30" t="str">
        <x:f>IF(C267="","",IFERROR(IF(INDEX('Borrowers'!$Z$9:$Z$108,MATCH(C267,'Borrowers'!$C$9:$C$108,0))="Yes",1,IF(INDEX('Borrowers'!$P$9:$P$108,MATCH(C267,'Borrowers'!$C$9:$C$108,0))=0,0,MIN(1,INDEX('Borrowers'!$P$9:$P$108,MATCH(C267,'Borrowers'!$C$9:$C$108,0))*EXP(MIN(20,INDEX('Borrowers'!$V$9:$V$108,MATCH(C267,'Borrowers'!$C$9:$C$108,0))*V267))))),"Unavailable"))</x:f>
      </x:c>
      <x:c r="R267" s="30" t="str">
        <x:f>IF(C267="","",IFERROR(MIN(1,INDEX('Borrowers'!$Q$9:$Q$108,MATCH(C267,'Borrowers'!$C$9:$C$108,0))+(1-INDEX('Borrowers'!$Q$9:$Q$108,MATCH(C267,'Borrowers'!$C$9:$C$108,0)))*T267),"Unavailable"))</x:f>
      </x:c>
      <x:c r="S267" s="30" t="str">
        <x:f>IF(C267="","",IFERROR(SUMPRODUCT((Sites!$D$9:$D$108=C267)*Sites!$I$9:$I$108*Sites!$J$9:$J$108*Sites!$K$9:$K$108*(1-Sites!$L$9:$L$108)),"Unavailable"))</x:f>
      </x:c>
      <x:c r="T267" s="30" t="str">
        <x:f>IF(C267="","",IFERROR(MIN(1,(SUMPRODUCT((Sites!$D$9:$D$108=C267)*Sites!$N$9:$N$108*Sites!$J$9:$J$108*Sites!$K$9:$K$108*(1-Sites!$L$9:$L$108)))*'Scenario Paths'!H27),"Unavailable"))</x:f>
      </x:c>
      <x:c r="U267" s="9" t="str">
        <x:f>IF(C267="","",IF(OR(INDEX('Borrowers'!$AA$9:$AA$108,MATCH(C267,'Borrowers'!$C$9:$C$108,0))&lt;&gt;"Ready",COUNTIF(Sites!$D$9:$D$108,C267)=0,COUNTIFS(Sites!$D$9:$D$108,C267,Sites!$Q$9:$Q$108,"&lt;&gt;Ready")&gt;0,'Scenario Paths'!$F$6&lt;&gt;"Ready"),"Review source inputs","Ready"))</x:f>
      </x:c>
      <x:c r="V267" s="17" t="str">
        <x:f>IF(C267="","",IFERROR(MAX(-1,(G267-O267)/MAX(0.000001,G267)),"Unavailable"))</x:f>
      </x:c>
      <x:c r="W267" s="9" t="str">
        <x:f>IF(C267="","",IFERROR(INDEX('Borrowers'!$D$9:$D$108,MATCH(C267,'Borrowers'!$C$9:$C$108,0)),"Unavailable"))</x:f>
      </x:c>
    </x:row>
    <x:row r="268" ht="26" customHeight="1">
      <x:c r="A268" s="1"/>
      <x:c r="B268" s="1"/>
      <x:c r="C268" s="9" t="str">
        <x:f>IF(Borrowers!C68="","",Borrowers!C68)</x:f>
      </x:c>
      <x:c r="D268" s="3" t="n">
        <x:v>3</x:v>
      </x:c>
      <x:c r="E268" s="9" t="n">
        <x:f>Settings!$F$18+2</x:f>
        <x:v>2029</x:v>
      </x:c>
      <x:c r="F268" s="9" t="str">
        <x:f>IF(C268="","",INDEX('Borrowers'!$F$9:$F$108,MATCH(C268,'Borrowers'!$C$9:$C$108,0)))</x:f>
      </x:c>
      <x:c r="G268" s="23" t="str">
        <x:f>IF(C268="","",IFERROR(INDEX('Borrowers'!$J$9:$J$108,MATCH(C268,'Borrowers'!$C$9:$C$108,0))-INDEX('Borrowers'!$K$9:$K$108,MATCH(C268,'Borrowers'!$C$9:$C$108,0)),"Unavailable"))</x:f>
      </x:c>
      <x:c r="H268" s="23" t="str">
        <x:f>IF(C268="","",IFERROR(INDEX('Borrowers'!$I$9:$I$108,MATCH(C268,'Borrowers'!$C$9:$C$108,0))*INDEX('Borrowers'!$U$9:$U$108,MATCH(C268,'Borrowers'!$C$9:$C$108,0))*(IF(F268="Transport",'Scenario Paths'!H156,IF(F268="Technology",'Scenario Paths'!H150,IF(F268="Utilities",'Scenario Paths'!H144,IF(F268="Agriculture",'Scenario Paths'!H138,IF(F268="Manufacturing",'Scenario Paths'!H132,IF(F268="Healthcare",'Scenario Paths'!H126,IF(F268="Hospitality",'Scenario Paths'!H120,IF(F268="Property",'Scenario Paths'!H114,IF(F268="Food",'Scenario Paths'!H108,IF(F268="Logistics",'Scenario Paths'!H102,IF(F268="Solar",'Scenario Paths'!H96,IF(F268="Cement",'Scenario Paths'!H90,0))))))))))))),"Unavailable"))</x:f>
      </x:c>
      <x:c r="I268" s="23" t="str">
        <x:f>IF(C268="","",IFERROR(INDEX('Borrowers'!$R$9:$R$108,MATCH(C268,'Borrowers'!$C$9:$C$108,0))*(1-INDEX('Borrowers'!$W$9:$W$108,MATCH(C268,'Borrowers'!$C$9:$C$108,0))*'Scenario Paths'!H39)*'Scenario Paths'!H9/1000000*(1-INDEX('Borrowers'!$T$9:$T$108,MATCH(C268,'Borrowers'!$C$9:$C$108,0))),"Unavailable"))</x:f>
      </x:c>
      <x:c r="J268" s="23" t="str">
        <x:f>IF(C268="","",IFERROR(INDEX('Borrowers'!$I$9:$I$108,MATCH(C268,'Borrowers'!$C$9:$C$108,0))*INDEX('Borrowers'!$S$9:$S$108,MATCH(C268,'Borrowers'!$C$9:$C$108,0))*'Scenario Paths'!H15*(1-INDEX('Borrowers'!$T$9:$T$108,MATCH(C268,'Borrowers'!$C$9:$C$108,0))),"Unavailable"))</x:f>
      </x:c>
      <x:c r="K268" s="23" t="str">
        <x:f>IF(C268="","",IFERROR(INDEX('Borrowers'!$I$9:$I$108,MATCH(C268,'Borrowers'!$C$9:$C$108,0))*INDEX('Borrowers'!$U$9:$U$108,MATCH(C268,'Borrowers'!$C$9:$C$108,0))*'Scenario Paths'!H21*S268,"Unavailable"))</x:f>
      </x:c>
      <x:c r="L268" s="23" t="str">
        <x:f>IF(C268="","",IFERROR(SUMPRODUCT((Sites!$D$9:$D$108=C268)*Sites!$H$9:$H$108*Sites!$J$9:$J$108*Sites!$K$9:$K$108*(1-Sites!$L$9:$L$108)*(1-Sites!$M$9:$M$108))*'Scenario Paths'!H27,"Unavailable"))</x:f>
      </x:c>
      <x:c r="M268" s="23" t="str">
        <x:f>IF(C268="","",IFERROR(INDEX('Borrowers'!$J$9:$J$108,MATCH(C268,'Borrowers'!$C$9:$C$108,0))+H268-SUM(I268:L268),"Unavailable"))</x:f>
      </x:c>
      <x:c r="N268" s="23" t="str">
        <x:f>IF(C268="","",IFERROR(INDEX('Borrowers'!$I$9:$I$108,MATCH(C268,'Borrowers'!$C$9:$C$108,0))*'Scenario Paths'!H33,"Unavailable"))</x:f>
      </x:c>
      <x:c r="O268" s="23" t="str">
        <x:f>IF(C268="","",IFERROR(M268-INDEX('Borrowers'!$K$9:$K$108,MATCH(C268,'Borrowers'!$C$9:$C$108,0))-N268,"Unavailable"))</x:f>
      </x:c>
      <x:c r="P268" s="127" t="str">
        <x:f>IF(C268="","",IFERROR(O268/INDEX('Borrowers'!$L$9:$L$108,MATCH(C268,'Borrowers'!$C$9:$C$108,0)),"Unavailable"))</x:f>
      </x:c>
      <x:c r="Q268" s="30" t="str">
        <x:f>IF(C268="","",IFERROR(IF(INDEX('Borrowers'!$Z$9:$Z$108,MATCH(C268,'Borrowers'!$C$9:$C$108,0))="Yes",1,IF(INDEX('Borrowers'!$P$9:$P$108,MATCH(C268,'Borrowers'!$C$9:$C$108,0))=0,0,MIN(1,INDEX('Borrowers'!$P$9:$P$108,MATCH(C268,'Borrowers'!$C$9:$C$108,0))*EXP(MIN(20,INDEX('Borrowers'!$V$9:$V$108,MATCH(C268,'Borrowers'!$C$9:$C$108,0))*V268))))),"Unavailable"))</x:f>
      </x:c>
      <x:c r="R268" s="30" t="str">
        <x:f>IF(C268="","",IFERROR(MIN(1,INDEX('Borrowers'!$Q$9:$Q$108,MATCH(C268,'Borrowers'!$C$9:$C$108,0))+(1-INDEX('Borrowers'!$Q$9:$Q$108,MATCH(C268,'Borrowers'!$C$9:$C$108,0)))*T268),"Unavailable"))</x:f>
      </x:c>
      <x:c r="S268" s="30" t="str">
        <x:f>IF(C268="","",IFERROR(SUMPRODUCT((Sites!$D$9:$D$108=C268)*Sites!$I$9:$I$108*Sites!$J$9:$J$108*Sites!$K$9:$K$108*(1-Sites!$L$9:$L$108)),"Unavailable"))</x:f>
      </x:c>
      <x:c r="T268" s="30" t="str">
        <x:f>IF(C268="","",IFERROR(MIN(1,(SUMPRODUCT((Sites!$D$9:$D$108=C268)*Sites!$N$9:$N$108*Sites!$J$9:$J$108*Sites!$K$9:$K$108*(1-Sites!$L$9:$L$108)))*'Scenario Paths'!H27),"Unavailable"))</x:f>
      </x:c>
      <x:c r="U268" s="9" t="str">
        <x:f>IF(C268="","",IF(OR(INDEX('Borrowers'!$AA$9:$AA$108,MATCH(C268,'Borrowers'!$C$9:$C$108,0))&lt;&gt;"Ready",COUNTIF(Sites!$D$9:$D$108,C268)=0,COUNTIFS(Sites!$D$9:$D$108,C268,Sites!$Q$9:$Q$108,"&lt;&gt;Ready")&gt;0,'Scenario Paths'!$F$6&lt;&gt;"Ready"),"Review source inputs","Ready"))</x:f>
      </x:c>
      <x:c r="V268" s="17" t="str">
        <x:f>IF(C268="","",IFERROR(MAX(-1,(G268-O268)/MAX(0.000001,G268)),"Unavailable"))</x:f>
      </x:c>
      <x:c r="W268" s="9" t="str">
        <x:f>IF(C268="","",IFERROR(INDEX('Borrowers'!$D$9:$D$108,MATCH(C268,'Borrowers'!$C$9:$C$108,0)),"Unavailable"))</x:f>
      </x:c>
    </x:row>
    <x:row r="269" ht="26" customHeight="1">
      <x:c r="A269" s="1"/>
      <x:c r="B269" s="1"/>
      <x:c r="C269" s="9" t="str">
        <x:f>IF(Borrowers!C69="","",Borrowers!C69)</x:f>
      </x:c>
      <x:c r="D269" s="3" t="n">
        <x:v>3</x:v>
      </x:c>
      <x:c r="E269" s="9" t="n">
        <x:f>Settings!$F$18+2</x:f>
        <x:v>2029</x:v>
      </x:c>
      <x:c r="F269" s="9" t="str">
        <x:f>IF(C269="","",INDEX('Borrowers'!$F$9:$F$108,MATCH(C269,'Borrowers'!$C$9:$C$108,0)))</x:f>
      </x:c>
      <x:c r="G269" s="23" t="str">
        <x:f>IF(C269="","",IFERROR(INDEX('Borrowers'!$J$9:$J$108,MATCH(C269,'Borrowers'!$C$9:$C$108,0))-INDEX('Borrowers'!$K$9:$K$108,MATCH(C269,'Borrowers'!$C$9:$C$108,0)),"Unavailable"))</x:f>
      </x:c>
      <x:c r="H269" s="23" t="str">
        <x:f>IF(C269="","",IFERROR(INDEX('Borrowers'!$I$9:$I$108,MATCH(C269,'Borrowers'!$C$9:$C$108,0))*INDEX('Borrowers'!$U$9:$U$108,MATCH(C269,'Borrowers'!$C$9:$C$108,0))*(IF(F269="Transport",'Scenario Paths'!H156,IF(F269="Technology",'Scenario Paths'!H150,IF(F269="Utilities",'Scenario Paths'!H144,IF(F269="Agriculture",'Scenario Paths'!H138,IF(F269="Manufacturing",'Scenario Paths'!H132,IF(F269="Healthcare",'Scenario Paths'!H126,IF(F269="Hospitality",'Scenario Paths'!H120,IF(F269="Property",'Scenario Paths'!H114,IF(F269="Food",'Scenario Paths'!H108,IF(F269="Logistics",'Scenario Paths'!H102,IF(F269="Solar",'Scenario Paths'!H96,IF(F269="Cement",'Scenario Paths'!H90,0))))))))))))),"Unavailable"))</x:f>
      </x:c>
      <x:c r="I269" s="23" t="str">
        <x:f>IF(C269="","",IFERROR(INDEX('Borrowers'!$R$9:$R$108,MATCH(C269,'Borrowers'!$C$9:$C$108,0))*(1-INDEX('Borrowers'!$W$9:$W$108,MATCH(C269,'Borrowers'!$C$9:$C$108,0))*'Scenario Paths'!H39)*'Scenario Paths'!H9/1000000*(1-INDEX('Borrowers'!$T$9:$T$108,MATCH(C269,'Borrowers'!$C$9:$C$108,0))),"Unavailable"))</x:f>
      </x:c>
      <x:c r="J269" s="23" t="str">
        <x:f>IF(C269="","",IFERROR(INDEX('Borrowers'!$I$9:$I$108,MATCH(C269,'Borrowers'!$C$9:$C$108,0))*INDEX('Borrowers'!$S$9:$S$108,MATCH(C269,'Borrowers'!$C$9:$C$108,0))*'Scenario Paths'!H15*(1-INDEX('Borrowers'!$T$9:$T$108,MATCH(C269,'Borrowers'!$C$9:$C$108,0))),"Unavailable"))</x:f>
      </x:c>
      <x:c r="K269" s="23" t="str">
        <x:f>IF(C269="","",IFERROR(INDEX('Borrowers'!$I$9:$I$108,MATCH(C269,'Borrowers'!$C$9:$C$108,0))*INDEX('Borrowers'!$U$9:$U$108,MATCH(C269,'Borrowers'!$C$9:$C$108,0))*'Scenario Paths'!H21*S269,"Unavailable"))</x:f>
      </x:c>
      <x:c r="L269" s="23" t="str">
        <x:f>IF(C269="","",IFERROR(SUMPRODUCT((Sites!$D$9:$D$108=C269)*Sites!$H$9:$H$108*Sites!$J$9:$J$108*Sites!$K$9:$K$108*(1-Sites!$L$9:$L$108)*(1-Sites!$M$9:$M$108))*'Scenario Paths'!H27,"Unavailable"))</x:f>
      </x:c>
      <x:c r="M269" s="23" t="str">
        <x:f>IF(C269="","",IFERROR(INDEX('Borrowers'!$J$9:$J$108,MATCH(C269,'Borrowers'!$C$9:$C$108,0))+H269-SUM(I269:L269),"Unavailable"))</x:f>
      </x:c>
      <x:c r="N269" s="23" t="str">
        <x:f>IF(C269="","",IFERROR(INDEX('Borrowers'!$I$9:$I$108,MATCH(C269,'Borrowers'!$C$9:$C$108,0))*'Scenario Paths'!H33,"Unavailable"))</x:f>
      </x:c>
      <x:c r="O269" s="23" t="str">
        <x:f>IF(C269="","",IFERROR(M269-INDEX('Borrowers'!$K$9:$K$108,MATCH(C269,'Borrowers'!$C$9:$C$108,0))-N269,"Unavailable"))</x:f>
      </x:c>
      <x:c r="P269" s="127" t="str">
        <x:f>IF(C269="","",IFERROR(O269/INDEX('Borrowers'!$L$9:$L$108,MATCH(C269,'Borrowers'!$C$9:$C$108,0)),"Unavailable"))</x:f>
      </x:c>
      <x:c r="Q269" s="30" t="str">
        <x:f>IF(C269="","",IFERROR(IF(INDEX('Borrowers'!$Z$9:$Z$108,MATCH(C269,'Borrowers'!$C$9:$C$108,0))="Yes",1,IF(INDEX('Borrowers'!$P$9:$P$108,MATCH(C269,'Borrowers'!$C$9:$C$108,0))=0,0,MIN(1,INDEX('Borrowers'!$P$9:$P$108,MATCH(C269,'Borrowers'!$C$9:$C$108,0))*EXP(MIN(20,INDEX('Borrowers'!$V$9:$V$108,MATCH(C269,'Borrowers'!$C$9:$C$108,0))*V269))))),"Unavailable"))</x:f>
      </x:c>
      <x:c r="R269" s="30" t="str">
        <x:f>IF(C269="","",IFERROR(MIN(1,INDEX('Borrowers'!$Q$9:$Q$108,MATCH(C269,'Borrowers'!$C$9:$C$108,0))+(1-INDEX('Borrowers'!$Q$9:$Q$108,MATCH(C269,'Borrowers'!$C$9:$C$108,0)))*T269),"Unavailable"))</x:f>
      </x:c>
      <x:c r="S269" s="30" t="str">
        <x:f>IF(C269="","",IFERROR(SUMPRODUCT((Sites!$D$9:$D$108=C269)*Sites!$I$9:$I$108*Sites!$J$9:$J$108*Sites!$K$9:$K$108*(1-Sites!$L$9:$L$108)),"Unavailable"))</x:f>
      </x:c>
      <x:c r="T269" s="30" t="str">
        <x:f>IF(C269="","",IFERROR(MIN(1,(SUMPRODUCT((Sites!$D$9:$D$108=C269)*Sites!$N$9:$N$108*Sites!$J$9:$J$108*Sites!$K$9:$K$108*(1-Sites!$L$9:$L$108)))*'Scenario Paths'!H27),"Unavailable"))</x:f>
      </x:c>
      <x:c r="U269" s="9" t="str">
        <x:f>IF(C269="","",IF(OR(INDEX('Borrowers'!$AA$9:$AA$108,MATCH(C269,'Borrowers'!$C$9:$C$108,0))&lt;&gt;"Ready",COUNTIF(Sites!$D$9:$D$108,C269)=0,COUNTIFS(Sites!$D$9:$D$108,C269,Sites!$Q$9:$Q$108,"&lt;&gt;Ready")&gt;0,'Scenario Paths'!$F$6&lt;&gt;"Ready"),"Review source inputs","Ready"))</x:f>
      </x:c>
      <x:c r="V269" s="17" t="str">
        <x:f>IF(C269="","",IFERROR(MAX(-1,(G269-O269)/MAX(0.000001,G269)),"Unavailable"))</x:f>
      </x:c>
      <x:c r="W269" s="9" t="str">
        <x:f>IF(C269="","",IFERROR(INDEX('Borrowers'!$D$9:$D$108,MATCH(C269,'Borrowers'!$C$9:$C$108,0)),"Unavailable"))</x:f>
      </x:c>
    </x:row>
    <x:row r="270" ht="26" customHeight="1">
      <x:c r="A270" s="1"/>
      <x:c r="B270" s="1"/>
      <x:c r="C270" s="9" t="str">
        <x:f>IF(Borrowers!C70="","",Borrowers!C70)</x:f>
      </x:c>
      <x:c r="D270" s="3" t="n">
        <x:v>3</x:v>
      </x:c>
      <x:c r="E270" s="9" t="n">
        <x:f>Settings!$F$18+2</x:f>
        <x:v>2029</x:v>
      </x:c>
      <x:c r="F270" s="9" t="str">
        <x:f>IF(C270="","",INDEX('Borrowers'!$F$9:$F$108,MATCH(C270,'Borrowers'!$C$9:$C$108,0)))</x:f>
      </x:c>
      <x:c r="G270" s="23" t="str">
        <x:f>IF(C270="","",IFERROR(INDEX('Borrowers'!$J$9:$J$108,MATCH(C270,'Borrowers'!$C$9:$C$108,0))-INDEX('Borrowers'!$K$9:$K$108,MATCH(C270,'Borrowers'!$C$9:$C$108,0)),"Unavailable"))</x:f>
      </x:c>
      <x:c r="H270" s="23" t="str">
        <x:f>IF(C270="","",IFERROR(INDEX('Borrowers'!$I$9:$I$108,MATCH(C270,'Borrowers'!$C$9:$C$108,0))*INDEX('Borrowers'!$U$9:$U$108,MATCH(C270,'Borrowers'!$C$9:$C$108,0))*(IF(F270="Transport",'Scenario Paths'!H156,IF(F270="Technology",'Scenario Paths'!H150,IF(F270="Utilities",'Scenario Paths'!H144,IF(F270="Agriculture",'Scenario Paths'!H138,IF(F270="Manufacturing",'Scenario Paths'!H132,IF(F270="Healthcare",'Scenario Paths'!H126,IF(F270="Hospitality",'Scenario Paths'!H120,IF(F270="Property",'Scenario Paths'!H114,IF(F270="Food",'Scenario Paths'!H108,IF(F270="Logistics",'Scenario Paths'!H102,IF(F270="Solar",'Scenario Paths'!H96,IF(F270="Cement",'Scenario Paths'!H90,0))))))))))))),"Unavailable"))</x:f>
      </x:c>
      <x:c r="I270" s="23" t="str">
        <x:f>IF(C270="","",IFERROR(INDEX('Borrowers'!$R$9:$R$108,MATCH(C270,'Borrowers'!$C$9:$C$108,0))*(1-INDEX('Borrowers'!$W$9:$W$108,MATCH(C270,'Borrowers'!$C$9:$C$108,0))*'Scenario Paths'!H39)*'Scenario Paths'!H9/1000000*(1-INDEX('Borrowers'!$T$9:$T$108,MATCH(C270,'Borrowers'!$C$9:$C$108,0))),"Unavailable"))</x:f>
      </x:c>
      <x:c r="J270" s="23" t="str">
        <x:f>IF(C270="","",IFERROR(INDEX('Borrowers'!$I$9:$I$108,MATCH(C270,'Borrowers'!$C$9:$C$108,0))*INDEX('Borrowers'!$S$9:$S$108,MATCH(C270,'Borrowers'!$C$9:$C$108,0))*'Scenario Paths'!H15*(1-INDEX('Borrowers'!$T$9:$T$108,MATCH(C270,'Borrowers'!$C$9:$C$108,0))),"Unavailable"))</x:f>
      </x:c>
      <x:c r="K270" s="23" t="str">
        <x:f>IF(C270="","",IFERROR(INDEX('Borrowers'!$I$9:$I$108,MATCH(C270,'Borrowers'!$C$9:$C$108,0))*INDEX('Borrowers'!$U$9:$U$108,MATCH(C270,'Borrowers'!$C$9:$C$108,0))*'Scenario Paths'!H21*S270,"Unavailable"))</x:f>
      </x:c>
      <x:c r="L270" s="23" t="str">
        <x:f>IF(C270="","",IFERROR(SUMPRODUCT((Sites!$D$9:$D$108=C270)*Sites!$H$9:$H$108*Sites!$J$9:$J$108*Sites!$K$9:$K$108*(1-Sites!$L$9:$L$108)*(1-Sites!$M$9:$M$108))*'Scenario Paths'!H27,"Unavailable"))</x:f>
      </x:c>
      <x:c r="M270" s="23" t="str">
        <x:f>IF(C270="","",IFERROR(INDEX('Borrowers'!$J$9:$J$108,MATCH(C270,'Borrowers'!$C$9:$C$108,0))+H270-SUM(I270:L270),"Unavailable"))</x:f>
      </x:c>
      <x:c r="N270" s="23" t="str">
        <x:f>IF(C270="","",IFERROR(INDEX('Borrowers'!$I$9:$I$108,MATCH(C270,'Borrowers'!$C$9:$C$108,0))*'Scenario Paths'!H33,"Unavailable"))</x:f>
      </x:c>
      <x:c r="O270" s="23" t="str">
        <x:f>IF(C270="","",IFERROR(M270-INDEX('Borrowers'!$K$9:$K$108,MATCH(C270,'Borrowers'!$C$9:$C$108,0))-N270,"Unavailable"))</x:f>
      </x:c>
      <x:c r="P270" s="127" t="str">
        <x:f>IF(C270="","",IFERROR(O270/INDEX('Borrowers'!$L$9:$L$108,MATCH(C270,'Borrowers'!$C$9:$C$108,0)),"Unavailable"))</x:f>
      </x:c>
      <x:c r="Q270" s="30" t="str">
        <x:f>IF(C270="","",IFERROR(IF(INDEX('Borrowers'!$Z$9:$Z$108,MATCH(C270,'Borrowers'!$C$9:$C$108,0))="Yes",1,IF(INDEX('Borrowers'!$P$9:$P$108,MATCH(C270,'Borrowers'!$C$9:$C$108,0))=0,0,MIN(1,INDEX('Borrowers'!$P$9:$P$108,MATCH(C270,'Borrowers'!$C$9:$C$108,0))*EXP(MIN(20,INDEX('Borrowers'!$V$9:$V$108,MATCH(C270,'Borrowers'!$C$9:$C$108,0))*V270))))),"Unavailable"))</x:f>
      </x:c>
      <x:c r="R270" s="30" t="str">
        <x:f>IF(C270="","",IFERROR(MIN(1,INDEX('Borrowers'!$Q$9:$Q$108,MATCH(C270,'Borrowers'!$C$9:$C$108,0))+(1-INDEX('Borrowers'!$Q$9:$Q$108,MATCH(C270,'Borrowers'!$C$9:$C$108,0)))*T270),"Unavailable"))</x:f>
      </x:c>
      <x:c r="S270" s="30" t="str">
        <x:f>IF(C270="","",IFERROR(SUMPRODUCT((Sites!$D$9:$D$108=C270)*Sites!$I$9:$I$108*Sites!$J$9:$J$108*Sites!$K$9:$K$108*(1-Sites!$L$9:$L$108)),"Unavailable"))</x:f>
      </x:c>
      <x:c r="T270" s="30" t="str">
        <x:f>IF(C270="","",IFERROR(MIN(1,(SUMPRODUCT((Sites!$D$9:$D$108=C270)*Sites!$N$9:$N$108*Sites!$J$9:$J$108*Sites!$K$9:$K$108*(1-Sites!$L$9:$L$108)))*'Scenario Paths'!H27),"Unavailable"))</x:f>
      </x:c>
      <x:c r="U270" s="9" t="str">
        <x:f>IF(C270="","",IF(OR(INDEX('Borrowers'!$AA$9:$AA$108,MATCH(C270,'Borrowers'!$C$9:$C$108,0))&lt;&gt;"Ready",COUNTIF(Sites!$D$9:$D$108,C270)=0,COUNTIFS(Sites!$D$9:$D$108,C270,Sites!$Q$9:$Q$108,"&lt;&gt;Ready")&gt;0,'Scenario Paths'!$F$6&lt;&gt;"Ready"),"Review source inputs","Ready"))</x:f>
      </x:c>
      <x:c r="V270" s="17" t="str">
        <x:f>IF(C270="","",IFERROR(MAX(-1,(G270-O270)/MAX(0.000001,G270)),"Unavailable"))</x:f>
      </x:c>
      <x:c r="W270" s="9" t="str">
        <x:f>IF(C270="","",IFERROR(INDEX('Borrowers'!$D$9:$D$108,MATCH(C270,'Borrowers'!$C$9:$C$108,0)),"Unavailable"))</x:f>
      </x:c>
    </x:row>
    <x:row r="271" ht="26" customHeight="1">
      <x:c r="A271" s="1"/>
      <x:c r="B271" s="1"/>
      <x:c r="C271" s="9" t="str">
        <x:f>IF(Borrowers!C71="","",Borrowers!C71)</x:f>
      </x:c>
      <x:c r="D271" s="3" t="n">
        <x:v>3</x:v>
      </x:c>
      <x:c r="E271" s="9" t="n">
        <x:f>Settings!$F$18+2</x:f>
        <x:v>2029</x:v>
      </x:c>
      <x:c r="F271" s="9" t="str">
        <x:f>IF(C271="","",INDEX('Borrowers'!$F$9:$F$108,MATCH(C271,'Borrowers'!$C$9:$C$108,0)))</x:f>
      </x:c>
      <x:c r="G271" s="23" t="str">
        <x:f>IF(C271="","",IFERROR(INDEX('Borrowers'!$J$9:$J$108,MATCH(C271,'Borrowers'!$C$9:$C$108,0))-INDEX('Borrowers'!$K$9:$K$108,MATCH(C271,'Borrowers'!$C$9:$C$108,0)),"Unavailable"))</x:f>
      </x:c>
      <x:c r="H271" s="23" t="str">
        <x:f>IF(C271="","",IFERROR(INDEX('Borrowers'!$I$9:$I$108,MATCH(C271,'Borrowers'!$C$9:$C$108,0))*INDEX('Borrowers'!$U$9:$U$108,MATCH(C271,'Borrowers'!$C$9:$C$108,0))*(IF(F271="Transport",'Scenario Paths'!H156,IF(F271="Technology",'Scenario Paths'!H150,IF(F271="Utilities",'Scenario Paths'!H144,IF(F271="Agriculture",'Scenario Paths'!H138,IF(F271="Manufacturing",'Scenario Paths'!H132,IF(F271="Healthcare",'Scenario Paths'!H126,IF(F271="Hospitality",'Scenario Paths'!H120,IF(F271="Property",'Scenario Paths'!H114,IF(F271="Food",'Scenario Paths'!H108,IF(F271="Logistics",'Scenario Paths'!H102,IF(F271="Solar",'Scenario Paths'!H96,IF(F271="Cement",'Scenario Paths'!H90,0))))))))))))),"Unavailable"))</x:f>
      </x:c>
      <x:c r="I271" s="23" t="str">
        <x:f>IF(C271="","",IFERROR(INDEX('Borrowers'!$R$9:$R$108,MATCH(C271,'Borrowers'!$C$9:$C$108,0))*(1-INDEX('Borrowers'!$W$9:$W$108,MATCH(C271,'Borrowers'!$C$9:$C$108,0))*'Scenario Paths'!H39)*'Scenario Paths'!H9/1000000*(1-INDEX('Borrowers'!$T$9:$T$108,MATCH(C271,'Borrowers'!$C$9:$C$108,0))),"Unavailable"))</x:f>
      </x:c>
      <x:c r="J271" s="23" t="str">
        <x:f>IF(C271="","",IFERROR(INDEX('Borrowers'!$I$9:$I$108,MATCH(C271,'Borrowers'!$C$9:$C$108,0))*INDEX('Borrowers'!$S$9:$S$108,MATCH(C271,'Borrowers'!$C$9:$C$108,0))*'Scenario Paths'!H15*(1-INDEX('Borrowers'!$T$9:$T$108,MATCH(C271,'Borrowers'!$C$9:$C$108,0))),"Unavailable"))</x:f>
      </x:c>
      <x:c r="K271" s="23" t="str">
        <x:f>IF(C271="","",IFERROR(INDEX('Borrowers'!$I$9:$I$108,MATCH(C271,'Borrowers'!$C$9:$C$108,0))*INDEX('Borrowers'!$U$9:$U$108,MATCH(C271,'Borrowers'!$C$9:$C$108,0))*'Scenario Paths'!H21*S271,"Unavailable"))</x:f>
      </x:c>
      <x:c r="L271" s="23" t="str">
        <x:f>IF(C271="","",IFERROR(SUMPRODUCT((Sites!$D$9:$D$108=C271)*Sites!$H$9:$H$108*Sites!$J$9:$J$108*Sites!$K$9:$K$108*(1-Sites!$L$9:$L$108)*(1-Sites!$M$9:$M$108))*'Scenario Paths'!H27,"Unavailable"))</x:f>
      </x:c>
      <x:c r="M271" s="23" t="str">
        <x:f>IF(C271="","",IFERROR(INDEX('Borrowers'!$J$9:$J$108,MATCH(C271,'Borrowers'!$C$9:$C$108,0))+H271-SUM(I271:L271),"Unavailable"))</x:f>
      </x:c>
      <x:c r="N271" s="23" t="str">
        <x:f>IF(C271="","",IFERROR(INDEX('Borrowers'!$I$9:$I$108,MATCH(C271,'Borrowers'!$C$9:$C$108,0))*'Scenario Paths'!H33,"Unavailable"))</x:f>
      </x:c>
      <x:c r="O271" s="23" t="str">
        <x:f>IF(C271="","",IFERROR(M271-INDEX('Borrowers'!$K$9:$K$108,MATCH(C271,'Borrowers'!$C$9:$C$108,0))-N271,"Unavailable"))</x:f>
      </x:c>
      <x:c r="P271" s="127" t="str">
        <x:f>IF(C271="","",IFERROR(O271/INDEX('Borrowers'!$L$9:$L$108,MATCH(C271,'Borrowers'!$C$9:$C$108,0)),"Unavailable"))</x:f>
      </x:c>
      <x:c r="Q271" s="30" t="str">
        <x:f>IF(C271="","",IFERROR(IF(INDEX('Borrowers'!$Z$9:$Z$108,MATCH(C271,'Borrowers'!$C$9:$C$108,0))="Yes",1,IF(INDEX('Borrowers'!$P$9:$P$108,MATCH(C271,'Borrowers'!$C$9:$C$108,0))=0,0,MIN(1,INDEX('Borrowers'!$P$9:$P$108,MATCH(C271,'Borrowers'!$C$9:$C$108,0))*EXP(MIN(20,INDEX('Borrowers'!$V$9:$V$108,MATCH(C271,'Borrowers'!$C$9:$C$108,0))*V271))))),"Unavailable"))</x:f>
      </x:c>
      <x:c r="R271" s="30" t="str">
        <x:f>IF(C271="","",IFERROR(MIN(1,INDEX('Borrowers'!$Q$9:$Q$108,MATCH(C271,'Borrowers'!$C$9:$C$108,0))+(1-INDEX('Borrowers'!$Q$9:$Q$108,MATCH(C271,'Borrowers'!$C$9:$C$108,0)))*T271),"Unavailable"))</x:f>
      </x:c>
      <x:c r="S271" s="30" t="str">
        <x:f>IF(C271="","",IFERROR(SUMPRODUCT((Sites!$D$9:$D$108=C271)*Sites!$I$9:$I$108*Sites!$J$9:$J$108*Sites!$K$9:$K$108*(1-Sites!$L$9:$L$108)),"Unavailable"))</x:f>
      </x:c>
      <x:c r="T271" s="30" t="str">
        <x:f>IF(C271="","",IFERROR(MIN(1,(SUMPRODUCT((Sites!$D$9:$D$108=C271)*Sites!$N$9:$N$108*Sites!$J$9:$J$108*Sites!$K$9:$K$108*(1-Sites!$L$9:$L$108)))*'Scenario Paths'!H27),"Unavailable"))</x:f>
      </x:c>
      <x:c r="U271" s="9" t="str">
        <x:f>IF(C271="","",IF(OR(INDEX('Borrowers'!$AA$9:$AA$108,MATCH(C271,'Borrowers'!$C$9:$C$108,0))&lt;&gt;"Ready",COUNTIF(Sites!$D$9:$D$108,C271)=0,COUNTIFS(Sites!$D$9:$D$108,C271,Sites!$Q$9:$Q$108,"&lt;&gt;Ready")&gt;0,'Scenario Paths'!$F$6&lt;&gt;"Ready"),"Review source inputs","Ready"))</x:f>
      </x:c>
      <x:c r="V271" s="17" t="str">
        <x:f>IF(C271="","",IFERROR(MAX(-1,(G271-O271)/MAX(0.000001,G271)),"Unavailable"))</x:f>
      </x:c>
      <x:c r="W271" s="9" t="str">
        <x:f>IF(C271="","",IFERROR(INDEX('Borrowers'!$D$9:$D$108,MATCH(C271,'Borrowers'!$C$9:$C$108,0)),"Unavailable"))</x:f>
      </x:c>
    </x:row>
    <x:row r="272" ht="26" customHeight="1">
      <x:c r="A272" s="1"/>
      <x:c r="B272" s="1"/>
      <x:c r="C272" s="9" t="str">
        <x:f>IF(Borrowers!C72="","",Borrowers!C72)</x:f>
      </x:c>
      <x:c r="D272" s="3" t="n">
        <x:v>3</x:v>
      </x:c>
      <x:c r="E272" s="9" t="n">
        <x:f>Settings!$F$18+2</x:f>
        <x:v>2029</x:v>
      </x:c>
      <x:c r="F272" s="9" t="str">
        <x:f>IF(C272="","",INDEX('Borrowers'!$F$9:$F$108,MATCH(C272,'Borrowers'!$C$9:$C$108,0)))</x:f>
      </x:c>
      <x:c r="G272" s="23" t="str">
        <x:f>IF(C272="","",IFERROR(INDEX('Borrowers'!$J$9:$J$108,MATCH(C272,'Borrowers'!$C$9:$C$108,0))-INDEX('Borrowers'!$K$9:$K$108,MATCH(C272,'Borrowers'!$C$9:$C$108,0)),"Unavailable"))</x:f>
      </x:c>
      <x:c r="H272" s="23" t="str">
        <x:f>IF(C272="","",IFERROR(INDEX('Borrowers'!$I$9:$I$108,MATCH(C272,'Borrowers'!$C$9:$C$108,0))*INDEX('Borrowers'!$U$9:$U$108,MATCH(C272,'Borrowers'!$C$9:$C$108,0))*(IF(F272="Transport",'Scenario Paths'!H156,IF(F272="Technology",'Scenario Paths'!H150,IF(F272="Utilities",'Scenario Paths'!H144,IF(F272="Agriculture",'Scenario Paths'!H138,IF(F272="Manufacturing",'Scenario Paths'!H132,IF(F272="Healthcare",'Scenario Paths'!H126,IF(F272="Hospitality",'Scenario Paths'!H120,IF(F272="Property",'Scenario Paths'!H114,IF(F272="Food",'Scenario Paths'!H108,IF(F272="Logistics",'Scenario Paths'!H102,IF(F272="Solar",'Scenario Paths'!H96,IF(F272="Cement",'Scenario Paths'!H90,0))))))))))))),"Unavailable"))</x:f>
      </x:c>
      <x:c r="I272" s="23" t="str">
        <x:f>IF(C272="","",IFERROR(INDEX('Borrowers'!$R$9:$R$108,MATCH(C272,'Borrowers'!$C$9:$C$108,0))*(1-INDEX('Borrowers'!$W$9:$W$108,MATCH(C272,'Borrowers'!$C$9:$C$108,0))*'Scenario Paths'!H39)*'Scenario Paths'!H9/1000000*(1-INDEX('Borrowers'!$T$9:$T$108,MATCH(C272,'Borrowers'!$C$9:$C$108,0))),"Unavailable"))</x:f>
      </x:c>
      <x:c r="J272" s="23" t="str">
        <x:f>IF(C272="","",IFERROR(INDEX('Borrowers'!$I$9:$I$108,MATCH(C272,'Borrowers'!$C$9:$C$108,0))*INDEX('Borrowers'!$S$9:$S$108,MATCH(C272,'Borrowers'!$C$9:$C$108,0))*'Scenario Paths'!H15*(1-INDEX('Borrowers'!$T$9:$T$108,MATCH(C272,'Borrowers'!$C$9:$C$108,0))),"Unavailable"))</x:f>
      </x:c>
      <x:c r="K272" s="23" t="str">
        <x:f>IF(C272="","",IFERROR(INDEX('Borrowers'!$I$9:$I$108,MATCH(C272,'Borrowers'!$C$9:$C$108,0))*INDEX('Borrowers'!$U$9:$U$108,MATCH(C272,'Borrowers'!$C$9:$C$108,0))*'Scenario Paths'!H21*S272,"Unavailable"))</x:f>
      </x:c>
      <x:c r="L272" s="23" t="str">
        <x:f>IF(C272="","",IFERROR(SUMPRODUCT((Sites!$D$9:$D$108=C272)*Sites!$H$9:$H$108*Sites!$J$9:$J$108*Sites!$K$9:$K$108*(1-Sites!$L$9:$L$108)*(1-Sites!$M$9:$M$108))*'Scenario Paths'!H27,"Unavailable"))</x:f>
      </x:c>
      <x:c r="M272" s="23" t="str">
        <x:f>IF(C272="","",IFERROR(INDEX('Borrowers'!$J$9:$J$108,MATCH(C272,'Borrowers'!$C$9:$C$108,0))+H272-SUM(I272:L272),"Unavailable"))</x:f>
      </x:c>
      <x:c r="N272" s="23" t="str">
        <x:f>IF(C272="","",IFERROR(INDEX('Borrowers'!$I$9:$I$108,MATCH(C272,'Borrowers'!$C$9:$C$108,0))*'Scenario Paths'!H33,"Unavailable"))</x:f>
      </x:c>
      <x:c r="O272" s="23" t="str">
        <x:f>IF(C272="","",IFERROR(M272-INDEX('Borrowers'!$K$9:$K$108,MATCH(C272,'Borrowers'!$C$9:$C$108,0))-N272,"Unavailable"))</x:f>
      </x:c>
      <x:c r="P272" s="127" t="str">
        <x:f>IF(C272="","",IFERROR(O272/INDEX('Borrowers'!$L$9:$L$108,MATCH(C272,'Borrowers'!$C$9:$C$108,0)),"Unavailable"))</x:f>
      </x:c>
      <x:c r="Q272" s="30" t="str">
        <x:f>IF(C272="","",IFERROR(IF(INDEX('Borrowers'!$Z$9:$Z$108,MATCH(C272,'Borrowers'!$C$9:$C$108,0))="Yes",1,IF(INDEX('Borrowers'!$P$9:$P$108,MATCH(C272,'Borrowers'!$C$9:$C$108,0))=0,0,MIN(1,INDEX('Borrowers'!$P$9:$P$108,MATCH(C272,'Borrowers'!$C$9:$C$108,0))*EXP(MIN(20,INDEX('Borrowers'!$V$9:$V$108,MATCH(C272,'Borrowers'!$C$9:$C$108,0))*V272))))),"Unavailable"))</x:f>
      </x:c>
      <x:c r="R272" s="30" t="str">
        <x:f>IF(C272="","",IFERROR(MIN(1,INDEX('Borrowers'!$Q$9:$Q$108,MATCH(C272,'Borrowers'!$C$9:$C$108,0))+(1-INDEX('Borrowers'!$Q$9:$Q$108,MATCH(C272,'Borrowers'!$C$9:$C$108,0)))*T272),"Unavailable"))</x:f>
      </x:c>
      <x:c r="S272" s="30" t="str">
        <x:f>IF(C272="","",IFERROR(SUMPRODUCT((Sites!$D$9:$D$108=C272)*Sites!$I$9:$I$108*Sites!$J$9:$J$108*Sites!$K$9:$K$108*(1-Sites!$L$9:$L$108)),"Unavailable"))</x:f>
      </x:c>
      <x:c r="T272" s="30" t="str">
        <x:f>IF(C272="","",IFERROR(MIN(1,(SUMPRODUCT((Sites!$D$9:$D$108=C272)*Sites!$N$9:$N$108*Sites!$J$9:$J$108*Sites!$K$9:$K$108*(1-Sites!$L$9:$L$108)))*'Scenario Paths'!H27),"Unavailable"))</x:f>
      </x:c>
      <x:c r="U272" s="9" t="str">
        <x:f>IF(C272="","",IF(OR(INDEX('Borrowers'!$AA$9:$AA$108,MATCH(C272,'Borrowers'!$C$9:$C$108,0))&lt;&gt;"Ready",COUNTIF(Sites!$D$9:$D$108,C272)=0,COUNTIFS(Sites!$D$9:$D$108,C272,Sites!$Q$9:$Q$108,"&lt;&gt;Ready")&gt;0,'Scenario Paths'!$F$6&lt;&gt;"Ready"),"Review source inputs","Ready"))</x:f>
      </x:c>
      <x:c r="V272" s="17" t="str">
        <x:f>IF(C272="","",IFERROR(MAX(-1,(G272-O272)/MAX(0.000001,G272)),"Unavailable"))</x:f>
      </x:c>
      <x:c r="W272" s="9" t="str">
        <x:f>IF(C272="","",IFERROR(INDEX('Borrowers'!$D$9:$D$108,MATCH(C272,'Borrowers'!$C$9:$C$108,0)),"Unavailable"))</x:f>
      </x:c>
    </x:row>
    <x:row r="273" ht="26" customHeight="1">
      <x:c r="A273" s="1"/>
      <x:c r="B273" s="1"/>
      <x:c r="C273" s="9" t="str">
        <x:f>IF(Borrowers!C73="","",Borrowers!C73)</x:f>
      </x:c>
      <x:c r="D273" s="3" t="n">
        <x:v>3</x:v>
      </x:c>
      <x:c r="E273" s="9" t="n">
        <x:f>Settings!$F$18+2</x:f>
        <x:v>2029</x:v>
      </x:c>
      <x:c r="F273" s="9" t="str">
        <x:f>IF(C273="","",INDEX('Borrowers'!$F$9:$F$108,MATCH(C273,'Borrowers'!$C$9:$C$108,0)))</x:f>
      </x:c>
      <x:c r="G273" s="23" t="str">
        <x:f>IF(C273="","",IFERROR(INDEX('Borrowers'!$J$9:$J$108,MATCH(C273,'Borrowers'!$C$9:$C$108,0))-INDEX('Borrowers'!$K$9:$K$108,MATCH(C273,'Borrowers'!$C$9:$C$108,0)),"Unavailable"))</x:f>
      </x:c>
      <x:c r="H273" s="23" t="str">
        <x:f>IF(C273="","",IFERROR(INDEX('Borrowers'!$I$9:$I$108,MATCH(C273,'Borrowers'!$C$9:$C$108,0))*INDEX('Borrowers'!$U$9:$U$108,MATCH(C273,'Borrowers'!$C$9:$C$108,0))*(IF(F273="Transport",'Scenario Paths'!H156,IF(F273="Technology",'Scenario Paths'!H150,IF(F273="Utilities",'Scenario Paths'!H144,IF(F273="Agriculture",'Scenario Paths'!H138,IF(F273="Manufacturing",'Scenario Paths'!H132,IF(F273="Healthcare",'Scenario Paths'!H126,IF(F273="Hospitality",'Scenario Paths'!H120,IF(F273="Property",'Scenario Paths'!H114,IF(F273="Food",'Scenario Paths'!H108,IF(F273="Logistics",'Scenario Paths'!H102,IF(F273="Solar",'Scenario Paths'!H96,IF(F273="Cement",'Scenario Paths'!H90,0))))))))))))),"Unavailable"))</x:f>
      </x:c>
      <x:c r="I273" s="23" t="str">
        <x:f>IF(C273="","",IFERROR(INDEX('Borrowers'!$R$9:$R$108,MATCH(C273,'Borrowers'!$C$9:$C$108,0))*(1-INDEX('Borrowers'!$W$9:$W$108,MATCH(C273,'Borrowers'!$C$9:$C$108,0))*'Scenario Paths'!H39)*'Scenario Paths'!H9/1000000*(1-INDEX('Borrowers'!$T$9:$T$108,MATCH(C273,'Borrowers'!$C$9:$C$108,0))),"Unavailable"))</x:f>
      </x:c>
      <x:c r="J273" s="23" t="str">
        <x:f>IF(C273="","",IFERROR(INDEX('Borrowers'!$I$9:$I$108,MATCH(C273,'Borrowers'!$C$9:$C$108,0))*INDEX('Borrowers'!$S$9:$S$108,MATCH(C273,'Borrowers'!$C$9:$C$108,0))*'Scenario Paths'!H15*(1-INDEX('Borrowers'!$T$9:$T$108,MATCH(C273,'Borrowers'!$C$9:$C$108,0))),"Unavailable"))</x:f>
      </x:c>
      <x:c r="K273" s="23" t="str">
        <x:f>IF(C273="","",IFERROR(INDEX('Borrowers'!$I$9:$I$108,MATCH(C273,'Borrowers'!$C$9:$C$108,0))*INDEX('Borrowers'!$U$9:$U$108,MATCH(C273,'Borrowers'!$C$9:$C$108,0))*'Scenario Paths'!H21*S273,"Unavailable"))</x:f>
      </x:c>
      <x:c r="L273" s="23" t="str">
        <x:f>IF(C273="","",IFERROR(SUMPRODUCT((Sites!$D$9:$D$108=C273)*Sites!$H$9:$H$108*Sites!$J$9:$J$108*Sites!$K$9:$K$108*(1-Sites!$L$9:$L$108)*(1-Sites!$M$9:$M$108))*'Scenario Paths'!H27,"Unavailable"))</x:f>
      </x:c>
      <x:c r="M273" s="23" t="str">
        <x:f>IF(C273="","",IFERROR(INDEX('Borrowers'!$J$9:$J$108,MATCH(C273,'Borrowers'!$C$9:$C$108,0))+H273-SUM(I273:L273),"Unavailable"))</x:f>
      </x:c>
      <x:c r="N273" s="23" t="str">
        <x:f>IF(C273="","",IFERROR(INDEX('Borrowers'!$I$9:$I$108,MATCH(C273,'Borrowers'!$C$9:$C$108,0))*'Scenario Paths'!H33,"Unavailable"))</x:f>
      </x:c>
      <x:c r="O273" s="23" t="str">
        <x:f>IF(C273="","",IFERROR(M273-INDEX('Borrowers'!$K$9:$K$108,MATCH(C273,'Borrowers'!$C$9:$C$108,0))-N273,"Unavailable"))</x:f>
      </x:c>
      <x:c r="P273" s="127" t="str">
        <x:f>IF(C273="","",IFERROR(O273/INDEX('Borrowers'!$L$9:$L$108,MATCH(C273,'Borrowers'!$C$9:$C$108,0)),"Unavailable"))</x:f>
      </x:c>
      <x:c r="Q273" s="30" t="str">
        <x:f>IF(C273="","",IFERROR(IF(INDEX('Borrowers'!$Z$9:$Z$108,MATCH(C273,'Borrowers'!$C$9:$C$108,0))="Yes",1,IF(INDEX('Borrowers'!$P$9:$P$108,MATCH(C273,'Borrowers'!$C$9:$C$108,0))=0,0,MIN(1,INDEX('Borrowers'!$P$9:$P$108,MATCH(C273,'Borrowers'!$C$9:$C$108,0))*EXP(MIN(20,INDEX('Borrowers'!$V$9:$V$108,MATCH(C273,'Borrowers'!$C$9:$C$108,0))*V273))))),"Unavailable"))</x:f>
      </x:c>
      <x:c r="R273" s="30" t="str">
        <x:f>IF(C273="","",IFERROR(MIN(1,INDEX('Borrowers'!$Q$9:$Q$108,MATCH(C273,'Borrowers'!$C$9:$C$108,0))+(1-INDEX('Borrowers'!$Q$9:$Q$108,MATCH(C273,'Borrowers'!$C$9:$C$108,0)))*T273),"Unavailable"))</x:f>
      </x:c>
      <x:c r="S273" s="30" t="str">
        <x:f>IF(C273="","",IFERROR(SUMPRODUCT((Sites!$D$9:$D$108=C273)*Sites!$I$9:$I$108*Sites!$J$9:$J$108*Sites!$K$9:$K$108*(1-Sites!$L$9:$L$108)),"Unavailable"))</x:f>
      </x:c>
      <x:c r="T273" s="30" t="str">
        <x:f>IF(C273="","",IFERROR(MIN(1,(SUMPRODUCT((Sites!$D$9:$D$108=C273)*Sites!$N$9:$N$108*Sites!$J$9:$J$108*Sites!$K$9:$K$108*(1-Sites!$L$9:$L$108)))*'Scenario Paths'!H27),"Unavailable"))</x:f>
      </x:c>
      <x:c r="U273" s="9" t="str">
        <x:f>IF(C273="","",IF(OR(INDEX('Borrowers'!$AA$9:$AA$108,MATCH(C273,'Borrowers'!$C$9:$C$108,0))&lt;&gt;"Ready",COUNTIF(Sites!$D$9:$D$108,C273)=0,COUNTIFS(Sites!$D$9:$D$108,C273,Sites!$Q$9:$Q$108,"&lt;&gt;Ready")&gt;0,'Scenario Paths'!$F$6&lt;&gt;"Ready"),"Review source inputs","Ready"))</x:f>
      </x:c>
      <x:c r="V273" s="17" t="str">
        <x:f>IF(C273="","",IFERROR(MAX(-1,(G273-O273)/MAX(0.000001,G273)),"Unavailable"))</x:f>
      </x:c>
      <x:c r="W273" s="9" t="str">
        <x:f>IF(C273="","",IFERROR(INDEX('Borrowers'!$D$9:$D$108,MATCH(C273,'Borrowers'!$C$9:$C$108,0)),"Unavailable"))</x:f>
      </x:c>
    </x:row>
    <x:row r="274" ht="26" customHeight="1">
      <x:c r="A274" s="1"/>
      <x:c r="B274" s="1"/>
      <x:c r="C274" s="9" t="str">
        <x:f>IF(Borrowers!C74="","",Borrowers!C74)</x:f>
      </x:c>
      <x:c r="D274" s="3" t="n">
        <x:v>3</x:v>
      </x:c>
      <x:c r="E274" s="9" t="n">
        <x:f>Settings!$F$18+2</x:f>
        <x:v>2029</x:v>
      </x:c>
      <x:c r="F274" s="9" t="str">
        <x:f>IF(C274="","",INDEX('Borrowers'!$F$9:$F$108,MATCH(C274,'Borrowers'!$C$9:$C$108,0)))</x:f>
      </x:c>
      <x:c r="G274" s="23" t="str">
        <x:f>IF(C274="","",IFERROR(INDEX('Borrowers'!$J$9:$J$108,MATCH(C274,'Borrowers'!$C$9:$C$108,0))-INDEX('Borrowers'!$K$9:$K$108,MATCH(C274,'Borrowers'!$C$9:$C$108,0)),"Unavailable"))</x:f>
      </x:c>
      <x:c r="H274" s="23" t="str">
        <x:f>IF(C274="","",IFERROR(INDEX('Borrowers'!$I$9:$I$108,MATCH(C274,'Borrowers'!$C$9:$C$108,0))*INDEX('Borrowers'!$U$9:$U$108,MATCH(C274,'Borrowers'!$C$9:$C$108,0))*(IF(F274="Transport",'Scenario Paths'!H156,IF(F274="Technology",'Scenario Paths'!H150,IF(F274="Utilities",'Scenario Paths'!H144,IF(F274="Agriculture",'Scenario Paths'!H138,IF(F274="Manufacturing",'Scenario Paths'!H132,IF(F274="Healthcare",'Scenario Paths'!H126,IF(F274="Hospitality",'Scenario Paths'!H120,IF(F274="Property",'Scenario Paths'!H114,IF(F274="Food",'Scenario Paths'!H108,IF(F274="Logistics",'Scenario Paths'!H102,IF(F274="Solar",'Scenario Paths'!H96,IF(F274="Cement",'Scenario Paths'!H90,0))))))))))))),"Unavailable"))</x:f>
      </x:c>
      <x:c r="I274" s="23" t="str">
        <x:f>IF(C274="","",IFERROR(INDEX('Borrowers'!$R$9:$R$108,MATCH(C274,'Borrowers'!$C$9:$C$108,0))*(1-INDEX('Borrowers'!$W$9:$W$108,MATCH(C274,'Borrowers'!$C$9:$C$108,0))*'Scenario Paths'!H39)*'Scenario Paths'!H9/1000000*(1-INDEX('Borrowers'!$T$9:$T$108,MATCH(C274,'Borrowers'!$C$9:$C$108,0))),"Unavailable"))</x:f>
      </x:c>
      <x:c r="J274" s="23" t="str">
        <x:f>IF(C274="","",IFERROR(INDEX('Borrowers'!$I$9:$I$108,MATCH(C274,'Borrowers'!$C$9:$C$108,0))*INDEX('Borrowers'!$S$9:$S$108,MATCH(C274,'Borrowers'!$C$9:$C$108,0))*'Scenario Paths'!H15*(1-INDEX('Borrowers'!$T$9:$T$108,MATCH(C274,'Borrowers'!$C$9:$C$108,0))),"Unavailable"))</x:f>
      </x:c>
      <x:c r="K274" s="23" t="str">
        <x:f>IF(C274="","",IFERROR(INDEX('Borrowers'!$I$9:$I$108,MATCH(C274,'Borrowers'!$C$9:$C$108,0))*INDEX('Borrowers'!$U$9:$U$108,MATCH(C274,'Borrowers'!$C$9:$C$108,0))*'Scenario Paths'!H21*S274,"Unavailable"))</x:f>
      </x:c>
      <x:c r="L274" s="23" t="str">
        <x:f>IF(C274="","",IFERROR(SUMPRODUCT((Sites!$D$9:$D$108=C274)*Sites!$H$9:$H$108*Sites!$J$9:$J$108*Sites!$K$9:$K$108*(1-Sites!$L$9:$L$108)*(1-Sites!$M$9:$M$108))*'Scenario Paths'!H27,"Unavailable"))</x:f>
      </x:c>
      <x:c r="M274" s="23" t="str">
        <x:f>IF(C274="","",IFERROR(INDEX('Borrowers'!$J$9:$J$108,MATCH(C274,'Borrowers'!$C$9:$C$108,0))+H274-SUM(I274:L274),"Unavailable"))</x:f>
      </x:c>
      <x:c r="N274" s="23" t="str">
        <x:f>IF(C274="","",IFERROR(INDEX('Borrowers'!$I$9:$I$108,MATCH(C274,'Borrowers'!$C$9:$C$108,0))*'Scenario Paths'!H33,"Unavailable"))</x:f>
      </x:c>
      <x:c r="O274" s="23" t="str">
        <x:f>IF(C274="","",IFERROR(M274-INDEX('Borrowers'!$K$9:$K$108,MATCH(C274,'Borrowers'!$C$9:$C$108,0))-N274,"Unavailable"))</x:f>
      </x:c>
      <x:c r="P274" s="127" t="str">
        <x:f>IF(C274="","",IFERROR(O274/INDEX('Borrowers'!$L$9:$L$108,MATCH(C274,'Borrowers'!$C$9:$C$108,0)),"Unavailable"))</x:f>
      </x:c>
      <x:c r="Q274" s="30" t="str">
        <x:f>IF(C274="","",IFERROR(IF(INDEX('Borrowers'!$Z$9:$Z$108,MATCH(C274,'Borrowers'!$C$9:$C$108,0))="Yes",1,IF(INDEX('Borrowers'!$P$9:$P$108,MATCH(C274,'Borrowers'!$C$9:$C$108,0))=0,0,MIN(1,INDEX('Borrowers'!$P$9:$P$108,MATCH(C274,'Borrowers'!$C$9:$C$108,0))*EXP(MIN(20,INDEX('Borrowers'!$V$9:$V$108,MATCH(C274,'Borrowers'!$C$9:$C$108,0))*V274))))),"Unavailable"))</x:f>
      </x:c>
      <x:c r="R274" s="30" t="str">
        <x:f>IF(C274="","",IFERROR(MIN(1,INDEX('Borrowers'!$Q$9:$Q$108,MATCH(C274,'Borrowers'!$C$9:$C$108,0))+(1-INDEX('Borrowers'!$Q$9:$Q$108,MATCH(C274,'Borrowers'!$C$9:$C$108,0)))*T274),"Unavailable"))</x:f>
      </x:c>
      <x:c r="S274" s="30" t="str">
        <x:f>IF(C274="","",IFERROR(SUMPRODUCT((Sites!$D$9:$D$108=C274)*Sites!$I$9:$I$108*Sites!$J$9:$J$108*Sites!$K$9:$K$108*(1-Sites!$L$9:$L$108)),"Unavailable"))</x:f>
      </x:c>
      <x:c r="T274" s="30" t="str">
        <x:f>IF(C274="","",IFERROR(MIN(1,(SUMPRODUCT((Sites!$D$9:$D$108=C274)*Sites!$N$9:$N$108*Sites!$J$9:$J$108*Sites!$K$9:$K$108*(1-Sites!$L$9:$L$108)))*'Scenario Paths'!H27),"Unavailable"))</x:f>
      </x:c>
      <x:c r="U274" s="9" t="str">
        <x:f>IF(C274="","",IF(OR(INDEX('Borrowers'!$AA$9:$AA$108,MATCH(C274,'Borrowers'!$C$9:$C$108,0))&lt;&gt;"Ready",COUNTIF(Sites!$D$9:$D$108,C274)=0,COUNTIFS(Sites!$D$9:$D$108,C274,Sites!$Q$9:$Q$108,"&lt;&gt;Ready")&gt;0,'Scenario Paths'!$F$6&lt;&gt;"Ready"),"Review source inputs","Ready"))</x:f>
      </x:c>
      <x:c r="V274" s="17" t="str">
        <x:f>IF(C274="","",IFERROR(MAX(-1,(G274-O274)/MAX(0.000001,G274)),"Unavailable"))</x:f>
      </x:c>
      <x:c r="W274" s="9" t="str">
        <x:f>IF(C274="","",IFERROR(INDEX('Borrowers'!$D$9:$D$108,MATCH(C274,'Borrowers'!$C$9:$C$108,0)),"Unavailable"))</x:f>
      </x:c>
    </x:row>
    <x:row r="275" ht="26" customHeight="1">
      <x:c r="A275" s="1"/>
      <x:c r="B275" s="1"/>
      <x:c r="C275" s="9" t="str">
        <x:f>IF(Borrowers!C75="","",Borrowers!C75)</x:f>
      </x:c>
      <x:c r="D275" s="3" t="n">
        <x:v>3</x:v>
      </x:c>
      <x:c r="E275" s="9" t="n">
        <x:f>Settings!$F$18+2</x:f>
        <x:v>2029</x:v>
      </x:c>
      <x:c r="F275" s="9" t="str">
        <x:f>IF(C275="","",INDEX('Borrowers'!$F$9:$F$108,MATCH(C275,'Borrowers'!$C$9:$C$108,0)))</x:f>
      </x:c>
      <x:c r="G275" s="23" t="str">
        <x:f>IF(C275="","",IFERROR(INDEX('Borrowers'!$J$9:$J$108,MATCH(C275,'Borrowers'!$C$9:$C$108,0))-INDEX('Borrowers'!$K$9:$K$108,MATCH(C275,'Borrowers'!$C$9:$C$108,0)),"Unavailable"))</x:f>
      </x:c>
      <x:c r="H275" s="23" t="str">
        <x:f>IF(C275="","",IFERROR(INDEX('Borrowers'!$I$9:$I$108,MATCH(C275,'Borrowers'!$C$9:$C$108,0))*INDEX('Borrowers'!$U$9:$U$108,MATCH(C275,'Borrowers'!$C$9:$C$108,0))*(IF(F275="Transport",'Scenario Paths'!H156,IF(F275="Technology",'Scenario Paths'!H150,IF(F275="Utilities",'Scenario Paths'!H144,IF(F275="Agriculture",'Scenario Paths'!H138,IF(F275="Manufacturing",'Scenario Paths'!H132,IF(F275="Healthcare",'Scenario Paths'!H126,IF(F275="Hospitality",'Scenario Paths'!H120,IF(F275="Property",'Scenario Paths'!H114,IF(F275="Food",'Scenario Paths'!H108,IF(F275="Logistics",'Scenario Paths'!H102,IF(F275="Solar",'Scenario Paths'!H96,IF(F275="Cement",'Scenario Paths'!H90,0))))))))))))),"Unavailable"))</x:f>
      </x:c>
      <x:c r="I275" s="23" t="str">
        <x:f>IF(C275="","",IFERROR(INDEX('Borrowers'!$R$9:$R$108,MATCH(C275,'Borrowers'!$C$9:$C$108,0))*(1-INDEX('Borrowers'!$W$9:$W$108,MATCH(C275,'Borrowers'!$C$9:$C$108,0))*'Scenario Paths'!H39)*'Scenario Paths'!H9/1000000*(1-INDEX('Borrowers'!$T$9:$T$108,MATCH(C275,'Borrowers'!$C$9:$C$108,0))),"Unavailable"))</x:f>
      </x:c>
      <x:c r="J275" s="23" t="str">
        <x:f>IF(C275="","",IFERROR(INDEX('Borrowers'!$I$9:$I$108,MATCH(C275,'Borrowers'!$C$9:$C$108,0))*INDEX('Borrowers'!$S$9:$S$108,MATCH(C275,'Borrowers'!$C$9:$C$108,0))*'Scenario Paths'!H15*(1-INDEX('Borrowers'!$T$9:$T$108,MATCH(C275,'Borrowers'!$C$9:$C$108,0))),"Unavailable"))</x:f>
      </x:c>
      <x:c r="K275" s="23" t="str">
        <x:f>IF(C275="","",IFERROR(INDEX('Borrowers'!$I$9:$I$108,MATCH(C275,'Borrowers'!$C$9:$C$108,0))*INDEX('Borrowers'!$U$9:$U$108,MATCH(C275,'Borrowers'!$C$9:$C$108,0))*'Scenario Paths'!H21*S275,"Unavailable"))</x:f>
      </x:c>
      <x:c r="L275" s="23" t="str">
        <x:f>IF(C275="","",IFERROR(SUMPRODUCT((Sites!$D$9:$D$108=C275)*Sites!$H$9:$H$108*Sites!$J$9:$J$108*Sites!$K$9:$K$108*(1-Sites!$L$9:$L$108)*(1-Sites!$M$9:$M$108))*'Scenario Paths'!H27,"Unavailable"))</x:f>
      </x:c>
      <x:c r="M275" s="23" t="str">
        <x:f>IF(C275="","",IFERROR(INDEX('Borrowers'!$J$9:$J$108,MATCH(C275,'Borrowers'!$C$9:$C$108,0))+H275-SUM(I275:L275),"Unavailable"))</x:f>
      </x:c>
      <x:c r="N275" s="23" t="str">
        <x:f>IF(C275="","",IFERROR(INDEX('Borrowers'!$I$9:$I$108,MATCH(C275,'Borrowers'!$C$9:$C$108,0))*'Scenario Paths'!H33,"Unavailable"))</x:f>
      </x:c>
      <x:c r="O275" s="23" t="str">
        <x:f>IF(C275="","",IFERROR(M275-INDEX('Borrowers'!$K$9:$K$108,MATCH(C275,'Borrowers'!$C$9:$C$108,0))-N275,"Unavailable"))</x:f>
      </x:c>
      <x:c r="P275" s="127" t="str">
        <x:f>IF(C275="","",IFERROR(O275/INDEX('Borrowers'!$L$9:$L$108,MATCH(C275,'Borrowers'!$C$9:$C$108,0)),"Unavailable"))</x:f>
      </x:c>
      <x:c r="Q275" s="30" t="str">
        <x:f>IF(C275="","",IFERROR(IF(INDEX('Borrowers'!$Z$9:$Z$108,MATCH(C275,'Borrowers'!$C$9:$C$108,0))="Yes",1,IF(INDEX('Borrowers'!$P$9:$P$108,MATCH(C275,'Borrowers'!$C$9:$C$108,0))=0,0,MIN(1,INDEX('Borrowers'!$P$9:$P$108,MATCH(C275,'Borrowers'!$C$9:$C$108,0))*EXP(MIN(20,INDEX('Borrowers'!$V$9:$V$108,MATCH(C275,'Borrowers'!$C$9:$C$108,0))*V275))))),"Unavailable"))</x:f>
      </x:c>
      <x:c r="R275" s="30" t="str">
        <x:f>IF(C275="","",IFERROR(MIN(1,INDEX('Borrowers'!$Q$9:$Q$108,MATCH(C275,'Borrowers'!$C$9:$C$108,0))+(1-INDEX('Borrowers'!$Q$9:$Q$108,MATCH(C275,'Borrowers'!$C$9:$C$108,0)))*T275),"Unavailable"))</x:f>
      </x:c>
      <x:c r="S275" s="30" t="str">
        <x:f>IF(C275="","",IFERROR(SUMPRODUCT((Sites!$D$9:$D$108=C275)*Sites!$I$9:$I$108*Sites!$J$9:$J$108*Sites!$K$9:$K$108*(1-Sites!$L$9:$L$108)),"Unavailable"))</x:f>
      </x:c>
      <x:c r="T275" s="30" t="str">
        <x:f>IF(C275="","",IFERROR(MIN(1,(SUMPRODUCT((Sites!$D$9:$D$108=C275)*Sites!$N$9:$N$108*Sites!$J$9:$J$108*Sites!$K$9:$K$108*(1-Sites!$L$9:$L$108)))*'Scenario Paths'!H27),"Unavailable"))</x:f>
      </x:c>
      <x:c r="U275" s="9" t="str">
        <x:f>IF(C275="","",IF(OR(INDEX('Borrowers'!$AA$9:$AA$108,MATCH(C275,'Borrowers'!$C$9:$C$108,0))&lt;&gt;"Ready",COUNTIF(Sites!$D$9:$D$108,C275)=0,COUNTIFS(Sites!$D$9:$D$108,C275,Sites!$Q$9:$Q$108,"&lt;&gt;Ready")&gt;0,'Scenario Paths'!$F$6&lt;&gt;"Ready"),"Review source inputs","Ready"))</x:f>
      </x:c>
      <x:c r="V275" s="17" t="str">
        <x:f>IF(C275="","",IFERROR(MAX(-1,(G275-O275)/MAX(0.000001,G275)),"Unavailable"))</x:f>
      </x:c>
      <x:c r="W275" s="9" t="str">
        <x:f>IF(C275="","",IFERROR(INDEX('Borrowers'!$D$9:$D$108,MATCH(C275,'Borrowers'!$C$9:$C$108,0)),"Unavailable"))</x:f>
      </x:c>
    </x:row>
    <x:row r="276" ht="26" customHeight="1">
      <x:c r="A276" s="1"/>
      <x:c r="B276" s="1"/>
      <x:c r="C276" s="9" t="str">
        <x:f>IF(Borrowers!C76="","",Borrowers!C76)</x:f>
      </x:c>
      <x:c r="D276" s="3" t="n">
        <x:v>3</x:v>
      </x:c>
      <x:c r="E276" s="9" t="n">
        <x:f>Settings!$F$18+2</x:f>
        <x:v>2029</x:v>
      </x:c>
      <x:c r="F276" s="9" t="str">
        <x:f>IF(C276="","",INDEX('Borrowers'!$F$9:$F$108,MATCH(C276,'Borrowers'!$C$9:$C$108,0)))</x:f>
      </x:c>
      <x:c r="G276" s="23" t="str">
        <x:f>IF(C276="","",IFERROR(INDEX('Borrowers'!$J$9:$J$108,MATCH(C276,'Borrowers'!$C$9:$C$108,0))-INDEX('Borrowers'!$K$9:$K$108,MATCH(C276,'Borrowers'!$C$9:$C$108,0)),"Unavailable"))</x:f>
      </x:c>
      <x:c r="H276" s="23" t="str">
        <x:f>IF(C276="","",IFERROR(INDEX('Borrowers'!$I$9:$I$108,MATCH(C276,'Borrowers'!$C$9:$C$108,0))*INDEX('Borrowers'!$U$9:$U$108,MATCH(C276,'Borrowers'!$C$9:$C$108,0))*(IF(F276="Transport",'Scenario Paths'!H156,IF(F276="Technology",'Scenario Paths'!H150,IF(F276="Utilities",'Scenario Paths'!H144,IF(F276="Agriculture",'Scenario Paths'!H138,IF(F276="Manufacturing",'Scenario Paths'!H132,IF(F276="Healthcare",'Scenario Paths'!H126,IF(F276="Hospitality",'Scenario Paths'!H120,IF(F276="Property",'Scenario Paths'!H114,IF(F276="Food",'Scenario Paths'!H108,IF(F276="Logistics",'Scenario Paths'!H102,IF(F276="Solar",'Scenario Paths'!H96,IF(F276="Cement",'Scenario Paths'!H90,0))))))))))))),"Unavailable"))</x:f>
      </x:c>
      <x:c r="I276" s="23" t="str">
        <x:f>IF(C276="","",IFERROR(INDEX('Borrowers'!$R$9:$R$108,MATCH(C276,'Borrowers'!$C$9:$C$108,0))*(1-INDEX('Borrowers'!$W$9:$W$108,MATCH(C276,'Borrowers'!$C$9:$C$108,0))*'Scenario Paths'!H39)*'Scenario Paths'!H9/1000000*(1-INDEX('Borrowers'!$T$9:$T$108,MATCH(C276,'Borrowers'!$C$9:$C$108,0))),"Unavailable"))</x:f>
      </x:c>
      <x:c r="J276" s="23" t="str">
        <x:f>IF(C276="","",IFERROR(INDEX('Borrowers'!$I$9:$I$108,MATCH(C276,'Borrowers'!$C$9:$C$108,0))*INDEX('Borrowers'!$S$9:$S$108,MATCH(C276,'Borrowers'!$C$9:$C$108,0))*'Scenario Paths'!H15*(1-INDEX('Borrowers'!$T$9:$T$108,MATCH(C276,'Borrowers'!$C$9:$C$108,0))),"Unavailable"))</x:f>
      </x:c>
      <x:c r="K276" s="23" t="str">
        <x:f>IF(C276="","",IFERROR(INDEX('Borrowers'!$I$9:$I$108,MATCH(C276,'Borrowers'!$C$9:$C$108,0))*INDEX('Borrowers'!$U$9:$U$108,MATCH(C276,'Borrowers'!$C$9:$C$108,0))*'Scenario Paths'!H21*S276,"Unavailable"))</x:f>
      </x:c>
      <x:c r="L276" s="23" t="str">
        <x:f>IF(C276="","",IFERROR(SUMPRODUCT((Sites!$D$9:$D$108=C276)*Sites!$H$9:$H$108*Sites!$J$9:$J$108*Sites!$K$9:$K$108*(1-Sites!$L$9:$L$108)*(1-Sites!$M$9:$M$108))*'Scenario Paths'!H27,"Unavailable"))</x:f>
      </x:c>
      <x:c r="M276" s="23" t="str">
        <x:f>IF(C276="","",IFERROR(INDEX('Borrowers'!$J$9:$J$108,MATCH(C276,'Borrowers'!$C$9:$C$108,0))+H276-SUM(I276:L276),"Unavailable"))</x:f>
      </x:c>
      <x:c r="N276" s="23" t="str">
        <x:f>IF(C276="","",IFERROR(INDEX('Borrowers'!$I$9:$I$108,MATCH(C276,'Borrowers'!$C$9:$C$108,0))*'Scenario Paths'!H33,"Unavailable"))</x:f>
      </x:c>
      <x:c r="O276" s="23" t="str">
        <x:f>IF(C276="","",IFERROR(M276-INDEX('Borrowers'!$K$9:$K$108,MATCH(C276,'Borrowers'!$C$9:$C$108,0))-N276,"Unavailable"))</x:f>
      </x:c>
      <x:c r="P276" s="127" t="str">
        <x:f>IF(C276="","",IFERROR(O276/INDEX('Borrowers'!$L$9:$L$108,MATCH(C276,'Borrowers'!$C$9:$C$108,0)),"Unavailable"))</x:f>
      </x:c>
      <x:c r="Q276" s="30" t="str">
        <x:f>IF(C276="","",IFERROR(IF(INDEX('Borrowers'!$Z$9:$Z$108,MATCH(C276,'Borrowers'!$C$9:$C$108,0))="Yes",1,IF(INDEX('Borrowers'!$P$9:$P$108,MATCH(C276,'Borrowers'!$C$9:$C$108,0))=0,0,MIN(1,INDEX('Borrowers'!$P$9:$P$108,MATCH(C276,'Borrowers'!$C$9:$C$108,0))*EXP(MIN(20,INDEX('Borrowers'!$V$9:$V$108,MATCH(C276,'Borrowers'!$C$9:$C$108,0))*V276))))),"Unavailable"))</x:f>
      </x:c>
      <x:c r="R276" s="30" t="str">
        <x:f>IF(C276="","",IFERROR(MIN(1,INDEX('Borrowers'!$Q$9:$Q$108,MATCH(C276,'Borrowers'!$C$9:$C$108,0))+(1-INDEX('Borrowers'!$Q$9:$Q$108,MATCH(C276,'Borrowers'!$C$9:$C$108,0)))*T276),"Unavailable"))</x:f>
      </x:c>
      <x:c r="S276" s="30" t="str">
        <x:f>IF(C276="","",IFERROR(SUMPRODUCT((Sites!$D$9:$D$108=C276)*Sites!$I$9:$I$108*Sites!$J$9:$J$108*Sites!$K$9:$K$108*(1-Sites!$L$9:$L$108)),"Unavailable"))</x:f>
      </x:c>
      <x:c r="T276" s="30" t="str">
        <x:f>IF(C276="","",IFERROR(MIN(1,(SUMPRODUCT((Sites!$D$9:$D$108=C276)*Sites!$N$9:$N$108*Sites!$J$9:$J$108*Sites!$K$9:$K$108*(1-Sites!$L$9:$L$108)))*'Scenario Paths'!H27),"Unavailable"))</x:f>
      </x:c>
      <x:c r="U276" s="9" t="str">
        <x:f>IF(C276="","",IF(OR(INDEX('Borrowers'!$AA$9:$AA$108,MATCH(C276,'Borrowers'!$C$9:$C$108,0))&lt;&gt;"Ready",COUNTIF(Sites!$D$9:$D$108,C276)=0,COUNTIFS(Sites!$D$9:$D$108,C276,Sites!$Q$9:$Q$108,"&lt;&gt;Ready")&gt;0,'Scenario Paths'!$F$6&lt;&gt;"Ready"),"Review source inputs","Ready"))</x:f>
      </x:c>
      <x:c r="V276" s="17" t="str">
        <x:f>IF(C276="","",IFERROR(MAX(-1,(G276-O276)/MAX(0.000001,G276)),"Unavailable"))</x:f>
      </x:c>
      <x:c r="W276" s="9" t="str">
        <x:f>IF(C276="","",IFERROR(INDEX('Borrowers'!$D$9:$D$108,MATCH(C276,'Borrowers'!$C$9:$C$108,0)),"Unavailable"))</x:f>
      </x:c>
    </x:row>
    <x:row r="277" ht="26" customHeight="1">
      <x:c r="A277" s="1"/>
      <x:c r="B277" s="1"/>
      <x:c r="C277" s="9" t="str">
        <x:f>IF(Borrowers!C77="","",Borrowers!C77)</x:f>
      </x:c>
      <x:c r="D277" s="3" t="n">
        <x:v>3</x:v>
      </x:c>
      <x:c r="E277" s="9" t="n">
        <x:f>Settings!$F$18+2</x:f>
        <x:v>2029</x:v>
      </x:c>
      <x:c r="F277" s="9" t="str">
        <x:f>IF(C277="","",INDEX('Borrowers'!$F$9:$F$108,MATCH(C277,'Borrowers'!$C$9:$C$108,0)))</x:f>
      </x:c>
      <x:c r="G277" s="23" t="str">
        <x:f>IF(C277="","",IFERROR(INDEX('Borrowers'!$J$9:$J$108,MATCH(C277,'Borrowers'!$C$9:$C$108,0))-INDEX('Borrowers'!$K$9:$K$108,MATCH(C277,'Borrowers'!$C$9:$C$108,0)),"Unavailable"))</x:f>
      </x:c>
      <x:c r="H277" s="23" t="str">
        <x:f>IF(C277="","",IFERROR(INDEX('Borrowers'!$I$9:$I$108,MATCH(C277,'Borrowers'!$C$9:$C$108,0))*INDEX('Borrowers'!$U$9:$U$108,MATCH(C277,'Borrowers'!$C$9:$C$108,0))*(IF(F277="Transport",'Scenario Paths'!H156,IF(F277="Technology",'Scenario Paths'!H150,IF(F277="Utilities",'Scenario Paths'!H144,IF(F277="Agriculture",'Scenario Paths'!H138,IF(F277="Manufacturing",'Scenario Paths'!H132,IF(F277="Healthcare",'Scenario Paths'!H126,IF(F277="Hospitality",'Scenario Paths'!H120,IF(F277="Property",'Scenario Paths'!H114,IF(F277="Food",'Scenario Paths'!H108,IF(F277="Logistics",'Scenario Paths'!H102,IF(F277="Solar",'Scenario Paths'!H96,IF(F277="Cement",'Scenario Paths'!H90,0))))))))))))),"Unavailable"))</x:f>
      </x:c>
      <x:c r="I277" s="23" t="str">
        <x:f>IF(C277="","",IFERROR(INDEX('Borrowers'!$R$9:$R$108,MATCH(C277,'Borrowers'!$C$9:$C$108,0))*(1-INDEX('Borrowers'!$W$9:$W$108,MATCH(C277,'Borrowers'!$C$9:$C$108,0))*'Scenario Paths'!H39)*'Scenario Paths'!H9/1000000*(1-INDEX('Borrowers'!$T$9:$T$108,MATCH(C277,'Borrowers'!$C$9:$C$108,0))),"Unavailable"))</x:f>
      </x:c>
      <x:c r="J277" s="23" t="str">
        <x:f>IF(C277="","",IFERROR(INDEX('Borrowers'!$I$9:$I$108,MATCH(C277,'Borrowers'!$C$9:$C$108,0))*INDEX('Borrowers'!$S$9:$S$108,MATCH(C277,'Borrowers'!$C$9:$C$108,0))*'Scenario Paths'!H15*(1-INDEX('Borrowers'!$T$9:$T$108,MATCH(C277,'Borrowers'!$C$9:$C$108,0))),"Unavailable"))</x:f>
      </x:c>
      <x:c r="K277" s="23" t="str">
        <x:f>IF(C277="","",IFERROR(INDEX('Borrowers'!$I$9:$I$108,MATCH(C277,'Borrowers'!$C$9:$C$108,0))*INDEX('Borrowers'!$U$9:$U$108,MATCH(C277,'Borrowers'!$C$9:$C$108,0))*'Scenario Paths'!H21*S277,"Unavailable"))</x:f>
      </x:c>
      <x:c r="L277" s="23" t="str">
        <x:f>IF(C277="","",IFERROR(SUMPRODUCT((Sites!$D$9:$D$108=C277)*Sites!$H$9:$H$108*Sites!$J$9:$J$108*Sites!$K$9:$K$108*(1-Sites!$L$9:$L$108)*(1-Sites!$M$9:$M$108))*'Scenario Paths'!H27,"Unavailable"))</x:f>
      </x:c>
      <x:c r="M277" s="23" t="str">
        <x:f>IF(C277="","",IFERROR(INDEX('Borrowers'!$J$9:$J$108,MATCH(C277,'Borrowers'!$C$9:$C$108,0))+H277-SUM(I277:L277),"Unavailable"))</x:f>
      </x:c>
      <x:c r="N277" s="23" t="str">
        <x:f>IF(C277="","",IFERROR(INDEX('Borrowers'!$I$9:$I$108,MATCH(C277,'Borrowers'!$C$9:$C$108,0))*'Scenario Paths'!H33,"Unavailable"))</x:f>
      </x:c>
      <x:c r="O277" s="23" t="str">
        <x:f>IF(C277="","",IFERROR(M277-INDEX('Borrowers'!$K$9:$K$108,MATCH(C277,'Borrowers'!$C$9:$C$108,0))-N277,"Unavailable"))</x:f>
      </x:c>
      <x:c r="P277" s="127" t="str">
        <x:f>IF(C277="","",IFERROR(O277/INDEX('Borrowers'!$L$9:$L$108,MATCH(C277,'Borrowers'!$C$9:$C$108,0)),"Unavailable"))</x:f>
      </x:c>
      <x:c r="Q277" s="30" t="str">
        <x:f>IF(C277="","",IFERROR(IF(INDEX('Borrowers'!$Z$9:$Z$108,MATCH(C277,'Borrowers'!$C$9:$C$108,0))="Yes",1,IF(INDEX('Borrowers'!$P$9:$P$108,MATCH(C277,'Borrowers'!$C$9:$C$108,0))=0,0,MIN(1,INDEX('Borrowers'!$P$9:$P$108,MATCH(C277,'Borrowers'!$C$9:$C$108,0))*EXP(MIN(20,INDEX('Borrowers'!$V$9:$V$108,MATCH(C277,'Borrowers'!$C$9:$C$108,0))*V277))))),"Unavailable"))</x:f>
      </x:c>
      <x:c r="R277" s="30" t="str">
        <x:f>IF(C277="","",IFERROR(MIN(1,INDEX('Borrowers'!$Q$9:$Q$108,MATCH(C277,'Borrowers'!$C$9:$C$108,0))+(1-INDEX('Borrowers'!$Q$9:$Q$108,MATCH(C277,'Borrowers'!$C$9:$C$108,0)))*T277),"Unavailable"))</x:f>
      </x:c>
      <x:c r="S277" s="30" t="str">
        <x:f>IF(C277="","",IFERROR(SUMPRODUCT((Sites!$D$9:$D$108=C277)*Sites!$I$9:$I$108*Sites!$J$9:$J$108*Sites!$K$9:$K$108*(1-Sites!$L$9:$L$108)),"Unavailable"))</x:f>
      </x:c>
      <x:c r="T277" s="30" t="str">
        <x:f>IF(C277="","",IFERROR(MIN(1,(SUMPRODUCT((Sites!$D$9:$D$108=C277)*Sites!$N$9:$N$108*Sites!$J$9:$J$108*Sites!$K$9:$K$108*(1-Sites!$L$9:$L$108)))*'Scenario Paths'!H27),"Unavailable"))</x:f>
      </x:c>
      <x:c r="U277" s="9" t="str">
        <x:f>IF(C277="","",IF(OR(INDEX('Borrowers'!$AA$9:$AA$108,MATCH(C277,'Borrowers'!$C$9:$C$108,0))&lt;&gt;"Ready",COUNTIF(Sites!$D$9:$D$108,C277)=0,COUNTIFS(Sites!$D$9:$D$108,C277,Sites!$Q$9:$Q$108,"&lt;&gt;Ready")&gt;0,'Scenario Paths'!$F$6&lt;&gt;"Ready"),"Review source inputs","Ready"))</x:f>
      </x:c>
      <x:c r="V277" s="17" t="str">
        <x:f>IF(C277="","",IFERROR(MAX(-1,(G277-O277)/MAX(0.000001,G277)),"Unavailable"))</x:f>
      </x:c>
      <x:c r="W277" s="9" t="str">
        <x:f>IF(C277="","",IFERROR(INDEX('Borrowers'!$D$9:$D$108,MATCH(C277,'Borrowers'!$C$9:$C$108,0)),"Unavailable"))</x:f>
      </x:c>
    </x:row>
    <x:row r="278" ht="26" customHeight="1">
      <x:c r="A278" s="1"/>
      <x:c r="B278" s="1"/>
      <x:c r="C278" s="9" t="str">
        <x:f>IF(Borrowers!C78="","",Borrowers!C78)</x:f>
      </x:c>
      <x:c r="D278" s="3" t="n">
        <x:v>3</x:v>
      </x:c>
      <x:c r="E278" s="9" t="n">
        <x:f>Settings!$F$18+2</x:f>
        <x:v>2029</x:v>
      </x:c>
      <x:c r="F278" s="9" t="str">
        <x:f>IF(C278="","",INDEX('Borrowers'!$F$9:$F$108,MATCH(C278,'Borrowers'!$C$9:$C$108,0)))</x:f>
      </x:c>
      <x:c r="G278" s="23" t="str">
        <x:f>IF(C278="","",IFERROR(INDEX('Borrowers'!$J$9:$J$108,MATCH(C278,'Borrowers'!$C$9:$C$108,0))-INDEX('Borrowers'!$K$9:$K$108,MATCH(C278,'Borrowers'!$C$9:$C$108,0)),"Unavailable"))</x:f>
      </x:c>
      <x:c r="H278" s="23" t="str">
        <x:f>IF(C278="","",IFERROR(INDEX('Borrowers'!$I$9:$I$108,MATCH(C278,'Borrowers'!$C$9:$C$108,0))*INDEX('Borrowers'!$U$9:$U$108,MATCH(C278,'Borrowers'!$C$9:$C$108,0))*(IF(F278="Transport",'Scenario Paths'!H156,IF(F278="Technology",'Scenario Paths'!H150,IF(F278="Utilities",'Scenario Paths'!H144,IF(F278="Agriculture",'Scenario Paths'!H138,IF(F278="Manufacturing",'Scenario Paths'!H132,IF(F278="Healthcare",'Scenario Paths'!H126,IF(F278="Hospitality",'Scenario Paths'!H120,IF(F278="Property",'Scenario Paths'!H114,IF(F278="Food",'Scenario Paths'!H108,IF(F278="Logistics",'Scenario Paths'!H102,IF(F278="Solar",'Scenario Paths'!H96,IF(F278="Cement",'Scenario Paths'!H90,0))))))))))))),"Unavailable"))</x:f>
      </x:c>
      <x:c r="I278" s="23" t="str">
        <x:f>IF(C278="","",IFERROR(INDEX('Borrowers'!$R$9:$R$108,MATCH(C278,'Borrowers'!$C$9:$C$108,0))*(1-INDEX('Borrowers'!$W$9:$W$108,MATCH(C278,'Borrowers'!$C$9:$C$108,0))*'Scenario Paths'!H39)*'Scenario Paths'!H9/1000000*(1-INDEX('Borrowers'!$T$9:$T$108,MATCH(C278,'Borrowers'!$C$9:$C$108,0))),"Unavailable"))</x:f>
      </x:c>
      <x:c r="J278" s="23" t="str">
        <x:f>IF(C278="","",IFERROR(INDEX('Borrowers'!$I$9:$I$108,MATCH(C278,'Borrowers'!$C$9:$C$108,0))*INDEX('Borrowers'!$S$9:$S$108,MATCH(C278,'Borrowers'!$C$9:$C$108,0))*'Scenario Paths'!H15*(1-INDEX('Borrowers'!$T$9:$T$108,MATCH(C278,'Borrowers'!$C$9:$C$108,0))),"Unavailable"))</x:f>
      </x:c>
      <x:c r="K278" s="23" t="str">
        <x:f>IF(C278="","",IFERROR(INDEX('Borrowers'!$I$9:$I$108,MATCH(C278,'Borrowers'!$C$9:$C$108,0))*INDEX('Borrowers'!$U$9:$U$108,MATCH(C278,'Borrowers'!$C$9:$C$108,0))*'Scenario Paths'!H21*S278,"Unavailable"))</x:f>
      </x:c>
      <x:c r="L278" s="23" t="str">
        <x:f>IF(C278="","",IFERROR(SUMPRODUCT((Sites!$D$9:$D$108=C278)*Sites!$H$9:$H$108*Sites!$J$9:$J$108*Sites!$K$9:$K$108*(1-Sites!$L$9:$L$108)*(1-Sites!$M$9:$M$108))*'Scenario Paths'!H27,"Unavailable"))</x:f>
      </x:c>
      <x:c r="M278" s="23" t="str">
        <x:f>IF(C278="","",IFERROR(INDEX('Borrowers'!$J$9:$J$108,MATCH(C278,'Borrowers'!$C$9:$C$108,0))+H278-SUM(I278:L278),"Unavailable"))</x:f>
      </x:c>
      <x:c r="N278" s="23" t="str">
        <x:f>IF(C278="","",IFERROR(INDEX('Borrowers'!$I$9:$I$108,MATCH(C278,'Borrowers'!$C$9:$C$108,0))*'Scenario Paths'!H33,"Unavailable"))</x:f>
      </x:c>
      <x:c r="O278" s="23" t="str">
        <x:f>IF(C278="","",IFERROR(M278-INDEX('Borrowers'!$K$9:$K$108,MATCH(C278,'Borrowers'!$C$9:$C$108,0))-N278,"Unavailable"))</x:f>
      </x:c>
      <x:c r="P278" s="127" t="str">
        <x:f>IF(C278="","",IFERROR(O278/INDEX('Borrowers'!$L$9:$L$108,MATCH(C278,'Borrowers'!$C$9:$C$108,0)),"Unavailable"))</x:f>
      </x:c>
      <x:c r="Q278" s="30" t="str">
        <x:f>IF(C278="","",IFERROR(IF(INDEX('Borrowers'!$Z$9:$Z$108,MATCH(C278,'Borrowers'!$C$9:$C$108,0))="Yes",1,IF(INDEX('Borrowers'!$P$9:$P$108,MATCH(C278,'Borrowers'!$C$9:$C$108,0))=0,0,MIN(1,INDEX('Borrowers'!$P$9:$P$108,MATCH(C278,'Borrowers'!$C$9:$C$108,0))*EXP(MIN(20,INDEX('Borrowers'!$V$9:$V$108,MATCH(C278,'Borrowers'!$C$9:$C$108,0))*V278))))),"Unavailable"))</x:f>
      </x:c>
      <x:c r="R278" s="30" t="str">
        <x:f>IF(C278="","",IFERROR(MIN(1,INDEX('Borrowers'!$Q$9:$Q$108,MATCH(C278,'Borrowers'!$C$9:$C$108,0))+(1-INDEX('Borrowers'!$Q$9:$Q$108,MATCH(C278,'Borrowers'!$C$9:$C$108,0)))*T278),"Unavailable"))</x:f>
      </x:c>
      <x:c r="S278" s="30" t="str">
        <x:f>IF(C278="","",IFERROR(SUMPRODUCT((Sites!$D$9:$D$108=C278)*Sites!$I$9:$I$108*Sites!$J$9:$J$108*Sites!$K$9:$K$108*(1-Sites!$L$9:$L$108)),"Unavailable"))</x:f>
      </x:c>
      <x:c r="T278" s="30" t="str">
        <x:f>IF(C278="","",IFERROR(MIN(1,(SUMPRODUCT((Sites!$D$9:$D$108=C278)*Sites!$N$9:$N$108*Sites!$J$9:$J$108*Sites!$K$9:$K$108*(1-Sites!$L$9:$L$108)))*'Scenario Paths'!H27),"Unavailable"))</x:f>
      </x:c>
      <x:c r="U278" s="9" t="str">
        <x:f>IF(C278="","",IF(OR(INDEX('Borrowers'!$AA$9:$AA$108,MATCH(C278,'Borrowers'!$C$9:$C$108,0))&lt;&gt;"Ready",COUNTIF(Sites!$D$9:$D$108,C278)=0,COUNTIFS(Sites!$D$9:$D$108,C278,Sites!$Q$9:$Q$108,"&lt;&gt;Ready")&gt;0,'Scenario Paths'!$F$6&lt;&gt;"Ready"),"Review source inputs","Ready"))</x:f>
      </x:c>
      <x:c r="V278" s="17" t="str">
        <x:f>IF(C278="","",IFERROR(MAX(-1,(G278-O278)/MAX(0.000001,G278)),"Unavailable"))</x:f>
      </x:c>
      <x:c r="W278" s="9" t="str">
        <x:f>IF(C278="","",IFERROR(INDEX('Borrowers'!$D$9:$D$108,MATCH(C278,'Borrowers'!$C$9:$C$108,0)),"Unavailable"))</x:f>
      </x:c>
    </x:row>
    <x:row r="279" ht="26" customHeight="1">
      <x:c r="A279" s="1"/>
      <x:c r="B279" s="1"/>
      <x:c r="C279" s="9" t="str">
        <x:f>IF(Borrowers!C79="","",Borrowers!C79)</x:f>
      </x:c>
      <x:c r="D279" s="3" t="n">
        <x:v>3</x:v>
      </x:c>
      <x:c r="E279" s="9" t="n">
        <x:f>Settings!$F$18+2</x:f>
        <x:v>2029</x:v>
      </x:c>
      <x:c r="F279" s="9" t="str">
        <x:f>IF(C279="","",INDEX('Borrowers'!$F$9:$F$108,MATCH(C279,'Borrowers'!$C$9:$C$108,0)))</x:f>
      </x:c>
      <x:c r="G279" s="23" t="str">
        <x:f>IF(C279="","",IFERROR(INDEX('Borrowers'!$J$9:$J$108,MATCH(C279,'Borrowers'!$C$9:$C$108,0))-INDEX('Borrowers'!$K$9:$K$108,MATCH(C279,'Borrowers'!$C$9:$C$108,0)),"Unavailable"))</x:f>
      </x:c>
      <x:c r="H279" s="23" t="str">
        <x:f>IF(C279="","",IFERROR(INDEX('Borrowers'!$I$9:$I$108,MATCH(C279,'Borrowers'!$C$9:$C$108,0))*INDEX('Borrowers'!$U$9:$U$108,MATCH(C279,'Borrowers'!$C$9:$C$108,0))*(IF(F279="Transport",'Scenario Paths'!H156,IF(F279="Technology",'Scenario Paths'!H150,IF(F279="Utilities",'Scenario Paths'!H144,IF(F279="Agriculture",'Scenario Paths'!H138,IF(F279="Manufacturing",'Scenario Paths'!H132,IF(F279="Healthcare",'Scenario Paths'!H126,IF(F279="Hospitality",'Scenario Paths'!H120,IF(F279="Property",'Scenario Paths'!H114,IF(F279="Food",'Scenario Paths'!H108,IF(F279="Logistics",'Scenario Paths'!H102,IF(F279="Solar",'Scenario Paths'!H96,IF(F279="Cement",'Scenario Paths'!H90,0))))))))))))),"Unavailable"))</x:f>
      </x:c>
      <x:c r="I279" s="23" t="str">
        <x:f>IF(C279="","",IFERROR(INDEX('Borrowers'!$R$9:$R$108,MATCH(C279,'Borrowers'!$C$9:$C$108,0))*(1-INDEX('Borrowers'!$W$9:$W$108,MATCH(C279,'Borrowers'!$C$9:$C$108,0))*'Scenario Paths'!H39)*'Scenario Paths'!H9/1000000*(1-INDEX('Borrowers'!$T$9:$T$108,MATCH(C279,'Borrowers'!$C$9:$C$108,0))),"Unavailable"))</x:f>
      </x:c>
      <x:c r="J279" s="23" t="str">
        <x:f>IF(C279="","",IFERROR(INDEX('Borrowers'!$I$9:$I$108,MATCH(C279,'Borrowers'!$C$9:$C$108,0))*INDEX('Borrowers'!$S$9:$S$108,MATCH(C279,'Borrowers'!$C$9:$C$108,0))*'Scenario Paths'!H15*(1-INDEX('Borrowers'!$T$9:$T$108,MATCH(C279,'Borrowers'!$C$9:$C$108,0))),"Unavailable"))</x:f>
      </x:c>
      <x:c r="K279" s="23" t="str">
        <x:f>IF(C279="","",IFERROR(INDEX('Borrowers'!$I$9:$I$108,MATCH(C279,'Borrowers'!$C$9:$C$108,0))*INDEX('Borrowers'!$U$9:$U$108,MATCH(C279,'Borrowers'!$C$9:$C$108,0))*'Scenario Paths'!H21*S279,"Unavailable"))</x:f>
      </x:c>
      <x:c r="L279" s="23" t="str">
        <x:f>IF(C279="","",IFERROR(SUMPRODUCT((Sites!$D$9:$D$108=C279)*Sites!$H$9:$H$108*Sites!$J$9:$J$108*Sites!$K$9:$K$108*(1-Sites!$L$9:$L$108)*(1-Sites!$M$9:$M$108))*'Scenario Paths'!H27,"Unavailable"))</x:f>
      </x:c>
      <x:c r="M279" s="23" t="str">
        <x:f>IF(C279="","",IFERROR(INDEX('Borrowers'!$J$9:$J$108,MATCH(C279,'Borrowers'!$C$9:$C$108,0))+H279-SUM(I279:L279),"Unavailable"))</x:f>
      </x:c>
      <x:c r="N279" s="23" t="str">
        <x:f>IF(C279="","",IFERROR(INDEX('Borrowers'!$I$9:$I$108,MATCH(C279,'Borrowers'!$C$9:$C$108,0))*'Scenario Paths'!H33,"Unavailable"))</x:f>
      </x:c>
      <x:c r="O279" s="23" t="str">
        <x:f>IF(C279="","",IFERROR(M279-INDEX('Borrowers'!$K$9:$K$108,MATCH(C279,'Borrowers'!$C$9:$C$108,0))-N279,"Unavailable"))</x:f>
      </x:c>
      <x:c r="P279" s="127" t="str">
        <x:f>IF(C279="","",IFERROR(O279/INDEX('Borrowers'!$L$9:$L$108,MATCH(C279,'Borrowers'!$C$9:$C$108,0)),"Unavailable"))</x:f>
      </x:c>
      <x:c r="Q279" s="30" t="str">
        <x:f>IF(C279="","",IFERROR(IF(INDEX('Borrowers'!$Z$9:$Z$108,MATCH(C279,'Borrowers'!$C$9:$C$108,0))="Yes",1,IF(INDEX('Borrowers'!$P$9:$P$108,MATCH(C279,'Borrowers'!$C$9:$C$108,0))=0,0,MIN(1,INDEX('Borrowers'!$P$9:$P$108,MATCH(C279,'Borrowers'!$C$9:$C$108,0))*EXP(MIN(20,INDEX('Borrowers'!$V$9:$V$108,MATCH(C279,'Borrowers'!$C$9:$C$108,0))*V279))))),"Unavailable"))</x:f>
      </x:c>
      <x:c r="R279" s="30" t="str">
        <x:f>IF(C279="","",IFERROR(MIN(1,INDEX('Borrowers'!$Q$9:$Q$108,MATCH(C279,'Borrowers'!$C$9:$C$108,0))+(1-INDEX('Borrowers'!$Q$9:$Q$108,MATCH(C279,'Borrowers'!$C$9:$C$108,0)))*T279),"Unavailable"))</x:f>
      </x:c>
      <x:c r="S279" s="30" t="str">
        <x:f>IF(C279="","",IFERROR(SUMPRODUCT((Sites!$D$9:$D$108=C279)*Sites!$I$9:$I$108*Sites!$J$9:$J$108*Sites!$K$9:$K$108*(1-Sites!$L$9:$L$108)),"Unavailable"))</x:f>
      </x:c>
      <x:c r="T279" s="30" t="str">
        <x:f>IF(C279="","",IFERROR(MIN(1,(SUMPRODUCT((Sites!$D$9:$D$108=C279)*Sites!$N$9:$N$108*Sites!$J$9:$J$108*Sites!$K$9:$K$108*(1-Sites!$L$9:$L$108)))*'Scenario Paths'!H27),"Unavailable"))</x:f>
      </x:c>
      <x:c r="U279" s="9" t="str">
        <x:f>IF(C279="","",IF(OR(INDEX('Borrowers'!$AA$9:$AA$108,MATCH(C279,'Borrowers'!$C$9:$C$108,0))&lt;&gt;"Ready",COUNTIF(Sites!$D$9:$D$108,C279)=0,COUNTIFS(Sites!$D$9:$D$108,C279,Sites!$Q$9:$Q$108,"&lt;&gt;Ready")&gt;0,'Scenario Paths'!$F$6&lt;&gt;"Ready"),"Review source inputs","Ready"))</x:f>
      </x:c>
      <x:c r="V279" s="17" t="str">
        <x:f>IF(C279="","",IFERROR(MAX(-1,(G279-O279)/MAX(0.000001,G279)),"Unavailable"))</x:f>
      </x:c>
      <x:c r="W279" s="9" t="str">
        <x:f>IF(C279="","",IFERROR(INDEX('Borrowers'!$D$9:$D$108,MATCH(C279,'Borrowers'!$C$9:$C$108,0)),"Unavailable"))</x:f>
      </x:c>
    </x:row>
    <x:row r="280" ht="26" customHeight="1">
      <x:c r="A280" s="1"/>
      <x:c r="B280" s="1"/>
      <x:c r="C280" s="9" t="str">
        <x:f>IF(Borrowers!C80="","",Borrowers!C80)</x:f>
      </x:c>
      <x:c r="D280" s="3" t="n">
        <x:v>3</x:v>
      </x:c>
      <x:c r="E280" s="9" t="n">
        <x:f>Settings!$F$18+2</x:f>
        <x:v>2029</x:v>
      </x:c>
      <x:c r="F280" s="9" t="str">
        <x:f>IF(C280="","",INDEX('Borrowers'!$F$9:$F$108,MATCH(C280,'Borrowers'!$C$9:$C$108,0)))</x:f>
      </x:c>
      <x:c r="G280" s="23" t="str">
        <x:f>IF(C280="","",IFERROR(INDEX('Borrowers'!$J$9:$J$108,MATCH(C280,'Borrowers'!$C$9:$C$108,0))-INDEX('Borrowers'!$K$9:$K$108,MATCH(C280,'Borrowers'!$C$9:$C$108,0)),"Unavailable"))</x:f>
      </x:c>
      <x:c r="H280" s="23" t="str">
        <x:f>IF(C280="","",IFERROR(INDEX('Borrowers'!$I$9:$I$108,MATCH(C280,'Borrowers'!$C$9:$C$108,0))*INDEX('Borrowers'!$U$9:$U$108,MATCH(C280,'Borrowers'!$C$9:$C$108,0))*(IF(F280="Transport",'Scenario Paths'!H156,IF(F280="Technology",'Scenario Paths'!H150,IF(F280="Utilities",'Scenario Paths'!H144,IF(F280="Agriculture",'Scenario Paths'!H138,IF(F280="Manufacturing",'Scenario Paths'!H132,IF(F280="Healthcare",'Scenario Paths'!H126,IF(F280="Hospitality",'Scenario Paths'!H120,IF(F280="Property",'Scenario Paths'!H114,IF(F280="Food",'Scenario Paths'!H108,IF(F280="Logistics",'Scenario Paths'!H102,IF(F280="Solar",'Scenario Paths'!H96,IF(F280="Cement",'Scenario Paths'!H90,0))))))))))))),"Unavailable"))</x:f>
      </x:c>
      <x:c r="I280" s="23" t="str">
        <x:f>IF(C280="","",IFERROR(INDEX('Borrowers'!$R$9:$R$108,MATCH(C280,'Borrowers'!$C$9:$C$108,0))*(1-INDEX('Borrowers'!$W$9:$W$108,MATCH(C280,'Borrowers'!$C$9:$C$108,0))*'Scenario Paths'!H39)*'Scenario Paths'!H9/1000000*(1-INDEX('Borrowers'!$T$9:$T$108,MATCH(C280,'Borrowers'!$C$9:$C$108,0))),"Unavailable"))</x:f>
      </x:c>
      <x:c r="J280" s="23" t="str">
        <x:f>IF(C280="","",IFERROR(INDEX('Borrowers'!$I$9:$I$108,MATCH(C280,'Borrowers'!$C$9:$C$108,0))*INDEX('Borrowers'!$S$9:$S$108,MATCH(C280,'Borrowers'!$C$9:$C$108,0))*'Scenario Paths'!H15*(1-INDEX('Borrowers'!$T$9:$T$108,MATCH(C280,'Borrowers'!$C$9:$C$108,0))),"Unavailable"))</x:f>
      </x:c>
      <x:c r="K280" s="23" t="str">
        <x:f>IF(C280="","",IFERROR(INDEX('Borrowers'!$I$9:$I$108,MATCH(C280,'Borrowers'!$C$9:$C$108,0))*INDEX('Borrowers'!$U$9:$U$108,MATCH(C280,'Borrowers'!$C$9:$C$108,0))*'Scenario Paths'!H21*S280,"Unavailable"))</x:f>
      </x:c>
      <x:c r="L280" s="23" t="str">
        <x:f>IF(C280="","",IFERROR(SUMPRODUCT((Sites!$D$9:$D$108=C280)*Sites!$H$9:$H$108*Sites!$J$9:$J$108*Sites!$K$9:$K$108*(1-Sites!$L$9:$L$108)*(1-Sites!$M$9:$M$108))*'Scenario Paths'!H27,"Unavailable"))</x:f>
      </x:c>
      <x:c r="M280" s="23" t="str">
        <x:f>IF(C280="","",IFERROR(INDEX('Borrowers'!$J$9:$J$108,MATCH(C280,'Borrowers'!$C$9:$C$108,0))+H280-SUM(I280:L280),"Unavailable"))</x:f>
      </x:c>
      <x:c r="N280" s="23" t="str">
        <x:f>IF(C280="","",IFERROR(INDEX('Borrowers'!$I$9:$I$108,MATCH(C280,'Borrowers'!$C$9:$C$108,0))*'Scenario Paths'!H33,"Unavailable"))</x:f>
      </x:c>
      <x:c r="O280" s="23" t="str">
        <x:f>IF(C280="","",IFERROR(M280-INDEX('Borrowers'!$K$9:$K$108,MATCH(C280,'Borrowers'!$C$9:$C$108,0))-N280,"Unavailable"))</x:f>
      </x:c>
      <x:c r="P280" s="127" t="str">
        <x:f>IF(C280="","",IFERROR(O280/INDEX('Borrowers'!$L$9:$L$108,MATCH(C280,'Borrowers'!$C$9:$C$108,0)),"Unavailable"))</x:f>
      </x:c>
      <x:c r="Q280" s="30" t="str">
        <x:f>IF(C280="","",IFERROR(IF(INDEX('Borrowers'!$Z$9:$Z$108,MATCH(C280,'Borrowers'!$C$9:$C$108,0))="Yes",1,IF(INDEX('Borrowers'!$P$9:$P$108,MATCH(C280,'Borrowers'!$C$9:$C$108,0))=0,0,MIN(1,INDEX('Borrowers'!$P$9:$P$108,MATCH(C280,'Borrowers'!$C$9:$C$108,0))*EXP(MIN(20,INDEX('Borrowers'!$V$9:$V$108,MATCH(C280,'Borrowers'!$C$9:$C$108,0))*V280))))),"Unavailable"))</x:f>
      </x:c>
      <x:c r="R280" s="30" t="str">
        <x:f>IF(C280="","",IFERROR(MIN(1,INDEX('Borrowers'!$Q$9:$Q$108,MATCH(C280,'Borrowers'!$C$9:$C$108,0))+(1-INDEX('Borrowers'!$Q$9:$Q$108,MATCH(C280,'Borrowers'!$C$9:$C$108,0)))*T280),"Unavailable"))</x:f>
      </x:c>
      <x:c r="S280" s="30" t="str">
        <x:f>IF(C280="","",IFERROR(SUMPRODUCT((Sites!$D$9:$D$108=C280)*Sites!$I$9:$I$108*Sites!$J$9:$J$108*Sites!$K$9:$K$108*(1-Sites!$L$9:$L$108)),"Unavailable"))</x:f>
      </x:c>
      <x:c r="T280" s="30" t="str">
        <x:f>IF(C280="","",IFERROR(MIN(1,(SUMPRODUCT((Sites!$D$9:$D$108=C280)*Sites!$N$9:$N$108*Sites!$J$9:$J$108*Sites!$K$9:$K$108*(1-Sites!$L$9:$L$108)))*'Scenario Paths'!H27),"Unavailable"))</x:f>
      </x:c>
      <x:c r="U280" s="9" t="str">
        <x:f>IF(C280="","",IF(OR(INDEX('Borrowers'!$AA$9:$AA$108,MATCH(C280,'Borrowers'!$C$9:$C$108,0))&lt;&gt;"Ready",COUNTIF(Sites!$D$9:$D$108,C280)=0,COUNTIFS(Sites!$D$9:$D$108,C280,Sites!$Q$9:$Q$108,"&lt;&gt;Ready")&gt;0,'Scenario Paths'!$F$6&lt;&gt;"Ready"),"Review source inputs","Ready"))</x:f>
      </x:c>
      <x:c r="V280" s="17" t="str">
        <x:f>IF(C280="","",IFERROR(MAX(-1,(G280-O280)/MAX(0.000001,G280)),"Unavailable"))</x:f>
      </x:c>
      <x:c r="W280" s="9" t="str">
        <x:f>IF(C280="","",IFERROR(INDEX('Borrowers'!$D$9:$D$108,MATCH(C280,'Borrowers'!$C$9:$C$108,0)),"Unavailable"))</x:f>
      </x:c>
    </x:row>
    <x:row r="281" ht="26" customHeight="1">
      <x:c r="A281" s="1"/>
      <x:c r="B281" s="1"/>
      <x:c r="C281" s="9" t="str">
        <x:f>IF(Borrowers!C81="","",Borrowers!C81)</x:f>
      </x:c>
      <x:c r="D281" s="3" t="n">
        <x:v>3</x:v>
      </x:c>
      <x:c r="E281" s="9" t="n">
        <x:f>Settings!$F$18+2</x:f>
        <x:v>2029</x:v>
      </x:c>
      <x:c r="F281" s="9" t="str">
        <x:f>IF(C281="","",INDEX('Borrowers'!$F$9:$F$108,MATCH(C281,'Borrowers'!$C$9:$C$108,0)))</x:f>
      </x:c>
      <x:c r="G281" s="23" t="str">
        <x:f>IF(C281="","",IFERROR(INDEX('Borrowers'!$J$9:$J$108,MATCH(C281,'Borrowers'!$C$9:$C$108,0))-INDEX('Borrowers'!$K$9:$K$108,MATCH(C281,'Borrowers'!$C$9:$C$108,0)),"Unavailable"))</x:f>
      </x:c>
      <x:c r="H281" s="23" t="str">
        <x:f>IF(C281="","",IFERROR(INDEX('Borrowers'!$I$9:$I$108,MATCH(C281,'Borrowers'!$C$9:$C$108,0))*INDEX('Borrowers'!$U$9:$U$108,MATCH(C281,'Borrowers'!$C$9:$C$108,0))*(IF(F281="Transport",'Scenario Paths'!H156,IF(F281="Technology",'Scenario Paths'!H150,IF(F281="Utilities",'Scenario Paths'!H144,IF(F281="Agriculture",'Scenario Paths'!H138,IF(F281="Manufacturing",'Scenario Paths'!H132,IF(F281="Healthcare",'Scenario Paths'!H126,IF(F281="Hospitality",'Scenario Paths'!H120,IF(F281="Property",'Scenario Paths'!H114,IF(F281="Food",'Scenario Paths'!H108,IF(F281="Logistics",'Scenario Paths'!H102,IF(F281="Solar",'Scenario Paths'!H96,IF(F281="Cement",'Scenario Paths'!H90,0))))))))))))),"Unavailable"))</x:f>
      </x:c>
      <x:c r="I281" s="23" t="str">
        <x:f>IF(C281="","",IFERROR(INDEX('Borrowers'!$R$9:$R$108,MATCH(C281,'Borrowers'!$C$9:$C$108,0))*(1-INDEX('Borrowers'!$W$9:$W$108,MATCH(C281,'Borrowers'!$C$9:$C$108,0))*'Scenario Paths'!H39)*'Scenario Paths'!H9/1000000*(1-INDEX('Borrowers'!$T$9:$T$108,MATCH(C281,'Borrowers'!$C$9:$C$108,0))),"Unavailable"))</x:f>
      </x:c>
      <x:c r="J281" s="23" t="str">
        <x:f>IF(C281="","",IFERROR(INDEX('Borrowers'!$I$9:$I$108,MATCH(C281,'Borrowers'!$C$9:$C$108,0))*INDEX('Borrowers'!$S$9:$S$108,MATCH(C281,'Borrowers'!$C$9:$C$108,0))*'Scenario Paths'!H15*(1-INDEX('Borrowers'!$T$9:$T$108,MATCH(C281,'Borrowers'!$C$9:$C$108,0))),"Unavailable"))</x:f>
      </x:c>
      <x:c r="K281" s="23" t="str">
        <x:f>IF(C281="","",IFERROR(INDEX('Borrowers'!$I$9:$I$108,MATCH(C281,'Borrowers'!$C$9:$C$108,0))*INDEX('Borrowers'!$U$9:$U$108,MATCH(C281,'Borrowers'!$C$9:$C$108,0))*'Scenario Paths'!H21*S281,"Unavailable"))</x:f>
      </x:c>
      <x:c r="L281" s="23" t="str">
        <x:f>IF(C281="","",IFERROR(SUMPRODUCT((Sites!$D$9:$D$108=C281)*Sites!$H$9:$H$108*Sites!$J$9:$J$108*Sites!$K$9:$K$108*(1-Sites!$L$9:$L$108)*(1-Sites!$M$9:$M$108))*'Scenario Paths'!H27,"Unavailable"))</x:f>
      </x:c>
      <x:c r="M281" s="23" t="str">
        <x:f>IF(C281="","",IFERROR(INDEX('Borrowers'!$J$9:$J$108,MATCH(C281,'Borrowers'!$C$9:$C$108,0))+H281-SUM(I281:L281),"Unavailable"))</x:f>
      </x:c>
      <x:c r="N281" s="23" t="str">
        <x:f>IF(C281="","",IFERROR(INDEX('Borrowers'!$I$9:$I$108,MATCH(C281,'Borrowers'!$C$9:$C$108,0))*'Scenario Paths'!H33,"Unavailable"))</x:f>
      </x:c>
      <x:c r="O281" s="23" t="str">
        <x:f>IF(C281="","",IFERROR(M281-INDEX('Borrowers'!$K$9:$K$108,MATCH(C281,'Borrowers'!$C$9:$C$108,0))-N281,"Unavailable"))</x:f>
      </x:c>
      <x:c r="P281" s="127" t="str">
        <x:f>IF(C281="","",IFERROR(O281/INDEX('Borrowers'!$L$9:$L$108,MATCH(C281,'Borrowers'!$C$9:$C$108,0)),"Unavailable"))</x:f>
      </x:c>
      <x:c r="Q281" s="30" t="str">
        <x:f>IF(C281="","",IFERROR(IF(INDEX('Borrowers'!$Z$9:$Z$108,MATCH(C281,'Borrowers'!$C$9:$C$108,0))="Yes",1,IF(INDEX('Borrowers'!$P$9:$P$108,MATCH(C281,'Borrowers'!$C$9:$C$108,0))=0,0,MIN(1,INDEX('Borrowers'!$P$9:$P$108,MATCH(C281,'Borrowers'!$C$9:$C$108,0))*EXP(MIN(20,INDEX('Borrowers'!$V$9:$V$108,MATCH(C281,'Borrowers'!$C$9:$C$108,0))*V281))))),"Unavailable"))</x:f>
      </x:c>
      <x:c r="R281" s="30" t="str">
        <x:f>IF(C281="","",IFERROR(MIN(1,INDEX('Borrowers'!$Q$9:$Q$108,MATCH(C281,'Borrowers'!$C$9:$C$108,0))+(1-INDEX('Borrowers'!$Q$9:$Q$108,MATCH(C281,'Borrowers'!$C$9:$C$108,0)))*T281),"Unavailable"))</x:f>
      </x:c>
      <x:c r="S281" s="30" t="str">
        <x:f>IF(C281="","",IFERROR(SUMPRODUCT((Sites!$D$9:$D$108=C281)*Sites!$I$9:$I$108*Sites!$J$9:$J$108*Sites!$K$9:$K$108*(1-Sites!$L$9:$L$108)),"Unavailable"))</x:f>
      </x:c>
      <x:c r="T281" s="30" t="str">
        <x:f>IF(C281="","",IFERROR(MIN(1,(SUMPRODUCT((Sites!$D$9:$D$108=C281)*Sites!$N$9:$N$108*Sites!$J$9:$J$108*Sites!$K$9:$K$108*(1-Sites!$L$9:$L$108)))*'Scenario Paths'!H27),"Unavailable"))</x:f>
      </x:c>
      <x:c r="U281" s="9" t="str">
        <x:f>IF(C281="","",IF(OR(INDEX('Borrowers'!$AA$9:$AA$108,MATCH(C281,'Borrowers'!$C$9:$C$108,0))&lt;&gt;"Ready",COUNTIF(Sites!$D$9:$D$108,C281)=0,COUNTIFS(Sites!$D$9:$D$108,C281,Sites!$Q$9:$Q$108,"&lt;&gt;Ready")&gt;0,'Scenario Paths'!$F$6&lt;&gt;"Ready"),"Review source inputs","Ready"))</x:f>
      </x:c>
      <x:c r="V281" s="17" t="str">
        <x:f>IF(C281="","",IFERROR(MAX(-1,(G281-O281)/MAX(0.000001,G281)),"Unavailable"))</x:f>
      </x:c>
      <x:c r="W281" s="9" t="str">
        <x:f>IF(C281="","",IFERROR(INDEX('Borrowers'!$D$9:$D$108,MATCH(C281,'Borrowers'!$C$9:$C$108,0)),"Unavailable"))</x:f>
      </x:c>
    </x:row>
    <x:row r="282" ht="26" customHeight="1">
      <x:c r="A282" s="1"/>
      <x:c r="B282" s="1"/>
      <x:c r="C282" s="9" t="str">
        <x:f>IF(Borrowers!C82="","",Borrowers!C82)</x:f>
      </x:c>
      <x:c r="D282" s="3" t="n">
        <x:v>3</x:v>
      </x:c>
      <x:c r="E282" s="9" t="n">
        <x:f>Settings!$F$18+2</x:f>
        <x:v>2029</x:v>
      </x:c>
      <x:c r="F282" s="9" t="str">
        <x:f>IF(C282="","",INDEX('Borrowers'!$F$9:$F$108,MATCH(C282,'Borrowers'!$C$9:$C$108,0)))</x:f>
      </x:c>
      <x:c r="G282" s="23" t="str">
        <x:f>IF(C282="","",IFERROR(INDEX('Borrowers'!$J$9:$J$108,MATCH(C282,'Borrowers'!$C$9:$C$108,0))-INDEX('Borrowers'!$K$9:$K$108,MATCH(C282,'Borrowers'!$C$9:$C$108,0)),"Unavailable"))</x:f>
      </x:c>
      <x:c r="H282" s="23" t="str">
        <x:f>IF(C282="","",IFERROR(INDEX('Borrowers'!$I$9:$I$108,MATCH(C282,'Borrowers'!$C$9:$C$108,0))*INDEX('Borrowers'!$U$9:$U$108,MATCH(C282,'Borrowers'!$C$9:$C$108,0))*(IF(F282="Transport",'Scenario Paths'!H156,IF(F282="Technology",'Scenario Paths'!H150,IF(F282="Utilities",'Scenario Paths'!H144,IF(F282="Agriculture",'Scenario Paths'!H138,IF(F282="Manufacturing",'Scenario Paths'!H132,IF(F282="Healthcare",'Scenario Paths'!H126,IF(F282="Hospitality",'Scenario Paths'!H120,IF(F282="Property",'Scenario Paths'!H114,IF(F282="Food",'Scenario Paths'!H108,IF(F282="Logistics",'Scenario Paths'!H102,IF(F282="Solar",'Scenario Paths'!H96,IF(F282="Cement",'Scenario Paths'!H90,0))))))))))))),"Unavailable"))</x:f>
      </x:c>
      <x:c r="I282" s="23" t="str">
        <x:f>IF(C282="","",IFERROR(INDEX('Borrowers'!$R$9:$R$108,MATCH(C282,'Borrowers'!$C$9:$C$108,0))*(1-INDEX('Borrowers'!$W$9:$W$108,MATCH(C282,'Borrowers'!$C$9:$C$108,0))*'Scenario Paths'!H39)*'Scenario Paths'!H9/1000000*(1-INDEX('Borrowers'!$T$9:$T$108,MATCH(C282,'Borrowers'!$C$9:$C$108,0))),"Unavailable"))</x:f>
      </x:c>
      <x:c r="J282" s="23" t="str">
        <x:f>IF(C282="","",IFERROR(INDEX('Borrowers'!$I$9:$I$108,MATCH(C282,'Borrowers'!$C$9:$C$108,0))*INDEX('Borrowers'!$S$9:$S$108,MATCH(C282,'Borrowers'!$C$9:$C$108,0))*'Scenario Paths'!H15*(1-INDEX('Borrowers'!$T$9:$T$108,MATCH(C282,'Borrowers'!$C$9:$C$108,0))),"Unavailable"))</x:f>
      </x:c>
      <x:c r="K282" s="23" t="str">
        <x:f>IF(C282="","",IFERROR(INDEX('Borrowers'!$I$9:$I$108,MATCH(C282,'Borrowers'!$C$9:$C$108,0))*INDEX('Borrowers'!$U$9:$U$108,MATCH(C282,'Borrowers'!$C$9:$C$108,0))*'Scenario Paths'!H21*S282,"Unavailable"))</x:f>
      </x:c>
      <x:c r="L282" s="23" t="str">
        <x:f>IF(C282="","",IFERROR(SUMPRODUCT((Sites!$D$9:$D$108=C282)*Sites!$H$9:$H$108*Sites!$J$9:$J$108*Sites!$K$9:$K$108*(1-Sites!$L$9:$L$108)*(1-Sites!$M$9:$M$108))*'Scenario Paths'!H27,"Unavailable"))</x:f>
      </x:c>
      <x:c r="M282" s="23" t="str">
        <x:f>IF(C282="","",IFERROR(INDEX('Borrowers'!$J$9:$J$108,MATCH(C282,'Borrowers'!$C$9:$C$108,0))+H282-SUM(I282:L282),"Unavailable"))</x:f>
      </x:c>
      <x:c r="N282" s="23" t="str">
        <x:f>IF(C282="","",IFERROR(INDEX('Borrowers'!$I$9:$I$108,MATCH(C282,'Borrowers'!$C$9:$C$108,0))*'Scenario Paths'!H33,"Unavailable"))</x:f>
      </x:c>
      <x:c r="O282" s="23" t="str">
        <x:f>IF(C282="","",IFERROR(M282-INDEX('Borrowers'!$K$9:$K$108,MATCH(C282,'Borrowers'!$C$9:$C$108,0))-N282,"Unavailable"))</x:f>
      </x:c>
      <x:c r="P282" s="127" t="str">
        <x:f>IF(C282="","",IFERROR(O282/INDEX('Borrowers'!$L$9:$L$108,MATCH(C282,'Borrowers'!$C$9:$C$108,0)),"Unavailable"))</x:f>
      </x:c>
      <x:c r="Q282" s="30" t="str">
        <x:f>IF(C282="","",IFERROR(IF(INDEX('Borrowers'!$Z$9:$Z$108,MATCH(C282,'Borrowers'!$C$9:$C$108,0))="Yes",1,IF(INDEX('Borrowers'!$P$9:$P$108,MATCH(C282,'Borrowers'!$C$9:$C$108,0))=0,0,MIN(1,INDEX('Borrowers'!$P$9:$P$108,MATCH(C282,'Borrowers'!$C$9:$C$108,0))*EXP(MIN(20,INDEX('Borrowers'!$V$9:$V$108,MATCH(C282,'Borrowers'!$C$9:$C$108,0))*V282))))),"Unavailable"))</x:f>
      </x:c>
      <x:c r="R282" s="30" t="str">
        <x:f>IF(C282="","",IFERROR(MIN(1,INDEX('Borrowers'!$Q$9:$Q$108,MATCH(C282,'Borrowers'!$C$9:$C$108,0))+(1-INDEX('Borrowers'!$Q$9:$Q$108,MATCH(C282,'Borrowers'!$C$9:$C$108,0)))*T282),"Unavailable"))</x:f>
      </x:c>
      <x:c r="S282" s="30" t="str">
        <x:f>IF(C282="","",IFERROR(SUMPRODUCT((Sites!$D$9:$D$108=C282)*Sites!$I$9:$I$108*Sites!$J$9:$J$108*Sites!$K$9:$K$108*(1-Sites!$L$9:$L$108)),"Unavailable"))</x:f>
      </x:c>
      <x:c r="T282" s="30" t="str">
        <x:f>IF(C282="","",IFERROR(MIN(1,(SUMPRODUCT((Sites!$D$9:$D$108=C282)*Sites!$N$9:$N$108*Sites!$J$9:$J$108*Sites!$K$9:$K$108*(1-Sites!$L$9:$L$108)))*'Scenario Paths'!H27),"Unavailable"))</x:f>
      </x:c>
      <x:c r="U282" s="9" t="str">
        <x:f>IF(C282="","",IF(OR(INDEX('Borrowers'!$AA$9:$AA$108,MATCH(C282,'Borrowers'!$C$9:$C$108,0))&lt;&gt;"Ready",COUNTIF(Sites!$D$9:$D$108,C282)=0,COUNTIFS(Sites!$D$9:$D$108,C282,Sites!$Q$9:$Q$108,"&lt;&gt;Ready")&gt;0,'Scenario Paths'!$F$6&lt;&gt;"Ready"),"Review source inputs","Ready"))</x:f>
      </x:c>
      <x:c r="V282" s="17" t="str">
        <x:f>IF(C282="","",IFERROR(MAX(-1,(G282-O282)/MAX(0.000001,G282)),"Unavailable"))</x:f>
      </x:c>
      <x:c r="W282" s="9" t="str">
        <x:f>IF(C282="","",IFERROR(INDEX('Borrowers'!$D$9:$D$108,MATCH(C282,'Borrowers'!$C$9:$C$108,0)),"Unavailable"))</x:f>
      </x:c>
    </x:row>
    <x:row r="283" ht="26" customHeight="1">
      <x:c r="A283" s="1"/>
      <x:c r="B283" s="1"/>
      <x:c r="C283" s="9" t="str">
        <x:f>IF(Borrowers!C83="","",Borrowers!C83)</x:f>
      </x:c>
      <x:c r="D283" s="3" t="n">
        <x:v>3</x:v>
      </x:c>
      <x:c r="E283" s="9" t="n">
        <x:f>Settings!$F$18+2</x:f>
        <x:v>2029</x:v>
      </x:c>
      <x:c r="F283" s="9" t="str">
        <x:f>IF(C283="","",INDEX('Borrowers'!$F$9:$F$108,MATCH(C283,'Borrowers'!$C$9:$C$108,0)))</x:f>
      </x:c>
      <x:c r="G283" s="23" t="str">
        <x:f>IF(C283="","",IFERROR(INDEX('Borrowers'!$J$9:$J$108,MATCH(C283,'Borrowers'!$C$9:$C$108,0))-INDEX('Borrowers'!$K$9:$K$108,MATCH(C283,'Borrowers'!$C$9:$C$108,0)),"Unavailable"))</x:f>
      </x:c>
      <x:c r="H283" s="23" t="str">
        <x:f>IF(C283="","",IFERROR(INDEX('Borrowers'!$I$9:$I$108,MATCH(C283,'Borrowers'!$C$9:$C$108,0))*INDEX('Borrowers'!$U$9:$U$108,MATCH(C283,'Borrowers'!$C$9:$C$108,0))*(IF(F283="Transport",'Scenario Paths'!H156,IF(F283="Technology",'Scenario Paths'!H150,IF(F283="Utilities",'Scenario Paths'!H144,IF(F283="Agriculture",'Scenario Paths'!H138,IF(F283="Manufacturing",'Scenario Paths'!H132,IF(F283="Healthcare",'Scenario Paths'!H126,IF(F283="Hospitality",'Scenario Paths'!H120,IF(F283="Property",'Scenario Paths'!H114,IF(F283="Food",'Scenario Paths'!H108,IF(F283="Logistics",'Scenario Paths'!H102,IF(F283="Solar",'Scenario Paths'!H96,IF(F283="Cement",'Scenario Paths'!H90,0))))))))))))),"Unavailable"))</x:f>
      </x:c>
      <x:c r="I283" s="23" t="str">
        <x:f>IF(C283="","",IFERROR(INDEX('Borrowers'!$R$9:$R$108,MATCH(C283,'Borrowers'!$C$9:$C$108,0))*(1-INDEX('Borrowers'!$W$9:$W$108,MATCH(C283,'Borrowers'!$C$9:$C$108,0))*'Scenario Paths'!H39)*'Scenario Paths'!H9/1000000*(1-INDEX('Borrowers'!$T$9:$T$108,MATCH(C283,'Borrowers'!$C$9:$C$108,0))),"Unavailable"))</x:f>
      </x:c>
      <x:c r="J283" s="23" t="str">
        <x:f>IF(C283="","",IFERROR(INDEX('Borrowers'!$I$9:$I$108,MATCH(C283,'Borrowers'!$C$9:$C$108,0))*INDEX('Borrowers'!$S$9:$S$108,MATCH(C283,'Borrowers'!$C$9:$C$108,0))*'Scenario Paths'!H15*(1-INDEX('Borrowers'!$T$9:$T$108,MATCH(C283,'Borrowers'!$C$9:$C$108,0))),"Unavailable"))</x:f>
      </x:c>
      <x:c r="K283" s="23" t="str">
        <x:f>IF(C283="","",IFERROR(INDEX('Borrowers'!$I$9:$I$108,MATCH(C283,'Borrowers'!$C$9:$C$108,0))*INDEX('Borrowers'!$U$9:$U$108,MATCH(C283,'Borrowers'!$C$9:$C$108,0))*'Scenario Paths'!H21*S283,"Unavailable"))</x:f>
      </x:c>
      <x:c r="L283" s="23" t="str">
        <x:f>IF(C283="","",IFERROR(SUMPRODUCT((Sites!$D$9:$D$108=C283)*Sites!$H$9:$H$108*Sites!$J$9:$J$108*Sites!$K$9:$K$108*(1-Sites!$L$9:$L$108)*(1-Sites!$M$9:$M$108))*'Scenario Paths'!H27,"Unavailable"))</x:f>
      </x:c>
      <x:c r="M283" s="23" t="str">
        <x:f>IF(C283="","",IFERROR(INDEX('Borrowers'!$J$9:$J$108,MATCH(C283,'Borrowers'!$C$9:$C$108,0))+H283-SUM(I283:L283),"Unavailable"))</x:f>
      </x:c>
      <x:c r="N283" s="23" t="str">
        <x:f>IF(C283="","",IFERROR(INDEX('Borrowers'!$I$9:$I$108,MATCH(C283,'Borrowers'!$C$9:$C$108,0))*'Scenario Paths'!H33,"Unavailable"))</x:f>
      </x:c>
      <x:c r="O283" s="23" t="str">
        <x:f>IF(C283="","",IFERROR(M283-INDEX('Borrowers'!$K$9:$K$108,MATCH(C283,'Borrowers'!$C$9:$C$108,0))-N283,"Unavailable"))</x:f>
      </x:c>
      <x:c r="P283" s="127" t="str">
        <x:f>IF(C283="","",IFERROR(O283/INDEX('Borrowers'!$L$9:$L$108,MATCH(C283,'Borrowers'!$C$9:$C$108,0)),"Unavailable"))</x:f>
      </x:c>
      <x:c r="Q283" s="30" t="str">
        <x:f>IF(C283="","",IFERROR(IF(INDEX('Borrowers'!$Z$9:$Z$108,MATCH(C283,'Borrowers'!$C$9:$C$108,0))="Yes",1,IF(INDEX('Borrowers'!$P$9:$P$108,MATCH(C283,'Borrowers'!$C$9:$C$108,0))=0,0,MIN(1,INDEX('Borrowers'!$P$9:$P$108,MATCH(C283,'Borrowers'!$C$9:$C$108,0))*EXP(MIN(20,INDEX('Borrowers'!$V$9:$V$108,MATCH(C283,'Borrowers'!$C$9:$C$108,0))*V283))))),"Unavailable"))</x:f>
      </x:c>
      <x:c r="R283" s="30" t="str">
        <x:f>IF(C283="","",IFERROR(MIN(1,INDEX('Borrowers'!$Q$9:$Q$108,MATCH(C283,'Borrowers'!$C$9:$C$108,0))+(1-INDEX('Borrowers'!$Q$9:$Q$108,MATCH(C283,'Borrowers'!$C$9:$C$108,0)))*T283),"Unavailable"))</x:f>
      </x:c>
      <x:c r="S283" s="30" t="str">
        <x:f>IF(C283="","",IFERROR(SUMPRODUCT((Sites!$D$9:$D$108=C283)*Sites!$I$9:$I$108*Sites!$J$9:$J$108*Sites!$K$9:$K$108*(1-Sites!$L$9:$L$108)),"Unavailable"))</x:f>
      </x:c>
      <x:c r="T283" s="30" t="str">
        <x:f>IF(C283="","",IFERROR(MIN(1,(SUMPRODUCT((Sites!$D$9:$D$108=C283)*Sites!$N$9:$N$108*Sites!$J$9:$J$108*Sites!$K$9:$K$108*(1-Sites!$L$9:$L$108)))*'Scenario Paths'!H27),"Unavailable"))</x:f>
      </x:c>
      <x:c r="U283" s="9" t="str">
        <x:f>IF(C283="","",IF(OR(INDEX('Borrowers'!$AA$9:$AA$108,MATCH(C283,'Borrowers'!$C$9:$C$108,0))&lt;&gt;"Ready",COUNTIF(Sites!$D$9:$D$108,C283)=0,COUNTIFS(Sites!$D$9:$D$108,C283,Sites!$Q$9:$Q$108,"&lt;&gt;Ready")&gt;0,'Scenario Paths'!$F$6&lt;&gt;"Ready"),"Review source inputs","Ready"))</x:f>
      </x:c>
      <x:c r="V283" s="17" t="str">
        <x:f>IF(C283="","",IFERROR(MAX(-1,(G283-O283)/MAX(0.000001,G283)),"Unavailable"))</x:f>
      </x:c>
      <x:c r="W283" s="9" t="str">
        <x:f>IF(C283="","",IFERROR(INDEX('Borrowers'!$D$9:$D$108,MATCH(C283,'Borrowers'!$C$9:$C$108,0)),"Unavailable"))</x:f>
      </x:c>
    </x:row>
    <x:row r="284" ht="26" customHeight="1">
      <x:c r="A284" s="1"/>
      <x:c r="B284" s="1"/>
      <x:c r="C284" s="9" t="str">
        <x:f>IF(Borrowers!C84="","",Borrowers!C84)</x:f>
      </x:c>
      <x:c r="D284" s="3" t="n">
        <x:v>3</x:v>
      </x:c>
      <x:c r="E284" s="9" t="n">
        <x:f>Settings!$F$18+2</x:f>
        <x:v>2029</x:v>
      </x:c>
      <x:c r="F284" s="9" t="str">
        <x:f>IF(C284="","",INDEX('Borrowers'!$F$9:$F$108,MATCH(C284,'Borrowers'!$C$9:$C$108,0)))</x:f>
      </x:c>
      <x:c r="G284" s="23" t="str">
        <x:f>IF(C284="","",IFERROR(INDEX('Borrowers'!$J$9:$J$108,MATCH(C284,'Borrowers'!$C$9:$C$108,0))-INDEX('Borrowers'!$K$9:$K$108,MATCH(C284,'Borrowers'!$C$9:$C$108,0)),"Unavailable"))</x:f>
      </x:c>
      <x:c r="H284" s="23" t="str">
        <x:f>IF(C284="","",IFERROR(INDEX('Borrowers'!$I$9:$I$108,MATCH(C284,'Borrowers'!$C$9:$C$108,0))*INDEX('Borrowers'!$U$9:$U$108,MATCH(C284,'Borrowers'!$C$9:$C$108,0))*(IF(F284="Transport",'Scenario Paths'!H156,IF(F284="Technology",'Scenario Paths'!H150,IF(F284="Utilities",'Scenario Paths'!H144,IF(F284="Agriculture",'Scenario Paths'!H138,IF(F284="Manufacturing",'Scenario Paths'!H132,IF(F284="Healthcare",'Scenario Paths'!H126,IF(F284="Hospitality",'Scenario Paths'!H120,IF(F284="Property",'Scenario Paths'!H114,IF(F284="Food",'Scenario Paths'!H108,IF(F284="Logistics",'Scenario Paths'!H102,IF(F284="Solar",'Scenario Paths'!H96,IF(F284="Cement",'Scenario Paths'!H90,0))))))))))))),"Unavailable"))</x:f>
      </x:c>
      <x:c r="I284" s="23" t="str">
        <x:f>IF(C284="","",IFERROR(INDEX('Borrowers'!$R$9:$R$108,MATCH(C284,'Borrowers'!$C$9:$C$108,0))*(1-INDEX('Borrowers'!$W$9:$W$108,MATCH(C284,'Borrowers'!$C$9:$C$108,0))*'Scenario Paths'!H39)*'Scenario Paths'!H9/1000000*(1-INDEX('Borrowers'!$T$9:$T$108,MATCH(C284,'Borrowers'!$C$9:$C$108,0))),"Unavailable"))</x:f>
      </x:c>
      <x:c r="J284" s="23" t="str">
        <x:f>IF(C284="","",IFERROR(INDEX('Borrowers'!$I$9:$I$108,MATCH(C284,'Borrowers'!$C$9:$C$108,0))*INDEX('Borrowers'!$S$9:$S$108,MATCH(C284,'Borrowers'!$C$9:$C$108,0))*'Scenario Paths'!H15*(1-INDEX('Borrowers'!$T$9:$T$108,MATCH(C284,'Borrowers'!$C$9:$C$108,0))),"Unavailable"))</x:f>
      </x:c>
      <x:c r="K284" s="23" t="str">
        <x:f>IF(C284="","",IFERROR(INDEX('Borrowers'!$I$9:$I$108,MATCH(C284,'Borrowers'!$C$9:$C$108,0))*INDEX('Borrowers'!$U$9:$U$108,MATCH(C284,'Borrowers'!$C$9:$C$108,0))*'Scenario Paths'!H21*S284,"Unavailable"))</x:f>
      </x:c>
      <x:c r="L284" s="23" t="str">
        <x:f>IF(C284="","",IFERROR(SUMPRODUCT((Sites!$D$9:$D$108=C284)*Sites!$H$9:$H$108*Sites!$J$9:$J$108*Sites!$K$9:$K$108*(1-Sites!$L$9:$L$108)*(1-Sites!$M$9:$M$108))*'Scenario Paths'!H27,"Unavailable"))</x:f>
      </x:c>
      <x:c r="M284" s="23" t="str">
        <x:f>IF(C284="","",IFERROR(INDEX('Borrowers'!$J$9:$J$108,MATCH(C284,'Borrowers'!$C$9:$C$108,0))+H284-SUM(I284:L284),"Unavailable"))</x:f>
      </x:c>
      <x:c r="N284" s="23" t="str">
        <x:f>IF(C284="","",IFERROR(INDEX('Borrowers'!$I$9:$I$108,MATCH(C284,'Borrowers'!$C$9:$C$108,0))*'Scenario Paths'!H33,"Unavailable"))</x:f>
      </x:c>
      <x:c r="O284" s="23" t="str">
        <x:f>IF(C284="","",IFERROR(M284-INDEX('Borrowers'!$K$9:$K$108,MATCH(C284,'Borrowers'!$C$9:$C$108,0))-N284,"Unavailable"))</x:f>
      </x:c>
      <x:c r="P284" s="127" t="str">
        <x:f>IF(C284="","",IFERROR(O284/INDEX('Borrowers'!$L$9:$L$108,MATCH(C284,'Borrowers'!$C$9:$C$108,0)),"Unavailable"))</x:f>
      </x:c>
      <x:c r="Q284" s="30" t="str">
        <x:f>IF(C284="","",IFERROR(IF(INDEX('Borrowers'!$Z$9:$Z$108,MATCH(C284,'Borrowers'!$C$9:$C$108,0))="Yes",1,IF(INDEX('Borrowers'!$P$9:$P$108,MATCH(C284,'Borrowers'!$C$9:$C$108,0))=0,0,MIN(1,INDEX('Borrowers'!$P$9:$P$108,MATCH(C284,'Borrowers'!$C$9:$C$108,0))*EXP(MIN(20,INDEX('Borrowers'!$V$9:$V$108,MATCH(C284,'Borrowers'!$C$9:$C$108,0))*V284))))),"Unavailable"))</x:f>
      </x:c>
      <x:c r="R284" s="30" t="str">
        <x:f>IF(C284="","",IFERROR(MIN(1,INDEX('Borrowers'!$Q$9:$Q$108,MATCH(C284,'Borrowers'!$C$9:$C$108,0))+(1-INDEX('Borrowers'!$Q$9:$Q$108,MATCH(C284,'Borrowers'!$C$9:$C$108,0)))*T284),"Unavailable"))</x:f>
      </x:c>
      <x:c r="S284" s="30" t="str">
        <x:f>IF(C284="","",IFERROR(SUMPRODUCT((Sites!$D$9:$D$108=C284)*Sites!$I$9:$I$108*Sites!$J$9:$J$108*Sites!$K$9:$K$108*(1-Sites!$L$9:$L$108)),"Unavailable"))</x:f>
      </x:c>
      <x:c r="T284" s="30" t="str">
        <x:f>IF(C284="","",IFERROR(MIN(1,(SUMPRODUCT((Sites!$D$9:$D$108=C284)*Sites!$N$9:$N$108*Sites!$J$9:$J$108*Sites!$K$9:$K$108*(1-Sites!$L$9:$L$108)))*'Scenario Paths'!H27),"Unavailable"))</x:f>
      </x:c>
      <x:c r="U284" s="9" t="str">
        <x:f>IF(C284="","",IF(OR(INDEX('Borrowers'!$AA$9:$AA$108,MATCH(C284,'Borrowers'!$C$9:$C$108,0))&lt;&gt;"Ready",COUNTIF(Sites!$D$9:$D$108,C284)=0,COUNTIFS(Sites!$D$9:$D$108,C284,Sites!$Q$9:$Q$108,"&lt;&gt;Ready")&gt;0,'Scenario Paths'!$F$6&lt;&gt;"Ready"),"Review source inputs","Ready"))</x:f>
      </x:c>
      <x:c r="V284" s="17" t="str">
        <x:f>IF(C284="","",IFERROR(MAX(-1,(G284-O284)/MAX(0.000001,G284)),"Unavailable"))</x:f>
      </x:c>
      <x:c r="W284" s="9" t="str">
        <x:f>IF(C284="","",IFERROR(INDEX('Borrowers'!$D$9:$D$108,MATCH(C284,'Borrowers'!$C$9:$C$108,0)),"Unavailable"))</x:f>
      </x:c>
    </x:row>
    <x:row r="285" ht="26" customHeight="1">
      <x:c r="A285" s="1"/>
      <x:c r="B285" s="1"/>
      <x:c r="C285" s="9" t="str">
        <x:f>IF(Borrowers!C85="","",Borrowers!C85)</x:f>
      </x:c>
      <x:c r="D285" s="3" t="n">
        <x:v>3</x:v>
      </x:c>
      <x:c r="E285" s="9" t="n">
        <x:f>Settings!$F$18+2</x:f>
        <x:v>2029</x:v>
      </x:c>
      <x:c r="F285" s="9" t="str">
        <x:f>IF(C285="","",INDEX('Borrowers'!$F$9:$F$108,MATCH(C285,'Borrowers'!$C$9:$C$108,0)))</x:f>
      </x:c>
      <x:c r="G285" s="23" t="str">
        <x:f>IF(C285="","",IFERROR(INDEX('Borrowers'!$J$9:$J$108,MATCH(C285,'Borrowers'!$C$9:$C$108,0))-INDEX('Borrowers'!$K$9:$K$108,MATCH(C285,'Borrowers'!$C$9:$C$108,0)),"Unavailable"))</x:f>
      </x:c>
      <x:c r="H285" s="23" t="str">
        <x:f>IF(C285="","",IFERROR(INDEX('Borrowers'!$I$9:$I$108,MATCH(C285,'Borrowers'!$C$9:$C$108,0))*INDEX('Borrowers'!$U$9:$U$108,MATCH(C285,'Borrowers'!$C$9:$C$108,0))*(IF(F285="Transport",'Scenario Paths'!H156,IF(F285="Technology",'Scenario Paths'!H150,IF(F285="Utilities",'Scenario Paths'!H144,IF(F285="Agriculture",'Scenario Paths'!H138,IF(F285="Manufacturing",'Scenario Paths'!H132,IF(F285="Healthcare",'Scenario Paths'!H126,IF(F285="Hospitality",'Scenario Paths'!H120,IF(F285="Property",'Scenario Paths'!H114,IF(F285="Food",'Scenario Paths'!H108,IF(F285="Logistics",'Scenario Paths'!H102,IF(F285="Solar",'Scenario Paths'!H96,IF(F285="Cement",'Scenario Paths'!H90,0))))))))))))),"Unavailable"))</x:f>
      </x:c>
      <x:c r="I285" s="23" t="str">
        <x:f>IF(C285="","",IFERROR(INDEX('Borrowers'!$R$9:$R$108,MATCH(C285,'Borrowers'!$C$9:$C$108,0))*(1-INDEX('Borrowers'!$W$9:$W$108,MATCH(C285,'Borrowers'!$C$9:$C$108,0))*'Scenario Paths'!H39)*'Scenario Paths'!H9/1000000*(1-INDEX('Borrowers'!$T$9:$T$108,MATCH(C285,'Borrowers'!$C$9:$C$108,0))),"Unavailable"))</x:f>
      </x:c>
      <x:c r="J285" s="23" t="str">
        <x:f>IF(C285="","",IFERROR(INDEX('Borrowers'!$I$9:$I$108,MATCH(C285,'Borrowers'!$C$9:$C$108,0))*INDEX('Borrowers'!$S$9:$S$108,MATCH(C285,'Borrowers'!$C$9:$C$108,0))*'Scenario Paths'!H15*(1-INDEX('Borrowers'!$T$9:$T$108,MATCH(C285,'Borrowers'!$C$9:$C$108,0))),"Unavailable"))</x:f>
      </x:c>
      <x:c r="K285" s="23" t="str">
        <x:f>IF(C285="","",IFERROR(INDEX('Borrowers'!$I$9:$I$108,MATCH(C285,'Borrowers'!$C$9:$C$108,0))*INDEX('Borrowers'!$U$9:$U$108,MATCH(C285,'Borrowers'!$C$9:$C$108,0))*'Scenario Paths'!H21*S285,"Unavailable"))</x:f>
      </x:c>
      <x:c r="L285" s="23" t="str">
        <x:f>IF(C285="","",IFERROR(SUMPRODUCT((Sites!$D$9:$D$108=C285)*Sites!$H$9:$H$108*Sites!$J$9:$J$108*Sites!$K$9:$K$108*(1-Sites!$L$9:$L$108)*(1-Sites!$M$9:$M$108))*'Scenario Paths'!H27,"Unavailable"))</x:f>
      </x:c>
      <x:c r="M285" s="23" t="str">
        <x:f>IF(C285="","",IFERROR(INDEX('Borrowers'!$J$9:$J$108,MATCH(C285,'Borrowers'!$C$9:$C$108,0))+H285-SUM(I285:L285),"Unavailable"))</x:f>
      </x:c>
      <x:c r="N285" s="23" t="str">
        <x:f>IF(C285="","",IFERROR(INDEX('Borrowers'!$I$9:$I$108,MATCH(C285,'Borrowers'!$C$9:$C$108,0))*'Scenario Paths'!H33,"Unavailable"))</x:f>
      </x:c>
      <x:c r="O285" s="23" t="str">
        <x:f>IF(C285="","",IFERROR(M285-INDEX('Borrowers'!$K$9:$K$108,MATCH(C285,'Borrowers'!$C$9:$C$108,0))-N285,"Unavailable"))</x:f>
      </x:c>
      <x:c r="P285" s="127" t="str">
        <x:f>IF(C285="","",IFERROR(O285/INDEX('Borrowers'!$L$9:$L$108,MATCH(C285,'Borrowers'!$C$9:$C$108,0)),"Unavailable"))</x:f>
      </x:c>
      <x:c r="Q285" s="30" t="str">
        <x:f>IF(C285="","",IFERROR(IF(INDEX('Borrowers'!$Z$9:$Z$108,MATCH(C285,'Borrowers'!$C$9:$C$108,0))="Yes",1,IF(INDEX('Borrowers'!$P$9:$P$108,MATCH(C285,'Borrowers'!$C$9:$C$108,0))=0,0,MIN(1,INDEX('Borrowers'!$P$9:$P$108,MATCH(C285,'Borrowers'!$C$9:$C$108,0))*EXP(MIN(20,INDEX('Borrowers'!$V$9:$V$108,MATCH(C285,'Borrowers'!$C$9:$C$108,0))*V285))))),"Unavailable"))</x:f>
      </x:c>
      <x:c r="R285" s="30" t="str">
        <x:f>IF(C285="","",IFERROR(MIN(1,INDEX('Borrowers'!$Q$9:$Q$108,MATCH(C285,'Borrowers'!$C$9:$C$108,0))+(1-INDEX('Borrowers'!$Q$9:$Q$108,MATCH(C285,'Borrowers'!$C$9:$C$108,0)))*T285),"Unavailable"))</x:f>
      </x:c>
      <x:c r="S285" s="30" t="str">
        <x:f>IF(C285="","",IFERROR(SUMPRODUCT((Sites!$D$9:$D$108=C285)*Sites!$I$9:$I$108*Sites!$J$9:$J$108*Sites!$K$9:$K$108*(1-Sites!$L$9:$L$108)),"Unavailable"))</x:f>
      </x:c>
      <x:c r="T285" s="30" t="str">
        <x:f>IF(C285="","",IFERROR(MIN(1,(SUMPRODUCT((Sites!$D$9:$D$108=C285)*Sites!$N$9:$N$108*Sites!$J$9:$J$108*Sites!$K$9:$K$108*(1-Sites!$L$9:$L$108)))*'Scenario Paths'!H27),"Unavailable"))</x:f>
      </x:c>
      <x:c r="U285" s="9" t="str">
        <x:f>IF(C285="","",IF(OR(INDEX('Borrowers'!$AA$9:$AA$108,MATCH(C285,'Borrowers'!$C$9:$C$108,0))&lt;&gt;"Ready",COUNTIF(Sites!$D$9:$D$108,C285)=0,COUNTIFS(Sites!$D$9:$D$108,C285,Sites!$Q$9:$Q$108,"&lt;&gt;Ready")&gt;0,'Scenario Paths'!$F$6&lt;&gt;"Ready"),"Review source inputs","Ready"))</x:f>
      </x:c>
      <x:c r="V285" s="17" t="str">
        <x:f>IF(C285="","",IFERROR(MAX(-1,(G285-O285)/MAX(0.000001,G285)),"Unavailable"))</x:f>
      </x:c>
      <x:c r="W285" s="9" t="str">
        <x:f>IF(C285="","",IFERROR(INDEX('Borrowers'!$D$9:$D$108,MATCH(C285,'Borrowers'!$C$9:$C$108,0)),"Unavailable"))</x:f>
      </x:c>
    </x:row>
    <x:row r="286" ht="26" customHeight="1">
      <x:c r="A286" s="1"/>
      <x:c r="B286" s="1"/>
      <x:c r="C286" s="9" t="str">
        <x:f>IF(Borrowers!C86="","",Borrowers!C86)</x:f>
      </x:c>
      <x:c r="D286" s="3" t="n">
        <x:v>3</x:v>
      </x:c>
      <x:c r="E286" s="9" t="n">
        <x:f>Settings!$F$18+2</x:f>
        <x:v>2029</x:v>
      </x:c>
      <x:c r="F286" s="9" t="str">
        <x:f>IF(C286="","",INDEX('Borrowers'!$F$9:$F$108,MATCH(C286,'Borrowers'!$C$9:$C$108,0)))</x:f>
      </x:c>
      <x:c r="G286" s="23" t="str">
        <x:f>IF(C286="","",IFERROR(INDEX('Borrowers'!$J$9:$J$108,MATCH(C286,'Borrowers'!$C$9:$C$108,0))-INDEX('Borrowers'!$K$9:$K$108,MATCH(C286,'Borrowers'!$C$9:$C$108,0)),"Unavailable"))</x:f>
      </x:c>
      <x:c r="H286" s="23" t="str">
        <x:f>IF(C286="","",IFERROR(INDEX('Borrowers'!$I$9:$I$108,MATCH(C286,'Borrowers'!$C$9:$C$108,0))*INDEX('Borrowers'!$U$9:$U$108,MATCH(C286,'Borrowers'!$C$9:$C$108,0))*(IF(F286="Transport",'Scenario Paths'!H156,IF(F286="Technology",'Scenario Paths'!H150,IF(F286="Utilities",'Scenario Paths'!H144,IF(F286="Agriculture",'Scenario Paths'!H138,IF(F286="Manufacturing",'Scenario Paths'!H132,IF(F286="Healthcare",'Scenario Paths'!H126,IF(F286="Hospitality",'Scenario Paths'!H120,IF(F286="Property",'Scenario Paths'!H114,IF(F286="Food",'Scenario Paths'!H108,IF(F286="Logistics",'Scenario Paths'!H102,IF(F286="Solar",'Scenario Paths'!H96,IF(F286="Cement",'Scenario Paths'!H90,0))))))))))))),"Unavailable"))</x:f>
      </x:c>
      <x:c r="I286" s="23" t="str">
        <x:f>IF(C286="","",IFERROR(INDEX('Borrowers'!$R$9:$R$108,MATCH(C286,'Borrowers'!$C$9:$C$108,0))*(1-INDEX('Borrowers'!$W$9:$W$108,MATCH(C286,'Borrowers'!$C$9:$C$108,0))*'Scenario Paths'!H39)*'Scenario Paths'!H9/1000000*(1-INDEX('Borrowers'!$T$9:$T$108,MATCH(C286,'Borrowers'!$C$9:$C$108,0))),"Unavailable"))</x:f>
      </x:c>
      <x:c r="J286" s="23" t="str">
        <x:f>IF(C286="","",IFERROR(INDEX('Borrowers'!$I$9:$I$108,MATCH(C286,'Borrowers'!$C$9:$C$108,0))*INDEX('Borrowers'!$S$9:$S$108,MATCH(C286,'Borrowers'!$C$9:$C$108,0))*'Scenario Paths'!H15*(1-INDEX('Borrowers'!$T$9:$T$108,MATCH(C286,'Borrowers'!$C$9:$C$108,0))),"Unavailable"))</x:f>
      </x:c>
      <x:c r="K286" s="23" t="str">
        <x:f>IF(C286="","",IFERROR(INDEX('Borrowers'!$I$9:$I$108,MATCH(C286,'Borrowers'!$C$9:$C$108,0))*INDEX('Borrowers'!$U$9:$U$108,MATCH(C286,'Borrowers'!$C$9:$C$108,0))*'Scenario Paths'!H21*S286,"Unavailable"))</x:f>
      </x:c>
      <x:c r="L286" s="23" t="str">
        <x:f>IF(C286="","",IFERROR(SUMPRODUCT((Sites!$D$9:$D$108=C286)*Sites!$H$9:$H$108*Sites!$J$9:$J$108*Sites!$K$9:$K$108*(1-Sites!$L$9:$L$108)*(1-Sites!$M$9:$M$108))*'Scenario Paths'!H27,"Unavailable"))</x:f>
      </x:c>
      <x:c r="M286" s="23" t="str">
        <x:f>IF(C286="","",IFERROR(INDEX('Borrowers'!$J$9:$J$108,MATCH(C286,'Borrowers'!$C$9:$C$108,0))+H286-SUM(I286:L286),"Unavailable"))</x:f>
      </x:c>
      <x:c r="N286" s="23" t="str">
        <x:f>IF(C286="","",IFERROR(INDEX('Borrowers'!$I$9:$I$108,MATCH(C286,'Borrowers'!$C$9:$C$108,0))*'Scenario Paths'!H33,"Unavailable"))</x:f>
      </x:c>
      <x:c r="O286" s="23" t="str">
        <x:f>IF(C286="","",IFERROR(M286-INDEX('Borrowers'!$K$9:$K$108,MATCH(C286,'Borrowers'!$C$9:$C$108,0))-N286,"Unavailable"))</x:f>
      </x:c>
      <x:c r="P286" s="127" t="str">
        <x:f>IF(C286="","",IFERROR(O286/INDEX('Borrowers'!$L$9:$L$108,MATCH(C286,'Borrowers'!$C$9:$C$108,0)),"Unavailable"))</x:f>
      </x:c>
      <x:c r="Q286" s="30" t="str">
        <x:f>IF(C286="","",IFERROR(IF(INDEX('Borrowers'!$Z$9:$Z$108,MATCH(C286,'Borrowers'!$C$9:$C$108,0))="Yes",1,IF(INDEX('Borrowers'!$P$9:$P$108,MATCH(C286,'Borrowers'!$C$9:$C$108,0))=0,0,MIN(1,INDEX('Borrowers'!$P$9:$P$108,MATCH(C286,'Borrowers'!$C$9:$C$108,0))*EXP(MIN(20,INDEX('Borrowers'!$V$9:$V$108,MATCH(C286,'Borrowers'!$C$9:$C$108,0))*V286))))),"Unavailable"))</x:f>
      </x:c>
      <x:c r="R286" s="30" t="str">
        <x:f>IF(C286="","",IFERROR(MIN(1,INDEX('Borrowers'!$Q$9:$Q$108,MATCH(C286,'Borrowers'!$C$9:$C$108,0))+(1-INDEX('Borrowers'!$Q$9:$Q$108,MATCH(C286,'Borrowers'!$C$9:$C$108,0)))*T286),"Unavailable"))</x:f>
      </x:c>
      <x:c r="S286" s="30" t="str">
        <x:f>IF(C286="","",IFERROR(SUMPRODUCT((Sites!$D$9:$D$108=C286)*Sites!$I$9:$I$108*Sites!$J$9:$J$108*Sites!$K$9:$K$108*(1-Sites!$L$9:$L$108)),"Unavailable"))</x:f>
      </x:c>
      <x:c r="T286" s="30" t="str">
        <x:f>IF(C286="","",IFERROR(MIN(1,(SUMPRODUCT((Sites!$D$9:$D$108=C286)*Sites!$N$9:$N$108*Sites!$J$9:$J$108*Sites!$K$9:$K$108*(1-Sites!$L$9:$L$108)))*'Scenario Paths'!H27),"Unavailable"))</x:f>
      </x:c>
      <x:c r="U286" s="9" t="str">
        <x:f>IF(C286="","",IF(OR(INDEX('Borrowers'!$AA$9:$AA$108,MATCH(C286,'Borrowers'!$C$9:$C$108,0))&lt;&gt;"Ready",COUNTIF(Sites!$D$9:$D$108,C286)=0,COUNTIFS(Sites!$D$9:$D$108,C286,Sites!$Q$9:$Q$108,"&lt;&gt;Ready")&gt;0,'Scenario Paths'!$F$6&lt;&gt;"Ready"),"Review source inputs","Ready"))</x:f>
      </x:c>
      <x:c r="V286" s="17" t="str">
        <x:f>IF(C286="","",IFERROR(MAX(-1,(G286-O286)/MAX(0.000001,G286)),"Unavailable"))</x:f>
      </x:c>
      <x:c r="W286" s="9" t="str">
        <x:f>IF(C286="","",IFERROR(INDEX('Borrowers'!$D$9:$D$108,MATCH(C286,'Borrowers'!$C$9:$C$108,0)),"Unavailable"))</x:f>
      </x:c>
    </x:row>
    <x:row r="287" ht="26" customHeight="1">
      <x:c r="A287" s="1"/>
      <x:c r="B287" s="1"/>
      <x:c r="C287" s="9" t="str">
        <x:f>IF(Borrowers!C87="","",Borrowers!C87)</x:f>
      </x:c>
      <x:c r="D287" s="3" t="n">
        <x:v>3</x:v>
      </x:c>
      <x:c r="E287" s="9" t="n">
        <x:f>Settings!$F$18+2</x:f>
        <x:v>2029</x:v>
      </x:c>
      <x:c r="F287" s="9" t="str">
        <x:f>IF(C287="","",INDEX('Borrowers'!$F$9:$F$108,MATCH(C287,'Borrowers'!$C$9:$C$108,0)))</x:f>
      </x:c>
      <x:c r="G287" s="23" t="str">
        <x:f>IF(C287="","",IFERROR(INDEX('Borrowers'!$J$9:$J$108,MATCH(C287,'Borrowers'!$C$9:$C$108,0))-INDEX('Borrowers'!$K$9:$K$108,MATCH(C287,'Borrowers'!$C$9:$C$108,0)),"Unavailable"))</x:f>
      </x:c>
      <x:c r="H287" s="23" t="str">
        <x:f>IF(C287="","",IFERROR(INDEX('Borrowers'!$I$9:$I$108,MATCH(C287,'Borrowers'!$C$9:$C$108,0))*INDEX('Borrowers'!$U$9:$U$108,MATCH(C287,'Borrowers'!$C$9:$C$108,0))*(IF(F287="Transport",'Scenario Paths'!H156,IF(F287="Technology",'Scenario Paths'!H150,IF(F287="Utilities",'Scenario Paths'!H144,IF(F287="Agriculture",'Scenario Paths'!H138,IF(F287="Manufacturing",'Scenario Paths'!H132,IF(F287="Healthcare",'Scenario Paths'!H126,IF(F287="Hospitality",'Scenario Paths'!H120,IF(F287="Property",'Scenario Paths'!H114,IF(F287="Food",'Scenario Paths'!H108,IF(F287="Logistics",'Scenario Paths'!H102,IF(F287="Solar",'Scenario Paths'!H96,IF(F287="Cement",'Scenario Paths'!H90,0))))))))))))),"Unavailable"))</x:f>
      </x:c>
      <x:c r="I287" s="23" t="str">
        <x:f>IF(C287="","",IFERROR(INDEX('Borrowers'!$R$9:$R$108,MATCH(C287,'Borrowers'!$C$9:$C$108,0))*(1-INDEX('Borrowers'!$W$9:$W$108,MATCH(C287,'Borrowers'!$C$9:$C$108,0))*'Scenario Paths'!H39)*'Scenario Paths'!H9/1000000*(1-INDEX('Borrowers'!$T$9:$T$108,MATCH(C287,'Borrowers'!$C$9:$C$108,0))),"Unavailable"))</x:f>
      </x:c>
      <x:c r="J287" s="23" t="str">
        <x:f>IF(C287="","",IFERROR(INDEX('Borrowers'!$I$9:$I$108,MATCH(C287,'Borrowers'!$C$9:$C$108,0))*INDEX('Borrowers'!$S$9:$S$108,MATCH(C287,'Borrowers'!$C$9:$C$108,0))*'Scenario Paths'!H15*(1-INDEX('Borrowers'!$T$9:$T$108,MATCH(C287,'Borrowers'!$C$9:$C$108,0))),"Unavailable"))</x:f>
      </x:c>
      <x:c r="K287" s="23" t="str">
        <x:f>IF(C287="","",IFERROR(INDEX('Borrowers'!$I$9:$I$108,MATCH(C287,'Borrowers'!$C$9:$C$108,0))*INDEX('Borrowers'!$U$9:$U$108,MATCH(C287,'Borrowers'!$C$9:$C$108,0))*'Scenario Paths'!H21*S287,"Unavailable"))</x:f>
      </x:c>
      <x:c r="L287" s="23" t="str">
        <x:f>IF(C287="","",IFERROR(SUMPRODUCT((Sites!$D$9:$D$108=C287)*Sites!$H$9:$H$108*Sites!$J$9:$J$108*Sites!$K$9:$K$108*(1-Sites!$L$9:$L$108)*(1-Sites!$M$9:$M$108))*'Scenario Paths'!H27,"Unavailable"))</x:f>
      </x:c>
      <x:c r="M287" s="23" t="str">
        <x:f>IF(C287="","",IFERROR(INDEX('Borrowers'!$J$9:$J$108,MATCH(C287,'Borrowers'!$C$9:$C$108,0))+H287-SUM(I287:L287),"Unavailable"))</x:f>
      </x:c>
      <x:c r="N287" s="23" t="str">
        <x:f>IF(C287="","",IFERROR(INDEX('Borrowers'!$I$9:$I$108,MATCH(C287,'Borrowers'!$C$9:$C$108,0))*'Scenario Paths'!H33,"Unavailable"))</x:f>
      </x:c>
      <x:c r="O287" s="23" t="str">
        <x:f>IF(C287="","",IFERROR(M287-INDEX('Borrowers'!$K$9:$K$108,MATCH(C287,'Borrowers'!$C$9:$C$108,0))-N287,"Unavailable"))</x:f>
      </x:c>
      <x:c r="P287" s="127" t="str">
        <x:f>IF(C287="","",IFERROR(O287/INDEX('Borrowers'!$L$9:$L$108,MATCH(C287,'Borrowers'!$C$9:$C$108,0)),"Unavailable"))</x:f>
      </x:c>
      <x:c r="Q287" s="30" t="str">
        <x:f>IF(C287="","",IFERROR(IF(INDEX('Borrowers'!$Z$9:$Z$108,MATCH(C287,'Borrowers'!$C$9:$C$108,0))="Yes",1,IF(INDEX('Borrowers'!$P$9:$P$108,MATCH(C287,'Borrowers'!$C$9:$C$108,0))=0,0,MIN(1,INDEX('Borrowers'!$P$9:$P$108,MATCH(C287,'Borrowers'!$C$9:$C$108,0))*EXP(MIN(20,INDEX('Borrowers'!$V$9:$V$108,MATCH(C287,'Borrowers'!$C$9:$C$108,0))*V287))))),"Unavailable"))</x:f>
      </x:c>
      <x:c r="R287" s="30" t="str">
        <x:f>IF(C287="","",IFERROR(MIN(1,INDEX('Borrowers'!$Q$9:$Q$108,MATCH(C287,'Borrowers'!$C$9:$C$108,0))+(1-INDEX('Borrowers'!$Q$9:$Q$108,MATCH(C287,'Borrowers'!$C$9:$C$108,0)))*T287),"Unavailable"))</x:f>
      </x:c>
      <x:c r="S287" s="30" t="str">
        <x:f>IF(C287="","",IFERROR(SUMPRODUCT((Sites!$D$9:$D$108=C287)*Sites!$I$9:$I$108*Sites!$J$9:$J$108*Sites!$K$9:$K$108*(1-Sites!$L$9:$L$108)),"Unavailable"))</x:f>
      </x:c>
      <x:c r="T287" s="30" t="str">
        <x:f>IF(C287="","",IFERROR(MIN(1,(SUMPRODUCT((Sites!$D$9:$D$108=C287)*Sites!$N$9:$N$108*Sites!$J$9:$J$108*Sites!$K$9:$K$108*(1-Sites!$L$9:$L$108)))*'Scenario Paths'!H27),"Unavailable"))</x:f>
      </x:c>
      <x:c r="U287" s="9" t="str">
        <x:f>IF(C287="","",IF(OR(INDEX('Borrowers'!$AA$9:$AA$108,MATCH(C287,'Borrowers'!$C$9:$C$108,0))&lt;&gt;"Ready",COUNTIF(Sites!$D$9:$D$108,C287)=0,COUNTIFS(Sites!$D$9:$D$108,C287,Sites!$Q$9:$Q$108,"&lt;&gt;Ready")&gt;0,'Scenario Paths'!$F$6&lt;&gt;"Ready"),"Review source inputs","Ready"))</x:f>
      </x:c>
      <x:c r="V287" s="17" t="str">
        <x:f>IF(C287="","",IFERROR(MAX(-1,(G287-O287)/MAX(0.000001,G287)),"Unavailable"))</x:f>
      </x:c>
      <x:c r="W287" s="9" t="str">
        <x:f>IF(C287="","",IFERROR(INDEX('Borrowers'!$D$9:$D$108,MATCH(C287,'Borrowers'!$C$9:$C$108,0)),"Unavailable"))</x:f>
      </x:c>
    </x:row>
    <x:row r="288" ht="26" customHeight="1">
      <x:c r="A288" s="1"/>
      <x:c r="B288" s="1"/>
      <x:c r="C288" s="9" t="str">
        <x:f>IF(Borrowers!C88="","",Borrowers!C88)</x:f>
      </x:c>
      <x:c r="D288" s="3" t="n">
        <x:v>3</x:v>
      </x:c>
      <x:c r="E288" s="9" t="n">
        <x:f>Settings!$F$18+2</x:f>
        <x:v>2029</x:v>
      </x:c>
      <x:c r="F288" s="9" t="str">
        <x:f>IF(C288="","",INDEX('Borrowers'!$F$9:$F$108,MATCH(C288,'Borrowers'!$C$9:$C$108,0)))</x:f>
      </x:c>
      <x:c r="G288" s="23" t="str">
        <x:f>IF(C288="","",IFERROR(INDEX('Borrowers'!$J$9:$J$108,MATCH(C288,'Borrowers'!$C$9:$C$108,0))-INDEX('Borrowers'!$K$9:$K$108,MATCH(C288,'Borrowers'!$C$9:$C$108,0)),"Unavailable"))</x:f>
      </x:c>
      <x:c r="H288" s="23" t="str">
        <x:f>IF(C288="","",IFERROR(INDEX('Borrowers'!$I$9:$I$108,MATCH(C288,'Borrowers'!$C$9:$C$108,0))*INDEX('Borrowers'!$U$9:$U$108,MATCH(C288,'Borrowers'!$C$9:$C$108,0))*(IF(F288="Transport",'Scenario Paths'!H156,IF(F288="Technology",'Scenario Paths'!H150,IF(F288="Utilities",'Scenario Paths'!H144,IF(F288="Agriculture",'Scenario Paths'!H138,IF(F288="Manufacturing",'Scenario Paths'!H132,IF(F288="Healthcare",'Scenario Paths'!H126,IF(F288="Hospitality",'Scenario Paths'!H120,IF(F288="Property",'Scenario Paths'!H114,IF(F288="Food",'Scenario Paths'!H108,IF(F288="Logistics",'Scenario Paths'!H102,IF(F288="Solar",'Scenario Paths'!H96,IF(F288="Cement",'Scenario Paths'!H90,0))))))))))))),"Unavailable"))</x:f>
      </x:c>
      <x:c r="I288" s="23" t="str">
        <x:f>IF(C288="","",IFERROR(INDEX('Borrowers'!$R$9:$R$108,MATCH(C288,'Borrowers'!$C$9:$C$108,0))*(1-INDEX('Borrowers'!$W$9:$W$108,MATCH(C288,'Borrowers'!$C$9:$C$108,0))*'Scenario Paths'!H39)*'Scenario Paths'!H9/1000000*(1-INDEX('Borrowers'!$T$9:$T$108,MATCH(C288,'Borrowers'!$C$9:$C$108,0))),"Unavailable"))</x:f>
      </x:c>
      <x:c r="J288" s="23" t="str">
        <x:f>IF(C288="","",IFERROR(INDEX('Borrowers'!$I$9:$I$108,MATCH(C288,'Borrowers'!$C$9:$C$108,0))*INDEX('Borrowers'!$S$9:$S$108,MATCH(C288,'Borrowers'!$C$9:$C$108,0))*'Scenario Paths'!H15*(1-INDEX('Borrowers'!$T$9:$T$108,MATCH(C288,'Borrowers'!$C$9:$C$108,0))),"Unavailable"))</x:f>
      </x:c>
      <x:c r="K288" s="23" t="str">
        <x:f>IF(C288="","",IFERROR(INDEX('Borrowers'!$I$9:$I$108,MATCH(C288,'Borrowers'!$C$9:$C$108,0))*INDEX('Borrowers'!$U$9:$U$108,MATCH(C288,'Borrowers'!$C$9:$C$108,0))*'Scenario Paths'!H21*S288,"Unavailable"))</x:f>
      </x:c>
      <x:c r="L288" s="23" t="str">
        <x:f>IF(C288="","",IFERROR(SUMPRODUCT((Sites!$D$9:$D$108=C288)*Sites!$H$9:$H$108*Sites!$J$9:$J$108*Sites!$K$9:$K$108*(1-Sites!$L$9:$L$108)*(1-Sites!$M$9:$M$108))*'Scenario Paths'!H27,"Unavailable"))</x:f>
      </x:c>
      <x:c r="M288" s="23" t="str">
        <x:f>IF(C288="","",IFERROR(INDEX('Borrowers'!$J$9:$J$108,MATCH(C288,'Borrowers'!$C$9:$C$108,0))+H288-SUM(I288:L288),"Unavailable"))</x:f>
      </x:c>
      <x:c r="N288" s="23" t="str">
        <x:f>IF(C288="","",IFERROR(INDEX('Borrowers'!$I$9:$I$108,MATCH(C288,'Borrowers'!$C$9:$C$108,0))*'Scenario Paths'!H33,"Unavailable"))</x:f>
      </x:c>
      <x:c r="O288" s="23" t="str">
        <x:f>IF(C288="","",IFERROR(M288-INDEX('Borrowers'!$K$9:$K$108,MATCH(C288,'Borrowers'!$C$9:$C$108,0))-N288,"Unavailable"))</x:f>
      </x:c>
      <x:c r="P288" s="127" t="str">
        <x:f>IF(C288="","",IFERROR(O288/INDEX('Borrowers'!$L$9:$L$108,MATCH(C288,'Borrowers'!$C$9:$C$108,0)),"Unavailable"))</x:f>
      </x:c>
      <x:c r="Q288" s="30" t="str">
        <x:f>IF(C288="","",IFERROR(IF(INDEX('Borrowers'!$Z$9:$Z$108,MATCH(C288,'Borrowers'!$C$9:$C$108,0))="Yes",1,IF(INDEX('Borrowers'!$P$9:$P$108,MATCH(C288,'Borrowers'!$C$9:$C$108,0))=0,0,MIN(1,INDEX('Borrowers'!$P$9:$P$108,MATCH(C288,'Borrowers'!$C$9:$C$108,0))*EXP(MIN(20,INDEX('Borrowers'!$V$9:$V$108,MATCH(C288,'Borrowers'!$C$9:$C$108,0))*V288))))),"Unavailable"))</x:f>
      </x:c>
      <x:c r="R288" s="30" t="str">
        <x:f>IF(C288="","",IFERROR(MIN(1,INDEX('Borrowers'!$Q$9:$Q$108,MATCH(C288,'Borrowers'!$C$9:$C$108,0))+(1-INDEX('Borrowers'!$Q$9:$Q$108,MATCH(C288,'Borrowers'!$C$9:$C$108,0)))*T288),"Unavailable"))</x:f>
      </x:c>
      <x:c r="S288" s="30" t="str">
        <x:f>IF(C288="","",IFERROR(SUMPRODUCT((Sites!$D$9:$D$108=C288)*Sites!$I$9:$I$108*Sites!$J$9:$J$108*Sites!$K$9:$K$108*(1-Sites!$L$9:$L$108)),"Unavailable"))</x:f>
      </x:c>
      <x:c r="T288" s="30" t="str">
        <x:f>IF(C288="","",IFERROR(MIN(1,(SUMPRODUCT((Sites!$D$9:$D$108=C288)*Sites!$N$9:$N$108*Sites!$J$9:$J$108*Sites!$K$9:$K$108*(1-Sites!$L$9:$L$108)))*'Scenario Paths'!H27),"Unavailable"))</x:f>
      </x:c>
      <x:c r="U288" s="9" t="str">
        <x:f>IF(C288="","",IF(OR(INDEX('Borrowers'!$AA$9:$AA$108,MATCH(C288,'Borrowers'!$C$9:$C$108,0))&lt;&gt;"Ready",COUNTIF(Sites!$D$9:$D$108,C288)=0,COUNTIFS(Sites!$D$9:$D$108,C288,Sites!$Q$9:$Q$108,"&lt;&gt;Ready")&gt;0,'Scenario Paths'!$F$6&lt;&gt;"Ready"),"Review source inputs","Ready"))</x:f>
      </x:c>
      <x:c r="V288" s="17" t="str">
        <x:f>IF(C288="","",IFERROR(MAX(-1,(G288-O288)/MAX(0.000001,G288)),"Unavailable"))</x:f>
      </x:c>
      <x:c r="W288" s="9" t="str">
        <x:f>IF(C288="","",IFERROR(INDEX('Borrowers'!$D$9:$D$108,MATCH(C288,'Borrowers'!$C$9:$C$108,0)),"Unavailable"))</x:f>
      </x:c>
    </x:row>
    <x:row r="289" ht="26" customHeight="1">
      <x:c r="A289" s="1"/>
      <x:c r="B289" s="1"/>
      <x:c r="C289" s="9" t="str">
        <x:f>IF(Borrowers!C89="","",Borrowers!C89)</x:f>
      </x:c>
      <x:c r="D289" s="3" t="n">
        <x:v>3</x:v>
      </x:c>
      <x:c r="E289" s="9" t="n">
        <x:f>Settings!$F$18+2</x:f>
        <x:v>2029</x:v>
      </x:c>
      <x:c r="F289" s="9" t="str">
        <x:f>IF(C289="","",INDEX('Borrowers'!$F$9:$F$108,MATCH(C289,'Borrowers'!$C$9:$C$108,0)))</x:f>
      </x:c>
      <x:c r="G289" s="23" t="str">
        <x:f>IF(C289="","",IFERROR(INDEX('Borrowers'!$J$9:$J$108,MATCH(C289,'Borrowers'!$C$9:$C$108,0))-INDEX('Borrowers'!$K$9:$K$108,MATCH(C289,'Borrowers'!$C$9:$C$108,0)),"Unavailable"))</x:f>
      </x:c>
      <x:c r="H289" s="23" t="str">
        <x:f>IF(C289="","",IFERROR(INDEX('Borrowers'!$I$9:$I$108,MATCH(C289,'Borrowers'!$C$9:$C$108,0))*INDEX('Borrowers'!$U$9:$U$108,MATCH(C289,'Borrowers'!$C$9:$C$108,0))*(IF(F289="Transport",'Scenario Paths'!H156,IF(F289="Technology",'Scenario Paths'!H150,IF(F289="Utilities",'Scenario Paths'!H144,IF(F289="Agriculture",'Scenario Paths'!H138,IF(F289="Manufacturing",'Scenario Paths'!H132,IF(F289="Healthcare",'Scenario Paths'!H126,IF(F289="Hospitality",'Scenario Paths'!H120,IF(F289="Property",'Scenario Paths'!H114,IF(F289="Food",'Scenario Paths'!H108,IF(F289="Logistics",'Scenario Paths'!H102,IF(F289="Solar",'Scenario Paths'!H96,IF(F289="Cement",'Scenario Paths'!H90,0))))))))))))),"Unavailable"))</x:f>
      </x:c>
      <x:c r="I289" s="23" t="str">
        <x:f>IF(C289="","",IFERROR(INDEX('Borrowers'!$R$9:$R$108,MATCH(C289,'Borrowers'!$C$9:$C$108,0))*(1-INDEX('Borrowers'!$W$9:$W$108,MATCH(C289,'Borrowers'!$C$9:$C$108,0))*'Scenario Paths'!H39)*'Scenario Paths'!H9/1000000*(1-INDEX('Borrowers'!$T$9:$T$108,MATCH(C289,'Borrowers'!$C$9:$C$108,0))),"Unavailable"))</x:f>
      </x:c>
      <x:c r="J289" s="23" t="str">
        <x:f>IF(C289="","",IFERROR(INDEX('Borrowers'!$I$9:$I$108,MATCH(C289,'Borrowers'!$C$9:$C$108,0))*INDEX('Borrowers'!$S$9:$S$108,MATCH(C289,'Borrowers'!$C$9:$C$108,0))*'Scenario Paths'!H15*(1-INDEX('Borrowers'!$T$9:$T$108,MATCH(C289,'Borrowers'!$C$9:$C$108,0))),"Unavailable"))</x:f>
      </x:c>
      <x:c r="K289" s="23" t="str">
        <x:f>IF(C289="","",IFERROR(INDEX('Borrowers'!$I$9:$I$108,MATCH(C289,'Borrowers'!$C$9:$C$108,0))*INDEX('Borrowers'!$U$9:$U$108,MATCH(C289,'Borrowers'!$C$9:$C$108,0))*'Scenario Paths'!H21*S289,"Unavailable"))</x:f>
      </x:c>
      <x:c r="L289" s="23" t="str">
        <x:f>IF(C289="","",IFERROR(SUMPRODUCT((Sites!$D$9:$D$108=C289)*Sites!$H$9:$H$108*Sites!$J$9:$J$108*Sites!$K$9:$K$108*(1-Sites!$L$9:$L$108)*(1-Sites!$M$9:$M$108))*'Scenario Paths'!H27,"Unavailable"))</x:f>
      </x:c>
      <x:c r="M289" s="23" t="str">
        <x:f>IF(C289="","",IFERROR(INDEX('Borrowers'!$J$9:$J$108,MATCH(C289,'Borrowers'!$C$9:$C$108,0))+H289-SUM(I289:L289),"Unavailable"))</x:f>
      </x:c>
      <x:c r="N289" s="23" t="str">
        <x:f>IF(C289="","",IFERROR(INDEX('Borrowers'!$I$9:$I$108,MATCH(C289,'Borrowers'!$C$9:$C$108,0))*'Scenario Paths'!H33,"Unavailable"))</x:f>
      </x:c>
      <x:c r="O289" s="23" t="str">
        <x:f>IF(C289="","",IFERROR(M289-INDEX('Borrowers'!$K$9:$K$108,MATCH(C289,'Borrowers'!$C$9:$C$108,0))-N289,"Unavailable"))</x:f>
      </x:c>
      <x:c r="P289" s="127" t="str">
        <x:f>IF(C289="","",IFERROR(O289/INDEX('Borrowers'!$L$9:$L$108,MATCH(C289,'Borrowers'!$C$9:$C$108,0)),"Unavailable"))</x:f>
      </x:c>
      <x:c r="Q289" s="30" t="str">
        <x:f>IF(C289="","",IFERROR(IF(INDEX('Borrowers'!$Z$9:$Z$108,MATCH(C289,'Borrowers'!$C$9:$C$108,0))="Yes",1,IF(INDEX('Borrowers'!$P$9:$P$108,MATCH(C289,'Borrowers'!$C$9:$C$108,0))=0,0,MIN(1,INDEX('Borrowers'!$P$9:$P$108,MATCH(C289,'Borrowers'!$C$9:$C$108,0))*EXP(MIN(20,INDEX('Borrowers'!$V$9:$V$108,MATCH(C289,'Borrowers'!$C$9:$C$108,0))*V289))))),"Unavailable"))</x:f>
      </x:c>
      <x:c r="R289" s="30" t="str">
        <x:f>IF(C289="","",IFERROR(MIN(1,INDEX('Borrowers'!$Q$9:$Q$108,MATCH(C289,'Borrowers'!$C$9:$C$108,0))+(1-INDEX('Borrowers'!$Q$9:$Q$108,MATCH(C289,'Borrowers'!$C$9:$C$108,0)))*T289),"Unavailable"))</x:f>
      </x:c>
      <x:c r="S289" s="30" t="str">
        <x:f>IF(C289="","",IFERROR(SUMPRODUCT((Sites!$D$9:$D$108=C289)*Sites!$I$9:$I$108*Sites!$J$9:$J$108*Sites!$K$9:$K$108*(1-Sites!$L$9:$L$108)),"Unavailable"))</x:f>
      </x:c>
      <x:c r="T289" s="30" t="str">
        <x:f>IF(C289="","",IFERROR(MIN(1,(SUMPRODUCT((Sites!$D$9:$D$108=C289)*Sites!$N$9:$N$108*Sites!$J$9:$J$108*Sites!$K$9:$K$108*(1-Sites!$L$9:$L$108)))*'Scenario Paths'!H27),"Unavailable"))</x:f>
      </x:c>
      <x:c r="U289" s="9" t="str">
        <x:f>IF(C289="","",IF(OR(INDEX('Borrowers'!$AA$9:$AA$108,MATCH(C289,'Borrowers'!$C$9:$C$108,0))&lt;&gt;"Ready",COUNTIF(Sites!$D$9:$D$108,C289)=0,COUNTIFS(Sites!$D$9:$D$108,C289,Sites!$Q$9:$Q$108,"&lt;&gt;Ready")&gt;0,'Scenario Paths'!$F$6&lt;&gt;"Ready"),"Review source inputs","Ready"))</x:f>
      </x:c>
      <x:c r="V289" s="17" t="str">
        <x:f>IF(C289="","",IFERROR(MAX(-1,(G289-O289)/MAX(0.000001,G289)),"Unavailable"))</x:f>
      </x:c>
      <x:c r="W289" s="9" t="str">
        <x:f>IF(C289="","",IFERROR(INDEX('Borrowers'!$D$9:$D$108,MATCH(C289,'Borrowers'!$C$9:$C$108,0)),"Unavailable"))</x:f>
      </x:c>
    </x:row>
    <x:row r="290" ht="26" customHeight="1">
      <x:c r="A290" s="1"/>
      <x:c r="B290" s="1"/>
      <x:c r="C290" s="9" t="str">
        <x:f>IF(Borrowers!C90="","",Borrowers!C90)</x:f>
      </x:c>
      <x:c r="D290" s="3" t="n">
        <x:v>3</x:v>
      </x:c>
      <x:c r="E290" s="9" t="n">
        <x:f>Settings!$F$18+2</x:f>
        <x:v>2029</x:v>
      </x:c>
      <x:c r="F290" s="9" t="str">
        <x:f>IF(C290="","",INDEX('Borrowers'!$F$9:$F$108,MATCH(C290,'Borrowers'!$C$9:$C$108,0)))</x:f>
      </x:c>
      <x:c r="G290" s="23" t="str">
        <x:f>IF(C290="","",IFERROR(INDEX('Borrowers'!$J$9:$J$108,MATCH(C290,'Borrowers'!$C$9:$C$108,0))-INDEX('Borrowers'!$K$9:$K$108,MATCH(C290,'Borrowers'!$C$9:$C$108,0)),"Unavailable"))</x:f>
      </x:c>
      <x:c r="H290" s="23" t="str">
        <x:f>IF(C290="","",IFERROR(INDEX('Borrowers'!$I$9:$I$108,MATCH(C290,'Borrowers'!$C$9:$C$108,0))*INDEX('Borrowers'!$U$9:$U$108,MATCH(C290,'Borrowers'!$C$9:$C$108,0))*(IF(F290="Transport",'Scenario Paths'!H156,IF(F290="Technology",'Scenario Paths'!H150,IF(F290="Utilities",'Scenario Paths'!H144,IF(F290="Agriculture",'Scenario Paths'!H138,IF(F290="Manufacturing",'Scenario Paths'!H132,IF(F290="Healthcare",'Scenario Paths'!H126,IF(F290="Hospitality",'Scenario Paths'!H120,IF(F290="Property",'Scenario Paths'!H114,IF(F290="Food",'Scenario Paths'!H108,IF(F290="Logistics",'Scenario Paths'!H102,IF(F290="Solar",'Scenario Paths'!H96,IF(F290="Cement",'Scenario Paths'!H90,0))))))))))))),"Unavailable"))</x:f>
      </x:c>
      <x:c r="I290" s="23" t="str">
        <x:f>IF(C290="","",IFERROR(INDEX('Borrowers'!$R$9:$R$108,MATCH(C290,'Borrowers'!$C$9:$C$108,0))*(1-INDEX('Borrowers'!$W$9:$W$108,MATCH(C290,'Borrowers'!$C$9:$C$108,0))*'Scenario Paths'!H39)*'Scenario Paths'!H9/1000000*(1-INDEX('Borrowers'!$T$9:$T$108,MATCH(C290,'Borrowers'!$C$9:$C$108,0))),"Unavailable"))</x:f>
      </x:c>
      <x:c r="J290" s="23" t="str">
        <x:f>IF(C290="","",IFERROR(INDEX('Borrowers'!$I$9:$I$108,MATCH(C290,'Borrowers'!$C$9:$C$108,0))*INDEX('Borrowers'!$S$9:$S$108,MATCH(C290,'Borrowers'!$C$9:$C$108,0))*'Scenario Paths'!H15*(1-INDEX('Borrowers'!$T$9:$T$108,MATCH(C290,'Borrowers'!$C$9:$C$108,0))),"Unavailable"))</x:f>
      </x:c>
      <x:c r="K290" s="23" t="str">
        <x:f>IF(C290="","",IFERROR(INDEX('Borrowers'!$I$9:$I$108,MATCH(C290,'Borrowers'!$C$9:$C$108,0))*INDEX('Borrowers'!$U$9:$U$108,MATCH(C290,'Borrowers'!$C$9:$C$108,0))*'Scenario Paths'!H21*S290,"Unavailable"))</x:f>
      </x:c>
      <x:c r="L290" s="23" t="str">
        <x:f>IF(C290="","",IFERROR(SUMPRODUCT((Sites!$D$9:$D$108=C290)*Sites!$H$9:$H$108*Sites!$J$9:$J$108*Sites!$K$9:$K$108*(1-Sites!$L$9:$L$108)*(1-Sites!$M$9:$M$108))*'Scenario Paths'!H27,"Unavailable"))</x:f>
      </x:c>
      <x:c r="M290" s="23" t="str">
        <x:f>IF(C290="","",IFERROR(INDEX('Borrowers'!$J$9:$J$108,MATCH(C290,'Borrowers'!$C$9:$C$108,0))+H290-SUM(I290:L290),"Unavailable"))</x:f>
      </x:c>
      <x:c r="N290" s="23" t="str">
        <x:f>IF(C290="","",IFERROR(INDEX('Borrowers'!$I$9:$I$108,MATCH(C290,'Borrowers'!$C$9:$C$108,0))*'Scenario Paths'!H33,"Unavailable"))</x:f>
      </x:c>
      <x:c r="O290" s="23" t="str">
        <x:f>IF(C290="","",IFERROR(M290-INDEX('Borrowers'!$K$9:$K$108,MATCH(C290,'Borrowers'!$C$9:$C$108,0))-N290,"Unavailable"))</x:f>
      </x:c>
      <x:c r="P290" s="127" t="str">
        <x:f>IF(C290="","",IFERROR(O290/INDEX('Borrowers'!$L$9:$L$108,MATCH(C290,'Borrowers'!$C$9:$C$108,0)),"Unavailable"))</x:f>
      </x:c>
      <x:c r="Q290" s="30" t="str">
        <x:f>IF(C290="","",IFERROR(IF(INDEX('Borrowers'!$Z$9:$Z$108,MATCH(C290,'Borrowers'!$C$9:$C$108,0))="Yes",1,IF(INDEX('Borrowers'!$P$9:$P$108,MATCH(C290,'Borrowers'!$C$9:$C$108,0))=0,0,MIN(1,INDEX('Borrowers'!$P$9:$P$108,MATCH(C290,'Borrowers'!$C$9:$C$108,0))*EXP(MIN(20,INDEX('Borrowers'!$V$9:$V$108,MATCH(C290,'Borrowers'!$C$9:$C$108,0))*V290))))),"Unavailable"))</x:f>
      </x:c>
      <x:c r="R290" s="30" t="str">
        <x:f>IF(C290="","",IFERROR(MIN(1,INDEX('Borrowers'!$Q$9:$Q$108,MATCH(C290,'Borrowers'!$C$9:$C$108,0))+(1-INDEX('Borrowers'!$Q$9:$Q$108,MATCH(C290,'Borrowers'!$C$9:$C$108,0)))*T290),"Unavailable"))</x:f>
      </x:c>
      <x:c r="S290" s="30" t="str">
        <x:f>IF(C290="","",IFERROR(SUMPRODUCT((Sites!$D$9:$D$108=C290)*Sites!$I$9:$I$108*Sites!$J$9:$J$108*Sites!$K$9:$K$108*(1-Sites!$L$9:$L$108)),"Unavailable"))</x:f>
      </x:c>
      <x:c r="T290" s="30" t="str">
        <x:f>IF(C290="","",IFERROR(MIN(1,(SUMPRODUCT((Sites!$D$9:$D$108=C290)*Sites!$N$9:$N$108*Sites!$J$9:$J$108*Sites!$K$9:$K$108*(1-Sites!$L$9:$L$108)))*'Scenario Paths'!H27),"Unavailable"))</x:f>
      </x:c>
      <x:c r="U290" s="9" t="str">
        <x:f>IF(C290="","",IF(OR(INDEX('Borrowers'!$AA$9:$AA$108,MATCH(C290,'Borrowers'!$C$9:$C$108,0))&lt;&gt;"Ready",COUNTIF(Sites!$D$9:$D$108,C290)=0,COUNTIFS(Sites!$D$9:$D$108,C290,Sites!$Q$9:$Q$108,"&lt;&gt;Ready")&gt;0,'Scenario Paths'!$F$6&lt;&gt;"Ready"),"Review source inputs","Ready"))</x:f>
      </x:c>
      <x:c r="V290" s="17" t="str">
        <x:f>IF(C290="","",IFERROR(MAX(-1,(G290-O290)/MAX(0.000001,G290)),"Unavailable"))</x:f>
      </x:c>
      <x:c r="W290" s="9" t="str">
        <x:f>IF(C290="","",IFERROR(INDEX('Borrowers'!$D$9:$D$108,MATCH(C290,'Borrowers'!$C$9:$C$108,0)),"Unavailable"))</x:f>
      </x:c>
    </x:row>
    <x:row r="291" ht="26" customHeight="1">
      <x:c r="A291" s="1"/>
      <x:c r="B291" s="1"/>
      <x:c r="C291" s="9" t="str">
        <x:f>IF(Borrowers!C91="","",Borrowers!C91)</x:f>
      </x:c>
      <x:c r="D291" s="3" t="n">
        <x:v>3</x:v>
      </x:c>
      <x:c r="E291" s="9" t="n">
        <x:f>Settings!$F$18+2</x:f>
        <x:v>2029</x:v>
      </x:c>
      <x:c r="F291" s="9" t="str">
        <x:f>IF(C291="","",INDEX('Borrowers'!$F$9:$F$108,MATCH(C291,'Borrowers'!$C$9:$C$108,0)))</x:f>
      </x:c>
      <x:c r="G291" s="23" t="str">
        <x:f>IF(C291="","",IFERROR(INDEX('Borrowers'!$J$9:$J$108,MATCH(C291,'Borrowers'!$C$9:$C$108,0))-INDEX('Borrowers'!$K$9:$K$108,MATCH(C291,'Borrowers'!$C$9:$C$108,0)),"Unavailable"))</x:f>
      </x:c>
      <x:c r="H291" s="23" t="str">
        <x:f>IF(C291="","",IFERROR(INDEX('Borrowers'!$I$9:$I$108,MATCH(C291,'Borrowers'!$C$9:$C$108,0))*INDEX('Borrowers'!$U$9:$U$108,MATCH(C291,'Borrowers'!$C$9:$C$108,0))*(IF(F291="Transport",'Scenario Paths'!H156,IF(F291="Technology",'Scenario Paths'!H150,IF(F291="Utilities",'Scenario Paths'!H144,IF(F291="Agriculture",'Scenario Paths'!H138,IF(F291="Manufacturing",'Scenario Paths'!H132,IF(F291="Healthcare",'Scenario Paths'!H126,IF(F291="Hospitality",'Scenario Paths'!H120,IF(F291="Property",'Scenario Paths'!H114,IF(F291="Food",'Scenario Paths'!H108,IF(F291="Logistics",'Scenario Paths'!H102,IF(F291="Solar",'Scenario Paths'!H96,IF(F291="Cement",'Scenario Paths'!H90,0))))))))))))),"Unavailable"))</x:f>
      </x:c>
      <x:c r="I291" s="23" t="str">
        <x:f>IF(C291="","",IFERROR(INDEX('Borrowers'!$R$9:$R$108,MATCH(C291,'Borrowers'!$C$9:$C$108,0))*(1-INDEX('Borrowers'!$W$9:$W$108,MATCH(C291,'Borrowers'!$C$9:$C$108,0))*'Scenario Paths'!H39)*'Scenario Paths'!H9/1000000*(1-INDEX('Borrowers'!$T$9:$T$108,MATCH(C291,'Borrowers'!$C$9:$C$108,0))),"Unavailable"))</x:f>
      </x:c>
      <x:c r="J291" s="23" t="str">
        <x:f>IF(C291="","",IFERROR(INDEX('Borrowers'!$I$9:$I$108,MATCH(C291,'Borrowers'!$C$9:$C$108,0))*INDEX('Borrowers'!$S$9:$S$108,MATCH(C291,'Borrowers'!$C$9:$C$108,0))*'Scenario Paths'!H15*(1-INDEX('Borrowers'!$T$9:$T$108,MATCH(C291,'Borrowers'!$C$9:$C$108,0))),"Unavailable"))</x:f>
      </x:c>
      <x:c r="K291" s="23" t="str">
        <x:f>IF(C291="","",IFERROR(INDEX('Borrowers'!$I$9:$I$108,MATCH(C291,'Borrowers'!$C$9:$C$108,0))*INDEX('Borrowers'!$U$9:$U$108,MATCH(C291,'Borrowers'!$C$9:$C$108,0))*'Scenario Paths'!H21*S291,"Unavailable"))</x:f>
      </x:c>
      <x:c r="L291" s="23" t="str">
        <x:f>IF(C291="","",IFERROR(SUMPRODUCT((Sites!$D$9:$D$108=C291)*Sites!$H$9:$H$108*Sites!$J$9:$J$108*Sites!$K$9:$K$108*(1-Sites!$L$9:$L$108)*(1-Sites!$M$9:$M$108))*'Scenario Paths'!H27,"Unavailable"))</x:f>
      </x:c>
      <x:c r="M291" s="23" t="str">
        <x:f>IF(C291="","",IFERROR(INDEX('Borrowers'!$J$9:$J$108,MATCH(C291,'Borrowers'!$C$9:$C$108,0))+H291-SUM(I291:L291),"Unavailable"))</x:f>
      </x:c>
      <x:c r="N291" s="23" t="str">
        <x:f>IF(C291="","",IFERROR(INDEX('Borrowers'!$I$9:$I$108,MATCH(C291,'Borrowers'!$C$9:$C$108,0))*'Scenario Paths'!H33,"Unavailable"))</x:f>
      </x:c>
      <x:c r="O291" s="23" t="str">
        <x:f>IF(C291="","",IFERROR(M291-INDEX('Borrowers'!$K$9:$K$108,MATCH(C291,'Borrowers'!$C$9:$C$108,0))-N291,"Unavailable"))</x:f>
      </x:c>
      <x:c r="P291" s="127" t="str">
        <x:f>IF(C291="","",IFERROR(O291/INDEX('Borrowers'!$L$9:$L$108,MATCH(C291,'Borrowers'!$C$9:$C$108,0)),"Unavailable"))</x:f>
      </x:c>
      <x:c r="Q291" s="30" t="str">
        <x:f>IF(C291="","",IFERROR(IF(INDEX('Borrowers'!$Z$9:$Z$108,MATCH(C291,'Borrowers'!$C$9:$C$108,0))="Yes",1,IF(INDEX('Borrowers'!$P$9:$P$108,MATCH(C291,'Borrowers'!$C$9:$C$108,0))=0,0,MIN(1,INDEX('Borrowers'!$P$9:$P$108,MATCH(C291,'Borrowers'!$C$9:$C$108,0))*EXP(MIN(20,INDEX('Borrowers'!$V$9:$V$108,MATCH(C291,'Borrowers'!$C$9:$C$108,0))*V291))))),"Unavailable"))</x:f>
      </x:c>
      <x:c r="R291" s="30" t="str">
        <x:f>IF(C291="","",IFERROR(MIN(1,INDEX('Borrowers'!$Q$9:$Q$108,MATCH(C291,'Borrowers'!$C$9:$C$108,0))+(1-INDEX('Borrowers'!$Q$9:$Q$108,MATCH(C291,'Borrowers'!$C$9:$C$108,0)))*T291),"Unavailable"))</x:f>
      </x:c>
      <x:c r="S291" s="30" t="str">
        <x:f>IF(C291="","",IFERROR(SUMPRODUCT((Sites!$D$9:$D$108=C291)*Sites!$I$9:$I$108*Sites!$J$9:$J$108*Sites!$K$9:$K$108*(1-Sites!$L$9:$L$108)),"Unavailable"))</x:f>
      </x:c>
      <x:c r="T291" s="30" t="str">
        <x:f>IF(C291="","",IFERROR(MIN(1,(SUMPRODUCT((Sites!$D$9:$D$108=C291)*Sites!$N$9:$N$108*Sites!$J$9:$J$108*Sites!$K$9:$K$108*(1-Sites!$L$9:$L$108)))*'Scenario Paths'!H27),"Unavailable"))</x:f>
      </x:c>
      <x:c r="U291" s="9" t="str">
        <x:f>IF(C291="","",IF(OR(INDEX('Borrowers'!$AA$9:$AA$108,MATCH(C291,'Borrowers'!$C$9:$C$108,0))&lt;&gt;"Ready",COUNTIF(Sites!$D$9:$D$108,C291)=0,COUNTIFS(Sites!$D$9:$D$108,C291,Sites!$Q$9:$Q$108,"&lt;&gt;Ready")&gt;0,'Scenario Paths'!$F$6&lt;&gt;"Ready"),"Review source inputs","Ready"))</x:f>
      </x:c>
      <x:c r="V291" s="17" t="str">
        <x:f>IF(C291="","",IFERROR(MAX(-1,(G291-O291)/MAX(0.000001,G291)),"Unavailable"))</x:f>
      </x:c>
      <x:c r="W291" s="9" t="str">
        <x:f>IF(C291="","",IFERROR(INDEX('Borrowers'!$D$9:$D$108,MATCH(C291,'Borrowers'!$C$9:$C$108,0)),"Unavailable"))</x:f>
      </x:c>
    </x:row>
    <x:row r="292" ht="26" customHeight="1">
      <x:c r="A292" s="1"/>
      <x:c r="B292" s="1"/>
      <x:c r="C292" s="9" t="str">
        <x:f>IF(Borrowers!C92="","",Borrowers!C92)</x:f>
      </x:c>
      <x:c r="D292" s="3" t="n">
        <x:v>3</x:v>
      </x:c>
      <x:c r="E292" s="9" t="n">
        <x:f>Settings!$F$18+2</x:f>
        <x:v>2029</x:v>
      </x:c>
      <x:c r="F292" s="9" t="str">
        <x:f>IF(C292="","",INDEX('Borrowers'!$F$9:$F$108,MATCH(C292,'Borrowers'!$C$9:$C$108,0)))</x:f>
      </x:c>
      <x:c r="G292" s="23" t="str">
        <x:f>IF(C292="","",IFERROR(INDEX('Borrowers'!$J$9:$J$108,MATCH(C292,'Borrowers'!$C$9:$C$108,0))-INDEX('Borrowers'!$K$9:$K$108,MATCH(C292,'Borrowers'!$C$9:$C$108,0)),"Unavailable"))</x:f>
      </x:c>
      <x:c r="H292" s="23" t="str">
        <x:f>IF(C292="","",IFERROR(INDEX('Borrowers'!$I$9:$I$108,MATCH(C292,'Borrowers'!$C$9:$C$108,0))*INDEX('Borrowers'!$U$9:$U$108,MATCH(C292,'Borrowers'!$C$9:$C$108,0))*(IF(F292="Transport",'Scenario Paths'!H156,IF(F292="Technology",'Scenario Paths'!H150,IF(F292="Utilities",'Scenario Paths'!H144,IF(F292="Agriculture",'Scenario Paths'!H138,IF(F292="Manufacturing",'Scenario Paths'!H132,IF(F292="Healthcare",'Scenario Paths'!H126,IF(F292="Hospitality",'Scenario Paths'!H120,IF(F292="Property",'Scenario Paths'!H114,IF(F292="Food",'Scenario Paths'!H108,IF(F292="Logistics",'Scenario Paths'!H102,IF(F292="Solar",'Scenario Paths'!H96,IF(F292="Cement",'Scenario Paths'!H90,0))))))))))))),"Unavailable"))</x:f>
      </x:c>
      <x:c r="I292" s="23" t="str">
        <x:f>IF(C292="","",IFERROR(INDEX('Borrowers'!$R$9:$R$108,MATCH(C292,'Borrowers'!$C$9:$C$108,0))*(1-INDEX('Borrowers'!$W$9:$W$108,MATCH(C292,'Borrowers'!$C$9:$C$108,0))*'Scenario Paths'!H39)*'Scenario Paths'!H9/1000000*(1-INDEX('Borrowers'!$T$9:$T$108,MATCH(C292,'Borrowers'!$C$9:$C$108,0))),"Unavailable"))</x:f>
      </x:c>
      <x:c r="J292" s="23" t="str">
        <x:f>IF(C292="","",IFERROR(INDEX('Borrowers'!$I$9:$I$108,MATCH(C292,'Borrowers'!$C$9:$C$108,0))*INDEX('Borrowers'!$S$9:$S$108,MATCH(C292,'Borrowers'!$C$9:$C$108,0))*'Scenario Paths'!H15*(1-INDEX('Borrowers'!$T$9:$T$108,MATCH(C292,'Borrowers'!$C$9:$C$108,0))),"Unavailable"))</x:f>
      </x:c>
      <x:c r="K292" s="23" t="str">
        <x:f>IF(C292="","",IFERROR(INDEX('Borrowers'!$I$9:$I$108,MATCH(C292,'Borrowers'!$C$9:$C$108,0))*INDEX('Borrowers'!$U$9:$U$108,MATCH(C292,'Borrowers'!$C$9:$C$108,0))*'Scenario Paths'!H21*S292,"Unavailable"))</x:f>
      </x:c>
      <x:c r="L292" s="23" t="str">
        <x:f>IF(C292="","",IFERROR(SUMPRODUCT((Sites!$D$9:$D$108=C292)*Sites!$H$9:$H$108*Sites!$J$9:$J$108*Sites!$K$9:$K$108*(1-Sites!$L$9:$L$108)*(1-Sites!$M$9:$M$108))*'Scenario Paths'!H27,"Unavailable"))</x:f>
      </x:c>
      <x:c r="M292" s="23" t="str">
        <x:f>IF(C292="","",IFERROR(INDEX('Borrowers'!$J$9:$J$108,MATCH(C292,'Borrowers'!$C$9:$C$108,0))+H292-SUM(I292:L292),"Unavailable"))</x:f>
      </x:c>
      <x:c r="N292" s="23" t="str">
        <x:f>IF(C292="","",IFERROR(INDEX('Borrowers'!$I$9:$I$108,MATCH(C292,'Borrowers'!$C$9:$C$108,0))*'Scenario Paths'!H33,"Unavailable"))</x:f>
      </x:c>
      <x:c r="O292" s="23" t="str">
        <x:f>IF(C292="","",IFERROR(M292-INDEX('Borrowers'!$K$9:$K$108,MATCH(C292,'Borrowers'!$C$9:$C$108,0))-N292,"Unavailable"))</x:f>
      </x:c>
      <x:c r="P292" s="127" t="str">
        <x:f>IF(C292="","",IFERROR(O292/INDEX('Borrowers'!$L$9:$L$108,MATCH(C292,'Borrowers'!$C$9:$C$108,0)),"Unavailable"))</x:f>
      </x:c>
      <x:c r="Q292" s="30" t="str">
        <x:f>IF(C292="","",IFERROR(IF(INDEX('Borrowers'!$Z$9:$Z$108,MATCH(C292,'Borrowers'!$C$9:$C$108,0))="Yes",1,IF(INDEX('Borrowers'!$P$9:$P$108,MATCH(C292,'Borrowers'!$C$9:$C$108,0))=0,0,MIN(1,INDEX('Borrowers'!$P$9:$P$108,MATCH(C292,'Borrowers'!$C$9:$C$108,0))*EXP(MIN(20,INDEX('Borrowers'!$V$9:$V$108,MATCH(C292,'Borrowers'!$C$9:$C$108,0))*V292))))),"Unavailable"))</x:f>
      </x:c>
      <x:c r="R292" s="30" t="str">
        <x:f>IF(C292="","",IFERROR(MIN(1,INDEX('Borrowers'!$Q$9:$Q$108,MATCH(C292,'Borrowers'!$C$9:$C$108,0))+(1-INDEX('Borrowers'!$Q$9:$Q$108,MATCH(C292,'Borrowers'!$C$9:$C$108,0)))*T292),"Unavailable"))</x:f>
      </x:c>
      <x:c r="S292" s="30" t="str">
        <x:f>IF(C292="","",IFERROR(SUMPRODUCT((Sites!$D$9:$D$108=C292)*Sites!$I$9:$I$108*Sites!$J$9:$J$108*Sites!$K$9:$K$108*(1-Sites!$L$9:$L$108)),"Unavailable"))</x:f>
      </x:c>
      <x:c r="T292" s="30" t="str">
        <x:f>IF(C292="","",IFERROR(MIN(1,(SUMPRODUCT((Sites!$D$9:$D$108=C292)*Sites!$N$9:$N$108*Sites!$J$9:$J$108*Sites!$K$9:$K$108*(1-Sites!$L$9:$L$108)))*'Scenario Paths'!H27),"Unavailable"))</x:f>
      </x:c>
      <x:c r="U292" s="9" t="str">
        <x:f>IF(C292="","",IF(OR(INDEX('Borrowers'!$AA$9:$AA$108,MATCH(C292,'Borrowers'!$C$9:$C$108,0))&lt;&gt;"Ready",COUNTIF(Sites!$D$9:$D$108,C292)=0,COUNTIFS(Sites!$D$9:$D$108,C292,Sites!$Q$9:$Q$108,"&lt;&gt;Ready")&gt;0,'Scenario Paths'!$F$6&lt;&gt;"Ready"),"Review source inputs","Ready"))</x:f>
      </x:c>
      <x:c r="V292" s="17" t="str">
        <x:f>IF(C292="","",IFERROR(MAX(-1,(G292-O292)/MAX(0.000001,G292)),"Unavailable"))</x:f>
      </x:c>
      <x:c r="W292" s="9" t="str">
        <x:f>IF(C292="","",IFERROR(INDEX('Borrowers'!$D$9:$D$108,MATCH(C292,'Borrowers'!$C$9:$C$108,0)),"Unavailable"))</x:f>
      </x:c>
    </x:row>
    <x:row r="293" ht="26" customHeight="1">
      <x:c r="A293" s="1"/>
      <x:c r="B293" s="1"/>
      <x:c r="C293" s="9" t="str">
        <x:f>IF(Borrowers!C93="","",Borrowers!C93)</x:f>
      </x:c>
      <x:c r="D293" s="3" t="n">
        <x:v>3</x:v>
      </x:c>
      <x:c r="E293" s="9" t="n">
        <x:f>Settings!$F$18+2</x:f>
        <x:v>2029</x:v>
      </x:c>
      <x:c r="F293" s="9" t="str">
        <x:f>IF(C293="","",INDEX('Borrowers'!$F$9:$F$108,MATCH(C293,'Borrowers'!$C$9:$C$108,0)))</x:f>
      </x:c>
      <x:c r="G293" s="23" t="str">
        <x:f>IF(C293="","",IFERROR(INDEX('Borrowers'!$J$9:$J$108,MATCH(C293,'Borrowers'!$C$9:$C$108,0))-INDEX('Borrowers'!$K$9:$K$108,MATCH(C293,'Borrowers'!$C$9:$C$108,0)),"Unavailable"))</x:f>
      </x:c>
      <x:c r="H293" s="23" t="str">
        <x:f>IF(C293="","",IFERROR(INDEX('Borrowers'!$I$9:$I$108,MATCH(C293,'Borrowers'!$C$9:$C$108,0))*INDEX('Borrowers'!$U$9:$U$108,MATCH(C293,'Borrowers'!$C$9:$C$108,0))*(IF(F293="Transport",'Scenario Paths'!H156,IF(F293="Technology",'Scenario Paths'!H150,IF(F293="Utilities",'Scenario Paths'!H144,IF(F293="Agriculture",'Scenario Paths'!H138,IF(F293="Manufacturing",'Scenario Paths'!H132,IF(F293="Healthcare",'Scenario Paths'!H126,IF(F293="Hospitality",'Scenario Paths'!H120,IF(F293="Property",'Scenario Paths'!H114,IF(F293="Food",'Scenario Paths'!H108,IF(F293="Logistics",'Scenario Paths'!H102,IF(F293="Solar",'Scenario Paths'!H96,IF(F293="Cement",'Scenario Paths'!H90,0))))))))))))),"Unavailable"))</x:f>
      </x:c>
      <x:c r="I293" s="23" t="str">
        <x:f>IF(C293="","",IFERROR(INDEX('Borrowers'!$R$9:$R$108,MATCH(C293,'Borrowers'!$C$9:$C$108,0))*(1-INDEX('Borrowers'!$W$9:$W$108,MATCH(C293,'Borrowers'!$C$9:$C$108,0))*'Scenario Paths'!H39)*'Scenario Paths'!H9/1000000*(1-INDEX('Borrowers'!$T$9:$T$108,MATCH(C293,'Borrowers'!$C$9:$C$108,0))),"Unavailable"))</x:f>
      </x:c>
      <x:c r="J293" s="23" t="str">
        <x:f>IF(C293="","",IFERROR(INDEX('Borrowers'!$I$9:$I$108,MATCH(C293,'Borrowers'!$C$9:$C$108,0))*INDEX('Borrowers'!$S$9:$S$108,MATCH(C293,'Borrowers'!$C$9:$C$108,0))*'Scenario Paths'!H15*(1-INDEX('Borrowers'!$T$9:$T$108,MATCH(C293,'Borrowers'!$C$9:$C$108,0))),"Unavailable"))</x:f>
      </x:c>
      <x:c r="K293" s="23" t="str">
        <x:f>IF(C293="","",IFERROR(INDEX('Borrowers'!$I$9:$I$108,MATCH(C293,'Borrowers'!$C$9:$C$108,0))*INDEX('Borrowers'!$U$9:$U$108,MATCH(C293,'Borrowers'!$C$9:$C$108,0))*'Scenario Paths'!H21*S293,"Unavailable"))</x:f>
      </x:c>
      <x:c r="L293" s="23" t="str">
        <x:f>IF(C293="","",IFERROR(SUMPRODUCT((Sites!$D$9:$D$108=C293)*Sites!$H$9:$H$108*Sites!$J$9:$J$108*Sites!$K$9:$K$108*(1-Sites!$L$9:$L$108)*(1-Sites!$M$9:$M$108))*'Scenario Paths'!H27,"Unavailable"))</x:f>
      </x:c>
      <x:c r="M293" s="23" t="str">
        <x:f>IF(C293="","",IFERROR(INDEX('Borrowers'!$J$9:$J$108,MATCH(C293,'Borrowers'!$C$9:$C$108,0))+H293-SUM(I293:L293),"Unavailable"))</x:f>
      </x:c>
      <x:c r="N293" s="23" t="str">
        <x:f>IF(C293="","",IFERROR(INDEX('Borrowers'!$I$9:$I$108,MATCH(C293,'Borrowers'!$C$9:$C$108,0))*'Scenario Paths'!H33,"Unavailable"))</x:f>
      </x:c>
      <x:c r="O293" s="23" t="str">
        <x:f>IF(C293="","",IFERROR(M293-INDEX('Borrowers'!$K$9:$K$108,MATCH(C293,'Borrowers'!$C$9:$C$108,0))-N293,"Unavailable"))</x:f>
      </x:c>
      <x:c r="P293" s="127" t="str">
        <x:f>IF(C293="","",IFERROR(O293/INDEX('Borrowers'!$L$9:$L$108,MATCH(C293,'Borrowers'!$C$9:$C$108,0)),"Unavailable"))</x:f>
      </x:c>
      <x:c r="Q293" s="30" t="str">
        <x:f>IF(C293="","",IFERROR(IF(INDEX('Borrowers'!$Z$9:$Z$108,MATCH(C293,'Borrowers'!$C$9:$C$108,0))="Yes",1,IF(INDEX('Borrowers'!$P$9:$P$108,MATCH(C293,'Borrowers'!$C$9:$C$108,0))=0,0,MIN(1,INDEX('Borrowers'!$P$9:$P$108,MATCH(C293,'Borrowers'!$C$9:$C$108,0))*EXP(MIN(20,INDEX('Borrowers'!$V$9:$V$108,MATCH(C293,'Borrowers'!$C$9:$C$108,0))*V293))))),"Unavailable"))</x:f>
      </x:c>
      <x:c r="R293" s="30" t="str">
        <x:f>IF(C293="","",IFERROR(MIN(1,INDEX('Borrowers'!$Q$9:$Q$108,MATCH(C293,'Borrowers'!$C$9:$C$108,0))+(1-INDEX('Borrowers'!$Q$9:$Q$108,MATCH(C293,'Borrowers'!$C$9:$C$108,0)))*T293),"Unavailable"))</x:f>
      </x:c>
      <x:c r="S293" s="30" t="str">
        <x:f>IF(C293="","",IFERROR(SUMPRODUCT((Sites!$D$9:$D$108=C293)*Sites!$I$9:$I$108*Sites!$J$9:$J$108*Sites!$K$9:$K$108*(1-Sites!$L$9:$L$108)),"Unavailable"))</x:f>
      </x:c>
      <x:c r="T293" s="30" t="str">
        <x:f>IF(C293="","",IFERROR(MIN(1,(SUMPRODUCT((Sites!$D$9:$D$108=C293)*Sites!$N$9:$N$108*Sites!$J$9:$J$108*Sites!$K$9:$K$108*(1-Sites!$L$9:$L$108)))*'Scenario Paths'!H27),"Unavailable"))</x:f>
      </x:c>
      <x:c r="U293" s="9" t="str">
        <x:f>IF(C293="","",IF(OR(INDEX('Borrowers'!$AA$9:$AA$108,MATCH(C293,'Borrowers'!$C$9:$C$108,0))&lt;&gt;"Ready",COUNTIF(Sites!$D$9:$D$108,C293)=0,COUNTIFS(Sites!$D$9:$D$108,C293,Sites!$Q$9:$Q$108,"&lt;&gt;Ready")&gt;0,'Scenario Paths'!$F$6&lt;&gt;"Ready"),"Review source inputs","Ready"))</x:f>
      </x:c>
      <x:c r="V293" s="17" t="str">
        <x:f>IF(C293="","",IFERROR(MAX(-1,(G293-O293)/MAX(0.000001,G293)),"Unavailable"))</x:f>
      </x:c>
      <x:c r="W293" s="9" t="str">
        <x:f>IF(C293="","",IFERROR(INDEX('Borrowers'!$D$9:$D$108,MATCH(C293,'Borrowers'!$C$9:$C$108,0)),"Unavailable"))</x:f>
      </x:c>
    </x:row>
    <x:row r="294" ht="26" customHeight="1">
      <x:c r="A294" s="1"/>
      <x:c r="B294" s="1"/>
      <x:c r="C294" s="9" t="str">
        <x:f>IF(Borrowers!C94="","",Borrowers!C94)</x:f>
      </x:c>
      <x:c r="D294" s="3" t="n">
        <x:v>3</x:v>
      </x:c>
      <x:c r="E294" s="9" t="n">
        <x:f>Settings!$F$18+2</x:f>
        <x:v>2029</x:v>
      </x:c>
      <x:c r="F294" s="9" t="str">
        <x:f>IF(C294="","",INDEX('Borrowers'!$F$9:$F$108,MATCH(C294,'Borrowers'!$C$9:$C$108,0)))</x:f>
      </x:c>
      <x:c r="G294" s="23" t="str">
        <x:f>IF(C294="","",IFERROR(INDEX('Borrowers'!$J$9:$J$108,MATCH(C294,'Borrowers'!$C$9:$C$108,0))-INDEX('Borrowers'!$K$9:$K$108,MATCH(C294,'Borrowers'!$C$9:$C$108,0)),"Unavailable"))</x:f>
      </x:c>
      <x:c r="H294" s="23" t="str">
        <x:f>IF(C294="","",IFERROR(INDEX('Borrowers'!$I$9:$I$108,MATCH(C294,'Borrowers'!$C$9:$C$108,0))*INDEX('Borrowers'!$U$9:$U$108,MATCH(C294,'Borrowers'!$C$9:$C$108,0))*(IF(F294="Transport",'Scenario Paths'!H156,IF(F294="Technology",'Scenario Paths'!H150,IF(F294="Utilities",'Scenario Paths'!H144,IF(F294="Agriculture",'Scenario Paths'!H138,IF(F294="Manufacturing",'Scenario Paths'!H132,IF(F294="Healthcare",'Scenario Paths'!H126,IF(F294="Hospitality",'Scenario Paths'!H120,IF(F294="Property",'Scenario Paths'!H114,IF(F294="Food",'Scenario Paths'!H108,IF(F294="Logistics",'Scenario Paths'!H102,IF(F294="Solar",'Scenario Paths'!H96,IF(F294="Cement",'Scenario Paths'!H90,0))))))))))))),"Unavailable"))</x:f>
      </x:c>
      <x:c r="I294" s="23" t="str">
        <x:f>IF(C294="","",IFERROR(INDEX('Borrowers'!$R$9:$R$108,MATCH(C294,'Borrowers'!$C$9:$C$108,0))*(1-INDEX('Borrowers'!$W$9:$W$108,MATCH(C294,'Borrowers'!$C$9:$C$108,0))*'Scenario Paths'!H39)*'Scenario Paths'!H9/1000000*(1-INDEX('Borrowers'!$T$9:$T$108,MATCH(C294,'Borrowers'!$C$9:$C$108,0))),"Unavailable"))</x:f>
      </x:c>
      <x:c r="J294" s="23" t="str">
        <x:f>IF(C294="","",IFERROR(INDEX('Borrowers'!$I$9:$I$108,MATCH(C294,'Borrowers'!$C$9:$C$108,0))*INDEX('Borrowers'!$S$9:$S$108,MATCH(C294,'Borrowers'!$C$9:$C$108,0))*'Scenario Paths'!H15*(1-INDEX('Borrowers'!$T$9:$T$108,MATCH(C294,'Borrowers'!$C$9:$C$108,0))),"Unavailable"))</x:f>
      </x:c>
      <x:c r="K294" s="23" t="str">
        <x:f>IF(C294="","",IFERROR(INDEX('Borrowers'!$I$9:$I$108,MATCH(C294,'Borrowers'!$C$9:$C$108,0))*INDEX('Borrowers'!$U$9:$U$108,MATCH(C294,'Borrowers'!$C$9:$C$108,0))*'Scenario Paths'!H21*S294,"Unavailable"))</x:f>
      </x:c>
      <x:c r="L294" s="23" t="str">
        <x:f>IF(C294="","",IFERROR(SUMPRODUCT((Sites!$D$9:$D$108=C294)*Sites!$H$9:$H$108*Sites!$J$9:$J$108*Sites!$K$9:$K$108*(1-Sites!$L$9:$L$108)*(1-Sites!$M$9:$M$108))*'Scenario Paths'!H27,"Unavailable"))</x:f>
      </x:c>
      <x:c r="M294" s="23" t="str">
        <x:f>IF(C294="","",IFERROR(INDEX('Borrowers'!$J$9:$J$108,MATCH(C294,'Borrowers'!$C$9:$C$108,0))+H294-SUM(I294:L294),"Unavailable"))</x:f>
      </x:c>
      <x:c r="N294" s="23" t="str">
        <x:f>IF(C294="","",IFERROR(INDEX('Borrowers'!$I$9:$I$108,MATCH(C294,'Borrowers'!$C$9:$C$108,0))*'Scenario Paths'!H33,"Unavailable"))</x:f>
      </x:c>
      <x:c r="O294" s="23" t="str">
        <x:f>IF(C294="","",IFERROR(M294-INDEX('Borrowers'!$K$9:$K$108,MATCH(C294,'Borrowers'!$C$9:$C$108,0))-N294,"Unavailable"))</x:f>
      </x:c>
      <x:c r="P294" s="127" t="str">
        <x:f>IF(C294="","",IFERROR(O294/INDEX('Borrowers'!$L$9:$L$108,MATCH(C294,'Borrowers'!$C$9:$C$108,0)),"Unavailable"))</x:f>
      </x:c>
      <x:c r="Q294" s="30" t="str">
        <x:f>IF(C294="","",IFERROR(IF(INDEX('Borrowers'!$Z$9:$Z$108,MATCH(C294,'Borrowers'!$C$9:$C$108,0))="Yes",1,IF(INDEX('Borrowers'!$P$9:$P$108,MATCH(C294,'Borrowers'!$C$9:$C$108,0))=0,0,MIN(1,INDEX('Borrowers'!$P$9:$P$108,MATCH(C294,'Borrowers'!$C$9:$C$108,0))*EXP(MIN(20,INDEX('Borrowers'!$V$9:$V$108,MATCH(C294,'Borrowers'!$C$9:$C$108,0))*V294))))),"Unavailable"))</x:f>
      </x:c>
      <x:c r="R294" s="30" t="str">
        <x:f>IF(C294="","",IFERROR(MIN(1,INDEX('Borrowers'!$Q$9:$Q$108,MATCH(C294,'Borrowers'!$C$9:$C$108,0))+(1-INDEX('Borrowers'!$Q$9:$Q$108,MATCH(C294,'Borrowers'!$C$9:$C$108,0)))*T294),"Unavailable"))</x:f>
      </x:c>
      <x:c r="S294" s="30" t="str">
        <x:f>IF(C294="","",IFERROR(SUMPRODUCT((Sites!$D$9:$D$108=C294)*Sites!$I$9:$I$108*Sites!$J$9:$J$108*Sites!$K$9:$K$108*(1-Sites!$L$9:$L$108)),"Unavailable"))</x:f>
      </x:c>
      <x:c r="T294" s="30" t="str">
        <x:f>IF(C294="","",IFERROR(MIN(1,(SUMPRODUCT((Sites!$D$9:$D$108=C294)*Sites!$N$9:$N$108*Sites!$J$9:$J$108*Sites!$K$9:$K$108*(1-Sites!$L$9:$L$108)))*'Scenario Paths'!H27),"Unavailable"))</x:f>
      </x:c>
      <x:c r="U294" s="9" t="str">
        <x:f>IF(C294="","",IF(OR(INDEX('Borrowers'!$AA$9:$AA$108,MATCH(C294,'Borrowers'!$C$9:$C$108,0))&lt;&gt;"Ready",COUNTIF(Sites!$D$9:$D$108,C294)=0,COUNTIFS(Sites!$D$9:$D$108,C294,Sites!$Q$9:$Q$108,"&lt;&gt;Ready")&gt;0,'Scenario Paths'!$F$6&lt;&gt;"Ready"),"Review source inputs","Ready"))</x:f>
      </x:c>
      <x:c r="V294" s="17" t="str">
        <x:f>IF(C294="","",IFERROR(MAX(-1,(G294-O294)/MAX(0.000001,G294)),"Unavailable"))</x:f>
      </x:c>
      <x:c r="W294" s="9" t="str">
        <x:f>IF(C294="","",IFERROR(INDEX('Borrowers'!$D$9:$D$108,MATCH(C294,'Borrowers'!$C$9:$C$108,0)),"Unavailable"))</x:f>
      </x:c>
    </x:row>
    <x:row r="295" ht="26" customHeight="1">
      <x:c r="A295" s="1"/>
      <x:c r="B295" s="1"/>
      <x:c r="C295" s="9" t="str">
        <x:f>IF(Borrowers!C95="","",Borrowers!C95)</x:f>
      </x:c>
      <x:c r="D295" s="3" t="n">
        <x:v>3</x:v>
      </x:c>
      <x:c r="E295" s="9" t="n">
        <x:f>Settings!$F$18+2</x:f>
        <x:v>2029</x:v>
      </x:c>
      <x:c r="F295" s="9" t="str">
        <x:f>IF(C295="","",INDEX('Borrowers'!$F$9:$F$108,MATCH(C295,'Borrowers'!$C$9:$C$108,0)))</x:f>
      </x:c>
      <x:c r="G295" s="23" t="str">
        <x:f>IF(C295="","",IFERROR(INDEX('Borrowers'!$J$9:$J$108,MATCH(C295,'Borrowers'!$C$9:$C$108,0))-INDEX('Borrowers'!$K$9:$K$108,MATCH(C295,'Borrowers'!$C$9:$C$108,0)),"Unavailable"))</x:f>
      </x:c>
      <x:c r="H295" s="23" t="str">
        <x:f>IF(C295="","",IFERROR(INDEX('Borrowers'!$I$9:$I$108,MATCH(C295,'Borrowers'!$C$9:$C$108,0))*INDEX('Borrowers'!$U$9:$U$108,MATCH(C295,'Borrowers'!$C$9:$C$108,0))*(IF(F295="Transport",'Scenario Paths'!H156,IF(F295="Technology",'Scenario Paths'!H150,IF(F295="Utilities",'Scenario Paths'!H144,IF(F295="Agriculture",'Scenario Paths'!H138,IF(F295="Manufacturing",'Scenario Paths'!H132,IF(F295="Healthcare",'Scenario Paths'!H126,IF(F295="Hospitality",'Scenario Paths'!H120,IF(F295="Property",'Scenario Paths'!H114,IF(F295="Food",'Scenario Paths'!H108,IF(F295="Logistics",'Scenario Paths'!H102,IF(F295="Solar",'Scenario Paths'!H96,IF(F295="Cement",'Scenario Paths'!H90,0))))))))))))),"Unavailable"))</x:f>
      </x:c>
      <x:c r="I295" s="23" t="str">
        <x:f>IF(C295="","",IFERROR(INDEX('Borrowers'!$R$9:$R$108,MATCH(C295,'Borrowers'!$C$9:$C$108,0))*(1-INDEX('Borrowers'!$W$9:$W$108,MATCH(C295,'Borrowers'!$C$9:$C$108,0))*'Scenario Paths'!H39)*'Scenario Paths'!H9/1000000*(1-INDEX('Borrowers'!$T$9:$T$108,MATCH(C295,'Borrowers'!$C$9:$C$108,0))),"Unavailable"))</x:f>
      </x:c>
      <x:c r="J295" s="23" t="str">
        <x:f>IF(C295="","",IFERROR(INDEX('Borrowers'!$I$9:$I$108,MATCH(C295,'Borrowers'!$C$9:$C$108,0))*INDEX('Borrowers'!$S$9:$S$108,MATCH(C295,'Borrowers'!$C$9:$C$108,0))*'Scenario Paths'!H15*(1-INDEX('Borrowers'!$T$9:$T$108,MATCH(C295,'Borrowers'!$C$9:$C$108,0))),"Unavailable"))</x:f>
      </x:c>
      <x:c r="K295" s="23" t="str">
        <x:f>IF(C295="","",IFERROR(INDEX('Borrowers'!$I$9:$I$108,MATCH(C295,'Borrowers'!$C$9:$C$108,0))*INDEX('Borrowers'!$U$9:$U$108,MATCH(C295,'Borrowers'!$C$9:$C$108,0))*'Scenario Paths'!H21*S295,"Unavailable"))</x:f>
      </x:c>
      <x:c r="L295" s="23" t="str">
        <x:f>IF(C295="","",IFERROR(SUMPRODUCT((Sites!$D$9:$D$108=C295)*Sites!$H$9:$H$108*Sites!$J$9:$J$108*Sites!$K$9:$K$108*(1-Sites!$L$9:$L$108)*(1-Sites!$M$9:$M$108))*'Scenario Paths'!H27,"Unavailable"))</x:f>
      </x:c>
      <x:c r="M295" s="23" t="str">
        <x:f>IF(C295="","",IFERROR(INDEX('Borrowers'!$J$9:$J$108,MATCH(C295,'Borrowers'!$C$9:$C$108,0))+H295-SUM(I295:L295),"Unavailable"))</x:f>
      </x:c>
      <x:c r="N295" s="23" t="str">
        <x:f>IF(C295="","",IFERROR(INDEX('Borrowers'!$I$9:$I$108,MATCH(C295,'Borrowers'!$C$9:$C$108,0))*'Scenario Paths'!H33,"Unavailable"))</x:f>
      </x:c>
      <x:c r="O295" s="23" t="str">
        <x:f>IF(C295="","",IFERROR(M295-INDEX('Borrowers'!$K$9:$K$108,MATCH(C295,'Borrowers'!$C$9:$C$108,0))-N295,"Unavailable"))</x:f>
      </x:c>
      <x:c r="P295" s="127" t="str">
        <x:f>IF(C295="","",IFERROR(O295/INDEX('Borrowers'!$L$9:$L$108,MATCH(C295,'Borrowers'!$C$9:$C$108,0)),"Unavailable"))</x:f>
      </x:c>
      <x:c r="Q295" s="30" t="str">
        <x:f>IF(C295="","",IFERROR(IF(INDEX('Borrowers'!$Z$9:$Z$108,MATCH(C295,'Borrowers'!$C$9:$C$108,0))="Yes",1,IF(INDEX('Borrowers'!$P$9:$P$108,MATCH(C295,'Borrowers'!$C$9:$C$108,0))=0,0,MIN(1,INDEX('Borrowers'!$P$9:$P$108,MATCH(C295,'Borrowers'!$C$9:$C$108,0))*EXP(MIN(20,INDEX('Borrowers'!$V$9:$V$108,MATCH(C295,'Borrowers'!$C$9:$C$108,0))*V295))))),"Unavailable"))</x:f>
      </x:c>
      <x:c r="R295" s="30" t="str">
        <x:f>IF(C295="","",IFERROR(MIN(1,INDEX('Borrowers'!$Q$9:$Q$108,MATCH(C295,'Borrowers'!$C$9:$C$108,0))+(1-INDEX('Borrowers'!$Q$9:$Q$108,MATCH(C295,'Borrowers'!$C$9:$C$108,0)))*T295),"Unavailable"))</x:f>
      </x:c>
      <x:c r="S295" s="30" t="str">
        <x:f>IF(C295="","",IFERROR(SUMPRODUCT((Sites!$D$9:$D$108=C295)*Sites!$I$9:$I$108*Sites!$J$9:$J$108*Sites!$K$9:$K$108*(1-Sites!$L$9:$L$108)),"Unavailable"))</x:f>
      </x:c>
      <x:c r="T295" s="30" t="str">
        <x:f>IF(C295="","",IFERROR(MIN(1,(SUMPRODUCT((Sites!$D$9:$D$108=C295)*Sites!$N$9:$N$108*Sites!$J$9:$J$108*Sites!$K$9:$K$108*(1-Sites!$L$9:$L$108)))*'Scenario Paths'!H27),"Unavailable"))</x:f>
      </x:c>
      <x:c r="U295" s="9" t="str">
        <x:f>IF(C295="","",IF(OR(INDEX('Borrowers'!$AA$9:$AA$108,MATCH(C295,'Borrowers'!$C$9:$C$108,0))&lt;&gt;"Ready",COUNTIF(Sites!$D$9:$D$108,C295)=0,COUNTIFS(Sites!$D$9:$D$108,C295,Sites!$Q$9:$Q$108,"&lt;&gt;Ready")&gt;0,'Scenario Paths'!$F$6&lt;&gt;"Ready"),"Review source inputs","Ready"))</x:f>
      </x:c>
      <x:c r="V295" s="17" t="str">
        <x:f>IF(C295="","",IFERROR(MAX(-1,(G295-O295)/MAX(0.000001,G295)),"Unavailable"))</x:f>
      </x:c>
      <x:c r="W295" s="9" t="str">
        <x:f>IF(C295="","",IFERROR(INDEX('Borrowers'!$D$9:$D$108,MATCH(C295,'Borrowers'!$C$9:$C$108,0)),"Unavailable"))</x:f>
      </x:c>
    </x:row>
    <x:row r="296" ht="26" customHeight="1">
      <x:c r="A296" s="1"/>
      <x:c r="B296" s="1"/>
      <x:c r="C296" s="9" t="str">
        <x:f>IF(Borrowers!C96="","",Borrowers!C96)</x:f>
      </x:c>
      <x:c r="D296" s="3" t="n">
        <x:v>3</x:v>
      </x:c>
      <x:c r="E296" s="9" t="n">
        <x:f>Settings!$F$18+2</x:f>
        <x:v>2029</x:v>
      </x:c>
      <x:c r="F296" s="9" t="str">
        <x:f>IF(C296="","",INDEX('Borrowers'!$F$9:$F$108,MATCH(C296,'Borrowers'!$C$9:$C$108,0)))</x:f>
      </x:c>
      <x:c r="G296" s="23" t="str">
        <x:f>IF(C296="","",IFERROR(INDEX('Borrowers'!$J$9:$J$108,MATCH(C296,'Borrowers'!$C$9:$C$108,0))-INDEX('Borrowers'!$K$9:$K$108,MATCH(C296,'Borrowers'!$C$9:$C$108,0)),"Unavailable"))</x:f>
      </x:c>
      <x:c r="H296" s="23" t="str">
        <x:f>IF(C296="","",IFERROR(INDEX('Borrowers'!$I$9:$I$108,MATCH(C296,'Borrowers'!$C$9:$C$108,0))*INDEX('Borrowers'!$U$9:$U$108,MATCH(C296,'Borrowers'!$C$9:$C$108,0))*(IF(F296="Transport",'Scenario Paths'!H156,IF(F296="Technology",'Scenario Paths'!H150,IF(F296="Utilities",'Scenario Paths'!H144,IF(F296="Agriculture",'Scenario Paths'!H138,IF(F296="Manufacturing",'Scenario Paths'!H132,IF(F296="Healthcare",'Scenario Paths'!H126,IF(F296="Hospitality",'Scenario Paths'!H120,IF(F296="Property",'Scenario Paths'!H114,IF(F296="Food",'Scenario Paths'!H108,IF(F296="Logistics",'Scenario Paths'!H102,IF(F296="Solar",'Scenario Paths'!H96,IF(F296="Cement",'Scenario Paths'!H90,0))))))))))))),"Unavailable"))</x:f>
      </x:c>
      <x:c r="I296" s="23" t="str">
        <x:f>IF(C296="","",IFERROR(INDEX('Borrowers'!$R$9:$R$108,MATCH(C296,'Borrowers'!$C$9:$C$108,0))*(1-INDEX('Borrowers'!$W$9:$W$108,MATCH(C296,'Borrowers'!$C$9:$C$108,0))*'Scenario Paths'!H39)*'Scenario Paths'!H9/1000000*(1-INDEX('Borrowers'!$T$9:$T$108,MATCH(C296,'Borrowers'!$C$9:$C$108,0))),"Unavailable"))</x:f>
      </x:c>
      <x:c r="J296" s="23" t="str">
        <x:f>IF(C296="","",IFERROR(INDEX('Borrowers'!$I$9:$I$108,MATCH(C296,'Borrowers'!$C$9:$C$108,0))*INDEX('Borrowers'!$S$9:$S$108,MATCH(C296,'Borrowers'!$C$9:$C$108,0))*'Scenario Paths'!H15*(1-INDEX('Borrowers'!$T$9:$T$108,MATCH(C296,'Borrowers'!$C$9:$C$108,0))),"Unavailable"))</x:f>
      </x:c>
      <x:c r="K296" s="23" t="str">
        <x:f>IF(C296="","",IFERROR(INDEX('Borrowers'!$I$9:$I$108,MATCH(C296,'Borrowers'!$C$9:$C$108,0))*INDEX('Borrowers'!$U$9:$U$108,MATCH(C296,'Borrowers'!$C$9:$C$108,0))*'Scenario Paths'!H21*S296,"Unavailable"))</x:f>
      </x:c>
      <x:c r="L296" s="23" t="str">
        <x:f>IF(C296="","",IFERROR(SUMPRODUCT((Sites!$D$9:$D$108=C296)*Sites!$H$9:$H$108*Sites!$J$9:$J$108*Sites!$K$9:$K$108*(1-Sites!$L$9:$L$108)*(1-Sites!$M$9:$M$108))*'Scenario Paths'!H27,"Unavailable"))</x:f>
      </x:c>
      <x:c r="M296" s="23" t="str">
        <x:f>IF(C296="","",IFERROR(INDEX('Borrowers'!$J$9:$J$108,MATCH(C296,'Borrowers'!$C$9:$C$108,0))+H296-SUM(I296:L296),"Unavailable"))</x:f>
      </x:c>
      <x:c r="N296" s="23" t="str">
        <x:f>IF(C296="","",IFERROR(INDEX('Borrowers'!$I$9:$I$108,MATCH(C296,'Borrowers'!$C$9:$C$108,0))*'Scenario Paths'!H33,"Unavailable"))</x:f>
      </x:c>
      <x:c r="O296" s="23" t="str">
        <x:f>IF(C296="","",IFERROR(M296-INDEX('Borrowers'!$K$9:$K$108,MATCH(C296,'Borrowers'!$C$9:$C$108,0))-N296,"Unavailable"))</x:f>
      </x:c>
      <x:c r="P296" s="127" t="str">
        <x:f>IF(C296="","",IFERROR(O296/INDEX('Borrowers'!$L$9:$L$108,MATCH(C296,'Borrowers'!$C$9:$C$108,0)),"Unavailable"))</x:f>
      </x:c>
      <x:c r="Q296" s="30" t="str">
        <x:f>IF(C296="","",IFERROR(IF(INDEX('Borrowers'!$Z$9:$Z$108,MATCH(C296,'Borrowers'!$C$9:$C$108,0))="Yes",1,IF(INDEX('Borrowers'!$P$9:$P$108,MATCH(C296,'Borrowers'!$C$9:$C$108,0))=0,0,MIN(1,INDEX('Borrowers'!$P$9:$P$108,MATCH(C296,'Borrowers'!$C$9:$C$108,0))*EXP(MIN(20,INDEX('Borrowers'!$V$9:$V$108,MATCH(C296,'Borrowers'!$C$9:$C$108,0))*V296))))),"Unavailable"))</x:f>
      </x:c>
      <x:c r="R296" s="30" t="str">
        <x:f>IF(C296="","",IFERROR(MIN(1,INDEX('Borrowers'!$Q$9:$Q$108,MATCH(C296,'Borrowers'!$C$9:$C$108,0))+(1-INDEX('Borrowers'!$Q$9:$Q$108,MATCH(C296,'Borrowers'!$C$9:$C$108,0)))*T296),"Unavailable"))</x:f>
      </x:c>
      <x:c r="S296" s="30" t="str">
        <x:f>IF(C296="","",IFERROR(SUMPRODUCT((Sites!$D$9:$D$108=C296)*Sites!$I$9:$I$108*Sites!$J$9:$J$108*Sites!$K$9:$K$108*(1-Sites!$L$9:$L$108)),"Unavailable"))</x:f>
      </x:c>
      <x:c r="T296" s="30" t="str">
        <x:f>IF(C296="","",IFERROR(MIN(1,(SUMPRODUCT((Sites!$D$9:$D$108=C296)*Sites!$N$9:$N$108*Sites!$J$9:$J$108*Sites!$K$9:$K$108*(1-Sites!$L$9:$L$108)))*'Scenario Paths'!H27),"Unavailable"))</x:f>
      </x:c>
      <x:c r="U296" s="9" t="str">
        <x:f>IF(C296="","",IF(OR(INDEX('Borrowers'!$AA$9:$AA$108,MATCH(C296,'Borrowers'!$C$9:$C$108,0))&lt;&gt;"Ready",COUNTIF(Sites!$D$9:$D$108,C296)=0,COUNTIFS(Sites!$D$9:$D$108,C296,Sites!$Q$9:$Q$108,"&lt;&gt;Ready")&gt;0,'Scenario Paths'!$F$6&lt;&gt;"Ready"),"Review source inputs","Ready"))</x:f>
      </x:c>
      <x:c r="V296" s="17" t="str">
        <x:f>IF(C296="","",IFERROR(MAX(-1,(G296-O296)/MAX(0.000001,G296)),"Unavailable"))</x:f>
      </x:c>
      <x:c r="W296" s="9" t="str">
        <x:f>IF(C296="","",IFERROR(INDEX('Borrowers'!$D$9:$D$108,MATCH(C296,'Borrowers'!$C$9:$C$108,0)),"Unavailable"))</x:f>
      </x:c>
    </x:row>
    <x:row r="297" ht="26" customHeight="1">
      <x:c r="A297" s="1"/>
      <x:c r="B297" s="1"/>
      <x:c r="C297" s="9" t="str">
        <x:f>IF(Borrowers!C97="","",Borrowers!C97)</x:f>
      </x:c>
      <x:c r="D297" s="3" t="n">
        <x:v>3</x:v>
      </x:c>
      <x:c r="E297" s="9" t="n">
        <x:f>Settings!$F$18+2</x:f>
        <x:v>2029</x:v>
      </x:c>
      <x:c r="F297" s="9" t="str">
        <x:f>IF(C297="","",INDEX('Borrowers'!$F$9:$F$108,MATCH(C297,'Borrowers'!$C$9:$C$108,0)))</x:f>
      </x:c>
      <x:c r="G297" s="23" t="str">
        <x:f>IF(C297="","",IFERROR(INDEX('Borrowers'!$J$9:$J$108,MATCH(C297,'Borrowers'!$C$9:$C$108,0))-INDEX('Borrowers'!$K$9:$K$108,MATCH(C297,'Borrowers'!$C$9:$C$108,0)),"Unavailable"))</x:f>
      </x:c>
      <x:c r="H297" s="23" t="str">
        <x:f>IF(C297="","",IFERROR(INDEX('Borrowers'!$I$9:$I$108,MATCH(C297,'Borrowers'!$C$9:$C$108,0))*INDEX('Borrowers'!$U$9:$U$108,MATCH(C297,'Borrowers'!$C$9:$C$108,0))*(IF(F297="Transport",'Scenario Paths'!H156,IF(F297="Technology",'Scenario Paths'!H150,IF(F297="Utilities",'Scenario Paths'!H144,IF(F297="Agriculture",'Scenario Paths'!H138,IF(F297="Manufacturing",'Scenario Paths'!H132,IF(F297="Healthcare",'Scenario Paths'!H126,IF(F297="Hospitality",'Scenario Paths'!H120,IF(F297="Property",'Scenario Paths'!H114,IF(F297="Food",'Scenario Paths'!H108,IF(F297="Logistics",'Scenario Paths'!H102,IF(F297="Solar",'Scenario Paths'!H96,IF(F297="Cement",'Scenario Paths'!H90,0))))))))))))),"Unavailable"))</x:f>
      </x:c>
      <x:c r="I297" s="23" t="str">
        <x:f>IF(C297="","",IFERROR(INDEX('Borrowers'!$R$9:$R$108,MATCH(C297,'Borrowers'!$C$9:$C$108,0))*(1-INDEX('Borrowers'!$W$9:$W$108,MATCH(C297,'Borrowers'!$C$9:$C$108,0))*'Scenario Paths'!H39)*'Scenario Paths'!H9/1000000*(1-INDEX('Borrowers'!$T$9:$T$108,MATCH(C297,'Borrowers'!$C$9:$C$108,0))),"Unavailable"))</x:f>
      </x:c>
      <x:c r="J297" s="23" t="str">
        <x:f>IF(C297="","",IFERROR(INDEX('Borrowers'!$I$9:$I$108,MATCH(C297,'Borrowers'!$C$9:$C$108,0))*INDEX('Borrowers'!$S$9:$S$108,MATCH(C297,'Borrowers'!$C$9:$C$108,0))*'Scenario Paths'!H15*(1-INDEX('Borrowers'!$T$9:$T$108,MATCH(C297,'Borrowers'!$C$9:$C$108,0))),"Unavailable"))</x:f>
      </x:c>
      <x:c r="K297" s="23" t="str">
        <x:f>IF(C297="","",IFERROR(INDEX('Borrowers'!$I$9:$I$108,MATCH(C297,'Borrowers'!$C$9:$C$108,0))*INDEX('Borrowers'!$U$9:$U$108,MATCH(C297,'Borrowers'!$C$9:$C$108,0))*'Scenario Paths'!H21*S297,"Unavailable"))</x:f>
      </x:c>
      <x:c r="L297" s="23" t="str">
        <x:f>IF(C297="","",IFERROR(SUMPRODUCT((Sites!$D$9:$D$108=C297)*Sites!$H$9:$H$108*Sites!$J$9:$J$108*Sites!$K$9:$K$108*(1-Sites!$L$9:$L$108)*(1-Sites!$M$9:$M$108))*'Scenario Paths'!H27,"Unavailable"))</x:f>
      </x:c>
      <x:c r="M297" s="23" t="str">
        <x:f>IF(C297="","",IFERROR(INDEX('Borrowers'!$J$9:$J$108,MATCH(C297,'Borrowers'!$C$9:$C$108,0))+H297-SUM(I297:L297),"Unavailable"))</x:f>
      </x:c>
      <x:c r="N297" s="23" t="str">
        <x:f>IF(C297="","",IFERROR(INDEX('Borrowers'!$I$9:$I$108,MATCH(C297,'Borrowers'!$C$9:$C$108,0))*'Scenario Paths'!H33,"Unavailable"))</x:f>
      </x:c>
      <x:c r="O297" s="23" t="str">
        <x:f>IF(C297="","",IFERROR(M297-INDEX('Borrowers'!$K$9:$K$108,MATCH(C297,'Borrowers'!$C$9:$C$108,0))-N297,"Unavailable"))</x:f>
      </x:c>
      <x:c r="P297" s="127" t="str">
        <x:f>IF(C297="","",IFERROR(O297/INDEX('Borrowers'!$L$9:$L$108,MATCH(C297,'Borrowers'!$C$9:$C$108,0)),"Unavailable"))</x:f>
      </x:c>
      <x:c r="Q297" s="30" t="str">
        <x:f>IF(C297="","",IFERROR(IF(INDEX('Borrowers'!$Z$9:$Z$108,MATCH(C297,'Borrowers'!$C$9:$C$108,0))="Yes",1,IF(INDEX('Borrowers'!$P$9:$P$108,MATCH(C297,'Borrowers'!$C$9:$C$108,0))=0,0,MIN(1,INDEX('Borrowers'!$P$9:$P$108,MATCH(C297,'Borrowers'!$C$9:$C$108,0))*EXP(MIN(20,INDEX('Borrowers'!$V$9:$V$108,MATCH(C297,'Borrowers'!$C$9:$C$108,0))*V297))))),"Unavailable"))</x:f>
      </x:c>
      <x:c r="R297" s="30" t="str">
        <x:f>IF(C297="","",IFERROR(MIN(1,INDEX('Borrowers'!$Q$9:$Q$108,MATCH(C297,'Borrowers'!$C$9:$C$108,0))+(1-INDEX('Borrowers'!$Q$9:$Q$108,MATCH(C297,'Borrowers'!$C$9:$C$108,0)))*T297),"Unavailable"))</x:f>
      </x:c>
      <x:c r="S297" s="30" t="str">
        <x:f>IF(C297="","",IFERROR(SUMPRODUCT((Sites!$D$9:$D$108=C297)*Sites!$I$9:$I$108*Sites!$J$9:$J$108*Sites!$K$9:$K$108*(1-Sites!$L$9:$L$108)),"Unavailable"))</x:f>
      </x:c>
      <x:c r="T297" s="30" t="str">
        <x:f>IF(C297="","",IFERROR(MIN(1,(SUMPRODUCT((Sites!$D$9:$D$108=C297)*Sites!$N$9:$N$108*Sites!$J$9:$J$108*Sites!$K$9:$K$108*(1-Sites!$L$9:$L$108)))*'Scenario Paths'!H27),"Unavailable"))</x:f>
      </x:c>
      <x:c r="U297" s="9" t="str">
        <x:f>IF(C297="","",IF(OR(INDEX('Borrowers'!$AA$9:$AA$108,MATCH(C297,'Borrowers'!$C$9:$C$108,0))&lt;&gt;"Ready",COUNTIF(Sites!$D$9:$D$108,C297)=0,COUNTIFS(Sites!$D$9:$D$108,C297,Sites!$Q$9:$Q$108,"&lt;&gt;Ready")&gt;0,'Scenario Paths'!$F$6&lt;&gt;"Ready"),"Review source inputs","Ready"))</x:f>
      </x:c>
      <x:c r="V297" s="17" t="str">
        <x:f>IF(C297="","",IFERROR(MAX(-1,(G297-O297)/MAX(0.000001,G297)),"Unavailable"))</x:f>
      </x:c>
      <x:c r="W297" s="9" t="str">
        <x:f>IF(C297="","",IFERROR(INDEX('Borrowers'!$D$9:$D$108,MATCH(C297,'Borrowers'!$C$9:$C$108,0)),"Unavailable"))</x:f>
      </x:c>
    </x:row>
    <x:row r="298" ht="26" customHeight="1">
      <x:c r="A298" s="1"/>
      <x:c r="B298" s="1"/>
      <x:c r="C298" s="9" t="str">
        <x:f>IF(Borrowers!C98="","",Borrowers!C98)</x:f>
      </x:c>
      <x:c r="D298" s="3" t="n">
        <x:v>3</x:v>
      </x:c>
      <x:c r="E298" s="9" t="n">
        <x:f>Settings!$F$18+2</x:f>
        <x:v>2029</x:v>
      </x:c>
      <x:c r="F298" s="9" t="str">
        <x:f>IF(C298="","",INDEX('Borrowers'!$F$9:$F$108,MATCH(C298,'Borrowers'!$C$9:$C$108,0)))</x:f>
      </x:c>
      <x:c r="G298" s="23" t="str">
        <x:f>IF(C298="","",IFERROR(INDEX('Borrowers'!$J$9:$J$108,MATCH(C298,'Borrowers'!$C$9:$C$108,0))-INDEX('Borrowers'!$K$9:$K$108,MATCH(C298,'Borrowers'!$C$9:$C$108,0)),"Unavailable"))</x:f>
      </x:c>
      <x:c r="H298" s="23" t="str">
        <x:f>IF(C298="","",IFERROR(INDEX('Borrowers'!$I$9:$I$108,MATCH(C298,'Borrowers'!$C$9:$C$108,0))*INDEX('Borrowers'!$U$9:$U$108,MATCH(C298,'Borrowers'!$C$9:$C$108,0))*(IF(F298="Transport",'Scenario Paths'!H156,IF(F298="Technology",'Scenario Paths'!H150,IF(F298="Utilities",'Scenario Paths'!H144,IF(F298="Agriculture",'Scenario Paths'!H138,IF(F298="Manufacturing",'Scenario Paths'!H132,IF(F298="Healthcare",'Scenario Paths'!H126,IF(F298="Hospitality",'Scenario Paths'!H120,IF(F298="Property",'Scenario Paths'!H114,IF(F298="Food",'Scenario Paths'!H108,IF(F298="Logistics",'Scenario Paths'!H102,IF(F298="Solar",'Scenario Paths'!H96,IF(F298="Cement",'Scenario Paths'!H90,0))))))))))))),"Unavailable"))</x:f>
      </x:c>
      <x:c r="I298" s="23" t="str">
        <x:f>IF(C298="","",IFERROR(INDEX('Borrowers'!$R$9:$R$108,MATCH(C298,'Borrowers'!$C$9:$C$108,0))*(1-INDEX('Borrowers'!$W$9:$W$108,MATCH(C298,'Borrowers'!$C$9:$C$108,0))*'Scenario Paths'!H39)*'Scenario Paths'!H9/1000000*(1-INDEX('Borrowers'!$T$9:$T$108,MATCH(C298,'Borrowers'!$C$9:$C$108,0))),"Unavailable"))</x:f>
      </x:c>
      <x:c r="J298" s="23" t="str">
        <x:f>IF(C298="","",IFERROR(INDEX('Borrowers'!$I$9:$I$108,MATCH(C298,'Borrowers'!$C$9:$C$108,0))*INDEX('Borrowers'!$S$9:$S$108,MATCH(C298,'Borrowers'!$C$9:$C$108,0))*'Scenario Paths'!H15*(1-INDEX('Borrowers'!$T$9:$T$108,MATCH(C298,'Borrowers'!$C$9:$C$108,0))),"Unavailable"))</x:f>
      </x:c>
      <x:c r="K298" s="23" t="str">
        <x:f>IF(C298="","",IFERROR(INDEX('Borrowers'!$I$9:$I$108,MATCH(C298,'Borrowers'!$C$9:$C$108,0))*INDEX('Borrowers'!$U$9:$U$108,MATCH(C298,'Borrowers'!$C$9:$C$108,0))*'Scenario Paths'!H21*S298,"Unavailable"))</x:f>
      </x:c>
      <x:c r="L298" s="23" t="str">
        <x:f>IF(C298="","",IFERROR(SUMPRODUCT((Sites!$D$9:$D$108=C298)*Sites!$H$9:$H$108*Sites!$J$9:$J$108*Sites!$K$9:$K$108*(1-Sites!$L$9:$L$108)*(1-Sites!$M$9:$M$108))*'Scenario Paths'!H27,"Unavailable"))</x:f>
      </x:c>
      <x:c r="M298" s="23" t="str">
        <x:f>IF(C298="","",IFERROR(INDEX('Borrowers'!$J$9:$J$108,MATCH(C298,'Borrowers'!$C$9:$C$108,0))+H298-SUM(I298:L298),"Unavailable"))</x:f>
      </x:c>
      <x:c r="N298" s="23" t="str">
        <x:f>IF(C298="","",IFERROR(INDEX('Borrowers'!$I$9:$I$108,MATCH(C298,'Borrowers'!$C$9:$C$108,0))*'Scenario Paths'!H33,"Unavailable"))</x:f>
      </x:c>
      <x:c r="O298" s="23" t="str">
        <x:f>IF(C298="","",IFERROR(M298-INDEX('Borrowers'!$K$9:$K$108,MATCH(C298,'Borrowers'!$C$9:$C$108,0))-N298,"Unavailable"))</x:f>
      </x:c>
      <x:c r="P298" s="127" t="str">
        <x:f>IF(C298="","",IFERROR(O298/INDEX('Borrowers'!$L$9:$L$108,MATCH(C298,'Borrowers'!$C$9:$C$108,0)),"Unavailable"))</x:f>
      </x:c>
      <x:c r="Q298" s="30" t="str">
        <x:f>IF(C298="","",IFERROR(IF(INDEX('Borrowers'!$Z$9:$Z$108,MATCH(C298,'Borrowers'!$C$9:$C$108,0))="Yes",1,IF(INDEX('Borrowers'!$P$9:$P$108,MATCH(C298,'Borrowers'!$C$9:$C$108,0))=0,0,MIN(1,INDEX('Borrowers'!$P$9:$P$108,MATCH(C298,'Borrowers'!$C$9:$C$108,0))*EXP(MIN(20,INDEX('Borrowers'!$V$9:$V$108,MATCH(C298,'Borrowers'!$C$9:$C$108,0))*V298))))),"Unavailable"))</x:f>
      </x:c>
      <x:c r="R298" s="30" t="str">
        <x:f>IF(C298="","",IFERROR(MIN(1,INDEX('Borrowers'!$Q$9:$Q$108,MATCH(C298,'Borrowers'!$C$9:$C$108,0))+(1-INDEX('Borrowers'!$Q$9:$Q$108,MATCH(C298,'Borrowers'!$C$9:$C$108,0)))*T298),"Unavailable"))</x:f>
      </x:c>
      <x:c r="S298" s="30" t="str">
        <x:f>IF(C298="","",IFERROR(SUMPRODUCT((Sites!$D$9:$D$108=C298)*Sites!$I$9:$I$108*Sites!$J$9:$J$108*Sites!$K$9:$K$108*(1-Sites!$L$9:$L$108)),"Unavailable"))</x:f>
      </x:c>
      <x:c r="T298" s="30" t="str">
        <x:f>IF(C298="","",IFERROR(MIN(1,(SUMPRODUCT((Sites!$D$9:$D$108=C298)*Sites!$N$9:$N$108*Sites!$J$9:$J$108*Sites!$K$9:$K$108*(1-Sites!$L$9:$L$108)))*'Scenario Paths'!H27),"Unavailable"))</x:f>
      </x:c>
      <x:c r="U298" s="9" t="str">
        <x:f>IF(C298="","",IF(OR(INDEX('Borrowers'!$AA$9:$AA$108,MATCH(C298,'Borrowers'!$C$9:$C$108,0))&lt;&gt;"Ready",COUNTIF(Sites!$D$9:$D$108,C298)=0,COUNTIFS(Sites!$D$9:$D$108,C298,Sites!$Q$9:$Q$108,"&lt;&gt;Ready")&gt;0,'Scenario Paths'!$F$6&lt;&gt;"Ready"),"Review source inputs","Ready"))</x:f>
      </x:c>
      <x:c r="V298" s="17" t="str">
        <x:f>IF(C298="","",IFERROR(MAX(-1,(G298-O298)/MAX(0.000001,G298)),"Unavailable"))</x:f>
      </x:c>
      <x:c r="W298" s="9" t="str">
        <x:f>IF(C298="","",IFERROR(INDEX('Borrowers'!$D$9:$D$108,MATCH(C298,'Borrowers'!$C$9:$C$108,0)),"Unavailable"))</x:f>
      </x:c>
    </x:row>
    <x:row r="299" ht="26" customHeight="1">
      <x:c r="A299" s="1"/>
      <x:c r="B299" s="1"/>
      <x:c r="C299" s="9" t="str">
        <x:f>IF(Borrowers!C99="","",Borrowers!C99)</x:f>
      </x:c>
      <x:c r="D299" s="3" t="n">
        <x:v>3</x:v>
      </x:c>
      <x:c r="E299" s="9" t="n">
        <x:f>Settings!$F$18+2</x:f>
        <x:v>2029</x:v>
      </x:c>
      <x:c r="F299" s="9" t="str">
        <x:f>IF(C299="","",INDEX('Borrowers'!$F$9:$F$108,MATCH(C299,'Borrowers'!$C$9:$C$108,0)))</x:f>
      </x:c>
      <x:c r="G299" s="23" t="str">
        <x:f>IF(C299="","",IFERROR(INDEX('Borrowers'!$J$9:$J$108,MATCH(C299,'Borrowers'!$C$9:$C$108,0))-INDEX('Borrowers'!$K$9:$K$108,MATCH(C299,'Borrowers'!$C$9:$C$108,0)),"Unavailable"))</x:f>
      </x:c>
      <x:c r="H299" s="23" t="str">
        <x:f>IF(C299="","",IFERROR(INDEX('Borrowers'!$I$9:$I$108,MATCH(C299,'Borrowers'!$C$9:$C$108,0))*INDEX('Borrowers'!$U$9:$U$108,MATCH(C299,'Borrowers'!$C$9:$C$108,0))*(IF(F299="Transport",'Scenario Paths'!H156,IF(F299="Technology",'Scenario Paths'!H150,IF(F299="Utilities",'Scenario Paths'!H144,IF(F299="Agriculture",'Scenario Paths'!H138,IF(F299="Manufacturing",'Scenario Paths'!H132,IF(F299="Healthcare",'Scenario Paths'!H126,IF(F299="Hospitality",'Scenario Paths'!H120,IF(F299="Property",'Scenario Paths'!H114,IF(F299="Food",'Scenario Paths'!H108,IF(F299="Logistics",'Scenario Paths'!H102,IF(F299="Solar",'Scenario Paths'!H96,IF(F299="Cement",'Scenario Paths'!H90,0))))))))))))),"Unavailable"))</x:f>
      </x:c>
      <x:c r="I299" s="23" t="str">
        <x:f>IF(C299="","",IFERROR(INDEX('Borrowers'!$R$9:$R$108,MATCH(C299,'Borrowers'!$C$9:$C$108,0))*(1-INDEX('Borrowers'!$W$9:$W$108,MATCH(C299,'Borrowers'!$C$9:$C$108,0))*'Scenario Paths'!H39)*'Scenario Paths'!H9/1000000*(1-INDEX('Borrowers'!$T$9:$T$108,MATCH(C299,'Borrowers'!$C$9:$C$108,0))),"Unavailable"))</x:f>
      </x:c>
      <x:c r="J299" s="23" t="str">
        <x:f>IF(C299="","",IFERROR(INDEX('Borrowers'!$I$9:$I$108,MATCH(C299,'Borrowers'!$C$9:$C$108,0))*INDEX('Borrowers'!$S$9:$S$108,MATCH(C299,'Borrowers'!$C$9:$C$108,0))*'Scenario Paths'!H15*(1-INDEX('Borrowers'!$T$9:$T$108,MATCH(C299,'Borrowers'!$C$9:$C$108,0))),"Unavailable"))</x:f>
      </x:c>
      <x:c r="K299" s="23" t="str">
        <x:f>IF(C299="","",IFERROR(INDEX('Borrowers'!$I$9:$I$108,MATCH(C299,'Borrowers'!$C$9:$C$108,0))*INDEX('Borrowers'!$U$9:$U$108,MATCH(C299,'Borrowers'!$C$9:$C$108,0))*'Scenario Paths'!H21*S299,"Unavailable"))</x:f>
      </x:c>
      <x:c r="L299" s="23" t="str">
        <x:f>IF(C299="","",IFERROR(SUMPRODUCT((Sites!$D$9:$D$108=C299)*Sites!$H$9:$H$108*Sites!$J$9:$J$108*Sites!$K$9:$K$108*(1-Sites!$L$9:$L$108)*(1-Sites!$M$9:$M$108))*'Scenario Paths'!H27,"Unavailable"))</x:f>
      </x:c>
      <x:c r="M299" s="23" t="str">
        <x:f>IF(C299="","",IFERROR(INDEX('Borrowers'!$J$9:$J$108,MATCH(C299,'Borrowers'!$C$9:$C$108,0))+H299-SUM(I299:L299),"Unavailable"))</x:f>
      </x:c>
      <x:c r="N299" s="23" t="str">
        <x:f>IF(C299="","",IFERROR(INDEX('Borrowers'!$I$9:$I$108,MATCH(C299,'Borrowers'!$C$9:$C$108,0))*'Scenario Paths'!H33,"Unavailable"))</x:f>
      </x:c>
      <x:c r="O299" s="23" t="str">
        <x:f>IF(C299="","",IFERROR(M299-INDEX('Borrowers'!$K$9:$K$108,MATCH(C299,'Borrowers'!$C$9:$C$108,0))-N299,"Unavailable"))</x:f>
      </x:c>
      <x:c r="P299" s="127" t="str">
        <x:f>IF(C299="","",IFERROR(O299/INDEX('Borrowers'!$L$9:$L$108,MATCH(C299,'Borrowers'!$C$9:$C$108,0)),"Unavailable"))</x:f>
      </x:c>
      <x:c r="Q299" s="30" t="str">
        <x:f>IF(C299="","",IFERROR(IF(INDEX('Borrowers'!$Z$9:$Z$108,MATCH(C299,'Borrowers'!$C$9:$C$108,0))="Yes",1,IF(INDEX('Borrowers'!$P$9:$P$108,MATCH(C299,'Borrowers'!$C$9:$C$108,0))=0,0,MIN(1,INDEX('Borrowers'!$P$9:$P$108,MATCH(C299,'Borrowers'!$C$9:$C$108,0))*EXP(MIN(20,INDEX('Borrowers'!$V$9:$V$108,MATCH(C299,'Borrowers'!$C$9:$C$108,0))*V299))))),"Unavailable"))</x:f>
      </x:c>
      <x:c r="R299" s="30" t="str">
        <x:f>IF(C299="","",IFERROR(MIN(1,INDEX('Borrowers'!$Q$9:$Q$108,MATCH(C299,'Borrowers'!$C$9:$C$108,0))+(1-INDEX('Borrowers'!$Q$9:$Q$108,MATCH(C299,'Borrowers'!$C$9:$C$108,0)))*T299),"Unavailable"))</x:f>
      </x:c>
      <x:c r="S299" s="30" t="str">
        <x:f>IF(C299="","",IFERROR(SUMPRODUCT((Sites!$D$9:$D$108=C299)*Sites!$I$9:$I$108*Sites!$J$9:$J$108*Sites!$K$9:$K$108*(1-Sites!$L$9:$L$108)),"Unavailable"))</x:f>
      </x:c>
      <x:c r="T299" s="30" t="str">
        <x:f>IF(C299="","",IFERROR(MIN(1,(SUMPRODUCT((Sites!$D$9:$D$108=C299)*Sites!$N$9:$N$108*Sites!$J$9:$J$108*Sites!$K$9:$K$108*(1-Sites!$L$9:$L$108)))*'Scenario Paths'!H27),"Unavailable"))</x:f>
      </x:c>
      <x:c r="U299" s="9" t="str">
        <x:f>IF(C299="","",IF(OR(INDEX('Borrowers'!$AA$9:$AA$108,MATCH(C299,'Borrowers'!$C$9:$C$108,0))&lt;&gt;"Ready",COUNTIF(Sites!$D$9:$D$108,C299)=0,COUNTIFS(Sites!$D$9:$D$108,C299,Sites!$Q$9:$Q$108,"&lt;&gt;Ready")&gt;0,'Scenario Paths'!$F$6&lt;&gt;"Ready"),"Review source inputs","Ready"))</x:f>
      </x:c>
      <x:c r="V299" s="17" t="str">
        <x:f>IF(C299="","",IFERROR(MAX(-1,(G299-O299)/MAX(0.000001,G299)),"Unavailable"))</x:f>
      </x:c>
      <x:c r="W299" s="9" t="str">
        <x:f>IF(C299="","",IFERROR(INDEX('Borrowers'!$D$9:$D$108,MATCH(C299,'Borrowers'!$C$9:$C$108,0)),"Unavailable"))</x:f>
      </x:c>
    </x:row>
    <x:row r="300" ht="26" customHeight="1">
      <x:c r="A300" s="1"/>
      <x:c r="B300" s="1"/>
      <x:c r="C300" s="9" t="str">
        <x:f>IF(Borrowers!C100="","",Borrowers!C100)</x:f>
      </x:c>
      <x:c r="D300" s="3" t="n">
        <x:v>3</x:v>
      </x:c>
      <x:c r="E300" s="9" t="n">
        <x:f>Settings!$F$18+2</x:f>
        <x:v>2029</x:v>
      </x:c>
      <x:c r="F300" s="9" t="str">
        <x:f>IF(C300="","",INDEX('Borrowers'!$F$9:$F$108,MATCH(C300,'Borrowers'!$C$9:$C$108,0)))</x:f>
      </x:c>
      <x:c r="G300" s="23" t="str">
        <x:f>IF(C300="","",IFERROR(INDEX('Borrowers'!$J$9:$J$108,MATCH(C300,'Borrowers'!$C$9:$C$108,0))-INDEX('Borrowers'!$K$9:$K$108,MATCH(C300,'Borrowers'!$C$9:$C$108,0)),"Unavailable"))</x:f>
      </x:c>
      <x:c r="H300" s="23" t="str">
        <x:f>IF(C300="","",IFERROR(INDEX('Borrowers'!$I$9:$I$108,MATCH(C300,'Borrowers'!$C$9:$C$108,0))*INDEX('Borrowers'!$U$9:$U$108,MATCH(C300,'Borrowers'!$C$9:$C$108,0))*(IF(F300="Transport",'Scenario Paths'!H156,IF(F300="Technology",'Scenario Paths'!H150,IF(F300="Utilities",'Scenario Paths'!H144,IF(F300="Agriculture",'Scenario Paths'!H138,IF(F300="Manufacturing",'Scenario Paths'!H132,IF(F300="Healthcare",'Scenario Paths'!H126,IF(F300="Hospitality",'Scenario Paths'!H120,IF(F300="Property",'Scenario Paths'!H114,IF(F300="Food",'Scenario Paths'!H108,IF(F300="Logistics",'Scenario Paths'!H102,IF(F300="Solar",'Scenario Paths'!H96,IF(F300="Cement",'Scenario Paths'!H90,0))))))))))))),"Unavailable"))</x:f>
      </x:c>
      <x:c r="I300" s="23" t="str">
        <x:f>IF(C300="","",IFERROR(INDEX('Borrowers'!$R$9:$R$108,MATCH(C300,'Borrowers'!$C$9:$C$108,0))*(1-INDEX('Borrowers'!$W$9:$W$108,MATCH(C300,'Borrowers'!$C$9:$C$108,0))*'Scenario Paths'!H39)*'Scenario Paths'!H9/1000000*(1-INDEX('Borrowers'!$T$9:$T$108,MATCH(C300,'Borrowers'!$C$9:$C$108,0))),"Unavailable"))</x:f>
      </x:c>
      <x:c r="J300" s="23" t="str">
        <x:f>IF(C300="","",IFERROR(INDEX('Borrowers'!$I$9:$I$108,MATCH(C300,'Borrowers'!$C$9:$C$108,0))*INDEX('Borrowers'!$S$9:$S$108,MATCH(C300,'Borrowers'!$C$9:$C$108,0))*'Scenario Paths'!H15*(1-INDEX('Borrowers'!$T$9:$T$108,MATCH(C300,'Borrowers'!$C$9:$C$108,0))),"Unavailable"))</x:f>
      </x:c>
      <x:c r="K300" s="23" t="str">
        <x:f>IF(C300="","",IFERROR(INDEX('Borrowers'!$I$9:$I$108,MATCH(C300,'Borrowers'!$C$9:$C$108,0))*INDEX('Borrowers'!$U$9:$U$108,MATCH(C300,'Borrowers'!$C$9:$C$108,0))*'Scenario Paths'!H21*S300,"Unavailable"))</x:f>
      </x:c>
      <x:c r="L300" s="23" t="str">
        <x:f>IF(C300="","",IFERROR(SUMPRODUCT((Sites!$D$9:$D$108=C300)*Sites!$H$9:$H$108*Sites!$J$9:$J$108*Sites!$K$9:$K$108*(1-Sites!$L$9:$L$108)*(1-Sites!$M$9:$M$108))*'Scenario Paths'!H27,"Unavailable"))</x:f>
      </x:c>
      <x:c r="M300" s="23" t="str">
        <x:f>IF(C300="","",IFERROR(INDEX('Borrowers'!$J$9:$J$108,MATCH(C300,'Borrowers'!$C$9:$C$108,0))+H300-SUM(I300:L300),"Unavailable"))</x:f>
      </x:c>
      <x:c r="N300" s="23" t="str">
        <x:f>IF(C300="","",IFERROR(INDEX('Borrowers'!$I$9:$I$108,MATCH(C300,'Borrowers'!$C$9:$C$108,0))*'Scenario Paths'!H33,"Unavailable"))</x:f>
      </x:c>
      <x:c r="O300" s="23" t="str">
        <x:f>IF(C300="","",IFERROR(M300-INDEX('Borrowers'!$K$9:$K$108,MATCH(C300,'Borrowers'!$C$9:$C$108,0))-N300,"Unavailable"))</x:f>
      </x:c>
      <x:c r="P300" s="127" t="str">
        <x:f>IF(C300="","",IFERROR(O300/INDEX('Borrowers'!$L$9:$L$108,MATCH(C300,'Borrowers'!$C$9:$C$108,0)),"Unavailable"))</x:f>
      </x:c>
      <x:c r="Q300" s="30" t="str">
        <x:f>IF(C300="","",IFERROR(IF(INDEX('Borrowers'!$Z$9:$Z$108,MATCH(C300,'Borrowers'!$C$9:$C$108,0))="Yes",1,IF(INDEX('Borrowers'!$P$9:$P$108,MATCH(C300,'Borrowers'!$C$9:$C$108,0))=0,0,MIN(1,INDEX('Borrowers'!$P$9:$P$108,MATCH(C300,'Borrowers'!$C$9:$C$108,0))*EXP(MIN(20,INDEX('Borrowers'!$V$9:$V$108,MATCH(C300,'Borrowers'!$C$9:$C$108,0))*V300))))),"Unavailable"))</x:f>
      </x:c>
      <x:c r="R300" s="30" t="str">
        <x:f>IF(C300="","",IFERROR(MIN(1,INDEX('Borrowers'!$Q$9:$Q$108,MATCH(C300,'Borrowers'!$C$9:$C$108,0))+(1-INDEX('Borrowers'!$Q$9:$Q$108,MATCH(C300,'Borrowers'!$C$9:$C$108,0)))*T300),"Unavailable"))</x:f>
      </x:c>
      <x:c r="S300" s="30" t="str">
        <x:f>IF(C300="","",IFERROR(SUMPRODUCT((Sites!$D$9:$D$108=C300)*Sites!$I$9:$I$108*Sites!$J$9:$J$108*Sites!$K$9:$K$108*(1-Sites!$L$9:$L$108)),"Unavailable"))</x:f>
      </x:c>
      <x:c r="T300" s="30" t="str">
        <x:f>IF(C300="","",IFERROR(MIN(1,(SUMPRODUCT((Sites!$D$9:$D$108=C300)*Sites!$N$9:$N$108*Sites!$J$9:$J$108*Sites!$K$9:$K$108*(1-Sites!$L$9:$L$108)))*'Scenario Paths'!H27),"Unavailable"))</x:f>
      </x:c>
      <x:c r="U300" s="9" t="str">
        <x:f>IF(C300="","",IF(OR(INDEX('Borrowers'!$AA$9:$AA$108,MATCH(C300,'Borrowers'!$C$9:$C$108,0))&lt;&gt;"Ready",COUNTIF(Sites!$D$9:$D$108,C300)=0,COUNTIFS(Sites!$D$9:$D$108,C300,Sites!$Q$9:$Q$108,"&lt;&gt;Ready")&gt;0,'Scenario Paths'!$F$6&lt;&gt;"Ready"),"Review source inputs","Ready"))</x:f>
      </x:c>
      <x:c r="V300" s="17" t="str">
        <x:f>IF(C300="","",IFERROR(MAX(-1,(G300-O300)/MAX(0.000001,G300)),"Unavailable"))</x:f>
      </x:c>
      <x:c r="W300" s="9" t="str">
        <x:f>IF(C300="","",IFERROR(INDEX('Borrowers'!$D$9:$D$108,MATCH(C300,'Borrowers'!$C$9:$C$108,0)),"Unavailable"))</x:f>
      </x:c>
    </x:row>
    <x:row r="301" ht="26" customHeight="1">
      <x:c r="A301" s="1"/>
      <x:c r="B301" s="1"/>
      <x:c r="C301" s="9" t="str">
        <x:f>IF(Borrowers!C101="","",Borrowers!C101)</x:f>
      </x:c>
      <x:c r="D301" s="3" t="n">
        <x:v>3</x:v>
      </x:c>
      <x:c r="E301" s="9" t="n">
        <x:f>Settings!$F$18+2</x:f>
        <x:v>2029</x:v>
      </x:c>
      <x:c r="F301" s="9" t="str">
        <x:f>IF(C301="","",INDEX('Borrowers'!$F$9:$F$108,MATCH(C301,'Borrowers'!$C$9:$C$108,0)))</x:f>
      </x:c>
      <x:c r="G301" s="23" t="str">
        <x:f>IF(C301="","",IFERROR(INDEX('Borrowers'!$J$9:$J$108,MATCH(C301,'Borrowers'!$C$9:$C$108,0))-INDEX('Borrowers'!$K$9:$K$108,MATCH(C301,'Borrowers'!$C$9:$C$108,0)),"Unavailable"))</x:f>
      </x:c>
      <x:c r="H301" s="23" t="str">
        <x:f>IF(C301="","",IFERROR(INDEX('Borrowers'!$I$9:$I$108,MATCH(C301,'Borrowers'!$C$9:$C$108,0))*INDEX('Borrowers'!$U$9:$U$108,MATCH(C301,'Borrowers'!$C$9:$C$108,0))*(IF(F301="Transport",'Scenario Paths'!H156,IF(F301="Technology",'Scenario Paths'!H150,IF(F301="Utilities",'Scenario Paths'!H144,IF(F301="Agriculture",'Scenario Paths'!H138,IF(F301="Manufacturing",'Scenario Paths'!H132,IF(F301="Healthcare",'Scenario Paths'!H126,IF(F301="Hospitality",'Scenario Paths'!H120,IF(F301="Property",'Scenario Paths'!H114,IF(F301="Food",'Scenario Paths'!H108,IF(F301="Logistics",'Scenario Paths'!H102,IF(F301="Solar",'Scenario Paths'!H96,IF(F301="Cement",'Scenario Paths'!H90,0))))))))))))),"Unavailable"))</x:f>
      </x:c>
      <x:c r="I301" s="23" t="str">
        <x:f>IF(C301="","",IFERROR(INDEX('Borrowers'!$R$9:$R$108,MATCH(C301,'Borrowers'!$C$9:$C$108,0))*(1-INDEX('Borrowers'!$W$9:$W$108,MATCH(C301,'Borrowers'!$C$9:$C$108,0))*'Scenario Paths'!H39)*'Scenario Paths'!H9/1000000*(1-INDEX('Borrowers'!$T$9:$T$108,MATCH(C301,'Borrowers'!$C$9:$C$108,0))),"Unavailable"))</x:f>
      </x:c>
      <x:c r="J301" s="23" t="str">
        <x:f>IF(C301="","",IFERROR(INDEX('Borrowers'!$I$9:$I$108,MATCH(C301,'Borrowers'!$C$9:$C$108,0))*INDEX('Borrowers'!$S$9:$S$108,MATCH(C301,'Borrowers'!$C$9:$C$108,0))*'Scenario Paths'!H15*(1-INDEX('Borrowers'!$T$9:$T$108,MATCH(C301,'Borrowers'!$C$9:$C$108,0))),"Unavailable"))</x:f>
      </x:c>
      <x:c r="K301" s="23" t="str">
        <x:f>IF(C301="","",IFERROR(INDEX('Borrowers'!$I$9:$I$108,MATCH(C301,'Borrowers'!$C$9:$C$108,0))*INDEX('Borrowers'!$U$9:$U$108,MATCH(C301,'Borrowers'!$C$9:$C$108,0))*'Scenario Paths'!H21*S301,"Unavailable"))</x:f>
      </x:c>
      <x:c r="L301" s="23" t="str">
        <x:f>IF(C301="","",IFERROR(SUMPRODUCT((Sites!$D$9:$D$108=C301)*Sites!$H$9:$H$108*Sites!$J$9:$J$108*Sites!$K$9:$K$108*(1-Sites!$L$9:$L$108)*(1-Sites!$M$9:$M$108))*'Scenario Paths'!H27,"Unavailable"))</x:f>
      </x:c>
      <x:c r="M301" s="23" t="str">
        <x:f>IF(C301="","",IFERROR(INDEX('Borrowers'!$J$9:$J$108,MATCH(C301,'Borrowers'!$C$9:$C$108,0))+H301-SUM(I301:L301),"Unavailable"))</x:f>
      </x:c>
      <x:c r="N301" s="23" t="str">
        <x:f>IF(C301="","",IFERROR(INDEX('Borrowers'!$I$9:$I$108,MATCH(C301,'Borrowers'!$C$9:$C$108,0))*'Scenario Paths'!H33,"Unavailable"))</x:f>
      </x:c>
      <x:c r="O301" s="23" t="str">
        <x:f>IF(C301="","",IFERROR(M301-INDEX('Borrowers'!$K$9:$K$108,MATCH(C301,'Borrowers'!$C$9:$C$108,0))-N301,"Unavailable"))</x:f>
      </x:c>
      <x:c r="P301" s="127" t="str">
        <x:f>IF(C301="","",IFERROR(O301/INDEX('Borrowers'!$L$9:$L$108,MATCH(C301,'Borrowers'!$C$9:$C$108,0)),"Unavailable"))</x:f>
      </x:c>
      <x:c r="Q301" s="30" t="str">
        <x:f>IF(C301="","",IFERROR(IF(INDEX('Borrowers'!$Z$9:$Z$108,MATCH(C301,'Borrowers'!$C$9:$C$108,0))="Yes",1,IF(INDEX('Borrowers'!$P$9:$P$108,MATCH(C301,'Borrowers'!$C$9:$C$108,0))=0,0,MIN(1,INDEX('Borrowers'!$P$9:$P$108,MATCH(C301,'Borrowers'!$C$9:$C$108,0))*EXP(MIN(20,INDEX('Borrowers'!$V$9:$V$108,MATCH(C301,'Borrowers'!$C$9:$C$108,0))*V301))))),"Unavailable"))</x:f>
      </x:c>
      <x:c r="R301" s="30" t="str">
        <x:f>IF(C301="","",IFERROR(MIN(1,INDEX('Borrowers'!$Q$9:$Q$108,MATCH(C301,'Borrowers'!$C$9:$C$108,0))+(1-INDEX('Borrowers'!$Q$9:$Q$108,MATCH(C301,'Borrowers'!$C$9:$C$108,0)))*T301),"Unavailable"))</x:f>
      </x:c>
      <x:c r="S301" s="30" t="str">
        <x:f>IF(C301="","",IFERROR(SUMPRODUCT((Sites!$D$9:$D$108=C301)*Sites!$I$9:$I$108*Sites!$J$9:$J$108*Sites!$K$9:$K$108*(1-Sites!$L$9:$L$108)),"Unavailable"))</x:f>
      </x:c>
      <x:c r="T301" s="30" t="str">
        <x:f>IF(C301="","",IFERROR(MIN(1,(SUMPRODUCT((Sites!$D$9:$D$108=C301)*Sites!$N$9:$N$108*Sites!$J$9:$J$108*Sites!$K$9:$K$108*(1-Sites!$L$9:$L$108)))*'Scenario Paths'!H27),"Unavailable"))</x:f>
      </x:c>
      <x:c r="U301" s="9" t="str">
        <x:f>IF(C301="","",IF(OR(INDEX('Borrowers'!$AA$9:$AA$108,MATCH(C301,'Borrowers'!$C$9:$C$108,0))&lt;&gt;"Ready",COUNTIF(Sites!$D$9:$D$108,C301)=0,COUNTIFS(Sites!$D$9:$D$108,C301,Sites!$Q$9:$Q$108,"&lt;&gt;Ready")&gt;0,'Scenario Paths'!$F$6&lt;&gt;"Ready"),"Review source inputs","Ready"))</x:f>
      </x:c>
      <x:c r="V301" s="17" t="str">
        <x:f>IF(C301="","",IFERROR(MAX(-1,(G301-O301)/MAX(0.000001,G301)),"Unavailable"))</x:f>
      </x:c>
      <x:c r="W301" s="9" t="str">
        <x:f>IF(C301="","",IFERROR(INDEX('Borrowers'!$D$9:$D$108,MATCH(C301,'Borrowers'!$C$9:$C$108,0)),"Unavailable"))</x:f>
      </x:c>
    </x:row>
    <x:row r="302" ht="26" customHeight="1">
      <x:c r="A302" s="1"/>
      <x:c r="B302" s="1"/>
      <x:c r="C302" s="9" t="str">
        <x:f>IF(Borrowers!C102="","",Borrowers!C102)</x:f>
      </x:c>
      <x:c r="D302" s="3" t="n">
        <x:v>3</x:v>
      </x:c>
      <x:c r="E302" s="9" t="n">
        <x:f>Settings!$F$18+2</x:f>
        <x:v>2029</x:v>
      </x:c>
      <x:c r="F302" s="9" t="str">
        <x:f>IF(C302="","",INDEX('Borrowers'!$F$9:$F$108,MATCH(C302,'Borrowers'!$C$9:$C$108,0)))</x:f>
      </x:c>
      <x:c r="G302" s="23" t="str">
        <x:f>IF(C302="","",IFERROR(INDEX('Borrowers'!$J$9:$J$108,MATCH(C302,'Borrowers'!$C$9:$C$108,0))-INDEX('Borrowers'!$K$9:$K$108,MATCH(C302,'Borrowers'!$C$9:$C$108,0)),"Unavailable"))</x:f>
      </x:c>
      <x:c r="H302" s="23" t="str">
        <x:f>IF(C302="","",IFERROR(INDEX('Borrowers'!$I$9:$I$108,MATCH(C302,'Borrowers'!$C$9:$C$108,0))*INDEX('Borrowers'!$U$9:$U$108,MATCH(C302,'Borrowers'!$C$9:$C$108,0))*(IF(F302="Transport",'Scenario Paths'!H156,IF(F302="Technology",'Scenario Paths'!H150,IF(F302="Utilities",'Scenario Paths'!H144,IF(F302="Agriculture",'Scenario Paths'!H138,IF(F302="Manufacturing",'Scenario Paths'!H132,IF(F302="Healthcare",'Scenario Paths'!H126,IF(F302="Hospitality",'Scenario Paths'!H120,IF(F302="Property",'Scenario Paths'!H114,IF(F302="Food",'Scenario Paths'!H108,IF(F302="Logistics",'Scenario Paths'!H102,IF(F302="Solar",'Scenario Paths'!H96,IF(F302="Cement",'Scenario Paths'!H90,0))))))))))))),"Unavailable"))</x:f>
      </x:c>
      <x:c r="I302" s="23" t="str">
        <x:f>IF(C302="","",IFERROR(INDEX('Borrowers'!$R$9:$R$108,MATCH(C302,'Borrowers'!$C$9:$C$108,0))*(1-INDEX('Borrowers'!$W$9:$W$108,MATCH(C302,'Borrowers'!$C$9:$C$108,0))*'Scenario Paths'!H39)*'Scenario Paths'!H9/1000000*(1-INDEX('Borrowers'!$T$9:$T$108,MATCH(C302,'Borrowers'!$C$9:$C$108,0))),"Unavailable"))</x:f>
      </x:c>
      <x:c r="J302" s="23" t="str">
        <x:f>IF(C302="","",IFERROR(INDEX('Borrowers'!$I$9:$I$108,MATCH(C302,'Borrowers'!$C$9:$C$108,0))*INDEX('Borrowers'!$S$9:$S$108,MATCH(C302,'Borrowers'!$C$9:$C$108,0))*'Scenario Paths'!H15*(1-INDEX('Borrowers'!$T$9:$T$108,MATCH(C302,'Borrowers'!$C$9:$C$108,0))),"Unavailable"))</x:f>
      </x:c>
      <x:c r="K302" s="23" t="str">
        <x:f>IF(C302="","",IFERROR(INDEX('Borrowers'!$I$9:$I$108,MATCH(C302,'Borrowers'!$C$9:$C$108,0))*INDEX('Borrowers'!$U$9:$U$108,MATCH(C302,'Borrowers'!$C$9:$C$108,0))*'Scenario Paths'!H21*S302,"Unavailable"))</x:f>
      </x:c>
      <x:c r="L302" s="23" t="str">
        <x:f>IF(C302="","",IFERROR(SUMPRODUCT((Sites!$D$9:$D$108=C302)*Sites!$H$9:$H$108*Sites!$J$9:$J$108*Sites!$K$9:$K$108*(1-Sites!$L$9:$L$108)*(1-Sites!$M$9:$M$108))*'Scenario Paths'!H27,"Unavailable"))</x:f>
      </x:c>
      <x:c r="M302" s="23" t="str">
        <x:f>IF(C302="","",IFERROR(INDEX('Borrowers'!$J$9:$J$108,MATCH(C302,'Borrowers'!$C$9:$C$108,0))+H302-SUM(I302:L302),"Unavailable"))</x:f>
      </x:c>
      <x:c r="N302" s="23" t="str">
        <x:f>IF(C302="","",IFERROR(INDEX('Borrowers'!$I$9:$I$108,MATCH(C302,'Borrowers'!$C$9:$C$108,0))*'Scenario Paths'!H33,"Unavailable"))</x:f>
      </x:c>
      <x:c r="O302" s="23" t="str">
        <x:f>IF(C302="","",IFERROR(M302-INDEX('Borrowers'!$K$9:$K$108,MATCH(C302,'Borrowers'!$C$9:$C$108,0))-N302,"Unavailable"))</x:f>
      </x:c>
      <x:c r="P302" s="127" t="str">
        <x:f>IF(C302="","",IFERROR(O302/INDEX('Borrowers'!$L$9:$L$108,MATCH(C302,'Borrowers'!$C$9:$C$108,0)),"Unavailable"))</x:f>
      </x:c>
      <x:c r="Q302" s="30" t="str">
        <x:f>IF(C302="","",IFERROR(IF(INDEX('Borrowers'!$Z$9:$Z$108,MATCH(C302,'Borrowers'!$C$9:$C$108,0))="Yes",1,IF(INDEX('Borrowers'!$P$9:$P$108,MATCH(C302,'Borrowers'!$C$9:$C$108,0))=0,0,MIN(1,INDEX('Borrowers'!$P$9:$P$108,MATCH(C302,'Borrowers'!$C$9:$C$108,0))*EXP(MIN(20,INDEX('Borrowers'!$V$9:$V$108,MATCH(C302,'Borrowers'!$C$9:$C$108,0))*V302))))),"Unavailable"))</x:f>
      </x:c>
      <x:c r="R302" s="30" t="str">
        <x:f>IF(C302="","",IFERROR(MIN(1,INDEX('Borrowers'!$Q$9:$Q$108,MATCH(C302,'Borrowers'!$C$9:$C$108,0))+(1-INDEX('Borrowers'!$Q$9:$Q$108,MATCH(C302,'Borrowers'!$C$9:$C$108,0)))*T302),"Unavailable"))</x:f>
      </x:c>
      <x:c r="S302" s="30" t="str">
        <x:f>IF(C302="","",IFERROR(SUMPRODUCT((Sites!$D$9:$D$108=C302)*Sites!$I$9:$I$108*Sites!$J$9:$J$108*Sites!$K$9:$K$108*(1-Sites!$L$9:$L$108)),"Unavailable"))</x:f>
      </x:c>
      <x:c r="T302" s="30" t="str">
        <x:f>IF(C302="","",IFERROR(MIN(1,(SUMPRODUCT((Sites!$D$9:$D$108=C302)*Sites!$N$9:$N$108*Sites!$J$9:$J$108*Sites!$K$9:$K$108*(1-Sites!$L$9:$L$108)))*'Scenario Paths'!H27),"Unavailable"))</x:f>
      </x:c>
      <x:c r="U302" s="9" t="str">
        <x:f>IF(C302="","",IF(OR(INDEX('Borrowers'!$AA$9:$AA$108,MATCH(C302,'Borrowers'!$C$9:$C$108,0))&lt;&gt;"Ready",COUNTIF(Sites!$D$9:$D$108,C302)=0,COUNTIFS(Sites!$D$9:$D$108,C302,Sites!$Q$9:$Q$108,"&lt;&gt;Ready")&gt;0,'Scenario Paths'!$F$6&lt;&gt;"Ready"),"Review source inputs","Ready"))</x:f>
      </x:c>
      <x:c r="V302" s="17" t="str">
        <x:f>IF(C302="","",IFERROR(MAX(-1,(G302-O302)/MAX(0.000001,G302)),"Unavailable"))</x:f>
      </x:c>
      <x:c r="W302" s="9" t="str">
        <x:f>IF(C302="","",IFERROR(INDEX('Borrowers'!$D$9:$D$108,MATCH(C302,'Borrowers'!$C$9:$C$108,0)),"Unavailable"))</x:f>
      </x:c>
    </x:row>
    <x:row r="303" ht="26" customHeight="1">
      <x:c r="A303" s="1"/>
      <x:c r="B303" s="1"/>
      <x:c r="C303" s="9" t="str">
        <x:f>IF(Borrowers!C103="","",Borrowers!C103)</x:f>
      </x:c>
      <x:c r="D303" s="3" t="n">
        <x:v>3</x:v>
      </x:c>
      <x:c r="E303" s="9" t="n">
        <x:f>Settings!$F$18+2</x:f>
        <x:v>2029</x:v>
      </x:c>
      <x:c r="F303" s="9" t="str">
        <x:f>IF(C303="","",INDEX('Borrowers'!$F$9:$F$108,MATCH(C303,'Borrowers'!$C$9:$C$108,0)))</x:f>
      </x:c>
      <x:c r="G303" s="23" t="str">
        <x:f>IF(C303="","",IFERROR(INDEX('Borrowers'!$J$9:$J$108,MATCH(C303,'Borrowers'!$C$9:$C$108,0))-INDEX('Borrowers'!$K$9:$K$108,MATCH(C303,'Borrowers'!$C$9:$C$108,0)),"Unavailable"))</x:f>
      </x:c>
      <x:c r="H303" s="23" t="str">
        <x:f>IF(C303="","",IFERROR(INDEX('Borrowers'!$I$9:$I$108,MATCH(C303,'Borrowers'!$C$9:$C$108,0))*INDEX('Borrowers'!$U$9:$U$108,MATCH(C303,'Borrowers'!$C$9:$C$108,0))*(IF(F303="Transport",'Scenario Paths'!H156,IF(F303="Technology",'Scenario Paths'!H150,IF(F303="Utilities",'Scenario Paths'!H144,IF(F303="Agriculture",'Scenario Paths'!H138,IF(F303="Manufacturing",'Scenario Paths'!H132,IF(F303="Healthcare",'Scenario Paths'!H126,IF(F303="Hospitality",'Scenario Paths'!H120,IF(F303="Property",'Scenario Paths'!H114,IF(F303="Food",'Scenario Paths'!H108,IF(F303="Logistics",'Scenario Paths'!H102,IF(F303="Solar",'Scenario Paths'!H96,IF(F303="Cement",'Scenario Paths'!H90,0))))))))))))),"Unavailable"))</x:f>
      </x:c>
      <x:c r="I303" s="23" t="str">
        <x:f>IF(C303="","",IFERROR(INDEX('Borrowers'!$R$9:$R$108,MATCH(C303,'Borrowers'!$C$9:$C$108,0))*(1-INDEX('Borrowers'!$W$9:$W$108,MATCH(C303,'Borrowers'!$C$9:$C$108,0))*'Scenario Paths'!H39)*'Scenario Paths'!H9/1000000*(1-INDEX('Borrowers'!$T$9:$T$108,MATCH(C303,'Borrowers'!$C$9:$C$108,0))),"Unavailable"))</x:f>
      </x:c>
      <x:c r="J303" s="23" t="str">
        <x:f>IF(C303="","",IFERROR(INDEX('Borrowers'!$I$9:$I$108,MATCH(C303,'Borrowers'!$C$9:$C$108,0))*INDEX('Borrowers'!$S$9:$S$108,MATCH(C303,'Borrowers'!$C$9:$C$108,0))*'Scenario Paths'!H15*(1-INDEX('Borrowers'!$T$9:$T$108,MATCH(C303,'Borrowers'!$C$9:$C$108,0))),"Unavailable"))</x:f>
      </x:c>
      <x:c r="K303" s="23" t="str">
        <x:f>IF(C303="","",IFERROR(INDEX('Borrowers'!$I$9:$I$108,MATCH(C303,'Borrowers'!$C$9:$C$108,0))*INDEX('Borrowers'!$U$9:$U$108,MATCH(C303,'Borrowers'!$C$9:$C$108,0))*'Scenario Paths'!H21*S303,"Unavailable"))</x:f>
      </x:c>
      <x:c r="L303" s="23" t="str">
        <x:f>IF(C303="","",IFERROR(SUMPRODUCT((Sites!$D$9:$D$108=C303)*Sites!$H$9:$H$108*Sites!$J$9:$J$108*Sites!$K$9:$K$108*(1-Sites!$L$9:$L$108)*(1-Sites!$M$9:$M$108))*'Scenario Paths'!H27,"Unavailable"))</x:f>
      </x:c>
      <x:c r="M303" s="23" t="str">
        <x:f>IF(C303="","",IFERROR(INDEX('Borrowers'!$J$9:$J$108,MATCH(C303,'Borrowers'!$C$9:$C$108,0))+H303-SUM(I303:L303),"Unavailable"))</x:f>
      </x:c>
      <x:c r="N303" s="23" t="str">
        <x:f>IF(C303="","",IFERROR(INDEX('Borrowers'!$I$9:$I$108,MATCH(C303,'Borrowers'!$C$9:$C$108,0))*'Scenario Paths'!H33,"Unavailable"))</x:f>
      </x:c>
      <x:c r="O303" s="23" t="str">
        <x:f>IF(C303="","",IFERROR(M303-INDEX('Borrowers'!$K$9:$K$108,MATCH(C303,'Borrowers'!$C$9:$C$108,0))-N303,"Unavailable"))</x:f>
      </x:c>
      <x:c r="P303" s="127" t="str">
        <x:f>IF(C303="","",IFERROR(O303/INDEX('Borrowers'!$L$9:$L$108,MATCH(C303,'Borrowers'!$C$9:$C$108,0)),"Unavailable"))</x:f>
      </x:c>
      <x:c r="Q303" s="30" t="str">
        <x:f>IF(C303="","",IFERROR(IF(INDEX('Borrowers'!$Z$9:$Z$108,MATCH(C303,'Borrowers'!$C$9:$C$108,0))="Yes",1,IF(INDEX('Borrowers'!$P$9:$P$108,MATCH(C303,'Borrowers'!$C$9:$C$108,0))=0,0,MIN(1,INDEX('Borrowers'!$P$9:$P$108,MATCH(C303,'Borrowers'!$C$9:$C$108,0))*EXP(MIN(20,INDEX('Borrowers'!$V$9:$V$108,MATCH(C303,'Borrowers'!$C$9:$C$108,0))*V303))))),"Unavailable"))</x:f>
      </x:c>
      <x:c r="R303" s="30" t="str">
        <x:f>IF(C303="","",IFERROR(MIN(1,INDEX('Borrowers'!$Q$9:$Q$108,MATCH(C303,'Borrowers'!$C$9:$C$108,0))+(1-INDEX('Borrowers'!$Q$9:$Q$108,MATCH(C303,'Borrowers'!$C$9:$C$108,0)))*T303),"Unavailable"))</x:f>
      </x:c>
      <x:c r="S303" s="30" t="str">
        <x:f>IF(C303="","",IFERROR(SUMPRODUCT((Sites!$D$9:$D$108=C303)*Sites!$I$9:$I$108*Sites!$J$9:$J$108*Sites!$K$9:$K$108*(1-Sites!$L$9:$L$108)),"Unavailable"))</x:f>
      </x:c>
      <x:c r="T303" s="30" t="str">
        <x:f>IF(C303="","",IFERROR(MIN(1,(SUMPRODUCT((Sites!$D$9:$D$108=C303)*Sites!$N$9:$N$108*Sites!$J$9:$J$108*Sites!$K$9:$K$108*(1-Sites!$L$9:$L$108)))*'Scenario Paths'!H27),"Unavailable"))</x:f>
      </x:c>
      <x:c r="U303" s="9" t="str">
        <x:f>IF(C303="","",IF(OR(INDEX('Borrowers'!$AA$9:$AA$108,MATCH(C303,'Borrowers'!$C$9:$C$108,0))&lt;&gt;"Ready",COUNTIF(Sites!$D$9:$D$108,C303)=0,COUNTIFS(Sites!$D$9:$D$108,C303,Sites!$Q$9:$Q$108,"&lt;&gt;Ready")&gt;0,'Scenario Paths'!$F$6&lt;&gt;"Ready"),"Review source inputs","Ready"))</x:f>
      </x:c>
      <x:c r="V303" s="17" t="str">
        <x:f>IF(C303="","",IFERROR(MAX(-1,(G303-O303)/MAX(0.000001,G303)),"Unavailable"))</x:f>
      </x:c>
      <x:c r="W303" s="9" t="str">
        <x:f>IF(C303="","",IFERROR(INDEX('Borrowers'!$D$9:$D$108,MATCH(C303,'Borrowers'!$C$9:$C$108,0)),"Unavailable"))</x:f>
      </x:c>
    </x:row>
    <x:row r="304" ht="26" customHeight="1">
      <x:c r="A304" s="1"/>
      <x:c r="B304" s="1"/>
      <x:c r="C304" s="9" t="str">
        <x:f>IF(Borrowers!C104="","",Borrowers!C104)</x:f>
      </x:c>
      <x:c r="D304" s="3" t="n">
        <x:v>3</x:v>
      </x:c>
      <x:c r="E304" s="9" t="n">
        <x:f>Settings!$F$18+2</x:f>
        <x:v>2029</x:v>
      </x:c>
      <x:c r="F304" s="9" t="str">
        <x:f>IF(C304="","",INDEX('Borrowers'!$F$9:$F$108,MATCH(C304,'Borrowers'!$C$9:$C$108,0)))</x:f>
      </x:c>
      <x:c r="G304" s="23" t="str">
        <x:f>IF(C304="","",IFERROR(INDEX('Borrowers'!$J$9:$J$108,MATCH(C304,'Borrowers'!$C$9:$C$108,0))-INDEX('Borrowers'!$K$9:$K$108,MATCH(C304,'Borrowers'!$C$9:$C$108,0)),"Unavailable"))</x:f>
      </x:c>
      <x:c r="H304" s="23" t="str">
        <x:f>IF(C304="","",IFERROR(INDEX('Borrowers'!$I$9:$I$108,MATCH(C304,'Borrowers'!$C$9:$C$108,0))*INDEX('Borrowers'!$U$9:$U$108,MATCH(C304,'Borrowers'!$C$9:$C$108,0))*(IF(F304="Transport",'Scenario Paths'!H156,IF(F304="Technology",'Scenario Paths'!H150,IF(F304="Utilities",'Scenario Paths'!H144,IF(F304="Agriculture",'Scenario Paths'!H138,IF(F304="Manufacturing",'Scenario Paths'!H132,IF(F304="Healthcare",'Scenario Paths'!H126,IF(F304="Hospitality",'Scenario Paths'!H120,IF(F304="Property",'Scenario Paths'!H114,IF(F304="Food",'Scenario Paths'!H108,IF(F304="Logistics",'Scenario Paths'!H102,IF(F304="Solar",'Scenario Paths'!H96,IF(F304="Cement",'Scenario Paths'!H90,0))))))))))))),"Unavailable"))</x:f>
      </x:c>
      <x:c r="I304" s="23" t="str">
        <x:f>IF(C304="","",IFERROR(INDEX('Borrowers'!$R$9:$R$108,MATCH(C304,'Borrowers'!$C$9:$C$108,0))*(1-INDEX('Borrowers'!$W$9:$W$108,MATCH(C304,'Borrowers'!$C$9:$C$108,0))*'Scenario Paths'!H39)*'Scenario Paths'!H9/1000000*(1-INDEX('Borrowers'!$T$9:$T$108,MATCH(C304,'Borrowers'!$C$9:$C$108,0))),"Unavailable"))</x:f>
      </x:c>
      <x:c r="J304" s="23" t="str">
        <x:f>IF(C304="","",IFERROR(INDEX('Borrowers'!$I$9:$I$108,MATCH(C304,'Borrowers'!$C$9:$C$108,0))*INDEX('Borrowers'!$S$9:$S$108,MATCH(C304,'Borrowers'!$C$9:$C$108,0))*'Scenario Paths'!H15*(1-INDEX('Borrowers'!$T$9:$T$108,MATCH(C304,'Borrowers'!$C$9:$C$108,0))),"Unavailable"))</x:f>
      </x:c>
      <x:c r="K304" s="23" t="str">
        <x:f>IF(C304="","",IFERROR(INDEX('Borrowers'!$I$9:$I$108,MATCH(C304,'Borrowers'!$C$9:$C$108,0))*INDEX('Borrowers'!$U$9:$U$108,MATCH(C304,'Borrowers'!$C$9:$C$108,0))*'Scenario Paths'!H21*S304,"Unavailable"))</x:f>
      </x:c>
      <x:c r="L304" s="23" t="str">
        <x:f>IF(C304="","",IFERROR(SUMPRODUCT((Sites!$D$9:$D$108=C304)*Sites!$H$9:$H$108*Sites!$J$9:$J$108*Sites!$K$9:$K$108*(1-Sites!$L$9:$L$108)*(1-Sites!$M$9:$M$108))*'Scenario Paths'!H27,"Unavailable"))</x:f>
      </x:c>
      <x:c r="M304" s="23" t="str">
        <x:f>IF(C304="","",IFERROR(INDEX('Borrowers'!$J$9:$J$108,MATCH(C304,'Borrowers'!$C$9:$C$108,0))+H304-SUM(I304:L304),"Unavailable"))</x:f>
      </x:c>
      <x:c r="N304" s="23" t="str">
        <x:f>IF(C304="","",IFERROR(INDEX('Borrowers'!$I$9:$I$108,MATCH(C304,'Borrowers'!$C$9:$C$108,0))*'Scenario Paths'!H33,"Unavailable"))</x:f>
      </x:c>
      <x:c r="O304" s="23" t="str">
        <x:f>IF(C304="","",IFERROR(M304-INDEX('Borrowers'!$K$9:$K$108,MATCH(C304,'Borrowers'!$C$9:$C$108,0))-N304,"Unavailable"))</x:f>
      </x:c>
      <x:c r="P304" s="127" t="str">
        <x:f>IF(C304="","",IFERROR(O304/INDEX('Borrowers'!$L$9:$L$108,MATCH(C304,'Borrowers'!$C$9:$C$108,0)),"Unavailable"))</x:f>
      </x:c>
      <x:c r="Q304" s="30" t="str">
        <x:f>IF(C304="","",IFERROR(IF(INDEX('Borrowers'!$Z$9:$Z$108,MATCH(C304,'Borrowers'!$C$9:$C$108,0))="Yes",1,IF(INDEX('Borrowers'!$P$9:$P$108,MATCH(C304,'Borrowers'!$C$9:$C$108,0))=0,0,MIN(1,INDEX('Borrowers'!$P$9:$P$108,MATCH(C304,'Borrowers'!$C$9:$C$108,0))*EXP(MIN(20,INDEX('Borrowers'!$V$9:$V$108,MATCH(C304,'Borrowers'!$C$9:$C$108,0))*V304))))),"Unavailable"))</x:f>
      </x:c>
      <x:c r="R304" s="30" t="str">
        <x:f>IF(C304="","",IFERROR(MIN(1,INDEX('Borrowers'!$Q$9:$Q$108,MATCH(C304,'Borrowers'!$C$9:$C$108,0))+(1-INDEX('Borrowers'!$Q$9:$Q$108,MATCH(C304,'Borrowers'!$C$9:$C$108,0)))*T304),"Unavailable"))</x:f>
      </x:c>
      <x:c r="S304" s="30" t="str">
        <x:f>IF(C304="","",IFERROR(SUMPRODUCT((Sites!$D$9:$D$108=C304)*Sites!$I$9:$I$108*Sites!$J$9:$J$108*Sites!$K$9:$K$108*(1-Sites!$L$9:$L$108)),"Unavailable"))</x:f>
      </x:c>
      <x:c r="T304" s="30" t="str">
        <x:f>IF(C304="","",IFERROR(MIN(1,(SUMPRODUCT((Sites!$D$9:$D$108=C304)*Sites!$N$9:$N$108*Sites!$J$9:$J$108*Sites!$K$9:$K$108*(1-Sites!$L$9:$L$108)))*'Scenario Paths'!H27),"Unavailable"))</x:f>
      </x:c>
      <x:c r="U304" s="9" t="str">
        <x:f>IF(C304="","",IF(OR(INDEX('Borrowers'!$AA$9:$AA$108,MATCH(C304,'Borrowers'!$C$9:$C$108,0))&lt;&gt;"Ready",COUNTIF(Sites!$D$9:$D$108,C304)=0,COUNTIFS(Sites!$D$9:$D$108,C304,Sites!$Q$9:$Q$108,"&lt;&gt;Ready")&gt;0,'Scenario Paths'!$F$6&lt;&gt;"Ready"),"Review source inputs","Ready"))</x:f>
      </x:c>
      <x:c r="V304" s="17" t="str">
        <x:f>IF(C304="","",IFERROR(MAX(-1,(G304-O304)/MAX(0.000001,G304)),"Unavailable"))</x:f>
      </x:c>
      <x:c r="W304" s="9" t="str">
        <x:f>IF(C304="","",IFERROR(INDEX('Borrowers'!$D$9:$D$108,MATCH(C304,'Borrowers'!$C$9:$C$108,0)),"Unavailable"))</x:f>
      </x:c>
    </x:row>
    <x:row r="305" ht="26" customHeight="1">
      <x:c r="A305" s="1"/>
      <x:c r="B305" s="1"/>
      <x:c r="C305" s="9" t="str">
        <x:f>IF(Borrowers!C105="","",Borrowers!C105)</x:f>
      </x:c>
      <x:c r="D305" s="3" t="n">
        <x:v>3</x:v>
      </x:c>
      <x:c r="E305" s="9" t="n">
        <x:f>Settings!$F$18+2</x:f>
        <x:v>2029</x:v>
      </x:c>
      <x:c r="F305" s="9" t="str">
        <x:f>IF(C305="","",INDEX('Borrowers'!$F$9:$F$108,MATCH(C305,'Borrowers'!$C$9:$C$108,0)))</x:f>
      </x:c>
      <x:c r="G305" s="23" t="str">
        <x:f>IF(C305="","",IFERROR(INDEX('Borrowers'!$J$9:$J$108,MATCH(C305,'Borrowers'!$C$9:$C$108,0))-INDEX('Borrowers'!$K$9:$K$108,MATCH(C305,'Borrowers'!$C$9:$C$108,0)),"Unavailable"))</x:f>
      </x:c>
      <x:c r="H305" s="23" t="str">
        <x:f>IF(C305="","",IFERROR(INDEX('Borrowers'!$I$9:$I$108,MATCH(C305,'Borrowers'!$C$9:$C$108,0))*INDEX('Borrowers'!$U$9:$U$108,MATCH(C305,'Borrowers'!$C$9:$C$108,0))*(IF(F305="Transport",'Scenario Paths'!H156,IF(F305="Technology",'Scenario Paths'!H150,IF(F305="Utilities",'Scenario Paths'!H144,IF(F305="Agriculture",'Scenario Paths'!H138,IF(F305="Manufacturing",'Scenario Paths'!H132,IF(F305="Healthcare",'Scenario Paths'!H126,IF(F305="Hospitality",'Scenario Paths'!H120,IF(F305="Property",'Scenario Paths'!H114,IF(F305="Food",'Scenario Paths'!H108,IF(F305="Logistics",'Scenario Paths'!H102,IF(F305="Solar",'Scenario Paths'!H96,IF(F305="Cement",'Scenario Paths'!H90,0))))))))))))),"Unavailable"))</x:f>
      </x:c>
      <x:c r="I305" s="23" t="str">
        <x:f>IF(C305="","",IFERROR(INDEX('Borrowers'!$R$9:$R$108,MATCH(C305,'Borrowers'!$C$9:$C$108,0))*(1-INDEX('Borrowers'!$W$9:$W$108,MATCH(C305,'Borrowers'!$C$9:$C$108,0))*'Scenario Paths'!H39)*'Scenario Paths'!H9/1000000*(1-INDEX('Borrowers'!$T$9:$T$108,MATCH(C305,'Borrowers'!$C$9:$C$108,0))),"Unavailable"))</x:f>
      </x:c>
      <x:c r="J305" s="23" t="str">
        <x:f>IF(C305="","",IFERROR(INDEX('Borrowers'!$I$9:$I$108,MATCH(C305,'Borrowers'!$C$9:$C$108,0))*INDEX('Borrowers'!$S$9:$S$108,MATCH(C305,'Borrowers'!$C$9:$C$108,0))*'Scenario Paths'!H15*(1-INDEX('Borrowers'!$T$9:$T$108,MATCH(C305,'Borrowers'!$C$9:$C$108,0))),"Unavailable"))</x:f>
      </x:c>
      <x:c r="K305" s="23" t="str">
        <x:f>IF(C305="","",IFERROR(INDEX('Borrowers'!$I$9:$I$108,MATCH(C305,'Borrowers'!$C$9:$C$108,0))*INDEX('Borrowers'!$U$9:$U$108,MATCH(C305,'Borrowers'!$C$9:$C$108,0))*'Scenario Paths'!H21*S305,"Unavailable"))</x:f>
      </x:c>
      <x:c r="L305" s="23" t="str">
        <x:f>IF(C305="","",IFERROR(SUMPRODUCT((Sites!$D$9:$D$108=C305)*Sites!$H$9:$H$108*Sites!$J$9:$J$108*Sites!$K$9:$K$108*(1-Sites!$L$9:$L$108)*(1-Sites!$M$9:$M$108))*'Scenario Paths'!H27,"Unavailable"))</x:f>
      </x:c>
      <x:c r="M305" s="23" t="str">
        <x:f>IF(C305="","",IFERROR(INDEX('Borrowers'!$J$9:$J$108,MATCH(C305,'Borrowers'!$C$9:$C$108,0))+H305-SUM(I305:L305),"Unavailable"))</x:f>
      </x:c>
      <x:c r="N305" s="23" t="str">
        <x:f>IF(C305="","",IFERROR(INDEX('Borrowers'!$I$9:$I$108,MATCH(C305,'Borrowers'!$C$9:$C$108,0))*'Scenario Paths'!H33,"Unavailable"))</x:f>
      </x:c>
      <x:c r="O305" s="23" t="str">
        <x:f>IF(C305="","",IFERROR(M305-INDEX('Borrowers'!$K$9:$K$108,MATCH(C305,'Borrowers'!$C$9:$C$108,0))-N305,"Unavailable"))</x:f>
      </x:c>
      <x:c r="P305" s="127" t="str">
        <x:f>IF(C305="","",IFERROR(O305/INDEX('Borrowers'!$L$9:$L$108,MATCH(C305,'Borrowers'!$C$9:$C$108,0)),"Unavailable"))</x:f>
      </x:c>
      <x:c r="Q305" s="30" t="str">
        <x:f>IF(C305="","",IFERROR(IF(INDEX('Borrowers'!$Z$9:$Z$108,MATCH(C305,'Borrowers'!$C$9:$C$108,0))="Yes",1,IF(INDEX('Borrowers'!$P$9:$P$108,MATCH(C305,'Borrowers'!$C$9:$C$108,0))=0,0,MIN(1,INDEX('Borrowers'!$P$9:$P$108,MATCH(C305,'Borrowers'!$C$9:$C$108,0))*EXP(MIN(20,INDEX('Borrowers'!$V$9:$V$108,MATCH(C305,'Borrowers'!$C$9:$C$108,0))*V305))))),"Unavailable"))</x:f>
      </x:c>
      <x:c r="R305" s="30" t="str">
        <x:f>IF(C305="","",IFERROR(MIN(1,INDEX('Borrowers'!$Q$9:$Q$108,MATCH(C305,'Borrowers'!$C$9:$C$108,0))+(1-INDEX('Borrowers'!$Q$9:$Q$108,MATCH(C305,'Borrowers'!$C$9:$C$108,0)))*T305),"Unavailable"))</x:f>
      </x:c>
      <x:c r="S305" s="30" t="str">
        <x:f>IF(C305="","",IFERROR(SUMPRODUCT((Sites!$D$9:$D$108=C305)*Sites!$I$9:$I$108*Sites!$J$9:$J$108*Sites!$K$9:$K$108*(1-Sites!$L$9:$L$108)),"Unavailable"))</x:f>
      </x:c>
      <x:c r="T305" s="30" t="str">
        <x:f>IF(C305="","",IFERROR(MIN(1,(SUMPRODUCT((Sites!$D$9:$D$108=C305)*Sites!$N$9:$N$108*Sites!$J$9:$J$108*Sites!$K$9:$K$108*(1-Sites!$L$9:$L$108)))*'Scenario Paths'!H27),"Unavailable"))</x:f>
      </x:c>
      <x:c r="U305" s="9" t="str">
        <x:f>IF(C305="","",IF(OR(INDEX('Borrowers'!$AA$9:$AA$108,MATCH(C305,'Borrowers'!$C$9:$C$108,0))&lt;&gt;"Ready",COUNTIF(Sites!$D$9:$D$108,C305)=0,COUNTIFS(Sites!$D$9:$D$108,C305,Sites!$Q$9:$Q$108,"&lt;&gt;Ready")&gt;0,'Scenario Paths'!$F$6&lt;&gt;"Ready"),"Review source inputs","Ready"))</x:f>
      </x:c>
      <x:c r="V305" s="17" t="str">
        <x:f>IF(C305="","",IFERROR(MAX(-1,(G305-O305)/MAX(0.000001,G305)),"Unavailable"))</x:f>
      </x:c>
      <x:c r="W305" s="9" t="str">
        <x:f>IF(C305="","",IFERROR(INDEX('Borrowers'!$D$9:$D$108,MATCH(C305,'Borrowers'!$C$9:$C$108,0)),"Unavailable"))</x:f>
      </x:c>
    </x:row>
    <x:row r="306" ht="26" customHeight="1">
      <x:c r="A306" s="1"/>
      <x:c r="B306" s="1"/>
      <x:c r="C306" s="9" t="str">
        <x:f>IF(Borrowers!C106="","",Borrowers!C106)</x:f>
      </x:c>
      <x:c r="D306" s="3" t="n">
        <x:v>3</x:v>
      </x:c>
      <x:c r="E306" s="9" t="n">
        <x:f>Settings!$F$18+2</x:f>
        <x:v>2029</x:v>
      </x:c>
      <x:c r="F306" s="9" t="str">
        <x:f>IF(C306="","",INDEX('Borrowers'!$F$9:$F$108,MATCH(C306,'Borrowers'!$C$9:$C$108,0)))</x:f>
      </x:c>
      <x:c r="G306" s="23" t="str">
        <x:f>IF(C306="","",IFERROR(INDEX('Borrowers'!$J$9:$J$108,MATCH(C306,'Borrowers'!$C$9:$C$108,0))-INDEX('Borrowers'!$K$9:$K$108,MATCH(C306,'Borrowers'!$C$9:$C$108,0)),"Unavailable"))</x:f>
      </x:c>
      <x:c r="H306" s="23" t="str">
        <x:f>IF(C306="","",IFERROR(INDEX('Borrowers'!$I$9:$I$108,MATCH(C306,'Borrowers'!$C$9:$C$108,0))*INDEX('Borrowers'!$U$9:$U$108,MATCH(C306,'Borrowers'!$C$9:$C$108,0))*(IF(F306="Transport",'Scenario Paths'!H156,IF(F306="Technology",'Scenario Paths'!H150,IF(F306="Utilities",'Scenario Paths'!H144,IF(F306="Agriculture",'Scenario Paths'!H138,IF(F306="Manufacturing",'Scenario Paths'!H132,IF(F306="Healthcare",'Scenario Paths'!H126,IF(F306="Hospitality",'Scenario Paths'!H120,IF(F306="Property",'Scenario Paths'!H114,IF(F306="Food",'Scenario Paths'!H108,IF(F306="Logistics",'Scenario Paths'!H102,IF(F306="Solar",'Scenario Paths'!H96,IF(F306="Cement",'Scenario Paths'!H90,0))))))))))))),"Unavailable"))</x:f>
      </x:c>
      <x:c r="I306" s="23" t="str">
        <x:f>IF(C306="","",IFERROR(INDEX('Borrowers'!$R$9:$R$108,MATCH(C306,'Borrowers'!$C$9:$C$108,0))*(1-INDEX('Borrowers'!$W$9:$W$108,MATCH(C306,'Borrowers'!$C$9:$C$108,0))*'Scenario Paths'!H39)*'Scenario Paths'!H9/1000000*(1-INDEX('Borrowers'!$T$9:$T$108,MATCH(C306,'Borrowers'!$C$9:$C$108,0))),"Unavailable"))</x:f>
      </x:c>
      <x:c r="J306" s="23" t="str">
        <x:f>IF(C306="","",IFERROR(INDEX('Borrowers'!$I$9:$I$108,MATCH(C306,'Borrowers'!$C$9:$C$108,0))*INDEX('Borrowers'!$S$9:$S$108,MATCH(C306,'Borrowers'!$C$9:$C$108,0))*'Scenario Paths'!H15*(1-INDEX('Borrowers'!$T$9:$T$108,MATCH(C306,'Borrowers'!$C$9:$C$108,0))),"Unavailable"))</x:f>
      </x:c>
      <x:c r="K306" s="23" t="str">
        <x:f>IF(C306="","",IFERROR(INDEX('Borrowers'!$I$9:$I$108,MATCH(C306,'Borrowers'!$C$9:$C$108,0))*INDEX('Borrowers'!$U$9:$U$108,MATCH(C306,'Borrowers'!$C$9:$C$108,0))*'Scenario Paths'!H21*S306,"Unavailable"))</x:f>
      </x:c>
      <x:c r="L306" s="23" t="str">
        <x:f>IF(C306="","",IFERROR(SUMPRODUCT((Sites!$D$9:$D$108=C306)*Sites!$H$9:$H$108*Sites!$J$9:$J$108*Sites!$K$9:$K$108*(1-Sites!$L$9:$L$108)*(1-Sites!$M$9:$M$108))*'Scenario Paths'!H27,"Unavailable"))</x:f>
      </x:c>
      <x:c r="M306" s="23" t="str">
        <x:f>IF(C306="","",IFERROR(INDEX('Borrowers'!$J$9:$J$108,MATCH(C306,'Borrowers'!$C$9:$C$108,0))+H306-SUM(I306:L306),"Unavailable"))</x:f>
      </x:c>
      <x:c r="N306" s="23" t="str">
        <x:f>IF(C306="","",IFERROR(INDEX('Borrowers'!$I$9:$I$108,MATCH(C306,'Borrowers'!$C$9:$C$108,0))*'Scenario Paths'!H33,"Unavailable"))</x:f>
      </x:c>
      <x:c r="O306" s="23" t="str">
        <x:f>IF(C306="","",IFERROR(M306-INDEX('Borrowers'!$K$9:$K$108,MATCH(C306,'Borrowers'!$C$9:$C$108,0))-N306,"Unavailable"))</x:f>
      </x:c>
      <x:c r="P306" s="127" t="str">
        <x:f>IF(C306="","",IFERROR(O306/INDEX('Borrowers'!$L$9:$L$108,MATCH(C306,'Borrowers'!$C$9:$C$108,0)),"Unavailable"))</x:f>
      </x:c>
      <x:c r="Q306" s="30" t="str">
        <x:f>IF(C306="","",IFERROR(IF(INDEX('Borrowers'!$Z$9:$Z$108,MATCH(C306,'Borrowers'!$C$9:$C$108,0))="Yes",1,IF(INDEX('Borrowers'!$P$9:$P$108,MATCH(C306,'Borrowers'!$C$9:$C$108,0))=0,0,MIN(1,INDEX('Borrowers'!$P$9:$P$108,MATCH(C306,'Borrowers'!$C$9:$C$108,0))*EXP(MIN(20,INDEX('Borrowers'!$V$9:$V$108,MATCH(C306,'Borrowers'!$C$9:$C$108,0))*V306))))),"Unavailable"))</x:f>
      </x:c>
      <x:c r="R306" s="30" t="str">
        <x:f>IF(C306="","",IFERROR(MIN(1,INDEX('Borrowers'!$Q$9:$Q$108,MATCH(C306,'Borrowers'!$C$9:$C$108,0))+(1-INDEX('Borrowers'!$Q$9:$Q$108,MATCH(C306,'Borrowers'!$C$9:$C$108,0)))*T306),"Unavailable"))</x:f>
      </x:c>
      <x:c r="S306" s="30" t="str">
        <x:f>IF(C306="","",IFERROR(SUMPRODUCT((Sites!$D$9:$D$108=C306)*Sites!$I$9:$I$108*Sites!$J$9:$J$108*Sites!$K$9:$K$108*(1-Sites!$L$9:$L$108)),"Unavailable"))</x:f>
      </x:c>
      <x:c r="T306" s="30" t="str">
        <x:f>IF(C306="","",IFERROR(MIN(1,(SUMPRODUCT((Sites!$D$9:$D$108=C306)*Sites!$N$9:$N$108*Sites!$J$9:$J$108*Sites!$K$9:$K$108*(1-Sites!$L$9:$L$108)))*'Scenario Paths'!H27),"Unavailable"))</x:f>
      </x:c>
      <x:c r="U306" s="9" t="str">
        <x:f>IF(C306="","",IF(OR(INDEX('Borrowers'!$AA$9:$AA$108,MATCH(C306,'Borrowers'!$C$9:$C$108,0))&lt;&gt;"Ready",COUNTIF(Sites!$D$9:$D$108,C306)=0,COUNTIFS(Sites!$D$9:$D$108,C306,Sites!$Q$9:$Q$108,"&lt;&gt;Ready")&gt;0,'Scenario Paths'!$F$6&lt;&gt;"Ready"),"Review source inputs","Ready"))</x:f>
      </x:c>
      <x:c r="V306" s="17" t="str">
        <x:f>IF(C306="","",IFERROR(MAX(-1,(G306-O306)/MAX(0.000001,G306)),"Unavailable"))</x:f>
      </x:c>
      <x:c r="W306" s="9" t="str">
        <x:f>IF(C306="","",IFERROR(INDEX('Borrowers'!$D$9:$D$108,MATCH(C306,'Borrowers'!$C$9:$C$108,0)),"Unavailable"))</x:f>
      </x:c>
    </x:row>
    <x:row r="307" ht="26" customHeight="1">
      <x:c r="A307" s="1"/>
      <x:c r="B307" s="1"/>
      <x:c r="C307" s="9" t="str">
        <x:f>IF(Borrowers!C107="","",Borrowers!C107)</x:f>
      </x:c>
      <x:c r="D307" s="3" t="n">
        <x:v>3</x:v>
      </x:c>
      <x:c r="E307" s="9" t="n">
        <x:f>Settings!$F$18+2</x:f>
        <x:v>2029</x:v>
      </x:c>
      <x:c r="F307" s="9" t="str">
        <x:f>IF(C307="","",INDEX('Borrowers'!$F$9:$F$108,MATCH(C307,'Borrowers'!$C$9:$C$108,0)))</x:f>
      </x:c>
      <x:c r="G307" s="23" t="str">
        <x:f>IF(C307="","",IFERROR(INDEX('Borrowers'!$J$9:$J$108,MATCH(C307,'Borrowers'!$C$9:$C$108,0))-INDEX('Borrowers'!$K$9:$K$108,MATCH(C307,'Borrowers'!$C$9:$C$108,0)),"Unavailable"))</x:f>
      </x:c>
      <x:c r="H307" s="23" t="str">
        <x:f>IF(C307="","",IFERROR(INDEX('Borrowers'!$I$9:$I$108,MATCH(C307,'Borrowers'!$C$9:$C$108,0))*INDEX('Borrowers'!$U$9:$U$108,MATCH(C307,'Borrowers'!$C$9:$C$108,0))*(IF(F307="Transport",'Scenario Paths'!H156,IF(F307="Technology",'Scenario Paths'!H150,IF(F307="Utilities",'Scenario Paths'!H144,IF(F307="Agriculture",'Scenario Paths'!H138,IF(F307="Manufacturing",'Scenario Paths'!H132,IF(F307="Healthcare",'Scenario Paths'!H126,IF(F307="Hospitality",'Scenario Paths'!H120,IF(F307="Property",'Scenario Paths'!H114,IF(F307="Food",'Scenario Paths'!H108,IF(F307="Logistics",'Scenario Paths'!H102,IF(F307="Solar",'Scenario Paths'!H96,IF(F307="Cement",'Scenario Paths'!H90,0))))))))))))),"Unavailable"))</x:f>
      </x:c>
      <x:c r="I307" s="23" t="str">
        <x:f>IF(C307="","",IFERROR(INDEX('Borrowers'!$R$9:$R$108,MATCH(C307,'Borrowers'!$C$9:$C$108,0))*(1-INDEX('Borrowers'!$W$9:$W$108,MATCH(C307,'Borrowers'!$C$9:$C$108,0))*'Scenario Paths'!H39)*'Scenario Paths'!H9/1000000*(1-INDEX('Borrowers'!$T$9:$T$108,MATCH(C307,'Borrowers'!$C$9:$C$108,0))),"Unavailable"))</x:f>
      </x:c>
      <x:c r="J307" s="23" t="str">
        <x:f>IF(C307="","",IFERROR(INDEX('Borrowers'!$I$9:$I$108,MATCH(C307,'Borrowers'!$C$9:$C$108,0))*INDEX('Borrowers'!$S$9:$S$108,MATCH(C307,'Borrowers'!$C$9:$C$108,0))*'Scenario Paths'!H15*(1-INDEX('Borrowers'!$T$9:$T$108,MATCH(C307,'Borrowers'!$C$9:$C$108,0))),"Unavailable"))</x:f>
      </x:c>
      <x:c r="K307" s="23" t="str">
        <x:f>IF(C307="","",IFERROR(INDEX('Borrowers'!$I$9:$I$108,MATCH(C307,'Borrowers'!$C$9:$C$108,0))*INDEX('Borrowers'!$U$9:$U$108,MATCH(C307,'Borrowers'!$C$9:$C$108,0))*'Scenario Paths'!H21*S307,"Unavailable"))</x:f>
      </x:c>
      <x:c r="L307" s="23" t="str">
        <x:f>IF(C307="","",IFERROR(SUMPRODUCT((Sites!$D$9:$D$108=C307)*Sites!$H$9:$H$108*Sites!$J$9:$J$108*Sites!$K$9:$K$108*(1-Sites!$L$9:$L$108)*(1-Sites!$M$9:$M$108))*'Scenario Paths'!H27,"Unavailable"))</x:f>
      </x:c>
      <x:c r="M307" s="23" t="str">
        <x:f>IF(C307="","",IFERROR(INDEX('Borrowers'!$J$9:$J$108,MATCH(C307,'Borrowers'!$C$9:$C$108,0))+H307-SUM(I307:L307),"Unavailable"))</x:f>
      </x:c>
      <x:c r="N307" s="23" t="str">
        <x:f>IF(C307="","",IFERROR(INDEX('Borrowers'!$I$9:$I$108,MATCH(C307,'Borrowers'!$C$9:$C$108,0))*'Scenario Paths'!H33,"Unavailable"))</x:f>
      </x:c>
      <x:c r="O307" s="23" t="str">
        <x:f>IF(C307="","",IFERROR(M307-INDEX('Borrowers'!$K$9:$K$108,MATCH(C307,'Borrowers'!$C$9:$C$108,0))-N307,"Unavailable"))</x:f>
      </x:c>
      <x:c r="P307" s="127" t="str">
        <x:f>IF(C307="","",IFERROR(O307/INDEX('Borrowers'!$L$9:$L$108,MATCH(C307,'Borrowers'!$C$9:$C$108,0)),"Unavailable"))</x:f>
      </x:c>
      <x:c r="Q307" s="30" t="str">
        <x:f>IF(C307="","",IFERROR(IF(INDEX('Borrowers'!$Z$9:$Z$108,MATCH(C307,'Borrowers'!$C$9:$C$108,0))="Yes",1,IF(INDEX('Borrowers'!$P$9:$P$108,MATCH(C307,'Borrowers'!$C$9:$C$108,0))=0,0,MIN(1,INDEX('Borrowers'!$P$9:$P$108,MATCH(C307,'Borrowers'!$C$9:$C$108,0))*EXP(MIN(20,INDEX('Borrowers'!$V$9:$V$108,MATCH(C307,'Borrowers'!$C$9:$C$108,0))*V307))))),"Unavailable"))</x:f>
      </x:c>
      <x:c r="R307" s="30" t="str">
        <x:f>IF(C307="","",IFERROR(MIN(1,INDEX('Borrowers'!$Q$9:$Q$108,MATCH(C307,'Borrowers'!$C$9:$C$108,0))+(1-INDEX('Borrowers'!$Q$9:$Q$108,MATCH(C307,'Borrowers'!$C$9:$C$108,0)))*T307),"Unavailable"))</x:f>
      </x:c>
      <x:c r="S307" s="30" t="str">
        <x:f>IF(C307="","",IFERROR(SUMPRODUCT((Sites!$D$9:$D$108=C307)*Sites!$I$9:$I$108*Sites!$J$9:$J$108*Sites!$K$9:$K$108*(1-Sites!$L$9:$L$108)),"Unavailable"))</x:f>
      </x:c>
      <x:c r="T307" s="30" t="str">
        <x:f>IF(C307="","",IFERROR(MIN(1,(SUMPRODUCT((Sites!$D$9:$D$108=C307)*Sites!$N$9:$N$108*Sites!$J$9:$J$108*Sites!$K$9:$K$108*(1-Sites!$L$9:$L$108)))*'Scenario Paths'!H27),"Unavailable"))</x:f>
      </x:c>
      <x:c r="U307" s="9" t="str">
        <x:f>IF(C307="","",IF(OR(INDEX('Borrowers'!$AA$9:$AA$108,MATCH(C307,'Borrowers'!$C$9:$C$108,0))&lt;&gt;"Ready",COUNTIF(Sites!$D$9:$D$108,C307)=0,COUNTIFS(Sites!$D$9:$D$108,C307,Sites!$Q$9:$Q$108,"&lt;&gt;Ready")&gt;0,'Scenario Paths'!$F$6&lt;&gt;"Ready"),"Review source inputs","Ready"))</x:f>
      </x:c>
      <x:c r="V307" s="17" t="str">
        <x:f>IF(C307="","",IFERROR(MAX(-1,(G307-O307)/MAX(0.000001,G307)),"Unavailable"))</x:f>
      </x:c>
      <x:c r="W307" s="9" t="str">
        <x:f>IF(C307="","",IFERROR(INDEX('Borrowers'!$D$9:$D$108,MATCH(C307,'Borrowers'!$C$9:$C$108,0)),"Unavailable"))</x:f>
      </x:c>
    </x:row>
    <x:row r="308" ht="26" customHeight="1">
      <x:c r="A308" s="1"/>
      <x:c r="B308" s="1"/>
      <x:c r="C308" s="9" t="str">
        <x:f>IF(Borrowers!C108="","",Borrowers!C108)</x:f>
      </x:c>
      <x:c r="D308" s="3" t="n">
        <x:v>3</x:v>
      </x:c>
      <x:c r="E308" s="9" t="n">
        <x:f>Settings!$F$18+2</x:f>
        <x:v>2029</x:v>
      </x:c>
      <x:c r="F308" s="9" t="str">
        <x:f>IF(C308="","",INDEX('Borrowers'!$F$9:$F$108,MATCH(C308,'Borrowers'!$C$9:$C$108,0)))</x:f>
      </x:c>
      <x:c r="G308" s="23" t="str">
        <x:f>IF(C308="","",IFERROR(INDEX('Borrowers'!$J$9:$J$108,MATCH(C308,'Borrowers'!$C$9:$C$108,0))-INDEX('Borrowers'!$K$9:$K$108,MATCH(C308,'Borrowers'!$C$9:$C$108,0)),"Unavailable"))</x:f>
      </x:c>
      <x:c r="H308" s="23" t="str">
        <x:f>IF(C308="","",IFERROR(INDEX('Borrowers'!$I$9:$I$108,MATCH(C308,'Borrowers'!$C$9:$C$108,0))*INDEX('Borrowers'!$U$9:$U$108,MATCH(C308,'Borrowers'!$C$9:$C$108,0))*(IF(F308="Transport",'Scenario Paths'!H156,IF(F308="Technology",'Scenario Paths'!H150,IF(F308="Utilities",'Scenario Paths'!H144,IF(F308="Agriculture",'Scenario Paths'!H138,IF(F308="Manufacturing",'Scenario Paths'!H132,IF(F308="Healthcare",'Scenario Paths'!H126,IF(F308="Hospitality",'Scenario Paths'!H120,IF(F308="Property",'Scenario Paths'!H114,IF(F308="Food",'Scenario Paths'!H108,IF(F308="Logistics",'Scenario Paths'!H102,IF(F308="Solar",'Scenario Paths'!H96,IF(F308="Cement",'Scenario Paths'!H90,0))))))))))))),"Unavailable"))</x:f>
      </x:c>
      <x:c r="I308" s="23" t="str">
        <x:f>IF(C308="","",IFERROR(INDEX('Borrowers'!$R$9:$R$108,MATCH(C308,'Borrowers'!$C$9:$C$108,0))*(1-INDEX('Borrowers'!$W$9:$W$108,MATCH(C308,'Borrowers'!$C$9:$C$108,0))*'Scenario Paths'!H39)*'Scenario Paths'!H9/1000000*(1-INDEX('Borrowers'!$T$9:$T$108,MATCH(C308,'Borrowers'!$C$9:$C$108,0))),"Unavailable"))</x:f>
      </x:c>
      <x:c r="J308" s="23" t="str">
        <x:f>IF(C308="","",IFERROR(INDEX('Borrowers'!$I$9:$I$108,MATCH(C308,'Borrowers'!$C$9:$C$108,0))*INDEX('Borrowers'!$S$9:$S$108,MATCH(C308,'Borrowers'!$C$9:$C$108,0))*'Scenario Paths'!H15*(1-INDEX('Borrowers'!$T$9:$T$108,MATCH(C308,'Borrowers'!$C$9:$C$108,0))),"Unavailable"))</x:f>
      </x:c>
      <x:c r="K308" s="23" t="str">
        <x:f>IF(C308="","",IFERROR(INDEX('Borrowers'!$I$9:$I$108,MATCH(C308,'Borrowers'!$C$9:$C$108,0))*INDEX('Borrowers'!$U$9:$U$108,MATCH(C308,'Borrowers'!$C$9:$C$108,0))*'Scenario Paths'!H21*S308,"Unavailable"))</x:f>
      </x:c>
      <x:c r="L308" s="23" t="str">
        <x:f>IF(C308="","",IFERROR(SUMPRODUCT((Sites!$D$9:$D$108=C308)*Sites!$H$9:$H$108*Sites!$J$9:$J$108*Sites!$K$9:$K$108*(1-Sites!$L$9:$L$108)*(1-Sites!$M$9:$M$108))*'Scenario Paths'!H27,"Unavailable"))</x:f>
      </x:c>
      <x:c r="M308" s="23" t="str">
        <x:f>IF(C308="","",IFERROR(INDEX('Borrowers'!$J$9:$J$108,MATCH(C308,'Borrowers'!$C$9:$C$108,0))+H308-SUM(I308:L308),"Unavailable"))</x:f>
      </x:c>
      <x:c r="N308" s="23" t="str">
        <x:f>IF(C308="","",IFERROR(INDEX('Borrowers'!$I$9:$I$108,MATCH(C308,'Borrowers'!$C$9:$C$108,0))*'Scenario Paths'!H33,"Unavailable"))</x:f>
      </x:c>
      <x:c r="O308" s="23" t="str">
        <x:f>IF(C308="","",IFERROR(M308-INDEX('Borrowers'!$K$9:$K$108,MATCH(C308,'Borrowers'!$C$9:$C$108,0))-N308,"Unavailable"))</x:f>
      </x:c>
      <x:c r="P308" s="127" t="str">
        <x:f>IF(C308="","",IFERROR(O308/INDEX('Borrowers'!$L$9:$L$108,MATCH(C308,'Borrowers'!$C$9:$C$108,0)),"Unavailable"))</x:f>
      </x:c>
      <x:c r="Q308" s="30" t="str">
        <x:f>IF(C308="","",IFERROR(IF(INDEX('Borrowers'!$Z$9:$Z$108,MATCH(C308,'Borrowers'!$C$9:$C$108,0))="Yes",1,IF(INDEX('Borrowers'!$P$9:$P$108,MATCH(C308,'Borrowers'!$C$9:$C$108,0))=0,0,MIN(1,INDEX('Borrowers'!$P$9:$P$108,MATCH(C308,'Borrowers'!$C$9:$C$108,0))*EXP(MIN(20,INDEX('Borrowers'!$V$9:$V$108,MATCH(C308,'Borrowers'!$C$9:$C$108,0))*V308))))),"Unavailable"))</x:f>
      </x:c>
      <x:c r="R308" s="30" t="str">
        <x:f>IF(C308="","",IFERROR(MIN(1,INDEX('Borrowers'!$Q$9:$Q$108,MATCH(C308,'Borrowers'!$C$9:$C$108,0))+(1-INDEX('Borrowers'!$Q$9:$Q$108,MATCH(C308,'Borrowers'!$C$9:$C$108,0)))*T308),"Unavailable"))</x:f>
      </x:c>
      <x:c r="S308" s="30" t="str">
        <x:f>IF(C308="","",IFERROR(SUMPRODUCT((Sites!$D$9:$D$108=C308)*Sites!$I$9:$I$108*Sites!$J$9:$J$108*Sites!$K$9:$K$108*(1-Sites!$L$9:$L$108)),"Unavailable"))</x:f>
      </x:c>
      <x:c r="T308" s="30" t="str">
        <x:f>IF(C308="","",IFERROR(MIN(1,(SUMPRODUCT((Sites!$D$9:$D$108=C308)*Sites!$N$9:$N$108*Sites!$J$9:$J$108*Sites!$K$9:$K$108*(1-Sites!$L$9:$L$108)))*'Scenario Paths'!H27),"Unavailable"))</x:f>
      </x:c>
      <x:c r="U308" s="9" t="str">
        <x:f>IF(C308="","",IF(OR(INDEX('Borrowers'!$AA$9:$AA$108,MATCH(C308,'Borrowers'!$C$9:$C$108,0))&lt;&gt;"Ready",COUNTIF(Sites!$D$9:$D$108,C308)=0,COUNTIFS(Sites!$D$9:$D$108,C308,Sites!$Q$9:$Q$108,"&lt;&gt;Ready")&gt;0,'Scenario Paths'!$F$6&lt;&gt;"Ready"),"Review source inputs","Ready"))</x:f>
      </x:c>
      <x:c r="V308" s="17" t="str">
        <x:f>IF(C308="","",IFERROR(MAX(-1,(G308-O308)/MAX(0.000001,G308)),"Unavailable"))</x:f>
      </x:c>
      <x:c r="W308" s="9" t="str">
        <x:f>IF(C308="","",IFERROR(INDEX('Borrowers'!$D$9:$D$108,MATCH(C308,'Borrowers'!$C$9:$C$108,0)),"Unavailable"))</x:f>
      </x:c>
    </x:row>
    <x:row r="309" ht="26" customHeight="1">
      <x:c r="A309" s="1"/>
      <x:c r="B309" s="1"/>
      <x:c r="C309" s="9" t="str">
        <x:f>IF(Borrowers!C9="","",Borrowers!C9)</x:f>
        <x:v>B001</x:v>
      </x:c>
      <x:c r="D309" s="3" t="n">
        <x:v>4</x:v>
      </x:c>
      <x:c r="E309" s="9" t="n">
        <x:f>Settings!$F$18+3</x:f>
        <x:v>2030</x:v>
      </x:c>
      <x:c r="F309" s="9" t="str">
        <x:f>IF(C309="","",INDEX('Borrowers'!$F$9:$F$108,MATCH(C309,'Borrowers'!$C$9:$C$108,0)))</x:f>
        <x:v>Cement</x:v>
      </x:c>
      <x:c r="G309" s="23" t="n">
        <x:f>IF(C309="","",IFERROR(INDEX('Borrowers'!$J$9:$J$108,MATCH(C309,'Borrowers'!$C$9:$C$108,0))-INDEX('Borrowers'!$K$9:$K$108,MATCH(C309,'Borrowers'!$C$9:$C$108,0)),"Unavailable"))</x:f>
        <x:v>10</x:v>
      </x:c>
      <x:c r="H309" s="23" t="n">
        <x:f>IF(C309="","",IFERROR(INDEX('Borrowers'!$I$9:$I$108,MATCH(C309,'Borrowers'!$C$9:$C$108,0))*INDEX('Borrowers'!$U$9:$U$108,MATCH(C309,'Borrowers'!$C$9:$C$108,0))*(IF(F309="Transport",'Scenario Paths'!I156,IF(F309="Technology",'Scenario Paths'!I150,IF(F309="Utilities",'Scenario Paths'!I144,IF(F309="Agriculture",'Scenario Paths'!I138,IF(F309="Manufacturing",'Scenario Paths'!I132,IF(F309="Healthcare",'Scenario Paths'!I126,IF(F309="Hospitality",'Scenario Paths'!I120,IF(F309="Property",'Scenario Paths'!I114,IF(F309="Food",'Scenario Paths'!I108,IF(F309="Logistics",'Scenario Paths'!I102,IF(F309="Solar",'Scenario Paths'!I96,IF(F309="Cement",'Scenario Paths'!I90,0))))))))))))),"Unavailable"))</x:f>
        <x:v>-1.152</x:v>
      </x:c>
      <x:c r="I309" s="23" t="n">
        <x:f>IF(C309="","",IFERROR(INDEX('Borrowers'!$R$9:$R$108,MATCH(C309,'Borrowers'!$C$9:$C$108,0))*(1-INDEX('Borrowers'!$W$9:$W$108,MATCH(C309,'Borrowers'!$C$9:$C$108,0))*'Scenario Paths'!I39)*'Scenario Paths'!I9/1000000*(1-INDEX('Borrowers'!$T$9:$T$108,MATCH(C309,'Borrowers'!$C$9:$C$108,0))),"Unavailable"))</x:f>
        <x:v>9.024600000000001</x:v>
      </x:c>
      <x:c r="J309" s="23" t="n">
        <x:f>IF(C309="","",IFERROR(INDEX('Borrowers'!$I$9:$I$108,MATCH(C309,'Borrowers'!$C$9:$C$108,0))*INDEX('Borrowers'!$S$9:$S$108,MATCH(C309,'Borrowers'!$C$9:$C$108,0))*'Scenario Paths'!I15*(1-INDEX('Borrowers'!$T$9:$T$108,MATCH(C309,'Borrowers'!$C$9:$C$108,0))),"Unavailable"))</x:f>
        <x:v>2.2425</x:v>
      </x:c>
      <x:c r="K309" s="23" t="n">
        <x:f>IF(C309="","",IFERROR(INDEX('Borrowers'!$I$9:$I$108,MATCH(C309,'Borrowers'!$C$9:$C$108,0))*INDEX('Borrowers'!$U$9:$U$108,MATCH(C309,'Borrowers'!$C$9:$C$108,0))*'Scenario Paths'!I21*S309,"Unavailable"))</x:f>
        <x:v>0.021504000000000002</x:v>
      </x:c>
      <x:c r="L309" s="23" t="n">
        <x:f>IF(C309="","",IFERROR(SUMPRODUCT((Sites!$D$9:$D$108=C309)*Sites!$H$9:$H$108*Sites!$J$9:$J$108*Sites!$K$9:$K$108*(1-Sites!$L$9:$L$108)*(1-Sites!$M$9:$M$108))*'Scenario Paths'!I27,"Unavailable"))</x:f>
        <x:v>0.03696</x:v>
      </x:c>
      <x:c r="M309" s="23" t="n">
        <x:f>IF(C309="","",IFERROR(INDEX('Borrowers'!$J$9:$J$108,MATCH(C309,'Borrowers'!$C$9:$C$108,0))+H309-SUM(I309:L309),"Unavailable"))</x:f>
        <x:v>-0.477564000000001</x:v>
      </x:c>
      <x:c r="N309" s="23" t="n">
        <x:f>IF(C309="","",IFERROR(INDEX('Borrowers'!$I$9:$I$108,MATCH(C309,'Borrowers'!$C$9:$C$108,0))*'Scenario Paths'!I33,"Unavailable"))</x:f>
        <x:v>2.1</x:v>
      </x:c>
      <x:c r="O309" s="23" t="n">
        <x:f>IF(C309="","",IFERROR(M309-INDEX('Borrowers'!$K$9:$K$108,MATCH(C309,'Borrowers'!$C$9:$C$108,0))-N309,"Unavailable"))</x:f>
        <x:v>-4.577564000000001</x:v>
      </x:c>
      <x:c r="P309" s="127" t="n">
        <x:f>IF(C309="","",IFERROR(O309/INDEX('Borrowers'!$L$9:$L$108,MATCH(C309,'Borrowers'!$C$9:$C$108,0)),"Unavailable"))</x:f>
        <x:v>-0.9155128000000001</x:v>
      </x:c>
      <x:c r="Q309" s="30" t="n">
        <x:f>IF(C309="","",IFERROR(IF(INDEX('Borrowers'!$Z$9:$Z$108,MATCH(C309,'Borrowers'!$C$9:$C$108,0))="Yes",1,IF(INDEX('Borrowers'!$P$9:$P$108,MATCH(C309,'Borrowers'!$C$9:$C$108,0))=0,0,MIN(1,INDEX('Borrowers'!$P$9:$P$108,MATCH(C309,'Borrowers'!$C$9:$C$108,0))*EXP(MIN(20,INDEX('Borrowers'!$V$9:$V$108,MATCH(C309,'Borrowers'!$C$9:$C$108,0))*V309))))),"Unavailable"))</x:f>
        <x:v>0.12363292459733351</x:v>
      </x:c>
      <x:c r="R309" s="30" t="n">
        <x:f>IF(C309="","",IFERROR(MIN(1,INDEX('Borrowers'!$Q$9:$Q$108,MATCH(C309,'Borrowers'!$C$9:$C$108,0))+(1-INDEX('Borrowers'!$Q$9:$Q$108,MATCH(C309,'Borrowers'!$C$9:$C$108,0)))*T309),"Unavailable"))</x:f>
        <x:v>0.2812096</x:v>
      </x:c>
      <x:c r="S309" s="30" t="n">
        <x:f>IF(C309="","",IFERROR(SUMPRODUCT((Sites!$D$9:$D$108=C309)*Sites!$I$9:$I$108*Sites!$J$9:$J$108*Sites!$K$9:$K$108*(1-Sites!$L$9:$L$108)),"Unavailable"))</x:f>
        <x:v>0.056</x:v>
      </x:c>
      <x:c r="T309" s="30" t="n">
        <x:f>IF(C309="","",IFERROR(MIN(1,(SUMPRODUCT((Sites!$D$9:$D$108=C309)*Sites!$N$9:$N$108*Sites!$J$9:$J$108*Sites!$K$9:$K$108*(1-Sites!$L$9:$L$108)))*'Scenario Paths'!I27),"Unavailable"))</x:f>
        <x:v>0.00168</x:v>
      </x:c>
      <x:c r="U309" s="9" t="str">
        <x:f>IF(C309="","",IF(OR(INDEX('Borrowers'!$AA$9:$AA$108,MATCH(C309,'Borrowers'!$C$9:$C$108,0))&lt;&gt;"Ready",COUNTIF(Sites!$D$9:$D$108,C309)=0,COUNTIFS(Sites!$D$9:$D$108,C309,Sites!$Q$9:$Q$108,"&lt;&gt;Ready")&gt;0,'Scenario Paths'!$F$6&lt;&gt;"Ready"),"Review source inputs","Ready"))</x:f>
        <x:v>Ready</x:v>
      </x:c>
      <x:c r="V309" s="17" t="n">
        <x:f>IF(C309="","",IFERROR(MAX(-1,(G309-O309)/MAX(0.000001,G309)),"Unavailable"))</x:f>
        <x:v>1.4577564</x:v>
      </x:c>
      <x:c r="W309" s="9" t="str">
        <x:f>IF(C309="","",IFERROR(INDEX('Borrowers'!$D$9:$D$108,MATCH(C309,'Borrowers'!$C$9:$C$108,0)),"Unavailable"))</x:f>
        <x:v>Demo Nile Cement</x:v>
      </x:c>
    </x:row>
    <x:row r="310" ht="26" customHeight="1">
      <x:c r="A310" s="1"/>
      <x:c r="B310" s="1"/>
      <x:c r="C310" s="9" t="str">
        <x:f>IF(Borrowers!C10="","",Borrowers!C10)</x:f>
        <x:v>B002</x:v>
      </x:c>
      <x:c r="D310" s="3" t="n">
        <x:v>4</x:v>
      </x:c>
      <x:c r="E310" s="9" t="n">
        <x:f>Settings!$F$18+3</x:f>
        <x:v>2030</x:v>
      </x:c>
      <x:c r="F310" s="9" t="str">
        <x:f>IF(C310="","",INDEX('Borrowers'!$F$9:$F$108,MATCH(C310,'Borrowers'!$C$9:$C$108,0)))</x:f>
        <x:v>Solar</x:v>
      </x:c>
      <x:c r="G310" s="23" t="n">
        <x:f>IF(C310="","",IFERROR(INDEX('Borrowers'!$J$9:$J$108,MATCH(C310,'Borrowers'!$C$9:$C$108,0))-INDEX('Borrowers'!$K$9:$K$108,MATCH(C310,'Borrowers'!$C$9:$C$108,0)),"Unavailable"))</x:f>
        <x:v>11.35</x:v>
      </x:c>
      <x:c r="H310" s="23" t="n">
        <x:f>IF(C310="","",IFERROR(INDEX('Borrowers'!$I$9:$I$108,MATCH(C310,'Borrowers'!$C$9:$C$108,0))*INDEX('Borrowers'!$U$9:$U$108,MATCH(C310,'Borrowers'!$C$9:$C$108,0))*(IF(F310="Transport",'Scenario Paths'!I156,IF(F310="Technology",'Scenario Paths'!I150,IF(F310="Utilities",'Scenario Paths'!I144,IF(F310="Agriculture",'Scenario Paths'!I138,IF(F310="Manufacturing",'Scenario Paths'!I132,IF(F310="Healthcare",'Scenario Paths'!I126,IF(F310="Hospitality",'Scenario Paths'!I120,IF(F310="Property",'Scenario Paths'!I114,IF(F310="Food",'Scenario Paths'!I108,IF(F310="Logistics",'Scenario Paths'!I102,IF(F310="Solar",'Scenario Paths'!I96,IF(F310="Cement",'Scenario Paths'!I90,0))))))))))))),"Unavailable"))</x:f>
        <x:v>1.5276</x:v>
      </x:c>
      <x:c r="I310" s="23" t="n">
        <x:f>IF(C310="","",IFERROR(INDEX('Borrowers'!$R$9:$R$108,MATCH(C310,'Borrowers'!$C$9:$C$108,0))*(1-INDEX('Borrowers'!$W$9:$W$108,MATCH(C310,'Borrowers'!$C$9:$C$108,0))*'Scenario Paths'!I39)*'Scenario Paths'!I9/1000000*(1-INDEX('Borrowers'!$T$9:$T$108,MATCH(C310,'Borrowers'!$C$9:$C$108,0))),"Unavailable"))</x:f>
        <x:v>0.012727000000000002</x:v>
      </x:c>
      <x:c r="J310" s="23" t="n">
        <x:f>IF(C310="","",IFERROR(INDEX('Borrowers'!$I$9:$I$108,MATCH(C310,'Borrowers'!$C$9:$C$108,0))*INDEX('Borrowers'!$S$9:$S$108,MATCH(C310,'Borrowers'!$C$9:$C$108,0))*'Scenario Paths'!I15*(1-INDEX('Borrowers'!$T$9:$T$108,MATCH(C310,'Borrowers'!$C$9:$C$108,0))),"Unavailable"))</x:f>
        <x:v>0.8291250000000002</x:v>
      </x:c>
      <x:c r="K310" s="23" t="n">
        <x:f>IF(C310="","",IFERROR(INDEX('Borrowers'!$I$9:$I$108,MATCH(C310,'Borrowers'!$C$9:$C$108,0))*INDEX('Borrowers'!$U$9:$U$108,MATCH(C310,'Borrowers'!$C$9:$C$108,0))*'Scenario Paths'!I21*S310,"Unavailable"))</x:f>
        <x:v>0.0651776</x:v>
      </x:c>
      <x:c r="L310" s="23" t="n">
        <x:f>IF(C310="","",IFERROR(SUMPRODUCT((Sites!$D$9:$D$108=C310)*Sites!$H$9:$H$108*Sites!$J$9:$J$108*Sites!$K$9:$K$108*(1-Sites!$L$9:$L$108)*(1-Sites!$M$9:$M$108))*'Scenario Paths'!I27,"Unavailable"))</x:f>
        <x:v>0.09292800000000001</x:v>
      </x:c>
      <x:c r="M310" s="23" t="n">
        <x:f>IF(C310="","",IFERROR(INDEX('Borrowers'!$J$9:$J$108,MATCH(C310,'Borrowers'!$C$9:$C$108,0))+H310-SUM(I310:L310),"Unavailable"))</x:f>
        <x:v>14.0276424</x:v>
      </x:c>
      <x:c r="N310" s="23" t="n">
        <x:f>IF(C310="","",IFERROR(INDEX('Borrowers'!$I$9:$I$108,MATCH(C310,'Borrowers'!$C$9:$C$108,0))*'Scenario Paths'!I33,"Unavailable"))</x:f>
        <x:v>2.345</x:v>
      </x:c>
      <x:c r="O310" s="23" t="n">
        <x:f>IF(C310="","",IFERROR(M310-INDEX('Borrowers'!$K$9:$K$108,MATCH(C310,'Borrowers'!$C$9:$C$108,0))-N310,"Unavailable"))</x:f>
        <x:v>9.532642399999999</x:v>
      </x:c>
      <x:c r="P310" s="127" t="n">
        <x:f>IF(C310="","",IFERROR(O310/INDEX('Borrowers'!$L$9:$L$108,MATCH(C310,'Borrowers'!$C$9:$C$108,0)),"Unavailable"))</x:f>
        <x:v>1.7986117735849054</x:v>
      </x:c>
      <x:c r="Q310" s="30" t="n">
        <x:f>IF(C310="","",IFERROR(IF(INDEX('Borrowers'!$Z$9:$Z$108,MATCH(C310,'Borrowers'!$C$9:$C$108,0))="Yes",1,IF(INDEX('Borrowers'!$P$9:$P$108,MATCH(C310,'Borrowers'!$C$9:$C$108,0))=0,0,MIN(1,INDEX('Borrowers'!$P$9:$P$108,MATCH(C310,'Borrowers'!$C$9:$C$108,0))*EXP(MIN(20,INDEX('Borrowers'!$V$9:$V$108,MATCH(C310,'Borrowers'!$C$9:$C$108,0))*V310))))),"Unavailable"))</x:f>
        <x:v>0.023255999404071356</x:v>
      </x:c>
      <x:c r="R310" s="30" t="n">
        <x:f>IF(C310="","",IFERROR(MIN(1,INDEX('Borrowers'!$Q$9:$Q$108,MATCH(C310,'Borrowers'!$C$9:$C$108,0))+(1-INDEX('Borrowers'!$Q$9:$Q$108,MATCH(C310,'Borrowers'!$C$9:$C$108,0)))*T310),"Unavailable"))</x:f>
        <x:v>0.3226112</x:v>
      </x:c>
      <x:c r="S310" s="30" t="n">
        <x:f>IF(C310="","",IFERROR(SUMPRODUCT((Sites!$D$9:$D$108=C310)*Sites!$I$9:$I$108*Sites!$J$9:$J$108*Sites!$K$9:$K$108*(1-Sites!$L$9:$L$108)),"Unavailable"))</x:f>
        <x:v>0.128</x:v>
      </x:c>
      <x:c r="T310" s="30" t="n">
        <x:f>IF(C310="","",IFERROR(MIN(1,(SUMPRODUCT((Sites!$D$9:$D$108=C310)*Sites!$N$9:$N$108*Sites!$J$9:$J$108*Sites!$K$9:$K$108*(1-Sites!$L$9:$L$108)))*'Scenario Paths'!I27),"Unavailable"))</x:f>
        <x:v>0.00384</x:v>
      </x:c>
      <x:c r="U310" s="9" t="str">
        <x:f>IF(C310="","",IF(OR(INDEX('Borrowers'!$AA$9:$AA$108,MATCH(C310,'Borrowers'!$C$9:$C$108,0))&lt;&gt;"Ready",COUNTIF(Sites!$D$9:$D$108,C310)=0,COUNTIFS(Sites!$D$9:$D$108,C310,Sites!$Q$9:$Q$108,"&lt;&gt;Ready")&gt;0,'Scenario Paths'!$F$6&lt;&gt;"Ready"),"Review source inputs","Ready"))</x:f>
        <x:v>Ready</x:v>
      </x:c>
      <x:c r="V310" s="17" t="n">
        <x:f>IF(C310="","",IFERROR(MAX(-1,(G310-O310)/MAX(0.000001,G310)),"Unavailable"))</x:f>
        <x:v>0.16011961233480188</x:v>
      </x:c>
      <x:c r="W310" s="9" t="str">
        <x:f>IF(C310="","",IFERROR(INDEX('Borrowers'!$D$9:$D$108,MATCH(C310,'Borrowers'!$C$9:$C$108,0)),"Unavailable"))</x:f>
        <x:v>Demo Delta Solar</x:v>
      </x:c>
    </x:row>
    <x:row r="311" ht="26" customHeight="1">
      <x:c r="A311" s="1"/>
      <x:c r="B311" s="1"/>
      <x:c r="C311" s="9" t="str">
        <x:f>IF(Borrowers!C11="","",Borrowers!C11)</x:f>
        <x:v>B003</x:v>
      </x:c>
      <x:c r="D311" s="3" t="n">
        <x:v>4</x:v>
      </x:c>
      <x:c r="E311" s="9" t="n">
        <x:f>Settings!$F$18+3</x:f>
        <x:v>2030</x:v>
      </x:c>
      <x:c r="F311" s="9" t="str">
        <x:f>IF(C311="","",INDEX('Borrowers'!$F$9:$F$108,MATCH(C311,'Borrowers'!$C$9:$C$108,0)))</x:f>
        <x:v>Logistics</x:v>
      </x:c>
      <x:c r="G311" s="23" t="n">
        <x:f>IF(C311="","",IFERROR(INDEX('Borrowers'!$J$9:$J$108,MATCH(C311,'Borrowers'!$C$9:$C$108,0))-INDEX('Borrowers'!$K$9:$K$108,MATCH(C311,'Borrowers'!$C$9:$C$108,0)),"Unavailable"))</x:f>
        <x:v>12.7</x:v>
      </x:c>
      <x:c r="H311" s="23" t="n">
        <x:f>IF(C311="","",IFERROR(INDEX('Borrowers'!$I$9:$I$108,MATCH(C311,'Borrowers'!$C$9:$C$108,0))*INDEX('Borrowers'!$U$9:$U$108,MATCH(C311,'Borrowers'!$C$9:$C$108,0))*(IF(F311="Transport",'Scenario Paths'!I156,IF(F311="Technology",'Scenario Paths'!I150,IF(F311="Utilities",'Scenario Paths'!I144,IF(F311="Agriculture",'Scenario Paths'!I138,IF(F311="Manufacturing",'Scenario Paths'!I132,IF(F311="Healthcare",'Scenario Paths'!I126,IF(F311="Hospitality",'Scenario Paths'!I120,IF(F311="Property",'Scenario Paths'!I114,IF(F311="Food",'Scenario Paths'!I108,IF(F311="Logistics",'Scenario Paths'!I102,IF(F311="Solar",'Scenario Paths'!I96,IF(F311="Cement",'Scenario Paths'!I90,0))))))))))))),"Unavailable"))</x:f>
        <x:v>-1.9536</x:v>
      </x:c>
      <x:c r="I311" s="23" t="n">
        <x:f>IF(C311="","",IFERROR(INDEX('Borrowers'!$R$9:$R$108,MATCH(C311,'Borrowers'!$C$9:$C$108,0))*(1-INDEX('Borrowers'!$W$9:$W$108,MATCH(C311,'Borrowers'!$C$9:$C$108,0))*'Scenario Paths'!I39)*'Scenario Paths'!I9/1000000*(1-INDEX('Borrowers'!$T$9:$T$108,MATCH(C311,'Borrowers'!$C$9:$C$108,0))),"Unavailable"))</x:f>
        <x:v>0.24991199999999997</x:v>
      </x:c>
      <x:c r="J311" s="23" t="n">
        <x:f>IF(C311="","",IFERROR(INDEX('Borrowers'!$I$9:$I$108,MATCH(C311,'Borrowers'!$C$9:$C$108,0))*INDEX('Borrowers'!$S$9:$S$108,MATCH(C311,'Borrowers'!$C$9:$C$108,0))*'Scenario Paths'!I15*(1-INDEX('Borrowers'!$T$9:$T$108,MATCH(C311,'Borrowers'!$C$9:$C$108,0))),"Unavailable"))</x:f>
        <x:v>0.91575</x:v>
      </x:c>
      <x:c r="K311" s="23" t="n">
        <x:f>IF(C311="","",IFERROR(INDEX('Borrowers'!$I$9:$I$108,MATCH(C311,'Borrowers'!$C$9:$C$108,0))*INDEX('Borrowers'!$U$9:$U$108,MATCH(C311,'Borrowers'!$C$9:$C$108,0))*'Scenario Paths'!I21*S311,"Unavailable"))</x:f>
        <x:v>0.14899456000000003</x:v>
      </x:c>
      <x:c r="L311" s="23" t="n">
        <x:f>IF(C311="","",IFERROR(SUMPRODUCT((Sites!$D$9:$D$108=C311)*Sites!$H$9:$H$108*Sites!$J$9:$J$108*Sites!$K$9:$K$108*(1-Sites!$L$9:$L$108)*(1-Sites!$M$9:$M$108))*'Scenario Paths'!I27,"Unavailable"))</x:f>
        <x:v>0.18120959999999997</x:v>
      </x:c>
      <x:c r="M311" s="23" t="n">
        <x:f>IF(C311="","",IFERROR(INDEX('Borrowers'!$J$9:$J$108,MATCH(C311,'Borrowers'!$C$9:$C$108,0))+H311-SUM(I311:L311),"Unavailable"))</x:f>
        <x:v>11.55053384</x:v>
      </x:c>
      <x:c r="N311" s="23" t="n">
        <x:f>IF(C311="","",IFERROR(INDEX('Borrowers'!$I$9:$I$108,MATCH(C311,'Borrowers'!$C$9:$C$108,0))*'Scenario Paths'!I33,"Unavailable"))</x:f>
        <x:v>2.5900000000000003</x:v>
      </x:c>
      <x:c r="O311" s="23" t="n">
        <x:f>IF(C311="","",IFERROR(M311-INDEX('Borrowers'!$K$9:$K$108,MATCH(C311,'Borrowers'!$C$9:$C$108,0))-N311,"Unavailable"))</x:f>
        <x:v>6.660533839999999</x:v>
      </x:c>
      <x:c r="P311" s="127" t="n">
        <x:f>IF(C311="","",IFERROR(O311/INDEX('Borrowers'!$L$9:$L$108,MATCH(C311,'Borrowers'!$C$9:$C$108,0)),"Unavailable"))</x:f>
        <x:v>1.1893810428571427</x:v>
      </x:c>
      <x:c r="Q311" s="30" t="n">
        <x:f>IF(C311="","",IFERROR(IF(INDEX('Borrowers'!$Z$9:$Z$108,MATCH(C311,'Borrowers'!$C$9:$C$108,0))="Yes",1,IF(INDEX('Borrowers'!$P$9:$P$108,MATCH(C311,'Borrowers'!$C$9:$C$108,0))=0,0,MIN(1,INDEX('Borrowers'!$P$9:$P$108,MATCH(C311,'Borrowers'!$C$9:$C$108,0))*EXP(MIN(20,INDEX('Borrowers'!$V$9:$V$108,MATCH(C311,'Borrowers'!$C$9:$C$108,0))*V311))))),"Unavailable"))</x:f>
        <x:v>0.051363687648022065</x:v>
      </x:c>
      <x:c r="R311" s="30" t="n">
        <x:f>IF(C311="","",IFERROR(MIN(1,INDEX('Borrowers'!$Q$9:$Q$108,MATCH(C311,'Borrowers'!$C$9:$C$108,0))+(1-INDEX('Borrowers'!$Q$9:$Q$108,MATCH(C311,'Borrowers'!$C$9:$C$108,0)))*T311),"Unavailable"))</x:f>
        <x:v>0.36439296000000004</x:v>
      </x:c>
      <x:c r="S311" s="30" t="n">
        <x:f>IF(C311="","",IFERROR(SUMPRODUCT((Sites!$D$9:$D$108=C311)*Sites!$I$9:$I$108*Sites!$J$9:$J$108*Sites!$K$9:$K$108*(1-Sites!$L$9:$L$108)),"Unavailable"))</x:f>
        <x:v>0.2288</x:v>
      </x:c>
      <x:c r="T311" s="30" t="n">
        <x:f>IF(C311="","",IFERROR(MIN(1,(SUMPRODUCT((Sites!$D$9:$D$108=C311)*Sites!$N$9:$N$108*Sites!$J$9:$J$108*Sites!$K$9:$K$108*(1-Sites!$L$9:$L$108)))*'Scenario Paths'!I27),"Unavailable"))</x:f>
        <x:v>0.0068639999999999994</x:v>
      </x:c>
      <x:c r="U311" s="9" t="str">
        <x:f>IF(C311="","",IF(OR(INDEX('Borrowers'!$AA$9:$AA$108,MATCH(C311,'Borrowers'!$C$9:$C$108,0))&lt;&gt;"Ready",COUNTIF(Sites!$D$9:$D$108,C311)=0,COUNTIFS(Sites!$D$9:$D$108,C311,Sites!$Q$9:$Q$108,"&lt;&gt;Ready")&gt;0,'Scenario Paths'!$F$6&lt;&gt;"Ready"),"Review source inputs","Ready"))</x:f>
        <x:v>Ready</x:v>
      </x:c>
      <x:c r="V311" s="17" t="n">
        <x:f>IF(C311="","",IFERROR(MAX(-1,(G311-O311)/MAX(0.000001,G311)),"Unavailable"))</x:f>
        <x:v>0.47554851653543306</x:v>
      </x:c>
      <x:c r="W311" s="9" t="str">
        <x:f>IF(C311="","",IFERROR(INDEX('Borrowers'!$D$9:$D$108,MATCH(C311,'Borrowers'!$C$9:$C$108,0)),"Unavailable"))</x:f>
        <x:v>Demo Alexandria Logistics</x:v>
      </x:c>
    </x:row>
    <x:row r="312" ht="26" customHeight="1">
      <x:c r="A312" s="1"/>
      <x:c r="B312" s="1"/>
      <x:c r="C312" s="9" t="str">
        <x:f>IF(Borrowers!C12="","",Borrowers!C12)</x:f>
        <x:v>B004</x:v>
      </x:c>
      <x:c r="D312" s="3" t="n">
        <x:v>4</x:v>
      </x:c>
      <x:c r="E312" s="9" t="n">
        <x:f>Settings!$F$18+3</x:f>
        <x:v>2030</x:v>
      </x:c>
      <x:c r="F312" s="9" t="str">
        <x:f>IF(C312="","",INDEX('Borrowers'!$F$9:$F$108,MATCH(C312,'Borrowers'!$C$9:$C$108,0)))</x:f>
        <x:v>Food</x:v>
      </x:c>
      <x:c r="G312" s="23" t="n">
        <x:f>IF(C312="","",IFERROR(INDEX('Borrowers'!$J$9:$J$108,MATCH(C312,'Borrowers'!$C$9:$C$108,0))-INDEX('Borrowers'!$K$9:$K$108,MATCH(C312,'Borrowers'!$C$9:$C$108,0)),"Unavailable"))</x:f>
        <x:v>14.05</x:v>
      </x:c>
      <x:c r="H312" s="23" t="n">
        <x:f>IF(C312="","",IFERROR(INDEX('Borrowers'!$I$9:$I$108,MATCH(C312,'Borrowers'!$C$9:$C$108,0))*INDEX('Borrowers'!$U$9:$U$108,MATCH(C312,'Borrowers'!$C$9:$C$108,0))*(IF(F312="Transport",'Scenario Paths'!I156,IF(F312="Technology",'Scenario Paths'!I150,IF(F312="Utilities",'Scenario Paths'!I144,IF(F312="Agriculture",'Scenario Paths'!I138,IF(F312="Manufacturing",'Scenario Paths'!I132,IF(F312="Healthcare",'Scenario Paths'!I126,IF(F312="Hospitality",'Scenario Paths'!I120,IF(F312="Property",'Scenario Paths'!I114,IF(F312="Food",'Scenario Paths'!I108,IF(F312="Logistics",'Scenario Paths'!I102,IF(F312="Solar",'Scenario Paths'!I96,IF(F312="Cement",'Scenario Paths'!I90,0))))))))))))),"Unavailable"))</x:f>
        <x:v>-1.5552000000000001</x:v>
      </x:c>
      <x:c r="I312" s="23" t="n">
        <x:f>IF(C312="","",IFERROR(INDEX('Borrowers'!$R$9:$R$108,MATCH(C312,'Borrowers'!$C$9:$C$108,0))*(1-INDEX('Borrowers'!$W$9:$W$108,MATCH(C312,'Borrowers'!$C$9:$C$108,0))*'Scenario Paths'!I39)*'Scenario Paths'!I9/1000000*(1-INDEX('Borrowers'!$T$9:$T$108,MATCH(C312,'Borrowers'!$C$9:$C$108,0))),"Unavailable"))</x:f>
        <x:v>0.21057399999999998</x:v>
      </x:c>
      <x:c r="J312" s="23" t="n">
        <x:f>IF(C312="","",IFERROR(INDEX('Borrowers'!$I$9:$I$108,MATCH(C312,'Borrowers'!$C$9:$C$108,0))*INDEX('Borrowers'!$S$9:$S$108,MATCH(C312,'Borrowers'!$C$9:$C$108,0))*'Scenario Paths'!I15*(1-INDEX('Borrowers'!$T$9:$T$108,MATCH(C312,'Borrowers'!$C$9:$C$108,0))),"Unavailable"))</x:f>
        <x:v>0.921375</x:v>
      </x:c>
      <x:c r="K312" s="23" t="n">
        <x:f>IF(C312="","",IFERROR(INDEX('Borrowers'!$I$9:$I$108,MATCH(C312,'Borrowers'!$C$9:$C$108,0))*INDEX('Borrowers'!$U$9:$U$108,MATCH(C312,'Borrowers'!$C$9:$C$108,0))*'Scenario Paths'!I21*S312,"Unavailable"))</x:f>
        <x:v>0.08128512000000002</x:v>
      </x:c>
      <x:c r="L312" s="23" t="n">
        <x:f>IF(C312="","",IFERROR(SUMPRODUCT((Sites!$D$9:$D$108=C312)*Sites!$H$9:$H$108*Sites!$J$9:$J$108*Sites!$K$9:$K$108*(1-Sites!$L$9:$L$108)*(1-Sites!$M$9:$M$108))*'Scenario Paths'!I27,"Unavailable"))</x:f>
        <x:v>0.1345344</x:v>
      </x:c>
      <x:c r="M312" s="23" t="n">
        <x:f>IF(C312="","",IFERROR(INDEX('Borrowers'!$J$9:$J$108,MATCH(C312,'Borrowers'!$C$9:$C$108,0))+H312-SUM(I312:L312),"Unavailable"))</x:f>
        <x:v>13.59703148</x:v>
      </x:c>
      <x:c r="N312" s="23" t="n">
        <x:f>IF(C312="","",IFERROR(INDEX('Borrowers'!$I$9:$I$108,MATCH(C312,'Borrowers'!$C$9:$C$108,0))*'Scenario Paths'!I33,"Unavailable"))</x:f>
        <x:v>2.8350000000000004</x:v>
      </x:c>
      <x:c r="O312" s="23" t="n">
        <x:f>IF(C312="","",IFERROR(M312-INDEX('Borrowers'!$K$9:$K$108,MATCH(C312,'Borrowers'!$C$9:$C$108,0))-N312,"Unavailable"))</x:f>
        <x:v>8.312031479999998</x:v>
      </x:c>
      <x:c r="P312" s="127" t="n">
        <x:f>IF(C312="","",IFERROR(O312/INDEX('Borrowers'!$L$9:$L$108,MATCH(C312,'Borrowers'!$C$9:$C$108,0)),"Unavailable"))</x:f>
        <x:v>1.4088188949152538</x:v>
      </x:c>
      <x:c r="Q312" s="30" t="n">
        <x:f>IF(C312="","",IFERROR(IF(INDEX('Borrowers'!$Z$9:$Z$108,MATCH(C312,'Borrowers'!$C$9:$C$108,0))="Yes",1,IF(INDEX('Borrowers'!$P$9:$P$108,MATCH(C312,'Borrowers'!$C$9:$C$108,0))=0,0,MIN(1,INDEX('Borrowers'!$P$9:$P$108,MATCH(C312,'Borrowers'!$C$9:$C$108,0))*EXP(MIN(20,INDEX('Borrowers'!$V$9:$V$108,MATCH(C312,'Borrowers'!$C$9:$C$108,0))*V312))))),"Unavailable"))</x:f>
        <x:v>0.05766391103519484</x:v>
      </x:c>
      <x:c r="R312" s="30" t="n">
        <x:f>IF(C312="","",IFERROR(MIN(1,INDEX('Borrowers'!$Q$9:$Q$108,MATCH(C312,'Borrowers'!$C$9:$C$108,0))+(1-INDEX('Borrowers'!$Q$9:$Q$108,MATCH(C312,'Borrowers'!$C$9:$C$108,0)))*T312),"Unavailable"))</x:f>
        <x:v>0.4028224</x:v>
      </x:c>
      <x:c r="S312" s="30" t="n">
        <x:f>IF(C312="","",IFERROR(SUMPRODUCT((Sites!$D$9:$D$108=C312)*Sites!$I$9:$I$108*Sites!$J$9:$J$108*Sites!$K$9:$K$108*(1-Sites!$L$9:$L$108)),"Unavailable"))</x:f>
        <x:v>0.1568</x:v>
      </x:c>
      <x:c r="T312" s="30" t="n">
        <x:f>IF(C312="","",IFERROR(MIN(1,(SUMPRODUCT((Sites!$D$9:$D$108=C312)*Sites!$N$9:$N$108*Sites!$J$9:$J$108*Sites!$K$9:$K$108*(1-Sites!$L$9:$L$108)))*'Scenario Paths'!I27),"Unavailable"))</x:f>
        <x:v>0.004704</x:v>
      </x:c>
      <x:c r="U312" s="9" t="str">
        <x:f>IF(C312="","",IF(OR(INDEX('Borrowers'!$AA$9:$AA$108,MATCH(C312,'Borrowers'!$C$9:$C$108,0))&lt;&gt;"Ready",COUNTIF(Sites!$D$9:$D$108,C312)=0,COUNTIFS(Sites!$D$9:$D$108,C312,Sites!$Q$9:$Q$108,"&lt;&gt;Ready")&gt;0,'Scenario Paths'!$F$6&lt;&gt;"Ready"),"Review source inputs","Ready"))</x:f>
        <x:v>Ready</x:v>
      </x:c>
      <x:c r="V312" s="17" t="n">
        <x:f>IF(C312="","",IFERROR(MAX(-1,(G312-O312)/MAX(0.000001,G312)),"Unavailable"))</x:f>
        <x:v>0.4083963359430607</x:v>
      </x:c>
      <x:c r="W312" s="9" t="str">
        <x:f>IF(C312="","",IFERROR(INDEX('Borrowers'!$D$9:$D$108,MATCH(C312,'Borrowers'!$C$9:$C$108,0)),"Unavailable"))</x:f>
        <x:v>Demo Oasis Foods</x:v>
      </x:c>
    </x:row>
    <x:row r="313" ht="26" customHeight="1">
      <x:c r="A313" s="1"/>
      <x:c r="B313" s="1"/>
      <x:c r="C313" s="9" t="str">
        <x:f>IF(Borrowers!C13="","",Borrowers!C13)</x:f>
        <x:v>B005</x:v>
      </x:c>
      <x:c r="D313" s="3" t="n">
        <x:v>4</x:v>
      </x:c>
      <x:c r="E313" s="9" t="n">
        <x:f>Settings!$F$18+3</x:f>
        <x:v>2030</x:v>
      </x:c>
      <x:c r="F313" s="9" t="str">
        <x:f>IF(C313="","",INDEX('Borrowers'!$F$9:$F$108,MATCH(C313,'Borrowers'!$C$9:$C$108,0)))</x:f>
        <x:v>Property</x:v>
      </x:c>
      <x:c r="G313" s="23" t="n">
        <x:f>IF(C313="","",IFERROR(INDEX('Borrowers'!$J$9:$J$108,MATCH(C313,'Borrowers'!$C$9:$C$108,0))-INDEX('Borrowers'!$K$9:$K$108,MATCH(C313,'Borrowers'!$C$9:$C$108,0)),"Unavailable"))</x:f>
        <x:v>15.4</x:v>
      </x:c>
      <x:c r="H313" s="23" t="n">
        <x:f>IF(C313="","",IFERROR(INDEX('Borrowers'!$I$9:$I$108,MATCH(C313,'Borrowers'!$C$9:$C$108,0))*INDEX('Borrowers'!$U$9:$U$108,MATCH(C313,'Borrowers'!$C$9:$C$108,0))*(IF(F313="Transport",'Scenario Paths'!I156,IF(F313="Technology",'Scenario Paths'!I150,IF(F313="Utilities",'Scenario Paths'!I144,IF(F313="Agriculture",'Scenario Paths'!I138,IF(F313="Manufacturing",'Scenario Paths'!I132,IF(F313="Healthcare",'Scenario Paths'!I126,IF(F313="Hospitality",'Scenario Paths'!I120,IF(F313="Property",'Scenario Paths'!I114,IF(F313="Food",'Scenario Paths'!I108,IF(F313="Logistics",'Scenario Paths'!I102,IF(F313="Solar",'Scenario Paths'!I96,IF(F313="Cement",'Scenario Paths'!I90,0))))))))))))),"Unavailable"))</x:f>
        <x:v>-2.0063999999999997</x:v>
      </x:c>
      <x:c r="I313" s="23" t="n">
        <x:f>IF(C313="","",IFERROR(INDEX('Borrowers'!$R$9:$R$108,MATCH(C313,'Borrowers'!$C$9:$C$108,0))*(1-INDEX('Borrowers'!$W$9:$W$108,MATCH(C313,'Borrowers'!$C$9:$C$108,0))*'Scenario Paths'!I39)*'Scenario Paths'!I9/1000000*(1-INDEX('Borrowers'!$T$9:$T$108,MATCH(C313,'Borrowers'!$C$9:$C$108,0))),"Unavailable"))</x:f>
        <x:v>0.421148</x:v>
      </x:c>
      <x:c r="J313" s="23" t="n">
        <x:f>IF(C313="","",IFERROR(INDEX('Borrowers'!$I$9:$I$108,MATCH(C313,'Borrowers'!$C$9:$C$108,0))*INDEX('Borrowers'!$S$9:$S$108,MATCH(C313,'Borrowers'!$C$9:$C$108,0))*'Scenario Paths'!I15*(1-INDEX('Borrowers'!$T$9:$T$108,MATCH(C313,'Borrowers'!$C$9:$C$108,0))),"Unavailable"))</x:f>
        <x:v>1.0010000000000001</x:v>
      </x:c>
      <x:c r="K313" s="23" t="n">
        <x:f>IF(C313="","",IFERROR(INDEX('Borrowers'!$I$9:$I$108,MATCH(C313,'Borrowers'!$C$9:$C$108,0))*INDEX('Borrowers'!$U$9:$U$108,MATCH(C313,'Borrowers'!$C$9:$C$108,0))*'Scenario Paths'!I21*S313,"Unavailable"))</x:f>
        <x:v>0.1819136</x:v>
      </x:c>
      <x:c r="L313" s="23" t="n">
        <x:f>IF(C313="","",IFERROR(SUMPRODUCT((Sites!$D$9:$D$108=C313)*Sites!$H$9:$H$108*Sites!$J$9:$J$108*Sites!$K$9:$K$108*(1-Sites!$L$9:$L$108)*(1-Sites!$M$9:$M$108))*'Scenario Paths'!I27,"Unavailable"))</x:f>
        <x:v>0.251328</x:v>
      </x:c>
      <x:c r="M313" s="23" t="n">
        <x:f>IF(C313="","",IFERROR(INDEX('Borrowers'!$J$9:$J$108,MATCH(C313,'Borrowers'!$C$9:$C$108,0))+H313-SUM(I313:L313),"Unavailable"))</x:f>
        <x:v>14.1382104</x:v>
      </x:c>
      <x:c r="N313" s="23" t="n">
        <x:f>IF(C313="","",IFERROR(INDEX('Borrowers'!$I$9:$I$108,MATCH(C313,'Borrowers'!$C$9:$C$108,0))*'Scenario Paths'!I33,"Unavailable"))</x:f>
        <x:v>3.08</x:v>
      </x:c>
      <x:c r="O313" s="23" t="n">
        <x:f>IF(C313="","",IFERROR(M313-INDEX('Borrowers'!$K$9:$K$108,MATCH(C313,'Borrowers'!$C$9:$C$108,0))-N313,"Unavailable"))</x:f>
        <x:v>8.4582104</x:v>
      </x:c>
      <x:c r="P313" s="127" t="n">
        <x:f>IF(C313="","",IFERROR(O313/INDEX('Borrowers'!$L$9:$L$108,MATCH(C313,'Borrowers'!$C$9:$C$108,0)),"Unavailable"))</x:f>
        <x:v>1.3642274838709678</x:v>
      </x:c>
      <x:c r="Q313" s="30" t="n">
        <x:f>IF(C313="","",IFERROR(IF(INDEX('Borrowers'!$Z$9:$Z$108,MATCH(C313,'Borrowers'!$C$9:$C$108,0))="Yes",1,IF(INDEX('Borrowers'!$P$9:$P$108,MATCH(C313,'Borrowers'!$C$9:$C$108,0))=0,0,MIN(1,INDEX('Borrowers'!$P$9:$P$108,MATCH(C313,'Borrowers'!$C$9:$C$108,0))*EXP(MIN(20,INDEX('Borrowers'!$V$9:$V$108,MATCH(C313,'Borrowers'!$C$9:$C$108,0))*V313))))),"Unavailable"))</x:f>
        <x:v>0.0740502437173744</x:v>
      </x:c>
      <x:c r="R313" s="30" t="n">
        <x:f>IF(C313="","",IFERROR(MIN(1,INDEX('Borrowers'!$Q$9:$Q$108,MATCH(C313,'Borrowers'!$C$9:$C$108,0))+(1-INDEX('Borrowers'!$Q$9:$Q$108,MATCH(C313,'Borrowers'!$C$9:$C$108,0)))*T313),"Unavailable"))</x:f>
        <x:v>0.44456960000000006</x:v>
      </x:c>
      <x:c r="S313" s="30" t="n">
        <x:f>IF(C313="","",IFERROR(SUMPRODUCT((Sites!$D$9:$D$108=C313)*Sites!$I$9:$I$108*Sites!$J$9:$J$108*Sites!$K$9:$K$108*(1-Sites!$L$9:$L$108)),"Unavailable"))</x:f>
        <x:v>0.272</x:v>
      </x:c>
      <x:c r="T313" s="30" t="n">
        <x:f>IF(C313="","",IFERROR(MIN(1,(SUMPRODUCT((Sites!$D$9:$D$108=C313)*Sites!$N$9:$N$108*Sites!$J$9:$J$108*Sites!$K$9:$K$108*(1-Sites!$L$9:$L$108)))*'Scenario Paths'!I27),"Unavailable"))</x:f>
        <x:v>0.00816</x:v>
      </x:c>
      <x:c r="U313" s="9" t="str">
        <x:f>IF(C313="","",IF(OR(INDEX('Borrowers'!$AA$9:$AA$108,MATCH(C313,'Borrowers'!$C$9:$C$108,0))&lt;&gt;"Ready",COUNTIF(Sites!$D$9:$D$108,C313)=0,COUNTIFS(Sites!$D$9:$D$108,C313,Sites!$Q$9:$Q$108,"&lt;&gt;Ready")&gt;0,'Scenario Paths'!$F$6&lt;&gt;"Ready"),"Review source inputs","Ready"))</x:f>
        <x:v>Ready</x:v>
      </x:c>
      <x:c r="V313" s="17" t="n">
        <x:f>IF(C313="","",IFERROR(MAX(-1,(G313-O313)/MAX(0.000001,G313)),"Unavailable"))</x:f>
        <x:v>0.4507655584415584</x:v>
      </x:c>
      <x:c r="W313" s="9" t="str">
        <x:f>IF(C313="","",IFERROR(INDEX('Borrowers'!$D$9:$D$108,MATCH(C313,'Borrowers'!$C$9:$C$108,0)),"Unavailable"))</x:f>
        <x:v>Demo Cairo Properties</x:v>
      </x:c>
    </x:row>
    <x:row r="314" ht="26" customHeight="1">
      <x:c r="A314" s="1"/>
      <x:c r="B314" s="1"/>
      <x:c r="C314" s="9" t="str">
        <x:f>IF(Borrowers!C14="","",Borrowers!C14)</x:f>
        <x:v>B006</x:v>
      </x:c>
      <x:c r="D314" s="3" t="n">
        <x:v>4</x:v>
      </x:c>
      <x:c r="E314" s="9" t="n">
        <x:f>Settings!$F$18+3</x:f>
        <x:v>2030</x:v>
      </x:c>
      <x:c r="F314" s="9" t="str">
        <x:f>IF(C314="","",INDEX('Borrowers'!$F$9:$F$108,MATCH(C314,'Borrowers'!$C$9:$C$108,0)))</x:f>
        <x:v>Hospitality</x:v>
      </x:c>
      <x:c r="G314" s="23" t="n">
        <x:f>IF(C314="","",IFERROR(INDEX('Borrowers'!$J$9:$J$108,MATCH(C314,'Borrowers'!$C$9:$C$108,0))-INDEX('Borrowers'!$K$9:$K$108,MATCH(C314,'Borrowers'!$C$9:$C$108,0)),"Unavailable"))</x:f>
        <x:v>16.75</x:v>
      </x:c>
      <x:c r="H314" s="23" t="n">
        <x:f>IF(C314="","",IFERROR(INDEX('Borrowers'!$I$9:$I$108,MATCH(C314,'Borrowers'!$C$9:$C$108,0))*INDEX('Borrowers'!$U$9:$U$108,MATCH(C314,'Borrowers'!$C$9:$C$108,0))*(IF(F314="Transport",'Scenario Paths'!I156,IF(F314="Technology",'Scenario Paths'!I150,IF(F314="Utilities",'Scenario Paths'!I144,IF(F314="Agriculture",'Scenario Paths'!I138,IF(F314="Manufacturing",'Scenario Paths'!I132,IF(F314="Healthcare",'Scenario Paths'!I126,IF(F314="Hospitality",'Scenario Paths'!I120,IF(F314="Property",'Scenario Paths'!I114,IF(F314="Food",'Scenario Paths'!I108,IF(F314="Logistics",'Scenario Paths'!I102,IF(F314="Solar",'Scenario Paths'!I96,IF(F314="Cement",'Scenario Paths'!I90,0))))))))))))),"Unavailable"))</x:f>
        <x:v>-2.5079999999999996</x:v>
      </x:c>
      <x:c r="I314" s="23" t="n">
        <x:f>IF(C314="","",IFERROR(INDEX('Borrowers'!$R$9:$R$108,MATCH(C314,'Borrowers'!$C$9:$C$108,0))*(1-INDEX('Borrowers'!$W$9:$W$108,MATCH(C314,'Borrowers'!$C$9:$C$108,0))*'Scenario Paths'!I39)*'Scenario Paths'!I9/1000000*(1-INDEX('Borrowers'!$T$9:$T$108,MATCH(C314,'Borrowers'!$C$9:$C$108,0))),"Unavailable"))</x:f>
        <x:v>0.38181000000000004</x:v>
      </x:c>
      <x:c r="J314" s="23" t="n">
        <x:f>IF(C314="","",IFERROR(INDEX('Borrowers'!$I$9:$I$108,MATCH(C314,'Borrowers'!$C$9:$C$108,0))*INDEX('Borrowers'!$S$9:$S$108,MATCH(C314,'Borrowers'!$C$9:$C$108,0))*'Scenario Paths'!I15*(1-INDEX('Borrowers'!$T$9:$T$108,MATCH(C314,'Borrowers'!$C$9:$C$108,0))),"Unavailable"))</x:f>
        <x:v>1.1756250000000001</x:v>
      </x:c>
      <x:c r="K314" s="23" t="n">
        <x:f>IF(C314="","",IFERROR(INDEX('Borrowers'!$I$9:$I$108,MATCH(C314,'Borrowers'!$C$9:$C$108,0))*INDEX('Borrowers'!$U$9:$U$108,MATCH(C314,'Borrowers'!$C$9:$C$108,0))*'Scenario Paths'!I21*S314,"Unavailable"))</x:f>
        <x:v>0.086944</x:v>
      </x:c>
      <x:c r="L314" s="23" t="n">
        <x:f>IF(C314="","",IFERROR(SUMPRODUCT((Sites!$D$9:$D$108=C314)*Sites!$H$9:$H$108*Sites!$J$9:$J$108*Sites!$K$9:$K$108*(1-Sites!$L$9:$L$108)*(1-Sites!$M$9:$M$108))*'Scenario Paths'!I27,"Unavailable"))</x:f>
        <x:v>0.10296</x:v>
      </x:c>
      <x:c r="M314" s="23" t="n">
        <x:f>IF(C314="","",IFERROR(INDEX('Borrowers'!$J$9:$J$108,MATCH(C314,'Borrowers'!$C$9:$C$108,0))+H314-SUM(I314:L314),"Unavailable"))</x:f>
        <x:v>15.244661</x:v>
      </x:c>
      <x:c r="N314" s="23" t="n">
        <x:f>IF(C314="","",IFERROR(INDEX('Borrowers'!$I$9:$I$108,MATCH(C314,'Borrowers'!$C$9:$C$108,0))*'Scenario Paths'!I33,"Unavailable"))</x:f>
        <x:v>3.325</x:v>
      </x:c>
      <x:c r="O314" s="23" t="n">
        <x:f>IF(C314="","",IFERROR(M314-INDEX('Borrowers'!$K$9:$K$108,MATCH(C314,'Borrowers'!$C$9:$C$108,0))-N314,"Unavailable"))</x:f>
        <x:v>9.169661000000001</x:v>
      </x:c>
      <x:c r="P314" s="127" t="n">
        <x:f>IF(C314="","",IFERROR(O314/INDEX('Borrowers'!$L$9:$L$108,MATCH(C314,'Borrowers'!$C$9:$C$108,0)),"Unavailable"))</x:f>
        <x:v>1.4107170769230772</x:v>
      </x:c>
      <x:c r="Q314" s="30" t="n">
        <x:f>IF(C314="","",IFERROR(IF(INDEX('Borrowers'!$Z$9:$Z$108,MATCH(C314,'Borrowers'!$C$9:$C$108,0))="Yes",1,IF(INDEX('Borrowers'!$P$9:$P$108,MATCH(C314,'Borrowers'!$C$9:$C$108,0))=0,0,MIN(1,INDEX('Borrowers'!$P$9:$P$108,MATCH(C314,'Borrowers'!$C$9:$C$108,0))*EXP(MIN(20,INDEX('Borrowers'!$V$9:$V$108,MATCH(C314,'Borrowers'!$C$9:$C$108,0))*V314))))),"Unavailable"))</x:f>
        <x:v>0.08664000859232511</x:v>
      </x:c>
      <x:c r="R314" s="30" t="n">
        <x:f>IF(C314="","",IFERROR(MIN(1,INDEX('Borrowers'!$Q$9:$Q$108,MATCH(C314,'Borrowers'!$C$9:$C$108,0))+(1-INDEX('Borrowers'!$Q$9:$Q$108,MATCH(C314,'Borrowers'!$C$9:$C$108,0)))*T314),"Unavailable"))</x:f>
        <x:v>0.2822464</x:v>
      </x:c>
      <x:c r="S314" s="30" t="n">
        <x:f>IF(C314="","",IFERROR(SUMPRODUCT((Sites!$D$9:$D$108=C314)*Sites!$I$9:$I$108*Sites!$J$9:$J$108*Sites!$K$9:$K$108*(1-Sites!$L$9:$L$108)),"Unavailable"))</x:f>
        <x:v>0.104</x:v>
      </x:c>
      <x:c r="T314" s="30" t="n">
        <x:f>IF(C314="","",IFERROR(MIN(1,(SUMPRODUCT((Sites!$D$9:$D$108=C314)*Sites!$N$9:$N$108*Sites!$J$9:$J$108*Sites!$K$9:$K$108*(1-Sites!$L$9:$L$108)))*'Scenario Paths'!I27),"Unavailable"))</x:f>
        <x:v>0.00312</x:v>
      </x:c>
      <x:c r="U314" s="9" t="str">
        <x:f>IF(C314="","",IF(OR(INDEX('Borrowers'!$AA$9:$AA$108,MATCH(C314,'Borrowers'!$C$9:$C$108,0))&lt;&gt;"Ready",COUNTIF(Sites!$D$9:$D$108,C314)=0,COUNTIFS(Sites!$D$9:$D$108,C314,Sites!$Q$9:$Q$108,"&lt;&gt;Ready")&gt;0,'Scenario Paths'!$F$6&lt;&gt;"Ready"),"Review source inputs","Ready"))</x:f>
        <x:v>Ready</x:v>
      </x:c>
      <x:c r="V314" s="17" t="n">
        <x:f>IF(C314="","",IFERROR(MAX(-1,(G314-O314)/MAX(0.000001,G314)),"Unavailable"))</x:f>
        <x:v>0.4525575522388059</x:v>
      </x:c>
      <x:c r="W314" s="9" t="str">
        <x:f>IF(C314="","",IFERROR(INDEX('Borrowers'!$D$9:$D$108,MATCH(C314,'Borrowers'!$C$9:$C$108,0)),"Unavailable"))</x:f>
        <x:v>Demo Red Sea Hotels</x:v>
      </x:c>
    </x:row>
    <x:row r="315" ht="26" customHeight="1">
      <x:c r="A315" s="1"/>
      <x:c r="B315" s="1"/>
      <x:c r="C315" s="9" t="str">
        <x:f>IF(Borrowers!C15="","",Borrowers!C15)</x:f>
        <x:v>B007</x:v>
      </x:c>
      <x:c r="D315" s="3" t="n">
        <x:v>4</x:v>
      </x:c>
      <x:c r="E315" s="9" t="n">
        <x:f>Settings!$F$18+3</x:f>
        <x:v>2030</x:v>
      </x:c>
      <x:c r="F315" s="9" t="str">
        <x:f>IF(C315="","",INDEX('Borrowers'!$F$9:$F$108,MATCH(C315,'Borrowers'!$C$9:$C$108,0)))</x:f>
        <x:v>Cement</x:v>
      </x:c>
      <x:c r="G315" s="23" t="n">
        <x:f>IF(C315="","",IFERROR(INDEX('Borrowers'!$J$9:$J$108,MATCH(C315,'Borrowers'!$C$9:$C$108,0))-INDEX('Borrowers'!$K$9:$K$108,MATCH(C315,'Borrowers'!$C$9:$C$108,0)),"Unavailable"))</x:f>
        <x:v>18.1</x:v>
      </x:c>
      <x:c r="H315" s="23" t="n">
        <x:f>IF(C315="","",IFERROR(INDEX('Borrowers'!$I$9:$I$108,MATCH(C315,'Borrowers'!$C$9:$C$108,0))*INDEX('Borrowers'!$U$9:$U$108,MATCH(C315,'Borrowers'!$C$9:$C$108,0))*(IF(F315="Transport",'Scenario Paths'!I156,IF(F315="Technology",'Scenario Paths'!I150,IF(F315="Utilities",'Scenario Paths'!I144,IF(F315="Agriculture",'Scenario Paths'!I138,IF(F315="Manufacturing",'Scenario Paths'!I132,IF(F315="Healthcare",'Scenario Paths'!I126,IF(F315="Hospitality",'Scenario Paths'!I120,IF(F315="Property",'Scenario Paths'!I114,IF(F315="Food",'Scenario Paths'!I108,IF(F315="Logistics",'Scenario Paths'!I102,IF(F315="Solar",'Scenario Paths'!I96,IF(F315="Cement",'Scenario Paths'!I90,0))))))))))))),"Unavailable"))</x:f>
        <x:v>-1.9584</x:v>
      </x:c>
      <x:c r="I315" s="23" t="n">
        <x:f>IF(C315="","",IFERROR(INDEX('Borrowers'!$R$9:$R$108,MATCH(C315,'Borrowers'!$C$9:$C$108,0))*(1-INDEX('Borrowers'!$W$9:$W$108,MATCH(C315,'Borrowers'!$C$9:$C$108,0))*'Scenario Paths'!I39)*'Scenario Paths'!I9/1000000*(1-INDEX('Borrowers'!$T$9:$T$108,MATCH(C315,'Borrowers'!$C$9:$C$108,0))),"Unavailable"))</x:f>
        <x:v>6.5601899999999995</x:v>
      </x:c>
      <x:c r="J315" s="23" t="n">
        <x:f>IF(C315="","",IFERROR(INDEX('Borrowers'!$I$9:$I$108,MATCH(C315,'Borrowers'!$C$9:$C$108,0))*INDEX('Borrowers'!$S$9:$S$108,MATCH(C315,'Borrowers'!$C$9:$C$108,0))*'Scenario Paths'!I15*(1-INDEX('Borrowers'!$T$9:$T$108,MATCH(C315,'Borrowers'!$C$9:$C$108,0))),"Unavailable"))</x:f>
        <x:v>2.6392499999999997</x:v>
      </x:c>
      <x:c r="K315" s="23" t="n">
        <x:f>IF(C315="","",IFERROR(INDEX('Borrowers'!$I$9:$I$108,MATCH(C315,'Borrowers'!$C$9:$C$108,0))*INDEX('Borrowers'!$U$9:$U$108,MATCH(C315,'Borrowers'!$C$9:$C$108,0))*'Scenario Paths'!I21*S315,"Unavailable"))</x:f>
        <x:v>0.058490880000000016</x:v>
      </x:c>
      <x:c r="L315" s="23" t="n">
        <x:f>IF(C315="","",IFERROR(SUMPRODUCT((Sites!$D$9:$D$108=C315)*Sites!$H$9:$H$108*Sites!$J$9:$J$108*Sites!$K$9:$K$108*(1-Sites!$L$9:$L$108)*(1-Sites!$M$9:$M$108))*'Scenario Paths'!I27,"Unavailable"))</x:f>
        <x:v>0.09461760000000001</x:v>
      </x:c>
      <x:c r="M315" s="23" t="n">
        <x:f>IF(C315="","",IFERROR(INDEX('Borrowers'!$J$9:$J$108,MATCH(C315,'Borrowers'!$C$9:$C$108,0))+H315-SUM(I315:L315),"Unavailable"))</x:f>
        <x:v>9.68905152</x:v>
      </x:c>
      <x:c r="N315" s="23" t="n">
        <x:f>IF(C315="","",IFERROR(INDEX('Borrowers'!$I$9:$I$108,MATCH(C315,'Borrowers'!$C$9:$C$108,0))*'Scenario Paths'!I33,"Unavailable"))</x:f>
        <x:v>3.5700000000000003</x:v>
      </x:c>
      <x:c r="O315" s="23" t="n">
        <x:f>IF(C315="","",IFERROR(M315-INDEX('Borrowers'!$K$9:$K$108,MATCH(C315,'Borrowers'!$C$9:$C$108,0))-N315,"Unavailable"))</x:f>
        <x:v>3.219051519999999</x:v>
      </x:c>
      <x:c r="P315" s="127" t="n">
        <x:f>IF(C315="","",IFERROR(O315/INDEX('Borrowers'!$L$9:$L$108,MATCH(C315,'Borrowers'!$C$9:$C$108,0)),"Unavailable"))</x:f>
        <x:v>0.47338992941176455</x:v>
      </x:c>
      <x:c r="Q315" s="30" t="n">
        <x:f>IF(C315="","",IFERROR(IF(INDEX('Borrowers'!$Z$9:$Z$108,MATCH(C315,'Borrowers'!$C$9:$C$108,0))="Yes",1,IF(INDEX('Borrowers'!$P$9:$P$108,MATCH(C315,'Borrowers'!$C$9:$C$108,0))=0,0,MIN(1,INDEX('Borrowers'!$P$9:$P$108,MATCH(C315,'Borrowers'!$C$9:$C$108,0))*EXP(MIN(20,INDEX('Borrowers'!$V$9:$V$108,MATCH(C315,'Borrowers'!$C$9:$C$108,0))*V315))))),"Unavailable"))</x:f>
        <x:v>0.044716815177334876</x:v>
      </x:c>
      <x:c r="R315" s="30" t="n">
        <x:f>IF(C315="","",IFERROR(MIN(1,INDEX('Borrowers'!$Q$9:$Q$108,MATCH(C315,'Borrowers'!$C$9:$C$108,0))+(1-INDEX('Borrowers'!$Q$9:$Q$108,MATCH(C315,'Borrowers'!$C$9:$C$108,0)))*T315),"Unavailable"))</x:f>
        <x:v>0.32182784000000003</x:v>
      </x:c>
      <x:c r="S315" s="30" t="n">
        <x:f>IF(C315="","",IFERROR(SUMPRODUCT((Sites!$D$9:$D$108=C315)*Sites!$I$9:$I$108*Sites!$J$9:$J$108*Sites!$K$9:$K$108*(1-Sites!$L$9:$L$108)),"Unavailable"))</x:f>
        <x:v>0.08960000000000001</x:v>
      </x:c>
      <x:c r="T315" s="30" t="n">
        <x:f>IF(C315="","",IFERROR(MIN(1,(SUMPRODUCT((Sites!$D$9:$D$108=C315)*Sites!$N$9:$N$108*Sites!$J$9:$J$108*Sites!$K$9:$K$108*(1-Sites!$L$9:$L$108)))*'Scenario Paths'!I27),"Unavailable"))</x:f>
        <x:v>0.0026880000000000003</x:v>
      </x:c>
      <x:c r="U315" s="9" t="str">
        <x:f>IF(C315="","",IF(OR(INDEX('Borrowers'!$AA$9:$AA$108,MATCH(C315,'Borrowers'!$C$9:$C$108,0))&lt;&gt;"Ready",COUNTIF(Sites!$D$9:$D$108,C315)=0,COUNTIFS(Sites!$D$9:$D$108,C315,Sites!$Q$9:$Q$108,"&lt;&gt;Ready")&gt;0,'Scenario Paths'!$F$6&lt;&gt;"Ready"),"Review source inputs","Ready"))</x:f>
        <x:v>Ready</x:v>
      </x:c>
      <x:c r="V315" s="17" t="n">
        <x:f>IF(C315="","",IFERROR(MAX(-1,(G315-O315)/MAX(0.000001,G315)),"Unavailable"))</x:f>
        <x:v>0.822151849723757</x:v>
      </x:c>
      <x:c r="W315" s="9" t="str">
        <x:f>IF(C315="","",IFERROR(INDEX('Borrowers'!$D$9:$D$108,MATCH(C315,'Borrowers'!$C$9:$C$108,0)),"Unavailable"))</x:f>
        <x:v>Demo Amman Cement</x:v>
      </x:c>
    </x:row>
    <x:row r="316" ht="26" customHeight="1">
      <x:c r="A316" s="1"/>
      <x:c r="B316" s="1"/>
      <x:c r="C316" s="9" t="str">
        <x:f>IF(Borrowers!C16="","",Borrowers!C16)</x:f>
        <x:v>B008</x:v>
      </x:c>
      <x:c r="D316" s="3" t="n">
        <x:v>4</x:v>
      </x:c>
      <x:c r="E316" s="9" t="n">
        <x:f>Settings!$F$18+3</x:f>
        <x:v>2030</x:v>
      </x:c>
      <x:c r="F316" s="9" t="str">
        <x:f>IF(C316="","",INDEX('Borrowers'!$F$9:$F$108,MATCH(C316,'Borrowers'!$C$9:$C$108,0)))</x:f>
        <x:v>Solar</x:v>
      </x:c>
      <x:c r="G316" s="23" t="n">
        <x:f>IF(C316="","",IFERROR(INDEX('Borrowers'!$J$9:$J$108,MATCH(C316,'Borrowers'!$C$9:$C$108,0))-INDEX('Borrowers'!$K$9:$K$108,MATCH(C316,'Borrowers'!$C$9:$C$108,0)),"Unavailable"))</x:f>
        <x:v>19.45</x:v>
      </x:c>
      <x:c r="H316" s="23" t="n">
        <x:f>IF(C316="","",IFERROR(INDEX('Borrowers'!$I$9:$I$108,MATCH(C316,'Borrowers'!$C$9:$C$108,0))*INDEX('Borrowers'!$U$9:$U$108,MATCH(C316,'Borrowers'!$C$9:$C$108,0))*(IF(F316="Transport",'Scenario Paths'!I156,IF(F316="Technology",'Scenario Paths'!I150,IF(F316="Utilities",'Scenario Paths'!I144,IF(F316="Agriculture",'Scenario Paths'!I138,IF(F316="Manufacturing",'Scenario Paths'!I132,IF(F316="Healthcare",'Scenario Paths'!I126,IF(F316="Hospitality",'Scenario Paths'!I120,IF(F316="Property",'Scenario Paths'!I114,IF(F316="Food",'Scenario Paths'!I108,IF(F316="Logistics",'Scenario Paths'!I102,IF(F316="Solar",'Scenario Paths'!I96,IF(F316="Cement",'Scenario Paths'!I90,0))))))))))))),"Unavailable"))</x:f>
        <x:v>2.4852</x:v>
      </x:c>
      <x:c r="I316" s="23" t="n">
        <x:f>IF(C316="","",IFERROR(INDEX('Borrowers'!$R$9:$R$108,MATCH(C316,'Borrowers'!$C$9:$C$108,0))*(1-INDEX('Borrowers'!$W$9:$W$108,MATCH(C316,'Borrowers'!$C$9:$C$108,0))*'Scenario Paths'!I39)*'Scenario Paths'!I9/1000000*(1-INDEX('Borrowers'!$T$9:$T$108,MATCH(C316,'Borrowers'!$C$9:$C$108,0))),"Unavailable"))</x:f>
        <x:v>0.008099</x:v>
      </x:c>
      <x:c r="J316" s="23" t="n">
        <x:f>IF(C316="","",IFERROR(INDEX('Borrowers'!$I$9:$I$108,MATCH(C316,'Borrowers'!$C$9:$C$108,0))*INDEX('Borrowers'!$S$9:$S$108,MATCH(C316,'Borrowers'!$C$9:$C$108,0))*'Scenario Paths'!I15*(1-INDEX('Borrowers'!$T$9:$T$108,MATCH(C316,'Borrowers'!$C$9:$C$108,0))),"Unavailable"))</x:f>
        <x:v>1.2398749999999998</x:v>
      </x:c>
      <x:c r="K316" s="23" t="n">
        <x:f>IF(C316="","",IFERROR(INDEX('Borrowers'!$I$9:$I$108,MATCH(C316,'Borrowers'!$C$9:$C$108,0))*INDEX('Borrowers'!$U$9:$U$108,MATCH(C316,'Borrowers'!$C$9:$C$108,0))*'Scenario Paths'!I21*S316,"Unavailable"))</x:f>
        <x:v>0.14579840000000002</x:v>
      </x:c>
      <x:c r="L316" s="23" t="n">
        <x:f>IF(C316="","",IFERROR(SUMPRODUCT((Sites!$D$9:$D$108=C316)*Sites!$H$9:$H$108*Sites!$J$9:$J$108*Sites!$K$9:$K$108*(1-Sites!$L$9:$L$108)*(1-Sites!$M$9:$M$108))*'Scenario Paths'!I27,"Unavailable"))</x:f>
        <x:v>0.19747200000000004</x:v>
      </x:c>
      <x:c r="M316" s="23" t="n">
        <x:f>IF(C316="","",IFERROR(INDEX('Borrowers'!$J$9:$J$108,MATCH(C316,'Borrowers'!$C$9:$C$108,0))+H316-SUM(I316:L316),"Unavailable"))</x:f>
        <x:v>23.393955599999998</x:v>
      </x:c>
      <x:c r="N316" s="23" t="n">
        <x:f>IF(C316="","",IFERROR(INDEX('Borrowers'!$I$9:$I$108,MATCH(C316,'Borrowers'!$C$9:$C$108,0))*'Scenario Paths'!I33,"Unavailable"))</x:f>
        <x:v>3.8150000000000004</x:v>
      </x:c>
      <x:c r="O316" s="23" t="n">
        <x:f>IF(C316="","",IFERROR(M316-INDEX('Borrowers'!$K$9:$K$108,MATCH(C316,'Borrowers'!$C$9:$C$108,0))-N316,"Unavailable"))</x:f>
        <x:v>16.528955599999996</x:v>
      </x:c>
      <x:c r="P316" s="127" t="n">
        <x:f>IF(C316="","",IFERROR(O316/INDEX('Borrowers'!$L$9:$L$108,MATCH(C316,'Borrowers'!$C$9:$C$108,0)),"Unavailable"))</x:f>
        <x:v>2.328021915492957</x:v>
      </x:c>
      <x:c r="Q316" s="30" t="n">
        <x:f>IF(C316="","",IFERROR(IF(INDEX('Borrowers'!$Z$9:$Z$108,MATCH(C316,'Borrowers'!$C$9:$C$108,0))="Yes",1,IF(INDEX('Borrowers'!$P$9:$P$108,MATCH(C316,'Borrowers'!$C$9:$C$108,0))=0,0,MIN(1,INDEX('Borrowers'!$P$9:$P$108,MATCH(C316,'Borrowers'!$C$9:$C$108,0))*EXP(MIN(20,INDEX('Borrowers'!$V$9:$V$108,MATCH(C316,'Borrowers'!$C$9:$C$108,0))*V316))))),"Unavailable"))</x:f>
        <x:v>0.022889157528719447</x:v>
      </x:c>
      <x:c r="R316" s="30" t="n">
        <x:f>IF(C316="","",IFERROR(MIN(1,INDEX('Borrowers'!$Q$9:$Q$108,MATCH(C316,'Borrowers'!$C$9:$C$108,0))+(1-INDEX('Borrowers'!$Q$9:$Q$108,MATCH(C316,'Borrowers'!$C$9:$C$108,0)))*T316),"Unavailable"))</x:f>
        <x:v>0.36337920000000007</x:v>
      </x:c>
      <x:c r="S316" s="30" t="n">
        <x:f>IF(C316="","",IFERROR(SUMPRODUCT((Sites!$D$9:$D$108=C316)*Sites!$I$9:$I$108*Sites!$J$9:$J$108*Sites!$K$9:$K$108*(1-Sites!$L$9:$L$108)),"Unavailable"))</x:f>
        <x:v>0.17600000000000002</x:v>
      </x:c>
      <x:c r="T316" s="30" t="n">
        <x:f>IF(C316="","",IFERROR(MIN(1,(SUMPRODUCT((Sites!$D$9:$D$108=C316)*Sites!$N$9:$N$108*Sites!$J$9:$J$108*Sites!$K$9:$K$108*(1-Sites!$L$9:$L$108)))*'Scenario Paths'!I27),"Unavailable"))</x:f>
        <x:v>0.00528</x:v>
      </x:c>
      <x:c r="U316" s="9" t="str">
        <x:f>IF(C316="","",IF(OR(INDEX('Borrowers'!$AA$9:$AA$108,MATCH(C316,'Borrowers'!$C$9:$C$108,0))&lt;&gt;"Ready",COUNTIF(Sites!$D$9:$D$108,C316)=0,COUNTIFS(Sites!$D$9:$D$108,C316,Sites!$Q$9:$Q$108,"&lt;&gt;Ready")&gt;0,'Scenario Paths'!$F$6&lt;&gt;"Ready"),"Review source inputs","Ready"))</x:f>
        <x:v>Ready</x:v>
      </x:c>
      <x:c r="V316" s="17" t="n">
        <x:f>IF(C316="","",IFERROR(MAX(-1,(G316-O316)/MAX(0.000001,G316)),"Unavailable"))</x:f>
        <x:v>0.15018223136246803</x:v>
      </x:c>
      <x:c r="W316" s="9" t="str">
        <x:f>IF(C316="","",IFERROR(INDEX('Borrowers'!$D$9:$D$108,MATCH(C316,'Borrowers'!$C$9:$C$108,0)),"Unavailable"))</x:f>
        <x:v>Demo Petra Solar</x:v>
      </x:c>
    </x:row>
    <x:row r="317" ht="26" customHeight="1">
      <x:c r="A317" s="1"/>
      <x:c r="B317" s="1"/>
      <x:c r="C317" s="9" t="str">
        <x:f>IF(Borrowers!C17="","",Borrowers!C17)</x:f>
        <x:v>B009</x:v>
      </x:c>
      <x:c r="D317" s="3" t="n">
        <x:v>4</x:v>
      </x:c>
      <x:c r="E317" s="9" t="n">
        <x:f>Settings!$F$18+3</x:f>
        <x:v>2030</x:v>
      </x:c>
      <x:c r="F317" s="9" t="str">
        <x:f>IF(C317="","",INDEX('Borrowers'!$F$9:$F$108,MATCH(C317,'Borrowers'!$C$9:$C$108,0)))</x:f>
        <x:v>Logistics</x:v>
      </x:c>
      <x:c r="G317" s="23" t="n">
        <x:f>IF(C317="","",IFERROR(INDEX('Borrowers'!$J$9:$J$108,MATCH(C317,'Borrowers'!$C$9:$C$108,0))-INDEX('Borrowers'!$K$9:$K$108,MATCH(C317,'Borrowers'!$C$9:$C$108,0)),"Unavailable"))</x:f>
        <x:v>20.8</x:v>
      </x:c>
      <x:c r="H317" s="23" t="n">
        <x:f>IF(C317="","",IFERROR(INDEX('Borrowers'!$I$9:$I$108,MATCH(C317,'Borrowers'!$C$9:$C$108,0))*INDEX('Borrowers'!$U$9:$U$108,MATCH(C317,'Borrowers'!$C$9:$C$108,0))*(IF(F317="Transport",'Scenario Paths'!I156,IF(F317="Technology",'Scenario Paths'!I150,IF(F317="Utilities",'Scenario Paths'!I144,IF(F317="Agriculture",'Scenario Paths'!I138,IF(F317="Manufacturing",'Scenario Paths'!I132,IF(F317="Healthcare",'Scenario Paths'!I126,IF(F317="Hospitality",'Scenario Paths'!I120,IF(F317="Property",'Scenario Paths'!I114,IF(F317="Food",'Scenario Paths'!I108,IF(F317="Logistics",'Scenario Paths'!I102,IF(F317="Solar",'Scenario Paths'!I96,IF(F317="Cement",'Scenario Paths'!I90,0))))))))))))),"Unavailable"))</x:f>
        <x:v>-3.0624</x:v>
      </x:c>
      <x:c r="I317" s="23" t="n">
        <x:f>IF(C317="","",IFERROR(INDEX('Borrowers'!$R$9:$R$108,MATCH(C317,'Borrowers'!$C$9:$C$108,0))*(1-INDEX('Borrowers'!$W$9:$W$108,MATCH(C317,'Borrowers'!$C$9:$C$108,0))*'Scenario Paths'!I39)*'Scenario Paths'!I9/1000000*(1-INDEX('Borrowers'!$T$9:$T$108,MATCH(C317,'Borrowers'!$C$9:$C$108,0))),"Unavailable"))</x:f>
        <x:v>0.5414760000000001</x:v>
      </x:c>
      <x:c r="J317" s="23" t="n">
        <x:f>IF(C317="","",IFERROR(INDEX('Borrowers'!$I$9:$I$108,MATCH(C317,'Borrowers'!$C$9:$C$108,0))*INDEX('Borrowers'!$S$9:$S$108,MATCH(C317,'Borrowers'!$C$9:$C$108,0))*'Scenario Paths'!I15*(1-INDEX('Borrowers'!$T$9:$T$108,MATCH(C317,'Borrowers'!$C$9:$C$108,0))),"Unavailable"))</x:f>
        <x:v>1.3195000000000001</x:v>
      </x:c>
      <x:c r="K317" s="23" t="n">
        <x:f>IF(C317="","",IFERROR(INDEX('Borrowers'!$I$9:$I$108,MATCH(C317,'Borrowers'!$C$9:$C$108,0))*INDEX('Borrowers'!$U$9:$U$108,MATCH(C317,'Borrowers'!$C$9:$C$108,0))*'Scenario Paths'!I21*S317,"Unavailable"))</x:f>
        <x:v>0.29725696</x:v>
      </x:c>
      <x:c r="L317" s="23" t="n">
        <x:f>IF(C317="","",IFERROR(SUMPRODUCT((Sites!$D$9:$D$108=C317)*Sites!$H$9:$H$108*Sites!$J$9:$J$108*Sites!$K$9:$K$108*(1-Sites!$L$9:$L$108)*(1-Sites!$M$9:$M$108))*'Scenario Paths'!I27,"Unavailable"))</x:f>
        <x:v>0.3459456000000001</x:v>
      </x:c>
      <x:c r="M317" s="23" t="n">
        <x:f>IF(C317="","",IFERROR(INDEX('Borrowers'!$J$9:$J$108,MATCH(C317,'Borrowers'!$C$9:$C$108,0))+H317-SUM(I317:L317),"Unavailable"))</x:f>
        <x:v>18.43342144</x:v>
      </x:c>
      <x:c r="N317" s="23" t="n">
        <x:f>IF(C317="","",IFERROR(INDEX('Borrowers'!$I$9:$I$108,MATCH(C317,'Borrowers'!$C$9:$C$108,0))*'Scenario Paths'!I33,"Unavailable"))</x:f>
        <x:v>4.0600000000000005</x:v>
      </x:c>
      <x:c r="O317" s="23" t="n">
        <x:f>IF(C317="","",IFERROR(M317-INDEX('Borrowers'!$K$9:$K$108,MATCH(C317,'Borrowers'!$C$9:$C$108,0))-N317,"Unavailable"))</x:f>
        <x:v>11.17342144</x:v>
      </x:c>
      <x:c r="P317" s="127" t="n">
        <x:f>IF(C317="","",IFERROR(O317/INDEX('Borrowers'!$L$9:$L$108,MATCH(C317,'Borrowers'!$C$9:$C$108,0)),"Unavailable"))</x:f>
        <x:v>1.5099218162162162</x:v>
      </x:c>
      <x:c r="Q317" s="30" t="n">
        <x:f>IF(C317="","",IFERROR(IF(INDEX('Borrowers'!$Z$9:$Z$108,MATCH(C317,'Borrowers'!$C$9:$C$108,0))="Yes",1,IF(INDEX('Borrowers'!$P$9:$P$108,MATCH(C317,'Borrowers'!$C$9:$C$108,0))=0,0,MIN(1,INDEX('Borrowers'!$P$9:$P$108,MATCH(C317,'Borrowers'!$C$9:$C$108,0))*EXP(MIN(20,INDEX('Borrowers'!$V$9:$V$108,MATCH(C317,'Borrowers'!$C$9:$C$108,0))*V317))))),"Unavailable"))</x:f>
        <x:v>0.050327913997430036</x:v>
      </x:c>
      <x:c r="R317" s="30" t="n">
        <x:f>IF(C317="","",IFERROR(MIN(1,INDEX('Borrowers'!$Q$9:$Q$108,MATCH(C317,'Borrowers'!$C$9:$C$108,0))+(1-INDEX('Borrowers'!$Q$9:$Q$108,MATCH(C317,'Borrowers'!$C$9:$C$108,0)))*T317),"Unavailable"))</x:f>
        <x:v>0.40524160000000004</x:v>
      </x:c>
      <x:c r="S317" s="30" t="n">
        <x:f>IF(C317="","",IFERROR(SUMPRODUCT((Sites!$D$9:$D$108=C317)*Sites!$I$9:$I$108*Sites!$J$9:$J$108*Sites!$K$9:$K$108*(1-Sites!$L$9:$L$108)),"Unavailable"))</x:f>
        <x:v>0.2912</x:v>
      </x:c>
      <x:c r="T317" s="30" t="n">
        <x:f>IF(C317="","",IFERROR(MIN(1,(SUMPRODUCT((Sites!$D$9:$D$108=C317)*Sites!$N$9:$N$108*Sites!$J$9:$J$108*Sites!$K$9:$K$108*(1-Sites!$L$9:$L$108)))*'Scenario Paths'!I27),"Unavailable"))</x:f>
        <x:v>0.008736</x:v>
      </x:c>
      <x:c r="U317" s="9" t="str">
        <x:f>IF(C317="","",IF(OR(INDEX('Borrowers'!$AA$9:$AA$108,MATCH(C317,'Borrowers'!$C$9:$C$108,0))&lt;&gt;"Ready",COUNTIF(Sites!$D$9:$D$108,C317)=0,COUNTIFS(Sites!$D$9:$D$108,C317,Sites!$Q$9:$Q$108,"&lt;&gt;Ready")&gt;0,'Scenario Paths'!$F$6&lt;&gt;"Ready"),"Review source inputs","Ready"))</x:f>
        <x:v>Ready</x:v>
      </x:c>
      <x:c r="V317" s="17" t="n">
        <x:f>IF(C317="","",IFERROR(MAX(-1,(G317-O317)/MAX(0.000001,G317)),"Unavailable"))</x:f>
        <x:v>0.4628162769230769</x:v>
      </x:c>
      <x:c r="W317" s="9" t="str">
        <x:f>IF(C317="","",IFERROR(INDEX('Borrowers'!$D$9:$D$108,MATCH(C317,'Borrowers'!$C$9:$C$108,0)),"Unavailable"))</x:f>
        <x:v>Demo Levant Freight</x:v>
      </x:c>
    </x:row>
    <x:row r="318" ht="26" customHeight="1">
      <x:c r="A318" s="1"/>
      <x:c r="B318" s="1"/>
      <x:c r="C318" s="9" t="str">
        <x:f>IF(Borrowers!C18="","",Borrowers!C18)</x:f>
        <x:v>B010</x:v>
      </x:c>
      <x:c r="D318" s="3" t="n">
        <x:v>4</x:v>
      </x:c>
      <x:c r="E318" s="9" t="n">
        <x:f>Settings!$F$18+3</x:f>
        <x:v>2030</x:v>
      </x:c>
      <x:c r="F318" s="9" t="str">
        <x:f>IF(C318="","",INDEX('Borrowers'!$F$9:$F$108,MATCH(C318,'Borrowers'!$C$9:$C$108,0)))</x:f>
        <x:v>Food</x:v>
      </x:c>
      <x:c r="G318" s="23" t="n">
        <x:f>IF(C318="","",IFERROR(INDEX('Borrowers'!$J$9:$J$108,MATCH(C318,'Borrowers'!$C$9:$C$108,0))-INDEX('Borrowers'!$K$9:$K$108,MATCH(C318,'Borrowers'!$C$9:$C$108,0)),"Unavailable"))</x:f>
        <x:v>22.15</x:v>
      </x:c>
      <x:c r="H318" s="23" t="n">
        <x:f>IF(C318="","",IFERROR(INDEX('Borrowers'!$I$9:$I$108,MATCH(C318,'Borrowers'!$C$9:$C$108,0))*INDEX('Borrowers'!$U$9:$U$108,MATCH(C318,'Borrowers'!$C$9:$C$108,0))*(IF(F318="Transport",'Scenario Paths'!I156,IF(F318="Technology",'Scenario Paths'!I150,IF(F318="Utilities",'Scenario Paths'!I144,IF(F318="Agriculture",'Scenario Paths'!I138,IF(F318="Manufacturing",'Scenario Paths'!I132,IF(F318="Healthcare",'Scenario Paths'!I126,IF(F318="Hospitality",'Scenario Paths'!I120,IF(F318="Property",'Scenario Paths'!I114,IF(F318="Food",'Scenario Paths'!I108,IF(F318="Logistics",'Scenario Paths'!I102,IF(F318="Solar",'Scenario Paths'!I96,IF(F318="Cement",'Scenario Paths'!I90,0))))))))))))),"Unavailable"))</x:f>
        <x:v>-2.3615999999999997</x:v>
      </x:c>
      <x:c r="I318" s="23" t="n">
        <x:f>IF(C318="","",IFERROR(INDEX('Borrowers'!$R$9:$R$108,MATCH(C318,'Borrowers'!$C$9:$C$108,0))*(1-INDEX('Borrowers'!$W$9:$W$108,MATCH(C318,'Borrowers'!$C$9:$C$108,0))*'Scenario Paths'!I39)*'Scenario Paths'!I9/1000000*(1-INDEX('Borrowers'!$T$9:$T$108,MATCH(C318,'Borrowers'!$C$9:$C$108,0))),"Unavailable"))</x:f>
        <x:v>0.48362600000000006</x:v>
      </x:c>
      <x:c r="J318" s="23" t="n">
        <x:f>IF(C318="","",IFERROR(INDEX('Borrowers'!$I$9:$I$108,MATCH(C318,'Borrowers'!$C$9:$C$108,0))*INDEX('Borrowers'!$S$9:$S$108,MATCH(C318,'Borrowers'!$C$9:$C$108,0))*'Scenario Paths'!I15*(1-INDEX('Borrowers'!$T$9:$T$108,MATCH(C318,'Borrowers'!$C$9:$C$108,0))),"Unavailable"))</x:f>
        <x:v>1.5221250000000004</x:v>
      </x:c>
      <x:c r="K318" s="23" t="n">
        <x:f>IF(C318="","",IFERROR(INDEX('Borrowers'!$I$9:$I$108,MATCH(C318,'Borrowers'!$C$9:$C$108,0))*INDEX('Borrowers'!$U$9:$U$108,MATCH(C318,'Borrowers'!$C$9:$C$108,0))*'Scenario Paths'!I21*S318,"Unavailable"))</x:f>
        <x:v>0.14988288</x:v>
      </x:c>
      <x:c r="L318" s="23" t="n">
        <x:f>IF(C318="","",IFERROR(SUMPRODUCT((Sites!$D$9:$D$108=C318)*Sites!$H$9:$H$108*Sites!$J$9:$J$108*Sites!$K$9:$K$108*(1-Sites!$L$9:$L$108)*(1-Sites!$M$9:$M$108))*'Scenario Paths'!I27,"Unavailable"))</x:f>
        <x:v>0.2387616</x:v>
      </x:c>
      <x:c r="M318" s="23" t="n">
        <x:f>IF(C318="","",IFERROR(INDEX('Borrowers'!$J$9:$J$108,MATCH(C318,'Borrowers'!$C$9:$C$108,0))+H318-SUM(I318:L318),"Unavailable"))</x:f>
        <x:v>20.74400452</x:v>
      </x:c>
      <x:c r="N318" s="23" t="n">
        <x:f>IF(C318="","",IFERROR(INDEX('Borrowers'!$I$9:$I$108,MATCH(C318,'Borrowers'!$C$9:$C$108,0))*'Scenario Paths'!I33,"Unavailable"))</x:f>
        <x:v>4.305000000000001</x:v>
      </x:c>
      <x:c r="O318" s="23" t="n">
        <x:f>IF(C318="","",IFERROR(M318-INDEX('Borrowers'!$K$9:$K$108,MATCH(C318,'Borrowers'!$C$9:$C$108,0))-N318,"Unavailable"))</x:f>
        <x:v>13.089004520000003</x:v>
      </x:c>
      <x:c r="P318" s="127" t="n">
        <x:f>IF(C318="","",IFERROR(O318/INDEX('Borrowers'!$L$9:$L$108,MATCH(C318,'Borrowers'!$C$9:$C$108,0)),"Unavailable"))</x:f>
        <x:v>1.6998707168831175</x:v>
      </x:c>
      <x:c r="Q318" s="30" t="n">
        <x:f>IF(C318="","",IFERROR(IF(INDEX('Borrowers'!$Z$9:$Z$108,MATCH(C318,'Borrowers'!$C$9:$C$108,0))="Yes",1,IF(INDEX('Borrowers'!$P$9:$P$108,MATCH(C318,'Borrowers'!$C$9:$C$108,0))=0,0,MIN(1,INDEX('Borrowers'!$P$9:$P$108,MATCH(C318,'Borrowers'!$C$9:$C$108,0))*EXP(MIN(20,INDEX('Borrowers'!$V$9:$V$108,MATCH(C318,'Borrowers'!$C$9:$C$108,0))*V318))))),"Unavailable"))</x:f>
        <x:v>0.05772649436254485</x:v>
      </x:c>
      <x:c r="R318" s="30" t="n">
        <x:f>IF(C318="","",IFERROR(MIN(1,INDEX('Borrowers'!$Q$9:$Q$108,MATCH(C318,'Borrowers'!$C$9:$C$108,0))+(1-INDEX('Borrowers'!$Q$9:$Q$108,MATCH(C318,'Borrowers'!$C$9:$C$108,0)))*T318),"Unavailable"))</x:f>
        <x:v>0.44319872000000005</x:v>
      </x:c>
      <x:c r="S318" s="30" t="n">
        <x:f>IF(C318="","",IFERROR(SUMPRODUCT((Sites!$D$9:$D$108=C318)*Sites!$I$9:$I$108*Sites!$J$9:$J$108*Sites!$K$9:$K$108*(1-Sites!$L$9:$L$108)),"Unavailable"))</x:f>
        <x:v>0.19039999999999999</x:v>
      </x:c>
      <x:c r="T318" s="30" t="n">
        <x:f>IF(C318="","",IFERROR(MIN(1,(SUMPRODUCT((Sites!$D$9:$D$108=C318)*Sites!$N$9:$N$108*Sites!$J$9:$J$108*Sites!$K$9:$K$108*(1-Sites!$L$9:$L$108)))*'Scenario Paths'!I27),"Unavailable"))</x:f>
        <x:v>0.005711999999999999</x:v>
      </x:c>
      <x:c r="U318" s="9" t="str">
        <x:f>IF(C318="","",IF(OR(INDEX('Borrowers'!$AA$9:$AA$108,MATCH(C318,'Borrowers'!$C$9:$C$108,0))&lt;&gt;"Ready",COUNTIF(Sites!$D$9:$D$108,C318)=0,COUNTIFS(Sites!$D$9:$D$108,C318,Sites!$Q$9:$Q$108,"&lt;&gt;Ready")&gt;0,'Scenario Paths'!$F$6&lt;&gt;"Ready"),"Review source inputs","Ready"))</x:f>
        <x:v>Ready</x:v>
      </x:c>
      <x:c r="V318" s="17" t="n">
        <x:f>IF(C318="","",IFERROR(MAX(-1,(G318-O318)/MAX(0.000001,G318)),"Unavailable"))</x:f>
        <x:v>0.40907428803611723</x:v>
      </x:c>
      <x:c r="W318" s="9" t="str">
        <x:f>IF(C318="","",IFERROR(INDEX('Borrowers'!$D$9:$D$108,MATCH(C318,'Borrowers'!$C$9:$C$108,0)),"Unavailable"))</x:f>
        <x:v>Demo Jordan Foods</x:v>
      </x:c>
    </x:row>
    <x:row r="319" ht="26" customHeight="1">
      <x:c r="A319" s="1"/>
      <x:c r="B319" s="1"/>
      <x:c r="C319" s="9" t="str">
        <x:f>IF(Borrowers!C19="","",Borrowers!C19)</x:f>
        <x:v>B011</x:v>
      </x:c>
      <x:c r="D319" s="3" t="n">
        <x:v>4</x:v>
      </x:c>
      <x:c r="E319" s="9" t="n">
        <x:f>Settings!$F$18+3</x:f>
        <x:v>2030</x:v>
      </x:c>
      <x:c r="F319" s="9" t="str">
        <x:f>IF(C319="","",INDEX('Borrowers'!$F$9:$F$108,MATCH(C319,'Borrowers'!$C$9:$C$108,0)))</x:f>
        <x:v>Property</x:v>
      </x:c>
      <x:c r="G319" s="23" t="n">
        <x:f>IF(C319="","",IFERROR(INDEX('Borrowers'!$J$9:$J$108,MATCH(C319,'Borrowers'!$C$9:$C$108,0))-INDEX('Borrowers'!$K$9:$K$108,MATCH(C319,'Borrowers'!$C$9:$C$108,0)),"Unavailable"))</x:f>
        <x:v>23.5</x:v>
      </x:c>
      <x:c r="H319" s="23" t="n">
        <x:f>IF(C319="","",IFERROR(INDEX('Borrowers'!$I$9:$I$108,MATCH(C319,'Borrowers'!$C$9:$C$108,0))*INDEX('Borrowers'!$U$9:$U$108,MATCH(C319,'Borrowers'!$C$9:$C$108,0))*(IF(F319="Transport",'Scenario Paths'!I156,IF(F319="Technology",'Scenario Paths'!I150,IF(F319="Utilities",'Scenario Paths'!I144,IF(F319="Agriculture",'Scenario Paths'!I138,IF(F319="Manufacturing",'Scenario Paths'!I132,IF(F319="Healthcare",'Scenario Paths'!I126,IF(F319="Hospitality",'Scenario Paths'!I120,IF(F319="Property",'Scenario Paths'!I114,IF(F319="Food",'Scenario Paths'!I108,IF(F319="Logistics",'Scenario Paths'!I102,IF(F319="Solar",'Scenario Paths'!I96,IF(F319="Cement",'Scenario Paths'!I90,0))))))))))))),"Unavailable"))</x:f>
        <x:v>-2.964</x:v>
      </x:c>
      <x:c r="I319" s="23" t="n">
        <x:f>IF(C319="","",IFERROR(INDEX('Borrowers'!$R$9:$R$108,MATCH(C319,'Borrowers'!$C$9:$C$108,0))*(1-INDEX('Borrowers'!$W$9:$W$108,MATCH(C319,'Borrowers'!$C$9:$C$108,0))*'Scenario Paths'!I39)*'Scenario Paths'!I9/1000000*(1-INDEX('Borrowers'!$T$9:$T$108,MATCH(C319,'Borrowers'!$C$9:$C$108,0))),"Unavailable"))</x:f>
        <x:v>0.41651999999999995</x:v>
      </x:c>
      <x:c r="J319" s="23" t="n">
        <x:f>IF(C319="","",IFERROR(INDEX('Borrowers'!$I$9:$I$108,MATCH(C319,'Borrowers'!$C$9:$C$108,0))*INDEX('Borrowers'!$S$9:$S$108,MATCH(C319,'Borrowers'!$C$9:$C$108,0))*'Scenario Paths'!I15*(1-INDEX('Borrowers'!$T$9:$T$108,MATCH(C319,'Borrowers'!$C$9:$C$108,0))),"Unavailable"))</x:f>
        <x:v>1.6087500000000001</x:v>
      </x:c>
      <x:c r="K319" s="23" t="n">
        <x:f>IF(C319="","",IFERROR(INDEX('Borrowers'!$I$9:$I$108,MATCH(C319,'Borrowers'!$C$9:$C$108,0))*INDEX('Borrowers'!$U$9:$U$108,MATCH(C319,'Borrowers'!$C$9:$C$108,0))*'Scenario Paths'!I21*S319,"Unavailable"))</x:f>
        <x:v>0.07904000000000001</x:v>
      </x:c>
      <x:c r="L319" s="23" t="n">
        <x:f>IF(C319="","",IFERROR(SUMPRODUCT((Sites!$D$9:$D$108=C319)*Sites!$H$9:$H$108*Sites!$J$9:$J$108*Sites!$K$9:$K$108*(1-Sites!$L$9:$L$108)*(1-Sites!$M$9:$M$108))*'Scenario Paths'!I27,"Unavailable"))</x:f>
        <x:v>0.10560000000000001</x:v>
      </x:c>
      <x:c r="M319" s="23" t="n">
        <x:f>IF(C319="","",IFERROR(INDEX('Borrowers'!$J$9:$J$108,MATCH(C319,'Borrowers'!$C$9:$C$108,0))+H319-SUM(I319:L319),"Unavailable"))</x:f>
        <x:v>21.82609</x:v>
      </x:c>
      <x:c r="N319" s="23" t="n">
        <x:f>IF(C319="","",IFERROR(INDEX('Borrowers'!$I$9:$I$108,MATCH(C319,'Borrowers'!$C$9:$C$108,0))*'Scenario Paths'!I33,"Unavailable"))</x:f>
        <x:v>4.550000000000001</x:v>
      </x:c>
      <x:c r="O319" s="23" t="n">
        <x:f>IF(C319="","",IFERROR(M319-INDEX('Borrowers'!$K$9:$K$108,MATCH(C319,'Borrowers'!$C$9:$C$108,0))-N319,"Unavailable"))</x:f>
        <x:v>13.77609</x:v>
      </x:c>
      <x:c r="P319" s="127" t="n">
        <x:f>IF(C319="","",IFERROR(O319/INDEX('Borrowers'!$L$9:$L$108,MATCH(C319,'Borrowers'!$C$9:$C$108,0)),"Unavailable"))</x:f>
        <x:v>1.72201125</x:v>
      </x:c>
      <x:c r="Q319" s="30" t="n">
        <x:f>IF(C319="","",IFERROR(IF(INDEX('Borrowers'!$Z$9:$Z$108,MATCH(C319,'Borrowers'!$C$9:$C$108,0))="Yes",1,IF(INDEX('Borrowers'!$P$9:$P$108,MATCH(C319,'Borrowers'!$C$9:$C$108,0))=0,0,MIN(1,INDEX('Borrowers'!$P$9:$P$108,MATCH(C319,'Borrowers'!$C$9:$C$108,0))*EXP(MIN(20,INDEX('Borrowers'!$V$9:$V$108,MATCH(C319,'Borrowers'!$C$9:$C$108,0))*V319))))),"Unavailable"))</x:f>
        <x:v>0.06979569874217413</x:v>
      </x:c>
      <x:c r="R319" s="30" t="n">
        <x:f>IF(C319="","",IFERROR(MIN(1,INDEX('Borrowers'!$Q$9:$Q$108,MATCH(C319,'Borrowers'!$C$9:$C$108,0))+(1-INDEX('Borrowers'!$Q$9:$Q$108,MATCH(C319,'Borrowers'!$C$9:$C$108,0)))*T319),"Unavailable"))</x:f>
        <x:v>0.28172800000000003</x:v>
      </x:c>
      <x:c r="S319" s="30" t="n">
        <x:f>IF(C319="","",IFERROR(SUMPRODUCT((Sites!$D$9:$D$108=C319)*Sites!$I$9:$I$108*Sites!$J$9:$J$108*Sites!$K$9:$K$108*(1-Sites!$L$9:$L$108)),"Unavailable"))</x:f>
        <x:v>0.08000000000000002</x:v>
      </x:c>
      <x:c r="T319" s="30" t="n">
        <x:f>IF(C319="","",IFERROR(MIN(1,(SUMPRODUCT((Sites!$D$9:$D$108=C319)*Sites!$N$9:$N$108*Sites!$J$9:$J$108*Sites!$K$9:$K$108*(1-Sites!$L$9:$L$108)))*'Scenario Paths'!I27),"Unavailable"))</x:f>
        <x:v>0.0024000000000000002</x:v>
      </x:c>
      <x:c r="U319" s="9" t="str">
        <x:f>IF(C319="","",IF(OR(INDEX('Borrowers'!$AA$9:$AA$108,MATCH(C319,'Borrowers'!$C$9:$C$108,0))&lt;&gt;"Ready",COUNTIF(Sites!$D$9:$D$108,C319)=0,COUNTIFS(Sites!$D$9:$D$108,C319,Sites!$Q$9:$Q$108,"&lt;&gt;Ready")&gt;0,'Scenario Paths'!$F$6&lt;&gt;"Ready"),"Review source inputs","Ready"))</x:f>
        <x:v>Ready</x:v>
      </x:c>
      <x:c r="V319" s="17" t="n">
        <x:f>IF(C319="","",IFERROR(MAX(-1,(G319-O319)/MAX(0.000001,G319)),"Unavailable"))</x:f>
        <x:v>0.4137834042553192</x:v>
      </x:c>
      <x:c r="W319" s="9" t="str">
        <x:f>IF(C319="","",IFERROR(INDEX('Borrowers'!$D$9:$D$108,MATCH(C319,'Borrowers'!$C$9:$C$108,0)),"Unavailable"))</x:f>
        <x:v>Demo Aqaba Properties</x:v>
      </x:c>
    </x:row>
    <x:row r="320" ht="26" customHeight="1">
      <x:c r="A320" s="1"/>
      <x:c r="B320" s="1"/>
      <x:c r="C320" s="9" t="str">
        <x:f>IF(Borrowers!C20="","",Borrowers!C20)</x:f>
        <x:v>B012</x:v>
      </x:c>
      <x:c r="D320" s="3" t="n">
        <x:v>4</x:v>
      </x:c>
      <x:c r="E320" s="9" t="n">
        <x:f>Settings!$F$18+3</x:f>
        <x:v>2030</x:v>
      </x:c>
      <x:c r="F320" s="9" t="str">
        <x:f>IF(C320="","",INDEX('Borrowers'!$F$9:$F$108,MATCH(C320,'Borrowers'!$C$9:$C$108,0)))</x:f>
        <x:v>Healthcare</x:v>
      </x:c>
      <x:c r="G320" s="23" t="n">
        <x:f>IF(C320="","",IFERROR(INDEX('Borrowers'!$J$9:$J$108,MATCH(C320,'Borrowers'!$C$9:$C$108,0))-INDEX('Borrowers'!$K$9:$K$108,MATCH(C320,'Borrowers'!$C$9:$C$108,0)),"Unavailable"))</x:f>
        <x:v>24.85</x:v>
      </x:c>
      <x:c r="H320" s="23" t="n">
        <x:f>IF(C320="","",IFERROR(INDEX('Borrowers'!$I$9:$I$108,MATCH(C320,'Borrowers'!$C$9:$C$108,0))*INDEX('Borrowers'!$U$9:$U$108,MATCH(C320,'Borrowers'!$C$9:$C$108,0))*(IF(F320="Transport",'Scenario Paths'!I156,IF(F320="Technology",'Scenario Paths'!I150,IF(F320="Utilities",'Scenario Paths'!I144,IF(F320="Agriculture",'Scenario Paths'!I138,IF(F320="Manufacturing",'Scenario Paths'!I132,IF(F320="Healthcare",'Scenario Paths'!I126,IF(F320="Hospitality",'Scenario Paths'!I120,IF(F320="Property",'Scenario Paths'!I114,IF(F320="Food",'Scenario Paths'!I108,IF(F320="Logistics",'Scenario Paths'!I102,IF(F320="Solar",'Scenario Paths'!I96,IF(F320="Cement",'Scenario Paths'!I90,0))))))))))))),"Unavailable"))</x:f>
        <x:v>-3.6168</x:v>
      </x:c>
      <x:c r="I320" s="23" t="n">
        <x:f>IF(C320="","",IFERROR(INDEX('Borrowers'!$R$9:$R$108,MATCH(C320,'Borrowers'!$C$9:$C$108,0))*(1-INDEX('Borrowers'!$W$9:$W$108,MATCH(C320,'Borrowers'!$C$9:$C$108,0))*'Scenario Paths'!I39)*'Scenario Paths'!I9/1000000*(1-INDEX('Borrowers'!$T$9:$T$108,MATCH(C320,'Borrowers'!$C$9:$C$108,0))),"Unavailable"))</x:f>
        <x:v>0.34015799999999996</x:v>
      </x:c>
      <x:c r="J320" s="23" t="n">
        <x:f>IF(C320="","",IFERROR(INDEX('Borrowers'!$I$9:$I$108,MATCH(C320,'Borrowers'!$C$9:$C$108,0))*INDEX('Borrowers'!$S$9:$S$108,MATCH(C320,'Borrowers'!$C$9:$C$108,0))*'Scenario Paths'!I15*(1-INDEX('Borrowers'!$T$9:$T$108,MATCH(C320,'Borrowers'!$C$9:$C$108,0))),"Unavailable"))</x:f>
        <x:v>1.558375</x:v>
      </x:c>
      <x:c r="K320" s="23" t="n">
        <x:f>IF(C320="","",IFERROR(INDEX('Borrowers'!$I$9:$I$108,MATCH(C320,'Borrowers'!$C$9:$C$108,0))*INDEX('Borrowers'!$U$9:$U$108,MATCH(C320,'Borrowers'!$C$9:$C$108,0))*'Scenario Paths'!I21*S320,"Unavailable"))</x:f>
        <x:v>0.20061183999999999</x:v>
      </x:c>
      <x:c r="L320" s="23" t="n">
        <x:f>IF(C320="","",IFERROR(SUMPRODUCT((Sites!$D$9:$D$108=C320)*Sites!$H$9:$H$108*Sites!$J$9:$J$108*Sites!$K$9:$K$108*(1-Sites!$L$9:$L$108)*(1-Sites!$M$9:$M$108))*'Scenario Paths'!I27,"Unavailable"))</x:f>
        <x:v>0.2306304</x:v>
      </x:c>
      <x:c r="M320" s="23" t="n">
        <x:f>IF(C320="","",IFERROR(INDEX('Borrowers'!$J$9:$J$108,MATCH(C320,'Borrowers'!$C$9:$C$108,0))+H320-SUM(I320:L320),"Unavailable"))</x:f>
        <x:v>22.55342476</x:v>
      </x:c>
      <x:c r="N320" s="23" t="n">
        <x:f>IF(C320="","",IFERROR(INDEX('Borrowers'!$I$9:$I$108,MATCH(C320,'Borrowers'!$C$9:$C$108,0))*'Scenario Paths'!I33,"Unavailable"))</x:f>
        <x:v>4.795000000000001</x:v>
      </x:c>
      <x:c r="O320" s="23" t="n">
        <x:f>IF(C320="","",IFERROR(M320-INDEX('Borrowers'!$K$9:$K$108,MATCH(C320,'Borrowers'!$C$9:$C$108,0))-N320,"Unavailable"))</x:f>
        <x:v>14.108424759999998</x:v>
      </x:c>
      <x:c r="P320" s="127" t="n">
        <x:f>IF(C320="","",IFERROR(O320/INDEX('Borrowers'!$L$9:$L$108,MATCH(C320,'Borrowers'!$C$9:$C$108,0)),"Unavailable"))</x:f>
        <x:v>1.6998102120481924</x:v>
      </x:c>
      <x:c r="Q320" s="30" t="n">
        <x:f>IF(C320="","",IFERROR(IF(INDEX('Borrowers'!$Z$9:$Z$108,MATCH(C320,'Borrowers'!$C$9:$C$108,0))="Yes",1,IF(INDEX('Borrowers'!$P$9:$P$108,MATCH(C320,'Borrowers'!$C$9:$C$108,0))=0,0,MIN(1,INDEX('Borrowers'!$P$9:$P$108,MATCH(C320,'Borrowers'!$C$9:$C$108,0))*EXP(MIN(20,INDEX('Borrowers'!$V$9:$V$108,MATCH(C320,'Borrowers'!$C$9:$C$108,0))*V320))))),"Unavailable"))</x:f>
        <x:v>0.083871016134518</x:v>
      </x:c>
      <x:c r="R320" s="30" t="n">
        <x:f>IF(C320="","",IFERROR(MIN(1,INDEX('Borrowers'!$Q$9:$Q$108,MATCH(C320,'Borrowers'!$C$9:$C$108,0))+(1-INDEX('Borrowers'!$Q$9:$Q$108,MATCH(C320,'Borrowers'!$C$9:$C$108,0)))*T320),"Unavailable"))</x:f>
        <x:v>0.32339456</x:v>
      </x:c>
      <x:c r="S320" s="30" t="n">
        <x:f>IF(C320="","",IFERROR(SUMPRODUCT((Sites!$D$9:$D$108=C320)*Sites!$I$9:$I$108*Sites!$J$9:$J$108*Sites!$K$9:$K$108*(1-Sites!$L$9:$L$108)),"Unavailable"))</x:f>
        <x:v>0.1664</x:v>
      </x:c>
      <x:c r="T320" s="30" t="n">
        <x:f>IF(C320="","",IFERROR(MIN(1,(SUMPRODUCT((Sites!$D$9:$D$108=C320)*Sites!$N$9:$N$108*Sites!$J$9:$J$108*Sites!$K$9:$K$108*(1-Sites!$L$9:$L$108)))*'Scenario Paths'!I27),"Unavailable"))</x:f>
        <x:v>0.004992</x:v>
      </x:c>
      <x:c r="U320" s="9" t="str">
        <x:f>IF(C320="","",IF(OR(INDEX('Borrowers'!$AA$9:$AA$108,MATCH(C320,'Borrowers'!$C$9:$C$108,0))&lt;&gt;"Ready",COUNTIF(Sites!$D$9:$D$108,C320)=0,COUNTIFS(Sites!$D$9:$D$108,C320,Sites!$Q$9:$Q$108,"&lt;&gt;Ready")&gt;0,'Scenario Paths'!$F$6&lt;&gt;"Ready"),"Review source inputs","Ready"))</x:f>
        <x:v>Ready</x:v>
      </x:c>
      <x:c r="V320" s="17" t="n">
        <x:f>IF(C320="","",IFERROR(MAX(-1,(G320-O320)/MAX(0.000001,G320)),"Unavailable"))</x:f>
        <x:v>0.43225654889336024</x:v>
      </x:c>
      <x:c r="W320" s="9" t="str">
        <x:f>IF(C320="","",IFERROR(INDEX('Borrowers'!$D$9:$D$108,MATCH(C320,'Borrowers'!$C$9:$C$108,0)),"Unavailable"))</x:f>
        <x:v>Demo Amman Healthcare</x:v>
      </x:c>
    </x:row>
    <x:row r="321" ht="26" customHeight="1">
      <x:c r="A321" s="1"/>
      <x:c r="B321" s="1"/>
      <x:c r="C321" s="9" t="str">
        <x:f>IF(Borrowers!C21="","",Borrowers!C21)</x:f>
        <x:v>B013</x:v>
      </x:c>
      <x:c r="D321" s="3" t="n">
        <x:v>4</x:v>
      </x:c>
      <x:c r="E321" s="9" t="n">
        <x:f>Settings!$F$18+3</x:f>
        <x:v>2030</x:v>
      </x:c>
      <x:c r="F321" s="9" t="str">
        <x:f>IF(C321="","",INDEX('Borrowers'!$F$9:$F$108,MATCH(C321,'Borrowers'!$C$9:$C$108,0)))</x:f>
        <x:v>Cement</x:v>
      </x:c>
      <x:c r="G321" s="23" t="n">
        <x:f>IF(C321="","",IFERROR(INDEX('Borrowers'!$J$9:$J$108,MATCH(C321,'Borrowers'!$C$9:$C$108,0))-INDEX('Borrowers'!$K$9:$K$108,MATCH(C321,'Borrowers'!$C$9:$C$108,0)),"Unavailable"))</x:f>
        <x:v>26.2</x:v>
      </x:c>
      <x:c r="H321" s="23" t="n">
        <x:f>IF(C321="","",IFERROR(INDEX('Borrowers'!$I$9:$I$108,MATCH(C321,'Borrowers'!$C$9:$C$108,0))*INDEX('Borrowers'!$U$9:$U$108,MATCH(C321,'Borrowers'!$C$9:$C$108,0))*(IF(F321="Transport",'Scenario Paths'!I156,IF(F321="Technology",'Scenario Paths'!I150,IF(F321="Utilities",'Scenario Paths'!I144,IF(F321="Agriculture",'Scenario Paths'!I138,IF(F321="Manufacturing",'Scenario Paths'!I132,IF(F321="Healthcare",'Scenario Paths'!I126,IF(F321="Hospitality",'Scenario Paths'!I120,IF(F321="Property",'Scenario Paths'!I114,IF(F321="Food",'Scenario Paths'!I108,IF(F321="Logistics",'Scenario Paths'!I102,IF(F321="Solar",'Scenario Paths'!I96,IF(F321="Cement",'Scenario Paths'!I90,0))))))))))))),"Unavailable"))</x:f>
        <x:v>-2.7647999999999997</x:v>
      </x:c>
      <x:c r="I321" s="23" t="n">
        <x:f>IF(C321="","",IFERROR(INDEX('Borrowers'!$R$9:$R$108,MATCH(C321,'Borrowers'!$C$9:$C$108,0))*(1-INDEX('Borrowers'!$W$9:$W$108,MATCH(C321,'Borrowers'!$C$9:$C$108,0))*'Scenario Paths'!I39)*'Scenario Paths'!I9/1000000*(1-INDEX('Borrowers'!$T$9:$T$108,MATCH(C321,'Borrowers'!$C$9:$C$108,0))),"Unavailable"))</x:f>
        <x:v>9.927059999999999</x:v>
      </x:c>
      <x:c r="J321" s="23" t="n">
        <x:f>IF(C321="","",IFERROR(INDEX('Borrowers'!$I$9:$I$108,MATCH(C321,'Borrowers'!$C$9:$C$108,0))*INDEX('Borrowers'!$S$9:$S$108,MATCH(C321,'Borrowers'!$C$9:$C$108,0))*'Scenario Paths'!I15*(1-INDEX('Borrowers'!$T$9:$T$108,MATCH(C321,'Borrowers'!$C$9:$C$108,0))),"Unavailable"))</x:f>
        <x:v>5.382000000000001</x:v>
      </x:c>
      <x:c r="K321" s="23" t="n">
        <x:f>IF(C321="","",IFERROR(INDEX('Borrowers'!$I$9:$I$108,MATCH(C321,'Borrowers'!$C$9:$C$108,0))*INDEX('Borrowers'!$U$9:$U$108,MATCH(C321,'Borrowers'!$C$9:$C$108,0))*'Scenario Paths'!I21*S321,"Unavailable"))</x:f>
        <x:v>0.11354112</x:v>
      </x:c>
      <x:c r="L321" s="23" t="n">
        <x:f>IF(C321="","",IFERROR(SUMPRODUCT((Sites!$D$9:$D$108=C321)*Sites!$H$9:$H$108*Sites!$J$9:$J$108*Sites!$K$9:$K$108*(1-Sites!$L$9:$L$108)*(1-Sites!$M$9:$M$108))*'Scenario Paths'!I27,"Unavailable"))</x:f>
        <x:v>0.1788864</x:v>
      </x:c>
      <x:c r="M321" s="23" t="n">
        <x:f>IF(C321="","",IFERROR(INDEX('Borrowers'!$J$9:$J$108,MATCH(C321,'Borrowers'!$C$9:$C$108,0))+H321-SUM(I321:L321),"Unavailable"))</x:f>
        <x:v>11.63371248</x:v>
      </x:c>
      <x:c r="N321" s="23" t="n">
        <x:f>IF(C321="","",IFERROR(INDEX('Borrowers'!$I$9:$I$108,MATCH(C321,'Borrowers'!$C$9:$C$108,0))*'Scenario Paths'!I33,"Unavailable"))</x:f>
        <x:v>5.040000000000001</x:v>
      </x:c>
      <x:c r="O321" s="23" t="n">
        <x:f>IF(C321="","",IFERROR(M321-INDEX('Borrowers'!$K$9:$K$108,MATCH(C321,'Borrowers'!$C$9:$C$108,0))-N321,"Unavailable"))</x:f>
        <x:v>2.793712479999999</x:v>
      </x:c>
      <x:c r="P321" s="127" t="n">
        <x:f>IF(C321="","",IFERROR(O321/INDEX('Borrowers'!$L$9:$L$108,MATCH(C321,'Borrowers'!$C$9:$C$108,0)),"Unavailable"))</x:f>
        <x:v>0.3248502883720929</x:v>
      </x:c>
      <x:c r="Q321" s="30" t="n">
        <x:f>IF(C321="","",IFERROR(IF(INDEX('Borrowers'!$Z$9:$Z$108,MATCH(C321,'Borrowers'!$C$9:$C$108,0))="Yes",1,IF(INDEX('Borrowers'!$P$9:$P$108,MATCH(C321,'Borrowers'!$C$9:$C$108,0))=0,0,MIN(1,INDEX('Borrowers'!$P$9:$P$108,MATCH(C321,'Borrowers'!$C$9:$C$108,0))*EXP(MIN(20,INDEX('Borrowers'!$V$9:$V$108,MATCH(C321,'Borrowers'!$C$9:$C$108,0))*V321))))),"Unavailable"))</x:f>
        <x:v>0.05011389194885118</x:v>
      </x:c>
      <x:c r="R321" s="30" t="n">
        <x:f>IF(C321="","",IFERROR(MIN(1,INDEX('Borrowers'!$Q$9:$Q$108,MATCH(C321,'Borrowers'!$C$9:$C$108,0))+(1-INDEX('Borrowers'!$Q$9:$Q$108,MATCH(C321,'Borrowers'!$C$9:$C$108,0)))*T321),"Unavailable"))</x:f>
        <x:v>0.36236544000000004</x:v>
      </x:c>
      <x:c r="S321" s="30" t="n">
        <x:f>IF(C321="","",IFERROR(SUMPRODUCT((Sites!$D$9:$D$108=C321)*Sites!$I$9:$I$108*Sites!$J$9:$J$108*Sites!$K$9:$K$108*(1-Sites!$L$9:$L$108)),"Unavailable"))</x:f>
        <x:v>0.1232</x:v>
      </x:c>
      <x:c r="T321" s="30" t="n">
        <x:f>IF(C321="","",IFERROR(MIN(1,(SUMPRODUCT((Sites!$D$9:$D$108=C321)*Sites!$N$9:$N$108*Sites!$J$9:$J$108*Sites!$K$9:$K$108*(1-Sites!$L$9:$L$108)))*'Scenario Paths'!I27),"Unavailable"))</x:f>
        <x:v>0.003696</x:v>
      </x:c>
      <x:c r="U321" s="9" t="str">
        <x:f>IF(C321="","",IF(OR(INDEX('Borrowers'!$AA$9:$AA$108,MATCH(C321,'Borrowers'!$C$9:$C$108,0))&lt;&gt;"Ready",COUNTIF(Sites!$D$9:$D$108,C321)=0,COUNTIFS(Sites!$D$9:$D$108,C321,Sites!$Q$9:$Q$108,"&lt;&gt;Ready")&gt;0,'Scenario Paths'!$F$6&lt;&gt;"Ready"),"Review source inputs","Ready"))</x:f>
        <x:v>Ready</x:v>
      </x:c>
      <x:c r="V321" s="17" t="n">
        <x:f>IF(C321="","",IFERROR(MAX(-1,(G321-O321)/MAX(0.000001,G321)),"Unavailable"))</x:f>
        <x:v>0.8933697526717558</x:v>
      </x:c>
      <x:c r="W321" s="9" t="str">
        <x:f>IF(C321="","",IFERROR(INDEX('Borrowers'!$D$9:$D$108,MATCH(C321,'Borrowers'!$C$9:$C$108,0)),"Unavailable"))</x:f>
        <x:v>Demo Emirates Materials</x:v>
      </x:c>
    </x:row>
    <x:row r="322" ht="26" customHeight="1">
      <x:c r="A322" s="1"/>
      <x:c r="B322" s="1"/>
      <x:c r="C322" s="9" t="str">
        <x:f>IF(Borrowers!C22="","",Borrowers!C22)</x:f>
        <x:v>B014</x:v>
      </x:c>
      <x:c r="D322" s="3" t="n">
        <x:v>4</x:v>
      </x:c>
      <x:c r="E322" s="9" t="n">
        <x:f>Settings!$F$18+3</x:f>
        <x:v>2030</x:v>
      </x:c>
      <x:c r="F322" s="9" t="str">
        <x:f>IF(C322="","",INDEX('Borrowers'!$F$9:$F$108,MATCH(C322,'Borrowers'!$C$9:$C$108,0)))</x:f>
        <x:v>Solar</x:v>
      </x:c>
      <x:c r="G322" s="23" t="n">
        <x:f>IF(C322="","",IFERROR(INDEX('Borrowers'!$J$9:$J$108,MATCH(C322,'Borrowers'!$C$9:$C$108,0))-INDEX('Borrowers'!$K$9:$K$108,MATCH(C322,'Borrowers'!$C$9:$C$108,0)),"Unavailable"))</x:f>
        <x:v>27.55</x:v>
      </x:c>
      <x:c r="H322" s="23" t="n">
        <x:f>IF(C322="","",IFERROR(INDEX('Borrowers'!$I$9:$I$108,MATCH(C322,'Borrowers'!$C$9:$C$108,0))*INDEX('Borrowers'!$U$9:$U$108,MATCH(C322,'Borrowers'!$C$9:$C$108,0))*(IF(F322="Transport",'Scenario Paths'!I156,IF(F322="Technology",'Scenario Paths'!I150,IF(F322="Utilities",'Scenario Paths'!I144,IF(F322="Agriculture",'Scenario Paths'!I138,IF(F322="Manufacturing",'Scenario Paths'!I132,IF(F322="Healthcare",'Scenario Paths'!I126,IF(F322="Hospitality",'Scenario Paths'!I120,IF(F322="Property",'Scenario Paths'!I114,IF(F322="Food",'Scenario Paths'!I108,IF(F322="Logistics",'Scenario Paths'!I102,IF(F322="Solar",'Scenario Paths'!I96,IF(F322="Cement",'Scenario Paths'!I90,0))))))))))))),"Unavailable"))</x:f>
        <x:v>3.4428</x:v>
      </x:c>
      <x:c r="I322" s="23" t="n">
        <x:f>IF(C322="","",IFERROR(INDEX('Borrowers'!$R$9:$R$108,MATCH(C322,'Borrowers'!$C$9:$C$108,0))*(1-INDEX('Borrowers'!$W$9:$W$108,MATCH(C322,'Borrowers'!$C$9:$C$108,0))*'Scenario Paths'!I39)*'Scenario Paths'!I9/1000000*(1-INDEX('Borrowers'!$T$9:$T$108,MATCH(C322,'Borrowers'!$C$9:$C$108,0))),"Unavailable"))</x:f>
        <x:v>0.012727000000000002</x:v>
      </x:c>
      <x:c r="J322" s="23" t="n">
        <x:f>IF(C322="","",IFERROR(INDEX('Borrowers'!$I$9:$I$108,MATCH(C322,'Borrowers'!$C$9:$C$108,0))*INDEX('Borrowers'!$S$9:$S$108,MATCH(C322,'Borrowers'!$C$9:$C$108,0))*'Scenario Paths'!I15*(1-INDEX('Borrowers'!$T$9:$T$108,MATCH(C322,'Borrowers'!$C$9:$C$108,0))),"Unavailable"))</x:f>
        <x:v>1.8686250000000004</x:v>
      </x:c>
      <x:c r="K322" s="23" t="n">
        <x:f>IF(C322="","",IFERROR(INDEX('Borrowers'!$I$9:$I$108,MATCH(C322,'Borrowers'!$C$9:$C$108,0))*INDEX('Borrowers'!$U$9:$U$108,MATCH(C322,'Borrowers'!$C$9:$C$108,0))*'Scenario Paths'!I21*S322,"Unavailable"))</x:f>
        <x:v>0.2570624000000001</x:v>
      </x:c>
      <x:c r="L322" s="23" t="n">
        <x:f>IF(C322="","",IFERROR(SUMPRODUCT((Sites!$D$9:$D$108=C322)*Sites!$H$9:$H$108*Sites!$J$9:$J$108*Sites!$K$9:$K$108*(1-Sites!$L$9:$L$108)*(1-Sites!$M$9:$M$108))*'Scenario Paths'!I27,"Unavailable"))</x:f>
        <x:v>0.3400320000000001</x:v>
      </x:c>
      <x:c r="M322" s="23" t="n">
        <x:f>IF(C322="","",IFERROR(INDEX('Borrowers'!$J$9:$J$108,MATCH(C322,'Borrowers'!$C$9:$C$108,0))+H322-SUM(I322:L322),"Unavailable"))</x:f>
        <x:v>32.464353599999995</x:v>
      </x:c>
      <x:c r="N322" s="23" t="n">
        <x:f>IF(C322="","",IFERROR(INDEX('Borrowers'!$I$9:$I$108,MATCH(C322,'Borrowers'!$C$9:$C$108,0))*'Scenario Paths'!I33,"Unavailable"))</x:f>
        <x:v>5.285</x:v>
      </x:c>
      <x:c r="O322" s="23" t="n">
        <x:f>IF(C322="","",IFERROR(M322-INDEX('Borrowers'!$K$9:$K$108,MATCH(C322,'Borrowers'!$C$9:$C$108,0))-N322,"Unavailable"))</x:f>
        <x:v>23.229353599999996</x:v>
      </x:c>
      <x:c r="P322" s="127" t="n">
        <x:f>IF(C322="","",IFERROR(O322/INDEX('Borrowers'!$L$9:$L$108,MATCH(C322,'Borrowers'!$C$9:$C$108,0)),"Unavailable"))</x:f>
        <x:v>2.610039730337078</x:v>
      </x:c>
      <x:c r="Q322" s="30" t="n">
        <x:f>IF(C322="","",IFERROR(IF(INDEX('Borrowers'!$Z$9:$Z$108,MATCH(C322,'Borrowers'!$C$9:$C$108,0))="Yes",1,IF(INDEX('Borrowers'!$P$9:$P$108,MATCH(C322,'Borrowers'!$C$9:$C$108,0))=0,0,MIN(1,INDEX('Borrowers'!$P$9:$P$108,MATCH(C322,'Borrowers'!$C$9:$C$108,0))*EXP(MIN(20,INDEX('Borrowers'!$V$9:$V$108,MATCH(C322,'Borrowers'!$C$9:$C$108,0))*V322))))),"Unavailable"))</x:f>
        <x:v>0.023133888811110906</x:v>
      </x:c>
      <x:c r="R322" s="30" t="n">
        <x:f>IF(C322="","",IFERROR(MIN(1,INDEX('Borrowers'!$Q$9:$Q$108,MATCH(C322,'Borrowers'!$C$9:$C$108,0))+(1-INDEX('Borrowers'!$Q$9:$Q$108,MATCH(C322,'Borrowers'!$C$9:$C$108,0)))*T322),"Unavailable"))</x:f>
        <x:v>0.404032</x:v>
      </x:c>
      <x:c r="S322" s="30" t="n">
        <x:f>IF(C322="","",IFERROR(SUMPRODUCT((Sites!$D$9:$D$108=C322)*Sites!$I$9:$I$108*Sites!$J$9:$J$108*Sites!$K$9:$K$108*(1-Sites!$L$9:$L$108)),"Unavailable"))</x:f>
        <x:v>0.22400000000000003</x:v>
      </x:c>
      <x:c r="T322" s="30" t="n">
        <x:f>IF(C322="","",IFERROR(MIN(1,(SUMPRODUCT((Sites!$D$9:$D$108=C322)*Sites!$N$9:$N$108*Sites!$J$9:$J$108*Sites!$K$9:$K$108*(1-Sites!$L$9:$L$108)))*'Scenario Paths'!I27),"Unavailable"))</x:f>
        <x:v>0.006720000000000001</x:v>
      </x:c>
      <x:c r="U322" s="9" t="str">
        <x:f>IF(C322="","",IF(OR(INDEX('Borrowers'!$AA$9:$AA$108,MATCH(C322,'Borrowers'!$C$9:$C$108,0))&lt;&gt;"Ready",COUNTIF(Sites!$D$9:$D$108,C322)=0,COUNTIFS(Sites!$D$9:$D$108,C322,Sites!$Q$9:$Q$108,"&lt;&gt;Ready")&gt;0,'Scenario Paths'!$F$6&lt;&gt;"Ready"),"Review source inputs","Ready"))</x:f>
        <x:v>Ready</x:v>
      </x:c>
      <x:c r="V322" s="17" t="n">
        <x:f>IF(C322="","",IFERROR(MAX(-1,(G322-O322)/MAX(0.000001,G322)),"Unavailable"))</x:f>
        <x:v>0.15682927041742303</x:v>
      </x:c>
      <x:c r="W322" s="9" t="str">
        <x:f>IF(C322="","",IFERROR(INDEX('Borrowers'!$D$9:$D$108,MATCH(C322,'Borrowers'!$C$9:$C$108,0)),"Unavailable"))</x:f>
        <x:v>Demo Desert Solar</x:v>
      </x:c>
    </x:row>
    <x:row r="323" ht="26" customHeight="1">
      <x:c r="A323" s="1"/>
      <x:c r="B323" s="1"/>
      <x:c r="C323" s="9" t="str">
        <x:f>IF(Borrowers!C23="","",Borrowers!C23)</x:f>
        <x:v>B015</x:v>
      </x:c>
      <x:c r="D323" s="3" t="n">
        <x:v>4</x:v>
      </x:c>
      <x:c r="E323" s="9" t="n">
        <x:f>Settings!$F$18+3</x:f>
        <x:v>2030</x:v>
      </x:c>
      <x:c r="F323" s="9" t="str">
        <x:f>IF(C323="","",INDEX('Borrowers'!$F$9:$F$108,MATCH(C323,'Borrowers'!$C$9:$C$108,0)))</x:f>
        <x:v>Logistics</x:v>
      </x:c>
      <x:c r="G323" s="23" t="n">
        <x:f>IF(C323="","",IFERROR(INDEX('Borrowers'!$J$9:$J$108,MATCH(C323,'Borrowers'!$C$9:$C$108,0))-INDEX('Borrowers'!$K$9:$K$108,MATCH(C323,'Borrowers'!$C$9:$C$108,0)),"Unavailable"))</x:f>
        <x:v>28.9</x:v>
      </x:c>
      <x:c r="H323" s="23" t="n">
        <x:f>IF(C323="","",IFERROR(INDEX('Borrowers'!$I$9:$I$108,MATCH(C323,'Borrowers'!$C$9:$C$108,0))*INDEX('Borrowers'!$U$9:$U$108,MATCH(C323,'Borrowers'!$C$9:$C$108,0))*(IF(F323="Transport",'Scenario Paths'!I156,IF(F323="Technology",'Scenario Paths'!I150,IF(F323="Utilities",'Scenario Paths'!I144,IF(F323="Agriculture",'Scenario Paths'!I138,IF(F323="Manufacturing",'Scenario Paths'!I132,IF(F323="Healthcare",'Scenario Paths'!I126,IF(F323="Hospitality",'Scenario Paths'!I120,IF(F323="Property",'Scenario Paths'!I114,IF(F323="Food",'Scenario Paths'!I108,IF(F323="Logistics",'Scenario Paths'!I102,IF(F323="Solar",'Scenario Paths'!I96,IF(F323="Cement",'Scenario Paths'!I90,0))))))))))))),"Unavailable"))</x:f>
        <x:v>-4.1712</x:v>
      </x:c>
      <x:c r="I323" s="23" t="n">
        <x:f>IF(C323="","",IFERROR(INDEX('Borrowers'!$R$9:$R$108,MATCH(C323,'Borrowers'!$C$9:$C$108,0))*(1-INDEX('Borrowers'!$W$9:$W$108,MATCH(C323,'Borrowers'!$C$9:$C$108,0))*'Scenario Paths'!I39)*'Scenario Paths'!I9/1000000*(1-INDEX('Borrowers'!$T$9:$T$108,MATCH(C323,'Borrowers'!$C$9:$C$108,0))),"Unavailable"))</x:f>
        <x:v>0.49982399999999994</x:v>
      </x:c>
      <x:c r="J323" s="23" t="n">
        <x:f>IF(C323="","",IFERROR(INDEX('Borrowers'!$I$9:$I$108,MATCH(C323,'Borrowers'!$C$9:$C$108,0))*INDEX('Borrowers'!$S$9:$S$108,MATCH(C323,'Borrowers'!$C$9:$C$108,0))*'Scenario Paths'!I15*(1-INDEX('Borrowers'!$T$9:$T$108,MATCH(C323,'Borrowers'!$C$9:$C$108,0))),"Unavailable"))</x:f>
        <x:v>1.9552500000000002</x:v>
      </x:c>
      <x:c r="K323" s="23" t="n">
        <x:f>IF(C323="","",IFERROR(INDEX('Borrowers'!$I$9:$I$108,MATCH(C323,'Borrowers'!$C$9:$C$108,0))*INDEX('Borrowers'!$U$9:$U$108,MATCH(C323,'Borrowers'!$C$9:$C$108,0))*'Scenario Paths'!I21*S323,"Unavailable"))</x:f>
        <x:v>0.4916454399999998</x:v>
      </x:c>
      <x:c r="L323" s="23" t="n">
        <x:f>IF(C323="","",IFERROR(SUMPRODUCT((Sites!$D$9:$D$108=C323)*Sites!$H$9:$H$108*Sites!$J$9:$J$108*Sites!$K$9:$K$108*(1-Sites!$L$9:$L$108)*(1-Sites!$M$9:$M$108))*'Scenario Paths'!I27,"Unavailable"))</x:f>
        <x:v>0.5601024</x:v>
      </x:c>
      <x:c r="M323" s="23" t="n">
        <x:f>IF(C323="","",IFERROR(INDEX('Borrowers'!$J$9:$J$108,MATCH(C323,'Borrowers'!$C$9:$C$108,0))+H323-SUM(I323:L323),"Unavailable"))</x:f>
        <x:v>25.32197816</x:v>
      </x:c>
      <x:c r="N323" s="23" t="n">
        <x:f>IF(C323="","",IFERROR(INDEX('Borrowers'!$I$9:$I$108,MATCH(C323,'Borrowers'!$C$9:$C$108,0))*'Scenario Paths'!I33,"Unavailable"))</x:f>
        <x:v>5.53</x:v>
      </x:c>
      <x:c r="O323" s="23" t="n">
        <x:f>IF(C323="","",IFERROR(M323-INDEX('Borrowers'!$K$9:$K$108,MATCH(C323,'Borrowers'!$C$9:$C$108,0))-N323,"Unavailable"))</x:f>
        <x:v>15.691978159999998</x:v>
      </x:c>
      <x:c r="P323" s="127" t="n">
        <x:f>IF(C323="","",IFERROR(O323/INDEX('Borrowers'!$L$9:$L$108,MATCH(C323,'Borrowers'!$C$9:$C$108,0)),"Unavailable"))</x:f>
        <x:v>1.7056498</x:v>
      </x:c>
      <x:c r="Q323" s="30" t="n">
        <x:f>IF(C323="","",IFERROR(IF(INDEX('Borrowers'!$Z$9:$Z$108,MATCH(C323,'Borrowers'!$C$9:$C$108,0))="Yes",1,IF(INDEX('Borrowers'!$P$9:$P$108,MATCH(C323,'Borrowers'!$C$9:$C$108,0))=0,0,MIN(1,INDEX('Borrowers'!$P$9:$P$108,MATCH(C323,'Borrowers'!$C$9:$C$108,0))*EXP(MIN(20,INDEX('Borrowers'!$V$9:$V$108,MATCH(C323,'Borrowers'!$C$9:$C$108,0))*V323))))),"Unavailable"))</x:f>
        <x:v>0.04986372546461093</x:v>
      </x:c>
      <x:c r="R323" s="30" t="n">
        <x:f>IF(C323="","",IFERROR(MIN(1,INDEX('Borrowers'!$Q$9:$Q$108,MATCH(C323,'Borrowers'!$C$9:$C$108,0))+(1-INDEX('Borrowers'!$Q$9:$Q$108,MATCH(C323,'Borrowers'!$C$9:$C$108,0)))*T323),"Unavailable"))</x:f>
        <x:v>0.4459404800000001</x:v>
      </x:c>
      <x:c r="S323" s="30" t="n">
        <x:f>IF(C323="","",IFERROR(SUMPRODUCT((Sites!$D$9:$D$108=C323)*Sites!$I$9:$I$108*Sites!$J$9:$J$108*Sites!$K$9:$K$108*(1-Sites!$L$9:$L$108)),"Unavailable"))</x:f>
        <x:v>0.3535999999999999</x:v>
      </x:c>
      <x:c r="T323" s="30" t="n">
        <x:f>IF(C323="","",IFERROR(MIN(1,(SUMPRODUCT((Sites!$D$9:$D$108=C323)*Sites!$N$9:$N$108*Sites!$J$9:$J$108*Sites!$K$9:$K$108*(1-Sites!$L$9:$L$108)))*'Scenario Paths'!I27),"Unavailable"))</x:f>
        <x:v>0.010607999999999998</x:v>
      </x:c>
      <x:c r="U323" s="9" t="str">
        <x:f>IF(C323="","",IF(OR(INDEX('Borrowers'!$AA$9:$AA$108,MATCH(C323,'Borrowers'!$C$9:$C$108,0))&lt;&gt;"Ready",COUNTIF(Sites!$D$9:$D$108,C323)=0,COUNTIFS(Sites!$D$9:$D$108,C323,Sites!$Q$9:$Q$108,"&lt;&gt;Ready")&gt;0,'Scenario Paths'!$F$6&lt;&gt;"Ready"),"Review source inputs","Ready"))</x:f>
        <x:v>Ready</x:v>
      </x:c>
      <x:c r="V323" s="17" t="n">
        <x:f>IF(C323="","",IFERROR(MAX(-1,(G323-O323)/MAX(0.000001,G323)),"Unavailable"))</x:f>
        <x:v>0.4570249771626298</x:v>
      </x:c>
      <x:c r="W323" s="9" t="str">
        <x:f>IF(C323="","",IFERROR(INDEX('Borrowers'!$D$9:$D$108,MATCH(C323,'Borrowers'!$C$9:$C$108,0)),"Unavailable"))</x:f>
        <x:v>Demo Gulf Logistics</x:v>
      </x:c>
    </x:row>
    <x:row r="324" ht="26" customHeight="1">
      <x:c r="A324" s="1"/>
      <x:c r="B324" s="1"/>
      <x:c r="C324" s="9" t="str">
        <x:f>IF(Borrowers!C24="","",Borrowers!C24)</x:f>
        <x:v>B016</x:v>
      </x:c>
      <x:c r="D324" s="3" t="n">
        <x:v>4</x:v>
      </x:c>
      <x:c r="E324" s="9" t="n">
        <x:f>Settings!$F$18+3</x:f>
        <x:v>2030</x:v>
      </x:c>
      <x:c r="F324" s="9" t="str">
        <x:f>IF(C324="","",INDEX('Borrowers'!$F$9:$F$108,MATCH(C324,'Borrowers'!$C$9:$C$108,0)))</x:f>
        <x:v>Food</x:v>
      </x:c>
      <x:c r="G324" s="23" t="n">
        <x:f>IF(C324="","",IFERROR(INDEX('Borrowers'!$J$9:$J$108,MATCH(C324,'Borrowers'!$C$9:$C$108,0))-INDEX('Borrowers'!$K$9:$K$108,MATCH(C324,'Borrowers'!$C$9:$C$108,0)),"Unavailable"))</x:f>
        <x:v>30.25</x:v>
      </x:c>
      <x:c r="H324" s="23" t="n">
        <x:f>IF(C324="","",IFERROR(INDEX('Borrowers'!$I$9:$I$108,MATCH(C324,'Borrowers'!$C$9:$C$108,0))*INDEX('Borrowers'!$U$9:$U$108,MATCH(C324,'Borrowers'!$C$9:$C$108,0))*(IF(F324="Transport",'Scenario Paths'!I156,IF(F324="Technology",'Scenario Paths'!I150,IF(F324="Utilities",'Scenario Paths'!I144,IF(F324="Agriculture",'Scenario Paths'!I138,IF(F324="Manufacturing",'Scenario Paths'!I132,IF(F324="Healthcare",'Scenario Paths'!I126,IF(F324="Hospitality",'Scenario Paths'!I120,IF(F324="Property",'Scenario Paths'!I114,IF(F324="Food",'Scenario Paths'!I108,IF(F324="Logistics",'Scenario Paths'!I102,IF(F324="Solar",'Scenario Paths'!I96,IF(F324="Cement",'Scenario Paths'!I90,0))))))))))))),"Unavailable"))</x:f>
        <x:v>-3.168</x:v>
      </x:c>
      <x:c r="I324" s="23" t="n">
        <x:f>IF(C324="","",IFERROR(INDEX('Borrowers'!$R$9:$R$108,MATCH(C324,'Borrowers'!$C$9:$C$108,0))*(1-INDEX('Borrowers'!$W$9:$W$108,MATCH(C324,'Borrowers'!$C$9:$C$108,0))*'Scenario Paths'!I39)*'Scenario Paths'!I9/1000000*(1-INDEX('Borrowers'!$T$9:$T$108,MATCH(C324,'Borrowers'!$C$9:$C$108,0))),"Unavailable"))</x:f>
        <x:v>0.40495</x:v>
      </x:c>
      <x:c r="J324" s="23" t="n">
        <x:f>IF(C324="","",IFERROR(INDEX('Borrowers'!$I$9:$I$108,MATCH(C324,'Borrowers'!$C$9:$C$108,0))*INDEX('Borrowers'!$S$9:$S$108,MATCH(C324,'Borrowers'!$C$9:$C$108,0))*'Scenario Paths'!I15*(1-INDEX('Borrowers'!$T$9:$T$108,MATCH(C324,'Borrowers'!$C$9:$C$108,0))),"Unavailable"))</x:f>
        <x:v>1.8768749999999998</x:v>
      </x:c>
      <x:c r="K324" s="23" t="n">
        <x:f>IF(C324="","",IFERROR(INDEX('Borrowers'!$I$9:$I$108,MATCH(C324,'Borrowers'!$C$9:$C$108,0))*INDEX('Borrowers'!$U$9:$U$108,MATCH(C324,'Borrowers'!$C$9:$C$108,0))*'Scenario Paths'!I21*S324,"Unavailable"))</x:f>
        <x:v>0.059136</x:v>
      </x:c>
      <x:c r="L324" s="23" t="n">
        <x:f>IF(C324="","",IFERROR(SUMPRODUCT((Sites!$D$9:$D$108=C324)*Sites!$H$9:$H$108*Sites!$J$9:$J$108*Sites!$K$9:$K$108*(1-Sites!$L$9:$L$108)*(1-Sites!$M$9:$M$108))*'Scenario Paths'!I27,"Unavailable"))</x:f>
        <x:v>0.09240000000000001</x:v>
      </x:c>
      <x:c r="M324" s="23" t="n">
        <x:f>IF(C324="","",IFERROR(INDEX('Borrowers'!$J$9:$J$108,MATCH(C324,'Borrowers'!$C$9:$C$108,0))+H324-SUM(I324:L324),"Unavailable"))</x:f>
        <x:v>28.898639</x:v>
      </x:c>
      <x:c r="N324" s="23" t="n">
        <x:f>IF(C324="","",IFERROR(INDEX('Borrowers'!$I$9:$I$108,MATCH(C324,'Borrowers'!$C$9:$C$108,0))*'Scenario Paths'!I33,"Unavailable"))</x:f>
        <x:v>5.775</x:v>
      </x:c>
      <x:c r="O324" s="23" t="n">
        <x:f>IF(C324="","",IFERROR(M324-INDEX('Borrowers'!$K$9:$K$108,MATCH(C324,'Borrowers'!$C$9:$C$108,0))-N324,"Unavailable"))</x:f>
        <x:v>18.873638999999997</x:v>
      </x:c>
      <x:c r="P324" s="127" t="n">
        <x:f>IF(C324="","",IFERROR(O324/INDEX('Borrowers'!$L$9:$L$108,MATCH(C324,'Borrowers'!$C$9:$C$108,0)),"Unavailable"))</x:f>
        <x:v>1.986698842105263</x:v>
      </x:c>
      <x:c r="Q324" s="30" t="n">
        <x:f>IF(C324="","",IFERROR(IF(INDEX('Borrowers'!$Z$9:$Z$108,MATCH(C324,'Borrowers'!$C$9:$C$108,0))="Yes",1,IF(INDEX('Borrowers'!$P$9:$P$108,MATCH(C324,'Borrowers'!$C$9:$C$108,0))=0,0,MIN(1,INDEX('Borrowers'!$P$9:$P$108,MATCH(C324,'Borrowers'!$C$9:$C$108,0))*EXP(MIN(20,INDEX('Borrowers'!$V$9:$V$108,MATCH(C324,'Borrowers'!$C$9:$C$108,0))*V324))))),"Unavailable"))</x:f>
        <x:v>0.05475793342839774</x:v>
      </x:c>
      <x:c r="R324" s="30" t="n">
        <x:f>IF(C324="","",IFERROR(MIN(1,INDEX('Borrowers'!$Q$9:$Q$108,MATCH(C324,'Borrowers'!$C$9:$C$108,0))+(1-INDEX('Borrowers'!$Q$9:$Q$108,MATCH(C324,'Borrowers'!$C$9:$C$108,0)))*T324),"Unavailable"))</x:f>
        <x:v>0.2812096</x:v>
      </x:c>
      <x:c r="S324" s="30" t="n">
        <x:f>IF(C324="","",IFERROR(SUMPRODUCT((Sites!$D$9:$D$108=C324)*Sites!$I$9:$I$108*Sites!$J$9:$J$108*Sites!$K$9:$K$108*(1-Sites!$L$9:$L$108)),"Unavailable"))</x:f>
        <x:v>0.056</x:v>
      </x:c>
      <x:c r="T324" s="30" t="n">
        <x:f>IF(C324="","",IFERROR(MIN(1,(SUMPRODUCT((Sites!$D$9:$D$108=C324)*Sites!$N$9:$N$108*Sites!$J$9:$J$108*Sites!$K$9:$K$108*(1-Sites!$L$9:$L$108)))*'Scenario Paths'!I27),"Unavailable"))</x:f>
        <x:v>0.00168</x:v>
      </x:c>
      <x:c r="U324" s="9" t="str">
        <x:f>IF(C324="","",IF(OR(INDEX('Borrowers'!$AA$9:$AA$108,MATCH(C324,'Borrowers'!$C$9:$C$108,0))&lt;&gt;"Ready",COUNTIF(Sites!$D$9:$D$108,C324)=0,COUNTIFS(Sites!$D$9:$D$108,C324,Sites!$Q$9:$Q$108,"&lt;&gt;Ready")&gt;0,'Scenario Paths'!$F$6&lt;&gt;"Ready"),"Review source inputs","Ready"))</x:f>
        <x:v>Ready</x:v>
      </x:c>
      <x:c r="V324" s="17" t="n">
        <x:f>IF(C324="","",IFERROR(MAX(-1,(G324-O324)/MAX(0.000001,G324)),"Unavailable"))</x:f>
        <x:v>0.37607804958677693</x:v>
      </x:c>
      <x:c r="W324" s="9" t="str">
        <x:f>IF(C324="","",IFERROR(INDEX('Borrowers'!$D$9:$D$108,MATCH(C324,'Borrowers'!$C$9:$C$108,0)),"Unavailable"))</x:f>
        <x:v>Demo Emirates Foods</x:v>
      </x:c>
    </x:row>
    <x:row r="325" ht="26" customHeight="1">
      <x:c r="A325" s="1"/>
      <x:c r="B325" s="1"/>
      <x:c r="C325" s="9" t="str">
        <x:f>IF(Borrowers!C25="","",Borrowers!C25)</x:f>
        <x:v>B017</x:v>
      </x:c>
      <x:c r="D325" s="3" t="n">
        <x:v>4</x:v>
      </x:c>
      <x:c r="E325" s="9" t="n">
        <x:f>Settings!$F$18+3</x:f>
        <x:v>2030</x:v>
      </x:c>
      <x:c r="F325" s="9" t="str">
        <x:f>IF(C325="","",INDEX('Borrowers'!$F$9:$F$108,MATCH(C325,'Borrowers'!$C$9:$C$108,0)))</x:f>
        <x:v>Property</x:v>
      </x:c>
      <x:c r="G325" s="23" t="n">
        <x:f>IF(C325="","",IFERROR(INDEX('Borrowers'!$J$9:$J$108,MATCH(C325,'Borrowers'!$C$9:$C$108,0))-INDEX('Borrowers'!$K$9:$K$108,MATCH(C325,'Borrowers'!$C$9:$C$108,0)),"Unavailable"))</x:f>
        <x:v>31.6</x:v>
      </x:c>
      <x:c r="H325" s="23" t="n">
        <x:f>IF(C325="","",IFERROR(INDEX('Borrowers'!$I$9:$I$108,MATCH(C325,'Borrowers'!$C$9:$C$108,0))*INDEX('Borrowers'!$U$9:$U$108,MATCH(C325,'Borrowers'!$C$9:$C$108,0))*(IF(F325="Transport",'Scenario Paths'!I156,IF(F325="Technology",'Scenario Paths'!I150,IF(F325="Utilities",'Scenario Paths'!I144,IF(F325="Agriculture",'Scenario Paths'!I138,IF(F325="Manufacturing",'Scenario Paths'!I132,IF(F325="Healthcare",'Scenario Paths'!I126,IF(F325="Hospitality",'Scenario Paths'!I120,IF(F325="Property",'Scenario Paths'!I114,IF(F325="Food",'Scenario Paths'!I108,IF(F325="Logistics",'Scenario Paths'!I102,IF(F325="Solar",'Scenario Paths'!I96,IF(F325="Cement",'Scenario Paths'!I90,0))))))))))))),"Unavailable"))</x:f>
        <x:v>-3.9215999999999998</x:v>
      </x:c>
      <x:c r="I325" s="23" t="n">
        <x:f>IF(C325="","",IFERROR(INDEX('Borrowers'!$R$9:$R$108,MATCH(C325,'Borrowers'!$C$9:$C$108,0))*(1-INDEX('Borrowers'!$W$9:$W$108,MATCH(C325,'Borrowers'!$C$9:$C$108,0))*'Scenario Paths'!I39)*'Scenario Paths'!I9/1000000*(1-INDEX('Borrowers'!$T$9:$T$108,MATCH(C325,'Borrowers'!$C$9:$C$108,0))),"Unavailable"))</x:f>
        <x:v>0.7821319999999999</x:v>
      </x:c>
      <x:c r="J325" s="23" t="n">
        <x:f>IF(C325="","",IFERROR(INDEX('Borrowers'!$I$9:$I$108,MATCH(C325,'Borrowers'!$C$9:$C$108,0))*INDEX('Borrowers'!$S$9:$S$108,MATCH(C325,'Borrowers'!$C$9:$C$108,0))*'Scenario Paths'!I15*(1-INDEX('Borrowers'!$T$9:$T$108,MATCH(C325,'Borrowers'!$C$9:$C$108,0))),"Unavailable"))</x:f>
        <x:v>1.9565000000000001</x:v>
      </x:c>
      <x:c r="K325" s="23" t="n">
        <x:f>IF(C325="","",IFERROR(INDEX('Borrowers'!$I$9:$I$108,MATCH(C325,'Borrowers'!$C$9:$C$108,0))*INDEX('Borrowers'!$U$9:$U$108,MATCH(C325,'Borrowers'!$C$9:$C$108,0))*'Scenario Paths'!I21*S325,"Unavailable"))</x:f>
        <x:v>0.1673216</x:v>
      </x:c>
      <x:c r="L325" s="23" t="n">
        <x:f>IF(C325="","",IFERROR(SUMPRODUCT((Sites!$D$9:$D$108=C325)*Sites!$H$9:$H$108*Sites!$J$9:$J$108*Sites!$K$9:$K$108*(1-Sites!$L$9:$L$108)*(1-Sites!$M$9:$M$108))*'Scenario Paths'!I27,"Unavailable"))</x:f>
        <x:v>0.219648</x:v>
      </x:c>
      <x:c r="M325" s="23" t="n">
        <x:f>IF(C325="","",IFERROR(INDEX('Borrowers'!$J$9:$J$108,MATCH(C325,'Borrowers'!$C$9:$C$108,0))+H325-SUM(I325:L325),"Unavailable"))</x:f>
        <x:v>28.952798400000002</x:v>
      </x:c>
      <x:c r="N325" s="23" t="n">
        <x:f>IF(C325="","",IFERROR(INDEX('Borrowers'!$I$9:$I$108,MATCH(C325,'Borrowers'!$C$9:$C$108,0))*'Scenario Paths'!I33,"Unavailable"))</x:f>
        <x:v>6.0200000000000005</x:v>
      </x:c>
      <x:c r="O325" s="23" t="n">
        <x:f>IF(C325="","",IFERROR(M325-INDEX('Borrowers'!$K$9:$K$108,MATCH(C325,'Borrowers'!$C$9:$C$108,0))-N325,"Unavailable"))</x:f>
        <x:v>18.5327984</x:v>
      </x:c>
      <x:c r="P325" s="127" t="n">
        <x:f>IF(C325="","",IFERROR(O325/INDEX('Borrowers'!$L$9:$L$108,MATCH(C325,'Borrowers'!$C$9:$C$108,0)),"Unavailable"))</x:f>
        <x:v>1.8911018775510204</x:v>
      </x:c>
      <x:c r="Q325" s="30" t="n">
        <x:f>IF(C325="","",IFERROR(IF(INDEX('Borrowers'!$Z$9:$Z$108,MATCH(C325,'Borrowers'!$C$9:$C$108,0))="Yes",1,IF(INDEX('Borrowers'!$P$9:$P$108,MATCH(C325,'Borrowers'!$C$9:$C$108,0))=0,0,MIN(1,INDEX('Borrowers'!$P$9:$P$108,MATCH(C325,'Borrowers'!$C$9:$C$108,0))*EXP(MIN(20,INDEX('Borrowers'!$V$9:$V$108,MATCH(C325,'Borrowers'!$C$9:$C$108,0))*V325))))),"Unavailable"))</x:f>
        <x:v>0.06976618237826995</x:v>
      </x:c>
      <x:c r="R325" s="30" t="n">
        <x:f>IF(C325="","",IFERROR(MIN(1,INDEX('Borrowers'!$Q$9:$Q$108,MATCH(C325,'Borrowers'!$C$9:$C$108,0))+(1-INDEX('Borrowers'!$Q$9:$Q$108,MATCH(C325,'Borrowers'!$C$9:$C$108,0)))*T325),"Unavailable"))</x:f>
        <x:v>0.3226112</x:v>
      </x:c>
      <x:c r="S325" s="30" t="n">
        <x:f>IF(C325="","",IFERROR(SUMPRODUCT((Sites!$D$9:$D$108=C325)*Sites!$I$9:$I$108*Sites!$J$9:$J$108*Sites!$K$9:$K$108*(1-Sites!$L$9:$L$108)),"Unavailable"))</x:f>
        <x:v>0.128</x:v>
      </x:c>
      <x:c r="T325" s="30" t="n">
        <x:f>IF(C325="","",IFERROR(MIN(1,(SUMPRODUCT((Sites!$D$9:$D$108=C325)*Sites!$N$9:$N$108*Sites!$J$9:$J$108*Sites!$K$9:$K$108*(1-Sites!$L$9:$L$108)))*'Scenario Paths'!I27),"Unavailable"))</x:f>
        <x:v>0.00384</x:v>
      </x:c>
      <x:c r="U325" s="9" t="str">
        <x:f>IF(C325="","",IF(OR(INDEX('Borrowers'!$AA$9:$AA$108,MATCH(C325,'Borrowers'!$C$9:$C$108,0))&lt;&gt;"Ready",COUNTIF(Sites!$D$9:$D$108,C325)=0,COUNTIFS(Sites!$D$9:$D$108,C325,Sites!$Q$9:$Q$108,"&lt;&gt;Ready")&gt;0,'Scenario Paths'!$F$6&lt;&gt;"Ready"),"Review source inputs","Ready"))</x:f>
        <x:v>Ready</x:v>
      </x:c>
      <x:c r="V325" s="17" t="n">
        <x:f>IF(C325="","",IFERROR(MAX(-1,(G325-O325)/MAX(0.000001,G325)),"Unavailable"))</x:f>
        <x:v>0.41351903797468353</x:v>
      </x:c>
      <x:c r="W325" s="9" t="str">
        <x:f>IF(C325="","",IFERROR(INDEX('Borrowers'!$D$9:$D$108,MATCH(C325,'Borrowers'!$C$9:$C$108,0)),"Unavailable"))</x:f>
        <x:v>Demo Marina Properties</x:v>
      </x:c>
    </x:row>
    <x:row r="326" ht="26" customHeight="1">
      <x:c r="A326" s="1"/>
      <x:c r="B326" s="1"/>
      <x:c r="C326" s="9" t="str">
        <x:f>IF(Borrowers!C26="","",Borrowers!C26)</x:f>
        <x:v>B018</x:v>
      </x:c>
      <x:c r="D326" s="3" t="n">
        <x:v>4</x:v>
      </x:c>
      <x:c r="E326" s="9" t="n">
        <x:f>Settings!$F$18+3</x:f>
        <x:v>2030</x:v>
      </x:c>
      <x:c r="F326" s="9" t="str">
        <x:f>IF(C326="","",INDEX('Borrowers'!$F$9:$F$108,MATCH(C326,'Borrowers'!$C$9:$C$108,0)))</x:f>
        <x:v>Hospitality</x:v>
      </x:c>
      <x:c r="G326" s="23" t="n">
        <x:f>IF(C326="","",IFERROR(INDEX('Borrowers'!$J$9:$J$108,MATCH(C326,'Borrowers'!$C$9:$C$108,0))-INDEX('Borrowers'!$K$9:$K$108,MATCH(C326,'Borrowers'!$C$9:$C$108,0)),"Unavailable"))</x:f>
        <x:v>32.95</x:v>
      </x:c>
      <x:c r="H326" s="23" t="n">
        <x:f>IF(C326="","",IFERROR(INDEX('Borrowers'!$I$9:$I$108,MATCH(C326,'Borrowers'!$C$9:$C$108,0))*INDEX('Borrowers'!$U$9:$U$108,MATCH(C326,'Borrowers'!$C$9:$C$108,0))*(IF(F326="Transport",'Scenario Paths'!I156,IF(F326="Technology",'Scenario Paths'!I150,IF(F326="Utilities",'Scenario Paths'!I144,IF(F326="Agriculture",'Scenario Paths'!I138,IF(F326="Manufacturing",'Scenario Paths'!I132,IF(F326="Healthcare",'Scenario Paths'!I126,IF(F326="Hospitality",'Scenario Paths'!I120,IF(F326="Property",'Scenario Paths'!I114,IF(F326="Food",'Scenario Paths'!I108,IF(F326="Logistics",'Scenario Paths'!I102,IF(F326="Solar",'Scenario Paths'!I96,IF(F326="Cement",'Scenario Paths'!I90,0))))))))))))),"Unavailable"))</x:f>
        <x:v>-4.7256</x:v>
      </x:c>
      <x:c r="I326" s="23" t="n">
        <x:f>IF(C326="","",IFERROR(INDEX('Borrowers'!$R$9:$R$108,MATCH(C326,'Borrowers'!$C$9:$C$108,0))*(1-INDEX('Borrowers'!$W$9:$W$108,MATCH(C326,'Borrowers'!$C$9:$C$108,0))*'Scenario Paths'!I39)*'Scenario Paths'!I9/1000000*(1-INDEX('Borrowers'!$T$9:$T$108,MATCH(C326,'Borrowers'!$C$9:$C$108,0))),"Unavailable"))</x:f>
        <x:v>0.687258</x:v>
      </x:c>
      <x:c r="J326" s="23" t="n">
        <x:f>IF(C326="","",IFERROR(INDEX('Borrowers'!$I$9:$I$108,MATCH(C326,'Borrowers'!$C$9:$C$108,0))*INDEX('Borrowers'!$S$9:$S$108,MATCH(C326,'Borrowers'!$C$9:$C$108,0))*'Scenario Paths'!I15*(1-INDEX('Borrowers'!$T$9:$T$108,MATCH(C326,'Borrowers'!$C$9:$C$108,0))),"Unavailable"))</x:f>
        <x:v>2.2151250000000005</x:v>
      </x:c>
      <x:c r="K326" s="23" t="n">
        <x:f>IF(C326="","",IFERROR(INDEX('Borrowers'!$I$9:$I$108,MATCH(C326,'Borrowers'!$C$9:$C$108,0))*INDEX('Borrowers'!$U$9:$U$108,MATCH(C326,'Borrowers'!$C$9:$C$108,0))*'Scenario Paths'!I21*S326,"Unavailable"))</x:f>
        <x:v>0.36040576</x:v>
      </x:c>
      <x:c r="L326" s="23" t="n">
        <x:f>IF(C326="","",IFERROR(SUMPRODUCT((Sites!$D$9:$D$108=C326)*Sites!$H$9:$H$108*Sites!$J$9:$J$108*Sites!$K$9:$K$108*(1-Sites!$L$9:$L$108)*(1-Sites!$M$9:$M$108))*'Scenario Paths'!I27,"Unavailable"))</x:f>
        <x:v>0.4077216</x:v>
      </x:c>
      <x:c r="M326" s="23" t="n">
        <x:f>IF(C326="","",IFERROR(INDEX('Borrowers'!$J$9:$J$108,MATCH(C326,'Borrowers'!$C$9:$C$108,0))+H326-SUM(I326:L326),"Unavailable"))</x:f>
        <x:v>29.10388964</x:v>
      </x:c>
      <x:c r="N326" s="23" t="n">
        <x:f>IF(C326="","",IFERROR(INDEX('Borrowers'!$I$9:$I$108,MATCH(C326,'Borrowers'!$C$9:$C$108,0))*'Scenario Paths'!I33,"Unavailable"))</x:f>
        <x:v>6.265000000000001</x:v>
      </x:c>
      <x:c r="O326" s="23" t="n">
        <x:f>IF(C326="","",IFERROR(M326-INDEX('Borrowers'!$K$9:$K$108,MATCH(C326,'Borrowers'!$C$9:$C$108,0))-N326,"Unavailable"))</x:f>
        <x:v>18.288889639999997</x:v>
      </x:c>
      <x:c r="P326" s="127" t="n">
        <x:f>IF(C326="","",IFERROR(O326/INDEX('Borrowers'!$L$9:$L$108,MATCH(C326,'Borrowers'!$C$9:$C$108,0)),"Unavailable"))</x:f>
        <x:v>1.8107811524752473</x:v>
      </x:c>
      <x:c r="Q326" s="30" t="n">
        <x:f>IF(C326="","",IFERROR(IF(INDEX('Borrowers'!$Z$9:$Z$108,MATCH(C326,'Borrowers'!$C$9:$C$108,0))="Yes",1,IF(INDEX('Borrowers'!$P$9:$P$108,MATCH(C326,'Borrowers'!$C$9:$C$108,0))=0,0,MIN(1,INDEX('Borrowers'!$P$9:$P$108,MATCH(C326,'Borrowers'!$C$9:$C$108,0))*EXP(MIN(20,INDEX('Borrowers'!$V$9:$V$108,MATCH(C326,'Borrowers'!$C$9:$C$108,0))*V326))))),"Unavailable"))</x:f>
        <x:v>0.08559184414706071</x:v>
      </x:c>
      <x:c r="R326" s="30" t="n">
        <x:f>IF(C326="","",IFERROR(MIN(1,INDEX('Borrowers'!$Q$9:$Q$108,MATCH(C326,'Borrowers'!$C$9:$C$108,0))+(1-INDEX('Borrowers'!$Q$9:$Q$108,MATCH(C326,'Borrowers'!$C$9:$C$108,0)))*T326),"Unavailable"))</x:f>
        <x:v>0.36439296000000004</x:v>
      </x:c>
      <x:c r="S326" s="30" t="n">
        <x:f>IF(C326="","",IFERROR(SUMPRODUCT((Sites!$D$9:$D$108=C326)*Sites!$I$9:$I$108*Sites!$J$9:$J$108*Sites!$K$9:$K$108*(1-Sites!$L$9:$L$108)),"Unavailable"))</x:f>
        <x:v>0.2288</x:v>
      </x:c>
      <x:c r="T326" s="30" t="n">
        <x:f>IF(C326="","",IFERROR(MIN(1,(SUMPRODUCT((Sites!$D$9:$D$108=C326)*Sites!$N$9:$N$108*Sites!$J$9:$J$108*Sites!$K$9:$K$108*(1-Sites!$L$9:$L$108)))*'Scenario Paths'!I27),"Unavailable"))</x:f>
        <x:v>0.0068639999999999994</x:v>
      </x:c>
      <x:c r="U326" s="9" t="str">
        <x:f>IF(C326="","",IF(OR(INDEX('Borrowers'!$AA$9:$AA$108,MATCH(C326,'Borrowers'!$C$9:$C$108,0))&lt;&gt;"Ready",COUNTIF(Sites!$D$9:$D$108,C326)=0,COUNTIFS(Sites!$D$9:$D$108,C326,Sites!$Q$9:$Q$108,"&lt;&gt;Ready")&gt;0,'Scenario Paths'!$F$6&lt;&gt;"Ready"),"Review source inputs","Ready"))</x:f>
        <x:v>Ready</x:v>
      </x:c>
      <x:c r="V326" s="17" t="n">
        <x:f>IF(C326="","",IFERROR(MAX(-1,(G326-O326)/MAX(0.000001,G326)),"Unavailable"))</x:f>
        <x:v>0.4449502385432475</x:v>
      </x:c>
      <x:c r="W326" s="9" t="str">
        <x:f>IF(C326="","",IFERROR(INDEX('Borrowers'!$D$9:$D$108,MATCH(C326,'Borrowers'!$C$9:$C$108,0)),"Unavailable"))</x:f>
        <x:v>Demo Gulf Hospitality</x:v>
      </x:c>
    </x:row>
    <x:row r="327" ht="26" customHeight="1">
      <x:c r="A327" s="1"/>
      <x:c r="B327" s="1"/>
      <x:c r="C327" s="9" t="str">
        <x:f>IF(Borrowers!C27="","",Borrowers!C27)</x:f>
        <x:v>B019</x:v>
      </x:c>
      <x:c r="D327" s="3" t="n">
        <x:v>4</x:v>
      </x:c>
      <x:c r="E327" s="9" t="n">
        <x:f>Settings!$F$18+3</x:f>
        <x:v>2030</x:v>
      </x:c>
      <x:c r="F327" s="9" t="str">
        <x:f>IF(C327="","",INDEX('Borrowers'!$F$9:$F$108,MATCH(C327,'Borrowers'!$C$9:$C$108,0)))</x:f>
        <x:v>Manufacturing</x:v>
      </x:c>
      <x:c r="G327" s="23" t="n">
        <x:f>IF(C327="","",IFERROR(INDEX('Borrowers'!$J$9:$J$108,MATCH(C327,'Borrowers'!$C$9:$C$108,0))-INDEX('Borrowers'!$K$9:$K$108,MATCH(C327,'Borrowers'!$C$9:$C$108,0)),"Unavailable"))</x:f>
        <x:v>34.3</x:v>
      </x:c>
      <x:c r="H327" s="23" t="n">
        <x:f>IF(C327="","",IFERROR(INDEX('Borrowers'!$I$9:$I$108,MATCH(C327,'Borrowers'!$C$9:$C$108,0))*INDEX('Borrowers'!$U$9:$U$108,MATCH(C327,'Borrowers'!$C$9:$C$108,0))*(IF(F327="Transport",'Scenario Paths'!I156,IF(F327="Technology",'Scenario Paths'!I150,IF(F327="Utilities",'Scenario Paths'!I144,IF(F327="Agriculture",'Scenario Paths'!I138,IF(F327="Manufacturing",'Scenario Paths'!I132,IF(F327="Healthcare",'Scenario Paths'!I126,IF(F327="Hospitality",'Scenario Paths'!I120,IF(F327="Property",'Scenario Paths'!I114,IF(F327="Food",'Scenario Paths'!I108,IF(F327="Logistics",'Scenario Paths'!I102,IF(F327="Solar",'Scenario Paths'!I96,IF(F327="Cement",'Scenario Paths'!I90,0))))))))))))),"Unavailable"))</x:f>
        <x:v>-3.5712</x:v>
      </x:c>
      <x:c r="I327" s="23" t="n">
        <x:f>IF(C327="","",IFERROR(INDEX('Borrowers'!$R$9:$R$108,MATCH(C327,'Borrowers'!$C$9:$C$108,0))*(1-INDEX('Borrowers'!$W$9:$W$108,MATCH(C327,'Borrowers'!$C$9:$C$108,0))*'Scenario Paths'!I39)*'Scenario Paths'!I9/1000000*(1-INDEX('Borrowers'!$T$9:$T$108,MATCH(C327,'Borrowers'!$C$9:$C$108,0))),"Unavailable"))</x:f>
        <x:v>0.583128</x:v>
      </x:c>
      <x:c r="J327" s="23" t="n">
        <x:f>IF(C327="","",IFERROR(INDEX('Borrowers'!$I$9:$I$108,MATCH(C327,'Borrowers'!$C$9:$C$108,0))*INDEX('Borrowers'!$S$9:$S$108,MATCH(C327,'Borrowers'!$C$9:$C$108,0))*'Scenario Paths'!I15*(1-INDEX('Borrowers'!$T$9:$T$108,MATCH(C327,'Borrowers'!$C$9:$C$108,0))),"Unavailable"))</x:f>
        <x:v>2.30175</x:v>
      </x:c>
      <x:c r="K327" s="23" t="n">
        <x:f>IF(C327="","",IFERROR(INDEX('Borrowers'!$I$9:$I$108,MATCH(C327,'Borrowers'!$C$9:$C$108,0))*INDEX('Borrowers'!$U$9:$U$108,MATCH(C327,'Borrowers'!$C$9:$C$108,0))*'Scenario Paths'!I21*S327,"Unavailable"))</x:f>
        <x:v>0.18665472000000002</x:v>
      </x:c>
      <x:c r="L327" s="23" t="n">
        <x:f>IF(C327="","",IFERROR(SUMPRODUCT((Sites!$D$9:$D$108=C327)*Sites!$H$9:$H$108*Sites!$J$9:$J$108*Sites!$K$9:$K$108*(1-Sites!$L$9:$L$108)*(1-Sites!$M$9:$M$108))*'Scenario Paths'!I27,"Unavailable"))</x:f>
        <x:v>0.28976640000000004</x:v>
      </x:c>
      <x:c r="M327" s="23" t="n">
        <x:f>IF(C327="","",IFERROR(INDEX('Borrowers'!$J$9:$J$108,MATCH(C327,'Borrowers'!$C$9:$C$108,0))+H327-SUM(I327:L327),"Unavailable"))</x:f>
        <x:v>32.067500880000004</x:v>
      </x:c>
      <x:c r="N327" s="23" t="n">
        <x:f>IF(C327="","",IFERROR(INDEX('Borrowers'!$I$9:$I$108,MATCH(C327,'Borrowers'!$C$9:$C$108,0))*'Scenario Paths'!I33,"Unavailable"))</x:f>
        <x:v>6.510000000000001</x:v>
      </x:c>
      <x:c r="O327" s="23" t="n">
        <x:f>IF(C327="","",IFERROR(M327-INDEX('Borrowers'!$K$9:$K$108,MATCH(C327,'Borrowers'!$C$9:$C$108,0))-N327,"Unavailable"))</x:f>
        <x:v>20.857500880000003</x:v>
      </x:c>
      <x:c r="P327" s="127" t="n">
        <x:f>IF(C327="","",IFERROR(O327/INDEX('Borrowers'!$L$9:$L$108,MATCH(C327,'Borrowers'!$C$9:$C$108,0)),"Unavailable"))</x:f>
        <x:v>2.0055289307692314</x:v>
      </x:c>
      <x:c r="Q327" s="30" t="n">
        <x:f>IF(C327="","",IFERROR(IF(INDEX('Borrowers'!$Z$9:$Z$108,MATCH(C327,'Borrowers'!$C$9:$C$108,0))="Yes",1,IF(INDEX('Borrowers'!$P$9:$P$108,MATCH(C327,'Borrowers'!$C$9:$C$108,0))=0,0,MIN(1,INDEX('Borrowers'!$P$9:$P$108,MATCH(C327,'Borrowers'!$C$9:$C$108,0))*EXP(MIN(20,INDEX('Borrowers'!$V$9:$V$108,MATCH(C327,'Borrowers'!$C$9:$C$108,0))*V327))))),"Unavailable"))</x:f>
        <x:v>0.022465077724593576</x:v>
      </x:c>
      <x:c r="R327" s="30" t="n">
        <x:f>IF(C327="","",IFERROR(MIN(1,INDEX('Borrowers'!$Q$9:$Q$108,MATCH(C327,'Borrowers'!$C$9:$C$108,0))+(1-INDEX('Borrowers'!$Q$9:$Q$108,MATCH(C327,'Borrowers'!$C$9:$C$108,0)))*T327),"Unavailable"))</x:f>
        <x:v>0.4028224</x:v>
      </x:c>
      <x:c r="S327" s="30" t="n">
        <x:f>IF(C327="","",IFERROR(SUMPRODUCT((Sites!$D$9:$D$108=C327)*Sites!$I$9:$I$108*Sites!$J$9:$J$108*Sites!$K$9:$K$108*(1-Sites!$L$9:$L$108)),"Unavailable"))</x:f>
        <x:v>0.1568</x:v>
      </x:c>
      <x:c r="T327" s="30" t="n">
        <x:f>IF(C327="","",IFERROR(MIN(1,(SUMPRODUCT((Sites!$D$9:$D$108=C327)*Sites!$N$9:$N$108*Sites!$J$9:$J$108*Sites!$K$9:$K$108*(1-Sites!$L$9:$L$108)))*'Scenario Paths'!I27),"Unavailable"))</x:f>
        <x:v>0.004704</x:v>
      </x:c>
      <x:c r="U327" s="9" t="str">
        <x:f>IF(C327="","",IF(OR(INDEX('Borrowers'!$AA$9:$AA$108,MATCH(C327,'Borrowers'!$C$9:$C$108,0))&lt;&gt;"Ready",COUNTIF(Sites!$D$9:$D$108,C327)=0,COUNTIFS(Sites!$D$9:$D$108,C327,Sites!$Q$9:$Q$108,"&lt;&gt;Ready")&gt;0,'Scenario Paths'!$F$6&lt;&gt;"Ready"),"Review source inputs","Ready"))</x:f>
        <x:v>Ready</x:v>
      </x:c>
      <x:c r="V327" s="17" t="n">
        <x:f>IF(C327="","",IFERROR(MAX(-1,(G327-O327)/MAX(0.000001,G327)),"Unavailable"))</x:f>
        <x:v>0.3919095953352768</x:v>
      </x:c>
      <x:c r="W327" s="9" t="str">
        <x:f>IF(C327="","",IFERROR(INDEX('Borrowers'!$D$9:$D$108,MATCH(C327,'Borrowers'!$C$9:$C$108,0)),"Unavailable"))</x:f>
        <x:v>Demo Nile Textiles</x:v>
      </x:c>
    </x:row>
    <x:row r="328" ht="26" customHeight="1">
      <x:c r="A328" s="1"/>
      <x:c r="B328" s="1"/>
      <x:c r="C328" s="9" t="str">
        <x:f>IF(Borrowers!C28="","",Borrowers!C28)</x:f>
        <x:v>B020</x:v>
      </x:c>
      <x:c r="D328" s="3" t="n">
        <x:v>4</x:v>
      </x:c>
      <x:c r="E328" s="9" t="n">
        <x:f>Settings!$F$18+3</x:f>
        <x:v>2030</x:v>
      </x:c>
      <x:c r="F328" s="9" t="str">
        <x:f>IF(C328="","",INDEX('Borrowers'!$F$9:$F$108,MATCH(C328,'Borrowers'!$C$9:$C$108,0)))</x:f>
        <x:v>Agriculture</x:v>
      </x:c>
      <x:c r="G328" s="23" t="n">
        <x:f>IF(C328="","",IFERROR(INDEX('Borrowers'!$J$9:$J$108,MATCH(C328,'Borrowers'!$C$9:$C$108,0))-INDEX('Borrowers'!$K$9:$K$108,MATCH(C328,'Borrowers'!$C$9:$C$108,0)),"Unavailable"))</x:f>
        <x:v>35.65</x:v>
      </x:c>
      <x:c r="H328" s="23" t="n">
        <x:f>IF(C328="","",IFERROR(INDEX('Borrowers'!$I$9:$I$108,MATCH(C328,'Borrowers'!$C$9:$C$108,0))*INDEX('Borrowers'!$U$9:$U$108,MATCH(C328,'Borrowers'!$C$9:$C$108,0))*(IF(F328="Transport",'Scenario Paths'!I156,IF(F328="Technology",'Scenario Paths'!I150,IF(F328="Utilities",'Scenario Paths'!I144,IF(F328="Agriculture",'Scenario Paths'!I138,IF(F328="Manufacturing",'Scenario Paths'!I132,IF(F328="Healthcare",'Scenario Paths'!I126,IF(F328="Hospitality",'Scenario Paths'!I120,IF(F328="Property",'Scenario Paths'!I114,IF(F328="Food",'Scenario Paths'!I108,IF(F328="Logistics",'Scenario Paths'!I102,IF(F328="Solar",'Scenario Paths'!I96,IF(F328="Cement",'Scenario Paths'!I90,0))))))))))))),"Unavailable"))</x:f>
        <x:v>-4.4004</x:v>
      </x:c>
      <x:c r="I328" s="23" t="n">
        <x:f>IF(C328="","",IFERROR(INDEX('Borrowers'!$R$9:$R$108,MATCH(C328,'Borrowers'!$C$9:$C$108,0))*(1-INDEX('Borrowers'!$W$9:$W$108,MATCH(C328,'Borrowers'!$C$9:$C$108,0))*'Scenario Paths'!I39)*'Scenario Paths'!I9/1000000*(1-INDEX('Borrowers'!$T$9:$T$108,MATCH(C328,'Borrowers'!$C$9:$C$108,0))),"Unavailable"))</x:f>
        <x:v>0.46974199999999994</x:v>
      </x:c>
      <x:c r="J328" s="23" t="n">
        <x:f>IF(C328="","",IFERROR(INDEX('Borrowers'!$I$9:$I$108,MATCH(C328,'Borrowers'!$C$9:$C$108,0))*INDEX('Borrowers'!$S$9:$S$108,MATCH(C328,'Borrowers'!$C$9:$C$108,0))*'Scenario Paths'!I15*(1-INDEX('Borrowers'!$T$9:$T$108,MATCH(C328,'Borrowers'!$C$9:$C$108,0))),"Unavailable"))</x:f>
        <x:v>2.195375</x:v>
      </x:c>
      <x:c r="K328" s="23" t="n">
        <x:f>IF(C328="","",IFERROR(INDEX('Borrowers'!$I$9:$I$108,MATCH(C328,'Borrowers'!$C$9:$C$108,0))*INDEX('Borrowers'!$U$9:$U$108,MATCH(C328,'Borrowers'!$C$9:$C$108,0))*'Scenario Paths'!I21*S328,"Unavailable"))</x:f>
        <x:v>0.39896960000000004</x:v>
      </x:c>
      <x:c r="L328" s="23" t="n">
        <x:f>IF(C328="","",IFERROR(SUMPRODUCT((Sites!$D$9:$D$108=C328)*Sites!$H$9:$H$108*Sites!$J$9:$J$108*Sites!$K$9:$K$108*(1-Sites!$L$9:$L$108)*(1-Sites!$M$9:$M$108))*'Scenario Paths'!I27,"Unavailable"))</x:f>
        <x:v>0.520608</x:v>
      </x:c>
      <x:c r="M328" s="23" t="n">
        <x:f>IF(C328="","",IFERROR(INDEX('Borrowers'!$J$9:$J$108,MATCH(C328,'Borrowers'!$C$9:$C$108,0))+H328-SUM(I328:L328),"Unavailable"))</x:f>
        <x:v>32.5149054</x:v>
      </x:c>
      <x:c r="N328" s="23" t="n">
        <x:f>IF(C328="","",IFERROR(INDEX('Borrowers'!$I$9:$I$108,MATCH(C328,'Borrowers'!$C$9:$C$108,0))*'Scenario Paths'!I33,"Unavailable"))</x:f>
        <x:v>6.755000000000001</x:v>
      </x:c>
      <x:c r="O328" s="23" t="n">
        <x:f>IF(C328="","",IFERROR(M328-INDEX('Borrowers'!$K$9:$K$108,MATCH(C328,'Borrowers'!$C$9:$C$108,0))-N328,"Unavailable"))</x:f>
        <x:v>20.9099054</x:v>
      </x:c>
      <x:c r="P328" s="127" t="n">
        <x:f>IF(C328="","",IFERROR(O328/INDEX('Borrowers'!$L$9:$L$108,MATCH(C328,'Borrowers'!$C$9:$C$108,0)),"Unavailable"))</x:f>
        <x:v>1.9541967663551403</x:v>
      </x:c>
      <x:c r="Q328" s="30" t="n">
        <x:f>IF(C328="","",IFERROR(IF(INDEX('Borrowers'!$Z$9:$Z$108,MATCH(C328,'Borrowers'!$C$9:$C$108,0))="Yes",1,IF(INDEX('Borrowers'!$P$9:$P$108,MATCH(C328,'Borrowers'!$C$9:$C$108,0))=0,0,MIN(1,INDEX('Borrowers'!$P$9:$P$108,MATCH(C328,'Borrowers'!$C$9:$C$108,0))*EXP(MIN(20,INDEX('Borrowers'!$V$9:$V$108,MATCH(C328,'Borrowers'!$C$9:$C$108,0))*V328))))),"Unavailable"))</x:f>
        <x:v>0.03488018073384901</x:v>
      </x:c>
      <x:c r="R328" s="30" t="n">
        <x:f>IF(C328="","",IFERROR(MIN(1,INDEX('Borrowers'!$Q$9:$Q$108,MATCH(C328,'Borrowers'!$C$9:$C$108,0))+(1-INDEX('Borrowers'!$Q$9:$Q$108,MATCH(C328,'Borrowers'!$C$9:$C$108,0)))*T328),"Unavailable"))</x:f>
        <x:v>0.44456960000000006</x:v>
      </x:c>
      <x:c r="S328" s="30" t="n">
        <x:f>IF(C328="","",IFERROR(SUMPRODUCT((Sites!$D$9:$D$108=C328)*Sites!$I$9:$I$108*Sites!$J$9:$J$108*Sites!$K$9:$K$108*(1-Sites!$L$9:$L$108)),"Unavailable"))</x:f>
        <x:v>0.272</x:v>
      </x:c>
      <x:c r="T328" s="30" t="n">
        <x:f>IF(C328="","",IFERROR(MIN(1,(SUMPRODUCT((Sites!$D$9:$D$108=C328)*Sites!$N$9:$N$108*Sites!$J$9:$J$108*Sites!$K$9:$K$108*(1-Sites!$L$9:$L$108)))*'Scenario Paths'!I27),"Unavailable"))</x:f>
        <x:v>0.00816</x:v>
      </x:c>
      <x:c r="U328" s="9" t="str">
        <x:f>IF(C328="","",IF(OR(INDEX('Borrowers'!$AA$9:$AA$108,MATCH(C328,'Borrowers'!$C$9:$C$108,0))&lt;&gt;"Ready",COUNTIF(Sites!$D$9:$D$108,C328)=0,COUNTIFS(Sites!$D$9:$D$108,C328,Sites!$Q$9:$Q$108,"&lt;&gt;Ready")&gt;0,'Scenario Paths'!$F$6&lt;&gt;"Ready"),"Review source inputs","Ready"))</x:f>
        <x:v>Ready</x:v>
      </x:c>
      <x:c r="V328" s="17" t="n">
        <x:f>IF(C328="","",IFERROR(MAX(-1,(G328-O328)/MAX(0.000001,G328)),"Unavailable"))</x:f>
        <x:v>0.413466889200561</x:v>
      </x:c>
      <x:c r="W328" s="9" t="str">
        <x:f>IF(C328="","",IFERROR(INDEX('Borrowers'!$D$9:$D$108,MATCH(C328,'Borrowers'!$C$9:$C$108,0)),"Unavailable"))</x:f>
        <x:v>Demo Delta Agriculture</x:v>
      </x:c>
    </x:row>
    <x:row r="329" ht="26" customHeight="1">
      <x:c r="A329" s="1"/>
      <x:c r="B329" s="1"/>
      <x:c r="C329" s="9" t="str">
        <x:f>IF(Borrowers!C29="","",Borrowers!C29)</x:f>
        <x:v>B021</x:v>
      </x:c>
      <x:c r="D329" s="3" t="n">
        <x:v>4</x:v>
      </x:c>
      <x:c r="E329" s="9" t="n">
        <x:f>Settings!$F$18+3</x:f>
        <x:v>2030</x:v>
      </x:c>
      <x:c r="F329" s="9" t="str">
        <x:f>IF(C329="","",INDEX('Borrowers'!$F$9:$F$108,MATCH(C329,'Borrowers'!$C$9:$C$108,0)))</x:f>
        <x:v>Utilities</x:v>
      </x:c>
      <x:c r="G329" s="23" t="n">
        <x:f>IF(C329="","",IFERROR(INDEX('Borrowers'!$J$9:$J$108,MATCH(C329,'Borrowers'!$C$9:$C$108,0))-INDEX('Borrowers'!$K$9:$K$108,MATCH(C329,'Borrowers'!$C$9:$C$108,0)),"Unavailable"))</x:f>
        <x:v>37</x:v>
      </x:c>
      <x:c r="H329" s="23" t="n">
        <x:f>IF(C329="","",IFERROR(INDEX('Borrowers'!$I$9:$I$108,MATCH(C329,'Borrowers'!$C$9:$C$108,0))*INDEX('Borrowers'!$U$9:$U$108,MATCH(C329,'Borrowers'!$C$9:$C$108,0))*(IF(F329="Transport",'Scenario Paths'!I156,IF(F329="Technology",'Scenario Paths'!I150,IF(F329="Utilities",'Scenario Paths'!I144,IF(F329="Agriculture",'Scenario Paths'!I138,IF(F329="Manufacturing",'Scenario Paths'!I132,IF(F329="Healthcare",'Scenario Paths'!I126,IF(F329="Hospitality",'Scenario Paths'!I120,IF(F329="Property",'Scenario Paths'!I114,IF(F329="Food",'Scenario Paths'!I108,IF(F329="Logistics",'Scenario Paths'!I102,IF(F329="Solar",'Scenario Paths'!I96,IF(F329="Cement",'Scenario Paths'!I90,0))))))))))))),"Unavailable"))</x:f>
        <x:v>-5.279999999999999</x:v>
      </x:c>
      <x:c r="I329" s="23" t="n">
        <x:f>IF(C329="","",IFERROR(INDEX('Borrowers'!$R$9:$R$108,MATCH(C329,'Borrowers'!$C$9:$C$108,0))*(1-INDEX('Borrowers'!$W$9:$W$108,MATCH(C329,'Borrowers'!$C$9:$C$108,0))*'Scenario Paths'!I39)*'Scenario Paths'!I9/1000000*(1-INDEX('Borrowers'!$T$9:$T$108,MATCH(C329,'Borrowers'!$C$9:$C$108,0))),"Unavailable"))</x:f>
        <x:v>0.90246</x:v>
      </x:c>
      <x:c r="J329" s="23" t="n">
        <x:f>IF(C329="","",IFERROR(INDEX('Borrowers'!$I$9:$I$108,MATCH(C329,'Borrowers'!$C$9:$C$108,0))*INDEX('Borrowers'!$S$9:$S$108,MATCH(C329,'Borrowers'!$C$9:$C$108,0))*'Scenario Paths'!I15*(1-INDEX('Borrowers'!$T$9:$T$108,MATCH(C329,'Borrowers'!$C$9:$C$108,0))),"Unavailable"))</x:f>
        <x:v>2.2750000000000004</x:v>
      </x:c>
      <x:c r="K329" s="23" t="n">
        <x:f>IF(C329="","",IFERROR(INDEX('Borrowers'!$I$9:$I$108,MATCH(C329,'Borrowers'!$C$9:$C$108,0))*INDEX('Borrowers'!$U$9:$U$108,MATCH(C329,'Borrowers'!$C$9:$C$108,0))*'Scenario Paths'!I21*S329,"Unavailable"))</x:f>
        <x:v>0.18303999999999998</x:v>
      </x:c>
      <x:c r="L329" s="23" t="n">
        <x:f>IF(C329="","",IFERROR(SUMPRODUCT((Sites!$D$9:$D$108=C329)*Sites!$H$9:$H$108*Sites!$J$9:$J$108*Sites!$K$9:$K$108*(1-Sites!$L$9:$L$108)*(1-Sites!$M$9:$M$108))*'Scenario Paths'!I27,"Unavailable"))</x:f>
        <x:v>0.20592</x:v>
      </x:c>
      <x:c r="M329" s="23" t="n">
        <x:f>IF(C329="","",IFERROR(INDEX('Borrowers'!$J$9:$J$108,MATCH(C329,'Borrowers'!$C$9:$C$108,0))+H329-SUM(I329:L329),"Unavailable"))</x:f>
        <x:v>33.15358</x:v>
      </x:c>
      <x:c r="N329" s="23" t="n">
        <x:f>IF(C329="","",IFERROR(INDEX('Borrowers'!$I$9:$I$108,MATCH(C329,'Borrowers'!$C$9:$C$108,0))*'Scenario Paths'!I33,"Unavailable"))</x:f>
        <x:v>7.000000000000001</x:v>
      </x:c>
      <x:c r="O329" s="23" t="n">
        <x:f>IF(C329="","",IFERROR(M329-INDEX('Borrowers'!$K$9:$K$108,MATCH(C329,'Borrowers'!$C$9:$C$108,0))-N329,"Unavailable"))</x:f>
        <x:v>21.153579999999998</x:v>
      </x:c>
      <x:c r="P329" s="127" t="n">
        <x:f>IF(C329="","",IFERROR(O329/INDEX('Borrowers'!$L$9:$L$108,MATCH(C329,'Borrowers'!$C$9:$C$108,0)),"Unavailable"))</x:f>
        <x:v>1.9230527272727271</x:v>
      </x:c>
      <x:c r="Q329" s="30" t="n">
        <x:f>IF(C329="","",IFERROR(IF(INDEX('Borrowers'!$Z$9:$Z$108,MATCH(C329,'Borrowers'!$C$9:$C$108,0))="Yes",1,IF(INDEX('Borrowers'!$P$9:$P$108,MATCH(C329,'Borrowers'!$C$9:$C$108,0))=0,0,MIN(1,INDEX('Borrowers'!$P$9:$P$108,MATCH(C329,'Borrowers'!$C$9:$C$108,0))*EXP(MIN(20,INDEX('Borrowers'!$V$9:$V$108,MATCH(C329,'Borrowers'!$C$9:$C$108,0))*V329))))),"Unavailable"))</x:f>
        <x:v>0.04762245648790473</x:v>
      </x:c>
      <x:c r="R329" s="30" t="n">
        <x:f>IF(C329="","",IFERROR(MIN(1,INDEX('Borrowers'!$Q$9:$Q$108,MATCH(C329,'Borrowers'!$C$9:$C$108,0))+(1-INDEX('Borrowers'!$Q$9:$Q$108,MATCH(C329,'Borrowers'!$C$9:$C$108,0)))*T329),"Unavailable"))</x:f>
        <x:v>0.2822464</x:v>
      </x:c>
      <x:c r="S329" s="30" t="n">
        <x:f>IF(C329="","",IFERROR(SUMPRODUCT((Sites!$D$9:$D$108=C329)*Sites!$I$9:$I$108*Sites!$J$9:$J$108*Sites!$K$9:$K$108*(1-Sites!$L$9:$L$108)),"Unavailable"))</x:f>
        <x:v>0.104</x:v>
      </x:c>
      <x:c r="T329" s="30" t="n">
        <x:f>IF(C329="","",IFERROR(MIN(1,(SUMPRODUCT((Sites!$D$9:$D$108=C329)*Sites!$N$9:$N$108*Sites!$J$9:$J$108*Sites!$K$9:$K$108*(1-Sites!$L$9:$L$108)))*'Scenario Paths'!I27),"Unavailable"))</x:f>
        <x:v>0.00312</x:v>
      </x:c>
      <x:c r="U329" s="9" t="str">
        <x:f>IF(C329="","",IF(OR(INDEX('Borrowers'!$AA$9:$AA$108,MATCH(C329,'Borrowers'!$C$9:$C$108,0))&lt;&gt;"Ready",COUNTIF(Sites!$D$9:$D$108,C329)=0,COUNTIFS(Sites!$D$9:$D$108,C329,Sites!$Q$9:$Q$108,"&lt;&gt;Ready")&gt;0,'Scenario Paths'!$F$6&lt;&gt;"Ready"),"Review source inputs","Ready"))</x:f>
        <x:v>Ready</x:v>
      </x:c>
      <x:c r="V329" s="17" t="n">
        <x:f>IF(C329="","",IFERROR(MAX(-1,(G329-O329)/MAX(0.000001,G329)),"Unavailable"))</x:f>
        <x:v>0.4282816216216217</x:v>
      </x:c>
      <x:c r="W329" s="9" t="str">
        <x:f>IF(C329="","",IFERROR(INDEX('Borrowers'!$D$9:$D$108,MATCH(C329,'Borrowers'!$C$9:$C$108,0)),"Unavailable"))</x:f>
        <x:v>Demo Sinai Utilities</x:v>
      </x:c>
    </x:row>
    <x:row r="330" ht="26" customHeight="1">
      <x:c r="A330" s="1"/>
      <x:c r="B330" s="1"/>
      <x:c r="C330" s="9" t="str">
        <x:f>IF(Borrowers!C30="","",Borrowers!C30)</x:f>
        <x:v>B022</x:v>
      </x:c>
      <x:c r="D330" s="3" t="n">
        <x:v>4</x:v>
      </x:c>
      <x:c r="E330" s="9" t="n">
        <x:f>Settings!$F$18+3</x:f>
        <x:v>2030</x:v>
      </x:c>
      <x:c r="F330" s="9" t="str">
        <x:f>IF(C330="","",INDEX('Borrowers'!$F$9:$F$108,MATCH(C330,'Borrowers'!$C$9:$C$108,0)))</x:f>
        <x:v>Manufacturing</x:v>
      </x:c>
      <x:c r="G330" s="23" t="n">
        <x:f>IF(C330="","",IFERROR(INDEX('Borrowers'!$J$9:$J$108,MATCH(C330,'Borrowers'!$C$9:$C$108,0))-INDEX('Borrowers'!$K$9:$K$108,MATCH(C330,'Borrowers'!$C$9:$C$108,0)),"Unavailable"))</x:f>
        <x:v>38.35</x:v>
      </x:c>
      <x:c r="H330" s="23" t="n">
        <x:f>IF(C330="","",IFERROR(INDEX('Borrowers'!$I$9:$I$108,MATCH(C330,'Borrowers'!$C$9:$C$108,0))*INDEX('Borrowers'!$U$9:$U$108,MATCH(C330,'Borrowers'!$C$9:$C$108,0))*(IF(F330="Transport",'Scenario Paths'!I156,IF(F330="Technology",'Scenario Paths'!I150,IF(F330="Utilities",'Scenario Paths'!I144,IF(F330="Agriculture",'Scenario Paths'!I138,IF(F330="Manufacturing",'Scenario Paths'!I132,IF(F330="Healthcare",'Scenario Paths'!I126,IF(F330="Hospitality",'Scenario Paths'!I120,IF(F330="Property",'Scenario Paths'!I114,IF(F330="Food",'Scenario Paths'!I108,IF(F330="Logistics",'Scenario Paths'!I102,IF(F330="Solar",'Scenario Paths'!I96,IF(F330="Cement",'Scenario Paths'!I90,0))))))))))))),"Unavailable"))</x:f>
        <x:v>-3.9743999999999997</x:v>
      </x:c>
      <x:c r="I330" s="23" t="n">
        <x:f>IF(C330="","",IFERROR(INDEX('Borrowers'!$R$9:$R$108,MATCH(C330,'Borrowers'!$C$9:$C$108,0))*(1-INDEX('Borrowers'!$W$9:$W$108,MATCH(C330,'Borrowers'!$C$9:$C$108,0))*'Scenario Paths'!I39)*'Scenario Paths'!I9/1000000*(1-INDEX('Borrowers'!$T$9:$T$108,MATCH(C330,'Borrowers'!$C$9:$C$108,0))),"Unavailable"))</x:f>
        <x:v>0.789074</x:v>
      </x:c>
      <x:c r="J330" s="23" t="n">
        <x:f>IF(C330="","",IFERROR(INDEX('Borrowers'!$I$9:$I$108,MATCH(C330,'Borrowers'!$C$9:$C$108,0))*INDEX('Borrowers'!$S$9:$S$108,MATCH(C330,'Borrowers'!$C$9:$C$108,0))*'Scenario Paths'!I15*(1-INDEX('Borrowers'!$T$9:$T$108,MATCH(C330,'Borrowers'!$C$9:$C$108,0))),"Unavailable"))</x:f>
        <x:v>2.5616250000000007</x:v>
      </x:c>
      <x:c r="K330" s="23" t="n">
        <x:f>IF(C330="","",IFERROR(INDEX('Borrowers'!$I$9:$I$108,MATCH(C330,'Borrowers'!$C$9:$C$108,0))*INDEX('Borrowers'!$U$9:$U$108,MATCH(C330,'Borrowers'!$C$9:$C$108,0))*'Scenario Paths'!I21*S330,"Unavailable"))</x:f>
        <x:v>0.11870208000000002</x:v>
      </x:c>
      <x:c r="L330" s="23" t="n">
        <x:f>IF(C330="","",IFERROR(SUMPRODUCT((Sites!$D$9:$D$108=C330)*Sites!$H$9:$H$108*Sites!$J$9:$J$108*Sites!$K$9:$K$108*(1-Sites!$L$9:$L$108)*(1-Sites!$M$9:$M$108))*'Scenario Paths'!I27,"Unavailable"))</x:f>
        <x:v>0.1833216</x:v>
      </x:c>
      <x:c r="M330" s="23" t="n">
        <x:f>IF(C330="","",IFERROR(INDEX('Borrowers'!$J$9:$J$108,MATCH(C330,'Borrowers'!$C$9:$C$108,0))+H330-SUM(I330:L330),"Unavailable"))</x:f>
        <x:v>35.87287731999999</x:v>
      </x:c>
      <x:c r="N330" s="23" t="n">
        <x:f>IF(C330="","",IFERROR(INDEX('Borrowers'!$I$9:$I$108,MATCH(C330,'Borrowers'!$C$9:$C$108,0))*'Scenario Paths'!I33,"Unavailable"))</x:f>
        <x:v>7.245000000000001</x:v>
      </x:c>
      <x:c r="O330" s="23" t="n">
        <x:f>IF(C330="","",IFERROR(M330-INDEX('Borrowers'!$K$9:$K$108,MATCH(C330,'Borrowers'!$C$9:$C$108,0))-N330,"Unavailable"))</x:f>
        <x:v>23.477877319999994</x:v>
      </x:c>
      <x:c r="P330" s="127" t="n">
        <x:f>IF(C330="","",IFERROR(O330/INDEX('Borrowers'!$L$9:$L$108,MATCH(C330,'Borrowers'!$C$9:$C$108,0)),"Unavailable"))</x:f>
        <x:v>2.077688258407079</x:v>
      </x:c>
      <x:c r="Q330" s="30" t="n">
        <x:f>IF(C330="","",IFERROR(IF(INDEX('Borrowers'!$Z$9:$Z$108,MATCH(C330,'Borrowers'!$C$9:$C$108,0))="Yes",1,IF(INDEX('Borrowers'!$P$9:$P$108,MATCH(C330,'Borrowers'!$C$9:$C$108,0))=0,0,MIN(1,INDEX('Borrowers'!$P$9:$P$108,MATCH(C330,'Borrowers'!$C$9:$C$108,0))*EXP(MIN(20,INDEX('Borrowers'!$V$9:$V$108,MATCH(C330,'Borrowers'!$C$9:$C$108,0))*V330))))),"Unavailable"))</x:f>
        <x:v>0.055794599205133966</x:v>
      </x:c>
      <x:c r="R330" s="30" t="n">
        <x:f>IF(C330="","",IFERROR(MIN(1,INDEX('Borrowers'!$Q$9:$Q$108,MATCH(C330,'Borrowers'!$C$9:$C$108,0))+(1-INDEX('Borrowers'!$Q$9:$Q$108,MATCH(C330,'Borrowers'!$C$9:$C$108,0)))*T330),"Unavailable"))</x:f>
        <x:v>0.32182784000000003</x:v>
      </x:c>
      <x:c r="S330" s="30" t="n">
        <x:f>IF(C330="","",IFERROR(SUMPRODUCT((Sites!$D$9:$D$108=C330)*Sites!$I$9:$I$108*Sites!$J$9:$J$108*Sites!$K$9:$K$108*(1-Sites!$L$9:$L$108)),"Unavailable"))</x:f>
        <x:v>0.08960000000000001</x:v>
      </x:c>
      <x:c r="T330" s="30" t="n">
        <x:f>IF(C330="","",IFERROR(MIN(1,(SUMPRODUCT((Sites!$D$9:$D$108=C330)*Sites!$N$9:$N$108*Sites!$J$9:$J$108*Sites!$K$9:$K$108*(1-Sites!$L$9:$L$108)))*'Scenario Paths'!I27),"Unavailable"))</x:f>
        <x:v>0.0026880000000000003</x:v>
      </x:c>
      <x:c r="U330" s="9" t="str">
        <x:f>IF(C330="","",IF(OR(INDEX('Borrowers'!$AA$9:$AA$108,MATCH(C330,'Borrowers'!$C$9:$C$108,0))&lt;&gt;"Ready",COUNTIF(Sites!$D$9:$D$108,C330)=0,COUNTIFS(Sites!$D$9:$D$108,C330,Sites!$Q$9:$Q$108,"&lt;&gt;Ready")&gt;0,'Scenario Paths'!$F$6&lt;&gt;"Ready"),"Review source inputs","Ready"))</x:f>
        <x:v>Ready</x:v>
      </x:c>
      <x:c r="V330" s="17" t="n">
        <x:f>IF(C330="","",IFERROR(MAX(-1,(G330-O330)/MAX(0.000001,G330)),"Unavailable"))</x:f>
        <x:v>0.38779980912646694</x:v>
      </x:c>
      <x:c r="W330" s="9" t="str">
        <x:f>IF(C330="","",IFERROR(INDEX('Borrowers'!$D$9:$D$108,MATCH(C330,'Borrowers'!$C$9:$C$108,0)),"Unavailable"))</x:f>
        <x:v>Demo Petra Manufacturing</x:v>
      </x:c>
    </x:row>
    <x:row r="331" ht="26" customHeight="1">
      <x:c r="A331" s="1"/>
      <x:c r="B331" s="1"/>
      <x:c r="C331" s="9" t="str">
        <x:f>IF(Borrowers!C31="","",Borrowers!C31)</x:f>
        <x:v>B023</x:v>
      </x:c>
      <x:c r="D331" s="3" t="n">
        <x:v>4</x:v>
      </x:c>
      <x:c r="E331" s="9" t="n">
        <x:f>Settings!$F$18+3</x:f>
        <x:v>2030</x:v>
      </x:c>
      <x:c r="F331" s="9" t="str">
        <x:f>IF(C331="","",INDEX('Borrowers'!$F$9:$F$108,MATCH(C331,'Borrowers'!$C$9:$C$108,0)))</x:f>
        <x:v>Technology</x:v>
      </x:c>
      <x:c r="G331" s="23" t="n">
        <x:f>IF(C331="","",IFERROR(INDEX('Borrowers'!$J$9:$J$108,MATCH(C331,'Borrowers'!$C$9:$C$108,0))-INDEX('Borrowers'!$K$9:$K$108,MATCH(C331,'Borrowers'!$C$9:$C$108,0)),"Unavailable"))</x:f>
        <x:v>39.7</x:v>
      </x:c>
      <x:c r="H331" s="23" t="n">
        <x:f>IF(C331="","",IFERROR(INDEX('Borrowers'!$I$9:$I$108,MATCH(C331,'Borrowers'!$C$9:$C$108,0))*INDEX('Borrowers'!$U$9:$U$108,MATCH(C331,'Borrowers'!$C$9:$C$108,0))*(IF(F331="Transport",'Scenario Paths'!I156,IF(F331="Technology",'Scenario Paths'!I150,IF(F331="Utilities",'Scenario Paths'!I144,IF(F331="Agriculture",'Scenario Paths'!I138,IF(F331="Manufacturing",'Scenario Paths'!I132,IF(F331="Healthcare",'Scenario Paths'!I126,IF(F331="Hospitality",'Scenario Paths'!I120,IF(F331="Property",'Scenario Paths'!I114,IF(F331="Food",'Scenario Paths'!I108,IF(F331="Logistics",'Scenario Paths'!I102,IF(F331="Solar",'Scenario Paths'!I96,IF(F331="Cement",'Scenario Paths'!I90,0))))))))))))),"Unavailable"))</x:f>
        <x:v>-4.8792</x:v>
      </x:c>
      <x:c r="I331" s="23" t="n">
        <x:f>IF(C331="","",IFERROR(INDEX('Borrowers'!$R$9:$R$108,MATCH(C331,'Borrowers'!$C$9:$C$108,0))*(1-INDEX('Borrowers'!$W$9:$W$108,MATCH(C331,'Borrowers'!$C$9:$C$108,0))*'Scenario Paths'!I39)*'Scenario Paths'!I9/1000000*(1-INDEX('Borrowers'!$T$9:$T$108,MATCH(C331,'Borrowers'!$C$9:$C$108,0))),"Unavailable"))</x:f>
        <x:v>0.6664319999999999</x:v>
      </x:c>
      <x:c r="J331" s="23" t="n">
        <x:f>IF(C331="","",IFERROR(INDEX('Borrowers'!$I$9:$I$108,MATCH(C331,'Borrowers'!$C$9:$C$108,0))*INDEX('Borrowers'!$S$9:$S$108,MATCH(C331,'Borrowers'!$C$9:$C$108,0))*'Scenario Paths'!I15*(1-INDEX('Borrowers'!$T$9:$T$108,MATCH(C331,'Borrowers'!$C$9:$C$108,0))),"Unavailable"))</x:f>
        <x:v>2.64825</x:v>
      </x:c>
      <x:c r="K331" s="23" t="n">
        <x:f>IF(C331="","",IFERROR(INDEX('Borrowers'!$I$9:$I$108,MATCH(C331,'Borrowers'!$C$9:$C$108,0))*INDEX('Borrowers'!$U$9:$U$108,MATCH(C331,'Borrowers'!$C$9:$C$108,0))*'Scenario Paths'!I21*S331,"Unavailable"))</x:f>
        <x:v>0.28624640000000007</x:v>
      </x:c>
      <x:c r="L331" s="23" t="n">
        <x:f>IF(C331="","",IFERROR(SUMPRODUCT((Sites!$D$9:$D$108=C331)*Sites!$H$9:$H$108*Sites!$J$9:$J$108*Sites!$K$9:$K$108*(1-Sites!$L$9:$L$108)*(1-Sites!$M$9:$M$108))*'Scenario Paths'!I27,"Unavailable"))</x:f>
        <x:v>0.37171200000000004</x:v>
      </x:c>
      <x:c r="M331" s="23" t="n">
        <x:f>IF(C331="","",IFERROR(INDEX('Borrowers'!$J$9:$J$108,MATCH(C331,'Borrowers'!$C$9:$C$108,0))+H331-SUM(I331:L331),"Unavailable"))</x:f>
        <x:v>36.1481596</x:v>
      </x:c>
      <x:c r="N331" s="23" t="n">
        <x:f>IF(C331="","",IFERROR(INDEX('Borrowers'!$I$9:$I$108,MATCH(C331,'Borrowers'!$C$9:$C$108,0))*'Scenario Paths'!I33,"Unavailable"))</x:f>
        <x:v>7.490000000000001</x:v>
      </x:c>
      <x:c r="O331" s="23" t="n">
        <x:f>IF(C331="","",IFERROR(M331-INDEX('Borrowers'!$K$9:$K$108,MATCH(C331,'Borrowers'!$C$9:$C$108,0))-N331,"Unavailable"))</x:f>
        <x:v>23.358159599999997</x:v>
      </x:c>
      <x:c r="P331" s="127" t="n">
        <x:f>IF(C331="","",IFERROR(O331/INDEX('Borrowers'!$L$9:$L$108,MATCH(C331,'Borrowers'!$C$9:$C$108,0)),"Unavailable"))</x:f>
        <x:v>2.013634448275862</x:v>
      </x:c>
      <x:c r="Q331" s="30" t="n">
        <x:f>IF(C331="","",IFERROR(IF(INDEX('Borrowers'!$Z$9:$Z$108,MATCH(C331,'Borrowers'!$C$9:$C$108,0))="Yes",1,IF(INDEX('Borrowers'!$P$9:$P$108,MATCH(C331,'Borrowers'!$C$9:$C$108,0))=0,0,MIN(1,INDEX('Borrowers'!$P$9:$P$108,MATCH(C331,'Borrowers'!$C$9:$C$108,0))*EXP(MIN(20,INDEX('Borrowers'!$V$9:$V$108,MATCH(C331,'Borrowers'!$C$9:$C$108,0))*V331))))),"Unavailable"))</x:f>
        <x:v>1</x:v>
      </x:c>
      <x:c r="R331" s="30" t="n">
        <x:f>IF(C331="","",IFERROR(MIN(1,INDEX('Borrowers'!$Q$9:$Q$108,MATCH(C331,'Borrowers'!$C$9:$C$108,0))+(1-INDEX('Borrowers'!$Q$9:$Q$108,MATCH(C331,'Borrowers'!$C$9:$C$108,0)))*T331),"Unavailable"))</x:f>
        <x:v>0.36337920000000007</x:v>
      </x:c>
      <x:c r="S331" s="30" t="n">
        <x:f>IF(C331="","",IFERROR(SUMPRODUCT((Sites!$D$9:$D$108=C331)*Sites!$I$9:$I$108*Sites!$J$9:$J$108*Sites!$K$9:$K$108*(1-Sites!$L$9:$L$108)),"Unavailable"))</x:f>
        <x:v>0.17600000000000002</x:v>
      </x:c>
      <x:c r="T331" s="30" t="n">
        <x:f>IF(C331="","",IFERROR(MIN(1,(SUMPRODUCT((Sites!$D$9:$D$108=C331)*Sites!$N$9:$N$108*Sites!$J$9:$J$108*Sites!$K$9:$K$108*(1-Sites!$L$9:$L$108)))*'Scenario Paths'!I27),"Unavailable"))</x:f>
        <x:v>0.00528</x:v>
      </x:c>
      <x:c r="U331" s="9" t="str">
        <x:f>IF(C331="","",IF(OR(INDEX('Borrowers'!$AA$9:$AA$108,MATCH(C331,'Borrowers'!$C$9:$C$108,0))&lt;&gt;"Ready",COUNTIF(Sites!$D$9:$D$108,C331)=0,COUNTIFS(Sites!$D$9:$D$108,C331,Sites!$Q$9:$Q$108,"&lt;&gt;Ready")&gt;0,'Scenario Paths'!$F$6&lt;&gt;"Ready"),"Review source inputs","Ready"))</x:f>
        <x:v>Ready</x:v>
      </x:c>
      <x:c r="V331" s="17" t="n">
        <x:f>IF(C331="","",IFERROR(MAX(-1,(G331-O331)/MAX(0.000001,G331)),"Unavailable"))</x:f>
        <x:v>0.41163325944584395</x:v>
      </x:c>
      <x:c r="W331" s="9" t="str">
        <x:f>IF(C331="","",IFERROR(INDEX('Borrowers'!$D$9:$D$108,MATCH(C331,'Borrowers'!$C$9:$C$108,0)),"Unavailable"))</x:f>
        <x:v>Demo Gulf Technology</x:v>
      </x:c>
    </x:row>
    <x:row r="332" ht="26" customHeight="1">
      <x:c r="A332" s="1"/>
      <x:c r="B332" s="1"/>
      <x:c r="C332" s="9" t="str">
        <x:f>IF(Borrowers!C32="","",Borrowers!C32)</x:f>
        <x:v>B024</x:v>
      </x:c>
      <x:c r="D332" s="3" t="n">
        <x:v>4</x:v>
      </x:c>
      <x:c r="E332" s="9" t="n">
        <x:f>Settings!$F$18+3</x:f>
        <x:v>2030</x:v>
      </x:c>
      <x:c r="F332" s="9" t="str">
        <x:f>IF(C332="","",INDEX('Borrowers'!$F$9:$F$108,MATCH(C332,'Borrowers'!$C$9:$C$108,0)))</x:f>
        <x:v>Transport</x:v>
      </x:c>
      <x:c r="G332" s="23" t="n">
        <x:f>IF(C332="","",IFERROR(INDEX('Borrowers'!$J$9:$J$108,MATCH(C332,'Borrowers'!$C$9:$C$108,0))-INDEX('Borrowers'!$K$9:$K$108,MATCH(C332,'Borrowers'!$C$9:$C$108,0)),"Unavailable"))</x:f>
        <x:v>41.05</x:v>
      </x:c>
      <x:c r="H332" s="23" t="n">
        <x:f>IF(C332="","",IFERROR(INDEX('Borrowers'!$I$9:$I$108,MATCH(C332,'Borrowers'!$C$9:$C$108,0))*INDEX('Borrowers'!$U$9:$U$108,MATCH(C332,'Borrowers'!$C$9:$C$108,0))*(IF(F332="Transport",'Scenario Paths'!I156,IF(F332="Technology",'Scenario Paths'!I150,IF(F332="Utilities",'Scenario Paths'!I144,IF(F332="Agriculture",'Scenario Paths'!I138,IF(F332="Manufacturing",'Scenario Paths'!I132,IF(F332="Healthcare",'Scenario Paths'!I126,IF(F332="Hospitality",'Scenario Paths'!I120,IF(F332="Property",'Scenario Paths'!I114,IF(F332="Food",'Scenario Paths'!I108,IF(F332="Logistics",'Scenario Paths'!I102,IF(F332="Solar",'Scenario Paths'!I96,IF(F332="Cement",'Scenario Paths'!I90,0))))))))))))),"Unavailable"))</x:f>
        <x:v>-5.8344</x:v>
      </x:c>
      <x:c r="I332" s="23" t="n">
        <x:f>IF(C332="","",IFERROR(INDEX('Borrowers'!$R$9:$R$108,MATCH(C332,'Borrowers'!$C$9:$C$108,0))*(1-INDEX('Borrowers'!$W$9:$W$108,MATCH(C332,'Borrowers'!$C$9:$C$108,0))*'Scenario Paths'!I39)*'Scenario Paths'!I9/1000000*(1-INDEX('Borrowers'!$T$9:$T$108,MATCH(C332,'Borrowers'!$C$9:$C$108,0))),"Unavailable"))</x:f>
        <x:v>0.534534</x:v>
      </x:c>
      <x:c r="J332" s="23" t="n">
        <x:f>IF(C332="","",IFERROR(INDEX('Borrowers'!$I$9:$I$108,MATCH(C332,'Borrowers'!$C$9:$C$108,0))*INDEX('Borrowers'!$S$9:$S$108,MATCH(C332,'Borrowers'!$C$9:$C$108,0))*'Scenario Paths'!I15*(1-INDEX('Borrowers'!$T$9:$T$108,MATCH(C332,'Borrowers'!$C$9:$C$108,0))),"Unavailable"))</x:f>
        <x:v>2.513875</x:v>
      </x:c>
      <x:c r="K332" s="23" t="n">
        <x:f>IF(C332="","",IFERROR(INDEX('Borrowers'!$I$9:$I$108,MATCH(C332,'Borrowers'!$C$9:$C$108,0))*INDEX('Borrowers'!$U$9:$U$108,MATCH(C332,'Borrowers'!$C$9:$C$108,0))*'Scenario Paths'!I21*S332,"Unavailable"))</x:f>
        <x:v>0.56632576</x:v>
      </x:c>
      <x:c r="L332" s="23" t="n">
        <x:f>IF(C332="","",IFERROR(SUMPRODUCT((Sites!$D$9:$D$108=C332)*Sites!$H$9:$H$108*Sites!$J$9:$J$108*Sites!$K$9:$K$108*(1-Sites!$L$9:$L$108)*(1-Sites!$M$9:$M$108))*'Scenario Paths'!I27,"Unavailable"))</x:f>
        <x:v>0.6342336</x:v>
      </x:c>
      <x:c r="M332" s="23" t="n">
        <x:f>IF(C332="","",IFERROR(INDEX('Borrowers'!$J$9:$J$108,MATCH(C332,'Borrowers'!$C$9:$C$108,0))+H332-SUM(I332:L332),"Unavailable"))</x:f>
        <x:v>36.41663164</x:v>
      </x:c>
      <x:c r="N332" s="23" t="n">
        <x:f>IF(C332="","",IFERROR(INDEX('Borrowers'!$I$9:$I$108,MATCH(C332,'Borrowers'!$C$9:$C$108,0))*'Scenario Paths'!I33,"Unavailable"))</x:f>
        <x:v>7.735</x:v>
      </x:c>
      <x:c r="O332" s="23" t="n">
        <x:f>IF(C332="","",IFERROR(M332-INDEX('Borrowers'!$K$9:$K$108,MATCH(C332,'Borrowers'!$C$9:$C$108,0))-N332,"Unavailable"))</x:f>
        <x:v>23.23163164</x:v>
      </x:c>
      <x:c r="P332" s="127" t="n">
        <x:f>IF(C332="","",IFERROR(O332/INDEX('Borrowers'!$L$9:$L$108,MATCH(C332,'Borrowers'!$C$9:$C$108,0)),"Unavailable"))</x:f>
        <x:v>1.9522379529411766</x:v>
      </x:c>
      <x:c r="Q332" s="30" t="n">
        <x:f>IF(C332="","",IFERROR(IF(INDEX('Borrowers'!$Z$9:$Z$108,MATCH(C332,'Borrowers'!$C$9:$C$108,0))="Yes",1,IF(INDEX('Borrowers'!$P$9:$P$108,MATCH(C332,'Borrowers'!$C$9:$C$108,0))=0,0,MIN(1,INDEX('Borrowers'!$P$9:$P$108,MATCH(C332,'Borrowers'!$C$9:$C$108,0))*EXP(MIN(20,INDEX('Borrowers'!$V$9:$V$108,MATCH(C332,'Borrowers'!$C$9:$C$108,0))*V332))))),"Unavailable"))</x:f>
        <x:v>0.08411405054885918</x:v>
      </x:c>
      <x:c r="R332" s="30" t="n">
        <x:f>IF(C332="","",IFERROR(MIN(1,INDEX('Borrowers'!$Q$9:$Q$108,MATCH(C332,'Borrowers'!$C$9:$C$108,0))+(1-INDEX('Borrowers'!$Q$9:$Q$108,MATCH(C332,'Borrowers'!$C$9:$C$108,0)))*T332),"Unavailable"))</x:f>
        <x:v>0.40524160000000004</x:v>
      </x:c>
      <x:c r="S332" s="30" t="n">
        <x:f>IF(C332="","",IFERROR(SUMPRODUCT((Sites!$D$9:$D$108=C332)*Sites!$I$9:$I$108*Sites!$J$9:$J$108*Sites!$K$9:$K$108*(1-Sites!$L$9:$L$108)),"Unavailable"))</x:f>
        <x:v>0.2912</x:v>
      </x:c>
      <x:c r="T332" s="30" t="n">
        <x:f>IF(C332="","",IFERROR(MIN(1,(SUMPRODUCT((Sites!$D$9:$D$108=C332)*Sites!$N$9:$N$108*Sites!$J$9:$J$108*Sites!$K$9:$K$108*(1-Sites!$L$9:$L$108)))*'Scenario Paths'!I27),"Unavailable"))</x:f>
        <x:v>0.008736</x:v>
      </x:c>
      <x:c r="U332" s="9" t="str">
        <x:f>IF(C332="","",IF(OR(INDEX('Borrowers'!$AA$9:$AA$108,MATCH(C332,'Borrowers'!$C$9:$C$108,0))&lt;&gt;"Ready",COUNTIF(Sites!$D$9:$D$108,C332)=0,COUNTIFS(Sites!$D$9:$D$108,C332,Sites!$Q$9:$Q$108,"&lt;&gt;Ready")&gt;0,'Scenario Paths'!$F$6&lt;&gt;"Ready"),"Review source inputs","Ready"))</x:f>
        <x:v>Ready</x:v>
      </x:c>
      <x:c r="V332" s="17" t="n">
        <x:f>IF(C332="","",IFERROR(MAX(-1,(G332-O332)/MAX(0.000001,G332)),"Unavailable"))</x:f>
        <x:v>0.4340650026796589</x:v>
      </x:c>
      <x:c r="W332" s="9" t="str">
        <x:f>IF(C332="","",IFERROR(INDEX('Borrowers'!$D$9:$D$108,MATCH(C332,'Borrowers'!$C$9:$C$108,0)),"Unavailable"))</x:f>
        <x:v>Demo Cairo Mobility</x:v>
      </x:c>
    </x:row>
    <x:row r="333" ht="26" customHeight="1">
      <x:c r="A333" s="1"/>
      <x:c r="B333" s="1"/>
      <x:c r="C333" s="9" t="str">
        <x:f>IF(Borrowers!C33="","",Borrowers!C33)</x:f>
      </x:c>
      <x:c r="D333" s="3" t="n">
        <x:v>4</x:v>
      </x:c>
      <x:c r="E333" s="9" t="n">
        <x:f>Settings!$F$18+3</x:f>
        <x:v>2030</x:v>
      </x:c>
      <x:c r="F333" s="9" t="str">
        <x:f>IF(C333="","",INDEX('Borrowers'!$F$9:$F$108,MATCH(C333,'Borrowers'!$C$9:$C$108,0)))</x:f>
      </x:c>
      <x:c r="G333" s="23" t="str">
        <x:f>IF(C333="","",IFERROR(INDEX('Borrowers'!$J$9:$J$108,MATCH(C333,'Borrowers'!$C$9:$C$108,0))-INDEX('Borrowers'!$K$9:$K$108,MATCH(C333,'Borrowers'!$C$9:$C$108,0)),"Unavailable"))</x:f>
      </x:c>
      <x:c r="H333" s="23" t="str">
        <x:f>IF(C333="","",IFERROR(INDEX('Borrowers'!$I$9:$I$108,MATCH(C333,'Borrowers'!$C$9:$C$108,0))*INDEX('Borrowers'!$U$9:$U$108,MATCH(C333,'Borrowers'!$C$9:$C$108,0))*(IF(F333="Transport",'Scenario Paths'!I156,IF(F333="Technology",'Scenario Paths'!I150,IF(F333="Utilities",'Scenario Paths'!I144,IF(F333="Agriculture",'Scenario Paths'!I138,IF(F333="Manufacturing",'Scenario Paths'!I132,IF(F333="Healthcare",'Scenario Paths'!I126,IF(F333="Hospitality",'Scenario Paths'!I120,IF(F333="Property",'Scenario Paths'!I114,IF(F333="Food",'Scenario Paths'!I108,IF(F333="Logistics",'Scenario Paths'!I102,IF(F333="Solar",'Scenario Paths'!I96,IF(F333="Cement",'Scenario Paths'!I90,0))))))))))))),"Unavailable"))</x:f>
      </x:c>
      <x:c r="I333" s="23" t="str">
        <x:f>IF(C333="","",IFERROR(INDEX('Borrowers'!$R$9:$R$108,MATCH(C333,'Borrowers'!$C$9:$C$108,0))*(1-INDEX('Borrowers'!$W$9:$W$108,MATCH(C333,'Borrowers'!$C$9:$C$108,0))*'Scenario Paths'!I39)*'Scenario Paths'!I9/1000000*(1-INDEX('Borrowers'!$T$9:$T$108,MATCH(C333,'Borrowers'!$C$9:$C$108,0))),"Unavailable"))</x:f>
      </x:c>
      <x:c r="J333" s="23" t="str">
        <x:f>IF(C333="","",IFERROR(INDEX('Borrowers'!$I$9:$I$108,MATCH(C333,'Borrowers'!$C$9:$C$108,0))*INDEX('Borrowers'!$S$9:$S$108,MATCH(C333,'Borrowers'!$C$9:$C$108,0))*'Scenario Paths'!I15*(1-INDEX('Borrowers'!$T$9:$T$108,MATCH(C333,'Borrowers'!$C$9:$C$108,0))),"Unavailable"))</x:f>
      </x:c>
      <x:c r="K333" s="23" t="str">
        <x:f>IF(C333="","",IFERROR(INDEX('Borrowers'!$I$9:$I$108,MATCH(C333,'Borrowers'!$C$9:$C$108,0))*INDEX('Borrowers'!$U$9:$U$108,MATCH(C333,'Borrowers'!$C$9:$C$108,0))*'Scenario Paths'!I21*S333,"Unavailable"))</x:f>
      </x:c>
      <x:c r="L333" s="23" t="str">
        <x:f>IF(C333="","",IFERROR(SUMPRODUCT((Sites!$D$9:$D$108=C333)*Sites!$H$9:$H$108*Sites!$J$9:$J$108*Sites!$K$9:$K$108*(1-Sites!$L$9:$L$108)*(1-Sites!$M$9:$M$108))*'Scenario Paths'!I27,"Unavailable"))</x:f>
      </x:c>
      <x:c r="M333" s="23" t="str">
        <x:f>IF(C333="","",IFERROR(INDEX('Borrowers'!$J$9:$J$108,MATCH(C333,'Borrowers'!$C$9:$C$108,0))+H333-SUM(I333:L333),"Unavailable"))</x:f>
      </x:c>
      <x:c r="N333" s="23" t="str">
        <x:f>IF(C333="","",IFERROR(INDEX('Borrowers'!$I$9:$I$108,MATCH(C333,'Borrowers'!$C$9:$C$108,0))*'Scenario Paths'!I33,"Unavailable"))</x:f>
      </x:c>
      <x:c r="O333" s="23" t="str">
        <x:f>IF(C333="","",IFERROR(M333-INDEX('Borrowers'!$K$9:$K$108,MATCH(C333,'Borrowers'!$C$9:$C$108,0))-N333,"Unavailable"))</x:f>
      </x:c>
      <x:c r="P333" s="127" t="str">
        <x:f>IF(C333="","",IFERROR(O333/INDEX('Borrowers'!$L$9:$L$108,MATCH(C333,'Borrowers'!$C$9:$C$108,0)),"Unavailable"))</x:f>
      </x:c>
      <x:c r="Q333" s="30" t="str">
        <x:f>IF(C333="","",IFERROR(IF(INDEX('Borrowers'!$Z$9:$Z$108,MATCH(C333,'Borrowers'!$C$9:$C$108,0))="Yes",1,IF(INDEX('Borrowers'!$P$9:$P$108,MATCH(C333,'Borrowers'!$C$9:$C$108,0))=0,0,MIN(1,INDEX('Borrowers'!$P$9:$P$108,MATCH(C333,'Borrowers'!$C$9:$C$108,0))*EXP(MIN(20,INDEX('Borrowers'!$V$9:$V$108,MATCH(C333,'Borrowers'!$C$9:$C$108,0))*V333))))),"Unavailable"))</x:f>
      </x:c>
      <x:c r="R333" s="30" t="str">
        <x:f>IF(C333="","",IFERROR(MIN(1,INDEX('Borrowers'!$Q$9:$Q$108,MATCH(C333,'Borrowers'!$C$9:$C$108,0))+(1-INDEX('Borrowers'!$Q$9:$Q$108,MATCH(C333,'Borrowers'!$C$9:$C$108,0)))*T333),"Unavailable"))</x:f>
      </x:c>
      <x:c r="S333" s="30" t="str">
        <x:f>IF(C333="","",IFERROR(SUMPRODUCT((Sites!$D$9:$D$108=C333)*Sites!$I$9:$I$108*Sites!$J$9:$J$108*Sites!$K$9:$K$108*(1-Sites!$L$9:$L$108)),"Unavailable"))</x:f>
      </x:c>
      <x:c r="T333" s="30" t="str">
        <x:f>IF(C333="","",IFERROR(MIN(1,(SUMPRODUCT((Sites!$D$9:$D$108=C333)*Sites!$N$9:$N$108*Sites!$J$9:$J$108*Sites!$K$9:$K$108*(1-Sites!$L$9:$L$108)))*'Scenario Paths'!I27),"Unavailable"))</x:f>
      </x:c>
      <x:c r="U333" s="9" t="str">
        <x:f>IF(C333="","",IF(OR(INDEX('Borrowers'!$AA$9:$AA$108,MATCH(C333,'Borrowers'!$C$9:$C$108,0))&lt;&gt;"Ready",COUNTIF(Sites!$D$9:$D$108,C333)=0,COUNTIFS(Sites!$D$9:$D$108,C333,Sites!$Q$9:$Q$108,"&lt;&gt;Ready")&gt;0,'Scenario Paths'!$F$6&lt;&gt;"Ready"),"Review source inputs","Ready"))</x:f>
      </x:c>
      <x:c r="V333" s="17" t="str">
        <x:f>IF(C333="","",IFERROR(MAX(-1,(G333-O333)/MAX(0.000001,G333)),"Unavailable"))</x:f>
      </x:c>
      <x:c r="W333" s="9" t="str">
        <x:f>IF(C333="","",IFERROR(INDEX('Borrowers'!$D$9:$D$108,MATCH(C333,'Borrowers'!$C$9:$C$108,0)),"Unavailable"))</x:f>
      </x:c>
    </x:row>
    <x:row r="334" ht="26" customHeight="1">
      <x:c r="A334" s="1"/>
      <x:c r="B334" s="1"/>
      <x:c r="C334" s="9" t="str">
        <x:f>IF(Borrowers!C34="","",Borrowers!C34)</x:f>
      </x:c>
      <x:c r="D334" s="3" t="n">
        <x:v>4</x:v>
      </x:c>
      <x:c r="E334" s="9" t="n">
        <x:f>Settings!$F$18+3</x:f>
        <x:v>2030</x:v>
      </x:c>
      <x:c r="F334" s="9" t="str">
        <x:f>IF(C334="","",INDEX('Borrowers'!$F$9:$F$108,MATCH(C334,'Borrowers'!$C$9:$C$108,0)))</x:f>
      </x:c>
      <x:c r="G334" s="23" t="str">
        <x:f>IF(C334="","",IFERROR(INDEX('Borrowers'!$J$9:$J$108,MATCH(C334,'Borrowers'!$C$9:$C$108,0))-INDEX('Borrowers'!$K$9:$K$108,MATCH(C334,'Borrowers'!$C$9:$C$108,0)),"Unavailable"))</x:f>
      </x:c>
      <x:c r="H334" s="23" t="str">
        <x:f>IF(C334="","",IFERROR(INDEX('Borrowers'!$I$9:$I$108,MATCH(C334,'Borrowers'!$C$9:$C$108,0))*INDEX('Borrowers'!$U$9:$U$108,MATCH(C334,'Borrowers'!$C$9:$C$108,0))*(IF(F334="Transport",'Scenario Paths'!I156,IF(F334="Technology",'Scenario Paths'!I150,IF(F334="Utilities",'Scenario Paths'!I144,IF(F334="Agriculture",'Scenario Paths'!I138,IF(F334="Manufacturing",'Scenario Paths'!I132,IF(F334="Healthcare",'Scenario Paths'!I126,IF(F334="Hospitality",'Scenario Paths'!I120,IF(F334="Property",'Scenario Paths'!I114,IF(F334="Food",'Scenario Paths'!I108,IF(F334="Logistics",'Scenario Paths'!I102,IF(F334="Solar",'Scenario Paths'!I96,IF(F334="Cement",'Scenario Paths'!I90,0))))))))))))),"Unavailable"))</x:f>
      </x:c>
      <x:c r="I334" s="23" t="str">
        <x:f>IF(C334="","",IFERROR(INDEX('Borrowers'!$R$9:$R$108,MATCH(C334,'Borrowers'!$C$9:$C$108,0))*(1-INDEX('Borrowers'!$W$9:$W$108,MATCH(C334,'Borrowers'!$C$9:$C$108,0))*'Scenario Paths'!I39)*'Scenario Paths'!I9/1000000*(1-INDEX('Borrowers'!$T$9:$T$108,MATCH(C334,'Borrowers'!$C$9:$C$108,0))),"Unavailable"))</x:f>
      </x:c>
      <x:c r="J334" s="23" t="str">
        <x:f>IF(C334="","",IFERROR(INDEX('Borrowers'!$I$9:$I$108,MATCH(C334,'Borrowers'!$C$9:$C$108,0))*INDEX('Borrowers'!$S$9:$S$108,MATCH(C334,'Borrowers'!$C$9:$C$108,0))*'Scenario Paths'!I15*(1-INDEX('Borrowers'!$T$9:$T$108,MATCH(C334,'Borrowers'!$C$9:$C$108,0))),"Unavailable"))</x:f>
      </x:c>
      <x:c r="K334" s="23" t="str">
        <x:f>IF(C334="","",IFERROR(INDEX('Borrowers'!$I$9:$I$108,MATCH(C334,'Borrowers'!$C$9:$C$108,0))*INDEX('Borrowers'!$U$9:$U$108,MATCH(C334,'Borrowers'!$C$9:$C$108,0))*'Scenario Paths'!I21*S334,"Unavailable"))</x:f>
      </x:c>
      <x:c r="L334" s="23" t="str">
        <x:f>IF(C334="","",IFERROR(SUMPRODUCT((Sites!$D$9:$D$108=C334)*Sites!$H$9:$H$108*Sites!$J$9:$J$108*Sites!$K$9:$K$108*(1-Sites!$L$9:$L$108)*(1-Sites!$M$9:$M$108))*'Scenario Paths'!I27,"Unavailable"))</x:f>
      </x:c>
      <x:c r="M334" s="23" t="str">
        <x:f>IF(C334="","",IFERROR(INDEX('Borrowers'!$J$9:$J$108,MATCH(C334,'Borrowers'!$C$9:$C$108,0))+H334-SUM(I334:L334),"Unavailable"))</x:f>
      </x:c>
      <x:c r="N334" s="23" t="str">
        <x:f>IF(C334="","",IFERROR(INDEX('Borrowers'!$I$9:$I$108,MATCH(C334,'Borrowers'!$C$9:$C$108,0))*'Scenario Paths'!I33,"Unavailable"))</x:f>
      </x:c>
      <x:c r="O334" s="23" t="str">
        <x:f>IF(C334="","",IFERROR(M334-INDEX('Borrowers'!$K$9:$K$108,MATCH(C334,'Borrowers'!$C$9:$C$108,0))-N334,"Unavailable"))</x:f>
      </x:c>
      <x:c r="P334" s="127" t="str">
        <x:f>IF(C334="","",IFERROR(O334/INDEX('Borrowers'!$L$9:$L$108,MATCH(C334,'Borrowers'!$C$9:$C$108,0)),"Unavailable"))</x:f>
      </x:c>
      <x:c r="Q334" s="30" t="str">
        <x:f>IF(C334="","",IFERROR(IF(INDEX('Borrowers'!$Z$9:$Z$108,MATCH(C334,'Borrowers'!$C$9:$C$108,0))="Yes",1,IF(INDEX('Borrowers'!$P$9:$P$108,MATCH(C334,'Borrowers'!$C$9:$C$108,0))=0,0,MIN(1,INDEX('Borrowers'!$P$9:$P$108,MATCH(C334,'Borrowers'!$C$9:$C$108,0))*EXP(MIN(20,INDEX('Borrowers'!$V$9:$V$108,MATCH(C334,'Borrowers'!$C$9:$C$108,0))*V334))))),"Unavailable"))</x:f>
      </x:c>
      <x:c r="R334" s="30" t="str">
        <x:f>IF(C334="","",IFERROR(MIN(1,INDEX('Borrowers'!$Q$9:$Q$108,MATCH(C334,'Borrowers'!$C$9:$C$108,0))+(1-INDEX('Borrowers'!$Q$9:$Q$108,MATCH(C334,'Borrowers'!$C$9:$C$108,0)))*T334),"Unavailable"))</x:f>
      </x:c>
      <x:c r="S334" s="30" t="str">
        <x:f>IF(C334="","",IFERROR(SUMPRODUCT((Sites!$D$9:$D$108=C334)*Sites!$I$9:$I$108*Sites!$J$9:$J$108*Sites!$K$9:$K$108*(1-Sites!$L$9:$L$108)),"Unavailable"))</x:f>
      </x:c>
      <x:c r="T334" s="30" t="str">
        <x:f>IF(C334="","",IFERROR(MIN(1,(SUMPRODUCT((Sites!$D$9:$D$108=C334)*Sites!$N$9:$N$108*Sites!$J$9:$J$108*Sites!$K$9:$K$108*(1-Sites!$L$9:$L$108)))*'Scenario Paths'!I27),"Unavailable"))</x:f>
      </x:c>
      <x:c r="U334" s="9" t="str">
        <x:f>IF(C334="","",IF(OR(INDEX('Borrowers'!$AA$9:$AA$108,MATCH(C334,'Borrowers'!$C$9:$C$108,0))&lt;&gt;"Ready",COUNTIF(Sites!$D$9:$D$108,C334)=0,COUNTIFS(Sites!$D$9:$D$108,C334,Sites!$Q$9:$Q$108,"&lt;&gt;Ready")&gt;0,'Scenario Paths'!$F$6&lt;&gt;"Ready"),"Review source inputs","Ready"))</x:f>
      </x:c>
      <x:c r="V334" s="17" t="str">
        <x:f>IF(C334="","",IFERROR(MAX(-1,(G334-O334)/MAX(0.000001,G334)),"Unavailable"))</x:f>
      </x:c>
      <x:c r="W334" s="9" t="str">
        <x:f>IF(C334="","",IFERROR(INDEX('Borrowers'!$D$9:$D$108,MATCH(C334,'Borrowers'!$C$9:$C$108,0)),"Unavailable"))</x:f>
      </x:c>
    </x:row>
    <x:row r="335" ht="26" customHeight="1">
      <x:c r="A335" s="1"/>
      <x:c r="B335" s="1"/>
      <x:c r="C335" s="9" t="str">
        <x:f>IF(Borrowers!C35="","",Borrowers!C35)</x:f>
      </x:c>
      <x:c r="D335" s="3" t="n">
        <x:v>4</x:v>
      </x:c>
      <x:c r="E335" s="9" t="n">
        <x:f>Settings!$F$18+3</x:f>
        <x:v>2030</x:v>
      </x:c>
      <x:c r="F335" s="9" t="str">
        <x:f>IF(C335="","",INDEX('Borrowers'!$F$9:$F$108,MATCH(C335,'Borrowers'!$C$9:$C$108,0)))</x:f>
      </x:c>
      <x:c r="G335" s="23" t="str">
        <x:f>IF(C335="","",IFERROR(INDEX('Borrowers'!$J$9:$J$108,MATCH(C335,'Borrowers'!$C$9:$C$108,0))-INDEX('Borrowers'!$K$9:$K$108,MATCH(C335,'Borrowers'!$C$9:$C$108,0)),"Unavailable"))</x:f>
      </x:c>
      <x:c r="H335" s="23" t="str">
        <x:f>IF(C335="","",IFERROR(INDEX('Borrowers'!$I$9:$I$108,MATCH(C335,'Borrowers'!$C$9:$C$108,0))*INDEX('Borrowers'!$U$9:$U$108,MATCH(C335,'Borrowers'!$C$9:$C$108,0))*(IF(F335="Transport",'Scenario Paths'!I156,IF(F335="Technology",'Scenario Paths'!I150,IF(F335="Utilities",'Scenario Paths'!I144,IF(F335="Agriculture",'Scenario Paths'!I138,IF(F335="Manufacturing",'Scenario Paths'!I132,IF(F335="Healthcare",'Scenario Paths'!I126,IF(F335="Hospitality",'Scenario Paths'!I120,IF(F335="Property",'Scenario Paths'!I114,IF(F335="Food",'Scenario Paths'!I108,IF(F335="Logistics",'Scenario Paths'!I102,IF(F335="Solar",'Scenario Paths'!I96,IF(F335="Cement",'Scenario Paths'!I90,0))))))))))))),"Unavailable"))</x:f>
      </x:c>
      <x:c r="I335" s="23" t="str">
        <x:f>IF(C335="","",IFERROR(INDEX('Borrowers'!$R$9:$R$108,MATCH(C335,'Borrowers'!$C$9:$C$108,0))*(1-INDEX('Borrowers'!$W$9:$W$108,MATCH(C335,'Borrowers'!$C$9:$C$108,0))*'Scenario Paths'!I39)*'Scenario Paths'!I9/1000000*(1-INDEX('Borrowers'!$T$9:$T$108,MATCH(C335,'Borrowers'!$C$9:$C$108,0))),"Unavailable"))</x:f>
      </x:c>
      <x:c r="J335" s="23" t="str">
        <x:f>IF(C335="","",IFERROR(INDEX('Borrowers'!$I$9:$I$108,MATCH(C335,'Borrowers'!$C$9:$C$108,0))*INDEX('Borrowers'!$S$9:$S$108,MATCH(C335,'Borrowers'!$C$9:$C$108,0))*'Scenario Paths'!I15*(1-INDEX('Borrowers'!$T$9:$T$108,MATCH(C335,'Borrowers'!$C$9:$C$108,0))),"Unavailable"))</x:f>
      </x:c>
      <x:c r="K335" s="23" t="str">
        <x:f>IF(C335="","",IFERROR(INDEX('Borrowers'!$I$9:$I$108,MATCH(C335,'Borrowers'!$C$9:$C$108,0))*INDEX('Borrowers'!$U$9:$U$108,MATCH(C335,'Borrowers'!$C$9:$C$108,0))*'Scenario Paths'!I21*S335,"Unavailable"))</x:f>
      </x:c>
      <x:c r="L335" s="23" t="str">
        <x:f>IF(C335="","",IFERROR(SUMPRODUCT((Sites!$D$9:$D$108=C335)*Sites!$H$9:$H$108*Sites!$J$9:$J$108*Sites!$K$9:$K$108*(1-Sites!$L$9:$L$108)*(1-Sites!$M$9:$M$108))*'Scenario Paths'!I27,"Unavailable"))</x:f>
      </x:c>
      <x:c r="M335" s="23" t="str">
        <x:f>IF(C335="","",IFERROR(INDEX('Borrowers'!$J$9:$J$108,MATCH(C335,'Borrowers'!$C$9:$C$108,0))+H335-SUM(I335:L335),"Unavailable"))</x:f>
      </x:c>
      <x:c r="N335" s="23" t="str">
        <x:f>IF(C335="","",IFERROR(INDEX('Borrowers'!$I$9:$I$108,MATCH(C335,'Borrowers'!$C$9:$C$108,0))*'Scenario Paths'!I33,"Unavailable"))</x:f>
      </x:c>
      <x:c r="O335" s="23" t="str">
        <x:f>IF(C335="","",IFERROR(M335-INDEX('Borrowers'!$K$9:$K$108,MATCH(C335,'Borrowers'!$C$9:$C$108,0))-N335,"Unavailable"))</x:f>
      </x:c>
      <x:c r="P335" s="127" t="str">
        <x:f>IF(C335="","",IFERROR(O335/INDEX('Borrowers'!$L$9:$L$108,MATCH(C335,'Borrowers'!$C$9:$C$108,0)),"Unavailable"))</x:f>
      </x:c>
      <x:c r="Q335" s="30" t="str">
        <x:f>IF(C335="","",IFERROR(IF(INDEX('Borrowers'!$Z$9:$Z$108,MATCH(C335,'Borrowers'!$C$9:$C$108,0))="Yes",1,IF(INDEX('Borrowers'!$P$9:$P$108,MATCH(C335,'Borrowers'!$C$9:$C$108,0))=0,0,MIN(1,INDEX('Borrowers'!$P$9:$P$108,MATCH(C335,'Borrowers'!$C$9:$C$108,0))*EXP(MIN(20,INDEX('Borrowers'!$V$9:$V$108,MATCH(C335,'Borrowers'!$C$9:$C$108,0))*V335))))),"Unavailable"))</x:f>
      </x:c>
      <x:c r="R335" s="30" t="str">
        <x:f>IF(C335="","",IFERROR(MIN(1,INDEX('Borrowers'!$Q$9:$Q$108,MATCH(C335,'Borrowers'!$C$9:$C$108,0))+(1-INDEX('Borrowers'!$Q$9:$Q$108,MATCH(C335,'Borrowers'!$C$9:$C$108,0)))*T335),"Unavailable"))</x:f>
      </x:c>
      <x:c r="S335" s="30" t="str">
        <x:f>IF(C335="","",IFERROR(SUMPRODUCT((Sites!$D$9:$D$108=C335)*Sites!$I$9:$I$108*Sites!$J$9:$J$108*Sites!$K$9:$K$108*(1-Sites!$L$9:$L$108)),"Unavailable"))</x:f>
      </x:c>
      <x:c r="T335" s="30" t="str">
        <x:f>IF(C335="","",IFERROR(MIN(1,(SUMPRODUCT((Sites!$D$9:$D$108=C335)*Sites!$N$9:$N$108*Sites!$J$9:$J$108*Sites!$K$9:$K$108*(1-Sites!$L$9:$L$108)))*'Scenario Paths'!I27),"Unavailable"))</x:f>
      </x:c>
      <x:c r="U335" s="9" t="str">
        <x:f>IF(C335="","",IF(OR(INDEX('Borrowers'!$AA$9:$AA$108,MATCH(C335,'Borrowers'!$C$9:$C$108,0))&lt;&gt;"Ready",COUNTIF(Sites!$D$9:$D$108,C335)=0,COUNTIFS(Sites!$D$9:$D$108,C335,Sites!$Q$9:$Q$108,"&lt;&gt;Ready")&gt;0,'Scenario Paths'!$F$6&lt;&gt;"Ready"),"Review source inputs","Ready"))</x:f>
      </x:c>
      <x:c r="V335" s="17" t="str">
        <x:f>IF(C335="","",IFERROR(MAX(-1,(G335-O335)/MAX(0.000001,G335)),"Unavailable"))</x:f>
      </x:c>
      <x:c r="W335" s="9" t="str">
        <x:f>IF(C335="","",IFERROR(INDEX('Borrowers'!$D$9:$D$108,MATCH(C335,'Borrowers'!$C$9:$C$108,0)),"Unavailable"))</x:f>
      </x:c>
    </x:row>
    <x:row r="336" ht="26" customHeight="1">
      <x:c r="A336" s="1"/>
      <x:c r="B336" s="1"/>
      <x:c r="C336" s="9" t="str">
        <x:f>IF(Borrowers!C36="","",Borrowers!C36)</x:f>
      </x:c>
      <x:c r="D336" s="3" t="n">
        <x:v>4</x:v>
      </x:c>
      <x:c r="E336" s="9" t="n">
        <x:f>Settings!$F$18+3</x:f>
        <x:v>2030</x:v>
      </x:c>
      <x:c r="F336" s="9" t="str">
        <x:f>IF(C336="","",INDEX('Borrowers'!$F$9:$F$108,MATCH(C336,'Borrowers'!$C$9:$C$108,0)))</x:f>
      </x:c>
      <x:c r="G336" s="23" t="str">
        <x:f>IF(C336="","",IFERROR(INDEX('Borrowers'!$J$9:$J$108,MATCH(C336,'Borrowers'!$C$9:$C$108,0))-INDEX('Borrowers'!$K$9:$K$108,MATCH(C336,'Borrowers'!$C$9:$C$108,0)),"Unavailable"))</x:f>
      </x:c>
      <x:c r="H336" s="23" t="str">
        <x:f>IF(C336="","",IFERROR(INDEX('Borrowers'!$I$9:$I$108,MATCH(C336,'Borrowers'!$C$9:$C$108,0))*INDEX('Borrowers'!$U$9:$U$108,MATCH(C336,'Borrowers'!$C$9:$C$108,0))*(IF(F336="Transport",'Scenario Paths'!I156,IF(F336="Technology",'Scenario Paths'!I150,IF(F336="Utilities",'Scenario Paths'!I144,IF(F336="Agriculture",'Scenario Paths'!I138,IF(F336="Manufacturing",'Scenario Paths'!I132,IF(F336="Healthcare",'Scenario Paths'!I126,IF(F336="Hospitality",'Scenario Paths'!I120,IF(F336="Property",'Scenario Paths'!I114,IF(F336="Food",'Scenario Paths'!I108,IF(F336="Logistics",'Scenario Paths'!I102,IF(F336="Solar",'Scenario Paths'!I96,IF(F336="Cement",'Scenario Paths'!I90,0))))))))))))),"Unavailable"))</x:f>
      </x:c>
      <x:c r="I336" s="23" t="str">
        <x:f>IF(C336="","",IFERROR(INDEX('Borrowers'!$R$9:$R$108,MATCH(C336,'Borrowers'!$C$9:$C$108,0))*(1-INDEX('Borrowers'!$W$9:$W$108,MATCH(C336,'Borrowers'!$C$9:$C$108,0))*'Scenario Paths'!I39)*'Scenario Paths'!I9/1000000*(1-INDEX('Borrowers'!$T$9:$T$108,MATCH(C336,'Borrowers'!$C$9:$C$108,0))),"Unavailable"))</x:f>
      </x:c>
      <x:c r="J336" s="23" t="str">
        <x:f>IF(C336="","",IFERROR(INDEX('Borrowers'!$I$9:$I$108,MATCH(C336,'Borrowers'!$C$9:$C$108,0))*INDEX('Borrowers'!$S$9:$S$108,MATCH(C336,'Borrowers'!$C$9:$C$108,0))*'Scenario Paths'!I15*(1-INDEX('Borrowers'!$T$9:$T$108,MATCH(C336,'Borrowers'!$C$9:$C$108,0))),"Unavailable"))</x:f>
      </x:c>
      <x:c r="K336" s="23" t="str">
        <x:f>IF(C336="","",IFERROR(INDEX('Borrowers'!$I$9:$I$108,MATCH(C336,'Borrowers'!$C$9:$C$108,0))*INDEX('Borrowers'!$U$9:$U$108,MATCH(C336,'Borrowers'!$C$9:$C$108,0))*'Scenario Paths'!I21*S336,"Unavailable"))</x:f>
      </x:c>
      <x:c r="L336" s="23" t="str">
        <x:f>IF(C336="","",IFERROR(SUMPRODUCT((Sites!$D$9:$D$108=C336)*Sites!$H$9:$H$108*Sites!$J$9:$J$108*Sites!$K$9:$K$108*(1-Sites!$L$9:$L$108)*(1-Sites!$M$9:$M$108))*'Scenario Paths'!I27,"Unavailable"))</x:f>
      </x:c>
      <x:c r="M336" s="23" t="str">
        <x:f>IF(C336="","",IFERROR(INDEX('Borrowers'!$J$9:$J$108,MATCH(C336,'Borrowers'!$C$9:$C$108,0))+H336-SUM(I336:L336),"Unavailable"))</x:f>
      </x:c>
      <x:c r="N336" s="23" t="str">
        <x:f>IF(C336="","",IFERROR(INDEX('Borrowers'!$I$9:$I$108,MATCH(C336,'Borrowers'!$C$9:$C$108,0))*'Scenario Paths'!I33,"Unavailable"))</x:f>
      </x:c>
      <x:c r="O336" s="23" t="str">
        <x:f>IF(C336="","",IFERROR(M336-INDEX('Borrowers'!$K$9:$K$108,MATCH(C336,'Borrowers'!$C$9:$C$108,0))-N336,"Unavailable"))</x:f>
      </x:c>
      <x:c r="P336" s="127" t="str">
        <x:f>IF(C336="","",IFERROR(O336/INDEX('Borrowers'!$L$9:$L$108,MATCH(C336,'Borrowers'!$C$9:$C$108,0)),"Unavailable"))</x:f>
      </x:c>
      <x:c r="Q336" s="30" t="str">
        <x:f>IF(C336="","",IFERROR(IF(INDEX('Borrowers'!$Z$9:$Z$108,MATCH(C336,'Borrowers'!$C$9:$C$108,0))="Yes",1,IF(INDEX('Borrowers'!$P$9:$P$108,MATCH(C336,'Borrowers'!$C$9:$C$108,0))=0,0,MIN(1,INDEX('Borrowers'!$P$9:$P$108,MATCH(C336,'Borrowers'!$C$9:$C$108,0))*EXP(MIN(20,INDEX('Borrowers'!$V$9:$V$108,MATCH(C336,'Borrowers'!$C$9:$C$108,0))*V336))))),"Unavailable"))</x:f>
      </x:c>
      <x:c r="R336" s="30" t="str">
        <x:f>IF(C336="","",IFERROR(MIN(1,INDEX('Borrowers'!$Q$9:$Q$108,MATCH(C336,'Borrowers'!$C$9:$C$108,0))+(1-INDEX('Borrowers'!$Q$9:$Q$108,MATCH(C336,'Borrowers'!$C$9:$C$108,0)))*T336),"Unavailable"))</x:f>
      </x:c>
      <x:c r="S336" s="30" t="str">
        <x:f>IF(C336="","",IFERROR(SUMPRODUCT((Sites!$D$9:$D$108=C336)*Sites!$I$9:$I$108*Sites!$J$9:$J$108*Sites!$K$9:$K$108*(1-Sites!$L$9:$L$108)),"Unavailable"))</x:f>
      </x:c>
      <x:c r="T336" s="30" t="str">
        <x:f>IF(C336="","",IFERROR(MIN(1,(SUMPRODUCT((Sites!$D$9:$D$108=C336)*Sites!$N$9:$N$108*Sites!$J$9:$J$108*Sites!$K$9:$K$108*(1-Sites!$L$9:$L$108)))*'Scenario Paths'!I27),"Unavailable"))</x:f>
      </x:c>
      <x:c r="U336" s="9" t="str">
        <x:f>IF(C336="","",IF(OR(INDEX('Borrowers'!$AA$9:$AA$108,MATCH(C336,'Borrowers'!$C$9:$C$108,0))&lt;&gt;"Ready",COUNTIF(Sites!$D$9:$D$108,C336)=0,COUNTIFS(Sites!$D$9:$D$108,C336,Sites!$Q$9:$Q$108,"&lt;&gt;Ready")&gt;0,'Scenario Paths'!$F$6&lt;&gt;"Ready"),"Review source inputs","Ready"))</x:f>
      </x:c>
      <x:c r="V336" s="17" t="str">
        <x:f>IF(C336="","",IFERROR(MAX(-1,(G336-O336)/MAX(0.000001,G336)),"Unavailable"))</x:f>
      </x:c>
      <x:c r="W336" s="9" t="str">
        <x:f>IF(C336="","",IFERROR(INDEX('Borrowers'!$D$9:$D$108,MATCH(C336,'Borrowers'!$C$9:$C$108,0)),"Unavailable"))</x:f>
      </x:c>
    </x:row>
    <x:row r="337" ht="26" customHeight="1">
      <x:c r="A337" s="1"/>
      <x:c r="B337" s="1"/>
      <x:c r="C337" s="9" t="str">
        <x:f>IF(Borrowers!C37="","",Borrowers!C37)</x:f>
      </x:c>
      <x:c r="D337" s="3" t="n">
        <x:v>4</x:v>
      </x:c>
      <x:c r="E337" s="9" t="n">
        <x:f>Settings!$F$18+3</x:f>
        <x:v>2030</x:v>
      </x:c>
      <x:c r="F337" s="9" t="str">
        <x:f>IF(C337="","",INDEX('Borrowers'!$F$9:$F$108,MATCH(C337,'Borrowers'!$C$9:$C$108,0)))</x:f>
      </x:c>
      <x:c r="G337" s="23" t="str">
        <x:f>IF(C337="","",IFERROR(INDEX('Borrowers'!$J$9:$J$108,MATCH(C337,'Borrowers'!$C$9:$C$108,0))-INDEX('Borrowers'!$K$9:$K$108,MATCH(C337,'Borrowers'!$C$9:$C$108,0)),"Unavailable"))</x:f>
      </x:c>
      <x:c r="H337" s="23" t="str">
        <x:f>IF(C337="","",IFERROR(INDEX('Borrowers'!$I$9:$I$108,MATCH(C337,'Borrowers'!$C$9:$C$108,0))*INDEX('Borrowers'!$U$9:$U$108,MATCH(C337,'Borrowers'!$C$9:$C$108,0))*(IF(F337="Transport",'Scenario Paths'!I156,IF(F337="Technology",'Scenario Paths'!I150,IF(F337="Utilities",'Scenario Paths'!I144,IF(F337="Agriculture",'Scenario Paths'!I138,IF(F337="Manufacturing",'Scenario Paths'!I132,IF(F337="Healthcare",'Scenario Paths'!I126,IF(F337="Hospitality",'Scenario Paths'!I120,IF(F337="Property",'Scenario Paths'!I114,IF(F337="Food",'Scenario Paths'!I108,IF(F337="Logistics",'Scenario Paths'!I102,IF(F337="Solar",'Scenario Paths'!I96,IF(F337="Cement",'Scenario Paths'!I90,0))))))))))))),"Unavailable"))</x:f>
      </x:c>
      <x:c r="I337" s="23" t="str">
        <x:f>IF(C337="","",IFERROR(INDEX('Borrowers'!$R$9:$R$108,MATCH(C337,'Borrowers'!$C$9:$C$108,0))*(1-INDEX('Borrowers'!$W$9:$W$108,MATCH(C337,'Borrowers'!$C$9:$C$108,0))*'Scenario Paths'!I39)*'Scenario Paths'!I9/1000000*(1-INDEX('Borrowers'!$T$9:$T$108,MATCH(C337,'Borrowers'!$C$9:$C$108,0))),"Unavailable"))</x:f>
      </x:c>
      <x:c r="J337" s="23" t="str">
        <x:f>IF(C337="","",IFERROR(INDEX('Borrowers'!$I$9:$I$108,MATCH(C337,'Borrowers'!$C$9:$C$108,0))*INDEX('Borrowers'!$S$9:$S$108,MATCH(C337,'Borrowers'!$C$9:$C$108,0))*'Scenario Paths'!I15*(1-INDEX('Borrowers'!$T$9:$T$108,MATCH(C337,'Borrowers'!$C$9:$C$108,0))),"Unavailable"))</x:f>
      </x:c>
      <x:c r="K337" s="23" t="str">
        <x:f>IF(C337="","",IFERROR(INDEX('Borrowers'!$I$9:$I$108,MATCH(C337,'Borrowers'!$C$9:$C$108,0))*INDEX('Borrowers'!$U$9:$U$108,MATCH(C337,'Borrowers'!$C$9:$C$108,0))*'Scenario Paths'!I21*S337,"Unavailable"))</x:f>
      </x:c>
      <x:c r="L337" s="23" t="str">
        <x:f>IF(C337="","",IFERROR(SUMPRODUCT((Sites!$D$9:$D$108=C337)*Sites!$H$9:$H$108*Sites!$J$9:$J$108*Sites!$K$9:$K$108*(1-Sites!$L$9:$L$108)*(1-Sites!$M$9:$M$108))*'Scenario Paths'!I27,"Unavailable"))</x:f>
      </x:c>
      <x:c r="M337" s="23" t="str">
        <x:f>IF(C337="","",IFERROR(INDEX('Borrowers'!$J$9:$J$108,MATCH(C337,'Borrowers'!$C$9:$C$108,0))+H337-SUM(I337:L337),"Unavailable"))</x:f>
      </x:c>
      <x:c r="N337" s="23" t="str">
        <x:f>IF(C337="","",IFERROR(INDEX('Borrowers'!$I$9:$I$108,MATCH(C337,'Borrowers'!$C$9:$C$108,0))*'Scenario Paths'!I33,"Unavailable"))</x:f>
      </x:c>
      <x:c r="O337" s="23" t="str">
        <x:f>IF(C337="","",IFERROR(M337-INDEX('Borrowers'!$K$9:$K$108,MATCH(C337,'Borrowers'!$C$9:$C$108,0))-N337,"Unavailable"))</x:f>
      </x:c>
      <x:c r="P337" s="127" t="str">
        <x:f>IF(C337="","",IFERROR(O337/INDEX('Borrowers'!$L$9:$L$108,MATCH(C337,'Borrowers'!$C$9:$C$108,0)),"Unavailable"))</x:f>
      </x:c>
      <x:c r="Q337" s="30" t="str">
        <x:f>IF(C337="","",IFERROR(IF(INDEX('Borrowers'!$Z$9:$Z$108,MATCH(C337,'Borrowers'!$C$9:$C$108,0))="Yes",1,IF(INDEX('Borrowers'!$P$9:$P$108,MATCH(C337,'Borrowers'!$C$9:$C$108,0))=0,0,MIN(1,INDEX('Borrowers'!$P$9:$P$108,MATCH(C337,'Borrowers'!$C$9:$C$108,0))*EXP(MIN(20,INDEX('Borrowers'!$V$9:$V$108,MATCH(C337,'Borrowers'!$C$9:$C$108,0))*V337))))),"Unavailable"))</x:f>
      </x:c>
      <x:c r="R337" s="30" t="str">
        <x:f>IF(C337="","",IFERROR(MIN(1,INDEX('Borrowers'!$Q$9:$Q$108,MATCH(C337,'Borrowers'!$C$9:$C$108,0))+(1-INDEX('Borrowers'!$Q$9:$Q$108,MATCH(C337,'Borrowers'!$C$9:$C$108,0)))*T337),"Unavailable"))</x:f>
      </x:c>
      <x:c r="S337" s="30" t="str">
        <x:f>IF(C337="","",IFERROR(SUMPRODUCT((Sites!$D$9:$D$108=C337)*Sites!$I$9:$I$108*Sites!$J$9:$J$108*Sites!$K$9:$K$108*(1-Sites!$L$9:$L$108)),"Unavailable"))</x:f>
      </x:c>
      <x:c r="T337" s="30" t="str">
        <x:f>IF(C337="","",IFERROR(MIN(1,(SUMPRODUCT((Sites!$D$9:$D$108=C337)*Sites!$N$9:$N$108*Sites!$J$9:$J$108*Sites!$K$9:$K$108*(1-Sites!$L$9:$L$108)))*'Scenario Paths'!I27),"Unavailable"))</x:f>
      </x:c>
      <x:c r="U337" s="9" t="str">
        <x:f>IF(C337="","",IF(OR(INDEX('Borrowers'!$AA$9:$AA$108,MATCH(C337,'Borrowers'!$C$9:$C$108,0))&lt;&gt;"Ready",COUNTIF(Sites!$D$9:$D$108,C337)=0,COUNTIFS(Sites!$D$9:$D$108,C337,Sites!$Q$9:$Q$108,"&lt;&gt;Ready")&gt;0,'Scenario Paths'!$F$6&lt;&gt;"Ready"),"Review source inputs","Ready"))</x:f>
      </x:c>
      <x:c r="V337" s="17" t="str">
        <x:f>IF(C337="","",IFERROR(MAX(-1,(G337-O337)/MAX(0.000001,G337)),"Unavailable"))</x:f>
      </x:c>
      <x:c r="W337" s="9" t="str">
        <x:f>IF(C337="","",IFERROR(INDEX('Borrowers'!$D$9:$D$108,MATCH(C337,'Borrowers'!$C$9:$C$108,0)),"Unavailable"))</x:f>
      </x:c>
    </x:row>
    <x:row r="338" ht="26" customHeight="1">
      <x:c r="A338" s="1"/>
      <x:c r="B338" s="1"/>
      <x:c r="C338" s="9" t="str">
        <x:f>IF(Borrowers!C38="","",Borrowers!C38)</x:f>
      </x:c>
      <x:c r="D338" s="3" t="n">
        <x:v>4</x:v>
      </x:c>
      <x:c r="E338" s="9" t="n">
        <x:f>Settings!$F$18+3</x:f>
        <x:v>2030</x:v>
      </x:c>
      <x:c r="F338" s="9" t="str">
        <x:f>IF(C338="","",INDEX('Borrowers'!$F$9:$F$108,MATCH(C338,'Borrowers'!$C$9:$C$108,0)))</x:f>
      </x:c>
      <x:c r="G338" s="23" t="str">
        <x:f>IF(C338="","",IFERROR(INDEX('Borrowers'!$J$9:$J$108,MATCH(C338,'Borrowers'!$C$9:$C$108,0))-INDEX('Borrowers'!$K$9:$K$108,MATCH(C338,'Borrowers'!$C$9:$C$108,0)),"Unavailable"))</x:f>
      </x:c>
      <x:c r="H338" s="23" t="str">
        <x:f>IF(C338="","",IFERROR(INDEX('Borrowers'!$I$9:$I$108,MATCH(C338,'Borrowers'!$C$9:$C$108,0))*INDEX('Borrowers'!$U$9:$U$108,MATCH(C338,'Borrowers'!$C$9:$C$108,0))*(IF(F338="Transport",'Scenario Paths'!I156,IF(F338="Technology",'Scenario Paths'!I150,IF(F338="Utilities",'Scenario Paths'!I144,IF(F338="Agriculture",'Scenario Paths'!I138,IF(F338="Manufacturing",'Scenario Paths'!I132,IF(F338="Healthcare",'Scenario Paths'!I126,IF(F338="Hospitality",'Scenario Paths'!I120,IF(F338="Property",'Scenario Paths'!I114,IF(F338="Food",'Scenario Paths'!I108,IF(F338="Logistics",'Scenario Paths'!I102,IF(F338="Solar",'Scenario Paths'!I96,IF(F338="Cement",'Scenario Paths'!I90,0))))))))))))),"Unavailable"))</x:f>
      </x:c>
      <x:c r="I338" s="23" t="str">
        <x:f>IF(C338="","",IFERROR(INDEX('Borrowers'!$R$9:$R$108,MATCH(C338,'Borrowers'!$C$9:$C$108,0))*(1-INDEX('Borrowers'!$W$9:$W$108,MATCH(C338,'Borrowers'!$C$9:$C$108,0))*'Scenario Paths'!I39)*'Scenario Paths'!I9/1000000*(1-INDEX('Borrowers'!$T$9:$T$108,MATCH(C338,'Borrowers'!$C$9:$C$108,0))),"Unavailable"))</x:f>
      </x:c>
      <x:c r="J338" s="23" t="str">
        <x:f>IF(C338="","",IFERROR(INDEX('Borrowers'!$I$9:$I$108,MATCH(C338,'Borrowers'!$C$9:$C$108,0))*INDEX('Borrowers'!$S$9:$S$108,MATCH(C338,'Borrowers'!$C$9:$C$108,0))*'Scenario Paths'!I15*(1-INDEX('Borrowers'!$T$9:$T$108,MATCH(C338,'Borrowers'!$C$9:$C$108,0))),"Unavailable"))</x:f>
      </x:c>
      <x:c r="K338" s="23" t="str">
        <x:f>IF(C338="","",IFERROR(INDEX('Borrowers'!$I$9:$I$108,MATCH(C338,'Borrowers'!$C$9:$C$108,0))*INDEX('Borrowers'!$U$9:$U$108,MATCH(C338,'Borrowers'!$C$9:$C$108,0))*'Scenario Paths'!I21*S338,"Unavailable"))</x:f>
      </x:c>
      <x:c r="L338" s="23" t="str">
        <x:f>IF(C338="","",IFERROR(SUMPRODUCT((Sites!$D$9:$D$108=C338)*Sites!$H$9:$H$108*Sites!$J$9:$J$108*Sites!$K$9:$K$108*(1-Sites!$L$9:$L$108)*(1-Sites!$M$9:$M$108))*'Scenario Paths'!I27,"Unavailable"))</x:f>
      </x:c>
      <x:c r="M338" s="23" t="str">
        <x:f>IF(C338="","",IFERROR(INDEX('Borrowers'!$J$9:$J$108,MATCH(C338,'Borrowers'!$C$9:$C$108,0))+H338-SUM(I338:L338),"Unavailable"))</x:f>
      </x:c>
      <x:c r="N338" s="23" t="str">
        <x:f>IF(C338="","",IFERROR(INDEX('Borrowers'!$I$9:$I$108,MATCH(C338,'Borrowers'!$C$9:$C$108,0))*'Scenario Paths'!I33,"Unavailable"))</x:f>
      </x:c>
      <x:c r="O338" s="23" t="str">
        <x:f>IF(C338="","",IFERROR(M338-INDEX('Borrowers'!$K$9:$K$108,MATCH(C338,'Borrowers'!$C$9:$C$108,0))-N338,"Unavailable"))</x:f>
      </x:c>
      <x:c r="P338" s="127" t="str">
        <x:f>IF(C338="","",IFERROR(O338/INDEX('Borrowers'!$L$9:$L$108,MATCH(C338,'Borrowers'!$C$9:$C$108,0)),"Unavailable"))</x:f>
      </x:c>
      <x:c r="Q338" s="30" t="str">
        <x:f>IF(C338="","",IFERROR(IF(INDEX('Borrowers'!$Z$9:$Z$108,MATCH(C338,'Borrowers'!$C$9:$C$108,0))="Yes",1,IF(INDEX('Borrowers'!$P$9:$P$108,MATCH(C338,'Borrowers'!$C$9:$C$108,0))=0,0,MIN(1,INDEX('Borrowers'!$P$9:$P$108,MATCH(C338,'Borrowers'!$C$9:$C$108,0))*EXP(MIN(20,INDEX('Borrowers'!$V$9:$V$108,MATCH(C338,'Borrowers'!$C$9:$C$108,0))*V338))))),"Unavailable"))</x:f>
      </x:c>
      <x:c r="R338" s="30" t="str">
        <x:f>IF(C338="","",IFERROR(MIN(1,INDEX('Borrowers'!$Q$9:$Q$108,MATCH(C338,'Borrowers'!$C$9:$C$108,0))+(1-INDEX('Borrowers'!$Q$9:$Q$108,MATCH(C338,'Borrowers'!$C$9:$C$108,0)))*T338),"Unavailable"))</x:f>
      </x:c>
      <x:c r="S338" s="30" t="str">
        <x:f>IF(C338="","",IFERROR(SUMPRODUCT((Sites!$D$9:$D$108=C338)*Sites!$I$9:$I$108*Sites!$J$9:$J$108*Sites!$K$9:$K$108*(1-Sites!$L$9:$L$108)),"Unavailable"))</x:f>
      </x:c>
      <x:c r="T338" s="30" t="str">
        <x:f>IF(C338="","",IFERROR(MIN(1,(SUMPRODUCT((Sites!$D$9:$D$108=C338)*Sites!$N$9:$N$108*Sites!$J$9:$J$108*Sites!$K$9:$K$108*(1-Sites!$L$9:$L$108)))*'Scenario Paths'!I27),"Unavailable"))</x:f>
      </x:c>
      <x:c r="U338" s="9" t="str">
        <x:f>IF(C338="","",IF(OR(INDEX('Borrowers'!$AA$9:$AA$108,MATCH(C338,'Borrowers'!$C$9:$C$108,0))&lt;&gt;"Ready",COUNTIF(Sites!$D$9:$D$108,C338)=0,COUNTIFS(Sites!$D$9:$D$108,C338,Sites!$Q$9:$Q$108,"&lt;&gt;Ready")&gt;0,'Scenario Paths'!$F$6&lt;&gt;"Ready"),"Review source inputs","Ready"))</x:f>
      </x:c>
      <x:c r="V338" s="17" t="str">
        <x:f>IF(C338="","",IFERROR(MAX(-1,(G338-O338)/MAX(0.000001,G338)),"Unavailable"))</x:f>
      </x:c>
      <x:c r="W338" s="9" t="str">
        <x:f>IF(C338="","",IFERROR(INDEX('Borrowers'!$D$9:$D$108,MATCH(C338,'Borrowers'!$C$9:$C$108,0)),"Unavailable"))</x:f>
      </x:c>
    </x:row>
    <x:row r="339" ht="26" customHeight="1">
      <x:c r="A339" s="1"/>
      <x:c r="B339" s="1"/>
      <x:c r="C339" s="9" t="str">
        <x:f>IF(Borrowers!C39="","",Borrowers!C39)</x:f>
      </x:c>
      <x:c r="D339" s="3" t="n">
        <x:v>4</x:v>
      </x:c>
      <x:c r="E339" s="9" t="n">
        <x:f>Settings!$F$18+3</x:f>
        <x:v>2030</x:v>
      </x:c>
      <x:c r="F339" s="9" t="str">
        <x:f>IF(C339="","",INDEX('Borrowers'!$F$9:$F$108,MATCH(C339,'Borrowers'!$C$9:$C$108,0)))</x:f>
      </x:c>
      <x:c r="G339" s="23" t="str">
        <x:f>IF(C339="","",IFERROR(INDEX('Borrowers'!$J$9:$J$108,MATCH(C339,'Borrowers'!$C$9:$C$108,0))-INDEX('Borrowers'!$K$9:$K$108,MATCH(C339,'Borrowers'!$C$9:$C$108,0)),"Unavailable"))</x:f>
      </x:c>
      <x:c r="H339" s="23" t="str">
        <x:f>IF(C339="","",IFERROR(INDEX('Borrowers'!$I$9:$I$108,MATCH(C339,'Borrowers'!$C$9:$C$108,0))*INDEX('Borrowers'!$U$9:$U$108,MATCH(C339,'Borrowers'!$C$9:$C$108,0))*(IF(F339="Transport",'Scenario Paths'!I156,IF(F339="Technology",'Scenario Paths'!I150,IF(F339="Utilities",'Scenario Paths'!I144,IF(F339="Agriculture",'Scenario Paths'!I138,IF(F339="Manufacturing",'Scenario Paths'!I132,IF(F339="Healthcare",'Scenario Paths'!I126,IF(F339="Hospitality",'Scenario Paths'!I120,IF(F339="Property",'Scenario Paths'!I114,IF(F339="Food",'Scenario Paths'!I108,IF(F339="Logistics",'Scenario Paths'!I102,IF(F339="Solar",'Scenario Paths'!I96,IF(F339="Cement",'Scenario Paths'!I90,0))))))))))))),"Unavailable"))</x:f>
      </x:c>
      <x:c r="I339" s="23" t="str">
        <x:f>IF(C339="","",IFERROR(INDEX('Borrowers'!$R$9:$R$108,MATCH(C339,'Borrowers'!$C$9:$C$108,0))*(1-INDEX('Borrowers'!$W$9:$W$108,MATCH(C339,'Borrowers'!$C$9:$C$108,0))*'Scenario Paths'!I39)*'Scenario Paths'!I9/1000000*(1-INDEX('Borrowers'!$T$9:$T$108,MATCH(C339,'Borrowers'!$C$9:$C$108,0))),"Unavailable"))</x:f>
      </x:c>
      <x:c r="J339" s="23" t="str">
        <x:f>IF(C339="","",IFERROR(INDEX('Borrowers'!$I$9:$I$108,MATCH(C339,'Borrowers'!$C$9:$C$108,0))*INDEX('Borrowers'!$S$9:$S$108,MATCH(C339,'Borrowers'!$C$9:$C$108,0))*'Scenario Paths'!I15*(1-INDEX('Borrowers'!$T$9:$T$108,MATCH(C339,'Borrowers'!$C$9:$C$108,0))),"Unavailable"))</x:f>
      </x:c>
      <x:c r="K339" s="23" t="str">
        <x:f>IF(C339="","",IFERROR(INDEX('Borrowers'!$I$9:$I$108,MATCH(C339,'Borrowers'!$C$9:$C$108,0))*INDEX('Borrowers'!$U$9:$U$108,MATCH(C339,'Borrowers'!$C$9:$C$108,0))*'Scenario Paths'!I21*S339,"Unavailable"))</x:f>
      </x:c>
      <x:c r="L339" s="23" t="str">
        <x:f>IF(C339="","",IFERROR(SUMPRODUCT((Sites!$D$9:$D$108=C339)*Sites!$H$9:$H$108*Sites!$J$9:$J$108*Sites!$K$9:$K$108*(1-Sites!$L$9:$L$108)*(1-Sites!$M$9:$M$108))*'Scenario Paths'!I27,"Unavailable"))</x:f>
      </x:c>
      <x:c r="M339" s="23" t="str">
        <x:f>IF(C339="","",IFERROR(INDEX('Borrowers'!$J$9:$J$108,MATCH(C339,'Borrowers'!$C$9:$C$108,0))+H339-SUM(I339:L339),"Unavailable"))</x:f>
      </x:c>
      <x:c r="N339" s="23" t="str">
        <x:f>IF(C339="","",IFERROR(INDEX('Borrowers'!$I$9:$I$108,MATCH(C339,'Borrowers'!$C$9:$C$108,0))*'Scenario Paths'!I33,"Unavailable"))</x:f>
      </x:c>
      <x:c r="O339" s="23" t="str">
        <x:f>IF(C339="","",IFERROR(M339-INDEX('Borrowers'!$K$9:$K$108,MATCH(C339,'Borrowers'!$C$9:$C$108,0))-N339,"Unavailable"))</x:f>
      </x:c>
      <x:c r="P339" s="127" t="str">
        <x:f>IF(C339="","",IFERROR(O339/INDEX('Borrowers'!$L$9:$L$108,MATCH(C339,'Borrowers'!$C$9:$C$108,0)),"Unavailable"))</x:f>
      </x:c>
      <x:c r="Q339" s="30" t="str">
        <x:f>IF(C339="","",IFERROR(IF(INDEX('Borrowers'!$Z$9:$Z$108,MATCH(C339,'Borrowers'!$C$9:$C$108,0))="Yes",1,IF(INDEX('Borrowers'!$P$9:$P$108,MATCH(C339,'Borrowers'!$C$9:$C$108,0))=0,0,MIN(1,INDEX('Borrowers'!$P$9:$P$108,MATCH(C339,'Borrowers'!$C$9:$C$108,0))*EXP(MIN(20,INDEX('Borrowers'!$V$9:$V$108,MATCH(C339,'Borrowers'!$C$9:$C$108,0))*V339))))),"Unavailable"))</x:f>
      </x:c>
      <x:c r="R339" s="30" t="str">
        <x:f>IF(C339="","",IFERROR(MIN(1,INDEX('Borrowers'!$Q$9:$Q$108,MATCH(C339,'Borrowers'!$C$9:$C$108,0))+(1-INDEX('Borrowers'!$Q$9:$Q$108,MATCH(C339,'Borrowers'!$C$9:$C$108,0)))*T339),"Unavailable"))</x:f>
      </x:c>
      <x:c r="S339" s="30" t="str">
        <x:f>IF(C339="","",IFERROR(SUMPRODUCT((Sites!$D$9:$D$108=C339)*Sites!$I$9:$I$108*Sites!$J$9:$J$108*Sites!$K$9:$K$108*(1-Sites!$L$9:$L$108)),"Unavailable"))</x:f>
      </x:c>
      <x:c r="T339" s="30" t="str">
        <x:f>IF(C339="","",IFERROR(MIN(1,(SUMPRODUCT((Sites!$D$9:$D$108=C339)*Sites!$N$9:$N$108*Sites!$J$9:$J$108*Sites!$K$9:$K$108*(1-Sites!$L$9:$L$108)))*'Scenario Paths'!I27),"Unavailable"))</x:f>
      </x:c>
      <x:c r="U339" s="9" t="str">
        <x:f>IF(C339="","",IF(OR(INDEX('Borrowers'!$AA$9:$AA$108,MATCH(C339,'Borrowers'!$C$9:$C$108,0))&lt;&gt;"Ready",COUNTIF(Sites!$D$9:$D$108,C339)=0,COUNTIFS(Sites!$D$9:$D$108,C339,Sites!$Q$9:$Q$108,"&lt;&gt;Ready")&gt;0,'Scenario Paths'!$F$6&lt;&gt;"Ready"),"Review source inputs","Ready"))</x:f>
      </x:c>
      <x:c r="V339" s="17" t="str">
        <x:f>IF(C339="","",IFERROR(MAX(-1,(G339-O339)/MAX(0.000001,G339)),"Unavailable"))</x:f>
      </x:c>
      <x:c r="W339" s="9" t="str">
        <x:f>IF(C339="","",IFERROR(INDEX('Borrowers'!$D$9:$D$108,MATCH(C339,'Borrowers'!$C$9:$C$108,0)),"Unavailable"))</x:f>
      </x:c>
    </x:row>
    <x:row r="340" ht="26" customHeight="1">
      <x:c r="A340" s="1"/>
      <x:c r="B340" s="1"/>
      <x:c r="C340" s="9" t="str">
        <x:f>IF(Borrowers!C40="","",Borrowers!C40)</x:f>
      </x:c>
      <x:c r="D340" s="3" t="n">
        <x:v>4</x:v>
      </x:c>
      <x:c r="E340" s="9" t="n">
        <x:f>Settings!$F$18+3</x:f>
        <x:v>2030</x:v>
      </x:c>
      <x:c r="F340" s="9" t="str">
        <x:f>IF(C340="","",INDEX('Borrowers'!$F$9:$F$108,MATCH(C340,'Borrowers'!$C$9:$C$108,0)))</x:f>
      </x:c>
      <x:c r="G340" s="23" t="str">
        <x:f>IF(C340="","",IFERROR(INDEX('Borrowers'!$J$9:$J$108,MATCH(C340,'Borrowers'!$C$9:$C$108,0))-INDEX('Borrowers'!$K$9:$K$108,MATCH(C340,'Borrowers'!$C$9:$C$108,0)),"Unavailable"))</x:f>
      </x:c>
      <x:c r="H340" s="23" t="str">
        <x:f>IF(C340="","",IFERROR(INDEX('Borrowers'!$I$9:$I$108,MATCH(C340,'Borrowers'!$C$9:$C$108,0))*INDEX('Borrowers'!$U$9:$U$108,MATCH(C340,'Borrowers'!$C$9:$C$108,0))*(IF(F340="Transport",'Scenario Paths'!I156,IF(F340="Technology",'Scenario Paths'!I150,IF(F340="Utilities",'Scenario Paths'!I144,IF(F340="Agriculture",'Scenario Paths'!I138,IF(F340="Manufacturing",'Scenario Paths'!I132,IF(F340="Healthcare",'Scenario Paths'!I126,IF(F340="Hospitality",'Scenario Paths'!I120,IF(F340="Property",'Scenario Paths'!I114,IF(F340="Food",'Scenario Paths'!I108,IF(F340="Logistics",'Scenario Paths'!I102,IF(F340="Solar",'Scenario Paths'!I96,IF(F340="Cement",'Scenario Paths'!I90,0))))))))))))),"Unavailable"))</x:f>
      </x:c>
      <x:c r="I340" s="23" t="str">
        <x:f>IF(C340="","",IFERROR(INDEX('Borrowers'!$R$9:$R$108,MATCH(C340,'Borrowers'!$C$9:$C$108,0))*(1-INDEX('Borrowers'!$W$9:$W$108,MATCH(C340,'Borrowers'!$C$9:$C$108,0))*'Scenario Paths'!I39)*'Scenario Paths'!I9/1000000*(1-INDEX('Borrowers'!$T$9:$T$108,MATCH(C340,'Borrowers'!$C$9:$C$108,0))),"Unavailable"))</x:f>
      </x:c>
      <x:c r="J340" s="23" t="str">
        <x:f>IF(C340="","",IFERROR(INDEX('Borrowers'!$I$9:$I$108,MATCH(C340,'Borrowers'!$C$9:$C$108,0))*INDEX('Borrowers'!$S$9:$S$108,MATCH(C340,'Borrowers'!$C$9:$C$108,0))*'Scenario Paths'!I15*(1-INDEX('Borrowers'!$T$9:$T$108,MATCH(C340,'Borrowers'!$C$9:$C$108,0))),"Unavailable"))</x:f>
      </x:c>
      <x:c r="K340" s="23" t="str">
        <x:f>IF(C340="","",IFERROR(INDEX('Borrowers'!$I$9:$I$108,MATCH(C340,'Borrowers'!$C$9:$C$108,0))*INDEX('Borrowers'!$U$9:$U$108,MATCH(C340,'Borrowers'!$C$9:$C$108,0))*'Scenario Paths'!I21*S340,"Unavailable"))</x:f>
      </x:c>
      <x:c r="L340" s="23" t="str">
        <x:f>IF(C340="","",IFERROR(SUMPRODUCT((Sites!$D$9:$D$108=C340)*Sites!$H$9:$H$108*Sites!$J$9:$J$108*Sites!$K$9:$K$108*(1-Sites!$L$9:$L$108)*(1-Sites!$M$9:$M$108))*'Scenario Paths'!I27,"Unavailable"))</x:f>
      </x:c>
      <x:c r="M340" s="23" t="str">
        <x:f>IF(C340="","",IFERROR(INDEX('Borrowers'!$J$9:$J$108,MATCH(C340,'Borrowers'!$C$9:$C$108,0))+H340-SUM(I340:L340),"Unavailable"))</x:f>
      </x:c>
      <x:c r="N340" s="23" t="str">
        <x:f>IF(C340="","",IFERROR(INDEX('Borrowers'!$I$9:$I$108,MATCH(C340,'Borrowers'!$C$9:$C$108,0))*'Scenario Paths'!I33,"Unavailable"))</x:f>
      </x:c>
      <x:c r="O340" s="23" t="str">
        <x:f>IF(C340="","",IFERROR(M340-INDEX('Borrowers'!$K$9:$K$108,MATCH(C340,'Borrowers'!$C$9:$C$108,0))-N340,"Unavailable"))</x:f>
      </x:c>
      <x:c r="P340" s="127" t="str">
        <x:f>IF(C340="","",IFERROR(O340/INDEX('Borrowers'!$L$9:$L$108,MATCH(C340,'Borrowers'!$C$9:$C$108,0)),"Unavailable"))</x:f>
      </x:c>
      <x:c r="Q340" s="30" t="str">
        <x:f>IF(C340="","",IFERROR(IF(INDEX('Borrowers'!$Z$9:$Z$108,MATCH(C340,'Borrowers'!$C$9:$C$108,0))="Yes",1,IF(INDEX('Borrowers'!$P$9:$P$108,MATCH(C340,'Borrowers'!$C$9:$C$108,0))=0,0,MIN(1,INDEX('Borrowers'!$P$9:$P$108,MATCH(C340,'Borrowers'!$C$9:$C$108,0))*EXP(MIN(20,INDEX('Borrowers'!$V$9:$V$108,MATCH(C340,'Borrowers'!$C$9:$C$108,0))*V340))))),"Unavailable"))</x:f>
      </x:c>
      <x:c r="R340" s="30" t="str">
        <x:f>IF(C340="","",IFERROR(MIN(1,INDEX('Borrowers'!$Q$9:$Q$108,MATCH(C340,'Borrowers'!$C$9:$C$108,0))+(1-INDEX('Borrowers'!$Q$9:$Q$108,MATCH(C340,'Borrowers'!$C$9:$C$108,0)))*T340),"Unavailable"))</x:f>
      </x:c>
      <x:c r="S340" s="30" t="str">
        <x:f>IF(C340="","",IFERROR(SUMPRODUCT((Sites!$D$9:$D$108=C340)*Sites!$I$9:$I$108*Sites!$J$9:$J$108*Sites!$K$9:$K$108*(1-Sites!$L$9:$L$108)),"Unavailable"))</x:f>
      </x:c>
      <x:c r="T340" s="30" t="str">
        <x:f>IF(C340="","",IFERROR(MIN(1,(SUMPRODUCT((Sites!$D$9:$D$108=C340)*Sites!$N$9:$N$108*Sites!$J$9:$J$108*Sites!$K$9:$K$108*(1-Sites!$L$9:$L$108)))*'Scenario Paths'!I27),"Unavailable"))</x:f>
      </x:c>
      <x:c r="U340" s="9" t="str">
        <x:f>IF(C340="","",IF(OR(INDEX('Borrowers'!$AA$9:$AA$108,MATCH(C340,'Borrowers'!$C$9:$C$108,0))&lt;&gt;"Ready",COUNTIF(Sites!$D$9:$D$108,C340)=0,COUNTIFS(Sites!$D$9:$D$108,C340,Sites!$Q$9:$Q$108,"&lt;&gt;Ready")&gt;0,'Scenario Paths'!$F$6&lt;&gt;"Ready"),"Review source inputs","Ready"))</x:f>
      </x:c>
      <x:c r="V340" s="17" t="str">
        <x:f>IF(C340="","",IFERROR(MAX(-1,(G340-O340)/MAX(0.000001,G340)),"Unavailable"))</x:f>
      </x:c>
      <x:c r="W340" s="9" t="str">
        <x:f>IF(C340="","",IFERROR(INDEX('Borrowers'!$D$9:$D$108,MATCH(C340,'Borrowers'!$C$9:$C$108,0)),"Unavailable"))</x:f>
      </x:c>
    </x:row>
    <x:row r="341" ht="26" customHeight="1">
      <x:c r="A341" s="1"/>
      <x:c r="B341" s="1"/>
      <x:c r="C341" s="9" t="str">
        <x:f>IF(Borrowers!C41="","",Borrowers!C41)</x:f>
      </x:c>
      <x:c r="D341" s="3" t="n">
        <x:v>4</x:v>
      </x:c>
      <x:c r="E341" s="9" t="n">
        <x:f>Settings!$F$18+3</x:f>
        <x:v>2030</x:v>
      </x:c>
      <x:c r="F341" s="9" t="str">
        <x:f>IF(C341="","",INDEX('Borrowers'!$F$9:$F$108,MATCH(C341,'Borrowers'!$C$9:$C$108,0)))</x:f>
      </x:c>
      <x:c r="G341" s="23" t="str">
        <x:f>IF(C341="","",IFERROR(INDEX('Borrowers'!$J$9:$J$108,MATCH(C341,'Borrowers'!$C$9:$C$108,0))-INDEX('Borrowers'!$K$9:$K$108,MATCH(C341,'Borrowers'!$C$9:$C$108,0)),"Unavailable"))</x:f>
      </x:c>
      <x:c r="H341" s="23" t="str">
        <x:f>IF(C341="","",IFERROR(INDEX('Borrowers'!$I$9:$I$108,MATCH(C341,'Borrowers'!$C$9:$C$108,0))*INDEX('Borrowers'!$U$9:$U$108,MATCH(C341,'Borrowers'!$C$9:$C$108,0))*(IF(F341="Transport",'Scenario Paths'!I156,IF(F341="Technology",'Scenario Paths'!I150,IF(F341="Utilities",'Scenario Paths'!I144,IF(F341="Agriculture",'Scenario Paths'!I138,IF(F341="Manufacturing",'Scenario Paths'!I132,IF(F341="Healthcare",'Scenario Paths'!I126,IF(F341="Hospitality",'Scenario Paths'!I120,IF(F341="Property",'Scenario Paths'!I114,IF(F341="Food",'Scenario Paths'!I108,IF(F341="Logistics",'Scenario Paths'!I102,IF(F341="Solar",'Scenario Paths'!I96,IF(F341="Cement",'Scenario Paths'!I90,0))))))))))))),"Unavailable"))</x:f>
      </x:c>
      <x:c r="I341" s="23" t="str">
        <x:f>IF(C341="","",IFERROR(INDEX('Borrowers'!$R$9:$R$108,MATCH(C341,'Borrowers'!$C$9:$C$108,0))*(1-INDEX('Borrowers'!$W$9:$W$108,MATCH(C341,'Borrowers'!$C$9:$C$108,0))*'Scenario Paths'!I39)*'Scenario Paths'!I9/1000000*(1-INDEX('Borrowers'!$T$9:$T$108,MATCH(C341,'Borrowers'!$C$9:$C$108,0))),"Unavailable"))</x:f>
      </x:c>
      <x:c r="J341" s="23" t="str">
        <x:f>IF(C341="","",IFERROR(INDEX('Borrowers'!$I$9:$I$108,MATCH(C341,'Borrowers'!$C$9:$C$108,0))*INDEX('Borrowers'!$S$9:$S$108,MATCH(C341,'Borrowers'!$C$9:$C$108,0))*'Scenario Paths'!I15*(1-INDEX('Borrowers'!$T$9:$T$108,MATCH(C341,'Borrowers'!$C$9:$C$108,0))),"Unavailable"))</x:f>
      </x:c>
      <x:c r="K341" s="23" t="str">
        <x:f>IF(C341="","",IFERROR(INDEX('Borrowers'!$I$9:$I$108,MATCH(C341,'Borrowers'!$C$9:$C$108,0))*INDEX('Borrowers'!$U$9:$U$108,MATCH(C341,'Borrowers'!$C$9:$C$108,0))*'Scenario Paths'!I21*S341,"Unavailable"))</x:f>
      </x:c>
      <x:c r="L341" s="23" t="str">
        <x:f>IF(C341="","",IFERROR(SUMPRODUCT((Sites!$D$9:$D$108=C341)*Sites!$H$9:$H$108*Sites!$J$9:$J$108*Sites!$K$9:$K$108*(1-Sites!$L$9:$L$108)*(1-Sites!$M$9:$M$108))*'Scenario Paths'!I27,"Unavailable"))</x:f>
      </x:c>
      <x:c r="M341" s="23" t="str">
        <x:f>IF(C341="","",IFERROR(INDEX('Borrowers'!$J$9:$J$108,MATCH(C341,'Borrowers'!$C$9:$C$108,0))+H341-SUM(I341:L341),"Unavailable"))</x:f>
      </x:c>
      <x:c r="N341" s="23" t="str">
        <x:f>IF(C341="","",IFERROR(INDEX('Borrowers'!$I$9:$I$108,MATCH(C341,'Borrowers'!$C$9:$C$108,0))*'Scenario Paths'!I33,"Unavailable"))</x:f>
      </x:c>
      <x:c r="O341" s="23" t="str">
        <x:f>IF(C341="","",IFERROR(M341-INDEX('Borrowers'!$K$9:$K$108,MATCH(C341,'Borrowers'!$C$9:$C$108,0))-N341,"Unavailable"))</x:f>
      </x:c>
      <x:c r="P341" s="127" t="str">
        <x:f>IF(C341="","",IFERROR(O341/INDEX('Borrowers'!$L$9:$L$108,MATCH(C341,'Borrowers'!$C$9:$C$108,0)),"Unavailable"))</x:f>
      </x:c>
      <x:c r="Q341" s="30" t="str">
        <x:f>IF(C341="","",IFERROR(IF(INDEX('Borrowers'!$Z$9:$Z$108,MATCH(C341,'Borrowers'!$C$9:$C$108,0))="Yes",1,IF(INDEX('Borrowers'!$P$9:$P$108,MATCH(C341,'Borrowers'!$C$9:$C$108,0))=0,0,MIN(1,INDEX('Borrowers'!$P$9:$P$108,MATCH(C341,'Borrowers'!$C$9:$C$108,0))*EXP(MIN(20,INDEX('Borrowers'!$V$9:$V$108,MATCH(C341,'Borrowers'!$C$9:$C$108,0))*V341))))),"Unavailable"))</x:f>
      </x:c>
      <x:c r="R341" s="30" t="str">
        <x:f>IF(C341="","",IFERROR(MIN(1,INDEX('Borrowers'!$Q$9:$Q$108,MATCH(C341,'Borrowers'!$C$9:$C$108,0))+(1-INDEX('Borrowers'!$Q$9:$Q$108,MATCH(C341,'Borrowers'!$C$9:$C$108,0)))*T341),"Unavailable"))</x:f>
      </x:c>
      <x:c r="S341" s="30" t="str">
        <x:f>IF(C341="","",IFERROR(SUMPRODUCT((Sites!$D$9:$D$108=C341)*Sites!$I$9:$I$108*Sites!$J$9:$J$108*Sites!$K$9:$K$108*(1-Sites!$L$9:$L$108)),"Unavailable"))</x:f>
      </x:c>
      <x:c r="T341" s="30" t="str">
        <x:f>IF(C341="","",IFERROR(MIN(1,(SUMPRODUCT((Sites!$D$9:$D$108=C341)*Sites!$N$9:$N$108*Sites!$J$9:$J$108*Sites!$K$9:$K$108*(1-Sites!$L$9:$L$108)))*'Scenario Paths'!I27),"Unavailable"))</x:f>
      </x:c>
      <x:c r="U341" s="9" t="str">
        <x:f>IF(C341="","",IF(OR(INDEX('Borrowers'!$AA$9:$AA$108,MATCH(C341,'Borrowers'!$C$9:$C$108,0))&lt;&gt;"Ready",COUNTIF(Sites!$D$9:$D$108,C341)=0,COUNTIFS(Sites!$D$9:$D$108,C341,Sites!$Q$9:$Q$108,"&lt;&gt;Ready")&gt;0,'Scenario Paths'!$F$6&lt;&gt;"Ready"),"Review source inputs","Ready"))</x:f>
      </x:c>
      <x:c r="V341" s="17" t="str">
        <x:f>IF(C341="","",IFERROR(MAX(-1,(G341-O341)/MAX(0.000001,G341)),"Unavailable"))</x:f>
      </x:c>
      <x:c r="W341" s="9" t="str">
        <x:f>IF(C341="","",IFERROR(INDEX('Borrowers'!$D$9:$D$108,MATCH(C341,'Borrowers'!$C$9:$C$108,0)),"Unavailable"))</x:f>
      </x:c>
    </x:row>
    <x:row r="342" ht="26" customHeight="1">
      <x:c r="A342" s="1"/>
      <x:c r="B342" s="1"/>
      <x:c r="C342" s="9" t="str">
        <x:f>IF(Borrowers!C42="","",Borrowers!C42)</x:f>
      </x:c>
      <x:c r="D342" s="3" t="n">
        <x:v>4</x:v>
      </x:c>
      <x:c r="E342" s="9" t="n">
        <x:f>Settings!$F$18+3</x:f>
        <x:v>2030</x:v>
      </x:c>
      <x:c r="F342" s="9" t="str">
        <x:f>IF(C342="","",INDEX('Borrowers'!$F$9:$F$108,MATCH(C342,'Borrowers'!$C$9:$C$108,0)))</x:f>
      </x:c>
      <x:c r="G342" s="23" t="str">
        <x:f>IF(C342="","",IFERROR(INDEX('Borrowers'!$J$9:$J$108,MATCH(C342,'Borrowers'!$C$9:$C$108,0))-INDEX('Borrowers'!$K$9:$K$108,MATCH(C342,'Borrowers'!$C$9:$C$108,0)),"Unavailable"))</x:f>
      </x:c>
      <x:c r="H342" s="23" t="str">
        <x:f>IF(C342="","",IFERROR(INDEX('Borrowers'!$I$9:$I$108,MATCH(C342,'Borrowers'!$C$9:$C$108,0))*INDEX('Borrowers'!$U$9:$U$108,MATCH(C342,'Borrowers'!$C$9:$C$108,0))*(IF(F342="Transport",'Scenario Paths'!I156,IF(F342="Technology",'Scenario Paths'!I150,IF(F342="Utilities",'Scenario Paths'!I144,IF(F342="Agriculture",'Scenario Paths'!I138,IF(F342="Manufacturing",'Scenario Paths'!I132,IF(F342="Healthcare",'Scenario Paths'!I126,IF(F342="Hospitality",'Scenario Paths'!I120,IF(F342="Property",'Scenario Paths'!I114,IF(F342="Food",'Scenario Paths'!I108,IF(F342="Logistics",'Scenario Paths'!I102,IF(F342="Solar",'Scenario Paths'!I96,IF(F342="Cement",'Scenario Paths'!I90,0))))))))))))),"Unavailable"))</x:f>
      </x:c>
      <x:c r="I342" s="23" t="str">
        <x:f>IF(C342="","",IFERROR(INDEX('Borrowers'!$R$9:$R$108,MATCH(C342,'Borrowers'!$C$9:$C$108,0))*(1-INDEX('Borrowers'!$W$9:$W$108,MATCH(C342,'Borrowers'!$C$9:$C$108,0))*'Scenario Paths'!I39)*'Scenario Paths'!I9/1000000*(1-INDEX('Borrowers'!$T$9:$T$108,MATCH(C342,'Borrowers'!$C$9:$C$108,0))),"Unavailable"))</x:f>
      </x:c>
      <x:c r="J342" s="23" t="str">
        <x:f>IF(C342="","",IFERROR(INDEX('Borrowers'!$I$9:$I$108,MATCH(C342,'Borrowers'!$C$9:$C$108,0))*INDEX('Borrowers'!$S$9:$S$108,MATCH(C342,'Borrowers'!$C$9:$C$108,0))*'Scenario Paths'!I15*(1-INDEX('Borrowers'!$T$9:$T$108,MATCH(C342,'Borrowers'!$C$9:$C$108,0))),"Unavailable"))</x:f>
      </x:c>
      <x:c r="K342" s="23" t="str">
        <x:f>IF(C342="","",IFERROR(INDEX('Borrowers'!$I$9:$I$108,MATCH(C342,'Borrowers'!$C$9:$C$108,0))*INDEX('Borrowers'!$U$9:$U$108,MATCH(C342,'Borrowers'!$C$9:$C$108,0))*'Scenario Paths'!I21*S342,"Unavailable"))</x:f>
      </x:c>
      <x:c r="L342" s="23" t="str">
        <x:f>IF(C342="","",IFERROR(SUMPRODUCT((Sites!$D$9:$D$108=C342)*Sites!$H$9:$H$108*Sites!$J$9:$J$108*Sites!$K$9:$K$108*(1-Sites!$L$9:$L$108)*(1-Sites!$M$9:$M$108))*'Scenario Paths'!I27,"Unavailable"))</x:f>
      </x:c>
      <x:c r="M342" s="23" t="str">
        <x:f>IF(C342="","",IFERROR(INDEX('Borrowers'!$J$9:$J$108,MATCH(C342,'Borrowers'!$C$9:$C$108,0))+H342-SUM(I342:L342),"Unavailable"))</x:f>
      </x:c>
      <x:c r="N342" s="23" t="str">
        <x:f>IF(C342="","",IFERROR(INDEX('Borrowers'!$I$9:$I$108,MATCH(C342,'Borrowers'!$C$9:$C$108,0))*'Scenario Paths'!I33,"Unavailable"))</x:f>
      </x:c>
      <x:c r="O342" s="23" t="str">
        <x:f>IF(C342="","",IFERROR(M342-INDEX('Borrowers'!$K$9:$K$108,MATCH(C342,'Borrowers'!$C$9:$C$108,0))-N342,"Unavailable"))</x:f>
      </x:c>
      <x:c r="P342" s="127" t="str">
        <x:f>IF(C342="","",IFERROR(O342/INDEX('Borrowers'!$L$9:$L$108,MATCH(C342,'Borrowers'!$C$9:$C$108,0)),"Unavailable"))</x:f>
      </x:c>
      <x:c r="Q342" s="30" t="str">
        <x:f>IF(C342="","",IFERROR(IF(INDEX('Borrowers'!$Z$9:$Z$108,MATCH(C342,'Borrowers'!$C$9:$C$108,0))="Yes",1,IF(INDEX('Borrowers'!$P$9:$P$108,MATCH(C342,'Borrowers'!$C$9:$C$108,0))=0,0,MIN(1,INDEX('Borrowers'!$P$9:$P$108,MATCH(C342,'Borrowers'!$C$9:$C$108,0))*EXP(MIN(20,INDEX('Borrowers'!$V$9:$V$108,MATCH(C342,'Borrowers'!$C$9:$C$108,0))*V342))))),"Unavailable"))</x:f>
      </x:c>
      <x:c r="R342" s="30" t="str">
        <x:f>IF(C342="","",IFERROR(MIN(1,INDEX('Borrowers'!$Q$9:$Q$108,MATCH(C342,'Borrowers'!$C$9:$C$108,0))+(1-INDEX('Borrowers'!$Q$9:$Q$108,MATCH(C342,'Borrowers'!$C$9:$C$108,0)))*T342),"Unavailable"))</x:f>
      </x:c>
      <x:c r="S342" s="30" t="str">
        <x:f>IF(C342="","",IFERROR(SUMPRODUCT((Sites!$D$9:$D$108=C342)*Sites!$I$9:$I$108*Sites!$J$9:$J$108*Sites!$K$9:$K$108*(1-Sites!$L$9:$L$108)),"Unavailable"))</x:f>
      </x:c>
      <x:c r="T342" s="30" t="str">
        <x:f>IF(C342="","",IFERROR(MIN(1,(SUMPRODUCT((Sites!$D$9:$D$108=C342)*Sites!$N$9:$N$108*Sites!$J$9:$J$108*Sites!$K$9:$K$108*(1-Sites!$L$9:$L$108)))*'Scenario Paths'!I27),"Unavailable"))</x:f>
      </x:c>
      <x:c r="U342" s="9" t="str">
        <x:f>IF(C342="","",IF(OR(INDEX('Borrowers'!$AA$9:$AA$108,MATCH(C342,'Borrowers'!$C$9:$C$108,0))&lt;&gt;"Ready",COUNTIF(Sites!$D$9:$D$108,C342)=0,COUNTIFS(Sites!$D$9:$D$108,C342,Sites!$Q$9:$Q$108,"&lt;&gt;Ready")&gt;0,'Scenario Paths'!$F$6&lt;&gt;"Ready"),"Review source inputs","Ready"))</x:f>
      </x:c>
      <x:c r="V342" s="17" t="str">
        <x:f>IF(C342="","",IFERROR(MAX(-1,(G342-O342)/MAX(0.000001,G342)),"Unavailable"))</x:f>
      </x:c>
      <x:c r="W342" s="9" t="str">
        <x:f>IF(C342="","",IFERROR(INDEX('Borrowers'!$D$9:$D$108,MATCH(C342,'Borrowers'!$C$9:$C$108,0)),"Unavailable"))</x:f>
      </x:c>
    </x:row>
    <x:row r="343" ht="26" customHeight="1">
      <x:c r="A343" s="1"/>
      <x:c r="B343" s="1"/>
      <x:c r="C343" s="9" t="str">
        <x:f>IF(Borrowers!C43="","",Borrowers!C43)</x:f>
      </x:c>
      <x:c r="D343" s="3" t="n">
        <x:v>4</x:v>
      </x:c>
      <x:c r="E343" s="9" t="n">
        <x:f>Settings!$F$18+3</x:f>
        <x:v>2030</x:v>
      </x:c>
      <x:c r="F343" s="9" t="str">
        <x:f>IF(C343="","",INDEX('Borrowers'!$F$9:$F$108,MATCH(C343,'Borrowers'!$C$9:$C$108,0)))</x:f>
      </x:c>
      <x:c r="G343" s="23" t="str">
        <x:f>IF(C343="","",IFERROR(INDEX('Borrowers'!$J$9:$J$108,MATCH(C343,'Borrowers'!$C$9:$C$108,0))-INDEX('Borrowers'!$K$9:$K$108,MATCH(C343,'Borrowers'!$C$9:$C$108,0)),"Unavailable"))</x:f>
      </x:c>
      <x:c r="H343" s="23" t="str">
        <x:f>IF(C343="","",IFERROR(INDEX('Borrowers'!$I$9:$I$108,MATCH(C343,'Borrowers'!$C$9:$C$108,0))*INDEX('Borrowers'!$U$9:$U$108,MATCH(C343,'Borrowers'!$C$9:$C$108,0))*(IF(F343="Transport",'Scenario Paths'!I156,IF(F343="Technology",'Scenario Paths'!I150,IF(F343="Utilities",'Scenario Paths'!I144,IF(F343="Agriculture",'Scenario Paths'!I138,IF(F343="Manufacturing",'Scenario Paths'!I132,IF(F343="Healthcare",'Scenario Paths'!I126,IF(F343="Hospitality",'Scenario Paths'!I120,IF(F343="Property",'Scenario Paths'!I114,IF(F343="Food",'Scenario Paths'!I108,IF(F343="Logistics",'Scenario Paths'!I102,IF(F343="Solar",'Scenario Paths'!I96,IF(F343="Cement",'Scenario Paths'!I90,0))))))))))))),"Unavailable"))</x:f>
      </x:c>
      <x:c r="I343" s="23" t="str">
        <x:f>IF(C343="","",IFERROR(INDEX('Borrowers'!$R$9:$R$108,MATCH(C343,'Borrowers'!$C$9:$C$108,0))*(1-INDEX('Borrowers'!$W$9:$W$108,MATCH(C343,'Borrowers'!$C$9:$C$108,0))*'Scenario Paths'!I39)*'Scenario Paths'!I9/1000000*(1-INDEX('Borrowers'!$T$9:$T$108,MATCH(C343,'Borrowers'!$C$9:$C$108,0))),"Unavailable"))</x:f>
      </x:c>
      <x:c r="J343" s="23" t="str">
        <x:f>IF(C343="","",IFERROR(INDEX('Borrowers'!$I$9:$I$108,MATCH(C343,'Borrowers'!$C$9:$C$108,0))*INDEX('Borrowers'!$S$9:$S$108,MATCH(C343,'Borrowers'!$C$9:$C$108,0))*'Scenario Paths'!I15*(1-INDEX('Borrowers'!$T$9:$T$108,MATCH(C343,'Borrowers'!$C$9:$C$108,0))),"Unavailable"))</x:f>
      </x:c>
      <x:c r="K343" s="23" t="str">
        <x:f>IF(C343="","",IFERROR(INDEX('Borrowers'!$I$9:$I$108,MATCH(C343,'Borrowers'!$C$9:$C$108,0))*INDEX('Borrowers'!$U$9:$U$108,MATCH(C343,'Borrowers'!$C$9:$C$108,0))*'Scenario Paths'!I21*S343,"Unavailable"))</x:f>
      </x:c>
      <x:c r="L343" s="23" t="str">
        <x:f>IF(C343="","",IFERROR(SUMPRODUCT((Sites!$D$9:$D$108=C343)*Sites!$H$9:$H$108*Sites!$J$9:$J$108*Sites!$K$9:$K$108*(1-Sites!$L$9:$L$108)*(1-Sites!$M$9:$M$108))*'Scenario Paths'!I27,"Unavailable"))</x:f>
      </x:c>
      <x:c r="M343" s="23" t="str">
        <x:f>IF(C343="","",IFERROR(INDEX('Borrowers'!$J$9:$J$108,MATCH(C343,'Borrowers'!$C$9:$C$108,0))+H343-SUM(I343:L343),"Unavailable"))</x:f>
      </x:c>
      <x:c r="N343" s="23" t="str">
        <x:f>IF(C343="","",IFERROR(INDEX('Borrowers'!$I$9:$I$108,MATCH(C343,'Borrowers'!$C$9:$C$108,0))*'Scenario Paths'!I33,"Unavailable"))</x:f>
      </x:c>
      <x:c r="O343" s="23" t="str">
        <x:f>IF(C343="","",IFERROR(M343-INDEX('Borrowers'!$K$9:$K$108,MATCH(C343,'Borrowers'!$C$9:$C$108,0))-N343,"Unavailable"))</x:f>
      </x:c>
      <x:c r="P343" s="127" t="str">
        <x:f>IF(C343="","",IFERROR(O343/INDEX('Borrowers'!$L$9:$L$108,MATCH(C343,'Borrowers'!$C$9:$C$108,0)),"Unavailable"))</x:f>
      </x:c>
      <x:c r="Q343" s="30" t="str">
        <x:f>IF(C343="","",IFERROR(IF(INDEX('Borrowers'!$Z$9:$Z$108,MATCH(C343,'Borrowers'!$C$9:$C$108,0))="Yes",1,IF(INDEX('Borrowers'!$P$9:$P$108,MATCH(C343,'Borrowers'!$C$9:$C$108,0))=0,0,MIN(1,INDEX('Borrowers'!$P$9:$P$108,MATCH(C343,'Borrowers'!$C$9:$C$108,0))*EXP(MIN(20,INDEX('Borrowers'!$V$9:$V$108,MATCH(C343,'Borrowers'!$C$9:$C$108,0))*V343))))),"Unavailable"))</x:f>
      </x:c>
      <x:c r="R343" s="30" t="str">
        <x:f>IF(C343="","",IFERROR(MIN(1,INDEX('Borrowers'!$Q$9:$Q$108,MATCH(C343,'Borrowers'!$C$9:$C$108,0))+(1-INDEX('Borrowers'!$Q$9:$Q$108,MATCH(C343,'Borrowers'!$C$9:$C$108,0)))*T343),"Unavailable"))</x:f>
      </x:c>
      <x:c r="S343" s="30" t="str">
        <x:f>IF(C343="","",IFERROR(SUMPRODUCT((Sites!$D$9:$D$108=C343)*Sites!$I$9:$I$108*Sites!$J$9:$J$108*Sites!$K$9:$K$108*(1-Sites!$L$9:$L$108)),"Unavailable"))</x:f>
      </x:c>
      <x:c r="T343" s="30" t="str">
        <x:f>IF(C343="","",IFERROR(MIN(1,(SUMPRODUCT((Sites!$D$9:$D$108=C343)*Sites!$N$9:$N$108*Sites!$J$9:$J$108*Sites!$K$9:$K$108*(1-Sites!$L$9:$L$108)))*'Scenario Paths'!I27),"Unavailable"))</x:f>
      </x:c>
      <x:c r="U343" s="9" t="str">
        <x:f>IF(C343="","",IF(OR(INDEX('Borrowers'!$AA$9:$AA$108,MATCH(C343,'Borrowers'!$C$9:$C$108,0))&lt;&gt;"Ready",COUNTIF(Sites!$D$9:$D$108,C343)=0,COUNTIFS(Sites!$D$9:$D$108,C343,Sites!$Q$9:$Q$108,"&lt;&gt;Ready")&gt;0,'Scenario Paths'!$F$6&lt;&gt;"Ready"),"Review source inputs","Ready"))</x:f>
      </x:c>
      <x:c r="V343" s="17" t="str">
        <x:f>IF(C343="","",IFERROR(MAX(-1,(G343-O343)/MAX(0.000001,G343)),"Unavailable"))</x:f>
      </x:c>
      <x:c r="W343" s="9" t="str">
        <x:f>IF(C343="","",IFERROR(INDEX('Borrowers'!$D$9:$D$108,MATCH(C343,'Borrowers'!$C$9:$C$108,0)),"Unavailable"))</x:f>
      </x:c>
    </x:row>
    <x:row r="344" ht="26" customHeight="1">
      <x:c r="A344" s="1"/>
      <x:c r="B344" s="1"/>
      <x:c r="C344" s="9" t="str">
        <x:f>IF(Borrowers!C44="","",Borrowers!C44)</x:f>
      </x:c>
      <x:c r="D344" s="3" t="n">
        <x:v>4</x:v>
      </x:c>
      <x:c r="E344" s="9" t="n">
        <x:f>Settings!$F$18+3</x:f>
        <x:v>2030</x:v>
      </x:c>
      <x:c r="F344" s="9" t="str">
        <x:f>IF(C344="","",INDEX('Borrowers'!$F$9:$F$108,MATCH(C344,'Borrowers'!$C$9:$C$108,0)))</x:f>
      </x:c>
      <x:c r="G344" s="23" t="str">
        <x:f>IF(C344="","",IFERROR(INDEX('Borrowers'!$J$9:$J$108,MATCH(C344,'Borrowers'!$C$9:$C$108,0))-INDEX('Borrowers'!$K$9:$K$108,MATCH(C344,'Borrowers'!$C$9:$C$108,0)),"Unavailable"))</x:f>
      </x:c>
      <x:c r="H344" s="23" t="str">
        <x:f>IF(C344="","",IFERROR(INDEX('Borrowers'!$I$9:$I$108,MATCH(C344,'Borrowers'!$C$9:$C$108,0))*INDEX('Borrowers'!$U$9:$U$108,MATCH(C344,'Borrowers'!$C$9:$C$108,0))*(IF(F344="Transport",'Scenario Paths'!I156,IF(F344="Technology",'Scenario Paths'!I150,IF(F344="Utilities",'Scenario Paths'!I144,IF(F344="Agriculture",'Scenario Paths'!I138,IF(F344="Manufacturing",'Scenario Paths'!I132,IF(F344="Healthcare",'Scenario Paths'!I126,IF(F344="Hospitality",'Scenario Paths'!I120,IF(F344="Property",'Scenario Paths'!I114,IF(F344="Food",'Scenario Paths'!I108,IF(F344="Logistics",'Scenario Paths'!I102,IF(F344="Solar",'Scenario Paths'!I96,IF(F344="Cement",'Scenario Paths'!I90,0))))))))))))),"Unavailable"))</x:f>
      </x:c>
      <x:c r="I344" s="23" t="str">
        <x:f>IF(C344="","",IFERROR(INDEX('Borrowers'!$R$9:$R$108,MATCH(C344,'Borrowers'!$C$9:$C$108,0))*(1-INDEX('Borrowers'!$W$9:$W$108,MATCH(C344,'Borrowers'!$C$9:$C$108,0))*'Scenario Paths'!I39)*'Scenario Paths'!I9/1000000*(1-INDEX('Borrowers'!$T$9:$T$108,MATCH(C344,'Borrowers'!$C$9:$C$108,0))),"Unavailable"))</x:f>
      </x:c>
      <x:c r="J344" s="23" t="str">
        <x:f>IF(C344="","",IFERROR(INDEX('Borrowers'!$I$9:$I$108,MATCH(C344,'Borrowers'!$C$9:$C$108,0))*INDEX('Borrowers'!$S$9:$S$108,MATCH(C344,'Borrowers'!$C$9:$C$108,0))*'Scenario Paths'!I15*(1-INDEX('Borrowers'!$T$9:$T$108,MATCH(C344,'Borrowers'!$C$9:$C$108,0))),"Unavailable"))</x:f>
      </x:c>
      <x:c r="K344" s="23" t="str">
        <x:f>IF(C344="","",IFERROR(INDEX('Borrowers'!$I$9:$I$108,MATCH(C344,'Borrowers'!$C$9:$C$108,0))*INDEX('Borrowers'!$U$9:$U$108,MATCH(C344,'Borrowers'!$C$9:$C$108,0))*'Scenario Paths'!I21*S344,"Unavailable"))</x:f>
      </x:c>
      <x:c r="L344" s="23" t="str">
        <x:f>IF(C344="","",IFERROR(SUMPRODUCT((Sites!$D$9:$D$108=C344)*Sites!$H$9:$H$108*Sites!$J$9:$J$108*Sites!$K$9:$K$108*(1-Sites!$L$9:$L$108)*(1-Sites!$M$9:$M$108))*'Scenario Paths'!I27,"Unavailable"))</x:f>
      </x:c>
      <x:c r="M344" s="23" t="str">
        <x:f>IF(C344="","",IFERROR(INDEX('Borrowers'!$J$9:$J$108,MATCH(C344,'Borrowers'!$C$9:$C$108,0))+H344-SUM(I344:L344),"Unavailable"))</x:f>
      </x:c>
      <x:c r="N344" s="23" t="str">
        <x:f>IF(C344="","",IFERROR(INDEX('Borrowers'!$I$9:$I$108,MATCH(C344,'Borrowers'!$C$9:$C$108,0))*'Scenario Paths'!I33,"Unavailable"))</x:f>
      </x:c>
      <x:c r="O344" s="23" t="str">
        <x:f>IF(C344="","",IFERROR(M344-INDEX('Borrowers'!$K$9:$K$108,MATCH(C344,'Borrowers'!$C$9:$C$108,0))-N344,"Unavailable"))</x:f>
      </x:c>
      <x:c r="P344" s="127" t="str">
        <x:f>IF(C344="","",IFERROR(O344/INDEX('Borrowers'!$L$9:$L$108,MATCH(C344,'Borrowers'!$C$9:$C$108,0)),"Unavailable"))</x:f>
      </x:c>
      <x:c r="Q344" s="30" t="str">
        <x:f>IF(C344="","",IFERROR(IF(INDEX('Borrowers'!$Z$9:$Z$108,MATCH(C344,'Borrowers'!$C$9:$C$108,0))="Yes",1,IF(INDEX('Borrowers'!$P$9:$P$108,MATCH(C344,'Borrowers'!$C$9:$C$108,0))=0,0,MIN(1,INDEX('Borrowers'!$P$9:$P$108,MATCH(C344,'Borrowers'!$C$9:$C$108,0))*EXP(MIN(20,INDEX('Borrowers'!$V$9:$V$108,MATCH(C344,'Borrowers'!$C$9:$C$108,0))*V344))))),"Unavailable"))</x:f>
      </x:c>
      <x:c r="R344" s="30" t="str">
        <x:f>IF(C344="","",IFERROR(MIN(1,INDEX('Borrowers'!$Q$9:$Q$108,MATCH(C344,'Borrowers'!$C$9:$C$108,0))+(1-INDEX('Borrowers'!$Q$9:$Q$108,MATCH(C344,'Borrowers'!$C$9:$C$108,0)))*T344),"Unavailable"))</x:f>
      </x:c>
      <x:c r="S344" s="30" t="str">
        <x:f>IF(C344="","",IFERROR(SUMPRODUCT((Sites!$D$9:$D$108=C344)*Sites!$I$9:$I$108*Sites!$J$9:$J$108*Sites!$K$9:$K$108*(1-Sites!$L$9:$L$108)),"Unavailable"))</x:f>
      </x:c>
      <x:c r="T344" s="30" t="str">
        <x:f>IF(C344="","",IFERROR(MIN(1,(SUMPRODUCT((Sites!$D$9:$D$108=C344)*Sites!$N$9:$N$108*Sites!$J$9:$J$108*Sites!$K$9:$K$108*(1-Sites!$L$9:$L$108)))*'Scenario Paths'!I27),"Unavailable"))</x:f>
      </x:c>
      <x:c r="U344" s="9" t="str">
        <x:f>IF(C344="","",IF(OR(INDEX('Borrowers'!$AA$9:$AA$108,MATCH(C344,'Borrowers'!$C$9:$C$108,0))&lt;&gt;"Ready",COUNTIF(Sites!$D$9:$D$108,C344)=0,COUNTIFS(Sites!$D$9:$D$108,C344,Sites!$Q$9:$Q$108,"&lt;&gt;Ready")&gt;0,'Scenario Paths'!$F$6&lt;&gt;"Ready"),"Review source inputs","Ready"))</x:f>
      </x:c>
      <x:c r="V344" s="17" t="str">
        <x:f>IF(C344="","",IFERROR(MAX(-1,(G344-O344)/MAX(0.000001,G344)),"Unavailable"))</x:f>
      </x:c>
      <x:c r="W344" s="9" t="str">
        <x:f>IF(C344="","",IFERROR(INDEX('Borrowers'!$D$9:$D$108,MATCH(C344,'Borrowers'!$C$9:$C$108,0)),"Unavailable"))</x:f>
      </x:c>
    </x:row>
    <x:row r="345" ht="26" customHeight="1">
      <x:c r="A345" s="1"/>
      <x:c r="B345" s="1"/>
      <x:c r="C345" s="9" t="str">
        <x:f>IF(Borrowers!C45="","",Borrowers!C45)</x:f>
      </x:c>
      <x:c r="D345" s="3" t="n">
        <x:v>4</x:v>
      </x:c>
      <x:c r="E345" s="9" t="n">
        <x:f>Settings!$F$18+3</x:f>
        <x:v>2030</x:v>
      </x:c>
      <x:c r="F345" s="9" t="str">
        <x:f>IF(C345="","",INDEX('Borrowers'!$F$9:$F$108,MATCH(C345,'Borrowers'!$C$9:$C$108,0)))</x:f>
      </x:c>
      <x:c r="G345" s="23" t="str">
        <x:f>IF(C345="","",IFERROR(INDEX('Borrowers'!$J$9:$J$108,MATCH(C345,'Borrowers'!$C$9:$C$108,0))-INDEX('Borrowers'!$K$9:$K$108,MATCH(C345,'Borrowers'!$C$9:$C$108,0)),"Unavailable"))</x:f>
      </x:c>
      <x:c r="H345" s="23" t="str">
        <x:f>IF(C345="","",IFERROR(INDEX('Borrowers'!$I$9:$I$108,MATCH(C345,'Borrowers'!$C$9:$C$108,0))*INDEX('Borrowers'!$U$9:$U$108,MATCH(C345,'Borrowers'!$C$9:$C$108,0))*(IF(F345="Transport",'Scenario Paths'!I156,IF(F345="Technology",'Scenario Paths'!I150,IF(F345="Utilities",'Scenario Paths'!I144,IF(F345="Agriculture",'Scenario Paths'!I138,IF(F345="Manufacturing",'Scenario Paths'!I132,IF(F345="Healthcare",'Scenario Paths'!I126,IF(F345="Hospitality",'Scenario Paths'!I120,IF(F345="Property",'Scenario Paths'!I114,IF(F345="Food",'Scenario Paths'!I108,IF(F345="Logistics",'Scenario Paths'!I102,IF(F345="Solar",'Scenario Paths'!I96,IF(F345="Cement",'Scenario Paths'!I90,0))))))))))))),"Unavailable"))</x:f>
      </x:c>
      <x:c r="I345" s="23" t="str">
        <x:f>IF(C345="","",IFERROR(INDEX('Borrowers'!$R$9:$R$108,MATCH(C345,'Borrowers'!$C$9:$C$108,0))*(1-INDEX('Borrowers'!$W$9:$W$108,MATCH(C345,'Borrowers'!$C$9:$C$108,0))*'Scenario Paths'!I39)*'Scenario Paths'!I9/1000000*(1-INDEX('Borrowers'!$T$9:$T$108,MATCH(C345,'Borrowers'!$C$9:$C$108,0))),"Unavailable"))</x:f>
      </x:c>
      <x:c r="J345" s="23" t="str">
        <x:f>IF(C345="","",IFERROR(INDEX('Borrowers'!$I$9:$I$108,MATCH(C345,'Borrowers'!$C$9:$C$108,0))*INDEX('Borrowers'!$S$9:$S$108,MATCH(C345,'Borrowers'!$C$9:$C$108,0))*'Scenario Paths'!I15*(1-INDEX('Borrowers'!$T$9:$T$108,MATCH(C345,'Borrowers'!$C$9:$C$108,0))),"Unavailable"))</x:f>
      </x:c>
      <x:c r="K345" s="23" t="str">
        <x:f>IF(C345="","",IFERROR(INDEX('Borrowers'!$I$9:$I$108,MATCH(C345,'Borrowers'!$C$9:$C$108,0))*INDEX('Borrowers'!$U$9:$U$108,MATCH(C345,'Borrowers'!$C$9:$C$108,0))*'Scenario Paths'!I21*S345,"Unavailable"))</x:f>
      </x:c>
      <x:c r="L345" s="23" t="str">
        <x:f>IF(C345="","",IFERROR(SUMPRODUCT((Sites!$D$9:$D$108=C345)*Sites!$H$9:$H$108*Sites!$J$9:$J$108*Sites!$K$9:$K$108*(1-Sites!$L$9:$L$108)*(1-Sites!$M$9:$M$108))*'Scenario Paths'!I27,"Unavailable"))</x:f>
      </x:c>
      <x:c r="M345" s="23" t="str">
        <x:f>IF(C345="","",IFERROR(INDEX('Borrowers'!$J$9:$J$108,MATCH(C345,'Borrowers'!$C$9:$C$108,0))+H345-SUM(I345:L345),"Unavailable"))</x:f>
      </x:c>
      <x:c r="N345" s="23" t="str">
        <x:f>IF(C345="","",IFERROR(INDEX('Borrowers'!$I$9:$I$108,MATCH(C345,'Borrowers'!$C$9:$C$108,0))*'Scenario Paths'!I33,"Unavailable"))</x:f>
      </x:c>
      <x:c r="O345" s="23" t="str">
        <x:f>IF(C345="","",IFERROR(M345-INDEX('Borrowers'!$K$9:$K$108,MATCH(C345,'Borrowers'!$C$9:$C$108,0))-N345,"Unavailable"))</x:f>
      </x:c>
      <x:c r="P345" s="127" t="str">
        <x:f>IF(C345="","",IFERROR(O345/INDEX('Borrowers'!$L$9:$L$108,MATCH(C345,'Borrowers'!$C$9:$C$108,0)),"Unavailable"))</x:f>
      </x:c>
      <x:c r="Q345" s="30" t="str">
        <x:f>IF(C345="","",IFERROR(IF(INDEX('Borrowers'!$Z$9:$Z$108,MATCH(C345,'Borrowers'!$C$9:$C$108,0))="Yes",1,IF(INDEX('Borrowers'!$P$9:$P$108,MATCH(C345,'Borrowers'!$C$9:$C$108,0))=0,0,MIN(1,INDEX('Borrowers'!$P$9:$P$108,MATCH(C345,'Borrowers'!$C$9:$C$108,0))*EXP(MIN(20,INDEX('Borrowers'!$V$9:$V$108,MATCH(C345,'Borrowers'!$C$9:$C$108,0))*V345))))),"Unavailable"))</x:f>
      </x:c>
      <x:c r="R345" s="30" t="str">
        <x:f>IF(C345="","",IFERROR(MIN(1,INDEX('Borrowers'!$Q$9:$Q$108,MATCH(C345,'Borrowers'!$C$9:$C$108,0))+(1-INDEX('Borrowers'!$Q$9:$Q$108,MATCH(C345,'Borrowers'!$C$9:$C$108,0)))*T345),"Unavailable"))</x:f>
      </x:c>
      <x:c r="S345" s="30" t="str">
        <x:f>IF(C345="","",IFERROR(SUMPRODUCT((Sites!$D$9:$D$108=C345)*Sites!$I$9:$I$108*Sites!$J$9:$J$108*Sites!$K$9:$K$108*(1-Sites!$L$9:$L$108)),"Unavailable"))</x:f>
      </x:c>
      <x:c r="T345" s="30" t="str">
        <x:f>IF(C345="","",IFERROR(MIN(1,(SUMPRODUCT((Sites!$D$9:$D$108=C345)*Sites!$N$9:$N$108*Sites!$J$9:$J$108*Sites!$K$9:$K$108*(1-Sites!$L$9:$L$108)))*'Scenario Paths'!I27),"Unavailable"))</x:f>
      </x:c>
      <x:c r="U345" s="9" t="str">
        <x:f>IF(C345="","",IF(OR(INDEX('Borrowers'!$AA$9:$AA$108,MATCH(C345,'Borrowers'!$C$9:$C$108,0))&lt;&gt;"Ready",COUNTIF(Sites!$D$9:$D$108,C345)=0,COUNTIFS(Sites!$D$9:$D$108,C345,Sites!$Q$9:$Q$108,"&lt;&gt;Ready")&gt;0,'Scenario Paths'!$F$6&lt;&gt;"Ready"),"Review source inputs","Ready"))</x:f>
      </x:c>
      <x:c r="V345" s="17" t="str">
        <x:f>IF(C345="","",IFERROR(MAX(-1,(G345-O345)/MAX(0.000001,G345)),"Unavailable"))</x:f>
      </x:c>
      <x:c r="W345" s="9" t="str">
        <x:f>IF(C345="","",IFERROR(INDEX('Borrowers'!$D$9:$D$108,MATCH(C345,'Borrowers'!$C$9:$C$108,0)),"Unavailable"))</x:f>
      </x:c>
    </x:row>
    <x:row r="346" ht="26" customHeight="1">
      <x:c r="A346" s="1"/>
      <x:c r="B346" s="1"/>
      <x:c r="C346" s="9" t="str">
        <x:f>IF(Borrowers!C46="","",Borrowers!C46)</x:f>
      </x:c>
      <x:c r="D346" s="3" t="n">
        <x:v>4</x:v>
      </x:c>
      <x:c r="E346" s="9" t="n">
        <x:f>Settings!$F$18+3</x:f>
        <x:v>2030</x:v>
      </x:c>
      <x:c r="F346" s="9" t="str">
        <x:f>IF(C346="","",INDEX('Borrowers'!$F$9:$F$108,MATCH(C346,'Borrowers'!$C$9:$C$108,0)))</x:f>
      </x:c>
      <x:c r="G346" s="23" t="str">
        <x:f>IF(C346="","",IFERROR(INDEX('Borrowers'!$J$9:$J$108,MATCH(C346,'Borrowers'!$C$9:$C$108,0))-INDEX('Borrowers'!$K$9:$K$108,MATCH(C346,'Borrowers'!$C$9:$C$108,0)),"Unavailable"))</x:f>
      </x:c>
      <x:c r="H346" s="23" t="str">
        <x:f>IF(C346="","",IFERROR(INDEX('Borrowers'!$I$9:$I$108,MATCH(C346,'Borrowers'!$C$9:$C$108,0))*INDEX('Borrowers'!$U$9:$U$108,MATCH(C346,'Borrowers'!$C$9:$C$108,0))*(IF(F346="Transport",'Scenario Paths'!I156,IF(F346="Technology",'Scenario Paths'!I150,IF(F346="Utilities",'Scenario Paths'!I144,IF(F346="Agriculture",'Scenario Paths'!I138,IF(F346="Manufacturing",'Scenario Paths'!I132,IF(F346="Healthcare",'Scenario Paths'!I126,IF(F346="Hospitality",'Scenario Paths'!I120,IF(F346="Property",'Scenario Paths'!I114,IF(F346="Food",'Scenario Paths'!I108,IF(F346="Logistics",'Scenario Paths'!I102,IF(F346="Solar",'Scenario Paths'!I96,IF(F346="Cement",'Scenario Paths'!I90,0))))))))))))),"Unavailable"))</x:f>
      </x:c>
      <x:c r="I346" s="23" t="str">
        <x:f>IF(C346="","",IFERROR(INDEX('Borrowers'!$R$9:$R$108,MATCH(C346,'Borrowers'!$C$9:$C$108,0))*(1-INDEX('Borrowers'!$W$9:$W$108,MATCH(C346,'Borrowers'!$C$9:$C$108,0))*'Scenario Paths'!I39)*'Scenario Paths'!I9/1000000*(1-INDEX('Borrowers'!$T$9:$T$108,MATCH(C346,'Borrowers'!$C$9:$C$108,0))),"Unavailable"))</x:f>
      </x:c>
      <x:c r="J346" s="23" t="str">
        <x:f>IF(C346="","",IFERROR(INDEX('Borrowers'!$I$9:$I$108,MATCH(C346,'Borrowers'!$C$9:$C$108,0))*INDEX('Borrowers'!$S$9:$S$108,MATCH(C346,'Borrowers'!$C$9:$C$108,0))*'Scenario Paths'!I15*(1-INDEX('Borrowers'!$T$9:$T$108,MATCH(C346,'Borrowers'!$C$9:$C$108,0))),"Unavailable"))</x:f>
      </x:c>
      <x:c r="K346" s="23" t="str">
        <x:f>IF(C346="","",IFERROR(INDEX('Borrowers'!$I$9:$I$108,MATCH(C346,'Borrowers'!$C$9:$C$108,0))*INDEX('Borrowers'!$U$9:$U$108,MATCH(C346,'Borrowers'!$C$9:$C$108,0))*'Scenario Paths'!I21*S346,"Unavailable"))</x:f>
      </x:c>
      <x:c r="L346" s="23" t="str">
        <x:f>IF(C346="","",IFERROR(SUMPRODUCT((Sites!$D$9:$D$108=C346)*Sites!$H$9:$H$108*Sites!$J$9:$J$108*Sites!$K$9:$K$108*(1-Sites!$L$9:$L$108)*(1-Sites!$M$9:$M$108))*'Scenario Paths'!I27,"Unavailable"))</x:f>
      </x:c>
      <x:c r="M346" s="23" t="str">
        <x:f>IF(C346="","",IFERROR(INDEX('Borrowers'!$J$9:$J$108,MATCH(C346,'Borrowers'!$C$9:$C$108,0))+H346-SUM(I346:L346),"Unavailable"))</x:f>
      </x:c>
      <x:c r="N346" s="23" t="str">
        <x:f>IF(C346="","",IFERROR(INDEX('Borrowers'!$I$9:$I$108,MATCH(C346,'Borrowers'!$C$9:$C$108,0))*'Scenario Paths'!I33,"Unavailable"))</x:f>
      </x:c>
      <x:c r="O346" s="23" t="str">
        <x:f>IF(C346="","",IFERROR(M346-INDEX('Borrowers'!$K$9:$K$108,MATCH(C346,'Borrowers'!$C$9:$C$108,0))-N346,"Unavailable"))</x:f>
      </x:c>
      <x:c r="P346" s="127" t="str">
        <x:f>IF(C346="","",IFERROR(O346/INDEX('Borrowers'!$L$9:$L$108,MATCH(C346,'Borrowers'!$C$9:$C$108,0)),"Unavailable"))</x:f>
      </x:c>
      <x:c r="Q346" s="30" t="str">
        <x:f>IF(C346="","",IFERROR(IF(INDEX('Borrowers'!$Z$9:$Z$108,MATCH(C346,'Borrowers'!$C$9:$C$108,0))="Yes",1,IF(INDEX('Borrowers'!$P$9:$P$108,MATCH(C346,'Borrowers'!$C$9:$C$108,0))=0,0,MIN(1,INDEX('Borrowers'!$P$9:$P$108,MATCH(C346,'Borrowers'!$C$9:$C$108,0))*EXP(MIN(20,INDEX('Borrowers'!$V$9:$V$108,MATCH(C346,'Borrowers'!$C$9:$C$108,0))*V346))))),"Unavailable"))</x:f>
      </x:c>
      <x:c r="R346" s="30" t="str">
        <x:f>IF(C346="","",IFERROR(MIN(1,INDEX('Borrowers'!$Q$9:$Q$108,MATCH(C346,'Borrowers'!$C$9:$C$108,0))+(1-INDEX('Borrowers'!$Q$9:$Q$108,MATCH(C346,'Borrowers'!$C$9:$C$108,0)))*T346),"Unavailable"))</x:f>
      </x:c>
      <x:c r="S346" s="30" t="str">
        <x:f>IF(C346="","",IFERROR(SUMPRODUCT((Sites!$D$9:$D$108=C346)*Sites!$I$9:$I$108*Sites!$J$9:$J$108*Sites!$K$9:$K$108*(1-Sites!$L$9:$L$108)),"Unavailable"))</x:f>
      </x:c>
      <x:c r="T346" s="30" t="str">
        <x:f>IF(C346="","",IFERROR(MIN(1,(SUMPRODUCT((Sites!$D$9:$D$108=C346)*Sites!$N$9:$N$108*Sites!$J$9:$J$108*Sites!$K$9:$K$108*(1-Sites!$L$9:$L$108)))*'Scenario Paths'!I27),"Unavailable"))</x:f>
      </x:c>
      <x:c r="U346" s="9" t="str">
        <x:f>IF(C346="","",IF(OR(INDEX('Borrowers'!$AA$9:$AA$108,MATCH(C346,'Borrowers'!$C$9:$C$108,0))&lt;&gt;"Ready",COUNTIF(Sites!$D$9:$D$108,C346)=0,COUNTIFS(Sites!$D$9:$D$108,C346,Sites!$Q$9:$Q$108,"&lt;&gt;Ready")&gt;0,'Scenario Paths'!$F$6&lt;&gt;"Ready"),"Review source inputs","Ready"))</x:f>
      </x:c>
      <x:c r="V346" s="17" t="str">
        <x:f>IF(C346="","",IFERROR(MAX(-1,(G346-O346)/MAX(0.000001,G346)),"Unavailable"))</x:f>
      </x:c>
      <x:c r="W346" s="9" t="str">
        <x:f>IF(C346="","",IFERROR(INDEX('Borrowers'!$D$9:$D$108,MATCH(C346,'Borrowers'!$C$9:$C$108,0)),"Unavailable"))</x:f>
      </x:c>
    </x:row>
    <x:row r="347" ht="26" customHeight="1">
      <x:c r="A347" s="1"/>
      <x:c r="B347" s="1"/>
      <x:c r="C347" s="9" t="str">
        <x:f>IF(Borrowers!C47="","",Borrowers!C47)</x:f>
      </x:c>
      <x:c r="D347" s="3" t="n">
        <x:v>4</x:v>
      </x:c>
      <x:c r="E347" s="9" t="n">
        <x:f>Settings!$F$18+3</x:f>
        <x:v>2030</x:v>
      </x:c>
      <x:c r="F347" s="9" t="str">
        <x:f>IF(C347="","",INDEX('Borrowers'!$F$9:$F$108,MATCH(C347,'Borrowers'!$C$9:$C$108,0)))</x:f>
      </x:c>
      <x:c r="G347" s="23" t="str">
        <x:f>IF(C347="","",IFERROR(INDEX('Borrowers'!$J$9:$J$108,MATCH(C347,'Borrowers'!$C$9:$C$108,0))-INDEX('Borrowers'!$K$9:$K$108,MATCH(C347,'Borrowers'!$C$9:$C$108,0)),"Unavailable"))</x:f>
      </x:c>
      <x:c r="H347" s="23" t="str">
        <x:f>IF(C347="","",IFERROR(INDEX('Borrowers'!$I$9:$I$108,MATCH(C347,'Borrowers'!$C$9:$C$108,0))*INDEX('Borrowers'!$U$9:$U$108,MATCH(C347,'Borrowers'!$C$9:$C$108,0))*(IF(F347="Transport",'Scenario Paths'!I156,IF(F347="Technology",'Scenario Paths'!I150,IF(F347="Utilities",'Scenario Paths'!I144,IF(F347="Agriculture",'Scenario Paths'!I138,IF(F347="Manufacturing",'Scenario Paths'!I132,IF(F347="Healthcare",'Scenario Paths'!I126,IF(F347="Hospitality",'Scenario Paths'!I120,IF(F347="Property",'Scenario Paths'!I114,IF(F347="Food",'Scenario Paths'!I108,IF(F347="Logistics",'Scenario Paths'!I102,IF(F347="Solar",'Scenario Paths'!I96,IF(F347="Cement",'Scenario Paths'!I90,0))))))))))))),"Unavailable"))</x:f>
      </x:c>
      <x:c r="I347" s="23" t="str">
        <x:f>IF(C347="","",IFERROR(INDEX('Borrowers'!$R$9:$R$108,MATCH(C347,'Borrowers'!$C$9:$C$108,0))*(1-INDEX('Borrowers'!$W$9:$W$108,MATCH(C347,'Borrowers'!$C$9:$C$108,0))*'Scenario Paths'!I39)*'Scenario Paths'!I9/1000000*(1-INDEX('Borrowers'!$T$9:$T$108,MATCH(C347,'Borrowers'!$C$9:$C$108,0))),"Unavailable"))</x:f>
      </x:c>
      <x:c r="J347" s="23" t="str">
        <x:f>IF(C347="","",IFERROR(INDEX('Borrowers'!$I$9:$I$108,MATCH(C347,'Borrowers'!$C$9:$C$108,0))*INDEX('Borrowers'!$S$9:$S$108,MATCH(C347,'Borrowers'!$C$9:$C$108,0))*'Scenario Paths'!I15*(1-INDEX('Borrowers'!$T$9:$T$108,MATCH(C347,'Borrowers'!$C$9:$C$108,0))),"Unavailable"))</x:f>
      </x:c>
      <x:c r="K347" s="23" t="str">
        <x:f>IF(C347="","",IFERROR(INDEX('Borrowers'!$I$9:$I$108,MATCH(C347,'Borrowers'!$C$9:$C$108,0))*INDEX('Borrowers'!$U$9:$U$108,MATCH(C347,'Borrowers'!$C$9:$C$108,0))*'Scenario Paths'!I21*S347,"Unavailable"))</x:f>
      </x:c>
      <x:c r="L347" s="23" t="str">
        <x:f>IF(C347="","",IFERROR(SUMPRODUCT((Sites!$D$9:$D$108=C347)*Sites!$H$9:$H$108*Sites!$J$9:$J$108*Sites!$K$9:$K$108*(1-Sites!$L$9:$L$108)*(1-Sites!$M$9:$M$108))*'Scenario Paths'!I27,"Unavailable"))</x:f>
      </x:c>
      <x:c r="M347" s="23" t="str">
        <x:f>IF(C347="","",IFERROR(INDEX('Borrowers'!$J$9:$J$108,MATCH(C347,'Borrowers'!$C$9:$C$108,0))+H347-SUM(I347:L347),"Unavailable"))</x:f>
      </x:c>
      <x:c r="N347" s="23" t="str">
        <x:f>IF(C347="","",IFERROR(INDEX('Borrowers'!$I$9:$I$108,MATCH(C347,'Borrowers'!$C$9:$C$108,0))*'Scenario Paths'!I33,"Unavailable"))</x:f>
      </x:c>
      <x:c r="O347" s="23" t="str">
        <x:f>IF(C347="","",IFERROR(M347-INDEX('Borrowers'!$K$9:$K$108,MATCH(C347,'Borrowers'!$C$9:$C$108,0))-N347,"Unavailable"))</x:f>
      </x:c>
      <x:c r="P347" s="127" t="str">
        <x:f>IF(C347="","",IFERROR(O347/INDEX('Borrowers'!$L$9:$L$108,MATCH(C347,'Borrowers'!$C$9:$C$108,0)),"Unavailable"))</x:f>
      </x:c>
      <x:c r="Q347" s="30" t="str">
        <x:f>IF(C347="","",IFERROR(IF(INDEX('Borrowers'!$Z$9:$Z$108,MATCH(C347,'Borrowers'!$C$9:$C$108,0))="Yes",1,IF(INDEX('Borrowers'!$P$9:$P$108,MATCH(C347,'Borrowers'!$C$9:$C$108,0))=0,0,MIN(1,INDEX('Borrowers'!$P$9:$P$108,MATCH(C347,'Borrowers'!$C$9:$C$108,0))*EXP(MIN(20,INDEX('Borrowers'!$V$9:$V$108,MATCH(C347,'Borrowers'!$C$9:$C$108,0))*V347))))),"Unavailable"))</x:f>
      </x:c>
      <x:c r="R347" s="30" t="str">
        <x:f>IF(C347="","",IFERROR(MIN(1,INDEX('Borrowers'!$Q$9:$Q$108,MATCH(C347,'Borrowers'!$C$9:$C$108,0))+(1-INDEX('Borrowers'!$Q$9:$Q$108,MATCH(C347,'Borrowers'!$C$9:$C$108,0)))*T347),"Unavailable"))</x:f>
      </x:c>
      <x:c r="S347" s="30" t="str">
        <x:f>IF(C347="","",IFERROR(SUMPRODUCT((Sites!$D$9:$D$108=C347)*Sites!$I$9:$I$108*Sites!$J$9:$J$108*Sites!$K$9:$K$108*(1-Sites!$L$9:$L$108)),"Unavailable"))</x:f>
      </x:c>
      <x:c r="T347" s="30" t="str">
        <x:f>IF(C347="","",IFERROR(MIN(1,(SUMPRODUCT((Sites!$D$9:$D$108=C347)*Sites!$N$9:$N$108*Sites!$J$9:$J$108*Sites!$K$9:$K$108*(1-Sites!$L$9:$L$108)))*'Scenario Paths'!I27),"Unavailable"))</x:f>
      </x:c>
      <x:c r="U347" s="9" t="str">
        <x:f>IF(C347="","",IF(OR(INDEX('Borrowers'!$AA$9:$AA$108,MATCH(C347,'Borrowers'!$C$9:$C$108,0))&lt;&gt;"Ready",COUNTIF(Sites!$D$9:$D$108,C347)=0,COUNTIFS(Sites!$D$9:$D$108,C347,Sites!$Q$9:$Q$108,"&lt;&gt;Ready")&gt;0,'Scenario Paths'!$F$6&lt;&gt;"Ready"),"Review source inputs","Ready"))</x:f>
      </x:c>
      <x:c r="V347" s="17" t="str">
        <x:f>IF(C347="","",IFERROR(MAX(-1,(G347-O347)/MAX(0.000001,G347)),"Unavailable"))</x:f>
      </x:c>
      <x:c r="W347" s="9" t="str">
        <x:f>IF(C347="","",IFERROR(INDEX('Borrowers'!$D$9:$D$108,MATCH(C347,'Borrowers'!$C$9:$C$108,0)),"Unavailable"))</x:f>
      </x:c>
    </x:row>
    <x:row r="348" ht="26" customHeight="1">
      <x:c r="A348" s="1"/>
      <x:c r="B348" s="1"/>
      <x:c r="C348" s="9" t="str">
        <x:f>IF(Borrowers!C48="","",Borrowers!C48)</x:f>
      </x:c>
      <x:c r="D348" s="3" t="n">
        <x:v>4</x:v>
      </x:c>
      <x:c r="E348" s="9" t="n">
        <x:f>Settings!$F$18+3</x:f>
        <x:v>2030</x:v>
      </x:c>
      <x:c r="F348" s="9" t="str">
        <x:f>IF(C348="","",INDEX('Borrowers'!$F$9:$F$108,MATCH(C348,'Borrowers'!$C$9:$C$108,0)))</x:f>
      </x:c>
      <x:c r="G348" s="23" t="str">
        <x:f>IF(C348="","",IFERROR(INDEX('Borrowers'!$J$9:$J$108,MATCH(C348,'Borrowers'!$C$9:$C$108,0))-INDEX('Borrowers'!$K$9:$K$108,MATCH(C348,'Borrowers'!$C$9:$C$108,0)),"Unavailable"))</x:f>
      </x:c>
      <x:c r="H348" s="23" t="str">
        <x:f>IF(C348="","",IFERROR(INDEX('Borrowers'!$I$9:$I$108,MATCH(C348,'Borrowers'!$C$9:$C$108,0))*INDEX('Borrowers'!$U$9:$U$108,MATCH(C348,'Borrowers'!$C$9:$C$108,0))*(IF(F348="Transport",'Scenario Paths'!I156,IF(F348="Technology",'Scenario Paths'!I150,IF(F348="Utilities",'Scenario Paths'!I144,IF(F348="Agriculture",'Scenario Paths'!I138,IF(F348="Manufacturing",'Scenario Paths'!I132,IF(F348="Healthcare",'Scenario Paths'!I126,IF(F348="Hospitality",'Scenario Paths'!I120,IF(F348="Property",'Scenario Paths'!I114,IF(F348="Food",'Scenario Paths'!I108,IF(F348="Logistics",'Scenario Paths'!I102,IF(F348="Solar",'Scenario Paths'!I96,IF(F348="Cement",'Scenario Paths'!I90,0))))))))))))),"Unavailable"))</x:f>
      </x:c>
      <x:c r="I348" s="23" t="str">
        <x:f>IF(C348="","",IFERROR(INDEX('Borrowers'!$R$9:$R$108,MATCH(C348,'Borrowers'!$C$9:$C$108,0))*(1-INDEX('Borrowers'!$W$9:$W$108,MATCH(C348,'Borrowers'!$C$9:$C$108,0))*'Scenario Paths'!I39)*'Scenario Paths'!I9/1000000*(1-INDEX('Borrowers'!$T$9:$T$108,MATCH(C348,'Borrowers'!$C$9:$C$108,0))),"Unavailable"))</x:f>
      </x:c>
      <x:c r="J348" s="23" t="str">
        <x:f>IF(C348="","",IFERROR(INDEX('Borrowers'!$I$9:$I$108,MATCH(C348,'Borrowers'!$C$9:$C$108,0))*INDEX('Borrowers'!$S$9:$S$108,MATCH(C348,'Borrowers'!$C$9:$C$108,0))*'Scenario Paths'!I15*(1-INDEX('Borrowers'!$T$9:$T$108,MATCH(C348,'Borrowers'!$C$9:$C$108,0))),"Unavailable"))</x:f>
      </x:c>
      <x:c r="K348" s="23" t="str">
        <x:f>IF(C348="","",IFERROR(INDEX('Borrowers'!$I$9:$I$108,MATCH(C348,'Borrowers'!$C$9:$C$108,0))*INDEX('Borrowers'!$U$9:$U$108,MATCH(C348,'Borrowers'!$C$9:$C$108,0))*'Scenario Paths'!I21*S348,"Unavailable"))</x:f>
      </x:c>
      <x:c r="L348" s="23" t="str">
        <x:f>IF(C348="","",IFERROR(SUMPRODUCT((Sites!$D$9:$D$108=C348)*Sites!$H$9:$H$108*Sites!$J$9:$J$108*Sites!$K$9:$K$108*(1-Sites!$L$9:$L$108)*(1-Sites!$M$9:$M$108))*'Scenario Paths'!I27,"Unavailable"))</x:f>
      </x:c>
      <x:c r="M348" s="23" t="str">
        <x:f>IF(C348="","",IFERROR(INDEX('Borrowers'!$J$9:$J$108,MATCH(C348,'Borrowers'!$C$9:$C$108,0))+H348-SUM(I348:L348),"Unavailable"))</x:f>
      </x:c>
      <x:c r="N348" s="23" t="str">
        <x:f>IF(C348="","",IFERROR(INDEX('Borrowers'!$I$9:$I$108,MATCH(C348,'Borrowers'!$C$9:$C$108,0))*'Scenario Paths'!I33,"Unavailable"))</x:f>
      </x:c>
      <x:c r="O348" s="23" t="str">
        <x:f>IF(C348="","",IFERROR(M348-INDEX('Borrowers'!$K$9:$K$108,MATCH(C348,'Borrowers'!$C$9:$C$108,0))-N348,"Unavailable"))</x:f>
      </x:c>
      <x:c r="P348" s="127" t="str">
        <x:f>IF(C348="","",IFERROR(O348/INDEX('Borrowers'!$L$9:$L$108,MATCH(C348,'Borrowers'!$C$9:$C$108,0)),"Unavailable"))</x:f>
      </x:c>
      <x:c r="Q348" s="30" t="str">
        <x:f>IF(C348="","",IFERROR(IF(INDEX('Borrowers'!$Z$9:$Z$108,MATCH(C348,'Borrowers'!$C$9:$C$108,0))="Yes",1,IF(INDEX('Borrowers'!$P$9:$P$108,MATCH(C348,'Borrowers'!$C$9:$C$108,0))=0,0,MIN(1,INDEX('Borrowers'!$P$9:$P$108,MATCH(C348,'Borrowers'!$C$9:$C$108,0))*EXP(MIN(20,INDEX('Borrowers'!$V$9:$V$108,MATCH(C348,'Borrowers'!$C$9:$C$108,0))*V348))))),"Unavailable"))</x:f>
      </x:c>
      <x:c r="R348" s="30" t="str">
        <x:f>IF(C348="","",IFERROR(MIN(1,INDEX('Borrowers'!$Q$9:$Q$108,MATCH(C348,'Borrowers'!$C$9:$C$108,0))+(1-INDEX('Borrowers'!$Q$9:$Q$108,MATCH(C348,'Borrowers'!$C$9:$C$108,0)))*T348),"Unavailable"))</x:f>
      </x:c>
      <x:c r="S348" s="30" t="str">
        <x:f>IF(C348="","",IFERROR(SUMPRODUCT((Sites!$D$9:$D$108=C348)*Sites!$I$9:$I$108*Sites!$J$9:$J$108*Sites!$K$9:$K$108*(1-Sites!$L$9:$L$108)),"Unavailable"))</x:f>
      </x:c>
      <x:c r="T348" s="30" t="str">
        <x:f>IF(C348="","",IFERROR(MIN(1,(SUMPRODUCT((Sites!$D$9:$D$108=C348)*Sites!$N$9:$N$108*Sites!$J$9:$J$108*Sites!$K$9:$K$108*(1-Sites!$L$9:$L$108)))*'Scenario Paths'!I27),"Unavailable"))</x:f>
      </x:c>
      <x:c r="U348" s="9" t="str">
        <x:f>IF(C348="","",IF(OR(INDEX('Borrowers'!$AA$9:$AA$108,MATCH(C348,'Borrowers'!$C$9:$C$108,0))&lt;&gt;"Ready",COUNTIF(Sites!$D$9:$D$108,C348)=0,COUNTIFS(Sites!$D$9:$D$108,C348,Sites!$Q$9:$Q$108,"&lt;&gt;Ready")&gt;0,'Scenario Paths'!$F$6&lt;&gt;"Ready"),"Review source inputs","Ready"))</x:f>
      </x:c>
      <x:c r="V348" s="17" t="str">
        <x:f>IF(C348="","",IFERROR(MAX(-1,(G348-O348)/MAX(0.000001,G348)),"Unavailable"))</x:f>
      </x:c>
      <x:c r="W348" s="9" t="str">
        <x:f>IF(C348="","",IFERROR(INDEX('Borrowers'!$D$9:$D$108,MATCH(C348,'Borrowers'!$C$9:$C$108,0)),"Unavailable"))</x:f>
      </x:c>
    </x:row>
    <x:row r="349" ht="26" customHeight="1">
      <x:c r="A349" s="1"/>
      <x:c r="B349" s="1"/>
      <x:c r="C349" s="9" t="str">
        <x:f>IF(Borrowers!C49="","",Borrowers!C49)</x:f>
      </x:c>
      <x:c r="D349" s="3" t="n">
        <x:v>4</x:v>
      </x:c>
      <x:c r="E349" s="9" t="n">
        <x:f>Settings!$F$18+3</x:f>
        <x:v>2030</x:v>
      </x:c>
      <x:c r="F349" s="9" t="str">
        <x:f>IF(C349="","",INDEX('Borrowers'!$F$9:$F$108,MATCH(C349,'Borrowers'!$C$9:$C$108,0)))</x:f>
      </x:c>
      <x:c r="G349" s="23" t="str">
        <x:f>IF(C349="","",IFERROR(INDEX('Borrowers'!$J$9:$J$108,MATCH(C349,'Borrowers'!$C$9:$C$108,0))-INDEX('Borrowers'!$K$9:$K$108,MATCH(C349,'Borrowers'!$C$9:$C$108,0)),"Unavailable"))</x:f>
      </x:c>
      <x:c r="H349" s="23" t="str">
        <x:f>IF(C349="","",IFERROR(INDEX('Borrowers'!$I$9:$I$108,MATCH(C349,'Borrowers'!$C$9:$C$108,0))*INDEX('Borrowers'!$U$9:$U$108,MATCH(C349,'Borrowers'!$C$9:$C$108,0))*(IF(F349="Transport",'Scenario Paths'!I156,IF(F349="Technology",'Scenario Paths'!I150,IF(F349="Utilities",'Scenario Paths'!I144,IF(F349="Agriculture",'Scenario Paths'!I138,IF(F349="Manufacturing",'Scenario Paths'!I132,IF(F349="Healthcare",'Scenario Paths'!I126,IF(F349="Hospitality",'Scenario Paths'!I120,IF(F349="Property",'Scenario Paths'!I114,IF(F349="Food",'Scenario Paths'!I108,IF(F349="Logistics",'Scenario Paths'!I102,IF(F349="Solar",'Scenario Paths'!I96,IF(F349="Cement",'Scenario Paths'!I90,0))))))))))))),"Unavailable"))</x:f>
      </x:c>
      <x:c r="I349" s="23" t="str">
        <x:f>IF(C349="","",IFERROR(INDEX('Borrowers'!$R$9:$R$108,MATCH(C349,'Borrowers'!$C$9:$C$108,0))*(1-INDEX('Borrowers'!$W$9:$W$108,MATCH(C349,'Borrowers'!$C$9:$C$108,0))*'Scenario Paths'!I39)*'Scenario Paths'!I9/1000000*(1-INDEX('Borrowers'!$T$9:$T$108,MATCH(C349,'Borrowers'!$C$9:$C$108,0))),"Unavailable"))</x:f>
      </x:c>
      <x:c r="J349" s="23" t="str">
        <x:f>IF(C349="","",IFERROR(INDEX('Borrowers'!$I$9:$I$108,MATCH(C349,'Borrowers'!$C$9:$C$108,0))*INDEX('Borrowers'!$S$9:$S$108,MATCH(C349,'Borrowers'!$C$9:$C$108,0))*'Scenario Paths'!I15*(1-INDEX('Borrowers'!$T$9:$T$108,MATCH(C349,'Borrowers'!$C$9:$C$108,0))),"Unavailable"))</x:f>
      </x:c>
      <x:c r="K349" s="23" t="str">
        <x:f>IF(C349="","",IFERROR(INDEX('Borrowers'!$I$9:$I$108,MATCH(C349,'Borrowers'!$C$9:$C$108,0))*INDEX('Borrowers'!$U$9:$U$108,MATCH(C349,'Borrowers'!$C$9:$C$108,0))*'Scenario Paths'!I21*S349,"Unavailable"))</x:f>
      </x:c>
      <x:c r="L349" s="23" t="str">
        <x:f>IF(C349="","",IFERROR(SUMPRODUCT((Sites!$D$9:$D$108=C349)*Sites!$H$9:$H$108*Sites!$J$9:$J$108*Sites!$K$9:$K$108*(1-Sites!$L$9:$L$108)*(1-Sites!$M$9:$M$108))*'Scenario Paths'!I27,"Unavailable"))</x:f>
      </x:c>
      <x:c r="M349" s="23" t="str">
        <x:f>IF(C349="","",IFERROR(INDEX('Borrowers'!$J$9:$J$108,MATCH(C349,'Borrowers'!$C$9:$C$108,0))+H349-SUM(I349:L349),"Unavailable"))</x:f>
      </x:c>
      <x:c r="N349" s="23" t="str">
        <x:f>IF(C349="","",IFERROR(INDEX('Borrowers'!$I$9:$I$108,MATCH(C349,'Borrowers'!$C$9:$C$108,0))*'Scenario Paths'!I33,"Unavailable"))</x:f>
      </x:c>
      <x:c r="O349" s="23" t="str">
        <x:f>IF(C349="","",IFERROR(M349-INDEX('Borrowers'!$K$9:$K$108,MATCH(C349,'Borrowers'!$C$9:$C$108,0))-N349,"Unavailable"))</x:f>
      </x:c>
      <x:c r="P349" s="127" t="str">
        <x:f>IF(C349="","",IFERROR(O349/INDEX('Borrowers'!$L$9:$L$108,MATCH(C349,'Borrowers'!$C$9:$C$108,0)),"Unavailable"))</x:f>
      </x:c>
      <x:c r="Q349" s="30" t="str">
        <x:f>IF(C349="","",IFERROR(IF(INDEX('Borrowers'!$Z$9:$Z$108,MATCH(C349,'Borrowers'!$C$9:$C$108,0))="Yes",1,IF(INDEX('Borrowers'!$P$9:$P$108,MATCH(C349,'Borrowers'!$C$9:$C$108,0))=0,0,MIN(1,INDEX('Borrowers'!$P$9:$P$108,MATCH(C349,'Borrowers'!$C$9:$C$108,0))*EXP(MIN(20,INDEX('Borrowers'!$V$9:$V$108,MATCH(C349,'Borrowers'!$C$9:$C$108,0))*V349))))),"Unavailable"))</x:f>
      </x:c>
      <x:c r="R349" s="30" t="str">
        <x:f>IF(C349="","",IFERROR(MIN(1,INDEX('Borrowers'!$Q$9:$Q$108,MATCH(C349,'Borrowers'!$C$9:$C$108,0))+(1-INDEX('Borrowers'!$Q$9:$Q$108,MATCH(C349,'Borrowers'!$C$9:$C$108,0)))*T349),"Unavailable"))</x:f>
      </x:c>
      <x:c r="S349" s="30" t="str">
        <x:f>IF(C349="","",IFERROR(SUMPRODUCT((Sites!$D$9:$D$108=C349)*Sites!$I$9:$I$108*Sites!$J$9:$J$108*Sites!$K$9:$K$108*(1-Sites!$L$9:$L$108)),"Unavailable"))</x:f>
      </x:c>
      <x:c r="T349" s="30" t="str">
        <x:f>IF(C349="","",IFERROR(MIN(1,(SUMPRODUCT((Sites!$D$9:$D$108=C349)*Sites!$N$9:$N$108*Sites!$J$9:$J$108*Sites!$K$9:$K$108*(1-Sites!$L$9:$L$108)))*'Scenario Paths'!I27),"Unavailable"))</x:f>
      </x:c>
      <x:c r="U349" s="9" t="str">
        <x:f>IF(C349="","",IF(OR(INDEX('Borrowers'!$AA$9:$AA$108,MATCH(C349,'Borrowers'!$C$9:$C$108,0))&lt;&gt;"Ready",COUNTIF(Sites!$D$9:$D$108,C349)=0,COUNTIFS(Sites!$D$9:$D$108,C349,Sites!$Q$9:$Q$108,"&lt;&gt;Ready")&gt;0,'Scenario Paths'!$F$6&lt;&gt;"Ready"),"Review source inputs","Ready"))</x:f>
      </x:c>
      <x:c r="V349" s="17" t="str">
        <x:f>IF(C349="","",IFERROR(MAX(-1,(G349-O349)/MAX(0.000001,G349)),"Unavailable"))</x:f>
      </x:c>
      <x:c r="W349" s="9" t="str">
        <x:f>IF(C349="","",IFERROR(INDEX('Borrowers'!$D$9:$D$108,MATCH(C349,'Borrowers'!$C$9:$C$108,0)),"Unavailable"))</x:f>
      </x:c>
    </x:row>
    <x:row r="350" ht="26" customHeight="1">
      <x:c r="A350" s="1"/>
      <x:c r="B350" s="1"/>
      <x:c r="C350" s="9" t="str">
        <x:f>IF(Borrowers!C50="","",Borrowers!C50)</x:f>
      </x:c>
      <x:c r="D350" s="3" t="n">
        <x:v>4</x:v>
      </x:c>
      <x:c r="E350" s="9" t="n">
        <x:f>Settings!$F$18+3</x:f>
        <x:v>2030</x:v>
      </x:c>
      <x:c r="F350" s="9" t="str">
        <x:f>IF(C350="","",INDEX('Borrowers'!$F$9:$F$108,MATCH(C350,'Borrowers'!$C$9:$C$108,0)))</x:f>
      </x:c>
      <x:c r="G350" s="23" t="str">
        <x:f>IF(C350="","",IFERROR(INDEX('Borrowers'!$J$9:$J$108,MATCH(C350,'Borrowers'!$C$9:$C$108,0))-INDEX('Borrowers'!$K$9:$K$108,MATCH(C350,'Borrowers'!$C$9:$C$108,0)),"Unavailable"))</x:f>
      </x:c>
      <x:c r="H350" s="23" t="str">
        <x:f>IF(C350="","",IFERROR(INDEX('Borrowers'!$I$9:$I$108,MATCH(C350,'Borrowers'!$C$9:$C$108,0))*INDEX('Borrowers'!$U$9:$U$108,MATCH(C350,'Borrowers'!$C$9:$C$108,0))*(IF(F350="Transport",'Scenario Paths'!I156,IF(F350="Technology",'Scenario Paths'!I150,IF(F350="Utilities",'Scenario Paths'!I144,IF(F350="Agriculture",'Scenario Paths'!I138,IF(F350="Manufacturing",'Scenario Paths'!I132,IF(F350="Healthcare",'Scenario Paths'!I126,IF(F350="Hospitality",'Scenario Paths'!I120,IF(F350="Property",'Scenario Paths'!I114,IF(F350="Food",'Scenario Paths'!I108,IF(F350="Logistics",'Scenario Paths'!I102,IF(F350="Solar",'Scenario Paths'!I96,IF(F350="Cement",'Scenario Paths'!I90,0))))))))))))),"Unavailable"))</x:f>
      </x:c>
      <x:c r="I350" s="23" t="str">
        <x:f>IF(C350="","",IFERROR(INDEX('Borrowers'!$R$9:$R$108,MATCH(C350,'Borrowers'!$C$9:$C$108,0))*(1-INDEX('Borrowers'!$W$9:$W$108,MATCH(C350,'Borrowers'!$C$9:$C$108,0))*'Scenario Paths'!I39)*'Scenario Paths'!I9/1000000*(1-INDEX('Borrowers'!$T$9:$T$108,MATCH(C350,'Borrowers'!$C$9:$C$108,0))),"Unavailable"))</x:f>
      </x:c>
      <x:c r="J350" s="23" t="str">
        <x:f>IF(C350="","",IFERROR(INDEX('Borrowers'!$I$9:$I$108,MATCH(C350,'Borrowers'!$C$9:$C$108,0))*INDEX('Borrowers'!$S$9:$S$108,MATCH(C350,'Borrowers'!$C$9:$C$108,0))*'Scenario Paths'!I15*(1-INDEX('Borrowers'!$T$9:$T$108,MATCH(C350,'Borrowers'!$C$9:$C$108,0))),"Unavailable"))</x:f>
      </x:c>
      <x:c r="K350" s="23" t="str">
        <x:f>IF(C350="","",IFERROR(INDEX('Borrowers'!$I$9:$I$108,MATCH(C350,'Borrowers'!$C$9:$C$108,0))*INDEX('Borrowers'!$U$9:$U$108,MATCH(C350,'Borrowers'!$C$9:$C$108,0))*'Scenario Paths'!I21*S350,"Unavailable"))</x:f>
      </x:c>
      <x:c r="L350" s="23" t="str">
        <x:f>IF(C350="","",IFERROR(SUMPRODUCT((Sites!$D$9:$D$108=C350)*Sites!$H$9:$H$108*Sites!$J$9:$J$108*Sites!$K$9:$K$108*(1-Sites!$L$9:$L$108)*(1-Sites!$M$9:$M$108))*'Scenario Paths'!I27,"Unavailable"))</x:f>
      </x:c>
      <x:c r="M350" s="23" t="str">
        <x:f>IF(C350="","",IFERROR(INDEX('Borrowers'!$J$9:$J$108,MATCH(C350,'Borrowers'!$C$9:$C$108,0))+H350-SUM(I350:L350),"Unavailable"))</x:f>
      </x:c>
      <x:c r="N350" s="23" t="str">
        <x:f>IF(C350="","",IFERROR(INDEX('Borrowers'!$I$9:$I$108,MATCH(C350,'Borrowers'!$C$9:$C$108,0))*'Scenario Paths'!I33,"Unavailable"))</x:f>
      </x:c>
      <x:c r="O350" s="23" t="str">
        <x:f>IF(C350="","",IFERROR(M350-INDEX('Borrowers'!$K$9:$K$108,MATCH(C350,'Borrowers'!$C$9:$C$108,0))-N350,"Unavailable"))</x:f>
      </x:c>
      <x:c r="P350" s="127" t="str">
        <x:f>IF(C350="","",IFERROR(O350/INDEX('Borrowers'!$L$9:$L$108,MATCH(C350,'Borrowers'!$C$9:$C$108,0)),"Unavailable"))</x:f>
      </x:c>
      <x:c r="Q350" s="30" t="str">
        <x:f>IF(C350="","",IFERROR(IF(INDEX('Borrowers'!$Z$9:$Z$108,MATCH(C350,'Borrowers'!$C$9:$C$108,0))="Yes",1,IF(INDEX('Borrowers'!$P$9:$P$108,MATCH(C350,'Borrowers'!$C$9:$C$108,0))=0,0,MIN(1,INDEX('Borrowers'!$P$9:$P$108,MATCH(C350,'Borrowers'!$C$9:$C$108,0))*EXP(MIN(20,INDEX('Borrowers'!$V$9:$V$108,MATCH(C350,'Borrowers'!$C$9:$C$108,0))*V350))))),"Unavailable"))</x:f>
      </x:c>
      <x:c r="R350" s="30" t="str">
        <x:f>IF(C350="","",IFERROR(MIN(1,INDEX('Borrowers'!$Q$9:$Q$108,MATCH(C350,'Borrowers'!$C$9:$C$108,0))+(1-INDEX('Borrowers'!$Q$9:$Q$108,MATCH(C350,'Borrowers'!$C$9:$C$108,0)))*T350),"Unavailable"))</x:f>
      </x:c>
      <x:c r="S350" s="30" t="str">
        <x:f>IF(C350="","",IFERROR(SUMPRODUCT((Sites!$D$9:$D$108=C350)*Sites!$I$9:$I$108*Sites!$J$9:$J$108*Sites!$K$9:$K$108*(1-Sites!$L$9:$L$108)),"Unavailable"))</x:f>
      </x:c>
      <x:c r="T350" s="30" t="str">
        <x:f>IF(C350="","",IFERROR(MIN(1,(SUMPRODUCT((Sites!$D$9:$D$108=C350)*Sites!$N$9:$N$108*Sites!$J$9:$J$108*Sites!$K$9:$K$108*(1-Sites!$L$9:$L$108)))*'Scenario Paths'!I27),"Unavailable"))</x:f>
      </x:c>
      <x:c r="U350" s="9" t="str">
        <x:f>IF(C350="","",IF(OR(INDEX('Borrowers'!$AA$9:$AA$108,MATCH(C350,'Borrowers'!$C$9:$C$108,0))&lt;&gt;"Ready",COUNTIF(Sites!$D$9:$D$108,C350)=0,COUNTIFS(Sites!$D$9:$D$108,C350,Sites!$Q$9:$Q$108,"&lt;&gt;Ready")&gt;0,'Scenario Paths'!$F$6&lt;&gt;"Ready"),"Review source inputs","Ready"))</x:f>
      </x:c>
      <x:c r="V350" s="17" t="str">
        <x:f>IF(C350="","",IFERROR(MAX(-1,(G350-O350)/MAX(0.000001,G350)),"Unavailable"))</x:f>
      </x:c>
      <x:c r="W350" s="9" t="str">
        <x:f>IF(C350="","",IFERROR(INDEX('Borrowers'!$D$9:$D$108,MATCH(C350,'Borrowers'!$C$9:$C$108,0)),"Unavailable"))</x:f>
      </x:c>
    </x:row>
    <x:row r="351" ht="26" customHeight="1">
      <x:c r="A351" s="1"/>
      <x:c r="B351" s="1"/>
      <x:c r="C351" s="9" t="str">
        <x:f>IF(Borrowers!C51="","",Borrowers!C51)</x:f>
      </x:c>
      <x:c r="D351" s="3" t="n">
        <x:v>4</x:v>
      </x:c>
      <x:c r="E351" s="9" t="n">
        <x:f>Settings!$F$18+3</x:f>
        <x:v>2030</x:v>
      </x:c>
      <x:c r="F351" s="9" t="str">
        <x:f>IF(C351="","",INDEX('Borrowers'!$F$9:$F$108,MATCH(C351,'Borrowers'!$C$9:$C$108,0)))</x:f>
      </x:c>
      <x:c r="G351" s="23" t="str">
        <x:f>IF(C351="","",IFERROR(INDEX('Borrowers'!$J$9:$J$108,MATCH(C351,'Borrowers'!$C$9:$C$108,0))-INDEX('Borrowers'!$K$9:$K$108,MATCH(C351,'Borrowers'!$C$9:$C$108,0)),"Unavailable"))</x:f>
      </x:c>
      <x:c r="H351" s="23" t="str">
        <x:f>IF(C351="","",IFERROR(INDEX('Borrowers'!$I$9:$I$108,MATCH(C351,'Borrowers'!$C$9:$C$108,0))*INDEX('Borrowers'!$U$9:$U$108,MATCH(C351,'Borrowers'!$C$9:$C$108,0))*(IF(F351="Transport",'Scenario Paths'!I156,IF(F351="Technology",'Scenario Paths'!I150,IF(F351="Utilities",'Scenario Paths'!I144,IF(F351="Agriculture",'Scenario Paths'!I138,IF(F351="Manufacturing",'Scenario Paths'!I132,IF(F351="Healthcare",'Scenario Paths'!I126,IF(F351="Hospitality",'Scenario Paths'!I120,IF(F351="Property",'Scenario Paths'!I114,IF(F351="Food",'Scenario Paths'!I108,IF(F351="Logistics",'Scenario Paths'!I102,IF(F351="Solar",'Scenario Paths'!I96,IF(F351="Cement",'Scenario Paths'!I90,0))))))))))))),"Unavailable"))</x:f>
      </x:c>
      <x:c r="I351" s="23" t="str">
        <x:f>IF(C351="","",IFERROR(INDEX('Borrowers'!$R$9:$R$108,MATCH(C351,'Borrowers'!$C$9:$C$108,0))*(1-INDEX('Borrowers'!$W$9:$W$108,MATCH(C351,'Borrowers'!$C$9:$C$108,0))*'Scenario Paths'!I39)*'Scenario Paths'!I9/1000000*(1-INDEX('Borrowers'!$T$9:$T$108,MATCH(C351,'Borrowers'!$C$9:$C$108,0))),"Unavailable"))</x:f>
      </x:c>
      <x:c r="J351" s="23" t="str">
        <x:f>IF(C351="","",IFERROR(INDEX('Borrowers'!$I$9:$I$108,MATCH(C351,'Borrowers'!$C$9:$C$108,0))*INDEX('Borrowers'!$S$9:$S$108,MATCH(C351,'Borrowers'!$C$9:$C$108,0))*'Scenario Paths'!I15*(1-INDEX('Borrowers'!$T$9:$T$108,MATCH(C351,'Borrowers'!$C$9:$C$108,0))),"Unavailable"))</x:f>
      </x:c>
      <x:c r="K351" s="23" t="str">
        <x:f>IF(C351="","",IFERROR(INDEX('Borrowers'!$I$9:$I$108,MATCH(C351,'Borrowers'!$C$9:$C$108,0))*INDEX('Borrowers'!$U$9:$U$108,MATCH(C351,'Borrowers'!$C$9:$C$108,0))*'Scenario Paths'!I21*S351,"Unavailable"))</x:f>
      </x:c>
      <x:c r="L351" s="23" t="str">
        <x:f>IF(C351="","",IFERROR(SUMPRODUCT((Sites!$D$9:$D$108=C351)*Sites!$H$9:$H$108*Sites!$J$9:$J$108*Sites!$K$9:$K$108*(1-Sites!$L$9:$L$108)*(1-Sites!$M$9:$M$108))*'Scenario Paths'!I27,"Unavailable"))</x:f>
      </x:c>
      <x:c r="M351" s="23" t="str">
        <x:f>IF(C351="","",IFERROR(INDEX('Borrowers'!$J$9:$J$108,MATCH(C351,'Borrowers'!$C$9:$C$108,0))+H351-SUM(I351:L351),"Unavailable"))</x:f>
      </x:c>
      <x:c r="N351" s="23" t="str">
        <x:f>IF(C351="","",IFERROR(INDEX('Borrowers'!$I$9:$I$108,MATCH(C351,'Borrowers'!$C$9:$C$108,0))*'Scenario Paths'!I33,"Unavailable"))</x:f>
      </x:c>
      <x:c r="O351" s="23" t="str">
        <x:f>IF(C351="","",IFERROR(M351-INDEX('Borrowers'!$K$9:$K$108,MATCH(C351,'Borrowers'!$C$9:$C$108,0))-N351,"Unavailable"))</x:f>
      </x:c>
      <x:c r="P351" s="127" t="str">
        <x:f>IF(C351="","",IFERROR(O351/INDEX('Borrowers'!$L$9:$L$108,MATCH(C351,'Borrowers'!$C$9:$C$108,0)),"Unavailable"))</x:f>
      </x:c>
      <x:c r="Q351" s="30" t="str">
        <x:f>IF(C351="","",IFERROR(IF(INDEX('Borrowers'!$Z$9:$Z$108,MATCH(C351,'Borrowers'!$C$9:$C$108,0))="Yes",1,IF(INDEX('Borrowers'!$P$9:$P$108,MATCH(C351,'Borrowers'!$C$9:$C$108,0))=0,0,MIN(1,INDEX('Borrowers'!$P$9:$P$108,MATCH(C351,'Borrowers'!$C$9:$C$108,0))*EXP(MIN(20,INDEX('Borrowers'!$V$9:$V$108,MATCH(C351,'Borrowers'!$C$9:$C$108,0))*V351))))),"Unavailable"))</x:f>
      </x:c>
      <x:c r="R351" s="30" t="str">
        <x:f>IF(C351="","",IFERROR(MIN(1,INDEX('Borrowers'!$Q$9:$Q$108,MATCH(C351,'Borrowers'!$C$9:$C$108,0))+(1-INDEX('Borrowers'!$Q$9:$Q$108,MATCH(C351,'Borrowers'!$C$9:$C$108,0)))*T351),"Unavailable"))</x:f>
      </x:c>
      <x:c r="S351" s="30" t="str">
        <x:f>IF(C351="","",IFERROR(SUMPRODUCT((Sites!$D$9:$D$108=C351)*Sites!$I$9:$I$108*Sites!$J$9:$J$108*Sites!$K$9:$K$108*(1-Sites!$L$9:$L$108)),"Unavailable"))</x:f>
      </x:c>
      <x:c r="T351" s="30" t="str">
        <x:f>IF(C351="","",IFERROR(MIN(1,(SUMPRODUCT((Sites!$D$9:$D$108=C351)*Sites!$N$9:$N$108*Sites!$J$9:$J$108*Sites!$K$9:$K$108*(1-Sites!$L$9:$L$108)))*'Scenario Paths'!I27),"Unavailable"))</x:f>
      </x:c>
      <x:c r="U351" s="9" t="str">
        <x:f>IF(C351="","",IF(OR(INDEX('Borrowers'!$AA$9:$AA$108,MATCH(C351,'Borrowers'!$C$9:$C$108,0))&lt;&gt;"Ready",COUNTIF(Sites!$D$9:$D$108,C351)=0,COUNTIFS(Sites!$D$9:$D$108,C351,Sites!$Q$9:$Q$108,"&lt;&gt;Ready")&gt;0,'Scenario Paths'!$F$6&lt;&gt;"Ready"),"Review source inputs","Ready"))</x:f>
      </x:c>
      <x:c r="V351" s="17" t="str">
        <x:f>IF(C351="","",IFERROR(MAX(-1,(G351-O351)/MAX(0.000001,G351)),"Unavailable"))</x:f>
      </x:c>
      <x:c r="W351" s="9" t="str">
        <x:f>IF(C351="","",IFERROR(INDEX('Borrowers'!$D$9:$D$108,MATCH(C351,'Borrowers'!$C$9:$C$108,0)),"Unavailable"))</x:f>
      </x:c>
    </x:row>
    <x:row r="352" ht="26" customHeight="1">
      <x:c r="A352" s="1"/>
      <x:c r="B352" s="1"/>
      <x:c r="C352" s="9" t="str">
        <x:f>IF(Borrowers!C52="","",Borrowers!C52)</x:f>
      </x:c>
      <x:c r="D352" s="3" t="n">
        <x:v>4</x:v>
      </x:c>
      <x:c r="E352" s="9" t="n">
        <x:f>Settings!$F$18+3</x:f>
        <x:v>2030</x:v>
      </x:c>
      <x:c r="F352" s="9" t="str">
        <x:f>IF(C352="","",INDEX('Borrowers'!$F$9:$F$108,MATCH(C352,'Borrowers'!$C$9:$C$108,0)))</x:f>
      </x:c>
      <x:c r="G352" s="23" t="str">
        <x:f>IF(C352="","",IFERROR(INDEX('Borrowers'!$J$9:$J$108,MATCH(C352,'Borrowers'!$C$9:$C$108,0))-INDEX('Borrowers'!$K$9:$K$108,MATCH(C352,'Borrowers'!$C$9:$C$108,0)),"Unavailable"))</x:f>
      </x:c>
      <x:c r="H352" s="23" t="str">
        <x:f>IF(C352="","",IFERROR(INDEX('Borrowers'!$I$9:$I$108,MATCH(C352,'Borrowers'!$C$9:$C$108,0))*INDEX('Borrowers'!$U$9:$U$108,MATCH(C352,'Borrowers'!$C$9:$C$108,0))*(IF(F352="Transport",'Scenario Paths'!I156,IF(F352="Technology",'Scenario Paths'!I150,IF(F352="Utilities",'Scenario Paths'!I144,IF(F352="Agriculture",'Scenario Paths'!I138,IF(F352="Manufacturing",'Scenario Paths'!I132,IF(F352="Healthcare",'Scenario Paths'!I126,IF(F352="Hospitality",'Scenario Paths'!I120,IF(F352="Property",'Scenario Paths'!I114,IF(F352="Food",'Scenario Paths'!I108,IF(F352="Logistics",'Scenario Paths'!I102,IF(F352="Solar",'Scenario Paths'!I96,IF(F352="Cement",'Scenario Paths'!I90,0))))))))))))),"Unavailable"))</x:f>
      </x:c>
      <x:c r="I352" s="23" t="str">
        <x:f>IF(C352="","",IFERROR(INDEX('Borrowers'!$R$9:$R$108,MATCH(C352,'Borrowers'!$C$9:$C$108,0))*(1-INDEX('Borrowers'!$W$9:$W$108,MATCH(C352,'Borrowers'!$C$9:$C$108,0))*'Scenario Paths'!I39)*'Scenario Paths'!I9/1000000*(1-INDEX('Borrowers'!$T$9:$T$108,MATCH(C352,'Borrowers'!$C$9:$C$108,0))),"Unavailable"))</x:f>
      </x:c>
      <x:c r="J352" s="23" t="str">
        <x:f>IF(C352="","",IFERROR(INDEX('Borrowers'!$I$9:$I$108,MATCH(C352,'Borrowers'!$C$9:$C$108,0))*INDEX('Borrowers'!$S$9:$S$108,MATCH(C352,'Borrowers'!$C$9:$C$108,0))*'Scenario Paths'!I15*(1-INDEX('Borrowers'!$T$9:$T$108,MATCH(C352,'Borrowers'!$C$9:$C$108,0))),"Unavailable"))</x:f>
      </x:c>
      <x:c r="K352" s="23" t="str">
        <x:f>IF(C352="","",IFERROR(INDEX('Borrowers'!$I$9:$I$108,MATCH(C352,'Borrowers'!$C$9:$C$108,0))*INDEX('Borrowers'!$U$9:$U$108,MATCH(C352,'Borrowers'!$C$9:$C$108,0))*'Scenario Paths'!I21*S352,"Unavailable"))</x:f>
      </x:c>
      <x:c r="L352" s="23" t="str">
        <x:f>IF(C352="","",IFERROR(SUMPRODUCT((Sites!$D$9:$D$108=C352)*Sites!$H$9:$H$108*Sites!$J$9:$J$108*Sites!$K$9:$K$108*(1-Sites!$L$9:$L$108)*(1-Sites!$M$9:$M$108))*'Scenario Paths'!I27,"Unavailable"))</x:f>
      </x:c>
      <x:c r="M352" s="23" t="str">
        <x:f>IF(C352="","",IFERROR(INDEX('Borrowers'!$J$9:$J$108,MATCH(C352,'Borrowers'!$C$9:$C$108,0))+H352-SUM(I352:L352),"Unavailable"))</x:f>
      </x:c>
      <x:c r="N352" s="23" t="str">
        <x:f>IF(C352="","",IFERROR(INDEX('Borrowers'!$I$9:$I$108,MATCH(C352,'Borrowers'!$C$9:$C$108,0))*'Scenario Paths'!I33,"Unavailable"))</x:f>
      </x:c>
      <x:c r="O352" s="23" t="str">
        <x:f>IF(C352="","",IFERROR(M352-INDEX('Borrowers'!$K$9:$K$108,MATCH(C352,'Borrowers'!$C$9:$C$108,0))-N352,"Unavailable"))</x:f>
      </x:c>
      <x:c r="P352" s="127" t="str">
        <x:f>IF(C352="","",IFERROR(O352/INDEX('Borrowers'!$L$9:$L$108,MATCH(C352,'Borrowers'!$C$9:$C$108,0)),"Unavailable"))</x:f>
      </x:c>
      <x:c r="Q352" s="30" t="str">
        <x:f>IF(C352="","",IFERROR(IF(INDEX('Borrowers'!$Z$9:$Z$108,MATCH(C352,'Borrowers'!$C$9:$C$108,0))="Yes",1,IF(INDEX('Borrowers'!$P$9:$P$108,MATCH(C352,'Borrowers'!$C$9:$C$108,0))=0,0,MIN(1,INDEX('Borrowers'!$P$9:$P$108,MATCH(C352,'Borrowers'!$C$9:$C$108,0))*EXP(MIN(20,INDEX('Borrowers'!$V$9:$V$108,MATCH(C352,'Borrowers'!$C$9:$C$108,0))*V352))))),"Unavailable"))</x:f>
      </x:c>
      <x:c r="R352" s="30" t="str">
        <x:f>IF(C352="","",IFERROR(MIN(1,INDEX('Borrowers'!$Q$9:$Q$108,MATCH(C352,'Borrowers'!$C$9:$C$108,0))+(1-INDEX('Borrowers'!$Q$9:$Q$108,MATCH(C352,'Borrowers'!$C$9:$C$108,0)))*T352),"Unavailable"))</x:f>
      </x:c>
      <x:c r="S352" s="30" t="str">
        <x:f>IF(C352="","",IFERROR(SUMPRODUCT((Sites!$D$9:$D$108=C352)*Sites!$I$9:$I$108*Sites!$J$9:$J$108*Sites!$K$9:$K$108*(1-Sites!$L$9:$L$108)),"Unavailable"))</x:f>
      </x:c>
      <x:c r="T352" s="30" t="str">
        <x:f>IF(C352="","",IFERROR(MIN(1,(SUMPRODUCT((Sites!$D$9:$D$108=C352)*Sites!$N$9:$N$108*Sites!$J$9:$J$108*Sites!$K$9:$K$108*(1-Sites!$L$9:$L$108)))*'Scenario Paths'!I27),"Unavailable"))</x:f>
      </x:c>
      <x:c r="U352" s="9" t="str">
        <x:f>IF(C352="","",IF(OR(INDEX('Borrowers'!$AA$9:$AA$108,MATCH(C352,'Borrowers'!$C$9:$C$108,0))&lt;&gt;"Ready",COUNTIF(Sites!$D$9:$D$108,C352)=0,COUNTIFS(Sites!$D$9:$D$108,C352,Sites!$Q$9:$Q$108,"&lt;&gt;Ready")&gt;0,'Scenario Paths'!$F$6&lt;&gt;"Ready"),"Review source inputs","Ready"))</x:f>
      </x:c>
      <x:c r="V352" s="17" t="str">
        <x:f>IF(C352="","",IFERROR(MAX(-1,(G352-O352)/MAX(0.000001,G352)),"Unavailable"))</x:f>
      </x:c>
      <x:c r="W352" s="9" t="str">
        <x:f>IF(C352="","",IFERROR(INDEX('Borrowers'!$D$9:$D$108,MATCH(C352,'Borrowers'!$C$9:$C$108,0)),"Unavailable"))</x:f>
      </x:c>
    </x:row>
    <x:row r="353" ht="26" customHeight="1">
      <x:c r="A353" s="1"/>
      <x:c r="B353" s="1"/>
      <x:c r="C353" s="9" t="str">
        <x:f>IF(Borrowers!C53="","",Borrowers!C53)</x:f>
      </x:c>
      <x:c r="D353" s="3" t="n">
        <x:v>4</x:v>
      </x:c>
      <x:c r="E353" s="9" t="n">
        <x:f>Settings!$F$18+3</x:f>
        <x:v>2030</x:v>
      </x:c>
      <x:c r="F353" s="9" t="str">
        <x:f>IF(C353="","",INDEX('Borrowers'!$F$9:$F$108,MATCH(C353,'Borrowers'!$C$9:$C$108,0)))</x:f>
      </x:c>
      <x:c r="G353" s="23" t="str">
        <x:f>IF(C353="","",IFERROR(INDEX('Borrowers'!$J$9:$J$108,MATCH(C353,'Borrowers'!$C$9:$C$108,0))-INDEX('Borrowers'!$K$9:$K$108,MATCH(C353,'Borrowers'!$C$9:$C$108,0)),"Unavailable"))</x:f>
      </x:c>
      <x:c r="H353" s="23" t="str">
        <x:f>IF(C353="","",IFERROR(INDEX('Borrowers'!$I$9:$I$108,MATCH(C353,'Borrowers'!$C$9:$C$108,0))*INDEX('Borrowers'!$U$9:$U$108,MATCH(C353,'Borrowers'!$C$9:$C$108,0))*(IF(F353="Transport",'Scenario Paths'!I156,IF(F353="Technology",'Scenario Paths'!I150,IF(F353="Utilities",'Scenario Paths'!I144,IF(F353="Agriculture",'Scenario Paths'!I138,IF(F353="Manufacturing",'Scenario Paths'!I132,IF(F353="Healthcare",'Scenario Paths'!I126,IF(F353="Hospitality",'Scenario Paths'!I120,IF(F353="Property",'Scenario Paths'!I114,IF(F353="Food",'Scenario Paths'!I108,IF(F353="Logistics",'Scenario Paths'!I102,IF(F353="Solar",'Scenario Paths'!I96,IF(F353="Cement",'Scenario Paths'!I90,0))))))))))))),"Unavailable"))</x:f>
      </x:c>
      <x:c r="I353" s="23" t="str">
        <x:f>IF(C353="","",IFERROR(INDEX('Borrowers'!$R$9:$R$108,MATCH(C353,'Borrowers'!$C$9:$C$108,0))*(1-INDEX('Borrowers'!$W$9:$W$108,MATCH(C353,'Borrowers'!$C$9:$C$108,0))*'Scenario Paths'!I39)*'Scenario Paths'!I9/1000000*(1-INDEX('Borrowers'!$T$9:$T$108,MATCH(C353,'Borrowers'!$C$9:$C$108,0))),"Unavailable"))</x:f>
      </x:c>
      <x:c r="J353" s="23" t="str">
        <x:f>IF(C353="","",IFERROR(INDEX('Borrowers'!$I$9:$I$108,MATCH(C353,'Borrowers'!$C$9:$C$108,0))*INDEX('Borrowers'!$S$9:$S$108,MATCH(C353,'Borrowers'!$C$9:$C$108,0))*'Scenario Paths'!I15*(1-INDEX('Borrowers'!$T$9:$T$108,MATCH(C353,'Borrowers'!$C$9:$C$108,0))),"Unavailable"))</x:f>
      </x:c>
      <x:c r="K353" s="23" t="str">
        <x:f>IF(C353="","",IFERROR(INDEX('Borrowers'!$I$9:$I$108,MATCH(C353,'Borrowers'!$C$9:$C$108,0))*INDEX('Borrowers'!$U$9:$U$108,MATCH(C353,'Borrowers'!$C$9:$C$108,0))*'Scenario Paths'!I21*S353,"Unavailable"))</x:f>
      </x:c>
      <x:c r="L353" s="23" t="str">
        <x:f>IF(C353="","",IFERROR(SUMPRODUCT((Sites!$D$9:$D$108=C353)*Sites!$H$9:$H$108*Sites!$J$9:$J$108*Sites!$K$9:$K$108*(1-Sites!$L$9:$L$108)*(1-Sites!$M$9:$M$108))*'Scenario Paths'!I27,"Unavailable"))</x:f>
      </x:c>
      <x:c r="M353" s="23" t="str">
        <x:f>IF(C353="","",IFERROR(INDEX('Borrowers'!$J$9:$J$108,MATCH(C353,'Borrowers'!$C$9:$C$108,0))+H353-SUM(I353:L353),"Unavailable"))</x:f>
      </x:c>
      <x:c r="N353" s="23" t="str">
        <x:f>IF(C353="","",IFERROR(INDEX('Borrowers'!$I$9:$I$108,MATCH(C353,'Borrowers'!$C$9:$C$108,0))*'Scenario Paths'!I33,"Unavailable"))</x:f>
      </x:c>
      <x:c r="O353" s="23" t="str">
        <x:f>IF(C353="","",IFERROR(M353-INDEX('Borrowers'!$K$9:$K$108,MATCH(C353,'Borrowers'!$C$9:$C$108,0))-N353,"Unavailable"))</x:f>
      </x:c>
      <x:c r="P353" s="127" t="str">
        <x:f>IF(C353="","",IFERROR(O353/INDEX('Borrowers'!$L$9:$L$108,MATCH(C353,'Borrowers'!$C$9:$C$108,0)),"Unavailable"))</x:f>
      </x:c>
      <x:c r="Q353" s="30" t="str">
        <x:f>IF(C353="","",IFERROR(IF(INDEX('Borrowers'!$Z$9:$Z$108,MATCH(C353,'Borrowers'!$C$9:$C$108,0))="Yes",1,IF(INDEX('Borrowers'!$P$9:$P$108,MATCH(C353,'Borrowers'!$C$9:$C$108,0))=0,0,MIN(1,INDEX('Borrowers'!$P$9:$P$108,MATCH(C353,'Borrowers'!$C$9:$C$108,0))*EXP(MIN(20,INDEX('Borrowers'!$V$9:$V$108,MATCH(C353,'Borrowers'!$C$9:$C$108,0))*V353))))),"Unavailable"))</x:f>
      </x:c>
      <x:c r="R353" s="30" t="str">
        <x:f>IF(C353="","",IFERROR(MIN(1,INDEX('Borrowers'!$Q$9:$Q$108,MATCH(C353,'Borrowers'!$C$9:$C$108,0))+(1-INDEX('Borrowers'!$Q$9:$Q$108,MATCH(C353,'Borrowers'!$C$9:$C$108,0)))*T353),"Unavailable"))</x:f>
      </x:c>
      <x:c r="S353" s="30" t="str">
        <x:f>IF(C353="","",IFERROR(SUMPRODUCT((Sites!$D$9:$D$108=C353)*Sites!$I$9:$I$108*Sites!$J$9:$J$108*Sites!$K$9:$K$108*(1-Sites!$L$9:$L$108)),"Unavailable"))</x:f>
      </x:c>
      <x:c r="T353" s="30" t="str">
        <x:f>IF(C353="","",IFERROR(MIN(1,(SUMPRODUCT((Sites!$D$9:$D$108=C353)*Sites!$N$9:$N$108*Sites!$J$9:$J$108*Sites!$K$9:$K$108*(1-Sites!$L$9:$L$108)))*'Scenario Paths'!I27),"Unavailable"))</x:f>
      </x:c>
      <x:c r="U353" s="9" t="str">
        <x:f>IF(C353="","",IF(OR(INDEX('Borrowers'!$AA$9:$AA$108,MATCH(C353,'Borrowers'!$C$9:$C$108,0))&lt;&gt;"Ready",COUNTIF(Sites!$D$9:$D$108,C353)=0,COUNTIFS(Sites!$D$9:$D$108,C353,Sites!$Q$9:$Q$108,"&lt;&gt;Ready")&gt;0,'Scenario Paths'!$F$6&lt;&gt;"Ready"),"Review source inputs","Ready"))</x:f>
      </x:c>
      <x:c r="V353" s="17" t="str">
        <x:f>IF(C353="","",IFERROR(MAX(-1,(G353-O353)/MAX(0.000001,G353)),"Unavailable"))</x:f>
      </x:c>
      <x:c r="W353" s="9" t="str">
        <x:f>IF(C353="","",IFERROR(INDEX('Borrowers'!$D$9:$D$108,MATCH(C353,'Borrowers'!$C$9:$C$108,0)),"Unavailable"))</x:f>
      </x:c>
    </x:row>
    <x:row r="354" ht="26" customHeight="1">
      <x:c r="A354" s="1"/>
      <x:c r="B354" s="1"/>
      <x:c r="C354" s="9" t="str">
        <x:f>IF(Borrowers!C54="","",Borrowers!C54)</x:f>
      </x:c>
      <x:c r="D354" s="3" t="n">
        <x:v>4</x:v>
      </x:c>
      <x:c r="E354" s="9" t="n">
        <x:f>Settings!$F$18+3</x:f>
        <x:v>2030</x:v>
      </x:c>
      <x:c r="F354" s="9" t="str">
        <x:f>IF(C354="","",INDEX('Borrowers'!$F$9:$F$108,MATCH(C354,'Borrowers'!$C$9:$C$108,0)))</x:f>
      </x:c>
      <x:c r="G354" s="23" t="str">
        <x:f>IF(C354="","",IFERROR(INDEX('Borrowers'!$J$9:$J$108,MATCH(C354,'Borrowers'!$C$9:$C$108,0))-INDEX('Borrowers'!$K$9:$K$108,MATCH(C354,'Borrowers'!$C$9:$C$108,0)),"Unavailable"))</x:f>
      </x:c>
      <x:c r="H354" s="23" t="str">
        <x:f>IF(C354="","",IFERROR(INDEX('Borrowers'!$I$9:$I$108,MATCH(C354,'Borrowers'!$C$9:$C$108,0))*INDEX('Borrowers'!$U$9:$U$108,MATCH(C354,'Borrowers'!$C$9:$C$108,0))*(IF(F354="Transport",'Scenario Paths'!I156,IF(F354="Technology",'Scenario Paths'!I150,IF(F354="Utilities",'Scenario Paths'!I144,IF(F354="Agriculture",'Scenario Paths'!I138,IF(F354="Manufacturing",'Scenario Paths'!I132,IF(F354="Healthcare",'Scenario Paths'!I126,IF(F354="Hospitality",'Scenario Paths'!I120,IF(F354="Property",'Scenario Paths'!I114,IF(F354="Food",'Scenario Paths'!I108,IF(F354="Logistics",'Scenario Paths'!I102,IF(F354="Solar",'Scenario Paths'!I96,IF(F354="Cement",'Scenario Paths'!I90,0))))))))))))),"Unavailable"))</x:f>
      </x:c>
      <x:c r="I354" s="23" t="str">
        <x:f>IF(C354="","",IFERROR(INDEX('Borrowers'!$R$9:$R$108,MATCH(C354,'Borrowers'!$C$9:$C$108,0))*(1-INDEX('Borrowers'!$W$9:$W$108,MATCH(C354,'Borrowers'!$C$9:$C$108,0))*'Scenario Paths'!I39)*'Scenario Paths'!I9/1000000*(1-INDEX('Borrowers'!$T$9:$T$108,MATCH(C354,'Borrowers'!$C$9:$C$108,0))),"Unavailable"))</x:f>
      </x:c>
      <x:c r="J354" s="23" t="str">
        <x:f>IF(C354="","",IFERROR(INDEX('Borrowers'!$I$9:$I$108,MATCH(C354,'Borrowers'!$C$9:$C$108,0))*INDEX('Borrowers'!$S$9:$S$108,MATCH(C354,'Borrowers'!$C$9:$C$108,0))*'Scenario Paths'!I15*(1-INDEX('Borrowers'!$T$9:$T$108,MATCH(C354,'Borrowers'!$C$9:$C$108,0))),"Unavailable"))</x:f>
      </x:c>
      <x:c r="K354" s="23" t="str">
        <x:f>IF(C354="","",IFERROR(INDEX('Borrowers'!$I$9:$I$108,MATCH(C354,'Borrowers'!$C$9:$C$108,0))*INDEX('Borrowers'!$U$9:$U$108,MATCH(C354,'Borrowers'!$C$9:$C$108,0))*'Scenario Paths'!I21*S354,"Unavailable"))</x:f>
      </x:c>
      <x:c r="L354" s="23" t="str">
        <x:f>IF(C354="","",IFERROR(SUMPRODUCT((Sites!$D$9:$D$108=C354)*Sites!$H$9:$H$108*Sites!$J$9:$J$108*Sites!$K$9:$K$108*(1-Sites!$L$9:$L$108)*(1-Sites!$M$9:$M$108))*'Scenario Paths'!I27,"Unavailable"))</x:f>
      </x:c>
      <x:c r="M354" s="23" t="str">
        <x:f>IF(C354="","",IFERROR(INDEX('Borrowers'!$J$9:$J$108,MATCH(C354,'Borrowers'!$C$9:$C$108,0))+H354-SUM(I354:L354),"Unavailable"))</x:f>
      </x:c>
      <x:c r="N354" s="23" t="str">
        <x:f>IF(C354="","",IFERROR(INDEX('Borrowers'!$I$9:$I$108,MATCH(C354,'Borrowers'!$C$9:$C$108,0))*'Scenario Paths'!I33,"Unavailable"))</x:f>
      </x:c>
      <x:c r="O354" s="23" t="str">
        <x:f>IF(C354="","",IFERROR(M354-INDEX('Borrowers'!$K$9:$K$108,MATCH(C354,'Borrowers'!$C$9:$C$108,0))-N354,"Unavailable"))</x:f>
      </x:c>
      <x:c r="P354" s="127" t="str">
        <x:f>IF(C354="","",IFERROR(O354/INDEX('Borrowers'!$L$9:$L$108,MATCH(C354,'Borrowers'!$C$9:$C$108,0)),"Unavailable"))</x:f>
      </x:c>
      <x:c r="Q354" s="30" t="str">
        <x:f>IF(C354="","",IFERROR(IF(INDEX('Borrowers'!$Z$9:$Z$108,MATCH(C354,'Borrowers'!$C$9:$C$108,0))="Yes",1,IF(INDEX('Borrowers'!$P$9:$P$108,MATCH(C354,'Borrowers'!$C$9:$C$108,0))=0,0,MIN(1,INDEX('Borrowers'!$P$9:$P$108,MATCH(C354,'Borrowers'!$C$9:$C$108,0))*EXP(MIN(20,INDEX('Borrowers'!$V$9:$V$108,MATCH(C354,'Borrowers'!$C$9:$C$108,0))*V354))))),"Unavailable"))</x:f>
      </x:c>
      <x:c r="R354" s="30" t="str">
        <x:f>IF(C354="","",IFERROR(MIN(1,INDEX('Borrowers'!$Q$9:$Q$108,MATCH(C354,'Borrowers'!$C$9:$C$108,0))+(1-INDEX('Borrowers'!$Q$9:$Q$108,MATCH(C354,'Borrowers'!$C$9:$C$108,0)))*T354),"Unavailable"))</x:f>
      </x:c>
      <x:c r="S354" s="30" t="str">
        <x:f>IF(C354="","",IFERROR(SUMPRODUCT((Sites!$D$9:$D$108=C354)*Sites!$I$9:$I$108*Sites!$J$9:$J$108*Sites!$K$9:$K$108*(1-Sites!$L$9:$L$108)),"Unavailable"))</x:f>
      </x:c>
      <x:c r="T354" s="30" t="str">
        <x:f>IF(C354="","",IFERROR(MIN(1,(SUMPRODUCT((Sites!$D$9:$D$108=C354)*Sites!$N$9:$N$108*Sites!$J$9:$J$108*Sites!$K$9:$K$108*(1-Sites!$L$9:$L$108)))*'Scenario Paths'!I27),"Unavailable"))</x:f>
      </x:c>
      <x:c r="U354" s="9" t="str">
        <x:f>IF(C354="","",IF(OR(INDEX('Borrowers'!$AA$9:$AA$108,MATCH(C354,'Borrowers'!$C$9:$C$108,0))&lt;&gt;"Ready",COUNTIF(Sites!$D$9:$D$108,C354)=0,COUNTIFS(Sites!$D$9:$D$108,C354,Sites!$Q$9:$Q$108,"&lt;&gt;Ready")&gt;0,'Scenario Paths'!$F$6&lt;&gt;"Ready"),"Review source inputs","Ready"))</x:f>
      </x:c>
      <x:c r="V354" s="17" t="str">
        <x:f>IF(C354="","",IFERROR(MAX(-1,(G354-O354)/MAX(0.000001,G354)),"Unavailable"))</x:f>
      </x:c>
      <x:c r="W354" s="9" t="str">
        <x:f>IF(C354="","",IFERROR(INDEX('Borrowers'!$D$9:$D$108,MATCH(C354,'Borrowers'!$C$9:$C$108,0)),"Unavailable"))</x:f>
      </x:c>
    </x:row>
    <x:row r="355" ht="26" customHeight="1">
      <x:c r="A355" s="1"/>
      <x:c r="B355" s="1"/>
      <x:c r="C355" s="9" t="str">
        <x:f>IF(Borrowers!C55="","",Borrowers!C55)</x:f>
      </x:c>
      <x:c r="D355" s="3" t="n">
        <x:v>4</x:v>
      </x:c>
      <x:c r="E355" s="9" t="n">
        <x:f>Settings!$F$18+3</x:f>
        <x:v>2030</x:v>
      </x:c>
      <x:c r="F355" s="9" t="str">
        <x:f>IF(C355="","",INDEX('Borrowers'!$F$9:$F$108,MATCH(C355,'Borrowers'!$C$9:$C$108,0)))</x:f>
      </x:c>
      <x:c r="G355" s="23" t="str">
        <x:f>IF(C355="","",IFERROR(INDEX('Borrowers'!$J$9:$J$108,MATCH(C355,'Borrowers'!$C$9:$C$108,0))-INDEX('Borrowers'!$K$9:$K$108,MATCH(C355,'Borrowers'!$C$9:$C$108,0)),"Unavailable"))</x:f>
      </x:c>
      <x:c r="H355" s="23" t="str">
        <x:f>IF(C355="","",IFERROR(INDEX('Borrowers'!$I$9:$I$108,MATCH(C355,'Borrowers'!$C$9:$C$108,0))*INDEX('Borrowers'!$U$9:$U$108,MATCH(C355,'Borrowers'!$C$9:$C$108,0))*(IF(F355="Transport",'Scenario Paths'!I156,IF(F355="Technology",'Scenario Paths'!I150,IF(F355="Utilities",'Scenario Paths'!I144,IF(F355="Agriculture",'Scenario Paths'!I138,IF(F355="Manufacturing",'Scenario Paths'!I132,IF(F355="Healthcare",'Scenario Paths'!I126,IF(F355="Hospitality",'Scenario Paths'!I120,IF(F355="Property",'Scenario Paths'!I114,IF(F355="Food",'Scenario Paths'!I108,IF(F355="Logistics",'Scenario Paths'!I102,IF(F355="Solar",'Scenario Paths'!I96,IF(F355="Cement",'Scenario Paths'!I90,0))))))))))))),"Unavailable"))</x:f>
      </x:c>
      <x:c r="I355" s="23" t="str">
        <x:f>IF(C355="","",IFERROR(INDEX('Borrowers'!$R$9:$R$108,MATCH(C355,'Borrowers'!$C$9:$C$108,0))*(1-INDEX('Borrowers'!$W$9:$W$108,MATCH(C355,'Borrowers'!$C$9:$C$108,0))*'Scenario Paths'!I39)*'Scenario Paths'!I9/1000000*(1-INDEX('Borrowers'!$T$9:$T$108,MATCH(C355,'Borrowers'!$C$9:$C$108,0))),"Unavailable"))</x:f>
      </x:c>
      <x:c r="J355" s="23" t="str">
        <x:f>IF(C355="","",IFERROR(INDEX('Borrowers'!$I$9:$I$108,MATCH(C355,'Borrowers'!$C$9:$C$108,0))*INDEX('Borrowers'!$S$9:$S$108,MATCH(C355,'Borrowers'!$C$9:$C$108,0))*'Scenario Paths'!I15*(1-INDEX('Borrowers'!$T$9:$T$108,MATCH(C355,'Borrowers'!$C$9:$C$108,0))),"Unavailable"))</x:f>
      </x:c>
      <x:c r="K355" s="23" t="str">
        <x:f>IF(C355="","",IFERROR(INDEX('Borrowers'!$I$9:$I$108,MATCH(C355,'Borrowers'!$C$9:$C$108,0))*INDEX('Borrowers'!$U$9:$U$108,MATCH(C355,'Borrowers'!$C$9:$C$108,0))*'Scenario Paths'!I21*S355,"Unavailable"))</x:f>
      </x:c>
      <x:c r="L355" s="23" t="str">
        <x:f>IF(C355="","",IFERROR(SUMPRODUCT((Sites!$D$9:$D$108=C355)*Sites!$H$9:$H$108*Sites!$J$9:$J$108*Sites!$K$9:$K$108*(1-Sites!$L$9:$L$108)*(1-Sites!$M$9:$M$108))*'Scenario Paths'!I27,"Unavailable"))</x:f>
      </x:c>
      <x:c r="M355" s="23" t="str">
        <x:f>IF(C355="","",IFERROR(INDEX('Borrowers'!$J$9:$J$108,MATCH(C355,'Borrowers'!$C$9:$C$108,0))+H355-SUM(I355:L355),"Unavailable"))</x:f>
      </x:c>
      <x:c r="N355" s="23" t="str">
        <x:f>IF(C355="","",IFERROR(INDEX('Borrowers'!$I$9:$I$108,MATCH(C355,'Borrowers'!$C$9:$C$108,0))*'Scenario Paths'!I33,"Unavailable"))</x:f>
      </x:c>
      <x:c r="O355" s="23" t="str">
        <x:f>IF(C355="","",IFERROR(M355-INDEX('Borrowers'!$K$9:$K$108,MATCH(C355,'Borrowers'!$C$9:$C$108,0))-N355,"Unavailable"))</x:f>
      </x:c>
      <x:c r="P355" s="127" t="str">
        <x:f>IF(C355="","",IFERROR(O355/INDEX('Borrowers'!$L$9:$L$108,MATCH(C355,'Borrowers'!$C$9:$C$108,0)),"Unavailable"))</x:f>
      </x:c>
      <x:c r="Q355" s="30" t="str">
        <x:f>IF(C355="","",IFERROR(IF(INDEX('Borrowers'!$Z$9:$Z$108,MATCH(C355,'Borrowers'!$C$9:$C$108,0))="Yes",1,IF(INDEX('Borrowers'!$P$9:$P$108,MATCH(C355,'Borrowers'!$C$9:$C$108,0))=0,0,MIN(1,INDEX('Borrowers'!$P$9:$P$108,MATCH(C355,'Borrowers'!$C$9:$C$108,0))*EXP(MIN(20,INDEX('Borrowers'!$V$9:$V$108,MATCH(C355,'Borrowers'!$C$9:$C$108,0))*V355))))),"Unavailable"))</x:f>
      </x:c>
      <x:c r="R355" s="30" t="str">
        <x:f>IF(C355="","",IFERROR(MIN(1,INDEX('Borrowers'!$Q$9:$Q$108,MATCH(C355,'Borrowers'!$C$9:$C$108,0))+(1-INDEX('Borrowers'!$Q$9:$Q$108,MATCH(C355,'Borrowers'!$C$9:$C$108,0)))*T355),"Unavailable"))</x:f>
      </x:c>
      <x:c r="S355" s="30" t="str">
        <x:f>IF(C355="","",IFERROR(SUMPRODUCT((Sites!$D$9:$D$108=C355)*Sites!$I$9:$I$108*Sites!$J$9:$J$108*Sites!$K$9:$K$108*(1-Sites!$L$9:$L$108)),"Unavailable"))</x:f>
      </x:c>
      <x:c r="T355" s="30" t="str">
        <x:f>IF(C355="","",IFERROR(MIN(1,(SUMPRODUCT((Sites!$D$9:$D$108=C355)*Sites!$N$9:$N$108*Sites!$J$9:$J$108*Sites!$K$9:$K$108*(1-Sites!$L$9:$L$108)))*'Scenario Paths'!I27),"Unavailable"))</x:f>
      </x:c>
      <x:c r="U355" s="9" t="str">
        <x:f>IF(C355="","",IF(OR(INDEX('Borrowers'!$AA$9:$AA$108,MATCH(C355,'Borrowers'!$C$9:$C$108,0))&lt;&gt;"Ready",COUNTIF(Sites!$D$9:$D$108,C355)=0,COUNTIFS(Sites!$D$9:$D$108,C355,Sites!$Q$9:$Q$108,"&lt;&gt;Ready")&gt;0,'Scenario Paths'!$F$6&lt;&gt;"Ready"),"Review source inputs","Ready"))</x:f>
      </x:c>
      <x:c r="V355" s="17" t="str">
        <x:f>IF(C355="","",IFERROR(MAX(-1,(G355-O355)/MAX(0.000001,G355)),"Unavailable"))</x:f>
      </x:c>
      <x:c r="W355" s="9" t="str">
        <x:f>IF(C355="","",IFERROR(INDEX('Borrowers'!$D$9:$D$108,MATCH(C355,'Borrowers'!$C$9:$C$108,0)),"Unavailable"))</x:f>
      </x:c>
    </x:row>
    <x:row r="356" ht="26" customHeight="1">
      <x:c r="A356" s="1"/>
      <x:c r="B356" s="1"/>
      <x:c r="C356" s="9" t="str">
        <x:f>IF(Borrowers!C56="","",Borrowers!C56)</x:f>
      </x:c>
      <x:c r="D356" s="3" t="n">
        <x:v>4</x:v>
      </x:c>
      <x:c r="E356" s="9" t="n">
        <x:f>Settings!$F$18+3</x:f>
        <x:v>2030</x:v>
      </x:c>
      <x:c r="F356" s="9" t="str">
        <x:f>IF(C356="","",INDEX('Borrowers'!$F$9:$F$108,MATCH(C356,'Borrowers'!$C$9:$C$108,0)))</x:f>
      </x:c>
      <x:c r="G356" s="23" t="str">
        <x:f>IF(C356="","",IFERROR(INDEX('Borrowers'!$J$9:$J$108,MATCH(C356,'Borrowers'!$C$9:$C$108,0))-INDEX('Borrowers'!$K$9:$K$108,MATCH(C356,'Borrowers'!$C$9:$C$108,0)),"Unavailable"))</x:f>
      </x:c>
      <x:c r="H356" s="23" t="str">
        <x:f>IF(C356="","",IFERROR(INDEX('Borrowers'!$I$9:$I$108,MATCH(C356,'Borrowers'!$C$9:$C$108,0))*INDEX('Borrowers'!$U$9:$U$108,MATCH(C356,'Borrowers'!$C$9:$C$108,0))*(IF(F356="Transport",'Scenario Paths'!I156,IF(F356="Technology",'Scenario Paths'!I150,IF(F356="Utilities",'Scenario Paths'!I144,IF(F356="Agriculture",'Scenario Paths'!I138,IF(F356="Manufacturing",'Scenario Paths'!I132,IF(F356="Healthcare",'Scenario Paths'!I126,IF(F356="Hospitality",'Scenario Paths'!I120,IF(F356="Property",'Scenario Paths'!I114,IF(F356="Food",'Scenario Paths'!I108,IF(F356="Logistics",'Scenario Paths'!I102,IF(F356="Solar",'Scenario Paths'!I96,IF(F356="Cement",'Scenario Paths'!I90,0))))))))))))),"Unavailable"))</x:f>
      </x:c>
      <x:c r="I356" s="23" t="str">
        <x:f>IF(C356="","",IFERROR(INDEX('Borrowers'!$R$9:$R$108,MATCH(C356,'Borrowers'!$C$9:$C$108,0))*(1-INDEX('Borrowers'!$W$9:$W$108,MATCH(C356,'Borrowers'!$C$9:$C$108,0))*'Scenario Paths'!I39)*'Scenario Paths'!I9/1000000*(1-INDEX('Borrowers'!$T$9:$T$108,MATCH(C356,'Borrowers'!$C$9:$C$108,0))),"Unavailable"))</x:f>
      </x:c>
      <x:c r="J356" s="23" t="str">
        <x:f>IF(C356="","",IFERROR(INDEX('Borrowers'!$I$9:$I$108,MATCH(C356,'Borrowers'!$C$9:$C$108,0))*INDEX('Borrowers'!$S$9:$S$108,MATCH(C356,'Borrowers'!$C$9:$C$108,0))*'Scenario Paths'!I15*(1-INDEX('Borrowers'!$T$9:$T$108,MATCH(C356,'Borrowers'!$C$9:$C$108,0))),"Unavailable"))</x:f>
      </x:c>
      <x:c r="K356" s="23" t="str">
        <x:f>IF(C356="","",IFERROR(INDEX('Borrowers'!$I$9:$I$108,MATCH(C356,'Borrowers'!$C$9:$C$108,0))*INDEX('Borrowers'!$U$9:$U$108,MATCH(C356,'Borrowers'!$C$9:$C$108,0))*'Scenario Paths'!I21*S356,"Unavailable"))</x:f>
      </x:c>
      <x:c r="L356" s="23" t="str">
        <x:f>IF(C356="","",IFERROR(SUMPRODUCT((Sites!$D$9:$D$108=C356)*Sites!$H$9:$H$108*Sites!$J$9:$J$108*Sites!$K$9:$K$108*(1-Sites!$L$9:$L$108)*(1-Sites!$M$9:$M$108))*'Scenario Paths'!I27,"Unavailable"))</x:f>
      </x:c>
      <x:c r="M356" s="23" t="str">
        <x:f>IF(C356="","",IFERROR(INDEX('Borrowers'!$J$9:$J$108,MATCH(C356,'Borrowers'!$C$9:$C$108,0))+H356-SUM(I356:L356),"Unavailable"))</x:f>
      </x:c>
      <x:c r="N356" s="23" t="str">
        <x:f>IF(C356="","",IFERROR(INDEX('Borrowers'!$I$9:$I$108,MATCH(C356,'Borrowers'!$C$9:$C$108,0))*'Scenario Paths'!I33,"Unavailable"))</x:f>
      </x:c>
      <x:c r="O356" s="23" t="str">
        <x:f>IF(C356="","",IFERROR(M356-INDEX('Borrowers'!$K$9:$K$108,MATCH(C356,'Borrowers'!$C$9:$C$108,0))-N356,"Unavailable"))</x:f>
      </x:c>
      <x:c r="P356" s="127" t="str">
        <x:f>IF(C356="","",IFERROR(O356/INDEX('Borrowers'!$L$9:$L$108,MATCH(C356,'Borrowers'!$C$9:$C$108,0)),"Unavailable"))</x:f>
      </x:c>
      <x:c r="Q356" s="30" t="str">
        <x:f>IF(C356="","",IFERROR(IF(INDEX('Borrowers'!$Z$9:$Z$108,MATCH(C356,'Borrowers'!$C$9:$C$108,0))="Yes",1,IF(INDEX('Borrowers'!$P$9:$P$108,MATCH(C356,'Borrowers'!$C$9:$C$108,0))=0,0,MIN(1,INDEX('Borrowers'!$P$9:$P$108,MATCH(C356,'Borrowers'!$C$9:$C$108,0))*EXP(MIN(20,INDEX('Borrowers'!$V$9:$V$108,MATCH(C356,'Borrowers'!$C$9:$C$108,0))*V356))))),"Unavailable"))</x:f>
      </x:c>
      <x:c r="R356" s="30" t="str">
        <x:f>IF(C356="","",IFERROR(MIN(1,INDEX('Borrowers'!$Q$9:$Q$108,MATCH(C356,'Borrowers'!$C$9:$C$108,0))+(1-INDEX('Borrowers'!$Q$9:$Q$108,MATCH(C356,'Borrowers'!$C$9:$C$108,0)))*T356),"Unavailable"))</x:f>
      </x:c>
      <x:c r="S356" s="30" t="str">
        <x:f>IF(C356="","",IFERROR(SUMPRODUCT((Sites!$D$9:$D$108=C356)*Sites!$I$9:$I$108*Sites!$J$9:$J$108*Sites!$K$9:$K$108*(1-Sites!$L$9:$L$108)),"Unavailable"))</x:f>
      </x:c>
      <x:c r="T356" s="30" t="str">
        <x:f>IF(C356="","",IFERROR(MIN(1,(SUMPRODUCT((Sites!$D$9:$D$108=C356)*Sites!$N$9:$N$108*Sites!$J$9:$J$108*Sites!$K$9:$K$108*(1-Sites!$L$9:$L$108)))*'Scenario Paths'!I27),"Unavailable"))</x:f>
      </x:c>
      <x:c r="U356" s="9" t="str">
        <x:f>IF(C356="","",IF(OR(INDEX('Borrowers'!$AA$9:$AA$108,MATCH(C356,'Borrowers'!$C$9:$C$108,0))&lt;&gt;"Ready",COUNTIF(Sites!$D$9:$D$108,C356)=0,COUNTIFS(Sites!$D$9:$D$108,C356,Sites!$Q$9:$Q$108,"&lt;&gt;Ready")&gt;0,'Scenario Paths'!$F$6&lt;&gt;"Ready"),"Review source inputs","Ready"))</x:f>
      </x:c>
      <x:c r="V356" s="17" t="str">
        <x:f>IF(C356="","",IFERROR(MAX(-1,(G356-O356)/MAX(0.000001,G356)),"Unavailable"))</x:f>
      </x:c>
      <x:c r="W356" s="9" t="str">
        <x:f>IF(C356="","",IFERROR(INDEX('Borrowers'!$D$9:$D$108,MATCH(C356,'Borrowers'!$C$9:$C$108,0)),"Unavailable"))</x:f>
      </x:c>
    </x:row>
    <x:row r="357" ht="26" customHeight="1">
      <x:c r="A357" s="1"/>
      <x:c r="B357" s="1"/>
      <x:c r="C357" s="9" t="str">
        <x:f>IF(Borrowers!C57="","",Borrowers!C57)</x:f>
      </x:c>
      <x:c r="D357" s="3" t="n">
        <x:v>4</x:v>
      </x:c>
      <x:c r="E357" s="9" t="n">
        <x:f>Settings!$F$18+3</x:f>
        <x:v>2030</x:v>
      </x:c>
      <x:c r="F357" s="9" t="str">
        <x:f>IF(C357="","",INDEX('Borrowers'!$F$9:$F$108,MATCH(C357,'Borrowers'!$C$9:$C$108,0)))</x:f>
      </x:c>
      <x:c r="G357" s="23" t="str">
        <x:f>IF(C357="","",IFERROR(INDEX('Borrowers'!$J$9:$J$108,MATCH(C357,'Borrowers'!$C$9:$C$108,0))-INDEX('Borrowers'!$K$9:$K$108,MATCH(C357,'Borrowers'!$C$9:$C$108,0)),"Unavailable"))</x:f>
      </x:c>
      <x:c r="H357" s="23" t="str">
        <x:f>IF(C357="","",IFERROR(INDEX('Borrowers'!$I$9:$I$108,MATCH(C357,'Borrowers'!$C$9:$C$108,0))*INDEX('Borrowers'!$U$9:$U$108,MATCH(C357,'Borrowers'!$C$9:$C$108,0))*(IF(F357="Transport",'Scenario Paths'!I156,IF(F357="Technology",'Scenario Paths'!I150,IF(F357="Utilities",'Scenario Paths'!I144,IF(F357="Agriculture",'Scenario Paths'!I138,IF(F357="Manufacturing",'Scenario Paths'!I132,IF(F357="Healthcare",'Scenario Paths'!I126,IF(F357="Hospitality",'Scenario Paths'!I120,IF(F357="Property",'Scenario Paths'!I114,IF(F357="Food",'Scenario Paths'!I108,IF(F357="Logistics",'Scenario Paths'!I102,IF(F357="Solar",'Scenario Paths'!I96,IF(F357="Cement",'Scenario Paths'!I90,0))))))))))))),"Unavailable"))</x:f>
      </x:c>
      <x:c r="I357" s="23" t="str">
        <x:f>IF(C357="","",IFERROR(INDEX('Borrowers'!$R$9:$R$108,MATCH(C357,'Borrowers'!$C$9:$C$108,0))*(1-INDEX('Borrowers'!$W$9:$W$108,MATCH(C357,'Borrowers'!$C$9:$C$108,0))*'Scenario Paths'!I39)*'Scenario Paths'!I9/1000000*(1-INDEX('Borrowers'!$T$9:$T$108,MATCH(C357,'Borrowers'!$C$9:$C$108,0))),"Unavailable"))</x:f>
      </x:c>
      <x:c r="J357" s="23" t="str">
        <x:f>IF(C357="","",IFERROR(INDEX('Borrowers'!$I$9:$I$108,MATCH(C357,'Borrowers'!$C$9:$C$108,0))*INDEX('Borrowers'!$S$9:$S$108,MATCH(C357,'Borrowers'!$C$9:$C$108,0))*'Scenario Paths'!I15*(1-INDEX('Borrowers'!$T$9:$T$108,MATCH(C357,'Borrowers'!$C$9:$C$108,0))),"Unavailable"))</x:f>
      </x:c>
      <x:c r="K357" s="23" t="str">
        <x:f>IF(C357="","",IFERROR(INDEX('Borrowers'!$I$9:$I$108,MATCH(C357,'Borrowers'!$C$9:$C$108,0))*INDEX('Borrowers'!$U$9:$U$108,MATCH(C357,'Borrowers'!$C$9:$C$108,0))*'Scenario Paths'!I21*S357,"Unavailable"))</x:f>
      </x:c>
      <x:c r="L357" s="23" t="str">
        <x:f>IF(C357="","",IFERROR(SUMPRODUCT((Sites!$D$9:$D$108=C357)*Sites!$H$9:$H$108*Sites!$J$9:$J$108*Sites!$K$9:$K$108*(1-Sites!$L$9:$L$108)*(1-Sites!$M$9:$M$108))*'Scenario Paths'!I27,"Unavailable"))</x:f>
      </x:c>
      <x:c r="M357" s="23" t="str">
        <x:f>IF(C357="","",IFERROR(INDEX('Borrowers'!$J$9:$J$108,MATCH(C357,'Borrowers'!$C$9:$C$108,0))+H357-SUM(I357:L357),"Unavailable"))</x:f>
      </x:c>
      <x:c r="N357" s="23" t="str">
        <x:f>IF(C357="","",IFERROR(INDEX('Borrowers'!$I$9:$I$108,MATCH(C357,'Borrowers'!$C$9:$C$108,0))*'Scenario Paths'!I33,"Unavailable"))</x:f>
      </x:c>
      <x:c r="O357" s="23" t="str">
        <x:f>IF(C357="","",IFERROR(M357-INDEX('Borrowers'!$K$9:$K$108,MATCH(C357,'Borrowers'!$C$9:$C$108,0))-N357,"Unavailable"))</x:f>
      </x:c>
      <x:c r="P357" s="127" t="str">
        <x:f>IF(C357="","",IFERROR(O357/INDEX('Borrowers'!$L$9:$L$108,MATCH(C357,'Borrowers'!$C$9:$C$108,0)),"Unavailable"))</x:f>
      </x:c>
      <x:c r="Q357" s="30" t="str">
        <x:f>IF(C357="","",IFERROR(IF(INDEX('Borrowers'!$Z$9:$Z$108,MATCH(C357,'Borrowers'!$C$9:$C$108,0))="Yes",1,IF(INDEX('Borrowers'!$P$9:$P$108,MATCH(C357,'Borrowers'!$C$9:$C$108,0))=0,0,MIN(1,INDEX('Borrowers'!$P$9:$P$108,MATCH(C357,'Borrowers'!$C$9:$C$108,0))*EXP(MIN(20,INDEX('Borrowers'!$V$9:$V$108,MATCH(C357,'Borrowers'!$C$9:$C$108,0))*V357))))),"Unavailable"))</x:f>
      </x:c>
      <x:c r="R357" s="30" t="str">
        <x:f>IF(C357="","",IFERROR(MIN(1,INDEX('Borrowers'!$Q$9:$Q$108,MATCH(C357,'Borrowers'!$C$9:$C$108,0))+(1-INDEX('Borrowers'!$Q$9:$Q$108,MATCH(C357,'Borrowers'!$C$9:$C$108,0)))*T357),"Unavailable"))</x:f>
      </x:c>
      <x:c r="S357" s="30" t="str">
        <x:f>IF(C357="","",IFERROR(SUMPRODUCT((Sites!$D$9:$D$108=C357)*Sites!$I$9:$I$108*Sites!$J$9:$J$108*Sites!$K$9:$K$108*(1-Sites!$L$9:$L$108)),"Unavailable"))</x:f>
      </x:c>
      <x:c r="T357" s="30" t="str">
        <x:f>IF(C357="","",IFERROR(MIN(1,(SUMPRODUCT((Sites!$D$9:$D$108=C357)*Sites!$N$9:$N$108*Sites!$J$9:$J$108*Sites!$K$9:$K$108*(1-Sites!$L$9:$L$108)))*'Scenario Paths'!I27),"Unavailable"))</x:f>
      </x:c>
      <x:c r="U357" s="9" t="str">
        <x:f>IF(C357="","",IF(OR(INDEX('Borrowers'!$AA$9:$AA$108,MATCH(C357,'Borrowers'!$C$9:$C$108,0))&lt;&gt;"Ready",COUNTIF(Sites!$D$9:$D$108,C357)=0,COUNTIFS(Sites!$D$9:$D$108,C357,Sites!$Q$9:$Q$108,"&lt;&gt;Ready")&gt;0,'Scenario Paths'!$F$6&lt;&gt;"Ready"),"Review source inputs","Ready"))</x:f>
      </x:c>
      <x:c r="V357" s="17" t="str">
        <x:f>IF(C357="","",IFERROR(MAX(-1,(G357-O357)/MAX(0.000001,G357)),"Unavailable"))</x:f>
      </x:c>
      <x:c r="W357" s="9" t="str">
        <x:f>IF(C357="","",IFERROR(INDEX('Borrowers'!$D$9:$D$108,MATCH(C357,'Borrowers'!$C$9:$C$108,0)),"Unavailable"))</x:f>
      </x:c>
    </x:row>
    <x:row r="358" ht="26" customHeight="1">
      <x:c r="A358" s="1"/>
      <x:c r="B358" s="1"/>
      <x:c r="C358" s="9" t="str">
        <x:f>IF(Borrowers!C58="","",Borrowers!C58)</x:f>
      </x:c>
      <x:c r="D358" s="3" t="n">
        <x:v>4</x:v>
      </x:c>
      <x:c r="E358" s="9" t="n">
        <x:f>Settings!$F$18+3</x:f>
        <x:v>2030</x:v>
      </x:c>
      <x:c r="F358" s="9" t="str">
        <x:f>IF(C358="","",INDEX('Borrowers'!$F$9:$F$108,MATCH(C358,'Borrowers'!$C$9:$C$108,0)))</x:f>
      </x:c>
      <x:c r="G358" s="23" t="str">
        <x:f>IF(C358="","",IFERROR(INDEX('Borrowers'!$J$9:$J$108,MATCH(C358,'Borrowers'!$C$9:$C$108,0))-INDEX('Borrowers'!$K$9:$K$108,MATCH(C358,'Borrowers'!$C$9:$C$108,0)),"Unavailable"))</x:f>
      </x:c>
      <x:c r="H358" s="23" t="str">
        <x:f>IF(C358="","",IFERROR(INDEX('Borrowers'!$I$9:$I$108,MATCH(C358,'Borrowers'!$C$9:$C$108,0))*INDEX('Borrowers'!$U$9:$U$108,MATCH(C358,'Borrowers'!$C$9:$C$108,0))*(IF(F358="Transport",'Scenario Paths'!I156,IF(F358="Technology",'Scenario Paths'!I150,IF(F358="Utilities",'Scenario Paths'!I144,IF(F358="Agriculture",'Scenario Paths'!I138,IF(F358="Manufacturing",'Scenario Paths'!I132,IF(F358="Healthcare",'Scenario Paths'!I126,IF(F358="Hospitality",'Scenario Paths'!I120,IF(F358="Property",'Scenario Paths'!I114,IF(F358="Food",'Scenario Paths'!I108,IF(F358="Logistics",'Scenario Paths'!I102,IF(F358="Solar",'Scenario Paths'!I96,IF(F358="Cement",'Scenario Paths'!I90,0))))))))))))),"Unavailable"))</x:f>
      </x:c>
      <x:c r="I358" s="23" t="str">
        <x:f>IF(C358="","",IFERROR(INDEX('Borrowers'!$R$9:$R$108,MATCH(C358,'Borrowers'!$C$9:$C$108,0))*(1-INDEX('Borrowers'!$W$9:$W$108,MATCH(C358,'Borrowers'!$C$9:$C$108,0))*'Scenario Paths'!I39)*'Scenario Paths'!I9/1000000*(1-INDEX('Borrowers'!$T$9:$T$108,MATCH(C358,'Borrowers'!$C$9:$C$108,0))),"Unavailable"))</x:f>
      </x:c>
      <x:c r="J358" s="23" t="str">
        <x:f>IF(C358="","",IFERROR(INDEX('Borrowers'!$I$9:$I$108,MATCH(C358,'Borrowers'!$C$9:$C$108,0))*INDEX('Borrowers'!$S$9:$S$108,MATCH(C358,'Borrowers'!$C$9:$C$108,0))*'Scenario Paths'!I15*(1-INDEX('Borrowers'!$T$9:$T$108,MATCH(C358,'Borrowers'!$C$9:$C$108,0))),"Unavailable"))</x:f>
      </x:c>
      <x:c r="K358" s="23" t="str">
        <x:f>IF(C358="","",IFERROR(INDEX('Borrowers'!$I$9:$I$108,MATCH(C358,'Borrowers'!$C$9:$C$108,0))*INDEX('Borrowers'!$U$9:$U$108,MATCH(C358,'Borrowers'!$C$9:$C$108,0))*'Scenario Paths'!I21*S358,"Unavailable"))</x:f>
      </x:c>
      <x:c r="L358" s="23" t="str">
        <x:f>IF(C358="","",IFERROR(SUMPRODUCT((Sites!$D$9:$D$108=C358)*Sites!$H$9:$H$108*Sites!$J$9:$J$108*Sites!$K$9:$K$108*(1-Sites!$L$9:$L$108)*(1-Sites!$M$9:$M$108))*'Scenario Paths'!I27,"Unavailable"))</x:f>
      </x:c>
      <x:c r="M358" s="23" t="str">
        <x:f>IF(C358="","",IFERROR(INDEX('Borrowers'!$J$9:$J$108,MATCH(C358,'Borrowers'!$C$9:$C$108,0))+H358-SUM(I358:L358),"Unavailable"))</x:f>
      </x:c>
      <x:c r="N358" s="23" t="str">
        <x:f>IF(C358="","",IFERROR(INDEX('Borrowers'!$I$9:$I$108,MATCH(C358,'Borrowers'!$C$9:$C$108,0))*'Scenario Paths'!I33,"Unavailable"))</x:f>
      </x:c>
      <x:c r="O358" s="23" t="str">
        <x:f>IF(C358="","",IFERROR(M358-INDEX('Borrowers'!$K$9:$K$108,MATCH(C358,'Borrowers'!$C$9:$C$108,0))-N358,"Unavailable"))</x:f>
      </x:c>
      <x:c r="P358" s="127" t="str">
        <x:f>IF(C358="","",IFERROR(O358/INDEX('Borrowers'!$L$9:$L$108,MATCH(C358,'Borrowers'!$C$9:$C$108,0)),"Unavailable"))</x:f>
      </x:c>
      <x:c r="Q358" s="30" t="str">
        <x:f>IF(C358="","",IFERROR(IF(INDEX('Borrowers'!$Z$9:$Z$108,MATCH(C358,'Borrowers'!$C$9:$C$108,0))="Yes",1,IF(INDEX('Borrowers'!$P$9:$P$108,MATCH(C358,'Borrowers'!$C$9:$C$108,0))=0,0,MIN(1,INDEX('Borrowers'!$P$9:$P$108,MATCH(C358,'Borrowers'!$C$9:$C$108,0))*EXP(MIN(20,INDEX('Borrowers'!$V$9:$V$108,MATCH(C358,'Borrowers'!$C$9:$C$108,0))*V358))))),"Unavailable"))</x:f>
      </x:c>
      <x:c r="R358" s="30" t="str">
        <x:f>IF(C358="","",IFERROR(MIN(1,INDEX('Borrowers'!$Q$9:$Q$108,MATCH(C358,'Borrowers'!$C$9:$C$108,0))+(1-INDEX('Borrowers'!$Q$9:$Q$108,MATCH(C358,'Borrowers'!$C$9:$C$108,0)))*T358),"Unavailable"))</x:f>
      </x:c>
      <x:c r="S358" s="30" t="str">
        <x:f>IF(C358="","",IFERROR(SUMPRODUCT((Sites!$D$9:$D$108=C358)*Sites!$I$9:$I$108*Sites!$J$9:$J$108*Sites!$K$9:$K$108*(1-Sites!$L$9:$L$108)),"Unavailable"))</x:f>
      </x:c>
      <x:c r="T358" s="30" t="str">
        <x:f>IF(C358="","",IFERROR(MIN(1,(SUMPRODUCT((Sites!$D$9:$D$108=C358)*Sites!$N$9:$N$108*Sites!$J$9:$J$108*Sites!$K$9:$K$108*(1-Sites!$L$9:$L$108)))*'Scenario Paths'!I27),"Unavailable"))</x:f>
      </x:c>
      <x:c r="U358" s="9" t="str">
        <x:f>IF(C358="","",IF(OR(INDEX('Borrowers'!$AA$9:$AA$108,MATCH(C358,'Borrowers'!$C$9:$C$108,0))&lt;&gt;"Ready",COUNTIF(Sites!$D$9:$D$108,C358)=0,COUNTIFS(Sites!$D$9:$D$108,C358,Sites!$Q$9:$Q$108,"&lt;&gt;Ready")&gt;0,'Scenario Paths'!$F$6&lt;&gt;"Ready"),"Review source inputs","Ready"))</x:f>
      </x:c>
      <x:c r="V358" s="17" t="str">
        <x:f>IF(C358="","",IFERROR(MAX(-1,(G358-O358)/MAX(0.000001,G358)),"Unavailable"))</x:f>
      </x:c>
      <x:c r="W358" s="9" t="str">
        <x:f>IF(C358="","",IFERROR(INDEX('Borrowers'!$D$9:$D$108,MATCH(C358,'Borrowers'!$C$9:$C$108,0)),"Unavailable"))</x:f>
      </x:c>
    </x:row>
    <x:row r="359" ht="26" customHeight="1">
      <x:c r="A359" s="1"/>
      <x:c r="B359" s="1"/>
      <x:c r="C359" s="9" t="str">
        <x:f>IF(Borrowers!C59="","",Borrowers!C59)</x:f>
      </x:c>
      <x:c r="D359" s="3" t="n">
        <x:v>4</x:v>
      </x:c>
      <x:c r="E359" s="9" t="n">
        <x:f>Settings!$F$18+3</x:f>
        <x:v>2030</x:v>
      </x:c>
      <x:c r="F359" s="9" t="str">
        <x:f>IF(C359="","",INDEX('Borrowers'!$F$9:$F$108,MATCH(C359,'Borrowers'!$C$9:$C$108,0)))</x:f>
      </x:c>
      <x:c r="G359" s="23" t="str">
        <x:f>IF(C359="","",IFERROR(INDEX('Borrowers'!$J$9:$J$108,MATCH(C359,'Borrowers'!$C$9:$C$108,0))-INDEX('Borrowers'!$K$9:$K$108,MATCH(C359,'Borrowers'!$C$9:$C$108,0)),"Unavailable"))</x:f>
      </x:c>
      <x:c r="H359" s="23" t="str">
        <x:f>IF(C359="","",IFERROR(INDEX('Borrowers'!$I$9:$I$108,MATCH(C359,'Borrowers'!$C$9:$C$108,0))*INDEX('Borrowers'!$U$9:$U$108,MATCH(C359,'Borrowers'!$C$9:$C$108,0))*(IF(F359="Transport",'Scenario Paths'!I156,IF(F359="Technology",'Scenario Paths'!I150,IF(F359="Utilities",'Scenario Paths'!I144,IF(F359="Agriculture",'Scenario Paths'!I138,IF(F359="Manufacturing",'Scenario Paths'!I132,IF(F359="Healthcare",'Scenario Paths'!I126,IF(F359="Hospitality",'Scenario Paths'!I120,IF(F359="Property",'Scenario Paths'!I114,IF(F359="Food",'Scenario Paths'!I108,IF(F359="Logistics",'Scenario Paths'!I102,IF(F359="Solar",'Scenario Paths'!I96,IF(F359="Cement",'Scenario Paths'!I90,0))))))))))))),"Unavailable"))</x:f>
      </x:c>
      <x:c r="I359" s="23" t="str">
        <x:f>IF(C359="","",IFERROR(INDEX('Borrowers'!$R$9:$R$108,MATCH(C359,'Borrowers'!$C$9:$C$108,0))*(1-INDEX('Borrowers'!$W$9:$W$108,MATCH(C359,'Borrowers'!$C$9:$C$108,0))*'Scenario Paths'!I39)*'Scenario Paths'!I9/1000000*(1-INDEX('Borrowers'!$T$9:$T$108,MATCH(C359,'Borrowers'!$C$9:$C$108,0))),"Unavailable"))</x:f>
      </x:c>
      <x:c r="J359" s="23" t="str">
        <x:f>IF(C359="","",IFERROR(INDEX('Borrowers'!$I$9:$I$108,MATCH(C359,'Borrowers'!$C$9:$C$108,0))*INDEX('Borrowers'!$S$9:$S$108,MATCH(C359,'Borrowers'!$C$9:$C$108,0))*'Scenario Paths'!I15*(1-INDEX('Borrowers'!$T$9:$T$108,MATCH(C359,'Borrowers'!$C$9:$C$108,0))),"Unavailable"))</x:f>
      </x:c>
      <x:c r="K359" s="23" t="str">
        <x:f>IF(C359="","",IFERROR(INDEX('Borrowers'!$I$9:$I$108,MATCH(C359,'Borrowers'!$C$9:$C$108,0))*INDEX('Borrowers'!$U$9:$U$108,MATCH(C359,'Borrowers'!$C$9:$C$108,0))*'Scenario Paths'!I21*S359,"Unavailable"))</x:f>
      </x:c>
      <x:c r="L359" s="23" t="str">
        <x:f>IF(C359="","",IFERROR(SUMPRODUCT((Sites!$D$9:$D$108=C359)*Sites!$H$9:$H$108*Sites!$J$9:$J$108*Sites!$K$9:$K$108*(1-Sites!$L$9:$L$108)*(1-Sites!$M$9:$M$108))*'Scenario Paths'!I27,"Unavailable"))</x:f>
      </x:c>
      <x:c r="M359" s="23" t="str">
        <x:f>IF(C359="","",IFERROR(INDEX('Borrowers'!$J$9:$J$108,MATCH(C359,'Borrowers'!$C$9:$C$108,0))+H359-SUM(I359:L359),"Unavailable"))</x:f>
      </x:c>
      <x:c r="N359" s="23" t="str">
        <x:f>IF(C359="","",IFERROR(INDEX('Borrowers'!$I$9:$I$108,MATCH(C359,'Borrowers'!$C$9:$C$108,0))*'Scenario Paths'!I33,"Unavailable"))</x:f>
      </x:c>
      <x:c r="O359" s="23" t="str">
        <x:f>IF(C359="","",IFERROR(M359-INDEX('Borrowers'!$K$9:$K$108,MATCH(C359,'Borrowers'!$C$9:$C$108,0))-N359,"Unavailable"))</x:f>
      </x:c>
      <x:c r="P359" s="127" t="str">
        <x:f>IF(C359="","",IFERROR(O359/INDEX('Borrowers'!$L$9:$L$108,MATCH(C359,'Borrowers'!$C$9:$C$108,0)),"Unavailable"))</x:f>
      </x:c>
      <x:c r="Q359" s="30" t="str">
        <x:f>IF(C359="","",IFERROR(IF(INDEX('Borrowers'!$Z$9:$Z$108,MATCH(C359,'Borrowers'!$C$9:$C$108,0))="Yes",1,IF(INDEX('Borrowers'!$P$9:$P$108,MATCH(C359,'Borrowers'!$C$9:$C$108,0))=0,0,MIN(1,INDEX('Borrowers'!$P$9:$P$108,MATCH(C359,'Borrowers'!$C$9:$C$108,0))*EXP(MIN(20,INDEX('Borrowers'!$V$9:$V$108,MATCH(C359,'Borrowers'!$C$9:$C$108,0))*V359))))),"Unavailable"))</x:f>
      </x:c>
      <x:c r="R359" s="30" t="str">
        <x:f>IF(C359="","",IFERROR(MIN(1,INDEX('Borrowers'!$Q$9:$Q$108,MATCH(C359,'Borrowers'!$C$9:$C$108,0))+(1-INDEX('Borrowers'!$Q$9:$Q$108,MATCH(C359,'Borrowers'!$C$9:$C$108,0)))*T359),"Unavailable"))</x:f>
      </x:c>
      <x:c r="S359" s="30" t="str">
        <x:f>IF(C359="","",IFERROR(SUMPRODUCT((Sites!$D$9:$D$108=C359)*Sites!$I$9:$I$108*Sites!$J$9:$J$108*Sites!$K$9:$K$108*(1-Sites!$L$9:$L$108)),"Unavailable"))</x:f>
      </x:c>
      <x:c r="T359" s="30" t="str">
        <x:f>IF(C359="","",IFERROR(MIN(1,(SUMPRODUCT((Sites!$D$9:$D$108=C359)*Sites!$N$9:$N$108*Sites!$J$9:$J$108*Sites!$K$9:$K$108*(1-Sites!$L$9:$L$108)))*'Scenario Paths'!I27),"Unavailable"))</x:f>
      </x:c>
      <x:c r="U359" s="9" t="str">
        <x:f>IF(C359="","",IF(OR(INDEX('Borrowers'!$AA$9:$AA$108,MATCH(C359,'Borrowers'!$C$9:$C$108,0))&lt;&gt;"Ready",COUNTIF(Sites!$D$9:$D$108,C359)=0,COUNTIFS(Sites!$D$9:$D$108,C359,Sites!$Q$9:$Q$108,"&lt;&gt;Ready")&gt;0,'Scenario Paths'!$F$6&lt;&gt;"Ready"),"Review source inputs","Ready"))</x:f>
      </x:c>
      <x:c r="V359" s="17" t="str">
        <x:f>IF(C359="","",IFERROR(MAX(-1,(G359-O359)/MAX(0.000001,G359)),"Unavailable"))</x:f>
      </x:c>
      <x:c r="W359" s="9" t="str">
        <x:f>IF(C359="","",IFERROR(INDEX('Borrowers'!$D$9:$D$108,MATCH(C359,'Borrowers'!$C$9:$C$108,0)),"Unavailable"))</x:f>
      </x:c>
    </x:row>
    <x:row r="360" ht="26" customHeight="1">
      <x:c r="A360" s="1"/>
      <x:c r="B360" s="1"/>
      <x:c r="C360" s="9" t="str">
        <x:f>IF(Borrowers!C60="","",Borrowers!C60)</x:f>
      </x:c>
      <x:c r="D360" s="3" t="n">
        <x:v>4</x:v>
      </x:c>
      <x:c r="E360" s="9" t="n">
        <x:f>Settings!$F$18+3</x:f>
        <x:v>2030</x:v>
      </x:c>
      <x:c r="F360" s="9" t="str">
        <x:f>IF(C360="","",INDEX('Borrowers'!$F$9:$F$108,MATCH(C360,'Borrowers'!$C$9:$C$108,0)))</x:f>
      </x:c>
      <x:c r="G360" s="23" t="str">
        <x:f>IF(C360="","",IFERROR(INDEX('Borrowers'!$J$9:$J$108,MATCH(C360,'Borrowers'!$C$9:$C$108,0))-INDEX('Borrowers'!$K$9:$K$108,MATCH(C360,'Borrowers'!$C$9:$C$108,0)),"Unavailable"))</x:f>
      </x:c>
      <x:c r="H360" s="23" t="str">
        <x:f>IF(C360="","",IFERROR(INDEX('Borrowers'!$I$9:$I$108,MATCH(C360,'Borrowers'!$C$9:$C$108,0))*INDEX('Borrowers'!$U$9:$U$108,MATCH(C360,'Borrowers'!$C$9:$C$108,0))*(IF(F360="Transport",'Scenario Paths'!I156,IF(F360="Technology",'Scenario Paths'!I150,IF(F360="Utilities",'Scenario Paths'!I144,IF(F360="Agriculture",'Scenario Paths'!I138,IF(F360="Manufacturing",'Scenario Paths'!I132,IF(F360="Healthcare",'Scenario Paths'!I126,IF(F360="Hospitality",'Scenario Paths'!I120,IF(F360="Property",'Scenario Paths'!I114,IF(F360="Food",'Scenario Paths'!I108,IF(F360="Logistics",'Scenario Paths'!I102,IF(F360="Solar",'Scenario Paths'!I96,IF(F360="Cement",'Scenario Paths'!I90,0))))))))))))),"Unavailable"))</x:f>
      </x:c>
      <x:c r="I360" s="23" t="str">
        <x:f>IF(C360="","",IFERROR(INDEX('Borrowers'!$R$9:$R$108,MATCH(C360,'Borrowers'!$C$9:$C$108,0))*(1-INDEX('Borrowers'!$W$9:$W$108,MATCH(C360,'Borrowers'!$C$9:$C$108,0))*'Scenario Paths'!I39)*'Scenario Paths'!I9/1000000*(1-INDEX('Borrowers'!$T$9:$T$108,MATCH(C360,'Borrowers'!$C$9:$C$108,0))),"Unavailable"))</x:f>
      </x:c>
      <x:c r="J360" s="23" t="str">
        <x:f>IF(C360="","",IFERROR(INDEX('Borrowers'!$I$9:$I$108,MATCH(C360,'Borrowers'!$C$9:$C$108,0))*INDEX('Borrowers'!$S$9:$S$108,MATCH(C360,'Borrowers'!$C$9:$C$108,0))*'Scenario Paths'!I15*(1-INDEX('Borrowers'!$T$9:$T$108,MATCH(C360,'Borrowers'!$C$9:$C$108,0))),"Unavailable"))</x:f>
      </x:c>
      <x:c r="K360" s="23" t="str">
        <x:f>IF(C360="","",IFERROR(INDEX('Borrowers'!$I$9:$I$108,MATCH(C360,'Borrowers'!$C$9:$C$108,0))*INDEX('Borrowers'!$U$9:$U$108,MATCH(C360,'Borrowers'!$C$9:$C$108,0))*'Scenario Paths'!I21*S360,"Unavailable"))</x:f>
      </x:c>
      <x:c r="L360" s="23" t="str">
        <x:f>IF(C360="","",IFERROR(SUMPRODUCT((Sites!$D$9:$D$108=C360)*Sites!$H$9:$H$108*Sites!$J$9:$J$108*Sites!$K$9:$K$108*(1-Sites!$L$9:$L$108)*(1-Sites!$M$9:$M$108))*'Scenario Paths'!I27,"Unavailable"))</x:f>
      </x:c>
      <x:c r="M360" s="23" t="str">
        <x:f>IF(C360="","",IFERROR(INDEX('Borrowers'!$J$9:$J$108,MATCH(C360,'Borrowers'!$C$9:$C$108,0))+H360-SUM(I360:L360),"Unavailable"))</x:f>
      </x:c>
      <x:c r="N360" s="23" t="str">
        <x:f>IF(C360="","",IFERROR(INDEX('Borrowers'!$I$9:$I$108,MATCH(C360,'Borrowers'!$C$9:$C$108,0))*'Scenario Paths'!I33,"Unavailable"))</x:f>
      </x:c>
      <x:c r="O360" s="23" t="str">
        <x:f>IF(C360="","",IFERROR(M360-INDEX('Borrowers'!$K$9:$K$108,MATCH(C360,'Borrowers'!$C$9:$C$108,0))-N360,"Unavailable"))</x:f>
      </x:c>
      <x:c r="P360" s="127" t="str">
        <x:f>IF(C360="","",IFERROR(O360/INDEX('Borrowers'!$L$9:$L$108,MATCH(C360,'Borrowers'!$C$9:$C$108,0)),"Unavailable"))</x:f>
      </x:c>
      <x:c r="Q360" s="30" t="str">
        <x:f>IF(C360="","",IFERROR(IF(INDEX('Borrowers'!$Z$9:$Z$108,MATCH(C360,'Borrowers'!$C$9:$C$108,0))="Yes",1,IF(INDEX('Borrowers'!$P$9:$P$108,MATCH(C360,'Borrowers'!$C$9:$C$108,0))=0,0,MIN(1,INDEX('Borrowers'!$P$9:$P$108,MATCH(C360,'Borrowers'!$C$9:$C$108,0))*EXP(MIN(20,INDEX('Borrowers'!$V$9:$V$108,MATCH(C360,'Borrowers'!$C$9:$C$108,0))*V360))))),"Unavailable"))</x:f>
      </x:c>
      <x:c r="R360" s="30" t="str">
        <x:f>IF(C360="","",IFERROR(MIN(1,INDEX('Borrowers'!$Q$9:$Q$108,MATCH(C360,'Borrowers'!$C$9:$C$108,0))+(1-INDEX('Borrowers'!$Q$9:$Q$108,MATCH(C360,'Borrowers'!$C$9:$C$108,0)))*T360),"Unavailable"))</x:f>
      </x:c>
      <x:c r="S360" s="30" t="str">
        <x:f>IF(C360="","",IFERROR(SUMPRODUCT((Sites!$D$9:$D$108=C360)*Sites!$I$9:$I$108*Sites!$J$9:$J$108*Sites!$K$9:$K$108*(1-Sites!$L$9:$L$108)),"Unavailable"))</x:f>
      </x:c>
      <x:c r="T360" s="30" t="str">
        <x:f>IF(C360="","",IFERROR(MIN(1,(SUMPRODUCT((Sites!$D$9:$D$108=C360)*Sites!$N$9:$N$108*Sites!$J$9:$J$108*Sites!$K$9:$K$108*(1-Sites!$L$9:$L$108)))*'Scenario Paths'!I27),"Unavailable"))</x:f>
      </x:c>
      <x:c r="U360" s="9" t="str">
        <x:f>IF(C360="","",IF(OR(INDEX('Borrowers'!$AA$9:$AA$108,MATCH(C360,'Borrowers'!$C$9:$C$108,0))&lt;&gt;"Ready",COUNTIF(Sites!$D$9:$D$108,C360)=0,COUNTIFS(Sites!$D$9:$D$108,C360,Sites!$Q$9:$Q$108,"&lt;&gt;Ready")&gt;0,'Scenario Paths'!$F$6&lt;&gt;"Ready"),"Review source inputs","Ready"))</x:f>
      </x:c>
      <x:c r="V360" s="17" t="str">
        <x:f>IF(C360="","",IFERROR(MAX(-1,(G360-O360)/MAX(0.000001,G360)),"Unavailable"))</x:f>
      </x:c>
      <x:c r="W360" s="9" t="str">
        <x:f>IF(C360="","",IFERROR(INDEX('Borrowers'!$D$9:$D$108,MATCH(C360,'Borrowers'!$C$9:$C$108,0)),"Unavailable"))</x:f>
      </x:c>
    </x:row>
    <x:row r="361" ht="26" customHeight="1">
      <x:c r="A361" s="1"/>
      <x:c r="B361" s="1"/>
      <x:c r="C361" s="9" t="str">
        <x:f>IF(Borrowers!C61="","",Borrowers!C61)</x:f>
      </x:c>
      <x:c r="D361" s="3" t="n">
        <x:v>4</x:v>
      </x:c>
      <x:c r="E361" s="9" t="n">
        <x:f>Settings!$F$18+3</x:f>
        <x:v>2030</x:v>
      </x:c>
      <x:c r="F361" s="9" t="str">
        <x:f>IF(C361="","",INDEX('Borrowers'!$F$9:$F$108,MATCH(C361,'Borrowers'!$C$9:$C$108,0)))</x:f>
      </x:c>
      <x:c r="G361" s="23" t="str">
        <x:f>IF(C361="","",IFERROR(INDEX('Borrowers'!$J$9:$J$108,MATCH(C361,'Borrowers'!$C$9:$C$108,0))-INDEX('Borrowers'!$K$9:$K$108,MATCH(C361,'Borrowers'!$C$9:$C$108,0)),"Unavailable"))</x:f>
      </x:c>
      <x:c r="H361" s="23" t="str">
        <x:f>IF(C361="","",IFERROR(INDEX('Borrowers'!$I$9:$I$108,MATCH(C361,'Borrowers'!$C$9:$C$108,0))*INDEX('Borrowers'!$U$9:$U$108,MATCH(C361,'Borrowers'!$C$9:$C$108,0))*(IF(F361="Transport",'Scenario Paths'!I156,IF(F361="Technology",'Scenario Paths'!I150,IF(F361="Utilities",'Scenario Paths'!I144,IF(F361="Agriculture",'Scenario Paths'!I138,IF(F361="Manufacturing",'Scenario Paths'!I132,IF(F361="Healthcare",'Scenario Paths'!I126,IF(F361="Hospitality",'Scenario Paths'!I120,IF(F361="Property",'Scenario Paths'!I114,IF(F361="Food",'Scenario Paths'!I108,IF(F361="Logistics",'Scenario Paths'!I102,IF(F361="Solar",'Scenario Paths'!I96,IF(F361="Cement",'Scenario Paths'!I90,0))))))))))))),"Unavailable"))</x:f>
      </x:c>
      <x:c r="I361" s="23" t="str">
        <x:f>IF(C361="","",IFERROR(INDEX('Borrowers'!$R$9:$R$108,MATCH(C361,'Borrowers'!$C$9:$C$108,0))*(1-INDEX('Borrowers'!$W$9:$W$108,MATCH(C361,'Borrowers'!$C$9:$C$108,0))*'Scenario Paths'!I39)*'Scenario Paths'!I9/1000000*(1-INDEX('Borrowers'!$T$9:$T$108,MATCH(C361,'Borrowers'!$C$9:$C$108,0))),"Unavailable"))</x:f>
      </x:c>
      <x:c r="J361" s="23" t="str">
        <x:f>IF(C361="","",IFERROR(INDEX('Borrowers'!$I$9:$I$108,MATCH(C361,'Borrowers'!$C$9:$C$108,0))*INDEX('Borrowers'!$S$9:$S$108,MATCH(C361,'Borrowers'!$C$9:$C$108,0))*'Scenario Paths'!I15*(1-INDEX('Borrowers'!$T$9:$T$108,MATCH(C361,'Borrowers'!$C$9:$C$108,0))),"Unavailable"))</x:f>
      </x:c>
      <x:c r="K361" s="23" t="str">
        <x:f>IF(C361="","",IFERROR(INDEX('Borrowers'!$I$9:$I$108,MATCH(C361,'Borrowers'!$C$9:$C$108,0))*INDEX('Borrowers'!$U$9:$U$108,MATCH(C361,'Borrowers'!$C$9:$C$108,0))*'Scenario Paths'!I21*S361,"Unavailable"))</x:f>
      </x:c>
      <x:c r="L361" s="23" t="str">
        <x:f>IF(C361="","",IFERROR(SUMPRODUCT((Sites!$D$9:$D$108=C361)*Sites!$H$9:$H$108*Sites!$J$9:$J$108*Sites!$K$9:$K$108*(1-Sites!$L$9:$L$108)*(1-Sites!$M$9:$M$108))*'Scenario Paths'!I27,"Unavailable"))</x:f>
      </x:c>
      <x:c r="M361" s="23" t="str">
        <x:f>IF(C361="","",IFERROR(INDEX('Borrowers'!$J$9:$J$108,MATCH(C361,'Borrowers'!$C$9:$C$108,0))+H361-SUM(I361:L361),"Unavailable"))</x:f>
      </x:c>
      <x:c r="N361" s="23" t="str">
        <x:f>IF(C361="","",IFERROR(INDEX('Borrowers'!$I$9:$I$108,MATCH(C361,'Borrowers'!$C$9:$C$108,0))*'Scenario Paths'!I33,"Unavailable"))</x:f>
      </x:c>
      <x:c r="O361" s="23" t="str">
        <x:f>IF(C361="","",IFERROR(M361-INDEX('Borrowers'!$K$9:$K$108,MATCH(C361,'Borrowers'!$C$9:$C$108,0))-N361,"Unavailable"))</x:f>
      </x:c>
      <x:c r="P361" s="127" t="str">
        <x:f>IF(C361="","",IFERROR(O361/INDEX('Borrowers'!$L$9:$L$108,MATCH(C361,'Borrowers'!$C$9:$C$108,0)),"Unavailable"))</x:f>
      </x:c>
      <x:c r="Q361" s="30" t="str">
        <x:f>IF(C361="","",IFERROR(IF(INDEX('Borrowers'!$Z$9:$Z$108,MATCH(C361,'Borrowers'!$C$9:$C$108,0))="Yes",1,IF(INDEX('Borrowers'!$P$9:$P$108,MATCH(C361,'Borrowers'!$C$9:$C$108,0))=0,0,MIN(1,INDEX('Borrowers'!$P$9:$P$108,MATCH(C361,'Borrowers'!$C$9:$C$108,0))*EXP(MIN(20,INDEX('Borrowers'!$V$9:$V$108,MATCH(C361,'Borrowers'!$C$9:$C$108,0))*V361))))),"Unavailable"))</x:f>
      </x:c>
      <x:c r="R361" s="30" t="str">
        <x:f>IF(C361="","",IFERROR(MIN(1,INDEX('Borrowers'!$Q$9:$Q$108,MATCH(C361,'Borrowers'!$C$9:$C$108,0))+(1-INDEX('Borrowers'!$Q$9:$Q$108,MATCH(C361,'Borrowers'!$C$9:$C$108,0)))*T361),"Unavailable"))</x:f>
      </x:c>
      <x:c r="S361" s="30" t="str">
        <x:f>IF(C361="","",IFERROR(SUMPRODUCT((Sites!$D$9:$D$108=C361)*Sites!$I$9:$I$108*Sites!$J$9:$J$108*Sites!$K$9:$K$108*(1-Sites!$L$9:$L$108)),"Unavailable"))</x:f>
      </x:c>
      <x:c r="T361" s="30" t="str">
        <x:f>IF(C361="","",IFERROR(MIN(1,(SUMPRODUCT((Sites!$D$9:$D$108=C361)*Sites!$N$9:$N$108*Sites!$J$9:$J$108*Sites!$K$9:$K$108*(1-Sites!$L$9:$L$108)))*'Scenario Paths'!I27),"Unavailable"))</x:f>
      </x:c>
      <x:c r="U361" s="9" t="str">
        <x:f>IF(C361="","",IF(OR(INDEX('Borrowers'!$AA$9:$AA$108,MATCH(C361,'Borrowers'!$C$9:$C$108,0))&lt;&gt;"Ready",COUNTIF(Sites!$D$9:$D$108,C361)=0,COUNTIFS(Sites!$D$9:$D$108,C361,Sites!$Q$9:$Q$108,"&lt;&gt;Ready")&gt;0,'Scenario Paths'!$F$6&lt;&gt;"Ready"),"Review source inputs","Ready"))</x:f>
      </x:c>
      <x:c r="V361" s="17" t="str">
        <x:f>IF(C361="","",IFERROR(MAX(-1,(G361-O361)/MAX(0.000001,G361)),"Unavailable"))</x:f>
      </x:c>
      <x:c r="W361" s="9" t="str">
        <x:f>IF(C361="","",IFERROR(INDEX('Borrowers'!$D$9:$D$108,MATCH(C361,'Borrowers'!$C$9:$C$108,0)),"Unavailable"))</x:f>
      </x:c>
    </x:row>
    <x:row r="362" ht="26" customHeight="1">
      <x:c r="A362" s="1"/>
      <x:c r="B362" s="1"/>
      <x:c r="C362" s="9" t="str">
        <x:f>IF(Borrowers!C62="","",Borrowers!C62)</x:f>
      </x:c>
      <x:c r="D362" s="3" t="n">
        <x:v>4</x:v>
      </x:c>
      <x:c r="E362" s="9" t="n">
        <x:f>Settings!$F$18+3</x:f>
        <x:v>2030</x:v>
      </x:c>
      <x:c r="F362" s="9" t="str">
        <x:f>IF(C362="","",INDEX('Borrowers'!$F$9:$F$108,MATCH(C362,'Borrowers'!$C$9:$C$108,0)))</x:f>
      </x:c>
      <x:c r="G362" s="23" t="str">
        <x:f>IF(C362="","",IFERROR(INDEX('Borrowers'!$J$9:$J$108,MATCH(C362,'Borrowers'!$C$9:$C$108,0))-INDEX('Borrowers'!$K$9:$K$108,MATCH(C362,'Borrowers'!$C$9:$C$108,0)),"Unavailable"))</x:f>
      </x:c>
      <x:c r="H362" s="23" t="str">
        <x:f>IF(C362="","",IFERROR(INDEX('Borrowers'!$I$9:$I$108,MATCH(C362,'Borrowers'!$C$9:$C$108,0))*INDEX('Borrowers'!$U$9:$U$108,MATCH(C362,'Borrowers'!$C$9:$C$108,0))*(IF(F362="Transport",'Scenario Paths'!I156,IF(F362="Technology",'Scenario Paths'!I150,IF(F362="Utilities",'Scenario Paths'!I144,IF(F362="Agriculture",'Scenario Paths'!I138,IF(F362="Manufacturing",'Scenario Paths'!I132,IF(F362="Healthcare",'Scenario Paths'!I126,IF(F362="Hospitality",'Scenario Paths'!I120,IF(F362="Property",'Scenario Paths'!I114,IF(F362="Food",'Scenario Paths'!I108,IF(F362="Logistics",'Scenario Paths'!I102,IF(F362="Solar",'Scenario Paths'!I96,IF(F362="Cement",'Scenario Paths'!I90,0))))))))))))),"Unavailable"))</x:f>
      </x:c>
      <x:c r="I362" s="23" t="str">
        <x:f>IF(C362="","",IFERROR(INDEX('Borrowers'!$R$9:$R$108,MATCH(C362,'Borrowers'!$C$9:$C$108,0))*(1-INDEX('Borrowers'!$W$9:$W$108,MATCH(C362,'Borrowers'!$C$9:$C$108,0))*'Scenario Paths'!I39)*'Scenario Paths'!I9/1000000*(1-INDEX('Borrowers'!$T$9:$T$108,MATCH(C362,'Borrowers'!$C$9:$C$108,0))),"Unavailable"))</x:f>
      </x:c>
      <x:c r="J362" s="23" t="str">
        <x:f>IF(C362="","",IFERROR(INDEX('Borrowers'!$I$9:$I$108,MATCH(C362,'Borrowers'!$C$9:$C$108,0))*INDEX('Borrowers'!$S$9:$S$108,MATCH(C362,'Borrowers'!$C$9:$C$108,0))*'Scenario Paths'!I15*(1-INDEX('Borrowers'!$T$9:$T$108,MATCH(C362,'Borrowers'!$C$9:$C$108,0))),"Unavailable"))</x:f>
      </x:c>
      <x:c r="K362" s="23" t="str">
        <x:f>IF(C362="","",IFERROR(INDEX('Borrowers'!$I$9:$I$108,MATCH(C362,'Borrowers'!$C$9:$C$108,0))*INDEX('Borrowers'!$U$9:$U$108,MATCH(C362,'Borrowers'!$C$9:$C$108,0))*'Scenario Paths'!I21*S362,"Unavailable"))</x:f>
      </x:c>
      <x:c r="L362" s="23" t="str">
        <x:f>IF(C362="","",IFERROR(SUMPRODUCT((Sites!$D$9:$D$108=C362)*Sites!$H$9:$H$108*Sites!$J$9:$J$108*Sites!$K$9:$K$108*(1-Sites!$L$9:$L$108)*(1-Sites!$M$9:$M$108))*'Scenario Paths'!I27,"Unavailable"))</x:f>
      </x:c>
      <x:c r="M362" s="23" t="str">
        <x:f>IF(C362="","",IFERROR(INDEX('Borrowers'!$J$9:$J$108,MATCH(C362,'Borrowers'!$C$9:$C$108,0))+H362-SUM(I362:L362),"Unavailable"))</x:f>
      </x:c>
      <x:c r="N362" s="23" t="str">
        <x:f>IF(C362="","",IFERROR(INDEX('Borrowers'!$I$9:$I$108,MATCH(C362,'Borrowers'!$C$9:$C$108,0))*'Scenario Paths'!I33,"Unavailable"))</x:f>
      </x:c>
      <x:c r="O362" s="23" t="str">
        <x:f>IF(C362="","",IFERROR(M362-INDEX('Borrowers'!$K$9:$K$108,MATCH(C362,'Borrowers'!$C$9:$C$108,0))-N362,"Unavailable"))</x:f>
      </x:c>
      <x:c r="P362" s="127" t="str">
        <x:f>IF(C362="","",IFERROR(O362/INDEX('Borrowers'!$L$9:$L$108,MATCH(C362,'Borrowers'!$C$9:$C$108,0)),"Unavailable"))</x:f>
      </x:c>
      <x:c r="Q362" s="30" t="str">
        <x:f>IF(C362="","",IFERROR(IF(INDEX('Borrowers'!$Z$9:$Z$108,MATCH(C362,'Borrowers'!$C$9:$C$108,0))="Yes",1,IF(INDEX('Borrowers'!$P$9:$P$108,MATCH(C362,'Borrowers'!$C$9:$C$108,0))=0,0,MIN(1,INDEX('Borrowers'!$P$9:$P$108,MATCH(C362,'Borrowers'!$C$9:$C$108,0))*EXP(MIN(20,INDEX('Borrowers'!$V$9:$V$108,MATCH(C362,'Borrowers'!$C$9:$C$108,0))*V362))))),"Unavailable"))</x:f>
      </x:c>
      <x:c r="R362" s="30" t="str">
        <x:f>IF(C362="","",IFERROR(MIN(1,INDEX('Borrowers'!$Q$9:$Q$108,MATCH(C362,'Borrowers'!$C$9:$C$108,0))+(1-INDEX('Borrowers'!$Q$9:$Q$108,MATCH(C362,'Borrowers'!$C$9:$C$108,0)))*T362),"Unavailable"))</x:f>
      </x:c>
      <x:c r="S362" s="30" t="str">
        <x:f>IF(C362="","",IFERROR(SUMPRODUCT((Sites!$D$9:$D$108=C362)*Sites!$I$9:$I$108*Sites!$J$9:$J$108*Sites!$K$9:$K$108*(1-Sites!$L$9:$L$108)),"Unavailable"))</x:f>
      </x:c>
      <x:c r="T362" s="30" t="str">
        <x:f>IF(C362="","",IFERROR(MIN(1,(SUMPRODUCT((Sites!$D$9:$D$108=C362)*Sites!$N$9:$N$108*Sites!$J$9:$J$108*Sites!$K$9:$K$108*(1-Sites!$L$9:$L$108)))*'Scenario Paths'!I27),"Unavailable"))</x:f>
      </x:c>
      <x:c r="U362" s="9" t="str">
        <x:f>IF(C362="","",IF(OR(INDEX('Borrowers'!$AA$9:$AA$108,MATCH(C362,'Borrowers'!$C$9:$C$108,0))&lt;&gt;"Ready",COUNTIF(Sites!$D$9:$D$108,C362)=0,COUNTIFS(Sites!$D$9:$D$108,C362,Sites!$Q$9:$Q$108,"&lt;&gt;Ready")&gt;0,'Scenario Paths'!$F$6&lt;&gt;"Ready"),"Review source inputs","Ready"))</x:f>
      </x:c>
      <x:c r="V362" s="17" t="str">
        <x:f>IF(C362="","",IFERROR(MAX(-1,(G362-O362)/MAX(0.000001,G362)),"Unavailable"))</x:f>
      </x:c>
      <x:c r="W362" s="9" t="str">
        <x:f>IF(C362="","",IFERROR(INDEX('Borrowers'!$D$9:$D$108,MATCH(C362,'Borrowers'!$C$9:$C$108,0)),"Unavailable"))</x:f>
      </x:c>
    </x:row>
    <x:row r="363" ht="26" customHeight="1">
      <x:c r="A363" s="1"/>
      <x:c r="B363" s="1"/>
      <x:c r="C363" s="9" t="str">
        <x:f>IF(Borrowers!C63="","",Borrowers!C63)</x:f>
      </x:c>
      <x:c r="D363" s="3" t="n">
        <x:v>4</x:v>
      </x:c>
      <x:c r="E363" s="9" t="n">
        <x:f>Settings!$F$18+3</x:f>
        <x:v>2030</x:v>
      </x:c>
      <x:c r="F363" s="9" t="str">
        <x:f>IF(C363="","",INDEX('Borrowers'!$F$9:$F$108,MATCH(C363,'Borrowers'!$C$9:$C$108,0)))</x:f>
      </x:c>
      <x:c r="G363" s="23" t="str">
        <x:f>IF(C363="","",IFERROR(INDEX('Borrowers'!$J$9:$J$108,MATCH(C363,'Borrowers'!$C$9:$C$108,0))-INDEX('Borrowers'!$K$9:$K$108,MATCH(C363,'Borrowers'!$C$9:$C$108,0)),"Unavailable"))</x:f>
      </x:c>
      <x:c r="H363" s="23" t="str">
        <x:f>IF(C363="","",IFERROR(INDEX('Borrowers'!$I$9:$I$108,MATCH(C363,'Borrowers'!$C$9:$C$108,0))*INDEX('Borrowers'!$U$9:$U$108,MATCH(C363,'Borrowers'!$C$9:$C$108,0))*(IF(F363="Transport",'Scenario Paths'!I156,IF(F363="Technology",'Scenario Paths'!I150,IF(F363="Utilities",'Scenario Paths'!I144,IF(F363="Agriculture",'Scenario Paths'!I138,IF(F363="Manufacturing",'Scenario Paths'!I132,IF(F363="Healthcare",'Scenario Paths'!I126,IF(F363="Hospitality",'Scenario Paths'!I120,IF(F363="Property",'Scenario Paths'!I114,IF(F363="Food",'Scenario Paths'!I108,IF(F363="Logistics",'Scenario Paths'!I102,IF(F363="Solar",'Scenario Paths'!I96,IF(F363="Cement",'Scenario Paths'!I90,0))))))))))))),"Unavailable"))</x:f>
      </x:c>
      <x:c r="I363" s="23" t="str">
        <x:f>IF(C363="","",IFERROR(INDEX('Borrowers'!$R$9:$R$108,MATCH(C363,'Borrowers'!$C$9:$C$108,0))*(1-INDEX('Borrowers'!$W$9:$W$108,MATCH(C363,'Borrowers'!$C$9:$C$108,0))*'Scenario Paths'!I39)*'Scenario Paths'!I9/1000000*(1-INDEX('Borrowers'!$T$9:$T$108,MATCH(C363,'Borrowers'!$C$9:$C$108,0))),"Unavailable"))</x:f>
      </x:c>
      <x:c r="J363" s="23" t="str">
        <x:f>IF(C363="","",IFERROR(INDEX('Borrowers'!$I$9:$I$108,MATCH(C363,'Borrowers'!$C$9:$C$108,0))*INDEX('Borrowers'!$S$9:$S$108,MATCH(C363,'Borrowers'!$C$9:$C$108,0))*'Scenario Paths'!I15*(1-INDEX('Borrowers'!$T$9:$T$108,MATCH(C363,'Borrowers'!$C$9:$C$108,0))),"Unavailable"))</x:f>
      </x:c>
      <x:c r="K363" s="23" t="str">
        <x:f>IF(C363="","",IFERROR(INDEX('Borrowers'!$I$9:$I$108,MATCH(C363,'Borrowers'!$C$9:$C$108,0))*INDEX('Borrowers'!$U$9:$U$108,MATCH(C363,'Borrowers'!$C$9:$C$108,0))*'Scenario Paths'!I21*S363,"Unavailable"))</x:f>
      </x:c>
      <x:c r="L363" s="23" t="str">
        <x:f>IF(C363="","",IFERROR(SUMPRODUCT((Sites!$D$9:$D$108=C363)*Sites!$H$9:$H$108*Sites!$J$9:$J$108*Sites!$K$9:$K$108*(1-Sites!$L$9:$L$108)*(1-Sites!$M$9:$M$108))*'Scenario Paths'!I27,"Unavailable"))</x:f>
      </x:c>
      <x:c r="M363" s="23" t="str">
        <x:f>IF(C363="","",IFERROR(INDEX('Borrowers'!$J$9:$J$108,MATCH(C363,'Borrowers'!$C$9:$C$108,0))+H363-SUM(I363:L363),"Unavailable"))</x:f>
      </x:c>
      <x:c r="N363" s="23" t="str">
        <x:f>IF(C363="","",IFERROR(INDEX('Borrowers'!$I$9:$I$108,MATCH(C363,'Borrowers'!$C$9:$C$108,0))*'Scenario Paths'!I33,"Unavailable"))</x:f>
      </x:c>
      <x:c r="O363" s="23" t="str">
        <x:f>IF(C363="","",IFERROR(M363-INDEX('Borrowers'!$K$9:$K$108,MATCH(C363,'Borrowers'!$C$9:$C$108,0))-N363,"Unavailable"))</x:f>
      </x:c>
      <x:c r="P363" s="127" t="str">
        <x:f>IF(C363="","",IFERROR(O363/INDEX('Borrowers'!$L$9:$L$108,MATCH(C363,'Borrowers'!$C$9:$C$108,0)),"Unavailable"))</x:f>
      </x:c>
      <x:c r="Q363" s="30" t="str">
        <x:f>IF(C363="","",IFERROR(IF(INDEX('Borrowers'!$Z$9:$Z$108,MATCH(C363,'Borrowers'!$C$9:$C$108,0))="Yes",1,IF(INDEX('Borrowers'!$P$9:$P$108,MATCH(C363,'Borrowers'!$C$9:$C$108,0))=0,0,MIN(1,INDEX('Borrowers'!$P$9:$P$108,MATCH(C363,'Borrowers'!$C$9:$C$108,0))*EXP(MIN(20,INDEX('Borrowers'!$V$9:$V$108,MATCH(C363,'Borrowers'!$C$9:$C$108,0))*V363))))),"Unavailable"))</x:f>
      </x:c>
      <x:c r="R363" s="30" t="str">
        <x:f>IF(C363="","",IFERROR(MIN(1,INDEX('Borrowers'!$Q$9:$Q$108,MATCH(C363,'Borrowers'!$C$9:$C$108,0))+(1-INDEX('Borrowers'!$Q$9:$Q$108,MATCH(C363,'Borrowers'!$C$9:$C$108,0)))*T363),"Unavailable"))</x:f>
      </x:c>
      <x:c r="S363" s="30" t="str">
        <x:f>IF(C363="","",IFERROR(SUMPRODUCT((Sites!$D$9:$D$108=C363)*Sites!$I$9:$I$108*Sites!$J$9:$J$108*Sites!$K$9:$K$108*(1-Sites!$L$9:$L$108)),"Unavailable"))</x:f>
      </x:c>
      <x:c r="T363" s="30" t="str">
        <x:f>IF(C363="","",IFERROR(MIN(1,(SUMPRODUCT((Sites!$D$9:$D$108=C363)*Sites!$N$9:$N$108*Sites!$J$9:$J$108*Sites!$K$9:$K$108*(1-Sites!$L$9:$L$108)))*'Scenario Paths'!I27),"Unavailable"))</x:f>
      </x:c>
      <x:c r="U363" s="9" t="str">
        <x:f>IF(C363="","",IF(OR(INDEX('Borrowers'!$AA$9:$AA$108,MATCH(C363,'Borrowers'!$C$9:$C$108,0))&lt;&gt;"Ready",COUNTIF(Sites!$D$9:$D$108,C363)=0,COUNTIFS(Sites!$D$9:$D$108,C363,Sites!$Q$9:$Q$108,"&lt;&gt;Ready")&gt;0,'Scenario Paths'!$F$6&lt;&gt;"Ready"),"Review source inputs","Ready"))</x:f>
      </x:c>
      <x:c r="V363" s="17" t="str">
        <x:f>IF(C363="","",IFERROR(MAX(-1,(G363-O363)/MAX(0.000001,G363)),"Unavailable"))</x:f>
      </x:c>
      <x:c r="W363" s="9" t="str">
        <x:f>IF(C363="","",IFERROR(INDEX('Borrowers'!$D$9:$D$108,MATCH(C363,'Borrowers'!$C$9:$C$108,0)),"Unavailable"))</x:f>
      </x:c>
    </x:row>
    <x:row r="364" ht="26" customHeight="1">
      <x:c r="A364" s="1"/>
      <x:c r="B364" s="1"/>
      <x:c r="C364" s="9" t="str">
        <x:f>IF(Borrowers!C64="","",Borrowers!C64)</x:f>
      </x:c>
      <x:c r="D364" s="3" t="n">
        <x:v>4</x:v>
      </x:c>
      <x:c r="E364" s="9" t="n">
        <x:f>Settings!$F$18+3</x:f>
        <x:v>2030</x:v>
      </x:c>
      <x:c r="F364" s="9" t="str">
        <x:f>IF(C364="","",INDEX('Borrowers'!$F$9:$F$108,MATCH(C364,'Borrowers'!$C$9:$C$108,0)))</x:f>
      </x:c>
      <x:c r="G364" s="23" t="str">
        <x:f>IF(C364="","",IFERROR(INDEX('Borrowers'!$J$9:$J$108,MATCH(C364,'Borrowers'!$C$9:$C$108,0))-INDEX('Borrowers'!$K$9:$K$108,MATCH(C364,'Borrowers'!$C$9:$C$108,0)),"Unavailable"))</x:f>
      </x:c>
      <x:c r="H364" s="23" t="str">
        <x:f>IF(C364="","",IFERROR(INDEX('Borrowers'!$I$9:$I$108,MATCH(C364,'Borrowers'!$C$9:$C$108,0))*INDEX('Borrowers'!$U$9:$U$108,MATCH(C364,'Borrowers'!$C$9:$C$108,0))*(IF(F364="Transport",'Scenario Paths'!I156,IF(F364="Technology",'Scenario Paths'!I150,IF(F364="Utilities",'Scenario Paths'!I144,IF(F364="Agriculture",'Scenario Paths'!I138,IF(F364="Manufacturing",'Scenario Paths'!I132,IF(F364="Healthcare",'Scenario Paths'!I126,IF(F364="Hospitality",'Scenario Paths'!I120,IF(F364="Property",'Scenario Paths'!I114,IF(F364="Food",'Scenario Paths'!I108,IF(F364="Logistics",'Scenario Paths'!I102,IF(F364="Solar",'Scenario Paths'!I96,IF(F364="Cement",'Scenario Paths'!I90,0))))))))))))),"Unavailable"))</x:f>
      </x:c>
      <x:c r="I364" s="23" t="str">
        <x:f>IF(C364="","",IFERROR(INDEX('Borrowers'!$R$9:$R$108,MATCH(C364,'Borrowers'!$C$9:$C$108,0))*(1-INDEX('Borrowers'!$W$9:$W$108,MATCH(C364,'Borrowers'!$C$9:$C$108,0))*'Scenario Paths'!I39)*'Scenario Paths'!I9/1000000*(1-INDEX('Borrowers'!$T$9:$T$108,MATCH(C364,'Borrowers'!$C$9:$C$108,0))),"Unavailable"))</x:f>
      </x:c>
      <x:c r="J364" s="23" t="str">
        <x:f>IF(C364="","",IFERROR(INDEX('Borrowers'!$I$9:$I$108,MATCH(C364,'Borrowers'!$C$9:$C$108,0))*INDEX('Borrowers'!$S$9:$S$108,MATCH(C364,'Borrowers'!$C$9:$C$108,0))*'Scenario Paths'!I15*(1-INDEX('Borrowers'!$T$9:$T$108,MATCH(C364,'Borrowers'!$C$9:$C$108,0))),"Unavailable"))</x:f>
      </x:c>
      <x:c r="K364" s="23" t="str">
        <x:f>IF(C364="","",IFERROR(INDEX('Borrowers'!$I$9:$I$108,MATCH(C364,'Borrowers'!$C$9:$C$108,0))*INDEX('Borrowers'!$U$9:$U$108,MATCH(C364,'Borrowers'!$C$9:$C$108,0))*'Scenario Paths'!I21*S364,"Unavailable"))</x:f>
      </x:c>
      <x:c r="L364" s="23" t="str">
        <x:f>IF(C364="","",IFERROR(SUMPRODUCT((Sites!$D$9:$D$108=C364)*Sites!$H$9:$H$108*Sites!$J$9:$J$108*Sites!$K$9:$K$108*(1-Sites!$L$9:$L$108)*(1-Sites!$M$9:$M$108))*'Scenario Paths'!I27,"Unavailable"))</x:f>
      </x:c>
      <x:c r="M364" s="23" t="str">
        <x:f>IF(C364="","",IFERROR(INDEX('Borrowers'!$J$9:$J$108,MATCH(C364,'Borrowers'!$C$9:$C$108,0))+H364-SUM(I364:L364),"Unavailable"))</x:f>
      </x:c>
      <x:c r="N364" s="23" t="str">
        <x:f>IF(C364="","",IFERROR(INDEX('Borrowers'!$I$9:$I$108,MATCH(C364,'Borrowers'!$C$9:$C$108,0))*'Scenario Paths'!I33,"Unavailable"))</x:f>
      </x:c>
      <x:c r="O364" s="23" t="str">
        <x:f>IF(C364="","",IFERROR(M364-INDEX('Borrowers'!$K$9:$K$108,MATCH(C364,'Borrowers'!$C$9:$C$108,0))-N364,"Unavailable"))</x:f>
      </x:c>
      <x:c r="P364" s="127" t="str">
        <x:f>IF(C364="","",IFERROR(O364/INDEX('Borrowers'!$L$9:$L$108,MATCH(C364,'Borrowers'!$C$9:$C$108,0)),"Unavailable"))</x:f>
      </x:c>
      <x:c r="Q364" s="30" t="str">
        <x:f>IF(C364="","",IFERROR(IF(INDEX('Borrowers'!$Z$9:$Z$108,MATCH(C364,'Borrowers'!$C$9:$C$108,0))="Yes",1,IF(INDEX('Borrowers'!$P$9:$P$108,MATCH(C364,'Borrowers'!$C$9:$C$108,0))=0,0,MIN(1,INDEX('Borrowers'!$P$9:$P$108,MATCH(C364,'Borrowers'!$C$9:$C$108,0))*EXP(MIN(20,INDEX('Borrowers'!$V$9:$V$108,MATCH(C364,'Borrowers'!$C$9:$C$108,0))*V364))))),"Unavailable"))</x:f>
      </x:c>
      <x:c r="R364" s="30" t="str">
        <x:f>IF(C364="","",IFERROR(MIN(1,INDEX('Borrowers'!$Q$9:$Q$108,MATCH(C364,'Borrowers'!$C$9:$C$108,0))+(1-INDEX('Borrowers'!$Q$9:$Q$108,MATCH(C364,'Borrowers'!$C$9:$C$108,0)))*T364),"Unavailable"))</x:f>
      </x:c>
      <x:c r="S364" s="30" t="str">
        <x:f>IF(C364="","",IFERROR(SUMPRODUCT((Sites!$D$9:$D$108=C364)*Sites!$I$9:$I$108*Sites!$J$9:$J$108*Sites!$K$9:$K$108*(1-Sites!$L$9:$L$108)),"Unavailable"))</x:f>
      </x:c>
      <x:c r="T364" s="30" t="str">
        <x:f>IF(C364="","",IFERROR(MIN(1,(SUMPRODUCT((Sites!$D$9:$D$108=C364)*Sites!$N$9:$N$108*Sites!$J$9:$J$108*Sites!$K$9:$K$108*(1-Sites!$L$9:$L$108)))*'Scenario Paths'!I27),"Unavailable"))</x:f>
      </x:c>
      <x:c r="U364" s="9" t="str">
        <x:f>IF(C364="","",IF(OR(INDEX('Borrowers'!$AA$9:$AA$108,MATCH(C364,'Borrowers'!$C$9:$C$108,0))&lt;&gt;"Ready",COUNTIF(Sites!$D$9:$D$108,C364)=0,COUNTIFS(Sites!$D$9:$D$108,C364,Sites!$Q$9:$Q$108,"&lt;&gt;Ready")&gt;0,'Scenario Paths'!$F$6&lt;&gt;"Ready"),"Review source inputs","Ready"))</x:f>
      </x:c>
      <x:c r="V364" s="17" t="str">
        <x:f>IF(C364="","",IFERROR(MAX(-1,(G364-O364)/MAX(0.000001,G364)),"Unavailable"))</x:f>
      </x:c>
      <x:c r="W364" s="9" t="str">
        <x:f>IF(C364="","",IFERROR(INDEX('Borrowers'!$D$9:$D$108,MATCH(C364,'Borrowers'!$C$9:$C$108,0)),"Unavailable"))</x:f>
      </x:c>
    </x:row>
    <x:row r="365" ht="26" customHeight="1">
      <x:c r="A365" s="1"/>
      <x:c r="B365" s="1"/>
      <x:c r="C365" s="9" t="str">
        <x:f>IF(Borrowers!C65="","",Borrowers!C65)</x:f>
      </x:c>
      <x:c r="D365" s="3" t="n">
        <x:v>4</x:v>
      </x:c>
      <x:c r="E365" s="9" t="n">
        <x:f>Settings!$F$18+3</x:f>
        <x:v>2030</x:v>
      </x:c>
      <x:c r="F365" s="9" t="str">
        <x:f>IF(C365="","",INDEX('Borrowers'!$F$9:$F$108,MATCH(C365,'Borrowers'!$C$9:$C$108,0)))</x:f>
      </x:c>
      <x:c r="G365" s="23" t="str">
        <x:f>IF(C365="","",IFERROR(INDEX('Borrowers'!$J$9:$J$108,MATCH(C365,'Borrowers'!$C$9:$C$108,0))-INDEX('Borrowers'!$K$9:$K$108,MATCH(C365,'Borrowers'!$C$9:$C$108,0)),"Unavailable"))</x:f>
      </x:c>
      <x:c r="H365" s="23" t="str">
        <x:f>IF(C365="","",IFERROR(INDEX('Borrowers'!$I$9:$I$108,MATCH(C365,'Borrowers'!$C$9:$C$108,0))*INDEX('Borrowers'!$U$9:$U$108,MATCH(C365,'Borrowers'!$C$9:$C$108,0))*(IF(F365="Transport",'Scenario Paths'!I156,IF(F365="Technology",'Scenario Paths'!I150,IF(F365="Utilities",'Scenario Paths'!I144,IF(F365="Agriculture",'Scenario Paths'!I138,IF(F365="Manufacturing",'Scenario Paths'!I132,IF(F365="Healthcare",'Scenario Paths'!I126,IF(F365="Hospitality",'Scenario Paths'!I120,IF(F365="Property",'Scenario Paths'!I114,IF(F365="Food",'Scenario Paths'!I108,IF(F365="Logistics",'Scenario Paths'!I102,IF(F365="Solar",'Scenario Paths'!I96,IF(F365="Cement",'Scenario Paths'!I90,0))))))))))))),"Unavailable"))</x:f>
      </x:c>
      <x:c r="I365" s="23" t="str">
        <x:f>IF(C365="","",IFERROR(INDEX('Borrowers'!$R$9:$R$108,MATCH(C365,'Borrowers'!$C$9:$C$108,0))*(1-INDEX('Borrowers'!$W$9:$W$108,MATCH(C365,'Borrowers'!$C$9:$C$108,0))*'Scenario Paths'!I39)*'Scenario Paths'!I9/1000000*(1-INDEX('Borrowers'!$T$9:$T$108,MATCH(C365,'Borrowers'!$C$9:$C$108,0))),"Unavailable"))</x:f>
      </x:c>
      <x:c r="J365" s="23" t="str">
        <x:f>IF(C365="","",IFERROR(INDEX('Borrowers'!$I$9:$I$108,MATCH(C365,'Borrowers'!$C$9:$C$108,0))*INDEX('Borrowers'!$S$9:$S$108,MATCH(C365,'Borrowers'!$C$9:$C$108,0))*'Scenario Paths'!I15*(1-INDEX('Borrowers'!$T$9:$T$108,MATCH(C365,'Borrowers'!$C$9:$C$108,0))),"Unavailable"))</x:f>
      </x:c>
      <x:c r="K365" s="23" t="str">
        <x:f>IF(C365="","",IFERROR(INDEX('Borrowers'!$I$9:$I$108,MATCH(C365,'Borrowers'!$C$9:$C$108,0))*INDEX('Borrowers'!$U$9:$U$108,MATCH(C365,'Borrowers'!$C$9:$C$108,0))*'Scenario Paths'!I21*S365,"Unavailable"))</x:f>
      </x:c>
      <x:c r="L365" s="23" t="str">
        <x:f>IF(C365="","",IFERROR(SUMPRODUCT((Sites!$D$9:$D$108=C365)*Sites!$H$9:$H$108*Sites!$J$9:$J$108*Sites!$K$9:$K$108*(1-Sites!$L$9:$L$108)*(1-Sites!$M$9:$M$108))*'Scenario Paths'!I27,"Unavailable"))</x:f>
      </x:c>
      <x:c r="M365" s="23" t="str">
        <x:f>IF(C365="","",IFERROR(INDEX('Borrowers'!$J$9:$J$108,MATCH(C365,'Borrowers'!$C$9:$C$108,0))+H365-SUM(I365:L365),"Unavailable"))</x:f>
      </x:c>
      <x:c r="N365" s="23" t="str">
        <x:f>IF(C365="","",IFERROR(INDEX('Borrowers'!$I$9:$I$108,MATCH(C365,'Borrowers'!$C$9:$C$108,0))*'Scenario Paths'!I33,"Unavailable"))</x:f>
      </x:c>
      <x:c r="O365" s="23" t="str">
        <x:f>IF(C365="","",IFERROR(M365-INDEX('Borrowers'!$K$9:$K$108,MATCH(C365,'Borrowers'!$C$9:$C$108,0))-N365,"Unavailable"))</x:f>
      </x:c>
      <x:c r="P365" s="127" t="str">
        <x:f>IF(C365="","",IFERROR(O365/INDEX('Borrowers'!$L$9:$L$108,MATCH(C365,'Borrowers'!$C$9:$C$108,0)),"Unavailable"))</x:f>
      </x:c>
      <x:c r="Q365" s="30" t="str">
        <x:f>IF(C365="","",IFERROR(IF(INDEX('Borrowers'!$Z$9:$Z$108,MATCH(C365,'Borrowers'!$C$9:$C$108,0))="Yes",1,IF(INDEX('Borrowers'!$P$9:$P$108,MATCH(C365,'Borrowers'!$C$9:$C$108,0))=0,0,MIN(1,INDEX('Borrowers'!$P$9:$P$108,MATCH(C365,'Borrowers'!$C$9:$C$108,0))*EXP(MIN(20,INDEX('Borrowers'!$V$9:$V$108,MATCH(C365,'Borrowers'!$C$9:$C$108,0))*V365))))),"Unavailable"))</x:f>
      </x:c>
      <x:c r="R365" s="30" t="str">
        <x:f>IF(C365="","",IFERROR(MIN(1,INDEX('Borrowers'!$Q$9:$Q$108,MATCH(C365,'Borrowers'!$C$9:$C$108,0))+(1-INDEX('Borrowers'!$Q$9:$Q$108,MATCH(C365,'Borrowers'!$C$9:$C$108,0)))*T365),"Unavailable"))</x:f>
      </x:c>
      <x:c r="S365" s="30" t="str">
        <x:f>IF(C365="","",IFERROR(SUMPRODUCT((Sites!$D$9:$D$108=C365)*Sites!$I$9:$I$108*Sites!$J$9:$J$108*Sites!$K$9:$K$108*(1-Sites!$L$9:$L$108)),"Unavailable"))</x:f>
      </x:c>
      <x:c r="T365" s="30" t="str">
        <x:f>IF(C365="","",IFERROR(MIN(1,(SUMPRODUCT((Sites!$D$9:$D$108=C365)*Sites!$N$9:$N$108*Sites!$J$9:$J$108*Sites!$K$9:$K$108*(1-Sites!$L$9:$L$108)))*'Scenario Paths'!I27),"Unavailable"))</x:f>
      </x:c>
      <x:c r="U365" s="9" t="str">
        <x:f>IF(C365="","",IF(OR(INDEX('Borrowers'!$AA$9:$AA$108,MATCH(C365,'Borrowers'!$C$9:$C$108,0))&lt;&gt;"Ready",COUNTIF(Sites!$D$9:$D$108,C365)=0,COUNTIFS(Sites!$D$9:$D$108,C365,Sites!$Q$9:$Q$108,"&lt;&gt;Ready")&gt;0,'Scenario Paths'!$F$6&lt;&gt;"Ready"),"Review source inputs","Ready"))</x:f>
      </x:c>
      <x:c r="V365" s="17" t="str">
        <x:f>IF(C365="","",IFERROR(MAX(-1,(G365-O365)/MAX(0.000001,G365)),"Unavailable"))</x:f>
      </x:c>
      <x:c r="W365" s="9" t="str">
        <x:f>IF(C365="","",IFERROR(INDEX('Borrowers'!$D$9:$D$108,MATCH(C365,'Borrowers'!$C$9:$C$108,0)),"Unavailable"))</x:f>
      </x:c>
    </x:row>
    <x:row r="366" ht="26" customHeight="1">
      <x:c r="A366" s="1"/>
      <x:c r="B366" s="1"/>
      <x:c r="C366" s="9" t="str">
        <x:f>IF(Borrowers!C66="","",Borrowers!C66)</x:f>
      </x:c>
      <x:c r="D366" s="3" t="n">
        <x:v>4</x:v>
      </x:c>
      <x:c r="E366" s="9" t="n">
        <x:f>Settings!$F$18+3</x:f>
        <x:v>2030</x:v>
      </x:c>
      <x:c r="F366" s="9" t="str">
        <x:f>IF(C366="","",INDEX('Borrowers'!$F$9:$F$108,MATCH(C366,'Borrowers'!$C$9:$C$108,0)))</x:f>
      </x:c>
      <x:c r="G366" s="23" t="str">
        <x:f>IF(C366="","",IFERROR(INDEX('Borrowers'!$J$9:$J$108,MATCH(C366,'Borrowers'!$C$9:$C$108,0))-INDEX('Borrowers'!$K$9:$K$108,MATCH(C366,'Borrowers'!$C$9:$C$108,0)),"Unavailable"))</x:f>
      </x:c>
      <x:c r="H366" s="23" t="str">
        <x:f>IF(C366="","",IFERROR(INDEX('Borrowers'!$I$9:$I$108,MATCH(C366,'Borrowers'!$C$9:$C$108,0))*INDEX('Borrowers'!$U$9:$U$108,MATCH(C366,'Borrowers'!$C$9:$C$108,0))*(IF(F366="Transport",'Scenario Paths'!I156,IF(F366="Technology",'Scenario Paths'!I150,IF(F366="Utilities",'Scenario Paths'!I144,IF(F366="Agriculture",'Scenario Paths'!I138,IF(F366="Manufacturing",'Scenario Paths'!I132,IF(F366="Healthcare",'Scenario Paths'!I126,IF(F366="Hospitality",'Scenario Paths'!I120,IF(F366="Property",'Scenario Paths'!I114,IF(F366="Food",'Scenario Paths'!I108,IF(F366="Logistics",'Scenario Paths'!I102,IF(F366="Solar",'Scenario Paths'!I96,IF(F366="Cement",'Scenario Paths'!I90,0))))))))))))),"Unavailable"))</x:f>
      </x:c>
      <x:c r="I366" s="23" t="str">
        <x:f>IF(C366="","",IFERROR(INDEX('Borrowers'!$R$9:$R$108,MATCH(C366,'Borrowers'!$C$9:$C$108,0))*(1-INDEX('Borrowers'!$W$9:$W$108,MATCH(C366,'Borrowers'!$C$9:$C$108,0))*'Scenario Paths'!I39)*'Scenario Paths'!I9/1000000*(1-INDEX('Borrowers'!$T$9:$T$108,MATCH(C366,'Borrowers'!$C$9:$C$108,0))),"Unavailable"))</x:f>
      </x:c>
      <x:c r="J366" s="23" t="str">
        <x:f>IF(C366="","",IFERROR(INDEX('Borrowers'!$I$9:$I$108,MATCH(C366,'Borrowers'!$C$9:$C$108,0))*INDEX('Borrowers'!$S$9:$S$108,MATCH(C366,'Borrowers'!$C$9:$C$108,0))*'Scenario Paths'!I15*(1-INDEX('Borrowers'!$T$9:$T$108,MATCH(C366,'Borrowers'!$C$9:$C$108,0))),"Unavailable"))</x:f>
      </x:c>
      <x:c r="K366" s="23" t="str">
        <x:f>IF(C366="","",IFERROR(INDEX('Borrowers'!$I$9:$I$108,MATCH(C366,'Borrowers'!$C$9:$C$108,0))*INDEX('Borrowers'!$U$9:$U$108,MATCH(C366,'Borrowers'!$C$9:$C$108,0))*'Scenario Paths'!I21*S366,"Unavailable"))</x:f>
      </x:c>
      <x:c r="L366" s="23" t="str">
        <x:f>IF(C366="","",IFERROR(SUMPRODUCT((Sites!$D$9:$D$108=C366)*Sites!$H$9:$H$108*Sites!$J$9:$J$108*Sites!$K$9:$K$108*(1-Sites!$L$9:$L$108)*(1-Sites!$M$9:$M$108))*'Scenario Paths'!I27,"Unavailable"))</x:f>
      </x:c>
      <x:c r="M366" s="23" t="str">
        <x:f>IF(C366="","",IFERROR(INDEX('Borrowers'!$J$9:$J$108,MATCH(C366,'Borrowers'!$C$9:$C$108,0))+H366-SUM(I366:L366),"Unavailable"))</x:f>
      </x:c>
      <x:c r="N366" s="23" t="str">
        <x:f>IF(C366="","",IFERROR(INDEX('Borrowers'!$I$9:$I$108,MATCH(C366,'Borrowers'!$C$9:$C$108,0))*'Scenario Paths'!I33,"Unavailable"))</x:f>
      </x:c>
      <x:c r="O366" s="23" t="str">
        <x:f>IF(C366="","",IFERROR(M366-INDEX('Borrowers'!$K$9:$K$108,MATCH(C366,'Borrowers'!$C$9:$C$108,0))-N366,"Unavailable"))</x:f>
      </x:c>
      <x:c r="P366" s="127" t="str">
        <x:f>IF(C366="","",IFERROR(O366/INDEX('Borrowers'!$L$9:$L$108,MATCH(C366,'Borrowers'!$C$9:$C$108,0)),"Unavailable"))</x:f>
      </x:c>
      <x:c r="Q366" s="30" t="str">
        <x:f>IF(C366="","",IFERROR(IF(INDEX('Borrowers'!$Z$9:$Z$108,MATCH(C366,'Borrowers'!$C$9:$C$108,0))="Yes",1,IF(INDEX('Borrowers'!$P$9:$P$108,MATCH(C366,'Borrowers'!$C$9:$C$108,0))=0,0,MIN(1,INDEX('Borrowers'!$P$9:$P$108,MATCH(C366,'Borrowers'!$C$9:$C$108,0))*EXP(MIN(20,INDEX('Borrowers'!$V$9:$V$108,MATCH(C366,'Borrowers'!$C$9:$C$108,0))*V366))))),"Unavailable"))</x:f>
      </x:c>
      <x:c r="R366" s="30" t="str">
        <x:f>IF(C366="","",IFERROR(MIN(1,INDEX('Borrowers'!$Q$9:$Q$108,MATCH(C366,'Borrowers'!$C$9:$C$108,0))+(1-INDEX('Borrowers'!$Q$9:$Q$108,MATCH(C366,'Borrowers'!$C$9:$C$108,0)))*T366),"Unavailable"))</x:f>
      </x:c>
      <x:c r="S366" s="30" t="str">
        <x:f>IF(C366="","",IFERROR(SUMPRODUCT((Sites!$D$9:$D$108=C366)*Sites!$I$9:$I$108*Sites!$J$9:$J$108*Sites!$K$9:$K$108*(1-Sites!$L$9:$L$108)),"Unavailable"))</x:f>
      </x:c>
      <x:c r="T366" s="30" t="str">
        <x:f>IF(C366="","",IFERROR(MIN(1,(SUMPRODUCT((Sites!$D$9:$D$108=C366)*Sites!$N$9:$N$108*Sites!$J$9:$J$108*Sites!$K$9:$K$108*(1-Sites!$L$9:$L$108)))*'Scenario Paths'!I27),"Unavailable"))</x:f>
      </x:c>
      <x:c r="U366" s="9" t="str">
        <x:f>IF(C366="","",IF(OR(INDEX('Borrowers'!$AA$9:$AA$108,MATCH(C366,'Borrowers'!$C$9:$C$108,0))&lt;&gt;"Ready",COUNTIF(Sites!$D$9:$D$108,C366)=0,COUNTIFS(Sites!$D$9:$D$108,C366,Sites!$Q$9:$Q$108,"&lt;&gt;Ready")&gt;0,'Scenario Paths'!$F$6&lt;&gt;"Ready"),"Review source inputs","Ready"))</x:f>
      </x:c>
      <x:c r="V366" s="17" t="str">
        <x:f>IF(C366="","",IFERROR(MAX(-1,(G366-O366)/MAX(0.000001,G366)),"Unavailable"))</x:f>
      </x:c>
      <x:c r="W366" s="9" t="str">
        <x:f>IF(C366="","",IFERROR(INDEX('Borrowers'!$D$9:$D$108,MATCH(C366,'Borrowers'!$C$9:$C$108,0)),"Unavailable"))</x:f>
      </x:c>
    </x:row>
    <x:row r="367" ht="26" customHeight="1">
      <x:c r="A367" s="1"/>
      <x:c r="B367" s="1"/>
      <x:c r="C367" s="9" t="str">
        <x:f>IF(Borrowers!C67="","",Borrowers!C67)</x:f>
      </x:c>
      <x:c r="D367" s="3" t="n">
        <x:v>4</x:v>
      </x:c>
      <x:c r="E367" s="9" t="n">
        <x:f>Settings!$F$18+3</x:f>
        <x:v>2030</x:v>
      </x:c>
      <x:c r="F367" s="9" t="str">
        <x:f>IF(C367="","",INDEX('Borrowers'!$F$9:$F$108,MATCH(C367,'Borrowers'!$C$9:$C$108,0)))</x:f>
      </x:c>
      <x:c r="G367" s="23" t="str">
        <x:f>IF(C367="","",IFERROR(INDEX('Borrowers'!$J$9:$J$108,MATCH(C367,'Borrowers'!$C$9:$C$108,0))-INDEX('Borrowers'!$K$9:$K$108,MATCH(C367,'Borrowers'!$C$9:$C$108,0)),"Unavailable"))</x:f>
      </x:c>
      <x:c r="H367" s="23" t="str">
        <x:f>IF(C367="","",IFERROR(INDEX('Borrowers'!$I$9:$I$108,MATCH(C367,'Borrowers'!$C$9:$C$108,0))*INDEX('Borrowers'!$U$9:$U$108,MATCH(C367,'Borrowers'!$C$9:$C$108,0))*(IF(F367="Transport",'Scenario Paths'!I156,IF(F367="Technology",'Scenario Paths'!I150,IF(F367="Utilities",'Scenario Paths'!I144,IF(F367="Agriculture",'Scenario Paths'!I138,IF(F367="Manufacturing",'Scenario Paths'!I132,IF(F367="Healthcare",'Scenario Paths'!I126,IF(F367="Hospitality",'Scenario Paths'!I120,IF(F367="Property",'Scenario Paths'!I114,IF(F367="Food",'Scenario Paths'!I108,IF(F367="Logistics",'Scenario Paths'!I102,IF(F367="Solar",'Scenario Paths'!I96,IF(F367="Cement",'Scenario Paths'!I90,0))))))))))))),"Unavailable"))</x:f>
      </x:c>
      <x:c r="I367" s="23" t="str">
        <x:f>IF(C367="","",IFERROR(INDEX('Borrowers'!$R$9:$R$108,MATCH(C367,'Borrowers'!$C$9:$C$108,0))*(1-INDEX('Borrowers'!$W$9:$W$108,MATCH(C367,'Borrowers'!$C$9:$C$108,0))*'Scenario Paths'!I39)*'Scenario Paths'!I9/1000000*(1-INDEX('Borrowers'!$T$9:$T$108,MATCH(C367,'Borrowers'!$C$9:$C$108,0))),"Unavailable"))</x:f>
      </x:c>
      <x:c r="J367" s="23" t="str">
        <x:f>IF(C367="","",IFERROR(INDEX('Borrowers'!$I$9:$I$108,MATCH(C367,'Borrowers'!$C$9:$C$108,0))*INDEX('Borrowers'!$S$9:$S$108,MATCH(C367,'Borrowers'!$C$9:$C$108,0))*'Scenario Paths'!I15*(1-INDEX('Borrowers'!$T$9:$T$108,MATCH(C367,'Borrowers'!$C$9:$C$108,0))),"Unavailable"))</x:f>
      </x:c>
      <x:c r="K367" s="23" t="str">
        <x:f>IF(C367="","",IFERROR(INDEX('Borrowers'!$I$9:$I$108,MATCH(C367,'Borrowers'!$C$9:$C$108,0))*INDEX('Borrowers'!$U$9:$U$108,MATCH(C367,'Borrowers'!$C$9:$C$108,0))*'Scenario Paths'!I21*S367,"Unavailable"))</x:f>
      </x:c>
      <x:c r="L367" s="23" t="str">
        <x:f>IF(C367="","",IFERROR(SUMPRODUCT((Sites!$D$9:$D$108=C367)*Sites!$H$9:$H$108*Sites!$J$9:$J$108*Sites!$K$9:$K$108*(1-Sites!$L$9:$L$108)*(1-Sites!$M$9:$M$108))*'Scenario Paths'!I27,"Unavailable"))</x:f>
      </x:c>
      <x:c r="M367" s="23" t="str">
        <x:f>IF(C367="","",IFERROR(INDEX('Borrowers'!$J$9:$J$108,MATCH(C367,'Borrowers'!$C$9:$C$108,0))+H367-SUM(I367:L367),"Unavailable"))</x:f>
      </x:c>
      <x:c r="N367" s="23" t="str">
        <x:f>IF(C367="","",IFERROR(INDEX('Borrowers'!$I$9:$I$108,MATCH(C367,'Borrowers'!$C$9:$C$108,0))*'Scenario Paths'!I33,"Unavailable"))</x:f>
      </x:c>
      <x:c r="O367" s="23" t="str">
        <x:f>IF(C367="","",IFERROR(M367-INDEX('Borrowers'!$K$9:$K$108,MATCH(C367,'Borrowers'!$C$9:$C$108,0))-N367,"Unavailable"))</x:f>
      </x:c>
      <x:c r="P367" s="127" t="str">
        <x:f>IF(C367="","",IFERROR(O367/INDEX('Borrowers'!$L$9:$L$108,MATCH(C367,'Borrowers'!$C$9:$C$108,0)),"Unavailable"))</x:f>
      </x:c>
      <x:c r="Q367" s="30" t="str">
        <x:f>IF(C367="","",IFERROR(IF(INDEX('Borrowers'!$Z$9:$Z$108,MATCH(C367,'Borrowers'!$C$9:$C$108,0))="Yes",1,IF(INDEX('Borrowers'!$P$9:$P$108,MATCH(C367,'Borrowers'!$C$9:$C$108,0))=0,0,MIN(1,INDEX('Borrowers'!$P$9:$P$108,MATCH(C367,'Borrowers'!$C$9:$C$108,0))*EXP(MIN(20,INDEX('Borrowers'!$V$9:$V$108,MATCH(C367,'Borrowers'!$C$9:$C$108,0))*V367))))),"Unavailable"))</x:f>
      </x:c>
      <x:c r="R367" s="30" t="str">
        <x:f>IF(C367="","",IFERROR(MIN(1,INDEX('Borrowers'!$Q$9:$Q$108,MATCH(C367,'Borrowers'!$C$9:$C$108,0))+(1-INDEX('Borrowers'!$Q$9:$Q$108,MATCH(C367,'Borrowers'!$C$9:$C$108,0)))*T367),"Unavailable"))</x:f>
      </x:c>
      <x:c r="S367" s="30" t="str">
        <x:f>IF(C367="","",IFERROR(SUMPRODUCT((Sites!$D$9:$D$108=C367)*Sites!$I$9:$I$108*Sites!$J$9:$J$108*Sites!$K$9:$K$108*(1-Sites!$L$9:$L$108)),"Unavailable"))</x:f>
      </x:c>
      <x:c r="T367" s="30" t="str">
        <x:f>IF(C367="","",IFERROR(MIN(1,(SUMPRODUCT((Sites!$D$9:$D$108=C367)*Sites!$N$9:$N$108*Sites!$J$9:$J$108*Sites!$K$9:$K$108*(1-Sites!$L$9:$L$108)))*'Scenario Paths'!I27),"Unavailable"))</x:f>
      </x:c>
      <x:c r="U367" s="9" t="str">
        <x:f>IF(C367="","",IF(OR(INDEX('Borrowers'!$AA$9:$AA$108,MATCH(C367,'Borrowers'!$C$9:$C$108,0))&lt;&gt;"Ready",COUNTIF(Sites!$D$9:$D$108,C367)=0,COUNTIFS(Sites!$D$9:$D$108,C367,Sites!$Q$9:$Q$108,"&lt;&gt;Ready")&gt;0,'Scenario Paths'!$F$6&lt;&gt;"Ready"),"Review source inputs","Ready"))</x:f>
      </x:c>
      <x:c r="V367" s="17" t="str">
        <x:f>IF(C367="","",IFERROR(MAX(-1,(G367-O367)/MAX(0.000001,G367)),"Unavailable"))</x:f>
      </x:c>
      <x:c r="W367" s="9" t="str">
        <x:f>IF(C367="","",IFERROR(INDEX('Borrowers'!$D$9:$D$108,MATCH(C367,'Borrowers'!$C$9:$C$108,0)),"Unavailable"))</x:f>
      </x:c>
    </x:row>
    <x:row r="368" ht="26" customHeight="1">
      <x:c r="A368" s="1"/>
      <x:c r="B368" s="1"/>
      <x:c r="C368" s="9" t="str">
        <x:f>IF(Borrowers!C68="","",Borrowers!C68)</x:f>
      </x:c>
      <x:c r="D368" s="3" t="n">
        <x:v>4</x:v>
      </x:c>
      <x:c r="E368" s="9" t="n">
        <x:f>Settings!$F$18+3</x:f>
        <x:v>2030</x:v>
      </x:c>
      <x:c r="F368" s="9" t="str">
        <x:f>IF(C368="","",INDEX('Borrowers'!$F$9:$F$108,MATCH(C368,'Borrowers'!$C$9:$C$108,0)))</x:f>
      </x:c>
      <x:c r="G368" s="23" t="str">
        <x:f>IF(C368="","",IFERROR(INDEX('Borrowers'!$J$9:$J$108,MATCH(C368,'Borrowers'!$C$9:$C$108,0))-INDEX('Borrowers'!$K$9:$K$108,MATCH(C368,'Borrowers'!$C$9:$C$108,0)),"Unavailable"))</x:f>
      </x:c>
      <x:c r="H368" s="23" t="str">
        <x:f>IF(C368="","",IFERROR(INDEX('Borrowers'!$I$9:$I$108,MATCH(C368,'Borrowers'!$C$9:$C$108,0))*INDEX('Borrowers'!$U$9:$U$108,MATCH(C368,'Borrowers'!$C$9:$C$108,0))*(IF(F368="Transport",'Scenario Paths'!I156,IF(F368="Technology",'Scenario Paths'!I150,IF(F368="Utilities",'Scenario Paths'!I144,IF(F368="Agriculture",'Scenario Paths'!I138,IF(F368="Manufacturing",'Scenario Paths'!I132,IF(F368="Healthcare",'Scenario Paths'!I126,IF(F368="Hospitality",'Scenario Paths'!I120,IF(F368="Property",'Scenario Paths'!I114,IF(F368="Food",'Scenario Paths'!I108,IF(F368="Logistics",'Scenario Paths'!I102,IF(F368="Solar",'Scenario Paths'!I96,IF(F368="Cement",'Scenario Paths'!I90,0))))))))))))),"Unavailable"))</x:f>
      </x:c>
      <x:c r="I368" s="23" t="str">
        <x:f>IF(C368="","",IFERROR(INDEX('Borrowers'!$R$9:$R$108,MATCH(C368,'Borrowers'!$C$9:$C$108,0))*(1-INDEX('Borrowers'!$W$9:$W$108,MATCH(C368,'Borrowers'!$C$9:$C$108,0))*'Scenario Paths'!I39)*'Scenario Paths'!I9/1000000*(1-INDEX('Borrowers'!$T$9:$T$108,MATCH(C368,'Borrowers'!$C$9:$C$108,0))),"Unavailable"))</x:f>
      </x:c>
      <x:c r="J368" s="23" t="str">
        <x:f>IF(C368="","",IFERROR(INDEX('Borrowers'!$I$9:$I$108,MATCH(C368,'Borrowers'!$C$9:$C$108,0))*INDEX('Borrowers'!$S$9:$S$108,MATCH(C368,'Borrowers'!$C$9:$C$108,0))*'Scenario Paths'!I15*(1-INDEX('Borrowers'!$T$9:$T$108,MATCH(C368,'Borrowers'!$C$9:$C$108,0))),"Unavailable"))</x:f>
      </x:c>
      <x:c r="K368" s="23" t="str">
        <x:f>IF(C368="","",IFERROR(INDEX('Borrowers'!$I$9:$I$108,MATCH(C368,'Borrowers'!$C$9:$C$108,0))*INDEX('Borrowers'!$U$9:$U$108,MATCH(C368,'Borrowers'!$C$9:$C$108,0))*'Scenario Paths'!I21*S368,"Unavailable"))</x:f>
      </x:c>
      <x:c r="L368" s="23" t="str">
        <x:f>IF(C368="","",IFERROR(SUMPRODUCT((Sites!$D$9:$D$108=C368)*Sites!$H$9:$H$108*Sites!$J$9:$J$108*Sites!$K$9:$K$108*(1-Sites!$L$9:$L$108)*(1-Sites!$M$9:$M$108))*'Scenario Paths'!I27,"Unavailable"))</x:f>
      </x:c>
      <x:c r="M368" s="23" t="str">
        <x:f>IF(C368="","",IFERROR(INDEX('Borrowers'!$J$9:$J$108,MATCH(C368,'Borrowers'!$C$9:$C$108,0))+H368-SUM(I368:L368),"Unavailable"))</x:f>
      </x:c>
      <x:c r="N368" s="23" t="str">
        <x:f>IF(C368="","",IFERROR(INDEX('Borrowers'!$I$9:$I$108,MATCH(C368,'Borrowers'!$C$9:$C$108,0))*'Scenario Paths'!I33,"Unavailable"))</x:f>
      </x:c>
      <x:c r="O368" s="23" t="str">
        <x:f>IF(C368="","",IFERROR(M368-INDEX('Borrowers'!$K$9:$K$108,MATCH(C368,'Borrowers'!$C$9:$C$108,0))-N368,"Unavailable"))</x:f>
      </x:c>
      <x:c r="P368" s="127" t="str">
        <x:f>IF(C368="","",IFERROR(O368/INDEX('Borrowers'!$L$9:$L$108,MATCH(C368,'Borrowers'!$C$9:$C$108,0)),"Unavailable"))</x:f>
      </x:c>
      <x:c r="Q368" s="30" t="str">
        <x:f>IF(C368="","",IFERROR(IF(INDEX('Borrowers'!$Z$9:$Z$108,MATCH(C368,'Borrowers'!$C$9:$C$108,0))="Yes",1,IF(INDEX('Borrowers'!$P$9:$P$108,MATCH(C368,'Borrowers'!$C$9:$C$108,0))=0,0,MIN(1,INDEX('Borrowers'!$P$9:$P$108,MATCH(C368,'Borrowers'!$C$9:$C$108,0))*EXP(MIN(20,INDEX('Borrowers'!$V$9:$V$108,MATCH(C368,'Borrowers'!$C$9:$C$108,0))*V368))))),"Unavailable"))</x:f>
      </x:c>
      <x:c r="R368" s="30" t="str">
        <x:f>IF(C368="","",IFERROR(MIN(1,INDEX('Borrowers'!$Q$9:$Q$108,MATCH(C368,'Borrowers'!$C$9:$C$108,0))+(1-INDEX('Borrowers'!$Q$9:$Q$108,MATCH(C368,'Borrowers'!$C$9:$C$108,0)))*T368),"Unavailable"))</x:f>
      </x:c>
      <x:c r="S368" s="30" t="str">
        <x:f>IF(C368="","",IFERROR(SUMPRODUCT((Sites!$D$9:$D$108=C368)*Sites!$I$9:$I$108*Sites!$J$9:$J$108*Sites!$K$9:$K$108*(1-Sites!$L$9:$L$108)),"Unavailable"))</x:f>
      </x:c>
      <x:c r="T368" s="30" t="str">
        <x:f>IF(C368="","",IFERROR(MIN(1,(SUMPRODUCT((Sites!$D$9:$D$108=C368)*Sites!$N$9:$N$108*Sites!$J$9:$J$108*Sites!$K$9:$K$108*(1-Sites!$L$9:$L$108)))*'Scenario Paths'!I27),"Unavailable"))</x:f>
      </x:c>
      <x:c r="U368" s="9" t="str">
        <x:f>IF(C368="","",IF(OR(INDEX('Borrowers'!$AA$9:$AA$108,MATCH(C368,'Borrowers'!$C$9:$C$108,0))&lt;&gt;"Ready",COUNTIF(Sites!$D$9:$D$108,C368)=0,COUNTIFS(Sites!$D$9:$D$108,C368,Sites!$Q$9:$Q$108,"&lt;&gt;Ready")&gt;0,'Scenario Paths'!$F$6&lt;&gt;"Ready"),"Review source inputs","Ready"))</x:f>
      </x:c>
      <x:c r="V368" s="17" t="str">
        <x:f>IF(C368="","",IFERROR(MAX(-1,(G368-O368)/MAX(0.000001,G368)),"Unavailable"))</x:f>
      </x:c>
      <x:c r="W368" s="9" t="str">
        <x:f>IF(C368="","",IFERROR(INDEX('Borrowers'!$D$9:$D$108,MATCH(C368,'Borrowers'!$C$9:$C$108,0)),"Unavailable"))</x:f>
      </x:c>
    </x:row>
    <x:row r="369" ht="26" customHeight="1">
      <x:c r="A369" s="1"/>
      <x:c r="B369" s="1"/>
      <x:c r="C369" s="9" t="str">
        <x:f>IF(Borrowers!C69="","",Borrowers!C69)</x:f>
      </x:c>
      <x:c r="D369" s="3" t="n">
        <x:v>4</x:v>
      </x:c>
      <x:c r="E369" s="9" t="n">
        <x:f>Settings!$F$18+3</x:f>
        <x:v>2030</x:v>
      </x:c>
      <x:c r="F369" s="9" t="str">
        <x:f>IF(C369="","",INDEX('Borrowers'!$F$9:$F$108,MATCH(C369,'Borrowers'!$C$9:$C$108,0)))</x:f>
      </x:c>
      <x:c r="G369" s="23" t="str">
        <x:f>IF(C369="","",IFERROR(INDEX('Borrowers'!$J$9:$J$108,MATCH(C369,'Borrowers'!$C$9:$C$108,0))-INDEX('Borrowers'!$K$9:$K$108,MATCH(C369,'Borrowers'!$C$9:$C$108,0)),"Unavailable"))</x:f>
      </x:c>
      <x:c r="H369" s="23" t="str">
        <x:f>IF(C369="","",IFERROR(INDEX('Borrowers'!$I$9:$I$108,MATCH(C369,'Borrowers'!$C$9:$C$108,0))*INDEX('Borrowers'!$U$9:$U$108,MATCH(C369,'Borrowers'!$C$9:$C$108,0))*(IF(F369="Transport",'Scenario Paths'!I156,IF(F369="Technology",'Scenario Paths'!I150,IF(F369="Utilities",'Scenario Paths'!I144,IF(F369="Agriculture",'Scenario Paths'!I138,IF(F369="Manufacturing",'Scenario Paths'!I132,IF(F369="Healthcare",'Scenario Paths'!I126,IF(F369="Hospitality",'Scenario Paths'!I120,IF(F369="Property",'Scenario Paths'!I114,IF(F369="Food",'Scenario Paths'!I108,IF(F369="Logistics",'Scenario Paths'!I102,IF(F369="Solar",'Scenario Paths'!I96,IF(F369="Cement",'Scenario Paths'!I90,0))))))))))))),"Unavailable"))</x:f>
      </x:c>
      <x:c r="I369" s="23" t="str">
        <x:f>IF(C369="","",IFERROR(INDEX('Borrowers'!$R$9:$R$108,MATCH(C369,'Borrowers'!$C$9:$C$108,0))*(1-INDEX('Borrowers'!$W$9:$W$108,MATCH(C369,'Borrowers'!$C$9:$C$108,0))*'Scenario Paths'!I39)*'Scenario Paths'!I9/1000000*(1-INDEX('Borrowers'!$T$9:$T$108,MATCH(C369,'Borrowers'!$C$9:$C$108,0))),"Unavailable"))</x:f>
      </x:c>
      <x:c r="J369" s="23" t="str">
        <x:f>IF(C369="","",IFERROR(INDEX('Borrowers'!$I$9:$I$108,MATCH(C369,'Borrowers'!$C$9:$C$108,0))*INDEX('Borrowers'!$S$9:$S$108,MATCH(C369,'Borrowers'!$C$9:$C$108,0))*'Scenario Paths'!I15*(1-INDEX('Borrowers'!$T$9:$T$108,MATCH(C369,'Borrowers'!$C$9:$C$108,0))),"Unavailable"))</x:f>
      </x:c>
      <x:c r="K369" s="23" t="str">
        <x:f>IF(C369="","",IFERROR(INDEX('Borrowers'!$I$9:$I$108,MATCH(C369,'Borrowers'!$C$9:$C$108,0))*INDEX('Borrowers'!$U$9:$U$108,MATCH(C369,'Borrowers'!$C$9:$C$108,0))*'Scenario Paths'!I21*S369,"Unavailable"))</x:f>
      </x:c>
      <x:c r="L369" s="23" t="str">
        <x:f>IF(C369="","",IFERROR(SUMPRODUCT((Sites!$D$9:$D$108=C369)*Sites!$H$9:$H$108*Sites!$J$9:$J$108*Sites!$K$9:$K$108*(1-Sites!$L$9:$L$108)*(1-Sites!$M$9:$M$108))*'Scenario Paths'!I27,"Unavailable"))</x:f>
      </x:c>
      <x:c r="M369" s="23" t="str">
        <x:f>IF(C369="","",IFERROR(INDEX('Borrowers'!$J$9:$J$108,MATCH(C369,'Borrowers'!$C$9:$C$108,0))+H369-SUM(I369:L369),"Unavailable"))</x:f>
      </x:c>
      <x:c r="N369" s="23" t="str">
        <x:f>IF(C369="","",IFERROR(INDEX('Borrowers'!$I$9:$I$108,MATCH(C369,'Borrowers'!$C$9:$C$108,0))*'Scenario Paths'!I33,"Unavailable"))</x:f>
      </x:c>
      <x:c r="O369" s="23" t="str">
        <x:f>IF(C369="","",IFERROR(M369-INDEX('Borrowers'!$K$9:$K$108,MATCH(C369,'Borrowers'!$C$9:$C$108,0))-N369,"Unavailable"))</x:f>
      </x:c>
      <x:c r="P369" s="127" t="str">
        <x:f>IF(C369="","",IFERROR(O369/INDEX('Borrowers'!$L$9:$L$108,MATCH(C369,'Borrowers'!$C$9:$C$108,0)),"Unavailable"))</x:f>
      </x:c>
      <x:c r="Q369" s="30" t="str">
        <x:f>IF(C369="","",IFERROR(IF(INDEX('Borrowers'!$Z$9:$Z$108,MATCH(C369,'Borrowers'!$C$9:$C$108,0))="Yes",1,IF(INDEX('Borrowers'!$P$9:$P$108,MATCH(C369,'Borrowers'!$C$9:$C$108,0))=0,0,MIN(1,INDEX('Borrowers'!$P$9:$P$108,MATCH(C369,'Borrowers'!$C$9:$C$108,0))*EXP(MIN(20,INDEX('Borrowers'!$V$9:$V$108,MATCH(C369,'Borrowers'!$C$9:$C$108,0))*V369))))),"Unavailable"))</x:f>
      </x:c>
      <x:c r="R369" s="30" t="str">
        <x:f>IF(C369="","",IFERROR(MIN(1,INDEX('Borrowers'!$Q$9:$Q$108,MATCH(C369,'Borrowers'!$C$9:$C$108,0))+(1-INDEX('Borrowers'!$Q$9:$Q$108,MATCH(C369,'Borrowers'!$C$9:$C$108,0)))*T369),"Unavailable"))</x:f>
      </x:c>
      <x:c r="S369" s="30" t="str">
        <x:f>IF(C369="","",IFERROR(SUMPRODUCT((Sites!$D$9:$D$108=C369)*Sites!$I$9:$I$108*Sites!$J$9:$J$108*Sites!$K$9:$K$108*(1-Sites!$L$9:$L$108)),"Unavailable"))</x:f>
      </x:c>
      <x:c r="T369" s="30" t="str">
        <x:f>IF(C369="","",IFERROR(MIN(1,(SUMPRODUCT((Sites!$D$9:$D$108=C369)*Sites!$N$9:$N$108*Sites!$J$9:$J$108*Sites!$K$9:$K$108*(1-Sites!$L$9:$L$108)))*'Scenario Paths'!I27),"Unavailable"))</x:f>
      </x:c>
      <x:c r="U369" s="9" t="str">
        <x:f>IF(C369="","",IF(OR(INDEX('Borrowers'!$AA$9:$AA$108,MATCH(C369,'Borrowers'!$C$9:$C$108,0))&lt;&gt;"Ready",COUNTIF(Sites!$D$9:$D$108,C369)=0,COUNTIFS(Sites!$D$9:$D$108,C369,Sites!$Q$9:$Q$108,"&lt;&gt;Ready")&gt;0,'Scenario Paths'!$F$6&lt;&gt;"Ready"),"Review source inputs","Ready"))</x:f>
      </x:c>
      <x:c r="V369" s="17" t="str">
        <x:f>IF(C369="","",IFERROR(MAX(-1,(G369-O369)/MAX(0.000001,G369)),"Unavailable"))</x:f>
      </x:c>
      <x:c r="W369" s="9" t="str">
        <x:f>IF(C369="","",IFERROR(INDEX('Borrowers'!$D$9:$D$108,MATCH(C369,'Borrowers'!$C$9:$C$108,0)),"Unavailable"))</x:f>
      </x:c>
    </x:row>
    <x:row r="370" ht="26" customHeight="1">
      <x:c r="A370" s="1"/>
      <x:c r="B370" s="1"/>
      <x:c r="C370" s="9" t="str">
        <x:f>IF(Borrowers!C70="","",Borrowers!C70)</x:f>
      </x:c>
      <x:c r="D370" s="3" t="n">
        <x:v>4</x:v>
      </x:c>
      <x:c r="E370" s="9" t="n">
        <x:f>Settings!$F$18+3</x:f>
        <x:v>2030</x:v>
      </x:c>
      <x:c r="F370" s="9" t="str">
        <x:f>IF(C370="","",INDEX('Borrowers'!$F$9:$F$108,MATCH(C370,'Borrowers'!$C$9:$C$108,0)))</x:f>
      </x:c>
      <x:c r="G370" s="23" t="str">
        <x:f>IF(C370="","",IFERROR(INDEX('Borrowers'!$J$9:$J$108,MATCH(C370,'Borrowers'!$C$9:$C$108,0))-INDEX('Borrowers'!$K$9:$K$108,MATCH(C370,'Borrowers'!$C$9:$C$108,0)),"Unavailable"))</x:f>
      </x:c>
      <x:c r="H370" s="23" t="str">
        <x:f>IF(C370="","",IFERROR(INDEX('Borrowers'!$I$9:$I$108,MATCH(C370,'Borrowers'!$C$9:$C$108,0))*INDEX('Borrowers'!$U$9:$U$108,MATCH(C370,'Borrowers'!$C$9:$C$108,0))*(IF(F370="Transport",'Scenario Paths'!I156,IF(F370="Technology",'Scenario Paths'!I150,IF(F370="Utilities",'Scenario Paths'!I144,IF(F370="Agriculture",'Scenario Paths'!I138,IF(F370="Manufacturing",'Scenario Paths'!I132,IF(F370="Healthcare",'Scenario Paths'!I126,IF(F370="Hospitality",'Scenario Paths'!I120,IF(F370="Property",'Scenario Paths'!I114,IF(F370="Food",'Scenario Paths'!I108,IF(F370="Logistics",'Scenario Paths'!I102,IF(F370="Solar",'Scenario Paths'!I96,IF(F370="Cement",'Scenario Paths'!I90,0))))))))))))),"Unavailable"))</x:f>
      </x:c>
      <x:c r="I370" s="23" t="str">
        <x:f>IF(C370="","",IFERROR(INDEX('Borrowers'!$R$9:$R$108,MATCH(C370,'Borrowers'!$C$9:$C$108,0))*(1-INDEX('Borrowers'!$W$9:$W$108,MATCH(C370,'Borrowers'!$C$9:$C$108,0))*'Scenario Paths'!I39)*'Scenario Paths'!I9/1000000*(1-INDEX('Borrowers'!$T$9:$T$108,MATCH(C370,'Borrowers'!$C$9:$C$108,0))),"Unavailable"))</x:f>
      </x:c>
      <x:c r="J370" s="23" t="str">
        <x:f>IF(C370="","",IFERROR(INDEX('Borrowers'!$I$9:$I$108,MATCH(C370,'Borrowers'!$C$9:$C$108,0))*INDEX('Borrowers'!$S$9:$S$108,MATCH(C370,'Borrowers'!$C$9:$C$108,0))*'Scenario Paths'!I15*(1-INDEX('Borrowers'!$T$9:$T$108,MATCH(C370,'Borrowers'!$C$9:$C$108,0))),"Unavailable"))</x:f>
      </x:c>
      <x:c r="K370" s="23" t="str">
        <x:f>IF(C370="","",IFERROR(INDEX('Borrowers'!$I$9:$I$108,MATCH(C370,'Borrowers'!$C$9:$C$108,0))*INDEX('Borrowers'!$U$9:$U$108,MATCH(C370,'Borrowers'!$C$9:$C$108,0))*'Scenario Paths'!I21*S370,"Unavailable"))</x:f>
      </x:c>
      <x:c r="L370" s="23" t="str">
        <x:f>IF(C370="","",IFERROR(SUMPRODUCT((Sites!$D$9:$D$108=C370)*Sites!$H$9:$H$108*Sites!$J$9:$J$108*Sites!$K$9:$K$108*(1-Sites!$L$9:$L$108)*(1-Sites!$M$9:$M$108))*'Scenario Paths'!I27,"Unavailable"))</x:f>
      </x:c>
      <x:c r="M370" s="23" t="str">
        <x:f>IF(C370="","",IFERROR(INDEX('Borrowers'!$J$9:$J$108,MATCH(C370,'Borrowers'!$C$9:$C$108,0))+H370-SUM(I370:L370),"Unavailable"))</x:f>
      </x:c>
      <x:c r="N370" s="23" t="str">
        <x:f>IF(C370="","",IFERROR(INDEX('Borrowers'!$I$9:$I$108,MATCH(C370,'Borrowers'!$C$9:$C$108,0))*'Scenario Paths'!I33,"Unavailable"))</x:f>
      </x:c>
      <x:c r="O370" s="23" t="str">
        <x:f>IF(C370="","",IFERROR(M370-INDEX('Borrowers'!$K$9:$K$108,MATCH(C370,'Borrowers'!$C$9:$C$108,0))-N370,"Unavailable"))</x:f>
      </x:c>
      <x:c r="P370" s="127" t="str">
        <x:f>IF(C370="","",IFERROR(O370/INDEX('Borrowers'!$L$9:$L$108,MATCH(C370,'Borrowers'!$C$9:$C$108,0)),"Unavailable"))</x:f>
      </x:c>
      <x:c r="Q370" s="30" t="str">
        <x:f>IF(C370="","",IFERROR(IF(INDEX('Borrowers'!$Z$9:$Z$108,MATCH(C370,'Borrowers'!$C$9:$C$108,0))="Yes",1,IF(INDEX('Borrowers'!$P$9:$P$108,MATCH(C370,'Borrowers'!$C$9:$C$108,0))=0,0,MIN(1,INDEX('Borrowers'!$P$9:$P$108,MATCH(C370,'Borrowers'!$C$9:$C$108,0))*EXP(MIN(20,INDEX('Borrowers'!$V$9:$V$108,MATCH(C370,'Borrowers'!$C$9:$C$108,0))*V370))))),"Unavailable"))</x:f>
      </x:c>
      <x:c r="R370" s="30" t="str">
        <x:f>IF(C370="","",IFERROR(MIN(1,INDEX('Borrowers'!$Q$9:$Q$108,MATCH(C370,'Borrowers'!$C$9:$C$108,0))+(1-INDEX('Borrowers'!$Q$9:$Q$108,MATCH(C370,'Borrowers'!$C$9:$C$108,0)))*T370),"Unavailable"))</x:f>
      </x:c>
      <x:c r="S370" s="30" t="str">
        <x:f>IF(C370="","",IFERROR(SUMPRODUCT((Sites!$D$9:$D$108=C370)*Sites!$I$9:$I$108*Sites!$J$9:$J$108*Sites!$K$9:$K$108*(1-Sites!$L$9:$L$108)),"Unavailable"))</x:f>
      </x:c>
      <x:c r="T370" s="30" t="str">
        <x:f>IF(C370="","",IFERROR(MIN(1,(SUMPRODUCT((Sites!$D$9:$D$108=C370)*Sites!$N$9:$N$108*Sites!$J$9:$J$108*Sites!$K$9:$K$108*(1-Sites!$L$9:$L$108)))*'Scenario Paths'!I27),"Unavailable"))</x:f>
      </x:c>
      <x:c r="U370" s="9" t="str">
        <x:f>IF(C370="","",IF(OR(INDEX('Borrowers'!$AA$9:$AA$108,MATCH(C370,'Borrowers'!$C$9:$C$108,0))&lt;&gt;"Ready",COUNTIF(Sites!$D$9:$D$108,C370)=0,COUNTIFS(Sites!$D$9:$D$108,C370,Sites!$Q$9:$Q$108,"&lt;&gt;Ready")&gt;0,'Scenario Paths'!$F$6&lt;&gt;"Ready"),"Review source inputs","Ready"))</x:f>
      </x:c>
      <x:c r="V370" s="17" t="str">
        <x:f>IF(C370="","",IFERROR(MAX(-1,(G370-O370)/MAX(0.000001,G370)),"Unavailable"))</x:f>
      </x:c>
      <x:c r="W370" s="9" t="str">
        <x:f>IF(C370="","",IFERROR(INDEX('Borrowers'!$D$9:$D$108,MATCH(C370,'Borrowers'!$C$9:$C$108,0)),"Unavailable"))</x:f>
      </x:c>
    </x:row>
    <x:row r="371" ht="26" customHeight="1">
      <x:c r="A371" s="1"/>
      <x:c r="B371" s="1"/>
      <x:c r="C371" s="9" t="str">
        <x:f>IF(Borrowers!C71="","",Borrowers!C71)</x:f>
      </x:c>
      <x:c r="D371" s="3" t="n">
        <x:v>4</x:v>
      </x:c>
      <x:c r="E371" s="9" t="n">
        <x:f>Settings!$F$18+3</x:f>
        <x:v>2030</x:v>
      </x:c>
      <x:c r="F371" s="9" t="str">
        <x:f>IF(C371="","",INDEX('Borrowers'!$F$9:$F$108,MATCH(C371,'Borrowers'!$C$9:$C$108,0)))</x:f>
      </x:c>
      <x:c r="G371" s="23" t="str">
        <x:f>IF(C371="","",IFERROR(INDEX('Borrowers'!$J$9:$J$108,MATCH(C371,'Borrowers'!$C$9:$C$108,0))-INDEX('Borrowers'!$K$9:$K$108,MATCH(C371,'Borrowers'!$C$9:$C$108,0)),"Unavailable"))</x:f>
      </x:c>
      <x:c r="H371" s="23" t="str">
        <x:f>IF(C371="","",IFERROR(INDEX('Borrowers'!$I$9:$I$108,MATCH(C371,'Borrowers'!$C$9:$C$108,0))*INDEX('Borrowers'!$U$9:$U$108,MATCH(C371,'Borrowers'!$C$9:$C$108,0))*(IF(F371="Transport",'Scenario Paths'!I156,IF(F371="Technology",'Scenario Paths'!I150,IF(F371="Utilities",'Scenario Paths'!I144,IF(F371="Agriculture",'Scenario Paths'!I138,IF(F371="Manufacturing",'Scenario Paths'!I132,IF(F371="Healthcare",'Scenario Paths'!I126,IF(F371="Hospitality",'Scenario Paths'!I120,IF(F371="Property",'Scenario Paths'!I114,IF(F371="Food",'Scenario Paths'!I108,IF(F371="Logistics",'Scenario Paths'!I102,IF(F371="Solar",'Scenario Paths'!I96,IF(F371="Cement",'Scenario Paths'!I90,0))))))))))))),"Unavailable"))</x:f>
      </x:c>
      <x:c r="I371" s="23" t="str">
        <x:f>IF(C371="","",IFERROR(INDEX('Borrowers'!$R$9:$R$108,MATCH(C371,'Borrowers'!$C$9:$C$108,0))*(1-INDEX('Borrowers'!$W$9:$W$108,MATCH(C371,'Borrowers'!$C$9:$C$108,0))*'Scenario Paths'!I39)*'Scenario Paths'!I9/1000000*(1-INDEX('Borrowers'!$T$9:$T$108,MATCH(C371,'Borrowers'!$C$9:$C$108,0))),"Unavailable"))</x:f>
      </x:c>
      <x:c r="J371" s="23" t="str">
        <x:f>IF(C371="","",IFERROR(INDEX('Borrowers'!$I$9:$I$108,MATCH(C371,'Borrowers'!$C$9:$C$108,0))*INDEX('Borrowers'!$S$9:$S$108,MATCH(C371,'Borrowers'!$C$9:$C$108,0))*'Scenario Paths'!I15*(1-INDEX('Borrowers'!$T$9:$T$108,MATCH(C371,'Borrowers'!$C$9:$C$108,0))),"Unavailable"))</x:f>
      </x:c>
      <x:c r="K371" s="23" t="str">
        <x:f>IF(C371="","",IFERROR(INDEX('Borrowers'!$I$9:$I$108,MATCH(C371,'Borrowers'!$C$9:$C$108,0))*INDEX('Borrowers'!$U$9:$U$108,MATCH(C371,'Borrowers'!$C$9:$C$108,0))*'Scenario Paths'!I21*S371,"Unavailable"))</x:f>
      </x:c>
      <x:c r="L371" s="23" t="str">
        <x:f>IF(C371="","",IFERROR(SUMPRODUCT((Sites!$D$9:$D$108=C371)*Sites!$H$9:$H$108*Sites!$J$9:$J$108*Sites!$K$9:$K$108*(1-Sites!$L$9:$L$108)*(1-Sites!$M$9:$M$108))*'Scenario Paths'!I27,"Unavailable"))</x:f>
      </x:c>
      <x:c r="M371" s="23" t="str">
        <x:f>IF(C371="","",IFERROR(INDEX('Borrowers'!$J$9:$J$108,MATCH(C371,'Borrowers'!$C$9:$C$108,0))+H371-SUM(I371:L371),"Unavailable"))</x:f>
      </x:c>
      <x:c r="N371" s="23" t="str">
        <x:f>IF(C371="","",IFERROR(INDEX('Borrowers'!$I$9:$I$108,MATCH(C371,'Borrowers'!$C$9:$C$108,0))*'Scenario Paths'!I33,"Unavailable"))</x:f>
      </x:c>
      <x:c r="O371" s="23" t="str">
        <x:f>IF(C371="","",IFERROR(M371-INDEX('Borrowers'!$K$9:$K$108,MATCH(C371,'Borrowers'!$C$9:$C$108,0))-N371,"Unavailable"))</x:f>
      </x:c>
      <x:c r="P371" s="127" t="str">
        <x:f>IF(C371="","",IFERROR(O371/INDEX('Borrowers'!$L$9:$L$108,MATCH(C371,'Borrowers'!$C$9:$C$108,0)),"Unavailable"))</x:f>
      </x:c>
      <x:c r="Q371" s="30" t="str">
        <x:f>IF(C371="","",IFERROR(IF(INDEX('Borrowers'!$Z$9:$Z$108,MATCH(C371,'Borrowers'!$C$9:$C$108,0))="Yes",1,IF(INDEX('Borrowers'!$P$9:$P$108,MATCH(C371,'Borrowers'!$C$9:$C$108,0))=0,0,MIN(1,INDEX('Borrowers'!$P$9:$P$108,MATCH(C371,'Borrowers'!$C$9:$C$108,0))*EXP(MIN(20,INDEX('Borrowers'!$V$9:$V$108,MATCH(C371,'Borrowers'!$C$9:$C$108,0))*V371))))),"Unavailable"))</x:f>
      </x:c>
      <x:c r="R371" s="30" t="str">
        <x:f>IF(C371="","",IFERROR(MIN(1,INDEX('Borrowers'!$Q$9:$Q$108,MATCH(C371,'Borrowers'!$C$9:$C$108,0))+(1-INDEX('Borrowers'!$Q$9:$Q$108,MATCH(C371,'Borrowers'!$C$9:$C$108,0)))*T371),"Unavailable"))</x:f>
      </x:c>
      <x:c r="S371" s="30" t="str">
        <x:f>IF(C371="","",IFERROR(SUMPRODUCT((Sites!$D$9:$D$108=C371)*Sites!$I$9:$I$108*Sites!$J$9:$J$108*Sites!$K$9:$K$108*(1-Sites!$L$9:$L$108)),"Unavailable"))</x:f>
      </x:c>
      <x:c r="T371" s="30" t="str">
        <x:f>IF(C371="","",IFERROR(MIN(1,(SUMPRODUCT((Sites!$D$9:$D$108=C371)*Sites!$N$9:$N$108*Sites!$J$9:$J$108*Sites!$K$9:$K$108*(1-Sites!$L$9:$L$108)))*'Scenario Paths'!I27),"Unavailable"))</x:f>
      </x:c>
      <x:c r="U371" s="9" t="str">
        <x:f>IF(C371="","",IF(OR(INDEX('Borrowers'!$AA$9:$AA$108,MATCH(C371,'Borrowers'!$C$9:$C$108,0))&lt;&gt;"Ready",COUNTIF(Sites!$D$9:$D$108,C371)=0,COUNTIFS(Sites!$D$9:$D$108,C371,Sites!$Q$9:$Q$108,"&lt;&gt;Ready")&gt;0,'Scenario Paths'!$F$6&lt;&gt;"Ready"),"Review source inputs","Ready"))</x:f>
      </x:c>
      <x:c r="V371" s="17" t="str">
        <x:f>IF(C371="","",IFERROR(MAX(-1,(G371-O371)/MAX(0.000001,G371)),"Unavailable"))</x:f>
      </x:c>
      <x:c r="W371" s="9" t="str">
        <x:f>IF(C371="","",IFERROR(INDEX('Borrowers'!$D$9:$D$108,MATCH(C371,'Borrowers'!$C$9:$C$108,0)),"Unavailable"))</x:f>
      </x:c>
    </x:row>
    <x:row r="372" ht="26" customHeight="1">
      <x:c r="A372" s="1"/>
      <x:c r="B372" s="1"/>
      <x:c r="C372" s="9" t="str">
        <x:f>IF(Borrowers!C72="","",Borrowers!C72)</x:f>
      </x:c>
      <x:c r="D372" s="3" t="n">
        <x:v>4</x:v>
      </x:c>
      <x:c r="E372" s="9" t="n">
        <x:f>Settings!$F$18+3</x:f>
        <x:v>2030</x:v>
      </x:c>
      <x:c r="F372" s="9" t="str">
        <x:f>IF(C372="","",INDEX('Borrowers'!$F$9:$F$108,MATCH(C372,'Borrowers'!$C$9:$C$108,0)))</x:f>
      </x:c>
      <x:c r="G372" s="23" t="str">
        <x:f>IF(C372="","",IFERROR(INDEX('Borrowers'!$J$9:$J$108,MATCH(C372,'Borrowers'!$C$9:$C$108,0))-INDEX('Borrowers'!$K$9:$K$108,MATCH(C372,'Borrowers'!$C$9:$C$108,0)),"Unavailable"))</x:f>
      </x:c>
      <x:c r="H372" s="23" t="str">
        <x:f>IF(C372="","",IFERROR(INDEX('Borrowers'!$I$9:$I$108,MATCH(C372,'Borrowers'!$C$9:$C$108,0))*INDEX('Borrowers'!$U$9:$U$108,MATCH(C372,'Borrowers'!$C$9:$C$108,0))*(IF(F372="Transport",'Scenario Paths'!I156,IF(F372="Technology",'Scenario Paths'!I150,IF(F372="Utilities",'Scenario Paths'!I144,IF(F372="Agriculture",'Scenario Paths'!I138,IF(F372="Manufacturing",'Scenario Paths'!I132,IF(F372="Healthcare",'Scenario Paths'!I126,IF(F372="Hospitality",'Scenario Paths'!I120,IF(F372="Property",'Scenario Paths'!I114,IF(F372="Food",'Scenario Paths'!I108,IF(F372="Logistics",'Scenario Paths'!I102,IF(F372="Solar",'Scenario Paths'!I96,IF(F372="Cement",'Scenario Paths'!I90,0))))))))))))),"Unavailable"))</x:f>
      </x:c>
      <x:c r="I372" s="23" t="str">
        <x:f>IF(C372="","",IFERROR(INDEX('Borrowers'!$R$9:$R$108,MATCH(C372,'Borrowers'!$C$9:$C$108,0))*(1-INDEX('Borrowers'!$W$9:$W$108,MATCH(C372,'Borrowers'!$C$9:$C$108,0))*'Scenario Paths'!I39)*'Scenario Paths'!I9/1000000*(1-INDEX('Borrowers'!$T$9:$T$108,MATCH(C372,'Borrowers'!$C$9:$C$108,0))),"Unavailable"))</x:f>
      </x:c>
      <x:c r="J372" s="23" t="str">
        <x:f>IF(C372="","",IFERROR(INDEX('Borrowers'!$I$9:$I$108,MATCH(C372,'Borrowers'!$C$9:$C$108,0))*INDEX('Borrowers'!$S$9:$S$108,MATCH(C372,'Borrowers'!$C$9:$C$108,0))*'Scenario Paths'!I15*(1-INDEX('Borrowers'!$T$9:$T$108,MATCH(C372,'Borrowers'!$C$9:$C$108,0))),"Unavailable"))</x:f>
      </x:c>
      <x:c r="K372" s="23" t="str">
        <x:f>IF(C372="","",IFERROR(INDEX('Borrowers'!$I$9:$I$108,MATCH(C372,'Borrowers'!$C$9:$C$108,0))*INDEX('Borrowers'!$U$9:$U$108,MATCH(C372,'Borrowers'!$C$9:$C$108,0))*'Scenario Paths'!I21*S372,"Unavailable"))</x:f>
      </x:c>
      <x:c r="L372" s="23" t="str">
        <x:f>IF(C372="","",IFERROR(SUMPRODUCT((Sites!$D$9:$D$108=C372)*Sites!$H$9:$H$108*Sites!$J$9:$J$108*Sites!$K$9:$K$108*(1-Sites!$L$9:$L$108)*(1-Sites!$M$9:$M$108))*'Scenario Paths'!I27,"Unavailable"))</x:f>
      </x:c>
      <x:c r="M372" s="23" t="str">
        <x:f>IF(C372="","",IFERROR(INDEX('Borrowers'!$J$9:$J$108,MATCH(C372,'Borrowers'!$C$9:$C$108,0))+H372-SUM(I372:L372),"Unavailable"))</x:f>
      </x:c>
      <x:c r="N372" s="23" t="str">
        <x:f>IF(C372="","",IFERROR(INDEX('Borrowers'!$I$9:$I$108,MATCH(C372,'Borrowers'!$C$9:$C$108,0))*'Scenario Paths'!I33,"Unavailable"))</x:f>
      </x:c>
      <x:c r="O372" s="23" t="str">
        <x:f>IF(C372="","",IFERROR(M372-INDEX('Borrowers'!$K$9:$K$108,MATCH(C372,'Borrowers'!$C$9:$C$108,0))-N372,"Unavailable"))</x:f>
      </x:c>
      <x:c r="P372" s="127" t="str">
        <x:f>IF(C372="","",IFERROR(O372/INDEX('Borrowers'!$L$9:$L$108,MATCH(C372,'Borrowers'!$C$9:$C$108,0)),"Unavailable"))</x:f>
      </x:c>
      <x:c r="Q372" s="30" t="str">
        <x:f>IF(C372="","",IFERROR(IF(INDEX('Borrowers'!$Z$9:$Z$108,MATCH(C372,'Borrowers'!$C$9:$C$108,0))="Yes",1,IF(INDEX('Borrowers'!$P$9:$P$108,MATCH(C372,'Borrowers'!$C$9:$C$108,0))=0,0,MIN(1,INDEX('Borrowers'!$P$9:$P$108,MATCH(C372,'Borrowers'!$C$9:$C$108,0))*EXP(MIN(20,INDEX('Borrowers'!$V$9:$V$108,MATCH(C372,'Borrowers'!$C$9:$C$108,0))*V372))))),"Unavailable"))</x:f>
      </x:c>
      <x:c r="R372" s="30" t="str">
        <x:f>IF(C372="","",IFERROR(MIN(1,INDEX('Borrowers'!$Q$9:$Q$108,MATCH(C372,'Borrowers'!$C$9:$C$108,0))+(1-INDEX('Borrowers'!$Q$9:$Q$108,MATCH(C372,'Borrowers'!$C$9:$C$108,0)))*T372),"Unavailable"))</x:f>
      </x:c>
      <x:c r="S372" s="30" t="str">
        <x:f>IF(C372="","",IFERROR(SUMPRODUCT((Sites!$D$9:$D$108=C372)*Sites!$I$9:$I$108*Sites!$J$9:$J$108*Sites!$K$9:$K$108*(1-Sites!$L$9:$L$108)),"Unavailable"))</x:f>
      </x:c>
      <x:c r="T372" s="30" t="str">
        <x:f>IF(C372="","",IFERROR(MIN(1,(SUMPRODUCT((Sites!$D$9:$D$108=C372)*Sites!$N$9:$N$108*Sites!$J$9:$J$108*Sites!$K$9:$K$108*(1-Sites!$L$9:$L$108)))*'Scenario Paths'!I27),"Unavailable"))</x:f>
      </x:c>
      <x:c r="U372" s="9" t="str">
        <x:f>IF(C372="","",IF(OR(INDEX('Borrowers'!$AA$9:$AA$108,MATCH(C372,'Borrowers'!$C$9:$C$108,0))&lt;&gt;"Ready",COUNTIF(Sites!$D$9:$D$108,C372)=0,COUNTIFS(Sites!$D$9:$D$108,C372,Sites!$Q$9:$Q$108,"&lt;&gt;Ready")&gt;0,'Scenario Paths'!$F$6&lt;&gt;"Ready"),"Review source inputs","Ready"))</x:f>
      </x:c>
      <x:c r="V372" s="17" t="str">
        <x:f>IF(C372="","",IFERROR(MAX(-1,(G372-O372)/MAX(0.000001,G372)),"Unavailable"))</x:f>
      </x:c>
      <x:c r="W372" s="9" t="str">
        <x:f>IF(C372="","",IFERROR(INDEX('Borrowers'!$D$9:$D$108,MATCH(C372,'Borrowers'!$C$9:$C$108,0)),"Unavailable"))</x:f>
      </x:c>
    </x:row>
    <x:row r="373" ht="26" customHeight="1">
      <x:c r="A373" s="1"/>
      <x:c r="B373" s="1"/>
      <x:c r="C373" s="9" t="str">
        <x:f>IF(Borrowers!C73="","",Borrowers!C73)</x:f>
      </x:c>
      <x:c r="D373" s="3" t="n">
        <x:v>4</x:v>
      </x:c>
      <x:c r="E373" s="9" t="n">
        <x:f>Settings!$F$18+3</x:f>
        <x:v>2030</x:v>
      </x:c>
      <x:c r="F373" s="9" t="str">
        <x:f>IF(C373="","",INDEX('Borrowers'!$F$9:$F$108,MATCH(C373,'Borrowers'!$C$9:$C$108,0)))</x:f>
      </x:c>
      <x:c r="G373" s="23" t="str">
        <x:f>IF(C373="","",IFERROR(INDEX('Borrowers'!$J$9:$J$108,MATCH(C373,'Borrowers'!$C$9:$C$108,0))-INDEX('Borrowers'!$K$9:$K$108,MATCH(C373,'Borrowers'!$C$9:$C$108,0)),"Unavailable"))</x:f>
      </x:c>
      <x:c r="H373" s="23" t="str">
        <x:f>IF(C373="","",IFERROR(INDEX('Borrowers'!$I$9:$I$108,MATCH(C373,'Borrowers'!$C$9:$C$108,0))*INDEX('Borrowers'!$U$9:$U$108,MATCH(C373,'Borrowers'!$C$9:$C$108,0))*(IF(F373="Transport",'Scenario Paths'!I156,IF(F373="Technology",'Scenario Paths'!I150,IF(F373="Utilities",'Scenario Paths'!I144,IF(F373="Agriculture",'Scenario Paths'!I138,IF(F373="Manufacturing",'Scenario Paths'!I132,IF(F373="Healthcare",'Scenario Paths'!I126,IF(F373="Hospitality",'Scenario Paths'!I120,IF(F373="Property",'Scenario Paths'!I114,IF(F373="Food",'Scenario Paths'!I108,IF(F373="Logistics",'Scenario Paths'!I102,IF(F373="Solar",'Scenario Paths'!I96,IF(F373="Cement",'Scenario Paths'!I90,0))))))))))))),"Unavailable"))</x:f>
      </x:c>
      <x:c r="I373" s="23" t="str">
        <x:f>IF(C373="","",IFERROR(INDEX('Borrowers'!$R$9:$R$108,MATCH(C373,'Borrowers'!$C$9:$C$108,0))*(1-INDEX('Borrowers'!$W$9:$W$108,MATCH(C373,'Borrowers'!$C$9:$C$108,0))*'Scenario Paths'!I39)*'Scenario Paths'!I9/1000000*(1-INDEX('Borrowers'!$T$9:$T$108,MATCH(C373,'Borrowers'!$C$9:$C$108,0))),"Unavailable"))</x:f>
      </x:c>
      <x:c r="J373" s="23" t="str">
        <x:f>IF(C373="","",IFERROR(INDEX('Borrowers'!$I$9:$I$108,MATCH(C373,'Borrowers'!$C$9:$C$108,0))*INDEX('Borrowers'!$S$9:$S$108,MATCH(C373,'Borrowers'!$C$9:$C$108,0))*'Scenario Paths'!I15*(1-INDEX('Borrowers'!$T$9:$T$108,MATCH(C373,'Borrowers'!$C$9:$C$108,0))),"Unavailable"))</x:f>
      </x:c>
      <x:c r="K373" s="23" t="str">
        <x:f>IF(C373="","",IFERROR(INDEX('Borrowers'!$I$9:$I$108,MATCH(C373,'Borrowers'!$C$9:$C$108,0))*INDEX('Borrowers'!$U$9:$U$108,MATCH(C373,'Borrowers'!$C$9:$C$108,0))*'Scenario Paths'!I21*S373,"Unavailable"))</x:f>
      </x:c>
      <x:c r="L373" s="23" t="str">
        <x:f>IF(C373="","",IFERROR(SUMPRODUCT((Sites!$D$9:$D$108=C373)*Sites!$H$9:$H$108*Sites!$J$9:$J$108*Sites!$K$9:$K$108*(1-Sites!$L$9:$L$108)*(1-Sites!$M$9:$M$108))*'Scenario Paths'!I27,"Unavailable"))</x:f>
      </x:c>
      <x:c r="M373" s="23" t="str">
        <x:f>IF(C373="","",IFERROR(INDEX('Borrowers'!$J$9:$J$108,MATCH(C373,'Borrowers'!$C$9:$C$108,0))+H373-SUM(I373:L373),"Unavailable"))</x:f>
      </x:c>
      <x:c r="N373" s="23" t="str">
        <x:f>IF(C373="","",IFERROR(INDEX('Borrowers'!$I$9:$I$108,MATCH(C373,'Borrowers'!$C$9:$C$108,0))*'Scenario Paths'!I33,"Unavailable"))</x:f>
      </x:c>
      <x:c r="O373" s="23" t="str">
        <x:f>IF(C373="","",IFERROR(M373-INDEX('Borrowers'!$K$9:$K$108,MATCH(C373,'Borrowers'!$C$9:$C$108,0))-N373,"Unavailable"))</x:f>
      </x:c>
      <x:c r="P373" s="127" t="str">
        <x:f>IF(C373="","",IFERROR(O373/INDEX('Borrowers'!$L$9:$L$108,MATCH(C373,'Borrowers'!$C$9:$C$108,0)),"Unavailable"))</x:f>
      </x:c>
      <x:c r="Q373" s="30" t="str">
        <x:f>IF(C373="","",IFERROR(IF(INDEX('Borrowers'!$Z$9:$Z$108,MATCH(C373,'Borrowers'!$C$9:$C$108,0))="Yes",1,IF(INDEX('Borrowers'!$P$9:$P$108,MATCH(C373,'Borrowers'!$C$9:$C$108,0))=0,0,MIN(1,INDEX('Borrowers'!$P$9:$P$108,MATCH(C373,'Borrowers'!$C$9:$C$108,0))*EXP(MIN(20,INDEX('Borrowers'!$V$9:$V$108,MATCH(C373,'Borrowers'!$C$9:$C$108,0))*V373))))),"Unavailable"))</x:f>
      </x:c>
      <x:c r="R373" s="30" t="str">
        <x:f>IF(C373="","",IFERROR(MIN(1,INDEX('Borrowers'!$Q$9:$Q$108,MATCH(C373,'Borrowers'!$C$9:$C$108,0))+(1-INDEX('Borrowers'!$Q$9:$Q$108,MATCH(C373,'Borrowers'!$C$9:$C$108,0)))*T373),"Unavailable"))</x:f>
      </x:c>
      <x:c r="S373" s="30" t="str">
        <x:f>IF(C373="","",IFERROR(SUMPRODUCT((Sites!$D$9:$D$108=C373)*Sites!$I$9:$I$108*Sites!$J$9:$J$108*Sites!$K$9:$K$108*(1-Sites!$L$9:$L$108)),"Unavailable"))</x:f>
      </x:c>
      <x:c r="T373" s="30" t="str">
        <x:f>IF(C373="","",IFERROR(MIN(1,(SUMPRODUCT((Sites!$D$9:$D$108=C373)*Sites!$N$9:$N$108*Sites!$J$9:$J$108*Sites!$K$9:$K$108*(1-Sites!$L$9:$L$108)))*'Scenario Paths'!I27),"Unavailable"))</x:f>
      </x:c>
      <x:c r="U373" s="9" t="str">
        <x:f>IF(C373="","",IF(OR(INDEX('Borrowers'!$AA$9:$AA$108,MATCH(C373,'Borrowers'!$C$9:$C$108,0))&lt;&gt;"Ready",COUNTIF(Sites!$D$9:$D$108,C373)=0,COUNTIFS(Sites!$D$9:$D$108,C373,Sites!$Q$9:$Q$108,"&lt;&gt;Ready")&gt;0,'Scenario Paths'!$F$6&lt;&gt;"Ready"),"Review source inputs","Ready"))</x:f>
      </x:c>
      <x:c r="V373" s="17" t="str">
        <x:f>IF(C373="","",IFERROR(MAX(-1,(G373-O373)/MAX(0.000001,G373)),"Unavailable"))</x:f>
      </x:c>
      <x:c r="W373" s="9" t="str">
        <x:f>IF(C373="","",IFERROR(INDEX('Borrowers'!$D$9:$D$108,MATCH(C373,'Borrowers'!$C$9:$C$108,0)),"Unavailable"))</x:f>
      </x:c>
    </x:row>
    <x:row r="374" ht="26" customHeight="1">
      <x:c r="A374" s="1"/>
      <x:c r="B374" s="1"/>
      <x:c r="C374" s="9" t="str">
        <x:f>IF(Borrowers!C74="","",Borrowers!C74)</x:f>
      </x:c>
      <x:c r="D374" s="3" t="n">
        <x:v>4</x:v>
      </x:c>
      <x:c r="E374" s="9" t="n">
        <x:f>Settings!$F$18+3</x:f>
        <x:v>2030</x:v>
      </x:c>
      <x:c r="F374" s="9" t="str">
        <x:f>IF(C374="","",INDEX('Borrowers'!$F$9:$F$108,MATCH(C374,'Borrowers'!$C$9:$C$108,0)))</x:f>
      </x:c>
      <x:c r="G374" s="23" t="str">
        <x:f>IF(C374="","",IFERROR(INDEX('Borrowers'!$J$9:$J$108,MATCH(C374,'Borrowers'!$C$9:$C$108,0))-INDEX('Borrowers'!$K$9:$K$108,MATCH(C374,'Borrowers'!$C$9:$C$108,0)),"Unavailable"))</x:f>
      </x:c>
      <x:c r="H374" s="23" t="str">
        <x:f>IF(C374="","",IFERROR(INDEX('Borrowers'!$I$9:$I$108,MATCH(C374,'Borrowers'!$C$9:$C$108,0))*INDEX('Borrowers'!$U$9:$U$108,MATCH(C374,'Borrowers'!$C$9:$C$108,0))*(IF(F374="Transport",'Scenario Paths'!I156,IF(F374="Technology",'Scenario Paths'!I150,IF(F374="Utilities",'Scenario Paths'!I144,IF(F374="Agriculture",'Scenario Paths'!I138,IF(F374="Manufacturing",'Scenario Paths'!I132,IF(F374="Healthcare",'Scenario Paths'!I126,IF(F374="Hospitality",'Scenario Paths'!I120,IF(F374="Property",'Scenario Paths'!I114,IF(F374="Food",'Scenario Paths'!I108,IF(F374="Logistics",'Scenario Paths'!I102,IF(F374="Solar",'Scenario Paths'!I96,IF(F374="Cement",'Scenario Paths'!I90,0))))))))))))),"Unavailable"))</x:f>
      </x:c>
      <x:c r="I374" s="23" t="str">
        <x:f>IF(C374="","",IFERROR(INDEX('Borrowers'!$R$9:$R$108,MATCH(C374,'Borrowers'!$C$9:$C$108,0))*(1-INDEX('Borrowers'!$W$9:$W$108,MATCH(C374,'Borrowers'!$C$9:$C$108,0))*'Scenario Paths'!I39)*'Scenario Paths'!I9/1000000*(1-INDEX('Borrowers'!$T$9:$T$108,MATCH(C374,'Borrowers'!$C$9:$C$108,0))),"Unavailable"))</x:f>
      </x:c>
      <x:c r="J374" s="23" t="str">
        <x:f>IF(C374="","",IFERROR(INDEX('Borrowers'!$I$9:$I$108,MATCH(C374,'Borrowers'!$C$9:$C$108,0))*INDEX('Borrowers'!$S$9:$S$108,MATCH(C374,'Borrowers'!$C$9:$C$108,0))*'Scenario Paths'!I15*(1-INDEX('Borrowers'!$T$9:$T$108,MATCH(C374,'Borrowers'!$C$9:$C$108,0))),"Unavailable"))</x:f>
      </x:c>
      <x:c r="K374" s="23" t="str">
        <x:f>IF(C374="","",IFERROR(INDEX('Borrowers'!$I$9:$I$108,MATCH(C374,'Borrowers'!$C$9:$C$108,0))*INDEX('Borrowers'!$U$9:$U$108,MATCH(C374,'Borrowers'!$C$9:$C$108,0))*'Scenario Paths'!I21*S374,"Unavailable"))</x:f>
      </x:c>
      <x:c r="L374" s="23" t="str">
        <x:f>IF(C374="","",IFERROR(SUMPRODUCT((Sites!$D$9:$D$108=C374)*Sites!$H$9:$H$108*Sites!$J$9:$J$108*Sites!$K$9:$K$108*(1-Sites!$L$9:$L$108)*(1-Sites!$M$9:$M$108))*'Scenario Paths'!I27,"Unavailable"))</x:f>
      </x:c>
      <x:c r="M374" s="23" t="str">
        <x:f>IF(C374="","",IFERROR(INDEX('Borrowers'!$J$9:$J$108,MATCH(C374,'Borrowers'!$C$9:$C$108,0))+H374-SUM(I374:L374),"Unavailable"))</x:f>
      </x:c>
      <x:c r="N374" s="23" t="str">
        <x:f>IF(C374="","",IFERROR(INDEX('Borrowers'!$I$9:$I$108,MATCH(C374,'Borrowers'!$C$9:$C$108,0))*'Scenario Paths'!I33,"Unavailable"))</x:f>
      </x:c>
      <x:c r="O374" s="23" t="str">
        <x:f>IF(C374="","",IFERROR(M374-INDEX('Borrowers'!$K$9:$K$108,MATCH(C374,'Borrowers'!$C$9:$C$108,0))-N374,"Unavailable"))</x:f>
      </x:c>
      <x:c r="P374" s="127" t="str">
        <x:f>IF(C374="","",IFERROR(O374/INDEX('Borrowers'!$L$9:$L$108,MATCH(C374,'Borrowers'!$C$9:$C$108,0)),"Unavailable"))</x:f>
      </x:c>
      <x:c r="Q374" s="30" t="str">
        <x:f>IF(C374="","",IFERROR(IF(INDEX('Borrowers'!$Z$9:$Z$108,MATCH(C374,'Borrowers'!$C$9:$C$108,0))="Yes",1,IF(INDEX('Borrowers'!$P$9:$P$108,MATCH(C374,'Borrowers'!$C$9:$C$108,0))=0,0,MIN(1,INDEX('Borrowers'!$P$9:$P$108,MATCH(C374,'Borrowers'!$C$9:$C$108,0))*EXP(MIN(20,INDEX('Borrowers'!$V$9:$V$108,MATCH(C374,'Borrowers'!$C$9:$C$108,0))*V374))))),"Unavailable"))</x:f>
      </x:c>
      <x:c r="R374" s="30" t="str">
        <x:f>IF(C374="","",IFERROR(MIN(1,INDEX('Borrowers'!$Q$9:$Q$108,MATCH(C374,'Borrowers'!$C$9:$C$108,0))+(1-INDEX('Borrowers'!$Q$9:$Q$108,MATCH(C374,'Borrowers'!$C$9:$C$108,0)))*T374),"Unavailable"))</x:f>
      </x:c>
      <x:c r="S374" s="30" t="str">
        <x:f>IF(C374="","",IFERROR(SUMPRODUCT((Sites!$D$9:$D$108=C374)*Sites!$I$9:$I$108*Sites!$J$9:$J$108*Sites!$K$9:$K$108*(1-Sites!$L$9:$L$108)),"Unavailable"))</x:f>
      </x:c>
      <x:c r="T374" s="30" t="str">
        <x:f>IF(C374="","",IFERROR(MIN(1,(SUMPRODUCT((Sites!$D$9:$D$108=C374)*Sites!$N$9:$N$108*Sites!$J$9:$J$108*Sites!$K$9:$K$108*(1-Sites!$L$9:$L$108)))*'Scenario Paths'!I27),"Unavailable"))</x:f>
      </x:c>
      <x:c r="U374" s="9" t="str">
        <x:f>IF(C374="","",IF(OR(INDEX('Borrowers'!$AA$9:$AA$108,MATCH(C374,'Borrowers'!$C$9:$C$108,0))&lt;&gt;"Ready",COUNTIF(Sites!$D$9:$D$108,C374)=0,COUNTIFS(Sites!$D$9:$D$108,C374,Sites!$Q$9:$Q$108,"&lt;&gt;Ready")&gt;0,'Scenario Paths'!$F$6&lt;&gt;"Ready"),"Review source inputs","Ready"))</x:f>
      </x:c>
      <x:c r="V374" s="17" t="str">
        <x:f>IF(C374="","",IFERROR(MAX(-1,(G374-O374)/MAX(0.000001,G374)),"Unavailable"))</x:f>
      </x:c>
      <x:c r="W374" s="9" t="str">
        <x:f>IF(C374="","",IFERROR(INDEX('Borrowers'!$D$9:$D$108,MATCH(C374,'Borrowers'!$C$9:$C$108,0)),"Unavailable"))</x:f>
      </x:c>
    </x:row>
    <x:row r="375" ht="26" customHeight="1">
      <x:c r="A375" s="1"/>
      <x:c r="B375" s="1"/>
      <x:c r="C375" s="9" t="str">
        <x:f>IF(Borrowers!C75="","",Borrowers!C75)</x:f>
      </x:c>
      <x:c r="D375" s="3" t="n">
        <x:v>4</x:v>
      </x:c>
      <x:c r="E375" s="9" t="n">
        <x:f>Settings!$F$18+3</x:f>
        <x:v>2030</x:v>
      </x:c>
      <x:c r="F375" s="9" t="str">
        <x:f>IF(C375="","",INDEX('Borrowers'!$F$9:$F$108,MATCH(C375,'Borrowers'!$C$9:$C$108,0)))</x:f>
      </x:c>
      <x:c r="G375" s="23" t="str">
        <x:f>IF(C375="","",IFERROR(INDEX('Borrowers'!$J$9:$J$108,MATCH(C375,'Borrowers'!$C$9:$C$108,0))-INDEX('Borrowers'!$K$9:$K$108,MATCH(C375,'Borrowers'!$C$9:$C$108,0)),"Unavailable"))</x:f>
      </x:c>
      <x:c r="H375" s="23" t="str">
        <x:f>IF(C375="","",IFERROR(INDEX('Borrowers'!$I$9:$I$108,MATCH(C375,'Borrowers'!$C$9:$C$108,0))*INDEX('Borrowers'!$U$9:$U$108,MATCH(C375,'Borrowers'!$C$9:$C$108,0))*(IF(F375="Transport",'Scenario Paths'!I156,IF(F375="Technology",'Scenario Paths'!I150,IF(F375="Utilities",'Scenario Paths'!I144,IF(F375="Agriculture",'Scenario Paths'!I138,IF(F375="Manufacturing",'Scenario Paths'!I132,IF(F375="Healthcare",'Scenario Paths'!I126,IF(F375="Hospitality",'Scenario Paths'!I120,IF(F375="Property",'Scenario Paths'!I114,IF(F375="Food",'Scenario Paths'!I108,IF(F375="Logistics",'Scenario Paths'!I102,IF(F375="Solar",'Scenario Paths'!I96,IF(F375="Cement",'Scenario Paths'!I90,0))))))))))))),"Unavailable"))</x:f>
      </x:c>
      <x:c r="I375" s="23" t="str">
        <x:f>IF(C375="","",IFERROR(INDEX('Borrowers'!$R$9:$R$108,MATCH(C375,'Borrowers'!$C$9:$C$108,0))*(1-INDEX('Borrowers'!$W$9:$W$108,MATCH(C375,'Borrowers'!$C$9:$C$108,0))*'Scenario Paths'!I39)*'Scenario Paths'!I9/1000000*(1-INDEX('Borrowers'!$T$9:$T$108,MATCH(C375,'Borrowers'!$C$9:$C$108,0))),"Unavailable"))</x:f>
      </x:c>
      <x:c r="J375" s="23" t="str">
        <x:f>IF(C375="","",IFERROR(INDEX('Borrowers'!$I$9:$I$108,MATCH(C375,'Borrowers'!$C$9:$C$108,0))*INDEX('Borrowers'!$S$9:$S$108,MATCH(C375,'Borrowers'!$C$9:$C$108,0))*'Scenario Paths'!I15*(1-INDEX('Borrowers'!$T$9:$T$108,MATCH(C375,'Borrowers'!$C$9:$C$108,0))),"Unavailable"))</x:f>
      </x:c>
      <x:c r="K375" s="23" t="str">
        <x:f>IF(C375="","",IFERROR(INDEX('Borrowers'!$I$9:$I$108,MATCH(C375,'Borrowers'!$C$9:$C$108,0))*INDEX('Borrowers'!$U$9:$U$108,MATCH(C375,'Borrowers'!$C$9:$C$108,0))*'Scenario Paths'!I21*S375,"Unavailable"))</x:f>
      </x:c>
      <x:c r="L375" s="23" t="str">
        <x:f>IF(C375="","",IFERROR(SUMPRODUCT((Sites!$D$9:$D$108=C375)*Sites!$H$9:$H$108*Sites!$J$9:$J$108*Sites!$K$9:$K$108*(1-Sites!$L$9:$L$108)*(1-Sites!$M$9:$M$108))*'Scenario Paths'!I27,"Unavailable"))</x:f>
      </x:c>
      <x:c r="M375" s="23" t="str">
        <x:f>IF(C375="","",IFERROR(INDEX('Borrowers'!$J$9:$J$108,MATCH(C375,'Borrowers'!$C$9:$C$108,0))+H375-SUM(I375:L375),"Unavailable"))</x:f>
      </x:c>
      <x:c r="N375" s="23" t="str">
        <x:f>IF(C375="","",IFERROR(INDEX('Borrowers'!$I$9:$I$108,MATCH(C375,'Borrowers'!$C$9:$C$108,0))*'Scenario Paths'!I33,"Unavailable"))</x:f>
      </x:c>
      <x:c r="O375" s="23" t="str">
        <x:f>IF(C375="","",IFERROR(M375-INDEX('Borrowers'!$K$9:$K$108,MATCH(C375,'Borrowers'!$C$9:$C$108,0))-N375,"Unavailable"))</x:f>
      </x:c>
      <x:c r="P375" s="127" t="str">
        <x:f>IF(C375="","",IFERROR(O375/INDEX('Borrowers'!$L$9:$L$108,MATCH(C375,'Borrowers'!$C$9:$C$108,0)),"Unavailable"))</x:f>
      </x:c>
      <x:c r="Q375" s="30" t="str">
        <x:f>IF(C375="","",IFERROR(IF(INDEX('Borrowers'!$Z$9:$Z$108,MATCH(C375,'Borrowers'!$C$9:$C$108,0))="Yes",1,IF(INDEX('Borrowers'!$P$9:$P$108,MATCH(C375,'Borrowers'!$C$9:$C$108,0))=0,0,MIN(1,INDEX('Borrowers'!$P$9:$P$108,MATCH(C375,'Borrowers'!$C$9:$C$108,0))*EXP(MIN(20,INDEX('Borrowers'!$V$9:$V$108,MATCH(C375,'Borrowers'!$C$9:$C$108,0))*V375))))),"Unavailable"))</x:f>
      </x:c>
      <x:c r="R375" s="30" t="str">
        <x:f>IF(C375="","",IFERROR(MIN(1,INDEX('Borrowers'!$Q$9:$Q$108,MATCH(C375,'Borrowers'!$C$9:$C$108,0))+(1-INDEX('Borrowers'!$Q$9:$Q$108,MATCH(C375,'Borrowers'!$C$9:$C$108,0)))*T375),"Unavailable"))</x:f>
      </x:c>
      <x:c r="S375" s="30" t="str">
        <x:f>IF(C375="","",IFERROR(SUMPRODUCT((Sites!$D$9:$D$108=C375)*Sites!$I$9:$I$108*Sites!$J$9:$J$108*Sites!$K$9:$K$108*(1-Sites!$L$9:$L$108)),"Unavailable"))</x:f>
      </x:c>
      <x:c r="T375" s="30" t="str">
        <x:f>IF(C375="","",IFERROR(MIN(1,(SUMPRODUCT((Sites!$D$9:$D$108=C375)*Sites!$N$9:$N$108*Sites!$J$9:$J$108*Sites!$K$9:$K$108*(1-Sites!$L$9:$L$108)))*'Scenario Paths'!I27),"Unavailable"))</x:f>
      </x:c>
      <x:c r="U375" s="9" t="str">
        <x:f>IF(C375="","",IF(OR(INDEX('Borrowers'!$AA$9:$AA$108,MATCH(C375,'Borrowers'!$C$9:$C$108,0))&lt;&gt;"Ready",COUNTIF(Sites!$D$9:$D$108,C375)=0,COUNTIFS(Sites!$D$9:$D$108,C375,Sites!$Q$9:$Q$108,"&lt;&gt;Ready")&gt;0,'Scenario Paths'!$F$6&lt;&gt;"Ready"),"Review source inputs","Ready"))</x:f>
      </x:c>
      <x:c r="V375" s="17" t="str">
        <x:f>IF(C375="","",IFERROR(MAX(-1,(G375-O375)/MAX(0.000001,G375)),"Unavailable"))</x:f>
      </x:c>
      <x:c r="W375" s="9" t="str">
        <x:f>IF(C375="","",IFERROR(INDEX('Borrowers'!$D$9:$D$108,MATCH(C375,'Borrowers'!$C$9:$C$108,0)),"Unavailable"))</x:f>
      </x:c>
    </x:row>
    <x:row r="376" ht="26" customHeight="1">
      <x:c r="A376" s="1"/>
      <x:c r="B376" s="1"/>
      <x:c r="C376" s="9" t="str">
        <x:f>IF(Borrowers!C76="","",Borrowers!C76)</x:f>
      </x:c>
      <x:c r="D376" s="3" t="n">
        <x:v>4</x:v>
      </x:c>
      <x:c r="E376" s="9" t="n">
        <x:f>Settings!$F$18+3</x:f>
        <x:v>2030</x:v>
      </x:c>
      <x:c r="F376" s="9" t="str">
        <x:f>IF(C376="","",INDEX('Borrowers'!$F$9:$F$108,MATCH(C376,'Borrowers'!$C$9:$C$108,0)))</x:f>
      </x:c>
      <x:c r="G376" s="23" t="str">
        <x:f>IF(C376="","",IFERROR(INDEX('Borrowers'!$J$9:$J$108,MATCH(C376,'Borrowers'!$C$9:$C$108,0))-INDEX('Borrowers'!$K$9:$K$108,MATCH(C376,'Borrowers'!$C$9:$C$108,0)),"Unavailable"))</x:f>
      </x:c>
      <x:c r="H376" s="23" t="str">
        <x:f>IF(C376="","",IFERROR(INDEX('Borrowers'!$I$9:$I$108,MATCH(C376,'Borrowers'!$C$9:$C$108,0))*INDEX('Borrowers'!$U$9:$U$108,MATCH(C376,'Borrowers'!$C$9:$C$108,0))*(IF(F376="Transport",'Scenario Paths'!I156,IF(F376="Technology",'Scenario Paths'!I150,IF(F376="Utilities",'Scenario Paths'!I144,IF(F376="Agriculture",'Scenario Paths'!I138,IF(F376="Manufacturing",'Scenario Paths'!I132,IF(F376="Healthcare",'Scenario Paths'!I126,IF(F376="Hospitality",'Scenario Paths'!I120,IF(F376="Property",'Scenario Paths'!I114,IF(F376="Food",'Scenario Paths'!I108,IF(F376="Logistics",'Scenario Paths'!I102,IF(F376="Solar",'Scenario Paths'!I96,IF(F376="Cement",'Scenario Paths'!I90,0))))))))))))),"Unavailable"))</x:f>
      </x:c>
      <x:c r="I376" s="23" t="str">
        <x:f>IF(C376="","",IFERROR(INDEX('Borrowers'!$R$9:$R$108,MATCH(C376,'Borrowers'!$C$9:$C$108,0))*(1-INDEX('Borrowers'!$W$9:$W$108,MATCH(C376,'Borrowers'!$C$9:$C$108,0))*'Scenario Paths'!I39)*'Scenario Paths'!I9/1000000*(1-INDEX('Borrowers'!$T$9:$T$108,MATCH(C376,'Borrowers'!$C$9:$C$108,0))),"Unavailable"))</x:f>
      </x:c>
      <x:c r="J376" s="23" t="str">
        <x:f>IF(C376="","",IFERROR(INDEX('Borrowers'!$I$9:$I$108,MATCH(C376,'Borrowers'!$C$9:$C$108,0))*INDEX('Borrowers'!$S$9:$S$108,MATCH(C376,'Borrowers'!$C$9:$C$108,0))*'Scenario Paths'!I15*(1-INDEX('Borrowers'!$T$9:$T$108,MATCH(C376,'Borrowers'!$C$9:$C$108,0))),"Unavailable"))</x:f>
      </x:c>
      <x:c r="K376" s="23" t="str">
        <x:f>IF(C376="","",IFERROR(INDEX('Borrowers'!$I$9:$I$108,MATCH(C376,'Borrowers'!$C$9:$C$108,0))*INDEX('Borrowers'!$U$9:$U$108,MATCH(C376,'Borrowers'!$C$9:$C$108,0))*'Scenario Paths'!I21*S376,"Unavailable"))</x:f>
      </x:c>
      <x:c r="L376" s="23" t="str">
        <x:f>IF(C376="","",IFERROR(SUMPRODUCT((Sites!$D$9:$D$108=C376)*Sites!$H$9:$H$108*Sites!$J$9:$J$108*Sites!$K$9:$K$108*(1-Sites!$L$9:$L$108)*(1-Sites!$M$9:$M$108))*'Scenario Paths'!I27,"Unavailable"))</x:f>
      </x:c>
      <x:c r="M376" s="23" t="str">
        <x:f>IF(C376="","",IFERROR(INDEX('Borrowers'!$J$9:$J$108,MATCH(C376,'Borrowers'!$C$9:$C$108,0))+H376-SUM(I376:L376),"Unavailable"))</x:f>
      </x:c>
      <x:c r="N376" s="23" t="str">
        <x:f>IF(C376="","",IFERROR(INDEX('Borrowers'!$I$9:$I$108,MATCH(C376,'Borrowers'!$C$9:$C$108,0))*'Scenario Paths'!I33,"Unavailable"))</x:f>
      </x:c>
      <x:c r="O376" s="23" t="str">
        <x:f>IF(C376="","",IFERROR(M376-INDEX('Borrowers'!$K$9:$K$108,MATCH(C376,'Borrowers'!$C$9:$C$108,0))-N376,"Unavailable"))</x:f>
      </x:c>
      <x:c r="P376" s="127" t="str">
        <x:f>IF(C376="","",IFERROR(O376/INDEX('Borrowers'!$L$9:$L$108,MATCH(C376,'Borrowers'!$C$9:$C$108,0)),"Unavailable"))</x:f>
      </x:c>
      <x:c r="Q376" s="30" t="str">
        <x:f>IF(C376="","",IFERROR(IF(INDEX('Borrowers'!$Z$9:$Z$108,MATCH(C376,'Borrowers'!$C$9:$C$108,0))="Yes",1,IF(INDEX('Borrowers'!$P$9:$P$108,MATCH(C376,'Borrowers'!$C$9:$C$108,0))=0,0,MIN(1,INDEX('Borrowers'!$P$9:$P$108,MATCH(C376,'Borrowers'!$C$9:$C$108,0))*EXP(MIN(20,INDEX('Borrowers'!$V$9:$V$108,MATCH(C376,'Borrowers'!$C$9:$C$108,0))*V376))))),"Unavailable"))</x:f>
      </x:c>
      <x:c r="R376" s="30" t="str">
        <x:f>IF(C376="","",IFERROR(MIN(1,INDEX('Borrowers'!$Q$9:$Q$108,MATCH(C376,'Borrowers'!$C$9:$C$108,0))+(1-INDEX('Borrowers'!$Q$9:$Q$108,MATCH(C376,'Borrowers'!$C$9:$C$108,0)))*T376),"Unavailable"))</x:f>
      </x:c>
      <x:c r="S376" s="30" t="str">
        <x:f>IF(C376="","",IFERROR(SUMPRODUCT((Sites!$D$9:$D$108=C376)*Sites!$I$9:$I$108*Sites!$J$9:$J$108*Sites!$K$9:$K$108*(1-Sites!$L$9:$L$108)),"Unavailable"))</x:f>
      </x:c>
      <x:c r="T376" s="30" t="str">
        <x:f>IF(C376="","",IFERROR(MIN(1,(SUMPRODUCT((Sites!$D$9:$D$108=C376)*Sites!$N$9:$N$108*Sites!$J$9:$J$108*Sites!$K$9:$K$108*(1-Sites!$L$9:$L$108)))*'Scenario Paths'!I27),"Unavailable"))</x:f>
      </x:c>
      <x:c r="U376" s="9" t="str">
        <x:f>IF(C376="","",IF(OR(INDEX('Borrowers'!$AA$9:$AA$108,MATCH(C376,'Borrowers'!$C$9:$C$108,0))&lt;&gt;"Ready",COUNTIF(Sites!$D$9:$D$108,C376)=0,COUNTIFS(Sites!$D$9:$D$108,C376,Sites!$Q$9:$Q$108,"&lt;&gt;Ready")&gt;0,'Scenario Paths'!$F$6&lt;&gt;"Ready"),"Review source inputs","Ready"))</x:f>
      </x:c>
      <x:c r="V376" s="17" t="str">
        <x:f>IF(C376="","",IFERROR(MAX(-1,(G376-O376)/MAX(0.000001,G376)),"Unavailable"))</x:f>
      </x:c>
      <x:c r="W376" s="9" t="str">
        <x:f>IF(C376="","",IFERROR(INDEX('Borrowers'!$D$9:$D$108,MATCH(C376,'Borrowers'!$C$9:$C$108,0)),"Unavailable"))</x:f>
      </x:c>
    </x:row>
    <x:row r="377" ht="26" customHeight="1">
      <x:c r="A377" s="1"/>
      <x:c r="B377" s="1"/>
      <x:c r="C377" s="9" t="str">
        <x:f>IF(Borrowers!C77="","",Borrowers!C77)</x:f>
      </x:c>
      <x:c r="D377" s="3" t="n">
        <x:v>4</x:v>
      </x:c>
      <x:c r="E377" s="9" t="n">
        <x:f>Settings!$F$18+3</x:f>
        <x:v>2030</x:v>
      </x:c>
      <x:c r="F377" s="9" t="str">
        <x:f>IF(C377="","",INDEX('Borrowers'!$F$9:$F$108,MATCH(C377,'Borrowers'!$C$9:$C$108,0)))</x:f>
      </x:c>
      <x:c r="G377" s="23" t="str">
        <x:f>IF(C377="","",IFERROR(INDEX('Borrowers'!$J$9:$J$108,MATCH(C377,'Borrowers'!$C$9:$C$108,0))-INDEX('Borrowers'!$K$9:$K$108,MATCH(C377,'Borrowers'!$C$9:$C$108,0)),"Unavailable"))</x:f>
      </x:c>
      <x:c r="H377" s="23" t="str">
        <x:f>IF(C377="","",IFERROR(INDEX('Borrowers'!$I$9:$I$108,MATCH(C377,'Borrowers'!$C$9:$C$108,0))*INDEX('Borrowers'!$U$9:$U$108,MATCH(C377,'Borrowers'!$C$9:$C$108,0))*(IF(F377="Transport",'Scenario Paths'!I156,IF(F377="Technology",'Scenario Paths'!I150,IF(F377="Utilities",'Scenario Paths'!I144,IF(F377="Agriculture",'Scenario Paths'!I138,IF(F377="Manufacturing",'Scenario Paths'!I132,IF(F377="Healthcare",'Scenario Paths'!I126,IF(F377="Hospitality",'Scenario Paths'!I120,IF(F377="Property",'Scenario Paths'!I114,IF(F377="Food",'Scenario Paths'!I108,IF(F377="Logistics",'Scenario Paths'!I102,IF(F377="Solar",'Scenario Paths'!I96,IF(F377="Cement",'Scenario Paths'!I90,0))))))))))))),"Unavailable"))</x:f>
      </x:c>
      <x:c r="I377" s="23" t="str">
        <x:f>IF(C377="","",IFERROR(INDEX('Borrowers'!$R$9:$R$108,MATCH(C377,'Borrowers'!$C$9:$C$108,0))*(1-INDEX('Borrowers'!$W$9:$W$108,MATCH(C377,'Borrowers'!$C$9:$C$108,0))*'Scenario Paths'!I39)*'Scenario Paths'!I9/1000000*(1-INDEX('Borrowers'!$T$9:$T$108,MATCH(C377,'Borrowers'!$C$9:$C$108,0))),"Unavailable"))</x:f>
      </x:c>
      <x:c r="J377" s="23" t="str">
        <x:f>IF(C377="","",IFERROR(INDEX('Borrowers'!$I$9:$I$108,MATCH(C377,'Borrowers'!$C$9:$C$108,0))*INDEX('Borrowers'!$S$9:$S$108,MATCH(C377,'Borrowers'!$C$9:$C$108,0))*'Scenario Paths'!I15*(1-INDEX('Borrowers'!$T$9:$T$108,MATCH(C377,'Borrowers'!$C$9:$C$108,0))),"Unavailable"))</x:f>
      </x:c>
      <x:c r="K377" s="23" t="str">
        <x:f>IF(C377="","",IFERROR(INDEX('Borrowers'!$I$9:$I$108,MATCH(C377,'Borrowers'!$C$9:$C$108,0))*INDEX('Borrowers'!$U$9:$U$108,MATCH(C377,'Borrowers'!$C$9:$C$108,0))*'Scenario Paths'!I21*S377,"Unavailable"))</x:f>
      </x:c>
      <x:c r="L377" s="23" t="str">
        <x:f>IF(C377="","",IFERROR(SUMPRODUCT((Sites!$D$9:$D$108=C377)*Sites!$H$9:$H$108*Sites!$J$9:$J$108*Sites!$K$9:$K$108*(1-Sites!$L$9:$L$108)*(1-Sites!$M$9:$M$108))*'Scenario Paths'!I27,"Unavailable"))</x:f>
      </x:c>
      <x:c r="M377" s="23" t="str">
        <x:f>IF(C377="","",IFERROR(INDEX('Borrowers'!$J$9:$J$108,MATCH(C377,'Borrowers'!$C$9:$C$108,0))+H377-SUM(I377:L377),"Unavailable"))</x:f>
      </x:c>
      <x:c r="N377" s="23" t="str">
        <x:f>IF(C377="","",IFERROR(INDEX('Borrowers'!$I$9:$I$108,MATCH(C377,'Borrowers'!$C$9:$C$108,0))*'Scenario Paths'!I33,"Unavailable"))</x:f>
      </x:c>
      <x:c r="O377" s="23" t="str">
        <x:f>IF(C377="","",IFERROR(M377-INDEX('Borrowers'!$K$9:$K$108,MATCH(C377,'Borrowers'!$C$9:$C$108,0))-N377,"Unavailable"))</x:f>
      </x:c>
      <x:c r="P377" s="127" t="str">
        <x:f>IF(C377="","",IFERROR(O377/INDEX('Borrowers'!$L$9:$L$108,MATCH(C377,'Borrowers'!$C$9:$C$108,0)),"Unavailable"))</x:f>
      </x:c>
      <x:c r="Q377" s="30" t="str">
        <x:f>IF(C377="","",IFERROR(IF(INDEX('Borrowers'!$Z$9:$Z$108,MATCH(C377,'Borrowers'!$C$9:$C$108,0))="Yes",1,IF(INDEX('Borrowers'!$P$9:$P$108,MATCH(C377,'Borrowers'!$C$9:$C$108,0))=0,0,MIN(1,INDEX('Borrowers'!$P$9:$P$108,MATCH(C377,'Borrowers'!$C$9:$C$108,0))*EXP(MIN(20,INDEX('Borrowers'!$V$9:$V$108,MATCH(C377,'Borrowers'!$C$9:$C$108,0))*V377))))),"Unavailable"))</x:f>
      </x:c>
      <x:c r="R377" s="30" t="str">
        <x:f>IF(C377="","",IFERROR(MIN(1,INDEX('Borrowers'!$Q$9:$Q$108,MATCH(C377,'Borrowers'!$C$9:$C$108,0))+(1-INDEX('Borrowers'!$Q$9:$Q$108,MATCH(C377,'Borrowers'!$C$9:$C$108,0)))*T377),"Unavailable"))</x:f>
      </x:c>
      <x:c r="S377" s="30" t="str">
        <x:f>IF(C377="","",IFERROR(SUMPRODUCT((Sites!$D$9:$D$108=C377)*Sites!$I$9:$I$108*Sites!$J$9:$J$108*Sites!$K$9:$K$108*(1-Sites!$L$9:$L$108)),"Unavailable"))</x:f>
      </x:c>
      <x:c r="T377" s="30" t="str">
        <x:f>IF(C377="","",IFERROR(MIN(1,(SUMPRODUCT((Sites!$D$9:$D$108=C377)*Sites!$N$9:$N$108*Sites!$J$9:$J$108*Sites!$K$9:$K$108*(1-Sites!$L$9:$L$108)))*'Scenario Paths'!I27),"Unavailable"))</x:f>
      </x:c>
      <x:c r="U377" s="9" t="str">
        <x:f>IF(C377="","",IF(OR(INDEX('Borrowers'!$AA$9:$AA$108,MATCH(C377,'Borrowers'!$C$9:$C$108,0))&lt;&gt;"Ready",COUNTIF(Sites!$D$9:$D$108,C377)=0,COUNTIFS(Sites!$D$9:$D$108,C377,Sites!$Q$9:$Q$108,"&lt;&gt;Ready")&gt;0,'Scenario Paths'!$F$6&lt;&gt;"Ready"),"Review source inputs","Ready"))</x:f>
      </x:c>
      <x:c r="V377" s="17" t="str">
        <x:f>IF(C377="","",IFERROR(MAX(-1,(G377-O377)/MAX(0.000001,G377)),"Unavailable"))</x:f>
      </x:c>
      <x:c r="W377" s="9" t="str">
        <x:f>IF(C377="","",IFERROR(INDEX('Borrowers'!$D$9:$D$108,MATCH(C377,'Borrowers'!$C$9:$C$108,0)),"Unavailable"))</x:f>
      </x:c>
    </x:row>
    <x:row r="378" ht="26" customHeight="1">
      <x:c r="A378" s="1"/>
      <x:c r="B378" s="1"/>
      <x:c r="C378" s="9" t="str">
        <x:f>IF(Borrowers!C78="","",Borrowers!C78)</x:f>
      </x:c>
      <x:c r="D378" s="3" t="n">
        <x:v>4</x:v>
      </x:c>
      <x:c r="E378" s="9" t="n">
        <x:f>Settings!$F$18+3</x:f>
        <x:v>2030</x:v>
      </x:c>
      <x:c r="F378" s="9" t="str">
        <x:f>IF(C378="","",INDEX('Borrowers'!$F$9:$F$108,MATCH(C378,'Borrowers'!$C$9:$C$108,0)))</x:f>
      </x:c>
      <x:c r="G378" s="23" t="str">
        <x:f>IF(C378="","",IFERROR(INDEX('Borrowers'!$J$9:$J$108,MATCH(C378,'Borrowers'!$C$9:$C$108,0))-INDEX('Borrowers'!$K$9:$K$108,MATCH(C378,'Borrowers'!$C$9:$C$108,0)),"Unavailable"))</x:f>
      </x:c>
      <x:c r="H378" s="23" t="str">
        <x:f>IF(C378="","",IFERROR(INDEX('Borrowers'!$I$9:$I$108,MATCH(C378,'Borrowers'!$C$9:$C$108,0))*INDEX('Borrowers'!$U$9:$U$108,MATCH(C378,'Borrowers'!$C$9:$C$108,0))*(IF(F378="Transport",'Scenario Paths'!I156,IF(F378="Technology",'Scenario Paths'!I150,IF(F378="Utilities",'Scenario Paths'!I144,IF(F378="Agriculture",'Scenario Paths'!I138,IF(F378="Manufacturing",'Scenario Paths'!I132,IF(F378="Healthcare",'Scenario Paths'!I126,IF(F378="Hospitality",'Scenario Paths'!I120,IF(F378="Property",'Scenario Paths'!I114,IF(F378="Food",'Scenario Paths'!I108,IF(F378="Logistics",'Scenario Paths'!I102,IF(F378="Solar",'Scenario Paths'!I96,IF(F378="Cement",'Scenario Paths'!I90,0))))))))))))),"Unavailable"))</x:f>
      </x:c>
      <x:c r="I378" s="23" t="str">
        <x:f>IF(C378="","",IFERROR(INDEX('Borrowers'!$R$9:$R$108,MATCH(C378,'Borrowers'!$C$9:$C$108,0))*(1-INDEX('Borrowers'!$W$9:$W$108,MATCH(C378,'Borrowers'!$C$9:$C$108,0))*'Scenario Paths'!I39)*'Scenario Paths'!I9/1000000*(1-INDEX('Borrowers'!$T$9:$T$108,MATCH(C378,'Borrowers'!$C$9:$C$108,0))),"Unavailable"))</x:f>
      </x:c>
      <x:c r="J378" s="23" t="str">
        <x:f>IF(C378="","",IFERROR(INDEX('Borrowers'!$I$9:$I$108,MATCH(C378,'Borrowers'!$C$9:$C$108,0))*INDEX('Borrowers'!$S$9:$S$108,MATCH(C378,'Borrowers'!$C$9:$C$108,0))*'Scenario Paths'!I15*(1-INDEX('Borrowers'!$T$9:$T$108,MATCH(C378,'Borrowers'!$C$9:$C$108,0))),"Unavailable"))</x:f>
      </x:c>
      <x:c r="K378" s="23" t="str">
        <x:f>IF(C378="","",IFERROR(INDEX('Borrowers'!$I$9:$I$108,MATCH(C378,'Borrowers'!$C$9:$C$108,0))*INDEX('Borrowers'!$U$9:$U$108,MATCH(C378,'Borrowers'!$C$9:$C$108,0))*'Scenario Paths'!I21*S378,"Unavailable"))</x:f>
      </x:c>
      <x:c r="L378" s="23" t="str">
        <x:f>IF(C378="","",IFERROR(SUMPRODUCT((Sites!$D$9:$D$108=C378)*Sites!$H$9:$H$108*Sites!$J$9:$J$108*Sites!$K$9:$K$108*(1-Sites!$L$9:$L$108)*(1-Sites!$M$9:$M$108))*'Scenario Paths'!I27,"Unavailable"))</x:f>
      </x:c>
      <x:c r="M378" s="23" t="str">
        <x:f>IF(C378="","",IFERROR(INDEX('Borrowers'!$J$9:$J$108,MATCH(C378,'Borrowers'!$C$9:$C$108,0))+H378-SUM(I378:L378),"Unavailable"))</x:f>
      </x:c>
      <x:c r="N378" s="23" t="str">
        <x:f>IF(C378="","",IFERROR(INDEX('Borrowers'!$I$9:$I$108,MATCH(C378,'Borrowers'!$C$9:$C$108,0))*'Scenario Paths'!I33,"Unavailable"))</x:f>
      </x:c>
      <x:c r="O378" s="23" t="str">
        <x:f>IF(C378="","",IFERROR(M378-INDEX('Borrowers'!$K$9:$K$108,MATCH(C378,'Borrowers'!$C$9:$C$108,0))-N378,"Unavailable"))</x:f>
      </x:c>
      <x:c r="P378" s="127" t="str">
        <x:f>IF(C378="","",IFERROR(O378/INDEX('Borrowers'!$L$9:$L$108,MATCH(C378,'Borrowers'!$C$9:$C$108,0)),"Unavailable"))</x:f>
      </x:c>
      <x:c r="Q378" s="30" t="str">
        <x:f>IF(C378="","",IFERROR(IF(INDEX('Borrowers'!$Z$9:$Z$108,MATCH(C378,'Borrowers'!$C$9:$C$108,0))="Yes",1,IF(INDEX('Borrowers'!$P$9:$P$108,MATCH(C378,'Borrowers'!$C$9:$C$108,0))=0,0,MIN(1,INDEX('Borrowers'!$P$9:$P$108,MATCH(C378,'Borrowers'!$C$9:$C$108,0))*EXP(MIN(20,INDEX('Borrowers'!$V$9:$V$108,MATCH(C378,'Borrowers'!$C$9:$C$108,0))*V378))))),"Unavailable"))</x:f>
      </x:c>
      <x:c r="R378" s="30" t="str">
        <x:f>IF(C378="","",IFERROR(MIN(1,INDEX('Borrowers'!$Q$9:$Q$108,MATCH(C378,'Borrowers'!$C$9:$C$108,0))+(1-INDEX('Borrowers'!$Q$9:$Q$108,MATCH(C378,'Borrowers'!$C$9:$C$108,0)))*T378),"Unavailable"))</x:f>
      </x:c>
      <x:c r="S378" s="30" t="str">
        <x:f>IF(C378="","",IFERROR(SUMPRODUCT((Sites!$D$9:$D$108=C378)*Sites!$I$9:$I$108*Sites!$J$9:$J$108*Sites!$K$9:$K$108*(1-Sites!$L$9:$L$108)),"Unavailable"))</x:f>
      </x:c>
      <x:c r="T378" s="30" t="str">
        <x:f>IF(C378="","",IFERROR(MIN(1,(SUMPRODUCT((Sites!$D$9:$D$108=C378)*Sites!$N$9:$N$108*Sites!$J$9:$J$108*Sites!$K$9:$K$108*(1-Sites!$L$9:$L$108)))*'Scenario Paths'!I27),"Unavailable"))</x:f>
      </x:c>
      <x:c r="U378" s="9" t="str">
        <x:f>IF(C378="","",IF(OR(INDEX('Borrowers'!$AA$9:$AA$108,MATCH(C378,'Borrowers'!$C$9:$C$108,0))&lt;&gt;"Ready",COUNTIF(Sites!$D$9:$D$108,C378)=0,COUNTIFS(Sites!$D$9:$D$108,C378,Sites!$Q$9:$Q$108,"&lt;&gt;Ready")&gt;0,'Scenario Paths'!$F$6&lt;&gt;"Ready"),"Review source inputs","Ready"))</x:f>
      </x:c>
      <x:c r="V378" s="17" t="str">
        <x:f>IF(C378="","",IFERROR(MAX(-1,(G378-O378)/MAX(0.000001,G378)),"Unavailable"))</x:f>
      </x:c>
      <x:c r="W378" s="9" t="str">
        <x:f>IF(C378="","",IFERROR(INDEX('Borrowers'!$D$9:$D$108,MATCH(C378,'Borrowers'!$C$9:$C$108,0)),"Unavailable"))</x:f>
      </x:c>
    </x:row>
    <x:row r="379" ht="26" customHeight="1">
      <x:c r="A379" s="1"/>
      <x:c r="B379" s="1"/>
      <x:c r="C379" s="9" t="str">
        <x:f>IF(Borrowers!C79="","",Borrowers!C79)</x:f>
      </x:c>
      <x:c r="D379" s="3" t="n">
        <x:v>4</x:v>
      </x:c>
      <x:c r="E379" s="9" t="n">
        <x:f>Settings!$F$18+3</x:f>
        <x:v>2030</x:v>
      </x:c>
      <x:c r="F379" s="9" t="str">
        <x:f>IF(C379="","",INDEX('Borrowers'!$F$9:$F$108,MATCH(C379,'Borrowers'!$C$9:$C$108,0)))</x:f>
      </x:c>
      <x:c r="G379" s="23" t="str">
        <x:f>IF(C379="","",IFERROR(INDEX('Borrowers'!$J$9:$J$108,MATCH(C379,'Borrowers'!$C$9:$C$108,0))-INDEX('Borrowers'!$K$9:$K$108,MATCH(C379,'Borrowers'!$C$9:$C$108,0)),"Unavailable"))</x:f>
      </x:c>
      <x:c r="H379" s="23" t="str">
        <x:f>IF(C379="","",IFERROR(INDEX('Borrowers'!$I$9:$I$108,MATCH(C379,'Borrowers'!$C$9:$C$108,0))*INDEX('Borrowers'!$U$9:$U$108,MATCH(C379,'Borrowers'!$C$9:$C$108,0))*(IF(F379="Transport",'Scenario Paths'!I156,IF(F379="Technology",'Scenario Paths'!I150,IF(F379="Utilities",'Scenario Paths'!I144,IF(F379="Agriculture",'Scenario Paths'!I138,IF(F379="Manufacturing",'Scenario Paths'!I132,IF(F379="Healthcare",'Scenario Paths'!I126,IF(F379="Hospitality",'Scenario Paths'!I120,IF(F379="Property",'Scenario Paths'!I114,IF(F379="Food",'Scenario Paths'!I108,IF(F379="Logistics",'Scenario Paths'!I102,IF(F379="Solar",'Scenario Paths'!I96,IF(F379="Cement",'Scenario Paths'!I90,0))))))))))))),"Unavailable"))</x:f>
      </x:c>
      <x:c r="I379" s="23" t="str">
        <x:f>IF(C379="","",IFERROR(INDEX('Borrowers'!$R$9:$R$108,MATCH(C379,'Borrowers'!$C$9:$C$108,0))*(1-INDEX('Borrowers'!$W$9:$W$108,MATCH(C379,'Borrowers'!$C$9:$C$108,0))*'Scenario Paths'!I39)*'Scenario Paths'!I9/1000000*(1-INDEX('Borrowers'!$T$9:$T$108,MATCH(C379,'Borrowers'!$C$9:$C$108,0))),"Unavailable"))</x:f>
      </x:c>
      <x:c r="J379" s="23" t="str">
        <x:f>IF(C379="","",IFERROR(INDEX('Borrowers'!$I$9:$I$108,MATCH(C379,'Borrowers'!$C$9:$C$108,0))*INDEX('Borrowers'!$S$9:$S$108,MATCH(C379,'Borrowers'!$C$9:$C$108,0))*'Scenario Paths'!I15*(1-INDEX('Borrowers'!$T$9:$T$108,MATCH(C379,'Borrowers'!$C$9:$C$108,0))),"Unavailable"))</x:f>
      </x:c>
      <x:c r="K379" s="23" t="str">
        <x:f>IF(C379="","",IFERROR(INDEX('Borrowers'!$I$9:$I$108,MATCH(C379,'Borrowers'!$C$9:$C$108,0))*INDEX('Borrowers'!$U$9:$U$108,MATCH(C379,'Borrowers'!$C$9:$C$108,0))*'Scenario Paths'!I21*S379,"Unavailable"))</x:f>
      </x:c>
      <x:c r="L379" s="23" t="str">
        <x:f>IF(C379="","",IFERROR(SUMPRODUCT((Sites!$D$9:$D$108=C379)*Sites!$H$9:$H$108*Sites!$J$9:$J$108*Sites!$K$9:$K$108*(1-Sites!$L$9:$L$108)*(1-Sites!$M$9:$M$108))*'Scenario Paths'!I27,"Unavailable"))</x:f>
      </x:c>
      <x:c r="M379" s="23" t="str">
        <x:f>IF(C379="","",IFERROR(INDEX('Borrowers'!$J$9:$J$108,MATCH(C379,'Borrowers'!$C$9:$C$108,0))+H379-SUM(I379:L379),"Unavailable"))</x:f>
      </x:c>
      <x:c r="N379" s="23" t="str">
        <x:f>IF(C379="","",IFERROR(INDEX('Borrowers'!$I$9:$I$108,MATCH(C379,'Borrowers'!$C$9:$C$108,0))*'Scenario Paths'!I33,"Unavailable"))</x:f>
      </x:c>
      <x:c r="O379" s="23" t="str">
        <x:f>IF(C379="","",IFERROR(M379-INDEX('Borrowers'!$K$9:$K$108,MATCH(C379,'Borrowers'!$C$9:$C$108,0))-N379,"Unavailable"))</x:f>
      </x:c>
      <x:c r="P379" s="127" t="str">
        <x:f>IF(C379="","",IFERROR(O379/INDEX('Borrowers'!$L$9:$L$108,MATCH(C379,'Borrowers'!$C$9:$C$108,0)),"Unavailable"))</x:f>
      </x:c>
      <x:c r="Q379" s="30" t="str">
        <x:f>IF(C379="","",IFERROR(IF(INDEX('Borrowers'!$Z$9:$Z$108,MATCH(C379,'Borrowers'!$C$9:$C$108,0))="Yes",1,IF(INDEX('Borrowers'!$P$9:$P$108,MATCH(C379,'Borrowers'!$C$9:$C$108,0))=0,0,MIN(1,INDEX('Borrowers'!$P$9:$P$108,MATCH(C379,'Borrowers'!$C$9:$C$108,0))*EXP(MIN(20,INDEX('Borrowers'!$V$9:$V$108,MATCH(C379,'Borrowers'!$C$9:$C$108,0))*V379))))),"Unavailable"))</x:f>
      </x:c>
      <x:c r="R379" s="30" t="str">
        <x:f>IF(C379="","",IFERROR(MIN(1,INDEX('Borrowers'!$Q$9:$Q$108,MATCH(C379,'Borrowers'!$C$9:$C$108,0))+(1-INDEX('Borrowers'!$Q$9:$Q$108,MATCH(C379,'Borrowers'!$C$9:$C$108,0)))*T379),"Unavailable"))</x:f>
      </x:c>
      <x:c r="S379" s="30" t="str">
        <x:f>IF(C379="","",IFERROR(SUMPRODUCT((Sites!$D$9:$D$108=C379)*Sites!$I$9:$I$108*Sites!$J$9:$J$108*Sites!$K$9:$K$108*(1-Sites!$L$9:$L$108)),"Unavailable"))</x:f>
      </x:c>
      <x:c r="T379" s="30" t="str">
        <x:f>IF(C379="","",IFERROR(MIN(1,(SUMPRODUCT((Sites!$D$9:$D$108=C379)*Sites!$N$9:$N$108*Sites!$J$9:$J$108*Sites!$K$9:$K$108*(1-Sites!$L$9:$L$108)))*'Scenario Paths'!I27),"Unavailable"))</x:f>
      </x:c>
      <x:c r="U379" s="9" t="str">
        <x:f>IF(C379="","",IF(OR(INDEX('Borrowers'!$AA$9:$AA$108,MATCH(C379,'Borrowers'!$C$9:$C$108,0))&lt;&gt;"Ready",COUNTIF(Sites!$D$9:$D$108,C379)=0,COUNTIFS(Sites!$D$9:$D$108,C379,Sites!$Q$9:$Q$108,"&lt;&gt;Ready")&gt;0,'Scenario Paths'!$F$6&lt;&gt;"Ready"),"Review source inputs","Ready"))</x:f>
      </x:c>
      <x:c r="V379" s="17" t="str">
        <x:f>IF(C379="","",IFERROR(MAX(-1,(G379-O379)/MAX(0.000001,G379)),"Unavailable"))</x:f>
      </x:c>
      <x:c r="W379" s="9" t="str">
        <x:f>IF(C379="","",IFERROR(INDEX('Borrowers'!$D$9:$D$108,MATCH(C379,'Borrowers'!$C$9:$C$108,0)),"Unavailable"))</x:f>
      </x:c>
    </x:row>
    <x:row r="380" ht="26" customHeight="1">
      <x:c r="A380" s="1"/>
      <x:c r="B380" s="1"/>
      <x:c r="C380" s="9" t="str">
        <x:f>IF(Borrowers!C80="","",Borrowers!C80)</x:f>
      </x:c>
      <x:c r="D380" s="3" t="n">
        <x:v>4</x:v>
      </x:c>
      <x:c r="E380" s="9" t="n">
        <x:f>Settings!$F$18+3</x:f>
        <x:v>2030</x:v>
      </x:c>
      <x:c r="F380" s="9" t="str">
        <x:f>IF(C380="","",INDEX('Borrowers'!$F$9:$F$108,MATCH(C380,'Borrowers'!$C$9:$C$108,0)))</x:f>
      </x:c>
      <x:c r="G380" s="23" t="str">
        <x:f>IF(C380="","",IFERROR(INDEX('Borrowers'!$J$9:$J$108,MATCH(C380,'Borrowers'!$C$9:$C$108,0))-INDEX('Borrowers'!$K$9:$K$108,MATCH(C380,'Borrowers'!$C$9:$C$108,0)),"Unavailable"))</x:f>
      </x:c>
      <x:c r="H380" s="23" t="str">
        <x:f>IF(C380="","",IFERROR(INDEX('Borrowers'!$I$9:$I$108,MATCH(C380,'Borrowers'!$C$9:$C$108,0))*INDEX('Borrowers'!$U$9:$U$108,MATCH(C380,'Borrowers'!$C$9:$C$108,0))*(IF(F380="Transport",'Scenario Paths'!I156,IF(F380="Technology",'Scenario Paths'!I150,IF(F380="Utilities",'Scenario Paths'!I144,IF(F380="Agriculture",'Scenario Paths'!I138,IF(F380="Manufacturing",'Scenario Paths'!I132,IF(F380="Healthcare",'Scenario Paths'!I126,IF(F380="Hospitality",'Scenario Paths'!I120,IF(F380="Property",'Scenario Paths'!I114,IF(F380="Food",'Scenario Paths'!I108,IF(F380="Logistics",'Scenario Paths'!I102,IF(F380="Solar",'Scenario Paths'!I96,IF(F380="Cement",'Scenario Paths'!I90,0))))))))))))),"Unavailable"))</x:f>
      </x:c>
      <x:c r="I380" s="23" t="str">
        <x:f>IF(C380="","",IFERROR(INDEX('Borrowers'!$R$9:$R$108,MATCH(C380,'Borrowers'!$C$9:$C$108,0))*(1-INDEX('Borrowers'!$W$9:$W$108,MATCH(C380,'Borrowers'!$C$9:$C$108,0))*'Scenario Paths'!I39)*'Scenario Paths'!I9/1000000*(1-INDEX('Borrowers'!$T$9:$T$108,MATCH(C380,'Borrowers'!$C$9:$C$108,0))),"Unavailable"))</x:f>
      </x:c>
      <x:c r="J380" s="23" t="str">
        <x:f>IF(C380="","",IFERROR(INDEX('Borrowers'!$I$9:$I$108,MATCH(C380,'Borrowers'!$C$9:$C$108,0))*INDEX('Borrowers'!$S$9:$S$108,MATCH(C380,'Borrowers'!$C$9:$C$108,0))*'Scenario Paths'!I15*(1-INDEX('Borrowers'!$T$9:$T$108,MATCH(C380,'Borrowers'!$C$9:$C$108,0))),"Unavailable"))</x:f>
      </x:c>
      <x:c r="K380" s="23" t="str">
        <x:f>IF(C380="","",IFERROR(INDEX('Borrowers'!$I$9:$I$108,MATCH(C380,'Borrowers'!$C$9:$C$108,0))*INDEX('Borrowers'!$U$9:$U$108,MATCH(C380,'Borrowers'!$C$9:$C$108,0))*'Scenario Paths'!I21*S380,"Unavailable"))</x:f>
      </x:c>
      <x:c r="L380" s="23" t="str">
        <x:f>IF(C380="","",IFERROR(SUMPRODUCT((Sites!$D$9:$D$108=C380)*Sites!$H$9:$H$108*Sites!$J$9:$J$108*Sites!$K$9:$K$108*(1-Sites!$L$9:$L$108)*(1-Sites!$M$9:$M$108))*'Scenario Paths'!I27,"Unavailable"))</x:f>
      </x:c>
      <x:c r="M380" s="23" t="str">
        <x:f>IF(C380="","",IFERROR(INDEX('Borrowers'!$J$9:$J$108,MATCH(C380,'Borrowers'!$C$9:$C$108,0))+H380-SUM(I380:L380),"Unavailable"))</x:f>
      </x:c>
      <x:c r="N380" s="23" t="str">
        <x:f>IF(C380="","",IFERROR(INDEX('Borrowers'!$I$9:$I$108,MATCH(C380,'Borrowers'!$C$9:$C$108,0))*'Scenario Paths'!I33,"Unavailable"))</x:f>
      </x:c>
      <x:c r="O380" s="23" t="str">
        <x:f>IF(C380="","",IFERROR(M380-INDEX('Borrowers'!$K$9:$K$108,MATCH(C380,'Borrowers'!$C$9:$C$108,0))-N380,"Unavailable"))</x:f>
      </x:c>
      <x:c r="P380" s="127" t="str">
        <x:f>IF(C380="","",IFERROR(O380/INDEX('Borrowers'!$L$9:$L$108,MATCH(C380,'Borrowers'!$C$9:$C$108,0)),"Unavailable"))</x:f>
      </x:c>
      <x:c r="Q380" s="30" t="str">
        <x:f>IF(C380="","",IFERROR(IF(INDEX('Borrowers'!$Z$9:$Z$108,MATCH(C380,'Borrowers'!$C$9:$C$108,0))="Yes",1,IF(INDEX('Borrowers'!$P$9:$P$108,MATCH(C380,'Borrowers'!$C$9:$C$108,0))=0,0,MIN(1,INDEX('Borrowers'!$P$9:$P$108,MATCH(C380,'Borrowers'!$C$9:$C$108,0))*EXP(MIN(20,INDEX('Borrowers'!$V$9:$V$108,MATCH(C380,'Borrowers'!$C$9:$C$108,0))*V380))))),"Unavailable"))</x:f>
      </x:c>
      <x:c r="R380" s="30" t="str">
        <x:f>IF(C380="","",IFERROR(MIN(1,INDEX('Borrowers'!$Q$9:$Q$108,MATCH(C380,'Borrowers'!$C$9:$C$108,0))+(1-INDEX('Borrowers'!$Q$9:$Q$108,MATCH(C380,'Borrowers'!$C$9:$C$108,0)))*T380),"Unavailable"))</x:f>
      </x:c>
      <x:c r="S380" s="30" t="str">
        <x:f>IF(C380="","",IFERROR(SUMPRODUCT((Sites!$D$9:$D$108=C380)*Sites!$I$9:$I$108*Sites!$J$9:$J$108*Sites!$K$9:$K$108*(1-Sites!$L$9:$L$108)),"Unavailable"))</x:f>
      </x:c>
      <x:c r="T380" s="30" t="str">
        <x:f>IF(C380="","",IFERROR(MIN(1,(SUMPRODUCT((Sites!$D$9:$D$108=C380)*Sites!$N$9:$N$108*Sites!$J$9:$J$108*Sites!$K$9:$K$108*(1-Sites!$L$9:$L$108)))*'Scenario Paths'!I27),"Unavailable"))</x:f>
      </x:c>
      <x:c r="U380" s="9" t="str">
        <x:f>IF(C380="","",IF(OR(INDEX('Borrowers'!$AA$9:$AA$108,MATCH(C380,'Borrowers'!$C$9:$C$108,0))&lt;&gt;"Ready",COUNTIF(Sites!$D$9:$D$108,C380)=0,COUNTIFS(Sites!$D$9:$D$108,C380,Sites!$Q$9:$Q$108,"&lt;&gt;Ready")&gt;0,'Scenario Paths'!$F$6&lt;&gt;"Ready"),"Review source inputs","Ready"))</x:f>
      </x:c>
      <x:c r="V380" s="17" t="str">
        <x:f>IF(C380="","",IFERROR(MAX(-1,(G380-O380)/MAX(0.000001,G380)),"Unavailable"))</x:f>
      </x:c>
      <x:c r="W380" s="9" t="str">
        <x:f>IF(C380="","",IFERROR(INDEX('Borrowers'!$D$9:$D$108,MATCH(C380,'Borrowers'!$C$9:$C$108,0)),"Unavailable"))</x:f>
      </x:c>
    </x:row>
    <x:row r="381" ht="26" customHeight="1">
      <x:c r="A381" s="1"/>
      <x:c r="B381" s="1"/>
      <x:c r="C381" s="9" t="str">
        <x:f>IF(Borrowers!C81="","",Borrowers!C81)</x:f>
      </x:c>
      <x:c r="D381" s="3" t="n">
        <x:v>4</x:v>
      </x:c>
      <x:c r="E381" s="9" t="n">
        <x:f>Settings!$F$18+3</x:f>
        <x:v>2030</x:v>
      </x:c>
      <x:c r="F381" s="9" t="str">
        <x:f>IF(C381="","",INDEX('Borrowers'!$F$9:$F$108,MATCH(C381,'Borrowers'!$C$9:$C$108,0)))</x:f>
      </x:c>
      <x:c r="G381" s="23" t="str">
        <x:f>IF(C381="","",IFERROR(INDEX('Borrowers'!$J$9:$J$108,MATCH(C381,'Borrowers'!$C$9:$C$108,0))-INDEX('Borrowers'!$K$9:$K$108,MATCH(C381,'Borrowers'!$C$9:$C$108,0)),"Unavailable"))</x:f>
      </x:c>
      <x:c r="H381" s="23" t="str">
        <x:f>IF(C381="","",IFERROR(INDEX('Borrowers'!$I$9:$I$108,MATCH(C381,'Borrowers'!$C$9:$C$108,0))*INDEX('Borrowers'!$U$9:$U$108,MATCH(C381,'Borrowers'!$C$9:$C$108,0))*(IF(F381="Transport",'Scenario Paths'!I156,IF(F381="Technology",'Scenario Paths'!I150,IF(F381="Utilities",'Scenario Paths'!I144,IF(F381="Agriculture",'Scenario Paths'!I138,IF(F381="Manufacturing",'Scenario Paths'!I132,IF(F381="Healthcare",'Scenario Paths'!I126,IF(F381="Hospitality",'Scenario Paths'!I120,IF(F381="Property",'Scenario Paths'!I114,IF(F381="Food",'Scenario Paths'!I108,IF(F381="Logistics",'Scenario Paths'!I102,IF(F381="Solar",'Scenario Paths'!I96,IF(F381="Cement",'Scenario Paths'!I90,0))))))))))))),"Unavailable"))</x:f>
      </x:c>
      <x:c r="I381" s="23" t="str">
        <x:f>IF(C381="","",IFERROR(INDEX('Borrowers'!$R$9:$R$108,MATCH(C381,'Borrowers'!$C$9:$C$108,0))*(1-INDEX('Borrowers'!$W$9:$W$108,MATCH(C381,'Borrowers'!$C$9:$C$108,0))*'Scenario Paths'!I39)*'Scenario Paths'!I9/1000000*(1-INDEX('Borrowers'!$T$9:$T$108,MATCH(C381,'Borrowers'!$C$9:$C$108,0))),"Unavailable"))</x:f>
      </x:c>
      <x:c r="J381" s="23" t="str">
        <x:f>IF(C381="","",IFERROR(INDEX('Borrowers'!$I$9:$I$108,MATCH(C381,'Borrowers'!$C$9:$C$108,0))*INDEX('Borrowers'!$S$9:$S$108,MATCH(C381,'Borrowers'!$C$9:$C$108,0))*'Scenario Paths'!I15*(1-INDEX('Borrowers'!$T$9:$T$108,MATCH(C381,'Borrowers'!$C$9:$C$108,0))),"Unavailable"))</x:f>
      </x:c>
      <x:c r="K381" s="23" t="str">
        <x:f>IF(C381="","",IFERROR(INDEX('Borrowers'!$I$9:$I$108,MATCH(C381,'Borrowers'!$C$9:$C$108,0))*INDEX('Borrowers'!$U$9:$U$108,MATCH(C381,'Borrowers'!$C$9:$C$108,0))*'Scenario Paths'!I21*S381,"Unavailable"))</x:f>
      </x:c>
      <x:c r="L381" s="23" t="str">
        <x:f>IF(C381="","",IFERROR(SUMPRODUCT((Sites!$D$9:$D$108=C381)*Sites!$H$9:$H$108*Sites!$J$9:$J$108*Sites!$K$9:$K$108*(1-Sites!$L$9:$L$108)*(1-Sites!$M$9:$M$108))*'Scenario Paths'!I27,"Unavailable"))</x:f>
      </x:c>
      <x:c r="M381" s="23" t="str">
        <x:f>IF(C381="","",IFERROR(INDEX('Borrowers'!$J$9:$J$108,MATCH(C381,'Borrowers'!$C$9:$C$108,0))+H381-SUM(I381:L381),"Unavailable"))</x:f>
      </x:c>
      <x:c r="N381" s="23" t="str">
        <x:f>IF(C381="","",IFERROR(INDEX('Borrowers'!$I$9:$I$108,MATCH(C381,'Borrowers'!$C$9:$C$108,0))*'Scenario Paths'!I33,"Unavailable"))</x:f>
      </x:c>
      <x:c r="O381" s="23" t="str">
        <x:f>IF(C381="","",IFERROR(M381-INDEX('Borrowers'!$K$9:$K$108,MATCH(C381,'Borrowers'!$C$9:$C$108,0))-N381,"Unavailable"))</x:f>
      </x:c>
      <x:c r="P381" s="127" t="str">
        <x:f>IF(C381="","",IFERROR(O381/INDEX('Borrowers'!$L$9:$L$108,MATCH(C381,'Borrowers'!$C$9:$C$108,0)),"Unavailable"))</x:f>
      </x:c>
      <x:c r="Q381" s="30" t="str">
        <x:f>IF(C381="","",IFERROR(IF(INDEX('Borrowers'!$Z$9:$Z$108,MATCH(C381,'Borrowers'!$C$9:$C$108,0))="Yes",1,IF(INDEX('Borrowers'!$P$9:$P$108,MATCH(C381,'Borrowers'!$C$9:$C$108,0))=0,0,MIN(1,INDEX('Borrowers'!$P$9:$P$108,MATCH(C381,'Borrowers'!$C$9:$C$108,0))*EXP(MIN(20,INDEX('Borrowers'!$V$9:$V$108,MATCH(C381,'Borrowers'!$C$9:$C$108,0))*V381))))),"Unavailable"))</x:f>
      </x:c>
      <x:c r="R381" s="30" t="str">
        <x:f>IF(C381="","",IFERROR(MIN(1,INDEX('Borrowers'!$Q$9:$Q$108,MATCH(C381,'Borrowers'!$C$9:$C$108,0))+(1-INDEX('Borrowers'!$Q$9:$Q$108,MATCH(C381,'Borrowers'!$C$9:$C$108,0)))*T381),"Unavailable"))</x:f>
      </x:c>
      <x:c r="S381" s="30" t="str">
        <x:f>IF(C381="","",IFERROR(SUMPRODUCT((Sites!$D$9:$D$108=C381)*Sites!$I$9:$I$108*Sites!$J$9:$J$108*Sites!$K$9:$K$108*(1-Sites!$L$9:$L$108)),"Unavailable"))</x:f>
      </x:c>
      <x:c r="T381" s="30" t="str">
        <x:f>IF(C381="","",IFERROR(MIN(1,(SUMPRODUCT((Sites!$D$9:$D$108=C381)*Sites!$N$9:$N$108*Sites!$J$9:$J$108*Sites!$K$9:$K$108*(1-Sites!$L$9:$L$108)))*'Scenario Paths'!I27),"Unavailable"))</x:f>
      </x:c>
      <x:c r="U381" s="9" t="str">
        <x:f>IF(C381="","",IF(OR(INDEX('Borrowers'!$AA$9:$AA$108,MATCH(C381,'Borrowers'!$C$9:$C$108,0))&lt;&gt;"Ready",COUNTIF(Sites!$D$9:$D$108,C381)=0,COUNTIFS(Sites!$D$9:$D$108,C381,Sites!$Q$9:$Q$108,"&lt;&gt;Ready")&gt;0,'Scenario Paths'!$F$6&lt;&gt;"Ready"),"Review source inputs","Ready"))</x:f>
      </x:c>
      <x:c r="V381" s="17" t="str">
        <x:f>IF(C381="","",IFERROR(MAX(-1,(G381-O381)/MAX(0.000001,G381)),"Unavailable"))</x:f>
      </x:c>
      <x:c r="W381" s="9" t="str">
        <x:f>IF(C381="","",IFERROR(INDEX('Borrowers'!$D$9:$D$108,MATCH(C381,'Borrowers'!$C$9:$C$108,0)),"Unavailable"))</x:f>
      </x:c>
    </x:row>
    <x:row r="382" ht="26" customHeight="1">
      <x:c r="A382" s="1"/>
      <x:c r="B382" s="1"/>
      <x:c r="C382" s="9" t="str">
        <x:f>IF(Borrowers!C82="","",Borrowers!C82)</x:f>
      </x:c>
      <x:c r="D382" s="3" t="n">
        <x:v>4</x:v>
      </x:c>
      <x:c r="E382" s="9" t="n">
        <x:f>Settings!$F$18+3</x:f>
        <x:v>2030</x:v>
      </x:c>
      <x:c r="F382" s="9" t="str">
        <x:f>IF(C382="","",INDEX('Borrowers'!$F$9:$F$108,MATCH(C382,'Borrowers'!$C$9:$C$108,0)))</x:f>
      </x:c>
      <x:c r="G382" s="23" t="str">
        <x:f>IF(C382="","",IFERROR(INDEX('Borrowers'!$J$9:$J$108,MATCH(C382,'Borrowers'!$C$9:$C$108,0))-INDEX('Borrowers'!$K$9:$K$108,MATCH(C382,'Borrowers'!$C$9:$C$108,0)),"Unavailable"))</x:f>
      </x:c>
      <x:c r="H382" s="23" t="str">
        <x:f>IF(C382="","",IFERROR(INDEX('Borrowers'!$I$9:$I$108,MATCH(C382,'Borrowers'!$C$9:$C$108,0))*INDEX('Borrowers'!$U$9:$U$108,MATCH(C382,'Borrowers'!$C$9:$C$108,0))*(IF(F382="Transport",'Scenario Paths'!I156,IF(F382="Technology",'Scenario Paths'!I150,IF(F382="Utilities",'Scenario Paths'!I144,IF(F382="Agriculture",'Scenario Paths'!I138,IF(F382="Manufacturing",'Scenario Paths'!I132,IF(F382="Healthcare",'Scenario Paths'!I126,IF(F382="Hospitality",'Scenario Paths'!I120,IF(F382="Property",'Scenario Paths'!I114,IF(F382="Food",'Scenario Paths'!I108,IF(F382="Logistics",'Scenario Paths'!I102,IF(F382="Solar",'Scenario Paths'!I96,IF(F382="Cement",'Scenario Paths'!I90,0))))))))))))),"Unavailable"))</x:f>
      </x:c>
      <x:c r="I382" s="23" t="str">
        <x:f>IF(C382="","",IFERROR(INDEX('Borrowers'!$R$9:$R$108,MATCH(C382,'Borrowers'!$C$9:$C$108,0))*(1-INDEX('Borrowers'!$W$9:$W$108,MATCH(C382,'Borrowers'!$C$9:$C$108,0))*'Scenario Paths'!I39)*'Scenario Paths'!I9/1000000*(1-INDEX('Borrowers'!$T$9:$T$108,MATCH(C382,'Borrowers'!$C$9:$C$108,0))),"Unavailable"))</x:f>
      </x:c>
      <x:c r="J382" s="23" t="str">
        <x:f>IF(C382="","",IFERROR(INDEX('Borrowers'!$I$9:$I$108,MATCH(C382,'Borrowers'!$C$9:$C$108,0))*INDEX('Borrowers'!$S$9:$S$108,MATCH(C382,'Borrowers'!$C$9:$C$108,0))*'Scenario Paths'!I15*(1-INDEX('Borrowers'!$T$9:$T$108,MATCH(C382,'Borrowers'!$C$9:$C$108,0))),"Unavailable"))</x:f>
      </x:c>
      <x:c r="K382" s="23" t="str">
        <x:f>IF(C382="","",IFERROR(INDEX('Borrowers'!$I$9:$I$108,MATCH(C382,'Borrowers'!$C$9:$C$108,0))*INDEX('Borrowers'!$U$9:$U$108,MATCH(C382,'Borrowers'!$C$9:$C$108,0))*'Scenario Paths'!I21*S382,"Unavailable"))</x:f>
      </x:c>
      <x:c r="L382" s="23" t="str">
        <x:f>IF(C382="","",IFERROR(SUMPRODUCT((Sites!$D$9:$D$108=C382)*Sites!$H$9:$H$108*Sites!$J$9:$J$108*Sites!$K$9:$K$108*(1-Sites!$L$9:$L$108)*(1-Sites!$M$9:$M$108))*'Scenario Paths'!I27,"Unavailable"))</x:f>
      </x:c>
      <x:c r="M382" s="23" t="str">
        <x:f>IF(C382="","",IFERROR(INDEX('Borrowers'!$J$9:$J$108,MATCH(C382,'Borrowers'!$C$9:$C$108,0))+H382-SUM(I382:L382),"Unavailable"))</x:f>
      </x:c>
      <x:c r="N382" s="23" t="str">
        <x:f>IF(C382="","",IFERROR(INDEX('Borrowers'!$I$9:$I$108,MATCH(C382,'Borrowers'!$C$9:$C$108,0))*'Scenario Paths'!I33,"Unavailable"))</x:f>
      </x:c>
      <x:c r="O382" s="23" t="str">
        <x:f>IF(C382="","",IFERROR(M382-INDEX('Borrowers'!$K$9:$K$108,MATCH(C382,'Borrowers'!$C$9:$C$108,0))-N382,"Unavailable"))</x:f>
      </x:c>
      <x:c r="P382" s="127" t="str">
        <x:f>IF(C382="","",IFERROR(O382/INDEX('Borrowers'!$L$9:$L$108,MATCH(C382,'Borrowers'!$C$9:$C$108,0)),"Unavailable"))</x:f>
      </x:c>
      <x:c r="Q382" s="30" t="str">
        <x:f>IF(C382="","",IFERROR(IF(INDEX('Borrowers'!$Z$9:$Z$108,MATCH(C382,'Borrowers'!$C$9:$C$108,0))="Yes",1,IF(INDEX('Borrowers'!$P$9:$P$108,MATCH(C382,'Borrowers'!$C$9:$C$108,0))=0,0,MIN(1,INDEX('Borrowers'!$P$9:$P$108,MATCH(C382,'Borrowers'!$C$9:$C$108,0))*EXP(MIN(20,INDEX('Borrowers'!$V$9:$V$108,MATCH(C382,'Borrowers'!$C$9:$C$108,0))*V382))))),"Unavailable"))</x:f>
      </x:c>
      <x:c r="R382" s="30" t="str">
        <x:f>IF(C382="","",IFERROR(MIN(1,INDEX('Borrowers'!$Q$9:$Q$108,MATCH(C382,'Borrowers'!$C$9:$C$108,0))+(1-INDEX('Borrowers'!$Q$9:$Q$108,MATCH(C382,'Borrowers'!$C$9:$C$108,0)))*T382),"Unavailable"))</x:f>
      </x:c>
      <x:c r="S382" s="30" t="str">
        <x:f>IF(C382="","",IFERROR(SUMPRODUCT((Sites!$D$9:$D$108=C382)*Sites!$I$9:$I$108*Sites!$J$9:$J$108*Sites!$K$9:$K$108*(1-Sites!$L$9:$L$108)),"Unavailable"))</x:f>
      </x:c>
      <x:c r="T382" s="30" t="str">
        <x:f>IF(C382="","",IFERROR(MIN(1,(SUMPRODUCT((Sites!$D$9:$D$108=C382)*Sites!$N$9:$N$108*Sites!$J$9:$J$108*Sites!$K$9:$K$108*(1-Sites!$L$9:$L$108)))*'Scenario Paths'!I27),"Unavailable"))</x:f>
      </x:c>
      <x:c r="U382" s="9" t="str">
        <x:f>IF(C382="","",IF(OR(INDEX('Borrowers'!$AA$9:$AA$108,MATCH(C382,'Borrowers'!$C$9:$C$108,0))&lt;&gt;"Ready",COUNTIF(Sites!$D$9:$D$108,C382)=0,COUNTIFS(Sites!$D$9:$D$108,C382,Sites!$Q$9:$Q$108,"&lt;&gt;Ready")&gt;0,'Scenario Paths'!$F$6&lt;&gt;"Ready"),"Review source inputs","Ready"))</x:f>
      </x:c>
      <x:c r="V382" s="17" t="str">
        <x:f>IF(C382="","",IFERROR(MAX(-1,(G382-O382)/MAX(0.000001,G382)),"Unavailable"))</x:f>
      </x:c>
      <x:c r="W382" s="9" t="str">
        <x:f>IF(C382="","",IFERROR(INDEX('Borrowers'!$D$9:$D$108,MATCH(C382,'Borrowers'!$C$9:$C$108,0)),"Unavailable"))</x:f>
      </x:c>
    </x:row>
    <x:row r="383" ht="26" customHeight="1">
      <x:c r="A383" s="1"/>
      <x:c r="B383" s="1"/>
      <x:c r="C383" s="9" t="str">
        <x:f>IF(Borrowers!C83="","",Borrowers!C83)</x:f>
      </x:c>
      <x:c r="D383" s="3" t="n">
        <x:v>4</x:v>
      </x:c>
      <x:c r="E383" s="9" t="n">
        <x:f>Settings!$F$18+3</x:f>
        <x:v>2030</x:v>
      </x:c>
      <x:c r="F383" s="9" t="str">
        <x:f>IF(C383="","",INDEX('Borrowers'!$F$9:$F$108,MATCH(C383,'Borrowers'!$C$9:$C$108,0)))</x:f>
      </x:c>
      <x:c r="G383" s="23" t="str">
        <x:f>IF(C383="","",IFERROR(INDEX('Borrowers'!$J$9:$J$108,MATCH(C383,'Borrowers'!$C$9:$C$108,0))-INDEX('Borrowers'!$K$9:$K$108,MATCH(C383,'Borrowers'!$C$9:$C$108,0)),"Unavailable"))</x:f>
      </x:c>
      <x:c r="H383" s="23" t="str">
        <x:f>IF(C383="","",IFERROR(INDEX('Borrowers'!$I$9:$I$108,MATCH(C383,'Borrowers'!$C$9:$C$108,0))*INDEX('Borrowers'!$U$9:$U$108,MATCH(C383,'Borrowers'!$C$9:$C$108,0))*(IF(F383="Transport",'Scenario Paths'!I156,IF(F383="Technology",'Scenario Paths'!I150,IF(F383="Utilities",'Scenario Paths'!I144,IF(F383="Agriculture",'Scenario Paths'!I138,IF(F383="Manufacturing",'Scenario Paths'!I132,IF(F383="Healthcare",'Scenario Paths'!I126,IF(F383="Hospitality",'Scenario Paths'!I120,IF(F383="Property",'Scenario Paths'!I114,IF(F383="Food",'Scenario Paths'!I108,IF(F383="Logistics",'Scenario Paths'!I102,IF(F383="Solar",'Scenario Paths'!I96,IF(F383="Cement",'Scenario Paths'!I90,0))))))))))))),"Unavailable"))</x:f>
      </x:c>
      <x:c r="I383" s="23" t="str">
        <x:f>IF(C383="","",IFERROR(INDEX('Borrowers'!$R$9:$R$108,MATCH(C383,'Borrowers'!$C$9:$C$108,0))*(1-INDEX('Borrowers'!$W$9:$W$108,MATCH(C383,'Borrowers'!$C$9:$C$108,0))*'Scenario Paths'!I39)*'Scenario Paths'!I9/1000000*(1-INDEX('Borrowers'!$T$9:$T$108,MATCH(C383,'Borrowers'!$C$9:$C$108,0))),"Unavailable"))</x:f>
      </x:c>
      <x:c r="J383" s="23" t="str">
        <x:f>IF(C383="","",IFERROR(INDEX('Borrowers'!$I$9:$I$108,MATCH(C383,'Borrowers'!$C$9:$C$108,0))*INDEX('Borrowers'!$S$9:$S$108,MATCH(C383,'Borrowers'!$C$9:$C$108,0))*'Scenario Paths'!I15*(1-INDEX('Borrowers'!$T$9:$T$108,MATCH(C383,'Borrowers'!$C$9:$C$108,0))),"Unavailable"))</x:f>
      </x:c>
      <x:c r="K383" s="23" t="str">
        <x:f>IF(C383="","",IFERROR(INDEX('Borrowers'!$I$9:$I$108,MATCH(C383,'Borrowers'!$C$9:$C$108,0))*INDEX('Borrowers'!$U$9:$U$108,MATCH(C383,'Borrowers'!$C$9:$C$108,0))*'Scenario Paths'!I21*S383,"Unavailable"))</x:f>
      </x:c>
      <x:c r="L383" s="23" t="str">
        <x:f>IF(C383="","",IFERROR(SUMPRODUCT((Sites!$D$9:$D$108=C383)*Sites!$H$9:$H$108*Sites!$J$9:$J$108*Sites!$K$9:$K$108*(1-Sites!$L$9:$L$108)*(1-Sites!$M$9:$M$108))*'Scenario Paths'!I27,"Unavailable"))</x:f>
      </x:c>
      <x:c r="M383" s="23" t="str">
        <x:f>IF(C383="","",IFERROR(INDEX('Borrowers'!$J$9:$J$108,MATCH(C383,'Borrowers'!$C$9:$C$108,0))+H383-SUM(I383:L383),"Unavailable"))</x:f>
      </x:c>
      <x:c r="N383" s="23" t="str">
        <x:f>IF(C383="","",IFERROR(INDEX('Borrowers'!$I$9:$I$108,MATCH(C383,'Borrowers'!$C$9:$C$108,0))*'Scenario Paths'!I33,"Unavailable"))</x:f>
      </x:c>
      <x:c r="O383" s="23" t="str">
        <x:f>IF(C383="","",IFERROR(M383-INDEX('Borrowers'!$K$9:$K$108,MATCH(C383,'Borrowers'!$C$9:$C$108,0))-N383,"Unavailable"))</x:f>
      </x:c>
      <x:c r="P383" s="127" t="str">
        <x:f>IF(C383="","",IFERROR(O383/INDEX('Borrowers'!$L$9:$L$108,MATCH(C383,'Borrowers'!$C$9:$C$108,0)),"Unavailable"))</x:f>
      </x:c>
      <x:c r="Q383" s="30" t="str">
        <x:f>IF(C383="","",IFERROR(IF(INDEX('Borrowers'!$Z$9:$Z$108,MATCH(C383,'Borrowers'!$C$9:$C$108,0))="Yes",1,IF(INDEX('Borrowers'!$P$9:$P$108,MATCH(C383,'Borrowers'!$C$9:$C$108,0))=0,0,MIN(1,INDEX('Borrowers'!$P$9:$P$108,MATCH(C383,'Borrowers'!$C$9:$C$108,0))*EXP(MIN(20,INDEX('Borrowers'!$V$9:$V$108,MATCH(C383,'Borrowers'!$C$9:$C$108,0))*V383))))),"Unavailable"))</x:f>
      </x:c>
      <x:c r="R383" s="30" t="str">
        <x:f>IF(C383="","",IFERROR(MIN(1,INDEX('Borrowers'!$Q$9:$Q$108,MATCH(C383,'Borrowers'!$C$9:$C$108,0))+(1-INDEX('Borrowers'!$Q$9:$Q$108,MATCH(C383,'Borrowers'!$C$9:$C$108,0)))*T383),"Unavailable"))</x:f>
      </x:c>
      <x:c r="S383" s="30" t="str">
        <x:f>IF(C383="","",IFERROR(SUMPRODUCT((Sites!$D$9:$D$108=C383)*Sites!$I$9:$I$108*Sites!$J$9:$J$108*Sites!$K$9:$K$108*(1-Sites!$L$9:$L$108)),"Unavailable"))</x:f>
      </x:c>
      <x:c r="T383" s="30" t="str">
        <x:f>IF(C383="","",IFERROR(MIN(1,(SUMPRODUCT((Sites!$D$9:$D$108=C383)*Sites!$N$9:$N$108*Sites!$J$9:$J$108*Sites!$K$9:$K$108*(1-Sites!$L$9:$L$108)))*'Scenario Paths'!I27),"Unavailable"))</x:f>
      </x:c>
      <x:c r="U383" s="9" t="str">
        <x:f>IF(C383="","",IF(OR(INDEX('Borrowers'!$AA$9:$AA$108,MATCH(C383,'Borrowers'!$C$9:$C$108,0))&lt;&gt;"Ready",COUNTIF(Sites!$D$9:$D$108,C383)=0,COUNTIFS(Sites!$D$9:$D$108,C383,Sites!$Q$9:$Q$108,"&lt;&gt;Ready")&gt;0,'Scenario Paths'!$F$6&lt;&gt;"Ready"),"Review source inputs","Ready"))</x:f>
      </x:c>
      <x:c r="V383" s="17" t="str">
        <x:f>IF(C383="","",IFERROR(MAX(-1,(G383-O383)/MAX(0.000001,G383)),"Unavailable"))</x:f>
      </x:c>
      <x:c r="W383" s="9" t="str">
        <x:f>IF(C383="","",IFERROR(INDEX('Borrowers'!$D$9:$D$108,MATCH(C383,'Borrowers'!$C$9:$C$108,0)),"Unavailable"))</x:f>
      </x:c>
    </x:row>
    <x:row r="384" ht="26" customHeight="1">
      <x:c r="A384" s="1"/>
      <x:c r="B384" s="1"/>
      <x:c r="C384" s="9" t="str">
        <x:f>IF(Borrowers!C84="","",Borrowers!C84)</x:f>
      </x:c>
      <x:c r="D384" s="3" t="n">
        <x:v>4</x:v>
      </x:c>
      <x:c r="E384" s="9" t="n">
        <x:f>Settings!$F$18+3</x:f>
        <x:v>2030</x:v>
      </x:c>
      <x:c r="F384" s="9" t="str">
        <x:f>IF(C384="","",INDEX('Borrowers'!$F$9:$F$108,MATCH(C384,'Borrowers'!$C$9:$C$108,0)))</x:f>
      </x:c>
      <x:c r="G384" s="23" t="str">
        <x:f>IF(C384="","",IFERROR(INDEX('Borrowers'!$J$9:$J$108,MATCH(C384,'Borrowers'!$C$9:$C$108,0))-INDEX('Borrowers'!$K$9:$K$108,MATCH(C384,'Borrowers'!$C$9:$C$108,0)),"Unavailable"))</x:f>
      </x:c>
      <x:c r="H384" s="23" t="str">
        <x:f>IF(C384="","",IFERROR(INDEX('Borrowers'!$I$9:$I$108,MATCH(C384,'Borrowers'!$C$9:$C$108,0))*INDEX('Borrowers'!$U$9:$U$108,MATCH(C384,'Borrowers'!$C$9:$C$108,0))*(IF(F384="Transport",'Scenario Paths'!I156,IF(F384="Technology",'Scenario Paths'!I150,IF(F384="Utilities",'Scenario Paths'!I144,IF(F384="Agriculture",'Scenario Paths'!I138,IF(F384="Manufacturing",'Scenario Paths'!I132,IF(F384="Healthcare",'Scenario Paths'!I126,IF(F384="Hospitality",'Scenario Paths'!I120,IF(F384="Property",'Scenario Paths'!I114,IF(F384="Food",'Scenario Paths'!I108,IF(F384="Logistics",'Scenario Paths'!I102,IF(F384="Solar",'Scenario Paths'!I96,IF(F384="Cement",'Scenario Paths'!I90,0))))))))))))),"Unavailable"))</x:f>
      </x:c>
      <x:c r="I384" s="23" t="str">
        <x:f>IF(C384="","",IFERROR(INDEX('Borrowers'!$R$9:$R$108,MATCH(C384,'Borrowers'!$C$9:$C$108,0))*(1-INDEX('Borrowers'!$W$9:$W$108,MATCH(C384,'Borrowers'!$C$9:$C$108,0))*'Scenario Paths'!I39)*'Scenario Paths'!I9/1000000*(1-INDEX('Borrowers'!$T$9:$T$108,MATCH(C384,'Borrowers'!$C$9:$C$108,0))),"Unavailable"))</x:f>
      </x:c>
      <x:c r="J384" s="23" t="str">
        <x:f>IF(C384="","",IFERROR(INDEX('Borrowers'!$I$9:$I$108,MATCH(C384,'Borrowers'!$C$9:$C$108,0))*INDEX('Borrowers'!$S$9:$S$108,MATCH(C384,'Borrowers'!$C$9:$C$108,0))*'Scenario Paths'!I15*(1-INDEX('Borrowers'!$T$9:$T$108,MATCH(C384,'Borrowers'!$C$9:$C$108,0))),"Unavailable"))</x:f>
      </x:c>
      <x:c r="K384" s="23" t="str">
        <x:f>IF(C384="","",IFERROR(INDEX('Borrowers'!$I$9:$I$108,MATCH(C384,'Borrowers'!$C$9:$C$108,0))*INDEX('Borrowers'!$U$9:$U$108,MATCH(C384,'Borrowers'!$C$9:$C$108,0))*'Scenario Paths'!I21*S384,"Unavailable"))</x:f>
      </x:c>
      <x:c r="L384" s="23" t="str">
        <x:f>IF(C384="","",IFERROR(SUMPRODUCT((Sites!$D$9:$D$108=C384)*Sites!$H$9:$H$108*Sites!$J$9:$J$108*Sites!$K$9:$K$108*(1-Sites!$L$9:$L$108)*(1-Sites!$M$9:$M$108))*'Scenario Paths'!I27,"Unavailable"))</x:f>
      </x:c>
      <x:c r="M384" s="23" t="str">
        <x:f>IF(C384="","",IFERROR(INDEX('Borrowers'!$J$9:$J$108,MATCH(C384,'Borrowers'!$C$9:$C$108,0))+H384-SUM(I384:L384),"Unavailable"))</x:f>
      </x:c>
      <x:c r="N384" s="23" t="str">
        <x:f>IF(C384="","",IFERROR(INDEX('Borrowers'!$I$9:$I$108,MATCH(C384,'Borrowers'!$C$9:$C$108,0))*'Scenario Paths'!I33,"Unavailable"))</x:f>
      </x:c>
      <x:c r="O384" s="23" t="str">
        <x:f>IF(C384="","",IFERROR(M384-INDEX('Borrowers'!$K$9:$K$108,MATCH(C384,'Borrowers'!$C$9:$C$108,0))-N384,"Unavailable"))</x:f>
      </x:c>
      <x:c r="P384" s="127" t="str">
        <x:f>IF(C384="","",IFERROR(O384/INDEX('Borrowers'!$L$9:$L$108,MATCH(C384,'Borrowers'!$C$9:$C$108,0)),"Unavailable"))</x:f>
      </x:c>
      <x:c r="Q384" s="30" t="str">
        <x:f>IF(C384="","",IFERROR(IF(INDEX('Borrowers'!$Z$9:$Z$108,MATCH(C384,'Borrowers'!$C$9:$C$108,0))="Yes",1,IF(INDEX('Borrowers'!$P$9:$P$108,MATCH(C384,'Borrowers'!$C$9:$C$108,0))=0,0,MIN(1,INDEX('Borrowers'!$P$9:$P$108,MATCH(C384,'Borrowers'!$C$9:$C$108,0))*EXP(MIN(20,INDEX('Borrowers'!$V$9:$V$108,MATCH(C384,'Borrowers'!$C$9:$C$108,0))*V384))))),"Unavailable"))</x:f>
      </x:c>
      <x:c r="R384" s="30" t="str">
        <x:f>IF(C384="","",IFERROR(MIN(1,INDEX('Borrowers'!$Q$9:$Q$108,MATCH(C384,'Borrowers'!$C$9:$C$108,0))+(1-INDEX('Borrowers'!$Q$9:$Q$108,MATCH(C384,'Borrowers'!$C$9:$C$108,0)))*T384),"Unavailable"))</x:f>
      </x:c>
      <x:c r="S384" s="30" t="str">
        <x:f>IF(C384="","",IFERROR(SUMPRODUCT((Sites!$D$9:$D$108=C384)*Sites!$I$9:$I$108*Sites!$J$9:$J$108*Sites!$K$9:$K$108*(1-Sites!$L$9:$L$108)),"Unavailable"))</x:f>
      </x:c>
      <x:c r="T384" s="30" t="str">
        <x:f>IF(C384="","",IFERROR(MIN(1,(SUMPRODUCT((Sites!$D$9:$D$108=C384)*Sites!$N$9:$N$108*Sites!$J$9:$J$108*Sites!$K$9:$K$108*(1-Sites!$L$9:$L$108)))*'Scenario Paths'!I27),"Unavailable"))</x:f>
      </x:c>
      <x:c r="U384" s="9" t="str">
        <x:f>IF(C384="","",IF(OR(INDEX('Borrowers'!$AA$9:$AA$108,MATCH(C384,'Borrowers'!$C$9:$C$108,0))&lt;&gt;"Ready",COUNTIF(Sites!$D$9:$D$108,C384)=0,COUNTIFS(Sites!$D$9:$D$108,C384,Sites!$Q$9:$Q$108,"&lt;&gt;Ready")&gt;0,'Scenario Paths'!$F$6&lt;&gt;"Ready"),"Review source inputs","Ready"))</x:f>
      </x:c>
      <x:c r="V384" s="17" t="str">
        <x:f>IF(C384="","",IFERROR(MAX(-1,(G384-O384)/MAX(0.000001,G384)),"Unavailable"))</x:f>
      </x:c>
      <x:c r="W384" s="9" t="str">
        <x:f>IF(C384="","",IFERROR(INDEX('Borrowers'!$D$9:$D$108,MATCH(C384,'Borrowers'!$C$9:$C$108,0)),"Unavailable"))</x:f>
      </x:c>
    </x:row>
    <x:row r="385" ht="26" customHeight="1">
      <x:c r="A385" s="1"/>
      <x:c r="B385" s="1"/>
      <x:c r="C385" s="9" t="str">
        <x:f>IF(Borrowers!C85="","",Borrowers!C85)</x:f>
      </x:c>
      <x:c r="D385" s="3" t="n">
        <x:v>4</x:v>
      </x:c>
      <x:c r="E385" s="9" t="n">
        <x:f>Settings!$F$18+3</x:f>
        <x:v>2030</x:v>
      </x:c>
      <x:c r="F385" s="9" t="str">
        <x:f>IF(C385="","",INDEX('Borrowers'!$F$9:$F$108,MATCH(C385,'Borrowers'!$C$9:$C$108,0)))</x:f>
      </x:c>
      <x:c r="G385" s="23" t="str">
        <x:f>IF(C385="","",IFERROR(INDEX('Borrowers'!$J$9:$J$108,MATCH(C385,'Borrowers'!$C$9:$C$108,0))-INDEX('Borrowers'!$K$9:$K$108,MATCH(C385,'Borrowers'!$C$9:$C$108,0)),"Unavailable"))</x:f>
      </x:c>
      <x:c r="H385" s="23" t="str">
        <x:f>IF(C385="","",IFERROR(INDEX('Borrowers'!$I$9:$I$108,MATCH(C385,'Borrowers'!$C$9:$C$108,0))*INDEX('Borrowers'!$U$9:$U$108,MATCH(C385,'Borrowers'!$C$9:$C$108,0))*(IF(F385="Transport",'Scenario Paths'!I156,IF(F385="Technology",'Scenario Paths'!I150,IF(F385="Utilities",'Scenario Paths'!I144,IF(F385="Agriculture",'Scenario Paths'!I138,IF(F385="Manufacturing",'Scenario Paths'!I132,IF(F385="Healthcare",'Scenario Paths'!I126,IF(F385="Hospitality",'Scenario Paths'!I120,IF(F385="Property",'Scenario Paths'!I114,IF(F385="Food",'Scenario Paths'!I108,IF(F385="Logistics",'Scenario Paths'!I102,IF(F385="Solar",'Scenario Paths'!I96,IF(F385="Cement",'Scenario Paths'!I90,0))))))))))))),"Unavailable"))</x:f>
      </x:c>
      <x:c r="I385" s="23" t="str">
        <x:f>IF(C385="","",IFERROR(INDEX('Borrowers'!$R$9:$R$108,MATCH(C385,'Borrowers'!$C$9:$C$108,0))*(1-INDEX('Borrowers'!$W$9:$W$108,MATCH(C385,'Borrowers'!$C$9:$C$108,0))*'Scenario Paths'!I39)*'Scenario Paths'!I9/1000000*(1-INDEX('Borrowers'!$T$9:$T$108,MATCH(C385,'Borrowers'!$C$9:$C$108,0))),"Unavailable"))</x:f>
      </x:c>
      <x:c r="J385" s="23" t="str">
        <x:f>IF(C385="","",IFERROR(INDEX('Borrowers'!$I$9:$I$108,MATCH(C385,'Borrowers'!$C$9:$C$108,0))*INDEX('Borrowers'!$S$9:$S$108,MATCH(C385,'Borrowers'!$C$9:$C$108,0))*'Scenario Paths'!I15*(1-INDEX('Borrowers'!$T$9:$T$108,MATCH(C385,'Borrowers'!$C$9:$C$108,0))),"Unavailable"))</x:f>
      </x:c>
      <x:c r="K385" s="23" t="str">
        <x:f>IF(C385="","",IFERROR(INDEX('Borrowers'!$I$9:$I$108,MATCH(C385,'Borrowers'!$C$9:$C$108,0))*INDEX('Borrowers'!$U$9:$U$108,MATCH(C385,'Borrowers'!$C$9:$C$108,0))*'Scenario Paths'!I21*S385,"Unavailable"))</x:f>
      </x:c>
      <x:c r="L385" s="23" t="str">
        <x:f>IF(C385="","",IFERROR(SUMPRODUCT((Sites!$D$9:$D$108=C385)*Sites!$H$9:$H$108*Sites!$J$9:$J$108*Sites!$K$9:$K$108*(1-Sites!$L$9:$L$108)*(1-Sites!$M$9:$M$108))*'Scenario Paths'!I27,"Unavailable"))</x:f>
      </x:c>
      <x:c r="M385" s="23" t="str">
        <x:f>IF(C385="","",IFERROR(INDEX('Borrowers'!$J$9:$J$108,MATCH(C385,'Borrowers'!$C$9:$C$108,0))+H385-SUM(I385:L385),"Unavailable"))</x:f>
      </x:c>
      <x:c r="N385" s="23" t="str">
        <x:f>IF(C385="","",IFERROR(INDEX('Borrowers'!$I$9:$I$108,MATCH(C385,'Borrowers'!$C$9:$C$108,0))*'Scenario Paths'!I33,"Unavailable"))</x:f>
      </x:c>
      <x:c r="O385" s="23" t="str">
        <x:f>IF(C385="","",IFERROR(M385-INDEX('Borrowers'!$K$9:$K$108,MATCH(C385,'Borrowers'!$C$9:$C$108,0))-N385,"Unavailable"))</x:f>
      </x:c>
      <x:c r="P385" s="127" t="str">
        <x:f>IF(C385="","",IFERROR(O385/INDEX('Borrowers'!$L$9:$L$108,MATCH(C385,'Borrowers'!$C$9:$C$108,0)),"Unavailable"))</x:f>
      </x:c>
      <x:c r="Q385" s="30" t="str">
        <x:f>IF(C385="","",IFERROR(IF(INDEX('Borrowers'!$Z$9:$Z$108,MATCH(C385,'Borrowers'!$C$9:$C$108,0))="Yes",1,IF(INDEX('Borrowers'!$P$9:$P$108,MATCH(C385,'Borrowers'!$C$9:$C$108,0))=0,0,MIN(1,INDEX('Borrowers'!$P$9:$P$108,MATCH(C385,'Borrowers'!$C$9:$C$108,0))*EXP(MIN(20,INDEX('Borrowers'!$V$9:$V$108,MATCH(C385,'Borrowers'!$C$9:$C$108,0))*V385))))),"Unavailable"))</x:f>
      </x:c>
      <x:c r="R385" s="30" t="str">
        <x:f>IF(C385="","",IFERROR(MIN(1,INDEX('Borrowers'!$Q$9:$Q$108,MATCH(C385,'Borrowers'!$C$9:$C$108,0))+(1-INDEX('Borrowers'!$Q$9:$Q$108,MATCH(C385,'Borrowers'!$C$9:$C$108,0)))*T385),"Unavailable"))</x:f>
      </x:c>
      <x:c r="S385" s="30" t="str">
        <x:f>IF(C385="","",IFERROR(SUMPRODUCT((Sites!$D$9:$D$108=C385)*Sites!$I$9:$I$108*Sites!$J$9:$J$108*Sites!$K$9:$K$108*(1-Sites!$L$9:$L$108)),"Unavailable"))</x:f>
      </x:c>
      <x:c r="T385" s="30" t="str">
        <x:f>IF(C385="","",IFERROR(MIN(1,(SUMPRODUCT((Sites!$D$9:$D$108=C385)*Sites!$N$9:$N$108*Sites!$J$9:$J$108*Sites!$K$9:$K$108*(1-Sites!$L$9:$L$108)))*'Scenario Paths'!I27),"Unavailable"))</x:f>
      </x:c>
      <x:c r="U385" s="9" t="str">
        <x:f>IF(C385="","",IF(OR(INDEX('Borrowers'!$AA$9:$AA$108,MATCH(C385,'Borrowers'!$C$9:$C$108,0))&lt;&gt;"Ready",COUNTIF(Sites!$D$9:$D$108,C385)=0,COUNTIFS(Sites!$D$9:$D$108,C385,Sites!$Q$9:$Q$108,"&lt;&gt;Ready")&gt;0,'Scenario Paths'!$F$6&lt;&gt;"Ready"),"Review source inputs","Ready"))</x:f>
      </x:c>
      <x:c r="V385" s="17" t="str">
        <x:f>IF(C385="","",IFERROR(MAX(-1,(G385-O385)/MAX(0.000001,G385)),"Unavailable"))</x:f>
      </x:c>
      <x:c r="W385" s="9" t="str">
        <x:f>IF(C385="","",IFERROR(INDEX('Borrowers'!$D$9:$D$108,MATCH(C385,'Borrowers'!$C$9:$C$108,0)),"Unavailable"))</x:f>
      </x:c>
    </x:row>
    <x:row r="386" ht="26" customHeight="1">
      <x:c r="A386" s="1"/>
      <x:c r="B386" s="1"/>
      <x:c r="C386" s="9" t="str">
        <x:f>IF(Borrowers!C86="","",Borrowers!C86)</x:f>
      </x:c>
      <x:c r="D386" s="3" t="n">
        <x:v>4</x:v>
      </x:c>
      <x:c r="E386" s="9" t="n">
        <x:f>Settings!$F$18+3</x:f>
        <x:v>2030</x:v>
      </x:c>
      <x:c r="F386" s="9" t="str">
        <x:f>IF(C386="","",INDEX('Borrowers'!$F$9:$F$108,MATCH(C386,'Borrowers'!$C$9:$C$108,0)))</x:f>
      </x:c>
      <x:c r="G386" s="23" t="str">
        <x:f>IF(C386="","",IFERROR(INDEX('Borrowers'!$J$9:$J$108,MATCH(C386,'Borrowers'!$C$9:$C$108,0))-INDEX('Borrowers'!$K$9:$K$108,MATCH(C386,'Borrowers'!$C$9:$C$108,0)),"Unavailable"))</x:f>
      </x:c>
      <x:c r="H386" s="23" t="str">
        <x:f>IF(C386="","",IFERROR(INDEX('Borrowers'!$I$9:$I$108,MATCH(C386,'Borrowers'!$C$9:$C$108,0))*INDEX('Borrowers'!$U$9:$U$108,MATCH(C386,'Borrowers'!$C$9:$C$108,0))*(IF(F386="Transport",'Scenario Paths'!I156,IF(F386="Technology",'Scenario Paths'!I150,IF(F386="Utilities",'Scenario Paths'!I144,IF(F386="Agriculture",'Scenario Paths'!I138,IF(F386="Manufacturing",'Scenario Paths'!I132,IF(F386="Healthcare",'Scenario Paths'!I126,IF(F386="Hospitality",'Scenario Paths'!I120,IF(F386="Property",'Scenario Paths'!I114,IF(F386="Food",'Scenario Paths'!I108,IF(F386="Logistics",'Scenario Paths'!I102,IF(F386="Solar",'Scenario Paths'!I96,IF(F386="Cement",'Scenario Paths'!I90,0))))))))))))),"Unavailable"))</x:f>
      </x:c>
      <x:c r="I386" s="23" t="str">
        <x:f>IF(C386="","",IFERROR(INDEX('Borrowers'!$R$9:$R$108,MATCH(C386,'Borrowers'!$C$9:$C$108,0))*(1-INDEX('Borrowers'!$W$9:$W$108,MATCH(C386,'Borrowers'!$C$9:$C$108,0))*'Scenario Paths'!I39)*'Scenario Paths'!I9/1000000*(1-INDEX('Borrowers'!$T$9:$T$108,MATCH(C386,'Borrowers'!$C$9:$C$108,0))),"Unavailable"))</x:f>
      </x:c>
      <x:c r="J386" s="23" t="str">
        <x:f>IF(C386="","",IFERROR(INDEX('Borrowers'!$I$9:$I$108,MATCH(C386,'Borrowers'!$C$9:$C$108,0))*INDEX('Borrowers'!$S$9:$S$108,MATCH(C386,'Borrowers'!$C$9:$C$108,0))*'Scenario Paths'!I15*(1-INDEX('Borrowers'!$T$9:$T$108,MATCH(C386,'Borrowers'!$C$9:$C$108,0))),"Unavailable"))</x:f>
      </x:c>
      <x:c r="K386" s="23" t="str">
        <x:f>IF(C386="","",IFERROR(INDEX('Borrowers'!$I$9:$I$108,MATCH(C386,'Borrowers'!$C$9:$C$108,0))*INDEX('Borrowers'!$U$9:$U$108,MATCH(C386,'Borrowers'!$C$9:$C$108,0))*'Scenario Paths'!I21*S386,"Unavailable"))</x:f>
      </x:c>
      <x:c r="L386" s="23" t="str">
        <x:f>IF(C386="","",IFERROR(SUMPRODUCT((Sites!$D$9:$D$108=C386)*Sites!$H$9:$H$108*Sites!$J$9:$J$108*Sites!$K$9:$K$108*(1-Sites!$L$9:$L$108)*(1-Sites!$M$9:$M$108))*'Scenario Paths'!I27,"Unavailable"))</x:f>
      </x:c>
      <x:c r="M386" s="23" t="str">
        <x:f>IF(C386="","",IFERROR(INDEX('Borrowers'!$J$9:$J$108,MATCH(C386,'Borrowers'!$C$9:$C$108,0))+H386-SUM(I386:L386),"Unavailable"))</x:f>
      </x:c>
      <x:c r="N386" s="23" t="str">
        <x:f>IF(C386="","",IFERROR(INDEX('Borrowers'!$I$9:$I$108,MATCH(C386,'Borrowers'!$C$9:$C$108,0))*'Scenario Paths'!I33,"Unavailable"))</x:f>
      </x:c>
      <x:c r="O386" s="23" t="str">
        <x:f>IF(C386="","",IFERROR(M386-INDEX('Borrowers'!$K$9:$K$108,MATCH(C386,'Borrowers'!$C$9:$C$108,0))-N386,"Unavailable"))</x:f>
      </x:c>
      <x:c r="P386" s="127" t="str">
        <x:f>IF(C386="","",IFERROR(O386/INDEX('Borrowers'!$L$9:$L$108,MATCH(C386,'Borrowers'!$C$9:$C$108,0)),"Unavailable"))</x:f>
      </x:c>
      <x:c r="Q386" s="30" t="str">
        <x:f>IF(C386="","",IFERROR(IF(INDEX('Borrowers'!$Z$9:$Z$108,MATCH(C386,'Borrowers'!$C$9:$C$108,0))="Yes",1,IF(INDEX('Borrowers'!$P$9:$P$108,MATCH(C386,'Borrowers'!$C$9:$C$108,0))=0,0,MIN(1,INDEX('Borrowers'!$P$9:$P$108,MATCH(C386,'Borrowers'!$C$9:$C$108,0))*EXP(MIN(20,INDEX('Borrowers'!$V$9:$V$108,MATCH(C386,'Borrowers'!$C$9:$C$108,0))*V386))))),"Unavailable"))</x:f>
      </x:c>
      <x:c r="R386" s="30" t="str">
        <x:f>IF(C386="","",IFERROR(MIN(1,INDEX('Borrowers'!$Q$9:$Q$108,MATCH(C386,'Borrowers'!$C$9:$C$108,0))+(1-INDEX('Borrowers'!$Q$9:$Q$108,MATCH(C386,'Borrowers'!$C$9:$C$108,0)))*T386),"Unavailable"))</x:f>
      </x:c>
      <x:c r="S386" s="30" t="str">
        <x:f>IF(C386="","",IFERROR(SUMPRODUCT((Sites!$D$9:$D$108=C386)*Sites!$I$9:$I$108*Sites!$J$9:$J$108*Sites!$K$9:$K$108*(1-Sites!$L$9:$L$108)),"Unavailable"))</x:f>
      </x:c>
      <x:c r="T386" s="30" t="str">
        <x:f>IF(C386="","",IFERROR(MIN(1,(SUMPRODUCT((Sites!$D$9:$D$108=C386)*Sites!$N$9:$N$108*Sites!$J$9:$J$108*Sites!$K$9:$K$108*(1-Sites!$L$9:$L$108)))*'Scenario Paths'!I27),"Unavailable"))</x:f>
      </x:c>
      <x:c r="U386" s="9" t="str">
        <x:f>IF(C386="","",IF(OR(INDEX('Borrowers'!$AA$9:$AA$108,MATCH(C386,'Borrowers'!$C$9:$C$108,0))&lt;&gt;"Ready",COUNTIF(Sites!$D$9:$D$108,C386)=0,COUNTIFS(Sites!$D$9:$D$108,C386,Sites!$Q$9:$Q$108,"&lt;&gt;Ready")&gt;0,'Scenario Paths'!$F$6&lt;&gt;"Ready"),"Review source inputs","Ready"))</x:f>
      </x:c>
      <x:c r="V386" s="17" t="str">
        <x:f>IF(C386="","",IFERROR(MAX(-1,(G386-O386)/MAX(0.000001,G386)),"Unavailable"))</x:f>
      </x:c>
      <x:c r="W386" s="9" t="str">
        <x:f>IF(C386="","",IFERROR(INDEX('Borrowers'!$D$9:$D$108,MATCH(C386,'Borrowers'!$C$9:$C$108,0)),"Unavailable"))</x:f>
      </x:c>
    </x:row>
    <x:row r="387" ht="26" customHeight="1">
      <x:c r="A387" s="1"/>
      <x:c r="B387" s="1"/>
      <x:c r="C387" s="9" t="str">
        <x:f>IF(Borrowers!C87="","",Borrowers!C87)</x:f>
      </x:c>
      <x:c r="D387" s="3" t="n">
        <x:v>4</x:v>
      </x:c>
      <x:c r="E387" s="9" t="n">
        <x:f>Settings!$F$18+3</x:f>
        <x:v>2030</x:v>
      </x:c>
      <x:c r="F387" s="9" t="str">
        <x:f>IF(C387="","",INDEX('Borrowers'!$F$9:$F$108,MATCH(C387,'Borrowers'!$C$9:$C$108,0)))</x:f>
      </x:c>
      <x:c r="G387" s="23" t="str">
        <x:f>IF(C387="","",IFERROR(INDEX('Borrowers'!$J$9:$J$108,MATCH(C387,'Borrowers'!$C$9:$C$108,0))-INDEX('Borrowers'!$K$9:$K$108,MATCH(C387,'Borrowers'!$C$9:$C$108,0)),"Unavailable"))</x:f>
      </x:c>
      <x:c r="H387" s="23" t="str">
        <x:f>IF(C387="","",IFERROR(INDEX('Borrowers'!$I$9:$I$108,MATCH(C387,'Borrowers'!$C$9:$C$108,0))*INDEX('Borrowers'!$U$9:$U$108,MATCH(C387,'Borrowers'!$C$9:$C$108,0))*(IF(F387="Transport",'Scenario Paths'!I156,IF(F387="Technology",'Scenario Paths'!I150,IF(F387="Utilities",'Scenario Paths'!I144,IF(F387="Agriculture",'Scenario Paths'!I138,IF(F387="Manufacturing",'Scenario Paths'!I132,IF(F387="Healthcare",'Scenario Paths'!I126,IF(F387="Hospitality",'Scenario Paths'!I120,IF(F387="Property",'Scenario Paths'!I114,IF(F387="Food",'Scenario Paths'!I108,IF(F387="Logistics",'Scenario Paths'!I102,IF(F387="Solar",'Scenario Paths'!I96,IF(F387="Cement",'Scenario Paths'!I90,0))))))))))))),"Unavailable"))</x:f>
      </x:c>
      <x:c r="I387" s="23" t="str">
        <x:f>IF(C387="","",IFERROR(INDEX('Borrowers'!$R$9:$R$108,MATCH(C387,'Borrowers'!$C$9:$C$108,0))*(1-INDEX('Borrowers'!$W$9:$W$108,MATCH(C387,'Borrowers'!$C$9:$C$108,0))*'Scenario Paths'!I39)*'Scenario Paths'!I9/1000000*(1-INDEX('Borrowers'!$T$9:$T$108,MATCH(C387,'Borrowers'!$C$9:$C$108,0))),"Unavailable"))</x:f>
      </x:c>
      <x:c r="J387" s="23" t="str">
        <x:f>IF(C387="","",IFERROR(INDEX('Borrowers'!$I$9:$I$108,MATCH(C387,'Borrowers'!$C$9:$C$108,0))*INDEX('Borrowers'!$S$9:$S$108,MATCH(C387,'Borrowers'!$C$9:$C$108,0))*'Scenario Paths'!I15*(1-INDEX('Borrowers'!$T$9:$T$108,MATCH(C387,'Borrowers'!$C$9:$C$108,0))),"Unavailable"))</x:f>
      </x:c>
      <x:c r="K387" s="23" t="str">
        <x:f>IF(C387="","",IFERROR(INDEX('Borrowers'!$I$9:$I$108,MATCH(C387,'Borrowers'!$C$9:$C$108,0))*INDEX('Borrowers'!$U$9:$U$108,MATCH(C387,'Borrowers'!$C$9:$C$108,0))*'Scenario Paths'!I21*S387,"Unavailable"))</x:f>
      </x:c>
      <x:c r="L387" s="23" t="str">
        <x:f>IF(C387="","",IFERROR(SUMPRODUCT((Sites!$D$9:$D$108=C387)*Sites!$H$9:$H$108*Sites!$J$9:$J$108*Sites!$K$9:$K$108*(1-Sites!$L$9:$L$108)*(1-Sites!$M$9:$M$108))*'Scenario Paths'!I27,"Unavailable"))</x:f>
      </x:c>
      <x:c r="M387" s="23" t="str">
        <x:f>IF(C387="","",IFERROR(INDEX('Borrowers'!$J$9:$J$108,MATCH(C387,'Borrowers'!$C$9:$C$108,0))+H387-SUM(I387:L387),"Unavailable"))</x:f>
      </x:c>
      <x:c r="N387" s="23" t="str">
        <x:f>IF(C387="","",IFERROR(INDEX('Borrowers'!$I$9:$I$108,MATCH(C387,'Borrowers'!$C$9:$C$108,0))*'Scenario Paths'!I33,"Unavailable"))</x:f>
      </x:c>
      <x:c r="O387" s="23" t="str">
        <x:f>IF(C387="","",IFERROR(M387-INDEX('Borrowers'!$K$9:$K$108,MATCH(C387,'Borrowers'!$C$9:$C$108,0))-N387,"Unavailable"))</x:f>
      </x:c>
      <x:c r="P387" s="127" t="str">
        <x:f>IF(C387="","",IFERROR(O387/INDEX('Borrowers'!$L$9:$L$108,MATCH(C387,'Borrowers'!$C$9:$C$108,0)),"Unavailable"))</x:f>
      </x:c>
      <x:c r="Q387" s="30" t="str">
        <x:f>IF(C387="","",IFERROR(IF(INDEX('Borrowers'!$Z$9:$Z$108,MATCH(C387,'Borrowers'!$C$9:$C$108,0))="Yes",1,IF(INDEX('Borrowers'!$P$9:$P$108,MATCH(C387,'Borrowers'!$C$9:$C$108,0))=0,0,MIN(1,INDEX('Borrowers'!$P$9:$P$108,MATCH(C387,'Borrowers'!$C$9:$C$108,0))*EXP(MIN(20,INDEX('Borrowers'!$V$9:$V$108,MATCH(C387,'Borrowers'!$C$9:$C$108,0))*V387))))),"Unavailable"))</x:f>
      </x:c>
      <x:c r="R387" s="30" t="str">
        <x:f>IF(C387="","",IFERROR(MIN(1,INDEX('Borrowers'!$Q$9:$Q$108,MATCH(C387,'Borrowers'!$C$9:$C$108,0))+(1-INDEX('Borrowers'!$Q$9:$Q$108,MATCH(C387,'Borrowers'!$C$9:$C$108,0)))*T387),"Unavailable"))</x:f>
      </x:c>
      <x:c r="S387" s="30" t="str">
        <x:f>IF(C387="","",IFERROR(SUMPRODUCT((Sites!$D$9:$D$108=C387)*Sites!$I$9:$I$108*Sites!$J$9:$J$108*Sites!$K$9:$K$108*(1-Sites!$L$9:$L$108)),"Unavailable"))</x:f>
      </x:c>
      <x:c r="T387" s="30" t="str">
        <x:f>IF(C387="","",IFERROR(MIN(1,(SUMPRODUCT((Sites!$D$9:$D$108=C387)*Sites!$N$9:$N$108*Sites!$J$9:$J$108*Sites!$K$9:$K$108*(1-Sites!$L$9:$L$108)))*'Scenario Paths'!I27),"Unavailable"))</x:f>
      </x:c>
      <x:c r="U387" s="9" t="str">
        <x:f>IF(C387="","",IF(OR(INDEX('Borrowers'!$AA$9:$AA$108,MATCH(C387,'Borrowers'!$C$9:$C$108,0))&lt;&gt;"Ready",COUNTIF(Sites!$D$9:$D$108,C387)=0,COUNTIFS(Sites!$D$9:$D$108,C387,Sites!$Q$9:$Q$108,"&lt;&gt;Ready")&gt;0,'Scenario Paths'!$F$6&lt;&gt;"Ready"),"Review source inputs","Ready"))</x:f>
      </x:c>
      <x:c r="V387" s="17" t="str">
        <x:f>IF(C387="","",IFERROR(MAX(-1,(G387-O387)/MAX(0.000001,G387)),"Unavailable"))</x:f>
      </x:c>
      <x:c r="W387" s="9" t="str">
        <x:f>IF(C387="","",IFERROR(INDEX('Borrowers'!$D$9:$D$108,MATCH(C387,'Borrowers'!$C$9:$C$108,0)),"Unavailable"))</x:f>
      </x:c>
    </x:row>
    <x:row r="388" ht="26" customHeight="1">
      <x:c r="A388" s="1"/>
      <x:c r="B388" s="1"/>
      <x:c r="C388" s="9" t="str">
        <x:f>IF(Borrowers!C88="","",Borrowers!C88)</x:f>
      </x:c>
      <x:c r="D388" s="3" t="n">
        <x:v>4</x:v>
      </x:c>
      <x:c r="E388" s="9" t="n">
        <x:f>Settings!$F$18+3</x:f>
        <x:v>2030</x:v>
      </x:c>
      <x:c r="F388" s="9" t="str">
        <x:f>IF(C388="","",INDEX('Borrowers'!$F$9:$F$108,MATCH(C388,'Borrowers'!$C$9:$C$108,0)))</x:f>
      </x:c>
      <x:c r="G388" s="23" t="str">
        <x:f>IF(C388="","",IFERROR(INDEX('Borrowers'!$J$9:$J$108,MATCH(C388,'Borrowers'!$C$9:$C$108,0))-INDEX('Borrowers'!$K$9:$K$108,MATCH(C388,'Borrowers'!$C$9:$C$108,0)),"Unavailable"))</x:f>
      </x:c>
      <x:c r="H388" s="23" t="str">
        <x:f>IF(C388="","",IFERROR(INDEX('Borrowers'!$I$9:$I$108,MATCH(C388,'Borrowers'!$C$9:$C$108,0))*INDEX('Borrowers'!$U$9:$U$108,MATCH(C388,'Borrowers'!$C$9:$C$108,0))*(IF(F388="Transport",'Scenario Paths'!I156,IF(F388="Technology",'Scenario Paths'!I150,IF(F388="Utilities",'Scenario Paths'!I144,IF(F388="Agriculture",'Scenario Paths'!I138,IF(F388="Manufacturing",'Scenario Paths'!I132,IF(F388="Healthcare",'Scenario Paths'!I126,IF(F388="Hospitality",'Scenario Paths'!I120,IF(F388="Property",'Scenario Paths'!I114,IF(F388="Food",'Scenario Paths'!I108,IF(F388="Logistics",'Scenario Paths'!I102,IF(F388="Solar",'Scenario Paths'!I96,IF(F388="Cement",'Scenario Paths'!I90,0))))))))))))),"Unavailable"))</x:f>
      </x:c>
      <x:c r="I388" s="23" t="str">
        <x:f>IF(C388="","",IFERROR(INDEX('Borrowers'!$R$9:$R$108,MATCH(C388,'Borrowers'!$C$9:$C$108,0))*(1-INDEX('Borrowers'!$W$9:$W$108,MATCH(C388,'Borrowers'!$C$9:$C$108,0))*'Scenario Paths'!I39)*'Scenario Paths'!I9/1000000*(1-INDEX('Borrowers'!$T$9:$T$108,MATCH(C388,'Borrowers'!$C$9:$C$108,0))),"Unavailable"))</x:f>
      </x:c>
      <x:c r="J388" s="23" t="str">
        <x:f>IF(C388="","",IFERROR(INDEX('Borrowers'!$I$9:$I$108,MATCH(C388,'Borrowers'!$C$9:$C$108,0))*INDEX('Borrowers'!$S$9:$S$108,MATCH(C388,'Borrowers'!$C$9:$C$108,0))*'Scenario Paths'!I15*(1-INDEX('Borrowers'!$T$9:$T$108,MATCH(C388,'Borrowers'!$C$9:$C$108,0))),"Unavailable"))</x:f>
      </x:c>
      <x:c r="K388" s="23" t="str">
        <x:f>IF(C388="","",IFERROR(INDEX('Borrowers'!$I$9:$I$108,MATCH(C388,'Borrowers'!$C$9:$C$108,0))*INDEX('Borrowers'!$U$9:$U$108,MATCH(C388,'Borrowers'!$C$9:$C$108,0))*'Scenario Paths'!I21*S388,"Unavailable"))</x:f>
      </x:c>
      <x:c r="L388" s="23" t="str">
        <x:f>IF(C388="","",IFERROR(SUMPRODUCT((Sites!$D$9:$D$108=C388)*Sites!$H$9:$H$108*Sites!$J$9:$J$108*Sites!$K$9:$K$108*(1-Sites!$L$9:$L$108)*(1-Sites!$M$9:$M$108))*'Scenario Paths'!I27,"Unavailable"))</x:f>
      </x:c>
      <x:c r="M388" s="23" t="str">
        <x:f>IF(C388="","",IFERROR(INDEX('Borrowers'!$J$9:$J$108,MATCH(C388,'Borrowers'!$C$9:$C$108,0))+H388-SUM(I388:L388),"Unavailable"))</x:f>
      </x:c>
      <x:c r="N388" s="23" t="str">
        <x:f>IF(C388="","",IFERROR(INDEX('Borrowers'!$I$9:$I$108,MATCH(C388,'Borrowers'!$C$9:$C$108,0))*'Scenario Paths'!I33,"Unavailable"))</x:f>
      </x:c>
      <x:c r="O388" s="23" t="str">
        <x:f>IF(C388="","",IFERROR(M388-INDEX('Borrowers'!$K$9:$K$108,MATCH(C388,'Borrowers'!$C$9:$C$108,0))-N388,"Unavailable"))</x:f>
      </x:c>
      <x:c r="P388" s="127" t="str">
        <x:f>IF(C388="","",IFERROR(O388/INDEX('Borrowers'!$L$9:$L$108,MATCH(C388,'Borrowers'!$C$9:$C$108,0)),"Unavailable"))</x:f>
      </x:c>
      <x:c r="Q388" s="30" t="str">
        <x:f>IF(C388="","",IFERROR(IF(INDEX('Borrowers'!$Z$9:$Z$108,MATCH(C388,'Borrowers'!$C$9:$C$108,0))="Yes",1,IF(INDEX('Borrowers'!$P$9:$P$108,MATCH(C388,'Borrowers'!$C$9:$C$108,0))=0,0,MIN(1,INDEX('Borrowers'!$P$9:$P$108,MATCH(C388,'Borrowers'!$C$9:$C$108,0))*EXP(MIN(20,INDEX('Borrowers'!$V$9:$V$108,MATCH(C388,'Borrowers'!$C$9:$C$108,0))*V388))))),"Unavailable"))</x:f>
      </x:c>
      <x:c r="R388" s="30" t="str">
        <x:f>IF(C388="","",IFERROR(MIN(1,INDEX('Borrowers'!$Q$9:$Q$108,MATCH(C388,'Borrowers'!$C$9:$C$108,0))+(1-INDEX('Borrowers'!$Q$9:$Q$108,MATCH(C388,'Borrowers'!$C$9:$C$108,0)))*T388),"Unavailable"))</x:f>
      </x:c>
      <x:c r="S388" s="30" t="str">
        <x:f>IF(C388="","",IFERROR(SUMPRODUCT((Sites!$D$9:$D$108=C388)*Sites!$I$9:$I$108*Sites!$J$9:$J$108*Sites!$K$9:$K$108*(1-Sites!$L$9:$L$108)),"Unavailable"))</x:f>
      </x:c>
      <x:c r="T388" s="30" t="str">
        <x:f>IF(C388="","",IFERROR(MIN(1,(SUMPRODUCT((Sites!$D$9:$D$108=C388)*Sites!$N$9:$N$108*Sites!$J$9:$J$108*Sites!$K$9:$K$108*(1-Sites!$L$9:$L$108)))*'Scenario Paths'!I27),"Unavailable"))</x:f>
      </x:c>
      <x:c r="U388" s="9" t="str">
        <x:f>IF(C388="","",IF(OR(INDEX('Borrowers'!$AA$9:$AA$108,MATCH(C388,'Borrowers'!$C$9:$C$108,0))&lt;&gt;"Ready",COUNTIF(Sites!$D$9:$D$108,C388)=0,COUNTIFS(Sites!$D$9:$D$108,C388,Sites!$Q$9:$Q$108,"&lt;&gt;Ready")&gt;0,'Scenario Paths'!$F$6&lt;&gt;"Ready"),"Review source inputs","Ready"))</x:f>
      </x:c>
      <x:c r="V388" s="17" t="str">
        <x:f>IF(C388="","",IFERROR(MAX(-1,(G388-O388)/MAX(0.000001,G388)),"Unavailable"))</x:f>
      </x:c>
      <x:c r="W388" s="9" t="str">
        <x:f>IF(C388="","",IFERROR(INDEX('Borrowers'!$D$9:$D$108,MATCH(C388,'Borrowers'!$C$9:$C$108,0)),"Unavailable"))</x:f>
      </x:c>
    </x:row>
    <x:row r="389" ht="26" customHeight="1">
      <x:c r="A389" s="1"/>
      <x:c r="B389" s="1"/>
      <x:c r="C389" s="9" t="str">
        <x:f>IF(Borrowers!C89="","",Borrowers!C89)</x:f>
      </x:c>
      <x:c r="D389" s="3" t="n">
        <x:v>4</x:v>
      </x:c>
      <x:c r="E389" s="9" t="n">
        <x:f>Settings!$F$18+3</x:f>
        <x:v>2030</x:v>
      </x:c>
      <x:c r="F389" s="9" t="str">
        <x:f>IF(C389="","",INDEX('Borrowers'!$F$9:$F$108,MATCH(C389,'Borrowers'!$C$9:$C$108,0)))</x:f>
      </x:c>
      <x:c r="G389" s="23" t="str">
        <x:f>IF(C389="","",IFERROR(INDEX('Borrowers'!$J$9:$J$108,MATCH(C389,'Borrowers'!$C$9:$C$108,0))-INDEX('Borrowers'!$K$9:$K$108,MATCH(C389,'Borrowers'!$C$9:$C$108,0)),"Unavailable"))</x:f>
      </x:c>
      <x:c r="H389" s="23" t="str">
        <x:f>IF(C389="","",IFERROR(INDEX('Borrowers'!$I$9:$I$108,MATCH(C389,'Borrowers'!$C$9:$C$108,0))*INDEX('Borrowers'!$U$9:$U$108,MATCH(C389,'Borrowers'!$C$9:$C$108,0))*(IF(F389="Transport",'Scenario Paths'!I156,IF(F389="Technology",'Scenario Paths'!I150,IF(F389="Utilities",'Scenario Paths'!I144,IF(F389="Agriculture",'Scenario Paths'!I138,IF(F389="Manufacturing",'Scenario Paths'!I132,IF(F389="Healthcare",'Scenario Paths'!I126,IF(F389="Hospitality",'Scenario Paths'!I120,IF(F389="Property",'Scenario Paths'!I114,IF(F389="Food",'Scenario Paths'!I108,IF(F389="Logistics",'Scenario Paths'!I102,IF(F389="Solar",'Scenario Paths'!I96,IF(F389="Cement",'Scenario Paths'!I90,0))))))))))))),"Unavailable"))</x:f>
      </x:c>
      <x:c r="I389" s="23" t="str">
        <x:f>IF(C389="","",IFERROR(INDEX('Borrowers'!$R$9:$R$108,MATCH(C389,'Borrowers'!$C$9:$C$108,0))*(1-INDEX('Borrowers'!$W$9:$W$108,MATCH(C389,'Borrowers'!$C$9:$C$108,0))*'Scenario Paths'!I39)*'Scenario Paths'!I9/1000000*(1-INDEX('Borrowers'!$T$9:$T$108,MATCH(C389,'Borrowers'!$C$9:$C$108,0))),"Unavailable"))</x:f>
      </x:c>
      <x:c r="J389" s="23" t="str">
        <x:f>IF(C389="","",IFERROR(INDEX('Borrowers'!$I$9:$I$108,MATCH(C389,'Borrowers'!$C$9:$C$108,0))*INDEX('Borrowers'!$S$9:$S$108,MATCH(C389,'Borrowers'!$C$9:$C$108,0))*'Scenario Paths'!I15*(1-INDEX('Borrowers'!$T$9:$T$108,MATCH(C389,'Borrowers'!$C$9:$C$108,0))),"Unavailable"))</x:f>
      </x:c>
      <x:c r="K389" s="23" t="str">
        <x:f>IF(C389="","",IFERROR(INDEX('Borrowers'!$I$9:$I$108,MATCH(C389,'Borrowers'!$C$9:$C$108,0))*INDEX('Borrowers'!$U$9:$U$108,MATCH(C389,'Borrowers'!$C$9:$C$108,0))*'Scenario Paths'!I21*S389,"Unavailable"))</x:f>
      </x:c>
      <x:c r="L389" s="23" t="str">
        <x:f>IF(C389="","",IFERROR(SUMPRODUCT((Sites!$D$9:$D$108=C389)*Sites!$H$9:$H$108*Sites!$J$9:$J$108*Sites!$K$9:$K$108*(1-Sites!$L$9:$L$108)*(1-Sites!$M$9:$M$108))*'Scenario Paths'!I27,"Unavailable"))</x:f>
      </x:c>
      <x:c r="M389" s="23" t="str">
        <x:f>IF(C389="","",IFERROR(INDEX('Borrowers'!$J$9:$J$108,MATCH(C389,'Borrowers'!$C$9:$C$108,0))+H389-SUM(I389:L389),"Unavailable"))</x:f>
      </x:c>
      <x:c r="N389" s="23" t="str">
        <x:f>IF(C389="","",IFERROR(INDEX('Borrowers'!$I$9:$I$108,MATCH(C389,'Borrowers'!$C$9:$C$108,0))*'Scenario Paths'!I33,"Unavailable"))</x:f>
      </x:c>
      <x:c r="O389" s="23" t="str">
        <x:f>IF(C389="","",IFERROR(M389-INDEX('Borrowers'!$K$9:$K$108,MATCH(C389,'Borrowers'!$C$9:$C$108,0))-N389,"Unavailable"))</x:f>
      </x:c>
      <x:c r="P389" s="127" t="str">
        <x:f>IF(C389="","",IFERROR(O389/INDEX('Borrowers'!$L$9:$L$108,MATCH(C389,'Borrowers'!$C$9:$C$108,0)),"Unavailable"))</x:f>
      </x:c>
      <x:c r="Q389" s="30" t="str">
        <x:f>IF(C389="","",IFERROR(IF(INDEX('Borrowers'!$Z$9:$Z$108,MATCH(C389,'Borrowers'!$C$9:$C$108,0))="Yes",1,IF(INDEX('Borrowers'!$P$9:$P$108,MATCH(C389,'Borrowers'!$C$9:$C$108,0))=0,0,MIN(1,INDEX('Borrowers'!$P$9:$P$108,MATCH(C389,'Borrowers'!$C$9:$C$108,0))*EXP(MIN(20,INDEX('Borrowers'!$V$9:$V$108,MATCH(C389,'Borrowers'!$C$9:$C$108,0))*V389))))),"Unavailable"))</x:f>
      </x:c>
      <x:c r="R389" s="30" t="str">
        <x:f>IF(C389="","",IFERROR(MIN(1,INDEX('Borrowers'!$Q$9:$Q$108,MATCH(C389,'Borrowers'!$C$9:$C$108,0))+(1-INDEX('Borrowers'!$Q$9:$Q$108,MATCH(C389,'Borrowers'!$C$9:$C$108,0)))*T389),"Unavailable"))</x:f>
      </x:c>
      <x:c r="S389" s="30" t="str">
        <x:f>IF(C389="","",IFERROR(SUMPRODUCT((Sites!$D$9:$D$108=C389)*Sites!$I$9:$I$108*Sites!$J$9:$J$108*Sites!$K$9:$K$108*(1-Sites!$L$9:$L$108)),"Unavailable"))</x:f>
      </x:c>
      <x:c r="T389" s="30" t="str">
        <x:f>IF(C389="","",IFERROR(MIN(1,(SUMPRODUCT((Sites!$D$9:$D$108=C389)*Sites!$N$9:$N$108*Sites!$J$9:$J$108*Sites!$K$9:$K$108*(1-Sites!$L$9:$L$108)))*'Scenario Paths'!I27),"Unavailable"))</x:f>
      </x:c>
      <x:c r="U389" s="9" t="str">
        <x:f>IF(C389="","",IF(OR(INDEX('Borrowers'!$AA$9:$AA$108,MATCH(C389,'Borrowers'!$C$9:$C$108,0))&lt;&gt;"Ready",COUNTIF(Sites!$D$9:$D$108,C389)=0,COUNTIFS(Sites!$D$9:$D$108,C389,Sites!$Q$9:$Q$108,"&lt;&gt;Ready")&gt;0,'Scenario Paths'!$F$6&lt;&gt;"Ready"),"Review source inputs","Ready"))</x:f>
      </x:c>
      <x:c r="V389" s="17" t="str">
        <x:f>IF(C389="","",IFERROR(MAX(-1,(G389-O389)/MAX(0.000001,G389)),"Unavailable"))</x:f>
      </x:c>
      <x:c r="W389" s="9" t="str">
        <x:f>IF(C389="","",IFERROR(INDEX('Borrowers'!$D$9:$D$108,MATCH(C389,'Borrowers'!$C$9:$C$108,0)),"Unavailable"))</x:f>
      </x:c>
    </x:row>
    <x:row r="390" ht="26" customHeight="1">
      <x:c r="A390" s="1"/>
      <x:c r="B390" s="1"/>
      <x:c r="C390" s="9" t="str">
        <x:f>IF(Borrowers!C90="","",Borrowers!C90)</x:f>
      </x:c>
      <x:c r="D390" s="3" t="n">
        <x:v>4</x:v>
      </x:c>
      <x:c r="E390" s="9" t="n">
        <x:f>Settings!$F$18+3</x:f>
        <x:v>2030</x:v>
      </x:c>
      <x:c r="F390" s="9" t="str">
        <x:f>IF(C390="","",INDEX('Borrowers'!$F$9:$F$108,MATCH(C390,'Borrowers'!$C$9:$C$108,0)))</x:f>
      </x:c>
      <x:c r="G390" s="23" t="str">
        <x:f>IF(C390="","",IFERROR(INDEX('Borrowers'!$J$9:$J$108,MATCH(C390,'Borrowers'!$C$9:$C$108,0))-INDEX('Borrowers'!$K$9:$K$108,MATCH(C390,'Borrowers'!$C$9:$C$108,0)),"Unavailable"))</x:f>
      </x:c>
      <x:c r="H390" s="23" t="str">
        <x:f>IF(C390="","",IFERROR(INDEX('Borrowers'!$I$9:$I$108,MATCH(C390,'Borrowers'!$C$9:$C$108,0))*INDEX('Borrowers'!$U$9:$U$108,MATCH(C390,'Borrowers'!$C$9:$C$108,0))*(IF(F390="Transport",'Scenario Paths'!I156,IF(F390="Technology",'Scenario Paths'!I150,IF(F390="Utilities",'Scenario Paths'!I144,IF(F390="Agriculture",'Scenario Paths'!I138,IF(F390="Manufacturing",'Scenario Paths'!I132,IF(F390="Healthcare",'Scenario Paths'!I126,IF(F390="Hospitality",'Scenario Paths'!I120,IF(F390="Property",'Scenario Paths'!I114,IF(F390="Food",'Scenario Paths'!I108,IF(F390="Logistics",'Scenario Paths'!I102,IF(F390="Solar",'Scenario Paths'!I96,IF(F390="Cement",'Scenario Paths'!I90,0))))))))))))),"Unavailable"))</x:f>
      </x:c>
      <x:c r="I390" s="23" t="str">
        <x:f>IF(C390="","",IFERROR(INDEX('Borrowers'!$R$9:$R$108,MATCH(C390,'Borrowers'!$C$9:$C$108,0))*(1-INDEX('Borrowers'!$W$9:$W$108,MATCH(C390,'Borrowers'!$C$9:$C$108,0))*'Scenario Paths'!I39)*'Scenario Paths'!I9/1000000*(1-INDEX('Borrowers'!$T$9:$T$108,MATCH(C390,'Borrowers'!$C$9:$C$108,0))),"Unavailable"))</x:f>
      </x:c>
      <x:c r="J390" s="23" t="str">
        <x:f>IF(C390="","",IFERROR(INDEX('Borrowers'!$I$9:$I$108,MATCH(C390,'Borrowers'!$C$9:$C$108,0))*INDEX('Borrowers'!$S$9:$S$108,MATCH(C390,'Borrowers'!$C$9:$C$108,0))*'Scenario Paths'!I15*(1-INDEX('Borrowers'!$T$9:$T$108,MATCH(C390,'Borrowers'!$C$9:$C$108,0))),"Unavailable"))</x:f>
      </x:c>
      <x:c r="K390" s="23" t="str">
        <x:f>IF(C390="","",IFERROR(INDEX('Borrowers'!$I$9:$I$108,MATCH(C390,'Borrowers'!$C$9:$C$108,0))*INDEX('Borrowers'!$U$9:$U$108,MATCH(C390,'Borrowers'!$C$9:$C$108,0))*'Scenario Paths'!I21*S390,"Unavailable"))</x:f>
      </x:c>
      <x:c r="L390" s="23" t="str">
        <x:f>IF(C390="","",IFERROR(SUMPRODUCT((Sites!$D$9:$D$108=C390)*Sites!$H$9:$H$108*Sites!$J$9:$J$108*Sites!$K$9:$K$108*(1-Sites!$L$9:$L$108)*(1-Sites!$M$9:$M$108))*'Scenario Paths'!I27,"Unavailable"))</x:f>
      </x:c>
      <x:c r="M390" s="23" t="str">
        <x:f>IF(C390="","",IFERROR(INDEX('Borrowers'!$J$9:$J$108,MATCH(C390,'Borrowers'!$C$9:$C$108,0))+H390-SUM(I390:L390),"Unavailable"))</x:f>
      </x:c>
      <x:c r="N390" s="23" t="str">
        <x:f>IF(C390="","",IFERROR(INDEX('Borrowers'!$I$9:$I$108,MATCH(C390,'Borrowers'!$C$9:$C$108,0))*'Scenario Paths'!I33,"Unavailable"))</x:f>
      </x:c>
      <x:c r="O390" s="23" t="str">
        <x:f>IF(C390="","",IFERROR(M390-INDEX('Borrowers'!$K$9:$K$108,MATCH(C390,'Borrowers'!$C$9:$C$108,0))-N390,"Unavailable"))</x:f>
      </x:c>
      <x:c r="P390" s="127" t="str">
        <x:f>IF(C390="","",IFERROR(O390/INDEX('Borrowers'!$L$9:$L$108,MATCH(C390,'Borrowers'!$C$9:$C$108,0)),"Unavailable"))</x:f>
      </x:c>
      <x:c r="Q390" s="30" t="str">
        <x:f>IF(C390="","",IFERROR(IF(INDEX('Borrowers'!$Z$9:$Z$108,MATCH(C390,'Borrowers'!$C$9:$C$108,0))="Yes",1,IF(INDEX('Borrowers'!$P$9:$P$108,MATCH(C390,'Borrowers'!$C$9:$C$108,0))=0,0,MIN(1,INDEX('Borrowers'!$P$9:$P$108,MATCH(C390,'Borrowers'!$C$9:$C$108,0))*EXP(MIN(20,INDEX('Borrowers'!$V$9:$V$108,MATCH(C390,'Borrowers'!$C$9:$C$108,0))*V390))))),"Unavailable"))</x:f>
      </x:c>
      <x:c r="R390" s="30" t="str">
        <x:f>IF(C390="","",IFERROR(MIN(1,INDEX('Borrowers'!$Q$9:$Q$108,MATCH(C390,'Borrowers'!$C$9:$C$108,0))+(1-INDEX('Borrowers'!$Q$9:$Q$108,MATCH(C390,'Borrowers'!$C$9:$C$108,0)))*T390),"Unavailable"))</x:f>
      </x:c>
      <x:c r="S390" s="30" t="str">
        <x:f>IF(C390="","",IFERROR(SUMPRODUCT((Sites!$D$9:$D$108=C390)*Sites!$I$9:$I$108*Sites!$J$9:$J$108*Sites!$K$9:$K$108*(1-Sites!$L$9:$L$108)),"Unavailable"))</x:f>
      </x:c>
      <x:c r="T390" s="30" t="str">
        <x:f>IF(C390="","",IFERROR(MIN(1,(SUMPRODUCT((Sites!$D$9:$D$108=C390)*Sites!$N$9:$N$108*Sites!$J$9:$J$108*Sites!$K$9:$K$108*(1-Sites!$L$9:$L$108)))*'Scenario Paths'!I27),"Unavailable"))</x:f>
      </x:c>
      <x:c r="U390" s="9" t="str">
        <x:f>IF(C390="","",IF(OR(INDEX('Borrowers'!$AA$9:$AA$108,MATCH(C390,'Borrowers'!$C$9:$C$108,0))&lt;&gt;"Ready",COUNTIF(Sites!$D$9:$D$108,C390)=0,COUNTIFS(Sites!$D$9:$D$108,C390,Sites!$Q$9:$Q$108,"&lt;&gt;Ready")&gt;0,'Scenario Paths'!$F$6&lt;&gt;"Ready"),"Review source inputs","Ready"))</x:f>
      </x:c>
      <x:c r="V390" s="17" t="str">
        <x:f>IF(C390="","",IFERROR(MAX(-1,(G390-O390)/MAX(0.000001,G390)),"Unavailable"))</x:f>
      </x:c>
      <x:c r="W390" s="9" t="str">
        <x:f>IF(C390="","",IFERROR(INDEX('Borrowers'!$D$9:$D$108,MATCH(C390,'Borrowers'!$C$9:$C$108,0)),"Unavailable"))</x:f>
      </x:c>
    </x:row>
    <x:row r="391" ht="26" customHeight="1">
      <x:c r="A391" s="1"/>
      <x:c r="B391" s="1"/>
      <x:c r="C391" s="9" t="str">
        <x:f>IF(Borrowers!C91="","",Borrowers!C91)</x:f>
      </x:c>
      <x:c r="D391" s="3" t="n">
        <x:v>4</x:v>
      </x:c>
      <x:c r="E391" s="9" t="n">
        <x:f>Settings!$F$18+3</x:f>
        <x:v>2030</x:v>
      </x:c>
      <x:c r="F391" s="9" t="str">
        <x:f>IF(C391="","",INDEX('Borrowers'!$F$9:$F$108,MATCH(C391,'Borrowers'!$C$9:$C$108,0)))</x:f>
      </x:c>
      <x:c r="G391" s="23" t="str">
        <x:f>IF(C391="","",IFERROR(INDEX('Borrowers'!$J$9:$J$108,MATCH(C391,'Borrowers'!$C$9:$C$108,0))-INDEX('Borrowers'!$K$9:$K$108,MATCH(C391,'Borrowers'!$C$9:$C$108,0)),"Unavailable"))</x:f>
      </x:c>
      <x:c r="H391" s="23" t="str">
        <x:f>IF(C391="","",IFERROR(INDEX('Borrowers'!$I$9:$I$108,MATCH(C391,'Borrowers'!$C$9:$C$108,0))*INDEX('Borrowers'!$U$9:$U$108,MATCH(C391,'Borrowers'!$C$9:$C$108,0))*(IF(F391="Transport",'Scenario Paths'!I156,IF(F391="Technology",'Scenario Paths'!I150,IF(F391="Utilities",'Scenario Paths'!I144,IF(F391="Agriculture",'Scenario Paths'!I138,IF(F391="Manufacturing",'Scenario Paths'!I132,IF(F391="Healthcare",'Scenario Paths'!I126,IF(F391="Hospitality",'Scenario Paths'!I120,IF(F391="Property",'Scenario Paths'!I114,IF(F391="Food",'Scenario Paths'!I108,IF(F391="Logistics",'Scenario Paths'!I102,IF(F391="Solar",'Scenario Paths'!I96,IF(F391="Cement",'Scenario Paths'!I90,0))))))))))))),"Unavailable"))</x:f>
      </x:c>
      <x:c r="I391" s="23" t="str">
        <x:f>IF(C391="","",IFERROR(INDEX('Borrowers'!$R$9:$R$108,MATCH(C391,'Borrowers'!$C$9:$C$108,0))*(1-INDEX('Borrowers'!$W$9:$W$108,MATCH(C391,'Borrowers'!$C$9:$C$108,0))*'Scenario Paths'!I39)*'Scenario Paths'!I9/1000000*(1-INDEX('Borrowers'!$T$9:$T$108,MATCH(C391,'Borrowers'!$C$9:$C$108,0))),"Unavailable"))</x:f>
      </x:c>
      <x:c r="J391" s="23" t="str">
        <x:f>IF(C391="","",IFERROR(INDEX('Borrowers'!$I$9:$I$108,MATCH(C391,'Borrowers'!$C$9:$C$108,0))*INDEX('Borrowers'!$S$9:$S$108,MATCH(C391,'Borrowers'!$C$9:$C$108,0))*'Scenario Paths'!I15*(1-INDEX('Borrowers'!$T$9:$T$108,MATCH(C391,'Borrowers'!$C$9:$C$108,0))),"Unavailable"))</x:f>
      </x:c>
      <x:c r="K391" s="23" t="str">
        <x:f>IF(C391="","",IFERROR(INDEX('Borrowers'!$I$9:$I$108,MATCH(C391,'Borrowers'!$C$9:$C$108,0))*INDEX('Borrowers'!$U$9:$U$108,MATCH(C391,'Borrowers'!$C$9:$C$108,0))*'Scenario Paths'!I21*S391,"Unavailable"))</x:f>
      </x:c>
      <x:c r="L391" s="23" t="str">
        <x:f>IF(C391="","",IFERROR(SUMPRODUCT((Sites!$D$9:$D$108=C391)*Sites!$H$9:$H$108*Sites!$J$9:$J$108*Sites!$K$9:$K$108*(1-Sites!$L$9:$L$108)*(1-Sites!$M$9:$M$108))*'Scenario Paths'!I27,"Unavailable"))</x:f>
      </x:c>
      <x:c r="M391" s="23" t="str">
        <x:f>IF(C391="","",IFERROR(INDEX('Borrowers'!$J$9:$J$108,MATCH(C391,'Borrowers'!$C$9:$C$108,0))+H391-SUM(I391:L391),"Unavailable"))</x:f>
      </x:c>
      <x:c r="N391" s="23" t="str">
        <x:f>IF(C391="","",IFERROR(INDEX('Borrowers'!$I$9:$I$108,MATCH(C391,'Borrowers'!$C$9:$C$108,0))*'Scenario Paths'!I33,"Unavailable"))</x:f>
      </x:c>
      <x:c r="O391" s="23" t="str">
        <x:f>IF(C391="","",IFERROR(M391-INDEX('Borrowers'!$K$9:$K$108,MATCH(C391,'Borrowers'!$C$9:$C$108,0))-N391,"Unavailable"))</x:f>
      </x:c>
      <x:c r="P391" s="127" t="str">
        <x:f>IF(C391="","",IFERROR(O391/INDEX('Borrowers'!$L$9:$L$108,MATCH(C391,'Borrowers'!$C$9:$C$108,0)),"Unavailable"))</x:f>
      </x:c>
      <x:c r="Q391" s="30" t="str">
        <x:f>IF(C391="","",IFERROR(IF(INDEX('Borrowers'!$Z$9:$Z$108,MATCH(C391,'Borrowers'!$C$9:$C$108,0))="Yes",1,IF(INDEX('Borrowers'!$P$9:$P$108,MATCH(C391,'Borrowers'!$C$9:$C$108,0))=0,0,MIN(1,INDEX('Borrowers'!$P$9:$P$108,MATCH(C391,'Borrowers'!$C$9:$C$108,0))*EXP(MIN(20,INDEX('Borrowers'!$V$9:$V$108,MATCH(C391,'Borrowers'!$C$9:$C$108,0))*V391))))),"Unavailable"))</x:f>
      </x:c>
      <x:c r="R391" s="30" t="str">
        <x:f>IF(C391="","",IFERROR(MIN(1,INDEX('Borrowers'!$Q$9:$Q$108,MATCH(C391,'Borrowers'!$C$9:$C$108,0))+(1-INDEX('Borrowers'!$Q$9:$Q$108,MATCH(C391,'Borrowers'!$C$9:$C$108,0)))*T391),"Unavailable"))</x:f>
      </x:c>
      <x:c r="S391" s="30" t="str">
        <x:f>IF(C391="","",IFERROR(SUMPRODUCT((Sites!$D$9:$D$108=C391)*Sites!$I$9:$I$108*Sites!$J$9:$J$108*Sites!$K$9:$K$108*(1-Sites!$L$9:$L$108)),"Unavailable"))</x:f>
      </x:c>
      <x:c r="T391" s="30" t="str">
        <x:f>IF(C391="","",IFERROR(MIN(1,(SUMPRODUCT((Sites!$D$9:$D$108=C391)*Sites!$N$9:$N$108*Sites!$J$9:$J$108*Sites!$K$9:$K$108*(1-Sites!$L$9:$L$108)))*'Scenario Paths'!I27),"Unavailable"))</x:f>
      </x:c>
      <x:c r="U391" s="9" t="str">
        <x:f>IF(C391="","",IF(OR(INDEX('Borrowers'!$AA$9:$AA$108,MATCH(C391,'Borrowers'!$C$9:$C$108,0))&lt;&gt;"Ready",COUNTIF(Sites!$D$9:$D$108,C391)=0,COUNTIFS(Sites!$D$9:$D$108,C391,Sites!$Q$9:$Q$108,"&lt;&gt;Ready")&gt;0,'Scenario Paths'!$F$6&lt;&gt;"Ready"),"Review source inputs","Ready"))</x:f>
      </x:c>
      <x:c r="V391" s="17" t="str">
        <x:f>IF(C391="","",IFERROR(MAX(-1,(G391-O391)/MAX(0.000001,G391)),"Unavailable"))</x:f>
      </x:c>
      <x:c r="W391" s="9" t="str">
        <x:f>IF(C391="","",IFERROR(INDEX('Borrowers'!$D$9:$D$108,MATCH(C391,'Borrowers'!$C$9:$C$108,0)),"Unavailable"))</x:f>
      </x:c>
    </x:row>
    <x:row r="392" ht="26" customHeight="1">
      <x:c r="A392" s="1"/>
      <x:c r="B392" s="1"/>
      <x:c r="C392" s="9" t="str">
        <x:f>IF(Borrowers!C92="","",Borrowers!C92)</x:f>
      </x:c>
      <x:c r="D392" s="3" t="n">
        <x:v>4</x:v>
      </x:c>
      <x:c r="E392" s="9" t="n">
        <x:f>Settings!$F$18+3</x:f>
        <x:v>2030</x:v>
      </x:c>
      <x:c r="F392" s="9" t="str">
        <x:f>IF(C392="","",INDEX('Borrowers'!$F$9:$F$108,MATCH(C392,'Borrowers'!$C$9:$C$108,0)))</x:f>
      </x:c>
      <x:c r="G392" s="23" t="str">
        <x:f>IF(C392="","",IFERROR(INDEX('Borrowers'!$J$9:$J$108,MATCH(C392,'Borrowers'!$C$9:$C$108,0))-INDEX('Borrowers'!$K$9:$K$108,MATCH(C392,'Borrowers'!$C$9:$C$108,0)),"Unavailable"))</x:f>
      </x:c>
      <x:c r="H392" s="23" t="str">
        <x:f>IF(C392="","",IFERROR(INDEX('Borrowers'!$I$9:$I$108,MATCH(C392,'Borrowers'!$C$9:$C$108,0))*INDEX('Borrowers'!$U$9:$U$108,MATCH(C392,'Borrowers'!$C$9:$C$108,0))*(IF(F392="Transport",'Scenario Paths'!I156,IF(F392="Technology",'Scenario Paths'!I150,IF(F392="Utilities",'Scenario Paths'!I144,IF(F392="Agriculture",'Scenario Paths'!I138,IF(F392="Manufacturing",'Scenario Paths'!I132,IF(F392="Healthcare",'Scenario Paths'!I126,IF(F392="Hospitality",'Scenario Paths'!I120,IF(F392="Property",'Scenario Paths'!I114,IF(F392="Food",'Scenario Paths'!I108,IF(F392="Logistics",'Scenario Paths'!I102,IF(F392="Solar",'Scenario Paths'!I96,IF(F392="Cement",'Scenario Paths'!I90,0))))))))))))),"Unavailable"))</x:f>
      </x:c>
      <x:c r="I392" s="23" t="str">
        <x:f>IF(C392="","",IFERROR(INDEX('Borrowers'!$R$9:$R$108,MATCH(C392,'Borrowers'!$C$9:$C$108,0))*(1-INDEX('Borrowers'!$W$9:$W$108,MATCH(C392,'Borrowers'!$C$9:$C$108,0))*'Scenario Paths'!I39)*'Scenario Paths'!I9/1000000*(1-INDEX('Borrowers'!$T$9:$T$108,MATCH(C392,'Borrowers'!$C$9:$C$108,0))),"Unavailable"))</x:f>
      </x:c>
      <x:c r="J392" s="23" t="str">
        <x:f>IF(C392="","",IFERROR(INDEX('Borrowers'!$I$9:$I$108,MATCH(C392,'Borrowers'!$C$9:$C$108,0))*INDEX('Borrowers'!$S$9:$S$108,MATCH(C392,'Borrowers'!$C$9:$C$108,0))*'Scenario Paths'!I15*(1-INDEX('Borrowers'!$T$9:$T$108,MATCH(C392,'Borrowers'!$C$9:$C$108,0))),"Unavailable"))</x:f>
      </x:c>
      <x:c r="K392" s="23" t="str">
        <x:f>IF(C392="","",IFERROR(INDEX('Borrowers'!$I$9:$I$108,MATCH(C392,'Borrowers'!$C$9:$C$108,0))*INDEX('Borrowers'!$U$9:$U$108,MATCH(C392,'Borrowers'!$C$9:$C$108,0))*'Scenario Paths'!I21*S392,"Unavailable"))</x:f>
      </x:c>
      <x:c r="L392" s="23" t="str">
        <x:f>IF(C392="","",IFERROR(SUMPRODUCT((Sites!$D$9:$D$108=C392)*Sites!$H$9:$H$108*Sites!$J$9:$J$108*Sites!$K$9:$K$108*(1-Sites!$L$9:$L$108)*(1-Sites!$M$9:$M$108))*'Scenario Paths'!I27,"Unavailable"))</x:f>
      </x:c>
      <x:c r="M392" s="23" t="str">
        <x:f>IF(C392="","",IFERROR(INDEX('Borrowers'!$J$9:$J$108,MATCH(C392,'Borrowers'!$C$9:$C$108,0))+H392-SUM(I392:L392),"Unavailable"))</x:f>
      </x:c>
      <x:c r="N392" s="23" t="str">
        <x:f>IF(C392="","",IFERROR(INDEX('Borrowers'!$I$9:$I$108,MATCH(C392,'Borrowers'!$C$9:$C$108,0))*'Scenario Paths'!I33,"Unavailable"))</x:f>
      </x:c>
      <x:c r="O392" s="23" t="str">
        <x:f>IF(C392="","",IFERROR(M392-INDEX('Borrowers'!$K$9:$K$108,MATCH(C392,'Borrowers'!$C$9:$C$108,0))-N392,"Unavailable"))</x:f>
      </x:c>
      <x:c r="P392" s="127" t="str">
        <x:f>IF(C392="","",IFERROR(O392/INDEX('Borrowers'!$L$9:$L$108,MATCH(C392,'Borrowers'!$C$9:$C$108,0)),"Unavailable"))</x:f>
      </x:c>
      <x:c r="Q392" s="30" t="str">
        <x:f>IF(C392="","",IFERROR(IF(INDEX('Borrowers'!$Z$9:$Z$108,MATCH(C392,'Borrowers'!$C$9:$C$108,0))="Yes",1,IF(INDEX('Borrowers'!$P$9:$P$108,MATCH(C392,'Borrowers'!$C$9:$C$108,0))=0,0,MIN(1,INDEX('Borrowers'!$P$9:$P$108,MATCH(C392,'Borrowers'!$C$9:$C$108,0))*EXP(MIN(20,INDEX('Borrowers'!$V$9:$V$108,MATCH(C392,'Borrowers'!$C$9:$C$108,0))*V392))))),"Unavailable"))</x:f>
      </x:c>
      <x:c r="R392" s="30" t="str">
        <x:f>IF(C392="","",IFERROR(MIN(1,INDEX('Borrowers'!$Q$9:$Q$108,MATCH(C392,'Borrowers'!$C$9:$C$108,0))+(1-INDEX('Borrowers'!$Q$9:$Q$108,MATCH(C392,'Borrowers'!$C$9:$C$108,0)))*T392),"Unavailable"))</x:f>
      </x:c>
      <x:c r="S392" s="30" t="str">
        <x:f>IF(C392="","",IFERROR(SUMPRODUCT((Sites!$D$9:$D$108=C392)*Sites!$I$9:$I$108*Sites!$J$9:$J$108*Sites!$K$9:$K$108*(1-Sites!$L$9:$L$108)),"Unavailable"))</x:f>
      </x:c>
      <x:c r="T392" s="30" t="str">
        <x:f>IF(C392="","",IFERROR(MIN(1,(SUMPRODUCT((Sites!$D$9:$D$108=C392)*Sites!$N$9:$N$108*Sites!$J$9:$J$108*Sites!$K$9:$K$108*(1-Sites!$L$9:$L$108)))*'Scenario Paths'!I27),"Unavailable"))</x:f>
      </x:c>
      <x:c r="U392" s="9" t="str">
        <x:f>IF(C392="","",IF(OR(INDEX('Borrowers'!$AA$9:$AA$108,MATCH(C392,'Borrowers'!$C$9:$C$108,0))&lt;&gt;"Ready",COUNTIF(Sites!$D$9:$D$108,C392)=0,COUNTIFS(Sites!$D$9:$D$108,C392,Sites!$Q$9:$Q$108,"&lt;&gt;Ready")&gt;0,'Scenario Paths'!$F$6&lt;&gt;"Ready"),"Review source inputs","Ready"))</x:f>
      </x:c>
      <x:c r="V392" s="17" t="str">
        <x:f>IF(C392="","",IFERROR(MAX(-1,(G392-O392)/MAX(0.000001,G392)),"Unavailable"))</x:f>
      </x:c>
      <x:c r="W392" s="9" t="str">
        <x:f>IF(C392="","",IFERROR(INDEX('Borrowers'!$D$9:$D$108,MATCH(C392,'Borrowers'!$C$9:$C$108,0)),"Unavailable"))</x:f>
      </x:c>
    </x:row>
    <x:row r="393" ht="26" customHeight="1">
      <x:c r="A393" s="1"/>
      <x:c r="B393" s="1"/>
      <x:c r="C393" s="9" t="str">
        <x:f>IF(Borrowers!C93="","",Borrowers!C93)</x:f>
      </x:c>
      <x:c r="D393" s="3" t="n">
        <x:v>4</x:v>
      </x:c>
      <x:c r="E393" s="9" t="n">
        <x:f>Settings!$F$18+3</x:f>
        <x:v>2030</x:v>
      </x:c>
      <x:c r="F393" s="9" t="str">
        <x:f>IF(C393="","",INDEX('Borrowers'!$F$9:$F$108,MATCH(C393,'Borrowers'!$C$9:$C$108,0)))</x:f>
      </x:c>
      <x:c r="G393" s="23" t="str">
        <x:f>IF(C393="","",IFERROR(INDEX('Borrowers'!$J$9:$J$108,MATCH(C393,'Borrowers'!$C$9:$C$108,0))-INDEX('Borrowers'!$K$9:$K$108,MATCH(C393,'Borrowers'!$C$9:$C$108,0)),"Unavailable"))</x:f>
      </x:c>
      <x:c r="H393" s="23" t="str">
        <x:f>IF(C393="","",IFERROR(INDEX('Borrowers'!$I$9:$I$108,MATCH(C393,'Borrowers'!$C$9:$C$108,0))*INDEX('Borrowers'!$U$9:$U$108,MATCH(C393,'Borrowers'!$C$9:$C$108,0))*(IF(F393="Transport",'Scenario Paths'!I156,IF(F393="Technology",'Scenario Paths'!I150,IF(F393="Utilities",'Scenario Paths'!I144,IF(F393="Agriculture",'Scenario Paths'!I138,IF(F393="Manufacturing",'Scenario Paths'!I132,IF(F393="Healthcare",'Scenario Paths'!I126,IF(F393="Hospitality",'Scenario Paths'!I120,IF(F393="Property",'Scenario Paths'!I114,IF(F393="Food",'Scenario Paths'!I108,IF(F393="Logistics",'Scenario Paths'!I102,IF(F393="Solar",'Scenario Paths'!I96,IF(F393="Cement",'Scenario Paths'!I90,0))))))))))))),"Unavailable"))</x:f>
      </x:c>
      <x:c r="I393" s="23" t="str">
        <x:f>IF(C393="","",IFERROR(INDEX('Borrowers'!$R$9:$R$108,MATCH(C393,'Borrowers'!$C$9:$C$108,0))*(1-INDEX('Borrowers'!$W$9:$W$108,MATCH(C393,'Borrowers'!$C$9:$C$108,0))*'Scenario Paths'!I39)*'Scenario Paths'!I9/1000000*(1-INDEX('Borrowers'!$T$9:$T$108,MATCH(C393,'Borrowers'!$C$9:$C$108,0))),"Unavailable"))</x:f>
      </x:c>
      <x:c r="J393" s="23" t="str">
        <x:f>IF(C393="","",IFERROR(INDEX('Borrowers'!$I$9:$I$108,MATCH(C393,'Borrowers'!$C$9:$C$108,0))*INDEX('Borrowers'!$S$9:$S$108,MATCH(C393,'Borrowers'!$C$9:$C$108,0))*'Scenario Paths'!I15*(1-INDEX('Borrowers'!$T$9:$T$108,MATCH(C393,'Borrowers'!$C$9:$C$108,0))),"Unavailable"))</x:f>
      </x:c>
      <x:c r="K393" s="23" t="str">
        <x:f>IF(C393="","",IFERROR(INDEX('Borrowers'!$I$9:$I$108,MATCH(C393,'Borrowers'!$C$9:$C$108,0))*INDEX('Borrowers'!$U$9:$U$108,MATCH(C393,'Borrowers'!$C$9:$C$108,0))*'Scenario Paths'!I21*S393,"Unavailable"))</x:f>
      </x:c>
      <x:c r="L393" s="23" t="str">
        <x:f>IF(C393="","",IFERROR(SUMPRODUCT((Sites!$D$9:$D$108=C393)*Sites!$H$9:$H$108*Sites!$J$9:$J$108*Sites!$K$9:$K$108*(1-Sites!$L$9:$L$108)*(1-Sites!$M$9:$M$108))*'Scenario Paths'!I27,"Unavailable"))</x:f>
      </x:c>
      <x:c r="M393" s="23" t="str">
        <x:f>IF(C393="","",IFERROR(INDEX('Borrowers'!$J$9:$J$108,MATCH(C393,'Borrowers'!$C$9:$C$108,0))+H393-SUM(I393:L393),"Unavailable"))</x:f>
      </x:c>
      <x:c r="N393" s="23" t="str">
        <x:f>IF(C393="","",IFERROR(INDEX('Borrowers'!$I$9:$I$108,MATCH(C393,'Borrowers'!$C$9:$C$108,0))*'Scenario Paths'!I33,"Unavailable"))</x:f>
      </x:c>
      <x:c r="O393" s="23" t="str">
        <x:f>IF(C393="","",IFERROR(M393-INDEX('Borrowers'!$K$9:$K$108,MATCH(C393,'Borrowers'!$C$9:$C$108,0))-N393,"Unavailable"))</x:f>
      </x:c>
      <x:c r="P393" s="127" t="str">
        <x:f>IF(C393="","",IFERROR(O393/INDEX('Borrowers'!$L$9:$L$108,MATCH(C393,'Borrowers'!$C$9:$C$108,0)),"Unavailable"))</x:f>
      </x:c>
      <x:c r="Q393" s="30" t="str">
        <x:f>IF(C393="","",IFERROR(IF(INDEX('Borrowers'!$Z$9:$Z$108,MATCH(C393,'Borrowers'!$C$9:$C$108,0))="Yes",1,IF(INDEX('Borrowers'!$P$9:$P$108,MATCH(C393,'Borrowers'!$C$9:$C$108,0))=0,0,MIN(1,INDEX('Borrowers'!$P$9:$P$108,MATCH(C393,'Borrowers'!$C$9:$C$108,0))*EXP(MIN(20,INDEX('Borrowers'!$V$9:$V$108,MATCH(C393,'Borrowers'!$C$9:$C$108,0))*V393))))),"Unavailable"))</x:f>
      </x:c>
      <x:c r="R393" s="30" t="str">
        <x:f>IF(C393="","",IFERROR(MIN(1,INDEX('Borrowers'!$Q$9:$Q$108,MATCH(C393,'Borrowers'!$C$9:$C$108,0))+(1-INDEX('Borrowers'!$Q$9:$Q$108,MATCH(C393,'Borrowers'!$C$9:$C$108,0)))*T393),"Unavailable"))</x:f>
      </x:c>
      <x:c r="S393" s="30" t="str">
        <x:f>IF(C393="","",IFERROR(SUMPRODUCT((Sites!$D$9:$D$108=C393)*Sites!$I$9:$I$108*Sites!$J$9:$J$108*Sites!$K$9:$K$108*(1-Sites!$L$9:$L$108)),"Unavailable"))</x:f>
      </x:c>
      <x:c r="T393" s="30" t="str">
        <x:f>IF(C393="","",IFERROR(MIN(1,(SUMPRODUCT((Sites!$D$9:$D$108=C393)*Sites!$N$9:$N$108*Sites!$J$9:$J$108*Sites!$K$9:$K$108*(1-Sites!$L$9:$L$108)))*'Scenario Paths'!I27),"Unavailable"))</x:f>
      </x:c>
      <x:c r="U393" s="9" t="str">
        <x:f>IF(C393="","",IF(OR(INDEX('Borrowers'!$AA$9:$AA$108,MATCH(C393,'Borrowers'!$C$9:$C$108,0))&lt;&gt;"Ready",COUNTIF(Sites!$D$9:$D$108,C393)=0,COUNTIFS(Sites!$D$9:$D$108,C393,Sites!$Q$9:$Q$108,"&lt;&gt;Ready")&gt;0,'Scenario Paths'!$F$6&lt;&gt;"Ready"),"Review source inputs","Ready"))</x:f>
      </x:c>
      <x:c r="V393" s="17" t="str">
        <x:f>IF(C393="","",IFERROR(MAX(-1,(G393-O393)/MAX(0.000001,G393)),"Unavailable"))</x:f>
      </x:c>
      <x:c r="W393" s="9" t="str">
        <x:f>IF(C393="","",IFERROR(INDEX('Borrowers'!$D$9:$D$108,MATCH(C393,'Borrowers'!$C$9:$C$108,0)),"Unavailable"))</x:f>
      </x:c>
    </x:row>
    <x:row r="394" ht="26" customHeight="1">
      <x:c r="A394" s="1"/>
      <x:c r="B394" s="1"/>
      <x:c r="C394" s="9" t="str">
        <x:f>IF(Borrowers!C94="","",Borrowers!C94)</x:f>
      </x:c>
      <x:c r="D394" s="3" t="n">
        <x:v>4</x:v>
      </x:c>
      <x:c r="E394" s="9" t="n">
        <x:f>Settings!$F$18+3</x:f>
        <x:v>2030</x:v>
      </x:c>
      <x:c r="F394" s="9" t="str">
        <x:f>IF(C394="","",INDEX('Borrowers'!$F$9:$F$108,MATCH(C394,'Borrowers'!$C$9:$C$108,0)))</x:f>
      </x:c>
      <x:c r="G394" s="23" t="str">
        <x:f>IF(C394="","",IFERROR(INDEX('Borrowers'!$J$9:$J$108,MATCH(C394,'Borrowers'!$C$9:$C$108,0))-INDEX('Borrowers'!$K$9:$K$108,MATCH(C394,'Borrowers'!$C$9:$C$108,0)),"Unavailable"))</x:f>
      </x:c>
      <x:c r="H394" s="23" t="str">
        <x:f>IF(C394="","",IFERROR(INDEX('Borrowers'!$I$9:$I$108,MATCH(C394,'Borrowers'!$C$9:$C$108,0))*INDEX('Borrowers'!$U$9:$U$108,MATCH(C394,'Borrowers'!$C$9:$C$108,0))*(IF(F394="Transport",'Scenario Paths'!I156,IF(F394="Technology",'Scenario Paths'!I150,IF(F394="Utilities",'Scenario Paths'!I144,IF(F394="Agriculture",'Scenario Paths'!I138,IF(F394="Manufacturing",'Scenario Paths'!I132,IF(F394="Healthcare",'Scenario Paths'!I126,IF(F394="Hospitality",'Scenario Paths'!I120,IF(F394="Property",'Scenario Paths'!I114,IF(F394="Food",'Scenario Paths'!I108,IF(F394="Logistics",'Scenario Paths'!I102,IF(F394="Solar",'Scenario Paths'!I96,IF(F394="Cement",'Scenario Paths'!I90,0))))))))))))),"Unavailable"))</x:f>
      </x:c>
      <x:c r="I394" s="23" t="str">
        <x:f>IF(C394="","",IFERROR(INDEX('Borrowers'!$R$9:$R$108,MATCH(C394,'Borrowers'!$C$9:$C$108,0))*(1-INDEX('Borrowers'!$W$9:$W$108,MATCH(C394,'Borrowers'!$C$9:$C$108,0))*'Scenario Paths'!I39)*'Scenario Paths'!I9/1000000*(1-INDEX('Borrowers'!$T$9:$T$108,MATCH(C394,'Borrowers'!$C$9:$C$108,0))),"Unavailable"))</x:f>
      </x:c>
      <x:c r="J394" s="23" t="str">
        <x:f>IF(C394="","",IFERROR(INDEX('Borrowers'!$I$9:$I$108,MATCH(C394,'Borrowers'!$C$9:$C$108,0))*INDEX('Borrowers'!$S$9:$S$108,MATCH(C394,'Borrowers'!$C$9:$C$108,0))*'Scenario Paths'!I15*(1-INDEX('Borrowers'!$T$9:$T$108,MATCH(C394,'Borrowers'!$C$9:$C$108,0))),"Unavailable"))</x:f>
      </x:c>
      <x:c r="K394" s="23" t="str">
        <x:f>IF(C394="","",IFERROR(INDEX('Borrowers'!$I$9:$I$108,MATCH(C394,'Borrowers'!$C$9:$C$108,0))*INDEX('Borrowers'!$U$9:$U$108,MATCH(C394,'Borrowers'!$C$9:$C$108,0))*'Scenario Paths'!I21*S394,"Unavailable"))</x:f>
      </x:c>
      <x:c r="L394" s="23" t="str">
        <x:f>IF(C394="","",IFERROR(SUMPRODUCT((Sites!$D$9:$D$108=C394)*Sites!$H$9:$H$108*Sites!$J$9:$J$108*Sites!$K$9:$K$108*(1-Sites!$L$9:$L$108)*(1-Sites!$M$9:$M$108))*'Scenario Paths'!I27,"Unavailable"))</x:f>
      </x:c>
      <x:c r="M394" s="23" t="str">
        <x:f>IF(C394="","",IFERROR(INDEX('Borrowers'!$J$9:$J$108,MATCH(C394,'Borrowers'!$C$9:$C$108,0))+H394-SUM(I394:L394),"Unavailable"))</x:f>
      </x:c>
      <x:c r="N394" s="23" t="str">
        <x:f>IF(C394="","",IFERROR(INDEX('Borrowers'!$I$9:$I$108,MATCH(C394,'Borrowers'!$C$9:$C$108,0))*'Scenario Paths'!I33,"Unavailable"))</x:f>
      </x:c>
      <x:c r="O394" s="23" t="str">
        <x:f>IF(C394="","",IFERROR(M394-INDEX('Borrowers'!$K$9:$K$108,MATCH(C394,'Borrowers'!$C$9:$C$108,0))-N394,"Unavailable"))</x:f>
      </x:c>
      <x:c r="P394" s="127" t="str">
        <x:f>IF(C394="","",IFERROR(O394/INDEX('Borrowers'!$L$9:$L$108,MATCH(C394,'Borrowers'!$C$9:$C$108,0)),"Unavailable"))</x:f>
      </x:c>
      <x:c r="Q394" s="30" t="str">
        <x:f>IF(C394="","",IFERROR(IF(INDEX('Borrowers'!$Z$9:$Z$108,MATCH(C394,'Borrowers'!$C$9:$C$108,0))="Yes",1,IF(INDEX('Borrowers'!$P$9:$P$108,MATCH(C394,'Borrowers'!$C$9:$C$108,0))=0,0,MIN(1,INDEX('Borrowers'!$P$9:$P$108,MATCH(C394,'Borrowers'!$C$9:$C$108,0))*EXP(MIN(20,INDEX('Borrowers'!$V$9:$V$108,MATCH(C394,'Borrowers'!$C$9:$C$108,0))*V394))))),"Unavailable"))</x:f>
      </x:c>
      <x:c r="R394" s="30" t="str">
        <x:f>IF(C394="","",IFERROR(MIN(1,INDEX('Borrowers'!$Q$9:$Q$108,MATCH(C394,'Borrowers'!$C$9:$C$108,0))+(1-INDEX('Borrowers'!$Q$9:$Q$108,MATCH(C394,'Borrowers'!$C$9:$C$108,0)))*T394),"Unavailable"))</x:f>
      </x:c>
      <x:c r="S394" s="30" t="str">
        <x:f>IF(C394="","",IFERROR(SUMPRODUCT((Sites!$D$9:$D$108=C394)*Sites!$I$9:$I$108*Sites!$J$9:$J$108*Sites!$K$9:$K$108*(1-Sites!$L$9:$L$108)),"Unavailable"))</x:f>
      </x:c>
      <x:c r="T394" s="30" t="str">
        <x:f>IF(C394="","",IFERROR(MIN(1,(SUMPRODUCT((Sites!$D$9:$D$108=C394)*Sites!$N$9:$N$108*Sites!$J$9:$J$108*Sites!$K$9:$K$108*(1-Sites!$L$9:$L$108)))*'Scenario Paths'!I27),"Unavailable"))</x:f>
      </x:c>
      <x:c r="U394" s="9" t="str">
        <x:f>IF(C394="","",IF(OR(INDEX('Borrowers'!$AA$9:$AA$108,MATCH(C394,'Borrowers'!$C$9:$C$108,0))&lt;&gt;"Ready",COUNTIF(Sites!$D$9:$D$108,C394)=0,COUNTIFS(Sites!$D$9:$D$108,C394,Sites!$Q$9:$Q$108,"&lt;&gt;Ready")&gt;0,'Scenario Paths'!$F$6&lt;&gt;"Ready"),"Review source inputs","Ready"))</x:f>
      </x:c>
      <x:c r="V394" s="17" t="str">
        <x:f>IF(C394="","",IFERROR(MAX(-1,(G394-O394)/MAX(0.000001,G394)),"Unavailable"))</x:f>
      </x:c>
      <x:c r="W394" s="9" t="str">
        <x:f>IF(C394="","",IFERROR(INDEX('Borrowers'!$D$9:$D$108,MATCH(C394,'Borrowers'!$C$9:$C$108,0)),"Unavailable"))</x:f>
      </x:c>
    </x:row>
    <x:row r="395" ht="26" customHeight="1">
      <x:c r="A395" s="1"/>
      <x:c r="B395" s="1"/>
      <x:c r="C395" s="9" t="str">
        <x:f>IF(Borrowers!C95="","",Borrowers!C95)</x:f>
      </x:c>
      <x:c r="D395" s="3" t="n">
        <x:v>4</x:v>
      </x:c>
      <x:c r="E395" s="9" t="n">
        <x:f>Settings!$F$18+3</x:f>
        <x:v>2030</x:v>
      </x:c>
      <x:c r="F395" s="9" t="str">
        <x:f>IF(C395="","",INDEX('Borrowers'!$F$9:$F$108,MATCH(C395,'Borrowers'!$C$9:$C$108,0)))</x:f>
      </x:c>
      <x:c r="G395" s="23" t="str">
        <x:f>IF(C395="","",IFERROR(INDEX('Borrowers'!$J$9:$J$108,MATCH(C395,'Borrowers'!$C$9:$C$108,0))-INDEX('Borrowers'!$K$9:$K$108,MATCH(C395,'Borrowers'!$C$9:$C$108,0)),"Unavailable"))</x:f>
      </x:c>
      <x:c r="H395" s="23" t="str">
        <x:f>IF(C395="","",IFERROR(INDEX('Borrowers'!$I$9:$I$108,MATCH(C395,'Borrowers'!$C$9:$C$108,0))*INDEX('Borrowers'!$U$9:$U$108,MATCH(C395,'Borrowers'!$C$9:$C$108,0))*(IF(F395="Transport",'Scenario Paths'!I156,IF(F395="Technology",'Scenario Paths'!I150,IF(F395="Utilities",'Scenario Paths'!I144,IF(F395="Agriculture",'Scenario Paths'!I138,IF(F395="Manufacturing",'Scenario Paths'!I132,IF(F395="Healthcare",'Scenario Paths'!I126,IF(F395="Hospitality",'Scenario Paths'!I120,IF(F395="Property",'Scenario Paths'!I114,IF(F395="Food",'Scenario Paths'!I108,IF(F395="Logistics",'Scenario Paths'!I102,IF(F395="Solar",'Scenario Paths'!I96,IF(F395="Cement",'Scenario Paths'!I90,0))))))))))))),"Unavailable"))</x:f>
      </x:c>
      <x:c r="I395" s="23" t="str">
        <x:f>IF(C395="","",IFERROR(INDEX('Borrowers'!$R$9:$R$108,MATCH(C395,'Borrowers'!$C$9:$C$108,0))*(1-INDEX('Borrowers'!$W$9:$W$108,MATCH(C395,'Borrowers'!$C$9:$C$108,0))*'Scenario Paths'!I39)*'Scenario Paths'!I9/1000000*(1-INDEX('Borrowers'!$T$9:$T$108,MATCH(C395,'Borrowers'!$C$9:$C$108,0))),"Unavailable"))</x:f>
      </x:c>
      <x:c r="J395" s="23" t="str">
        <x:f>IF(C395="","",IFERROR(INDEX('Borrowers'!$I$9:$I$108,MATCH(C395,'Borrowers'!$C$9:$C$108,0))*INDEX('Borrowers'!$S$9:$S$108,MATCH(C395,'Borrowers'!$C$9:$C$108,0))*'Scenario Paths'!I15*(1-INDEX('Borrowers'!$T$9:$T$108,MATCH(C395,'Borrowers'!$C$9:$C$108,0))),"Unavailable"))</x:f>
      </x:c>
      <x:c r="K395" s="23" t="str">
        <x:f>IF(C395="","",IFERROR(INDEX('Borrowers'!$I$9:$I$108,MATCH(C395,'Borrowers'!$C$9:$C$108,0))*INDEX('Borrowers'!$U$9:$U$108,MATCH(C395,'Borrowers'!$C$9:$C$108,0))*'Scenario Paths'!I21*S395,"Unavailable"))</x:f>
      </x:c>
      <x:c r="L395" s="23" t="str">
        <x:f>IF(C395="","",IFERROR(SUMPRODUCT((Sites!$D$9:$D$108=C395)*Sites!$H$9:$H$108*Sites!$J$9:$J$108*Sites!$K$9:$K$108*(1-Sites!$L$9:$L$108)*(1-Sites!$M$9:$M$108))*'Scenario Paths'!I27,"Unavailable"))</x:f>
      </x:c>
      <x:c r="M395" s="23" t="str">
        <x:f>IF(C395="","",IFERROR(INDEX('Borrowers'!$J$9:$J$108,MATCH(C395,'Borrowers'!$C$9:$C$108,0))+H395-SUM(I395:L395),"Unavailable"))</x:f>
      </x:c>
      <x:c r="N395" s="23" t="str">
        <x:f>IF(C395="","",IFERROR(INDEX('Borrowers'!$I$9:$I$108,MATCH(C395,'Borrowers'!$C$9:$C$108,0))*'Scenario Paths'!I33,"Unavailable"))</x:f>
      </x:c>
      <x:c r="O395" s="23" t="str">
        <x:f>IF(C395="","",IFERROR(M395-INDEX('Borrowers'!$K$9:$K$108,MATCH(C395,'Borrowers'!$C$9:$C$108,0))-N395,"Unavailable"))</x:f>
      </x:c>
      <x:c r="P395" s="127" t="str">
        <x:f>IF(C395="","",IFERROR(O395/INDEX('Borrowers'!$L$9:$L$108,MATCH(C395,'Borrowers'!$C$9:$C$108,0)),"Unavailable"))</x:f>
      </x:c>
      <x:c r="Q395" s="30" t="str">
        <x:f>IF(C395="","",IFERROR(IF(INDEX('Borrowers'!$Z$9:$Z$108,MATCH(C395,'Borrowers'!$C$9:$C$108,0))="Yes",1,IF(INDEX('Borrowers'!$P$9:$P$108,MATCH(C395,'Borrowers'!$C$9:$C$108,0))=0,0,MIN(1,INDEX('Borrowers'!$P$9:$P$108,MATCH(C395,'Borrowers'!$C$9:$C$108,0))*EXP(MIN(20,INDEX('Borrowers'!$V$9:$V$108,MATCH(C395,'Borrowers'!$C$9:$C$108,0))*V395))))),"Unavailable"))</x:f>
      </x:c>
      <x:c r="R395" s="30" t="str">
        <x:f>IF(C395="","",IFERROR(MIN(1,INDEX('Borrowers'!$Q$9:$Q$108,MATCH(C395,'Borrowers'!$C$9:$C$108,0))+(1-INDEX('Borrowers'!$Q$9:$Q$108,MATCH(C395,'Borrowers'!$C$9:$C$108,0)))*T395),"Unavailable"))</x:f>
      </x:c>
      <x:c r="S395" s="30" t="str">
        <x:f>IF(C395="","",IFERROR(SUMPRODUCT((Sites!$D$9:$D$108=C395)*Sites!$I$9:$I$108*Sites!$J$9:$J$108*Sites!$K$9:$K$108*(1-Sites!$L$9:$L$108)),"Unavailable"))</x:f>
      </x:c>
      <x:c r="T395" s="30" t="str">
        <x:f>IF(C395="","",IFERROR(MIN(1,(SUMPRODUCT((Sites!$D$9:$D$108=C395)*Sites!$N$9:$N$108*Sites!$J$9:$J$108*Sites!$K$9:$K$108*(1-Sites!$L$9:$L$108)))*'Scenario Paths'!I27),"Unavailable"))</x:f>
      </x:c>
      <x:c r="U395" s="9" t="str">
        <x:f>IF(C395="","",IF(OR(INDEX('Borrowers'!$AA$9:$AA$108,MATCH(C395,'Borrowers'!$C$9:$C$108,0))&lt;&gt;"Ready",COUNTIF(Sites!$D$9:$D$108,C395)=0,COUNTIFS(Sites!$D$9:$D$108,C395,Sites!$Q$9:$Q$108,"&lt;&gt;Ready")&gt;0,'Scenario Paths'!$F$6&lt;&gt;"Ready"),"Review source inputs","Ready"))</x:f>
      </x:c>
      <x:c r="V395" s="17" t="str">
        <x:f>IF(C395="","",IFERROR(MAX(-1,(G395-O395)/MAX(0.000001,G395)),"Unavailable"))</x:f>
      </x:c>
      <x:c r="W395" s="9" t="str">
        <x:f>IF(C395="","",IFERROR(INDEX('Borrowers'!$D$9:$D$108,MATCH(C395,'Borrowers'!$C$9:$C$108,0)),"Unavailable"))</x:f>
      </x:c>
    </x:row>
    <x:row r="396" ht="26" customHeight="1">
      <x:c r="A396" s="1"/>
      <x:c r="B396" s="1"/>
      <x:c r="C396" s="9" t="str">
        <x:f>IF(Borrowers!C96="","",Borrowers!C96)</x:f>
      </x:c>
      <x:c r="D396" s="3" t="n">
        <x:v>4</x:v>
      </x:c>
      <x:c r="E396" s="9" t="n">
        <x:f>Settings!$F$18+3</x:f>
        <x:v>2030</x:v>
      </x:c>
      <x:c r="F396" s="9" t="str">
        <x:f>IF(C396="","",INDEX('Borrowers'!$F$9:$F$108,MATCH(C396,'Borrowers'!$C$9:$C$108,0)))</x:f>
      </x:c>
      <x:c r="G396" s="23" t="str">
        <x:f>IF(C396="","",IFERROR(INDEX('Borrowers'!$J$9:$J$108,MATCH(C396,'Borrowers'!$C$9:$C$108,0))-INDEX('Borrowers'!$K$9:$K$108,MATCH(C396,'Borrowers'!$C$9:$C$108,0)),"Unavailable"))</x:f>
      </x:c>
      <x:c r="H396" s="23" t="str">
        <x:f>IF(C396="","",IFERROR(INDEX('Borrowers'!$I$9:$I$108,MATCH(C396,'Borrowers'!$C$9:$C$108,0))*INDEX('Borrowers'!$U$9:$U$108,MATCH(C396,'Borrowers'!$C$9:$C$108,0))*(IF(F396="Transport",'Scenario Paths'!I156,IF(F396="Technology",'Scenario Paths'!I150,IF(F396="Utilities",'Scenario Paths'!I144,IF(F396="Agriculture",'Scenario Paths'!I138,IF(F396="Manufacturing",'Scenario Paths'!I132,IF(F396="Healthcare",'Scenario Paths'!I126,IF(F396="Hospitality",'Scenario Paths'!I120,IF(F396="Property",'Scenario Paths'!I114,IF(F396="Food",'Scenario Paths'!I108,IF(F396="Logistics",'Scenario Paths'!I102,IF(F396="Solar",'Scenario Paths'!I96,IF(F396="Cement",'Scenario Paths'!I90,0))))))))))))),"Unavailable"))</x:f>
      </x:c>
      <x:c r="I396" s="23" t="str">
        <x:f>IF(C396="","",IFERROR(INDEX('Borrowers'!$R$9:$R$108,MATCH(C396,'Borrowers'!$C$9:$C$108,0))*(1-INDEX('Borrowers'!$W$9:$W$108,MATCH(C396,'Borrowers'!$C$9:$C$108,0))*'Scenario Paths'!I39)*'Scenario Paths'!I9/1000000*(1-INDEX('Borrowers'!$T$9:$T$108,MATCH(C396,'Borrowers'!$C$9:$C$108,0))),"Unavailable"))</x:f>
      </x:c>
      <x:c r="J396" s="23" t="str">
        <x:f>IF(C396="","",IFERROR(INDEX('Borrowers'!$I$9:$I$108,MATCH(C396,'Borrowers'!$C$9:$C$108,0))*INDEX('Borrowers'!$S$9:$S$108,MATCH(C396,'Borrowers'!$C$9:$C$108,0))*'Scenario Paths'!I15*(1-INDEX('Borrowers'!$T$9:$T$108,MATCH(C396,'Borrowers'!$C$9:$C$108,0))),"Unavailable"))</x:f>
      </x:c>
      <x:c r="K396" s="23" t="str">
        <x:f>IF(C396="","",IFERROR(INDEX('Borrowers'!$I$9:$I$108,MATCH(C396,'Borrowers'!$C$9:$C$108,0))*INDEX('Borrowers'!$U$9:$U$108,MATCH(C396,'Borrowers'!$C$9:$C$108,0))*'Scenario Paths'!I21*S396,"Unavailable"))</x:f>
      </x:c>
      <x:c r="L396" s="23" t="str">
        <x:f>IF(C396="","",IFERROR(SUMPRODUCT((Sites!$D$9:$D$108=C396)*Sites!$H$9:$H$108*Sites!$J$9:$J$108*Sites!$K$9:$K$108*(1-Sites!$L$9:$L$108)*(1-Sites!$M$9:$M$108))*'Scenario Paths'!I27,"Unavailable"))</x:f>
      </x:c>
      <x:c r="M396" s="23" t="str">
        <x:f>IF(C396="","",IFERROR(INDEX('Borrowers'!$J$9:$J$108,MATCH(C396,'Borrowers'!$C$9:$C$108,0))+H396-SUM(I396:L396),"Unavailable"))</x:f>
      </x:c>
      <x:c r="N396" s="23" t="str">
        <x:f>IF(C396="","",IFERROR(INDEX('Borrowers'!$I$9:$I$108,MATCH(C396,'Borrowers'!$C$9:$C$108,0))*'Scenario Paths'!I33,"Unavailable"))</x:f>
      </x:c>
      <x:c r="O396" s="23" t="str">
        <x:f>IF(C396="","",IFERROR(M396-INDEX('Borrowers'!$K$9:$K$108,MATCH(C396,'Borrowers'!$C$9:$C$108,0))-N396,"Unavailable"))</x:f>
      </x:c>
      <x:c r="P396" s="127" t="str">
        <x:f>IF(C396="","",IFERROR(O396/INDEX('Borrowers'!$L$9:$L$108,MATCH(C396,'Borrowers'!$C$9:$C$108,0)),"Unavailable"))</x:f>
      </x:c>
      <x:c r="Q396" s="30" t="str">
        <x:f>IF(C396="","",IFERROR(IF(INDEX('Borrowers'!$Z$9:$Z$108,MATCH(C396,'Borrowers'!$C$9:$C$108,0))="Yes",1,IF(INDEX('Borrowers'!$P$9:$P$108,MATCH(C396,'Borrowers'!$C$9:$C$108,0))=0,0,MIN(1,INDEX('Borrowers'!$P$9:$P$108,MATCH(C396,'Borrowers'!$C$9:$C$108,0))*EXP(MIN(20,INDEX('Borrowers'!$V$9:$V$108,MATCH(C396,'Borrowers'!$C$9:$C$108,0))*V396))))),"Unavailable"))</x:f>
      </x:c>
      <x:c r="R396" s="30" t="str">
        <x:f>IF(C396="","",IFERROR(MIN(1,INDEX('Borrowers'!$Q$9:$Q$108,MATCH(C396,'Borrowers'!$C$9:$C$108,0))+(1-INDEX('Borrowers'!$Q$9:$Q$108,MATCH(C396,'Borrowers'!$C$9:$C$108,0)))*T396),"Unavailable"))</x:f>
      </x:c>
      <x:c r="S396" s="30" t="str">
        <x:f>IF(C396="","",IFERROR(SUMPRODUCT((Sites!$D$9:$D$108=C396)*Sites!$I$9:$I$108*Sites!$J$9:$J$108*Sites!$K$9:$K$108*(1-Sites!$L$9:$L$108)),"Unavailable"))</x:f>
      </x:c>
      <x:c r="T396" s="30" t="str">
        <x:f>IF(C396="","",IFERROR(MIN(1,(SUMPRODUCT((Sites!$D$9:$D$108=C396)*Sites!$N$9:$N$108*Sites!$J$9:$J$108*Sites!$K$9:$K$108*(1-Sites!$L$9:$L$108)))*'Scenario Paths'!I27),"Unavailable"))</x:f>
      </x:c>
      <x:c r="U396" s="9" t="str">
        <x:f>IF(C396="","",IF(OR(INDEX('Borrowers'!$AA$9:$AA$108,MATCH(C396,'Borrowers'!$C$9:$C$108,0))&lt;&gt;"Ready",COUNTIF(Sites!$D$9:$D$108,C396)=0,COUNTIFS(Sites!$D$9:$D$108,C396,Sites!$Q$9:$Q$108,"&lt;&gt;Ready")&gt;0,'Scenario Paths'!$F$6&lt;&gt;"Ready"),"Review source inputs","Ready"))</x:f>
      </x:c>
      <x:c r="V396" s="17" t="str">
        <x:f>IF(C396="","",IFERROR(MAX(-1,(G396-O396)/MAX(0.000001,G396)),"Unavailable"))</x:f>
      </x:c>
      <x:c r="W396" s="9" t="str">
        <x:f>IF(C396="","",IFERROR(INDEX('Borrowers'!$D$9:$D$108,MATCH(C396,'Borrowers'!$C$9:$C$108,0)),"Unavailable"))</x:f>
      </x:c>
    </x:row>
    <x:row r="397" ht="26" customHeight="1">
      <x:c r="A397" s="1"/>
      <x:c r="B397" s="1"/>
      <x:c r="C397" s="9" t="str">
        <x:f>IF(Borrowers!C97="","",Borrowers!C97)</x:f>
      </x:c>
      <x:c r="D397" s="3" t="n">
        <x:v>4</x:v>
      </x:c>
      <x:c r="E397" s="9" t="n">
        <x:f>Settings!$F$18+3</x:f>
        <x:v>2030</x:v>
      </x:c>
      <x:c r="F397" s="9" t="str">
        <x:f>IF(C397="","",INDEX('Borrowers'!$F$9:$F$108,MATCH(C397,'Borrowers'!$C$9:$C$108,0)))</x:f>
      </x:c>
      <x:c r="G397" s="23" t="str">
        <x:f>IF(C397="","",IFERROR(INDEX('Borrowers'!$J$9:$J$108,MATCH(C397,'Borrowers'!$C$9:$C$108,0))-INDEX('Borrowers'!$K$9:$K$108,MATCH(C397,'Borrowers'!$C$9:$C$108,0)),"Unavailable"))</x:f>
      </x:c>
      <x:c r="H397" s="23" t="str">
        <x:f>IF(C397="","",IFERROR(INDEX('Borrowers'!$I$9:$I$108,MATCH(C397,'Borrowers'!$C$9:$C$108,0))*INDEX('Borrowers'!$U$9:$U$108,MATCH(C397,'Borrowers'!$C$9:$C$108,0))*(IF(F397="Transport",'Scenario Paths'!I156,IF(F397="Technology",'Scenario Paths'!I150,IF(F397="Utilities",'Scenario Paths'!I144,IF(F397="Agriculture",'Scenario Paths'!I138,IF(F397="Manufacturing",'Scenario Paths'!I132,IF(F397="Healthcare",'Scenario Paths'!I126,IF(F397="Hospitality",'Scenario Paths'!I120,IF(F397="Property",'Scenario Paths'!I114,IF(F397="Food",'Scenario Paths'!I108,IF(F397="Logistics",'Scenario Paths'!I102,IF(F397="Solar",'Scenario Paths'!I96,IF(F397="Cement",'Scenario Paths'!I90,0))))))))))))),"Unavailable"))</x:f>
      </x:c>
      <x:c r="I397" s="23" t="str">
        <x:f>IF(C397="","",IFERROR(INDEX('Borrowers'!$R$9:$R$108,MATCH(C397,'Borrowers'!$C$9:$C$108,0))*(1-INDEX('Borrowers'!$W$9:$W$108,MATCH(C397,'Borrowers'!$C$9:$C$108,0))*'Scenario Paths'!I39)*'Scenario Paths'!I9/1000000*(1-INDEX('Borrowers'!$T$9:$T$108,MATCH(C397,'Borrowers'!$C$9:$C$108,0))),"Unavailable"))</x:f>
      </x:c>
      <x:c r="J397" s="23" t="str">
        <x:f>IF(C397="","",IFERROR(INDEX('Borrowers'!$I$9:$I$108,MATCH(C397,'Borrowers'!$C$9:$C$108,0))*INDEX('Borrowers'!$S$9:$S$108,MATCH(C397,'Borrowers'!$C$9:$C$108,0))*'Scenario Paths'!I15*(1-INDEX('Borrowers'!$T$9:$T$108,MATCH(C397,'Borrowers'!$C$9:$C$108,0))),"Unavailable"))</x:f>
      </x:c>
      <x:c r="K397" s="23" t="str">
        <x:f>IF(C397="","",IFERROR(INDEX('Borrowers'!$I$9:$I$108,MATCH(C397,'Borrowers'!$C$9:$C$108,0))*INDEX('Borrowers'!$U$9:$U$108,MATCH(C397,'Borrowers'!$C$9:$C$108,0))*'Scenario Paths'!I21*S397,"Unavailable"))</x:f>
      </x:c>
      <x:c r="L397" s="23" t="str">
        <x:f>IF(C397="","",IFERROR(SUMPRODUCT((Sites!$D$9:$D$108=C397)*Sites!$H$9:$H$108*Sites!$J$9:$J$108*Sites!$K$9:$K$108*(1-Sites!$L$9:$L$108)*(1-Sites!$M$9:$M$108))*'Scenario Paths'!I27,"Unavailable"))</x:f>
      </x:c>
      <x:c r="M397" s="23" t="str">
        <x:f>IF(C397="","",IFERROR(INDEX('Borrowers'!$J$9:$J$108,MATCH(C397,'Borrowers'!$C$9:$C$108,0))+H397-SUM(I397:L397),"Unavailable"))</x:f>
      </x:c>
      <x:c r="N397" s="23" t="str">
        <x:f>IF(C397="","",IFERROR(INDEX('Borrowers'!$I$9:$I$108,MATCH(C397,'Borrowers'!$C$9:$C$108,0))*'Scenario Paths'!I33,"Unavailable"))</x:f>
      </x:c>
      <x:c r="O397" s="23" t="str">
        <x:f>IF(C397="","",IFERROR(M397-INDEX('Borrowers'!$K$9:$K$108,MATCH(C397,'Borrowers'!$C$9:$C$108,0))-N397,"Unavailable"))</x:f>
      </x:c>
      <x:c r="P397" s="127" t="str">
        <x:f>IF(C397="","",IFERROR(O397/INDEX('Borrowers'!$L$9:$L$108,MATCH(C397,'Borrowers'!$C$9:$C$108,0)),"Unavailable"))</x:f>
      </x:c>
      <x:c r="Q397" s="30" t="str">
        <x:f>IF(C397="","",IFERROR(IF(INDEX('Borrowers'!$Z$9:$Z$108,MATCH(C397,'Borrowers'!$C$9:$C$108,0))="Yes",1,IF(INDEX('Borrowers'!$P$9:$P$108,MATCH(C397,'Borrowers'!$C$9:$C$108,0))=0,0,MIN(1,INDEX('Borrowers'!$P$9:$P$108,MATCH(C397,'Borrowers'!$C$9:$C$108,0))*EXP(MIN(20,INDEX('Borrowers'!$V$9:$V$108,MATCH(C397,'Borrowers'!$C$9:$C$108,0))*V397))))),"Unavailable"))</x:f>
      </x:c>
      <x:c r="R397" s="30" t="str">
        <x:f>IF(C397="","",IFERROR(MIN(1,INDEX('Borrowers'!$Q$9:$Q$108,MATCH(C397,'Borrowers'!$C$9:$C$108,0))+(1-INDEX('Borrowers'!$Q$9:$Q$108,MATCH(C397,'Borrowers'!$C$9:$C$108,0)))*T397),"Unavailable"))</x:f>
      </x:c>
      <x:c r="S397" s="30" t="str">
        <x:f>IF(C397="","",IFERROR(SUMPRODUCT((Sites!$D$9:$D$108=C397)*Sites!$I$9:$I$108*Sites!$J$9:$J$108*Sites!$K$9:$K$108*(1-Sites!$L$9:$L$108)),"Unavailable"))</x:f>
      </x:c>
      <x:c r="T397" s="30" t="str">
        <x:f>IF(C397="","",IFERROR(MIN(1,(SUMPRODUCT((Sites!$D$9:$D$108=C397)*Sites!$N$9:$N$108*Sites!$J$9:$J$108*Sites!$K$9:$K$108*(1-Sites!$L$9:$L$108)))*'Scenario Paths'!I27),"Unavailable"))</x:f>
      </x:c>
      <x:c r="U397" s="9" t="str">
        <x:f>IF(C397="","",IF(OR(INDEX('Borrowers'!$AA$9:$AA$108,MATCH(C397,'Borrowers'!$C$9:$C$108,0))&lt;&gt;"Ready",COUNTIF(Sites!$D$9:$D$108,C397)=0,COUNTIFS(Sites!$D$9:$D$108,C397,Sites!$Q$9:$Q$108,"&lt;&gt;Ready")&gt;0,'Scenario Paths'!$F$6&lt;&gt;"Ready"),"Review source inputs","Ready"))</x:f>
      </x:c>
      <x:c r="V397" s="17" t="str">
        <x:f>IF(C397="","",IFERROR(MAX(-1,(G397-O397)/MAX(0.000001,G397)),"Unavailable"))</x:f>
      </x:c>
      <x:c r="W397" s="9" t="str">
        <x:f>IF(C397="","",IFERROR(INDEX('Borrowers'!$D$9:$D$108,MATCH(C397,'Borrowers'!$C$9:$C$108,0)),"Unavailable"))</x:f>
      </x:c>
    </x:row>
    <x:row r="398" ht="26" customHeight="1">
      <x:c r="A398" s="1"/>
      <x:c r="B398" s="1"/>
      <x:c r="C398" s="9" t="str">
        <x:f>IF(Borrowers!C98="","",Borrowers!C98)</x:f>
      </x:c>
      <x:c r="D398" s="3" t="n">
        <x:v>4</x:v>
      </x:c>
      <x:c r="E398" s="9" t="n">
        <x:f>Settings!$F$18+3</x:f>
        <x:v>2030</x:v>
      </x:c>
      <x:c r="F398" s="9" t="str">
        <x:f>IF(C398="","",INDEX('Borrowers'!$F$9:$F$108,MATCH(C398,'Borrowers'!$C$9:$C$108,0)))</x:f>
      </x:c>
      <x:c r="G398" s="23" t="str">
        <x:f>IF(C398="","",IFERROR(INDEX('Borrowers'!$J$9:$J$108,MATCH(C398,'Borrowers'!$C$9:$C$108,0))-INDEX('Borrowers'!$K$9:$K$108,MATCH(C398,'Borrowers'!$C$9:$C$108,0)),"Unavailable"))</x:f>
      </x:c>
      <x:c r="H398" s="23" t="str">
        <x:f>IF(C398="","",IFERROR(INDEX('Borrowers'!$I$9:$I$108,MATCH(C398,'Borrowers'!$C$9:$C$108,0))*INDEX('Borrowers'!$U$9:$U$108,MATCH(C398,'Borrowers'!$C$9:$C$108,0))*(IF(F398="Transport",'Scenario Paths'!I156,IF(F398="Technology",'Scenario Paths'!I150,IF(F398="Utilities",'Scenario Paths'!I144,IF(F398="Agriculture",'Scenario Paths'!I138,IF(F398="Manufacturing",'Scenario Paths'!I132,IF(F398="Healthcare",'Scenario Paths'!I126,IF(F398="Hospitality",'Scenario Paths'!I120,IF(F398="Property",'Scenario Paths'!I114,IF(F398="Food",'Scenario Paths'!I108,IF(F398="Logistics",'Scenario Paths'!I102,IF(F398="Solar",'Scenario Paths'!I96,IF(F398="Cement",'Scenario Paths'!I90,0))))))))))))),"Unavailable"))</x:f>
      </x:c>
      <x:c r="I398" s="23" t="str">
        <x:f>IF(C398="","",IFERROR(INDEX('Borrowers'!$R$9:$R$108,MATCH(C398,'Borrowers'!$C$9:$C$108,0))*(1-INDEX('Borrowers'!$W$9:$W$108,MATCH(C398,'Borrowers'!$C$9:$C$108,0))*'Scenario Paths'!I39)*'Scenario Paths'!I9/1000000*(1-INDEX('Borrowers'!$T$9:$T$108,MATCH(C398,'Borrowers'!$C$9:$C$108,0))),"Unavailable"))</x:f>
      </x:c>
      <x:c r="J398" s="23" t="str">
        <x:f>IF(C398="","",IFERROR(INDEX('Borrowers'!$I$9:$I$108,MATCH(C398,'Borrowers'!$C$9:$C$108,0))*INDEX('Borrowers'!$S$9:$S$108,MATCH(C398,'Borrowers'!$C$9:$C$108,0))*'Scenario Paths'!I15*(1-INDEX('Borrowers'!$T$9:$T$108,MATCH(C398,'Borrowers'!$C$9:$C$108,0))),"Unavailable"))</x:f>
      </x:c>
      <x:c r="K398" s="23" t="str">
        <x:f>IF(C398="","",IFERROR(INDEX('Borrowers'!$I$9:$I$108,MATCH(C398,'Borrowers'!$C$9:$C$108,0))*INDEX('Borrowers'!$U$9:$U$108,MATCH(C398,'Borrowers'!$C$9:$C$108,0))*'Scenario Paths'!I21*S398,"Unavailable"))</x:f>
      </x:c>
      <x:c r="L398" s="23" t="str">
        <x:f>IF(C398="","",IFERROR(SUMPRODUCT((Sites!$D$9:$D$108=C398)*Sites!$H$9:$H$108*Sites!$J$9:$J$108*Sites!$K$9:$K$108*(1-Sites!$L$9:$L$108)*(1-Sites!$M$9:$M$108))*'Scenario Paths'!I27,"Unavailable"))</x:f>
      </x:c>
      <x:c r="M398" s="23" t="str">
        <x:f>IF(C398="","",IFERROR(INDEX('Borrowers'!$J$9:$J$108,MATCH(C398,'Borrowers'!$C$9:$C$108,0))+H398-SUM(I398:L398),"Unavailable"))</x:f>
      </x:c>
      <x:c r="N398" s="23" t="str">
        <x:f>IF(C398="","",IFERROR(INDEX('Borrowers'!$I$9:$I$108,MATCH(C398,'Borrowers'!$C$9:$C$108,0))*'Scenario Paths'!I33,"Unavailable"))</x:f>
      </x:c>
      <x:c r="O398" s="23" t="str">
        <x:f>IF(C398="","",IFERROR(M398-INDEX('Borrowers'!$K$9:$K$108,MATCH(C398,'Borrowers'!$C$9:$C$108,0))-N398,"Unavailable"))</x:f>
      </x:c>
      <x:c r="P398" s="127" t="str">
        <x:f>IF(C398="","",IFERROR(O398/INDEX('Borrowers'!$L$9:$L$108,MATCH(C398,'Borrowers'!$C$9:$C$108,0)),"Unavailable"))</x:f>
      </x:c>
      <x:c r="Q398" s="30" t="str">
        <x:f>IF(C398="","",IFERROR(IF(INDEX('Borrowers'!$Z$9:$Z$108,MATCH(C398,'Borrowers'!$C$9:$C$108,0))="Yes",1,IF(INDEX('Borrowers'!$P$9:$P$108,MATCH(C398,'Borrowers'!$C$9:$C$108,0))=0,0,MIN(1,INDEX('Borrowers'!$P$9:$P$108,MATCH(C398,'Borrowers'!$C$9:$C$108,0))*EXP(MIN(20,INDEX('Borrowers'!$V$9:$V$108,MATCH(C398,'Borrowers'!$C$9:$C$108,0))*V398))))),"Unavailable"))</x:f>
      </x:c>
      <x:c r="R398" s="30" t="str">
        <x:f>IF(C398="","",IFERROR(MIN(1,INDEX('Borrowers'!$Q$9:$Q$108,MATCH(C398,'Borrowers'!$C$9:$C$108,0))+(1-INDEX('Borrowers'!$Q$9:$Q$108,MATCH(C398,'Borrowers'!$C$9:$C$108,0)))*T398),"Unavailable"))</x:f>
      </x:c>
      <x:c r="S398" s="30" t="str">
        <x:f>IF(C398="","",IFERROR(SUMPRODUCT((Sites!$D$9:$D$108=C398)*Sites!$I$9:$I$108*Sites!$J$9:$J$108*Sites!$K$9:$K$108*(1-Sites!$L$9:$L$108)),"Unavailable"))</x:f>
      </x:c>
      <x:c r="T398" s="30" t="str">
        <x:f>IF(C398="","",IFERROR(MIN(1,(SUMPRODUCT((Sites!$D$9:$D$108=C398)*Sites!$N$9:$N$108*Sites!$J$9:$J$108*Sites!$K$9:$K$108*(1-Sites!$L$9:$L$108)))*'Scenario Paths'!I27),"Unavailable"))</x:f>
      </x:c>
      <x:c r="U398" s="9" t="str">
        <x:f>IF(C398="","",IF(OR(INDEX('Borrowers'!$AA$9:$AA$108,MATCH(C398,'Borrowers'!$C$9:$C$108,0))&lt;&gt;"Ready",COUNTIF(Sites!$D$9:$D$108,C398)=0,COUNTIFS(Sites!$D$9:$D$108,C398,Sites!$Q$9:$Q$108,"&lt;&gt;Ready")&gt;0,'Scenario Paths'!$F$6&lt;&gt;"Ready"),"Review source inputs","Ready"))</x:f>
      </x:c>
      <x:c r="V398" s="17" t="str">
        <x:f>IF(C398="","",IFERROR(MAX(-1,(G398-O398)/MAX(0.000001,G398)),"Unavailable"))</x:f>
      </x:c>
      <x:c r="W398" s="9" t="str">
        <x:f>IF(C398="","",IFERROR(INDEX('Borrowers'!$D$9:$D$108,MATCH(C398,'Borrowers'!$C$9:$C$108,0)),"Unavailable"))</x:f>
      </x:c>
    </x:row>
    <x:row r="399" ht="26" customHeight="1">
      <x:c r="A399" s="1"/>
      <x:c r="B399" s="1"/>
      <x:c r="C399" s="9" t="str">
        <x:f>IF(Borrowers!C99="","",Borrowers!C99)</x:f>
      </x:c>
      <x:c r="D399" s="3" t="n">
        <x:v>4</x:v>
      </x:c>
      <x:c r="E399" s="9" t="n">
        <x:f>Settings!$F$18+3</x:f>
        <x:v>2030</x:v>
      </x:c>
      <x:c r="F399" s="9" t="str">
        <x:f>IF(C399="","",INDEX('Borrowers'!$F$9:$F$108,MATCH(C399,'Borrowers'!$C$9:$C$108,0)))</x:f>
      </x:c>
      <x:c r="G399" s="23" t="str">
        <x:f>IF(C399="","",IFERROR(INDEX('Borrowers'!$J$9:$J$108,MATCH(C399,'Borrowers'!$C$9:$C$108,0))-INDEX('Borrowers'!$K$9:$K$108,MATCH(C399,'Borrowers'!$C$9:$C$108,0)),"Unavailable"))</x:f>
      </x:c>
      <x:c r="H399" s="23" t="str">
        <x:f>IF(C399="","",IFERROR(INDEX('Borrowers'!$I$9:$I$108,MATCH(C399,'Borrowers'!$C$9:$C$108,0))*INDEX('Borrowers'!$U$9:$U$108,MATCH(C399,'Borrowers'!$C$9:$C$108,0))*(IF(F399="Transport",'Scenario Paths'!I156,IF(F399="Technology",'Scenario Paths'!I150,IF(F399="Utilities",'Scenario Paths'!I144,IF(F399="Agriculture",'Scenario Paths'!I138,IF(F399="Manufacturing",'Scenario Paths'!I132,IF(F399="Healthcare",'Scenario Paths'!I126,IF(F399="Hospitality",'Scenario Paths'!I120,IF(F399="Property",'Scenario Paths'!I114,IF(F399="Food",'Scenario Paths'!I108,IF(F399="Logistics",'Scenario Paths'!I102,IF(F399="Solar",'Scenario Paths'!I96,IF(F399="Cement",'Scenario Paths'!I90,0))))))))))))),"Unavailable"))</x:f>
      </x:c>
      <x:c r="I399" s="23" t="str">
        <x:f>IF(C399="","",IFERROR(INDEX('Borrowers'!$R$9:$R$108,MATCH(C399,'Borrowers'!$C$9:$C$108,0))*(1-INDEX('Borrowers'!$W$9:$W$108,MATCH(C399,'Borrowers'!$C$9:$C$108,0))*'Scenario Paths'!I39)*'Scenario Paths'!I9/1000000*(1-INDEX('Borrowers'!$T$9:$T$108,MATCH(C399,'Borrowers'!$C$9:$C$108,0))),"Unavailable"))</x:f>
      </x:c>
      <x:c r="J399" s="23" t="str">
        <x:f>IF(C399="","",IFERROR(INDEX('Borrowers'!$I$9:$I$108,MATCH(C399,'Borrowers'!$C$9:$C$108,0))*INDEX('Borrowers'!$S$9:$S$108,MATCH(C399,'Borrowers'!$C$9:$C$108,0))*'Scenario Paths'!I15*(1-INDEX('Borrowers'!$T$9:$T$108,MATCH(C399,'Borrowers'!$C$9:$C$108,0))),"Unavailable"))</x:f>
      </x:c>
      <x:c r="K399" s="23" t="str">
        <x:f>IF(C399="","",IFERROR(INDEX('Borrowers'!$I$9:$I$108,MATCH(C399,'Borrowers'!$C$9:$C$108,0))*INDEX('Borrowers'!$U$9:$U$108,MATCH(C399,'Borrowers'!$C$9:$C$108,0))*'Scenario Paths'!I21*S399,"Unavailable"))</x:f>
      </x:c>
      <x:c r="L399" s="23" t="str">
        <x:f>IF(C399="","",IFERROR(SUMPRODUCT((Sites!$D$9:$D$108=C399)*Sites!$H$9:$H$108*Sites!$J$9:$J$108*Sites!$K$9:$K$108*(1-Sites!$L$9:$L$108)*(1-Sites!$M$9:$M$108))*'Scenario Paths'!I27,"Unavailable"))</x:f>
      </x:c>
      <x:c r="M399" s="23" t="str">
        <x:f>IF(C399="","",IFERROR(INDEX('Borrowers'!$J$9:$J$108,MATCH(C399,'Borrowers'!$C$9:$C$108,0))+H399-SUM(I399:L399),"Unavailable"))</x:f>
      </x:c>
      <x:c r="N399" s="23" t="str">
        <x:f>IF(C399="","",IFERROR(INDEX('Borrowers'!$I$9:$I$108,MATCH(C399,'Borrowers'!$C$9:$C$108,0))*'Scenario Paths'!I33,"Unavailable"))</x:f>
      </x:c>
      <x:c r="O399" s="23" t="str">
        <x:f>IF(C399="","",IFERROR(M399-INDEX('Borrowers'!$K$9:$K$108,MATCH(C399,'Borrowers'!$C$9:$C$108,0))-N399,"Unavailable"))</x:f>
      </x:c>
      <x:c r="P399" s="127" t="str">
        <x:f>IF(C399="","",IFERROR(O399/INDEX('Borrowers'!$L$9:$L$108,MATCH(C399,'Borrowers'!$C$9:$C$108,0)),"Unavailable"))</x:f>
      </x:c>
      <x:c r="Q399" s="30" t="str">
        <x:f>IF(C399="","",IFERROR(IF(INDEX('Borrowers'!$Z$9:$Z$108,MATCH(C399,'Borrowers'!$C$9:$C$108,0))="Yes",1,IF(INDEX('Borrowers'!$P$9:$P$108,MATCH(C399,'Borrowers'!$C$9:$C$108,0))=0,0,MIN(1,INDEX('Borrowers'!$P$9:$P$108,MATCH(C399,'Borrowers'!$C$9:$C$108,0))*EXP(MIN(20,INDEX('Borrowers'!$V$9:$V$108,MATCH(C399,'Borrowers'!$C$9:$C$108,0))*V399))))),"Unavailable"))</x:f>
      </x:c>
      <x:c r="R399" s="30" t="str">
        <x:f>IF(C399="","",IFERROR(MIN(1,INDEX('Borrowers'!$Q$9:$Q$108,MATCH(C399,'Borrowers'!$C$9:$C$108,0))+(1-INDEX('Borrowers'!$Q$9:$Q$108,MATCH(C399,'Borrowers'!$C$9:$C$108,0)))*T399),"Unavailable"))</x:f>
      </x:c>
      <x:c r="S399" s="30" t="str">
        <x:f>IF(C399="","",IFERROR(SUMPRODUCT((Sites!$D$9:$D$108=C399)*Sites!$I$9:$I$108*Sites!$J$9:$J$108*Sites!$K$9:$K$108*(1-Sites!$L$9:$L$108)),"Unavailable"))</x:f>
      </x:c>
      <x:c r="T399" s="30" t="str">
        <x:f>IF(C399="","",IFERROR(MIN(1,(SUMPRODUCT((Sites!$D$9:$D$108=C399)*Sites!$N$9:$N$108*Sites!$J$9:$J$108*Sites!$K$9:$K$108*(1-Sites!$L$9:$L$108)))*'Scenario Paths'!I27),"Unavailable"))</x:f>
      </x:c>
      <x:c r="U399" s="9" t="str">
        <x:f>IF(C399="","",IF(OR(INDEX('Borrowers'!$AA$9:$AA$108,MATCH(C399,'Borrowers'!$C$9:$C$108,0))&lt;&gt;"Ready",COUNTIF(Sites!$D$9:$D$108,C399)=0,COUNTIFS(Sites!$D$9:$D$108,C399,Sites!$Q$9:$Q$108,"&lt;&gt;Ready")&gt;0,'Scenario Paths'!$F$6&lt;&gt;"Ready"),"Review source inputs","Ready"))</x:f>
      </x:c>
      <x:c r="V399" s="17" t="str">
        <x:f>IF(C399="","",IFERROR(MAX(-1,(G399-O399)/MAX(0.000001,G399)),"Unavailable"))</x:f>
      </x:c>
      <x:c r="W399" s="9" t="str">
        <x:f>IF(C399="","",IFERROR(INDEX('Borrowers'!$D$9:$D$108,MATCH(C399,'Borrowers'!$C$9:$C$108,0)),"Unavailable"))</x:f>
      </x:c>
    </x:row>
    <x:row r="400" ht="26" customHeight="1">
      <x:c r="A400" s="1"/>
      <x:c r="B400" s="1"/>
      <x:c r="C400" s="9" t="str">
        <x:f>IF(Borrowers!C100="","",Borrowers!C100)</x:f>
      </x:c>
      <x:c r="D400" s="3" t="n">
        <x:v>4</x:v>
      </x:c>
      <x:c r="E400" s="9" t="n">
        <x:f>Settings!$F$18+3</x:f>
        <x:v>2030</x:v>
      </x:c>
      <x:c r="F400" s="9" t="str">
        <x:f>IF(C400="","",INDEX('Borrowers'!$F$9:$F$108,MATCH(C400,'Borrowers'!$C$9:$C$108,0)))</x:f>
      </x:c>
      <x:c r="G400" s="23" t="str">
        <x:f>IF(C400="","",IFERROR(INDEX('Borrowers'!$J$9:$J$108,MATCH(C400,'Borrowers'!$C$9:$C$108,0))-INDEX('Borrowers'!$K$9:$K$108,MATCH(C400,'Borrowers'!$C$9:$C$108,0)),"Unavailable"))</x:f>
      </x:c>
      <x:c r="H400" s="23" t="str">
        <x:f>IF(C400="","",IFERROR(INDEX('Borrowers'!$I$9:$I$108,MATCH(C400,'Borrowers'!$C$9:$C$108,0))*INDEX('Borrowers'!$U$9:$U$108,MATCH(C400,'Borrowers'!$C$9:$C$108,0))*(IF(F400="Transport",'Scenario Paths'!I156,IF(F400="Technology",'Scenario Paths'!I150,IF(F400="Utilities",'Scenario Paths'!I144,IF(F400="Agriculture",'Scenario Paths'!I138,IF(F400="Manufacturing",'Scenario Paths'!I132,IF(F400="Healthcare",'Scenario Paths'!I126,IF(F400="Hospitality",'Scenario Paths'!I120,IF(F400="Property",'Scenario Paths'!I114,IF(F400="Food",'Scenario Paths'!I108,IF(F400="Logistics",'Scenario Paths'!I102,IF(F400="Solar",'Scenario Paths'!I96,IF(F400="Cement",'Scenario Paths'!I90,0))))))))))))),"Unavailable"))</x:f>
      </x:c>
      <x:c r="I400" s="23" t="str">
        <x:f>IF(C400="","",IFERROR(INDEX('Borrowers'!$R$9:$R$108,MATCH(C400,'Borrowers'!$C$9:$C$108,0))*(1-INDEX('Borrowers'!$W$9:$W$108,MATCH(C400,'Borrowers'!$C$9:$C$108,0))*'Scenario Paths'!I39)*'Scenario Paths'!I9/1000000*(1-INDEX('Borrowers'!$T$9:$T$108,MATCH(C400,'Borrowers'!$C$9:$C$108,0))),"Unavailable"))</x:f>
      </x:c>
      <x:c r="J400" s="23" t="str">
        <x:f>IF(C400="","",IFERROR(INDEX('Borrowers'!$I$9:$I$108,MATCH(C400,'Borrowers'!$C$9:$C$108,0))*INDEX('Borrowers'!$S$9:$S$108,MATCH(C400,'Borrowers'!$C$9:$C$108,0))*'Scenario Paths'!I15*(1-INDEX('Borrowers'!$T$9:$T$108,MATCH(C400,'Borrowers'!$C$9:$C$108,0))),"Unavailable"))</x:f>
      </x:c>
      <x:c r="K400" s="23" t="str">
        <x:f>IF(C400="","",IFERROR(INDEX('Borrowers'!$I$9:$I$108,MATCH(C400,'Borrowers'!$C$9:$C$108,0))*INDEX('Borrowers'!$U$9:$U$108,MATCH(C400,'Borrowers'!$C$9:$C$108,0))*'Scenario Paths'!I21*S400,"Unavailable"))</x:f>
      </x:c>
      <x:c r="L400" s="23" t="str">
        <x:f>IF(C400="","",IFERROR(SUMPRODUCT((Sites!$D$9:$D$108=C400)*Sites!$H$9:$H$108*Sites!$J$9:$J$108*Sites!$K$9:$K$108*(1-Sites!$L$9:$L$108)*(1-Sites!$M$9:$M$108))*'Scenario Paths'!I27,"Unavailable"))</x:f>
      </x:c>
      <x:c r="M400" s="23" t="str">
        <x:f>IF(C400="","",IFERROR(INDEX('Borrowers'!$J$9:$J$108,MATCH(C400,'Borrowers'!$C$9:$C$108,0))+H400-SUM(I400:L400),"Unavailable"))</x:f>
      </x:c>
      <x:c r="N400" s="23" t="str">
        <x:f>IF(C400="","",IFERROR(INDEX('Borrowers'!$I$9:$I$108,MATCH(C400,'Borrowers'!$C$9:$C$108,0))*'Scenario Paths'!I33,"Unavailable"))</x:f>
      </x:c>
      <x:c r="O400" s="23" t="str">
        <x:f>IF(C400="","",IFERROR(M400-INDEX('Borrowers'!$K$9:$K$108,MATCH(C400,'Borrowers'!$C$9:$C$108,0))-N400,"Unavailable"))</x:f>
      </x:c>
      <x:c r="P400" s="127" t="str">
        <x:f>IF(C400="","",IFERROR(O400/INDEX('Borrowers'!$L$9:$L$108,MATCH(C400,'Borrowers'!$C$9:$C$108,0)),"Unavailable"))</x:f>
      </x:c>
      <x:c r="Q400" s="30" t="str">
        <x:f>IF(C400="","",IFERROR(IF(INDEX('Borrowers'!$Z$9:$Z$108,MATCH(C400,'Borrowers'!$C$9:$C$108,0))="Yes",1,IF(INDEX('Borrowers'!$P$9:$P$108,MATCH(C400,'Borrowers'!$C$9:$C$108,0))=0,0,MIN(1,INDEX('Borrowers'!$P$9:$P$108,MATCH(C400,'Borrowers'!$C$9:$C$108,0))*EXP(MIN(20,INDEX('Borrowers'!$V$9:$V$108,MATCH(C400,'Borrowers'!$C$9:$C$108,0))*V400))))),"Unavailable"))</x:f>
      </x:c>
      <x:c r="R400" s="30" t="str">
        <x:f>IF(C400="","",IFERROR(MIN(1,INDEX('Borrowers'!$Q$9:$Q$108,MATCH(C400,'Borrowers'!$C$9:$C$108,0))+(1-INDEX('Borrowers'!$Q$9:$Q$108,MATCH(C400,'Borrowers'!$C$9:$C$108,0)))*T400),"Unavailable"))</x:f>
      </x:c>
      <x:c r="S400" s="30" t="str">
        <x:f>IF(C400="","",IFERROR(SUMPRODUCT((Sites!$D$9:$D$108=C400)*Sites!$I$9:$I$108*Sites!$J$9:$J$108*Sites!$K$9:$K$108*(1-Sites!$L$9:$L$108)),"Unavailable"))</x:f>
      </x:c>
      <x:c r="T400" s="30" t="str">
        <x:f>IF(C400="","",IFERROR(MIN(1,(SUMPRODUCT((Sites!$D$9:$D$108=C400)*Sites!$N$9:$N$108*Sites!$J$9:$J$108*Sites!$K$9:$K$108*(1-Sites!$L$9:$L$108)))*'Scenario Paths'!I27),"Unavailable"))</x:f>
      </x:c>
      <x:c r="U400" s="9" t="str">
        <x:f>IF(C400="","",IF(OR(INDEX('Borrowers'!$AA$9:$AA$108,MATCH(C400,'Borrowers'!$C$9:$C$108,0))&lt;&gt;"Ready",COUNTIF(Sites!$D$9:$D$108,C400)=0,COUNTIFS(Sites!$D$9:$D$108,C400,Sites!$Q$9:$Q$108,"&lt;&gt;Ready")&gt;0,'Scenario Paths'!$F$6&lt;&gt;"Ready"),"Review source inputs","Ready"))</x:f>
      </x:c>
      <x:c r="V400" s="17" t="str">
        <x:f>IF(C400="","",IFERROR(MAX(-1,(G400-O400)/MAX(0.000001,G400)),"Unavailable"))</x:f>
      </x:c>
      <x:c r="W400" s="9" t="str">
        <x:f>IF(C400="","",IFERROR(INDEX('Borrowers'!$D$9:$D$108,MATCH(C400,'Borrowers'!$C$9:$C$108,0)),"Unavailable"))</x:f>
      </x:c>
    </x:row>
    <x:row r="401" ht="26" customHeight="1">
      <x:c r="A401" s="1"/>
      <x:c r="B401" s="1"/>
      <x:c r="C401" s="9" t="str">
        <x:f>IF(Borrowers!C101="","",Borrowers!C101)</x:f>
      </x:c>
      <x:c r="D401" s="3" t="n">
        <x:v>4</x:v>
      </x:c>
      <x:c r="E401" s="9" t="n">
        <x:f>Settings!$F$18+3</x:f>
        <x:v>2030</x:v>
      </x:c>
      <x:c r="F401" s="9" t="str">
        <x:f>IF(C401="","",INDEX('Borrowers'!$F$9:$F$108,MATCH(C401,'Borrowers'!$C$9:$C$108,0)))</x:f>
      </x:c>
      <x:c r="G401" s="23" t="str">
        <x:f>IF(C401="","",IFERROR(INDEX('Borrowers'!$J$9:$J$108,MATCH(C401,'Borrowers'!$C$9:$C$108,0))-INDEX('Borrowers'!$K$9:$K$108,MATCH(C401,'Borrowers'!$C$9:$C$108,0)),"Unavailable"))</x:f>
      </x:c>
      <x:c r="H401" s="23" t="str">
        <x:f>IF(C401="","",IFERROR(INDEX('Borrowers'!$I$9:$I$108,MATCH(C401,'Borrowers'!$C$9:$C$108,0))*INDEX('Borrowers'!$U$9:$U$108,MATCH(C401,'Borrowers'!$C$9:$C$108,0))*(IF(F401="Transport",'Scenario Paths'!I156,IF(F401="Technology",'Scenario Paths'!I150,IF(F401="Utilities",'Scenario Paths'!I144,IF(F401="Agriculture",'Scenario Paths'!I138,IF(F401="Manufacturing",'Scenario Paths'!I132,IF(F401="Healthcare",'Scenario Paths'!I126,IF(F401="Hospitality",'Scenario Paths'!I120,IF(F401="Property",'Scenario Paths'!I114,IF(F401="Food",'Scenario Paths'!I108,IF(F401="Logistics",'Scenario Paths'!I102,IF(F401="Solar",'Scenario Paths'!I96,IF(F401="Cement",'Scenario Paths'!I90,0))))))))))))),"Unavailable"))</x:f>
      </x:c>
      <x:c r="I401" s="23" t="str">
        <x:f>IF(C401="","",IFERROR(INDEX('Borrowers'!$R$9:$R$108,MATCH(C401,'Borrowers'!$C$9:$C$108,0))*(1-INDEX('Borrowers'!$W$9:$W$108,MATCH(C401,'Borrowers'!$C$9:$C$108,0))*'Scenario Paths'!I39)*'Scenario Paths'!I9/1000000*(1-INDEX('Borrowers'!$T$9:$T$108,MATCH(C401,'Borrowers'!$C$9:$C$108,0))),"Unavailable"))</x:f>
      </x:c>
      <x:c r="J401" s="23" t="str">
        <x:f>IF(C401="","",IFERROR(INDEX('Borrowers'!$I$9:$I$108,MATCH(C401,'Borrowers'!$C$9:$C$108,0))*INDEX('Borrowers'!$S$9:$S$108,MATCH(C401,'Borrowers'!$C$9:$C$108,0))*'Scenario Paths'!I15*(1-INDEX('Borrowers'!$T$9:$T$108,MATCH(C401,'Borrowers'!$C$9:$C$108,0))),"Unavailable"))</x:f>
      </x:c>
      <x:c r="K401" s="23" t="str">
        <x:f>IF(C401="","",IFERROR(INDEX('Borrowers'!$I$9:$I$108,MATCH(C401,'Borrowers'!$C$9:$C$108,0))*INDEX('Borrowers'!$U$9:$U$108,MATCH(C401,'Borrowers'!$C$9:$C$108,0))*'Scenario Paths'!I21*S401,"Unavailable"))</x:f>
      </x:c>
      <x:c r="L401" s="23" t="str">
        <x:f>IF(C401="","",IFERROR(SUMPRODUCT((Sites!$D$9:$D$108=C401)*Sites!$H$9:$H$108*Sites!$J$9:$J$108*Sites!$K$9:$K$108*(1-Sites!$L$9:$L$108)*(1-Sites!$M$9:$M$108))*'Scenario Paths'!I27,"Unavailable"))</x:f>
      </x:c>
      <x:c r="M401" s="23" t="str">
        <x:f>IF(C401="","",IFERROR(INDEX('Borrowers'!$J$9:$J$108,MATCH(C401,'Borrowers'!$C$9:$C$108,0))+H401-SUM(I401:L401),"Unavailable"))</x:f>
      </x:c>
      <x:c r="N401" s="23" t="str">
        <x:f>IF(C401="","",IFERROR(INDEX('Borrowers'!$I$9:$I$108,MATCH(C401,'Borrowers'!$C$9:$C$108,0))*'Scenario Paths'!I33,"Unavailable"))</x:f>
      </x:c>
      <x:c r="O401" s="23" t="str">
        <x:f>IF(C401="","",IFERROR(M401-INDEX('Borrowers'!$K$9:$K$108,MATCH(C401,'Borrowers'!$C$9:$C$108,0))-N401,"Unavailable"))</x:f>
      </x:c>
      <x:c r="P401" s="127" t="str">
        <x:f>IF(C401="","",IFERROR(O401/INDEX('Borrowers'!$L$9:$L$108,MATCH(C401,'Borrowers'!$C$9:$C$108,0)),"Unavailable"))</x:f>
      </x:c>
      <x:c r="Q401" s="30" t="str">
        <x:f>IF(C401="","",IFERROR(IF(INDEX('Borrowers'!$Z$9:$Z$108,MATCH(C401,'Borrowers'!$C$9:$C$108,0))="Yes",1,IF(INDEX('Borrowers'!$P$9:$P$108,MATCH(C401,'Borrowers'!$C$9:$C$108,0))=0,0,MIN(1,INDEX('Borrowers'!$P$9:$P$108,MATCH(C401,'Borrowers'!$C$9:$C$108,0))*EXP(MIN(20,INDEX('Borrowers'!$V$9:$V$108,MATCH(C401,'Borrowers'!$C$9:$C$108,0))*V401))))),"Unavailable"))</x:f>
      </x:c>
      <x:c r="R401" s="30" t="str">
        <x:f>IF(C401="","",IFERROR(MIN(1,INDEX('Borrowers'!$Q$9:$Q$108,MATCH(C401,'Borrowers'!$C$9:$C$108,0))+(1-INDEX('Borrowers'!$Q$9:$Q$108,MATCH(C401,'Borrowers'!$C$9:$C$108,0)))*T401),"Unavailable"))</x:f>
      </x:c>
      <x:c r="S401" s="30" t="str">
        <x:f>IF(C401="","",IFERROR(SUMPRODUCT((Sites!$D$9:$D$108=C401)*Sites!$I$9:$I$108*Sites!$J$9:$J$108*Sites!$K$9:$K$108*(1-Sites!$L$9:$L$108)),"Unavailable"))</x:f>
      </x:c>
      <x:c r="T401" s="30" t="str">
        <x:f>IF(C401="","",IFERROR(MIN(1,(SUMPRODUCT((Sites!$D$9:$D$108=C401)*Sites!$N$9:$N$108*Sites!$J$9:$J$108*Sites!$K$9:$K$108*(1-Sites!$L$9:$L$108)))*'Scenario Paths'!I27),"Unavailable"))</x:f>
      </x:c>
      <x:c r="U401" s="9" t="str">
        <x:f>IF(C401="","",IF(OR(INDEX('Borrowers'!$AA$9:$AA$108,MATCH(C401,'Borrowers'!$C$9:$C$108,0))&lt;&gt;"Ready",COUNTIF(Sites!$D$9:$D$108,C401)=0,COUNTIFS(Sites!$D$9:$D$108,C401,Sites!$Q$9:$Q$108,"&lt;&gt;Ready")&gt;0,'Scenario Paths'!$F$6&lt;&gt;"Ready"),"Review source inputs","Ready"))</x:f>
      </x:c>
      <x:c r="V401" s="17" t="str">
        <x:f>IF(C401="","",IFERROR(MAX(-1,(G401-O401)/MAX(0.000001,G401)),"Unavailable"))</x:f>
      </x:c>
      <x:c r="W401" s="9" t="str">
        <x:f>IF(C401="","",IFERROR(INDEX('Borrowers'!$D$9:$D$108,MATCH(C401,'Borrowers'!$C$9:$C$108,0)),"Unavailable"))</x:f>
      </x:c>
    </x:row>
    <x:row r="402" ht="26" customHeight="1">
      <x:c r="A402" s="1"/>
      <x:c r="B402" s="1"/>
      <x:c r="C402" s="9" t="str">
        <x:f>IF(Borrowers!C102="","",Borrowers!C102)</x:f>
      </x:c>
      <x:c r="D402" s="3" t="n">
        <x:v>4</x:v>
      </x:c>
      <x:c r="E402" s="9" t="n">
        <x:f>Settings!$F$18+3</x:f>
        <x:v>2030</x:v>
      </x:c>
      <x:c r="F402" s="9" t="str">
        <x:f>IF(C402="","",INDEX('Borrowers'!$F$9:$F$108,MATCH(C402,'Borrowers'!$C$9:$C$108,0)))</x:f>
      </x:c>
      <x:c r="G402" s="23" t="str">
        <x:f>IF(C402="","",IFERROR(INDEX('Borrowers'!$J$9:$J$108,MATCH(C402,'Borrowers'!$C$9:$C$108,0))-INDEX('Borrowers'!$K$9:$K$108,MATCH(C402,'Borrowers'!$C$9:$C$108,0)),"Unavailable"))</x:f>
      </x:c>
      <x:c r="H402" s="23" t="str">
        <x:f>IF(C402="","",IFERROR(INDEX('Borrowers'!$I$9:$I$108,MATCH(C402,'Borrowers'!$C$9:$C$108,0))*INDEX('Borrowers'!$U$9:$U$108,MATCH(C402,'Borrowers'!$C$9:$C$108,0))*(IF(F402="Transport",'Scenario Paths'!I156,IF(F402="Technology",'Scenario Paths'!I150,IF(F402="Utilities",'Scenario Paths'!I144,IF(F402="Agriculture",'Scenario Paths'!I138,IF(F402="Manufacturing",'Scenario Paths'!I132,IF(F402="Healthcare",'Scenario Paths'!I126,IF(F402="Hospitality",'Scenario Paths'!I120,IF(F402="Property",'Scenario Paths'!I114,IF(F402="Food",'Scenario Paths'!I108,IF(F402="Logistics",'Scenario Paths'!I102,IF(F402="Solar",'Scenario Paths'!I96,IF(F402="Cement",'Scenario Paths'!I90,0))))))))))))),"Unavailable"))</x:f>
      </x:c>
      <x:c r="I402" s="23" t="str">
        <x:f>IF(C402="","",IFERROR(INDEX('Borrowers'!$R$9:$R$108,MATCH(C402,'Borrowers'!$C$9:$C$108,0))*(1-INDEX('Borrowers'!$W$9:$W$108,MATCH(C402,'Borrowers'!$C$9:$C$108,0))*'Scenario Paths'!I39)*'Scenario Paths'!I9/1000000*(1-INDEX('Borrowers'!$T$9:$T$108,MATCH(C402,'Borrowers'!$C$9:$C$108,0))),"Unavailable"))</x:f>
      </x:c>
      <x:c r="J402" s="23" t="str">
        <x:f>IF(C402="","",IFERROR(INDEX('Borrowers'!$I$9:$I$108,MATCH(C402,'Borrowers'!$C$9:$C$108,0))*INDEX('Borrowers'!$S$9:$S$108,MATCH(C402,'Borrowers'!$C$9:$C$108,0))*'Scenario Paths'!I15*(1-INDEX('Borrowers'!$T$9:$T$108,MATCH(C402,'Borrowers'!$C$9:$C$108,0))),"Unavailable"))</x:f>
      </x:c>
      <x:c r="K402" s="23" t="str">
        <x:f>IF(C402="","",IFERROR(INDEX('Borrowers'!$I$9:$I$108,MATCH(C402,'Borrowers'!$C$9:$C$108,0))*INDEX('Borrowers'!$U$9:$U$108,MATCH(C402,'Borrowers'!$C$9:$C$108,0))*'Scenario Paths'!I21*S402,"Unavailable"))</x:f>
      </x:c>
      <x:c r="L402" s="23" t="str">
        <x:f>IF(C402="","",IFERROR(SUMPRODUCT((Sites!$D$9:$D$108=C402)*Sites!$H$9:$H$108*Sites!$J$9:$J$108*Sites!$K$9:$K$108*(1-Sites!$L$9:$L$108)*(1-Sites!$M$9:$M$108))*'Scenario Paths'!I27,"Unavailable"))</x:f>
      </x:c>
      <x:c r="M402" s="23" t="str">
        <x:f>IF(C402="","",IFERROR(INDEX('Borrowers'!$J$9:$J$108,MATCH(C402,'Borrowers'!$C$9:$C$108,0))+H402-SUM(I402:L402),"Unavailable"))</x:f>
      </x:c>
      <x:c r="N402" s="23" t="str">
        <x:f>IF(C402="","",IFERROR(INDEX('Borrowers'!$I$9:$I$108,MATCH(C402,'Borrowers'!$C$9:$C$108,0))*'Scenario Paths'!I33,"Unavailable"))</x:f>
      </x:c>
      <x:c r="O402" s="23" t="str">
        <x:f>IF(C402="","",IFERROR(M402-INDEX('Borrowers'!$K$9:$K$108,MATCH(C402,'Borrowers'!$C$9:$C$108,0))-N402,"Unavailable"))</x:f>
      </x:c>
      <x:c r="P402" s="127" t="str">
        <x:f>IF(C402="","",IFERROR(O402/INDEX('Borrowers'!$L$9:$L$108,MATCH(C402,'Borrowers'!$C$9:$C$108,0)),"Unavailable"))</x:f>
      </x:c>
      <x:c r="Q402" s="30" t="str">
        <x:f>IF(C402="","",IFERROR(IF(INDEX('Borrowers'!$Z$9:$Z$108,MATCH(C402,'Borrowers'!$C$9:$C$108,0))="Yes",1,IF(INDEX('Borrowers'!$P$9:$P$108,MATCH(C402,'Borrowers'!$C$9:$C$108,0))=0,0,MIN(1,INDEX('Borrowers'!$P$9:$P$108,MATCH(C402,'Borrowers'!$C$9:$C$108,0))*EXP(MIN(20,INDEX('Borrowers'!$V$9:$V$108,MATCH(C402,'Borrowers'!$C$9:$C$108,0))*V402))))),"Unavailable"))</x:f>
      </x:c>
      <x:c r="R402" s="30" t="str">
        <x:f>IF(C402="","",IFERROR(MIN(1,INDEX('Borrowers'!$Q$9:$Q$108,MATCH(C402,'Borrowers'!$C$9:$C$108,0))+(1-INDEX('Borrowers'!$Q$9:$Q$108,MATCH(C402,'Borrowers'!$C$9:$C$108,0)))*T402),"Unavailable"))</x:f>
      </x:c>
      <x:c r="S402" s="30" t="str">
        <x:f>IF(C402="","",IFERROR(SUMPRODUCT((Sites!$D$9:$D$108=C402)*Sites!$I$9:$I$108*Sites!$J$9:$J$108*Sites!$K$9:$K$108*(1-Sites!$L$9:$L$108)),"Unavailable"))</x:f>
      </x:c>
      <x:c r="T402" s="30" t="str">
        <x:f>IF(C402="","",IFERROR(MIN(1,(SUMPRODUCT((Sites!$D$9:$D$108=C402)*Sites!$N$9:$N$108*Sites!$J$9:$J$108*Sites!$K$9:$K$108*(1-Sites!$L$9:$L$108)))*'Scenario Paths'!I27),"Unavailable"))</x:f>
      </x:c>
      <x:c r="U402" s="9" t="str">
        <x:f>IF(C402="","",IF(OR(INDEX('Borrowers'!$AA$9:$AA$108,MATCH(C402,'Borrowers'!$C$9:$C$108,0))&lt;&gt;"Ready",COUNTIF(Sites!$D$9:$D$108,C402)=0,COUNTIFS(Sites!$D$9:$D$108,C402,Sites!$Q$9:$Q$108,"&lt;&gt;Ready")&gt;0,'Scenario Paths'!$F$6&lt;&gt;"Ready"),"Review source inputs","Ready"))</x:f>
      </x:c>
      <x:c r="V402" s="17" t="str">
        <x:f>IF(C402="","",IFERROR(MAX(-1,(G402-O402)/MAX(0.000001,G402)),"Unavailable"))</x:f>
      </x:c>
      <x:c r="W402" s="9" t="str">
        <x:f>IF(C402="","",IFERROR(INDEX('Borrowers'!$D$9:$D$108,MATCH(C402,'Borrowers'!$C$9:$C$108,0)),"Unavailable"))</x:f>
      </x:c>
    </x:row>
    <x:row r="403" ht="26" customHeight="1">
      <x:c r="A403" s="1"/>
      <x:c r="B403" s="1"/>
      <x:c r="C403" s="9" t="str">
        <x:f>IF(Borrowers!C103="","",Borrowers!C103)</x:f>
      </x:c>
      <x:c r="D403" s="3" t="n">
        <x:v>4</x:v>
      </x:c>
      <x:c r="E403" s="9" t="n">
        <x:f>Settings!$F$18+3</x:f>
        <x:v>2030</x:v>
      </x:c>
      <x:c r="F403" s="9" t="str">
        <x:f>IF(C403="","",INDEX('Borrowers'!$F$9:$F$108,MATCH(C403,'Borrowers'!$C$9:$C$108,0)))</x:f>
      </x:c>
      <x:c r="G403" s="23" t="str">
        <x:f>IF(C403="","",IFERROR(INDEX('Borrowers'!$J$9:$J$108,MATCH(C403,'Borrowers'!$C$9:$C$108,0))-INDEX('Borrowers'!$K$9:$K$108,MATCH(C403,'Borrowers'!$C$9:$C$108,0)),"Unavailable"))</x:f>
      </x:c>
      <x:c r="H403" s="23" t="str">
        <x:f>IF(C403="","",IFERROR(INDEX('Borrowers'!$I$9:$I$108,MATCH(C403,'Borrowers'!$C$9:$C$108,0))*INDEX('Borrowers'!$U$9:$U$108,MATCH(C403,'Borrowers'!$C$9:$C$108,0))*(IF(F403="Transport",'Scenario Paths'!I156,IF(F403="Technology",'Scenario Paths'!I150,IF(F403="Utilities",'Scenario Paths'!I144,IF(F403="Agriculture",'Scenario Paths'!I138,IF(F403="Manufacturing",'Scenario Paths'!I132,IF(F403="Healthcare",'Scenario Paths'!I126,IF(F403="Hospitality",'Scenario Paths'!I120,IF(F403="Property",'Scenario Paths'!I114,IF(F403="Food",'Scenario Paths'!I108,IF(F403="Logistics",'Scenario Paths'!I102,IF(F403="Solar",'Scenario Paths'!I96,IF(F403="Cement",'Scenario Paths'!I90,0))))))))))))),"Unavailable"))</x:f>
      </x:c>
      <x:c r="I403" s="23" t="str">
        <x:f>IF(C403="","",IFERROR(INDEX('Borrowers'!$R$9:$R$108,MATCH(C403,'Borrowers'!$C$9:$C$108,0))*(1-INDEX('Borrowers'!$W$9:$W$108,MATCH(C403,'Borrowers'!$C$9:$C$108,0))*'Scenario Paths'!I39)*'Scenario Paths'!I9/1000000*(1-INDEX('Borrowers'!$T$9:$T$108,MATCH(C403,'Borrowers'!$C$9:$C$108,0))),"Unavailable"))</x:f>
      </x:c>
      <x:c r="J403" s="23" t="str">
        <x:f>IF(C403="","",IFERROR(INDEX('Borrowers'!$I$9:$I$108,MATCH(C403,'Borrowers'!$C$9:$C$108,0))*INDEX('Borrowers'!$S$9:$S$108,MATCH(C403,'Borrowers'!$C$9:$C$108,0))*'Scenario Paths'!I15*(1-INDEX('Borrowers'!$T$9:$T$108,MATCH(C403,'Borrowers'!$C$9:$C$108,0))),"Unavailable"))</x:f>
      </x:c>
      <x:c r="K403" s="23" t="str">
        <x:f>IF(C403="","",IFERROR(INDEX('Borrowers'!$I$9:$I$108,MATCH(C403,'Borrowers'!$C$9:$C$108,0))*INDEX('Borrowers'!$U$9:$U$108,MATCH(C403,'Borrowers'!$C$9:$C$108,0))*'Scenario Paths'!I21*S403,"Unavailable"))</x:f>
      </x:c>
      <x:c r="L403" s="23" t="str">
        <x:f>IF(C403="","",IFERROR(SUMPRODUCT((Sites!$D$9:$D$108=C403)*Sites!$H$9:$H$108*Sites!$J$9:$J$108*Sites!$K$9:$K$108*(1-Sites!$L$9:$L$108)*(1-Sites!$M$9:$M$108))*'Scenario Paths'!I27,"Unavailable"))</x:f>
      </x:c>
      <x:c r="M403" s="23" t="str">
        <x:f>IF(C403="","",IFERROR(INDEX('Borrowers'!$J$9:$J$108,MATCH(C403,'Borrowers'!$C$9:$C$108,0))+H403-SUM(I403:L403),"Unavailable"))</x:f>
      </x:c>
      <x:c r="N403" s="23" t="str">
        <x:f>IF(C403="","",IFERROR(INDEX('Borrowers'!$I$9:$I$108,MATCH(C403,'Borrowers'!$C$9:$C$108,0))*'Scenario Paths'!I33,"Unavailable"))</x:f>
      </x:c>
      <x:c r="O403" s="23" t="str">
        <x:f>IF(C403="","",IFERROR(M403-INDEX('Borrowers'!$K$9:$K$108,MATCH(C403,'Borrowers'!$C$9:$C$108,0))-N403,"Unavailable"))</x:f>
      </x:c>
      <x:c r="P403" s="127" t="str">
        <x:f>IF(C403="","",IFERROR(O403/INDEX('Borrowers'!$L$9:$L$108,MATCH(C403,'Borrowers'!$C$9:$C$108,0)),"Unavailable"))</x:f>
      </x:c>
      <x:c r="Q403" s="30" t="str">
        <x:f>IF(C403="","",IFERROR(IF(INDEX('Borrowers'!$Z$9:$Z$108,MATCH(C403,'Borrowers'!$C$9:$C$108,0))="Yes",1,IF(INDEX('Borrowers'!$P$9:$P$108,MATCH(C403,'Borrowers'!$C$9:$C$108,0))=0,0,MIN(1,INDEX('Borrowers'!$P$9:$P$108,MATCH(C403,'Borrowers'!$C$9:$C$108,0))*EXP(MIN(20,INDEX('Borrowers'!$V$9:$V$108,MATCH(C403,'Borrowers'!$C$9:$C$108,0))*V403))))),"Unavailable"))</x:f>
      </x:c>
      <x:c r="R403" s="30" t="str">
        <x:f>IF(C403="","",IFERROR(MIN(1,INDEX('Borrowers'!$Q$9:$Q$108,MATCH(C403,'Borrowers'!$C$9:$C$108,0))+(1-INDEX('Borrowers'!$Q$9:$Q$108,MATCH(C403,'Borrowers'!$C$9:$C$108,0)))*T403),"Unavailable"))</x:f>
      </x:c>
      <x:c r="S403" s="30" t="str">
        <x:f>IF(C403="","",IFERROR(SUMPRODUCT((Sites!$D$9:$D$108=C403)*Sites!$I$9:$I$108*Sites!$J$9:$J$108*Sites!$K$9:$K$108*(1-Sites!$L$9:$L$108)),"Unavailable"))</x:f>
      </x:c>
      <x:c r="T403" s="30" t="str">
        <x:f>IF(C403="","",IFERROR(MIN(1,(SUMPRODUCT((Sites!$D$9:$D$108=C403)*Sites!$N$9:$N$108*Sites!$J$9:$J$108*Sites!$K$9:$K$108*(1-Sites!$L$9:$L$108)))*'Scenario Paths'!I27),"Unavailable"))</x:f>
      </x:c>
      <x:c r="U403" s="9" t="str">
        <x:f>IF(C403="","",IF(OR(INDEX('Borrowers'!$AA$9:$AA$108,MATCH(C403,'Borrowers'!$C$9:$C$108,0))&lt;&gt;"Ready",COUNTIF(Sites!$D$9:$D$108,C403)=0,COUNTIFS(Sites!$D$9:$D$108,C403,Sites!$Q$9:$Q$108,"&lt;&gt;Ready")&gt;0,'Scenario Paths'!$F$6&lt;&gt;"Ready"),"Review source inputs","Ready"))</x:f>
      </x:c>
      <x:c r="V403" s="17" t="str">
        <x:f>IF(C403="","",IFERROR(MAX(-1,(G403-O403)/MAX(0.000001,G403)),"Unavailable"))</x:f>
      </x:c>
      <x:c r="W403" s="9" t="str">
        <x:f>IF(C403="","",IFERROR(INDEX('Borrowers'!$D$9:$D$108,MATCH(C403,'Borrowers'!$C$9:$C$108,0)),"Unavailable"))</x:f>
      </x:c>
    </x:row>
    <x:row r="404" ht="26" customHeight="1">
      <x:c r="A404" s="1"/>
      <x:c r="B404" s="1"/>
      <x:c r="C404" s="9" t="str">
        <x:f>IF(Borrowers!C104="","",Borrowers!C104)</x:f>
      </x:c>
      <x:c r="D404" s="3" t="n">
        <x:v>4</x:v>
      </x:c>
      <x:c r="E404" s="9" t="n">
        <x:f>Settings!$F$18+3</x:f>
        <x:v>2030</x:v>
      </x:c>
      <x:c r="F404" s="9" t="str">
        <x:f>IF(C404="","",INDEX('Borrowers'!$F$9:$F$108,MATCH(C404,'Borrowers'!$C$9:$C$108,0)))</x:f>
      </x:c>
      <x:c r="G404" s="23" t="str">
        <x:f>IF(C404="","",IFERROR(INDEX('Borrowers'!$J$9:$J$108,MATCH(C404,'Borrowers'!$C$9:$C$108,0))-INDEX('Borrowers'!$K$9:$K$108,MATCH(C404,'Borrowers'!$C$9:$C$108,0)),"Unavailable"))</x:f>
      </x:c>
      <x:c r="H404" s="23" t="str">
        <x:f>IF(C404="","",IFERROR(INDEX('Borrowers'!$I$9:$I$108,MATCH(C404,'Borrowers'!$C$9:$C$108,0))*INDEX('Borrowers'!$U$9:$U$108,MATCH(C404,'Borrowers'!$C$9:$C$108,0))*(IF(F404="Transport",'Scenario Paths'!I156,IF(F404="Technology",'Scenario Paths'!I150,IF(F404="Utilities",'Scenario Paths'!I144,IF(F404="Agriculture",'Scenario Paths'!I138,IF(F404="Manufacturing",'Scenario Paths'!I132,IF(F404="Healthcare",'Scenario Paths'!I126,IF(F404="Hospitality",'Scenario Paths'!I120,IF(F404="Property",'Scenario Paths'!I114,IF(F404="Food",'Scenario Paths'!I108,IF(F404="Logistics",'Scenario Paths'!I102,IF(F404="Solar",'Scenario Paths'!I96,IF(F404="Cement",'Scenario Paths'!I90,0))))))))))))),"Unavailable"))</x:f>
      </x:c>
      <x:c r="I404" s="23" t="str">
        <x:f>IF(C404="","",IFERROR(INDEX('Borrowers'!$R$9:$R$108,MATCH(C404,'Borrowers'!$C$9:$C$108,0))*(1-INDEX('Borrowers'!$W$9:$W$108,MATCH(C404,'Borrowers'!$C$9:$C$108,0))*'Scenario Paths'!I39)*'Scenario Paths'!I9/1000000*(1-INDEX('Borrowers'!$T$9:$T$108,MATCH(C404,'Borrowers'!$C$9:$C$108,0))),"Unavailable"))</x:f>
      </x:c>
      <x:c r="J404" s="23" t="str">
        <x:f>IF(C404="","",IFERROR(INDEX('Borrowers'!$I$9:$I$108,MATCH(C404,'Borrowers'!$C$9:$C$108,0))*INDEX('Borrowers'!$S$9:$S$108,MATCH(C404,'Borrowers'!$C$9:$C$108,0))*'Scenario Paths'!I15*(1-INDEX('Borrowers'!$T$9:$T$108,MATCH(C404,'Borrowers'!$C$9:$C$108,0))),"Unavailable"))</x:f>
      </x:c>
      <x:c r="K404" s="23" t="str">
        <x:f>IF(C404="","",IFERROR(INDEX('Borrowers'!$I$9:$I$108,MATCH(C404,'Borrowers'!$C$9:$C$108,0))*INDEX('Borrowers'!$U$9:$U$108,MATCH(C404,'Borrowers'!$C$9:$C$108,0))*'Scenario Paths'!I21*S404,"Unavailable"))</x:f>
      </x:c>
      <x:c r="L404" s="23" t="str">
        <x:f>IF(C404="","",IFERROR(SUMPRODUCT((Sites!$D$9:$D$108=C404)*Sites!$H$9:$H$108*Sites!$J$9:$J$108*Sites!$K$9:$K$108*(1-Sites!$L$9:$L$108)*(1-Sites!$M$9:$M$108))*'Scenario Paths'!I27,"Unavailable"))</x:f>
      </x:c>
      <x:c r="M404" s="23" t="str">
        <x:f>IF(C404="","",IFERROR(INDEX('Borrowers'!$J$9:$J$108,MATCH(C404,'Borrowers'!$C$9:$C$108,0))+H404-SUM(I404:L404),"Unavailable"))</x:f>
      </x:c>
      <x:c r="N404" s="23" t="str">
        <x:f>IF(C404="","",IFERROR(INDEX('Borrowers'!$I$9:$I$108,MATCH(C404,'Borrowers'!$C$9:$C$108,0))*'Scenario Paths'!I33,"Unavailable"))</x:f>
      </x:c>
      <x:c r="O404" s="23" t="str">
        <x:f>IF(C404="","",IFERROR(M404-INDEX('Borrowers'!$K$9:$K$108,MATCH(C404,'Borrowers'!$C$9:$C$108,0))-N404,"Unavailable"))</x:f>
      </x:c>
      <x:c r="P404" s="127" t="str">
        <x:f>IF(C404="","",IFERROR(O404/INDEX('Borrowers'!$L$9:$L$108,MATCH(C404,'Borrowers'!$C$9:$C$108,0)),"Unavailable"))</x:f>
      </x:c>
      <x:c r="Q404" s="30" t="str">
        <x:f>IF(C404="","",IFERROR(IF(INDEX('Borrowers'!$Z$9:$Z$108,MATCH(C404,'Borrowers'!$C$9:$C$108,0))="Yes",1,IF(INDEX('Borrowers'!$P$9:$P$108,MATCH(C404,'Borrowers'!$C$9:$C$108,0))=0,0,MIN(1,INDEX('Borrowers'!$P$9:$P$108,MATCH(C404,'Borrowers'!$C$9:$C$108,0))*EXP(MIN(20,INDEX('Borrowers'!$V$9:$V$108,MATCH(C404,'Borrowers'!$C$9:$C$108,0))*V404))))),"Unavailable"))</x:f>
      </x:c>
      <x:c r="R404" s="30" t="str">
        <x:f>IF(C404="","",IFERROR(MIN(1,INDEX('Borrowers'!$Q$9:$Q$108,MATCH(C404,'Borrowers'!$C$9:$C$108,0))+(1-INDEX('Borrowers'!$Q$9:$Q$108,MATCH(C404,'Borrowers'!$C$9:$C$108,0)))*T404),"Unavailable"))</x:f>
      </x:c>
      <x:c r="S404" s="30" t="str">
        <x:f>IF(C404="","",IFERROR(SUMPRODUCT((Sites!$D$9:$D$108=C404)*Sites!$I$9:$I$108*Sites!$J$9:$J$108*Sites!$K$9:$K$108*(1-Sites!$L$9:$L$108)),"Unavailable"))</x:f>
      </x:c>
      <x:c r="T404" s="30" t="str">
        <x:f>IF(C404="","",IFERROR(MIN(1,(SUMPRODUCT((Sites!$D$9:$D$108=C404)*Sites!$N$9:$N$108*Sites!$J$9:$J$108*Sites!$K$9:$K$108*(1-Sites!$L$9:$L$108)))*'Scenario Paths'!I27),"Unavailable"))</x:f>
      </x:c>
      <x:c r="U404" s="9" t="str">
        <x:f>IF(C404="","",IF(OR(INDEX('Borrowers'!$AA$9:$AA$108,MATCH(C404,'Borrowers'!$C$9:$C$108,0))&lt;&gt;"Ready",COUNTIF(Sites!$D$9:$D$108,C404)=0,COUNTIFS(Sites!$D$9:$D$108,C404,Sites!$Q$9:$Q$108,"&lt;&gt;Ready")&gt;0,'Scenario Paths'!$F$6&lt;&gt;"Ready"),"Review source inputs","Ready"))</x:f>
      </x:c>
      <x:c r="V404" s="17" t="str">
        <x:f>IF(C404="","",IFERROR(MAX(-1,(G404-O404)/MAX(0.000001,G404)),"Unavailable"))</x:f>
      </x:c>
      <x:c r="W404" s="9" t="str">
        <x:f>IF(C404="","",IFERROR(INDEX('Borrowers'!$D$9:$D$108,MATCH(C404,'Borrowers'!$C$9:$C$108,0)),"Unavailable"))</x:f>
      </x:c>
    </x:row>
    <x:row r="405" ht="26" customHeight="1">
      <x:c r="A405" s="1"/>
      <x:c r="B405" s="1"/>
      <x:c r="C405" s="9" t="str">
        <x:f>IF(Borrowers!C105="","",Borrowers!C105)</x:f>
      </x:c>
      <x:c r="D405" s="3" t="n">
        <x:v>4</x:v>
      </x:c>
      <x:c r="E405" s="9" t="n">
        <x:f>Settings!$F$18+3</x:f>
        <x:v>2030</x:v>
      </x:c>
      <x:c r="F405" s="9" t="str">
        <x:f>IF(C405="","",INDEX('Borrowers'!$F$9:$F$108,MATCH(C405,'Borrowers'!$C$9:$C$108,0)))</x:f>
      </x:c>
      <x:c r="G405" s="23" t="str">
        <x:f>IF(C405="","",IFERROR(INDEX('Borrowers'!$J$9:$J$108,MATCH(C405,'Borrowers'!$C$9:$C$108,0))-INDEX('Borrowers'!$K$9:$K$108,MATCH(C405,'Borrowers'!$C$9:$C$108,0)),"Unavailable"))</x:f>
      </x:c>
      <x:c r="H405" s="23" t="str">
        <x:f>IF(C405="","",IFERROR(INDEX('Borrowers'!$I$9:$I$108,MATCH(C405,'Borrowers'!$C$9:$C$108,0))*INDEX('Borrowers'!$U$9:$U$108,MATCH(C405,'Borrowers'!$C$9:$C$108,0))*(IF(F405="Transport",'Scenario Paths'!I156,IF(F405="Technology",'Scenario Paths'!I150,IF(F405="Utilities",'Scenario Paths'!I144,IF(F405="Agriculture",'Scenario Paths'!I138,IF(F405="Manufacturing",'Scenario Paths'!I132,IF(F405="Healthcare",'Scenario Paths'!I126,IF(F405="Hospitality",'Scenario Paths'!I120,IF(F405="Property",'Scenario Paths'!I114,IF(F405="Food",'Scenario Paths'!I108,IF(F405="Logistics",'Scenario Paths'!I102,IF(F405="Solar",'Scenario Paths'!I96,IF(F405="Cement",'Scenario Paths'!I90,0))))))))))))),"Unavailable"))</x:f>
      </x:c>
      <x:c r="I405" s="23" t="str">
        <x:f>IF(C405="","",IFERROR(INDEX('Borrowers'!$R$9:$R$108,MATCH(C405,'Borrowers'!$C$9:$C$108,0))*(1-INDEX('Borrowers'!$W$9:$W$108,MATCH(C405,'Borrowers'!$C$9:$C$108,0))*'Scenario Paths'!I39)*'Scenario Paths'!I9/1000000*(1-INDEX('Borrowers'!$T$9:$T$108,MATCH(C405,'Borrowers'!$C$9:$C$108,0))),"Unavailable"))</x:f>
      </x:c>
      <x:c r="J405" s="23" t="str">
        <x:f>IF(C405="","",IFERROR(INDEX('Borrowers'!$I$9:$I$108,MATCH(C405,'Borrowers'!$C$9:$C$108,0))*INDEX('Borrowers'!$S$9:$S$108,MATCH(C405,'Borrowers'!$C$9:$C$108,0))*'Scenario Paths'!I15*(1-INDEX('Borrowers'!$T$9:$T$108,MATCH(C405,'Borrowers'!$C$9:$C$108,0))),"Unavailable"))</x:f>
      </x:c>
      <x:c r="K405" s="23" t="str">
        <x:f>IF(C405="","",IFERROR(INDEX('Borrowers'!$I$9:$I$108,MATCH(C405,'Borrowers'!$C$9:$C$108,0))*INDEX('Borrowers'!$U$9:$U$108,MATCH(C405,'Borrowers'!$C$9:$C$108,0))*'Scenario Paths'!I21*S405,"Unavailable"))</x:f>
      </x:c>
      <x:c r="L405" s="23" t="str">
        <x:f>IF(C405="","",IFERROR(SUMPRODUCT((Sites!$D$9:$D$108=C405)*Sites!$H$9:$H$108*Sites!$J$9:$J$108*Sites!$K$9:$K$108*(1-Sites!$L$9:$L$108)*(1-Sites!$M$9:$M$108))*'Scenario Paths'!I27,"Unavailable"))</x:f>
      </x:c>
      <x:c r="M405" s="23" t="str">
        <x:f>IF(C405="","",IFERROR(INDEX('Borrowers'!$J$9:$J$108,MATCH(C405,'Borrowers'!$C$9:$C$108,0))+H405-SUM(I405:L405),"Unavailable"))</x:f>
      </x:c>
      <x:c r="N405" s="23" t="str">
        <x:f>IF(C405="","",IFERROR(INDEX('Borrowers'!$I$9:$I$108,MATCH(C405,'Borrowers'!$C$9:$C$108,0))*'Scenario Paths'!I33,"Unavailable"))</x:f>
      </x:c>
      <x:c r="O405" s="23" t="str">
        <x:f>IF(C405="","",IFERROR(M405-INDEX('Borrowers'!$K$9:$K$108,MATCH(C405,'Borrowers'!$C$9:$C$108,0))-N405,"Unavailable"))</x:f>
      </x:c>
      <x:c r="P405" s="127" t="str">
        <x:f>IF(C405="","",IFERROR(O405/INDEX('Borrowers'!$L$9:$L$108,MATCH(C405,'Borrowers'!$C$9:$C$108,0)),"Unavailable"))</x:f>
      </x:c>
      <x:c r="Q405" s="30" t="str">
        <x:f>IF(C405="","",IFERROR(IF(INDEX('Borrowers'!$Z$9:$Z$108,MATCH(C405,'Borrowers'!$C$9:$C$108,0))="Yes",1,IF(INDEX('Borrowers'!$P$9:$P$108,MATCH(C405,'Borrowers'!$C$9:$C$108,0))=0,0,MIN(1,INDEX('Borrowers'!$P$9:$P$108,MATCH(C405,'Borrowers'!$C$9:$C$108,0))*EXP(MIN(20,INDEX('Borrowers'!$V$9:$V$108,MATCH(C405,'Borrowers'!$C$9:$C$108,0))*V405))))),"Unavailable"))</x:f>
      </x:c>
      <x:c r="R405" s="30" t="str">
        <x:f>IF(C405="","",IFERROR(MIN(1,INDEX('Borrowers'!$Q$9:$Q$108,MATCH(C405,'Borrowers'!$C$9:$C$108,0))+(1-INDEX('Borrowers'!$Q$9:$Q$108,MATCH(C405,'Borrowers'!$C$9:$C$108,0)))*T405),"Unavailable"))</x:f>
      </x:c>
      <x:c r="S405" s="30" t="str">
        <x:f>IF(C405="","",IFERROR(SUMPRODUCT((Sites!$D$9:$D$108=C405)*Sites!$I$9:$I$108*Sites!$J$9:$J$108*Sites!$K$9:$K$108*(1-Sites!$L$9:$L$108)),"Unavailable"))</x:f>
      </x:c>
      <x:c r="T405" s="30" t="str">
        <x:f>IF(C405="","",IFERROR(MIN(1,(SUMPRODUCT((Sites!$D$9:$D$108=C405)*Sites!$N$9:$N$108*Sites!$J$9:$J$108*Sites!$K$9:$K$108*(1-Sites!$L$9:$L$108)))*'Scenario Paths'!I27),"Unavailable"))</x:f>
      </x:c>
      <x:c r="U405" s="9" t="str">
        <x:f>IF(C405="","",IF(OR(INDEX('Borrowers'!$AA$9:$AA$108,MATCH(C405,'Borrowers'!$C$9:$C$108,0))&lt;&gt;"Ready",COUNTIF(Sites!$D$9:$D$108,C405)=0,COUNTIFS(Sites!$D$9:$D$108,C405,Sites!$Q$9:$Q$108,"&lt;&gt;Ready")&gt;0,'Scenario Paths'!$F$6&lt;&gt;"Ready"),"Review source inputs","Ready"))</x:f>
      </x:c>
      <x:c r="V405" s="17" t="str">
        <x:f>IF(C405="","",IFERROR(MAX(-1,(G405-O405)/MAX(0.000001,G405)),"Unavailable"))</x:f>
      </x:c>
      <x:c r="W405" s="9" t="str">
        <x:f>IF(C405="","",IFERROR(INDEX('Borrowers'!$D$9:$D$108,MATCH(C405,'Borrowers'!$C$9:$C$108,0)),"Unavailable"))</x:f>
      </x:c>
    </x:row>
    <x:row r="406" ht="26" customHeight="1">
      <x:c r="A406" s="1"/>
      <x:c r="B406" s="1"/>
      <x:c r="C406" s="9" t="str">
        <x:f>IF(Borrowers!C106="","",Borrowers!C106)</x:f>
      </x:c>
      <x:c r="D406" s="3" t="n">
        <x:v>4</x:v>
      </x:c>
      <x:c r="E406" s="9" t="n">
        <x:f>Settings!$F$18+3</x:f>
        <x:v>2030</x:v>
      </x:c>
      <x:c r="F406" s="9" t="str">
        <x:f>IF(C406="","",INDEX('Borrowers'!$F$9:$F$108,MATCH(C406,'Borrowers'!$C$9:$C$108,0)))</x:f>
      </x:c>
      <x:c r="G406" s="23" t="str">
        <x:f>IF(C406="","",IFERROR(INDEX('Borrowers'!$J$9:$J$108,MATCH(C406,'Borrowers'!$C$9:$C$108,0))-INDEX('Borrowers'!$K$9:$K$108,MATCH(C406,'Borrowers'!$C$9:$C$108,0)),"Unavailable"))</x:f>
      </x:c>
      <x:c r="H406" s="23" t="str">
        <x:f>IF(C406="","",IFERROR(INDEX('Borrowers'!$I$9:$I$108,MATCH(C406,'Borrowers'!$C$9:$C$108,0))*INDEX('Borrowers'!$U$9:$U$108,MATCH(C406,'Borrowers'!$C$9:$C$108,0))*(IF(F406="Transport",'Scenario Paths'!I156,IF(F406="Technology",'Scenario Paths'!I150,IF(F406="Utilities",'Scenario Paths'!I144,IF(F406="Agriculture",'Scenario Paths'!I138,IF(F406="Manufacturing",'Scenario Paths'!I132,IF(F406="Healthcare",'Scenario Paths'!I126,IF(F406="Hospitality",'Scenario Paths'!I120,IF(F406="Property",'Scenario Paths'!I114,IF(F406="Food",'Scenario Paths'!I108,IF(F406="Logistics",'Scenario Paths'!I102,IF(F406="Solar",'Scenario Paths'!I96,IF(F406="Cement",'Scenario Paths'!I90,0))))))))))))),"Unavailable"))</x:f>
      </x:c>
      <x:c r="I406" s="23" t="str">
        <x:f>IF(C406="","",IFERROR(INDEX('Borrowers'!$R$9:$R$108,MATCH(C406,'Borrowers'!$C$9:$C$108,0))*(1-INDEX('Borrowers'!$W$9:$W$108,MATCH(C406,'Borrowers'!$C$9:$C$108,0))*'Scenario Paths'!I39)*'Scenario Paths'!I9/1000000*(1-INDEX('Borrowers'!$T$9:$T$108,MATCH(C406,'Borrowers'!$C$9:$C$108,0))),"Unavailable"))</x:f>
      </x:c>
      <x:c r="J406" s="23" t="str">
        <x:f>IF(C406="","",IFERROR(INDEX('Borrowers'!$I$9:$I$108,MATCH(C406,'Borrowers'!$C$9:$C$108,0))*INDEX('Borrowers'!$S$9:$S$108,MATCH(C406,'Borrowers'!$C$9:$C$108,0))*'Scenario Paths'!I15*(1-INDEX('Borrowers'!$T$9:$T$108,MATCH(C406,'Borrowers'!$C$9:$C$108,0))),"Unavailable"))</x:f>
      </x:c>
      <x:c r="K406" s="23" t="str">
        <x:f>IF(C406="","",IFERROR(INDEX('Borrowers'!$I$9:$I$108,MATCH(C406,'Borrowers'!$C$9:$C$108,0))*INDEX('Borrowers'!$U$9:$U$108,MATCH(C406,'Borrowers'!$C$9:$C$108,0))*'Scenario Paths'!I21*S406,"Unavailable"))</x:f>
      </x:c>
      <x:c r="L406" s="23" t="str">
        <x:f>IF(C406="","",IFERROR(SUMPRODUCT((Sites!$D$9:$D$108=C406)*Sites!$H$9:$H$108*Sites!$J$9:$J$108*Sites!$K$9:$K$108*(1-Sites!$L$9:$L$108)*(1-Sites!$M$9:$M$108))*'Scenario Paths'!I27,"Unavailable"))</x:f>
      </x:c>
      <x:c r="M406" s="23" t="str">
        <x:f>IF(C406="","",IFERROR(INDEX('Borrowers'!$J$9:$J$108,MATCH(C406,'Borrowers'!$C$9:$C$108,0))+H406-SUM(I406:L406),"Unavailable"))</x:f>
      </x:c>
      <x:c r="N406" s="23" t="str">
        <x:f>IF(C406="","",IFERROR(INDEX('Borrowers'!$I$9:$I$108,MATCH(C406,'Borrowers'!$C$9:$C$108,0))*'Scenario Paths'!I33,"Unavailable"))</x:f>
      </x:c>
      <x:c r="O406" s="23" t="str">
        <x:f>IF(C406="","",IFERROR(M406-INDEX('Borrowers'!$K$9:$K$108,MATCH(C406,'Borrowers'!$C$9:$C$108,0))-N406,"Unavailable"))</x:f>
      </x:c>
      <x:c r="P406" s="127" t="str">
        <x:f>IF(C406="","",IFERROR(O406/INDEX('Borrowers'!$L$9:$L$108,MATCH(C406,'Borrowers'!$C$9:$C$108,0)),"Unavailable"))</x:f>
      </x:c>
      <x:c r="Q406" s="30" t="str">
        <x:f>IF(C406="","",IFERROR(IF(INDEX('Borrowers'!$Z$9:$Z$108,MATCH(C406,'Borrowers'!$C$9:$C$108,0))="Yes",1,IF(INDEX('Borrowers'!$P$9:$P$108,MATCH(C406,'Borrowers'!$C$9:$C$108,0))=0,0,MIN(1,INDEX('Borrowers'!$P$9:$P$108,MATCH(C406,'Borrowers'!$C$9:$C$108,0))*EXP(MIN(20,INDEX('Borrowers'!$V$9:$V$108,MATCH(C406,'Borrowers'!$C$9:$C$108,0))*V406))))),"Unavailable"))</x:f>
      </x:c>
      <x:c r="R406" s="30" t="str">
        <x:f>IF(C406="","",IFERROR(MIN(1,INDEX('Borrowers'!$Q$9:$Q$108,MATCH(C406,'Borrowers'!$C$9:$C$108,0))+(1-INDEX('Borrowers'!$Q$9:$Q$108,MATCH(C406,'Borrowers'!$C$9:$C$108,0)))*T406),"Unavailable"))</x:f>
      </x:c>
      <x:c r="S406" s="30" t="str">
        <x:f>IF(C406="","",IFERROR(SUMPRODUCT((Sites!$D$9:$D$108=C406)*Sites!$I$9:$I$108*Sites!$J$9:$J$108*Sites!$K$9:$K$108*(1-Sites!$L$9:$L$108)),"Unavailable"))</x:f>
      </x:c>
      <x:c r="T406" s="30" t="str">
        <x:f>IF(C406="","",IFERROR(MIN(1,(SUMPRODUCT((Sites!$D$9:$D$108=C406)*Sites!$N$9:$N$108*Sites!$J$9:$J$108*Sites!$K$9:$K$108*(1-Sites!$L$9:$L$108)))*'Scenario Paths'!I27),"Unavailable"))</x:f>
      </x:c>
      <x:c r="U406" s="9" t="str">
        <x:f>IF(C406="","",IF(OR(INDEX('Borrowers'!$AA$9:$AA$108,MATCH(C406,'Borrowers'!$C$9:$C$108,0))&lt;&gt;"Ready",COUNTIF(Sites!$D$9:$D$108,C406)=0,COUNTIFS(Sites!$D$9:$D$108,C406,Sites!$Q$9:$Q$108,"&lt;&gt;Ready")&gt;0,'Scenario Paths'!$F$6&lt;&gt;"Ready"),"Review source inputs","Ready"))</x:f>
      </x:c>
      <x:c r="V406" s="17" t="str">
        <x:f>IF(C406="","",IFERROR(MAX(-1,(G406-O406)/MAX(0.000001,G406)),"Unavailable"))</x:f>
      </x:c>
      <x:c r="W406" s="9" t="str">
        <x:f>IF(C406="","",IFERROR(INDEX('Borrowers'!$D$9:$D$108,MATCH(C406,'Borrowers'!$C$9:$C$108,0)),"Unavailable"))</x:f>
      </x:c>
    </x:row>
    <x:row r="407" ht="26" customHeight="1">
      <x:c r="A407" s="1"/>
      <x:c r="B407" s="1"/>
      <x:c r="C407" s="9" t="str">
        <x:f>IF(Borrowers!C107="","",Borrowers!C107)</x:f>
      </x:c>
      <x:c r="D407" s="3" t="n">
        <x:v>4</x:v>
      </x:c>
      <x:c r="E407" s="9" t="n">
        <x:f>Settings!$F$18+3</x:f>
        <x:v>2030</x:v>
      </x:c>
      <x:c r="F407" s="9" t="str">
        <x:f>IF(C407="","",INDEX('Borrowers'!$F$9:$F$108,MATCH(C407,'Borrowers'!$C$9:$C$108,0)))</x:f>
      </x:c>
      <x:c r="G407" s="23" t="str">
        <x:f>IF(C407="","",IFERROR(INDEX('Borrowers'!$J$9:$J$108,MATCH(C407,'Borrowers'!$C$9:$C$108,0))-INDEX('Borrowers'!$K$9:$K$108,MATCH(C407,'Borrowers'!$C$9:$C$108,0)),"Unavailable"))</x:f>
      </x:c>
      <x:c r="H407" s="23" t="str">
        <x:f>IF(C407="","",IFERROR(INDEX('Borrowers'!$I$9:$I$108,MATCH(C407,'Borrowers'!$C$9:$C$108,0))*INDEX('Borrowers'!$U$9:$U$108,MATCH(C407,'Borrowers'!$C$9:$C$108,0))*(IF(F407="Transport",'Scenario Paths'!I156,IF(F407="Technology",'Scenario Paths'!I150,IF(F407="Utilities",'Scenario Paths'!I144,IF(F407="Agriculture",'Scenario Paths'!I138,IF(F407="Manufacturing",'Scenario Paths'!I132,IF(F407="Healthcare",'Scenario Paths'!I126,IF(F407="Hospitality",'Scenario Paths'!I120,IF(F407="Property",'Scenario Paths'!I114,IF(F407="Food",'Scenario Paths'!I108,IF(F407="Logistics",'Scenario Paths'!I102,IF(F407="Solar",'Scenario Paths'!I96,IF(F407="Cement",'Scenario Paths'!I90,0))))))))))))),"Unavailable"))</x:f>
      </x:c>
      <x:c r="I407" s="23" t="str">
        <x:f>IF(C407="","",IFERROR(INDEX('Borrowers'!$R$9:$R$108,MATCH(C407,'Borrowers'!$C$9:$C$108,0))*(1-INDEX('Borrowers'!$W$9:$W$108,MATCH(C407,'Borrowers'!$C$9:$C$108,0))*'Scenario Paths'!I39)*'Scenario Paths'!I9/1000000*(1-INDEX('Borrowers'!$T$9:$T$108,MATCH(C407,'Borrowers'!$C$9:$C$108,0))),"Unavailable"))</x:f>
      </x:c>
      <x:c r="J407" s="23" t="str">
        <x:f>IF(C407="","",IFERROR(INDEX('Borrowers'!$I$9:$I$108,MATCH(C407,'Borrowers'!$C$9:$C$108,0))*INDEX('Borrowers'!$S$9:$S$108,MATCH(C407,'Borrowers'!$C$9:$C$108,0))*'Scenario Paths'!I15*(1-INDEX('Borrowers'!$T$9:$T$108,MATCH(C407,'Borrowers'!$C$9:$C$108,0))),"Unavailable"))</x:f>
      </x:c>
      <x:c r="K407" s="23" t="str">
        <x:f>IF(C407="","",IFERROR(INDEX('Borrowers'!$I$9:$I$108,MATCH(C407,'Borrowers'!$C$9:$C$108,0))*INDEX('Borrowers'!$U$9:$U$108,MATCH(C407,'Borrowers'!$C$9:$C$108,0))*'Scenario Paths'!I21*S407,"Unavailable"))</x:f>
      </x:c>
      <x:c r="L407" s="23" t="str">
        <x:f>IF(C407="","",IFERROR(SUMPRODUCT((Sites!$D$9:$D$108=C407)*Sites!$H$9:$H$108*Sites!$J$9:$J$108*Sites!$K$9:$K$108*(1-Sites!$L$9:$L$108)*(1-Sites!$M$9:$M$108))*'Scenario Paths'!I27,"Unavailable"))</x:f>
      </x:c>
      <x:c r="M407" s="23" t="str">
        <x:f>IF(C407="","",IFERROR(INDEX('Borrowers'!$J$9:$J$108,MATCH(C407,'Borrowers'!$C$9:$C$108,0))+H407-SUM(I407:L407),"Unavailable"))</x:f>
      </x:c>
      <x:c r="N407" s="23" t="str">
        <x:f>IF(C407="","",IFERROR(INDEX('Borrowers'!$I$9:$I$108,MATCH(C407,'Borrowers'!$C$9:$C$108,0))*'Scenario Paths'!I33,"Unavailable"))</x:f>
      </x:c>
      <x:c r="O407" s="23" t="str">
        <x:f>IF(C407="","",IFERROR(M407-INDEX('Borrowers'!$K$9:$K$108,MATCH(C407,'Borrowers'!$C$9:$C$108,0))-N407,"Unavailable"))</x:f>
      </x:c>
      <x:c r="P407" s="127" t="str">
        <x:f>IF(C407="","",IFERROR(O407/INDEX('Borrowers'!$L$9:$L$108,MATCH(C407,'Borrowers'!$C$9:$C$108,0)),"Unavailable"))</x:f>
      </x:c>
      <x:c r="Q407" s="30" t="str">
        <x:f>IF(C407="","",IFERROR(IF(INDEX('Borrowers'!$Z$9:$Z$108,MATCH(C407,'Borrowers'!$C$9:$C$108,0))="Yes",1,IF(INDEX('Borrowers'!$P$9:$P$108,MATCH(C407,'Borrowers'!$C$9:$C$108,0))=0,0,MIN(1,INDEX('Borrowers'!$P$9:$P$108,MATCH(C407,'Borrowers'!$C$9:$C$108,0))*EXP(MIN(20,INDEX('Borrowers'!$V$9:$V$108,MATCH(C407,'Borrowers'!$C$9:$C$108,0))*V407))))),"Unavailable"))</x:f>
      </x:c>
      <x:c r="R407" s="30" t="str">
        <x:f>IF(C407="","",IFERROR(MIN(1,INDEX('Borrowers'!$Q$9:$Q$108,MATCH(C407,'Borrowers'!$C$9:$C$108,0))+(1-INDEX('Borrowers'!$Q$9:$Q$108,MATCH(C407,'Borrowers'!$C$9:$C$108,0)))*T407),"Unavailable"))</x:f>
      </x:c>
      <x:c r="S407" s="30" t="str">
        <x:f>IF(C407="","",IFERROR(SUMPRODUCT((Sites!$D$9:$D$108=C407)*Sites!$I$9:$I$108*Sites!$J$9:$J$108*Sites!$K$9:$K$108*(1-Sites!$L$9:$L$108)),"Unavailable"))</x:f>
      </x:c>
      <x:c r="T407" s="30" t="str">
        <x:f>IF(C407="","",IFERROR(MIN(1,(SUMPRODUCT((Sites!$D$9:$D$108=C407)*Sites!$N$9:$N$108*Sites!$J$9:$J$108*Sites!$K$9:$K$108*(1-Sites!$L$9:$L$108)))*'Scenario Paths'!I27),"Unavailable"))</x:f>
      </x:c>
      <x:c r="U407" s="9" t="str">
        <x:f>IF(C407="","",IF(OR(INDEX('Borrowers'!$AA$9:$AA$108,MATCH(C407,'Borrowers'!$C$9:$C$108,0))&lt;&gt;"Ready",COUNTIF(Sites!$D$9:$D$108,C407)=0,COUNTIFS(Sites!$D$9:$D$108,C407,Sites!$Q$9:$Q$108,"&lt;&gt;Ready")&gt;0,'Scenario Paths'!$F$6&lt;&gt;"Ready"),"Review source inputs","Ready"))</x:f>
      </x:c>
      <x:c r="V407" s="17" t="str">
        <x:f>IF(C407="","",IFERROR(MAX(-1,(G407-O407)/MAX(0.000001,G407)),"Unavailable"))</x:f>
      </x:c>
      <x:c r="W407" s="9" t="str">
        <x:f>IF(C407="","",IFERROR(INDEX('Borrowers'!$D$9:$D$108,MATCH(C407,'Borrowers'!$C$9:$C$108,0)),"Unavailable"))</x:f>
      </x:c>
    </x:row>
    <x:row r="408" ht="26" customHeight="1">
      <x:c r="A408" s="1"/>
      <x:c r="B408" s="1"/>
      <x:c r="C408" s="9" t="str">
        <x:f>IF(Borrowers!C108="","",Borrowers!C108)</x:f>
      </x:c>
      <x:c r="D408" s="3" t="n">
        <x:v>4</x:v>
      </x:c>
      <x:c r="E408" s="9" t="n">
        <x:f>Settings!$F$18+3</x:f>
        <x:v>2030</x:v>
      </x:c>
      <x:c r="F408" s="9" t="str">
        <x:f>IF(C408="","",INDEX('Borrowers'!$F$9:$F$108,MATCH(C408,'Borrowers'!$C$9:$C$108,0)))</x:f>
      </x:c>
      <x:c r="G408" s="23" t="str">
        <x:f>IF(C408="","",IFERROR(INDEX('Borrowers'!$J$9:$J$108,MATCH(C408,'Borrowers'!$C$9:$C$108,0))-INDEX('Borrowers'!$K$9:$K$108,MATCH(C408,'Borrowers'!$C$9:$C$108,0)),"Unavailable"))</x:f>
      </x:c>
      <x:c r="H408" s="23" t="str">
        <x:f>IF(C408="","",IFERROR(INDEX('Borrowers'!$I$9:$I$108,MATCH(C408,'Borrowers'!$C$9:$C$108,0))*INDEX('Borrowers'!$U$9:$U$108,MATCH(C408,'Borrowers'!$C$9:$C$108,0))*(IF(F408="Transport",'Scenario Paths'!I156,IF(F408="Technology",'Scenario Paths'!I150,IF(F408="Utilities",'Scenario Paths'!I144,IF(F408="Agriculture",'Scenario Paths'!I138,IF(F408="Manufacturing",'Scenario Paths'!I132,IF(F408="Healthcare",'Scenario Paths'!I126,IF(F408="Hospitality",'Scenario Paths'!I120,IF(F408="Property",'Scenario Paths'!I114,IF(F408="Food",'Scenario Paths'!I108,IF(F408="Logistics",'Scenario Paths'!I102,IF(F408="Solar",'Scenario Paths'!I96,IF(F408="Cement",'Scenario Paths'!I90,0))))))))))))),"Unavailable"))</x:f>
      </x:c>
      <x:c r="I408" s="23" t="str">
        <x:f>IF(C408="","",IFERROR(INDEX('Borrowers'!$R$9:$R$108,MATCH(C408,'Borrowers'!$C$9:$C$108,0))*(1-INDEX('Borrowers'!$W$9:$W$108,MATCH(C408,'Borrowers'!$C$9:$C$108,0))*'Scenario Paths'!I39)*'Scenario Paths'!I9/1000000*(1-INDEX('Borrowers'!$T$9:$T$108,MATCH(C408,'Borrowers'!$C$9:$C$108,0))),"Unavailable"))</x:f>
      </x:c>
      <x:c r="J408" s="23" t="str">
        <x:f>IF(C408="","",IFERROR(INDEX('Borrowers'!$I$9:$I$108,MATCH(C408,'Borrowers'!$C$9:$C$108,0))*INDEX('Borrowers'!$S$9:$S$108,MATCH(C408,'Borrowers'!$C$9:$C$108,0))*'Scenario Paths'!I15*(1-INDEX('Borrowers'!$T$9:$T$108,MATCH(C408,'Borrowers'!$C$9:$C$108,0))),"Unavailable"))</x:f>
      </x:c>
      <x:c r="K408" s="23" t="str">
        <x:f>IF(C408="","",IFERROR(INDEX('Borrowers'!$I$9:$I$108,MATCH(C408,'Borrowers'!$C$9:$C$108,0))*INDEX('Borrowers'!$U$9:$U$108,MATCH(C408,'Borrowers'!$C$9:$C$108,0))*'Scenario Paths'!I21*S408,"Unavailable"))</x:f>
      </x:c>
      <x:c r="L408" s="23" t="str">
        <x:f>IF(C408="","",IFERROR(SUMPRODUCT((Sites!$D$9:$D$108=C408)*Sites!$H$9:$H$108*Sites!$J$9:$J$108*Sites!$K$9:$K$108*(1-Sites!$L$9:$L$108)*(1-Sites!$M$9:$M$108))*'Scenario Paths'!I27,"Unavailable"))</x:f>
      </x:c>
      <x:c r="M408" s="23" t="str">
        <x:f>IF(C408="","",IFERROR(INDEX('Borrowers'!$J$9:$J$108,MATCH(C408,'Borrowers'!$C$9:$C$108,0))+H408-SUM(I408:L408),"Unavailable"))</x:f>
      </x:c>
      <x:c r="N408" s="23" t="str">
        <x:f>IF(C408="","",IFERROR(INDEX('Borrowers'!$I$9:$I$108,MATCH(C408,'Borrowers'!$C$9:$C$108,0))*'Scenario Paths'!I33,"Unavailable"))</x:f>
      </x:c>
      <x:c r="O408" s="23" t="str">
        <x:f>IF(C408="","",IFERROR(M408-INDEX('Borrowers'!$K$9:$K$108,MATCH(C408,'Borrowers'!$C$9:$C$108,0))-N408,"Unavailable"))</x:f>
      </x:c>
      <x:c r="P408" s="127" t="str">
        <x:f>IF(C408="","",IFERROR(O408/INDEX('Borrowers'!$L$9:$L$108,MATCH(C408,'Borrowers'!$C$9:$C$108,0)),"Unavailable"))</x:f>
      </x:c>
      <x:c r="Q408" s="30" t="str">
        <x:f>IF(C408="","",IFERROR(IF(INDEX('Borrowers'!$Z$9:$Z$108,MATCH(C408,'Borrowers'!$C$9:$C$108,0))="Yes",1,IF(INDEX('Borrowers'!$P$9:$P$108,MATCH(C408,'Borrowers'!$C$9:$C$108,0))=0,0,MIN(1,INDEX('Borrowers'!$P$9:$P$108,MATCH(C408,'Borrowers'!$C$9:$C$108,0))*EXP(MIN(20,INDEX('Borrowers'!$V$9:$V$108,MATCH(C408,'Borrowers'!$C$9:$C$108,0))*V408))))),"Unavailable"))</x:f>
      </x:c>
      <x:c r="R408" s="30" t="str">
        <x:f>IF(C408="","",IFERROR(MIN(1,INDEX('Borrowers'!$Q$9:$Q$108,MATCH(C408,'Borrowers'!$C$9:$C$108,0))+(1-INDEX('Borrowers'!$Q$9:$Q$108,MATCH(C408,'Borrowers'!$C$9:$C$108,0)))*T408),"Unavailable"))</x:f>
      </x:c>
      <x:c r="S408" s="30" t="str">
        <x:f>IF(C408="","",IFERROR(SUMPRODUCT((Sites!$D$9:$D$108=C408)*Sites!$I$9:$I$108*Sites!$J$9:$J$108*Sites!$K$9:$K$108*(1-Sites!$L$9:$L$108)),"Unavailable"))</x:f>
      </x:c>
      <x:c r="T408" s="30" t="str">
        <x:f>IF(C408="","",IFERROR(MIN(1,(SUMPRODUCT((Sites!$D$9:$D$108=C408)*Sites!$N$9:$N$108*Sites!$J$9:$J$108*Sites!$K$9:$K$108*(1-Sites!$L$9:$L$108)))*'Scenario Paths'!I27),"Unavailable"))</x:f>
      </x:c>
      <x:c r="U408" s="9" t="str">
        <x:f>IF(C408="","",IF(OR(INDEX('Borrowers'!$AA$9:$AA$108,MATCH(C408,'Borrowers'!$C$9:$C$108,0))&lt;&gt;"Ready",COUNTIF(Sites!$D$9:$D$108,C408)=0,COUNTIFS(Sites!$D$9:$D$108,C408,Sites!$Q$9:$Q$108,"&lt;&gt;Ready")&gt;0,'Scenario Paths'!$F$6&lt;&gt;"Ready"),"Review source inputs","Ready"))</x:f>
      </x:c>
      <x:c r="V408" s="17" t="str">
        <x:f>IF(C408="","",IFERROR(MAX(-1,(G408-O408)/MAX(0.000001,G408)),"Unavailable"))</x:f>
      </x:c>
      <x:c r="W408" s="9" t="str">
        <x:f>IF(C408="","",IFERROR(INDEX('Borrowers'!$D$9:$D$108,MATCH(C408,'Borrowers'!$C$9:$C$108,0)),"Unavailable"))</x:f>
      </x:c>
    </x:row>
    <x:row r="409" ht="26" customHeight="1">
      <x:c r="A409" s="1"/>
      <x:c r="B409" s="1"/>
      <x:c r="C409" s="9" t="str">
        <x:f>IF(Borrowers!C9="","",Borrowers!C9)</x:f>
        <x:v>B001</x:v>
      </x:c>
      <x:c r="D409" s="3" t="n">
        <x:v>5</x:v>
      </x:c>
      <x:c r="E409" s="9" t="n">
        <x:f>Settings!$F$18+4</x:f>
        <x:v>2031</x:v>
      </x:c>
      <x:c r="F409" s="9" t="str">
        <x:f>IF(C409="","",INDEX('Borrowers'!$F$9:$F$108,MATCH(C409,'Borrowers'!$C$9:$C$108,0)))</x:f>
        <x:v>Cement</x:v>
      </x:c>
      <x:c r="G409" s="23" t="n">
        <x:f>IF(C409="","",IFERROR(INDEX('Borrowers'!$J$9:$J$108,MATCH(C409,'Borrowers'!$C$9:$C$108,0))-INDEX('Borrowers'!$K$9:$K$108,MATCH(C409,'Borrowers'!$C$9:$C$108,0)),"Unavailable"))</x:f>
        <x:v>10</x:v>
      </x:c>
      <x:c r="H409" s="23" t="n">
        <x:f>IF(C409="","",IFERROR(INDEX('Borrowers'!$I$9:$I$108,MATCH(C409,'Borrowers'!$C$9:$C$108,0))*INDEX('Borrowers'!$U$9:$U$108,MATCH(C409,'Borrowers'!$C$9:$C$108,0))*(IF(F409="Transport",'Scenario Paths'!J156,IF(F409="Technology",'Scenario Paths'!J150,IF(F409="Utilities",'Scenario Paths'!J144,IF(F409="Agriculture",'Scenario Paths'!J138,IF(F409="Manufacturing",'Scenario Paths'!J132,IF(F409="Healthcare",'Scenario Paths'!J126,IF(F409="Hospitality",'Scenario Paths'!J120,IF(F409="Property",'Scenario Paths'!J114,IF(F409="Food",'Scenario Paths'!J108,IF(F409="Logistics",'Scenario Paths'!J102,IF(F409="Solar",'Scenario Paths'!J96,IF(F409="Cement",'Scenario Paths'!J90,0))))))))))))),"Unavailable"))</x:f>
        <x:v>-1.44</x:v>
      </x:c>
      <x:c r="I409" s="23" t="n">
        <x:f>IF(C409="","",IFERROR(INDEX('Borrowers'!$R$9:$R$108,MATCH(C409,'Borrowers'!$C$9:$C$108,0))*(1-INDEX('Borrowers'!$W$9:$W$108,MATCH(C409,'Borrowers'!$C$9:$C$108,0))*'Scenario Paths'!J39)*'Scenario Paths'!J9/1000000*(1-INDEX('Borrowers'!$T$9:$T$108,MATCH(C409,'Borrowers'!$C$9:$C$108,0))),"Unavailable"))</x:f>
        <x:v>9.828</x:v>
      </x:c>
      <x:c r="J409" s="23" t="n">
        <x:f>IF(C409="","",IFERROR(INDEX('Borrowers'!$I$9:$I$108,MATCH(C409,'Borrowers'!$C$9:$C$108,0))*INDEX('Borrowers'!$S$9:$S$108,MATCH(C409,'Borrowers'!$C$9:$C$108,0))*'Scenario Paths'!J15*(1-INDEX('Borrowers'!$T$9:$T$108,MATCH(C409,'Borrowers'!$C$9:$C$108,0))),"Unavailable"))</x:f>
        <x:v>1.6146</x:v>
      </x:c>
      <x:c r="K409" s="23" t="n">
        <x:f>IF(C409="","",IFERROR(INDEX('Borrowers'!$I$9:$I$108,MATCH(C409,'Borrowers'!$C$9:$C$108,0))*INDEX('Borrowers'!$U$9:$U$108,MATCH(C409,'Borrowers'!$C$9:$C$108,0))*'Scenario Paths'!J21*S409,"Unavailable"))</x:f>
        <x:v>0.0247296</x:v>
      </x:c>
      <x:c r="L409" s="23" t="n">
        <x:f>IF(C409="","",IFERROR(SUMPRODUCT((Sites!$D$9:$D$108=C409)*Sites!$H$9:$H$108*Sites!$J$9:$J$108*Sites!$K$9:$K$108*(1-Sites!$L$9:$L$108)*(1-Sites!$M$9:$M$108))*'Scenario Paths'!J27,"Unavailable"))</x:f>
        <x:v>0.04928</x:v>
      </x:c>
      <x:c r="M409" s="23" t="n">
        <x:f>IF(C409="","",IFERROR(INDEX('Borrowers'!$J$9:$J$108,MATCH(C409,'Borrowers'!$C$9:$C$108,0))+H409-SUM(I409:L409),"Unavailable"))</x:f>
        <x:v>-0.9566095999999984</x:v>
      </x:c>
      <x:c r="N409" s="23" t="n">
        <x:f>IF(C409="","",IFERROR(INDEX('Borrowers'!$I$9:$I$108,MATCH(C409,'Borrowers'!$C$9:$C$108,0))*'Scenario Paths'!J33,"Unavailable"))</x:f>
        <x:v>1.5</x:v>
      </x:c>
      <x:c r="O409" s="23" t="n">
        <x:f>IF(C409="","",IFERROR(M409-INDEX('Borrowers'!$K$9:$K$108,MATCH(C409,'Borrowers'!$C$9:$C$108,0))-N409,"Unavailable"))</x:f>
        <x:v>-4.456609599999998</x:v>
      </x:c>
      <x:c r="P409" s="127" t="n">
        <x:f>IF(C409="","",IFERROR(O409/INDEX('Borrowers'!$L$9:$L$108,MATCH(C409,'Borrowers'!$C$9:$C$108,0)),"Unavailable"))</x:f>
        <x:v>-0.8913219199999997</x:v>
      </x:c>
      <x:c r="Q409" s="30" t="n">
        <x:f>IF(C409="","",IFERROR(IF(INDEX('Borrowers'!$Z$9:$Z$108,MATCH(C409,'Borrowers'!$C$9:$C$108,0))="Yes",1,IF(INDEX('Borrowers'!$P$9:$P$108,MATCH(C409,'Borrowers'!$C$9:$C$108,0))=0,0,MIN(1,INDEX('Borrowers'!$P$9:$P$108,MATCH(C409,'Borrowers'!$C$9:$C$108,0))*EXP(MIN(20,INDEX('Borrowers'!$V$9:$V$108,MATCH(C409,'Borrowers'!$C$9:$C$108,0))*V409))))),"Unavailable"))</x:f>
        <x:v>0.12126329651541977</x:v>
      </x:c>
      <x:c r="R409" s="30" t="n">
        <x:f>IF(C409="","",IFERROR(MIN(1,INDEX('Borrowers'!$Q$9:$Q$108,MATCH(C409,'Borrowers'!$C$9:$C$108,0))+(1-INDEX('Borrowers'!$Q$9:$Q$108,MATCH(C409,'Borrowers'!$C$9:$C$108,0)))*T409),"Unavailable"))</x:f>
        <x:v>0.28161280000000005</x:v>
      </x:c>
      <x:c r="S409" s="30" t="n">
        <x:f>IF(C409="","",IFERROR(SUMPRODUCT((Sites!$D$9:$D$108=C409)*Sites!$I$9:$I$108*Sites!$J$9:$J$108*Sites!$K$9:$K$108*(1-Sites!$L$9:$L$108)),"Unavailable"))</x:f>
        <x:v>0.056</x:v>
      </x:c>
      <x:c r="T409" s="30" t="n">
        <x:f>IF(C409="","",IFERROR(MIN(1,(SUMPRODUCT((Sites!$D$9:$D$108=C409)*Sites!$N$9:$N$108*Sites!$J$9:$J$108*Sites!$K$9:$K$108*(1-Sites!$L$9:$L$108)))*'Scenario Paths'!J27),"Unavailable"))</x:f>
        <x:v>0.0022400000000000002</x:v>
      </x:c>
      <x:c r="U409" s="9" t="str">
        <x:f>IF(C409="","",IF(OR(INDEX('Borrowers'!$AA$9:$AA$108,MATCH(C409,'Borrowers'!$C$9:$C$108,0))&lt;&gt;"Ready",COUNTIF(Sites!$D$9:$D$108,C409)=0,COUNTIFS(Sites!$D$9:$D$108,C409,Sites!$Q$9:$Q$108,"&lt;&gt;Ready")&gt;0,'Scenario Paths'!$F$6&lt;&gt;"Ready"),"Review source inputs","Ready"))</x:f>
        <x:v>Ready</x:v>
      </x:c>
      <x:c r="V409" s="17" t="n">
        <x:f>IF(C409="","",IFERROR(MAX(-1,(G409-O409)/MAX(0.000001,G409)),"Unavailable"))</x:f>
        <x:v>1.4456609599999999</x:v>
      </x:c>
      <x:c r="W409" s="9" t="str">
        <x:f>IF(C409="","",IFERROR(INDEX('Borrowers'!$D$9:$D$108,MATCH(C409,'Borrowers'!$C$9:$C$108,0)),"Unavailable"))</x:f>
        <x:v>Demo Nile Cement</x:v>
      </x:c>
    </x:row>
    <x:row r="410" ht="26" customHeight="1">
      <x:c r="A410" s="1"/>
      <x:c r="B410" s="1"/>
      <x:c r="C410" s="9" t="str">
        <x:f>IF(Borrowers!C10="","",Borrowers!C10)</x:f>
        <x:v>B002</x:v>
      </x:c>
      <x:c r="D410" s="3" t="n">
        <x:v>5</x:v>
      </x:c>
      <x:c r="E410" s="9" t="n">
        <x:f>Settings!$F$18+4</x:f>
        <x:v>2031</x:v>
      </x:c>
      <x:c r="F410" s="9" t="str">
        <x:f>IF(C410="","",INDEX('Borrowers'!$F$9:$F$108,MATCH(C410,'Borrowers'!$C$9:$C$108,0)))</x:f>
        <x:v>Solar</x:v>
      </x:c>
      <x:c r="G410" s="23" t="n">
        <x:f>IF(C410="","",IFERROR(INDEX('Borrowers'!$J$9:$J$108,MATCH(C410,'Borrowers'!$C$9:$C$108,0))-INDEX('Borrowers'!$K$9:$K$108,MATCH(C410,'Borrowers'!$C$9:$C$108,0)),"Unavailable"))</x:f>
        <x:v>11.35</x:v>
      </x:c>
      <x:c r="H410" s="23" t="n">
        <x:f>IF(C410="","",IFERROR(INDEX('Borrowers'!$I$9:$I$108,MATCH(C410,'Borrowers'!$C$9:$C$108,0))*INDEX('Borrowers'!$U$9:$U$108,MATCH(C410,'Borrowers'!$C$9:$C$108,0))*(IF(F410="Transport",'Scenario Paths'!J156,IF(F410="Technology",'Scenario Paths'!J150,IF(F410="Utilities",'Scenario Paths'!J144,IF(F410="Agriculture",'Scenario Paths'!J138,IF(F410="Manufacturing",'Scenario Paths'!J132,IF(F410="Healthcare",'Scenario Paths'!J126,IF(F410="Hospitality",'Scenario Paths'!J120,IF(F410="Property",'Scenario Paths'!J114,IF(F410="Food",'Scenario Paths'!J108,IF(F410="Logistics",'Scenario Paths'!J102,IF(F410="Solar",'Scenario Paths'!J96,IF(F410="Cement",'Scenario Paths'!J90,0))))))))))))),"Unavailable"))</x:f>
        <x:v>1.9095</x:v>
      </x:c>
      <x:c r="I410" s="23" t="n">
        <x:f>IF(C410="","",IFERROR(INDEX('Borrowers'!$R$9:$R$108,MATCH(C410,'Borrowers'!$C$9:$C$108,0))*(1-INDEX('Borrowers'!$W$9:$W$108,MATCH(C410,'Borrowers'!$C$9:$C$108,0))*'Scenario Paths'!J39)*'Scenario Paths'!J9/1000000*(1-INDEX('Borrowers'!$T$9:$T$108,MATCH(C410,'Borrowers'!$C$9:$C$108,0))),"Unavailable"))</x:f>
        <x:v>0.01386</x:v>
      </x:c>
      <x:c r="J410" s="23" t="n">
        <x:f>IF(C410="","",IFERROR(INDEX('Borrowers'!$I$9:$I$108,MATCH(C410,'Borrowers'!$C$9:$C$108,0))*INDEX('Borrowers'!$S$9:$S$108,MATCH(C410,'Borrowers'!$C$9:$C$108,0))*'Scenario Paths'!J15*(1-INDEX('Borrowers'!$T$9:$T$108,MATCH(C410,'Borrowers'!$C$9:$C$108,0))),"Unavailable"))</x:f>
        <x:v>0.5969700000000001</x:v>
      </x:c>
      <x:c r="K410" s="23" t="n">
        <x:f>IF(C410="","",IFERROR(INDEX('Borrowers'!$I$9:$I$108,MATCH(C410,'Borrowers'!$C$9:$C$108,0))*INDEX('Borrowers'!$U$9:$U$108,MATCH(C410,'Borrowers'!$C$9:$C$108,0))*'Scenario Paths'!J21*S410,"Unavailable"))</x:f>
        <x:v>0.07495424</x:v>
      </x:c>
      <x:c r="L410" s="23" t="n">
        <x:f>IF(C410="","",IFERROR(SUMPRODUCT((Sites!$D$9:$D$108=C410)*Sites!$H$9:$H$108*Sites!$J$9:$J$108*Sites!$K$9:$K$108*(1-Sites!$L$9:$L$108)*(1-Sites!$M$9:$M$108))*'Scenario Paths'!J27,"Unavailable"))</x:f>
        <x:v>0.12390400000000001</x:v>
      </x:c>
      <x:c r="M410" s="23" t="n">
        <x:f>IF(C410="","",IFERROR(INDEX('Borrowers'!$J$9:$J$108,MATCH(C410,'Borrowers'!$C$9:$C$108,0))+H410-SUM(I410:L410),"Unavailable"))</x:f>
        <x:v>14.59981176</x:v>
      </x:c>
      <x:c r="N410" s="23" t="n">
        <x:f>IF(C410="","",IFERROR(INDEX('Borrowers'!$I$9:$I$108,MATCH(C410,'Borrowers'!$C$9:$C$108,0))*'Scenario Paths'!J33,"Unavailable"))</x:f>
        <x:v>1.675</x:v>
      </x:c>
      <x:c r="O410" s="23" t="n">
        <x:f>IF(C410="","",IFERROR(M410-INDEX('Borrowers'!$K$9:$K$108,MATCH(C410,'Borrowers'!$C$9:$C$108,0))-N410,"Unavailable"))</x:f>
        <x:v>10.774811759999999</x:v>
      </x:c>
      <x:c r="P410" s="127" t="n">
        <x:f>IF(C410="","",IFERROR(O410/INDEX('Borrowers'!$L$9:$L$108,MATCH(C410,'Borrowers'!$C$9:$C$108,0)),"Unavailable"))</x:f>
        <x:v>2.032983350943396</x:v>
      </x:c>
      <x:c r="Q410" s="30" t="n">
        <x:f>IF(C410="","",IFERROR(IF(INDEX('Borrowers'!$Z$9:$Z$108,MATCH(C410,'Borrowers'!$C$9:$C$108,0))="Yes",1,IF(INDEX('Borrowers'!$P$9:$P$108,MATCH(C410,'Borrowers'!$C$9:$C$108,0))=0,0,MIN(1,INDEX('Borrowers'!$P$9:$P$108,MATCH(C410,'Borrowers'!$C$9:$C$108,0))*EXP(MIN(20,INDEX('Borrowers'!$V$9:$V$108,MATCH(C410,'Borrowers'!$C$9:$C$108,0))*V410))))),"Unavailable"))</x:f>
        <x:v>0.01952031196467032</x:v>
      </x:c>
      <x:c r="R410" s="30" t="n">
        <x:f>IF(C410="","",IFERROR(MIN(1,INDEX('Borrowers'!$Q$9:$Q$108,MATCH(C410,'Borrowers'!$C$9:$C$108,0))+(1-INDEX('Borrowers'!$Q$9:$Q$108,MATCH(C410,'Borrowers'!$C$9:$C$108,0)))*T410),"Unavailable"))</x:f>
        <x:v>0.3234816</x:v>
      </x:c>
      <x:c r="S410" s="30" t="n">
        <x:f>IF(C410="","",IFERROR(SUMPRODUCT((Sites!$D$9:$D$108=C410)*Sites!$I$9:$I$108*Sites!$J$9:$J$108*Sites!$K$9:$K$108*(1-Sites!$L$9:$L$108)),"Unavailable"))</x:f>
        <x:v>0.128</x:v>
      </x:c>
      <x:c r="T410" s="30" t="n">
        <x:f>IF(C410="","",IFERROR(MIN(1,(SUMPRODUCT((Sites!$D$9:$D$108=C410)*Sites!$N$9:$N$108*Sites!$J$9:$J$108*Sites!$K$9:$K$108*(1-Sites!$L$9:$L$108)))*'Scenario Paths'!J27),"Unavailable"))</x:f>
        <x:v>0.00512</x:v>
      </x:c>
      <x:c r="U410" s="9" t="str">
        <x:f>IF(C410="","",IF(OR(INDEX('Borrowers'!$AA$9:$AA$108,MATCH(C410,'Borrowers'!$C$9:$C$108,0))&lt;&gt;"Ready",COUNTIF(Sites!$D$9:$D$108,C410)=0,COUNTIFS(Sites!$D$9:$D$108,C410,Sites!$Q$9:$Q$108,"&lt;&gt;Ready")&gt;0,'Scenario Paths'!$F$6&lt;&gt;"Ready"),"Review source inputs","Ready"))</x:f>
        <x:v>Ready</x:v>
      </x:c>
      <x:c r="V410" s="17" t="n">
        <x:f>IF(C410="","",IFERROR(MAX(-1,(G410-O410)/MAX(0.000001,G410)),"Unavailable"))</x:f>
        <x:v>0.050677377973568374</x:v>
      </x:c>
      <x:c r="W410" s="9" t="str">
        <x:f>IF(C410="","",IFERROR(INDEX('Borrowers'!$D$9:$D$108,MATCH(C410,'Borrowers'!$C$9:$C$108,0)),"Unavailable"))</x:f>
        <x:v>Demo Delta Solar</x:v>
      </x:c>
    </x:row>
    <x:row r="411" ht="26" customHeight="1">
      <x:c r="A411" s="1"/>
      <x:c r="B411" s="1"/>
      <x:c r="C411" s="9" t="str">
        <x:f>IF(Borrowers!C11="","",Borrowers!C11)</x:f>
        <x:v>B003</x:v>
      </x:c>
      <x:c r="D411" s="3" t="n">
        <x:v>5</x:v>
      </x:c>
      <x:c r="E411" s="9" t="n">
        <x:f>Settings!$F$18+4</x:f>
        <x:v>2031</x:v>
      </x:c>
      <x:c r="F411" s="9" t="str">
        <x:f>IF(C411="","",INDEX('Borrowers'!$F$9:$F$108,MATCH(C411,'Borrowers'!$C$9:$C$108,0)))</x:f>
        <x:v>Logistics</x:v>
      </x:c>
      <x:c r="G411" s="23" t="n">
        <x:f>IF(C411="","",IFERROR(INDEX('Borrowers'!$J$9:$J$108,MATCH(C411,'Borrowers'!$C$9:$C$108,0))-INDEX('Borrowers'!$K$9:$K$108,MATCH(C411,'Borrowers'!$C$9:$C$108,0)),"Unavailable"))</x:f>
        <x:v>12.7</x:v>
      </x:c>
      <x:c r="H411" s="23" t="n">
        <x:f>IF(C411="","",IFERROR(INDEX('Borrowers'!$I$9:$I$108,MATCH(C411,'Borrowers'!$C$9:$C$108,0))*INDEX('Borrowers'!$U$9:$U$108,MATCH(C411,'Borrowers'!$C$9:$C$108,0))*(IF(F411="Transport",'Scenario Paths'!J156,IF(F411="Technology",'Scenario Paths'!J150,IF(F411="Utilities",'Scenario Paths'!J144,IF(F411="Agriculture",'Scenario Paths'!J138,IF(F411="Manufacturing",'Scenario Paths'!J132,IF(F411="Healthcare",'Scenario Paths'!J126,IF(F411="Hospitality",'Scenario Paths'!J120,IF(F411="Property",'Scenario Paths'!J114,IF(F411="Food",'Scenario Paths'!J108,IF(F411="Logistics",'Scenario Paths'!J102,IF(F411="Solar",'Scenario Paths'!J96,IF(F411="Cement",'Scenario Paths'!J90,0))))))))))))),"Unavailable"))</x:f>
        <x:v>-2.442</x:v>
      </x:c>
      <x:c r="I411" s="23" t="n">
        <x:f>IF(C411="","",IFERROR(INDEX('Borrowers'!$R$9:$R$108,MATCH(C411,'Borrowers'!$C$9:$C$108,0))*(1-INDEX('Borrowers'!$W$9:$W$108,MATCH(C411,'Borrowers'!$C$9:$C$108,0))*'Scenario Paths'!J39)*'Scenario Paths'!J9/1000000*(1-INDEX('Borrowers'!$T$9:$T$108,MATCH(C411,'Borrowers'!$C$9:$C$108,0))),"Unavailable"))</x:f>
        <x:v>0.27215999999999996</x:v>
      </x:c>
      <x:c r="J411" s="23" t="n">
        <x:f>IF(C411="","",IFERROR(INDEX('Borrowers'!$I$9:$I$108,MATCH(C411,'Borrowers'!$C$9:$C$108,0))*INDEX('Borrowers'!$S$9:$S$108,MATCH(C411,'Borrowers'!$C$9:$C$108,0))*'Scenario Paths'!J15*(1-INDEX('Borrowers'!$T$9:$T$108,MATCH(C411,'Borrowers'!$C$9:$C$108,0))),"Unavailable"))</x:f>
        <x:v>0.6593399999999999</x:v>
      </x:c>
      <x:c r="K411" s="23" t="n">
        <x:f>IF(C411="","",IFERROR(INDEX('Borrowers'!$I$9:$I$108,MATCH(C411,'Borrowers'!$C$9:$C$108,0))*INDEX('Borrowers'!$U$9:$U$108,MATCH(C411,'Borrowers'!$C$9:$C$108,0))*'Scenario Paths'!J21*S411,"Unavailable"))</x:f>
        <x:v>0.171343744</x:v>
      </x:c>
      <x:c r="L411" s="23" t="n">
        <x:f>IF(C411="","",IFERROR(SUMPRODUCT((Sites!$D$9:$D$108=C411)*Sites!$H$9:$H$108*Sites!$J$9:$J$108*Sites!$K$9:$K$108*(1-Sites!$L$9:$L$108)*(1-Sites!$M$9:$M$108))*'Scenario Paths'!J27,"Unavailable"))</x:f>
        <x:v>0.2416128</x:v>
      </x:c>
      <x:c r="M411" s="23" t="n">
        <x:f>IF(C411="","",IFERROR(INDEX('Borrowers'!$J$9:$J$108,MATCH(C411,'Borrowers'!$C$9:$C$108,0))+H411-SUM(I411:L411),"Unavailable"))</x:f>
        <x:v>11.213543456</x:v>
      </x:c>
      <x:c r="N411" s="23" t="n">
        <x:f>IF(C411="","",IFERROR(INDEX('Borrowers'!$I$9:$I$108,MATCH(C411,'Borrowers'!$C$9:$C$108,0))*'Scenario Paths'!J33,"Unavailable"))</x:f>
        <x:v>1.85</x:v>
      </x:c>
      <x:c r="O411" s="23" t="n">
        <x:f>IF(C411="","",IFERROR(M411-INDEX('Borrowers'!$K$9:$K$108,MATCH(C411,'Borrowers'!$C$9:$C$108,0))-N411,"Unavailable"))</x:f>
        <x:v>7.063543456</x:v>
      </x:c>
      <x:c r="P411" s="127" t="n">
        <x:f>IF(C411="","",IFERROR(O411/INDEX('Borrowers'!$L$9:$L$108,MATCH(C411,'Borrowers'!$C$9:$C$108,0)),"Unavailable"))</x:f>
        <x:v>1.2613470457142857</x:v>
      </x:c>
      <x:c r="Q411" s="30" t="n">
        <x:f>IF(C411="","",IFERROR(IF(INDEX('Borrowers'!$Z$9:$Z$108,MATCH(C411,'Borrowers'!$C$9:$C$108,0))="Yes",1,IF(INDEX('Borrowers'!$P$9:$P$108,MATCH(C411,'Borrowers'!$C$9:$C$108,0))=0,0,MIN(1,INDEX('Borrowers'!$P$9:$P$108,MATCH(C411,'Borrowers'!$C$9:$C$108,0))*EXP(MIN(20,INDEX('Borrowers'!$V$9:$V$108,MATCH(C411,'Borrowers'!$C$9:$C$108,0))*V411))))),"Unavailable"))</x:f>
        <x:v>0.04882090448831446</x:v>
      </x:c>
      <x:c r="R411" s="30" t="n">
        <x:f>IF(C411="","",IFERROR(MIN(1,INDEX('Borrowers'!$Q$9:$Q$108,MATCH(C411,'Borrowers'!$C$9:$C$108,0))+(1-INDEX('Borrowers'!$Q$9:$Q$108,MATCH(C411,'Borrowers'!$C$9:$C$108,0)))*T411),"Unavailable"))</x:f>
        <x:v>0.36585728000000006</x:v>
      </x:c>
      <x:c r="S411" s="30" t="n">
        <x:f>IF(C411="","",IFERROR(SUMPRODUCT((Sites!$D$9:$D$108=C411)*Sites!$I$9:$I$108*Sites!$J$9:$J$108*Sites!$K$9:$K$108*(1-Sites!$L$9:$L$108)),"Unavailable"))</x:f>
        <x:v>0.2288</x:v>
      </x:c>
      <x:c r="T411" s="30" t="n">
        <x:f>IF(C411="","",IFERROR(MIN(1,(SUMPRODUCT((Sites!$D$9:$D$108=C411)*Sites!$N$9:$N$108*Sites!$J$9:$J$108*Sites!$K$9:$K$108*(1-Sites!$L$9:$L$108)))*'Scenario Paths'!J27),"Unavailable"))</x:f>
        <x:v>0.009152</x:v>
      </x:c>
      <x:c r="U411" s="9" t="str">
        <x:f>IF(C411="","",IF(OR(INDEX('Borrowers'!$AA$9:$AA$108,MATCH(C411,'Borrowers'!$C$9:$C$108,0))&lt;&gt;"Ready",COUNTIF(Sites!$D$9:$D$108,C411)=0,COUNTIFS(Sites!$D$9:$D$108,C411,Sites!$Q$9:$Q$108,"&lt;&gt;Ready")&gt;0,'Scenario Paths'!$F$6&lt;&gt;"Ready"),"Review source inputs","Ready"))</x:f>
        <x:v>Ready</x:v>
      </x:c>
      <x:c r="V411" s="17" t="n">
        <x:f>IF(C411="","",IFERROR(MAX(-1,(G411-O411)/MAX(0.000001,G411)),"Unavailable"))</x:f>
        <x:v>0.4438154759055118</x:v>
      </x:c>
      <x:c r="W411" s="9" t="str">
        <x:f>IF(C411="","",IFERROR(INDEX('Borrowers'!$D$9:$D$108,MATCH(C411,'Borrowers'!$C$9:$C$108,0)),"Unavailable"))</x:f>
        <x:v>Demo Alexandria Logistics</x:v>
      </x:c>
    </x:row>
    <x:row r="412" ht="26" customHeight="1">
      <x:c r="A412" s="1"/>
      <x:c r="B412" s="1"/>
      <x:c r="C412" s="9" t="str">
        <x:f>IF(Borrowers!C12="","",Borrowers!C12)</x:f>
        <x:v>B004</x:v>
      </x:c>
      <x:c r="D412" s="3" t="n">
        <x:v>5</x:v>
      </x:c>
      <x:c r="E412" s="9" t="n">
        <x:f>Settings!$F$18+4</x:f>
        <x:v>2031</x:v>
      </x:c>
      <x:c r="F412" s="9" t="str">
        <x:f>IF(C412="","",INDEX('Borrowers'!$F$9:$F$108,MATCH(C412,'Borrowers'!$C$9:$C$108,0)))</x:f>
        <x:v>Food</x:v>
      </x:c>
      <x:c r="G412" s="23" t="n">
        <x:f>IF(C412="","",IFERROR(INDEX('Borrowers'!$J$9:$J$108,MATCH(C412,'Borrowers'!$C$9:$C$108,0))-INDEX('Borrowers'!$K$9:$K$108,MATCH(C412,'Borrowers'!$C$9:$C$108,0)),"Unavailable"))</x:f>
        <x:v>14.05</x:v>
      </x:c>
      <x:c r="H412" s="23" t="n">
        <x:f>IF(C412="","",IFERROR(INDEX('Borrowers'!$I$9:$I$108,MATCH(C412,'Borrowers'!$C$9:$C$108,0))*INDEX('Borrowers'!$U$9:$U$108,MATCH(C412,'Borrowers'!$C$9:$C$108,0))*(IF(F412="Transport",'Scenario Paths'!J156,IF(F412="Technology",'Scenario Paths'!J150,IF(F412="Utilities",'Scenario Paths'!J144,IF(F412="Agriculture",'Scenario Paths'!J138,IF(F412="Manufacturing",'Scenario Paths'!J132,IF(F412="Healthcare",'Scenario Paths'!J126,IF(F412="Hospitality",'Scenario Paths'!J120,IF(F412="Property",'Scenario Paths'!J114,IF(F412="Food",'Scenario Paths'!J108,IF(F412="Logistics",'Scenario Paths'!J102,IF(F412="Solar",'Scenario Paths'!J96,IF(F412="Cement",'Scenario Paths'!J90,0))))))))))))),"Unavailable"))</x:f>
        <x:v>-1.944</x:v>
      </x:c>
      <x:c r="I412" s="23" t="n">
        <x:f>IF(C412="","",IFERROR(INDEX('Borrowers'!$R$9:$R$108,MATCH(C412,'Borrowers'!$C$9:$C$108,0))*(1-INDEX('Borrowers'!$W$9:$W$108,MATCH(C412,'Borrowers'!$C$9:$C$108,0))*'Scenario Paths'!J39)*'Scenario Paths'!J9/1000000*(1-INDEX('Borrowers'!$T$9:$T$108,MATCH(C412,'Borrowers'!$C$9:$C$108,0))),"Unavailable"))</x:f>
        <x:v>0.22932</x:v>
      </x:c>
      <x:c r="J412" s="23" t="n">
        <x:f>IF(C412="","",IFERROR(INDEX('Borrowers'!$I$9:$I$108,MATCH(C412,'Borrowers'!$C$9:$C$108,0))*INDEX('Borrowers'!$S$9:$S$108,MATCH(C412,'Borrowers'!$C$9:$C$108,0))*'Scenario Paths'!J15*(1-INDEX('Borrowers'!$T$9:$T$108,MATCH(C412,'Borrowers'!$C$9:$C$108,0))),"Unavailable"))</x:f>
        <x:v>0.66339</x:v>
      </x:c>
      <x:c r="K412" s="23" t="n">
        <x:f>IF(C412="","",IFERROR(INDEX('Borrowers'!$I$9:$I$108,MATCH(C412,'Borrowers'!$C$9:$C$108,0))*INDEX('Borrowers'!$U$9:$U$108,MATCH(C412,'Borrowers'!$C$9:$C$108,0))*'Scenario Paths'!J21*S412,"Unavailable"))</x:f>
        <x:v>0.093477888</x:v>
      </x:c>
      <x:c r="L412" s="23" t="n">
        <x:f>IF(C412="","",IFERROR(SUMPRODUCT((Sites!$D$9:$D$108=C412)*Sites!$H$9:$H$108*Sites!$J$9:$J$108*Sites!$K$9:$K$108*(1-Sites!$L$9:$L$108)*(1-Sites!$M$9:$M$108))*'Scenario Paths'!J27,"Unavailable"))</x:f>
        <x:v>0.17937920000000002</x:v>
      </x:c>
      <x:c r="M412" s="23" t="n">
        <x:f>IF(C412="","",IFERROR(INDEX('Borrowers'!$J$9:$J$108,MATCH(C412,'Borrowers'!$C$9:$C$108,0))+H412-SUM(I412:L412),"Unavailable"))</x:f>
        <x:v>13.390432912000001</x:v>
      </x:c>
      <x:c r="N412" s="23" t="n">
        <x:f>IF(C412="","",IFERROR(INDEX('Borrowers'!$I$9:$I$108,MATCH(C412,'Borrowers'!$C$9:$C$108,0))*'Scenario Paths'!J33,"Unavailable"))</x:f>
        <x:v>2.025</x:v>
      </x:c>
      <x:c r="O412" s="23" t="n">
        <x:f>IF(C412="","",IFERROR(M412-INDEX('Borrowers'!$K$9:$K$108,MATCH(C412,'Borrowers'!$C$9:$C$108,0))-N412,"Unavailable"))</x:f>
        <x:v>8.915432912000002</x:v>
      </x:c>
      <x:c r="P412" s="127" t="n">
        <x:f>IF(C412="","",IFERROR(O412/INDEX('Borrowers'!$L$9:$L$108,MATCH(C412,'Borrowers'!$C$9:$C$108,0)),"Unavailable"))</x:f>
        <x:v>1.5110903240677969</x:v>
      </x:c>
      <x:c r="Q412" s="30" t="n">
        <x:f>IF(C412="","",IFERROR(IF(INDEX('Borrowers'!$Z$9:$Z$108,MATCH(C412,'Borrowers'!$C$9:$C$108,0))="Yes",1,IF(INDEX('Borrowers'!$P$9:$P$108,MATCH(C412,'Borrowers'!$C$9:$C$108,0))=0,0,MIN(1,INDEX('Borrowers'!$P$9:$P$108,MATCH(C412,'Borrowers'!$C$9:$C$108,0))*EXP(MIN(20,INDEX('Borrowers'!$V$9:$V$108,MATCH(C412,'Borrowers'!$C$9:$C$108,0))*V412))))),"Unavailable"))</x:f>
        <x:v>0.053834620576634275</x:v>
      </x:c>
      <x:c r="R412" s="30" t="n">
        <x:f>IF(C412="","",IFERROR(MIN(1,INDEX('Borrowers'!$Q$9:$Q$108,MATCH(C412,'Borrowers'!$C$9:$C$108,0))+(1-INDEX('Borrowers'!$Q$9:$Q$108,MATCH(C412,'Borrowers'!$C$9:$C$108,0)))*T412),"Unavailable"))</x:f>
        <x:v>0.40376320000000004</x:v>
      </x:c>
      <x:c r="S412" s="30" t="n">
        <x:f>IF(C412="","",IFERROR(SUMPRODUCT((Sites!$D$9:$D$108=C412)*Sites!$I$9:$I$108*Sites!$J$9:$J$108*Sites!$K$9:$K$108*(1-Sites!$L$9:$L$108)),"Unavailable"))</x:f>
        <x:v>0.1568</x:v>
      </x:c>
      <x:c r="T412" s="30" t="n">
        <x:f>IF(C412="","",IFERROR(MIN(1,(SUMPRODUCT((Sites!$D$9:$D$108=C412)*Sites!$N$9:$N$108*Sites!$J$9:$J$108*Sites!$K$9:$K$108*(1-Sites!$L$9:$L$108)))*'Scenario Paths'!J27),"Unavailable"))</x:f>
        <x:v>0.006272</x:v>
      </x:c>
      <x:c r="U412" s="9" t="str">
        <x:f>IF(C412="","",IF(OR(INDEX('Borrowers'!$AA$9:$AA$108,MATCH(C412,'Borrowers'!$C$9:$C$108,0))&lt;&gt;"Ready",COUNTIF(Sites!$D$9:$D$108,C412)=0,COUNTIFS(Sites!$D$9:$D$108,C412,Sites!$Q$9:$Q$108,"&lt;&gt;Ready")&gt;0,'Scenario Paths'!$F$6&lt;&gt;"Ready"),"Review source inputs","Ready"))</x:f>
        <x:v>Ready</x:v>
      </x:c>
      <x:c r="V412" s="17" t="n">
        <x:f>IF(C412="","",IFERROR(MAX(-1,(G412-O412)/MAX(0.000001,G412)),"Unavailable"))</x:f>
        <x:v>0.36544961480427035</x:v>
      </x:c>
      <x:c r="W412" s="9" t="str">
        <x:f>IF(C412="","",IFERROR(INDEX('Borrowers'!$D$9:$D$108,MATCH(C412,'Borrowers'!$C$9:$C$108,0)),"Unavailable"))</x:f>
        <x:v>Demo Oasis Foods</x:v>
      </x:c>
    </x:row>
    <x:row r="413" ht="26" customHeight="1">
      <x:c r="A413" s="1"/>
      <x:c r="B413" s="1"/>
      <x:c r="C413" s="9" t="str">
        <x:f>IF(Borrowers!C13="","",Borrowers!C13)</x:f>
        <x:v>B005</x:v>
      </x:c>
      <x:c r="D413" s="3" t="n">
        <x:v>5</x:v>
      </x:c>
      <x:c r="E413" s="9" t="n">
        <x:f>Settings!$F$18+4</x:f>
        <x:v>2031</x:v>
      </x:c>
      <x:c r="F413" s="9" t="str">
        <x:f>IF(C413="","",INDEX('Borrowers'!$F$9:$F$108,MATCH(C413,'Borrowers'!$C$9:$C$108,0)))</x:f>
        <x:v>Property</x:v>
      </x:c>
      <x:c r="G413" s="23" t="n">
        <x:f>IF(C413="","",IFERROR(INDEX('Borrowers'!$J$9:$J$108,MATCH(C413,'Borrowers'!$C$9:$C$108,0))-INDEX('Borrowers'!$K$9:$K$108,MATCH(C413,'Borrowers'!$C$9:$C$108,0)),"Unavailable"))</x:f>
        <x:v>15.4</x:v>
      </x:c>
      <x:c r="H413" s="23" t="n">
        <x:f>IF(C413="","",IFERROR(INDEX('Borrowers'!$I$9:$I$108,MATCH(C413,'Borrowers'!$C$9:$C$108,0))*INDEX('Borrowers'!$U$9:$U$108,MATCH(C413,'Borrowers'!$C$9:$C$108,0))*(IF(F413="Transport",'Scenario Paths'!J156,IF(F413="Technology",'Scenario Paths'!J150,IF(F413="Utilities",'Scenario Paths'!J144,IF(F413="Agriculture",'Scenario Paths'!J138,IF(F413="Manufacturing",'Scenario Paths'!J132,IF(F413="Healthcare",'Scenario Paths'!J126,IF(F413="Hospitality",'Scenario Paths'!J120,IF(F413="Property",'Scenario Paths'!J114,IF(F413="Food",'Scenario Paths'!J108,IF(F413="Logistics",'Scenario Paths'!J102,IF(F413="Solar",'Scenario Paths'!J96,IF(F413="Cement",'Scenario Paths'!J90,0))))))))))))),"Unavailable"))</x:f>
        <x:v>-2.5079999999999996</x:v>
      </x:c>
      <x:c r="I413" s="23" t="n">
        <x:f>IF(C413="","",IFERROR(INDEX('Borrowers'!$R$9:$R$108,MATCH(C413,'Borrowers'!$C$9:$C$108,0))*(1-INDEX('Borrowers'!$W$9:$W$108,MATCH(C413,'Borrowers'!$C$9:$C$108,0))*'Scenario Paths'!J39)*'Scenario Paths'!J9/1000000*(1-INDEX('Borrowers'!$T$9:$T$108,MATCH(C413,'Borrowers'!$C$9:$C$108,0))),"Unavailable"))</x:f>
        <x:v>0.45864</x:v>
      </x:c>
      <x:c r="J413" s="23" t="n">
        <x:f>IF(C413="","",IFERROR(INDEX('Borrowers'!$I$9:$I$108,MATCH(C413,'Borrowers'!$C$9:$C$108,0))*INDEX('Borrowers'!$S$9:$S$108,MATCH(C413,'Borrowers'!$C$9:$C$108,0))*'Scenario Paths'!J15*(1-INDEX('Borrowers'!$T$9:$T$108,MATCH(C413,'Borrowers'!$C$9:$C$108,0))),"Unavailable"))</x:f>
        <x:v>0.72072</x:v>
      </x:c>
      <x:c r="K413" s="23" t="n">
        <x:f>IF(C413="","",IFERROR(INDEX('Borrowers'!$I$9:$I$108,MATCH(C413,'Borrowers'!$C$9:$C$108,0))*INDEX('Borrowers'!$U$9:$U$108,MATCH(C413,'Borrowers'!$C$9:$C$108,0))*'Scenario Paths'!J21*S413,"Unavailable"))</x:f>
        <x:v>0.20920064</x:v>
      </x:c>
      <x:c r="L413" s="23" t="n">
        <x:f>IF(C413="","",IFERROR(SUMPRODUCT((Sites!$D$9:$D$108=C413)*Sites!$H$9:$H$108*Sites!$J$9:$J$108*Sites!$K$9:$K$108*(1-Sites!$L$9:$L$108)*(1-Sites!$M$9:$M$108))*'Scenario Paths'!J27,"Unavailable"))</x:f>
        <x:v>0.33510400000000007</x:v>
      </x:c>
      <x:c r="M413" s="23" t="n">
        <x:f>IF(C413="","",IFERROR(INDEX('Borrowers'!$J$9:$J$108,MATCH(C413,'Borrowers'!$C$9:$C$108,0))+H413-SUM(I413:L413),"Unavailable"))</x:f>
        <x:v>13.768335360000002</x:v>
      </x:c>
      <x:c r="N413" s="23" t="n">
        <x:f>IF(C413="","",IFERROR(INDEX('Borrowers'!$I$9:$I$108,MATCH(C413,'Borrowers'!$C$9:$C$108,0))*'Scenario Paths'!J33,"Unavailable"))</x:f>
        <x:v>2.2</x:v>
      </x:c>
      <x:c r="O413" s="23" t="n">
        <x:f>IF(C413="","",IFERROR(M413-INDEX('Borrowers'!$K$9:$K$108,MATCH(C413,'Borrowers'!$C$9:$C$108,0))-N413,"Unavailable"))</x:f>
        <x:v>8.968335360000001</x:v>
      </x:c>
      <x:c r="P413" s="127" t="n">
        <x:f>IF(C413="","",IFERROR(O413/INDEX('Borrowers'!$L$9:$L$108,MATCH(C413,'Borrowers'!$C$9:$C$108,0)),"Unavailable"))</x:f>
        <x:v>1.4465057032258066</x:v>
      </x:c>
      <x:c r="Q413" s="30" t="n">
        <x:f>IF(C413="","",IFERROR(IF(INDEX('Borrowers'!$Z$9:$Z$108,MATCH(C413,'Borrowers'!$C$9:$C$108,0))="Yes",1,IF(INDEX('Borrowers'!$P$9:$P$108,MATCH(C413,'Borrowers'!$C$9:$C$108,0))=0,0,MIN(1,INDEX('Borrowers'!$P$9:$P$108,MATCH(C413,'Borrowers'!$C$9:$C$108,0))*EXP(MIN(20,INDEX('Borrowers'!$V$9:$V$108,MATCH(C413,'Borrowers'!$C$9:$C$108,0))*V413))))),"Unavailable"))</x:f>
        <x:v>0.07022777135285643</x:v>
      </x:c>
      <x:c r="R413" s="30" t="n">
        <x:f>IF(C413="","",IFERROR(MIN(1,INDEX('Borrowers'!$Q$9:$Q$108,MATCH(C413,'Borrowers'!$C$9:$C$108,0))+(1-INDEX('Borrowers'!$Q$9:$Q$108,MATCH(C413,'Borrowers'!$C$9:$C$108,0)))*T413),"Unavailable"))</x:f>
        <x:v>0.44609280000000007</x:v>
      </x:c>
      <x:c r="S413" s="30" t="n">
        <x:f>IF(C413="","",IFERROR(SUMPRODUCT((Sites!$D$9:$D$108=C413)*Sites!$I$9:$I$108*Sites!$J$9:$J$108*Sites!$K$9:$K$108*(1-Sites!$L$9:$L$108)),"Unavailable"))</x:f>
        <x:v>0.272</x:v>
      </x:c>
      <x:c r="T413" s="30" t="n">
        <x:f>IF(C413="","",IFERROR(MIN(1,(SUMPRODUCT((Sites!$D$9:$D$108=C413)*Sites!$N$9:$N$108*Sites!$J$9:$J$108*Sites!$K$9:$K$108*(1-Sites!$L$9:$L$108)))*'Scenario Paths'!J27),"Unavailable"))</x:f>
        <x:v>0.01088</x:v>
      </x:c>
      <x:c r="U413" s="9" t="str">
        <x:f>IF(C413="","",IF(OR(INDEX('Borrowers'!$AA$9:$AA$108,MATCH(C413,'Borrowers'!$C$9:$C$108,0))&lt;&gt;"Ready",COUNTIF(Sites!$D$9:$D$108,C413)=0,COUNTIFS(Sites!$D$9:$D$108,C413,Sites!$Q$9:$Q$108,"&lt;&gt;Ready")&gt;0,'Scenario Paths'!$F$6&lt;&gt;"Ready"),"Review source inputs","Ready"))</x:f>
        <x:v>Ready</x:v>
      </x:c>
      <x:c r="V413" s="17" t="n">
        <x:f>IF(C413="","",IFERROR(MAX(-1,(G413-O413)/MAX(0.000001,G413)),"Unavailable"))</x:f>
        <x:v>0.41764056103896097</x:v>
      </x:c>
      <x:c r="W413" s="9" t="str">
        <x:f>IF(C413="","",IFERROR(INDEX('Borrowers'!$D$9:$D$108,MATCH(C413,'Borrowers'!$C$9:$C$108,0)),"Unavailable"))</x:f>
        <x:v>Demo Cairo Properties</x:v>
      </x:c>
    </x:row>
    <x:row r="414" ht="26" customHeight="1">
      <x:c r="A414" s="1"/>
      <x:c r="B414" s="1"/>
      <x:c r="C414" s="9" t="str">
        <x:f>IF(Borrowers!C14="","",Borrowers!C14)</x:f>
        <x:v>B006</x:v>
      </x:c>
      <x:c r="D414" s="3" t="n">
        <x:v>5</x:v>
      </x:c>
      <x:c r="E414" s="9" t="n">
        <x:f>Settings!$F$18+4</x:f>
        <x:v>2031</x:v>
      </x:c>
      <x:c r="F414" s="9" t="str">
        <x:f>IF(C414="","",INDEX('Borrowers'!$F$9:$F$108,MATCH(C414,'Borrowers'!$C$9:$C$108,0)))</x:f>
        <x:v>Hospitality</x:v>
      </x:c>
      <x:c r="G414" s="23" t="n">
        <x:f>IF(C414="","",IFERROR(INDEX('Borrowers'!$J$9:$J$108,MATCH(C414,'Borrowers'!$C$9:$C$108,0))-INDEX('Borrowers'!$K$9:$K$108,MATCH(C414,'Borrowers'!$C$9:$C$108,0)),"Unavailable"))</x:f>
        <x:v>16.75</x:v>
      </x:c>
      <x:c r="H414" s="23" t="n">
        <x:f>IF(C414="","",IFERROR(INDEX('Borrowers'!$I$9:$I$108,MATCH(C414,'Borrowers'!$C$9:$C$108,0))*INDEX('Borrowers'!$U$9:$U$108,MATCH(C414,'Borrowers'!$C$9:$C$108,0))*(IF(F414="Transport",'Scenario Paths'!J156,IF(F414="Technology",'Scenario Paths'!J150,IF(F414="Utilities",'Scenario Paths'!J144,IF(F414="Agriculture",'Scenario Paths'!J138,IF(F414="Manufacturing",'Scenario Paths'!J132,IF(F414="Healthcare",'Scenario Paths'!J126,IF(F414="Hospitality",'Scenario Paths'!J120,IF(F414="Property",'Scenario Paths'!J114,IF(F414="Food",'Scenario Paths'!J108,IF(F414="Logistics",'Scenario Paths'!J102,IF(F414="Solar",'Scenario Paths'!J96,IF(F414="Cement",'Scenario Paths'!J90,0))))))))))))),"Unavailable"))</x:f>
        <x:v>-3.135</x:v>
      </x:c>
      <x:c r="I414" s="23" t="n">
        <x:f>IF(C414="","",IFERROR(INDEX('Borrowers'!$R$9:$R$108,MATCH(C414,'Borrowers'!$C$9:$C$108,0))*(1-INDEX('Borrowers'!$W$9:$W$108,MATCH(C414,'Borrowers'!$C$9:$C$108,0))*'Scenario Paths'!J39)*'Scenario Paths'!J9/1000000*(1-INDEX('Borrowers'!$T$9:$T$108,MATCH(C414,'Borrowers'!$C$9:$C$108,0))),"Unavailable"))</x:f>
        <x:v>0.41580000000000006</x:v>
      </x:c>
      <x:c r="J414" s="23" t="n">
        <x:f>IF(C414="","",IFERROR(INDEX('Borrowers'!$I$9:$I$108,MATCH(C414,'Borrowers'!$C$9:$C$108,0))*INDEX('Borrowers'!$S$9:$S$108,MATCH(C414,'Borrowers'!$C$9:$C$108,0))*'Scenario Paths'!J15*(1-INDEX('Borrowers'!$T$9:$T$108,MATCH(C414,'Borrowers'!$C$9:$C$108,0))),"Unavailable"))</x:f>
        <x:v>0.8464500000000001</x:v>
      </x:c>
      <x:c r="K414" s="23" t="n">
        <x:f>IF(C414="","",IFERROR(INDEX('Borrowers'!$I$9:$I$108,MATCH(C414,'Borrowers'!$C$9:$C$108,0))*INDEX('Borrowers'!$U$9:$U$108,MATCH(C414,'Borrowers'!$C$9:$C$108,0))*'Scenario Paths'!J21*S414,"Unavailable"))</x:f>
        <x:v>0.0999856</x:v>
      </x:c>
      <x:c r="L414" s="23" t="n">
        <x:f>IF(C414="","",IFERROR(SUMPRODUCT((Sites!$D$9:$D$108=C414)*Sites!$H$9:$H$108*Sites!$J$9:$J$108*Sites!$K$9:$K$108*(1-Sites!$L$9:$L$108)*(1-Sites!$M$9:$M$108))*'Scenario Paths'!J27,"Unavailable"))</x:f>
        <x:v>0.13728</x:v>
      </x:c>
      <x:c r="M414" s="23" t="n">
        <x:f>IF(C414="","",IFERROR(INDEX('Borrowers'!$J$9:$J$108,MATCH(C414,'Borrowers'!$C$9:$C$108,0))+H414-SUM(I414:L414),"Unavailable"))</x:f>
        <x:v>14.865484400000001</x:v>
      </x:c>
      <x:c r="N414" s="23" t="n">
        <x:f>IF(C414="","",IFERROR(INDEX('Borrowers'!$I$9:$I$108,MATCH(C414,'Borrowers'!$C$9:$C$108,0))*'Scenario Paths'!J33,"Unavailable"))</x:f>
        <x:v>2.375</x:v>
      </x:c>
      <x:c r="O414" s="23" t="n">
        <x:f>IF(C414="","",IFERROR(M414-INDEX('Borrowers'!$K$9:$K$108,MATCH(C414,'Borrowers'!$C$9:$C$108,0))-N414,"Unavailable"))</x:f>
        <x:v>9.740484400000001</x:v>
      </x:c>
      <x:c r="P414" s="127" t="n">
        <x:f>IF(C414="","",IFERROR(O414/INDEX('Borrowers'!$L$9:$L$108,MATCH(C414,'Borrowers'!$C$9:$C$108,0)),"Unavailable"))</x:f>
        <x:v>1.4985360615384617</x:v>
      </x:c>
      <x:c r="Q414" s="30" t="n">
        <x:f>IF(C414="","",IFERROR(IF(INDEX('Borrowers'!$Z$9:$Z$108,MATCH(C414,'Borrowers'!$C$9:$C$108,0))="Yes",1,IF(INDEX('Borrowers'!$P$9:$P$108,MATCH(C414,'Borrowers'!$C$9:$C$108,0))=0,0,MIN(1,INDEX('Borrowers'!$P$9:$P$108,MATCH(C414,'Borrowers'!$C$9:$C$108,0))*EXP(MIN(20,INDEX('Borrowers'!$V$9:$V$108,MATCH(C414,'Borrowers'!$C$9:$C$108,0))*V414))))),"Unavailable"))</x:f>
        <x:v>0.0820423262224518</x:v>
      </x:c>
      <x:c r="R414" s="30" t="n">
        <x:f>IF(C414="","",IFERROR(MIN(1,INDEX('Borrowers'!$Q$9:$Q$108,MATCH(C414,'Borrowers'!$C$9:$C$108,0))+(1-INDEX('Borrowers'!$Q$9:$Q$108,MATCH(C414,'Borrowers'!$C$9:$C$108,0)))*T414),"Unavailable"))</x:f>
        <x:v>0.2829952</x:v>
      </x:c>
      <x:c r="S414" s="30" t="n">
        <x:f>IF(C414="","",IFERROR(SUMPRODUCT((Sites!$D$9:$D$108=C414)*Sites!$I$9:$I$108*Sites!$J$9:$J$108*Sites!$K$9:$K$108*(1-Sites!$L$9:$L$108)),"Unavailable"))</x:f>
        <x:v>0.104</x:v>
      </x:c>
      <x:c r="T414" s="30" t="n">
        <x:f>IF(C414="","",IFERROR(MIN(1,(SUMPRODUCT((Sites!$D$9:$D$108=C414)*Sites!$N$9:$N$108*Sites!$J$9:$J$108*Sites!$K$9:$K$108*(1-Sites!$L$9:$L$108)))*'Scenario Paths'!J27),"Unavailable"))</x:f>
        <x:v>0.00416</x:v>
      </x:c>
      <x:c r="U414" s="9" t="str">
        <x:f>IF(C414="","",IF(OR(INDEX('Borrowers'!$AA$9:$AA$108,MATCH(C414,'Borrowers'!$C$9:$C$108,0))&lt;&gt;"Ready",COUNTIF(Sites!$D$9:$D$108,C414)=0,COUNTIFS(Sites!$D$9:$D$108,C414,Sites!$Q$9:$Q$108,"&lt;&gt;Ready")&gt;0,'Scenario Paths'!$F$6&lt;&gt;"Ready"),"Review source inputs","Ready"))</x:f>
        <x:v>Ready</x:v>
      </x:c>
      <x:c r="V414" s="17" t="n">
        <x:f>IF(C414="","",IFERROR(MAX(-1,(G414-O414)/MAX(0.000001,G414)),"Unavailable"))</x:f>
        <x:v>0.418478543283582</x:v>
      </x:c>
      <x:c r="W414" s="9" t="str">
        <x:f>IF(C414="","",IFERROR(INDEX('Borrowers'!$D$9:$D$108,MATCH(C414,'Borrowers'!$C$9:$C$108,0)),"Unavailable"))</x:f>
        <x:v>Demo Red Sea Hotels</x:v>
      </x:c>
    </x:row>
    <x:row r="415" ht="26" customHeight="1">
      <x:c r="A415" s="1"/>
      <x:c r="B415" s="1"/>
      <x:c r="C415" s="9" t="str">
        <x:f>IF(Borrowers!C15="","",Borrowers!C15)</x:f>
        <x:v>B007</x:v>
      </x:c>
      <x:c r="D415" s="3" t="n">
        <x:v>5</x:v>
      </x:c>
      <x:c r="E415" s="9" t="n">
        <x:f>Settings!$F$18+4</x:f>
        <x:v>2031</x:v>
      </x:c>
      <x:c r="F415" s="9" t="str">
        <x:f>IF(C415="","",INDEX('Borrowers'!$F$9:$F$108,MATCH(C415,'Borrowers'!$C$9:$C$108,0)))</x:f>
        <x:v>Cement</x:v>
      </x:c>
      <x:c r="G415" s="23" t="n">
        <x:f>IF(C415="","",IFERROR(INDEX('Borrowers'!$J$9:$J$108,MATCH(C415,'Borrowers'!$C$9:$C$108,0))-INDEX('Borrowers'!$K$9:$K$108,MATCH(C415,'Borrowers'!$C$9:$C$108,0)),"Unavailable"))</x:f>
        <x:v>18.1</x:v>
      </x:c>
      <x:c r="H415" s="23" t="n">
        <x:f>IF(C415="","",IFERROR(INDEX('Borrowers'!$I$9:$I$108,MATCH(C415,'Borrowers'!$C$9:$C$108,0))*INDEX('Borrowers'!$U$9:$U$108,MATCH(C415,'Borrowers'!$C$9:$C$108,0))*(IF(F415="Transport",'Scenario Paths'!J156,IF(F415="Technology",'Scenario Paths'!J150,IF(F415="Utilities",'Scenario Paths'!J144,IF(F415="Agriculture",'Scenario Paths'!J138,IF(F415="Manufacturing",'Scenario Paths'!J132,IF(F415="Healthcare",'Scenario Paths'!J126,IF(F415="Hospitality",'Scenario Paths'!J120,IF(F415="Property",'Scenario Paths'!J114,IF(F415="Food",'Scenario Paths'!J108,IF(F415="Logistics",'Scenario Paths'!J102,IF(F415="Solar",'Scenario Paths'!J96,IF(F415="Cement",'Scenario Paths'!J90,0))))))))))))),"Unavailable"))</x:f>
        <x:v>-2.448</x:v>
      </x:c>
      <x:c r="I415" s="23" t="n">
        <x:f>IF(C415="","",IFERROR(INDEX('Borrowers'!$R$9:$R$108,MATCH(C415,'Borrowers'!$C$9:$C$108,0))*(1-INDEX('Borrowers'!$W$9:$W$108,MATCH(C415,'Borrowers'!$C$9:$C$108,0))*'Scenario Paths'!J39)*'Scenario Paths'!J9/1000000*(1-INDEX('Borrowers'!$T$9:$T$108,MATCH(C415,'Borrowers'!$C$9:$C$108,0))),"Unavailable"))</x:f>
        <x:v>7.144199999999999</x:v>
      </x:c>
      <x:c r="J415" s="23" t="n">
        <x:f>IF(C415="","",IFERROR(INDEX('Borrowers'!$I$9:$I$108,MATCH(C415,'Borrowers'!$C$9:$C$108,0))*INDEX('Borrowers'!$S$9:$S$108,MATCH(C415,'Borrowers'!$C$9:$C$108,0))*'Scenario Paths'!J15*(1-INDEX('Borrowers'!$T$9:$T$108,MATCH(C415,'Borrowers'!$C$9:$C$108,0))),"Unavailable"))</x:f>
        <x:v>1.90026</x:v>
      </x:c>
      <x:c r="K415" s="23" t="n">
        <x:f>IF(C415="","",IFERROR(INDEX('Borrowers'!$I$9:$I$108,MATCH(C415,'Borrowers'!$C$9:$C$108,0))*INDEX('Borrowers'!$U$9:$U$108,MATCH(C415,'Borrowers'!$C$9:$C$108,0))*'Scenario Paths'!J21*S415,"Unavailable"))</x:f>
        <x:v>0.06726451200000001</x:v>
      </x:c>
      <x:c r="L415" s="23" t="n">
        <x:f>IF(C415="","",IFERROR(SUMPRODUCT((Sites!$D$9:$D$108=C415)*Sites!$H$9:$H$108*Sites!$J$9:$J$108*Sites!$K$9:$K$108*(1-Sites!$L$9:$L$108)*(1-Sites!$M$9:$M$108))*'Scenario Paths'!J27,"Unavailable"))</x:f>
        <x:v>0.1261568</x:v>
      </x:c>
      <x:c r="M415" s="23" t="n">
        <x:f>IF(C415="","",IFERROR(INDEX('Borrowers'!$J$9:$J$108,MATCH(C415,'Borrowers'!$C$9:$C$108,0))+H415-SUM(I415:L415),"Unavailable"))</x:f>
        <x:v>9.314118688</x:v>
      </x:c>
      <x:c r="N415" s="23" t="n">
        <x:f>IF(C415="","",IFERROR(INDEX('Borrowers'!$I$9:$I$108,MATCH(C415,'Borrowers'!$C$9:$C$108,0))*'Scenario Paths'!J33,"Unavailable"))</x:f>
        <x:v>2.5500000000000003</x:v>
      </x:c>
      <x:c r="O415" s="23" t="n">
        <x:f>IF(C415="","",IFERROR(M415-INDEX('Borrowers'!$K$9:$K$108,MATCH(C415,'Borrowers'!$C$9:$C$108,0))-N415,"Unavailable"))</x:f>
        <x:v>3.864118688</x:v>
      </x:c>
      <x:c r="P415" s="127" t="n">
        <x:f>IF(C415="","",IFERROR(O415/INDEX('Borrowers'!$L$9:$L$108,MATCH(C415,'Borrowers'!$C$9:$C$108,0)),"Unavailable"))</x:f>
        <x:v>0.5682527482352941</x:v>
      </x:c>
      <x:c r="Q415" s="30" t="n">
        <x:f>IF(C415="","",IFERROR(IF(INDEX('Borrowers'!$Z$9:$Z$108,MATCH(C415,'Borrowers'!$C$9:$C$108,0))="Yes",1,IF(INDEX('Borrowers'!$P$9:$P$108,MATCH(C415,'Borrowers'!$C$9:$C$108,0))=0,0,MIN(1,INDEX('Borrowers'!$P$9:$P$108,MATCH(C415,'Borrowers'!$C$9:$C$108,0))*EXP(MIN(20,INDEX('Borrowers'!$V$9:$V$108,MATCH(C415,'Borrowers'!$C$9:$C$108,0))*V415))))),"Unavailable"))</x:f>
        <x:v>0.04223828753470357</x:v>
      </x:c>
      <x:c r="R415" s="30" t="n">
        <x:f>IF(C415="","",IFERROR(MIN(1,INDEX('Borrowers'!$Q$9:$Q$108,MATCH(C415,'Borrowers'!$C$9:$C$108,0))+(1-INDEX('Borrowers'!$Q$9:$Q$108,MATCH(C415,'Borrowers'!$C$9:$C$108,0)))*T415),"Unavailable"))</x:f>
        <x:v>0.32243712</x:v>
      </x:c>
      <x:c r="S415" s="30" t="n">
        <x:f>IF(C415="","",IFERROR(SUMPRODUCT((Sites!$D$9:$D$108=C415)*Sites!$I$9:$I$108*Sites!$J$9:$J$108*Sites!$K$9:$K$108*(1-Sites!$L$9:$L$108)),"Unavailable"))</x:f>
        <x:v>0.08960000000000001</x:v>
      </x:c>
      <x:c r="T415" s="30" t="n">
        <x:f>IF(C415="","",IFERROR(MIN(1,(SUMPRODUCT((Sites!$D$9:$D$108=C415)*Sites!$N$9:$N$108*Sites!$J$9:$J$108*Sites!$K$9:$K$108*(1-Sites!$L$9:$L$108)))*'Scenario Paths'!J27),"Unavailable"))</x:f>
        <x:v>0.0035840000000000004</x:v>
      </x:c>
      <x:c r="U415" s="9" t="str">
        <x:f>IF(C415="","",IF(OR(INDEX('Borrowers'!$AA$9:$AA$108,MATCH(C415,'Borrowers'!$C$9:$C$108,0))&lt;&gt;"Ready",COUNTIF(Sites!$D$9:$D$108,C415)=0,COUNTIFS(Sites!$D$9:$D$108,C415,Sites!$Q$9:$Q$108,"&lt;&gt;Ready")&gt;0,'Scenario Paths'!$F$6&lt;&gt;"Ready"),"Review source inputs","Ready"))</x:f>
        <x:v>Ready</x:v>
      </x:c>
      <x:c r="V415" s="17" t="n">
        <x:f>IF(C415="","",IFERROR(MAX(-1,(G415-O415)/MAX(0.000001,G415)),"Unavailable"))</x:f>
        <x:v>0.7865127796685083</x:v>
      </x:c>
      <x:c r="W415" s="9" t="str">
        <x:f>IF(C415="","",IFERROR(INDEX('Borrowers'!$D$9:$D$108,MATCH(C415,'Borrowers'!$C$9:$C$108,0)),"Unavailable"))</x:f>
        <x:v>Demo Amman Cement</x:v>
      </x:c>
    </x:row>
    <x:row r="416" ht="26" customHeight="1">
      <x:c r="A416" s="1"/>
      <x:c r="B416" s="1"/>
      <x:c r="C416" s="9" t="str">
        <x:f>IF(Borrowers!C16="","",Borrowers!C16)</x:f>
        <x:v>B008</x:v>
      </x:c>
      <x:c r="D416" s="3" t="n">
        <x:v>5</x:v>
      </x:c>
      <x:c r="E416" s="9" t="n">
        <x:f>Settings!$F$18+4</x:f>
        <x:v>2031</x:v>
      </x:c>
      <x:c r="F416" s="9" t="str">
        <x:f>IF(C416="","",INDEX('Borrowers'!$F$9:$F$108,MATCH(C416,'Borrowers'!$C$9:$C$108,0)))</x:f>
        <x:v>Solar</x:v>
      </x:c>
      <x:c r="G416" s="23" t="n">
        <x:f>IF(C416="","",IFERROR(INDEX('Borrowers'!$J$9:$J$108,MATCH(C416,'Borrowers'!$C$9:$C$108,0))-INDEX('Borrowers'!$K$9:$K$108,MATCH(C416,'Borrowers'!$C$9:$C$108,0)),"Unavailable"))</x:f>
        <x:v>19.45</x:v>
      </x:c>
      <x:c r="H416" s="23" t="n">
        <x:f>IF(C416="","",IFERROR(INDEX('Borrowers'!$I$9:$I$108,MATCH(C416,'Borrowers'!$C$9:$C$108,0))*INDEX('Borrowers'!$U$9:$U$108,MATCH(C416,'Borrowers'!$C$9:$C$108,0))*(IF(F416="Transport",'Scenario Paths'!J156,IF(F416="Technology",'Scenario Paths'!J150,IF(F416="Utilities",'Scenario Paths'!J144,IF(F416="Agriculture",'Scenario Paths'!J138,IF(F416="Manufacturing",'Scenario Paths'!J132,IF(F416="Healthcare",'Scenario Paths'!J126,IF(F416="Hospitality",'Scenario Paths'!J120,IF(F416="Property",'Scenario Paths'!J114,IF(F416="Food",'Scenario Paths'!J108,IF(F416="Logistics",'Scenario Paths'!J102,IF(F416="Solar",'Scenario Paths'!J96,IF(F416="Cement",'Scenario Paths'!J90,0))))))))))))),"Unavailable"))</x:f>
        <x:v>3.1065</x:v>
      </x:c>
      <x:c r="I416" s="23" t="n">
        <x:f>IF(C416="","",IFERROR(INDEX('Borrowers'!$R$9:$R$108,MATCH(C416,'Borrowers'!$C$9:$C$108,0))*(1-INDEX('Borrowers'!$W$9:$W$108,MATCH(C416,'Borrowers'!$C$9:$C$108,0))*'Scenario Paths'!J39)*'Scenario Paths'!J9/1000000*(1-INDEX('Borrowers'!$T$9:$T$108,MATCH(C416,'Borrowers'!$C$9:$C$108,0))),"Unavailable"))</x:f>
        <x:v>0.00882</x:v>
      </x:c>
      <x:c r="J416" s="23" t="n">
        <x:f>IF(C416="","",IFERROR(INDEX('Borrowers'!$I$9:$I$108,MATCH(C416,'Borrowers'!$C$9:$C$108,0))*INDEX('Borrowers'!$S$9:$S$108,MATCH(C416,'Borrowers'!$C$9:$C$108,0))*'Scenario Paths'!J15*(1-INDEX('Borrowers'!$T$9:$T$108,MATCH(C416,'Borrowers'!$C$9:$C$108,0))),"Unavailable"))</x:f>
        <x:v>0.8927099999999999</x:v>
      </x:c>
      <x:c r="K416" s="23" t="n">
        <x:f>IF(C416="","",IFERROR(INDEX('Borrowers'!$I$9:$I$108,MATCH(C416,'Borrowers'!$C$9:$C$108,0))*INDEX('Borrowers'!$U$9:$U$108,MATCH(C416,'Borrowers'!$C$9:$C$108,0))*'Scenario Paths'!J21*S416,"Unavailable"))</x:f>
        <x:v>0.16766816000000004</x:v>
      </x:c>
      <x:c r="L416" s="23" t="n">
        <x:f>IF(C416="","",IFERROR(SUMPRODUCT((Sites!$D$9:$D$108=C416)*Sites!$H$9:$H$108*Sites!$J$9:$J$108*Sites!$K$9:$K$108*(1-Sites!$L$9:$L$108)*(1-Sites!$M$9:$M$108))*'Scenario Paths'!J27,"Unavailable"))</x:f>
        <x:v>0.2632960000000001</x:v>
      </x:c>
      <x:c r="M416" s="23" t="n">
        <x:f>IF(C416="","",IFERROR(INDEX('Borrowers'!$J$9:$J$108,MATCH(C416,'Borrowers'!$C$9:$C$108,0))+H416-SUM(I416:L416),"Unavailable"))</x:f>
        <x:v>24.27400584</x:v>
      </x:c>
      <x:c r="N416" s="23" t="n">
        <x:f>IF(C416="","",IFERROR(INDEX('Borrowers'!$I$9:$I$108,MATCH(C416,'Borrowers'!$C$9:$C$108,0))*'Scenario Paths'!J33,"Unavailable"))</x:f>
        <x:v>2.725</x:v>
      </x:c>
      <x:c r="O416" s="23" t="n">
        <x:f>IF(C416="","",IFERROR(M416-INDEX('Borrowers'!$K$9:$K$108,MATCH(C416,'Borrowers'!$C$9:$C$108,0))-N416,"Unavailable"))</x:f>
        <x:v>18.49900584</x:v>
      </x:c>
      <x:c r="P416" s="127" t="n">
        <x:f>IF(C416="","",IFERROR(O416/INDEX('Borrowers'!$L$9:$L$108,MATCH(C416,'Borrowers'!$C$9:$C$108,0)),"Unavailable"))</x:f>
        <x:v>2.60549378028169</x:v>
      </x:c>
      <x:c r="Q416" s="30" t="n">
        <x:f>IF(C416="","",IFERROR(IF(INDEX('Borrowers'!$Z$9:$Z$108,MATCH(C416,'Borrowers'!$C$9:$C$108,0))="Yes",1,IF(INDEX('Borrowers'!$P$9:$P$108,MATCH(C416,'Borrowers'!$C$9:$C$108,0))=0,0,MIN(1,INDEX('Borrowers'!$P$9:$P$108,MATCH(C416,'Borrowers'!$C$9:$C$108,0))*EXP(MIN(20,INDEX('Borrowers'!$V$9:$V$108,MATCH(C416,'Borrowers'!$C$9:$C$108,0))*V416))))),"Unavailable"))</x:f>
        <x:v>0.01946470138759024</x:v>
      </x:c>
      <x:c r="R416" s="30" t="n">
        <x:f>IF(C416="","",IFERROR(MIN(1,INDEX('Borrowers'!$Q$9:$Q$108,MATCH(C416,'Borrowers'!$C$9:$C$108,0))+(1-INDEX('Borrowers'!$Q$9:$Q$108,MATCH(C416,'Borrowers'!$C$9:$C$108,0)))*T416),"Unavailable"))</x:f>
        <x:v>0.36450560000000004</x:v>
      </x:c>
      <x:c r="S416" s="30" t="n">
        <x:f>IF(C416="","",IFERROR(SUMPRODUCT((Sites!$D$9:$D$108=C416)*Sites!$I$9:$I$108*Sites!$J$9:$J$108*Sites!$K$9:$K$108*(1-Sites!$L$9:$L$108)),"Unavailable"))</x:f>
        <x:v>0.17600000000000002</x:v>
      </x:c>
      <x:c r="T416" s="30" t="n">
        <x:f>IF(C416="","",IFERROR(MIN(1,(SUMPRODUCT((Sites!$D$9:$D$108=C416)*Sites!$N$9:$N$108*Sites!$J$9:$J$108*Sites!$K$9:$K$108*(1-Sites!$L$9:$L$108)))*'Scenario Paths'!J27),"Unavailable"))</x:f>
        <x:v>0.007040000000000001</x:v>
      </x:c>
      <x:c r="U416" s="9" t="str">
        <x:f>IF(C416="","",IF(OR(INDEX('Borrowers'!$AA$9:$AA$108,MATCH(C416,'Borrowers'!$C$9:$C$108,0))&lt;&gt;"Ready",COUNTIF(Sites!$D$9:$D$108,C416)=0,COUNTIFS(Sites!$D$9:$D$108,C416,Sites!$Q$9:$Q$108,"&lt;&gt;Ready")&gt;0,'Scenario Paths'!$F$6&lt;&gt;"Ready"),"Review source inputs","Ready"))</x:f>
        <x:v>Ready</x:v>
      </x:c>
      <x:c r="V416" s="17" t="n">
        <x:f>IF(C416="","",IFERROR(MAX(-1,(G416-O416)/MAX(0.000001,G416)),"Unavailable"))</x:f>
        <x:v>0.04889430128534707</x:v>
      </x:c>
      <x:c r="W416" s="9" t="str">
        <x:f>IF(C416="","",IFERROR(INDEX('Borrowers'!$D$9:$D$108,MATCH(C416,'Borrowers'!$C$9:$C$108,0)),"Unavailable"))</x:f>
        <x:v>Demo Petra Solar</x:v>
      </x:c>
    </x:row>
    <x:row r="417" ht="26" customHeight="1">
      <x:c r="A417" s="1"/>
      <x:c r="B417" s="1"/>
      <x:c r="C417" s="9" t="str">
        <x:f>IF(Borrowers!C17="","",Borrowers!C17)</x:f>
        <x:v>B009</x:v>
      </x:c>
      <x:c r="D417" s="3" t="n">
        <x:v>5</x:v>
      </x:c>
      <x:c r="E417" s="9" t="n">
        <x:f>Settings!$F$18+4</x:f>
        <x:v>2031</x:v>
      </x:c>
      <x:c r="F417" s="9" t="str">
        <x:f>IF(C417="","",INDEX('Borrowers'!$F$9:$F$108,MATCH(C417,'Borrowers'!$C$9:$C$108,0)))</x:f>
        <x:v>Logistics</x:v>
      </x:c>
      <x:c r="G417" s="23" t="n">
        <x:f>IF(C417="","",IFERROR(INDEX('Borrowers'!$J$9:$J$108,MATCH(C417,'Borrowers'!$C$9:$C$108,0))-INDEX('Borrowers'!$K$9:$K$108,MATCH(C417,'Borrowers'!$C$9:$C$108,0)),"Unavailable"))</x:f>
        <x:v>20.8</x:v>
      </x:c>
      <x:c r="H417" s="23" t="n">
        <x:f>IF(C417="","",IFERROR(INDEX('Borrowers'!$I$9:$I$108,MATCH(C417,'Borrowers'!$C$9:$C$108,0))*INDEX('Borrowers'!$U$9:$U$108,MATCH(C417,'Borrowers'!$C$9:$C$108,0))*(IF(F417="Transport",'Scenario Paths'!J156,IF(F417="Technology",'Scenario Paths'!J150,IF(F417="Utilities",'Scenario Paths'!J144,IF(F417="Agriculture",'Scenario Paths'!J138,IF(F417="Manufacturing",'Scenario Paths'!J132,IF(F417="Healthcare",'Scenario Paths'!J126,IF(F417="Hospitality",'Scenario Paths'!J120,IF(F417="Property",'Scenario Paths'!J114,IF(F417="Food",'Scenario Paths'!J108,IF(F417="Logistics",'Scenario Paths'!J102,IF(F417="Solar",'Scenario Paths'!J96,IF(F417="Cement",'Scenario Paths'!J90,0))))))))))))),"Unavailable"))</x:f>
        <x:v>-3.828</x:v>
      </x:c>
      <x:c r="I417" s="23" t="n">
        <x:f>IF(C417="","",IFERROR(INDEX('Borrowers'!$R$9:$R$108,MATCH(C417,'Borrowers'!$C$9:$C$108,0))*(1-INDEX('Borrowers'!$W$9:$W$108,MATCH(C417,'Borrowers'!$C$9:$C$108,0))*'Scenario Paths'!J39)*'Scenario Paths'!J9/1000000*(1-INDEX('Borrowers'!$T$9:$T$108,MATCH(C417,'Borrowers'!$C$9:$C$108,0))),"Unavailable"))</x:f>
        <x:v>0.58968</x:v>
      </x:c>
      <x:c r="J417" s="23" t="n">
        <x:f>IF(C417="","",IFERROR(INDEX('Borrowers'!$I$9:$I$108,MATCH(C417,'Borrowers'!$C$9:$C$108,0))*INDEX('Borrowers'!$S$9:$S$108,MATCH(C417,'Borrowers'!$C$9:$C$108,0))*'Scenario Paths'!J15*(1-INDEX('Borrowers'!$T$9:$T$108,MATCH(C417,'Borrowers'!$C$9:$C$108,0))),"Unavailable"))</x:f>
        <x:v>0.9500400000000002</x:v>
      </x:c>
      <x:c r="K417" s="23" t="n">
        <x:f>IF(C417="","",IFERROR(INDEX('Borrowers'!$I$9:$I$108,MATCH(C417,'Borrowers'!$C$9:$C$108,0))*INDEX('Borrowers'!$U$9:$U$108,MATCH(C417,'Borrowers'!$C$9:$C$108,0))*'Scenario Paths'!J21*S417,"Unavailable"))</x:f>
        <x:v>0.34184550399999997</x:v>
      </x:c>
      <x:c r="L417" s="23" t="n">
        <x:f>IF(C417="","",IFERROR(SUMPRODUCT((Sites!$D$9:$D$108=C417)*Sites!$H$9:$H$108*Sites!$J$9:$J$108*Sites!$K$9:$K$108*(1-Sites!$L$9:$L$108)*(1-Sites!$M$9:$M$108))*'Scenario Paths'!J27,"Unavailable"))</x:f>
        <x:v>0.4612608000000001</x:v>
      </x:c>
      <x:c r="M417" s="23" t="n">
        <x:f>IF(C417="","",IFERROR(INDEX('Borrowers'!$J$9:$J$108,MATCH(C417,'Borrowers'!$C$9:$C$108,0))+H417-SUM(I417:L417),"Unavailable"))</x:f>
        <x:v>17.829173696</x:v>
      </x:c>
      <x:c r="N417" s="23" t="n">
        <x:f>IF(C417="","",IFERROR(INDEX('Borrowers'!$I$9:$I$108,MATCH(C417,'Borrowers'!$C$9:$C$108,0))*'Scenario Paths'!J33,"Unavailable"))</x:f>
        <x:v>2.9000000000000004</x:v>
      </x:c>
      <x:c r="O417" s="23" t="n">
        <x:f>IF(C417="","",IFERROR(M417-INDEX('Borrowers'!$K$9:$K$108,MATCH(C417,'Borrowers'!$C$9:$C$108,0))-N417,"Unavailable"))</x:f>
        <x:v>11.729173696000002</x:v>
      </x:c>
      <x:c r="P417" s="127" t="n">
        <x:f>IF(C417="","",IFERROR(O417/INDEX('Borrowers'!$L$9:$L$108,MATCH(C417,'Borrowers'!$C$9:$C$108,0)),"Unavailable"))</x:f>
        <x:v>1.5850234724324326</x:v>
      </x:c>
      <x:c r="Q417" s="30" t="n">
        <x:f>IF(C417="","",IFERROR(IF(INDEX('Borrowers'!$Z$9:$Z$108,MATCH(C417,'Borrowers'!$C$9:$C$108,0))="Yes",1,IF(INDEX('Borrowers'!$P$9:$P$108,MATCH(C417,'Borrowers'!$C$9:$C$108,0))=0,0,MIN(1,INDEX('Borrowers'!$P$9:$P$108,MATCH(C417,'Borrowers'!$C$9:$C$108,0))*EXP(MIN(20,INDEX('Borrowers'!$V$9:$V$108,MATCH(C417,'Borrowers'!$C$9:$C$108,0))*V417))))),"Unavailable"))</x:f>
        <x:v>0.04822172761531925</x:v>
      </x:c>
      <x:c r="R417" s="30" t="n">
        <x:f>IF(C417="","",IFERROR(MIN(1,INDEX('Borrowers'!$Q$9:$Q$108,MATCH(C417,'Borrowers'!$C$9:$C$108,0))+(1-INDEX('Borrowers'!$Q$9:$Q$108,MATCH(C417,'Borrowers'!$C$9:$C$108,0)))*T417),"Unavailable"))</x:f>
        <x:v>0.40698880000000004</x:v>
      </x:c>
      <x:c r="S417" s="30" t="n">
        <x:f>IF(C417="","",IFERROR(SUMPRODUCT((Sites!$D$9:$D$108=C417)*Sites!$I$9:$I$108*Sites!$J$9:$J$108*Sites!$K$9:$K$108*(1-Sites!$L$9:$L$108)),"Unavailable"))</x:f>
        <x:v>0.2912</x:v>
      </x:c>
      <x:c r="T417" s="30" t="n">
        <x:f>IF(C417="","",IFERROR(MIN(1,(SUMPRODUCT((Sites!$D$9:$D$108=C417)*Sites!$N$9:$N$108*Sites!$J$9:$J$108*Sites!$K$9:$K$108*(1-Sites!$L$9:$L$108)))*'Scenario Paths'!J27),"Unavailable"))</x:f>
        <x:v>0.011648</x:v>
      </x:c>
      <x:c r="U417" s="9" t="str">
        <x:f>IF(C417="","",IF(OR(INDEX('Borrowers'!$AA$9:$AA$108,MATCH(C417,'Borrowers'!$C$9:$C$108,0))&lt;&gt;"Ready",COUNTIF(Sites!$D$9:$D$108,C417)=0,COUNTIFS(Sites!$D$9:$D$108,C417,Sites!$Q$9:$Q$108,"&lt;&gt;Ready")&gt;0,'Scenario Paths'!$F$6&lt;&gt;"Ready"),"Review source inputs","Ready"))</x:f>
        <x:v>Ready</x:v>
      </x:c>
      <x:c r="V417" s="17" t="n">
        <x:f>IF(C417="","",IFERROR(MAX(-1,(G417-O417)/MAX(0.000001,G417)),"Unavailable"))</x:f>
        <x:v>0.4360974184615384</x:v>
      </x:c>
      <x:c r="W417" s="9" t="str">
        <x:f>IF(C417="","",IFERROR(INDEX('Borrowers'!$D$9:$D$108,MATCH(C417,'Borrowers'!$C$9:$C$108,0)),"Unavailable"))</x:f>
        <x:v>Demo Levant Freight</x:v>
      </x:c>
    </x:row>
    <x:row r="418" ht="26" customHeight="1">
      <x:c r="A418" s="1"/>
      <x:c r="B418" s="1"/>
      <x:c r="C418" s="9" t="str">
        <x:f>IF(Borrowers!C18="","",Borrowers!C18)</x:f>
        <x:v>B010</x:v>
      </x:c>
      <x:c r="D418" s="3" t="n">
        <x:v>5</x:v>
      </x:c>
      <x:c r="E418" s="9" t="n">
        <x:f>Settings!$F$18+4</x:f>
        <x:v>2031</x:v>
      </x:c>
      <x:c r="F418" s="9" t="str">
        <x:f>IF(C418="","",INDEX('Borrowers'!$F$9:$F$108,MATCH(C418,'Borrowers'!$C$9:$C$108,0)))</x:f>
        <x:v>Food</x:v>
      </x:c>
      <x:c r="G418" s="23" t="n">
        <x:f>IF(C418="","",IFERROR(INDEX('Borrowers'!$J$9:$J$108,MATCH(C418,'Borrowers'!$C$9:$C$108,0))-INDEX('Borrowers'!$K$9:$K$108,MATCH(C418,'Borrowers'!$C$9:$C$108,0)),"Unavailable"))</x:f>
        <x:v>22.15</x:v>
      </x:c>
      <x:c r="H418" s="23" t="n">
        <x:f>IF(C418="","",IFERROR(INDEX('Borrowers'!$I$9:$I$108,MATCH(C418,'Borrowers'!$C$9:$C$108,0))*INDEX('Borrowers'!$U$9:$U$108,MATCH(C418,'Borrowers'!$C$9:$C$108,0))*(IF(F418="Transport",'Scenario Paths'!J156,IF(F418="Technology",'Scenario Paths'!J150,IF(F418="Utilities",'Scenario Paths'!J144,IF(F418="Agriculture",'Scenario Paths'!J138,IF(F418="Manufacturing",'Scenario Paths'!J132,IF(F418="Healthcare",'Scenario Paths'!J126,IF(F418="Hospitality",'Scenario Paths'!J120,IF(F418="Property",'Scenario Paths'!J114,IF(F418="Food",'Scenario Paths'!J108,IF(F418="Logistics",'Scenario Paths'!J102,IF(F418="Solar",'Scenario Paths'!J96,IF(F418="Cement",'Scenario Paths'!J90,0))))))))))))),"Unavailable"))</x:f>
        <x:v>-2.952</x:v>
      </x:c>
      <x:c r="I418" s="23" t="n">
        <x:f>IF(C418="","",IFERROR(INDEX('Borrowers'!$R$9:$R$108,MATCH(C418,'Borrowers'!$C$9:$C$108,0))*(1-INDEX('Borrowers'!$W$9:$W$108,MATCH(C418,'Borrowers'!$C$9:$C$108,0))*'Scenario Paths'!J39)*'Scenario Paths'!J9/1000000*(1-INDEX('Borrowers'!$T$9:$T$108,MATCH(C418,'Borrowers'!$C$9:$C$108,0))),"Unavailable"))</x:f>
        <x:v>0.52668</x:v>
      </x:c>
      <x:c r="J418" s="23" t="n">
        <x:f>IF(C418="","",IFERROR(INDEX('Borrowers'!$I$9:$I$108,MATCH(C418,'Borrowers'!$C$9:$C$108,0))*INDEX('Borrowers'!$S$9:$S$108,MATCH(C418,'Borrowers'!$C$9:$C$108,0))*'Scenario Paths'!J15*(1-INDEX('Borrowers'!$T$9:$T$108,MATCH(C418,'Borrowers'!$C$9:$C$108,0))),"Unavailable"))</x:f>
        <x:v>1.0959300000000003</x:v>
      </x:c>
      <x:c r="K418" s="23" t="n">
        <x:f>IF(C418="","",IFERROR(INDEX('Borrowers'!$I$9:$I$108,MATCH(C418,'Borrowers'!$C$9:$C$108,0))*INDEX('Borrowers'!$U$9:$U$108,MATCH(C418,'Borrowers'!$C$9:$C$108,0))*'Scenario Paths'!J21*S418,"Unavailable"))</x:f>
        <x:v>0.172365312</x:v>
      </x:c>
      <x:c r="L418" s="23" t="n">
        <x:f>IF(C418="","",IFERROR(SUMPRODUCT((Sites!$D$9:$D$108=C418)*Sites!$H$9:$H$108*Sites!$J$9:$J$108*Sites!$K$9:$K$108*(1-Sites!$L$9:$L$108)*(1-Sites!$M$9:$M$108))*'Scenario Paths'!J27,"Unavailable"))</x:f>
        <x:v>0.3183488</x:v>
      </x:c>
      <x:c r="M418" s="23" t="n">
        <x:f>IF(C418="","",IFERROR(INDEX('Borrowers'!$J$9:$J$108,MATCH(C418,'Borrowers'!$C$9:$C$108,0))+H418-SUM(I418:L418),"Unavailable"))</x:f>
        <x:v>20.434675888</x:v>
      </x:c>
      <x:c r="N418" s="23" t="n">
        <x:f>IF(C418="","",IFERROR(INDEX('Borrowers'!$I$9:$I$108,MATCH(C418,'Borrowers'!$C$9:$C$108,0))*'Scenario Paths'!J33,"Unavailable"))</x:f>
        <x:v>3.075</x:v>
      </x:c>
      <x:c r="O418" s="23" t="n">
        <x:f>IF(C418="","",IFERROR(M418-INDEX('Borrowers'!$K$9:$K$108,MATCH(C418,'Borrowers'!$C$9:$C$108,0))-N418,"Unavailable"))</x:f>
        <x:v>14.009675888</x:v>
      </x:c>
      <x:c r="P418" s="127" t="n">
        <x:f>IF(C418="","",IFERROR(O418/INDEX('Borrowers'!$L$9:$L$108,MATCH(C418,'Borrowers'!$C$9:$C$108,0)),"Unavailable"))</x:f>
        <x:v>1.8194384270129873</x:v>
      </x:c>
      <x:c r="Q418" s="30" t="n">
        <x:f>IF(C418="","",IFERROR(IF(INDEX('Borrowers'!$Z$9:$Z$108,MATCH(C418,'Borrowers'!$C$9:$C$108,0))="Yes",1,IF(INDEX('Borrowers'!$P$9:$P$108,MATCH(C418,'Borrowers'!$C$9:$C$108,0))=0,0,MIN(1,INDEX('Borrowers'!$P$9:$P$108,MATCH(C418,'Borrowers'!$C$9:$C$108,0))*EXP(MIN(20,INDEX('Borrowers'!$V$9:$V$108,MATCH(C418,'Borrowers'!$C$9:$C$108,0))*V418))))),"Unavailable"))</x:f>
        <x:v>0.054012298167127694</x:v>
      </x:c>
      <x:c r="R418" s="30" t="n">
        <x:f>IF(C418="","",IFERROR(MIN(1,INDEX('Borrowers'!$Q$9:$Q$108,MATCH(C418,'Borrowers'!$C$9:$C$108,0))+(1-INDEX('Borrowers'!$Q$9:$Q$108,MATCH(C418,'Borrowers'!$C$9:$C$108,0)))*T418),"Unavailable"))</x:f>
        <x:v>0.44426496000000004</x:v>
      </x:c>
      <x:c r="S418" s="30" t="n">
        <x:f>IF(C418="","",IFERROR(SUMPRODUCT((Sites!$D$9:$D$108=C418)*Sites!$I$9:$I$108*Sites!$J$9:$J$108*Sites!$K$9:$K$108*(1-Sites!$L$9:$L$108)),"Unavailable"))</x:f>
        <x:v>0.19039999999999999</x:v>
      </x:c>
      <x:c r="T418" s="30" t="n">
        <x:f>IF(C418="","",IFERROR(MIN(1,(SUMPRODUCT((Sites!$D$9:$D$108=C418)*Sites!$N$9:$N$108*Sites!$J$9:$J$108*Sites!$K$9:$K$108*(1-Sites!$L$9:$L$108)))*'Scenario Paths'!J27),"Unavailable"))</x:f>
        <x:v>0.0076159999999999995</x:v>
      </x:c>
      <x:c r="U418" s="9" t="str">
        <x:f>IF(C418="","",IF(OR(INDEX('Borrowers'!$AA$9:$AA$108,MATCH(C418,'Borrowers'!$C$9:$C$108,0))&lt;&gt;"Ready",COUNTIF(Sites!$D$9:$D$108,C418)=0,COUNTIFS(Sites!$D$9:$D$108,C418,Sites!$Q$9:$Q$108,"&lt;&gt;Ready")&gt;0,'Scenario Paths'!$F$6&lt;&gt;"Ready"),"Review source inputs","Ready"))</x:f>
        <x:v>Ready</x:v>
      </x:c>
      <x:c r="V418" s="17" t="n">
        <x:f>IF(C418="","",IFERROR(MAX(-1,(G418-O418)/MAX(0.000001,G418)),"Unavailable"))</x:f>
        <x:v>0.36750898925507897</x:v>
      </x:c>
      <x:c r="W418" s="9" t="str">
        <x:f>IF(C418="","",IFERROR(INDEX('Borrowers'!$D$9:$D$108,MATCH(C418,'Borrowers'!$C$9:$C$108,0)),"Unavailable"))</x:f>
        <x:v>Demo Jordan Foods</x:v>
      </x:c>
    </x:row>
    <x:row r="419" ht="26" customHeight="1">
      <x:c r="A419" s="1"/>
      <x:c r="B419" s="1"/>
      <x:c r="C419" s="9" t="str">
        <x:f>IF(Borrowers!C19="","",Borrowers!C19)</x:f>
        <x:v>B011</x:v>
      </x:c>
      <x:c r="D419" s="3" t="n">
        <x:v>5</x:v>
      </x:c>
      <x:c r="E419" s="9" t="n">
        <x:f>Settings!$F$18+4</x:f>
        <x:v>2031</x:v>
      </x:c>
      <x:c r="F419" s="9" t="str">
        <x:f>IF(C419="","",INDEX('Borrowers'!$F$9:$F$108,MATCH(C419,'Borrowers'!$C$9:$C$108,0)))</x:f>
        <x:v>Property</x:v>
      </x:c>
      <x:c r="G419" s="23" t="n">
        <x:f>IF(C419="","",IFERROR(INDEX('Borrowers'!$J$9:$J$108,MATCH(C419,'Borrowers'!$C$9:$C$108,0))-INDEX('Borrowers'!$K$9:$K$108,MATCH(C419,'Borrowers'!$C$9:$C$108,0)),"Unavailable"))</x:f>
        <x:v>23.5</x:v>
      </x:c>
      <x:c r="H419" s="23" t="n">
        <x:f>IF(C419="","",IFERROR(INDEX('Borrowers'!$I$9:$I$108,MATCH(C419,'Borrowers'!$C$9:$C$108,0))*INDEX('Borrowers'!$U$9:$U$108,MATCH(C419,'Borrowers'!$C$9:$C$108,0))*(IF(F419="Transport",'Scenario Paths'!J156,IF(F419="Technology",'Scenario Paths'!J150,IF(F419="Utilities",'Scenario Paths'!J144,IF(F419="Agriculture",'Scenario Paths'!J138,IF(F419="Manufacturing",'Scenario Paths'!J132,IF(F419="Healthcare",'Scenario Paths'!J126,IF(F419="Hospitality",'Scenario Paths'!J120,IF(F419="Property",'Scenario Paths'!J114,IF(F419="Food",'Scenario Paths'!J108,IF(F419="Logistics",'Scenario Paths'!J102,IF(F419="Solar",'Scenario Paths'!J96,IF(F419="Cement",'Scenario Paths'!J90,0))))))))))))),"Unavailable"))</x:f>
        <x:v>-3.7049999999999996</x:v>
      </x:c>
      <x:c r="I419" s="23" t="n">
        <x:f>IF(C419="","",IFERROR(INDEX('Borrowers'!$R$9:$R$108,MATCH(C419,'Borrowers'!$C$9:$C$108,0))*(1-INDEX('Borrowers'!$W$9:$W$108,MATCH(C419,'Borrowers'!$C$9:$C$108,0))*'Scenario Paths'!J39)*'Scenario Paths'!J9/1000000*(1-INDEX('Borrowers'!$T$9:$T$108,MATCH(C419,'Borrowers'!$C$9:$C$108,0))),"Unavailable"))</x:f>
        <x:v>0.45359999999999995</x:v>
      </x:c>
      <x:c r="J419" s="23" t="n">
        <x:f>IF(C419="","",IFERROR(INDEX('Borrowers'!$I$9:$I$108,MATCH(C419,'Borrowers'!$C$9:$C$108,0))*INDEX('Borrowers'!$S$9:$S$108,MATCH(C419,'Borrowers'!$C$9:$C$108,0))*'Scenario Paths'!J15*(1-INDEX('Borrowers'!$T$9:$T$108,MATCH(C419,'Borrowers'!$C$9:$C$108,0))),"Unavailable"))</x:f>
        <x:v>1.1583</x:v>
      </x:c>
      <x:c r="K419" s="23" t="n">
        <x:f>IF(C419="","",IFERROR(INDEX('Borrowers'!$I$9:$I$108,MATCH(C419,'Borrowers'!$C$9:$C$108,0))*INDEX('Borrowers'!$U$9:$U$108,MATCH(C419,'Borrowers'!$C$9:$C$108,0))*'Scenario Paths'!J21*S419,"Unavailable"))</x:f>
        <x:v>0.090896</x:v>
      </x:c>
      <x:c r="L419" s="23" t="n">
        <x:f>IF(C419="","",IFERROR(SUMPRODUCT((Sites!$D$9:$D$108=C419)*Sites!$H$9:$H$108*Sites!$J$9:$J$108*Sites!$K$9:$K$108*(1-Sites!$L$9:$L$108)*(1-Sites!$M$9:$M$108))*'Scenario Paths'!J27,"Unavailable"))</x:f>
        <x:v>0.1408</x:v>
      </x:c>
      <x:c r="M419" s="23" t="n">
        <x:f>IF(C419="","",IFERROR(INDEX('Borrowers'!$J$9:$J$108,MATCH(C419,'Borrowers'!$C$9:$C$108,0))+H419-SUM(I419:L419),"Unavailable"))</x:f>
        <x:v>21.451404</x:v>
      </x:c>
      <x:c r="N419" s="23" t="n">
        <x:f>IF(C419="","",IFERROR(INDEX('Borrowers'!$I$9:$I$108,MATCH(C419,'Borrowers'!$C$9:$C$108,0))*'Scenario Paths'!J33,"Unavailable"))</x:f>
        <x:v>3.25</x:v>
      </x:c>
      <x:c r="O419" s="23" t="n">
        <x:f>IF(C419="","",IFERROR(M419-INDEX('Borrowers'!$K$9:$K$108,MATCH(C419,'Borrowers'!$C$9:$C$108,0))-N419,"Unavailable"))</x:f>
        <x:v>14.701404</x:v>
      </x:c>
      <x:c r="P419" s="127" t="n">
        <x:f>IF(C419="","",IFERROR(O419/INDEX('Borrowers'!$L$9:$L$108,MATCH(C419,'Borrowers'!$C$9:$C$108,0)),"Unavailable"))</x:f>
        <x:v>1.8376755</x:v>
      </x:c>
      <x:c r="Q419" s="30" t="n">
        <x:f>IF(C419="","",IFERROR(IF(INDEX('Borrowers'!$Z$9:$Z$108,MATCH(C419,'Borrowers'!$C$9:$C$108,0))="Yes",1,IF(INDEX('Borrowers'!$P$9:$P$108,MATCH(C419,'Borrowers'!$C$9:$C$108,0))=0,0,MIN(1,INDEX('Borrowers'!$P$9:$P$108,MATCH(C419,'Borrowers'!$C$9:$C$108,0))*EXP(MIN(20,INDEX('Borrowers'!$V$9:$V$108,MATCH(C419,'Borrowers'!$C$9:$C$108,0))*V419))))),"Unavailable"))</x:f>
        <x:v>0.06553420913268149</x:v>
      </x:c>
      <x:c r="R419" s="30" t="n">
        <x:f>IF(C419="","",IFERROR(MIN(1,INDEX('Borrowers'!$Q$9:$Q$108,MATCH(C419,'Borrowers'!$C$9:$C$108,0))+(1-INDEX('Borrowers'!$Q$9:$Q$108,MATCH(C419,'Borrowers'!$C$9:$C$108,0)))*T419),"Unavailable"))</x:f>
        <x:v>0.282304</x:v>
      </x:c>
      <x:c r="S419" s="30" t="n">
        <x:f>IF(C419="","",IFERROR(SUMPRODUCT((Sites!$D$9:$D$108=C419)*Sites!$I$9:$I$108*Sites!$J$9:$J$108*Sites!$K$9:$K$108*(1-Sites!$L$9:$L$108)),"Unavailable"))</x:f>
        <x:v>0.08000000000000002</x:v>
      </x:c>
      <x:c r="T419" s="30" t="n">
        <x:f>IF(C419="","",IFERROR(MIN(1,(SUMPRODUCT((Sites!$D$9:$D$108=C419)*Sites!$N$9:$N$108*Sites!$J$9:$J$108*Sites!$K$9:$K$108*(1-Sites!$L$9:$L$108)))*'Scenario Paths'!J27),"Unavailable"))</x:f>
        <x:v>0.0032000000000000006</x:v>
      </x:c>
      <x:c r="U419" s="9" t="str">
        <x:f>IF(C419="","",IF(OR(INDEX('Borrowers'!$AA$9:$AA$108,MATCH(C419,'Borrowers'!$C$9:$C$108,0))&lt;&gt;"Ready",COUNTIF(Sites!$D$9:$D$108,C419)=0,COUNTIFS(Sites!$D$9:$D$108,C419,Sites!$Q$9:$Q$108,"&lt;&gt;Ready")&gt;0,'Scenario Paths'!$F$6&lt;&gt;"Ready"),"Review source inputs","Ready"))</x:f>
        <x:v>Ready</x:v>
      </x:c>
      <x:c r="V419" s="17" t="n">
        <x:f>IF(C419="","",IFERROR(MAX(-1,(G419-O419)/MAX(0.000001,G419)),"Unavailable"))</x:f>
        <x:v>0.3744083404255319</x:v>
      </x:c>
      <x:c r="W419" s="9" t="str">
        <x:f>IF(C419="","",IFERROR(INDEX('Borrowers'!$D$9:$D$108,MATCH(C419,'Borrowers'!$C$9:$C$108,0)),"Unavailable"))</x:f>
        <x:v>Demo Aqaba Properties</x:v>
      </x:c>
    </x:row>
    <x:row r="420" ht="26" customHeight="1">
      <x:c r="A420" s="1"/>
      <x:c r="B420" s="1"/>
      <x:c r="C420" s="9" t="str">
        <x:f>IF(Borrowers!C20="","",Borrowers!C20)</x:f>
        <x:v>B012</x:v>
      </x:c>
      <x:c r="D420" s="3" t="n">
        <x:v>5</x:v>
      </x:c>
      <x:c r="E420" s="9" t="n">
        <x:f>Settings!$F$18+4</x:f>
        <x:v>2031</x:v>
      </x:c>
      <x:c r="F420" s="9" t="str">
        <x:f>IF(C420="","",INDEX('Borrowers'!$F$9:$F$108,MATCH(C420,'Borrowers'!$C$9:$C$108,0)))</x:f>
        <x:v>Healthcare</x:v>
      </x:c>
      <x:c r="G420" s="23" t="n">
        <x:f>IF(C420="","",IFERROR(INDEX('Borrowers'!$J$9:$J$108,MATCH(C420,'Borrowers'!$C$9:$C$108,0))-INDEX('Borrowers'!$K$9:$K$108,MATCH(C420,'Borrowers'!$C$9:$C$108,0)),"Unavailable"))</x:f>
        <x:v>24.85</x:v>
      </x:c>
      <x:c r="H420" s="23" t="n">
        <x:f>IF(C420="","",IFERROR(INDEX('Borrowers'!$I$9:$I$108,MATCH(C420,'Borrowers'!$C$9:$C$108,0))*INDEX('Borrowers'!$U$9:$U$108,MATCH(C420,'Borrowers'!$C$9:$C$108,0))*(IF(F420="Transport",'Scenario Paths'!J156,IF(F420="Technology",'Scenario Paths'!J150,IF(F420="Utilities",'Scenario Paths'!J144,IF(F420="Agriculture",'Scenario Paths'!J138,IF(F420="Manufacturing",'Scenario Paths'!J132,IF(F420="Healthcare",'Scenario Paths'!J126,IF(F420="Hospitality",'Scenario Paths'!J120,IF(F420="Property",'Scenario Paths'!J114,IF(F420="Food",'Scenario Paths'!J108,IF(F420="Logistics",'Scenario Paths'!J102,IF(F420="Solar",'Scenario Paths'!J96,IF(F420="Cement",'Scenario Paths'!J90,0))))))))))))),"Unavailable"))</x:f>
        <x:v>-4.521</x:v>
      </x:c>
      <x:c r="I420" s="23" t="n">
        <x:f>IF(C420="","",IFERROR(INDEX('Borrowers'!$R$9:$R$108,MATCH(C420,'Borrowers'!$C$9:$C$108,0))*(1-INDEX('Borrowers'!$W$9:$W$108,MATCH(C420,'Borrowers'!$C$9:$C$108,0))*'Scenario Paths'!J39)*'Scenario Paths'!J9/1000000*(1-INDEX('Borrowers'!$T$9:$T$108,MATCH(C420,'Borrowers'!$C$9:$C$108,0))),"Unavailable"))</x:f>
        <x:v>0.37044</x:v>
      </x:c>
      <x:c r="J420" s="23" t="n">
        <x:f>IF(C420="","",IFERROR(INDEX('Borrowers'!$I$9:$I$108,MATCH(C420,'Borrowers'!$C$9:$C$108,0))*INDEX('Borrowers'!$S$9:$S$108,MATCH(C420,'Borrowers'!$C$9:$C$108,0))*'Scenario Paths'!J15*(1-INDEX('Borrowers'!$T$9:$T$108,MATCH(C420,'Borrowers'!$C$9:$C$108,0))),"Unavailable"))</x:f>
        <x:v>1.12203</x:v>
      </x:c>
      <x:c r="K420" s="23" t="n">
        <x:f>IF(C420="","",IFERROR(INDEX('Borrowers'!$I$9:$I$108,MATCH(C420,'Borrowers'!$C$9:$C$108,0))*INDEX('Borrowers'!$U$9:$U$108,MATCH(C420,'Borrowers'!$C$9:$C$108,0))*'Scenario Paths'!J21*S420,"Unavailable"))</x:f>
        <x:v>0.23070361599999997</x:v>
      </x:c>
      <x:c r="L420" s="23" t="n">
        <x:f>IF(C420="","",IFERROR(SUMPRODUCT((Sites!$D$9:$D$108=C420)*Sites!$H$9:$H$108*Sites!$J$9:$J$108*Sites!$K$9:$K$108*(1-Sites!$L$9:$L$108)*(1-Sites!$M$9:$M$108))*'Scenario Paths'!J27,"Unavailable"))</x:f>
        <x:v>0.30750720000000004</x:v>
      </x:c>
      <x:c r="M420" s="23" t="n">
        <x:f>IF(C420="","",IFERROR(INDEX('Borrowers'!$J$9:$J$108,MATCH(C420,'Borrowers'!$C$9:$C$108,0))+H420-SUM(I420:L420),"Unavailable"))</x:f>
        <x:v>21.948319184</x:v>
      </x:c>
      <x:c r="N420" s="23" t="n">
        <x:f>IF(C420="","",IFERROR(INDEX('Borrowers'!$I$9:$I$108,MATCH(C420,'Borrowers'!$C$9:$C$108,0))*'Scenario Paths'!J33,"Unavailable"))</x:f>
        <x:v>3.4250000000000003</x:v>
      </x:c>
      <x:c r="O420" s="23" t="n">
        <x:f>IF(C420="","",IFERROR(M420-INDEX('Borrowers'!$K$9:$K$108,MATCH(C420,'Borrowers'!$C$9:$C$108,0))-N420,"Unavailable"))</x:f>
        <x:v>14.873319184</x:v>
      </x:c>
      <x:c r="P420" s="127" t="n">
        <x:f>IF(C420="","",IFERROR(O420/INDEX('Borrowers'!$L$9:$L$108,MATCH(C420,'Borrowers'!$C$9:$C$108,0)),"Unavailable"))</x:f>
        <x:v>1.7919661667469877</x:v>
      </x:c>
      <x:c r="Q420" s="30" t="n">
        <x:f>IF(C420="","",IFERROR(IF(INDEX('Borrowers'!$Z$9:$Z$108,MATCH(C420,'Borrowers'!$C$9:$C$108,0))="Yes",1,IF(INDEX('Borrowers'!$P$9:$P$108,MATCH(C420,'Borrowers'!$C$9:$C$108,0))=0,0,MIN(1,INDEX('Borrowers'!$P$9:$P$108,MATCH(C420,'Borrowers'!$C$9:$C$108,0))*EXP(MIN(20,INDEX('Borrowers'!$V$9:$V$108,MATCH(C420,'Borrowers'!$C$9:$C$108,0))*V420))))),"Unavailable"))</x:f>
        <x:v>0.07984053724199312</x:v>
      </x:c>
      <x:c r="R420" s="30" t="n">
        <x:f>IF(C420="","",IFERROR(MIN(1,INDEX('Borrowers'!$Q$9:$Q$108,MATCH(C420,'Borrowers'!$C$9:$C$108,0))+(1-INDEX('Borrowers'!$Q$9:$Q$108,MATCH(C420,'Borrowers'!$C$9:$C$108,0)))*T420),"Unavailable"))</x:f>
        <x:v>0.32452608</x:v>
      </x:c>
      <x:c r="S420" s="30" t="n">
        <x:f>IF(C420="","",IFERROR(SUMPRODUCT((Sites!$D$9:$D$108=C420)*Sites!$I$9:$I$108*Sites!$J$9:$J$108*Sites!$K$9:$K$108*(1-Sites!$L$9:$L$108)),"Unavailable"))</x:f>
        <x:v>0.1664</x:v>
      </x:c>
      <x:c r="T420" s="30" t="n">
        <x:f>IF(C420="","",IFERROR(MIN(1,(SUMPRODUCT((Sites!$D$9:$D$108=C420)*Sites!$N$9:$N$108*Sites!$J$9:$J$108*Sites!$K$9:$K$108*(1-Sites!$L$9:$L$108)))*'Scenario Paths'!J27),"Unavailable"))</x:f>
        <x:v>0.006656</x:v>
      </x:c>
      <x:c r="U420" s="9" t="str">
        <x:f>IF(C420="","",IF(OR(INDEX('Borrowers'!$AA$9:$AA$108,MATCH(C420,'Borrowers'!$C$9:$C$108,0))&lt;&gt;"Ready",COUNTIF(Sites!$D$9:$D$108,C420)=0,COUNTIFS(Sites!$D$9:$D$108,C420,Sites!$Q$9:$Q$108,"&lt;&gt;Ready")&gt;0,'Scenario Paths'!$F$6&lt;&gt;"Ready"),"Review source inputs","Ready"))</x:f>
        <x:v>Ready</x:v>
      </x:c>
      <x:c r="V420" s="17" t="n">
        <x:f>IF(C420="","",IFERROR(MAX(-1,(G420-O420)/MAX(0.000001,G420)),"Unavailable"))</x:f>
        <x:v>0.40147608917505034</x:v>
      </x:c>
      <x:c r="W420" s="9" t="str">
        <x:f>IF(C420="","",IFERROR(INDEX('Borrowers'!$D$9:$D$108,MATCH(C420,'Borrowers'!$C$9:$C$108,0)),"Unavailable"))</x:f>
        <x:v>Demo Amman Healthcare</x:v>
      </x:c>
    </x:row>
    <x:row r="421" ht="26" customHeight="1">
      <x:c r="A421" s="1"/>
      <x:c r="B421" s="1"/>
      <x:c r="C421" s="9" t="str">
        <x:f>IF(Borrowers!C21="","",Borrowers!C21)</x:f>
        <x:v>B013</x:v>
      </x:c>
      <x:c r="D421" s="3" t="n">
        <x:v>5</x:v>
      </x:c>
      <x:c r="E421" s="9" t="n">
        <x:f>Settings!$F$18+4</x:f>
        <x:v>2031</x:v>
      </x:c>
      <x:c r="F421" s="9" t="str">
        <x:f>IF(C421="","",INDEX('Borrowers'!$F$9:$F$108,MATCH(C421,'Borrowers'!$C$9:$C$108,0)))</x:f>
        <x:v>Cement</x:v>
      </x:c>
      <x:c r="G421" s="23" t="n">
        <x:f>IF(C421="","",IFERROR(INDEX('Borrowers'!$J$9:$J$108,MATCH(C421,'Borrowers'!$C$9:$C$108,0))-INDEX('Borrowers'!$K$9:$K$108,MATCH(C421,'Borrowers'!$C$9:$C$108,0)),"Unavailable"))</x:f>
        <x:v>26.2</x:v>
      </x:c>
      <x:c r="H421" s="23" t="n">
        <x:f>IF(C421="","",IFERROR(INDEX('Borrowers'!$I$9:$I$108,MATCH(C421,'Borrowers'!$C$9:$C$108,0))*INDEX('Borrowers'!$U$9:$U$108,MATCH(C421,'Borrowers'!$C$9:$C$108,0))*(IF(F421="Transport",'Scenario Paths'!J156,IF(F421="Technology",'Scenario Paths'!J150,IF(F421="Utilities",'Scenario Paths'!J144,IF(F421="Agriculture",'Scenario Paths'!J138,IF(F421="Manufacturing",'Scenario Paths'!J132,IF(F421="Healthcare",'Scenario Paths'!J126,IF(F421="Hospitality",'Scenario Paths'!J120,IF(F421="Property",'Scenario Paths'!J114,IF(F421="Food",'Scenario Paths'!J108,IF(F421="Logistics",'Scenario Paths'!J102,IF(F421="Solar",'Scenario Paths'!J96,IF(F421="Cement",'Scenario Paths'!J90,0))))))))))))),"Unavailable"))</x:f>
        <x:v>-3.456</x:v>
      </x:c>
      <x:c r="I421" s="23" t="n">
        <x:f>IF(C421="","",IFERROR(INDEX('Borrowers'!$R$9:$R$108,MATCH(C421,'Borrowers'!$C$9:$C$108,0))*(1-INDEX('Borrowers'!$W$9:$W$108,MATCH(C421,'Borrowers'!$C$9:$C$108,0))*'Scenario Paths'!J39)*'Scenario Paths'!J9/1000000*(1-INDEX('Borrowers'!$T$9:$T$108,MATCH(C421,'Borrowers'!$C$9:$C$108,0))),"Unavailable"))</x:f>
        <x:v>10.810800000000002</x:v>
      </x:c>
      <x:c r="J421" s="23" t="n">
        <x:f>IF(C421="","",IFERROR(INDEX('Borrowers'!$I$9:$I$108,MATCH(C421,'Borrowers'!$C$9:$C$108,0))*INDEX('Borrowers'!$S$9:$S$108,MATCH(C421,'Borrowers'!$C$9:$C$108,0))*'Scenario Paths'!J15*(1-INDEX('Borrowers'!$T$9:$T$108,MATCH(C421,'Borrowers'!$C$9:$C$108,0))),"Unavailable"))</x:f>
        <x:v>3.8750400000000007</x:v>
      </x:c>
      <x:c r="K421" s="23" t="n">
        <x:f>IF(C421="","",IFERROR(INDEX('Borrowers'!$I$9:$I$108,MATCH(C421,'Borrowers'!$C$9:$C$108,0))*INDEX('Borrowers'!$U$9:$U$108,MATCH(C421,'Borrowers'!$C$9:$C$108,0))*'Scenario Paths'!J21*S421,"Unavailable"))</x:f>
        <x:v>0.13057228799999998</x:v>
      </x:c>
      <x:c r="L421" s="23" t="n">
        <x:f>IF(C421="","",IFERROR(SUMPRODUCT((Sites!$D$9:$D$108=C421)*Sites!$H$9:$H$108*Sites!$J$9:$J$108*Sites!$K$9:$K$108*(1-Sites!$L$9:$L$108)*(1-Sites!$M$9:$M$108))*'Scenario Paths'!J27,"Unavailable"))</x:f>
        <x:v>0.2385152</x:v>
      </x:c>
      <x:c r="M421" s="23" t="n">
        <x:f>IF(C421="","",IFERROR(INDEX('Borrowers'!$J$9:$J$108,MATCH(C421,'Borrowers'!$C$9:$C$108,0))+H421-SUM(I421:L421),"Unavailable"))</x:f>
        <x:v>11.489072511999998</x:v>
      </x:c>
      <x:c r="N421" s="23" t="n">
        <x:f>IF(C421="","",IFERROR(INDEX('Borrowers'!$I$9:$I$108,MATCH(C421,'Borrowers'!$C$9:$C$108,0))*'Scenario Paths'!J33,"Unavailable"))</x:f>
        <x:v>3.6</x:v>
      </x:c>
      <x:c r="O421" s="23" t="n">
        <x:f>IF(C421="","",IFERROR(M421-INDEX('Borrowers'!$K$9:$K$108,MATCH(C421,'Borrowers'!$C$9:$C$108,0))-N421,"Unavailable"))</x:f>
        <x:v>4.089072511999998</x:v>
      </x:c>
      <x:c r="P421" s="127" t="n">
        <x:f>IF(C421="","",IFERROR(O421/INDEX('Borrowers'!$L$9:$L$108,MATCH(C421,'Borrowers'!$C$9:$C$108,0)),"Unavailable"))</x:f>
        <x:v>0.4754735479069765</x:v>
      </x:c>
      <x:c r="Q421" s="30" t="n">
        <x:f>IF(C421="","",IFERROR(IF(INDEX('Borrowers'!$Z$9:$Z$108,MATCH(C421,'Borrowers'!$C$9:$C$108,0))="Yes",1,IF(INDEX('Borrowers'!$P$9:$P$108,MATCH(C421,'Borrowers'!$C$9:$C$108,0))=0,0,MIN(1,INDEX('Borrowers'!$P$9:$P$108,MATCH(C421,'Borrowers'!$C$9:$C$108,0))*EXP(MIN(20,INDEX('Borrowers'!$V$9:$V$108,MATCH(C421,'Borrowers'!$C$9:$C$108,0))*V421))))),"Unavailable"))</x:f>
        <x:v>0.046302330653329414</x:v>
      </x:c>
      <x:c r="R421" s="30" t="n">
        <x:f>IF(C421="","",IFERROR(MIN(1,INDEX('Borrowers'!$Q$9:$Q$108,MATCH(C421,'Borrowers'!$C$9:$C$108,0))+(1-INDEX('Borrowers'!$Q$9:$Q$108,MATCH(C421,'Borrowers'!$C$9:$C$108,0)))*T421),"Unavailable"))</x:f>
        <x:v>0.36315392</x:v>
      </x:c>
      <x:c r="S421" s="30" t="n">
        <x:f>IF(C421="","",IFERROR(SUMPRODUCT((Sites!$D$9:$D$108=C421)*Sites!$I$9:$I$108*Sites!$J$9:$J$108*Sites!$K$9:$K$108*(1-Sites!$L$9:$L$108)),"Unavailable"))</x:f>
        <x:v>0.1232</x:v>
      </x:c>
      <x:c r="T421" s="30" t="n">
        <x:f>IF(C421="","",IFERROR(MIN(1,(SUMPRODUCT((Sites!$D$9:$D$108=C421)*Sites!$N$9:$N$108*Sites!$J$9:$J$108*Sites!$K$9:$K$108*(1-Sites!$L$9:$L$108)))*'Scenario Paths'!J27),"Unavailable"))</x:f>
        <x:v>0.004928</x:v>
      </x:c>
      <x:c r="U421" s="9" t="str">
        <x:f>IF(C421="","",IF(OR(INDEX('Borrowers'!$AA$9:$AA$108,MATCH(C421,'Borrowers'!$C$9:$C$108,0))&lt;&gt;"Ready",COUNTIF(Sites!$D$9:$D$108,C421)=0,COUNTIFS(Sites!$D$9:$D$108,C421,Sites!$Q$9:$Q$108,"&lt;&gt;Ready")&gt;0,'Scenario Paths'!$F$6&lt;&gt;"Ready"),"Review source inputs","Ready"))</x:f>
        <x:v>Ready</x:v>
      </x:c>
      <x:c r="V421" s="17" t="n">
        <x:f>IF(C421="","",IFERROR(MAX(-1,(G421-O421)/MAX(0.000001,G421)),"Unavailable"))</x:f>
        <x:v>0.843928530076336</x:v>
      </x:c>
      <x:c r="W421" s="9" t="str">
        <x:f>IF(C421="","",IFERROR(INDEX('Borrowers'!$D$9:$D$108,MATCH(C421,'Borrowers'!$C$9:$C$108,0)),"Unavailable"))</x:f>
        <x:v>Demo Emirates Materials</x:v>
      </x:c>
    </x:row>
    <x:row r="422" ht="26" customHeight="1">
      <x:c r="A422" s="1"/>
      <x:c r="B422" s="1"/>
      <x:c r="C422" s="9" t="str">
        <x:f>IF(Borrowers!C22="","",Borrowers!C22)</x:f>
        <x:v>B014</x:v>
      </x:c>
      <x:c r="D422" s="3" t="n">
        <x:v>5</x:v>
      </x:c>
      <x:c r="E422" s="9" t="n">
        <x:f>Settings!$F$18+4</x:f>
        <x:v>2031</x:v>
      </x:c>
      <x:c r="F422" s="9" t="str">
        <x:f>IF(C422="","",INDEX('Borrowers'!$F$9:$F$108,MATCH(C422,'Borrowers'!$C$9:$C$108,0)))</x:f>
        <x:v>Solar</x:v>
      </x:c>
      <x:c r="G422" s="23" t="n">
        <x:f>IF(C422="","",IFERROR(INDEX('Borrowers'!$J$9:$J$108,MATCH(C422,'Borrowers'!$C$9:$C$108,0))-INDEX('Borrowers'!$K$9:$K$108,MATCH(C422,'Borrowers'!$C$9:$C$108,0)),"Unavailable"))</x:f>
        <x:v>27.55</x:v>
      </x:c>
      <x:c r="H422" s="23" t="n">
        <x:f>IF(C422="","",IFERROR(INDEX('Borrowers'!$I$9:$I$108,MATCH(C422,'Borrowers'!$C$9:$C$108,0))*INDEX('Borrowers'!$U$9:$U$108,MATCH(C422,'Borrowers'!$C$9:$C$108,0))*(IF(F422="Transport",'Scenario Paths'!J156,IF(F422="Technology",'Scenario Paths'!J150,IF(F422="Utilities",'Scenario Paths'!J144,IF(F422="Agriculture",'Scenario Paths'!J138,IF(F422="Manufacturing",'Scenario Paths'!J132,IF(F422="Healthcare",'Scenario Paths'!J126,IF(F422="Hospitality",'Scenario Paths'!J120,IF(F422="Property",'Scenario Paths'!J114,IF(F422="Food",'Scenario Paths'!J108,IF(F422="Logistics",'Scenario Paths'!J102,IF(F422="Solar",'Scenario Paths'!J96,IF(F422="Cement",'Scenario Paths'!J90,0))))))))))))),"Unavailable"))</x:f>
        <x:v>4.3035</x:v>
      </x:c>
      <x:c r="I422" s="23" t="n">
        <x:f>IF(C422="","",IFERROR(INDEX('Borrowers'!$R$9:$R$108,MATCH(C422,'Borrowers'!$C$9:$C$108,0))*(1-INDEX('Borrowers'!$W$9:$W$108,MATCH(C422,'Borrowers'!$C$9:$C$108,0))*'Scenario Paths'!J39)*'Scenario Paths'!J9/1000000*(1-INDEX('Borrowers'!$T$9:$T$108,MATCH(C422,'Borrowers'!$C$9:$C$108,0))),"Unavailable"))</x:f>
        <x:v>0.01386</x:v>
      </x:c>
      <x:c r="J422" s="23" t="n">
        <x:f>IF(C422="","",IFERROR(INDEX('Borrowers'!$I$9:$I$108,MATCH(C422,'Borrowers'!$C$9:$C$108,0))*INDEX('Borrowers'!$S$9:$S$108,MATCH(C422,'Borrowers'!$C$9:$C$108,0))*'Scenario Paths'!J15*(1-INDEX('Borrowers'!$T$9:$T$108,MATCH(C422,'Borrowers'!$C$9:$C$108,0))),"Unavailable"))</x:f>
        <x:v>1.3454100000000002</x:v>
      </x:c>
      <x:c r="K422" s="23" t="n">
        <x:f>IF(C422="","",IFERROR(INDEX('Borrowers'!$I$9:$I$108,MATCH(C422,'Borrowers'!$C$9:$C$108,0))*INDEX('Borrowers'!$U$9:$U$108,MATCH(C422,'Borrowers'!$C$9:$C$108,0))*'Scenario Paths'!J21*S422,"Unavailable"))</x:f>
        <x:v>0.29562176000000007</x:v>
      </x:c>
      <x:c r="L422" s="23" t="n">
        <x:f>IF(C422="","",IFERROR(SUMPRODUCT((Sites!$D$9:$D$108=C422)*Sites!$H$9:$H$108*Sites!$J$9:$J$108*Sites!$K$9:$K$108*(1-Sites!$L$9:$L$108)*(1-Sites!$M$9:$M$108))*'Scenario Paths'!J27,"Unavailable"))</x:f>
        <x:v>0.45337600000000017</x:v>
      </x:c>
      <x:c r="M422" s="23" t="n">
        <x:f>IF(C422="","",IFERROR(INDEX('Borrowers'!$J$9:$J$108,MATCH(C422,'Borrowers'!$C$9:$C$108,0))+H422-SUM(I422:L422),"Unavailable"))</x:f>
        <x:v>33.695232239999996</x:v>
      </x:c>
      <x:c r="N422" s="23" t="n">
        <x:f>IF(C422="","",IFERROR(INDEX('Borrowers'!$I$9:$I$108,MATCH(C422,'Borrowers'!$C$9:$C$108,0))*'Scenario Paths'!J33,"Unavailable"))</x:f>
        <x:v>3.7750000000000004</x:v>
      </x:c>
      <x:c r="O422" s="23" t="n">
        <x:f>IF(C422="","",IFERROR(M422-INDEX('Borrowers'!$K$9:$K$108,MATCH(C422,'Borrowers'!$C$9:$C$108,0))-N422,"Unavailable"))</x:f>
        <x:v>25.970232239999994</x:v>
      </x:c>
      <x:c r="P422" s="127" t="n">
        <x:f>IF(C422="","",IFERROR(O422/INDEX('Borrowers'!$L$9:$L$108,MATCH(C422,'Borrowers'!$C$9:$C$108,0)),"Unavailable"))</x:f>
        <x:v>2.9180036224719093</x:v>
      </x:c>
      <x:c r="Q422" s="30" t="n">
        <x:f>IF(C422="","",IFERROR(IF(INDEX('Borrowers'!$Z$9:$Z$108,MATCH(C422,'Borrowers'!$C$9:$C$108,0))="Yes",1,IF(INDEX('Borrowers'!$P$9:$P$108,MATCH(C422,'Borrowers'!$C$9:$C$108,0))=0,0,MIN(1,INDEX('Borrowers'!$P$9:$P$108,MATCH(C422,'Borrowers'!$C$9:$C$108,0))*EXP(MIN(20,INDEX('Borrowers'!$V$9:$V$108,MATCH(C422,'Borrowers'!$C$9:$C$108,0))*V422))))),"Unavailable"))</x:f>
        <x:v>0.0197295735566562</x:v>
      </x:c>
      <x:c r="R422" s="30" t="n">
        <x:f>IF(C422="","",IFERROR(MIN(1,INDEX('Borrowers'!$Q$9:$Q$108,MATCH(C422,'Borrowers'!$C$9:$C$108,0))+(1-INDEX('Borrowers'!$Q$9:$Q$108,MATCH(C422,'Borrowers'!$C$9:$C$108,0)))*T422),"Unavailable"))</x:f>
        <x:v>0.405376</x:v>
      </x:c>
      <x:c r="S422" s="30" t="n">
        <x:f>IF(C422="","",IFERROR(SUMPRODUCT((Sites!$D$9:$D$108=C422)*Sites!$I$9:$I$108*Sites!$J$9:$J$108*Sites!$K$9:$K$108*(1-Sites!$L$9:$L$108)),"Unavailable"))</x:f>
        <x:v>0.22400000000000003</x:v>
      </x:c>
      <x:c r="T422" s="30" t="n">
        <x:f>IF(C422="","",IFERROR(MIN(1,(SUMPRODUCT((Sites!$D$9:$D$108=C422)*Sites!$N$9:$N$108*Sites!$J$9:$J$108*Sites!$K$9:$K$108*(1-Sites!$L$9:$L$108)))*'Scenario Paths'!J27),"Unavailable"))</x:f>
        <x:v>0.008960000000000001</x:v>
      </x:c>
      <x:c r="U422" s="9" t="str">
        <x:f>IF(C422="","",IF(OR(INDEX('Borrowers'!$AA$9:$AA$108,MATCH(C422,'Borrowers'!$C$9:$C$108,0))&lt;&gt;"Ready",COUNTIF(Sites!$D$9:$D$108,C422)=0,COUNTIFS(Sites!$D$9:$D$108,C422,Sites!$Q$9:$Q$108,"&lt;&gt;Ready")&gt;0,'Scenario Paths'!$F$6&lt;&gt;"Ready"),"Review source inputs","Ready"))</x:f>
        <x:v>Ready</x:v>
      </x:c>
      <x:c r="V422" s="17" t="n">
        <x:f>IF(C422="","",IFERROR(MAX(-1,(G422-O422)/MAX(0.000001,G422)),"Unavailable"))</x:f>
        <x:v>0.0573418424682398</x:v>
      </x:c>
      <x:c r="W422" s="9" t="str">
        <x:f>IF(C422="","",IFERROR(INDEX('Borrowers'!$D$9:$D$108,MATCH(C422,'Borrowers'!$C$9:$C$108,0)),"Unavailable"))</x:f>
        <x:v>Demo Desert Solar</x:v>
      </x:c>
    </x:row>
    <x:row r="423" ht="26" customHeight="1">
      <x:c r="A423" s="1"/>
      <x:c r="B423" s="1"/>
      <x:c r="C423" s="9" t="str">
        <x:f>IF(Borrowers!C23="","",Borrowers!C23)</x:f>
        <x:v>B015</x:v>
      </x:c>
      <x:c r="D423" s="3" t="n">
        <x:v>5</x:v>
      </x:c>
      <x:c r="E423" s="9" t="n">
        <x:f>Settings!$F$18+4</x:f>
        <x:v>2031</x:v>
      </x:c>
      <x:c r="F423" s="9" t="str">
        <x:f>IF(C423="","",INDEX('Borrowers'!$F$9:$F$108,MATCH(C423,'Borrowers'!$C$9:$C$108,0)))</x:f>
        <x:v>Logistics</x:v>
      </x:c>
      <x:c r="G423" s="23" t="n">
        <x:f>IF(C423="","",IFERROR(INDEX('Borrowers'!$J$9:$J$108,MATCH(C423,'Borrowers'!$C$9:$C$108,0))-INDEX('Borrowers'!$K$9:$K$108,MATCH(C423,'Borrowers'!$C$9:$C$108,0)),"Unavailable"))</x:f>
        <x:v>28.9</x:v>
      </x:c>
      <x:c r="H423" s="23" t="n">
        <x:f>IF(C423="","",IFERROR(INDEX('Borrowers'!$I$9:$I$108,MATCH(C423,'Borrowers'!$C$9:$C$108,0))*INDEX('Borrowers'!$U$9:$U$108,MATCH(C423,'Borrowers'!$C$9:$C$108,0))*(IF(F423="Transport",'Scenario Paths'!J156,IF(F423="Technology",'Scenario Paths'!J150,IF(F423="Utilities",'Scenario Paths'!J144,IF(F423="Agriculture",'Scenario Paths'!J138,IF(F423="Manufacturing",'Scenario Paths'!J132,IF(F423="Healthcare",'Scenario Paths'!J126,IF(F423="Hospitality",'Scenario Paths'!J120,IF(F423="Property",'Scenario Paths'!J114,IF(F423="Food",'Scenario Paths'!J108,IF(F423="Logistics",'Scenario Paths'!J102,IF(F423="Solar",'Scenario Paths'!J96,IF(F423="Cement",'Scenario Paths'!J90,0))))))))))))),"Unavailable"))</x:f>
        <x:v>-5.2139999999999995</x:v>
      </x:c>
      <x:c r="I423" s="23" t="n">
        <x:f>IF(C423="","",IFERROR(INDEX('Borrowers'!$R$9:$R$108,MATCH(C423,'Borrowers'!$C$9:$C$108,0))*(1-INDEX('Borrowers'!$W$9:$W$108,MATCH(C423,'Borrowers'!$C$9:$C$108,0))*'Scenario Paths'!J39)*'Scenario Paths'!J9/1000000*(1-INDEX('Borrowers'!$T$9:$T$108,MATCH(C423,'Borrowers'!$C$9:$C$108,0))),"Unavailable"))</x:f>
        <x:v>0.5443199999999999</x:v>
      </x:c>
      <x:c r="J423" s="23" t="n">
        <x:f>IF(C423="","",IFERROR(INDEX('Borrowers'!$I$9:$I$108,MATCH(C423,'Borrowers'!$C$9:$C$108,0))*INDEX('Borrowers'!$S$9:$S$108,MATCH(C423,'Borrowers'!$C$9:$C$108,0))*'Scenario Paths'!J15*(1-INDEX('Borrowers'!$T$9:$T$108,MATCH(C423,'Borrowers'!$C$9:$C$108,0))),"Unavailable"))</x:f>
        <x:v>1.40778</x:v>
      </x:c>
      <x:c r="K423" s="23" t="n">
        <x:f>IF(C423="","",IFERROR(INDEX('Borrowers'!$I$9:$I$108,MATCH(C423,'Borrowers'!$C$9:$C$108,0))*INDEX('Borrowers'!$U$9:$U$108,MATCH(C423,'Borrowers'!$C$9:$C$108,0))*'Scenario Paths'!J21*S423,"Unavailable"))</x:f>
        <x:v>0.5653922559999999</x:v>
      </x:c>
      <x:c r="L423" s="23" t="n">
        <x:f>IF(C423="","",IFERROR(SUMPRODUCT((Sites!$D$9:$D$108=C423)*Sites!$H$9:$H$108*Sites!$J$9:$J$108*Sites!$K$9:$K$108*(1-Sites!$L$9:$L$108)*(1-Sites!$M$9:$M$108))*'Scenario Paths'!J27,"Unavailable"))</x:f>
        <x:v>0.7468032000000001</x:v>
      </x:c>
      <x:c r="M423" s="23" t="n">
        <x:f>IF(C423="","",IFERROR(INDEX('Borrowers'!$J$9:$J$108,MATCH(C423,'Borrowers'!$C$9:$C$108,0))+H423-SUM(I423:L423),"Unavailable"))</x:f>
        <x:v>24.521704544000002</x:v>
      </x:c>
      <x:c r="N423" s="23" t="n">
        <x:f>IF(C423="","",IFERROR(INDEX('Borrowers'!$I$9:$I$108,MATCH(C423,'Borrowers'!$C$9:$C$108,0))*'Scenario Paths'!J33,"Unavailable"))</x:f>
        <x:v>3.95</x:v>
      </x:c>
      <x:c r="O423" s="23" t="n">
        <x:f>IF(C423="","",IFERROR(M423-INDEX('Borrowers'!$K$9:$K$108,MATCH(C423,'Borrowers'!$C$9:$C$108,0))-N423,"Unavailable"))</x:f>
        <x:v>16.471704544</x:v>
      </x:c>
      <x:c r="P423" s="127" t="n">
        <x:f>IF(C423="","",IFERROR(O423/INDEX('Borrowers'!$L$9:$L$108,MATCH(C423,'Borrowers'!$C$9:$C$108,0)),"Unavailable"))</x:f>
        <x:v>1.7904026678260871</x:v>
      </x:c>
      <x:c r="Q423" s="30" t="n">
        <x:f>IF(C423="","",IFERROR(IF(INDEX('Borrowers'!$Z$9:$Z$108,MATCH(C423,'Borrowers'!$C$9:$C$108,0))="Yes",1,IF(INDEX('Borrowers'!$P$9:$P$108,MATCH(C423,'Borrowers'!$C$9:$C$108,0))=0,0,MIN(1,INDEX('Borrowers'!$P$9:$P$108,MATCH(C423,'Borrowers'!$C$9:$C$108,0))*EXP(MIN(20,INDEX('Borrowers'!$V$9:$V$108,MATCH(C423,'Borrowers'!$C$9:$C$108,0))*V423))))),"Unavailable"))</x:f>
        <x:v>0.04775699513137668</x:v>
      </x:c>
      <x:c r="R423" s="30" t="n">
        <x:f>IF(C423="","",IFERROR(MIN(1,INDEX('Borrowers'!$Q$9:$Q$108,MATCH(C423,'Borrowers'!$C$9:$C$108,0))+(1-INDEX('Borrowers'!$Q$9:$Q$108,MATCH(C423,'Borrowers'!$C$9:$C$108,0)))*T423),"Unavailable"))</x:f>
        <x:v>0.44792064000000004</x:v>
      </x:c>
      <x:c r="S423" s="30" t="n">
        <x:f>IF(C423="","",IFERROR(SUMPRODUCT((Sites!$D$9:$D$108=C423)*Sites!$I$9:$I$108*Sites!$J$9:$J$108*Sites!$K$9:$K$108*(1-Sites!$L$9:$L$108)),"Unavailable"))</x:f>
        <x:v>0.3535999999999999</x:v>
      </x:c>
      <x:c r="T423" s="30" t="n">
        <x:f>IF(C423="","",IFERROR(MIN(1,(SUMPRODUCT((Sites!$D$9:$D$108=C423)*Sites!$N$9:$N$108*Sites!$J$9:$J$108*Sites!$K$9:$K$108*(1-Sites!$L$9:$L$108)))*'Scenario Paths'!J27),"Unavailable"))</x:f>
        <x:v>0.014143999999999997</x:v>
      </x:c>
      <x:c r="U423" s="9" t="str">
        <x:f>IF(C423="","",IF(OR(INDEX('Borrowers'!$AA$9:$AA$108,MATCH(C423,'Borrowers'!$C$9:$C$108,0))&lt;&gt;"Ready",COUNTIF(Sites!$D$9:$D$108,C423)=0,COUNTIFS(Sites!$D$9:$D$108,C423,Sites!$Q$9:$Q$108,"&lt;&gt;Ready")&gt;0,'Scenario Paths'!$F$6&lt;&gt;"Ready"),"Review source inputs","Ready"))</x:f>
        <x:v>Ready</x:v>
      </x:c>
      <x:c r="V423" s="17" t="n">
        <x:f>IF(C423="","",IFERROR(MAX(-1,(G423-O423)/MAX(0.000001,G423)),"Unavailable"))</x:f>
        <x:v>0.43004482546712797</x:v>
      </x:c>
      <x:c r="W423" s="9" t="str">
        <x:f>IF(C423="","",IFERROR(INDEX('Borrowers'!$D$9:$D$108,MATCH(C423,'Borrowers'!$C$9:$C$108,0)),"Unavailable"))</x:f>
        <x:v>Demo Gulf Logistics</x:v>
      </x:c>
    </x:row>
    <x:row r="424" ht="26" customHeight="1">
      <x:c r="A424" s="1"/>
      <x:c r="B424" s="1"/>
      <x:c r="C424" s="9" t="str">
        <x:f>IF(Borrowers!C24="","",Borrowers!C24)</x:f>
        <x:v>B016</x:v>
      </x:c>
      <x:c r="D424" s="3" t="n">
        <x:v>5</x:v>
      </x:c>
      <x:c r="E424" s="9" t="n">
        <x:f>Settings!$F$18+4</x:f>
        <x:v>2031</x:v>
      </x:c>
      <x:c r="F424" s="9" t="str">
        <x:f>IF(C424="","",INDEX('Borrowers'!$F$9:$F$108,MATCH(C424,'Borrowers'!$C$9:$C$108,0)))</x:f>
        <x:v>Food</x:v>
      </x:c>
      <x:c r="G424" s="23" t="n">
        <x:f>IF(C424="","",IFERROR(INDEX('Borrowers'!$J$9:$J$108,MATCH(C424,'Borrowers'!$C$9:$C$108,0))-INDEX('Borrowers'!$K$9:$K$108,MATCH(C424,'Borrowers'!$C$9:$C$108,0)),"Unavailable"))</x:f>
        <x:v>30.25</x:v>
      </x:c>
      <x:c r="H424" s="23" t="n">
        <x:f>IF(C424="","",IFERROR(INDEX('Borrowers'!$I$9:$I$108,MATCH(C424,'Borrowers'!$C$9:$C$108,0))*INDEX('Borrowers'!$U$9:$U$108,MATCH(C424,'Borrowers'!$C$9:$C$108,0))*(IF(F424="Transport",'Scenario Paths'!J156,IF(F424="Technology",'Scenario Paths'!J150,IF(F424="Utilities",'Scenario Paths'!J144,IF(F424="Agriculture",'Scenario Paths'!J138,IF(F424="Manufacturing",'Scenario Paths'!J132,IF(F424="Healthcare",'Scenario Paths'!J126,IF(F424="Hospitality",'Scenario Paths'!J120,IF(F424="Property",'Scenario Paths'!J114,IF(F424="Food",'Scenario Paths'!J108,IF(F424="Logistics",'Scenario Paths'!J102,IF(F424="Solar",'Scenario Paths'!J96,IF(F424="Cement",'Scenario Paths'!J90,0))))))))))))),"Unavailable"))</x:f>
        <x:v>-3.96</x:v>
      </x:c>
      <x:c r="I424" s="23" t="n">
        <x:f>IF(C424="","",IFERROR(INDEX('Borrowers'!$R$9:$R$108,MATCH(C424,'Borrowers'!$C$9:$C$108,0))*(1-INDEX('Borrowers'!$W$9:$W$108,MATCH(C424,'Borrowers'!$C$9:$C$108,0))*'Scenario Paths'!J39)*'Scenario Paths'!J9/1000000*(1-INDEX('Borrowers'!$T$9:$T$108,MATCH(C424,'Borrowers'!$C$9:$C$108,0))),"Unavailable"))</x:f>
        <x:v>0.44099999999999995</x:v>
      </x:c>
      <x:c r="J424" s="23" t="n">
        <x:f>IF(C424="","",IFERROR(INDEX('Borrowers'!$I$9:$I$108,MATCH(C424,'Borrowers'!$C$9:$C$108,0))*INDEX('Borrowers'!$S$9:$S$108,MATCH(C424,'Borrowers'!$C$9:$C$108,0))*'Scenario Paths'!J15*(1-INDEX('Borrowers'!$T$9:$T$108,MATCH(C424,'Borrowers'!$C$9:$C$108,0))),"Unavailable"))</x:f>
        <x:v>1.3513499999999998</x:v>
      </x:c>
      <x:c r="K424" s="23" t="n">
        <x:f>IF(C424="","",IFERROR(INDEX('Borrowers'!$I$9:$I$108,MATCH(C424,'Borrowers'!$C$9:$C$108,0))*INDEX('Borrowers'!$U$9:$U$108,MATCH(C424,'Borrowers'!$C$9:$C$108,0))*'Scenario Paths'!J21*S424,"Unavailable"))</x:f>
        <x:v>0.06800640000000001</x:v>
      </x:c>
      <x:c r="L424" s="23" t="n">
        <x:f>IF(C424="","",IFERROR(SUMPRODUCT((Sites!$D$9:$D$108=C424)*Sites!$H$9:$H$108*Sites!$J$9:$J$108*Sites!$K$9:$K$108*(1-Sites!$L$9:$L$108)*(1-Sites!$M$9:$M$108))*'Scenario Paths'!J27,"Unavailable"))</x:f>
        <x:v>0.12320000000000002</x:v>
      </x:c>
      <x:c r="M424" s="23" t="n">
        <x:f>IF(C424="","",IFERROR(INDEX('Borrowers'!$J$9:$J$108,MATCH(C424,'Borrowers'!$C$9:$C$108,0))+H424-SUM(I424:L424),"Unavailable"))</x:f>
        <x:v>28.556443599999998</x:v>
      </x:c>
      <x:c r="N424" s="23" t="n">
        <x:f>IF(C424="","",IFERROR(INDEX('Borrowers'!$I$9:$I$108,MATCH(C424,'Borrowers'!$C$9:$C$108,0))*'Scenario Paths'!J33,"Unavailable"))</x:f>
        <x:v>4.125</x:v>
      </x:c>
      <x:c r="O424" s="23" t="n">
        <x:f>IF(C424="","",IFERROR(M424-INDEX('Borrowers'!$K$9:$K$108,MATCH(C424,'Borrowers'!$C$9:$C$108,0))-N424,"Unavailable"))</x:f>
        <x:v>20.181443599999998</x:v>
      </x:c>
      <x:c r="P424" s="127" t="n">
        <x:f>IF(C424="","",IFERROR(O424/INDEX('Borrowers'!$L$9:$L$108,MATCH(C424,'Borrowers'!$C$9:$C$108,0)),"Unavailable"))</x:f>
        <x:v>2.124362484210526</x:v>
      </x:c>
      <x:c r="Q424" s="30" t="n">
        <x:f>IF(C424="","",IFERROR(IF(INDEX('Borrowers'!$Z$9:$Z$108,MATCH(C424,'Borrowers'!$C$9:$C$108,0))="Yes",1,IF(INDEX('Borrowers'!$P$9:$P$108,MATCH(C424,'Borrowers'!$C$9:$C$108,0))=0,0,MIN(1,INDEX('Borrowers'!$P$9:$P$108,MATCH(C424,'Borrowers'!$C$9:$C$108,0))*EXP(MIN(20,INDEX('Borrowers'!$V$9:$V$108,MATCH(C424,'Borrowers'!$C$9:$C$108,0))*V424))))),"Unavailable"))</x:f>
        <x:v>0.051098192518861864</x:v>
      </x:c>
      <x:c r="R424" s="30" t="n">
        <x:f>IF(C424="","",IFERROR(MIN(1,INDEX('Borrowers'!$Q$9:$Q$108,MATCH(C424,'Borrowers'!$C$9:$C$108,0))+(1-INDEX('Borrowers'!$Q$9:$Q$108,MATCH(C424,'Borrowers'!$C$9:$C$108,0)))*T424),"Unavailable"))</x:f>
        <x:v>0.28161280000000005</x:v>
      </x:c>
      <x:c r="S424" s="30" t="n">
        <x:f>IF(C424="","",IFERROR(SUMPRODUCT((Sites!$D$9:$D$108=C424)*Sites!$I$9:$I$108*Sites!$J$9:$J$108*Sites!$K$9:$K$108*(1-Sites!$L$9:$L$108)),"Unavailable"))</x:f>
        <x:v>0.056</x:v>
      </x:c>
      <x:c r="T424" s="30" t="n">
        <x:f>IF(C424="","",IFERROR(MIN(1,(SUMPRODUCT((Sites!$D$9:$D$108=C424)*Sites!$N$9:$N$108*Sites!$J$9:$J$108*Sites!$K$9:$K$108*(1-Sites!$L$9:$L$108)))*'Scenario Paths'!J27),"Unavailable"))</x:f>
        <x:v>0.0022400000000000002</x:v>
      </x:c>
      <x:c r="U424" s="9" t="str">
        <x:f>IF(C424="","",IF(OR(INDEX('Borrowers'!$AA$9:$AA$108,MATCH(C424,'Borrowers'!$C$9:$C$108,0))&lt;&gt;"Ready",COUNTIF(Sites!$D$9:$D$108,C424)=0,COUNTIFS(Sites!$D$9:$D$108,C424,Sites!$Q$9:$Q$108,"&lt;&gt;Ready")&gt;0,'Scenario Paths'!$F$6&lt;&gt;"Ready"),"Review source inputs","Ready"))</x:f>
        <x:v>Ready</x:v>
      </x:c>
      <x:c r="V424" s="17" t="n">
        <x:f>IF(C424="","",IFERROR(MAX(-1,(G424-O424)/MAX(0.000001,G424)),"Unavailable"))</x:f>
        <x:v>0.3328448396694216</x:v>
      </x:c>
      <x:c r="W424" s="9" t="str">
        <x:f>IF(C424="","",IFERROR(INDEX('Borrowers'!$D$9:$D$108,MATCH(C424,'Borrowers'!$C$9:$C$108,0)),"Unavailable"))</x:f>
        <x:v>Demo Emirates Foods</x:v>
      </x:c>
    </x:row>
    <x:row r="425" ht="26" customHeight="1">
      <x:c r="A425" s="1"/>
      <x:c r="B425" s="1"/>
      <x:c r="C425" s="9" t="str">
        <x:f>IF(Borrowers!C25="","",Borrowers!C25)</x:f>
        <x:v>B017</x:v>
      </x:c>
      <x:c r="D425" s="3" t="n">
        <x:v>5</x:v>
      </x:c>
      <x:c r="E425" s="9" t="n">
        <x:f>Settings!$F$18+4</x:f>
        <x:v>2031</x:v>
      </x:c>
      <x:c r="F425" s="9" t="str">
        <x:f>IF(C425="","",INDEX('Borrowers'!$F$9:$F$108,MATCH(C425,'Borrowers'!$C$9:$C$108,0)))</x:f>
        <x:v>Property</x:v>
      </x:c>
      <x:c r="G425" s="23" t="n">
        <x:f>IF(C425="","",IFERROR(INDEX('Borrowers'!$J$9:$J$108,MATCH(C425,'Borrowers'!$C$9:$C$108,0))-INDEX('Borrowers'!$K$9:$K$108,MATCH(C425,'Borrowers'!$C$9:$C$108,0)),"Unavailable"))</x:f>
        <x:v>31.6</x:v>
      </x:c>
      <x:c r="H425" s="23" t="n">
        <x:f>IF(C425="","",IFERROR(INDEX('Borrowers'!$I$9:$I$108,MATCH(C425,'Borrowers'!$C$9:$C$108,0))*INDEX('Borrowers'!$U$9:$U$108,MATCH(C425,'Borrowers'!$C$9:$C$108,0))*(IF(F425="Transport",'Scenario Paths'!J156,IF(F425="Technology",'Scenario Paths'!J150,IF(F425="Utilities",'Scenario Paths'!J144,IF(F425="Agriculture",'Scenario Paths'!J138,IF(F425="Manufacturing",'Scenario Paths'!J132,IF(F425="Healthcare",'Scenario Paths'!J126,IF(F425="Hospitality",'Scenario Paths'!J120,IF(F425="Property",'Scenario Paths'!J114,IF(F425="Food",'Scenario Paths'!J108,IF(F425="Logistics",'Scenario Paths'!J102,IF(F425="Solar",'Scenario Paths'!J96,IF(F425="Cement",'Scenario Paths'!J90,0))))))))))))),"Unavailable"))</x:f>
        <x:v>-4.902</x:v>
      </x:c>
      <x:c r="I425" s="23" t="n">
        <x:f>IF(C425="","",IFERROR(INDEX('Borrowers'!$R$9:$R$108,MATCH(C425,'Borrowers'!$C$9:$C$108,0))*(1-INDEX('Borrowers'!$W$9:$W$108,MATCH(C425,'Borrowers'!$C$9:$C$108,0))*'Scenario Paths'!J39)*'Scenario Paths'!J9/1000000*(1-INDEX('Borrowers'!$T$9:$T$108,MATCH(C425,'Borrowers'!$C$9:$C$108,0))),"Unavailable"))</x:f>
        <x:v>0.8517600000000001</x:v>
      </x:c>
      <x:c r="J425" s="23" t="n">
        <x:f>IF(C425="","",IFERROR(INDEX('Borrowers'!$I$9:$I$108,MATCH(C425,'Borrowers'!$C$9:$C$108,0))*INDEX('Borrowers'!$S$9:$S$108,MATCH(C425,'Borrowers'!$C$9:$C$108,0))*'Scenario Paths'!J15*(1-INDEX('Borrowers'!$T$9:$T$108,MATCH(C425,'Borrowers'!$C$9:$C$108,0))),"Unavailable"))</x:f>
        <x:v>1.4086800000000002</x:v>
      </x:c>
      <x:c r="K425" s="23" t="n">
        <x:f>IF(C425="","",IFERROR(INDEX('Borrowers'!$I$9:$I$108,MATCH(C425,'Borrowers'!$C$9:$C$108,0))*INDEX('Borrowers'!$U$9:$U$108,MATCH(C425,'Borrowers'!$C$9:$C$108,0))*'Scenario Paths'!J21*S425,"Unavailable"))</x:f>
        <x:v>0.19241984</x:v>
      </x:c>
      <x:c r="L425" s="23" t="n">
        <x:f>IF(C425="","",IFERROR(SUMPRODUCT((Sites!$D$9:$D$108=C425)*Sites!$H$9:$H$108*Sites!$J$9:$J$108*Sites!$K$9:$K$108*(1-Sites!$L$9:$L$108)*(1-Sites!$M$9:$M$108))*'Scenario Paths'!J27,"Unavailable"))</x:f>
        <x:v>0.29286400000000007</x:v>
      </x:c>
      <x:c r="M425" s="23" t="n">
        <x:f>IF(C425="","",IFERROR(INDEX('Borrowers'!$J$9:$J$108,MATCH(C425,'Borrowers'!$C$9:$C$108,0))+H425-SUM(I425:L425),"Unavailable"))</x:f>
        <x:v>28.35227616</x:v>
      </x:c>
      <x:c r="N425" s="23" t="n">
        <x:f>IF(C425="","",IFERROR(INDEX('Borrowers'!$I$9:$I$108,MATCH(C425,'Borrowers'!$C$9:$C$108,0))*'Scenario Paths'!J33,"Unavailable"))</x:f>
        <x:v>4.3</x:v>
      </x:c>
      <x:c r="O425" s="23" t="n">
        <x:f>IF(C425="","",IFERROR(M425-INDEX('Borrowers'!$K$9:$K$108,MATCH(C425,'Borrowers'!$C$9:$C$108,0))-N425,"Unavailable"))</x:f>
        <x:v>19.652276159999996</x:v>
      </x:c>
      <x:c r="P425" s="127" t="n">
        <x:f>IF(C425="","",IFERROR(O425/INDEX('Borrowers'!$L$9:$L$108,MATCH(C425,'Borrowers'!$C$9:$C$108,0)),"Unavailable"))</x:f>
        <x:v>2.005334302040816</x:v>
      </x:c>
      <x:c r="Q425" s="30" t="n">
        <x:f>IF(C425="","",IFERROR(IF(INDEX('Borrowers'!$Z$9:$Z$108,MATCH(C425,'Borrowers'!$C$9:$C$108,0))="Yes",1,IF(INDEX('Borrowers'!$P$9:$P$108,MATCH(C425,'Borrowers'!$C$9:$C$108,0))=0,0,MIN(1,INDEX('Borrowers'!$P$9:$P$108,MATCH(C425,'Borrowers'!$C$9:$C$108,0))*EXP(MIN(20,INDEX('Borrowers'!$V$9:$V$108,MATCH(C425,'Borrowers'!$C$9:$C$108,0))*V425))))),"Unavailable"))</x:f>
        <x:v>0.06592165430863837</x:v>
      </x:c>
      <x:c r="R425" s="30" t="n">
        <x:f>IF(C425="","",IFERROR(MIN(1,INDEX('Borrowers'!$Q$9:$Q$108,MATCH(C425,'Borrowers'!$C$9:$C$108,0))+(1-INDEX('Borrowers'!$Q$9:$Q$108,MATCH(C425,'Borrowers'!$C$9:$C$108,0)))*T425),"Unavailable"))</x:f>
        <x:v>0.3234816</x:v>
      </x:c>
      <x:c r="S425" s="30" t="n">
        <x:f>IF(C425="","",IFERROR(SUMPRODUCT((Sites!$D$9:$D$108=C425)*Sites!$I$9:$I$108*Sites!$J$9:$J$108*Sites!$K$9:$K$108*(1-Sites!$L$9:$L$108)),"Unavailable"))</x:f>
        <x:v>0.128</x:v>
      </x:c>
      <x:c r="T425" s="30" t="n">
        <x:f>IF(C425="","",IFERROR(MIN(1,(SUMPRODUCT((Sites!$D$9:$D$108=C425)*Sites!$N$9:$N$108*Sites!$J$9:$J$108*Sites!$K$9:$K$108*(1-Sites!$L$9:$L$108)))*'Scenario Paths'!J27),"Unavailable"))</x:f>
        <x:v>0.00512</x:v>
      </x:c>
      <x:c r="U425" s="9" t="str">
        <x:f>IF(C425="","",IF(OR(INDEX('Borrowers'!$AA$9:$AA$108,MATCH(C425,'Borrowers'!$C$9:$C$108,0))&lt;&gt;"Ready",COUNTIF(Sites!$D$9:$D$108,C425)=0,COUNTIFS(Sites!$D$9:$D$108,C425,Sites!$Q$9:$Q$108,"&lt;&gt;Ready")&gt;0,'Scenario Paths'!$F$6&lt;&gt;"Ready"),"Review source inputs","Ready"))</x:f>
        <x:v>Ready</x:v>
      </x:c>
      <x:c r="V425" s="17" t="n">
        <x:f>IF(C425="","",IFERROR(MAX(-1,(G425-O425)/MAX(0.000001,G425)),"Unavailable"))</x:f>
        <x:v>0.37809252658227865</x:v>
      </x:c>
      <x:c r="W425" s="9" t="str">
        <x:f>IF(C425="","",IFERROR(INDEX('Borrowers'!$D$9:$D$108,MATCH(C425,'Borrowers'!$C$9:$C$108,0)),"Unavailable"))</x:f>
        <x:v>Demo Marina Properties</x:v>
      </x:c>
    </x:row>
    <x:row r="426" ht="26" customHeight="1">
      <x:c r="A426" s="1"/>
      <x:c r="B426" s="1"/>
      <x:c r="C426" s="9" t="str">
        <x:f>IF(Borrowers!C26="","",Borrowers!C26)</x:f>
        <x:v>B018</x:v>
      </x:c>
      <x:c r="D426" s="3" t="n">
        <x:v>5</x:v>
      </x:c>
      <x:c r="E426" s="9" t="n">
        <x:f>Settings!$F$18+4</x:f>
        <x:v>2031</x:v>
      </x:c>
      <x:c r="F426" s="9" t="str">
        <x:f>IF(C426="","",INDEX('Borrowers'!$F$9:$F$108,MATCH(C426,'Borrowers'!$C$9:$C$108,0)))</x:f>
        <x:v>Hospitality</x:v>
      </x:c>
      <x:c r="G426" s="23" t="n">
        <x:f>IF(C426="","",IFERROR(INDEX('Borrowers'!$J$9:$J$108,MATCH(C426,'Borrowers'!$C$9:$C$108,0))-INDEX('Borrowers'!$K$9:$K$108,MATCH(C426,'Borrowers'!$C$9:$C$108,0)),"Unavailable"))</x:f>
        <x:v>32.95</x:v>
      </x:c>
      <x:c r="H426" s="23" t="n">
        <x:f>IF(C426="","",IFERROR(INDEX('Borrowers'!$I$9:$I$108,MATCH(C426,'Borrowers'!$C$9:$C$108,0))*INDEX('Borrowers'!$U$9:$U$108,MATCH(C426,'Borrowers'!$C$9:$C$108,0))*(IF(F426="Transport",'Scenario Paths'!J156,IF(F426="Technology",'Scenario Paths'!J150,IF(F426="Utilities",'Scenario Paths'!J144,IF(F426="Agriculture",'Scenario Paths'!J138,IF(F426="Manufacturing",'Scenario Paths'!J132,IF(F426="Healthcare",'Scenario Paths'!J126,IF(F426="Hospitality",'Scenario Paths'!J120,IF(F426="Property",'Scenario Paths'!J114,IF(F426="Food",'Scenario Paths'!J108,IF(F426="Logistics",'Scenario Paths'!J102,IF(F426="Solar",'Scenario Paths'!J96,IF(F426="Cement",'Scenario Paths'!J90,0))))))))))))),"Unavailable"))</x:f>
        <x:v>-5.907</x:v>
      </x:c>
      <x:c r="I426" s="23" t="n">
        <x:f>IF(C426="","",IFERROR(INDEX('Borrowers'!$R$9:$R$108,MATCH(C426,'Borrowers'!$C$9:$C$108,0))*(1-INDEX('Borrowers'!$W$9:$W$108,MATCH(C426,'Borrowers'!$C$9:$C$108,0))*'Scenario Paths'!J39)*'Scenario Paths'!J9/1000000*(1-INDEX('Borrowers'!$T$9:$T$108,MATCH(C426,'Borrowers'!$C$9:$C$108,0))),"Unavailable"))</x:f>
        <x:v>0.7484400000000001</x:v>
      </x:c>
      <x:c r="J426" s="23" t="n">
        <x:f>IF(C426="","",IFERROR(INDEX('Borrowers'!$I$9:$I$108,MATCH(C426,'Borrowers'!$C$9:$C$108,0))*INDEX('Borrowers'!$S$9:$S$108,MATCH(C426,'Borrowers'!$C$9:$C$108,0))*'Scenario Paths'!J15*(1-INDEX('Borrowers'!$T$9:$T$108,MATCH(C426,'Borrowers'!$C$9:$C$108,0))),"Unavailable"))</x:f>
        <x:v>1.5948900000000004</x:v>
      </x:c>
      <x:c r="K426" s="23" t="n">
        <x:f>IF(C426="","",IFERROR(INDEX('Borrowers'!$I$9:$I$108,MATCH(C426,'Borrowers'!$C$9:$C$108,0))*INDEX('Borrowers'!$U$9:$U$108,MATCH(C426,'Borrowers'!$C$9:$C$108,0))*'Scenario Paths'!J21*S426,"Unavailable"))</x:f>
        <x:v>0.414466624</x:v>
      </x:c>
      <x:c r="L426" s="23" t="n">
        <x:f>IF(C426="","",IFERROR(SUMPRODUCT((Sites!$D$9:$D$108=C426)*Sites!$H$9:$H$108*Sites!$J$9:$J$108*Sites!$K$9:$K$108*(1-Sites!$L$9:$L$108)*(1-Sites!$M$9:$M$108))*'Scenario Paths'!J27,"Unavailable"))</x:f>
        <x:v>0.5436288</x:v>
      </x:c>
      <x:c r="M426" s="23" t="n">
        <x:f>IF(C426="","",IFERROR(INDEX('Borrowers'!$J$9:$J$108,MATCH(C426,'Borrowers'!$C$9:$C$108,0))+H426-SUM(I426:L426),"Unavailable"))</x:f>
        <x:v>28.291574576</x:v>
      </x:c>
      <x:c r="N426" s="23" t="n">
        <x:f>IF(C426="","",IFERROR(INDEX('Borrowers'!$I$9:$I$108,MATCH(C426,'Borrowers'!$C$9:$C$108,0))*'Scenario Paths'!J33,"Unavailable"))</x:f>
        <x:v>4.4750000000000005</x:v>
      </x:c>
      <x:c r="O426" s="23" t="n">
        <x:f>IF(C426="","",IFERROR(M426-INDEX('Borrowers'!$K$9:$K$108,MATCH(C426,'Borrowers'!$C$9:$C$108,0))-N426,"Unavailable"))</x:f>
        <x:v>19.266574575999996</x:v>
      </x:c>
      <x:c r="P426" s="127" t="n">
        <x:f>IF(C426="","",IFERROR(O426/INDEX('Borrowers'!$L$9:$L$108,MATCH(C426,'Borrowers'!$C$9:$C$108,0)),"Unavailable"))</x:f>
        <x:v>1.9075816411881186</x:v>
      </x:c>
      <x:c r="Q426" s="30" t="n">
        <x:f>IF(C426="","",IFERROR(IF(INDEX('Borrowers'!$Z$9:$Z$108,MATCH(C426,'Borrowers'!$C$9:$C$108,0))="Yes",1,IF(INDEX('Borrowers'!$P$9:$P$108,MATCH(C426,'Borrowers'!$C$9:$C$108,0))=0,0,MIN(1,INDEX('Borrowers'!$P$9:$P$108,MATCH(C426,'Borrowers'!$C$9:$C$108,0))*EXP(MIN(20,INDEX('Borrowers'!$V$9:$V$108,MATCH(C426,'Borrowers'!$C$9:$C$108,0))*V426))))),"Unavailable"))</x:f>
        <x:v>0.08162333280975234</x:v>
      </x:c>
      <x:c r="R426" s="30" t="n">
        <x:f>IF(C426="","",IFERROR(MIN(1,INDEX('Borrowers'!$Q$9:$Q$108,MATCH(C426,'Borrowers'!$C$9:$C$108,0))+(1-INDEX('Borrowers'!$Q$9:$Q$108,MATCH(C426,'Borrowers'!$C$9:$C$108,0)))*T426),"Unavailable"))</x:f>
        <x:v>0.36585728000000006</x:v>
      </x:c>
      <x:c r="S426" s="30" t="n">
        <x:f>IF(C426="","",IFERROR(SUMPRODUCT((Sites!$D$9:$D$108=C426)*Sites!$I$9:$I$108*Sites!$J$9:$J$108*Sites!$K$9:$K$108*(1-Sites!$L$9:$L$108)),"Unavailable"))</x:f>
        <x:v>0.2288</x:v>
      </x:c>
      <x:c r="T426" s="30" t="n">
        <x:f>IF(C426="","",IFERROR(MIN(1,(SUMPRODUCT((Sites!$D$9:$D$108=C426)*Sites!$N$9:$N$108*Sites!$J$9:$J$108*Sites!$K$9:$K$108*(1-Sites!$L$9:$L$108)))*'Scenario Paths'!J27),"Unavailable"))</x:f>
        <x:v>0.009152</x:v>
      </x:c>
      <x:c r="U426" s="9" t="str">
        <x:f>IF(C426="","",IF(OR(INDEX('Borrowers'!$AA$9:$AA$108,MATCH(C426,'Borrowers'!$C$9:$C$108,0))&lt;&gt;"Ready",COUNTIF(Sites!$D$9:$D$108,C426)=0,COUNTIFS(Sites!$D$9:$D$108,C426,Sites!$Q$9:$Q$108,"&lt;&gt;Ready")&gt;0,'Scenario Paths'!$F$6&lt;&gt;"Ready"),"Review source inputs","Ready"))</x:f>
        <x:v>Ready</x:v>
      </x:c>
      <x:c r="V426" s="17" t="n">
        <x:f>IF(C426="","",IFERROR(MAX(-1,(G426-O426)/MAX(0.000001,G426)),"Unavailable"))</x:f>
        <x:v>0.4152784650682854</x:v>
      </x:c>
      <x:c r="W426" s="9" t="str">
        <x:f>IF(C426="","",IFERROR(INDEX('Borrowers'!$D$9:$D$108,MATCH(C426,'Borrowers'!$C$9:$C$108,0)),"Unavailable"))</x:f>
        <x:v>Demo Gulf Hospitality</x:v>
      </x:c>
    </x:row>
    <x:row r="427" ht="26" customHeight="1">
      <x:c r="A427" s="1"/>
      <x:c r="B427" s="1"/>
      <x:c r="C427" s="9" t="str">
        <x:f>IF(Borrowers!C27="","",Borrowers!C27)</x:f>
        <x:v>B019</x:v>
      </x:c>
      <x:c r="D427" s="3" t="n">
        <x:v>5</x:v>
      </x:c>
      <x:c r="E427" s="9" t="n">
        <x:f>Settings!$F$18+4</x:f>
        <x:v>2031</x:v>
      </x:c>
      <x:c r="F427" s="9" t="str">
        <x:f>IF(C427="","",INDEX('Borrowers'!$F$9:$F$108,MATCH(C427,'Borrowers'!$C$9:$C$108,0)))</x:f>
        <x:v>Manufacturing</x:v>
      </x:c>
      <x:c r="G427" s="23" t="n">
        <x:f>IF(C427="","",IFERROR(INDEX('Borrowers'!$J$9:$J$108,MATCH(C427,'Borrowers'!$C$9:$C$108,0))-INDEX('Borrowers'!$K$9:$K$108,MATCH(C427,'Borrowers'!$C$9:$C$108,0)),"Unavailable"))</x:f>
        <x:v>34.3</x:v>
      </x:c>
      <x:c r="H427" s="23" t="n">
        <x:f>IF(C427="","",IFERROR(INDEX('Borrowers'!$I$9:$I$108,MATCH(C427,'Borrowers'!$C$9:$C$108,0))*INDEX('Borrowers'!$U$9:$U$108,MATCH(C427,'Borrowers'!$C$9:$C$108,0))*(IF(F427="Transport",'Scenario Paths'!J156,IF(F427="Technology",'Scenario Paths'!J150,IF(F427="Utilities",'Scenario Paths'!J144,IF(F427="Agriculture",'Scenario Paths'!J138,IF(F427="Manufacturing",'Scenario Paths'!J132,IF(F427="Healthcare",'Scenario Paths'!J126,IF(F427="Hospitality",'Scenario Paths'!J120,IF(F427="Property",'Scenario Paths'!J114,IF(F427="Food",'Scenario Paths'!J108,IF(F427="Logistics",'Scenario Paths'!J102,IF(F427="Solar",'Scenario Paths'!J96,IF(F427="Cement",'Scenario Paths'!J90,0))))))))))))),"Unavailable"))</x:f>
        <x:v>-4.464</x:v>
      </x:c>
      <x:c r="I427" s="23" t="n">
        <x:f>IF(C427="","",IFERROR(INDEX('Borrowers'!$R$9:$R$108,MATCH(C427,'Borrowers'!$C$9:$C$108,0))*(1-INDEX('Borrowers'!$W$9:$W$108,MATCH(C427,'Borrowers'!$C$9:$C$108,0))*'Scenario Paths'!J39)*'Scenario Paths'!J9/1000000*(1-INDEX('Borrowers'!$T$9:$T$108,MATCH(C427,'Borrowers'!$C$9:$C$108,0))),"Unavailable"))</x:f>
        <x:v>0.6350399999999999</x:v>
      </x:c>
      <x:c r="J427" s="23" t="n">
        <x:f>IF(C427="","",IFERROR(INDEX('Borrowers'!$I$9:$I$108,MATCH(C427,'Borrowers'!$C$9:$C$108,0))*INDEX('Borrowers'!$S$9:$S$108,MATCH(C427,'Borrowers'!$C$9:$C$108,0))*'Scenario Paths'!J15*(1-INDEX('Borrowers'!$T$9:$T$108,MATCH(C427,'Borrowers'!$C$9:$C$108,0))),"Unavailable"))</x:f>
        <x:v>1.6572600000000002</x:v>
      </x:c>
      <x:c r="K427" s="23" t="n">
        <x:f>IF(C427="","",IFERROR(INDEX('Borrowers'!$I$9:$I$108,MATCH(C427,'Borrowers'!$C$9:$C$108,0))*INDEX('Borrowers'!$U$9:$U$108,MATCH(C427,'Borrowers'!$C$9:$C$108,0))*'Scenario Paths'!J21*S427,"Unavailable"))</x:f>
        <x:v>0.214652928</x:v>
      </x:c>
      <x:c r="L427" s="23" t="n">
        <x:f>IF(C427="","",IFERROR(SUMPRODUCT((Sites!$D$9:$D$108=C427)*Sites!$H$9:$H$108*Sites!$J$9:$J$108*Sites!$K$9:$K$108*(1-Sites!$L$9:$L$108)*(1-Sites!$M$9:$M$108))*'Scenario Paths'!J27,"Unavailable"))</x:f>
        <x:v>0.38635520000000007</x:v>
      </x:c>
      <x:c r="M427" s="23" t="n">
        <x:f>IF(C427="","",IFERROR(INDEX('Borrowers'!$J$9:$J$108,MATCH(C427,'Borrowers'!$C$9:$C$108,0))+H427-SUM(I427:L427),"Unavailable"))</x:f>
        <x:v>31.642691872</x:v>
      </x:c>
      <x:c r="N427" s="23" t="n">
        <x:f>IF(C427="","",IFERROR(INDEX('Borrowers'!$I$9:$I$108,MATCH(C427,'Borrowers'!$C$9:$C$108,0))*'Scenario Paths'!J33,"Unavailable"))</x:f>
        <x:v>4.65</x:v>
      </x:c>
      <x:c r="O427" s="23" t="n">
        <x:f>IF(C427="","",IFERROR(M427-INDEX('Borrowers'!$K$9:$K$108,MATCH(C427,'Borrowers'!$C$9:$C$108,0))-N427,"Unavailable"))</x:f>
        <x:v>22.292691872</x:v>
      </x:c>
      <x:c r="P427" s="127" t="n">
        <x:f>IF(C427="","",IFERROR(O427/INDEX('Borrowers'!$L$9:$L$108,MATCH(C427,'Borrowers'!$C$9:$C$108,0)),"Unavailable"))</x:f>
        <x:v>2.143528064615385</x:v>
      </x:c>
      <x:c r="Q427" s="30" t="n">
        <x:f>IF(C427="","",IFERROR(IF(INDEX('Borrowers'!$Z$9:$Z$108,MATCH(C427,'Borrowers'!$C$9:$C$108,0))="Yes",1,IF(INDEX('Borrowers'!$P$9:$P$108,MATCH(C427,'Borrowers'!$C$9:$C$108,0))=0,0,MIN(1,INDEX('Borrowers'!$P$9:$P$108,MATCH(C427,'Borrowers'!$C$9:$C$108,0))*EXP(MIN(20,INDEX('Borrowers'!$V$9:$V$108,MATCH(C427,'Borrowers'!$C$9:$C$108,0))*V427))))),"Unavailable"))</x:f>
        <x:v>0.021010332017550332</x:v>
      </x:c>
      <x:c r="R427" s="30" t="n">
        <x:f>IF(C427="","",IFERROR(MIN(1,INDEX('Borrowers'!$Q$9:$Q$108,MATCH(C427,'Borrowers'!$C$9:$C$108,0))+(1-INDEX('Borrowers'!$Q$9:$Q$108,MATCH(C427,'Borrowers'!$C$9:$C$108,0)))*T427),"Unavailable"))</x:f>
        <x:v>0.40376320000000004</x:v>
      </x:c>
      <x:c r="S427" s="30" t="n">
        <x:f>IF(C427="","",IFERROR(SUMPRODUCT((Sites!$D$9:$D$108=C427)*Sites!$I$9:$I$108*Sites!$J$9:$J$108*Sites!$K$9:$K$108*(1-Sites!$L$9:$L$108)),"Unavailable"))</x:f>
        <x:v>0.1568</x:v>
      </x:c>
      <x:c r="T427" s="30" t="n">
        <x:f>IF(C427="","",IFERROR(MIN(1,(SUMPRODUCT((Sites!$D$9:$D$108=C427)*Sites!$N$9:$N$108*Sites!$J$9:$J$108*Sites!$K$9:$K$108*(1-Sites!$L$9:$L$108)))*'Scenario Paths'!J27),"Unavailable"))</x:f>
        <x:v>0.006272</x:v>
      </x:c>
      <x:c r="U427" s="9" t="str">
        <x:f>IF(C427="","",IF(OR(INDEX('Borrowers'!$AA$9:$AA$108,MATCH(C427,'Borrowers'!$C$9:$C$108,0))&lt;&gt;"Ready",COUNTIF(Sites!$D$9:$D$108,C427)=0,COUNTIFS(Sites!$D$9:$D$108,C427,Sites!$Q$9:$Q$108,"&lt;&gt;Ready")&gt;0,'Scenario Paths'!$F$6&lt;&gt;"Ready"),"Review source inputs","Ready"))</x:f>
        <x:v>Ready</x:v>
      </x:c>
      <x:c r="V427" s="17" t="n">
        <x:f>IF(C427="","",IFERROR(MAX(-1,(G427-O427)/MAX(0.000001,G427)),"Unavailable"))</x:f>
        <x:v>0.350067292361516</x:v>
      </x:c>
      <x:c r="W427" s="9" t="str">
        <x:f>IF(C427="","",IFERROR(INDEX('Borrowers'!$D$9:$D$108,MATCH(C427,'Borrowers'!$C$9:$C$108,0)),"Unavailable"))</x:f>
        <x:v>Demo Nile Textiles</x:v>
      </x:c>
    </x:row>
    <x:row r="428" ht="26" customHeight="1">
      <x:c r="A428" s="1"/>
      <x:c r="B428" s="1"/>
      <x:c r="C428" s="9" t="str">
        <x:f>IF(Borrowers!C28="","",Borrowers!C28)</x:f>
        <x:v>B020</x:v>
      </x:c>
      <x:c r="D428" s="3" t="n">
        <x:v>5</x:v>
      </x:c>
      <x:c r="E428" s="9" t="n">
        <x:f>Settings!$F$18+4</x:f>
        <x:v>2031</x:v>
      </x:c>
      <x:c r="F428" s="9" t="str">
        <x:f>IF(C428="","",INDEX('Borrowers'!$F$9:$F$108,MATCH(C428,'Borrowers'!$C$9:$C$108,0)))</x:f>
        <x:v>Agriculture</x:v>
      </x:c>
      <x:c r="G428" s="23" t="n">
        <x:f>IF(C428="","",IFERROR(INDEX('Borrowers'!$J$9:$J$108,MATCH(C428,'Borrowers'!$C$9:$C$108,0))-INDEX('Borrowers'!$K$9:$K$108,MATCH(C428,'Borrowers'!$C$9:$C$108,0)),"Unavailable"))</x:f>
        <x:v>35.65</x:v>
      </x:c>
      <x:c r="H428" s="23" t="n">
        <x:f>IF(C428="","",IFERROR(INDEX('Borrowers'!$I$9:$I$108,MATCH(C428,'Borrowers'!$C$9:$C$108,0))*INDEX('Borrowers'!$U$9:$U$108,MATCH(C428,'Borrowers'!$C$9:$C$108,0))*(IF(F428="Transport",'Scenario Paths'!J156,IF(F428="Technology",'Scenario Paths'!J150,IF(F428="Utilities",'Scenario Paths'!J144,IF(F428="Agriculture",'Scenario Paths'!J138,IF(F428="Manufacturing",'Scenario Paths'!J132,IF(F428="Healthcare",'Scenario Paths'!J126,IF(F428="Hospitality",'Scenario Paths'!J120,IF(F428="Property",'Scenario Paths'!J114,IF(F428="Food",'Scenario Paths'!J108,IF(F428="Logistics",'Scenario Paths'!J102,IF(F428="Solar",'Scenario Paths'!J96,IF(F428="Cement",'Scenario Paths'!J90,0))))))))))))),"Unavailable"))</x:f>
        <x:v>-5.5005</x:v>
      </x:c>
      <x:c r="I428" s="23" t="n">
        <x:f>IF(C428="","",IFERROR(INDEX('Borrowers'!$R$9:$R$108,MATCH(C428,'Borrowers'!$C$9:$C$108,0))*(1-INDEX('Borrowers'!$W$9:$W$108,MATCH(C428,'Borrowers'!$C$9:$C$108,0))*'Scenario Paths'!J39)*'Scenario Paths'!J9/1000000*(1-INDEX('Borrowers'!$T$9:$T$108,MATCH(C428,'Borrowers'!$C$9:$C$108,0))),"Unavailable"))</x:f>
        <x:v>0.51156</x:v>
      </x:c>
      <x:c r="J428" s="23" t="n">
        <x:f>IF(C428="","",IFERROR(INDEX('Borrowers'!$I$9:$I$108,MATCH(C428,'Borrowers'!$C$9:$C$108,0))*INDEX('Borrowers'!$S$9:$S$108,MATCH(C428,'Borrowers'!$C$9:$C$108,0))*'Scenario Paths'!J15*(1-INDEX('Borrowers'!$T$9:$T$108,MATCH(C428,'Borrowers'!$C$9:$C$108,0))),"Unavailable"))</x:f>
        <x:v>1.5806699999999998</x:v>
      </x:c>
      <x:c r="K428" s="23" t="n">
        <x:f>IF(C428="","",IFERROR(INDEX('Borrowers'!$I$9:$I$108,MATCH(C428,'Borrowers'!$C$9:$C$108,0))*INDEX('Borrowers'!$U$9:$U$108,MATCH(C428,'Borrowers'!$C$9:$C$108,0))*'Scenario Paths'!J21*S428,"Unavailable"))</x:f>
        <x:v>0.45881504</x:v>
      </x:c>
      <x:c r="L428" s="23" t="n">
        <x:f>IF(C428="","",IFERROR(SUMPRODUCT((Sites!$D$9:$D$108=C428)*Sites!$H$9:$H$108*Sites!$J$9:$J$108*Sites!$K$9:$K$108*(1-Sites!$L$9:$L$108)*(1-Sites!$M$9:$M$108))*'Scenario Paths'!J27,"Unavailable"))</x:f>
        <x:v>0.694144</x:v>
      </x:c>
      <x:c r="M428" s="23" t="n">
        <x:f>IF(C428="","",IFERROR(INDEX('Borrowers'!$J$9:$J$108,MATCH(C428,'Borrowers'!$C$9:$C$108,0))+H428-SUM(I428:L428),"Unavailable"))</x:f>
        <x:v>31.754310959999998</x:v>
      </x:c>
      <x:c r="N428" s="23" t="n">
        <x:f>IF(C428="","",IFERROR(INDEX('Borrowers'!$I$9:$I$108,MATCH(C428,'Borrowers'!$C$9:$C$108,0))*'Scenario Paths'!J33,"Unavailable"))</x:f>
        <x:v>4.825</x:v>
      </x:c>
      <x:c r="O428" s="23" t="n">
        <x:f>IF(C428="","",IFERROR(M428-INDEX('Borrowers'!$K$9:$K$108,MATCH(C428,'Borrowers'!$C$9:$C$108,0))-N428,"Unavailable"))</x:f>
        <x:v>22.079310959999997</x:v>
      </x:c>
      <x:c r="P428" s="127" t="n">
        <x:f>IF(C428="","",IFERROR(O428/INDEX('Borrowers'!$L$9:$L$108,MATCH(C428,'Borrowers'!$C$9:$C$108,0)),"Unavailable"))</x:f>
        <x:v>2.0634870056074766</x:v>
      </x:c>
      <x:c r="Q428" s="30" t="n">
        <x:f>IF(C428="","",IFERROR(IF(INDEX('Borrowers'!$Z$9:$Z$108,MATCH(C428,'Borrowers'!$C$9:$C$108,0))="Yes",1,IF(INDEX('Borrowers'!$P$9:$P$108,MATCH(C428,'Borrowers'!$C$9:$C$108,0))=0,0,MIN(1,INDEX('Borrowers'!$P$9:$P$108,MATCH(C428,'Borrowers'!$C$9:$C$108,0))*EXP(MIN(20,INDEX('Borrowers'!$V$9:$V$108,MATCH(C428,'Borrowers'!$C$9:$C$108,0))*V428))))),"Unavailable"))</x:f>
        <x:v>0.03309674504759841</x:v>
      </x:c>
      <x:c r="R428" s="30" t="n">
        <x:f>IF(C428="","",IFERROR(MIN(1,INDEX('Borrowers'!$Q$9:$Q$108,MATCH(C428,'Borrowers'!$C$9:$C$108,0))+(1-INDEX('Borrowers'!$Q$9:$Q$108,MATCH(C428,'Borrowers'!$C$9:$C$108,0)))*T428),"Unavailable"))</x:f>
        <x:v>0.44609280000000007</x:v>
      </x:c>
      <x:c r="S428" s="30" t="n">
        <x:f>IF(C428="","",IFERROR(SUMPRODUCT((Sites!$D$9:$D$108=C428)*Sites!$I$9:$I$108*Sites!$J$9:$J$108*Sites!$K$9:$K$108*(1-Sites!$L$9:$L$108)),"Unavailable"))</x:f>
        <x:v>0.272</x:v>
      </x:c>
      <x:c r="T428" s="30" t="n">
        <x:f>IF(C428="","",IFERROR(MIN(1,(SUMPRODUCT((Sites!$D$9:$D$108=C428)*Sites!$N$9:$N$108*Sites!$J$9:$J$108*Sites!$K$9:$K$108*(1-Sites!$L$9:$L$108)))*'Scenario Paths'!J27),"Unavailable"))</x:f>
        <x:v>0.01088</x:v>
      </x:c>
      <x:c r="U428" s="9" t="str">
        <x:f>IF(C428="","",IF(OR(INDEX('Borrowers'!$AA$9:$AA$108,MATCH(C428,'Borrowers'!$C$9:$C$108,0))&lt;&gt;"Ready",COUNTIF(Sites!$D$9:$D$108,C428)=0,COUNTIFS(Sites!$D$9:$D$108,C428,Sites!$Q$9:$Q$108,"&lt;&gt;Ready")&gt;0,'Scenario Paths'!$F$6&lt;&gt;"Ready"),"Review source inputs","Ready"))</x:f>
        <x:v>Ready</x:v>
      </x:c>
      <x:c r="V428" s="17" t="n">
        <x:f>IF(C428="","",IFERROR(MAX(-1,(G428-O428)/MAX(0.000001,G428)),"Unavailable"))</x:f>
        <x:v>0.38066448920056106</x:v>
      </x:c>
      <x:c r="W428" s="9" t="str">
        <x:f>IF(C428="","",IFERROR(INDEX('Borrowers'!$D$9:$D$108,MATCH(C428,'Borrowers'!$C$9:$C$108,0)),"Unavailable"))</x:f>
        <x:v>Demo Delta Agriculture</x:v>
      </x:c>
    </x:row>
    <x:row r="429" ht="26" customHeight="1">
      <x:c r="A429" s="1"/>
      <x:c r="B429" s="1"/>
      <x:c r="C429" s="9" t="str">
        <x:f>IF(Borrowers!C29="","",Borrowers!C29)</x:f>
        <x:v>B021</x:v>
      </x:c>
      <x:c r="D429" s="3" t="n">
        <x:v>5</x:v>
      </x:c>
      <x:c r="E429" s="9" t="n">
        <x:f>Settings!$F$18+4</x:f>
        <x:v>2031</x:v>
      </x:c>
      <x:c r="F429" s="9" t="str">
        <x:f>IF(C429="","",INDEX('Borrowers'!$F$9:$F$108,MATCH(C429,'Borrowers'!$C$9:$C$108,0)))</x:f>
        <x:v>Utilities</x:v>
      </x:c>
      <x:c r="G429" s="23" t="n">
        <x:f>IF(C429="","",IFERROR(INDEX('Borrowers'!$J$9:$J$108,MATCH(C429,'Borrowers'!$C$9:$C$108,0))-INDEX('Borrowers'!$K$9:$K$108,MATCH(C429,'Borrowers'!$C$9:$C$108,0)),"Unavailable"))</x:f>
        <x:v>37</x:v>
      </x:c>
      <x:c r="H429" s="23" t="n">
        <x:f>IF(C429="","",IFERROR(INDEX('Borrowers'!$I$9:$I$108,MATCH(C429,'Borrowers'!$C$9:$C$108,0))*INDEX('Borrowers'!$U$9:$U$108,MATCH(C429,'Borrowers'!$C$9:$C$108,0))*(IF(F429="Transport",'Scenario Paths'!J156,IF(F429="Technology",'Scenario Paths'!J150,IF(F429="Utilities",'Scenario Paths'!J144,IF(F429="Agriculture",'Scenario Paths'!J138,IF(F429="Manufacturing",'Scenario Paths'!J132,IF(F429="Healthcare",'Scenario Paths'!J126,IF(F429="Hospitality",'Scenario Paths'!J120,IF(F429="Property",'Scenario Paths'!J114,IF(F429="Food",'Scenario Paths'!J108,IF(F429="Logistics",'Scenario Paths'!J102,IF(F429="Solar",'Scenario Paths'!J96,IF(F429="Cement",'Scenario Paths'!J90,0))))))))))))),"Unavailable"))</x:f>
        <x:v>-6.6</x:v>
      </x:c>
      <x:c r="I429" s="23" t="n">
        <x:f>IF(C429="","",IFERROR(INDEX('Borrowers'!$R$9:$R$108,MATCH(C429,'Borrowers'!$C$9:$C$108,0))*(1-INDEX('Borrowers'!$W$9:$W$108,MATCH(C429,'Borrowers'!$C$9:$C$108,0))*'Scenario Paths'!J39)*'Scenario Paths'!J9/1000000*(1-INDEX('Borrowers'!$T$9:$T$108,MATCH(C429,'Borrowers'!$C$9:$C$108,0))),"Unavailable"))</x:f>
        <x:v>0.9828</x:v>
      </x:c>
      <x:c r="J429" s="23" t="n">
        <x:f>IF(C429="","",IFERROR(INDEX('Borrowers'!$I$9:$I$108,MATCH(C429,'Borrowers'!$C$9:$C$108,0))*INDEX('Borrowers'!$S$9:$S$108,MATCH(C429,'Borrowers'!$C$9:$C$108,0))*'Scenario Paths'!J15*(1-INDEX('Borrowers'!$T$9:$T$108,MATCH(C429,'Borrowers'!$C$9:$C$108,0))),"Unavailable"))</x:f>
        <x:v>1.6380000000000001</x:v>
      </x:c>
      <x:c r="K429" s="23" t="n">
        <x:f>IF(C429="","",IFERROR(INDEX('Borrowers'!$I$9:$I$108,MATCH(C429,'Borrowers'!$C$9:$C$108,0))*INDEX('Borrowers'!$U$9:$U$108,MATCH(C429,'Borrowers'!$C$9:$C$108,0))*'Scenario Paths'!J21*S429,"Unavailable"))</x:f>
        <x:v>0.210496</x:v>
      </x:c>
      <x:c r="L429" s="23" t="n">
        <x:f>IF(C429="","",IFERROR(SUMPRODUCT((Sites!$D$9:$D$108=C429)*Sites!$H$9:$H$108*Sites!$J$9:$J$108*Sites!$K$9:$K$108*(1-Sites!$L$9:$L$108)*(1-Sites!$M$9:$M$108))*'Scenario Paths'!J27,"Unavailable"))</x:f>
        <x:v>0.27456</x:v>
      </x:c>
      <x:c r="M429" s="23" t="n">
        <x:f>IF(C429="","",IFERROR(INDEX('Borrowers'!$J$9:$J$108,MATCH(C429,'Borrowers'!$C$9:$C$108,0))+H429-SUM(I429:L429),"Unavailable"))</x:f>
        <x:v>32.294143999999996</x:v>
      </x:c>
      <x:c r="N429" s="23" t="n">
        <x:f>IF(C429="","",IFERROR(INDEX('Borrowers'!$I$9:$I$108,MATCH(C429,'Borrowers'!$C$9:$C$108,0))*'Scenario Paths'!J33,"Unavailable"))</x:f>
        <x:v>5</x:v>
      </x:c>
      <x:c r="O429" s="23" t="n">
        <x:f>IF(C429="","",IFERROR(M429-INDEX('Borrowers'!$K$9:$K$108,MATCH(C429,'Borrowers'!$C$9:$C$108,0))-N429,"Unavailable"))</x:f>
        <x:v>22.294143999999996</x:v>
      </x:c>
      <x:c r="P429" s="127" t="n">
        <x:f>IF(C429="","",IFERROR(O429/INDEX('Borrowers'!$L$9:$L$108,MATCH(C429,'Borrowers'!$C$9:$C$108,0)),"Unavailable"))</x:f>
        <x:v>2.0267403636363635</x:v>
      </x:c>
      <x:c r="Q429" s="30" t="n">
        <x:f>IF(C429="","",IFERROR(IF(INDEX('Borrowers'!$Z$9:$Z$108,MATCH(C429,'Borrowers'!$C$9:$C$108,0))="Yes",1,IF(INDEX('Borrowers'!$P$9:$P$108,MATCH(C429,'Borrowers'!$C$9:$C$108,0))=0,0,MIN(1,INDEX('Borrowers'!$P$9:$P$108,MATCH(C429,'Borrowers'!$C$9:$C$108,0))*EXP(MIN(20,INDEX('Borrowers'!$V$9:$V$108,MATCH(C429,'Borrowers'!$C$9:$C$108,0))*V429))))),"Unavailable"))</x:f>
        <x:v>0.045330619824141986</x:v>
      </x:c>
      <x:c r="R429" s="30" t="n">
        <x:f>IF(C429="","",IFERROR(MIN(1,INDEX('Borrowers'!$Q$9:$Q$108,MATCH(C429,'Borrowers'!$C$9:$C$108,0))+(1-INDEX('Borrowers'!$Q$9:$Q$108,MATCH(C429,'Borrowers'!$C$9:$C$108,0)))*T429),"Unavailable"))</x:f>
        <x:v>0.2829952</x:v>
      </x:c>
      <x:c r="S429" s="30" t="n">
        <x:f>IF(C429="","",IFERROR(SUMPRODUCT((Sites!$D$9:$D$108=C429)*Sites!$I$9:$I$108*Sites!$J$9:$J$108*Sites!$K$9:$K$108*(1-Sites!$L$9:$L$108)),"Unavailable"))</x:f>
        <x:v>0.104</x:v>
      </x:c>
      <x:c r="T429" s="30" t="n">
        <x:f>IF(C429="","",IFERROR(MIN(1,(SUMPRODUCT((Sites!$D$9:$D$108=C429)*Sites!$N$9:$N$108*Sites!$J$9:$J$108*Sites!$K$9:$K$108*(1-Sites!$L$9:$L$108)))*'Scenario Paths'!J27),"Unavailable"))</x:f>
        <x:v>0.00416</x:v>
      </x:c>
      <x:c r="U429" s="9" t="str">
        <x:f>IF(C429="","",IF(OR(INDEX('Borrowers'!$AA$9:$AA$108,MATCH(C429,'Borrowers'!$C$9:$C$108,0))&lt;&gt;"Ready",COUNTIF(Sites!$D$9:$D$108,C429)=0,COUNTIFS(Sites!$D$9:$D$108,C429,Sites!$Q$9:$Q$108,"&lt;&gt;Ready")&gt;0,'Scenario Paths'!$F$6&lt;&gt;"Ready"),"Review source inputs","Ready"))</x:f>
        <x:v>Ready</x:v>
      </x:c>
      <x:c r="V429" s="17" t="n">
        <x:f>IF(C429="","",IFERROR(MAX(-1,(G429-O429)/MAX(0.000001,G429)),"Unavailable"))</x:f>
        <x:v>0.39745556756756767</x:v>
      </x:c>
      <x:c r="W429" s="9" t="str">
        <x:f>IF(C429="","",IFERROR(INDEX('Borrowers'!$D$9:$D$108,MATCH(C429,'Borrowers'!$C$9:$C$108,0)),"Unavailable"))</x:f>
        <x:v>Demo Sinai Utilities</x:v>
      </x:c>
    </x:row>
    <x:row r="430" ht="26" customHeight="1">
      <x:c r="A430" s="1"/>
      <x:c r="B430" s="1"/>
      <x:c r="C430" s="9" t="str">
        <x:f>IF(Borrowers!C30="","",Borrowers!C30)</x:f>
        <x:v>B022</x:v>
      </x:c>
      <x:c r="D430" s="3" t="n">
        <x:v>5</x:v>
      </x:c>
      <x:c r="E430" s="9" t="n">
        <x:f>Settings!$F$18+4</x:f>
        <x:v>2031</x:v>
      </x:c>
      <x:c r="F430" s="9" t="str">
        <x:f>IF(C430="","",INDEX('Borrowers'!$F$9:$F$108,MATCH(C430,'Borrowers'!$C$9:$C$108,0)))</x:f>
        <x:v>Manufacturing</x:v>
      </x:c>
      <x:c r="G430" s="23" t="n">
        <x:f>IF(C430="","",IFERROR(INDEX('Borrowers'!$J$9:$J$108,MATCH(C430,'Borrowers'!$C$9:$C$108,0))-INDEX('Borrowers'!$K$9:$K$108,MATCH(C430,'Borrowers'!$C$9:$C$108,0)),"Unavailable"))</x:f>
        <x:v>38.35</x:v>
      </x:c>
      <x:c r="H430" s="23" t="n">
        <x:f>IF(C430="","",IFERROR(INDEX('Borrowers'!$I$9:$I$108,MATCH(C430,'Borrowers'!$C$9:$C$108,0))*INDEX('Borrowers'!$U$9:$U$108,MATCH(C430,'Borrowers'!$C$9:$C$108,0))*(IF(F430="Transport",'Scenario Paths'!J156,IF(F430="Technology",'Scenario Paths'!J150,IF(F430="Utilities",'Scenario Paths'!J144,IF(F430="Agriculture",'Scenario Paths'!J138,IF(F430="Manufacturing",'Scenario Paths'!J132,IF(F430="Healthcare",'Scenario Paths'!J126,IF(F430="Hospitality",'Scenario Paths'!J120,IF(F430="Property",'Scenario Paths'!J114,IF(F430="Food",'Scenario Paths'!J108,IF(F430="Logistics",'Scenario Paths'!J102,IF(F430="Solar",'Scenario Paths'!J96,IF(F430="Cement",'Scenario Paths'!J90,0))))))))))))),"Unavailable"))</x:f>
        <x:v>-4.967999999999999</x:v>
      </x:c>
      <x:c r="I430" s="23" t="n">
        <x:f>IF(C430="","",IFERROR(INDEX('Borrowers'!$R$9:$R$108,MATCH(C430,'Borrowers'!$C$9:$C$108,0))*(1-INDEX('Borrowers'!$W$9:$W$108,MATCH(C430,'Borrowers'!$C$9:$C$108,0))*'Scenario Paths'!J39)*'Scenario Paths'!J9/1000000*(1-INDEX('Borrowers'!$T$9:$T$108,MATCH(C430,'Borrowers'!$C$9:$C$108,0))),"Unavailable"))</x:f>
        <x:v>0.8593200000000001</x:v>
      </x:c>
      <x:c r="J430" s="23" t="n">
        <x:f>IF(C430="","",IFERROR(INDEX('Borrowers'!$I$9:$I$108,MATCH(C430,'Borrowers'!$C$9:$C$108,0))*INDEX('Borrowers'!$S$9:$S$108,MATCH(C430,'Borrowers'!$C$9:$C$108,0))*'Scenario Paths'!J15*(1-INDEX('Borrowers'!$T$9:$T$108,MATCH(C430,'Borrowers'!$C$9:$C$108,0))),"Unavailable"))</x:f>
        <x:v>1.8443700000000003</x:v>
      </x:c>
      <x:c r="K430" s="23" t="n">
        <x:f>IF(C430="","",IFERROR(INDEX('Borrowers'!$I$9:$I$108,MATCH(C430,'Borrowers'!$C$9:$C$108,0))*INDEX('Borrowers'!$U$9:$U$108,MATCH(C430,'Borrowers'!$C$9:$C$108,0))*'Scenario Paths'!J21*S430,"Unavailable"))</x:f>
        <x:v>0.136507392</x:v>
      </x:c>
      <x:c r="L430" s="23" t="n">
        <x:f>IF(C430="","",IFERROR(SUMPRODUCT((Sites!$D$9:$D$108=C430)*Sites!$H$9:$H$108*Sites!$J$9:$J$108*Sites!$K$9:$K$108*(1-Sites!$L$9:$L$108)*(1-Sites!$M$9:$M$108))*'Scenario Paths'!J27,"Unavailable"))</x:f>
        <x:v>0.24442880000000003</x:v>
      </x:c>
      <x:c r="M430" s="23" t="n">
        <x:f>IF(C430="","",IFERROR(INDEX('Borrowers'!$J$9:$J$108,MATCH(C430,'Borrowers'!$C$9:$C$108,0))+H430-SUM(I430:L430),"Unavailable"))</x:f>
        <x:v>35.447373808</x:v>
      </x:c>
      <x:c r="N430" s="23" t="n">
        <x:f>IF(C430="","",IFERROR(INDEX('Borrowers'!$I$9:$I$108,MATCH(C430,'Borrowers'!$C$9:$C$108,0))*'Scenario Paths'!J33,"Unavailable"))</x:f>
        <x:v>5.175000000000001</x:v>
      </x:c>
      <x:c r="O430" s="23" t="n">
        <x:f>IF(C430="","",IFERROR(M430-INDEX('Borrowers'!$K$9:$K$108,MATCH(C430,'Borrowers'!$C$9:$C$108,0))-N430,"Unavailable"))</x:f>
        <x:v>25.122373808000003</x:v>
      </x:c>
      <x:c r="P430" s="127" t="n">
        <x:f>IF(C430="","",IFERROR(O430/INDEX('Borrowers'!$L$9:$L$108,MATCH(C430,'Borrowers'!$C$9:$C$108,0)),"Unavailable"))</x:f>
        <x:v>2.223218921061947</x:v>
      </x:c>
      <x:c r="Q430" s="30" t="n">
        <x:f>IF(C430="","",IFERROR(IF(INDEX('Borrowers'!$Z$9:$Z$108,MATCH(C430,'Borrowers'!$C$9:$C$108,0))="Yes",1,IF(INDEX('Borrowers'!$P$9:$P$108,MATCH(C430,'Borrowers'!$C$9:$C$108,0))=0,0,MIN(1,INDEX('Borrowers'!$P$9:$P$108,MATCH(C430,'Borrowers'!$C$9:$C$108,0))*EXP(MIN(20,INDEX('Borrowers'!$V$9:$V$108,MATCH(C430,'Borrowers'!$C$9:$C$108,0))*V430))))),"Unavailable"))</x:f>
        <x:v>0.05209489989606069</x:v>
      </x:c>
      <x:c r="R430" s="30" t="n">
        <x:f>IF(C430="","",IFERROR(MIN(1,INDEX('Borrowers'!$Q$9:$Q$108,MATCH(C430,'Borrowers'!$C$9:$C$108,0))+(1-INDEX('Borrowers'!$Q$9:$Q$108,MATCH(C430,'Borrowers'!$C$9:$C$108,0)))*T430),"Unavailable"))</x:f>
        <x:v>0.32243712</x:v>
      </x:c>
      <x:c r="S430" s="30" t="n">
        <x:f>IF(C430="","",IFERROR(SUMPRODUCT((Sites!$D$9:$D$108=C430)*Sites!$I$9:$I$108*Sites!$J$9:$J$108*Sites!$K$9:$K$108*(1-Sites!$L$9:$L$108)),"Unavailable"))</x:f>
        <x:v>0.08960000000000001</x:v>
      </x:c>
      <x:c r="T430" s="30" t="n">
        <x:f>IF(C430="","",IFERROR(MIN(1,(SUMPRODUCT((Sites!$D$9:$D$108=C430)*Sites!$N$9:$N$108*Sites!$J$9:$J$108*Sites!$K$9:$K$108*(1-Sites!$L$9:$L$108)))*'Scenario Paths'!J27),"Unavailable"))</x:f>
        <x:v>0.0035840000000000004</x:v>
      </x:c>
      <x:c r="U430" s="9" t="str">
        <x:f>IF(C430="","",IF(OR(INDEX('Borrowers'!$AA$9:$AA$108,MATCH(C430,'Borrowers'!$C$9:$C$108,0))&lt;&gt;"Ready",COUNTIF(Sites!$D$9:$D$108,C430)=0,COUNTIFS(Sites!$D$9:$D$108,C430,Sites!$Q$9:$Q$108,"&lt;&gt;Ready")&gt;0,'Scenario Paths'!$F$6&lt;&gt;"Ready"),"Review source inputs","Ready"))</x:f>
        <x:v>Ready</x:v>
      </x:c>
      <x:c r="V430" s="17" t="n">
        <x:f>IF(C430="","",IFERROR(MAX(-1,(G430-O430)/MAX(0.000001,G430)),"Unavailable"))</x:f>
        <x:v>0.3449185447718383</x:v>
      </x:c>
      <x:c r="W430" s="9" t="str">
        <x:f>IF(C430="","",IFERROR(INDEX('Borrowers'!$D$9:$D$108,MATCH(C430,'Borrowers'!$C$9:$C$108,0)),"Unavailable"))</x:f>
        <x:v>Demo Petra Manufacturing</x:v>
      </x:c>
    </x:row>
    <x:row r="431" ht="26" customHeight="1">
      <x:c r="A431" s="1"/>
      <x:c r="B431" s="1"/>
      <x:c r="C431" s="9" t="str">
        <x:f>IF(Borrowers!C31="","",Borrowers!C31)</x:f>
        <x:v>B023</x:v>
      </x:c>
      <x:c r="D431" s="3" t="n">
        <x:v>5</x:v>
      </x:c>
      <x:c r="E431" s="9" t="n">
        <x:f>Settings!$F$18+4</x:f>
        <x:v>2031</x:v>
      </x:c>
      <x:c r="F431" s="9" t="str">
        <x:f>IF(C431="","",INDEX('Borrowers'!$F$9:$F$108,MATCH(C431,'Borrowers'!$C$9:$C$108,0)))</x:f>
        <x:v>Technology</x:v>
      </x:c>
      <x:c r="G431" s="23" t="n">
        <x:f>IF(C431="","",IFERROR(INDEX('Borrowers'!$J$9:$J$108,MATCH(C431,'Borrowers'!$C$9:$C$108,0))-INDEX('Borrowers'!$K$9:$K$108,MATCH(C431,'Borrowers'!$C$9:$C$108,0)),"Unavailable"))</x:f>
        <x:v>39.7</x:v>
      </x:c>
      <x:c r="H431" s="23" t="n">
        <x:f>IF(C431="","",IFERROR(INDEX('Borrowers'!$I$9:$I$108,MATCH(C431,'Borrowers'!$C$9:$C$108,0))*INDEX('Borrowers'!$U$9:$U$108,MATCH(C431,'Borrowers'!$C$9:$C$108,0))*(IF(F431="Transport",'Scenario Paths'!J156,IF(F431="Technology",'Scenario Paths'!J150,IF(F431="Utilities",'Scenario Paths'!J144,IF(F431="Agriculture",'Scenario Paths'!J138,IF(F431="Manufacturing",'Scenario Paths'!J132,IF(F431="Healthcare",'Scenario Paths'!J126,IF(F431="Hospitality",'Scenario Paths'!J120,IF(F431="Property",'Scenario Paths'!J114,IF(F431="Food",'Scenario Paths'!J108,IF(F431="Logistics",'Scenario Paths'!J102,IF(F431="Solar",'Scenario Paths'!J96,IF(F431="Cement",'Scenario Paths'!J90,0))))))))))))),"Unavailable"))</x:f>
        <x:v>-6.099</x:v>
      </x:c>
      <x:c r="I431" s="23" t="n">
        <x:f>IF(C431="","",IFERROR(INDEX('Borrowers'!$R$9:$R$108,MATCH(C431,'Borrowers'!$C$9:$C$108,0))*(1-INDEX('Borrowers'!$W$9:$W$108,MATCH(C431,'Borrowers'!$C$9:$C$108,0))*'Scenario Paths'!J39)*'Scenario Paths'!J9/1000000*(1-INDEX('Borrowers'!$T$9:$T$108,MATCH(C431,'Borrowers'!$C$9:$C$108,0))),"Unavailable"))</x:f>
        <x:v>0.72576</x:v>
      </x:c>
      <x:c r="J431" s="23" t="n">
        <x:f>IF(C431="","",IFERROR(INDEX('Borrowers'!$I$9:$I$108,MATCH(C431,'Borrowers'!$C$9:$C$108,0))*INDEX('Borrowers'!$S$9:$S$108,MATCH(C431,'Borrowers'!$C$9:$C$108,0))*'Scenario Paths'!J15*(1-INDEX('Borrowers'!$T$9:$T$108,MATCH(C431,'Borrowers'!$C$9:$C$108,0))),"Unavailable"))</x:f>
        <x:v>1.90674</x:v>
      </x:c>
      <x:c r="K431" s="23" t="n">
        <x:f>IF(C431="","",IFERROR(INDEX('Borrowers'!$I$9:$I$108,MATCH(C431,'Borrowers'!$C$9:$C$108,0))*INDEX('Borrowers'!$U$9:$U$108,MATCH(C431,'Borrowers'!$C$9:$C$108,0))*'Scenario Paths'!J21*S431,"Unavailable"))</x:f>
        <x:v>0.3291833600000001</x:v>
      </x:c>
      <x:c r="L431" s="23" t="n">
        <x:f>IF(C431="","",IFERROR(SUMPRODUCT((Sites!$D$9:$D$108=C431)*Sites!$H$9:$H$108*Sites!$J$9:$J$108*Sites!$K$9:$K$108*(1-Sites!$L$9:$L$108)*(1-Sites!$M$9:$M$108))*'Scenario Paths'!J27,"Unavailable"))</x:f>
        <x:v>0.49561600000000006</x:v>
      </x:c>
      <x:c r="M431" s="23" t="n">
        <x:f>IF(C431="","",IFERROR(INDEX('Borrowers'!$J$9:$J$108,MATCH(C431,'Borrowers'!$C$9:$C$108,0))+H431-SUM(I431:L431),"Unavailable"))</x:f>
        <x:v>35.443700639999996</x:v>
      </x:c>
      <x:c r="N431" s="23" t="n">
        <x:f>IF(C431="","",IFERROR(INDEX('Borrowers'!$I$9:$I$108,MATCH(C431,'Borrowers'!$C$9:$C$108,0))*'Scenario Paths'!J33,"Unavailable"))</x:f>
        <x:v>5.3500000000000005</x:v>
      </x:c>
      <x:c r="O431" s="23" t="n">
        <x:f>IF(C431="","",IFERROR(M431-INDEX('Borrowers'!$K$9:$K$108,MATCH(C431,'Borrowers'!$C$9:$C$108,0))-N431,"Unavailable"))</x:f>
        <x:v>24.793700639999994</x:v>
      </x:c>
      <x:c r="P431" s="127" t="n">
        <x:f>IF(C431="","",IFERROR(O431/INDEX('Borrowers'!$L$9:$L$108,MATCH(C431,'Borrowers'!$C$9:$C$108,0)),"Unavailable"))</x:f>
        <x:v>2.137387986206896</x:v>
      </x:c>
      <x:c r="Q431" s="30" t="n">
        <x:f>IF(C431="","",IFERROR(IF(INDEX('Borrowers'!$Z$9:$Z$108,MATCH(C431,'Borrowers'!$C$9:$C$108,0))="Yes",1,IF(INDEX('Borrowers'!$P$9:$P$108,MATCH(C431,'Borrowers'!$C$9:$C$108,0))=0,0,MIN(1,INDEX('Borrowers'!$P$9:$P$108,MATCH(C431,'Borrowers'!$C$9:$C$108,0))*EXP(MIN(20,INDEX('Borrowers'!$V$9:$V$108,MATCH(C431,'Borrowers'!$C$9:$C$108,0))*V431))))),"Unavailable"))</x:f>
        <x:v>1</x:v>
      </x:c>
      <x:c r="R431" s="30" t="n">
        <x:f>IF(C431="","",IFERROR(MIN(1,INDEX('Borrowers'!$Q$9:$Q$108,MATCH(C431,'Borrowers'!$C$9:$C$108,0))+(1-INDEX('Borrowers'!$Q$9:$Q$108,MATCH(C431,'Borrowers'!$C$9:$C$108,0)))*T431),"Unavailable"))</x:f>
        <x:v>0.36450560000000004</x:v>
      </x:c>
      <x:c r="S431" s="30" t="n">
        <x:f>IF(C431="","",IFERROR(SUMPRODUCT((Sites!$D$9:$D$108=C431)*Sites!$I$9:$I$108*Sites!$J$9:$J$108*Sites!$K$9:$K$108*(1-Sites!$L$9:$L$108)),"Unavailable"))</x:f>
        <x:v>0.17600000000000002</x:v>
      </x:c>
      <x:c r="T431" s="30" t="n">
        <x:f>IF(C431="","",IFERROR(MIN(1,(SUMPRODUCT((Sites!$D$9:$D$108=C431)*Sites!$N$9:$N$108*Sites!$J$9:$J$108*Sites!$K$9:$K$108*(1-Sites!$L$9:$L$108)))*'Scenario Paths'!J27),"Unavailable"))</x:f>
        <x:v>0.007040000000000001</x:v>
      </x:c>
      <x:c r="U431" s="9" t="str">
        <x:f>IF(C431="","",IF(OR(INDEX('Borrowers'!$AA$9:$AA$108,MATCH(C431,'Borrowers'!$C$9:$C$108,0))&lt;&gt;"Ready",COUNTIF(Sites!$D$9:$D$108,C431)=0,COUNTIFS(Sites!$D$9:$D$108,C431,Sites!$Q$9:$Q$108,"&lt;&gt;Ready")&gt;0,'Scenario Paths'!$F$6&lt;&gt;"Ready"),"Review source inputs","Ready"))</x:f>
        <x:v>Ready</x:v>
      </x:c>
      <x:c r="V431" s="17" t="n">
        <x:f>IF(C431="","",IFERROR(MAX(-1,(G431-O431)/MAX(0.000001,G431)),"Unavailable"))</x:f>
        <x:v>0.375473535516373</x:v>
      </x:c>
      <x:c r="W431" s="9" t="str">
        <x:f>IF(C431="","",IFERROR(INDEX('Borrowers'!$D$9:$D$108,MATCH(C431,'Borrowers'!$C$9:$C$108,0)),"Unavailable"))</x:f>
        <x:v>Demo Gulf Technology</x:v>
      </x:c>
    </x:row>
    <x:row r="432" ht="26" customHeight="1">
      <x:c r="A432" s="1"/>
      <x:c r="B432" s="1"/>
      <x:c r="C432" s="9" t="str">
        <x:f>IF(Borrowers!C32="","",Borrowers!C32)</x:f>
        <x:v>B024</x:v>
      </x:c>
      <x:c r="D432" s="3" t="n">
        <x:v>5</x:v>
      </x:c>
      <x:c r="E432" s="9" t="n">
        <x:f>Settings!$F$18+4</x:f>
        <x:v>2031</x:v>
      </x:c>
      <x:c r="F432" s="9" t="str">
        <x:f>IF(C432="","",INDEX('Borrowers'!$F$9:$F$108,MATCH(C432,'Borrowers'!$C$9:$C$108,0)))</x:f>
        <x:v>Transport</x:v>
      </x:c>
      <x:c r="G432" s="23" t="n">
        <x:f>IF(C432="","",IFERROR(INDEX('Borrowers'!$J$9:$J$108,MATCH(C432,'Borrowers'!$C$9:$C$108,0))-INDEX('Borrowers'!$K$9:$K$108,MATCH(C432,'Borrowers'!$C$9:$C$108,0)),"Unavailable"))</x:f>
        <x:v>41.05</x:v>
      </x:c>
      <x:c r="H432" s="23" t="n">
        <x:f>IF(C432="","",IFERROR(INDEX('Borrowers'!$I$9:$I$108,MATCH(C432,'Borrowers'!$C$9:$C$108,0))*INDEX('Borrowers'!$U$9:$U$108,MATCH(C432,'Borrowers'!$C$9:$C$108,0))*(IF(F432="Transport",'Scenario Paths'!J156,IF(F432="Technology",'Scenario Paths'!J150,IF(F432="Utilities",'Scenario Paths'!J144,IF(F432="Agriculture",'Scenario Paths'!J138,IF(F432="Manufacturing",'Scenario Paths'!J132,IF(F432="Healthcare",'Scenario Paths'!J126,IF(F432="Hospitality",'Scenario Paths'!J120,IF(F432="Property",'Scenario Paths'!J114,IF(F432="Food",'Scenario Paths'!J108,IF(F432="Logistics",'Scenario Paths'!J102,IF(F432="Solar",'Scenario Paths'!J96,IF(F432="Cement",'Scenario Paths'!J90,0))))))))))))),"Unavailable"))</x:f>
        <x:v>-7.292999999999999</x:v>
      </x:c>
      <x:c r="I432" s="23" t="n">
        <x:f>IF(C432="","",IFERROR(INDEX('Borrowers'!$R$9:$R$108,MATCH(C432,'Borrowers'!$C$9:$C$108,0))*(1-INDEX('Borrowers'!$W$9:$W$108,MATCH(C432,'Borrowers'!$C$9:$C$108,0))*'Scenario Paths'!J39)*'Scenario Paths'!J9/1000000*(1-INDEX('Borrowers'!$T$9:$T$108,MATCH(C432,'Borrowers'!$C$9:$C$108,0))),"Unavailable"))</x:f>
        <x:v>0.58212</x:v>
      </x:c>
      <x:c r="J432" s="23" t="n">
        <x:f>IF(C432="","",IFERROR(INDEX('Borrowers'!$I$9:$I$108,MATCH(C432,'Borrowers'!$C$9:$C$108,0))*INDEX('Borrowers'!$S$9:$S$108,MATCH(C432,'Borrowers'!$C$9:$C$108,0))*'Scenario Paths'!J15*(1-INDEX('Borrowers'!$T$9:$T$108,MATCH(C432,'Borrowers'!$C$9:$C$108,0))),"Unavailable"))</x:f>
        <x:v>1.80999</x:v>
      </x:c>
      <x:c r="K432" s="23" t="n">
        <x:f>IF(C432="","",IFERROR(INDEX('Borrowers'!$I$9:$I$108,MATCH(C432,'Borrowers'!$C$9:$C$108,0))*INDEX('Borrowers'!$U$9:$U$108,MATCH(C432,'Borrowers'!$C$9:$C$108,0))*'Scenario Paths'!J21*S432,"Unavailable"))</x:f>
        <x:v>0.651274624</x:v>
      </x:c>
      <x:c r="L432" s="23" t="n">
        <x:f>IF(C432="","",IFERROR(SUMPRODUCT((Sites!$D$9:$D$108=C432)*Sites!$H$9:$H$108*Sites!$J$9:$J$108*Sites!$K$9:$K$108*(1-Sites!$L$9:$L$108)*(1-Sites!$M$9:$M$108))*'Scenario Paths'!J27,"Unavailable"))</x:f>
        <x:v>0.8456448000000001</x:v>
      </x:c>
      <x:c r="M432" s="23" t="n">
        <x:f>IF(C432="","",IFERROR(INDEX('Borrowers'!$J$9:$J$108,MATCH(C432,'Borrowers'!$C$9:$C$108,0))+H432-SUM(I432:L432),"Unavailable"))</x:f>
        <x:v>35.317970576</x:v>
      </x:c>
      <x:c r="N432" s="23" t="n">
        <x:f>IF(C432="","",IFERROR(INDEX('Borrowers'!$I$9:$I$108,MATCH(C432,'Borrowers'!$C$9:$C$108,0))*'Scenario Paths'!J33,"Unavailable"))</x:f>
        <x:v>5.525</x:v>
      </x:c>
      <x:c r="O432" s="23" t="n">
        <x:f>IF(C432="","",IFERROR(M432-INDEX('Borrowers'!$K$9:$K$108,MATCH(C432,'Borrowers'!$C$9:$C$108,0))-N432,"Unavailable"))</x:f>
        <x:v>24.342970576</x:v>
      </x:c>
      <x:c r="P432" s="127" t="n">
        <x:f>IF(C432="","",IFERROR(O432/INDEX('Borrowers'!$L$9:$L$108,MATCH(C432,'Borrowers'!$C$9:$C$108,0)),"Unavailable"))</x:f>
        <x:v>2.0456277794957987</x:v>
      </x:c>
      <x:c r="Q432" s="30" t="n">
        <x:f>IF(C432="","",IFERROR(IF(INDEX('Borrowers'!$Z$9:$Z$108,MATCH(C432,'Borrowers'!$C$9:$C$108,0))="Yes",1,IF(INDEX('Borrowers'!$P$9:$P$108,MATCH(C432,'Borrowers'!$C$9:$C$108,0))=0,0,MIN(1,INDEX('Borrowers'!$P$9:$P$108,MATCH(C432,'Borrowers'!$C$9:$C$108,0))*EXP(MIN(20,INDEX('Borrowers'!$V$9:$V$108,MATCH(C432,'Borrowers'!$C$9:$C$108,0))*V432))))),"Unavailable"))</x:f>
        <x:v>0.08054830956445198</x:v>
      </x:c>
      <x:c r="R432" s="30" t="n">
        <x:f>IF(C432="","",IFERROR(MIN(1,INDEX('Borrowers'!$Q$9:$Q$108,MATCH(C432,'Borrowers'!$C$9:$C$108,0))+(1-INDEX('Borrowers'!$Q$9:$Q$108,MATCH(C432,'Borrowers'!$C$9:$C$108,0)))*T432),"Unavailable"))</x:f>
        <x:v>0.40698880000000004</x:v>
      </x:c>
      <x:c r="S432" s="30" t="n">
        <x:f>IF(C432="","",IFERROR(SUMPRODUCT((Sites!$D$9:$D$108=C432)*Sites!$I$9:$I$108*Sites!$J$9:$J$108*Sites!$K$9:$K$108*(1-Sites!$L$9:$L$108)),"Unavailable"))</x:f>
        <x:v>0.2912</x:v>
      </x:c>
      <x:c r="T432" s="30" t="n">
        <x:f>IF(C432="","",IFERROR(MIN(1,(SUMPRODUCT((Sites!$D$9:$D$108=C432)*Sites!$N$9:$N$108*Sites!$J$9:$J$108*Sites!$K$9:$K$108*(1-Sites!$L$9:$L$108)))*'Scenario Paths'!J27),"Unavailable"))</x:f>
        <x:v>0.011648</x:v>
      </x:c>
      <x:c r="U432" s="9" t="str">
        <x:f>IF(C432="","",IF(OR(INDEX('Borrowers'!$AA$9:$AA$108,MATCH(C432,'Borrowers'!$C$9:$C$108,0))&lt;&gt;"Ready",COUNTIF(Sites!$D$9:$D$108,C432)=0,COUNTIFS(Sites!$D$9:$D$108,C432,Sites!$Q$9:$Q$108,"&lt;&gt;Ready")&gt;0,'Scenario Paths'!$F$6&lt;&gt;"Ready"),"Review source inputs","Ready"))</x:f>
        <x:v>Ready</x:v>
      </x:c>
      <x:c r="V432" s="17" t="n">
        <x:f>IF(C432="","",IFERROR(MAX(-1,(G432-O432)/MAX(0.000001,G432)),"Unavailable"))</x:f>
        <x:v>0.4069921905968331</x:v>
      </x:c>
      <x:c r="W432" s="9" t="str">
        <x:f>IF(C432="","",IFERROR(INDEX('Borrowers'!$D$9:$D$108,MATCH(C432,'Borrowers'!$C$9:$C$108,0)),"Unavailable"))</x:f>
        <x:v>Demo Cairo Mobility</x:v>
      </x:c>
    </x:row>
    <x:row r="433" ht="26" customHeight="1">
      <x:c r="A433" s="1"/>
      <x:c r="B433" s="1"/>
      <x:c r="C433" s="9" t="str">
        <x:f>IF(Borrowers!C33="","",Borrowers!C33)</x:f>
      </x:c>
      <x:c r="D433" s="3" t="n">
        <x:v>5</x:v>
      </x:c>
      <x:c r="E433" s="9" t="n">
        <x:f>Settings!$F$18+4</x:f>
        <x:v>2031</x:v>
      </x:c>
      <x:c r="F433" s="9" t="str">
        <x:f>IF(C433="","",INDEX('Borrowers'!$F$9:$F$108,MATCH(C433,'Borrowers'!$C$9:$C$108,0)))</x:f>
      </x:c>
      <x:c r="G433" s="23" t="str">
        <x:f>IF(C433="","",IFERROR(INDEX('Borrowers'!$J$9:$J$108,MATCH(C433,'Borrowers'!$C$9:$C$108,0))-INDEX('Borrowers'!$K$9:$K$108,MATCH(C433,'Borrowers'!$C$9:$C$108,0)),"Unavailable"))</x:f>
      </x:c>
      <x:c r="H433" s="23" t="str">
        <x:f>IF(C433="","",IFERROR(INDEX('Borrowers'!$I$9:$I$108,MATCH(C433,'Borrowers'!$C$9:$C$108,0))*INDEX('Borrowers'!$U$9:$U$108,MATCH(C433,'Borrowers'!$C$9:$C$108,0))*(IF(F433="Transport",'Scenario Paths'!J156,IF(F433="Technology",'Scenario Paths'!J150,IF(F433="Utilities",'Scenario Paths'!J144,IF(F433="Agriculture",'Scenario Paths'!J138,IF(F433="Manufacturing",'Scenario Paths'!J132,IF(F433="Healthcare",'Scenario Paths'!J126,IF(F433="Hospitality",'Scenario Paths'!J120,IF(F433="Property",'Scenario Paths'!J114,IF(F433="Food",'Scenario Paths'!J108,IF(F433="Logistics",'Scenario Paths'!J102,IF(F433="Solar",'Scenario Paths'!J96,IF(F433="Cement",'Scenario Paths'!J90,0))))))))))))),"Unavailable"))</x:f>
      </x:c>
      <x:c r="I433" s="23" t="str">
        <x:f>IF(C433="","",IFERROR(INDEX('Borrowers'!$R$9:$R$108,MATCH(C433,'Borrowers'!$C$9:$C$108,0))*(1-INDEX('Borrowers'!$W$9:$W$108,MATCH(C433,'Borrowers'!$C$9:$C$108,0))*'Scenario Paths'!J39)*'Scenario Paths'!J9/1000000*(1-INDEX('Borrowers'!$T$9:$T$108,MATCH(C433,'Borrowers'!$C$9:$C$108,0))),"Unavailable"))</x:f>
      </x:c>
      <x:c r="J433" s="23" t="str">
        <x:f>IF(C433="","",IFERROR(INDEX('Borrowers'!$I$9:$I$108,MATCH(C433,'Borrowers'!$C$9:$C$108,0))*INDEX('Borrowers'!$S$9:$S$108,MATCH(C433,'Borrowers'!$C$9:$C$108,0))*'Scenario Paths'!J15*(1-INDEX('Borrowers'!$T$9:$T$108,MATCH(C433,'Borrowers'!$C$9:$C$108,0))),"Unavailable"))</x:f>
      </x:c>
      <x:c r="K433" s="23" t="str">
        <x:f>IF(C433="","",IFERROR(INDEX('Borrowers'!$I$9:$I$108,MATCH(C433,'Borrowers'!$C$9:$C$108,0))*INDEX('Borrowers'!$U$9:$U$108,MATCH(C433,'Borrowers'!$C$9:$C$108,0))*'Scenario Paths'!J21*S433,"Unavailable"))</x:f>
      </x:c>
      <x:c r="L433" s="23" t="str">
        <x:f>IF(C433="","",IFERROR(SUMPRODUCT((Sites!$D$9:$D$108=C433)*Sites!$H$9:$H$108*Sites!$J$9:$J$108*Sites!$K$9:$K$108*(1-Sites!$L$9:$L$108)*(1-Sites!$M$9:$M$108))*'Scenario Paths'!J27,"Unavailable"))</x:f>
      </x:c>
      <x:c r="M433" s="23" t="str">
        <x:f>IF(C433="","",IFERROR(INDEX('Borrowers'!$J$9:$J$108,MATCH(C433,'Borrowers'!$C$9:$C$108,0))+H433-SUM(I433:L433),"Unavailable"))</x:f>
      </x:c>
      <x:c r="N433" s="23" t="str">
        <x:f>IF(C433="","",IFERROR(INDEX('Borrowers'!$I$9:$I$108,MATCH(C433,'Borrowers'!$C$9:$C$108,0))*'Scenario Paths'!J33,"Unavailable"))</x:f>
      </x:c>
      <x:c r="O433" s="23" t="str">
        <x:f>IF(C433="","",IFERROR(M433-INDEX('Borrowers'!$K$9:$K$108,MATCH(C433,'Borrowers'!$C$9:$C$108,0))-N433,"Unavailable"))</x:f>
      </x:c>
      <x:c r="P433" s="127" t="str">
        <x:f>IF(C433="","",IFERROR(O433/INDEX('Borrowers'!$L$9:$L$108,MATCH(C433,'Borrowers'!$C$9:$C$108,0)),"Unavailable"))</x:f>
      </x:c>
      <x:c r="Q433" s="30" t="str">
        <x:f>IF(C433="","",IFERROR(IF(INDEX('Borrowers'!$Z$9:$Z$108,MATCH(C433,'Borrowers'!$C$9:$C$108,0))="Yes",1,IF(INDEX('Borrowers'!$P$9:$P$108,MATCH(C433,'Borrowers'!$C$9:$C$108,0))=0,0,MIN(1,INDEX('Borrowers'!$P$9:$P$108,MATCH(C433,'Borrowers'!$C$9:$C$108,0))*EXP(MIN(20,INDEX('Borrowers'!$V$9:$V$108,MATCH(C433,'Borrowers'!$C$9:$C$108,0))*V433))))),"Unavailable"))</x:f>
      </x:c>
      <x:c r="R433" s="30" t="str">
        <x:f>IF(C433="","",IFERROR(MIN(1,INDEX('Borrowers'!$Q$9:$Q$108,MATCH(C433,'Borrowers'!$C$9:$C$108,0))+(1-INDEX('Borrowers'!$Q$9:$Q$108,MATCH(C433,'Borrowers'!$C$9:$C$108,0)))*T433),"Unavailable"))</x:f>
      </x:c>
      <x:c r="S433" s="30" t="str">
        <x:f>IF(C433="","",IFERROR(SUMPRODUCT((Sites!$D$9:$D$108=C433)*Sites!$I$9:$I$108*Sites!$J$9:$J$108*Sites!$K$9:$K$108*(1-Sites!$L$9:$L$108)),"Unavailable"))</x:f>
      </x:c>
      <x:c r="T433" s="30" t="str">
        <x:f>IF(C433="","",IFERROR(MIN(1,(SUMPRODUCT((Sites!$D$9:$D$108=C433)*Sites!$N$9:$N$108*Sites!$J$9:$J$108*Sites!$K$9:$K$108*(1-Sites!$L$9:$L$108)))*'Scenario Paths'!J27),"Unavailable"))</x:f>
      </x:c>
      <x:c r="U433" s="9" t="str">
        <x:f>IF(C433="","",IF(OR(INDEX('Borrowers'!$AA$9:$AA$108,MATCH(C433,'Borrowers'!$C$9:$C$108,0))&lt;&gt;"Ready",COUNTIF(Sites!$D$9:$D$108,C433)=0,COUNTIFS(Sites!$D$9:$D$108,C433,Sites!$Q$9:$Q$108,"&lt;&gt;Ready")&gt;0,'Scenario Paths'!$F$6&lt;&gt;"Ready"),"Review source inputs","Ready"))</x:f>
      </x:c>
      <x:c r="V433" s="17" t="str">
        <x:f>IF(C433="","",IFERROR(MAX(-1,(G433-O433)/MAX(0.000001,G433)),"Unavailable"))</x:f>
      </x:c>
      <x:c r="W433" s="9" t="str">
        <x:f>IF(C433="","",IFERROR(INDEX('Borrowers'!$D$9:$D$108,MATCH(C433,'Borrowers'!$C$9:$C$108,0)),"Unavailable"))</x:f>
      </x:c>
    </x:row>
    <x:row r="434" ht="26" customHeight="1">
      <x:c r="A434" s="1"/>
      <x:c r="B434" s="1"/>
      <x:c r="C434" s="9" t="str">
        <x:f>IF(Borrowers!C34="","",Borrowers!C34)</x:f>
      </x:c>
      <x:c r="D434" s="3" t="n">
        <x:v>5</x:v>
      </x:c>
      <x:c r="E434" s="9" t="n">
        <x:f>Settings!$F$18+4</x:f>
        <x:v>2031</x:v>
      </x:c>
      <x:c r="F434" s="9" t="str">
        <x:f>IF(C434="","",INDEX('Borrowers'!$F$9:$F$108,MATCH(C434,'Borrowers'!$C$9:$C$108,0)))</x:f>
      </x:c>
      <x:c r="G434" s="23" t="str">
        <x:f>IF(C434="","",IFERROR(INDEX('Borrowers'!$J$9:$J$108,MATCH(C434,'Borrowers'!$C$9:$C$108,0))-INDEX('Borrowers'!$K$9:$K$108,MATCH(C434,'Borrowers'!$C$9:$C$108,0)),"Unavailable"))</x:f>
      </x:c>
      <x:c r="H434" s="23" t="str">
        <x:f>IF(C434="","",IFERROR(INDEX('Borrowers'!$I$9:$I$108,MATCH(C434,'Borrowers'!$C$9:$C$108,0))*INDEX('Borrowers'!$U$9:$U$108,MATCH(C434,'Borrowers'!$C$9:$C$108,0))*(IF(F434="Transport",'Scenario Paths'!J156,IF(F434="Technology",'Scenario Paths'!J150,IF(F434="Utilities",'Scenario Paths'!J144,IF(F434="Agriculture",'Scenario Paths'!J138,IF(F434="Manufacturing",'Scenario Paths'!J132,IF(F434="Healthcare",'Scenario Paths'!J126,IF(F434="Hospitality",'Scenario Paths'!J120,IF(F434="Property",'Scenario Paths'!J114,IF(F434="Food",'Scenario Paths'!J108,IF(F434="Logistics",'Scenario Paths'!J102,IF(F434="Solar",'Scenario Paths'!J96,IF(F434="Cement",'Scenario Paths'!J90,0))))))))))))),"Unavailable"))</x:f>
      </x:c>
      <x:c r="I434" s="23" t="str">
        <x:f>IF(C434="","",IFERROR(INDEX('Borrowers'!$R$9:$R$108,MATCH(C434,'Borrowers'!$C$9:$C$108,0))*(1-INDEX('Borrowers'!$W$9:$W$108,MATCH(C434,'Borrowers'!$C$9:$C$108,0))*'Scenario Paths'!J39)*'Scenario Paths'!J9/1000000*(1-INDEX('Borrowers'!$T$9:$T$108,MATCH(C434,'Borrowers'!$C$9:$C$108,0))),"Unavailable"))</x:f>
      </x:c>
      <x:c r="J434" s="23" t="str">
        <x:f>IF(C434="","",IFERROR(INDEX('Borrowers'!$I$9:$I$108,MATCH(C434,'Borrowers'!$C$9:$C$108,0))*INDEX('Borrowers'!$S$9:$S$108,MATCH(C434,'Borrowers'!$C$9:$C$108,0))*'Scenario Paths'!J15*(1-INDEX('Borrowers'!$T$9:$T$108,MATCH(C434,'Borrowers'!$C$9:$C$108,0))),"Unavailable"))</x:f>
      </x:c>
      <x:c r="K434" s="23" t="str">
        <x:f>IF(C434="","",IFERROR(INDEX('Borrowers'!$I$9:$I$108,MATCH(C434,'Borrowers'!$C$9:$C$108,0))*INDEX('Borrowers'!$U$9:$U$108,MATCH(C434,'Borrowers'!$C$9:$C$108,0))*'Scenario Paths'!J21*S434,"Unavailable"))</x:f>
      </x:c>
      <x:c r="L434" s="23" t="str">
        <x:f>IF(C434="","",IFERROR(SUMPRODUCT((Sites!$D$9:$D$108=C434)*Sites!$H$9:$H$108*Sites!$J$9:$J$108*Sites!$K$9:$K$108*(1-Sites!$L$9:$L$108)*(1-Sites!$M$9:$M$108))*'Scenario Paths'!J27,"Unavailable"))</x:f>
      </x:c>
      <x:c r="M434" s="23" t="str">
        <x:f>IF(C434="","",IFERROR(INDEX('Borrowers'!$J$9:$J$108,MATCH(C434,'Borrowers'!$C$9:$C$108,0))+H434-SUM(I434:L434),"Unavailable"))</x:f>
      </x:c>
      <x:c r="N434" s="23" t="str">
        <x:f>IF(C434="","",IFERROR(INDEX('Borrowers'!$I$9:$I$108,MATCH(C434,'Borrowers'!$C$9:$C$108,0))*'Scenario Paths'!J33,"Unavailable"))</x:f>
      </x:c>
      <x:c r="O434" s="23" t="str">
        <x:f>IF(C434="","",IFERROR(M434-INDEX('Borrowers'!$K$9:$K$108,MATCH(C434,'Borrowers'!$C$9:$C$108,0))-N434,"Unavailable"))</x:f>
      </x:c>
      <x:c r="P434" s="127" t="str">
        <x:f>IF(C434="","",IFERROR(O434/INDEX('Borrowers'!$L$9:$L$108,MATCH(C434,'Borrowers'!$C$9:$C$108,0)),"Unavailable"))</x:f>
      </x:c>
      <x:c r="Q434" s="30" t="str">
        <x:f>IF(C434="","",IFERROR(IF(INDEX('Borrowers'!$Z$9:$Z$108,MATCH(C434,'Borrowers'!$C$9:$C$108,0))="Yes",1,IF(INDEX('Borrowers'!$P$9:$P$108,MATCH(C434,'Borrowers'!$C$9:$C$108,0))=0,0,MIN(1,INDEX('Borrowers'!$P$9:$P$108,MATCH(C434,'Borrowers'!$C$9:$C$108,0))*EXP(MIN(20,INDEX('Borrowers'!$V$9:$V$108,MATCH(C434,'Borrowers'!$C$9:$C$108,0))*V434))))),"Unavailable"))</x:f>
      </x:c>
      <x:c r="R434" s="30" t="str">
        <x:f>IF(C434="","",IFERROR(MIN(1,INDEX('Borrowers'!$Q$9:$Q$108,MATCH(C434,'Borrowers'!$C$9:$C$108,0))+(1-INDEX('Borrowers'!$Q$9:$Q$108,MATCH(C434,'Borrowers'!$C$9:$C$108,0)))*T434),"Unavailable"))</x:f>
      </x:c>
      <x:c r="S434" s="30" t="str">
        <x:f>IF(C434="","",IFERROR(SUMPRODUCT((Sites!$D$9:$D$108=C434)*Sites!$I$9:$I$108*Sites!$J$9:$J$108*Sites!$K$9:$K$108*(1-Sites!$L$9:$L$108)),"Unavailable"))</x:f>
      </x:c>
      <x:c r="T434" s="30" t="str">
        <x:f>IF(C434="","",IFERROR(MIN(1,(SUMPRODUCT((Sites!$D$9:$D$108=C434)*Sites!$N$9:$N$108*Sites!$J$9:$J$108*Sites!$K$9:$K$108*(1-Sites!$L$9:$L$108)))*'Scenario Paths'!J27),"Unavailable"))</x:f>
      </x:c>
      <x:c r="U434" s="9" t="str">
        <x:f>IF(C434="","",IF(OR(INDEX('Borrowers'!$AA$9:$AA$108,MATCH(C434,'Borrowers'!$C$9:$C$108,0))&lt;&gt;"Ready",COUNTIF(Sites!$D$9:$D$108,C434)=0,COUNTIFS(Sites!$D$9:$D$108,C434,Sites!$Q$9:$Q$108,"&lt;&gt;Ready")&gt;0,'Scenario Paths'!$F$6&lt;&gt;"Ready"),"Review source inputs","Ready"))</x:f>
      </x:c>
      <x:c r="V434" s="17" t="str">
        <x:f>IF(C434="","",IFERROR(MAX(-1,(G434-O434)/MAX(0.000001,G434)),"Unavailable"))</x:f>
      </x:c>
      <x:c r="W434" s="9" t="str">
        <x:f>IF(C434="","",IFERROR(INDEX('Borrowers'!$D$9:$D$108,MATCH(C434,'Borrowers'!$C$9:$C$108,0)),"Unavailable"))</x:f>
      </x:c>
    </x:row>
    <x:row r="435" ht="26" customHeight="1">
      <x:c r="A435" s="1"/>
      <x:c r="B435" s="1"/>
      <x:c r="C435" s="9" t="str">
        <x:f>IF(Borrowers!C35="","",Borrowers!C35)</x:f>
      </x:c>
      <x:c r="D435" s="3" t="n">
        <x:v>5</x:v>
      </x:c>
      <x:c r="E435" s="9" t="n">
        <x:f>Settings!$F$18+4</x:f>
        <x:v>2031</x:v>
      </x:c>
      <x:c r="F435" s="9" t="str">
        <x:f>IF(C435="","",INDEX('Borrowers'!$F$9:$F$108,MATCH(C435,'Borrowers'!$C$9:$C$108,0)))</x:f>
      </x:c>
      <x:c r="G435" s="23" t="str">
        <x:f>IF(C435="","",IFERROR(INDEX('Borrowers'!$J$9:$J$108,MATCH(C435,'Borrowers'!$C$9:$C$108,0))-INDEX('Borrowers'!$K$9:$K$108,MATCH(C435,'Borrowers'!$C$9:$C$108,0)),"Unavailable"))</x:f>
      </x:c>
      <x:c r="H435" s="23" t="str">
        <x:f>IF(C435="","",IFERROR(INDEX('Borrowers'!$I$9:$I$108,MATCH(C435,'Borrowers'!$C$9:$C$108,0))*INDEX('Borrowers'!$U$9:$U$108,MATCH(C435,'Borrowers'!$C$9:$C$108,0))*(IF(F435="Transport",'Scenario Paths'!J156,IF(F435="Technology",'Scenario Paths'!J150,IF(F435="Utilities",'Scenario Paths'!J144,IF(F435="Agriculture",'Scenario Paths'!J138,IF(F435="Manufacturing",'Scenario Paths'!J132,IF(F435="Healthcare",'Scenario Paths'!J126,IF(F435="Hospitality",'Scenario Paths'!J120,IF(F435="Property",'Scenario Paths'!J114,IF(F435="Food",'Scenario Paths'!J108,IF(F435="Logistics",'Scenario Paths'!J102,IF(F435="Solar",'Scenario Paths'!J96,IF(F435="Cement",'Scenario Paths'!J90,0))))))))))))),"Unavailable"))</x:f>
      </x:c>
      <x:c r="I435" s="23" t="str">
        <x:f>IF(C435="","",IFERROR(INDEX('Borrowers'!$R$9:$R$108,MATCH(C435,'Borrowers'!$C$9:$C$108,0))*(1-INDEX('Borrowers'!$W$9:$W$108,MATCH(C435,'Borrowers'!$C$9:$C$108,0))*'Scenario Paths'!J39)*'Scenario Paths'!J9/1000000*(1-INDEX('Borrowers'!$T$9:$T$108,MATCH(C435,'Borrowers'!$C$9:$C$108,0))),"Unavailable"))</x:f>
      </x:c>
      <x:c r="J435" s="23" t="str">
        <x:f>IF(C435="","",IFERROR(INDEX('Borrowers'!$I$9:$I$108,MATCH(C435,'Borrowers'!$C$9:$C$108,0))*INDEX('Borrowers'!$S$9:$S$108,MATCH(C435,'Borrowers'!$C$9:$C$108,0))*'Scenario Paths'!J15*(1-INDEX('Borrowers'!$T$9:$T$108,MATCH(C435,'Borrowers'!$C$9:$C$108,0))),"Unavailable"))</x:f>
      </x:c>
      <x:c r="K435" s="23" t="str">
        <x:f>IF(C435="","",IFERROR(INDEX('Borrowers'!$I$9:$I$108,MATCH(C435,'Borrowers'!$C$9:$C$108,0))*INDEX('Borrowers'!$U$9:$U$108,MATCH(C435,'Borrowers'!$C$9:$C$108,0))*'Scenario Paths'!J21*S435,"Unavailable"))</x:f>
      </x:c>
      <x:c r="L435" s="23" t="str">
        <x:f>IF(C435="","",IFERROR(SUMPRODUCT((Sites!$D$9:$D$108=C435)*Sites!$H$9:$H$108*Sites!$J$9:$J$108*Sites!$K$9:$K$108*(1-Sites!$L$9:$L$108)*(1-Sites!$M$9:$M$108))*'Scenario Paths'!J27,"Unavailable"))</x:f>
      </x:c>
      <x:c r="M435" s="23" t="str">
        <x:f>IF(C435="","",IFERROR(INDEX('Borrowers'!$J$9:$J$108,MATCH(C435,'Borrowers'!$C$9:$C$108,0))+H435-SUM(I435:L435),"Unavailable"))</x:f>
      </x:c>
      <x:c r="N435" s="23" t="str">
        <x:f>IF(C435="","",IFERROR(INDEX('Borrowers'!$I$9:$I$108,MATCH(C435,'Borrowers'!$C$9:$C$108,0))*'Scenario Paths'!J33,"Unavailable"))</x:f>
      </x:c>
      <x:c r="O435" s="23" t="str">
        <x:f>IF(C435="","",IFERROR(M435-INDEX('Borrowers'!$K$9:$K$108,MATCH(C435,'Borrowers'!$C$9:$C$108,0))-N435,"Unavailable"))</x:f>
      </x:c>
      <x:c r="P435" s="127" t="str">
        <x:f>IF(C435="","",IFERROR(O435/INDEX('Borrowers'!$L$9:$L$108,MATCH(C435,'Borrowers'!$C$9:$C$108,0)),"Unavailable"))</x:f>
      </x:c>
      <x:c r="Q435" s="30" t="str">
        <x:f>IF(C435="","",IFERROR(IF(INDEX('Borrowers'!$Z$9:$Z$108,MATCH(C435,'Borrowers'!$C$9:$C$108,0))="Yes",1,IF(INDEX('Borrowers'!$P$9:$P$108,MATCH(C435,'Borrowers'!$C$9:$C$108,0))=0,0,MIN(1,INDEX('Borrowers'!$P$9:$P$108,MATCH(C435,'Borrowers'!$C$9:$C$108,0))*EXP(MIN(20,INDEX('Borrowers'!$V$9:$V$108,MATCH(C435,'Borrowers'!$C$9:$C$108,0))*V435))))),"Unavailable"))</x:f>
      </x:c>
      <x:c r="R435" s="30" t="str">
        <x:f>IF(C435="","",IFERROR(MIN(1,INDEX('Borrowers'!$Q$9:$Q$108,MATCH(C435,'Borrowers'!$C$9:$C$108,0))+(1-INDEX('Borrowers'!$Q$9:$Q$108,MATCH(C435,'Borrowers'!$C$9:$C$108,0)))*T435),"Unavailable"))</x:f>
      </x:c>
      <x:c r="S435" s="30" t="str">
        <x:f>IF(C435="","",IFERROR(SUMPRODUCT((Sites!$D$9:$D$108=C435)*Sites!$I$9:$I$108*Sites!$J$9:$J$108*Sites!$K$9:$K$108*(1-Sites!$L$9:$L$108)),"Unavailable"))</x:f>
      </x:c>
      <x:c r="T435" s="30" t="str">
        <x:f>IF(C435="","",IFERROR(MIN(1,(SUMPRODUCT((Sites!$D$9:$D$108=C435)*Sites!$N$9:$N$108*Sites!$J$9:$J$108*Sites!$K$9:$K$108*(1-Sites!$L$9:$L$108)))*'Scenario Paths'!J27),"Unavailable"))</x:f>
      </x:c>
      <x:c r="U435" s="9" t="str">
        <x:f>IF(C435="","",IF(OR(INDEX('Borrowers'!$AA$9:$AA$108,MATCH(C435,'Borrowers'!$C$9:$C$108,0))&lt;&gt;"Ready",COUNTIF(Sites!$D$9:$D$108,C435)=0,COUNTIFS(Sites!$D$9:$D$108,C435,Sites!$Q$9:$Q$108,"&lt;&gt;Ready")&gt;0,'Scenario Paths'!$F$6&lt;&gt;"Ready"),"Review source inputs","Ready"))</x:f>
      </x:c>
      <x:c r="V435" s="17" t="str">
        <x:f>IF(C435="","",IFERROR(MAX(-1,(G435-O435)/MAX(0.000001,G435)),"Unavailable"))</x:f>
      </x:c>
      <x:c r="W435" s="9" t="str">
        <x:f>IF(C435="","",IFERROR(INDEX('Borrowers'!$D$9:$D$108,MATCH(C435,'Borrowers'!$C$9:$C$108,0)),"Unavailable"))</x:f>
      </x:c>
    </x:row>
    <x:row r="436" ht="26" customHeight="1">
      <x:c r="A436" s="1"/>
      <x:c r="B436" s="1"/>
      <x:c r="C436" s="9" t="str">
        <x:f>IF(Borrowers!C36="","",Borrowers!C36)</x:f>
      </x:c>
      <x:c r="D436" s="3" t="n">
        <x:v>5</x:v>
      </x:c>
      <x:c r="E436" s="9" t="n">
        <x:f>Settings!$F$18+4</x:f>
        <x:v>2031</x:v>
      </x:c>
      <x:c r="F436" s="9" t="str">
        <x:f>IF(C436="","",INDEX('Borrowers'!$F$9:$F$108,MATCH(C436,'Borrowers'!$C$9:$C$108,0)))</x:f>
      </x:c>
      <x:c r="G436" s="23" t="str">
        <x:f>IF(C436="","",IFERROR(INDEX('Borrowers'!$J$9:$J$108,MATCH(C436,'Borrowers'!$C$9:$C$108,0))-INDEX('Borrowers'!$K$9:$K$108,MATCH(C436,'Borrowers'!$C$9:$C$108,0)),"Unavailable"))</x:f>
      </x:c>
      <x:c r="H436" s="23" t="str">
        <x:f>IF(C436="","",IFERROR(INDEX('Borrowers'!$I$9:$I$108,MATCH(C436,'Borrowers'!$C$9:$C$108,0))*INDEX('Borrowers'!$U$9:$U$108,MATCH(C436,'Borrowers'!$C$9:$C$108,0))*(IF(F436="Transport",'Scenario Paths'!J156,IF(F436="Technology",'Scenario Paths'!J150,IF(F436="Utilities",'Scenario Paths'!J144,IF(F436="Agriculture",'Scenario Paths'!J138,IF(F436="Manufacturing",'Scenario Paths'!J132,IF(F436="Healthcare",'Scenario Paths'!J126,IF(F436="Hospitality",'Scenario Paths'!J120,IF(F436="Property",'Scenario Paths'!J114,IF(F436="Food",'Scenario Paths'!J108,IF(F436="Logistics",'Scenario Paths'!J102,IF(F436="Solar",'Scenario Paths'!J96,IF(F436="Cement",'Scenario Paths'!J90,0))))))))))))),"Unavailable"))</x:f>
      </x:c>
      <x:c r="I436" s="23" t="str">
        <x:f>IF(C436="","",IFERROR(INDEX('Borrowers'!$R$9:$R$108,MATCH(C436,'Borrowers'!$C$9:$C$108,0))*(1-INDEX('Borrowers'!$W$9:$W$108,MATCH(C436,'Borrowers'!$C$9:$C$108,0))*'Scenario Paths'!J39)*'Scenario Paths'!J9/1000000*(1-INDEX('Borrowers'!$T$9:$T$108,MATCH(C436,'Borrowers'!$C$9:$C$108,0))),"Unavailable"))</x:f>
      </x:c>
      <x:c r="J436" s="23" t="str">
        <x:f>IF(C436="","",IFERROR(INDEX('Borrowers'!$I$9:$I$108,MATCH(C436,'Borrowers'!$C$9:$C$108,0))*INDEX('Borrowers'!$S$9:$S$108,MATCH(C436,'Borrowers'!$C$9:$C$108,0))*'Scenario Paths'!J15*(1-INDEX('Borrowers'!$T$9:$T$108,MATCH(C436,'Borrowers'!$C$9:$C$108,0))),"Unavailable"))</x:f>
      </x:c>
      <x:c r="K436" s="23" t="str">
        <x:f>IF(C436="","",IFERROR(INDEX('Borrowers'!$I$9:$I$108,MATCH(C436,'Borrowers'!$C$9:$C$108,0))*INDEX('Borrowers'!$U$9:$U$108,MATCH(C436,'Borrowers'!$C$9:$C$108,0))*'Scenario Paths'!J21*S436,"Unavailable"))</x:f>
      </x:c>
      <x:c r="L436" s="23" t="str">
        <x:f>IF(C436="","",IFERROR(SUMPRODUCT((Sites!$D$9:$D$108=C436)*Sites!$H$9:$H$108*Sites!$J$9:$J$108*Sites!$K$9:$K$108*(1-Sites!$L$9:$L$108)*(1-Sites!$M$9:$M$108))*'Scenario Paths'!J27,"Unavailable"))</x:f>
      </x:c>
      <x:c r="M436" s="23" t="str">
        <x:f>IF(C436="","",IFERROR(INDEX('Borrowers'!$J$9:$J$108,MATCH(C436,'Borrowers'!$C$9:$C$108,0))+H436-SUM(I436:L436),"Unavailable"))</x:f>
      </x:c>
      <x:c r="N436" s="23" t="str">
        <x:f>IF(C436="","",IFERROR(INDEX('Borrowers'!$I$9:$I$108,MATCH(C436,'Borrowers'!$C$9:$C$108,0))*'Scenario Paths'!J33,"Unavailable"))</x:f>
      </x:c>
      <x:c r="O436" s="23" t="str">
        <x:f>IF(C436="","",IFERROR(M436-INDEX('Borrowers'!$K$9:$K$108,MATCH(C436,'Borrowers'!$C$9:$C$108,0))-N436,"Unavailable"))</x:f>
      </x:c>
      <x:c r="P436" s="127" t="str">
        <x:f>IF(C436="","",IFERROR(O436/INDEX('Borrowers'!$L$9:$L$108,MATCH(C436,'Borrowers'!$C$9:$C$108,0)),"Unavailable"))</x:f>
      </x:c>
      <x:c r="Q436" s="30" t="str">
        <x:f>IF(C436="","",IFERROR(IF(INDEX('Borrowers'!$Z$9:$Z$108,MATCH(C436,'Borrowers'!$C$9:$C$108,0))="Yes",1,IF(INDEX('Borrowers'!$P$9:$P$108,MATCH(C436,'Borrowers'!$C$9:$C$108,0))=0,0,MIN(1,INDEX('Borrowers'!$P$9:$P$108,MATCH(C436,'Borrowers'!$C$9:$C$108,0))*EXP(MIN(20,INDEX('Borrowers'!$V$9:$V$108,MATCH(C436,'Borrowers'!$C$9:$C$108,0))*V436))))),"Unavailable"))</x:f>
      </x:c>
      <x:c r="R436" s="30" t="str">
        <x:f>IF(C436="","",IFERROR(MIN(1,INDEX('Borrowers'!$Q$9:$Q$108,MATCH(C436,'Borrowers'!$C$9:$C$108,0))+(1-INDEX('Borrowers'!$Q$9:$Q$108,MATCH(C436,'Borrowers'!$C$9:$C$108,0)))*T436),"Unavailable"))</x:f>
      </x:c>
      <x:c r="S436" s="30" t="str">
        <x:f>IF(C436="","",IFERROR(SUMPRODUCT((Sites!$D$9:$D$108=C436)*Sites!$I$9:$I$108*Sites!$J$9:$J$108*Sites!$K$9:$K$108*(1-Sites!$L$9:$L$108)),"Unavailable"))</x:f>
      </x:c>
      <x:c r="T436" s="30" t="str">
        <x:f>IF(C436="","",IFERROR(MIN(1,(SUMPRODUCT((Sites!$D$9:$D$108=C436)*Sites!$N$9:$N$108*Sites!$J$9:$J$108*Sites!$K$9:$K$108*(1-Sites!$L$9:$L$108)))*'Scenario Paths'!J27),"Unavailable"))</x:f>
      </x:c>
      <x:c r="U436" s="9" t="str">
        <x:f>IF(C436="","",IF(OR(INDEX('Borrowers'!$AA$9:$AA$108,MATCH(C436,'Borrowers'!$C$9:$C$108,0))&lt;&gt;"Ready",COUNTIF(Sites!$D$9:$D$108,C436)=0,COUNTIFS(Sites!$D$9:$D$108,C436,Sites!$Q$9:$Q$108,"&lt;&gt;Ready")&gt;0,'Scenario Paths'!$F$6&lt;&gt;"Ready"),"Review source inputs","Ready"))</x:f>
      </x:c>
      <x:c r="V436" s="17" t="str">
        <x:f>IF(C436="","",IFERROR(MAX(-1,(G436-O436)/MAX(0.000001,G436)),"Unavailable"))</x:f>
      </x:c>
      <x:c r="W436" s="9" t="str">
        <x:f>IF(C436="","",IFERROR(INDEX('Borrowers'!$D$9:$D$108,MATCH(C436,'Borrowers'!$C$9:$C$108,0)),"Unavailable"))</x:f>
      </x:c>
    </x:row>
    <x:row r="437" ht="26" customHeight="1">
      <x:c r="A437" s="1"/>
      <x:c r="B437" s="1"/>
      <x:c r="C437" s="9" t="str">
        <x:f>IF(Borrowers!C37="","",Borrowers!C37)</x:f>
      </x:c>
      <x:c r="D437" s="3" t="n">
        <x:v>5</x:v>
      </x:c>
      <x:c r="E437" s="9" t="n">
        <x:f>Settings!$F$18+4</x:f>
        <x:v>2031</x:v>
      </x:c>
      <x:c r="F437" s="9" t="str">
        <x:f>IF(C437="","",INDEX('Borrowers'!$F$9:$F$108,MATCH(C437,'Borrowers'!$C$9:$C$108,0)))</x:f>
      </x:c>
      <x:c r="G437" s="23" t="str">
        <x:f>IF(C437="","",IFERROR(INDEX('Borrowers'!$J$9:$J$108,MATCH(C437,'Borrowers'!$C$9:$C$108,0))-INDEX('Borrowers'!$K$9:$K$108,MATCH(C437,'Borrowers'!$C$9:$C$108,0)),"Unavailable"))</x:f>
      </x:c>
      <x:c r="H437" s="23" t="str">
        <x:f>IF(C437="","",IFERROR(INDEX('Borrowers'!$I$9:$I$108,MATCH(C437,'Borrowers'!$C$9:$C$108,0))*INDEX('Borrowers'!$U$9:$U$108,MATCH(C437,'Borrowers'!$C$9:$C$108,0))*(IF(F437="Transport",'Scenario Paths'!J156,IF(F437="Technology",'Scenario Paths'!J150,IF(F437="Utilities",'Scenario Paths'!J144,IF(F437="Agriculture",'Scenario Paths'!J138,IF(F437="Manufacturing",'Scenario Paths'!J132,IF(F437="Healthcare",'Scenario Paths'!J126,IF(F437="Hospitality",'Scenario Paths'!J120,IF(F437="Property",'Scenario Paths'!J114,IF(F437="Food",'Scenario Paths'!J108,IF(F437="Logistics",'Scenario Paths'!J102,IF(F437="Solar",'Scenario Paths'!J96,IF(F437="Cement",'Scenario Paths'!J90,0))))))))))))),"Unavailable"))</x:f>
      </x:c>
      <x:c r="I437" s="23" t="str">
        <x:f>IF(C437="","",IFERROR(INDEX('Borrowers'!$R$9:$R$108,MATCH(C437,'Borrowers'!$C$9:$C$108,0))*(1-INDEX('Borrowers'!$W$9:$W$108,MATCH(C437,'Borrowers'!$C$9:$C$108,0))*'Scenario Paths'!J39)*'Scenario Paths'!J9/1000000*(1-INDEX('Borrowers'!$T$9:$T$108,MATCH(C437,'Borrowers'!$C$9:$C$108,0))),"Unavailable"))</x:f>
      </x:c>
      <x:c r="J437" s="23" t="str">
        <x:f>IF(C437="","",IFERROR(INDEX('Borrowers'!$I$9:$I$108,MATCH(C437,'Borrowers'!$C$9:$C$108,0))*INDEX('Borrowers'!$S$9:$S$108,MATCH(C437,'Borrowers'!$C$9:$C$108,0))*'Scenario Paths'!J15*(1-INDEX('Borrowers'!$T$9:$T$108,MATCH(C437,'Borrowers'!$C$9:$C$108,0))),"Unavailable"))</x:f>
      </x:c>
      <x:c r="K437" s="23" t="str">
        <x:f>IF(C437="","",IFERROR(INDEX('Borrowers'!$I$9:$I$108,MATCH(C437,'Borrowers'!$C$9:$C$108,0))*INDEX('Borrowers'!$U$9:$U$108,MATCH(C437,'Borrowers'!$C$9:$C$108,0))*'Scenario Paths'!J21*S437,"Unavailable"))</x:f>
      </x:c>
      <x:c r="L437" s="23" t="str">
        <x:f>IF(C437="","",IFERROR(SUMPRODUCT((Sites!$D$9:$D$108=C437)*Sites!$H$9:$H$108*Sites!$J$9:$J$108*Sites!$K$9:$K$108*(1-Sites!$L$9:$L$108)*(1-Sites!$M$9:$M$108))*'Scenario Paths'!J27,"Unavailable"))</x:f>
      </x:c>
      <x:c r="M437" s="23" t="str">
        <x:f>IF(C437="","",IFERROR(INDEX('Borrowers'!$J$9:$J$108,MATCH(C437,'Borrowers'!$C$9:$C$108,0))+H437-SUM(I437:L437),"Unavailable"))</x:f>
      </x:c>
      <x:c r="N437" s="23" t="str">
        <x:f>IF(C437="","",IFERROR(INDEX('Borrowers'!$I$9:$I$108,MATCH(C437,'Borrowers'!$C$9:$C$108,0))*'Scenario Paths'!J33,"Unavailable"))</x:f>
      </x:c>
      <x:c r="O437" s="23" t="str">
        <x:f>IF(C437="","",IFERROR(M437-INDEX('Borrowers'!$K$9:$K$108,MATCH(C437,'Borrowers'!$C$9:$C$108,0))-N437,"Unavailable"))</x:f>
      </x:c>
      <x:c r="P437" s="127" t="str">
        <x:f>IF(C437="","",IFERROR(O437/INDEX('Borrowers'!$L$9:$L$108,MATCH(C437,'Borrowers'!$C$9:$C$108,0)),"Unavailable"))</x:f>
      </x:c>
      <x:c r="Q437" s="30" t="str">
        <x:f>IF(C437="","",IFERROR(IF(INDEX('Borrowers'!$Z$9:$Z$108,MATCH(C437,'Borrowers'!$C$9:$C$108,0))="Yes",1,IF(INDEX('Borrowers'!$P$9:$P$108,MATCH(C437,'Borrowers'!$C$9:$C$108,0))=0,0,MIN(1,INDEX('Borrowers'!$P$9:$P$108,MATCH(C437,'Borrowers'!$C$9:$C$108,0))*EXP(MIN(20,INDEX('Borrowers'!$V$9:$V$108,MATCH(C437,'Borrowers'!$C$9:$C$108,0))*V437))))),"Unavailable"))</x:f>
      </x:c>
      <x:c r="R437" s="30" t="str">
        <x:f>IF(C437="","",IFERROR(MIN(1,INDEX('Borrowers'!$Q$9:$Q$108,MATCH(C437,'Borrowers'!$C$9:$C$108,0))+(1-INDEX('Borrowers'!$Q$9:$Q$108,MATCH(C437,'Borrowers'!$C$9:$C$108,0)))*T437),"Unavailable"))</x:f>
      </x:c>
      <x:c r="S437" s="30" t="str">
        <x:f>IF(C437="","",IFERROR(SUMPRODUCT((Sites!$D$9:$D$108=C437)*Sites!$I$9:$I$108*Sites!$J$9:$J$108*Sites!$K$9:$K$108*(1-Sites!$L$9:$L$108)),"Unavailable"))</x:f>
      </x:c>
      <x:c r="T437" s="30" t="str">
        <x:f>IF(C437="","",IFERROR(MIN(1,(SUMPRODUCT((Sites!$D$9:$D$108=C437)*Sites!$N$9:$N$108*Sites!$J$9:$J$108*Sites!$K$9:$K$108*(1-Sites!$L$9:$L$108)))*'Scenario Paths'!J27),"Unavailable"))</x:f>
      </x:c>
      <x:c r="U437" s="9" t="str">
        <x:f>IF(C437="","",IF(OR(INDEX('Borrowers'!$AA$9:$AA$108,MATCH(C437,'Borrowers'!$C$9:$C$108,0))&lt;&gt;"Ready",COUNTIF(Sites!$D$9:$D$108,C437)=0,COUNTIFS(Sites!$D$9:$D$108,C437,Sites!$Q$9:$Q$108,"&lt;&gt;Ready")&gt;0,'Scenario Paths'!$F$6&lt;&gt;"Ready"),"Review source inputs","Ready"))</x:f>
      </x:c>
      <x:c r="V437" s="17" t="str">
        <x:f>IF(C437="","",IFERROR(MAX(-1,(G437-O437)/MAX(0.000001,G437)),"Unavailable"))</x:f>
      </x:c>
      <x:c r="W437" s="9" t="str">
        <x:f>IF(C437="","",IFERROR(INDEX('Borrowers'!$D$9:$D$108,MATCH(C437,'Borrowers'!$C$9:$C$108,0)),"Unavailable"))</x:f>
      </x:c>
    </x:row>
    <x:row r="438" ht="26" customHeight="1">
      <x:c r="A438" s="1"/>
      <x:c r="B438" s="1"/>
      <x:c r="C438" s="9" t="str">
        <x:f>IF(Borrowers!C38="","",Borrowers!C38)</x:f>
      </x:c>
      <x:c r="D438" s="3" t="n">
        <x:v>5</x:v>
      </x:c>
      <x:c r="E438" s="9" t="n">
        <x:f>Settings!$F$18+4</x:f>
        <x:v>2031</x:v>
      </x:c>
      <x:c r="F438" s="9" t="str">
        <x:f>IF(C438="","",INDEX('Borrowers'!$F$9:$F$108,MATCH(C438,'Borrowers'!$C$9:$C$108,0)))</x:f>
      </x:c>
      <x:c r="G438" s="23" t="str">
        <x:f>IF(C438="","",IFERROR(INDEX('Borrowers'!$J$9:$J$108,MATCH(C438,'Borrowers'!$C$9:$C$108,0))-INDEX('Borrowers'!$K$9:$K$108,MATCH(C438,'Borrowers'!$C$9:$C$108,0)),"Unavailable"))</x:f>
      </x:c>
      <x:c r="H438" s="23" t="str">
        <x:f>IF(C438="","",IFERROR(INDEX('Borrowers'!$I$9:$I$108,MATCH(C438,'Borrowers'!$C$9:$C$108,0))*INDEX('Borrowers'!$U$9:$U$108,MATCH(C438,'Borrowers'!$C$9:$C$108,0))*(IF(F438="Transport",'Scenario Paths'!J156,IF(F438="Technology",'Scenario Paths'!J150,IF(F438="Utilities",'Scenario Paths'!J144,IF(F438="Agriculture",'Scenario Paths'!J138,IF(F438="Manufacturing",'Scenario Paths'!J132,IF(F438="Healthcare",'Scenario Paths'!J126,IF(F438="Hospitality",'Scenario Paths'!J120,IF(F438="Property",'Scenario Paths'!J114,IF(F438="Food",'Scenario Paths'!J108,IF(F438="Logistics",'Scenario Paths'!J102,IF(F438="Solar",'Scenario Paths'!J96,IF(F438="Cement",'Scenario Paths'!J90,0))))))))))))),"Unavailable"))</x:f>
      </x:c>
      <x:c r="I438" s="23" t="str">
        <x:f>IF(C438="","",IFERROR(INDEX('Borrowers'!$R$9:$R$108,MATCH(C438,'Borrowers'!$C$9:$C$108,0))*(1-INDEX('Borrowers'!$W$9:$W$108,MATCH(C438,'Borrowers'!$C$9:$C$108,0))*'Scenario Paths'!J39)*'Scenario Paths'!J9/1000000*(1-INDEX('Borrowers'!$T$9:$T$108,MATCH(C438,'Borrowers'!$C$9:$C$108,0))),"Unavailable"))</x:f>
      </x:c>
      <x:c r="J438" s="23" t="str">
        <x:f>IF(C438="","",IFERROR(INDEX('Borrowers'!$I$9:$I$108,MATCH(C438,'Borrowers'!$C$9:$C$108,0))*INDEX('Borrowers'!$S$9:$S$108,MATCH(C438,'Borrowers'!$C$9:$C$108,0))*'Scenario Paths'!J15*(1-INDEX('Borrowers'!$T$9:$T$108,MATCH(C438,'Borrowers'!$C$9:$C$108,0))),"Unavailable"))</x:f>
      </x:c>
      <x:c r="K438" s="23" t="str">
        <x:f>IF(C438="","",IFERROR(INDEX('Borrowers'!$I$9:$I$108,MATCH(C438,'Borrowers'!$C$9:$C$108,0))*INDEX('Borrowers'!$U$9:$U$108,MATCH(C438,'Borrowers'!$C$9:$C$108,0))*'Scenario Paths'!J21*S438,"Unavailable"))</x:f>
      </x:c>
      <x:c r="L438" s="23" t="str">
        <x:f>IF(C438="","",IFERROR(SUMPRODUCT((Sites!$D$9:$D$108=C438)*Sites!$H$9:$H$108*Sites!$J$9:$J$108*Sites!$K$9:$K$108*(1-Sites!$L$9:$L$108)*(1-Sites!$M$9:$M$108))*'Scenario Paths'!J27,"Unavailable"))</x:f>
      </x:c>
      <x:c r="M438" s="23" t="str">
        <x:f>IF(C438="","",IFERROR(INDEX('Borrowers'!$J$9:$J$108,MATCH(C438,'Borrowers'!$C$9:$C$108,0))+H438-SUM(I438:L438),"Unavailable"))</x:f>
      </x:c>
      <x:c r="N438" s="23" t="str">
        <x:f>IF(C438="","",IFERROR(INDEX('Borrowers'!$I$9:$I$108,MATCH(C438,'Borrowers'!$C$9:$C$108,0))*'Scenario Paths'!J33,"Unavailable"))</x:f>
      </x:c>
      <x:c r="O438" s="23" t="str">
        <x:f>IF(C438="","",IFERROR(M438-INDEX('Borrowers'!$K$9:$K$108,MATCH(C438,'Borrowers'!$C$9:$C$108,0))-N438,"Unavailable"))</x:f>
      </x:c>
      <x:c r="P438" s="127" t="str">
        <x:f>IF(C438="","",IFERROR(O438/INDEX('Borrowers'!$L$9:$L$108,MATCH(C438,'Borrowers'!$C$9:$C$108,0)),"Unavailable"))</x:f>
      </x:c>
      <x:c r="Q438" s="30" t="str">
        <x:f>IF(C438="","",IFERROR(IF(INDEX('Borrowers'!$Z$9:$Z$108,MATCH(C438,'Borrowers'!$C$9:$C$108,0))="Yes",1,IF(INDEX('Borrowers'!$P$9:$P$108,MATCH(C438,'Borrowers'!$C$9:$C$108,0))=0,0,MIN(1,INDEX('Borrowers'!$P$9:$P$108,MATCH(C438,'Borrowers'!$C$9:$C$108,0))*EXP(MIN(20,INDEX('Borrowers'!$V$9:$V$108,MATCH(C438,'Borrowers'!$C$9:$C$108,0))*V438))))),"Unavailable"))</x:f>
      </x:c>
      <x:c r="R438" s="30" t="str">
        <x:f>IF(C438="","",IFERROR(MIN(1,INDEX('Borrowers'!$Q$9:$Q$108,MATCH(C438,'Borrowers'!$C$9:$C$108,0))+(1-INDEX('Borrowers'!$Q$9:$Q$108,MATCH(C438,'Borrowers'!$C$9:$C$108,0)))*T438),"Unavailable"))</x:f>
      </x:c>
      <x:c r="S438" s="30" t="str">
        <x:f>IF(C438="","",IFERROR(SUMPRODUCT((Sites!$D$9:$D$108=C438)*Sites!$I$9:$I$108*Sites!$J$9:$J$108*Sites!$K$9:$K$108*(1-Sites!$L$9:$L$108)),"Unavailable"))</x:f>
      </x:c>
      <x:c r="T438" s="30" t="str">
        <x:f>IF(C438="","",IFERROR(MIN(1,(SUMPRODUCT((Sites!$D$9:$D$108=C438)*Sites!$N$9:$N$108*Sites!$J$9:$J$108*Sites!$K$9:$K$108*(1-Sites!$L$9:$L$108)))*'Scenario Paths'!J27),"Unavailable"))</x:f>
      </x:c>
      <x:c r="U438" s="9" t="str">
        <x:f>IF(C438="","",IF(OR(INDEX('Borrowers'!$AA$9:$AA$108,MATCH(C438,'Borrowers'!$C$9:$C$108,0))&lt;&gt;"Ready",COUNTIF(Sites!$D$9:$D$108,C438)=0,COUNTIFS(Sites!$D$9:$D$108,C438,Sites!$Q$9:$Q$108,"&lt;&gt;Ready")&gt;0,'Scenario Paths'!$F$6&lt;&gt;"Ready"),"Review source inputs","Ready"))</x:f>
      </x:c>
      <x:c r="V438" s="17" t="str">
        <x:f>IF(C438="","",IFERROR(MAX(-1,(G438-O438)/MAX(0.000001,G438)),"Unavailable"))</x:f>
      </x:c>
      <x:c r="W438" s="9" t="str">
        <x:f>IF(C438="","",IFERROR(INDEX('Borrowers'!$D$9:$D$108,MATCH(C438,'Borrowers'!$C$9:$C$108,0)),"Unavailable"))</x:f>
      </x:c>
    </x:row>
    <x:row r="439" ht="26" customHeight="1">
      <x:c r="A439" s="1"/>
      <x:c r="B439" s="1"/>
      <x:c r="C439" s="9" t="str">
        <x:f>IF(Borrowers!C39="","",Borrowers!C39)</x:f>
      </x:c>
      <x:c r="D439" s="3" t="n">
        <x:v>5</x:v>
      </x:c>
      <x:c r="E439" s="9" t="n">
        <x:f>Settings!$F$18+4</x:f>
        <x:v>2031</x:v>
      </x:c>
      <x:c r="F439" s="9" t="str">
        <x:f>IF(C439="","",INDEX('Borrowers'!$F$9:$F$108,MATCH(C439,'Borrowers'!$C$9:$C$108,0)))</x:f>
      </x:c>
      <x:c r="G439" s="23" t="str">
        <x:f>IF(C439="","",IFERROR(INDEX('Borrowers'!$J$9:$J$108,MATCH(C439,'Borrowers'!$C$9:$C$108,0))-INDEX('Borrowers'!$K$9:$K$108,MATCH(C439,'Borrowers'!$C$9:$C$108,0)),"Unavailable"))</x:f>
      </x:c>
      <x:c r="H439" s="23" t="str">
        <x:f>IF(C439="","",IFERROR(INDEX('Borrowers'!$I$9:$I$108,MATCH(C439,'Borrowers'!$C$9:$C$108,0))*INDEX('Borrowers'!$U$9:$U$108,MATCH(C439,'Borrowers'!$C$9:$C$108,0))*(IF(F439="Transport",'Scenario Paths'!J156,IF(F439="Technology",'Scenario Paths'!J150,IF(F439="Utilities",'Scenario Paths'!J144,IF(F439="Agriculture",'Scenario Paths'!J138,IF(F439="Manufacturing",'Scenario Paths'!J132,IF(F439="Healthcare",'Scenario Paths'!J126,IF(F439="Hospitality",'Scenario Paths'!J120,IF(F439="Property",'Scenario Paths'!J114,IF(F439="Food",'Scenario Paths'!J108,IF(F439="Logistics",'Scenario Paths'!J102,IF(F439="Solar",'Scenario Paths'!J96,IF(F439="Cement",'Scenario Paths'!J90,0))))))))))))),"Unavailable"))</x:f>
      </x:c>
      <x:c r="I439" s="23" t="str">
        <x:f>IF(C439="","",IFERROR(INDEX('Borrowers'!$R$9:$R$108,MATCH(C439,'Borrowers'!$C$9:$C$108,0))*(1-INDEX('Borrowers'!$W$9:$W$108,MATCH(C439,'Borrowers'!$C$9:$C$108,0))*'Scenario Paths'!J39)*'Scenario Paths'!J9/1000000*(1-INDEX('Borrowers'!$T$9:$T$108,MATCH(C439,'Borrowers'!$C$9:$C$108,0))),"Unavailable"))</x:f>
      </x:c>
      <x:c r="J439" s="23" t="str">
        <x:f>IF(C439="","",IFERROR(INDEX('Borrowers'!$I$9:$I$108,MATCH(C439,'Borrowers'!$C$9:$C$108,0))*INDEX('Borrowers'!$S$9:$S$108,MATCH(C439,'Borrowers'!$C$9:$C$108,0))*'Scenario Paths'!J15*(1-INDEX('Borrowers'!$T$9:$T$108,MATCH(C439,'Borrowers'!$C$9:$C$108,0))),"Unavailable"))</x:f>
      </x:c>
      <x:c r="K439" s="23" t="str">
        <x:f>IF(C439="","",IFERROR(INDEX('Borrowers'!$I$9:$I$108,MATCH(C439,'Borrowers'!$C$9:$C$108,0))*INDEX('Borrowers'!$U$9:$U$108,MATCH(C439,'Borrowers'!$C$9:$C$108,0))*'Scenario Paths'!J21*S439,"Unavailable"))</x:f>
      </x:c>
      <x:c r="L439" s="23" t="str">
        <x:f>IF(C439="","",IFERROR(SUMPRODUCT((Sites!$D$9:$D$108=C439)*Sites!$H$9:$H$108*Sites!$J$9:$J$108*Sites!$K$9:$K$108*(1-Sites!$L$9:$L$108)*(1-Sites!$M$9:$M$108))*'Scenario Paths'!J27,"Unavailable"))</x:f>
      </x:c>
      <x:c r="M439" s="23" t="str">
        <x:f>IF(C439="","",IFERROR(INDEX('Borrowers'!$J$9:$J$108,MATCH(C439,'Borrowers'!$C$9:$C$108,0))+H439-SUM(I439:L439),"Unavailable"))</x:f>
      </x:c>
      <x:c r="N439" s="23" t="str">
        <x:f>IF(C439="","",IFERROR(INDEX('Borrowers'!$I$9:$I$108,MATCH(C439,'Borrowers'!$C$9:$C$108,0))*'Scenario Paths'!J33,"Unavailable"))</x:f>
      </x:c>
      <x:c r="O439" s="23" t="str">
        <x:f>IF(C439="","",IFERROR(M439-INDEX('Borrowers'!$K$9:$K$108,MATCH(C439,'Borrowers'!$C$9:$C$108,0))-N439,"Unavailable"))</x:f>
      </x:c>
      <x:c r="P439" s="127" t="str">
        <x:f>IF(C439="","",IFERROR(O439/INDEX('Borrowers'!$L$9:$L$108,MATCH(C439,'Borrowers'!$C$9:$C$108,0)),"Unavailable"))</x:f>
      </x:c>
      <x:c r="Q439" s="30" t="str">
        <x:f>IF(C439="","",IFERROR(IF(INDEX('Borrowers'!$Z$9:$Z$108,MATCH(C439,'Borrowers'!$C$9:$C$108,0))="Yes",1,IF(INDEX('Borrowers'!$P$9:$P$108,MATCH(C439,'Borrowers'!$C$9:$C$108,0))=0,0,MIN(1,INDEX('Borrowers'!$P$9:$P$108,MATCH(C439,'Borrowers'!$C$9:$C$108,0))*EXP(MIN(20,INDEX('Borrowers'!$V$9:$V$108,MATCH(C439,'Borrowers'!$C$9:$C$108,0))*V439))))),"Unavailable"))</x:f>
      </x:c>
      <x:c r="R439" s="30" t="str">
        <x:f>IF(C439="","",IFERROR(MIN(1,INDEX('Borrowers'!$Q$9:$Q$108,MATCH(C439,'Borrowers'!$C$9:$C$108,0))+(1-INDEX('Borrowers'!$Q$9:$Q$108,MATCH(C439,'Borrowers'!$C$9:$C$108,0)))*T439),"Unavailable"))</x:f>
      </x:c>
      <x:c r="S439" s="30" t="str">
        <x:f>IF(C439="","",IFERROR(SUMPRODUCT((Sites!$D$9:$D$108=C439)*Sites!$I$9:$I$108*Sites!$J$9:$J$108*Sites!$K$9:$K$108*(1-Sites!$L$9:$L$108)),"Unavailable"))</x:f>
      </x:c>
      <x:c r="T439" s="30" t="str">
        <x:f>IF(C439="","",IFERROR(MIN(1,(SUMPRODUCT((Sites!$D$9:$D$108=C439)*Sites!$N$9:$N$108*Sites!$J$9:$J$108*Sites!$K$9:$K$108*(1-Sites!$L$9:$L$108)))*'Scenario Paths'!J27),"Unavailable"))</x:f>
      </x:c>
      <x:c r="U439" s="9" t="str">
        <x:f>IF(C439="","",IF(OR(INDEX('Borrowers'!$AA$9:$AA$108,MATCH(C439,'Borrowers'!$C$9:$C$108,0))&lt;&gt;"Ready",COUNTIF(Sites!$D$9:$D$108,C439)=0,COUNTIFS(Sites!$D$9:$D$108,C439,Sites!$Q$9:$Q$108,"&lt;&gt;Ready")&gt;0,'Scenario Paths'!$F$6&lt;&gt;"Ready"),"Review source inputs","Ready"))</x:f>
      </x:c>
      <x:c r="V439" s="17" t="str">
        <x:f>IF(C439="","",IFERROR(MAX(-1,(G439-O439)/MAX(0.000001,G439)),"Unavailable"))</x:f>
      </x:c>
      <x:c r="W439" s="9" t="str">
        <x:f>IF(C439="","",IFERROR(INDEX('Borrowers'!$D$9:$D$108,MATCH(C439,'Borrowers'!$C$9:$C$108,0)),"Unavailable"))</x:f>
      </x:c>
    </x:row>
    <x:row r="440" ht="26" customHeight="1">
      <x:c r="A440" s="1"/>
      <x:c r="B440" s="1"/>
      <x:c r="C440" s="9" t="str">
        <x:f>IF(Borrowers!C40="","",Borrowers!C40)</x:f>
      </x:c>
      <x:c r="D440" s="3" t="n">
        <x:v>5</x:v>
      </x:c>
      <x:c r="E440" s="9" t="n">
        <x:f>Settings!$F$18+4</x:f>
        <x:v>2031</x:v>
      </x:c>
      <x:c r="F440" s="9" t="str">
        <x:f>IF(C440="","",INDEX('Borrowers'!$F$9:$F$108,MATCH(C440,'Borrowers'!$C$9:$C$108,0)))</x:f>
      </x:c>
      <x:c r="G440" s="23" t="str">
        <x:f>IF(C440="","",IFERROR(INDEX('Borrowers'!$J$9:$J$108,MATCH(C440,'Borrowers'!$C$9:$C$108,0))-INDEX('Borrowers'!$K$9:$K$108,MATCH(C440,'Borrowers'!$C$9:$C$108,0)),"Unavailable"))</x:f>
      </x:c>
      <x:c r="H440" s="23" t="str">
        <x:f>IF(C440="","",IFERROR(INDEX('Borrowers'!$I$9:$I$108,MATCH(C440,'Borrowers'!$C$9:$C$108,0))*INDEX('Borrowers'!$U$9:$U$108,MATCH(C440,'Borrowers'!$C$9:$C$108,0))*(IF(F440="Transport",'Scenario Paths'!J156,IF(F440="Technology",'Scenario Paths'!J150,IF(F440="Utilities",'Scenario Paths'!J144,IF(F440="Agriculture",'Scenario Paths'!J138,IF(F440="Manufacturing",'Scenario Paths'!J132,IF(F440="Healthcare",'Scenario Paths'!J126,IF(F440="Hospitality",'Scenario Paths'!J120,IF(F440="Property",'Scenario Paths'!J114,IF(F440="Food",'Scenario Paths'!J108,IF(F440="Logistics",'Scenario Paths'!J102,IF(F440="Solar",'Scenario Paths'!J96,IF(F440="Cement",'Scenario Paths'!J90,0))))))))))))),"Unavailable"))</x:f>
      </x:c>
      <x:c r="I440" s="23" t="str">
        <x:f>IF(C440="","",IFERROR(INDEX('Borrowers'!$R$9:$R$108,MATCH(C440,'Borrowers'!$C$9:$C$108,0))*(1-INDEX('Borrowers'!$W$9:$W$108,MATCH(C440,'Borrowers'!$C$9:$C$108,0))*'Scenario Paths'!J39)*'Scenario Paths'!J9/1000000*(1-INDEX('Borrowers'!$T$9:$T$108,MATCH(C440,'Borrowers'!$C$9:$C$108,0))),"Unavailable"))</x:f>
      </x:c>
      <x:c r="J440" s="23" t="str">
        <x:f>IF(C440="","",IFERROR(INDEX('Borrowers'!$I$9:$I$108,MATCH(C440,'Borrowers'!$C$9:$C$108,0))*INDEX('Borrowers'!$S$9:$S$108,MATCH(C440,'Borrowers'!$C$9:$C$108,0))*'Scenario Paths'!J15*(1-INDEX('Borrowers'!$T$9:$T$108,MATCH(C440,'Borrowers'!$C$9:$C$108,0))),"Unavailable"))</x:f>
      </x:c>
      <x:c r="K440" s="23" t="str">
        <x:f>IF(C440="","",IFERROR(INDEX('Borrowers'!$I$9:$I$108,MATCH(C440,'Borrowers'!$C$9:$C$108,0))*INDEX('Borrowers'!$U$9:$U$108,MATCH(C440,'Borrowers'!$C$9:$C$108,0))*'Scenario Paths'!J21*S440,"Unavailable"))</x:f>
      </x:c>
      <x:c r="L440" s="23" t="str">
        <x:f>IF(C440="","",IFERROR(SUMPRODUCT((Sites!$D$9:$D$108=C440)*Sites!$H$9:$H$108*Sites!$J$9:$J$108*Sites!$K$9:$K$108*(1-Sites!$L$9:$L$108)*(1-Sites!$M$9:$M$108))*'Scenario Paths'!J27,"Unavailable"))</x:f>
      </x:c>
      <x:c r="M440" s="23" t="str">
        <x:f>IF(C440="","",IFERROR(INDEX('Borrowers'!$J$9:$J$108,MATCH(C440,'Borrowers'!$C$9:$C$108,0))+H440-SUM(I440:L440),"Unavailable"))</x:f>
      </x:c>
      <x:c r="N440" s="23" t="str">
        <x:f>IF(C440="","",IFERROR(INDEX('Borrowers'!$I$9:$I$108,MATCH(C440,'Borrowers'!$C$9:$C$108,0))*'Scenario Paths'!J33,"Unavailable"))</x:f>
      </x:c>
      <x:c r="O440" s="23" t="str">
        <x:f>IF(C440="","",IFERROR(M440-INDEX('Borrowers'!$K$9:$K$108,MATCH(C440,'Borrowers'!$C$9:$C$108,0))-N440,"Unavailable"))</x:f>
      </x:c>
      <x:c r="P440" s="127" t="str">
        <x:f>IF(C440="","",IFERROR(O440/INDEX('Borrowers'!$L$9:$L$108,MATCH(C440,'Borrowers'!$C$9:$C$108,0)),"Unavailable"))</x:f>
      </x:c>
      <x:c r="Q440" s="30" t="str">
        <x:f>IF(C440="","",IFERROR(IF(INDEX('Borrowers'!$Z$9:$Z$108,MATCH(C440,'Borrowers'!$C$9:$C$108,0))="Yes",1,IF(INDEX('Borrowers'!$P$9:$P$108,MATCH(C440,'Borrowers'!$C$9:$C$108,0))=0,0,MIN(1,INDEX('Borrowers'!$P$9:$P$108,MATCH(C440,'Borrowers'!$C$9:$C$108,0))*EXP(MIN(20,INDEX('Borrowers'!$V$9:$V$108,MATCH(C440,'Borrowers'!$C$9:$C$108,0))*V440))))),"Unavailable"))</x:f>
      </x:c>
      <x:c r="R440" s="30" t="str">
        <x:f>IF(C440="","",IFERROR(MIN(1,INDEX('Borrowers'!$Q$9:$Q$108,MATCH(C440,'Borrowers'!$C$9:$C$108,0))+(1-INDEX('Borrowers'!$Q$9:$Q$108,MATCH(C440,'Borrowers'!$C$9:$C$108,0)))*T440),"Unavailable"))</x:f>
      </x:c>
      <x:c r="S440" s="30" t="str">
        <x:f>IF(C440="","",IFERROR(SUMPRODUCT((Sites!$D$9:$D$108=C440)*Sites!$I$9:$I$108*Sites!$J$9:$J$108*Sites!$K$9:$K$108*(1-Sites!$L$9:$L$108)),"Unavailable"))</x:f>
      </x:c>
      <x:c r="T440" s="30" t="str">
        <x:f>IF(C440="","",IFERROR(MIN(1,(SUMPRODUCT((Sites!$D$9:$D$108=C440)*Sites!$N$9:$N$108*Sites!$J$9:$J$108*Sites!$K$9:$K$108*(1-Sites!$L$9:$L$108)))*'Scenario Paths'!J27),"Unavailable"))</x:f>
      </x:c>
      <x:c r="U440" s="9" t="str">
        <x:f>IF(C440="","",IF(OR(INDEX('Borrowers'!$AA$9:$AA$108,MATCH(C440,'Borrowers'!$C$9:$C$108,0))&lt;&gt;"Ready",COUNTIF(Sites!$D$9:$D$108,C440)=0,COUNTIFS(Sites!$D$9:$D$108,C440,Sites!$Q$9:$Q$108,"&lt;&gt;Ready")&gt;0,'Scenario Paths'!$F$6&lt;&gt;"Ready"),"Review source inputs","Ready"))</x:f>
      </x:c>
      <x:c r="V440" s="17" t="str">
        <x:f>IF(C440="","",IFERROR(MAX(-1,(G440-O440)/MAX(0.000001,G440)),"Unavailable"))</x:f>
      </x:c>
      <x:c r="W440" s="9" t="str">
        <x:f>IF(C440="","",IFERROR(INDEX('Borrowers'!$D$9:$D$108,MATCH(C440,'Borrowers'!$C$9:$C$108,0)),"Unavailable"))</x:f>
      </x:c>
    </x:row>
    <x:row r="441" ht="26" customHeight="1">
      <x:c r="A441" s="1"/>
      <x:c r="B441" s="1"/>
      <x:c r="C441" s="9" t="str">
        <x:f>IF(Borrowers!C41="","",Borrowers!C41)</x:f>
      </x:c>
      <x:c r="D441" s="3" t="n">
        <x:v>5</x:v>
      </x:c>
      <x:c r="E441" s="9" t="n">
        <x:f>Settings!$F$18+4</x:f>
        <x:v>2031</x:v>
      </x:c>
      <x:c r="F441" s="9" t="str">
        <x:f>IF(C441="","",INDEX('Borrowers'!$F$9:$F$108,MATCH(C441,'Borrowers'!$C$9:$C$108,0)))</x:f>
      </x:c>
      <x:c r="G441" s="23" t="str">
        <x:f>IF(C441="","",IFERROR(INDEX('Borrowers'!$J$9:$J$108,MATCH(C441,'Borrowers'!$C$9:$C$108,0))-INDEX('Borrowers'!$K$9:$K$108,MATCH(C441,'Borrowers'!$C$9:$C$108,0)),"Unavailable"))</x:f>
      </x:c>
      <x:c r="H441" s="23" t="str">
        <x:f>IF(C441="","",IFERROR(INDEX('Borrowers'!$I$9:$I$108,MATCH(C441,'Borrowers'!$C$9:$C$108,0))*INDEX('Borrowers'!$U$9:$U$108,MATCH(C441,'Borrowers'!$C$9:$C$108,0))*(IF(F441="Transport",'Scenario Paths'!J156,IF(F441="Technology",'Scenario Paths'!J150,IF(F441="Utilities",'Scenario Paths'!J144,IF(F441="Agriculture",'Scenario Paths'!J138,IF(F441="Manufacturing",'Scenario Paths'!J132,IF(F441="Healthcare",'Scenario Paths'!J126,IF(F441="Hospitality",'Scenario Paths'!J120,IF(F441="Property",'Scenario Paths'!J114,IF(F441="Food",'Scenario Paths'!J108,IF(F441="Logistics",'Scenario Paths'!J102,IF(F441="Solar",'Scenario Paths'!J96,IF(F441="Cement",'Scenario Paths'!J90,0))))))))))))),"Unavailable"))</x:f>
      </x:c>
      <x:c r="I441" s="23" t="str">
        <x:f>IF(C441="","",IFERROR(INDEX('Borrowers'!$R$9:$R$108,MATCH(C441,'Borrowers'!$C$9:$C$108,0))*(1-INDEX('Borrowers'!$W$9:$W$108,MATCH(C441,'Borrowers'!$C$9:$C$108,0))*'Scenario Paths'!J39)*'Scenario Paths'!J9/1000000*(1-INDEX('Borrowers'!$T$9:$T$108,MATCH(C441,'Borrowers'!$C$9:$C$108,0))),"Unavailable"))</x:f>
      </x:c>
      <x:c r="J441" s="23" t="str">
        <x:f>IF(C441="","",IFERROR(INDEX('Borrowers'!$I$9:$I$108,MATCH(C441,'Borrowers'!$C$9:$C$108,0))*INDEX('Borrowers'!$S$9:$S$108,MATCH(C441,'Borrowers'!$C$9:$C$108,0))*'Scenario Paths'!J15*(1-INDEX('Borrowers'!$T$9:$T$108,MATCH(C441,'Borrowers'!$C$9:$C$108,0))),"Unavailable"))</x:f>
      </x:c>
      <x:c r="K441" s="23" t="str">
        <x:f>IF(C441="","",IFERROR(INDEX('Borrowers'!$I$9:$I$108,MATCH(C441,'Borrowers'!$C$9:$C$108,0))*INDEX('Borrowers'!$U$9:$U$108,MATCH(C441,'Borrowers'!$C$9:$C$108,0))*'Scenario Paths'!J21*S441,"Unavailable"))</x:f>
      </x:c>
      <x:c r="L441" s="23" t="str">
        <x:f>IF(C441="","",IFERROR(SUMPRODUCT((Sites!$D$9:$D$108=C441)*Sites!$H$9:$H$108*Sites!$J$9:$J$108*Sites!$K$9:$K$108*(1-Sites!$L$9:$L$108)*(1-Sites!$M$9:$M$108))*'Scenario Paths'!J27,"Unavailable"))</x:f>
      </x:c>
      <x:c r="M441" s="23" t="str">
        <x:f>IF(C441="","",IFERROR(INDEX('Borrowers'!$J$9:$J$108,MATCH(C441,'Borrowers'!$C$9:$C$108,0))+H441-SUM(I441:L441),"Unavailable"))</x:f>
      </x:c>
      <x:c r="N441" s="23" t="str">
        <x:f>IF(C441="","",IFERROR(INDEX('Borrowers'!$I$9:$I$108,MATCH(C441,'Borrowers'!$C$9:$C$108,0))*'Scenario Paths'!J33,"Unavailable"))</x:f>
      </x:c>
      <x:c r="O441" s="23" t="str">
        <x:f>IF(C441="","",IFERROR(M441-INDEX('Borrowers'!$K$9:$K$108,MATCH(C441,'Borrowers'!$C$9:$C$108,0))-N441,"Unavailable"))</x:f>
      </x:c>
      <x:c r="P441" s="127" t="str">
        <x:f>IF(C441="","",IFERROR(O441/INDEX('Borrowers'!$L$9:$L$108,MATCH(C441,'Borrowers'!$C$9:$C$108,0)),"Unavailable"))</x:f>
      </x:c>
      <x:c r="Q441" s="30" t="str">
        <x:f>IF(C441="","",IFERROR(IF(INDEX('Borrowers'!$Z$9:$Z$108,MATCH(C441,'Borrowers'!$C$9:$C$108,0))="Yes",1,IF(INDEX('Borrowers'!$P$9:$P$108,MATCH(C441,'Borrowers'!$C$9:$C$108,0))=0,0,MIN(1,INDEX('Borrowers'!$P$9:$P$108,MATCH(C441,'Borrowers'!$C$9:$C$108,0))*EXP(MIN(20,INDEX('Borrowers'!$V$9:$V$108,MATCH(C441,'Borrowers'!$C$9:$C$108,0))*V441))))),"Unavailable"))</x:f>
      </x:c>
      <x:c r="R441" s="30" t="str">
        <x:f>IF(C441="","",IFERROR(MIN(1,INDEX('Borrowers'!$Q$9:$Q$108,MATCH(C441,'Borrowers'!$C$9:$C$108,0))+(1-INDEX('Borrowers'!$Q$9:$Q$108,MATCH(C441,'Borrowers'!$C$9:$C$108,0)))*T441),"Unavailable"))</x:f>
      </x:c>
      <x:c r="S441" s="30" t="str">
        <x:f>IF(C441="","",IFERROR(SUMPRODUCT((Sites!$D$9:$D$108=C441)*Sites!$I$9:$I$108*Sites!$J$9:$J$108*Sites!$K$9:$K$108*(1-Sites!$L$9:$L$108)),"Unavailable"))</x:f>
      </x:c>
      <x:c r="T441" s="30" t="str">
        <x:f>IF(C441="","",IFERROR(MIN(1,(SUMPRODUCT((Sites!$D$9:$D$108=C441)*Sites!$N$9:$N$108*Sites!$J$9:$J$108*Sites!$K$9:$K$108*(1-Sites!$L$9:$L$108)))*'Scenario Paths'!J27),"Unavailable"))</x:f>
      </x:c>
      <x:c r="U441" s="9" t="str">
        <x:f>IF(C441="","",IF(OR(INDEX('Borrowers'!$AA$9:$AA$108,MATCH(C441,'Borrowers'!$C$9:$C$108,0))&lt;&gt;"Ready",COUNTIF(Sites!$D$9:$D$108,C441)=0,COUNTIFS(Sites!$D$9:$D$108,C441,Sites!$Q$9:$Q$108,"&lt;&gt;Ready")&gt;0,'Scenario Paths'!$F$6&lt;&gt;"Ready"),"Review source inputs","Ready"))</x:f>
      </x:c>
      <x:c r="V441" s="17" t="str">
        <x:f>IF(C441="","",IFERROR(MAX(-1,(G441-O441)/MAX(0.000001,G441)),"Unavailable"))</x:f>
      </x:c>
      <x:c r="W441" s="9" t="str">
        <x:f>IF(C441="","",IFERROR(INDEX('Borrowers'!$D$9:$D$108,MATCH(C441,'Borrowers'!$C$9:$C$108,0)),"Unavailable"))</x:f>
      </x:c>
    </x:row>
    <x:row r="442" ht="26" customHeight="1">
      <x:c r="A442" s="1"/>
      <x:c r="B442" s="1"/>
      <x:c r="C442" s="9" t="str">
        <x:f>IF(Borrowers!C42="","",Borrowers!C42)</x:f>
      </x:c>
      <x:c r="D442" s="3" t="n">
        <x:v>5</x:v>
      </x:c>
      <x:c r="E442" s="9" t="n">
        <x:f>Settings!$F$18+4</x:f>
        <x:v>2031</x:v>
      </x:c>
      <x:c r="F442" s="9" t="str">
        <x:f>IF(C442="","",INDEX('Borrowers'!$F$9:$F$108,MATCH(C442,'Borrowers'!$C$9:$C$108,0)))</x:f>
      </x:c>
      <x:c r="G442" s="23" t="str">
        <x:f>IF(C442="","",IFERROR(INDEX('Borrowers'!$J$9:$J$108,MATCH(C442,'Borrowers'!$C$9:$C$108,0))-INDEX('Borrowers'!$K$9:$K$108,MATCH(C442,'Borrowers'!$C$9:$C$108,0)),"Unavailable"))</x:f>
      </x:c>
      <x:c r="H442" s="23" t="str">
        <x:f>IF(C442="","",IFERROR(INDEX('Borrowers'!$I$9:$I$108,MATCH(C442,'Borrowers'!$C$9:$C$108,0))*INDEX('Borrowers'!$U$9:$U$108,MATCH(C442,'Borrowers'!$C$9:$C$108,0))*(IF(F442="Transport",'Scenario Paths'!J156,IF(F442="Technology",'Scenario Paths'!J150,IF(F442="Utilities",'Scenario Paths'!J144,IF(F442="Agriculture",'Scenario Paths'!J138,IF(F442="Manufacturing",'Scenario Paths'!J132,IF(F442="Healthcare",'Scenario Paths'!J126,IF(F442="Hospitality",'Scenario Paths'!J120,IF(F442="Property",'Scenario Paths'!J114,IF(F442="Food",'Scenario Paths'!J108,IF(F442="Logistics",'Scenario Paths'!J102,IF(F442="Solar",'Scenario Paths'!J96,IF(F442="Cement",'Scenario Paths'!J90,0))))))))))))),"Unavailable"))</x:f>
      </x:c>
      <x:c r="I442" s="23" t="str">
        <x:f>IF(C442="","",IFERROR(INDEX('Borrowers'!$R$9:$R$108,MATCH(C442,'Borrowers'!$C$9:$C$108,0))*(1-INDEX('Borrowers'!$W$9:$W$108,MATCH(C442,'Borrowers'!$C$9:$C$108,0))*'Scenario Paths'!J39)*'Scenario Paths'!J9/1000000*(1-INDEX('Borrowers'!$T$9:$T$108,MATCH(C442,'Borrowers'!$C$9:$C$108,0))),"Unavailable"))</x:f>
      </x:c>
      <x:c r="J442" s="23" t="str">
        <x:f>IF(C442="","",IFERROR(INDEX('Borrowers'!$I$9:$I$108,MATCH(C442,'Borrowers'!$C$9:$C$108,0))*INDEX('Borrowers'!$S$9:$S$108,MATCH(C442,'Borrowers'!$C$9:$C$108,0))*'Scenario Paths'!J15*(1-INDEX('Borrowers'!$T$9:$T$108,MATCH(C442,'Borrowers'!$C$9:$C$108,0))),"Unavailable"))</x:f>
      </x:c>
      <x:c r="K442" s="23" t="str">
        <x:f>IF(C442="","",IFERROR(INDEX('Borrowers'!$I$9:$I$108,MATCH(C442,'Borrowers'!$C$9:$C$108,0))*INDEX('Borrowers'!$U$9:$U$108,MATCH(C442,'Borrowers'!$C$9:$C$108,0))*'Scenario Paths'!J21*S442,"Unavailable"))</x:f>
      </x:c>
      <x:c r="L442" s="23" t="str">
        <x:f>IF(C442="","",IFERROR(SUMPRODUCT((Sites!$D$9:$D$108=C442)*Sites!$H$9:$H$108*Sites!$J$9:$J$108*Sites!$K$9:$K$108*(1-Sites!$L$9:$L$108)*(1-Sites!$M$9:$M$108))*'Scenario Paths'!J27,"Unavailable"))</x:f>
      </x:c>
      <x:c r="M442" s="23" t="str">
        <x:f>IF(C442="","",IFERROR(INDEX('Borrowers'!$J$9:$J$108,MATCH(C442,'Borrowers'!$C$9:$C$108,0))+H442-SUM(I442:L442),"Unavailable"))</x:f>
      </x:c>
      <x:c r="N442" s="23" t="str">
        <x:f>IF(C442="","",IFERROR(INDEX('Borrowers'!$I$9:$I$108,MATCH(C442,'Borrowers'!$C$9:$C$108,0))*'Scenario Paths'!J33,"Unavailable"))</x:f>
      </x:c>
      <x:c r="O442" s="23" t="str">
        <x:f>IF(C442="","",IFERROR(M442-INDEX('Borrowers'!$K$9:$K$108,MATCH(C442,'Borrowers'!$C$9:$C$108,0))-N442,"Unavailable"))</x:f>
      </x:c>
      <x:c r="P442" s="127" t="str">
        <x:f>IF(C442="","",IFERROR(O442/INDEX('Borrowers'!$L$9:$L$108,MATCH(C442,'Borrowers'!$C$9:$C$108,0)),"Unavailable"))</x:f>
      </x:c>
      <x:c r="Q442" s="30" t="str">
        <x:f>IF(C442="","",IFERROR(IF(INDEX('Borrowers'!$Z$9:$Z$108,MATCH(C442,'Borrowers'!$C$9:$C$108,0))="Yes",1,IF(INDEX('Borrowers'!$P$9:$P$108,MATCH(C442,'Borrowers'!$C$9:$C$108,0))=0,0,MIN(1,INDEX('Borrowers'!$P$9:$P$108,MATCH(C442,'Borrowers'!$C$9:$C$108,0))*EXP(MIN(20,INDEX('Borrowers'!$V$9:$V$108,MATCH(C442,'Borrowers'!$C$9:$C$108,0))*V442))))),"Unavailable"))</x:f>
      </x:c>
      <x:c r="R442" s="30" t="str">
        <x:f>IF(C442="","",IFERROR(MIN(1,INDEX('Borrowers'!$Q$9:$Q$108,MATCH(C442,'Borrowers'!$C$9:$C$108,0))+(1-INDEX('Borrowers'!$Q$9:$Q$108,MATCH(C442,'Borrowers'!$C$9:$C$108,0)))*T442),"Unavailable"))</x:f>
      </x:c>
      <x:c r="S442" s="30" t="str">
        <x:f>IF(C442="","",IFERROR(SUMPRODUCT((Sites!$D$9:$D$108=C442)*Sites!$I$9:$I$108*Sites!$J$9:$J$108*Sites!$K$9:$K$108*(1-Sites!$L$9:$L$108)),"Unavailable"))</x:f>
      </x:c>
      <x:c r="T442" s="30" t="str">
        <x:f>IF(C442="","",IFERROR(MIN(1,(SUMPRODUCT((Sites!$D$9:$D$108=C442)*Sites!$N$9:$N$108*Sites!$J$9:$J$108*Sites!$K$9:$K$108*(1-Sites!$L$9:$L$108)))*'Scenario Paths'!J27),"Unavailable"))</x:f>
      </x:c>
      <x:c r="U442" s="9" t="str">
        <x:f>IF(C442="","",IF(OR(INDEX('Borrowers'!$AA$9:$AA$108,MATCH(C442,'Borrowers'!$C$9:$C$108,0))&lt;&gt;"Ready",COUNTIF(Sites!$D$9:$D$108,C442)=0,COUNTIFS(Sites!$D$9:$D$108,C442,Sites!$Q$9:$Q$108,"&lt;&gt;Ready")&gt;0,'Scenario Paths'!$F$6&lt;&gt;"Ready"),"Review source inputs","Ready"))</x:f>
      </x:c>
      <x:c r="V442" s="17" t="str">
        <x:f>IF(C442="","",IFERROR(MAX(-1,(G442-O442)/MAX(0.000001,G442)),"Unavailable"))</x:f>
      </x:c>
      <x:c r="W442" s="9" t="str">
        <x:f>IF(C442="","",IFERROR(INDEX('Borrowers'!$D$9:$D$108,MATCH(C442,'Borrowers'!$C$9:$C$108,0)),"Unavailable"))</x:f>
      </x:c>
    </x:row>
    <x:row r="443" ht="26" customHeight="1">
      <x:c r="A443" s="1"/>
      <x:c r="B443" s="1"/>
      <x:c r="C443" s="9" t="str">
        <x:f>IF(Borrowers!C43="","",Borrowers!C43)</x:f>
      </x:c>
      <x:c r="D443" s="3" t="n">
        <x:v>5</x:v>
      </x:c>
      <x:c r="E443" s="9" t="n">
        <x:f>Settings!$F$18+4</x:f>
        <x:v>2031</x:v>
      </x:c>
      <x:c r="F443" s="9" t="str">
        <x:f>IF(C443="","",INDEX('Borrowers'!$F$9:$F$108,MATCH(C443,'Borrowers'!$C$9:$C$108,0)))</x:f>
      </x:c>
      <x:c r="G443" s="23" t="str">
        <x:f>IF(C443="","",IFERROR(INDEX('Borrowers'!$J$9:$J$108,MATCH(C443,'Borrowers'!$C$9:$C$108,0))-INDEX('Borrowers'!$K$9:$K$108,MATCH(C443,'Borrowers'!$C$9:$C$108,0)),"Unavailable"))</x:f>
      </x:c>
      <x:c r="H443" s="23" t="str">
        <x:f>IF(C443="","",IFERROR(INDEX('Borrowers'!$I$9:$I$108,MATCH(C443,'Borrowers'!$C$9:$C$108,0))*INDEX('Borrowers'!$U$9:$U$108,MATCH(C443,'Borrowers'!$C$9:$C$108,0))*(IF(F443="Transport",'Scenario Paths'!J156,IF(F443="Technology",'Scenario Paths'!J150,IF(F443="Utilities",'Scenario Paths'!J144,IF(F443="Agriculture",'Scenario Paths'!J138,IF(F443="Manufacturing",'Scenario Paths'!J132,IF(F443="Healthcare",'Scenario Paths'!J126,IF(F443="Hospitality",'Scenario Paths'!J120,IF(F443="Property",'Scenario Paths'!J114,IF(F443="Food",'Scenario Paths'!J108,IF(F443="Logistics",'Scenario Paths'!J102,IF(F443="Solar",'Scenario Paths'!J96,IF(F443="Cement",'Scenario Paths'!J90,0))))))))))))),"Unavailable"))</x:f>
      </x:c>
      <x:c r="I443" s="23" t="str">
        <x:f>IF(C443="","",IFERROR(INDEX('Borrowers'!$R$9:$R$108,MATCH(C443,'Borrowers'!$C$9:$C$108,0))*(1-INDEX('Borrowers'!$W$9:$W$108,MATCH(C443,'Borrowers'!$C$9:$C$108,0))*'Scenario Paths'!J39)*'Scenario Paths'!J9/1000000*(1-INDEX('Borrowers'!$T$9:$T$108,MATCH(C443,'Borrowers'!$C$9:$C$108,0))),"Unavailable"))</x:f>
      </x:c>
      <x:c r="J443" s="23" t="str">
        <x:f>IF(C443="","",IFERROR(INDEX('Borrowers'!$I$9:$I$108,MATCH(C443,'Borrowers'!$C$9:$C$108,0))*INDEX('Borrowers'!$S$9:$S$108,MATCH(C443,'Borrowers'!$C$9:$C$108,0))*'Scenario Paths'!J15*(1-INDEX('Borrowers'!$T$9:$T$108,MATCH(C443,'Borrowers'!$C$9:$C$108,0))),"Unavailable"))</x:f>
      </x:c>
      <x:c r="K443" s="23" t="str">
        <x:f>IF(C443="","",IFERROR(INDEX('Borrowers'!$I$9:$I$108,MATCH(C443,'Borrowers'!$C$9:$C$108,0))*INDEX('Borrowers'!$U$9:$U$108,MATCH(C443,'Borrowers'!$C$9:$C$108,0))*'Scenario Paths'!J21*S443,"Unavailable"))</x:f>
      </x:c>
      <x:c r="L443" s="23" t="str">
        <x:f>IF(C443="","",IFERROR(SUMPRODUCT((Sites!$D$9:$D$108=C443)*Sites!$H$9:$H$108*Sites!$J$9:$J$108*Sites!$K$9:$K$108*(1-Sites!$L$9:$L$108)*(1-Sites!$M$9:$M$108))*'Scenario Paths'!J27,"Unavailable"))</x:f>
      </x:c>
      <x:c r="M443" s="23" t="str">
        <x:f>IF(C443="","",IFERROR(INDEX('Borrowers'!$J$9:$J$108,MATCH(C443,'Borrowers'!$C$9:$C$108,0))+H443-SUM(I443:L443),"Unavailable"))</x:f>
      </x:c>
      <x:c r="N443" s="23" t="str">
        <x:f>IF(C443="","",IFERROR(INDEX('Borrowers'!$I$9:$I$108,MATCH(C443,'Borrowers'!$C$9:$C$108,0))*'Scenario Paths'!J33,"Unavailable"))</x:f>
      </x:c>
      <x:c r="O443" s="23" t="str">
        <x:f>IF(C443="","",IFERROR(M443-INDEX('Borrowers'!$K$9:$K$108,MATCH(C443,'Borrowers'!$C$9:$C$108,0))-N443,"Unavailable"))</x:f>
      </x:c>
      <x:c r="P443" s="127" t="str">
        <x:f>IF(C443="","",IFERROR(O443/INDEX('Borrowers'!$L$9:$L$108,MATCH(C443,'Borrowers'!$C$9:$C$108,0)),"Unavailable"))</x:f>
      </x:c>
      <x:c r="Q443" s="30" t="str">
        <x:f>IF(C443="","",IFERROR(IF(INDEX('Borrowers'!$Z$9:$Z$108,MATCH(C443,'Borrowers'!$C$9:$C$108,0))="Yes",1,IF(INDEX('Borrowers'!$P$9:$P$108,MATCH(C443,'Borrowers'!$C$9:$C$108,0))=0,0,MIN(1,INDEX('Borrowers'!$P$9:$P$108,MATCH(C443,'Borrowers'!$C$9:$C$108,0))*EXP(MIN(20,INDEX('Borrowers'!$V$9:$V$108,MATCH(C443,'Borrowers'!$C$9:$C$108,0))*V443))))),"Unavailable"))</x:f>
      </x:c>
      <x:c r="R443" s="30" t="str">
        <x:f>IF(C443="","",IFERROR(MIN(1,INDEX('Borrowers'!$Q$9:$Q$108,MATCH(C443,'Borrowers'!$C$9:$C$108,0))+(1-INDEX('Borrowers'!$Q$9:$Q$108,MATCH(C443,'Borrowers'!$C$9:$C$108,0)))*T443),"Unavailable"))</x:f>
      </x:c>
      <x:c r="S443" s="30" t="str">
        <x:f>IF(C443="","",IFERROR(SUMPRODUCT((Sites!$D$9:$D$108=C443)*Sites!$I$9:$I$108*Sites!$J$9:$J$108*Sites!$K$9:$K$108*(1-Sites!$L$9:$L$108)),"Unavailable"))</x:f>
      </x:c>
      <x:c r="T443" s="30" t="str">
        <x:f>IF(C443="","",IFERROR(MIN(1,(SUMPRODUCT((Sites!$D$9:$D$108=C443)*Sites!$N$9:$N$108*Sites!$J$9:$J$108*Sites!$K$9:$K$108*(1-Sites!$L$9:$L$108)))*'Scenario Paths'!J27),"Unavailable"))</x:f>
      </x:c>
      <x:c r="U443" s="9" t="str">
        <x:f>IF(C443="","",IF(OR(INDEX('Borrowers'!$AA$9:$AA$108,MATCH(C443,'Borrowers'!$C$9:$C$108,0))&lt;&gt;"Ready",COUNTIF(Sites!$D$9:$D$108,C443)=0,COUNTIFS(Sites!$D$9:$D$108,C443,Sites!$Q$9:$Q$108,"&lt;&gt;Ready")&gt;0,'Scenario Paths'!$F$6&lt;&gt;"Ready"),"Review source inputs","Ready"))</x:f>
      </x:c>
      <x:c r="V443" s="17" t="str">
        <x:f>IF(C443="","",IFERROR(MAX(-1,(G443-O443)/MAX(0.000001,G443)),"Unavailable"))</x:f>
      </x:c>
      <x:c r="W443" s="9" t="str">
        <x:f>IF(C443="","",IFERROR(INDEX('Borrowers'!$D$9:$D$108,MATCH(C443,'Borrowers'!$C$9:$C$108,0)),"Unavailable"))</x:f>
      </x:c>
    </x:row>
    <x:row r="444" ht="26" customHeight="1">
      <x:c r="A444" s="1"/>
      <x:c r="B444" s="1"/>
      <x:c r="C444" s="9" t="str">
        <x:f>IF(Borrowers!C44="","",Borrowers!C44)</x:f>
      </x:c>
      <x:c r="D444" s="3" t="n">
        <x:v>5</x:v>
      </x:c>
      <x:c r="E444" s="9" t="n">
        <x:f>Settings!$F$18+4</x:f>
        <x:v>2031</x:v>
      </x:c>
      <x:c r="F444" s="9" t="str">
        <x:f>IF(C444="","",INDEX('Borrowers'!$F$9:$F$108,MATCH(C444,'Borrowers'!$C$9:$C$108,0)))</x:f>
      </x:c>
      <x:c r="G444" s="23" t="str">
        <x:f>IF(C444="","",IFERROR(INDEX('Borrowers'!$J$9:$J$108,MATCH(C444,'Borrowers'!$C$9:$C$108,0))-INDEX('Borrowers'!$K$9:$K$108,MATCH(C444,'Borrowers'!$C$9:$C$108,0)),"Unavailable"))</x:f>
      </x:c>
      <x:c r="H444" s="23" t="str">
        <x:f>IF(C444="","",IFERROR(INDEX('Borrowers'!$I$9:$I$108,MATCH(C444,'Borrowers'!$C$9:$C$108,0))*INDEX('Borrowers'!$U$9:$U$108,MATCH(C444,'Borrowers'!$C$9:$C$108,0))*(IF(F444="Transport",'Scenario Paths'!J156,IF(F444="Technology",'Scenario Paths'!J150,IF(F444="Utilities",'Scenario Paths'!J144,IF(F444="Agriculture",'Scenario Paths'!J138,IF(F444="Manufacturing",'Scenario Paths'!J132,IF(F444="Healthcare",'Scenario Paths'!J126,IF(F444="Hospitality",'Scenario Paths'!J120,IF(F444="Property",'Scenario Paths'!J114,IF(F444="Food",'Scenario Paths'!J108,IF(F444="Logistics",'Scenario Paths'!J102,IF(F444="Solar",'Scenario Paths'!J96,IF(F444="Cement",'Scenario Paths'!J90,0))))))))))))),"Unavailable"))</x:f>
      </x:c>
      <x:c r="I444" s="23" t="str">
        <x:f>IF(C444="","",IFERROR(INDEX('Borrowers'!$R$9:$R$108,MATCH(C444,'Borrowers'!$C$9:$C$108,0))*(1-INDEX('Borrowers'!$W$9:$W$108,MATCH(C444,'Borrowers'!$C$9:$C$108,0))*'Scenario Paths'!J39)*'Scenario Paths'!J9/1000000*(1-INDEX('Borrowers'!$T$9:$T$108,MATCH(C444,'Borrowers'!$C$9:$C$108,0))),"Unavailable"))</x:f>
      </x:c>
      <x:c r="J444" s="23" t="str">
        <x:f>IF(C444="","",IFERROR(INDEX('Borrowers'!$I$9:$I$108,MATCH(C444,'Borrowers'!$C$9:$C$108,0))*INDEX('Borrowers'!$S$9:$S$108,MATCH(C444,'Borrowers'!$C$9:$C$108,0))*'Scenario Paths'!J15*(1-INDEX('Borrowers'!$T$9:$T$108,MATCH(C444,'Borrowers'!$C$9:$C$108,0))),"Unavailable"))</x:f>
      </x:c>
      <x:c r="K444" s="23" t="str">
        <x:f>IF(C444="","",IFERROR(INDEX('Borrowers'!$I$9:$I$108,MATCH(C444,'Borrowers'!$C$9:$C$108,0))*INDEX('Borrowers'!$U$9:$U$108,MATCH(C444,'Borrowers'!$C$9:$C$108,0))*'Scenario Paths'!J21*S444,"Unavailable"))</x:f>
      </x:c>
      <x:c r="L444" s="23" t="str">
        <x:f>IF(C444="","",IFERROR(SUMPRODUCT((Sites!$D$9:$D$108=C444)*Sites!$H$9:$H$108*Sites!$J$9:$J$108*Sites!$K$9:$K$108*(1-Sites!$L$9:$L$108)*(1-Sites!$M$9:$M$108))*'Scenario Paths'!J27,"Unavailable"))</x:f>
      </x:c>
      <x:c r="M444" s="23" t="str">
        <x:f>IF(C444="","",IFERROR(INDEX('Borrowers'!$J$9:$J$108,MATCH(C444,'Borrowers'!$C$9:$C$108,0))+H444-SUM(I444:L444),"Unavailable"))</x:f>
      </x:c>
      <x:c r="N444" s="23" t="str">
        <x:f>IF(C444="","",IFERROR(INDEX('Borrowers'!$I$9:$I$108,MATCH(C444,'Borrowers'!$C$9:$C$108,0))*'Scenario Paths'!J33,"Unavailable"))</x:f>
      </x:c>
      <x:c r="O444" s="23" t="str">
        <x:f>IF(C444="","",IFERROR(M444-INDEX('Borrowers'!$K$9:$K$108,MATCH(C444,'Borrowers'!$C$9:$C$108,0))-N444,"Unavailable"))</x:f>
      </x:c>
      <x:c r="P444" s="127" t="str">
        <x:f>IF(C444="","",IFERROR(O444/INDEX('Borrowers'!$L$9:$L$108,MATCH(C444,'Borrowers'!$C$9:$C$108,0)),"Unavailable"))</x:f>
      </x:c>
      <x:c r="Q444" s="30" t="str">
        <x:f>IF(C444="","",IFERROR(IF(INDEX('Borrowers'!$Z$9:$Z$108,MATCH(C444,'Borrowers'!$C$9:$C$108,0))="Yes",1,IF(INDEX('Borrowers'!$P$9:$P$108,MATCH(C444,'Borrowers'!$C$9:$C$108,0))=0,0,MIN(1,INDEX('Borrowers'!$P$9:$P$108,MATCH(C444,'Borrowers'!$C$9:$C$108,0))*EXP(MIN(20,INDEX('Borrowers'!$V$9:$V$108,MATCH(C444,'Borrowers'!$C$9:$C$108,0))*V444))))),"Unavailable"))</x:f>
      </x:c>
      <x:c r="R444" s="30" t="str">
        <x:f>IF(C444="","",IFERROR(MIN(1,INDEX('Borrowers'!$Q$9:$Q$108,MATCH(C444,'Borrowers'!$C$9:$C$108,0))+(1-INDEX('Borrowers'!$Q$9:$Q$108,MATCH(C444,'Borrowers'!$C$9:$C$108,0)))*T444),"Unavailable"))</x:f>
      </x:c>
      <x:c r="S444" s="30" t="str">
        <x:f>IF(C444="","",IFERROR(SUMPRODUCT((Sites!$D$9:$D$108=C444)*Sites!$I$9:$I$108*Sites!$J$9:$J$108*Sites!$K$9:$K$108*(1-Sites!$L$9:$L$108)),"Unavailable"))</x:f>
      </x:c>
      <x:c r="T444" s="30" t="str">
        <x:f>IF(C444="","",IFERROR(MIN(1,(SUMPRODUCT((Sites!$D$9:$D$108=C444)*Sites!$N$9:$N$108*Sites!$J$9:$J$108*Sites!$K$9:$K$108*(1-Sites!$L$9:$L$108)))*'Scenario Paths'!J27),"Unavailable"))</x:f>
      </x:c>
      <x:c r="U444" s="9" t="str">
        <x:f>IF(C444="","",IF(OR(INDEX('Borrowers'!$AA$9:$AA$108,MATCH(C444,'Borrowers'!$C$9:$C$108,0))&lt;&gt;"Ready",COUNTIF(Sites!$D$9:$D$108,C444)=0,COUNTIFS(Sites!$D$9:$D$108,C444,Sites!$Q$9:$Q$108,"&lt;&gt;Ready")&gt;0,'Scenario Paths'!$F$6&lt;&gt;"Ready"),"Review source inputs","Ready"))</x:f>
      </x:c>
      <x:c r="V444" s="17" t="str">
        <x:f>IF(C444="","",IFERROR(MAX(-1,(G444-O444)/MAX(0.000001,G444)),"Unavailable"))</x:f>
      </x:c>
      <x:c r="W444" s="9" t="str">
        <x:f>IF(C444="","",IFERROR(INDEX('Borrowers'!$D$9:$D$108,MATCH(C444,'Borrowers'!$C$9:$C$108,0)),"Unavailable"))</x:f>
      </x:c>
    </x:row>
    <x:row r="445" ht="26" customHeight="1">
      <x:c r="A445" s="1"/>
      <x:c r="B445" s="1"/>
      <x:c r="C445" s="9" t="str">
        <x:f>IF(Borrowers!C45="","",Borrowers!C45)</x:f>
      </x:c>
      <x:c r="D445" s="3" t="n">
        <x:v>5</x:v>
      </x:c>
      <x:c r="E445" s="9" t="n">
        <x:f>Settings!$F$18+4</x:f>
        <x:v>2031</x:v>
      </x:c>
      <x:c r="F445" s="9" t="str">
        <x:f>IF(C445="","",INDEX('Borrowers'!$F$9:$F$108,MATCH(C445,'Borrowers'!$C$9:$C$108,0)))</x:f>
      </x:c>
      <x:c r="G445" s="23" t="str">
        <x:f>IF(C445="","",IFERROR(INDEX('Borrowers'!$J$9:$J$108,MATCH(C445,'Borrowers'!$C$9:$C$108,0))-INDEX('Borrowers'!$K$9:$K$108,MATCH(C445,'Borrowers'!$C$9:$C$108,0)),"Unavailable"))</x:f>
      </x:c>
      <x:c r="H445" s="23" t="str">
        <x:f>IF(C445="","",IFERROR(INDEX('Borrowers'!$I$9:$I$108,MATCH(C445,'Borrowers'!$C$9:$C$108,0))*INDEX('Borrowers'!$U$9:$U$108,MATCH(C445,'Borrowers'!$C$9:$C$108,0))*(IF(F445="Transport",'Scenario Paths'!J156,IF(F445="Technology",'Scenario Paths'!J150,IF(F445="Utilities",'Scenario Paths'!J144,IF(F445="Agriculture",'Scenario Paths'!J138,IF(F445="Manufacturing",'Scenario Paths'!J132,IF(F445="Healthcare",'Scenario Paths'!J126,IF(F445="Hospitality",'Scenario Paths'!J120,IF(F445="Property",'Scenario Paths'!J114,IF(F445="Food",'Scenario Paths'!J108,IF(F445="Logistics",'Scenario Paths'!J102,IF(F445="Solar",'Scenario Paths'!J96,IF(F445="Cement",'Scenario Paths'!J90,0))))))))))))),"Unavailable"))</x:f>
      </x:c>
      <x:c r="I445" s="23" t="str">
        <x:f>IF(C445="","",IFERROR(INDEX('Borrowers'!$R$9:$R$108,MATCH(C445,'Borrowers'!$C$9:$C$108,0))*(1-INDEX('Borrowers'!$W$9:$W$108,MATCH(C445,'Borrowers'!$C$9:$C$108,0))*'Scenario Paths'!J39)*'Scenario Paths'!J9/1000000*(1-INDEX('Borrowers'!$T$9:$T$108,MATCH(C445,'Borrowers'!$C$9:$C$108,0))),"Unavailable"))</x:f>
      </x:c>
      <x:c r="J445" s="23" t="str">
        <x:f>IF(C445="","",IFERROR(INDEX('Borrowers'!$I$9:$I$108,MATCH(C445,'Borrowers'!$C$9:$C$108,0))*INDEX('Borrowers'!$S$9:$S$108,MATCH(C445,'Borrowers'!$C$9:$C$108,0))*'Scenario Paths'!J15*(1-INDEX('Borrowers'!$T$9:$T$108,MATCH(C445,'Borrowers'!$C$9:$C$108,0))),"Unavailable"))</x:f>
      </x:c>
      <x:c r="K445" s="23" t="str">
        <x:f>IF(C445="","",IFERROR(INDEX('Borrowers'!$I$9:$I$108,MATCH(C445,'Borrowers'!$C$9:$C$108,0))*INDEX('Borrowers'!$U$9:$U$108,MATCH(C445,'Borrowers'!$C$9:$C$108,0))*'Scenario Paths'!J21*S445,"Unavailable"))</x:f>
      </x:c>
      <x:c r="L445" s="23" t="str">
        <x:f>IF(C445="","",IFERROR(SUMPRODUCT((Sites!$D$9:$D$108=C445)*Sites!$H$9:$H$108*Sites!$J$9:$J$108*Sites!$K$9:$K$108*(1-Sites!$L$9:$L$108)*(1-Sites!$M$9:$M$108))*'Scenario Paths'!J27,"Unavailable"))</x:f>
      </x:c>
      <x:c r="M445" s="23" t="str">
        <x:f>IF(C445="","",IFERROR(INDEX('Borrowers'!$J$9:$J$108,MATCH(C445,'Borrowers'!$C$9:$C$108,0))+H445-SUM(I445:L445),"Unavailable"))</x:f>
      </x:c>
      <x:c r="N445" s="23" t="str">
        <x:f>IF(C445="","",IFERROR(INDEX('Borrowers'!$I$9:$I$108,MATCH(C445,'Borrowers'!$C$9:$C$108,0))*'Scenario Paths'!J33,"Unavailable"))</x:f>
      </x:c>
      <x:c r="O445" s="23" t="str">
        <x:f>IF(C445="","",IFERROR(M445-INDEX('Borrowers'!$K$9:$K$108,MATCH(C445,'Borrowers'!$C$9:$C$108,0))-N445,"Unavailable"))</x:f>
      </x:c>
      <x:c r="P445" s="127" t="str">
        <x:f>IF(C445="","",IFERROR(O445/INDEX('Borrowers'!$L$9:$L$108,MATCH(C445,'Borrowers'!$C$9:$C$108,0)),"Unavailable"))</x:f>
      </x:c>
      <x:c r="Q445" s="30" t="str">
        <x:f>IF(C445="","",IFERROR(IF(INDEX('Borrowers'!$Z$9:$Z$108,MATCH(C445,'Borrowers'!$C$9:$C$108,0))="Yes",1,IF(INDEX('Borrowers'!$P$9:$P$108,MATCH(C445,'Borrowers'!$C$9:$C$108,0))=0,0,MIN(1,INDEX('Borrowers'!$P$9:$P$108,MATCH(C445,'Borrowers'!$C$9:$C$108,0))*EXP(MIN(20,INDEX('Borrowers'!$V$9:$V$108,MATCH(C445,'Borrowers'!$C$9:$C$108,0))*V445))))),"Unavailable"))</x:f>
      </x:c>
      <x:c r="R445" s="30" t="str">
        <x:f>IF(C445="","",IFERROR(MIN(1,INDEX('Borrowers'!$Q$9:$Q$108,MATCH(C445,'Borrowers'!$C$9:$C$108,0))+(1-INDEX('Borrowers'!$Q$9:$Q$108,MATCH(C445,'Borrowers'!$C$9:$C$108,0)))*T445),"Unavailable"))</x:f>
      </x:c>
      <x:c r="S445" s="30" t="str">
        <x:f>IF(C445="","",IFERROR(SUMPRODUCT((Sites!$D$9:$D$108=C445)*Sites!$I$9:$I$108*Sites!$J$9:$J$108*Sites!$K$9:$K$108*(1-Sites!$L$9:$L$108)),"Unavailable"))</x:f>
      </x:c>
      <x:c r="T445" s="30" t="str">
        <x:f>IF(C445="","",IFERROR(MIN(1,(SUMPRODUCT((Sites!$D$9:$D$108=C445)*Sites!$N$9:$N$108*Sites!$J$9:$J$108*Sites!$K$9:$K$108*(1-Sites!$L$9:$L$108)))*'Scenario Paths'!J27),"Unavailable"))</x:f>
      </x:c>
      <x:c r="U445" s="9" t="str">
        <x:f>IF(C445="","",IF(OR(INDEX('Borrowers'!$AA$9:$AA$108,MATCH(C445,'Borrowers'!$C$9:$C$108,0))&lt;&gt;"Ready",COUNTIF(Sites!$D$9:$D$108,C445)=0,COUNTIFS(Sites!$D$9:$D$108,C445,Sites!$Q$9:$Q$108,"&lt;&gt;Ready")&gt;0,'Scenario Paths'!$F$6&lt;&gt;"Ready"),"Review source inputs","Ready"))</x:f>
      </x:c>
      <x:c r="V445" s="17" t="str">
        <x:f>IF(C445="","",IFERROR(MAX(-1,(G445-O445)/MAX(0.000001,G445)),"Unavailable"))</x:f>
      </x:c>
      <x:c r="W445" s="9" t="str">
        <x:f>IF(C445="","",IFERROR(INDEX('Borrowers'!$D$9:$D$108,MATCH(C445,'Borrowers'!$C$9:$C$108,0)),"Unavailable"))</x:f>
      </x:c>
    </x:row>
    <x:row r="446" ht="26" customHeight="1">
      <x:c r="A446" s="1"/>
      <x:c r="B446" s="1"/>
      <x:c r="C446" s="9" t="str">
        <x:f>IF(Borrowers!C46="","",Borrowers!C46)</x:f>
      </x:c>
      <x:c r="D446" s="3" t="n">
        <x:v>5</x:v>
      </x:c>
      <x:c r="E446" s="9" t="n">
        <x:f>Settings!$F$18+4</x:f>
        <x:v>2031</x:v>
      </x:c>
      <x:c r="F446" s="9" t="str">
        <x:f>IF(C446="","",INDEX('Borrowers'!$F$9:$F$108,MATCH(C446,'Borrowers'!$C$9:$C$108,0)))</x:f>
      </x:c>
      <x:c r="G446" s="23" t="str">
        <x:f>IF(C446="","",IFERROR(INDEX('Borrowers'!$J$9:$J$108,MATCH(C446,'Borrowers'!$C$9:$C$108,0))-INDEX('Borrowers'!$K$9:$K$108,MATCH(C446,'Borrowers'!$C$9:$C$108,0)),"Unavailable"))</x:f>
      </x:c>
      <x:c r="H446" s="23" t="str">
        <x:f>IF(C446="","",IFERROR(INDEX('Borrowers'!$I$9:$I$108,MATCH(C446,'Borrowers'!$C$9:$C$108,0))*INDEX('Borrowers'!$U$9:$U$108,MATCH(C446,'Borrowers'!$C$9:$C$108,0))*(IF(F446="Transport",'Scenario Paths'!J156,IF(F446="Technology",'Scenario Paths'!J150,IF(F446="Utilities",'Scenario Paths'!J144,IF(F446="Agriculture",'Scenario Paths'!J138,IF(F446="Manufacturing",'Scenario Paths'!J132,IF(F446="Healthcare",'Scenario Paths'!J126,IF(F446="Hospitality",'Scenario Paths'!J120,IF(F446="Property",'Scenario Paths'!J114,IF(F446="Food",'Scenario Paths'!J108,IF(F446="Logistics",'Scenario Paths'!J102,IF(F446="Solar",'Scenario Paths'!J96,IF(F446="Cement",'Scenario Paths'!J90,0))))))))))))),"Unavailable"))</x:f>
      </x:c>
      <x:c r="I446" s="23" t="str">
        <x:f>IF(C446="","",IFERROR(INDEX('Borrowers'!$R$9:$R$108,MATCH(C446,'Borrowers'!$C$9:$C$108,0))*(1-INDEX('Borrowers'!$W$9:$W$108,MATCH(C446,'Borrowers'!$C$9:$C$108,0))*'Scenario Paths'!J39)*'Scenario Paths'!J9/1000000*(1-INDEX('Borrowers'!$T$9:$T$108,MATCH(C446,'Borrowers'!$C$9:$C$108,0))),"Unavailable"))</x:f>
      </x:c>
      <x:c r="J446" s="23" t="str">
        <x:f>IF(C446="","",IFERROR(INDEX('Borrowers'!$I$9:$I$108,MATCH(C446,'Borrowers'!$C$9:$C$108,0))*INDEX('Borrowers'!$S$9:$S$108,MATCH(C446,'Borrowers'!$C$9:$C$108,0))*'Scenario Paths'!J15*(1-INDEX('Borrowers'!$T$9:$T$108,MATCH(C446,'Borrowers'!$C$9:$C$108,0))),"Unavailable"))</x:f>
      </x:c>
      <x:c r="K446" s="23" t="str">
        <x:f>IF(C446="","",IFERROR(INDEX('Borrowers'!$I$9:$I$108,MATCH(C446,'Borrowers'!$C$9:$C$108,0))*INDEX('Borrowers'!$U$9:$U$108,MATCH(C446,'Borrowers'!$C$9:$C$108,0))*'Scenario Paths'!J21*S446,"Unavailable"))</x:f>
      </x:c>
      <x:c r="L446" s="23" t="str">
        <x:f>IF(C446="","",IFERROR(SUMPRODUCT((Sites!$D$9:$D$108=C446)*Sites!$H$9:$H$108*Sites!$J$9:$J$108*Sites!$K$9:$K$108*(1-Sites!$L$9:$L$108)*(1-Sites!$M$9:$M$108))*'Scenario Paths'!J27,"Unavailable"))</x:f>
      </x:c>
      <x:c r="M446" s="23" t="str">
        <x:f>IF(C446="","",IFERROR(INDEX('Borrowers'!$J$9:$J$108,MATCH(C446,'Borrowers'!$C$9:$C$108,0))+H446-SUM(I446:L446),"Unavailable"))</x:f>
      </x:c>
      <x:c r="N446" s="23" t="str">
        <x:f>IF(C446="","",IFERROR(INDEX('Borrowers'!$I$9:$I$108,MATCH(C446,'Borrowers'!$C$9:$C$108,0))*'Scenario Paths'!J33,"Unavailable"))</x:f>
      </x:c>
      <x:c r="O446" s="23" t="str">
        <x:f>IF(C446="","",IFERROR(M446-INDEX('Borrowers'!$K$9:$K$108,MATCH(C446,'Borrowers'!$C$9:$C$108,0))-N446,"Unavailable"))</x:f>
      </x:c>
      <x:c r="P446" s="127" t="str">
        <x:f>IF(C446="","",IFERROR(O446/INDEX('Borrowers'!$L$9:$L$108,MATCH(C446,'Borrowers'!$C$9:$C$108,0)),"Unavailable"))</x:f>
      </x:c>
      <x:c r="Q446" s="30" t="str">
        <x:f>IF(C446="","",IFERROR(IF(INDEX('Borrowers'!$Z$9:$Z$108,MATCH(C446,'Borrowers'!$C$9:$C$108,0))="Yes",1,IF(INDEX('Borrowers'!$P$9:$P$108,MATCH(C446,'Borrowers'!$C$9:$C$108,0))=0,0,MIN(1,INDEX('Borrowers'!$P$9:$P$108,MATCH(C446,'Borrowers'!$C$9:$C$108,0))*EXP(MIN(20,INDEX('Borrowers'!$V$9:$V$108,MATCH(C446,'Borrowers'!$C$9:$C$108,0))*V446))))),"Unavailable"))</x:f>
      </x:c>
      <x:c r="R446" s="30" t="str">
        <x:f>IF(C446="","",IFERROR(MIN(1,INDEX('Borrowers'!$Q$9:$Q$108,MATCH(C446,'Borrowers'!$C$9:$C$108,0))+(1-INDEX('Borrowers'!$Q$9:$Q$108,MATCH(C446,'Borrowers'!$C$9:$C$108,0)))*T446),"Unavailable"))</x:f>
      </x:c>
      <x:c r="S446" s="30" t="str">
        <x:f>IF(C446="","",IFERROR(SUMPRODUCT((Sites!$D$9:$D$108=C446)*Sites!$I$9:$I$108*Sites!$J$9:$J$108*Sites!$K$9:$K$108*(1-Sites!$L$9:$L$108)),"Unavailable"))</x:f>
      </x:c>
      <x:c r="T446" s="30" t="str">
        <x:f>IF(C446="","",IFERROR(MIN(1,(SUMPRODUCT((Sites!$D$9:$D$108=C446)*Sites!$N$9:$N$108*Sites!$J$9:$J$108*Sites!$K$9:$K$108*(1-Sites!$L$9:$L$108)))*'Scenario Paths'!J27),"Unavailable"))</x:f>
      </x:c>
      <x:c r="U446" s="9" t="str">
        <x:f>IF(C446="","",IF(OR(INDEX('Borrowers'!$AA$9:$AA$108,MATCH(C446,'Borrowers'!$C$9:$C$108,0))&lt;&gt;"Ready",COUNTIF(Sites!$D$9:$D$108,C446)=0,COUNTIFS(Sites!$D$9:$D$108,C446,Sites!$Q$9:$Q$108,"&lt;&gt;Ready")&gt;0,'Scenario Paths'!$F$6&lt;&gt;"Ready"),"Review source inputs","Ready"))</x:f>
      </x:c>
      <x:c r="V446" s="17" t="str">
        <x:f>IF(C446="","",IFERROR(MAX(-1,(G446-O446)/MAX(0.000001,G446)),"Unavailable"))</x:f>
      </x:c>
      <x:c r="W446" s="9" t="str">
        <x:f>IF(C446="","",IFERROR(INDEX('Borrowers'!$D$9:$D$108,MATCH(C446,'Borrowers'!$C$9:$C$108,0)),"Unavailable"))</x:f>
      </x:c>
    </x:row>
    <x:row r="447" ht="26" customHeight="1">
      <x:c r="A447" s="1"/>
      <x:c r="B447" s="1"/>
      <x:c r="C447" s="9" t="str">
        <x:f>IF(Borrowers!C47="","",Borrowers!C47)</x:f>
      </x:c>
      <x:c r="D447" s="3" t="n">
        <x:v>5</x:v>
      </x:c>
      <x:c r="E447" s="9" t="n">
        <x:f>Settings!$F$18+4</x:f>
        <x:v>2031</x:v>
      </x:c>
      <x:c r="F447" s="9" t="str">
        <x:f>IF(C447="","",INDEX('Borrowers'!$F$9:$F$108,MATCH(C447,'Borrowers'!$C$9:$C$108,0)))</x:f>
      </x:c>
      <x:c r="G447" s="23" t="str">
        <x:f>IF(C447="","",IFERROR(INDEX('Borrowers'!$J$9:$J$108,MATCH(C447,'Borrowers'!$C$9:$C$108,0))-INDEX('Borrowers'!$K$9:$K$108,MATCH(C447,'Borrowers'!$C$9:$C$108,0)),"Unavailable"))</x:f>
      </x:c>
      <x:c r="H447" s="23" t="str">
        <x:f>IF(C447="","",IFERROR(INDEX('Borrowers'!$I$9:$I$108,MATCH(C447,'Borrowers'!$C$9:$C$108,0))*INDEX('Borrowers'!$U$9:$U$108,MATCH(C447,'Borrowers'!$C$9:$C$108,0))*(IF(F447="Transport",'Scenario Paths'!J156,IF(F447="Technology",'Scenario Paths'!J150,IF(F447="Utilities",'Scenario Paths'!J144,IF(F447="Agriculture",'Scenario Paths'!J138,IF(F447="Manufacturing",'Scenario Paths'!J132,IF(F447="Healthcare",'Scenario Paths'!J126,IF(F447="Hospitality",'Scenario Paths'!J120,IF(F447="Property",'Scenario Paths'!J114,IF(F447="Food",'Scenario Paths'!J108,IF(F447="Logistics",'Scenario Paths'!J102,IF(F447="Solar",'Scenario Paths'!J96,IF(F447="Cement",'Scenario Paths'!J90,0))))))))))))),"Unavailable"))</x:f>
      </x:c>
      <x:c r="I447" s="23" t="str">
        <x:f>IF(C447="","",IFERROR(INDEX('Borrowers'!$R$9:$R$108,MATCH(C447,'Borrowers'!$C$9:$C$108,0))*(1-INDEX('Borrowers'!$W$9:$W$108,MATCH(C447,'Borrowers'!$C$9:$C$108,0))*'Scenario Paths'!J39)*'Scenario Paths'!J9/1000000*(1-INDEX('Borrowers'!$T$9:$T$108,MATCH(C447,'Borrowers'!$C$9:$C$108,0))),"Unavailable"))</x:f>
      </x:c>
      <x:c r="J447" s="23" t="str">
        <x:f>IF(C447="","",IFERROR(INDEX('Borrowers'!$I$9:$I$108,MATCH(C447,'Borrowers'!$C$9:$C$108,0))*INDEX('Borrowers'!$S$9:$S$108,MATCH(C447,'Borrowers'!$C$9:$C$108,0))*'Scenario Paths'!J15*(1-INDEX('Borrowers'!$T$9:$T$108,MATCH(C447,'Borrowers'!$C$9:$C$108,0))),"Unavailable"))</x:f>
      </x:c>
      <x:c r="K447" s="23" t="str">
        <x:f>IF(C447="","",IFERROR(INDEX('Borrowers'!$I$9:$I$108,MATCH(C447,'Borrowers'!$C$9:$C$108,0))*INDEX('Borrowers'!$U$9:$U$108,MATCH(C447,'Borrowers'!$C$9:$C$108,0))*'Scenario Paths'!J21*S447,"Unavailable"))</x:f>
      </x:c>
      <x:c r="L447" s="23" t="str">
        <x:f>IF(C447="","",IFERROR(SUMPRODUCT((Sites!$D$9:$D$108=C447)*Sites!$H$9:$H$108*Sites!$J$9:$J$108*Sites!$K$9:$K$108*(1-Sites!$L$9:$L$108)*(1-Sites!$M$9:$M$108))*'Scenario Paths'!J27,"Unavailable"))</x:f>
      </x:c>
      <x:c r="M447" s="23" t="str">
        <x:f>IF(C447="","",IFERROR(INDEX('Borrowers'!$J$9:$J$108,MATCH(C447,'Borrowers'!$C$9:$C$108,0))+H447-SUM(I447:L447),"Unavailable"))</x:f>
      </x:c>
      <x:c r="N447" s="23" t="str">
        <x:f>IF(C447="","",IFERROR(INDEX('Borrowers'!$I$9:$I$108,MATCH(C447,'Borrowers'!$C$9:$C$108,0))*'Scenario Paths'!J33,"Unavailable"))</x:f>
      </x:c>
      <x:c r="O447" s="23" t="str">
        <x:f>IF(C447="","",IFERROR(M447-INDEX('Borrowers'!$K$9:$K$108,MATCH(C447,'Borrowers'!$C$9:$C$108,0))-N447,"Unavailable"))</x:f>
      </x:c>
      <x:c r="P447" s="127" t="str">
        <x:f>IF(C447="","",IFERROR(O447/INDEX('Borrowers'!$L$9:$L$108,MATCH(C447,'Borrowers'!$C$9:$C$108,0)),"Unavailable"))</x:f>
      </x:c>
      <x:c r="Q447" s="30" t="str">
        <x:f>IF(C447="","",IFERROR(IF(INDEX('Borrowers'!$Z$9:$Z$108,MATCH(C447,'Borrowers'!$C$9:$C$108,0))="Yes",1,IF(INDEX('Borrowers'!$P$9:$P$108,MATCH(C447,'Borrowers'!$C$9:$C$108,0))=0,0,MIN(1,INDEX('Borrowers'!$P$9:$P$108,MATCH(C447,'Borrowers'!$C$9:$C$108,0))*EXP(MIN(20,INDEX('Borrowers'!$V$9:$V$108,MATCH(C447,'Borrowers'!$C$9:$C$108,0))*V447))))),"Unavailable"))</x:f>
      </x:c>
      <x:c r="R447" s="30" t="str">
        <x:f>IF(C447="","",IFERROR(MIN(1,INDEX('Borrowers'!$Q$9:$Q$108,MATCH(C447,'Borrowers'!$C$9:$C$108,0))+(1-INDEX('Borrowers'!$Q$9:$Q$108,MATCH(C447,'Borrowers'!$C$9:$C$108,0)))*T447),"Unavailable"))</x:f>
      </x:c>
      <x:c r="S447" s="30" t="str">
        <x:f>IF(C447="","",IFERROR(SUMPRODUCT((Sites!$D$9:$D$108=C447)*Sites!$I$9:$I$108*Sites!$J$9:$J$108*Sites!$K$9:$K$108*(1-Sites!$L$9:$L$108)),"Unavailable"))</x:f>
      </x:c>
      <x:c r="T447" s="30" t="str">
        <x:f>IF(C447="","",IFERROR(MIN(1,(SUMPRODUCT((Sites!$D$9:$D$108=C447)*Sites!$N$9:$N$108*Sites!$J$9:$J$108*Sites!$K$9:$K$108*(1-Sites!$L$9:$L$108)))*'Scenario Paths'!J27),"Unavailable"))</x:f>
      </x:c>
      <x:c r="U447" s="9" t="str">
        <x:f>IF(C447="","",IF(OR(INDEX('Borrowers'!$AA$9:$AA$108,MATCH(C447,'Borrowers'!$C$9:$C$108,0))&lt;&gt;"Ready",COUNTIF(Sites!$D$9:$D$108,C447)=0,COUNTIFS(Sites!$D$9:$D$108,C447,Sites!$Q$9:$Q$108,"&lt;&gt;Ready")&gt;0,'Scenario Paths'!$F$6&lt;&gt;"Ready"),"Review source inputs","Ready"))</x:f>
      </x:c>
      <x:c r="V447" s="17" t="str">
        <x:f>IF(C447="","",IFERROR(MAX(-1,(G447-O447)/MAX(0.000001,G447)),"Unavailable"))</x:f>
      </x:c>
      <x:c r="W447" s="9" t="str">
        <x:f>IF(C447="","",IFERROR(INDEX('Borrowers'!$D$9:$D$108,MATCH(C447,'Borrowers'!$C$9:$C$108,0)),"Unavailable"))</x:f>
      </x:c>
    </x:row>
    <x:row r="448" ht="26" customHeight="1">
      <x:c r="A448" s="1"/>
      <x:c r="B448" s="1"/>
      <x:c r="C448" s="9" t="str">
        <x:f>IF(Borrowers!C48="","",Borrowers!C48)</x:f>
      </x:c>
      <x:c r="D448" s="3" t="n">
        <x:v>5</x:v>
      </x:c>
      <x:c r="E448" s="9" t="n">
        <x:f>Settings!$F$18+4</x:f>
        <x:v>2031</x:v>
      </x:c>
      <x:c r="F448" s="9" t="str">
        <x:f>IF(C448="","",INDEX('Borrowers'!$F$9:$F$108,MATCH(C448,'Borrowers'!$C$9:$C$108,0)))</x:f>
      </x:c>
      <x:c r="G448" s="23" t="str">
        <x:f>IF(C448="","",IFERROR(INDEX('Borrowers'!$J$9:$J$108,MATCH(C448,'Borrowers'!$C$9:$C$108,0))-INDEX('Borrowers'!$K$9:$K$108,MATCH(C448,'Borrowers'!$C$9:$C$108,0)),"Unavailable"))</x:f>
      </x:c>
      <x:c r="H448" s="23" t="str">
        <x:f>IF(C448="","",IFERROR(INDEX('Borrowers'!$I$9:$I$108,MATCH(C448,'Borrowers'!$C$9:$C$108,0))*INDEX('Borrowers'!$U$9:$U$108,MATCH(C448,'Borrowers'!$C$9:$C$108,0))*(IF(F448="Transport",'Scenario Paths'!J156,IF(F448="Technology",'Scenario Paths'!J150,IF(F448="Utilities",'Scenario Paths'!J144,IF(F448="Agriculture",'Scenario Paths'!J138,IF(F448="Manufacturing",'Scenario Paths'!J132,IF(F448="Healthcare",'Scenario Paths'!J126,IF(F448="Hospitality",'Scenario Paths'!J120,IF(F448="Property",'Scenario Paths'!J114,IF(F448="Food",'Scenario Paths'!J108,IF(F448="Logistics",'Scenario Paths'!J102,IF(F448="Solar",'Scenario Paths'!J96,IF(F448="Cement",'Scenario Paths'!J90,0))))))))))))),"Unavailable"))</x:f>
      </x:c>
      <x:c r="I448" s="23" t="str">
        <x:f>IF(C448="","",IFERROR(INDEX('Borrowers'!$R$9:$R$108,MATCH(C448,'Borrowers'!$C$9:$C$108,0))*(1-INDEX('Borrowers'!$W$9:$W$108,MATCH(C448,'Borrowers'!$C$9:$C$108,0))*'Scenario Paths'!J39)*'Scenario Paths'!J9/1000000*(1-INDEX('Borrowers'!$T$9:$T$108,MATCH(C448,'Borrowers'!$C$9:$C$108,0))),"Unavailable"))</x:f>
      </x:c>
      <x:c r="J448" s="23" t="str">
        <x:f>IF(C448="","",IFERROR(INDEX('Borrowers'!$I$9:$I$108,MATCH(C448,'Borrowers'!$C$9:$C$108,0))*INDEX('Borrowers'!$S$9:$S$108,MATCH(C448,'Borrowers'!$C$9:$C$108,0))*'Scenario Paths'!J15*(1-INDEX('Borrowers'!$T$9:$T$108,MATCH(C448,'Borrowers'!$C$9:$C$108,0))),"Unavailable"))</x:f>
      </x:c>
      <x:c r="K448" s="23" t="str">
        <x:f>IF(C448="","",IFERROR(INDEX('Borrowers'!$I$9:$I$108,MATCH(C448,'Borrowers'!$C$9:$C$108,0))*INDEX('Borrowers'!$U$9:$U$108,MATCH(C448,'Borrowers'!$C$9:$C$108,0))*'Scenario Paths'!J21*S448,"Unavailable"))</x:f>
      </x:c>
      <x:c r="L448" s="23" t="str">
        <x:f>IF(C448="","",IFERROR(SUMPRODUCT((Sites!$D$9:$D$108=C448)*Sites!$H$9:$H$108*Sites!$J$9:$J$108*Sites!$K$9:$K$108*(1-Sites!$L$9:$L$108)*(1-Sites!$M$9:$M$108))*'Scenario Paths'!J27,"Unavailable"))</x:f>
      </x:c>
      <x:c r="M448" s="23" t="str">
        <x:f>IF(C448="","",IFERROR(INDEX('Borrowers'!$J$9:$J$108,MATCH(C448,'Borrowers'!$C$9:$C$108,0))+H448-SUM(I448:L448),"Unavailable"))</x:f>
      </x:c>
      <x:c r="N448" s="23" t="str">
        <x:f>IF(C448="","",IFERROR(INDEX('Borrowers'!$I$9:$I$108,MATCH(C448,'Borrowers'!$C$9:$C$108,0))*'Scenario Paths'!J33,"Unavailable"))</x:f>
      </x:c>
      <x:c r="O448" s="23" t="str">
        <x:f>IF(C448="","",IFERROR(M448-INDEX('Borrowers'!$K$9:$K$108,MATCH(C448,'Borrowers'!$C$9:$C$108,0))-N448,"Unavailable"))</x:f>
      </x:c>
      <x:c r="P448" s="127" t="str">
        <x:f>IF(C448="","",IFERROR(O448/INDEX('Borrowers'!$L$9:$L$108,MATCH(C448,'Borrowers'!$C$9:$C$108,0)),"Unavailable"))</x:f>
      </x:c>
      <x:c r="Q448" s="30" t="str">
        <x:f>IF(C448="","",IFERROR(IF(INDEX('Borrowers'!$Z$9:$Z$108,MATCH(C448,'Borrowers'!$C$9:$C$108,0))="Yes",1,IF(INDEX('Borrowers'!$P$9:$P$108,MATCH(C448,'Borrowers'!$C$9:$C$108,0))=0,0,MIN(1,INDEX('Borrowers'!$P$9:$P$108,MATCH(C448,'Borrowers'!$C$9:$C$108,0))*EXP(MIN(20,INDEX('Borrowers'!$V$9:$V$108,MATCH(C448,'Borrowers'!$C$9:$C$108,0))*V448))))),"Unavailable"))</x:f>
      </x:c>
      <x:c r="R448" s="30" t="str">
        <x:f>IF(C448="","",IFERROR(MIN(1,INDEX('Borrowers'!$Q$9:$Q$108,MATCH(C448,'Borrowers'!$C$9:$C$108,0))+(1-INDEX('Borrowers'!$Q$9:$Q$108,MATCH(C448,'Borrowers'!$C$9:$C$108,0)))*T448),"Unavailable"))</x:f>
      </x:c>
      <x:c r="S448" s="30" t="str">
        <x:f>IF(C448="","",IFERROR(SUMPRODUCT((Sites!$D$9:$D$108=C448)*Sites!$I$9:$I$108*Sites!$J$9:$J$108*Sites!$K$9:$K$108*(1-Sites!$L$9:$L$108)),"Unavailable"))</x:f>
      </x:c>
      <x:c r="T448" s="30" t="str">
        <x:f>IF(C448="","",IFERROR(MIN(1,(SUMPRODUCT((Sites!$D$9:$D$108=C448)*Sites!$N$9:$N$108*Sites!$J$9:$J$108*Sites!$K$9:$K$108*(1-Sites!$L$9:$L$108)))*'Scenario Paths'!J27),"Unavailable"))</x:f>
      </x:c>
      <x:c r="U448" s="9" t="str">
        <x:f>IF(C448="","",IF(OR(INDEX('Borrowers'!$AA$9:$AA$108,MATCH(C448,'Borrowers'!$C$9:$C$108,0))&lt;&gt;"Ready",COUNTIF(Sites!$D$9:$D$108,C448)=0,COUNTIFS(Sites!$D$9:$D$108,C448,Sites!$Q$9:$Q$108,"&lt;&gt;Ready")&gt;0,'Scenario Paths'!$F$6&lt;&gt;"Ready"),"Review source inputs","Ready"))</x:f>
      </x:c>
      <x:c r="V448" s="17" t="str">
        <x:f>IF(C448="","",IFERROR(MAX(-1,(G448-O448)/MAX(0.000001,G448)),"Unavailable"))</x:f>
      </x:c>
      <x:c r="W448" s="9" t="str">
        <x:f>IF(C448="","",IFERROR(INDEX('Borrowers'!$D$9:$D$108,MATCH(C448,'Borrowers'!$C$9:$C$108,0)),"Unavailable"))</x:f>
      </x:c>
    </x:row>
    <x:row r="449" ht="26" customHeight="1">
      <x:c r="A449" s="1"/>
      <x:c r="B449" s="1"/>
      <x:c r="C449" s="9" t="str">
        <x:f>IF(Borrowers!C49="","",Borrowers!C49)</x:f>
      </x:c>
      <x:c r="D449" s="3" t="n">
        <x:v>5</x:v>
      </x:c>
      <x:c r="E449" s="9" t="n">
        <x:f>Settings!$F$18+4</x:f>
        <x:v>2031</x:v>
      </x:c>
      <x:c r="F449" s="9" t="str">
        <x:f>IF(C449="","",INDEX('Borrowers'!$F$9:$F$108,MATCH(C449,'Borrowers'!$C$9:$C$108,0)))</x:f>
      </x:c>
      <x:c r="G449" s="23" t="str">
        <x:f>IF(C449="","",IFERROR(INDEX('Borrowers'!$J$9:$J$108,MATCH(C449,'Borrowers'!$C$9:$C$108,0))-INDEX('Borrowers'!$K$9:$K$108,MATCH(C449,'Borrowers'!$C$9:$C$108,0)),"Unavailable"))</x:f>
      </x:c>
      <x:c r="H449" s="23" t="str">
        <x:f>IF(C449="","",IFERROR(INDEX('Borrowers'!$I$9:$I$108,MATCH(C449,'Borrowers'!$C$9:$C$108,0))*INDEX('Borrowers'!$U$9:$U$108,MATCH(C449,'Borrowers'!$C$9:$C$108,0))*(IF(F449="Transport",'Scenario Paths'!J156,IF(F449="Technology",'Scenario Paths'!J150,IF(F449="Utilities",'Scenario Paths'!J144,IF(F449="Agriculture",'Scenario Paths'!J138,IF(F449="Manufacturing",'Scenario Paths'!J132,IF(F449="Healthcare",'Scenario Paths'!J126,IF(F449="Hospitality",'Scenario Paths'!J120,IF(F449="Property",'Scenario Paths'!J114,IF(F449="Food",'Scenario Paths'!J108,IF(F449="Logistics",'Scenario Paths'!J102,IF(F449="Solar",'Scenario Paths'!J96,IF(F449="Cement",'Scenario Paths'!J90,0))))))))))))),"Unavailable"))</x:f>
      </x:c>
      <x:c r="I449" s="23" t="str">
        <x:f>IF(C449="","",IFERROR(INDEX('Borrowers'!$R$9:$R$108,MATCH(C449,'Borrowers'!$C$9:$C$108,0))*(1-INDEX('Borrowers'!$W$9:$W$108,MATCH(C449,'Borrowers'!$C$9:$C$108,0))*'Scenario Paths'!J39)*'Scenario Paths'!J9/1000000*(1-INDEX('Borrowers'!$T$9:$T$108,MATCH(C449,'Borrowers'!$C$9:$C$108,0))),"Unavailable"))</x:f>
      </x:c>
      <x:c r="J449" s="23" t="str">
        <x:f>IF(C449="","",IFERROR(INDEX('Borrowers'!$I$9:$I$108,MATCH(C449,'Borrowers'!$C$9:$C$108,0))*INDEX('Borrowers'!$S$9:$S$108,MATCH(C449,'Borrowers'!$C$9:$C$108,0))*'Scenario Paths'!J15*(1-INDEX('Borrowers'!$T$9:$T$108,MATCH(C449,'Borrowers'!$C$9:$C$108,0))),"Unavailable"))</x:f>
      </x:c>
      <x:c r="K449" s="23" t="str">
        <x:f>IF(C449="","",IFERROR(INDEX('Borrowers'!$I$9:$I$108,MATCH(C449,'Borrowers'!$C$9:$C$108,0))*INDEX('Borrowers'!$U$9:$U$108,MATCH(C449,'Borrowers'!$C$9:$C$108,0))*'Scenario Paths'!J21*S449,"Unavailable"))</x:f>
      </x:c>
      <x:c r="L449" s="23" t="str">
        <x:f>IF(C449="","",IFERROR(SUMPRODUCT((Sites!$D$9:$D$108=C449)*Sites!$H$9:$H$108*Sites!$J$9:$J$108*Sites!$K$9:$K$108*(1-Sites!$L$9:$L$108)*(1-Sites!$M$9:$M$108))*'Scenario Paths'!J27,"Unavailable"))</x:f>
      </x:c>
      <x:c r="M449" s="23" t="str">
        <x:f>IF(C449="","",IFERROR(INDEX('Borrowers'!$J$9:$J$108,MATCH(C449,'Borrowers'!$C$9:$C$108,0))+H449-SUM(I449:L449),"Unavailable"))</x:f>
      </x:c>
      <x:c r="N449" s="23" t="str">
        <x:f>IF(C449="","",IFERROR(INDEX('Borrowers'!$I$9:$I$108,MATCH(C449,'Borrowers'!$C$9:$C$108,0))*'Scenario Paths'!J33,"Unavailable"))</x:f>
      </x:c>
      <x:c r="O449" s="23" t="str">
        <x:f>IF(C449="","",IFERROR(M449-INDEX('Borrowers'!$K$9:$K$108,MATCH(C449,'Borrowers'!$C$9:$C$108,0))-N449,"Unavailable"))</x:f>
      </x:c>
      <x:c r="P449" s="127" t="str">
        <x:f>IF(C449="","",IFERROR(O449/INDEX('Borrowers'!$L$9:$L$108,MATCH(C449,'Borrowers'!$C$9:$C$108,0)),"Unavailable"))</x:f>
      </x:c>
      <x:c r="Q449" s="30" t="str">
        <x:f>IF(C449="","",IFERROR(IF(INDEX('Borrowers'!$Z$9:$Z$108,MATCH(C449,'Borrowers'!$C$9:$C$108,0))="Yes",1,IF(INDEX('Borrowers'!$P$9:$P$108,MATCH(C449,'Borrowers'!$C$9:$C$108,0))=0,0,MIN(1,INDEX('Borrowers'!$P$9:$P$108,MATCH(C449,'Borrowers'!$C$9:$C$108,0))*EXP(MIN(20,INDEX('Borrowers'!$V$9:$V$108,MATCH(C449,'Borrowers'!$C$9:$C$108,0))*V449))))),"Unavailable"))</x:f>
      </x:c>
      <x:c r="R449" s="30" t="str">
        <x:f>IF(C449="","",IFERROR(MIN(1,INDEX('Borrowers'!$Q$9:$Q$108,MATCH(C449,'Borrowers'!$C$9:$C$108,0))+(1-INDEX('Borrowers'!$Q$9:$Q$108,MATCH(C449,'Borrowers'!$C$9:$C$108,0)))*T449),"Unavailable"))</x:f>
      </x:c>
      <x:c r="S449" s="30" t="str">
        <x:f>IF(C449="","",IFERROR(SUMPRODUCT((Sites!$D$9:$D$108=C449)*Sites!$I$9:$I$108*Sites!$J$9:$J$108*Sites!$K$9:$K$108*(1-Sites!$L$9:$L$108)),"Unavailable"))</x:f>
      </x:c>
      <x:c r="T449" s="30" t="str">
        <x:f>IF(C449="","",IFERROR(MIN(1,(SUMPRODUCT((Sites!$D$9:$D$108=C449)*Sites!$N$9:$N$108*Sites!$J$9:$J$108*Sites!$K$9:$K$108*(1-Sites!$L$9:$L$108)))*'Scenario Paths'!J27),"Unavailable"))</x:f>
      </x:c>
      <x:c r="U449" s="9" t="str">
        <x:f>IF(C449="","",IF(OR(INDEX('Borrowers'!$AA$9:$AA$108,MATCH(C449,'Borrowers'!$C$9:$C$108,0))&lt;&gt;"Ready",COUNTIF(Sites!$D$9:$D$108,C449)=0,COUNTIFS(Sites!$D$9:$D$108,C449,Sites!$Q$9:$Q$108,"&lt;&gt;Ready")&gt;0,'Scenario Paths'!$F$6&lt;&gt;"Ready"),"Review source inputs","Ready"))</x:f>
      </x:c>
      <x:c r="V449" s="17" t="str">
        <x:f>IF(C449="","",IFERROR(MAX(-1,(G449-O449)/MAX(0.000001,G449)),"Unavailable"))</x:f>
      </x:c>
      <x:c r="W449" s="9" t="str">
        <x:f>IF(C449="","",IFERROR(INDEX('Borrowers'!$D$9:$D$108,MATCH(C449,'Borrowers'!$C$9:$C$108,0)),"Unavailable"))</x:f>
      </x:c>
    </x:row>
    <x:row r="450" ht="26" customHeight="1">
      <x:c r="A450" s="1"/>
      <x:c r="B450" s="1"/>
      <x:c r="C450" s="9" t="str">
        <x:f>IF(Borrowers!C50="","",Borrowers!C50)</x:f>
      </x:c>
      <x:c r="D450" s="3" t="n">
        <x:v>5</x:v>
      </x:c>
      <x:c r="E450" s="9" t="n">
        <x:f>Settings!$F$18+4</x:f>
        <x:v>2031</x:v>
      </x:c>
      <x:c r="F450" s="9" t="str">
        <x:f>IF(C450="","",INDEX('Borrowers'!$F$9:$F$108,MATCH(C450,'Borrowers'!$C$9:$C$108,0)))</x:f>
      </x:c>
      <x:c r="G450" s="23" t="str">
        <x:f>IF(C450="","",IFERROR(INDEX('Borrowers'!$J$9:$J$108,MATCH(C450,'Borrowers'!$C$9:$C$108,0))-INDEX('Borrowers'!$K$9:$K$108,MATCH(C450,'Borrowers'!$C$9:$C$108,0)),"Unavailable"))</x:f>
      </x:c>
      <x:c r="H450" s="23" t="str">
        <x:f>IF(C450="","",IFERROR(INDEX('Borrowers'!$I$9:$I$108,MATCH(C450,'Borrowers'!$C$9:$C$108,0))*INDEX('Borrowers'!$U$9:$U$108,MATCH(C450,'Borrowers'!$C$9:$C$108,0))*(IF(F450="Transport",'Scenario Paths'!J156,IF(F450="Technology",'Scenario Paths'!J150,IF(F450="Utilities",'Scenario Paths'!J144,IF(F450="Agriculture",'Scenario Paths'!J138,IF(F450="Manufacturing",'Scenario Paths'!J132,IF(F450="Healthcare",'Scenario Paths'!J126,IF(F450="Hospitality",'Scenario Paths'!J120,IF(F450="Property",'Scenario Paths'!J114,IF(F450="Food",'Scenario Paths'!J108,IF(F450="Logistics",'Scenario Paths'!J102,IF(F450="Solar",'Scenario Paths'!J96,IF(F450="Cement",'Scenario Paths'!J90,0))))))))))))),"Unavailable"))</x:f>
      </x:c>
      <x:c r="I450" s="23" t="str">
        <x:f>IF(C450="","",IFERROR(INDEX('Borrowers'!$R$9:$R$108,MATCH(C450,'Borrowers'!$C$9:$C$108,0))*(1-INDEX('Borrowers'!$W$9:$W$108,MATCH(C450,'Borrowers'!$C$9:$C$108,0))*'Scenario Paths'!J39)*'Scenario Paths'!J9/1000000*(1-INDEX('Borrowers'!$T$9:$T$108,MATCH(C450,'Borrowers'!$C$9:$C$108,0))),"Unavailable"))</x:f>
      </x:c>
      <x:c r="J450" s="23" t="str">
        <x:f>IF(C450="","",IFERROR(INDEX('Borrowers'!$I$9:$I$108,MATCH(C450,'Borrowers'!$C$9:$C$108,0))*INDEX('Borrowers'!$S$9:$S$108,MATCH(C450,'Borrowers'!$C$9:$C$108,0))*'Scenario Paths'!J15*(1-INDEX('Borrowers'!$T$9:$T$108,MATCH(C450,'Borrowers'!$C$9:$C$108,0))),"Unavailable"))</x:f>
      </x:c>
      <x:c r="K450" s="23" t="str">
        <x:f>IF(C450="","",IFERROR(INDEX('Borrowers'!$I$9:$I$108,MATCH(C450,'Borrowers'!$C$9:$C$108,0))*INDEX('Borrowers'!$U$9:$U$108,MATCH(C450,'Borrowers'!$C$9:$C$108,0))*'Scenario Paths'!J21*S450,"Unavailable"))</x:f>
      </x:c>
      <x:c r="L450" s="23" t="str">
        <x:f>IF(C450="","",IFERROR(SUMPRODUCT((Sites!$D$9:$D$108=C450)*Sites!$H$9:$H$108*Sites!$J$9:$J$108*Sites!$K$9:$K$108*(1-Sites!$L$9:$L$108)*(1-Sites!$M$9:$M$108))*'Scenario Paths'!J27,"Unavailable"))</x:f>
      </x:c>
      <x:c r="M450" s="23" t="str">
        <x:f>IF(C450="","",IFERROR(INDEX('Borrowers'!$J$9:$J$108,MATCH(C450,'Borrowers'!$C$9:$C$108,0))+H450-SUM(I450:L450),"Unavailable"))</x:f>
      </x:c>
      <x:c r="N450" s="23" t="str">
        <x:f>IF(C450="","",IFERROR(INDEX('Borrowers'!$I$9:$I$108,MATCH(C450,'Borrowers'!$C$9:$C$108,0))*'Scenario Paths'!J33,"Unavailable"))</x:f>
      </x:c>
      <x:c r="O450" s="23" t="str">
        <x:f>IF(C450="","",IFERROR(M450-INDEX('Borrowers'!$K$9:$K$108,MATCH(C450,'Borrowers'!$C$9:$C$108,0))-N450,"Unavailable"))</x:f>
      </x:c>
      <x:c r="P450" s="127" t="str">
        <x:f>IF(C450="","",IFERROR(O450/INDEX('Borrowers'!$L$9:$L$108,MATCH(C450,'Borrowers'!$C$9:$C$108,0)),"Unavailable"))</x:f>
      </x:c>
      <x:c r="Q450" s="30" t="str">
        <x:f>IF(C450="","",IFERROR(IF(INDEX('Borrowers'!$Z$9:$Z$108,MATCH(C450,'Borrowers'!$C$9:$C$108,0))="Yes",1,IF(INDEX('Borrowers'!$P$9:$P$108,MATCH(C450,'Borrowers'!$C$9:$C$108,0))=0,0,MIN(1,INDEX('Borrowers'!$P$9:$P$108,MATCH(C450,'Borrowers'!$C$9:$C$108,0))*EXP(MIN(20,INDEX('Borrowers'!$V$9:$V$108,MATCH(C450,'Borrowers'!$C$9:$C$108,0))*V450))))),"Unavailable"))</x:f>
      </x:c>
      <x:c r="R450" s="30" t="str">
        <x:f>IF(C450="","",IFERROR(MIN(1,INDEX('Borrowers'!$Q$9:$Q$108,MATCH(C450,'Borrowers'!$C$9:$C$108,0))+(1-INDEX('Borrowers'!$Q$9:$Q$108,MATCH(C450,'Borrowers'!$C$9:$C$108,0)))*T450),"Unavailable"))</x:f>
      </x:c>
      <x:c r="S450" s="30" t="str">
        <x:f>IF(C450="","",IFERROR(SUMPRODUCT((Sites!$D$9:$D$108=C450)*Sites!$I$9:$I$108*Sites!$J$9:$J$108*Sites!$K$9:$K$108*(1-Sites!$L$9:$L$108)),"Unavailable"))</x:f>
      </x:c>
      <x:c r="T450" s="30" t="str">
        <x:f>IF(C450="","",IFERROR(MIN(1,(SUMPRODUCT((Sites!$D$9:$D$108=C450)*Sites!$N$9:$N$108*Sites!$J$9:$J$108*Sites!$K$9:$K$108*(1-Sites!$L$9:$L$108)))*'Scenario Paths'!J27),"Unavailable"))</x:f>
      </x:c>
      <x:c r="U450" s="9" t="str">
        <x:f>IF(C450="","",IF(OR(INDEX('Borrowers'!$AA$9:$AA$108,MATCH(C450,'Borrowers'!$C$9:$C$108,0))&lt;&gt;"Ready",COUNTIF(Sites!$D$9:$D$108,C450)=0,COUNTIFS(Sites!$D$9:$D$108,C450,Sites!$Q$9:$Q$108,"&lt;&gt;Ready")&gt;0,'Scenario Paths'!$F$6&lt;&gt;"Ready"),"Review source inputs","Ready"))</x:f>
      </x:c>
      <x:c r="V450" s="17" t="str">
        <x:f>IF(C450="","",IFERROR(MAX(-1,(G450-O450)/MAX(0.000001,G450)),"Unavailable"))</x:f>
      </x:c>
      <x:c r="W450" s="9" t="str">
        <x:f>IF(C450="","",IFERROR(INDEX('Borrowers'!$D$9:$D$108,MATCH(C450,'Borrowers'!$C$9:$C$108,0)),"Unavailable"))</x:f>
      </x:c>
    </x:row>
    <x:row r="451" ht="26" customHeight="1">
      <x:c r="A451" s="1"/>
      <x:c r="B451" s="1"/>
      <x:c r="C451" s="9" t="str">
        <x:f>IF(Borrowers!C51="","",Borrowers!C51)</x:f>
      </x:c>
      <x:c r="D451" s="3" t="n">
        <x:v>5</x:v>
      </x:c>
      <x:c r="E451" s="9" t="n">
        <x:f>Settings!$F$18+4</x:f>
        <x:v>2031</x:v>
      </x:c>
      <x:c r="F451" s="9" t="str">
        <x:f>IF(C451="","",INDEX('Borrowers'!$F$9:$F$108,MATCH(C451,'Borrowers'!$C$9:$C$108,0)))</x:f>
      </x:c>
      <x:c r="G451" s="23" t="str">
        <x:f>IF(C451="","",IFERROR(INDEX('Borrowers'!$J$9:$J$108,MATCH(C451,'Borrowers'!$C$9:$C$108,0))-INDEX('Borrowers'!$K$9:$K$108,MATCH(C451,'Borrowers'!$C$9:$C$108,0)),"Unavailable"))</x:f>
      </x:c>
      <x:c r="H451" s="23" t="str">
        <x:f>IF(C451="","",IFERROR(INDEX('Borrowers'!$I$9:$I$108,MATCH(C451,'Borrowers'!$C$9:$C$108,0))*INDEX('Borrowers'!$U$9:$U$108,MATCH(C451,'Borrowers'!$C$9:$C$108,0))*(IF(F451="Transport",'Scenario Paths'!J156,IF(F451="Technology",'Scenario Paths'!J150,IF(F451="Utilities",'Scenario Paths'!J144,IF(F451="Agriculture",'Scenario Paths'!J138,IF(F451="Manufacturing",'Scenario Paths'!J132,IF(F451="Healthcare",'Scenario Paths'!J126,IF(F451="Hospitality",'Scenario Paths'!J120,IF(F451="Property",'Scenario Paths'!J114,IF(F451="Food",'Scenario Paths'!J108,IF(F451="Logistics",'Scenario Paths'!J102,IF(F451="Solar",'Scenario Paths'!J96,IF(F451="Cement",'Scenario Paths'!J90,0))))))))))))),"Unavailable"))</x:f>
      </x:c>
      <x:c r="I451" s="23" t="str">
        <x:f>IF(C451="","",IFERROR(INDEX('Borrowers'!$R$9:$R$108,MATCH(C451,'Borrowers'!$C$9:$C$108,0))*(1-INDEX('Borrowers'!$W$9:$W$108,MATCH(C451,'Borrowers'!$C$9:$C$108,0))*'Scenario Paths'!J39)*'Scenario Paths'!J9/1000000*(1-INDEX('Borrowers'!$T$9:$T$108,MATCH(C451,'Borrowers'!$C$9:$C$108,0))),"Unavailable"))</x:f>
      </x:c>
      <x:c r="J451" s="23" t="str">
        <x:f>IF(C451="","",IFERROR(INDEX('Borrowers'!$I$9:$I$108,MATCH(C451,'Borrowers'!$C$9:$C$108,0))*INDEX('Borrowers'!$S$9:$S$108,MATCH(C451,'Borrowers'!$C$9:$C$108,0))*'Scenario Paths'!J15*(1-INDEX('Borrowers'!$T$9:$T$108,MATCH(C451,'Borrowers'!$C$9:$C$108,0))),"Unavailable"))</x:f>
      </x:c>
      <x:c r="K451" s="23" t="str">
        <x:f>IF(C451="","",IFERROR(INDEX('Borrowers'!$I$9:$I$108,MATCH(C451,'Borrowers'!$C$9:$C$108,0))*INDEX('Borrowers'!$U$9:$U$108,MATCH(C451,'Borrowers'!$C$9:$C$108,0))*'Scenario Paths'!J21*S451,"Unavailable"))</x:f>
      </x:c>
      <x:c r="L451" s="23" t="str">
        <x:f>IF(C451="","",IFERROR(SUMPRODUCT((Sites!$D$9:$D$108=C451)*Sites!$H$9:$H$108*Sites!$J$9:$J$108*Sites!$K$9:$K$108*(1-Sites!$L$9:$L$108)*(1-Sites!$M$9:$M$108))*'Scenario Paths'!J27,"Unavailable"))</x:f>
      </x:c>
      <x:c r="M451" s="23" t="str">
        <x:f>IF(C451="","",IFERROR(INDEX('Borrowers'!$J$9:$J$108,MATCH(C451,'Borrowers'!$C$9:$C$108,0))+H451-SUM(I451:L451),"Unavailable"))</x:f>
      </x:c>
      <x:c r="N451" s="23" t="str">
        <x:f>IF(C451="","",IFERROR(INDEX('Borrowers'!$I$9:$I$108,MATCH(C451,'Borrowers'!$C$9:$C$108,0))*'Scenario Paths'!J33,"Unavailable"))</x:f>
      </x:c>
      <x:c r="O451" s="23" t="str">
        <x:f>IF(C451="","",IFERROR(M451-INDEX('Borrowers'!$K$9:$K$108,MATCH(C451,'Borrowers'!$C$9:$C$108,0))-N451,"Unavailable"))</x:f>
      </x:c>
      <x:c r="P451" s="127" t="str">
        <x:f>IF(C451="","",IFERROR(O451/INDEX('Borrowers'!$L$9:$L$108,MATCH(C451,'Borrowers'!$C$9:$C$108,0)),"Unavailable"))</x:f>
      </x:c>
      <x:c r="Q451" s="30" t="str">
        <x:f>IF(C451="","",IFERROR(IF(INDEX('Borrowers'!$Z$9:$Z$108,MATCH(C451,'Borrowers'!$C$9:$C$108,0))="Yes",1,IF(INDEX('Borrowers'!$P$9:$P$108,MATCH(C451,'Borrowers'!$C$9:$C$108,0))=0,0,MIN(1,INDEX('Borrowers'!$P$9:$P$108,MATCH(C451,'Borrowers'!$C$9:$C$108,0))*EXP(MIN(20,INDEX('Borrowers'!$V$9:$V$108,MATCH(C451,'Borrowers'!$C$9:$C$108,0))*V451))))),"Unavailable"))</x:f>
      </x:c>
      <x:c r="R451" s="30" t="str">
        <x:f>IF(C451="","",IFERROR(MIN(1,INDEX('Borrowers'!$Q$9:$Q$108,MATCH(C451,'Borrowers'!$C$9:$C$108,0))+(1-INDEX('Borrowers'!$Q$9:$Q$108,MATCH(C451,'Borrowers'!$C$9:$C$108,0)))*T451),"Unavailable"))</x:f>
      </x:c>
      <x:c r="S451" s="30" t="str">
        <x:f>IF(C451="","",IFERROR(SUMPRODUCT((Sites!$D$9:$D$108=C451)*Sites!$I$9:$I$108*Sites!$J$9:$J$108*Sites!$K$9:$K$108*(1-Sites!$L$9:$L$108)),"Unavailable"))</x:f>
      </x:c>
      <x:c r="T451" s="30" t="str">
        <x:f>IF(C451="","",IFERROR(MIN(1,(SUMPRODUCT((Sites!$D$9:$D$108=C451)*Sites!$N$9:$N$108*Sites!$J$9:$J$108*Sites!$K$9:$K$108*(1-Sites!$L$9:$L$108)))*'Scenario Paths'!J27),"Unavailable"))</x:f>
      </x:c>
      <x:c r="U451" s="9" t="str">
        <x:f>IF(C451="","",IF(OR(INDEX('Borrowers'!$AA$9:$AA$108,MATCH(C451,'Borrowers'!$C$9:$C$108,0))&lt;&gt;"Ready",COUNTIF(Sites!$D$9:$D$108,C451)=0,COUNTIFS(Sites!$D$9:$D$108,C451,Sites!$Q$9:$Q$108,"&lt;&gt;Ready")&gt;0,'Scenario Paths'!$F$6&lt;&gt;"Ready"),"Review source inputs","Ready"))</x:f>
      </x:c>
      <x:c r="V451" s="17" t="str">
        <x:f>IF(C451="","",IFERROR(MAX(-1,(G451-O451)/MAX(0.000001,G451)),"Unavailable"))</x:f>
      </x:c>
      <x:c r="W451" s="9" t="str">
        <x:f>IF(C451="","",IFERROR(INDEX('Borrowers'!$D$9:$D$108,MATCH(C451,'Borrowers'!$C$9:$C$108,0)),"Unavailable"))</x:f>
      </x:c>
    </x:row>
    <x:row r="452" ht="26" customHeight="1">
      <x:c r="A452" s="1"/>
      <x:c r="B452" s="1"/>
      <x:c r="C452" s="9" t="str">
        <x:f>IF(Borrowers!C52="","",Borrowers!C52)</x:f>
      </x:c>
      <x:c r="D452" s="3" t="n">
        <x:v>5</x:v>
      </x:c>
      <x:c r="E452" s="9" t="n">
        <x:f>Settings!$F$18+4</x:f>
        <x:v>2031</x:v>
      </x:c>
      <x:c r="F452" s="9" t="str">
        <x:f>IF(C452="","",INDEX('Borrowers'!$F$9:$F$108,MATCH(C452,'Borrowers'!$C$9:$C$108,0)))</x:f>
      </x:c>
      <x:c r="G452" s="23" t="str">
        <x:f>IF(C452="","",IFERROR(INDEX('Borrowers'!$J$9:$J$108,MATCH(C452,'Borrowers'!$C$9:$C$108,0))-INDEX('Borrowers'!$K$9:$K$108,MATCH(C452,'Borrowers'!$C$9:$C$108,0)),"Unavailable"))</x:f>
      </x:c>
      <x:c r="H452" s="23" t="str">
        <x:f>IF(C452="","",IFERROR(INDEX('Borrowers'!$I$9:$I$108,MATCH(C452,'Borrowers'!$C$9:$C$108,0))*INDEX('Borrowers'!$U$9:$U$108,MATCH(C452,'Borrowers'!$C$9:$C$108,0))*(IF(F452="Transport",'Scenario Paths'!J156,IF(F452="Technology",'Scenario Paths'!J150,IF(F452="Utilities",'Scenario Paths'!J144,IF(F452="Agriculture",'Scenario Paths'!J138,IF(F452="Manufacturing",'Scenario Paths'!J132,IF(F452="Healthcare",'Scenario Paths'!J126,IF(F452="Hospitality",'Scenario Paths'!J120,IF(F452="Property",'Scenario Paths'!J114,IF(F452="Food",'Scenario Paths'!J108,IF(F452="Logistics",'Scenario Paths'!J102,IF(F452="Solar",'Scenario Paths'!J96,IF(F452="Cement",'Scenario Paths'!J90,0))))))))))))),"Unavailable"))</x:f>
      </x:c>
      <x:c r="I452" s="23" t="str">
        <x:f>IF(C452="","",IFERROR(INDEX('Borrowers'!$R$9:$R$108,MATCH(C452,'Borrowers'!$C$9:$C$108,0))*(1-INDEX('Borrowers'!$W$9:$W$108,MATCH(C452,'Borrowers'!$C$9:$C$108,0))*'Scenario Paths'!J39)*'Scenario Paths'!J9/1000000*(1-INDEX('Borrowers'!$T$9:$T$108,MATCH(C452,'Borrowers'!$C$9:$C$108,0))),"Unavailable"))</x:f>
      </x:c>
      <x:c r="J452" s="23" t="str">
        <x:f>IF(C452="","",IFERROR(INDEX('Borrowers'!$I$9:$I$108,MATCH(C452,'Borrowers'!$C$9:$C$108,0))*INDEX('Borrowers'!$S$9:$S$108,MATCH(C452,'Borrowers'!$C$9:$C$108,0))*'Scenario Paths'!J15*(1-INDEX('Borrowers'!$T$9:$T$108,MATCH(C452,'Borrowers'!$C$9:$C$108,0))),"Unavailable"))</x:f>
      </x:c>
      <x:c r="K452" s="23" t="str">
        <x:f>IF(C452="","",IFERROR(INDEX('Borrowers'!$I$9:$I$108,MATCH(C452,'Borrowers'!$C$9:$C$108,0))*INDEX('Borrowers'!$U$9:$U$108,MATCH(C452,'Borrowers'!$C$9:$C$108,0))*'Scenario Paths'!J21*S452,"Unavailable"))</x:f>
      </x:c>
      <x:c r="L452" s="23" t="str">
        <x:f>IF(C452="","",IFERROR(SUMPRODUCT((Sites!$D$9:$D$108=C452)*Sites!$H$9:$H$108*Sites!$J$9:$J$108*Sites!$K$9:$K$108*(1-Sites!$L$9:$L$108)*(1-Sites!$M$9:$M$108))*'Scenario Paths'!J27,"Unavailable"))</x:f>
      </x:c>
      <x:c r="M452" s="23" t="str">
        <x:f>IF(C452="","",IFERROR(INDEX('Borrowers'!$J$9:$J$108,MATCH(C452,'Borrowers'!$C$9:$C$108,0))+H452-SUM(I452:L452),"Unavailable"))</x:f>
      </x:c>
      <x:c r="N452" s="23" t="str">
        <x:f>IF(C452="","",IFERROR(INDEX('Borrowers'!$I$9:$I$108,MATCH(C452,'Borrowers'!$C$9:$C$108,0))*'Scenario Paths'!J33,"Unavailable"))</x:f>
      </x:c>
      <x:c r="O452" s="23" t="str">
        <x:f>IF(C452="","",IFERROR(M452-INDEX('Borrowers'!$K$9:$K$108,MATCH(C452,'Borrowers'!$C$9:$C$108,0))-N452,"Unavailable"))</x:f>
      </x:c>
      <x:c r="P452" s="127" t="str">
        <x:f>IF(C452="","",IFERROR(O452/INDEX('Borrowers'!$L$9:$L$108,MATCH(C452,'Borrowers'!$C$9:$C$108,0)),"Unavailable"))</x:f>
      </x:c>
      <x:c r="Q452" s="30" t="str">
        <x:f>IF(C452="","",IFERROR(IF(INDEX('Borrowers'!$Z$9:$Z$108,MATCH(C452,'Borrowers'!$C$9:$C$108,0))="Yes",1,IF(INDEX('Borrowers'!$P$9:$P$108,MATCH(C452,'Borrowers'!$C$9:$C$108,0))=0,0,MIN(1,INDEX('Borrowers'!$P$9:$P$108,MATCH(C452,'Borrowers'!$C$9:$C$108,0))*EXP(MIN(20,INDEX('Borrowers'!$V$9:$V$108,MATCH(C452,'Borrowers'!$C$9:$C$108,0))*V452))))),"Unavailable"))</x:f>
      </x:c>
      <x:c r="R452" s="30" t="str">
        <x:f>IF(C452="","",IFERROR(MIN(1,INDEX('Borrowers'!$Q$9:$Q$108,MATCH(C452,'Borrowers'!$C$9:$C$108,0))+(1-INDEX('Borrowers'!$Q$9:$Q$108,MATCH(C452,'Borrowers'!$C$9:$C$108,0)))*T452),"Unavailable"))</x:f>
      </x:c>
      <x:c r="S452" s="30" t="str">
        <x:f>IF(C452="","",IFERROR(SUMPRODUCT((Sites!$D$9:$D$108=C452)*Sites!$I$9:$I$108*Sites!$J$9:$J$108*Sites!$K$9:$K$108*(1-Sites!$L$9:$L$108)),"Unavailable"))</x:f>
      </x:c>
      <x:c r="T452" s="30" t="str">
        <x:f>IF(C452="","",IFERROR(MIN(1,(SUMPRODUCT((Sites!$D$9:$D$108=C452)*Sites!$N$9:$N$108*Sites!$J$9:$J$108*Sites!$K$9:$K$108*(1-Sites!$L$9:$L$108)))*'Scenario Paths'!J27),"Unavailable"))</x:f>
      </x:c>
      <x:c r="U452" s="9" t="str">
        <x:f>IF(C452="","",IF(OR(INDEX('Borrowers'!$AA$9:$AA$108,MATCH(C452,'Borrowers'!$C$9:$C$108,0))&lt;&gt;"Ready",COUNTIF(Sites!$D$9:$D$108,C452)=0,COUNTIFS(Sites!$D$9:$D$108,C452,Sites!$Q$9:$Q$108,"&lt;&gt;Ready")&gt;0,'Scenario Paths'!$F$6&lt;&gt;"Ready"),"Review source inputs","Ready"))</x:f>
      </x:c>
      <x:c r="V452" s="17" t="str">
        <x:f>IF(C452="","",IFERROR(MAX(-1,(G452-O452)/MAX(0.000001,G452)),"Unavailable"))</x:f>
      </x:c>
      <x:c r="W452" s="9" t="str">
        <x:f>IF(C452="","",IFERROR(INDEX('Borrowers'!$D$9:$D$108,MATCH(C452,'Borrowers'!$C$9:$C$108,0)),"Unavailable"))</x:f>
      </x:c>
    </x:row>
    <x:row r="453" ht="26" customHeight="1">
      <x:c r="A453" s="1"/>
      <x:c r="B453" s="1"/>
      <x:c r="C453" s="9" t="str">
        <x:f>IF(Borrowers!C53="","",Borrowers!C53)</x:f>
      </x:c>
      <x:c r="D453" s="3" t="n">
        <x:v>5</x:v>
      </x:c>
      <x:c r="E453" s="9" t="n">
        <x:f>Settings!$F$18+4</x:f>
        <x:v>2031</x:v>
      </x:c>
      <x:c r="F453" s="9" t="str">
        <x:f>IF(C453="","",INDEX('Borrowers'!$F$9:$F$108,MATCH(C453,'Borrowers'!$C$9:$C$108,0)))</x:f>
      </x:c>
      <x:c r="G453" s="23" t="str">
        <x:f>IF(C453="","",IFERROR(INDEX('Borrowers'!$J$9:$J$108,MATCH(C453,'Borrowers'!$C$9:$C$108,0))-INDEX('Borrowers'!$K$9:$K$108,MATCH(C453,'Borrowers'!$C$9:$C$108,0)),"Unavailable"))</x:f>
      </x:c>
      <x:c r="H453" s="23" t="str">
        <x:f>IF(C453="","",IFERROR(INDEX('Borrowers'!$I$9:$I$108,MATCH(C453,'Borrowers'!$C$9:$C$108,0))*INDEX('Borrowers'!$U$9:$U$108,MATCH(C453,'Borrowers'!$C$9:$C$108,0))*(IF(F453="Transport",'Scenario Paths'!J156,IF(F453="Technology",'Scenario Paths'!J150,IF(F453="Utilities",'Scenario Paths'!J144,IF(F453="Agriculture",'Scenario Paths'!J138,IF(F453="Manufacturing",'Scenario Paths'!J132,IF(F453="Healthcare",'Scenario Paths'!J126,IF(F453="Hospitality",'Scenario Paths'!J120,IF(F453="Property",'Scenario Paths'!J114,IF(F453="Food",'Scenario Paths'!J108,IF(F453="Logistics",'Scenario Paths'!J102,IF(F453="Solar",'Scenario Paths'!J96,IF(F453="Cement",'Scenario Paths'!J90,0))))))))))))),"Unavailable"))</x:f>
      </x:c>
      <x:c r="I453" s="23" t="str">
        <x:f>IF(C453="","",IFERROR(INDEX('Borrowers'!$R$9:$R$108,MATCH(C453,'Borrowers'!$C$9:$C$108,0))*(1-INDEX('Borrowers'!$W$9:$W$108,MATCH(C453,'Borrowers'!$C$9:$C$108,0))*'Scenario Paths'!J39)*'Scenario Paths'!J9/1000000*(1-INDEX('Borrowers'!$T$9:$T$108,MATCH(C453,'Borrowers'!$C$9:$C$108,0))),"Unavailable"))</x:f>
      </x:c>
      <x:c r="J453" s="23" t="str">
        <x:f>IF(C453="","",IFERROR(INDEX('Borrowers'!$I$9:$I$108,MATCH(C453,'Borrowers'!$C$9:$C$108,0))*INDEX('Borrowers'!$S$9:$S$108,MATCH(C453,'Borrowers'!$C$9:$C$108,0))*'Scenario Paths'!J15*(1-INDEX('Borrowers'!$T$9:$T$108,MATCH(C453,'Borrowers'!$C$9:$C$108,0))),"Unavailable"))</x:f>
      </x:c>
      <x:c r="K453" s="23" t="str">
        <x:f>IF(C453="","",IFERROR(INDEX('Borrowers'!$I$9:$I$108,MATCH(C453,'Borrowers'!$C$9:$C$108,0))*INDEX('Borrowers'!$U$9:$U$108,MATCH(C453,'Borrowers'!$C$9:$C$108,0))*'Scenario Paths'!J21*S453,"Unavailable"))</x:f>
      </x:c>
      <x:c r="L453" s="23" t="str">
        <x:f>IF(C453="","",IFERROR(SUMPRODUCT((Sites!$D$9:$D$108=C453)*Sites!$H$9:$H$108*Sites!$J$9:$J$108*Sites!$K$9:$K$108*(1-Sites!$L$9:$L$108)*(1-Sites!$M$9:$M$108))*'Scenario Paths'!J27,"Unavailable"))</x:f>
      </x:c>
      <x:c r="M453" s="23" t="str">
        <x:f>IF(C453="","",IFERROR(INDEX('Borrowers'!$J$9:$J$108,MATCH(C453,'Borrowers'!$C$9:$C$108,0))+H453-SUM(I453:L453),"Unavailable"))</x:f>
      </x:c>
      <x:c r="N453" s="23" t="str">
        <x:f>IF(C453="","",IFERROR(INDEX('Borrowers'!$I$9:$I$108,MATCH(C453,'Borrowers'!$C$9:$C$108,0))*'Scenario Paths'!J33,"Unavailable"))</x:f>
      </x:c>
      <x:c r="O453" s="23" t="str">
        <x:f>IF(C453="","",IFERROR(M453-INDEX('Borrowers'!$K$9:$K$108,MATCH(C453,'Borrowers'!$C$9:$C$108,0))-N453,"Unavailable"))</x:f>
      </x:c>
      <x:c r="P453" s="127" t="str">
        <x:f>IF(C453="","",IFERROR(O453/INDEX('Borrowers'!$L$9:$L$108,MATCH(C453,'Borrowers'!$C$9:$C$108,0)),"Unavailable"))</x:f>
      </x:c>
      <x:c r="Q453" s="30" t="str">
        <x:f>IF(C453="","",IFERROR(IF(INDEX('Borrowers'!$Z$9:$Z$108,MATCH(C453,'Borrowers'!$C$9:$C$108,0))="Yes",1,IF(INDEX('Borrowers'!$P$9:$P$108,MATCH(C453,'Borrowers'!$C$9:$C$108,0))=0,0,MIN(1,INDEX('Borrowers'!$P$9:$P$108,MATCH(C453,'Borrowers'!$C$9:$C$108,0))*EXP(MIN(20,INDEX('Borrowers'!$V$9:$V$108,MATCH(C453,'Borrowers'!$C$9:$C$108,0))*V453))))),"Unavailable"))</x:f>
      </x:c>
      <x:c r="R453" s="30" t="str">
        <x:f>IF(C453="","",IFERROR(MIN(1,INDEX('Borrowers'!$Q$9:$Q$108,MATCH(C453,'Borrowers'!$C$9:$C$108,0))+(1-INDEX('Borrowers'!$Q$9:$Q$108,MATCH(C453,'Borrowers'!$C$9:$C$108,0)))*T453),"Unavailable"))</x:f>
      </x:c>
      <x:c r="S453" s="30" t="str">
        <x:f>IF(C453="","",IFERROR(SUMPRODUCT((Sites!$D$9:$D$108=C453)*Sites!$I$9:$I$108*Sites!$J$9:$J$108*Sites!$K$9:$K$108*(1-Sites!$L$9:$L$108)),"Unavailable"))</x:f>
      </x:c>
      <x:c r="T453" s="30" t="str">
        <x:f>IF(C453="","",IFERROR(MIN(1,(SUMPRODUCT((Sites!$D$9:$D$108=C453)*Sites!$N$9:$N$108*Sites!$J$9:$J$108*Sites!$K$9:$K$108*(1-Sites!$L$9:$L$108)))*'Scenario Paths'!J27),"Unavailable"))</x:f>
      </x:c>
      <x:c r="U453" s="9" t="str">
        <x:f>IF(C453="","",IF(OR(INDEX('Borrowers'!$AA$9:$AA$108,MATCH(C453,'Borrowers'!$C$9:$C$108,0))&lt;&gt;"Ready",COUNTIF(Sites!$D$9:$D$108,C453)=0,COUNTIFS(Sites!$D$9:$D$108,C453,Sites!$Q$9:$Q$108,"&lt;&gt;Ready")&gt;0,'Scenario Paths'!$F$6&lt;&gt;"Ready"),"Review source inputs","Ready"))</x:f>
      </x:c>
      <x:c r="V453" s="17" t="str">
        <x:f>IF(C453="","",IFERROR(MAX(-1,(G453-O453)/MAX(0.000001,G453)),"Unavailable"))</x:f>
      </x:c>
      <x:c r="W453" s="9" t="str">
        <x:f>IF(C453="","",IFERROR(INDEX('Borrowers'!$D$9:$D$108,MATCH(C453,'Borrowers'!$C$9:$C$108,0)),"Unavailable"))</x:f>
      </x:c>
    </x:row>
    <x:row r="454" ht="26" customHeight="1">
      <x:c r="A454" s="1"/>
      <x:c r="B454" s="1"/>
      <x:c r="C454" s="9" t="str">
        <x:f>IF(Borrowers!C54="","",Borrowers!C54)</x:f>
      </x:c>
      <x:c r="D454" s="3" t="n">
        <x:v>5</x:v>
      </x:c>
      <x:c r="E454" s="9" t="n">
        <x:f>Settings!$F$18+4</x:f>
        <x:v>2031</x:v>
      </x:c>
      <x:c r="F454" s="9" t="str">
        <x:f>IF(C454="","",INDEX('Borrowers'!$F$9:$F$108,MATCH(C454,'Borrowers'!$C$9:$C$108,0)))</x:f>
      </x:c>
      <x:c r="G454" s="23" t="str">
        <x:f>IF(C454="","",IFERROR(INDEX('Borrowers'!$J$9:$J$108,MATCH(C454,'Borrowers'!$C$9:$C$108,0))-INDEX('Borrowers'!$K$9:$K$108,MATCH(C454,'Borrowers'!$C$9:$C$108,0)),"Unavailable"))</x:f>
      </x:c>
      <x:c r="H454" s="23" t="str">
        <x:f>IF(C454="","",IFERROR(INDEX('Borrowers'!$I$9:$I$108,MATCH(C454,'Borrowers'!$C$9:$C$108,0))*INDEX('Borrowers'!$U$9:$U$108,MATCH(C454,'Borrowers'!$C$9:$C$108,0))*(IF(F454="Transport",'Scenario Paths'!J156,IF(F454="Technology",'Scenario Paths'!J150,IF(F454="Utilities",'Scenario Paths'!J144,IF(F454="Agriculture",'Scenario Paths'!J138,IF(F454="Manufacturing",'Scenario Paths'!J132,IF(F454="Healthcare",'Scenario Paths'!J126,IF(F454="Hospitality",'Scenario Paths'!J120,IF(F454="Property",'Scenario Paths'!J114,IF(F454="Food",'Scenario Paths'!J108,IF(F454="Logistics",'Scenario Paths'!J102,IF(F454="Solar",'Scenario Paths'!J96,IF(F454="Cement",'Scenario Paths'!J90,0))))))))))))),"Unavailable"))</x:f>
      </x:c>
      <x:c r="I454" s="23" t="str">
        <x:f>IF(C454="","",IFERROR(INDEX('Borrowers'!$R$9:$R$108,MATCH(C454,'Borrowers'!$C$9:$C$108,0))*(1-INDEX('Borrowers'!$W$9:$W$108,MATCH(C454,'Borrowers'!$C$9:$C$108,0))*'Scenario Paths'!J39)*'Scenario Paths'!J9/1000000*(1-INDEX('Borrowers'!$T$9:$T$108,MATCH(C454,'Borrowers'!$C$9:$C$108,0))),"Unavailable"))</x:f>
      </x:c>
      <x:c r="J454" s="23" t="str">
        <x:f>IF(C454="","",IFERROR(INDEX('Borrowers'!$I$9:$I$108,MATCH(C454,'Borrowers'!$C$9:$C$108,0))*INDEX('Borrowers'!$S$9:$S$108,MATCH(C454,'Borrowers'!$C$9:$C$108,0))*'Scenario Paths'!J15*(1-INDEX('Borrowers'!$T$9:$T$108,MATCH(C454,'Borrowers'!$C$9:$C$108,0))),"Unavailable"))</x:f>
      </x:c>
      <x:c r="K454" s="23" t="str">
        <x:f>IF(C454="","",IFERROR(INDEX('Borrowers'!$I$9:$I$108,MATCH(C454,'Borrowers'!$C$9:$C$108,0))*INDEX('Borrowers'!$U$9:$U$108,MATCH(C454,'Borrowers'!$C$9:$C$108,0))*'Scenario Paths'!J21*S454,"Unavailable"))</x:f>
      </x:c>
      <x:c r="L454" s="23" t="str">
        <x:f>IF(C454="","",IFERROR(SUMPRODUCT((Sites!$D$9:$D$108=C454)*Sites!$H$9:$H$108*Sites!$J$9:$J$108*Sites!$K$9:$K$108*(1-Sites!$L$9:$L$108)*(1-Sites!$M$9:$M$108))*'Scenario Paths'!J27,"Unavailable"))</x:f>
      </x:c>
      <x:c r="M454" s="23" t="str">
        <x:f>IF(C454="","",IFERROR(INDEX('Borrowers'!$J$9:$J$108,MATCH(C454,'Borrowers'!$C$9:$C$108,0))+H454-SUM(I454:L454),"Unavailable"))</x:f>
      </x:c>
      <x:c r="N454" s="23" t="str">
        <x:f>IF(C454="","",IFERROR(INDEX('Borrowers'!$I$9:$I$108,MATCH(C454,'Borrowers'!$C$9:$C$108,0))*'Scenario Paths'!J33,"Unavailable"))</x:f>
      </x:c>
      <x:c r="O454" s="23" t="str">
        <x:f>IF(C454="","",IFERROR(M454-INDEX('Borrowers'!$K$9:$K$108,MATCH(C454,'Borrowers'!$C$9:$C$108,0))-N454,"Unavailable"))</x:f>
      </x:c>
      <x:c r="P454" s="127" t="str">
        <x:f>IF(C454="","",IFERROR(O454/INDEX('Borrowers'!$L$9:$L$108,MATCH(C454,'Borrowers'!$C$9:$C$108,0)),"Unavailable"))</x:f>
      </x:c>
      <x:c r="Q454" s="30" t="str">
        <x:f>IF(C454="","",IFERROR(IF(INDEX('Borrowers'!$Z$9:$Z$108,MATCH(C454,'Borrowers'!$C$9:$C$108,0))="Yes",1,IF(INDEX('Borrowers'!$P$9:$P$108,MATCH(C454,'Borrowers'!$C$9:$C$108,0))=0,0,MIN(1,INDEX('Borrowers'!$P$9:$P$108,MATCH(C454,'Borrowers'!$C$9:$C$108,0))*EXP(MIN(20,INDEX('Borrowers'!$V$9:$V$108,MATCH(C454,'Borrowers'!$C$9:$C$108,0))*V454))))),"Unavailable"))</x:f>
      </x:c>
      <x:c r="R454" s="30" t="str">
        <x:f>IF(C454="","",IFERROR(MIN(1,INDEX('Borrowers'!$Q$9:$Q$108,MATCH(C454,'Borrowers'!$C$9:$C$108,0))+(1-INDEX('Borrowers'!$Q$9:$Q$108,MATCH(C454,'Borrowers'!$C$9:$C$108,0)))*T454),"Unavailable"))</x:f>
      </x:c>
      <x:c r="S454" s="30" t="str">
        <x:f>IF(C454="","",IFERROR(SUMPRODUCT((Sites!$D$9:$D$108=C454)*Sites!$I$9:$I$108*Sites!$J$9:$J$108*Sites!$K$9:$K$108*(1-Sites!$L$9:$L$108)),"Unavailable"))</x:f>
      </x:c>
      <x:c r="T454" s="30" t="str">
        <x:f>IF(C454="","",IFERROR(MIN(1,(SUMPRODUCT((Sites!$D$9:$D$108=C454)*Sites!$N$9:$N$108*Sites!$J$9:$J$108*Sites!$K$9:$K$108*(1-Sites!$L$9:$L$108)))*'Scenario Paths'!J27),"Unavailable"))</x:f>
      </x:c>
      <x:c r="U454" s="9" t="str">
        <x:f>IF(C454="","",IF(OR(INDEX('Borrowers'!$AA$9:$AA$108,MATCH(C454,'Borrowers'!$C$9:$C$108,0))&lt;&gt;"Ready",COUNTIF(Sites!$D$9:$D$108,C454)=0,COUNTIFS(Sites!$D$9:$D$108,C454,Sites!$Q$9:$Q$108,"&lt;&gt;Ready")&gt;0,'Scenario Paths'!$F$6&lt;&gt;"Ready"),"Review source inputs","Ready"))</x:f>
      </x:c>
      <x:c r="V454" s="17" t="str">
        <x:f>IF(C454="","",IFERROR(MAX(-1,(G454-O454)/MAX(0.000001,G454)),"Unavailable"))</x:f>
      </x:c>
      <x:c r="W454" s="9" t="str">
        <x:f>IF(C454="","",IFERROR(INDEX('Borrowers'!$D$9:$D$108,MATCH(C454,'Borrowers'!$C$9:$C$108,0)),"Unavailable"))</x:f>
      </x:c>
    </x:row>
    <x:row r="455" ht="26" customHeight="1">
      <x:c r="A455" s="1"/>
      <x:c r="B455" s="1"/>
      <x:c r="C455" s="9" t="str">
        <x:f>IF(Borrowers!C55="","",Borrowers!C55)</x:f>
      </x:c>
      <x:c r="D455" s="3" t="n">
        <x:v>5</x:v>
      </x:c>
      <x:c r="E455" s="9" t="n">
        <x:f>Settings!$F$18+4</x:f>
        <x:v>2031</x:v>
      </x:c>
      <x:c r="F455" s="9" t="str">
        <x:f>IF(C455="","",INDEX('Borrowers'!$F$9:$F$108,MATCH(C455,'Borrowers'!$C$9:$C$108,0)))</x:f>
      </x:c>
      <x:c r="G455" s="23" t="str">
        <x:f>IF(C455="","",IFERROR(INDEX('Borrowers'!$J$9:$J$108,MATCH(C455,'Borrowers'!$C$9:$C$108,0))-INDEX('Borrowers'!$K$9:$K$108,MATCH(C455,'Borrowers'!$C$9:$C$108,0)),"Unavailable"))</x:f>
      </x:c>
      <x:c r="H455" s="23" t="str">
        <x:f>IF(C455="","",IFERROR(INDEX('Borrowers'!$I$9:$I$108,MATCH(C455,'Borrowers'!$C$9:$C$108,0))*INDEX('Borrowers'!$U$9:$U$108,MATCH(C455,'Borrowers'!$C$9:$C$108,0))*(IF(F455="Transport",'Scenario Paths'!J156,IF(F455="Technology",'Scenario Paths'!J150,IF(F455="Utilities",'Scenario Paths'!J144,IF(F455="Agriculture",'Scenario Paths'!J138,IF(F455="Manufacturing",'Scenario Paths'!J132,IF(F455="Healthcare",'Scenario Paths'!J126,IF(F455="Hospitality",'Scenario Paths'!J120,IF(F455="Property",'Scenario Paths'!J114,IF(F455="Food",'Scenario Paths'!J108,IF(F455="Logistics",'Scenario Paths'!J102,IF(F455="Solar",'Scenario Paths'!J96,IF(F455="Cement",'Scenario Paths'!J90,0))))))))))))),"Unavailable"))</x:f>
      </x:c>
      <x:c r="I455" s="23" t="str">
        <x:f>IF(C455="","",IFERROR(INDEX('Borrowers'!$R$9:$R$108,MATCH(C455,'Borrowers'!$C$9:$C$108,0))*(1-INDEX('Borrowers'!$W$9:$W$108,MATCH(C455,'Borrowers'!$C$9:$C$108,0))*'Scenario Paths'!J39)*'Scenario Paths'!J9/1000000*(1-INDEX('Borrowers'!$T$9:$T$108,MATCH(C455,'Borrowers'!$C$9:$C$108,0))),"Unavailable"))</x:f>
      </x:c>
      <x:c r="J455" s="23" t="str">
        <x:f>IF(C455="","",IFERROR(INDEX('Borrowers'!$I$9:$I$108,MATCH(C455,'Borrowers'!$C$9:$C$108,0))*INDEX('Borrowers'!$S$9:$S$108,MATCH(C455,'Borrowers'!$C$9:$C$108,0))*'Scenario Paths'!J15*(1-INDEX('Borrowers'!$T$9:$T$108,MATCH(C455,'Borrowers'!$C$9:$C$108,0))),"Unavailable"))</x:f>
      </x:c>
      <x:c r="K455" s="23" t="str">
        <x:f>IF(C455="","",IFERROR(INDEX('Borrowers'!$I$9:$I$108,MATCH(C455,'Borrowers'!$C$9:$C$108,0))*INDEX('Borrowers'!$U$9:$U$108,MATCH(C455,'Borrowers'!$C$9:$C$108,0))*'Scenario Paths'!J21*S455,"Unavailable"))</x:f>
      </x:c>
      <x:c r="L455" s="23" t="str">
        <x:f>IF(C455="","",IFERROR(SUMPRODUCT((Sites!$D$9:$D$108=C455)*Sites!$H$9:$H$108*Sites!$J$9:$J$108*Sites!$K$9:$K$108*(1-Sites!$L$9:$L$108)*(1-Sites!$M$9:$M$108))*'Scenario Paths'!J27,"Unavailable"))</x:f>
      </x:c>
      <x:c r="M455" s="23" t="str">
        <x:f>IF(C455="","",IFERROR(INDEX('Borrowers'!$J$9:$J$108,MATCH(C455,'Borrowers'!$C$9:$C$108,0))+H455-SUM(I455:L455),"Unavailable"))</x:f>
      </x:c>
      <x:c r="N455" s="23" t="str">
        <x:f>IF(C455="","",IFERROR(INDEX('Borrowers'!$I$9:$I$108,MATCH(C455,'Borrowers'!$C$9:$C$108,0))*'Scenario Paths'!J33,"Unavailable"))</x:f>
      </x:c>
      <x:c r="O455" s="23" t="str">
        <x:f>IF(C455="","",IFERROR(M455-INDEX('Borrowers'!$K$9:$K$108,MATCH(C455,'Borrowers'!$C$9:$C$108,0))-N455,"Unavailable"))</x:f>
      </x:c>
      <x:c r="P455" s="127" t="str">
        <x:f>IF(C455="","",IFERROR(O455/INDEX('Borrowers'!$L$9:$L$108,MATCH(C455,'Borrowers'!$C$9:$C$108,0)),"Unavailable"))</x:f>
      </x:c>
      <x:c r="Q455" s="30" t="str">
        <x:f>IF(C455="","",IFERROR(IF(INDEX('Borrowers'!$Z$9:$Z$108,MATCH(C455,'Borrowers'!$C$9:$C$108,0))="Yes",1,IF(INDEX('Borrowers'!$P$9:$P$108,MATCH(C455,'Borrowers'!$C$9:$C$108,0))=0,0,MIN(1,INDEX('Borrowers'!$P$9:$P$108,MATCH(C455,'Borrowers'!$C$9:$C$108,0))*EXP(MIN(20,INDEX('Borrowers'!$V$9:$V$108,MATCH(C455,'Borrowers'!$C$9:$C$108,0))*V455))))),"Unavailable"))</x:f>
      </x:c>
      <x:c r="R455" s="30" t="str">
        <x:f>IF(C455="","",IFERROR(MIN(1,INDEX('Borrowers'!$Q$9:$Q$108,MATCH(C455,'Borrowers'!$C$9:$C$108,0))+(1-INDEX('Borrowers'!$Q$9:$Q$108,MATCH(C455,'Borrowers'!$C$9:$C$108,0)))*T455),"Unavailable"))</x:f>
      </x:c>
      <x:c r="S455" s="30" t="str">
        <x:f>IF(C455="","",IFERROR(SUMPRODUCT((Sites!$D$9:$D$108=C455)*Sites!$I$9:$I$108*Sites!$J$9:$J$108*Sites!$K$9:$K$108*(1-Sites!$L$9:$L$108)),"Unavailable"))</x:f>
      </x:c>
      <x:c r="T455" s="30" t="str">
        <x:f>IF(C455="","",IFERROR(MIN(1,(SUMPRODUCT((Sites!$D$9:$D$108=C455)*Sites!$N$9:$N$108*Sites!$J$9:$J$108*Sites!$K$9:$K$108*(1-Sites!$L$9:$L$108)))*'Scenario Paths'!J27),"Unavailable"))</x:f>
      </x:c>
      <x:c r="U455" s="9" t="str">
        <x:f>IF(C455="","",IF(OR(INDEX('Borrowers'!$AA$9:$AA$108,MATCH(C455,'Borrowers'!$C$9:$C$108,0))&lt;&gt;"Ready",COUNTIF(Sites!$D$9:$D$108,C455)=0,COUNTIFS(Sites!$D$9:$D$108,C455,Sites!$Q$9:$Q$108,"&lt;&gt;Ready")&gt;0,'Scenario Paths'!$F$6&lt;&gt;"Ready"),"Review source inputs","Ready"))</x:f>
      </x:c>
      <x:c r="V455" s="17" t="str">
        <x:f>IF(C455="","",IFERROR(MAX(-1,(G455-O455)/MAX(0.000001,G455)),"Unavailable"))</x:f>
      </x:c>
      <x:c r="W455" s="9" t="str">
        <x:f>IF(C455="","",IFERROR(INDEX('Borrowers'!$D$9:$D$108,MATCH(C455,'Borrowers'!$C$9:$C$108,0)),"Unavailable"))</x:f>
      </x:c>
    </x:row>
    <x:row r="456" ht="26" customHeight="1">
      <x:c r="A456" s="1"/>
      <x:c r="B456" s="1"/>
      <x:c r="C456" s="9" t="str">
        <x:f>IF(Borrowers!C56="","",Borrowers!C56)</x:f>
      </x:c>
      <x:c r="D456" s="3" t="n">
        <x:v>5</x:v>
      </x:c>
      <x:c r="E456" s="9" t="n">
        <x:f>Settings!$F$18+4</x:f>
        <x:v>2031</x:v>
      </x:c>
      <x:c r="F456" s="9" t="str">
        <x:f>IF(C456="","",INDEX('Borrowers'!$F$9:$F$108,MATCH(C456,'Borrowers'!$C$9:$C$108,0)))</x:f>
      </x:c>
      <x:c r="G456" s="23" t="str">
        <x:f>IF(C456="","",IFERROR(INDEX('Borrowers'!$J$9:$J$108,MATCH(C456,'Borrowers'!$C$9:$C$108,0))-INDEX('Borrowers'!$K$9:$K$108,MATCH(C456,'Borrowers'!$C$9:$C$108,0)),"Unavailable"))</x:f>
      </x:c>
      <x:c r="H456" s="23" t="str">
        <x:f>IF(C456="","",IFERROR(INDEX('Borrowers'!$I$9:$I$108,MATCH(C456,'Borrowers'!$C$9:$C$108,0))*INDEX('Borrowers'!$U$9:$U$108,MATCH(C456,'Borrowers'!$C$9:$C$108,0))*(IF(F456="Transport",'Scenario Paths'!J156,IF(F456="Technology",'Scenario Paths'!J150,IF(F456="Utilities",'Scenario Paths'!J144,IF(F456="Agriculture",'Scenario Paths'!J138,IF(F456="Manufacturing",'Scenario Paths'!J132,IF(F456="Healthcare",'Scenario Paths'!J126,IF(F456="Hospitality",'Scenario Paths'!J120,IF(F456="Property",'Scenario Paths'!J114,IF(F456="Food",'Scenario Paths'!J108,IF(F456="Logistics",'Scenario Paths'!J102,IF(F456="Solar",'Scenario Paths'!J96,IF(F456="Cement",'Scenario Paths'!J90,0))))))))))))),"Unavailable"))</x:f>
      </x:c>
      <x:c r="I456" s="23" t="str">
        <x:f>IF(C456="","",IFERROR(INDEX('Borrowers'!$R$9:$R$108,MATCH(C456,'Borrowers'!$C$9:$C$108,0))*(1-INDEX('Borrowers'!$W$9:$W$108,MATCH(C456,'Borrowers'!$C$9:$C$108,0))*'Scenario Paths'!J39)*'Scenario Paths'!J9/1000000*(1-INDEX('Borrowers'!$T$9:$T$108,MATCH(C456,'Borrowers'!$C$9:$C$108,0))),"Unavailable"))</x:f>
      </x:c>
      <x:c r="J456" s="23" t="str">
        <x:f>IF(C456="","",IFERROR(INDEX('Borrowers'!$I$9:$I$108,MATCH(C456,'Borrowers'!$C$9:$C$108,0))*INDEX('Borrowers'!$S$9:$S$108,MATCH(C456,'Borrowers'!$C$9:$C$108,0))*'Scenario Paths'!J15*(1-INDEX('Borrowers'!$T$9:$T$108,MATCH(C456,'Borrowers'!$C$9:$C$108,0))),"Unavailable"))</x:f>
      </x:c>
      <x:c r="K456" s="23" t="str">
        <x:f>IF(C456="","",IFERROR(INDEX('Borrowers'!$I$9:$I$108,MATCH(C456,'Borrowers'!$C$9:$C$108,0))*INDEX('Borrowers'!$U$9:$U$108,MATCH(C456,'Borrowers'!$C$9:$C$108,0))*'Scenario Paths'!J21*S456,"Unavailable"))</x:f>
      </x:c>
      <x:c r="L456" s="23" t="str">
        <x:f>IF(C456="","",IFERROR(SUMPRODUCT((Sites!$D$9:$D$108=C456)*Sites!$H$9:$H$108*Sites!$J$9:$J$108*Sites!$K$9:$K$108*(1-Sites!$L$9:$L$108)*(1-Sites!$M$9:$M$108))*'Scenario Paths'!J27,"Unavailable"))</x:f>
      </x:c>
      <x:c r="M456" s="23" t="str">
        <x:f>IF(C456="","",IFERROR(INDEX('Borrowers'!$J$9:$J$108,MATCH(C456,'Borrowers'!$C$9:$C$108,0))+H456-SUM(I456:L456),"Unavailable"))</x:f>
      </x:c>
      <x:c r="N456" s="23" t="str">
        <x:f>IF(C456="","",IFERROR(INDEX('Borrowers'!$I$9:$I$108,MATCH(C456,'Borrowers'!$C$9:$C$108,0))*'Scenario Paths'!J33,"Unavailable"))</x:f>
      </x:c>
      <x:c r="O456" s="23" t="str">
        <x:f>IF(C456="","",IFERROR(M456-INDEX('Borrowers'!$K$9:$K$108,MATCH(C456,'Borrowers'!$C$9:$C$108,0))-N456,"Unavailable"))</x:f>
      </x:c>
      <x:c r="P456" s="127" t="str">
        <x:f>IF(C456="","",IFERROR(O456/INDEX('Borrowers'!$L$9:$L$108,MATCH(C456,'Borrowers'!$C$9:$C$108,0)),"Unavailable"))</x:f>
      </x:c>
      <x:c r="Q456" s="30" t="str">
        <x:f>IF(C456="","",IFERROR(IF(INDEX('Borrowers'!$Z$9:$Z$108,MATCH(C456,'Borrowers'!$C$9:$C$108,0))="Yes",1,IF(INDEX('Borrowers'!$P$9:$P$108,MATCH(C456,'Borrowers'!$C$9:$C$108,0))=0,0,MIN(1,INDEX('Borrowers'!$P$9:$P$108,MATCH(C456,'Borrowers'!$C$9:$C$108,0))*EXP(MIN(20,INDEX('Borrowers'!$V$9:$V$108,MATCH(C456,'Borrowers'!$C$9:$C$108,0))*V456))))),"Unavailable"))</x:f>
      </x:c>
      <x:c r="R456" s="30" t="str">
        <x:f>IF(C456="","",IFERROR(MIN(1,INDEX('Borrowers'!$Q$9:$Q$108,MATCH(C456,'Borrowers'!$C$9:$C$108,0))+(1-INDEX('Borrowers'!$Q$9:$Q$108,MATCH(C456,'Borrowers'!$C$9:$C$108,0)))*T456),"Unavailable"))</x:f>
      </x:c>
      <x:c r="S456" s="30" t="str">
        <x:f>IF(C456="","",IFERROR(SUMPRODUCT((Sites!$D$9:$D$108=C456)*Sites!$I$9:$I$108*Sites!$J$9:$J$108*Sites!$K$9:$K$108*(1-Sites!$L$9:$L$108)),"Unavailable"))</x:f>
      </x:c>
      <x:c r="T456" s="30" t="str">
        <x:f>IF(C456="","",IFERROR(MIN(1,(SUMPRODUCT((Sites!$D$9:$D$108=C456)*Sites!$N$9:$N$108*Sites!$J$9:$J$108*Sites!$K$9:$K$108*(1-Sites!$L$9:$L$108)))*'Scenario Paths'!J27),"Unavailable"))</x:f>
      </x:c>
      <x:c r="U456" s="9" t="str">
        <x:f>IF(C456="","",IF(OR(INDEX('Borrowers'!$AA$9:$AA$108,MATCH(C456,'Borrowers'!$C$9:$C$108,0))&lt;&gt;"Ready",COUNTIF(Sites!$D$9:$D$108,C456)=0,COUNTIFS(Sites!$D$9:$D$108,C456,Sites!$Q$9:$Q$108,"&lt;&gt;Ready")&gt;0,'Scenario Paths'!$F$6&lt;&gt;"Ready"),"Review source inputs","Ready"))</x:f>
      </x:c>
      <x:c r="V456" s="17" t="str">
        <x:f>IF(C456="","",IFERROR(MAX(-1,(G456-O456)/MAX(0.000001,G456)),"Unavailable"))</x:f>
      </x:c>
      <x:c r="W456" s="9" t="str">
        <x:f>IF(C456="","",IFERROR(INDEX('Borrowers'!$D$9:$D$108,MATCH(C456,'Borrowers'!$C$9:$C$108,0)),"Unavailable"))</x:f>
      </x:c>
    </x:row>
    <x:row r="457" ht="26" customHeight="1">
      <x:c r="A457" s="1"/>
      <x:c r="B457" s="1"/>
      <x:c r="C457" s="9" t="str">
        <x:f>IF(Borrowers!C57="","",Borrowers!C57)</x:f>
      </x:c>
      <x:c r="D457" s="3" t="n">
        <x:v>5</x:v>
      </x:c>
      <x:c r="E457" s="9" t="n">
        <x:f>Settings!$F$18+4</x:f>
        <x:v>2031</x:v>
      </x:c>
      <x:c r="F457" s="9" t="str">
        <x:f>IF(C457="","",INDEX('Borrowers'!$F$9:$F$108,MATCH(C457,'Borrowers'!$C$9:$C$108,0)))</x:f>
      </x:c>
      <x:c r="G457" s="23" t="str">
        <x:f>IF(C457="","",IFERROR(INDEX('Borrowers'!$J$9:$J$108,MATCH(C457,'Borrowers'!$C$9:$C$108,0))-INDEX('Borrowers'!$K$9:$K$108,MATCH(C457,'Borrowers'!$C$9:$C$108,0)),"Unavailable"))</x:f>
      </x:c>
      <x:c r="H457" s="23" t="str">
        <x:f>IF(C457="","",IFERROR(INDEX('Borrowers'!$I$9:$I$108,MATCH(C457,'Borrowers'!$C$9:$C$108,0))*INDEX('Borrowers'!$U$9:$U$108,MATCH(C457,'Borrowers'!$C$9:$C$108,0))*(IF(F457="Transport",'Scenario Paths'!J156,IF(F457="Technology",'Scenario Paths'!J150,IF(F457="Utilities",'Scenario Paths'!J144,IF(F457="Agriculture",'Scenario Paths'!J138,IF(F457="Manufacturing",'Scenario Paths'!J132,IF(F457="Healthcare",'Scenario Paths'!J126,IF(F457="Hospitality",'Scenario Paths'!J120,IF(F457="Property",'Scenario Paths'!J114,IF(F457="Food",'Scenario Paths'!J108,IF(F457="Logistics",'Scenario Paths'!J102,IF(F457="Solar",'Scenario Paths'!J96,IF(F457="Cement",'Scenario Paths'!J90,0))))))))))))),"Unavailable"))</x:f>
      </x:c>
      <x:c r="I457" s="23" t="str">
        <x:f>IF(C457="","",IFERROR(INDEX('Borrowers'!$R$9:$R$108,MATCH(C457,'Borrowers'!$C$9:$C$108,0))*(1-INDEX('Borrowers'!$W$9:$W$108,MATCH(C457,'Borrowers'!$C$9:$C$108,0))*'Scenario Paths'!J39)*'Scenario Paths'!J9/1000000*(1-INDEX('Borrowers'!$T$9:$T$108,MATCH(C457,'Borrowers'!$C$9:$C$108,0))),"Unavailable"))</x:f>
      </x:c>
      <x:c r="J457" s="23" t="str">
        <x:f>IF(C457="","",IFERROR(INDEX('Borrowers'!$I$9:$I$108,MATCH(C457,'Borrowers'!$C$9:$C$108,0))*INDEX('Borrowers'!$S$9:$S$108,MATCH(C457,'Borrowers'!$C$9:$C$108,0))*'Scenario Paths'!J15*(1-INDEX('Borrowers'!$T$9:$T$108,MATCH(C457,'Borrowers'!$C$9:$C$108,0))),"Unavailable"))</x:f>
      </x:c>
      <x:c r="K457" s="23" t="str">
        <x:f>IF(C457="","",IFERROR(INDEX('Borrowers'!$I$9:$I$108,MATCH(C457,'Borrowers'!$C$9:$C$108,0))*INDEX('Borrowers'!$U$9:$U$108,MATCH(C457,'Borrowers'!$C$9:$C$108,0))*'Scenario Paths'!J21*S457,"Unavailable"))</x:f>
      </x:c>
      <x:c r="L457" s="23" t="str">
        <x:f>IF(C457="","",IFERROR(SUMPRODUCT((Sites!$D$9:$D$108=C457)*Sites!$H$9:$H$108*Sites!$J$9:$J$108*Sites!$K$9:$K$108*(1-Sites!$L$9:$L$108)*(1-Sites!$M$9:$M$108))*'Scenario Paths'!J27,"Unavailable"))</x:f>
      </x:c>
      <x:c r="M457" s="23" t="str">
        <x:f>IF(C457="","",IFERROR(INDEX('Borrowers'!$J$9:$J$108,MATCH(C457,'Borrowers'!$C$9:$C$108,0))+H457-SUM(I457:L457),"Unavailable"))</x:f>
      </x:c>
      <x:c r="N457" s="23" t="str">
        <x:f>IF(C457="","",IFERROR(INDEX('Borrowers'!$I$9:$I$108,MATCH(C457,'Borrowers'!$C$9:$C$108,0))*'Scenario Paths'!J33,"Unavailable"))</x:f>
      </x:c>
      <x:c r="O457" s="23" t="str">
        <x:f>IF(C457="","",IFERROR(M457-INDEX('Borrowers'!$K$9:$K$108,MATCH(C457,'Borrowers'!$C$9:$C$108,0))-N457,"Unavailable"))</x:f>
      </x:c>
      <x:c r="P457" s="127" t="str">
        <x:f>IF(C457="","",IFERROR(O457/INDEX('Borrowers'!$L$9:$L$108,MATCH(C457,'Borrowers'!$C$9:$C$108,0)),"Unavailable"))</x:f>
      </x:c>
      <x:c r="Q457" s="30" t="str">
        <x:f>IF(C457="","",IFERROR(IF(INDEX('Borrowers'!$Z$9:$Z$108,MATCH(C457,'Borrowers'!$C$9:$C$108,0))="Yes",1,IF(INDEX('Borrowers'!$P$9:$P$108,MATCH(C457,'Borrowers'!$C$9:$C$108,0))=0,0,MIN(1,INDEX('Borrowers'!$P$9:$P$108,MATCH(C457,'Borrowers'!$C$9:$C$108,0))*EXP(MIN(20,INDEX('Borrowers'!$V$9:$V$108,MATCH(C457,'Borrowers'!$C$9:$C$108,0))*V457))))),"Unavailable"))</x:f>
      </x:c>
      <x:c r="R457" s="30" t="str">
        <x:f>IF(C457="","",IFERROR(MIN(1,INDEX('Borrowers'!$Q$9:$Q$108,MATCH(C457,'Borrowers'!$C$9:$C$108,0))+(1-INDEX('Borrowers'!$Q$9:$Q$108,MATCH(C457,'Borrowers'!$C$9:$C$108,0)))*T457),"Unavailable"))</x:f>
      </x:c>
      <x:c r="S457" s="30" t="str">
        <x:f>IF(C457="","",IFERROR(SUMPRODUCT((Sites!$D$9:$D$108=C457)*Sites!$I$9:$I$108*Sites!$J$9:$J$108*Sites!$K$9:$K$108*(1-Sites!$L$9:$L$108)),"Unavailable"))</x:f>
      </x:c>
      <x:c r="T457" s="30" t="str">
        <x:f>IF(C457="","",IFERROR(MIN(1,(SUMPRODUCT((Sites!$D$9:$D$108=C457)*Sites!$N$9:$N$108*Sites!$J$9:$J$108*Sites!$K$9:$K$108*(1-Sites!$L$9:$L$108)))*'Scenario Paths'!J27),"Unavailable"))</x:f>
      </x:c>
      <x:c r="U457" s="9" t="str">
        <x:f>IF(C457="","",IF(OR(INDEX('Borrowers'!$AA$9:$AA$108,MATCH(C457,'Borrowers'!$C$9:$C$108,0))&lt;&gt;"Ready",COUNTIF(Sites!$D$9:$D$108,C457)=0,COUNTIFS(Sites!$D$9:$D$108,C457,Sites!$Q$9:$Q$108,"&lt;&gt;Ready")&gt;0,'Scenario Paths'!$F$6&lt;&gt;"Ready"),"Review source inputs","Ready"))</x:f>
      </x:c>
      <x:c r="V457" s="17" t="str">
        <x:f>IF(C457="","",IFERROR(MAX(-1,(G457-O457)/MAX(0.000001,G457)),"Unavailable"))</x:f>
      </x:c>
      <x:c r="W457" s="9" t="str">
        <x:f>IF(C457="","",IFERROR(INDEX('Borrowers'!$D$9:$D$108,MATCH(C457,'Borrowers'!$C$9:$C$108,0)),"Unavailable"))</x:f>
      </x:c>
    </x:row>
    <x:row r="458" ht="26" customHeight="1">
      <x:c r="A458" s="1"/>
      <x:c r="B458" s="1"/>
      <x:c r="C458" s="9" t="str">
        <x:f>IF(Borrowers!C58="","",Borrowers!C58)</x:f>
      </x:c>
      <x:c r="D458" s="3" t="n">
        <x:v>5</x:v>
      </x:c>
      <x:c r="E458" s="9" t="n">
        <x:f>Settings!$F$18+4</x:f>
        <x:v>2031</x:v>
      </x:c>
      <x:c r="F458" s="9" t="str">
        <x:f>IF(C458="","",INDEX('Borrowers'!$F$9:$F$108,MATCH(C458,'Borrowers'!$C$9:$C$108,0)))</x:f>
      </x:c>
      <x:c r="G458" s="23" t="str">
        <x:f>IF(C458="","",IFERROR(INDEX('Borrowers'!$J$9:$J$108,MATCH(C458,'Borrowers'!$C$9:$C$108,0))-INDEX('Borrowers'!$K$9:$K$108,MATCH(C458,'Borrowers'!$C$9:$C$108,0)),"Unavailable"))</x:f>
      </x:c>
      <x:c r="H458" s="23" t="str">
        <x:f>IF(C458="","",IFERROR(INDEX('Borrowers'!$I$9:$I$108,MATCH(C458,'Borrowers'!$C$9:$C$108,0))*INDEX('Borrowers'!$U$9:$U$108,MATCH(C458,'Borrowers'!$C$9:$C$108,0))*(IF(F458="Transport",'Scenario Paths'!J156,IF(F458="Technology",'Scenario Paths'!J150,IF(F458="Utilities",'Scenario Paths'!J144,IF(F458="Agriculture",'Scenario Paths'!J138,IF(F458="Manufacturing",'Scenario Paths'!J132,IF(F458="Healthcare",'Scenario Paths'!J126,IF(F458="Hospitality",'Scenario Paths'!J120,IF(F458="Property",'Scenario Paths'!J114,IF(F458="Food",'Scenario Paths'!J108,IF(F458="Logistics",'Scenario Paths'!J102,IF(F458="Solar",'Scenario Paths'!J96,IF(F458="Cement",'Scenario Paths'!J90,0))))))))))))),"Unavailable"))</x:f>
      </x:c>
      <x:c r="I458" s="23" t="str">
        <x:f>IF(C458="","",IFERROR(INDEX('Borrowers'!$R$9:$R$108,MATCH(C458,'Borrowers'!$C$9:$C$108,0))*(1-INDEX('Borrowers'!$W$9:$W$108,MATCH(C458,'Borrowers'!$C$9:$C$108,0))*'Scenario Paths'!J39)*'Scenario Paths'!J9/1000000*(1-INDEX('Borrowers'!$T$9:$T$108,MATCH(C458,'Borrowers'!$C$9:$C$108,0))),"Unavailable"))</x:f>
      </x:c>
      <x:c r="J458" s="23" t="str">
        <x:f>IF(C458="","",IFERROR(INDEX('Borrowers'!$I$9:$I$108,MATCH(C458,'Borrowers'!$C$9:$C$108,0))*INDEX('Borrowers'!$S$9:$S$108,MATCH(C458,'Borrowers'!$C$9:$C$108,0))*'Scenario Paths'!J15*(1-INDEX('Borrowers'!$T$9:$T$108,MATCH(C458,'Borrowers'!$C$9:$C$108,0))),"Unavailable"))</x:f>
      </x:c>
      <x:c r="K458" s="23" t="str">
        <x:f>IF(C458="","",IFERROR(INDEX('Borrowers'!$I$9:$I$108,MATCH(C458,'Borrowers'!$C$9:$C$108,0))*INDEX('Borrowers'!$U$9:$U$108,MATCH(C458,'Borrowers'!$C$9:$C$108,0))*'Scenario Paths'!J21*S458,"Unavailable"))</x:f>
      </x:c>
      <x:c r="L458" s="23" t="str">
        <x:f>IF(C458="","",IFERROR(SUMPRODUCT((Sites!$D$9:$D$108=C458)*Sites!$H$9:$H$108*Sites!$J$9:$J$108*Sites!$K$9:$K$108*(1-Sites!$L$9:$L$108)*(1-Sites!$M$9:$M$108))*'Scenario Paths'!J27,"Unavailable"))</x:f>
      </x:c>
      <x:c r="M458" s="23" t="str">
        <x:f>IF(C458="","",IFERROR(INDEX('Borrowers'!$J$9:$J$108,MATCH(C458,'Borrowers'!$C$9:$C$108,0))+H458-SUM(I458:L458),"Unavailable"))</x:f>
      </x:c>
      <x:c r="N458" s="23" t="str">
        <x:f>IF(C458="","",IFERROR(INDEX('Borrowers'!$I$9:$I$108,MATCH(C458,'Borrowers'!$C$9:$C$108,0))*'Scenario Paths'!J33,"Unavailable"))</x:f>
      </x:c>
      <x:c r="O458" s="23" t="str">
        <x:f>IF(C458="","",IFERROR(M458-INDEX('Borrowers'!$K$9:$K$108,MATCH(C458,'Borrowers'!$C$9:$C$108,0))-N458,"Unavailable"))</x:f>
      </x:c>
      <x:c r="P458" s="127" t="str">
        <x:f>IF(C458="","",IFERROR(O458/INDEX('Borrowers'!$L$9:$L$108,MATCH(C458,'Borrowers'!$C$9:$C$108,0)),"Unavailable"))</x:f>
      </x:c>
      <x:c r="Q458" s="30" t="str">
        <x:f>IF(C458="","",IFERROR(IF(INDEX('Borrowers'!$Z$9:$Z$108,MATCH(C458,'Borrowers'!$C$9:$C$108,0))="Yes",1,IF(INDEX('Borrowers'!$P$9:$P$108,MATCH(C458,'Borrowers'!$C$9:$C$108,0))=0,0,MIN(1,INDEX('Borrowers'!$P$9:$P$108,MATCH(C458,'Borrowers'!$C$9:$C$108,0))*EXP(MIN(20,INDEX('Borrowers'!$V$9:$V$108,MATCH(C458,'Borrowers'!$C$9:$C$108,0))*V458))))),"Unavailable"))</x:f>
      </x:c>
      <x:c r="R458" s="30" t="str">
        <x:f>IF(C458="","",IFERROR(MIN(1,INDEX('Borrowers'!$Q$9:$Q$108,MATCH(C458,'Borrowers'!$C$9:$C$108,0))+(1-INDEX('Borrowers'!$Q$9:$Q$108,MATCH(C458,'Borrowers'!$C$9:$C$108,0)))*T458),"Unavailable"))</x:f>
      </x:c>
      <x:c r="S458" s="30" t="str">
        <x:f>IF(C458="","",IFERROR(SUMPRODUCT((Sites!$D$9:$D$108=C458)*Sites!$I$9:$I$108*Sites!$J$9:$J$108*Sites!$K$9:$K$108*(1-Sites!$L$9:$L$108)),"Unavailable"))</x:f>
      </x:c>
      <x:c r="T458" s="30" t="str">
        <x:f>IF(C458="","",IFERROR(MIN(1,(SUMPRODUCT((Sites!$D$9:$D$108=C458)*Sites!$N$9:$N$108*Sites!$J$9:$J$108*Sites!$K$9:$K$108*(1-Sites!$L$9:$L$108)))*'Scenario Paths'!J27),"Unavailable"))</x:f>
      </x:c>
      <x:c r="U458" s="9" t="str">
        <x:f>IF(C458="","",IF(OR(INDEX('Borrowers'!$AA$9:$AA$108,MATCH(C458,'Borrowers'!$C$9:$C$108,0))&lt;&gt;"Ready",COUNTIF(Sites!$D$9:$D$108,C458)=0,COUNTIFS(Sites!$D$9:$D$108,C458,Sites!$Q$9:$Q$108,"&lt;&gt;Ready")&gt;0,'Scenario Paths'!$F$6&lt;&gt;"Ready"),"Review source inputs","Ready"))</x:f>
      </x:c>
      <x:c r="V458" s="17" t="str">
        <x:f>IF(C458="","",IFERROR(MAX(-1,(G458-O458)/MAX(0.000001,G458)),"Unavailable"))</x:f>
      </x:c>
      <x:c r="W458" s="9" t="str">
        <x:f>IF(C458="","",IFERROR(INDEX('Borrowers'!$D$9:$D$108,MATCH(C458,'Borrowers'!$C$9:$C$108,0)),"Unavailable"))</x:f>
      </x:c>
    </x:row>
    <x:row r="459" ht="26" customHeight="1">
      <x:c r="A459" s="1"/>
      <x:c r="B459" s="1"/>
      <x:c r="C459" s="9" t="str">
        <x:f>IF(Borrowers!C59="","",Borrowers!C59)</x:f>
      </x:c>
      <x:c r="D459" s="3" t="n">
        <x:v>5</x:v>
      </x:c>
      <x:c r="E459" s="9" t="n">
        <x:f>Settings!$F$18+4</x:f>
        <x:v>2031</x:v>
      </x:c>
      <x:c r="F459" s="9" t="str">
        <x:f>IF(C459="","",INDEX('Borrowers'!$F$9:$F$108,MATCH(C459,'Borrowers'!$C$9:$C$108,0)))</x:f>
      </x:c>
      <x:c r="G459" s="23" t="str">
        <x:f>IF(C459="","",IFERROR(INDEX('Borrowers'!$J$9:$J$108,MATCH(C459,'Borrowers'!$C$9:$C$108,0))-INDEX('Borrowers'!$K$9:$K$108,MATCH(C459,'Borrowers'!$C$9:$C$108,0)),"Unavailable"))</x:f>
      </x:c>
      <x:c r="H459" s="23" t="str">
        <x:f>IF(C459="","",IFERROR(INDEX('Borrowers'!$I$9:$I$108,MATCH(C459,'Borrowers'!$C$9:$C$108,0))*INDEX('Borrowers'!$U$9:$U$108,MATCH(C459,'Borrowers'!$C$9:$C$108,0))*(IF(F459="Transport",'Scenario Paths'!J156,IF(F459="Technology",'Scenario Paths'!J150,IF(F459="Utilities",'Scenario Paths'!J144,IF(F459="Agriculture",'Scenario Paths'!J138,IF(F459="Manufacturing",'Scenario Paths'!J132,IF(F459="Healthcare",'Scenario Paths'!J126,IF(F459="Hospitality",'Scenario Paths'!J120,IF(F459="Property",'Scenario Paths'!J114,IF(F459="Food",'Scenario Paths'!J108,IF(F459="Logistics",'Scenario Paths'!J102,IF(F459="Solar",'Scenario Paths'!J96,IF(F459="Cement",'Scenario Paths'!J90,0))))))))))))),"Unavailable"))</x:f>
      </x:c>
      <x:c r="I459" s="23" t="str">
        <x:f>IF(C459="","",IFERROR(INDEX('Borrowers'!$R$9:$R$108,MATCH(C459,'Borrowers'!$C$9:$C$108,0))*(1-INDEX('Borrowers'!$W$9:$W$108,MATCH(C459,'Borrowers'!$C$9:$C$108,0))*'Scenario Paths'!J39)*'Scenario Paths'!J9/1000000*(1-INDEX('Borrowers'!$T$9:$T$108,MATCH(C459,'Borrowers'!$C$9:$C$108,0))),"Unavailable"))</x:f>
      </x:c>
      <x:c r="J459" s="23" t="str">
        <x:f>IF(C459="","",IFERROR(INDEX('Borrowers'!$I$9:$I$108,MATCH(C459,'Borrowers'!$C$9:$C$108,0))*INDEX('Borrowers'!$S$9:$S$108,MATCH(C459,'Borrowers'!$C$9:$C$108,0))*'Scenario Paths'!J15*(1-INDEX('Borrowers'!$T$9:$T$108,MATCH(C459,'Borrowers'!$C$9:$C$108,0))),"Unavailable"))</x:f>
      </x:c>
      <x:c r="K459" s="23" t="str">
        <x:f>IF(C459="","",IFERROR(INDEX('Borrowers'!$I$9:$I$108,MATCH(C459,'Borrowers'!$C$9:$C$108,0))*INDEX('Borrowers'!$U$9:$U$108,MATCH(C459,'Borrowers'!$C$9:$C$108,0))*'Scenario Paths'!J21*S459,"Unavailable"))</x:f>
      </x:c>
      <x:c r="L459" s="23" t="str">
        <x:f>IF(C459="","",IFERROR(SUMPRODUCT((Sites!$D$9:$D$108=C459)*Sites!$H$9:$H$108*Sites!$J$9:$J$108*Sites!$K$9:$K$108*(1-Sites!$L$9:$L$108)*(1-Sites!$M$9:$M$108))*'Scenario Paths'!J27,"Unavailable"))</x:f>
      </x:c>
      <x:c r="M459" s="23" t="str">
        <x:f>IF(C459="","",IFERROR(INDEX('Borrowers'!$J$9:$J$108,MATCH(C459,'Borrowers'!$C$9:$C$108,0))+H459-SUM(I459:L459),"Unavailable"))</x:f>
      </x:c>
      <x:c r="N459" s="23" t="str">
        <x:f>IF(C459="","",IFERROR(INDEX('Borrowers'!$I$9:$I$108,MATCH(C459,'Borrowers'!$C$9:$C$108,0))*'Scenario Paths'!J33,"Unavailable"))</x:f>
      </x:c>
      <x:c r="O459" s="23" t="str">
        <x:f>IF(C459="","",IFERROR(M459-INDEX('Borrowers'!$K$9:$K$108,MATCH(C459,'Borrowers'!$C$9:$C$108,0))-N459,"Unavailable"))</x:f>
      </x:c>
      <x:c r="P459" s="127" t="str">
        <x:f>IF(C459="","",IFERROR(O459/INDEX('Borrowers'!$L$9:$L$108,MATCH(C459,'Borrowers'!$C$9:$C$108,0)),"Unavailable"))</x:f>
      </x:c>
      <x:c r="Q459" s="30" t="str">
        <x:f>IF(C459="","",IFERROR(IF(INDEX('Borrowers'!$Z$9:$Z$108,MATCH(C459,'Borrowers'!$C$9:$C$108,0))="Yes",1,IF(INDEX('Borrowers'!$P$9:$P$108,MATCH(C459,'Borrowers'!$C$9:$C$108,0))=0,0,MIN(1,INDEX('Borrowers'!$P$9:$P$108,MATCH(C459,'Borrowers'!$C$9:$C$108,0))*EXP(MIN(20,INDEX('Borrowers'!$V$9:$V$108,MATCH(C459,'Borrowers'!$C$9:$C$108,0))*V459))))),"Unavailable"))</x:f>
      </x:c>
      <x:c r="R459" s="30" t="str">
        <x:f>IF(C459="","",IFERROR(MIN(1,INDEX('Borrowers'!$Q$9:$Q$108,MATCH(C459,'Borrowers'!$C$9:$C$108,0))+(1-INDEX('Borrowers'!$Q$9:$Q$108,MATCH(C459,'Borrowers'!$C$9:$C$108,0)))*T459),"Unavailable"))</x:f>
      </x:c>
      <x:c r="S459" s="30" t="str">
        <x:f>IF(C459="","",IFERROR(SUMPRODUCT((Sites!$D$9:$D$108=C459)*Sites!$I$9:$I$108*Sites!$J$9:$J$108*Sites!$K$9:$K$108*(1-Sites!$L$9:$L$108)),"Unavailable"))</x:f>
      </x:c>
      <x:c r="T459" s="30" t="str">
        <x:f>IF(C459="","",IFERROR(MIN(1,(SUMPRODUCT((Sites!$D$9:$D$108=C459)*Sites!$N$9:$N$108*Sites!$J$9:$J$108*Sites!$K$9:$K$108*(1-Sites!$L$9:$L$108)))*'Scenario Paths'!J27),"Unavailable"))</x:f>
      </x:c>
      <x:c r="U459" s="9" t="str">
        <x:f>IF(C459="","",IF(OR(INDEX('Borrowers'!$AA$9:$AA$108,MATCH(C459,'Borrowers'!$C$9:$C$108,0))&lt;&gt;"Ready",COUNTIF(Sites!$D$9:$D$108,C459)=0,COUNTIFS(Sites!$D$9:$D$108,C459,Sites!$Q$9:$Q$108,"&lt;&gt;Ready")&gt;0,'Scenario Paths'!$F$6&lt;&gt;"Ready"),"Review source inputs","Ready"))</x:f>
      </x:c>
      <x:c r="V459" s="17" t="str">
        <x:f>IF(C459="","",IFERROR(MAX(-1,(G459-O459)/MAX(0.000001,G459)),"Unavailable"))</x:f>
      </x:c>
      <x:c r="W459" s="9" t="str">
        <x:f>IF(C459="","",IFERROR(INDEX('Borrowers'!$D$9:$D$108,MATCH(C459,'Borrowers'!$C$9:$C$108,0)),"Unavailable"))</x:f>
      </x:c>
    </x:row>
    <x:row r="460" ht="26" customHeight="1">
      <x:c r="A460" s="1"/>
      <x:c r="B460" s="1"/>
      <x:c r="C460" s="9" t="str">
        <x:f>IF(Borrowers!C60="","",Borrowers!C60)</x:f>
      </x:c>
      <x:c r="D460" s="3" t="n">
        <x:v>5</x:v>
      </x:c>
      <x:c r="E460" s="9" t="n">
        <x:f>Settings!$F$18+4</x:f>
        <x:v>2031</x:v>
      </x:c>
      <x:c r="F460" s="9" t="str">
        <x:f>IF(C460="","",INDEX('Borrowers'!$F$9:$F$108,MATCH(C460,'Borrowers'!$C$9:$C$108,0)))</x:f>
      </x:c>
      <x:c r="G460" s="23" t="str">
        <x:f>IF(C460="","",IFERROR(INDEX('Borrowers'!$J$9:$J$108,MATCH(C460,'Borrowers'!$C$9:$C$108,0))-INDEX('Borrowers'!$K$9:$K$108,MATCH(C460,'Borrowers'!$C$9:$C$108,0)),"Unavailable"))</x:f>
      </x:c>
      <x:c r="H460" s="23" t="str">
        <x:f>IF(C460="","",IFERROR(INDEX('Borrowers'!$I$9:$I$108,MATCH(C460,'Borrowers'!$C$9:$C$108,0))*INDEX('Borrowers'!$U$9:$U$108,MATCH(C460,'Borrowers'!$C$9:$C$108,0))*(IF(F460="Transport",'Scenario Paths'!J156,IF(F460="Technology",'Scenario Paths'!J150,IF(F460="Utilities",'Scenario Paths'!J144,IF(F460="Agriculture",'Scenario Paths'!J138,IF(F460="Manufacturing",'Scenario Paths'!J132,IF(F460="Healthcare",'Scenario Paths'!J126,IF(F460="Hospitality",'Scenario Paths'!J120,IF(F460="Property",'Scenario Paths'!J114,IF(F460="Food",'Scenario Paths'!J108,IF(F460="Logistics",'Scenario Paths'!J102,IF(F460="Solar",'Scenario Paths'!J96,IF(F460="Cement",'Scenario Paths'!J90,0))))))))))))),"Unavailable"))</x:f>
      </x:c>
      <x:c r="I460" s="23" t="str">
        <x:f>IF(C460="","",IFERROR(INDEX('Borrowers'!$R$9:$R$108,MATCH(C460,'Borrowers'!$C$9:$C$108,0))*(1-INDEX('Borrowers'!$W$9:$W$108,MATCH(C460,'Borrowers'!$C$9:$C$108,0))*'Scenario Paths'!J39)*'Scenario Paths'!J9/1000000*(1-INDEX('Borrowers'!$T$9:$T$108,MATCH(C460,'Borrowers'!$C$9:$C$108,0))),"Unavailable"))</x:f>
      </x:c>
      <x:c r="J460" s="23" t="str">
        <x:f>IF(C460="","",IFERROR(INDEX('Borrowers'!$I$9:$I$108,MATCH(C460,'Borrowers'!$C$9:$C$108,0))*INDEX('Borrowers'!$S$9:$S$108,MATCH(C460,'Borrowers'!$C$9:$C$108,0))*'Scenario Paths'!J15*(1-INDEX('Borrowers'!$T$9:$T$108,MATCH(C460,'Borrowers'!$C$9:$C$108,0))),"Unavailable"))</x:f>
      </x:c>
      <x:c r="K460" s="23" t="str">
        <x:f>IF(C460="","",IFERROR(INDEX('Borrowers'!$I$9:$I$108,MATCH(C460,'Borrowers'!$C$9:$C$108,0))*INDEX('Borrowers'!$U$9:$U$108,MATCH(C460,'Borrowers'!$C$9:$C$108,0))*'Scenario Paths'!J21*S460,"Unavailable"))</x:f>
      </x:c>
      <x:c r="L460" s="23" t="str">
        <x:f>IF(C460="","",IFERROR(SUMPRODUCT((Sites!$D$9:$D$108=C460)*Sites!$H$9:$H$108*Sites!$J$9:$J$108*Sites!$K$9:$K$108*(1-Sites!$L$9:$L$108)*(1-Sites!$M$9:$M$108))*'Scenario Paths'!J27,"Unavailable"))</x:f>
      </x:c>
      <x:c r="M460" s="23" t="str">
        <x:f>IF(C460="","",IFERROR(INDEX('Borrowers'!$J$9:$J$108,MATCH(C460,'Borrowers'!$C$9:$C$108,0))+H460-SUM(I460:L460),"Unavailable"))</x:f>
      </x:c>
      <x:c r="N460" s="23" t="str">
        <x:f>IF(C460="","",IFERROR(INDEX('Borrowers'!$I$9:$I$108,MATCH(C460,'Borrowers'!$C$9:$C$108,0))*'Scenario Paths'!J33,"Unavailable"))</x:f>
      </x:c>
      <x:c r="O460" s="23" t="str">
        <x:f>IF(C460="","",IFERROR(M460-INDEX('Borrowers'!$K$9:$K$108,MATCH(C460,'Borrowers'!$C$9:$C$108,0))-N460,"Unavailable"))</x:f>
      </x:c>
      <x:c r="P460" s="127" t="str">
        <x:f>IF(C460="","",IFERROR(O460/INDEX('Borrowers'!$L$9:$L$108,MATCH(C460,'Borrowers'!$C$9:$C$108,0)),"Unavailable"))</x:f>
      </x:c>
      <x:c r="Q460" s="30" t="str">
        <x:f>IF(C460="","",IFERROR(IF(INDEX('Borrowers'!$Z$9:$Z$108,MATCH(C460,'Borrowers'!$C$9:$C$108,0))="Yes",1,IF(INDEX('Borrowers'!$P$9:$P$108,MATCH(C460,'Borrowers'!$C$9:$C$108,0))=0,0,MIN(1,INDEX('Borrowers'!$P$9:$P$108,MATCH(C460,'Borrowers'!$C$9:$C$108,0))*EXP(MIN(20,INDEX('Borrowers'!$V$9:$V$108,MATCH(C460,'Borrowers'!$C$9:$C$108,0))*V460))))),"Unavailable"))</x:f>
      </x:c>
      <x:c r="R460" s="30" t="str">
        <x:f>IF(C460="","",IFERROR(MIN(1,INDEX('Borrowers'!$Q$9:$Q$108,MATCH(C460,'Borrowers'!$C$9:$C$108,0))+(1-INDEX('Borrowers'!$Q$9:$Q$108,MATCH(C460,'Borrowers'!$C$9:$C$108,0)))*T460),"Unavailable"))</x:f>
      </x:c>
      <x:c r="S460" s="30" t="str">
        <x:f>IF(C460="","",IFERROR(SUMPRODUCT((Sites!$D$9:$D$108=C460)*Sites!$I$9:$I$108*Sites!$J$9:$J$108*Sites!$K$9:$K$108*(1-Sites!$L$9:$L$108)),"Unavailable"))</x:f>
      </x:c>
      <x:c r="T460" s="30" t="str">
        <x:f>IF(C460="","",IFERROR(MIN(1,(SUMPRODUCT((Sites!$D$9:$D$108=C460)*Sites!$N$9:$N$108*Sites!$J$9:$J$108*Sites!$K$9:$K$108*(1-Sites!$L$9:$L$108)))*'Scenario Paths'!J27),"Unavailable"))</x:f>
      </x:c>
      <x:c r="U460" s="9" t="str">
        <x:f>IF(C460="","",IF(OR(INDEX('Borrowers'!$AA$9:$AA$108,MATCH(C460,'Borrowers'!$C$9:$C$108,0))&lt;&gt;"Ready",COUNTIF(Sites!$D$9:$D$108,C460)=0,COUNTIFS(Sites!$D$9:$D$108,C460,Sites!$Q$9:$Q$108,"&lt;&gt;Ready")&gt;0,'Scenario Paths'!$F$6&lt;&gt;"Ready"),"Review source inputs","Ready"))</x:f>
      </x:c>
      <x:c r="V460" s="17" t="str">
        <x:f>IF(C460="","",IFERROR(MAX(-1,(G460-O460)/MAX(0.000001,G460)),"Unavailable"))</x:f>
      </x:c>
      <x:c r="W460" s="9" t="str">
        <x:f>IF(C460="","",IFERROR(INDEX('Borrowers'!$D$9:$D$108,MATCH(C460,'Borrowers'!$C$9:$C$108,0)),"Unavailable"))</x:f>
      </x:c>
    </x:row>
    <x:row r="461" ht="26" customHeight="1">
      <x:c r="A461" s="1"/>
      <x:c r="B461" s="1"/>
      <x:c r="C461" s="9" t="str">
        <x:f>IF(Borrowers!C61="","",Borrowers!C61)</x:f>
      </x:c>
      <x:c r="D461" s="3" t="n">
        <x:v>5</x:v>
      </x:c>
      <x:c r="E461" s="9" t="n">
        <x:f>Settings!$F$18+4</x:f>
        <x:v>2031</x:v>
      </x:c>
      <x:c r="F461" s="9" t="str">
        <x:f>IF(C461="","",INDEX('Borrowers'!$F$9:$F$108,MATCH(C461,'Borrowers'!$C$9:$C$108,0)))</x:f>
      </x:c>
      <x:c r="G461" s="23" t="str">
        <x:f>IF(C461="","",IFERROR(INDEX('Borrowers'!$J$9:$J$108,MATCH(C461,'Borrowers'!$C$9:$C$108,0))-INDEX('Borrowers'!$K$9:$K$108,MATCH(C461,'Borrowers'!$C$9:$C$108,0)),"Unavailable"))</x:f>
      </x:c>
      <x:c r="H461" s="23" t="str">
        <x:f>IF(C461="","",IFERROR(INDEX('Borrowers'!$I$9:$I$108,MATCH(C461,'Borrowers'!$C$9:$C$108,0))*INDEX('Borrowers'!$U$9:$U$108,MATCH(C461,'Borrowers'!$C$9:$C$108,0))*(IF(F461="Transport",'Scenario Paths'!J156,IF(F461="Technology",'Scenario Paths'!J150,IF(F461="Utilities",'Scenario Paths'!J144,IF(F461="Agriculture",'Scenario Paths'!J138,IF(F461="Manufacturing",'Scenario Paths'!J132,IF(F461="Healthcare",'Scenario Paths'!J126,IF(F461="Hospitality",'Scenario Paths'!J120,IF(F461="Property",'Scenario Paths'!J114,IF(F461="Food",'Scenario Paths'!J108,IF(F461="Logistics",'Scenario Paths'!J102,IF(F461="Solar",'Scenario Paths'!J96,IF(F461="Cement",'Scenario Paths'!J90,0))))))))))))),"Unavailable"))</x:f>
      </x:c>
      <x:c r="I461" s="23" t="str">
        <x:f>IF(C461="","",IFERROR(INDEX('Borrowers'!$R$9:$R$108,MATCH(C461,'Borrowers'!$C$9:$C$108,0))*(1-INDEX('Borrowers'!$W$9:$W$108,MATCH(C461,'Borrowers'!$C$9:$C$108,0))*'Scenario Paths'!J39)*'Scenario Paths'!J9/1000000*(1-INDEX('Borrowers'!$T$9:$T$108,MATCH(C461,'Borrowers'!$C$9:$C$108,0))),"Unavailable"))</x:f>
      </x:c>
      <x:c r="J461" s="23" t="str">
        <x:f>IF(C461="","",IFERROR(INDEX('Borrowers'!$I$9:$I$108,MATCH(C461,'Borrowers'!$C$9:$C$108,0))*INDEX('Borrowers'!$S$9:$S$108,MATCH(C461,'Borrowers'!$C$9:$C$108,0))*'Scenario Paths'!J15*(1-INDEX('Borrowers'!$T$9:$T$108,MATCH(C461,'Borrowers'!$C$9:$C$108,0))),"Unavailable"))</x:f>
      </x:c>
      <x:c r="K461" s="23" t="str">
        <x:f>IF(C461="","",IFERROR(INDEX('Borrowers'!$I$9:$I$108,MATCH(C461,'Borrowers'!$C$9:$C$108,0))*INDEX('Borrowers'!$U$9:$U$108,MATCH(C461,'Borrowers'!$C$9:$C$108,0))*'Scenario Paths'!J21*S461,"Unavailable"))</x:f>
      </x:c>
      <x:c r="L461" s="23" t="str">
        <x:f>IF(C461="","",IFERROR(SUMPRODUCT((Sites!$D$9:$D$108=C461)*Sites!$H$9:$H$108*Sites!$J$9:$J$108*Sites!$K$9:$K$108*(1-Sites!$L$9:$L$108)*(1-Sites!$M$9:$M$108))*'Scenario Paths'!J27,"Unavailable"))</x:f>
      </x:c>
      <x:c r="M461" s="23" t="str">
        <x:f>IF(C461="","",IFERROR(INDEX('Borrowers'!$J$9:$J$108,MATCH(C461,'Borrowers'!$C$9:$C$108,0))+H461-SUM(I461:L461),"Unavailable"))</x:f>
      </x:c>
      <x:c r="N461" s="23" t="str">
        <x:f>IF(C461="","",IFERROR(INDEX('Borrowers'!$I$9:$I$108,MATCH(C461,'Borrowers'!$C$9:$C$108,0))*'Scenario Paths'!J33,"Unavailable"))</x:f>
      </x:c>
      <x:c r="O461" s="23" t="str">
        <x:f>IF(C461="","",IFERROR(M461-INDEX('Borrowers'!$K$9:$K$108,MATCH(C461,'Borrowers'!$C$9:$C$108,0))-N461,"Unavailable"))</x:f>
      </x:c>
      <x:c r="P461" s="127" t="str">
        <x:f>IF(C461="","",IFERROR(O461/INDEX('Borrowers'!$L$9:$L$108,MATCH(C461,'Borrowers'!$C$9:$C$108,0)),"Unavailable"))</x:f>
      </x:c>
      <x:c r="Q461" s="30" t="str">
        <x:f>IF(C461="","",IFERROR(IF(INDEX('Borrowers'!$Z$9:$Z$108,MATCH(C461,'Borrowers'!$C$9:$C$108,0))="Yes",1,IF(INDEX('Borrowers'!$P$9:$P$108,MATCH(C461,'Borrowers'!$C$9:$C$108,0))=0,0,MIN(1,INDEX('Borrowers'!$P$9:$P$108,MATCH(C461,'Borrowers'!$C$9:$C$108,0))*EXP(MIN(20,INDEX('Borrowers'!$V$9:$V$108,MATCH(C461,'Borrowers'!$C$9:$C$108,0))*V461))))),"Unavailable"))</x:f>
      </x:c>
      <x:c r="R461" s="30" t="str">
        <x:f>IF(C461="","",IFERROR(MIN(1,INDEX('Borrowers'!$Q$9:$Q$108,MATCH(C461,'Borrowers'!$C$9:$C$108,0))+(1-INDEX('Borrowers'!$Q$9:$Q$108,MATCH(C461,'Borrowers'!$C$9:$C$108,0)))*T461),"Unavailable"))</x:f>
      </x:c>
      <x:c r="S461" s="30" t="str">
        <x:f>IF(C461="","",IFERROR(SUMPRODUCT((Sites!$D$9:$D$108=C461)*Sites!$I$9:$I$108*Sites!$J$9:$J$108*Sites!$K$9:$K$108*(1-Sites!$L$9:$L$108)),"Unavailable"))</x:f>
      </x:c>
      <x:c r="T461" s="30" t="str">
        <x:f>IF(C461="","",IFERROR(MIN(1,(SUMPRODUCT((Sites!$D$9:$D$108=C461)*Sites!$N$9:$N$108*Sites!$J$9:$J$108*Sites!$K$9:$K$108*(1-Sites!$L$9:$L$108)))*'Scenario Paths'!J27),"Unavailable"))</x:f>
      </x:c>
      <x:c r="U461" s="9" t="str">
        <x:f>IF(C461="","",IF(OR(INDEX('Borrowers'!$AA$9:$AA$108,MATCH(C461,'Borrowers'!$C$9:$C$108,0))&lt;&gt;"Ready",COUNTIF(Sites!$D$9:$D$108,C461)=0,COUNTIFS(Sites!$D$9:$D$108,C461,Sites!$Q$9:$Q$108,"&lt;&gt;Ready")&gt;0,'Scenario Paths'!$F$6&lt;&gt;"Ready"),"Review source inputs","Ready"))</x:f>
      </x:c>
      <x:c r="V461" s="17" t="str">
        <x:f>IF(C461="","",IFERROR(MAX(-1,(G461-O461)/MAX(0.000001,G461)),"Unavailable"))</x:f>
      </x:c>
      <x:c r="W461" s="9" t="str">
        <x:f>IF(C461="","",IFERROR(INDEX('Borrowers'!$D$9:$D$108,MATCH(C461,'Borrowers'!$C$9:$C$108,0)),"Unavailable"))</x:f>
      </x:c>
    </x:row>
    <x:row r="462" ht="26" customHeight="1">
      <x:c r="A462" s="1"/>
      <x:c r="B462" s="1"/>
      <x:c r="C462" s="9" t="str">
        <x:f>IF(Borrowers!C62="","",Borrowers!C62)</x:f>
      </x:c>
      <x:c r="D462" s="3" t="n">
        <x:v>5</x:v>
      </x:c>
      <x:c r="E462" s="9" t="n">
        <x:f>Settings!$F$18+4</x:f>
        <x:v>2031</x:v>
      </x:c>
      <x:c r="F462" s="9" t="str">
        <x:f>IF(C462="","",INDEX('Borrowers'!$F$9:$F$108,MATCH(C462,'Borrowers'!$C$9:$C$108,0)))</x:f>
      </x:c>
      <x:c r="G462" s="23" t="str">
        <x:f>IF(C462="","",IFERROR(INDEX('Borrowers'!$J$9:$J$108,MATCH(C462,'Borrowers'!$C$9:$C$108,0))-INDEX('Borrowers'!$K$9:$K$108,MATCH(C462,'Borrowers'!$C$9:$C$108,0)),"Unavailable"))</x:f>
      </x:c>
      <x:c r="H462" s="23" t="str">
        <x:f>IF(C462="","",IFERROR(INDEX('Borrowers'!$I$9:$I$108,MATCH(C462,'Borrowers'!$C$9:$C$108,0))*INDEX('Borrowers'!$U$9:$U$108,MATCH(C462,'Borrowers'!$C$9:$C$108,0))*(IF(F462="Transport",'Scenario Paths'!J156,IF(F462="Technology",'Scenario Paths'!J150,IF(F462="Utilities",'Scenario Paths'!J144,IF(F462="Agriculture",'Scenario Paths'!J138,IF(F462="Manufacturing",'Scenario Paths'!J132,IF(F462="Healthcare",'Scenario Paths'!J126,IF(F462="Hospitality",'Scenario Paths'!J120,IF(F462="Property",'Scenario Paths'!J114,IF(F462="Food",'Scenario Paths'!J108,IF(F462="Logistics",'Scenario Paths'!J102,IF(F462="Solar",'Scenario Paths'!J96,IF(F462="Cement",'Scenario Paths'!J90,0))))))))))))),"Unavailable"))</x:f>
      </x:c>
      <x:c r="I462" s="23" t="str">
        <x:f>IF(C462="","",IFERROR(INDEX('Borrowers'!$R$9:$R$108,MATCH(C462,'Borrowers'!$C$9:$C$108,0))*(1-INDEX('Borrowers'!$W$9:$W$108,MATCH(C462,'Borrowers'!$C$9:$C$108,0))*'Scenario Paths'!J39)*'Scenario Paths'!J9/1000000*(1-INDEX('Borrowers'!$T$9:$T$108,MATCH(C462,'Borrowers'!$C$9:$C$108,0))),"Unavailable"))</x:f>
      </x:c>
      <x:c r="J462" s="23" t="str">
        <x:f>IF(C462="","",IFERROR(INDEX('Borrowers'!$I$9:$I$108,MATCH(C462,'Borrowers'!$C$9:$C$108,0))*INDEX('Borrowers'!$S$9:$S$108,MATCH(C462,'Borrowers'!$C$9:$C$108,0))*'Scenario Paths'!J15*(1-INDEX('Borrowers'!$T$9:$T$108,MATCH(C462,'Borrowers'!$C$9:$C$108,0))),"Unavailable"))</x:f>
      </x:c>
      <x:c r="K462" s="23" t="str">
        <x:f>IF(C462="","",IFERROR(INDEX('Borrowers'!$I$9:$I$108,MATCH(C462,'Borrowers'!$C$9:$C$108,0))*INDEX('Borrowers'!$U$9:$U$108,MATCH(C462,'Borrowers'!$C$9:$C$108,0))*'Scenario Paths'!J21*S462,"Unavailable"))</x:f>
      </x:c>
      <x:c r="L462" s="23" t="str">
        <x:f>IF(C462="","",IFERROR(SUMPRODUCT((Sites!$D$9:$D$108=C462)*Sites!$H$9:$H$108*Sites!$J$9:$J$108*Sites!$K$9:$K$108*(1-Sites!$L$9:$L$108)*(1-Sites!$M$9:$M$108))*'Scenario Paths'!J27,"Unavailable"))</x:f>
      </x:c>
      <x:c r="M462" s="23" t="str">
        <x:f>IF(C462="","",IFERROR(INDEX('Borrowers'!$J$9:$J$108,MATCH(C462,'Borrowers'!$C$9:$C$108,0))+H462-SUM(I462:L462),"Unavailable"))</x:f>
      </x:c>
      <x:c r="N462" s="23" t="str">
        <x:f>IF(C462="","",IFERROR(INDEX('Borrowers'!$I$9:$I$108,MATCH(C462,'Borrowers'!$C$9:$C$108,0))*'Scenario Paths'!J33,"Unavailable"))</x:f>
      </x:c>
      <x:c r="O462" s="23" t="str">
        <x:f>IF(C462="","",IFERROR(M462-INDEX('Borrowers'!$K$9:$K$108,MATCH(C462,'Borrowers'!$C$9:$C$108,0))-N462,"Unavailable"))</x:f>
      </x:c>
      <x:c r="P462" s="127" t="str">
        <x:f>IF(C462="","",IFERROR(O462/INDEX('Borrowers'!$L$9:$L$108,MATCH(C462,'Borrowers'!$C$9:$C$108,0)),"Unavailable"))</x:f>
      </x:c>
      <x:c r="Q462" s="30" t="str">
        <x:f>IF(C462="","",IFERROR(IF(INDEX('Borrowers'!$Z$9:$Z$108,MATCH(C462,'Borrowers'!$C$9:$C$108,0))="Yes",1,IF(INDEX('Borrowers'!$P$9:$P$108,MATCH(C462,'Borrowers'!$C$9:$C$108,0))=0,0,MIN(1,INDEX('Borrowers'!$P$9:$P$108,MATCH(C462,'Borrowers'!$C$9:$C$108,0))*EXP(MIN(20,INDEX('Borrowers'!$V$9:$V$108,MATCH(C462,'Borrowers'!$C$9:$C$108,0))*V462))))),"Unavailable"))</x:f>
      </x:c>
      <x:c r="R462" s="30" t="str">
        <x:f>IF(C462="","",IFERROR(MIN(1,INDEX('Borrowers'!$Q$9:$Q$108,MATCH(C462,'Borrowers'!$C$9:$C$108,0))+(1-INDEX('Borrowers'!$Q$9:$Q$108,MATCH(C462,'Borrowers'!$C$9:$C$108,0)))*T462),"Unavailable"))</x:f>
      </x:c>
      <x:c r="S462" s="30" t="str">
        <x:f>IF(C462="","",IFERROR(SUMPRODUCT((Sites!$D$9:$D$108=C462)*Sites!$I$9:$I$108*Sites!$J$9:$J$108*Sites!$K$9:$K$108*(1-Sites!$L$9:$L$108)),"Unavailable"))</x:f>
      </x:c>
      <x:c r="T462" s="30" t="str">
        <x:f>IF(C462="","",IFERROR(MIN(1,(SUMPRODUCT((Sites!$D$9:$D$108=C462)*Sites!$N$9:$N$108*Sites!$J$9:$J$108*Sites!$K$9:$K$108*(1-Sites!$L$9:$L$108)))*'Scenario Paths'!J27),"Unavailable"))</x:f>
      </x:c>
      <x:c r="U462" s="9" t="str">
        <x:f>IF(C462="","",IF(OR(INDEX('Borrowers'!$AA$9:$AA$108,MATCH(C462,'Borrowers'!$C$9:$C$108,0))&lt;&gt;"Ready",COUNTIF(Sites!$D$9:$D$108,C462)=0,COUNTIFS(Sites!$D$9:$D$108,C462,Sites!$Q$9:$Q$108,"&lt;&gt;Ready")&gt;0,'Scenario Paths'!$F$6&lt;&gt;"Ready"),"Review source inputs","Ready"))</x:f>
      </x:c>
      <x:c r="V462" s="17" t="str">
        <x:f>IF(C462="","",IFERROR(MAX(-1,(G462-O462)/MAX(0.000001,G462)),"Unavailable"))</x:f>
      </x:c>
      <x:c r="W462" s="9" t="str">
        <x:f>IF(C462="","",IFERROR(INDEX('Borrowers'!$D$9:$D$108,MATCH(C462,'Borrowers'!$C$9:$C$108,0)),"Unavailable"))</x:f>
      </x:c>
    </x:row>
    <x:row r="463" ht="26" customHeight="1">
      <x:c r="A463" s="1"/>
      <x:c r="B463" s="1"/>
      <x:c r="C463" s="9" t="str">
        <x:f>IF(Borrowers!C63="","",Borrowers!C63)</x:f>
      </x:c>
      <x:c r="D463" s="3" t="n">
        <x:v>5</x:v>
      </x:c>
      <x:c r="E463" s="9" t="n">
        <x:f>Settings!$F$18+4</x:f>
        <x:v>2031</x:v>
      </x:c>
      <x:c r="F463" s="9" t="str">
        <x:f>IF(C463="","",INDEX('Borrowers'!$F$9:$F$108,MATCH(C463,'Borrowers'!$C$9:$C$108,0)))</x:f>
      </x:c>
      <x:c r="G463" s="23" t="str">
        <x:f>IF(C463="","",IFERROR(INDEX('Borrowers'!$J$9:$J$108,MATCH(C463,'Borrowers'!$C$9:$C$108,0))-INDEX('Borrowers'!$K$9:$K$108,MATCH(C463,'Borrowers'!$C$9:$C$108,0)),"Unavailable"))</x:f>
      </x:c>
      <x:c r="H463" s="23" t="str">
        <x:f>IF(C463="","",IFERROR(INDEX('Borrowers'!$I$9:$I$108,MATCH(C463,'Borrowers'!$C$9:$C$108,0))*INDEX('Borrowers'!$U$9:$U$108,MATCH(C463,'Borrowers'!$C$9:$C$108,0))*(IF(F463="Transport",'Scenario Paths'!J156,IF(F463="Technology",'Scenario Paths'!J150,IF(F463="Utilities",'Scenario Paths'!J144,IF(F463="Agriculture",'Scenario Paths'!J138,IF(F463="Manufacturing",'Scenario Paths'!J132,IF(F463="Healthcare",'Scenario Paths'!J126,IF(F463="Hospitality",'Scenario Paths'!J120,IF(F463="Property",'Scenario Paths'!J114,IF(F463="Food",'Scenario Paths'!J108,IF(F463="Logistics",'Scenario Paths'!J102,IF(F463="Solar",'Scenario Paths'!J96,IF(F463="Cement",'Scenario Paths'!J90,0))))))))))))),"Unavailable"))</x:f>
      </x:c>
      <x:c r="I463" s="23" t="str">
        <x:f>IF(C463="","",IFERROR(INDEX('Borrowers'!$R$9:$R$108,MATCH(C463,'Borrowers'!$C$9:$C$108,0))*(1-INDEX('Borrowers'!$W$9:$W$108,MATCH(C463,'Borrowers'!$C$9:$C$108,0))*'Scenario Paths'!J39)*'Scenario Paths'!J9/1000000*(1-INDEX('Borrowers'!$T$9:$T$108,MATCH(C463,'Borrowers'!$C$9:$C$108,0))),"Unavailable"))</x:f>
      </x:c>
      <x:c r="J463" s="23" t="str">
        <x:f>IF(C463="","",IFERROR(INDEX('Borrowers'!$I$9:$I$108,MATCH(C463,'Borrowers'!$C$9:$C$108,0))*INDEX('Borrowers'!$S$9:$S$108,MATCH(C463,'Borrowers'!$C$9:$C$108,0))*'Scenario Paths'!J15*(1-INDEX('Borrowers'!$T$9:$T$108,MATCH(C463,'Borrowers'!$C$9:$C$108,0))),"Unavailable"))</x:f>
      </x:c>
      <x:c r="K463" s="23" t="str">
        <x:f>IF(C463="","",IFERROR(INDEX('Borrowers'!$I$9:$I$108,MATCH(C463,'Borrowers'!$C$9:$C$108,0))*INDEX('Borrowers'!$U$9:$U$108,MATCH(C463,'Borrowers'!$C$9:$C$108,0))*'Scenario Paths'!J21*S463,"Unavailable"))</x:f>
      </x:c>
      <x:c r="L463" s="23" t="str">
        <x:f>IF(C463="","",IFERROR(SUMPRODUCT((Sites!$D$9:$D$108=C463)*Sites!$H$9:$H$108*Sites!$J$9:$J$108*Sites!$K$9:$K$108*(1-Sites!$L$9:$L$108)*(1-Sites!$M$9:$M$108))*'Scenario Paths'!J27,"Unavailable"))</x:f>
      </x:c>
      <x:c r="M463" s="23" t="str">
        <x:f>IF(C463="","",IFERROR(INDEX('Borrowers'!$J$9:$J$108,MATCH(C463,'Borrowers'!$C$9:$C$108,0))+H463-SUM(I463:L463),"Unavailable"))</x:f>
      </x:c>
      <x:c r="N463" s="23" t="str">
        <x:f>IF(C463="","",IFERROR(INDEX('Borrowers'!$I$9:$I$108,MATCH(C463,'Borrowers'!$C$9:$C$108,0))*'Scenario Paths'!J33,"Unavailable"))</x:f>
      </x:c>
      <x:c r="O463" s="23" t="str">
        <x:f>IF(C463="","",IFERROR(M463-INDEX('Borrowers'!$K$9:$K$108,MATCH(C463,'Borrowers'!$C$9:$C$108,0))-N463,"Unavailable"))</x:f>
      </x:c>
      <x:c r="P463" s="127" t="str">
        <x:f>IF(C463="","",IFERROR(O463/INDEX('Borrowers'!$L$9:$L$108,MATCH(C463,'Borrowers'!$C$9:$C$108,0)),"Unavailable"))</x:f>
      </x:c>
      <x:c r="Q463" s="30" t="str">
        <x:f>IF(C463="","",IFERROR(IF(INDEX('Borrowers'!$Z$9:$Z$108,MATCH(C463,'Borrowers'!$C$9:$C$108,0))="Yes",1,IF(INDEX('Borrowers'!$P$9:$P$108,MATCH(C463,'Borrowers'!$C$9:$C$108,0))=0,0,MIN(1,INDEX('Borrowers'!$P$9:$P$108,MATCH(C463,'Borrowers'!$C$9:$C$108,0))*EXP(MIN(20,INDEX('Borrowers'!$V$9:$V$108,MATCH(C463,'Borrowers'!$C$9:$C$108,0))*V463))))),"Unavailable"))</x:f>
      </x:c>
      <x:c r="R463" s="30" t="str">
        <x:f>IF(C463="","",IFERROR(MIN(1,INDEX('Borrowers'!$Q$9:$Q$108,MATCH(C463,'Borrowers'!$C$9:$C$108,0))+(1-INDEX('Borrowers'!$Q$9:$Q$108,MATCH(C463,'Borrowers'!$C$9:$C$108,0)))*T463),"Unavailable"))</x:f>
      </x:c>
      <x:c r="S463" s="30" t="str">
        <x:f>IF(C463="","",IFERROR(SUMPRODUCT((Sites!$D$9:$D$108=C463)*Sites!$I$9:$I$108*Sites!$J$9:$J$108*Sites!$K$9:$K$108*(1-Sites!$L$9:$L$108)),"Unavailable"))</x:f>
      </x:c>
      <x:c r="T463" s="30" t="str">
        <x:f>IF(C463="","",IFERROR(MIN(1,(SUMPRODUCT((Sites!$D$9:$D$108=C463)*Sites!$N$9:$N$108*Sites!$J$9:$J$108*Sites!$K$9:$K$108*(1-Sites!$L$9:$L$108)))*'Scenario Paths'!J27),"Unavailable"))</x:f>
      </x:c>
      <x:c r="U463" s="9" t="str">
        <x:f>IF(C463="","",IF(OR(INDEX('Borrowers'!$AA$9:$AA$108,MATCH(C463,'Borrowers'!$C$9:$C$108,0))&lt;&gt;"Ready",COUNTIF(Sites!$D$9:$D$108,C463)=0,COUNTIFS(Sites!$D$9:$D$108,C463,Sites!$Q$9:$Q$108,"&lt;&gt;Ready")&gt;0,'Scenario Paths'!$F$6&lt;&gt;"Ready"),"Review source inputs","Ready"))</x:f>
      </x:c>
      <x:c r="V463" s="17" t="str">
        <x:f>IF(C463="","",IFERROR(MAX(-1,(G463-O463)/MAX(0.000001,G463)),"Unavailable"))</x:f>
      </x:c>
      <x:c r="W463" s="9" t="str">
        <x:f>IF(C463="","",IFERROR(INDEX('Borrowers'!$D$9:$D$108,MATCH(C463,'Borrowers'!$C$9:$C$108,0)),"Unavailable"))</x:f>
      </x:c>
    </x:row>
    <x:row r="464" ht="26" customHeight="1">
      <x:c r="A464" s="1"/>
      <x:c r="B464" s="1"/>
      <x:c r="C464" s="9" t="str">
        <x:f>IF(Borrowers!C64="","",Borrowers!C64)</x:f>
      </x:c>
      <x:c r="D464" s="3" t="n">
        <x:v>5</x:v>
      </x:c>
      <x:c r="E464" s="9" t="n">
        <x:f>Settings!$F$18+4</x:f>
        <x:v>2031</x:v>
      </x:c>
      <x:c r="F464" s="9" t="str">
        <x:f>IF(C464="","",INDEX('Borrowers'!$F$9:$F$108,MATCH(C464,'Borrowers'!$C$9:$C$108,0)))</x:f>
      </x:c>
      <x:c r="G464" s="23" t="str">
        <x:f>IF(C464="","",IFERROR(INDEX('Borrowers'!$J$9:$J$108,MATCH(C464,'Borrowers'!$C$9:$C$108,0))-INDEX('Borrowers'!$K$9:$K$108,MATCH(C464,'Borrowers'!$C$9:$C$108,0)),"Unavailable"))</x:f>
      </x:c>
      <x:c r="H464" s="23" t="str">
        <x:f>IF(C464="","",IFERROR(INDEX('Borrowers'!$I$9:$I$108,MATCH(C464,'Borrowers'!$C$9:$C$108,0))*INDEX('Borrowers'!$U$9:$U$108,MATCH(C464,'Borrowers'!$C$9:$C$108,0))*(IF(F464="Transport",'Scenario Paths'!J156,IF(F464="Technology",'Scenario Paths'!J150,IF(F464="Utilities",'Scenario Paths'!J144,IF(F464="Agriculture",'Scenario Paths'!J138,IF(F464="Manufacturing",'Scenario Paths'!J132,IF(F464="Healthcare",'Scenario Paths'!J126,IF(F464="Hospitality",'Scenario Paths'!J120,IF(F464="Property",'Scenario Paths'!J114,IF(F464="Food",'Scenario Paths'!J108,IF(F464="Logistics",'Scenario Paths'!J102,IF(F464="Solar",'Scenario Paths'!J96,IF(F464="Cement",'Scenario Paths'!J90,0))))))))))))),"Unavailable"))</x:f>
      </x:c>
      <x:c r="I464" s="23" t="str">
        <x:f>IF(C464="","",IFERROR(INDEX('Borrowers'!$R$9:$R$108,MATCH(C464,'Borrowers'!$C$9:$C$108,0))*(1-INDEX('Borrowers'!$W$9:$W$108,MATCH(C464,'Borrowers'!$C$9:$C$108,0))*'Scenario Paths'!J39)*'Scenario Paths'!J9/1000000*(1-INDEX('Borrowers'!$T$9:$T$108,MATCH(C464,'Borrowers'!$C$9:$C$108,0))),"Unavailable"))</x:f>
      </x:c>
      <x:c r="J464" s="23" t="str">
        <x:f>IF(C464="","",IFERROR(INDEX('Borrowers'!$I$9:$I$108,MATCH(C464,'Borrowers'!$C$9:$C$108,0))*INDEX('Borrowers'!$S$9:$S$108,MATCH(C464,'Borrowers'!$C$9:$C$108,0))*'Scenario Paths'!J15*(1-INDEX('Borrowers'!$T$9:$T$108,MATCH(C464,'Borrowers'!$C$9:$C$108,0))),"Unavailable"))</x:f>
      </x:c>
      <x:c r="K464" s="23" t="str">
        <x:f>IF(C464="","",IFERROR(INDEX('Borrowers'!$I$9:$I$108,MATCH(C464,'Borrowers'!$C$9:$C$108,0))*INDEX('Borrowers'!$U$9:$U$108,MATCH(C464,'Borrowers'!$C$9:$C$108,0))*'Scenario Paths'!J21*S464,"Unavailable"))</x:f>
      </x:c>
      <x:c r="L464" s="23" t="str">
        <x:f>IF(C464="","",IFERROR(SUMPRODUCT((Sites!$D$9:$D$108=C464)*Sites!$H$9:$H$108*Sites!$J$9:$J$108*Sites!$K$9:$K$108*(1-Sites!$L$9:$L$108)*(1-Sites!$M$9:$M$108))*'Scenario Paths'!J27,"Unavailable"))</x:f>
      </x:c>
      <x:c r="M464" s="23" t="str">
        <x:f>IF(C464="","",IFERROR(INDEX('Borrowers'!$J$9:$J$108,MATCH(C464,'Borrowers'!$C$9:$C$108,0))+H464-SUM(I464:L464),"Unavailable"))</x:f>
      </x:c>
      <x:c r="N464" s="23" t="str">
        <x:f>IF(C464="","",IFERROR(INDEX('Borrowers'!$I$9:$I$108,MATCH(C464,'Borrowers'!$C$9:$C$108,0))*'Scenario Paths'!J33,"Unavailable"))</x:f>
      </x:c>
      <x:c r="O464" s="23" t="str">
        <x:f>IF(C464="","",IFERROR(M464-INDEX('Borrowers'!$K$9:$K$108,MATCH(C464,'Borrowers'!$C$9:$C$108,0))-N464,"Unavailable"))</x:f>
      </x:c>
      <x:c r="P464" s="127" t="str">
        <x:f>IF(C464="","",IFERROR(O464/INDEX('Borrowers'!$L$9:$L$108,MATCH(C464,'Borrowers'!$C$9:$C$108,0)),"Unavailable"))</x:f>
      </x:c>
      <x:c r="Q464" s="30" t="str">
        <x:f>IF(C464="","",IFERROR(IF(INDEX('Borrowers'!$Z$9:$Z$108,MATCH(C464,'Borrowers'!$C$9:$C$108,0))="Yes",1,IF(INDEX('Borrowers'!$P$9:$P$108,MATCH(C464,'Borrowers'!$C$9:$C$108,0))=0,0,MIN(1,INDEX('Borrowers'!$P$9:$P$108,MATCH(C464,'Borrowers'!$C$9:$C$108,0))*EXP(MIN(20,INDEX('Borrowers'!$V$9:$V$108,MATCH(C464,'Borrowers'!$C$9:$C$108,0))*V464))))),"Unavailable"))</x:f>
      </x:c>
      <x:c r="R464" s="30" t="str">
        <x:f>IF(C464="","",IFERROR(MIN(1,INDEX('Borrowers'!$Q$9:$Q$108,MATCH(C464,'Borrowers'!$C$9:$C$108,0))+(1-INDEX('Borrowers'!$Q$9:$Q$108,MATCH(C464,'Borrowers'!$C$9:$C$108,0)))*T464),"Unavailable"))</x:f>
      </x:c>
      <x:c r="S464" s="30" t="str">
        <x:f>IF(C464="","",IFERROR(SUMPRODUCT((Sites!$D$9:$D$108=C464)*Sites!$I$9:$I$108*Sites!$J$9:$J$108*Sites!$K$9:$K$108*(1-Sites!$L$9:$L$108)),"Unavailable"))</x:f>
      </x:c>
      <x:c r="T464" s="30" t="str">
        <x:f>IF(C464="","",IFERROR(MIN(1,(SUMPRODUCT((Sites!$D$9:$D$108=C464)*Sites!$N$9:$N$108*Sites!$J$9:$J$108*Sites!$K$9:$K$108*(1-Sites!$L$9:$L$108)))*'Scenario Paths'!J27),"Unavailable"))</x:f>
      </x:c>
      <x:c r="U464" s="9" t="str">
        <x:f>IF(C464="","",IF(OR(INDEX('Borrowers'!$AA$9:$AA$108,MATCH(C464,'Borrowers'!$C$9:$C$108,0))&lt;&gt;"Ready",COUNTIF(Sites!$D$9:$D$108,C464)=0,COUNTIFS(Sites!$D$9:$D$108,C464,Sites!$Q$9:$Q$108,"&lt;&gt;Ready")&gt;0,'Scenario Paths'!$F$6&lt;&gt;"Ready"),"Review source inputs","Ready"))</x:f>
      </x:c>
      <x:c r="V464" s="17" t="str">
        <x:f>IF(C464="","",IFERROR(MAX(-1,(G464-O464)/MAX(0.000001,G464)),"Unavailable"))</x:f>
      </x:c>
      <x:c r="W464" s="9" t="str">
        <x:f>IF(C464="","",IFERROR(INDEX('Borrowers'!$D$9:$D$108,MATCH(C464,'Borrowers'!$C$9:$C$108,0)),"Unavailable"))</x:f>
      </x:c>
    </x:row>
    <x:row r="465" ht="26" customHeight="1">
      <x:c r="A465" s="1"/>
      <x:c r="B465" s="1"/>
      <x:c r="C465" s="9" t="str">
        <x:f>IF(Borrowers!C65="","",Borrowers!C65)</x:f>
      </x:c>
      <x:c r="D465" s="3" t="n">
        <x:v>5</x:v>
      </x:c>
      <x:c r="E465" s="9" t="n">
        <x:f>Settings!$F$18+4</x:f>
        <x:v>2031</x:v>
      </x:c>
      <x:c r="F465" s="9" t="str">
        <x:f>IF(C465="","",INDEX('Borrowers'!$F$9:$F$108,MATCH(C465,'Borrowers'!$C$9:$C$108,0)))</x:f>
      </x:c>
      <x:c r="G465" s="23" t="str">
        <x:f>IF(C465="","",IFERROR(INDEX('Borrowers'!$J$9:$J$108,MATCH(C465,'Borrowers'!$C$9:$C$108,0))-INDEX('Borrowers'!$K$9:$K$108,MATCH(C465,'Borrowers'!$C$9:$C$108,0)),"Unavailable"))</x:f>
      </x:c>
      <x:c r="H465" s="23" t="str">
        <x:f>IF(C465="","",IFERROR(INDEX('Borrowers'!$I$9:$I$108,MATCH(C465,'Borrowers'!$C$9:$C$108,0))*INDEX('Borrowers'!$U$9:$U$108,MATCH(C465,'Borrowers'!$C$9:$C$108,0))*(IF(F465="Transport",'Scenario Paths'!J156,IF(F465="Technology",'Scenario Paths'!J150,IF(F465="Utilities",'Scenario Paths'!J144,IF(F465="Agriculture",'Scenario Paths'!J138,IF(F465="Manufacturing",'Scenario Paths'!J132,IF(F465="Healthcare",'Scenario Paths'!J126,IF(F465="Hospitality",'Scenario Paths'!J120,IF(F465="Property",'Scenario Paths'!J114,IF(F465="Food",'Scenario Paths'!J108,IF(F465="Logistics",'Scenario Paths'!J102,IF(F465="Solar",'Scenario Paths'!J96,IF(F465="Cement",'Scenario Paths'!J90,0))))))))))))),"Unavailable"))</x:f>
      </x:c>
      <x:c r="I465" s="23" t="str">
        <x:f>IF(C465="","",IFERROR(INDEX('Borrowers'!$R$9:$R$108,MATCH(C465,'Borrowers'!$C$9:$C$108,0))*(1-INDEX('Borrowers'!$W$9:$W$108,MATCH(C465,'Borrowers'!$C$9:$C$108,0))*'Scenario Paths'!J39)*'Scenario Paths'!J9/1000000*(1-INDEX('Borrowers'!$T$9:$T$108,MATCH(C465,'Borrowers'!$C$9:$C$108,0))),"Unavailable"))</x:f>
      </x:c>
      <x:c r="J465" s="23" t="str">
        <x:f>IF(C465="","",IFERROR(INDEX('Borrowers'!$I$9:$I$108,MATCH(C465,'Borrowers'!$C$9:$C$108,0))*INDEX('Borrowers'!$S$9:$S$108,MATCH(C465,'Borrowers'!$C$9:$C$108,0))*'Scenario Paths'!J15*(1-INDEX('Borrowers'!$T$9:$T$108,MATCH(C465,'Borrowers'!$C$9:$C$108,0))),"Unavailable"))</x:f>
      </x:c>
      <x:c r="K465" s="23" t="str">
        <x:f>IF(C465="","",IFERROR(INDEX('Borrowers'!$I$9:$I$108,MATCH(C465,'Borrowers'!$C$9:$C$108,0))*INDEX('Borrowers'!$U$9:$U$108,MATCH(C465,'Borrowers'!$C$9:$C$108,0))*'Scenario Paths'!J21*S465,"Unavailable"))</x:f>
      </x:c>
      <x:c r="L465" s="23" t="str">
        <x:f>IF(C465="","",IFERROR(SUMPRODUCT((Sites!$D$9:$D$108=C465)*Sites!$H$9:$H$108*Sites!$J$9:$J$108*Sites!$K$9:$K$108*(1-Sites!$L$9:$L$108)*(1-Sites!$M$9:$M$108))*'Scenario Paths'!J27,"Unavailable"))</x:f>
      </x:c>
      <x:c r="M465" s="23" t="str">
        <x:f>IF(C465="","",IFERROR(INDEX('Borrowers'!$J$9:$J$108,MATCH(C465,'Borrowers'!$C$9:$C$108,0))+H465-SUM(I465:L465),"Unavailable"))</x:f>
      </x:c>
      <x:c r="N465" s="23" t="str">
        <x:f>IF(C465="","",IFERROR(INDEX('Borrowers'!$I$9:$I$108,MATCH(C465,'Borrowers'!$C$9:$C$108,0))*'Scenario Paths'!J33,"Unavailable"))</x:f>
      </x:c>
      <x:c r="O465" s="23" t="str">
        <x:f>IF(C465="","",IFERROR(M465-INDEX('Borrowers'!$K$9:$K$108,MATCH(C465,'Borrowers'!$C$9:$C$108,0))-N465,"Unavailable"))</x:f>
      </x:c>
      <x:c r="P465" s="127" t="str">
        <x:f>IF(C465="","",IFERROR(O465/INDEX('Borrowers'!$L$9:$L$108,MATCH(C465,'Borrowers'!$C$9:$C$108,0)),"Unavailable"))</x:f>
      </x:c>
      <x:c r="Q465" s="30" t="str">
        <x:f>IF(C465="","",IFERROR(IF(INDEX('Borrowers'!$Z$9:$Z$108,MATCH(C465,'Borrowers'!$C$9:$C$108,0))="Yes",1,IF(INDEX('Borrowers'!$P$9:$P$108,MATCH(C465,'Borrowers'!$C$9:$C$108,0))=0,0,MIN(1,INDEX('Borrowers'!$P$9:$P$108,MATCH(C465,'Borrowers'!$C$9:$C$108,0))*EXP(MIN(20,INDEX('Borrowers'!$V$9:$V$108,MATCH(C465,'Borrowers'!$C$9:$C$108,0))*V465))))),"Unavailable"))</x:f>
      </x:c>
      <x:c r="R465" s="30" t="str">
        <x:f>IF(C465="","",IFERROR(MIN(1,INDEX('Borrowers'!$Q$9:$Q$108,MATCH(C465,'Borrowers'!$C$9:$C$108,0))+(1-INDEX('Borrowers'!$Q$9:$Q$108,MATCH(C465,'Borrowers'!$C$9:$C$108,0)))*T465),"Unavailable"))</x:f>
      </x:c>
      <x:c r="S465" s="30" t="str">
        <x:f>IF(C465="","",IFERROR(SUMPRODUCT((Sites!$D$9:$D$108=C465)*Sites!$I$9:$I$108*Sites!$J$9:$J$108*Sites!$K$9:$K$108*(1-Sites!$L$9:$L$108)),"Unavailable"))</x:f>
      </x:c>
      <x:c r="T465" s="30" t="str">
        <x:f>IF(C465="","",IFERROR(MIN(1,(SUMPRODUCT((Sites!$D$9:$D$108=C465)*Sites!$N$9:$N$108*Sites!$J$9:$J$108*Sites!$K$9:$K$108*(1-Sites!$L$9:$L$108)))*'Scenario Paths'!J27),"Unavailable"))</x:f>
      </x:c>
      <x:c r="U465" s="9" t="str">
        <x:f>IF(C465="","",IF(OR(INDEX('Borrowers'!$AA$9:$AA$108,MATCH(C465,'Borrowers'!$C$9:$C$108,0))&lt;&gt;"Ready",COUNTIF(Sites!$D$9:$D$108,C465)=0,COUNTIFS(Sites!$D$9:$D$108,C465,Sites!$Q$9:$Q$108,"&lt;&gt;Ready")&gt;0,'Scenario Paths'!$F$6&lt;&gt;"Ready"),"Review source inputs","Ready"))</x:f>
      </x:c>
      <x:c r="V465" s="17" t="str">
        <x:f>IF(C465="","",IFERROR(MAX(-1,(G465-O465)/MAX(0.000001,G465)),"Unavailable"))</x:f>
      </x:c>
      <x:c r="W465" s="9" t="str">
        <x:f>IF(C465="","",IFERROR(INDEX('Borrowers'!$D$9:$D$108,MATCH(C465,'Borrowers'!$C$9:$C$108,0)),"Unavailable"))</x:f>
      </x:c>
    </x:row>
    <x:row r="466" ht="26" customHeight="1">
      <x:c r="A466" s="1"/>
      <x:c r="B466" s="1"/>
      <x:c r="C466" s="9" t="str">
        <x:f>IF(Borrowers!C66="","",Borrowers!C66)</x:f>
      </x:c>
      <x:c r="D466" s="3" t="n">
        <x:v>5</x:v>
      </x:c>
      <x:c r="E466" s="9" t="n">
        <x:f>Settings!$F$18+4</x:f>
        <x:v>2031</x:v>
      </x:c>
      <x:c r="F466" s="9" t="str">
        <x:f>IF(C466="","",INDEX('Borrowers'!$F$9:$F$108,MATCH(C466,'Borrowers'!$C$9:$C$108,0)))</x:f>
      </x:c>
      <x:c r="G466" s="23" t="str">
        <x:f>IF(C466="","",IFERROR(INDEX('Borrowers'!$J$9:$J$108,MATCH(C466,'Borrowers'!$C$9:$C$108,0))-INDEX('Borrowers'!$K$9:$K$108,MATCH(C466,'Borrowers'!$C$9:$C$108,0)),"Unavailable"))</x:f>
      </x:c>
      <x:c r="H466" s="23" t="str">
        <x:f>IF(C466="","",IFERROR(INDEX('Borrowers'!$I$9:$I$108,MATCH(C466,'Borrowers'!$C$9:$C$108,0))*INDEX('Borrowers'!$U$9:$U$108,MATCH(C466,'Borrowers'!$C$9:$C$108,0))*(IF(F466="Transport",'Scenario Paths'!J156,IF(F466="Technology",'Scenario Paths'!J150,IF(F466="Utilities",'Scenario Paths'!J144,IF(F466="Agriculture",'Scenario Paths'!J138,IF(F466="Manufacturing",'Scenario Paths'!J132,IF(F466="Healthcare",'Scenario Paths'!J126,IF(F466="Hospitality",'Scenario Paths'!J120,IF(F466="Property",'Scenario Paths'!J114,IF(F466="Food",'Scenario Paths'!J108,IF(F466="Logistics",'Scenario Paths'!J102,IF(F466="Solar",'Scenario Paths'!J96,IF(F466="Cement",'Scenario Paths'!J90,0))))))))))))),"Unavailable"))</x:f>
      </x:c>
      <x:c r="I466" s="23" t="str">
        <x:f>IF(C466="","",IFERROR(INDEX('Borrowers'!$R$9:$R$108,MATCH(C466,'Borrowers'!$C$9:$C$108,0))*(1-INDEX('Borrowers'!$W$9:$W$108,MATCH(C466,'Borrowers'!$C$9:$C$108,0))*'Scenario Paths'!J39)*'Scenario Paths'!J9/1000000*(1-INDEX('Borrowers'!$T$9:$T$108,MATCH(C466,'Borrowers'!$C$9:$C$108,0))),"Unavailable"))</x:f>
      </x:c>
      <x:c r="J466" s="23" t="str">
        <x:f>IF(C466="","",IFERROR(INDEX('Borrowers'!$I$9:$I$108,MATCH(C466,'Borrowers'!$C$9:$C$108,0))*INDEX('Borrowers'!$S$9:$S$108,MATCH(C466,'Borrowers'!$C$9:$C$108,0))*'Scenario Paths'!J15*(1-INDEX('Borrowers'!$T$9:$T$108,MATCH(C466,'Borrowers'!$C$9:$C$108,0))),"Unavailable"))</x:f>
      </x:c>
      <x:c r="K466" s="23" t="str">
        <x:f>IF(C466="","",IFERROR(INDEX('Borrowers'!$I$9:$I$108,MATCH(C466,'Borrowers'!$C$9:$C$108,0))*INDEX('Borrowers'!$U$9:$U$108,MATCH(C466,'Borrowers'!$C$9:$C$108,0))*'Scenario Paths'!J21*S466,"Unavailable"))</x:f>
      </x:c>
      <x:c r="L466" s="23" t="str">
        <x:f>IF(C466="","",IFERROR(SUMPRODUCT((Sites!$D$9:$D$108=C466)*Sites!$H$9:$H$108*Sites!$J$9:$J$108*Sites!$K$9:$K$108*(1-Sites!$L$9:$L$108)*(1-Sites!$M$9:$M$108))*'Scenario Paths'!J27,"Unavailable"))</x:f>
      </x:c>
      <x:c r="M466" s="23" t="str">
        <x:f>IF(C466="","",IFERROR(INDEX('Borrowers'!$J$9:$J$108,MATCH(C466,'Borrowers'!$C$9:$C$108,0))+H466-SUM(I466:L466),"Unavailable"))</x:f>
      </x:c>
      <x:c r="N466" s="23" t="str">
        <x:f>IF(C466="","",IFERROR(INDEX('Borrowers'!$I$9:$I$108,MATCH(C466,'Borrowers'!$C$9:$C$108,0))*'Scenario Paths'!J33,"Unavailable"))</x:f>
      </x:c>
      <x:c r="O466" s="23" t="str">
        <x:f>IF(C466="","",IFERROR(M466-INDEX('Borrowers'!$K$9:$K$108,MATCH(C466,'Borrowers'!$C$9:$C$108,0))-N466,"Unavailable"))</x:f>
      </x:c>
      <x:c r="P466" s="127" t="str">
        <x:f>IF(C466="","",IFERROR(O466/INDEX('Borrowers'!$L$9:$L$108,MATCH(C466,'Borrowers'!$C$9:$C$108,0)),"Unavailable"))</x:f>
      </x:c>
      <x:c r="Q466" s="30" t="str">
        <x:f>IF(C466="","",IFERROR(IF(INDEX('Borrowers'!$Z$9:$Z$108,MATCH(C466,'Borrowers'!$C$9:$C$108,0))="Yes",1,IF(INDEX('Borrowers'!$P$9:$P$108,MATCH(C466,'Borrowers'!$C$9:$C$108,0))=0,0,MIN(1,INDEX('Borrowers'!$P$9:$P$108,MATCH(C466,'Borrowers'!$C$9:$C$108,0))*EXP(MIN(20,INDEX('Borrowers'!$V$9:$V$108,MATCH(C466,'Borrowers'!$C$9:$C$108,0))*V466))))),"Unavailable"))</x:f>
      </x:c>
      <x:c r="R466" s="30" t="str">
        <x:f>IF(C466="","",IFERROR(MIN(1,INDEX('Borrowers'!$Q$9:$Q$108,MATCH(C466,'Borrowers'!$C$9:$C$108,0))+(1-INDEX('Borrowers'!$Q$9:$Q$108,MATCH(C466,'Borrowers'!$C$9:$C$108,0)))*T466),"Unavailable"))</x:f>
      </x:c>
      <x:c r="S466" s="30" t="str">
        <x:f>IF(C466="","",IFERROR(SUMPRODUCT((Sites!$D$9:$D$108=C466)*Sites!$I$9:$I$108*Sites!$J$9:$J$108*Sites!$K$9:$K$108*(1-Sites!$L$9:$L$108)),"Unavailable"))</x:f>
      </x:c>
      <x:c r="T466" s="30" t="str">
        <x:f>IF(C466="","",IFERROR(MIN(1,(SUMPRODUCT((Sites!$D$9:$D$108=C466)*Sites!$N$9:$N$108*Sites!$J$9:$J$108*Sites!$K$9:$K$108*(1-Sites!$L$9:$L$108)))*'Scenario Paths'!J27),"Unavailable"))</x:f>
      </x:c>
      <x:c r="U466" s="9" t="str">
        <x:f>IF(C466="","",IF(OR(INDEX('Borrowers'!$AA$9:$AA$108,MATCH(C466,'Borrowers'!$C$9:$C$108,0))&lt;&gt;"Ready",COUNTIF(Sites!$D$9:$D$108,C466)=0,COUNTIFS(Sites!$D$9:$D$108,C466,Sites!$Q$9:$Q$108,"&lt;&gt;Ready")&gt;0,'Scenario Paths'!$F$6&lt;&gt;"Ready"),"Review source inputs","Ready"))</x:f>
      </x:c>
      <x:c r="V466" s="17" t="str">
        <x:f>IF(C466="","",IFERROR(MAX(-1,(G466-O466)/MAX(0.000001,G466)),"Unavailable"))</x:f>
      </x:c>
      <x:c r="W466" s="9" t="str">
        <x:f>IF(C466="","",IFERROR(INDEX('Borrowers'!$D$9:$D$108,MATCH(C466,'Borrowers'!$C$9:$C$108,0)),"Unavailable"))</x:f>
      </x:c>
    </x:row>
    <x:row r="467" ht="26" customHeight="1">
      <x:c r="A467" s="1"/>
      <x:c r="B467" s="1"/>
      <x:c r="C467" s="9" t="str">
        <x:f>IF(Borrowers!C67="","",Borrowers!C67)</x:f>
      </x:c>
      <x:c r="D467" s="3" t="n">
        <x:v>5</x:v>
      </x:c>
      <x:c r="E467" s="9" t="n">
        <x:f>Settings!$F$18+4</x:f>
        <x:v>2031</x:v>
      </x:c>
      <x:c r="F467" s="9" t="str">
        <x:f>IF(C467="","",INDEX('Borrowers'!$F$9:$F$108,MATCH(C467,'Borrowers'!$C$9:$C$108,0)))</x:f>
      </x:c>
      <x:c r="G467" s="23" t="str">
        <x:f>IF(C467="","",IFERROR(INDEX('Borrowers'!$J$9:$J$108,MATCH(C467,'Borrowers'!$C$9:$C$108,0))-INDEX('Borrowers'!$K$9:$K$108,MATCH(C467,'Borrowers'!$C$9:$C$108,0)),"Unavailable"))</x:f>
      </x:c>
      <x:c r="H467" s="23" t="str">
        <x:f>IF(C467="","",IFERROR(INDEX('Borrowers'!$I$9:$I$108,MATCH(C467,'Borrowers'!$C$9:$C$108,0))*INDEX('Borrowers'!$U$9:$U$108,MATCH(C467,'Borrowers'!$C$9:$C$108,0))*(IF(F467="Transport",'Scenario Paths'!J156,IF(F467="Technology",'Scenario Paths'!J150,IF(F467="Utilities",'Scenario Paths'!J144,IF(F467="Agriculture",'Scenario Paths'!J138,IF(F467="Manufacturing",'Scenario Paths'!J132,IF(F467="Healthcare",'Scenario Paths'!J126,IF(F467="Hospitality",'Scenario Paths'!J120,IF(F467="Property",'Scenario Paths'!J114,IF(F467="Food",'Scenario Paths'!J108,IF(F467="Logistics",'Scenario Paths'!J102,IF(F467="Solar",'Scenario Paths'!J96,IF(F467="Cement",'Scenario Paths'!J90,0))))))))))))),"Unavailable"))</x:f>
      </x:c>
      <x:c r="I467" s="23" t="str">
        <x:f>IF(C467="","",IFERROR(INDEX('Borrowers'!$R$9:$R$108,MATCH(C467,'Borrowers'!$C$9:$C$108,0))*(1-INDEX('Borrowers'!$W$9:$W$108,MATCH(C467,'Borrowers'!$C$9:$C$108,0))*'Scenario Paths'!J39)*'Scenario Paths'!J9/1000000*(1-INDEX('Borrowers'!$T$9:$T$108,MATCH(C467,'Borrowers'!$C$9:$C$108,0))),"Unavailable"))</x:f>
      </x:c>
      <x:c r="J467" s="23" t="str">
        <x:f>IF(C467="","",IFERROR(INDEX('Borrowers'!$I$9:$I$108,MATCH(C467,'Borrowers'!$C$9:$C$108,0))*INDEX('Borrowers'!$S$9:$S$108,MATCH(C467,'Borrowers'!$C$9:$C$108,0))*'Scenario Paths'!J15*(1-INDEX('Borrowers'!$T$9:$T$108,MATCH(C467,'Borrowers'!$C$9:$C$108,0))),"Unavailable"))</x:f>
      </x:c>
      <x:c r="K467" s="23" t="str">
        <x:f>IF(C467="","",IFERROR(INDEX('Borrowers'!$I$9:$I$108,MATCH(C467,'Borrowers'!$C$9:$C$108,0))*INDEX('Borrowers'!$U$9:$U$108,MATCH(C467,'Borrowers'!$C$9:$C$108,0))*'Scenario Paths'!J21*S467,"Unavailable"))</x:f>
      </x:c>
      <x:c r="L467" s="23" t="str">
        <x:f>IF(C467="","",IFERROR(SUMPRODUCT((Sites!$D$9:$D$108=C467)*Sites!$H$9:$H$108*Sites!$J$9:$J$108*Sites!$K$9:$K$108*(1-Sites!$L$9:$L$108)*(1-Sites!$M$9:$M$108))*'Scenario Paths'!J27,"Unavailable"))</x:f>
      </x:c>
      <x:c r="M467" s="23" t="str">
        <x:f>IF(C467="","",IFERROR(INDEX('Borrowers'!$J$9:$J$108,MATCH(C467,'Borrowers'!$C$9:$C$108,0))+H467-SUM(I467:L467),"Unavailable"))</x:f>
      </x:c>
      <x:c r="N467" s="23" t="str">
        <x:f>IF(C467="","",IFERROR(INDEX('Borrowers'!$I$9:$I$108,MATCH(C467,'Borrowers'!$C$9:$C$108,0))*'Scenario Paths'!J33,"Unavailable"))</x:f>
      </x:c>
      <x:c r="O467" s="23" t="str">
        <x:f>IF(C467="","",IFERROR(M467-INDEX('Borrowers'!$K$9:$K$108,MATCH(C467,'Borrowers'!$C$9:$C$108,0))-N467,"Unavailable"))</x:f>
      </x:c>
      <x:c r="P467" s="127" t="str">
        <x:f>IF(C467="","",IFERROR(O467/INDEX('Borrowers'!$L$9:$L$108,MATCH(C467,'Borrowers'!$C$9:$C$108,0)),"Unavailable"))</x:f>
      </x:c>
      <x:c r="Q467" s="30" t="str">
        <x:f>IF(C467="","",IFERROR(IF(INDEX('Borrowers'!$Z$9:$Z$108,MATCH(C467,'Borrowers'!$C$9:$C$108,0))="Yes",1,IF(INDEX('Borrowers'!$P$9:$P$108,MATCH(C467,'Borrowers'!$C$9:$C$108,0))=0,0,MIN(1,INDEX('Borrowers'!$P$9:$P$108,MATCH(C467,'Borrowers'!$C$9:$C$108,0))*EXP(MIN(20,INDEX('Borrowers'!$V$9:$V$108,MATCH(C467,'Borrowers'!$C$9:$C$108,0))*V467))))),"Unavailable"))</x:f>
      </x:c>
      <x:c r="R467" s="30" t="str">
        <x:f>IF(C467="","",IFERROR(MIN(1,INDEX('Borrowers'!$Q$9:$Q$108,MATCH(C467,'Borrowers'!$C$9:$C$108,0))+(1-INDEX('Borrowers'!$Q$9:$Q$108,MATCH(C467,'Borrowers'!$C$9:$C$108,0)))*T467),"Unavailable"))</x:f>
      </x:c>
      <x:c r="S467" s="30" t="str">
        <x:f>IF(C467="","",IFERROR(SUMPRODUCT((Sites!$D$9:$D$108=C467)*Sites!$I$9:$I$108*Sites!$J$9:$J$108*Sites!$K$9:$K$108*(1-Sites!$L$9:$L$108)),"Unavailable"))</x:f>
      </x:c>
      <x:c r="T467" s="30" t="str">
        <x:f>IF(C467="","",IFERROR(MIN(1,(SUMPRODUCT((Sites!$D$9:$D$108=C467)*Sites!$N$9:$N$108*Sites!$J$9:$J$108*Sites!$K$9:$K$108*(1-Sites!$L$9:$L$108)))*'Scenario Paths'!J27),"Unavailable"))</x:f>
      </x:c>
      <x:c r="U467" s="9" t="str">
        <x:f>IF(C467="","",IF(OR(INDEX('Borrowers'!$AA$9:$AA$108,MATCH(C467,'Borrowers'!$C$9:$C$108,0))&lt;&gt;"Ready",COUNTIF(Sites!$D$9:$D$108,C467)=0,COUNTIFS(Sites!$D$9:$D$108,C467,Sites!$Q$9:$Q$108,"&lt;&gt;Ready")&gt;0,'Scenario Paths'!$F$6&lt;&gt;"Ready"),"Review source inputs","Ready"))</x:f>
      </x:c>
      <x:c r="V467" s="17" t="str">
        <x:f>IF(C467="","",IFERROR(MAX(-1,(G467-O467)/MAX(0.000001,G467)),"Unavailable"))</x:f>
      </x:c>
      <x:c r="W467" s="9" t="str">
        <x:f>IF(C467="","",IFERROR(INDEX('Borrowers'!$D$9:$D$108,MATCH(C467,'Borrowers'!$C$9:$C$108,0)),"Unavailable"))</x:f>
      </x:c>
    </x:row>
    <x:row r="468" ht="26" customHeight="1">
      <x:c r="A468" s="1"/>
      <x:c r="B468" s="1"/>
      <x:c r="C468" s="9" t="str">
        <x:f>IF(Borrowers!C68="","",Borrowers!C68)</x:f>
      </x:c>
      <x:c r="D468" s="3" t="n">
        <x:v>5</x:v>
      </x:c>
      <x:c r="E468" s="9" t="n">
        <x:f>Settings!$F$18+4</x:f>
        <x:v>2031</x:v>
      </x:c>
      <x:c r="F468" s="9" t="str">
        <x:f>IF(C468="","",INDEX('Borrowers'!$F$9:$F$108,MATCH(C468,'Borrowers'!$C$9:$C$108,0)))</x:f>
      </x:c>
      <x:c r="G468" s="23" t="str">
        <x:f>IF(C468="","",IFERROR(INDEX('Borrowers'!$J$9:$J$108,MATCH(C468,'Borrowers'!$C$9:$C$108,0))-INDEX('Borrowers'!$K$9:$K$108,MATCH(C468,'Borrowers'!$C$9:$C$108,0)),"Unavailable"))</x:f>
      </x:c>
      <x:c r="H468" s="23" t="str">
        <x:f>IF(C468="","",IFERROR(INDEX('Borrowers'!$I$9:$I$108,MATCH(C468,'Borrowers'!$C$9:$C$108,0))*INDEX('Borrowers'!$U$9:$U$108,MATCH(C468,'Borrowers'!$C$9:$C$108,0))*(IF(F468="Transport",'Scenario Paths'!J156,IF(F468="Technology",'Scenario Paths'!J150,IF(F468="Utilities",'Scenario Paths'!J144,IF(F468="Agriculture",'Scenario Paths'!J138,IF(F468="Manufacturing",'Scenario Paths'!J132,IF(F468="Healthcare",'Scenario Paths'!J126,IF(F468="Hospitality",'Scenario Paths'!J120,IF(F468="Property",'Scenario Paths'!J114,IF(F468="Food",'Scenario Paths'!J108,IF(F468="Logistics",'Scenario Paths'!J102,IF(F468="Solar",'Scenario Paths'!J96,IF(F468="Cement",'Scenario Paths'!J90,0))))))))))))),"Unavailable"))</x:f>
      </x:c>
      <x:c r="I468" s="23" t="str">
        <x:f>IF(C468="","",IFERROR(INDEX('Borrowers'!$R$9:$R$108,MATCH(C468,'Borrowers'!$C$9:$C$108,0))*(1-INDEX('Borrowers'!$W$9:$W$108,MATCH(C468,'Borrowers'!$C$9:$C$108,0))*'Scenario Paths'!J39)*'Scenario Paths'!J9/1000000*(1-INDEX('Borrowers'!$T$9:$T$108,MATCH(C468,'Borrowers'!$C$9:$C$108,0))),"Unavailable"))</x:f>
      </x:c>
      <x:c r="J468" s="23" t="str">
        <x:f>IF(C468="","",IFERROR(INDEX('Borrowers'!$I$9:$I$108,MATCH(C468,'Borrowers'!$C$9:$C$108,0))*INDEX('Borrowers'!$S$9:$S$108,MATCH(C468,'Borrowers'!$C$9:$C$108,0))*'Scenario Paths'!J15*(1-INDEX('Borrowers'!$T$9:$T$108,MATCH(C468,'Borrowers'!$C$9:$C$108,0))),"Unavailable"))</x:f>
      </x:c>
      <x:c r="K468" s="23" t="str">
        <x:f>IF(C468="","",IFERROR(INDEX('Borrowers'!$I$9:$I$108,MATCH(C468,'Borrowers'!$C$9:$C$108,0))*INDEX('Borrowers'!$U$9:$U$108,MATCH(C468,'Borrowers'!$C$9:$C$108,0))*'Scenario Paths'!J21*S468,"Unavailable"))</x:f>
      </x:c>
      <x:c r="L468" s="23" t="str">
        <x:f>IF(C468="","",IFERROR(SUMPRODUCT((Sites!$D$9:$D$108=C468)*Sites!$H$9:$H$108*Sites!$J$9:$J$108*Sites!$K$9:$K$108*(1-Sites!$L$9:$L$108)*(1-Sites!$M$9:$M$108))*'Scenario Paths'!J27,"Unavailable"))</x:f>
      </x:c>
      <x:c r="M468" s="23" t="str">
        <x:f>IF(C468="","",IFERROR(INDEX('Borrowers'!$J$9:$J$108,MATCH(C468,'Borrowers'!$C$9:$C$108,0))+H468-SUM(I468:L468),"Unavailable"))</x:f>
      </x:c>
      <x:c r="N468" s="23" t="str">
        <x:f>IF(C468="","",IFERROR(INDEX('Borrowers'!$I$9:$I$108,MATCH(C468,'Borrowers'!$C$9:$C$108,0))*'Scenario Paths'!J33,"Unavailable"))</x:f>
      </x:c>
      <x:c r="O468" s="23" t="str">
        <x:f>IF(C468="","",IFERROR(M468-INDEX('Borrowers'!$K$9:$K$108,MATCH(C468,'Borrowers'!$C$9:$C$108,0))-N468,"Unavailable"))</x:f>
      </x:c>
      <x:c r="P468" s="127" t="str">
        <x:f>IF(C468="","",IFERROR(O468/INDEX('Borrowers'!$L$9:$L$108,MATCH(C468,'Borrowers'!$C$9:$C$108,0)),"Unavailable"))</x:f>
      </x:c>
      <x:c r="Q468" s="30" t="str">
        <x:f>IF(C468="","",IFERROR(IF(INDEX('Borrowers'!$Z$9:$Z$108,MATCH(C468,'Borrowers'!$C$9:$C$108,0))="Yes",1,IF(INDEX('Borrowers'!$P$9:$P$108,MATCH(C468,'Borrowers'!$C$9:$C$108,0))=0,0,MIN(1,INDEX('Borrowers'!$P$9:$P$108,MATCH(C468,'Borrowers'!$C$9:$C$108,0))*EXP(MIN(20,INDEX('Borrowers'!$V$9:$V$108,MATCH(C468,'Borrowers'!$C$9:$C$108,0))*V468))))),"Unavailable"))</x:f>
      </x:c>
      <x:c r="R468" s="30" t="str">
        <x:f>IF(C468="","",IFERROR(MIN(1,INDEX('Borrowers'!$Q$9:$Q$108,MATCH(C468,'Borrowers'!$C$9:$C$108,0))+(1-INDEX('Borrowers'!$Q$9:$Q$108,MATCH(C468,'Borrowers'!$C$9:$C$108,0)))*T468),"Unavailable"))</x:f>
      </x:c>
      <x:c r="S468" s="30" t="str">
        <x:f>IF(C468="","",IFERROR(SUMPRODUCT((Sites!$D$9:$D$108=C468)*Sites!$I$9:$I$108*Sites!$J$9:$J$108*Sites!$K$9:$K$108*(1-Sites!$L$9:$L$108)),"Unavailable"))</x:f>
      </x:c>
      <x:c r="T468" s="30" t="str">
        <x:f>IF(C468="","",IFERROR(MIN(1,(SUMPRODUCT((Sites!$D$9:$D$108=C468)*Sites!$N$9:$N$108*Sites!$J$9:$J$108*Sites!$K$9:$K$108*(1-Sites!$L$9:$L$108)))*'Scenario Paths'!J27),"Unavailable"))</x:f>
      </x:c>
      <x:c r="U468" s="9" t="str">
        <x:f>IF(C468="","",IF(OR(INDEX('Borrowers'!$AA$9:$AA$108,MATCH(C468,'Borrowers'!$C$9:$C$108,0))&lt;&gt;"Ready",COUNTIF(Sites!$D$9:$D$108,C468)=0,COUNTIFS(Sites!$D$9:$D$108,C468,Sites!$Q$9:$Q$108,"&lt;&gt;Ready")&gt;0,'Scenario Paths'!$F$6&lt;&gt;"Ready"),"Review source inputs","Ready"))</x:f>
      </x:c>
      <x:c r="V468" s="17" t="str">
        <x:f>IF(C468="","",IFERROR(MAX(-1,(G468-O468)/MAX(0.000001,G468)),"Unavailable"))</x:f>
      </x:c>
      <x:c r="W468" s="9" t="str">
        <x:f>IF(C468="","",IFERROR(INDEX('Borrowers'!$D$9:$D$108,MATCH(C468,'Borrowers'!$C$9:$C$108,0)),"Unavailable"))</x:f>
      </x:c>
    </x:row>
    <x:row r="469" ht="26" customHeight="1">
      <x:c r="A469" s="1"/>
      <x:c r="B469" s="1"/>
      <x:c r="C469" s="9" t="str">
        <x:f>IF(Borrowers!C69="","",Borrowers!C69)</x:f>
      </x:c>
      <x:c r="D469" s="3" t="n">
        <x:v>5</x:v>
      </x:c>
      <x:c r="E469" s="9" t="n">
        <x:f>Settings!$F$18+4</x:f>
        <x:v>2031</x:v>
      </x:c>
      <x:c r="F469" s="9" t="str">
        <x:f>IF(C469="","",INDEX('Borrowers'!$F$9:$F$108,MATCH(C469,'Borrowers'!$C$9:$C$108,0)))</x:f>
      </x:c>
      <x:c r="G469" s="23" t="str">
        <x:f>IF(C469="","",IFERROR(INDEX('Borrowers'!$J$9:$J$108,MATCH(C469,'Borrowers'!$C$9:$C$108,0))-INDEX('Borrowers'!$K$9:$K$108,MATCH(C469,'Borrowers'!$C$9:$C$108,0)),"Unavailable"))</x:f>
      </x:c>
      <x:c r="H469" s="23" t="str">
        <x:f>IF(C469="","",IFERROR(INDEX('Borrowers'!$I$9:$I$108,MATCH(C469,'Borrowers'!$C$9:$C$108,0))*INDEX('Borrowers'!$U$9:$U$108,MATCH(C469,'Borrowers'!$C$9:$C$108,0))*(IF(F469="Transport",'Scenario Paths'!J156,IF(F469="Technology",'Scenario Paths'!J150,IF(F469="Utilities",'Scenario Paths'!J144,IF(F469="Agriculture",'Scenario Paths'!J138,IF(F469="Manufacturing",'Scenario Paths'!J132,IF(F469="Healthcare",'Scenario Paths'!J126,IF(F469="Hospitality",'Scenario Paths'!J120,IF(F469="Property",'Scenario Paths'!J114,IF(F469="Food",'Scenario Paths'!J108,IF(F469="Logistics",'Scenario Paths'!J102,IF(F469="Solar",'Scenario Paths'!J96,IF(F469="Cement",'Scenario Paths'!J90,0))))))))))))),"Unavailable"))</x:f>
      </x:c>
      <x:c r="I469" s="23" t="str">
        <x:f>IF(C469="","",IFERROR(INDEX('Borrowers'!$R$9:$R$108,MATCH(C469,'Borrowers'!$C$9:$C$108,0))*(1-INDEX('Borrowers'!$W$9:$W$108,MATCH(C469,'Borrowers'!$C$9:$C$108,0))*'Scenario Paths'!J39)*'Scenario Paths'!J9/1000000*(1-INDEX('Borrowers'!$T$9:$T$108,MATCH(C469,'Borrowers'!$C$9:$C$108,0))),"Unavailable"))</x:f>
      </x:c>
      <x:c r="J469" s="23" t="str">
        <x:f>IF(C469="","",IFERROR(INDEX('Borrowers'!$I$9:$I$108,MATCH(C469,'Borrowers'!$C$9:$C$108,0))*INDEX('Borrowers'!$S$9:$S$108,MATCH(C469,'Borrowers'!$C$9:$C$108,0))*'Scenario Paths'!J15*(1-INDEX('Borrowers'!$T$9:$T$108,MATCH(C469,'Borrowers'!$C$9:$C$108,0))),"Unavailable"))</x:f>
      </x:c>
      <x:c r="K469" s="23" t="str">
        <x:f>IF(C469="","",IFERROR(INDEX('Borrowers'!$I$9:$I$108,MATCH(C469,'Borrowers'!$C$9:$C$108,0))*INDEX('Borrowers'!$U$9:$U$108,MATCH(C469,'Borrowers'!$C$9:$C$108,0))*'Scenario Paths'!J21*S469,"Unavailable"))</x:f>
      </x:c>
      <x:c r="L469" s="23" t="str">
        <x:f>IF(C469="","",IFERROR(SUMPRODUCT((Sites!$D$9:$D$108=C469)*Sites!$H$9:$H$108*Sites!$J$9:$J$108*Sites!$K$9:$K$108*(1-Sites!$L$9:$L$108)*(1-Sites!$M$9:$M$108))*'Scenario Paths'!J27,"Unavailable"))</x:f>
      </x:c>
      <x:c r="M469" s="23" t="str">
        <x:f>IF(C469="","",IFERROR(INDEX('Borrowers'!$J$9:$J$108,MATCH(C469,'Borrowers'!$C$9:$C$108,0))+H469-SUM(I469:L469),"Unavailable"))</x:f>
      </x:c>
      <x:c r="N469" s="23" t="str">
        <x:f>IF(C469="","",IFERROR(INDEX('Borrowers'!$I$9:$I$108,MATCH(C469,'Borrowers'!$C$9:$C$108,0))*'Scenario Paths'!J33,"Unavailable"))</x:f>
      </x:c>
      <x:c r="O469" s="23" t="str">
        <x:f>IF(C469="","",IFERROR(M469-INDEX('Borrowers'!$K$9:$K$108,MATCH(C469,'Borrowers'!$C$9:$C$108,0))-N469,"Unavailable"))</x:f>
      </x:c>
      <x:c r="P469" s="127" t="str">
        <x:f>IF(C469="","",IFERROR(O469/INDEX('Borrowers'!$L$9:$L$108,MATCH(C469,'Borrowers'!$C$9:$C$108,0)),"Unavailable"))</x:f>
      </x:c>
      <x:c r="Q469" s="30" t="str">
        <x:f>IF(C469="","",IFERROR(IF(INDEX('Borrowers'!$Z$9:$Z$108,MATCH(C469,'Borrowers'!$C$9:$C$108,0))="Yes",1,IF(INDEX('Borrowers'!$P$9:$P$108,MATCH(C469,'Borrowers'!$C$9:$C$108,0))=0,0,MIN(1,INDEX('Borrowers'!$P$9:$P$108,MATCH(C469,'Borrowers'!$C$9:$C$108,0))*EXP(MIN(20,INDEX('Borrowers'!$V$9:$V$108,MATCH(C469,'Borrowers'!$C$9:$C$108,0))*V469))))),"Unavailable"))</x:f>
      </x:c>
      <x:c r="R469" s="30" t="str">
        <x:f>IF(C469="","",IFERROR(MIN(1,INDEX('Borrowers'!$Q$9:$Q$108,MATCH(C469,'Borrowers'!$C$9:$C$108,0))+(1-INDEX('Borrowers'!$Q$9:$Q$108,MATCH(C469,'Borrowers'!$C$9:$C$108,0)))*T469),"Unavailable"))</x:f>
      </x:c>
      <x:c r="S469" s="30" t="str">
        <x:f>IF(C469="","",IFERROR(SUMPRODUCT((Sites!$D$9:$D$108=C469)*Sites!$I$9:$I$108*Sites!$J$9:$J$108*Sites!$K$9:$K$108*(1-Sites!$L$9:$L$108)),"Unavailable"))</x:f>
      </x:c>
      <x:c r="T469" s="30" t="str">
        <x:f>IF(C469="","",IFERROR(MIN(1,(SUMPRODUCT((Sites!$D$9:$D$108=C469)*Sites!$N$9:$N$108*Sites!$J$9:$J$108*Sites!$K$9:$K$108*(1-Sites!$L$9:$L$108)))*'Scenario Paths'!J27),"Unavailable"))</x:f>
      </x:c>
      <x:c r="U469" s="9" t="str">
        <x:f>IF(C469="","",IF(OR(INDEX('Borrowers'!$AA$9:$AA$108,MATCH(C469,'Borrowers'!$C$9:$C$108,0))&lt;&gt;"Ready",COUNTIF(Sites!$D$9:$D$108,C469)=0,COUNTIFS(Sites!$D$9:$D$108,C469,Sites!$Q$9:$Q$108,"&lt;&gt;Ready")&gt;0,'Scenario Paths'!$F$6&lt;&gt;"Ready"),"Review source inputs","Ready"))</x:f>
      </x:c>
      <x:c r="V469" s="17" t="str">
        <x:f>IF(C469="","",IFERROR(MAX(-1,(G469-O469)/MAX(0.000001,G469)),"Unavailable"))</x:f>
      </x:c>
      <x:c r="W469" s="9" t="str">
        <x:f>IF(C469="","",IFERROR(INDEX('Borrowers'!$D$9:$D$108,MATCH(C469,'Borrowers'!$C$9:$C$108,0)),"Unavailable"))</x:f>
      </x:c>
    </x:row>
    <x:row r="470" ht="26" customHeight="1">
      <x:c r="A470" s="1"/>
      <x:c r="B470" s="1"/>
      <x:c r="C470" s="9" t="str">
        <x:f>IF(Borrowers!C70="","",Borrowers!C70)</x:f>
      </x:c>
      <x:c r="D470" s="3" t="n">
        <x:v>5</x:v>
      </x:c>
      <x:c r="E470" s="9" t="n">
        <x:f>Settings!$F$18+4</x:f>
        <x:v>2031</x:v>
      </x:c>
      <x:c r="F470" s="9" t="str">
        <x:f>IF(C470="","",INDEX('Borrowers'!$F$9:$F$108,MATCH(C470,'Borrowers'!$C$9:$C$108,0)))</x:f>
      </x:c>
      <x:c r="G470" s="23" t="str">
        <x:f>IF(C470="","",IFERROR(INDEX('Borrowers'!$J$9:$J$108,MATCH(C470,'Borrowers'!$C$9:$C$108,0))-INDEX('Borrowers'!$K$9:$K$108,MATCH(C470,'Borrowers'!$C$9:$C$108,0)),"Unavailable"))</x:f>
      </x:c>
      <x:c r="H470" s="23" t="str">
        <x:f>IF(C470="","",IFERROR(INDEX('Borrowers'!$I$9:$I$108,MATCH(C470,'Borrowers'!$C$9:$C$108,0))*INDEX('Borrowers'!$U$9:$U$108,MATCH(C470,'Borrowers'!$C$9:$C$108,0))*(IF(F470="Transport",'Scenario Paths'!J156,IF(F470="Technology",'Scenario Paths'!J150,IF(F470="Utilities",'Scenario Paths'!J144,IF(F470="Agriculture",'Scenario Paths'!J138,IF(F470="Manufacturing",'Scenario Paths'!J132,IF(F470="Healthcare",'Scenario Paths'!J126,IF(F470="Hospitality",'Scenario Paths'!J120,IF(F470="Property",'Scenario Paths'!J114,IF(F470="Food",'Scenario Paths'!J108,IF(F470="Logistics",'Scenario Paths'!J102,IF(F470="Solar",'Scenario Paths'!J96,IF(F470="Cement",'Scenario Paths'!J90,0))))))))))))),"Unavailable"))</x:f>
      </x:c>
      <x:c r="I470" s="23" t="str">
        <x:f>IF(C470="","",IFERROR(INDEX('Borrowers'!$R$9:$R$108,MATCH(C470,'Borrowers'!$C$9:$C$108,0))*(1-INDEX('Borrowers'!$W$9:$W$108,MATCH(C470,'Borrowers'!$C$9:$C$108,0))*'Scenario Paths'!J39)*'Scenario Paths'!J9/1000000*(1-INDEX('Borrowers'!$T$9:$T$108,MATCH(C470,'Borrowers'!$C$9:$C$108,0))),"Unavailable"))</x:f>
      </x:c>
      <x:c r="J470" s="23" t="str">
        <x:f>IF(C470="","",IFERROR(INDEX('Borrowers'!$I$9:$I$108,MATCH(C470,'Borrowers'!$C$9:$C$108,0))*INDEX('Borrowers'!$S$9:$S$108,MATCH(C470,'Borrowers'!$C$9:$C$108,0))*'Scenario Paths'!J15*(1-INDEX('Borrowers'!$T$9:$T$108,MATCH(C470,'Borrowers'!$C$9:$C$108,0))),"Unavailable"))</x:f>
      </x:c>
      <x:c r="K470" s="23" t="str">
        <x:f>IF(C470="","",IFERROR(INDEX('Borrowers'!$I$9:$I$108,MATCH(C470,'Borrowers'!$C$9:$C$108,0))*INDEX('Borrowers'!$U$9:$U$108,MATCH(C470,'Borrowers'!$C$9:$C$108,0))*'Scenario Paths'!J21*S470,"Unavailable"))</x:f>
      </x:c>
      <x:c r="L470" s="23" t="str">
        <x:f>IF(C470="","",IFERROR(SUMPRODUCT((Sites!$D$9:$D$108=C470)*Sites!$H$9:$H$108*Sites!$J$9:$J$108*Sites!$K$9:$K$108*(1-Sites!$L$9:$L$108)*(1-Sites!$M$9:$M$108))*'Scenario Paths'!J27,"Unavailable"))</x:f>
      </x:c>
      <x:c r="M470" s="23" t="str">
        <x:f>IF(C470="","",IFERROR(INDEX('Borrowers'!$J$9:$J$108,MATCH(C470,'Borrowers'!$C$9:$C$108,0))+H470-SUM(I470:L470),"Unavailable"))</x:f>
      </x:c>
      <x:c r="N470" s="23" t="str">
        <x:f>IF(C470="","",IFERROR(INDEX('Borrowers'!$I$9:$I$108,MATCH(C470,'Borrowers'!$C$9:$C$108,0))*'Scenario Paths'!J33,"Unavailable"))</x:f>
      </x:c>
      <x:c r="O470" s="23" t="str">
        <x:f>IF(C470="","",IFERROR(M470-INDEX('Borrowers'!$K$9:$K$108,MATCH(C470,'Borrowers'!$C$9:$C$108,0))-N470,"Unavailable"))</x:f>
      </x:c>
      <x:c r="P470" s="127" t="str">
        <x:f>IF(C470="","",IFERROR(O470/INDEX('Borrowers'!$L$9:$L$108,MATCH(C470,'Borrowers'!$C$9:$C$108,0)),"Unavailable"))</x:f>
      </x:c>
      <x:c r="Q470" s="30" t="str">
        <x:f>IF(C470="","",IFERROR(IF(INDEX('Borrowers'!$Z$9:$Z$108,MATCH(C470,'Borrowers'!$C$9:$C$108,0))="Yes",1,IF(INDEX('Borrowers'!$P$9:$P$108,MATCH(C470,'Borrowers'!$C$9:$C$108,0))=0,0,MIN(1,INDEX('Borrowers'!$P$9:$P$108,MATCH(C470,'Borrowers'!$C$9:$C$108,0))*EXP(MIN(20,INDEX('Borrowers'!$V$9:$V$108,MATCH(C470,'Borrowers'!$C$9:$C$108,0))*V470))))),"Unavailable"))</x:f>
      </x:c>
      <x:c r="R470" s="30" t="str">
        <x:f>IF(C470="","",IFERROR(MIN(1,INDEX('Borrowers'!$Q$9:$Q$108,MATCH(C470,'Borrowers'!$C$9:$C$108,0))+(1-INDEX('Borrowers'!$Q$9:$Q$108,MATCH(C470,'Borrowers'!$C$9:$C$108,0)))*T470),"Unavailable"))</x:f>
      </x:c>
      <x:c r="S470" s="30" t="str">
        <x:f>IF(C470="","",IFERROR(SUMPRODUCT((Sites!$D$9:$D$108=C470)*Sites!$I$9:$I$108*Sites!$J$9:$J$108*Sites!$K$9:$K$108*(1-Sites!$L$9:$L$108)),"Unavailable"))</x:f>
      </x:c>
      <x:c r="T470" s="30" t="str">
        <x:f>IF(C470="","",IFERROR(MIN(1,(SUMPRODUCT((Sites!$D$9:$D$108=C470)*Sites!$N$9:$N$108*Sites!$J$9:$J$108*Sites!$K$9:$K$108*(1-Sites!$L$9:$L$108)))*'Scenario Paths'!J27),"Unavailable"))</x:f>
      </x:c>
      <x:c r="U470" s="9" t="str">
        <x:f>IF(C470="","",IF(OR(INDEX('Borrowers'!$AA$9:$AA$108,MATCH(C470,'Borrowers'!$C$9:$C$108,0))&lt;&gt;"Ready",COUNTIF(Sites!$D$9:$D$108,C470)=0,COUNTIFS(Sites!$D$9:$D$108,C470,Sites!$Q$9:$Q$108,"&lt;&gt;Ready")&gt;0,'Scenario Paths'!$F$6&lt;&gt;"Ready"),"Review source inputs","Ready"))</x:f>
      </x:c>
      <x:c r="V470" s="17" t="str">
        <x:f>IF(C470="","",IFERROR(MAX(-1,(G470-O470)/MAX(0.000001,G470)),"Unavailable"))</x:f>
      </x:c>
      <x:c r="W470" s="9" t="str">
        <x:f>IF(C470="","",IFERROR(INDEX('Borrowers'!$D$9:$D$108,MATCH(C470,'Borrowers'!$C$9:$C$108,0)),"Unavailable"))</x:f>
      </x:c>
    </x:row>
    <x:row r="471" ht="26" customHeight="1">
      <x:c r="A471" s="1"/>
      <x:c r="B471" s="1"/>
      <x:c r="C471" s="9" t="str">
        <x:f>IF(Borrowers!C71="","",Borrowers!C71)</x:f>
      </x:c>
      <x:c r="D471" s="3" t="n">
        <x:v>5</x:v>
      </x:c>
      <x:c r="E471" s="9" t="n">
        <x:f>Settings!$F$18+4</x:f>
        <x:v>2031</x:v>
      </x:c>
      <x:c r="F471" s="9" t="str">
        <x:f>IF(C471="","",INDEX('Borrowers'!$F$9:$F$108,MATCH(C471,'Borrowers'!$C$9:$C$108,0)))</x:f>
      </x:c>
      <x:c r="G471" s="23" t="str">
        <x:f>IF(C471="","",IFERROR(INDEX('Borrowers'!$J$9:$J$108,MATCH(C471,'Borrowers'!$C$9:$C$108,0))-INDEX('Borrowers'!$K$9:$K$108,MATCH(C471,'Borrowers'!$C$9:$C$108,0)),"Unavailable"))</x:f>
      </x:c>
      <x:c r="H471" s="23" t="str">
        <x:f>IF(C471="","",IFERROR(INDEX('Borrowers'!$I$9:$I$108,MATCH(C471,'Borrowers'!$C$9:$C$108,0))*INDEX('Borrowers'!$U$9:$U$108,MATCH(C471,'Borrowers'!$C$9:$C$108,0))*(IF(F471="Transport",'Scenario Paths'!J156,IF(F471="Technology",'Scenario Paths'!J150,IF(F471="Utilities",'Scenario Paths'!J144,IF(F471="Agriculture",'Scenario Paths'!J138,IF(F471="Manufacturing",'Scenario Paths'!J132,IF(F471="Healthcare",'Scenario Paths'!J126,IF(F471="Hospitality",'Scenario Paths'!J120,IF(F471="Property",'Scenario Paths'!J114,IF(F471="Food",'Scenario Paths'!J108,IF(F471="Logistics",'Scenario Paths'!J102,IF(F471="Solar",'Scenario Paths'!J96,IF(F471="Cement",'Scenario Paths'!J90,0))))))))))))),"Unavailable"))</x:f>
      </x:c>
      <x:c r="I471" s="23" t="str">
        <x:f>IF(C471="","",IFERROR(INDEX('Borrowers'!$R$9:$R$108,MATCH(C471,'Borrowers'!$C$9:$C$108,0))*(1-INDEX('Borrowers'!$W$9:$W$108,MATCH(C471,'Borrowers'!$C$9:$C$108,0))*'Scenario Paths'!J39)*'Scenario Paths'!J9/1000000*(1-INDEX('Borrowers'!$T$9:$T$108,MATCH(C471,'Borrowers'!$C$9:$C$108,0))),"Unavailable"))</x:f>
      </x:c>
      <x:c r="J471" s="23" t="str">
        <x:f>IF(C471="","",IFERROR(INDEX('Borrowers'!$I$9:$I$108,MATCH(C471,'Borrowers'!$C$9:$C$108,0))*INDEX('Borrowers'!$S$9:$S$108,MATCH(C471,'Borrowers'!$C$9:$C$108,0))*'Scenario Paths'!J15*(1-INDEX('Borrowers'!$T$9:$T$108,MATCH(C471,'Borrowers'!$C$9:$C$108,0))),"Unavailable"))</x:f>
      </x:c>
      <x:c r="K471" s="23" t="str">
        <x:f>IF(C471="","",IFERROR(INDEX('Borrowers'!$I$9:$I$108,MATCH(C471,'Borrowers'!$C$9:$C$108,0))*INDEX('Borrowers'!$U$9:$U$108,MATCH(C471,'Borrowers'!$C$9:$C$108,0))*'Scenario Paths'!J21*S471,"Unavailable"))</x:f>
      </x:c>
      <x:c r="L471" s="23" t="str">
        <x:f>IF(C471="","",IFERROR(SUMPRODUCT((Sites!$D$9:$D$108=C471)*Sites!$H$9:$H$108*Sites!$J$9:$J$108*Sites!$K$9:$K$108*(1-Sites!$L$9:$L$108)*(1-Sites!$M$9:$M$108))*'Scenario Paths'!J27,"Unavailable"))</x:f>
      </x:c>
      <x:c r="M471" s="23" t="str">
        <x:f>IF(C471="","",IFERROR(INDEX('Borrowers'!$J$9:$J$108,MATCH(C471,'Borrowers'!$C$9:$C$108,0))+H471-SUM(I471:L471),"Unavailable"))</x:f>
      </x:c>
      <x:c r="N471" s="23" t="str">
        <x:f>IF(C471="","",IFERROR(INDEX('Borrowers'!$I$9:$I$108,MATCH(C471,'Borrowers'!$C$9:$C$108,0))*'Scenario Paths'!J33,"Unavailable"))</x:f>
      </x:c>
      <x:c r="O471" s="23" t="str">
        <x:f>IF(C471="","",IFERROR(M471-INDEX('Borrowers'!$K$9:$K$108,MATCH(C471,'Borrowers'!$C$9:$C$108,0))-N471,"Unavailable"))</x:f>
      </x:c>
      <x:c r="P471" s="127" t="str">
        <x:f>IF(C471="","",IFERROR(O471/INDEX('Borrowers'!$L$9:$L$108,MATCH(C471,'Borrowers'!$C$9:$C$108,0)),"Unavailable"))</x:f>
      </x:c>
      <x:c r="Q471" s="30" t="str">
        <x:f>IF(C471="","",IFERROR(IF(INDEX('Borrowers'!$Z$9:$Z$108,MATCH(C471,'Borrowers'!$C$9:$C$108,0))="Yes",1,IF(INDEX('Borrowers'!$P$9:$P$108,MATCH(C471,'Borrowers'!$C$9:$C$108,0))=0,0,MIN(1,INDEX('Borrowers'!$P$9:$P$108,MATCH(C471,'Borrowers'!$C$9:$C$108,0))*EXP(MIN(20,INDEX('Borrowers'!$V$9:$V$108,MATCH(C471,'Borrowers'!$C$9:$C$108,0))*V471))))),"Unavailable"))</x:f>
      </x:c>
      <x:c r="R471" s="30" t="str">
        <x:f>IF(C471="","",IFERROR(MIN(1,INDEX('Borrowers'!$Q$9:$Q$108,MATCH(C471,'Borrowers'!$C$9:$C$108,0))+(1-INDEX('Borrowers'!$Q$9:$Q$108,MATCH(C471,'Borrowers'!$C$9:$C$108,0)))*T471),"Unavailable"))</x:f>
      </x:c>
      <x:c r="S471" s="30" t="str">
        <x:f>IF(C471="","",IFERROR(SUMPRODUCT((Sites!$D$9:$D$108=C471)*Sites!$I$9:$I$108*Sites!$J$9:$J$108*Sites!$K$9:$K$108*(1-Sites!$L$9:$L$108)),"Unavailable"))</x:f>
      </x:c>
      <x:c r="T471" s="30" t="str">
        <x:f>IF(C471="","",IFERROR(MIN(1,(SUMPRODUCT((Sites!$D$9:$D$108=C471)*Sites!$N$9:$N$108*Sites!$J$9:$J$108*Sites!$K$9:$K$108*(1-Sites!$L$9:$L$108)))*'Scenario Paths'!J27),"Unavailable"))</x:f>
      </x:c>
      <x:c r="U471" s="9" t="str">
        <x:f>IF(C471="","",IF(OR(INDEX('Borrowers'!$AA$9:$AA$108,MATCH(C471,'Borrowers'!$C$9:$C$108,0))&lt;&gt;"Ready",COUNTIF(Sites!$D$9:$D$108,C471)=0,COUNTIFS(Sites!$D$9:$D$108,C471,Sites!$Q$9:$Q$108,"&lt;&gt;Ready")&gt;0,'Scenario Paths'!$F$6&lt;&gt;"Ready"),"Review source inputs","Ready"))</x:f>
      </x:c>
      <x:c r="V471" s="17" t="str">
        <x:f>IF(C471="","",IFERROR(MAX(-1,(G471-O471)/MAX(0.000001,G471)),"Unavailable"))</x:f>
      </x:c>
      <x:c r="W471" s="9" t="str">
        <x:f>IF(C471="","",IFERROR(INDEX('Borrowers'!$D$9:$D$108,MATCH(C471,'Borrowers'!$C$9:$C$108,0)),"Unavailable"))</x:f>
      </x:c>
    </x:row>
    <x:row r="472" ht="26" customHeight="1">
      <x:c r="A472" s="1"/>
      <x:c r="B472" s="1"/>
      <x:c r="C472" s="9" t="str">
        <x:f>IF(Borrowers!C72="","",Borrowers!C72)</x:f>
      </x:c>
      <x:c r="D472" s="3" t="n">
        <x:v>5</x:v>
      </x:c>
      <x:c r="E472" s="9" t="n">
        <x:f>Settings!$F$18+4</x:f>
        <x:v>2031</x:v>
      </x:c>
      <x:c r="F472" s="9" t="str">
        <x:f>IF(C472="","",INDEX('Borrowers'!$F$9:$F$108,MATCH(C472,'Borrowers'!$C$9:$C$108,0)))</x:f>
      </x:c>
      <x:c r="G472" s="23" t="str">
        <x:f>IF(C472="","",IFERROR(INDEX('Borrowers'!$J$9:$J$108,MATCH(C472,'Borrowers'!$C$9:$C$108,0))-INDEX('Borrowers'!$K$9:$K$108,MATCH(C472,'Borrowers'!$C$9:$C$108,0)),"Unavailable"))</x:f>
      </x:c>
      <x:c r="H472" s="23" t="str">
        <x:f>IF(C472="","",IFERROR(INDEX('Borrowers'!$I$9:$I$108,MATCH(C472,'Borrowers'!$C$9:$C$108,0))*INDEX('Borrowers'!$U$9:$U$108,MATCH(C472,'Borrowers'!$C$9:$C$108,0))*(IF(F472="Transport",'Scenario Paths'!J156,IF(F472="Technology",'Scenario Paths'!J150,IF(F472="Utilities",'Scenario Paths'!J144,IF(F472="Agriculture",'Scenario Paths'!J138,IF(F472="Manufacturing",'Scenario Paths'!J132,IF(F472="Healthcare",'Scenario Paths'!J126,IF(F472="Hospitality",'Scenario Paths'!J120,IF(F472="Property",'Scenario Paths'!J114,IF(F472="Food",'Scenario Paths'!J108,IF(F472="Logistics",'Scenario Paths'!J102,IF(F472="Solar",'Scenario Paths'!J96,IF(F472="Cement",'Scenario Paths'!J90,0))))))))))))),"Unavailable"))</x:f>
      </x:c>
      <x:c r="I472" s="23" t="str">
        <x:f>IF(C472="","",IFERROR(INDEX('Borrowers'!$R$9:$R$108,MATCH(C472,'Borrowers'!$C$9:$C$108,0))*(1-INDEX('Borrowers'!$W$9:$W$108,MATCH(C472,'Borrowers'!$C$9:$C$108,0))*'Scenario Paths'!J39)*'Scenario Paths'!J9/1000000*(1-INDEX('Borrowers'!$T$9:$T$108,MATCH(C472,'Borrowers'!$C$9:$C$108,0))),"Unavailable"))</x:f>
      </x:c>
      <x:c r="J472" s="23" t="str">
        <x:f>IF(C472="","",IFERROR(INDEX('Borrowers'!$I$9:$I$108,MATCH(C472,'Borrowers'!$C$9:$C$108,0))*INDEX('Borrowers'!$S$9:$S$108,MATCH(C472,'Borrowers'!$C$9:$C$108,0))*'Scenario Paths'!J15*(1-INDEX('Borrowers'!$T$9:$T$108,MATCH(C472,'Borrowers'!$C$9:$C$108,0))),"Unavailable"))</x:f>
      </x:c>
      <x:c r="K472" s="23" t="str">
        <x:f>IF(C472="","",IFERROR(INDEX('Borrowers'!$I$9:$I$108,MATCH(C472,'Borrowers'!$C$9:$C$108,0))*INDEX('Borrowers'!$U$9:$U$108,MATCH(C472,'Borrowers'!$C$9:$C$108,0))*'Scenario Paths'!J21*S472,"Unavailable"))</x:f>
      </x:c>
      <x:c r="L472" s="23" t="str">
        <x:f>IF(C472="","",IFERROR(SUMPRODUCT((Sites!$D$9:$D$108=C472)*Sites!$H$9:$H$108*Sites!$J$9:$J$108*Sites!$K$9:$K$108*(1-Sites!$L$9:$L$108)*(1-Sites!$M$9:$M$108))*'Scenario Paths'!J27,"Unavailable"))</x:f>
      </x:c>
      <x:c r="M472" s="23" t="str">
        <x:f>IF(C472="","",IFERROR(INDEX('Borrowers'!$J$9:$J$108,MATCH(C472,'Borrowers'!$C$9:$C$108,0))+H472-SUM(I472:L472),"Unavailable"))</x:f>
      </x:c>
      <x:c r="N472" s="23" t="str">
        <x:f>IF(C472="","",IFERROR(INDEX('Borrowers'!$I$9:$I$108,MATCH(C472,'Borrowers'!$C$9:$C$108,0))*'Scenario Paths'!J33,"Unavailable"))</x:f>
      </x:c>
      <x:c r="O472" s="23" t="str">
        <x:f>IF(C472="","",IFERROR(M472-INDEX('Borrowers'!$K$9:$K$108,MATCH(C472,'Borrowers'!$C$9:$C$108,0))-N472,"Unavailable"))</x:f>
      </x:c>
      <x:c r="P472" s="127" t="str">
        <x:f>IF(C472="","",IFERROR(O472/INDEX('Borrowers'!$L$9:$L$108,MATCH(C472,'Borrowers'!$C$9:$C$108,0)),"Unavailable"))</x:f>
      </x:c>
      <x:c r="Q472" s="30" t="str">
        <x:f>IF(C472="","",IFERROR(IF(INDEX('Borrowers'!$Z$9:$Z$108,MATCH(C472,'Borrowers'!$C$9:$C$108,0))="Yes",1,IF(INDEX('Borrowers'!$P$9:$P$108,MATCH(C472,'Borrowers'!$C$9:$C$108,0))=0,0,MIN(1,INDEX('Borrowers'!$P$9:$P$108,MATCH(C472,'Borrowers'!$C$9:$C$108,0))*EXP(MIN(20,INDEX('Borrowers'!$V$9:$V$108,MATCH(C472,'Borrowers'!$C$9:$C$108,0))*V472))))),"Unavailable"))</x:f>
      </x:c>
      <x:c r="R472" s="30" t="str">
        <x:f>IF(C472="","",IFERROR(MIN(1,INDEX('Borrowers'!$Q$9:$Q$108,MATCH(C472,'Borrowers'!$C$9:$C$108,0))+(1-INDEX('Borrowers'!$Q$9:$Q$108,MATCH(C472,'Borrowers'!$C$9:$C$108,0)))*T472),"Unavailable"))</x:f>
      </x:c>
      <x:c r="S472" s="30" t="str">
        <x:f>IF(C472="","",IFERROR(SUMPRODUCT((Sites!$D$9:$D$108=C472)*Sites!$I$9:$I$108*Sites!$J$9:$J$108*Sites!$K$9:$K$108*(1-Sites!$L$9:$L$108)),"Unavailable"))</x:f>
      </x:c>
      <x:c r="T472" s="30" t="str">
        <x:f>IF(C472="","",IFERROR(MIN(1,(SUMPRODUCT((Sites!$D$9:$D$108=C472)*Sites!$N$9:$N$108*Sites!$J$9:$J$108*Sites!$K$9:$K$108*(1-Sites!$L$9:$L$108)))*'Scenario Paths'!J27),"Unavailable"))</x:f>
      </x:c>
      <x:c r="U472" s="9" t="str">
        <x:f>IF(C472="","",IF(OR(INDEX('Borrowers'!$AA$9:$AA$108,MATCH(C472,'Borrowers'!$C$9:$C$108,0))&lt;&gt;"Ready",COUNTIF(Sites!$D$9:$D$108,C472)=0,COUNTIFS(Sites!$D$9:$D$108,C472,Sites!$Q$9:$Q$108,"&lt;&gt;Ready")&gt;0,'Scenario Paths'!$F$6&lt;&gt;"Ready"),"Review source inputs","Ready"))</x:f>
      </x:c>
      <x:c r="V472" s="17" t="str">
        <x:f>IF(C472="","",IFERROR(MAX(-1,(G472-O472)/MAX(0.000001,G472)),"Unavailable"))</x:f>
      </x:c>
      <x:c r="W472" s="9" t="str">
        <x:f>IF(C472="","",IFERROR(INDEX('Borrowers'!$D$9:$D$108,MATCH(C472,'Borrowers'!$C$9:$C$108,0)),"Unavailable"))</x:f>
      </x:c>
    </x:row>
    <x:row r="473" ht="26" customHeight="1">
      <x:c r="A473" s="1"/>
      <x:c r="B473" s="1"/>
      <x:c r="C473" s="9" t="str">
        <x:f>IF(Borrowers!C73="","",Borrowers!C73)</x:f>
      </x:c>
      <x:c r="D473" s="3" t="n">
        <x:v>5</x:v>
      </x:c>
      <x:c r="E473" s="9" t="n">
        <x:f>Settings!$F$18+4</x:f>
        <x:v>2031</x:v>
      </x:c>
      <x:c r="F473" s="9" t="str">
        <x:f>IF(C473="","",INDEX('Borrowers'!$F$9:$F$108,MATCH(C473,'Borrowers'!$C$9:$C$108,0)))</x:f>
      </x:c>
      <x:c r="G473" s="23" t="str">
        <x:f>IF(C473="","",IFERROR(INDEX('Borrowers'!$J$9:$J$108,MATCH(C473,'Borrowers'!$C$9:$C$108,0))-INDEX('Borrowers'!$K$9:$K$108,MATCH(C473,'Borrowers'!$C$9:$C$108,0)),"Unavailable"))</x:f>
      </x:c>
      <x:c r="H473" s="23" t="str">
        <x:f>IF(C473="","",IFERROR(INDEX('Borrowers'!$I$9:$I$108,MATCH(C473,'Borrowers'!$C$9:$C$108,0))*INDEX('Borrowers'!$U$9:$U$108,MATCH(C473,'Borrowers'!$C$9:$C$108,0))*(IF(F473="Transport",'Scenario Paths'!J156,IF(F473="Technology",'Scenario Paths'!J150,IF(F473="Utilities",'Scenario Paths'!J144,IF(F473="Agriculture",'Scenario Paths'!J138,IF(F473="Manufacturing",'Scenario Paths'!J132,IF(F473="Healthcare",'Scenario Paths'!J126,IF(F473="Hospitality",'Scenario Paths'!J120,IF(F473="Property",'Scenario Paths'!J114,IF(F473="Food",'Scenario Paths'!J108,IF(F473="Logistics",'Scenario Paths'!J102,IF(F473="Solar",'Scenario Paths'!J96,IF(F473="Cement",'Scenario Paths'!J90,0))))))))))))),"Unavailable"))</x:f>
      </x:c>
      <x:c r="I473" s="23" t="str">
        <x:f>IF(C473="","",IFERROR(INDEX('Borrowers'!$R$9:$R$108,MATCH(C473,'Borrowers'!$C$9:$C$108,0))*(1-INDEX('Borrowers'!$W$9:$W$108,MATCH(C473,'Borrowers'!$C$9:$C$108,0))*'Scenario Paths'!J39)*'Scenario Paths'!J9/1000000*(1-INDEX('Borrowers'!$T$9:$T$108,MATCH(C473,'Borrowers'!$C$9:$C$108,0))),"Unavailable"))</x:f>
      </x:c>
      <x:c r="J473" s="23" t="str">
        <x:f>IF(C473="","",IFERROR(INDEX('Borrowers'!$I$9:$I$108,MATCH(C473,'Borrowers'!$C$9:$C$108,0))*INDEX('Borrowers'!$S$9:$S$108,MATCH(C473,'Borrowers'!$C$9:$C$108,0))*'Scenario Paths'!J15*(1-INDEX('Borrowers'!$T$9:$T$108,MATCH(C473,'Borrowers'!$C$9:$C$108,0))),"Unavailable"))</x:f>
      </x:c>
      <x:c r="K473" s="23" t="str">
        <x:f>IF(C473="","",IFERROR(INDEX('Borrowers'!$I$9:$I$108,MATCH(C473,'Borrowers'!$C$9:$C$108,0))*INDEX('Borrowers'!$U$9:$U$108,MATCH(C473,'Borrowers'!$C$9:$C$108,0))*'Scenario Paths'!J21*S473,"Unavailable"))</x:f>
      </x:c>
      <x:c r="L473" s="23" t="str">
        <x:f>IF(C473="","",IFERROR(SUMPRODUCT((Sites!$D$9:$D$108=C473)*Sites!$H$9:$H$108*Sites!$J$9:$J$108*Sites!$K$9:$K$108*(1-Sites!$L$9:$L$108)*(1-Sites!$M$9:$M$108))*'Scenario Paths'!J27,"Unavailable"))</x:f>
      </x:c>
      <x:c r="M473" s="23" t="str">
        <x:f>IF(C473="","",IFERROR(INDEX('Borrowers'!$J$9:$J$108,MATCH(C473,'Borrowers'!$C$9:$C$108,0))+H473-SUM(I473:L473),"Unavailable"))</x:f>
      </x:c>
      <x:c r="N473" s="23" t="str">
        <x:f>IF(C473="","",IFERROR(INDEX('Borrowers'!$I$9:$I$108,MATCH(C473,'Borrowers'!$C$9:$C$108,0))*'Scenario Paths'!J33,"Unavailable"))</x:f>
      </x:c>
      <x:c r="O473" s="23" t="str">
        <x:f>IF(C473="","",IFERROR(M473-INDEX('Borrowers'!$K$9:$K$108,MATCH(C473,'Borrowers'!$C$9:$C$108,0))-N473,"Unavailable"))</x:f>
      </x:c>
      <x:c r="P473" s="127" t="str">
        <x:f>IF(C473="","",IFERROR(O473/INDEX('Borrowers'!$L$9:$L$108,MATCH(C473,'Borrowers'!$C$9:$C$108,0)),"Unavailable"))</x:f>
      </x:c>
      <x:c r="Q473" s="30" t="str">
        <x:f>IF(C473="","",IFERROR(IF(INDEX('Borrowers'!$Z$9:$Z$108,MATCH(C473,'Borrowers'!$C$9:$C$108,0))="Yes",1,IF(INDEX('Borrowers'!$P$9:$P$108,MATCH(C473,'Borrowers'!$C$9:$C$108,0))=0,0,MIN(1,INDEX('Borrowers'!$P$9:$P$108,MATCH(C473,'Borrowers'!$C$9:$C$108,0))*EXP(MIN(20,INDEX('Borrowers'!$V$9:$V$108,MATCH(C473,'Borrowers'!$C$9:$C$108,0))*V473))))),"Unavailable"))</x:f>
      </x:c>
      <x:c r="R473" s="30" t="str">
        <x:f>IF(C473="","",IFERROR(MIN(1,INDEX('Borrowers'!$Q$9:$Q$108,MATCH(C473,'Borrowers'!$C$9:$C$108,0))+(1-INDEX('Borrowers'!$Q$9:$Q$108,MATCH(C473,'Borrowers'!$C$9:$C$108,0)))*T473),"Unavailable"))</x:f>
      </x:c>
      <x:c r="S473" s="30" t="str">
        <x:f>IF(C473="","",IFERROR(SUMPRODUCT((Sites!$D$9:$D$108=C473)*Sites!$I$9:$I$108*Sites!$J$9:$J$108*Sites!$K$9:$K$108*(1-Sites!$L$9:$L$108)),"Unavailable"))</x:f>
      </x:c>
      <x:c r="T473" s="30" t="str">
        <x:f>IF(C473="","",IFERROR(MIN(1,(SUMPRODUCT((Sites!$D$9:$D$108=C473)*Sites!$N$9:$N$108*Sites!$J$9:$J$108*Sites!$K$9:$K$108*(1-Sites!$L$9:$L$108)))*'Scenario Paths'!J27),"Unavailable"))</x:f>
      </x:c>
      <x:c r="U473" s="9" t="str">
        <x:f>IF(C473="","",IF(OR(INDEX('Borrowers'!$AA$9:$AA$108,MATCH(C473,'Borrowers'!$C$9:$C$108,0))&lt;&gt;"Ready",COUNTIF(Sites!$D$9:$D$108,C473)=0,COUNTIFS(Sites!$D$9:$D$108,C473,Sites!$Q$9:$Q$108,"&lt;&gt;Ready")&gt;0,'Scenario Paths'!$F$6&lt;&gt;"Ready"),"Review source inputs","Ready"))</x:f>
      </x:c>
      <x:c r="V473" s="17" t="str">
        <x:f>IF(C473="","",IFERROR(MAX(-1,(G473-O473)/MAX(0.000001,G473)),"Unavailable"))</x:f>
      </x:c>
      <x:c r="W473" s="9" t="str">
        <x:f>IF(C473="","",IFERROR(INDEX('Borrowers'!$D$9:$D$108,MATCH(C473,'Borrowers'!$C$9:$C$108,0)),"Unavailable"))</x:f>
      </x:c>
    </x:row>
    <x:row r="474" ht="26" customHeight="1">
      <x:c r="A474" s="1"/>
      <x:c r="B474" s="1"/>
      <x:c r="C474" s="9" t="str">
        <x:f>IF(Borrowers!C74="","",Borrowers!C74)</x:f>
      </x:c>
      <x:c r="D474" s="3" t="n">
        <x:v>5</x:v>
      </x:c>
      <x:c r="E474" s="9" t="n">
        <x:f>Settings!$F$18+4</x:f>
        <x:v>2031</x:v>
      </x:c>
      <x:c r="F474" s="9" t="str">
        <x:f>IF(C474="","",INDEX('Borrowers'!$F$9:$F$108,MATCH(C474,'Borrowers'!$C$9:$C$108,0)))</x:f>
      </x:c>
      <x:c r="G474" s="23" t="str">
        <x:f>IF(C474="","",IFERROR(INDEX('Borrowers'!$J$9:$J$108,MATCH(C474,'Borrowers'!$C$9:$C$108,0))-INDEX('Borrowers'!$K$9:$K$108,MATCH(C474,'Borrowers'!$C$9:$C$108,0)),"Unavailable"))</x:f>
      </x:c>
      <x:c r="H474" s="23" t="str">
        <x:f>IF(C474="","",IFERROR(INDEX('Borrowers'!$I$9:$I$108,MATCH(C474,'Borrowers'!$C$9:$C$108,0))*INDEX('Borrowers'!$U$9:$U$108,MATCH(C474,'Borrowers'!$C$9:$C$108,0))*(IF(F474="Transport",'Scenario Paths'!J156,IF(F474="Technology",'Scenario Paths'!J150,IF(F474="Utilities",'Scenario Paths'!J144,IF(F474="Agriculture",'Scenario Paths'!J138,IF(F474="Manufacturing",'Scenario Paths'!J132,IF(F474="Healthcare",'Scenario Paths'!J126,IF(F474="Hospitality",'Scenario Paths'!J120,IF(F474="Property",'Scenario Paths'!J114,IF(F474="Food",'Scenario Paths'!J108,IF(F474="Logistics",'Scenario Paths'!J102,IF(F474="Solar",'Scenario Paths'!J96,IF(F474="Cement",'Scenario Paths'!J90,0))))))))))))),"Unavailable"))</x:f>
      </x:c>
      <x:c r="I474" s="23" t="str">
        <x:f>IF(C474="","",IFERROR(INDEX('Borrowers'!$R$9:$R$108,MATCH(C474,'Borrowers'!$C$9:$C$108,0))*(1-INDEX('Borrowers'!$W$9:$W$108,MATCH(C474,'Borrowers'!$C$9:$C$108,0))*'Scenario Paths'!J39)*'Scenario Paths'!J9/1000000*(1-INDEX('Borrowers'!$T$9:$T$108,MATCH(C474,'Borrowers'!$C$9:$C$108,0))),"Unavailable"))</x:f>
      </x:c>
      <x:c r="J474" s="23" t="str">
        <x:f>IF(C474="","",IFERROR(INDEX('Borrowers'!$I$9:$I$108,MATCH(C474,'Borrowers'!$C$9:$C$108,0))*INDEX('Borrowers'!$S$9:$S$108,MATCH(C474,'Borrowers'!$C$9:$C$108,0))*'Scenario Paths'!J15*(1-INDEX('Borrowers'!$T$9:$T$108,MATCH(C474,'Borrowers'!$C$9:$C$108,0))),"Unavailable"))</x:f>
      </x:c>
      <x:c r="K474" s="23" t="str">
        <x:f>IF(C474="","",IFERROR(INDEX('Borrowers'!$I$9:$I$108,MATCH(C474,'Borrowers'!$C$9:$C$108,0))*INDEX('Borrowers'!$U$9:$U$108,MATCH(C474,'Borrowers'!$C$9:$C$108,0))*'Scenario Paths'!J21*S474,"Unavailable"))</x:f>
      </x:c>
      <x:c r="L474" s="23" t="str">
        <x:f>IF(C474="","",IFERROR(SUMPRODUCT((Sites!$D$9:$D$108=C474)*Sites!$H$9:$H$108*Sites!$J$9:$J$108*Sites!$K$9:$K$108*(1-Sites!$L$9:$L$108)*(1-Sites!$M$9:$M$108))*'Scenario Paths'!J27,"Unavailable"))</x:f>
      </x:c>
      <x:c r="M474" s="23" t="str">
        <x:f>IF(C474="","",IFERROR(INDEX('Borrowers'!$J$9:$J$108,MATCH(C474,'Borrowers'!$C$9:$C$108,0))+H474-SUM(I474:L474),"Unavailable"))</x:f>
      </x:c>
      <x:c r="N474" s="23" t="str">
        <x:f>IF(C474="","",IFERROR(INDEX('Borrowers'!$I$9:$I$108,MATCH(C474,'Borrowers'!$C$9:$C$108,0))*'Scenario Paths'!J33,"Unavailable"))</x:f>
      </x:c>
      <x:c r="O474" s="23" t="str">
        <x:f>IF(C474="","",IFERROR(M474-INDEX('Borrowers'!$K$9:$K$108,MATCH(C474,'Borrowers'!$C$9:$C$108,0))-N474,"Unavailable"))</x:f>
      </x:c>
      <x:c r="P474" s="127" t="str">
        <x:f>IF(C474="","",IFERROR(O474/INDEX('Borrowers'!$L$9:$L$108,MATCH(C474,'Borrowers'!$C$9:$C$108,0)),"Unavailable"))</x:f>
      </x:c>
      <x:c r="Q474" s="30" t="str">
        <x:f>IF(C474="","",IFERROR(IF(INDEX('Borrowers'!$Z$9:$Z$108,MATCH(C474,'Borrowers'!$C$9:$C$108,0))="Yes",1,IF(INDEX('Borrowers'!$P$9:$P$108,MATCH(C474,'Borrowers'!$C$9:$C$108,0))=0,0,MIN(1,INDEX('Borrowers'!$P$9:$P$108,MATCH(C474,'Borrowers'!$C$9:$C$108,0))*EXP(MIN(20,INDEX('Borrowers'!$V$9:$V$108,MATCH(C474,'Borrowers'!$C$9:$C$108,0))*V474))))),"Unavailable"))</x:f>
      </x:c>
      <x:c r="R474" s="30" t="str">
        <x:f>IF(C474="","",IFERROR(MIN(1,INDEX('Borrowers'!$Q$9:$Q$108,MATCH(C474,'Borrowers'!$C$9:$C$108,0))+(1-INDEX('Borrowers'!$Q$9:$Q$108,MATCH(C474,'Borrowers'!$C$9:$C$108,0)))*T474),"Unavailable"))</x:f>
      </x:c>
      <x:c r="S474" s="30" t="str">
        <x:f>IF(C474="","",IFERROR(SUMPRODUCT((Sites!$D$9:$D$108=C474)*Sites!$I$9:$I$108*Sites!$J$9:$J$108*Sites!$K$9:$K$108*(1-Sites!$L$9:$L$108)),"Unavailable"))</x:f>
      </x:c>
      <x:c r="T474" s="30" t="str">
        <x:f>IF(C474="","",IFERROR(MIN(1,(SUMPRODUCT((Sites!$D$9:$D$108=C474)*Sites!$N$9:$N$108*Sites!$J$9:$J$108*Sites!$K$9:$K$108*(1-Sites!$L$9:$L$108)))*'Scenario Paths'!J27),"Unavailable"))</x:f>
      </x:c>
      <x:c r="U474" s="9" t="str">
        <x:f>IF(C474="","",IF(OR(INDEX('Borrowers'!$AA$9:$AA$108,MATCH(C474,'Borrowers'!$C$9:$C$108,0))&lt;&gt;"Ready",COUNTIF(Sites!$D$9:$D$108,C474)=0,COUNTIFS(Sites!$D$9:$D$108,C474,Sites!$Q$9:$Q$108,"&lt;&gt;Ready")&gt;0,'Scenario Paths'!$F$6&lt;&gt;"Ready"),"Review source inputs","Ready"))</x:f>
      </x:c>
      <x:c r="V474" s="17" t="str">
        <x:f>IF(C474="","",IFERROR(MAX(-1,(G474-O474)/MAX(0.000001,G474)),"Unavailable"))</x:f>
      </x:c>
      <x:c r="W474" s="9" t="str">
        <x:f>IF(C474="","",IFERROR(INDEX('Borrowers'!$D$9:$D$108,MATCH(C474,'Borrowers'!$C$9:$C$108,0)),"Unavailable"))</x:f>
      </x:c>
    </x:row>
    <x:row r="475" ht="26" customHeight="1">
      <x:c r="A475" s="1"/>
      <x:c r="B475" s="1"/>
      <x:c r="C475" s="9" t="str">
        <x:f>IF(Borrowers!C75="","",Borrowers!C75)</x:f>
      </x:c>
      <x:c r="D475" s="3" t="n">
        <x:v>5</x:v>
      </x:c>
      <x:c r="E475" s="9" t="n">
        <x:f>Settings!$F$18+4</x:f>
        <x:v>2031</x:v>
      </x:c>
      <x:c r="F475" s="9" t="str">
        <x:f>IF(C475="","",INDEX('Borrowers'!$F$9:$F$108,MATCH(C475,'Borrowers'!$C$9:$C$108,0)))</x:f>
      </x:c>
      <x:c r="G475" s="23" t="str">
        <x:f>IF(C475="","",IFERROR(INDEX('Borrowers'!$J$9:$J$108,MATCH(C475,'Borrowers'!$C$9:$C$108,0))-INDEX('Borrowers'!$K$9:$K$108,MATCH(C475,'Borrowers'!$C$9:$C$108,0)),"Unavailable"))</x:f>
      </x:c>
      <x:c r="H475" s="23" t="str">
        <x:f>IF(C475="","",IFERROR(INDEX('Borrowers'!$I$9:$I$108,MATCH(C475,'Borrowers'!$C$9:$C$108,0))*INDEX('Borrowers'!$U$9:$U$108,MATCH(C475,'Borrowers'!$C$9:$C$108,0))*(IF(F475="Transport",'Scenario Paths'!J156,IF(F475="Technology",'Scenario Paths'!J150,IF(F475="Utilities",'Scenario Paths'!J144,IF(F475="Agriculture",'Scenario Paths'!J138,IF(F475="Manufacturing",'Scenario Paths'!J132,IF(F475="Healthcare",'Scenario Paths'!J126,IF(F475="Hospitality",'Scenario Paths'!J120,IF(F475="Property",'Scenario Paths'!J114,IF(F475="Food",'Scenario Paths'!J108,IF(F475="Logistics",'Scenario Paths'!J102,IF(F475="Solar",'Scenario Paths'!J96,IF(F475="Cement",'Scenario Paths'!J90,0))))))))))))),"Unavailable"))</x:f>
      </x:c>
      <x:c r="I475" s="23" t="str">
        <x:f>IF(C475="","",IFERROR(INDEX('Borrowers'!$R$9:$R$108,MATCH(C475,'Borrowers'!$C$9:$C$108,0))*(1-INDEX('Borrowers'!$W$9:$W$108,MATCH(C475,'Borrowers'!$C$9:$C$108,0))*'Scenario Paths'!J39)*'Scenario Paths'!J9/1000000*(1-INDEX('Borrowers'!$T$9:$T$108,MATCH(C475,'Borrowers'!$C$9:$C$108,0))),"Unavailable"))</x:f>
      </x:c>
      <x:c r="J475" s="23" t="str">
        <x:f>IF(C475="","",IFERROR(INDEX('Borrowers'!$I$9:$I$108,MATCH(C475,'Borrowers'!$C$9:$C$108,0))*INDEX('Borrowers'!$S$9:$S$108,MATCH(C475,'Borrowers'!$C$9:$C$108,0))*'Scenario Paths'!J15*(1-INDEX('Borrowers'!$T$9:$T$108,MATCH(C475,'Borrowers'!$C$9:$C$108,0))),"Unavailable"))</x:f>
      </x:c>
      <x:c r="K475" s="23" t="str">
        <x:f>IF(C475="","",IFERROR(INDEX('Borrowers'!$I$9:$I$108,MATCH(C475,'Borrowers'!$C$9:$C$108,0))*INDEX('Borrowers'!$U$9:$U$108,MATCH(C475,'Borrowers'!$C$9:$C$108,0))*'Scenario Paths'!J21*S475,"Unavailable"))</x:f>
      </x:c>
      <x:c r="L475" s="23" t="str">
        <x:f>IF(C475="","",IFERROR(SUMPRODUCT((Sites!$D$9:$D$108=C475)*Sites!$H$9:$H$108*Sites!$J$9:$J$108*Sites!$K$9:$K$108*(1-Sites!$L$9:$L$108)*(1-Sites!$M$9:$M$108))*'Scenario Paths'!J27,"Unavailable"))</x:f>
      </x:c>
      <x:c r="M475" s="23" t="str">
        <x:f>IF(C475="","",IFERROR(INDEX('Borrowers'!$J$9:$J$108,MATCH(C475,'Borrowers'!$C$9:$C$108,0))+H475-SUM(I475:L475),"Unavailable"))</x:f>
      </x:c>
      <x:c r="N475" s="23" t="str">
        <x:f>IF(C475="","",IFERROR(INDEX('Borrowers'!$I$9:$I$108,MATCH(C475,'Borrowers'!$C$9:$C$108,0))*'Scenario Paths'!J33,"Unavailable"))</x:f>
      </x:c>
      <x:c r="O475" s="23" t="str">
        <x:f>IF(C475="","",IFERROR(M475-INDEX('Borrowers'!$K$9:$K$108,MATCH(C475,'Borrowers'!$C$9:$C$108,0))-N475,"Unavailable"))</x:f>
      </x:c>
      <x:c r="P475" s="127" t="str">
        <x:f>IF(C475="","",IFERROR(O475/INDEX('Borrowers'!$L$9:$L$108,MATCH(C475,'Borrowers'!$C$9:$C$108,0)),"Unavailable"))</x:f>
      </x:c>
      <x:c r="Q475" s="30" t="str">
        <x:f>IF(C475="","",IFERROR(IF(INDEX('Borrowers'!$Z$9:$Z$108,MATCH(C475,'Borrowers'!$C$9:$C$108,0))="Yes",1,IF(INDEX('Borrowers'!$P$9:$P$108,MATCH(C475,'Borrowers'!$C$9:$C$108,0))=0,0,MIN(1,INDEX('Borrowers'!$P$9:$P$108,MATCH(C475,'Borrowers'!$C$9:$C$108,0))*EXP(MIN(20,INDEX('Borrowers'!$V$9:$V$108,MATCH(C475,'Borrowers'!$C$9:$C$108,0))*V475))))),"Unavailable"))</x:f>
      </x:c>
      <x:c r="R475" s="30" t="str">
        <x:f>IF(C475="","",IFERROR(MIN(1,INDEX('Borrowers'!$Q$9:$Q$108,MATCH(C475,'Borrowers'!$C$9:$C$108,0))+(1-INDEX('Borrowers'!$Q$9:$Q$108,MATCH(C475,'Borrowers'!$C$9:$C$108,0)))*T475),"Unavailable"))</x:f>
      </x:c>
      <x:c r="S475" s="30" t="str">
        <x:f>IF(C475="","",IFERROR(SUMPRODUCT((Sites!$D$9:$D$108=C475)*Sites!$I$9:$I$108*Sites!$J$9:$J$108*Sites!$K$9:$K$108*(1-Sites!$L$9:$L$108)),"Unavailable"))</x:f>
      </x:c>
      <x:c r="T475" s="30" t="str">
        <x:f>IF(C475="","",IFERROR(MIN(1,(SUMPRODUCT((Sites!$D$9:$D$108=C475)*Sites!$N$9:$N$108*Sites!$J$9:$J$108*Sites!$K$9:$K$108*(1-Sites!$L$9:$L$108)))*'Scenario Paths'!J27),"Unavailable"))</x:f>
      </x:c>
      <x:c r="U475" s="9" t="str">
        <x:f>IF(C475="","",IF(OR(INDEX('Borrowers'!$AA$9:$AA$108,MATCH(C475,'Borrowers'!$C$9:$C$108,0))&lt;&gt;"Ready",COUNTIF(Sites!$D$9:$D$108,C475)=0,COUNTIFS(Sites!$D$9:$D$108,C475,Sites!$Q$9:$Q$108,"&lt;&gt;Ready")&gt;0,'Scenario Paths'!$F$6&lt;&gt;"Ready"),"Review source inputs","Ready"))</x:f>
      </x:c>
      <x:c r="V475" s="17" t="str">
        <x:f>IF(C475="","",IFERROR(MAX(-1,(G475-O475)/MAX(0.000001,G475)),"Unavailable"))</x:f>
      </x:c>
      <x:c r="W475" s="9" t="str">
        <x:f>IF(C475="","",IFERROR(INDEX('Borrowers'!$D$9:$D$108,MATCH(C475,'Borrowers'!$C$9:$C$108,0)),"Unavailable"))</x:f>
      </x:c>
    </x:row>
    <x:row r="476" ht="26" customHeight="1">
      <x:c r="A476" s="1"/>
      <x:c r="B476" s="1"/>
      <x:c r="C476" s="9" t="str">
        <x:f>IF(Borrowers!C76="","",Borrowers!C76)</x:f>
      </x:c>
      <x:c r="D476" s="3" t="n">
        <x:v>5</x:v>
      </x:c>
      <x:c r="E476" s="9" t="n">
        <x:f>Settings!$F$18+4</x:f>
        <x:v>2031</x:v>
      </x:c>
      <x:c r="F476" s="9" t="str">
        <x:f>IF(C476="","",INDEX('Borrowers'!$F$9:$F$108,MATCH(C476,'Borrowers'!$C$9:$C$108,0)))</x:f>
      </x:c>
      <x:c r="G476" s="23" t="str">
        <x:f>IF(C476="","",IFERROR(INDEX('Borrowers'!$J$9:$J$108,MATCH(C476,'Borrowers'!$C$9:$C$108,0))-INDEX('Borrowers'!$K$9:$K$108,MATCH(C476,'Borrowers'!$C$9:$C$108,0)),"Unavailable"))</x:f>
      </x:c>
      <x:c r="H476" s="23" t="str">
        <x:f>IF(C476="","",IFERROR(INDEX('Borrowers'!$I$9:$I$108,MATCH(C476,'Borrowers'!$C$9:$C$108,0))*INDEX('Borrowers'!$U$9:$U$108,MATCH(C476,'Borrowers'!$C$9:$C$108,0))*(IF(F476="Transport",'Scenario Paths'!J156,IF(F476="Technology",'Scenario Paths'!J150,IF(F476="Utilities",'Scenario Paths'!J144,IF(F476="Agriculture",'Scenario Paths'!J138,IF(F476="Manufacturing",'Scenario Paths'!J132,IF(F476="Healthcare",'Scenario Paths'!J126,IF(F476="Hospitality",'Scenario Paths'!J120,IF(F476="Property",'Scenario Paths'!J114,IF(F476="Food",'Scenario Paths'!J108,IF(F476="Logistics",'Scenario Paths'!J102,IF(F476="Solar",'Scenario Paths'!J96,IF(F476="Cement",'Scenario Paths'!J90,0))))))))))))),"Unavailable"))</x:f>
      </x:c>
      <x:c r="I476" s="23" t="str">
        <x:f>IF(C476="","",IFERROR(INDEX('Borrowers'!$R$9:$R$108,MATCH(C476,'Borrowers'!$C$9:$C$108,0))*(1-INDEX('Borrowers'!$W$9:$W$108,MATCH(C476,'Borrowers'!$C$9:$C$108,0))*'Scenario Paths'!J39)*'Scenario Paths'!J9/1000000*(1-INDEX('Borrowers'!$T$9:$T$108,MATCH(C476,'Borrowers'!$C$9:$C$108,0))),"Unavailable"))</x:f>
      </x:c>
      <x:c r="J476" s="23" t="str">
        <x:f>IF(C476="","",IFERROR(INDEX('Borrowers'!$I$9:$I$108,MATCH(C476,'Borrowers'!$C$9:$C$108,0))*INDEX('Borrowers'!$S$9:$S$108,MATCH(C476,'Borrowers'!$C$9:$C$108,0))*'Scenario Paths'!J15*(1-INDEX('Borrowers'!$T$9:$T$108,MATCH(C476,'Borrowers'!$C$9:$C$108,0))),"Unavailable"))</x:f>
      </x:c>
      <x:c r="K476" s="23" t="str">
        <x:f>IF(C476="","",IFERROR(INDEX('Borrowers'!$I$9:$I$108,MATCH(C476,'Borrowers'!$C$9:$C$108,0))*INDEX('Borrowers'!$U$9:$U$108,MATCH(C476,'Borrowers'!$C$9:$C$108,0))*'Scenario Paths'!J21*S476,"Unavailable"))</x:f>
      </x:c>
      <x:c r="L476" s="23" t="str">
        <x:f>IF(C476="","",IFERROR(SUMPRODUCT((Sites!$D$9:$D$108=C476)*Sites!$H$9:$H$108*Sites!$J$9:$J$108*Sites!$K$9:$K$108*(1-Sites!$L$9:$L$108)*(1-Sites!$M$9:$M$108))*'Scenario Paths'!J27,"Unavailable"))</x:f>
      </x:c>
      <x:c r="M476" s="23" t="str">
        <x:f>IF(C476="","",IFERROR(INDEX('Borrowers'!$J$9:$J$108,MATCH(C476,'Borrowers'!$C$9:$C$108,0))+H476-SUM(I476:L476),"Unavailable"))</x:f>
      </x:c>
      <x:c r="N476" s="23" t="str">
        <x:f>IF(C476="","",IFERROR(INDEX('Borrowers'!$I$9:$I$108,MATCH(C476,'Borrowers'!$C$9:$C$108,0))*'Scenario Paths'!J33,"Unavailable"))</x:f>
      </x:c>
      <x:c r="O476" s="23" t="str">
        <x:f>IF(C476="","",IFERROR(M476-INDEX('Borrowers'!$K$9:$K$108,MATCH(C476,'Borrowers'!$C$9:$C$108,0))-N476,"Unavailable"))</x:f>
      </x:c>
      <x:c r="P476" s="127" t="str">
        <x:f>IF(C476="","",IFERROR(O476/INDEX('Borrowers'!$L$9:$L$108,MATCH(C476,'Borrowers'!$C$9:$C$108,0)),"Unavailable"))</x:f>
      </x:c>
      <x:c r="Q476" s="30" t="str">
        <x:f>IF(C476="","",IFERROR(IF(INDEX('Borrowers'!$Z$9:$Z$108,MATCH(C476,'Borrowers'!$C$9:$C$108,0))="Yes",1,IF(INDEX('Borrowers'!$P$9:$P$108,MATCH(C476,'Borrowers'!$C$9:$C$108,0))=0,0,MIN(1,INDEX('Borrowers'!$P$9:$P$108,MATCH(C476,'Borrowers'!$C$9:$C$108,0))*EXP(MIN(20,INDEX('Borrowers'!$V$9:$V$108,MATCH(C476,'Borrowers'!$C$9:$C$108,0))*V476))))),"Unavailable"))</x:f>
      </x:c>
      <x:c r="R476" s="30" t="str">
        <x:f>IF(C476="","",IFERROR(MIN(1,INDEX('Borrowers'!$Q$9:$Q$108,MATCH(C476,'Borrowers'!$C$9:$C$108,0))+(1-INDEX('Borrowers'!$Q$9:$Q$108,MATCH(C476,'Borrowers'!$C$9:$C$108,0)))*T476),"Unavailable"))</x:f>
      </x:c>
      <x:c r="S476" s="30" t="str">
        <x:f>IF(C476="","",IFERROR(SUMPRODUCT((Sites!$D$9:$D$108=C476)*Sites!$I$9:$I$108*Sites!$J$9:$J$108*Sites!$K$9:$K$108*(1-Sites!$L$9:$L$108)),"Unavailable"))</x:f>
      </x:c>
      <x:c r="T476" s="30" t="str">
        <x:f>IF(C476="","",IFERROR(MIN(1,(SUMPRODUCT((Sites!$D$9:$D$108=C476)*Sites!$N$9:$N$108*Sites!$J$9:$J$108*Sites!$K$9:$K$108*(1-Sites!$L$9:$L$108)))*'Scenario Paths'!J27),"Unavailable"))</x:f>
      </x:c>
      <x:c r="U476" s="9" t="str">
        <x:f>IF(C476="","",IF(OR(INDEX('Borrowers'!$AA$9:$AA$108,MATCH(C476,'Borrowers'!$C$9:$C$108,0))&lt;&gt;"Ready",COUNTIF(Sites!$D$9:$D$108,C476)=0,COUNTIFS(Sites!$D$9:$D$108,C476,Sites!$Q$9:$Q$108,"&lt;&gt;Ready")&gt;0,'Scenario Paths'!$F$6&lt;&gt;"Ready"),"Review source inputs","Ready"))</x:f>
      </x:c>
      <x:c r="V476" s="17" t="str">
        <x:f>IF(C476="","",IFERROR(MAX(-1,(G476-O476)/MAX(0.000001,G476)),"Unavailable"))</x:f>
      </x:c>
      <x:c r="W476" s="9" t="str">
        <x:f>IF(C476="","",IFERROR(INDEX('Borrowers'!$D$9:$D$108,MATCH(C476,'Borrowers'!$C$9:$C$108,0)),"Unavailable"))</x:f>
      </x:c>
    </x:row>
    <x:row r="477" ht="26" customHeight="1">
      <x:c r="A477" s="1"/>
      <x:c r="B477" s="1"/>
      <x:c r="C477" s="9" t="str">
        <x:f>IF(Borrowers!C77="","",Borrowers!C77)</x:f>
      </x:c>
      <x:c r="D477" s="3" t="n">
        <x:v>5</x:v>
      </x:c>
      <x:c r="E477" s="9" t="n">
        <x:f>Settings!$F$18+4</x:f>
        <x:v>2031</x:v>
      </x:c>
      <x:c r="F477" s="9" t="str">
        <x:f>IF(C477="","",INDEX('Borrowers'!$F$9:$F$108,MATCH(C477,'Borrowers'!$C$9:$C$108,0)))</x:f>
      </x:c>
      <x:c r="G477" s="23" t="str">
        <x:f>IF(C477="","",IFERROR(INDEX('Borrowers'!$J$9:$J$108,MATCH(C477,'Borrowers'!$C$9:$C$108,0))-INDEX('Borrowers'!$K$9:$K$108,MATCH(C477,'Borrowers'!$C$9:$C$108,0)),"Unavailable"))</x:f>
      </x:c>
      <x:c r="H477" s="23" t="str">
        <x:f>IF(C477="","",IFERROR(INDEX('Borrowers'!$I$9:$I$108,MATCH(C477,'Borrowers'!$C$9:$C$108,0))*INDEX('Borrowers'!$U$9:$U$108,MATCH(C477,'Borrowers'!$C$9:$C$108,0))*(IF(F477="Transport",'Scenario Paths'!J156,IF(F477="Technology",'Scenario Paths'!J150,IF(F477="Utilities",'Scenario Paths'!J144,IF(F477="Agriculture",'Scenario Paths'!J138,IF(F477="Manufacturing",'Scenario Paths'!J132,IF(F477="Healthcare",'Scenario Paths'!J126,IF(F477="Hospitality",'Scenario Paths'!J120,IF(F477="Property",'Scenario Paths'!J114,IF(F477="Food",'Scenario Paths'!J108,IF(F477="Logistics",'Scenario Paths'!J102,IF(F477="Solar",'Scenario Paths'!J96,IF(F477="Cement",'Scenario Paths'!J90,0))))))))))))),"Unavailable"))</x:f>
      </x:c>
      <x:c r="I477" s="23" t="str">
        <x:f>IF(C477="","",IFERROR(INDEX('Borrowers'!$R$9:$R$108,MATCH(C477,'Borrowers'!$C$9:$C$108,0))*(1-INDEX('Borrowers'!$W$9:$W$108,MATCH(C477,'Borrowers'!$C$9:$C$108,0))*'Scenario Paths'!J39)*'Scenario Paths'!J9/1000000*(1-INDEX('Borrowers'!$T$9:$T$108,MATCH(C477,'Borrowers'!$C$9:$C$108,0))),"Unavailable"))</x:f>
      </x:c>
      <x:c r="J477" s="23" t="str">
        <x:f>IF(C477="","",IFERROR(INDEX('Borrowers'!$I$9:$I$108,MATCH(C477,'Borrowers'!$C$9:$C$108,0))*INDEX('Borrowers'!$S$9:$S$108,MATCH(C477,'Borrowers'!$C$9:$C$108,0))*'Scenario Paths'!J15*(1-INDEX('Borrowers'!$T$9:$T$108,MATCH(C477,'Borrowers'!$C$9:$C$108,0))),"Unavailable"))</x:f>
      </x:c>
      <x:c r="K477" s="23" t="str">
        <x:f>IF(C477="","",IFERROR(INDEX('Borrowers'!$I$9:$I$108,MATCH(C477,'Borrowers'!$C$9:$C$108,0))*INDEX('Borrowers'!$U$9:$U$108,MATCH(C477,'Borrowers'!$C$9:$C$108,0))*'Scenario Paths'!J21*S477,"Unavailable"))</x:f>
      </x:c>
      <x:c r="L477" s="23" t="str">
        <x:f>IF(C477="","",IFERROR(SUMPRODUCT((Sites!$D$9:$D$108=C477)*Sites!$H$9:$H$108*Sites!$J$9:$J$108*Sites!$K$9:$K$108*(1-Sites!$L$9:$L$108)*(1-Sites!$M$9:$M$108))*'Scenario Paths'!J27,"Unavailable"))</x:f>
      </x:c>
      <x:c r="M477" s="23" t="str">
        <x:f>IF(C477="","",IFERROR(INDEX('Borrowers'!$J$9:$J$108,MATCH(C477,'Borrowers'!$C$9:$C$108,0))+H477-SUM(I477:L477),"Unavailable"))</x:f>
      </x:c>
      <x:c r="N477" s="23" t="str">
        <x:f>IF(C477="","",IFERROR(INDEX('Borrowers'!$I$9:$I$108,MATCH(C477,'Borrowers'!$C$9:$C$108,0))*'Scenario Paths'!J33,"Unavailable"))</x:f>
      </x:c>
      <x:c r="O477" s="23" t="str">
        <x:f>IF(C477="","",IFERROR(M477-INDEX('Borrowers'!$K$9:$K$108,MATCH(C477,'Borrowers'!$C$9:$C$108,0))-N477,"Unavailable"))</x:f>
      </x:c>
      <x:c r="P477" s="127" t="str">
        <x:f>IF(C477="","",IFERROR(O477/INDEX('Borrowers'!$L$9:$L$108,MATCH(C477,'Borrowers'!$C$9:$C$108,0)),"Unavailable"))</x:f>
      </x:c>
      <x:c r="Q477" s="30" t="str">
        <x:f>IF(C477="","",IFERROR(IF(INDEX('Borrowers'!$Z$9:$Z$108,MATCH(C477,'Borrowers'!$C$9:$C$108,0))="Yes",1,IF(INDEX('Borrowers'!$P$9:$P$108,MATCH(C477,'Borrowers'!$C$9:$C$108,0))=0,0,MIN(1,INDEX('Borrowers'!$P$9:$P$108,MATCH(C477,'Borrowers'!$C$9:$C$108,0))*EXP(MIN(20,INDEX('Borrowers'!$V$9:$V$108,MATCH(C477,'Borrowers'!$C$9:$C$108,0))*V477))))),"Unavailable"))</x:f>
      </x:c>
      <x:c r="R477" s="30" t="str">
        <x:f>IF(C477="","",IFERROR(MIN(1,INDEX('Borrowers'!$Q$9:$Q$108,MATCH(C477,'Borrowers'!$C$9:$C$108,0))+(1-INDEX('Borrowers'!$Q$9:$Q$108,MATCH(C477,'Borrowers'!$C$9:$C$108,0)))*T477),"Unavailable"))</x:f>
      </x:c>
      <x:c r="S477" s="30" t="str">
        <x:f>IF(C477="","",IFERROR(SUMPRODUCT((Sites!$D$9:$D$108=C477)*Sites!$I$9:$I$108*Sites!$J$9:$J$108*Sites!$K$9:$K$108*(1-Sites!$L$9:$L$108)),"Unavailable"))</x:f>
      </x:c>
      <x:c r="T477" s="30" t="str">
        <x:f>IF(C477="","",IFERROR(MIN(1,(SUMPRODUCT((Sites!$D$9:$D$108=C477)*Sites!$N$9:$N$108*Sites!$J$9:$J$108*Sites!$K$9:$K$108*(1-Sites!$L$9:$L$108)))*'Scenario Paths'!J27),"Unavailable"))</x:f>
      </x:c>
      <x:c r="U477" s="9" t="str">
        <x:f>IF(C477="","",IF(OR(INDEX('Borrowers'!$AA$9:$AA$108,MATCH(C477,'Borrowers'!$C$9:$C$108,0))&lt;&gt;"Ready",COUNTIF(Sites!$D$9:$D$108,C477)=0,COUNTIFS(Sites!$D$9:$D$108,C477,Sites!$Q$9:$Q$108,"&lt;&gt;Ready")&gt;0,'Scenario Paths'!$F$6&lt;&gt;"Ready"),"Review source inputs","Ready"))</x:f>
      </x:c>
      <x:c r="V477" s="17" t="str">
        <x:f>IF(C477="","",IFERROR(MAX(-1,(G477-O477)/MAX(0.000001,G477)),"Unavailable"))</x:f>
      </x:c>
      <x:c r="W477" s="9" t="str">
        <x:f>IF(C477="","",IFERROR(INDEX('Borrowers'!$D$9:$D$108,MATCH(C477,'Borrowers'!$C$9:$C$108,0)),"Unavailable"))</x:f>
      </x:c>
    </x:row>
    <x:row r="478" ht="26" customHeight="1">
      <x:c r="A478" s="1"/>
      <x:c r="B478" s="1"/>
      <x:c r="C478" s="9" t="str">
        <x:f>IF(Borrowers!C78="","",Borrowers!C78)</x:f>
      </x:c>
      <x:c r="D478" s="3" t="n">
        <x:v>5</x:v>
      </x:c>
      <x:c r="E478" s="9" t="n">
        <x:f>Settings!$F$18+4</x:f>
        <x:v>2031</x:v>
      </x:c>
      <x:c r="F478" s="9" t="str">
        <x:f>IF(C478="","",INDEX('Borrowers'!$F$9:$F$108,MATCH(C478,'Borrowers'!$C$9:$C$108,0)))</x:f>
      </x:c>
      <x:c r="G478" s="23" t="str">
        <x:f>IF(C478="","",IFERROR(INDEX('Borrowers'!$J$9:$J$108,MATCH(C478,'Borrowers'!$C$9:$C$108,0))-INDEX('Borrowers'!$K$9:$K$108,MATCH(C478,'Borrowers'!$C$9:$C$108,0)),"Unavailable"))</x:f>
      </x:c>
      <x:c r="H478" s="23" t="str">
        <x:f>IF(C478="","",IFERROR(INDEX('Borrowers'!$I$9:$I$108,MATCH(C478,'Borrowers'!$C$9:$C$108,0))*INDEX('Borrowers'!$U$9:$U$108,MATCH(C478,'Borrowers'!$C$9:$C$108,0))*(IF(F478="Transport",'Scenario Paths'!J156,IF(F478="Technology",'Scenario Paths'!J150,IF(F478="Utilities",'Scenario Paths'!J144,IF(F478="Agriculture",'Scenario Paths'!J138,IF(F478="Manufacturing",'Scenario Paths'!J132,IF(F478="Healthcare",'Scenario Paths'!J126,IF(F478="Hospitality",'Scenario Paths'!J120,IF(F478="Property",'Scenario Paths'!J114,IF(F478="Food",'Scenario Paths'!J108,IF(F478="Logistics",'Scenario Paths'!J102,IF(F478="Solar",'Scenario Paths'!J96,IF(F478="Cement",'Scenario Paths'!J90,0))))))))))))),"Unavailable"))</x:f>
      </x:c>
      <x:c r="I478" s="23" t="str">
        <x:f>IF(C478="","",IFERROR(INDEX('Borrowers'!$R$9:$R$108,MATCH(C478,'Borrowers'!$C$9:$C$108,0))*(1-INDEX('Borrowers'!$W$9:$W$108,MATCH(C478,'Borrowers'!$C$9:$C$108,0))*'Scenario Paths'!J39)*'Scenario Paths'!J9/1000000*(1-INDEX('Borrowers'!$T$9:$T$108,MATCH(C478,'Borrowers'!$C$9:$C$108,0))),"Unavailable"))</x:f>
      </x:c>
      <x:c r="J478" s="23" t="str">
        <x:f>IF(C478="","",IFERROR(INDEX('Borrowers'!$I$9:$I$108,MATCH(C478,'Borrowers'!$C$9:$C$108,0))*INDEX('Borrowers'!$S$9:$S$108,MATCH(C478,'Borrowers'!$C$9:$C$108,0))*'Scenario Paths'!J15*(1-INDEX('Borrowers'!$T$9:$T$108,MATCH(C478,'Borrowers'!$C$9:$C$108,0))),"Unavailable"))</x:f>
      </x:c>
      <x:c r="K478" s="23" t="str">
        <x:f>IF(C478="","",IFERROR(INDEX('Borrowers'!$I$9:$I$108,MATCH(C478,'Borrowers'!$C$9:$C$108,0))*INDEX('Borrowers'!$U$9:$U$108,MATCH(C478,'Borrowers'!$C$9:$C$108,0))*'Scenario Paths'!J21*S478,"Unavailable"))</x:f>
      </x:c>
      <x:c r="L478" s="23" t="str">
        <x:f>IF(C478="","",IFERROR(SUMPRODUCT((Sites!$D$9:$D$108=C478)*Sites!$H$9:$H$108*Sites!$J$9:$J$108*Sites!$K$9:$K$108*(1-Sites!$L$9:$L$108)*(1-Sites!$M$9:$M$108))*'Scenario Paths'!J27,"Unavailable"))</x:f>
      </x:c>
      <x:c r="M478" s="23" t="str">
        <x:f>IF(C478="","",IFERROR(INDEX('Borrowers'!$J$9:$J$108,MATCH(C478,'Borrowers'!$C$9:$C$108,0))+H478-SUM(I478:L478),"Unavailable"))</x:f>
      </x:c>
      <x:c r="N478" s="23" t="str">
        <x:f>IF(C478="","",IFERROR(INDEX('Borrowers'!$I$9:$I$108,MATCH(C478,'Borrowers'!$C$9:$C$108,0))*'Scenario Paths'!J33,"Unavailable"))</x:f>
      </x:c>
      <x:c r="O478" s="23" t="str">
        <x:f>IF(C478="","",IFERROR(M478-INDEX('Borrowers'!$K$9:$K$108,MATCH(C478,'Borrowers'!$C$9:$C$108,0))-N478,"Unavailable"))</x:f>
      </x:c>
      <x:c r="P478" s="127" t="str">
        <x:f>IF(C478="","",IFERROR(O478/INDEX('Borrowers'!$L$9:$L$108,MATCH(C478,'Borrowers'!$C$9:$C$108,0)),"Unavailable"))</x:f>
      </x:c>
      <x:c r="Q478" s="30" t="str">
        <x:f>IF(C478="","",IFERROR(IF(INDEX('Borrowers'!$Z$9:$Z$108,MATCH(C478,'Borrowers'!$C$9:$C$108,0))="Yes",1,IF(INDEX('Borrowers'!$P$9:$P$108,MATCH(C478,'Borrowers'!$C$9:$C$108,0))=0,0,MIN(1,INDEX('Borrowers'!$P$9:$P$108,MATCH(C478,'Borrowers'!$C$9:$C$108,0))*EXP(MIN(20,INDEX('Borrowers'!$V$9:$V$108,MATCH(C478,'Borrowers'!$C$9:$C$108,0))*V478))))),"Unavailable"))</x:f>
      </x:c>
      <x:c r="R478" s="30" t="str">
        <x:f>IF(C478="","",IFERROR(MIN(1,INDEX('Borrowers'!$Q$9:$Q$108,MATCH(C478,'Borrowers'!$C$9:$C$108,0))+(1-INDEX('Borrowers'!$Q$9:$Q$108,MATCH(C478,'Borrowers'!$C$9:$C$108,0)))*T478),"Unavailable"))</x:f>
      </x:c>
      <x:c r="S478" s="30" t="str">
        <x:f>IF(C478="","",IFERROR(SUMPRODUCT((Sites!$D$9:$D$108=C478)*Sites!$I$9:$I$108*Sites!$J$9:$J$108*Sites!$K$9:$K$108*(1-Sites!$L$9:$L$108)),"Unavailable"))</x:f>
      </x:c>
      <x:c r="T478" s="30" t="str">
        <x:f>IF(C478="","",IFERROR(MIN(1,(SUMPRODUCT((Sites!$D$9:$D$108=C478)*Sites!$N$9:$N$108*Sites!$J$9:$J$108*Sites!$K$9:$K$108*(1-Sites!$L$9:$L$108)))*'Scenario Paths'!J27),"Unavailable"))</x:f>
      </x:c>
      <x:c r="U478" s="9" t="str">
        <x:f>IF(C478="","",IF(OR(INDEX('Borrowers'!$AA$9:$AA$108,MATCH(C478,'Borrowers'!$C$9:$C$108,0))&lt;&gt;"Ready",COUNTIF(Sites!$D$9:$D$108,C478)=0,COUNTIFS(Sites!$D$9:$D$108,C478,Sites!$Q$9:$Q$108,"&lt;&gt;Ready")&gt;0,'Scenario Paths'!$F$6&lt;&gt;"Ready"),"Review source inputs","Ready"))</x:f>
      </x:c>
      <x:c r="V478" s="17" t="str">
        <x:f>IF(C478="","",IFERROR(MAX(-1,(G478-O478)/MAX(0.000001,G478)),"Unavailable"))</x:f>
      </x:c>
      <x:c r="W478" s="9" t="str">
        <x:f>IF(C478="","",IFERROR(INDEX('Borrowers'!$D$9:$D$108,MATCH(C478,'Borrowers'!$C$9:$C$108,0)),"Unavailable"))</x:f>
      </x:c>
    </x:row>
    <x:row r="479" ht="26" customHeight="1">
      <x:c r="A479" s="1"/>
      <x:c r="B479" s="1"/>
      <x:c r="C479" s="9" t="str">
        <x:f>IF(Borrowers!C79="","",Borrowers!C79)</x:f>
      </x:c>
      <x:c r="D479" s="3" t="n">
        <x:v>5</x:v>
      </x:c>
      <x:c r="E479" s="9" t="n">
        <x:f>Settings!$F$18+4</x:f>
        <x:v>2031</x:v>
      </x:c>
      <x:c r="F479" s="9" t="str">
        <x:f>IF(C479="","",INDEX('Borrowers'!$F$9:$F$108,MATCH(C479,'Borrowers'!$C$9:$C$108,0)))</x:f>
      </x:c>
      <x:c r="G479" s="23" t="str">
        <x:f>IF(C479="","",IFERROR(INDEX('Borrowers'!$J$9:$J$108,MATCH(C479,'Borrowers'!$C$9:$C$108,0))-INDEX('Borrowers'!$K$9:$K$108,MATCH(C479,'Borrowers'!$C$9:$C$108,0)),"Unavailable"))</x:f>
      </x:c>
      <x:c r="H479" s="23" t="str">
        <x:f>IF(C479="","",IFERROR(INDEX('Borrowers'!$I$9:$I$108,MATCH(C479,'Borrowers'!$C$9:$C$108,0))*INDEX('Borrowers'!$U$9:$U$108,MATCH(C479,'Borrowers'!$C$9:$C$108,0))*(IF(F479="Transport",'Scenario Paths'!J156,IF(F479="Technology",'Scenario Paths'!J150,IF(F479="Utilities",'Scenario Paths'!J144,IF(F479="Agriculture",'Scenario Paths'!J138,IF(F479="Manufacturing",'Scenario Paths'!J132,IF(F479="Healthcare",'Scenario Paths'!J126,IF(F479="Hospitality",'Scenario Paths'!J120,IF(F479="Property",'Scenario Paths'!J114,IF(F479="Food",'Scenario Paths'!J108,IF(F479="Logistics",'Scenario Paths'!J102,IF(F479="Solar",'Scenario Paths'!J96,IF(F479="Cement",'Scenario Paths'!J90,0))))))))))))),"Unavailable"))</x:f>
      </x:c>
      <x:c r="I479" s="23" t="str">
        <x:f>IF(C479="","",IFERROR(INDEX('Borrowers'!$R$9:$R$108,MATCH(C479,'Borrowers'!$C$9:$C$108,0))*(1-INDEX('Borrowers'!$W$9:$W$108,MATCH(C479,'Borrowers'!$C$9:$C$108,0))*'Scenario Paths'!J39)*'Scenario Paths'!J9/1000000*(1-INDEX('Borrowers'!$T$9:$T$108,MATCH(C479,'Borrowers'!$C$9:$C$108,0))),"Unavailable"))</x:f>
      </x:c>
      <x:c r="J479" s="23" t="str">
        <x:f>IF(C479="","",IFERROR(INDEX('Borrowers'!$I$9:$I$108,MATCH(C479,'Borrowers'!$C$9:$C$108,0))*INDEX('Borrowers'!$S$9:$S$108,MATCH(C479,'Borrowers'!$C$9:$C$108,0))*'Scenario Paths'!J15*(1-INDEX('Borrowers'!$T$9:$T$108,MATCH(C479,'Borrowers'!$C$9:$C$108,0))),"Unavailable"))</x:f>
      </x:c>
      <x:c r="K479" s="23" t="str">
        <x:f>IF(C479="","",IFERROR(INDEX('Borrowers'!$I$9:$I$108,MATCH(C479,'Borrowers'!$C$9:$C$108,0))*INDEX('Borrowers'!$U$9:$U$108,MATCH(C479,'Borrowers'!$C$9:$C$108,0))*'Scenario Paths'!J21*S479,"Unavailable"))</x:f>
      </x:c>
      <x:c r="L479" s="23" t="str">
        <x:f>IF(C479="","",IFERROR(SUMPRODUCT((Sites!$D$9:$D$108=C479)*Sites!$H$9:$H$108*Sites!$J$9:$J$108*Sites!$K$9:$K$108*(1-Sites!$L$9:$L$108)*(1-Sites!$M$9:$M$108))*'Scenario Paths'!J27,"Unavailable"))</x:f>
      </x:c>
      <x:c r="M479" s="23" t="str">
        <x:f>IF(C479="","",IFERROR(INDEX('Borrowers'!$J$9:$J$108,MATCH(C479,'Borrowers'!$C$9:$C$108,0))+H479-SUM(I479:L479),"Unavailable"))</x:f>
      </x:c>
      <x:c r="N479" s="23" t="str">
        <x:f>IF(C479="","",IFERROR(INDEX('Borrowers'!$I$9:$I$108,MATCH(C479,'Borrowers'!$C$9:$C$108,0))*'Scenario Paths'!J33,"Unavailable"))</x:f>
      </x:c>
      <x:c r="O479" s="23" t="str">
        <x:f>IF(C479="","",IFERROR(M479-INDEX('Borrowers'!$K$9:$K$108,MATCH(C479,'Borrowers'!$C$9:$C$108,0))-N479,"Unavailable"))</x:f>
      </x:c>
      <x:c r="P479" s="127" t="str">
        <x:f>IF(C479="","",IFERROR(O479/INDEX('Borrowers'!$L$9:$L$108,MATCH(C479,'Borrowers'!$C$9:$C$108,0)),"Unavailable"))</x:f>
      </x:c>
      <x:c r="Q479" s="30" t="str">
        <x:f>IF(C479="","",IFERROR(IF(INDEX('Borrowers'!$Z$9:$Z$108,MATCH(C479,'Borrowers'!$C$9:$C$108,0))="Yes",1,IF(INDEX('Borrowers'!$P$9:$P$108,MATCH(C479,'Borrowers'!$C$9:$C$108,0))=0,0,MIN(1,INDEX('Borrowers'!$P$9:$P$108,MATCH(C479,'Borrowers'!$C$9:$C$108,0))*EXP(MIN(20,INDEX('Borrowers'!$V$9:$V$108,MATCH(C479,'Borrowers'!$C$9:$C$108,0))*V479))))),"Unavailable"))</x:f>
      </x:c>
      <x:c r="R479" s="30" t="str">
        <x:f>IF(C479="","",IFERROR(MIN(1,INDEX('Borrowers'!$Q$9:$Q$108,MATCH(C479,'Borrowers'!$C$9:$C$108,0))+(1-INDEX('Borrowers'!$Q$9:$Q$108,MATCH(C479,'Borrowers'!$C$9:$C$108,0)))*T479),"Unavailable"))</x:f>
      </x:c>
      <x:c r="S479" s="30" t="str">
        <x:f>IF(C479="","",IFERROR(SUMPRODUCT((Sites!$D$9:$D$108=C479)*Sites!$I$9:$I$108*Sites!$J$9:$J$108*Sites!$K$9:$K$108*(1-Sites!$L$9:$L$108)),"Unavailable"))</x:f>
      </x:c>
      <x:c r="T479" s="30" t="str">
        <x:f>IF(C479="","",IFERROR(MIN(1,(SUMPRODUCT((Sites!$D$9:$D$108=C479)*Sites!$N$9:$N$108*Sites!$J$9:$J$108*Sites!$K$9:$K$108*(1-Sites!$L$9:$L$108)))*'Scenario Paths'!J27),"Unavailable"))</x:f>
      </x:c>
      <x:c r="U479" s="9" t="str">
        <x:f>IF(C479="","",IF(OR(INDEX('Borrowers'!$AA$9:$AA$108,MATCH(C479,'Borrowers'!$C$9:$C$108,0))&lt;&gt;"Ready",COUNTIF(Sites!$D$9:$D$108,C479)=0,COUNTIFS(Sites!$D$9:$D$108,C479,Sites!$Q$9:$Q$108,"&lt;&gt;Ready")&gt;0,'Scenario Paths'!$F$6&lt;&gt;"Ready"),"Review source inputs","Ready"))</x:f>
      </x:c>
      <x:c r="V479" s="17" t="str">
        <x:f>IF(C479="","",IFERROR(MAX(-1,(G479-O479)/MAX(0.000001,G479)),"Unavailable"))</x:f>
      </x:c>
      <x:c r="W479" s="9" t="str">
        <x:f>IF(C479="","",IFERROR(INDEX('Borrowers'!$D$9:$D$108,MATCH(C479,'Borrowers'!$C$9:$C$108,0)),"Unavailable"))</x:f>
      </x:c>
    </x:row>
    <x:row r="480" ht="26" customHeight="1">
      <x:c r="A480" s="1"/>
      <x:c r="B480" s="1"/>
      <x:c r="C480" s="9" t="str">
        <x:f>IF(Borrowers!C80="","",Borrowers!C80)</x:f>
      </x:c>
      <x:c r="D480" s="3" t="n">
        <x:v>5</x:v>
      </x:c>
      <x:c r="E480" s="9" t="n">
        <x:f>Settings!$F$18+4</x:f>
        <x:v>2031</x:v>
      </x:c>
      <x:c r="F480" s="9" t="str">
        <x:f>IF(C480="","",INDEX('Borrowers'!$F$9:$F$108,MATCH(C480,'Borrowers'!$C$9:$C$108,0)))</x:f>
      </x:c>
      <x:c r="G480" s="23" t="str">
        <x:f>IF(C480="","",IFERROR(INDEX('Borrowers'!$J$9:$J$108,MATCH(C480,'Borrowers'!$C$9:$C$108,0))-INDEX('Borrowers'!$K$9:$K$108,MATCH(C480,'Borrowers'!$C$9:$C$108,0)),"Unavailable"))</x:f>
      </x:c>
      <x:c r="H480" s="23" t="str">
        <x:f>IF(C480="","",IFERROR(INDEX('Borrowers'!$I$9:$I$108,MATCH(C480,'Borrowers'!$C$9:$C$108,0))*INDEX('Borrowers'!$U$9:$U$108,MATCH(C480,'Borrowers'!$C$9:$C$108,0))*(IF(F480="Transport",'Scenario Paths'!J156,IF(F480="Technology",'Scenario Paths'!J150,IF(F480="Utilities",'Scenario Paths'!J144,IF(F480="Agriculture",'Scenario Paths'!J138,IF(F480="Manufacturing",'Scenario Paths'!J132,IF(F480="Healthcare",'Scenario Paths'!J126,IF(F480="Hospitality",'Scenario Paths'!J120,IF(F480="Property",'Scenario Paths'!J114,IF(F480="Food",'Scenario Paths'!J108,IF(F480="Logistics",'Scenario Paths'!J102,IF(F480="Solar",'Scenario Paths'!J96,IF(F480="Cement",'Scenario Paths'!J90,0))))))))))))),"Unavailable"))</x:f>
      </x:c>
      <x:c r="I480" s="23" t="str">
        <x:f>IF(C480="","",IFERROR(INDEX('Borrowers'!$R$9:$R$108,MATCH(C480,'Borrowers'!$C$9:$C$108,0))*(1-INDEX('Borrowers'!$W$9:$W$108,MATCH(C480,'Borrowers'!$C$9:$C$108,0))*'Scenario Paths'!J39)*'Scenario Paths'!J9/1000000*(1-INDEX('Borrowers'!$T$9:$T$108,MATCH(C480,'Borrowers'!$C$9:$C$108,0))),"Unavailable"))</x:f>
      </x:c>
      <x:c r="J480" s="23" t="str">
        <x:f>IF(C480="","",IFERROR(INDEX('Borrowers'!$I$9:$I$108,MATCH(C480,'Borrowers'!$C$9:$C$108,0))*INDEX('Borrowers'!$S$9:$S$108,MATCH(C480,'Borrowers'!$C$9:$C$108,0))*'Scenario Paths'!J15*(1-INDEX('Borrowers'!$T$9:$T$108,MATCH(C480,'Borrowers'!$C$9:$C$108,0))),"Unavailable"))</x:f>
      </x:c>
      <x:c r="K480" s="23" t="str">
        <x:f>IF(C480="","",IFERROR(INDEX('Borrowers'!$I$9:$I$108,MATCH(C480,'Borrowers'!$C$9:$C$108,0))*INDEX('Borrowers'!$U$9:$U$108,MATCH(C480,'Borrowers'!$C$9:$C$108,0))*'Scenario Paths'!J21*S480,"Unavailable"))</x:f>
      </x:c>
      <x:c r="L480" s="23" t="str">
        <x:f>IF(C480="","",IFERROR(SUMPRODUCT((Sites!$D$9:$D$108=C480)*Sites!$H$9:$H$108*Sites!$J$9:$J$108*Sites!$K$9:$K$108*(1-Sites!$L$9:$L$108)*(1-Sites!$M$9:$M$108))*'Scenario Paths'!J27,"Unavailable"))</x:f>
      </x:c>
      <x:c r="M480" s="23" t="str">
        <x:f>IF(C480="","",IFERROR(INDEX('Borrowers'!$J$9:$J$108,MATCH(C480,'Borrowers'!$C$9:$C$108,0))+H480-SUM(I480:L480),"Unavailable"))</x:f>
      </x:c>
      <x:c r="N480" s="23" t="str">
        <x:f>IF(C480="","",IFERROR(INDEX('Borrowers'!$I$9:$I$108,MATCH(C480,'Borrowers'!$C$9:$C$108,0))*'Scenario Paths'!J33,"Unavailable"))</x:f>
      </x:c>
      <x:c r="O480" s="23" t="str">
        <x:f>IF(C480="","",IFERROR(M480-INDEX('Borrowers'!$K$9:$K$108,MATCH(C480,'Borrowers'!$C$9:$C$108,0))-N480,"Unavailable"))</x:f>
      </x:c>
      <x:c r="P480" s="127" t="str">
        <x:f>IF(C480="","",IFERROR(O480/INDEX('Borrowers'!$L$9:$L$108,MATCH(C480,'Borrowers'!$C$9:$C$108,0)),"Unavailable"))</x:f>
      </x:c>
      <x:c r="Q480" s="30" t="str">
        <x:f>IF(C480="","",IFERROR(IF(INDEX('Borrowers'!$Z$9:$Z$108,MATCH(C480,'Borrowers'!$C$9:$C$108,0))="Yes",1,IF(INDEX('Borrowers'!$P$9:$P$108,MATCH(C480,'Borrowers'!$C$9:$C$108,0))=0,0,MIN(1,INDEX('Borrowers'!$P$9:$P$108,MATCH(C480,'Borrowers'!$C$9:$C$108,0))*EXP(MIN(20,INDEX('Borrowers'!$V$9:$V$108,MATCH(C480,'Borrowers'!$C$9:$C$108,0))*V480))))),"Unavailable"))</x:f>
      </x:c>
      <x:c r="R480" s="30" t="str">
        <x:f>IF(C480="","",IFERROR(MIN(1,INDEX('Borrowers'!$Q$9:$Q$108,MATCH(C480,'Borrowers'!$C$9:$C$108,0))+(1-INDEX('Borrowers'!$Q$9:$Q$108,MATCH(C480,'Borrowers'!$C$9:$C$108,0)))*T480),"Unavailable"))</x:f>
      </x:c>
      <x:c r="S480" s="30" t="str">
        <x:f>IF(C480="","",IFERROR(SUMPRODUCT((Sites!$D$9:$D$108=C480)*Sites!$I$9:$I$108*Sites!$J$9:$J$108*Sites!$K$9:$K$108*(1-Sites!$L$9:$L$108)),"Unavailable"))</x:f>
      </x:c>
      <x:c r="T480" s="30" t="str">
        <x:f>IF(C480="","",IFERROR(MIN(1,(SUMPRODUCT((Sites!$D$9:$D$108=C480)*Sites!$N$9:$N$108*Sites!$J$9:$J$108*Sites!$K$9:$K$108*(1-Sites!$L$9:$L$108)))*'Scenario Paths'!J27),"Unavailable"))</x:f>
      </x:c>
      <x:c r="U480" s="9" t="str">
        <x:f>IF(C480="","",IF(OR(INDEX('Borrowers'!$AA$9:$AA$108,MATCH(C480,'Borrowers'!$C$9:$C$108,0))&lt;&gt;"Ready",COUNTIF(Sites!$D$9:$D$108,C480)=0,COUNTIFS(Sites!$D$9:$D$108,C480,Sites!$Q$9:$Q$108,"&lt;&gt;Ready")&gt;0,'Scenario Paths'!$F$6&lt;&gt;"Ready"),"Review source inputs","Ready"))</x:f>
      </x:c>
      <x:c r="V480" s="17" t="str">
        <x:f>IF(C480="","",IFERROR(MAX(-1,(G480-O480)/MAX(0.000001,G480)),"Unavailable"))</x:f>
      </x:c>
      <x:c r="W480" s="9" t="str">
        <x:f>IF(C480="","",IFERROR(INDEX('Borrowers'!$D$9:$D$108,MATCH(C480,'Borrowers'!$C$9:$C$108,0)),"Unavailable"))</x:f>
      </x:c>
    </x:row>
    <x:row r="481" ht="26" customHeight="1">
      <x:c r="A481" s="1"/>
      <x:c r="B481" s="1"/>
      <x:c r="C481" s="9" t="str">
        <x:f>IF(Borrowers!C81="","",Borrowers!C81)</x:f>
      </x:c>
      <x:c r="D481" s="3" t="n">
        <x:v>5</x:v>
      </x:c>
      <x:c r="E481" s="9" t="n">
        <x:f>Settings!$F$18+4</x:f>
        <x:v>2031</x:v>
      </x:c>
      <x:c r="F481" s="9" t="str">
        <x:f>IF(C481="","",INDEX('Borrowers'!$F$9:$F$108,MATCH(C481,'Borrowers'!$C$9:$C$108,0)))</x:f>
      </x:c>
      <x:c r="G481" s="23" t="str">
        <x:f>IF(C481="","",IFERROR(INDEX('Borrowers'!$J$9:$J$108,MATCH(C481,'Borrowers'!$C$9:$C$108,0))-INDEX('Borrowers'!$K$9:$K$108,MATCH(C481,'Borrowers'!$C$9:$C$108,0)),"Unavailable"))</x:f>
      </x:c>
      <x:c r="H481" s="23" t="str">
        <x:f>IF(C481="","",IFERROR(INDEX('Borrowers'!$I$9:$I$108,MATCH(C481,'Borrowers'!$C$9:$C$108,0))*INDEX('Borrowers'!$U$9:$U$108,MATCH(C481,'Borrowers'!$C$9:$C$108,0))*(IF(F481="Transport",'Scenario Paths'!J156,IF(F481="Technology",'Scenario Paths'!J150,IF(F481="Utilities",'Scenario Paths'!J144,IF(F481="Agriculture",'Scenario Paths'!J138,IF(F481="Manufacturing",'Scenario Paths'!J132,IF(F481="Healthcare",'Scenario Paths'!J126,IF(F481="Hospitality",'Scenario Paths'!J120,IF(F481="Property",'Scenario Paths'!J114,IF(F481="Food",'Scenario Paths'!J108,IF(F481="Logistics",'Scenario Paths'!J102,IF(F481="Solar",'Scenario Paths'!J96,IF(F481="Cement",'Scenario Paths'!J90,0))))))))))))),"Unavailable"))</x:f>
      </x:c>
      <x:c r="I481" s="23" t="str">
        <x:f>IF(C481="","",IFERROR(INDEX('Borrowers'!$R$9:$R$108,MATCH(C481,'Borrowers'!$C$9:$C$108,0))*(1-INDEX('Borrowers'!$W$9:$W$108,MATCH(C481,'Borrowers'!$C$9:$C$108,0))*'Scenario Paths'!J39)*'Scenario Paths'!J9/1000000*(1-INDEX('Borrowers'!$T$9:$T$108,MATCH(C481,'Borrowers'!$C$9:$C$108,0))),"Unavailable"))</x:f>
      </x:c>
      <x:c r="J481" s="23" t="str">
        <x:f>IF(C481="","",IFERROR(INDEX('Borrowers'!$I$9:$I$108,MATCH(C481,'Borrowers'!$C$9:$C$108,0))*INDEX('Borrowers'!$S$9:$S$108,MATCH(C481,'Borrowers'!$C$9:$C$108,0))*'Scenario Paths'!J15*(1-INDEX('Borrowers'!$T$9:$T$108,MATCH(C481,'Borrowers'!$C$9:$C$108,0))),"Unavailable"))</x:f>
      </x:c>
      <x:c r="K481" s="23" t="str">
        <x:f>IF(C481="","",IFERROR(INDEX('Borrowers'!$I$9:$I$108,MATCH(C481,'Borrowers'!$C$9:$C$108,0))*INDEX('Borrowers'!$U$9:$U$108,MATCH(C481,'Borrowers'!$C$9:$C$108,0))*'Scenario Paths'!J21*S481,"Unavailable"))</x:f>
      </x:c>
      <x:c r="L481" s="23" t="str">
        <x:f>IF(C481="","",IFERROR(SUMPRODUCT((Sites!$D$9:$D$108=C481)*Sites!$H$9:$H$108*Sites!$J$9:$J$108*Sites!$K$9:$K$108*(1-Sites!$L$9:$L$108)*(1-Sites!$M$9:$M$108))*'Scenario Paths'!J27,"Unavailable"))</x:f>
      </x:c>
      <x:c r="M481" s="23" t="str">
        <x:f>IF(C481="","",IFERROR(INDEX('Borrowers'!$J$9:$J$108,MATCH(C481,'Borrowers'!$C$9:$C$108,0))+H481-SUM(I481:L481),"Unavailable"))</x:f>
      </x:c>
      <x:c r="N481" s="23" t="str">
        <x:f>IF(C481="","",IFERROR(INDEX('Borrowers'!$I$9:$I$108,MATCH(C481,'Borrowers'!$C$9:$C$108,0))*'Scenario Paths'!J33,"Unavailable"))</x:f>
      </x:c>
      <x:c r="O481" s="23" t="str">
        <x:f>IF(C481="","",IFERROR(M481-INDEX('Borrowers'!$K$9:$K$108,MATCH(C481,'Borrowers'!$C$9:$C$108,0))-N481,"Unavailable"))</x:f>
      </x:c>
      <x:c r="P481" s="127" t="str">
        <x:f>IF(C481="","",IFERROR(O481/INDEX('Borrowers'!$L$9:$L$108,MATCH(C481,'Borrowers'!$C$9:$C$108,0)),"Unavailable"))</x:f>
      </x:c>
      <x:c r="Q481" s="30" t="str">
        <x:f>IF(C481="","",IFERROR(IF(INDEX('Borrowers'!$Z$9:$Z$108,MATCH(C481,'Borrowers'!$C$9:$C$108,0))="Yes",1,IF(INDEX('Borrowers'!$P$9:$P$108,MATCH(C481,'Borrowers'!$C$9:$C$108,0))=0,0,MIN(1,INDEX('Borrowers'!$P$9:$P$108,MATCH(C481,'Borrowers'!$C$9:$C$108,0))*EXP(MIN(20,INDEX('Borrowers'!$V$9:$V$108,MATCH(C481,'Borrowers'!$C$9:$C$108,0))*V481))))),"Unavailable"))</x:f>
      </x:c>
      <x:c r="R481" s="30" t="str">
        <x:f>IF(C481="","",IFERROR(MIN(1,INDEX('Borrowers'!$Q$9:$Q$108,MATCH(C481,'Borrowers'!$C$9:$C$108,0))+(1-INDEX('Borrowers'!$Q$9:$Q$108,MATCH(C481,'Borrowers'!$C$9:$C$108,0)))*T481),"Unavailable"))</x:f>
      </x:c>
      <x:c r="S481" s="30" t="str">
        <x:f>IF(C481="","",IFERROR(SUMPRODUCT((Sites!$D$9:$D$108=C481)*Sites!$I$9:$I$108*Sites!$J$9:$J$108*Sites!$K$9:$K$108*(1-Sites!$L$9:$L$108)),"Unavailable"))</x:f>
      </x:c>
      <x:c r="T481" s="30" t="str">
        <x:f>IF(C481="","",IFERROR(MIN(1,(SUMPRODUCT((Sites!$D$9:$D$108=C481)*Sites!$N$9:$N$108*Sites!$J$9:$J$108*Sites!$K$9:$K$108*(1-Sites!$L$9:$L$108)))*'Scenario Paths'!J27),"Unavailable"))</x:f>
      </x:c>
      <x:c r="U481" s="9" t="str">
        <x:f>IF(C481="","",IF(OR(INDEX('Borrowers'!$AA$9:$AA$108,MATCH(C481,'Borrowers'!$C$9:$C$108,0))&lt;&gt;"Ready",COUNTIF(Sites!$D$9:$D$108,C481)=0,COUNTIFS(Sites!$D$9:$D$108,C481,Sites!$Q$9:$Q$108,"&lt;&gt;Ready")&gt;0,'Scenario Paths'!$F$6&lt;&gt;"Ready"),"Review source inputs","Ready"))</x:f>
      </x:c>
      <x:c r="V481" s="17" t="str">
        <x:f>IF(C481="","",IFERROR(MAX(-1,(G481-O481)/MAX(0.000001,G481)),"Unavailable"))</x:f>
      </x:c>
      <x:c r="W481" s="9" t="str">
        <x:f>IF(C481="","",IFERROR(INDEX('Borrowers'!$D$9:$D$108,MATCH(C481,'Borrowers'!$C$9:$C$108,0)),"Unavailable"))</x:f>
      </x:c>
    </x:row>
    <x:row r="482" ht="26" customHeight="1">
      <x:c r="A482" s="1"/>
      <x:c r="B482" s="1"/>
      <x:c r="C482" s="9" t="str">
        <x:f>IF(Borrowers!C82="","",Borrowers!C82)</x:f>
      </x:c>
      <x:c r="D482" s="3" t="n">
        <x:v>5</x:v>
      </x:c>
      <x:c r="E482" s="9" t="n">
        <x:f>Settings!$F$18+4</x:f>
        <x:v>2031</x:v>
      </x:c>
      <x:c r="F482" s="9" t="str">
        <x:f>IF(C482="","",INDEX('Borrowers'!$F$9:$F$108,MATCH(C482,'Borrowers'!$C$9:$C$108,0)))</x:f>
      </x:c>
      <x:c r="G482" s="23" t="str">
        <x:f>IF(C482="","",IFERROR(INDEX('Borrowers'!$J$9:$J$108,MATCH(C482,'Borrowers'!$C$9:$C$108,0))-INDEX('Borrowers'!$K$9:$K$108,MATCH(C482,'Borrowers'!$C$9:$C$108,0)),"Unavailable"))</x:f>
      </x:c>
      <x:c r="H482" s="23" t="str">
        <x:f>IF(C482="","",IFERROR(INDEX('Borrowers'!$I$9:$I$108,MATCH(C482,'Borrowers'!$C$9:$C$108,0))*INDEX('Borrowers'!$U$9:$U$108,MATCH(C482,'Borrowers'!$C$9:$C$108,0))*(IF(F482="Transport",'Scenario Paths'!J156,IF(F482="Technology",'Scenario Paths'!J150,IF(F482="Utilities",'Scenario Paths'!J144,IF(F482="Agriculture",'Scenario Paths'!J138,IF(F482="Manufacturing",'Scenario Paths'!J132,IF(F482="Healthcare",'Scenario Paths'!J126,IF(F482="Hospitality",'Scenario Paths'!J120,IF(F482="Property",'Scenario Paths'!J114,IF(F482="Food",'Scenario Paths'!J108,IF(F482="Logistics",'Scenario Paths'!J102,IF(F482="Solar",'Scenario Paths'!J96,IF(F482="Cement",'Scenario Paths'!J90,0))))))))))))),"Unavailable"))</x:f>
      </x:c>
      <x:c r="I482" s="23" t="str">
        <x:f>IF(C482="","",IFERROR(INDEX('Borrowers'!$R$9:$R$108,MATCH(C482,'Borrowers'!$C$9:$C$108,0))*(1-INDEX('Borrowers'!$W$9:$W$108,MATCH(C482,'Borrowers'!$C$9:$C$108,0))*'Scenario Paths'!J39)*'Scenario Paths'!J9/1000000*(1-INDEX('Borrowers'!$T$9:$T$108,MATCH(C482,'Borrowers'!$C$9:$C$108,0))),"Unavailable"))</x:f>
      </x:c>
      <x:c r="J482" s="23" t="str">
        <x:f>IF(C482="","",IFERROR(INDEX('Borrowers'!$I$9:$I$108,MATCH(C482,'Borrowers'!$C$9:$C$108,0))*INDEX('Borrowers'!$S$9:$S$108,MATCH(C482,'Borrowers'!$C$9:$C$108,0))*'Scenario Paths'!J15*(1-INDEX('Borrowers'!$T$9:$T$108,MATCH(C482,'Borrowers'!$C$9:$C$108,0))),"Unavailable"))</x:f>
      </x:c>
      <x:c r="K482" s="23" t="str">
        <x:f>IF(C482="","",IFERROR(INDEX('Borrowers'!$I$9:$I$108,MATCH(C482,'Borrowers'!$C$9:$C$108,0))*INDEX('Borrowers'!$U$9:$U$108,MATCH(C482,'Borrowers'!$C$9:$C$108,0))*'Scenario Paths'!J21*S482,"Unavailable"))</x:f>
      </x:c>
      <x:c r="L482" s="23" t="str">
        <x:f>IF(C482="","",IFERROR(SUMPRODUCT((Sites!$D$9:$D$108=C482)*Sites!$H$9:$H$108*Sites!$J$9:$J$108*Sites!$K$9:$K$108*(1-Sites!$L$9:$L$108)*(1-Sites!$M$9:$M$108))*'Scenario Paths'!J27,"Unavailable"))</x:f>
      </x:c>
      <x:c r="M482" s="23" t="str">
        <x:f>IF(C482="","",IFERROR(INDEX('Borrowers'!$J$9:$J$108,MATCH(C482,'Borrowers'!$C$9:$C$108,0))+H482-SUM(I482:L482),"Unavailable"))</x:f>
      </x:c>
      <x:c r="N482" s="23" t="str">
        <x:f>IF(C482="","",IFERROR(INDEX('Borrowers'!$I$9:$I$108,MATCH(C482,'Borrowers'!$C$9:$C$108,0))*'Scenario Paths'!J33,"Unavailable"))</x:f>
      </x:c>
      <x:c r="O482" s="23" t="str">
        <x:f>IF(C482="","",IFERROR(M482-INDEX('Borrowers'!$K$9:$K$108,MATCH(C482,'Borrowers'!$C$9:$C$108,0))-N482,"Unavailable"))</x:f>
      </x:c>
      <x:c r="P482" s="127" t="str">
        <x:f>IF(C482="","",IFERROR(O482/INDEX('Borrowers'!$L$9:$L$108,MATCH(C482,'Borrowers'!$C$9:$C$108,0)),"Unavailable"))</x:f>
      </x:c>
      <x:c r="Q482" s="30" t="str">
        <x:f>IF(C482="","",IFERROR(IF(INDEX('Borrowers'!$Z$9:$Z$108,MATCH(C482,'Borrowers'!$C$9:$C$108,0))="Yes",1,IF(INDEX('Borrowers'!$P$9:$P$108,MATCH(C482,'Borrowers'!$C$9:$C$108,0))=0,0,MIN(1,INDEX('Borrowers'!$P$9:$P$108,MATCH(C482,'Borrowers'!$C$9:$C$108,0))*EXP(MIN(20,INDEX('Borrowers'!$V$9:$V$108,MATCH(C482,'Borrowers'!$C$9:$C$108,0))*V482))))),"Unavailable"))</x:f>
      </x:c>
      <x:c r="R482" s="30" t="str">
        <x:f>IF(C482="","",IFERROR(MIN(1,INDEX('Borrowers'!$Q$9:$Q$108,MATCH(C482,'Borrowers'!$C$9:$C$108,0))+(1-INDEX('Borrowers'!$Q$9:$Q$108,MATCH(C482,'Borrowers'!$C$9:$C$108,0)))*T482),"Unavailable"))</x:f>
      </x:c>
      <x:c r="S482" s="30" t="str">
        <x:f>IF(C482="","",IFERROR(SUMPRODUCT((Sites!$D$9:$D$108=C482)*Sites!$I$9:$I$108*Sites!$J$9:$J$108*Sites!$K$9:$K$108*(1-Sites!$L$9:$L$108)),"Unavailable"))</x:f>
      </x:c>
      <x:c r="T482" s="30" t="str">
        <x:f>IF(C482="","",IFERROR(MIN(1,(SUMPRODUCT((Sites!$D$9:$D$108=C482)*Sites!$N$9:$N$108*Sites!$J$9:$J$108*Sites!$K$9:$K$108*(1-Sites!$L$9:$L$108)))*'Scenario Paths'!J27),"Unavailable"))</x:f>
      </x:c>
      <x:c r="U482" s="9" t="str">
        <x:f>IF(C482="","",IF(OR(INDEX('Borrowers'!$AA$9:$AA$108,MATCH(C482,'Borrowers'!$C$9:$C$108,0))&lt;&gt;"Ready",COUNTIF(Sites!$D$9:$D$108,C482)=0,COUNTIFS(Sites!$D$9:$D$108,C482,Sites!$Q$9:$Q$108,"&lt;&gt;Ready")&gt;0,'Scenario Paths'!$F$6&lt;&gt;"Ready"),"Review source inputs","Ready"))</x:f>
      </x:c>
      <x:c r="V482" s="17" t="str">
        <x:f>IF(C482="","",IFERROR(MAX(-1,(G482-O482)/MAX(0.000001,G482)),"Unavailable"))</x:f>
      </x:c>
      <x:c r="W482" s="9" t="str">
        <x:f>IF(C482="","",IFERROR(INDEX('Borrowers'!$D$9:$D$108,MATCH(C482,'Borrowers'!$C$9:$C$108,0)),"Unavailable"))</x:f>
      </x:c>
    </x:row>
    <x:row r="483" ht="26" customHeight="1">
      <x:c r="A483" s="1"/>
      <x:c r="B483" s="1"/>
      <x:c r="C483" s="9" t="str">
        <x:f>IF(Borrowers!C83="","",Borrowers!C83)</x:f>
      </x:c>
      <x:c r="D483" s="3" t="n">
        <x:v>5</x:v>
      </x:c>
      <x:c r="E483" s="9" t="n">
        <x:f>Settings!$F$18+4</x:f>
        <x:v>2031</x:v>
      </x:c>
      <x:c r="F483" s="9" t="str">
        <x:f>IF(C483="","",INDEX('Borrowers'!$F$9:$F$108,MATCH(C483,'Borrowers'!$C$9:$C$108,0)))</x:f>
      </x:c>
      <x:c r="G483" s="23" t="str">
        <x:f>IF(C483="","",IFERROR(INDEX('Borrowers'!$J$9:$J$108,MATCH(C483,'Borrowers'!$C$9:$C$108,0))-INDEX('Borrowers'!$K$9:$K$108,MATCH(C483,'Borrowers'!$C$9:$C$108,0)),"Unavailable"))</x:f>
      </x:c>
      <x:c r="H483" s="23" t="str">
        <x:f>IF(C483="","",IFERROR(INDEX('Borrowers'!$I$9:$I$108,MATCH(C483,'Borrowers'!$C$9:$C$108,0))*INDEX('Borrowers'!$U$9:$U$108,MATCH(C483,'Borrowers'!$C$9:$C$108,0))*(IF(F483="Transport",'Scenario Paths'!J156,IF(F483="Technology",'Scenario Paths'!J150,IF(F483="Utilities",'Scenario Paths'!J144,IF(F483="Agriculture",'Scenario Paths'!J138,IF(F483="Manufacturing",'Scenario Paths'!J132,IF(F483="Healthcare",'Scenario Paths'!J126,IF(F483="Hospitality",'Scenario Paths'!J120,IF(F483="Property",'Scenario Paths'!J114,IF(F483="Food",'Scenario Paths'!J108,IF(F483="Logistics",'Scenario Paths'!J102,IF(F483="Solar",'Scenario Paths'!J96,IF(F483="Cement",'Scenario Paths'!J90,0))))))))))))),"Unavailable"))</x:f>
      </x:c>
      <x:c r="I483" s="23" t="str">
        <x:f>IF(C483="","",IFERROR(INDEX('Borrowers'!$R$9:$R$108,MATCH(C483,'Borrowers'!$C$9:$C$108,0))*(1-INDEX('Borrowers'!$W$9:$W$108,MATCH(C483,'Borrowers'!$C$9:$C$108,0))*'Scenario Paths'!J39)*'Scenario Paths'!J9/1000000*(1-INDEX('Borrowers'!$T$9:$T$108,MATCH(C483,'Borrowers'!$C$9:$C$108,0))),"Unavailable"))</x:f>
      </x:c>
      <x:c r="J483" s="23" t="str">
        <x:f>IF(C483="","",IFERROR(INDEX('Borrowers'!$I$9:$I$108,MATCH(C483,'Borrowers'!$C$9:$C$108,0))*INDEX('Borrowers'!$S$9:$S$108,MATCH(C483,'Borrowers'!$C$9:$C$108,0))*'Scenario Paths'!J15*(1-INDEX('Borrowers'!$T$9:$T$108,MATCH(C483,'Borrowers'!$C$9:$C$108,0))),"Unavailable"))</x:f>
      </x:c>
      <x:c r="K483" s="23" t="str">
        <x:f>IF(C483="","",IFERROR(INDEX('Borrowers'!$I$9:$I$108,MATCH(C483,'Borrowers'!$C$9:$C$108,0))*INDEX('Borrowers'!$U$9:$U$108,MATCH(C483,'Borrowers'!$C$9:$C$108,0))*'Scenario Paths'!J21*S483,"Unavailable"))</x:f>
      </x:c>
      <x:c r="L483" s="23" t="str">
        <x:f>IF(C483="","",IFERROR(SUMPRODUCT((Sites!$D$9:$D$108=C483)*Sites!$H$9:$H$108*Sites!$J$9:$J$108*Sites!$K$9:$K$108*(1-Sites!$L$9:$L$108)*(1-Sites!$M$9:$M$108))*'Scenario Paths'!J27,"Unavailable"))</x:f>
      </x:c>
      <x:c r="M483" s="23" t="str">
        <x:f>IF(C483="","",IFERROR(INDEX('Borrowers'!$J$9:$J$108,MATCH(C483,'Borrowers'!$C$9:$C$108,0))+H483-SUM(I483:L483),"Unavailable"))</x:f>
      </x:c>
      <x:c r="N483" s="23" t="str">
        <x:f>IF(C483="","",IFERROR(INDEX('Borrowers'!$I$9:$I$108,MATCH(C483,'Borrowers'!$C$9:$C$108,0))*'Scenario Paths'!J33,"Unavailable"))</x:f>
      </x:c>
      <x:c r="O483" s="23" t="str">
        <x:f>IF(C483="","",IFERROR(M483-INDEX('Borrowers'!$K$9:$K$108,MATCH(C483,'Borrowers'!$C$9:$C$108,0))-N483,"Unavailable"))</x:f>
      </x:c>
      <x:c r="P483" s="127" t="str">
        <x:f>IF(C483="","",IFERROR(O483/INDEX('Borrowers'!$L$9:$L$108,MATCH(C483,'Borrowers'!$C$9:$C$108,0)),"Unavailable"))</x:f>
      </x:c>
      <x:c r="Q483" s="30" t="str">
        <x:f>IF(C483="","",IFERROR(IF(INDEX('Borrowers'!$Z$9:$Z$108,MATCH(C483,'Borrowers'!$C$9:$C$108,0))="Yes",1,IF(INDEX('Borrowers'!$P$9:$P$108,MATCH(C483,'Borrowers'!$C$9:$C$108,0))=0,0,MIN(1,INDEX('Borrowers'!$P$9:$P$108,MATCH(C483,'Borrowers'!$C$9:$C$108,0))*EXP(MIN(20,INDEX('Borrowers'!$V$9:$V$108,MATCH(C483,'Borrowers'!$C$9:$C$108,0))*V483))))),"Unavailable"))</x:f>
      </x:c>
      <x:c r="R483" s="30" t="str">
        <x:f>IF(C483="","",IFERROR(MIN(1,INDEX('Borrowers'!$Q$9:$Q$108,MATCH(C483,'Borrowers'!$C$9:$C$108,0))+(1-INDEX('Borrowers'!$Q$9:$Q$108,MATCH(C483,'Borrowers'!$C$9:$C$108,0)))*T483),"Unavailable"))</x:f>
      </x:c>
      <x:c r="S483" s="30" t="str">
        <x:f>IF(C483="","",IFERROR(SUMPRODUCT((Sites!$D$9:$D$108=C483)*Sites!$I$9:$I$108*Sites!$J$9:$J$108*Sites!$K$9:$K$108*(1-Sites!$L$9:$L$108)),"Unavailable"))</x:f>
      </x:c>
      <x:c r="T483" s="30" t="str">
        <x:f>IF(C483="","",IFERROR(MIN(1,(SUMPRODUCT((Sites!$D$9:$D$108=C483)*Sites!$N$9:$N$108*Sites!$J$9:$J$108*Sites!$K$9:$K$108*(1-Sites!$L$9:$L$108)))*'Scenario Paths'!J27),"Unavailable"))</x:f>
      </x:c>
      <x:c r="U483" s="9" t="str">
        <x:f>IF(C483="","",IF(OR(INDEX('Borrowers'!$AA$9:$AA$108,MATCH(C483,'Borrowers'!$C$9:$C$108,0))&lt;&gt;"Ready",COUNTIF(Sites!$D$9:$D$108,C483)=0,COUNTIFS(Sites!$D$9:$D$108,C483,Sites!$Q$9:$Q$108,"&lt;&gt;Ready")&gt;0,'Scenario Paths'!$F$6&lt;&gt;"Ready"),"Review source inputs","Ready"))</x:f>
      </x:c>
      <x:c r="V483" s="17" t="str">
        <x:f>IF(C483="","",IFERROR(MAX(-1,(G483-O483)/MAX(0.000001,G483)),"Unavailable"))</x:f>
      </x:c>
      <x:c r="W483" s="9" t="str">
        <x:f>IF(C483="","",IFERROR(INDEX('Borrowers'!$D$9:$D$108,MATCH(C483,'Borrowers'!$C$9:$C$108,0)),"Unavailable"))</x:f>
      </x:c>
    </x:row>
    <x:row r="484" ht="26" customHeight="1">
      <x:c r="A484" s="1"/>
      <x:c r="B484" s="1"/>
      <x:c r="C484" s="9" t="str">
        <x:f>IF(Borrowers!C84="","",Borrowers!C84)</x:f>
      </x:c>
      <x:c r="D484" s="3" t="n">
        <x:v>5</x:v>
      </x:c>
      <x:c r="E484" s="9" t="n">
        <x:f>Settings!$F$18+4</x:f>
        <x:v>2031</x:v>
      </x:c>
      <x:c r="F484" s="9" t="str">
        <x:f>IF(C484="","",INDEX('Borrowers'!$F$9:$F$108,MATCH(C484,'Borrowers'!$C$9:$C$108,0)))</x:f>
      </x:c>
      <x:c r="G484" s="23" t="str">
        <x:f>IF(C484="","",IFERROR(INDEX('Borrowers'!$J$9:$J$108,MATCH(C484,'Borrowers'!$C$9:$C$108,0))-INDEX('Borrowers'!$K$9:$K$108,MATCH(C484,'Borrowers'!$C$9:$C$108,0)),"Unavailable"))</x:f>
      </x:c>
      <x:c r="H484" s="23" t="str">
        <x:f>IF(C484="","",IFERROR(INDEX('Borrowers'!$I$9:$I$108,MATCH(C484,'Borrowers'!$C$9:$C$108,0))*INDEX('Borrowers'!$U$9:$U$108,MATCH(C484,'Borrowers'!$C$9:$C$108,0))*(IF(F484="Transport",'Scenario Paths'!J156,IF(F484="Technology",'Scenario Paths'!J150,IF(F484="Utilities",'Scenario Paths'!J144,IF(F484="Agriculture",'Scenario Paths'!J138,IF(F484="Manufacturing",'Scenario Paths'!J132,IF(F484="Healthcare",'Scenario Paths'!J126,IF(F484="Hospitality",'Scenario Paths'!J120,IF(F484="Property",'Scenario Paths'!J114,IF(F484="Food",'Scenario Paths'!J108,IF(F484="Logistics",'Scenario Paths'!J102,IF(F484="Solar",'Scenario Paths'!J96,IF(F484="Cement",'Scenario Paths'!J90,0))))))))))))),"Unavailable"))</x:f>
      </x:c>
      <x:c r="I484" s="23" t="str">
        <x:f>IF(C484="","",IFERROR(INDEX('Borrowers'!$R$9:$R$108,MATCH(C484,'Borrowers'!$C$9:$C$108,0))*(1-INDEX('Borrowers'!$W$9:$W$108,MATCH(C484,'Borrowers'!$C$9:$C$108,0))*'Scenario Paths'!J39)*'Scenario Paths'!J9/1000000*(1-INDEX('Borrowers'!$T$9:$T$108,MATCH(C484,'Borrowers'!$C$9:$C$108,0))),"Unavailable"))</x:f>
      </x:c>
      <x:c r="J484" s="23" t="str">
        <x:f>IF(C484="","",IFERROR(INDEX('Borrowers'!$I$9:$I$108,MATCH(C484,'Borrowers'!$C$9:$C$108,0))*INDEX('Borrowers'!$S$9:$S$108,MATCH(C484,'Borrowers'!$C$9:$C$108,0))*'Scenario Paths'!J15*(1-INDEX('Borrowers'!$T$9:$T$108,MATCH(C484,'Borrowers'!$C$9:$C$108,0))),"Unavailable"))</x:f>
      </x:c>
      <x:c r="K484" s="23" t="str">
        <x:f>IF(C484="","",IFERROR(INDEX('Borrowers'!$I$9:$I$108,MATCH(C484,'Borrowers'!$C$9:$C$108,0))*INDEX('Borrowers'!$U$9:$U$108,MATCH(C484,'Borrowers'!$C$9:$C$108,0))*'Scenario Paths'!J21*S484,"Unavailable"))</x:f>
      </x:c>
      <x:c r="L484" s="23" t="str">
        <x:f>IF(C484="","",IFERROR(SUMPRODUCT((Sites!$D$9:$D$108=C484)*Sites!$H$9:$H$108*Sites!$J$9:$J$108*Sites!$K$9:$K$108*(1-Sites!$L$9:$L$108)*(1-Sites!$M$9:$M$108))*'Scenario Paths'!J27,"Unavailable"))</x:f>
      </x:c>
      <x:c r="M484" s="23" t="str">
        <x:f>IF(C484="","",IFERROR(INDEX('Borrowers'!$J$9:$J$108,MATCH(C484,'Borrowers'!$C$9:$C$108,0))+H484-SUM(I484:L484),"Unavailable"))</x:f>
      </x:c>
      <x:c r="N484" s="23" t="str">
        <x:f>IF(C484="","",IFERROR(INDEX('Borrowers'!$I$9:$I$108,MATCH(C484,'Borrowers'!$C$9:$C$108,0))*'Scenario Paths'!J33,"Unavailable"))</x:f>
      </x:c>
      <x:c r="O484" s="23" t="str">
        <x:f>IF(C484="","",IFERROR(M484-INDEX('Borrowers'!$K$9:$K$108,MATCH(C484,'Borrowers'!$C$9:$C$108,0))-N484,"Unavailable"))</x:f>
      </x:c>
      <x:c r="P484" s="127" t="str">
        <x:f>IF(C484="","",IFERROR(O484/INDEX('Borrowers'!$L$9:$L$108,MATCH(C484,'Borrowers'!$C$9:$C$108,0)),"Unavailable"))</x:f>
      </x:c>
      <x:c r="Q484" s="30" t="str">
        <x:f>IF(C484="","",IFERROR(IF(INDEX('Borrowers'!$Z$9:$Z$108,MATCH(C484,'Borrowers'!$C$9:$C$108,0))="Yes",1,IF(INDEX('Borrowers'!$P$9:$P$108,MATCH(C484,'Borrowers'!$C$9:$C$108,0))=0,0,MIN(1,INDEX('Borrowers'!$P$9:$P$108,MATCH(C484,'Borrowers'!$C$9:$C$108,0))*EXP(MIN(20,INDEX('Borrowers'!$V$9:$V$108,MATCH(C484,'Borrowers'!$C$9:$C$108,0))*V484))))),"Unavailable"))</x:f>
      </x:c>
      <x:c r="R484" s="30" t="str">
        <x:f>IF(C484="","",IFERROR(MIN(1,INDEX('Borrowers'!$Q$9:$Q$108,MATCH(C484,'Borrowers'!$C$9:$C$108,0))+(1-INDEX('Borrowers'!$Q$9:$Q$108,MATCH(C484,'Borrowers'!$C$9:$C$108,0)))*T484),"Unavailable"))</x:f>
      </x:c>
      <x:c r="S484" s="30" t="str">
        <x:f>IF(C484="","",IFERROR(SUMPRODUCT((Sites!$D$9:$D$108=C484)*Sites!$I$9:$I$108*Sites!$J$9:$J$108*Sites!$K$9:$K$108*(1-Sites!$L$9:$L$108)),"Unavailable"))</x:f>
      </x:c>
      <x:c r="T484" s="30" t="str">
        <x:f>IF(C484="","",IFERROR(MIN(1,(SUMPRODUCT((Sites!$D$9:$D$108=C484)*Sites!$N$9:$N$108*Sites!$J$9:$J$108*Sites!$K$9:$K$108*(1-Sites!$L$9:$L$108)))*'Scenario Paths'!J27),"Unavailable"))</x:f>
      </x:c>
      <x:c r="U484" s="9" t="str">
        <x:f>IF(C484="","",IF(OR(INDEX('Borrowers'!$AA$9:$AA$108,MATCH(C484,'Borrowers'!$C$9:$C$108,0))&lt;&gt;"Ready",COUNTIF(Sites!$D$9:$D$108,C484)=0,COUNTIFS(Sites!$D$9:$D$108,C484,Sites!$Q$9:$Q$108,"&lt;&gt;Ready")&gt;0,'Scenario Paths'!$F$6&lt;&gt;"Ready"),"Review source inputs","Ready"))</x:f>
      </x:c>
      <x:c r="V484" s="17" t="str">
        <x:f>IF(C484="","",IFERROR(MAX(-1,(G484-O484)/MAX(0.000001,G484)),"Unavailable"))</x:f>
      </x:c>
      <x:c r="W484" s="9" t="str">
        <x:f>IF(C484="","",IFERROR(INDEX('Borrowers'!$D$9:$D$108,MATCH(C484,'Borrowers'!$C$9:$C$108,0)),"Unavailable"))</x:f>
      </x:c>
    </x:row>
    <x:row r="485" ht="26" customHeight="1">
      <x:c r="A485" s="1"/>
      <x:c r="B485" s="1"/>
      <x:c r="C485" s="9" t="str">
        <x:f>IF(Borrowers!C85="","",Borrowers!C85)</x:f>
      </x:c>
      <x:c r="D485" s="3" t="n">
        <x:v>5</x:v>
      </x:c>
      <x:c r="E485" s="9" t="n">
        <x:f>Settings!$F$18+4</x:f>
        <x:v>2031</x:v>
      </x:c>
      <x:c r="F485" s="9" t="str">
        <x:f>IF(C485="","",INDEX('Borrowers'!$F$9:$F$108,MATCH(C485,'Borrowers'!$C$9:$C$108,0)))</x:f>
      </x:c>
      <x:c r="G485" s="23" t="str">
        <x:f>IF(C485="","",IFERROR(INDEX('Borrowers'!$J$9:$J$108,MATCH(C485,'Borrowers'!$C$9:$C$108,0))-INDEX('Borrowers'!$K$9:$K$108,MATCH(C485,'Borrowers'!$C$9:$C$108,0)),"Unavailable"))</x:f>
      </x:c>
      <x:c r="H485" s="23" t="str">
        <x:f>IF(C485="","",IFERROR(INDEX('Borrowers'!$I$9:$I$108,MATCH(C485,'Borrowers'!$C$9:$C$108,0))*INDEX('Borrowers'!$U$9:$U$108,MATCH(C485,'Borrowers'!$C$9:$C$108,0))*(IF(F485="Transport",'Scenario Paths'!J156,IF(F485="Technology",'Scenario Paths'!J150,IF(F485="Utilities",'Scenario Paths'!J144,IF(F485="Agriculture",'Scenario Paths'!J138,IF(F485="Manufacturing",'Scenario Paths'!J132,IF(F485="Healthcare",'Scenario Paths'!J126,IF(F485="Hospitality",'Scenario Paths'!J120,IF(F485="Property",'Scenario Paths'!J114,IF(F485="Food",'Scenario Paths'!J108,IF(F485="Logistics",'Scenario Paths'!J102,IF(F485="Solar",'Scenario Paths'!J96,IF(F485="Cement",'Scenario Paths'!J90,0))))))))))))),"Unavailable"))</x:f>
      </x:c>
      <x:c r="I485" s="23" t="str">
        <x:f>IF(C485="","",IFERROR(INDEX('Borrowers'!$R$9:$R$108,MATCH(C485,'Borrowers'!$C$9:$C$108,0))*(1-INDEX('Borrowers'!$W$9:$W$108,MATCH(C485,'Borrowers'!$C$9:$C$108,0))*'Scenario Paths'!J39)*'Scenario Paths'!J9/1000000*(1-INDEX('Borrowers'!$T$9:$T$108,MATCH(C485,'Borrowers'!$C$9:$C$108,0))),"Unavailable"))</x:f>
      </x:c>
      <x:c r="J485" s="23" t="str">
        <x:f>IF(C485="","",IFERROR(INDEX('Borrowers'!$I$9:$I$108,MATCH(C485,'Borrowers'!$C$9:$C$108,0))*INDEX('Borrowers'!$S$9:$S$108,MATCH(C485,'Borrowers'!$C$9:$C$108,0))*'Scenario Paths'!J15*(1-INDEX('Borrowers'!$T$9:$T$108,MATCH(C485,'Borrowers'!$C$9:$C$108,0))),"Unavailable"))</x:f>
      </x:c>
      <x:c r="K485" s="23" t="str">
        <x:f>IF(C485="","",IFERROR(INDEX('Borrowers'!$I$9:$I$108,MATCH(C485,'Borrowers'!$C$9:$C$108,0))*INDEX('Borrowers'!$U$9:$U$108,MATCH(C485,'Borrowers'!$C$9:$C$108,0))*'Scenario Paths'!J21*S485,"Unavailable"))</x:f>
      </x:c>
      <x:c r="L485" s="23" t="str">
        <x:f>IF(C485="","",IFERROR(SUMPRODUCT((Sites!$D$9:$D$108=C485)*Sites!$H$9:$H$108*Sites!$J$9:$J$108*Sites!$K$9:$K$108*(1-Sites!$L$9:$L$108)*(1-Sites!$M$9:$M$108))*'Scenario Paths'!J27,"Unavailable"))</x:f>
      </x:c>
      <x:c r="M485" s="23" t="str">
        <x:f>IF(C485="","",IFERROR(INDEX('Borrowers'!$J$9:$J$108,MATCH(C485,'Borrowers'!$C$9:$C$108,0))+H485-SUM(I485:L485),"Unavailable"))</x:f>
      </x:c>
      <x:c r="N485" s="23" t="str">
        <x:f>IF(C485="","",IFERROR(INDEX('Borrowers'!$I$9:$I$108,MATCH(C485,'Borrowers'!$C$9:$C$108,0))*'Scenario Paths'!J33,"Unavailable"))</x:f>
      </x:c>
      <x:c r="O485" s="23" t="str">
        <x:f>IF(C485="","",IFERROR(M485-INDEX('Borrowers'!$K$9:$K$108,MATCH(C485,'Borrowers'!$C$9:$C$108,0))-N485,"Unavailable"))</x:f>
      </x:c>
      <x:c r="P485" s="127" t="str">
        <x:f>IF(C485="","",IFERROR(O485/INDEX('Borrowers'!$L$9:$L$108,MATCH(C485,'Borrowers'!$C$9:$C$108,0)),"Unavailable"))</x:f>
      </x:c>
      <x:c r="Q485" s="30" t="str">
        <x:f>IF(C485="","",IFERROR(IF(INDEX('Borrowers'!$Z$9:$Z$108,MATCH(C485,'Borrowers'!$C$9:$C$108,0))="Yes",1,IF(INDEX('Borrowers'!$P$9:$P$108,MATCH(C485,'Borrowers'!$C$9:$C$108,0))=0,0,MIN(1,INDEX('Borrowers'!$P$9:$P$108,MATCH(C485,'Borrowers'!$C$9:$C$108,0))*EXP(MIN(20,INDEX('Borrowers'!$V$9:$V$108,MATCH(C485,'Borrowers'!$C$9:$C$108,0))*V485))))),"Unavailable"))</x:f>
      </x:c>
      <x:c r="R485" s="30" t="str">
        <x:f>IF(C485="","",IFERROR(MIN(1,INDEX('Borrowers'!$Q$9:$Q$108,MATCH(C485,'Borrowers'!$C$9:$C$108,0))+(1-INDEX('Borrowers'!$Q$9:$Q$108,MATCH(C485,'Borrowers'!$C$9:$C$108,0)))*T485),"Unavailable"))</x:f>
      </x:c>
      <x:c r="S485" s="30" t="str">
        <x:f>IF(C485="","",IFERROR(SUMPRODUCT((Sites!$D$9:$D$108=C485)*Sites!$I$9:$I$108*Sites!$J$9:$J$108*Sites!$K$9:$K$108*(1-Sites!$L$9:$L$108)),"Unavailable"))</x:f>
      </x:c>
      <x:c r="T485" s="30" t="str">
        <x:f>IF(C485="","",IFERROR(MIN(1,(SUMPRODUCT((Sites!$D$9:$D$108=C485)*Sites!$N$9:$N$108*Sites!$J$9:$J$108*Sites!$K$9:$K$108*(1-Sites!$L$9:$L$108)))*'Scenario Paths'!J27),"Unavailable"))</x:f>
      </x:c>
      <x:c r="U485" s="9" t="str">
        <x:f>IF(C485="","",IF(OR(INDEX('Borrowers'!$AA$9:$AA$108,MATCH(C485,'Borrowers'!$C$9:$C$108,0))&lt;&gt;"Ready",COUNTIF(Sites!$D$9:$D$108,C485)=0,COUNTIFS(Sites!$D$9:$D$108,C485,Sites!$Q$9:$Q$108,"&lt;&gt;Ready")&gt;0,'Scenario Paths'!$F$6&lt;&gt;"Ready"),"Review source inputs","Ready"))</x:f>
      </x:c>
      <x:c r="V485" s="17" t="str">
        <x:f>IF(C485="","",IFERROR(MAX(-1,(G485-O485)/MAX(0.000001,G485)),"Unavailable"))</x:f>
      </x:c>
      <x:c r="W485" s="9" t="str">
        <x:f>IF(C485="","",IFERROR(INDEX('Borrowers'!$D$9:$D$108,MATCH(C485,'Borrowers'!$C$9:$C$108,0)),"Unavailable"))</x:f>
      </x:c>
    </x:row>
    <x:row r="486" ht="26" customHeight="1">
      <x:c r="A486" s="1"/>
      <x:c r="B486" s="1"/>
      <x:c r="C486" s="9" t="str">
        <x:f>IF(Borrowers!C86="","",Borrowers!C86)</x:f>
      </x:c>
      <x:c r="D486" s="3" t="n">
        <x:v>5</x:v>
      </x:c>
      <x:c r="E486" s="9" t="n">
        <x:f>Settings!$F$18+4</x:f>
        <x:v>2031</x:v>
      </x:c>
      <x:c r="F486" s="9" t="str">
        <x:f>IF(C486="","",INDEX('Borrowers'!$F$9:$F$108,MATCH(C486,'Borrowers'!$C$9:$C$108,0)))</x:f>
      </x:c>
      <x:c r="G486" s="23" t="str">
        <x:f>IF(C486="","",IFERROR(INDEX('Borrowers'!$J$9:$J$108,MATCH(C486,'Borrowers'!$C$9:$C$108,0))-INDEX('Borrowers'!$K$9:$K$108,MATCH(C486,'Borrowers'!$C$9:$C$108,0)),"Unavailable"))</x:f>
      </x:c>
      <x:c r="H486" s="23" t="str">
        <x:f>IF(C486="","",IFERROR(INDEX('Borrowers'!$I$9:$I$108,MATCH(C486,'Borrowers'!$C$9:$C$108,0))*INDEX('Borrowers'!$U$9:$U$108,MATCH(C486,'Borrowers'!$C$9:$C$108,0))*(IF(F486="Transport",'Scenario Paths'!J156,IF(F486="Technology",'Scenario Paths'!J150,IF(F486="Utilities",'Scenario Paths'!J144,IF(F486="Agriculture",'Scenario Paths'!J138,IF(F486="Manufacturing",'Scenario Paths'!J132,IF(F486="Healthcare",'Scenario Paths'!J126,IF(F486="Hospitality",'Scenario Paths'!J120,IF(F486="Property",'Scenario Paths'!J114,IF(F486="Food",'Scenario Paths'!J108,IF(F486="Logistics",'Scenario Paths'!J102,IF(F486="Solar",'Scenario Paths'!J96,IF(F486="Cement",'Scenario Paths'!J90,0))))))))))))),"Unavailable"))</x:f>
      </x:c>
      <x:c r="I486" s="23" t="str">
        <x:f>IF(C486="","",IFERROR(INDEX('Borrowers'!$R$9:$R$108,MATCH(C486,'Borrowers'!$C$9:$C$108,0))*(1-INDEX('Borrowers'!$W$9:$W$108,MATCH(C486,'Borrowers'!$C$9:$C$108,0))*'Scenario Paths'!J39)*'Scenario Paths'!J9/1000000*(1-INDEX('Borrowers'!$T$9:$T$108,MATCH(C486,'Borrowers'!$C$9:$C$108,0))),"Unavailable"))</x:f>
      </x:c>
      <x:c r="J486" s="23" t="str">
        <x:f>IF(C486="","",IFERROR(INDEX('Borrowers'!$I$9:$I$108,MATCH(C486,'Borrowers'!$C$9:$C$108,0))*INDEX('Borrowers'!$S$9:$S$108,MATCH(C486,'Borrowers'!$C$9:$C$108,0))*'Scenario Paths'!J15*(1-INDEX('Borrowers'!$T$9:$T$108,MATCH(C486,'Borrowers'!$C$9:$C$108,0))),"Unavailable"))</x:f>
      </x:c>
      <x:c r="K486" s="23" t="str">
        <x:f>IF(C486="","",IFERROR(INDEX('Borrowers'!$I$9:$I$108,MATCH(C486,'Borrowers'!$C$9:$C$108,0))*INDEX('Borrowers'!$U$9:$U$108,MATCH(C486,'Borrowers'!$C$9:$C$108,0))*'Scenario Paths'!J21*S486,"Unavailable"))</x:f>
      </x:c>
      <x:c r="L486" s="23" t="str">
        <x:f>IF(C486="","",IFERROR(SUMPRODUCT((Sites!$D$9:$D$108=C486)*Sites!$H$9:$H$108*Sites!$J$9:$J$108*Sites!$K$9:$K$108*(1-Sites!$L$9:$L$108)*(1-Sites!$M$9:$M$108))*'Scenario Paths'!J27,"Unavailable"))</x:f>
      </x:c>
      <x:c r="M486" s="23" t="str">
        <x:f>IF(C486="","",IFERROR(INDEX('Borrowers'!$J$9:$J$108,MATCH(C486,'Borrowers'!$C$9:$C$108,0))+H486-SUM(I486:L486),"Unavailable"))</x:f>
      </x:c>
      <x:c r="N486" s="23" t="str">
        <x:f>IF(C486="","",IFERROR(INDEX('Borrowers'!$I$9:$I$108,MATCH(C486,'Borrowers'!$C$9:$C$108,0))*'Scenario Paths'!J33,"Unavailable"))</x:f>
      </x:c>
      <x:c r="O486" s="23" t="str">
        <x:f>IF(C486="","",IFERROR(M486-INDEX('Borrowers'!$K$9:$K$108,MATCH(C486,'Borrowers'!$C$9:$C$108,0))-N486,"Unavailable"))</x:f>
      </x:c>
      <x:c r="P486" s="127" t="str">
        <x:f>IF(C486="","",IFERROR(O486/INDEX('Borrowers'!$L$9:$L$108,MATCH(C486,'Borrowers'!$C$9:$C$108,0)),"Unavailable"))</x:f>
      </x:c>
      <x:c r="Q486" s="30" t="str">
        <x:f>IF(C486="","",IFERROR(IF(INDEX('Borrowers'!$Z$9:$Z$108,MATCH(C486,'Borrowers'!$C$9:$C$108,0))="Yes",1,IF(INDEX('Borrowers'!$P$9:$P$108,MATCH(C486,'Borrowers'!$C$9:$C$108,0))=0,0,MIN(1,INDEX('Borrowers'!$P$9:$P$108,MATCH(C486,'Borrowers'!$C$9:$C$108,0))*EXP(MIN(20,INDEX('Borrowers'!$V$9:$V$108,MATCH(C486,'Borrowers'!$C$9:$C$108,0))*V486))))),"Unavailable"))</x:f>
      </x:c>
      <x:c r="R486" s="30" t="str">
        <x:f>IF(C486="","",IFERROR(MIN(1,INDEX('Borrowers'!$Q$9:$Q$108,MATCH(C486,'Borrowers'!$C$9:$C$108,0))+(1-INDEX('Borrowers'!$Q$9:$Q$108,MATCH(C486,'Borrowers'!$C$9:$C$108,0)))*T486),"Unavailable"))</x:f>
      </x:c>
      <x:c r="S486" s="30" t="str">
        <x:f>IF(C486="","",IFERROR(SUMPRODUCT((Sites!$D$9:$D$108=C486)*Sites!$I$9:$I$108*Sites!$J$9:$J$108*Sites!$K$9:$K$108*(1-Sites!$L$9:$L$108)),"Unavailable"))</x:f>
      </x:c>
      <x:c r="T486" s="30" t="str">
        <x:f>IF(C486="","",IFERROR(MIN(1,(SUMPRODUCT((Sites!$D$9:$D$108=C486)*Sites!$N$9:$N$108*Sites!$J$9:$J$108*Sites!$K$9:$K$108*(1-Sites!$L$9:$L$108)))*'Scenario Paths'!J27),"Unavailable"))</x:f>
      </x:c>
      <x:c r="U486" s="9" t="str">
        <x:f>IF(C486="","",IF(OR(INDEX('Borrowers'!$AA$9:$AA$108,MATCH(C486,'Borrowers'!$C$9:$C$108,0))&lt;&gt;"Ready",COUNTIF(Sites!$D$9:$D$108,C486)=0,COUNTIFS(Sites!$D$9:$D$108,C486,Sites!$Q$9:$Q$108,"&lt;&gt;Ready")&gt;0,'Scenario Paths'!$F$6&lt;&gt;"Ready"),"Review source inputs","Ready"))</x:f>
      </x:c>
      <x:c r="V486" s="17" t="str">
        <x:f>IF(C486="","",IFERROR(MAX(-1,(G486-O486)/MAX(0.000001,G486)),"Unavailable"))</x:f>
      </x:c>
      <x:c r="W486" s="9" t="str">
        <x:f>IF(C486="","",IFERROR(INDEX('Borrowers'!$D$9:$D$108,MATCH(C486,'Borrowers'!$C$9:$C$108,0)),"Unavailable"))</x:f>
      </x:c>
    </x:row>
    <x:row r="487" ht="26" customHeight="1">
      <x:c r="A487" s="1"/>
      <x:c r="B487" s="1"/>
      <x:c r="C487" s="9" t="str">
        <x:f>IF(Borrowers!C87="","",Borrowers!C87)</x:f>
      </x:c>
      <x:c r="D487" s="3" t="n">
        <x:v>5</x:v>
      </x:c>
      <x:c r="E487" s="9" t="n">
        <x:f>Settings!$F$18+4</x:f>
        <x:v>2031</x:v>
      </x:c>
      <x:c r="F487" s="9" t="str">
        <x:f>IF(C487="","",INDEX('Borrowers'!$F$9:$F$108,MATCH(C487,'Borrowers'!$C$9:$C$108,0)))</x:f>
      </x:c>
      <x:c r="G487" s="23" t="str">
        <x:f>IF(C487="","",IFERROR(INDEX('Borrowers'!$J$9:$J$108,MATCH(C487,'Borrowers'!$C$9:$C$108,0))-INDEX('Borrowers'!$K$9:$K$108,MATCH(C487,'Borrowers'!$C$9:$C$108,0)),"Unavailable"))</x:f>
      </x:c>
      <x:c r="H487" s="23" t="str">
        <x:f>IF(C487="","",IFERROR(INDEX('Borrowers'!$I$9:$I$108,MATCH(C487,'Borrowers'!$C$9:$C$108,0))*INDEX('Borrowers'!$U$9:$U$108,MATCH(C487,'Borrowers'!$C$9:$C$108,0))*(IF(F487="Transport",'Scenario Paths'!J156,IF(F487="Technology",'Scenario Paths'!J150,IF(F487="Utilities",'Scenario Paths'!J144,IF(F487="Agriculture",'Scenario Paths'!J138,IF(F487="Manufacturing",'Scenario Paths'!J132,IF(F487="Healthcare",'Scenario Paths'!J126,IF(F487="Hospitality",'Scenario Paths'!J120,IF(F487="Property",'Scenario Paths'!J114,IF(F487="Food",'Scenario Paths'!J108,IF(F487="Logistics",'Scenario Paths'!J102,IF(F487="Solar",'Scenario Paths'!J96,IF(F487="Cement",'Scenario Paths'!J90,0))))))))))))),"Unavailable"))</x:f>
      </x:c>
      <x:c r="I487" s="23" t="str">
        <x:f>IF(C487="","",IFERROR(INDEX('Borrowers'!$R$9:$R$108,MATCH(C487,'Borrowers'!$C$9:$C$108,0))*(1-INDEX('Borrowers'!$W$9:$W$108,MATCH(C487,'Borrowers'!$C$9:$C$108,0))*'Scenario Paths'!J39)*'Scenario Paths'!J9/1000000*(1-INDEX('Borrowers'!$T$9:$T$108,MATCH(C487,'Borrowers'!$C$9:$C$108,0))),"Unavailable"))</x:f>
      </x:c>
      <x:c r="J487" s="23" t="str">
        <x:f>IF(C487="","",IFERROR(INDEX('Borrowers'!$I$9:$I$108,MATCH(C487,'Borrowers'!$C$9:$C$108,0))*INDEX('Borrowers'!$S$9:$S$108,MATCH(C487,'Borrowers'!$C$9:$C$108,0))*'Scenario Paths'!J15*(1-INDEX('Borrowers'!$T$9:$T$108,MATCH(C487,'Borrowers'!$C$9:$C$108,0))),"Unavailable"))</x:f>
      </x:c>
      <x:c r="K487" s="23" t="str">
        <x:f>IF(C487="","",IFERROR(INDEX('Borrowers'!$I$9:$I$108,MATCH(C487,'Borrowers'!$C$9:$C$108,0))*INDEX('Borrowers'!$U$9:$U$108,MATCH(C487,'Borrowers'!$C$9:$C$108,0))*'Scenario Paths'!J21*S487,"Unavailable"))</x:f>
      </x:c>
      <x:c r="L487" s="23" t="str">
        <x:f>IF(C487="","",IFERROR(SUMPRODUCT((Sites!$D$9:$D$108=C487)*Sites!$H$9:$H$108*Sites!$J$9:$J$108*Sites!$K$9:$K$108*(1-Sites!$L$9:$L$108)*(1-Sites!$M$9:$M$108))*'Scenario Paths'!J27,"Unavailable"))</x:f>
      </x:c>
      <x:c r="M487" s="23" t="str">
        <x:f>IF(C487="","",IFERROR(INDEX('Borrowers'!$J$9:$J$108,MATCH(C487,'Borrowers'!$C$9:$C$108,0))+H487-SUM(I487:L487),"Unavailable"))</x:f>
      </x:c>
      <x:c r="N487" s="23" t="str">
        <x:f>IF(C487="","",IFERROR(INDEX('Borrowers'!$I$9:$I$108,MATCH(C487,'Borrowers'!$C$9:$C$108,0))*'Scenario Paths'!J33,"Unavailable"))</x:f>
      </x:c>
      <x:c r="O487" s="23" t="str">
        <x:f>IF(C487="","",IFERROR(M487-INDEX('Borrowers'!$K$9:$K$108,MATCH(C487,'Borrowers'!$C$9:$C$108,0))-N487,"Unavailable"))</x:f>
      </x:c>
      <x:c r="P487" s="127" t="str">
        <x:f>IF(C487="","",IFERROR(O487/INDEX('Borrowers'!$L$9:$L$108,MATCH(C487,'Borrowers'!$C$9:$C$108,0)),"Unavailable"))</x:f>
      </x:c>
      <x:c r="Q487" s="30" t="str">
        <x:f>IF(C487="","",IFERROR(IF(INDEX('Borrowers'!$Z$9:$Z$108,MATCH(C487,'Borrowers'!$C$9:$C$108,0))="Yes",1,IF(INDEX('Borrowers'!$P$9:$P$108,MATCH(C487,'Borrowers'!$C$9:$C$108,0))=0,0,MIN(1,INDEX('Borrowers'!$P$9:$P$108,MATCH(C487,'Borrowers'!$C$9:$C$108,0))*EXP(MIN(20,INDEX('Borrowers'!$V$9:$V$108,MATCH(C487,'Borrowers'!$C$9:$C$108,0))*V487))))),"Unavailable"))</x:f>
      </x:c>
      <x:c r="R487" s="30" t="str">
        <x:f>IF(C487="","",IFERROR(MIN(1,INDEX('Borrowers'!$Q$9:$Q$108,MATCH(C487,'Borrowers'!$C$9:$C$108,0))+(1-INDEX('Borrowers'!$Q$9:$Q$108,MATCH(C487,'Borrowers'!$C$9:$C$108,0)))*T487),"Unavailable"))</x:f>
      </x:c>
      <x:c r="S487" s="30" t="str">
        <x:f>IF(C487="","",IFERROR(SUMPRODUCT((Sites!$D$9:$D$108=C487)*Sites!$I$9:$I$108*Sites!$J$9:$J$108*Sites!$K$9:$K$108*(1-Sites!$L$9:$L$108)),"Unavailable"))</x:f>
      </x:c>
      <x:c r="T487" s="30" t="str">
        <x:f>IF(C487="","",IFERROR(MIN(1,(SUMPRODUCT((Sites!$D$9:$D$108=C487)*Sites!$N$9:$N$108*Sites!$J$9:$J$108*Sites!$K$9:$K$108*(1-Sites!$L$9:$L$108)))*'Scenario Paths'!J27),"Unavailable"))</x:f>
      </x:c>
      <x:c r="U487" s="9" t="str">
        <x:f>IF(C487="","",IF(OR(INDEX('Borrowers'!$AA$9:$AA$108,MATCH(C487,'Borrowers'!$C$9:$C$108,0))&lt;&gt;"Ready",COUNTIF(Sites!$D$9:$D$108,C487)=0,COUNTIFS(Sites!$D$9:$D$108,C487,Sites!$Q$9:$Q$108,"&lt;&gt;Ready")&gt;0,'Scenario Paths'!$F$6&lt;&gt;"Ready"),"Review source inputs","Ready"))</x:f>
      </x:c>
      <x:c r="V487" s="17" t="str">
        <x:f>IF(C487="","",IFERROR(MAX(-1,(G487-O487)/MAX(0.000001,G487)),"Unavailable"))</x:f>
      </x:c>
      <x:c r="W487" s="9" t="str">
        <x:f>IF(C487="","",IFERROR(INDEX('Borrowers'!$D$9:$D$108,MATCH(C487,'Borrowers'!$C$9:$C$108,0)),"Unavailable"))</x:f>
      </x:c>
    </x:row>
    <x:row r="488" ht="26" customHeight="1">
      <x:c r="A488" s="1"/>
      <x:c r="B488" s="1"/>
      <x:c r="C488" s="9" t="str">
        <x:f>IF(Borrowers!C88="","",Borrowers!C88)</x:f>
      </x:c>
      <x:c r="D488" s="3" t="n">
        <x:v>5</x:v>
      </x:c>
      <x:c r="E488" s="9" t="n">
        <x:f>Settings!$F$18+4</x:f>
        <x:v>2031</x:v>
      </x:c>
      <x:c r="F488" s="9" t="str">
        <x:f>IF(C488="","",INDEX('Borrowers'!$F$9:$F$108,MATCH(C488,'Borrowers'!$C$9:$C$108,0)))</x:f>
      </x:c>
      <x:c r="G488" s="23" t="str">
        <x:f>IF(C488="","",IFERROR(INDEX('Borrowers'!$J$9:$J$108,MATCH(C488,'Borrowers'!$C$9:$C$108,0))-INDEX('Borrowers'!$K$9:$K$108,MATCH(C488,'Borrowers'!$C$9:$C$108,0)),"Unavailable"))</x:f>
      </x:c>
      <x:c r="H488" s="23" t="str">
        <x:f>IF(C488="","",IFERROR(INDEX('Borrowers'!$I$9:$I$108,MATCH(C488,'Borrowers'!$C$9:$C$108,0))*INDEX('Borrowers'!$U$9:$U$108,MATCH(C488,'Borrowers'!$C$9:$C$108,0))*(IF(F488="Transport",'Scenario Paths'!J156,IF(F488="Technology",'Scenario Paths'!J150,IF(F488="Utilities",'Scenario Paths'!J144,IF(F488="Agriculture",'Scenario Paths'!J138,IF(F488="Manufacturing",'Scenario Paths'!J132,IF(F488="Healthcare",'Scenario Paths'!J126,IF(F488="Hospitality",'Scenario Paths'!J120,IF(F488="Property",'Scenario Paths'!J114,IF(F488="Food",'Scenario Paths'!J108,IF(F488="Logistics",'Scenario Paths'!J102,IF(F488="Solar",'Scenario Paths'!J96,IF(F488="Cement",'Scenario Paths'!J90,0))))))))))))),"Unavailable"))</x:f>
      </x:c>
      <x:c r="I488" s="23" t="str">
        <x:f>IF(C488="","",IFERROR(INDEX('Borrowers'!$R$9:$R$108,MATCH(C488,'Borrowers'!$C$9:$C$108,0))*(1-INDEX('Borrowers'!$W$9:$W$108,MATCH(C488,'Borrowers'!$C$9:$C$108,0))*'Scenario Paths'!J39)*'Scenario Paths'!J9/1000000*(1-INDEX('Borrowers'!$T$9:$T$108,MATCH(C488,'Borrowers'!$C$9:$C$108,0))),"Unavailable"))</x:f>
      </x:c>
      <x:c r="J488" s="23" t="str">
        <x:f>IF(C488="","",IFERROR(INDEX('Borrowers'!$I$9:$I$108,MATCH(C488,'Borrowers'!$C$9:$C$108,0))*INDEX('Borrowers'!$S$9:$S$108,MATCH(C488,'Borrowers'!$C$9:$C$108,0))*'Scenario Paths'!J15*(1-INDEX('Borrowers'!$T$9:$T$108,MATCH(C488,'Borrowers'!$C$9:$C$108,0))),"Unavailable"))</x:f>
      </x:c>
      <x:c r="K488" s="23" t="str">
        <x:f>IF(C488="","",IFERROR(INDEX('Borrowers'!$I$9:$I$108,MATCH(C488,'Borrowers'!$C$9:$C$108,0))*INDEX('Borrowers'!$U$9:$U$108,MATCH(C488,'Borrowers'!$C$9:$C$108,0))*'Scenario Paths'!J21*S488,"Unavailable"))</x:f>
      </x:c>
      <x:c r="L488" s="23" t="str">
        <x:f>IF(C488="","",IFERROR(SUMPRODUCT((Sites!$D$9:$D$108=C488)*Sites!$H$9:$H$108*Sites!$J$9:$J$108*Sites!$K$9:$K$108*(1-Sites!$L$9:$L$108)*(1-Sites!$M$9:$M$108))*'Scenario Paths'!J27,"Unavailable"))</x:f>
      </x:c>
      <x:c r="M488" s="23" t="str">
        <x:f>IF(C488="","",IFERROR(INDEX('Borrowers'!$J$9:$J$108,MATCH(C488,'Borrowers'!$C$9:$C$108,0))+H488-SUM(I488:L488),"Unavailable"))</x:f>
      </x:c>
      <x:c r="N488" s="23" t="str">
        <x:f>IF(C488="","",IFERROR(INDEX('Borrowers'!$I$9:$I$108,MATCH(C488,'Borrowers'!$C$9:$C$108,0))*'Scenario Paths'!J33,"Unavailable"))</x:f>
      </x:c>
      <x:c r="O488" s="23" t="str">
        <x:f>IF(C488="","",IFERROR(M488-INDEX('Borrowers'!$K$9:$K$108,MATCH(C488,'Borrowers'!$C$9:$C$108,0))-N488,"Unavailable"))</x:f>
      </x:c>
      <x:c r="P488" s="127" t="str">
        <x:f>IF(C488="","",IFERROR(O488/INDEX('Borrowers'!$L$9:$L$108,MATCH(C488,'Borrowers'!$C$9:$C$108,0)),"Unavailable"))</x:f>
      </x:c>
      <x:c r="Q488" s="30" t="str">
        <x:f>IF(C488="","",IFERROR(IF(INDEX('Borrowers'!$Z$9:$Z$108,MATCH(C488,'Borrowers'!$C$9:$C$108,0))="Yes",1,IF(INDEX('Borrowers'!$P$9:$P$108,MATCH(C488,'Borrowers'!$C$9:$C$108,0))=0,0,MIN(1,INDEX('Borrowers'!$P$9:$P$108,MATCH(C488,'Borrowers'!$C$9:$C$108,0))*EXP(MIN(20,INDEX('Borrowers'!$V$9:$V$108,MATCH(C488,'Borrowers'!$C$9:$C$108,0))*V488))))),"Unavailable"))</x:f>
      </x:c>
      <x:c r="R488" s="30" t="str">
        <x:f>IF(C488="","",IFERROR(MIN(1,INDEX('Borrowers'!$Q$9:$Q$108,MATCH(C488,'Borrowers'!$C$9:$C$108,0))+(1-INDEX('Borrowers'!$Q$9:$Q$108,MATCH(C488,'Borrowers'!$C$9:$C$108,0)))*T488),"Unavailable"))</x:f>
      </x:c>
      <x:c r="S488" s="30" t="str">
        <x:f>IF(C488="","",IFERROR(SUMPRODUCT((Sites!$D$9:$D$108=C488)*Sites!$I$9:$I$108*Sites!$J$9:$J$108*Sites!$K$9:$K$108*(1-Sites!$L$9:$L$108)),"Unavailable"))</x:f>
      </x:c>
      <x:c r="T488" s="30" t="str">
        <x:f>IF(C488="","",IFERROR(MIN(1,(SUMPRODUCT((Sites!$D$9:$D$108=C488)*Sites!$N$9:$N$108*Sites!$J$9:$J$108*Sites!$K$9:$K$108*(1-Sites!$L$9:$L$108)))*'Scenario Paths'!J27),"Unavailable"))</x:f>
      </x:c>
      <x:c r="U488" s="9" t="str">
        <x:f>IF(C488="","",IF(OR(INDEX('Borrowers'!$AA$9:$AA$108,MATCH(C488,'Borrowers'!$C$9:$C$108,0))&lt;&gt;"Ready",COUNTIF(Sites!$D$9:$D$108,C488)=0,COUNTIFS(Sites!$D$9:$D$108,C488,Sites!$Q$9:$Q$108,"&lt;&gt;Ready")&gt;0,'Scenario Paths'!$F$6&lt;&gt;"Ready"),"Review source inputs","Ready"))</x:f>
      </x:c>
      <x:c r="V488" s="17" t="str">
        <x:f>IF(C488="","",IFERROR(MAX(-1,(G488-O488)/MAX(0.000001,G488)),"Unavailable"))</x:f>
      </x:c>
      <x:c r="W488" s="9" t="str">
        <x:f>IF(C488="","",IFERROR(INDEX('Borrowers'!$D$9:$D$108,MATCH(C488,'Borrowers'!$C$9:$C$108,0)),"Unavailable"))</x:f>
      </x:c>
    </x:row>
    <x:row r="489" ht="26" customHeight="1">
      <x:c r="A489" s="1"/>
      <x:c r="B489" s="1"/>
      <x:c r="C489" s="9" t="str">
        <x:f>IF(Borrowers!C89="","",Borrowers!C89)</x:f>
      </x:c>
      <x:c r="D489" s="3" t="n">
        <x:v>5</x:v>
      </x:c>
      <x:c r="E489" s="9" t="n">
        <x:f>Settings!$F$18+4</x:f>
        <x:v>2031</x:v>
      </x:c>
      <x:c r="F489" s="9" t="str">
        <x:f>IF(C489="","",INDEX('Borrowers'!$F$9:$F$108,MATCH(C489,'Borrowers'!$C$9:$C$108,0)))</x:f>
      </x:c>
      <x:c r="G489" s="23" t="str">
        <x:f>IF(C489="","",IFERROR(INDEX('Borrowers'!$J$9:$J$108,MATCH(C489,'Borrowers'!$C$9:$C$108,0))-INDEX('Borrowers'!$K$9:$K$108,MATCH(C489,'Borrowers'!$C$9:$C$108,0)),"Unavailable"))</x:f>
      </x:c>
      <x:c r="H489" s="23" t="str">
        <x:f>IF(C489="","",IFERROR(INDEX('Borrowers'!$I$9:$I$108,MATCH(C489,'Borrowers'!$C$9:$C$108,0))*INDEX('Borrowers'!$U$9:$U$108,MATCH(C489,'Borrowers'!$C$9:$C$108,0))*(IF(F489="Transport",'Scenario Paths'!J156,IF(F489="Technology",'Scenario Paths'!J150,IF(F489="Utilities",'Scenario Paths'!J144,IF(F489="Agriculture",'Scenario Paths'!J138,IF(F489="Manufacturing",'Scenario Paths'!J132,IF(F489="Healthcare",'Scenario Paths'!J126,IF(F489="Hospitality",'Scenario Paths'!J120,IF(F489="Property",'Scenario Paths'!J114,IF(F489="Food",'Scenario Paths'!J108,IF(F489="Logistics",'Scenario Paths'!J102,IF(F489="Solar",'Scenario Paths'!J96,IF(F489="Cement",'Scenario Paths'!J90,0))))))))))))),"Unavailable"))</x:f>
      </x:c>
      <x:c r="I489" s="23" t="str">
        <x:f>IF(C489="","",IFERROR(INDEX('Borrowers'!$R$9:$R$108,MATCH(C489,'Borrowers'!$C$9:$C$108,0))*(1-INDEX('Borrowers'!$W$9:$W$108,MATCH(C489,'Borrowers'!$C$9:$C$108,0))*'Scenario Paths'!J39)*'Scenario Paths'!J9/1000000*(1-INDEX('Borrowers'!$T$9:$T$108,MATCH(C489,'Borrowers'!$C$9:$C$108,0))),"Unavailable"))</x:f>
      </x:c>
      <x:c r="J489" s="23" t="str">
        <x:f>IF(C489="","",IFERROR(INDEX('Borrowers'!$I$9:$I$108,MATCH(C489,'Borrowers'!$C$9:$C$108,0))*INDEX('Borrowers'!$S$9:$S$108,MATCH(C489,'Borrowers'!$C$9:$C$108,0))*'Scenario Paths'!J15*(1-INDEX('Borrowers'!$T$9:$T$108,MATCH(C489,'Borrowers'!$C$9:$C$108,0))),"Unavailable"))</x:f>
      </x:c>
      <x:c r="K489" s="23" t="str">
        <x:f>IF(C489="","",IFERROR(INDEX('Borrowers'!$I$9:$I$108,MATCH(C489,'Borrowers'!$C$9:$C$108,0))*INDEX('Borrowers'!$U$9:$U$108,MATCH(C489,'Borrowers'!$C$9:$C$108,0))*'Scenario Paths'!J21*S489,"Unavailable"))</x:f>
      </x:c>
      <x:c r="L489" s="23" t="str">
        <x:f>IF(C489="","",IFERROR(SUMPRODUCT((Sites!$D$9:$D$108=C489)*Sites!$H$9:$H$108*Sites!$J$9:$J$108*Sites!$K$9:$K$108*(1-Sites!$L$9:$L$108)*(1-Sites!$M$9:$M$108))*'Scenario Paths'!J27,"Unavailable"))</x:f>
      </x:c>
      <x:c r="M489" s="23" t="str">
        <x:f>IF(C489="","",IFERROR(INDEX('Borrowers'!$J$9:$J$108,MATCH(C489,'Borrowers'!$C$9:$C$108,0))+H489-SUM(I489:L489),"Unavailable"))</x:f>
      </x:c>
      <x:c r="N489" s="23" t="str">
        <x:f>IF(C489="","",IFERROR(INDEX('Borrowers'!$I$9:$I$108,MATCH(C489,'Borrowers'!$C$9:$C$108,0))*'Scenario Paths'!J33,"Unavailable"))</x:f>
      </x:c>
      <x:c r="O489" s="23" t="str">
        <x:f>IF(C489="","",IFERROR(M489-INDEX('Borrowers'!$K$9:$K$108,MATCH(C489,'Borrowers'!$C$9:$C$108,0))-N489,"Unavailable"))</x:f>
      </x:c>
      <x:c r="P489" s="127" t="str">
        <x:f>IF(C489="","",IFERROR(O489/INDEX('Borrowers'!$L$9:$L$108,MATCH(C489,'Borrowers'!$C$9:$C$108,0)),"Unavailable"))</x:f>
      </x:c>
      <x:c r="Q489" s="30" t="str">
        <x:f>IF(C489="","",IFERROR(IF(INDEX('Borrowers'!$Z$9:$Z$108,MATCH(C489,'Borrowers'!$C$9:$C$108,0))="Yes",1,IF(INDEX('Borrowers'!$P$9:$P$108,MATCH(C489,'Borrowers'!$C$9:$C$108,0))=0,0,MIN(1,INDEX('Borrowers'!$P$9:$P$108,MATCH(C489,'Borrowers'!$C$9:$C$108,0))*EXP(MIN(20,INDEX('Borrowers'!$V$9:$V$108,MATCH(C489,'Borrowers'!$C$9:$C$108,0))*V489))))),"Unavailable"))</x:f>
      </x:c>
      <x:c r="R489" s="30" t="str">
        <x:f>IF(C489="","",IFERROR(MIN(1,INDEX('Borrowers'!$Q$9:$Q$108,MATCH(C489,'Borrowers'!$C$9:$C$108,0))+(1-INDEX('Borrowers'!$Q$9:$Q$108,MATCH(C489,'Borrowers'!$C$9:$C$108,0)))*T489),"Unavailable"))</x:f>
      </x:c>
      <x:c r="S489" s="30" t="str">
        <x:f>IF(C489="","",IFERROR(SUMPRODUCT((Sites!$D$9:$D$108=C489)*Sites!$I$9:$I$108*Sites!$J$9:$J$108*Sites!$K$9:$K$108*(1-Sites!$L$9:$L$108)),"Unavailable"))</x:f>
      </x:c>
      <x:c r="T489" s="30" t="str">
        <x:f>IF(C489="","",IFERROR(MIN(1,(SUMPRODUCT((Sites!$D$9:$D$108=C489)*Sites!$N$9:$N$108*Sites!$J$9:$J$108*Sites!$K$9:$K$108*(1-Sites!$L$9:$L$108)))*'Scenario Paths'!J27),"Unavailable"))</x:f>
      </x:c>
      <x:c r="U489" s="9" t="str">
        <x:f>IF(C489="","",IF(OR(INDEX('Borrowers'!$AA$9:$AA$108,MATCH(C489,'Borrowers'!$C$9:$C$108,0))&lt;&gt;"Ready",COUNTIF(Sites!$D$9:$D$108,C489)=0,COUNTIFS(Sites!$D$9:$D$108,C489,Sites!$Q$9:$Q$108,"&lt;&gt;Ready")&gt;0,'Scenario Paths'!$F$6&lt;&gt;"Ready"),"Review source inputs","Ready"))</x:f>
      </x:c>
      <x:c r="V489" s="17" t="str">
        <x:f>IF(C489="","",IFERROR(MAX(-1,(G489-O489)/MAX(0.000001,G489)),"Unavailable"))</x:f>
      </x:c>
      <x:c r="W489" s="9" t="str">
        <x:f>IF(C489="","",IFERROR(INDEX('Borrowers'!$D$9:$D$108,MATCH(C489,'Borrowers'!$C$9:$C$108,0)),"Unavailable"))</x:f>
      </x:c>
    </x:row>
    <x:row r="490" ht="26" customHeight="1">
      <x:c r="A490" s="1"/>
      <x:c r="B490" s="1"/>
      <x:c r="C490" s="9" t="str">
        <x:f>IF(Borrowers!C90="","",Borrowers!C90)</x:f>
      </x:c>
      <x:c r="D490" s="3" t="n">
        <x:v>5</x:v>
      </x:c>
      <x:c r="E490" s="9" t="n">
        <x:f>Settings!$F$18+4</x:f>
        <x:v>2031</x:v>
      </x:c>
      <x:c r="F490" s="9" t="str">
        <x:f>IF(C490="","",INDEX('Borrowers'!$F$9:$F$108,MATCH(C490,'Borrowers'!$C$9:$C$108,0)))</x:f>
      </x:c>
      <x:c r="G490" s="23" t="str">
        <x:f>IF(C490="","",IFERROR(INDEX('Borrowers'!$J$9:$J$108,MATCH(C490,'Borrowers'!$C$9:$C$108,0))-INDEX('Borrowers'!$K$9:$K$108,MATCH(C490,'Borrowers'!$C$9:$C$108,0)),"Unavailable"))</x:f>
      </x:c>
      <x:c r="H490" s="23" t="str">
        <x:f>IF(C490="","",IFERROR(INDEX('Borrowers'!$I$9:$I$108,MATCH(C490,'Borrowers'!$C$9:$C$108,0))*INDEX('Borrowers'!$U$9:$U$108,MATCH(C490,'Borrowers'!$C$9:$C$108,0))*(IF(F490="Transport",'Scenario Paths'!J156,IF(F490="Technology",'Scenario Paths'!J150,IF(F490="Utilities",'Scenario Paths'!J144,IF(F490="Agriculture",'Scenario Paths'!J138,IF(F490="Manufacturing",'Scenario Paths'!J132,IF(F490="Healthcare",'Scenario Paths'!J126,IF(F490="Hospitality",'Scenario Paths'!J120,IF(F490="Property",'Scenario Paths'!J114,IF(F490="Food",'Scenario Paths'!J108,IF(F490="Logistics",'Scenario Paths'!J102,IF(F490="Solar",'Scenario Paths'!J96,IF(F490="Cement",'Scenario Paths'!J90,0))))))))))))),"Unavailable"))</x:f>
      </x:c>
      <x:c r="I490" s="23" t="str">
        <x:f>IF(C490="","",IFERROR(INDEX('Borrowers'!$R$9:$R$108,MATCH(C490,'Borrowers'!$C$9:$C$108,0))*(1-INDEX('Borrowers'!$W$9:$W$108,MATCH(C490,'Borrowers'!$C$9:$C$108,0))*'Scenario Paths'!J39)*'Scenario Paths'!J9/1000000*(1-INDEX('Borrowers'!$T$9:$T$108,MATCH(C490,'Borrowers'!$C$9:$C$108,0))),"Unavailable"))</x:f>
      </x:c>
      <x:c r="J490" s="23" t="str">
        <x:f>IF(C490="","",IFERROR(INDEX('Borrowers'!$I$9:$I$108,MATCH(C490,'Borrowers'!$C$9:$C$108,0))*INDEX('Borrowers'!$S$9:$S$108,MATCH(C490,'Borrowers'!$C$9:$C$108,0))*'Scenario Paths'!J15*(1-INDEX('Borrowers'!$T$9:$T$108,MATCH(C490,'Borrowers'!$C$9:$C$108,0))),"Unavailable"))</x:f>
      </x:c>
      <x:c r="K490" s="23" t="str">
        <x:f>IF(C490="","",IFERROR(INDEX('Borrowers'!$I$9:$I$108,MATCH(C490,'Borrowers'!$C$9:$C$108,0))*INDEX('Borrowers'!$U$9:$U$108,MATCH(C490,'Borrowers'!$C$9:$C$108,0))*'Scenario Paths'!J21*S490,"Unavailable"))</x:f>
      </x:c>
      <x:c r="L490" s="23" t="str">
        <x:f>IF(C490="","",IFERROR(SUMPRODUCT((Sites!$D$9:$D$108=C490)*Sites!$H$9:$H$108*Sites!$J$9:$J$108*Sites!$K$9:$K$108*(1-Sites!$L$9:$L$108)*(1-Sites!$M$9:$M$108))*'Scenario Paths'!J27,"Unavailable"))</x:f>
      </x:c>
      <x:c r="M490" s="23" t="str">
        <x:f>IF(C490="","",IFERROR(INDEX('Borrowers'!$J$9:$J$108,MATCH(C490,'Borrowers'!$C$9:$C$108,0))+H490-SUM(I490:L490),"Unavailable"))</x:f>
      </x:c>
      <x:c r="N490" s="23" t="str">
        <x:f>IF(C490="","",IFERROR(INDEX('Borrowers'!$I$9:$I$108,MATCH(C490,'Borrowers'!$C$9:$C$108,0))*'Scenario Paths'!J33,"Unavailable"))</x:f>
      </x:c>
      <x:c r="O490" s="23" t="str">
        <x:f>IF(C490="","",IFERROR(M490-INDEX('Borrowers'!$K$9:$K$108,MATCH(C490,'Borrowers'!$C$9:$C$108,0))-N490,"Unavailable"))</x:f>
      </x:c>
      <x:c r="P490" s="127" t="str">
        <x:f>IF(C490="","",IFERROR(O490/INDEX('Borrowers'!$L$9:$L$108,MATCH(C490,'Borrowers'!$C$9:$C$108,0)),"Unavailable"))</x:f>
      </x:c>
      <x:c r="Q490" s="30" t="str">
        <x:f>IF(C490="","",IFERROR(IF(INDEX('Borrowers'!$Z$9:$Z$108,MATCH(C490,'Borrowers'!$C$9:$C$108,0))="Yes",1,IF(INDEX('Borrowers'!$P$9:$P$108,MATCH(C490,'Borrowers'!$C$9:$C$108,0))=0,0,MIN(1,INDEX('Borrowers'!$P$9:$P$108,MATCH(C490,'Borrowers'!$C$9:$C$108,0))*EXP(MIN(20,INDEX('Borrowers'!$V$9:$V$108,MATCH(C490,'Borrowers'!$C$9:$C$108,0))*V490))))),"Unavailable"))</x:f>
      </x:c>
      <x:c r="R490" s="30" t="str">
        <x:f>IF(C490="","",IFERROR(MIN(1,INDEX('Borrowers'!$Q$9:$Q$108,MATCH(C490,'Borrowers'!$C$9:$C$108,0))+(1-INDEX('Borrowers'!$Q$9:$Q$108,MATCH(C490,'Borrowers'!$C$9:$C$108,0)))*T490),"Unavailable"))</x:f>
      </x:c>
      <x:c r="S490" s="30" t="str">
        <x:f>IF(C490="","",IFERROR(SUMPRODUCT((Sites!$D$9:$D$108=C490)*Sites!$I$9:$I$108*Sites!$J$9:$J$108*Sites!$K$9:$K$108*(1-Sites!$L$9:$L$108)),"Unavailable"))</x:f>
      </x:c>
      <x:c r="T490" s="30" t="str">
        <x:f>IF(C490="","",IFERROR(MIN(1,(SUMPRODUCT((Sites!$D$9:$D$108=C490)*Sites!$N$9:$N$108*Sites!$J$9:$J$108*Sites!$K$9:$K$108*(1-Sites!$L$9:$L$108)))*'Scenario Paths'!J27),"Unavailable"))</x:f>
      </x:c>
      <x:c r="U490" s="9" t="str">
        <x:f>IF(C490="","",IF(OR(INDEX('Borrowers'!$AA$9:$AA$108,MATCH(C490,'Borrowers'!$C$9:$C$108,0))&lt;&gt;"Ready",COUNTIF(Sites!$D$9:$D$108,C490)=0,COUNTIFS(Sites!$D$9:$D$108,C490,Sites!$Q$9:$Q$108,"&lt;&gt;Ready")&gt;0,'Scenario Paths'!$F$6&lt;&gt;"Ready"),"Review source inputs","Ready"))</x:f>
      </x:c>
      <x:c r="V490" s="17" t="str">
        <x:f>IF(C490="","",IFERROR(MAX(-1,(G490-O490)/MAX(0.000001,G490)),"Unavailable"))</x:f>
      </x:c>
      <x:c r="W490" s="9" t="str">
        <x:f>IF(C490="","",IFERROR(INDEX('Borrowers'!$D$9:$D$108,MATCH(C490,'Borrowers'!$C$9:$C$108,0)),"Unavailable"))</x:f>
      </x:c>
    </x:row>
    <x:row r="491" ht="26" customHeight="1">
      <x:c r="A491" s="1"/>
      <x:c r="B491" s="1"/>
      <x:c r="C491" s="9" t="str">
        <x:f>IF(Borrowers!C91="","",Borrowers!C91)</x:f>
      </x:c>
      <x:c r="D491" s="3" t="n">
        <x:v>5</x:v>
      </x:c>
      <x:c r="E491" s="9" t="n">
        <x:f>Settings!$F$18+4</x:f>
        <x:v>2031</x:v>
      </x:c>
      <x:c r="F491" s="9" t="str">
        <x:f>IF(C491="","",INDEX('Borrowers'!$F$9:$F$108,MATCH(C491,'Borrowers'!$C$9:$C$108,0)))</x:f>
      </x:c>
      <x:c r="G491" s="23" t="str">
        <x:f>IF(C491="","",IFERROR(INDEX('Borrowers'!$J$9:$J$108,MATCH(C491,'Borrowers'!$C$9:$C$108,0))-INDEX('Borrowers'!$K$9:$K$108,MATCH(C491,'Borrowers'!$C$9:$C$108,0)),"Unavailable"))</x:f>
      </x:c>
      <x:c r="H491" s="23" t="str">
        <x:f>IF(C491="","",IFERROR(INDEX('Borrowers'!$I$9:$I$108,MATCH(C491,'Borrowers'!$C$9:$C$108,0))*INDEX('Borrowers'!$U$9:$U$108,MATCH(C491,'Borrowers'!$C$9:$C$108,0))*(IF(F491="Transport",'Scenario Paths'!J156,IF(F491="Technology",'Scenario Paths'!J150,IF(F491="Utilities",'Scenario Paths'!J144,IF(F491="Agriculture",'Scenario Paths'!J138,IF(F491="Manufacturing",'Scenario Paths'!J132,IF(F491="Healthcare",'Scenario Paths'!J126,IF(F491="Hospitality",'Scenario Paths'!J120,IF(F491="Property",'Scenario Paths'!J114,IF(F491="Food",'Scenario Paths'!J108,IF(F491="Logistics",'Scenario Paths'!J102,IF(F491="Solar",'Scenario Paths'!J96,IF(F491="Cement",'Scenario Paths'!J90,0))))))))))))),"Unavailable"))</x:f>
      </x:c>
      <x:c r="I491" s="23" t="str">
        <x:f>IF(C491="","",IFERROR(INDEX('Borrowers'!$R$9:$R$108,MATCH(C491,'Borrowers'!$C$9:$C$108,0))*(1-INDEX('Borrowers'!$W$9:$W$108,MATCH(C491,'Borrowers'!$C$9:$C$108,0))*'Scenario Paths'!J39)*'Scenario Paths'!J9/1000000*(1-INDEX('Borrowers'!$T$9:$T$108,MATCH(C491,'Borrowers'!$C$9:$C$108,0))),"Unavailable"))</x:f>
      </x:c>
      <x:c r="J491" s="23" t="str">
        <x:f>IF(C491="","",IFERROR(INDEX('Borrowers'!$I$9:$I$108,MATCH(C491,'Borrowers'!$C$9:$C$108,0))*INDEX('Borrowers'!$S$9:$S$108,MATCH(C491,'Borrowers'!$C$9:$C$108,0))*'Scenario Paths'!J15*(1-INDEX('Borrowers'!$T$9:$T$108,MATCH(C491,'Borrowers'!$C$9:$C$108,0))),"Unavailable"))</x:f>
      </x:c>
      <x:c r="K491" s="23" t="str">
        <x:f>IF(C491="","",IFERROR(INDEX('Borrowers'!$I$9:$I$108,MATCH(C491,'Borrowers'!$C$9:$C$108,0))*INDEX('Borrowers'!$U$9:$U$108,MATCH(C491,'Borrowers'!$C$9:$C$108,0))*'Scenario Paths'!J21*S491,"Unavailable"))</x:f>
      </x:c>
      <x:c r="L491" s="23" t="str">
        <x:f>IF(C491="","",IFERROR(SUMPRODUCT((Sites!$D$9:$D$108=C491)*Sites!$H$9:$H$108*Sites!$J$9:$J$108*Sites!$K$9:$K$108*(1-Sites!$L$9:$L$108)*(1-Sites!$M$9:$M$108))*'Scenario Paths'!J27,"Unavailable"))</x:f>
      </x:c>
      <x:c r="M491" s="23" t="str">
        <x:f>IF(C491="","",IFERROR(INDEX('Borrowers'!$J$9:$J$108,MATCH(C491,'Borrowers'!$C$9:$C$108,0))+H491-SUM(I491:L491),"Unavailable"))</x:f>
      </x:c>
      <x:c r="N491" s="23" t="str">
        <x:f>IF(C491="","",IFERROR(INDEX('Borrowers'!$I$9:$I$108,MATCH(C491,'Borrowers'!$C$9:$C$108,0))*'Scenario Paths'!J33,"Unavailable"))</x:f>
      </x:c>
      <x:c r="O491" s="23" t="str">
        <x:f>IF(C491="","",IFERROR(M491-INDEX('Borrowers'!$K$9:$K$108,MATCH(C491,'Borrowers'!$C$9:$C$108,0))-N491,"Unavailable"))</x:f>
      </x:c>
      <x:c r="P491" s="127" t="str">
        <x:f>IF(C491="","",IFERROR(O491/INDEX('Borrowers'!$L$9:$L$108,MATCH(C491,'Borrowers'!$C$9:$C$108,0)),"Unavailable"))</x:f>
      </x:c>
      <x:c r="Q491" s="30" t="str">
        <x:f>IF(C491="","",IFERROR(IF(INDEX('Borrowers'!$Z$9:$Z$108,MATCH(C491,'Borrowers'!$C$9:$C$108,0))="Yes",1,IF(INDEX('Borrowers'!$P$9:$P$108,MATCH(C491,'Borrowers'!$C$9:$C$108,0))=0,0,MIN(1,INDEX('Borrowers'!$P$9:$P$108,MATCH(C491,'Borrowers'!$C$9:$C$108,0))*EXP(MIN(20,INDEX('Borrowers'!$V$9:$V$108,MATCH(C491,'Borrowers'!$C$9:$C$108,0))*V491))))),"Unavailable"))</x:f>
      </x:c>
      <x:c r="R491" s="30" t="str">
        <x:f>IF(C491="","",IFERROR(MIN(1,INDEX('Borrowers'!$Q$9:$Q$108,MATCH(C491,'Borrowers'!$C$9:$C$108,0))+(1-INDEX('Borrowers'!$Q$9:$Q$108,MATCH(C491,'Borrowers'!$C$9:$C$108,0)))*T491),"Unavailable"))</x:f>
      </x:c>
      <x:c r="S491" s="30" t="str">
        <x:f>IF(C491="","",IFERROR(SUMPRODUCT((Sites!$D$9:$D$108=C491)*Sites!$I$9:$I$108*Sites!$J$9:$J$108*Sites!$K$9:$K$108*(1-Sites!$L$9:$L$108)),"Unavailable"))</x:f>
      </x:c>
      <x:c r="T491" s="30" t="str">
        <x:f>IF(C491="","",IFERROR(MIN(1,(SUMPRODUCT((Sites!$D$9:$D$108=C491)*Sites!$N$9:$N$108*Sites!$J$9:$J$108*Sites!$K$9:$K$108*(1-Sites!$L$9:$L$108)))*'Scenario Paths'!J27),"Unavailable"))</x:f>
      </x:c>
      <x:c r="U491" s="9" t="str">
        <x:f>IF(C491="","",IF(OR(INDEX('Borrowers'!$AA$9:$AA$108,MATCH(C491,'Borrowers'!$C$9:$C$108,0))&lt;&gt;"Ready",COUNTIF(Sites!$D$9:$D$108,C491)=0,COUNTIFS(Sites!$D$9:$D$108,C491,Sites!$Q$9:$Q$108,"&lt;&gt;Ready")&gt;0,'Scenario Paths'!$F$6&lt;&gt;"Ready"),"Review source inputs","Ready"))</x:f>
      </x:c>
      <x:c r="V491" s="17" t="str">
        <x:f>IF(C491="","",IFERROR(MAX(-1,(G491-O491)/MAX(0.000001,G491)),"Unavailable"))</x:f>
      </x:c>
      <x:c r="W491" s="9" t="str">
        <x:f>IF(C491="","",IFERROR(INDEX('Borrowers'!$D$9:$D$108,MATCH(C491,'Borrowers'!$C$9:$C$108,0)),"Unavailable"))</x:f>
      </x:c>
    </x:row>
    <x:row r="492" ht="26" customHeight="1">
      <x:c r="A492" s="1"/>
      <x:c r="B492" s="1"/>
      <x:c r="C492" s="9" t="str">
        <x:f>IF(Borrowers!C92="","",Borrowers!C92)</x:f>
      </x:c>
      <x:c r="D492" s="3" t="n">
        <x:v>5</x:v>
      </x:c>
      <x:c r="E492" s="9" t="n">
        <x:f>Settings!$F$18+4</x:f>
        <x:v>2031</x:v>
      </x:c>
      <x:c r="F492" s="9" t="str">
        <x:f>IF(C492="","",INDEX('Borrowers'!$F$9:$F$108,MATCH(C492,'Borrowers'!$C$9:$C$108,0)))</x:f>
      </x:c>
      <x:c r="G492" s="23" t="str">
        <x:f>IF(C492="","",IFERROR(INDEX('Borrowers'!$J$9:$J$108,MATCH(C492,'Borrowers'!$C$9:$C$108,0))-INDEX('Borrowers'!$K$9:$K$108,MATCH(C492,'Borrowers'!$C$9:$C$108,0)),"Unavailable"))</x:f>
      </x:c>
      <x:c r="H492" s="23" t="str">
        <x:f>IF(C492="","",IFERROR(INDEX('Borrowers'!$I$9:$I$108,MATCH(C492,'Borrowers'!$C$9:$C$108,0))*INDEX('Borrowers'!$U$9:$U$108,MATCH(C492,'Borrowers'!$C$9:$C$108,0))*(IF(F492="Transport",'Scenario Paths'!J156,IF(F492="Technology",'Scenario Paths'!J150,IF(F492="Utilities",'Scenario Paths'!J144,IF(F492="Agriculture",'Scenario Paths'!J138,IF(F492="Manufacturing",'Scenario Paths'!J132,IF(F492="Healthcare",'Scenario Paths'!J126,IF(F492="Hospitality",'Scenario Paths'!J120,IF(F492="Property",'Scenario Paths'!J114,IF(F492="Food",'Scenario Paths'!J108,IF(F492="Logistics",'Scenario Paths'!J102,IF(F492="Solar",'Scenario Paths'!J96,IF(F492="Cement",'Scenario Paths'!J90,0))))))))))))),"Unavailable"))</x:f>
      </x:c>
      <x:c r="I492" s="23" t="str">
        <x:f>IF(C492="","",IFERROR(INDEX('Borrowers'!$R$9:$R$108,MATCH(C492,'Borrowers'!$C$9:$C$108,0))*(1-INDEX('Borrowers'!$W$9:$W$108,MATCH(C492,'Borrowers'!$C$9:$C$108,0))*'Scenario Paths'!J39)*'Scenario Paths'!J9/1000000*(1-INDEX('Borrowers'!$T$9:$T$108,MATCH(C492,'Borrowers'!$C$9:$C$108,0))),"Unavailable"))</x:f>
      </x:c>
      <x:c r="J492" s="23" t="str">
        <x:f>IF(C492="","",IFERROR(INDEX('Borrowers'!$I$9:$I$108,MATCH(C492,'Borrowers'!$C$9:$C$108,0))*INDEX('Borrowers'!$S$9:$S$108,MATCH(C492,'Borrowers'!$C$9:$C$108,0))*'Scenario Paths'!J15*(1-INDEX('Borrowers'!$T$9:$T$108,MATCH(C492,'Borrowers'!$C$9:$C$108,0))),"Unavailable"))</x:f>
      </x:c>
      <x:c r="K492" s="23" t="str">
        <x:f>IF(C492="","",IFERROR(INDEX('Borrowers'!$I$9:$I$108,MATCH(C492,'Borrowers'!$C$9:$C$108,0))*INDEX('Borrowers'!$U$9:$U$108,MATCH(C492,'Borrowers'!$C$9:$C$108,0))*'Scenario Paths'!J21*S492,"Unavailable"))</x:f>
      </x:c>
      <x:c r="L492" s="23" t="str">
        <x:f>IF(C492="","",IFERROR(SUMPRODUCT((Sites!$D$9:$D$108=C492)*Sites!$H$9:$H$108*Sites!$J$9:$J$108*Sites!$K$9:$K$108*(1-Sites!$L$9:$L$108)*(1-Sites!$M$9:$M$108))*'Scenario Paths'!J27,"Unavailable"))</x:f>
      </x:c>
      <x:c r="M492" s="23" t="str">
        <x:f>IF(C492="","",IFERROR(INDEX('Borrowers'!$J$9:$J$108,MATCH(C492,'Borrowers'!$C$9:$C$108,0))+H492-SUM(I492:L492),"Unavailable"))</x:f>
      </x:c>
      <x:c r="N492" s="23" t="str">
        <x:f>IF(C492="","",IFERROR(INDEX('Borrowers'!$I$9:$I$108,MATCH(C492,'Borrowers'!$C$9:$C$108,0))*'Scenario Paths'!J33,"Unavailable"))</x:f>
      </x:c>
      <x:c r="O492" s="23" t="str">
        <x:f>IF(C492="","",IFERROR(M492-INDEX('Borrowers'!$K$9:$K$108,MATCH(C492,'Borrowers'!$C$9:$C$108,0))-N492,"Unavailable"))</x:f>
      </x:c>
      <x:c r="P492" s="127" t="str">
        <x:f>IF(C492="","",IFERROR(O492/INDEX('Borrowers'!$L$9:$L$108,MATCH(C492,'Borrowers'!$C$9:$C$108,0)),"Unavailable"))</x:f>
      </x:c>
      <x:c r="Q492" s="30" t="str">
        <x:f>IF(C492="","",IFERROR(IF(INDEX('Borrowers'!$Z$9:$Z$108,MATCH(C492,'Borrowers'!$C$9:$C$108,0))="Yes",1,IF(INDEX('Borrowers'!$P$9:$P$108,MATCH(C492,'Borrowers'!$C$9:$C$108,0))=0,0,MIN(1,INDEX('Borrowers'!$P$9:$P$108,MATCH(C492,'Borrowers'!$C$9:$C$108,0))*EXP(MIN(20,INDEX('Borrowers'!$V$9:$V$108,MATCH(C492,'Borrowers'!$C$9:$C$108,0))*V492))))),"Unavailable"))</x:f>
      </x:c>
      <x:c r="R492" s="30" t="str">
        <x:f>IF(C492="","",IFERROR(MIN(1,INDEX('Borrowers'!$Q$9:$Q$108,MATCH(C492,'Borrowers'!$C$9:$C$108,0))+(1-INDEX('Borrowers'!$Q$9:$Q$108,MATCH(C492,'Borrowers'!$C$9:$C$108,0)))*T492),"Unavailable"))</x:f>
      </x:c>
      <x:c r="S492" s="30" t="str">
        <x:f>IF(C492="","",IFERROR(SUMPRODUCT((Sites!$D$9:$D$108=C492)*Sites!$I$9:$I$108*Sites!$J$9:$J$108*Sites!$K$9:$K$108*(1-Sites!$L$9:$L$108)),"Unavailable"))</x:f>
      </x:c>
      <x:c r="T492" s="30" t="str">
        <x:f>IF(C492="","",IFERROR(MIN(1,(SUMPRODUCT((Sites!$D$9:$D$108=C492)*Sites!$N$9:$N$108*Sites!$J$9:$J$108*Sites!$K$9:$K$108*(1-Sites!$L$9:$L$108)))*'Scenario Paths'!J27),"Unavailable"))</x:f>
      </x:c>
      <x:c r="U492" s="9" t="str">
        <x:f>IF(C492="","",IF(OR(INDEX('Borrowers'!$AA$9:$AA$108,MATCH(C492,'Borrowers'!$C$9:$C$108,0))&lt;&gt;"Ready",COUNTIF(Sites!$D$9:$D$108,C492)=0,COUNTIFS(Sites!$D$9:$D$108,C492,Sites!$Q$9:$Q$108,"&lt;&gt;Ready")&gt;0,'Scenario Paths'!$F$6&lt;&gt;"Ready"),"Review source inputs","Ready"))</x:f>
      </x:c>
      <x:c r="V492" s="17" t="str">
        <x:f>IF(C492="","",IFERROR(MAX(-1,(G492-O492)/MAX(0.000001,G492)),"Unavailable"))</x:f>
      </x:c>
      <x:c r="W492" s="9" t="str">
        <x:f>IF(C492="","",IFERROR(INDEX('Borrowers'!$D$9:$D$108,MATCH(C492,'Borrowers'!$C$9:$C$108,0)),"Unavailable"))</x:f>
      </x:c>
    </x:row>
    <x:row r="493" ht="26" customHeight="1">
      <x:c r="A493" s="1"/>
      <x:c r="B493" s="1"/>
      <x:c r="C493" s="9" t="str">
        <x:f>IF(Borrowers!C93="","",Borrowers!C93)</x:f>
      </x:c>
      <x:c r="D493" s="3" t="n">
        <x:v>5</x:v>
      </x:c>
      <x:c r="E493" s="9" t="n">
        <x:f>Settings!$F$18+4</x:f>
        <x:v>2031</x:v>
      </x:c>
      <x:c r="F493" s="9" t="str">
        <x:f>IF(C493="","",INDEX('Borrowers'!$F$9:$F$108,MATCH(C493,'Borrowers'!$C$9:$C$108,0)))</x:f>
      </x:c>
      <x:c r="G493" s="23" t="str">
        <x:f>IF(C493="","",IFERROR(INDEX('Borrowers'!$J$9:$J$108,MATCH(C493,'Borrowers'!$C$9:$C$108,0))-INDEX('Borrowers'!$K$9:$K$108,MATCH(C493,'Borrowers'!$C$9:$C$108,0)),"Unavailable"))</x:f>
      </x:c>
      <x:c r="H493" s="23" t="str">
        <x:f>IF(C493="","",IFERROR(INDEX('Borrowers'!$I$9:$I$108,MATCH(C493,'Borrowers'!$C$9:$C$108,0))*INDEX('Borrowers'!$U$9:$U$108,MATCH(C493,'Borrowers'!$C$9:$C$108,0))*(IF(F493="Transport",'Scenario Paths'!J156,IF(F493="Technology",'Scenario Paths'!J150,IF(F493="Utilities",'Scenario Paths'!J144,IF(F493="Agriculture",'Scenario Paths'!J138,IF(F493="Manufacturing",'Scenario Paths'!J132,IF(F493="Healthcare",'Scenario Paths'!J126,IF(F493="Hospitality",'Scenario Paths'!J120,IF(F493="Property",'Scenario Paths'!J114,IF(F493="Food",'Scenario Paths'!J108,IF(F493="Logistics",'Scenario Paths'!J102,IF(F493="Solar",'Scenario Paths'!J96,IF(F493="Cement",'Scenario Paths'!J90,0))))))))))))),"Unavailable"))</x:f>
      </x:c>
      <x:c r="I493" s="23" t="str">
        <x:f>IF(C493="","",IFERROR(INDEX('Borrowers'!$R$9:$R$108,MATCH(C493,'Borrowers'!$C$9:$C$108,0))*(1-INDEX('Borrowers'!$W$9:$W$108,MATCH(C493,'Borrowers'!$C$9:$C$108,0))*'Scenario Paths'!J39)*'Scenario Paths'!J9/1000000*(1-INDEX('Borrowers'!$T$9:$T$108,MATCH(C493,'Borrowers'!$C$9:$C$108,0))),"Unavailable"))</x:f>
      </x:c>
      <x:c r="J493" s="23" t="str">
        <x:f>IF(C493="","",IFERROR(INDEX('Borrowers'!$I$9:$I$108,MATCH(C493,'Borrowers'!$C$9:$C$108,0))*INDEX('Borrowers'!$S$9:$S$108,MATCH(C493,'Borrowers'!$C$9:$C$108,0))*'Scenario Paths'!J15*(1-INDEX('Borrowers'!$T$9:$T$108,MATCH(C493,'Borrowers'!$C$9:$C$108,0))),"Unavailable"))</x:f>
      </x:c>
      <x:c r="K493" s="23" t="str">
        <x:f>IF(C493="","",IFERROR(INDEX('Borrowers'!$I$9:$I$108,MATCH(C493,'Borrowers'!$C$9:$C$108,0))*INDEX('Borrowers'!$U$9:$U$108,MATCH(C493,'Borrowers'!$C$9:$C$108,0))*'Scenario Paths'!J21*S493,"Unavailable"))</x:f>
      </x:c>
      <x:c r="L493" s="23" t="str">
        <x:f>IF(C493="","",IFERROR(SUMPRODUCT((Sites!$D$9:$D$108=C493)*Sites!$H$9:$H$108*Sites!$J$9:$J$108*Sites!$K$9:$K$108*(1-Sites!$L$9:$L$108)*(1-Sites!$M$9:$M$108))*'Scenario Paths'!J27,"Unavailable"))</x:f>
      </x:c>
      <x:c r="M493" s="23" t="str">
        <x:f>IF(C493="","",IFERROR(INDEX('Borrowers'!$J$9:$J$108,MATCH(C493,'Borrowers'!$C$9:$C$108,0))+H493-SUM(I493:L493),"Unavailable"))</x:f>
      </x:c>
      <x:c r="N493" s="23" t="str">
        <x:f>IF(C493="","",IFERROR(INDEX('Borrowers'!$I$9:$I$108,MATCH(C493,'Borrowers'!$C$9:$C$108,0))*'Scenario Paths'!J33,"Unavailable"))</x:f>
      </x:c>
      <x:c r="O493" s="23" t="str">
        <x:f>IF(C493="","",IFERROR(M493-INDEX('Borrowers'!$K$9:$K$108,MATCH(C493,'Borrowers'!$C$9:$C$108,0))-N493,"Unavailable"))</x:f>
      </x:c>
      <x:c r="P493" s="127" t="str">
        <x:f>IF(C493="","",IFERROR(O493/INDEX('Borrowers'!$L$9:$L$108,MATCH(C493,'Borrowers'!$C$9:$C$108,0)),"Unavailable"))</x:f>
      </x:c>
      <x:c r="Q493" s="30" t="str">
        <x:f>IF(C493="","",IFERROR(IF(INDEX('Borrowers'!$Z$9:$Z$108,MATCH(C493,'Borrowers'!$C$9:$C$108,0))="Yes",1,IF(INDEX('Borrowers'!$P$9:$P$108,MATCH(C493,'Borrowers'!$C$9:$C$108,0))=0,0,MIN(1,INDEX('Borrowers'!$P$9:$P$108,MATCH(C493,'Borrowers'!$C$9:$C$108,0))*EXP(MIN(20,INDEX('Borrowers'!$V$9:$V$108,MATCH(C493,'Borrowers'!$C$9:$C$108,0))*V493))))),"Unavailable"))</x:f>
      </x:c>
      <x:c r="R493" s="30" t="str">
        <x:f>IF(C493="","",IFERROR(MIN(1,INDEX('Borrowers'!$Q$9:$Q$108,MATCH(C493,'Borrowers'!$C$9:$C$108,0))+(1-INDEX('Borrowers'!$Q$9:$Q$108,MATCH(C493,'Borrowers'!$C$9:$C$108,0)))*T493),"Unavailable"))</x:f>
      </x:c>
      <x:c r="S493" s="30" t="str">
        <x:f>IF(C493="","",IFERROR(SUMPRODUCT((Sites!$D$9:$D$108=C493)*Sites!$I$9:$I$108*Sites!$J$9:$J$108*Sites!$K$9:$K$108*(1-Sites!$L$9:$L$108)),"Unavailable"))</x:f>
      </x:c>
      <x:c r="T493" s="30" t="str">
        <x:f>IF(C493="","",IFERROR(MIN(1,(SUMPRODUCT((Sites!$D$9:$D$108=C493)*Sites!$N$9:$N$108*Sites!$J$9:$J$108*Sites!$K$9:$K$108*(1-Sites!$L$9:$L$108)))*'Scenario Paths'!J27),"Unavailable"))</x:f>
      </x:c>
      <x:c r="U493" s="9" t="str">
        <x:f>IF(C493="","",IF(OR(INDEX('Borrowers'!$AA$9:$AA$108,MATCH(C493,'Borrowers'!$C$9:$C$108,0))&lt;&gt;"Ready",COUNTIF(Sites!$D$9:$D$108,C493)=0,COUNTIFS(Sites!$D$9:$D$108,C493,Sites!$Q$9:$Q$108,"&lt;&gt;Ready")&gt;0,'Scenario Paths'!$F$6&lt;&gt;"Ready"),"Review source inputs","Ready"))</x:f>
      </x:c>
      <x:c r="V493" s="17" t="str">
        <x:f>IF(C493="","",IFERROR(MAX(-1,(G493-O493)/MAX(0.000001,G493)),"Unavailable"))</x:f>
      </x:c>
      <x:c r="W493" s="9" t="str">
        <x:f>IF(C493="","",IFERROR(INDEX('Borrowers'!$D$9:$D$108,MATCH(C493,'Borrowers'!$C$9:$C$108,0)),"Unavailable"))</x:f>
      </x:c>
    </x:row>
    <x:row r="494" ht="26" customHeight="1">
      <x:c r="A494" s="1"/>
      <x:c r="B494" s="1"/>
      <x:c r="C494" s="9" t="str">
        <x:f>IF(Borrowers!C94="","",Borrowers!C94)</x:f>
      </x:c>
      <x:c r="D494" s="3" t="n">
        <x:v>5</x:v>
      </x:c>
      <x:c r="E494" s="9" t="n">
        <x:f>Settings!$F$18+4</x:f>
        <x:v>2031</x:v>
      </x:c>
      <x:c r="F494" s="9" t="str">
        <x:f>IF(C494="","",INDEX('Borrowers'!$F$9:$F$108,MATCH(C494,'Borrowers'!$C$9:$C$108,0)))</x:f>
      </x:c>
      <x:c r="G494" s="23" t="str">
        <x:f>IF(C494="","",IFERROR(INDEX('Borrowers'!$J$9:$J$108,MATCH(C494,'Borrowers'!$C$9:$C$108,0))-INDEX('Borrowers'!$K$9:$K$108,MATCH(C494,'Borrowers'!$C$9:$C$108,0)),"Unavailable"))</x:f>
      </x:c>
      <x:c r="H494" s="23" t="str">
        <x:f>IF(C494="","",IFERROR(INDEX('Borrowers'!$I$9:$I$108,MATCH(C494,'Borrowers'!$C$9:$C$108,0))*INDEX('Borrowers'!$U$9:$U$108,MATCH(C494,'Borrowers'!$C$9:$C$108,0))*(IF(F494="Transport",'Scenario Paths'!J156,IF(F494="Technology",'Scenario Paths'!J150,IF(F494="Utilities",'Scenario Paths'!J144,IF(F494="Agriculture",'Scenario Paths'!J138,IF(F494="Manufacturing",'Scenario Paths'!J132,IF(F494="Healthcare",'Scenario Paths'!J126,IF(F494="Hospitality",'Scenario Paths'!J120,IF(F494="Property",'Scenario Paths'!J114,IF(F494="Food",'Scenario Paths'!J108,IF(F494="Logistics",'Scenario Paths'!J102,IF(F494="Solar",'Scenario Paths'!J96,IF(F494="Cement",'Scenario Paths'!J90,0))))))))))))),"Unavailable"))</x:f>
      </x:c>
      <x:c r="I494" s="23" t="str">
        <x:f>IF(C494="","",IFERROR(INDEX('Borrowers'!$R$9:$R$108,MATCH(C494,'Borrowers'!$C$9:$C$108,0))*(1-INDEX('Borrowers'!$W$9:$W$108,MATCH(C494,'Borrowers'!$C$9:$C$108,0))*'Scenario Paths'!J39)*'Scenario Paths'!J9/1000000*(1-INDEX('Borrowers'!$T$9:$T$108,MATCH(C494,'Borrowers'!$C$9:$C$108,0))),"Unavailable"))</x:f>
      </x:c>
      <x:c r="J494" s="23" t="str">
        <x:f>IF(C494="","",IFERROR(INDEX('Borrowers'!$I$9:$I$108,MATCH(C494,'Borrowers'!$C$9:$C$108,0))*INDEX('Borrowers'!$S$9:$S$108,MATCH(C494,'Borrowers'!$C$9:$C$108,0))*'Scenario Paths'!J15*(1-INDEX('Borrowers'!$T$9:$T$108,MATCH(C494,'Borrowers'!$C$9:$C$108,0))),"Unavailable"))</x:f>
      </x:c>
      <x:c r="K494" s="23" t="str">
        <x:f>IF(C494="","",IFERROR(INDEX('Borrowers'!$I$9:$I$108,MATCH(C494,'Borrowers'!$C$9:$C$108,0))*INDEX('Borrowers'!$U$9:$U$108,MATCH(C494,'Borrowers'!$C$9:$C$108,0))*'Scenario Paths'!J21*S494,"Unavailable"))</x:f>
      </x:c>
      <x:c r="L494" s="23" t="str">
        <x:f>IF(C494="","",IFERROR(SUMPRODUCT((Sites!$D$9:$D$108=C494)*Sites!$H$9:$H$108*Sites!$J$9:$J$108*Sites!$K$9:$K$108*(1-Sites!$L$9:$L$108)*(1-Sites!$M$9:$M$108))*'Scenario Paths'!J27,"Unavailable"))</x:f>
      </x:c>
      <x:c r="M494" s="23" t="str">
        <x:f>IF(C494="","",IFERROR(INDEX('Borrowers'!$J$9:$J$108,MATCH(C494,'Borrowers'!$C$9:$C$108,0))+H494-SUM(I494:L494),"Unavailable"))</x:f>
      </x:c>
      <x:c r="N494" s="23" t="str">
        <x:f>IF(C494="","",IFERROR(INDEX('Borrowers'!$I$9:$I$108,MATCH(C494,'Borrowers'!$C$9:$C$108,0))*'Scenario Paths'!J33,"Unavailable"))</x:f>
      </x:c>
      <x:c r="O494" s="23" t="str">
        <x:f>IF(C494="","",IFERROR(M494-INDEX('Borrowers'!$K$9:$K$108,MATCH(C494,'Borrowers'!$C$9:$C$108,0))-N494,"Unavailable"))</x:f>
      </x:c>
      <x:c r="P494" s="127" t="str">
        <x:f>IF(C494="","",IFERROR(O494/INDEX('Borrowers'!$L$9:$L$108,MATCH(C494,'Borrowers'!$C$9:$C$108,0)),"Unavailable"))</x:f>
      </x:c>
      <x:c r="Q494" s="30" t="str">
        <x:f>IF(C494="","",IFERROR(IF(INDEX('Borrowers'!$Z$9:$Z$108,MATCH(C494,'Borrowers'!$C$9:$C$108,0))="Yes",1,IF(INDEX('Borrowers'!$P$9:$P$108,MATCH(C494,'Borrowers'!$C$9:$C$108,0))=0,0,MIN(1,INDEX('Borrowers'!$P$9:$P$108,MATCH(C494,'Borrowers'!$C$9:$C$108,0))*EXP(MIN(20,INDEX('Borrowers'!$V$9:$V$108,MATCH(C494,'Borrowers'!$C$9:$C$108,0))*V494))))),"Unavailable"))</x:f>
      </x:c>
      <x:c r="R494" s="30" t="str">
        <x:f>IF(C494="","",IFERROR(MIN(1,INDEX('Borrowers'!$Q$9:$Q$108,MATCH(C494,'Borrowers'!$C$9:$C$108,0))+(1-INDEX('Borrowers'!$Q$9:$Q$108,MATCH(C494,'Borrowers'!$C$9:$C$108,0)))*T494),"Unavailable"))</x:f>
      </x:c>
      <x:c r="S494" s="30" t="str">
        <x:f>IF(C494="","",IFERROR(SUMPRODUCT((Sites!$D$9:$D$108=C494)*Sites!$I$9:$I$108*Sites!$J$9:$J$108*Sites!$K$9:$K$108*(1-Sites!$L$9:$L$108)),"Unavailable"))</x:f>
      </x:c>
      <x:c r="T494" s="30" t="str">
        <x:f>IF(C494="","",IFERROR(MIN(1,(SUMPRODUCT((Sites!$D$9:$D$108=C494)*Sites!$N$9:$N$108*Sites!$J$9:$J$108*Sites!$K$9:$K$108*(1-Sites!$L$9:$L$108)))*'Scenario Paths'!J27),"Unavailable"))</x:f>
      </x:c>
      <x:c r="U494" s="9" t="str">
        <x:f>IF(C494="","",IF(OR(INDEX('Borrowers'!$AA$9:$AA$108,MATCH(C494,'Borrowers'!$C$9:$C$108,0))&lt;&gt;"Ready",COUNTIF(Sites!$D$9:$D$108,C494)=0,COUNTIFS(Sites!$D$9:$D$108,C494,Sites!$Q$9:$Q$108,"&lt;&gt;Ready")&gt;0,'Scenario Paths'!$F$6&lt;&gt;"Ready"),"Review source inputs","Ready"))</x:f>
      </x:c>
      <x:c r="V494" s="17" t="str">
        <x:f>IF(C494="","",IFERROR(MAX(-1,(G494-O494)/MAX(0.000001,G494)),"Unavailable"))</x:f>
      </x:c>
      <x:c r="W494" s="9" t="str">
        <x:f>IF(C494="","",IFERROR(INDEX('Borrowers'!$D$9:$D$108,MATCH(C494,'Borrowers'!$C$9:$C$108,0)),"Unavailable"))</x:f>
      </x:c>
    </x:row>
    <x:row r="495" ht="26" customHeight="1">
      <x:c r="A495" s="1"/>
      <x:c r="B495" s="1"/>
      <x:c r="C495" s="9" t="str">
        <x:f>IF(Borrowers!C95="","",Borrowers!C95)</x:f>
      </x:c>
      <x:c r="D495" s="3" t="n">
        <x:v>5</x:v>
      </x:c>
      <x:c r="E495" s="9" t="n">
        <x:f>Settings!$F$18+4</x:f>
        <x:v>2031</x:v>
      </x:c>
      <x:c r="F495" s="9" t="str">
        <x:f>IF(C495="","",INDEX('Borrowers'!$F$9:$F$108,MATCH(C495,'Borrowers'!$C$9:$C$108,0)))</x:f>
      </x:c>
      <x:c r="G495" s="23" t="str">
        <x:f>IF(C495="","",IFERROR(INDEX('Borrowers'!$J$9:$J$108,MATCH(C495,'Borrowers'!$C$9:$C$108,0))-INDEX('Borrowers'!$K$9:$K$108,MATCH(C495,'Borrowers'!$C$9:$C$108,0)),"Unavailable"))</x:f>
      </x:c>
      <x:c r="H495" s="23" t="str">
        <x:f>IF(C495="","",IFERROR(INDEX('Borrowers'!$I$9:$I$108,MATCH(C495,'Borrowers'!$C$9:$C$108,0))*INDEX('Borrowers'!$U$9:$U$108,MATCH(C495,'Borrowers'!$C$9:$C$108,0))*(IF(F495="Transport",'Scenario Paths'!J156,IF(F495="Technology",'Scenario Paths'!J150,IF(F495="Utilities",'Scenario Paths'!J144,IF(F495="Agriculture",'Scenario Paths'!J138,IF(F495="Manufacturing",'Scenario Paths'!J132,IF(F495="Healthcare",'Scenario Paths'!J126,IF(F495="Hospitality",'Scenario Paths'!J120,IF(F495="Property",'Scenario Paths'!J114,IF(F495="Food",'Scenario Paths'!J108,IF(F495="Logistics",'Scenario Paths'!J102,IF(F495="Solar",'Scenario Paths'!J96,IF(F495="Cement",'Scenario Paths'!J90,0))))))))))))),"Unavailable"))</x:f>
      </x:c>
      <x:c r="I495" s="23" t="str">
        <x:f>IF(C495="","",IFERROR(INDEX('Borrowers'!$R$9:$R$108,MATCH(C495,'Borrowers'!$C$9:$C$108,0))*(1-INDEX('Borrowers'!$W$9:$W$108,MATCH(C495,'Borrowers'!$C$9:$C$108,0))*'Scenario Paths'!J39)*'Scenario Paths'!J9/1000000*(1-INDEX('Borrowers'!$T$9:$T$108,MATCH(C495,'Borrowers'!$C$9:$C$108,0))),"Unavailable"))</x:f>
      </x:c>
      <x:c r="J495" s="23" t="str">
        <x:f>IF(C495="","",IFERROR(INDEX('Borrowers'!$I$9:$I$108,MATCH(C495,'Borrowers'!$C$9:$C$108,0))*INDEX('Borrowers'!$S$9:$S$108,MATCH(C495,'Borrowers'!$C$9:$C$108,0))*'Scenario Paths'!J15*(1-INDEX('Borrowers'!$T$9:$T$108,MATCH(C495,'Borrowers'!$C$9:$C$108,0))),"Unavailable"))</x:f>
      </x:c>
      <x:c r="K495" s="23" t="str">
        <x:f>IF(C495="","",IFERROR(INDEX('Borrowers'!$I$9:$I$108,MATCH(C495,'Borrowers'!$C$9:$C$108,0))*INDEX('Borrowers'!$U$9:$U$108,MATCH(C495,'Borrowers'!$C$9:$C$108,0))*'Scenario Paths'!J21*S495,"Unavailable"))</x:f>
      </x:c>
      <x:c r="L495" s="23" t="str">
        <x:f>IF(C495="","",IFERROR(SUMPRODUCT((Sites!$D$9:$D$108=C495)*Sites!$H$9:$H$108*Sites!$J$9:$J$108*Sites!$K$9:$K$108*(1-Sites!$L$9:$L$108)*(1-Sites!$M$9:$M$108))*'Scenario Paths'!J27,"Unavailable"))</x:f>
      </x:c>
      <x:c r="M495" s="23" t="str">
        <x:f>IF(C495="","",IFERROR(INDEX('Borrowers'!$J$9:$J$108,MATCH(C495,'Borrowers'!$C$9:$C$108,0))+H495-SUM(I495:L495),"Unavailable"))</x:f>
      </x:c>
      <x:c r="N495" s="23" t="str">
        <x:f>IF(C495="","",IFERROR(INDEX('Borrowers'!$I$9:$I$108,MATCH(C495,'Borrowers'!$C$9:$C$108,0))*'Scenario Paths'!J33,"Unavailable"))</x:f>
      </x:c>
      <x:c r="O495" s="23" t="str">
        <x:f>IF(C495="","",IFERROR(M495-INDEX('Borrowers'!$K$9:$K$108,MATCH(C495,'Borrowers'!$C$9:$C$108,0))-N495,"Unavailable"))</x:f>
      </x:c>
      <x:c r="P495" s="127" t="str">
        <x:f>IF(C495="","",IFERROR(O495/INDEX('Borrowers'!$L$9:$L$108,MATCH(C495,'Borrowers'!$C$9:$C$108,0)),"Unavailable"))</x:f>
      </x:c>
      <x:c r="Q495" s="30" t="str">
        <x:f>IF(C495="","",IFERROR(IF(INDEX('Borrowers'!$Z$9:$Z$108,MATCH(C495,'Borrowers'!$C$9:$C$108,0))="Yes",1,IF(INDEX('Borrowers'!$P$9:$P$108,MATCH(C495,'Borrowers'!$C$9:$C$108,0))=0,0,MIN(1,INDEX('Borrowers'!$P$9:$P$108,MATCH(C495,'Borrowers'!$C$9:$C$108,0))*EXP(MIN(20,INDEX('Borrowers'!$V$9:$V$108,MATCH(C495,'Borrowers'!$C$9:$C$108,0))*V495))))),"Unavailable"))</x:f>
      </x:c>
      <x:c r="R495" s="30" t="str">
        <x:f>IF(C495="","",IFERROR(MIN(1,INDEX('Borrowers'!$Q$9:$Q$108,MATCH(C495,'Borrowers'!$C$9:$C$108,0))+(1-INDEX('Borrowers'!$Q$9:$Q$108,MATCH(C495,'Borrowers'!$C$9:$C$108,0)))*T495),"Unavailable"))</x:f>
      </x:c>
      <x:c r="S495" s="30" t="str">
        <x:f>IF(C495="","",IFERROR(SUMPRODUCT((Sites!$D$9:$D$108=C495)*Sites!$I$9:$I$108*Sites!$J$9:$J$108*Sites!$K$9:$K$108*(1-Sites!$L$9:$L$108)),"Unavailable"))</x:f>
      </x:c>
      <x:c r="T495" s="30" t="str">
        <x:f>IF(C495="","",IFERROR(MIN(1,(SUMPRODUCT((Sites!$D$9:$D$108=C495)*Sites!$N$9:$N$108*Sites!$J$9:$J$108*Sites!$K$9:$K$108*(1-Sites!$L$9:$L$108)))*'Scenario Paths'!J27),"Unavailable"))</x:f>
      </x:c>
      <x:c r="U495" s="9" t="str">
        <x:f>IF(C495="","",IF(OR(INDEX('Borrowers'!$AA$9:$AA$108,MATCH(C495,'Borrowers'!$C$9:$C$108,0))&lt;&gt;"Ready",COUNTIF(Sites!$D$9:$D$108,C495)=0,COUNTIFS(Sites!$D$9:$D$108,C495,Sites!$Q$9:$Q$108,"&lt;&gt;Ready")&gt;0,'Scenario Paths'!$F$6&lt;&gt;"Ready"),"Review source inputs","Ready"))</x:f>
      </x:c>
      <x:c r="V495" s="17" t="str">
        <x:f>IF(C495="","",IFERROR(MAX(-1,(G495-O495)/MAX(0.000001,G495)),"Unavailable"))</x:f>
      </x:c>
      <x:c r="W495" s="9" t="str">
        <x:f>IF(C495="","",IFERROR(INDEX('Borrowers'!$D$9:$D$108,MATCH(C495,'Borrowers'!$C$9:$C$108,0)),"Unavailable"))</x:f>
      </x:c>
    </x:row>
    <x:row r="496" ht="26" customHeight="1">
      <x:c r="A496" s="1"/>
      <x:c r="B496" s="1"/>
      <x:c r="C496" s="9" t="str">
        <x:f>IF(Borrowers!C96="","",Borrowers!C96)</x:f>
      </x:c>
      <x:c r="D496" s="3" t="n">
        <x:v>5</x:v>
      </x:c>
      <x:c r="E496" s="9" t="n">
        <x:f>Settings!$F$18+4</x:f>
        <x:v>2031</x:v>
      </x:c>
      <x:c r="F496" s="9" t="str">
        <x:f>IF(C496="","",INDEX('Borrowers'!$F$9:$F$108,MATCH(C496,'Borrowers'!$C$9:$C$108,0)))</x:f>
      </x:c>
      <x:c r="G496" s="23" t="str">
        <x:f>IF(C496="","",IFERROR(INDEX('Borrowers'!$J$9:$J$108,MATCH(C496,'Borrowers'!$C$9:$C$108,0))-INDEX('Borrowers'!$K$9:$K$108,MATCH(C496,'Borrowers'!$C$9:$C$108,0)),"Unavailable"))</x:f>
      </x:c>
      <x:c r="H496" s="23" t="str">
        <x:f>IF(C496="","",IFERROR(INDEX('Borrowers'!$I$9:$I$108,MATCH(C496,'Borrowers'!$C$9:$C$108,0))*INDEX('Borrowers'!$U$9:$U$108,MATCH(C496,'Borrowers'!$C$9:$C$108,0))*(IF(F496="Transport",'Scenario Paths'!J156,IF(F496="Technology",'Scenario Paths'!J150,IF(F496="Utilities",'Scenario Paths'!J144,IF(F496="Agriculture",'Scenario Paths'!J138,IF(F496="Manufacturing",'Scenario Paths'!J132,IF(F496="Healthcare",'Scenario Paths'!J126,IF(F496="Hospitality",'Scenario Paths'!J120,IF(F496="Property",'Scenario Paths'!J114,IF(F496="Food",'Scenario Paths'!J108,IF(F496="Logistics",'Scenario Paths'!J102,IF(F496="Solar",'Scenario Paths'!J96,IF(F496="Cement",'Scenario Paths'!J90,0))))))))))))),"Unavailable"))</x:f>
      </x:c>
      <x:c r="I496" s="23" t="str">
        <x:f>IF(C496="","",IFERROR(INDEX('Borrowers'!$R$9:$R$108,MATCH(C496,'Borrowers'!$C$9:$C$108,0))*(1-INDEX('Borrowers'!$W$9:$W$108,MATCH(C496,'Borrowers'!$C$9:$C$108,0))*'Scenario Paths'!J39)*'Scenario Paths'!J9/1000000*(1-INDEX('Borrowers'!$T$9:$T$108,MATCH(C496,'Borrowers'!$C$9:$C$108,0))),"Unavailable"))</x:f>
      </x:c>
      <x:c r="J496" s="23" t="str">
        <x:f>IF(C496="","",IFERROR(INDEX('Borrowers'!$I$9:$I$108,MATCH(C496,'Borrowers'!$C$9:$C$108,0))*INDEX('Borrowers'!$S$9:$S$108,MATCH(C496,'Borrowers'!$C$9:$C$108,0))*'Scenario Paths'!J15*(1-INDEX('Borrowers'!$T$9:$T$108,MATCH(C496,'Borrowers'!$C$9:$C$108,0))),"Unavailable"))</x:f>
      </x:c>
      <x:c r="K496" s="23" t="str">
        <x:f>IF(C496="","",IFERROR(INDEX('Borrowers'!$I$9:$I$108,MATCH(C496,'Borrowers'!$C$9:$C$108,0))*INDEX('Borrowers'!$U$9:$U$108,MATCH(C496,'Borrowers'!$C$9:$C$108,0))*'Scenario Paths'!J21*S496,"Unavailable"))</x:f>
      </x:c>
      <x:c r="L496" s="23" t="str">
        <x:f>IF(C496="","",IFERROR(SUMPRODUCT((Sites!$D$9:$D$108=C496)*Sites!$H$9:$H$108*Sites!$J$9:$J$108*Sites!$K$9:$K$108*(1-Sites!$L$9:$L$108)*(1-Sites!$M$9:$M$108))*'Scenario Paths'!J27,"Unavailable"))</x:f>
      </x:c>
      <x:c r="M496" s="23" t="str">
        <x:f>IF(C496="","",IFERROR(INDEX('Borrowers'!$J$9:$J$108,MATCH(C496,'Borrowers'!$C$9:$C$108,0))+H496-SUM(I496:L496),"Unavailable"))</x:f>
      </x:c>
      <x:c r="N496" s="23" t="str">
        <x:f>IF(C496="","",IFERROR(INDEX('Borrowers'!$I$9:$I$108,MATCH(C496,'Borrowers'!$C$9:$C$108,0))*'Scenario Paths'!J33,"Unavailable"))</x:f>
      </x:c>
      <x:c r="O496" s="23" t="str">
        <x:f>IF(C496="","",IFERROR(M496-INDEX('Borrowers'!$K$9:$K$108,MATCH(C496,'Borrowers'!$C$9:$C$108,0))-N496,"Unavailable"))</x:f>
      </x:c>
      <x:c r="P496" s="127" t="str">
        <x:f>IF(C496="","",IFERROR(O496/INDEX('Borrowers'!$L$9:$L$108,MATCH(C496,'Borrowers'!$C$9:$C$108,0)),"Unavailable"))</x:f>
      </x:c>
      <x:c r="Q496" s="30" t="str">
        <x:f>IF(C496="","",IFERROR(IF(INDEX('Borrowers'!$Z$9:$Z$108,MATCH(C496,'Borrowers'!$C$9:$C$108,0))="Yes",1,IF(INDEX('Borrowers'!$P$9:$P$108,MATCH(C496,'Borrowers'!$C$9:$C$108,0))=0,0,MIN(1,INDEX('Borrowers'!$P$9:$P$108,MATCH(C496,'Borrowers'!$C$9:$C$108,0))*EXP(MIN(20,INDEX('Borrowers'!$V$9:$V$108,MATCH(C496,'Borrowers'!$C$9:$C$108,0))*V496))))),"Unavailable"))</x:f>
      </x:c>
      <x:c r="R496" s="30" t="str">
        <x:f>IF(C496="","",IFERROR(MIN(1,INDEX('Borrowers'!$Q$9:$Q$108,MATCH(C496,'Borrowers'!$C$9:$C$108,0))+(1-INDEX('Borrowers'!$Q$9:$Q$108,MATCH(C496,'Borrowers'!$C$9:$C$108,0)))*T496),"Unavailable"))</x:f>
      </x:c>
      <x:c r="S496" s="30" t="str">
        <x:f>IF(C496="","",IFERROR(SUMPRODUCT((Sites!$D$9:$D$108=C496)*Sites!$I$9:$I$108*Sites!$J$9:$J$108*Sites!$K$9:$K$108*(1-Sites!$L$9:$L$108)),"Unavailable"))</x:f>
      </x:c>
      <x:c r="T496" s="30" t="str">
        <x:f>IF(C496="","",IFERROR(MIN(1,(SUMPRODUCT((Sites!$D$9:$D$108=C496)*Sites!$N$9:$N$108*Sites!$J$9:$J$108*Sites!$K$9:$K$108*(1-Sites!$L$9:$L$108)))*'Scenario Paths'!J27),"Unavailable"))</x:f>
      </x:c>
      <x:c r="U496" s="9" t="str">
        <x:f>IF(C496="","",IF(OR(INDEX('Borrowers'!$AA$9:$AA$108,MATCH(C496,'Borrowers'!$C$9:$C$108,0))&lt;&gt;"Ready",COUNTIF(Sites!$D$9:$D$108,C496)=0,COUNTIFS(Sites!$D$9:$D$108,C496,Sites!$Q$9:$Q$108,"&lt;&gt;Ready")&gt;0,'Scenario Paths'!$F$6&lt;&gt;"Ready"),"Review source inputs","Ready"))</x:f>
      </x:c>
      <x:c r="V496" s="17" t="str">
        <x:f>IF(C496="","",IFERROR(MAX(-1,(G496-O496)/MAX(0.000001,G496)),"Unavailable"))</x:f>
      </x:c>
      <x:c r="W496" s="9" t="str">
        <x:f>IF(C496="","",IFERROR(INDEX('Borrowers'!$D$9:$D$108,MATCH(C496,'Borrowers'!$C$9:$C$108,0)),"Unavailable"))</x:f>
      </x:c>
    </x:row>
    <x:row r="497" ht="26" customHeight="1">
      <x:c r="A497" s="1"/>
      <x:c r="B497" s="1"/>
      <x:c r="C497" s="9" t="str">
        <x:f>IF(Borrowers!C97="","",Borrowers!C97)</x:f>
      </x:c>
      <x:c r="D497" s="3" t="n">
        <x:v>5</x:v>
      </x:c>
      <x:c r="E497" s="9" t="n">
        <x:f>Settings!$F$18+4</x:f>
        <x:v>2031</x:v>
      </x:c>
      <x:c r="F497" s="9" t="str">
        <x:f>IF(C497="","",INDEX('Borrowers'!$F$9:$F$108,MATCH(C497,'Borrowers'!$C$9:$C$108,0)))</x:f>
      </x:c>
      <x:c r="G497" s="23" t="str">
        <x:f>IF(C497="","",IFERROR(INDEX('Borrowers'!$J$9:$J$108,MATCH(C497,'Borrowers'!$C$9:$C$108,0))-INDEX('Borrowers'!$K$9:$K$108,MATCH(C497,'Borrowers'!$C$9:$C$108,0)),"Unavailable"))</x:f>
      </x:c>
      <x:c r="H497" s="23" t="str">
        <x:f>IF(C497="","",IFERROR(INDEX('Borrowers'!$I$9:$I$108,MATCH(C497,'Borrowers'!$C$9:$C$108,0))*INDEX('Borrowers'!$U$9:$U$108,MATCH(C497,'Borrowers'!$C$9:$C$108,0))*(IF(F497="Transport",'Scenario Paths'!J156,IF(F497="Technology",'Scenario Paths'!J150,IF(F497="Utilities",'Scenario Paths'!J144,IF(F497="Agriculture",'Scenario Paths'!J138,IF(F497="Manufacturing",'Scenario Paths'!J132,IF(F497="Healthcare",'Scenario Paths'!J126,IF(F497="Hospitality",'Scenario Paths'!J120,IF(F497="Property",'Scenario Paths'!J114,IF(F497="Food",'Scenario Paths'!J108,IF(F497="Logistics",'Scenario Paths'!J102,IF(F497="Solar",'Scenario Paths'!J96,IF(F497="Cement",'Scenario Paths'!J90,0))))))))))))),"Unavailable"))</x:f>
      </x:c>
      <x:c r="I497" s="23" t="str">
        <x:f>IF(C497="","",IFERROR(INDEX('Borrowers'!$R$9:$R$108,MATCH(C497,'Borrowers'!$C$9:$C$108,0))*(1-INDEX('Borrowers'!$W$9:$W$108,MATCH(C497,'Borrowers'!$C$9:$C$108,0))*'Scenario Paths'!J39)*'Scenario Paths'!J9/1000000*(1-INDEX('Borrowers'!$T$9:$T$108,MATCH(C497,'Borrowers'!$C$9:$C$108,0))),"Unavailable"))</x:f>
      </x:c>
      <x:c r="J497" s="23" t="str">
        <x:f>IF(C497="","",IFERROR(INDEX('Borrowers'!$I$9:$I$108,MATCH(C497,'Borrowers'!$C$9:$C$108,0))*INDEX('Borrowers'!$S$9:$S$108,MATCH(C497,'Borrowers'!$C$9:$C$108,0))*'Scenario Paths'!J15*(1-INDEX('Borrowers'!$T$9:$T$108,MATCH(C497,'Borrowers'!$C$9:$C$108,0))),"Unavailable"))</x:f>
      </x:c>
      <x:c r="K497" s="23" t="str">
        <x:f>IF(C497="","",IFERROR(INDEX('Borrowers'!$I$9:$I$108,MATCH(C497,'Borrowers'!$C$9:$C$108,0))*INDEX('Borrowers'!$U$9:$U$108,MATCH(C497,'Borrowers'!$C$9:$C$108,0))*'Scenario Paths'!J21*S497,"Unavailable"))</x:f>
      </x:c>
      <x:c r="L497" s="23" t="str">
        <x:f>IF(C497="","",IFERROR(SUMPRODUCT((Sites!$D$9:$D$108=C497)*Sites!$H$9:$H$108*Sites!$J$9:$J$108*Sites!$K$9:$K$108*(1-Sites!$L$9:$L$108)*(1-Sites!$M$9:$M$108))*'Scenario Paths'!J27,"Unavailable"))</x:f>
      </x:c>
      <x:c r="M497" s="23" t="str">
        <x:f>IF(C497="","",IFERROR(INDEX('Borrowers'!$J$9:$J$108,MATCH(C497,'Borrowers'!$C$9:$C$108,0))+H497-SUM(I497:L497),"Unavailable"))</x:f>
      </x:c>
      <x:c r="N497" s="23" t="str">
        <x:f>IF(C497="","",IFERROR(INDEX('Borrowers'!$I$9:$I$108,MATCH(C497,'Borrowers'!$C$9:$C$108,0))*'Scenario Paths'!J33,"Unavailable"))</x:f>
      </x:c>
      <x:c r="O497" s="23" t="str">
        <x:f>IF(C497="","",IFERROR(M497-INDEX('Borrowers'!$K$9:$K$108,MATCH(C497,'Borrowers'!$C$9:$C$108,0))-N497,"Unavailable"))</x:f>
      </x:c>
      <x:c r="P497" s="127" t="str">
        <x:f>IF(C497="","",IFERROR(O497/INDEX('Borrowers'!$L$9:$L$108,MATCH(C497,'Borrowers'!$C$9:$C$108,0)),"Unavailable"))</x:f>
      </x:c>
      <x:c r="Q497" s="30" t="str">
        <x:f>IF(C497="","",IFERROR(IF(INDEX('Borrowers'!$Z$9:$Z$108,MATCH(C497,'Borrowers'!$C$9:$C$108,0))="Yes",1,IF(INDEX('Borrowers'!$P$9:$P$108,MATCH(C497,'Borrowers'!$C$9:$C$108,0))=0,0,MIN(1,INDEX('Borrowers'!$P$9:$P$108,MATCH(C497,'Borrowers'!$C$9:$C$108,0))*EXP(MIN(20,INDEX('Borrowers'!$V$9:$V$108,MATCH(C497,'Borrowers'!$C$9:$C$108,0))*V497))))),"Unavailable"))</x:f>
      </x:c>
      <x:c r="R497" s="30" t="str">
        <x:f>IF(C497="","",IFERROR(MIN(1,INDEX('Borrowers'!$Q$9:$Q$108,MATCH(C497,'Borrowers'!$C$9:$C$108,0))+(1-INDEX('Borrowers'!$Q$9:$Q$108,MATCH(C497,'Borrowers'!$C$9:$C$108,0)))*T497),"Unavailable"))</x:f>
      </x:c>
      <x:c r="S497" s="30" t="str">
        <x:f>IF(C497="","",IFERROR(SUMPRODUCT((Sites!$D$9:$D$108=C497)*Sites!$I$9:$I$108*Sites!$J$9:$J$108*Sites!$K$9:$K$108*(1-Sites!$L$9:$L$108)),"Unavailable"))</x:f>
      </x:c>
      <x:c r="T497" s="30" t="str">
        <x:f>IF(C497="","",IFERROR(MIN(1,(SUMPRODUCT((Sites!$D$9:$D$108=C497)*Sites!$N$9:$N$108*Sites!$J$9:$J$108*Sites!$K$9:$K$108*(1-Sites!$L$9:$L$108)))*'Scenario Paths'!J27),"Unavailable"))</x:f>
      </x:c>
      <x:c r="U497" s="9" t="str">
        <x:f>IF(C497="","",IF(OR(INDEX('Borrowers'!$AA$9:$AA$108,MATCH(C497,'Borrowers'!$C$9:$C$108,0))&lt;&gt;"Ready",COUNTIF(Sites!$D$9:$D$108,C497)=0,COUNTIFS(Sites!$D$9:$D$108,C497,Sites!$Q$9:$Q$108,"&lt;&gt;Ready")&gt;0,'Scenario Paths'!$F$6&lt;&gt;"Ready"),"Review source inputs","Ready"))</x:f>
      </x:c>
      <x:c r="V497" s="17" t="str">
        <x:f>IF(C497="","",IFERROR(MAX(-1,(G497-O497)/MAX(0.000001,G497)),"Unavailable"))</x:f>
      </x:c>
      <x:c r="W497" s="9" t="str">
        <x:f>IF(C497="","",IFERROR(INDEX('Borrowers'!$D$9:$D$108,MATCH(C497,'Borrowers'!$C$9:$C$108,0)),"Unavailable"))</x:f>
      </x:c>
    </x:row>
    <x:row r="498" ht="26" customHeight="1">
      <x:c r="A498" s="1"/>
      <x:c r="B498" s="1"/>
      <x:c r="C498" s="9" t="str">
        <x:f>IF(Borrowers!C98="","",Borrowers!C98)</x:f>
      </x:c>
      <x:c r="D498" s="3" t="n">
        <x:v>5</x:v>
      </x:c>
      <x:c r="E498" s="9" t="n">
        <x:f>Settings!$F$18+4</x:f>
        <x:v>2031</x:v>
      </x:c>
      <x:c r="F498" s="9" t="str">
        <x:f>IF(C498="","",INDEX('Borrowers'!$F$9:$F$108,MATCH(C498,'Borrowers'!$C$9:$C$108,0)))</x:f>
      </x:c>
      <x:c r="G498" s="23" t="str">
        <x:f>IF(C498="","",IFERROR(INDEX('Borrowers'!$J$9:$J$108,MATCH(C498,'Borrowers'!$C$9:$C$108,0))-INDEX('Borrowers'!$K$9:$K$108,MATCH(C498,'Borrowers'!$C$9:$C$108,0)),"Unavailable"))</x:f>
      </x:c>
      <x:c r="H498" s="23" t="str">
        <x:f>IF(C498="","",IFERROR(INDEX('Borrowers'!$I$9:$I$108,MATCH(C498,'Borrowers'!$C$9:$C$108,0))*INDEX('Borrowers'!$U$9:$U$108,MATCH(C498,'Borrowers'!$C$9:$C$108,0))*(IF(F498="Transport",'Scenario Paths'!J156,IF(F498="Technology",'Scenario Paths'!J150,IF(F498="Utilities",'Scenario Paths'!J144,IF(F498="Agriculture",'Scenario Paths'!J138,IF(F498="Manufacturing",'Scenario Paths'!J132,IF(F498="Healthcare",'Scenario Paths'!J126,IF(F498="Hospitality",'Scenario Paths'!J120,IF(F498="Property",'Scenario Paths'!J114,IF(F498="Food",'Scenario Paths'!J108,IF(F498="Logistics",'Scenario Paths'!J102,IF(F498="Solar",'Scenario Paths'!J96,IF(F498="Cement",'Scenario Paths'!J90,0))))))))))))),"Unavailable"))</x:f>
      </x:c>
      <x:c r="I498" s="23" t="str">
        <x:f>IF(C498="","",IFERROR(INDEX('Borrowers'!$R$9:$R$108,MATCH(C498,'Borrowers'!$C$9:$C$108,0))*(1-INDEX('Borrowers'!$W$9:$W$108,MATCH(C498,'Borrowers'!$C$9:$C$108,0))*'Scenario Paths'!J39)*'Scenario Paths'!J9/1000000*(1-INDEX('Borrowers'!$T$9:$T$108,MATCH(C498,'Borrowers'!$C$9:$C$108,0))),"Unavailable"))</x:f>
      </x:c>
      <x:c r="J498" s="23" t="str">
        <x:f>IF(C498="","",IFERROR(INDEX('Borrowers'!$I$9:$I$108,MATCH(C498,'Borrowers'!$C$9:$C$108,0))*INDEX('Borrowers'!$S$9:$S$108,MATCH(C498,'Borrowers'!$C$9:$C$108,0))*'Scenario Paths'!J15*(1-INDEX('Borrowers'!$T$9:$T$108,MATCH(C498,'Borrowers'!$C$9:$C$108,0))),"Unavailable"))</x:f>
      </x:c>
      <x:c r="K498" s="23" t="str">
        <x:f>IF(C498="","",IFERROR(INDEX('Borrowers'!$I$9:$I$108,MATCH(C498,'Borrowers'!$C$9:$C$108,0))*INDEX('Borrowers'!$U$9:$U$108,MATCH(C498,'Borrowers'!$C$9:$C$108,0))*'Scenario Paths'!J21*S498,"Unavailable"))</x:f>
      </x:c>
      <x:c r="L498" s="23" t="str">
        <x:f>IF(C498="","",IFERROR(SUMPRODUCT((Sites!$D$9:$D$108=C498)*Sites!$H$9:$H$108*Sites!$J$9:$J$108*Sites!$K$9:$K$108*(1-Sites!$L$9:$L$108)*(1-Sites!$M$9:$M$108))*'Scenario Paths'!J27,"Unavailable"))</x:f>
      </x:c>
      <x:c r="M498" s="23" t="str">
        <x:f>IF(C498="","",IFERROR(INDEX('Borrowers'!$J$9:$J$108,MATCH(C498,'Borrowers'!$C$9:$C$108,0))+H498-SUM(I498:L498),"Unavailable"))</x:f>
      </x:c>
      <x:c r="N498" s="23" t="str">
        <x:f>IF(C498="","",IFERROR(INDEX('Borrowers'!$I$9:$I$108,MATCH(C498,'Borrowers'!$C$9:$C$108,0))*'Scenario Paths'!J33,"Unavailable"))</x:f>
      </x:c>
      <x:c r="O498" s="23" t="str">
        <x:f>IF(C498="","",IFERROR(M498-INDEX('Borrowers'!$K$9:$K$108,MATCH(C498,'Borrowers'!$C$9:$C$108,0))-N498,"Unavailable"))</x:f>
      </x:c>
      <x:c r="P498" s="127" t="str">
        <x:f>IF(C498="","",IFERROR(O498/INDEX('Borrowers'!$L$9:$L$108,MATCH(C498,'Borrowers'!$C$9:$C$108,0)),"Unavailable"))</x:f>
      </x:c>
      <x:c r="Q498" s="30" t="str">
        <x:f>IF(C498="","",IFERROR(IF(INDEX('Borrowers'!$Z$9:$Z$108,MATCH(C498,'Borrowers'!$C$9:$C$108,0))="Yes",1,IF(INDEX('Borrowers'!$P$9:$P$108,MATCH(C498,'Borrowers'!$C$9:$C$108,0))=0,0,MIN(1,INDEX('Borrowers'!$P$9:$P$108,MATCH(C498,'Borrowers'!$C$9:$C$108,0))*EXP(MIN(20,INDEX('Borrowers'!$V$9:$V$108,MATCH(C498,'Borrowers'!$C$9:$C$108,0))*V498))))),"Unavailable"))</x:f>
      </x:c>
      <x:c r="R498" s="30" t="str">
        <x:f>IF(C498="","",IFERROR(MIN(1,INDEX('Borrowers'!$Q$9:$Q$108,MATCH(C498,'Borrowers'!$C$9:$C$108,0))+(1-INDEX('Borrowers'!$Q$9:$Q$108,MATCH(C498,'Borrowers'!$C$9:$C$108,0)))*T498),"Unavailable"))</x:f>
      </x:c>
      <x:c r="S498" s="30" t="str">
        <x:f>IF(C498="","",IFERROR(SUMPRODUCT((Sites!$D$9:$D$108=C498)*Sites!$I$9:$I$108*Sites!$J$9:$J$108*Sites!$K$9:$K$108*(1-Sites!$L$9:$L$108)),"Unavailable"))</x:f>
      </x:c>
      <x:c r="T498" s="30" t="str">
        <x:f>IF(C498="","",IFERROR(MIN(1,(SUMPRODUCT((Sites!$D$9:$D$108=C498)*Sites!$N$9:$N$108*Sites!$J$9:$J$108*Sites!$K$9:$K$108*(1-Sites!$L$9:$L$108)))*'Scenario Paths'!J27),"Unavailable"))</x:f>
      </x:c>
      <x:c r="U498" s="9" t="str">
        <x:f>IF(C498="","",IF(OR(INDEX('Borrowers'!$AA$9:$AA$108,MATCH(C498,'Borrowers'!$C$9:$C$108,0))&lt;&gt;"Ready",COUNTIF(Sites!$D$9:$D$108,C498)=0,COUNTIFS(Sites!$D$9:$D$108,C498,Sites!$Q$9:$Q$108,"&lt;&gt;Ready")&gt;0,'Scenario Paths'!$F$6&lt;&gt;"Ready"),"Review source inputs","Ready"))</x:f>
      </x:c>
      <x:c r="V498" s="17" t="str">
        <x:f>IF(C498="","",IFERROR(MAX(-1,(G498-O498)/MAX(0.000001,G498)),"Unavailable"))</x:f>
      </x:c>
      <x:c r="W498" s="9" t="str">
        <x:f>IF(C498="","",IFERROR(INDEX('Borrowers'!$D$9:$D$108,MATCH(C498,'Borrowers'!$C$9:$C$108,0)),"Unavailable"))</x:f>
      </x:c>
    </x:row>
    <x:row r="499" ht="26" customHeight="1">
      <x:c r="A499" s="1"/>
      <x:c r="B499" s="1"/>
      <x:c r="C499" s="9" t="str">
        <x:f>IF(Borrowers!C99="","",Borrowers!C99)</x:f>
      </x:c>
      <x:c r="D499" s="3" t="n">
        <x:v>5</x:v>
      </x:c>
      <x:c r="E499" s="9" t="n">
        <x:f>Settings!$F$18+4</x:f>
        <x:v>2031</x:v>
      </x:c>
      <x:c r="F499" s="9" t="str">
        <x:f>IF(C499="","",INDEX('Borrowers'!$F$9:$F$108,MATCH(C499,'Borrowers'!$C$9:$C$108,0)))</x:f>
      </x:c>
      <x:c r="G499" s="23" t="str">
        <x:f>IF(C499="","",IFERROR(INDEX('Borrowers'!$J$9:$J$108,MATCH(C499,'Borrowers'!$C$9:$C$108,0))-INDEX('Borrowers'!$K$9:$K$108,MATCH(C499,'Borrowers'!$C$9:$C$108,0)),"Unavailable"))</x:f>
      </x:c>
      <x:c r="H499" s="23" t="str">
        <x:f>IF(C499="","",IFERROR(INDEX('Borrowers'!$I$9:$I$108,MATCH(C499,'Borrowers'!$C$9:$C$108,0))*INDEX('Borrowers'!$U$9:$U$108,MATCH(C499,'Borrowers'!$C$9:$C$108,0))*(IF(F499="Transport",'Scenario Paths'!J156,IF(F499="Technology",'Scenario Paths'!J150,IF(F499="Utilities",'Scenario Paths'!J144,IF(F499="Agriculture",'Scenario Paths'!J138,IF(F499="Manufacturing",'Scenario Paths'!J132,IF(F499="Healthcare",'Scenario Paths'!J126,IF(F499="Hospitality",'Scenario Paths'!J120,IF(F499="Property",'Scenario Paths'!J114,IF(F499="Food",'Scenario Paths'!J108,IF(F499="Logistics",'Scenario Paths'!J102,IF(F499="Solar",'Scenario Paths'!J96,IF(F499="Cement",'Scenario Paths'!J90,0))))))))))))),"Unavailable"))</x:f>
      </x:c>
      <x:c r="I499" s="23" t="str">
        <x:f>IF(C499="","",IFERROR(INDEX('Borrowers'!$R$9:$R$108,MATCH(C499,'Borrowers'!$C$9:$C$108,0))*(1-INDEX('Borrowers'!$W$9:$W$108,MATCH(C499,'Borrowers'!$C$9:$C$108,0))*'Scenario Paths'!J39)*'Scenario Paths'!J9/1000000*(1-INDEX('Borrowers'!$T$9:$T$108,MATCH(C499,'Borrowers'!$C$9:$C$108,0))),"Unavailable"))</x:f>
      </x:c>
      <x:c r="J499" s="23" t="str">
        <x:f>IF(C499="","",IFERROR(INDEX('Borrowers'!$I$9:$I$108,MATCH(C499,'Borrowers'!$C$9:$C$108,0))*INDEX('Borrowers'!$S$9:$S$108,MATCH(C499,'Borrowers'!$C$9:$C$108,0))*'Scenario Paths'!J15*(1-INDEX('Borrowers'!$T$9:$T$108,MATCH(C499,'Borrowers'!$C$9:$C$108,0))),"Unavailable"))</x:f>
      </x:c>
      <x:c r="K499" s="23" t="str">
        <x:f>IF(C499="","",IFERROR(INDEX('Borrowers'!$I$9:$I$108,MATCH(C499,'Borrowers'!$C$9:$C$108,0))*INDEX('Borrowers'!$U$9:$U$108,MATCH(C499,'Borrowers'!$C$9:$C$108,0))*'Scenario Paths'!J21*S499,"Unavailable"))</x:f>
      </x:c>
      <x:c r="L499" s="23" t="str">
        <x:f>IF(C499="","",IFERROR(SUMPRODUCT((Sites!$D$9:$D$108=C499)*Sites!$H$9:$H$108*Sites!$J$9:$J$108*Sites!$K$9:$K$108*(1-Sites!$L$9:$L$108)*(1-Sites!$M$9:$M$108))*'Scenario Paths'!J27,"Unavailable"))</x:f>
      </x:c>
      <x:c r="M499" s="23" t="str">
        <x:f>IF(C499="","",IFERROR(INDEX('Borrowers'!$J$9:$J$108,MATCH(C499,'Borrowers'!$C$9:$C$108,0))+H499-SUM(I499:L499),"Unavailable"))</x:f>
      </x:c>
      <x:c r="N499" s="23" t="str">
        <x:f>IF(C499="","",IFERROR(INDEX('Borrowers'!$I$9:$I$108,MATCH(C499,'Borrowers'!$C$9:$C$108,0))*'Scenario Paths'!J33,"Unavailable"))</x:f>
      </x:c>
      <x:c r="O499" s="23" t="str">
        <x:f>IF(C499="","",IFERROR(M499-INDEX('Borrowers'!$K$9:$K$108,MATCH(C499,'Borrowers'!$C$9:$C$108,0))-N499,"Unavailable"))</x:f>
      </x:c>
      <x:c r="P499" s="127" t="str">
        <x:f>IF(C499="","",IFERROR(O499/INDEX('Borrowers'!$L$9:$L$108,MATCH(C499,'Borrowers'!$C$9:$C$108,0)),"Unavailable"))</x:f>
      </x:c>
      <x:c r="Q499" s="30" t="str">
        <x:f>IF(C499="","",IFERROR(IF(INDEX('Borrowers'!$Z$9:$Z$108,MATCH(C499,'Borrowers'!$C$9:$C$108,0))="Yes",1,IF(INDEX('Borrowers'!$P$9:$P$108,MATCH(C499,'Borrowers'!$C$9:$C$108,0))=0,0,MIN(1,INDEX('Borrowers'!$P$9:$P$108,MATCH(C499,'Borrowers'!$C$9:$C$108,0))*EXP(MIN(20,INDEX('Borrowers'!$V$9:$V$108,MATCH(C499,'Borrowers'!$C$9:$C$108,0))*V499))))),"Unavailable"))</x:f>
      </x:c>
      <x:c r="R499" s="30" t="str">
        <x:f>IF(C499="","",IFERROR(MIN(1,INDEX('Borrowers'!$Q$9:$Q$108,MATCH(C499,'Borrowers'!$C$9:$C$108,0))+(1-INDEX('Borrowers'!$Q$9:$Q$108,MATCH(C499,'Borrowers'!$C$9:$C$108,0)))*T499),"Unavailable"))</x:f>
      </x:c>
      <x:c r="S499" s="30" t="str">
        <x:f>IF(C499="","",IFERROR(SUMPRODUCT((Sites!$D$9:$D$108=C499)*Sites!$I$9:$I$108*Sites!$J$9:$J$108*Sites!$K$9:$K$108*(1-Sites!$L$9:$L$108)),"Unavailable"))</x:f>
      </x:c>
      <x:c r="T499" s="30" t="str">
        <x:f>IF(C499="","",IFERROR(MIN(1,(SUMPRODUCT((Sites!$D$9:$D$108=C499)*Sites!$N$9:$N$108*Sites!$J$9:$J$108*Sites!$K$9:$K$108*(1-Sites!$L$9:$L$108)))*'Scenario Paths'!J27),"Unavailable"))</x:f>
      </x:c>
      <x:c r="U499" s="9" t="str">
        <x:f>IF(C499="","",IF(OR(INDEX('Borrowers'!$AA$9:$AA$108,MATCH(C499,'Borrowers'!$C$9:$C$108,0))&lt;&gt;"Ready",COUNTIF(Sites!$D$9:$D$108,C499)=0,COUNTIFS(Sites!$D$9:$D$108,C499,Sites!$Q$9:$Q$108,"&lt;&gt;Ready")&gt;0,'Scenario Paths'!$F$6&lt;&gt;"Ready"),"Review source inputs","Ready"))</x:f>
      </x:c>
      <x:c r="V499" s="17" t="str">
        <x:f>IF(C499="","",IFERROR(MAX(-1,(G499-O499)/MAX(0.000001,G499)),"Unavailable"))</x:f>
      </x:c>
      <x:c r="W499" s="9" t="str">
        <x:f>IF(C499="","",IFERROR(INDEX('Borrowers'!$D$9:$D$108,MATCH(C499,'Borrowers'!$C$9:$C$108,0)),"Unavailable"))</x:f>
      </x:c>
    </x:row>
    <x:row r="500" ht="26" customHeight="1">
      <x:c r="A500" s="1"/>
      <x:c r="B500" s="1"/>
      <x:c r="C500" s="9" t="str">
        <x:f>IF(Borrowers!C100="","",Borrowers!C100)</x:f>
      </x:c>
      <x:c r="D500" s="3" t="n">
        <x:v>5</x:v>
      </x:c>
      <x:c r="E500" s="9" t="n">
        <x:f>Settings!$F$18+4</x:f>
        <x:v>2031</x:v>
      </x:c>
      <x:c r="F500" s="9" t="str">
        <x:f>IF(C500="","",INDEX('Borrowers'!$F$9:$F$108,MATCH(C500,'Borrowers'!$C$9:$C$108,0)))</x:f>
      </x:c>
      <x:c r="G500" s="23" t="str">
        <x:f>IF(C500="","",IFERROR(INDEX('Borrowers'!$J$9:$J$108,MATCH(C500,'Borrowers'!$C$9:$C$108,0))-INDEX('Borrowers'!$K$9:$K$108,MATCH(C500,'Borrowers'!$C$9:$C$108,0)),"Unavailable"))</x:f>
      </x:c>
      <x:c r="H500" s="23" t="str">
        <x:f>IF(C500="","",IFERROR(INDEX('Borrowers'!$I$9:$I$108,MATCH(C500,'Borrowers'!$C$9:$C$108,0))*INDEX('Borrowers'!$U$9:$U$108,MATCH(C500,'Borrowers'!$C$9:$C$108,0))*(IF(F500="Transport",'Scenario Paths'!J156,IF(F500="Technology",'Scenario Paths'!J150,IF(F500="Utilities",'Scenario Paths'!J144,IF(F500="Agriculture",'Scenario Paths'!J138,IF(F500="Manufacturing",'Scenario Paths'!J132,IF(F500="Healthcare",'Scenario Paths'!J126,IF(F500="Hospitality",'Scenario Paths'!J120,IF(F500="Property",'Scenario Paths'!J114,IF(F500="Food",'Scenario Paths'!J108,IF(F500="Logistics",'Scenario Paths'!J102,IF(F500="Solar",'Scenario Paths'!J96,IF(F500="Cement",'Scenario Paths'!J90,0))))))))))))),"Unavailable"))</x:f>
      </x:c>
      <x:c r="I500" s="23" t="str">
        <x:f>IF(C500="","",IFERROR(INDEX('Borrowers'!$R$9:$R$108,MATCH(C500,'Borrowers'!$C$9:$C$108,0))*(1-INDEX('Borrowers'!$W$9:$W$108,MATCH(C500,'Borrowers'!$C$9:$C$108,0))*'Scenario Paths'!J39)*'Scenario Paths'!J9/1000000*(1-INDEX('Borrowers'!$T$9:$T$108,MATCH(C500,'Borrowers'!$C$9:$C$108,0))),"Unavailable"))</x:f>
      </x:c>
      <x:c r="J500" s="23" t="str">
        <x:f>IF(C500="","",IFERROR(INDEX('Borrowers'!$I$9:$I$108,MATCH(C500,'Borrowers'!$C$9:$C$108,0))*INDEX('Borrowers'!$S$9:$S$108,MATCH(C500,'Borrowers'!$C$9:$C$108,0))*'Scenario Paths'!J15*(1-INDEX('Borrowers'!$T$9:$T$108,MATCH(C500,'Borrowers'!$C$9:$C$108,0))),"Unavailable"))</x:f>
      </x:c>
      <x:c r="K500" s="23" t="str">
        <x:f>IF(C500="","",IFERROR(INDEX('Borrowers'!$I$9:$I$108,MATCH(C500,'Borrowers'!$C$9:$C$108,0))*INDEX('Borrowers'!$U$9:$U$108,MATCH(C500,'Borrowers'!$C$9:$C$108,0))*'Scenario Paths'!J21*S500,"Unavailable"))</x:f>
      </x:c>
      <x:c r="L500" s="23" t="str">
        <x:f>IF(C500="","",IFERROR(SUMPRODUCT((Sites!$D$9:$D$108=C500)*Sites!$H$9:$H$108*Sites!$J$9:$J$108*Sites!$K$9:$K$108*(1-Sites!$L$9:$L$108)*(1-Sites!$M$9:$M$108))*'Scenario Paths'!J27,"Unavailable"))</x:f>
      </x:c>
      <x:c r="M500" s="23" t="str">
        <x:f>IF(C500="","",IFERROR(INDEX('Borrowers'!$J$9:$J$108,MATCH(C500,'Borrowers'!$C$9:$C$108,0))+H500-SUM(I500:L500),"Unavailable"))</x:f>
      </x:c>
      <x:c r="N500" s="23" t="str">
        <x:f>IF(C500="","",IFERROR(INDEX('Borrowers'!$I$9:$I$108,MATCH(C500,'Borrowers'!$C$9:$C$108,0))*'Scenario Paths'!J33,"Unavailable"))</x:f>
      </x:c>
      <x:c r="O500" s="23" t="str">
        <x:f>IF(C500="","",IFERROR(M500-INDEX('Borrowers'!$K$9:$K$108,MATCH(C500,'Borrowers'!$C$9:$C$108,0))-N500,"Unavailable"))</x:f>
      </x:c>
      <x:c r="P500" s="127" t="str">
        <x:f>IF(C500="","",IFERROR(O500/INDEX('Borrowers'!$L$9:$L$108,MATCH(C500,'Borrowers'!$C$9:$C$108,0)),"Unavailable"))</x:f>
      </x:c>
      <x:c r="Q500" s="30" t="str">
        <x:f>IF(C500="","",IFERROR(IF(INDEX('Borrowers'!$Z$9:$Z$108,MATCH(C500,'Borrowers'!$C$9:$C$108,0))="Yes",1,IF(INDEX('Borrowers'!$P$9:$P$108,MATCH(C500,'Borrowers'!$C$9:$C$108,0))=0,0,MIN(1,INDEX('Borrowers'!$P$9:$P$108,MATCH(C500,'Borrowers'!$C$9:$C$108,0))*EXP(MIN(20,INDEX('Borrowers'!$V$9:$V$108,MATCH(C500,'Borrowers'!$C$9:$C$108,0))*V500))))),"Unavailable"))</x:f>
      </x:c>
      <x:c r="R500" s="30" t="str">
        <x:f>IF(C500="","",IFERROR(MIN(1,INDEX('Borrowers'!$Q$9:$Q$108,MATCH(C500,'Borrowers'!$C$9:$C$108,0))+(1-INDEX('Borrowers'!$Q$9:$Q$108,MATCH(C500,'Borrowers'!$C$9:$C$108,0)))*T500),"Unavailable"))</x:f>
      </x:c>
      <x:c r="S500" s="30" t="str">
        <x:f>IF(C500="","",IFERROR(SUMPRODUCT((Sites!$D$9:$D$108=C500)*Sites!$I$9:$I$108*Sites!$J$9:$J$108*Sites!$K$9:$K$108*(1-Sites!$L$9:$L$108)),"Unavailable"))</x:f>
      </x:c>
      <x:c r="T500" s="30" t="str">
        <x:f>IF(C500="","",IFERROR(MIN(1,(SUMPRODUCT((Sites!$D$9:$D$108=C500)*Sites!$N$9:$N$108*Sites!$J$9:$J$108*Sites!$K$9:$K$108*(1-Sites!$L$9:$L$108)))*'Scenario Paths'!J27),"Unavailable"))</x:f>
      </x:c>
      <x:c r="U500" s="9" t="str">
        <x:f>IF(C500="","",IF(OR(INDEX('Borrowers'!$AA$9:$AA$108,MATCH(C500,'Borrowers'!$C$9:$C$108,0))&lt;&gt;"Ready",COUNTIF(Sites!$D$9:$D$108,C500)=0,COUNTIFS(Sites!$D$9:$D$108,C500,Sites!$Q$9:$Q$108,"&lt;&gt;Ready")&gt;0,'Scenario Paths'!$F$6&lt;&gt;"Ready"),"Review source inputs","Ready"))</x:f>
      </x:c>
      <x:c r="V500" s="17" t="str">
        <x:f>IF(C500="","",IFERROR(MAX(-1,(G500-O500)/MAX(0.000001,G500)),"Unavailable"))</x:f>
      </x:c>
      <x:c r="W500" s="9" t="str">
        <x:f>IF(C500="","",IFERROR(INDEX('Borrowers'!$D$9:$D$108,MATCH(C500,'Borrowers'!$C$9:$C$108,0)),"Unavailable"))</x:f>
      </x:c>
    </x:row>
    <x:row r="501" ht="26" customHeight="1">
      <x:c r="A501" s="1"/>
      <x:c r="B501" s="1"/>
      <x:c r="C501" s="9" t="str">
        <x:f>IF(Borrowers!C101="","",Borrowers!C101)</x:f>
      </x:c>
      <x:c r="D501" s="3" t="n">
        <x:v>5</x:v>
      </x:c>
      <x:c r="E501" s="9" t="n">
        <x:f>Settings!$F$18+4</x:f>
        <x:v>2031</x:v>
      </x:c>
      <x:c r="F501" s="9" t="str">
        <x:f>IF(C501="","",INDEX('Borrowers'!$F$9:$F$108,MATCH(C501,'Borrowers'!$C$9:$C$108,0)))</x:f>
      </x:c>
      <x:c r="G501" s="23" t="str">
        <x:f>IF(C501="","",IFERROR(INDEX('Borrowers'!$J$9:$J$108,MATCH(C501,'Borrowers'!$C$9:$C$108,0))-INDEX('Borrowers'!$K$9:$K$108,MATCH(C501,'Borrowers'!$C$9:$C$108,0)),"Unavailable"))</x:f>
      </x:c>
      <x:c r="H501" s="23" t="str">
        <x:f>IF(C501="","",IFERROR(INDEX('Borrowers'!$I$9:$I$108,MATCH(C501,'Borrowers'!$C$9:$C$108,0))*INDEX('Borrowers'!$U$9:$U$108,MATCH(C501,'Borrowers'!$C$9:$C$108,0))*(IF(F501="Transport",'Scenario Paths'!J156,IF(F501="Technology",'Scenario Paths'!J150,IF(F501="Utilities",'Scenario Paths'!J144,IF(F501="Agriculture",'Scenario Paths'!J138,IF(F501="Manufacturing",'Scenario Paths'!J132,IF(F501="Healthcare",'Scenario Paths'!J126,IF(F501="Hospitality",'Scenario Paths'!J120,IF(F501="Property",'Scenario Paths'!J114,IF(F501="Food",'Scenario Paths'!J108,IF(F501="Logistics",'Scenario Paths'!J102,IF(F501="Solar",'Scenario Paths'!J96,IF(F501="Cement",'Scenario Paths'!J90,0))))))))))))),"Unavailable"))</x:f>
      </x:c>
      <x:c r="I501" s="23" t="str">
        <x:f>IF(C501="","",IFERROR(INDEX('Borrowers'!$R$9:$R$108,MATCH(C501,'Borrowers'!$C$9:$C$108,0))*(1-INDEX('Borrowers'!$W$9:$W$108,MATCH(C501,'Borrowers'!$C$9:$C$108,0))*'Scenario Paths'!J39)*'Scenario Paths'!J9/1000000*(1-INDEX('Borrowers'!$T$9:$T$108,MATCH(C501,'Borrowers'!$C$9:$C$108,0))),"Unavailable"))</x:f>
      </x:c>
      <x:c r="J501" s="23" t="str">
        <x:f>IF(C501="","",IFERROR(INDEX('Borrowers'!$I$9:$I$108,MATCH(C501,'Borrowers'!$C$9:$C$108,0))*INDEX('Borrowers'!$S$9:$S$108,MATCH(C501,'Borrowers'!$C$9:$C$108,0))*'Scenario Paths'!J15*(1-INDEX('Borrowers'!$T$9:$T$108,MATCH(C501,'Borrowers'!$C$9:$C$108,0))),"Unavailable"))</x:f>
      </x:c>
      <x:c r="K501" s="23" t="str">
        <x:f>IF(C501="","",IFERROR(INDEX('Borrowers'!$I$9:$I$108,MATCH(C501,'Borrowers'!$C$9:$C$108,0))*INDEX('Borrowers'!$U$9:$U$108,MATCH(C501,'Borrowers'!$C$9:$C$108,0))*'Scenario Paths'!J21*S501,"Unavailable"))</x:f>
      </x:c>
      <x:c r="L501" s="23" t="str">
        <x:f>IF(C501="","",IFERROR(SUMPRODUCT((Sites!$D$9:$D$108=C501)*Sites!$H$9:$H$108*Sites!$J$9:$J$108*Sites!$K$9:$K$108*(1-Sites!$L$9:$L$108)*(1-Sites!$M$9:$M$108))*'Scenario Paths'!J27,"Unavailable"))</x:f>
      </x:c>
      <x:c r="M501" s="23" t="str">
        <x:f>IF(C501="","",IFERROR(INDEX('Borrowers'!$J$9:$J$108,MATCH(C501,'Borrowers'!$C$9:$C$108,0))+H501-SUM(I501:L501),"Unavailable"))</x:f>
      </x:c>
      <x:c r="N501" s="23" t="str">
        <x:f>IF(C501="","",IFERROR(INDEX('Borrowers'!$I$9:$I$108,MATCH(C501,'Borrowers'!$C$9:$C$108,0))*'Scenario Paths'!J33,"Unavailable"))</x:f>
      </x:c>
      <x:c r="O501" s="23" t="str">
        <x:f>IF(C501="","",IFERROR(M501-INDEX('Borrowers'!$K$9:$K$108,MATCH(C501,'Borrowers'!$C$9:$C$108,0))-N501,"Unavailable"))</x:f>
      </x:c>
      <x:c r="P501" s="127" t="str">
        <x:f>IF(C501="","",IFERROR(O501/INDEX('Borrowers'!$L$9:$L$108,MATCH(C501,'Borrowers'!$C$9:$C$108,0)),"Unavailable"))</x:f>
      </x:c>
      <x:c r="Q501" s="30" t="str">
        <x:f>IF(C501="","",IFERROR(IF(INDEX('Borrowers'!$Z$9:$Z$108,MATCH(C501,'Borrowers'!$C$9:$C$108,0))="Yes",1,IF(INDEX('Borrowers'!$P$9:$P$108,MATCH(C501,'Borrowers'!$C$9:$C$108,0))=0,0,MIN(1,INDEX('Borrowers'!$P$9:$P$108,MATCH(C501,'Borrowers'!$C$9:$C$108,0))*EXP(MIN(20,INDEX('Borrowers'!$V$9:$V$108,MATCH(C501,'Borrowers'!$C$9:$C$108,0))*V501))))),"Unavailable"))</x:f>
      </x:c>
      <x:c r="R501" s="30" t="str">
        <x:f>IF(C501="","",IFERROR(MIN(1,INDEX('Borrowers'!$Q$9:$Q$108,MATCH(C501,'Borrowers'!$C$9:$C$108,0))+(1-INDEX('Borrowers'!$Q$9:$Q$108,MATCH(C501,'Borrowers'!$C$9:$C$108,0)))*T501),"Unavailable"))</x:f>
      </x:c>
      <x:c r="S501" s="30" t="str">
        <x:f>IF(C501="","",IFERROR(SUMPRODUCT((Sites!$D$9:$D$108=C501)*Sites!$I$9:$I$108*Sites!$J$9:$J$108*Sites!$K$9:$K$108*(1-Sites!$L$9:$L$108)),"Unavailable"))</x:f>
      </x:c>
      <x:c r="T501" s="30" t="str">
        <x:f>IF(C501="","",IFERROR(MIN(1,(SUMPRODUCT((Sites!$D$9:$D$108=C501)*Sites!$N$9:$N$108*Sites!$J$9:$J$108*Sites!$K$9:$K$108*(1-Sites!$L$9:$L$108)))*'Scenario Paths'!J27),"Unavailable"))</x:f>
      </x:c>
      <x:c r="U501" s="9" t="str">
        <x:f>IF(C501="","",IF(OR(INDEX('Borrowers'!$AA$9:$AA$108,MATCH(C501,'Borrowers'!$C$9:$C$108,0))&lt;&gt;"Ready",COUNTIF(Sites!$D$9:$D$108,C501)=0,COUNTIFS(Sites!$D$9:$D$108,C501,Sites!$Q$9:$Q$108,"&lt;&gt;Ready")&gt;0,'Scenario Paths'!$F$6&lt;&gt;"Ready"),"Review source inputs","Ready"))</x:f>
      </x:c>
      <x:c r="V501" s="17" t="str">
        <x:f>IF(C501="","",IFERROR(MAX(-1,(G501-O501)/MAX(0.000001,G501)),"Unavailable"))</x:f>
      </x:c>
      <x:c r="W501" s="9" t="str">
        <x:f>IF(C501="","",IFERROR(INDEX('Borrowers'!$D$9:$D$108,MATCH(C501,'Borrowers'!$C$9:$C$108,0)),"Unavailable"))</x:f>
      </x:c>
    </x:row>
    <x:row r="502" ht="26" customHeight="1">
      <x:c r="A502" s="1"/>
      <x:c r="B502" s="1"/>
      <x:c r="C502" s="9" t="str">
        <x:f>IF(Borrowers!C102="","",Borrowers!C102)</x:f>
      </x:c>
      <x:c r="D502" s="3" t="n">
        <x:v>5</x:v>
      </x:c>
      <x:c r="E502" s="9" t="n">
        <x:f>Settings!$F$18+4</x:f>
        <x:v>2031</x:v>
      </x:c>
      <x:c r="F502" s="9" t="str">
        <x:f>IF(C502="","",INDEX('Borrowers'!$F$9:$F$108,MATCH(C502,'Borrowers'!$C$9:$C$108,0)))</x:f>
      </x:c>
      <x:c r="G502" s="23" t="str">
        <x:f>IF(C502="","",IFERROR(INDEX('Borrowers'!$J$9:$J$108,MATCH(C502,'Borrowers'!$C$9:$C$108,0))-INDEX('Borrowers'!$K$9:$K$108,MATCH(C502,'Borrowers'!$C$9:$C$108,0)),"Unavailable"))</x:f>
      </x:c>
      <x:c r="H502" s="23" t="str">
        <x:f>IF(C502="","",IFERROR(INDEX('Borrowers'!$I$9:$I$108,MATCH(C502,'Borrowers'!$C$9:$C$108,0))*INDEX('Borrowers'!$U$9:$U$108,MATCH(C502,'Borrowers'!$C$9:$C$108,0))*(IF(F502="Transport",'Scenario Paths'!J156,IF(F502="Technology",'Scenario Paths'!J150,IF(F502="Utilities",'Scenario Paths'!J144,IF(F502="Agriculture",'Scenario Paths'!J138,IF(F502="Manufacturing",'Scenario Paths'!J132,IF(F502="Healthcare",'Scenario Paths'!J126,IF(F502="Hospitality",'Scenario Paths'!J120,IF(F502="Property",'Scenario Paths'!J114,IF(F502="Food",'Scenario Paths'!J108,IF(F502="Logistics",'Scenario Paths'!J102,IF(F502="Solar",'Scenario Paths'!J96,IF(F502="Cement",'Scenario Paths'!J90,0))))))))))))),"Unavailable"))</x:f>
      </x:c>
      <x:c r="I502" s="23" t="str">
        <x:f>IF(C502="","",IFERROR(INDEX('Borrowers'!$R$9:$R$108,MATCH(C502,'Borrowers'!$C$9:$C$108,0))*(1-INDEX('Borrowers'!$W$9:$W$108,MATCH(C502,'Borrowers'!$C$9:$C$108,0))*'Scenario Paths'!J39)*'Scenario Paths'!J9/1000000*(1-INDEX('Borrowers'!$T$9:$T$108,MATCH(C502,'Borrowers'!$C$9:$C$108,0))),"Unavailable"))</x:f>
      </x:c>
      <x:c r="J502" s="23" t="str">
        <x:f>IF(C502="","",IFERROR(INDEX('Borrowers'!$I$9:$I$108,MATCH(C502,'Borrowers'!$C$9:$C$108,0))*INDEX('Borrowers'!$S$9:$S$108,MATCH(C502,'Borrowers'!$C$9:$C$108,0))*'Scenario Paths'!J15*(1-INDEX('Borrowers'!$T$9:$T$108,MATCH(C502,'Borrowers'!$C$9:$C$108,0))),"Unavailable"))</x:f>
      </x:c>
      <x:c r="K502" s="23" t="str">
        <x:f>IF(C502="","",IFERROR(INDEX('Borrowers'!$I$9:$I$108,MATCH(C502,'Borrowers'!$C$9:$C$108,0))*INDEX('Borrowers'!$U$9:$U$108,MATCH(C502,'Borrowers'!$C$9:$C$108,0))*'Scenario Paths'!J21*S502,"Unavailable"))</x:f>
      </x:c>
      <x:c r="L502" s="23" t="str">
        <x:f>IF(C502="","",IFERROR(SUMPRODUCT((Sites!$D$9:$D$108=C502)*Sites!$H$9:$H$108*Sites!$J$9:$J$108*Sites!$K$9:$K$108*(1-Sites!$L$9:$L$108)*(1-Sites!$M$9:$M$108))*'Scenario Paths'!J27,"Unavailable"))</x:f>
      </x:c>
      <x:c r="M502" s="23" t="str">
        <x:f>IF(C502="","",IFERROR(INDEX('Borrowers'!$J$9:$J$108,MATCH(C502,'Borrowers'!$C$9:$C$108,0))+H502-SUM(I502:L502),"Unavailable"))</x:f>
      </x:c>
      <x:c r="N502" s="23" t="str">
        <x:f>IF(C502="","",IFERROR(INDEX('Borrowers'!$I$9:$I$108,MATCH(C502,'Borrowers'!$C$9:$C$108,0))*'Scenario Paths'!J33,"Unavailable"))</x:f>
      </x:c>
      <x:c r="O502" s="23" t="str">
        <x:f>IF(C502="","",IFERROR(M502-INDEX('Borrowers'!$K$9:$K$108,MATCH(C502,'Borrowers'!$C$9:$C$108,0))-N502,"Unavailable"))</x:f>
      </x:c>
      <x:c r="P502" s="127" t="str">
        <x:f>IF(C502="","",IFERROR(O502/INDEX('Borrowers'!$L$9:$L$108,MATCH(C502,'Borrowers'!$C$9:$C$108,0)),"Unavailable"))</x:f>
      </x:c>
      <x:c r="Q502" s="30" t="str">
        <x:f>IF(C502="","",IFERROR(IF(INDEX('Borrowers'!$Z$9:$Z$108,MATCH(C502,'Borrowers'!$C$9:$C$108,0))="Yes",1,IF(INDEX('Borrowers'!$P$9:$P$108,MATCH(C502,'Borrowers'!$C$9:$C$108,0))=0,0,MIN(1,INDEX('Borrowers'!$P$9:$P$108,MATCH(C502,'Borrowers'!$C$9:$C$108,0))*EXP(MIN(20,INDEX('Borrowers'!$V$9:$V$108,MATCH(C502,'Borrowers'!$C$9:$C$108,0))*V502))))),"Unavailable"))</x:f>
      </x:c>
      <x:c r="R502" s="30" t="str">
        <x:f>IF(C502="","",IFERROR(MIN(1,INDEX('Borrowers'!$Q$9:$Q$108,MATCH(C502,'Borrowers'!$C$9:$C$108,0))+(1-INDEX('Borrowers'!$Q$9:$Q$108,MATCH(C502,'Borrowers'!$C$9:$C$108,0)))*T502),"Unavailable"))</x:f>
      </x:c>
      <x:c r="S502" s="30" t="str">
        <x:f>IF(C502="","",IFERROR(SUMPRODUCT((Sites!$D$9:$D$108=C502)*Sites!$I$9:$I$108*Sites!$J$9:$J$108*Sites!$K$9:$K$108*(1-Sites!$L$9:$L$108)),"Unavailable"))</x:f>
      </x:c>
      <x:c r="T502" s="30" t="str">
        <x:f>IF(C502="","",IFERROR(MIN(1,(SUMPRODUCT((Sites!$D$9:$D$108=C502)*Sites!$N$9:$N$108*Sites!$J$9:$J$108*Sites!$K$9:$K$108*(1-Sites!$L$9:$L$108)))*'Scenario Paths'!J27),"Unavailable"))</x:f>
      </x:c>
      <x:c r="U502" s="9" t="str">
        <x:f>IF(C502="","",IF(OR(INDEX('Borrowers'!$AA$9:$AA$108,MATCH(C502,'Borrowers'!$C$9:$C$108,0))&lt;&gt;"Ready",COUNTIF(Sites!$D$9:$D$108,C502)=0,COUNTIFS(Sites!$D$9:$D$108,C502,Sites!$Q$9:$Q$108,"&lt;&gt;Ready")&gt;0,'Scenario Paths'!$F$6&lt;&gt;"Ready"),"Review source inputs","Ready"))</x:f>
      </x:c>
      <x:c r="V502" s="17" t="str">
        <x:f>IF(C502="","",IFERROR(MAX(-1,(G502-O502)/MAX(0.000001,G502)),"Unavailable"))</x:f>
      </x:c>
      <x:c r="W502" s="9" t="str">
        <x:f>IF(C502="","",IFERROR(INDEX('Borrowers'!$D$9:$D$108,MATCH(C502,'Borrowers'!$C$9:$C$108,0)),"Unavailable"))</x:f>
      </x:c>
    </x:row>
    <x:row r="503" ht="26" customHeight="1">
      <x:c r="A503" s="1"/>
      <x:c r="B503" s="1"/>
      <x:c r="C503" s="9" t="str">
        <x:f>IF(Borrowers!C103="","",Borrowers!C103)</x:f>
      </x:c>
      <x:c r="D503" s="3" t="n">
        <x:v>5</x:v>
      </x:c>
      <x:c r="E503" s="9" t="n">
        <x:f>Settings!$F$18+4</x:f>
        <x:v>2031</x:v>
      </x:c>
      <x:c r="F503" s="9" t="str">
        <x:f>IF(C503="","",INDEX('Borrowers'!$F$9:$F$108,MATCH(C503,'Borrowers'!$C$9:$C$108,0)))</x:f>
      </x:c>
      <x:c r="G503" s="23" t="str">
        <x:f>IF(C503="","",IFERROR(INDEX('Borrowers'!$J$9:$J$108,MATCH(C503,'Borrowers'!$C$9:$C$108,0))-INDEX('Borrowers'!$K$9:$K$108,MATCH(C503,'Borrowers'!$C$9:$C$108,0)),"Unavailable"))</x:f>
      </x:c>
      <x:c r="H503" s="23" t="str">
        <x:f>IF(C503="","",IFERROR(INDEX('Borrowers'!$I$9:$I$108,MATCH(C503,'Borrowers'!$C$9:$C$108,0))*INDEX('Borrowers'!$U$9:$U$108,MATCH(C503,'Borrowers'!$C$9:$C$108,0))*(IF(F503="Transport",'Scenario Paths'!J156,IF(F503="Technology",'Scenario Paths'!J150,IF(F503="Utilities",'Scenario Paths'!J144,IF(F503="Agriculture",'Scenario Paths'!J138,IF(F503="Manufacturing",'Scenario Paths'!J132,IF(F503="Healthcare",'Scenario Paths'!J126,IF(F503="Hospitality",'Scenario Paths'!J120,IF(F503="Property",'Scenario Paths'!J114,IF(F503="Food",'Scenario Paths'!J108,IF(F503="Logistics",'Scenario Paths'!J102,IF(F503="Solar",'Scenario Paths'!J96,IF(F503="Cement",'Scenario Paths'!J90,0))))))))))))),"Unavailable"))</x:f>
      </x:c>
      <x:c r="I503" s="23" t="str">
        <x:f>IF(C503="","",IFERROR(INDEX('Borrowers'!$R$9:$R$108,MATCH(C503,'Borrowers'!$C$9:$C$108,0))*(1-INDEX('Borrowers'!$W$9:$W$108,MATCH(C503,'Borrowers'!$C$9:$C$108,0))*'Scenario Paths'!J39)*'Scenario Paths'!J9/1000000*(1-INDEX('Borrowers'!$T$9:$T$108,MATCH(C503,'Borrowers'!$C$9:$C$108,0))),"Unavailable"))</x:f>
      </x:c>
      <x:c r="J503" s="23" t="str">
        <x:f>IF(C503="","",IFERROR(INDEX('Borrowers'!$I$9:$I$108,MATCH(C503,'Borrowers'!$C$9:$C$108,0))*INDEX('Borrowers'!$S$9:$S$108,MATCH(C503,'Borrowers'!$C$9:$C$108,0))*'Scenario Paths'!J15*(1-INDEX('Borrowers'!$T$9:$T$108,MATCH(C503,'Borrowers'!$C$9:$C$108,0))),"Unavailable"))</x:f>
      </x:c>
      <x:c r="K503" s="23" t="str">
        <x:f>IF(C503="","",IFERROR(INDEX('Borrowers'!$I$9:$I$108,MATCH(C503,'Borrowers'!$C$9:$C$108,0))*INDEX('Borrowers'!$U$9:$U$108,MATCH(C503,'Borrowers'!$C$9:$C$108,0))*'Scenario Paths'!J21*S503,"Unavailable"))</x:f>
      </x:c>
      <x:c r="L503" s="23" t="str">
        <x:f>IF(C503="","",IFERROR(SUMPRODUCT((Sites!$D$9:$D$108=C503)*Sites!$H$9:$H$108*Sites!$J$9:$J$108*Sites!$K$9:$K$108*(1-Sites!$L$9:$L$108)*(1-Sites!$M$9:$M$108))*'Scenario Paths'!J27,"Unavailable"))</x:f>
      </x:c>
      <x:c r="M503" s="23" t="str">
        <x:f>IF(C503="","",IFERROR(INDEX('Borrowers'!$J$9:$J$108,MATCH(C503,'Borrowers'!$C$9:$C$108,0))+H503-SUM(I503:L503),"Unavailable"))</x:f>
      </x:c>
      <x:c r="N503" s="23" t="str">
        <x:f>IF(C503="","",IFERROR(INDEX('Borrowers'!$I$9:$I$108,MATCH(C503,'Borrowers'!$C$9:$C$108,0))*'Scenario Paths'!J33,"Unavailable"))</x:f>
      </x:c>
      <x:c r="O503" s="23" t="str">
        <x:f>IF(C503="","",IFERROR(M503-INDEX('Borrowers'!$K$9:$K$108,MATCH(C503,'Borrowers'!$C$9:$C$108,0))-N503,"Unavailable"))</x:f>
      </x:c>
      <x:c r="P503" s="127" t="str">
        <x:f>IF(C503="","",IFERROR(O503/INDEX('Borrowers'!$L$9:$L$108,MATCH(C503,'Borrowers'!$C$9:$C$108,0)),"Unavailable"))</x:f>
      </x:c>
      <x:c r="Q503" s="30" t="str">
        <x:f>IF(C503="","",IFERROR(IF(INDEX('Borrowers'!$Z$9:$Z$108,MATCH(C503,'Borrowers'!$C$9:$C$108,0))="Yes",1,IF(INDEX('Borrowers'!$P$9:$P$108,MATCH(C503,'Borrowers'!$C$9:$C$108,0))=0,0,MIN(1,INDEX('Borrowers'!$P$9:$P$108,MATCH(C503,'Borrowers'!$C$9:$C$108,0))*EXP(MIN(20,INDEX('Borrowers'!$V$9:$V$108,MATCH(C503,'Borrowers'!$C$9:$C$108,0))*V503))))),"Unavailable"))</x:f>
      </x:c>
      <x:c r="R503" s="30" t="str">
        <x:f>IF(C503="","",IFERROR(MIN(1,INDEX('Borrowers'!$Q$9:$Q$108,MATCH(C503,'Borrowers'!$C$9:$C$108,0))+(1-INDEX('Borrowers'!$Q$9:$Q$108,MATCH(C503,'Borrowers'!$C$9:$C$108,0)))*T503),"Unavailable"))</x:f>
      </x:c>
      <x:c r="S503" s="30" t="str">
        <x:f>IF(C503="","",IFERROR(SUMPRODUCT((Sites!$D$9:$D$108=C503)*Sites!$I$9:$I$108*Sites!$J$9:$J$108*Sites!$K$9:$K$108*(1-Sites!$L$9:$L$108)),"Unavailable"))</x:f>
      </x:c>
      <x:c r="T503" s="30" t="str">
        <x:f>IF(C503="","",IFERROR(MIN(1,(SUMPRODUCT((Sites!$D$9:$D$108=C503)*Sites!$N$9:$N$108*Sites!$J$9:$J$108*Sites!$K$9:$K$108*(1-Sites!$L$9:$L$108)))*'Scenario Paths'!J27),"Unavailable"))</x:f>
      </x:c>
      <x:c r="U503" s="9" t="str">
        <x:f>IF(C503="","",IF(OR(INDEX('Borrowers'!$AA$9:$AA$108,MATCH(C503,'Borrowers'!$C$9:$C$108,0))&lt;&gt;"Ready",COUNTIF(Sites!$D$9:$D$108,C503)=0,COUNTIFS(Sites!$D$9:$D$108,C503,Sites!$Q$9:$Q$108,"&lt;&gt;Ready")&gt;0,'Scenario Paths'!$F$6&lt;&gt;"Ready"),"Review source inputs","Ready"))</x:f>
      </x:c>
      <x:c r="V503" s="17" t="str">
        <x:f>IF(C503="","",IFERROR(MAX(-1,(G503-O503)/MAX(0.000001,G503)),"Unavailable"))</x:f>
      </x:c>
      <x:c r="W503" s="9" t="str">
        <x:f>IF(C503="","",IFERROR(INDEX('Borrowers'!$D$9:$D$108,MATCH(C503,'Borrowers'!$C$9:$C$108,0)),"Unavailable"))</x:f>
      </x:c>
    </x:row>
    <x:row r="504" ht="26" customHeight="1">
      <x:c r="A504" s="1"/>
      <x:c r="B504" s="1"/>
      <x:c r="C504" s="9" t="str">
        <x:f>IF(Borrowers!C104="","",Borrowers!C104)</x:f>
      </x:c>
      <x:c r="D504" s="3" t="n">
        <x:v>5</x:v>
      </x:c>
      <x:c r="E504" s="9" t="n">
        <x:f>Settings!$F$18+4</x:f>
        <x:v>2031</x:v>
      </x:c>
      <x:c r="F504" s="9" t="str">
        <x:f>IF(C504="","",INDEX('Borrowers'!$F$9:$F$108,MATCH(C504,'Borrowers'!$C$9:$C$108,0)))</x:f>
      </x:c>
      <x:c r="G504" s="23" t="str">
        <x:f>IF(C504="","",IFERROR(INDEX('Borrowers'!$J$9:$J$108,MATCH(C504,'Borrowers'!$C$9:$C$108,0))-INDEX('Borrowers'!$K$9:$K$108,MATCH(C504,'Borrowers'!$C$9:$C$108,0)),"Unavailable"))</x:f>
      </x:c>
      <x:c r="H504" s="23" t="str">
        <x:f>IF(C504="","",IFERROR(INDEX('Borrowers'!$I$9:$I$108,MATCH(C504,'Borrowers'!$C$9:$C$108,0))*INDEX('Borrowers'!$U$9:$U$108,MATCH(C504,'Borrowers'!$C$9:$C$108,0))*(IF(F504="Transport",'Scenario Paths'!J156,IF(F504="Technology",'Scenario Paths'!J150,IF(F504="Utilities",'Scenario Paths'!J144,IF(F504="Agriculture",'Scenario Paths'!J138,IF(F504="Manufacturing",'Scenario Paths'!J132,IF(F504="Healthcare",'Scenario Paths'!J126,IF(F504="Hospitality",'Scenario Paths'!J120,IF(F504="Property",'Scenario Paths'!J114,IF(F504="Food",'Scenario Paths'!J108,IF(F504="Logistics",'Scenario Paths'!J102,IF(F504="Solar",'Scenario Paths'!J96,IF(F504="Cement",'Scenario Paths'!J90,0))))))))))))),"Unavailable"))</x:f>
      </x:c>
      <x:c r="I504" s="23" t="str">
        <x:f>IF(C504="","",IFERROR(INDEX('Borrowers'!$R$9:$R$108,MATCH(C504,'Borrowers'!$C$9:$C$108,0))*(1-INDEX('Borrowers'!$W$9:$W$108,MATCH(C504,'Borrowers'!$C$9:$C$108,0))*'Scenario Paths'!J39)*'Scenario Paths'!J9/1000000*(1-INDEX('Borrowers'!$T$9:$T$108,MATCH(C504,'Borrowers'!$C$9:$C$108,0))),"Unavailable"))</x:f>
      </x:c>
      <x:c r="J504" s="23" t="str">
        <x:f>IF(C504="","",IFERROR(INDEX('Borrowers'!$I$9:$I$108,MATCH(C504,'Borrowers'!$C$9:$C$108,0))*INDEX('Borrowers'!$S$9:$S$108,MATCH(C504,'Borrowers'!$C$9:$C$108,0))*'Scenario Paths'!J15*(1-INDEX('Borrowers'!$T$9:$T$108,MATCH(C504,'Borrowers'!$C$9:$C$108,0))),"Unavailable"))</x:f>
      </x:c>
      <x:c r="K504" s="23" t="str">
        <x:f>IF(C504="","",IFERROR(INDEX('Borrowers'!$I$9:$I$108,MATCH(C504,'Borrowers'!$C$9:$C$108,0))*INDEX('Borrowers'!$U$9:$U$108,MATCH(C504,'Borrowers'!$C$9:$C$108,0))*'Scenario Paths'!J21*S504,"Unavailable"))</x:f>
      </x:c>
      <x:c r="L504" s="23" t="str">
        <x:f>IF(C504="","",IFERROR(SUMPRODUCT((Sites!$D$9:$D$108=C504)*Sites!$H$9:$H$108*Sites!$J$9:$J$108*Sites!$K$9:$K$108*(1-Sites!$L$9:$L$108)*(1-Sites!$M$9:$M$108))*'Scenario Paths'!J27,"Unavailable"))</x:f>
      </x:c>
      <x:c r="M504" s="23" t="str">
        <x:f>IF(C504="","",IFERROR(INDEX('Borrowers'!$J$9:$J$108,MATCH(C504,'Borrowers'!$C$9:$C$108,0))+H504-SUM(I504:L504),"Unavailable"))</x:f>
      </x:c>
      <x:c r="N504" s="23" t="str">
        <x:f>IF(C504="","",IFERROR(INDEX('Borrowers'!$I$9:$I$108,MATCH(C504,'Borrowers'!$C$9:$C$108,0))*'Scenario Paths'!J33,"Unavailable"))</x:f>
      </x:c>
      <x:c r="O504" s="23" t="str">
        <x:f>IF(C504="","",IFERROR(M504-INDEX('Borrowers'!$K$9:$K$108,MATCH(C504,'Borrowers'!$C$9:$C$108,0))-N504,"Unavailable"))</x:f>
      </x:c>
      <x:c r="P504" s="127" t="str">
        <x:f>IF(C504="","",IFERROR(O504/INDEX('Borrowers'!$L$9:$L$108,MATCH(C504,'Borrowers'!$C$9:$C$108,0)),"Unavailable"))</x:f>
      </x:c>
      <x:c r="Q504" s="30" t="str">
        <x:f>IF(C504="","",IFERROR(IF(INDEX('Borrowers'!$Z$9:$Z$108,MATCH(C504,'Borrowers'!$C$9:$C$108,0))="Yes",1,IF(INDEX('Borrowers'!$P$9:$P$108,MATCH(C504,'Borrowers'!$C$9:$C$108,0))=0,0,MIN(1,INDEX('Borrowers'!$P$9:$P$108,MATCH(C504,'Borrowers'!$C$9:$C$108,0))*EXP(MIN(20,INDEX('Borrowers'!$V$9:$V$108,MATCH(C504,'Borrowers'!$C$9:$C$108,0))*V504))))),"Unavailable"))</x:f>
      </x:c>
      <x:c r="R504" s="30" t="str">
        <x:f>IF(C504="","",IFERROR(MIN(1,INDEX('Borrowers'!$Q$9:$Q$108,MATCH(C504,'Borrowers'!$C$9:$C$108,0))+(1-INDEX('Borrowers'!$Q$9:$Q$108,MATCH(C504,'Borrowers'!$C$9:$C$108,0)))*T504),"Unavailable"))</x:f>
      </x:c>
      <x:c r="S504" s="30" t="str">
        <x:f>IF(C504="","",IFERROR(SUMPRODUCT((Sites!$D$9:$D$108=C504)*Sites!$I$9:$I$108*Sites!$J$9:$J$108*Sites!$K$9:$K$108*(1-Sites!$L$9:$L$108)),"Unavailable"))</x:f>
      </x:c>
      <x:c r="T504" s="30" t="str">
        <x:f>IF(C504="","",IFERROR(MIN(1,(SUMPRODUCT((Sites!$D$9:$D$108=C504)*Sites!$N$9:$N$108*Sites!$J$9:$J$108*Sites!$K$9:$K$108*(1-Sites!$L$9:$L$108)))*'Scenario Paths'!J27),"Unavailable"))</x:f>
      </x:c>
      <x:c r="U504" s="9" t="str">
        <x:f>IF(C504="","",IF(OR(INDEX('Borrowers'!$AA$9:$AA$108,MATCH(C504,'Borrowers'!$C$9:$C$108,0))&lt;&gt;"Ready",COUNTIF(Sites!$D$9:$D$108,C504)=0,COUNTIFS(Sites!$D$9:$D$108,C504,Sites!$Q$9:$Q$108,"&lt;&gt;Ready")&gt;0,'Scenario Paths'!$F$6&lt;&gt;"Ready"),"Review source inputs","Ready"))</x:f>
      </x:c>
      <x:c r="V504" s="17" t="str">
        <x:f>IF(C504="","",IFERROR(MAX(-1,(G504-O504)/MAX(0.000001,G504)),"Unavailable"))</x:f>
      </x:c>
      <x:c r="W504" s="9" t="str">
        <x:f>IF(C504="","",IFERROR(INDEX('Borrowers'!$D$9:$D$108,MATCH(C504,'Borrowers'!$C$9:$C$108,0)),"Unavailable"))</x:f>
      </x:c>
    </x:row>
    <x:row r="505" ht="26" customHeight="1">
      <x:c r="A505" s="1"/>
      <x:c r="B505" s="1"/>
      <x:c r="C505" s="9" t="str">
        <x:f>IF(Borrowers!C105="","",Borrowers!C105)</x:f>
      </x:c>
      <x:c r="D505" s="3" t="n">
        <x:v>5</x:v>
      </x:c>
      <x:c r="E505" s="9" t="n">
        <x:f>Settings!$F$18+4</x:f>
        <x:v>2031</x:v>
      </x:c>
      <x:c r="F505" s="9" t="str">
        <x:f>IF(C505="","",INDEX('Borrowers'!$F$9:$F$108,MATCH(C505,'Borrowers'!$C$9:$C$108,0)))</x:f>
      </x:c>
      <x:c r="G505" s="23" t="str">
        <x:f>IF(C505="","",IFERROR(INDEX('Borrowers'!$J$9:$J$108,MATCH(C505,'Borrowers'!$C$9:$C$108,0))-INDEX('Borrowers'!$K$9:$K$108,MATCH(C505,'Borrowers'!$C$9:$C$108,0)),"Unavailable"))</x:f>
      </x:c>
      <x:c r="H505" s="23" t="str">
        <x:f>IF(C505="","",IFERROR(INDEX('Borrowers'!$I$9:$I$108,MATCH(C505,'Borrowers'!$C$9:$C$108,0))*INDEX('Borrowers'!$U$9:$U$108,MATCH(C505,'Borrowers'!$C$9:$C$108,0))*(IF(F505="Transport",'Scenario Paths'!J156,IF(F505="Technology",'Scenario Paths'!J150,IF(F505="Utilities",'Scenario Paths'!J144,IF(F505="Agriculture",'Scenario Paths'!J138,IF(F505="Manufacturing",'Scenario Paths'!J132,IF(F505="Healthcare",'Scenario Paths'!J126,IF(F505="Hospitality",'Scenario Paths'!J120,IF(F505="Property",'Scenario Paths'!J114,IF(F505="Food",'Scenario Paths'!J108,IF(F505="Logistics",'Scenario Paths'!J102,IF(F505="Solar",'Scenario Paths'!J96,IF(F505="Cement",'Scenario Paths'!J90,0))))))))))))),"Unavailable"))</x:f>
      </x:c>
      <x:c r="I505" s="23" t="str">
        <x:f>IF(C505="","",IFERROR(INDEX('Borrowers'!$R$9:$R$108,MATCH(C505,'Borrowers'!$C$9:$C$108,0))*(1-INDEX('Borrowers'!$W$9:$W$108,MATCH(C505,'Borrowers'!$C$9:$C$108,0))*'Scenario Paths'!J39)*'Scenario Paths'!J9/1000000*(1-INDEX('Borrowers'!$T$9:$T$108,MATCH(C505,'Borrowers'!$C$9:$C$108,0))),"Unavailable"))</x:f>
      </x:c>
      <x:c r="J505" s="23" t="str">
        <x:f>IF(C505="","",IFERROR(INDEX('Borrowers'!$I$9:$I$108,MATCH(C505,'Borrowers'!$C$9:$C$108,0))*INDEX('Borrowers'!$S$9:$S$108,MATCH(C505,'Borrowers'!$C$9:$C$108,0))*'Scenario Paths'!J15*(1-INDEX('Borrowers'!$T$9:$T$108,MATCH(C505,'Borrowers'!$C$9:$C$108,0))),"Unavailable"))</x:f>
      </x:c>
      <x:c r="K505" s="23" t="str">
        <x:f>IF(C505="","",IFERROR(INDEX('Borrowers'!$I$9:$I$108,MATCH(C505,'Borrowers'!$C$9:$C$108,0))*INDEX('Borrowers'!$U$9:$U$108,MATCH(C505,'Borrowers'!$C$9:$C$108,0))*'Scenario Paths'!J21*S505,"Unavailable"))</x:f>
      </x:c>
      <x:c r="L505" s="23" t="str">
        <x:f>IF(C505="","",IFERROR(SUMPRODUCT((Sites!$D$9:$D$108=C505)*Sites!$H$9:$H$108*Sites!$J$9:$J$108*Sites!$K$9:$K$108*(1-Sites!$L$9:$L$108)*(1-Sites!$M$9:$M$108))*'Scenario Paths'!J27,"Unavailable"))</x:f>
      </x:c>
      <x:c r="M505" s="23" t="str">
        <x:f>IF(C505="","",IFERROR(INDEX('Borrowers'!$J$9:$J$108,MATCH(C505,'Borrowers'!$C$9:$C$108,0))+H505-SUM(I505:L505),"Unavailable"))</x:f>
      </x:c>
      <x:c r="N505" s="23" t="str">
        <x:f>IF(C505="","",IFERROR(INDEX('Borrowers'!$I$9:$I$108,MATCH(C505,'Borrowers'!$C$9:$C$108,0))*'Scenario Paths'!J33,"Unavailable"))</x:f>
      </x:c>
      <x:c r="O505" s="23" t="str">
        <x:f>IF(C505="","",IFERROR(M505-INDEX('Borrowers'!$K$9:$K$108,MATCH(C505,'Borrowers'!$C$9:$C$108,0))-N505,"Unavailable"))</x:f>
      </x:c>
      <x:c r="P505" s="127" t="str">
        <x:f>IF(C505="","",IFERROR(O505/INDEX('Borrowers'!$L$9:$L$108,MATCH(C505,'Borrowers'!$C$9:$C$108,0)),"Unavailable"))</x:f>
      </x:c>
      <x:c r="Q505" s="30" t="str">
        <x:f>IF(C505="","",IFERROR(IF(INDEX('Borrowers'!$Z$9:$Z$108,MATCH(C505,'Borrowers'!$C$9:$C$108,0))="Yes",1,IF(INDEX('Borrowers'!$P$9:$P$108,MATCH(C505,'Borrowers'!$C$9:$C$108,0))=0,0,MIN(1,INDEX('Borrowers'!$P$9:$P$108,MATCH(C505,'Borrowers'!$C$9:$C$108,0))*EXP(MIN(20,INDEX('Borrowers'!$V$9:$V$108,MATCH(C505,'Borrowers'!$C$9:$C$108,0))*V505))))),"Unavailable"))</x:f>
      </x:c>
      <x:c r="R505" s="30" t="str">
        <x:f>IF(C505="","",IFERROR(MIN(1,INDEX('Borrowers'!$Q$9:$Q$108,MATCH(C505,'Borrowers'!$C$9:$C$108,0))+(1-INDEX('Borrowers'!$Q$9:$Q$108,MATCH(C505,'Borrowers'!$C$9:$C$108,0)))*T505),"Unavailable"))</x:f>
      </x:c>
      <x:c r="S505" s="30" t="str">
        <x:f>IF(C505="","",IFERROR(SUMPRODUCT((Sites!$D$9:$D$108=C505)*Sites!$I$9:$I$108*Sites!$J$9:$J$108*Sites!$K$9:$K$108*(1-Sites!$L$9:$L$108)),"Unavailable"))</x:f>
      </x:c>
      <x:c r="T505" s="30" t="str">
        <x:f>IF(C505="","",IFERROR(MIN(1,(SUMPRODUCT((Sites!$D$9:$D$108=C505)*Sites!$N$9:$N$108*Sites!$J$9:$J$108*Sites!$K$9:$K$108*(1-Sites!$L$9:$L$108)))*'Scenario Paths'!J27),"Unavailable"))</x:f>
      </x:c>
      <x:c r="U505" s="9" t="str">
        <x:f>IF(C505="","",IF(OR(INDEX('Borrowers'!$AA$9:$AA$108,MATCH(C505,'Borrowers'!$C$9:$C$108,0))&lt;&gt;"Ready",COUNTIF(Sites!$D$9:$D$108,C505)=0,COUNTIFS(Sites!$D$9:$D$108,C505,Sites!$Q$9:$Q$108,"&lt;&gt;Ready")&gt;0,'Scenario Paths'!$F$6&lt;&gt;"Ready"),"Review source inputs","Ready"))</x:f>
      </x:c>
      <x:c r="V505" s="17" t="str">
        <x:f>IF(C505="","",IFERROR(MAX(-1,(G505-O505)/MAX(0.000001,G505)),"Unavailable"))</x:f>
      </x:c>
      <x:c r="W505" s="9" t="str">
        <x:f>IF(C505="","",IFERROR(INDEX('Borrowers'!$D$9:$D$108,MATCH(C505,'Borrowers'!$C$9:$C$108,0)),"Unavailable"))</x:f>
      </x:c>
    </x:row>
    <x:row r="506" ht="26" customHeight="1">
      <x:c r="A506" s="1"/>
      <x:c r="B506" s="1"/>
      <x:c r="C506" s="9" t="str">
        <x:f>IF(Borrowers!C106="","",Borrowers!C106)</x:f>
      </x:c>
      <x:c r="D506" s="3" t="n">
        <x:v>5</x:v>
      </x:c>
      <x:c r="E506" s="9" t="n">
        <x:f>Settings!$F$18+4</x:f>
        <x:v>2031</x:v>
      </x:c>
      <x:c r="F506" s="9" t="str">
        <x:f>IF(C506="","",INDEX('Borrowers'!$F$9:$F$108,MATCH(C506,'Borrowers'!$C$9:$C$108,0)))</x:f>
      </x:c>
      <x:c r="G506" s="23" t="str">
        <x:f>IF(C506="","",IFERROR(INDEX('Borrowers'!$J$9:$J$108,MATCH(C506,'Borrowers'!$C$9:$C$108,0))-INDEX('Borrowers'!$K$9:$K$108,MATCH(C506,'Borrowers'!$C$9:$C$108,0)),"Unavailable"))</x:f>
      </x:c>
      <x:c r="H506" s="23" t="str">
        <x:f>IF(C506="","",IFERROR(INDEX('Borrowers'!$I$9:$I$108,MATCH(C506,'Borrowers'!$C$9:$C$108,0))*INDEX('Borrowers'!$U$9:$U$108,MATCH(C506,'Borrowers'!$C$9:$C$108,0))*(IF(F506="Transport",'Scenario Paths'!J156,IF(F506="Technology",'Scenario Paths'!J150,IF(F506="Utilities",'Scenario Paths'!J144,IF(F506="Agriculture",'Scenario Paths'!J138,IF(F506="Manufacturing",'Scenario Paths'!J132,IF(F506="Healthcare",'Scenario Paths'!J126,IF(F506="Hospitality",'Scenario Paths'!J120,IF(F506="Property",'Scenario Paths'!J114,IF(F506="Food",'Scenario Paths'!J108,IF(F506="Logistics",'Scenario Paths'!J102,IF(F506="Solar",'Scenario Paths'!J96,IF(F506="Cement",'Scenario Paths'!J90,0))))))))))))),"Unavailable"))</x:f>
      </x:c>
      <x:c r="I506" s="23" t="str">
        <x:f>IF(C506="","",IFERROR(INDEX('Borrowers'!$R$9:$R$108,MATCH(C506,'Borrowers'!$C$9:$C$108,0))*(1-INDEX('Borrowers'!$W$9:$W$108,MATCH(C506,'Borrowers'!$C$9:$C$108,0))*'Scenario Paths'!J39)*'Scenario Paths'!J9/1000000*(1-INDEX('Borrowers'!$T$9:$T$108,MATCH(C506,'Borrowers'!$C$9:$C$108,0))),"Unavailable"))</x:f>
      </x:c>
      <x:c r="J506" s="23" t="str">
        <x:f>IF(C506="","",IFERROR(INDEX('Borrowers'!$I$9:$I$108,MATCH(C506,'Borrowers'!$C$9:$C$108,0))*INDEX('Borrowers'!$S$9:$S$108,MATCH(C506,'Borrowers'!$C$9:$C$108,0))*'Scenario Paths'!J15*(1-INDEX('Borrowers'!$T$9:$T$108,MATCH(C506,'Borrowers'!$C$9:$C$108,0))),"Unavailable"))</x:f>
      </x:c>
      <x:c r="K506" s="23" t="str">
        <x:f>IF(C506="","",IFERROR(INDEX('Borrowers'!$I$9:$I$108,MATCH(C506,'Borrowers'!$C$9:$C$108,0))*INDEX('Borrowers'!$U$9:$U$108,MATCH(C506,'Borrowers'!$C$9:$C$108,0))*'Scenario Paths'!J21*S506,"Unavailable"))</x:f>
      </x:c>
      <x:c r="L506" s="23" t="str">
        <x:f>IF(C506="","",IFERROR(SUMPRODUCT((Sites!$D$9:$D$108=C506)*Sites!$H$9:$H$108*Sites!$J$9:$J$108*Sites!$K$9:$K$108*(1-Sites!$L$9:$L$108)*(1-Sites!$M$9:$M$108))*'Scenario Paths'!J27,"Unavailable"))</x:f>
      </x:c>
      <x:c r="M506" s="23" t="str">
        <x:f>IF(C506="","",IFERROR(INDEX('Borrowers'!$J$9:$J$108,MATCH(C506,'Borrowers'!$C$9:$C$108,0))+H506-SUM(I506:L506),"Unavailable"))</x:f>
      </x:c>
      <x:c r="N506" s="23" t="str">
        <x:f>IF(C506="","",IFERROR(INDEX('Borrowers'!$I$9:$I$108,MATCH(C506,'Borrowers'!$C$9:$C$108,0))*'Scenario Paths'!J33,"Unavailable"))</x:f>
      </x:c>
      <x:c r="O506" s="23" t="str">
        <x:f>IF(C506="","",IFERROR(M506-INDEX('Borrowers'!$K$9:$K$108,MATCH(C506,'Borrowers'!$C$9:$C$108,0))-N506,"Unavailable"))</x:f>
      </x:c>
      <x:c r="P506" s="127" t="str">
        <x:f>IF(C506="","",IFERROR(O506/INDEX('Borrowers'!$L$9:$L$108,MATCH(C506,'Borrowers'!$C$9:$C$108,0)),"Unavailable"))</x:f>
      </x:c>
      <x:c r="Q506" s="30" t="str">
        <x:f>IF(C506="","",IFERROR(IF(INDEX('Borrowers'!$Z$9:$Z$108,MATCH(C506,'Borrowers'!$C$9:$C$108,0))="Yes",1,IF(INDEX('Borrowers'!$P$9:$P$108,MATCH(C506,'Borrowers'!$C$9:$C$108,0))=0,0,MIN(1,INDEX('Borrowers'!$P$9:$P$108,MATCH(C506,'Borrowers'!$C$9:$C$108,0))*EXP(MIN(20,INDEX('Borrowers'!$V$9:$V$108,MATCH(C506,'Borrowers'!$C$9:$C$108,0))*V506))))),"Unavailable"))</x:f>
      </x:c>
      <x:c r="R506" s="30" t="str">
        <x:f>IF(C506="","",IFERROR(MIN(1,INDEX('Borrowers'!$Q$9:$Q$108,MATCH(C506,'Borrowers'!$C$9:$C$108,0))+(1-INDEX('Borrowers'!$Q$9:$Q$108,MATCH(C506,'Borrowers'!$C$9:$C$108,0)))*T506),"Unavailable"))</x:f>
      </x:c>
      <x:c r="S506" s="30" t="str">
        <x:f>IF(C506="","",IFERROR(SUMPRODUCT((Sites!$D$9:$D$108=C506)*Sites!$I$9:$I$108*Sites!$J$9:$J$108*Sites!$K$9:$K$108*(1-Sites!$L$9:$L$108)),"Unavailable"))</x:f>
      </x:c>
      <x:c r="T506" s="30" t="str">
        <x:f>IF(C506="","",IFERROR(MIN(1,(SUMPRODUCT((Sites!$D$9:$D$108=C506)*Sites!$N$9:$N$108*Sites!$J$9:$J$108*Sites!$K$9:$K$108*(1-Sites!$L$9:$L$108)))*'Scenario Paths'!J27),"Unavailable"))</x:f>
      </x:c>
      <x:c r="U506" s="9" t="str">
        <x:f>IF(C506="","",IF(OR(INDEX('Borrowers'!$AA$9:$AA$108,MATCH(C506,'Borrowers'!$C$9:$C$108,0))&lt;&gt;"Ready",COUNTIF(Sites!$D$9:$D$108,C506)=0,COUNTIFS(Sites!$D$9:$D$108,C506,Sites!$Q$9:$Q$108,"&lt;&gt;Ready")&gt;0,'Scenario Paths'!$F$6&lt;&gt;"Ready"),"Review source inputs","Ready"))</x:f>
      </x:c>
      <x:c r="V506" s="17" t="str">
        <x:f>IF(C506="","",IFERROR(MAX(-1,(G506-O506)/MAX(0.000001,G506)),"Unavailable"))</x:f>
      </x:c>
      <x:c r="W506" s="9" t="str">
        <x:f>IF(C506="","",IFERROR(INDEX('Borrowers'!$D$9:$D$108,MATCH(C506,'Borrowers'!$C$9:$C$108,0)),"Unavailable"))</x:f>
      </x:c>
    </x:row>
    <x:row r="507" ht="26" customHeight="1">
      <x:c r="A507" s="1"/>
      <x:c r="B507" s="1"/>
      <x:c r="C507" s="9" t="str">
        <x:f>IF(Borrowers!C107="","",Borrowers!C107)</x:f>
      </x:c>
      <x:c r="D507" s="3" t="n">
        <x:v>5</x:v>
      </x:c>
      <x:c r="E507" s="9" t="n">
        <x:f>Settings!$F$18+4</x:f>
        <x:v>2031</x:v>
      </x:c>
      <x:c r="F507" s="9" t="str">
        <x:f>IF(C507="","",INDEX('Borrowers'!$F$9:$F$108,MATCH(C507,'Borrowers'!$C$9:$C$108,0)))</x:f>
      </x:c>
      <x:c r="G507" s="23" t="str">
        <x:f>IF(C507="","",IFERROR(INDEX('Borrowers'!$J$9:$J$108,MATCH(C507,'Borrowers'!$C$9:$C$108,0))-INDEX('Borrowers'!$K$9:$K$108,MATCH(C507,'Borrowers'!$C$9:$C$108,0)),"Unavailable"))</x:f>
      </x:c>
      <x:c r="H507" s="23" t="str">
        <x:f>IF(C507="","",IFERROR(INDEX('Borrowers'!$I$9:$I$108,MATCH(C507,'Borrowers'!$C$9:$C$108,0))*INDEX('Borrowers'!$U$9:$U$108,MATCH(C507,'Borrowers'!$C$9:$C$108,0))*(IF(F507="Transport",'Scenario Paths'!J156,IF(F507="Technology",'Scenario Paths'!J150,IF(F507="Utilities",'Scenario Paths'!J144,IF(F507="Agriculture",'Scenario Paths'!J138,IF(F507="Manufacturing",'Scenario Paths'!J132,IF(F507="Healthcare",'Scenario Paths'!J126,IF(F507="Hospitality",'Scenario Paths'!J120,IF(F507="Property",'Scenario Paths'!J114,IF(F507="Food",'Scenario Paths'!J108,IF(F507="Logistics",'Scenario Paths'!J102,IF(F507="Solar",'Scenario Paths'!J96,IF(F507="Cement",'Scenario Paths'!J90,0))))))))))))),"Unavailable"))</x:f>
      </x:c>
      <x:c r="I507" s="23" t="str">
        <x:f>IF(C507="","",IFERROR(INDEX('Borrowers'!$R$9:$R$108,MATCH(C507,'Borrowers'!$C$9:$C$108,0))*(1-INDEX('Borrowers'!$W$9:$W$108,MATCH(C507,'Borrowers'!$C$9:$C$108,0))*'Scenario Paths'!J39)*'Scenario Paths'!J9/1000000*(1-INDEX('Borrowers'!$T$9:$T$108,MATCH(C507,'Borrowers'!$C$9:$C$108,0))),"Unavailable"))</x:f>
      </x:c>
      <x:c r="J507" s="23" t="str">
        <x:f>IF(C507="","",IFERROR(INDEX('Borrowers'!$I$9:$I$108,MATCH(C507,'Borrowers'!$C$9:$C$108,0))*INDEX('Borrowers'!$S$9:$S$108,MATCH(C507,'Borrowers'!$C$9:$C$108,0))*'Scenario Paths'!J15*(1-INDEX('Borrowers'!$T$9:$T$108,MATCH(C507,'Borrowers'!$C$9:$C$108,0))),"Unavailable"))</x:f>
      </x:c>
      <x:c r="K507" s="23" t="str">
        <x:f>IF(C507="","",IFERROR(INDEX('Borrowers'!$I$9:$I$108,MATCH(C507,'Borrowers'!$C$9:$C$108,0))*INDEX('Borrowers'!$U$9:$U$108,MATCH(C507,'Borrowers'!$C$9:$C$108,0))*'Scenario Paths'!J21*S507,"Unavailable"))</x:f>
      </x:c>
      <x:c r="L507" s="23" t="str">
        <x:f>IF(C507="","",IFERROR(SUMPRODUCT((Sites!$D$9:$D$108=C507)*Sites!$H$9:$H$108*Sites!$J$9:$J$108*Sites!$K$9:$K$108*(1-Sites!$L$9:$L$108)*(1-Sites!$M$9:$M$108))*'Scenario Paths'!J27,"Unavailable"))</x:f>
      </x:c>
      <x:c r="M507" s="23" t="str">
        <x:f>IF(C507="","",IFERROR(INDEX('Borrowers'!$J$9:$J$108,MATCH(C507,'Borrowers'!$C$9:$C$108,0))+H507-SUM(I507:L507),"Unavailable"))</x:f>
      </x:c>
      <x:c r="N507" s="23" t="str">
        <x:f>IF(C507="","",IFERROR(INDEX('Borrowers'!$I$9:$I$108,MATCH(C507,'Borrowers'!$C$9:$C$108,0))*'Scenario Paths'!J33,"Unavailable"))</x:f>
      </x:c>
      <x:c r="O507" s="23" t="str">
        <x:f>IF(C507="","",IFERROR(M507-INDEX('Borrowers'!$K$9:$K$108,MATCH(C507,'Borrowers'!$C$9:$C$108,0))-N507,"Unavailable"))</x:f>
      </x:c>
      <x:c r="P507" s="127" t="str">
        <x:f>IF(C507="","",IFERROR(O507/INDEX('Borrowers'!$L$9:$L$108,MATCH(C507,'Borrowers'!$C$9:$C$108,0)),"Unavailable"))</x:f>
      </x:c>
      <x:c r="Q507" s="30" t="str">
        <x:f>IF(C507="","",IFERROR(IF(INDEX('Borrowers'!$Z$9:$Z$108,MATCH(C507,'Borrowers'!$C$9:$C$108,0))="Yes",1,IF(INDEX('Borrowers'!$P$9:$P$108,MATCH(C507,'Borrowers'!$C$9:$C$108,0))=0,0,MIN(1,INDEX('Borrowers'!$P$9:$P$108,MATCH(C507,'Borrowers'!$C$9:$C$108,0))*EXP(MIN(20,INDEX('Borrowers'!$V$9:$V$108,MATCH(C507,'Borrowers'!$C$9:$C$108,0))*V507))))),"Unavailable"))</x:f>
      </x:c>
      <x:c r="R507" s="30" t="str">
        <x:f>IF(C507="","",IFERROR(MIN(1,INDEX('Borrowers'!$Q$9:$Q$108,MATCH(C507,'Borrowers'!$C$9:$C$108,0))+(1-INDEX('Borrowers'!$Q$9:$Q$108,MATCH(C507,'Borrowers'!$C$9:$C$108,0)))*T507),"Unavailable"))</x:f>
      </x:c>
      <x:c r="S507" s="30" t="str">
        <x:f>IF(C507="","",IFERROR(SUMPRODUCT((Sites!$D$9:$D$108=C507)*Sites!$I$9:$I$108*Sites!$J$9:$J$108*Sites!$K$9:$K$108*(1-Sites!$L$9:$L$108)),"Unavailable"))</x:f>
      </x:c>
      <x:c r="T507" s="30" t="str">
        <x:f>IF(C507="","",IFERROR(MIN(1,(SUMPRODUCT((Sites!$D$9:$D$108=C507)*Sites!$N$9:$N$108*Sites!$J$9:$J$108*Sites!$K$9:$K$108*(1-Sites!$L$9:$L$108)))*'Scenario Paths'!J27),"Unavailable"))</x:f>
      </x:c>
      <x:c r="U507" s="9" t="str">
        <x:f>IF(C507="","",IF(OR(INDEX('Borrowers'!$AA$9:$AA$108,MATCH(C507,'Borrowers'!$C$9:$C$108,0))&lt;&gt;"Ready",COUNTIF(Sites!$D$9:$D$108,C507)=0,COUNTIFS(Sites!$D$9:$D$108,C507,Sites!$Q$9:$Q$108,"&lt;&gt;Ready")&gt;0,'Scenario Paths'!$F$6&lt;&gt;"Ready"),"Review source inputs","Ready"))</x:f>
      </x:c>
      <x:c r="V507" s="17" t="str">
        <x:f>IF(C507="","",IFERROR(MAX(-1,(G507-O507)/MAX(0.000001,G507)),"Unavailable"))</x:f>
      </x:c>
      <x:c r="W507" s="9" t="str">
        <x:f>IF(C507="","",IFERROR(INDEX('Borrowers'!$D$9:$D$108,MATCH(C507,'Borrowers'!$C$9:$C$108,0)),"Unavailable"))</x:f>
      </x:c>
    </x:row>
    <x:row r="508" ht="26" customHeight="1">
      <x:c r="A508" s="1"/>
      <x:c r="B508" s="1"/>
      <x:c r="C508" s="9" t="str">
        <x:f>IF(Borrowers!C108="","",Borrowers!C108)</x:f>
      </x:c>
      <x:c r="D508" s="3" t="n">
        <x:v>5</x:v>
      </x:c>
      <x:c r="E508" s="9" t="n">
        <x:f>Settings!$F$18+4</x:f>
        <x:v>2031</x:v>
      </x:c>
      <x:c r="F508" s="9" t="str">
        <x:f>IF(C508="","",INDEX('Borrowers'!$F$9:$F$108,MATCH(C508,'Borrowers'!$C$9:$C$108,0)))</x:f>
      </x:c>
      <x:c r="G508" s="23" t="str">
        <x:f>IF(C508="","",IFERROR(INDEX('Borrowers'!$J$9:$J$108,MATCH(C508,'Borrowers'!$C$9:$C$108,0))-INDEX('Borrowers'!$K$9:$K$108,MATCH(C508,'Borrowers'!$C$9:$C$108,0)),"Unavailable"))</x:f>
      </x:c>
      <x:c r="H508" s="23" t="str">
        <x:f>IF(C508="","",IFERROR(INDEX('Borrowers'!$I$9:$I$108,MATCH(C508,'Borrowers'!$C$9:$C$108,0))*INDEX('Borrowers'!$U$9:$U$108,MATCH(C508,'Borrowers'!$C$9:$C$108,0))*(IF(F508="Transport",'Scenario Paths'!J156,IF(F508="Technology",'Scenario Paths'!J150,IF(F508="Utilities",'Scenario Paths'!J144,IF(F508="Agriculture",'Scenario Paths'!J138,IF(F508="Manufacturing",'Scenario Paths'!J132,IF(F508="Healthcare",'Scenario Paths'!J126,IF(F508="Hospitality",'Scenario Paths'!J120,IF(F508="Property",'Scenario Paths'!J114,IF(F508="Food",'Scenario Paths'!J108,IF(F508="Logistics",'Scenario Paths'!J102,IF(F508="Solar",'Scenario Paths'!J96,IF(F508="Cement",'Scenario Paths'!J90,0))))))))))))),"Unavailable"))</x:f>
      </x:c>
      <x:c r="I508" s="23" t="str">
        <x:f>IF(C508="","",IFERROR(INDEX('Borrowers'!$R$9:$R$108,MATCH(C508,'Borrowers'!$C$9:$C$108,0))*(1-INDEX('Borrowers'!$W$9:$W$108,MATCH(C508,'Borrowers'!$C$9:$C$108,0))*'Scenario Paths'!J39)*'Scenario Paths'!J9/1000000*(1-INDEX('Borrowers'!$T$9:$T$108,MATCH(C508,'Borrowers'!$C$9:$C$108,0))),"Unavailable"))</x:f>
      </x:c>
      <x:c r="J508" s="23" t="str">
        <x:f>IF(C508="","",IFERROR(INDEX('Borrowers'!$I$9:$I$108,MATCH(C508,'Borrowers'!$C$9:$C$108,0))*INDEX('Borrowers'!$S$9:$S$108,MATCH(C508,'Borrowers'!$C$9:$C$108,0))*'Scenario Paths'!J15*(1-INDEX('Borrowers'!$T$9:$T$108,MATCH(C508,'Borrowers'!$C$9:$C$108,0))),"Unavailable"))</x:f>
      </x:c>
      <x:c r="K508" s="23" t="str">
        <x:f>IF(C508="","",IFERROR(INDEX('Borrowers'!$I$9:$I$108,MATCH(C508,'Borrowers'!$C$9:$C$108,0))*INDEX('Borrowers'!$U$9:$U$108,MATCH(C508,'Borrowers'!$C$9:$C$108,0))*'Scenario Paths'!J21*S508,"Unavailable"))</x:f>
      </x:c>
      <x:c r="L508" s="23" t="str">
        <x:f>IF(C508="","",IFERROR(SUMPRODUCT((Sites!$D$9:$D$108=C508)*Sites!$H$9:$H$108*Sites!$J$9:$J$108*Sites!$K$9:$K$108*(1-Sites!$L$9:$L$108)*(1-Sites!$M$9:$M$108))*'Scenario Paths'!J27,"Unavailable"))</x:f>
      </x:c>
      <x:c r="M508" s="23" t="str">
        <x:f>IF(C508="","",IFERROR(INDEX('Borrowers'!$J$9:$J$108,MATCH(C508,'Borrowers'!$C$9:$C$108,0))+H508-SUM(I508:L508),"Unavailable"))</x:f>
      </x:c>
      <x:c r="N508" s="23" t="str">
        <x:f>IF(C508="","",IFERROR(INDEX('Borrowers'!$I$9:$I$108,MATCH(C508,'Borrowers'!$C$9:$C$108,0))*'Scenario Paths'!J33,"Unavailable"))</x:f>
      </x:c>
      <x:c r="O508" s="23" t="str">
        <x:f>IF(C508="","",IFERROR(M508-INDEX('Borrowers'!$K$9:$K$108,MATCH(C508,'Borrowers'!$C$9:$C$108,0))-N508,"Unavailable"))</x:f>
      </x:c>
      <x:c r="P508" s="127" t="str">
        <x:f>IF(C508="","",IFERROR(O508/INDEX('Borrowers'!$L$9:$L$108,MATCH(C508,'Borrowers'!$C$9:$C$108,0)),"Unavailable"))</x:f>
      </x:c>
      <x:c r="Q508" s="30" t="str">
        <x:f>IF(C508="","",IFERROR(IF(INDEX('Borrowers'!$Z$9:$Z$108,MATCH(C508,'Borrowers'!$C$9:$C$108,0))="Yes",1,IF(INDEX('Borrowers'!$P$9:$P$108,MATCH(C508,'Borrowers'!$C$9:$C$108,0))=0,0,MIN(1,INDEX('Borrowers'!$P$9:$P$108,MATCH(C508,'Borrowers'!$C$9:$C$108,0))*EXP(MIN(20,INDEX('Borrowers'!$V$9:$V$108,MATCH(C508,'Borrowers'!$C$9:$C$108,0))*V508))))),"Unavailable"))</x:f>
      </x:c>
      <x:c r="R508" s="30" t="str">
        <x:f>IF(C508="","",IFERROR(MIN(1,INDEX('Borrowers'!$Q$9:$Q$108,MATCH(C508,'Borrowers'!$C$9:$C$108,0))+(1-INDEX('Borrowers'!$Q$9:$Q$108,MATCH(C508,'Borrowers'!$C$9:$C$108,0)))*T508),"Unavailable"))</x:f>
      </x:c>
      <x:c r="S508" s="30" t="str">
        <x:f>IF(C508="","",IFERROR(SUMPRODUCT((Sites!$D$9:$D$108=C508)*Sites!$I$9:$I$108*Sites!$J$9:$J$108*Sites!$K$9:$K$108*(1-Sites!$L$9:$L$108)),"Unavailable"))</x:f>
      </x:c>
      <x:c r="T508" s="30" t="str">
        <x:f>IF(C508="","",IFERROR(MIN(1,(SUMPRODUCT((Sites!$D$9:$D$108=C508)*Sites!$N$9:$N$108*Sites!$J$9:$J$108*Sites!$K$9:$K$108*(1-Sites!$L$9:$L$108)))*'Scenario Paths'!J27),"Unavailable"))</x:f>
      </x:c>
      <x:c r="U508" s="9" t="str">
        <x:f>IF(C508="","",IF(OR(INDEX('Borrowers'!$AA$9:$AA$108,MATCH(C508,'Borrowers'!$C$9:$C$108,0))&lt;&gt;"Ready",COUNTIF(Sites!$D$9:$D$108,C508)=0,COUNTIFS(Sites!$D$9:$D$108,C508,Sites!$Q$9:$Q$108,"&lt;&gt;Ready")&gt;0,'Scenario Paths'!$F$6&lt;&gt;"Ready"),"Review source inputs","Ready"))</x:f>
      </x:c>
      <x:c r="V508" s="17" t="str">
        <x:f>IF(C508="","",IFERROR(MAX(-1,(G508-O508)/MAX(0.000001,G508)),"Unavailable"))</x:f>
      </x:c>
      <x:c r="W508" s="9" t="str">
        <x:f>IF(C508="","",IFERROR(INDEX('Borrowers'!$D$9:$D$108,MATCH(C508,'Borrowers'!$C$9:$C$108,0)),"Unavailable"))</x:f>
      </x:c>
    </x:row>
    <x:row r="509" ht="26" customHeight="1">
      <x:c r="A509" s="1"/>
      <x:c r="B509" s="1"/>
      <x:c r="C509" s="3"/>
      <x:c r="D509" s="3"/>
      <x:c r="E509" s="3"/>
      <x:c r="F509" s="3"/>
      <x:c r="G509" s="3"/>
      <x:c r="H509" s="3"/>
      <x:c r="I509" s="3"/>
      <x:c r="J509" s="3"/>
      <x:c r="K509" s="3"/>
      <x:c r="L509" s="3"/>
      <x:c r="M509" s="3"/>
      <x:c r="N509" s="3"/>
      <x:c r="O509" s="3"/>
      <x:c r="P509" s="3"/>
      <x:c r="Q509" s="3"/>
      <x:c r="R509" s="3"/>
      <x:c r="S509" s="3"/>
      <x:c r="T509" s="3"/>
      <x:c r="U509" s="3"/>
      <x:c r="V509" s="3"/>
      <x:c r="W509" s="3"/>
    </x:row>
    <x:row r="510" ht="26" customHeight="1">
      <x:c r="A510" s="1"/>
      <x:c r="B510" s="1"/>
      <x:c r="C510" s="3"/>
      <x:c r="D510" s="3"/>
      <x:c r="E510" s="3"/>
      <x:c r="F510" s="3"/>
      <x:c r="G510" s="3"/>
      <x:c r="H510" s="3"/>
      <x:c r="I510" s="3"/>
      <x:c r="J510" s="3"/>
      <x:c r="K510" s="3"/>
      <x:c r="L510" s="3"/>
      <x:c r="M510" s="3"/>
      <x:c r="N510" s="3"/>
      <x:c r="O510" s="3"/>
      <x:c r="P510" s="3"/>
      <x:c r="Q510" s="3"/>
      <x:c r="R510" s="3"/>
      <x:c r="S510" s="3"/>
      <x:c r="T510" s="3"/>
      <x:c r="U510" s="3"/>
      <x:c r="V510" s="3"/>
      <x:c r="W510" s="3"/>
    </x:row>
    <x:row r="511" ht="26" customHeight="1">
      <x:c r="A511" s="1"/>
      <x:c r="B511" s="1"/>
      <x:c r="C511" s="3"/>
      <x:c r="D511" s="3"/>
      <x:c r="E511" s="3"/>
      <x:c r="F511" s="3"/>
      <x:c r="G511" s="3"/>
      <x:c r="H511" s="3"/>
      <x:c r="I511" s="3"/>
      <x:c r="J511" s="3"/>
      <x:c r="K511" s="3"/>
      <x:c r="L511" s="3"/>
      <x:c r="M511" s="3"/>
      <x:c r="N511" s="3"/>
      <x:c r="O511" s="3"/>
      <x:c r="P511" s="3"/>
      <x:c r="Q511" s="3"/>
      <x:c r="R511" s="3"/>
      <x:c r="S511" s="3"/>
      <x:c r="T511" s="3"/>
      <x:c r="U511" s="3"/>
      <x:c r="V511" s="3"/>
      <x:c r="W511" s="3"/>
    </x:row>
    <x:row r="512" ht="26" customHeight="1">
      <x:c r="A512" s="1"/>
      <x:c r="B512" s="1"/>
      <x:c r="C512" s="3"/>
      <x:c r="D512" s="3"/>
      <x:c r="E512" s="3"/>
      <x:c r="F512" s="3"/>
      <x:c r="G512" s="3"/>
      <x:c r="H512" s="3"/>
      <x:c r="I512" s="3"/>
      <x:c r="J512" s="3"/>
      <x:c r="K512" s="3"/>
      <x:c r="L512" s="3"/>
      <x:c r="M512" s="3"/>
      <x:c r="N512" s="3"/>
      <x:c r="O512" s="3"/>
      <x:c r="P512" s="3"/>
      <x:c r="Q512" s="3"/>
      <x:c r="R512" s="3"/>
      <x:c r="S512" s="3"/>
      <x:c r="T512" s="3"/>
      <x:c r="U512" s="3"/>
      <x:c r="V512" s="3"/>
      <x:c r="W512" s="3"/>
    </x:row>
  </x:sheetData>
  <x:mergeCells>
    <x:mergeCell ref="C2:H2"/>
    <x:mergeCell ref="C3:M3"/>
    <x:mergeCell ref="C1:D1"/>
    <x:mergeCell ref="E1:F1"/>
    <x:mergeCell ref="G1:H1"/>
    <x:mergeCell ref="I1:J1"/>
    <x:mergeCell ref="K1:L1"/>
    <x:mergeCell ref="M1:N1"/>
  </x:mergeCells>
  <x:conditionalFormatting sqref="U9:U508">
    <x:cfRule type="containsText" dxfId="80" priority="1" operator="containsText" text="Missing"/>
    <x:cfRule type="containsText" dxfId="81" priority="2" operator="containsText" text="Required"/>
    <x:cfRule type="containsText" dxfId="82" priority="3" operator="containsText" text="required"/>
    <x:cfRule type="containsText" dxfId="83" priority="4" operator="containsText" text="Expired"/>
    <x:cfRule type="containsText" dxfId="84" priority="5" operator="containsText" text="Hold"/>
    <x:cfRule type="containsText" dxfId="85" priority="6" operator="containsText" text="Review"/>
    <x:cfRule type="containsText" dxfId="86" priority="7" operator="containsText" text="Incomplete"/>
    <x:cfRule type="containsText" dxfId="87" priority="8" operator="containsText" text="Pending"/>
    <x:cfRule type="containsText" dxfId="88" priority="9" operator="containsText" text="Unsupported"/>
    <x:cfRule type="containsText" dxfId="89" priority="10" operator="containsText" text="Criteria"/>
    <x:cfRule type="containsText" dxfId="90" priority="11" operator="containsText" text="Fail"/>
    <x:cfRule type="containsText" dxfId="91" priority="12" operator="containsText" text="Stop"/>
    <x:cfRule type="containsText" dxfId="92" priority="13" operator="containsText" text="Breach"/>
    <x:cfRule type="containsText" dxfId="93" priority="14" operator="containsText" text="Invalid"/>
    <x:cfRule type="containsText" dxfId="94" priority="15" operator="containsText" text="Duplicate"/>
    <x:cfRule type="containsText" dxfId="95" priority="16" operator="containsText" text="Not aligned"/>
  </x:conditionalFormatting>
  <x:hyperlinks>
    <x:hyperlink ref="C1" location="'Overview'!C2" display="Home" tooltip="Open Overview"/>
    <x:hyperlink ref="E1" location="'Customer'!C2" display="Customer" tooltip="Open Customer"/>
    <x:hyperlink ref="G1" location="'Capital'!C2" display="Capital" tooltip="Open Capital"/>
    <x:hyperlink ref="I1" location="'Disclosures'!C2" display="Reporting" tooltip="Open Disclosures"/>
    <x:hyperlink ref="K1" location="'Borrowers'!C8" display="Inputs" tooltip="Open Borrowers"/>
    <x:hyperlink ref="M1" location="'Settings'!C5" display="Settings" tooltip="Open Settings"/>
  </x:hyperlinks>
  <x:pageMargins left="0.7" right="0.7" top="0.75" bottom="0.75" header="0.3" footer="0.3"/>
  <x:tableParts count="1">
    <x:tablePart xmlns:r="http://schemas.openxmlformats.org/officeDocument/2006/relationships" r:id="R33cf518440c646dd"/>
  </x:tableParts>
</x:worksheet>
</file>

<file path=xl/worksheets/sheet9.xml><?xml version="1.0" encoding="utf-8"?>
<x:worksheet xmlns:x="http://schemas.openxmlformats.org/spreadsheetml/2006/main">
  <x:sheetPr>
    <x:tabColor rgb="FF007F86"/>
  </x:sheetPr>
  <x:sheetViews>
    <x:sheetView showGridLines="0" workbookViewId="0">
      <x:pane xSplit="4" ySplit="8" topLeftCell="E9" activePane="bottomRight" state="frozen"/>
    </x:sheetView>
  </x:sheetViews>
  <x:sheetFormatPr defaultRowHeight="15"/>
  <x:cols>
    <x:col min="1" max="1" width="2.4000000953674316" hidden="0" customWidth="1"/>
    <x:col min="2" max="2" width="2.4000000953674316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  <x:col min="29" max="29" width="17" hidden="0" customWidth="1"/>
    <x:col min="30" max="30" width="17" hidden="0" customWidth="1"/>
    <x:col min="31" max="31" width="17" hidden="0" customWidth="1"/>
    <x:col min="32" max="32" width="17" hidden="0" customWidth="1"/>
  </x:cols>
  <x:sheetData>
    <x:row r="1" ht="27" customHeight="1">
      <x:c r="A1" s="1"/>
      <x:c r="B1" s="1"/>
      <x:c r="C1" s="50" t="str">
        <x:v>Home</x:v>
      </x:c>
      <x:c r="D1" s="50"/>
      <x:c r="E1" s="63" t="str">
        <x:v>Customer</x:v>
      </x:c>
      <x:c r="F1" s="63"/>
      <x:c r="G1" s="63" t="str">
        <x:v>Capital</x:v>
      </x:c>
      <x:c r="H1" s="63"/>
      <x:c r="I1" s="63" t="str">
        <x:v>Reporting</x:v>
      </x:c>
      <x:c r="J1" s="63"/>
      <x:c r="K1" s="63" t="str">
        <x:v>Inputs</x:v>
      </x:c>
      <x:c r="L1" s="63"/>
      <x:c r="M1" s="63" t="str">
        <x:v>Settings</x:v>
      </x:c>
      <x:c r="N1" s="6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</x:row>
    <x:row r="2" ht="45" customHeight="1">
      <x:c r="A2" s="1"/>
      <x:c r="B2" s="1"/>
      <x:c r="C2" s="5" t="str">
        <x:v>Reporting-date ECL</x:v>
      </x:c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  <x:c r="Y2" s="5"/>
      <x:c r="Z2" s="5"/>
      <x:c r="AA2" s="5"/>
      <x:c r="AB2" s="5"/>
      <x:c r="AC2" s="5"/>
      <x:c r="AD2" s="5"/>
      <x:c r="AE2" s="5"/>
      <x:c r="AF2" s="5"/>
    </x:row>
    <x:row r="3" ht="32" customHeight="1">
      <x:c r="A3" s="1"/>
      <x:c r="B3" s="1"/>
      <x:c r="C3" s="6" t="str">
        <x:v>IFRS 9-based method. Annual default buckets through maturity, up to 30 years. Constant PD/LGD within each accounting case.</x:v>
      </x:c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  <x:c r="AA3" s="3"/>
      <x:c r="AB3" s="3"/>
      <x:c r="AC3" s="3"/>
      <x:c r="AD3" s="3"/>
      <x:c r="AE3" s="3"/>
      <x:c r="AF3" s="3"/>
    </x:row>
    <x:row r="4" ht="26" customHeight="1">
      <x:c r="A4" s="1"/>
      <x:c r="B4" s="1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  <x:c r="Y4" s="3"/>
      <x:c r="Z4" s="3"/>
      <x:c r="AA4" s="3"/>
      <x:c r="AB4" s="3"/>
      <x:c r="AC4" s="3"/>
      <x:c r="AD4" s="3"/>
      <x:c r="AE4" s="3"/>
      <x:c r="AF4" s="3"/>
    </x:row>
    <x:row r="5" ht="26" customHeight="1">
      <x:c r="A5" s="1"/>
      <x:c r="B5" s="1"/>
      <x:c r="C5" s="3" t="str">
        <x:v>DRAWN ECL</x:v>
      </x:c>
      <x:c r="D5" s="3"/>
      <x:c r="E5" s="21" t="n">
        <x:f>SUM(AB9:AB108)</x:f>
        <x:v>13.355693185003394</x:v>
      </x:c>
      <x:c r="F5" s="21"/>
      <x:c r="G5" s="21" t="str">
        <x:v>UNDRAWN ECL</x:v>
      </x:c>
      <x:c r="H5" s="21"/>
      <x:c r="I5" s="21" t="n">
        <x:f>SUM(AC9:AC108)</x:f>
        <x:v>1.0177966012964703</x:v>
      </x:c>
      <x:c r="J5" s="21"/>
      <x:c r="K5" s="21" t="str">
        <x:v>TOTAL ECL</x:v>
      </x:c>
      <x:c r="L5" s="21"/>
      <x:c r="M5" s="21" t="n">
        <x:f>SUM(AD9:AD108)</x:f>
        <x:v>14.373489786299864</x:v>
      </x:c>
      <x:c r="N5" s="3"/>
      <x:c r="O5" s="3"/>
      <x:c r="P5" s="3"/>
      <x:c r="Q5" s="3"/>
      <x:c r="R5" s="3"/>
      <x:c r="S5" s="3"/>
      <x:c r="T5" s="3"/>
      <x:c r="U5" s="3"/>
      <x:c r="V5" s="3"/>
      <x:c r="W5" s="3"/>
      <x:c r="X5" s="3"/>
      <x:c r="Y5" s="3"/>
      <x:c r="Z5" s="3"/>
      <x:c r="AA5" s="3"/>
      <x:c r="AB5" s="3"/>
      <x:c r="AC5" s="3"/>
      <x:c r="AD5" s="3"/>
      <x:c r="AE5" s="3"/>
      <x:c r="AF5" s="3"/>
    </x:row>
    <x:row r="6" ht="26" customHeight="1">
      <x:c r="A6" s="1"/>
      <x:c r="B6" s="1"/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  <x:c r="O6" s="3"/>
      <x:c r="P6" s="3"/>
      <x:c r="Q6" s="3"/>
      <x:c r="R6" s="3"/>
      <x:c r="S6" s="3"/>
      <x:c r="T6" s="3"/>
      <x:c r="U6" s="3"/>
      <x:c r="V6" s="3"/>
      <x:c r="W6" s="3"/>
      <x:c r="X6" s="3"/>
      <x:c r="Y6" s="3"/>
      <x:c r="Z6" s="3"/>
      <x:c r="AA6" s="3"/>
      <x:c r="AB6" s="3"/>
      <x:c r="AC6" s="3"/>
      <x:c r="AD6" s="3"/>
      <x:c r="AE6" s="3"/>
      <x:c r="AF6" s="3"/>
    </x:row>
    <x:row r="7" ht="26" customHeight="1">
      <x:c r="A7" s="1"/>
      <x:c r="B7" s="1"/>
      <x:c r="C7" s="50" t="str">
        <x:v>Case probabilities</x:v>
      </x:c>
      <x:c r="D7" s="50"/>
      <x:c r="E7" s="50"/>
      <x:c r="F7" s="50"/>
      <x:c r="G7" s="63" t="str">
        <x:v>Weighted ECL</x:v>
      </x:c>
      <x:c r="H7" s="63"/>
      <x:c r="I7" s="63"/>
      <x:c r="J7" s="63"/>
      <x:c r="K7" s="63" t="str">
        <x:v>Credit assumptions</x:v>
      </x:c>
      <x:c r="L7" s="63"/>
      <x:c r="M7" s="63"/>
      <x:c r="N7" s="63"/>
      <x:c r="O7" s="3"/>
      <x:c r="P7" s="3"/>
      <x:c r="Q7" s="3"/>
      <x:c r="R7" s="3"/>
      <x:c r="S7" s="3"/>
      <x:c r="T7" s="3"/>
      <x:c r="U7" s="3"/>
      <x:c r="V7" s="3"/>
      <x:c r="W7" s="3"/>
      <x:c r="X7" s="3"/>
      <x:c r="Y7" s="3"/>
      <x:c r="Z7" s="3"/>
      <x:c r="AA7" s="3"/>
      <x:c r="AB7" s="3"/>
      <x:c r="AC7" s="3"/>
      <x:c r="AD7" s="3"/>
      <x:c r="AE7" s="3"/>
      <x:c r="AF7" s="3"/>
    </x:row>
    <x:row r="8" ht="46" customHeight="1">
      <x:c r="A8" s="1"/>
      <x:c r="B8" s="1"/>
      <x:c r="C8" s="15" t="str">
        <x:v>Facility ID</x:v>
      </x:c>
      <x:c r="D8" s="15" t="str">
        <x:v>Borrower ID</x:v>
      </x:c>
      <x:c r="E8" s="15" t="str">
        <x:v>Stage</x:v>
      </x:c>
      <x:c r="F8" s="15" t="str">
        <x:v>Drawn USD m</x:v>
      </x:c>
      <x:c r="G8" s="15" t="str">
        <x:v>Undrawn USD m</x:v>
      </x:c>
      <x:c r="H8" s="15" t="str">
        <x:v>Remaining years</x:v>
      </x:c>
      <x:c r="I8" s="15" t="str">
        <x:v>EIR</x:v>
      </x:c>
      <x:c r="J8" s="15" t="str">
        <x:v>Annual PD</x:v>
      </x:c>
      <x:c r="K8" s="15" t="str">
        <x:v>Base LGD</x:v>
      </x:c>
      <x:c r="L8" s="15" t="str">
        <x:v>Amortisation</x:v>
      </x:c>
      <x:c r="M8" s="15" t="str">
        <x:v>Recovery lag years</x:v>
      </x:c>
      <x:c r="N8" s="15" t="str">
        <x:v>Recovery fraction</x:v>
      </x:c>
      <x:c r="O8" s="15" t="str">
        <x:v>Input status</x:v>
      </x:c>
      <x:c r="P8" s="15" t="str">
        <x:v>Central PD</x:v>
      </x:c>
      <x:c r="Q8" s="15" t="str">
        <x:v>Downside PD</x:v>
      </x:c>
      <x:c r="R8" s="15" t="str">
        <x:v>Upside PD</x:v>
      </x:c>
      <x:c r="S8" s="15" t="str">
        <x:v>Central LGD</x:v>
      </x:c>
      <x:c r="T8" s="15" t="str">
        <x:v>Downside LGD</x:v>
      </x:c>
      <x:c r="U8" s="15" t="str">
        <x:v>Upside LGD</x:v>
      </x:c>
      <x:c r="V8" s="15" t="str">
        <x:v>Central drawn ECL</x:v>
      </x:c>
      <x:c r="W8" s="15" t="str">
        <x:v>Downside drawn ECL</x:v>
      </x:c>
      <x:c r="X8" s="15" t="str">
        <x:v>Upside drawn ECL</x:v>
      </x:c>
      <x:c r="Y8" s="15" t="str">
        <x:v>Central undrawn ECL</x:v>
      </x:c>
      <x:c r="Z8" s="15" t="str">
        <x:v>Downside undrawn ECL</x:v>
      </x:c>
      <x:c r="AA8" s="15" t="str">
        <x:v>Upside undrawn ECL</x:v>
      </x:c>
      <x:c r="AB8" s="15" t="str">
        <x:v>Weighted drawn ECL</x:v>
      </x:c>
      <x:c r="AC8" s="15" t="str">
        <x:v>Weighted undrawn ECL</x:v>
      </x:c>
      <x:c r="AD8" s="15" t="str">
        <x:v>Total ECL</x:v>
      </x:c>
      <x:c r="AE8" s="15" t="str">
        <x:v>Allowance / gross</x:v>
      </x:c>
      <x:c r="AF8" s="15" t="str">
        <x:v>Horizon years</x:v>
      </x:c>
    </x:row>
    <x:row r="9" ht="26" customHeight="1">
      <x:c r="A9" s="1"/>
      <x:c r="B9" s="1"/>
      <x:c r="C9" s="9" t="str">
        <x:f>IF(Facilities!C9="","",Facilities!C9)</x:f>
        <x:v>F001</x:v>
      </x:c>
      <x:c r="D9" s="9" t="str">
        <x:f>IF(C9="","",INDEX('Facilities'!$D$9:$D$108,MATCH(C9,'Facilities'!$C$9:$C$108,0)))</x:f>
        <x:v>B001</x:v>
      </x:c>
      <x:c r="E9" s="9" t="n">
        <x:f>IF(C9="","",INDEX('Facilities'!$AD$9:$AD$108,MATCH(C9,'Facilities'!$C$9:$C$108,0)))</x:f>
        <x:v>1</x:v>
      </x:c>
      <x:c r="F9" s="23" t="n">
        <x:f>IF(C9="","",INDEX('Facilities'!$AA$9:$AA$108,MATCH(C9,'Facilities'!$C$9:$C$108,0)))</x:f>
        <x:v>5</x:v>
      </x:c>
      <x:c r="G9" s="23" t="n">
        <x:f>IF(C9="","",INDEX('Facilities'!$AB$9:$AB$108,MATCH(C9,'Facilities'!$C$9:$C$108,0)))</x:f>
        <x:v>1.5</x:v>
      </x:c>
      <x:c r="H9" s="42" t="n">
        <x:f>IF(C9="","",INDEX('Facilities'!$J$9:$J$108,MATCH(C9,'Facilities'!$C$9:$C$108,0)))</x:f>
        <x:v>12</x:v>
      </x:c>
      <x:c r="I9" s="30" t="n">
        <x:f>IF(C9="","",INDEX('Facilities'!$K$9:$K$108,MATCH(C9,'Facilities'!$C$9:$C$108,0)))</x:f>
        <x:v>0.08</x:v>
      </x:c>
      <x:c r="J9" s="30" t="n">
        <x:f>IF(C9="","",INDEX('Borrowers'!$P$9:$P$108,MATCH(D9,'Borrowers'!$C$9:$C$108,0)))</x:f>
        <x:v>0.012</x:v>
      </x:c>
      <x:c r="K9" s="30" t="n">
        <x:f>IF(C9="","",INDEX('Borrowers'!$Q$9:$Q$108,MATCH(D9,'Borrowers'!$C$9:$C$108,0)))</x:f>
        <x:v>0.28</x:v>
      </x:c>
      <x:c r="L9" s="30" t="n">
        <x:f>IF(C9="","",INDEX('Facilities'!$R$9:$R$108,MATCH(C9,'Facilities'!$C$9:$C$108,0)))</x:f>
        <x:v>0.12</x:v>
      </x:c>
      <x:c r="M9" s="42" t="n">
        <x:f>IF(C9="","",INDEX('Facilities'!$AK$9:$AK$108,MATCH(C9,'Facilities'!$C$9:$C$108,0)))</x:f>
        <x:v>2</x:v>
      </x:c>
      <x:c r="N9" s="30" t="n">
        <x:f>IF(C9="","",INDEX('Facilities'!$AL$9:$AL$108,MATCH(C9,'Facilities'!$C$9:$C$108,0)))</x:f>
        <x:v>0.55</x:v>
      </x:c>
      <x:c r="O9" s="23" t="str">
        <x:f>IF(C9="","",IF(AND(INDEX('Facilities'!$AF$9:$AF$108,MATCH(C9,'Facilities'!$C$9:$C$108,0))="Ready",Settings!$F$36="Ready"),"Ready","Review ECL inputs"))</x:f>
        <x:v>Ready</x:v>
      </x:c>
      <x:c r="P9" s="30" t="n">
        <x:f>IF(C9="","",MIN(1,J9*Settings!$G$32))</x:f>
        <x:v>0.012</x:v>
      </x:c>
      <x:c r="Q9" s="30" t="n">
        <x:f>IF(C9="","",MIN(1,J9*Settings!$G$33))</x:f>
        <x:v>0.0216</x:v>
      </x:c>
      <x:c r="R9" s="30" t="n">
        <x:f>IF(C9="","",MIN(1,J9*Settings!$G$34))</x:f>
        <x:v>0.009000000000000001</x:v>
      </x:c>
      <x:c r="S9" s="30" t="n">
        <x:f>IF(C9="","",MIN(1,K9*Settings!$H$32))</x:f>
        <x:v>0.28</x:v>
      </x:c>
      <x:c r="T9" s="30" t="n">
        <x:f>IF(C9="","",MIN(1,K9*Settings!$H$33))</x:f>
        <x:v>0.322</x:v>
      </x:c>
      <x:c r="U9" s="30" t="n">
        <x:f>IF(C9="","",MIN(1,K9*Settings!$H$34))</x:f>
        <x:v>0.266</x:v>
      </x:c>
      <x:c r="V9" s="23" t="n">
        <x:f>IF(C9="","",IF(O9&lt;&gt;"Ready","Unavailable",IF(E9=3,F9*(1-MAX(0,1-(1-N9)*Settings!$H$32)/(1+I9)^M9),F9*(1-(1-S9)/(1+I9)^M9)*P9/(1+I9)*IF(ABS(1-(1-P9)*(1-L9)/(1+I9))&lt;0.000000001,AF9,(1-((1-P9)*(1-L9)/(1+I9))^AF9)/(1-(1-P9)*(1-L9)/(1+I9))))))</x:f>
        <x:v>0.021262002743484224</x:v>
      </x:c>
      <x:c r="W9" s="23" t="n">
        <x:f>IF(C9="","",IF(O9&lt;&gt;"Ready","Unavailable",IF(E9=3,F9*(1-MAX(0,1-(1-N9)*Settings!$H$33)/(1+I9)^M9),F9*(1-(1-T9)/(1+I9)^M9)*Q9/(1+I9)*IF(ABS(1-(1-Q9)*(1-L9)/(1+I9))&lt;0.000000001,AF9,(1-((1-Q9)*(1-L9)/(1+I9))^AF9)/(1-(1-Q9)*(1-L9)/(1+I9))))))</x:f>
        <x:v>0.0418724279835391</x:v>
      </x:c>
      <x:c r="X9" s="23" t="n">
        <x:f>IF(C9="","",IF(O9&lt;&gt;"Ready","Unavailable",IF(E9=3,F9*(1-MAX(0,1-(1-N9)*Settings!$H$34)/(1+I9)^M9),F9*(1-(1-U9)/(1+I9)^M9)*R9/(1+I9)*IF(ABS(1-(1-R9)*(1-L9)/(1+I9))&lt;0.000000001,AF9,(1-((1-R9)*(1-L9)/(1+I9))^AF9)/(1-(1-R9)*(1-L9)/(1+I9))))))</x:f>
        <x:v>0.015446387745770467</x:v>
      </x:c>
      <x:c r="Y9" s="23" t="n">
        <x:f>IF(C9="","",IF(O9&lt;&gt;"Ready","Unavailable",IF(E9=3,G9*INDEX('Facilities'!$I$9:$I$108,MATCH(C9,'Facilities'!$C$9:$C$108,0))*(1-MAX(0,1-(1-N9)*Settings!$H$32)/(1+I9)^M9),G9*INDEX('Facilities'!$I$9:$I$108,MATCH(C9,'Facilities'!$C$9:$C$108,0))*(1-(1-S9)/(1+I9)^M9)*P9/(1+I9)*IF(ABS(1-(1-P9)*(1-0)/(1+I9))&lt;0.000000001,AF9,(1-((1-P9)*(1-0)/(1+I9))^AF9)/(1-(1-P9)*(1-0)/(1+I9))))))</x:f>
        <x:v>0.0031893004115226345</x:v>
      </x:c>
      <x:c r="Z9" s="23" t="n">
        <x:f>IF(C9="","",IF(O9&lt;&gt;"Ready","Unavailable",IF(E9=3,G9*INDEX('Facilities'!$I$9:$I$108,MATCH(C9,'Facilities'!$C$9:$C$108,0))*(1-MAX(0,1-(1-N9)*Settings!$H$33)/(1+I9)^M9),G9*INDEX('Facilities'!$I$9:$I$108,MATCH(C9,'Facilities'!$C$9:$C$108,0))*(1-(1-T9)/(1+I9)^M9)*Q9/(1+I9)*IF(ABS(1-(1-Q9)*(1-0)/(1+I9))&lt;0.000000001,AF9,(1-((1-Q9)*(1-0)/(1+I9))^AF9)/(1-(1-Q9)*(1-0)/(1+I9))))))</x:f>
        <x:v>0.006280864197530866</x:v>
      </x:c>
      <x:c r="AA9" s="23" t="n">
        <x:f>IF(C9="","",IF(O9&lt;&gt;"Ready","Unavailable",IF(E9=3,G9*INDEX('Facilities'!$I$9:$I$108,MATCH(C9,'Facilities'!$C$9:$C$108,0))*(1-MAX(0,1-(1-N9)*Settings!$H$34)/(1+I9)^M9),G9*INDEX('Facilities'!$I$9:$I$108,MATCH(C9,'Facilities'!$C$9:$C$108,0))*(1-(1-U9)/(1+I9)^M9)*R9/(1+I9)*IF(ABS(1-(1-R9)*(1-0)/(1+I9))&lt;0.000000001,AF9,(1-((1-R9)*(1-0)/(1+I9))^AF9)/(1-(1-R9)*(1-0)/(1+I9))))))</x:f>
        <x:v>0.0023169581618655696</x:v>
      </x:c>
      <x:c r="AB9" s="23" t="n">
        <x:f>IF(C9="","",IF(O9&lt;&gt;"Ready","Unavailable",V9*Settings!$F$32+W9*Settings!$F$33+X9*Settings!$F$34))</x:f>
        <x:v>0.02686356881572931</x:v>
      </x:c>
      <x:c r="AC9" s="23" t="n">
        <x:f>IF(C9="","",IF(O9&lt;&gt;"Ready","Unavailable",Y9*Settings!$F$32+Z9*Settings!$F$33+AA9*Settings!$F$34))</x:f>
        <x:v>0.004029535322359398</x:v>
      </x:c>
      <x:c r="AD9" s="21" t="n">
        <x:f>IF(C9="","",IF(O9&lt;&gt;"Ready","Unavailable",AB9+AC9))</x:f>
        <x:v>0.030893104138088708</x:v>
      </x:c>
      <x:c r="AE9" s="17" t="n">
        <x:f>IF(C9="","",IF(OR(O9&lt;&gt;"Ready",F9=0),"Unavailable",AB9/F9))</x:f>
        <x:v>0.005372713763145862</x:v>
      </x:c>
      <x:c r="AF9" s="44" t="n">
        <x:f>IF(C9="","",IF(E9=1,1,H9))</x:f>
        <x:v>1</x:v>
      </x:c>
    </x:row>
    <x:row r="10" ht="26" customHeight="1">
      <x:c r="A10" s="1"/>
      <x:c r="B10" s="1"/>
      <x:c r="C10" s="9" t="str">
        <x:f>IF(Facilities!C10="","",Facilities!C10)</x:f>
        <x:v>F002</x:v>
      </x:c>
      <x:c r="D10" s="9" t="str">
        <x:f>IF(C10="","",INDEX('Facilities'!$D$9:$D$108,MATCH(C10,'Facilities'!$C$9:$C$108,0)))</x:f>
        <x:v>B001</x:v>
      </x:c>
      <x:c r="E10" s="9" t="n">
        <x:f>IF(C10="","",INDEX('Facilities'!$AD$9:$AD$108,MATCH(C10,'Facilities'!$C$9:$C$108,0)))</x:f>
        <x:v>1</x:v>
      </x:c>
      <x:c r="F10" s="23" t="n">
        <x:f>IF(C10="","",INDEX('Facilities'!$AA$9:$AA$108,MATCH(C10,'Facilities'!$C$9:$C$108,0)))</x:f>
        <x:v>2.5</x:v>
      </x:c>
      <x:c r="G10" s="23" t="n">
        <x:f>IF(C10="","",INDEX('Facilities'!$AB$9:$AB$108,MATCH(C10,'Facilities'!$C$9:$C$108,0)))</x:f>
        <x:v>0.5</x:v>
      </x:c>
      <x:c r="H10" s="42" t="n">
        <x:f>IF(C10="","",INDEX('Facilities'!$J$9:$J$108,MATCH(C10,'Facilities'!$C$9:$C$108,0)))</x:f>
        <x:v>12</x:v>
      </x:c>
      <x:c r="I10" s="30" t="n">
        <x:f>IF(C10="","",INDEX('Facilities'!$K$9:$K$108,MATCH(C10,'Facilities'!$C$9:$C$108,0)))</x:f>
        <x:v>0.08</x:v>
      </x:c>
      <x:c r="J10" s="30" t="n">
        <x:f>IF(C10="","",INDEX('Borrowers'!$P$9:$P$108,MATCH(D10,'Borrowers'!$C$9:$C$108,0)))</x:f>
        <x:v>0.012</x:v>
      </x:c>
      <x:c r="K10" s="30" t="n">
        <x:f>IF(C10="","",INDEX('Borrowers'!$Q$9:$Q$108,MATCH(D10,'Borrowers'!$C$9:$C$108,0)))</x:f>
        <x:v>0.28</x:v>
      </x:c>
      <x:c r="L10" s="30" t="n">
        <x:f>IF(C10="","",INDEX('Facilities'!$R$9:$R$108,MATCH(C10,'Facilities'!$C$9:$C$108,0)))</x:f>
        <x:v>0.12</x:v>
      </x:c>
      <x:c r="M10" s="42" t="n">
        <x:f>IF(C10="","",INDEX('Facilities'!$AK$9:$AK$108,MATCH(C10,'Facilities'!$C$9:$C$108,0)))</x:f>
        <x:v>2</x:v>
      </x:c>
      <x:c r="N10" s="30" t="n">
        <x:f>IF(C10="","",INDEX('Facilities'!$AL$9:$AL$108,MATCH(C10,'Facilities'!$C$9:$C$108,0)))</x:f>
        <x:v>0.55</x:v>
      </x:c>
      <x:c r="O10" s="23" t="str">
        <x:f>IF(C10="","",IF(AND(INDEX('Facilities'!$AF$9:$AF$108,MATCH(C10,'Facilities'!$C$9:$C$108,0))="Ready",Settings!$F$36="Ready"),"Ready","Review ECL inputs"))</x:f>
        <x:v>Ready</x:v>
      </x:c>
      <x:c r="P10" s="30" t="n">
        <x:f>IF(C10="","",MIN(1,J10*Settings!$G$32))</x:f>
        <x:v>0.012</x:v>
      </x:c>
      <x:c r="Q10" s="30" t="n">
        <x:f>IF(C10="","",MIN(1,J10*Settings!$G$33))</x:f>
        <x:v>0.0216</x:v>
      </x:c>
      <x:c r="R10" s="30" t="n">
        <x:f>IF(C10="","",MIN(1,J10*Settings!$G$34))</x:f>
        <x:v>0.009000000000000001</x:v>
      </x:c>
      <x:c r="S10" s="30" t="n">
        <x:f>IF(C10="","",MIN(1,K10*Settings!$H$32))</x:f>
        <x:v>0.28</x:v>
      </x:c>
      <x:c r="T10" s="30" t="n">
        <x:f>IF(C10="","",MIN(1,K10*Settings!$H$33))</x:f>
        <x:v>0.322</x:v>
      </x:c>
      <x:c r="U10" s="30" t="n">
        <x:f>IF(C10="","",MIN(1,K10*Settings!$H$34))</x:f>
        <x:v>0.266</x:v>
      </x:c>
      <x:c r="V10" s="23" t="n">
        <x:f>IF(C10="","",IF(O10&lt;&gt;"Ready","Unavailable",IF(E10=3,F10*(1-MAX(0,1-(1-N10)*Settings!$H$32)/(1+I10)^M10),F10*(1-(1-S10)/(1+I10)^M10)*P10/(1+I10)*IF(ABS(1-(1-P10)*(1-L10)/(1+I10))&lt;0.000000001,AF10,(1-((1-P10)*(1-L10)/(1+I10))^AF10)/(1-(1-P10)*(1-L10)/(1+I10))))))</x:f>
        <x:v>0.010631001371742112</x:v>
      </x:c>
      <x:c r="W10" s="23" t="n">
        <x:f>IF(C10="","",IF(O10&lt;&gt;"Ready","Unavailable",IF(E10=3,F10*(1-MAX(0,1-(1-N10)*Settings!$H$33)/(1+I10)^M10),F10*(1-(1-T10)/(1+I10)^M10)*Q10/(1+I10)*IF(ABS(1-(1-Q10)*(1-L10)/(1+I10))&lt;0.000000001,AF10,(1-((1-Q10)*(1-L10)/(1+I10))^AF10)/(1-(1-Q10)*(1-L10)/(1+I10))))))</x:f>
        <x:v>0.02093621399176955</x:v>
      </x:c>
      <x:c r="X10" s="23" t="n">
        <x:f>IF(C10="","",IF(O10&lt;&gt;"Ready","Unavailable",IF(E10=3,F10*(1-MAX(0,1-(1-N10)*Settings!$H$34)/(1+I10)^M10),F10*(1-(1-U10)/(1+I10)^M10)*R10/(1+I10)*IF(ABS(1-(1-R10)*(1-L10)/(1+I10))&lt;0.000000001,AF10,(1-((1-R10)*(1-L10)/(1+I10))^AF10)/(1-(1-R10)*(1-L10)/(1+I10))))))</x:f>
        <x:v>0.0077231938728852334</x:v>
      </x:c>
      <x:c r="Y10" s="23" t="n">
        <x:f>IF(C10="","",IF(O10&lt;&gt;"Ready","Unavailable",IF(E10=3,G10*INDEX('Facilities'!$I$9:$I$108,MATCH(C10,'Facilities'!$C$9:$C$108,0))*(1-MAX(0,1-(1-N10)*Settings!$H$32)/(1+I10)^M10),G10*INDEX('Facilities'!$I$9:$I$108,MATCH(C10,'Facilities'!$C$9:$C$108,0))*(1-(1-S10)/(1+I10)^M10)*P10/(1+I10)*IF(ABS(1-(1-P10)*(1-0)/(1+I10))&lt;0.000000001,AF10,(1-((1-P10)*(1-0)/(1+I10))^AF10)/(1-(1-P10)*(1-0)/(1+I10))))))</x:f>
        <x:v>0.0010631001371742114</x:v>
      </x:c>
      <x:c r="Z10" s="23" t="n">
        <x:f>IF(C10="","",IF(O10&lt;&gt;"Ready","Unavailable",IF(E10=3,G10*INDEX('Facilities'!$I$9:$I$108,MATCH(C10,'Facilities'!$C$9:$C$108,0))*(1-MAX(0,1-(1-N10)*Settings!$H$33)/(1+I10)^M10),G10*INDEX('Facilities'!$I$9:$I$108,MATCH(C10,'Facilities'!$C$9:$C$108,0))*(1-(1-T10)/(1+I10)^M10)*Q10/(1+I10)*IF(ABS(1-(1-Q10)*(1-0)/(1+I10))&lt;0.000000001,AF10,(1-((1-Q10)*(1-0)/(1+I10))^AF10)/(1-(1-Q10)*(1-0)/(1+I10))))))</x:f>
        <x:v>0.0020936213991769553</x:v>
      </x:c>
      <x:c r="AA10" s="23" t="n">
        <x:f>IF(C10="","",IF(O10&lt;&gt;"Ready","Unavailable",IF(E10=3,G10*INDEX('Facilities'!$I$9:$I$108,MATCH(C10,'Facilities'!$C$9:$C$108,0))*(1-MAX(0,1-(1-N10)*Settings!$H$34)/(1+I10)^M10),G10*INDEX('Facilities'!$I$9:$I$108,MATCH(C10,'Facilities'!$C$9:$C$108,0))*(1-(1-U10)/(1+I10)^M10)*R10/(1+I10)*IF(ABS(1-(1-R10)*(1-0)/(1+I10))&lt;0.000000001,AF10,(1-((1-R10)*(1-0)/(1+I10))^AF10)/(1-(1-R10)*(1-0)/(1+I10))))))</x:f>
        <x:v>0.0007723193872885232</x:v>
      </x:c>
      <x:c r="AB10" s="23" t="n">
        <x:f>IF(C10="","",IF(O10&lt;&gt;"Ready","Unavailable",V10*Settings!$F$32+W10*Settings!$F$33+X10*Settings!$F$34))</x:f>
        <x:v>0.013431784407864656</x:v>
      </x:c>
      <x:c r="AC10" s="23" t="n">
        <x:f>IF(C10="","",IF(O10&lt;&gt;"Ready","Unavailable",Y10*Settings!$F$32+Z10*Settings!$F$33+AA10*Settings!$F$34))</x:f>
        <x:v>0.0013431784407864657</x:v>
      </x:c>
      <x:c r="AD10" s="21" t="n">
        <x:f>IF(C10="","",IF(O10&lt;&gt;"Ready","Unavailable",AB10+AC10))</x:f>
        <x:v>0.01477496284865112</x:v>
      </x:c>
      <x:c r="AE10" s="17" t="n">
        <x:f>IF(C10="","",IF(OR(O10&lt;&gt;"Ready",F10=0),"Unavailable",AB10/F10))</x:f>
        <x:v>0.005372713763145862</x:v>
      </x:c>
      <x:c r="AF10" s="44" t="n">
        <x:f>IF(C10="","",IF(E10=1,1,H10))</x:f>
        <x:v>1</x:v>
      </x:c>
    </x:row>
    <x:row r="11" ht="26" customHeight="1">
      <x:c r="A11" s="1"/>
      <x:c r="B11" s="1"/>
      <x:c r="C11" s="9" t="str">
        <x:f>IF(Facilities!C11="","",Facilities!C11)</x:f>
        <x:v>F003</x:v>
      </x:c>
      <x:c r="D11" s="9" t="str">
        <x:f>IF(C11="","",INDEX('Facilities'!$D$9:$D$108,MATCH(C11,'Facilities'!$C$9:$C$108,0)))</x:f>
        <x:v>B002</x:v>
      </x:c>
      <x:c r="E11" s="9" t="n">
        <x:f>IF(C11="","",INDEX('Facilities'!$AD$9:$AD$108,MATCH(C11,'Facilities'!$C$9:$C$108,0)))</x:f>
        <x:v>1</x:v>
      </x:c>
      <x:c r="F11" s="23" t="n">
        <x:f>IF(C11="","",INDEX('Facilities'!$AA$9:$AA$108,MATCH(C11,'Facilities'!$C$9:$C$108,0)))</x:f>
        <x:v>5.35</x:v>
      </x:c>
      <x:c r="G11" s="23" t="n">
        <x:f>IF(C11="","",INDEX('Facilities'!$AB$9:$AB$108,MATCH(C11,'Facilities'!$C$9:$C$108,0)))</x:f>
        <x:v>1.5</x:v>
      </x:c>
      <x:c r="H11" s="42" t="n">
        <x:f>IF(C11="","",INDEX('Facilities'!$J$9:$J$108,MATCH(C11,'Facilities'!$C$9:$C$108,0)))</x:f>
        <x:v>6</x:v>
      </x:c>
      <x:c r="I11" s="30" t="n">
        <x:f>IF(C11="","",INDEX('Facilities'!$K$9:$K$108,MATCH(C11,'Facilities'!$C$9:$C$108,0)))</x:f>
        <x:v>0.08</x:v>
      </x:c>
      <x:c r="J11" s="30" t="n">
        <x:f>IF(C11="","",INDEX('Borrowers'!$P$9:$P$108,MATCH(D11,'Borrowers'!$C$9:$C$108,0)))</x:f>
        <x:v>0.018000000000000002</x:v>
      </x:c>
      <x:c r="K11" s="30" t="n">
        <x:f>IF(C11="","",INDEX('Borrowers'!$Q$9:$Q$108,MATCH(D11,'Borrowers'!$C$9:$C$108,0)))</x:f>
        <x:v>0.32</x:v>
      </x:c>
      <x:c r="L11" s="30" t="n">
        <x:f>IF(C11="","",INDEX('Facilities'!$R$9:$R$108,MATCH(C11,'Facilities'!$C$9:$C$108,0)))</x:f>
        <x:v>0.12</x:v>
      </x:c>
      <x:c r="M11" s="42" t="n">
        <x:f>IF(C11="","",INDEX('Facilities'!$AK$9:$AK$108,MATCH(C11,'Facilities'!$C$9:$C$108,0)))</x:f>
        <x:v>2</x:v>
      </x:c>
      <x:c r="N11" s="30" t="n">
        <x:f>IF(C11="","",INDEX('Facilities'!$AL$9:$AL$108,MATCH(C11,'Facilities'!$C$9:$C$108,0)))</x:f>
        <x:v>0.55</x:v>
      </x:c>
      <x:c r="O11" s="23" t="str">
        <x:f>IF(C11="","",IF(AND(INDEX('Facilities'!$AF$9:$AF$108,MATCH(C11,'Facilities'!$C$9:$C$108,0))="Ready",Settings!$F$36="Ready"),"Ready","Review ECL inputs"))</x:f>
        <x:v>Ready</x:v>
      </x:c>
      <x:c r="P11" s="30" t="n">
        <x:f>IF(C11="","",MIN(1,J11*Settings!$G$32))</x:f>
        <x:v>0.018000000000000002</x:v>
      </x:c>
      <x:c r="Q11" s="30" t="n">
        <x:f>IF(C11="","",MIN(1,J11*Settings!$G$33))</x:f>
        <x:v>0.032400000000000005</x:v>
      </x:c>
      <x:c r="R11" s="30" t="n">
        <x:f>IF(C11="","",MIN(1,J11*Settings!$G$34))</x:f>
        <x:v>0.013500000000000002</x:v>
      </x:c>
      <x:c r="S11" s="30" t="n">
        <x:f>IF(C11="","",MIN(1,K11*Settings!$H$32))</x:f>
        <x:v>0.32</x:v>
      </x:c>
      <x:c r="T11" s="30" t="n">
        <x:f>IF(C11="","",MIN(1,K11*Settings!$H$33))</x:f>
        <x:v>0.368</x:v>
      </x:c>
      <x:c r="U11" s="30" t="n">
        <x:f>IF(C11="","",MIN(1,K11*Settings!$H$34))</x:f>
        <x:v>0.304</x:v>
      </x:c>
      <x:c r="V11" s="23" t="n">
        <x:f>IF(C11="","",IF(O11&lt;&gt;"Ready","Unavailable",IF(E11=3,F11*(1-MAX(0,1-(1-N11)*Settings!$H$32)/(1+I11)^M11),F11*(1-(1-S11)/(1+I11)^M11)*P11/(1+I11)*IF(ABS(1-(1-P11)*(1-L11)/(1+I11))&lt;0.000000001,AF11,(1-((1-P11)*(1-L11)/(1+I11))^AF11)/(1-(1-P11)*(1-L11)/(1+I11))))))</x:f>
        <x:v>0.03718335619570188</x:v>
      </x:c>
      <x:c r="W11" s="23" t="n">
        <x:f>IF(C11="","",IF(O11&lt;&gt;"Ready","Unavailable",IF(E11=3,F11*(1-MAX(0,1-(1-N11)*Settings!$H$33)/(1+I11)^M11),F11*(1-(1-T11)/(1+I11)^M11)*Q11/(1+I11)*IF(ABS(1-(1-Q11)*(1-L11)/(1+I11))&lt;0.000000001,AF11,(1-((1-Q11)*(1-L11)/(1+I11))^AF11)/(1-(1-Q11)*(1-L11)/(1+I11))))))</x:f>
        <x:v>0.07353497942386834</x:v>
      </x:c>
      <x:c r="X11" s="23" t="n">
        <x:f>IF(C11="","",IF(O11&lt;&gt;"Ready","Unavailable",IF(E11=3,F11*(1-MAX(0,1-(1-N11)*Settings!$H$34)/(1+I11)^M11),F11*(1-(1-U11)/(1+I11)^M11)*R11/(1+I11)*IF(ABS(1-(1-R11)*(1-L11)/(1+I11))&lt;0.000000001,AF11,(1-((1-R11)*(1-L11)/(1+I11))^AF11)/(1-(1-R11)*(1-L11)/(1+I11))))))</x:f>
        <x:v>0.0269701646090535</x:v>
      </x:c>
      <x:c r="Y11" s="23" t="n">
        <x:f>IF(C11="","",IF(O11&lt;&gt;"Ready","Unavailable",IF(E11=3,G11*INDEX('Facilities'!$I$9:$I$108,MATCH(C11,'Facilities'!$C$9:$C$108,0))*(1-MAX(0,1-(1-N11)*Settings!$H$32)/(1+I11)^M11),G11*INDEX('Facilities'!$I$9:$I$108,MATCH(C11,'Facilities'!$C$9:$C$108,0))*(1-(1-S11)/(1+I11)^M11)*P11/(1+I11)*IF(ABS(1-(1-P11)*(1-0)/(1+I11))&lt;0.000000001,AF11,(1-((1-P11)*(1-0)/(1+I11))^AF11)/(1-(1-P11)*(1-0)/(1+I11))))))</x:f>
        <x:v>0.005212620027434843</x:v>
      </x:c>
      <x:c r="Z11" s="23" t="n">
        <x:f>IF(C11="","",IF(O11&lt;&gt;"Ready","Unavailable",IF(E11=3,G11*INDEX('Facilities'!$I$9:$I$108,MATCH(C11,'Facilities'!$C$9:$C$108,0))*(1-MAX(0,1-(1-N11)*Settings!$H$33)/(1+I11)^M11),G11*INDEX('Facilities'!$I$9:$I$108,MATCH(C11,'Facilities'!$C$9:$C$108,0))*(1-(1-T11)/(1+I11)^M11)*Q11/(1+I11)*IF(ABS(1-(1-Q11)*(1-0)/(1+I11))&lt;0.000000001,AF11,(1-((1-Q11)*(1-0)/(1+I11))^AF11)/(1-(1-Q11)*(1-0)/(1+I11))))))</x:f>
        <x:v>0.010308641975308645</x:v>
      </x:c>
      <x:c r="AA11" s="23" t="n">
        <x:f>IF(C11="","",IF(O11&lt;&gt;"Ready","Unavailable",IF(E11=3,G11*INDEX('Facilities'!$I$9:$I$108,MATCH(C11,'Facilities'!$C$9:$C$108,0))*(1-MAX(0,1-(1-N11)*Settings!$H$34)/(1+I11)^M11),G11*INDEX('Facilities'!$I$9:$I$108,MATCH(C11,'Facilities'!$C$9:$C$108,0))*(1-(1-U11)/(1+I11)^M11)*R11/(1+I11)*IF(ABS(1-(1-R11)*(1-0)/(1+I11))&lt;0.000000001,AF11,(1-((1-R11)*(1-0)/(1+I11))^AF11)/(1-(1-R11)*(1-0)/(1+I11))))))</x:f>
        <x:v>0.003780864197530864</x:v>
      </x:c>
      <x:c r="AB11" s="23" t="n">
        <x:f>IF(C11="","",IF(O11&lt;&gt;"Ready","Unavailable",V11*Settings!$F$32+W11*Settings!$F$33+X11*Settings!$F$34))</x:f>
        <x:v>0.047067524005486985</x:v>
      </x:c>
      <x:c r="AC11" s="23" t="n">
        <x:f>IF(C11="","",IF(O11&lt;&gt;"Ready","Unavailable",Y11*Settings!$F$32+Z11*Settings!$F$33+AA11*Settings!$F$34))</x:f>
        <x:v>0.006598251028806585</x:v>
      </x:c>
      <x:c r="AD11" s="21" t="n">
        <x:f>IF(C11="","",IF(O11&lt;&gt;"Ready","Unavailable",AB11+AC11))</x:f>
        <x:v>0.05366577503429357</x:v>
      </x:c>
      <x:c r="AE11" s="17" t="n">
        <x:f>IF(C11="","",IF(OR(O11&lt;&gt;"Ready",F11=0),"Unavailable",AB11/F11))</x:f>
        <x:v>0.008797668038408783</x:v>
      </x:c>
      <x:c r="AF11" s="44" t="n">
        <x:f>IF(C11="","",IF(E11=1,1,H11))</x:f>
        <x:v>1</x:v>
      </x:c>
    </x:row>
    <x:row r="12" ht="26" customHeight="1">
      <x:c r="A12" s="1"/>
      <x:c r="B12" s="1"/>
      <x:c r="C12" s="9" t="str">
        <x:f>IF(Facilities!C12="","",Facilities!C12)</x:f>
        <x:v>F004</x:v>
      </x:c>
      <x:c r="D12" s="9" t="str">
        <x:f>IF(C12="","",INDEX('Facilities'!$D$9:$D$108,MATCH(C12,'Facilities'!$C$9:$C$108,0)))</x:f>
        <x:v>B002</x:v>
      </x:c>
      <x:c r="E12" s="9" t="n">
        <x:f>IF(C12="","",INDEX('Facilities'!$AD$9:$AD$108,MATCH(C12,'Facilities'!$C$9:$C$108,0)))</x:f>
        <x:v>1</x:v>
      </x:c>
      <x:c r="F12" s="23" t="n">
        <x:f>IF(C12="","",INDEX('Facilities'!$AA$9:$AA$108,MATCH(C12,'Facilities'!$C$9:$C$108,0)))</x:f>
        <x:v>2.85</x:v>
      </x:c>
      <x:c r="G12" s="23" t="n">
        <x:f>IF(C12="","",INDEX('Facilities'!$AB$9:$AB$108,MATCH(C12,'Facilities'!$C$9:$C$108,0)))</x:f>
        <x:v>0.5</x:v>
      </x:c>
      <x:c r="H12" s="42" t="n">
        <x:f>IF(C12="","",INDEX('Facilities'!$J$9:$J$108,MATCH(C12,'Facilities'!$C$9:$C$108,0)))</x:f>
        <x:v>6</x:v>
      </x:c>
      <x:c r="I12" s="30" t="n">
        <x:f>IF(C12="","",INDEX('Facilities'!$K$9:$K$108,MATCH(C12,'Facilities'!$C$9:$C$108,0)))</x:f>
        <x:v>0.08</x:v>
      </x:c>
      <x:c r="J12" s="30" t="n">
        <x:f>IF(C12="","",INDEX('Borrowers'!$P$9:$P$108,MATCH(D12,'Borrowers'!$C$9:$C$108,0)))</x:f>
        <x:v>0.018000000000000002</x:v>
      </x:c>
      <x:c r="K12" s="30" t="n">
        <x:f>IF(C12="","",INDEX('Borrowers'!$Q$9:$Q$108,MATCH(D12,'Borrowers'!$C$9:$C$108,0)))</x:f>
        <x:v>0.32</x:v>
      </x:c>
      <x:c r="L12" s="30" t="n">
        <x:f>IF(C12="","",INDEX('Facilities'!$R$9:$R$108,MATCH(C12,'Facilities'!$C$9:$C$108,0)))</x:f>
        <x:v>0.12</x:v>
      </x:c>
      <x:c r="M12" s="42" t="n">
        <x:f>IF(C12="","",INDEX('Facilities'!$AK$9:$AK$108,MATCH(C12,'Facilities'!$C$9:$C$108,0)))</x:f>
        <x:v>2</x:v>
      </x:c>
      <x:c r="N12" s="30" t="n">
        <x:f>IF(C12="","",INDEX('Facilities'!$AL$9:$AL$108,MATCH(C12,'Facilities'!$C$9:$C$108,0)))</x:f>
        <x:v>0.55</x:v>
      </x:c>
      <x:c r="O12" s="23" t="str">
        <x:f>IF(C12="","",IF(AND(INDEX('Facilities'!$AF$9:$AF$108,MATCH(C12,'Facilities'!$C$9:$C$108,0))="Ready",Settings!$F$36="Ready"),"Ready","Review ECL inputs"))</x:f>
        <x:v>Ready</x:v>
      </x:c>
      <x:c r="P12" s="30" t="n">
        <x:f>IF(C12="","",MIN(1,J12*Settings!$G$32))</x:f>
        <x:v>0.018000000000000002</x:v>
      </x:c>
      <x:c r="Q12" s="30" t="n">
        <x:f>IF(C12="","",MIN(1,J12*Settings!$G$33))</x:f>
        <x:v>0.032400000000000005</x:v>
      </x:c>
      <x:c r="R12" s="30" t="n">
        <x:f>IF(C12="","",MIN(1,J12*Settings!$G$34))</x:f>
        <x:v>0.013500000000000002</x:v>
      </x:c>
      <x:c r="S12" s="30" t="n">
        <x:f>IF(C12="","",MIN(1,K12*Settings!$H$32))</x:f>
        <x:v>0.32</x:v>
      </x:c>
      <x:c r="T12" s="30" t="n">
        <x:f>IF(C12="","",MIN(1,K12*Settings!$H$33))</x:f>
        <x:v>0.368</x:v>
      </x:c>
      <x:c r="U12" s="30" t="n">
        <x:f>IF(C12="","",MIN(1,K12*Settings!$H$34))</x:f>
        <x:v>0.304</x:v>
      </x:c>
      <x:c r="V12" s="23" t="n">
        <x:f>IF(C12="","",IF(O12&lt;&gt;"Ready","Unavailable",IF(E12=3,F12*(1-MAX(0,1-(1-N12)*Settings!$H$32)/(1+I12)^M12),F12*(1-(1-S12)/(1+I12)^M12)*P12/(1+I12)*IF(ABS(1-(1-P12)*(1-L12)/(1+I12))&lt;0.000000001,AF12,(1-((1-P12)*(1-L12)/(1+I12))^AF12)/(1-(1-P12)*(1-L12)/(1+I12))))))</x:f>
        <x:v>0.019807956104252403</x:v>
      </x:c>
      <x:c r="W12" s="23" t="n">
        <x:f>IF(C12="","",IF(O12&lt;&gt;"Ready","Unavailable",IF(E12=3,F12*(1-MAX(0,1-(1-N12)*Settings!$H$33)/(1+I12)^M12),F12*(1-(1-T12)/(1+I12)^M12)*Q12/(1+I12)*IF(ABS(1-(1-Q12)*(1-L12)/(1+I12))&lt;0.000000001,AF12,(1-((1-Q12)*(1-L12)/(1+I12))^AF12)/(1-(1-Q12)*(1-L12)/(1+I12))))))</x:f>
        <x:v>0.03917283950617285</x:v>
      </x:c>
      <x:c r="X12" s="23" t="n">
        <x:f>IF(C12="","",IF(O12&lt;&gt;"Ready","Unavailable",IF(E12=3,F12*(1-MAX(0,1-(1-N12)*Settings!$H$34)/(1+I12)^M12),F12*(1-(1-U12)/(1+I12)^M12)*R12/(1+I12)*IF(ABS(1-(1-R12)*(1-L12)/(1+I12))&lt;0.000000001,AF12,(1-((1-R12)*(1-L12)/(1+I12))^AF12)/(1-(1-R12)*(1-L12)/(1+I12))))))</x:f>
        <x:v>0.014367283950617286</x:v>
      </x:c>
      <x:c r="Y12" s="23" t="n">
        <x:f>IF(C12="","",IF(O12&lt;&gt;"Ready","Unavailable",IF(E12=3,G12*INDEX('Facilities'!$I$9:$I$108,MATCH(C12,'Facilities'!$C$9:$C$108,0))*(1-MAX(0,1-(1-N12)*Settings!$H$32)/(1+I12)^M12),G12*INDEX('Facilities'!$I$9:$I$108,MATCH(C12,'Facilities'!$C$9:$C$108,0))*(1-(1-S12)/(1+I12)^M12)*P12/(1+I12)*IF(ABS(1-(1-P12)*(1-0)/(1+I12))&lt;0.000000001,AF12,(1-((1-P12)*(1-0)/(1+I12))^AF12)/(1-(1-P12)*(1-0)/(1+I12))))))</x:f>
        <x:v>0.0017375400091449477</x:v>
      </x:c>
      <x:c r="Z12" s="23" t="n">
        <x:f>IF(C12="","",IF(O12&lt;&gt;"Ready","Unavailable",IF(E12=3,G12*INDEX('Facilities'!$I$9:$I$108,MATCH(C12,'Facilities'!$C$9:$C$108,0))*(1-MAX(0,1-(1-N12)*Settings!$H$33)/(1+I12)^M12),G12*INDEX('Facilities'!$I$9:$I$108,MATCH(C12,'Facilities'!$C$9:$C$108,0))*(1-(1-T12)/(1+I12)^M12)*Q12/(1+I12)*IF(ABS(1-(1-Q12)*(1-0)/(1+I12))&lt;0.000000001,AF12,(1-((1-Q12)*(1-0)/(1+I12))^AF12)/(1-(1-Q12)*(1-0)/(1+I12))))))</x:f>
        <x:v>0.0034362139917695485</x:v>
      </x:c>
      <x:c r="AA12" s="23" t="n">
        <x:f>IF(C12="","",IF(O12&lt;&gt;"Ready","Unavailable",IF(E12=3,G12*INDEX('Facilities'!$I$9:$I$108,MATCH(C12,'Facilities'!$C$9:$C$108,0))*(1-MAX(0,1-(1-N12)*Settings!$H$34)/(1+I12)^M12),G12*INDEX('Facilities'!$I$9:$I$108,MATCH(C12,'Facilities'!$C$9:$C$108,0))*(1-(1-U12)/(1+I12)^M12)*R12/(1+I12)*IF(ABS(1-(1-R12)*(1-0)/(1+I12))&lt;0.000000001,AF12,(1-((1-R12)*(1-0)/(1+I12))^AF12)/(1-(1-R12)*(1-0)/(1+I12))))))</x:f>
        <x:v>0.0012602880658436218</x:v>
      </x:c>
      <x:c r="AB12" s="23" t="n">
        <x:f>IF(C12="","",IF(O12&lt;&gt;"Ready","Unavailable",V12*Settings!$F$32+W12*Settings!$F$33+X12*Settings!$F$34))</x:f>
        <x:v>0.025073353909465024</x:v>
      </x:c>
      <x:c r="AC12" s="23" t="n">
        <x:f>IF(C12="","",IF(O12&lt;&gt;"Ready","Unavailable",Y12*Settings!$F$32+Z12*Settings!$F$33+AA12*Settings!$F$34))</x:f>
        <x:v>0.0021994170096021953</x:v>
      </x:c>
      <x:c r="AD12" s="21" t="n">
        <x:f>IF(C12="","",IF(O12&lt;&gt;"Ready","Unavailable",AB12+AC12))</x:f>
        <x:v>0.02727277091906722</x:v>
      </x:c>
      <x:c r="AE12" s="17" t="n">
        <x:f>IF(C12="","",IF(OR(O12&lt;&gt;"Ready",F12=0),"Unavailable",AB12/F12))</x:f>
        <x:v>0.00879766803840878</x:v>
      </x:c>
      <x:c r="AF12" s="44" t="n">
        <x:f>IF(C12="","",IF(E12=1,1,H12))</x:f>
        <x:v>1</x:v>
      </x:c>
    </x:row>
    <x:row r="13" ht="26" customHeight="1">
      <x:c r="A13" s="1"/>
      <x:c r="B13" s="1"/>
      <x:c r="C13" s="9" t="str">
        <x:f>IF(Facilities!C13="","",Facilities!C13)</x:f>
        <x:v>F005</x:v>
      </x:c>
      <x:c r="D13" s="9" t="str">
        <x:f>IF(C13="","",INDEX('Facilities'!$D$9:$D$108,MATCH(C13,'Facilities'!$C$9:$C$108,0)))</x:f>
        <x:v>B003</x:v>
      </x:c>
      <x:c r="E13" s="9" t="n">
        <x:f>IF(C13="","",INDEX('Facilities'!$AD$9:$AD$108,MATCH(C13,'Facilities'!$C$9:$C$108,0)))</x:f>
        <x:v>1</x:v>
      </x:c>
      <x:c r="F13" s="23" t="n">
        <x:f>IF(C13="","",INDEX('Facilities'!$AA$9:$AA$108,MATCH(C13,'Facilities'!$C$9:$C$108,0)))</x:f>
        <x:v>5.7</x:v>
      </x:c>
      <x:c r="G13" s="23" t="n">
        <x:f>IF(C13="","",INDEX('Facilities'!$AB$9:$AB$108,MATCH(C13,'Facilities'!$C$9:$C$108,0)))</x:f>
        <x:v>1.5</x:v>
      </x:c>
      <x:c r="H13" s="42" t="n">
        <x:f>IF(C13="","",INDEX('Facilities'!$J$9:$J$108,MATCH(C13,'Facilities'!$C$9:$C$108,0)))</x:f>
        <x:v>7</x:v>
      </x:c>
      <x:c r="I13" s="30" t="n">
        <x:f>IF(C13="","",INDEX('Facilities'!$K$9:$K$108,MATCH(C13,'Facilities'!$C$9:$C$108,0)))</x:f>
        <x:v>0.08</x:v>
      </x:c>
      <x:c r="J13" s="30" t="n">
        <x:f>IF(C13="","",INDEX('Borrowers'!$P$9:$P$108,MATCH(D13,'Borrowers'!$C$9:$C$108,0)))</x:f>
        <x:v>0.024</x:v>
      </x:c>
      <x:c r="K13" s="30" t="n">
        <x:f>IF(C13="","",INDEX('Borrowers'!$Q$9:$Q$108,MATCH(D13,'Borrowers'!$C$9:$C$108,0)))</x:f>
        <x:v>0.36000000000000004</x:v>
      </x:c>
      <x:c r="L13" s="30" t="n">
        <x:f>IF(C13="","",INDEX('Facilities'!$R$9:$R$108,MATCH(C13,'Facilities'!$C$9:$C$108,0)))</x:f>
        <x:v>0.12</x:v>
      </x:c>
      <x:c r="M13" s="42" t="n">
        <x:f>IF(C13="","",INDEX('Facilities'!$AK$9:$AK$108,MATCH(C13,'Facilities'!$C$9:$C$108,0)))</x:f>
        <x:v>2</x:v>
      </x:c>
      <x:c r="N13" s="30" t="n">
        <x:f>IF(C13="","",INDEX('Facilities'!$AL$9:$AL$108,MATCH(C13,'Facilities'!$C$9:$C$108,0)))</x:f>
        <x:v>0.55</x:v>
      </x:c>
      <x:c r="O13" s="23" t="str">
        <x:f>IF(C13="","",IF(AND(INDEX('Facilities'!$AF$9:$AF$108,MATCH(C13,'Facilities'!$C$9:$C$108,0))="Ready",Settings!$F$36="Ready"),"Ready","Review ECL inputs"))</x:f>
        <x:v>Ready</x:v>
      </x:c>
      <x:c r="P13" s="30" t="n">
        <x:f>IF(C13="","",MIN(1,J13*Settings!$G$32))</x:f>
        <x:v>0.024</x:v>
      </x:c>
      <x:c r="Q13" s="30" t="n">
        <x:f>IF(C13="","",MIN(1,J13*Settings!$G$33))</x:f>
        <x:v>0.0432</x:v>
      </x:c>
      <x:c r="R13" s="30" t="n">
        <x:f>IF(C13="","",MIN(1,J13*Settings!$G$34))</x:f>
        <x:v>0.018000000000000002</x:v>
      </x:c>
      <x:c r="S13" s="30" t="n">
        <x:f>IF(C13="","",MIN(1,K13*Settings!$H$32))</x:f>
        <x:v>0.36000000000000004</x:v>
      </x:c>
      <x:c r="T13" s="30" t="n">
        <x:f>IF(C13="","",MIN(1,K13*Settings!$H$33))</x:f>
        <x:v>0.41400000000000003</x:v>
      </x:c>
      <x:c r="U13" s="30" t="n">
        <x:f>IF(C13="","",MIN(1,K13*Settings!$H$34))</x:f>
        <x:v>0.342</x:v>
      </x:c>
      <x:c r="V13" s="23" t="n">
        <x:f>IF(C13="","",IF(O13&lt;&gt;"Ready","Unavailable",IF(E13=3,F13*(1-MAX(0,1-(1-N13)*Settings!$H$32)/(1+I13)^M13),F13*(1-(1-S13)/(1+I13)^M13)*P13/(1+I13)*IF(ABS(1-(1-P13)*(1-L13)/(1+I13))&lt;0.000000001,AF13,(1-((1-P13)*(1-L13)/(1+I13))^AF13)/(1-(1-P13)*(1-L13)/(1+I13))))))</x:f>
        <x:v>0.05716506630086878</x:v>
      </x:c>
      <x:c r="W13" s="23" t="n">
        <x:f>IF(C13="","",IF(O13&lt;&gt;"Ready","Unavailable",IF(E13=3,F13*(1-MAX(0,1-(1-N13)*Settings!$H$33)/(1+I13)^M13),F13*(1-(1-T13)/(1+I13)^M13)*Q13/(1+I13)*IF(ABS(1-(1-Q13)*(1-L13)/(1+I13))&lt;0.000000001,AF13,(1-((1-Q13)*(1-L13)/(1+I13))^AF13)/(1-(1-Q13)*(1-L13)/(1+I13))))))</x:f>
        <x:v>0.11345267489711937</x:v>
      </x:c>
      <x:c r="X13" s="23" t="n">
        <x:f>IF(C13="","",IF(O13&lt;&gt;"Ready","Unavailable",IF(E13=3,F13*(1-MAX(0,1-(1-N13)*Settings!$H$34)/(1+I13)^M13),F13*(1-(1-U13)/(1+I13)^M13)*R13/(1+I13)*IF(ABS(1-(1-R13)*(1-L13)/(1+I13))&lt;0.000000001,AF13,(1-((1-R13)*(1-L13)/(1+I13))^AF13)/(1-(1-R13)*(1-L13)/(1+I13))))))</x:f>
        <x:v>0.04140775034293554</x:v>
      </x:c>
      <x:c r="Y13" s="23" t="n">
        <x:f>IF(C13="","",IF(O13&lt;&gt;"Ready","Unavailable",IF(E13=3,G13*INDEX('Facilities'!$I$9:$I$108,MATCH(C13,'Facilities'!$C$9:$C$108,0))*(1-MAX(0,1-(1-N13)*Settings!$H$32)/(1+I13)^M13),G13*INDEX('Facilities'!$I$9:$I$108,MATCH(C13,'Facilities'!$C$9:$C$108,0))*(1-(1-S13)/(1+I13)^M13)*P13/(1+I13)*IF(ABS(1-(1-P13)*(1-0)/(1+I13))&lt;0.000000001,AF13,(1-((1-P13)*(1-0)/(1+I13))^AF13)/(1-(1-P13)*(1-0)/(1+I13))))))</x:f>
        <x:v>0.0075217192501143134</x:v>
      </x:c>
      <x:c r="Z13" s="23" t="n">
        <x:f>IF(C13="","",IF(O13&lt;&gt;"Ready","Unavailable",IF(E13=3,G13*INDEX('Facilities'!$I$9:$I$108,MATCH(C13,'Facilities'!$C$9:$C$108,0))*(1-MAX(0,1-(1-N13)*Settings!$H$33)/(1+I13)^M13),G13*INDEX('Facilities'!$I$9:$I$108,MATCH(C13,'Facilities'!$C$9:$C$108,0))*(1-(1-T13)/(1+I13)^M13)*Q13/(1+I13)*IF(ABS(1-(1-Q13)*(1-0)/(1+I13))&lt;0.000000001,AF13,(1-((1-Q13)*(1-0)/(1+I13))^AF13)/(1-(1-Q13)*(1-0)/(1+I13))))))</x:f>
        <x:v>0.014927983539094651</x:v>
      </x:c>
      <x:c r="AA13" s="23" t="n">
        <x:f>IF(C13="","",IF(O13&lt;&gt;"Ready","Unavailable",IF(E13=3,G13*INDEX('Facilities'!$I$9:$I$108,MATCH(C13,'Facilities'!$C$9:$C$108,0))*(1-MAX(0,1-(1-N13)*Settings!$H$34)/(1+I13)^M13),G13*INDEX('Facilities'!$I$9:$I$108,MATCH(C13,'Facilities'!$C$9:$C$108,0))*(1-(1-U13)/(1+I13)^M13)*R13/(1+I13)*IF(ABS(1-(1-R13)*(1-0)/(1+I13))&lt;0.000000001,AF13,(1-((1-R13)*(1-0)/(1+I13))^AF13)/(1-(1-R13)*(1-0)/(1+I13))))))</x:f>
        <x:v>0.0054483882030178345</x:v>
      </x:c>
      <x:c r="AB13" s="23" t="n">
        <x:f>IF(C13="","",IF(O13&lt;&gt;"Ready","Unavailable",V13*Settings!$F$32+W13*Settings!$F$33+X13*Settings!$F$34))</x:f>
        <x:v>0.07247561728395063</x:v>
      </x:c>
      <x:c r="AC13" s="23" t="n">
        <x:f>IF(C13="","",IF(O13&lt;&gt;"Ready","Unavailable",Y13*Settings!$F$32+Z13*Settings!$F$33+AA13*Settings!$F$34))</x:f>
        <x:v>0.009536265432098767</x:v>
      </x:c>
      <x:c r="AD13" s="21" t="n">
        <x:f>IF(C13="","",IF(O13&lt;&gt;"Ready","Unavailable",AB13+AC13))</x:f>
        <x:v>0.0820118827160494</x:v>
      </x:c>
      <x:c r="AE13" s="17" t="n">
        <x:f>IF(C13="","",IF(OR(O13&lt;&gt;"Ready",F13=0),"Unavailable",AB13/F13))</x:f>
        <x:v>0.01271502057613169</x:v>
      </x:c>
      <x:c r="AF13" s="44" t="n">
        <x:f>IF(C13="","",IF(E13=1,1,H13))</x:f>
        <x:v>1</x:v>
      </x:c>
    </x:row>
    <x:row r="14" ht="26" customHeight="1">
      <x:c r="A14" s="1"/>
      <x:c r="B14" s="1"/>
      <x:c r="C14" s="9" t="str">
        <x:f>IF(Facilities!C14="","",Facilities!C14)</x:f>
        <x:v>F006</x:v>
      </x:c>
      <x:c r="D14" s="9" t="str">
        <x:f>IF(C14="","",INDEX('Facilities'!$D$9:$D$108,MATCH(C14,'Facilities'!$C$9:$C$108,0)))</x:f>
        <x:v>B003</x:v>
      </x:c>
      <x:c r="E14" s="9" t="n">
        <x:f>IF(C14="","",INDEX('Facilities'!$AD$9:$AD$108,MATCH(C14,'Facilities'!$C$9:$C$108,0)))</x:f>
        <x:v>1</x:v>
      </x:c>
      <x:c r="F14" s="23" t="n">
        <x:f>IF(C14="","",INDEX('Facilities'!$AA$9:$AA$108,MATCH(C14,'Facilities'!$C$9:$C$108,0)))</x:f>
        <x:v>3.2</x:v>
      </x:c>
      <x:c r="G14" s="23" t="n">
        <x:f>IF(C14="","",INDEX('Facilities'!$AB$9:$AB$108,MATCH(C14,'Facilities'!$C$9:$C$108,0)))</x:f>
        <x:v>0.5</x:v>
      </x:c>
      <x:c r="H14" s="42" t="n">
        <x:f>IF(C14="","",INDEX('Facilities'!$J$9:$J$108,MATCH(C14,'Facilities'!$C$9:$C$108,0)))</x:f>
        <x:v>7</x:v>
      </x:c>
      <x:c r="I14" s="30" t="n">
        <x:f>IF(C14="","",INDEX('Facilities'!$K$9:$K$108,MATCH(C14,'Facilities'!$C$9:$C$108,0)))</x:f>
        <x:v>0.08</x:v>
      </x:c>
      <x:c r="J14" s="30" t="n">
        <x:f>IF(C14="","",INDEX('Borrowers'!$P$9:$P$108,MATCH(D14,'Borrowers'!$C$9:$C$108,0)))</x:f>
        <x:v>0.024</x:v>
      </x:c>
      <x:c r="K14" s="30" t="n">
        <x:f>IF(C14="","",INDEX('Borrowers'!$Q$9:$Q$108,MATCH(D14,'Borrowers'!$C$9:$C$108,0)))</x:f>
        <x:v>0.36000000000000004</x:v>
      </x:c>
      <x:c r="L14" s="30" t="n">
        <x:f>IF(C14="","",INDEX('Facilities'!$R$9:$R$108,MATCH(C14,'Facilities'!$C$9:$C$108,0)))</x:f>
        <x:v>0.12</x:v>
      </x:c>
      <x:c r="M14" s="42" t="n">
        <x:f>IF(C14="","",INDEX('Facilities'!$AK$9:$AK$108,MATCH(C14,'Facilities'!$C$9:$C$108,0)))</x:f>
        <x:v>2</x:v>
      </x:c>
      <x:c r="N14" s="30" t="n">
        <x:f>IF(C14="","",INDEX('Facilities'!$AL$9:$AL$108,MATCH(C14,'Facilities'!$C$9:$C$108,0)))</x:f>
        <x:v>0.55</x:v>
      </x:c>
      <x:c r="O14" s="23" t="str">
        <x:f>IF(C14="","",IF(AND(INDEX('Facilities'!$AF$9:$AF$108,MATCH(C14,'Facilities'!$C$9:$C$108,0))="Ready",Settings!$F$36="Ready"),"Ready","Review ECL inputs"))</x:f>
        <x:v>Ready</x:v>
      </x:c>
      <x:c r="P14" s="30" t="n">
        <x:f>IF(C14="","",MIN(1,J14*Settings!$G$32))</x:f>
        <x:v>0.024</x:v>
      </x:c>
      <x:c r="Q14" s="30" t="n">
        <x:f>IF(C14="","",MIN(1,J14*Settings!$G$33))</x:f>
        <x:v>0.0432</x:v>
      </x:c>
      <x:c r="R14" s="30" t="n">
        <x:f>IF(C14="","",MIN(1,J14*Settings!$G$34))</x:f>
        <x:v>0.018000000000000002</x:v>
      </x:c>
      <x:c r="S14" s="30" t="n">
        <x:f>IF(C14="","",MIN(1,K14*Settings!$H$32))</x:f>
        <x:v>0.36000000000000004</x:v>
      </x:c>
      <x:c r="T14" s="30" t="n">
        <x:f>IF(C14="","",MIN(1,K14*Settings!$H$33))</x:f>
        <x:v>0.41400000000000003</x:v>
      </x:c>
      <x:c r="U14" s="30" t="n">
        <x:f>IF(C14="","",MIN(1,K14*Settings!$H$34))</x:f>
        <x:v>0.342</x:v>
      </x:c>
      <x:c r="V14" s="23" t="n">
        <x:f>IF(C14="","",IF(O14&lt;&gt;"Ready","Unavailable",IF(E14=3,F14*(1-MAX(0,1-(1-N14)*Settings!$H$32)/(1+I14)^M14),F14*(1-(1-S14)/(1+I14)^M14)*P14/(1+I14)*IF(ABS(1-(1-P14)*(1-L14)/(1+I14))&lt;0.000000001,AF14,(1-((1-P14)*(1-L14)/(1+I14))^AF14)/(1-(1-P14)*(1-L14)/(1+I14))))))</x:f>
        <x:v>0.032092668800487736</x:v>
      </x:c>
      <x:c r="W14" s="23" t="n">
        <x:f>IF(C14="","",IF(O14&lt;&gt;"Ready","Unavailable",IF(E14=3,F14*(1-MAX(0,1-(1-N14)*Settings!$H$33)/(1+I14)^M14),F14*(1-(1-T14)/(1+I14)^M14)*Q14/(1+I14)*IF(ABS(1-(1-Q14)*(1-L14)/(1+I14))&lt;0.000000001,AF14,(1-((1-Q14)*(1-L14)/(1+I14))^AF14)/(1-(1-Q14)*(1-L14)/(1+I14))))))</x:f>
        <x:v>0.06369272976680386</x:v>
      </x:c>
      <x:c r="X14" s="23" t="n">
        <x:f>IF(C14="","",IF(O14&lt;&gt;"Ready","Unavailable",IF(E14=3,F14*(1-MAX(0,1-(1-N14)*Settings!$H$34)/(1+I14)^M14),F14*(1-(1-U14)/(1+I14)^M14)*R14/(1+I14)*IF(ABS(1-(1-R14)*(1-L14)/(1+I14))&lt;0.000000001,AF14,(1-((1-R14)*(1-L14)/(1+I14))^AF14)/(1-(1-R14)*(1-L14)/(1+I14))))))</x:f>
        <x:v>0.023246456332876093</x:v>
      </x:c>
      <x:c r="Y14" s="23" t="n">
        <x:f>IF(C14="","",IF(O14&lt;&gt;"Ready","Unavailable",IF(E14=3,G14*INDEX('Facilities'!$I$9:$I$108,MATCH(C14,'Facilities'!$C$9:$C$108,0))*(1-MAX(0,1-(1-N14)*Settings!$H$32)/(1+I14)^M14),G14*INDEX('Facilities'!$I$9:$I$108,MATCH(C14,'Facilities'!$C$9:$C$108,0))*(1-(1-S14)/(1+I14)^M14)*P14/(1+I14)*IF(ABS(1-(1-P14)*(1-0)/(1+I14))&lt;0.000000001,AF14,(1-((1-P14)*(1-0)/(1+I14))^AF14)/(1-(1-P14)*(1-0)/(1+I14))))))</x:f>
        <x:v>0.002507239750038104</x:v>
      </x:c>
      <x:c r="Z14" s="23" t="n">
        <x:f>IF(C14="","",IF(O14&lt;&gt;"Ready","Unavailable",IF(E14=3,G14*INDEX('Facilities'!$I$9:$I$108,MATCH(C14,'Facilities'!$C$9:$C$108,0))*(1-MAX(0,1-(1-N14)*Settings!$H$33)/(1+I14)^M14),G14*INDEX('Facilities'!$I$9:$I$108,MATCH(C14,'Facilities'!$C$9:$C$108,0))*(1-(1-T14)/(1+I14)^M14)*Q14/(1+I14)*IF(ABS(1-(1-Q14)*(1-0)/(1+I14))&lt;0.000000001,AF14,(1-((1-Q14)*(1-0)/(1+I14))^AF14)/(1-(1-Q14)*(1-0)/(1+I14))))))</x:f>
        <x:v>0.004975994513031551</x:v>
      </x:c>
      <x:c r="AA14" s="23" t="n">
        <x:f>IF(C14="","",IF(O14&lt;&gt;"Ready","Unavailable",IF(E14=3,G14*INDEX('Facilities'!$I$9:$I$108,MATCH(C14,'Facilities'!$C$9:$C$108,0))*(1-MAX(0,1-(1-N14)*Settings!$H$34)/(1+I14)^M14),G14*INDEX('Facilities'!$I$9:$I$108,MATCH(C14,'Facilities'!$C$9:$C$108,0))*(1-(1-U14)/(1+I14)^M14)*R14/(1+I14)*IF(ABS(1-(1-R14)*(1-0)/(1+I14))&lt;0.000000001,AF14,(1-((1-R14)*(1-0)/(1+I14))^AF14)/(1-(1-R14)*(1-0)/(1+I14))))))</x:f>
        <x:v>0.0018161294010059451</x:v>
      </x:c>
      <x:c r="AB14" s="23" t="n">
        <x:f>IF(C14="","",IF(O14&lt;&gt;"Ready","Unavailable",V14*Settings!$F$32+W14*Settings!$F$33+X14*Settings!$F$34))</x:f>
        <x:v>0.04068806584362141</x:v>
      </x:c>
      <x:c r="AC14" s="23" t="n">
        <x:f>IF(C14="","",IF(O14&lt;&gt;"Ready","Unavailable",Y14*Settings!$F$32+Z14*Settings!$F$33+AA14*Settings!$F$34))</x:f>
        <x:v>0.0031787551440329224</x:v>
      </x:c>
      <x:c r="AD14" s="21" t="n">
        <x:f>IF(C14="","",IF(O14&lt;&gt;"Ready","Unavailable",AB14+AC14))</x:f>
        <x:v>0.043866820987654334</x:v>
      </x:c>
      <x:c r="AE14" s="17" t="n">
        <x:f>IF(C14="","",IF(OR(O14&lt;&gt;"Ready",F14=0),"Unavailable",AB14/F14))</x:f>
        <x:v>0.01271502057613169</x:v>
      </x:c>
      <x:c r="AF14" s="44" t="n">
        <x:f>IF(C14="","",IF(E14=1,1,H14))</x:f>
        <x:v>1</x:v>
      </x:c>
    </x:row>
    <x:row r="15" ht="26" customHeight="1">
      <x:c r="A15" s="1"/>
      <x:c r="B15" s="1"/>
      <x:c r="C15" s="9" t="str">
        <x:f>IF(Facilities!C15="","",Facilities!C15)</x:f>
        <x:v>F007</x:v>
      </x:c>
      <x:c r="D15" s="9" t="str">
        <x:f>IF(C15="","",INDEX('Facilities'!$D$9:$D$108,MATCH(C15,'Facilities'!$C$9:$C$108,0)))</x:f>
        <x:v>B004</x:v>
      </x:c>
      <x:c r="E15" s="9" t="n">
        <x:f>IF(C15="","",INDEX('Facilities'!$AD$9:$AD$108,MATCH(C15,'Facilities'!$C$9:$C$108,0)))</x:f>
        <x:v>1</x:v>
      </x:c>
      <x:c r="F15" s="23" t="n">
        <x:f>IF(C15="","",INDEX('Facilities'!$AA$9:$AA$108,MATCH(C15,'Facilities'!$C$9:$C$108,0)))</x:f>
        <x:v>6.05</x:v>
      </x:c>
      <x:c r="G15" s="23" t="n">
        <x:f>IF(C15="","",INDEX('Facilities'!$AB$9:$AB$108,MATCH(C15,'Facilities'!$C$9:$C$108,0)))</x:f>
        <x:v>1.5</x:v>
      </x:c>
      <x:c r="H15" s="42" t="n">
        <x:f>IF(C15="","",INDEX('Facilities'!$J$9:$J$108,MATCH(C15,'Facilities'!$C$9:$C$108,0)))</x:f>
        <x:v>8</x:v>
      </x:c>
      <x:c r="I15" s="30" t="n">
        <x:f>IF(C15="","",INDEX('Facilities'!$K$9:$K$108,MATCH(C15,'Facilities'!$C$9:$C$108,0)))</x:f>
        <x:v>0.08</x:v>
      </x:c>
      <x:c r="J15" s="30" t="n">
        <x:f>IF(C15="","",INDEX('Borrowers'!$P$9:$P$108,MATCH(D15,'Borrowers'!$C$9:$C$108,0)))</x:f>
        <x:v>0.030000000000000002</x:v>
      </x:c>
      <x:c r="K15" s="30" t="n">
        <x:f>IF(C15="","",INDEX('Borrowers'!$Q$9:$Q$108,MATCH(D15,'Borrowers'!$C$9:$C$108,0)))</x:f>
        <x:v>0.4</x:v>
      </x:c>
      <x:c r="L15" s="30" t="n">
        <x:f>IF(C15="","",INDEX('Facilities'!$R$9:$R$108,MATCH(C15,'Facilities'!$C$9:$C$108,0)))</x:f>
        <x:v>0.12</x:v>
      </x:c>
      <x:c r="M15" s="42" t="n">
        <x:f>IF(C15="","",INDEX('Facilities'!$AK$9:$AK$108,MATCH(C15,'Facilities'!$C$9:$C$108,0)))</x:f>
        <x:v>2</x:v>
      </x:c>
      <x:c r="N15" s="30" t="n">
        <x:f>IF(C15="","",INDEX('Facilities'!$AL$9:$AL$108,MATCH(C15,'Facilities'!$C$9:$C$108,0)))</x:f>
        <x:v>0.55</x:v>
      </x:c>
      <x:c r="O15" s="23" t="str">
        <x:f>IF(C15="","",IF(AND(INDEX('Facilities'!$AF$9:$AF$108,MATCH(C15,'Facilities'!$C$9:$C$108,0))="Ready",Settings!$F$36="Ready"),"Ready","Review ECL inputs"))</x:f>
        <x:v>Ready</x:v>
      </x:c>
      <x:c r="P15" s="30" t="n">
        <x:f>IF(C15="","",MIN(1,J15*Settings!$G$32))</x:f>
        <x:v>0.030000000000000002</x:v>
      </x:c>
      <x:c r="Q15" s="30" t="n">
        <x:f>IF(C15="","",MIN(1,J15*Settings!$G$33))</x:f>
        <x:v>0.054000000000000006</x:v>
      </x:c>
      <x:c r="R15" s="30" t="n">
        <x:f>IF(C15="","",MIN(1,J15*Settings!$G$34))</x:f>
        <x:v>0.022500000000000003</x:v>
      </x:c>
      <x:c r="S15" s="30" t="n">
        <x:f>IF(C15="","",MIN(1,K15*Settings!$H$32))</x:f>
        <x:v>0.4</x:v>
      </x:c>
      <x:c r="T15" s="30" t="n">
        <x:f>IF(C15="","",MIN(1,K15*Settings!$H$33))</x:f>
        <x:v>0.45999999999999996</x:v>
      </x:c>
      <x:c r="U15" s="30" t="n">
        <x:f>IF(C15="","",MIN(1,K15*Settings!$H$34))</x:f>
        <x:v>0.38</x:v>
      </x:c>
      <x:c r="V15" s="23" t="n">
        <x:f>IF(C15="","",IF(O15&lt;&gt;"Ready","Unavailable",IF(E15=3,F15*(1-MAX(0,1-(1-N15)*Settings!$H$32)/(1+I15)^M15),F15*(1-(1-S15)/(1+I15)^M15)*P15/(1+I15)*IF(ABS(1-(1-P15)*(1-L15)/(1+I15))&lt;0.000000001,AF15,(1-((1-P15)*(1-L15)/(1+I15))^AF15)/(1-(1-P15)*(1-L15)/(1+I15))))))</x:f>
        <x:v>0.08160722450845909</x:v>
      </x:c>
      <x:c r="W15" s="23" t="n">
        <x:f>IF(C15="","",IF(O15&lt;&gt;"Ready","Unavailable",IF(E15=3,F15*(1-MAX(0,1-(1-N15)*Settings!$H$33)/(1+I15)^M15),F15*(1-(1-T15)/(1+I15)^M15)*Q15/(1+I15)*IF(ABS(1-(1-Q15)*(1-L15)/(1+I15))&lt;0.000000001,AF15,(1-((1-Q15)*(1-L15)/(1+I15))^AF15)/(1-(1-Q15)*(1-L15)/(1+I15))))))</x:f>
        <x:v>0.16245370370370368</x:v>
      </x:c>
      <x:c r="X15" s="23" t="n">
        <x:f>IF(C15="","",IF(O15&lt;&gt;"Ready","Unavailable",IF(E15=3,F15*(1-MAX(0,1-(1-N15)*Settings!$H$34)/(1+I15)^M15),F15*(1-(1-U15)/(1+I15)^M15)*R15/(1+I15)*IF(ABS(1-(1-R15)*(1-L15)/(1+I15))&lt;0.000000001,AF15,(1-((1-R15)*(1-L15)/(1+I15))^AF15)/(1-(1-R15)*(1-L15)/(1+I15))))))</x:f>
        <x:v>0.059044210105166896</x:v>
      </x:c>
      <x:c r="Y15" s="23" t="n">
        <x:f>IF(C15="","",IF(O15&lt;&gt;"Ready","Unavailable",IF(E15=3,G15*INDEX('Facilities'!$I$9:$I$108,MATCH(C15,'Facilities'!$C$9:$C$108,0))*(1-MAX(0,1-(1-N15)*Settings!$H$32)/(1+I15)^M15),G15*INDEX('Facilities'!$I$9:$I$108,MATCH(C15,'Facilities'!$C$9:$C$108,0))*(1-(1-S15)/(1+I15)^M15)*P15/(1+I15)*IF(ABS(1-(1-P15)*(1-0)/(1+I15))&lt;0.000000001,AF15,(1-((1-P15)*(1-0)/(1+I15))^AF15)/(1-(1-P15)*(1-0)/(1+I15))))))</x:f>
        <x:v>0.010116598079561043</x:v>
      </x:c>
      <x:c r="Z15" s="23" t="n">
        <x:f>IF(C15="","",IF(O15&lt;&gt;"Ready","Unavailable",IF(E15=3,G15*INDEX('Facilities'!$I$9:$I$108,MATCH(C15,'Facilities'!$C$9:$C$108,0))*(1-MAX(0,1-(1-N15)*Settings!$H$33)/(1+I15)^M15),G15*INDEX('Facilities'!$I$9:$I$108,MATCH(C15,'Facilities'!$C$9:$C$108,0))*(1-(1-T15)/(1+I15)^M15)*Q15/(1+I15)*IF(ABS(1-(1-Q15)*(1-0)/(1+I15))&lt;0.000000001,AF15,(1-((1-Q15)*(1-0)/(1+I15))^AF15)/(1-(1-Q15)*(1-0)/(1+I15))))))</x:f>
        <x:v>0.020138888888888887</x:v>
      </x:c>
      <x:c r="AA15" s="23" t="n">
        <x:f>IF(C15="","",IF(O15&lt;&gt;"Ready","Unavailable",IF(E15=3,G15*INDEX('Facilities'!$I$9:$I$108,MATCH(C15,'Facilities'!$C$9:$C$108,0))*(1-MAX(0,1-(1-N15)*Settings!$H$34)/(1+I15)^M15),G15*INDEX('Facilities'!$I$9:$I$108,MATCH(C15,'Facilities'!$C$9:$C$108,0))*(1-(1-U15)/(1+I15)^M15)*R15/(1+I15)*IF(ABS(1-(1-R15)*(1-0)/(1+I15))&lt;0.000000001,AF15,(1-((1-R15)*(1-0)/(1+I15))^AF15)/(1-(1-R15)*(1-0)/(1+I15))))))</x:f>
        <x:v>0.007319530178326474</x:v>
      </x:c>
      <x:c r="AB15" s="23" t="n">
        <x:f>IF(C15="","",IF(O15&lt;&gt;"Ready","Unavailable",V15*Settings!$F$32+W15*Settings!$F$33+X15*Settings!$F$34))</x:f>
        <x:v>0.10360486682670325</x:v>
      </x:c>
      <x:c r="AC15" s="23" t="n">
        <x:f>IF(C15="","",IF(O15&lt;&gt;"Ready","Unavailable",Y15*Settings!$F$32+Z15*Settings!$F$33+AA15*Settings!$F$34))</x:f>
        <x:v>0.012843578532235939</x:v>
      </x:c>
      <x:c r="AD15" s="21" t="n">
        <x:f>IF(C15="","",IF(O15&lt;&gt;"Ready","Unavailable",AB15+AC15))</x:f>
        <x:v>0.1164484453589392</x:v>
      </x:c>
      <x:c r="AE15" s="17" t="n">
        <x:f>IF(C15="","",IF(OR(O15&lt;&gt;"Ready",F15=0),"Unavailable",AB15/F15))</x:f>
        <x:v>0.017124771376314588</x:v>
      </x:c>
      <x:c r="AF15" s="44" t="n">
        <x:f>IF(C15="","",IF(E15=1,1,H15))</x:f>
        <x:v>1</x:v>
      </x:c>
    </x:row>
    <x:row r="16" ht="26" customHeight="1">
      <x:c r="A16" s="1"/>
      <x:c r="B16" s="1"/>
      <x:c r="C16" s="9" t="str">
        <x:f>IF(Facilities!C16="","",Facilities!C16)</x:f>
        <x:v>F008</x:v>
      </x:c>
      <x:c r="D16" s="9" t="str">
        <x:f>IF(C16="","",INDEX('Facilities'!$D$9:$D$108,MATCH(C16,'Facilities'!$C$9:$C$108,0)))</x:f>
        <x:v>B004</x:v>
      </x:c>
      <x:c r="E16" s="9" t="n">
        <x:f>IF(C16="","",INDEX('Facilities'!$AD$9:$AD$108,MATCH(C16,'Facilities'!$C$9:$C$108,0)))</x:f>
        <x:v>1</x:v>
      </x:c>
      <x:c r="F16" s="23" t="n">
        <x:f>IF(C16="","",INDEX('Facilities'!$AA$9:$AA$108,MATCH(C16,'Facilities'!$C$9:$C$108,0)))</x:f>
        <x:v>3.55</x:v>
      </x:c>
      <x:c r="G16" s="23" t="n">
        <x:f>IF(C16="","",INDEX('Facilities'!$AB$9:$AB$108,MATCH(C16,'Facilities'!$C$9:$C$108,0)))</x:f>
        <x:v>0.5</x:v>
      </x:c>
      <x:c r="H16" s="42" t="n">
        <x:f>IF(C16="","",INDEX('Facilities'!$J$9:$J$108,MATCH(C16,'Facilities'!$C$9:$C$108,0)))</x:f>
        <x:v>8</x:v>
      </x:c>
      <x:c r="I16" s="30" t="n">
        <x:f>IF(C16="","",INDEX('Facilities'!$K$9:$K$108,MATCH(C16,'Facilities'!$C$9:$C$108,0)))</x:f>
        <x:v>0.08</x:v>
      </x:c>
      <x:c r="J16" s="30" t="n">
        <x:f>IF(C16="","",INDEX('Borrowers'!$P$9:$P$108,MATCH(D16,'Borrowers'!$C$9:$C$108,0)))</x:f>
        <x:v>0.030000000000000002</x:v>
      </x:c>
      <x:c r="K16" s="30" t="n">
        <x:f>IF(C16="","",INDEX('Borrowers'!$Q$9:$Q$108,MATCH(D16,'Borrowers'!$C$9:$C$108,0)))</x:f>
        <x:v>0.4</x:v>
      </x:c>
      <x:c r="L16" s="30" t="n">
        <x:f>IF(C16="","",INDEX('Facilities'!$R$9:$R$108,MATCH(C16,'Facilities'!$C$9:$C$108,0)))</x:f>
        <x:v>0.12</x:v>
      </x:c>
      <x:c r="M16" s="42" t="n">
        <x:f>IF(C16="","",INDEX('Facilities'!$AK$9:$AK$108,MATCH(C16,'Facilities'!$C$9:$C$108,0)))</x:f>
        <x:v>2</x:v>
      </x:c>
      <x:c r="N16" s="30" t="n">
        <x:f>IF(C16="","",INDEX('Facilities'!$AL$9:$AL$108,MATCH(C16,'Facilities'!$C$9:$C$108,0)))</x:f>
        <x:v>0.55</x:v>
      </x:c>
      <x:c r="O16" s="23" t="str">
        <x:f>IF(C16="","",IF(AND(INDEX('Facilities'!$AF$9:$AF$108,MATCH(C16,'Facilities'!$C$9:$C$108,0))="Ready",Settings!$F$36="Ready"),"Ready","Review ECL inputs"))</x:f>
        <x:v>Ready</x:v>
      </x:c>
      <x:c r="P16" s="30" t="n">
        <x:f>IF(C16="","",MIN(1,J16*Settings!$G$32))</x:f>
        <x:v>0.030000000000000002</x:v>
      </x:c>
      <x:c r="Q16" s="30" t="n">
        <x:f>IF(C16="","",MIN(1,J16*Settings!$G$33))</x:f>
        <x:v>0.054000000000000006</x:v>
      </x:c>
      <x:c r="R16" s="30" t="n">
        <x:f>IF(C16="","",MIN(1,J16*Settings!$G$34))</x:f>
        <x:v>0.022500000000000003</x:v>
      </x:c>
      <x:c r="S16" s="30" t="n">
        <x:f>IF(C16="","",MIN(1,K16*Settings!$H$32))</x:f>
        <x:v>0.4</x:v>
      </x:c>
      <x:c r="T16" s="30" t="n">
        <x:f>IF(C16="","",MIN(1,K16*Settings!$H$33))</x:f>
        <x:v>0.45999999999999996</x:v>
      </x:c>
      <x:c r="U16" s="30" t="n">
        <x:f>IF(C16="","",MIN(1,K16*Settings!$H$34))</x:f>
        <x:v>0.38</x:v>
      </x:c>
      <x:c r="V16" s="23" t="n">
        <x:f>IF(C16="","",IF(O16&lt;&gt;"Ready","Unavailable",IF(E16=3,F16*(1-MAX(0,1-(1-N16)*Settings!$H$32)/(1+I16)^M16),F16*(1-(1-S16)/(1+I16)^M16)*P16/(1+I16)*IF(ABS(1-(1-P16)*(1-L16)/(1+I16))&lt;0.000000001,AF16,(1-((1-P16)*(1-L16)/(1+I16))^AF16)/(1-(1-P16)*(1-L16)/(1+I16))))))</x:f>
        <x:v>0.04788523090992227</x:v>
      </x:c>
      <x:c r="W16" s="23" t="n">
        <x:f>IF(C16="","",IF(O16&lt;&gt;"Ready","Unavailable",IF(E16=3,F16*(1-MAX(0,1-(1-N16)*Settings!$H$33)/(1+I16)^M16),F16*(1-(1-T16)/(1+I16)^M16)*Q16/(1+I16)*IF(ABS(1-(1-Q16)*(1-L16)/(1+I16))&lt;0.000000001,AF16,(1-((1-Q16)*(1-L16)/(1+I16))^AF16)/(1-(1-Q16)*(1-L16)/(1+I16))))))</x:f>
        <x:v>0.09532407407407406</x:v>
      </x:c>
      <x:c r="X16" s="23" t="n">
        <x:f>IF(C16="","",IF(O16&lt;&gt;"Ready","Unavailable",IF(E16=3,F16*(1-MAX(0,1-(1-N16)*Settings!$H$34)/(1+I16)^M16),F16*(1-(1-U16)/(1+I16)^M16)*R16/(1+I16)*IF(ABS(1-(1-R16)*(1-L16)/(1+I16))&lt;0.000000001,AF16,(1-((1-R16)*(1-L16)/(1+I16))^AF16)/(1-(1-R16)*(1-L16)/(1+I16))))))</x:f>
        <x:v>0.03464577617741198</x:v>
      </x:c>
      <x:c r="Y16" s="23" t="n">
        <x:f>IF(C16="","",IF(O16&lt;&gt;"Ready","Unavailable",IF(E16=3,G16*INDEX('Facilities'!$I$9:$I$108,MATCH(C16,'Facilities'!$C$9:$C$108,0))*(1-MAX(0,1-(1-N16)*Settings!$H$32)/(1+I16)^M16),G16*INDEX('Facilities'!$I$9:$I$108,MATCH(C16,'Facilities'!$C$9:$C$108,0))*(1-(1-S16)/(1+I16)^M16)*P16/(1+I16)*IF(ABS(1-(1-P16)*(1-0)/(1+I16))&lt;0.000000001,AF16,(1-((1-P16)*(1-0)/(1+I16))^AF16)/(1-(1-P16)*(1-0)/(1+I16))))))</x:f>
        <x:v>0.003372199359853681</x:v>
      </x:c>
      <x:c r="Z16" s="23" t="n">
        <x:f>IF(C16="","",IF(O16&lt;&gt;"Ready","Unavailable",IF(E16=3,G16*INDEX('Facilities'!$I$9:$I$108,MATCH(C16,'Facilities'!$C$9:$C$108,0))*(1-MAX(0,1-(1-N16)*Settings!$H$33)/(1+I16)^M16),G16*INDEX('Facilities'!$I$9:$I$108,MATCH(C16,'Facilities'!$C$9:$C$108,0))*(1-(1-T16)/(1+I16)^M16)*Q16/(1+I16)*IF(ABS(1-(1-Q16)*(1-0)/(1+I16))&lt;0.000000001,AF16,(1-((1-Q16)*(1-0)/(1+I16))^AF16)/(1-(1-Q16)*(1-0)/(1+I16))))))</x:f>
        <x:v>0.006712962962962963</x:v>
      </x:c>
      <x:c r="AA16" s="23" t="n">
        <x:f>IF(C16="","",IF(O16&lt;&gt;"Ready","Unavailable",IF(E16=3,G16*INDEX('Facilities'!$I$9:$I$108,MATCH(C16,'Facilities'!$C$9:$C$108,0))*(1-MAX(0,1-(1-N16)*Settings!$H$34)/(1+I16)^M16),G16*INDEX('Facilities'!$I$9:$I$108,MATCH(C16,'Facilities'!$C$9:$C$108,0))*(1-(1-U16)/(1+I16)^M16)*R16/(1+I16)*IF(ABS(1-(1-R16)*(1-0)/(1+I16))&lt;0.000000001,AF16,(1-((1-R16)*(1-0)/(1+I16))^AF16)/(1-(1-R16)*(1-0)/(1+I16))))))</x:f>
        <x:v>0.002439843392775492</x:v>
      </x:c>
      <x:c r="AB16" s="23" t="n">
        <x:f>IF(C16="","",IF(O16&lt;&gt;"Ready","Unavailable",V16*Settings!$F$32+W16*Settings!$F$33+X16*Settings!$F$34))</x:f>
        <x:v>0.060792938385916775</x:v>
      </x:c>
      <x:c r="AC16" s="23" t="n">
        <x:f>IF(C16="","",IF(O16&lt;&gt;"Ready","Unavailable",Y16*Settings!$F$32+Z16*Settings!$F$33+AA16*Settings!$F$34))</x:f>
        <x:v>0.004281192844078646</x:v>
      </x:c>
      <x:c r="AD16" s="21" t="n">
        <x:f>IF(C16="","",IF(O16&lt;&gt;"Ready","Unavailable",AB16+AC16))</x:f>
        <x:v>0.06507413122999542</x:v>
      </x:c>
      <x:c r="AE16" s="17" t="n">
        <x:f>IF(C16="","",IF(OR(O16&lt;&gt;"Ready",F16=0),"Unavailable",AB16/F16))</x:f>
        <x:v>0.017124771376314584</x:v>
      </x:c>
      <x:c r="AF16" s="44" t="n">
        <x:f>IF(C16="","",IF(E16=1,1,H16))</x:f>
        <x:v>1</x:v>
      </x:c>
    </x:row>
    <x:row r="17" ht="26" customHeight="1">
      <x:c r="A17" s="1"/>
      <x:c r="B17" s="1"/>
      <x:c r="C17" s="9" t="str">
        <x:f>IF(Facilities!C17="","",Facilities!C17)</x:f>
        <x:v>F009</x:v>
      </x:c>
      <x:c r="D17" s="9" t="str">
        <x:f>IF(C17="","",INDEX('Facilities'!$D$9:$D$108,MATCH(C17,'Facilities'!$C$9:$C$108,0)))</x:f>
        <x:v>B005</x:v>
      </x:c>
      <x:c r="E17" s="9" t="n">
        <x:f>IF(C17="","",INDEX('Facilities'!$AD$9:$AD$108,MATCH(C17,'Facilities'!$C$9:$C$108,0)))</x:f>
        <x:v>2</x:v>
      </x:c>
      <x:c r="F17" s="23" t="n">
        <x:f>IF(C17="","",INDEX('Facilities'!$AA$9:$AA$108,MATCH(C17,'Facilities'!$C$9:$C$108,0)))</x:f>
        <x:v>6.4</x:v>
      </x:c>
      <x:c r="G17" s="23" t="n">
        <x:f>IF(C17="","",INDEX('Facilities'!$AB$9:$AB$108,MATCH(C17,'Facilities'!$C$9:$C$108,0)))</x:f>
        <x:v>1.5</x:v>
      </x:c>
      <x:c r="H17" s="42" t="n">
        <x:f>IF(C17="","",INDEX('Facilities'!$J$9:$J$108,MATCH(C17,'Facilities'!$C$9:$C$108,0)))</x:f>
        <x:v>9</x:v>
      </x:c>
      <x:c r="I17" s="30" t="n">
        <x:f>IF(C17="","",INDEX('Facilities'!$K$9:$K$108,MATCH(C17,'Facilities'!$C$9:$C$108,0)))</x:f>
        <x:v>0.08</x:v>
      </x:c>
      <x:c r="J17" s="30" t="n">
        <x:f>IF(C17="","",INDEX('Borrowers'!$P$9:$P$108,MATCH(D17,'Borrowers'!$C$9:$C$108,0)))</x:f>
        <x:v>0.036000000000000004</x:v>
      </x:c>
      <x:c r="K17" s="30" t="n">
        <x:f>IF(C17="","",INDEX('Borrowers'!$Q$9:$Q$108,MATCH(D17,'Borrowers'!$C$9:$C$108,0)))</x:f>
        <x:v>0.44000000000000006</x:v>
      </x:c>
      <x:c r="L17" s="30" t="n">
        <x:f>IF(C17="","",INDEX('Facilities'!$R$9:$R$108,MATCH(C17,'Facilities'!$C$9:$C$108,0)))</x:f>
        <x:v>0.12</x:v>
      </x:c>
      <x:c r="M17" s="42" t="n">
        <x:f>IF(C17="","",INDEX('Facilities'!$AK$9:$AK$108,MATCH(C17,'Facilities'!$C$9:$C$108,0)))</x:f>
        <x:v>2</x:v>
      </x:c>
      <x:c r="N17" s="30" t="n">
        <x:f>IF(C17="","",INDEX('Facilities'!$AL$9:$AL$108,MATCH(C17,'Facilities'!$C$9:$C$108,0)))</x:f>
        <x:v>0.55</x:v>
      </x:c>
      <x:c r="O17" s="23" t="str">
        <x:f>IF(C17="","",IF(AND(INDEX('Facilities'!$AF$9:$AF$108,MATCH(C17,'Facilities'!$C$9:$C$108,0))="Ready",Settings!$F$36="Ready"),"Ready","Review ECL inputs"))</x:f>
        <x:v>Ready</x:v>
      </x:c>
      <x:c r="P17" s="30" t="n">
        <x:f>IF(C17="","",MIN(1,J17*Settings!$G$32))</x:f>
        <x:v>0.036000000000000004</x:v>
      </x:c>
      <x:c r="Q17" s="30" t="n">
        <x:f>IF(C17="","",MIN(1,J17*Settings!$G$33))</x:f>
        <x:v>0.06480000000000001</x:v>
      </x:c>
      <x:c r="R17" s="30" t="n">
        <x:f>IF(C17="","",MIN(1,J17*Settings!$G$34))</x:f>
        <x:v>0.027000000000000003</x:v>
      </x:c>
      <x:c r="S17" s="30" t="n">
        <x:f>IF(C17="","",MIN(1,K17*Settings!$H$32))</x:f>
        <x:v>0.44000000000000006</x:v>
      </x:c>
      <x:c r="T17" s="30" t="n">
        <x:f>IF(C17="","",MIN(1,K17*Settings!$H$33))</x:f>
        <x:v>0.506</x:v>
      </x:c>
      <x:c r="U17" s="30" t="n">
        <x:f>IF(C17="","",MIN(1,K17*Settings!$H$34))</x:f>
        <x:v>0.41800000000000004</x:v>
      </x:c>
      <x:c r="V17" s="23" t="n">
        <x:f>IF(C17="","",IF(O17&lt;&gt;"Ready","Unavailable",IF(E17=3,F17*(1-MAX(0,1-(1-N17)*Settings!$H$32)/(1+I17)^M17),F17*(1-(1-S17)/(1+I17)^M17)*P17/(1+I17)*IF(ABS(1-(1-P17)*(1-L17)/(1+I17))&lt;0.000000001,AF17,(1-((1-P17)*(1-L17)/(1+I17))^AF17)/(1-(1-P17)*(1-L17)/(1+I17))))))</x:f>
        <x:v>0.4581702830029741</x:v>
      </x:c>
      <x:c r="W17" s="23" t="n">
        <x:f>IF(C17="","",IF(O17&lt;&gt;"Ready","Unavailable",IF(E17=3,F17*(1-MAX(0,1-(1-N17)*Settings!$H$33)/(1+I17)^M17),F17*(1-(1-T17)/(1+I17)^M17)*Q17/(1+I17)*IF(ABS(1-(1-Q17)*(1-L17)/(1+I17))&lt;0.000000001,AF17,(1-((1-Q17)*(1-L17)/(1+I17))^AF17)/(1-(1-Q17)*(1-L17)/(1+I17))))))</x:f>
        <x:v>0.8495872946483718</x:v>
      </x:c>
      <x:c r="X17" s="23" t="n">
        <x:f>IF(C17="","",IF(O17&lt;&gt;"Ready","Unavailable",IF(E17=3,F17*(1-MAX(0,1-(1-N17)*Settings!$H$34)/(1+I17)^M17),F17*(1-(1-U17)/(1+I17)^M17)*R17/(1+I17)*IF(ABS(1-(1-R17)*(1-L17)/(1+I17))&lt;0.000000001,AF17,(1-((1-R17)*(1-L17)/(1+I17))^AF17)/(1-(1-R17)*(1-L17)/(1+I17))))))</x:f>
        <x:v>0.3390407707273128</x:v>
      </x:c>
      <x:c r="Y17" s="23" t="n">
        <x:f>IF(C17="","",IF(O17&lt;&gt;"Ready","Unavailable",IF(E17=3,G17*INDEX('Facilities'!$I$9:$I$108,MATCH(C17,'Facilities'!$C$9:$C$108,0))*(1-MAX(0,1-(1-N17)*Settings!$H$32)/(1+I17)^M17),G17*INDEX('Facilities'!$I$9:$I$108,MATCH(C17,'Facilities'!$C$9:$C$108,0))*(1-(1-S17)/(1+I17)^M17)*P17/(1+I17)*IF(ABS(1-(1-P17)*(1-0)/(1+I17))&lt;0.000000001,AF17,(1-((1-P17)*(1-0)/(1+I17))^AF17)/(1-(1-P17)*(1-0)/(1+I17))))))</x:f>
        <x:v>0.07748813071963985</x:v>
      </x:c>
      <x:c r="Z17" s="23" t="n">
        <x:f>IF(C17="","",IF(O17&lt;&gt;"Ready","Unavailable",IF(E17=3,G17*INDEX('Facilities'!$I$9:$I$108,MATCH(C17,'Facilities'!$C$9:$C$108,0))*(1-MAX(0,1-(1-N17)*Settings!$H$33)/(1+I17)^M17),G17*INDEX('Facilities'!$I$9:$I$108,MATCH(C17,'Facilities'!$C$9:$C$108,0))*(1-(1-T17)/(1+I17)^M17)*Q17/(1+I17)*IF(ABS(1-(1-Q17)*(1-0)/(1+I17))&lt;0.000000001,AF17,(1-((1-Q17)*(1-0)/(1+I17))^AF17)/(1-(1-Q17)*(1-0)/(1+I17))))))</x:f>
        <x:v>0.1405220221322787</x:v>
      </x:c>
      <x:c r="AA17" s="23" t="n">
        <x:f>IF(C17="","",IF(O17&lt;&gt;"Ready","Unavailable",IF(E17=3,G17*INDEX('Facilities'!$I$9:$I$108,MATCH(C17,'Facilities'!$C$9:$C$108,0))*(1-MAX(0,1-(1-N17)*Settings!$H$34)/(1+I17)^M17),G17*INDEX('Facilities'!$I$9:$I$108,MATCH(C17,'Facilities'!$C$9:$C$108,0))*(1-(1-U17)/(1+I17)^M17)*R17/(1+I17)*IF(ABS(1-(1-R17)*(1-0)/(1+I17))&lt;0.000000001,AF17,(1-((1-R17)*(1-0)/(1+I17))^AF17)/(1-(1-R17)*(1-0)/(1+I17))))))</x:f>
        <x:v>0.057743776465980765</x:v>
      </x:c>
      <x:c r="AB17" s="23" t="n">
        <x:f>IF(C17="","",IF(O17&lt;&gt;"Ready","Unavailable",V17*Settings!$F$32+W17*Settings!$F$33+X17*Settings!$F$34))</x:f>
        <x:v>0.5636824352690273</x:v>
      </x:c>
      <x:c r="AC17" s="23" t="n">
        <x:f>IF(C17="","",IF(O17&lt;&gt;"Ready","Unavailable",Y17*Settings!$F$32+Z17*Settings!$F$33+AA17*Settings!$F$34))</x:f>
        <x:v>0.0944238627180656</x:v>
      </x:c>
      <x:c r="AD17" s="21" t="n">
        <x:f>IF(C17="","",IF(O17&lt;&gt;"Ready","Unavailable",AB17+AC17))</x:f>
        <x:v>0.6581062979870929</x:v>
      </x:c>
      <x:c r="AE17" s="17" t="n">
        <x:f>IF(C17="","",IF(OR(O17&lt;&gt;"Ready",F17=0),"Unavailable",AB17/F17))</x:f>
        <x:v>0.0880753805107855</x:v>
      </x:c>
      <x:c r="AF17" s="44" t="n">
        <x:f>IF(C17="","",IF(E17=1,1,H17))</x:f>
        <x:v>9</x:v>
      </x:c>
    </x:row>
    <x:row r="18" ht="26" customHeight="1">
      <x:c r="A18" s="1"/>
      <x:c r="B18" s="1"/>
      <x:c r="C18" s="9" t="str">
        <x:f>IF(Facilities!C18="","",Facilities!C18)</x:f>
        <x:v>F010</x:v>
      </x:c>
      <x:c r="D18" s="9" t="str">
        <x:f>IF(C18="","",INDEX('Facilities'!$D$9:$D$108,MATCH(C18,'Facilities'!$C$9:$C$108,0)))</x:f>
        <x:v>B005</x:v>
      </x:c>
      <x:c r="E18" s="9" t="n">
        <x:f>IF(C18="","",INDEX('Facilities'!$AD$9:$AD$108,MATCH(C18,'Facilities'!$C$9:$C$108,0)))</x:f>
        <x:v>2</x:v>
      </x:c>
      <x:c r="F18" s="23" t="n">
        <x:f>IF(C18="","",INDEX('Facilities'!$AA$9:$AA$108,MATCH(C18,'Facilities'!$C$9:$C$108,0)))</x:f>
        <x:v>3.9</x:v>
      </x:c>
      <x:c r="G18" s="23" t="n">
        <x:f>IF(C18="","",INDEX('Facilities'!$AB$9:$AB$108,MATCH(C18,'Facilities'!$C$9:$C$108,0)))</x:f>
        <x:v>0.5</x:v>
      </x:c>
      <x:c r="H18" s="42" t="n">
        <x:f>IF(C18="","",INDEX('Facilities'!$J$9:$J$108,MATCH(C18,'Facilities'!$C$9:$C$108,0)))</x:f>
        <x:v>9</x:v>
      </x:c>
      <x:c r="I18" s="30" t="n">
        <x:f>IF(C18="","",INDEX('Facilities'!$K$9:$K$108,MATCH(C18,'Facilities'!$C$9:$C$108,0)))</x:f>
        <x:v>0.08</x:v>
      </x:c>
      <x:c r="J18" s="30" t="n">
        <x:f>IF(C18="","",INDEX('Borrowers'!$P$9:$P$108,MATCH(D18,'Borrowers'!$C$9:$C$108,0)))</x:f>
        <x:v>0.036000000000000004</x:v>
      </x:c>
      <x:c r="K18" s="30" t="n">
        <x:f>IF(C18="","",INDEX('Borrowers'!$Q$9:$Q$108,MATCH(D18,'Borrowers'!$C$9:$C$108,0)))</x:f>
        <x:v>0.44000000000000006</x:v>
      </x:c>
      <x:c r="L18" s="30" t="n">
        <x:f>IF(C18="","",INDEX('Facilities'!$R$9:$R$108,MATCH(C18,'Facilities'!$C$9:$C$108,0)))</x:f>
        <x:v>0.12</x:v>
      </x:c>
      <x:c r="M18" s="42" t="n">
        <x:f>IF(C18="","",INDEX('Facilities'!$AK$9:$AK$108,MATCH(C18,'Facilities'!$C$9:$C$108,0)))</x:f>
        <x:v>2</x:v>
      </x:c>
      <x:c r="N18" s="30" t="n">
        <x:f>IF(C18="","",INDEX('Facilities'!$AL$9:$AL$108,MATCH(C18,'Facilities'!$C$9:$C$108,0)))</x:f>
        <x:v>0.55</x:v>
      </x:c>
      <x:c r="O18" s="23" t="str">
        <x:f>IF(C18="","",IF(AND(INDEX('Facilities'!$AF$9:$AF$108,MATCH(C18,'Facilities'!$C$9:$C$108,0))="Ready",Settings!$F$36="Ready"),"Ready","Review ECL inputs"))</x:f>
        <x:v>Ready</x:v>
      </x:c>
      <x:c r="P18" s="30" t="n">
        <x:f>IF(C18="","",MIN(1,J18*Settings!$G$32))</x:f>
        <x:v>0.036000000000000004</x:v>
      </x:c>
      <x:c r="Q18" s="30" t="n">
        <x:f>IF(C18="","",MIN(1,J18*Settings!$G$33))</x:f>
        <x:v>0.06480000000000001</x:v>
      </x:c>
      <x:c r="R18" s="30" t="n">
        <x:f>IF(C18="","",MIN(1,J18*Settings!$G$34))</x:f>
        <x:v>0.027000000000000003</x:v>
      </x:c>
      <x:c r="S18" s="30" t="n">
        <x:f>IF(C18="","",MIN(1,K18*Settings!$H$32))</x:f>
        <x:v>0.44000000000000006</x:v>
      </x:c>
      <x:c r="T18" s="30" t="n">
        <x:f>IF(C18="","",MIN(1,K18*Settings!$H$33))</x:f>
        <x:v>0.506</x:v>
      </x:c>
      <x:c r="U18" s="30" t="n">
        <x:f>IF(C18="","",MIN(1,K18*Settings!$H$34))</x:f>
        <x:v>0.41800000000000004</x:v>
      </x:c>
      <x:c r="V18" s="23" t="n">
        <x:f>IF(C18="","",IF(O18&lt;&gt;"Ready","Unavailable",IF(E18=3,F18*(1-MAX(0,1-(1-N18)*Settings!$H$32)/(1+I18)^M18),F18*(1-(1-S18)/(1+I18)^M18)*P18/(1+I18)*IF(ABS(1-(1-P18)*(1-L18)/(1+I18))&lt;0.000000001,AF18,(1-((1-P18)*(1-L18)/(1+I18))^AF18)/(1-(1-P18)*(1-L18)/(1+I18))))))</x:f>
        <x:v>0.27919751620493727</x:v>
      </x:c>
      <x:c r="W18" s="23" t="n">
        <x:f>IF(C18="","",IF(O18&lt;&gt;"Ready","Unavailable",IF(E18=3,F18*(1-MAX(0,1-(1-N18)*Settings!$H$33)/(1+I18)^M18),F18*(1-(1-T18)/(1+I18)^M18)*Q18/(1+I18)*IF(ABS(1-(1-Q18)*(1-L18)/(1+I18))&lt;0.000000001,AF18,(1-((1-Q18)*(1-L18)/(1+I18))^AF18)/(1-(1-Q18)*(1-L18)/(1+I18))))))</x:f>
        <x:v>0.5177172576763515</x:v>
      </x:c>
      <x:c r="X18" s="23" t="n">
        <x:f>IF(C18="","",IF(O18&lt;&gt;"Ready","Unavailable",IF(E18=3,F18*(1-MAX(0,1-(1-N18)*Settings!$H$34)/(1+I18)^M18),F18*(1-(1-U18)/(1+I18)^M18)*R18/(1+I18)*IF(ABS(1-(1-R18)*(1-L18)/(1+I18))&lt;0.000000001,AF18,(1-((1-R18)*(1-L18)/(1+I18))^AF18)/(1-(1-R18)*(1-L18)/(1+I18))))))</x:f>
        <x:v>0.2066029696619562</x:v>
      </x:c>
      <x:c r="Y18" s="23" t="n">
        <x:f>IF(C18="","",IF(O18&lt;&gt;"Ready","Unavailable",IF(E18=3,G18*INDEX('Facilities'!$I$9:$I$108,MATCH(C18,'Facilities'!$C$9:$C$108,0))*(1-MAX(0,1-(1-N18)*Settings!$H$32)/(1+I18)^M18),G18*INDEX('Facilities'!$I$9:$I$108,MATCH(C18,'Facilities'!$C$9:$C$108,0))*(1-(1-S18)/(1+I18)^M18)*P18/(1+I18)*IF(ABS(1-(1-P18)*(1-0)/(1+I18))&lt;0.000000001,AF18,(1-((1-P18)*(1-0)/(1+I18))^AF18)/(1-(1-P18)*(1-0)/(1+I18))))))</x:f>
        <x:v>0.025829376906546613</x:v>
      </x:c>
      <x:c r="Z18" s="23" t="n">
        <x:f>IF(C18="","",IF(O18&lt;&gt;"Ready","Unavailable",IF(E18=3,G18*INDEX('Facilities'!$I$9:$I$108,MATCH(C18,'Facilities'!$C$9:$C$108,0))*(1-MAX(0,1-(1-N18)*Settings!$H$33)/(1+I18)^M18),G18*INDEX('Facilities'!$I$9:$I$108,MATCH(C18,'Facilities'!$C$9:$C$108,0))*(1-(1-T18)/(1+I18)^M18)*Q18/(1+I18)*IF(ABS(1-(1-Q18)*(1-0)/(1+I18))&lt;0.000000001,AF18,(1-((1-Q18)*(1-0)/(1+I18))^AF18)/(1-(1-Q18)*(1-0)/(1+I18))))))</x:f>
        <x:v>0.04684067404409291</x:v>
      </x:c>
      <x:c r="AA18" s="23" t="n">
        <x:f>IF(C18="","",IF(O18&lt;&gt;"Ready","Unavailable",IF(E18=3,G18*INDEX('Facilities'!$I$9:$I$108,MATCH(C18,'Facilities'!$C$9:$C$108,0))*(1-MAX(0,1-(1-N18)*Settings!$H$34)/(1+I18)^M18),G18*INDEX('Facilities'!$I$9:$I$108,MATCH(C18,'Facilities'!$C$9:$C$108,0))*(1-(1-U18)/(1+I18)^M18)*R18/(1+I18)*IF(ABS(1-(1-R18)*(1-0)/(1+I18))&lt;0.000000001,AF18,(1-((1-R18)*(1-0)/(1+I18))^AF18)/(1-(1-R18)*(1-0)/(1+I18))))))</x:f>
        <x:v>0.019247925488660254</x:v>
      </x:c>
      <x:c r="AB18" s="23" t="n">
        <x:f>IF(C18="","",IF(O18&lt;&gt;"Ready","Unavailable",V18*Settings!$F$32+W18*Settings!$F$33+X18*Settings!$F$34))</x:f>
        <x:v>0.34349398399206343</x:v>
      </x:c>
      <x:c r="AC18" s="23" t="n">
        <x:f>IF(C18="","",IF(O18&lt;&gt;"Ready","Unavailable",Y18*Settings!$F$32+Z18*Settings!$F$33+AA18*Settings!$F$34))</x:f>
        <x:v>0.03147462090602186</x:v>
      </x:c>
      <x:c r="AD18" s="21" t="n">
        <x:f>IF(C18="","",IF(O18&lt;&gt;"Ready","Unavailable",AB18+AC18))</x:f>
        <x:v>0.3749686048980853</x:v>
      </x:c>
      <x:c r="AE18" s="17" t="n">
        <x:f>IF(C18="","",IF(OR(O18&lt;&gt;"Ready",F18=0),"Unavailable",AB18/F18))</x:f>
        <x:v>0.08807538051078549</x:v>
      </x:c>
      <x:c r="AF18" s="44" t="n">
        <x:f>IF(C18="","",IF(E18=1,1,H18))</x:f>
        <x:v>9</x:v>
      </x:c>
    </x:row>
    <x:row r="19" ht="26" customHeight="1">
      <x:c r="A19" s="1"/>
      <x:c r="B19" s="1"/>
      <x:c r="C19" s="9" t="str">
        <x:f>IF(Facilities!C19="","",Facilities!C19)</x:f>
        <x:v>F011</x:v>
      </x:c>
      <x:c r="D19" s="9" t="str">
        <x:f>IF(C19="","",INDEX('Facilities'!$D$9:$D$108,MATCH(C19,'Facilities'!$C$9:$C$108,0)))</x:f>
        <x:v>B006</x:v>
      </x:c>
      <x:c r="E19" s="9" t="n">
        <x:f>IF(C19="","",INDEX('Facilities'!$AD$9:$AD$108,MATCH(C19,'Facilities'!$C$9:$C$108,0)))</x:f>
        <x:v>1</x:v>
      </x:c>
      <x:c r="F19" s="23" t="n">
        <x:f>IF(C19="","",INDEX('Facilities'!$AA$9:$AA$108,MATCH(C19,'Facilities'!$C$9:$C$108,0)))</x:f>
        <x:v>6.75</x:v>
      </x:c>
      <x:c r="G19" s="23" t="n">
        <x:f>IF(C19="","",INDEX('Facilities'!$AB$9:$AB$108,MATCH(C19,'Facilities'!$C$9:$C$108,0)))</x:f>
        <x:v>1.5</x:v>
      </x:c>
      <x:c r="H19" s="42" t="n">
        <x:f>IF(C19="","",INDEX('Facilities'!$J$9:$J$108,MATCH(C19,'Facilities'!$C$9:$C$108,0)))</x:f>
        <x:v>5</x:v>
      </x:c>
      <x:c r="I19" s="30" t="n">
        <x:f>IF(C19="","",INDEX('Facilities'!$K$9:$K$108,MATCH(C19,'Facilities'!$C$9:$C$108,0)))</x:f>
        <x:v>0.08</x:v>
      </x:c>
      <x:c r="J19" s="30" t="n">
        <x:f>IF(C19="","",INDEX('Borrowers'!$P$9:$P$108,MATCH(D19,'Borrowers'!$C$9:$C$108,0)))</x:f>
        <x:v>0.041999999999999996</x:v>
      </x:c>
      <x:c r="K19" s="30" t="n">
        <x:f>IF(C19="","",INDEX('Borrowers'!$Q$9:$Q$108,MATCH(D19,'Borrowers'!$C$9:$C$108,0)))</x:f>
        <x:v>0.28</x:v>
      </x:c>
      <x:c r="L19" s="30" t="n">
        <x:f>IF(C19="","",INDEX('Facilities'!$R$9:$R$108,MATCH(C19,'Facilities'!$C$9:$C$108,0)))</x:f>
        <x:v>0.12</x:v>
      </x:c>
      <x:c r="M19" s="42" t="n">
        <x:f>IF(C19="","",INDEX('Facilities'!$AK$9:$AK$108,MATCH(C19,'Facilities'!$C$9:$C$108,0)))</x:f>
        <x:v>2</x:v>
      </x:c>
      <x:c r="N19" s="30" t="n">
        <x:f>IF(C19="","",INDEX('Facilities'!$AL$9:$AL$108,MATCH(C19,'Facilities'!$C$9:$C$108,0)))</x:f>
        <x:v>0.55</x:v>
      </x:c>
      <x:c r="O19" s="23" t="str">
        <x:f>IF(C19="","",IF(AND(INDEX('Facilities'!$AF$9:$AF$108,MATCH(C19,'Facilities'!$C$9:$C$108,0))="Ready",Settings!$F$36="Ready"),"Ready","Review ECL inputs"))</x:f>
        <x:v>Ready</x:v>
      </x:c>
      <x:c r="P19" s="30" t="n">
        <x:f>IF(C19="","",MIN(1,J19*Settings!$G$32))</x:f>
        <x:v>0.041999999999999996</x:v>
      </x:c>
      <x:c r="Q19" s="30" t="n">
        <x:f>IF(C19="","",MIN(1,J19*Settings!$G$33))</x:f>
        <x:v>0.0756</x:v>
      </x:c>
      <x:c r="R19" s="30" t="n">
        <x:f>IF(C19="","",MIN(1,J19*Settings!$G$34))</x:f>
        <x:v>0.0315</x:v>
      </x:c>
      <x:c r="S19" s="30" t="n">
        <x:f>IF(C19="","",MIN(1,K19*Settings!$H$32))</x:f>
        <x:v>0.28</x:v>
      </x:c>
      <x:c r="T19" s="30" t="n">
        <x:f>IF(C19="","",MIN(1,K19*Settings!$H$33))</x:f>
        <x:v>0.322</x:v>
      </x:c>
      <x:c r="U19" s="30" t="n">
        <x:f>IF(C19="","",MIN(1,K19*Settings!$H$34))</x:f>
        <x:v>0.266</x:v>
      </x:c>
      <x:c r="V19" s="23" t="n">
        <x:f>IF(C19="","",IF(O19&lt;&gt;"Ready","Unavailable",IF(E19=3,F19*(1-MAX(0,1-(1-N19)*Settings!$H$32)/(1+I19)^M19),F19*(1-(1-S19)/(1+I19)^M19)*P19/(1+I19)*IF(ABS(1-(1-P19)*(1-L19)/(1+I19))&lt;0.000000001,AF19,(1-((1-P19)*(1-L19)/(1+I19))^AF19)/(1-(1-P19)*(1-L19)/(1+I19))))))</x:f>
        <x:v>0.10046296296296296</x:v>
      </x:c>
      <x:c r="W19" s="23" t="n">
        <x:f>IF(C19="","",IF(O19&lt;&gt;"Ready","Unavailable",IF(E19=3,F19*(1-MAX(0,1-(1-N19)*Settings!$H$33)/(1+I19)^M19),F19*(1-(1-T19)/(1+I19)^M19)*Q19/(1+I19)*IF(ABS(1-(1-Q19)*(1-L19)/(1+I19))&lt;0.000000001,AF19,(1-((1-Q19)*(1-L19)/(1+I19))^AF19)/(1-(1-Q19)*(1-L19)/(1+I19))))))</x:f>
        <x:v>0.19784722222222226</x:v>
      </x:c>
      <x:c r="X19" s="23" t="n">
        <x:f>IF(C19="","",IF(O19&lt;&gt;"Ready","Unavailable",IF(E19=3,F19*(1-MAX(0,1-(1-N19)*Settings!$H$34)/(1+I19)^M19),F19*(1-(1-U19)/(1+I19)^M19)*R19/(1+I19)*IF(ABS(1-(1-R19)*(1-L19)/(1+I19))&lt;0.000000001,AF19,(1-((1-R19)*(1-L19)/(1+I19))^AF19)/(1-(1-R19)*(1-L19)/(1+I19))))))</x:f>
        <x:v>0.07298418209876545</x:v>
      </x:c>
      <x:c r="Y19" s="23" t="n">
        <x:f>IF(C19="","",IF(O19&lt;&gt;"Ready","Unavailable",IF(E19=3,G19*INDEX('Facilities'!$I$9:$I$108,MATCH(C19,'Facilities'!$C$9:$C$108,0))*(1-MAX(0,1-(1-N19)*Settings!$H$32)/(1+I19)^M19),G19*INDEX('Facilities'!$I$9:$I$108,MATCH(C19,'Facilities'!$C$9:$C$108,0))*(1-(1-S19)/(1+I19)^M19)*P19/(1+I19)*IF(ABS(1-(1-P19)*(1-0)/(1+I19))&lt;0.000000001,AF19,(1-((1-P19)*(1-0)/(1+I19))^AF19)/(1-(1-P19)*(1-0)/(1+I19))))))</x:f>
        <x:v>0.011162551440329219</x:v>
      </x:c>
      <x:c r="Z19" s="23" t="n">
        <x:f>IF(C19="","",IF(O19&lt;&gt;"Ready","Unavailable",IF(E19=3,G19*INDEX('Facilities'!$I$9:$I$108,MATCH(C19,'Facilities'!$C$9:$C$108,0))*(1-MAX(0,1-(1-N19)*Settings!$H$33)/(1+I19)^M19),G19*INDEX('Facilities'!$I$9:$I$108,MATCH(C19,'Facilities'!$C$9:$C$108,0))*(1-(1-T19)/(1+I19)^M19)*Q19/(1+I19)*IF(ABS(1-(1-Q19)*(1-0)/(1+I19))&lt;0.000000001,AF19,(1-((1-Q19)*(1-0)/(1+I19))^AF19)/(1-(1-Q19)*(1-0)/(1+I19))))))</x:f>
        <x:v>0.02198302469135803</x:v>
      </x:c>
      <x:c r="AA19" s="23" t="n">
        <x:f>IF(C19="","",IF(O19&lt;&gt;"Ready","Unavailable",IF(E19=3,G19*INDEX('Facilities'!$I$9:$I$108,MATCH(C19,'Facilities'!$C$9:$C$108,0))*(1-MAX(0,1-(1-N19)*Settings!$H$34)/(1+I19)^M19),G19*INDEX('Facilities'!$I$9:$I$108,MATCH(C19,'Facilities'!$C$9:$C$108,0))*(1-(1-U19)/(1+I19)^M19)*R19/(1+I19)*IF(ABS(1-(1-R19)*(1-0)/(1+I19))&lt;0.000000001,AF19,(1-((1-R19)*(1-0)/(1+I19))^AF19)/(1-(1-R19)*(1-0)/(1+I19))))))</x:f>
        <x:v>0.008109353566529493</x:v>
      </x:c>
      <x:c r="AB19" s="23" t="n">
        <x:f>IF(C19="","",IF(O19&lt;&gt;"Ready","Unavailable",V19*Settings!$F$32+W19*Settings!$F$33+X19*Settings!$F$34))</x:f>
        <x:v>0.12693036265432098</x:v>
      </x:c>
      <x:c r="AC19" s="23" t="n">
        <x:f>IF(C19="","",IF(O19&lt;&gt;"Ready","Unavailable",Y19*Settings!$F$32+Z19*Settings!$F$33+AA19*Settings!$F$34))</x:f>
        <x:v>0.014103373628257889</x:v>
      </x:c>
      <x:c r="AD19" s="21" t="n">
        <x:f>IF(C19="","",IF(O19&lt;&gt;"Ready","Unavailable",AB19+AC19))</x:f>
        <x:v>0.14103373628257887</x:v>
      </x:c>
      <x:c r="AE19" s="17" t="n">
        <x:f>IF(C19="","",IF(OR(O19&lt;&gt;"Ready",F19=0),"Unavailable",AB19/F19))</x:f>
        <x:v>0.018804498171010514</x:v>
      </x:c>
      <x:c r="AF19" s="44" t="n">
        <x:f>IF(C19="","",IF(E19=1,1,H19))</x:f>
        <x:v>1</x:v>
      </x:c>
    </x:row>
    <x:row r="20" ht="26" customHeight="1">
      <x:c r="A20" s="1"/>
      <x:c r="B20" s="1"/>
      <x:c r="C20" s="9" t="str">
        <x:f>IF(Facilities!C20="","",Facilities!C20)</x:f>
        <x:v>F012</x:v>
      </x:c>
      <x:c r="D20" s="9" t="str">
        <x:f>IF(C20="","",INDEX('Facilities'!$D$9:$D$108,MATCH(C20,'Facilities'!$C$9:$C$108,0)))</x:f>
        <x:v>B006</x:v>
      </x:c>
      <x:c r="E20" s="9" t="n">
        <x:f>IF(C20="","",INDEX('Facilities'!$AD$9:$AD$108,MATCH(C20,'Facilities'!$C$9:$C$108,0)))</x:f>
        <x:v>1</x:v>
      </x:c>
      <x:c r="F20" s="23" t="n">
        <x:f>IF(C20="","",INDEX('Facilities'!$AA$9:$AA$108,MATCH(C20,'Facilities'!$C$9:$C$108,0)))</x:f>
        <x:v>4.25</x:v>
      </x:c>
      <x:c r="G20" s="23" t="n">
        <x:f>IF(C20="","",INDEX('Facilities'!$AB$9:$AB$108,MATCH(C20,'Facilities'!$C$9:$C$108,0)))</x:f>
        <x:v>0.5</x:v>
      </x:c>
      <x:c r="H20" s="42" t="n">
        <x:f>IF(C20="","",INDEX('Facilities'!$J$9:$J$108,MATCH(C20,'Facilities'!$C$9:$C$108,0)))</x:f>
        <x:v>5</x:v>
      </x:c>
      <x:c r="I20" s="30" t="n">
        <x:f>IF(C20="","",INDEX('Facilities'!$K$9:$K$108,MATCH(C20,'Facilities'!$C$9:$C$108,0)))</x:f>
        <x:v>0.08</x:v>
      </x:c>
      <x:c r="J20" s="30" t="n">
        <x:f>IF(C20="","",INDEX('Borrowers'!$P$9:$P$108,MATCH(D20,'Borrowers'!$C$9:$C$108,0)))</x:f>
        <x:v>0.041999999999999996</x:v>
      </x:c>
      <x:c r="K20" s="30" t="n">
        <x:f>IF(C20="","",INDEX('Borrowers'!$Q$9:$Q$108,MATCH(D20,'Borrowers'!$C$9:$C$108,0)))</x:f>
        <x:v>0.28</x:v>
      </x:c>
      <x:c r="L20" s="30" t="n">
        <x:f>IF(C20="","",INDEX('Facilities'!$R$9:$R$108,MATCH(C20,'Facilities'!$C$9:$C$108,0)))</x:f>
        <x:v>0.12</x:v>
      </x:c>
      <x:c r="M20" s="42" t="n">
        <x:f>IF(C20="","",INDEX('Facilities'!$AK$9:$AK$108,MATCH(C20,'Facilities'!$C$9:$C$108,0)))</x:f>
        <x:v>2</x:v>
      </x:c>
      <x:c r="N20" s="30" t="n">
        <x:f>IF(C20="","",INDEX('Facilities'!$AL$9:$AL$108,MATCH(C20,'Facilities'!$C$9:$C$108,0)))</x:f>
        <x:v>0.55</x:v>
      </x:c>
      <x:c r="O20" s="23" t="str">
        <x:f>IF(C20="","",IF(AND(INDEX('Facilities'!$AF$9:$AF$108,MATCH(C20,'Facilities'!$C$9:$C$108,0))="Ready",Settings!$F$36="Ready"),"Ready","Review ECL inputs"))</x:f>
        <x:v>Ready</x:v>
      </x:c>
      <x:c r="P20" s="30" t="n">
        <x:f>IF(C20="","",MIN(1,J20*Settings!$G$32))</x:f>
        <x:v>0.041999999999999996</x:v>
      </x:c>
      <x:c r="Q20" s="30" t="n">
        <x:f>IF(C20="","",MIN(1,J20*Settings!$G$33))</x:f>
        <x:v>0.0756</x:v>
      </x:c>
      <x:c r="R20" s="30" t="n">
        <x:f>IF(C20="","",MIN(1,J20*Settings!$G$34))</x:f>
        <x:v>0.0315</x:v>
      </x:c>
      <x:c r="S20" s="30" t="n">
        <x:f>IF(C20="","",MIN(1,K20*Settings!$H$32))</x:f>
        <x:v>0.28</x:v>
      </x:c>
      <x:c r="T20" s="30" t="n">
        <x:f>IF(C20="","",MIN(1,K20*Settings!$H$33))</x:f>
        <x:v>0.322</x:v>
      </x:c>
      <x:c r="U20" s="30" t="n">
        <x:f>IF(C20="","",MIN(1,K20*Settings!$H$34))</x:f>
        <x:v>0.266</x:v>
      </x:c>
      <x:c r="V20" s="23" t="n">
        <x:f>IF(C20="","",IF(O20&lt;&gt;"Ready","Unavailable",IF(E20=3,F20*(1-MAX(0,1-(1-N20)*Settings!$H$32)/(1+I20)^M20),F20*(1-(1-S20)/(1+I20)^M20)*P20/(1+I20)*IF(ABS(1-(1-P20)*(1-L20)/(1+I20))&lt;0.000000001,AF20,(1-((1-P20)*(1-L20)/(1+I20))^AF20)/(1-(1-P20)*(1-L20)/(1+I20))))))</x:f>
        <x:v>0.06325445816186556</x:v>
      </x:c>
      <x:c r="W20" s="23" t="n">
        <x:f>IF(C20="","",IF(O20&lt;&gt;"Ready","Unavailable",IF(E20=3,F20*(1-MAX(0,1-(1-N20)*Settings!$H$33)/(1+I20)^M20),F20*(1-(1-T20)/(1+I20)^M20)*Q20/(1+I20)*IF(ABS(1-(1-Q20)*(1-L20)/(1+I20))&lt;0.000000001,AF20,(1-((1-Q20)*(1-L20)/(1+I20))^AF20)/(1-(1-Q20)*(1-L20)/(1+I20))))))</x:f>
        <x:v>0.12457047325102885</x:v>
      </x:c>
      <x:c r="X20" s="23" t="n">
        <x:f>IF(C20="","",IF(O20&lt;&gt;"Ready","Unavailable",IF(E20=3,F20*(1-MAX(0,1-(1-N20)*Settings!$H$34)/(1+I20)^M20),F20*(1-(1-U20)/(1+I20)^M20)*R20/(1+I20)*IF(ABS(1-(1-R20)*(1-L20)/(1+I20))&lt;0.000000001,AF20,(1-((1-R20)*(1-L20)/(1+I20))^AF20)/(1-(1-R20)*(1-L20)/(1+I20))))))</x:f>
        <x:v>0.04595300354366713</x:v>
      </x:c>
      <x:c r="Y20" s="23" t="n">
        <x:f>IF(C20="","",IF(O20&lt;&gt;"Ready","Unavailable",IF(E20=3,G20*INDEX('Facilities'!$I$9:$I$108,MATCH(C20,'Facilities'!$C$9:$C$108,0))*(1-MAX(0,1-(1-N20)*Settings!$H$32)/(1+I20)^M20),G20*INDEX('Facilities'!$I$9:$I$108,MATCH(C20,'Facilities'!$C$9:$C$108,0))*(1-(1-S20)/(1+I20)^M20)*P20/(1+I20)*IF(ABS(1-(1-P20)*(1-0)/(1+I20))&lt;0.000000001,AF20,(1-((1-P20)*(1-0)/(1+I20))^AF20)/(1-(1-P20)*(1-0)/(1+I20))))))</x:f>
        <x:v>0.0037208504801097392</x:v>
      </x:c>
      <x:c r="Z20" s="23" t="n">
        <x:f>IF(C20="","",IF(O20&lt;&gt;"Ready","Unavailable",IF(E20=3,G20*INDEX('Facilities'!$I$9:$I$108,MATCH(C20,'Facilities'!$C$9:$C$108,0))*(1-MAX(0,1-(1-N20)*Settings!$H$33)/(1+I20)^M20),G20*INDEX('Facilities'!$I$9:$I$108,MATCH(C20,'Facilities'!$C$9:$C$108,0))*(1-(1-T20)/(1+I20)^M20)*Q20/(1+I20)*IF(ABS(1-(1-Q20)*(1-0)/(1+I20))&lt;0.000000001,AF20,(1-((1-Q20)*(1-0)/(1+I20))^AF20)/(1-(1-Q20)*(1-0)/(1+I20))))))</x:f>
        <x:v>0.0073276748971193425</x:v>
      </x:c>
      <x:c r="AA20" s="23" t="n">
        <x:f>IF(C20="","",IF(O20&lt;&gt;"Ready","Unavailable",IF(E20=3,G20*INDEX('Facilities'!$I$9:$I$108,MATCH(C20,'Facilities'!$C$9:$C$108,0))*(1-MAX(0,1-(1-N20)*Settings!$H$34)/(1+I20)^M20),G20*INDEX('Facilities'!$I$9:$I$108,MATCH(C20,'Facilities'!$C$9:$C$108,0))*(1-(1-U20)/(1+I20)^M20)*R20/(1+I20)*IF(ABS(1-(1-R20)*(1-0)/(1+I20))&lt;0.000000001,AF20,(1-((1-R20)*(1-0)/(1+I20))^AF20)/(1-(1-R20)*(1-0)/(1+I20))))))</x:f>
        <x:v>0.002703117855509831</x:v>
      </x:c>
      <x:c r="AB20" s="23" t="n">
        <x:f>IF(C20="","",IF(O20&lt;&gt;"Ready","Unavailable",V20*Settings!$F$32+W20*Settings!$F$33+X20*Settings!$F$34))</x:f>
        <x:v>0.0799191172267947</x:v>
      </x:c>
      <x:c r="AC20" s="23" t="n">
        <x:f>IF(C20="","",IF(O20&lt;&gt;"Ready","Unavailable",Y20*Settings!$F$32+Z20*Settings!$F$33+AA20*Settings!$F$34))</x:f>
        <x:v>0.004701124542752629</x:v>
      </x:c>
      <x:c r="AD20" s="21" t="n">
        <x:f>IF(C20="","",IF(O20&lt;&gt;"Ready","Unavailable",AB20+AC20))</x:f>
        <x:v>0.08462024176954734</x:v>
      </x:c>
      <x:c r="AE20" s="17" t="n">
        <x:f>IF(C20="","",IF(OR(O20&lt;&gt;"Ready",F20=0),"Unavailable",AB20/F20))</x:f>
        <x:v>0.018804498171010518</x:v>
      </x:c>
      <x:c r="AF20" s="44" t="n">
        <x:f>IF(C20="","",IF(E20=1,1,H20))</x:f>
        <x:v>1</x:v>
      </x:c>
    </x:row>
    <x:row r="21" ht="26" customHeight="1">
      <x:c r="A21" s="1"/>
      <x:c r="B21" s="1"/>
      <x:c r="C21" s="9" t="str">
        <x:f>IF(Facilities!C21="","",Facilities!C21)</x:f>
        <x:v>F013</x:v>
      </x:c>
      <x:c r="D21" s="9" t="str">
        <x:f>IF(C21="","",INDEX('Facilities'!$D$9:$D$108,MATCH(C21,'Facilities'!$C$9:$C$108,0)))</x:f>
        <x:v>B007</x:v>
      </x:c>
      <x:c r="E21" s="9" t="n">
        <x:f>IF(C21="","",INDEX('Facilities'!$AD$9:$AD$108,MATCH(C21,'Facilities'!$C$9:$C$108,0)))</x:f>
        <x:v>1</x:v>
      </x:c>
      <x:c r="F21" s="23" t="n">
        <x:f>IF(C21="","",INDEX('Facilities'!$AA$9:$AA$108,MATCH(C21,'Facilities'!$C$9:$C$108,0)))</x:f>
        <x:v>7.1</x:v>
      </x:c>
      <x:c r="G21" s="23" t="n">
        <x:f>IF(C21="","",INDEX('Facilities'!$AB$9:$AB$108,MATCH(C21,'Facilities'!$C$9:$C$108,0)))</x:f>
        <x:v>1.5</x:v>
      </x:c>
      <x:c r="H21" s="42" t="n">
        <x:f>IF(C21="","",INDEX('Facilities'!$J$9:$J$108,MATCH(C21,'Facilities'!$C$9:$C$108,0)))</x:f>
        <x:v>6</x:v>
      </x:c>
      <x:c r="I21" s="30" t="n">
        <x:f>IF(C21="","",INDEX('Facilities'!$K$9:$K$108,MATCH(C21,'Facilities'!$C$9:$C$108,0)))</x:f>
        <x:v>0.08</x:v>
      </x:c>
      <x:c r="J21" s="30" t="n">
        <x:f>IF(C21="","",INDEX('Borrowers'!$P$9:$P$108,MATCH(D21,'Borrowers'!$C$9:$C$108,0)))</x:f>
        <x:v>0.012</x:v>
      </x:c>
      <x:c r="K21" s="30" t="n">
        <x:f>IF(C21="","",INDEX('Borrowers'!$Q$9:$Q$108,MATCH(D21,'Borrowers'!$C$9:$C$108,0)))</x:f>
        <x:v>0.32</x:v>
      </x:c>
      <x:c r="L21" s="30" t="n">
        <x:f>IF(C21="","",INDEX('Facilities'!$R$9:$R$108,MATCH(C21,'Facilities'!$C$9:$C$108,0)))</x:f>
        <x:v>0.12</x:v>
      </x:c>
      <x:c r="M21" s="42" t="n">
        <x:f>IF(C21="","",INDEX('Facilities'!$AK$9:$AK$108,MATCH(C21,'Facilities'!$C$9:$C$108,0)))</x:f>
        <x:v>2</x:v>
      </x:c>
      <x:c r="N21" s="30" t="n">
        <x:f>IF(C21="","",INDEX('Facilities'!$AL$9:$AL$108,MATCH(C21,'Facilities'!$C$9:$C$108,0)))</x:f>
        <x:v>0.55</x:v>
      </x:c>
      <x:c r="O21" s="23" t="str">
        <x:f>IF(C21="","",IF(AND(INDEX('Facilities'!$AF$9:$AF$108,MATCH(C21,'Facilities'!$C$9:$C$108,0))="Ready",Settings!$F$36="Ready"),"Ready","Review ECL inputs"))</x:f>
        <x:v>Ready</x:v>
      </x:c>
      <x:c r="P21" s="30" t="n">
        <x:f>IF(C21="","",MIN(1,J21*Settings!$G$32))</x:f>
        <x:v>0.012</x:v>
      </x:c>
      <x:c r="Q21" s="30" t="n">
        <x:f>IF(C21="","",MIN(1,J21*Settings!$G$33))</x:f>
        <x:v>0.0216</x:v>
      </x:c>
      <x:c r="R21" s="30" t="n">
        <x:f>IF(C21="","",MIN(1,J21*Settings!$G$34))</x:f>
        <x:v>0.009000000000000001</x:v>
      </x:c>
      <x:c r="S21" s="30" t="n">
        <x:f>IF(C21="","",MIN(1,K21*Settings!$H$32))</x:f>
        <x:v>0.32</x:v>
      </x:c>
      <x:c r="T21" s="30" t="n">
        <x:f>IF(C21="","",MIN(1,K21*Settings!$H$33))</x:f>
        <x:v>0.368</x:v>
      </x:c>
      <x:c r="U21" s="30" t="n">
        <x:f>IF(C21="","",MIN(1,K21*Settings!$H$34))</x:f>
        <x:v>0.304</x:v>
      </x:c>
      <x:c r="V21" s="23" t="n">
        <x:f>IF(C21="","",IF(O21&lt;&gt;"Ready","Unavailable",IF(E21=3,F21*(1-MAX(0,1-(1-N21)*Settings!$H$32)/(1+I21)^M21),F21*(1-(1-S21)/(1+I21)^M21)*P21/(1+I21)*IF(ABS(1-(1-P21)*(1-L21)/(1+I21))&lt;0.000000001,AF21,(1-((1-P21)*(1-L21)/(1+I21))^AF21)/(1-(1-P21)*(1-L21)/(1+I21))))))</x:f>
        <x:v>0.032897424173144334</x:v>
      </x:c>
      <x:c r="W21" s="23" t="n">
        <x:f>IF(C21="","",IF(O21&lt;&gt;"Ready","Unavailable",IF(E21=3,F21*(1-MAX(0,1-(1-N21)*Settings!$H$33)/(1+I21)^M21),F21*(1-(1-T21)/(1+I21)^M21)*Q21/(1+I21)*IF(ABS(1-(1-Q21)*(1-L21)/(1+I21))&lt;0.000000001,AF21,(1-((1-Q21)*(1-L21)/(1+I21))^AF21)/(1-(1-Q21)*(1-L21)/(1+I21))))))</x:f>
        <x:v>0.06505898491083677</x:v>
      </x:c>
      <x:c r="X21" s="23" t="n">
        <x:f>IF(C21="","",IF(O21&lt;&gt;"Ready","Unavailable",IF(E21=3,F21*(1-MAX(0,1-(1-N21)*Settings!$H$34)/(1+I21)^M21),F21*(1-(1-U21)/(1+I21)^M21)*R21/(1+I21)*IF(ABS(1-(1-R21)*(1-L21)/(1+I21))&lt;0.000000001,AF21,(1-((1-R21)*(1-L21)/(1+I21))^AF21)/(1-(1-R21)*(1-L21)/(1+I21))))))</x:f>
        <x:v>0.023861454046639235</x:v>
      </x:c>
      <x:c r="Y21" s="23" t="n">
        <x:f>IF(C21="","",IF(O21&lt;&gt;"Ready","Unavailable",IF(E21=3,G21*INDEX('Facilities'!$I$9:$I$108,MATCH(C21,'Facilities'!$C$9:$C$108,0))*(1-MAX(0,1-(1-N21)*Settings!$H$32)/(1+I21)^M21),G21*INDEX('Facilities'!$I$9:$I$108,MATCH(C21,'Facilities'!$C$9:$C$108,0))*(1-(1-S21)/(1+I21)^M21)*P21/(1+I21)*IF(ABS(1-(1-P21)*(1-0)/(1+I21))&lt;0.000000001,AF21,(1-((1-P21)*(1-0)/(1+I21))^AF21)/(1-(1-P21)*(1-0)/(1+I21))))))</x:f>
        <x:v>0.0034750800182898945</x:v>
      </x:c>
      <x:c r="Z21" s="23" t="n">
        <x:f>IF(C21="","",IF(O21&lt;&gt;"Ready","Unavailable",IF(E21=3,G21*INDEX('Facilities'!$I$9:$I$108,MATCH(C21,'Facilities'!$C$9:$C$108,0))*(1-MAX(0,1-(1-N21)*Settings!$H$33)/(1+I21)^M21),G21*INDEX('Facilities'!$I$9:$I$108,MATCH(C21,'Facilities'!$C$9:$C$108,0))*(1-(1-T21)/(1+I21)^M21)*Q21/(1+I21)*IF(ABS(1-(1-Q21)*(1-0)/(1+I21))&lt;0.000000001,AF21,(1-((1-Q21)*(1-0)/(1+I21))^AF21)/(1-(1-Q21)*(1-0)/(1+I21))))))</x:f>
        <x:v>0.006872427983539095</x:v>
      </x:c>
      <x:c r="AA21" s="23" t="n">
        <x:f>IF(C21="","",IF(O21&lt;&gt;"Ready","Unavailable",IF(E21=3,G21*INDEX('Facilities'!$I$9:$I$108,MATCH(C21,'Facilities'!$C$9:$C$108,0))*(1-MAX(0,1-(1-N21)*Settings!$H$34)/(1+I21)^M21),G21*INDEX('Facilities'!$I$9:$I$108,MATCH(C21,'Facilities'!$C$9:$C$108,0))*(1-(1-U21)/(1+I21)^M21)*R21/(1+I21)*IF(ABS(1-(1-R21)*(1-0)/(1+I21))&lt;0.000000001,AF21,(1-((1-R21)*(1-0)/(1+I21))^AF21)/(1-(1-R21)*(1-0)/(1+I21))))))</x:f>
        <x:v>0.002520576131687243</x:v>
      </x:c>
      <x:c r="AB21" s="23" t="n">
        <x:f>IF(C21="","",IF(O21&lt;&gt;"Ready","Unavailable",V21*Settings!$F$32+W21*Settings!$F$33+X21*Settings!$F$34))</x:f>
        <x:v>0.04164229538180155</x:v>
      </x:c>
      <x:c r="AC21" s="23" t="n">
        <x:f>IF(C21="","",IF(O21&lt;&gt;"Ready","Unavailable",Y21*Settings!$F$32+Z21*Settings!$F$33+AA21*Settings!$F$34))</x:f>
        <x:v>0.004398834019204389</x:v>
      </x:c>
      <x:c r="AD21" s="21" t="n">
        <x:f>IF(C21="","",IF(O21&lt;&gt;"Ready","Unavailable",AB21+AC21))</x:f>
        <x:v>0.04604112940100594</x:v>
      </x:c>
      <x:c r="AE21" s="17" t="n">
        <x:f>IF(C21="","",IF(OR(O21&lt;&gt;"Ready",F21=0),"Unavailable",AB21/F21))</x:f>
        <x:v>0.005865112025605853</x:v>
      </x:c>
      <x:c r="AF21" s="44" t="n">
        <x:f>IF(C21="","",IF(E21=1,1,H21))</x:f>
        <x:v>1</x:v>
      </x:c>
    </x:row>
    <x:row r="22" ht="26" customHeight="1">
      <x:c r="A22" s="1"/>
      <x:c r="B22" s="1"/>
      <x:c r="C22" s="9" t="str">
        <x:f>IF(Facilities!C22="","",Facilities!C22)</x:f>
        <x:v>F014</x:v>
      </x:c>
      <x:c r="D22" s="9" t="str">
        <x:f>IF(C22="","",INDEX('Facilities'!$D$9:$D$108,MATCH(C22,'Facilities'!$C$9:$C$108,0)))</x:f>
        <x:v>B007</x:v>
      </x:c>
      <x:c r="E22" s="9" t="n">
        <x:f>IF(C22="","",INDEX('Facilities'!$AD$9:$AD$108,MATCH(C22,'Facilities'!$C$9:$C$108,0)))</x:f>
        <x:v>1</x:v>
      </x:c>
      <x:c r="F22" s="23" t="n">
        <x:f>IF(C22="","",INDEX('Facilities'!$AA$9:$AA$108,MATCH(C22,'Facilities'!$C$9:$C$108,0)))</x:f>
        <x:v>4.6</x:v>
      </x:c>
      <x:c r="G22" s="23" t="n">
        <x:f>IF(C22="","",INDEX('Facilities'!$AB$9:$AB$108,MATCH(C22,'Facilities'!$C$9:$C$108,0)))</x:f>
        <x:v>0.5</x:v>
      </x:c>
      <x:c r="H22" s="42" t="n">
        <x:f>IF(C22="","",INDEX('Facilities'!$J$9:$J$108,MATCH(C22,'Facilities'!$C$9:$C$108,0)))</x:f>
        <x:v>6</x:v>
      </x:c>
      <x:c r="I22" s="30" t="n">
        <x:f>IF(C22="","",INDEX('Facilities'!$K$9:$K$108,MATCH(C22,'Facilities'!$C$9:$C$108,0)))</x:f>
        <x:v>0.08</x:v>
      </x:c>
      <x:c r="J22" s="30" t="n">
        <x:f>IF(C22="","",INDEX('Borrowers'!$P$9:$P$108,MATCH(D22,'Borrowers'!$C$9:$C$108,0)))</x:f>
        <x:v>0.012</x:v>
      </x:c>
      <x:c r="K22" s="30" t="n">
        <x:f>IF(C22="","",INDEX('Borrowers'!$Q$9:$Q$108,MATCH(D22,'Borrowers'!$C$9:$C$108,0)))</x:f>
        <x:v>0.32</x:v>
      </x:c>
      <x:c r="L22" s="30" t="n">
        <x:f>IF(C22="","",INDEX('Facilities'!$R$9:$R$108,MATCH(C22,'Facilities'!$C$9:$C$108,0)))</x:f>
        <x:v>0.12</x:v>
      </x:c>
      <x:c r="M22" s="42" t="n">
        <x:f>IF(C22="","",INDEX('Facilities'!$AK$9:$AK$108,MATCH(C22,'Facilities'!$C$9:$C$108,0)))</x:f>
        <x:v>2</x:v>
      </x:c>
      <x:c r="N22" s="30" t="n">
        <x:f>IF(C22="","",INDEX('Facilities'!$AL$9:$AL$108,MATCH(C22,'Facilities'!$C$9:$C$108,0)))</x:f>
        <x:v>0.55</x:v>
      </x:c>
      <x:c r="O22" s="23" t="str">
        <x:f>IF(C22="","",IF(AND(INDEX('Facilities'!$AF$9:$AF$108,MATCH(C22,'Facilities'!$C$9:$C$108,0))="Ready",Settings!$F$36="Ready"),"Ready","Review ECL inputs"))</x:f>
        <x:v>Ready</x:v>
      </x:c>
      <x:c r="P22" s="30" t="n">
        <x:f>IF(C22="","",MIN(1,J22*Settings!$G$32))</x:f>
        <x:v>0.012</x:v>
      </x:c>
      <x:c r="Q22" s="30" t="n">
        <x:f>IF(C22="","",MIN(1,J22*Settings!$G$33))</x:f>
        <x:v>0.0216</x:v>
      </x:c>
      <x:c r="R22" s="30" t="n">
        <x:f>IF(C22="","",MIN(1,J22*Settings!$G$34))</x:f>
        <x:v>0.009000000000000001</x:v>
      </x:c>
      <x:c r="S22" s="30" t="n">
        <x:f>IF(C22="","",MIN(1,K22*Settings!$H$32))</x:f>
        <x:v>0.32</x:v>
      </x:c>
      <x:c r="T22" s="30" t="n">
        <x:f>IF(C22="","",MIN(1,K22*Settings!$H$33))</x:f>
        <x:v>0.368</x:v>
      </x:c>
      <x:c r="U22" s="30" t="n">
        <x:f>IF(C22="","",MIN(1,K22*Settings!$H$34))</x:f>
        <x:v>0.304</x:v>
      </x:c>
      <x:c r="V22" s="23" t="n">
        <x:f>IF(C22="","",IF(O22&lt;&gt;"Ready","Unavailable",IF(E22=3,F22*(1-MAX(0,1-(1-N22)*Settings!$H$32)/(1+I22)^M22),F22*(1-(1-S22)/(1+I22)^M22)*P22/(1+I22)*IF(ABS(1-(1-P22)*(1-L22)/(1+I22))&lt;0.000000001,AF22,(1-((1-P22)*(1-L22)/(1+I22))^AF22)/(1-(1-P22)*(1-L22)/(1+I22))))))</x:f>
        <x:v>0.021313824112178022</x:v>
      </x:c>
      <x:c r="W22" s="23" t="n">
        <x:f>IF(C22="","",IF(O22&lt;&gt;"Ready","Unavailable",IF(E22=3,F22*(1-MAX(0,1-(1-N22)*Settings!$H$33)/(1+I22)^M22),F22*(1-(1-T22)/(1+I22)^M22)*Q22/(1+I22)*IF(ABS(1-(1-Q22)*(1-L22)/(1+I22))&lt;0.000000001,AF22,(1-((1-Q22)*(1-L22)/(1+I22))^AF22)/(1-(1-Q22)*(1-L22)/(1+I22))))))</x:f>
        <x:v>0.042150891632373115</x:v>
      </x:c>
      <x:c r="X22" s="23" t="n">
        <x:f>IF(C22="","",IF(O22&lt;&gt;"Ready","Unavailable",IF(E22=3,F22*(1-MAX(0,1-(1-N22)*Settings!$H$34)/(1+I22)^M22),F22*(1-(1-U22)/(1+I22)^M22)*R22/(1+I22)*IF(ABS(1-(1-R22)*(1-L22)/(1+I22))&lt;0.000000001,AF22,(1-((1-R22)*(1-L22)/(1+I22))^AF22)/(1-(1-R22)*(1-L22)/(1+I22))))))</x:f>
        <x:v>0.015459533607681758</x:v>
      </x:c>
      <x:c r="Y22" s="23" t="n">
        <x:f>IF(C22="","",IF(O22&lt;&gt;"Ready","Unavailable",IF(E22=3,G22*INDEX('Facilities'!$I$9:$I$108,MATCH(C22,'Facilities'!$C$9:$C$108,0))*(1-MAX(0,1-(1-N22)*Settings!$H$32)/(1+I22)^M22),G22*INDEX('Facilities'!$I$9:$I$108,MATCH(C22,'Facilities'!$C$9:$C$108,0))*(1-(1-S22)/(1+I22)^M22)*P22/(1+I22)*IF(ABS(1-(1-P22)*(1-0)/(1+I22))&lt;0.000000001,AF22,(1-((1-P22)*(1-0)/(1+I22))^AF22)/(1-(1-P22)*(1-0)/(1+I22))))))</x:f>
        <x:v>0.0011583600060966319</x:v>
      </x:c>
      <x:c r="Z22" s="23" t="n">
        <x:f>IF(C22="","",IF(O22&lt;&gt;"Ready","Unavailable",IF(E22=3,G22*INDEX('Facilities'!$I$9:$I$108,MATCH(C22,'Facilities'!$C$9:$C$108,0))*(1-MAX(0,1-(1-N22)*Settings!$H$33)/(1+I22)^M22),G22*INDEX('Facilities'!$I$9:$I$108,MATCH(C22,'Facilities'!$C$9:$C$108,0))*(1-(1-T22)/(1+I22)^M22)*Q22/(1+I22)*IF(ABS(1-(1-Q22)*(1-0)/(1+I22))&lt;0.000000001,AF22,(1-((1-Q22)*(1-0)/(1+I22))^AF22)/(1-(1-Q22)*(1-0)/(1+I22))))))</x:f>
        <x:v>0.0022908093278463655</x:v>
      </x:c>
      <x:c r="AA22" s="23" t="n">
        <x:f>IF(C22="","",IF(O22&lt;&gt;"Ready","Unavailable",IF(E22=3,G22*INDEX('Facilities'!$I$9:$I$108,MATCH(C22,'Facilities'!$C$9:$C$108,0))*(1-MAX(0,1-(1-N22)*Settings!$H$34)/(1+I22)^M22),G22*INDEX('Facilities'!$I$9:$I$108,MATCH(C22,'Facilities'!$C$9:$C$108,0))*(1-(1-U22)/(1+I22)^M22)*R22/(1+I22)*IF(ABS(1-(1-R22)*(1-0)/(1+I22))&lt;0.000000001,AF22,(1-((1-R22)*(1-0)/(1+I22))^AF22)/(1-(1-R22)*(1-0)/(1+I22))))))</x:f>
        <x:v>0.0008401920438957477</x:v>
      </x:c>
      <x:c r="AB22" s="23" t="n">
        <x:f>IF(C22="","",IF(O22&lt;&gt;"Ready","Unavailable",V22*Settings!$F$32+W22*Settings!$F$33+X22*Settings!$F$34))</x:f>
        <x:v>0.026979515317786924</x:v>
      </x:c>
      <x:c r="AC22" s="23" t="n">
        <x:f>IF(C22="","",IF(O22&lt;&gt;"Ready","Unavailable",Y22*Settings!$F$32+Z22*Settings!$F$33+AA22*Settings!$F$34))</x:f>
        <x:v>0.0014662780064014635</x:v>
      </x:c>
      <x:c r="AD22" s="21" t="n">
        <x:f>IF(C22="","",IF(O22&lt;&gt;"Ready","Unavailable",AB22+AC22))</x:f>
        <x:v>0.02844579332418839</x:v>
      </x:c>
      <x:c r="AE22" s="17" t="n">
        <x:f>IF(C22="","",IF(OR(O22&lt;&gt;"Ready",F22=0),"Unavailable",AB22/F22))</x:f>
        <x:v>0.005865112025605854</x:v>
      </x:c>
      <x:c r="AF22" s="44" t="n">
        <x:f>IF(C22="","",IF(E22=1,1,H22))</x:f>
        <x:v>1</x:v>
      </x:c>
    </x:row>
    <x:row r="23" ht="26" customHeight="1">
      <x:c r="A23" s="1"/>
      <x:c r="B23" s="1"/>
      <x:c r="C23" s="9" t="str">
        <x:f>IF(Facilities!C23="","",Facilities!C23)</x:f>
        <x:v>F015</x:v>
      </x:c>
      <x:c r="D23" s="9" t="str">
        <x:f>IF(C23="","",INDEX('Facilities'!$D$9:$D$108,MATCH(C23,'Facilities'!$C$9:$C$108,0)))</x:f>
        <x:v>B008</x:v>
      </x:c>
      <x:c r="E23" s="9" t="n">
        <x:f>IF(C23="","",INDEX('Facilities'!$AD$9:$AD$108,MATCH(C23,'Facilities'!$C$9:$C$108,0)))</x:f>
        <x:v>1</x:v>
      </x:c>
      <x:c r="F23" s="23" t="n">
        <x:f>IF(C23="","",INDEX('Facilities'!$AA$9:$AA$108,MATCH(C23,'Facilities'!$C$9:$C$108,0)))</x:f>
        <x:v>7.449999999999999</x:v>
      </x:c>
      <x:c r="G23" s="23" t="n">
        <x:f>IF(C23="","",INDEX('Facilities'!$AB$9:$AB$108,MATCH(C23,'Facilities'!$C$9:$C$108,0)))</x:f>
        <x:v>1.5</x:v>
      </x:c>
      <x:c r="H23" s="42" t="n">
        <x:f>IF(C23="","",INDEX('Facilities'!$J$9:$J$108,MATCH(C23,'Facilities'!$C$9:$C$108,0)))</x:f>
        <x:v>12</x:v>
      </x:c>
      <x:c r="I23" s="30" t="n">
        <x:f>IF(C23="","",INDEX('Facilities'!$K$9:$K$108,MATCH(C23,'Facilities'!$C$9:$C$108,0)))</x:f>
        <x:v>0.08</x:v>
      </x:c>
      <x:c r="J23" s="30" t="n">
        <x:f>IF(C23="","",INDEX('Borrowers'!$P$9:$P$108,MATCH(D23,'Borrowers'!$C$9:$C$108,0)))</x:f>
        <x:v>0.018000000000000002</x:v>
      </x:c>
      <x:c r="K23" s="30" t="n">
        <x:f>IF(C23="","",INDEX('Borrowers'!$Q$9:$Q$108,MATCH(D23,'Borrowers'!$C$9:$C$108,0)))</x:f>
        <x:v>0.36000000000000004</x:v>
      </x:c>
      <x:c r="L23" s="30" t="n">
        <x:f>IF(C23="","",INDEX('Facilities'!$R$9:$R$108,MATCH(C23,'Facilities'!$C$9:$C$108,0)))</x:f>
        <x:v>0.12</x:v>
      </x:c>
      <x:c r="M23" s="42" t="n">
        <x:f>IF(C23="","",INDEX('Facilities'!$AK$9:$AK$108,MATCH(C23,'Facilities'!$C$9:$C$108,0)))</x:f>
        <x:v>2</x:v>
      </x:c>
      <x:c r="N23" s="30" t="n">
        <x:f>IF(C23="","",INDEX('Facilities'!$AL$9:$AL$108,MATCH(C23,'Facilities'!$C$9:$C$108,0)))</x:f>
        <x:v>0.55</x:v>
      </x:c>
      <x:c r="O23" s="23" t="str">
        <x:f>IF(C23="","",IF(AND(INDEX('Facilities'!$AF$9:$AF$108,MATCH(C23,'Facilities'!$C$9:$C$108,0))="Ready",Settings!$F$36="Ready"),"Ready","Review ECL inputs"))</x:f>
        <x:v>Ready</x:v>
      </x:c>
      <x:c r="P23" s="30" t="n">
        <x:f>IF(C23="","",MIN(1,J23*Settings!$G$32))</x:f>
        <x:v>0.018000000000000002</x:v>
      </x:c>
      <x:c r="Q23" s="30" t="n">
        <x:f>IF(C23="","",MIN(1,J23*Settings!$G$33))</x:f>
        <x:v>0.032400000000000005</x:v>
      </x:c>
      <x:c r="R23" s="30" t="n">
        <x:f>IF(C23="","",MIN(1,J23*Settings!$G$34))</x:f>
        <x:v>0.013500000000000002</x:v>
      </x:c>
      <x:c r="S23" s="30" t="n">
        <x:f>IF(C23="","",MIN(1,K23*Settings!$H$32))</x:f>
        <x:v>0.36000000000000004</x:v>
      </x:c>
      <x:c r="T23" s="30" t="n">
        <x:f>IF(C23="","",MIN(1,K23*Settings!$H$33))</x:f>
        <x:v>0.41400000000000003</x:v>
      </x:c>
      <x:c r="U23" s="30" t="n">
        <x:f>IF(C23="","",MIN(1,K23*Settings!$H$34))</x:f>
        <x:v>0.342</x:v>
      </x:c>
      <x:c r="V23" s="23" t="n">
        <x:f>IF(C23="","",IF(O23&lt;&gt;"Ready","Unavailable",IF(E23=3,F23*(1-MAX(0,1-(1-N23)*Settings!$H$32)/(1+I23)^M23),F23*(1-(1-S23)/(1+I23)^M23)*P23/(1+I23)*IF(ABS(1-(1-P23)*(1-L23)/(1+I23))&lt;0.000000001,AF23,(1-((1-P23)*(1-L23)/(1+I23))^AF23)/(1-(1-P23)*(1-L23)/(1+I23))))))</x:f>
        <x:v>0.05603680841335163</x:v>
      </x:c>
      <x:c r="W23" s="23" t="n">
        <x:f>IF(C23="","",IF(O23&lt;&gt;"Ready","Unavailable",IF(E23=3,F23*(1-MAX(0,1-(1-N23)*Settings!$H$33)/(1+I23)^M23),F23*(1-(1-T23)/(1+I23)^M23)*Q23/(1+I23)*IF(ABS(1-(1-Q23)*(1-L23)/(1+I23))&lt;0.000000001,AF23,(1-((1-Q23)*(1-L23)/(1+I23))^AF23)/(1-(1-Q23)*(1-L23)/(1+I23))))))</x:f>
        <x:v>0.11121347736625516</x:v>
      </x:c>
      <x:c r="X23" s="23" t="n">
        <x:f>IF(C23="","",IF(O23&lt;&gt;"Ready","Unavailable",IF(E23=3,F23*(1-MAX(0,1-(1-N23)*Settings!$H$34)/(1+I23)^M23),F23*(1-(1-U23)/(1+I23)^M23)*R23/(1+I23)*IF(ABS(1-(1-R23)*(1-L23)/(1+I23))&lt;0.000000001,AF23,(1-((1-R23)*(1-L23)/(1+I23))^AF23)/(1-(1-R23)*(1-L23)/(1+I23))))))</x:f>
        <x:v>0.04059049211248287</x:v>
      </x:c>
      <x:c r="Y23" s="23" t="n">
        <x:f>IF(C23="","",IF(O23&lt;&gt;"Ready","Unavailable",IF(E23=3,G23*INDEX('Facilities'!$I$9:$I$108,MATCH(C23,'Facilities'!$C$9:$C$108,0))*(1-MAX(0,1-(1-N23)*Settings!$H$32)/(1+I23)^M23),G23*INDEX('Facilities'!$I$9:$I$108,MATCH(C23,'Facilities'!$C$9:$C$108,0))*(1-(1-S23)/(1+I23)^M23)*P23/(1+I23)*IF(ABS(1-(1-P23)*(1-0)/(1+I23))&lt;0.000000001,AF23,(1-((1-P23)*(1-0)/(1+I23))^AF23)/(1-(1-P23)*(1-0)/(1+I23))))))</x:f>
        <x:v>0.005641289437585736</x:v>
      </x:c>
      <x:c r="Z23" s="23" t="n">
        <x:f>IF(C23="","",IF(O23&lt;&gt;"Ready","Unavailable",IF(E23=3,G23*INDEX('Facilities'!$I$9:$I$108,MATCH(C23,'Facilities'!$C$9:$C$108,0))*(1-MAX(0,1-(1-N23)*Settings!$H$33)/(1+I23)^M23),G23*INDEX('Facilities'!$I$9:$I$108,MATCH(C23,'Facilities'!$C$9:$C$108,0))*(1-(1-T23)/(1+I23)^M23)*Q23/(1+I23)*IF(ABS(1-(1-Q23)*(1-0)/(1+I23))&lt;0.000000001,AF23,(1-((1-Q23)*(1-0)/(1+I23))^AF23)/(1-(1-Q23)*(1-0)/(1+I23))))))</x:f>
        <x:v>0.01119598765432099</x:v>
      </x:c>
      <x:c r="AA23" s="23" t="n">
        <x:f>IF(C23="","",IF(O23&lt;&gt;"Ready","Unavailable",IF(E23=3,G23*INDEX('Facilities'!$I$9:$I$108,MATCH(C23,'Facilities'!$C$9:$C$108,0))*(1-MAX(0,1-(1-N23)*Settings!$H$34)/(1+I23)^M23),G23*INDEX('Facilities'!$I$9:$I$108,MATCH(C23,'Facilities'!$C$9:$C$108,0))*(1-(1-U23)/(1+I23)^M23)*R23/(1+I23)*IF(ABS(1-(1-R23)*(1-0)/(1+I23))&lt;0.000000001,AF23,(1-((1-R23)*(1-0)/(1+I23))^AF23)/(1-(1-R23)*(1-0)/(1+I23))))))</x:f>
        <x:v>0.004086291152263376</x:v>
      </x:c>
      <x:c r="AB23" s="23" t="n">
        <x:f>IF(C23="","",IF(O23&lt;&gt;"Ready","Unavailable",V23*Settings!$F$32+W23*Settings!$F$33+X23*Settings!$F$34))</x:f>
        <x:v>0.07104517746913581</x:v>
      </x:c>
      <x:c r="AC23" s="23" t="n">
        <x:f>IF(C23="","",IF(O23&lt;&gt;"Ready","Unavailable",Y23*Settings!$F$32+Z23*Settings!$F$33+AA23*Settings!$F$34))</x:f>
        <x:v>0.0071521990740740764</x:v>
      </x:c>
      <x:c r="AD23" s="21" t="n">
        <x:f>IF(C23="","",IF(O23&lt;&gt;"Ready","Unavailable",AB23+AC23))</x:f>
        <x:v>0.07819737654320989</x:v>
      </x:c>
      <x:c r="AE23" s="17" t="n">
        <x:f>IF(C23="","",IF(OR(O23&lt;&gt;"Ready",F23=0),"Unavailable",AB23/F23))</x:f>
        <x:v>0.009536265432098769</x:v>
      </x:c>
      <x:c r="AF23" s="44" t="n">
        <x:f>IF(C23="","",IF(E23=1,1,H23))</x:f>
        <x:v>1</x:v>
      </x:c>
    </x:row>
    <x:row r="24" ht="26" customHeight="1">
      <x:c r="A24" s="1"/>
      <x:c r="B24" s="1"/>
      <x:c r="C24" s="9" t="str">
        <x:f>IF(Facilities!C24="","",Facilities!C24)</x:f>
        <x:v>F016</x:v>
      </x:c>
      <x:c r="D24" s="9" t="str">
        <x:f>IF(C24="","",INDEX('Facilities'!$D$9:$D$108,MATCH(C24,'Facilities'!$C$9:$C$108,0)))</x:f>
        <x:v>B008</x:v>
      </x:c>
      <x:c r="E24" s="9" t="n">
        <x:f>IF(C24="","",INDEX('Facilities'!$AD$9:$AD$108,MATCH(C24,'Facilities'!$C$9:$C$108,0)))</x:f>
        <x:v>1</x:v>
      </x:c>
      <x:c r="F24" s="23" t="n">
        <x:f>IF(C24="","",INDEX('Facilities'!$AA$9:$AA$108,MATCH(C24,'Facilities'!$C$9:$C$108,0)))</x:f>
        <x:v>4.949999999999999</x:v>
      </x:c>
      <x:c r="G24" s="23" t="n">
        <x:f>IF(C24="","",INDEX('Facilities'!$AB$9:$AB$108,MATCH(C24,'Facilities'!$C$9:$C$108,0)))</x:f>
        <x:v>0.5</x:v>
      </x:c>
      <x:c r="H24" s="42" t="n">
        <x:f>IF(C24="","",INDEX('Facilities'!$J$9:$J$108,MATCH(C24,'Facilities'!$C$9:$C$108,0)))</x:f>
        <x:v>12</x:v>
      </x:c>
      <x:c r="I24" s="30" t="n">
        <x:f>IF(C24="","",INDEX('Facilities'!$K$9:$K$108,MATCH(C24,'Facilities'!$C$9:$C$108,0)))</x:f>
        <x:v>0.08</x:v>
      </x:c>
      <x:c r="J24" s="30" t="n">
        <x:f>IF(C24="","",INDEX('Borrowers'!$P$9:$P$108,MATCH(D24,'Borrowers'!$C$9:$C$108,0)))</x:f>
        <x:v>0.018000000000000002</x:v>
      </x:c>
      <x:c r="K24" s="30" t="n">
        <x:f>IF(C24="","",INDEX('Borrowers'!$Q$9:$Q$108,MATCH(D24,'Borrowers'!$C$9:$C$108,0)))</x:f>
        <x:v>0.36000000000000004</x:v>
      </x:c>
      <x:c r="L24" s="30" t="n">
        <x:f>IF(C24="","",INDEX('Facilities'!$R$9:$R$108,MATCH(C24,'Facilities'!$C$9:$C$108,0)))</x:f>
        <x:v>0.12</x:v>
      </x:c>
      <x:c r="M24" s="42" t="n">
        <x:f>IF(C24="","",INDEX('Facilities'!$AK$9:$AK$108,MATCH(C24,'Facilities'!$C$9:$C$108,0)))</x:f>
        <x:v>2</x:v>
      </x:c>
      <x:c r="N24" s="30" t="n">
        <x:f>IF(C24="","",INDEX('Facilities'!$AL$9:$AL$108,MATCH(C24,'Facilities'!$C$9:$C$108,0)))</x:f>
        <x:v>0.55</x:v>
      </x:c>
      <x:c r="O24" s="23" t="str">
        <x:f>IF(C24="","",IF(AND(INDEX('Facilities'!$AF$9:$AF$108,MATCH(C24,'Facilities'!$C$9:$C$108,0))="Ready",Settings!$F$36="Ready"),"Ready","Review ECL inputs"))</x:f>
        <x:v>Ready</x:v>
      </x:c>
      <x:c r="P24" s="30" t="n">
        <x:f>IF(C24="","",MIN(1,J24*Settings!$G$32))</x:f>
        <x:v>0.018000000000000002</x:v>
      </x:c>
      <x:c r="Q24" s="30" t="n">
        <x:f>IF(C24="","",MIN(1,J24*Settings!$G$33))</x:f>
        <x:v>0.032400000000000005</x:v>
      </x:c>
      <x:c r="R24" s="30" t="n">
        <x:f>IF(C24="","",MIN(1,J24*Settings!$G$34))</x:f>
        <x:v>0.013500000000000002</x:v>
      </x:c>
      <x:c r="S24" s="30" t="n">
        <x:f>IF(C24="","",MIN(1,K24*Settings!$H$32))</x:f>
        <x:v>0.36000000000000004</x:v>
      </x:c>
      <x:c r="T24" s="30" t="n">
        <x:f>IF(C24="","",MIN(1,K24*Settings!$H$33))</x:f>
        <x:v>0.41400000000000003</x:v>
      </x:c>
      <x:c r="U24" s="30" t="n">
        <x:f>IF(C24="","",MIN(1,K24*Settings!$H$34))</x:f>
        <x:v>0.342</x:v>
      </x:c>
      <x:c r="V24" s="23" t="n">
        <x:f>IF(C24="","",IF(O24&lt;&gt;"Ready","Unavailable",IF(E24=3,F24*(1-MAX(0,1-(1-N24)*Settings!$H$32)/(1+I24)^M24),F24*(1-(1-S24)/(1+I24)^M24)*P24/(1+I24)*IF(ABS(1-(1-P24)*(1-L24)/(1+I24))&lt;0.000000001,AF24,(1-((1-P24)*(1-L24)/(1+I24))^AF24)/(1-(1-P24)*(1-L24)/(1+I24))))))</x:f>
        <x:v>0.03723251028806585</x:v>
      </x:c>
      <x:c r="W24" s="23" t="n">
        <x:f>IF(C24="","",IF(O24&lt;&gt;"Ready","Unavailable",IF(E24=3,F24*(1-MAX(0,1-(1-N24)*Settings!$H$33)/(1+I24)^M24),F24*(1-(1-T24)/(1+I24)^M24)*Q24/(1+I24)*IF(ABS(1-(1-Q24)*(1-L24)/(1+I24))&lt;0.000000001,AF24,(1-((1-Q24)*(1-L24)/(1+I24))^AF24)/(1-(1-Q24)*(1-L24)/(1+I24))))))</x:f>
        <x:v>0.07389351851851853</x:v>
      </x:c>
      <x:c r="X24" s="23" t="n">
        <x:f>IF(C24="","",IF(O24&lt;&gt;"Ready","Unavailable",IF(E24=3,F24*(1-MAX(0,1-(1-N24)*Settings!$H$34)/(1+I24)^M24),F24*(1-(1-U24)/(1+I24)^M24)*R24/(1+I24)*IF(ABS(1-(1-R24)*(1-L24)/(1+I24))&lt;0.000000001,AF24,(1-((1-R24)*(1-L24)/(1+I24))^AF24)/(1-(1-R24)*(1-L24)/(1+I24))))))</x:f>
        <x:v>0.026969521604938273</x:v>
      </x:c>
      <x:c r="Y24" s="23" t="n">
        <x:f>IF(C24="","",IF(O24&lt;&gt;"Ready","Unavailable",IF(E24=3,G24*INDEX('Facilities'!$I$9:$I$108,MATCH(C24,'Facilities'!$C$9:$C$108,0))*(1-MAX(0,1-(1-N24)*Settings!$H$32)/(1+I24)^M24),G24*INDEX('Facilities'!$I$9:$I$108,MATCH(C24,'Facilities'!$C$9:$C$108,0))*(1-(1-S24)/(1+I24)^M24)*P24/(1+I24)*IF(ABS(1-(1-P24)*(1-0)/(1+I24))&lt;0.000000001,AF24,(1-((1-P24)*(1-0)/(1+I24))^AF24)/(1-(1-P24)*(1-0)/(1+I24))))))</x:f>
        <x:v>0.0018804298125285784</x:v>
      </x:c>
      <x:c r="Z24" s="23" t="n">
        <x:f>IF(C24="","",IF(O24&lt;&gt;"Ready","Unavailable",IF(E24=3,G24*INDEX('Facilities'!$I$9:$I$108,MATCH(C24,'Facilities'!$C$9:$C$108,0))*(1-MAX(0,1-(1-N24)*Settings!$H$33)/(1+I24)^M24),G24*INDEX('Facilities'!$I$9:$I$108,MATCH(C24,'Facilities'!$C$9:$C$108,0))*(1-(1-T24)/(1+I24)^M24)*Q24/(1+I24)*IF(ABS(1-(1-Q24)*(1-0)/(1+I24))&lt;0.000000001,AF24,(1-((1-Q24)*(1-0)/(1+I24))^AF24)/(1-(1-Q24)*(1-0)/(1+I24))))))</x:f>
        <x:v>0.0037319958847736637</x:v>
      </x:c>
      <x:c r="AA24" s="23" t="n">
        <x:f>IF(C24="","",IF(O24&lt;&gt;"Ready","Unavailable",IF(E24=3,G24*INDEX('Facilities'!$I$9:$I$108,MATCH(C24,'Facilities'!$C$9:$C$108,0))*(1-MAX(0,1-(1-N24)*Settings!$H$34)/(1+I24)^M24),G24*INDEX('Facilities'!$I$9:$I$108,MATCH(C24,'Facilities'!$C$9:$C$108,0))*(1-(1-U24)/(1+I24)^M24)*R24/(1+I24)*IF(ABS(1-(1-R24)*(1-0)/(1+I24))&lt;0.000000001,AF24,(1-((1-R24)*(1-0)/(1+I24))^AF24)/(1-(1-R24)*(1-0)/(1+I24))))))</x:f>
        <x:v>0.0013620970507544586</x:v>
      </x:c>
      <x:c r="AB24" s="23" t="n">
        <x:f>IF(C24="","",IF(O24&lt;&gt;"Ready","Unavailable",V24*Settings!$F$32+W24*Settings!$F$33+X24*Settings!$F$34))</x:f>
        <x:v>0.0472045138888889</x:v>
      </x:c>
      <x:c r="AC24" s="23" t="n">
        <x:f>IF(C24="","",IF(O24&lt;&gt;"Ready","Unavailable",Y24*Settings!$F$32+Z24*Settings!$F$33+AA24*Settings!$F$34))</x:f>
        <x:v>0.002384066358024692</x:v>
      </x:c>
      <x:c r="AD24" s="21" t="n">
        <x:f>IF(C24="","",IF(O24&lt;&gt;"Ready","Unavailable",AB24+AC24))</x:f>
        <x:v>0.04958858024691359</x:v>
      </x:c>
      <x:c r="AE24" s="17" t="n">
        <x:f>IF(C24="","",IF(OR(O24&lt;&gt;"Ready",F24=0),"Unavailable",AB24/F24))</x:f>
        <x:v>0.009536265432098769</x:v>
      </x:c>
      <x:c r="AF24" s="44" t="n">
        <x:f>IF(C24="","",IF(E24=1,1,H24))</x:f>
        <x:v>1</x:v>
      </x:c>
    </x:row>
    <x:row r="25" ht="26" customHeight="1">
      <x:c r="A25" s="1"/>
      <x:c r="B25" s="1"/>
      <x:c r="C25" s="9" t="str">
        <x:f>IF(Facilities!C25="","",Facilities!C25)</x:f>
        <x:v>F017</x:v>
      </x:c>
      <x:c r="D25" s="9" t="str">
        <x:f>IF(C25="","",INDEX('Facilities'!$D$9:$D$108,MATCH(C25,'Facilities'!$C$9:$C$108,0)))</x:f>
        <x:v>B009</x:v>
      </x:c>
      <x:c r="E25" s="9" t="n">
        <x:f>IF(C25="","",INDEX('Facilities'!$AD$9:$AD$108,MATCH(C25,'Facilities'!$C$9:$C$108,0)))</x:f>
        <x:v>2</x:v>
      </x:c>
      <x:c r="F25" s="23" t="n">
        <x:f>IF(C25="","",INDEX('Facilities'!$AA$9:$AA$108,MATCH(C25,'Facilities'!$C$9:$C$108,0)))</x:f>
        <x:v>7.8</x:v>
      </x:c>
      <x:c r="G25" s="23" t="n">
        <x:f>IF(C25="","",INDEX('Facilities'!$AB$9:$AB$108,MATCH(C25,'Facilities'!$C$9:$C$108,0)))</x:f>
        <x:v>1.5</x:v>
      </x:c>
      <x:c r="H25" s="42" t="n">
        <x:f>IF(C25="","",INDEX('Facilities'!$J$9:$J$108,MATCH(C25,'Facilities'!$C$9:$C$108,0)))</x:f>
        <x:v>8</x:v>
      </x:c>
      <x:c r="I25" s="30" t="n">
        <x:f>IF(C25="","",INDEX('Facilities'!$K$9:$K$108,MATCH(C25,'Facilities'!$C$9:$C$108,0)))</x:f>
        <x:v>0.08</x:v>
      </x:c>
      <x:c r="J25" s="30" t="n">
        <x:f>IF(C25="","",INDEX('Borrowers'!$P$9:$P$108,MATCH(D25,'Borrowers'!$C$9:$C$108,0)))</x:f>
        <x:v>0.024</x:v>
      </x:c>
      <x:c r="K25" s="30" t="n">
        <x:f>IF(C25="","",INDEX('Borrowers'!$Q$9:$Q$108,MATCH(D25,'Borrowers'!$C$9:$C$108,0)))</x:f>
        <x:v>0.4</x:v>
      </x:c>
      <x:c r="L25" s="30" t="n">
        <x:f>IF(C25="","",INDEX('Facilities'!$R$9:$R$108,MATCH(C25,'Facilities'!$C$9:$C$108,0)))</x:f>
        <x:v>0.12</x:v>
      </x:c>
      <x:c r="M25" s="42" t="n">
        <x:f>IF(C25="","",INDEX('Facilities'!$AK$9:$AK$108,MATCH(C25,'Facilities'!$C$9:$C$108,0)))</x:f>
        <x:v>2</x:v>
      </x:c>
      <x:c r="N25" s="30" t="n">
        <x:f>IF(C25="","",INDEX('Facilities'!$AL$9:$AL$108,MATCH(C25,'Facilities'!$C$9:$C$108,0)))</x:f>
        <x:v>0.55</x:v>
      </x:c>
      <x:c r="O25" s="23" t="str">
        <x:f>IF(C25="","",IF(AND(INDEX('Facilities'!$AF$9:$AF$108,MATCH(C25,'Facilities'!$C$9:$C$108,0))="Ready",Settings!$F$36="Ready"),"Ready","Review ECL inputs"))</x:f>
        <x:v>Ready</x:v>
      </x:c>
      <x:c r="P25" s="30" t="n">
        <x:f>IF(C25="","",MIN(1,J25*Settings!$G$32))</x:f>
        <x:v>0.024</x:v>
      </x:c>
      <x:c r="Q25" s="30" t="n">
        <x:f>IF(C25="","",MIN(1,J25*Settings!$G$33))</x:f>
        <x:v>0.0432</x:v>
      </x:c>
      <x:c r="R25" s="30" t="n">
        <x:f>IF(C25="","",MIN(1,J25*Settings!$G$34))</x:f>
        <x:v>0.018000000000000002</x:v>
      </x:c>
      <x:c r="S25" s="30" t="n">
        <x:f>IF(C25="","",MIN(1,K25*Settings!$H$32))</x:f>
        <x:v>0.4</x:v>
      </x:c>
      <x:c r="T25" s="30" t="n">
        <x:f>IF(C25="","",MIN(1,K25*Settings!$H$33))</x:f>
        <x:v>0.45999999999999996</x:v>
      </x:c>
      <x:c r="U25" s="30" t="n">
        <x:f>IF(C25="","",MIN(1,K25*Settings!$H$34))</x:f>
        <x:v>0.38</x:v>
      </x:c>
      <x:c r="V25" s="23" t="n">
        <x:f>IF(C25="","",IF(O25&lt;&gt;"Ready","Unavailable",IF(E25=3,F25*(1-MAX(0,1-(1-N25)*Settings!$H$32)/(1+I25)^M25),F25*(1-(1-S25)/(1+I25)^M25)*P25/(1+I25)*IF(ABS(1-(1-P25)*(1-L25)/(1+I25))&lt;0.000000001,AF25,(1-((1-P25)*(1-L25)/(1+I25))^AF25)/(1-(1-P25)*(1-L25)/(1+I25))))))</x:f>
        <x:v>0.3453364197716379</x:v>
      </x:c>
      <x:c r="W25" s="23" t="n">
        <x:f>IF(C25="","",IF(O25&lt;&gt;"Ready","Unavailable",IF(E25=3,F25*(1-MAX(0,1-(1-N25)*Settings!$H$33)/(1+I25)^M25),F25*(1-(1-T25)/(1+I25)^M25)*Q25/(1+I25)*IF(ABS(1-(1-Q25)*(1-L25)/(1+I25))&lt;0.000000001,AF25,(1-((1-Q25)*(1-L25)/(1+I25))^AF25)/(1-(1-Q25)*(1-L25)/(1+I25))))))</x:f>
        <x:v>0.656528095601819</x:v>
      </x:c>
      <x:c r="X25" s="23" t="n">
        <x:f>IF(C25="","",IF(O25&lt;&gt;"Ready","Unavailable",IF(E25=3,F25*(1-MAX(0,1-(1-N25)*Settings!$H$34)/(1+I25)^M25),F25*(1-(1-U25)/(1+I25)^M25)*R25/(1+I25)*IF(ABS(1-(1-R25)*(1-L25)/(1+I25))&lt;0.000000001,AF25,(1-((1-R25)*(1-L25)/(1+I25))^AF25)/(1-(1-R25)*(1-L25)/(1+I25))))))</x:f>
        <x:v>0.2535191593574081</x:v>
      </x:c>
      <x:c r="Y25" s="23" t="n">
        <x:f>IF(C25="","",IF(O25&lt;&gt;"Ready","Unavailable",IF(E25=3,G25*INDEX('Facilities'!$I$9:$I$108,MATCH(C25,'Facilities'!$C$9:$C$108,0))*(1-MAX(0,1-(1-N25)*Settings!$H$32)/(1+I25)^M25),G25*INDEX('Facilities'!$I$9:$I$108,MATCH(C25,'Facilities'!$C$9:$C$108,0))*(1-(1-S25)/(1+I25)^M25)*P25/(1+I25)*IF(ABS(1-(1-P25)*(1-0)/(1+I25))&lt;0.000000001,AF25,(1-((1-P25)*(1-0)/(1+I25))^AF25)/(1-(1-P25)*(1-0)/(1+I25))))))</x:f>
        <x:v>0.046658344812594565</x:v>
      </x:c>
      <x:c r="Z25" s="23" t="n">
        <x:f>IF(C25="","",IF(O25&lt;&gt;"Ready","Unavailable",IF(E25=3,G25*INDEX('Facilities'!$I$9:$I$108,MATCH(C25,'Facilities'!$C$9:$C$108,0))*(1-MAX(0,1-(1-N25)*Settings!$H$33)/(1+I25)^M25),G25*INDEX('Facilities'!$I$9:$I$108,MATCH(C25,'Facilities'!$C$9:$C$108,0))*(1-(1-T25)/(1+I25)^M25)*Q25/(1+I25)*IF(ABS(1-(1-Q25)*(1-0)/(1+I25))&lt;0.000000001,AF25,(1-((1-Q25)*(1-0)/(1+I25))^AF25)/(1-(1-Q25)*(1-0)/(1+I25))))))</x:f>
        <x:v>0.08763956165352554</x:v>
      </x:c>
      <x:c r="AA25" s="23" t="n">
        <x:f>IF(C25="","",IF(O25&lt;&gt;"Ready","Unavailable",IF(E25=3,G25*INDEX('Facilities'!$I$9:$I$108,MATCH(C25,'Facilities'!$C$9:$C$108,0))*(1-MAX(0,1-(1-N25)*Settings!$H$34)/(1+I25)^M25),G25*INDEX('Facilities'!$I$9:$I$108,MATCH(C25,'Facilities'!$C$9:$C$108,0))*(1-(1-U25)/(1+I25)^M25)*R25/(1+I25)*IF(ABS(1-(1-R25)*(1-0)/(1+I25))&lt;0.000000001,AF25,(1-((1-R25)*(1-0)/(1+I25))^AF25)/(1-(1-R25)*(1-0)/(1+I25))))))</x:f>
        <x:v>0.03438238065923592</x:v>
      </x:c>
      <x:c r="AB25" s="23" t="n">
        <x:f>IF(C25="","",IF(O25&lt;&gt;"Ready","Unavailable",V25*Settings!$F$32+W25*Settings!$F$33+X25*Settings!$F$34))</x:f>
        <x:v>0.4295121964792693</x:v>
      </x:c>
      <x:c r="AC25" s="23" t="n">
        <x:f>IF(C25="","",IF(O25&lt;&gt;"Ready","Unavailable",Y25*Settings!$F$32+Z25*Settings!$F$33+AA25*Settings!$F$34))</x:f>
        <x:v>0.05772511344953799</x:v>
      </x:c>
      <x:c r="AD25" s="21" t="n">
        <x:f>IF(C25="","",IF(O25&lt;&gt;"Ready","Unavailable",AB25+AC25))</x:f>
        <x:v>0.4872373099288073</x:v>
      </x:c>
      <x:c r="AE25" s="17" t="n">
        <x:f>IF(C25="","",IF(OR(O25&lt;&gt;"Ready",F25=0),"Unavailable",AB25/F25))</x:f>
        <x:v>0.05506566621529094</x:v>
      </x:c>
      <x:c r="AF25" s="44" t="n">
        <x:f>IF(C25="","",IF(E25=1,1,H25))</x:f>
        <x:v>8</x:v>
      </x:c>
    </x:row>
    <x:row r="26" ht="26" customHeight="1">
      <x:c r="A26" s="1"/>
      <x:c r="B26" s="1"/>
      <x:c r="C26" s="9" t="str">
        <x:f>IF(Facilities!C26="","",Facilities!C26)</x:f>
        <x:v>F018</x:v>
      </x:c>
      <x:c r="D26" s="9" t="str">
        <x:f>IF(C26="","",INDEX('Facilities'!$D$9:$D$108,MATCH(C26,'Facilities'!$C$9:$C$108,0)))</x:f>
        <x:v>B009</x:v>
      </x:c>
      <x:c r="E26" s="9" t="n">
        <x:f>IF(C26="","",INDEX('Facilities'!$AD$9:$AD$108,MATCH(C26,'Facilities'!$C$9:$C$108,0)))</x:f>
        <x:v>2</x:v>
      </x:c>
      <x:c r="F26" s="23" t="n">
        <x:f>IF(C26="","",INDEX('Facilities'!$AA$9:$AA$108,MATCH(C26,'Facilities'!$C$9:$C$108,0)))</x:f>
        <x:v>5.3</x:v>
      </x:c>
      <x:c r="G26" s="23" t="n">
        <x:f>IF(C26="","",INDEX('Facilities'!$AB$9:$AB$108,MATCH(C26,'Facilities'!$C$9:$C$108,0)))</x:f>
        <x:v>0.5</x:v>
      </x:c>
      <x:c r="H26" s="42" t="n">
        <x:f>IF(C26="","",INDEX('Facilities'!$J$9:$J$108,MATCH(C26,'Facilities'!$C$9:$C$108,0)))</x:f>
        <x:v>8</x:v>
      </x:c>
      <x:c r="I26" s="30" t="n">
        <x:f>IF(C26="","",INDEX('Facilities'!$K$9:$K$108,MATCH(C26,'Facilities'!$C$9:$C$108,0)))</x:f>
        <x:v>0.08</x:v>
      </x:c>
      <x:c r="J26" s="30" t="n">
        <x:f>IF(C26="","",INDEX('Borrowers'!$P$9:$P$108,MATCH(D26,'Borrowers'!$C$9:$C$108,0)))</x:f>
        <x:v>0.024</x:v>
      </x:c>
      <x:c r="K26" s="30" t="n">
        <x:f>IF(C26="","",INDEX('Borrowers'!$Q$9:$Q$108,MATCH(D26,'Borrowers'!$C$9:$C$108,0)))</x:f>
        <x:v>0.4</x:v>
      </x:c>
      <x:c r="L26" s="30" t="n">
        <x:f>IF(C26="","",INDEX('Facilities'!$R$9:$R$108,MATCH(C26,'Facilities'!$C$9:$C$108,0)))</x:f>
        <x:v>0.12</x:v>
      </x:c>
      <x:c r="M26" s="42" t="n">
        <x:f>IF(C26="","",INDEX('Facilities'!$AK$9:$AK$108,MATCH(C26,'Facilities'!$C$9:$C$108,0)))</x:f>
        <x:v>2</x:v>
      </x:c>
      <x:c r="N26" s="30" t="n">
        <x:f>IF(C26="","",INDEX('Facilities'!$AL$9:$AL$108,MATCH(C26,'Facilities'!$C$9:$C$108,0)))</x:f>
        <x:v>0.55</x:v>
      </x:c>
      <x:c r="O26" s="23" t="str">
        <x:f>IF(C26="","",IF(AND(INDEX('Facilities'!$AF$9:$AF$108,MATCH(C26,'Facilities'!$C$9:$C$108,0))="Ready",Settings!$F$36="Ready"),"Ready","Review ECL inputs"))</x:f>
        <x:v>Ready</x:v>
      </x:c>
      <x:c r="P26" s="30" t="n">
        <x:f>IF(C26="","",MIN(1,J26*Settings!$G$32))</x:f>
        <x:v>0.024</x:v>
      </x:c>
      <x:c r="Q26" s="30" t="n">
        <x:f>IF(C26="","",MIN(1,J26*Settings!$G$33))</x:f>
        <x:v>0.0432</x:v>
      </x:c>
      <x:c r="R26" s="30" t="n">
        <x:f>IF(C26="","",MIN(1,J26*Settings!$G$34))</x:f>
        <x:v>0.018000000000000002</x:v>
      </x:c>
      <x:c r="S26" s="30" t="n">
        <x:f>IF(C26="","",MIN(1,K26*Settings!$H$32))</x:f>
        <x:v>0.4</x:v>
      </x:c>
      <x:c r="T26" s="30" t="n">
        <x:f>IF(C26="","",MIN(1,K26*Settings!$H$33))</x:f>
        <x:v>0.45999999999999996</x:v>
      </x:c>
      <x:c r="U26" s="30" t="n">
        <x:f>IF(C26="","",MIN(1,K26*Settings!$H$34))</x:f>
        <x:v>0.38</x:v>
      </x:c>
      <x:c r="V26" s="23" t="n">
        <x:f>IF(C26="","",IF(O26&lt;&gt;"Ready","Unavailable",IF(E26=3,F26*(1-MAX(0,1-(1-N26)*Settings!$H$32)/(1+I26)^M26),F26*(1-(1-S26)/(1+I26)^M26)*P26/(1+I26)*IF(ABS(1-(1-P26)*(1-L26)/(1+I26))&lt;0.000000001,AF26,(1-((1-P26)*(1-L26)/(1+I26))^AF26)/(1-(1-P26)*(1-L26)/(1+I26))))))</x:f>
        <x:v>0.23465166984483088</x:v>
      </x:c>
      <x:c r="W26" s="23" t="n">
        <x:f>IF(C26="","",IF(O26&lt;&gt;"Ready","Unavailable",IF(E26=3,F26*(1-MAX(0,1-(1-N26)*Settings!$H$33)/(1+I26)^M26),F26*(1-(1-T26)/(1+I26)^M26)*Q26/(1+I26)*IF(ABS(1-(1-Q26)*(1-L26)/(1+I26))&lt;0.000000001,AF26,(1-((1-Q26)*(1-L26)/(1+I26))^AF26)/(1-(1-Q26)*(1-L26)/(1+I26))))))</x:f>
        <x:v>0.44610242393456934</x:v>
      </x:c>
      <x:c r="X26" s="23" t="n">
        <x:f>IF(C26="","",IF(O26&lt;&gt;"Ready","Unavailable",IF(E26=3,F26*(1-MAX(0,1-(1-N26)*Settings!$H$34)/(1+I26)^M26),F26*(1-(1-U26)/(1+I26)^M26)*R26/(1+I26)*IF(ABS(1-(1-R26)*(1-L26)/(1+I26))&lt;0.000000001,AF26,(1-((1-R26)*(1-L26)/(1+I26))^AF26)/(1-(1-R26)*(1-L26)/(1+I26))))))</x:f>
        <x:v>0.17226301853772602</x:v>
      </x:c>
      <x:c r="Y26" s="23" t="n">
        <x:f>IF(C26="","",IF(O26&lt;&gt;"Ready","Unavailable",IF(E26=3,G26*INDEX('Facilities'!$I$9:$I$108,MATCH(C26,'Facilities'!$C$9:$C$108,0))*(1-MAX(0,1-(1-N26)*Settings!$H$32)/(1+I26)^M26),G26*INDEX('Facilities'!$I$9:$I$108,MATCH(C26,'Facilities'!$C$9:$C$108,0))*(1-(1-S26)/(1+I26)^M26)*P26/(1+I26)*IF(ABS(1-(1-P26)*(1-0)/(1+I26))&lt;0.000000001,AF26,(1-((1-P26)*(1-0)/(1+I26))^AF26)/(1-(1-P26)*(1-0)/(1+I26))))))</x:f>
        <x:v>0.01555278160419819</x:v>
      </x:c>
      <x:c r="Z26" s="23" t="n">
        <x:f>IF(C26="","",IF(O26&lt;&gt;"Ready","Unavailable",IF(E26=3,G26*INDEX('Facilities'!$I$9:$I$108,MATCH(C26,'Facilities'!$C$9:$C$108,0))*(1-MAX(0,1-(1-N26)*Settings!$H$33)/(1+I26)^M26),G26*INDEX('Facilities'!$I$9:$I$108,MATCH(C26,'Facilities'!$C$9:$C$108,0))*(1-(1-T26)/(1+I26)^M26)*Q26/(1+I26)*IF(ABS(1-(1-Q26)*(1-0)/(1+I26))&lt;0.000000001,AF26,(1-((1-Q26)*(1-0)/(1+I26))^AF26)/(1-(1-Q26)*(1-0)/(1+I26))))))</x:f>
        <x:v>0.02921318721784185</x:v>
      </x:c>
      <x:c r="AA26" s="23" t="n">
        <x:f>IF(C26="","",IF(O26&lt;&gt;"Ready","Unavailable",IF(E26=3,G26*INDEX('Facilities'!$I$9:$I$108,MATCH(C26,'Facilities'!$C$9:$C$108,0))*(1-MAX(0,1-(1-N26)*Settings!$H$34)/(1+I26)^M26),G26*INDEX('Facilities'!$I$9:$I$108,MATCH(C26,'Facilities'!$C$9:$C$108,0))*(1-(1-U26)/(1+I26)^M26)*R26/(1+I26)*IF(ABS(1-(1-R26)*(1-0)/(1+I26))&lt;0.000000001,AF26,(1-((1-R26)*(1-0)/(1+I26))^AF26)/(1-(1-R26)*(1-0)/(1+I26))))))</x:f>
        <x:v>0.011460793553078644</x:v>
      </x:c>
      <x:c r="AB26" s="23" t="n">
        <x:f>IF(C26="","",IF(O26&lt;&gt;"Ready","Unavailable",V26*Settings!$F$32+W26*Settings!$F$33+X26*Settings!$F$34))</x:f>
        <x:v>0.29184803094104195</x:v>
      </x:c>
      <x:c r="AC26" s="23" t="n">
        <x:f>IF(C26="","",IF(O26&lt;&gt;"Ready","Unavailable",Y26*Settings!$F$32+Z26*Settings!$F$33+AA26*Settings!$F$34))</x:f>
        <x:v>0.01924170448317933</x:v>
      </x:c>
      <x:c r="AD26" s="21" t="n">
        <x:f>IF(C26="","",IF(O26&lt;&gt;"Ready","Unavailable",AB26+AC26))</x:f>
        <x:v>0.3110897354242213</x:v>
      </x:c>
      <x:c r="AE26" s="17" t="n">
        <x:f>IF(C26="","",IF(OR(O26&lt;&gt;"Ready",F26=0),"Unavailable",AB26/F26))</x:f>
        <x:v>0.05506566621529094</x:v>
      </x:c>
      <x:c r="AF26" s="44" t="n">
        <x:f>IF(C26="","",IF(E26=1,1,H26))</x:f>
        <x:v>8</x:v>
      </x:c>
    </x:row>
    <x:row r="27" ht="26" customHeight="1">
      <x:c r="A27" s="1"/>
      <x:c r="B27" s="1"/>
      <x:c r="C27" s="9" t="str">
        <x:f>IF(Facilities!C27="","",Facilities!C27)</x:f>
        <x:v>F019</x:v>
      </x:c>
      <x:c r="D27" s="9" t="str">
        <x:f>IF(C27="","",INDEX('Facilities'!$D$9:$D$108,MATCH(C27,'Facilities'!$C$9:$C$108,0)))</x:f>
        <x:v>B010</x:v>
      </x:c>
      <x:c r="E27" s="9" t="n">
        <x:f>IF(C27="","",INDEX('Facilities'!$AD$9:$AD$108,MATCH(C27,'Facilities'!$C$9:$C$108,0)))</x:f>
        <x:v>2</x:v>
      </x:c>
      <x:c r="F27" s="23" t="n">
        <x:f>IF(C27="","",INDEX('Facilities'!$AA$9:$AA$108,MATCH(C27,'Facilities'!$C$9:$C$108,0)))</x:f>
        <x:v>8.15</x:v>
      </x:c>
      <x:c r="G27" s="23" t="n">
        <x:f>IF(C27="","",INDEX('Facilities'!$AB$9:$AB$108,MATCH(C27,'Facilities'!$C$9:$C$108,0)))</x:f>
        <x:v>1.5</x:v>
      </x:c>
      <x:c r="H27" s="42" t="n">
        <x:f>IF(C27="","",INDEX('Facilities'!$J$9:$J$108,MATCH(C27,'Facilities'!$C$9:$C$108,0)))</x:f>
        <x:v>9</x:v>
      </x:c>
      <x:c r="I27" s="30" t="n">
        <x:f>IF(C27="","",INDEX('Facilities'!$K$9:$K$108,MATCH(C27,'Facilities'!$C$9:$C$108,0)))</x:f>
        <x:v>0.08</x:v>
      </x:c>
      <x:c r="J27" s="30" t="n">
        <x:f>IF(C27="","",INDEX('Borrowers'!$P$9:$P$108,MATCH(D27,'Borrowers'!$C$9:$C$108,0)))</x:f>
        <x:v>0.030000000000000002</x:v>
      </x:c>
      <x:c r="K27" s="30" t="n">
        <x:f>IF(C27="","",INDEX('Borrowers'!$Q$9:$Q$108,MATCH(D27,'Borrowers'!$C$9:$C$108,0)))</x:f>
        <x:v>0.44000000000000006</x:v>
      </x:c>
      <x:c r="L27" s="30" t="n">
        <x:f>IF(C27="","",INDEX('Facilities'!$R$9:$R$108,MATCH(C27,'Facilities'!$C$9:$C$108,0)))</x:f>
        <x:v>0.12</x:v>
      </x:c>
      <x:c r="M27" s="42" t="n">
        <x:f>IF(C27="","",INDEX('Facilities'!$AK$9:$AK$108,MATCH(C27,'Facilities'!$C$9:$C$108,0)))</x:f>
        <x:v>2</x:v>
      </x:c>
      <x:c r="N27" s="30" t="n">
        <x:f>IF(C27="","",INDEX('Facilities'!$AL$9:$AL$108,MATCH(C27,'Facilities'!$C$9:$C$108,0)))</x:f>
        <x:v>0.55</x:v>
      </x:c>
      <x:c r="O27" s="23" t="str">
        <x:f>IF(C27="","",IF(AND(INDEX('Facilities'!$AF$9:$AF$108,MATCH(C27,'Facilities'!$C$9:$C$108,0))="Ready",Settings!$F$36="Ready"),"Ready","Review ECL inputs"))</x:f>
        <x:v>Ready</x:v>
      </x:c>
      <x:c r="P27" s="30" t="n">
        <x:f>IF(C27="","",MIN(1,J27*Settings!$G$32))</x:f>
        <x:v>0.030000000000000002</x:v>
      </x:c>
      <x:c r="Q27" s="30" t="n">
        <x:f>IF(C27="","",MIN(1,J27*Settings!$G$33))</x:f>
        <x:v>0.054000000000000006</x:v>
      </x:c>
      <x:c r="R27" s="30" t="n">
        <x:f>IF(C27="","",MIN(1,J27*Settings!$G$34))</x:f>
        <x:v>0.022500000000000003</x:v>
      </x:c>
      <x:c r="S27" s="30" t="n">
        <x:f>IF(C27="","",MIN(1,K27*Settings!$H$32))</x:f>
        <x:v>0.44000000000000006</x:v>
      </x:c>
      <x:c r="T27" s="30" t="n">
        <x:f>IF(C27="","",MIN(1,K27*Settings!$H$33))</x:f>
        <x:v>0.506</x:v>
      </x:c>
      <x:c r="U27" s="30" t="n">
        <x:f>IF(C27="","",MIN(1,K27*Settings!$H$34))</x:f>
        <x:v>0.41800000000000004</x:v>
      </x:c>
      <x:c r="V27" s="23" t="n">
        <x:f>IF(C27="","",IF(O27&lt;&gt;"Ready","Unavailable",IF(E27=3,F27*(1-MAX(0,1-(1-N27)*Settings!$H$32)/(1+I27)^M27),F27*(1-(1-S27)/(1+I27)^M27)*P27/(1+I27)*IF(ABS(1-(1-P27)*(1-L27)/(1+I27))&lt;0.000000001,AF27,(1-((1-P27)*(1-L27)/(1+I27))^AF27)/(1-(1-P27)*(1-L27)/(1+I27))))))</x:f>
        <x:v>0.4938783144918016</x:v>
      </x:c>
      <x:c r="W27" s="23" t="n">
        <x:f>IF(C27="","",IF(O27&lt;&gt;"Ready","Unavailable",IF(E27=3,F27*(1-MAX(0,1-(1-N27)*Settings!$H$33)/(1+I27)^M27),F27*(1-(1-T27)/(1+I27)^M27)*Q27/(1+I27)*IF(ABS(1-(1-Q27)*(1-L27)/(1+I27))&lt;0.000000001,AF27,(1-((1-Q27)*(1-L27)/(1+I27))^AF27)/(1-(1-Q27)*(1-L27)/(1+I27))))))</x:f>
        <x:v>0.9265311643968138</x:v>
      </x:c>
      <x:c r="X27" s="23" t="n">
        <x:f>IF(C27="","",IF(O27&lt;&gt;"Ready","Unavailable",IF(E27=3,F27*(1-MAX(0,1-(1-N27)*Settings!$H$34)/(1+I27)^M27),F27*(1-(1-U27)/(1+I27)^M27)*R27/(1+I27)*IF(ABS(1-(1-R27)*(1-L27)/(1+I27))&lt;0.000000001,AF27,(1-((1-R27)*(1-L27)/(1+I27))^AF27)/(1-(1-R27)*(1-L27)/(1+I27))))))</x:f>
        <x:v>0.36407810218628023</x:v>
      </x:c>
      <x:c r="Y27" s="23" t="n">
        <x:f>IF(C27="","",IF(O27&lt;&gt;"Ready","Unavailable",IF(E27=3,G27*INDEX('Facilities'!$I$9:$I$108,MATCH(C27,'Facilities'!$C$9:$C$108,0))*(1-MAX(0,1-(1-N27)*Settings!$H$32)/(1+I27)^M27),G27*INDEX('Facilities'!$I$9:$I$108,MATCH(C27,'Facilities'!$C$9:$C$108,0))*(1-(1-S27)/(1+I27)^M27)*P27/(1+I27)*IF(ABS(1-(1-P27)*(1-0)/(1+I27))&lt;0.000000001,AF27,(1-((1-P27)*(1-0)/(1+I27))^AF27)/(1-(1-P27)*(1-0)/(1+I27))))))</x:f>
        <x:v>0.06589912460439291</x:v>
      </x:c>
      <x:c r="Z27" s="23" t="n">
        <x:f>IF(C27="","",IF(O27&lt;&gt;"Ready","Unavailable",IF(E27=3,G27*INDEX('Facilities'!$I$9:$I$108,MATCH(C27,'Facilities'!$C$9:$C$108,0))*(1-MAX(0,1-(1-N27)*Settings!$H$33)/(1+I27)^M27),G27*INDEX('Facilities'!$I$9:$I$108,MATCH(C27,'Facilities'!$C$9:$C$108,0))*(1-(1-T27)/(1+I27)^M27)*Q27/(1+I27)*IF(ABS(1-(1-Q27)*(1-0)/(1+I27))&lt;0.000000001,AF27,(1-((1-Q27)*(1-0)/(1+I27))^AF27)/(1-(1-Q27)*(1-0)/(1+I27))))))</x:f>
        <x:v>0.12134747338502344</x:v>
      </x:c>
      <x:c r="AA27" s="23" t="n">
        <x:f>IF(C27="","",IF(O27&lt;&gt;"Ready","Unavailable",IF(E27=3,G27*INDEX('Facilities'!$I$9:$I$108,MATCH(C27,'Facilities'!$C$9:$C$108,0))*(1-MAX(0,1-(1-N27)*Settings!$H$34)/(1+I27)^M27),G27*INDEX('Facilities'!$I$9:$I$108,MATCH(C27,'Facilities'!$C$9:$C$108,0))*(1-(1-U27)/(1+I27)^M27)*R27/(1+I27)*IF(ABS(1-(1-R27)*(1-0)/(1+I27))&lt;0.000000001,AF27,(1-((1-R27)*(1-0)/(1+I27))^AF27)/(1-(1-R27)*(1-0)/(1+I27))))))</x:f>
        <x:v>0.0488647468515294</x:v>
      </x:c>
      <x:c r="AB27" s="23" t="n">
        <x:f>IF(C27="","",IF(O27&lt;&gt;"Ready","Unavailable",V27*Settings!$F$32+W27*Settings!$F$33+X27*Settings!$F$34))</x:f>
        <x:v>0.6106941482327531</x:v>
      </x:c>
      <x:c r="AC27" s="23" t="n">
        <x:f>IF(C27="","",IF(O27&lt;&gt;"Ready","Unavailable",Y27*Settings!$F$32+Z27*Settings!$F$33+AA27*Settings!$F$34))</x:f>
        <x:v>0.0808301914632957</x:v>
      </x:c>
      <x:c r="AD27" s="21" t="n">
        <x:f>IF(C27="","",IF(O27&lt;&gt;"Ready","Unavailable",AB27+AC27))</x:f>
        <x:v>0.6915243396960489</x:v>
      </x:c>
      <x:c r="AE27" s="17" t="n">
        <x:f>IF(C27="","",IF(OR(O27&lt;&gt;"Ready",F27=0),"Unavailable",AB27/F27))</x:f>
        <x:v>0.07493179732917216</x:v>
      </x:c>
      <x:c r="AF27" s="44" t="n">
        <x:f>IF(C27="","",IF(E27=1,1,H27))</x:f>
        <x:v>9</x:v>
      </x:c>
    </x:row>
    <x:row r="28" ht="26" customHeight="1">
      <x:c r="A28" s="1"/>
      <x:c r="B28" s="1"/>
      <x:c r="C28" s="9" t="str">
        <x:f>IF(Facilities!C28="","",Facilities!C28)</x:f>
        <x:v>F020</x:v>
      </x:c>
      <x:c r="D28" s="9" t="str">
        <x:f>IF(C28="","",INDEX('Facilities'!$D$9:$D$108,MATCH(C28,'Facilities'!$C$9:$C$108,0)))</x:f>
        <x:v>B010</x:v>
      </x:c>
      <x:c r="E28" s="9" t="n">
        <x:f>IF(C28="","",INDEX('Facilities'!$AD$9:$AD$108,MATCH(C28,'Facilities'!$C$9:$C$108,0)))</x:f>
        <x:v>2</x:v>
      </x:c>
      <x:c r="F28" s="23" t="n">
        <x:f>IF(C28="","",INDEX('Facilities'!$AA$9:$AA$108,MATCH(C28,'Facilities'!$C$9:$C$108,0)))</x:f>
        <x:v>5.65</x:v>
      </x:c>
      <x:c r="G28" s="23" t="n">
        <x:f>IF(C28="","",INDEX('Facilities'!$AB$9:$AB$108,MATCH(C28,'Facilities'!$C$9:$C$108,0)))</x:f>
        <x:v>0.5</x:v>
      </x:c>
      <x:c r="H28" s="42" t="n">
        <x:f>IF(C28="","",INDEX('Facilities'!$J$9:$J$108,MATCH(C28,'Facilities'!$C$9:$C$108,0)))</x:f>
        <x:v>9</x:v>
      </x:c>
      <x:c r="I28" s="30" t="n">
        <x:f>IF(C28="","",INDEX('Facilities'!$K$9:$K$108,MATCH(C28,'Facilities'!$C$9:$C$108,0)))</x:f>
        <x:v>0.08</x:v>
      </x:c>
      <x:c r="J28" s="30" t="n">
        <x:f>IF(C28="","",INDEX('Borrowers'!$P$9:$P$108,MATCH(D28,'Borrowers'!$C$9:$C$108,0)))</x:f>
        <x:v>0.030000000000000002</x:v>
      </x:c>
      <x:c r="K28" s="30" t="n">
        <x:f>IF(C28="","",INDEX('Borrowers'!$Q$9:$Q$108,MATCH(D28,'Borrowers'!$C$9:$C$108,0)))</x:f>
        <x:v>0.44000000000000006</x:v>
      </x:c>
      <x:c r="L28" s="30" t="n">
        <x:f>IF(C28="","",INDEX('Facilities'!$R$9:$R$108,MATCH(C28,'Facilities'!$C$9:$C$108,0)))</x:f>
        <x:v>0.12</x:v>
      </x:c>
      <x:c r="M28" s="42" t="n">
        <x:f>IF(C28="","",INDEX('Facilities'!$AK$9:$AK$108,MATCH(C28,'Facilities'!$C$9:$C$108,0)))</x:f>
        <x:v>2</x:v>
      </x:c>
      <x:c r="N28" s="30" t="n">
        <x:f>IF(C28="","",INDEX('Facilities'!$AL$9:$AL$108,MATCH(C28,'Facilities'!$C$9:$C$108,0)))</x:f>
        <x:v>0.55</x:v>
      </x:c>
      <x:c r="O28" s="23" t="str">
        <x:f>IF(C28="","",IF(AND(INDEX('Facilities'!$AF$9:$AF$108,MATCH(C28,'Facilities'!$C$9:$C$108,0))="Ready",Settings!$F$36="Ready"),"Ready","Review ECL inputs"))</x:f>
        <x:v>Ready</x:v>
      </x:c>
      <x:c r="P28" s="30" t="n">
        <x:f>IF(C28="","",MIN(1,J28*Settings!$G$32))</x:f>
        <x:v>0.030000000000000002</x:v>
      </x:c>
      <x:c r="Q28" s="30" t="n">
        <x:f>IF(C28="","",MIN(1,J28*Settings!$G$33))</x:f>
        <x:v>0.054000000000000006</x:v>
      </x:c>
      <x:c r="R28" s="30" t="n">
        <x:f>IF(C28="","",MIN(1,J28*Settings!$G$34))</x:f>
        <x:v>0.022500000000000003</x:v>
      </x:c>
      <x:c r="S28" s="30" t="n">
        <x:f>IF(C28="","",MIN(1,K28*Settings!$H$32))</x:f>
        <x:v>0.44000000000000006</x:v>
      </x:c>
      <x:c r="T28" s="30" t="n">
        <x:f>IF(C28="","",MIN(1,K28*Settings!$H$33))</x:f>
        <x:v>0.506</x:v>
      </x:c>
      <x:c r="U28" s="30" t="n">
        <x:f>IF(C28="","",MIN(1,K28*Settings!$H$34))</x:f>
        <x:v>0.41800000000000004</x:v>
      </x:c>
      <x:c r="V28" s="23" t="n">
        <x:f>IF(C28="","",IF(O28&lt;&gt;"Ready","Unavailable",IF(E28=3,F28*(1-MAX(0,1-(1-N28)*Settings!$H$32)/(1+I28)^M28),F28*(1-(1-S28)/(1+I28)^M28)*P28/(1+I28)*IF(ABS(1-(1-P28)*(1-L28)/(1+I28))&lt;0.000000001,AF28,(1-((1-P28)*(1-L28)/(1+I28))^AF28)/(1-(1-P28)*(1-L28)/(1+I28))))))</x:f>
        <x:v>0.34238189900351884</x:v>
      </x:c>
      <x:c r="W28" s="23" t="n">
        <x:f>IF(C28="","",IF(O28&lt;&gt;"Ready","Unavailable",IF(E28=3,F28*(1-MAX(0,1-(1-N28)*Settings!$H$33)/(1+I28)^M28),F28*(1-(1-T28)/(1+I28)^M28)*Q28/(1+I28)*IF(ABS(1-(1-Q28)*(1-L28)/(1+I28))&lt;0.000000001,AF28,(1-((1-Q28)*(1-L28)/(1+I28))^AF28)/(1-(1-Q28)*(1-L28)/(1+I28))))))</x:f>
        <x:v>0.6423191507781594</x:v>
      </x:c>
      <x:c r="X28" s="23" t="n">
        <x:f>IF(C28="","",IF(O28&lt;&gt;"Ready","Unavailable",IF(E28=3,F28*(1-MAX(0,1-(1-N28)*Settings!$H$34)/(1+I28)^M28),F28*(1-(1-U28)/(1+I28)^M28)*R28/(1+I28)*IF(ABS(1-(1-R28)*(1-L28)/(1+I28))&lt;0.000000001,AF28,(1-((1-R28)*(1-L28)/(1+I28))^AF28)/(1-(1-R28)*(1-L28)/(1+I28))))))</x:f>
        <x:v>0.252397702742636</x:v>
      </x:c>
      <x:c r="Y28" s="23" t="n">
        <x:f>IF(C28="","",IF(O28&lt;&gt;"Ready","Unavailable",IF(E28=3,G28*INDEX('Facilities'!$I$9:$I$108,MATCH(C28,'Facilities'!$C$9:$C$108,0))*(1-MAX(0,1-(1-N28)*Settings!$H$32)/(1+I28)^M28),G28*INDEX('Facilities'!$I$9:$I$108,MATCH(C28,'Facilities'!$C$9:$C$108,0))*(1-(1-S28)/(1+I28)^M28)*P28/(1+I28)*IF(ABS(1-(1-P28)*(1-0)/(1+I28))&lt;0.000000001,AF28,(1-((1-P28)*(1-0)/(1+I28))^AF28)/(1-(1-P28)*(1-0)/(1+I28))))))</x:f>
        <x:v>0.02196637486813097</x:v>
      </x:c>
      <x:c r="Z28" s="23" t="n">
        <x:f>IF(C28="","",IF(O28&lt;&gt;"Ready","Unavailable",IF(E28=3,G28*INDEX('Facilities'!$I$9:$I$108,MATCH(C28,'Facilities'!$C$9:$C$108,0))*(1-MAX(0,1-(1-N28)*Settings!$H$33)/(1+I28)^M28),G28*INDEX('Facilities'!$I$9:$I$108,MATCH(C28,'Facilities'!$C$9:$C$108,0))*(1-(1-T28)/(1+I28)^M28)*Q28/(1+I28)*IF(ABS(1-(1-Q28)*(1-0)/(1+I28))&lt;0.000000001,AF28,(1-((1-Q28)*(1-0)/(1+I28))^AF28)/(1-(1-Q28)*(1-0)/(1+I28))))))</x:f>
        <x:v>0.040449157795007816</x:v>
      </x:c>
      <x:c r="AA28" s="23" t="n">
        <x:f>IF(C28="","",IF(O28&lt;&gt;"Ready","Unavailable",IF(E28=3,G28*INDEX('Facilities'!$I$9:$I$108,MATCH(C28,'Facilities'!$C$9:$C$108,0))*(1-MAX(0,1-(1-N28)*Settings!$H$34)/(1+I28)^M28),G28*INDEX('Facilities'!$I$9:$I$108,MATCH(C28,'Facilities'!$C$9:$C$108,0))*(1-(1-U28)/(1+I28)^M28)*R28/(1+I28)*IF(ABS(1-(1-R28)*(1-0)/(1+I28))&lt;0.000000001,AF28,(1-((1-R28)*(1-0)/(1+I28))^AF28)/(1-(1-R28)*(1-0)/(1+I28))))))</x:f>
        <x:v>0.0162882489505098</x:v>
      </x:c>
      <x:c r="AB28" s="23" t="n">
        <x:f>IF(C28="","",IF(O28&lt;&gt;"Ready","Unavailable",V28*Settings!$F$32+W28*Settings!$F$33+X28*Settings!$F$34))</x:f>
        <x:v>0.4233646549098227</x:v>
      </x:c>
      <x:c r="AC28" s="23" t="n">
        <x:f>IF(C28="","",IF(O28&lt;&gt;"Ready","Unavailable",Y28*Settings!$F$32+Z28*Settings!$F$33+AA28*Settings!$F$34))</x:f>
        <x:v>0.026943397154431906</x:v>
      </x:c>
      <x:c r="AD28" s="21" t="n">
        <x:f>IF(C28="","",IF(O28&lt;&gt;"Ready","Unavailable",AB28+AC28))</x:f>
        <x:v>0.4503080520642546</x:v>
      </x:c>
      <x:c r="AE28" s="17" t="n">
        <x:f>IF(C28="","",IF(OR(O28&lt;&gt;"Ready",F28=0),"Unavailable",AB28/F28))</x:f>
        <x:v>0.07493179732917216</x:v>
      </x:c>
      <x:c r="AF28" s="44" t="n">
        <x:f>IF(C28="","",IF(E28=1,1,H28))</x:f>
        <x:v>9</x:v>
      </x:c>
    </x:row>
    <x:row r="29" ht="26" customHeight="1">
      <x:c r="A29" s="1"/>
      <x:c r="B29" s="1"/>
      <x:c r="C29" s="9" t="str">
        <x:f>IF(Facilities!C29="","",Facilities!C29)</x:f>
        <x:v>F021</x:v>
      </x:c>
      <x:c r="D29" s="9" t="str">
        <x:f>IF(C29="","",INDEX('Facilities'!$D$9:$D$108,MATCH(C29,'Facilities'!$C$9:$C$108,0)))</x:f>
        <x:v>B011</x:v>
      </x:c>
      <x:c r="E29" s="9" t="n">
        <x:f>IF(C29="","",INDEX('Facilities'!$AD$9:$AD$108,MATCH(C29,'Facilities'!$C$9:$C$108,0)))</x:f>
        <x:v>1</x:v>
      </x:c>
      <x:c r="F29" s="23" t="n">
        <x:f>IF(C29="","",INDEX('Facilities'!$AA$9:$AA$108,MATCH(C29,'Facilities'!$C$9:$C$108,0)))</x:f>
        <x:v>8.5</x:v>
      </x:c>
      <x:c r="G29" s="23" t="n">
        <x:f>IF(C29="","",INDEX('Facilities'!$AB$9:$AB$108,MATCH(C29,'Facilities'!$C$9:$C$108,0)))</x:f>
        <x:v>1.5</x:v>
      </x:c>
      <x:c r="H29" s="42" t="n">
        <x:f>IF(C29="","",INDEX('Facilities'!$J$9:$J$108,MATCH(C29,'Facilities'!$C$9:$C$108,0)))</x:f>
        <x:v>5</x:v>
      </x:c>
      <x:c r="I29" s="30" t="n">
        <x:f>IF(C29="","",INDEX('Facilities'!$K$9:$K$108,MATCH(C29,'Facilities'!$C$9:$C$108,0)))</x:f>
        <x:v>0.08</x:v>
      </x:c>
      <x:c r="J29" s="30" t="n">
        <x:f>IF(C29="","",INDEX('Borrowers'!$P$9:$P$108,MATCH(D29,'Borrowers'!$C$9:$C$108,0)))</x:f>
        <x:v>0.036000000000000004</x:v>
      </x:c>
      <x:c r="K29" s="30" t="n">
        <x:f>IF(C29="","",INDEX('Borrowers'!$Q$9:$Q$108,MATCH(D29,'Borrowers'!$C$9:$C$108,0)))</x:f>
        <x:v>0.28</x:v>
      </x:c>
      <x:c r="L29" s="30" t="n">
        <x:f>IF(C29="","",INDEX('Facilities'!$R$9:$R$108,MATCH(C29,'Facilities'!$C$9:$C$108,0)))</x:f>
        <x:v>0.12</x:v>
      </x:c>
      <x:c r="M29" s="42" t="n">
        <x:f>IF(C29="","",INDEX('Facilities'!$AK$9:$AK$108,MATCH(C29,'Facilities'!$C$9:$C$108,0)))</x:f>
        <x:v>2</x:v>
      </x:c>
      <x:c r="N29" s="30" t="n">
        <x:f>IF(C29="","",INDEX('Facilities'!$AL$9:$AL$108,MATCH(C29,'Facilities'!$C$9:$C$108,0)))</x:f>
        <x:v>0.55</x:v>
      </x:c>
      <x:c r="O29" s="23" t="str">
        <x:f>IF(C29="","",IF(AND(INDEX('Facilities'!$AF$9:$AF$108,MATCH(C29,'Facilities'!$C$9:$C$108,0))="Ready",Settings!$F$36="Ready"),"Ready","Review ECL inputs"))</x:f>
        <x:v>Ready</x:v>
      </x:c>
      <x:c r="P29" s="30" t="n">
        <x:f>IF(C29="","",MIN(1,J29*Settings!$G$32))</x:f>
        <x:v>0.036000000000000004</x:v>
      </x:c>
      <x:c r="Q29" s="30" t="n">
        <x:f>IF(C29="","",MIN(1,J29*Settings!$G$33))</x:f>
        <x:v>0.06480000000000001</x:v>
      </x:c>
      <x:c r="R29" s="30" t="n">
        <x:f>IF(C29="","",MIN(1,J29*Settings!$G$34))</x:f>
        <x:v>0.027000000000000003</x:v>
      </x:c>
      <x:c r="S29" s="30" t="n">
        <x:f>IF(C29="","",MIN(1,K29*Settings!$H$32))</x:f>
        <x:v>0.28</x:v>
      </x:c>
      <x:c r="T29" s="30" t="n">
        <x:f>IF(C29="","",MIN(1,K29*Settings!$H$33))</x:f>
        <x:v>0.322</x:v>
      </x:c>
      <x:c r="U29" s="30" t="n">
        <x:f>IF(C29="","",MIN(1,K29*Settings!$H$34))</x:f>
        <x:v>0.266</x:v>
      </x:c>
      <x:c r="V29" s="23" t="n">
        <x:f>IF(C29="","",IF(O29&lt;&gt;"Ready","Unavailable",IF(E29=3,F29*(1-MAX(0,1-(1-N29)*Settings!$H$32)/(1+I29)^M29),F29*(1-(1-S29)/(1+I29)^M29)*P29/(1+I29)*IF(ABS(1-(1-P29)*(1-L29)/(1+I29))&lt;0.000000001,AF29,(1-((1-P29)*(1-L29)/(1+I29))^AF29)/(1-(1-P29)*(1-L29)/(1+I29))))))</x:f>
        <x:v>0.10843621399176956</x:v>
      </x:c>
      <x:c r="W29" s="23" t="n">
        <x:f>IF(C29="","",IF(O29&lt;&gt;"Ready","Unavailable",IF(E29=3,F29*(1-MAX(0,1-(1-N29)*Settings!$H$33)/(1+I29)^M29),F29*(1-(1-T29)/(1+I29)^M29)*Q29/(1+I29)*IF(ABS(1-(1-Q29)*(1-L29)/(1+I29))&lt;0.000000001,AF29,(1-((1-Q29)*(1-L29)/(1+I29))^AF29)/(1-(1-Q29)*(1-L29)/(1+I29))))))</x:f>
        <x:v>0.21354938271604948</x:v>
      </x:c>
      <x:c r="X29" s="23" t="n">
        <x:f>IF(C29="","",IF(O29&lt;&gt;"Ready","Unavailable",IF(E29=3,F29*(1-MAX(0,1-(1-N29)*Settings!$H$34)/(1+I29)^M29),F29*(1-(1-U29)/(1+I29)^M29)*R29/(1+I29)*IF(ABS(1-(1-R29)*(1-L29)/(1+I29))&lt;0.000000001,AF29,(1-((1-R29)*(1-L29)/(1+I29))^AF29)/(1-(1-R29)*(1-L29)/(1+I29))))))</x:f>
        <x:v>0.07877657750342937</x:v>
      </x:c>
      <x:c r="Y29" s="23" t="n">
        <x:f>IF(C29="","",IF(O29&lt;&gt;"Ready","Unavailable",IF(E29=3,G29*INDEX('Facilities'!$I$9:$I$108,MATCH(C29,'Facilities'!$C$9:$C$108,0))*(1-MAX(0,1-(1-N29)*Settings!$H$32)/(1+I29)^M29),G29*INDEX('Facilities'!$I$9:$I$108,MATCH(C29,'Facilities'!$C$9:$C$108,0))*(1-(1-S29)/(1+I29)^M29)*P29/(1+I29)*IF(ABS(1-(1-P29)*(1-0)/(1+I29))&lt;0.000000001,AF29,(1-((1-P29)*(1-0)/(1+I29))^AF29)/(1-(1-P29)*(1-0)/(1+I29))))))</x:f>
        <x:v>0.009567901234567903</x:v>
      </x:c>
      <x:c r="Z29" s="23" t="n">
        <x:f>IF(C29="","",IF(O29&lt;&gt;"Ready","Unavailable",IF(E29=3,G29*INDEX('Facilities'!$I$9:$I$108,MATCH(C29,'Facilities'!$C$9:$C$108,0))*(1-MAX(0,1-(1-N29)*Settings!$H$33)/(1+I29)^M29),G29*INDEX('Facilities'!$I$9:$I$108,MATCH(C29,'Facilities'!$C$9:$C$108,0))*(1-(1-T29)/(1+I29)^M29)*Q29/(1+I29)*IF(ABS(1-(1-Q29)*(1-0)/(1+I29))&lt;0.000000001,AF29,(1-((1-Q29)*(1-0)/(1+I29))^AF29)/(1-(1-Q29)*(1-0)/(1+I29))))))</x:f>
        <x:v>0.018842592592592602</x:v>
      </x:c>
      <x:c r="AA29" s="23" t="n">
        <x:f>IF(C29="","",IF(O29&lt;&gt;"Ready","Unavailable",IF(E29=3,G29*INDEX('Facilities'!$I$9:$I$108,MATCH(C29,'Facilities'!$C$9:$C$108,0))*(1-MAX(0,1-(1-N29)*Settings!$H$34)/(1+I29)^M29),G29*INDEX('Facilities'!$I$9:$I$108,MATCH(C29,'Facilities'!$C$9:$C$108,0))*(1-(1-U29)/(1+I29)^M29)*R29/(1+I29)*IF(ABS(1-(1-R29)*(1-0)/(1+I29))&lt;0.000000001,AF29,(1-((1-R29)*(1-0)/(1+I29))^AF29)/(1-(1-R29)*(1-0)/(1+I29))))))</x:f>
        <x:v>0.006950874485596709</x:v>
      </x:c>
      <x:c r="AB29" s="23" t="n">
        <x:f>IF(C29="","",IF(O29&lt;&gt;"Ready","Unavailable",V29*Settings!$F$32+W29*Settings!$F$33+X29*Settings!$F$34))</x:f>
        <x:v>0.1370042009602195</x:v>
      </x:c>
      <x:c r="AC29" s="23" t="n">
        <x:f>IF(C29="","",IF(O29&lt;&gt;"Ready","Unavailable",Y29*Settings!$F$32+Z29*Settings!$F$33+AA29*Settings!$F$34))</x:f>
        <x:v>0.012088605967078192</x:v>
      </x:c>
      <x:c r="AD29" s="21" t="n">
        <x:f>IF(C29="","",IF(O29&lt;&gt;"Ready","Unavailable",AB29+AC29))</x:f>
        <x:v>0.1490928069272977</x:v>
      </x:c>
      <x:c r="AE29" s="17" t="n">
        <x:f>IF(C29="","",IF(OR(O29&lt;&gt;"Ready",F29=0),"Unavailable",AB29/F29))</x:f>
        <x:v>0.016118141289437588</x:v>
      </x:c>
      <x:c r="AF29" s="44" t="n">
        <x:f>IF(C29="","",IF(E29=1,1,H29))</x:f>
        <x:v>1</x:v>
      </x:c>
    </x:row>
    <x:row r="30" ht="26" customHeight="1">
      <x:c r="A30" s="1"/>
      <x:c r="B30" s="1"/>
      <x:c r="C30" s="9" t="str">
        <x:f>IF(Facilities!C30="","",Facilities!C30)</x:f>
        <x:v>F022</x:v>
      </x:c>
      <x:c r="D30" s="9" t="str">
        <x:f>IF(C30="","",INDEX('Facilities'!$D$9:$D$108,MATCH(C30,'Facilities'!$C$9:$C$108,0)))</x:f>
        <x:v>B011</x:v>
      </x:c>
      <x:c r="E30" s="9" t="n">
        <x:f>IF(C30="","",INDEX('Facilities'!$AD$9:$AD$108,MATCH(C30,'Facilities'!$C$9:$C$108,0)))</x:f>
        <x:v>1</x:v>
      </x:c>
      <x:c r="F30" s="23" t="n">
        <x:f>IF(C30="","",INDEX('Facilities'!$AA$9:$AA$108,MATCH(C30,'Facilities'!$C$9:$C$108,0)))</x:f>
        <x:v>6</x:v>
      </x:c>
      <x:c r="G30" s="23" t="n">
        <x:f>IF(C30="","",INDEX('Facilities'!$AB$9:$AB$108,MATCH(C30,'Facilities'!$C$9:$C$108,0)))</x:f>
        <x:v>0.5</x:v>
      </x:c>
      <x:c r="H30" s="42" t="n">
        <x:f>IF(C30="","",INDEX('Facilities'!$J$9:$J$108,MATCH(C30,'Facilities'!$C$9:$C$108,0)))</x:f>
        <x:v>5</x:v>
      </x:c>
      <x:c r="I30" s="30" t="n">
        <x:f>IF(C30="","",INDEX('Facilities'!$K$9:$K$108,MATCH(C30,'Facilities'!$C$9:$C$108,0)))</x:f>
        <x:v>0.08</x:v>
      </x:c>
      <x:c r="J30" s="30" t="n">
        <x:f>IF(C30="","",INDEX('Borrowers'!$P$9:$P$108,MATCH(D30,'Borrowers'!$C$9:$C$108,0)))</x:f>
        <x:v>0.036000000000000004</x:v>
      </x:c>
      <x:c r="K30" s="30" t="n">
        <x:f>IF(C30="","",INDEX('Borrowers'!$Q$9:$Q$108,MATCH(D30,'Borrowers'!$C$9:$C$108,0)))</x:f>
        <x:v>0.28</x:v>
      </x:c>
      <x:c r="L30" s="30" t="n">
        <x:f>IF(C30="","",INDEX('Facilities'!$R$9:$R$108,MATCH(C30,'Facilities'!$C$9:$C$108,0)))</x:f>
        <x:v>0.12</x:v>
      </x:c>
      <x:c r="M30" s="42" t="n">
        <x:f>IF(C30="","",INDEX('Facilities'!$AK$9:$AK$108,MATCH(C30,'Facilities'!$C$9:$C$108,0)))</x:f>
        <x:v>2</x:v>
      </x:c>
      <x:c r="N30" s="30" t="n">
        <x:f>IF(C30="","",INDEX('Facilities'!$AL$9:$AL$108,MATCH(C30,'Facilities'!$C$9:$C$108,0)))</x:f>
        <x:v>0.55</x:v>
      </x:c>
      <x:c r="O30" s="23" t="str">
        <x:f>IF(C30="","",IF(AND(INDEX('Facilities'!$AF$9:$AF$108,MATCH(C30,'Facilities'!$C$9:$C$108,0))="Ready",Settings!$F$36="Ready"),"Ready","Review ECL inputs"))</x:f>
        <x:v>Ready</x:v>
      </x:c>
      <x:c r="P30" s="30" t="n">
        <x:f>IF(C30="","",MIN(1,J30*Settings!$G$32))</x:f>
        <x:v>0.036000000000000004</x:v>
      </x:c>
      <x:c r="Q30" s="30" t="n">
        <x:f>IF(C30="","",MIN(1,J30*Settings!$G$33))</x:f>
        <x:v>0.06480000000000001</x:v>
      </x:c>
      <x:c r="R30" s="30" t="n">
        <x:f>IF(C30="","",MIN(1,J30*Settings!$G$34))</x:f>
        <x:v>0.027000000000000003</x:v>
      </x:c>
      <x:c r="S30" s="30" t="n">
        <x:f>IF(C30="","",MIN(1,K30*Settings!$H$32))</x:f>
        <x:v>0.28</x:v>
      </x:c>
      <x:c r="T30" s="30" t="n">
        <x:f>IF(C30="","",MIN(1,K30*Settings!$H$33))</x:f>
        <x:v>0.322</x:v>
      </x:c>
      <x:c r="U30" s="30" t="n">
        <x:f>IF(C30="","",MIN(1,K30*Settings!$H$34))</x:f>
        <x:v>0.266</x:v>
      </x:c>
      <x:c r="V30" s="23" t="n">
        <x:f>IF(C30="","",IF(O30&lt;&gt;"Ready","Unavailable",IF(E30=3,F30*(1-MAX(0,1-(1-N30)*Settings!$H$32)/(1+I30)^M30),F30*(1-(1-S30)/(1+I30)^M30)*P30/(1+I30)*IF(ABS(1-(1-P30)*(1-L30)/(1+I30))&lt;0.000000001,AF30,(1-((1-P30)*(1-L30)/(1+I30))^AF30)/(1-(1-P30)*(1-L30)/(1+I30))))))</x:f>
        <x:v>0.07654320987654323</x:v>
      </x:c>
      <x:c r="W30" s="23" t="n">
        <x:f>IF(C30="","",IF(O30&lt;&gt;"Ready","Unavailable",IF(E30=3,F30*(1-MAX(0,1-(1-N30)*Settings!$H$33)/(1+I30)^M30),F30*(1-(1-T30)/(1+I30)^M30)*Q30/(1+I30)*IF(ABS(1-(1-Q30)*(1-L30)/(1+I30))&lt;0.000000001,AF30,(1-((1-Q30)*(1-L30)/(1+I30))^AF30)/(1-(1-Q30)*(1-L30)/(1+I30))))))</x:f>
        <x:v>0.15074074074074081</x:v>
      </x:c>
      <x:c r="X30" s="23" t="n">
        <x:f>IF(C30="","",IF(O30&lt;&gt;"Ready","Unavailable",IF(E30=3,F30*(1-MAX(0,1-(1-N30)*Settings!$H$34)/(1+I30)^M30),F30*(1-(1-U30)/(1+I30)^M30)*R30/(1+I30)*IF(ABS(1-(1-R30)*(1-L30)/(1+I30))&lt;0.000000001,AF30,(1-((1-R30)*(1-L30)/(1+I30))^AF30)/(1-(1-R30)*(1-L30)/(1+I30))))))</x:f>
        <x:v>0.05560699588477367</x:v>
      </x:c>
      <x:c r="Y30" s="23" t="n">
        <x:f>IF(C30="","",IF(O30&lt;&gt;"Ready","Unavailable",IF(E30=3,G30*INDEX('Facilities'!$I$9:$I$108,MATCH(C30,'Facilities'!$C$9:$C$108,0))*(1-MAX(0,1-(1-N30)*Settings!$H$32)/(1+I30)^M30),G30*INDEX('Facilities'!$I$9:$I$108,MATCH(C30,'Facilities'!$C$9:$C$108,0))*(1-(1-S30)/(1+I30)^M30)*P30/(1+I30)*IF(ABS(1-(1-P30)*(1-0)/(1+I30))&lt;0.000000001,AF30,(1-((1-P30)*(1-0)/(1+I30))^AF30)/(1-(1-P30)*(1-0)/(1+I30))))))</x:f>
        <x:v>0.0031893004115226345</x:v>
      </x:c>
      <x:c r="Z30" s="23" t="n">
        <x:f>IF(C30="","",IF(O30&lt;&gt;"Ready","Unavailable",IF(E30=3,G30*INDEX('Facilities'!$I$9:$I$108,MATCH(C30,'Facilities'!$C$9:$C$108,0))*(1-MAX(0,1-(1-N30)*Settings!$H$33)/(1+I30)^M30),G30*INDEX('Facilities'!$I$9:$I$108,MATCH(C30,'Facilities'!$C$9:$C$108,0))*(1-(1-T30)/(1+I30)^M30)*Q30/(1+I30)*IF(ABS(1-(1-Q30)*(1-0)/(1+I30))&lt;0.000000001,AF30,(1-((1-Q30)*(1-0)/(1+I30))^AF30)/(1-(1-Q30)*(1-0)/(1+I30))))))</x:f>
        <x:v>0.006280864197530866</x:v>
      </x:c>
      <x:c r="AA30" s="23" t="n">
        <x:f>IF(C30="","",IF(O30&lt;&gt;"Ready","Unavailable",IF(E30=3,G30*INDEX('Facilities'!$I$9:$I$108,MATCH(C30,'Facilities'!$C$9:$C$108,0))*(1-MAX(0,1-(1-N30)*Settings!$H$34)/(1+I30)^M30),G30*INDEX('Facilities'!$I$9:$I$108,MATCH(C30,'Facilities'!$C$9:$C$108,0))*(1-(1-U30)/(1+I30)^M30)*R30/(1+I30)*IF(ABS(1-(1-R30)*(1-0)/(1+I30))&lt;0.000000001,AF30,(1-((1-R30)*(1-0)/(1+I30))^AF30)/(1-(1-R30)*(1-0)/(1+I30))))))</x:f>
        <x:v>0.00231695816186557</x:v>
      </x:c>
      <x:c r="AB30" s="23" t="n">
        <x:f>IF(C30="","",IF(O30&lt;&gt;"Ready","Unavailable",V30*Settings!$F$32+W30*Settings!$F$33+X30*Settings!$F$34))</x:f>
        <x:v>0.09670884773662554</x:v>
      </x:c>
      <x:c r="AC30" s="23" t="n">
        <x:f>IF(C30="","",IF(O30&lt;&gt;"Ready","Unavailable",Y30*Settings!$F$32+Z30*Settings!$F$33+AA30*Settings!$F$34))</x:f>
        <x:v>0.004029535322359398</x:v>
      </x:c>
      <x:c r="AD30" s="21" t="n">
        <x:f>IF(C30="","",IF(O30&lt;&gt;"Ready","Unavailable",AB30+AC30))</x:f>
        <x:v>0.10073838305898494</x:v>
      </x:c>
      <x:c r="AE30" s="17" t="n">
        <x:f>IF(C30="","",IF(OR(O30&lt;&gt;"Ready",F30=0),"Unavailable",AB30/F30))</x:f>
        <x:v>0.01611814128943759</x:v>
      </x:c>
      <x:c r="AF30" s="44" t="n">
        <x:f>IF(C30="","",IF(E30=1,1,H30))</x:f>
        <x:v>1</x:v>
      </x:c>
    </x:row>
    <x:row r="31" ht="26" customHeight="1">
      <x:c r="A31" s="1"/>
      <x:c r="B31" s="1"/>
      <x:c r="C31" s="9" t="str">
        <x:f>IF(Facilities!C31="","",Facilities!C31)</x:f>
        <x:v>F023</x:v>
      </x:c>
      <x:c r="D31" s="9" t="str">
        <x:f>IF(C31="","",INDEX('Facilities'!$D$9:$D$108,MATCH(C31,'Facilities'!$C$9:$C$108,0)))</x:f>
        <x:v>B012</x:v>
      </x:c>
      <x:c r="E31" s="9" t="n">
        <x:f>IF(C31="","",INDEX('Facilities'!$AD$9:$AD$108,MATCH(C31,'Facilities'!$C$9:$C$108,0)))</x:f>
        <x:v>1</x:v>
      </x:c>
      <x:c r="F31" s="23" t="n">
        <x:f>IF(C31="","",INDEX('Facilities'!$AA$9:$AA$108,MATCH(C31,'Facilities'!$C$9:$C$108,0)))</x:f>
        <x:v>8.85</x:v>
      </x:c>
      <x:c r="G31" s="23" t="n">
        <x:f>IF(C31="","",INDEX('Facilities'!$AB$9:$AB$108,MATCH(C31,'Facilities'!$C$9:$C$108,0)))</x:f>
        <x:v>1.5</x:v>
      </x:c>
      <x:c r="H31" s="42" t="n">
        <x:f>IF(C31="","",INDEX('Facilities'!$J$9:$J$108,MATCH(C31,'Facilities'!$C$9:$C$108,0)))</x:f>
        <x:v>6</x:v>
      </x:c>
      <x:c r="I31" s="30" t="n">
        <x:f>IF(C31="","",INDEX('Facilities'!$K$9:$K$108,MATCH(C31,'Facilities'!$C$9:$C$108,0)))</x:f>
        <x:v>0.08</x:v>
      </x:c>
      <x:c r="J31" s="30" t="n">
        <x:f>IF(C31="","",INDEX('Borrowers'!$P$9:$P$108,MATCH(D31,'Borrowers'!$C$9:$C$108,0)))</x:f>
        <x:v>0.041999999999999996</x:v>
      </x:c>
      <x:c r="K31" s="30" t="n">
        <x:f>IF(C31="","",INDEX('Borrowers'!$Q$9:$Q$108,MATCH(D31,'Borrowers'!$C$9:$C$108,0)))</x:f>
        <x:v>0.32</x:v>
      </x:c>
      <x:c r="L31" s="30" t="n">
        <x:f>IF(C31="","",INDEX('Facilities'!$R$9:$R$108,MATCH(C31,'Facilities'!$C$9:$C$108,0)))</x:f>
        <x:v>0.12</x:v>
      </x:c>
      <x:c r="M31" s="42" t="n">
        <x:f>IF(C31="","",INDEX('Facilities'!$AK$9:$AK$108,MATCH(C31,'Facilities'!$C$9:$C$108,0)))</x:f>
        <x:v>2</x:v>
      </x:c>
      <x:c r="N31" s="30" t="n">
        <x:f>IF(C31="","",INDEX('Facilities'!$AL$9:$AL$108,MATCH(C31,'Facilities'!$C$9:$C$108,0)))</x:f>
        <x:v>0.55</x:v>
      </x:c>
      <x:c r="O31" s="23" t="str">
        <x:f>IF(C31="","",IF(AND(INDEX('Facilities'!$AF$9:$AF$108,MATCH(C31,'Facilities'!$C$9:$C$108,0))="Ready",Settings!$F$36="Ready"),"Ready","Review ECL inputs"))</x:f>
        <x:v>Ready</x:v>
      </x:c>
      <x:c r="P31" s="30" t="n">
        <x:f>IF(C31="","",MIN(1,J31*Settings!$G$32))</x:f>
        <x:v>0.041999999999999996</x:v>
      </x:c>
      <x:c r="Q31" s="30" t="n">
        <x:f>IF(C31="","",MIN(1,J31*Settings!$G$33))</x:f>
        <x:v>0.0756</x:v>
      </x:c>
      <x:c r="R31" s="30" t="n">
        <x:f>IF(C31="","",MIN(1,J31*Settings!$G$34))</x:f>
        <x:v>0.0315</x:v>
      </x:c>
      <x:c r="S31" s="30" t="n">
        <x:f>IF(C31="","",MIN(1,K31*Settings!$H$32))</x:f>
        <x:v>0.32</x:v>
      </x:c>
      <x:c r="T31" s="30" t="n">
        <x:f>IF(C31="","",MIN(1,K31*Settings!$H$33))</x:f>
        <x:v>0.368</x:v>
      </x:c>
      <x:c r="U31" s="30" t="n">
        <x:f>IF(C31="","",MIN(1,K31*Settings!$H$34))</x:f>
        <x:v>0.304</x:v>
      </x:c>
      <x:c r="V31" s="23" t="n">
        <x:f>IF(C31="","",IF(O31&lt;&gt;"Ready","Unavailable",IF(E31=3,F31*(1-MAX(0,1-(1-N31)*Settings!$H$32)/(1+I31)^M31),F31*(1-(1-S31)/(1+I31)^M31)*P31/(1+I31)*IF(ABS(1-(1-P31)*(1-L31)/(1+I31))&lt;0.000000001,AF31,(1-((1-P31)*(1-L31)/(1+I31))^AF31)/(1-(1-P31)*(1-L31)/(1+I31))))))</x:f>
        <x:v>0.14352080475537263</x:v>
      </x:c>
      <x:c r="W31" s="23" t="n">
        <x:f>IF(C31="","",IF(O31&lt;&gt;"Ready","Unavailable",IF(E31=3,F31*(1-MAX(0,1-(1-N31)*Settings!$H$33)/(1+I31)^M31),F31*(1-(1-T31)/(1+I31)^M31)*Q31/(1+I31)*IF(ABS(1-(1-Q31)*(1-L31)/(1+I31))&lt;0.000000001,AF31,(1-((1-Q31)*(1-L31)/(1+I31))^AF31)/(1-(1-Q31)*(1-L31)/(1+I31))))))</x:f>
        <x:v>0.28383127572016464</x:v>
      </x:c>
      <x:c r="X31" s="23" t="n">
        <x:f>IF(C31="","",IF(O31&lt;&gt;"Ready","Unavailable",IF(E31=3,F31*(1-MAX(0,1-(1-N31)*Settings!$H$34)/(1+I31)^M31),F31*(1-(1-U31)/(1+I31)^M31)*R31/(1+I31)*IF(ABS(1-(1-R31)*(1-L31)/(1+I31))&lt;0.000000001,AF31,(1-((1-R31)*(1-L31)/(1+I31))^AF31)/(1-(1-R31)*(1-L31)/(1+I31))))))</x:f>
        <x:v>0.10409979423868314</x:v>
      </x:c>
      <x:c r="Y31" s="23" t="n">
        <x:f>IF(C31="","",IF(O31&lt;&gt;"Ready","Unavailable",IF(E31=3,G31*INDEX('Facilities'!$I$9:$I$108,MATCH(C31,'Facilities'!$C$9:$C$108,0))*(1-MAX(0,1-(1-N31)*Settings!$H$32)/(1+I31)^M31),G31*INDEX('Facilities'!$I$9:$I$108,MATCH(C31,'Facilities'!$C$9:$C$108,0))*(1-(1-S31)/(1+I31)^M31)*P31/(1+I31)*IF(ABS(1-(1-P31)*(1-0)/(1+I31))&lt;0.000000001,AF31,(1-((1-P31)*(1-0)/(1+I31))^AF31)/(1-(1-P31)*(1-0)/(1+I31))))))</x:f>
        <x:v>0.01216278006401463</x:v>
      </x:c>
      <x:c r="Z31" s="23" t="n">
        <x:f>IF(C31="","",IF(O31&lt;&gt;"Ready","Unavailable",IF(E31=3,G31*INDEX('Facilities'!$I$9:$I$108,MATCH(C31,'Facilities'!$C$9:$C$108,0))*(1-MAX(0,1-(1-N31)*Settings!$H$33)/(1+I31)^M31),G31*INDEX('Facilities'!$I$9:$I$108,MATCH(C31,'Facilities'!$C$9:$C$108,0))*(1-(1-T31)/(1+I31)^M31)*Q31/(1+I31)*IF(ABS(1-(1-Q31)*(1-0)/(1+I31))&lt;0.000000001,AF31,(1-((1-Q31)*(1-0)/(1+I31))^AF31)/(1-(1-Q31)*(1-0)/(1+I31))))))</x:f>
        <x:v>0.024053497942386832</x:v>
      </x:c>
      <x:c r="AA31" s="23" t="n">
        <x:f>IF(C31="","",IF(O31&lt;&gt;"Ready","Unavailable",IF(E31=3,G31*INDEX('Facilities'!$I$9:$I$108,MATCH(C31,'Facilities'!$C$9:$C$108,0))*(1-MAX(0,1-(1-N31)*Settings!$H$34)/(1+I31)^M31),G31*INDEX('Facilities'!$I$9:$I$108,MATCH(C31,'Facilities'!$C$9:$C$108,0))*(1-(1-U31)/(1+I31)^M31)*R31/(1+I31)*IF(ABS(1-(1-R31)*(1-0)/(1+I31))&lt;0.000000001,AF31,(1-((1-R31)*(1-0)/(1+I31))^AF31)/(1-(1-R31)*(1-0)/(1+I31))))))</x:f>
        <x:v>0.008822016460905349</x:v>
      </x:c>
      <x:c r="AB31" s="23" t="n">
        <x:f>IF(C31="","",IF(O31&lt;&gt;"Ready","Unavailable",V31*Settings!$F$32+W31*Settings!$F$33+X31*Settings!$F$34))</x:f>
        <x:v>0.1816718449931413</x:v>
      </x:c>
      <x:c r="AC31" s="23" t="n">
        <x:f>IF(C31="","",IF(O31&lt;&gt;"Ready","Unavailable",Y31*Settings!$F$32+Z31*Settings!$F$33+AA31*Settings!$F$34))</x:f>
        <x:v>0.015395919067215363</x:v>
      </x:c>
      <x:c r="AD31" s="21" t="n">
        <x:f>IF(C31="","",IF(O31&lt;&gt;"Ready","Unavailable",AB31+AC31))</x:f>
        <x:v>0.19706776406035664</x:v>
      </x:c>
      <x:c r="AE31" s="17" t="n">
        <x:f>IF(C31="","",IF(OR(O31&lt;&gt;"Ready",F31=0),"Unavailable",AB31/F31))</x:f>
        <x:v>0.020527892089620487</x:v>
      </x:c>
      <x:c r="AF31" s="44" t="n">
        <x:f>IF(C31="","",IF(E31=1,1,H31))</x:f>
        <x:v>1</x:v>
      </x:c>
    </x:row>
    <x:row r="32" ht="26" customHeight="1">
      <x:c r="A32" s="1"/>
      <x:c r="B32" s="1"/>
      <x:c r="C32" s="9" t="str">
        <x:f>IF(Facilities!C32="","",Facilities!C32)</x:f>
        <x:v>F024</x:v>
      </x:c>
      <x:c r="D32" s="9" t="str">
        <x:f>IF(C32="","",INDEX('Facilities'!$D$9:$D$108,MATCH(C32,'Facilities'!$C$9:$C$108,0)))</x:f>
        <x:v>B012</x:v>
      </x:c>
      <x:c r="E32" s="9" t="n">
        <x:f>IF(C32="","",INDEX('Facilities'!$AD$9:$AD$108,MATCH(C32,'Facilities'!$C$9:$C$108,0)))</x:f>
        <x:v>1</x:v>
      </x:c>
      <x:c r="F32" s="23" t="n">
        <x:f>IF(C32="","",INDEX('Facilities'!$AA$9:$AA$108,MATCH(C32,'Facilities'!$C$9:$C$108,0)))</x:f>
        <x:v>6.35</x:v>
      </x:c>
      <x:c r="G32" s="23" t="n">
        <x:f>IF(C32="","",INDEX('Facilities'!$AB$9:$AB$108,MATCH(C32,'Facilities'!$C$9:$C$108,0)))</x:f>
        <x:v>0.5</x:v>
      </x:c>
      <x:c r="H32" s="42" t="n">
        <x:f>IF(C32="","",INDEX('Facilities'!$J$9:$J$108,MATCH(C32,'Facilities'!$C$9:$C$108,0)))</x:f>
        <x:v>6</x:v>
      </x:c>
      <x:c r="I32" s="30" t="n">
        <x:f>IF(C32="","",INDEX('Facilities'!$K$9:$K$108,MATCH(C32,'Facilities'!$C$9:$C$108,0)))</x:f>
        <x:v>0.08</x:v>
      </x:c>
      <x:c r="J32" s="30" t="n">
        <x:f>IF(C32="","",INDEX('Borrowers'!$P$9:$P$108,MATCH(D32,'Borrowers'!$C$9:$C$108,0)))</x:f>
        <x:v>0.041999999999999996</x:v>
      </x:c>
      <x:c r="K32" s="30" t="n">
        <x:f>IF(C32="","",INDEX('Borrowers'!$Q$9:$Q$108,MATCH(D32,'Borrowers'!$C$9:$C$108,0)))</x:f>
        <x:v>0.32</x:v>
      </x:c>
      <x:c r="L32" s="30" t="n">
        <x:f>IF(C32="","",INDEX('Facilities'!$R$9:$R$108,MATCH(C32,'Facilities'!$C$9:$C$108,0)))</x:f>
        <x:v>0.12</x:v>
      </x:c>
      <x:c r="M32" s="42" t="n">
        <x:f>IF(C32="","",INDEX('Facilities'!$AK$9:$AK$108,MATCH(C32,'Facilities'!$C$9:$C$108,0)))</x:f>
        <x:v>2</x:v>
      </x:c>
      <x:c r="N32" s="30" t="n">
        <x:f>IF(C32="","",INDEX('Facilities'!$AL$9:$AL$108,MATCH(C32,'Facilities'!$C$9:$C$108,0)))</x:f>
        <x:v>0.55</x:v>
      </x:c>
      <x:c r="O32" s="23" t="str">
        <x:f>IF(C32="","",IF(AND(INDEX('Facilities'!$AF$9:$AF$108,MATCH(C32,'Facilities'!$C$9:$C$108,0))="Ready",Settings!$F$36="Ready"),"Ready","Review ECL inputs"))</x:f>
        <x:v>Ready</x:v>
      </x:c>
      <x:c r="P32" s="30" t="n">
        <x:f>IF(C32="","",MIN(1,J32*Settings!$G$32))</x:f>
        <x:v>0.041999999999999996</x:v>
      </x:c>
      <x:c r="Q32" s="30" t="n">
        <x:f>IF(C32="","",MIN(1,J32*Settings!$G$33))</x:f>
        <x:v>0.0756</x:v>
      </x:c>
      <x:c r="R32" s="30" t="n">
        <x:f>IF(C32="","",MIN(1,J32*Settings!$G$34))</x:f>
        <x:v>0.0315</x:v>
      </x:c>
      <x:c r="S32" s="30" t="n">
        <x:f>IF(C32="","",MIN(1,K32*Settings!$H$32))</x:f>
        <x:v>0.32</x:v>
      </x:c>
      <x:c r="T32" s="30" t="n">
        <x:f>IF(C32="","",MIN(1,K32*Settings!$H$33))</x:f>
        <x:v>0.368</x:v>
      </x:c>
      <x:c r="U32" s="30" t="n">
        <x:f>IF(C32="","",MIN(1,K32*Settings!$H$34))</x:f>
        <x:v>0.304</x:v>
      </x:c>
      <x:c r="V32" s="23" t="n">
        <x:f>IF(C32="","",IF(O32&lt;&gt;"Ready","Unavailable",IF(E32=3,F32*(1-MAX(0,1-(1-N32)*Settings!$H$32)/(1+I32)^M32),F32*(1-(1-S32)/(1+I32)^M32)*P32/(1+I32)*IF(ABS(1-(1-P32)*(1-L32)/(1+I32))&lt;0.000000001,AF32,(1-((1-P32)*(1-L32)/(1+I32))^AF32)/(1-(1-P32)*(1-L32)/(1+I32))))))</x:f>
        <x:v>0.10297820454199055</x:v>
      </x:c>
      <x:c r="W32" s="23" t="n">
        <x:f>IF(C32="","",IF(O32&lt;&gt;"Ready","Unavailable",IF(E32=3,F32*(1-MAX(0,1-(1-N32)*Settings!$H$33)/(1+I32)^M32),F32*(1-(1-T32)/(1+I32)^M32)*Q32/(1+I32)*IF(ABS(1-(1-Q32)*(1-L32)/(1+I32))&lt;0.000000001,AF32,(1-((1-Q32)*(1-L32)/(1+I32))^AF32)/(1-(1-Q32)*(1-L32)/(1+I32))))))</x:f>
        <x:v>0.20365294924554186</x:v>
      </x:c>
      <x:c r="X32" s="23" t="n">
        <x:f>IF(C32="","",IF(O32&lt;&gt;"Ready","Unavailable",IF(E32=3,F32*(1-MAX(0,1-(1-N32)*Settings!$H$34)/(1+I32)^M32),F32*(1-(1-U32)/(1+I32)^M32)*R32/(1+I32)*IF(ABS(1-(1-R32)*(1-L32)/(1+I32))&lt;0.000000001,AF32,(1-((1-R32)*(1-L32)/(1+I32))^AF32)/(1-(1-R32)*(1-L32)/(1+I32))))))</x:f>
        <x:v>0.07469307270233197</x:v>
      </x:c>
      <x:c r="Y32" s="23" t="n">
        <x:f>IF(C32="","",IF(O32&lt;&gt;"Ready","Unavailable",IF(E32=3,G32*INDEX('Facilities'!$I$9:$I$108,MATCH(C32,'Facilities'!$C$9:$C$108,0))*(1-MAX(0,1-(1-N32)*Settings!$H$32)/(1+I32)^M32),G32*INDEX('Facilities'!$I$9:$I$108,MATCH(C32,'Facilities'!$C$9:$C$108,0))*(1-(1-S32)/(1+I32)^M32)*P32/(1+I32)*IF(ABS(1-(1-P32)*(1-0)/(1+I32))&lt;0.000000001,AF32,(1-((1-P32)*(1-0)/(1+I32))^AF32)/(1-(1-P32)*(1-0)/(1+I32))))))</x:f>
        <x:v>0.004054260021338211</x:v>
      </x:c>
      <x:c r="Z32" s="23" t="n">
        <x:f>IF(C32="","",IF(O32&lt;&gt;"Ready","Unavailable",IF(E32=3,G32*INDEX('Facilities'!$I$9:$I$108,MATCH(C32,'Facilities'!$C$9:$C$108,0))*(1-MAX(0,1-(1-N32)*Settings!$H$33)/(1+I32)^M32),G32*INDEX('Facilities'!$I$9:$I$108,MATCH(C32,'Facilities'!$C$9:$C$108,0))*(1-(1-T32)/(1+I32)^M32)*Q32/(1+I32)*IF(ABS(1-(1-Q32)*(1-0)/(1+I32))&lt;0.000000001,AF32,(1-((1-Q32)*(1-0)/(1+I32))^AF32)/(1-(1-Q32)*(1-0)/(1+I32))))))</x:f>
        <x:v>0.008017832647462277</x:v>
      </x:c>
      <x:c r="AA32" s="23" t="n">
        <x:f>IF(C32="","",IF(O32&lt;&gt;"Ready","Unavailable",IF(E32=3,G32*INDEX('Facilities'!$I$9:$I$108,MATCH(C32,'Facilities'!$C$9:$C$108,0))*(1-MAX(0,1-(1-N32)*Settings!$H$34)/(1+I32)^M32),G32*INDEX('Facilities'!$I$9:$I$108,MATCH(C32,'Facilities'!$C$9:$C$108,0))*(1-(1-U32)/(1+I32)^M32)*R32/(1+I32)*IF(ABS(1-(1-R32)*(1-0)/(1+I32))&lt;0.000000001,AF32,(1-((1-R32)*(1-0)/(1+I32))^AF32)/(1-(1-R32)*(1-0)/(1+I32))))))</x:f>
        <x:v>0.002940672153635117</x:v>
      </x:c>
      <x:c r="AB32" s="23" t="n">
        <x:f>IF(C32="","",IF(O32&lt;&gt;"Ready","Unavailable",V32*Settings!$F$32+W32*Settings!$F$33+X32*Settings!$F$34))</x:f>
        <x:v>0.1303521147690901</x:v>
      </x:c>
      <x:c r="AC32" s="23" t="n">
        <x:f>IF(C32="","",IF(O32&lt;&gt;"Ready","Unavailable",Y32*Settings!$F$32+Z32*Settings!$F$33+AA32*Settings!$F$34))</x:f>
        <x:v>0.005131973022405122</x:v>
      </x:c>
      <x:c r="AD32" s="21" t="n">
        <x:f>IF(C32="","",IF(O32&lt;&gt;"Ready","Unavailable",AB32+AC32))</x:f>
        <x:v>0.1354840877914952</x:v>
      </x:c>
      <x:c r="AE32" s="17" t="n">
        <x:f>IF(C32="","",IF(OR(O32&lt;&gt;"Ready",F32=0),"Unavailable",AB32/F32))</x:f>
        <x:v>0.020527892089620487</x:v>
      </x:c>
      <x:c r="AF32" s="44" t="n">
        <x:f>IF(C32="","",IF(E32=1,1,H32))</x:f>
        <x:v>1</x:v>
      </x:c>
    </x:row>
    <x:row r="33" ht="26" customHeight="1">
      <x:c r="A33" s="1"/>
      <x:c r="B33" s="1"/>
      <x:c r="C33" s="9" t="str">
        <x:f>IF(Facilities!C33="","",Facilities!C33)</x:f>
        <x:v>F025</x:v>
      </x:c>
      <x:c r="D33" s="9" t="str">
        <x:f>IF(C33="","",INDEX('Facilities'!$D$9:$D$108,MATCH(C33,'Facilities'!$C$9:$C$108,0)))</x:f>
        <x:v>B013</x:v>
      </x:c>
      <x:c r="E33" s="9" t="n">
        <x:f>IF(C33="","",INDEX('Facilities'!$AD$9:$AD$108,MATCH(C33,'Facilities'!$C$9:$C$108,0)))</x:f>
        <x:v>1</x:v>
      </x:c>
      <x:c r="F33" s="23" t="n">
        <x:f>IF(C33="","",INDEX('Facilities'!$AA$9:$AA$108,MATCH(C33,'Facilities'!$C$9:$C$108,0)))</x:f>
        <x:v>9.2</x:v>
      </x:c>
      <x:c r="G33" s="23" t="n">
        <x:f>IF(C33="","",INDEX('Facilities'!$AB$9:$AB$108,MATCH(C33,'Facilities'!$C$9:$C$108,0)))</x:f>
        <x:v>1.5</x:v>
      </x:c>
      <x:c r="H33" s="42" t="n">
        <x:f>IF(C33="","",INDEX('Facilities'!$J$9:$J$108,MATCH(C33,'Facilities'!$C$9:$C$108,0)))</x:f>
        <x:v>7</x:v>
      </x:c>
      <x:c r="I33" s="30" t="n">
        <x:f>IF(C33="","",INDEX('Facilities'!$K$9:$K$108,MATCH(C33,'Facilities'!$C$9:$C$108,0)))</x:f>
        <x:v>0.08</x:v>
      </x:c>
      <x:c r="J33" s="30" t="n">
        <x:f>IF(C33="","",INDEX('Borrowers'!$P$9:$P$108,MATCH(D33,'Borrowers'!$C$9:$C$108,0)))</x:f>
        <x:v>0.012</x:v>
      </x:c>
      <x:c r="K33" s="30" t="n">
        <x:f>IF(C33="","",INDEX('Borrowers'!$Q$9:$Q$108,MATCH(D33,'Borrowers'!$C$9:$C$108,0)))</x:f>
        <x:v>0.36000000000000004</x:v>
      </x:c>
      <x:c r="L33" s="30" t="n">
        <x:f>IF(C33="","",INDEX('Facilities'!$R$9:$R$108,MATCH(C33,'Facilities'!$C$9:$C$108,0)))</x:f>
        <x:v>0.12</x:v>
      </x:c>
      <x:c r="M33" s="42" t="n">
        <x:f>IF(C33="","",INDEX('Facilities'!$AK$9:$AK$108,MATCH(C33,'Facilities'!$C$9:$C$108,0)))</x:f>
        <x:v>2</x:v>
      </x:c>
      <x:c r="N33" s="30" t="n">
        <x:f>IF(C33="","",INDEX('Facilities'!$AL$9:$AL$108,MATCH(C33,'Facilities'!$C$9:$C$108,0)))</x:f>
        <x:v>0.55</x:v>
      </x:c>
      <x:c r="O33" s="23" t="str">
        <x:f>IF(C33="","",IF(AND(INDEX('Facilities'!$AF$9:$AF$108,MATCH(C33,'Facilities'!$C$9:$C$108,0))="Ready",Settings!$F$36="Ready"),"Ready","Review ECL inputs"))</x:f>
        <x:v>Ready</x:v>
      </x:c>
      <x:c r="P33" s="30" t="n">
        <x:f>IF(C33="","",MIN(1,J33*Settings!$G$32))</x:f>
        <x:v>0.012</x:v>
      </x:c>
      <x:c r="Q33" s="30" t="n">
        <x:f>IF(C33="","",MIN(1,J33*Settings!$G$33))</x:f>
        <x:v>0.0216</x:v>
      </x:c>
      <x:c r="R33" s="30" t="n">
        <x:f>IF(C33="","",MIN(1,J33*Settings!$G$34))</x:f>
        <x:v>0.009000000000000001</x:v>
      </x:c>
      <x:c r="S33" s="30" t="n">
        <x:f>IF(C33="","",MIN(1,K33*Settings!$H$32))</x:f>
        <x:v>0.36000000000000004</x:v>
      </x:c>
      <x:c r="T33" s="30" t="n">
        <x:f>IF(C33="","",MIN(1,K33*Settings!$H$33))</x:f>
        <x:v>0.41400000000000003</x:v>
      </x:c>
      <x:c r="U33" s="30" t="n">
        <x:f>IF(C33="","",MIN(1,K33*Settings!$H$34))</x:f>
        <x:v>0.342</x:v>
      </x:c>
      <x:c r="V33" s="23" t="n">
        <x:f>IF(C33="","",IF(O33&lt;&gt;"Ready","Unavailable",IF(E33=3,F33*(1-MAX(0,1-(1-N33)*Settings!$H$32)/(1+I33)^M33),F33*(1-(1-S33)/(1+I33)^M33)*P33/(1+I33)*IF(ABS(1-(1-P33)*(1-L33)/(1+I33))&lt;0.000000001,AF33,(1-((1-P33)*(1-L33)/(1+I33))^AF33)/(1-(1-P33)*(1-L33)/(1+I33))))))</x:f>
        <x:v>0.04613321140070112</x:v>
      </x:c>
      <x:c r="W33" s="23" t="n">
        <x:f>IF(C33="","",IF(O33&lt;&gt;"Ready","Unavailable",IF(E33=3,F33*(1-MAX(0,1-(1-N33)*Settings!$H$33)/(1+I33)^M33),F33*(1-(1-T33)/(1+I33)^M33)*Q33/(1+I33)*IF(ABS(1-(1-Q33)*(1-L33)/(1+I33))&lt;0.000000001,AF33,(1-((1-Q33)*(1-L33)/(1+I33))^AF33)/(1-(1-Q33)*(1-L33)/(1+I33))))))</x:f>
        <x:v>0.09155829903978052</x:v>
      </x:c>
      <x:c r="X33" s="23" t="n">
        <x:f>IF(C33="","",IF(O33&lt;&gt;"Ready","Unavailable",IF(E33=3,F33*(1-MAX(0,1-(1-N33)*Settings!$H$34)/(1+I33)^M33),F33*(1-(1-U33)/(1+I33)^M33)*R33/(1+I33)*IF(ABS(1-(1-R33)*(1-L33)/(1+I33))&lt;0.000000001,AF33,(1-((1-R33)*(1-L33)/(1+I33))^AF33)/(1-(1-R33)*(1-L33)/(1+I33))))))</x:f>
        <x:v>0.033416780978509385</x:v>
      </x:c>
      <x:c r="Y33" s="23" t="n">
        <x:f>IF(C33="","",IF(O33&lt;&gt;"Ready","Unavailable",IF(E33=3,G33*INDEX('Facilities'!$I$9:$I$108,MATCH(C33,'Facilities'!$C$9:$C$108,0))*(1-MAX(0,1-(1-N33)*Settings!$H$32)/(1+I33)^M33),G33*INDEX('Facilities'!$I$9:$I$108,MATCH(C33,'Facilities'!$C$9:$C$108,0))*(1-(1-S33)/(1+I33)^M33)*P33/(1+I33)*IF(ABS(1-(1-P33)*(1-0)/(1+I33))&lt;0.000000001,AF33,(1-((1-P33)*(1-0)/(1+I33))^AF33)/(1-(1-P33)*(1-0)/(1+I33))))))</x:f>
        <x:v>0.0037608596250571567</x:v>
      </x:c>
      <x:c r="Z33" s="23" t="n">
        <x:f>IF(C33="","",IF(O33&lt;&gt;"Ready","Unavailable",IF(E33=3,G33*INDEX('Facilities'!$I$9:$I$108,MATCH(C33,'Facilities'!$C$9:$C$108,0))*(1-MAX(0,1-(1-N33)*Settings!$H$33)/(1+I33)^M33),G33*INDEX('Facilities'!$I$9:$I$108,MATCH(C33,'Facilities'!$C$9:$C$108,0))*(1-(1-T33)/(1+I33)^M33)*Q33/(1+I33)*IF(ABS(1-(1-Q33)*(1-0)/(1+I33))&lt;0.000000001,AF33,(1-((1-Q33)*(1-0)/(1+I33))^AF33)/(1-(1-Q33)*(1-0)/(1+I33))))))</x:f>
        <x:v>0.007463991769547326</x:v>
      </x:c>
      <x:c r="AA33" s="23" t="n">
        <x:f>IF(C33="","",IF(O33&lt;&gt;"Ready","Unavailable",IF(E33=3,G33*INDEX('Facilities'!$I$9:$I$108,MATCH(C33,'Facilities'!$C$9:$C$108,0))*(1-MAX(0,1-(1-N33)*Settings!$H$34)/(1+I33)^M33),G33*INDEX('Facilities'!$I$9:$I$108,MATCH(C33,'Facilities'!$C$9:$C$108,0))*(1-(1-U33)/(1+I33)^M33)*R33/(1+I33)*IF(ABS(1-(1-R33)*(1-0)/(1+I33))&lt;0.000000001,AF33,(1-((1-R33)*(1-0)/(1+I33))^AF33)/(1-(1-R33)*(1-0)/(1+I33))))))</x:f>
        <x:v>0.0027241941015089173</x:v>
      </x:c>
      <x:c r="AB33" s="23" t="n">
        <x:f>IF(C33="","",IF(O33&lt;&gt;"Ready","Unavailable",V33*Settings!$F$32+W33*Settings!$F$33+X33*Settings!$F$34))</x:f>
        <x:v>0.05848909465020576</x:v>
      </x:c>
      <x:c r="AC33" s="23" t="n">
        <x:f>IF(C33="","",IF(O33&lt;&gt;"Ready","Unavailable",Y33*Settings!$F$32+Z33*Settings!$F$33+AA33*Settings!$F$34))</x:f>
        <x:v>0.004768132716049383</x:v>
      </x:c>
      <x:c r="AD33" s="21" t="n">
        <x:f>IF(C33="","",IF(O33&lt;&gt;"Ready","Unavailable",AB33+AC33))</x:f>
        <x:v>0.06325722736625515</x:v>
      </x:c>
      <x:c r="AE33" s="17" t="n">
        <x:f>IF(C33="","",IF(OR(O33&lt;&gt;"Ready",F33=0),"Unavailable",AB33/F33))</x:f>
        <x:v>0.006357510288065844</x:v>
      </x:c>
      <x:c r="AF33" s="44" t="n">
        <x:f>IF(C33="","",IF(E33=1,1,H33))</x:f>
        <x:v>1</x:v>
      </x:c>
    </x:row>
    <x:row r="34" ht="26" customHeight="1">
      <x:c r="A34" s="1"/>
      <x:c r="B34" s="1"/>
      <x:c r="C34" s="9" t="str">
        <x:f>IF(Facilities!C34="","",Facilities!C34)</x:f>
        <x:v>F026</x:v>
      </x:c>
      <x:c r="D34" s="9" t="str">
        <x:f>IF(C34="","",INDEX('Facilities'!$D$9:$D$108,MATCH(C34,'Facilities'!$C$9:$C$108,0)))</x:f>
        <x:v>B014</x:v>
      </x:c>
      <x:c r="E34" s="9" t="n">
        <x:f>IF(C34="","",INDEX('Facilities'!$AD$9:$AD$108,MATCH(C34,'Facilities'!$C$9:$C$108,0)))</x:f>
        <x:v>1</x:v>
      </x:c>
      <x:c r="F34" s="23" t="n">
        <x:f>IF(C34="","",INDEX('Facilities'!$AA$9:$AA$108,MATCH(C34,'Facilities'!$C$9:$C$108,0)))</x:f>
        <x:v>9.55</x:v>
      </x:c>
      <x:c r="G34" s="23" t="n">
        <x:f>IF(C34="","",INDEX('Facilities'!$AB$9:$AB$108,MATCH(C34,'Facilities'!$C$9:$C$108,0)))</x:f>
        <x:v>1.5</x:v>
      </x:c>
      <x:c r="H34" s="42" t="n">
        <x:f>IF(C34="","",INDEX('Facilities'!$J$9:$J$108,MATCH(C34,'Facilities'!$C$9:$C$108,0)))</x:f>
        <x:v>8</x:v>
      </x:c>
      <x:c r="I34" s="30" t="n">
        <x:f>IF(C34="","",INDEX('Facilities'!$K$9:$K$108,MATCH(C34,'Facilities'!$C$9:$C$108,0)))</x:f>
        <x:v>0.08</x:v>
      </x:c>
      <x:c r="J34" s="30" t="n">
        <x:f>IF(C34="","",INDEX('Borrowers'!$P$9:$P$108,MATCH(D34,'Borrowers'!$C$9:$C$108,0)))</x:f>
        <x:v>0.018000000000000002</x:v>
      </x:c>
      <x:c r="K34" s="30" t="n">
        <x:f>IF(C34="","",INDEX('Borrowers'!$Q$9:$Q$108,MATCH(D34,'Borrowers'!$C$9:$C$108,0)))</x:f>
        <x:v>0.4</x:v>
      </x:c>
      <x:c r="L34" s="30" t="n">
        <x:f>IF(C34="","",INDEX('Facilities'!$R$9:$R$108,MATCH(C34,'Facilities'!$C$9:$C$108,0)))</x:f>
        <x:v>0.12</x:v>
      </x:c>
      <x:c r="M34" s="42" t="n">
        <x:f>IF(C34="","",INDEX('Facilities'!$AK$9:$AK$108,MATCH(C34,'Facilities'!$C$9:$C$108,0)))</x:f>
        <x:v>2</x:v>
      </x:c>
      <x:c r="N34" s="30" t="n">
        <x:f>IF(C34="","",INDEX('Facilities'!$AL$9:$AL$108,MATCH(C34,'Facilities'!$C$9:$C$108,0)))</x:f>
        <x:v>0.55</x:v>
      </x:c>
      <x:c r="O34" s="23" t="str">
        <x:f>IF(C34="","",IF(AND(INDEX('Facilities'!$AF$9:$AF$108,MATCH(C34,'Facilities'!$C$9:$C$108,0))="Ready",Settings!$F$36="Ready"),"Ready","Review ECL inputs"))</x:f>
        <x:v>Ready</x:v>
      </x:c>
      <x:c r="P34" s="30" t="n">
        <x:f>IF(C34="","",MIN(1,J34*Settings!$G$32))</x:f>
        <x:v>0.018000000000000002</x:v>
      </x:c>
      <x:c r="Q34" s="30" t="n">
        <x:f>IF(C34="","",MIN(1,J34*Settings!$G$33))</x:f>
        <x:v>0.032400000000000005</x:v>
      </x:c>
      <x:c r="R34" s="30" t="n">
        <x:f>IF(C34="","",MIN(1,J34*Settings!$G$34))</x:f>
        <x:v>0.013500000000000002</x:v>
      </x:c>
      <x:c r="S34" s="30" t="n">
        <x:f>IF(C34="","",MIN(1,K34*Settings!$H$32))</x:f>
        <x:v>0.4</x:v>
      </x:c>
      <x:c r="T34" s="30" t="n">
        <x:f>IF(C34="","",MIN(1,K34*Settings!$H$33))</x:f>
        <x:v>0.45999999999999996</x:v>
      </x:c>
      <x:c r="U34" s="30" t="n">
        <x:f>IF(C34="","",MIN(1,K34*Settings!$H$34))</x:f>
        <x:v>0.38</x:v>
      </x:c>
      <x:c r="V34" s="23" t="n">
        <x:f>IF(C34="","",IF(O34&lt;&gt;"Ready","Unavailable",IF(E34=3,F34*(1-MAX(0,1-(1-N34)*Settings!$H$32)/(1+I34)^M34),F34*(1-(1-S34)/(1+I34)^M34)*P34/(1+I34)*IF(ABS(1-(1-P34)*(1-L34)/(1+I34))&lt;0.000000001,AF34,(1-((1-P34)*(1-L34)/(1+I34))^AF34)/(1-(1-P34)*(1-L34)/(1+I34))))))</x:f>
        <x:v>0.07729080932784639</x:v>
      </x:c>
      <x:c r="W34" s="23" t="n">
        <x:f>IF(C34="","",IF(O34&lt;&gt;"Ready","Unavailable",IF(E34=3,F34*(1-MAX(0,1-(1-N34)*Settings!$H$33)/(1+I34)^M34),F34*(1-(1-T34)/(1+I34)^M34)*Q34/(1+I34)*IF(ABS(1-(1-Q34)*(1-L34)/(1+I34))&lt;0.000000001,AF34,(1-((1-Q34)*(1-L34)/(1+I34))^AF34)/(1-(1-Q34)*(1-L34)/(1+I34))))))</x:f>
        <x:v>0.15386111111111112</x:v>
      </x:c>
      <x:c r="X34" s="23" t="n">
        <x:f>IF(C34="","",IF(O34&lt;&gt;"Ready","Unavailable",IF(E34=3,F34*(1-MAX(0,1-(1-N34)*Settings!$H$34)/(1+I34)^M34),F34*(1-(1-U34)/(1+I34)^M34)*R34/(1+I34)*IF(ABS(1-(1-R34)*(1-L34)/(1+I34))&lt;0.000000001,AF34,(1-((1-R34)*(1-L34)/(1+I34))^AF34)/(1-(1-R34)*(1-L34)/(1+I34))))))</x:f>
        <x:v>0.055921210562414274</x:v>
      </x:c>
      <x:c r="Y34" s="23" t="n">
        <x:f>IF(C34="","",IF(O34&lt;&gt;"Ready","Unavailable",IF(E34=3,G34*INDEX('Facilities'!$I$9:$I$108,MATCH(C34,'Facilities'!$C$9:$C$108,0))*(1-MAX(0,1-(1-N34)*Settings!$H$32)/(1+I34)^M34),G34*INDEX('Facilities'!$I$9:$I$108,MATCH(C34,'Facilities'!$C$9:$C$108,0))*(1-(1-S34)/(1+I34)^M34)*P34/(1+I34)*IF(ABS(1-(1-P34)*(1-0)/(1+I34))&lt;0.000000001,AF34,(1-((1-P34)*(1-0)/(1+I34))^AF34)/(1-(1-P34)*(1-0)/(1+I34))))))</x:f>
        <x:v>0.006069958847736626</x:v>
      </x:c>
      <x:c r="Z34" s="23" t="n">
        <x:f>IF(C34="","",IF(O34&lt;&gt;"Ready","Unavailable",IF(E34=3,G34*INDEX('Facilities'!$I$9:$I$108,MATCH(C34,'Facilities'!$C$9:$C$108,0))*(1-MAX(0,1-(1-N34)*Settings!$H$33)/(1+I34)^M34),G34*INDEX('Facilities'!$I$9:$I$108,MATCH(C34,'Facilities'!$C$9:$C$108,0))*(1-(1-T34)/(1+I34)^M34)*Q34/(1+I34)*IF(ABS(1-(1-Q34)*(1-0)/(1+I34))&lt;0.000000001,AF34,(1-((1-Q34)*(1-0)/(1+I34))^AF34)/(1-(1-Q34)*(1-0)/(1+I34))))))</x:f>
        <x:v>0.012083333333333333</x:v>
      </x:c>
      <x:c r="AA34" s="23" t="n">
        <x:f>IF(C34="","",IF(O34&lt;&gt;"Ready","Unavailable",IF(E34=3,G34*INDEX('Facilities'!$I$9:$I$108,MATCH(C34,'Facilities'!$C$9:$C$108,0))*(1-MAX(0,1-(1-N34)*Settings!$H$34)/(1+I34)^M34),G34*INDEX('Facilities'!$I$9:$I$108,MATCH(C34,'Facilities'!$C$9:$C$108,0))*(1-(1-U34)/(1+I34)^M34)*R34/(1+I34)*IF(ABS(1-(1-R34)*(1-0)/(1+I34))&lt;0.000000001,AF34,(1-((1-R34)*(1-0)/(1+I34))^AF34)/(1-(1-R34)*(1-0)/(1+I34))))))</x:f>
        <x:v>0.0043917181069958846</x:v>
      </x:c>
      <x:c r="AB34" s="23" t="n">
        <x:f>IF(C34="","",IF(O34&lt;&gt;"Ready","Unavailable",V34*Settings!$F$32+W34*Settings!$F$33+X34*Settings!$F$34))</x:f>
        <x:v>0.0981249399862826</x:v>
      </x:c>
      <x:c r="AC34" s="23" t="n">
        <x:f>IF(C34="","",IF(O34&lt;&gt;"Ready","Unavailable",Y34*Settings!$F$32+Z34*Settings!$F$33+AA34*Settings!$F$34))</x:f>
        <x:v>0.0077061471193415635</x:v>
      </x:c>
      <x:c r="AD34" s="21" t="n">
        <x:f>IF(C34="","",IF(O34&lt;&gt;"Ready","Unavailable",AB34+AC34))</x:f>
        <x:v>0.10583108710562417</x:v>
      </x:c>
      <x:c r="AE34" s="17" t="n">
        <x:f>IF(C34="","",IF(OR(O34&lt;&gt;"Ready",F34=0),"Unavailable",AB34/F34))</x:f>
        <x:v>0.010274862825788754</x:v>
      </x:c>
      <x:c r="AF34" s="44" t="n">
        <x:f>IF(C34="","",IF(E34=1,1,H34))</x:f>
        <x:v>1</x:v>
      </x:c>
    </x:row>
    <x:row r="35" ht="26" customHeight="1">
      <x:c r="A35" s="1"/>
      <x:c r="B35" s="1"/>
      <x:c r="C35" s="9" t="str">
        <x:f>IF(Facilities!C35="","",Facilities!C35)</x:f>
        <x:v>F027</x:v>
      </x:c>
      <x:c r="D35" s="9" t="str">
        <x:f>IF(C35="","",INDEX('Facilities'!$D$9:$D$108,MATCH(C35,'Facilities'!$C$9:$C$108,0)))</x:f>
        <x:v>B015</x:v>
      </x:c>
      <x:c r="E35" s="9" t="n">
        <x:f>IF(C35="","",INDEX('Facilities'!$AD$9:$AD$108,MATCH(C35,'Facilities'!$C$9:$C$108,0)))</x:f>
        <x:v>1</x:v>
      </x:c>
      <x:c r="F35" s="23" t="n">
        <x:f>IF(C35="","",INDEX('Facilities'!$AA$9:$AA$108,MATCH(C35,'Facilities'!$C$9:$C$108,0)))</x:f>
        <x:v>9.899999999999999</x:v>
      </x:c>
      <x:c r="G35" s="23" t="n">
        <x:f>IF(C35="","",INDEX('Facilities'!$AB$9:$AB$108,MATCH(C35,'Facilities'!$C$9:$C$108,0)))</x:f>
        <x:v>1.5</x:v>
      </x:c>
      <x:c r="H35" s="42" t="n">
        <x:f>IF(C35="","",INDEX('Facilities'!$J$9:$J$108,MATCH(C35,'Facilities'!$C$9:$C$108,0)))</x:f>
        <x:v>12</x:v>
      </x:c>
      <x:c r="I35" s="30" t="n">
        <x:f>IF(C35="","",INDEX('Facilities'!$K$9:$K$108,MATCH(C35,'Facilities'!$C$9:$C$108,0)))</x:f>
        <x:v>0.08</x:v>
      </x:c>
      <x:c r="J35" s="30" t="n">
        <x:f>IF(C35="","",INDEX('Borrowers'!$P$9:$P$108,MATCH(D35,'Borrowers'!$C$9:$C$108,0)))</x:f>
        <x:v>0.024</x:v>
      </x:c>
      <x:c r="K35" s="30" t="n">
        <x:f>IF(C35="","",INDEX('Borrowers'!$Q$9:$Q$108,MATCH(D35,'Borrowers'!$C$9:$C$108,0)))</x:f>
        <x:v>0.44000000000000006</x:v>
      </x:c>
      <x:c r="L35" s="30" t="n">
        <x:f>IF(C35="","",INDEX('Facilities'!$R$9:$R$108,MATCH(C35,'Facilities'!$C$9:$C$108,0)))</x:f>
        <x:v>0.12</x:v>
      </x:c>
      <x:c r="M35" s="42" t="n">
        <x:f>IF(C35="","",INDEX('Facilities'!$AK$9:$AK$108,MATCH(C35,'Facilities'!$C$9:$C$108,0)))</x:f>
        <x:v>2</x:v>
      </x:c>
      <x:c r="N35" s="30" t="n">
        <x:f>IF(C35="","",INDEX('Facilities'!$AL$9:$AL$108,MATCH(C35,'Facilities'!$C$9:$C$108,0)))</x:f>
        <x:v>0.55</x:v>
      </x:c>
      <x:c r="O35" s="23" t="str">
        <x:f>IF(C35="","",IF(AND(INDEX('Facilities'!$AF$9:$AF$108,MATCH(C35,'Facilities'!$C$9:$C$108,0))="Ready",Settings!$F$36="Ready"),"Ready","Review ECL inputs"))</x:f>
        <x:v>Ready</x:v>
      </x:c>
      <x:c r="P35" s="30" t="n">
        <x:f>IF(C35="","",MIN(1,J35*Settings!$G$32))</x:f>
        <x:v>0.024</x:v>
      </x:c>
      <x:c r="Q35" s="30" t="n">
        <x:f>IF(C35="","",MIN(1,J35*Settings!$G$33))</x:f>
        <x:v>0.0432</x:v>
      </x:c>
      <x:c r="R35" s="30" t="n">
        <x:f>IF(C35="","",MIN(1,J35*Settings!$G$34))</x:f>
        <x:v>0.018000000000000002</x:v>
      </x:c>
      <x:c r="S35" s="30" t="n">
        <x:f>IF(C35="","",MIN(1,K35*Settings!$H$32))</x:f>
        <x:v>0.44000000000000006</x:v>
      </x:c>
      <x:c r="T35" s="30" t="n">
        <x:f>IF(C35="","",MIN(1,K35*Settings!$H$33))</x:f>
        <x:v>0.506</x:v>
      </x:c>
      <x:c r="U35" s="30" t="n">
        <x:f>IF(C35="","",MIN(1,K35*Settings!$H$34))</x:f>
        <x:v>0.41800000000000004</x:v>
      </x:c>
      <x:c r="V35" s="23" t="n">
        <x:f>IF(C35="","",IF(O35&lt;&gt;"Ready","Unavailable",IF(E35=3,F35*(1-MAX(0,1-(1-N35)*Settings!$H$32)/(1+I35)^M35),F35*(1-(1-S35)/(1+I35)^M35)*P35/(1+I35)*IF(ABS(1-(1-P35)*(1-L35)/(1+I35))&lt;0.000000001,AF35,(1-((1-P35)*(1-L35)/(1+I35))^AF35)/(1-(1-P35)*(1-L35)/(1+I35))))))</x:f>
        <x:v>0.11437585733882029</x:v>
      </x:c>
      <x:c r="W35" s="23" t="n">
        <x:f>IF(C35="","",IF(O35&lt;&gt;"Ready","Unavailable",IF(E35=3,F35*(1-MAX(0,1-(1-N35)*Settings!$H$33)/(1+I35)^M35),F35*(1-(1-T35)/(1+I35)^M35)*Q35/(1+I35)*IF(ABS(1-(1-Q35)*(1-L35)/(1+I35))&lt;0.000000001,AF35,(1-((1-Q35)*(1-L35)/(1+I35))^AF35)/(1-(1-Q35)*(1-L35)/(1+I35))))))</x:f>
        <x:v>0.22828395061728393</x:v>
      </x:c>
      <x:c r="X35" s="23" t="n">
        <x:f>IF(C35="","",IF(O35&lt;&gt;"Ready","Unavailable",IF(E35=3,F35*(1-MAX(0,1-(1-N35)*Settings!$H$34)/(1+I35)^M35),F35*(1-(1-U35)/(1+I35)^M35)*R35/(1+I35)*IF(ABS(1-(1-R35)*(1-L35)/(1+I35))&lt;0.000000001,AF35,(1-((1-R35)*(1-L35)/(1+I35))^AF35)/(1-(1-R35)*(1-L35)/(1+I35))))))</x:f>
        <x:v>0.08266975308641977</x:v>
      </x:c>
      <x:c r="Y35" s="23" t="n">
        <x:f>IF(C35="","",IF(O35&lt;&gt;"Ready","Unavailable",IF(E35=3,G35*INDEX('Facilities'!$I$9:$I$108,MATCH(C35,'Facilities'!$C$9:$C$108,0))*(1-MAX(0,1-(1-N35)*Settings!$H$32)/(1+I35)^M35),G35*INDEX('Facilities'!$I$9:$I$108,MATCH(C35,'Facilities'!$C$9:$C$108,0))*(1-(1-S35)/(1+I35)^M35)*P35/(1+I35)*IF(ABS(1-(1-P35)*(1-0)/(1+I35))&lt;0.000000001,AF35,(1-((1-P35)*(1-0)/(1+I35))^AF35)/(1-(1-P35)*(1-0)/(1+I35))))))</x:f>
        <x:v>0.008664837677183356</x:v>
      </x:c>
      <x:c r="Z35" s="23" t="n">
        <x:f>IF(C35="","",IF(O35&lt;&gt;"Ready","Unavailable",IF(E35=3,G35*INDEX('Facilities'!$I$9:$I$108,MATCH(C35,'Facilities'!$C$9:$C$108,0))*(1-MAX(0,1-(1-N35)*Settings!$H$33)/(1+I35)^M35),G35*INDEX('Facilities'!$I$9:$I$108,MATCH(C35,'Facilities'!$C$9:$C$108,0))*(1-(1-T35)/(1+I35)^M35)*Q35/(1+I35)*IF(ABS(1-(1-Q35)*(1-0)/(1+I35))&lt;0.000000001,AF35,(1-((1-Q35)*(1-0)/(1+I35))^AF35)/(1-(1-Q35)*(1-0)/(1+I35))))))</x:f>
        <x:v>0.017294238683127572</x:v>
      </x:c>
      <x:c r="AA35" s="23" t="n">
        <x:f>IF(C35="","",IF(O35&lt;&gt;"Ready","Unavailable",IF(E35=3,G35*INDEX('Facilities'!$I$9:$I$108,MATCH(C35,'Facilities'!$C$9:$C$108,0))*(1-MAX(0,1-(1-N35)*Settings!$H$34)/(1+I35)^M35),G35*INDEX('Facilities'!$I$9:$I$108,MATCH(C35,'Facilities'!$C$9:$C$108,0))*(1-(1-U35)/(1+I35)^M35)*R35/(1+I35)*IF(ABS(1-(1-R35)*(1-0)/(1+I35))&lt;0.000000001,AF35,(1-((1-R35)*(1-0)/(1+I35))^AF35)/(1-(1-R35)*(1-0)/(1+I35))))))</x:f>
        <x:v>0.006262860082304528</x:v>
      </x:c>
      <x:c r="AB35" s="23" t="n">
        <x:f>IF(C35="","",IF(O35&lt;&gt;"Ready","Unavailable",V35*Settings!$F$32+W35*Settings!$F$33+X35*Settings!$F$34))</x:f>
        <x:v>0.14537767489711934</x:v>
      </x:c>
      <x:c r="AC35" s="23" t="n">
        <x:f>IF(C35="","",IF(O35&lt;&gt;"Ready","Unavailable",Y35*Settings!$F$32+Z35*Settings!$F$33+AA35*Settings!$F$34))</x:f>
        <x:v>0.011013460219478738</x:v>
      </x:c>
      <x:c r="AD35" s="21" t="n">
        <x:f>IF(C35="","",IF(O35&lt;&gt;"Ready","Unavailable",AB35+AC35))</x:f>
        <x:v>0.15639113511659808</x:v>
      </x:c>
      <x:c r="AE35" s="17" t="n">
        <x:f>IF(C35="","",IF(OR(O35&lt;&gt;"Ready",F35=0),"Unavailable",AB35/F35))</x:f>
        <x:v>0.014684613625971652</x:v>
      </x:c>
      <x:c r="AF35" s="44" t="n">
        <x:f>IF(C35="","",IF(E35=1,1,H35))</x:f>
        <x:v>1</x:v>
      </x:c>
    </x:row>
    <x:row r="36" ht="26" customHeight="1">
      <x:c r="A36" s="1"/>
      <x:c r="B36" s="1"/>
      <x:c r="C36" s="9" t="str">
        <x:f>IF(Facilities!C36="","",Facilities!C36)</x:f>
        <x:v>F028</x:v>
      </x:c>
      <x:c r="D36" s="9" t="str">
        <x:f>IF(C36="","",INDEX('Facilities'!$D$9:$D$108,MATCH(C36,'Facilities'!$C$9:$C$108,0)))</x:f>
        <x:v>B016</x:v>
      </x:c>
      <x:c r="E36" s="9" t="n">
        <x:f>IF(C36="","",INDEX('Facilities'!$AD$9:$AD$108,MATCH(C36,'Facilities'!$C$9:$C$108,0)))</x:f>
        <x:v>1</x:v>
      </x:c>
      <x:c r="F36" s="23" t="n">
        <x:f>IF(C36="","",INDEX('Facilities'!$AA$9:$AA$108,MATCH(C36,'Facilities'!$C$9:$C$108,0)))</x:f>
        <x:v>10.25</x:v>
      </x:c>
      <x:c r="G36" s="23" t="n">
        <x:f>IF(C36="","",INDEX('Facilities'!$AB$9:$AB$108,MATCH(C36,'Facilities'!$C$9:$C$108,0)))</x:f>
        <x:v>1.5</x:v>
      </x:c>
      <x:c r="H36" s="42" t="n">
        <x:f>IF(C36="","",INDEX('Facilities'!$J$9:$J$108,MATCH(C36,'Facilities'!$C$9:$C$108,0)))</x:f>
        <x:v>5</x:v>
      </x:c>
      <x:c r="I36" s="30" t="n">
        <x:f>IF(C36="","",INDEX('Facilities'!$K$9:$K$108,MATCH(C36,'Facilities'!$C$9:$C$108,0)))</x:f>
        <x:v>0.08</x:v>
      </x:c>
      <x:c r="J36" s="30" t="n">
        <x:f>IF(C36="","",INDEX('Borrowers'!$P$9:$P$108,MATCH(D36,'Borrowers'!$C$9:$C$108,0)))</x:f>
        <x:v>0.030000000000000002</x:v>
      </x:c>
      <x:c r="K36" s="30" t="n">
        <x:f>IF(C36="","",INDEX('Borrowers'!$Q$9:$Q$108,MATCH(D36,'Borrowers'!$C$9:$C$108,0)))</x:f>
        <x:v>0.28</x:v>
      </x:c>
      <x:c r="L36" s="30" t="n">
        <x:f>IF(C36="","",INDEX('Facilities'!$R$9:$R$108,MATCH(C36,'Facilities'!$C$9:$C$108,0)))</x:f>
        <x:v>0.12</x:v>
      </x:c>
      <x:c r="M36" s="42" t="n">
        <x:f>IF(C36="","",INDEX('Facilities'!$AK$9:$AK$108,MATCH(C36,'Facilities'!$C$9:$C$108,0)))</x:f>
        <x:v>2</x:v>
      </x:c>
      <x:c r="N36" s="30" t="n">
        <x:f>IF(C36="","",INDEX('Facilities'!$AL$9:$AL$108,MATCH(C36,'Facilities'!$C$9:$C$108,0)))</x:f>
        <x:v>0.55</x:v>
      </x:c>
      <x:c r="O36" s="23" t="str">
        <x:f>IF(C36="","",IF(AND(INDEX('Facilities'!$AF$9:$AF$108,MATCH(C36,'Facilities'!$C$9:$C$108,0))="Ready",Settings!$F$36="Ready"),"Ready","Review ECL inputs"))</x:f>
        <x:v>Ready</x:v>
      </x:c>
      <x:c r="P36" s="30" t="n">
        <x:f>IF(C36="","",MIN(1,J36*Settings!$G$32))</x:f>
        <x:v>0.030000000000000002</x:v>
      </x:c>
      <x:c r="Q36" s="30" t="n">
        <x:f>IF(C36="","",MIN(1,J36*Settings!$G$33))</x:f>
        <x:v>0.054000000000000006</x:v>
      </x:c>
      <x:c r="R36" s="30" t="n">
        <x:f>IF(C36="","",MIN(1,J36*Settings!$G$34))</x:f>
        <x:v>0.022500000000000003</x:v>
      </x:c>
      <x:c r="S36" s="30" t="n">
        <x:f>IF(C36="","",MIN(1,K36*Settings!$H$32))</x:f>
        <x:v>0.28</x:v>
      </x:c>
      <x:c r="T36" s="30" t="n">
        <x:f>IF(C36="","",MIN(1,K36*Settings!$H$33))</x:f>
        <x:v>0.322</x:v>
      </x:c>
      <x:c r="U36" s="30" t="n">
        <x:f>IF(C36="","",MIN(1,K36*Settings!$H$34))</x:f>
        <x:v>0.266</x:v>
      </x:c>
      <x:c r="V36" s="23" t="n">
        <x:f>IF(C36="","",IF(O36&lt;&gt;"Ready","Unavailable",IF(E36=3,F36*(1-MAX(0,1-(1-N36)*Settings!$H$32)/(1+I36)^M36),F36*(1-(1-S36)/(1+I36)^M36)*P36/(1+I36)*IF(ABS(1-(1-P36)*(1-L36)/(1+I36))&lt;0.000000001,AF36,(1-((1-P36)*(1-L36)/(1+I36))^AF36)/(1-(1-P36)*(1-L36)/(1+I36))))))</x:f>
        <x:v>0.10896776406035666</x:v>
      </x:c>
      <x:c r="W36" s="23" t="n">
        <x:f>IF(C36="","",IF(O36&lt;&gt;"Ready","Unavailable",IF(E36=3,F36*(1-MAX(0,1-(1-N36)*Settings!$H$33)/(1+I36)^M36),F36*(1-(1-T36)/(1+I36)^M36)*Q36/(1+I36)*IF(ABS(1-(1-Q36)*(1-L36)/(1+I36))&lt;0.000000001,AF36,(1-((1-Q36)*(1-L36)/(1+I36))^AF36)/(1-(1-Q36)*(1-L36)/(1+I36))))))</x:f>
        <x:v>0.2145961934156379</x:v>
      </x:c>
      <x:c r="X36" s="23" t="n">
        <x:f>IF(C36="","",IF(O36&lt;&gt;"Ready","Unavailable",IF(E36=3,F36*(1-MAX(0,1-(1-N36)*Settings!$H$34)/(1+I36)^M36),F36*(1-(1-U36)/(1+I36)^M36)*R36/(1+I36)*IF(ABS(1-(1-R36)*(1-L36)/(1+I36))&lt;0.000000001,AF36,(1-((1-R36)*(1-L36)/(1+I36))^AF36)/(1-(1-R36)*(1-L36)/(1+I36))))))</x:f>
        <x:v>0.07916273719707365</x:v>
      </x:c>
      <x:c r="Y36" s="23" t="n">
        <x:f>IF(C36="","",IF(O36&lt;&gt;"Ready","Unavailable",IF(E36=3,G36*INDEX('Facilities'!$I$9:$I$108,MATCH(C36,'Facilities'!$C$9:$C$108,0))*(1-MAX(0,1-(1-N36)*Settings!$H$32)/(1+I36)^M36),G36*INDEX('Facilities'!$I$9:$I$108,MATCH(C36,'Facilities'!$C$9:$C$108,0))*(1-(1-S36)/(1+I36)^M36)*P36/(1+I36)*IF(ABS(1-(1-P36)*(1-0)/(1+I36))&lt;0.000000001,AF36,(1-((1-P36)*(1-0)/(1+I36))^AF36)/(1-(1-P36)*(1-0)/(1+I36))))))</x:f>
        <x:v>0.007973251028806586</x:v>
      </x:c>
      <x:c r="Z36" s="23" t="n">
        <x:f>IF(C36="","",IF(O36&lt;&gt;"Ready","Unavailable",IF(E36=3,G36*INDEX('Facilities'!$I$9:$I$108,MATCH(C36,'Facilities'!$C$9:$C$108,0))*(1-MAX(0,1-(1-N36)*Settings!$H$33)/(1+I36)^M36),G36*INDEX('Facilities'!$I$9:$I$108,MATCH(C36,'Facilities'!$C$9:$C$108,0))*(1-(1-T36)/(1+I36)^M36)*Q36/(1+I36)*IF(ABS(1-(1-Q36)*(1-0)/(1+I36))&lt;0.000000001,AF36,(1-((1-Q36)*(1-0)/(1+I36))^AF36)/(1-(1-Q36)*(1-0)/(1+I36))))))</x:f>
        <x:v>0.015702160493827166</x:v>
      </x:c>
      <x:c r="AA36" s="23" t="n">
        <x:f>IF(C36="","",IF(O36&lt;&gt;"Ready","Unavailable",IF(E36=3,G36*INDEX('Facilities'!$I$9:$I$108,MATCH(C36,'Facilities'!$C$9:$C$108,0))*(1-MAX(0,1-(1-N36)*Settings!$H$34)/(1+I36)^M36),G36*INDEX('Facilities'!$I$9:$I$108,MATCH(C36,'Facilities'!$C$9:$C$108,0))*(1-(1-U36)/(1+I36)^M36)*R36/(1+I36)*IF(ABS(1-(1-R36)*(1-0)/(1+I36))&lt;0.000000001,AF36,(1-((1-R36)*(1-0)/(1+I36))^AF36)/(1-(1-R36)*(1-0)/(1+I36))))))</x:f>
        <x:v>0.005792395404663924</x:v>
      </x:c>
      <x:c r="AB36" s="23" t="n">
        <x:f>IF(C36="","",IF(O36&lt;&gt;"Ready","Unavailable",V36*Settings!$F$32+W36*Settings!$F$33+X36*Settings!$F$34))</x:f>
        <x:v>0.1376757901806127</x:v>
      </x:c>
      <x:c r="AC36" s="23" t="n">
        <x:f>IF(C36="","",IF(O36&lt;&gt;"Ready","Unavailable",Y36*Settings!$F$32+Z36*Settings!$F$33+AA36*Settings!$F$34))</x:f>
        <x:v>0.010073838305898494</x:v>
      </x:c>
      <x:c r="AD36" s="21" t="n">
        <x:f>IF(C36="","",IF(O36&lt;&gt;"Ready","Unavailable",AB36+AC36))</x:f>
        <x:v>0.14774962848651121</x:v>
      </x:c>
      <x:c r="AE36" s="17" t="n">
        <x:f>IF(C36="","",IF(OR(O36&lt;&gt;"Ready",F36=0),"Unavailable",AB36/F36))</x:f>
        <x:v>0.013431784407864654</x:v>
      </x:c>
      <x:c r="AF36" s="44" t="n">
        <x:f>IF(C36="","",IF(E36=1,1,H36))</x:f>
        <x:v>1</x:v>
      </x:c>
    </x:row>
    <x:row r="37" ht="26" customHeight="1">
      <x:c r="A37" s="1"/>
      <x:c r="B37" s="1"/>
      <x:c r="C37" s="9" t="str">
        <x:f>IF(Facilities!C37="","",Facilities!C37)</x:f>
        <x:v>F029</x:v>
      </x:c>
      <x:c r="D37" s="9" t="str">
        <x:f>IF(C37="","",INDEX('Facilities'!$D$9:$D$108,MATCH(C37,'Facilities'!$C$9:$C$108,0)))</x:f>
        <x:v>B017</x:v>
      </x:c>
      <x:c r="E37" s="9" t="n">
        <x:f>IF(C37="","",INDEX('Facilities'!$AD$9:$AD$108,MATCH(C37,'Facilities'!$C$9:$C$108,0)))</x:f>
        <x:v>2</x:v>
      </x:c>
      <x:c r="F37" s="23" t="n">
        <x:f>IF(C37="","",INDEX('Facilities'!$AA$9:$AA$108,MATCH(C37,'Facilities'!$C$9:$C$108,0)))</x:f>
        <x:v>10.6</x:v>
      </x:c>
      <x:c r="G37" s="23" t="n">
        <x:f>IF(C37="","",INDEX('Facilities'!$AB$9:$AB$108,MATCH(C37,'Facilities'!$C$9:$C$108,0)))</x:f>
        <x:v>1.5</x:v>
      </x:c>
      <x:c r="H37" s="42" t="n">
        <x:f>IF(C37="","",INDEX('Facilities'!$J$9:$J$108,MATCH(C37,'Facilities'!$C$9:$C$108,0)))</x:f>
        <x:v>6</x:v>
      </x:c>
      <x:c r="I37" s="30" t="n">
        <x:f>IF(C37="","",INDEX('Facilities'!$K$9:$K$108,MATCH(C37,'Facilities'!$C$9:$C$108,0)))</x:f>
        <x:v>0.08</x:v>
      </x:c>
      <x:c r="J37" s="30" t="n">
        <x:f>IF(C37="","",INDEX('Borrowers'!$P$9:$P$108,MATCH(D37,'Borrowers'!$C$9:$C$108,0)))</x:f>
        <x:v>0.036000000000000004</x:v>
      </x:c>
      <x:c r="K37" s="30" t="n">
        <x:f>IF(C37="","",INDEX('Borrowers'!$Q$9:$Q$108,MATCH(D37,'Borrowers'!$C$9:$C$108,0)))</x:f>
        <x:v>0.32</x:v>
      </x:c>
      <x:c r="L37" s="30" t="n">
        <x:f>IF(C37="","",INDEX('Facilities'!$R$9:$R$108,MATCH(C37,'Facilities'!$C$9:$C$108,0)))</x:f>
        <x:v>0.12</x:v>
      </x:c>
      <x:c r="M37" s="42" t="n">
        <x:f>IF(C37="","",INDEX('Facilities'!$AK$9:$AK$108,MATCH(C37,'Facilities'!$C$9:$C$108,0)))</x:f>
        <x:v>2</x:v>
      </x:c>
      <x:c r="N37" s="30" t="n">
        <x:f>IF(C37="","",INDEX('Facilities'!$AL$9:$AL$108,MATCH(C37,'Facilities'!$C$9:$C$108,0)))</x:f>
        <x:v>0.55</x:v>
      </x:c>
      <x:c r="O37" s="23" t="str">
        <x:f>IF(C37="","",IF(AND(INDEX('Facilities'!$AF$9:$AF$108,MATCH(C37,'Facilities'!$C$9:$C$108,0))="Ready",Settings!$F$36="Ready"),"Ready","Review ECL inputs"))</x:f>
        <x:v>Ready</x:v>
      </x:c>
      <x:c r="P37" s="30" t="n">
        <x:f>IF(C37="","",MIN(1,J37*Settings!$G$32))</x:f>
        <x:v>0.036000000000000004</x:v>
      </x:c>
      <x:c r="Q37" s="30" t="n">
        <x:f>IF(C37="","",MIN(1,J37*Settings!$G$33))</x:f>
        <x:v>0.06480000000000001</x:v>
      </x:c>
      <x:c r="R37" s="30" t="n">
        <x:f>IF(C37="","",MIN(1,J37*Settings!$G$34))</x:f>
        <x:v>0.027000000000000003</x:v>
      </x:c>
      <x:c r="S37" s="30" t="n">
        <x:f>IF(C37="","",MIN(1,K37*Settings!$H$32))</x:f>
        <x:v>0.32</x:v>
      </x:c>
      <x:c r="T37" s="30" t="n">
        <x:f>IF(C37="","",MIN(1,K37*Settings!$H$33))</x:f>
        <x:v>0.368</x:v>
      </x:c>
      <x:c r="U37" s="30" t="n">
        <x:f>IF(C37="","",MIN(1,K37*Settings!$H$34))</x:f>
        <x:v>0.304</x:v>
      </x:c>
      <x:c r="V37" s="23" t="n">
        <x:f>IF(C37="","",IF(O37&lt;&gt;"Ready","Unavailable",IF(E37=3,F37*(1-MAX(0,1-(1-N37)*Settings!$H$32)/(1+I37)^M37),F37*(1-(1-S37)/(1+I37)^M37)*P37/(1+I37)*IF(ABS(1-(1-P37)*(1-L37)/(1+I37))&lt;0.000000001,AF37,(1-((1-P37)*(1-L37)/(1+I37))^AF37)/(1-(1-P37)*(1-L37)/(1+I37))))))</x:f>
        <x:v>0.5255387492616911</x:v>
      </x:c>
      <x:c r="W37" s="23" t="n">
        <x:f>IF(C37="","",IF(O37&lt;&gt;"Ready","Unavailable",IF(E37=3,F37*(1-MAX(0,1-(1-N37)*Settings!$H$33)/(1+I37)^M37),F37*(1-(1-T37)/(1+I37)^M37)*Q37/(1+I37)*IF(ABS(1-(1-Q37)*(1-L37)/(1+I37))&lt;0.000000001,AF37,(1-((1-Q37)*(1-L37)/(1+I37))^AF37)/(1-(1-Q37)*(1-L37)/(1+I37))))))</x:f>
        <x:v>0.9846866259488533</x:v>
      </x:c>
      <x:c r="X37" s="23" t="n">
        <x:f>IF(C37="","",IF(O37&lt;&gt;"Ready","Unavailable",IF(E37=3,F37*(1-MAX(0,1-(1-N37)*Settings!$H$34)/(1+I37)^M37),F37*(1-(1-U37)/(1+I37)^M37)*R37/(1+I37)*IF(ABS(1-(1-R37)*(1-L37)/(1+I37))&lt;0.000000001,AF37,(1-((1-R37)*(1-L37)/(1+I37))^AF37)/(1-(1-R37)*(1-L37)/(1+I37))))))</x:f>
        <x:v>0.3877338777168338</x:v>
      </x:c>
      <x:c r="Y37" s="23" t="n">
        <x:f>IF(C37="","",IF(O37&lt;&gt;"Ready","Unavailable",IF(E37=3,G37*INDEX('Facilities'!$I$9:$I$108,MATCH(C37,'Facilities'!$C$9:$C$108,0))*(1-MAX(0,1-(1-N37)*Settings!$H$32)/(1+I37)^M37),G37*INDEX('Facilities'!$I$9:$I$108,MATCH(C37,'Facilities'!$C$9:$C$108,0))*(1-(1-S37)/(1+I37)^M37)*P37/(1+I37)*IF(ABS(1-(1-P37)*(1-0)/(1+I37))&lt;0.000000001,AF37,(1-((1-P37)*(1-0)/(1+I37))^AF37)/(1-(1-P37)*(1-0)/(1+I37))))))</x:f>
        <x:v>0.04797501353696842</x:v>
      </x:c>
      <x:c r="Z37" s="23" t="n">
        <x:f>IF(C37="","",IF(O37&lt;&gt;"Ready","Unavailable",IF(E37=3,G37*INDEX('Facilities'!$I$9:$I$108,MATCH(C37,'Facilities'!$C$9:$C$108,0))*(1-MAX(0,1-(1-N37)*Settings!$H$33)/(1+I37)^M37),G37*INDEX('Facilities'!$I$9:$I$108,MATCH(C37,'Facilities'!$C$9:$C$108,0))*(1-(1-T37)/(1+I37)^M37)*Q37/(1+I37)*IF(ABS(1-(1-Q37)*(1-0)/(1+I37))&lt;0.000000001,AF37,(1-((1-Q37)*(1-0)/(1+I37))^AF37)/(1-(1-Q37)*(1-0)/(1+I37))))))</x:f>
        <x:v>0.08894605667656408</x:v>
      </x:c>
      <x:c r="AA37" s="23" t="n">
        <x:f>IF(C37="","",IF(O37&lt;&gt;"Ready","Unavailable",IF(E37=3,G37*INDEX('Facilities'!$I$9:$I$108,MATCH(C37,'Facilities'!$C$9:$C$108,0))*(1-MAX(0,1-(1-N37)*Settings!$H$34)/(1+I37)^M37),G37*INDEX('Facilities'!$I$9:$I$108,MATCH(C37,'Facilities'!$C$9:$C$108,0))*(1-(1-U37)/(1+I37)^M37)*R37/(1+I37)*IF(ABS(1-(1-R37)*(1-0)/(1+I37))&lt;0.000000001,AF37,(1-((1-R37)*(1-0)/(1+I37))^AF37)/(1-(1-R37)*(1-0)/(1+I37))))))</x:f>
        <x:v>0.035511265568430816</x:v>
      </x:c>
      <x:c r="AB37" s="23" t="n">
        <x:f>IF(C37="","",IF(O37&lt;&gt;"Ready","Unavailable",V37*Settings!$F$32+W37*Settings!$F$33+X37*Settings!$F$34))</x:f>
        <x:v>0.649502625113354</x:v>
      </x:c>
      <x:c r="AC37" s="23" t="n">
        <x:f>IF(C37="","",IF(O37&lt;&gt;"Ready","Unavailable",Y37*Settings!$F$32+Z37*Settings!$F$33+AA37*Settings!$F$34))</x:f>
        <x:v>0.05901995168199336</x:v>
      </x:c>
      <x:c r="AD37" s="21" t="n">
        <x:f>IF(C37="","",IF(O37&lt;&gt;"Ready","Unavailable",AB37+AC37))</x:f>
        <x:v>0.7085225767953474</x:v>
      </x:c>
      <x:c r="AE37" s="17" t="n">
        <x:f>IF(C37="","",IF(OR(O37&lt;&gt;"Ready",F37=0),"Unavailable",AB37/F37))</x:f>
        <x:v>0.06127383255786359</x:v>
      </x:c>
      <x:c r="AF37" s="44" t="n">
        <x:f>IF(C37="","",IF(E37=1,1,H37))</x:f>
        <x:v>6</x:v>
      </x:c>
    </x:row>
    <x:row r="38" ht="26" customHeight="1">
      <x:c r="A38" s="1"/>
      <x:c r="B38" s="1"/>
      <x:c r="C38" s="9" t="str">
        <x:f>IF(Facilities!C38="","",Facilities!C38)</x:f>
        <x:v>F030</x:v>
      </x:c>
      <x:c r="D38" s="9" t="str">
        <x:f>IF(C38="","",INDEX('Facilities'!$D$9:$D$108,MATCH(C38,'Facilities'!$C$9:$C$108,0)))</x:f>
        <x:v>B018</x:v>
      </x:c>
      <x:c r="E38" s="9" t="n">
        <x:f>IF(C38="","",INDEX('Facilities'!$AD$9:$AD$108,MATCH(C38,'Facilities'!$C$9:$C$108,0)))</x:f>
        <x:v>1</x:v>
      </x:c>
      <x:c r="F38" s="23" t="n">
        <x:f>IF(C38="","",INDEX('Facilities'!$AA$9:$AA$108,MATCH(C38,'Facilities'!$C$9:$C$108,0)))</x:f>
        <x:v>10.95</x:v>
      </x:c>
      <x:c r="G38" s="23" t="n">
        <x:f>IF(C38="","",INDEX('Facilities'!$AB$9:$AB$108,MATCH(C38,'Facilities'!$C$9:$C$108,0)))</x:f>
        <x:v>1.5</x:v>
      </x:c>
      <x:c r="H38" s="42" t="n">
        <x:f>IF(C38="","",INDEX('Facilities'!$J$9:$J$108,MATCH(C38,'Facilities'!$C$9:$C$108,0)))</x:f>
        <x:v>7</x:v>
      </x:c>
      <x:c r="I38" s="30" t="n">
        <x:f>IF(C38="","",INDEX('Facilities'!$K$9:$K$108,MATCH(C38,'Facilities'!$C$9:$C$108,0)))</x:f>
        <x:v>0.08</x:v>
      </x:c>
      <x:c r="J38" s="30" t="n">
        <x:f>IF(C38="","",INDEX('Borrowers'!$P$9:$P$108,MATCH(D38,'Borrowers'!$C$9:$C$108,0)))</x:f>
        <x:v>0.041999999999999996</x:v>
      </x:c>
      <x:c r="K38" s="30" t="n">
        <x:f>IF(C38="","",INDEX('Borrowers'!$Q$9:$Q$108,MATCH(D38,'Borrowers'!$C$9:$C$108,0)))</x:f>
        <x:v>0.36000000000000004</x:v>
      </x:c>
      <x:c r="L38" s="30" t="n">
        <x:f>IF(C38="","",INDEX('Facilities'!$R$9:$R$108,MATCH(C38,'Facilities'!$C$9:$C$108,0)))</x:f>
        <x:v>0.12</x:v>
      </x:c>
      <x:c r="M38" s="42" t="n">
        <x:f>IF(C38="","",INDEX('Facilities'!$AK$9:$AK$108,MATCH(C38,'Facilities'!$C$9:$C$108,0)))</x:f>
        <x:v>2</x:v>
      </x:c>
      <x:c r="N38" s="30" t="n">
        <x:f>IF(C38="","",INDEX('Facilities'!$AL$9:$AL$108,MATCH(C38,'Facilities'!$C$9:$C$108,0)))</x:f>
        <x:v>0.55</x:v>
      </x:c>
      <x:c r="O38" s="23" t="str">
        <x:f>IF(C38="","",IF(AND(INDEX('Facilities'!$AF$9:$AF$108,MATCH(C38,'Facilities'!$C$9:$C$108,0))="Ready",Settings!$F$36="Ready"),"Ready","Review ECL inputs"))</x:f>
        <x:v>Ready</x:v>
      </x:c>
      <x:c r="P38" s="30" t="n">
        <x:f>IF(C38="","",MIN(1,J38*Settings!$G$32))</x:f>
        <x:v>0.041999999999999996</x:v>
      </x:c>
      <x:c r="Q38" s="30" t="n">
        <x:f>IF(C38="","",MIN(1,J38*Settings!$G$33))</x:f>
        <x:v>0.0756</x:v>
      </x:c>
      <x:c r="R38" s="30" t="n">
        <x:f>IF(C38="","",MIN(1,J38*Settings!$G$34))</x:f>
        <x:v>0.0315</x:v>
      </x:c>
      <x:c r="S38" s="30" t="n">
        <x:f>IF(C38="","",MIN(1,K38*Settings!$H$32))</x:f>
        <x:v>0.36000000000000004</x:v>
      </x:c>
      <x:c r="T38" s="30" t="n">
        <x:f>IF(C38="","",MIN(1,K38*Settings!$H$33))</x:f>
        <x:v>0.41400000000000003</x:v>
      </x:c>
      <x:c r="U38" s="30" t="n">
        <x:f>IF(C38="","",MIN(1,K38*Settings!$H$34))</x:f>
        <x:v>0.342</x:v>
      </x:c>
      <x:c r="V38" s="23" t="n">
        <x:f>IF(C38="","",IF(O38&lt;&gt;"Ready","Unavailable",IF(E38=3,F38*(1-MAX(0,1-(1-N38)*Settings!$H$32)/(1+I38)^M38),F38*(1-(1-S38)/(1+I38)^M38)*P38/(1+I38)*IF(ABS(1-(1-P38)*(1-L38)/(1+I38))&lt;0.000000001,AF38,(1-((1-P38)*(1-L38)/(1+I38))^AF38)/(1-(1-P38)*(1-L38)/(1+I38))))))</x:f>
        <x:v>0.19217992684042065</x:v>
      </x:c>
      <x:c r="W38" s="23" t="n">
        <x:f>IF(C38="","",IF(O38&lt;&gt;"Ready","Unavailable",IF(E38=3,F38*(1-MAX(0,1-(1-N38)*Settings!$H$33)/(1+I38)^M38),F38*(1-(1-T38)/(1+I38)^M38)*Q38/(1+I38)*IF(ABS(1-(1-Q38)*(1-L38)/(1+I38))&lt;0.000000001,AF38,(1-((1-Q38)*(1-L38)/(1+I38))^AF38)/(1-(1-Q38)*(1-L38)/(1+I38))))))</x:f>
        <x:v>0.38140997942386834</x:v>
      </x:c>
      <x:c r="X38" s="23" t="n">
        <x:f>IF(C38="","",IF(O38&lt;&gt;"Ready","Unavailable",IF(E38=3,F38*(1-MAX(0,1-(1-N38)*Settings!$H$34)/(1+I38)^M38),F38*(1-(1-U38)/(1+I38)^M38)*R38/(1+I38)*IF(ABS(1-(1-R38)*(1-L38)/(1+I38))&lt;0.000000001,AF38,(1-((1-R38)*(1-L38)/(1+I38))^AF38)/(1-(1-R38)*(1-L38)/(1+I38))))))</x:f>
        <x:v>0.13920631858710564</x:v>
      </x:c>
      <x:c r="Y38" s="23" t="n">
        <x:f>IF(C38="","",IF(O38&lt;&gt;"Ready","Unavailable",IF(E38=3,G38*INDEX('Facilities'!$I$9:$I$108,MATCH(C38,'Facilities'!$C$9:$C$108,0))*(1-MAX(0,1-(1-N38)*Settings!$H$32)/(1+I38)^M38),G38*INDEX('Facilities'!$I$9:$I$108,MATCH(C38,'Facilities'!$C$9:$C$108,0))*(1-(1-S38)/(1+I38)^M38)*P38/(1+I38)*IF(ABS(1-(1-P38)*(1-0)/(1+I38))&lt;0.000000001,AF38,(1-((1-P38)*(1-0)/(1+I38))^AF38)/(1-(1-P38)*(1-0)/(1+I38))))))</x:f>
        <x:v>0.013163008687700047</x:v>
      </x:c>
      <x:c r="Z38" s="23" t="n">
        <x:f>IF(C38="","",IF(O38&lt;&gt;"Ready","Unavailable",IF(E38=3,G38*INDEX('Facilities'!$I$9:$I$108,MATCH(C38,'Facilities'!$C$9:$C$108,0))*(1-MAX(0,1-(1-N38)*Settings!$H$33)/(1+I38)^M38),G38*INDEX('Facilities'!$I$9:$I$108,MATCH(C38,'Facilities'!$C$9:$C$108,0))*(1-(1-T38)/(1+I38)^M38)*Q38/(1+I38)*IF(ABS(1-(1-Q38)*(1-0)/(1+I38))&lt;0.000000001,AF38,(1-((1-Q38)*(1-0)/(1+I38))^AF38)/(1-(1-Q38)*(1-0)/(1+I38))))))</x:f>
        <x:v>0.026123971193415644</x:v>
      </x:c>
      <x:c r="AA38" s="23" t="n">
        <x:f>IF(C38="","",IF(O38&lt;&gt;"Ready","Unavailable",IF(E38=3,G38*INDEX('Facilities'!$I$9:$I$108,MATCH(C38,'Facilities'!$C$9:$C$108,0))*(1-MAX(0,1-(1-N38)*Settings!$H$34)/(1+I38)^M38),G38*INDEX('Facilities'!$I$9:$I$108,MATCH(C38,'Facilities'!$C$9:$C$108,0))*(1-(1-U38)/(1+I38)^M38)*R38/(1+I38)*IF(ABS(1-(1-R38)*(1-0)/(1+I38))&lt;0.000000001,AF38,(1-((1-R38)*(1-0)/(1+I38))^AF38)/(1-(1-R38)*(1-0)/(1+I38))))))</x:f>
        <x:v>0.009534679355281208</x:v>
      </x:c>
      <x:c r="AB38" s="23" t="n">
        <x:f>IF(C38="","",IF(O38&lt;&gt;"Ready","Unavailable",V38*Settings!$F$32+W38*Settings!$F$33+X38*Settings!$F$34))</x:f>
        <x:v>0.24365158179012344</x:v>
      </x:c>
      <x:c r="AC38" s="23" t="n">
        <x:f>IF(C38="","",IF(O38&lt;&gt;"Ready","Unavailable",Y38*Settings!$F$32+Z38*Settings!$F$33+AA38*Settings!$F$34))</x:f>
        <x:v>0.01668846450617284</x:v>
      </x:c>
      <x:c r="AD38" s="21" t="n">
        <x:f>IF(C38="","",IF(O38&lt;&gt;"Ready","Unavailable",AB38+AC38))</x:f>
        <x:v>0.26034004629629626</x:v>
      </x:c>
      <x:c r="AE38" s="17" t="n">
        <x:f>IF(C38="","",IF(OR(O38&lt;&gt;"Ready",F38=0),"Unavailable",AB38/F38))</x:f>
        <x:v>0.022251286008230453</x:v>
      </x:c>
      <x:c r="AF38" s="44" t="n">
        <x:f>IF(C38="","",IF(E38=1,1,H38))</x:f>
        <x:v>1</x:v>
      </x:c>
    </x:row>
    <x:row r="39" ht="26" customHeight="1">
      <x:c r="A39" s="1"/>
      <x:c r="B39" s="1"/>
      <x:c r="C39" s="9" t="str">
        <x:f>IF(Facilities!C39="","",Facilities!C39)</x:f>
        <x:v>F031</x:v>
      </x:c>
      <x:c r="D39" s="9" t="str">
        <x:f>IF(C39="","",INDEX('Facilities'!$D$9:$D$108,MATCH(C39,'Facilities'!$C$9:$C$108,0)))</x:f>
        <x:v>B019</x:v>
      </x:c>
      <x:c r="E39" s="9" t="n">
        <x:f>IF(C39="","",INDEX('Facilities'!$AD$9:$AD$108,MATCH(C39,'Facilities'!$C$9:$C$108,0)))</x:f>
        <x:v>1</x:v>
      </x:c>
      <x:c r="F39" s="23" t="n">
        <x:f>IF(C39="","",INDEX('Facilities'!$AA$9:$AA$108,MATCH(C39,'Facilities'!$C$9:$C$108,0)))</x:f>
        <x:v>11.3</x:v>
      </x:c>
      <x:c r="G39" s="23" t="n">
        <x:f>IF(C39="","",INDEX('Facilities'!$AB$9:$AB$108,MATCH(C39,'Facilities'!$C$9:$C$108,0)))</x:f>
        <x:v>1.5</x:v>
      </x:c>
      <x:c r="H39" s="42" t="n">
        <x:f>IF(C39="","",INDEX('Facilities'!$J$9:$J$108,MATCH(C39,'Facilities'!$C$9:$C$108,0)))</x:f>
        <x:v>8</x:v>
      </x:c>
      <x:c r="I39" s="30" t="n">
        <x:f>IF(C39="","",INDEX('Facilities'!$K$9:$K$108,MATCH(C39,'Facilities'!$C$9:$C$108,0)))</x:f>
        <x:v>0.08</x:v>
      </x:c>
      <x:c r="J39" s="30" t="n">
        <x:f>IF(C39="","",INDEX('Borrowers'!$P$9:$P$108,MATCH(D39,'Borrowers'!$C$9:$C$108,0)))</x:f>
        <x:v>0.012</x:v>
      </x:c>
      <x:c r="K39" s="30" t="n">
        <x:f>IF(C39="","",INDEX('Borrowers'!$Q$9:$Q$108,MATCH(D39,'Borrowers'!$C$9:$C$108,0)))</x:f>
        <x:v>0.4</x:v>
      </x:c>
      <x:c r="L39" s="30" t="n">
        <x:f>IF(C39="","",INDEX('Facilities'!$R$9:$R$108,MATCH(C39,'Facilities'!$C$9:$C$108,0)))</x:f>
        <x:v>0.12</x:v>
      </x:c>
      <x:c r="M39" s="42" t="n">
        <x:f>IF(C39="","",INDEX('Facilities'!$AK$9:$AK$108,MATCH(C39,'Facilities'!$C$9:$C$108,0)))</x:f>
        <x:v>2</x:v>
      </x:c>
      <x:c r="N39" s="30" t="n">
        <x:f>IF(C39="","",INDEX('Facilities'!$AL$9:$AL$108,MATCH(C39,'Facilities'!$C$9:$C$108,0)))</x:f>
        <x:v>0.55</x:v>
      </x:c>
      <x:c r="O39" s="23" t="str">
        <x:f>IF(C39="","",IF(AND(INDEX('Facilities'!$AF$9:$AF$108,MATCH(C39,'Facilities'!$C$9:$C$108,0))="Ready",Settings!$F$36="Ready"),"Ready","Review ECL inputs"))</x:f>
        <x:v>Ready</x:v>
      </x:c>
      <x:c r="P39" s="30" t="n">
        <x:f>IF(C39="","",MIN(1,J39*Settings!$G$32))</x:f>
        <x:v>0.012</x:v>
      </x:c>
      <x:c r="Q39" s="30" t="n">
        <x:f>IF(C39="","",MIN(1,J39*Settings!$G$33))</x:f>
        <x:v>0.0216</x:v>
      </x:c>
      <x:c r="R39" s="30" t="n">
        <x:f>IF(C39="","",MIN(1,J39*Settings!$G$34))</x:f>
        <x:v>0.009000000000000001</x:v>
      </x:c>
      <x:c r="S39" s="30" t="n">
        <x:f>IF(C39="","",MIN(1,K39*Settings!$H$32))</x:f>
        <x:v>0.4</x:v>
      </x:c>
      <x:c r="T39" s="30" t="n">
        <x:f>IF(C39="","",MIN(1,K39*Settings!$H$33))</x:f>
        <x:v>0.45999999999999996</x:v>
      </x:c>
      <x:c r="U39" s="30" t="n">
        <x:f>IF(C39="","",MIN(1,K39*Settings!$H$34))</x:f>
        <x:v>0.38</x:v>
      </x:c>
      <x:c r="V39" s="23" t="n">
        <x:f>IF(C39="","",IF(O39&lt;&gt;"Ready","Unavailable",IF(E39=3,F39*(1-MAX(0,1-(1-N39)*Settings!$H$32)/(1+I39)^M39),F39*(1-(1-S39)/(1+I39)^M39)*P39/(1+I39)*IF(ABS(1-(1-P39)*(1-L39)/(1+I39))&lt;0.000000001,AF39,(1-((1-P39)*(1-L39)/(1+I39))^AF39)/(1-(1-P39)*(1-L39)/(1+I39))))))</x:f>
        <x:v>0.06096936442615456</x:v>
      </x:c>
      <x:c r="W39" s="23" t="n">
        <x:f>IF(C39="","",IF(O39&lt;&gt;"Ready","Unavailable",IF(E39=3,F39*(1-MAX(0,1-(1-N39)*Settings!$H$33)/(1+I39)^M39),F39*(1-(1-T39)/(1+I39)^M39)*Q39/(1+I39)*IF(ABS(1-(1-Q39)*(1-L39)/(1+I39))&lt;0.000000001,AF39,(1-((1-Q39)*(1-L39)/(1+I39))^AF39)/(1-(1-Q39)*(1-L39)/(1+I39))))))</x:f>
        <x:v>0.12137037037037036</x:v>
      </x:c>
      <x:c r="X39" s="23" t="n">
        <x:f>IF(C39="","",IF(O39&lt;&gt;"Ready","Unavailable",IF(E39=3,F39*(1-MAX(0,1-(1-N39)*Settings!$H$34)/(1+I39)^M39),F39*(1-(1-U39)/(1+I39)^M39)*R39/(1+I39)*IF(ABS(1-(1-R39)*(1-L39)/(1+I39))&lt;0.000000001,AF39,(1-((1-R39)*(1-L39)/(1+I39))^AF39)/(1-(1-R39)*(1-L39)/(1+I39))))))</x:f>
        <x:v>0.0441123685413809</x:v>
      </x:c>
      <x:c r="Y39" s="23" t="n">
        <x:f>IF(C39="","",IF(O39&lt;&gt;"Ready","Unavailable",IF(E39=3,G39*INDEX('Facilities'!$I$9:$I$108,MATCH(C39,'Facilities'!$C$9:$C$108,0))*(1-MAX(0,1-(1-N39)*Settings!$H$32)/(1+I39)^M39),G39*INDEX('Facilities'!$I$9:$I$108,MATCH(C39,'Facilities'!$C$9:$C$108,0))*(1-(1-S39)/(1+I39)^M39)*P39/(1+I39)*IF(ABS(1-(1-P39)*(1-0)/(1+I39))&lt;0.000000001,AF39,(1-((1-P39)*(1-0)/(1+I39))^AF39)/(1-(1-P39)*(1-0)/(1+I39))))))</x:f>
        <x:v>0.004046639231824417</x:v>
      </x:c>
      <x:c r="Z39" s="23" t="n">
        <x:f>IF(C39="","",IF(O39&lt;&gt;"Ready","Unavailable",IF(E39=3,G39*INDEX('Facilities'!$I$9:$I$108,MATCH(C39,'Facilities'!$C$9:$C$108,0))*(1-MAX(0,1-(1-N39)*Settings!$H$33)/(1+I39)^M39),G39*INDEX('Facilities'!$I$9:$I$108,MATCH(C39,'Facilities'!$C$9:$C$108,0))*(1-(1-T39)/(1+I39)^M39)*Q39/(1+I39)*IF(ABS(1-(1-Q39)*(1-0)/(1+I39))&lt;0.000000001,AF39,(1-((1-Q39)*(1-0)/(1+I39))^AF39)/(1-(1-Q39)*(1-0)/(1+I39))))))</x:f>
        <x:v>0.008055555555555554</x:v>
      </x:c>
      <x:c r="AA39" s="23" t="n">
        <x:f>IF(C39="","",IF(O39&lt;&gt;"Ready","Unavailable",IF(E39=3,G39*INDEX('Facilities'!$I$9:$I$108,MATCH(C39,'Facilities'!$C$9:$C$108,0))*(1-MAX(0,1-(1-N39)*Settings!$H$34)/(1+I39)^M39),G39*INDEX('Facilities'!$I$9:$I$108,MATCH(C39,'Facilities'!$C$9:$C$108,0))*(1-(1-U39)/(1+I39)^M39)*R39/(1+I39)*IF(ABS(1-(1-R39)*(1-0)/(1+I39))&lt;0.000000001,AF39,(1-((1-R39)*(1-0)/(1+I39))^AF39)/(1-(1-R39)*(1-0)/(1+I39))))))</x:f>
        <x:v>0.0029278120713305896</x:v>
      </x:c>
      <x:c r="AB39" s="23" t="n">
        <x:f>IF(C39="","",IF(O39&lt;&gt;"Ready","Unavailable",V39*Settings!$F$32+W39*Settings!$F$33+X39*Settings!$F$34))</x:f>
        <x:v>0.07740396662094194</x:v>
      </x:c>
      <x:c r="AC39" s="23" t="n">
        <x:f>IF(C39="","",IF(O39&lt;&gt;"Ready","Unavailable",Y39*Settings!$F$32+Z39*Settings!$F$33+AA39*Settings!$F$34))</x:f>
        <x:v>0.0051374314128943745</x:v>
      </x:c>
      <x:c r="AD39" s="21" t="n">
        <x:f>IF(C39="","",IF(O39&lt;&gt;"Ready","Unavailable",AB39+AC39))</x:f>
        <x:v>0.08254139803383631</x:v>
      </x:c>
      <x:c r="AE39" s="17" t="n">
        <x:f>IF(C39="","",IF(OR(O39&lt;&gt;"Ready",F39=0),"Unavailable",AB39/F39))</x:f>
        <x:v>0.006849908550525835</x:v>
      </x:c>
      <x:c r="AF39" s="44" t="n">
        <x:f>IF(C39="","",IF(E39=1,1,H39))</x:f>
        <x:v>1</x:v>
      </x:c>
    </x:row>
    <x:row r="40" ht="26" customHeight="1">
      <x:c r="A40" s="1"/>
      <x:c r="B40" s="1"/>
      <x:c r="C40" s="9" t="str">
        <x:f>IF(Facilities!C40="","",Facilities!C40)</x:f>
        <x:v>F032</x:v>
      </x:c>
      <x:c r="D40" s="9" t="str">
        <x:f>IF(C40="","",INDEX('Facilities'!$D$9:$D$108,MATCH(C40,'Facilities'!$C$9:$C$108,0)))</x:f>
        <x:v>B020</x:v>
      </x:c>
      <x:c r="E40" s="9" t="n">
        <x:f>IF(C40="","",INDEX('Facilities'!$AD$9:$AD$108,MATCH(C40,'Facilities'!$C$9:$C$108,0)))</x:f>
        <x:v>1</x:v>
      </x:c>
      <x:c r="F40" s="23" t="n">
        <x:f>IF(C40="","",INDEX('Facilities'!$AA$9:$AA$108,MATCH(C40,'Facilities'!$C$9:$C$108,0)))</x:f>
        <x:v>11.649999999999999</x:v>
      </x:c>
      <x:c r="G40" s="23" t="n">
        <x:f>IF(C40="","",INDEX('Facilities'!$AB$9:$AB$108,MATCH(C40,'Facilities'!$C$9:$C$108,0)))</x:f>
        <x:v>1.5</x:v>
      </x:c>
      <x:c r="H40" s="42" t="n">
        <x:f>IF(C40="","",INDEX('Facilities'!$J$9:$J$108,MATCH(C40,'Facilities'!$C$9:$C$108,0)))</x:f>
        <x:v>9</x:v>
      </x:c>
      <x:c r="I40" s="30" t="n">
        <x:f>IF(C40="","",INDEX('Facilities'!$K$9:$K$108,MATCH(C40,'Facilities'!$C$9:$C$108,0)))</x:f>
        <x:v>0.08</x:v>
      </x:c>
      <x:c r="J40" s="30" t="n">
        <x:f>IF(C40="","",INDEX('Borrowers'!$P$9:$P$108,MATCH(D40,'Borrowers'!$C$9:$C$108,0)))</x:f>
        <x:v>0.018000000000000002</x:v>
      </x:c>
      <x:c r="K40" s="30" t="n">
        <x:f>IF(C40="","",INDEX('Borrowers'!$Q$9:$Q$108,MATCH(D40,'Borrowers'!$C$9:$C$108,0)))</x:f>
        <x:v>0.44000000000000006</x:v>
      </x:c>
      <x:c r="L40" s="30" t="n">
        <x:f>IF(C40="","",INDEX('Facilities'!$R$9:$R$108,MATCH(C40,'Facilities'!$C$9:$C$108,0)))</x:f>
        <x:v>0.12</x:v>
      </x:c>
      <x:c r="M40" s="42" t="n">
        <x:f>IF(C40="","",INDEX('Facilities'!$AK$9:$AK$108,MATCH(C40,'Facilities'!$C$9:$C$108,0)))</x:f>
        <x:v>2</x:v>
      </x:c>
      <x:c r="N40" s="30" t="n">
        <x:f>IF(C40="","",INDEX('Facilities'!$AL$9:$AL$108,MATCH(C40,'Facilities'!$C$9:$C$108,0)))</x:f>
        <x:v>0.55</x:v>
      </x:c>
      <x:c r="O40" s="23" t="str">
        <x:f>IF(C40="","",IF(AND(INDEX('Facilities'!$AF$9:$AF$108,MATCH(C40,'Facilities'!$C$9:$C$108,0))="Ready",Settings!$F$36="Ready"),"Ready","Review ECL inputs"))</x:f>
        <x:v>Ready</x:v>
      </x:c>
      <x:c r="P40" s="30" t="n">
        <x:f>IF(C40="","",MIN(1,J40*Settings!$G$32))</x:f>
        <x:v>0.018000000000000002</x:v>
      </x:c>
      <x:c r="Q40" s="30" t="n">
        <x:f>IF(C40="","",MIN(1,J40*Settings!$G$33))</x:f>
        <x:v>0.032400000000000005</x:v>
      </x:c>
      <x:c r="R40" s="30" t="n">
        <x:f>IF(C40="","",MIN(1,J40*Settings!$G$34))</x:f>
        <x:v>0.013500000000000002</x:v>
      </x:c>
      <x:c r="S40" s="30" t="n">
        <x:f>IF(C40="","",MIN(1,K40*Settings!$H$32))</x:f>
        <x:v>0.44000000000000006</x:v>
      </x:c>
      <x:c r="T40" s="30" t="n">
        <x:f>IF(C40="","",MIN(1,K40*Settings!$H$33))</x:f>
        <x:v>0.506</x:v>
      </x:c>
      <x:c r="U40" s="30" t="n">
        <x:f>IF(C40="","",MIN(1,K40*Settings!$H$34))</x:f>
        <x:v>0.41800000000000004</x:v>
      </x:c>
      <x:c r="V40" s="23" t="n">
        <x:f>IF(C40="","",IF(O40&lt;&gt;"Ready","Unavailable",IF(E40=3,F40*(1-MAX(0,1-(1-N40)*Settings!$H$32)/(1+I40)^M40),F40*(1-(1-S40)/(1+I40)^M40)*P40/(1+I40)*IF(ABS(1-(1-P40)*(1-L40)/(1+I40))&lt;0.000000001,AF40,(1-((1-P40)*(1-L40)/(1+I40))^AF40)/(1-(1-P40)*(1-L40)/(1+I40))))))</x:f>
        <x:v>0.1009453589391861</x:v>
      </x:c>
      <x:c r="W40" s="23" t="n">
        <x:f>IF(C40="","",IF(O40&lt;&gt;"Ready","Unavailable",IF(E40=3,F40*(1-MAX(0,1-(1-N40)*Settings!$H$33)/(1+I40)^M40),F40*(1-(1-T40)/(1+I40)^M40)*Q40/(1+I40)*IF(ABS(1-(1-Q40)*(1-L40)/(1+I40))&lt;0.000000001,AF40,(1-((1-Q40)*(1-L40)/(1+I40))^AF40)/(1-(1-Q40)*(1-L40)/(1+I40))))))</x:f>
        <x:v>0.20147788065843622</x:v>
      </x:c>
      <x:c r="X40" s="23" t="n">
        <x:f>IF(C40="","",IF(O40&lt;&gt;"Ready","Unavailable",IF(E40=3,F40*(1-MAX(0,1-(1-N40)*Settings!$H$34)/(1+I40)^M40),F40*(1-(1-U40)/(1+I40)^M40)*R40/(1+I40)*IF(ABS(1-(1-R40)*(1-L40)/(1+I40))&lt;0.000000001,AF40,(1-((1-R40)*(1-L40)/(1+I40))^AF40)/(1-(1-R40)*(1-L40)/(1+I40))))))</x:f>
        <x:v>0.07296231995884775</x:v>
      </x:c>
      <x:c r="Y40" s="23" t="n">
        <x:f>IF(C40="","",IF(O40&lt;&gt;"Ready","Unavailable",IF(E40=3,G40*INDEX('Facilities'!$I$9:$I$108,MATCH(C40,'Facilities'!$C$9:$C$108,0))*(1-MAX(0,1-(1-N40)*Settings!$H$32)/(1+I40)^M40),G40*INDEX('Facilities'!$I$9:$I$108,MATCH(C40,'Facilities'!$C$9:$C$108,0))*(1-(1-S40)/(1+I40)^M40)*P40/(1+I40)*IF(ABS(1-(1-P40)*(1-0)/(1+I40))&lt;0.000000001,AF40,(1-((1-P40)*(1-0)/(1+I40))^AF40)/(1-(1-P40)*(1-0)/(1+I40))))))</x:f>
        <x:v>0.006498628257887518</x:v>
      </x:c>
      <x:c r="Z40" s="23" t="n">
        <x:f>IF(C40="","",IF(O40&lt;&gt;"Ready","Unavailable",IF(E40=3,G40*INDEX('Facilities'!$I$9:$I$108,MATCH(C40,'Facilities'!$C$9:$C$108,0))*(1-MAX(0,1-(1-N40)*Settings!$H$33)/(1+I40)^M40),G40*INDEX('Facilities'!$I$9:$I$108,MATCH(C40,'Facilities'!$C$9:$C$108,0))*(1-(1-T40)/(1+I40)^M40)*Q40/(1+I40)*IF(ABS(1-(1-Q40)*(1-0)/(1+I40))&lt;0.000000001,AF40,(1-((1-Q40)*(1-0)/(1+I40))^AF40)/(1-(1-Q40)*(1-0)/(1+I40))))))</x:f>
        <x:v>0.012970679012345682</x:v>
      </x:c>
      <x:c r="AA40" s="23" t="n">
        <x:f>IF(C40="","",IF(O40&lt;&gt;"Ready","Unavailable",IF(E40=3,G40*INDEX('Facilities'!$I$9:$I$108,MATCH(C40,'Facilities'!$C$9:$C$108,0))*(1-MAX(0,1-(1-N40)*Settings!$H$34)/(1+I40)^M40),G40*INDEX('Facilities'!$I$9:$I$108,MATCH(C40,'Facilities'!$C$9:$C$108,0))*(1-(1-U40)/(1+I40)^M40)*R40/(1+I40)*IF(ABS(1-(1-R40)*(1-0)/(1+I40))&lt;0.000000001,AF40,(1-((1-R40)*(1-0)/(1+I40))^AF40)/(1-(1-R40)*(1-0)/(1+I40))))))</x:f>
        <x:v>0.0046971450617283965</x:v>
      </x:c>
      <x:c r="AB40" s="23" t="n">
        <x:f>IF(C40="","",IF(O40&lt;&gt;"Ready","Unavailable",V40*Settings!$F$32+W40*Settings!$F$33+X40*Settings!$F$34))</x:f>
        <x:v>0.1283068115569273</x:v>
      </x:c>
      <x:c r="AC40" s="23" t="n">
        <x:f>IF(C40="","",IF(O40&lt;&gt;"Ready","Unavailable",Y40*Settings!$F$32+Z40*Settings!$F$33+AA40*Settings!$F$34))</x:f>
        <x:v>0.008260095164609054</x:v>
      </x:c>
      <x:c r="AD40" s="21" t="n">
        <x:f>IF(C40="","",IF(O40&lt;&gt;"Ready","Unavailable",AB40+AC40))</x:f>
        <x:v>0.13656690672153635</x:v>
      </x:c>
      <x:c r="AE40" s="17" t="n">
        <x:f>IF(C40="","",IF(OR(O40&lt;&gt;"Ready",F40=0),"Unavailable",AB40/F40))</x:f>
        <x:v>0.01101346021947874</x:v>
      </x:c>
      <x:c r="AF40" s="44" t="n">
        <x:f>IF(C40="","",IF(E40=1,1,H40))</x:f>
        <x:v>1</x:v>
      </x:c>
    </x:row>
    <x:row r="41" ht="26" customHeight="1">
      <x:c r="A41" s="1"/>
      <x:c r="B41" s="1"/>
      <x:c r="C41" s="9" t="str">
        <x:f>IF(Facilities!C41="","",Facilities!C41)</x:f>
        <x:v>F033</x:v>
      </x:c>
      <x:c r="D41" s="9" t="str">
        <x:f>IF(C41="","",INDEX('Facilities'!$D$9:$D$108,MATCH(C41,'Facilities'!$C$9:$C$108,0)))</x:f>
        <x:v>B021</x:v>
      </x:c>
      <x:c r="E41" s="9" t="n">
        <x:f>IF(C41="","",INDEX('Facilities'!$AD$9:$AD$108,MATCH(C41,'Facilities'!$C$9:$C$108,0)))</x:f>
        <x:v>2</x:v>
      </x:c>
      <x:c r="F41" s="23" t="n">
        <x:f>IF(C41="","",INDEX('Facilities'!$AA$9:$AA$108,MATCH(C41,'Facilities'!$C$9:$C$108,0)))</x:f>
        <x:v>12</x:v>
      </x:c>
      <x:c r="G41" s="23" t="n">
        <x:f>IF(C41="","",INDEX('Facilities'!$AB$9:$AB$108,MATCH(C41,'Facilities'!$C$9:$C$108,0)))</x:f>
        <x:v>1.5</x:v>
      </x:c>
      <x:c r="H41" s="42" t="n">
        <x:f>IF(C41="","",INDEX('Facilities'!$J$9:$J$108,MATCH(C41,'Facilities'!$C$9:$C$108,0)))</x:f>
        <x:v>5</x:v>
      </x:c>
      <x:c r="I41" s="30" t="n">
        <x:f>IF(C41="","",INDEX('Facilities'!$K$9:$K$108,MATCH(C41,'Facilities'!$C$9:$C$108,0)))</x:f>
        <x:v>0.08</x:v>
      </x:c>
      <x:c r="J41" s="30" t="n">
        <x:f>IF(C41="","",INDEX('Borrowers'!$P$9:$P$108,MATCH(D41,'Borrowers'!$C$9:$C$108,0)))</x:f>
        <x:v>0.024</x:v>
      </x:c>
      <x:c r="K41" s="30" t="n">
        <x:f>IF(C41="","",INDEX('Borrowers'!$Q$9:$Q$108,MATCH(D41,'Borrowers'!$C$9:$C$108,0)))</x:f>
        <x:v>0.28</x:v>
      </x:c>
      <x:c r="L41" s="30" t="n">
        <x:f>IF(C41="","",INDEX('Facilities'!$R$9:$R$108,MATCH(C41,'Facilities'!$C$9:$C$108,0)))</x:f>
        <x:v>0.12</x:v>
      </x:c>
      <x:c r="M41" s="42" t="n">
        <x:f>IF(C41="","",INDEX('Facilities'!$AK$9:$AK$108,MATCH(C41,'Facilities'!$C$9:$C$108,0)))</x:f>
        <x:v>2</x:v>
      </x:c>
      <x:c r="N41" s="30" t="n">
        <x:f>IF(C41="","",INDEX('Facilities'!$AL$9:$AL$108,MATCH(C41,'Facilities'!$C$9:$C$108,0)))</x:f>
        <x:v>0.55</x:v>
      </x:c>
      <x:c r="O41" s="23" t="str">
        <x:f>IF(C41="","",IF(AND(INDEX('Facilities'!$AF$9:$AF$108,MATCH(C41,'Facilities'!$C$9:$C$108,0))="Ready",Settings!$F$36="Ready"),"Ready","Review ECL inputs"))</x:f>
        <x:v>Ready</x:v>
      </x:c>
      <x:c r="P41" s="30" t="n">
        <x:f>IF(C41="","",MIN(1,J41*Settings!$G$32))</x:f>
        <x:v>0.024</x:v>
      </x:c>
      <x:c r="Q41" s="30" t="n">
        <x:f>IF(C41="","",MIN(1,J41*Settings!$G$33))</x:f>
        <x:v>0.0432</x:v>
      </x:c>
      <x:c r="R41" s="30" t="n">
        <x:f>IF(C41="","",MIN(1,J41*Settings!$G$34))</x:f>
        <x:v>0.018000000000000002</x:v>
      </x:c>
      <x:c r="S41" s="30" t="n">
        <x:f>IF(C41="","",MIN(1,K41*Settings!$H$32))</x:f>
        <x:v>0.28</x:v>
      </x:c>
      <x:c r="T41" s="30" t="n">
        <x:f>IF(C41="","",MIN(1,K41*Settings!$H$33))</x:f>
        <x:v>0.322</x:v>
      </x:c>
      <x:c r="U41" s="30" t="n">
        <x:f>IF(C41="","",MIN(1,K41*Settings!$H$34))</x:f>
        <x:v>0.266</x:v>
      </x:c>
      <x:c r="V41" s="23" t="n">
        <x:f>IF(C41="","",IF(O41&lt;&gt;"Ready","Unavailable",IF(E41=3,F41*(1-MAX(0,1-(1-N41)*Settings!$H$32)/(1+I41)^M41),F41*(1-(1-S41)/(1+I41)^M41)*P41/(1+I41)*IF(ABS(1-(1-P41)*(1-L41)/(1+I41))&lt;0.000000001,AF41,(1-((1-P41)*(1-L41)/(1+I41))^AF41)/(1-(1-P41)*(1-L41)/(1+I41))))))</x:f>
        <x:v>0.3399156464425228</x:v>
      </x:c>
      <x:c r="W41" s="23" t="n">
        <x:f>IF(C41="","",IF(O41&lt;&gt;"Ready","Unavailable",IF(E41=3,F41*(1-MAX(0,1-(1-N41)*Settings!$H$33)/(1+I41)^M41),F41*(1-(1-T41)/(1+I41)^M41)*Q41/(1+I41)*IF(ABS(1-(1-Q41)*(1-L41)/(1+I41))&lt;0.000000001,AF41,(1-((1-Q41)*(1-L41)/(1+I41))^AF41)/(1-(1-Q41)*(1-L41)/(1+I41))))))</x:f>
        <x:v>0.6493274625898757</x:v>
      </x:c>
      <x:c r="X41" s="23" t="n">
        <x:f>IF(C41="","",IF(O41&lt;&gt;"Ready","Unavailable",IF(E41=3,F41*(1-MAX(0,1-(1-N41)*Settings!$H$34)/(1+I41)^M41),F41*(1-(1-U41)/(1+I41)^M41)*R41/(1+I41)*IF(ABS(1-(1-R41)*(1-L41)/(1+I41))&lt;0.000000001,AF41,(1-((1-R41)*(1-L41)/(1+I41))^AF41)/(1-(1-R41)*(1-L41)/(1+I41))))))</x:f>
        <x:v>0.24931012515950057</x:v>
      </x:c>
      <x:c r="Y41" s="23" t="n">
        <x:f>IF(C41="","",IF(O41&lt;&gt;"Ready","Unavailable",IF(E41=3,G41*INDEX('Facilities'!$I$9:$I$108,MATCH(C41,'Facilities'!$C$9:$C$108,0))*(1-MAX(0,1-(1-N41)*Settings!$H$32)/(1+I41)^M41),G41*INDEX('Facilities'!$I$9:$I$108,MATCH(C41,'Facilities'!$C$9:$C$108,0))*(1-(1-S41)/(1+I41)^M41)*P41/(1+I41)*IF(ABS(1-(1-P41)*(1-0)/(1+I41))&lt;0.000000001,AF41,(1-((1-P41)*(1-0)/(1+I41))^AF41)/(1-(1-P41)*(1-0)/(1+I41))))))</x:f>
        <x:v>0.026314203454118303</x:v>
      </x:c>
      <x:c r="Z41" s="23" t="n">
        <x:f>IF(C41="","",IF(O41&lt;&gt;"Ready","Unavailable",IF(E41=3,G41*INDEX('Facilities'!$I$9:$I$108,MATCH(C41,'Facilities'!$C$9:$C$108,0))*(1-MAX(0,1-(1-N41)*Settings!$H$33)/(1+I41)^M41),G41*INDEX('Facilities'!$I$9:$I$108,MATCH(C41,'Facilities'!$C$9:$C$108,0))*(1-(1-T41)/(1+I41)^M41)*Q41/(1+I41)*IF(ABS(1-(1-Q41)*(1-0)/(1+I41))&lt;0.000000001,AF41,(1-((1-Q41)*(1-0)/(1+I41))^AF41)/(1-(1-Q41)*(1-0)/(1+I41))))))</x:f>
        <x:v>0.050022502938414225</x:v>
      </x:c>
      <x:c r="AA41" s="23" t="n">
        <x:f>IF(C41="","",IF(O41&lt;&gt;"Ready","Unavailable",IF(E41=3,G41*INDEX('Facilities'!$I$9:$I$108,MATCH(C41,'Facilities'!$C$9:$C$108,0))*(1-MAX(0,1-(1-N41)*Settings!$H$34)/(1+I41)^M41),G41*INDEX('Facilities'!$I$9:$I$108,MATCH(C41,'Facilities'!$C$9:$C$108,0))*(1-(1-U41)/(1+I41)^M41)*R41/(1+I41)*IF(ABS(1-(1-R41)*(1-0)/(1+I41))&lt;0.000000001,AF41,(1-((1-R41)*(1-0)/(1+I41))^AF41)/(1-(1-R41)*(1-0)/(1+I41))))))</x:f>
        <x:v>0.0193292858700121</x:v>
      </x:c>
      <x:c r="AB41" s="23" t="n">
        <x:f>IF(C41="","",IF(O41&lt;&gt;"Ready","Unavailable",V41*Settings!$F$32+W41*Settings!$F$33+X41*Settings!$F$34))</x:f>
        <x:v>0.4236786391584264</x:v>
      </x:c>
      <x:c r="AC41" s="23" t="n">
        <x:f>IF(C41="","",IF(O41&lt;&gt;"Ready","Unavailable",Y41*Settings!$F$32+Z41*Settings!$F$33+AA41*Settings!$F$34))</x:f>
        <x:v>0.032728201540996454</x:v>
      </x:c>
      <x:c r="AD41" s="21" t="n">
        <x:f>IF(C41="","",IF(O41&lt;&gt;"Ready","Unavailable",AB41+AC41))</x:f>
        <x:v>0.45640684069942283</x:v>
      </x:c>
      <x:c r="AE41" s="17" t="n">
        <x:f>IF(C41="","",IF(OR(O41&lt;&gt;"Ready",F41=0),"Unavailable",AB41/F41))</x:f>
        <x:v>0.0353065532632022</x:v>
      </x:c>
      <x:c r="AF41" s="44" t="n">
        <x:f>IF(C41="","",IF(E41=1,1,H41))</x:f>
        <x:v>5</x:v>
      </x:c>
    </x:row>
    <x:row r="42" ht="26" customHeight="1">
      <x:c r="A42" s="1"/>
      <x:c r="B42" s="1"/>
      <x:c r="C42" s="9" t="str">
        <x:f>IF(Facilities!C42="","",Facilities!C42)</x:f>
        <x:v>F034</x:v>
      </x:c>
      <x:c r="D42" s="9" t="str">
        <x:f>IF(C42="","",INDEX('Facilities'!$D$9:$D$108,MATCH(C42,'Facilities'!$C$9:$C$108,0)))</x:f>
        <x:v>B022</x:v>
      </x:c>
      <x:c r="E42" s="9" t="n">
        <x:f>IF(C42="","",INDEX('Facilities'!$AD$9:$AD$108,MATCH(C42,'Facilities'!$C$9:$C$108,0)))</x:f>
        <x:v>1</x:v>
      </x:c>
      <x:c r="F42" s="23" t="n">
        <x:f>IF(C42="","",INDEX('Facilities'!$AA$9:$AA$108,MATCH(C42,'Facilities'!$C$9:$C$108,0)))</x:f>
        <x:v>12.35</x:v>
      </x:c>
      <x:c r="G42" s="23" t="n">
        <x:f>IF(C42="","",INDEX('Facilities'!$AB$9:$AB$108,MATCH(C42,'Facilities'!$C$9:$C$108,0)))</x:f>
        <x:v>1.5</x:v>
      </x:c>
      <x:c r="H42" s="42" t="n">
        <x:f>IF(C42="","",INDEX('Facilities'!$J$9:$J$108,MATCH(C42,'Facilities'!$C$9:$C$108,0)))</x:f>
        <x:v>12</x:v>
      </x:c>
      <x:c r="I42" s="30" t="n">
        <x:f>IF(C42="","",INDEX('Facilities'!$K$9:$K$108,MATCH(C42,'Facilities'!$C$9:$C$108,0)))</x:f>
        <x:v>0.08</x:v>
      </x:c>
      <x:c r="J42" s="30" t="n">
        <x:f>IF(C42="","",INDEX('Borrowers'!$P$9:$P$108,MATCH(D42,'Borrowers'!$C$9:$C$108,0)))</x:f>
        <x:v>0.030000000000000002</x:v>
      </x:c>
      <x:c r="K42" s="30" t="n">
        <x:f>IF(C42="","",INDEX('Borrowers'!$Q$9:$Q$108,MATCH(D42,'Borrowers'!$C$9:$C$108,0)))</x:f>
        <x:v>0.32</x:v>
      </x:c>
      <x:c r="L42" s="30" t="n">
        <x:f>IF(C42="","",INDEX('Facilities'!$R$9:$R$108,MATCH(C42,'Facilities'!$C$9:$C$108,0)))</x:f>
        <x:v>0.12</x:v>
      </x:c>
      <x:c r="M42" s="42" t="n">
        <x:f>IF(C42="","",INDEX('Facilities'!$AK$9:$AK$108,MATCH(C42,'Facilities'!$C$9:$C$108,0)))</x:f>
        <x:v>2</x:v>
      </x:c>
      <x:c r="N42" s="30" t="n">
        <x:f>IF(C42="","",INDEX('Facilities'!$AL$9:$AL$108,MATCH(C42,'Facilities'!$C$9:$C$108,0)))</x:f>
        <x:v>0.55</x:v>
      </x:c>
      <x:c r="O42" s="23" t="str">
        <x:f>IF(C42="","",IF(AND(INDEX('Facilities'!$AF$9:$AF$108,MATCH(C42,'Facilities'!$C$9:$C$108,0))="Ready",Settings!$F$36="Ready"),"Ready","Review ECL inputs"))</x:f>
        <x:v>Ready</x:v>
      </x:c>
      <x:c r="P42" s="30" t="n">
        <x:f>IF(C42="","",MIN(1,J42*Settings!$G$32))</x:f>
        <x:v>0.030000000000000002</x:v>
      </x:c>
      <x:c r="Q42" s="30" t="n">
        <x:f>IF(C42="","",MIN(1,J42*Settings!$G$33))</x:f>
        <x:v>0.054000000000000006</x:v>
      </x:c>
      <x:c r="R42" s="30" t="n">
        <x:f>IF(C42="","",MIN(1,J42*Settings!$G$34))</x:f>
        <x:v>0.022500000000000003</x:v>
      </x:c>
      <x:c r="S42" s="30" t="n">
        <x:f>IF(C42="","",MIN(1,K42*Settings!$H$32))</x:f>
        <x:v>0.32</x:v>
      </x:c>
      <x:c r="T42" s="30" t="n">
        <x:f>IF(C42="","",MIN(1,K42*Settings!$H$33))</x:f>
        <x:v>0.368</x:v>
      </x:c>
      <x:c r="U42" s="30" t="n">
        <x:f>IF(C42="","",MIN(1,K42*Settings!$H$34))</x:f>
        <x:v>0.304</x:v>
      </x:c>
      <x:c r="V42" s="23" t="n">
        <x:f>IF(C42="","",IF(O42&lt;&gt;"Ready","Unavailable",IF(E42=3,F42*(1-MAX(0,1-(1-N42)*Settings!$H$32)/(1+I42)^M42),F42*(1-(1-S42)/(1+I42)^M42)*P42/(1+I42)*IF(ABS(1-(1-P42)*(1-L42)/(1+I42))&lt;0.000000001,AF42,(1-((1-P42)*(1-L42)/(1+I42))^AF42)/(1-(1-P42)*(1-L42)/(1+I42))))))</x:f>
        <x:v>0.14305746075293402</x:v>
      </x:c>
      <x:c r="W42" s="23" t="n">
        <x:f>IF(C42="","",IF(O42&lt;&gt;"Ready","Unavailable",IF(E42=3,F42*(1-MAX(0,1-(1-N42)*Settings!$H$33)/(1+I42)^M42),F42*(1-(1-T42)/(1+I42)^M42)*Q42/(1+I42)*IF(ABS(1-(1-Q42)*(1-L42)/(1+I42))&lt;0.000000001,AF42,(1-((1-Q42)*(1-L42)/(1+I42))^AF42)/(1-(1-Q42)*(1-L42)/(1+I42))))))</x:f>
        <x:v>0.2829149519890261</x:v>
      </x:c>
      <x:c r="X42" s="23" t="n">
        <x:f>IF(C42="","",IF(O42&lt;&gt;"Ready","Unavailable",IF(E42=3,F42*(1-MAX(0,1-(1-N42)*Settings!$H$34)/(1+I42)^M42),F42*(1-(1-U42)/(1+I42)^M42)*R42/(1+I42)*IF(ABS(1-(1-R42)*(1-L42)/(1+I42))&lt;0.000000001,AF42,(1-((1-R42)*(1-L42)/(1+I42))^AF42)/(1-(1-R42)*(1-L42)/(1+I42))))))</x:f>
        <x:v>0.10376371742112485</x:v>
      </x:c>
      <x:c r="Y42" s="23" t="n">
        <x:f>IF(C42="","",IF(O42&lt;&gt;"Ready","Unavailable",IF(E42=3,G42*INDEX('Facilities'!$I$9:$I$108,MATCH(C42,'Facilities'!$C$9:$C$108,0))*(1-MAX(0,1-(1-N42)*Settings!$H$32)/(1+I42)^M42),G42*INDEX('Facilities'!$I$9:$I$108,MATCH(C42,'Facilities'!$C$9:$C$108,0))*(1-(1-S42)/(1+I42)^M42)*P42/(1+I42)*IF(ABS(1-(1-P42)*(1-0)/(1+I42))&lt;0.000000001,AF42,(1-((1-P42)*(1-0)/(1+I42))^AF42)/(1-(1-P42)*(1-0)/(1+I42))))))</x:f>
        <x:v>0.008687700045724738</x:v>
      </x:c>
      <x:c r="Z42" s="23" t="n">
        <x:f>IF(C42="","",IF(O42&lt;&gt;"Ready","Unavailable",IF(E42=3,G42*INDEX('Facilities'!$I$9:$I$108,MATCH(C42,'Facilities'!$C$9:$C$108,0))*(1-MAX(0,1-(1-N42)*Settings!$H$33)/(1+I42)^M42),G42*INDEX('Facilities'!$I$9:$I$108,MATCH(C42,'Facilities'!$C$9:$C$108,0))*(1-(1-T42)/(1+I42)^M42)*Q42/(1+I42)*IF(ABS(1-(1-Q42)*(1-0)/(1+I42))&lt;0.000000001,AF42,(1-((1-Q42)*(1-0)/(1+I42))^AF42)/(1-(1-Q42)*(1-0)/(1+I42))))))</x:f>
        <x:v>0.01718106995884774</x:v>
      </x:c>
      <x:c r="AA42" s="23" t="n">
        <x:f>IF(C42="","",IF(O42&lt;&gt;"Ready","Unavailable",IF(E42=3,G42*INDEX('Facilities'!$I$9:$I$108,MATCH(C42,'Facilities'!$C$9:$C$108,0))*(1-MAX(0,1-(1-N42)*Settings!$H$34)/(1+I42)^M42),G42*INDEX('Facilities'!$I$9:$I$108,MATCH(C42,'Facilities'!$C$9:$C$108,0))*(1-(1-U42)/(1+I42)^M42)*R42/(1+I42)*IF(ABS(1-(1-R42)*(1-0)/(1+I42))&lt;0.000000001,AF42,(1-((1-R42)*(1-0)/(1+I42))^AF42)/(1-(1-R42)*(1-0)/(1+I42))))))</x:f>
        <x:v>0.006301440329218108</x:v>
      </x:c>
      <x:c r="AB42" s="23" t="n">
        <x:f>IF(C42="","",IF(O42&lt;&gt;"Ready","Unavailable",V42*Settings!$F$32+W42*Settings!$F$33+X42*Settings!$F$34))</x:f>
        <x:v>0.18108533379058073</x:v>
      </x:c>
      <x:c r="AC42" s="23" t="n">
        <x:f>IF(C42="","",IF(O42&lt;&gt;"Ready","Unavailable",Y42*Settings!$F$32+Z42*Settings!$F$33+AA42*Settings!$F$34))</x:f>
        <x:v>0.010997085048010976</x:v>
      </x:c>
      <x:c r="AD42" s="21" t="n">
        <x:f>IF(C42="","",IF(O42&lt;&gt;"Ready","Unavailable",AB42+AC42))</x:f>
        <x:v>0.1920824188385917</x:v>
      </x:c>
      <x:c r="AE42" s="17" t="n">
        <x:f>IF(C42="","",IF(OR(O42&lt;&gt;"Ready",F42=0),"Unavailable",AB42/F42))</x:f>
        <x:v>0.014662780064014634</x:v>
      </x:c>
      <x:c r="AF42" s="44" t="n">
        <x:f>IF(C42="","",IF(E42=1,1,H42))</x:f>
        <x:v>1</x:v>
      </x:c>
    </x:row>
    <x:row r="43" ht="26" customHeight="1">
      <x:c r="A43" s="1"/>
      <x:c r="B43" s="1"/>
      <x:c r="C43" s="9" t="str">
        <x:f>IF(Facilities!C43="","",Facilities!C43)</x:f>
        <x:v>F035</x:v>
      </x:c>
      <x:c r="D43" s="9" t="str">
        <x:f>IF(C43="","",INDEX('Facilities'!$D$9:$D$108,MATCH(C43,'Facilities'!$C$9:$C$108,0)))</x:f>
        <x:v>B023</x:v>
      </x:c>
      <x:c r="E43" s="9" t="n">
        <x:f>IF(C43="","",INDEX('Facilities'!$AD$9:$AD$108,MATCH(C43,'Facilities'!$C$9:$C$108,0)))</x:f>
        <x:v>3</x:v>
      </x:c>
      <x:c r="F43" s="23" t="n">
        <x:f>IF(C43="","",INDEX('Facilities'!$AA$9:$AA$108,MATCH(C43,'Facilities'!$C$9:$C$108,0)))</x:f>
        <x:v>12.7</x:v>
      </x:c>
      <x:c r="G43" s="23" t="n">
        <x:f>IF(C43="","",INDEX('Facilities'!$AB$9:$AB$108,MATCH(C43,'Facilities'!$C$9:$C$108,0)))</x:f>
        <x:v>1.5</x:v>
      </x:c>
      <x:c r="H43" s="42" t="n">
        <x:f>IF(C43="","",INDEX('Facilities'!$J$9:$J$108,MATCH(C43,'Facilities'!$C$9:$C$108,0)))</x:f>
        <x:v>7</x:v>
      </x:c>
      <x:c r="I43" s="30" t="n">
        <x:f>IF(C43="","",INDEX('Facilities'!$K$9:$K$108,MATCH(C43,'Facilities'!$C$9:$C$108,0)))</x:f>
        <x:v>0.08</x:v>
      </x:c>
      <x:c r="J43" s="30" t="n">
        <x:f>IF(C43="","",INDEX('Borrowers'!$P$9:$P$108,MATCH(D43,'Borrowers'!$C$9:$C$108,0)))</x:f>
        <x:v>0.036000000000000004</x:v>
      </x:c>
      <x:c r="K43" s="30" t="n">
        <x:f>IF(C43="","",INDEX('Borrowers'!$Q$9:$Q$108,MATCH(D43,'Borrowers'!$C$9:$C$108,0)))</x:f>
        <x:v>0.36000000000000004</x:v>
      </x:c>
      <x:c r="L43" s="30" t="n">
        <x:f>IF(C43="","",INDEX('Facilities'!$R$9:$R$108,MATCH(C43,'Facilities'!$C$9:$C$108,0)))</x:f>
        <x:v>0.12</x:v>
      </x:c>
      <x:c r="M43" s="42" t="n">
        <x:f>IF(C43="","",INDEX('Facilities'!$AK$9:$AK$108,MATCH(C43,'Facilities'!$C$9:$C$108,0)))</x:f>
        <x:v>2</x:v>
      </x:c>
      <x:c r="N43" s="30" t="n">
        <x:f>IF(C43="","",INDEX('Facilities'!$AL$9:$AL$108,MATCH(C43,'Facilities'!$C$9:$C$108,0)))</x:f>
        <x:v>0.55</x:v>
      </x:c>
      <x:c r="O43" s="23" t="str">
        <x:f>IF(C43="","",IF(AND(INDEX('Facilities'!$AF$9:$AF$108,MATCH(C43,'Facilities'!$C$9:$C$108,0))="Ready",Settings!$F$36="Ready"),"Ready","Review ECL inputs"))</x:f>
        <x:v>Ready</x:v>
      </x:c>
      <x:c r="P43" s="30" t="n">
        <x:f>IF(C43="","",MIN(1,J43*Settings!$G$32))</x:f>
        <x:v>0.036000000000000004</x:v>
      </x:c>
      <x:c r="Q43" s="30" t="n">
        <x:f>IF(C43="","",MIN(1,J43*Settings!$G$33))</x:f>
        <x:v>0.06480000000000001</x:v>
      </x:c>
      <x:c r="R43" s="30" t="n">
        <x:f>IF(C43="","",MIN(1,J43*Settings!$G$34))</x:f>
        <x:v>0.027000000000000003</x:v>
      </x:c>
      <x:c r="S43" s="30" t="n">
        <x:f>IF(C43="","",MIN(1,K43*Settings!$H$32))</x:f>
        <x:v>0.36000000000000004</x:v>
      </x:c>
      <x:c r="T43" s="30" t="n">
        <x:f>IF(C43="","",MIN(1,K43*Settings!$H$33))</x:f>
        <x:v>0.41400000000000003</x:v>
      </x:c>
      <x:c r="U43" s="30" t="n">
        <x:f>IF(C43="","",MIN(1,K43*Settings!$H$34))</x:f>
        <x:v>0.342</x:v>
      </x:c>
      <x:c r="V43" s="23" t="n">
        <x:f>IF(C43="","",IF(O43&lt;&gt;"Ready","Unavailable",IF(E43=3,F43*(1-MAX(0,1-(1-N43)*Settings!$H$32)/(1+I43)^M43),F43*(1-(1-S43)/(1+I43)^M43)*P43/(1+I43)*IF(ABS(1-(1-P43)*(1-L43)/(1+I43))&lt;0.000000001,AF43,(1-((1-P43)*(1-L43)/(1+I43))^AF43)/(1-(1-P43)*(1-L43)/(1+I43))))))</x:f>
        <x:v>6.7114883401920435</x:v>
      </x:c>
      <x:c r="W43" s="23" t="n">
        <x:f>IF(C43="","",IF(O43&lt;&gt;"Ready","Unavailable",IF(E43=3,F43*(1-MAX(0,1-(1-N43)*Settings!$H$33)/(1+I43)^M43),F43*(1-(1-T43)/(1+I43)^M43)*Q43/(1+I43)*IF(ABS(1-(1-Q43)*(1-L43)/(1+I43))&lt;0.000000001,AF43,(1-((1-Q43)*(1-L43)/(1+I43))^AF43)/(1-(1-Q43)*(1-L43)/(1+I43))))))</x:f>
        <x:v>7.446442043895747</x:v>
      </x:c>
      <x:c r="X43" s="23" t="n">
        <x:f>IF(C43="","",IF(O43&lt;&gt;"Ready","Unavailable",IF(E43=3,F43*(1-MAX(0,1-(1-N43)*Settings!$H$34)/(1+I43)^M43),F43*(1-(1-U43)/(1+I43)^M43)*R43/(1+I43)*IF(ABS(1-(1-R43)*(1-L43)/(1+I43))&lt;0.000000001,AF43,(1-((1-R43)*(1-L43)/(1+I43))^AF43)/(1-(1-R43)*(1-L43)/(1+I43))))))</x:f>
        <x:v>6.46650377229081</x:v>
      </x:c>
      <x:c r="Y43" s="23" t="n">
        <x:f>IF(C43="","",IF(O43&lt;&gt;"Ready","Unavailable",IF(E43=3,G43*INDEX('Facilities'!$I$9:$I$108,MATCH(C43,'Facilities'!$C$9:$C$108,0))*(1-MAX(0,1-(1-N43)*Settings!$H$32)/(1+I43)^M43),G43*INDEX('Facilities'!$I$9:$I$108,MATCH(C43,'Facilities'!$C$9:$C$108,0))*(1-(1-S43)/(1+I43)^M43)*P43/(1+I43)*IF(ABS(1-(1-P43)*(1-0)/(1+I43))&lt;0.000000001,AF43,(1-((1-P43)*(1-0)/(1+I43))^AF43)/(1-(1-P43)*(1-0)/(1+I43))))))</x:f>
        <x:v>0.39634773662551437</x:v>
      </x:c>
      <x:c r="Z43" s="23" t="n">
        <x:f>IF(C43="","",IF(O43&lt;&gt;"Ready","Unavailable",IF(E43=3,G43*INDEX('Facilities'!$I$9:$I$108,MATCH(C43,'Facilities'!$C$9:$C$108,0))*(1-MAX(0,1-(1-N43)*Settings!$H$33)/(1+I43)^M43),G43*INDEX('Facilities'!$I$9:$I$108,MATCH(C43,'Facilities'!$C$9:$C$108,0))*(1-(1-T43)/(1+I43)^M43)*Q43/(1+I43)*IF(ABS(1-(1-Q43)*(1-0)/(1+I43))&lt;0.000000001,AF43,(1-((1-Q43)*(1-0)/(1+I43))^AF43)/(1-(1-Q43)*(1-0)/(1+I43))))))</x:f>
        <x:v>0.43975051440329216</x:v>
      </x:c>
      <x:c r="AA43" s="23" t="n">
        <x:f>IF(C43="","",IF(O43&lt;&gt;"Ready","Unavailable",IF(E43=3,G43*INDEX('Facilities'!$I$9:$I$108,MATCH(C43,'Facilities'!$C$9:$C$108,0))*(1-MAX(0,1-(1-N43)*Settings!$H$34)/(1+I43)^M43),G43*INDEX('Facilities'!$I$9:$I$108,MATCH(C43,'Facilities'!$C$9:$C$108,0))*(1-(1-U43)/(1+I43)^M43)*R43/(1+I43)*IF(ABS(1-(1-R43)*(1-0)/(1+I43))&lt;0.000000001,AF43,(1-((1-R43)*(1-0)/(1+I43))^AF43)/(1-(1-R43)*(1-0)/(1+I43))))))</x:f>
        <x:v>0.38188014403292186</x:v>
      </x:c>
      <x:c r="AB43" s="23" t="n">
        <x:f>IF(C43="","",IF(O43&lt;&gt;"Ready","Unavailable",V43*Settings!$F$32+W43*Settings!$F$33+X43*Settings!$F$34))</x:f>
        <x:v>6.907475994513031</x:v>
      </x:c>
      <x:c r="AC43" s="23" t="n">
        <x:f>IF(C43="","",IF(O43&lt;&gt;"Ready","Unavailable",Y43*Settings!$F$32+Z43*Settings!$F$33+AA43*Settings!$F$34))</x:f>
        <x:v>0.4079218106995884</x:v>
      </x:c>
      <x:c r="AD43" s="21" t="n">
        <x:f>IF(C43="","",IF(O43&lt;&gt;"Ready","Unavailable",AB43+AC43))</x:f>
        <x:v>7.315397805212619</x:v>
      </x:c>
      <x:c r="AE43" s="17" t="n">
        <x:f>IF(C43="","",IF(OR(O43&lt;&gt;"Ready",F43=0),"Unavailable",AB43/F43))</x:f>
        <x:v>0.5438957475994513</x:v>
      </x:c>
      <x:c r="AF43" s="44" t="n">
        <x:f>IF(C43="","",IF(E43=1,1,H43))</x:f>
        <x:v>7</x:v>
      </x:c>
    </x:row>
    <x:row r="44" ht="26" customHeight="1">
      <x:c r="A44" s="1"/>
      <x:c r="B44" s="1"/>
      <x:c r="C44" s="9" t="str">
        <x:f>IF(Facilities!C44="","",Facilities!C44)</x:f>
        <x:v>F036</x:v>
      </x:c>
      <x:c r="D44" s="9" t="str">
        <x:f>IF(C44="","",INDEX('Facilities'!$D$9:$D$108,MATCH(C44,'Facilities'!$C$9:$C$108,0)))</x:f>
        <x:v>B024</x:v>
      </x:c>
      <x:c r="E44" s="9" t="n">
        <x:f>IF(C44="","",INDEX('Facilities'!$AD$9:$AD$108,MATCH(C44,'Facilities'!$C$9:$C$108,0)))</x:f>
        <x:v>1</x:v>
      </x:c>
      <x:c r="F44" s="23" t="n">
        <x:f>IF(C44="","",INDEX('Facilities'!$AA$9:$AA$108,MATCH(C44,'Facilities'!$C$9:$C$108,0)))</x:f>
        <x:v>13.049999999999999</x:v>
      </x:c>
      <x:c r="G44" s="23" t="n">
        <x:f>IF(C44="","",INDEX('Facilities'!$AB$9:$AB$108,MATCH(C44,'Facilities'!$C$9:$C$108,0)))</x:f>
        <x:v>1.5</x:v>
      </x:c>
      <x:c r="H44" s="42" t="n">
        <x:f>IF(C44="","",INDEX('Facilities'!$J$9:$J$108,MATCH(C44,'Facilities'!$C$9:$C$108,0)))</x:f>
        <x:v>8</x:v>
      </x:c>
      <x:c r="I44" s="30" t="n">
        <x:f>IF(C44="","",INDEX('Facilities'!$K$9:$K$108,MATCH(C44,'Facilities'!$C$9:$C$108,0)))</x:f>
        <x:v>0.08</x:v>
      </x:c>
      <x:c r="J44" s="30" t="n">
        <x:f>IF(C44="","",INDEX('Borrowers'!$P$9:$P$108,MATCH(D44,'Borrowers'!$C$9:$C$108,0)))</x:f>
        <x:v>0.041999999999999996</x:v>
      </x:c>
      <x:c r="K44" s="30" t="n">
        <x:f>IF(C44="","",INDEX('Borrowers'!$Q$9:$Q$108,MATCH(D44,'Borrowers'!$C$9:$C$108,0)))</x:f>
        <x:v>0.4</x:v>
      </x:c>
      <x:c r="L44" s="30" t="n">
        <x:f>IF(C44="","",INDEX('Facilities'!$R$9:$R$108,MATCH(C44,'Facilities'!$C$9:$C$108,0)))</x:f>
        <x:v>0.12</x:v>
      </x:c>
      <x:c r="M44" s="42" t="n">
        <x:f>IF(C44="","",INDEX('Facilities'!$AK$9:$AK$108,MATCH(C44,'Facilities'!$C$9:$C$108,0)))</x:f>
        <x:v>2</x:v>
      </x:c>
      <x:c r="N44" s="30" t="n">
        <x:f>IF(C44="","",INDEX('Facilities'!$AL$9:$AL$108,MATCH(C44,'Facilities'!$C$9:$C$108,0)))</x:f>
        <x:v>0.55</x:v>
      </x:c>
      <x:c r="O44" s="23" t="str">
        <x:f>IF(C44="","",IF(AND(INDEX('Facilities'!$AF$9:$AF$108,MATCH(C44,'Facilities'!$C$9:$C$108,0))="Ready",Settings!$F$36="Ready"),"Ready","Review ECL inputs"))</x:f>
        <x:v>Ready</x:v>
      </x:c>
      <x:c r="P44" s="30" t="n">
        <x:f>IF(C44="","",MIN(1,J44*Settings!$G$32))</x:f>
        <x:v>0.041999999999999996</x:v>
      </x:c>
      <x:c r="Q44" s="30" t="n">
        <x:f>IF(C44="","",MIN(1,J44*Settings!$G$33))</x:f>
        <x:v>0.0756</x:v>
      </x:c>
      <x:c r="R44" s="30" t="n">
        <x:f>IF(C44="","",MIN(1,J44*Settings!$G$34))</x:f>
        <x:v>0.0315</x:v>
      </x:c>
      <x:c r="S44" s="30" t="n">
        <x:f>IF(C44="","",MIN(1,K44*Settings!$H$32))</x:f>
        <x:v>0.4</x:v>
      </x:c>
      <x:c r="T44" s="30" t="n">
        <x:f>IF(C44="","",MIN(1,K44*Settings!$H$33))</x:f>
        <x:v>0.45999999999999996</x:v>
      </x:c>
      <x:c r="U44" s="30" t="n">
        <x:f>IF(C44="","",MIN(1,K44*Settings!$H$34))</x:f>
        <x:v>0.38</x:v>
      </x:c>
      <x:c r="V44" s="23" t="n">
        <x:f>IF(C44="","",IF(O44&lt;&gt;"Ready","Unavailable",IF(E44=3,F44*(1-MAX(0,1-(1-N44)*Settings!$H$32)/(1+I44)^M44),F44*(1-(1-S44)/(1+I44)^M44)*P44/(1+I44)*IF(ABS(1-(1-P44)*(1-L44)/(1+I44))&lt;0.000000001,AF44,(1-((1-P44)*(1-L44)/(1+I44))^AF44)/(1-(1-P44)*(1-L44)/(1+I44))))))</x:f>
        <x:v>0.24644032921810696</x:v>
      </x:c>
      <x:c r="W44" s="23" t="n">
        <x:f>IF(C44="","",IF(O44&lt;&gt;"Ready","Unavailable",IF(E44=3,F44*(1-MAX(0,1-(1-N44)*Settings!$H$33)/(1+I44)^M44),F44*(1-(1-T44)/(1+I44)^M44)*Q44/(1+I44)*IF(ABS(1-(1-Q44)*(1-L44)/(1+I44))&lt;0.000000001,AF44,(1-((1-Q44)*(1-L44)/(1+I44))^AF44)/(1-(1-Q44)*(1-L44)/(1+I44))))))</x:f>
        <x:v>0.4905833333333332</x:v>
      </x:c>
      <x:c r="X44" s="23" t="n">
        <x:f>IF(C44="","",IF(O44&lt;&gt;"Ready","Unavailable",IF(E44=3,F44*(1-MAX(0,1-(1-N44)*Settings!$H$34)/(1+I44)^M44),F44*(1-(1-U44)/(1+I44)^M44)*R44/(1+I44)*IF(ABS(1-(1-R44)*(1-L44)/(1+I44))&lt;0.000000001,AF44,(1-((1-R44)*(1-L44)/(1+I44))^AF44)/(1-(1-R44)*(1-L44)/(1+I44))))))</x:f>
        <x:v>0.17830375514403288</x:v>
      </x:c>
      <x:c r="Y44" s="23" t="n">
        <x:f>IF(C44="","",IF(O44&lt;&gt;"Ready","Unavailable",IF(E44=3,G44*INDEX('Facilities'!$I$9:$I$108,MATCH(C44,'Facilities'!$C$9:$C$108,0))*(1-MAX(0,1-(1-N44)*Settings!$H$32)/(1+I44)^M44),G44*INDEX('Facilities'!$I$9:$I$108,MATCH(C44,'Facilities'!$C$9:$C$108,0))*(1-(1-S44)/(1+I44)^M44)*P44/(1+I44)*IF(ABS(1-(1-P44)*(1-0)/(1+I44))&lt;0.000000001,AF44,(1-((1-P44)*(1-0)/(1+I44))^AF44)/(1-(1-P44)*(1-0)/(1+I44))))))</x:f>
        <x:v>0.014163237311385458</x:v>
      </x:c>
      <x:c r="Z44" s="23" t="n">
        <x:f>IF(C44="","",IF(O44&lt;&gt;"Ready","Unavailable",IF(E44=3,G44*INDEX('Facilities'!$I$9:$I$108,MATCH(C44,'Facilities'!$C$9:$C$108,0))*(1-MAX(0,1-(1-N44)*Settings!$H$33)/(1+I44)^M44),G44*INDEX('Facilities'!$I$9:$I$108,MATCH(C44,'Facilities'!$C$9:$C$108,0))*(1-(1-T44)/(1+I44)^M44)*Q44/(1+I44)*IF(ABS(1-(1-Q44)*(1-0)/(1+I44))&lt;0.000000001,AF44,(1-((1-Q44)*(1-0)/(1+I44))^AF44)/(1-(1-Q44)*(1-0)/(1+I44))))))</x:f>
        <x:v>0.028194444444444442</x:v>
      </x:c>
      <x:c r="AA44" s="23" t="n">
        <x:f>IF(C44="","",IF(O44&lt;&gt;"Ready","Unavailable",IF(E44=3,G44*INDEX('Facilities'!$I$9:$I$108,MATCH(C44,'Facilities'!$C$9:$C$108,0))*(1-MAX(0,1-(1-N44)*Settings!$H$34)/(1+I44)^M44),G44*INDEX('Facilities'!$I$9:$I$108,MATCH(C44,'Facilities'!$C$9:$C$108,0))*(1-(1-U44)/(1+I44)^M44)*R44/(1+I44)*IF(ABS(1-(1-R44)*(1-0)/(1+I44))&lt;0.000000001,AF44,(1-((1-R44)*(1-0)/(1+I44))^AF44)/(1-(1-R44)*(1-0)/(1+I44))))))</x:f>
        <x:v>0.010247342249657062</x:v>
      </x:c>
      <x:c r="AB44" s="23" t="n">
        <x:f>IF(C44="","",IF(O44&lt;&gt;"Ready","Unavailable",V44*Settings!$F$32+W44*Settings!$F$33+X44*Settings!$F$34))</x:f>
        <x:v>0.3128695730452674</x:v>
      </x:c>
      <x:c r="AC44" s="23" t="n">
        <x:f>IF(C44="","",IF(O44&lt;&gt;"Ready","Unavailable",Y44*Settings!$F$32+Z44*Settings!$F$33+AA44*Settings!$F$34))</x:f>
        <x:v>0.017981009945130313</x:v>
      </x:c>
      <x:c r="AD44" s="21" t="n">
        <x:f>IF(C44="","",IF(O44&lt;&gt;"Ready","Unavailable",AB44+AC44))</x:f>
        <x:v>0.3308505829903977</x:v>
      </x:c>
      <x:c r="AE44" s="17" t="n">
        <x:f>IF(C44="","",IF(OR(O44&lt;&gt;"Ready",F44=0),"Unavailable",AB44/F44))</x:f>
        <x:v>0.023974679926840416</x:v>
      </x:c>
      <x:c r="AF44" s="44" t="n">
        <x:f>IF(C44="","",IF(E44=1,1,H44))</x:f>
        <x:v>1</x:v>
      </x:c>
    </x:row>
    <x:row r="45" ht="26" customHeight="1">
      <x:c r="A45" s="1"/>
      <x:c r="B45" s="1"/>
      <x:c r="C45" s="9" t="str">
        <x:f>IF(Facilities!C45="","",Facilities!C45)</x:f>
      </x:c>
      <x:c r="D45" s="9" t="str">
        <x:f>IF(C45="","",INDEX('Facilities'!$D$9:$D$108,MATCH(C45,'Facilities'!$C$9:$C$108,0)))</x:f>
      </x:c>
      <x:c r="E45" s="9" t="str">
        <x:f>IF(C45="","",INDEX('Facilities'!$AD$9:$AD$108,MATCH(C45,'Facilities'!$C$9:$C$108,0)))</x:f>
      </x:c>
      <x:c r="F45" s="23" t="str">
        <x:f>IF(C45="","",INDEX('Facilities'!$AA$9:$AA$108,MATCH(C45,'Facilities'!$C$9:$C$108,0)))</x:f>
      </x:c>
      <x:c r="G45" s="23" t="str">
        <x:f>IF(C45="","",INDEX('Facilities'!$AB$9:$AB$108,MATCH(C45,'Facilities'!$C$9:$C$108,0)))</x:f>
      </x:c>
      <x:c r="H45" s="42" t="str">
        <x:f>IF(C45="","",INDEX('Facilities'!$J$9:$J$108,MATCH(C45,'Facilities'!$C$9:$C$108,0)))</x:f>
      </x:c>
      <x:c r="I45" s="30" t="str">
        <x:f>IF(C45="","",INDEX('Facilities'!$K$9:$K$108,MATCH(C45,'Facilities'!$C$9:$C$108,0)))</x:f>
      </x:c>
      <x:c r="J45" s="30" t="str">
        <x:f>IF(C45="","",INDEX('Borrowers'!$P$9:$P$108,MATCH(D45,'Borrowers'!$C$9:$C$108,0)))</x:f>
      </x:c>
      <x:c r="K45" s="30" t="str">
        <x:f>IF(C45="","",INDEX('Borrowers'!$Q$9:$Q$108,MATCH(D45,'Borrowers'!$C$9:$C$108,0)))</x:f>
      </x:c>
      <x:c r="L45" s="30" t="str">
        <x:f>IF(C45="","",INDEX('Facilities'!$R$9:$R$108,MATCH(C45,'Facilities'!$C$9:$C$108,0)))</x:f>
      </x:c>
      <x:c r="M45" s="42" t="str">
        <x:f>IF(C45="","",INDEX('Facilities'!$AK$9:$AK$108,MATCH(C45,'Facilities'!$C$9:$C$108,0)))</x:f>
      </x:c>
      <x:c r="N45" s="30" t="str">
        <x:f>IF(C45="","",INDEX('Facilities'!$AL$9:$AL$108,MATCH(C45,'Facilities'!$C$9:$C$108,0)))</x:f>
      </x:c>
      <x:c r="O45" s="23" t="str">
        <x:f>IF(C45="","",IF(AND(INDEX('Facilities'!$AF$9:$AF$108,MATCH(C45,'Facilities'!$C$9:$C$108,0))="Ready",Settings!$F$36="Ready"),"Ready","Review ECL inputs"))</x:f>
      </x:c>
      <x:c r="P45" s="30" t="str">
        <x:f>IF(C45="","",MIN(1,J45*Settings!$G$32))</x:f>
      </x:c>
      <x:c r="Q45" s="30" t="str">
        <x:f>IF(C45="","",MIN(1,J45*Settings!$G$33))</x:f>
      </x:c>
      <x:c r="R45" s="30" t="str">
        <x:f>IF(C45="","",MIN(1,J45*Settings!$G$34))</x:f>
      </x:c>
      <x:c r="S45" s="30" t="str">
        <x:f>IF(C45="","",MIN(1,K45*Settings!$H$32))</x:f>
      </x:c>
      <x:c r="T45" s="30" t="str">
        <x:f>IF(C45="","",MIN(1,K45*Settings!$H$33))</x:f>
      </x:c>
      <x:c r="U45" s="30" t="str">
        <x:f>IF(C45="","",MIN(1,K45*Settings!$H$34))</x:f>
      </x:c>
      <x:c r="V45" s="23" t="str">
        <x:f>IF(C45="","",IF(O45&lt;&gt;"Ready","Unavailable",IF(E45=3,F45*(1-MAX(0,1-(1-N45)*Settings!$H$32)/(1+I45)^M45),F45*(1-(1-S45)/(1+I45)^M45)*P45/(1+I45)*IF(ABS(1-(1-P45)*(1-L45)/(1+I45))&lt;0.000000001,AF45,(1-((1-P45)*(1-L45)/(1+I45))^AF45)/(1-(1-P45)*(1-L45)/(1+I45))))))</x:f>
      </x:c>
      <x:c r="W45" s="23" t="str">
        <x:f>IF(C45="","",IF(O45&lt;&gt;"Ready","Unavailable",IF(E45=3,F45*(1-MAX(0,1-(1-N45)*Settings!$H$33)/(1+I45)^M45),F45*(1-(1-T45)/(1+I45)^M45)*Q45/(1+I45)*IF(ABS(1-(1-Q45)*(1-L45)/(1+I45))&lt;0.000000001,AF45,(1-((1-Q45)*(1-L45)/(1+I45))^AF45)/(1-(1-Q45)*(1-L45)/(1+I45))))))</x:f>
      </x:c>
      <x:c r="X45" s="23" t="str">
        <x:f>IF(C45="","",IF(O45&lt;&gt;"Ready","Unavailable",IF(E45=3,F45*(1-MAX(0,1-(1-N45)*Settings!$H$34)/(1+I45)^M45),F45*(1-(1-U45)/(1+I45)^M45)*R45/(1+I45)*IF(ABS(1-(1-R45)*(1-L45)/(1+I45))&lt;0.000000001,AF45,(1-((1-R45)*(1-L45)/(1+I45))^AF45)/(1-(1-R45)*(1-L45)/(1+I45))))))</x:f>
      </x:c>
      <x:c r="Y45" s="23" t="str">
        <x:f>IF(C45="","",IF(O45&lt;&gt;"Ready","Unavailable",IF(E45=3,G45*INDEX('Facilities'!$I$9:$I$108,MATCH(C45,'Facilities'!$C$9:$C$108,0))*(1-MAX(0,1-(1-N45)*Settings!$H$32)/(1+I45)^M45),G45*INDEX('Facilities'!$I$9:$I$108,MATCH(C45,'Facilities'!$C$9:$C$108,0))*(1-(1-S45)/(1+I45)^M45)*P45/(1+I45)*IF(ABS(1-(1-P45)*(1-0)/(1+I45))&lt;0.000000001,AF45,(1-((1-P45)*(1-0)/(1+I45))^AF45)/(1-(1-P45)*(1-0)/(1+I45))))))</x:f>
      </x:c>
      <x:c r="Z45" s="23" t="str">
        <x:f>IF(C45="","",IF(O45&lt;&gt;"Ready","Unavailable",IF(E45=3,G45*INDEX('Facilities'!$I$9:$I$108,MATCH(C45,'Facilities'!$C$9:$C$108,0))*(1-MAX(0,1-(1-N45)*Settings!$H$33)/(1+I45)^M45),G45*INDEX('Facilities'!$I$9:$I$108,MATCH(C45,'Facilities'!$C$9:$C$108,0))*(1-(1-T45)/(1+I45)^M45)*Q45/(1+I45)*IF(ABS(1-(1-Q45)*(1-0)/(1+I45))&lt;0.000000001,AF45,(1-((1-Q45)*(1-0)/(1+I45))^AF45)/(1-(1-Q45)*(1-0)/(1+I45))))))</x:f>
      </x:c>
      <x:c r="AA45" s="23" t="str">
        <x:f>IF(C45="","",IF(O45&lt;&gt;"Ready","Unavailable",IF(E45=3,G45*INDEX('Facilities'!$I$9:$I$108,MATCH(C45,'Facilities'!$C$9:$C$108,0))*(1-MAX(0,1-(1-N45)*Settings!$H$34)/(1+I45)^M45),G45*INDEX('Facilities'!$I$9:$I$108,MATCH(C45,'Facilities'!$C$9:$C$108,0))*(1-(1-U45)/(1+I45)^M45)*R45/(1+I45)*IF(ABS(1-(1-R45)*(1-0)/(1+I45))&lt;0.000000001,AF45,(1-((1-R45)*(1-0)/(1+I45))^AF45)/(1-(1-R45)*(1-0)/(1+I45))))))</x:f>
      </x:c>
      <x:c r="AB45" s="23" t="str">
        <x:f>IF(C45="","",IF(O45&lt;&gt;"Ready","Unavailable",V45*Settings!$F$32+W45*Settings!$F$33+X45*Settings!$F$34))</x:f>
      </x:c>
      <x:c r="AC45" s="23" t="str">
        <x:f>IF(C45="","",IF(O45&lt;&gt;"Ready","Unavailable",Y45*Settings!$F$32+Z45*Settings!$F$33+AA45*Settings!$F$34))</x:f>
      </x:c>
      <x:c r="AD45" s="21" t="str">
        <x:f>IF(C45="","",IF(O45&lt;&gt;"Ready","Unavailable",AB45+AC45))</x:f>
      </x:c>
      <x:c r="AE45" s="17" t="str">
        <x:f>IF(C45="","",IF(OR(O45&lt;&gt;"Ready",F45=0),"Unavailable",AB45/F45))</x:f>
      </x:c>
      <x:c r="AF45" s="44" t="str">
        <x:f>IF(C45="","",IF(E45=1,1,H45))</x:f>
      </x:c>
    </x:row>
    <x:row r="46" ht="26" customHeight="1">
      <x:c r="A46" s="1"/>
      <x:c r="B46" s="1"/>
      <x:c r="C46" s="9" t="str">
        <x:f>IF(Facilities!C46="","",Facilities!C46)</x:f>
      </x:c>
      <x:c r="D46" s="9" t="str">
        <x:f>IF(C46="","",INDEX('Facilities'!$D$9:$D$108,MATCH(C46,'Facilities'!$C$9:$C$108,0)))</x:f>
      </x:c>
      <x:c r="E46" s="9" t="str">
        <x:f>IF(C46="","",INDEX('Facilities'!$AD$9:$AD$108,MATCH(C46,'Facilities'!$C$9:$C$108,0)))</x:f>
      </x:c>
      <x:c r="F46" s="23" t="str">
        <x:f>IF(C46="","",INDEX('Facilities'!$AA$9:$AA$108,MATCH(C46,'Facilities'!$C$9:$C$108,0)))</x:f>
      </x:c>
      <x:c r="G46" s="23" t="str">
        <x:f>IF(C46="","",INDEX('Facilities'!$AB$9:$AB$108,MATCH(C46,'Facilities'!$C$9:$C$108,0)))</x:f>
      </x:c>
      <x:c r="H46" s="42" t="str">
        <x:f>IF(C46="","",INDEX('Facilities'!$J$9:$J$108,MATCH(C46,'Facilities'!$C$9:$C$108,0)))</x:f>
      </x:c>
      <x:c r="I46" s="30" t="str">
        <x:f>IF(C46="","",INDEX('Facilities'!$K$9:$K$108,MATCH(C46,'Facilities'!$C$9:$C$108,0)))</x:f>
      </x:c>
      <x:c r="J46" s="30" t="str">
        <x:f>IF(C46="","",INDEX('Borrowers'!$P$9:$P$108,MATCH(D46,'Borrowers'!$C$9:$C$108,0)))</x:f>
      </x:c>
      <x:c r="K46" s="30" t="str">
        <x:f>IF(C46="","",INDEX('Borrowers'!$Q$9:$Q$108,MATCH(D46,'Borrowers'!$C$9:$C$108,0)))</x:f>
      </x:c>
      <x:c r="L46" s="30" t="str">
        <x:f>IF(C46="","",INDEX('Facilities'!$R$9:$R$108,MATCH(C46,'Facilities'!$C$9:$C$108,0)))</x:f>
      </x:c>
      <x:c r="M46" s="42" t="str">
        <x:f>IF(C46="","",INDEX('Facilities'!$AK$9:$AK$108,MATCH(C46,'Facilities'!$C$9:$C$108,0)))</x:f>
      </x:c>
      <x:c r="N46" s="30" t="str">
        <x:f>IF(C46="","",INDEX('Facilities'!$AL$9:$AL$108,MATCH(C46,'Facilities'!$C$9:$C$108,0)))</x:f>
      </x:c>
      <x:c r="O46" s="23" t="str">
        <x:f>IF(C46="","",IF(AND(INDEX('Facilities'!$AF$9:$AF$108,MATCH(C46,'Facilities'!$C$9:$C$108,0))="Ready",Settings!$F$36="Ready"),"Ready","Review ECL inputs"))</x:f>
      </x:c>
      <x:c r="P46" s="30" t="str">
        <x:f>IF(C46="","",MIN(1,J46*Settings!$G$32))</x:f>
      </x:c>
      <x:c r="Q46" s="30" t="str">
        <x:f>IF(C46="","",MIN(1,J46*Settings!$G$33))</x:f>
      </x:c>
      <x:c r="R46" s="30" t="str">
        <x:f>IF(C46="","",MIN(1,J46*Settings!$G$34))</x:f>
      </x:c>
      <x:c r="S46" s="30" t="str">
        <x:f>IF(C46="","",MIN(1,K46*Settings!$H$32))</x:f>
      </x:c>
      <x:c r="T46" s="30" t="str">
        <x:f>IF(C46="","",MIN(1,K46*Settings!$H$33))</x:f>
      </x:c>
      <x:c r="U46" s="30" t="str">
        <x:f>IF(C46="","",MIN(1,K46*Settings!$H$34))</x:f>
      </x:c>
      <x:c r="V46" s="23" t="str">
        <x:f>IF(C46="","",IF(O46&lt;&gt;"Ready","Unavailable",IF(E46=3,F46*(1-MAX(0,1-(1-N46)*Settings!$H$32)/(1+I46)^M46),F46*(1-(1-S46)/(1+I46)^M46)*P46/(1+I46)*IF(ABS(1-(1-P46)*(1-L46)/(1+I46))&lt;0.000000001,AF46,(1-((1-P46)*(1-L46)/(1+I46))^AF46)/(1-(1-P46)*(1-L46)/(1+I46))))))</x:f>
      </x:c>
      <x:c r="W46" s="23" t="str">
        <x:f>IF(C46="","",IF(O46&lt;&gt;"Ready","Unavailable",IF(E46=3,F46*(1-MAX(0,1-(1-N46)*Settings!$H$33)/(1+I46)^M46),F46*(1-(1-T46)/(1+I46)^M46)*Q46/(1+I46)*IF(ABS(1-(1-Q46)*(1-L46)/(1+I46))&lt;0.000000001,AF46,(1-((1-Q46)*(1-L46)/(1+I46))^AF46)/(1-(1-Q46)*(1-L46)/(1+I46))))))</x:f>
      </x:c>
      <x:c r="X46" s="23" t="str">
        <x:f>IF(C46="","",IF(O46&lt;&gt;"Ready","Unavailable",IF(E46=3,F46*(1-MAX(0,1-(1-N46)*Settings!$H$34)/(1+I46)^M46),F46*(1-(1-U46)/(1+I46)^M46)*R46/(1+I46)*IF(ABS(1-(1-R46)*(1-L46)/(1+I46))&lt;0.000000001,AF46,(1-((1-R46)*(1-L46)/(1+I46))^AF46)/(1-(1-R46)*(1-L46)/(1+I46))))))</x:f>
      </x:c>
      <x:c r="Y46" s="23" t="str">
        <x:f>IF(C46="","",IF(O46&lt;&gt;"Ready","Unavailable",IF(E46=3,G46*INDEX('Facilities'!$I$9:$I$108,MATCH(C46,'Facilities'!$C$9:$C$108,0))*(1-MAX(0,1-(1-N46)*Settings!$H$32)/(1+I46)^M46),G46*INDEX('Facilities'!$I$9:$I$108,MATCH(C46,'Facilities'!$C$9:$C$108,0))*(1-(1-S46)/(1+I46)^M46)*P46/(1+I46)*IF(ABS(1-(1-P46)*(1-0)/(1+I46))&lt;0.000000001,AF46,(1-((1-P46)*(1-0)/(1+I46))^AF46)/(1-(1-P46)*(1-0)/(1+I46))))))</x:f>
      </x:c>
      <x:c r="Z46" s="23" t="str">
        <x:f>IF(C46="","",IF(O46&lt;&gt;"Ready","Unavailable",IF(E46=3,G46*INDEX('Facilities'!$I$9:$I$108,MATCH(C46,'Facilities'!$C$9:$C$108,0))*(1-MAX(0,1-(1-N46)*Settings!$H$33)/(1+I46)^M46),G46*INDEX('Facilities'!$I$9:$I$108,MATCH(C46,'Facilities'!$C$9:$C$108,0))*(1-(1-T46)/(1+I46)^M46)*Q46/(1+I46)*IF(ABS(1-(1-Q46)*(1-0)/(1+I46))&lt;0.000000001,AF46,(1-((1-Q46)*(1-0)/(1+I46))^AF46)/(1-(1-Q46)*(1-0)/(1+I46))))))</x:f>
      </x:c>
      <x:c r="AA46" s="23" t="str">
        <x:f>IF(C46="","",IF(O46&lt;&gt;"Ready","Unavailable",IF(E46=3,G46*INDEX('Facilities'!$I$9:$I$108,MATCH(C46,'Facilities'!$C$9:$C$108,0))*(1-MAX(0,1-(1-N46)*Settings!$H$34)/(1+I46)^M46),G46*INDEX('Facilities'!$I$9:$I$108,MATCH(C46,'Facilities'!$C$9:$C$108,0))*(1-(1-U46)/(1+I46)^M46)*R46/(1+I46)*IF(ABS(1-(1-R46)*(1-0)/(1+I46))&lt;0.000000001,AF46,(1-((1-R46)*(1-0)/(1+I46))^AF46)/(1-(1-R46)*(1-0)/(1+I46))))))</x:f>
      </x:c>
      <x:c r="AB46" s="23" t="str">
        <x:f>IF(C46="","",IF(O46&lt;&gt;"Ready","Unavailable",V46*Settings!$F$32+W46*Settings!$F$33+X46*Settings!$F$34))</x:f>
      </x:c>
      <x:c r="AC46" s="23" t="str">
        <x:f>IF(C46="","",IF(O46&lt;&gt;"Ready","Unavailable",Y46*Settings!$F$32+Z46*Settings!$F$33+AA46*Settings!$F$34))</x:f>
      </x:c>
      <x:c r="AD46" s="21" t="str">
        <x:f>IF(C46="","",IF(O46&lt;&gt;"Ready","Unavailable",AB46+AC46))</x:f>
      </x:c>
      <x:c r="AE46" s="17" t="str">
        <x:f>IF(C46="","",IF(OR(O46&lt;&gt;"Ready",F46=0),"Unavailable",AB46/F46))</x:f>
      </x:c>
      <x:c r="AF46" s="44" t="str">
        <x:f>IF(C46="","",IF(E46=1,1,H46))</x:f>
      </x:c>
    </x:row>
    <x:row r="47" ht="26" customHeight="1">
      <x:c r="A47" s="1"/>
      <x:c r="B47" s="1"/>
      <x:c r="C47" s="9" t="str">
        <x:f>IF(Facilities!C47="","",Facilities!C47)</x:f>
      </x:c>
      <x:c r="D47" s="9" t="str">
        <x:f>IF(C47="","",INDEX('Facilities'!$D$9:$D$108,MATCH(C47,'Facilities'!$C$9:$C$108,0)))</x:f>
      </x:c>
      <x:c r="E47" s="9" t="str">
        <x:f>IF(C47="","",INDEX('Facilities'!$AD$9:$AD$108,MATCH(C47,'Facilities'!$C$9:$C$108,0)))</x:f>
      </x:c>
      <x:c r="F47" s="23" t="str">
        <x:f>IF(C47="","",INDEX('Facilities'!$AA$9:$AA$108,MATCH(C47,'Facilities'!$C$9:$C$108,0)))</x:f>
      </x:c>
      <x:c r="G47" s="23" t="str">
        <x:f>IF(C47="","",INDEX('Facilities'!$AB$9:$AB$108,MATCH(C47,'Facilities'!$C$9:$C$108,0)))</x:f>
      </x:c>
      <x:c r="H47" s="42" t="str">
        <x:f>IF(C47="","",INDEX('Facilities'!$J$9:$J$108,MATCH(C47,'Facilities'!$C$9:$C$108,0)))</x:f>
      </x:c>
      <x:c r="I47" s="30" t="str">
        <x:f>IF(C47="","",INDEX('Facilities'!$K$9:$K$108,MATCH(C47,'Facilities'!$C$9:$C$108,0)))</x:f>
      </x:c>
      <x:c r="J47" s="30" t="str">
        <x:f>IF(C47="","",INDEX('Borrowers'!$P$9:$P$108,MATCH(D47,'Borrowers'!$C$9:$C$108,0)))</x:f>
      </x:c>
      <x:c r="K47" s="30" t="str">
        <x:f>IF(C47="","",INDEX('Borrowers'!$Q$9:$Q$108,MATCH(D47,'Borrowers'!$C$9:$C$108,0)))</x:f>
      </x:c>
      <x:c r="L47" s="30" t="str">
        <x:f>IF(C47="","",INDEX('Facilities'!$R$9:$R$108,MATCH(C47,'Facilities'!$C$9:$C$108,0)))</x:f>
      </x:c>
      <x:c r="M47" s="42" t="str">
        <x:f>IF(C47="","",INDEX('Facilities'!$AK$9:$AK$108,MATCH(C47,'Facilities'!$C$9:$C$108,0)))</x:f>
      </x:c>
      <x:c r="N47" s="30" t="str">
        <x:f>IF(C47="","",INDEX('Facilities'!$AL$9:$AL$108,MATCH(C47,'Facilities'!$C$9:$C$108,0)))</x:f>
      </x:c>
      <x:c r="O47" s="23" t="str">
        <x:f>IF(C47="","",IF(AND(INDEX('Facilities'!$AF$9:$AF$108,MATCH(C47,'Facilities'!$C$9:$C$108,0))="Ready",Settings!$F$36="Ready"),"Ready","Review ECL inputs"))</x:f>
      </x:c>
      <x:c r="P47" s="30" t="str">
        <x:f>IF(C47="","",MIN(1,J47*Settings!$G$32))</x:f>
      </x:c>
      <x:c r="Q47" s="30" t="str">
        <x:f>IF(C47="","",MIN(1,J47*Settings!$G$33))</x:f>
      </x:c>
      <x:c r="R47" s="30" t="str">
        <x:f>IF(C47="","",MIN(1,J47*Settings!$G$34))</x:f>
      </x:c>
      <x:c r="S47" s="30" t="str">
        <x:f>IF(C47="","",MIN(1,K47*Settings!$H$32))</x:f>
      </x:c>
      <x:c r="T47" s="30" t="str">
        <x:f>IF(C47="","",MIN(1,K47*Settings!$H$33))</x:f>
      </x:c>
      <x:c r="U47" s="30" t="str">
        <x:f>IF(C47="","",MIN(1,K47*Settings!$H$34))</x:f>
      </x:c>
      <x:c r="V47" s="23" t="str">
        <x:f>IF(C47="","",IF(O47&lt;&gt;"Ready","Unavailable",IF(E47=3,F47*(1-MAX(0,1-(1-N47)*Settings!$H$32)/(1+I47)^M47),F47*(1-(1-S47)/(1+I47)^M47)*P47/(1+I47)*IF(ABS(1-(1-P47)*(1-L47)/(1+I47))&lt;0.000000001,AF47,(1-((1-P47)*(1-L47)/(1+I47))^AF47)/(1-(1-P47)*(1-L47)/(1+I47))))))</x:f>
      </x:c>
      <x:c r="W47" s="23" t="str">
        <x:f>IF(C47="","",IF(O47&lt;&gt;"Ready","Unavailable",IF(E47=3,F47*(1-MAX(0,1-(1-N47)*Settings!$H$33)/(1+I47)^M47),F47*(1-(1-T47)/(1+I47)^M47)*Q47/(1+I47)*IF(ABS(1-(1-Q47)*(1-L47)/(1+I47))&lt;0.000000001,AF47,(1-((1-Q47)*(1-L47)/(1+I47))^AF47)/(1-(1-Q47)*(1-L47)/(1+I47))))))</x:f>
      </x:c>
      <x:c r="X47" s="23" t="str">
        <x:f>IF(C47="","",IF(O47&lt;&gt;"Ready","Unavailable",IF(E47=3,F47*(1-MAX(0,1-(1-N47)*Settings!$H$34)/(1+I47)^M47),F47*(1-(1-U47)/(1+I47)^M47)*R47/(1+I47)*IF(ABS(1-(1-R47)*(1-L47)/(1+I47))&lt;0.000000001,AF47,(1-((1-R47)*(1-L47)/(1+I47))^AF47)/(1-(1-R47)*(1-L47)/(1+I47))))))</x:f>
      </x:c>
      <x:c r="Y47" s="23" t="str">
        <x:f>IF(C47="","",IF(O47&lt;&gt;"Ready","Unavailable",IF(E47=3,G47*INDEX('Facilities'!$I$9:$I$108,MATCH(C47,'Facilities'!$C$9:$C$108,0))*(1-MAX(0,1-(1-N47)*Settings!$H$32)/(1+I47)^M47),G47*INDEX('Facilities'!$I$9:$I$108,MATCH(C47,'Facilities'!$C$9:$C$108,0))*(1-(1-S47)/(1+I47)^M47)*P47/(1+I47)*IF(ABS(1-(1-P47)*(1-0)/(1+I47))&lt;0.000000001,AF47,(1-((1-P47)*(1-0)/(1+I47))^AF47)/(1-(1-P47)*(1-0)/(1+I47))))))</x:f>
      </x:c>
      <x:c r="Z47" s="23" t="str">
        <x:f>IF(C47="","",IF(O47&lt;&gt;"Ready","Unavailable",IF(E47=3,G47*INDEX('Facilities'!$I$9:$I$108,MATCH(C47,'Facilities'!$C$9:$C$108,0))*(1-MAX(0,1-(1-N47)*Settings!$H$33)/(1+I47)^M47),G47*INDEX('Facilities'!$I$9:$I$108,MATCH(C47,'Facilities'!$C$9:$C$108,0))*(1-(1-T47)/(1+I47)^M47)*Q47/(1+I47)*IF(ABS(1-(1-Q47)*(1-0)/(1+I47))&lt;0.000000001,AF47,(1-((1-Q47)*(1-0)/(1+I47))^AF47)/(1-(1-Q47)*(1-0)/(1+I47))))))</x:f>
      </x:c>
      <x:c r="AA47" s="23" t="str">
        <x:f>IF(C47="","",IF(O47&lt;&gt;"Ready","Unavailable",IF(E47=3,G47*INDEX('Facilities'!$I$9:$I$108,MATCH(C47,'Facilities'!$C$9:$C$108,0))*(1-MAX(0,1-(1-N47)*Settings!$H$34)/(1+I47)^M47),G47*INDEX('Facilities'!$I$9:$I$108,MATCH(C47,'Facilities'!$C$9:$C$108,0))*(1-(1-U47)/(1+I47)^M47)*R47/(1+I47)*IF(ABS(1-(1-R47)*(1-0)/(1+I47))&lt;0.000000001,AF47,(1-((1-R47)*(1-0)/(1+I47))^AF47)/(1-(1-R47)*(1-0)/(1+I47))))))</x:f>
      </x:c>
      <x:c r="AB47" s="23" t="str">
        <x:f>IF(C47="","",IF(O47&lt;&gt;"Ready","Unavailable",V47*Settings!$F$32+W47*Settings!$F$33+X47*Settings!$F$34))</x:f>
      </x:c>
      <x:c r="AC47" s="23" t="str">
        <x:f>IF(C47="","",IF(O47&lt;&gt;"Ready","Unavailable",Y47*Settings!$F$32+Z47*Settings!$F$33+AA47*Settings!$F$34))</x:f>
      </x:c>
      <x:c r="AD47" s="21" t="str">
        <x:f>IF(C47="","",IF(O47&lt;&gt;"Ready","Unavailable",AB47+AC47))</x:f>
      </x:c>
      <x:c r="AE47" s="17" t="str">
        <x:f>IF(C47="","",IF(OR(O47&lt;&gt;"Ready",F47=0),"Unavailable",AB47/F47))</x:f>
      </x:c>
      <x:c r="AF47" s="44" t="str">
        <x:f>IF(C47="","",IF(E47=1,1,H47))</x:f>
      </x:c>
    </x:row>
    <x:row r="48" ht="26" customHeight="1">
      <x:c r="A48" s="1"/>
      <x:c r="B48" s="1"/>
      <x:c r="C48" s="9" t="str">
        <x:f>IF(Facilities!C48="","",Facilities!C48)</x:f>
      </x:c>
      <x:c r="D48" s="9" t="str">
        <x:f>IF(C48="","",INDEX('Facilities'!$D$9:$D$108,MATCH(C48,'Facilities'!$C$9:$C$108,0)))</x:f>
      </x:c>
      <x:c r="E48" s="9" t="str">
        <x:f>IF(C48="","",INDEX('Facilities'!$AD$9:$AD$108,MATCH(C48,'Facilities'!$C$9:$C$108,0)))</x:f>
      </x:c>
      <x:c r="F48" s="23" t="str">
        <x:f>IF(C48="","",INDEX('Facilities'!$AA$9:$AA$108,MATCH(C48,'Facilities'!$C$9:$C$108,0)))</x:f>
      </x:c>
      <x:c r="G48" s="23" t="str">
        <x:f>IF(C48="","",INDEX('Facilities'!$AB$9:$AB$108,MATCH(C48,'Facilities'!$C$9:$C$108,0)))</x:f>
      </x:c>
      <x:c r="H48" s="42" t="str">
        <x:f>IF(C48="","",INDEX('Facilities'!$J$9:$J$108,MATCH(C48,'Facilities'!$C$9:$C$108,0)))</x:f>
      </x:c>
      <x:c r="I48" s="30" t="str">
        <x:f>IF(C48="","",INDEX('Facilities'!$K$9:$K$108,MATCH(C48,'Facilities'!$C$9:$C$108,0)))</x:f>
      </x:c>
      <x:c r="J48" s="30" t="str">
        <x:f>IF(C48="","",INDEX('Borrowers'!$P$9:$P$108,MATCH(D48,'Borrowers'!$C$9:$C$108,0)))</x:f>
      </x:c>
      <x:c r="K48" s="30" t="str">
        <x:f>IF(C48="","",INDEX('Borrowers'!$Q$9:$Q$108,MATCH(D48,'Borrowers'!$C$9:$C$108,0)))</x:f>
      </x:c>
      <x:c r="L48" s="30" t="str">
        <x:f>IF(C48="","",INDEX('Facilities'!$R$9:$R$108,MATCH(C48,'Facilities'!$C$9:$C$108,0)))</x:f>
      </x:c>
      <x:c r="M48" s="42" t="str">
        <x:f>IF(C48="","",INDEX('Facilities'!$AK$9:$AK$108,MATCH(C48,'Facilities'!$C$9:$C$108,0)))</x:f>
      </x:c>
      <x:c r="N48" s="30" t="str">
        <x:f>IF(C48="","",INDEX('Facilities'!$AL$9:$AL$108,MATCH(C48,'Facilities'!$C$9:$C$108,0)))</x:f>
      </x:c>
      <x:c r="O48" s="23" t="str">
        <x:f>IF(C48="","",IF(AND(INDEX('Facilities'!$AF$9:$AF$108,MATCH(C48,'Facilities'!$C$9:$C$108,0))="Ready",Settings!$F$36="Ready"),"Ready","Review ECL inputs"))</x:f>
      </x:c>
      <x:c r="P48" s="30" t="str">
        <x:f>IF(C48="","",MIN(1,J48*Settings!$G$32))</x:f>
      </x:c>
      <x:c r="Q48" s="30" t="str">
        <x:f>IF(C48="","",MIN(1,J48*Settings!$G$33))</x:f>
      </x:c>
      <x:c r="R48" s="30" t="str">
        <x:f>IF(C48="","",MIN(1,J48*Settings!$G$34))</x:f>
      </x:c>
      <x:c r="S48" s="30" t="str">
        <x:f>IF(C48="","",MIN(1,K48*Settings!$H$32))</x:f>
      </x:c>
      <x:c r="T48" s="30" t="str">
        <x:f>IF(C48="","",MIN(1,K48*Settings!$H$33))</x:f>
      </x:c>
      <x:c r="U48" s="30" t="str">
        <x:f>IF(C48="","",MIN(1,K48*Settings!$H$34))</x:f>
      </x:c>
      <x:c r="V48" s="23" t="str">
        <x:f>IF(C48="","",IF(O48&lt;&gt;"Ready","Unavailable",IF(E48=3,F48*(1-MAX(0,1-(1-N48)*Settings!$H$32)/(1+I48)^M48),F48*(1-(1-S48)/(1+I48)^M48)*P48/(1+I48)*IF(ABS(1-(1-P48)*(1-L48)/(1+I48))&lt;0.000000001,AF48,(1-((1-P48)*(1-L48)/(1+I48))^AF48)/(1-(1-P48)*(1-L48)/(1+I48))))))</x:f>
      </x:c>
      <x:c r="W48" s="23" t="str">
        <x:f>IF(C48="","",IF(O48&lt;&gt;"Ready","Unavailable",IF(E48=3,F48*(1-MAX(0,1-(1-N48)*Settings!$H$33)/(1+I48)^M48),F48*(1-(1-T48)/(1+I48)^M48)*Q48/(1+I48)*IF(ABS(1-(1-Q48)*(1-L48)/(1+I48))&lt;0.000000001,AF48,(1-((1-Q48)*(1-L48)/(1+I48))^AF48)/(1-(1-Q48)*(1-L48)/(1+I48))))))</x:f>
      </x:c>
      <x:c r="X48" s="23" t="str">
        <x:f>IF(C48="","",IF(O48&lt;&gt;"Ready","Unavailable",IF(E48=3,F48*(1-MAX(0,1-(1-N48)*Settings!$H$34)/(1+I48)^M48),F48*(1-(1-U48)/(1+I48)^M48)*R48/(1+I48)*IF(ABS(1-(1-R48)*(1-L48)/(1+I48))&lt;0.000000001,AF48,(1-((1-R48)*(1-L48)/(1+I48))^AF48)/(1-(1-R48)*(1-L48)/(1+I48))))))</x:f>
      </x:c>
      <x:c r="Y48" s="23" t="str">
        <x:f>IF(C48="","",IF(O48&lt;&gt;"Ready","Unavailable",IF(E48=3,G48*INDEX('Facilities'!$I$9:$I$108,MATCH(C48,'Facilities'!$C$9:$C$108,0))*(1-MAX(0,1-(1-N48)*Settings!$H$32)/(1+I48)^M48),G48*INDEX('Facilities'!$I$9:$I$108,MATCH(C48,'Facilities'!$C$9:$C$108,0))*(1-(1-S48)/(1+I48)^M48)*P48/(1+I48)*IF(ABS(1-(1-P48)*(1-0)/(1+I48))&lt;0.000000001,AF48,(1-((1-P48)*(1-0)/(1+I48))^AF48)/(1-(1-P48)*(1-0)/(1+I48))))))</x:f>
      </x:c>
      <x:c r="Z48" s="23" t="str">
        <x:f>IF(C48="","",IF(O48&lt;&gt;"Ready","Unavailable",IF(E48=3,G48*INDEX('Facilities'!$I$9:$I$108,MATCH(C48,'Facilities'!$C$9:$C$108,0))*(1-MAX(0,1-(1-N48)*Settings!$H$33)/(1+I48)^M48),G48*INDEX('Facilities'!$I$9:$I$108,MATCH(C48,'Facilities'!$C$9:$C$108,0))*(1-(1-T48)/(1+I48)^M48)*Q48/(1+I48)*IF(ABS(1-(1-Q48)*(1-0)/(1+I48))&lt;0.000000001,AF48,(1-((1-Q48)*(1-0)/(1+I48))^AF48)/(1-(1-Q48)*(1-0)/(1+I48))))))</x:f>
      </x:c>
      <x:c r="AA48" s="23" t="str">
        <x:f>IF(C48="","",IF(O48&lt;&gt;"Ready","Unavailable",IF(E48=3,G48*INDEX('Facilities'!$I$9:$I$108,MATCH(C48,'Facilities'!$C$9:$C$108,0))*(1-MAX(0,1-(1-N48)*Settings!$H$34)/(1+I48)^M48),G48*INDEX('Facilities'!$I$9:$I$108,MATCH(C48,'Facilities'!$C$9:$C$108,0))*(1-(1-U48)/(1+I48)^M48)*R48/(1+I48)*IF(ABS(1-(1-R48)*(1-0)/(1+I48))&lt;0.000000001,AF48,(1-((1-R48)*(1-0)/(1+I48))^AF48)/(1-(1-R48)*(1-0)/(1+I48))))))</x:f>
      </x:c>
      <x:c r="AB48" s="23" t="str">
        <x:f>IF(C48="","",IF(O48&lt;&gt;"Ready","Unavailable",V48*Settings!$F$32+W48*Settings!$F$33+X48*Settings!$F$34))</x:f>
      </x:c>
      <x:c r="AC48" s="23" t="str">
        <x:f>IF(C48="","",IF(O48&lt;&gt;"Ready","Unavailable",Y48*Settings!$F$32+Z48*Settings!$F$33+AA48*Settings!$F$34))</x:f>
      </x:c>
      <x:c r="AD48" s="21" t="str">
        <x:f>IF(C48="","",IF(O48&lt;&gt;"Ready","Unavailable",AB48+AC48))</x:f>
      </x:c>
      <x:c r="AE48" s="17" t="str">
        <x:f>IF(C48="","",IF(OR(O48&lt;&gt;"Ready",F48=0),"Unavailable",AB48/F48))</x:f>
      </x:c>
      <x:c r="AF48" s="44" t="str">
        <x:f>IF(C48="","",IF(E48=1,1,H48))</x:f>
      </x:c>
    </x:row>
    <x:row r="49" ht="26" customHeight="1">
      <x:c r="A49" s="1"/>
      <x:c r="B49" s="1"/>
      <x:c r="C49" s="9" t="str">
        <x:f>IF(Facilities!C49="","",Facilities!C49)</x:f>
      </x:c>
      <x:c r="D49" s="9" t="str">
        <x:f>IF(C49="","",INDEX('Facilities'!$D$9:$D$108,MATCH(C49,'Facilities'!$C$9:$C$108,0)))</x:f>
      </x:c>
      <x:c r="E49" s="9" t="str">
        <x:f>IF(C49="","",INDEX('Facilities'!$AD$9:$AD$108,MATCH(C49,'Facilities'!$C$9:$C$108,0)))</x:f>
      </x:c>
      <x:c r="F49" s="23" t="str">
        <x:f>IF(C49="","",INDEX('Facilities'!$AA$9:$AA$108,MATCH(C49,'Facilities'!$C$9:$C$108,0)))</x:f>
      </x:c>
      <x:c r="G49" s="23" t="str">
        <x:f>IF(C49="","",INDEX('Facilities'!$AB$9:$AB$108,MATCH(C49,'Facilities'!$C$9:$C$108,0)))</x:f>
      </x:c>
      <x:c r="H49" s="42" t="str">
        <x:f>IF(C49="","",INDEX('Facilities'!$J$9:$J$108,MATCH(C49,'Facilities'!$C$9:$C$108,0)))</x:f>
      </x:c>
      <x:c r="I49" s="30" t="str">
        <x:f>IF(C49="","",INDEX('Facilities'!$K$9:$K$108,MATCH(C49,'Facilities'!$C$9:$C$108,0)))</x:f>
      </x:c>
      <x:c r="J49" s="30" t="str">
        <x:f>IF(C49="","",INDEX('Borrowers'!$P$9:$P$108,MATCH(D49,'Borrowers'!$C$9:$C$108,0)))</x:f>
      </x:c>
      <x:c r="K49" s="30" t="str">
        <x:f>IF(C49="","",INDEX('Borrowers'!$Q$9:$Q$108,MATCH(D49,'Borrowers'!$C$9:$C$108,0)))</x:f>
      </x:c>
      <x:c r="L49" s="30" t="str">
        <x:f>IF(C49="","",INDEX('Facilities'!$R$9:$R$108,MATCH(C49,'Facilities'!$C$9:$C$108,0)))</x:f>
      </x:c>
      <x:c r="M49" s="42" t="str">
        <x:f>IF(C49="","",INDEX('Facilities'!$AK$9:$AK$108,MATCH(C49,'Facilities'!$C$9:$C$108,0)))</x:f>
      </x:c>
      <x:c r="N49" s="30" t="str">
        <x:f>IF(C49="","",INDEX('Facilities'!$AL$9:$AL$108,MATCH(C49,'Facilities'!$C$9:$C$108,0)))</x:f>
      </x:c>
      <x:c r="O49" s="23" t="str">
        <x:f>IF(C49="","",IF(AND(INDEX('Facilities'!$AF$9:$AF$108,MATCH(C49,'Facilities'!$C$9:$C$108,0))="Ready",Settings!$F$36="Ready"),"Ready","Review ECL inputs"))</x:f>
      </x:c>
      <x:c r="P49" s="30" t="str">
        <x:f>IF(C49="","",MIN(1,J49*Settings!$G$32))</x:f>
      </x:c>
      <x:c r="Q49" s="30" t="str">
        <x:f>IF(C49="","",MIN(1,J49*Settings!$G$33))</x:f>
      </x:c>
      <x:c r="R49" s="30" t="str">
        <x:f>IF(C49="","",MIN(1,J49*Settings!$G$34))</x:f>
      </x:c>
      <x:c r="S49" s="30" t="str">
        <x:f>IF(C49="","",MIN(1,K49*Settings!$H$32))</x:f>
      </x:c>
      <x:c r="T49" s="30" t="str">
        <x:f>IF(C49="","",MIN(1,K49*Settings!$H$33))</x:f>
      </x:c>
      <x:c r="U49" s="30" t="str">
        <x:f>IF(C49="","",MIN(1,K49*Settings!$H$34))</x:f>
      </x:c>
      <x:c r="V49" s="23" t="str">
        <x:f>IF(C49="","",IF(O49&lt;&gt;"Ready","Unavailable",IF(E49=3,F49*(1-MAX(0,1-(1-N49)*Settings!$H$32)/(1+I49)^M49),F49*(1-(1-S49)/(1+I49)^M49)*P49/(1+I49)*IF(ABS(1-(1-P49)*(1-L49)/(1+I49))&lt;0.000000001,AF49,(1-((1-P49)*(1-L49)/(1+I49))^AF49)/(1-(1-P49)*(1-L49)/(1+I49))))))</x:f>
      </x:c>
      <x:c r="W49" s="23" t="str">
        <x:f>IF(C49="","",IF(O49&lt;&gt;"Ready","Unavailable",IF(E49=3,F49*(1-MAX(0,1-(1-N49)*Settings!$H$33)/(1+I49)^M49),F49*(1-(1-T49)/(1+I49)^M49)*Q49/(1+I49)*IF(ABS(1-(1-Q49)*(1-L49)/(1+I49))&lt;0.000000001,AF49,(1-((1-Q49)*(1-L49)/(1+I49))^AF49)/(1-(1-Q49)*(1-L49)/(1+I49))))))</x:f>
      </x:c>
      <x:c r="X49" s="23" t="str">
        <x:f>IF(C49="","",IF(O49&lt;&gt;"Ready","Unavailable",IF(E49=3,F49*(1-MAX(0,1-(1-N49)*Settings!$H$34)/(1+I49)^M49),F49*(1-(1-U49)/(1+I49)^M49)*R49/(1+I49)*IF(ABS(1-(1-R49)*(1-L49)/(1+I49))&lt;0.000000001,AF49,(1-((1-R49)*(1-L49)/(1+I49))^AF49)/(1-(1-R49)*(1-L49)/(1+I49))))))</x:f>
      </x:c>
      <x:c r="Y49" s="23" t="str">
        <x:f>IF(C49="","",IF(O49&lt;&gt;"Ready","Unavailable",IF(E49=3,G49*INDEX('Facilities'!$I$9:$I$108,MATCH(C49,'Facilities'!$C$9:$C$108,0))*(1-MAX(0,1-(1-N49)*Settings!$H$32)/(1+I49)^M49),G49*INDEX('Facilities'!$I$9:$I$108,MATCH(C49,'Facilities'!$C$9:$C$108,0))*(1-(1-S49)/(1+I49)^M49)*P49/(1+I49)*IF(ABS(1-(1-P49)*(1-0)/(1+I49))&lt;0.000000001,AF49,(1-((1-P49)*(1-0)/(1+I49))^AF49)/(1-(1-P49)*(1-0)/(1+I49))))))</x:f>
      </x:c>
      <x:c r="Z49" s="23" t="str">
        <x:f>IF(C49="","",IF(O49&lt;&gt;"Ready","Unavailable",IF(E49=3,G49*INDEX('Facilities'!$I$9:$I$108,MATCH(C49,'Facilities'!$C$9:$C$108,0))*(1-MAX(0,1-(1-N49)*Settings!$H$33)/(1+I49)^M49),G49*INDEX('Facilities'!$I$9:$I$108,MATCH(C49,'Facilities'!$C$9:$C$108,0))*(1-(1-T49)/(1+I49)^M49)*Q49/(1+I49)*IF(ABS(1-(1-Q49)*(1-0)/(1+I49))&lt;0.000000001,AF49,(1-((1-Q49)*(1-0)/(1+I49))^AF49)/(1-(1-Q49)*(1-0)/(1+I49))))))</x:f>
      </x:c>
      <x:c r="AA49" s="23" t="str">
        <x:f>IF(C49="","",IF(O49&lt;&gt;"Ready","Unavailable",IF(E49=3,G49*INDEX('Facilities'!$I$9:$I$108,MATCH(C49,'Facilities'!$C$9:$C$108,0))*(1-MAX(0,1-(1-N49)*Settings!$H$34)/(1+I49)^M49),G49*INDEX('Facilities'!$I$9:$I$108,MATCH(C49,'Facilities'!$C$9:$C$108,0))*(1-(1-U49)/(1+I49)^M49)*R49/(1+I49)*IF(ABS(1-(1-R49)*(1-0)/(1+I49))&lt;0.000000001,AF49,(1-((1-R49)*(1-0)/(1+I49))^AF49)/(1-(1-R49)*(1-0)/(1+I49))))))</x:f>
      </x:c>
      <x:c r="AB49" s="23" t="str">
        <x:f>IF(C49="","",IF(O49&lt;&gt;"Ready","Unavailable",V49*Settings!$F$32+W49*Settings!$F$33+X49*Settings!$F$34))</x:f>
      </x:c>
      <x:c r="AC49" s="23" t="str">
        <x:f>IF(C49="","",IF(O49&lt;&gt;"Ready","Unavailable",Y49*Settings!$F$32+Z49*Settings!$F$33+AA49*Settings!$F$34))</x:f>
      </x:c>
      <x:c r="AD49" s="21" t="str">
        <x:f>IF(C49="","",IF(O49&lt;&gt;"Ready","Unavailable",AB49+AC49))</x:f>
      </x:c>
      <x:c r="AE49" s="17" t="str">
        <x:f>IF(C49="","",IF(OR(O49&lt;&gt;"Ready",F49=0),"Unavailable",AB49/F49))</x:f>
      </x:c>
      <x:c r="AF49" s="44" t="str">
        <x:f>IF(C49="","",IF(E49=1,1,H49))</x:f>
      </x:c>
    </x:row>
    <x:row r="50" ht="26" customHeight="1">
      <x:c r="A50" s="1"/>
      <x:c r="B50" s="1"/>
      <x:c r="C50" s="9" t="str">
        <x:f>IF(Facilities!C50="","",Facilities!C50)</x:f>
      </x:c>
      <x:c r="D50" s="9" t="str">
        <x:f>IF(C50="","",INDEX('Facilities'!$D$9:$D$108,MATCH(C50,'Facilities'!$C$9:$C$108,0)))</x:f>
      </x:c>
      <x:c r="E50" s="9" t="str">
        <x:f>IF(C50="","",INDEX('Facilities'!$AD$9:$AD$108,MATCH(C50,'Facilities'!$C$9:$C$108,0)))</x:f>
      </x:c>
      <x:c r="F50" s="23" t="str">
        <x:f>IF(C50="","",INDEX('Facilities'!$AA$9:$AA$108,MATCH(C50,'Facilities'!$C$9:$C$108,0)))</x:f>
      </x:c>
      <x:c r="G50" s="23" t="str">
        <x:f>IF(C50="","",INDEX('Facilities'!$AB$9:$AB$108,MATCH(C50,'Facilities'!$C$9:$C$108,0)))</x:f>
      </x:c>
      <x:c r="H50" s="42" t="str">
        <x:f>IF(C50="","",INDEX('Facilities'!$J$9:$J$108,MATCH(C50,'Facilities'!$C$9:$C$108,0)))</x:f>
      </x:c>
      <x:c r="I50" s="30" t="str">
        <x:f>IF(C50="","",INDEX('Facilities'!$K$9:$K$108,MATCH(C50,'Facilities'!$C$9:$C$108,0)))</x:f>
      </x:c>
      <x:c r="J50" s="30" t="str">
        <x:f>IF(C50="","",INDEX('Borrowers'!$P$9:$P$108,MATCH(D50,'Borrowers'!$C$9:$C$108,0)))</x:f>
      </x:c>
      <x:c r="K50" s="30" t="str">
        <x:f>IF(C50="","",INDEX('Borrowers'!$Q$9:$Q$108,MATCH(D50,'Borrowers'!$C$9:$C$108,0)))</x:f>
      </x:c>
      <x:c r="L50" s="30" t="str">
        <x:f>IF(C50="","",INDEX('Facilities'!$R$9:$R$108,MATCH(C50,'Facilities'!$C$9:$C$108,0)))</x:f>
      </x:c>
      <x:c r="M50" s="42" t="str">
        <x:f>IF(C50="","",INDEX('Facilities'!$AK$9:$AK$108,MATCH(C50,'Facilities'!$C$9:$C$108,0)))</x:f>
      </x:c>
      <x:c r="N50" s="30" t="str">
        <x:f>IF(C50="","",INDEX('Facilities'!$AL$9:$AL$108,MATCH(C50,'Facilities'!$C$9:$C$108,0)))</x:f>
      </x:c>
      <x:c r="O50" s="23" t="str">
        <x:f>IF(C50="","",IF(AND(INDEX('Facilities'!$AF$9:$AF$108,MATCH(C50,'Facilities'!$C$9:$C$108,0))="Ready",Settings!$F$36="Ready"),"Ready","Review ECL inputs"))</x:f>
      </x:c>
      <x:c r="P50" s="30" t="str">
        <x:f>IF(C50="","",MIN(1,J50*Settings!$G$32))</x:f>
      </x:c>
      <x:c r="Q50" s="30" t="str">
        <x:f>IF(C50="","",MIN(1,J50*Settings!$G$33))</x:f>
      </x:c>
      <x:c r="R50" s="30" t="str">
        <x:f>IF(C50="","",MIN(1,J50*Settings!$G$34))</x:f>
      </x:c>
      <x:c r="S50" s="30" t="str">
        <x:f>IF(C50="","",MIN(1,K50*Settings!$H$32))</x:f>
      </x:c>
      <x:c r="T50" s="30" t="str">
        <x:f>IF(C50="","",MIN(1,K50*Settings!$H$33))</x:f>
      </x:c>
      <x:c r="U50" s="30" t="str">
        <x:f>IF(C50="","",MIN(1,K50*Settings!$H$34))</x:f>
      </x:c>
      <x:c r="V50" s="23" t="str">
        <x:f>IF(C50="","",IF(O50&lt;&gt;"Ready","Unavailable",IF(E50=3,F50*(1-MAX(0,1-(1-N50)*Settings!$H$32)/(1+I50)^M50),F50*(1-(1-S50)/(1+I50)^M50)*P50/(1+I50)*IF(ABS(1-(1-P50)*(1-L50)/(1+I50))&lt;0.000000001,AF50,(1-((1-P50)*(1-L50)/(1+I50))^AF50)/(1-(1-P50)*(1-L50)/(1+I50))))))</x:f>
      </x:c>
      <x:c r="W50" s="23" t="str">
        <x:f>IF(C50="","",IF(O50&lt;&gt;"Ready","Unavailable",IF(E50=3,F50*(1-MAX(0,1-(1-N50)*Settings!$H$33)/(1+I50)^M50),F50*(1-(1-T50)/(1+I50)^M50)*Q50/(1+I50)*IF(ABS(1-(1-Q50)*(1-L50)/(1+I50))&lt;0.000000001,AF50,(1-((1-Q50)*(1-L50)/(1+I50))^AF50)/(1-(1-Q50)*(1-L50)/(1+I50))))))</x:f>
      </x:c>
      <x:c r="X50" s="23" t="str">
        <x:f>IF(C50="","",IF(O50&lt;&gt;"Ready","Unavailable",IF(E50=3,F50*(1-MAX(0,1-(1-N50)*Settings!$H$34)/(1+I50)^M50),F50*(1-(1-U50)/(1+I50)^M50)*R50/(1+I50)*IF(ABS(1-(1-R50)*(1-L50)/(1+I50))&lt;0.000000001,AF50,(1-((1-R50)*(1-L50)/(1+I50))^AF50)/(1-(1-R50)*(1-L50)/(1+I50))))))</x:f>
      </x:c>
      <x:c r="Y50" s="23" t="str">
        <x:f>IF(C50="","",IF(O50&lt;&gt;"Ready","Unavailable",IF(E50=3,G50*INDEX('Facilities'!$I$9:$I$108,MATCH(C50,'Facilities'!$C$9:$C$108,0))*(1-MAX(0,1-(1-N50)*Settings!$H$32)/(1+I50)^M50),G50*INDEX('Facilities'!$I$9:$I$108,MATCH(C50,'Facilities'!$C$9:$C$108,0))*(1-(1-S50)/(1+I50)^M50)*P50/(1+I50)*IF(ABS(1-(1-P50)*(1-0)/(1+I50))&lt;0.000000001,AF50,(1-((1-P50)*(1-0)/(1+I50))^AF50)/(1-(1-P50)*(1-0)/(1+I50))))))</x:f>
      </x:c>
      <x:c r="Z50" s="23" t="str">
        <x:f>IF(C50="","",IF(O50&lt;&gt;"Ready","Unavailable",IF(E50=3,G50*INDEX('Facilities'!$I$9:$I$108,MATCH(C50,'Facilities'!$C$9:$C$108,0))*(1-MAX(0,1-(1-N50)*Settings!$H$33)/(1+I50)^M50),G50*INDEX('Facilities'!$I$9:$I$108,MATCH(C50,'Facilities'!$C$9:$C$108,0))*(1-(1-T50)/(1+I50)^M50)*Q50/(1+I50)*IF(ABS(1-(1-Q50)*(1-0)/(1+I50))&lt;0.000000001,AF50,(1-((1-Q50)*(1-0)/(1+I50))^AF50)/(1-(1-Q50)*(1-0)/(1+I50))))))</x:f>
      </x:c>
      <x:c r="AA50" s="23" t="str">
        <x:f>IF(C50="","",IF(O50&lt;&gt;"Ready","Unavailable",IF(E50=3,G50*INDEX('Facilities'!$I$9:$I$108,MATCH(C50,'Facilities'!$C$9:$C$108,0))*(1-MAX(0,1-(1-N50)*Settings!$H$34)/(1+I50)^M50),G50*INDEX('Facilities'!$I$9:$I$108,MATCH(C50,'Facilities'!$C$9:$C$108,0))*(1-(1-U50)/(1+I50)^M50)*R50/(1+I50)*IF(ABS(1-(1-R50)*(1-0)/(1+I50))&lt;0.000000001,AF50,(1-((1-R50)*(1-0)/(1+I50))^AF50)/(1-(1-R50)*(1-0)/(1+I50))))))</x:f>
      </x:c>
      <x:c r="AB50" s="23" t="str">
        <x:f>IF(C50="","",IF(O50&lt;&gt;"Ready","Unavailable",V50*Settings!$F$32+W50*Settings!$F$33+X50*Settings!$F$34))</x:f>
      </x:c>
      <x:c r="AC50" s="23" t="str">
        <x:f>IF(C50="","",IF(O50&lt;&gt;"Ready","Unavailable",Y50*Settings!$F$32+Z50*Settings!$F$33+AA50*Settings!$F$34))</x:f>
      </x:c>
      <x:c r="AD50" s="21" t="str">
        <x:f>IF(C50="","",IF(O50&lt;&gt;"Ready","Unavailable",AB50+AC50))</x:f>
      </x:c>
      <x:c r="AE50" s="17" t="str">
        <x:f>IF(C50="","",IF(OR(O50&lt;&gt;"Ready",F50=0),"Unavailable",AB50/F50))</x:f>
      </x:c>
      <x:c r="AF50" s="44" t="str">
        <x:f>IF(C50="","",IF(E50=1,1,H50))</x:f>
      </x:c>
    </x:row>
    <x:row r="51" ht="26" customHeight="1">
      <x:c r="A51" s="1"/>
      <x:c r="B51" s="1"/>
      <x:c r="C51" s="9" t="str">
        <x:f>IF(Facilities!C51="","",Facilities!C51)</x:f>
      </x:c>
      <x:c r="D51" s="9" t="str">
        <x:f>IF(C51="","",INDEX('Facilities'!$D$9:$D$108,MATCH(C51,'Facilities'!$C$9:$C$108,0)))</x:f>
      </x:c>
      <x:c r="E51" s="9" t="str">
        <x:f>IF(C51="","",INDEX('Facilities'!$AD$9:$AD$108,MATCH(C51,'Facilities'!$C$9:$C$108,0)))</x:f>
      </x:c>
      <x:c r="F51" s="23" t="str">
        <x:f>IF(C51="","",INDEX('Facilities'!$AA$9:$AA$108,MATCH(C51,'Facilities'!$C$9:$C$108,0)))</x:f>
      </x:c>
      <x:c r="G51" s="23" t="str">
        <x:f>IF(C51="","",INDEX('Facilities'!$AB$9:$AB$108,MATCH(C51,'Facilities'!$C$9:$C$108,0)))</x:f>
      </x:c>
      <x:c r="H51" s="42" t="str">
        <x:f>IF(C51="","",INDEX('Facilities'!$J$9:$J$108,MATCH(C51,'Facilities'!$C$9:$C$108,0)))</x:f>
      </x:c>
      <x:c r="I51" s="30" t="str">
        <x:f>IF(C51="","",INDEX('Facilities'!$K$9:$K$108,MATCH(C51,'Facilities'!$C$9:$C$108,0)))</x:f>
      </x:c>
      <x:c r="J51" s="30" t="str">
        <x:f>IF(C51="","",INDEX('Borrowers'!$P$9:$P$108,MATCH(D51,'Borrowers'!$C$9:$C$108,0)))</x:f>
      </x:c>
      <x:c r="K51" s="30" t="str">
        <x:f>IF(C51="","",INDEX('Borrowers'!$Q$9:$Q$108,MATCH(D51,'Borrowers'!$C$9:$C$108,0)))</x:f>
      </x:c>
      <x:c r="L51" s="30" t="str">
        <x:f>IF(C51="","",INDEX('Facilities'!$R$9:$R$108,MATCH(C51,'Facilities'!$C$9:$C$108,0)))</x:f>
      </x:c>
      <x:c r="M51" s="42" t="str">
        <x:f>IF(C51="","",INDEX('Facilities'!$AK$9:$AK$108,MATCH(C51,'Facilities'!$C$9:$C$108,0)))</x:f>
      </x:c>
      <x:c r="N51" s="30" t="str">
        <x:f>IF(C51="","",INDEX('Facilities'!$AL$9:$AL$108,MATCH(C51,'Facilities'!$C$9:$C$108,0)))</x:f>
      </x:c>
      <x:c r="O51" s="23" t="str">
        <x:f>IF(C51="","",IF(AND(INDEX('Facilities'!$AF$9:$AF$108,MATCH(C51,'Facilities'!$C$9:$C$108,0))="Ready",Settings!$F$36="Ready"),"Ready","Review ECL inputs"))</x:f>
      </x:c>
      <x:c r="P51" s="30" t="str">
        <x:f>IF(C51="","",MIN(1,J51*Settings!$G$32))</x:f>
      </x:c>
      <x:c r="Q51" s="30" t="str">
        <x:f>IF(C51="","",MIN(1,J51*Settings!$G$33))</x:f>
      </x:c>
      <x:c r="R51" s="30" t="str">
        <x:f>IF(C51="","",MIN(1,J51*Settings!$G$34))</x:f>
      </x:c>
      <x:c r="S51" s="30" t="str">
        <x:f>IF(C51="","",MIN(1,K51*Settings!$H$32))</x:f>
      </x:c>
      <x:c r="T51" s="30" t="str">
        <x:f>IF(C51="","",MIN(1,K51*Settings!$H$33))</x:f>
      </x:c>
      <x:c r="U51" s="30" t="str">
        <x:f>IF(C51="","",MIN(1,K51*Settings!$H$34))</x:f>
      </x:c>
      <x:c r="V51" s="23" t="str">
        <x:f>IF(C51="","",IF(O51&lt;&gt;"Ready","Unavailable",IF(E51=3,F51*(1-MAX(0,1-(1-N51)*Settings!$H$32)/(1+I51)^M51),F51*(1-(1-S51)/(1+I51)^M51)*P51/(1+I51)*IF(ABS(1-(1-P51)*(1-L51)/(1+I51))&lt;0.000000001,AF51,(1-((1-P51)*(1-L51)/(1+I51))^AF51)/(1-(1-P51)*(1-L51)/(1+I51))))))</x:f>
      </x:c>
      <x:c r="W51" s="23" t="str">
        <x:f>IF(C51="","",IF(O51&lt;&gt;"Ready","Unavailable",IF(E51=3,F51*(1-MAX(0,1-(1-N51)*Settings!$H$33)/(1+I51)^M51),F51*(1-(1-T51)/(1+I51)^M51)*Q51/(1+I51)*IF(ABS(1-(1-Q51)*(1-L51)/(1+I51))&lt;0.000000001,AF51,(1-((1-Q51)*(1-L51)/(1+I51))^AF51)/(1-(1-Q51)*(1-L51)/(1+I51))))))</x:f>
      </x:c>
      <x:c r="X51" s="23" t="str">
        <x:f>IF(C51="","",IF(O51&lt;&gt;"Ready","Unavailable",IF(E51=3,F51*(1-MAX(0,1-(1-N51)*Settings!$H$34)/(1+I51)^M51),F51*(1-(1-U51)/(1+I51)^M51)*R51/(1+I51)*IF(ABS(1-(1-R51)*(1-L51)/(1+I51))&lt;0.000000001,AF51,(1-((1-R51)*(1-L51)/(1+I51))^AF51)/(1-(1-R51)*(1-L51)/(1+I51))))))</x:f>
      </x:c>
      <x:c r="Y51" s="23" t="str">
        <x:f>IF(C51="","",IF(O51&lt;&gt;"Ready","Unavailable",IF(E51=3,G51*INDEX('Facilities'!$I$9:$I$108,MATCH(C51,'Facilities'!$C$9:$C$108,0))*(1-MAX(0,1-(1-N51)*Settings!$H$32)/(1+I51)^M51),G51*INDEX('Facilities'!$I$9:$I$108,MATCH(C51,'Facilities'!$C$9:$C$108,0))*(1-(1-S51)/(1+I51)^M51)*P51/(1+I51)*IF(ABS(1-(1-P51)*(1-0)/(1+I51))&lt;0.000000001,AF51,(1-((1-P51)*(1-0)/(1+I51))^AF51)/(1-(1-P51)*(1-0)/(1+I51))))))</x:f>
      </x:c>
      <x:c r="Z51" s="23" t="str">
        <x:f>IF(C51="","",IF(O51&lt;&gt;"Ready","Unavailable",IF(E51=3,G51*INDEX('Facilities'!$I$9:$I$108,MATCH(C51,'Facilities'!$C$9:$C$108,0))*(1-MAX(0,1-(1-N51)*Settings!$H$33)/(1+I51)^M51),G51*INDEX('Facilities'!$I$9:$I$108,MATCH(C51,'Facilities'!$C$9:$C$108,0))*(1-(1-T51)/(1+I51)^M51)*Q51/(1+I51)*IF(ABS(1-(1-Q51)*(1-0)/(1+I51))&lt;0.000000001,AF51,(1-((1-Q51)*(1-0)/(1+I51))^AF51)/(1-(1-Q51)*(1-0)/(1+I51))))))</x:f>
      </x:c>
      <x:c r="AA51" s="23" t="str">
        <x:f>IF(C51="","",IF(O51&lt;&gt;"Ready","Unavailable",IF(E51=3,G51*INDEX('Facilities'!$I$9:$I$108,MATCH(C51,'Facilities'!$C$9:$C$108,0))*(1-MAX(0,1-(1-N51)*Settings!$H$34)/(1+I51)^M51),G51*INDEX('Facilities'!$I$9:$I$108,MATCH(C51,'Facilities'!$C$9:$C$108,0))*(1-(1-U51)/(1+I51)^M51)*R51/(1+I51)*IF(ABS(1-(1-R51)*(1-0)/(1+I51))&lt;0.000000001,AF51,(1-((1-R51)*(1-0)/(1+I51))^AF51)/(1-(1-R51)*(1-0)/(1+I51))))))</x:f>
      </x:c>
      <x:c r="AB51" s="23" t="str">
        <x:f>IF(C51="","",IF(O51&lt;&gt;"Ready","Unavailable",V51*Settings!$F$32+W51*Settings!$F$33+X51*Settings!$F$34))</x:f>
      </x:c>
      <x:c r="AC51" s="23" t="str">
        <x:f>IF(C51="","",IF(O51&lt;&gt;"Ready","Unavailable",Y51*Settings!$F$32+Z51*Settings!$F$33+AA51*Settings!$F$34))</x:f>
      </x:c>
      <x:c r="AD51" s="21" t="str">
        <x:f>IF(C51="","",IF(O51&lt;&gt;"Ready","Unavailable",AB51+AC51))</x:f>
      </x:c>
      <x:c r="AE51" s="17" t="str">
        <x:f>IF(C51="","",IF(OR(O51&lt;&gt;"Ready",F51=0),"Unavailable",AB51/F51))</x:f>
      </x:c>
      <x:c r="AF51" s="44" t="str">
        <x:f>IF(C51="","",IF(E51=1,1,H51))</x:f>
      </x:c>
    </x:row>
    <x:row r="52" ht="26" customHeight="1">
      <x:c r="A52" s="1"/>
      <x:c r="B52" s="1"/>
      <x:c r="C52" s="9" t="str">
        <x:f>IF(Facilities!C52="","",Facilities!C52)</x:f>
      </x:c>
      <x:c r="D52" s="9" t="str">
        <x:f>IF(C52="","",INDEX('Facilities'!$D$9:$D$108,MATCH(C52,'Facilities'!$C$9:$C$108,0)))</x:f>
      </x:c>
      <x:c r="E52" s="9" t="str">
        <x:f>IF(C52="","",INDEX('Facilities'!$AD$9:$AD$108,MATCH(C52,'Facilities'!$C$9:$C$108,0)))</x:f>
      </x:c>
      <x:c r="F52" s="23" t="str">
        <x:f>IF(C52="","",INDEX('Facilities'!$AA$9:$AA$108,MATCH(C52,'Facilities'!$C$9:$C$108,0)))</x:f>
      </x:c>
      <x:c r="G52" s="23" t="str">
        <x:f>IF(C52="","",INDEX('Facilities'!$AB$9:$AB$108,MATCH(C52,'Facilities'!$C$9:$C$108,0)))</x:f>
      </x:c>
      <x:c r="H52" s="42" t="str">
        <x:f>IF(C52="","",INDEX('Facilities'!$J$9:$J$108,MATCH(C52,'Facilities'!$C$9:$C$108,0)))</x:f>
      </x:c>
      <x:c r="I52" s="30" t="str">
        <x:f>IF(C52="","",INDEX('Facilities'!$K$9:$K$108,MATCH(C52,'Facilities'!$C$9:$C$108,0)))</x:f>
      </x:c>
      <x:c r="J52" s="30" t="str">
        <x:f>IF(C52="","",INDEX('Borrowers'!$P$9:$P$108,MATCH(D52,'Borrowers'!$C$9:$C$108,0)))</x:f>
      </x:c>
      <x:c r="K52" s="30" t="str">
        <x:f>IF(C52="","",INDEX('Borrowers'!$Q$9:$Q$108,MATCH(D52,'Borrowers'!$C$9:$C$108,0)))</x:f>
      </x:c>
      <x:c r="L52" s="30" t="str">
        <x:f>IF(C52="","",INDEX('Facilities'!$R$9:$R$108,MATCH(C52,'Facilities'!$C$9:$C$108,0)))</x:f>
      </x:c>
      <x:c r="M52" s="42" t="str">
        <x:f>IF(C52="","",INDEX('Facilities'!$AK$9:$AK$108,MATCH(C52,'Facilities'!$C$9:$C$108,0)))</x:f>
      </x:c>
      <x:c r="N52" s="30" t="str">
        <x:f>IF(C52="","",INDEX('Facilities'!$AL$9:$AL$108,MATCH(C52,'Facilities'!$C$9:$C$108,0)))</x:f>
      </x:c>
      <x:c r="O52" s="23" t="str">
        <x:f>IF(C52="","",IF(AND(INDEX('Facilities'!$AF$9:$AF$108,MATCH(C52,'Facilities'!$C$9:$C$108,0))="Ready",Settings!$F$36="Ready"),"Ready","Review ECL inputs"))</x:f>
      </x:c>
      <x:c r="P52" s="30" t="str">
        <x:f>IF(C52="","",MIN(1,J52*Settings!$G$32))</x:f>
      </x:c>
      <x:c r="Q52" s="30" t="str">
        <x:f>IF(C52="","",MIN(1,J52*Settings!$G$33))</x:f>
      </x:c>
      <x:c r="R52" s="30" t="str">
        <x:f>IF(C52="","",MIN(1,J52*Settings!$G$34))</x:f>
      </x:c>
      <x:c r="S52" s="30" t="str">
        <x:f>IF(C52="","",MIN(1,K52*Settings!$H$32))</x:f>
      </x:c>
      <x:c r="T52" s="30" t="str">
        <x:f>IF(C52="","",MIN(1,K52*Settings!$H$33))</x:f>
      </x:c>
      <x:c r="U52" s="30" t="str">
        <x:f>IF(C52="","",MIN(1,K52*Settings!$H$34))</x:f>
      </x:c>
      <x:c r="V52" s="23" t="str">
        <x:f>IF(C52="","",IF(O52&lt;&gt;"Ready","Unavailable",IF(E52=3,F52*(1-MAX(0,1-(1-N52)*Settings!$H$32)/(1+I52)^M52),F52*(1-(1-S52)/(1+I52)^M52)*P52/(1+I52)*IF(ABS(1-(1-P52)*(1-L52)/(1+I52))&lt;0.000000001,AF52,(1-((1-P52)*(1-L52)/(1+I52))^AF52)/(1-(1-P52)*(1-L52)/(1+I52))))))</x:f>
      </x:c>
      <x:c r="W52" s="23" t="str">
        <x:f>IF(C52="","",IF(O52&lt;&gt;"Ready","Unavailable",IF(E52=3,F52*(1-MAX(0,1-(1-N52)*Settings!$H$33)/(1+I52)^M52),F52*(1-(1-T52)/(1+I52)^M52)*Q52/(1+I52)*IF(ABS(1-(1-Q52)*(1-L52)/(1+I52))&lt;0.000000001,AF52,(1-((1-Q52)*(1-L52)/(1+I52))^AF52)/(1-(1-Q52)*(1-L52)/(1+I52))))))</x:f>
      </x:c>
      <x:c r="X52" s="23" t="str">
        <x:f>IF(C52="","",IF(O52&lt;&gt;"Ready","Unavailable",IF(E52=3,F52*(1-MAX(0,1-(1-N52)*Settings!$H$34)/(1+I52)^M52),F52*(1-(1-U52)/(1+I52)^M52)*R52/(1+I52)*IF(ABS(1-(1-R52)*(1-L52)/(1+I52))&lt;0.000000001,AF52,(1-((1-R52)*(1-L52)/(1+I52))^AF52)/(1-(1-R52)*(1-L52)/(1+I52))))))</x:f>
      </x:c>
      <x:c r="Y52" s="23" t="str">
        <x:f>IF(C52="","",IF(O52&lt;&gt;"Ready","Unavailable",IF(E52=3,G52*INDEX('Facilities'!$I$9:$I$108,MATCH(C52,'Facilities'!$C$9:$C$108,0))*(1-MAX(0,1-(1-N52)*Settings!$H$32)/(1+I52)^M52),G52*INDEX('Facilities'!$I$9:$I$108,MATCH(C52,'Facilities'!$C$9:$C$108,0))*(1-(1-S52)/(1+I52)^M52)*P52/(1+I52)*IF(ABS(1-(1-P52)*(1-0)/(1+I52))&lt;0.000000001,AF52,(1-((1-P52)*(1-0)/(1+I52))^AF52)/(1-(1-P52)*(1-0)/(1+I52))))))</x:f>
      </x:c>
      <x:c r="Z52" s="23" t="str">
        <x:f>IF(C52="","",IF(O52&lt;&gt;"Ready","Unavailable",IF(E52=3,G52*INDEX('Facilities'!$I$9:$I$108,MATCH(C52,'Facilities'!$C$9:$C$108,0))*(1-MAX(0,1-(1-N52)*Settings!$H$33)/(1+I52)^M52),G52*INDEX('Facilities'!$I$9:$I$108,MATCH(C52,'Facilities'!$C$9:$C$108,0))*(1-(1-T52)/(1+I52)^M52)*Q52/(1+I52)*IF(ABS(1-(1-Q52)*(1-0)/(1+I52))&lt;0.000000001,AF52,(1-((1-Q52)*(1-0)/(1+I52))^AF52)/(1-(1-Q52)*(1-0)/(1+I52))))))</x:f>
      </x:c>
      <x:c r="AA52" s="23" t="str">
        <x:f>IF(C52="","",IF(O52&lt;&gt;"Ready","Unavailable",IF(E52=3,G52*INDEX('Facilities'!$I$9:$I$108,MATCH(C52,'Facilities'!$C$9:$C$108,0))*(1-MAX(0,1-(1-N52)*Settings!$H$34)/(1+I52)^M52),G52*INDEX('Facilities'!$I$9:$I$108,MATCH(C52,'Facilities'!$C$9:$C$108,0))*(1-(1-U52)/(1+I52)^M52)*R52/(1+I52)*IF(ABS(1-(1-R52)*(1-0)/(1+I52))&lt;0.000000001,AF52,(1-((1-R52)*(1-0)/(1+I52))^AF52)/(1-(1-R52)*(1-0)/(1+I52))))))</x:f>
      </x:c>
      <x:c r="AB52" s="23" t="str">
        <x:f>IF(C52="","",IF(O52&lt;&gt;"Ready","Unavailable",V52*Settings!$F$32+W52*Settings!$F$33+X52*Settings!$F$34))</x:f>
      </x:c>
      <x:c r="AC52" s="23" t="str">
        <x:f>IF(C52="","",IF(O52&lt;&gt;"Ready","Unavailable",Y52*Settings!$F$32+Z52*Settings!$F$33+AA52*Settings!$F$34))</x:f>
      </x:c>
      <x:c r="AD52" s="21" t="str">
        <x:f>IF(C52="","",IF(O52&lt;&gt;"Ready","Unavailable",AB52+AC52))</x:f>
      </x:c>
      <x:c r="AE52" s="17" t="str">
        <x:f>IF(C52="","",IF(OR(O52&lt;&gt;"Ready",F52=0),"Unavailable",AB52/F52))</x:f>
      </x:c>
      <x:c r="AF52" s="44" t="str">
        <x:f>IF(C52="","",IF(E52=1,1,H52))</x:f>
      </x:c>
    </x:row>
    <x:row r="53" ht="26" customHeight="1">
      <x:c r="A53" s="1"/>
      <x:c r="B53" s="1"/>
      <x:c r="C53" s="9" t="str">
        <x:f>IF(Facilities!C53="","",Facilities!C53)</x:f>
      </x:c>
      <x:c r="D53" s="9" t="str">
        <x:f>IF(C53="","",INDEX('Facilities'!$D$9:$D$108,MATCH(C53,'Facilities'!$C$9:$C$108,0)))</x:f>
      </x:c>
      <x:c r="E53" s="9" t="str">
        <x:f>IF(C53="","",INDEX('Facilities'!$AD$9:$AD$108,MATCH(C53,'Facilities'!$C$9:$C$108,0)))</x:f>
      </x:c>
      <x:c r="F53" s="23" t="str">
        <x:f>IF(C53="","",INDEX('Facilities'!$AA$9:$AA$108,MATCH(C53,'Facilities'!$C$9:$C$108,0)))</x:f>
      </x:c>
      <x:c r="G53" s="23" t="str">
        <x:f>IF(C53="","",INDEX('Facilities'!$AB$9:$AB$108,MATCH(C53,'Facilities'!$C$9:$C$108,0)))</x:f>
      </x:c>
      <x:c r="H53" s="42" t="str">
        <x:f>IF(C53="","",INDEX('Facilities'!$J$9:$J$108,MATCH(C53,'Facilities'!$C$9:$C$108,0)))</x:f>
      </x:c>
      <x:c r="I53" s="30" t="str">
        <x:f>IF(C53="","",INDEX('Facilities'!$K$9:$K$108,MATCH(C53,'Facilities'!$C$9:$C$108,0)))</x:f>
      </x:c>
      <x:c r="J53" s="30" t="str">
        <x:f>IF(C53="","",INDEX('Borrowers'!$P$9:$P$108,MATCH(D53,'Borrowers'!$C$9:$C$108,0)))</x:f>
      </x:c>
      <x:c r="K53" s="30" t="str">
        <x:f>IF(C53="","",INDEX('Borrowers'!$Q$9:$Q$108,MATCH(D53,'Borrowers'!$C$9:$C$108,0)))</x:f>
      </x:c>
      <x:c r="L53" s="30" t="str">
        <x:f>IF(C53="","",INDEX('Facilities'!$R$9:$R$108,MATCH(C53,'Facilities'!$C$9:$C$108,0)))</x:f>
      </x:c>
      <x:c r="M53" s="42" t="str">
        <x:f>IF(C53="","",INDEX('Facilities'!$AK$9:$AK$108,MATCH(C53,'Facilities'!$C$9:$C$108,0)))</x:f>
      </x:c>
      <x:c r="N53" s="30" t="str">
        <x:f>IF(C53="","",INDEX('Facilities'!$AL$9:$AL$108,MATCH(C53,'Facilities'!$C$9:$C$108,0)))</x:f>
      </x:c>
      <x:c r="O53" s="23" t="str">
        <x:f>IF(C53="","",IF(AND(INDEX('Facilities'!$AF$9:$AF$108,MATCH(C53,'Facilities'!$C$9:$C$108,0))="Ready",Settings!$F$36="Ready"),"Ready","Review ECL inputs"))</x:f>
      </x:c>
      <x:c r="P53" s="30" t="str">
        <x:f>IF(C53="","",MIN(1,J53*Settings!$G$32))</x:f>
      </x:c>
      <x:c r="Q53" s="30" t="str">
        <x:f>IF(C53="","",MIN(1,J53*Settings!$G$33))</x:f>
      </x:c>
      <x:c r="R53" s="30" t="str">
        <x:f>IF(C53="","",MIN(1,J53*Settings!$G$34))</x:f>
      </x:c>
      <x:c r="S53" s="30" t="str">
        <x:f>IF(C53="","",MIN(1,K53*Settings!$H$32))</x:f>
      </x:c>
      <x:c r="T53" s="30" t="str">
        <x:f>IF(C53="","",MIN(1,K53*Settings!$H$33))</x:f>
      </x:c>
      <x:c r="U53" s="30" t="str">
        <x:f>IF(C53="","",MIN(1,K53*Settings!$H$34))</x:f>
      </x:c>
      <x:c r="V53" s="23" t="str">
        <x:f>IF(C53="","",IF(O53&lt;&gt;"Ready","Unavailable",IF(E53=3,F53*(1-MAX(0,1-(1-N53)*Settings!$H$32)/(1+I53)^M53),F53*(1-(1-S53)/(1+I53)^M53)*P53/(1+I53)*IF(ABS(1-(1-P53)*(1-L53)/(1+I53))&lt;0.000000001,AF53,(1-((1-P53)*(1-L53)/(1+I53))^AF53)/(1-(1-P53)*(1-L53)/(1+I53))))))</x:f>
      </x:c>
      <x:c r="W53" s="23" t="str">
        <x:f>IF(C53="","",IF(O53&lt;&gt;"Ready","Unavailable",IF(E53=3,F53*(1-MAX(0,1-(1-N53)*Settings!$H$33)/(1+I53)^M53),F53*(1-(1-T53)/(1+I53)^M53)*Q53/(1+I53)*IF(ABS(1-(1-Q53)*(1-L53)/(1+I53))&lt;0.000000001,AF53,(1-((1-Q53)*(1-L53)/(1+I53))^AF53)/(1-(1-Q53)*(1-L53)/(1+I53))))))</x:f>
      </x:c>
      <x:c r="X53" s="23" t="str">
        <x:f>IF(C53="","",IF(O53&lt;&gt;"Ready","Unavailable",IF(E53=3,F53*(1-MAX(0,1-(1-N53)*Settings!$H$34)/(1+I53)^M53),F53*(1-(1-U53)/(1+I53)^M53)*R53/(1+I53)*IF(ABS(1-(1-R53)*(1-L53)/(1+I53))&lt;0.000000001,AF53,(1-((1-R53)*(1-L53)/(1+I53))^AF53)/(1-(1-R53)*(1-L53)/(1+I53))))))</x:f>
      </x:c>
      <x:c r="Y53" s="23" t="str">
        <x:f>IF(C53="","",IF(O53&lt;&gt;"Ready","Unavailable",IF(E53=3,G53*INDEX('Facilities'!$I$9:$I$108,MATCH(C53,'Facilities'!$C$9:$C$108,0))*(1-MAX(0,1-(1-N53)*Settings!$H$32)/(1+I53)^M53),G53*INDEX('Facilities'!$I$9:$I$108,MATCH(C53,'Facilities'!$C$9:$C$108,0))*(1-(1-S53)/(1+I53)^M53)*P53/(1+I53)*IF(ABS(1-(1-P53)*(1-0)/(1+I53))&lt;0.000000001,AF53,(1-((1-P53)*(1-0)/(1+I53))^AF53)/(1-(1-P53)*(1-0)/(1+I53))))))</x:f>
      </x:c>
      <x:c r="Z53" s="23" t="str">
        <x:f>IF(C53="","",IF(O53&lt;&gt;"Ready","Unavailable",IF(E53=3,G53*INDEX('Facilities'!$I$9:$I$108,MATCH(C53,'Facilities'!$C$9:$C$108,0))*(1-MAX(0,1-(1-N53)*Settings!$H$33)/(1+I53)^M53),G53*INDEX('Facilities'!$I$9:$I$108,MATCH(C53,'Facilities'!$C$9:$C$108,0))*(1-(1-T53)/(1+I53)^M53)*Q53/(1+I53)*IF(ABS(1-(1-Q53)*(1-0)/(1+I53))&lt;0.000000001,AF53,(1-((1-Q53)*(1-0)/(1+I53))^AF53)/(1-(1-Q53)*(1-0)/(1+I53))))))</x:f>
      </x:c>
      <x:c r="AA53" s="23" t="str">
        <x:f>IF(C53="","",IF(O53&lt;&gt;"Ready","Unavailable",IF(E53=3,G53*INDEX('Facilities'!$I$9:$I$108,MATCH(C53,'Facilities'!$C$9:$C$108,0))*(1-MAX(0,1-(1-N53)*Settings!$H$34)/(1+I53)^M53),G53*INDEX('Facilities'!$I$9:$I$108,MATCH(C53,'Facilities'!$C$9:$C$108,0))*(1-(1-U53)/(1+I53)^M53)*R53/(1+I53)*IF(ABS(1-(1-R53)*(1-0)/(1+I53))&lt;0.000000001,AF53,(1-((1-R53)*(1-0)/(1+I53))^AF53)/(1-(1-R53)*(1-0)/(1+I53))))))</x:f>
      </x:c>
      <x:c r="AB53" s="23" t="str">
        <x:f>IF(C53="","",IF(O53&lt;&gt;"Ready","Unavailable",V53*Settings!$F$32+W53*Settings!$F$33+X53*Settings!$F$34))</x:f>
      </x:c>
      <x:c r="AC53" s="23" t="str">
        <x:f>IF(C53="","",IF(O53&lt;&gt;"Ready","Unavailable",Y53*Settings!$F$32+Z53*Settings!$F$33+AA53*Settings!$F$34))</x:f>
      </x:c>
      <x:c r="AD53" s="21" t="str">
        <x:f>IF(C53="","",IF(O53&lt;&gt;"Ready","Unavailable",AB53+AC53))</x:f>
      </x:c>
      <x:c r="AE53" s="17" t="str">
        <x:f>IF(C53="","",IF(OR(O53&lt;&gt;"Ready",F53=0),"Unavailable",AB53/F53))</x:f>
      </x:c>
      <x:c r="AF53" s="44" t="str">
        <x:f>IF(C53="","",IF(E53=1,1,H53))</x:f>
      </x:c>
    </x:row>
    <x:row r="54" ht="26" customHeight="1">
      <x:c r="A54" s="1"/>
      <x:c r="B54" s="1"/>
      <x:c r="C54" s="9" t="str">
        <x:f>IF(Facilities!C54="","",Facilities!C54)</x:f>
      </x:c>
      <x:c r="D54" s="9" t="str">
        <x:f>IF(C54="","",INDEX('Facilities'!$D$9:$D$108,MATCH(C54,'Facilities'!$C$9:$C$108,0)))</x:f>
      </x:c>
      <x:c r="E54" s="9" t="str">
        <x:f>IF(C54="","",INDEX('Facilities'!$AD$9:$AD$108,MATCH(C54,'Facilities'!$C$9:$C$108,0)))</x:f>
      </x:c>
      <x:c r="F54" s="23" t="str">
        <x:f>IF(C54="","",INDEX('Facilities'!$AA$9:$AA$108,MATCH(C54,'Facilities'!$C$9:$C$108,0)))</x:f>
      </x:c>
      <x:c r="G54" s="23" t="str">
        <x:f>IF(C54="","",INDEX('Facilities'!$AB$9:$AB$108,MATCH(C54,'Facilities'!$C$9:$C$108,0)))</x:f>
      </x:c>
      <x:c r="H54" s="42" t="str">
        <x:f>IF(C54="","",INDEX('Facilities'!$J$9:$J$108,MATCH(C54,'Facilities'!$C$9:$C$108,0)))</x:f>
      </x:c>
      <x:c r="I54" s="30" t="str">
        <x:f>IF(C54="","",INDEX('Facilities'!$K$9:$K$108,MATCH(C54,'Facilities'!$C$9:$C$108,0)))</x:f>
      </x:c>
      <x:c r="J54" s="30" t="str">
        <x:f>IF(C54="","",INDEX('Borrowers'!$P$9:$P$108,MATCH(D54,'Borrowers'!$C$9:$C$108,0)))</x:f>
      </x:c>
      <x:c r="K54" s="30" t="str">
        <x:f>IF(C54="","",INDEX('Borrowers'!$Q$9:$Q$108,MATCH(D54,'Borrowers'!$C$9:$C$108,0)))</x:f>
      </x:c>
      <x:c r="L54" s="30" t="str">
        <x:f>IF(C54="","",INDEX('Facilities'!$R$9:$R$108,MATCH(C54,'Facilities'!$C$9:$C$108,0)))</x:f>
      </x:c>
      <x:c r="M54" s="42" t="str">
        <x:f>IF(C54="","",INDEX('Facilities'!$AK$9:$AK$108,MATCH(C54,'Facilities'!$C$9:$C$108,0)))</x:f>
      </x:c>
      <x:c r="N54" s="30" t="str">
        <x:f>IF(C54="","",INDEX('Facilities'!$AL$9:$AL$108,MATCH(C54,'Facilities'!$C$9:$C$108,0)))</x:f>
      </x:c>
      <x:c r="O54" s="23" t="str">
        <x:f>IF(C54="","",IF(AND(INDEX('Facilities'!$AF$9:$AF$108,MATCH(C54,'Facilities'!$C$9:$C$108,0))="Ready",Settings!$F$36="Ready"),"Ready","Review ECL inputs"))</x:f>
      </x:c>
      <x:c r="P54" s="30" t="str">
        <x:f>IF(C54="","",MIN(1,J54*Settings!$G$32))</x:f>
      </x:c>
      <x:c r="Q54" s="30" t="str">
        <x:f>IF(C54="","",MIN(1,J54*Settings!$G$33))</x:f>
      </x:c>
      <x:c r="R54" s="30" t="str">
        <x:f>IF(C54="","",MIN(1,J54*Settings!$G$34))</x:f>
      </x:c>
      <x:c r="S54" s="30" t="str">
        <x:f>IF(C54="","",MIN(1,K54*Settings!$H$32))</x:f>
      </x:c>
      <x:c r="T54" s="30" t="str">
        <x:f>IF(C54="","",MIN(1,K54*Settings!$H$33))</x:f>
      </x:c>
      <x:c r="U54" s="30" t="str">
        <x:f>IF(C54="","",MIN(1,K54*Settings!$H$34))</x:f>
      </x:c>
      <x:c r="V54" s="23" t="str">
        <x:f>IF(C54="","",IF(O54&lt;&gt;"Ready","Unavailable",IF(E54=3,F54*(1-MAX(0,1-(1-N54)*Settings!$H$32)/(1+I54)^M54),F54*(1-(1-S54)/(1+I54)^M54)*P54/(1+I54)*IF(ABS(1-(1-P54)*(1-L54)/(1+I54))&lt;0.000000001,AF54,(1-((1-P54)*(1-L54)/(1+I54))^AF54)/(1-(1-P54)*(1-L54)/(1+I54))))))</x:f>
      </x:c>
      <x:c r="W54" s="23" t="str">
        <x:f>IF(C54="","",IF(O54&lt;&gt;"Ready","Unavailable",IF(E54=3,F54*(1-MAX(0,1-(1-N54)*Settings!$H$33)/(1+I54)^M54),F54*(1-(1-T54)/(1+I54)^M54)*Q54/(1+I54)*IF(ABS(1-(1-Q54)*(1-L54)/(1+I54))&lt;0.000000001,AF54,(1-((1-Q54)*(1-L54)/(1+I54))^AF54)/(1-(1-Q54)*(1-L54)/(1+I54))))))</x:f>
      </x:c>
      <x:c r="X54" s="23" t="str">
        <x:f>IF(C54="","",IF(O54&lt;&gt;"Ready","Unavailable",IF(E54=3,F54*(1-MAX(0,1-(1-N54)*Settings!$H$34)/(1+I54)^M54),F54*(1-(1-U54)/(1+I54)^M54)*R54/(1+I54)*IF(ABS(1-(1-R54)*(1-L54)/(1+I54))&lt;0.000000001,AF54,(1-((1-R54)*(1-L54)/(1+I54))^AF54)/(1-(1-R54)*(1-L54)/(1+I54))))))</x:f>
      </x:c>
      <x:c r="Y54" s="23" t="str">
        <x:f>IF(C54="","",IF(O54&lt;&gt;"Ready","Unavailable",IF(E54=3,G54*INDEX('Facilities'!$I$9:$I$108,MATCH(C54,'Facilities'!$C$9:$C$108,0))*(1-MAX(0,1-(1-N54)*Settings!$H$32)/(1+I54)^M54),G54*INDEX('Facilities'!$I$9:$I$108,MATCH(C54,'Facilities'!$C$9:$C$108,0))*(1-(1-S54)/(1+I54)^M54)*P54/(1+I54)*IF(ABS(1-(1-P54)*(1-0)/(1+I54))&lt;0.000000001,AF54,(1-((1-P54)*(1-0)/(1+I54))^AF54)/(1-(1-P54)*(1-0)/(1+I54))))))</x:f>
      </x:c>
      <x:c r="Z54" s="23" t="str">
        <x:f>IF(C54="","",IF(O54&lt;&gt;"Ready","Unavailable",IF(E54=3,G54*INDEX('Facilities'!$I$9:$I$108,MATCH(C54,'Facilities'!$C$9:$C$108,0))*(1-MAX(0,1-(1-N54)*Settings!$H$33)/(1+I54)^M54),G54*INDEX('Facilities'!$I$9:$I$108,MATCH(C54,'Facilities'!$C$9:$C$108,0))*(1-(1-T54)/(1+I54)^M54)*Q54/(1+I54)*IF(ABS(1-(1-Q54)*(1-0)/(1+I54))&lt;0.000000001,AF54,(1-((1-Q54)*(1-0)/(1+I54))^AF54)/(1-(1-Q54)*(1-0)/(1+I54))))))</x:f>
      </x:c>
      <x:c r="AA54" s="23" t="str">
        <x:f>IF(C54="","",IF(O54&lt;&gt;"Ready","Unavailable",IF(E54=3,G54*INDEX('Facilities'!$I$9:$I$108,MATCH(C54,'Facilities'!$C$9:$C$108,0))*(1-MAX(0,1-(1-N54)*Settings!$H$34)/(1+I54)^M54),G54*INDEX('Facilities'!$I$9:$I$108,MATCH(C54,'Facilities'!$C$9:$C$108,0))*(1-(1-U54)/(1+I54)^M54)*R54/(1+I54)*IF(ABS(1-(1-R54)*(1-0)/(1+I54))&lt;0.000000001,AF54,(1-((1-R54)*(1-0)/(1+I54))^AF54)/(1-(1-R54)*(1-0)/(1+I54))))))</x:f>
      </x:c>
      <x:c r="AB54" s="23" t="str">
        <x:f>IF(C54="","",IF(O54&lt;&gt;"Ready","Unavailable",V54*Settings!$F$32+W54*Settings!$F$33+X54*Settings!$F$34))</x:f>
      </x:c>
      <x:c r="AC54" s="23" t="str">
        <x:f>IF(C54="","",IF(O54&lt;&gt;"Ready","Unavailable",Y54*Settings!$F$32+Z54*Settings!$F$33+AA54*Settings!$F$34))</x:f>
      </x:c>
      <x:c r="AD54" s="21" t="str">
        <x:f>IF(C54="","",IF(O54&lt;&gt;"Ready","Unavailable",AB54+AC54))</x:f>
      </x:c>
      <x:c r="AE54" s="17" t="str">
        <x:f>IF(C54="","",IF(OR(O54&lt;&gt;"Ready",F54=0),"Unavailable",AB54/F54))</x:f>
      </x:c>
      <x:c r="AF54" s="44" t="str">
        <x:f>IF(C54="","",IF(E54=1,1,H54))</x:f>
      </x:c>
    </x:row>
    <x:row r="55" ht="26" customHeight="1">
      <x:c r="A55" s="1"/>
      <x:c r="B55" s="1"/>
      <x:c r="C55" s="9" t="str">
        <x:f>IF(Facilities!C55="","",Facilities!C55)</x:f>
      </x:c>
      <x:c r="D55" s="9" t="str">
        <x:f>IF(C55="","",INDEX('Facilities'!$D$9:$D$108,MATCH(C55,'Facilities'!$C$9:$C$108,0)))</x:f>
      </x:c>
      <x:c r="E55" s="9" t="str">
        <x:f>IF(C55="","",INDEX('Facilities'!$AD$9:$AD$108,MATCH(C55,'Facilities'!$C$9:$C$108,0)))</x:f>
      </x:c>
      <x:c r="F55" s="23" t="str">
        <x:f>IF(C55="","",INDEX('Facilities'!$AA$9:$AA$108,MATCH(C55,'Facilities'!$C$9:$C$108,0)))</x:f>
      </x:c>
      <x:c r="G55" s="23" t="str">
        <x:f>IF(C55="","",INDEX('Facilities'!$AB$9:$AB$108,MATCH(C55,'Facilities'!$C$9:$C$108,0)))</x:f>
      </x:c>
      <x:c r="H55" s="42" t="str">
        <x:f>IF(C55="","",INDEX('Facilities'!$J$9:$J$108,MATCH(C55,'Facilities'!$C$9:$C$108,0)))</x:f>
      </x:c>
      <x:c r="I55" s="30" t="str">
        <x:f>IF(C55="","",INDEX('Facilities'!$K$9:$K$108,MATCH(C55,'Facilities'!$C$9:$C$108,0)))</x:f>
      </x:c>
      <x:c r="J55" s="30" t="str">
        <x:f>IF(C55="","",INDEX('Borrowers'!$P$9:$P$108,MATCH(D55,'Borrowers'!$C$9:$C$108,0)))</x:f>
      </x:c>
      <x:c r="K55" s="30" t="str">
        <x:f>IF(C55="","",INDEX('Borrowers'!$Q$9:$Q$108,MATCH(D55,'Borrowers'!$C$9:$C$108,0)))</x:f>
      </x:c>
      <x:c r="L55" s="30" t="str">
        <x:f>IF(C55="","",INDEX('Facilities'!$R$9:$R$108,MATCH(C55,'Facilities'!$C$9:$C$108,0)))</x:f>
      </x:c>
      <x:c r="M55" s="42" t="str">
        <x:f>IF(C55="","",INDEX('Facilities'!$AK$9:$AK$108,MATCH(C55,'Facilities'!$C$9:$C$108,0)))</x:f>
      </x:c>
      <x:c r="N55" s="30" t="str">
        <x:f>IF(C55="","",INDEX('Facilities'!$AL$9:$AL$108,MATCH(C55,'Facilities'!$C$9:$C$108,0)))</x:f>
      </x:c>
      <x:c r="O55" s="23" t="str">
        <x:f>IF(C55="","",IF(AND(INDEX('Facilities'!$AF$9:$AF$108,MATCH(C55,'Facilities'!$C$9:$C$108,0))="Ready",Settings!$F$36="Ready"),"Ready","Review ECL inputs"))</x:f>
      </x:c>
      <x:c r="P55" s="30" t="str">
        <x:f>IF(C55="","",MIN(1,J55*Settings!$G$32))</x:f>
      </x:c>
      <x:c r="Q55" s="30" t="str">
        <x:f>IF(C55="","",MIN(1,J55*Settings!$G$33))</x:f>
      </x:c>
      <x:c r="R55" s="30" t="str">
        <x:f>IF(C55="","",MIN(1,J55*Settings!$G$34))</x:f>
      </x:c>
      <x:c r="S55" s="30" t="str">
        <x:f>IF(C55="","",MIN(1,K55*Settings!$H$32))</x:f>
      </x:c>
      <x:c r="T55" s="30" t="str">
        <x:f>IF(C55="","",MIN(1,K55*Settings!$H$33))</x:f>
      </x:c>
      <x:c r="U55" s="30" t="str">
        <x:f>IF(C55="","",MIN(1,K55*Settings!$H$34))</x:f>
      </x:c>
      <x:c r="V55" s="23" t="str">
        <x:f>IF(C55="","",IF(O55&lt;&gt;"Ready","Unavailable",IF(E55=3,F55*(1-MAX(0,1-(1-N55)*Settings!$H$32)/(1+I55)^M55),F55*(1-(1-S55)/(1+I55)^M55)*P55/(1+I55)*IF(ABS(1-(1-P55)*(1-L55)/(1+I55))&lt;0.000000001,AF55,(1-((1-P55)*(1-L55)/(1+I55))^AF55)/(1-(1-P55)*(1-L55)/(1+I55))))))</x:f>
      </x:c>
      <x:c r="W55" s="23" t="str">
        <x:f>IF(C55="","",IF(O55&lt;&gt;"Ready","Unavailable",IF(E55=3,F55*(1-MAX(0,1-(1-N55)*Settings!$H$33)/(1+I55)^M55),F55*(1-(1-T55)/(1+I55)^M55)*Q55/(1+I55)*IF(ABS(1-(1-Q55)*(1-L55)/(1+I55))&lt;0.000000001,AF55,(1-((1-Q55)*(1-L55)/(1+I55))^AF55)/(1-(1-Q55)*(1-L55)/(1+I55))))))</x:f>
      </x:c>
      <x:c r="X55" s="23" t="str">
        <x:f>IF(C55="","",IF(O55&lt;&gt;"Ready","Unavailable",IF(E55=3,F55*(1-MAX(0,1-(1-N55)*Settings!$H$34)/(1+I55)^M55),F55*(1-(1-U55)/(1+I55)^M55)*R55/(1+I55)*IF(ABS(1-(1-R55)*(1-L55)/(1+I55))&lt;0.000000001,AF55,(1-((1-R55)*(1-L55)/(1+I55))^AF55)/(1-(1-R55)*(1-L55)/(1+I55))))))</x:f>
      </x:c>
      <x:c r="Y55" s="23" t="str">
        <x:f>IF(C55="","",IF(O55&lt;&gt;"Ready","Unavailable",IF(E55=3,G55*INDEX('Facilities'!$I$9:$I$108,MATCH(C55,'Facilities'!$C$9:$C$108,0))*(1-MAX(0,1-(1-N55)*Settings!$H$32)/(1+I55)^M55),G55*INDEX('Facilities'!$I$9:$I$108,MATCH(C55,'Facilities'!$C$9:$C$108,0))*(1-(1-S55)/(1+I55)^M55)*P55/(1+I55)*IF(ABS(1-(1-P55)*(1-0)/(1+I55))&lt;0.000000001,AF55,(1-((1-P55)*(1-0)/(1+I55))^AF55)/(1-(1-P55)*(1-0)/(1+I55))))))</x:f>
      </x:c>
      <x:c r="Z55" s="23" t="str">
        <x:f>IF(C55="","",IF(O55&lt;&gt;"Ready","Unavailable",IF(E55=3,G55*INDEX('Facilities'!$I$9:$I$108,MATCH(C55,'Facilities'!$C$9:$C$108,0))*(1-MAX(0,1-(1-N55)*Settings!$H$33)/(1+I55)^M55),G55*INDEX('Facilities'!$I$9:$I$108,MATCH(C55,'Facilities'!$C$9:$C$108,0))*(1-(1-T55)/(1+I55)^M55)*Q55/(1+I55)*IF(ABS(1-(1-Q55)*(1-0)/(1+I55))&lt;0.000000001,AF55,(1-((1-Q55)*(1-0)/(1+I55))^AF55)/(1-(1-Q55)*(1-0)/(1+I55))))))</x:f>
      </x:c>
      <x:c r="AA55" s="23" t="str">
        <x:f>IF(C55="","",IF(O55&lt;&gt;"Ready","Unavailable",IF(E55=3,G55*INDEX('Facilities'!$I$9:$I$108,MATCH(C55,'Facilities'!$C$9:$C$108,0))*(1-MAX(0,1-(1-N55)*Settings!$H$34)/(1+I55)^M55),G55*INDEX('Facilities'!$I$9:$I$108,MATCH(C55,'Facilities'!$C$9:$C$108,0))*(1-(1-U55)/(1+I55)^M55)*R55/(1+I55)*IF(ABS(1-(1-R55)*(1-0)/(1+I55))&lt;0.000000001,AF55,(1-((1-R55)*(1-0)/(1+I55))^AF55)/(1-(1-R55)*(1-0)/(1+I55))))))</x:f>
      </x:c>
      <x:c r="AB55" s="23" t="str">
        <x:f>IF(C55="","",IF(O55&lt;&gt;"Ready","Unavailable",V55*Settings!$F$32+W55*Settings!$F$33+X55*Settings!$F$34))</x:f>
      </x:c>
      <x:c r="AC55" s="23" t="str">
        <x:f>IF(C55="","",IF(O55&lt;&gt;"Ready","Unavailable",Y55*Settings!$F$32+Z55*Settings!$F$33+AA55*Settings!$F$34))</x:f>
      </x:c>
      <x:c r="AD55" s="21" t="str">
        <x:f>IF(C55="","",IF(O55&lt;&gt;"Ready","Unavailable",AB55+AC55))</x:f>
      </x:c>
      <x:c r="AE55" s="17" t="str">
        <x:f>IF(C55="","",IF(OR(O55&lt;&gt;"Ready",F55=0),"Unavailable",AB55/F55))</x:f>
      </x:c>
      <x:c r="AF55" s="44" t="str">
        <x:f>IF(C55="","",IF(E55=1,1,H55))</x:f>
      </x:c>
    </x:row>
    <x:row r="56" ht="26" customHeight="1">
      <x:c r="A56" s="1"/>
      <x:c r="B56" s="1"/>
      <x:c r="C56" s="9" t="str">
        <x:f>IF(Facilities!C56="","",Facilities!C56)</x:f>
      </x:c>
      <x:c r="D56" s="9" t="str">
        <x:f>IF(C56="","",INDEX('Facilities'!$D$9:$D$108,MATCH(C56,'Facilities'!$C$9:$C$108,0)))</x:f>
      </x:c>
      <x:c r="E56" s="9" t="str">
        <x:f>IF(C56="","",INDEX('Facilities'!$AD$9:$AD$108,MATCH(C56,'Facilities'!$C$9:$C$108,0)))</x:f>
      </x:c>
      <x:c r="F56" s="23" t="str">
        <x:f>IF(C56="","",INDEX('Facilities'!$AA$9:$AA$108,MATCH(C56,'Facilities'!$C$9:$C$108,0)))</x:f>
      </x:c>
      <x:c r="G56" s="23" t="str">
        <x:f>IF(C56="","",INDEX('Facilities'!$AB$9:$AB$108,MATCH(C56,'Facilities'!$C$9:$C$108,0)))</x:f>
      </x:c>
      <x:c r="H56" s="42" t="str">
        <x:f>IF(C56="","",INDEX('Facilities'!$J$9:$J$108,MATCH(C56,'Facilities'!$C$9:$C$108,0)))</x:f>
      </x:c>
      <x:c r="I56" s="30" t="str">
        <x:f>IF(C56="","",INDEX('Facilities'!$K$9:$K$108,MATCH(C56,'Facilities'!$C$9:$C$108,0)))</x:f>
      </x:c>
      <x:c r="J56" s="30" t="str">
        <x:f>IF(C56="","",INDEX('Borrowers'!$P$9:$P$108,MATCH(D56,'Borrowers'!$C$9:$C$108,0)))</x:f>
      </x:c>
      <x:c r="K56" s="30" t="str">
        <x:f>IF(C56="","",INDEX('Borrowers'!$Q$9:$Q$108,MATCH(D56,'Borrowers'!$C$9:$C$108,0)))</x:f>
      </x:c>
      <x:c r="L56" s="30" t="str">
        <x:f>IF(C56="","",INDEX('Facilities'!$R$9:$R$108,MATCH(C56,'Facilities'!$C$9:$C$108,0)))</x:f>
      </x:c>
      <x:c r="M56" s="42" t="str">
        <x:f>IF(C56="","",INDEX('Facilities'!$AK$9:$AK$108,MATCH(C56,'Facilities'!$C$9:$C$108,0)))</x:f>
      </x:c>
      <x:c r="N56" s="30" t="str">
        <x:f>IF(C56="","",INDEX('Facilities'!$AL$9:$AL$108,MATCH(C56,'Facilities'!$C$9:$C$108,0)))</x:f>
      </x:c>
      <x:c r="O56" s="23" t="str">
        <x:f>IF(C56="","",IF(AND(INDEX('Facilities'!$AF$9:$AF$108,MATCH(C56,'Facilities'!$C$9:$C$108,0))="Ready",Settings!$F$36="Ready"),"Ready","Review ECL inputs"))</x:f>
      </x:c>
      <x:c r="P56" s="30" t="str">
        <x:f>IF(C56="","",MIN(1,J56*Settings!$G$32))</x:f>
      </x:c>
      <x:c r="Q56" s="30" t="str">
        <x:f>IF(C56="","",MIN(1,J56*Settings!$G$33))</x:f>
      </x:c>
      <x:c r="R56" s="30" t="str">
        <x:f>IF(C56="","",MIN(1,J56*Settings!$G$34))</x:f>
      </x:c>
      <x:c r="S56" s="30" t="str">
        <x:f>IF(C56="","",MIN(1,K56*Settings!$H$32))</x:f>
      </x:c>
      <x:c r="T56" s="30" t="str">
        <x:f>IF(C56="","",MIN(1,K56*Settings!$H$33))</x:f>
      </x:c>
      <x:c r="U56" s="30" t="str">
        <x:f>IF(C56="","",MIN(1,K56*Settings!$H$34))</x:f>
      </x:c>
      <x:c r="V56" s="23" t="str">
        <x:f>IF(C56="","",IF(O56&lt;&gt;"Ready","Unavailable",IF(E56=3,F56*(1-MAX(0,1-(1-N56)*Settings!$H$32)/(1+I56)^M56),F56*(1-(1-S56)/(1+I56)^M56)*P56/(1+I56)*IF(ABS(1-(1-P56)*(1-L56)/(1+I56))&lt;0.000000001,AF56,(1-((1-P56)*(1-L56)/(1+I56))^AF56)/(1-(1-P56)*(1-L56)/(1+I56))))))</x:f>
      </x:c>
      <x:c r="W56" s="23" t="str">
        <x:f>IF(C56="","",IF(O56&lt;&gt;"Ready","Unavailable",IF(E56=3,F56*(1-MAX(0,1-(1-N56)*Settings!$H$33)/(1+I56)^M56),F56*(1-(1-T56)/(1+I56)^M56)*Q56/(1+I56)*IF(ABS(1-(1-Q56)*(1-L56)/(1+I56))&lt;0.000000001,AF56,(1-((1-Q56)*(1-L56)/(1+I56))^AF56)/(1-(1-Q56)*(1-L56)/(1+I56))))))</x:f>
      </x:c>
      <x:c r="X56" s="23" t="str">
        <x:f>IF(C56="","",IF(O56&lt;&gt;"Ready","Unavailable",IF(E56=3,F56*(1-MAX(0,1-(1-N56)*Settings!$H$34)/(1+I56)^M56),F56*(1-(1-U56)/(1+I56)^M56)*R56/(1+I56)*IF(ABS(1-(1-R56)*(1-L56)/(1+I56))&lt;0.000000001,AF56,(1-((1-R56)*(1-L56)/(1+I56))^AF56)/(1-(1-R56)*(1-L56)/(1+I56))))))</x:f>
      </x:c>
      <x:c r="Y56" s="23" t="str">
        <x:f>IF(C56="","",IF(O56&lt;&gt;"Ready","Unavailable",IF(E56=3,G56*INDEX('Facilities'!$I$9:$I$108,MATCH(C56,'Facilities'!$C$9:$C$108,0))*(1-MAX(0,1-(1-N56)*Settings!$H$32)/(1+I56)^M56),G56*INDEX('Facilities'!$I$9:$I$108,MATCH(C56,'Facilities'!$C$9:$C$108,0))*(1-(1-S56)/(1+I56)^M56)*P56/(1+I56)*IF(ABS(1-(1-P56)*(1-0)/(1+I56))&lt;0.000000001,AF56,(1-((1-P56)*(1-0)/(1+I56))^AF56)/(1-(1-P56)*(1-0)/(1+I56))))))</x:f>
      </x:c>
      <x:c r="Z56" s="23" t="str">
        <x:f>IF(C56="","",IF(O56&lt;&gt;"Ready","Unavailable",IF(E56=3,G56*INDEX('Facilities'!$I$9:$I$108,MATCH(C56,'Facilities'!$C$9:$C$108,0))*(1-MAX(0,1-(1-N56)*Settings!$H$33)/(1+I56)^M56),G56*INDEX('Facilities'!$I$9:$I$108,MATCH(C56,'Facilities'!$C$9:$C$108,0))*(1-(1-T56)/(1+I56)^M56)*Q56/(1+I56)*IF(ABS(1-(1-Q56)*(1-0)/(1+I56))&lt;0.000000001,AF56,(1-((1-Q56)*(1-0)/(1+I56))^AF56)/(1-(1-Q56)*(1-0)/(1+I56))))))</x:f>
      </x:c>
      <x:c r="AA56" s="23" t="str">
        <x:f>IF(C56="","",IF(O56&lt;&gt;"Ready","Unavailable",IF(E56=3,G56*INDEX('Facilities'!$I$9:$I$108,MATCH(C56,'Facilities'!$C$9:$C$108,0))*(1-MAX(0,1-(1-N56)*Settings!$H$34)/(1+I56)^M56),G56*INDEX('Facilities'!$I$9:$I$108,MATCH(C56,'Facilities'!$C$9:$C$108,0))*(1-(1-U56)/(1+I56)^M56)*R56/(1+I56)*IF(ABS(1-(1-R56)*(1-0)/(1+I56))&lt;0.000000001,AF56,(1-((1-R56)*(1-0)/(1+I56))^AF56)/(1-(1-R56)*(1-0)/(1+I56))))))</x:f>
      </x:c>
      <x:c r="AB56" s="23" t="str">
        <x:f>IF(C56="","",IF(O56&lt;&gt;"Ready","Unavailable",V56*Settings!$F$32+W56*Settings!$F$33+X56*Settings!$F$34))</x:f>
      </x:c>
      <x:c r="AC56" s="23" t="str">
        <x:f>IF(C56="","",IF(O56&lt;&gt;"Ready","Unavailable",Y56*Settings!$F$32+Z56*Settings!$F$33+AA56*Settings!$F$34))</x:f>
      </x:c>
      <x:c r="AD56" s="21" t="str">
        <x:f>IF(C56="","",IF(O56&lt;&gt;"Ready","Unavailable",AB56+AC56))</x:f>
      </x:c>
      <x:c r="AE56" s="17" t="str">
        <x:f>IF(C56="","",IF(OR(O56&lt;&gt;"Ready",F56=0),"Unavailable",AB56/F56))</x:f>
      </x:c>
      <x:c r="AF56" s="44" t="str">
        <x:f>IF(C56="","",IF(E56=1,1,H56))</x:f>
      </x:c>
    </x:row>
    <x:row r="57" ht="26" customHeight="1">
      <x:c r="A57" s="1"/>
      <x:c r="B57" s="1"/>
      <x:c r="C57" s="9" t="str">
        <x:f>IF(Facilities!C57="","",Facilities!C57)</x:f>
      </x:c>
      <x:c r="D57" s="9" t="str">
        <x:f>IF(C57="","",INDEX('Facilities'!$D$9:$D$108,MATCH(C57,'Facilities'!$C$9:$C$108,0)))</x:f>
      </x:c>
      <x:c r="E57" s="9" t="str">
        <x:f>IF(C57="","",INDEX('Facilities'!$AD$9:$AD$108,MATCH(C57,'Facilities'!$C$9:$C$108,0)))</x:f>
      </x:c>
      <x:c r="F57" s="23" t="str">
        <x:f>IF(C57="","",INDEX('Facilities'!$AA$9:$AA$108,MATCH(C57,'Facilities'!$C$9:$C$108,0)))</x:f>
      </x:c>
      <x:c r="G57" s="23" t="str">
        <x:f>IF(C57="","",INDEX('Facilities'!$AB$9:$AB$108,MATCH(C57,'Facilities'!$C$9:$C$108,0)))</x:f>
      </x:c>
      <x:c r="H57" s="42" t="str">
        <x:f>IF(C57="","",INDEX('Facilities'!$J$9:$J$108,MATCH(C57,'Facilities'!$C$9:$C$108,0)))</x:f>
      </x:c>
      <x:c r="I57" s="30" t="str">
        <x:f>IF(C57="","",INDEX('Facilities'!$K$9:$K$108,MATCH(C57,'Facilities'!$C$9:$C$108,0)))</x:f>
      </x:c>
      <x:c r="J57" s="30" t="str">
        <x:f>IF(C57="","",INDEX('Borrowers'!$P$9:$P$108,MATCH(D57,'Borrowers'!$C$9:$C$108,0)))</x:f>
      </x:c>
      <x:c r="K57" s="30" t="str">
        <x:f>IF(C57="","",INDEX('Borrowers'!$Q$9:$Q$108,MATCH(D57,'Borrowers'!$C$9:$C$108,0)))</x:f>
      </x:c>
      <x:c r="L57" s="30" t="str">
        <x:f>IF(C57="","",INDEX('Facilities'!$R$9:$R$108,MATCH(C57,'Facilities'!$C$9:$C$108,0)))</x:f>
      </x:c>
      <x:c r="M57" s="42" t="str">
        <x:f>IF(C57="","",INDEX('Facilities'!$AK$9:$AK$108,MATCH(C57,'Facilities'!$C$9:$C$108,0)))</x:f>
      </x:c>
      <x:c r="N57" s="30" t="str">
        <x:f>IF(C57="","",INDEX('Facilities'!$AL$9:$AL$108,MATCH(C57,'Facilities'!$C$9:$C$108,0)))</x:f>
      </x:c>
      <x:c r="O57" s="23" t="str">
        <x:f>IF(C57="","",IF(AND(INDEX('Facilities'!$AF$9:$AF$108,MATCH(C57,'Facilities'!$C$9:$C$108,0))="Ready",Settings!$F$36="Ready"),"Ready","Review ECL inputs"))</x:f>
      </x:c>
      <x:c r="P57" s="30" t="str">
        <x:f>IF(C57="","",MIN(1,J57*Settings!$G$32))</x:f>
      </x:c>
      <x:c r="Q57" s="30" t="str">
        <x:f>IF(C57="","",MIN(1,J57*Settings!$G$33))</x:f>
      </x:c>
      <x:c r="R57" s="30" t="str">
        <x:f>IF(C57="","",MIN(1,J57*Settings!$G$34))</x:f>
      </x:c>
      <x:c r="S57" s="30" t="str">
        <x:f>IF(C57="","",MIN(1,K57*Settings!$H$32))</x:f>
      </x:c>
      <x:c r="T57" s="30" t="str">
        <x:f>IF(C57="","",MIN(1,K57*Settings!$H$33))</x:f>
      </x:c>
      <x:c r="U57" s="30" t="str">
        <x:f>IF(C57="","",MIN(1,K57*Settings!$H$34))</x:f>
      </x:c>
      <x:c r="V57" s="23" t="str">
        <x:f>IF(C57="","",IF(O57&lt;&gt;"Ready","Unavailable",IF(E57=3,F57*(1-MAX(0,1-(1-N57)*Settings!$H$32)/(1+I57)^M57),F57*(1-(1-S57)/(1+I57)^M57)*P57/(1+I57)*IF(ABS(1-(1-P57)*(1-L57)/(1+I57))&lt;0.000000001,AF57,(1-((1-P57)*(1-L57)/(1+I57))^AF57)/(1-(1-P57)*(1-L57)/(1+I57))))))</x:f>
      </x:c>
      <x:c r="W57" s="23" t="str">
        <x:f>IF(C57="","",IF(O57&lt;&gt;"Ready","Unavailable",IF(E57=3,F57*(1-MAX(0,1-(1-N57)*Settings!$H$33)/(1+I57)^M57),F57*(1-(1-T57)/(1+I57)^M57)*Q57/(1+I57)*IF(ABS(1-(1-Q57)*(1-L57)/(1+I57))&lt;0.000000001,AF57,(1-((1-Q57)*(1-L57)/(1+I57))^AF57)/(1-(1-Q57)*(1-L57)/(1+I57))))))</x:f>
      </x:c>
      <x:c r="X57" s="23" t="str">
        <x:f>IF(C57="","",IF(O57&lt;&gt;"Ready","Unavailable",IF(E57=3,F57*(1-MAX(0,1-(1-N57)*Settings!$H$34)/(1+I57)^M57),F57*(1-(1-U57)/(1+I57)^M57)*R57/(1+I57)*IF(ABS(1-(1-R57)*(1-L57)/(1+I57))&lt;0.000000001,AF57,(1-((1-R57)*(1-L57)/(1+I57))^AF57)/(1-(1-R57)*(1-L57)/(1+I57))))))</x:f>
      </x:c>
      <x:c r="Y57" s="23" t="str">
        <x:f>IF(C57="","",IF(O57&lt;&gt;"Ready","Unavailable",IF(E57=3,G57*INDEX('Facilities'!$I$9:$I$108,MATCH(C57,'Facilities'!$C$9:$C$108,0))*(1-MAX(0,1-(1-N57)*Settings!$H$32)/(1+I57)^M57),G57*INDEX('Facilities'!$I$9:$I$108,MATCH(C57,'Facilities'!$C$9:$C$108,0))*(1-(1-S57)/(1+I57)^M57)*P57/(1+I57)*IF(ABS(1-(1-P57)*(1-0)/(1+I57))&lt;0.000000001,AF57,(1-((1-P57)*(1-0)/(1+I57))^AF57)/(1-(1-P57)*(1-0)/(1+I57))))))</x:f>
      </x:c>
      <x:c r="Z57" s="23" t="str">
        <x:f>IF(C57="","",IF(O57&lt;&gt;"Ready","Unavailable",IF(E57=3,G57*INDEX('Facilities'!$I$9:$I$108,MATCH(C57,'Facilities'!$C$9:$C$108,0))*(1-MAX(0,1-(1-N57)*Settings!$H$33)/(1+I57)^M57),G57*INDEX('Facilities'!$I$9:$I$108,MATCH(C57,'Facilities'!$C$9:$C$108,0))*(1-(1-T57)/(1+I57)^M57)*Q57/(1+I57)*IF(ABS(1-(1-Q57)*(1-0)/(1+I57))&lt;0.000000001,AF57,(1-((1-Q57)*(1-0)/(1+I57))^AF57)/(1-(1-Q57)*(1-0)/(1+I57))))))</x:f>
      </x:c>
      <x:c r="AA57" s="23" t="str">
        <x:f>IF(C57="","",IF(O57&lt;&gt;"Ready","Unavailable",IF(E57=3,G57*INDEX('Facilities'!$I$9:$I$108,MATCH(C57,'Facilities'!$C$9:$C$108,0))*(1-MAX(0,1-(1-N57)*Settings!$H$34)/(1+I57)^M57),G57*INDEX('Facilities'!$I$9:$I$108,MATCH(C57,'Facilities'!$C$9:$C$108,0))*(1-(1-U57)/(1+I57)^M57)*R57/(1+I57)*IF(ABS(1-(1-R57)*(1-0)/(1+I57))&lt;0.000000001,AF57,(1-((1-R57)*(1-0)/(1+I57))^AF57)/(1-(1-R57)*(1-0)/(1+I57))))))</x:f>
      </x:c>
      <x:c r="AB57" s="23" t="str">
        <x:f>IF(C57="","",IF(O57&lt;&gt;"Ready","Unavailable",V57*Settings!$F$32+W57*Settings!$F$33+X57*Settings!$F$34))</x:f>
      </x:c>
      <x:c r="AC57" s="23" t="str">
        <x:f>IF(C57="","",IF(O57&lt;&gt;"Ready","Unavailable",Y57*Settings!$F$32+Z57*Settings!$F$33+AA57*Settings!$F$34))</x:f>
      </x:c>
      <x:c r="AD57" s="21" t="str">
        <x:f>IF(C57="","",IF(O57&lt;&gt;"Ready","Unavailable",AB57+AC57))</x:f>
      </x:c>
      <x:c r="AE57" s="17" t="str">
        <x:f>IF(C57="","",IF(OR(O57&lt;&gt;"Ready",F57=0),"Unavailable",AB57/F57))</x:f>
      </x:c>
      <x:c r="AF57" s="44" t="str">
        <x:f>IF(C57="","",IF(E57=1,1,H57))</x:f>
      </x:c>
    </x:row>
    <x:row r="58" ht="26" customHeight="1">
      <x:c r="A58" s="1"/>
      <x:c r="B58" s="1"/>
      <x:c r="C58" s="9" t="str">
        <x:f>IF(Facilities!C58="","",Facilities!C58)</x:f>
      </x:c>
      <x:c r="D58" s="9" t="str">
        <x:f>IF(C58="","",INDEX('Facilities'!$D$9:$D$108,MATCH(C58,'Facilities'!$C$9:$C$108,0)))</x:f>
      </x:c>
      <x:c r="E58" s="9" t="str">
        <x:f>IF(C58="","",INDEX('Facilities'!$AD$9:$AD$108,MATCH(C58,'Facilities'!$C$9:$C$108,0)))</x:f>
      </x:c>
      <x:c r="F58" s="23" t="str">
        <x:f>IF(C58="","",INDEX('Facilities'!$AA$9:$AA$108,MATCH(C58,'Facilities'!$C$9:$C$108,0)))</x:f>
      </x:c>
      <x:c r="G58" s="23" t="str">
        <x:f>IF(C58="","",INDEX('Facilities'!$AB$9:$AB$108,MATCH(C58,'Facilities'!$C$9:$C$108,0)))</x:f>
      </x:c>
      <x:c r="H58" s="42" t="str">
        <x:f>IF(C58="","",INDEX('Facilities'!$J$9:$J$108,MATCH(C58,'Facilities'!$C$9:$C$108,0)))</x:f>
      </x:c>
      <x:c r="I58" s="30" t="str">
        <x:f>IF(C58="","",INDEX('Facilities'!$K$9:$K$108,MATCH(C58,'Facilities'!$C$9:$C$108,0)))</x:f>
      </x:c>
      <x:c r="J58" s="30" t="str">
        <x:f>IF(C58="","",INDEX('Borrowers'!$P$9:$P$108,MATCH(D58,'Borrowers'!$C$9:$C$108,0)))</x:f>
      </x:c>
      <x:c r="K58" s="30" t="str">
        <x:f>IF(C58="","",INDEX('Borrowers'!$Q$9:$Q$108,MATCH(D58,'Borrowers'!$C$9:$C$108,0)))</x:f>
      </x:c>
      <x:c r="L58" s="30" t="str">
        <x:f>IF(C58="","",INDEX('Facilities'!$R$9:$R$108,MATCH(C58,'Facilities'!$C$9:$C$108,0)))</x:f>
      </x:c>
      <x:c r="M58" s="42" t="str">
        <x:f>IF(C58="","",INDEX('Facilities'!$AK$9:$AK$108,MATCH(C58,'Facilities'!$C$9:$C$108,0)))</x:f>
      </x:c>
      <x:c r="N58" s="30" t="str">
        <x:f>IF(C58="","",INDEX('Facilities'!$AL$9:$AL$108,MATCH(C58,'Facilities'!$C$9:$C$108,0)))</x:f>
      </x:c>
      <x:c r="O58" s="23" t="str">
        <x:f>IF(C58="","",IF(AND(INDEX('Facilities'!$AF$9:$AF$108,MATCH(C58,'Facilities'!$C$9:$C$108,0))="Ready",Settings!$F$36="Ready"),"Ready","Review ECL inputs"))</x:f>
      </x:c>
      <x:c r="P58" s="30" t="str">
        <x:f>IF(C58="","",MIN(1,J58*Settings!$G$32))</x:f>
      </x:c>
      <x:c r="Q58" s="30" t="str">
        <x:f>IF(C58="","",MIN(1,J58*Settings!$G$33))</x:f>
      </x:c>
      <x:c r="R58" s="30" t="str">
        <x:f>IF(C58="","",MIN(1,J58*Settings!$G$34))</x:f>
      </x:c>
      <x:c r="S58" s="30" t="str">
        <x:f>IF(C58="","",MIN(1,K58*Settings!$H$32))</x:f>
      </x:c>
      <x:c r="T58" s="30" t="str">
        <x:f>IF(C58="","",MIN(1,K58*Settings!$H$33))</x:f>
      </x:c>
      <x:c r="U58" s="30" t="str">
        <x:f>IF(C58="","",MIN(1,K58*Settings!$H$34))</x:f>
      </x:c>
      <x:c r="V58" s="23" t="str">
        <x:f>IF(C58="","",IF(O58&lt;&gt;"Ready","Unavailable",IF(E58=3,F58*(1-MAX(0,1-(1-N58)*Settings!$H$32)/(1+I58)^M58),F58*(1-(1-S58)/(1+I58)^M58)*P58/(1+I58)*IF(ABS(1-(1-P58)*(1-L58)/(1+I58))&lt;0.000000001,AF58,(1-((1-P58)*(1-L58)/(1+I58))^AF58)/(1-(1-P58)*(1-L58)/(1+I58))))))</x:f>
      </x:c>
      <x:c r="W58" s="23" t="str">
        <x:f>IF(C58="","",IF(O58&lt;&gt;"Ready","Unavailable",IF(E58=3,F58*(1-MAX(0,1-(1-N58)*Settings!$H$33)/(1+I58)^M58),F58*(1-(1-T58)/(1+I58)^M58)*Q58/(1+I58)*IF(ABS(1-(1-Q58)*(1-L58)/(1+I58))&lt;0.000000001,AF58,(1-((1-Q58)*(1-L58)/(1+I58))^AF58)/(1-(1-Q58)*(1-L58)/(1+I58))))))</x:f>
      </x:c>
      <x:c r="X58" s="23" t="str">
        <x:f>IF(C58="","",IF(O58&lt;&gt;"Ready","Unavailable",IF(E58=3,F58*(1-MAX(0,1-(1-N58)*Settings!$H$34)/(1+I58)^M58),F58*(1-(1-U58)/(1+I58)^M58)*R58/(1+I58)*IF(ABS(1-(1-R58)*(1-L58)/(1+I58))&lt;0.000000001,AF58,(1-((1-R58)*(1-L58)/(1+I58))^AF58)/(1-(1-R58)*(1-L58)/(1+I58))))))</x:f>
      </x:c>
      <x:c r="Y58" s="23" t="str">
        <x:f>IF(C58="","",IF(O58&lt;&gt;"Ready","Unavailable",IF(E58=3,G58*INDEX('Facilities'!$I$9:$I$108,MATCH(C58,'Facilities'!$C$9:$C$108,0))*(1-MAX(0,1-(1-N58)*Settings!$H$32)/(1+I58)^M58),G58*INDEX('Facilities'!$I$9:$I$108,MATCH(C58,'Facilities'!$C$9:$C$108,0))*(1-(1-S58)/(1+I58)^M58)*P58/(1+I58)*IF(ABS(1-(1-P58)*(1-0)/(1+I58))&lt;0.000000001,AF58,(1-((1-P58)*(1-0)/(1+I58))^AF58)/(1-(1-P58)*(1-0)/(1+I58))))))</x:f>
      </x:c>
      <x:c r="Z58" s="23" t="str">
        <x:f>IF(C58="","",IF(O58&lt;&gt;"Ready","Unavailable",IF(E58=3,G58*INDEX('Facilities'!$I$9:$I$108,MATCH(C58,'Facilities'!$C$9:$C$108,0))*(1-MAX(0,1-(1-N58)*Settings!$H$33)/(1+I58)^M58),G58*INDEX('Facilities'!$I$9:$I$108,MATCH(C58,'Facilities'!$C$9:$C$108,0))*(1-(1-T58)/(1+I58)^M58)*Q58/(1+I58)*IF(ABS(1-(1-Q58)*(1-0)/(1+I58))&lt;0.000000001,AF58,(1-((1-Q58)*(1-0)/(1+I58))^AF58)/(1-(1-Q58)*(1-0)/(1+I58))))))</x:f>
      </x:c>
      <x:c r="AA58" s="23" t="str">
        <x:f>IF(C58="","",IF(O58&lt;&gt;"Ready","Unavailable",IF(E58=3,G58*INDEX('Facilities'!$I$9:$I$108,MATCH(C58,'Facilities'!$C$9:$C$108,0))*(1-MAX(0,1-(1-N58)*Settings!$H$34)/(1+I58)^M58),G58*INDEX('Facilities'!$I$9:$I$108,MATCH(C58,'Facilities'!$C$9:$C$108,0))*(1-(1-U58)/(1+I58)^M58)*R58/(1+I58)*IF(ABS(1-(1-R58)*(1-0)/(1+I58))&lt;0.000000001,AF58,(1-((1-R58)*(1-0)/(1+I58))^AF58)/(1-(1-R58)*(1-0)/(1+I58))))))</x:f>
      </x:c>
      <x:c r="AB58" s="23" t="str">
        <x:f>IF(C58="","",IF(O58&lt;&gt;"Ready","Unavailable",V58*Settings!$F$32+W58*Settings!$F$33+X58*Settings!$F$34))</x:f>
      </x:c>
      <x:c r="AC58" s="23" t="str">
        <x:f>IF(C58="","",IF(O58&lt;&gt;"Ready","Unavailable",Y58*Settings!$F$32+Z58*Settings!$F$33+AA58*Settings!$F$34))</x:f>
      </x:c>
      <x:c r="AD58" s="21" t="str">
        <x:f>IF(C58="","",IF(O58&lt;&gt;"Ready","Unavailable",AB58+AC58))</x:f>
      </x:c>
      <x:c r="AE58" s="17" t="str">
        <x:f>IF(C58="","",IF(OR(O58&lt;&gt;"Ready",F58=0),"Unavailable",AB58/F58))</x:f>
      </x:c>
      <x:c r="AF58" s="44" t="str">
        <x:f>IF(C58="","",IF(E58=1,1,H58))</x:f>
      </x:c>
    </x:row>
    <x:row r="59" ht="26" customHeight="1">
      <x:c r="A59" s="1"/>
      <x:c r="B59" s="1"/>
      <x:c r="C59" s="9" t="str">
        <x:f>IF(Facilities!C59="","",Facilities!C59)</x:f>
      </x:c>
      <x:c r="D59" s="9" t="str">
        <x:f>IF(C59="","",INDEX('Facilities'!$D$9:$D$108,MATCH(C59,'Facilities'!$C$9:$C$108,0)))</x:f>
      </x:c>
      <x:c r="E59" s="9" t="str">
        <x:f>IF(C59="","",INDEX('Facilities'!$AD$9:$AD$108,MATCH(C59,'Facilities'!$C$9:$C$108,0)))</x:f>
      </x:c>
      <x:c r="F59" s="23" t="str">
        <x:f>IF(C59="","",INDEX('Facilities'!$AA$9:$AA$108,MATCH(C59,'Facilities'!$C$9:$C$108,0)))</x:f>
      </x:c>
      <x:c r="G59" s="23" t="str">
        <x:f>IF(C59="","",INDEX('Facilities'!$AB$9:$AB$108,MATCH(C59,'Facilities'!$C$9:$C$108,0)))</x:f>
      </x:c>
      <x:c r="H59" s="42" t="str">
        <x:f>IF(C59="","",INDEX('Facilities'!$J$9:$J$108,MATCH(C59,'Facilities'!$C$9:$C$108,0)))</x:f>
      </x:c>
      <x:c r="I59" s="30" t="str">
        <x:f>IF(C59="","",INDEX('Facilities'!$K$9:$K$108,MATCH(C59,'Facilities'!$C$9:$C$108,0)))</x:f>
      </x:c>
      <x:c r="J59" s="30" t="str">
        <x:f>IF(C59="","",INDEX('Borrowers'!$P$9:$P$108,MATCH(D59,'Borrowers'!$C$9:$C$108,0)))</x:f>
      </x:c>
      <x:c r="K59" s="30" t="str">
        <x:f>IF(C59="","",INDEX('Borrowers'!$Q$9:$Q$108,MATCH(D59,'Borrowers'!$C$9:$C$108,0)))</x:f>
      </x:c>
      <x:c r="L59" s="30" t="str">
        <x:f>IF(C59="","",INDEX('Facilities'!$R$9:$R$108,MATCH(C59,'Facilities'!$C$9:$C$108,0)))</x:f>
      </x:c>
      <x:c r="M59" s="42" t="str">
        <x:f>IF(C59="","",INDEX('Facilities'!$AK$9:$AK$108,MATCH(C59,'Facilities'!$C$9:$C$108,0)))</x:f>
      </x:c>
      <x:c r="N59" s="30" t="str">
        <x:f>IF(C59="","",INDEX('Facilities'!$AL$9:$AL$108,MATCH(C59,'Facilities'!$C$9:$C$108,0)))</x:f>
      </x:c>
      <x:c r="O59" s="23" t="str">
        <x:f>IF(C59="","",IF(AND(INDEX('Facilities'!$AF$9:$AF$108,MATCH(C59,'Facilities'!$C$9:$C$108,0))="Ready",Settings!$F$36="Ready"),"Ready","Review ECL inputs"))</x:f>
      </x:c>
      <x:c r="P59" s="30" t="str">
        <x:f>IF(C59="","",MIN(1,J59*Settings!$G$32))</x:f>
      </x:c>
      <x:c r="Q59" s="30" t="str">
        <x:f>IF(C59="","",MIN(1,J59*Settings!$G$33))</x:f>
      </x:c>
      <x:c r="R59" s="30" t="str">
        <x:f>IF(C59="","",MIN(1,J59*Settings!$G$34))</x:f>
      </x:c>
      <x:c r="S59" s="30" t="str">
        <x:f>IF(C59="","",MIN(1,K59*Settings!$H$32))</x:f>
      </x:c>
      <x:c r="T59" s="30" t="str">
        <x:f>IF(C59="","",MIN(1,K59*Settings!$H$33))</x:f>
      </x:c>
      <x:c r="U59" s="30" t="str">
        <x:f>IF(C59="","",MIN(1,K59*Settings!$H$34))</x:f>
      </x:c>
      <x:c r="V59" s="23" t="str">
        <x:f>IF(C59="","",IF(O59&lt;&gt;"Ready","Unavailable",IF(E59=3,F59*(1-MAX(0,1-(1-N59)*Settings!$H$32)/(1+I59)^M59),F59*(1-(1-S59)/(1+I59)^M59)*P59/(1+I59)*IF(ABS(1-(1-P59)*(1-L59)/(1+I59))&lt;0.000000001,AF59,(1-((1-P59)*(1-L59)/(1+I59))^AF59)/(1-(1-P59)*(1-L59)/(1+I59))))))</x:f>
      </x:c>
      <x:c r="W59" s="23" t="str">
        <x:f>IF(C59="","",IF(O59&lt;&gt;"Ready","Unavailable",IF(E59=3,F59*(1-MAX(0,1-(1-N59)*Settings!$H$33)/(1+I59)^M59),F59*(1-(1-T59)/(1+I59)^M59)*Q59/(1+I59)*IF(ABS(1-(1-Q59)*(1-L59)/(1+I59))&lt;0.000000001,AF59,(1-((1-Q59)*(1-L59)/(1+I59))^AF59)/(1-(1-Q59)*(1-L59)/(1+I59))))))</x:f>
      </x:c>
      <x:c r="X59" s="23" t="str">
        <x:f>IF(C59="","",IF(O59&lt;&gt;"Ready","Unavailable",IF(E59=3,F59*(1-MAX(0,1-(1-N59)*Settings!$H$34)/(1+I59)^M59),F59*(1-(1-U59)/(1+I59)^M59)*R59/(1+I59)*IF(ABS(1-(1-R59)*(1-L59)/(1+I59))&lt;0.000000001,AF59,(1-((1-R59)*(1-L59)/(1+I59))^AF59)/(1-(1-R59)*(1-L59)/(1+I59))))))</x:f>
      </x:c>
      <x:c r="Y59" s="23" t="str">
        <x:f>IF(C59="","",IF(O59&lt;&gt;"Ready","Unavailable",IF(E59=3,G59*INDEX('Facilities'!$I$9:$I$108,MATCH(C59,'Facilities'!$C$9:$C$108,0))*(1-MAX(0,1-(1-N59)*Settings!$H$32)/(1+I59)^M59),G59*INDEX('Facilities'!$I$9:$I$108,MATCH(C59,'Facilities'!$C$9:$C$108,0))*(1-(1-S59)/(1+I59)^M59)*P59/(1+I59)*IF(ABS(1-(1-P59)*(1-0)/(1+I59))&lt;0.000000001,AF59,(1-((1-P59)*(1-0)/(1+I59))^AF59)/(1-(1-P59)*(1-0)/(1+I59))))))</x:f>
      </x:c>
      <x:c r="Z59" s="23" t="str">
        <x:f>IF(C59="","",IF(O59&lt;&gt;"Ready","Unavailable",IF(E59=3,G59*INDEX('Facilities'!$I$9:$I$108,MATCH(C59,'Facilities'!$C$9:$C$108,0))*(1-MAX(0,1-(1-N59)*Settings!$H$33)/(1+I59)^M59),G59*INDEX('Facilities'!$I$9:$I$108,MATCH(C59,'Facilities'!$C$9:$C$108,0))*(1-(1-T59)/(1+I59)^M59)*Q59/(1+I59)*IF(ABS(1-(1-Q59)*(1-0)/(1+I59))&lt;0.000000001,AF59,(1-((1-Q59)*(1-0)/(1+I59))^AF59)/(1-(1-Q59)*(1-0)/(1+I59))))))</x:f>
      </x:c>
      <x:c r="AA59" s="23" t="str">
        <x:f>IF(C59="","",IF(O59&lt;&gt;"Ready","Unavailable",IF(E59=3,G59*INDEX('Facilities'!$I$9:$I$108,MATCH(C59,'Facilities'!$C$9:$C$108,0))*(1-MAX(0,1-(1-N59)*Settings!$H$34)/(1+I59)^M59),G59*INDEX('Facilities'!$I$9:$I$108,MATCH(C59,'Facilities'!$C$9:$C$108,0))*(1-(1-U59)/(1+I59)^M59)*R59/(1+I59)*IF(ABS(1-(1-R59)*(1-0)/(1+I59))&lt;0.000000001,AF59,(1-((1-R59)*(1-0)/(1+I59))^AF59)/(1-(1-R59)*(1-0)/(1+I59))))))</x:f>
      </x:c>
      <x:c r="AB59" s="23" t="str">
        <x:f>IF(C59="","",IF(O59&lt;&gt;"Ready","Unavailable",V59*Settings!$F$32+W59*Settings!$F$33+X59*Settings!$F$34))</x:f>
      </x:c>
      <x:c r="AC59" s="23" t="str">
        <x:f>IF(C59="","",IF(O59&lt;&gt;"Ready","Unavailable",Y59*Settings!$F$32+Z59*Settings!$F$33+AA59*Settings!$F$34))</x:f>
      </x:c>
      <x:c r="AD59" s="21" t="str">
        <x:f>IF(C59="","",IF(O59&lt;&gt;"Ready","Unavailable",AB59+AC59))</x:f>
      </x:c>
      <x:c r="AE59" s="17" t="str">
        <x:f>IF(C59="","",IF(OR(O59&lt;&gt;"Ready",F59=0),"Unavailable",AB59/F59))</x:f>
      </x:c>
      <x:c r="AF59" s="44" t="str">
        <x:f>IF(C59="","",IF(E59=1,1,H59))</x:f>
      </x:c>
    </x:row>
    <x:row r="60" ht="26" customHeight="1">
      <x:c r="A60" s="1"/>
      <x:c r="B60" s="1"/>
      <x:c r="C60" s="9" t="str">
        <x:f>IF(Facilities!C60="","",Facilities!C60)</x:f>
      </x:c>
      <x:c r="D60" s="9" t="str">
        <x:f>IF(C60="","",INDEX('Facilities'!$D$9:$D$108,MATCH(C60,'Facilities'!$C$9:$C$108,0)))</x:f>
      </x:c>
      <x:c r="E60" s="9" t="str">
        <x:f>IF(C60="","",INDEX('Facilities'!$AD$9:$AD$108,MATCH(C60,'Facilities'!$C$9:$C$108,0)))</x:f>
      </x:c>
      <x:c r="F60" s="23" t="str">
        <x:f>IF(C60="","",INDEX('Facilities'!$AA$9:$AA$108,MATCH(C60,'Facilities'!$C$9:$C$108,0)))</x:f>
      </x:c>
      <x:c r="G60" s="23" t="str">
        <x:f>IF(C60="","",INDEX('Facilities'!$AB$9:$AB$108,MATCH(C60,'Facilities'!$C$9:$C$108,0)))</x:f>
      </x:c>
      <x:c r="H60" s="42" t="str">
        <x:f>IF(C60="","",INDEX('Facilities'!$J$9:$J$108,MATCH(C60,'Facilities'!$C$9:$C$108,0)))</x:f>
      </x:c>
      <x:c r="I60" s="30" t="str">
        <x:f>IF(C60="","",INDEX('Facilities'!$K$9:$K$108,MATCH(C60,'Facilities'!$C$9:$C$108,0)))</x:f>
      </x:c>
      <x:c r="J60" s="30" t="str">
        <x:f>IF(C60="","",INDEX('Borrowers'!$P$9:$P$108,MATCH(D60,'Borrowers'!$C$9:$C$108,0)))</x:f>
      </x:c>
      <x:c r="K60" s="30" t="str">
        <x:f>IF(C60="","",INDEX('Borrowers'!$Q$9:$Q$108,MATCH(D60,'Borrowers'!$C$9:$C$108,0)))</x:f>
      </x:c>
      <x:c r="L60" s="30" t="str">
        <x:f>IF(C60="","",INDEX('Facilities'!$R$9:$R$108,MATCH(C60,'Facilities'!$C$9:$C$108,0)))</x:f>
      </x:c>
      <x:c r="M60" s="42" t="str">
        <x:f>IF(C60="","",INDEX('Facilities'!$AK$9:$AK$108,MATCH(C60,'Facilities'!$C$9:$C$108,0)))</x:f>
      </x:c>
      <x:c r="N60" s="30" t="str">
        <x:f>IF(C60="","",INDEX('Facilities'!$AL$9:$AL$108,MATCH(C60,'Facilities'!$C$9:$C$108,0)))</x:f>
      </x:c>
      <x:c r="O60" s="23" t="str">
        <x:f>IF(C60="","",IF(AND(INDEX('Facilities'!$AF$9:$AF$108,MATCH(C60,'Facilities'!$C$9:$C$108,0))="Ready",Settings!$F$36="Ready"),"Ready","Review ECL inputs"))</x:f>
      </x:c>
      <x:c r="P60" s="30" t="str">
        <x:f>IF(C60="","",MIN(1,J60*Settings!$G$32))</x:f>
      </x:c>
      <x:c r="Q60" s="30" t="str">
        <x:f>IF(C60="","",MIN(1,J60*Settings!$G$33))</x:f>
      </x:c>
      <x:c r="R60" s="30" t="str">
        <x:f>IF(C60="","",MIN(1,J60*Settings!$G$34))</x:f>
      </x:c>
      <x:c r="S60" s="30" t="str">
        <x:f>IF(C60="","",MIN(1,K60*Settings!$H$32))</x:f>
      </x:c>
      <x:c r="T60" s="30" t="str">
        <x:f>IF(C60="","",MIN(1,K60*Settings!$H$33))</x:f>
      </x:c>
      <x:c r="U60" s="30" t="str">
        <x:f>IF(C60="","",MIN(1,K60*Settings!$H$34))</x:f>
      </x:c>
      <x:c r="V60" s="23" t="str">
        <x:f>IF(C60="","",IF(O60&lt;&gt;"Ready","Unavailable",IF(E60=3,F60*(1-MAX(0,1-(1-N60)*Settings!$H$32)/(1+I60)^M60),F60*(1-(1-S60)/(1+I60)^M60)*P60/(1+I60)*IF(ABS(1-(1-P60)*(1-L60)/(1+I60))&lt;0.000000001,AF60,(1-((1-P60)*(1-L60)/(1+I60))^AF60)/(1-(1-P60)*(1-L60)/(1+I60))))))</x:f>
      </x:c>
      <x:c r="W60" s="23" t="str">
        <x:f>IF(C60="","",IF(O60&lt;&gt;"Ready","Unavailable",IF(E60=3,F60*(1-MAX(0,1-(1-N60)*Settings!$H$33)/(1+I60)^M60),F60*(1-(1-T60)/(1+I60)^M60)*Q60/(1+I60)*IF(ABS(1-(1-Q60)*(1-L60)/(1+I60))&lt;0.000000001,AF60,(1-((1-Q60)*(1-L60)/(1+I60))^AF60)/(1-(1-Q60)*(1-L60)/(1+I60))))))</x:f>
      </x:c>
      <x:c r="X60" s="23" t="str">
        <x:f>IF(C60="","",IF(O60&lt;&gt;"Ready","Unavailable",IF(E60=3,F60*(1-MAX(0,1-(1-N60)*Settings!$H$34)/(1+I60)^M60),F60*(1-(1-U60)/(1+I60)^M60)*R60/(1+I60)*IF(ABS(1-(1-R60)*(1-L60)/(1+I60))&lt;0.000000001,AF60,(1-((1-R60)*(1-L60)/(1+I60))^AF60)/(1-(1-R60)*(1-L60)/(1+I60))))))</x:f>
      </x:c>
      <x:c r="Y60" s="23" t="str">
        <x:f>IF(C60="","",IF(O60&lt;&gt;"Ready","Unavailable",IF(E60=3,G60*INDEX('Facilities'!$I$9:$I$108,MATCH(C60,'Facilities'!$C$9:$C$108,0))*(1-MAX(0,1-(1-N60)*Settings!$H$32)/(1+I60)^M60),G60*INDEX('Facilities'!$I$9:$I$108,MATCH(C60,'Facilities'!$C$9:$C$108,0))*(1-(1-S60)/(1+I60)^M60)*P60/(1+I60)*IF(ABS(1-(1-P60)*(1-0)/(1+I60))&lt;0.000000001,AF60,(1-((1-P60)*(1-0)/(1+I60))^AF60)/(1-(1-P60)*(1-0)/(1+I60))))))</x:f>
      </x:c>
      <x:c r="Z60" s="23" t="str">
        <x:f>IF(C60="","",IF(O60&lt;&gt;"Ready","Unavailable",IF(E60=3,G60*INDEX('Facilities'!$I$9:$I$108,MATCH(C60,'Facilities'!$C$9:$C$108,0))*(1-MAX(0,1-(1-N60)*Settings!$H$33)/(1+I60)^M60),G60*INDEX('Facilities'!$I$9:$I$108,MATCH(C60,'Facilities'!$C$9:$C$108,0))*(1-(1-T60)/(1+I60)^M60)*Q60/(1+I60)*IF(ABS(1-(1-Q60)*(1-0)/(1+I60))&lt;0.000000001,AF60,(1-((1-Q60)*(1-0)/(1+I60))^AF60)/(1-(1-Q60)*(1-0)/(1+I60))))))</x:f>
      </x:c>
      <x:c r="AA60" s="23" t="str">
        <x:f>IF(C60="","",IF(O60&lt;&gt;"Ready","Unavailable",IF(E60=3,G60*INDEX('Facilities'!$I$9:$I$108,MATCH(C60,'Facilities'!$C$9:$C$108,0))*(1-MAX(0,1-(1-N60)*Settings!$H$34)/(1+I60)^M60),G60*INDEX('Facilities'!$I$9:$I$108,MATCH(C60,'Facilities'!$C$9:$C$108,0))*(1-(1-U60)/(1+I60)^M60)*R60/(1+I60)*IF(ABS(1-(1-R60)*(1-0)/(1+I60))&lt;0.000000001,AF60,(1-((1-R60)*(1-0)/(1+I60))^AF60)/(1-(1-R60)*(1-0)/(1+I60))))))</x:f>
      </x:c>
      <x:c r="AB60" s="23" t="str">
        <x:f>IF(C60="","",IF(O60&lt;&gt;"Ready","Unavailable",V60*Settings!$F$32+W60*Settings!$F$33+X60*Settings!$F$34))</x:f>
      </x:c>
      <x:c r="AC60" s="23" t="str">
        <x:f>IF(C60="","",IF(O60&lt;&gt;"Ready","Unavailable",Y60*Settings!$F$32+Z60*Settings!$F$33+AA60*Settings!$F$34))</x:f>
      </x:c>
      <x:c r="AD60" s="21" t="str">
        <x:f>IF(C60="","",IF(O60&lt;&gt;"Ready","Unavailable",AB60+AC60))</x:f>
      </x:c>
      <x:c r="AE60" s="17" t="str">
        <x:f>IF(C60="","",IF(OR(O60&lt;&gt;"Ready",F60=0),"Unavailable",AB60/F60))</x:f>
      </x:c>
      <x:c r="AF60" s="44" t="str">
        <x:f>IF(C60="","",IF(E60=1,1,H60))</x:f>
      </x:c>
    </x:row>
    <x:row r="61" ht="26" customHeight="1">
      <x:c r="A61" s="1"/>
      <x:c r="B61" s="1"/>
      <x:c r="C61" s="9" t="str">
        <x:f>IF(Facilities!C61="","",Facilities!C61)</x:f>
      </x:c>
      <x:c r="D61" s="9" t="str">
        <x:f>IF(C61="","",INDEX('Facilities'!$D$9:$D$108,MATCH(C61,'Facilities'!$C$9:$C$108,0)))</x:f>
      </x:c>
      <x:c r="E61" s="9" t="str">
        <x:f>IF(C61="","",INDEX('Facilities'!$AD$9:$AD$108,MATCH(C61,'Facilities'!$C$9:$C$108,0)))</x:f>
      </x:c>
      <x:c r="F61" s="23" t="str">
        <x:f>IF(C61="","",INDEX('Facilities'!$AA$9:$AA$108,MATCH(C61,'Facilities'!$C$9:$C$108,0)))</x:f>
      </x:c>
      <x:c r="G61" s="23" t="str">
        <x:f>IF(C61="","",INDEX('Facilities'!$AB$9:$AB$108,MATCH(C61,'Facilities'!$C$9:$C$108,0)))</x:f>
      </x:c>
      <x:c r="H61" s="42" t="str">
        <x:f>IF(C61="","",INDEX('Facilities'!$J$9:$J$108,MATCH(C61,'Facilities'!$C$9:$C$108,0)))</x:f>
      </x:c>
      <x:c r="I61" s="30" t="str">
        <x:f>IF(C61="","",INDEX('Facilities'!$K$9:$K$108,MATCH(C61,'Facilities'!$C$9:$C$108,0)))</x:f>
      </x:c>
      <x:c r="J61" s="30" t="str">
        <x:f>IF(C61="","",INDEX('Borrowers'!$P$9:$P$108,MATCH(D61,'Borrowers'!$C$9:$C$108,0)))</x:f>
      </x:c>
      <x:c r="K61" s="30" t="str">
        <x:f>IF(C61="","",INDEX('Borrowers'!$Q$9:$Q$108,MATCH(D61,'Borrowers'!$C$9:$C$108,0)))</x:f>
      </x:c>
      <x:c r="L61" s="30" t="str">
        <x:f>IF(C61="","",INDEX('Facilities'!$R$9:$R$108,MATCH(C61,'Facilities'!$C$9:$C$108,0)))</x:f>
      </x:c>
      <x:c r="M61" s="42" t="str">
        <x:f>IF(C61="","",INDEX('Facilities'!$AK$9:$AK$108,MATCH(C61,'Facilities'!$C$9:$C$108,0)))</x:f>
      </x:c>
      <x:c r="N61" s="30" t="str">
        <x:f>IF(C61="","",INDEX('Facilities'!$AL$9:$AL$108,MATCH(C61,'Facilities'!$C$9:$C$108,0)))</x:f>
      </x:c>
      <x:c r="O61" s="23" t="str">
        <x:f>IF(C61="","",IF(AND(INDEX('Facilities'!$AF$9:$AF$108,MATCH(C61,'Facilities'!$C$9:$C$108,0))="Ready",Settings!$F$36="Ready"),"Ready","Review ECL inputs"))</x:f>
      </x:c>
      <x:c r="P61" s="30" t="str">
        <x:f>IF(C61="","",MIN(1,J61*Settings!$G$32))</x:f>
      </x:c>
      <x:c r="Q61" s="30" t="str">
        <x:f>IF(C61="","",MIN(1,J61*Settings!$G$33))</x:f>
      </x:c>
      <x:c r="R61" s="30" t="str">
        <x:f>IF(C61="","",MIN(1,J61*Settings!$G$34))</x:f>
      </x:c>
      <x:c r="S61" s="30" t="str">
        <x:f>IF(C61="","",MIN(1,K61*Settings!$H$32))</x:f>
      </x:c>
      <x:c r="T61" s="30" t="str">
        <x:f>IF(C61="","",MIN(1,K61*Settings!$H$33))</x:f>
      </x:c>
      <x:c r="U61" s="30" t="str">
        <x:f>IF(C61="","",MIN(1,K61*Settings!$H$34))</x:f>
      </x:c>
      <x:c r="V61" s="23" t="str">
        <x:f>IF(C61="","",IF(O61&lt;&gt;"Ready","Unavailable",IF(E61=3,F61*(1-MAX(0,1-(1-N61)*Settings!$H$32)/(1+I61)^M61),F61*(1-(1-S61)/(1+I61)^M61)*P61/(1+I61)*IF(ABS(1-(1-P61)*(1-L61)/(1+I61))&lt;0.000000001,AF61,(1-((1-P61)*(1-L61)/(1+I61))^AF61)/(1-(1-P61)*(1-L61)/(1+I61))))))</x:f>
      </x:c>
      <x:c r="W61" s="23" t="str">
        <x:f>IF(C61="","",IF(O61&lt;&gt;"Ready","Unavailable",IF(E61=3,F61*(1-MAX(0,1-(1-N61)*Settings!$H$33)/(1+I61)^M61),F61*(1-(1-T61)/(1+I61)^M61)*Q61/(1+I61)*IF(ABS(1-(1-Q61)*(1-L61)/(1+I61))&lt;0.000000001,AF61,(1-((1-Q61)*(1-L61)/(1+I61))^AF61)/(1-(1-Q61)*(1-L61)/(1+I61))))))</x:f>
      </x:c>
      <x:c r="X61" s="23" t="str">
        <x:f>IF(C61="","",IF(O61&lt;&gt;"Ready","Unavailable",IF(E61=3,F61*(1-MAX(0,1-(1-N61)*Settings!$H$34)/(1+I61)^M61),F61*(1-(1-U61)/(1+I61)^M61)*R61/(1+I61)*IF(ABS(1-(1-R61)*(1-L61)/(1+I61))&lt;0.000000001,AF61,(1-((1-R61)*(1-L61)/(1+I61))^AF61)/(1-(1-R61)*(1-L61)/(1+I61))))))</x:f>
      </x:c>
      <x:c r="Y61" s="23" t="str">
        <x:f>IF(C61="","",IF(O61&lt;&gt;"Ready","Unavailable",IF(E61=3,G61*INDEX('Facilities'!$I$9:$I$108,MATCH(C61,'Facilities'!$C$9:$C$108,0))*(1-MAX(0,1-(1-N61)*Settings!$H$32)/(1+I61)^M61),G61*INDEX('Facilities'!$I$9:$I$108,MATCH(C61,'Facilities'!$C$9:$C$108,0))*(1-(1-S61)/(1+I61)^M61)*P61/(1+I61)*IF(ABS(1-(1-P61)*(1-0)/(1+I61))&lt;0.000000001,AF61,(1-((1-P61)*(1-0)/(1+I61))^AF61)/(1-(1-P61)*(1-0)/(1+I61))))))</x:f>
      </x:c>
      <x:c r="Z61" s="23" t="str">
        <x:f>IF(C61="","",IF(O61&lt;&gt;"Ready","Unavailable",IF(E61=3,G61*INDEX('Facilities'!$I$9:$I$108,MATCH(C61,'Facilities'!$C$9:$C$108,0))*(1-MAX(0,1-(1-N61)*Settings!$H$33)/(1+I61)^M61),G61*INDEX('Facilities'!$I$9:$I$108,MATCH(C61,'Facilities'!$C$9:$C$108,0))*(1-(1-T61)/(1+I61)^M61)*Q61/(1+I61)*IF(ABS(1-(1-Q61)*(1-0)/(1+I61))&lt;0.000000001,AF61,(1-((1-Q61)*(1-0)/(1+I61))^AF61)/(1-(1-Q61)*(1-0)/(1+I61))))))</x:f>
      </x:c>
      <x:c r="AA61" s="23" t="str">
        <x:f>IF(C61="","",IF(O61&lt;&gt;"Ready","Unavailable",IF(E61=3,G61*INDEX('Facilities'!$I$9:$I$108,MATCH(C61,'Facilities'!$C$9:$C$108,0))*(1-MAX(0,1-(1-N61)*Settings!$H$34)/(1+I61)^M61),G61*INDEX('Facilities'!$I$9:$I$108,MATCH(C61,'Facilities'!$C$9:$C$108,0))*(1-(1-U61)/(1+I61)^M61)*R61/(1+I61)*IF(ABS(1-(1-R61)*(1-0)/(1+I61))&lt;0.000000001,AF61,(1-((1-R61)*(1-0)/(1+I61))^AF61)/(1-(1-R61)*(1-0)/(1+I61))))))</x:f>
      </x:c>
      <x:c r="AB61" s="23" t="str">
        <x:f>IF(C61="","",IF(O61&lt;&gt;"Ready","Unavailable",V61*Settings!$F$32+W61*Settings!$F$33+X61*Settings!$F$34))</x:f>
      </x:c>
      <x:c r="AC61" s="23" t="str">
        <x:f>IF(C61="","",IF(O61&lt;&gt;"Ready","Unavailable",Y61*Settings!$F$32+Z61*Settings!$F$33+AA61*Settings!$F$34))</x:f>
      </x:c>
      <x:c r="AD61" s="21" t="str">
        <x:f>IF(C61="","",IF(O61&lt;&gt;"Ready","Unavailable",AB61+AC61))</x:f>
      </x:c>
      <x:c r="AE61" s="17" t="str">
        <x:f>IF(C61="","",IF(OR(O61&lt;&gt;"Ready",F61=0),"Unavailable",AB61/F61))</x:f>
      </x:c>
      <x:c r="AF61" s="44" t="str">
        <x:f>IF(C61="","",IF(E61=1,1,H61))</x:f>
      </x:c>
    </x:row>
    <x:row r="62" ht="26" customHeight="1">
      <x:c r="A62" s="1"/>
      <x:c r="B62" s="1"/>
      <x:c r="C62" s="9" t="str">
        <x:f>IF(Facilities!C62="","",Facilities!C62)</x:f>
      </x:c>
      <x:c r="D62" s="9" t="str">
        <x:f>IF(C62="","",INDEX('Facilities'!$D$9:$D$108,MATCH(C62,'Facilities'!$C$9:$C$108,0)))</x:f>
      </x:c>
      <x:c r="E62" s="9" t="str">
        <x:f>IF(C62="","",INDEX('Facilities'!$AD$9:$AD$108,MATCH(C62,'Facilities'!$C$9:$C$108,0)))</x:f>
      </x:c>
      <x:c r="F62" s="23" t="str">
        <x:f>IF(C62="","",INDEX('Facilities'!$AA$9:$AA$108,MATCH(C62,'Facilities'!$C$9:$C$108,0)))</x:f>
      </x:c>
      <x:c r="G62" s="23" t="str">
        <x:f>IF(C62="","",INDEX('Facilities'!$AB$9:$AB$108,MATCH(C62,'Facilities'!$C$9:$C$108,0)))</x:f>
      </x:c>
      <x:c r="H62" s="42" t="str">
        <x:f>IF(C62="","",INDEX('Facilities'!$J$9:$J$108,MATCH(C62,'Facilities'!$C$9:$C$108,0)))</x:f>
      </x:c>
      <x:c r="I62" s="30" t="str">
        <x:f>IF(C62="","",INDEX('Facilities'!$K$9:$K$108,MATCH(C62,'Facilities'!$C$9:$C$108,0)))</x:f>
      </x:c>
      <x:c r="J62" s="30" t="str">
        <x:f>IF(C62="","",INDEX('Borrowers'!$P$9:$P$108,MATCH(D62,'Borrowers'!$C$9:$C$108,0)))</x:f>
      </x:c>
      <x:c r="K62" s="30" t="str">
        <x:f>IF(C62="","",INDEX('Borrowers'!$Q$9:$Q$108,MATCH(D62,'Borrowers'!$C$9:$C$108,0)))</x:f>
      </x:c>
      <x:c r="L62" s="30" t="str">
        <x:f>IF(C62="","",INDEX('Facilities'!$R$9:$R$108,MATCH(C62,'Facilities'!$C$9:$C$108,0)))</x:f>
      </x:c>
      <x:c r="M62" s="42" t="str">
        <x:f>IF(C62="","",INDEX('Facilities'!$AK$9:$AK$108,MATCH(C62,'Facilities'!$C$9:$C$108,0)))</x:f>
      </x:c>
      <x:c r="N62" s="30" t="str">
        <x:f>IF(C62="","",INDEX('Facilities'!$AL$9:$AL$108,MATCH(C62,'Facilities'!$C$9:$C$108,0)))</x:f>
      </x:c>
      <x:c r="O62" s="23" t="str">
        <x:f>IF(C62="","",IF(AND(INDEX('Facilities'!$AF$9:$AF$108,MATCH(C62,'Facilities'!$C$9:$C$108,0))="Ready",Settings!$F$36="Ready"),"Ready","Review ECL inputs"))</x:f>
      </x:c>
      <x:c r="P62" s="30" t="str">
        <x:f>IF(C62="","",MIN(1,J62*Settings!$G$32))</x:f>
      </x:c>
      <x:c r="Q62" s="30" t="str">
        <x:f>IF(C62="","",MIN(1,J62*Settings!$G$33))</x:f>
      </x:c>
      <x:c r="R62" s="30" t="str">
        <x:f>IF(C62="","",MIN(1,J62*Settings!$G$34))</x:f>
      </x:c>
      <x:c r="S62" s="30" t="str">
        <x:f>IF(C62="","",MIN(1,K62*Settings!$H$32))</x:f>
      </x:c>
      <x:c r="T62" s="30" t="str">
        <x:f>IF(C62="","",MIN(1,K62*Settings!$H$33))</x:f>
      </x:c>
      <x:c r="U62" s="30" t="str">
        <x:f>IF(C62="","",MIN(1,K62*Settings!$H$34))</x:f>
      </x:c>
      <x:c r="V62" s="23" t="str">
        <x:f>IF(C62="","",IF(O62&lt;&gt;"Ready","Unavailable",IF(E62=3,F62*(1-MAX(0,1-(1-N62)*Settings!$H$32)/(1+I62)^M62),F62*(1-(1-S62)/(1+I62)^M62)*P62/(1+I62)*IF(ABS(1-(1-P62)*(1-L62)/(1+I62))&lt;0.000000001,AF62,(1-((1-P62)*(1-L62)/(1+I62))^AF62)/(1-(1-P62)*(1-L62)/(1+I62))))))</x:f>
      </x:c>
      <x:c r="W62" s="23" t="str">
        <x:f>IF(C62="","",IF(O62&lt;&gt;"Ready","Unavailable",IF(E62=3,F62*(1-MAX(0,1-(1-N62)*Settings!$H$33)/(1+I62)^M62),F62*(1-(1-T62)/(1+I62)^M62)*Q62/(1+I62)*IF(ABS(1-(1-Q62)*(1-L62)/(1+I62))&lt;0.000000001,AF62,(1-((1-Q62)*(1-L62)/(1+I62))^AF62)/(1-(1-Q62)*(1-L62)/(1+I62))))))</x:f>
      </x:c>
      <x:c r="X62" s="23" t="str">
        <x:f>IF(C62="","",IF(O62&lt;&gt;"Ready","Unavailable",IF(E62=3,F62*(1-MAX(0,1-(1-N62)*Settings!$H$34)/(1+I62)^M62),F62*(1-(1-U62)/(1+I62)^M62)*R62/(1+I62)*IF(ABS(1-(1-R62)*(1-L62)/(1+I62))&lt;0.000000001,AF62,(1-((1-R62)*(1-L62)/(1+I62))^AF62)/(1-(1-R62)*(1-L62)/(1+I62))))))</x:f>
      </x:c>
      <x:c r="Y62" s="23" t="str">
        <x:f>IF(C62="","",IF(O62&lt;&gt;"Ready","Unavailable",IF(E62=3,G62*INDEX('Facilities'!$I$9:$I$108,MATCH(C62,'Facilities'!$C$9:$C$108,0))*(1-MAX(0,1-(1-N62)*Settings!$H$32)/(1+I62)^M62),G62*INDEX('Facilities'!$I$9:$I$108,MATCH(C62,'Facilities'!$C$9:$C$108,0))*(1-(1-S62)/(1+I62)^M62)*P62/(1+I62)*IF(ABS(1-(1-P62)*(1-0)/(1+I62))&lt;0.000000001,AF62,(1-((1-P62)*(1-0)/(1+I62))^AF62)/(1-(1-P62)*(1-0)/(1+I62))))))</x:f>
      </x:c>
      <x:c r="Z62" s="23" t="str">
        <x:f>IF(C62="","",IF(O62&lt;&gt;"Ready","Unavailable",IF(E62=3,G62*INDEX('Facilities'!$I$9:$I$108,MATCH(C62,'Facilities'!$C$9:$C$108,0))*(1-MAX(0,1-(1-N62)*Settings!$H$33)/(1+I62)^M62),G62*INDEX('Facilities'!$I$9:$I$108,MATCH(C62,'Facilities'!$C$9:$C$108,0))*(1-(1-T62)/(1+I62)^M62)*Q62/(1+I62)*IF(ABS(1-(1-Q62)*(1-0)/(1+I62))&lt;0.000000001,AF62,(1-((1-Q62)*(1-0)/(1+I62))^AF62)/(1-(1-Q62)*(1-0)/(1+I62))))))</x:f>
      </x:c>
      <x:c r="AA62" s="23" t="str">
        <x:f>IF(C62="","",IF(O62&lt;&gt;"Ready","Unavailable",IF(E62=3,G62*INDEX('Facilities'!$I$9:$I$108,MATCH(C62,'Facilities'!$C$9:$C$108,0))*(1-MAX(0,1-(1-N62)*Settings!$H$34)/(1+I62)^M62),G62*INDEX('Facilities'!$I$9:$I$108,MATCH(C62,'Facilities'!$C$9:$C$108,0))*(1-(1-U62)/(1+I62)^M62)*R62/(1+I62)*IF(ABS(1-(1-R62)*(1-0)/(1+I62))&lt;0.000000001,AF62,(1-((1-R62)*(1-0)/(1+I62))^AF62)/(1-(1-R62)*(1-0)/(1+I62))))))</x:f>
      </x:c>
      <x:c r="AB62" s="23" t="str">
        <x:f>IF(C62="","",IF(O62&lt;&gt;"Ready","Unavailable",V62*Settings!$F$32+W62*Settings!$F$33+X62*Settings!$F$34))</x:f>
      </x:c>
      <x:c r="AC62" s="23" t="str">
        <x:f>IF(C62="","",IF(O62&lt;&gt;"Ready","Unavailable",Y62*Settings!$F$32+Z62*Settings!$F$33+AA62*Settings!$F$34))</x:f>
      </x:c>
      <x:c r="AD62" s="21" t="str">
        <x:f>IF(C62="","",IF(O62&lt;&gt;"Ready","Unavailable",AB62+AC62))</x:f>
      </x:c>
      <x:c r="AE62" s="17" t="str">
        <x:f>IF(C62="","",IF(OR(O62&lt;&gt;"Ready",F62=0),"Unavailable",AB62/F62))</x:f>
      </x:c>
      <x:c r="AF62" s="44" t="str">
        <x:f>IF(C62="","",IF(E62=1,1,H62))</x:f>
      </x:c>
    </x:row>
    <x:row r="63" ht="26" customHeight="1">
      <x:c r="A63" s="1"/>
      <x:c r="B63" s="1"/>
      <x:c r="C63" s="9" t="str">
        <x:f>IF(Facilities!C63="","",Facilities!C63)</x:f>
      </x:c>
      <x:c r="D63" s="9" t="str">
        <x:f>IF(C63="","",INDEX('Facilities'!$D$9:$D$108,MATCH(C63,'Facilities'!$C$9:$C$108,0)))</x:f>
      </x:c>
      <x:c r="E63" s="9" t="str">
        <x:f>IF(C63="","",INDEX('Facilities'!$AD$9:$AD$108,MATCH(C63,'Facilities'!$C$9:$C$108,0)))</x:f>
      </x:c>
      <x:c r="F63" s="23" t="str">
        <x:f>IF(C63="","",INDEX('Facilities'!$AA$9:$AA$108,MATCH(C63,'Facilities'!$C$9:$C$108,0)))</x:f>
      </x:c>
      <x:c r="G63" s="23" t="str">
        <x:f>IF(C63="","",INDEX('Facilities'!$AB$9:$AB$108,MATCH(C63,'Facilities'!$C$9:$C$108,0)))</x:f>
      </x:c>
      <x:c r="H63" s="42" t="str">
        <x:f>IF(C63="","",INDEX('Facilities'!$J$9:$J$108,MATCH(C63,'Facilities'!$C$9:$C$108,0)))</x:f>
      </x:c>
      <x:c r="I63" s="30" t="str">
        <x:f>IF(C63="","",INDEX('Facilities'!$K$9:$K$108,MATCH(C63,'Facilities'!$C$9:$C$108,0)))</x:f>
      </x:c>
      <x:c r="J63" s="30" t="str">
        <x:f>IF(C63="","",INDEX('Borrowers'!$P$9:$P$108,MATCH(D63,'Borrowers'!$C$9:$C$108,0)))</x:f>
      </x:c>
      <x:c r="K63" s="30" t="str">
        <x:f>IF(C63="","",INDEX('Borrowers'!$Q$9:$Q$108,MATCH(D63,'Borrowers'!$C$9:$C$108,0)))</x:f>
      </x:c>
      <x:c r="L63" s="30" t="str">
        <x:f>IF(C63="","",INDEX('Facilities'!$R$9:$R$108,MATCH(C63,'Facilities'!$C$9:$C$108,0)))</x:f>
      </x:c>
      <x:c r="M63" s="42" t="str">
        <x:f>IF(C63="","",INDEX('Facilities'!$AK$9:$AK$108,MATCH(C63,'Facilities'!$C$9:$C$108,0)))</x:f>
      </x:c>
      <x:c r="N63" s="30" t="str">
        <x:f>IF(C63="","",INDEX('Facilities'!$AL$9:$AL$108,MATCH(C63,'Facilities'!$C$9:$C$108,0)))</x:f>
      </x:c>
      <x:c r="O63" s="23" t="str">
        <x:f>IF(C63="","",IF(AND(INDEX('Facilities'!$AF$9:$AF$108,MATCH(C63,'Facilities'!$C$9:$C$108,0))="Ready",Settings!$F$36="Ready"),"Ready","Review ECL inputs"))</x:f>
      </x:c>
      <x:c r="P63" s="30" t="str">
        <x:f>IF(C63="","",MIN(1,J63*Settings!$G$32))</x:f>
      </x:c>
      <x:c r="Q63" s="30" t="str">
        <x:f>IF(C63="","",MIN(1,J63*Settings!$G$33))</x:f>
      </x:c>
      <x:c r="R63" s="30" t="str">
        <x:f>IF(C63="","",MIN(1,J63*Settings!$G$34))</x:f>
      </x:c>
      <x:c r="S63" s="30" t="str">
        <x:f>IF(C63="","",MIN(1,K63*Settings!$H$32))</x:f>
      </x:c>
      <x:c r="T63" s="30" t="str">
        <x:f>IF(C63="","",MIN(1,K63*Settings!$H$33))</x:f>
      </x:c>
      <x:c r="U63" s="30" t="str">
        <x:f>IF(C63="","",MIN(1,K63*Settings!$H$34))</x:f>
      </x:c>
      <x:c r="V63" s="23" t="str">
        <x:f>IF(C63="","",IF(O63&lt;&gt;"Ready","Unavailable",IF(E63=3,F63*(1-MAX(0,1-(1-N63)*Settings!$H$32)/(1+I63)^M63),F63*(1-(1-S63)/(1+I63)^M63)*P63/(1+I63)*IF(ABS(1-(1-P63)*(1-L63)/(1+I63))&lt;0.000000001,AF63,(1-((1-P63)*(1-L63)/(1+I63))^AF63)/(1-(1-P63)*(1-L63)/(1+I63))))))</x:f>
      </x:c>
      <x:c r="W63" s="23" t="str">
        <x:f>IF(C63="","",IF(O63&lt;&gt;"Ready","Unavailable",IF(E63=3,F63*(1-MAX(0,1-(1-N63)*Settings!$H$33)/(1+I63)^M63),F63*(1-(1-T63)/(1+I63)^M63)*Q63/(1+I63)*IF(ABS(1-(1-Q63)*(1-L63)/(1+I63))&lt;0.000000001,AF63,(1-((1-Q63)*(1-L63)/(1+I63))^AF63)/(1-(1-Q63)*(1-L63)/(1+I63))))))</x:f>
      </x:c>
      <x:c r="X63" s="23" t="str">
        <x:f>IF(C63="","",IF(O63&lt;&gt;"Ready","Unavailable",IF(E63=3,F63*(1-MAX(0,1-(1-N63)*Settings!$H$34)/(1+I63)^M63),F63*(1-(1-U63)/(1+I63)^M63)*R63/(1+I63)*IF(ABS(1-(1-R63)*(1-L63)/(1+I63))&lt;0.000000001,AF63,(1-((1-R63)*(1-L63)/(1+I63))^AF63)/(1-(1-R63)*(1-L63)/(1+I63))))))</x:f>
      </x:c>
      <x:c r="Y63" s="23" t="str">
        <x:f>IF(C63="","",IF(O63&lt;&gt;"Ready","Unavailable",IF(E63=3,G63*INDEX('Facilities'!$I$9:$I$108,MATCH(C63,'Facilities'!$C$9:$C$108,0))*(1-MAX(0,1-(1-N63)*Settings!$H$32)/(1+I63)^M63),G63*INDEX('Facilities'!$I$9:$I$108,MATCH(C63,'Facilities'!$C$9:$C$108,0))*(1-(1-S63)/(1+I63)^M63)*P63/(1+I63)*IF(ABS(1-(1-P63)*(1-0)/(1+I63))&lt;0.000000001,AF63,(1-((1-P63)*(1-0)/(1+I63))^AF63)/(1-(1-P63)*(1-0)/(1+I63))))))</x:f>
      </x:c>
      <x:c r="Z63" s="23" t="str">
        <x:f>IF(C63="","",IF(O63&lt;&gt;"Ready","Unavailable",IF(E63=3,G63*INDEX('Facilities'!$I$9:$I$108,MATCH(C63,'Facilities'!$C$9:$C$108,0))*(1-MAX(0,1-(1-N63)*Settings!$H$33)/(1+I63)^M63),G63*INDEX('Facilities'!$I$9:$I$108,MATCH(C63,'Facilities'!$C$9:$C$108,0))*(1-(1-T63)/(1+I63)^M63)*Q63/(1+I63)*IF(ABS(1-(1-Q63)*(1-0)/(1+I63))&lt;0.000000001,AF63,(1-((1-Q63)*(1-0)/(1+I63))^AF63)/(1-(1-Q63)*(1-0)/(1+I63))))))</x:f>
      </x:c>
      <x:c r="AA63" s="23" t="str">
        <x:f>IF(C63="","",IF(O63&lt;&gt;"Ready","Unavailable",IF(E63=3,G63*INDEX('Facilities'!$I$9:$I$108,MATCH(C63,'Facilities'!$C$9:$C$108,0))*(1-MAX(0,1-(1-N63)*Settings!$H$34)/(1+I63)^M63),G63*INDEX('Facilities'!$I$9:$I$108,MATCH(C63,'Facilities'!$C$9:$C$108,0))*(1-(1-U63)/(1+I63)^M63)*R63/(1+I63)*IF(ABS(1-(1-R63)*(1-0)/(1+I63))&lt;0.000000001,AF63,(1-((1-R63)*(1-0)/(1+I63))^AF63)/(1-(1-R63)*(1-0)/(1+I63))))))</x:f>
      </x:c>
      <x:c r="AB63" s="23" t="str">
        <x:f>IF(C63="","",IF(O63&lt;&gt;"Ready","Unavailable",V63*Settings!$F$32+W63*Settings!$F$33+X63*Settings!$F$34))</x:f>
      </x:c>
      <x:c r="AC63" s="23" t="str">
        <x:f>IF(C63="","",IF(O63&lt;&gt;"Ready","Unavailable",Y63*Settings!$F$32+Z63*Settings!$F$33+AA63*Settings!$F$34))</x:f>
      </x:c>
      <x:c r="AD63" s="21" t="str">
        <x:f>IF(C63="","",IF(O63&lt;&gt;"Ready","Unavailable",AB63+AC63))</x:f>
      </x:c>
      <x:c r="AE63" s="17" t="str">
        <x:f>IF(C63="","",IF(OR(O63&lt;&gt;"Ready",F63=0),"Unavailable",AB63/F63))</x:f>
      </x:c>
      <x:c r="AF63" s="44" t="str">
        <x:f>IF(C63="","",IF(E63=1,1,H63))</x:f>
      </x:c>
    </x:row>
    <x:row r="64" ht="26" customHeight="1">
      <x:c r="A64" s="1"/>
      <x:c r="B64" s="1"/>
      <x:c r="C64" s="9" t="str">
        <x:f>IF(Facilities!C64="","",Facilities!C64)</x:f>
      </x:c>
      <x:c r="D64" s="9" t="str">
        <x:f>IF(C64="","",INDEX('Facilities'!$D$9:$D$108,MATCH(C64,'Facilities'!$C$9:$C$108,0)))</x:f>
      </x:c>
      <x:c r="E64" s="9" t="str">
        <x:f>IF(C64="","",INDEX('Facilities'!$AD$9:$AD$108,MATCH(C64,'Facilities'!$C$9:$C$108,0)))</x:f>
      </x:c>
      <x:c r="F64" s="23" t="str">
        <x:f>IF(C64="","",INDEX('Facilities'!$AA$9:$AA$108,MATCH(C64,'Facilities'!$C$9:$C$108,0)))</x:f>
      </x:c>
      <x:c r="G64" s="23" t="str">
        <x:f>IF(C64="","",INDEX('Facilities'!$AB$9:$AB$108,MATCH(C64,'Facilities'!$C$9:$C$108,0)))</x:f>
      </x:c>
      <x:c r="H64" s="42" t="str">
        <x:f>IF(C64="","",INDEX('Facilities'!$J$9:$J$108,MATCH(C64,'Facilities'!$C$9:$C$108,0)))</x:f>
      </x:c>
      <x:c r="I64" s="30" t="str">
        <x:f>IF(C64="","",INDEX('Facilities'!$K$9:$K$108,MATCH(C64,'Facilities'!$C$9:$C$108,0)))</x:f>
      </x:c>
      <x:c r="J64" s="30" t="str">
        <x:f>IF(C64="","",INDEX('Borrowers'!$P$9:$P$108,MATCH(D64,'Borrowers'!$C$9:$C$108,0)))</x:f>
      </x:c>
      <x:c r="K64" s="30" t="str">
        <x:f>IF(C64="","",INDEX('Borrowers'!$Q$9:$Q$108,MATCH(D64,'Borrowers'!$C$9:$C$108,0)))</x:f>
      </x:c>
      <x:c r="L64" s="30" t="str">
        <x:f>IF(C64="","",INDEX('Facilities'!$R$9:$R$108,MATCH(C64,'Facilities'!$C$9:$C$108,0)))</x:f>
      </x:c>
      <x:c r="M64" s="42" t="str">
        <x:f>IF(C64="","",INDEX('Facilities'!$AK$9:$AK$108,MATCH(C64,'Facilities'!$C$9:$C$108,0)))</x:f>
      </x:c>
      <x:c r="N64" s="30" t="str">
        <x:f>IF(C64="","",INDEX('Facilities'!$AL$9:$AL$108,MATCH(C64,'Facilities'!$C$9:$C$108,0)))</x:f>
      </x:c>
      <x:c r="O64" s="23" t="str">
        <x:f>IF(C64="","",IF(AND(INDEX('Facilities'!$AF$9:$AF$108,MATCH(C64,'Facilities'!$C$9:$C$108,0))="Ready",Settings!$F$36="Ready"),"Ready","Review ECL inputs"))</x:f>
      </x:c>
      <x:c r="P64" s="30" t="str">
        <x:f>IF(C64="","",MIN(1,J64*Settings!$G$32))</x:f>
      </x:c>
      <x:c r="Q64" s="30" t="str">
        <x:f>IF(C64="","",MIN(1,J64*Settings!$G$33))</x:f>
      </x:c>
      <x:c r="R64" s="30" t="str">
        <x:f>IF(C64="","",MIN(1,J64*Settings!$G$34))</x:f>
      </x:c>
      <x:c r="S64" s="30" t="str">
        <x:f>IF(C64="","",MIN(1,K64*Settings!$H$32))</x:f>
      </x:c>
      <x:c r="T64" s="30" t="str">
        <x:f>IF(C64="","",MIN(1,K64*Settings!$H$33))</x:f>
      </x:c>
      <x:c r="U64" s="30" t="str">
        <x:f>IF(C64="","",MIN(1,K64*Settings!$H$34))</x:f>
      </x:c>
      <x:c r="V64" s="23" t="str">
        <x:f>IF(C64="","",IF(O64&lt;&gt;"Ready","Unavailable",IF(E64=3,F64*(1-MAX(0,1-(1-N64)*Settings!$H$32)/(1+I64)^M64),F64*(1-(1-S64)/(1+I64)^M64)*P64/(1+I64)*IF(ABS(1-(1-P64)*(1-L64)/(1+I64))&lt;0.000000001,AF64,(1-((1-P64)*(1-L64)/(1+I64))^AF64)/(1-(1-P64)*(1-L64)/(1+I64))))))</x:f>
      </x:c>
      <x:c r="W64" s="23" t="str">
        <x:f>IF(C64="","",IF(O64&lt;&gt;"Ready","Unavailable",IF(E64=3,F64*(1-MAX(0,1-(1-N64)*Settings!$H$33)/(1+I64)^M64),F64*(1-(1-T64)/(1+I64)^M64)*Q64/(1+I64)*IF(ABS(1-(1-Q64)*(1-L64)/(1+I64))&lt;0.000000001,AF64,(1-((1-Q64)*(1-L64)/(1+I64))^AF64)/(1-(1-Q64)*(1-L64)/(1+I64))))))</x:f>
      </x:c>
      <x:c r="X64" s="23" t="str">
        <x:f>IF(C64="","",IF(O64&lt;&gt;"Ready","Unavailable",IF(E64=3,F64*(1-MAX(0,1-(1-N64)*Settings!$H$34)/(1+I64)^M64),F64*(1-(1-U64)/(1+I64)^M64)*R64/(1+I64)*IF(ABS(1-(1-R64)*(1-L64)/(1+I64))&lt;0.000000001,AF64,(1-((1-R64)*(1-L64)/(1+I64))^AF64)/(1-(1-R64)*(1-L64)/(1+I64))))))</x:f>
      </x:c>
      <x:c r="Y64" s="23" t="str">
        <x:f>IF(C64="","",IF(O64&lt;&gt;"Ready","Unavailable",IF(E64=3,G64*INDEX('Facilities'!$I$9:$I$108,MATCH(C64,'Facilities'!$C$9:$C$108,0))*(1-MAX(0,1-(1-N64)*Settings!$H$32)/(1+I64)^M64),G64*INDEX('Facilities'!$I$9:$I$108,MATCH(C64,'Facilities'!$C$9:$C$108,0))*(1-(1-S64)/(1+I64)^M64)*P64/(1+I64)*IF(ABS(1-(1-P64)*(1-0)/(1+I64))&lt;0.000000001,AF64,(1-((1-P64)*(1-0)/(1+I64))^AF64)/(1-(1-P64)*(1-0)/(1+I64))))))</x:f>
      </x:c>
      <x:c r="Z64" s="23" t="str">
        <x:f>IF(C64="","",IF(O64&lt;&gt;"Ready","Unavailable",IF(E64=3,G64*INDEX('Facilities'!$I$9:$I$108,MATCH(C64,'Facilities'!$C$9:$C$108,0))*(1-MAX(0,1-(1-N64)*Settings!$H$33)/(1+I64)^M64),G64*INDEX('Facilities'!$I$9:$I$108,MATCH(C64,'Facilities'!$C$9:$C$108,0))*(1-(1-T64)/(1+I64)^M64)*Q64/(1+I64)*IF(ABS(1-(1-Q64)*(1-0)/(1+I64))&lt;0.000000001,AF64,(1-((1-Q64)*(1-0)/(1+I64))^AF64)/(1-(1-Q64)*(1-0)/(1+I64))))))</x:f>
      </x:c>
      <x:c r="AA64" s="23" t="str">
        <x:f>IF(C64="","",IF(O64&lt;&gt;"Ready","Unavailable",IF(E64=3,G64*INDEX('Facilities'!$I$9:$I$108,MATCH(C64,'Facilities'!$C$9:$C$108,0))*(1-MAX(0,1-(1-N64)*Settings!$H$34)/(1+I64)^M64),G64*INDEX('Facilities'!$I$9:$I$108,MATCH(C64,'Facilities'!$C$9:$C$108,0))*(1-(1-U64)/(1+I64)^M64)*R64/(1+I64)*IF(ABS(1-(1-R64)*(1-0)/(1+I64))&lt;0.000000001,AF64,(1-((1-R64)*(1-0)/(1+I64))^AF64)/(1-(1-R64)*(1-0)/(1+I64))))))</x:f>
      </x:c>
      <x:c r="AB64" s="23" t="str">
        <x:f>IF(C64="","",IF(O64&lt;&gt;"Ready","Unavailable",V64*Settings!$F$32+W64*Settings!$F$33+X64*Settings!$F$34))</x:f>
      </x:c>
      <x:c r="AC64" s="23" t="str">
        <x:f>IF(C64="","",IF(O64&lt;&gt;"Ready","Unavailable",Y64*Settings!$F$32+Z64*Settings!$F$33+AA64*Settings!$F$34))</x:f>
      </x:c>
      <x:c r="AD64" s="21" t="str">
        <x:f>IF(C64="","",IF(O64&lt;&gt;"Ready","Unavailable",AB64+AC64))</x:f>
      </x:c>
      <x:c r="AE64" s="17" t="str">
        <x:f>IF(C64="","",IF(OR(O64&lt;&gt;"Ready",F64=0),"Unavailable",AB64/F64))</x:f>
      </x:c>
      <x:c r="AF64" s="44" t="str">
        <x:f>IF(C64="","",IF(E64=1,1,H64))</x:f>
      </x:c>
    </x:row>
    <x:row r="65" ht="26" customHeight="1">
      <x:c r="A65" s="1"/>
      <x:c r="B65" s="1"/>
      <x:c r="C65" s="9" t="str">
        <x:f>IF(Facilities!C65="","",Facilities!C65)</x:f>
      </x:c>
      <x:c r="D65" s="9" t="str">
        <x:f>IF(C65="","",INDEX('Facilities'!$D$9:$D$108,MATCH(C65,'Facilities'!$C$9:$C$108,0)))</x:f>
      </x:c>
      <x:c r="E65" s="9" t="str">
        <x:f>IF(C65="","",INDEX('Facilities'!$AD$9:$AD$108,MATCH(C65,'Facilities'!$C$9:$C$108,0)))</x:f>
      </x:c>
      <x:c r="F65" s="23" t="str">
        <x:f>IF(C65="","",INDEX('Facilities'!$AA$9:$AA$108,MATCH(C65,'Facilities'!$C$9:$C$108,0)))</x:f>
      </x:c>
      <x:c r="G65" s="23" t="str">
        <x:f>IF(C65="","",INDEX('Facilities'!$AB$9:$AB$108,MATCH(C65,'Facilities'!$C$9:$C$108,0)))</x:f>
      </x:c>
      <x:c r="H65" s="42" t="str">
        <x:f>IF(C65="","",INDEX('Facilities'!$J$9:$J$108,MATCH(C65,'Facilities'!$C$9:$C$108,0)))</x:f>
      </x:c>
      <x:c r="I65" s="30" t="str">
        <x:f>IF(C65="","",INDEX('Facilities'!$K$9:$K$108,MATCH(C65,'Facilities'!$C$9:$C$108,0)))</x:f>
      </x:c>
      <x:c r="J65" s="30" t="str">
        <x:f>IF(C65="","",INDEX('Borrowers'!$P$9:$P$108,MATCH(D65,'Borrowers'!$C$9:$C$108,0)))</x:f>
      </x:c>
      <x:c r="K65" s="30" t="str">
        <x:f>IF(C65="","",INDEX('Borrowers'!$Q$9:$Q$108,MATCH(D65,'Borrowers'!$C$9:$C$108,0)))</x:f>
      </x:c>
      <x:c r="L65" s="30" t="str">
        <x:f>IF(C65="","",INDEX('Facilities'!$R$9:$R$108,MATCH(C65,'Facilities'!$C$9:$C$108,0)))</x:f>
      </x:c>
      <x:c r="M65" s="42" t="str">
        <x:f>IF(C65="","",INDEX('Facilities'!$AK$9:$AK$108,MATCH(C65,'Facilities'!$C$9:$C$108,0)))</x:f>
      </x:c>
      <x:c r="N65" s="30" t="str">
        <x:f>IF(C65="","",INDEX('Facilities'!$AL$9:$AL$108,MATCH(C65,'Facilities'!$C$9:$C$108,0)))</x:f>
      </x:c>
      <x:c r="O65" s="23" t="str">
        <x:f>IF(C65="","",IF(AND(INDEX('Facilities'!$AF$9:$AF$108,MATCH(C65,'Facilities'!$C$9:$C$108,0))="Ready",Settings!$F$36="Ready"),"Ready","Review ECL inputs"))</x:f>
      </x:c>
      <x:c r="P65" s="30" t="str">
        <x:f>IF(C65="","",MIN(1,J65*Settings!$G$32))</x:f>
      </x:c>
      <x:c r="Q65" s="30" t="str">
        <x:f>IF(C65="","",MIN(1,J65*Settings!$G$33))</x:f>
      </x:c>
      <x:c r="R65" s="30" t="str">
        <x:f>IF(C65="","",MIN(1,J65*Settings!$G$34))</x:f>
      </x:c>
      <x:c r="S65" s="30" t="str">
        <x:f>IF(C65="","",MIN(1,K65*Settings!$H$32))</x:f>
      </x:c>
      <x:c r="T65" s="30" t="str">
        <x:f>IF(C65="","",MIN(1,K65*Settings!$H$33))</x:f>
      </x:c>
      <x:c r="U65" s="30" t="str">
        <x:f>IF(C65="","",MIN(1,K65*Settings!$H$34))</x:f>
      </x:c>
      <x:c r="V65" s="23" t="str">
        <x:f>IF(C65="","",IF(O65&lt;&gt;"Ready","Unavailable",IF(E65=3,F65*(1-MAX(0,1-(1-N65)*Settings!$H$32)/(1+I65)^M65),F65*(1-(1-S65)/(1+I65)^M65)*P65/(1+I65)*IF(ABS(1-(1-P65)*(1-L65)/(1+I65))&lt;0.000000001,AF65,(1-((1-P65)*(1-L65)/(1+I65))^AF65)/(1-(1-P65)*(1-L65)/(1+I65))))))</x:f>
      </x:c>
      <x:c r="W65" s="23" t="str">
        <x:f>IF(C65="","",IF(O65&lt;&gt;"Ready","Unavailable",IF(E65=3,F65*(1-MAX(0,1-(1-N65)*Settings!$H$33)/(1+I65)^M65),F65*(1-(1-T65)/(1+I65)^M65)*Q65/(1+I65)*IF(ABS(1-(1-Q65)*(1-L65)/(1+I65))&lt;0.000000001,AF65,(1-((1-Q65)*(1-L65)/(1+I65))^AF65)/(1-(1-Q65)*(1-L65)/(1+I65))))))</x:f>
      </x:c>
      <x:c r="X65" s="23" t="str">
        <x:f>IF(C65="","",IF(O65&lt;&gt;"Ready","Unavailable",IF(E65=3,F65*(1-MAX(0,1-(1-N65)*Settings!$H$34)/(1+I65)^M65),F65*(1-(1-U65)/(1+I65)^M65)*R65/(1+I65)*IF(ABS(1-(1-R65)*(1-L65)/(1+I65))&lt;0.000000001,AF65,(1-((1-R65)*(1-L65)/(1+I65))^AF65)/(1-(1-R65)*(1-L65)/(1+I65))))))</x:f>
      </x:c>
      <x:c r="Y65" s="23" t="str">
        <x:f>IF(C65="","",IF(O65&lt;&gt;"Ready","Unavailable",IF(E65=3,G65*INDEX('Facilities'!$I$9:$I$108,MATCH(C65,'Facilities'!$C$9:$C$108,0))*(1-MAX(0,1-(1-N65)*Settings!$H$32)/(1+I65)^M65),G65*INDEX('Facilities'!$I$9:$I$108,MATCH(C65,'Facilities'!$C$9:$C$108,0))*(1-(1-S65)/(1+I65)^M65)*P65/(1+I65)*IF(ABS(1-(1-P65)*(1-0)/(1+I65))&lt;0.000000001,AF65,(1-((1-P65)*(1-0)/(1+I65))^AF65)/(1-(1-P65)*(1-0)/(1+I65))))))</x:f>
      </x:c>
      <x:c r="Z65" s="23" t="str">
        <x:f>IF(C65="","",IF(O65&lt;&gt;"Ready","Unavailable",IF(E65=3,G65*INDEX('Facilities'!$I$9:$I$108,MATCH(C65,'Facilities'!$C$9:$C$108,0))*(1-MAX(0,1-(1-N65)*Settings!$H$33)/(1+I65)^M65),G65*INDEX('Facilities'!$I$9:$I$108,MATCH(C65,'Facilities'!$C$9:$C$108,0))*(1-(1-T65)/(1+I65)^M65)*Q65/(1+I65)*IF(ABS(1-(1-Q65)*(1-0)/(1+I65))&lt;0.000000001,AF65,(1-((1-Q65)*(1-0)/(1+I65))^AF65)/(1-(1-Q65)*(1-0)/(1+I65))))))</x:f>
      </x:c>
      <x:c r="AA65" s="23" t="str">
        <x:f>IF(C65="","",IF(O65&lt;&gt;"Ready","Unavailable",IF(E65=3,G65*INDEX('Facilities'!$I$9:$I$108,MATCH(C65,'Facilities'!$C$9:$C$108,0))*(1-MAX(0,1-(1-N65)*Settings!$H$34)/(1+I65)^M65),G65*INDEX('Facilities'!$I$9:$I$108,MATCH(C65,'Facilities'!$C$9:$C$108,0))*(1-(1-U65)/(1+I65)^M65)*R65/(1+I65)*IF(ABS(1-(1-R65)*(1-0)/(1+I65))&lt;0.000000001,AF65,(1-((1-R65)*(1-0)/(1+I65))^AF65)/(1-(1-R65)*(1-0)/(1+I65))))))</x:f>
      </x:c>
      <x:c r="AB65" s="23" t="str">
        <x:f>IF(C65="","",IF(O65&lt;&gt;"Ready","Unavailable",V65*Settings!$F$32+W65*Settings!$F$33+X65*Settings!$F$34))</x:f>
      </x:c>
      <x:c r="AC65" s="23" t="str">
        <x:f>IF(C65="","",IF(O65&lt;&gt;"Ready","Unavailable",Y65*Settings!$F$32+Z65*Settings!$F$33+AA65*Settings!$F$34))</x:f>
      </x:c>
      <x:c r="AD65" s="21" t="str">
        <x:f>IF(C65="","",IF(O65&lt;&gt;"Ready","Unavailable",AB65+AC65))</x:f>
      </x:c>
      <x:c r="AE65" s="17" t="str">
        <x:f>IF(C65="","",IF(OR(O65&lt;&gt;"Ready",F65=0),"Unavailable",AB65/F65))</x:f>
      </x:c>
      <x:c r="AF65" s="44" t="str">
        <x:f>IF(C65="","",IF(E65=1,1,H65))</x:f>
      </x:c>
    </x:row>
    <x:row r="66" ht="26" customHeight="1">
      <x:c r="A66" s="1"/>
      <x:c r="B66" s="1"/>
      <x:c r="C66" s="9" t="str">
        <x:f>IF(Facilities!C66="","",Facilities!C66)</x:f>
      </x:c>
      <x:c r="D66" s="9" t="str">
        <x:f>IF(C66="","",INDEX('Facilities'!$D$9:$D$108,MATCH(C66,'Facilities'!$C$9:$C$108,0)))</x:f>
      </x:c>
      <x:c r="E66" s="9" t="str">
        <x:f>IF(C66="","",INDEX('Facilities'!$AD$9:$AD$108,MATCH(C66,'Facilities'!$C$9:$C$108,0)))</x:f>
      </x:c>
      <x:c r="F66" s="23" t="str">
        <x:f>IF(C66="","",INDEX('Facilities'!$AA$9:$AA$108,MATCH(C66,'Facilities'!$C$9:$C$108,0)))</x:f>
      </x:c>
      <x:c r="G66" s="23" t="str">
        <x:f>IF(C66="","",INDEX('Facilities'!$AB$9:$AB$108,MATCH(C66,'Facilities'!$C$9:$C$108,0)))</x:f>
      </x:c>
      <x:c r="H66" s="42" t="str">
        <x:f>IF(C66="","",INDEX('Facilities'!$J$9:$J$108,MATCH(C66,'Facilities'!$C$9:$C$108,0)))</x:f>
      </x:c>
      <x:c r="I66" s="30" t="str">
        <x:f>IF(C66="","",INDEX('Facilities'!$K$9:$K$108,MATCH(C66,'Facilities'!$C$9:$C$108,0)))</x:f>
      </x:c>
      <x:c r="J66" s="30" t="str">
        <x:f>IF(C66="","",INDEX('Borrowers'!$P$9:$P$108,MATCH(D66,'Borrowers'!$C$9:$C$108,0)))</x:f>
      </x:c>
      <x:c r="K66" s="30" t="str">
        <x:f>IF(C66="","",INDEX('Borrowers'!$Q$9:$Q$108,MATCH(D66,'Borrowers'!$C$9:$C$108,0)))</x:f>
      </x:c>
      <x:c r="L66" s="30" t="str">
        <x:f>IF(C66="","",INDEX('Facilities'!$R$9:$R$108,MATCH(C66,'Facilities'!$C$9:$C$108,0)))</x:f>
      </x:c>
      <x:c r="M66" s="42" t="str">
        <x:f>IF(C66="","",INDEX('Facilities'!$AK$9:$AK$108,MATCH(C66,'Facilities'!$C$9:$C$108,0)))</x:f>
      </x:c>
      <x:c r="N66" s="30" t="str">
        <x:f>IF(C66="","",INDEX('Facilities'!$AL$9:$AL$108,MATCH(C66,'Facilities'!$C$9:$C$108,0)))</x:f>
      </x:c>
      <x:c r="O66" s="23" t="str">
        <x:f>IF(C66="","",IF(AND(INDEX('Facilities'!$AF$9:$AF$108,MATCH(C66,'Facilities'!$C$9:$C$108,0))="Ready",Settings!$F$36="Ready"),"Ready","Review ECL inputs"))</x:f>
      </x:c>
      <x:c r="P66" s="30" t="str">
        <x:f>IF(C66="","",MIN(1,J66*Settings!$G$32))</x:f>
      </x:c>
      <x:c r="Q66" s="30" t="str">
        <x:f>IF(C66="","",MIN(1,J66*Settings!$G$33))</x:f>
      </x:c>
      <x:c r="R66" s="30" t="str">
        <x:f>IF(C66="","",MIN(1,J66*Settings!$G$34))</x:f>
      </x:c>
      <x:c r="S66" s="30" t="str">
        <x:f>IF(C66="","",MIN(1,K66*Settings!$H$32))</x:f>
      </x:c>
      <x:c r="T66" s="30" t="str">
        <x:f>IF(C66="","",MIN(1,K66*Settings!$H$33))</x:f>
      </x:c>
      <x:c r="U66" s="30" t="str">
        <x:f>IF(C66="","",MIN(1,K66*Settings!$H$34))</x:f>
      </x:c>
      <x:c r="V66" s="23" t="str">
        <x:f>IF(C66="","",IF(O66&lt;&gt;"Ready","Unavailable",IF(E66=3,F66*(1-MAX(0,1-(1-N66)*Settings!$H$32)/(1+I66)^M66),F66*(1-(1-S66)/(1+I66)^M66)*P66/(1+I66)*IF(ABS(1-(1-P66)*(1-L66)/(1+I66))&lt;0.000000001,AF66,(1-((1-P66)*(1-L66)/(1+I66))^AF66)/(1-(1-P66)*(1-L66)/(1+I66))))))</x:f>
      </x:c>
      <x:c r="W66" s="23" t="str">
        <x:f>IF(C66="","",IF(O66&lt;&gt;"Ready","Unavailable",IF(E66=3,F66*(1-MAX(0,1-(1-N66)*Settings!$H$33)/(1+I66)^M66),F66*(1-(1-T66)/(1+I66)^M66)*Q66/(1+I66)*IF(ABS(1-(1-Q66)*(1-L66)/(1+I66))&lt;0.000000001,AF66,(1-((1-Q66)*(1-L66)/(1+I66))^AF66)/(1-(1-Q66)*(1-L66)/(1+I66))))))</x:f>
      </x:c>
      <x:c r="X66" s="23" t="str">
        <x:f>IF(C66="","",IF(O66&lt;&gt;"Ready","Unavailable",IF(E66=3,F66*(1-MAX(0,1-(1-N66)*Settings!$H$34)/(1+I66)^M66),F66*(1-(1-U66)/(1+I66)^M66)*R66/(1+I66)*IF(ABS(1-(1-R66)*(1-L66)/(1+I66))&lt;0.000000001,AF66,(1-((1-R66)*(1-L66)/(1+I66))^AF66)/(1-(1-R66)*(1-L66)/(1+I66))))))</x:f>
      </x:c>
      <x:c r="Y66" s="23" t="str">
        <x:f>IF(C66="","",IF(O66&lt;&gt;"Ready","Unavailable",IF(E66=3,G66*INDEX('Facilities'!$I$9:$I$108,MATCH(C66,'Facilities'!$C$9:$C$108,0))*(1-MAX(0,1-(1-N66)*Settings!$H$32)/(1+I66)^M66),G66*INDEX('Facilities'!$I$9:$I$108,MATCH(C66,'Facilities'!$C$9:$C$108,0))*(1-(1-S66)/(1+I66)^M66)*P66/(1+I66)*IF(ABS(1-(1-P66)*(1-0)/(1+I66))&lt;0.000000001,AF66,(1-((1-P66)*(1-0)/(1+I66))^AF66)/(1-(1-P66)*(1-0)/(1+I66))))))</x:f>
      </x:c>
      <x:c r="Z66" s="23" t="str">
        <x:f>IF(C66="","",IF(O66&lt;&gt;"Ready","Unavailable",IF(E66=3,G66*INDEX('Facilities'!$I$9:$I$108,MATCH(C66,'Facilities'!$C$9:$C$108,0))*(1-MAX(0,1-(1-N66)*Settings!$H$33)/(1+I66)^M66),G66*INDEX('Facilities'!$I$9:$I$108,MATCH(C66,'Facilities'!$C$9:$C$108,0))*(1-(1-T66)/(1+I66)^M66)*Q66/(1+I66)*IF(ABS(1-(1-Q66)*(1-0)/(1+I66))&lt;0.000000001,AF66,(1-((1-Q66)*(1-0)/(1+I66))^AF66)/(1-(1-Q66)*(1-0)/(1+I66))))))</x:f>
      </x:c>
      <x:c r="AA66" s="23" t="str">
        <x:f>IF(C66="","",IF(O66&lt;&gt;"Ready","Unavailable",IF(E66=3,G66*INDEX('Facilities'!$I$9:$I$108,MATCH(C66,'Facilities'!$C$9:$C$108,0))*(1-MAX(0,1-(1-N66)*Settings!$H$34)/(1+I66)^M66),G66*INDEX('Facilities'!$I$9:$I$108,MATCH(C66,'Facilities'!$C$9:$C$108,0))*(1-(1-U66)/(1+I66)^M66)*R66/(1+I66)*IF(ABS(1-(1-R66)*(1-0)/(1+I66))&lt;0.000000001,AF66,(1-((1-R66)*(1-0)/(1+I66))^AF66)/(1-(1-R66)*(1-0)/(1+I66))))))</x:f>
      </x:c>
      <x:c r="AB66" s="23" t="str">
        <x:f>IF(C66="","",IF(O66&lt;&gt;"Ready","Unavailable",V66*Settings!$F$32+W66*Settings!$F$33+X66*Settings!$F$34))</x:f>
      </x:c>
      <x:c r="AC66" s="23" t="str">
        <x:f>IF(C66="","",IF(O66&lt;&gt;"Ready","Unavailable",Y66*Settings!$F$32+Z66*Settings!$F$33+AA66*Settings!$F$34))</x:f>
      </x:c>
      <x:c r="AD66" s="21" t="str">
        <x:f>IF(C66="","",IF(O66&lt;&gt;"Ready","Unavailable",AB66+AC66))</x:f>
      </x:c>
      <x:c r="AE66" s="17" t="str">
        <x:f>IF(C66="","",IF(OR(O66&lt;&gt;"Ready",F66=0),"Unavailable",AB66/F66))</x:f>
      </x:c>
      <x:c r="AF66" s="44" t="str">
        <x:f>IF(C66="","",IF(E66=1,1,H66))</x:f>
      </x:c>
    </x:row>
    <x:row r="67" ht="26" customHeight="1">
      <x:c r="A67" s="1"/>
      <x:c r="B67" s="1"/>
      <x:c r="C67" s="9" t="str">
        <x:f>IF(Facilities!C67="","",Facilities!C67)</x:f>
      </x:c>
      <x:c r="D67" s="9" t="str">
        <x:f>IF(C67="","",INDEX('Facilities'!$D$9:$D$108,MATCH(C67,'Facilities'!$C$9:$C$108,0)))</x:f>
      </x:c>
      <x:c r="E67" s="9" t="str">
        <x:f>IF(C67="","",INDEX('Facilities'!$AD$9:$AD$108,MATCH(C67,'Facilities'!$C$9:$C$108,0)))</x:f>
      </x:c>
      <x:c r="F67" s="23" t="str">
        <x:f>IF(C67="","",INDEX('Facilities'!$AA$9:$AA$108,MATCH(C67,'Facilities'!$C$9:$C$108,0)))</x:f>
      </x:c>
      <x:c r="G67" s="23" t="str">
        <x:f>IF(C67="","",INDEX('Facilities'!$AB$9:$AB$108,MATCH(C67,'Facilities'!$C$9:$C$108,0)))</x:f>
      </x:c>
      <x:c r="H67" s="42" t="str">
        <x:f>IF(C67="","",INDEX('Facilities'!$J$9:$J$108,MATCH(C67,'Facilities'!$C$9:$C$108,0)))</x:f>
      </x:c>
      <x:c r="I67" s="30" t="str">
        <x:f>IF(C67="","",INDEX('Facilities'!$K$9:$K$108,MATCH(C67,'Facilities'!$C$9:$C$108,0)))</x:f>
      </x:c>
      <x:c r="J67" s="30" t="str">
        <x:f>IF(C67="","",INDEX('Borrowers'!$P$9:$P$108,MATCH(D67,'Borrowers'!$C$9:$C$108,0)))</x:f>
      </x:c>
      <x:c r="K67" s="30" t="str">
        <x:f>IF(C67="","",INDEX('Borrowers'!$Q$9:$Q$108,MATCH(D67,'Borrowers'!$C$9:$C$108,0)))</x:f>
      </x:c>
      <x:c r="L67" s="30" t="str">
        <x:f>IF(C67="","",INDEX('Facilities'!$R$9:$R$108,MATCH(C67,'Facilities'!$C$9:$C$108,0)))</x:f>
      </x:c>
      <x:c r="M67" s="42" t="str">
        <x:f>IF(C67="","",INDEX('Facilities'!$AK$9:$AK$108,MATCH(C67,'Facilities'!$C$9:$C$108,0)))</x:f>
      </x:c>
      <x:c r="N67" s="30" t="str">
        <x:f>IF(C67="","",INDEX('Facilities'!$AL$9:$AL$108,MATCH(C67,'Facilities'!$C$9:$C$108,0)))</x:f>
      </x:c>
      <x:c r="O67" s="23" t="str">
        <x:f>IF(C67="","",IF(AND(INDEX('Facilities'!$AF$9:$AF$108,MATCH(C67,'Facilities'!$C$9:$C$108,0))="Ready",Settings!$F$36="Ready"),"Ready","Review ECL inputs"))</x:f>
      </x:c>
      <x:c r="P67" s="30" t="str">
        <x:f>IF(C67="","",MIN(1,J67*Settings!$G$32))</x:f>
      </x:c>
      <x:c r="Q67" s="30" t="str">
        <x:f>IF(C67="","",MIN(1,J67*Settings!$G$33))</x:f>
      </x:c>
      <x:c r="R67" s="30" t="str">
        <x:f>IF(C67="","",MIN(1,J67*Settings!$G$34))</x:f>
      </x:c>
      <x:c r="S67" s="30" t="str">
        <x:f>IF(C67="","",MIN(1,K67*Settings!$H$32))</x:f>
      </x:c>
      <x:c r="T67" s="30" t="str">
        <x:f>IF(C67="","",MIN(1,K67*Settings!$H$33))</x:f>
      </x:c>
      <x:c r="U67" s="30" t="str">
        <x:f>IF(C67="","",MIN(1,K67*Settings!$H$34))</x:f>
      </x:c>
      <x:c r="V67" s="23" t="str">
        <x:f>IF(C67="","",IF(O67&lt;&gt;"Ready","Unavailable",IF(E67=3,F67*(1-MAX(0,1-(1-N67)*Settings!$H$32)/(1+I67)^M67),F67*(1-(1-S67)/(1+I67)^M67)*P67/(1+I67)*IF(ABS(1-(1-P67)*(1-L67)/(1+I67))&lt;0.000000001,AF67,(1-((1-P67)*(1-L67)/(1+I67))^AF67)/(1-(1-P67)*(1-L67)/(1+I67))))))</x:f>
      </x:c>
      <x:c r="W67" s="23" t="str">
        <x:f>IF(C67="","",IF(O67&lt;&gt;"Ready","Unavailable",IF(E67=3,F67*(1-MAX(0,1-(1-N67)*Settings!$H$33)/(1+I67)^M67),F67*(1-(1-T67)/(1+I67)^M67)*Q67/(1+I67)*IF(ABS(1-(1-Q67)*(1-L67)/(1+I67))&lt;0.000000001,AF67,(1-((1-Q67)*(1-L67)/(1+I67))^AF67)/(1-(1-Q67)*(1-L67)/(1+I67))))))</x:f>
      </x:c>
      <x:c r="X67" s="23" t="str">
        <x:f>IF(C67="","",IF(O67&lt;&gt;"Ready","Unavailable",IF(E67=3,F67*(1-MAX(0,1-(1-N67)*Settings!$H$34)/(1+I67)^M67),F67*(1-(1-U67)/(1+I67)^M67)*R67/(1+I67)*IF(ABS(1-(1-R67)*(1-L67)/(1+I67))&lt;0.000000001,AF67,(1-((1-R67)*(1-L67)/(1+I67))^AF67)/(1-(1-R67)*(1-L67)/(1+I67))))))</x:f>
      </x:c>
      <x:c r="Y67" s="23" t="str">
        <x:f>IF(C67="","",IF(O67&lt;&gt;"Ready","Unavailable",IF(E67=3,G67*INDEX('Facilities'!$I$9:$I$108,MATCH(C67,'Facilities'!$C$9:$C$108,0))*(1-MAX(0,1-(1-N67)*Settings!$H$32)/(1+I67)^M67),G67*INDEX('Facilities'!$I$9:$I$108,MATCH(C67,'Facilities'!$C$9:$C$108,0))*(1-(1-S67)/(1+I67)^M67)*P67/(1+I67)*IF(ABS(1-(1-P67)*(1-0)/(1+I67))&lt;0.000000001,AF67,(1-((1-P67)*(1-0)/(1+I67))^AF67)/(1-(1-P67)*(1-0)/(1+I67))))))</x:f>
      </x:c>
      <x:c r="Z67" s="23" t="str">
        <x:f>IF(C67="","",IF(O67&lt;&gt;"Ready","Unavailable",IF(E67=3,G67*INDEX('Facilities'!$I$9:$I$108,MATCH(C67,'Facilities'!$C$9:$C$108,0))*(1-MAX(0,1-(1-N67)*Settings!$H$33)/(1+I67)^M67),G67*INDEX('Facilities'!$I$9:$I$108,MATCH(C67,'Facilities'!$C$9:$C$108,0))*(1-(1-T67)/(1+I67)^M67)*Q67/(1+I67)*IF(ABS(1-(1-Q67)*(1-0)/(1+I67))&lt;0.000000001,AF67,(1-((1-Q67)*(1-0)/(1+I67))^AF67)/(1-(1-Q67)*(1-0)/(1+I67))))))</x:f>
      </x:c>
      <x:c r="AA67" s="23" t="str">
        <x:f>IF(C67="","",IF(O67&lt;&gt;"Ready","Unavailable",IF(E67=3,G67*INDEX('Facilities'!$I$9:$I$108,MATCH(C67,'Facilities'!$C$9:$C$108,0))*(1-MAX(0,1-(1-N67)*Settings!$H$34)/(1+I67)^M67),G67*INDEX('Facilities'!$I$9:$I$108,MATCH(C67,'Facilities'!$C$9:$C$108,0))*(1-(1-U67)/(1+I67)^M67)*R67/(1+I67)*IF(ABS(1-(1-R67)*(1-0)/(1+I67))&lt;0.000000001,AF67,(1-((1-R67)*(1-0)/(1+I67))^AF67)/(1-(1-R67)*(1-0)/(1+I67))))))</x:f>
      </x:c>
      <x:c r="AB67" s="23" t="str">
        <x:f>IF(C67="","",IF(O67&lt;&gt;"Ready","Unavailable",V67*Settings!$F$32+W67*Settings!$F$33+X67*Settings!$F$34))</x:f>
      </x:c>
      <x:c r="AC67" s="23" t="str">
        <x:f>IF(C67="","",IF(O67&lt;&gt;"Ready","Unavailable",Y67*Settings!$F$32+Z67*Settings!$F$33+AA67*Settings!$F$34))</x:f>
      </x:c>
      <x:c r="AD67" s="21" t="str">
        <x:f>IF(C67="","",IF(O67&lt;&gt;"Ready","Unavailable",AB67+AC67))</x:f>
      </x:c>
      <x:c r="AE67" s="17" t="str">
        <x:f>IF(C67="","",IF(OR(O67&lt;&gt;"Ready",F67=0),"Unavailable",AB67/F67))</x:f>
      </x:c>
      <x:c r="AF67" s="44" t="str">
        <x:f>IF(C67="","",IF(E67=1,1,H67))</x:f>
      </x:c>
    </x:row>
    <x:row r="68" ht="26" customHeight="1">
      <x:c r="A68" s="1"/>
      <x:c r="B68" s="1"/>
      <x:c r="C68" s="9" t="str">
        <x:f>IF(Facilities!C68="","",Facilities!C68)</x:f>
      </x:c>
      <x:c r="D68" s="9" t="str">
        <x:f>IF(C68="","",INDEX('Facilities'!$D$9:$D$108,MATCH(C68,'Facilities'!$C$9:$C$108,0)))</x:f>
      </x:c>
      <x:c r="E68" s="9" t="str">
        <x:f>IF(C68="","",INDEX('Facilities'!$AD$9:$AD$108,MATCH(C68,'Facilities'!$C$9:$C$108,0)))</x:f>
      </x:c>
      <x:c r="F68" s="23" t="str">
        <x:f>IF(C68="","",INDEX('Facilities'!$AA$9:$AA$108,MATCH(C68,'Facilities'!$C$9:$C$108,0)))</x:f>
      </x:c>
      <x:c r="G68" s="23" t="str">
        <x:f>IF(C68="","",INDEX('Facilities'!$AB$9:$AB$108,MATCH(C68,'Facilities'!$C$9:$C$108,0)))</x:f>
      </x:c>
      <x:c r="H68" s="42" t="str">
        <x:f>IF(C68="","",INDEX('Facilities'!$J$9:$J$108,MATCH(C68,'Facilities'!$C$9:$C$108,0)))</x:f>
      </x:c>
      <x:c r="I68" s="30" t="str">
        <x:f>IF(C68="","",INDEX('Facilities'!$K$9:$K$108,MATCH(C68,'Facilities'!$C$9:$C$108,0)))</x:f>
      </x:c>
      <x:c r="J68" s="30" t="str">
        <x:f>IF(C68="","",INDEX('Borrowers'!$P$9:$P$108,MATCH(D68,'Borrowers'!$C$9:$C$108,0)))</x:f>
      </x:c>
      <x:c r="K68" s="30" t="str">
        <x:f>IF(C68="","",INDEX('Borrowers'!$Q$9:$Q$108,MATCH(D68,'Borrowers'!$C$9:$C$108,0)))</x:f>
      </x:c>
      <x:c r="L68" s="30" t="str">
        <x:f>IF(C68="","",INDEX('Facilities'!$R$9:$R$108,MATCH(C68,'Facilities'!$C$9:$C$108,0)))</x:f>
      </x:c>
      <x:c r="M68" s="42" t="str">
        <x:f>IF(C68="","",INDEX('Facilities'!$AK$9:$AK$108,MATCH(C68,'Facilities'!$C$9:$C$108,0)))</x:f>
      </x:c>
      <x:c r="N68" s="30" t="str">
        <x:f>IF(C68="","",INDEX('Facilities'!$AL$9:$AL$108,MATCH(C68,'Facilities'!$C$9:$C$108,0)))</x:f>
      </x:c>
      <x:c r="O68" s="23" t="str">
        <x:f>IF(C68="","",IF(AND(INDEX('Facilities'!$AF$9:$AF$108,MATCH(C68,'Facilities'!$C$9:$C$108,0))="Ready",Settings!$F$36="Ready"),"Ready","Review ECL inputs"))</x:f>
      </x:c>
      <x:c r="P68" s="30" t="str">
        <x:f>IF(C68="","",MIN(1,J68*Settings!$G$32))</x:f>
      </x:c>
      <x:c r="Q68" s="30" t="str">
        <x:f>IF(C68="","",MIN(1,J68*Settings!$G$33))</x:f>
      </x:c>
      <x:c r="R68" s="30" t="str">
        <x:f>IF(C68="","",MIN(1,J68*Settings!$G$34))</x:f>
      </x:c>
      <x:c r="S68" s="30" t="str">
        <x:f>IF(C68="","",MIN(1,K68*Settings!$H$32))</x:f>
      </x:c>
      <x:c r="T68" s="30" t="str">
        <x:f>IF(C68="","",MIN(1,K68*Settings!$H$33))</x:f>
      </x:c>
      <x:c r="U68" s="30" t="str">
        <x:f>IF(C68="","",MIN(1,K68*Settings!$H$34))</x:f>
      </x:c>
      <x:c r="V68" s="23" t="str">
        <x:f>IF(C68="","",IF(O68&lt;&gt;"Ready","Unavailable",IF(E68=3,F68*(1-MAX(0,1-(1-N68)*Settings!$H$32)/(1+I68)^M68),F68*(1-(1-S68)/(1+I68)^M68)*P68/(1+I68)*IF(ABS(1-(1-P68)*(1-L68)/(1+I68))&lt;0.000000001,AF68,(1-((1-P68)*(1-L68)/(1+I68))^AF68)/(1-(1-P68)*(1-L68)/(1+I68))))))</x:f>
      </x:c>
      <x:c r="W68" s="23" t="str">
        <x:f>IF(C68="","",IF(O68&lt;&gt;"Ready","Unavailable",IF(E68=3,F68*(1-MAX(0,1-(1-N68)*Settings!$H$33)/(1+I68)^M68),F68*(1-(1-T68)/(1+I68)^M68)*Q68/(1+I68)*IF(ABS(1-(1-Q68)*(1-L68)/(1+I68))&lt;0.000000001,AF68,(1-((1-Q68)*(1-L68)/(1+I68))^AF68)/(1-(1-Q68)*(1-L68)/(1+I68))))))</x:f>
      </x:c>
      <x:c r="X68" s="23" t="str">
        <x:f>IF(C68="","",IF(O68&lt;&gt;"Ready","Unavailable",IF(E68=3,F68*(1-MAX(0,1-(1-N68)*Settings!$H$34)/(1+I68)^M68),F68*(1-(1-U68)/(1+I68)^M68)*R68/(1+I68)*IF(ABS(1-(1-R68)*(1-L68)/(1+I68))&lt;0.000000001,AF68,(1-((1-R68)*(1-L68)/(1+I68))^AF68)/(1-(1-R68)*(1-L68)/(1+I68))))))</x:f>
      </x:c>
      <x:c r="Y68" s="23" t="str">
        <x:f>IF(C68="","",IF(O68&lt;&gt;"Ready","Unavailable",IF(E68=3,G68*INDEX('Facilities'!$I$9:$I$108,MATCH(C68,'Facilities'!$C$9:$C$108,0))*(1-MAX(0,1-(1-N68)*Settings!$H$32)/(1+I68)^M68),G68*INDEX('Facilities'!$I$9:$I$108,MATCH(C68,'Facilities'!$C$9:$C$108,0))*(1-(1-S68)/(1+I68)^M68)*P68/(1+I68)*IF(ABS(1-(1-P68)*(1-0)/(1+I68))&lt;0.000000001,AF68,(1-((1-P68)*(1-0)/(1+I68))^AF68)/(1-(1-P68)*(1-0)/(1+I68))))))</x:f>
      </x:c>
      <x:c r="Z68" s="23" t="str">
        <x:f>IF(C68="","",IF(O68&lt;&gt;"Ready","Unavailable",IF(E68=3,G68*INDEX('Facilities'!$I$9:$I$108,MATCH(C68,'Facilities'!$C$9:$C$108,0))*(1-MAX(0,1-(1-N68)*Settings!$H$33)/(1+I68)^M68),G68*INDEX('Facilities'!$I$9:$I$108,MATCH(C68,'Facilities'!$C$9:$C$108,0))*(1-(1-T68)/(1+I68)^M68)*Q68/(1+I68)*IF(ABS(1-(1-Q68)*(1-0)/(1+I68))&lt;0.000000001,AF68,(1-((1-Q68)*(1-0)/(1+I68))^AF68)/(1-(1-Q68)*(1-0)/(1+I68))))))</x:f>
      </x:c>
      <x:c r="AA68" s="23" t="str">
        <x:f>IF(C68="","",IF(O68&lt;&gt;"Ready","Unavailable",IF(E68=3,G68*INDEX('Facilities'!$I$9:$I$108,MATCH(C68,'Facilities'!$C$9:$C$108,0))*(1-MAX(0,1-(1-N68)*Settings!$H$34)/(1+I68)^M68),G68*INDEX('Facilities'!$I$9:$I$108,MATCH(C68,'Facilities'!$C$9:$C$108,0))*(1-(1-U68)/(1+I68)^M68)*R68/(1+I68)*IF(ABS(1-(1-R68)*(1-0)/(1+I68))&lt;0.000000001,AF68,(1-((1-R68)*(1-0)/(1+I68))^AF68)/(1-(1-R68)*(1-0)/(1+I68))))))</x:f>
      </x:c>
      <x:c r="AB68" s="23" t="str">
        <x:f>IF(C68="","",IF(O68&lt;&gt;"Ready","Unavailable",V68*Settings!$F$32+W68*Settings!$F$33+X68*Settings!$F$34))</x:f>
      </x:c>
      <x:c r="AC68" s="23" t="str">
        <x:f>IF(C68="","",IF(O68&lt;&gt;"Ready","Unavailable",Y68*Settings!$F$32+Z68*Settings!$F$33+AA68*Settings!$F$34))</x:f>
      </x:c>
      <x:c r="AD68" s="21" t="str">
        <x:f>IF(C68="","",IF(O68&lt;&gt;"Ready","Unavailable",AB68+AC68))</x:f>
      </x:c>
      <x:c r="AE68" s="17" t="str">
        <x:f>IF(C68="","",IF(OR(O68&lt;&gt;"Ready",F68=0),"Unavailable",AB68/F68))</x:f>
      </x:c>
      <x:c r="AF68" s="44" t="str">
        <x:f>IF(C68="","",IF(E68=1,1,H68))</x:f>
      </x:c>
    </x:row>
    <x:row r="69" ht="26" customHeight="1">
      <x:c r="A69" s="1"/>
      <x:c r="B69" s="1"/>
      <x:c r="C69" s="9" t="str">
        <x:f>IF(Facilities!C69="","",Facilities!C69)</x:f>
      </x:c>
      <x:c r="D69" s="9" t="str">
        <x:f>IF(C69="","",INDEX('Facilities'!$D$9:$D$108,MATCH(C69,'Facilities'!$C$9:$C$108,0)))</x:f>
      </x:c>
      <x:c r="E69" s="9" t="str">
        <x:f>IF(C69="","",INDEX('Facilities'!$AD$9:$AD$108,MATCH(C69,'Facilities'!$C$9:$C$108,0)))</x:f>
      </x:c>
      <x:c r="F69" s="23" t="str">
        <x:f>IF(C69="","",INDEX('Facilities'!$AA$9:$AA$108,MATCH(C69,'Facilities'!$C$9:$C$108,0)))</x:f>
      </x:c>
      <x:c r="G69" s="23" t="str">
        <x:f>IF(C69="","",INDEX('Facilities'!$AB$9:$AB$108,MATCH(C69,'Facilities'!$C$9:$C$108,0)))</x:f>
      </x:c>
      <x:c r="H69" s="42" t="str">
        <x:f>IF(C69="","",INDEX('Facilities'!$J$9:$J$108,MATCH(C69,'Facilities'!$C$9:$C$108,0)))</x:f>
      </x:c>
      <x:c r="I69" s="30" t="str">
        <x:f>IF(C69="","",INDEX('Facilities'!$K$9:$K$108,MATCH(C69,'Facilities'!$C$9:$C$108,0)))</x:f>
      </x:c>
      <x:c r="J69" s="30" t="str">
        <x:f>IF(C69="","",INDEX('Borrowers'!$P$9:$P$108,MATCH(D69,'Borrowers'!$C$9:$C$108,0)))</x:f>
      </x:c>
      <x:c r="K69" s="30" t="str">
        <x:f>IF(C69="","",INDEX('Borrowers'!$Q$9:$Q$108,MATCH(D69,'Borrowers'!$C$9:$C$108,0)))</x:f>
      </x:c>
      <x:c r="L69" s="30" t="str">
        <x:f>IF(C69="","",INDEX('Facilities'!$R$9:$R$108,MATCH(C69,'Facilities'!$C$9:$C$108,0)))</x:f>
      </x:c>
      <x:c r="M69" s="42" t="str">
        <x:f>IF(C69="","",INDEX('Facilities'!$AK$9:$AK$108,MATCH(C69,'Facilities'!$C$9:$C$108,0)))</x:f>
      </x:c>
      <x:c r="N69" s="30" t="str">
        <x:f>IF(C69="","",INDEX('Facilities'!$AL$9:$AL$108,MATCH(C69,'Facilities'!$C$9:$C$108,0)))</x:f>
      </x:c>
      <x:c r="O69" s="23" t="str">
        <x:f>IF(C69="","",IF(AND(INDEX('Facilities'!$AF$9:$AF$108,MATCH(C69,'Facilities'!$C$9:$C$108,0))="Ready",Settings!$F$36="Ready"),"Ready","Review ECL inputs"))</x:f>
      </x:c>
      <x:c r="P69" s="30" t="str">
        <x:f>IF(C69="","",MIN(1,J69*Settings!$G$32))</x:f>
      </x:c>
      <x:c r="Q69" s="30" t="str">
        <x:f>IF(C69="","",MIN(1,J69*Settings!$G$33))</x:f>
      </x:c>
      <x:c r="R69" s="30" t="str">
        <x:f>IF(C69="","",MIN(1,J69*Settings!$G$34))</x:f>
      </x:c>
      <x:c r="S69" s="30" t="str">
        <x:f>IF(C69="","",MIN(1,K69*Settings!$H$32))</x:f>
      </x:c>
      <x:c r="T69" s="30" t="str">
        <x:f>IF(C69="","",MIN(1,K69*Settings!$H$33))</x:f>
      </x:c>
      <x:c r="U69" s="30" t="str">
        <x:f>IF(C69="","",MIN(1,K69*Settings!$H$34))</x:f>
      </x:c>
      <x:c r="V69" s="23" t="str">
        <x:f>IF(C69="","",IF(O69&lt;&gt;"Ready","Unavailable",IF(E69=3,F69*(1-MAX(0,1-(1-N69)*Settings!$H$32)/(1+I69)^M69),F69*(1-(1-S69)/(1+I69)^M69)*P69/(1+I69)*IF(ABS(1-(1-P69)*(1-L69)/(1+I69))&lt;0.000000001,AF69,(1-((1-P69)*(1-L69)/(1+I69))^AF69)/(1-(1-P69)*(1-L69)/(1+I69))))))</x:f>
      </x:c>
      <x:c r="W69" s="23" t="str">
        <x:f>IF(C69="","",IF(O69&lt;&gt;"Ready","Unavailable",IF(E69=3,F69*(1-MAX(0,1-(1-N69)*Settings!$H$33)/(1+I69)^M69),F69*(1-(1-T69)/(1+I69)^M69)*Q69/(1+I69)*IF(ABS(1-(1-Q69)*(1-L69)/(1+I69))&lt;0.000000001,AF69,(1-((1-Q69)*(1-L69)/(1+I69))^AF69)/(1-(1-Q69)*(1-L69)/(1+I69))))))</x:f>
      </x:c>
      <x:c r="X69" s="23" t="str">
        <x:f>IF(C69="","",IF(O69&lt;&gt;"Ready","Unavailable",IF(E69=3,F69*(1-MAX(0,1-(1-N69)*Settings!$H$34)/(1+I69)^M69),F69*(1-(1-U69)/(1+I69)^M69)*R69/(1+I69)*IF(ABS(1-(1-R69)*(1-L69)/(1+I69))&lt;0.000000001,AF69,(1-((1-R69)*(1-L69)/(1+I69))^AF69)/(1-(1-R69)*(1-L69)/(1+I69))))))</x:f>
      </x:c>
      <x:c r="Y69" s="23" t="str">
        <x:f>IF(C69="","",IF(O69&lt;&gt;"Ready","Unavailable",IF(E69=3,G69*INDEX('Facilities'!$I$9:$I$108,MATCH(C69,'Facilities'!$C$9:$C$108,0))*(1-MAX(0,1-(1-N69)*Settings!$H$32)/(1+I69)^M69),G69*INDEX('Facilities'!$I$9:$I$108,MATCH(C69,'Facilities'!$C$9:$C$108,0))*(1-(1-S69)/(1+I69)^M69)*P69/(1+I69)*IF(ABS(1-(1-P69)*(1-0)/(1+I69))&lt;0.000000001,AF69,(1-((1-P69)*(1-0)/(1+I69))^AF69)/(1-(1-P69)*(1-0)/(1+I69))))))</x:f>
      </x:c>
      <x:c r="Z69" s="23" t="str">
        <x:f>IF(C69="","",IF(O69&lt;&gt;"Ready","Unavailable",IF(E69=3,G69*INDEX('Facilities'!$I$9:$I$108,MATCH(C69,'Facilities'!$C$9:$C$108,0))*(1-MAX(0,1-(1-N69)*Settings!$H$33)/(1+I69)^M69),G69*INDEX('Facilities'!$I$9:$I$108,MATCH(C69,'Facilities'!$C$9:$C$108,0))*(1-(1-T69)/(1+I69)^M69)*Q69/(1+I69)*IF(ABS(1-(1-Q69)*(1-0)/(1+I69))&lt;0.000000001,AF69,(1-((1-Q69)*(1-0)/(1+I69))^AF69)/(1-(1-Q69)*(1-0)/(1+I69))))))</x:f>
      </x:c>
      <x:c r="AA69" s="23" t="str">
        <x:f>IF(C69="","",IF(O69&lt;&gt;"Ready","Unavailable",IF(E69=3,G69*INDEX('Facilities'!$I$9:$I$108,MATCH(C69,'Facilities'!$C$9:$C$108,0))*(1-MAX(0,1-(1-N69)*Settings!$H$34)/(1+I69)^M69),G69*INDEX('Facilities'!$I$9:$I$108,MATCH(C69,'Facilities'!$C$9:$C$108,0))*(1-(1-U69)/(1+I69)^M69)*R69/(1+I69)*IF(ABS(1-(1-R69)*(1-0)/(1+I69))&lt;0.000000001,AF69,(1-((1-R69)*(1-0)/(1+I69))^AF69)/(1-(1-R69)*(1-0)/(1+I69))))))</x:f>
      </x:c>
      <x:c r="AB69" s="23" t="str">
        <x:f>IF(C69="","",IF(O69&lt;&gt;"Ready","Unavailable",V69*Settings!$F$32+W69*Settings!$F$33+X69*Settings!$F$34))</x:f>
      </x:c>
      <x:c r="AC69" s="23" t="str">
        <x:f>IF(C69="","",IF(O69&lt;&gt;"Ready","Unavailable",Y69*Settings!$F$32+Z69*Settings!$F$33+AA69*Settings!$F$34))</x:f>
      </x:c>
      <x:c r="AD69" s="21" t="str">
        <x:f>IF(C69="","",IF(O69&lt;&gt;"Ready","Unavailable",AB69+AC69))</x:f>
      </x:c>
      <x:c r="AE69" s="17" t="str">
        <x:f>IF(C69="","",IF(OR(O69&lt;&gt;"Ready",F69=0),"Unavailable",AB69/F69))</x:f>
      </x:c>
      <x:c r="AF69" s="44" t="str">
        <x:f>IF(C69="","",IF(E69=1,1,H69))</x:f>
      </x:c>
    </x:row>
    <x:row r="70" ht="26" customHeight="1">
      <x:c r="A70" s="1"/>
      <x:c r="B70" s="1"/>
      <x:c r="C70" s="9" t="str">
        <x:f>IF(Facilities!C70="","",Facilities!C70)</x:f>
      </x:c>
      <x:c r="D70" s="9" t="str">
        <x:f>IF(C70="","",INDEX('Facilities'!$D$9:$D$108,MATCH(C70,'Facilities'!$C$9:$C$108,0)))</x:f>
      </x:c>
      <x:c r="E70" s="9" t="str">
        <x:f>IF(C70="","",INDEX('Facilities'!$AD$9:$AD$108,MATCH(C70,'Facilities'!$C$9:$C$108,0)))</x:f>
      </x:c>
      <x:c r="F70" s="23" t="str">
        <x:f>IF(C70="","",INDEX('Facilities'!$AA$9:$AA$108,MATCH(C70,'Facilities'!$C$9:$C$108,0)))</x:f>
      </x:c>
      <x:c r="G70" s="23" t="str">
        <x:f>IF(C70="","",INDEX('Facilities'!$AB$9:$AB$108,MATCH(C70,'Facilities'!$C$9:$C$108,0)))</x:f>
      </x:c>
      <x:c r="H70" s="42" t="str">
        <x:f>IF(C70="","",INDEX('Facilities'!$J$9:$J$108,MATCH(C70,'Facilities'!$C$9:$C$108,0)))</x:f>
      </x:c>
      <x:c r="I70" s="30" t="str">
        <x:f>IF(C70="","",INDEX('Facilities'!$K$9:$K$108,MATCH(C70,'Facilities'!$C$9:$C$108,0)))</x:f>
      </x:c>
      <x:c r="J70" s="30" t="str">
        <x:f>IF(C70="","",INDEX('Borrowers'!$P$9:$P$108,MATCH(D70,'Borrowers'!$C$9:$C$108,0)))</x:f>
      </x:c>
      <x:c r="K70" s="30" t="str">
        <x:f>IF(C70="","",INDEX('Borrowers'!$Q$9:$Q$108,MATCH(D70,'Borrowers'!$C$9:$C$108,0)))</x:f>
      </x:c>
      <x:c r="L70" s="30" t="str">
        <x:f>IF(C70="","",INDEX('Facilities'!$R$9:$R$108,MATCH(C70,'Facilities'!$C$9:$C$108,0)))</x:f>
      </x:c>
      <x:c r="M70" s="42" t="str">
        <x:f>IF(C70="","",INDEX('Facilities'!$AK$9:$AK$108,MATCH(C70,'Facilities'!$C$9:$C$108,0)))</x:f>
      </x:c>
      <x:c r="N70" s="30" t="str">
        <x:f>IF(C70="","",INDEX('Facilities'!$AL$9:$AL$108,MATCH(C70,'Facilities'!$C$9:$C$108,0)))</x:f>
      </x:c>
      <x:c r="O70" s="23" t="str">
        <x:f>IF(C70="","",IF(AND(INDEX('Facilities'!$AF$9:$AF$108,MATCH(C70,'Facilities'!$C$9:$C$108,0))="Ready",Settings!$F$36="Ready"),"Ready","Review ECL inputs"))</x:f>
      </x:c>
      <x:c r="P70" s="30" t="str">
        <x:f>IF(C70="","",MIN(1,J70*Settings!$G$32))</x:f>
      </x:c>
      <x:c r="Q70" s="30" t="str">
        <x:f>IF(C70="","",MIN(1,J70*Settings!$G$33))</x:f>
      </x:c>
      <x:c r="R70" s="30" t="str">
        <x:f>IF(C70="","",MIN(1,J70*Settings!$G$34))</x:f>
      </x:c>
      <x:c r="S70" s="30" t="str">
        <x:f>IF(C70="","",MIN(1,K70*Settings!$H$32))</x:f>
      </x:c>
      <x:c r="T70" s="30" t="str">
        <x:f>IF(C70="","",MIN(1,K70*Settings!$H$33))</x:f>
      </x:c>
      <x:c r="U70" s="30" t="str">
        <x:f>IF(C70="","",MIN(1,K70*Settings!$H$34))</x:f>
      </x:c>
      <x:c r="V70" s="23" t="str">
        <x:f>IF(C70="","",IF(O70&lt;&gt;"Ready","Unavailable",IF(E70=3,F70*(1-MAX(0,1-(1-N70)*Settings!$H$32)/(1+I70)^M70),F70*(1-(1-S70)/(1+I70)^M70)*P70/(1+I70)*IF(ABS(1-(1-P70)*(1-L70)/(1+I70))&lt;0.000000001,AF70,(1-((1-P70)*(1-L70)/(1+I70))^AF70)/(1-(1-P70)*(1-L70)/(1+I70))))))</x:f>
      </x:c>
      <x:c r="W70" s="23" t="str">
        <x:f>IF(C70="","",IF(O70&lt;&gt;"Ready","Unavailable",IF(E70=3,F70*(1-MAX(0,1-(1-N70)*Settings!$H$33)/(1+I70)^M70),F70*(1-(1-T70)/(1+I70)^M70)*Q70/(1+I70)*IF(ABS(1-(1-Q70)*(1-L70)/(1+I70))&lt;0.000000001,AF70,(1-((1-Q70)*(1-L70)/(1+I70))^AF70)/(1-(1-Q70)*(1-L70)/(1+I70))))))</x:f>
      </x:c>
      <x:c r="X70" s="23" t="str">
        <x:f>IF(C70="","",IF(O70&lt;&gt;"Ready","Unavailable",IF(E70=3,F70*(1-MAX(0,1-(1-N70)*Settings!$H$34)/(1+I70)^M70),F70*(1-(1-U70)/(1+I70)^M70)*R70/(1+I70)*IF(ABS(1-(1-R70)*(1-L70)/(1+I70))&lt;0.000000001,AF70,(1-((1-R70)*(1-L70)/(1+I70))^AF70)/(1-(1-R70)*(1-L70)/(1+I70))))))</x:f>
      </x:c>
      <x:c r="Y70" s="23" t="str">
        <x:f>IF(C70="","",IF(O70&lt;&gt;"Ready","Unavailable",IF(E70=3,G70*INDEX('Facilities'!$I$9:$I$108,MATCH(C70,'Facilities'!$C$9:$C$108,0))*(1-MAX(0,1-(1-N70)*Settings!$H$32)/(1+I70)^M70),G70*INDEX('Facilities'!$I$9:$I$108,MATCH(C70,'Facilities'!$C$9:$C$108,0))*(1-(1-S70)/(1+I70)^M70)*P70/(1+I70)*IF(ABS(1-(1-P70)*(1-0)/(1+I70))&lt;0.000000001,AF70,(1-((1-P70)*(1-0)/(1+I70))^AF70)/(1-(1-P70)*(1-0)/(1+I70))))))</x:f>
      </x:c>
      <x:c r="Z70" s="23" t="str">
        <x:f>IF(C70="","",IF(O70&lt;&gt;"Ready","Unavailable",IF(E70=3,G70*INDEX('Facilities'!$I$9:$I$108,MATCH(C70,'Facilities'!$C$9:$C$108,0))*(1-MAX(0,1-(1-N70)*Settings!$H$33)/(1+I70)^M70),G70*INDEX('Facilities'!$I$9:$I$108,MATCH(C70,'Facilities'!$C$9:$C$108,0))*(1-(1-T70)/(1+I70)^M70)*Q70/(1+I70)*IF(ABS(1-(1-Q70)*(1-0)/(1+I70))&lt;0.000000001,AF70,(1-((1-Q70)*(1-0)/(1+I70))^AF70)/(1-(1-Q70)*(1-0)/(1+I70))))))</x:f>
      </x:c>
      <x:c r="AA70" s="23" t="str">
        <x:f>IF(C70="","",IF(O70&lt;&gt;"Ready","Unavailable",IF(E70=3,G70*INDEX('Facilities'!$I$9:$I$108,MATCH(C70,'Facilities'!$C$9:$C$108,0))*(1-MAX(0,1-(1-N70)*Settings!$H$34)/(1+I70)^M70),G70*INDEX('Facilities'!$I$9:$I$108,MATCH(C70,'Facilities'!$C$9:$C$108,0))*(1-(1-U70)/(1+I70)^M70)*R70/(1+I70)*IF(ABS(1-(1-R70)*(1-0)/(1+I70))&lt;0.000000001,AF70,(1-((1-R70)*(1-0)/(1+I70))^AF70)/(1-(1-R70)*(1-0)/(1+I70))))))</x:f>
      </x:c>
      <x:c r="AB70" s="23" t="str">
        <x:f>IF(C70="","",IF(O70&lt;&gt;"Ready","Unavailable",V70*Settings!$F$32+W70*Settings!$F$33+X70*Settings!$F$34))</x:f>
      </x:c>
      <x:c r="AC70" s="23" t="str">
        <x:f>IF(C70="","",IF(O70&lt;&gt;"Ready","Unavailable",Y70*Settings!$F$32+Z70*Settings!$F$33+AA70*Settings!$F$34))</x:f>
      </x:c>
      <x:c r="AD70" s="21" t="str">
        <x:f>IF(C70="","",IF(O70&lt;&gt;"Ready","Unavailable",AB70+AC70))</x:f>
      </x:c>
      <x:c r="AE70" s="17" t="str">
        <x:f>IF(C70="","",IF(OR(O70&lt;&gt;"Ready",F70=0),"Unavailable",AB70/F70))</x:f>
      </x:c>
      <x:c r="AF70" s="44" t="str">
        <x:f>IF(C70="","",IF(E70=1,1,H70))</x:f>
      </x:c>
    </x:row>
    <x:row r="71" ht="26" customHeight="1">
      <x:c r="A71" s="1"/>
      <x:c r="B71" s="1"/>
      <x:c r="C71" s="9" t="str">
        <x:f>IF(Facilities!C71="","",Facilities!C71)</x:f>
      </x:c>
      <x:c r="D71" s="9" t="str">
        <x:f>IF(C71="","",INDEX('Facilities'!$D$9:$D$108,MATCH(C71,'Facilities'!$C$9:$C$108,0)))</x:f>
      </x:c>
      <x:c r="E71" s="9" t="str">
        <x:f>IF(C71="","",INDEX('Facilities'!$AD$9:$AD$108,MATCH(C71,'Facilities'!$C$9:$C$108,0)))</x:f>
      </x:c>
      <x:c r="F71" s="23" t="str">
        <x:f>IF(C71="","",INDEX('Facilities'!$AA$9:$AA$108,MATCH(C71,'Facilities'!$C$9:$C$108,0)))</x:f>
      </x:c>
      <x:c r="G71" s="23" t="str">
        <x:f>IF(C71="","",INDEX('Facilities'!$AB$9:$AB$108,MATCH(C71,'Facilities'!$C$9:$C$108,0)))</x:f>
      </x:c>
      <x:c r="H71" s="42" t="str">
        <x:f>IF(C71="","",INDEX('Facilities'!$J$9:$J$108,MATCH(C71,'Facilities'!$C$9:$C$108,0)))</x:f>
      </x:c>
      <x:c r="I71" s="30" t="str">
        <x:f>IF(C71="","",INDEX('Facilities'!$K$9:$K$108,MATCH(C71,'Facilities'!$C$9:$C$108,0)))</x:f>
      </x:c>
      <x:c r="J71" s="30" t="str">
        <x:f>IF(C71="","",INDEX('Borrowers'!$P$9:$P$108,MATCH(D71,'Borrowers'!$C$9:$C$108,0)))</x:f>
      </x:c>
      <x:c r="K71" s="30" t="str">
        <x:f>IF(C71="","",INDEX('Borrowers'!$Q$9:$Q$108,MATCH(D71,'Borrowers'!$C$9:$C$108,0)))</x:f>
      </x:c>
      <x:c r="L71" s="30" t="str">
        <x:f>IF(C71="","",INDEX('Facilities'!$R$9:$R$108,MATCH(C71,'Facilities'!$C$9:$C$108,0)))</x:f>
      </x:c>
      <x:c r="M71" s="42" t="str">
        <x:f>IF(C71="","",INDEX('Facilities'!$AK$9:$AK$108,MATCH(C71,'Facilities'!$C$9:$C$108,0)))</x:f>
      </x:c>
      <x:c r="N71" s="30" t="str">
        <x:f>IF(C71="","",INDEX('Facilities'!$AL$9:$AL$108,MATCH(C71,'Facilities'!$C$9:$C$108,0)))</x:f>
      </x:c>
      <x:c r="O71" s="23" t="str">
        <x:f>IF(C71="","",IF(AND(INDEX('Facilities'!$AF$9:$AF$108,MATCH(C71,'Facilities'!$C$9:$C$108,0))="Ready",Settings!$F$36="Ready"),"Ready","Review ECL inputs"))</x:f>
      </x:c>
      <x:c r="P71" s="30" t="str">
        <x:f>IF(C71="","",MIN(1,J71*Settings!$G$32))</x:f>
      </x:c>
      <x:c r="Q71" s="30" t="str">
        <x:f>IF(C71="","",MIN(1,J71*Settings!$G$33))</x:f>
      </x:c>
      <x:c r="R71" s="30" t="str">
        <x:f>IF(C71="","",MIN(1,J71*Settings!$G$34))</x:f>
      </x:c>
      <x:c r="S71" s="30" t="str">
        <x:f>IF(C71="","",MIN(1,K71*Settings!$H$32))</x:f>
      </x:c>
      <x:c r="T71" s="30" t="str">
        <x:f>IF(C71="","",MIN(1,K71*Settings!$H$33))</x:f>
      </x:c>
      <x:c r="U71" s="30" t="str">
        <x:f>IF(C71="","",MIN(1,K71*Settings!$H$34))</x:f>
      </x:c>
      <x:c r="V71" s="23" t="str">
        <x:f>IF(C71="","",IF(O71&lt;&gt;"Ready","Unavailable",IF(E71=3,F71*(1-MAX(0,1-(1-N71)*Settings!$H$32)/(1+I71)^M71),F71*(1-(1-S71)/(1+I71)^M71)*P71/(1+I71)*IF(ABS(1-(1-P71)*(1-L71)/(1+I71))&lt;0.000000001,AF71,(1-((1-P71)*(1-L71)/(1+I71))^AF71)/(1-(1-P71)*(1-L71)/(1+I71))))))</x:f>
      </x:c>
      <x:c r="W71" s="23" t="str">
        <x:f>IF(C71="","",IF(O71&lt;&gt;"Ready","Unavailable",IF(E71=3,F71*(1-MAX(0,1-(1-N71)*Settings!$H$33)/(1+I71)^M71),F71*(1-(1-T71)/(1+I71)^M71)*Q71/(1+I71)*IF(ABS(1-(1-Q71)*(1-L71)/(1+I71))&lt;0.000000001,AF71,(1-((1-Q71)*(1-L71)/(1+I71))^AF71)/(1-(1-Q71)*(1-L71)/(1+I71))))))</x:f>
      </x:c>
      <x:c r="X71" s="23" t="str">
        <x:f>IF(C71="","",IF(O71&lt;&gt;"Ready","Unavailable",IF(E71=3,F71*(1-MAX(0,1-(1-N71)*Settings!$H$34)/(1+I71)^M71),F71*(1-(1-U71)/(1+I71)^M71)*R71/(1+I71)*IF(ABS(1-(1-R71)*(1-L71)/(1+I71))&lt;0.000000001,AF71,(1-((1-R71)*(1-L71)/(1+I71))^AF71)/(1-(1-R71)*(1-L71)/(1+I71))))))</x:f>
      </x:c>
      <x:c r="Y71" s="23" t="str">
        <x:f>IF(C71="","",IF(O71&lt;&gt;"Ready","Unavailable",IF(E71=3,G71*INDEX('Facilities'!$I$9:$I$108,MATCH(C71,'Facilities'!$C$9:$C$108,0))*(1-MAX(0,1-(1-N71)*Settings!$H$32)/(1+I71)^M71),G71*INDEX('Facilities'!$I$9:$I$108,MATCH(C71,'Facilities'!$C$9:$C$108,0))*(1-(1-S71)/(1+I71)^M71)*P71/(1+I71)*IF(ABS(1-(1-P71)*(1-0)/(1+I71))&lt;0.000000001,AF71,(1-((1-P71)*(1-0)/(1+I71))^AF71)/(1-(1-P71)*(1-0)/(1+I71))))))</x:f>
      </x:c>
      <x:c r="Z71" s="23" t="str">
        <x:f>IF(C71="","",IF(O71&lt;&gt;"Ready","Unavailable",IF(E71=3,G71*INDEX('Facilities'!$I$9:$I$108,MATCH(C71,'Facilities'!$C$9:$C$108,0))*(1-MAX(0,1-(1-N71)*Settings!$H$33)/(1+I71)^M71),G71*INDEX('Facilities'!$I$9:$I$108,MATCH(C71,'Facilities'!$C$9:$C$108,0))*(1-(1-T71)/(1+I71)^M71)*Q71/(1+I71)*IF(ABS(1-(1-Q71)*(1-0)/(1+I71))&lt;0.000000001,AF71,(1-((1-Q71)*(1-0)/(1+I71))^AF71)/(1-(1-Q71)*(1-0)/(1+I71))))))</x:f>
      </x:c>
      <x:c r="AA71" s="23" t="str">
        <x:f>IF(C71="","",IF(O71&lt;&gt;"Ready","Unavailable",IF(E71=3,G71*INDEX('Facilities'!$I$9:$I$108,MATCH(C71,'Facilities'!$C$9:$C$108,0))*(1-MAX(0,1-(1-N71)*Settings!$H$34)/(1+I71)^M71),G71*INDEX('Facilities'!$I$9:$I$108,MATCH(C71,'Facilities'!$C$9:$C$108,0))*(1-(1-U71)/(1+I71)^M71)*R71/(1+I71)*IF(ABS(1-(1-R71)*(1-0)/(1+I71))&lt;0.000000001,AF71,(1-((1-R71)*(1-0)/(1+I71))^AF71)/(1-(1-R71)*(1-0)/(1+I71))))))</x:f>
      </x:c>
      <x:c r="AB71" s="23" t="str">
        <x:f>IF(C71="","",IF(O71&lt;&gt;"Ready","Unavailable",V71*Settings!$F$32+W71*Settings!$F$33+X71*Settings!$F$34))</x:f>
      </x:c>
      <x:c r="AC71" s="23" t="str">
        <x:f>IF(C71="","",IF(O71&lt;&gt;"Ready","Unavailable",Y71*Settings!$F$32+Z71*Settings!$F$33+AA71*Settings!$F$34))</x:f>
      </x:c>
      <x:c r="AD71" s="21" t="str">
        <x:f>IF(C71="","",IF(O71&lt;&gt;"Ready","Unavailable",AB71+AC71))</x:f>
      </x:c>
      <x:c r="AE71" s="17" t="str">
        <x:f>IF(C71="","",IF(OR(O71&lt;&gt;"Ready",F71=0),"Unavailable",AB71/F71))</x:f>
      </x:c>
      <x:c r="AF71" s="44" t="str">
        <x:f>IF(C71="","",IF(E71=1,1,H71))</x:f>
      </x:c>
    </x:row>
    <x:row r="72" ht="26" customHeight="1">
      <x:c r="A72" s="1"/>
      <x:c r="B72" s="1"/>
      <x:c r="C72" s="9" t="str">
        <x:f>IF(Facilities!C72="","",Facilities!C72)</x:f>
      </x:c>
      <x:c r="D72" s="9" t="str">
        <x:f>IF(C72="","",INDEX('Facilities'!$D$9:$D$108,MATCH(C72,'Facilities'!$C$9:$C$108,0)))</x:f>
      </x:c>
      <x:c r="E72" s="9" t="str">
        <x:f>IF(C72="","",INDEX('Facilities'!$AD$9:$AD$108,MATCH(C72,'Facilities'!$C$9:$C$108,0)))</x:f>
      </x:c>
      <x:c r="F72" s="23" t="str">
        <x:f>IF(C72="","",INDEX('Facilities'!$AA$9:$AA$108,MATCH(C72,'Facilities'!$C$9:$C$108,0)))</x:f>
      </x:c>
      <x:c r="G72" s="23" t="str">
        <x:f>IF(C72="","",INDEX('Facilities'!$AB$9:$AB$108,MATCH(C72,'Facilities'!$C$9:$C$108,0)))</x:f>
      </x:c>
      <x:c r="H72" s="42" t="str">
        <x:f>IF(C72="","",INDEX('Facilities'!$J$9:$J$108,MATCH(C72,'Facilities'!$C$9:$C$108,0)))</x:f>
      </x:c>
      <x:c r="I72" s="30" t="str">
        <x:f>IF(C72="","",INDEX('Facilities'!$K$9:$K$108,MATCH(C72,'Facilities'!$C$9:$C$108,0)))</x:f>
      </x:c>
      <x:c r="J72" s="30" t="str">
        <x:f>IF(C72="","",INDEX('Borrowers'!$P$9:$P$108,MATCH(D72,'Borrowers'!$C$9:$C$108,0)))</x:f>
      </x:c>
      <x:c r="K72" s="30" t="str">
        <x:f>IF(C72="","",INDEX('Borrowers'!$Q$9:$Q$108,MATCH(D72,'Borrowers'!$C$9:$C$108,0)))</x:f>
      </x:c>
      <x:c r="L72" s="30" t="str">
        <x:f>IF(C72="","",INDEX('Facilities'!$R$9:$R$108,MATCH(C72,'Facilities'!$C$9:$C$108,0)))</x:f>
      </x:c>
      <x:c r="M72" s="42" t="str">
        <x:f>IF(C72="","",INDEX('Facilities'!$AK$9:$AK$108,MATCH(C72,'Facilities'!$C$9:$C$108,0)))</x:f>
      </x:c>
      <x:c r="N72" s="30" t="str">
        <x:f>IF(C72="","",INDEX('Facilities'!$AL$9:$AL$108,MATCH(C72,'Facilities'!$C$9:$C$108,0)))</x:f>
      </x:c>
      <x:c r="O72" s="23" t="str">
        <x:f>IF(C72="","",IF(AND(INDEX('Facilities'!$AF$9:$AF$108,MATCH(C72,'Facilities'!$C$9:$C$108,0))="Ready",Settings!$F$36="Ready"),"Ready","Review ECL inputs"))</x:f>
      </x:c>
      <x:c r="P72" s="30" t="str">
        <x:f>IF(C72="","",MIN(1,J72*Settings!$G$32))</x:f>
      </x:c>
      <x:c r="Q72" s="30" t="str">
        <x:f>IF(C72="","",MIN(1,J72*Settings!$G$33))</x:f>
      </x:c>
      <x:c r="R72" s="30" t="str">
        <x:f>IF(C72="","",MIN(1,J72*Settings!$G$34))</x:f>
      </x:c>
      <x:c r="S72" s="30" t="str">
        <x:f>IF(C72="","",MIN(1,K72*Settings!$H$32))</x:f>
      </x:c>
      <x:c r="T72" s="30" t="str">
        <x:f>IF(C72="","",MIN(1,K72*Settings!$H$33))</x:f>
      </x:c>
      <x:c r="U72" s="30" t="str">
        <x:f>IF(C72="","",MIN(1,K72*Settings!$H$34))</x:f>
      </x:c>
      <x:c r="V72" s="23" t="str">
        <x:f>IF(C72="","",IF(O72&lt;&gt;"Ready","Unavailable",IF(E72=3,F72*(1-MAX(0,1-(1-N72)*Settings!$H$32)/(1+I72)^M72),F72*(1-(1-S72)/(1+I72)^M72)*P72/(1+I72)*IF(ABS(1-(1-P72)*(1-L72)/(1+I72))&lt;0.000000001,AF72,(1-((1-P72)*(1-L72)/(1+I72))^AF72)/(1-(1-P72)*(1-L72)/(1+I72))))))</x:f>
      </x:c>
      <x:c r="W72" s="23" t="str">
        <x:f>IF(C72="","",IF(O72&lt;&gt;"Ready","Unavailable",IF(E72=3,F72*(1-MAX(0,1-(1-N72)*Settings!$H$33)/(1+I72)^M72),F72*(1-(1-T72)/(1+I72)^M72)*Q72/(1+I72)*IF(ABS(1-(1-Q72)*(1-L72)/(1+I72))&lt;0.000000001,AF72,(1-((1-Q72)*(1-L72)/(1+I72))^AF72)/(1-(1-Q72)*(1-L72)/(1+I72))))))</x:f>
      </x:c>
      <x:c r="X72" s="23" t="str">
        <x:f>IF(C72="","",IF(O72&lt;&gt;"Ready","Unavailable",IF(E72=3,F72*(1-MAX(0,1-(1-N72)*Settings!$H$34)/(1+I72)^M72),F72*(1-(1-U72)/(1+I72)^M72)*R72/(1+I72)*IF(ABS(1-(1-R72)*(1-L72)/(1+I72))&lt;0.000000001,AF72,(1-((1-R72)*(1-L72)/(1+I72))^AF72)/(1-(1-R72)*(1-L72)/(1+I72))))))</x:f>
      </x:c>
      <x:c r="Y72" s="23" t="str">
        <x:f>IF(C72="","",IF(O72&lt;&gt;"Ready","Unavailable",IF(E72=3,G72*INDEX('Facilities'!$I$9:$I$108,MATCH(C72,'Facilities'!$C$9:$C$108,0))*(1-MAX(0,1-(1-N72)*Settings!$H$32)/(1+I72)^M72),G72*INDEX('Facilities'!$I$9:$I$108,MATCH(C72,'Facilities'!$C$9:$C$108,0))*(1-(1-S72)/(1+I72)^M72)*P72/(1+I72)*IF(ABS(1-(1-P72)*(1-0)/(1+I72))&lt;0.000000001,AF72,(1-((1-P72)*(1-0)/(1+I72))^AF72)/(1-(1-P72)*(1-0)/(1+I72))))))</x:f>
      </x:c>
      <x:c r="Z72" s="23" t="str">
        <x:f>IF(C72="","",IF(O72&lt;&gt;"Ready","Unavailable",IF(E72=3,G72*INDEX('Facilities'!$I$9:$I$108,MATCH(C72,'Facilities'!$C$9:$C$108,0))*(1-MAX(0,1-(1-N72)*Settings!$H$33)/(1+I72)^M72),G72*INDEX('Facilities'!$I$9:$I$108,MATCH(C72,'Facilities'!$C$9:$C$108,0))*(1-(1-T72)/(1+I72)^M72)*Q72/(1+I72)*IF(ABS(1-(1-Q72)*(1-0)/(1+I72))&lt;0.000000001,AF72,(1-((1-Q72)*(1-0)/(1+I72))^AF72)/(1-(1-Q72)*(1-0)/(1+I72))))))</x:f>
      </x:c>
      <x:c r="AA72" s="23" t="str">
        <x:f>IF(C72="","",IF(O72&lt;&gt;"Ready","Unavailable",IF(E72=3,G72*INDEX('Facilities'!$I$9:$I$108,MATCH(C72,'Facilities'!$C$9:$C$108,0))*(1-MAX(0,1-(1-N72)*Settings!$H$34)/(1+I72)^M72),G72*INDEX('Facilities'!$I$9:$I$108,MATCH(C72,'Facilities'!$C$9:$C$108,0))*(1-(1-U72)/(1+I72)^M72)*R72/(1+I72)*IF(ABS(1-(1-R72)*(1-0)/(1+I72))&lt;0.000000001,AF72,(1-((1-R72)*(1-0)/(1+I72))^AF72)/(1-(1-R72)*(1-0)/(1+I72))))))</x:f>
      </x:c>
      <x:c r="AB72" s="23" t="str">
        <x:f>IF(C72="","",IF(O72&lt;&gt;"Ready","Unavailable",V72*Settings!$F$32+W72*Settings!$F$33+X72*Settings!$F$34))</x:f>
      </x:c>
      <x:c r="AC72" s="23" t="str">
        <x:f>IF(C72="","",IF(O72&lt;&gt;"Ready","Unavailable",Y72*Settings!$F$32+Z72*Settings!$F$33+AA72*Settings!$F$34))</x:f>
      </x:c>
      <x:c r="AD72" s="21" t="str">
        <x:f>IF(C72="","",IF(O72&lt;&gt;"Ready","Unavailable",AB72+AC72))</x:f>
      </x:c>
      <x:c r="AE72" s="17" t="str">
        <x:f>IF(C72="","",IF(OR(O72&lt;&gt;"Ready",F72=0),"Unavailable",AB72/F72))</x:f>
      </x:c>
      <x:c r="AF72" s="44" t="str">
        <x:f>IF(C72="","",IF(E72=1,1,H72))</x:f>
      </x:c>
    </x:row>
    <x:row r="73" ht="26" customHeight="1">
      <x:c r="A73" s="1"/>
      <x:c r="B73" s="1"/>
      <x:c r="C73" s="9" t="str">
        <x:f>IF(Facilities!C73="","",Facilities!C73)</x:f>
      </x:c>
      <x:c r="D73" s="9" t="str">
        <x:f>IF(C73="","",INDEX('Facilities'!$D$9:$D$108,MATCH(C73,'Facilities'!$C$9:$C$108,0)))</x:f>
      </x:c>
      <x:c r="E73" s="9" t="str">
        <x:f>IF(C73="","",INDEX('Facilities'!$AD$9:$AD$108,MATCH(C73,'Facilities'!$C$9:$C$108,0)))</x:f>
      </x:c>
      <x:c r="F73" s="23" t="str">
        <x:f>IF(C73="","",INDEX('Facilities'!$AA$9:$AA$108,MATCH(C73,'Facilities'!$C$9:$C$108,0)))</x:f>
      </x:c>
      <x:c r="G73" s="23" t="str">
        <x:f>IF(C73="","",INDEX('Facilities'!$AB$9:$AB$108,MATCH(C73,'Facilities'!$C$9:$C$108,0)))</x:f>
      </x:c>
      <x:c r="H73" s="42" t="str">
        <x:f>IF(C73="","",INDEX('Facilities'!$J$9:$J$108,MATCH(C73,'Facilities'!$C$9:$C$108,0)))</x:f>
      </x:c>
      <x:c r="I73" s="30" t="str">
        <x:f>IF(C73="","",INDEX('Facilities'!$K$9:$K$108,MATCH(C73,'Facilities'!$C$9:$C$108,0)))</x:f>
      </x:c>
      <x:c r="J73" s="30" t="str">
        <x:f>IF(C73="","",INDEX('Borrowers'!$P$9:$P$108,MATCH(D73,'Borrowers'!$C$9:$C$108,0)))</x:f>
      </x:c>
      <x:c r="K73" s="30" t="str">
        <x:f>IF(C73="","",INDEX('Borrowers'!$Q$9:$Q$108,MATCH(D73,'Borrowers'!$C$9:$C$108,0)))</x:f>
      </x:c>
      <x:c r="L73" s="30" t="str">
        <x:f>IF(C73="","",INDEX('Facilities'!$R$9:$R$108,MATCH(C73,'Facilities'!$C$9:$C$108,0)))</x:f>
      </x:c>
      <x:c r="M73" s="42" t="str">
        <x:f>IF(C73="","",INDEX('Facilities'!$AK$9:$AK$108,MATCH(C73,'Facilities'!$C$9:$C$108,0)))</x:f>
      </x:c>
      <x:c r="N73" s="30" t="str">
        <x:f>IF(C73="","",INDEX('Facilities'!$AL$9:$AL$108,MATCH(C73,'Facilities'!$C$9:$C$108,0)))</x:f>
      </x:c>
      <x:c r="O73" s="23" t="str">
        <x:f>IF(C73="","",IF(AND(INDEX('Facilities'!$AF$9:$AF$108,MATCH(C73,'Facilities'!$C$9:$C$108,0))="Ready",Settings!$F$36="Ready"),"Ready","Review ECL inputs"))</x:f>
      </x:c>
      <x:c r="P73" s="30" t="str">
        <x:f>IF(C73="","",MIN(1,J73*Settings!$G$32))</x:f>
      </x:c>
      <x:c r="Q73" s="30" t="str">
        <x:f>IF(C73="","",MIN(1,J73*Settings!$G$33))</x:f>
      </x:c>
      <x:c r="R73" s="30" t="str">
        <x:f>IF(C73="","",MIN(1,J73*Settings!$G$34))</x:f>
      </x:c>
      <x:c r="S73" s="30" t="str">
        <x:f>IF(C73="","",MIN(1,K73*Settings!$H$32))</x:f>
      </x:c>
      <x:c r="T73" s="30" t="str">
        <x:f>IF(C73="","",MIN(1,K73*Settings!$H$33))</x:f>
      </x:c>
      <x:c r="U73" s="30" t="str">
        <x:f>IF(C73="","",MIN(1,K73*Settings!$H$34))</x:f>
      </x:c>
      <x:c r="V73" s="23" t="str">
        <x:f>IF(C73="","",IF(O73&lt;&gt;"Ready","Unavailable",IF(E73=3,F73*(1-MAX(0,1-(1-N73)*Settings!$H$32)/(1+I73)^M73),F73*(1-(1-S73)/(1+I73)^M73)*P73/(1+I73)*IF(ABS(1-(1-P73)*(1-L73)/(1+I73))&lt;0.000000001,AF73,(1-((1-P73)*(1-L73)/(1+I73))^AF73)/(1-(1-P73)*(1-L73)/(1+I73))))))</x:f>
      </x:c>
      <x:c r="W73" s="23" t="str">
        <x:f>IF(C73="","",IF(O73&lt;&gt;"Ready","Unavailable",IF(E73=3,F73*(1-MAX(0,1-(1-N73)*Settings!$H$33)/(1+I73)^M73),F73*(1-(1-T73)/(1+I73)^M73)*Q73/(1+I73)*IF(ABS(1-(1-Q73)*(1-L73)/(1+I73))&lt;0.000000001,AF73,(1-((1-Q73)*(1-L73)/(1+I73))^AF73)/(1-(1-Q73)*(1-L73)/(1+I73))))))</x:f>
      </x:c>
      <x:c r="X73" s="23" t="str">
        <x:f>IF(C73="","",IF(O73&lt;&gt;"Ready","Unavailable",IF(E73=3,F73*(1-MAX(0,1-(1-N73)*Settings!$H$34)/(1+I73)^M73),F73*(1-(1-U73)/(1+I73)^M73)*R73/(1+I73)*IF(ABS(1-(1-R73)*(1-L73)/(1+I73))&lt;0.000000001,AF73,(1-((1-R73)*(1-L73)/(1+I73))^AF73)/(1-(1-R73)*(1-L73)/(1+I73))))))</x:f>
      </x:c>
      <x:c r="Y73" s="23" t="str">
        <x:f>IF(C73="","",IF(O73&lt;&gt;"Ready","Unavailable",IF(E73=3,G73*INDEX('Facilities'!$I$9:$I$108,MATCH(C73,'Facilities'!$C$9:$C$108,0))*(1-MAX(0,1-(1-N73)*Settings!$H$32)/(1+I73)^M73),G73*INDEX('Facilities'!$I$9:$I$108,MATCH(C73,'Facilities'!$C$9:$C$108,0))*(1-(1-S73)/(1+I73)^M73)*P73/(1+I73)*IF(ABS(1-(1-P73)*(1-0)/(1+I73))&lt;0.000000001,AF73,(1-((1-P73)*(1-0)/(1+I73))^AF73)/(1-(1-P73)*(1-0)/(1+I73))))))</x:f>
      </x:c>
      <x:c r="Z73" s="23" t="str">
        <x:f>IF(C73="","",IF(O73&lt;&gt;"Ready","Unavailable",IF(E73=3,G73*INDEX('Facilities'!$I$9:$I$108,MATCH(C73,'Facilities'!$C$9:$C$108,0))*(1-MAX(0,1-(1-N73)*Settings!$H$33)/(1+I73)^M73),G73*INDEX('Facilities'!$I$9:$I$108,MATCH(C73,'Facilities'!$C$9:$C$108,0))*(1-(1-T73)/(1+I73)^M73)*Q73/(1+I73)*IF(ABS(1-(1-Q73)*(1-0)/(1+I73))&lt;0.000000001,AF73,(1-((1-Q73)*(1-0)/(1+I73))^AF73)/(1-(1-Q73)*(1-0)/(1+I73))))))</x:f>
      </x:c>
      <x:c r="AA73" s="23" t="str">
        <x:f>IF(C73="","",IF(O73&lt;&gt;"Ready","Unavailable",IF(E73=3,G73*INDEX('Facilities'!$I$9:$I$108,MATCH(C73,'Facilities'!$C$9:$C$108,0))*(1-MAX(0,1-(1-N73)*Settings!$H$34)/(1+I73)^M73),G73*INDEX('Facilities'!$I$9:$I$108,MATCH(C73,'Facilities'!$C$9:$C$108,0))*(1-(1-U73)/(1+I73)^M73)*R73/(1+I73)*IF(ABS(1-(1-R73)*(1-0)/(1+I73))&lt;0.000000001,AF73,(1-((1-R73)*(1-0)/(1+I73))^AF73)/(1-(1-R73)*(1-0)/(1+I73))))))</x:f>
      </x:c>
      <x:c r="AB73" s="23" t="str">
        <x:f>IF(C73="","",IF(O73&lt;&gt;"Ready","Unavailable",V73*Settings!$F$32+W73*Settings!$F$33+X73*Settings!$F$34))</x:f>
      </x:c>
      <x:c r="AC73" s="23" t="str">
        <x:f>IF(C73="","",IF(O73&lt;&gt;"Ready","Unavailable",Y73*Settings!$F$32+Z73*Settings!$F$33+AA73*Settings!$F$34))</x:f>
      </x:c>
      <x:c r="AD73" s="21" t="str">
        <x:f>IF(C73="","",IF(O73&lt;&gt;"Ready","Unavailable",AB73+AC73))</x:f>
      </x:c>
      <x:c r="AE73" s="17" t="str">
        <x:f>IF(C73="","",IF(OR(O73&lt;&gt;"Ready",F73=0),"Unavailable",AB73/F73))</x:f>
      </x:c>
      <x:c r="AF73" s="44" t="str">
        <x:f>IF(C73="","",IF(E73=1,1,H73))</x:f>
      </x:c>
    </x:row>
    <x:row r="74" ht="26" customHeight="1">
      <x:c r="A74" s="1"/>
      <x:c r="B74" s="1"/>
      <x:c r="C74" s="9" t="str">
        <x:f>IF(Facilities!C74="","",Facilities!C74)</x:f>
      </x:c>
      <x:c r="D74" s="9" t="str">
        <x:f>IF(C74="","",INDEX('Facilities'!$D$9:$D$108,MATCH(C74,'Facilities'!$C$9:$C$108,0)))</x:f>
      </x:c>
      <x:c r="E74" s="9" t="str">
        <x:f>IF(C74="","",INDEX('Facilities'!$AD$9:$AD$108,MATCH(C74,'Facilities'!$C$9:$C$108,0)))</x:f>
      </x:c>
      <x:c r="F74" s="23" t="str">
        <x:f>IF(C74="","",INDEX('Facilities'!$AA$9:$AA$108,MATCH(C74,'Facilities'!$C$9:$C$108,0)))</x:f>
      </x:c>
      <x:c r="G74" s="23" t="str">
        <x:f>IF(C74="","",INDEX('Facilities'!$AB$9:$AB$108,MATCH(C74,'Facilities'!$C$9:$C$108,0)))</x:f>
      </x:c>
      <x:c r="H74" s="42" t="str">
        <x:f>IF(C74="","",INDEX('Facilities'!$J$9:$J$108,MATCH(C74,'Facilities'!$C$9:$C$108,0)))</x:f>
      </x:c>
      <x:c r="I74" s="30" t="str">
        <x:f>IF(C74="","",INDEX('Facilities'!$K$9:$K$108,MATCH(C74,'Facilities'!$C$9:$C$108,0)))</x:f>
      </x:c>
      <x:c r="J74" s="30" t="str">
        <x:f>IF(C74="","",INDEX('Borrowers'!$P$9:$P$108,MATCH(D74,'Borrowers'!$C$9:$C$108,0)))</x:f>
      </x:c>
      <x:c r="K74" s="30" t="str">
        <x:f>IF(C74="","",INDEX('Borrowers'!$Q$9:$Q$108,MATCH(D74,'Borrowers'!$C$9:$C$108,0)))</x:f>
      </x:c>
      <x:c r="L74" s="30" t="str">
        <x:f>IF(C74="","",INDEX('Facilities'!$R$9:$R$108,MATCH(C74,'Facilities'!$C$9:$C$108,0)))</x:f>
      </x:c>
      <x:c r="M74" s="42" t="str">
        <x:f>IF(C74="","",INDEX('Facilities'!$AK$9:$AK$108,MATCH(C74,'Facilities'!$C$9:$C$108,0)))</x:f>
      </x:c>
      <x:c r="N74" s="30" t="str">
        <x:f>IF(C74="","",INDEX('Facilities'!$AL$9:$AL$108,MATCH(C74,'Facilities'!$C$9:$C$108,0)))</x:f>
      </x:c>
      <x:c r="O74" s="23" t="str">
        <x:f>IF(C74="","",IF(AND(INDEX('Facilities'!$AF$9:$AF$108,MATCH(C74,'Facilities'!$C$9:$C$108,0))="Ready",Settings!$F$36="Ready"),"Ready","Review ECL inputs"))</x:f>
      </x:c>
      <x:c r="P74" s="30" t="str">
        <x:f>IF(C74="","",MIN(1,J74*Settings!$G$32))</x:f>
      </x:c>
      <x:c r="Q74" s="30" t="str">
        <x:f>IF(C74="","",MIN(1,J74*Settings!$G$33))</x:f>
      </x:c>
      <x:c r="R74" s="30" t="str">
        <x:f>IF(C74="","",MIN(1,J74*Settings!$G$34))</x:f>
      </x:c>
      <x:c r="S74" s="30" t="str">
        <x:f>IF(C74="","",MIN(1,K74*Settings!$H$32))</x:f>
      </x:c>
      <x:c r="T74" s="30" t="str">
        <x:f>IF(C74="","",MIN(1,K74*Settings!$H$33))</x:f>
      </x:c>
      <x:c r="U74" s="30" t="str">
        <x:f>IF(C74="","",MIN(1,K74*Settings!$H$34))</x:f>
      </x:c>
      <x:c r="V74" s="23" t="str">
        <x:f>IF(C74="","",IF(O74&lt;&gt;"Ready","Unavailable",IF(E74=3,F74*(1-MAX(0,1-(1-N74)*Settings!$H$32)/(1+I74)^M74),F74*(1-(1-S74)/(1+I74)^M74)*P74/(1+I74)*IF(ABS(1-(1-P74)*(1-L74)/(1+I74))&lt;0.000000001,AF74,(1-((1-P74)*(1-L74)/(1+I74))^AF74)/(1-(1-P74)*(1-L74)/(1+I74))))))</x:f>
      </x:c>
      <x:c r="W74" s="23" t="str">
        <x:f>IF(C74="","",IF(O74&lt;&gt;"Ready","Unavailable",IF(E74=3,F74*(1-MAX(0,1-(1-N74)*Settings!$H$33)/(1+I74)^M74),F74*(1-(1-T74)/(1+I74)^M74)*Q74/(1+I74)*IF(ABS(1-(1-Q74)*(1-L74)/(1+I74))&lt;0.000000001,AF74,(1-((1-Q74)*(1-L74)/(1+I74))^AF74)/(1-(1-Q74)*(1-L74)/(1+I74))))))</x:f>
      </x:c>
      <x:c r="X74" s="23" t="str">
        <x:f>IF(C74="","",IF(O74&lt;&gt;"Ready","Unavailable",IF(E74=3,F74*(1-MAX(0,1-(1-N74)*Settings!$H$34)/(1+I74)^M74),F74*(1-(1-U74)/(1+I74)^M74)*R74/(1+I74)*IF(ABS(1-(1-R74)*(1-L74)/(1+I74))&lt;0.000000001,AF74,(1-((1-R74)*(1-L74)/(1+I74))^AF74)/(1-(1-R74)*(1-L74)/(1+I74))))))</x:f>
      </x:c>
      <x:c r="Y74" s="23" t="str">
        <x:f>IF(C74="","",IF(O74&lt;&gt;"Ready","Unavailable",IF(E74=3,G74*INDEX('Facilities'!$I$9:$I$108,MATCH(C74,'Facilities'!$C$9:$C$108,0))*(1-MAX(0,1-(1-N74)*Settings!$H$32)/(1+I74)^M74),G74*INDEX('Facilities'!$I$9:$I$108,MATCH(C74,'Facilities'!$C$9:$C$108,0))*(1-(1-S74)/(1+I74)^M74)*P74/(1+I74)*IF(ABS(1-(1-P74)*(1-0)/(1+I74))&lt;0.000000001,AF74,(1-((1-P74)*(1-0)/(1+I74))^AF74)/(1-(1-P74)*(1-0)/(1+I74))))))</x:f>
      </x:c>
      <x:c r="Z74" s="23" t="str">
        <x:f>IF(C74="","",IF(O74&lt;&gt;"Ready","Unavailable",IF(E74=3,G74*INDEX('Facilities'!$I$9:$I$108,MATCH(C74,'Facilities'!$C$9:$C$108,0))*(1-MAX(0,1-(1-N74)*Settings!$H$33)/(1+I74)^M74),G74*INDEX('Facilities'!$I$9:$I$108,MATCH(C74,'Facilities'!$C$9:$C$108,0))*(1-(1-T74)/(1+I74)^M74)*Q74/(1+I74)*IF(ABS(1-(1-Q74)*(1-0)/(1+I74))&lt;0.000000001,AF74,(1-((1-Q74)*(1-0)/(1+I74))^AF74)/(1-(1-Q74)*(1-0)/(1+I74))))))</x:f>
      </x:c>
      <x:c r="AA74" s="23" t="str">
        <x:f>IF(C74="","",IF(O74&lt;&gt;"Ready","Unavailable",IF(E74=3,G74*INDEX('Facilities'!$I$9:$I$108,MATCH(C74,'Facilities'!$C$9:$C$108,0))*(1-MAX(0,1-(1-N74)*Settings!$H$34)/(1+I74)^M74),G74*INDEX('Facilities'!$I$9:$I$108,MATCH(C74,'Facilities'!$C$9:$C$108,0))*(1-(1-U74)/(1+I74)^M74)*R74/(1+I74)*IF(ABS(1-(1-R74)*(1-0)/(1+I74))&lt;0.000000001,AF74,(1-((1-R74)*(1-0)/(1+I74))^AF74)/(1-(1-R74)*(1-0)/(1+I74))))))</x:f>
      </x:c>
      <x:c r="AB74" s="23" t="str">
        <x:f>IF(C74="","",IF(O74&lt;&gt;"Ready","Unavailable",V74*Settings!$F$32+W74*Settings!$F$33+X74*Settings!$F$34))</x:f>
      </x:c>
      <x:c r="AC74" s="23" t="str">
        <x:f>IF(C74="","",IF(O74&lt;&gt;"Ready","Unavailable",Y74*Settings!$F$32+Z74*Settings!$F$33+AA74*Settings!$F$34))</x:f>
      </x:c>
      <x:c r="AD74" s="21" t="str">
        <x:f>IF(C74="","",IF(O74&lt;&gt;"Ready","Unavailable",AB74+AC74))</x:f>
      </x:c>
      <x:c r="AE74" s="17" t="str">
        <x:f>IF(C74="","",IF(OR(O74&lt;&gt;"Ready",F74=0),"Unavailable",AB74/F74))</x:f>
      </x:c>
      <x:c r="AF74" s="44" t="str">
        <x:f>IF(C74="","",IF(E74=1,1,H74))</x:f>
      </x:c>
    </x:row>
    <x:row r="75" ht="26" customHeight="1">
      <x:c r="A75" s="1"/>
      <x:c r="B75" s="1"/>
      <x:c r="C75" s="9" t="str">
        <x:f>IF(Facilities!C75="","",Facilities!C75)</x:f>
      </x:c>
      <x:c r="D75" s="9" t="str">
        <x:f>IF(C75="","",INDEX('Facilities'!$D$9:$D$108,MATCH(C75,'Facilities'!$C$9:$C$108,0)))</x:f>
      </x:c>
      <x:c r="E75" s="9" t="str">
        <x:f>IF(C75="","",INDEX('Facilities'!$AD$9:$AD$108,MATCH(C75,'Facilities'!$C$9:$C$108,0)))</x:f>
      </x:c>
      <x:c r="F75" s="23" t="str">
        <x:f>IF(C75="","",INDEX('Facilities'!$AA$9:$AA$108,MATCH(C75,'Facilities'!$C$9:$C$108,0)))</x:f>
      </x:c>
      <x:c r="G75" s="23" t="str">
        <x:f>IF(C75="","",INDEX('Facilities'!$AB$9:$AB$108,MATCH(C75,'Facilities'!$C$9:$C$108,0)))</x:f>
      </x:c>
      <x:c r="H75" s="42" t="str">
        <x:f>IF(C75="","",INDEX('Facilities'!$J$9:$J$108,MATCH(C75,'Facilities'!$C$9:$C$108,0)))</x:f>
      </x:c>
      <x:c r="I75" s="30" t="str">
        <x:f>IF(C75="","",INDEX('Facilities'!$K$9:$K$108,MATCH(C75,'Facilities'!$C$9:$C$108,0)))</x:f>
      </x:c>
      <x:c r="J75" s="30" t="str">
        <x:f>IF(C75="","",INDEX('Borrowers'!$P$9:$P$108,MATCH(D75,'Borrowers'!$C$9:$C$108,0)))</x:f>
      </x:c>
      <x:c r="K75" s="30" t="str">
        <x:f>IF(C75="","",INDEX('Borrowers'!$Q$9:$Q$108,MATCH(D75,'Borrowers'!$C$9:$C$108,0)))</x:f>
      </x:c>
      <x:c r="L75" s="30" t="str">
        <x:f>IF(C75="","",INDEX('Facilities'!$R$9:$R$108,MATCH(C75,'Facilities'!$C$9:$C$108,0)))</x:f>
      </x:c>
      <x:c r="M75" s="42" t="str">
        <x:f>IF(C75="","",INDEX('Facilities'!$AK$9:$AK$108,MATCH(C75,'Facilities'!$C$9:$C$108,0)))</x:f>
      </x:c>
      <x:c r="N75" s="30" t="str">
        <x:f>IF(C75="","",INDEX('Facilities'!$AL$9:$AL$108,MATCH(C75,'Facilities'!$C$9:$C$108,0)))</x:f>
      </x:c>
      <x:c r="O75" s="23" t="str">
        <x:f>IF(C75="","",IF(AND(INDEX('Facilities'!$AF$9:$AF$108,MATCH(C75,'Facilities'!$C$9:$C$108,0))="Ready",Settings!$F$36="Ready"),"Ready","Review ECL inputs"))</x:f>
      </x:c>
      <x:c r="P75" s="30" t="str">
        <x:f>IF(C75="","",MIN(1,J75*Settings!$G$32))</x:f>
      </x:c>
      <x:c r="Q75" s="30" t="str">
        <x:f>IF(C75="","",MIN(1,J75*Settings!$G$33))</x:f>
      </x:c>
      <x:c r="R75" s="30" t="str">
        <x:f>IF(C75="","",MIN(1,J75*Settings!$G$34))</x:f>
      </x:c>
      <x:c r="S75" s="30" t="str">
        <x:f>IF(C75="","",MIN(1,K75*Settings!$H$32))</x:f>
      </x:c>
      <x:c r="T75" s="30" t="str">
        <x:f>IF(C75="","",MIN(1,K75*Settings!$H$33))</x:f>
      </x:c>
      <x:c r="U75" s="30" t="str">
        <x:f>IF(C75="","",MIN(1,K75*Settings!$H$34))</x:f>
      </x:c>
      <x:c r="V75" s="23" t="str">
        <x:f>IF(C75="","",IF(O75&lt;&gt;"Ready","Unavailable",IF(E75=3,F75*(1-MAX(0,1-(1-N75)*Settings!$H$32)/(1+I75)^M75),F75*(1-(1-S75)/(1+I75)^M75)*P75/(1+I75)*IF(ABS(1-(1-P75)*(1-L75)/(1+I75))&lt;0.000000001,AF75,(1-((1-P75)*(1-L75)/(1+I75))^AF75)/(1-(1-P75)*(1-L75)/(1+I75))))))</x:f>
      </x:c>
      <x:c r="W75" s="23" t="str">
        <x:f>IF(C75="","",IF(O75&lt;&gt;"Ready","Unavailable",IF(E75=3,F75*(1-MAX(0,1-(1-N75)*Settings!$H$33)/(1+I75)^M75),F75*(1-(1-T75)/(1+I75)^M75)*Q75/(1+I75)*IF(ABS(1-(1-Q75)*(1-L75)/(1+I75))&lt;0.000000001,AF75,(1-((1-Q75)*(1-L75)/(1+I75))^AF75)/(1-(1-Q75)*(1-L75)/(1+I75))))))</x:f>
      </x:c>
      <x:c r="X75" s="23" t="str">
        <x:f>IF(C75="","",IF(O75&lt;&gt;"Ready","Unavailable",IF(E75=3,F75*(1-MAX(0,1-(1-N75)*Settings!$H$34)/(1+I75)^M75),F75*(1-(1-U75)/(1+I75)^M75)*R75/(1+I75)*IF(ABS(1-(1-R75)*(1-L75)/(1+I75))&lt;0.000000001,AF75,(1-((1-R75)*(1-L75)/(1+I75))^AF75)/(1-(1-R75)*(1-L75)/(1+I75))))))</x:f>
      </x:c>
      <x:c r="Y75" s="23" t="str">
        <x:f>IF(C75="","",IF(O75&lt;&gt;"Ready","Unavailable",IF(E75=3,G75*INDEX('Facilities'!$I$9:$I$108,MATCH(C75,'Facilities'!$C$9:$C$108,0))*(1-MAX(0,1-(1-N75)*Settings!$H$32)/(1+I75)^M75),G75*INDEX('Facilities'!$I$9:$I$108,MATCH(C75,'Facilities'!$C$9:$C$108,0))*(1-(1-S75)/(1+I75)^M75)*P75/(1+I75)*IF(ABS(1-(1-P75)*(1-0)/(1+I75))&lt;0.000000001,AF75,(1-((1-P75)*(1-0)/(1+I75))^AF75)/(1-(1-P75)*(1-0)/(1+I75))))))</x:f>
      </x:c>
      <x:c r="Z75" s="23" t="str">
        <x:f>IF(C75="","",IF(O75&lt;&gt;"Ready","Unavailable",IF(E75=3,G75*INDEX('Facilities'!$I$9:$I$108,MATCH(C75,'Facilities'!$C$9:$C$108,0))*(1-MAX(0,1-(1-N75)*Settings!$H$33)/(1+I75)^M75),G75*INDEX('Facilities'!$I$9:$I$108,MATCH(C75,'Facilities'!$C$9:$C$108,0))*(1-(1-T75)/(1+I75)^M75)*Q75/(1+I75)*IF(ABS(1-(1-Q75)*(1-0)/(1+I75))&lt;0.000000001,AF75,(1-((1-Q75)*(1-0)/(1+I75))^AF75)/(1-(1-Q75)*(1-0)/(1+I75))))))</x:f>
      </x:c>
      <x:c r="AA75" s="23" t="str">
        <x:f>IF(C75="","",IF(O75&lt;&gt;"Ready","Unavailable",IF(E75=3,G75*INDEX('Facilities'!$I$9:$I$108,MATCH(C75,'Facilities'!$C$9:$C$108,0))*(1-MAX(0,1-(1-N75)*Settings!$H$34)/(1+I75)^M75),G75*INDEX('Facilities'!$I$9:$I$108,MATCH(C75,'Facilities'!$C$9:$C$108,0))*(1-(1-U75)/(1+I75)^M75)*R75/(1+I75)*IF(ABS(1-(1-R75)*(1-0)/(1+I75))&lt;0.000000001,AF75,(1-((1-R75)*(1-0)/(1+I75))^AF75)/(1-(1-R75)*(1-0)/(1+I75))))))</x:f>
      </x:c>
      <x:c r="AB75" s="23" t="str">
        <x:f>IF(C75="","",IF(O75&lt;&gt;"Ready","Unavailable",V75*Settings!$F$32+W75*Settings!$F$33+X75*Settings!$F$34))</x:f>
      </x:c>
      <x:c r="AC75" s="23" t="str">
        <x:f>IF(C75="","",IF(O75&lt;&gt;"Ready","Unavailable",Y75*Settings!$F$32+Z75*Settings!$F$33+AA75*Settings!$F$34))</x:f>
      </x:c>
      <x:c r="AD75" s="21" t="str">
        <x:f>IF(C75="","",IF(O75&lt;&gt;"Ready","Unavailable",AB75+AC75))</x:f>
      </x:c>
      <x:c r="AE75" s="17" t="str">
        <x:f>IF(C75="","",IF(OR(O75&lt;&gt;"Ready",F75=0),"Unavailable",AB75/F75))</x:f>
      </x:c>
      <x:c r="AF75" s="44" t="str">
        <x:f>IF(C75="","",IF(E75=1,1,H75))</x:f>
      </x:c>
    </x:row>
    <x:row r="76" ht="26" customHeight="1">
      <x:c r="A76" s="1"/>
      <x:c r="B76" s="1"/>
      <x:c r="C76" s="9" t="str">
        <x:f>IF(Facilities!C76="","",Facilities!C76)</x:f>
      </x:c>
      <x:c r="D76" s="9" t="str">
        <x:f>IF(C76="","",INDEX('Facilities'!$D$9:$D$108,MATCH(C76,'Facilities'!$C$9:$C$108,0)))</x:f>
      </x:c>
      <x:c r="E76" s="9" t="str">
        <x:f>IF(C76="","",INDEX('Facilities'!$AD$9:$AD$108,MATCH(C76,'Facilities'!$C$9:$C$108,0)))</x:f>
      </x:c>
      <x:c r="F76" s="23" t="str">
        <x:f>IF(C76="","",INDEX('Facilities'!$AA$9:$AA$108,MATCH(C76,'Facilities'!$C$9:$C$108,0)))</x:f>
      </x:c>
      <x:c r="G76" s="23" t="str">
        <x:f>IF(C76="","",INDEX('Facilities'!$AB$9:$AB$108,MATCH(C76,'Facilities'!$C$9:$C$108,0)))</x:f>
      </x:c>
      <x:c r="H76" s="42" t="str">
        <x:f>IF(C76="","",INDEX('Facilities'!$J$9:$J$108,MATCH(C76,'Facilities'!$C$9:$C$108,0)))</x:f>
      </x:c>
      <x:c r="I76" s="30" t="str">
        <x:f>IF(C76="","",INDEX('Facilities'!$K$9:$K$108,MATCH(C76,'Facilities'!$C$9:$C$108,0)))</x:f>
      </x:c>
      <x:c r="J76" s="30" t="str">
        <x:f>IF(C76="","",INDEX('Borrowers'!$P$9:$P$108,MATCH(D76,'Borrowers'!$C$9:$C$108,0)))</x:f>
      </x:c>
      <x:c r="K76" s="30" t="str">
        <x:f>IF(C76="","",INDEX('Borrowers'!$Q$9:$Q$108,MATCH(D76,'Borrowers'!$C$9:$C$108,0)))</x:f>
      </x:c>
      <x:c r="L76" s="30" t="str">
        <x:f>IF(C76="","",INDEX('Facilities'!$R$9:$R$108,MATCH(C76,'Facilities'!$C$9:$C$108,0)))</x:f>
      </x:c>
      <x:c r="M76" s="42" t="str">
        <x:f>IF(C76="","",INDEX('Facilities'!$AK$9:$AK$108,MATCH(C76,'Facilities'!$C$9:$C$108,0)))</x:f>
      </x:c>
      <x:c r="N76" s="30" t="str">
        <x:f>IF(C76="","",INDEX('Facilities'!$AL$9:$AL$108,MATCH(C76,'Facilities'!$C$9:$C$108,0)))</x:f>
      </x:c>
      <x:c r="O76" s="23" t="str">
        <x:f>IF(C76="","",IF(AND(INDEX('Facilities'!$AF$9:$AF$108,MATCH(C76,'Facilities'!$C$9:$C$108,0))="Ready",Settings!$F$36="Ready"),"Ready","Review ECL inputs"))</x:f>
      </x:c>
      <x:c r="P76" s="30" t="str">
        <x:f>IF(C76="","",MIN(1,J76*Settings!$G$32))</x:f>
      </x:c>
      <x:c r="Q76" s="30" t="str">
        <x:f>IF(C76="","",MIN(1,J76*Settings!$G$33))</x:f>
      </x:c>
      <x:c r="R76" s="30" t="str">
        <x:f>IF(C76="","",MIN(1,J76*Settings!$G$34))</x:f>
      </x:c>
      <x:c r="S76" s="30" t="str">
        <x:f>IF(C76="","",MIN(1,K76*Settings!$H$32))</x:f>
      </x:c>
      <x:c r="T76" s="30" t="str">
        <x:f>IF(C76="","",MIN(1,K76*Settings!$H$33))</x:f>
      </x:c>
      <x:c r="U76" s="30" t="str">
        <x:f>IF(C76="","",MIN(1,K76*Settings!$H$34))</x:f>
      </x:c>
      <x:c r="V76" s="23" t="str">
        <x:f>IF(C76="","",IF(O76&lt;&gt;"Ready","Unavailable",IF(E76=3,F76*(1-MAX(0,1-(1-N76)*Settings!$H$32)/(1+I76)^M76),F76*(1-(1-S76)/(1+I76)^M76)*P76/(1+I76)*IF(ABS(1-(1-P76)*(1-L76)/(1+I76))&lt;0.000000001,AF76,(1-((1-P76)*(1-L76)/(1+I76))^AF76)/(1-(1-P76)*(1-L76)/(1+I76))))))</x:f>
      </x:c>
      <x:c r="W76" s="23" t="str">
        <x:f>IF(C76="","",IF(O76&lt;&gt;"Ready","Unavailable",IF(E76=3,F76*(1-MAX(0,1-(1-N76)*Settings!$H$33)/(1+I76)^M76),F76*(1-(1-T76)/(1+I76)^M76)*Q76/(1+I76)*IF(ABS(1-(1-Q76)*(1-L76)/(1+I76))&lt;0.000000001,AF76,(1-((1-Q76)*(1-L76)/(1+I76))^AF76)/(1-(1-Q76)*(1-L76)/(1+I76))))))</x:f>
      </x:c>
      <x:c r="X76" s="23" t="str">
        <x:f>IF(C76="","",IF(O76&lt;&gt;"Ready","Unavailable",IF(E76=3,F76*(1-MAX(0,1-(1-N76)*Settings!$H$34)/(1+I76)^M76),F76*(1-(1-U76)/(1+I76)^M76)*R76/(1+I76)*IF(ABS(1-(1-R76)*(1-L76)/(1+I76))&lt;0.000000001,AF76,(1-((1-R76)*(1-L76)/(1+I76))^AF76)/(1-(1-R76)*(1-L76)/(1+I76))))))</x:f>
      </x:c>
      <x:c r="Y76" s="23" t="str">
        <x:f>IF(C76="","",IF(O76&lt;&gt;"Ready","Unavailable",IF(E76=3,G76*INDEX('Facilities'!$I$9:$I$108,MATCH(C76,'Facilities'!$C$9:$C$108,0))*(1-MAX(0,1-(1-N76)*Settings!$H$32)/(1+I76)^M76),G76*INDEX('Facilities'!$I$9:$I$108,MATCH(C76,'Facilities'!$C$9:$C$108,0))*(1-(1-S76)/(1+I76)^M76)*P76/(1+I76)*IF(ABS(1-(1-P76)*(1-0)/(1+I76))&lt;0.000000001,AF76,(1-((1-P76)*(1-0)/(1+I76))^AF76)/(1-(1-P76)*(1-0)/(1+I76))))))</x:f>
      </x:c>
      <x:c r="Z76" s="23" t="str">
        <x:f>IF(C76="","",IF(O76&lt;&gt;"Ready","Unavailable",IF(E76=3,G76*INDEX('Facilities'!$I$9:$I$108,MATCH(C76,'Facilities'!$C$9:$C$108,0))*(1-MAX(0,1-(1-N76)*Settings!$H$33)/(1+I76)^M76),G76*INDEX('Facilities'!$I$9:$I$108,MATCH(C76,'Facilities'!$C$9:$C$108,0))*(1-(1-T76)/(1+I76)^M76)*Q76/(1+I76)*IF(ABS(1-(1-Q76)*(1-0)/(1+I76))&lt;0.000000001,AF76,(1-((1-Q76)*(1-0)/(1+I76))^AF76)/(1-(1-Q76)*(1-0)/(1+I76))))))</x:f>
      </x:c>
      <x:c r="AA76" s="23" t="str">
        <x:f>IF(C76="","",IF(O76&lt;&gt;"Ready","Unavailable",IF(E76=3,G76*INDEX('Facilities'!$I$9:$I$108,MATCH(C76,'Facilities'!$C$9:$C$108,0))*(1-MAX(0,1-(1-N76)*Settings!$H$34)/(1+I76)^M76),G76*INDEX('Facilities'!$I$9:$I$108,MATCH(C76,'Facilities'!$C$9:$C$108,0))*(1-(1-U76)/(1+I76)^M76)*R76/(1+I76)*IF(ABS(1-(1-R76)*(1-0)/(1+I76))&lt;0.000000001,AF76,(1-((1-R76)*(1-0)/(1+I76))^AF76)/(1-(1-R76)*(1-0)/(1+I76))))))</x:f>
      </x:c>
      <x:c r="AB76" s="23" t="str">
        <x:f>IF(C76="","",IF(O76&lt;&gt;"Ready","Unavailable",V76*Settings!$F$32+W76*Settings!$F$33+X76*Settings!$F$34))</x:f>
      </x:c>
      <x:c r="AC76" s="23" t="str">
        <x:f>IF(C76="","",IF(O76&lt;&gt;"Ready","Unavailable",Y76*Settings!$F$32+Z76*Settings!$F$33+AA76*Settings!$F$34))</x:f>
      </x:c>
      <x:c r="AD76" s="21" t="str">
        <x:f>IF(C76="","",IF(O76&lt;&gt;"Ready","Unavailable",AB76+AC76))</x:f>
      </x:c>
      <x:c r="AE76" s="17" t="str">
        <x:f>IF(C76="","",IF(OR(O76&lt;&gt;"Ready",F76=0),"Unavailable",AB76/F76))</x:f>
      </x:c>
      <x:c r="AF76" s="44" t="str">
        <x:f>IF(C76="","",IF(E76=1,1,H76))</x:f>
      </x:c>
    </x:row>
    <x:row r="77" ht="26" customHeight="1">
      <x:c r="A77" s="1"/>
      <x:c r="B77" s="1"/>
      <x:c r="C77" s="9" t="str">
        <x:f>IF(Facilities!C77="","",Facilities!C77)</x:f>
      </x:c>
      <x:c r="D77" s="9" t="str">
        <x:f>IF(C77="","",INDEX('Facilities'!$D$9:$D$108,MATCH(C77,'Facilities'!$C$9:$C$108,0)))</x:f>
      </x:c>
      <x:c r="E77" s="9" t="str">
        <x:f>IF(C77="","",INDEX('Facilities'!$AD$9:$AD$108,MATCH(C77,'Facilities'!$C$9:$C$108,0)))</x:f>
      </x:c>
      <x:c r="F77" s="23" t="str">
        <x:f>IF(C77="","",INDEX('Facilities'!$AA$9:$AA$108,MATCH(C77,'Facilities'!$C$9:$C$108,0)))</x:f>
      </x:c>
      <x:c r="G77" s="23" t="str">
        <x:f>IF(C77="","",INDEX('Facilities'!$AB$9:$AB$108,MATCH(C77,'Facilities'!$C$9:$C$108,0)))</x:f>
      </x:c>
      <x:c r="H77" s="42" t="str">
        <x:f>IF(C77="","",INDEX('Facilities'!$J$9:$J$108,MATCH(C77,'Facilities'!$C$9:$C$108,0)))</x:f>
      </x:c>
      <x:c r="I77" s="30" t="str">
        <x:f>IF(C77="","",INDEX('Facilities'!$K$9:$K$108,MATCH(C77,'Facilities'!$C$9:$C$108,0)))</x:f>
      </x:c>
      <x:c r="J77" s="30" t="str">
        <x:f>IF(C77="","",INDEX('Borrowers'!$P$9:$P$108,MATCH(D77,'Borrowers'!$C$9:$C$108,0)))</x:f>
      </x:c>
      <x:c r="K77" s="30" t="str">
        <x:f>IF(C77="","",INDEX('Borrowers'!$Q$9:$Q$108,MATCH(D77,'Borrowers'!$C$9:$C$108,0)))</x:f>
      </x:c>
      <x:c r="L77" s="30" t="str">
        <x:f>IF(C77="","",INDEX('Facilities'!$R$9:$R$108,MATCH(C77,'Facilities'!$C$9:$C$108,0)))</x:f>
      </x:c>
      <x:c r="M77" s="42" t="str">
        <x:f>IF(C77="","",INDEX('Facilities'!$AK$9:$AK$108,MATCH(C77,'Facilities'!$C$9:$C$108,0)))</x:f>
      </x:c>
      <x:c r="N77" s="30" t="str">
        <x:f>IF(C77="","",INDEX('Facilities'!$AL$9:$AL$108,MATCH(C77,'Facilities'!$C$9:$C$108,0)))</x:f>
      </x:c>
      <x:c r="O77" s="23" t="str">
        <x:f>IF(C77="","",IF(AND(INDEX('Facilities'!$AF$9:$AF$108,MATCH(C77,'Facilities'!$C$9:$C$108,0))="Ready",Settings!$F$36="Ready"),"Ready","Review ECL inputs"))</x:f>
      </x:c>
      <x:c r="P77" s="30" t="str">
        <x:f>IF(C77="","",MIN(1,J77*Settings!$G$32))</x:f>
      </x:c>
      <x:c r="Q77" s="30" t="str">
        <x:f>IF(C77="","",MIN(1,J77*Settings!$G$33))</x:f>
      </x:c>
      <x:c r="R77" s="30" t="str">
        <x:f>IF(C77="","",MIN(1,J77*Settings!$G$34))</x:f>
      </x:c>
      <x:c r="S77" s="30" t="str">
        <x:f>IF(C77="","",MIN(1,K77*Settings!$H$32))</x:f>
      </x:c>
      <x:c r="T77" s="30" t="str">
        <x:f>IF(C77="","",MIN(1,K77*Settings!$H$33))</x:f>
      </x:c>
      <x:c r="U77" s="30" t="str">
        <x:f>IF(C77="","",MIN(1,K77*Settings!$H$34))</x:f>
      </x:c>
      <x:c r="V77" s="23" t="str">
        <x:f>IF(C77="","",IF(O77&lt;&gt;"Ready","Unavailable",IF(E77=3,F77*(1-MAX(0,1-(1-N77)*Settings!$H$32)/(1+I77)^M77),F77*(1-(1-S77)/(1+I77)^M77)*P77/(1+I77)*IF(ABS(1-(1-P77)*(1-L77)/(1+I77))&lt;0.000000001,AF77,(1-((1-P77)*(1-L77)/(1+I77))^AF77)/(1-(1-P77)*(1-L77)/(1+I77))))))</x:f>
      </x:c>
      <x:c r="W77" s="23" t="str">
        <x:f>IF(C77="","",IF(O77&lt;&gt;"Ready","Unavailable",IF(E77=3,F77*(1-MAX(0,1-(1-N77)*Settings!$H$33)/(1+I77)^M77),F77*(1-(1-T77)/(1+I77)^M77)*Q77/(1+I77)*IF(ABS(1-(1-Q77)*(1-L77)/(1+I77))&lt;0.000000001,AF77,(1-((1-Q77)*(1-L77)/(1+I77))^AF77)/(1-(1-Q77)*(1-L77)/(1+I77))))))</x:f>
      </x:c>
      <x:c r="X77" s="23" t="str">
        <x:f>IF(C77="","",IF(O77&lt;&gt;"Ready","Unavailable",IF(E77=3,F77*(1-MAX(0,1-(1-N77)*Settings!$H$34)/(1+I77)^M77),F77*(1-(1-U77)/(1+I77)^M77)*R77/(1+I77)*IF(ABS(1-(1-R77)*(1-L77)/(1+I77))&lt;0.000000001,AF77,(1-((1-R77)*(1-L77)/(1+I77))^AF77)/(1-(1-R77)*(1-L77)/(1+I77))))))</x:f>
      </x:c>
      <x:c r="Y77" s="23" t="str">
        <x:f>IF(C77="","",IF(O77&lt;&gt;"Ready","Unavailable",IF(E77=3,G77*INDEX('Facilities'!$I$9:$I$108,MATCH(C77,'Facilities'!$C$9:$C$108,0))*(1-MAX(0,1-(1-N77)*Settings!$H$32)/(1+I77)^M77),G77*INDEX('Facilities'!$I$9:$I$108,MATCH(C77,'Facilities'!$C$9:$C$108,0))*(1-(1-S77)/(1+I77)^M77)*P77/(1+I77)*IF(ABS(1-(1-P77)*(1-0)/(1+I77))&lt;0.000000001,AF77,(1-((1-P77)*(1-0)/(1+I77))^AF77)/(1-(1-P77)*(1-0)/(1+I77))))))</x:f>
      </x:c>
      <x:c r="Z77" s="23" t="str">
        <x:f>IF(C77="","",IF(O77&lt;&gt;"Ready","Unavailable",IF(E77=3,G77*INDEX('Facilities'!$I$9:$I$108,MATCH(C77,'Facilities'!$C$9:$C$108,0))*(1-MAX(0,1-(1-N77)*Settings!$H$33)/(1+I77)^M77),G77*INDEX('Facilities'!$I$9:$I$108,MATCH(C77,'Facilities'!$C$9:$C$108,0))*(1-(1-T77)/(1+I77)^M77)*Q77/(1+I77)*IF(ABS(1-(1-Q77)*(1-0)/(1+I77))&lt;0.000000001,AF77,(1-((1-Q77)*(1-0)/(1+I77))^AF77)/(1-(1-Q77)*(1-0)/(1+I77))))))</x:f>
      </x:c>
      <x:c r="AA77" s="23" t="str">
        <x:f>IF(C77="","",IF(O77&lt;&gt;"Ready","Unavailable",IF(E77=3,G77*INDEX('Facilities'!$I$9:$I$108,MATCH(C77,'Facilities'!$C$9:$C$108,0))*(1-MAX(0,1-(1-N77)*Settings!$H$34)/(1+I77)^M77),G77*INDEX('Facilities'!$I$9:$I$108,MATCH(C77,'Facilities'!$C$9:$C$108,0))*(1-(1-U77)/(1+I77)^M77)*R77/(1+I77)*IF(ABS(1-(1-R77)*(1-0)/(1+I77))&lt;0.000000001,AF77,(1-((1-R77)*(1-0)/(1+I77))^AF77)/(1-(1-R77)*(1-0)/(1+I77))))))</x:f>
      </x:c>
      <x:c r="AB77" s="23" t="str">
        <x:f>IF(C77="","",IF(O77&lt;&gt;"Ready","Unavailable",V77*Settings!$F$32+W77*Settings!$F$33+X77*Settings!$F$34))</x:f>
      </x:c>
      <x:c r="AC77" s="23" t="str">
        <x:f>IF(C77="","",IF(O77&lt;&gt;"Ready","Unavailable",Y77*Settings!$F$32+Z77*Settings!$F$33+AA77*Settings!$F$34))</x:f>
      </x:c>
      <x:c r="AD77" s="21" t="str">
        <x:f>IF(C77="","",IF(O77&lt;&gt;"Ready","Unavailable",AB77+AC77))</x:f>
      </x:c>
      <x:c r="AE77" s="17" t="str">
        <x:f>IF(C77="","",IF(OR(O77&lt;&gt;"Ready",F77=0),"Unavailable",AB77/F77))</x:f>
      </x:c>
      <x:c r="AF77" s="44" t="str">
        <x:f>IF(C77="","",IF(E77=1,1,H77))</x:f>
      </x:c>
    </x:row>
    <x:row r="78" ht="26" customHeight="1">
      <x:c r="A78" s="1"/>
      <x:c r="B78" s="1"/>
      <x:c r="C78" s="9" t="str">
        <x:f>IF(Facilities!C78="","",Facilities!C78)</x:f>
      </x:c>
      <x:c r="D78" s="9" t="str">
        <x:f>IF(C78="","",INDEX('Facilities'!$D$9:$D$108,MATCH(C78,'Facilities'!$C$9:$C$108,0)))</x:f>
      </x:c>
      <x:c r="E78" s="9" t="str">
        <x:f>IF(C78="","",INDEX('Facilities'!$AD$9:$AD$108,MATCH(C78,'Facilities'!$C$9:$C$108,0)))</x:f>
      </x:c>
      <x:c r="F78" s="23" t="str">
        <x:f>IF(C78="","",INDEX('Facilities'!$AA$9:$AA$108,MATCH(C78,'Facilities'!$C$9:$C$108,0)))</x:f>
      </x:c>
      <x:c r="G78" s="23" t="str">
        <x:f>IF(C78="","",INDEX('Facilities'!$AB$9:$AB$108,MATCH(C78,'Facilities'!$C$9:$C$108,0)))</x:f>
      </x:c>
      <x:c r="H78" s="42" t="str">
        <x:f>IF(C78="","",INDEX('Facilities'!$J$9:$J$108,MATCH(C78,'Facilities'!$C$9:$C$108,0)))</x:f>
      </x:c>
      <x:c r="I78" s="30" t="str">
        <x:f>IF(C78="","",INDEX('Facilities'!$K$9:$K$108,MATCH(C78,'Facilities'!$C$9:$C$108,0)))</x:f>
      </x:c>
      <x:c r="J78" s="30" t="str">
        <x:f>IF(C78="","",INDEX('Borrowers'!$P$9:$P$108,MATCH(D78,'Borrowers'!$C$9:$C$108,0)))</x:f>
      </x:c>
      <x:c r="K78" s="30" t="str">
        <x:f>IF(C78="","",INDEX('Borrowers'!$Q$9:$Q$108,MATCH(D78,'Borrowers'!$C$9:$C$108,0)))</x:f>
      </x:c>
      <x:c r="L78" s="30" t="str">
        <x:f>IF(C78="","",INDEX('Facilities'!$R$9:$R$108,MATCH(C78,'Facilities'!$C$9:$C$108,0)))</x:f>
      </x:c>
      <x:c r="M78" s="42" t="str">
        <x:f>IF(C78="","",INDEX('Facilities'!$AK$9:$AK$108,MATCH(C78,'Facilities'!$C$9:$C$108,0)))</x:f>
      </x:c>
      <x:c r="N78" s="30" t="str">
        <x:f>IF(C78="","",INDEX('Facilities'!$AL$9:$AL$108,MATCH(C78,'Facilities'!$C$9:$C$108,0)))</x:f>
      </x:c>
      <x:c r="O78" s="23" t="str">
        <x:f>IF(C78="","",IF(AND(INDEX('Facilities'!$AF$9:$AF$108,MATCH(C78,'Facilities'!$C$9:$C$108,0))="Ready",Settings!$F$36="Ready"),"Ready","Review ECL inputs"))</x:f>
      </x:c>
      <x:c r="P78" s="30" t="str">
        <x:f>IF(C78="","",MIN(1,J78*Settings!$G$32))</x:f>
      </x:c>
      <x:c r="Q78" s="30" t="str">
        <x:f>IF(C78="","",MIN(1,J78*Settings!$G$33))</x:f>
      </x:c>
      <x:c r="R78" s="30" t="str">
        <x:f>IF(C78="","",MIN(1,J78*Settings!$G$34))</x:f>
      </x:c>
      <x:c r="S78" s="30" t="str">
        <x:f>IF(C78="","",MIN(1,K78*Settings!$H$32))</x:f>
      </x:c>
      <x:c r="T78" s="30" t="str">
        <x:f>IF(C78="","",MIN(1,K78*Settings!$H$33))</x:f>
      </x:c>
      <x:c r="U78" s="30" t="str">
        <x:f>IF(C78="","",MIN(1,K78*Settings!$H$34))</x:f>
      </x:c>
      <x:c r="V78" s="23" t="str">
        <x:f>IF(C78="","",IF(O78&lt;&gt;"Ready","Unavailable",IF(E78=3,F78*(1-MAX(0,1-(1-N78)*Settings!$H$32)/(1+I78)^M78),F78*(1-(1-S78)/(1+I78)^M78)*P78/(1+I78)*IF(ABS(1-(1-P78)*(1-L78)/(1+I78))&lt;0.000000001,AF78,(1-((1-P78)*(1-L78)/(1+I78))^AF78)/(1-(1-P78)*(1-L78)/(1+I78))))))</x:f>
      </x:c>
      <x:c r="W78" s="23" t="str">
        <x:f>IF(C78="","",IF(O78&lt;&gt;"Ready","Unavailable",IF(E78=3,F78*(1-MAX(0,1-(1-N78)*Settings!$H$33)/(1+I78)^M78),F78*(1-(1-T78)/(1+I78)^M78)*Q78/(1+I78)*IF(ABS(1-(1-Q78)*(1-L78)/(1+I78))&lt;0.000000001,AF78,(1-((1-Q78)*(1-L78)/(1+I78))^AF78)/(1-(1-Q78)*(1-L78)/(1+I78))))))</x:f>
      </x:c>
      <x:c r="X78" s="23" t="str">
        <x:f>IF(C78="","",IF(O78&lt;&gt;"Ready","Unavailable",IF(E78=3,F78*(1-MAX(0,1-(1-N78)*Settings!$H$34)/(1+I78)^M78),F78*(1-(1-U78)/(1+I78)^M78)*R78/(1+I78)*IF(ABS(1-(1-R78)*(1-L78)/(1+I78))&lt;0.000000001,AF78,(1-((1-R78)*(1-L78)/(1+I78))^AF78)/(1-(1-R78)*(1-L78)/(1+I78))))))</x:f>
      </x:c>
      <x:c r="Y78" s="23" t="str">
        <x:f>IF(C78="","",IF(O78&lt;&gt;"Ready","Unavailable",IF(E78=3,G78*INDEX('Facilities'!$I$9:$I$108,MATCH(C78,'Facilities'!$C$9:$C$108,0))*(1-MAX(0,1-(1-N78)*Settings!$H$32)/(1+I78)^M78),G78*INDEX('Facilities'!$I$9:$I$108,MATCH(C78,'Facilities'!$C$9:$C$108,0))*(1-(1-S78)/(1+I78)^M78)*P78/(1+I78)*IF(ABS(1-(1-P78)*(1-0)/(1+I78))&lt;0.000000001,AF78,(1-((1-P78)*(1-0)/(1+I78))^AF78)/(1-(1-P78)*(1-0)/(1+I78))))))</x:f>
      </x:c>
      <x:c r="Z78" s="23" t="str">
        <x:f>IF(C78="","",IF(O78&lt;&gt;"Ready","Unavailable",IF(E78=3,G78*INDEX('Facilities'!$I$9:$I$108,MATCH(C78,'Facilities'!$C$9:$C$108,0))*(1-MAX(0,1-(1-N78)*Settings!$H$33)/(1+I78)^M78),G78*INDEX('Facilities'!$I$9:$I$108,MATCH(C78,'Facilities'!$C$9:$C$108,0))*(1-(1-T78)/(1+I78)^M78)*Q78/(1+I78)*IF(ABS(1-(1-Q78)*(1-0)/(1+I78))&lt;0.000000001,AF78,(1-((1-Q78)*(1-0)/(1+I78))^AF78)/(1-(1-Q78)*(1-0)/(1+I78))))))</x:f>
      </x:c>
      <x:c r="AA78" s="23" t="str">
        <x:f>IF(C78="","",IF(O78&lt;&gt;"Ready","Unavailable",IF(E78=3,G78*INDEX('Facilities'!$I$9:$I$108,MATCH(C78,'Facilities'!$C$9:$C$108,0))*(1-MAX(0,1-(1-N78)*Settings!$H$34)/(1+I78)^M78),G78*INDEX('Facilities'!$I$9:$I$108,MATCH(C78,'Facilities'!$C$9:$C$108,0))*(1-(1-U78)/(1+I78)^M78)*R78/(1+I78)*IF(ABS(1-(1-R78)*(1-0)/(1+I78))&lt;0.000000001,AF78,(1-((1-R78)*(1-0)/(1+I78))^AF78)/(1-(1-R78)*(1-0)/(1+I78))))))</x:f>
      </x:c>
      <x:c r="AB78" s="23" t="str">
        <x:f>IF(C78="","",IF(O78&lt;&gt;"Ready","Unavailable",V78*Settings!$F$32+W78*Settings!$F$33+X78*Settings!$F$34))</x:f>
      </x:c>
      <x:c r="AC78" s="23" t="str">
        <x:f>IF(C78="","",IF(O78&lt;&gt;"Ready","Unavailable",Y78*Settings!$F$32+Z78*Settings!$F$33+AA78*Settings!$F$34))</x:f>
      </x:c>
      <x:c r="AD78" s="21" t="str">
        <x:f>IF(C78="","",IF(O78&lt;&gt;"Ready","Unavailable",AB78+AC78))</x:f>
      </x:c>
      <x:c r="AE78" s="17" t="str">
        <x:f>IF(C78="","",IF(OR(O78&lt;&gt;"Ready",F78=0),"Unavailable",AB78/F78))</x:f>
      </x:c>
      <x:c r="AF78" s="44" t="str">
        <x:f>IF(C78="","",IF(E78=1,1,H78))</x:f>
      </x:c>
    </x:row>
    <x:row r="79" ht="26" customHeight="1">
      <x:c r="A79" s="1"/>
      <x:c r="B79" s="1"/>
      <x:c r="C79" s="9" t="str">
        <x:f>IF(Facilities!C79="","",Facilities!C79)</x:f>
      </x:c>
      <x:c r="D79" s="9" t="str">
        <x:f>IF(C79="","",INDEX('Facilities'!$D$9:$D$108,MATCH(C79,'Facilities'!$C$9:$C$108,0)))</x:f>
      </x:c>
      <x:c r="E79" s="9" t="str">
        <x:f>IF(C79="","",INDEX('Facilities'!$AD$9:$AD$108,MATCH(C79,'Facilities'!$C$9:$C$108,0)))</x:f>
      </x:c>
      <x:c r="F79" s="23" t="str">
        <x:f>IF(C79="","",INDEX('Facilities'!$AA$9:$AA$108,MATCH(C79,'Facilities'!$C$9:$C$108,0)))</x:f>
      </x:c>
      <x:c r="G79" s="23" t="str">
        <x:f>IF(C79="","",INDEX('Facilities'!$AB$9:$AB$108,MATCH(C79,'Facilities'!$C$9:$C$108,0)))</x:f>
      </x:c>
      <x:c r="H79" s="42" t="str">
        <x:f>IF(C79="","",INDEX('Facilities'!$J$9:$J$108,MATCH(C79,'Facilities'!$C$9:$C$108,0)))</x:f>
      </x:c>
      <x:c r="I79" s="30" t="str">
        <x:f>IF(C79="","",INDEX('Facilities'!$K$9:$K$108,MATCH(C79,'Facilities'!$C$9:$C$108,0)))</x:f>
      </x:c>
      <x:c r="J79" s="30" t="str">
        <x:f>IF(C79="","",INDEX('Borrowers'!$P$9:$P$108,MATCH(D79,'Borrowers'!$C$9:$C$108,0)))</x:f>
      </x:c>
      <x:c r="K79" s="30" t="str">
        <x:f>IF(C79="","",INDEX('Borrowers'!$Q$9:$Q$108,MATCH(D79,'Borrowers'!$C$9:$C$108,0)))</x:f>
      </x:c>
      <x:c r="L79" s="30" t="str">
        <x:f>IF(C79="","",INDEX('Facilities'!$R$9:$R$108,MATCH(C79,'Facilities'!$C$9:$C$108,0)))</x:f>
      </x:c>
      <x:c r="M79" s="42" t="str">
        <x:f>IF(C79="","",INDEX('Facilities'!$AK$9:$AK$108,MATCH(C79,'Facilities'!$C$9:$C$108,0)))</x:f>
      </x:c>
      <x:c r="N79" s="30" t="str">
        <x:f>IF(C79="","",INDEX('Facilities'!$AL$9:$AL$108,MATCH(C79,'Facilities'!$C$9:$C$108,0)))</x:f>
      </x:c>
      <x:c r="O79" s="23" t="str">
        <x:f>IF(C79="","",IF(AND(INDEX('Facilities'!$AF$9:$AF$108,MATCH(C79,'Facilities'!$C$9:$C$108,0))="Ready",Settings!$F$36="Ready"),"Ready","Review ECL inputs"))</x:f>
      </x:c>
      <x:c r="P79" s="30" t="str">
        <x:f>IF(C79="","",MIN(1,J79*Settings!$G$32))</x:f>
      </x:c>
      <x:c r="Q79" s="30" t="str">
        <x:f>IF(C79="","",MIN(1,J79*Settings!$G$33))</x:f>
      </x:c>
      <x:c r="R79" s="30" t="str">
        <x:f>IF(C79="","",MIN(1,J79*Settings!$G$34))</x:f>
      </x:c>
      <x:c r="S79" s="30" t="str">
        <x:f>IF(C79="","",MIN(1,K79*Settings!$H$32))</x:f>
      </x:c>
      <x:c r="T79" s="30" t="str">
        <x:f>IF(C79="","",MIN(1,K79*Settings!$H$33))</x:f>
      </x:c>
      <x:c r="U79" s="30" t="str">
        <x:f>IF(C79="","",MIN(1,K79*Settings!$H$34))</x:f>
      </x:c>
      <x:c r="V79" s="23" t="str">
        <x:f>IF(C79="","",IF(O79&lt;&gt;"Ready","Unavailable",IF(E79=3,F79*(1-MAX(0,1-(1-N79)*Settings!$H$32)/(1+I79)^M79),F79*(1-(1-S79)/(1+I79)^M79)*P79/(1+I79)*IF(ABS(1-(1-P79)*(1-L79)/(1+I79))&lt;0.000000001,AF79,(1-((1-P79)*(1-L79)/(1+I79))^AF79)/(1-(1-P79)*(1-L79)/(1+I79))))))</x:f>
      </x:c>
      <x:c r="W79" s="23" t="str">
        <x:f>IF(C79="","",IF(O79&lt;&gt;"Ready","Unavailable",IF(E79=3,F79*(1-MAX(0,1-(1-N79)*Settings!$H$33)/(1+I79)^M79),F79*(1-(1-T79)/(1+I79)^M79)*Q79/(1+I79)*IF(ABS(1-(1-Q79)*(1-L79)/(1+I79))&lt;0.000000001,AF79,(1-((1-Q79)*(1-L79)/(1+I79))^AF79)/(1-(1-Q79)*(1-L79)/(1+I79))))))</x:f>
      </x:c>
      <x:c r="X79" s="23" t="str">
        <x:f>IF(C79="","",IF(O79&lt;&gt;"Ready","Unavailable",IF(E79=3,F79*(1-MAX(0,1-(1-N79)*Settings!$H$34)/(1+I79)^M79),F79*(1-(1-U79)/(1+I79)^M79)*R79/(1+I79)*IF(ABS(1-(1-R79)*(1-L79)/(1+I79))&lt;0.000000001,AF79,(1-((1-R79)*(1-L79)/(1+I79))^AF79)/(1-(1-R79)*(1-L79)/(1+I79))))))</x:f>
      </x:c>
      <x:c r="Y79" s="23" t="str">
        <x:f>IF(C79="","",IF(O79&lt;&gt;"Ready","Unavailable",IF(E79=3,G79*INDEX('Facilities'!$I$9:$I$108,MATCH(C79,'Facilities'!$C$9:$C$108,0))*(1-MAX(0,1-(1-N79)*Settings!$H$32)/(1+I79)^M79),G79*INDEX('Facilities'!$I$9:$I$108,MATCH(C79,'Facilities'!$C$9:$C$108,0))*(1-(1-S79)/(1+I79)^M79)*P79/(1+I79)*IF(ABS(1-(1-P79)*(1-0)/(1+I79))&lt;0.000000001,AF79,(1-((1-P79)*(1-0)/(1+I79))^AF79)/(1-(1-P79)*(1-0)/(1+I79))))))</x:f>
      </x:c>
      <x:c r="Z79" s="23" t="str">
        <x:f>IF(C79="","",IF(O79&lt;&gt;"Ready","Unavailable",IF(E79=3,G79*INDEX('Facilities'!$I$9:$I$108,MATCH(C79,'Facilities'!$C$9:$C$108,0))*(1-MAX(0,1-(1-N79)*Settings!$H$33)/(1+I79)^M79),G79*INDEX('Facilities'!$I$9:$I$108,MATCH(C79,'Facilities'!$C$9:$C$108,0))*(1-(1-T79)/(1+I79)^M79)*Q79/(1+I79)*IF(ABS(1-(1-Q79)*(1-0)/(1+I79))&lt;0.000000001,AF79,(1-((1-Q79)*(1-0)/(1+I79))^AF79)/(1-(1-Q79)*(1-0)/(1+I79))))))</x:f>
      </x:c>
      <x:c r="AA79" s="23" t="str">
        <x:f>IF(C79="","",IF(O79&lt;&gt;"Ready","Unavailable",IF(E79=3,G79*INDEX('Facilities'!$I$9:$I$108,MATCH(C79,'Facilities'!$C$9:$C$108,0))*(1-MAX(0,1-(1-N79)*Settings!$H$34)/(1+I79)^M79),G79*INDEX('Facilities'!$I$9:$I$108,MATCH(C79,'Facilities'!$C$9:$C$108,0))*(1-(1-U79)/(1+I79)^M79)*R79/(1+I79)*IF(ABS(1-(1-R79)*(1-0)/(1+I79))&lt;0.000000001,AF79,(1-((1-R79)*(1-0)/(1+I79))^AF79)/(1-(1-R79)*(1-0)/(1+I79))))))</x:f>
      </x:c>
      <x:c r="AB79" s="23" t="str">
        <x:f>IF(C79="","",IF(O79&lt;&gt;"Ready","Unavailable",V79*Settings!$F$32+W79*Settings!$F$33+X79*Settings!$F$34))</x:f>
      </x:c>
      <x:c r="AC79" s="23" t="str">
        <x:f>IF(C79="","",IF(O79&lt;&gt;"Ready","Unavailable",Y79*Settings!$F$32+Z79*Settings!$F$33+AA79*Settings!$F$34))</x:f>
      </x:c>
      <x:c r="AD79" s="21" t="str">
        <x:f>IF(C79="","",IF(O79&lt;&gt;"Ready","Unavailable",AB79+AC79))</x:f>
      </x:c>
      <x:c r="AE79" s="17" t="str">
        <x:f>IF(C79="","",IF(OR(O79&lt;&gt;"Ready",F79=0),"Unavailable",AB79/F79))</x:f>
      </x:c>
      <x:c r="AF79" s="44" t="str">
        <x:f>IF(C79="","",IF(E79=1,1,H79))</x:f>
      </x:c>
    </x:row>
    <x:row r="80" ht="26" customHeight="1">
      <x:c r="A80" s="1"/>
      <x:c r="B80" s="1"/>
      <x:c r="C80" s="9" t="str">
        <x:f>IF(Facilities!C80="","",Facilities!C80)</x:f>
      </x:c>
      <x:c r="D80" s="9" t="str">
        <x:f>IF(C80="","",INDEX('Facilities'!$D$9:$D$108,MATCH(C80,'Facilities'!$C$9:$C$108,0)))</x:f>
      </x:c>
      <x:c r="E80" s="9" t="str">
        <x:f>IF(C80="","",INDEX('Facilities'!$AD$9:$AD$108,MATCH(C80,'Facilities'!$C$9:$C$108,0)))</x:f>
      </x:c>
      <x:c r="F80" s="23" t="str">
        <x:f>IF(C80="","",INDEX('Facilities'!$AA$9:$AA$108,MATCH(C80,'Facilities'!$C$9:$C$108,0)))</x:f>
      </x:c>
      <x:c r="G80" s="23" t="str">
        <x:f>IF(C80="","",INDEX('Facilities'!$AB$9:$AB$108,MATCH(C80,'Facilities'!$C$9:$C$108,0)))</x:f>
      </x:c>
      <x:c r="H80" s="42" t="str">
        <x:f>IF(C80="","",INDEX('Facilities'!$J$9:$J$108,MATCH(C80,'Facilities'!$C$9:$C$108,0)))</x:f>
      </x:c>
      <x:c r="I80" s="30" t="str">
        <x:f>IF(C80="","",INDEX('Facilities'!$K$9:$K$108,MATCH(C80,'Facilities'!$C$9:$C$108,0)))</x:f>
      </x:c>
      <x:c r="J80" s="30" t="str">
        <x:f>IF(C80="","",INDEX('Borrowers'!$P$9:$P$108,MATCH(D80,'Borrowers'!$C$9:$C$108,0)))</x:f>
      </x:c>
      <x:c r="K80" s="30" t="str">
        <x:f>IF(C80="","",INDEX('Borrowers'!$Q$9:$Q$108,MATCH(D80,'Borrowers'!$C$9:$C$108,0)))</x:f>
      </x:c>
      <x:c r="L80" s="30" t="str">
        <x:f>IF(C80="","",INDEX('Facilities'!$R$9:$R$108,MATCH(C80,'Facilities'!$C$9:$C$108,0)))</x:f>
      </x:c>
      <x:c r="M80" s="42" t="str">
        <x:f>IF(C80="","",INDEX('Facilities'!$AK$9:$AK$108,MATCH(C80,'Facilities'!$C$9:$C$108,0)))</x:f>
      </x:c>
      <x:c r="N80" s="30" t="str">
        <x:f>IF(C80="","",INDEX('Facilities'!$AL$9:$AL$108,MATCH(C80,'Facilities'!$C$9:$C$108,0)))</x:f>
      </x:c>
      <x:c r="O80" s="23" t="str">
        <x:f>IF(C80="","",IF(AND(INDEX('Facilities'!$AF$9:$AF$108,MATCH(C80,'Facilities'!$C$9:$C$108,0))="Ready",Settings!$F$36="Ready"),"Ready","Review ECL inputs"))</x:f>
      </x:c>
      <x:c r="P80" s="30" t="str">
        <x:f>IF(C80="","",MIN(1,J80*Settings!$G$32))</x:f>
      </x:c>
      <x:c r="Q80" s="30" t="str">
        <x:f>IF(C80="","",MIN(1,J80*Settings!$G$33))</x:f>
      </x:c>
      <x:c r="R80" s="30" t="str">
        <x:f>IF(C80="","",MIN(1,J80*Settings!$G$34))</x:f>
      </x:c>
      <x:c r="S80" s="30" t="str">
        <x:f>IF(C80="","",MIN(1,K80*Settings!$H$32))</x:f>
      </x:c>
      <x:c r="T80" s="30" t="str">
        <x:f>IF(C80="","",MIN(1,K80*Settings!$H$33))</x:f>
      </x:c>
      <x:c r="U80" s="30" t="str">
        <x:f>IF(C80="","",MIN(1,K80*Settings!$H$34))</x:f>
      </x:c>
      <x:c r="V80" s="23" t="str">
        <x:f>IF(C80="","",IF(O80&lt;&gt;"Ready","Unavailable",IF(E80=3,F80*(1-MAX(0,1-(1-N80)*Settings!$H$32)/(1+I80)^M80),F80*(1-(1-S80)/(1+I80)^M80)*P80/(1+I80)*IF(ABS(1-(1-P80)*(1-L80)/(1+I80))&lt;0.000000001,AF80,(1-((1-P80)*(1-L80)/(1+I80))^AF80)/(1-(1-P80)*(1-L80)/(1+I80))))))</x:f>
      </x:c>
      <x:c r="W80" s="23" t="str">
        <x:f>IF(C80="","",IF(O80&lt;&gt;"Ready","Unavailable",IF(E80=3,F80*(1-MAX(0,1-(1-N80)*Settings!$H$33)/(1+I80)^M80),F80*(1-(1-T80)/(1+I80)^M80)*Q80/(1+I80)*IF(ABS(1-(1-Q80)*(1-L80)/(1+I80))&lt;0.000000001,AF80,(1-((1-Q80)*(1-L80)/(1+I80))^AF80)/(1-(1-Q80)*(1-L80)/(1+I80))))))</x:f>
      </x:c>
      <x:c r="X80" s="23" t="str">
        <x:f>IF(C80="","",IF(O80&lt;&gt;"Ready","Unavailable",IF(E80=3,F80*(1-MAX(0,1-(1-N80)*Settings!$H$34)/(1+I80)^M80),F80*(1-(1-U80)/(1+I80)^M80)*R80/(1+I80)*IF(ABS(1-(1-R80)*(1-L80)/(1+I80))&lt;0.000000001,AF80,(1-((1-R80)*(1-L80)/(1+I80))^AF80)/(1-(1-R80)*(1-L80)/(1+I80))))))</x:f>
      </x:c>
      <x:c r="Y80" s="23" t="str">
        <x:f>IF(C80="","",IF(O80&lt;&gt;"Ready","Unavailable",IF(E80=3,G80*INDEX('Facilities'!$I$9:$I$108,MATCH(C80,'Facilities'!$C$9:$C$108,0))*(1-MAX(0,1-(1-N80)*Settings!$H$32)/(1+I80)^M80),G80*INDEX('Facilities'!$I$9:$I$108,MATCH(C80,'Facilities'!$C$9:$C$108,0))*(1-(1-S80)/(1+I80)^M80)*P80/(1+I80)*IF(ABS(1-(1-P80)*(1-0)/(1+I80))&lt;0.000000001,AF80,(1-((1-P80)*(1-0)/(1+I80))^AF80)/(1-(1-P80)*(1-0)/(1+I80))))))</x:f>
      </x:c>
      <x:c r="Z80" s="23" t="str">
        <x:f>IF(C80="","",IF(O80&lt;&gt;"Ready","Unavailable",IF(E80=3,G80*INDEX('Facilities'!$I$9:$I$108,MATCH(C80,'Facilities'!$C$9:$C$108,0))*(1-MAX(0,1-(1-N80)*Settings!$H$33)/(1+I80)^M80),G80*INDEX('Facilities'!$I$9:$I$108,MATCH(C80,'Facilities'!$C$9:$C$108,0))*(1-(1-T80)/(1+I80)^M80)*Q80/(1+I80)*IF(ABS(1-(1-Q80)*(1-0)/(1+I80))&lt;0.000000001,AF80,(1-((1-Q80)*(1-0)/(1+I80))^AF80)/(1-(1-Q80)*(1-0)/(1+I80))))))</x:f>
      </x:c>
      <x:c r="AA80" s="23" t="str">
        <x:f>IF(C80="","",IF(O80&lt;&gt;"Ready","Unavailable",IF(E80=3,G80*INDEX('Facilities'!$I$9:$I$108,MATCH(C80,'Facilities'!$C$9:$C$108,0))*(1-MAX(0,1-(1-N80)*Settings!$H$34)/(1+I80)^M80),G80*INDEX('Facilities'!$I$9:$I$108,MATCH(C80,'Facilities'!$C$9:$C$108,0))*(1-(1-U80)/(1+I80)^M80)*R80/(1+I80)*IF(ABS(1-(1-R80)*(1-0)/(1+I80))&lt;0.000000001,AF80,(1-((1-R80)*(1-0)/(1+I80))^AF80)/(1-(1-R80)*(1-0)/(1+I80))))))</x:f>
      </x:c>
      <x:c r="AB80" s="23" t="str">
        <x:f>IF(C80="","",IF(O80&lt;&gt;"Ready","Unavailable",V80*Settings!$F$32+W80*Settings!$F$33+X80*Settings!$F$34))</x:f>
      </x:c>
      <x:c r="AC80" s="23" t="str">
        <x:f>IF(C80="","",IF(O80&lt;&gt;"Ready","Unavailable",Y80*Settings!$F$32+Z80*Settings!$F$33+AA80*Settings!$F$34))</x:f>
      </x:c>
      <x:c r="AD80" s="21" t="str">
        <x:f>IF(C80="","",IF(O80&lt;&gt;"Ready","Unavailable",AB80+AC80))</x:f>
      </x:c>
      <x:c r="AE80" s="17" t="str">
        <x:f>IF(C80="","",IF(OR(O80&lt;&gt;"Ready",F80=0),"Unavailable",AB80/F80))</x:f>
      </x:c>
      <x:c r="AF80" s="44" t="str">
        <x:f>IF(C80="","",IF(E80=1,1,H80))</x:f>
      </x:c>
    </x:row>
    <x:row r="81" ht="26" customHeight="1">
      <x:c r="A81" s="1"/>
      <x:c r="B81" s="1"/>
      <x:c r="C81" s="9" t="str">
        <x:f>IF(Facilities!C81="","",Facilities!C81)</x:f>
      </x:c>
      <x:c r="D81" s="9" t="str">
        <x:f>IF(C81="","",INDEX('Facilities'!$D$9:$D$108,MATCH(C81,'Facilities'!$C$9:$C$108,0)))</x:f>
      </x:c>
      <x:c r="E81" s="9" t="str">
        <x:f>IF(C81="","",INDEX('Facilities'!$AD$9:$AD$108,MATCH(C81,'Facilities'!$C$9:$C$108,0)))</x:f>
      </x:c>
      <x:c r="F81" s="23" t="str">
        <x:f>IF(C81="","",INDEX('Facilities'!$AA$9:$AA$108,MATCH(C81,'Facilities'!$C$9:$C$108,0)))</x:f>
      </x:c>
      <x:c r="G81" s="23" t="str">
        <x:f>IF(C81="","",INDEX('Facilities'!$AB$9:$AB$108,MATCH(C81,'Facilities'!$C$9:$C$108,0)))</x:f>
      </x:c>
      <x:c r="H81" s="42" t="str">
        <x:f>IF(C81="","",INDEX('Facilities'!$J$9:$J$108,MATCH(C81,'Facilities'!$C$9:$C$108,0)))</x:f>
      </x:c>
      <x:c r="I81" s="30" t="str">
        <x:f>IF(C81="","",INDEX('Facilities'!$K$9:$K$108,MATCH(C81,'Facilities'!$C$9:$C$108,0)))</x:f>
      </x:c>
      <x:c r="J81" s="30" t="str">
        <x:f>IF(C81="","",INDEX('Borrowers'!$P$9:$P$108,MATCH(D81,'Borrowers'!$C$9:$C$108,0)))</x:f>
      </x:c>
      <x:c r="K81" s="30" t="str">
        <x:f>IF(C81="","",INDEX('Borrowers'!$Q$9:$Q$108,MATCH(D81,'Borrowers'!$C$9:$C$108,0)))</x:f>
      </x:c>
      <x:c r="L81" s="30" t="str">
        <x:f>IF(C81="","",INDEX('Facilities'!$R$9:$R$108,MATCH(C81,'Facilities'!$C$9:$C$108,0)))</x:f>
      </x:c>
      <x:c r="M81" s="42" t="str">
        <x:f>IF(C81="","",INDEX('Facilities'!$AK$9:$AK$108,MATCH(C81,'Facilities'!$C$9:$C$108,0)))</x:f>
      </x:c>
      <x:c r="N81" s="30" t="str">
        <x:f>IF(C81="","",INDEX('Facilities'!$AL$9:$AL$108,MATCH(C81,'Facilities'!$C$9:$C$108,0)))</x:f>
      </x:c>
      <x:c r="O81" s="23" t="str">
        <x:f>IF(C81="","",IF(AND(INDEX('Facilities'!$AF$9:$AF$108,MATCH(C81,'Facilities'!$C$9:$C$108,0))="Ready",Settings!$F$36="Ready"),"Ready","Review ECL inputs"))</x:f>
      </x:c>
      <x:c r="P81" s="30" t="str">
        <x:f>IF(C81="","",MIN(1,J81*Settings!$G$32))</x:f>
      </x:c>
      <x:c r="Q81" s="30" t="str">
        <x:f>IF(C81="","",MIN(1,J81*Settings!$G$33))</x:f>
      </x:c>
      <x:c r="R81" s="30" t="str">
        <x:f>IF(C81="","",MIN(1,J81*Settings!$G$34))</x:f>
      </x:c>
      <x:c r="S81" s="30" t="str">
        <x:f>IF(C81="","",MIN(1,K81*Settings!$H$32))</x:f>
      </x:c>
      <x:c r="T81" s="30" t="str">
        <x:f>IF(C81="","",MIN(1,K81*Settings!$H$33))</x:f>
      </x:c>
      <x:c r="U81" s="30" t="str">
        <x:f>IF(C81="","",MIN(1,K81*Settings!$H$34))</x:f>
      </x:c>
      <x:c r="V81" s="23" t="str">
        <x:f>IF(C81="","",IF(O81&lt;&gt;"Ready","Unavailable",IF(E81=3,F81*(1-MAX(0,1-(1-N81)*Settings!$H$32)/(1+I81)^M81),F81*(1-(1-S81)/(1+I81)^M81)*P81/(1+I81)*IF(ABS(1-(1-P81)*(1-L81)/(1+I81))&lt;0.000000001,AF81,(1-((1-P81)*(1-L81)/(1+I81))^AF81)/(1-(1-P81)*(1-L81)/(1+I81))))))</x:f>
      </x:c>
      <x:c r="W81" s="23" t="str">
        <x:f>IF(C81="","",IF(O81&lt;&gt;"Ready","Unavailable",IF(E81=3,F81*(1-MAX(0,1-(1-N81)*Settings!$H$33)/(1+I81)^M81),F81*(1-(1-T81)/(1+I81)^M81)*Q81/(1+I81)*IF(ABS(1-(1-Q81)*(1-L81)/(1+I81))&lt;0.000000001,AF81,(1-((1-Q81)*(1-L81)/(1+I81))^AF81)/(1-(1-Q81)*(1-L81)/(1+I81))))))</x:f>
      </x:c>
      <x:c r="X81" s="23" t="str">
        <x:f>IF(C81="","",IF(O81&lt;&gt;"Ready","Unavailable",IF(E81=3,F81*(1-MAX(0,1-(1-N81)*Settings!$H$34)/(1+I81)^M81),F81*(1-(1-U81)/(1+I81)^M81)*R81/(1+I81)*IF(ABS(1-(1-R81)*(1-L81)/(1+I81))&lt;0.000000001,AF81,(1-((1-R81)*(1-L81)/(1+I81))^AF81)/(1-(1-R81)*(1-L81)/(1+I81))))))</x:f>
      </x:c>
      <x:c r="Y81" s="23" t="str">
        <x:f>IF(C81="","",IF(O81&lt;&gt;"Ready","Unavailable",IF(E81=3,G81*INDEX('Facilities'!$I$9:$I$108,MATCH(C81,'Facilities'!$C$9:$C$108,0))*(1-MAX(0,1-(1-N81)*Settings!$H$32)/(1+I81)^M81),G81*INDEX('Facilities'!$I$9:$I$108,MATCH(C81,'Facilities'!$C$9:$C$108,0))*(1-(1-S81)/(1+I81)^M81)*P81/(1+I81)*IF(ABS(1-(1-P81)*(1-0)/(1+I81))&lt;0.000000001,AF81,(1-((1-P81)*(1-0)/(1+I81))^AF81)/(1-(1-P81)*(1-0)/(1+I81))))))</x:f>
      </x:c>
      <x:c r="Z81" s="23" t="str">
        <x:f>IF(C81="","",IF(O81&lt;&gt;"Ready","Unavailable",IF(E81=3,G81*INDEX('Facilities'!$I$9:$I$108,MATCH(C81,'Facilities'!$C$9:$C$108,0))*(1-MAX(0,1-(1-N81)*Settings!$H$33)/(1+I81)^M81),G81*INDEX('Facilities'!$I$9:$I$108,MATCH(C81,'Facilities'!$C$9:$C$108,0))*(1-(1-T81)/(1+I81)^M81)*Q81/(1+I81)*IF(ABS(1-(1-Q81)*(1-0)/(1+I81))&lt;0.000000001,AF81,(1-((1-Q81)*(1-0)/(1+I81))^AF81)/(1-(1-Q81)*(1-0)/(1+I81))))))</x:f>
      </x:c>
      <x:c r="AA81" s="23" t="str">
        <x:f>IF(C81="","",IF(O81&lt;&gt;"Ready","Unavailable",IF(E81=3,G81*INDEX('Facilities'!$I$9:$I$108,MATCH(C81,'Facilities'!$C$9:$C$108,0))*(1-MAX(0,1-(1-N81)*Settings!$H$34)/(1+I81)^M81),G81*INDEX('Facilities'!$I$9:$I$108,MATCH(C81,'Facilities'!$C$9:$C$108,0))*(1-(1-U81)/(1+I81)^M81)*R81/(1+I81)*IF(ABS(1-(1-R81)*(1-0)/(1+I81))&lt;0.000000001,AF81,(1-((1-R81)*(1-0)/(1+I81))^AF81)/(1-(1-R81)*(1-0)/(1+I81))))))</x:f>
      </x:c>
      <x:c r="AB81" s="23" t="str">
        <x:f>IF(C81="","",IF(O81&lt;&gt;"Ready","Unavailable",V81*Settings!$F$32+W81*Settings!$F$33+X81*Settings!$F$34))</x:f>
      </x:c>
      <x:c r="AC81" s="23" t="str">
        <x:f>IF(C81="","",IF(O81&lt;&gt;"Ready","Unavailable",Y81*Settings!$F$32+Z81*Settings!$F$33+AA81*Settings!$F$34))</x:f>
      </x:c>
      <x:c r="AD81" s="21" t="str">
        <x:f>IF(C81="","",IF(O81&lt;&gt;"Ready","Unavailable",AB81+AC81))</x:f>
      </x:c>
      <x:c r="AE81" s="17" t="str">
        <x:f>IF(C81="","",IF(OR(O81&lt;&gt;"Ready",F81=0),"Unavailable",AB81/F81))</x:f>
      </x:c>
      <x:c r="AF81" s="44" t="str">
        <x:f>IF(C81="","",IF(E81=1,1,H81))</x:f>
      </x:c>
    </x:row>
    <x:row r="82" ht="26" customHeight="1">
      <x:c r="A82" s="1"/>
      <x:c r="B82" s="1"/>
      <x:c r="C82" s="9" t="str">
        <x:f>IF(Facilities!C82="","",Facilities!C82)</x:f>
      </x:c>
      <x:c r="D82" s="9" t="str">
        <x:f>IF(C82="","",INDEX('Facilities'!$D$9:$D$108,MATCH(C82,'Facilities'!$C$9:$C$108,0)))</x:f>
      </x:c>
      <x:c r="E82" s="9" t="str">
        <x:f>IF(C82="","",INDEX('Facilities'!$AD$9:$AD$108,MATCH(C82,'Facilities'!$C$9:$C$108,0)))</x:f>
      </x:c>
      <x:c r="F82" s="23" t="str">
        <x:f>IF(C82="","",INDEX('Facilities'!$AA$9:$AA$108,MATCH(C82,'Facilities'!$C$9:$C$108,0)))</x:f>
      </x:c>
      <x:c r="G82" s="23" t="str">
        <x:f>IF(C82="","",INDEX('Facilities'!$AB$9:$AB$108,MATCH(C82,'Facilities'!$C$9:$C$108,0)))</x:f>
      </x:c>
      <x:c r="H82" s="42" t="str">
        <x:f>IF(C82="","",INDEX('Facilities'!$J$9:$J$108,MATCH(C82,'Facilities'!$C$9:$C$108,0)))</x:f>
      </x:c>
      <x:c r="I82" s="30" t="str">
        <x:f>IF(C82="","",INDEX('Facilities'!$K$9:$K$108,MATCH(C82,'Facilities'!$C$9:$C$108,0)))</x:f>
      </x:c>
      <x:c r="J82" s="30" t="str">
        <x:f>IF(C82="","",INDEX('Borrowers'!$P$9:$P$108,MATCH(D82,'Borrowers'!$C$9:$C$108,0)))</x:f>
      </x:c>
      <x:c r="K82" s="30" t="str">
        <x:f>IF(C82="","",INDEX('Borrowers'!$Q$9:$Q$108,MATCH(D82,'Borrowers'!$C$9:$C$108,0)))</x:f>
      </x:c>
      <x:c r="L82" s="30" t="str">
        <x:f>IF(C82="","",INDEX('Facilities'!$R$9:$R$108,MATCH(C82,'Facilities'!$C$9:$C$108,0)))</x:f>
      </x:c>
      <x:c r="M82" s="42" t="str">
        <x:f>IF(C82="","",INDEX('Facilities'!$AK$9:$AK$108,MATCH(C82,'Facilities'!$C$9:$C$108,0)))</x:f>
      </x:c>
      <x:c r="N82" s="30" t="str">
        <x:f>IF(C82="","",INDEX('Facilities'!$AL$9:$AL$108,MATCH(C82,'Facilities'!$C$9:$C$108,0)))</x:f>
      </x:c>
      <x:c r="O82" s="23" t="str">
        <x:f>IF(C82="","",IF(AND(INDEX('Facilities'!$AF$9:$AF$108,MATCH(C82,'Facilities'!$C$9:$C$108,0))="Ready",Settings!$F$36="Ready"),"Ready","Review ECL inputs"))</x:f>
      </x:c>
      <x:c r="P82" s="30" t="str">
        <x:f>IF(C82="","",MIN(1,J82*Settings!$G$32))</x:f>
      </x:c>
      <x:c r="Q82" s="30" t="str">
        <x:f>IF(C82="","",MIN(1,J82*Settings!$G$33))</x:f>
      </x:c>
      <x:c r="R82" s="30" t="str">
        <x:f>IF(C82="","",MIN(1,J82*Settings!$G$34))</x:f>
      </x:c>
      <x:c r="S82" s="30" t="str">
        <x:f>IF(C82="","",MIN(1,K82*Settings!$H$32))</x:f>
      </x:c>
      <x:c r="T82" s="30" t="str">
        <x:f>IF(C82="","",MIN(1,K82*Settings!$H$33))</x:f>
      </x:c>
      <x:c r="U82" s="30" t="str">
        <x:f>IF(C82="","",MIN(1,K82*Settings!$H$34))</x:f>
      </x:c>
      <x:c r="V82" s="23" t="str">
        <x:f>IF(C82="","",IF(O82&lt;&gt;"Ready","Unavailable",IF(E82=3,F82*(1-MAX(0,1-(1-N82)*Settings!$H$32)/(1+I82)^M82),F82*(1-(1-S82)/(1+I82)^M82)*P82/(1+I82)*IF(ABS(1-(1-P82)*(1-L82)/(1+I82))&lt;0.000000001,AF82,(1-((1-P82)*(1-L82)/(1+I82))^AF82)/(1-(1-P82)*(1-L82)/(1+I82))))))</x:f>
      </x:c>
      <x:c r="W82" s="23" t="str">
        <x:f>IF(C82="","",IF(O82&lt;&gt;"Ready","Unavailable",IF(E82=3,F82*(1-MAX(0,1-(1-N82)*Settings!$H$33)/(1+I82)^M82),F82*(1-(1-T82)/(1+I82)^M82)*Q82/(1+I82)*IF(ABS(1-(1-Q82)*(1-L82)/(1+I82))&lt;0.000000001,AF82,(1-((1-Q82)*(1-L82)/(1+I82))^AF82)/(1-(1-Q82)*(1-L82)/(1+I82))))))</x:f>
      </x:c>
      <x:c r="X82" s="23" t="str">
        <x:f>IF(C82="","",IF(O82&lt;&gt;"Ready","Unavailable",IF(E82=3,F82*(1-MAX(0,1-(1-N82)*Settings!$H$34)/(1+I82)^M82),F82*(1-(1-U82)/(1+I82)^M82)*R82/(1+I82)*IF(ABS(1-(1-R82)*(1-L82)/(1+I82))&lt;0.000000001,AF82,(1-((1-R82)*(1-L82)/(1+I82))^AF82)/(1-(1-R82)*(1-L82)/(1+I82))))))</x:f>
      </x:c>
      <x:c r="Y82" s="23" t="str">
        <x:f>IF(C82="","",IF(O82&lt;&gt;"Ready","Unavailable",IF(E82=3,G82*INDEX('Facilities'!$I$9:$I$108,MATCH(C82,'Facilities'!$C$9:$C$108,0))*(1-MAX(0,1-(1-N82)*Settings!$H$32)/(1+I82)^M82),G82*INDEX('Facilities'!$I$9:$I$108,MATCH(C82,'Facilities'!$C$9:$C$108,0))*(1-(1-S82)/(1+I82)^M82)*P82/(1+I82)*IF(ABS(1-(1-P82)*(1-0)/(1+I82))&lt;0.000000001,AF82,(1-((1-P82)*(1-0)/(1+I82))^AF82)/(1-(1-P82)*(1-0)/(1+I82))))))</x:f>
      </x:c>
      <x:c r="Z82" s="23" t="str">
        <x:f>IF(C82="","",IF(O82&lt;&gt;"Ready","Unavailable",IF(E82=3,G82*INDEX('Facilities'!$I$9:$I$108,MATCH(C82,'Facilities'!$C$9:$C$108,0))*(1-MAX(0,1-(1-N82)*Settings!$H$33)/(1+I82)^M82),G82*INDEX('Facilities'!$I$9:$I$108,MATCH(C82,'Facilities'!$C$9:$C$108,0))*(1-(1-T82)/(1+I82)^M82)*Q82/(1+I82)*IF(ABS(1-(1-Q82)*(1-0)/(1+I82))&lt;0.000000001,AF82,(1-((1-Q82)*(1-0)/(1+I82))^AF82)/(1-(1-Q82)*(1-0)/(1+I82))))))</x:f>
      </x:c>
      <x:c r="AA82" s="23" t="str">
        <x:f>IF(C82="","",IF(O82&lt;&gt;"Ready","Unavailable",IF(E82=3,G82*INDEX('Facilities'!$I$9:$I$108,MATCH(C82,'Facilities'!$C$9:$C$108,0))*(1-MAX(0,1-(1-N82)*Settings!$H$34)/(1+I82)^M82),G82*INDEX('Facilities'!$I$9:$I$108,MATCH(C82,'Facilities'!$C$9:$C$108,0))*(1-(1-U82)/(1+I82)^M82)*R82/(1+I82)*IF(ABS(1-(1-R82)*(1-0)/(1+I82))&lt;0.000000001,AF82,(1-((1-R82)*(1-0)/(1+I82))^AF82)/(1-(1-R82)*(1-0)/(1+I82))))))</x:f>
      </x:c>
      <x:c r="AB82" s="23" t="str">
        <x:f>IF(C82="","",IF(O82&lt;&gt;"Ready","Unavailable",V82*Settings!$F$32+W82*Settings!$F$33+X82*Settings!$F$34))</x:f>
      </x:c>
      <x:c r="AC82" s="23" t="str">
        <x:f>IF(C82="","",IF(O82&lt;&gt;"Ready","Unavailable",Y82*Settings!$F$32+Z82*Settings!$F$33+AA82*Settings!$F$34))</x:f>
      </x:c>
      <x:c r="AD82" s="21" t="str">
        <x:f>IF(C82="","",IF(O82&lt;&gt;"Ready","Unavailable",AB82+AC82))</x:f>
      </x:c>
      <x:c r="AE82" s="17" t="str">
        <x:f>IF(C82="","",IF(OR(O82&lt;&gt;"Ready",F82=0),"Unavailable",AB82/F82))</x:f>
      </x:c>
      <x:c r="AF82" s="44" t="str">
        <x:f>IF(C82="","",IF(E82=1,1,H82))</x:f>
      </x:c>
    </x:row>
    <x:row r="83" ht="26" customHeight="1">
      <x:c r="A83" s="1"/>
      <x:c r="B83" s="1"/>
      <x:c r="C83" s="9" t="str">
        <x:f>IF(Facilities!C83="","",Facilities!C83)</x:f>
      </x:c>
      <x:c r="D83" s="9" t="str">
        <x:f>IF(C83="","",INDEX('Facilities'!$D$9:$D$108,MATCH(C83,'Facilities'!$C$9:$C$108,0)))</x:f>
      </x:c>
      <x:c r="E83" s="9" t="str">
        <x:f>IF(C83="","",INDEX('Facilities'!$AD$9:$AD$108,MATCH(C83,'Facilities'!$C$9:$C$108,0)))</x:f>
      </x:c>
      <x:c r="F83" s="23" t="str">
        <x:f>IF(C83="","",INDEX('Facilities'!$AA$9:$AA$108,MATCH(C83,'Facilities'!$C$9:$C$108,0)))</x:f>
      </x:c>
      <x:c r="G83" s="23" t="str">
        <x:f>IF(C83="","",INDEX('Facilities'!$AB$9:$AB$108,MATCH(C83,'Facilities'!$C$9:$C$108,0)))</x:f>
      </x:c>
      <x:c r="H83" s="42" t="str">
        <x:f>IF(C83="","",INDEX('Facilities'!$J$9:$J$108,MATCH(C83,'Facilities'!$C$9:$C$108,0)))</x:f>
      </x:c>
      <x:c r="I83" s="30" t="str">
        <x:f>IF(C83="","",INDEX('Facilities'!$K$9:$K$108,MATCH(C83,'Facilities'!$C$9:$C$108,0)))</x:f>
      </x:c>
      <x:c r="J83" s="30" t="str">
        <x:f>IF(C83="","",INDEX('Borrowers'!$P$9:$P$108,MATCH(D83,'Borrowers'!$C$9:$C$108,0)))</x:f>
      </x:c>
      <x:c r="K83" s="30" t="str">
        <x:f>IF(C83="","",INDEX('Borrowers'!$Q$9:$Q$108,MATCH(D83,'Borrowers'!$C$9:$C$108,0)))</x:f>
      </x:c>
      <x:c r="L83" s="30" t="str">
        <x:f>IF(C83="","",INDEX('Facilities'!$R$9:$R$108,MATCH(C83,'Facilities'!$C$9:$C$108,0)))</x:f>
      </x:c>
      <x:c r="M83" s="42" t="str">
        <x:f>IF(C83="","",INDEX('Facilities'!$AK$9:$AK$108,MATCH(C83,'Facilities'!$C$9:$C$108,0)))</x:f>
      </x:c>
      <x:c r="N83" s="30" t="str">
        <x:f>IF(C83="","",INDEX('Facilities'!$AL$9:$AL$108,MATCH(C83,'Facilities'!$C$9:$C$108,0)))</x:f>
      </x:c>
      <x:c r="O83" s="23" t="str">
        <x:f>IF(C83="","",IF(AND(INDEX('Facilities'!$AF$9:$AF$108,MATCH(C83,'Facilities'!$C$9:$C$108,0))="Ready",Settings!$F$36="Ready"),"Ready","Review ECL inputs"))</x:f>
      </x:c>
      <x:c r="P83" s="30" t="str">
        <x:f>IF(C83="","",MIN(1,J83*Settings!$G$32))</x:f>
      </x:c>
      <x:c r="Q83" s="30" t="str">
        <x:f>IF(C83="","",MIN(1,J83*Settings!$G$33))</x:f>
      </x:c>
      <x:c r="R83" s="30" t="str">
        <x:f>IF(C83="","",MIN(1,J83*Settings!$G$34))</x:f>
      </x:c>
      <x:c r="S83" s="30" t="str">
        <x:f>IF(C83="","",MIN(1,K83*Settings!$H$32))</x:f>
      </x:c>
      <x:c r="T83" s="30" t="str">
        <x:f>IF(C83="","",MIN(1,K83*Settings!$H$33))</x:f>
      </x:c>
      <x:c r="U83" s="30" t="str">
        <x:f>IF(C83="","",MIN(1,K83*Settings!$H$34))</x:f>
      </x:c>
      <x:c r="V83" s="23" t="str">
        <x:f>IF(C83="","",IF(O83&lt;&gt;"Ready","Unavailable",IF(E83=3,F83*(1-MAX(0,1-(1-N83)*Settings!$H$32)/(1+I83)^M83),F83*(1-(1-S83)/(1+I83)^M83)*P83/(1+I83)*IF(ABS(1-(1-P83)*(1-L83)/(1+I83))&lt;0.000000001,AF83,(1-((1-P83)*(1-L83)/(1+I83))^AF83)/(1-(1-P83)*(1-L83)/(1+I83))))))</x:f>
      </x:c>
      <x:c r="W83" s="23" t="str">
        <x:f>IF(C83="","",IF(O83&lt;&gt;"Ready","Unavailable",IF(E83=3,F83*(1-MAX(0,1-(1-N83)*Settings!$H$33)/(1+I83)^M83),F83*(1-(1-T83)/(1+I83)^M83)*Q83/(1+I83)*IF(ABS(1-(1-Q83)*(1-L83)/(1+I83))&lt;0.000000001,AF83,(1-((1-Q83)*(1-L83)/(1+I83))^AF83)/(1-(1-Q83)*(1-L83)/(1+I83))))))</x:f>
      </x:c>
      <x:c r="X83" s="23" t="str">
        <x:f>IF(C83="","",IF(O83&lt;&gt;"Ready","Unavailable",IF(E83=3,F83*(1-MAX(0,1-(1-N83)*Settings!$H$34)/(1+I83)^M83),F83*(1-(1-U83)/(1+I83)^M83)*R83/(1+I83)*IF(ABS(1-(1-R83)*(1-L83)/(1+I83))&lt;0.000000001,AF83,(1-((1-R83)*(1-L83)/(1+I83))^AF83)/(1-(1-R83)*(1-L83)/(1+I83))))))</x:f>
      </x:c>
      <x:c r="Y83" s="23" t="str">
        <x:f>IF(C83="","",IF(O83&lt;&gt;"Ready","Unavailable",IF(E83=3,G83*INDEX('Facilities'!$I$9:$I$108,MATCH(C83,'Facilities'!$C$9:$C$108,0))*(1-MAX(0,1-(1-N83)*Settings!$H$32)/(1+I83)^M83),G83*INDEX('Facilities'!$I$9:$I$108,MATCH(C83,'Facilities'!$C$9:$C$108,0))*(1-(1-S83)/(1+I83)^M83)*P83/(1+I83)*IF(ABS(1-(1-P83)*(1-0)/(1+I83))&lt;0.000000001,AF83,(1-((1-P83)*(1-0)/(1+I83))^AF83)/(1-(1-P83)*(1-0)/(1+I83))))))</x:f>
      </x:c>
      <x:c r="Z83" s="23" t="str">
        <x:f>IF(C83="","",IF(O83&lt;&gt;"Ready","Unavailable",IF(E83=3,G83*INDEX('Facilities'!$I$9:$I$108,MATCH(C83,'Facilities'!$C$9:$C$108,0))*(1-MAX(0,1-(1-N83)*Settings!$H$33)/(1+I83)^M83),G83*INDEX('Facilities'!$I$9:$I$108,MATCH(C83,'Facilities'!$C$9:$C$108,0))*(1-(1-T83)/(1+I83)^M83)*Q83/(1+I83)*IF(ABS(1-(1-Q83)*(1-0)/(1+I83))&lt;0.000000001,AF83,(1-((1-Q83)*(1-0)/(1+I83))^AF83)/(1-(1-Q83)*(1-0)/(1+I83))))))</x:f>
      </x:c>
      <x:c r="AA83" s="23" t="str">
        <x:f>IF(C83="","",IF(O83&lt;&gt;"Ready","Unavailable",IF(E83=3,G83*INDEX('Facilities'!$I$9:$I$108,MATCH(C83,'Facilities'!$C$9:$C$108,0))*(1-MAX(0,1-(1-N83)*Settings!$H$34)/(1+I83)^M83),G83*INDEX('Facilities'!$I$9:$I$108,MATCH(C83,'Facilities'!$C$9:$C$108,0))*(1-(1-U83)/(1+I83)^M83)*R83/(1+I83)*IF(ABS(1-(1-R83)*(1-0)/(1+I83))&lt;0.000000001,AF83,(1-((1-R83)*(1-0)/(1+I83))^AF83)/(1-(1-R83)*(1-0)/(1+I83))))))</x:f>
      </x:c>
      <x:c r="AB83" s="23" t="str">
        <x:f>IF(C83="","",IF(O83&lt;&gt;"Ready","Unavailable",V83*Settings!$F$32+W83*Settings!$F$33+X83*Settings!$F$34))</x:f>
      </x:c>
      <x:c r="AC83" s="23" t="str">
        <x:f>IF(C83="","",IF(O83&lt;&gt;"Ready","Unavailable",Y83*Settings!$F$32+Z83*Settings!$F$33+AA83*Settings!$F$34))</x:f>
      </x:c>
      <x:c r="AD83" s="21" t="str">
        <x:f>IF(C83="","",IF(O83&lt;&gt;"Ready","Unavailable",AB83+AC83))</x:f>
      </x:c>
      <x:c r="AE83" s="17" t="str">
        <x:f>IF(C83="","",IF(OR(O83&lt;&gt;"Ready",F83=0),"Unavailable",AB83/F83))</x:f>
      </x:c>
      <x:c r="AF83" s="44" t="str">
        <x:f>IF(C83="","",IF(E83=1,1,H83))</x:f>
      </x:c>
    </x:row>
    <x:row r="84" ht="26" customHeight="1">
      <x:c r="A84" s="1"/>
      <x:c r="B84" s="1"/>
      <x:c r="C84" s="9" t="str">
        <x:f>IF(Facilities!C84="","",Facilities!C84)</x:f>
      </x:c>
      <x:c r="D84" s="9" t="str">
        <x:f>IF(C84="","",INDEX('Facilities'!$D$9:$D$108,MATCH(C84,'Facilities'!$C$9:$C$108,0)))</x:f>
      </x:c>
      <x:c r="E84" s="9" t="str">
        <x:f>IF(C84="","",INDEX('Facilities'!$AD$9:$AD$108,MATCH(C84,'Facilities'!$C$9:$C$108,0)))</x:f>
      </x:c>
      <x:c r="F84" s="23" t="str">
        <x:f>IF(C84="","",INDEX('Facilities'!$AA$9:$AA$108,MATCH(C84,'Facilities'!$C$9:$C$108,0)))</x:f>
      </x:c>
      <x:c r="G84" s="23" t="str">
        <x:f>IF(C84="","",INDEX('Facilities'!$AB$9:$AB$108,MATCH(C84,'Facilities'!$C$9:$C$108,0)))</x:f>
      </x:c>
      <x:c r="H84" s="42" t="str">
        <x:f>IF(C84="","",INDEX('Facilities'!$J$9:$J$108,MATCH(C84,'Facilities'!$C$9:$C$108,0)))</x:f>
      </x:c>
      <x:c r="I84" s="30" t="str">
        <x:f>IF(C84="","",INDEX('Facilities'!$K$9:$K$108,MATCH(C84,'Facilities'!$C$9:$C$108,0)))</x:f>
      </x:c>
      <x:c r="J84" s="30" t="str">
        <x:f>IF(C84="","",INDEX('Borrowers'!$P$9:$P$108,MATCH(D84,'Borrowers'!$C$9:$C$108,0)))</x:f>
      </x:c>
      <x:c r="K84" s="30" t="str">
        <x:f>IF(C84="","",INDEX('Borrowers'!$Q$9:$Q$108,MATCH(D84,'Borrowers'!$C$9:$C$108,0)))</x:f>
      </x:c>
      <x:c r="L84" s="30" t="str">
        <x:f>IF(C84="","",INDEX('Facilities'!$R$9:$R$108,MATCH(C84,'Facilities'!$C$9:$C$108,0)))</x:f>
      </x:c>
      <x:c r="M84" s="42" t="str">
        <x:f>IF(C84="","",INDEX('Facilities'!$AK$9:$AK$108,MATCH(C84,'Facilities'!$C$9:$C$108,0)))</x:f>
      </x:c>
      <x:c r="N84" s="30" t="str">
        <x:f>IF(C84="","",INDEX('Facilities'!$AL$9:$AL$108,MATCH(C84,'Facilities'!$C$9:$C$108,0)))</x:f>
      </x:c>
      <x:c r="O84" s="23" t="str">
        <x:f>IF(C84="","",IF(AND(INDEX('Facilities'!$AF$9:$AF$108,MATCH(C84,'Facilities'!$C$9:$C$108,0))="Ready",Settings!$F$36="Ready"),"Ready","Review ECL inputs"))</x:f>
      </x:c>
      <x:c r="P84" s="30" t="str">
        <x:f>IF(C84="","",MIN(1,J84*Settings!$G$32))</x:f>
      </x:c>
      <x:c r="Q84" s="30" t="str">
        <x:f>IF(C84="","",MIN(1,J84*Settings!$G$33))</x:f>
      </x:c>
      <x:c r="R84" s="30" t="str">
        <x:f>IF(C84="","",MIN(1,J84*Settings!$G$34))</x:f>
      </x:c>
      <x:c r="S84" s="30" t="str">
        <x:f>IF(C84="","",MIN(1,K84*Settings!$H$32))</x:f>
      </x:c>
      <x:c r="T84" s="30" t="str">
        <x:f>IF(C84="","",MIN(1,K84*Settings!$H$33))</x:f>
      </x:c>
      <x:c r="U84" s="30" t="str">
        <x:f>IF(C84="","",MIN(1,K84*Settings!$H$34))</x:f>
      </x:c>
      <x:c r="V84" s="23" t="str">
        <x:f>IF(C84="","",IF(O84&lt;&gt;"Ready","Unavailable",IF(E84=3,F84*(1-MAX(0,1-(1-N84)*Settings!$H$32)/(1+I84)^M84),F84*(1-(1-S84)/(1+I84)^M84)*P84/(1+I84)*IF(ABS(1-(1-P84)*(1-L84)/(1+I84))&lt;0.000000001,AF84,(1-((1-P84)*(1-L84)/(1+I84))^AF84)/(1-(1-P84)*(1-L84)/(1+I84))))))</x:f>
      </x:c>
      <x:c r="W84" s="23" t="str">
        <x:f>IF(C84="","",IF(O84&lt;&gt;"Ready","Unavailable",IF(E84=3,F84*(1-MAX(0,1-(1-N84)*Settings!$H$33)/(1+I84)^M84),F84*(1-(1-T84)/(1+I84)^M84)*Q84/(1+I84)*IF(ABS(1-(1-Q84)*(1-L84)/(1+I84))&lt;0.000000001,AF84,(1-((1-Q84)*(1-L84)/(1+I84))^AF84)/(1-(1-Q84)*(1-L84)/(1+I84))))))</x:f>
      </x:c>
      <x:c r="X84" s="23" t="str">
        <x:f>IF(C84="","",IF(O84&lt;&gt;"Ready","Unavailable",IF(E84=3,F84*(1-MAX(0,1-(1-N84)*Settings!$H$34)/(1+I84)^M84),F84*(1-(1-U84)/(1+I84)^M84)*R84/(1+I84)*IF(ABS(1-(1-R84)*(1-L84)/(1+I84))&lt;0.000000001,AF84,(1-((1-R84)*(1-L84)/(1+I84))^AF84)/(1-(1-R84)*(1-L84)/(1+I84))))))</x:f>
      </x:c>
      <x:c r="Y84" s="23" t="str">
        <x:f>IF(C84="","",IF(O84&lt;&gt;"Ready","Unavailable",IF(E84=3,G84*INDEX('Facilities'!$I$9:$I$108,MATCH(C84,'Facilities'!$C$9:$C$108,0))*(1-MAX(0,1-(1-N84)*Settings!$H$32)/(1+I84)^M84),G84*INDEX('Facilities'!$I$9:$I$108,MATCH(C84,'Facilities'!$C$9:$C$108,0))*(1-(1-S84)/(1+I84)^M84)*P84/(1+I84)*IF(ABS(1-(1-P84)*(1-0)/(1+I84))&lt;0.000000001,AF84,(1-((1-P84)*(1-0)/(1+I84))^AF84)/(1-(1-P84)*(1-0)/(1+I84))))))</x:f>
      </x:c>
      <x:c r="Z84" s="23" t="str">
        <x:f>IF(C84="","",IF(O84&lt;&gt;"Ready","Unavailable",IF(E84=3,G84*INDEX('Facilities'!$I$9:$I$108,MATCH(C84,'Facilities'!$C$9:$C$108,0))*(1-MAX(0,1-(1-N84)*Settings!$H$33)/(1+I84)^M84),G84*INDEX('Facilities'!$I$9:$I$108,MATCH(C84,'Facilities'!$C$9:$C$108,0))*(1-(1-T84)/(1+I84)^M84)*Q84/(1+I84)*IF(ABS(1-(1-Q84)*(1-0)/(1+I84))&lt;0.000000001,AF84,(1-((1-Q84)*(1-0)/(1+I84))^AF84)/(1-(1-Q84)*(1-0)/(1+I84))))))</x:f>
      </x:c>
      <x:c r="AA84" s="23" t="str">
        <x:f>IF(C84="","",IF(O84&lt;&gt;"Ready","Unavailable",IF(E84=3,G84*INDEX('Facilities'!$I$9:$I$108,MATCH(C84,'Facilities'!$C$9:$C$108,0))*(1-MAX(0,1-(1-N84)*Settings!$H$34)/(1+I84)^M84),G84*INDEX('Facilities'!$I$9:$I$108,MATCH(C84,'Facilities'!$C$9:$C$108,0))*(1-(1-U84)/(1+I84)^M84)*R84/(1+I84)*IF(ABS(1-(1-R84)*(1-0)/(1+I84))&lt;0.000000001,AF84,(1-((1-R84)*(1-0)/(1+I84))^AF84)/(1-(1-R84)*(1-0)/(1+I84))))))</x:f>
      </x:c>
      <x:c r="AB84" s="23" t="str">
        <x:f>IF(C84="","",IF(O84&lt;&gt;"Ready","Unavailable",V84*Settings!$F$32+W84*Settings!$F$33+X84*Settings!$F$34))</x:f>
      </x:c>
      <x:c r="AC84" s="23" t="str">
        <x:f>IF(C84="","",IF(O84&lt;&gt;"Ready","Unavailable",Y84*Settings!$F$32+Z84*Settings!$F$33+AA84*Settings!$F$34))</x:f>
      </x:c>
      <x:c r="AD84" s="21" t="str">
        <x:f>IF(C84="","",IF(O84&lt;&gt;"Ready","Unavailable",AB84+AC84))</x:f>
      </x:c>
      <x:c r="AE84" s="17" t="str">
        <x:f>IF(C84="","",IF(OR(O84&lt;&gt;"Ready",F84=0),"Unavailable",AB84/F84))</x:f>
      </x:c>
      <x:c r="AF84" s="44" t="str">
        <x:f>IF(C84="","",IF(E84=1,1,H84))</x:f>
      </x:c>
    </x:row>
    <x:row r="85" ht="26" customHeight="1">
      <x:c r="A85" s="1"/>
      <x:c r="B85" s="1"/>
      <x:c r="C85" s="9" t="str">
        <x:f>IF(Facilities!C85="","",Facilities!C85)</x:f>
      </x:c>
      <x:c r="D85" s="9" t="str">
        <x:f>IF(C85="","",INDEX('Facilities'!$D$9:$D$108,MATCH(C85,'Facilities'!$C$9:$C$108,0)))</x:f>
      </x:c>
      <x:c r="E85" s="9" t="str">
        <x:f>IF(C85="","",INDEX('Facilities'!$AD$9:$AD$108,MATCH(C85,'Facilities'!$C$9:$C$108,0)))</x:f>
      </x:c>
      <x:c r="F85" s="23" t="str">
        <x:f>IF(C85="","",INDEX('Facilities'!$AA$9:$AA$108,MATCH(C85,'Facilities'!$C$9:$C$108,0)))</x:f>
      </x:c>
      <x:c r="G85" s="23" t="str">
        <x:f>IF(C85="","",INDEX('Facilities'!$AB$9:$AB$108,MATCH(C85,'Facilities'!$C$9:$C$108,0)))</x:f>
      </x:c>
      <x:c r="H85" s="42" t="str">
        <x:f>IF(C85="","",INDEX('Facilities'!$J$9:$J$108,MATCH(C85,'Facilities'!$C$9:$C$108,0)))</x:f>
      </x:c>
      <x:c r="I85" s="30" t="str">
        <x:f>IF(C85="","",INDEX('Facilities'!$K$9:$K$108,MATCH(C85,'Facilities'!$C$9:$C$108,0)))</x:f>
      </x:c>
      <x:c r="J85" s="30" t="str">
        <x:f>IF(C85="","",INDEX('Borrowers'!$P$9:$P$108,MATCH(D85,'Borrowers'!$C$9:$C$108,0)))</x:f>
      </x:c>
      <x:c r="K85" s="30" t="str">
        <x:f>IF(C85="","",INDEX('Borrowers'!$Q$9:$Q$108,MATCH(D85,'Borrowers'!$C$9:$C$108,0)))</x:f>
      </x:c>
      <x:c r="L85" s="30" t="str">
        <x:f>IF(C85="","",INDEX('Facilities'!$R$9:$R$108,MATCH(C85,'Facilities'!$C$9:$C$108,0)))</x:f>
      </x:c>
      <x:c r="M85" s="42" t="str">
        <x:f>IF(C85="","",INDEX('Facilities'!$AK$9:$AK$108,MATCH(C85,'Facilities'!$C$9:$C$108,0)))</x:f>
      </x:c>
      <x:c r="N85" s="30" t="str">
        <x:f>IF(C85="","",INDEX('Facilities'!$AL$9:$AL$108,MATCH(C85,'Facilities'!$C$9:$C$108,0)))</x:f>
      </x:c>
      <x:c r="O85" s="23" t="str">
        <x:f>IF(C85="","",IF(AND(INDEX('Facilities'!$AF$9:$AF$108,MATCH(C85,'Facilities'!$C$9:$C$108,0))="Ready",Settings!$F$36="Ready"),"Ready","Review ECL inputs"))</x:f>
      </x:c>
      <x:c r="P85" s="30" t="str">
        <x:f>IF(C85="","",MIN(1,J85*Settings!$G$32))</x:f>
      </x:c>
      <x:c r="Q85" s="30" t="str">
        <x:f>IF(C85="","",MIN(1,J85*Settings!$G$33))</x:f>
      </x:c>
      <x:c r="R85" s="30" t="str">
        <x:f>IF(C85="","",MIN(1,J85*Settings!$G$34))</x:f>
      </x:c>
      <x:c r="S85" s="30" t="str">
        <x:f>IF(C85="","",MIN(1,K85*Settings!$H$32))</x:f>
      </x:c>
      <x:c r="T85" s="30" t="str">
        <x:f>IF(C85="","",MIN(1,K85*Settings!$H$33))</x:f>
      </x:c>
      <x:c r="U85" s="30" t="str">
        <x:f>IF(C85="","",MIN(1,K85*Settings!$H$34))</x:f>
      </x:c>
      <x:c r="V85" s="23" t="str">
        <x:f>IF(C85="","",IF(O85&lt;&gt;"Ready","Unavailable",IF(E85=3,F85*(1-MAX(0,1-(1-N85)*Settings!$H$32)/(1+I85)^M85),F85*(1-(1-S85)/(1+I85)^M85)*P85/(1+I85)*IF(ABS(1-(1-P85)*(1-L85)/(1+I85))&lt;0.000000001,AF85,(1-((1-P85)*(1-L85)/(1+I85))^AF85)/(1-(1-P85)*(1-L85)/(1+I85))))))</x:f>
      </x:c>
      <x:c r="W85" s="23" t="str">
        <x:f>IF(C85="","",IF(O85&lt;&gt;"Ready","Unavailable",IF(E85=3,F85*(1-MAX(0,1-(1-N85)*Settings!$H$33)/(1+I85)^M85),F85*(1-(1-T85)/(1+I85)^M85)*Q85/(1+I85)*IF(ABS(1-(1-Q85)*(1-L85)/(1+I85))&lt;0.000000001,AF85,(1-((1-Q85)*(1-L85)/(1+I85))^AF85)/(1-(1-Q85)*(1-L85)/(1+I85))))))</x:f>
      </x:c>
      <x:c r="X85" s="23" t="str">
        <x:f>IF(C85="","",IF(O85&lt;&gt;"Ready","Unavailable",IF(E85=3,F85*(1-MAX(0,1-(1-N85)*Settings!$H$34)/(1+I85)^M85),F85*(1-(1-U85)/(1+I85)^M85)*R85/(1+I85)*IF(ABS(1-(1-R85)*(1-L85)/(1+I85))&lt;0.000000001,AF85,(1-((1-R85)*(1-L85)/(1+I85))^AF85)/(1-(1-R85)*(1-L85)/(1+I85))))))</x:f>
      </x:c>
      <x:c r="Y85" s="23" t="str">
        <x:f>IF(C85="","",IF(O85&lt;&gt;"Ready","Unavailable",IF(E85=3,G85*INDEX('Facilities'!$I$9:$I$108,MATCH(C85,'Facilities'!$C$9:$C$108,0))*(1-MAX(0,1-(1-N85)*Settings!$H$32)/(1+I85)^M85),G85*INDEX('Facilities'!$I$9:$I$108,MATCH(C85,'Facilities'!$C$9:$C$108,0))*(1-(1-S85)/(1+I85)^M85)*P85/(1+I85)*IF(ABS(1-(1-P85)*(1-0)/(1+I85))&lt;0.000000001,AF85,(1-((1-P85)*(1-0)/(1+I85))^AF85)/(1-(1-P85)*(1-0)/(1+I85))))))</x:f>
      </x:c>
      <x:c r="Z85" s="23" t="str">
        <x:f>IF(C85="","",IF(O85&lt;&gt;"Ready","Unavailable",IF(E85=3,G85*INDEX('Facilities'!$I$9:$I$108,MATCH(C85,'Facilities'!$C$9:$C$108,0))*(1-MAX(0,1-(1-N85)*Settings!$H$33)/(1+I85)^M85),G85*INDEX('Facilities'!$I$9:$I$108,MATCH(C85,'Facilities'!$C$9:$C$108,0))*(1-(1-T85)/(1+I85)^M85)*Q85/(1+I85)*IF(ABS(1-(1-Q85)*(1-0)/(1+I85))&lt;0.000000001,AF85,(1-((1-Q85)*(1-0)/(1+I85))^AF85)/(1-(1-Q85)*(1-0)/(1+I85))))))</x:f>
      </x:c>
      <x:c r="AA85" s="23" t="str">
        <x:f>IF(C85="","",IF(O85&lt;&gt;"Ready","Unavailable",IF(E85=3,G85*INDEX('Facilities'!$I$9:$I$108,MATCH(C85,'Facilities'!$C$9:$C$108,0))*(1-MAX(0,1-(1-N85)*Settings!$H$34)/(1+I85)^M85),G85*INDEX('Facilities'!$I$9:$I$108,MATCH(C85,'Facilities'!$C$9:$C$108,0))*(1-(1-U85)/(1+I85)^M85)*R85/(1+I85)*IF(ABS(1-(1-R85)*(1-0)/(1+I85))&lt;0.000000001,AF85,(1-((1-R85)*(1-0)/(1+I85))^AF85)/(1-(1-R85)*(1-0)/(1+I85))))))</x:f>
      </x:c>
      <x:c r="AB85" s="23" t="str">
        <x:f>IF(C85="","",IF(O85&lt;&gt;"Ready","Unavailable",V85*Settings!$F$32+W85*Settings!$F$33+X85*Settings!$F$34))</x:f>
      </x:c>
      <x:c r="AC85" s="23" t="str">
        <x:f>IF(C85="","",IF(O85&lt;&gt;"Ready","Unavailable",Y85*Settings!$F$32+Z85*Settings!$F$33+AA85*Settings!$F$34))</x:f>
      </x:c>
      <x:c r="AD85" s="21" t="str">
        <x:f>IF(C85="","",IF(O85&lt;&gt;"Ready","Unavailable",AB85+AC85))</x:f>
      </x:c>
      <x:c r="AE85" s="17" t="str">
        <x:f>IF(C85="","",IF(OR(O85&lt;&gt;"Ready",F85=0),"Unavailable",AB85/F85))</x:f>
      </x:c>
      <x:c r="AF85" s="44" t="str">
        <x:f>IF(C85="","",IF(E85=1,1,H85))</x:f>
      </x:c>
    </x:row>
    <x:row r="86" ht="26" customHeight="1">
      <x:c r="A86" s="1"/>
      <x:c r="B86" s="1"/>
      <x:c r="C86" s="9" t="str">
        <x:f>IF(Facilities!C86="","",Facilities!C86)</x:f>
      </x:c>
      <x:c r="D86" s="9" t="str">
        <x:f>IF(C86="","",INDEX('Facilities'!$D$9:$D$108,MATCH(C86,'Facilities'!$C$9:$C$108,0)))</x:f>
      </x:c>
      <x:c r="E86" s="9" t="str">
        <x:f>IF(C86="","",INDEX('Facilities'!$AD$9:$AD$108,MATCH(C86,'Facilities'!$C$9:$C$108,0)))</x:f>
      </x:c>
      <x:c r="F86" s="23" t="str">
        <x:f>IF(C86="","",INDEX('Facilities'!$AA$9:$AA$108,MATCH(C86,'Facilities'!$C$9:$C$108,0)))</x:f>
      </x:c>
      <x:c r="G86" s="23" t="str">
        <x:f>IF(C86="","",INDEX('Facilities'!$AB$9:$AB$108,MATCH(C86,'Facilities'!$C$9:$C$108,0)))</x:f>
      </x:c>
      <x:c r="H86" s="42" t="str">
        <x:f>IF(C86="","",INDEX('Facilities'!$J$9:$J$108,MATCH(C86,'Facilities'!$C$9:$C$108,0)))</x:f>
      </x:c>
      <x:c r="I86" s="30" t="str">
        <x:f>IF(C86="","",INDEX('Facilities'!$K$9:$K$108,MATCH(C86,'Facilities'!$C$9:$C$108,0)))</x:f>
      </x:c>
      <x:c r="J86" s="30" t="str">
        <x:f>IF(C86="","",INDEX('Borrowers'!$P$9:$P$108,MATCH(D86,'Borrowers'!$C$9:$C$108,0)))</x:f>
      </x:c>
      <x:c r="K86" s="30" t="str">
        <x:f>IF(C86="","",INDEX('Borrowers'!$Q$9:$Q$108,MATCH(D86,'Borrowers'!$C$9:$C$108,0)))</x:f>
      </x:c>
      <x:c r="L86" s="30" t="str">
        <x:f>IF(C86="","",INDEX('Facilities'!$R$9:$R$108,MATCH(C86,'Facilities'!$C$9:$C$108,0)))</x:f>
      </x:c>
      <x:c r="M86" s="42" t="str">
        <x:f>IF(C86="","",INDEX('Facilities'!$AK$9:$AK$108,MATCH(C86,'Facilities'!$C$9:$C$108,0)))</x:f>
      </x:c>
      <x:c r="N86" s="30" t="str">
        <x:f>IF(C86="","",INDEX('Facilities'!$AL$9:$AL$108,MATCH(C86,'Facilities'!$C$9:$C$108,0)))</x:f>
      </x:c>
      <x:c r="O86" s="23" t="str">
        <x:f>IF(C86="","",IF(AND(INDEX('Facilities'!$AF$9:$AF$108,MATCH(C86,'Facilities'!$C$9:$C$108,0))="Ready",Settings!$F$36="Ready"),"Ready","Review ECL inputs"))</x:f>
      </x:c>
      <x:c r="P86" s="30" t="str">
        <x:f>IF(C86="","",MIN(1,J86*Settings!$G$32))</x:f>
      </x:c>
      <x:c r="Q86" s="30" t="str">
        <x:f>IF(C86="","",MIN(1,J86*Settings!$G$33))</x:f>
      </x:c>
      <x:c r="R86" s="30" t="str">
        <x:f>IF(C86="","",MIN(1,J86*Settings!$G$34))</x:f>
      </x:c>
      <x:c r="S86" s="30" t="str">
        <x:f>IF(C86="","",MIN(1,K86*Settings!$H$32))</x:f>
      </x:c>
      <x:c r="T86" s="30" t="str">
        <x:f>IF(C86="","",MIN(1,K86*Settings!$H$33))</x:f>
      </x:c>
      <x:c r="U86" s="30" t="str">
        <x:f>IF(C86="","",MIN(1,K86*Settings!$H$34))</x:f>
      </x:c>
      <x:c r="V86" s="23" t="str">
        <x:f>IF(C86="","",IF(O86&lt;&gt;"Ready","Unavailable",IF(E86=3,F86*(1-MAX(0,1-(1-N86)*Settings!$H$32)/(1+I86)^M86),F86*(1-(1-S86)/(1+I86)^M86)*P86/(1+I86)*IF(ABS(1-(1-P86)*(1-L86)/(1+I86))&lt;0.000000001,AF86,(1-((1-P86)*(1-L86)/(1+I86))^AF86)/(1-(1-P86)*(1-L86)/(1+I86))))))</x:f>
      </x:c>
      <x:c r="W86" s="23" t="str">
        <x:f>IF(C86="","",IF(O86&lt;&gt;"Ready","Unavailable",IF(E86=3,F86*(1-MAX(0,1-(1-N86)*Settings!$H$33)/(1+I86)^M86),F86*(1-(1-T86)/(1+I86)^M86)*Q86/(1+I86)*IF(ABS(1-(1-Q86)*(1-L86)/(1+I86))&lt;0.000000001,AF86,(1-((1-Q86)*(1-L86)/(1+I86))^AF86)/(1-(1-Q86)*(1-L86)/(1+I86))))))</x:f>
      </x:c>
      <x:c r="X86" s="23" t="str">
        <x:f>IF(C86="","",IF(O86&lt;&gt;"Ready","Unavailable",IF(E86=3,F86*(1-MAX(0,1-(1-N86)*Settings!$H$34)/(1+I86)^M86),F86*(1-(1-U86)/(1+I86)^M86)*R86/(1+I86)*IF(ABS(1-(1-R86)*(1-L86)/(1+I86))&lt;0.000000001,AF86,(1-((1-R86)*(1-L86)/(1+I86))^AF86)/(1-(1-R86)*(1-L86)/(1+I86))))))</x:f>
      </x:c>
      <x:c r="Y86" s="23" t="str">
        <x:f>IF(C86="","",IF(O86&lt;&gt;"Ready","Unavailable",IF(E86=3,G86*INDEX('Facilities'!$I$9:$I$108,MATCH(C86,'Facilities'!$C$9:$C$108,0))*(1-MAX(0,1-(1-N86)*Settings!$H$32)/(1+I86)^M86),G86*INDEX('Facilities'!$I$9:$I$108,MATCH(C86,'Facilities'!$C$9:$C$108,0))*(1-(1-S86)/(1+I86)^M86)*P86/(1+I86)*IF(ABS(1-(1-P86)*(1-0)/(1+I86))&lt;0.000000001,AF86,(1-((1-P86)*(1-0)/(1+I86))^AF86)/(1-(1-P86)*(1-0)/(1+I86))))))</x:f>
      </x:c>
      <x:c r="Z86" s="23" t="str">
        <x:f>IF(C86="","",IF(O86&lt;&gt;"Ready","Unavailable",IF(E86=3,G86*INDEX('Facilities'!$I$9:$I$108,MATCH(C86,'Facilities'!$C$9:$C$108,0))*(1-MAX(0,1-(1-N86)*Settings!$H$33)/(1+I86)^M86),G86*INDEX('Facilities'!$I$9:$I$108,MATCH(C86,'Facilities'!$C$9:$C$108,0))*(1-(1-T86)/(1+I86)^M86)*Q86/(1+I86)*IF(ABS(1-(1-Q86)*(1-0)/(1+I86))&lt;0.000000001,AF86,(1-((1-Q86)*(1-0)/(1+I86))^AF86)/(1-(1-Q86)*(1-0)/(1+I86))))))</x:f>
      </x:c>
      <x:c r="AA86" s="23" t="str">
        <x:f>IF(C86="","",IF(O86&lt;&gt;"Ready","Unavailable",IF(E86=3,G86*INDEX('Facilities'!$I$9:$I$108,MATCH(C86,'Facilities'!$C$9:$C$108,0))*(1-MAX(0,1-(1-N86)*Settings!$H$34)/(1+I86)^M86),G86*INDEX('Facilities'!$I$9:$I$108,MATCH(C86,'Facilities'!$C$9:$C$108,0))*(1-(1-U86)/(1+I86)^M86)*R86/(1+I86)*IF(ABS(1-(1-R86)*(1-0)/(1+I86))&lt;0.000000001,AF86,(1-((1-R86)*(1-0)/(1+I86))^AF86)/(1-(1-R86)*(1-0)/(1+I86))))))</x:f>
      </x:c>
      <x:c r="AB86" s="23" t="str">
        <x:f>IF(C86="","",IF(O86&lt;&gt;"Ready","Unavailable",V86*Settings!$F$32+W86*Settings!$F$33+X86*Settings!$F$34))</x:f>
      </x:c>
      <x:c r="AC86" s="23" t="str">
        <x:f>IF(C86="","",IF(O86&lt;&gt;"Ready","Unavailable",Y86*Settings!$F$32+Z86*Settings!$F$33+AA86*Settings!$F$34))</x:f>
      </x:c>
      <x:c r="AD86" s="21" t="str">
        <x:f>IF(C86="","",IF(O86&lt;&gt;"Ready","Unavailable",AB86+AC86))</x:f>
      </x:c>
      <x:c r="AE86" s="17" t="str">
        <x:f>IF(C86="","",IF(OR(O86&lt;&gt;"Ready",F86=0),"Unavailable",AB86/F86))</x:f>
      </x:c>
      <x:c r="AF86" s="44" t="str">
        <x:f>IF(C86="","",IF(E86=1,1,H86))</x:f>
      </x:c>
    </x:row>
    <x:row r="87" ht="26" customHeight="1">
      <x:c r="A87" s="1"/>
      <x:c r="B87" s="1"/>
      <x:c r="C87" s="9" t="str">
        <x:f>IF(Facilities!C87="","",Facilities!C87)</x:f>
      </x:c>
      <x:c r="D87" s="9" t="str">
        <x:f>IF(C87="","",INDEX('Facilities'!$D$9:$D$108,MATCH(C87,'Facilities'!$C$9:$C$108,0)))</x:f>
      </x:c>
      <x:c r="E87" s="9" t="str">
        <x:f>IF(C87="","",INDEX('Facilities'!$AD$9:$AD$108,MATCH(C87,'Facilities'!$C$9:$C$108,0)))</x:f>
      </x:c>
      <x:c r="F87" s="23" t="str">
        <x:f>IF(C87="","",INDEX('Facilities'!$AA$9:$AA$108,MATCH(C87,'Facilities'!$C$9:$C$108,0)))</x:f>
      </x:c>
      <x:c r="G87" s="23" t="str">
        <x:f>IF(C87="","",INDEX('Facilities'!$AB$9:$AB$108,MATCH(C87,'Facilities'!$C$9:$C$108,0)))</x:f>
      </x:c>
      <x:c r="H87" s="42" t="str">
        <x:f>IF(C87="","",INDEX('Facilities'!$J$9:$J$108,MATCH(C87,'Facilities'!$C$9:$C$108,0)))</x:f>
      </x:c>
      <x:c r="I87" s="30" t="str">
        <x:f>IF(C87="","",INDEX('Facilities'!$K$9:$K$108,MATCH(C87,'Facilities'!$C$9:$C$108,0)))</x:f>
      </x:c>
      <x:c r="J87" s="30" t="str">
        <x:f>IF(C87="","",INDEX('Borrowers'!$P$9:$P$108,MATCH(D87,'Borrowers'!$C$9:$C$108,0)))</x:f>
      </x:c>
      <x:c r="K87" s="30" t="str">
        <x:f>IF(C87="","",INDEX('Borrowers'!$Q$9:$Q$108,MATCH(D87,'Borrowers'!$C$9:$C$108,0)))</x:f>
      </x:c>
      <x:c r="L87" s="30" t="str">
        <x:f>IF(C87="","",INDEX('Facilities'!$R$9:$R$108,MATCH(C87,'Facilities'!$C$9:$C$108,0)))</x:f>
      </x:c>
      <x:c r="M87" s="42" t="str">
        <x:f>IF(C87="","",INDEX('Facilities'!$AK$9:$AK$108,MATCH(C87,'Facilities'!$C$9:$C$108,0)))</x:f>
      </x:c>
      <x:c r="N87" s="30" t="str">
        <x:f>IF(C87="","",INDEX('Facilities'!$AL$9:$AL$108,MATCH(C87,'Facilities'!$C$9:$C$108,0)))</x:f>
      </x:c>
      <x:c r="O87" s="23" t="str">
        <x:f>IF(C87="","",IF(AND(INDEX('Facilities'!$AF$9:$AF$108,MATCH(C87,'Facilities'!$C$9:$C$108,0))="Ready",Settings!$F$36="Ready"),"Ready","Review ECL inputs"))</x:f>
      </x:c>
      <x:c r="P87" s="30" t="str">
        <x:f>IF(C87="","",MIN(1,J87*Settings!$G$32))</x:f>
      </x:c>
      <x:c r="Q87" s="30" t="str">
        <x:f>IF(C87="","",MIN(1,J87*Settings!$G$33))</x:f>
      </x:c>
      <x:c r="R87" s="30" t="str">
        <x:f>IF(C87="","",MIN(1,J87*Settings!$G$34))</x:f>
      </x:c>
      <x:c r="S87" s="30" t="str">
        <x:f>IF(C87="","",MIN(1,K87*Settings!$H$32))</x:f>
      </x:c>
      <x:c r="T87" s="30" t="str">
        <x:f>IF(C87="","",MIN(1,K87*Settings!$H$33))</x:f>
      </x:c>
      <x:c r="U87" s="30" t="str">
        <x:f>IF(C87="","",MIN(1,K87*Settings!$H$34))</x:f>
      </x:c>
      <x:c r="V87" s="23" t="str">
        <x:f>IF(C87="","",IF(O87&lt;&gt;"Ready","Unavailable",IF(E87=3,F87*(1-MAX(0,1-(1-N87)*Settings!$H$32)/(1+I87)^M87),F87*(1-(1-S87)/(1+I87)^M87)*P87/(1+I87)*IF(ABS(1-(1-P87)*(1-L87)/(1+I87))&lt;0.000000001,AF87,(1-((1-P87)*(1-L87)/(1+I87))^AF87)/(1-(1-P87)*(1-L87)/(1+I87))))))</x:f>
      </x:c>
      <x:c r="W87" s="23" t="str">
        <x:f>IF(C87="","",IF(O87&lt;&gt;"Ready","Unavailable",IF(E87=3,F87*(1-MAX(0,1-(1-N87)*Settings!$H$33)/(1+I87)^M87),F87*(1-(1-T87)/(1+I87)^M87)*Q87/(1+I87)*IF(ABS(1-(1-Q87)*(1-L87)/(1+I87))&lt;0.000000001,AF87,(1-((1-Q87)*(1-L87)/(1+I87))^AF87)/(1-(1-Q87)*(1-L87)/(1+I87))))))</x:f>
      </x:c>
      <x:c r="X87" s="23" t="str">
        <x:f>IF(C87="","",IF(O87&lt;&gt;"Ready","Unavailable",IF(E87=3,F87*(1-MAX(0,1-(1-N87)*Settings!$H$34)/(1+I87)^M87),F87*(1-(1-U87)/(1+I87)^M87)*R87/(1+I87)*IF(ABS(1-(1-R87)*(1-L87)/(1+I87))&lt;0.000000001,AF87,(1-((1-R87)*(1-L87)/(1+I87))^AF87)/(1-(1-R87)*(1-L87)/(1+I87))))))</x:f>
      </x:c>
      <x:c r="Y87" s="23" t="str">
        <x:f>IF(C87="","",IF(O87&lt;&gt;"Ready","Unavailable",IF(E87=3,G87*INDEX('Facilities'!$I$9:$I$108,MATCH(C87,'Facilities'!$C$9:$C$108,0))*(1-MAX(0,1-(1-N87)*Settings!$H$32)/(1+I87)^M87),G87*INDEX('Facilities'!$I$9:$I$108,MATCH(C87,'Facilities'!$C$9:$C$108,0))*(1-(1-S87)/(1+I87)^M87)*P87/(1+I87)*IF(ABS(1-(1-P87)*(1-0)/(1+I87))&lt;0.000000001,AF87,(1-((1-P87)*(1-0)/(1+I87))^AF87)/(1-(1-P87)*(1-0)/(1+I87))))))</x:f>
      </x:c>
      <x:c r="Z87" s="23" t="str">
        <x:f>IF(C87="","",IF(O87&lt;&gt;"Ready","Unavailable",IF(E87=3,G87*INDEX('Facilities'!$I$9:$I$108,MATCH(C87,'Facilities'!$C$9:$C$108,0))*(1-MAX(0,1-(1-N87)*Settings!$H$33)/(1+I87)^M87),G87*INDEX('Facilities'!$I$9:$I$108,MATCH(C87,'Facilities'!$C$9:$C$108,0))*(1-(1-T87)/(1+I87)^M87)*Q87/(1+I87)*IF(ABS(1-(1-Q87)*(1-0)/(1+I87))&lt;0.000000001,AF87,(1-((1-Q87)*(1-0)/(1+I87))^AF87)/(1-(1-Q87)*(1-0)/(1+I87))))))</x:f>
      </x:c>
      <x:c r="AA87" s="23" t="str">
        <x:f>IF(C87="","",IF(O87&lt;&gt;"Ready","Unavailable",IF(E87=3,G87*INDEX('Facilities'!$I$9:$I$108,MATCH(C87,'Facilities'!$C$9:$C$108,0))*(1-MAX(0,1-(1-N87)*Settings!$H$34)/(1+I87)^M87),G87*INDEX('Facilities'!$I$9:$I$108,MATCH(C87,'Facilities'!$C$9:$C$108,0))*(1-(1-U87)/(1+I87)^M87)*R87/(1+I87)*IF(ABS(1-(1-R87)*(1-0)/(1+I87))&lt;0.000000001,AF87,(1-((1-R87)*(1-0)/(1+I87))^AF87)/(1-(1-R87)*(1-0)/(1+I87))))))</x:f>
      </x:c>
      <x:c r="AB87" s="23" t="str">
        <x:f>IF(C87="","",IF(O87&lt;&gt;"Ready","Unavailable",V87*Settings!$F$32+W87*Settings!$F$33+X87*Settings!$F$34))</x:f>
      </x:c>
      <x:c r="AC87" s="23" t="str">
        <x:f>IF(C87="","",IF(O87&lt;&gt;"Ready","Unavailable",Y87*Settings!$F$32+Z87*Settings!$F$33+AA87*Settings!$F$34))</x:f>
      </x:c>
      <x:c r="AD87" s="21" t="str">
        <x:f>IF(C87="","",IF(O87&lt;&gt;"Ready","Unavailable",AB87+AC87))</x:f>
      </x:c>
      <x:c r="AE87" s="17" t="str">
        <x:f>IF(C87="","",IF(OR(O87&lt;&gt;"Ready",F87=0),"Unavailable",AB87/F87))</x:f>
      </x:c>
      <x:c r="AF87" s="44" t="str">
        <x:f>IF(C87="","",IF(E87=1,1,H87))</x:f>
      </x:c>
    </x:row>
    <x:row r="88" ht="26" customHeight="1">
      <x:c r="A88" s="1"/>
      <x:c r="B88" s="1"/>
      <x:c r="C88" s="9" t="str">
        <x:f>IF(Facilities!C88="","",Facilities!C88)</x:f>
      </x:c>
      <x:c r="D88" s="9" t="str">
        <x:f>IF(C88="","",INDEX('Facilities'!$D$9:$D$108,MATCH(C88,'Facilities'!$C$9:$C$108,0)))</x:f>
      </x:c>
      <x:c r="E88" s="9" t="str">
        <x:f>IF(C88="","",INDEX('Facilities'!$AD$9:$AD$108,MATCH(C88,'Facilities'!$C$9:$C$108,0)))</x:f>
      </x:c>
      <x:c r="F88" s="23" t="str">
        <x:f>IF(C88="","",INDEX('Facilities'!$AA$9:$AA$108,MATCH(C88,'Facilities'!$C$9:$C$108,0)))</x:f>
      </x:c>
      <x:c r="G88" s="23" t="str">
        <x:f>IF(C88="","",INDEX('Facilities'!$AB$9:$AB$108,MATCH(C88,'Facilities'!$C$9:$C$108,0)))</x:f>
      </x:c>
      <x:c r="H88" s="42" t="str">
        <x:f>IF(C88="","",INDEX('Facilities'!$J$9:$J$108,MATCH(C88,'Facilities'!$C$9:$C$108,0)))</x:f>
      </x:c>
      <x:c r="I88" s="30" t="str">
        <x:f>IF(C88="","",INDEX('Facilities'!$K$9:$K$108,MATCH(C88,'Facilities'!$C$9:$C$108,0)))</x:f>
      </x:c>
      <x:c r="J88" s="30" t="str">
        <x:f>IF(C88="","",INDEX('Borrowers'!$P$9:$P$108,MATCH(D88,'Borrowers'!$C$9:$C$108,0)))</x:f>
      </x:c>
      <x:c r="K88" s="30" t="str">
        <x:f>IF(C88="","",INDEX('Borrowers'!$Q$9:$Q$108,MATCH(D88,'Borrowers'!$C$9:$C$108,0)))</x:f>
      </x:c>
      <x:c r="L88" s="30" t="str">
        <x:f>IF(C88="","",INDEX('Facilities'!$R$9:$R$108,MATCH(C88,'Facilities'!$C$9:$C$108,0)))</x:f>
      </x:c>
      <x:c r="M88" s="42" t="str">
        <x:f>IF(C88="","",INDEX('Facilities'!$AK$9:$AK$108,MATCH(C88,'Facilities'!$C$9:$C$108,0)))</x:f>
      </x:c>
      <x:c r="N88" s="30" t="str">
        <x:f>IF(C88="","",INDEX('Facilities'!$AL$9:$AL$108,MATCH(C88,'Facilities'!$C$9:$C$108,0)))</x:f>
      </x:c>
      <x:c r="O88" s="23" t="str">
        <x:f>IF(C88="","",IF(AND(INDEX('Facilities'!$AF$9:$AF$108,MATCH(C88,'Facilities'!$C$9:$C$108,0))="Ready",Settings!$F$36="Ready"),"Ready","Review ECL inputs"))</x:f>
      </x:c>
      <x:c r="P88" s="30" t="str">
        <x:f>IF(C88="","",MIN(1,J88*Settings!$G$32))</x:f>
      </x:c>
      <x:c r="Q88" s="30" t="str">
        <x:f>IF(C88="","",MIN(1,J88*Settings!$G$33))</x:f>
      </x:c>
      <x:c r="R88" s="30" t="str">
        <x:f>IF(C88="","",MIN(1,J88*Settings!$G$34))</x:f>
      </x:c>
      <x:c r="S88" s="30" t="str">
        <x:f>IF(C88="","",MIN(1,K88*Settings!$H$32))</x:f>
      </x:c>
      <x:c r="T88" s="30" t="str">
        <x:f>IF(C88="","",MIN(1,K88*Settings!$H$33))</x:f>
      </x:c>
      <x:c r="U88" s="30" t="str">
        <x:f>IF(C88="","",MIN(1,K88*Settings!$H$34))</x:f>
      </x:c>
      <x:c r="V88" s="23" t="str">
        <x:f>IF(C88="","",IF(O88&lt;&gt;"Ready","Unavailable",IF(E88=3,F88*(1-MAX(0,1-(1-N88)*Settings!$H$32)/(1+I88)^M88),F88*(1-(1-S88)/(1+I88)^M88)*P88/(1+I88)*IF(ABS(1-(1-P88)*(1-L88)/(1+I88))&lt;0.000000001,AF88,(1-((1-P88)*(1-L88)/(1+I88))^AF88)/(1-(1-P88)*(1-L88)/(1+I88))))))</x:f>
      </x:c>
      <x:c r="W88" s="23" t="str">
        <x:f>IF(C88="","",IF(O88&lt;&gt;"Ready","Unavailable",IF(E88=3,F88*(1-MAX(0,1-(1-N88)*Settings!$H$33)/(1+I88)^M88),F88*(1-(1-T88)/(1+I88)^M88)*Q88/(1+I88)*IF(ABS(1-(1-Q88)*(1-L88)/(1+I88))&lt;0.000000001,AF88,(1-((1-Q88)*(1-L88)/(1+I88))^AF88)/(1-(1-Q88)*(1-L88)/(1+I88))))))</x:f>
      </x:c>
      <x:c r="X88" s="23" t="str">
        <x:f>IF(C88="","",IF(O88&lt;&gt;"Ready","Unavailable",IF(E88=3,F88*(1-MAX(0,1-(1-N88)*Settings!$H$34)/(1+I88)^M88),F88*(1-(1-U88)/(1+I88)^M88)*R88/(1+I88)*IF(ABS(1-(1-R88)*(1-L88)/(1+I88))&lt;0.000000001,AF88,(1-((1-R88)*(1-L88)/(1+I88))^AF88)/(1-(1-R88)*(1-L88)/(1+I88))))))</x:f>
      </x:c>
      <x:c r="Y88" s="23" t="str">
        <x:f>IF(C88="","",IF(O88&lt;&gt;"Ready","Unavailable",IF(E88=3,G88*INDEX('Facilities'!$I$9:$I$108,MATCH(C88,'Facilities'!$C$9:$C$108,0))*(1-MAX(0,1-(1-N88)*Settings!$H$32)/(1+I88)^M88),G88*INDEX('Facilities'!$I$9:$I$108,MATCH(C88,'Facilities'!$C$9:$C$108,0))*(1-(1-S88)/(1+I88)^M88)*P88/(1+I88)*IF(ABS(1-(1-P88)*(1-0)/(1+I88))&lt;0.000000001,AF88,(1-((1-P88)*(1-0)/(1+I88))^AF88)/(1-(1-P88)*(1-0)/(1+I88))))))</x:f>
      </x:c>
      <x:c r="Z88" s="23" t="str">
        <x:f>IF(C88="","",IF(O88&lt;&gt;"Ready","Unavailable",IF(E88=3,G88*INDEX('Facilities'!$I$9:$I$108,MATCH(C88,'Facilities'!$C$9:$C$108,0))*(1-MAX(0,1-(1-N88)*Settings!$H$33)/(1+I88)^M88),G88*INDEX('Facilities'!$I$9:$I$108,MATCH(C88,'Facilities'!$C$9:$C$108,0))*(1-(1-T88)/(1+I88)^M88)*Q88/(1+I88)*IF(ABS(1-(1-Q88)*(1-0)/(1+I88))&lt;0.000000001,AF88,(1-((1-Q88)*(1-0)/(1+I88))^AF88)/(1-(1-Q88)*(1-0)/(1+I88))))))</x:f>
      </x:c>
      <x:c r="AA88" s="23" t="str">
        <x:f>IF(C88="","",IF(O88&lt;&gt;"Ready","Unavailable",IF(E88=3,G88*INDEX('Facilities'!$I$9:$I$108,MATCH(C88,'Facilities'!$C$9:$C$108,0))*(1-MAX(0,1-(1-N88)*Settings!$H$34)/(1+I88)^M88),G88*INDEX('Facilities'!$I$9:$I$108,MATCH(C88,'Facilities'!$C$9:$C$108,0))*(1-(1-U88)/(1+I88)^M88)*R88/(1+I88)*IF(ABS(1-(1-R88)*(1-0)/(1+I88))&lt;0.000000001,AF88,(1-((1-R88)*(1-0)/(1+I88))^AF88)/(1-(1-R88)*(1-0)/(1+I88))))))</x:f>
      </x:c>
      <x:c r="AB88" s="23" t="str">
        <x:f>IF(C88="","",IF(O88&lt;&gt;"Ready","Unavailable",V88*Settings!$F$32+W88*Settings!$F$33+X88*Settings!$F$34))</x:f>
      </x:c>
      <x:c r="AC88" s="23" t="str">
        <x:f>IF(C88="","",IF(O88&lt;&gt;"Ready","Unavailable",Y88*Settings!$F$32+Z88*Settings!$F$33+AA88*Settings!$F$34))</x:f>
      </x:c>
      <x:c r="AD88" s="21" t="str">
        <x:f>IF(C88="","",IF(O88&lt;&gt;"Ready","Unavailable",AB88+AC88))</x:f>
      </x:c>
      <x:c r="AE88" s="17" t="str">
        <x:f>IF(C88="","",IF(OR(O88&lt;&gt;"Ready",F88=0),"Unavailable",AB88/F88))</x:f>
      </x:c>
      <x:c r="AF88" s="44" t="str">
        <x:f>IF(C88="","",IF(E88=1,1,H88))</x:f>
      </x:c>
    </x:row>
    <x:row r="89" ht="26" customHeight="1">
      <x:c r="A89" s="1"/>
      <x:c r="B89" s="1"/>
      <x:c r="C89" s="9" t="str">
        <x:f>IF(Facilities!C89="","",Facilities!C89)</x:f>
      </x:c>
      <x:c r="D89" s="9" t="str">
        <x:f>IF(C89="","",INDEX('Facilities'!$D$9:$D$108,MATCH(C89,'Facilities'!$C$9:$C$108,0)))</x:f>
      </x:c>
      <x:c r="E89" s="9" t="str">
        <x:f>IF(C89="","",INDEX('Facilities'!$AD$9:$AD$108,MATCH(C89,'Facilities'!$C$9:$C$108,0)))</x:f>
      </x:c>
      <x:c r="F89" s="23" t="str">
        <x:f>IF(C89="","",INDEX('Facilities'!$AA$9:$AA$108,MATCH(C89,'Facilities'!$C$9:$C$108,0)))</x:f>
      </x:c>
      <x:c r="G89" s="23" t="str">
        <x:f>IF(C89="","",INDEX('Facilities'!$AB$9:$AB$108,MATCH(C89,'Facilities'!$C$9:$C$108,0)))</x:f>
      </x:c>
      <x:c r="H89" s="42" t="str">
        <x:f>IF(C89="","",INDEX('Facilities'!$J$9:$J$108,MATCH(C89,'Facilities'!$C$9:$C$108,0)))</x:f>
      </x:c>
      <x:c r="I89" s="30" t="str">
        <x:f>IF(C89="","",INDEX('Facilities'!$K$9:$K$108,MATCH(C89,'Facilities'!$C$9:$C$108,0)))</x:f>
      </x:c>
      <x:c r="J89" s="30" t="str">
        <x:f>IF(C89="","",INDEX('Borrowers'!$P$9:$P$108,MATCH(D89,'Borrowers'!$C$9:$C$108,0)))</x:f>
      </x:c>
      <x:c r="K89" s="30" t="str">
        <x:f>IF(C89="","",INDEX('Borrowers'!$Q$9:$Q$108,MATCH(D89,'Borrowers'!$C$9:$C$108,0)))</x:f>
      </x:c>
      <x:c r="L89" s="30" t="str">
        <x:f>IF(C89="","",INDEX('Facilities'!$R$9:$R$108,MATCH(C89,'Facilities'!$C$9:$C$108,0)))</x:f>
      </x:c>
      <x:c r="M89" s="42" t="str">
        <x:f>IF(C89="","",INDEX('Facilities'!$AK$9:$AK$108,MATCH(C89,'Facilities'!$C$9:$C$108,0)))</x:f>
      </x:c>
      <x:c r="N89" s="30" t="str">
        <x:f>IF(C89="","",INDEX('Facilities'!$AL$9:$AL$108,MATCH(C89,'Facilities'!$C$9:$C$108,0)))</x:f>
      </x:c>
      <x:c r="O89" s="23" t="str">
        <x:f>IF(C89="","",IF(AND(INDEX('Facilities'!$AF$9:$AF$108,MATCH(C89,'Facilities'!$C$9:$C$108,0))="Ready",Settings!$F$36="Ready"),"Ready","Review ECL inputs"))</x:f>
      </x:c>
      <x:c r="P89" s="30" t="str">
        <x:f>IF(C89="","",MIN(1,J89*Settings!$G$32))</x:f>
      </x:c>
      <x:c r="Q89" s="30" t="str">
        <x:f>IF(C89="","",MIN(1,J89*Settings!$G$33))</x:f>
      </x:c>
      <x:c r="R89" s="30" t="str">
        <x:f>IF(C89="","",MIN(1,J89*Settings!$G$34))</x:f>
      </x:c>
      <x:c r="S89" s="30" t="str">
        <x:f>IF(C89="","",MIN(1,K89*Settings!$H$32))</x:f>
      </x:c>
      <x:c r="T89" s="30" t="str">
        <x:f>IF(C89="","",MIN(1,K89*Settings!$H$33))</x:f>
      </x:c>
      <x:c r="U89" s="30" t="str">
        <x:f>IF(C89="","",MIN(1,K89*Settings!$H$34))</x:f>
      </x:c>
      <x:c r="V89" s="23" t="str">
        <x:f>IF(C89="","",IF(O89&lt;&gt;"Ready","Unavailable",IF(E89=3,F89*(1-MAX(0,1-(1-N89)*Settings!$H$32)/(1+I89)^M89),F89*(1-(1-S89)/(1+I89)^M89)*P89/(1+I89)*IF(ABS(1-(1-P89)*(1-L89)/(1+I89))&lt;0.000000001,AF89,(1-((1-P89)*(1-L89)/(1+I89))^AF89)/(1-(1-P89)*(1-L89)/(1+I89))))))</x:f>
      </x:c>
      <x:c r="W89" s="23" t="str">
        <x:f>IF(C89="","",IF(O89&lt;&gt;"Ready","Unavailable",IF(E89=3,F89*(1-MAX(0,1-(1-N89)*Settings!$H$33)/(1+I89)^M89),F89*(1-(1-T89)/(1+I89)^M89)*Q89/(1+I89)*IF(ABS(1-(1-Q89)*(1-L89)/(1+I89))&lt;0.000000001,AF89,(1-((1-Q89)*(1-L89)/(1+I89))^AF89)/(1-(1-Q89)*(1-L89)/(1+I89))))))</x:f>
      </x:c>
      <x:c r="X89" s="23" t="str">
        <x:f>IF(C89="","",IF(O89&lt;&gt;"Ready","Unavailable",IF(E89=3,F89*(1-MAX(0,1-(1-N89)*Settings!$H$34)/(1+I89)^M89),F89*(1-(1-U89)/(1+I89)^M89)*R89/(1+I89)*IF(ABS(1-(1-R89)*(1-L89)/(1+I89))&lt;0.000000001,AF89,(1-((1-R89)*(1-L89)/(1+I89))^AF89)/(1-(1-R89)*(1-L89)/(1+I89))))))</x:f>
      </x:c>
      <x:c r="Y89" s="23" t="str">
        <x:f>IF(C89="","",IF(O89&lt;&gt;"Ready","Unavailable",IF(E89=3,G89*INDEX('Facilities'!$I$9:$I$108,MATCH(C89,'Facilities'!$C$9:$C$108,0))*(1-MAX(0,1-(1-N89)*Settings!$H$32)/(1+I89)^M89),G89*INDEX('Facilities'!$I$9:$I$108,MATCH(C89,'Facilities'!$C$9:$C$108,0))*(1-(1-S89)/(1+I89)^M89)*P89/(1+I89)*IF(ABS(1-(1-P89)*(1-0)/(1+I89))&lt;0.000000001,AF89,(1-((1-P89)*(1-0)/(1+I89))^AF89)/(1-(1-P89)*(1-0)/(1+I89))))))</x:f>
      </x:c>
      <x:c r="Z89" s="23" t="str">
        <x:f>IF(C89="","",IF(O89&lt;&gt;"Ready","Unavailable",IF(E89=3,G89*INDEX('Facilities'!$I$9:$I$108,MATCH(C89,'Facilities'!$C$9:$C$108,0))*(1-MAX(0,1-(1-N89)*Settings!$H$33)/(1+I89)^M89),G89*INDEX('Facilities'!$I$9:$I$108,MATCH(C89,'Facilities'!$C$9:$C$108,0))*(1-(1-T89)/(1+I89)^M89)*Q89/(1+I89)*IF(ABS(1-(1-Q89)*(1-0)/(1+I89))&lt;0.000000001,AF89,(1-((1-Q89)*(1-0)/(1+I89))^AF89)/(1-(1-Q89)*(1-0)/(1+I89))))))</x:f>
      </x:c>
      <x:c r="AA89" s="23" t="str">
        <x:f>IF(C89="","",IF(O89&lt;&gt;"Ready","Unavailable",IF(E89=3,G89*INDEX('Facilities'!$I$9:$I$108,MATCH(C89,'Facilities'!$C$9:$C$108,0))*(1-MAX(0,1-(1-N89)*Settings!$H$34)/(1+I89)^M89),G89*INDEX('Facilities'!$I$9:$I$108,MATCH(C89,'Facilities'!$C$9:$C$108,0))*(1-(1-U89)/(1+I89)^M89)*R89/(1+I89)*IF(ABS(1-(1-R89)*(1-0)/(1+I89))&lt;0.000000001,AF89,(1-((1-R89)*(1-0)/(1+I89))^AF89)/(1-(1-R89)*(1-0)/(1+I89))))))</x:f>
      </x:c>
      <x:c r="AB89" s="23" t="str">
        <x:f>IF(C89="","",IF(O89&lt;&gt;"Ready","Unavailable",V89*Settings!$F$32+W89*Settings!$F$33+X89*Settings!$F$34))</x:f>
      </x:c>
      <x:c r="AC89" s="23" t="str">
        <x:f>IF(C89="","",IF(O89&lt;&gt;"Ready","Unavailable",Y89*Settings!$F$32+Z89*Settings!$F$33+AA89*Settings!$F$34))</x:f>
      </x:c>
      <x:c r="AD89" s="21" t="str">
        <x:f>IF(C89="","",IF(O89&lt;&gt;"Ready","Unavailable",AB89+AC89))</x:f>
      </x:c>
      <x:c r="AE89" s="17" t="str">
        <x:f>IF(C89="","",IF(OR(O89&lt;&gt;"Ready",F89=0),"Unavailable",AB89/F89))</x:f>
      </x:c>
      <x:c r="AF89" s="44" t="str">
        <x:f>IF(C89="","",IF(E89=1,1,H89))</x:f>
      </x:c>
    </x:row>
    <x:row r="90" ht="26" customHeight="1">
      <x:c r="A90" s="1"/>
      <x:c r="B90" s="1"/>
      <x:c r="C90" s="9" t="str">
        <x:f>IF(Facilities!C90="","",Facilities!C90)</x:f>
      </x:c>
      <x:c r="D90" s="9" t="str">
        <x:f>IF(C90="","",INDEX('Facilities'!$D$9:$D$108,MATCH(C90,'Facilities'!$C$9:$C$108,0)))</x:f>
      </x:c>
      <x:c r="E90" s="9" t="str">
        <x:f>IF(C90="","",INDEX('Facilities'!$AD$9:$AD$108,MATCH(C90,'Facilities'!$C$9:$C$108,0)))</x:f>
      </x:c>
      <x:c r="F90" s="23" t="str">
        <x:f>IF(C90="","",INDEX('Facilities'!$AA$9:$AA$108,MATCH(C90,'Facilities'!$C$9:$C$108,0)))</x:f>
      </x:c>
      <x:c r="G90" s="23" t="str">
        <x:f>IF(C90="","",INDEX('Facilities'!$AB$9:$AB$108,MATCH(C90,'Facilities'!$C$9:$C$108,0)))</x:f>
      </x:c>
      <x:c r="H90" s="42" t="str">
        <x:f>IF(C90="","",INDEX('Facilities'!$J$9:$J$108,MATCH(C90,'Facilities'!$C$9:$C$108,0)))</x:f>
      </x:c>
      <x:c r="I90" s="30" t="str">
        <x:f>IF(C90="","",INDEX('Facilities'!$K$9:$K$108,MATCH(C90,'Facilities'!$C$9:$C$108,0)))</x:f>
      </x:c>
      <x:c r="J90" s="30" t="str">
        <x:f>IF(C90="","",INDEX('Borrowers'!$P$9:$P$108,MATCH(D90,'Borrowers'!$C$9:$C$108,0)))</x:f>
      </x:c>
      <x:c r="K90" s="30" t="str">
        <x:f>IF(C90="","",INDEX('Borrowers'!$Q$9:$Q$108,MATCH(D90,'Borrowers'!$C$9:$C$108,0)))</x:f>
      </x:c>
      <x:c r="L90" s="30" t="str">
        <x:f>IF(C90="","",INDEX('Facilities'!$R$9:$R$108,MATCH(C90,'Facilities'!$C$9:$C$108,0)))</x:f>
      </x:c>
      <x:c r="M90" s="42" t="str">
        <x:f>IF(C90="","",INDEX('Facilities'!$AK$9:$AK$108,MATCH(C90,'Facilities'!$C$9:$C$108,0)))</x:f>
      </x:c>
      <x:c r="N90" s="30" t="str">
        <x:f>IF(C90="","",INDEX('Facilities'!$AL$9:$AL$108,MATCH(C90,'Facilities'!$C$9:$C$108,0)))</x:f>
      </x:c>
      <x:c r="O90" s="23" t="str">
        <x:f>IF(C90="","",IF(AND(INDEX('Facilities'!$AF$9:$AF$108,MATCH(C90,'Facilities'!$C$9:$C$108,0))="Ready",Settings!$F$36="Ready"),"Ready","Review ECL inputs"))</x:f>
      </x:c>
      <x:c r="P90" s="30" t="str">
        <x:f>IF(C90="","",MIN(1,J90*Settings!$G$32))</x:f>
      </x:c>
      <x:c r="Q90" s="30" t="str">
        <x:f>IF(C90="","",MIN(1,J90*Settings!$G$33))</x:f>
      </x:c>
      <x:c r="R90" s="30" t="str">
        <x:f>IF(C90="","",MIN(1,J90*Settings!$G$34))</x:f>
      </x:c>
      <x:c r="S90" s="30" t="str">
        <x:f>IF(C90="","",MIN(1,K90*Settings!$H$32))</x:f>
      </x:c>
      <x:c r="T90" s="30" t="str">
        <x:f>IF(C90="","",MIN(1,K90*Settings!$H$33))</x:f>
      </x:c>
      <x:c r="U90" s="30" t="str">
        <x:f>IF(C90="","",MIN(1,K90*Settings!$H$34))</x:f>
      </x:c>
      <x:c r="V90" s="23" t="str">
        <x:f>IF(C90="","",IF(O90&lt;&gt;"Ready","Unavailable",IF(E90=3,F90*(1-MAX(0,1-(1-N90)*Settings!$H$32)/(1+I90)^M90),F90*(1-(1-S90)/(1+I90)^M90)*P90/(1+I90)*IF(ABS(1-(1-P90)*(1-L90)/(1+I90))&lt;0.000000001,AF90,(1-((1-P90)*(1-L90)/(1+I90))^AF90)/(1-(1-P90)*(1-L90)/(1+I90))))))</x:f>
      </x:c>
      <x:c r="W90" s="23" t="str">
        <x:f>IF(C90="","",IF(O90&lt;&gt;"Ready","Unavailable",IF(E90=3,F90*(1-MAX(0,1-(1-N90)*Settings!$H$33)/(1+I90)^M90),F90*(1-(1-T90)/(1+I90)^M90)*Q90/(1+I90)*IF(ABS(1-(1-Q90)*(1-L90)/(1+I90))&lt;0.000000001,AF90,(1-((1-Q90)*(1-L90)/(1+I90))^AF90)/(1-(1-Q90)*(1-L90)/(1+I90))))))</x:f>
      </x:c>
      <x:c r="X90" s="23" t="str">
        <x:f>IF(C90="","",IF(O90&lt;&gt;"Ready","Unavailable",IF(E90=3,F90*(1-MAX(0,1-(1-N90)*Settings!$H$34)/(1+I90)^M90),F90*(1-(1-U90)/(1+I90)^M90)*R90/(1+I90)*IF(ABS(1-(1-R90)*(1-L90)/(1+I90))&lt;0.000000001,AF90,(1-((1-R90)*(1-L90)/(1+I90))^AF90)/(1-(1-R90)*(1-L90)/(1+I90))))))</x:f>
      </x:c>
      <x:c r="Y90" s="23" t="str">
        <x:f>IF(C90="","",IF(O90&lt;&gt;"Ready","Unavailable",IF(E90=3,G90*INDEX('Facilities'!$I$9:$I$108,MATCH(C90,'Facilities'!$C$9:$C$108,0))*(1-MAX(0,1-(1-N90)*Settings!$H$32)/(1+I90)^M90),G90*INDEX('Facilities'!$I$9:$I$108,MATCH(C90,'Facilities'!$C$9:$C$108,0))*(1-(1-S90)/(1+I90)^M90)*P90/(1+I90)*IF(ABS(1-(1-P90)*(1-0)/(1+I90))&lt;0.000000001,AF90,(1-((1-P90)*(1-0)/(1+I90))^AF90)/(1-(1-P90)*(1-0)/(1+I90))))))</x:f>
      </x:c>
      <x:c r="Z90" s="23" t="str">
        <x:f>IF(C90="","",IF(O90&lt;&gt;"Ready","Unavailable",IF(E90=3,G90*INDEX('Facilities'!$I$9:$I$108,MATCH(C90,'Facilities'!$C$9:$C$108,0))*(1-MAX(0,1-(1-N90)*Settings!$H$33)/(1+I90)^M90),G90*INDEX('Facilities'!$I$9:$I$108,MATCH(C90,'Facilities'!$C$9:$C$108,0))*(1-(1-T90)/(1+I90)^M90)*Q90/(1+I90)*IF(ABS(1-(1-Q90)*(1-0)/(1+I90))&lt;0.000000001,AF90,(1-((1-Q90)*(1-0)/(1+I90))^AF90)/(1-(1-Q90)*(1-0)/(1+I90))))))</x:f>
      </x:c>
      <x:c r="AA90" s="23" t="str">
        <x:f>IF(C90="","",IF(O90&lt;&gt;"Ready","Unavailable",IF(E90=3,G90*INDEX('Facilities'!$I$9:$I$108,MATCH(C90,'Facilities'!$C$9:$C$108,0))*(1-MAX(0,1-(1-N90)*Settings!$H$34)/(1+I90)^M90),G90*INDEX('Facilities'!$I$9:$I$108,MATCH(C90,'Facilities'!$C$9:$C$108,0))*(1-(1-U90)/(1+I90)^M90)*R90/(1+I90)*IF(ABS(1-(1-R90)*(1-0)/(1+I90))&lt;0.000000001,AF90,(1-((1-R90)*(1-0)/(1+I90))^AF90)/(1-(1-R90)*(1-0)/(1+I90))))))</x:f>
      </x:c>
      <x:c r="AB90" s="23" t="str">
        <x:f>IF(C90="","",IF(O90&lt;&gt;"Ready","Unavailable",V90*Settings!$F$32+W90*Settings!$F$33+X90*Settings!$F$34))</x:f>
      </x:c>
      <x:c r="AC90" s="23" t="str">
        <x:f>IF(C90="","",IF(O90&lt;&gt;"Ready","Unavailable",Y90*Settings!$F$32+Z90*Settings!$F$33+AA90*Settings!$F$34))</x:f>
      </x:c>
      <x:c r="AD90" s="21" t="str">
        <x:f>IF(C90="","",IF(O90&lt;&gt;"Ready","Unavailable",AB90+AC90))</x:f>
      </x:c>
      <x:c r="AE90" s="17" t="str">
        <x:f>IF(C90="","",IF(OR(O90&lt;&gt;"Ready",F90=0),"Unavailable",AB90/F90))</x:f>
      </x:c>
      <x:c r="AF90" s="44" t="str">
        <x:f>IF(C90="","",IF(E90=1,1,H90))</x:f>
      </x:c>
    </x:row>
    <x:row r="91" ht="26" customHeight="1">
      <x:c r="A91" s="1"/>
      <x:c r="B91" s="1"/>
      <x:c r="C91" s="9" t="str">
        <x:f>IF(Facilities!C91="","",Facilities!C91)</x:f>
      </x:c>
      <x:c r="D91" s="9" t="str">
        <x:f>IF(C91="","",INDEX('Facilities'!$D$9:$D$108,MATCH(C91,'Facilities'!$C$9:$C$108,0)))</x:f>
      </x:c>
      <x:c r="E91" s="9" t="str">
        <x:f>IF(C91="","",INDEX('Facilities'!$AD$9:$AD$108,MATCH(C91,'Facilities'!$C$9:$C$108,0)))</x:f>
      </x:c>
      <x:c r="F91" s="23" t="str">
        <x:f>IF(C91="","",INDEX('Facilities'!$AA$9:$AA$108,MATCH(C91,'Facilities'!$C$9:$C$108,0)))</x:f>
      </x:c>
      <x:c r="G91" s="23" t="str">
        <x:f>IF(C91="","",INDEX('Facilities'!$AB$9:$AB$108,MATCH(C91,'Facilities'!$C$9:$C$108,0)))</x:f>
      </x:c>
      <x:c r="H91" s="42" t="str">
        <x:f>IF(C91="","",INDEX('Facilities'!$J$9:$J$108,MATCH(C91,'Facilities'!$C$9:$C$108,0)))</x:f>
      </x:c>
      <x:c r="I91" s="30" t="str">
        <x:f>IF(C91="","",INDEX('Facilities'!$K$9:$K$108,MATCH(C91,'Facilities'!$C$9:$C$108,0)))</x:f>
      </x:c>
      <x:c r="J91" s="30" t="str">
        <x:f>IF(C91="","",INDEX('Borrowers'!$P$9:$P$108,MATCH(D91,'Borrowers'!$C$9:$C$108,0)))</x:f>
      </x:c>
      <x:c r="K91" s="30" t="str">
        <x:f>IF(C91="","",INDEX('Borrowers'!$Q$9:$Q$108,MATCH(D91,'Borrowers'!$C$9:$C$108,0)))</x:f>
      </x:c>
      <x:c r="L91" s="30" t="str">
        <x:f>IF(C91="","",INDEX('Facilities'!$R$9:$R$108,MATCH(C91,'Facilities'!$C$9:$C$108,0)))</x:f>
      </x:c>
      <x:c r="M91" s="42" t="str">
        <x:f>IF(C91="","",INDEX('Facilities'!$AK$9:$AK$108,MATCH(C91,'Facilities'!$C$9:$C$108,0)))</x:f>
      </x:c>
      <x:c r="N91" s="30" t="str">
        <x:f>IF(C91="","",INDEX('Facilities'!$AL$9:$AL$108,MATCH(C91,'Facilities'!$C$9:$C$108,0)))</x:f>
      </x:c>
      <x:c r="O91" s="23" t="str">
        <x:f>IF(C91="","",IF(AND(INDEX('Facilities'!$AF$9:$AF$108,MATCH(C91,'Facilities'!$C$9:$C$108,0))="Ready",Settings!$F$36="Ready"),"Ready","Review ECL inputs"))</x:f>
      </x:c>
      <x:c r="P91" s="30" t="str">
        <x:f>IF(C91="","",MIN(1,J91*Settings!$G$32))</x:f>
      </x:c>
      <x:c r="Q91" s="30" t="str">
        <x:f>IF(C91="","",MIN(1,J91*Settings!$G$33))</x:f>
      </x:c>
      <x:c r="R91" s="30" t="str">
        <x:f>IF(C91="","",MIN(1,J91*Settings!$G$34))</x:f>
      </x:c>
      <x:c r="S91" s="30" t="str">
        <x:f>IF(C91="","",MIN(1,K91*Settings!$H$32))</x:f>
      </x:c>
      <x:c r="T91" s="30" t="str">
        <x:f>IF(C91="","",MIN(1,K91*Settings!$H$33))</x:f>
      </x:c>
      <x:c r="U91" s="30" t="str">
        <x:f>IF(C91="","",MIN(1,K91*Settings!$H$34))</x:f>
      </x:c>
      <x:c r="V91" s="23" t="str">
        <x:f>IF(C91="","",IF(O91&lt;&gt;"Ready","Unavailable",IF(E91=3,F91*(1-MAX(0,1-(1-N91)*Settings!$H$32)/(1+I91)^M91),F91*(1-(1-S91)/(1+I91)^M91)*P91/(1+I91)*IF(ABS(1-(1-P91)*(1-L91)/(1+I91))&lt;0.000000001,AF91,(1-((1-P91)*(1-L91)/(1+I91))^AF91)/(1-(1-P91)*(1-L91)/(1+I91))))))</x:f>
      </x:c>
      <x:c r="W91" s="23" t="str">
        <x:f>IF(C91="","",IF(O91&lt;&gt;"Ready","Unavailable",IF(E91=3,F91*(1-MAX(0,1-(1-N91)*Settings!$H$33)/(1+I91)^M91),F91*(1-(1-T91)/(1+I91)^M91)*Q91/(1+I91)*IF(ABS(1-(1-Q91)*(1-L91)/(1+I91))&lt;0.000000001,AF91,(1-((1-Q91)*(1-L91)/(1+I91))^AF91)/(1-(1-Q91)*(1-L91)/(1+I91))))))</x:f>
      </x:c>
      <x:c r="X91" s="23" t="str">
        <x:f>IF(C91="","",IF(O91&lt;&gt;"Ready","Unavailable",IF(E91=3,F91*(1-MAX(0,1-(1-N91)*Settings!$H$34)/(1+I91)^M91),F91*(1-(1-U91)/(1+I91)^M91)*R91/(1+I91)*IF(ABS(1-(1-R91)*(1-L91)/(1+I91))&lt;0.000000001,AF91,(1-((1-R91)*(1-L91)/(1+I91))^AF91)/(1-(1-R91)*(1-L91)/(1+I91))))))</x:f>
      </x:c>
      <x:c r="Y91" s="23" t="str">
        <x:f>IF(C91="","",IF(O91&lt;&gt;"Ready","Unavailable",IF(E91=3,G91*INDEX('Facilities'!$I$9:$I$108,MATCH(C91,'Facilities'!$C$9:$C$108,0))*(1-MAX(0,1-(1-N91)*Settings!$H$32)/(1+I91)^M91),G91*INDEX('Facilities'!$I$9:$I$108,MATCH(C91,'Facilities'!$C$9:$C$108,0))*(1-(1-S91)/(1+I91)^M91)*P91/(1+I91)*IF(ABS(1-(1-P91)*(1-0)/(1+I91))&lt;0.000000001,AF91,(1-((1-P91)*(1-0)/(1+I91))^AF91)/(1-(1-P91)*(1-0)/(1+I91))))))</x:f>
      </x:c>
      <x:c r="Z91" s="23" t="str">
        <x:f>IF(C91="","",IF(O91&lt;&gt;"Ready","Unavailable",IF(E91=3,G91*INDEX('Facilities'!$I$9:$I$108,MATCH(C91,'Facilities'!$C$9:$C$108,0))*(1-MAX(0,1-(1-N91)*Settings!$H$33)/(1+I91)^M91),G91*INDEX('Facilities'!$I$9:$I$108,MATCH(C91,'Facilities'!$C$9:$C$108,0))*(1-(1-T91)/(1+I91)^M91)*Q91/(1+I91)*IF(ABS(1-(1-Q91)*(1-0)/(1+I91))&lt;0.000000001,AF91,(1-((1-Q91)*(1-0)/(1+I91))^AF91)/(1-(1-Q91)*(1-0)/(1+I91))))))</x:f>
      </x:c>
      <x:c r="AA91" s="23" t="str">
        <x:f>IF(C91="","",IF(O91&lt;&gt;"Ready","Unavailable",IF(E91=3,G91*INDEX('Facilities'!$I$9:$I$108,MATCH(C91,'Facilities'!$C$9:$C$108,0))*(1-MAX(0,1-(1-N91)*Settings!$H$34)/(1+I91)^M91),G91*INDEX('Facilities'!$I$9:$I$108,MATCH(C91,'Facilities'!$C$9:$C$108,0))*(1-(1-U91)/(1+I91)^M91)*R91/(1+I91)*IF(ABS(1-(1-R91)*(1-0)/(1+I91))&lt;0.000000001,AF91,(1-((1-R91)*(1-0)/(1+I91))^AF91)/(1-(1-R91)*(1-0)/(1+I91))))))</x:f>
      </x:c>
      <x:c r="AB91" s="23" t="str">
        <x:f>IF(C91="","",IF(O91&lt;&gt;"Ready","Unavailable",V91*Settings!$F$32+W91*Settings!$F$33+X91*Settings!$F$34))</x:f>
      </x:c>
      <x:c r="AC91" s="23" t="str">
        <x:f>IF(C91="","",IF(O91&lt;&gt;"Ready","Unavailable",Y91*Settings!$F$32+Z91*Settings!$F$33+AA91*Settings!$F$34))</x:f>
      </x:c>
      <x:c r="AD91" s="21" t="str">
        <x:f>IF(C91="","",IF(O91&lt;&gt;"Ready","Unavailable",AB91+AC91))</x:f>
      </x:c>
      <x:c r="AE91" s="17" t="str">
        <x:f>IF(C91="","",IF(OR(O91&lt;&gt;"Ready",F91=0),"Unavailable",AB91/F91))</x:f>
      </x:c>
      <x:c r="AF91" s="44" t="str">
        <x:f>IF(C91="","",IF(E91=1,1,H91))</x:f>
      </x:c>
    </x:row>
    <x:row r="92" ht="26" customHeight="1">
      <x:c r="A92" s="1"/>
      <x:c r="B92" s="1"/>
      <x:c r="C92" s="9" t="str">
        <x:f>IF(Facilities!C92="","",Facilities!C92)</x:f>
      </x:c>
      <x:c r="D92" s="9" t="str">
        <x:f>IF(C92="","",INDEX('Facilities'!$D$9:$D$108,MATCH(C92,'Facilities'!$C$9:$C$108,0)))</x:f>
      </x:c>
      <x:c r="E92" s="9" t="str">
        <x:f>IF(C92="","",INDEX('Facilities'!$AD$9:$AD$108,MATCH(C92,'Facilities'!$C$9:$C$108,0)))</x:f>
      </x:c>
      <x:c r="F92" s="23" t="str">
        <x:f>IF(C92="","",INDEX('Facilities'!$AA$9:$AA$108,MATCH(C92,'Facilities'!$C$9:$C$108,0)))</x:f>
      </x:c>
      <x:c r="G92" s="23" t="str">
        <x:f>IF(C92="","",INDEX('Facilities'!$AB$9:$AB$108,MATCH(C92,'Facilities'!$C$9:$C$108,0)))</x:f>
      </x:c>
      <x:c r="H92" s="42" t="str">
        <x:f>IF(C92="","",INDEX('Facilities'!$J$9:$J$108,MATCH(C92,'Facilities'!$C$9:$C$108,0)))</x:f>
      </x:c>
      <x:c r="I92" s="30" t="str">
        <x:f>IF(C92="","",INDEX('Facilities'!$K$9:$K$108,MATCH(C92,'Facilities'!$C$9:$C$108,0)))</x:f>
      </x:c>
      <x:c r="J92" s="30" t="str">
        <x:f>IF(C92="","",INDEX('Borrowers'!$P$9:$P$108,MATCH(D92,'Borrowers'!$C$9:$C$108,0)))</x:f>
      </x:c>
      <x:c r="K92" s="30" t="str">
        <x:f>IF(C92="","",INDEX('Borrowers'!$Q$9:$Q$108,MATCH(D92,'Borrowers'!$C$9:$C$108,0)))</x:f>
      </x:c>
      <x:c r="L92" s="30" t="str">
        <x:f>IF(C92="","",INDEX('Facilities'!$R$9:$R$108,MATCH(C92,'Facilities'!$C$9:$C$108,0)))</x:f>
      </x:c>
      <x:c r="M92" s="42" t="str">
        <x:f>IF(C92="","",INDEX('Facilities'!$AK$9:$AK$108,MATCH(C92,'Facilities'!$C$9:$C$108,0)))</x:f>
      </x:c>
      <x:c r="N92" s="30" t="str">
        <x:f>IF(C92="","",INDEX('Facilities'!$AL$9:$AL$108,MATCH(C92,'Facilities'!$C$9:$C$108,0)))</x:f>
      </x:c>
      <x:c r="O92" s="23" t="str">
        <x:f>IF(C92="","",IF(AND(INDEX('Facilities'!$AF$9:$AF$108,MATCH(C92,'Facilities'!$C$9:$C$108,0))="Ready",Settings!$F$36="Ready"),"Ready","Review ECL inputs"))</x:f>
      </x:c>
      <x:c r="P92" s="30" t="str">
        <x:f>IF(C92="","",MIN(1,J92*Settings!$G$32))</x:f>
      </x:c>
      <x:c r="Q92" s="30" t="str">
        <x:f>IF(C92="","",MIN(1,J92*Settings!$G$33))</x:f>
      </x:c>
      <x:c r="R92" s="30" t="str">
        <x:f>IF(C92="","",MIN(1,J92*Settings!$G$34))</x:f>
      </x:c>
      <x:c r="S92" s="30" t="str">
        <x:f>IF(C92="","",MIN(1,K92*Settings!$H$32))</x:f>
      </x:c>
      <x:c r="T92" s="30" t="str">
        <x:f>IF(C92="","",MIN(1,K92*Settings!$H$33))</x:f>
      </x:c>
      <x:c r="U92" s="30" t="str">
        <x:f>IF(C92="","",MIN(1,K92*Settings!$H$34))</x:f>
      </x:c>
      <x:c r="V92" s="23" t="str">
        <x:f>IF(C92="","",IF(O92&lt;&gt;"Ready","Unavailable",IF(E92=3,F92*(1-MAX(0,1-(1-N92)*Settings!$H$32)/(1+I92)^M92),F92*(1-(1-S92)/(1+I92)^M92)*P92/(1+I92)*IF(ABS(1-(1-P92)*(1-L92)/(1+I92))&lt;0.000000001,AF92,(1-((1-P92)*(1-L92)/(1+I92))^AF92)/(1-(1-P92)*(1-L92)/(1+I92))))))</x:f>
      </x:c>
      <x:c r="W92" s="23" t="str">
        <x:f>IF(C92="","",IF(O92&lt;&gt;"Ready","Unavailable",IF(E92=3,F92*(1-MAX(0,1-(1-N92)*Settings!$H$33)/(1+I92)^M92),F92*(1-(1-T92)/(1+I92)^M92)*Q92/(1+I92)*IF(ABS(1-(1-Q92)*(1-L92)/(1+I92))&lt;0.000000001,AF92,(1-((1-Q92)*(1-L92)/(1+I92))^AF92)/(1-(1-Q92)*(1-L92)/(1+I92))))))</x:f>
      </x:c>
      <x:c r="X92" s="23" t="str">
        <x:f>IF(C92="","",IF(O92&lt;&gt;"Ready","Unavailable",IF(E92=3,F92*(1-MAX(0,1-(1-N92)*Settings!$H$34)/(1+I92)^M92),F92*(1-(1-U92)/(1+I92)^M92)*R92/(1+I92)*IF(ABS(1-(1-R92)*(1-L92)/(1+I92))&lt;0.000000001,AF92,(1-((1-R92)*(1-L92)/(1+I92))^AF92)/(1-(1-R92)*(1-L92)/(1+I92))))))</x:f>
      </x:c>
      <x:c r="Y92" s="23" t="str">
        <x:f>IF(C92="","",IF(O92&lt;&gt;"Ready","Unavailable",IF(E92=3,G92*INDEX('Facilities'!$I$9:$I$108,MATCH(C92,'Facilities'!$C$9:$C$108,0))*(1-MAX(0,1-(1-N92)*Settings!$H$32)/(1+I92)^M92),G92*INDEX('Facilities'!$I$9:$I$108,MATCH(C92,'Facilities'!$C$9:$C$108,0))*(1-(1-S92)/(1+I92)^M92)*P92/(1+I92)*IF(ABS(1-(1-P92)*(1-0)/(1+I92))&lt;0.000000001,AF92,(1-((1-P92)*(1-0)/(1+I92))^AF92)/(1-(1-P92)*(1-0)/(1+I92))))))</x:f>
      </x:c>
      <x:c r="Z92" s="23" t="str">
        <x:f>IF(C92="","",IF(O92&lt;&gt;"Ready","Unavailable",IF(E92=3,G92*INDEX('Facilities'!$I$9:$I$108,MATCH(C92,'Facilities'!$C$9:$C$108,0))*(1-MAX(0,1-(1-N92)*Settings!$H$33)/(1+I92)^M92),G92*INDEX('Facilities'!$I$9:$I$108,MATCH(C92,'Facilities'!$C$9:$C$108,0))*(1-(1-T92)/(1+I92)^M92)*Q92/(1+I92)*IF(ABS(1-(1-Q92)*(1-0)/(1+I92))&lt;0.000000001,AF92,(1-((1-Q92)*(1-0)/(1+I92))^AF92)/(1-(1-Q92)*(1-0)/(1+I92))))))</x:f>
      </x:c>
      <x:c r="AA92" s="23" t="str">
        <x:f>IF(C92="","",IF(O92&lt;&gt;"Ready","Unavailable",IF(E92=3,G92*INDEX('Facilities'!$I$9:$I$108,MATCH(C92,'Facilities'!$C$9:$C$108,0))*(1-MAX(0,1-(1-N92)*Settings!$H$34)/(1+I92)^M92),G92*INDEX('Facilities'!$I$9:$I$108,MATCH(C92,'Facilities'!$C$9:$C$108,0))*(1-(1-U92)/(1+I92)^M92)*R92/(1+I92)*IF(ABS(1-(1-R92)*(1-0)/(1+I92))&lt;0.000000001,AF92,(1-((1-R92)*(1-0)/(1+I92))^AF92)/(1-(1-R92)*(1-0)/(1+I92))))))</x:f>
      </x:c>
      <x:c r="AB92" s="23" t="str">
        <x:f>IF(C92="","",IF(O92&lt;&gt;"Ready","Unavailable",V92*Settings!$F$32+W92*Settings!$F$33+X92*Settings!$F$34))</x:f>
      </x:c>
      <x:c r="AC92" s="23" t="str">
        <x:f>IF(C92="","",IF(O92&lt;&gt;"Ready","Unavailable",Y92*Settings!$F$32+Z92*Settings!$F$33+AA92*Settings!$F$34))</x:f>
      </x:c>
      <x:c r="AD92" s="21" t="str">
        <x:f>IF(C92="","",IF(O92&lt;&gt;"Ready","Unavailable",AB92+AC92))</x:f>
      </x:c>
      <x:c r="AE92" s="17" t="str">
        <x:f>IF(C92="","",IF(OR(O92&lt;&gt;"Ready",F92=0),"Unavailable",AB92/F92))</x:f>
      </x:c>
      <x:c r="AF92" s="44" t="str">
        <x:f>IF(C92="","",IF(E92=1,1,H92))</x:f>
      </x:c>
    </x:row>
    <x:row r="93" ht="26" customHeight="1">
      <x:c r="A93" s="1"/>
      <x:c r="B93" s="1"/>
      <x:c r="C93" s="9" t="str">
        <x:f>IF(Facilities!C93="","",Facilities!C93)</x:f>
      </x:c>
      <x:c r="D93" s="9" t="str">
        <x:f>IF(C93="","",INDEX('Facilities'!$D$9:$D$108,MATCH(C93,'Facilities'!$C$9:$C$108,0)))</x:f>
      </x:c>
      <x:c r="E93" s="9" t="str">
        <x:f>IF(C93="","",INDEX('Facilities'!$AD$9:$AD$108,MATCH(C93,'Facilities'!$C$9:$C$108,0)))</x:f>
      </x:c>
      <x:c r="F93" s="23" t="str">
        <x:f>IF(C93="","",INDEX('Facilities'!$AA$9:$AA$108,MATCH(C93,'Facilities'!$C$9:$C$108,0)))</x:f>
      </x:c>
      <x:c r="G93" s="23" t="str">
        <x:f>IF(C93="","",INDEX('Facilities'!$AB$9:$AB$108,MATCH(C93,'Facilities'!$C$9:$C$108,0)))</x:f>
      </x:c>
      <x:c r="H93" s="42" t="str">
        <x:f>IF(C93="","",INDEX('Facilities'!$J$9:$J$108,MATCH(C93,'Facilities'!$C$9:$C$108,0)))</x:f>
      </x:c>
      <x:c r="I93" s="30" t="str">
        <x:f>IF(C93="","",INDEX('Facilities'!$K$9:$K$108,MATCH(C93,'Facilities'!$C$9:$C$108,0)))</x:f>
      </x:c>
      <x:c r="J93" s="30" t="str">
        <x:f>IF(C93="","",INDEX('Borrowers'!$P$9:$P$108,MATCH(D93,'Borrowers'!$C$9:$C$108,0)))</x:f>
      </x:c>
      <x:c r="K93" s="30" t="str">
        <x:f>IF(C93="","",INDEX('Borrowers'!$Q$9:$Q$108,MATCH(D93,'Borrowers'!$C$9:$C$108,0)))</x:f>
      </x:c>
      <x:c r="L93" s="30" t="str">
        <x:f>IF(C93="","",INDEX('Facilities'!$R$9:$R$108,MATCH(C93,'Facilities'!$C$9:$C$108,0)))</x:f>
      </x:c>
      <x:c r="M93" s="42" t="str">
        <x:f>IF(C93="","",INDEX('Facilities'!$AK$9:$AK$108,MATCH(C93,'Facilities'!$C$9:$C$108,0)))</x:f>
      </x:c>
      <x:c r="N93" s="30" t="str">
        <x:f>IF(C93="","",INDEX('Facilities'!$AL$9:$AL$108,MATCH(C93,'Facilities'!$C$9:$C$108,0)))</x:f>
      </x:c>
      <x:c r="O93" s="23" t="str">
        <x:f>IF(C93="","",IF(AND(INDEX('Facilities'!$AF$9:$AF$108,MATCH(C93,'Facilities'!$C$9:$C$108,0))="Ready",Settings!$F$36="Ready"),"Ready","Review ECL inputs"))</x:f>
      </x:c>
      <x:c r="P93" s="30" t="str">
        <x:f>IF(C93="","",MIN(1,J93*Settings!$G$32))</x:f>
      </x:c>
      <x:c r="Q93" s="30" t="str">
        <x:f>IF(C93="","",MIN(1,J93*Settings!$G$33))</x:f>
      </x:c>
      <x:c r="R93" s="30" t="str">
        <x:f>IF(C93="","",MIN(1,J93*Settings!$G$34))</x:f>
      </x:c>
      <x:c r="S93" s="30" t="str">
        <x:f>IF(C93="","",MIN(1,K93*Settings!$H$32))</x:f>
      </x:c>
      <x:c r="T93" s="30" t="str">
        <x:f>IF(C93="","",MIN(1,K93*Settings!$H$33))</x:f>
      </x:c>
      <x:c r="U93" s="30" t="str">
        <x:f>IF(C93="","",MIN(1,K93*Settings!$H$34))</x:f>
      </x:c>
      <x:c r="V93" s="23" t="str">
        <x:f>IF(C93="","",IF(O93&lt;&gt;"Ready","Unavailable",IF(E93=3,F93*(1-MAX(0,1-(1-N93)*Settings!$H$32)/(1+I93)^M93),F93*(1-(1-S93)/(1+I93)^M93)*P93/(1+I93)*IF(ABS(1-(1-P93)*(1-L93)/(1+I93))&lt;0.000000001,AF93,(1-((1-P93)*(1-L93)/(1+I93))^AF93)/(1-(1-P93)*(1-L93)/(1+I93))))))</x:f>
      </x:c>
      <x:c r="W93" s="23" t="str">
        <x:f>IF(C93="","",IF(O93&lt;&gt;"Ready","Unavailable",IF(E93=3,F93*(1-MAX(0,1-(1-N93)*Settings!$H$33)/(1+I93)^M93),F93*(1-(1-T93)/(1+I93)^M93)*Q93/(1+I93)*IF(ABS(1-(1-Q93)*(1-L93)/(1+I93))&lt;0.000000001,AF93,(1-((1-Q93)*(1-L93)/(1+I93))^AF93)/(1-(1-Q93)*(1-L93)/(1+I93))))))</x:f>
      </x:c>
      <x:c r="X93" s="23" t="str">
        <x:f>IF(C93="","",IF(O93&lt;&gt;"Ready","Unavailable",IF(E93=3,F93*(1-MAX(0,1-(1-N93)*Settings!$H$34)/(1+I93)^M93),F93*(1-(1-U93)/(1+I93)^M93)*R93/(1+I93)*IF(ABS(1-(1-R93)*(1-L93)/(1+I93))&lt;0.000000001,AF93,(1-((1-R93)*(1-L93)/(1+I93))^AF93)/(1-(1-R93)*(1-L93)/(1+I93))))))</x:f>
      </x:c>
      <x:c r="Y93" s="23" t="str">
        <x:f>IF(C93="","",IF(O93&lt;&gt;"Ready","Unavailable",IF(E93=3,G93*INDEX('Facilities'!$I$9:$I$108,MATCH(C93,'Facilities'!$C$9:$C$108,0))*(1-MAX(0,1-(1-N93)*Settings!$H$32)/(1+I93)^M93),G93*INDEX('Facilities'!$I$9:$I$108,MATCH(C93,'Facilities'!$C$9:$C$108,0))*(1-(1-S93)/(1+I93)^M93)*P93/(1+I93)*IF(ABS(1-(1-P93)*(1-0)/(1+I93))&lt;0.000000001,AF93,(1-((1-P93)*(1-0)/(1+I93))^AF93)/(1-(1-P93)*(1-0)/(1+I93))))))</x:f>
      </x:c>
      <x:c r="Z93" s="23" t="str">
        <x:f>IF(C93="","",IF(O93&lt;&gt;"Ready","Unavailable",IF(E93=3,G93*INDEX('Facilities'!$I$9:$I$108,MATCH(C93,'Facilities'!$C$9:$C$108,0))*(1-MAX(0,1-(1-N93)*Settings!$H$33)/(1+I93)^M93),G93*INDEX('Facilities'!$I$9:$I$108,MATCH(C93,'Facilities'!$C$9:$C$108,0))*(1-(1-T93)/(1+I93)^M93)*Q93/(1+I93)*IF(ABS(1-(1-Q93)*(1-0)/(1+I93))&lt;0.000000001,AF93,(1-((1-Q93)*(1-0)/(1+I93))^AF93)/(1-(1-Q93)*(1-0)/(1+I93))))))</x:f>
      </x:c>
      <x:c r="AA93" s="23" t="str">
        <x:f>IF(C93="","",IF(O93&lt;&gt;"Ready","Unavailable",IF(E93=3,G93*INDEX('Facilities'!$I$9:$I$108,MATCH(C93,'Facilities'!$C$9:$C$108,0))*(1-MAX(0,1-(1-N93)*Settings!$H$34)/(1+I93)^M93),G93*INDEX('Facilities'!$I$9:$I$108,MATCH(C93,'Facilities'!$C$9:$C$108,0))*(1-(1-U93)/(1+I93)^M93)*R93/(1+I93)*IF(ABS(1-(1-R93)*(1-0)/(1+I93))&lt;0.000000001,AF93,(1-((1-R93)*(1-0)/(1+I93))^AF93)/(1-(1-R93)*(1-0)/(1+I93))))))</x:f>
      </x:c>
      <x:c r="AB93" s="23" t="str">
        <x:f>IF(C93="","",IF(O93&lt;&gt;"Ready","Unavailable",V93*Settings!$F$32+W93*Settings!$F$33+X93*Settings!$F$34))</x:f>
      </x:c>
      <x:c r="AC93" s="23" t="str">
        <x:f>IF(C93="","",IF(O93&lt;&gt;"Ready","Unavailable",Y93*Settings!$F$32+Z93*Settings!$F$33+AA93*Settings!$F$34))</x:f>
      </x:c>
      <x:c r="AD93" s="21" t="str">
        <x:f>IF(C93="","",IF(O93&lt;&gt;"Ready","Unavailable",AB93+AC93))</x:f>
      </x:c>
      <x:c r="AE93" s="17" t="str">
        <x:f>IF(C93="","",IF(OR(O93&lt;&gt;"Ready",F93=0),"Unavailable",AB93/F93))</x:f>
      </x:c>
      <x:c r="AF93" s="44" t="str">
        <x:f>IF(C93="","",IF(E93=1,1,H93))</x:f>
      </x:c>
    </x:row>
    <x:row r="94" ht="26" customHeight="1">
      <x:c r="A94" s="1"/>
      <x:c r="B94" s="1"/>
      <x:c r="C94" s="9" t="str">
        <x:f>IF(Facilities!C94="","",Facilities!C94)</x:f>
      </x:c>
      <x:c r="D94" s="9" t="str">
        <x:f>IF(C94="","",INDEX('Facilities'!$D$9:$D$108,MATCH(C94,'Facilities'!$C$9:$C$108,0)))</x:f>
      </x:c>
      <x:c r="E94" s="9" t="str">
        <x:f>IF(C94="","",INDEX('Facilities'!$AD$9:$AD$108,MATCH(C94,'Facilities'!$C$9:$C$108,0)))</x:f>
      </x:c>
      <x:c r="F94" s="23" t="str">
        <x:f>IF(C94="","",INDEX('Facilities'!$AA$9:$AA$108,MATCH(C94,'Facilities'!$C$9:$C$108,0)))</x:f>
      </x:c>
      <x:c r="G94" s="23" t="str">
        <x:f>IF(C94="","",INDEX('Facilities'!$AB$9:$AB$108,MATCH(C94,'Facilities'!$C$9:$C$108,0)))</x:f>
      </x:c>
      <x:c r="H94" s="42" t="str">
        <x:f>IF(C94="","",INDEX('Facilities'!$J$9:$J$108,MATCH(C94,'Facilities'!$C$9:$C$108,0)))</x:f>
      </x:c>
      <x:c r="I94" s="30" t="str">
        <x:f>IF(C94="","",INDEX('Facilities'!$K$9:$K$108,MATCH(C94,'Facilities'!$C$9:$C$108,0)))</x:f>
      </x:c>
      <x:c r="J94" s="30" t="str">
        <x:f>IF(C94="","",INDEX('Borrowers'!$P$9:$P$108,MATCH(D94,'Borrowers'!$C$9:$C$108,0)))</x:f>
      </x:c>
      <x:c r="K94" s="30" t="str">
        <x:f>IF(C94="","",INDEX('Borrowers'!$Q$9:$Q$108,MATCH(D94,'Borrowers'!$C$9:$C$108,0)))</x:f>
      </x:c>
      <x:c r="L94" s="30" t="str">
        <x:f>IF(C94="","",INDEX('Facilities'!$R$9:$R$108,MATCH(C94,'Facilities'!$C$9:$C$108,0)))</x:f>
      </x:c>
      <x:c r="M94" s="42" t="str">
        <x:f>IF(C94="","",INDEX('Facilities'!$AK$9:$AK$108,MATCH(C94,'Facilities'!$C$9:$C$108,0)))</x:f>
      </x:c>
      <x:c r="N94" s="30" t="str">
        <x:f>IF(C94="","",INDEX('Facilities'!$AL$9:$AL$108,MATCH(C94,'Facilities'!$C$9:$C$108,0)))</x:f>
      </x:c>
      <x:c r="O94" s="23" t="str">
        <x:f>IF(C94="","",IF(AND(INDEX('Facilities'!$AF$9:$AF$108,MATCH(C94,'Facilities'!$C$9:$C$108,0))="Ready",Settings!$F$36="Ready"),"Ready","Review ECL inputs"))</x:f>
      </x:c>
      <x:c r="P94" s="30" t="str">
        <x:f>IF(C94="","",MIN(1,J94*Settings!$G$32))</x:f>
      </x:c>
      <x:c r="Q94" s="30" t="str">
        <x:f>IF(C94="","",MIN(1,J94*Settings!$G$33))</x:f>
      </x:c>
      <x:c r="R94" s="30" t="str">
        <x:f>IF(C94="","",MIN(1,J94*Settings!$G$34))</x:f>
      </x:c>
      <x:c r="S94" s="30" t="str">
        <x:f>IF(C94="","",MIN(1,K94*Settings!$H$32))</x:f>
      </x:c>
      <x:c r="T94" s="30" t="str">
        <x:f>IF(C94="","",MIN(1,K94*Settings!$H$33))</x:f>
      </x:c>
      <x:c r="U94" s="30" t="str">
        <x:f>IF(C94="","",MIN(1,K94*Settings!$H$34))</x:f>
      </x:c>
      <x:c r="V94" s="23" t="str">
        <x:f>IF(C94="","",IF(O94&lt;&gt;"Ready","Unavailable",IF(E94=3,F94*(1-MAX(0,1-(1-N94)*Settings!$H$32)/(1+I94)^M94),F94*(1-(1-S94)/(1+I94)^M94)*P94/(1+I94)*IF(ABS(1-(1-P94)*(1-L94)/(1+I94))&lt;0.000000001,AF94,(1-((1-P94)*(1-L94)/(1+I94))^AF94)/(1-(1-P94)*(1-L94)/(1+I94))))))</x:f>
      </x:c>
      <x:c r="W94" s="23" t="str">
        <x:f>IF(C94="","",IF(O94&lt;&gt;"Ready","Unavailable",IF(E94=3,F94*(1-MAX(0,1-(1-N94)*Settings!$H$33)/(1+I94)^M94),F94*(1-(1-T94)/(1+I94)^M94)*Q94/(1+I94)*IF(ABS(1-(1-Q94)*(1-L94)/(1+I94))&lt;0.000000001,AF94,(1-((1-Q94)*(1-L94)/(1+I94))^AF94)/(1-(1-Q94)*(1-L94)/(1+I94))))))</x:f>
      </x:c>
      <x:c r="X94" s="23" t="str">
        <x:f>IF(C94="","",IF(O94&lt;&gt;"Ready","Unavailable",IF(E94=3,F94*(1-MAX(0,1-(1-N94)*Settings!$H$34)/(1+I94)^M94),F94*(1-(1-U94)/(1+I94)^M94)*R94/(1+I94)*IF(ABS(1-(1-R94)*(1-L94)/(1+I94))&lt;0.000000001,AF94,(1-((1-R94)*(1-L94)/(1+I94))^AF94)/(1-(1-R94)*(1-L94)/(1+I94))))))</x:f>
      </x:c>
      <x:c r="Y94" s="23" t="str">
        <x:f>IF(C94="","",IF(O94&lt;&gt;"Ready","Unavailable",IF(E94=3,G94*INDEX('Facilities'!$I$9:$I$108,MATCH(C94,'Facilities'!$C$9:$C$108,0))*(1-MAX(0,1-(1-N94)*Settings!$H$32)/(1+I94)^M94),G94*INDEX('Facilities'!$I$9:$I$108,MATCH(C94,'Facilities'!$C$9:$C$108,0))*(1-(1-S94)/(1+I94)^M94)*P94/(1+I94)*IF(ABS(1-(1-P94)*(1-0)/(1+I94))&lt;0.000000001,AF94,(1-((1-P94)*(1-0)/(1+I94))^AF94)/(1-(1-P94)*(1-0)/(1+I94))))))</x:f>
      </x:c>
      <x:c r="Z94" s="23" t="str">
        <x:f>IF(C94="","",IF(O94&lt;&gt;"Ready","Unavailable",IF(E94=3,G94*INDEX('Facilities'!$I$9:$I$108,MATCH(C94,'Facilities'!$C$9:$C$108,0))*(1-MAX(0,1-(1-N94)*Settings!$H$33)/(1+I94)^M94),G94*INDEX('Facilities'!$I$9:$I$108,MATCH(C94,'Facilities'!$C$9:$C$108,0))*(1-(1-T94)/(1+I94)^M94)*Q94/(1+I94)*IF(ABS(1-(1-Q94)*(1-0)/(1+I94))&lt;0.000000001,AF94,(1-((1-Q94)*(1-0)/(1+I94))^AF94)/(1-(1-Q94)*(1-0)/(1+I94))))))</x:f>
      </x:c>
      <x:c r="AA94" s="23" t="str">
        <x:f>IF(C94="","",IF(O94&lt;&gt;"Ready","Unavailable",IF(E94=3,G94*INDEX('Facilities'!$I$9:$I$108,MATCH(C94,'Facilities'!$C$9:$C$108,0))*(1-MAX(0,1-(1-N94)*Settings!$H$34)/(1+I94)^M94),G94*INDEX('Facilities'!$I$9:$I$108,MATCH(C94,'Facilities'!$C$9:$C$108,0))*(1-(1-U94)/(1+I94)^M94)*R94/(1+I94)*IF(ABS(1-(1-R94)*(1-0)/(1+I94))&lt;0.000000001,AF94,(1-((1-R94)*(1-0)/(1+I94))^AF94)/(1-(1-R94)*(1-0)/(1+I94))))))</x:f>
      </x:c>
      <x:c r="AB94" s="23" t="str">
        <x:f>IF(C94="","",IF(O94&lt;&gt;"Ready","Unavailable",V94*Settings!$F$32+W94*Settings!$F$33+X94*Settings!$F$34))</x:f>
      </x:c>
      <x:c r="AC94" s="23" t="str">
        <x:f>IF(C94="","",IF(O94&lt;&gt;"Ready","Unavailable",Y94*Settings!$F$32+Z94*Settings!$F$33+AA94*Settings!$F$34))</x:f>
      </x:c>
      <x:c r="AD94" s="21" t="str">
        <x:f>IF(C94="","",IF(O94&lt;&gt;"Ready","Unavailable",AB94+AC94))</x:f>
      </x:c>
      <x:c r="AE94" s="17" t="str">
        <x:f>IF(C94="","",IF(OR(O94&lt;&gt;"Ready",F94=0),"Unavailable",AB94/F94))</x:f>
      </x:c>
      <x:c r="AF94" s="44" t="str">
        <x:f>IF(C94="","",IF(E94=1,1,H94))</x:f>
      </x:c>
    </x:row>
    <x:row r="95" ht="26" customHeight="1">
      <x:c r="A95" s="1"/>
      <x:c r="B95" s="1"/>
      <x:c r="C95" s="9" t="str">
        <x:f>IF(Facilities!C95="","",Facilities!C95)</x:f>
      </x:c>
      <x:c r="D95" s="9" t="str">
        <x:f>IF(C95="","",INDEX('Facilities'!$D$9:$D$108,MATCH(C95,'Facilities'!$C$9:$C$108,0)))</x:f>
      </x:c>
      <x:c r="E95" s="9" t="str">
        <x:f>IF(C95="","",INDEX('Facilities'!$AD$9:$AD$108,MATCH(C95,'Facilities'!$C$9:$C$108,0)))</x:f>
      </x:c>
      <x:c r="F95" s="23" t="str">
        <x:f>IF(C95="","",INDEX('Facilities'!$AA$9:$AA$108,MATCH(C95,'Facilities'!$C$9:$C$108,0)))</x:f>
      </x:c>
      <x:c r="G95" s="23" t="str">
        <x:f>IF(C95="","",INDEX('Facilities'!$AB$9:$AB$108,MATCH(C95,'Facilities'!$C$9:$C$108,0)))</x:f>
      </x:c>
      <x:c r="H95" s="42" t="str">
        <x:f>IF(C95="","",INDEX('Facilities'!$J$9:$J$108,MATCH(C95,'Facilities'!$C$9:$C$108,0)))</x:f>
      </x:c>
      <x:c r="I95" s="30" t="str">
        <x:f>IF(C95="","",INDEX('Facilities'!$K$9:$K$108,MATCH(C95,'Facilities'!$C$9:$C$108,0)))</x:f>
      </x:c>
      <x:c r="J95" s="30" t="str">
        <x:f>IF(C95="","",INDEX('Borrowers'!$P$9:$P$108,MATCH(D95,'Borrowers'!$C$9:$C$108,0)))</x:f>
      </x:c>
      <x:c r="K95" s="30" t="str">
        <x:f>IF(C95="","",INDEX('Borrowers'!$Q$9:$Q$108,MATCH(D95,'Borrowers'!$C$9:$C$108,0)))</x:f>
      </x:c>
      <x:c r="L95" s="30" t="str">
        <x:f>IF(C95="","",INDEX('Facilities'!$R$9:$R$108,MATCH(C95,'Facilities'!$C$9:$C$108,0)))</x:f>
      </x:c>
      <x:c r="M95" s="42" t="str">
        <x:f>IF(C95="","",INDEX('Facilities'!$AK$9:$AK$108,MATCH(C95,'Facilities'!$C$9:$C$108,0)))</x:f>
      </x:c>
      <x:c r="N95" s="30" t="str">
        <x:f>IF(C95="","",INDEX('Facilities'!$AL$9:$AL$108,MATCH(C95,'Facilities'!$C$9:$C$108,0)))</x:f>
      </x:c>
      <x:c r="O95" s="23" t="str">
        <x:f>IF(C95="","",IF(AND(INDEX('Facilities'!$AF$9:$AF$108,MATCH(C95,'Facilities'!$C$9:$C$108,0))="Ready",Settings!$F$36="Ready"),"Ready","Review ECL inputs"))</x:f>
      </x:c>
      <x:c r="P95" s="30" t="str">
        <x:f>IF(C95="","",MIN(1,J95*Settings!$G$32))</x:f>
      </x:c>
      <x:c r="Q95" s="30" t="str">
        <x:f>IF(C95="","",MIN(1,J95*Settings!$G$33))</x:f>
      </x:c>
      <x:c r="R95" s="30" t="str">
        <x:f>IF(C95="","",MIN(1,J95*Settings!$G$34))</x:f>
      </x:c>
      <x:c r="S95" s="30" t="str">
        <x:f>IF(C95="","",MIN(1,K95*Settings!$H$32))</x:f>
      </x:c>
      <x:c r="T95" s="30" t="str">
        <x:f>IF(C95="","",MIN(1,K95*Settings!$H$33))</x:f>
      </x:c>
      <x:c r="U95" s="30" t="str">
        <x:f>IF(C95="","",MIN(1,K95*Settings!$H$34))</x:f>
      </x:c>
      <x:c r="V95" s="23" t="str">
        <x:f>IF(C95="","",IF(O95&lt;&gt;"Ready","Unavailable",IF(E95=3,F95*(1-MAX(0,1-(1-N95)*Settings!$H$32)/(1+I95)^M95),F95*(1-(1-S95)/(1+I95)^M95)*P95/(1+I95)*IF(ABS(1-(1-P95)*(1-L95)/(1+I95))&lt;0.000000001,AF95,(1-((1-P95)*(1-L95)/(1+I95))^AF95)/(1-(1-P95)*(1-L95)/(1+I95))))))</x:f>
      </x:c>
      <x:c r="W95" s="23" t="str">
        <x:f>IF(C95="","",IF(O95&lt;&gt;"Ready","Unavailable",IF(E95=3,F95*(1-MAX(0,1-(1-N95)*Settings!$H$33)/(1+I95)^M95),F95*(1-(1-T95)/(1+I95)^M95)*Q95/(1+I95)*IF(ABS(1-(1-Q95)*(1-L95)/(1+I95))&lt;0.000000001,AF95,(1-((1-Q95)*(1-L95)/(1+I95))^AF95)/(1-(1-Q95)*(1-L95)/(1+I95))))))</x:f>
      </x:c>
      <x:c r="X95" s="23" t="str">
        <x:f>IF(C95="","",IF(O95&lt;&gt;"Ready","Unavailable",IF(E95=3,F95*(1-MAX(0,1-(1-N95)*Settings!$H$34)/(1+I95)^M95),F95*(1-(1-U95)/(1+I95)^M95)*R95/(1+I95)*IF(ABS(1-(1-R95)*(1-L95)/(1+I95))&lt;0.000000001,AF95,(1-((1-R95)*(1-L95)/(1+I95))^AF95)/(1-(1-R95)*(1-L95)/(1+I95))))))</x:f>
      </x:c>
      <x:c r="Y95" s="23" t="str">
        <x:f>IF(C95="","",IF(O95&lt;&gt;"Ready","Unavailable",IF(E95=3,G95*INDEX('Facilities'!$I$9:$I$108,MATCH(C95,'Facilities'!$C$9:$C$108,0))*(1-MAX(0,1-(1-N95)*Settings!$H$32)/(1+I95)^M95),G95*INDEX('Facilities'!$I$9:$I$108,MATCH(C95,'Facilities'!$C$9:$C$108,0))*(1-(1-S95)/(1+I95)^M95)*P95/(1+I95)*IF(ABS(1-(1-P95)*(1-0)/(1+I95))&lt;0.000000001,AF95,(1-((1-P95)*(1-0)/(1+I95))^AF95)/(1-(1-P95)*(1-0)/(1+I95))))))</x:f>
      </x:c>
      <x:c r="Z95" s="23" t="str">
        <x:f>IF(C95="","",IF(O95&lt;&gt;"Ready","Unavailable",IF(E95=3,G95*INDEX('Facilities'!$I$9:$I$108,MATCH(C95,'Facilities'!$C$9:$C$108,0))*(1-MAX(0,1-(1-N95)*Settings!$H$33)/(1+I95)^M95),G95*INDEX('Facilities'!$I$9:$I$108,MATCH(C95,'Facilities'!$C$9:$C$108,0))*(1-(1-T95)/(1+I95)^M95)*Q95/(1+I95)*IF(ABS(1-(1-Q95)*(1-0)/(1+I95))&lt;0.000000001,AF95,(1-((1-Q95)*(1-0)/(1+I95))^AF95)/(1-(1-Q95)*(1-0)/(1+I95))))))</x:f>
      </x:c>
      <x:c r="AA95" s="23" t="str">
        <x:f>IF(C95="","",IF(O95&lt;&gt;"Ready","Unavailable",IF(E95=3,G95*INDEX('Facilities'!$I$9:$I$108,MATCH(C95,'Facilities'!$C$9:$C$108,0))*(1-MAX(0,1-(1-N95)*Settings!$H$34)/(1+I95)^M95),G95*INDEX('Facilities'!$I$9:$I$108,MATCH(C95,'Facilities'!$C$9:$C$108,0))*(1-(1-U95)/(1+I95)^M95)*R95/(1+I95)*IF(ABS(1-(1-R95)*(1-0)/(1+I95))&lt;0.000000001,AF95,(1-((1-R95)*(1-0)/(1+I95))^AF95)/(1-(1-R95)*(1-0)/(1+I95))))))</x:f>
      </x:c>
      <x:c r="AB95" s="23" t="str">
        <x:f>IF(C95="","",IF(O95&lt;&gt;"Ready","Unavailable",V95*Settings!$F$32+W95*Settings!$F$33+X95*Settings!$F$34))</x:f>
      </x:c>
      <x:c r="AC95" s="23" t="str">
        <x:f>IF(C95="","",IF(O95&lt;&gt;"Ready","Unavailable",Y95*Settings!$F$32+Z95*Settings!$F$33+AA95*Settings!$F$34))</x:f>
      </x:c>
      <x:c r="AD95" s="21" t="str">
        <x:f>IF(C95="","",IF(O95&lt;&gt;"Ready","Unavailable",AB95+AC95))</x:f>
      </x:c>
      <x:c r="AE95" s="17" t="str">
        <x:f>IF(C95="","",IF(OR(O95&lt;&gt;"Ready",F95=0),"Unavailable",AB95/F95))</x:f>
      </x:c>
      <x:c r="AF95" s="44" t="str">
        <x:f>IF(C95="","",IF(E95=1,1,H95))</x:f>
      </x:c>
    </x:row>
    <x:row r="96" ht="26" customHeight="1">
      <x:c r="A96" s="1"/>
      <x:c r="B96" s="1"/>
      <x:c r="C96" s="9" t="str">
        <x:f>IF(Facilities!C96="","",Facilities!C96)</x:f>
      </x:c>
      <x:c r="D96" s="9" t="str">
        <x:f>IF(C96="","",INDEX('Facilities'!$D$9:$D$108,MATCH(C96,'Facilities'!$C$9:$C$108,0)))</x:f>
      </x:c>
      <x:c r="E96" s="9" t="str">
        <x:f>IF(C96="","",INDEX('Facilities'!$AD$9:$AD$108,MATCH(C96,'Facilities'!$C$9:$C$108,0)))</x:f>
      </x:c>
      <x:c r="F96" s="23" t="str">
        <x:f>IF(C96="","",INDEX('Facilities'!$AA$9:$AA$108,MATCH(C96,'Facilities'!$C$9:$C$108,0)))</x:f>
      </x:c>
      <x:c r="G96" s="23" t="str">
        <x:f>IF(C96="","",INDEX('Facilities'!$AB$9:$AB$108,MATCH(C96,'Facilities'!$C$9:$C$108,0)))</x:f>
      </x:c>
      <x:c r="H96" s="42" t="str">
        <x:f>IF(C96="","",INDEX('Facilities'!$J$9:$J$108,MATCH(C96,'Facilities'!$C$9:$C$108,0)))</x:f>
      </x:c>
      <x:c r="I96" s="30" t="str">
        <x:f>IF(C96="","",INDEX('Facilities'!$K$9:$K$108,MATCH(C96,'Facilities'!$C$9:$C$108,0)))</x:f>
      </x:c>
      <x:c r="J96" s="30" t="str">
        <x:f>IF(C96="","",INDEX('Borrowers'!$P$9:$P$108,MATCH(D96,'Borrowers'!$C$9:$C$108,0)))</x:f>
      </x:c>
      <x:c r="K96" s="30" t="str">
        <x:f>IF(C96="","",INDEX('Borrowers'!$Q$9:$Q$108,MATCH(D96,'Borrowers'!$C$9:$C$108,0)))</x:f>
      </x:c>
      <x:c r="L96" s="30" t="str">
        <x:f>IF(C96="","",INDEX('Facilities'!$R$9:$R$108,MATCH(C96,'Facilities'!$C$9:$C$108,0)))</x:f>
      </x:c>
      <x:c r="M96" s="42" t="str">
        <x:f>IF(C96="","",INDEX('Facilities'!$AK$9:$AK$108,MATCH(C96,'Facilities'!$C$9:$C$108,0)))</x:f>
      </x:c>
      <x:c r="N96" s="30" t="str">
        <x:f>IF(C96="","",INDEX('Facilities'!$AL$9:$AL$108,MATCH(C96,'Facilities'!$C$9:$C$108,0)))</x:f>
      </x:c>
      <x:c r="O96" s="23" t="str">
        <x:f>IF(C96="","",IF(AND(INDEX('Facilities'!$AF$9:$AF$108,MATCH(C96,'Facilities'!$C$9:$C$108,0))="Ready",Settings!$F$36="Ready"),"Ready","Review ECL inputs"))</x:f>
      </x:c>
      <x:c r="P96" s="30" t="str">
        <x:f>IF(C96="","",MIN(1,J96*Settings!$G$32))</x:f>
      </x:c>
      <x:c r="Q96" s="30" t="str">
        <x:f>IF(C96="","",MIN(1,J96*Settings!$G$33))</x:f>
      </x:c>
      <x:c r="R96" s="30" t="str">
        <x:f>IF(C96="","",MIN(1,J96*Settings!$G$34))</x:f>
      </x:c>
      <x:c r="S96" s="30" t="str">
        <x:f>IF(C96="","",MIN(1,K96*Settings!$H$32))</x:f>
      </x:c>
      <x:c r="T96" s="30" t="str">
        <x:f>IF(C96="","",MIN(1,K96*Settings!$H$33))</x:f>
      </x:c>
      <x:c r="U96" s="30" t="str">
        <x:f>IF(C96="","",MIN(1,K96*Settings!$H$34))</x:f>
      </x:c>
      <x:c r="V96" s="23" t="str">
        <x:f>IF(C96="","",IF(O96&lt;&gt;"Ready","Unavailable",IF(E96=3,F96*(1-MAX(0,1-(1-N96)*Settings!$H$32)/(1+I96)^M96),F96*(1-(1-S96)/(1+I96)^M96)*P96/(1+I96)*IF(ABS(1-(1-P96)*(1-L96)/(1+I96))&lt;0.000000001,AF96,(1-((1-P96)*(1-L96)/(1+I96))^AF96)/(1-(1-P96)*(1-L96)/(1+I96))))))</x:f>
      </x:c>
      <x:c r="W96" s="23" t="str">
        <x:f>IF(C96="","",IF(O96&lt;&gt;"Ready","Unavailable",IF(E96=3,F96*(1-MAX(0,1-(1-N96)*Settings!$H$33)/(1+I96)^M96),F96*(1-(1-T96)/(1+I96)^M96)*Q96/(1+I96)*IF(ABS(1-(1-Q96)*(1-L96)/(1+I96))&lt;0.000000001,AF96,(1-((1-Q96)*(1-L96)/(1+I96))^AF96)/(1-(1-Q96)*(1-L96)/(1+I96))))))</x:f>
      </x:c>
      <x:c r="X96" s="23" t="str">
        <x:f>IF(C96="","",IF(O96&lt;&gt;"Ready","Unavailable",IF(E96=3,F96*(1-MAX(0,1-(1-N96)*Settings!$H$34)/(1+I96)^M96),F96*(1-(1-U96)/(1+I96)^M96)*R96/(1+I96)*IF(ABS(1-(1-R96)*(1-L96)/(1+I96))&lt;0.000000001,AF96,(1-((1-R96)*(1-L96)/(1+I96))^AF96)/(1-(1-R96)*(1-L96)/(1+I96))))))</x:f>
      </x:c>
      <x:c r="Y96" s="23" t="str">
        <x:f>IF(C96="","",IF(O96&lt;&gt;"Ready","Unavailable",IF(E96=3,G96*INDEX('Facilities'!$I$9:$I$108,MATCH(C96,'Facilities'!$C$9:$C$108,0))*(1-MAX(0,1-(1-N96)*Settings!$H$32)/(1+I96)^M96),G96*INDEX('Facilities'!$I$9:$I$108,MATCH(C96,'Facilities'!$C$9:$C$108,0))*(1-(1-S96)/(1+I96)^M96)*P96/(1+I96)*IF(ABS(1-(1-P96)*(1-0)/(1+I96))&lt;0.000000001,AF96,(1-((1-P96)*(1-0)/(1+I96))^AF96)/(1-(1-P96)*(1-0)/(1+I96))))))</x:f>
      </x:c>
      <x:c r="Z96" s="23" t="str">
        <x:f>IF(C96="","",IF(O96&lt;&gt;"Ready","Unavailable",IF(E96=3,G96*INDEX('Facilities'!$I$9:$I$108,MATCH(C96,'Facilities'!$C$9:$C$108,0))*(1-MAX(0,1-(1-N96)*Settings!$H$33)/(1+I96)^M96),G96*INDEX('Facilities'!$I$9:$I$108,MATCH(C96,'Facilities'!$C$9:$C$108,0))*(1-(1-T96)/(1+I96)^M96)*Q96/(1+I96)*IF(ABS(1-(1-Q96)*(1-0)/(1+I96))&lt;0.000000001,AF96,(1-((1-Q96)*(1-0)/(1+I96))^AF96)/(1-(1-Q96)*(1-0)/(1+I96))))))</x:f>
      </x:c>
      <x:c r="AA96" s="23" t="str">
        <x:f>IF(C96="","",IF(O96&lt;&gt;"Ready","Unavailable",IF(E96=3,G96*INDEX('Facilities'!$I$9:$I$108,MATCH(C96,'Facilities'!$C$9:$C$108,0))*(1-MAX(0,1-(1-N96)*Settings!$H$34)/(1+I96)^M96),G96*INDEX('Facilities'!$I$9:$I$108,MATCH(C96,'Facilities'!$C$9:$C$108,0))*(1-(1-U96)/(1+I96)^M96)*R96/(1+I96)*IF(ABS(1-(1-R96)*(1-0)/(1+I96))&lt;0.000000001,AF96,(1-((1-R96)*(1-0)/(1+I96))^AF96)/(1-(1-R96)*(1-0)/(1+I96))))))</x:f>
      </x:c>
      <x:c r="AB96" s="23" t="str">
        <x:f>IF(C96="","",IF(O96&lt;&gt;"Ready","Unavailable",V96*Settings!$F$32+W96*Settings!$F$33+X96*Settings!$F$34))</x:f>
      </x:c>
      <x:c r="AC96" s="23" t="str">
        <x:f>IF(C96="","",IF(O96&lt;&gt;"Ready","Unavailable",Y96*Settings!$F$32+Z96*Settings!$F$33+AA96*Settings!$F$34))</x:f>
      </x:c>
      <x:c r="AD96" s="21" t="str">
        <x:f>IF(C96="","",IF(O96&lt;&gt;"Ready","Unavailable",AB96+AC96))</x:f>
      </x:c>
      <x:c r="AE96" s="17" t="str">
        <x:f>IF(C96="","",IF(OR(O96&lt;&gt;"Ready",F96=0),"Unavailable",AB96/F96))</x:f>
      </x:c>
      <x:c r="AF96" s="44" t="str">
        <x:f>IF(C96="","",IF(E96=1,1,H96))</x:f>
      </x:c>
    </x:row>
    <x:row r="97" ht="26" customHeight="1">
      <x:c r="A97" s="1"/>
      <x:c r="B97" s="1"/>
      <x:c r="C97" s="9" t="str">
        <x:f>IF(Facilities!C97="","",Facilities!C97)</x:f>
      </x:c>
      <x:c r="D97" s="9" t="str">
        <x:f>IF(C97="","",INDEX('Facilities'!$D$9:$D$108,MATCH(C97,'Facilities'!$C$9:$C$108,0)))</x:f>
      </x:c>
      <x:c r="E97" s="9" t="str">
        <x:f>IF(C97="","",INDEX('Facilities'!$AD$9:$AD$108,MATCH(C97,'Facilities'!$C$9:$C$108,0)))</x:f>
      </x:c>
      <x:c r="F97" s="23" t="str">
        <x:f>IF(C97="","",INDEX('Facilities'!$AA$9:$AA$108,MATCH(C97,'Facilities'!$C$9:$C$108,0)))</x:f>
      </x:c>
      <x:c r="G97" s="23" t="str">
        <x:f>IF(C97="","",INDEX('Facilities'!$AB$9:$AB$108,MATCH(C97,'Facilities'!$C$9:$C$108,0)))</x:f>
      </x:c>
      <x:c r="H97" s="42" t="str">
        <x:f>IF(C97="","",INDEX('Facilities'!$J$9:$J$108,MATCH(C97,'Facilities'!$C$9:$C$108,0)))</x:f>
      </x:c>
      <x:c r="I97" s="30" t="str">
        <x:f>IF(C97="","",INDEX('Facilities'!$K$9:$K$108,MATCH(C97,'Facilities'!$C$9:$C$108,0)))</x:f>
      </x:c>
      <x:c r="J97" s="30" t="str">
        <x:f>IF(C97="","",INDEX('Borrowers'!$P$9:$P$108,MATCH(D97,'Borrowers'!$C$9:$C$108,0)))</x:f>
      </x:c>
      <x:c r="K97" s="30" t="str">
        <x:f>IF(C97="","",INDEX('Borrowers'!$Q$9:$Q$108,MATCH(D97,'Borrowers'!$C$9:$C$108,0)))</x:f>
      </x:c>
      <x:c r="L97" s="30" t="str">
        <x:f>IF(C97="","",INDEX('Facilities'!$R$9:$R$108,MATCH(C97,'Facilities'!$C$9:$C$108,0)))</x:f>
      </x:c>
      <x:c r="M97" s="42" t="str">
        <x:f>IF(C97="","",INDEX('Facilities'!$AK$9:$AK$108,MATCH(C97,'Facilities'!$C$9:$C$108,0)))</x:f>
      </x:c>
      <x:c r="N97" s="30" t="str">
        <x:f>IF(C97="","",INDEX('Facilities'!$AL$9:$AL$108,MATCH(C97,'Facilities'!$C$9:$C$108,0)))</x:f>
      </x:c>
      <x:c r="O97" s="23" t="str">
        <x:f>IF(C97="","",IF(AND(INDEX('Facilities'!$AF$9:$AF$108,MATCH(C97,'Facilities'!$C$9:$C$108,0))="Ready",Settings!$F$36="Ready"),"Ready","Review ECL inputs"))</x:f>
      </x:c>
      <x:c r="P97" s="30" t="str">
        <x:f>IF(C97="","",MIN(1,J97*Settings!$G$32))</x:f>
      </x:c>
      <x:c r="Q97" s="30" t="str">
        <x:f>IF(C97="","",MIN(1,J97*Settings!$G$33))</x:f>
      </x:c>
      <x:c r="R97" s="30" t="str">
        <x:f>IF(C97="","",MIN(1,J97*Settings!$G$34))</x:f>
      </x:c>
      <x:c r="S97" s="30" t="str">
        <x:f>IF(C97="","",MIN(1,K97*Settings!$H$32))</x:f>
      </x:c>
      <x:c r="T97" s="30" t="str">
        <x:f>IF(C97="","",MIN(1,K97*Settings!$H$33))</x:f>
      </x:c>
      <x:c r="U97" s="30" t="str">
        <x:f>IF(C97="","",MIN(1,K97*Settings!$H$34))</x:f>
      </x:c>
      <x:c r="V97" s="23" t="str">
        <x:f>IF(C97="","",IF(O97&lt;&gt;"Ready","Unavailable",IF(E97=3,F97*(1-MAX(0,1-(1-N97)*Settings!$H$32)/(1+I97)^M97),F97*(1-(1-S97)/(1+I97)^M97)*P97/(1+I97)*IF(ABS(1-(1-P97)*(1-L97)/(1+I97))&lt;0.000000001,AF97,(1-((1-P97)*(1-L97)/(1+I97))^AF97)/(1-(1-P97)*(1-L97)/(1+I97))))))</x:f>
      </x:c>
      <x:c r="W97" s="23" t="str">
        <x:f>IF(C97="","",IF(O97&lt;&gt;"Ready","Unavailable",IF(E97=3,F97*(1-MAX(0,1-(1-N97)*Settings!$H$33)/(1+I97)^M97),F97*(1-(1-T97)/(1+I97)^M97)*Q97/(1+I97)*IF(ABS(1-(1-Q97)*(1-L97)/(1+I97))&lt;0.000000001,AF97,(1-((1-Q97)*(1-L97)/(1+I97))^AF97)/(1-(1-Q97)*(1-L97)/(1+I97))))))</x:f>
      </x:c>
      <x:c r="X97" s="23" t="str">
        <x:f>IF(C97="","",IF(O97&lt;&gt;"Ready","Unavailable",IF(E97=3,F97*(1-MAX(0,1-(1-N97)*Settings!$H$34)/(1+I97)^M97),F97*(1-(1-U97)/(1+I97)^M97)*R97/(1+I97)*IF(ABS(1-(1-R97)*(1-L97)/(1+I97))&lt;0.000000001,AF97,(1-((1-R97)*(1-L97)/(1+I97))^AF97)/(1-(1-R97)*(1-L97)/(1+I97))))))</x:f>
      </x:c>
      <x:c r="Y97" s="23" t="str">
        <x:f>IF(C97="","",IF(O97&lt;&gt;"Ready","Unavailable",IF(E97=3,G97*INDEX('Facilities'!$I$9:$I$108,MATCH(C97,'Facilities'!$C$9:$C$108,0))*(1-MAX(0,1-(1-N97)*Settings!$H$32)/(1+I97)^M97),G97*INDEX('Facilities'!$I$9:$I$108,MATCH(C97,'Facilities'!$C$9:$C$108,0))*(1-(1-S97)/(1+I97)^M97)*P97/(1+I97)*IF(ABS(1-(1-P97)*(1-0)/(1+I97))&lt;0.000000001,AF97,(1-((1-P97)*(1-0)/(1+I97))^AF97)/(1-(1-P97)*(1-0)/(1+I97))))))</x:f>
      </x:c>
      <x:c r="Z97" s="23" t="str">
        <x:f>IF(C97="","",IF(O97&lt;&gt;"Ready","Unavailable",IF(E97=3,G97*INDEX('Facilities'!$I$9:$I$108,MATCH(C97,'Facilities'!$C$9:$C$108,0))*(1-MAX(0,1-(1-N97)*Settings!$H$33)/(1+I97)^M97),G97*INDEX('Facilities'!$I$9:$I$108,MATCH(C97,'Facilities'!$C$9:$C$108,0))*(1-(1-T97)/(1+I97)^M97)*Q97/(1+I97)*IF(ABS(1-(1-Q97)*(1-0)/(1+I97))&lt;0.000000001,AF97,(1-((1-Q97)*(1-0)/(1+I97))^AF97)/(1-(1-Q97)*(1-0)/(1+I97))))))</x:f>
      </x:c>
      <x:c r="AA97" s="23" t="str">
        <x:f>IF(C97="","",IF(O97&lt;&gt;"Ready","Unavailable",IF(E97=3,G97*INDEX('Facilities'!$I$9:$I$108,MATCH(C97,'Facilities'!$C$9:$C$108,0))*(1-MAX(0,1-(1-N97)*Settings!$H$34)/(1+I97)^M97),G97*INDEX('Facilities'!$I$9:$I$108,MATCH(C97,'Facilities'!$C$9:$C$108,0))*(1-(1-U97)/(1+I97)^M97)*R97/(1+I97)*IF(ABS(1-(1-R97)*(1-0)/(1+I97))&lt;0.000000001,AF97,(1-((1-R97)*(1-0)/(1+I97))^AF97)/(1-(1-R97)*(1-0)/(1+I97))))))</x:f>
      </x:c>
      <x:c r="AB97" s="23" t="str">
        <x:f>IF(C97="","",IF(O97&lt;&gt;"Ready","Unavailable",V97*Settings!$F$32+W97*Settings!$F$33+X97*Settings!$F$34))</x:f>
      </x:c>
      <x:c r="AC97" s="23" t="str">
        <x:f>IF(C97="","",IF(O97&lt;&gt;"Ready","Unavailable",Y97*Settings!$F$32+Z97*Settings!$F$33+AA97*Settings!$F$34))</x:f>
      </x:c>
      <x:c r="AD97" s="21" t="str">
        <x:f>IF(C97="","",IF(O97&lt;&gt;"Ready","Unavailable",AB97+AC97))</x:f>
      </x:c>
      <x:c r="AE97" s="17" t="str">
        <x:f>IF(C97="","",IF(OR(O97&lt;&gt;"Ready",F97=0),"Unavailable",AB97/F97))</x:f>
      </x:c>
      <x:c r="AF97" s="44" t="str">
        <x:f>IF(C97="","",IF(E97=1,1,H97))</x:f>
      </x:c>
    </x:row>
    <x:row r="98" ht="26" customHeight="1">
      <x:c r="A98" s="1"/>
      <x:c r="B98" s="1"/>
      <x:c r="C98" s="9" t="str">
        <x:f>IF(Facilities!C98="","",Facilities!C98)</x:f>
      </x:c>
      <x:c r="D98" s="9" t="str">
        <x:f>IF(C98="","",INDEX('Facilities'!$D$9:$D$108,MATCH(C98,'Facilities'!$C$9:$C$108,0)))</x:f>
      </x:c>
      <x:c r="E98" s="9" t="str">
        <x:f>IF(C98="","",INDEX('Facilities'!$AD$9:$AD$108,MATCH(C98,'Facilities'!$C$9:$C$108,0)))</x:f>
      </x:c>
      <x:c r="F98" s="23" t="str">
        <x:f>IF(C98="","",INDEX('Facilities'!$AA$9:$AA$108,MATCH(C98,'Facilities'!$C$9:$C$108,0)))</x:f>
      </x:c>
      <x:c r="G98" s="23" t="str">
        <x:f>IF(C98="","",INDEX('Facilities'!$AB$9:$AB$108,MATCH(C98,'Facilities'!$C$9:$C$108,0)))</x:f>
      </x:c>
      <x:c r="H98" s="42" t="str">
        <x:f>IF(C98="","",INDEX('Facilities'!$J$9:$J$108,MATCH(C98,'Facilities'!$C$9:$C$108,0)))</x:f>
      </x:c>
      <x:c r="I98" s="30" t="str">
        <x:f>IF(C98="","",INDEX('Facilities'!$K$9:$K$108,MATCH(C98,'Facilities'!$C$9:$C$108,0)))</x:f>
      </x:c>
      <x:c r="J98" s="30" t="str">
        <x:f>IF(C98="","",INDEX('Borrowers'!$P$9:$P$108,MATCH(D98,'Borrowers'!$C$9:$C$108,0)))</x:f>
      </x:c>
      <x:c r="K98" s="30" t="str">
        <x:f>IF(C98="","",INDEX('Borrowers'!$Q$9:$Q$108,MATCH(D98,'Borrowers'!$C$9:$C$108,0)))</x:f>
      </x:c>
      <x:c r="L98" s="30" t="str">
        <x:f>IF(C98="","",INDEX('Facilities'!$R$9:$R$108,MATCH(C98,'Facilities'!$C$9:$C$108,0)))</x:f>
      </x:c>
      <x:c r="M98" s="42" t="str">
        <x:f>IF(C98="","",INDEX('Facilities'!$AK$9:$AK$108,MATCH(C98,'Facilities'!$C$9:$C$108,0)))</x:f>
      </x:c>
      <x:c r="N98" s="30" t="str">
        <x:f>IF(C98="","",INDEX('Facilities'!$AL$9:$AL$108,MATCH(C98,'Facilities'!$C$9:$C$108,0)))</x:f>
      </x:c>
      <x:c r="O98" s="23" t="str">
        <x:f>IF(C98="","",IF(AND(INDEX('Facilities'!$AF$9:$AF$108,MATCH(C98,'Facilities'!$C$9:$C$108,0))="Ready",Settings!$F$36="Ready"),"Ready","Review ECL inputs"))</x:f>
      </x:c>
      <x:c r="P98" s="30" t="str">
        <x:f>IF(C98="","",MIN(1,J98*Settings!$G$32))</x:f>
      </x:c>
      <x:c r="Q98" s="30" t="str">
        <x:f>IF(C98="","",MIN(1,J98*Settings!$G$33))</x:f>
      </x:c>
      <x:c r="R98" s="30" t="str">
        <x:f>IF(C98="","",MIN(1,J98*Settings!$G$34))</x:f>
      </x:c>
      <x:c r="S98" s="30" t="str">
        <x:f>IF(C98="","",MIN(1,K98*Settings!$H$32))</x:f>
      </x:c>
      <x:c r="T98" s="30" t="str">
        <x:f>IF(C98="","",MIN(1,K98*Settings!$H$33))</x:f>
      </x:c>
      <x:c r="U98" s="30" t="str">
        <x:f>IF(C98="","",MIN(1,K98*Settings!$H$34))</x:f>
      </x:c>
      <x:c r="V98" s="23" t="str">
        <x:f>IF(C98="","",IF(O98&lt;&gt;"Ready","Unavailable",IF(E98=3,F98*(1-MAX(0,1-(1-N98)*Settings!$H$32)/(1+I98)^M98),F98*(1-(1-S98)/(1+I98)^M98)*P98/(1+I98)*IF(ABS(1-(1-P98)*(1-L98)/(1+I98))&lt;0.000000001,AF98,(1-((1-P98)*(1-L98)/(1+I98))^AF98)/(1-(1-P98)*(1-L98)/(1+I98))))))</x:f>
      </x:c>
      <x:c r="W98" s="23" t="str">
        <x:f>IF(C98="","",IF(O98&lt;&gt;"Ready","Unavailable",IF(E98=3,F98*(1-MAX(0,1-(1-N98)*Settings!$H$33)/(1+I98)^M98),F98*(1-(1-T98)/(1+I98)^M98)*Q98/(1+I98)*IF(ABS(1-(1-Q98)*(1-L98)/(1+I98))&lt;0.000000001,AF98,(1-((1-Q98)*(1-L98)/(1+I98))^AF98)/(1-(1-Q98)*(1-L98)/(1+I98))))))</x:f>
      </x:c>
      <x:c r="X98" s="23" t="str">
        <x:f>IF(C98="","",IF(O98&lt;&gt;"Ready","Unavailable",IF(E98=3,F98*(1-MAX(0,1-(1-N98)*Settings!$H$34)/(1+I98)^M98),F98*(1-(1-U98)/(1+I98)^M98)*R98/(1+I98)*IF(ABS(1-(1-R98)*(1-L98)/(1+I98))&lt;0.000000001,AF98,(1-((1-R98)*(1-L98)/(1+I98))^AF98)/(1-(1-R98)*(1-L98)/(1+I98))))))</x:f>
      </x:c>
      <x:c r="Y98" s="23" t="str">
        <x:f>IF(C98="","",IF(O98&lt;&gt;"Ready","Unavailable",IF(E98=3,G98*INDEX('Facilities'!$I$9:$I$108,MATCH(C98,'Facilities'!$C$9:$C$108,0))*(1-MAX(0,1-(1-N98)*Settings!$H$32)/(1+I98)^M98),G98*INDEX('Facilities'!$I$9:$I$108,MATCH(C98,'Facilities'!$C$9:$C$108,0))*(1-(1-S98)/(1+I98)^M98)*P98/(1+I98)*IF(ABS(1-(1-P98)*(1-0)/(1+I98))&lt;0.000000001,AF98,(1-((1-P98)*(1-0)/(1+I98))^AF98)/(1-(1-P98)*(1-0)/(1+I98))))))</x:f>
      </x:c>
      <x:c r="Z98" s="23" t="str">
        <x:f>IF(C98="","",IF(O98&lt;&gt;"Ready","Unavailable",IF(E98=3,G98*INDEX('Facilities'!$I$9:$I$108,MATCH(C98,'Facilities'!$C$9:$C$108,0))*(1-MAX(0,1-(1-N98)*Settings!$H$33)/(1+I98)^M98),G98*INDEX('Facilities'!$I$9:$I$108,MATCH(C98,'Facilities'!$C$9:$C$108,0))*(1-(1-T98)/(1+I98)^M98)*Q98/(1+I98)*IF(ABS(1-(1-Q98)*(1-0)/(1+I98))&lt;0.000000001,AF98,(1-((1-Q98)*(1-0)/(1+I98))^AF98)/(1-(1-Q98)*(1-0)/(1+I98))))))</x:f>
      </x:c>
      <x:c r="AA98" s="23" t="str">
        <x:f>IF(C98="","",IF(O98&lt;&gt;"Ready","Unavailable",IF(E98=3,G98*INDEX('Facilities'!$I$9:$I$108,MATCH(C98,'Facilities'!$C$9:$C$108,0))*(1-MAX(0,1-(1-N98)*Settings!$H$34)/(1+I98)^M98),G98*INDEX('Facilities'!$I$9:$I$108,MATCH(C98,'Facilities'!$C$9:$C$108,0))*(1-(1-U98)/(1+I98)^M98)*R98/(1+I98)*IF(ABS(1-(1-R98)*(1-0)/(1+I98))&lt;0.000000001,AF98,(1-((1-R98)*(1-0)/(1+I98))^AF98)/(1-(1-R98)*(1-0)/(1+I98))))))</x:f>
      </x:c>
      <x:c r="AB98" s="23" t="str">
        <x:f>IF(C98="","",IF(O98&lt;&gt;"Ready","Unavailable",V98*Settings!$F$32+W98*Settings!$F$33+X98*Settings!$F$34))</x:f>
      </x:c>
      <x:c r="AC98" s="23" t="str">
        <x:f>IF(C98="","",IF(O98&lt;&gt;"Ready","Unavailable",Y98*Settings!$F$32+Z98*Settings!$F$33+AA98*Settings!$F$34))</x:f>
      </x:c>
      <x:c r="AD98" s="21" t="str">
        <x:f>IF(C98="","",IF(O98&lt;&gt;"Ready","Unavailable",AB98+AC98))</x:f>
      </x:c>
      <x:c r="AE98" s="17" t="str">
        <x:f>IF(C98="","",IF(OR(O98&lt;&gt;"Ready",F98=0),"Unavailable",AB98/F98))</x:f>
      </x:c>
      <x:c r="AF98" s="44" t="str">
        <x:f>IF(C98="","",IF(E98=1,1,H98))</x:f>
      </x:c>
    </x:row>
    <x:row r="99" ht="26" customHeight="1">
      <x:c r="A99" s="1"/>
      <x:c r="B99" s="1"/>
      <x:c r="C99" s="9" t="str">
        <x:f>IF(Facilities!C99="","",Facilities!C99)</x:f>
      </x:c>
      <x:c r="D99" s="9" t="str">
        <x:f>IF(C99="","",INDEX('Facilities'!$D$9:$D$108,MATCH(C99,'Facilities'!$C$9:$C$108,0)))</x:f>
      </x:c>
      <x:c r="E99" s="9" t="str">
        <x:f>IF(C99="","",INDEX('Facilities'!$AD$9:$AD$108,MATCH(C99,'Facilities'!$C$9:$C$108,0)))</x:f>
      </x:c>
      <x:c r="F99" s="23" t="str">
        <x:f>IF(C99="","",INDEX('Facilities'!$AA$9:$AA$108,MATCH(C99,'Facilities'!$C$9:$C$108,0)))</x:f>
      </x:c>
      <x:c r="G99" s="23" t="str">
        <x:f>IF(C99="","",INDEX('Facilities'!$AB$9:$AB$108,MATCH(C99,'Facilities'!$C$9:$C$108,0)))</x:f>
      </x:c>
      <x:c r="H99" s="42" t="str">
        <x:f>IF(C99="","",INDEX('Facilities'!$J$9:$J$108,MATCH(C99,'Facilities'!$C$9:$C$108,0)))</x:f>
      </x:c>
      <x:c r="I99" s="30" t="str">
        <x:f>IF(C99="","",INDEX('Facilities'!$K$9:$K$108,MATCH(C99,'Facilities'!$C$9:$C$108,0)))</x:f>
      </x:c>
      <x:c r="J99" s="30" t="str">
        <x:f>IF(C99="","",INDEX('Borrowers'!$P$9:$P$108,MATCH(D99,'Borrowers'!$C$9:$C$108,0)))</x:f>
      </x:c>
      <x:c r="K99" s="30" t="str">
        <x:f>IF(C99="","",INDEX('Borrowers'!$Q$9:$Q$108,MATCH(D99,'Borrowers'!$C$9:$C$108,0)))</x:f>
      </x:c>
      <x:c r="L99" s="30" t="str">
        <x:f>IF(C99="","",INDEX('Facilities'!$R$9:$R$108,MATCH(C99,'Facilities'!$C$9:$C$108,0)))</x:f>
      </x:c>
      <x:c r="M99" s="42" t="str">
        <x:f>IF(C99="","",INDEX('Facilities'!$AK$9:$AK$108,MATCH(C99,'Facilities'!$C$9:$C$108,0)))</x:f>
      </x:c>
      <x:c r="N99" s="30" t="str">
        <x:f>IF(C99="","",INDEX('Facilities'!$AL$9:$AL$108,MATCH(C99,'Facilities'!$C$9:$C$108,0)))</x:f>
      </x:c>
      <x:c r="O99" s="23" t="str">
        <x:f>IF(C99="","",IF(AND(INDEX('Facilities'!$AF$9:$AF$108,MATCH(C99,'Facilities'!$C$9:$C$108,0))="Ready",Settings!$F$36="Ready"),"Ready","Review ECL inputs"))</x:f>
      </x:c>
      <x:c r="P99" s="30" t="str">
        <x:f>IF(C99="","",MIN(1,J99*Settings!$G$32))</x:f>
      </x:c>
      <x:c r="Q99" s="30" t="str">
        <x:f>IF(C99="","",MIN(1,J99*Settings!$G$33))</x:f>
      </x:c>
      <x:c r="R99" s="30" t="str">
        <x:f>IF(C99="","",MIN(1,J99*Settings!$G$34))</x:f>
      </x:c>
      <x:c r="S99" s="30" t="str">
        <x:f>IF(C99="","",MIN(1,K99*Settings!$H$32))</x:f>
      </x:c>
      <x:c r="T99" s="30" t="str">
        <x:f>IF(C99="","",MIN(1,K99*Settings!$H$33))</x:f>
      </x:c>
      <x:c r="U99" s="30" t="str">
        <x:f>IF(C99="","",MIN(1,K99*Settings!$H$34))</x:f>
      </x:c>
      <x:c r="V99" s="23" t="str">
        <x:f>IF(C99="","",IF(O99&lt;&gt;"Ready","Unavailable",IF(E99=3,F99*(1-MAX(0,1-(1-N99)*Settings!$H$32)/(1+I99)^M99),F99*(1-(1-S99)/(1+I99)^M99)*P99/(1+I99)*IF(ABS(1-(1-P99)*(1-L99)/(1+I99))&lt;0.000000001,AF99,(1-((1-P99)*(1-L99)/(1+I99))^AF99)/(1-(1-P99)*(1-L99)/(1+I99))))))</x:f>
      </x:c>
      <x:c r="W99" s="23" t="str">
        <x:f>IF(C99="","",IF(O99&lt;&gt;"Ready","Unavailable",IF(E99=3,F99*(1-MAX(0,1-(1-N99)*Settings!$H$33)/(1+I99)^M99),F99*(1-(1-T99)/(1+I99)^M99)*Q99/(1+I99)*IF(ABS(1-(1-Q99)*(1-L99)/(1+I99))&lt;0.000000001,AF99,(1-((1-Q99)*(1-L99)/(1+I99))^AF99)/(1-(1-Q99)*(1-L99)/(1+I99))))))</x:f>
      </x:c>
      <x:c r="X99" s="23" t="str">
        <x:f>IF(C99="","",IF(O99&lt;&gt;"Ready","Unavailable",IF(E99=3,F99*(1-MAX(0,1-(1-N99)*Settings!$H$34)/(1+I99)^M99),F99*(1-(1-U99)/(1+I99)^M99)*R99/(1+I99)*IF(ABS(1-(1-R99)*(1-L99)/(1+I99))&lt;0.000000001,AF99,(1-((1-R99)*(1-L99)/(1+I99))^AF99)/(1-(1-R99)*(1-L99)/(1+I99))))))</x:f>
      </x:c>
      <x:c r="Y99" s="23" t="str">
        <x:f>IF(C99="","",IF(O99&lt;&gt;"Ready","Unavailable",IF(E99=3,G99*INDEX('Facilities'!$I$9:$I$108,MATCH(C99,'Facilities'!$C$9:$C$108,0))*(1-MAX(0,1-(1-N99)*Settings!$H$32)/(1+I99)^M99),G99*INDEX('Facilities'!$I$9:$I$108,MATCH(C99,'Facilities'!$C$9:$C$108,0))*(1-(1-S99)/(1+I99)^M99)*P99/(1+I99)*IF(ABS(1-(1-P99)*(1-0)/(1+I99))&lt;0.000000001,AF99,(1-((1-P99)*(1-0)/(1+I99))^AF99)/(1-(1-P99)*(1-0)/(1+I99))))))</x:f>
      </x:c>
      <x:c r="Z99" s="23" t="str">
        <x:f>IF(C99="","",IF(O99&lt;&gt;"Ready","Unavailable",IF(E99=3,G99*INDEX('Facilities'!$I$9:$I$108,MATCH(C99,'Facilities'!$C$9:$C$108,0))*(1-MAX(0,1-(1-N99)*Settings!$H$33)/(1+I99)^M99),G99*INDEX('Facilities'!$I$9:$I$108,MATCH(C99,'Facilities'!$C$9:$C$108,0))*(1-(1-T99)/(1+I99)^M99)*Q99/(1+I99)*IF(ABS(1-(1-Q99)*(1-0)/(1+I99))&lt;0.000000001,AF99,(1-((1-Q99)*(1-0)/(1+I99))^AF99)/(1-(1-Q99)*(1-0)/(1+I99))))))</x:f>
      </x:c>
      <x:c r="AA99" s="23" t="str">
        <x:f>IF(C99="","",IF(O99&lt;&gt;"Ready","Unavailable",IF(E99=3,G99*INDEX('Facilities'!$I$9:$I$108,MATCH(C99,'Facilities'!$C$9:$C$108,0))*(1-MAX(0,1-(1-N99)*Settings!$H$34)/(1+I99)^M99),G99*INDEX('Facilities'!$I$9:$I$108,MATCH(C99,'Facilities'!$C$9:$C$108,0))*(1-(1-U99)/(1+I99)^M99)*R99/(1+I99)*IF(ABS(1-(1-R99)*(1-0)/(1+I99))&lt;0.000000001,AF99,(1-((1-R99)*(1-0)/(1+I99))^AF99)/(1-(1-R99)*(1-0)/(1+I99))))))</x:f>
      </x:c>
      <x:c r="AB99" s="23" t="str">
        <x:f>IF(C99="","",IF(O99&lt;&gt;"Ready","Unavailable",V99*Settings!$F$32+W99*Settings!$F$33+X99*Settings!$F$34))</x:f>
      </x:c>
      <x:c r="AC99" s="23" t="str">
        <x:f>IF(C99="","",IF(O99&lt;&gt;"Ready","Unavailable",Y99*Settings!$F$32+Z99*Settings!$F$33+AA99*Settings!$F$34))</x:f>
      </x:c>
      <x:c r="AD99" s="21" t="str">
        <x:f>IF(C99="","",IF(O99&lt;&gt;"Ready","Unavailable",AB99+AC99))</x:f>
      </x:c>
      <x:c r="AE99" s="17" t="str">
        <x:f>IF(C99="","",IF(OR(O99&lt;&gt;"Ready",F99=0),"Unavailable",AB99/F99))</x:f>
      </x:c>
      <x:c r="AF99" s="44" t="str">
        <x:f>IF(C99="","",IF(E99=1,1,H99))</x:f>
      </x:c>
    </x:row>
    <x:row r="100" ht="26" customHeight="1">
      <x:c r="A100" s="1"/>
      <x:c r="B100" s="1"/>
      <x:c r="C100" s="9" t="str">
        <x:f>IF(Facilities!C100="","",Facilities!C100)</x:f>
      </x:c>
      <x:c r="D100" s="9" t="str">
        <x:f>IF(C100="","",INDEX('Facilities'!$D$9:$D$108,MATCH(C100,'Facilities'!$C$9:$C$108,0)))</x:f>
      </x:c>
      <x:c r="E100" s="9" t="str">
        <x:f>IF(C100="","",INDEX('Facilities'!$AD$9:$AD$108,MATCH(C100,'Facilities'!$C$9:$C$108,0)))</x:f>
      </x:c>
      <x:c r="F100" s="23" t="str">
        <x:f>IF(C100="","",INDEX('Facilities'!$AA$9:$AA$108,MATCH(C100,'Facilities'!$C$9:$C$108,0)))</x:f>
      </x:c>
      <x:c r="G100" s="23" t="str">
        <x:f>IF(C100="","",INDEX('Facilities'!$AB$9:$AB$108,MATCH(C100,'Facilities'!$C$9:$C$108,0)))</x:f>
      </x:c>
      <x:c r="H100" s="42" t="str">
        <x:f>IF(C100="","",INDEX('Facilities'!$J$9:$J$108,MATCH(C100,'Facilities'!$C$9:$C$108,0)))</x:f>
      </x:c>
      <x:c r="I100" s="30" t="str">
        <x:f>IF(C100="","",INDEX('Facilities'!$K$9:$K$108,MATCH(C100,'Facilities'!$C$9:$C$108,0)))</x:f>
      </x:c>
      <x:c r="J100" s="30" t="str">
        <x:f>IF(C100="","",INDEX('Borrowers'!$P$9:$P$108,MATCH(D100,'Borrowers'!$C$9:$C$108,0)))</x:f>
      </x:c>
      <x:c r="K100" s="30" t="str">
        <x:f>IF(C100="","",INDEX('Borrowers'!$Q$9:$Q$108,MATCH(D100,'Borrowers'!$C$9:$C$108,0)))</x:f>
      </x:c>
      <x:c r="L100" s="30" t="str">
        <x:f>IF(C100="","",INDEX('Facilities'!$R$9:$R$108,MATCH(C100,'Facilities'!$C$9:$C$108,0)))</x:f>
      </x:c>
      <x:c r="M100" s="42" t="str">
        <x:f>IF(C100="","",INDEX('Facilities'!$AK$9:$AK$108,MATCH(C100,'Facilities'!$C$9:$C$108,0)))</x:f>
      </x:c>
      <x:c r="N100" s="30" t="str">
        <x:f>IF(C100="","",INDEX('Facilities'!$AL$9:$AL$108,MATCH(C100,'Facilities'!$C$9:$C$108,0)))</x:f>
      </x:c>
      <x:c r="O100" s="23" t="str">
        <x:f>IF(C100="","",IF(AND(INDEX('Facilities'!$AF$9:$AF$108,MATCH(C100,'Facilities'!$C$9:$C$108,0))="Ready",Settings!$F$36="Ready"),"Ready","Review ECL inputs"))</x:f>
      </x:c>
      <x:c r="P100" s="30" t="str">
        <x:f>IF(C100="","",MIN(1,J100*Settings!$G$32))</x:f>
      </x:c>
      <x:c r="Q100" s="30" t="str">
        <x:f>IF(C100="","",MIN(1,J100*Settings!$G$33))</x:f>
      </x:c>
      <x:c r="R100" s="30" t="str">
        <x:f>IF(C100="","",MIN(1,J100*Settings!$G$34))</x:f>
      </x:c>
      <x:c r="S100" s="30" t="str">
        <x:f>IF(C100="","",MIN(1,K100*Settings!$H$32))</x:f>
      </x:c>
      <x:c r="T100" s="30" t="str">
        <x:f>IF(C100="","",MIN(1,K100*Settings!$H$33))</x:f>
      </x:c>
      <x:c r="U100" s="30" t="str">
        <x:f>IF(C100="","",MIN(1,K100*Settings!$H$34))</x:f>
      </x:c>
      <x:c r="V100" s="23" t="str">
        <x:f>IF(C100="","",IF(O100&lt;&gt;"Ready","Unavailable",IF(E100=3,F100*(1-MAX(0,1-(1-N100)*Settings!$H$32)/(1+I100)^M100),F100*(1-(1-S100)/(1+I100)^M100)*P100/(1+I100)*IF(ABS(1-(1-P100)*(1-L100)/(1+I100))&lt;0.000000001,AF100,(1-((1-P100)*(1-L100)/(1+I100))^AF100)/(1-(1-P100)*(1-L100)/(1+I100))))))</x:f>
      </x:c>
      <x:c r="W100" s="23" t="str">
        <x:f>IF(C100="","",IF(O100&lt;&gt;"Ready","Unavailable",IF(E100=3,F100*(1-MAX(0,1-(1-N100)*Settings!$H$33)/(1+I100)^M100),F100*(1-(1-T100)/(1+I100)^M100)*Q100/(1+I100)*IF(ABS(1-(1-Q100)*(1-L100)/(1+I100))&lt;0.000000001,AF100,(1-((1-Q100)*(1-L100)/(1+I100))^AF100)/(1-(1-Q100)*(1-L100)/(1+I100))))))</x:f>
      </x:c>
      <x:c r="X100" s="23" t="str">
        <x:f>IF(C100="","",IF(O100&lt;&gt;"Ready","Unavailable",IF(E100=3,F100*(1-MAX(0,1-(1-N100)*Settings!$H$34)/(1+I100)^M100),F100*(1-(1-U100)/(1+I100)^M100)*R100/(1+I100)*IF(ABS(1-(1-R100)*(1-L100)/(1+I100))&lt;0.000000001,AF100,(1-((1-R100)*(1-L100)/(1+I100))^AF100)/(1-(1-R100)*(1-L100)/(1+I100))))))</x:f>
      </x:c>
      <x:c r="Y100" s="23" t="str">
        <x:f>IF(C100="","",IF(O100&lt;&gt;"Ready","Unavailable",IF(E100=3,G100*INDEX('Facilities'!$I$9:$I$108,MATCH(C100,'Facilities'!$C$9:$C$108,0))*(1-MAX(0,1-(1-N100)*Settings!$H$32)/(1+I100)^M100),G100*INDEX('Facilities'!$I$9:$I$108,MATCH(C100,'Facilities'!$C$9:$C$108,0))*(1-(1-S100)/(1+I100)^M100)*P100/(1+I100)*IF(ABS(1-(1-P100)*(1-0)/(1+I100))&lt;0.000000001,AF100,(1-((1-P100)*(1-0)/(1+I100))^AF100)/(1-(1-P100)*(1-0)/(1+I100))))))</x:f>
      </x:c>
      <x:c r="Z100" s="23" t="str">
        <x:f>IF(C100="","",IF(O100&lt;&gt;"Ready","Unavailable",IF(E100=3,G100*INDEX('Facilities'!$I$9:$I$108,MATCH(C100,'Facilities'!$C$9:$C$108,0))*(1-MAX(0,1-(1-N100)*Settings!$H$33)/(1+I100)^M100),G100*INDEX('Facilities'!$I$9:$I$108,MATCH(C100,'Facilities'!$C$9:$C$108,0))*(1-(1-T100)/(1+I100)^M100)*Q100/(1+I100)*IF(ABS(1-(1-Q100)*(1-0)/(1+I100))&lt;0.000000001,AF100,(1-((1-Q100)*(1-0)/(1+I100))^AF100)/(1-(1-Q100)*(1-0)/(1+I100))))))</x:f>
      </x:c>
      <x:c r="AA100" s="23" t="str">
        <x:f>IF(C100="","",IF(O100&lt;&gt;"Ready","Unavailable",IF(E100=3,G100*INDEX('Facilities'!$I$9:$I$108,MATCH(C100,'Facilities'!$C$9:$C$108,0))*(1-MAX(0,1-(1-N100)*Settings!$H$34)/(1+I100)^M100),G100*INDEX('Facilities'!$I$9:$I$108,MATCH(C100,'Facilities'!$C$9:$C$108,0))*(1-(1-U100)/(1+I100)^M100)*R100/(1+I100)*IF(ABS(1-(1-R100)*(1-0)/(1+I100))&lt;0.000000001,AF100,(1-((1-R100)*(1-0)/(1+I100))^AF100)/(1-(1-R100)*(1-0)/(1+I100))))))</x:f>
      </x:c>
      <x:c r="AB100" s="23" t="str">
        <x:f>IF(C100="","",IF(O100&lt;&gt;"Ready","Unavailable",V100*Settings!$F$32+W100*Settings!$F$33+X100*Settings!$F$34))</x:f>
      </x:c>
      <x:c r="AC100" s="23" t="str">
        <x:f>IF(C100="","",IF(O100&lt;&gt;"Ready","Unavailable",Y100*Settings!$F$32+Z100*Settings!$F$33+AA100*Settings!$F$34))</x:f>
      </x:c>
      <x:c r="AD100" s="21" t="str">
        <x:f>IF(C100="","",IF(O100&lt;&gt;"Ready","Unavailable",AB100+AC100))</x:f>
      </x:c>
      <x:c r="AE100" s="17" t="str">
        <x:f>IF(C100="","",IF(OR(O100&lt;&gt;"Ready",F100=0),"Unavailable",AB100/F100))</x:f>
      </x:c>
      <x:c r="AF100" s="44" t="str">
        <x:f>IF(C100="","",IF(E100=1,1,H100))</x:f>
      </x:c>
    </x:row>
    <x:row r="101" ht="26" customHeight="1">
      <x:c r="A101" s="1"/>
      <x:c r="B101" s="1"/>
      <x:c r="C101" s="9" t="str">
        <x:f>IF(Facilities!C101="","",Facilities!C101)</x:f>
      </x:c>
      <x:c r="D101" s="9" t="str">
        <x:f>IF(C101="","",INDEX('Facilities'!$D$9:$D$108,MATCH(C101,'Facilities'!$C$9:$C$108,0)))</x:f>
      </x:c>
      <x:c r="E101" s="9" t="str">
        <x:f>IF(C101="","",INDEX('Facilities'!$AD$9:$AD$108,MATCH(C101,'Facilities'!$C$9:$C$108,0)))</x:f>
      </x:c>
      <x:c r="F101" s="23" t="str">
        <x:f>IF(C101="","",INDEX('Facilities'!$AA$9:$AA$108,MATCH(C101,'Facilities'!$C$9:$C$108,0)))</x:f>
      </x:c>
      <x:c r="G101" s="23" t="str">
        <x:f>IF(C101="","",INDEX('Facilities'!$AB$9:$AB$108,MATCH(C101,'Facilities'!$C$9:$C$108,0)))</x:f>
      </x:c>
      <x:c r="H101" s="42" t="str">
        <x:f>IF(C101="","",INDEX('Facilities'!$J$9:$J$108,MATCH(C101,'Facilities'!$C$9:$C$108,0)))</x:f>
      </x:c>
      <x:c r="I101" s="30" t="str">
        <x:f>IF(C101="","",INDEX('Facilities'!$K$9:$K$108,MATCH(C101,'Facilities'!$C$9:$C$108,0)))</x:f>
      </x:c>
      <x:c r="J101" s="30" t="str">
        <x:f>IF(C101="","",INDEX('Borrowers'!$P$9:$P$108,MATCH(D101,'Borrowers'!$C$9:$C$108,0)))</x:f>
      </x:c>
      <x:c r="K101" s="30" t="str">
        <x:f>IF(C101="","",INDEX('Borrowers'!$Q$9:$Q$108,MATCH(D101,'Borrowers'!$C$9:$C$108,0)))</x:f>
      </x:c>
      <x:c r="L101" s="30" t="str">
        <x:f>IF(C101="","",INDEX('Facilities'!$R$9:$R$108,MATCH(C101,'Facilities'!$C$9:$C$108,0)))</x:f>
      </x:c>
      <x:c r="M101" s="42" t="str">
        <x:f>IF(C101="","",INDEX('Facilities'!$AK$9:$AK$108,MATCH(C101,'Facilities'!$C$9:$C$108,0)))</x:f>
      </x:c>
      <x:c r="N101" s="30" t="str">
        <x:f>IF(C101="","",INDEX('Facilities'!$AL$9:$AL$108,MATCH(C101,'Facilities'!$C$9:$C$108,0)))</x:f>
      </x:c>
      <x:c r="O101" s="23" t="str">
        <x:f>IF(C101="","",IF(AND(INDEX('Facilities'!$AF$9:$AF$108,MATCH(C101,'Facilities'!$C$9:$C$108,0))="Ready",Settings!$F$36="Ready"),"Ready","Review ECL inputs"))</x:f>
      </x:c>
      <x:c r="P101" s="30" t="str">
        <x:f>IF(C101="","",MIN(1,J101*Settings!$G$32))</x:f>
      </x:c>
      <x:c r="Q101" s="30" t="str">
        <x:f>IF(C101="","",MIN(1,J101*Settings!$G$33))</x:f>
      </x:c>
      <x:c r="R101" s="30" t="str">
        <x:f>IF(C101="","",MIN(1,J101*Settings!$G$34))</x:f>
      </x:c>
      <x:c r="S101" s="30" t="str">
        <x:f>IF(C101="","",MIN(1,K101*Settings!$H$32))</x:f>
      </x:c>
      <x:c r="T101" s="30" t="str">
        <x:f>IF(C101="","",MIN(1,K101*Settings!$H$33))</x:f>
      </x:c>
      <x:c r="U101" s="30" t="str">
        <x:f>IF(C101="","",MIN(1,K101*Settings!$H$34))</x:f>
      </x:c>
      <x:c r="V101" s="23" t="str">
        <x:f>IF(C101="","",IF(O101&lt;&gt;"Ready","Unavailable",IF(E101=3,F101*(1-MAX(0,1-(1-N101)*Settings!$H$32)/(1+I101)^M101),F101*(1-(1-S101)/(1+I101)^M101)*P101/(1+I101)*IF(ABS(1-(1-P101)*(1-L101)/(1+I101))&lt;0.000000001,AF101,(1-((1-P101)*(1-L101)/(1+I101))^AF101)/(1-(1-P101)*(1-L101)/(1+I101))))))</x:f>
      </x:c>
      <x:c r="W101" s="23" t="str">
        <x:f>IF(C101="","",IF(O101&lt;&gt;"Ready","Unavailable",IF(E101=3,F101*(1-MAX(0,1-(1-N101)*Settings!$H$33)/(1+I101)^M101),F101*(1-(1-T101)/(1+I101)^M101)*Q101/(1+I101)*IF(ABS(1-(1-Q101)*(1-L101)/(1+I101))&lt;0.000000001,AF101,(1-((1-Q101)*(1-L101)/(1+I101))^AF101)/(1-(1-Q101)*(1-L101)/(1+I101))))))</x:f>
      </x:c>
      <x:c r="X101" s="23" t="str">
        <x:f>IF(C101="","",IF(O101&lt;&gt;"Ready","Unavailable",IF(E101=3,F101*(1-MAX(0,1-(1-N101)*Settings!$H$34)/(1+I101)^M101),F101*(1-(1-U101)/(1+I101)^M101)*R101/(1+I101)*IF(ABS(1-(1-R101)*(1-L101)/(1+I101))&lt;0.000000001,AF101,(1-((1-R101)*(1-L101)/(1+I101))^AF101)/(1-(1-R101)*(1-L101)/(1+I101))))))</x:f>
      </x:c>
      <x:c r="Y101" s="23" t="str">
        <x:f>IF(C101="","",IF(O101&lt;&gt;"Ready","Unavailable",IF(E101=3,G101*INDEX('Facilities'!$I$9:$I$108,MATCH(C101,'Facilities'!$C$9:$C$108,0))*(1-MAX(0,1-(1-N101)*Settings!$H$32)/(1+I101)^M101),G101*INDEX('Facilities'!$I$9:$I$108,MATCH(C101,'Facilities'!$C$9:$C$108,0))*(1-(1-S101)/(1+I101)^M101)*P101/(1+I101)*IF(ABS(1-(1-P101)*(1-0)/(1+I101))&lt;0.000000001,AF101,(1-((1-P101)*(1-0)/(1+I101))^AF101)/(1-(1-P101)*(1-0)/(1+I101))))))</x:f>
      </x:c>
      <x:c r="Z101" s="23" t="str">
        <x:f>IF(C101="","",IF(O101&lt;&gt;"Ready","Unavailable",IF(E101=3,G101*INDEX('Facilities'!$I$9:$I$108,MATCH(C101,'Facilities'!$C$9:$C$108,0))*(1-MAX(0,1-(1-N101)*Settings!$H$33)/(1+I101)^M101),G101*INDEX('Facilities'!$I$9:$I$108,MATCH(C101,'Facilities'!$C$9:$C$108,0))*(1-(1-T101)/(1+I101)^M101)*Q101/(1+I101)*IF(ABS(1-(1-Q101)*(1-0)/(1+I101))&lt;0.000000001,AF101,(1-((1-Q101)*(1-0)/(1+I101))^AF101)/(1-(1-Q101)*(1-0)/(1+I101))))))</x:f>
      </x:c>
      <x:c r="AA101" s="23" t="str">
        <x:f>IF(C101="","",IF(O101&lt;&gt;"Ready","Unavailable",IF(E101=3,G101*INDEX('Facilities'!$I$9:$I$108,MATCH(C101,'Facilities'!$C$9:$C$108,0))*(1-MAX(0,1-(1-N101)*Settings!$H$34)/(1+I101)^M101),G101*INDEX('Facilities'!$I$9:$I$108,MATCH(C101,'Facilities'!$C$9:$C$108,0))*(1-(1-U101)/(1+I101)^M101)*R101/(1+I101)*IF(ABS(1-(1-R101)*(1-0)/(1+I101))&lt;0.000000001,AF101,(1-((1-R101)*(1-0)/(1+I101))^AF101)/(1-(1-R101)*(1-0)/(1+I101))))))</x:f>
      </x:c>
      <x:c r="AB101" s="23" t="str">
        <x:f>IF(C101="","",IF(O101&lt;&gt;"Ready","Unavailable",V101*Settings!$F$32+W101*Settings!$F$33+X101*Settings!$F$34))</x:f>
      </x:c>
      <x:c r="AC101" s="23" t="str">
        <x:f>IF(C101="","",IF(O101&lt;&gt;"Ready","Unavailable",Y101*Settings!$F$32+Z101*Settings!$F$33+AA101*Settings!$F$34))</x:f>
      </x:c>
      <x:c r="AD101" s="21" t="str">
        <x:f>IF(C101="","",IF(O101&lt;&gt;"Ready","Unavailable",AB101+AC101))</x:f>
      </x:c>
      <x:c r="AE101" s="17" t="str">
        <x:f>IF(C101="","",IF(OR(O101&lt;&gt;"Ready",F101=0),"Unavailable",AB101/F101))</x:f>
      </x:c>
      <x:c r="AF101" s="44" t="str">
        <x:f>IF(C101="","",IF(E101=1,1,H101))</x:f>
      </x:c>
    </x:row>
    <x:row r="102" ht="26" customHeight="1">
      <x:c r="A102" s="1"/>
      <x:c r="B102" s="1"/>
      <x:c r="C102" s="9" t="str">
        <x:f>IF(Facilities!C102="","",Facilities!C102)</x:f>
      </x:c>
      <x:c r="D102" s="9" t="str">
        <x:f>IF(C102="","",INDEX('Facilities'!$D$9:$D$108,MATCH(C102,'Facilities'!$C$9:$C$108,0)))</x:f>
      </x:c>
      <x:c r="E102" s="9" t="str">
        <x:f>IF(C102="","",INDEX('Facilities'!$AD$9:$AD$108,MATCH(C102,'Facilities'!$C$9:$C$108,0)))</x:f>
      </x:c>
      <x:c r="F102" s="23" t="str">
        <x:f>IF(C102="","",INDEX('Facilities'!$AA$9:$AA$108,MATCH(C102,'Facilities'!$C$9:$C$108,0)))</x:f>
      </x:c>
      <x:c r="G102" s="23" t="str">
        <x:f>IF(C102="","",INDEX('Facilities'!$AB$9:$AB$108,MATCH(C102,'Facilities'!$C$9:$C$108,0)))</x:f>
      </x:c>
      <x:c r="H102" s="42" t="str">
        <x:f>IF(C102="","",INDEX('Facilities'!$J$9:$J$108,MATCH(C102,'Facilities'!$C$9:$C$108,0)))</x:f>
      </x:c>
      <x:c r="I102" s="30" t="str">
        <x:f>IF(C102="","",INDEX('Facilities'!$K$9:$K$108,MATCH(C102,'Facilities'!$C$9:$C$108,0)))</x:f>
      </x:c>
      <x:c r="J102" s="30" t="str">
        <x:f>IF(C102="","",INDEX('Borrowers'!$P$9:$P$108,MATCH(D102,'Borrowers'!$C$9:$C$108,0)))</x:f>
      </x:c>
      <x:c r="K102" s="30" t="str">
        <x:f>IF(C102="","",INDEX('Borrowers'!$Q$9:$Q$108,MATCH(D102,'Borrowers'!$C$9:$C$108,0)))</x:f>
      </x:c>
      <x:c r="L102" s="30" t="str">
        <x:f>IF(C102="","",INDEX('Facilities'!$R$9:$R$108,MATCH(C102,'Facilities'!$C$9:$C$108,0)))</x:f>
      </x:c>
      <x:c r="M102" s="42" t="str">
        <x:f>IF(C102="","",INDEX('Facilities'!$AK$9:$AK$108,MATCH(C102,'Facilities'!$C$9:$C$108,0)))</x:f>
      </x:c>
      <x:c r="N102" s="30" t="str">
        <x:f>IF(C102="","",INDEX('Facilities'!$AL$9:$AL$108,MATCH(C102,'Facilities'!$C$9:$C$108,0)))</x:f>
      </x:c>
      <x:c r="O102" s="23" t="str">
        <x:f>IF(C102="","",IF(AND(INDEX('Facilities'!$AF$9:$AF$108,MATCH(C102,'Facilities'!$C$9:$C$108,0))="Ready",Settings!$F$36="Ready"),"Ready","Review ECL inputs"))</x:f>
      </x:c>
      <x:c r="P102" s="30" t="str">
        <x:f>IF(C102="","",MIN(1,J102*Settings!$G$32))</x:f>
      </x:c>
      <x:c r="Q102" s="30" t="str">
        <x:f>IF(C102="","",MIN(1,J102*Settings!$G$33))</x:f>
      </x:c>
      <x:c r="R102" s="30" t="str">
        <x:f>IF(C102="","",MIN(1,J102*Settings!$G$34))</x:f>
      </x:c>
      <x:c r="S102" s="30" t="str">
        <x:f>IF(C102="","",MIN(1,K102*Settings!$H$32))</x:f>
      </x:c>
      <x:c r="T102" s="30" t="str">
        <x:f>IF(C102="","",MIN(1,K102*Settings!$H$33))</x:f>
      </x:c>
      <x:c r="U102" s="30" t="str">
        <x:f>IF(C102="","",MIN(1,K102*Settings!$H$34))</x:f>
      </x:c>
      <x:c r="V102" s="23" t="str">
        <x:f>IF(C102="","",IF(O102&lt;&gt;"Ready","Unavailable",IF(E102=3,F102*(1-MAX(0,1-(1-N102)*Settings!$H$32)/(1+I102)^M102),F102*(1-(1-S102)/(1+I102)^M102)*P102/(1+I102)*IF(ABS(1-(1-P102)*(1-L102)/(1+I102))&lt;0.000000001,AF102,(1-((1-P102)*(1-L102)/(1+I102))^AF102)/(1-(1-P102)*(1-L102)/(1+I102))))))</x:f>
      </x:c>
      <x:c r="W102" s="23" t="str">
        <x:f>IF(C102="","",IF(O102&lt;&gt;"Ready","Unavailable",IF(E102=3,F102*(1-MAX(0,1-(1-N102)*Settings!$H$33)/(1+I102)^M102),F102*(1-(1-T102)/(1+I102)^M102)*Q102/(1+I102)*IF(ABS(1-(1-Q102)*(1-L102)/(1+I102))&lt;0.000000001,AF102,(1-((1-Q102)*(1-L102)/(1+I102))^AF102)/(1-(1-Q102)*(1-L102)/(1+I102))))))</x:f>
      </x:c>
      <x:c r="X102" s="23" t="str">
        <x:f>IF(C102="","",IF(O102&lt;&gt;"Ready","Unavailable",IF(E102=3,F102*(1-MAX(0,1-(1-N102)*Settings!$H$34)/(1+I102)^M102),F102*(1-(1-U102)/(1+I102)^M102)*R102/(1+I102)*IF(ABS(1-(1-R102)*(1-L102)/(1+I102))&lt;0.000000001,AF102,(1-((1-R102)*(1-L102)/(1+I102))^AF102)/(1-(1-R102)*(1-L102)/(1+I102))))))</x:f>
      </x:c>
      <x:c r="Y102" s="23" t="str">
        <x:f>IF(C102="","",IF(O102&lt;&gt;"Ready","Unavailable",IF(E102=3,G102*INDEX('Facilities'!$I$9:$I$108,MATCH(C102,'Facilities'!$C$9:$C$108,0))*(1-MAX(0,1-(1-N102)*Settings!$H$32)/(1+I102)^M102),G102*INDEX('Facilities'!$I$9:$I$108,MATCH(C102,'Facilities'!$C$9:$C$108,0))*(1-(1-S102)/(1+I102)^M102)*P102/(1+I102)*IF(ABS(1-(1-P102)*(1-0)/(1+I102))&lt;0.000000001,AF102,(1-((1-P102)*(1-0)/(1+I102))^AF102)/(1-(1-P102)*(1-0)/(1+I102))))))</x:f>
      </x:c>
      <x:c r="Z102" s="23" t="str">
        <x:f>IF(C102="","",IF(O102&lt;&gt;"Ready","Unavailable",IF(E102=3,G102*INDEX('Facilities'!$I$9:$I$108,MATCH(C102,'Facilities'!$C$9:$C$108,0))*(1-MAX(0,1-(1-N102)*Settings!$H$33)/(1+I102)^M102),G102*INDEX('Facilities'!$I$9:$I$108,MATCH(C102,'Facilities'!$C$9:$C$108,0))*(1-(1-T102)/(1+I102)^M102)*Q102/(1+I102)*IF(ABS(1-(1-Q102)*(1-0)/(1+I102))&lt;0.000000001,AF102,(1-((1-Q102)*(1-0)/(1+I102))^AF102)/(1-(1-Q102)*(1-0)/(1+I102))))))</x:f>
      </x:c>
      <x:c r="AA102" s="23" t="str">
        <x:f>IF(C102="","",IF(O102&lt;&gt;"Ready","Unavailable",IF(E102=3,G102*INDEX('Facilities'!$I$9:$I$108,MATCH(C102,'Facilities'!$C$9:$C$108,0))*(1-MAX(0,1-(1-N102)*Settings!$H$34)/(1+I102)^M102),G102*INDEX('Facilities'!$I$9:$I$108,MATCH(C102,'Facilities'!$C$9:$C$108,0))*(1-(1-U102)/(1+I102)^M102)*R102/(1+I102)*IF(ABS(1-(1-R102)*(1-0)/(1+I102))&lt;0.000000001,AF102,(1-((1-R102)*(1-0)/(1+I102))^AF102)/(1-(1-R102)*(1-0)/(1+I102))))))</x:f>
      </x:c>
      <x:c r="AB102" s="23" t="str">
        <x:f>IF(C102="","",IF(O102&lt;&gt;"Ready","Unavailable",V102*Settings!$F$32+W102*Settings!$F$33+X102*Settings!$F$34))</x:f>
      </x:c>
      <x:c r="AC102" s="23" t="str">
        <x:f>IF(C102="","",IF(O102&lt;&gt;"Ready","Unavailable",Y102*Settings!$F$32+Z102*Settings!$F$33+AA102*Settings!$F$34))</x:f>
      </x:c>
      <x:c r="AD102" s="21" t="str">
        <x:f>IF(C102="","",IF(O102&lt;&gt;"Ready","Unavailable",AB102+AC102))</x:f>
      </x:c>
      <x:c r="AE102" s="17" t="str">
        <x:f>IF(C102="","",IF(OR(O102&lt;&gt;"Ready",F102=0),"Unavailable",AB102/F102))</x:f>
      </x:c>
      <x:c r="AF102" s="44" t="str">
        <x:f>IF(C102="","",IF(E102=1,1,H102))</x:f>
      </x:c>
    </x:row>
    <x:row r="103" ht="26" customHeight="1">
      <x:c r="A103" s="1"/>
      <x:c r="B103" s="1"/>
      <x:c r="C103" s="9" t="str">
        <x:f>IF(Facilities!C103="","",Facilities!C103)</x:f>
      </x:c>
      <x:c r="D103" s="9" t="str">
        <x:f>IF(C103="","",INDEX('Facilities'!$D$9:$D$108,MATCH(C103,'Facilities'!$C$9:$C$108,0)))</x:f>
      </x:c>
      <x:c r="E103" s="9" t="str">
        <x:f>IF(C103="","",INDEX('Facilities'!$AD$9:$AD$108,MATCH(C103,'Facilities'!$C$9:$C$108,0)))</x:f>
      </x:c>
      <x:c r="F103" s="23" t="str">
        <x:f>IF(C103="","",INDEX('Facilities'!$AA$9:$AA$108,MATCH(C103,'Facilities'!$C$9:$C$108,0)))</x:f>
      </x:c>
      <x:c r="G103" s="23" t="str">
        <x:f>IF(C103="","",INDEX('Facilities'!$AB$9:$AB$108,MATCH(C103,'Facilities'!$C$9:$C$108,0)))</x:f>
      </x:c>
      <x:c r="H103" s="42" t="str">
        <x:f>IF(C103="","",INDEX('Facilities'!$J$9:$J$108,MATCH(C103,'Facilities'!$C$9:$C$108,0)))</x:f>
      </x:c>
      <x:c r="I103" s="30" t="str">
        <x:f>IF(C103="","",INDEX('Facilities'!$K$9:$K$108,MATCH(C103,'Facilities'!$C$9:$C$108,0)))</x:f>
      </x:c>
      <x:c r="J103" s="30" t="str">
        <x:f>IF(C103="","",INDEX('Borrowers'!$P$9:$P$108,MATCH(D103,'Borrowers'!$C$9:$C$108,0)))</x:f>
      </x:c>
      <x:c r="K103" s="30" t="str">
        <x:f>IF(C103="","",INDEX('Borrowers'!$Q$9:$Q$108,MATCH(D103,'Borrowers'!$C$9:$C$108,0)))</x:f>
      </x:c>
      <x:c r="L103" s="30" t="str">
        <x:f>IF(C103="","",INDEX('Facilities'!$R$9:$R$108,MATCH(C103,'Facilities'!$C$9:$C$108,0)))</x:f>
      </x:c>
      <x:c r="M103" s="42" t="str">
        <x:f>IF(C103="","",INDEX('Facilities'!$AK$9:$AK$108,MATCH(C103,'Facilities'!$C$9:$C$108,0)))</x:f>
      </x:c>
      <x:c r="N103" s="30" t="str">
        <x:f>IF(C103="","",INDEX('Facilities'!$AL$9:$AL$108,MATCH(C103,'Facilities'!$C$9:$C$108,0)))</x:f>
      </x:c>
      <x:c r="O103" s="23" t="str">
        <x:f>IF(C103="","",IF(AND(INDEX('Facilities'!$AF$9:$AF$108,MATCH(C103,'Facilities'!$C$9:$C$108,0))="Ready",Settings!$F$36="Ready"),"Ready","Review ECL inputs"))</x:f>
      </x:c>
      <x:c r="P103" s="30" t="str">
        <x:f>IF(C103="","",MIN(1,J103*Settings!$G$32))</x:f>
      </x:c>
      <x:c r="Q103" s="30" t="str">
        <x:f>IF(C103="","",MIN(1,J103*Settings!$G$33))</x:f>
      </x:c>
      <x:c r="R103" s="30" t="str">
        <x:f>IF(C103="","",MIN(1,J103*Settings!$G$34))</x:f>
      </x:c>
      <x:c r="S103" s="30" t="str">
        <x:f>IF(C103="","",MIN(1,K103*Settings!$H$32))</x:f>
      </x:c>
      <x:c r="T103" s="30" t="str">
        <x:f>IF(C103="","",MIN(1,K103*Settings!$H$33))</x:f>
      </x:c>
      <x:c r="U103" s="30" t="str">
        <x:f>IF(C103="","",MIN(1,K103*Settings!$H$34))</x:f>
      </x:c>
      <x:c r="V103" s="23" t="str">
        <x:f>IF(C103="","",IF(O103&lt;&gt;"Ready","Unavailable",IF(E103=3,F103*(1-MAX(0,1-(1-N103)*Settings!$H$32)/(1+I103)^M103),F103*(1-(1-S103)/(1+I103)^M103)*P103/(1+I103)*IF(ABS(1-(1-P103)*(1-L103)/(1+I103))&lt;0.000000001,AF103,(1-((1-P103)*(1-L103)/(1+I103))^AF103)/(1-(1-P103)*(1-L103)/(1+I103))))))</x:f>
      </x:c>
      <x:c r="W103" s="23" t="str">
        <x:f>IF(C103="","",IF(O103&lt;&gt;"Ready","Unavailable",IF(E103=3,F103*(1-MAX(0,1-(1-N103)*Settings!$H$33)/(1+I103)^M103),F103*(1-(1-T103)/(1+I103)^M103)*Q103/(1+I103)*IF(ABS(1-(1-Q103)*(1-L103)/(1+I103))&lt;0.000000001,AF103,(1-((1-Q103)*(1-L103)/(1+I103))^AF103)/(1-(1-Q103)*(1-L103)/(1+I103))))))</x:f>
      </x:c>
      <x:c r="X103" s="23" t="str">
        <x:f>IF(C103="","",IF(O103&lt;&gt;"Ready","Unavailable",IF(E103=3,F103*(1-MAX(0,1-(1-N103)*Settings!$H$34)/(1+I103)^M103),F103*(1-(1-U103)/(1+I103)^M103)*R103/(1+I103)*IF(ABS(1-(1-R103)*(1-L103)/(1+I103))&lt;0.000000001,AF103,(1-((1-R103)*(1-L103)/(1+I103))^AF103)/(1-(1-R103)*(1-L103)/(1+I103))))))</x:f>
      </x:c>
      <x:c r="Y103" s="23" t="str">
        <x:f>IF(C103="","",IF(O103&lt;&gt;"Ready","Unavailable",IF(E103=3,G103*INDEX('Facilities'!$I$9:$I$108,MATCH(C103,'Facilities'!$C$9:$C$108,0))*(1-MAX(0,1-(1-N103)*Settings!$H$32)/(1+I103)^M103),G103*INDEX('Facilities'!$I$9:$I$108,MATCH(C103,'Facilities'!$C$9:$C$108,0))*(1-(1-S103)/(1+I103)^M103)*P103/(1+I103)*IF(ABS(1-(1-P103)*(1-0)/(1+I103))&lt;0.000000001,AF103,(1-((1-P103)*(1-0)/(1+I103))^AF103)/(1-(1-P103)*(1-0)/(1+I103))))))</x:f>
      </x:c>
      <x:c r="Z103" s="23" t="str">
        <x:f>IF(C103="","",IF(O103&lt;&gt;"Ready","Unavailable",IF(E103=3,G103*INDEX('Facilities'!$I$9:$I$108,MATCH(C103,'Facilities'!$C$9:$C$108,0))*(1-MAX(0,1-(1-N103)*Settings!$H$33)/(1+I103)^M103),G103*INDEX('Facilities'!$I$9:$I$108,MATCH(C103,'Facilities'!$C$9:$C$108,0))*(1-(1-T103)/(1+I103)^M103)*Q103/(1+I103)*IF(ABS(1-(1-Q103)*(1-0)/(1+I103))&lt;0.000000001,AF103,(1-((1-Q103)*(1-0)/(1+I103))^AF103)/(1-(1-Q103)*(1-0)/(1+I103))))))</x:f>
      </x:c>
      <x:c r="AA103" s="23" t="str">
        <x:f>IF(C103="","",IF(O103&lt;&gt;"Ready","Unavailable",IF(E103=3,G103*INDEX('Facilities'!$I$9:$I$108,MATCH(C103,'Facilities'!$C$9:$C$108,0))*(1-MAX(0,1-(1-N103)*Settings!$H$34)/(1+I103)^M103),G103*INDEX('Facilities'!$I$9:$I$108,MATCH(C103,'Facilities'!$C$9:$C$108,0))*(1-(1-U103)/(1+I103)^M103)*R103/(1+I103)*IF(ABS(1-(1-R103)*(1-0)/(1+I103))&lt;0.000000001,AF103,(1-((1-R103)*(1-0)/(1+I103))^AF103)/(1-(1-R103)*(1-0)/(1+I103))))))</x:f>
      </x:c>
      <x:c r="AB103" s="23" t="str">
        <x:f>IF(C103="","",IF(O103&lt;&gt;"Ready","Unavailable",V103*Settings!$F$32+W103*Settings!$F$33+X103*Settings!$F$34))</x:f>
      </x:c>
      <x:c r="AC103" s="23" t="str">
        <x:f>IF(C103="","",IF(O103&lt;&gt;"Ready","Unavailable",Y103*Settings!$F$32+Z103*Settings!$F$33+AA103*Settings!$F$34))</x:f>
      </x:c>
      <x:c r="AD103" s="21" t="str">
        <x:f>IF(C103="","",IF(O103&lt;&gt;"Ready","Unavailable",AB103+AC103))</x:f>
      </x:c>
      <x:c r="AE103" s="17" t="str">
        <x:f>IF(C103="","",IF(OR(O103&lt;&gt;"Ready",F103=0),"Unavailable",AB103/F103))</x:f>
      </x:c>
      <x:c r="AF103" s="44" t="str">
        <x:f>IF(C103="","",IF(E103=1,1,H103))</x:f>
      </x:c>
    </x:row>
    <x:row r="104" ht="26" customHeight="1">
      <x:c r="A104" s="1"/>
      <x:c r="B104" s="1"/>
      <x:c r="C104" s="9" t="str">
        <x:f>IF(Facilities!C104="","",Facilities!C104)</x:f>
      </x:c>
      <x:c r="D104" s="9" t="str">
        <x:f>IF(C104="","",INDEX('Facilities'!$D$9:$D$108,MATCH(C104,'Facilities'!$C$9:$C$108,0)))</x:f>
      </x:c>
      <x:c r="E104" s="9" t="str">
        <x:f>IF(C104="","",INDEX('Facilities'!$AD$9:$AD$108,MATCH(C104,'Facilities'!$C$9:$C$108,0)))</x:f>
      </x:c>
      <x:c r="F104" s="23" t="str">
        <x:f>IF(C104="","",INDEX('Facilities'!$AA$9:$AA$108,MATCH(C104,'Facilities'!$C$9:$C$108,0)))</x:f>
      </x:c>
      <x:c r="G104" s="23" t="str">
        <x:f>IF(C104="","",INDEX('Facilities'!$AB$9:$AB$108,MATCH(C104,'Facilities'!$C$9:$C$108,0)))</x:f>
      </x:c>
      <x:c r="H104" s="42" t="str">
        <x:f>IF(C104="","",INDEX('Facilities'!$J$9:$J$108,MATCH(C104,'Facilities'!$C$9:$C$108,0)))</x:f>
      </x:c>
      <x:c r="I104" s="30" t="str">
        <x:f>IF(C104="","",INDEX('Facilities'!$K$9:$K$108,MATCH(C104,'Facilities'!$C$9:$C$108,0)))</x:f>
      </x:c>
      <x:c r="J104" s="30" t="str">
        <x:f>IF(C104="","",INDEX('Borrowers'!$P$9:$P$108,MATCH(D104,'Borrowers'!$C$9:$C$108,0)))</x:f>
      </x:c>
      <x:c r="K104" s="30" t="str">
        <x:f>IF(C104="","",INDEX('Borrowers'!$Q$9:$Q$108,MATCH(D104,'Borrowers'!$C$9:$C$108,0)))</x:f>
      </x:c>
      <x:c r="L104" s="30" t="str">
        <x:f>IF(C104="","",INDEX('Facilities'!$R$9:$R$108,MATCH(C104,'Facilities'!$C$9:$C$108,0)))</x:f>
      </x:c>
      <x:c r="M104" s="42" t="str">
        <x:f>IF(C104="","",INDEX('Facilities'!$AK$9:$AK$108,MATCH(C104,'Facilities'!$C$9:$C$108,0)))</x:f>
      </x:c>
      <x:c r="N104" s="30" t="str">
        <x:f>IF(C104="","",INDEX('Facilities'!$AL$9:$AL$108,MATCH(C104,'Facilities'!$C$9:$C$108,0)))</x:f>
      </x:c>
      <x:c r="O104" s="23" t="str">
        <x:f>IF(C104="","",IF(AND(INDEX('Facilities'!$AF$9:$AF$108,MATCH(C104,'Facilities'!$C$9:$C$108,0))="Ready",Settings!$F$36="Ready"),"Ready","Review ECL inputs"))</x:f>
      </x:c>
      <x:c r="P104" s="30" t="str">
        <x:f>IF(C104="","",MIN(1,J104*Settings!$G$32))</x:f>
      </x:c>
      <x:c r="Q104" s="30" t="str">
        <x:f>IF(C104="","",MIN(1,J104*Settings!$G$33))</x:f>
      </x:c>
      <x:c r="R104" s="30" t="str">
        <x:f>IF(C104="","",MIN(1,J104*Settings!$G$34))</x:f>
      </x:c>
      <x:c r="S104" s="30" t="str">
        <x:f>IF(C104="","",MIN(1,K104*Settings!$H$32))</x:f>
      </x:c>
      <x:c r="T104" s="30" t="str">
        <x:f>IF(C104="","",MIN(1,K104*Settings!$H$33))</x:f>
      </x:c>
      <x:c r="U104" s="30" t="str">
        <x:f>IF(C104="","",MIN(1,K104*Settings!$H$34))</x:f>
      </x:c>
      <x:c r="V104" s="23" t="str">
        <x:f>IF(C104="","",IF(O104&lt;&gt;"Ready","Unavailable",IF(E104=3,F104*(1-MAX(0,1-(1-N104)*Settings!$H$32)/(1+I104)^M104),F104*(1-(1-S104)/(1+I104)^M104)*P104/(1+I104)*IF(ABS(1-(1-P104)*(1-L104)/(1+I104))&lt;0.000000001,AF104,(1-((1-P104)*(1-L104)/(1+I104))^AF104)/(1-(1-P104)*(1-L104)/(1+I104))))))</x:f>
      </x:c>
      <x:c r="W104" s="23" t="str">
        <x:f>IF(C104="","",IF(O104&lt;&gt;"Ready","Unavailable",IF(E104=3,F104*(1-MAX(0,1-(1-N104)*Settings!$H$33)/(1+I104)^M104),F104*(1-(1-T104)/(1+I104)^M104)*Q104/(1+I104)*IF(ABS(1-(1-Q104)*(1-L104)/(1+I104))&lt;0.000000001,AF104,(1-((1-Q104)*(1-L104)/(1+I104))^AF104)/(1-(1-Q104)*(1-L104)/(1+I104))))))</x:f>
      </x:c>
      <x:c r="X104" s="23" t="str">
        <x:f>IF(C104="","",IF(O104&lt;&gt;"Ready","Unavailable",IF(E104=3,F104*(1-MAX(0,1-(1-N104)*Settings!$H$34)/(1+I104)^M104),F104*(1-(1-U104)/(1+I104)^M104)*R104/(1+I104)*IF(ABS(1-(1-R104)*(1-L104)/(1+I104))&lt;0.000000001,AF104,(1-((1-R104)*(1-L104)/(1+I104))^AF104)/(1-(1-R104)*(1-L104)/(1+I104))))))</x:f>
      </x:c>
      <x:c r="Y104" s="23" t="str">
        <x:f>IF(C104="","",IF(O104&lt;&gt;"Ready","Unavailable",IF(E104=3,G104*INDEX('Facilities'!$I$9:$I$108,MATCH(C104,'Facilities'!$C$9:$C$108,0))*(1-MAX(0,1-(1-N104)*Settings!$H$32)/(1+I104)^M104),G104*INDEX('Facilities'!$I$9:$I$108,MATCH(C104,'Facilities'!$C$9:$C$108,0))*(1-(1-S104)/(1+I104)^M104)*P104/(1+I104)*IF(ABS(1-(1-P104)*(1-0)/(1+I104))&lt;0.000000001,AF104,(1-((1-P104)*(1-0)/(1+I104))^AF104)/(1-(1-P104)*(1-0)/(1+I104))))))</x:f>
      </x:c>
      <x:c r="Z104" s="23" t="str">
        <x:f>IF(C104="","",IF(O104&lt;&gt;"Ready","Unavailable",IF(E104=3,G104*INDEX('Facilities'!$I$9:$I$108,MATCH(C104,'Facilities'!$C$9:$C$108,0))*(1-MAX(0,1-(1-N104)*Settings!$H$33)/(1+I104)^M104),G104*INDEX('Facilities'!$I$9:$I$108,MATCH(C104,'Facilities'!$C$9:$C$108,0))*(1-(1-T104)/(1+I104)^M104)*Q104/(1+I104)*IF(ABS(1-(1-Q104)*(1-0)/(1+I104))&lt;0.000000001,AF104,(1-((1-Q104)*(1-0)/(1+I104))^AF104)/(1-(1-Q104)*(1-0)/(1+I104))))))</x:f>
      </x:c>
      <x:c r="AA104" s="23" t="str">
        <x:f>IF(C104="","",IF(O104&lt;&gt;"Ready","Unavailable",IF(E104=3,G104*INDEX('Facilities'!$I$9:$I$108,MATCH(C104,'Facilities'!$C$9:$C$108,0))*(1-MAX(0,1-(1-N104)*Settings!$H$34)/(1+I104)^M104),G104*INDEX('Facilities'!$I$9:$I$108,MATCH(C104,'Facilities'!$C$9:$C$108,0))*(1-(1-U104)/(1+I104)^M104)*R104/(1+I104)*IF(ABS(1-(1-R104)*(1-0)/(1+I104))&lt;0.000000001,AF104,(1-((1-R104)*(1-0)/(1+I104))^AF104)/(1-(1-R104)*(1-0)/(1+I104))))))</x:f>
      </x:c>
      <x:c r="AB104" s="23" t="str">
        <x:f>IF(C104="","",IF(O104&lt;&gt;"Ready","Unavailable",V104*Settings!$F$32+W104*Settings!$F$33+X104*Settings!$F$34))</x:f>
      </x:c>
      <x:c r="AC104" s="23" t="str">
        <x:f>IF(C104="","",IF(O104&lt;&gt;"Ready","Unavailable",Y104*Settings!$F$32+Z104*Settings!$F$33+AA104*Settings!$F$34))</x:f>
      </x:c>
      <x:c r="AD104" s="21" t="str">
        <x:f>IF(C104="","",IF(O104&lt;&gt;"Ready","Unavailable",AB104+AC104))</x:f>
      </x:c>
      <x:c r="AE104" s="17" t="str">
        <x:f>IF(C104="","",IF(OR(O104&lt;&gt;"Ready",F104=0),"Unavailable",AB104/F104))</x:f>
      </x:c>
      <x:c r="AF104" s="44" t="str">
        <x:f>IF(C104="","",IF(E104=1,1,H104))</x:f>
      </x:c>
    </x:row>
    <x:row r="105" ht="26" customHeight="1">
      <x:c r="A105" s="1"/>
      <x:c r="B105" s="1"/>
      <x:c r="C105" s="9" t="str">
        <x:f>IF(Facilities!C105="","",Facilities!C105)</x:f>
      </x:c>
      <x:c r="D105" s="9" t="str">
        <x:f>IF(C105="","",INDEX('Facilities'!$D$9:$D$108,MATCH(C105,'Facilities'!$C$9:$C$108,0)))</x:f>
      </x:c>
      <x:c r="E105" s="9" t="str">
        <x:f>IF(C105="","",INDEX('Facilities'!$AD$9:$AD$108,MATCH(C105,'Facilities'!$C$9:$C$108,0)))</x:f>
      </x:c>
      <x:c r="F105" s="23" t="str">
        <x:f>IF(C105="","",INDEX('Facilities'!$AA$9:$AA$108,MATCH(C105,'Facilities'!$C$9:$C$108,0)))</x:f>
      </x:c>
      <x:c r="G105" s="23" t="str">
        <x:f>IF(C105="","",INDEX('Facilities'!$AB$9:$AB$108,MATCH(C105,'Facilities'!$C$9:$C$108,0)))</x:f>
      </x:c>
      <x:c r="H105" s="42" t="str">
        <x:f>IF(C105="","",INDEX('Facilities'!$J$9:$J$108,MATCH(C105,'Facilities'!$C$9:$C$108,0)))</x:f>
      </x:c>
      <x:c r="I105" s="30" t="str">
        <x:f>IF(C105="","",INDEX('Facilities'!$K$9:$K$108,MATCH(C105,'Facilities'!$C$9:$C$108,0)))</x:f>
      </x:c>
      <x:c r="J105" s="30" t="str">
        <x:f>IF(C105="","",INDEX('Borrowers'!$P$9:$P$108,MATCH(D105,'Borrowers'!$C$9:$C$108,0)))</x:f>
      </x:c>
      <x:c r="K105" s="30" t="str">
        <x:f>IF(C105="","",INDEX('Borrowers'!$Q$9:$Q$108,MATCH(D105,'Borrowers'!$C$9:$C$108,0)))</x:f>
      </x:c>
      <x:c r="L105" s="30" t="str">
        <x:f>IF(C105="","",INDEX('Facilities'!$R$9:$R$108,MATCH(C105,'Facilities'!$C$9:$C$108,0)))</x:f>
      </x:c>
      <x:c r="M105" s="42" t="str">
        <x:f>IF(C105="","",INDEX('Facilities'!$AK$9:$AK$108,MATCH(C105,'Facilities'!$C$9:$C$108,0)))</x:f>
      </x:c>
      <x:c r="N105" s="30" t="str">
        <x:f>IF(C105="","",INDEX('Facilities'!$AL$9:$AL$108,MATCH(C105,'Facilities'!$C$9:$C$108,0)))</x:f>
      </x:c>
      <x:c r="O105" s="23" t="str">
        <x:f>IF(C105="","",IF(AND(INDEX('Facilities'!$AF$9:$AF$108,MATCH(C105,'Facilities'!$C$9:$C$108,0))="Ready",Settings!$F$36="Ready"),"Ready","Review ECL inputs"))</x:f>
      </x:c>
      <x:c r="P105" s="30" t="str">
        <x:f>IF(C105="","",MIN(1,J105*Settings!$G$32))</x:f>
      </x:c>
      <x:c r="Q105" s="30" t="str">
        <x:f>IF(C105="","",MIN(1,J105*Settings!$G$33))</x:f>
      </x:c>
      <x:c r="R105" s="30" t="str">
        <x:f>IF(C105="","",MIN(1,J105*Settings!$G$34))</x:f>
      </x:c>
      <x:c r="S105" s="30" t="str">
        <x:f>IF(C105="","",MIN(1,K105*Settings!$H$32))</x:f>
      </x:c>
      <x:c r="T105" s="30" t="str">
        <x:f>IF(C105="","",MIN(1,K105*Settings!$H$33))</x:f>
      </x:c>
      <x:c r="U105" s="30" t="str">
        <x:f>IF(C105="","",MIN(1,K105*Settings!$H$34))</x:f>
      </x:c>
      <x:c r="V105" s="23" t="str">
        <x:f>IF(C105="","",IF(O105&lt;&gt;"Ready","Unavailable",IF(E105=3,F105*(1-MAX(0,1-(1-N105)*Settings!$H$32)/(1+I105)^M105),F105*(1-(1-S105)/(1+I105)^M105)*P105/(1+I105)*IF(ABS(1-(1-P105)*(1-L105)/(1+I105))&lt;0.000000001,AF105,(1-((1-P105)*(1-L105)/(1+I105))^AF105)/(1-(1-P105)*(1-L105)/(1+I105))))))</x:f>
      </x:c>
      <x:c r="W105" s="23" t="str">
        <x:f>IF(C105="","",IF(O105&lt;&gt;"Ready","Unavailable",IF(E105=3,F105*(1-MAX(0,1-(1-N105)*Settings!$H$33)/(1+I105)^M105),F105*(1-(1-T105)/(1+I105)^M105)*Q105/(1+I105)*IF(ABS(1-(1-Q105)*(1-L105)/(1+I105))&lt;0.000000001,AF105,(1-((1-Q105)*(1-L105)/(1+I105))^AF105)/(1-(1-Q105)*(1-L105)/(1+I105))))))</x:f>
      </x:c>
      <x:c r="X105" s="23" t="str">
        <x:f>IF(C105="","",IF(O105&lt;&gt;"Ready","Unavailable",IF(E105=3,F105*(1-MAX(0,1-(1-N105)*Settings!$H$34)/(1+I105)^M105),F105*(1-(1-U105)/(1+I105)^M105)*R105/(1+I105)*IF(ABS(1-(1-R105)*(1-L105)/(1+I105))&lt;0.000000001,AF105,(1-((1-R105)*(1-L105)/(1+I105))^AF105)/(1-(1-R105)*(1-L105)/(1+I105))))))</x:f>
      </x:c>
      <x:c r="Y105" s="23" t="str">
        <x:f>IF(C105="","",IF(O105&lt;&gt;"Ready","Unavailable",IF(E105=3,G105*INDEX('Facilities'!$I$9:$I$108,MATCH(C105,'Facilities'!$C$9:$C$108,0))*(1-MAX(0,1-(1-N105)*Settings!$H$32)/(1+I105)^M105),G105*INDEX('Facilities'!$I$9:$I$108,MATCH(C105,'Facilities'!$C$9:$C$108,0))*(1-(1-S105)/(1+I105)^M105)*P105/(1+I105)*IF(ABS(1-(1-P105)*(1-0)/(1+I105))&lt;0.000000001,AF105,(1-((1-P105)*(1-0)/(1+I105))^AF105)/(1-(1-P105)*(1-0)/(1+I105))))))</x:f>
      </x:c>
      <x:c r="Z105" s="23" t="str">
        <x:f>IF(C105="","",IF(O105&lt;&gt;"Ready","Unavailable",IF(E105=3,G105*INDEX('Facilities'!$I$9:$I$108,MATCH(C105,'Facilities'!$C$9:$C$108,0))*(1-MAX(0,1-(1-N105)*Settings!$H$33)/(1+I105)^M105),G105*INDEX('Facilities'!$I$9:$I$108,MATCH(C105,'Facilities'!$C$9:$C$108,0))*(1-(1-T105)/(1+I105)^M105)*Q105/(1+I105)*IF(ABS(1-(1-Q105)*(1-0)/(1+I105))&lt;0.000000001,AF105,(1-((1-Q105)*(1-0)/(1+I105))^AF105)/(1-(1-Q105)*(1-0)/(1+I105))))))</x:f>
      </x:c>
      <x:c r="AA105" s="23" t="str">
        <x:f>IF(C105="","",IF(O105&lt;&gt;"Ready","Unavailable",IF(E105=3,G105*INDEX('Facilities'!$I$9:$I$108,MATCH(C105,'Facilities'!$C$9:$C$108,0))*(1-MAX(0,1-(1-N105)*Settings!$H$34)/(1+I105)^M105),G105*INDEX('Facilities'!$I$9:$I$108,MATCH(C105,'Facilities'!$C$9:$C$108,0))*(1-(1-U105)/(1+I105)^M105)*R105/(1+I105)*IF(ABS(1-(1-R105)*(1-0)/(1+I105))&lt;0.000000001,AF105,(1-((1-R105)*(1-0)/(1+I105))^AF105)/(1-(1-R105)*(1-0)/(1+I105))))))</x:f>
      </x:c>
      <x:c r="AB105" s="23" t="str">
        <x:f>IF(C105="","",IF(O105&lt;&gt;"Ready","Unavailable",V105*Settings!$F$32+W105*Settings!$F$33+X105*Settings!$F$34))</x:f>
      </x:c>
      <x:c r="AC105" s="23" t="str">
        <x:f>IF(C105="","",IF(O105&lt;&gt;"Ready","Unavailable",Y105*Settings!$F$32+Z105*Settings!$F$33+AA105*Settings!$F$34))</x:f>
      </x:c>
      <x:c r="AD105" s="21" t="str">
        <x:f>IF(C105="","",IF(O105&lt;&gt;"Ready","Unavailable",AB105+AC105))</x:f>
      </x:c>
      <x:c r="AE105" s="17" t="str">
        <x:f>IF(C105="","",IF(OR(O105&lt;&gt;"Ready",F105=0),"Unavailable",AB105/F105))</x:f>
      </x:c>
      <x:c r="AF105" s="44" t="str">
        <x:f>IF(C105="","",IF(E105=1,1,H105))</x:f>
      </x:c>
    </x:row>
    <x:row r="106" ht="26" customHeight="1">
      <x:c r="A106" s="1"/>
      <x:c r="B106" s="1"/>
      <x:c r="C106" s="9" t="str">
        <x:f>IF(Facilities!C106="","",Facilities!C106)</x:f>
      </x:c>
      <x:c r="D106" s="9" t="str">
        <x:f>IF(C106="","",INDEX('Facilities'!$D$9:$D$108,MATCH(C106,'Facilities'!$C$9:$C$108,0)))</x:f>
      </x:c>
      <x:c r="E106" s="9" t="str">
        <x:f>IF(C106="","",INDEX('Facilities'!$AD$9:$AD$108,MATCH(C106,'Facilities'!$C$9:$C$108,0)))</x:f>
      </x:c>
      <x:c r="F106" s="23" t="str">
        <x:f>IF(C106="","",INDEX('Facilities'!$AA$9:$AA$108,MATCH(C106,'Facilities'!$C$9:$C$108,0)))</x:f>
      </x:c>
      <x:c r="G106" s="23" t="str">
        <x:f>IF(C106="","",INDEX('Facilities'!$AB$9:$AB$108,MATCH(C106,'Facilities'!$C$9:$C$108,0)))</x:f>
      </x:c>
      <x:c r="H106" s="42" t="str">
        <x:f>IF(C106="","",INDEX('Facilities'!$J$9:$J$108,MATCH(C106,'Facilities'!$C$9:$C$108,0)))</x:f>
      </x:c>
      <x:c r="I106" s="30" t="str">
        <x:f>IF(C106="","",INDEX('Facilities'!$K$9:$K$108,MATCH(C106,'Facilities'!$C$9:$C$108,0)))</x:f>
      </x:c>
      <x:c r="J106" s="30" t="str">
        <x:f>IF(C106="","",INDEX('Borrowers'!$P$9:$P$108,MATCH(D106,'Borrowers'!$C$9:$C$108,0)))</x:f>
      </x:c>
      <x:c r="K106" s="30" t="str">
        <x:f>IF(C106="","",INDEX('Borrowers'!$Q$9:$Q$108,MATCH(D106,'Borrowers'!$C$9:$C$108,0)))</x:f>
      </x:c>
      <x:c r="L106" s="30" t="str">
        <x:f>IF(C106="","",INDEX('Facilities'!$R$9:$R$108,MATCH(C106,'Facilities'!$C$9:$C$108,0)))</x:f>
      </x:c>
      <x:c r="M106" s="42" t="str">
        <x:f>IF(C106="","",INDEX('Facilities'!$AK$9:$AK$108,MATCH(C106,'Facilities'!$C$9:$C$108,0)))</x:f>
      </x:c>
      <x:c r="N106" s="30" t="str">
        <x:f>IF(C106="","",INDEX('Facilities'!$AL$9:$AL$108,MATCH(C106,'Facilities'!$C$9:$C$108,0)))</x:f>
      </x:c>
      <x:c r="O106" s="23" t="str">
        <x:f>IF(C106="","",IF(AND(INDEX('Facilities'!$AF$9:$AF$108,MATCH(C106,'Facilities'!$C$9:$C$108,0))="Ready",Settings!$F$36="Ready"),"Ready","Review ECL inputs"))</x:f>
      </x:c>
      <x:c r="P106" s="30" t="str">
        <x:f>IF(C106="","",MIN(1,J106*Settings!$G$32))</x:f>
      </x:c>
      <x:c r="Q106" s="30" t="str">
        <x:f>IF(C106="","",MIN(1,J106*Settings!$G$33))</x:f>
      </x:c>
      <x:c r="R106" s="30" t="str">
        <x:f>IF(C106="","",MIN(1,J106*Settings!$G$34))</x:f>
      </x:c>
      <x:c r="S106" s="30" t="str">
        <x:f>IF(C106="","",MIN(1,K106*Settings!$H$32))</x:f>
      </x:c>
      <x:c r="T106" s="30" t="str">
        <x:f>IF(C106="","",MIN(1,K106*Settings!$H$33))</x:f>
      </x:c>
      <x:c r="U106" s="30" t="str">
        <x:f>IF(C106="","",MIN(1,K106*Settings!$H$34))</x:f>
      </x:c>
      <x:c r="V106" s="23" t="str">
        <x:f>IF(C106="","",IF(O106&lt;&gt;"Ready","Unavailable",IF(E106=3,F106*(1-MAX(0,1-(1-N106)*Settings!$H$32)/(1+I106)^M106),F106*(1-(1-S106)/(1+I106)^M106)*P106/(1+I106)*IF(ABS(1-(1-P106)*(1-L106)/(1+I106))&lt;0.000000001,AF106,(1-((1-P106)*(1-L106)/(1+I106))^AF106)/(1-(1-P106)*(1-L106)/(1+I106))))))</x:f>
      </x:c>
      <x:c r="W106" s="23" t="str">
        <x:f>IF(C106="","",IF(O106&lt;&gt;"Ready","Unavailable",IF(E106=3,F106*(1-MAX(0,1-(1-N106)*Settings!$H$33)/(1+I106)^M106),F106*(1-(1-T106)/(1+I106)^M106)*Q106/(1+I106)*IF(ABS(1-(1-Q106)*(1-L106)/(1+I106))&lt;0.000000001,AF106,(1-((1-Q106)*(1-L106)/(1+I106))^AF106)/(1-(1-Q106)*(1-L106)/(1+I106))))))</x:f>
      </x:c>
      <x:c r="X106" s="23" t="str">
        <x:f>IF(C106="","",IF(O106&lt;&gt;"Ready","Unavailable",IF(E106=3,F106*(1-MAX(0,1-(1-N106)*Settings!$H$34)/(1+I106)^M106),F106*(1-(1-U106)/(1+I106)^M106)*R106/(1+I106)*IF(ABS(1-(1-R106)*(1-L106)/(1+I106))&lt;0.000000001,AF106,(1-((1-R106)*(1-L106)/(1+I106))^AF106)/(1-(1-R106)*(1-L106)/(1+I106))))))</x:f>
      </x:c>
      <x:c r="Y106" s="23" t="str">
        <x:f>IF(C106="","",IF(O106&lt;&gt;"Ready","Unavailable",IF(E106=3,G106*INDEX('Facilities'!$I$9:$I$108,MATCH(C106,'Facilities'!$C$9:$C$108,0))*(1-MAX(0,1-(1-N106)*Settings!$H$32)/(1+I106)^M106),G106*INDEX('Facilities'!$I$9:$I$108,MATCH(C106,'Facilities'!$C$9:$C$108,0))*(1-(1-S106)/(1+I106)^M106)*P106/(1+I106)*IF(ABS(1-(1-P106)*(1-0)/(1+I106))&lt;0.000000001,AF106,(1-((1-P106)*(1-0)/(1+I106))^AF106)/(1-(1-P106)*(1-0)/(1+I106))))))</x:f>
      </x:c>
      <x:c r="Z106" s="23" t="str">
        <x:f>IF(C106="","",IF(O106&lt;&gt;"Ready","Unavailable",IF(E106=3,G106*INDEX('Facilities'!$I$9:$I$108,MATCH(C106,'Facilities'!$C$9:$C$108,0))*(1-MAX(0,1-(1-N106)*Settings!$H$33)/(1+I106)^M106),G106*INDEX('Facilities'!$I$9:$I$108,MATCH(C106,'Facilities'!$C$9:$C$108,0))*(1-(1-T106)/(1+I106)^M106)*Q106/(1+I106)*IF(ABS(1-(1-Q106)*(1-0)/(1+I106))&lt;0.000000001,AF106,(1-((1-Q106)*(1-0)/(1+I106))^AF106)/(1-(1-Q106)*(1-0)/(1+I106))))))</x:f>
      </x:c>
      <x:c r="AA106" s="23" t="str">
        <x:f>IF(C106="","",IF(O106&lt;&gt;"Ready","Unavailable",IF(E106=3,G106*INDEX('Facilities'!$I$9:$I$108,MATCH(C106,'Facilities'!$C$9:$C$108,0))*(1-MAX(0,1-(1-N106)*Settings!$H$34)/(1+I106)^M106),G106*INDEX('Facilities'!$I$9:$I$108,MATCH(C106,'Facilities'!$C$9:$C$108,0))*(1-(1-U106)/(1+I106)^M106)*R106/(1+I106)*IF(ABS(1-(1-R106)*(1-0)/(1+I106))&lt;0.000000001,AF106,(1-((1-R106)*(1-0)/(1+I106))^AF106)/(1-(1-R106)*(1-0)/(1+I106))))))</x:f>
      </x:c>
      <x:c r="AB106" s="23" t="str">
        <x:f>IF(C106="","",IF(O106&lt;&gt;"Ready","Unavailable",V106*Settings!$F$32+W106*Settings!$F$33+X106*Settings!$F$34))</x:f>
      </x:c>
      <x:c r="AC106" s="23" t="str">
        <x:f>IF(C106="","",IF(O106&lt;&gt;"Ready","Unavailable",Y106*Settings!$F$32+Z106*Settings!$F$33+AA106*Settings!$F$34))</x:f>
      </x:c>
      <x:c r="AD106" s="21" t="str">
        <x:f>IF(C106="","",IF(O106&lt;&gt;"Ready","Unavailable",AB106+AC106))</x:f>
      </x:c>
      <x:c r="AE106" s="17" t="str">
        <x:f>IF(C106="","",IF(OR(O106&lt;&gt;"Ready",F106=0),"Unavailable",AB106/F106))</x:f>
      </x:c>
      <x:c r="AF106" s="44" t="str">
        <x:f>IF(C106="","",IF(E106=1,1,H106))</x:f>
      </x:c>
    </x:row>
    <x:row r="107" ht="26" customHeight="1">
      <x:c r="A107" s="1"/>
      <x:c r="B107" s="1"/>
      <x:c r="C107" s="9" t="str">
        <x:f>IF(Facilities!C107="","",Facilities!C107)</x:f>
      </x:c>
      <x:c r="D107" s="9" t="str">
        <x:f>IF(C107="","",INDEX('Facilities'!$D$9:$D$108,MATCH(C107,'Facilities'!$C$9:$C$108,0)))</x:f>
      </x:c>
      <x:c r="E107" s="9" t="str">
        <x:f>IF(C107="","",INDEX('Facilities'!$AD$9:$AD$108,MATCH(C107,'Facilities'!$C$9:$C$108,0)))</x:f>
      </x:c>
      <x:c r="F107" s="23" t="str">
        <x:f>IF(C107="","",INDEX('Facilities'!$AA$9:$AA$108,MATCH(C107,'Facilities'!$C$9:$C$108,0)))</x:f>
      </x:c>
      <x:c r="G107" s="23" t="str">
        <x:f>IF(C107="","",INDEX('Facilities'!$AB$9:$AB$108,MATCH(C107,'Facilities'!$C$9:$C$108,0)))</x:f>
      </x:c>
      <x:c r="H107" s="42" t="str">
        <x:f>IF(C107="","",INDEX('Facilities'!$J$9:$J$108,MATCH(C107,'Facilities'!$C$9:$C$108,0)))</x:f>
      </x:c>
      <x:c r="I107" s="30" t="str">
        <x:f>IF(C107="","",INDEX('Facilities'!$K$9:$K$108,MATCH(C107,'Facilities'!$C$9:$C$108,0)))</x:f>
      </x:c>
      <x:c r="J107" s="30" t="str">
        <x:f>IF(C107="","",INDEX('Borrowers'!$P$9:$P$108,MATCH(D107,'Borrowers'!$C$9:$C$108,0)))</x:f>
      </x:c>
      <x:c r="K107" s="30" t="str">
        <x:f>IF(C107="","",INDEX('Borrowers'!$Q$9:$Q$108,MATCH(D107,'Borrowers'!$C$9:$C$108,0)))</x:f>
      </x:c>
      <x:c r="L107" s="30" t="str">
        <x:f>IF(C107="","",INDEX('Facilities'!$R$9:$R$108,MATCH(C107,'Facilities'!$C$9:$C$108,0)))</x:f>
      </x:c>
      <x:c r="M107" s="42" t="str">
        <x:f>IF(C107="","",INDEX('Facilities'!$AK$9:$AK$108,MATCH(C107,'Facilities'!$C$9:$C$108,0)))</x:f>
      </x:c>
      <x:c r="N107" s="30" t="str">
        <x:f>IF(C107="","",INDEX('Facilities'!$AL$9:$AL$108,MATCH(C107,'Facilities'!$C$9:$C$108,0)))</x:f>
      </x:c>
      <x:c r="O107" s="23" t="str">
        <x:f>IF(C107="","",IF(AND(INDEX('Facilities'!$AF$9:$AF$108,MATCH(C107,'Facilities'!$C$9:$C$108,0))="Ready",Settings!$F$36="Ready"),"Ready","Review ECL inputs"))</x:f>
      </x:c>
      <x:c r="P107" s="30" t="str">
        <x:f>IF(C107="","",MIN(1,J107*Settings!$G$32))</x:f>
      </x:c>
      <x:c r="Q107" s="30" t="str">
        <x:f>IF(C107="","",MIN(1,J107*Settings!$G$33))</x:f>
      </x:c>
      <x:c r="R107" s="30" t="str">
        <x:f>IF(C107="","",MIN(1,J107*Settings!$G$34))</x:f>
      </x:c>
      <x:c r="S107" s="30" t="str">
        <x:f>IF(C107="","",MIN(1,K107*Settings!$H$32))</x:f>
      </x:c>
      <x:c r="T107" s="30" t="str">
        <x:f>IF(C107="","",MIN(1,K107*Settings!$H$33))</x:f>
      </x:c>
      <x:c r="U107" s="30" t="str">
        <x:f>IF(C107="","",MIN(1,K107*Settings!$H$34))</x:f>
      </x:c>
      <x:c r="V107" s="23" t="str">
        <x:f>IF(C107="","",IF(O107&lt;&gt;"Ready","Unavailable",IF(E107=3,F107*(1-MAX(0,1-(1-N107)*Settings!$H$32)/(1+I107)^M107),F107*(1-(1-S107)/(1+I107)^M107)*P107/(1+I107)*IF(ABS(1-(1-P107)*(1-L107)/(1+I107))&lt;0.000000001,AF107,(1-((1-P107)*(1-L107)/(1+I107))^AF107)/(1-(1-P107)*(1-L107)/(1+I107))))))</x:f>
      </x:c>
      <x:c r="W107" s="23" t="str">
        <x:f>IF(C107="","",IF(O107&lt;&gt;"Ready","Unavailable",IF(E107=3,F107*(1-MAX(0,1-(1-N107)*Settings!$H$33)/(1+I107)^M107),F107*(1-(1-T107)/(1+I107)^M107)*Q107/(1+I107)*IF(ABS(1-(1-Q107)*(1-L107)/(1+I107))&lt;0.000000001,AF107,(1-((1-Q107)*(1-L107)/(1+I107))^AF107)/(1-(1-Q107)*(1-L107)/(1+I107))))))</x:f>
      </x:c>
      <x:c r="X107" s="23" t="str">
        <x:f>IF(C107="","",IF(O107&lt;&gt;"Ready","Unavailable",IF(E107=3,F107*(1-MAX(0,1-(1-N107)*Settings!$H$34)/(1+I107)^M107),F107*(1-(1-U107)/(1+I107)^M107)*R107/(1+I107)*IF(ABS(1-(1-R107)*(1-L107)/(1+I107))&lt;0.000000001,AF107,(1-((1-R107)*(1-L107)/(1+I107))^AF107)/(1-(1-R107)*(1-L107)/(1+I107))))))</x:f>
      </x:c>
      <x:c r="Y107" s="23" t="str">
        <x:f>IF(C107="","",IF(O107&lt;&gt;"Ready","Unavailable",IF(E107=3,G107*INDEX('Facilities'!$I$9:$I$108,MATCH(C107,'Facilities'!$C$9:$C$108,0))*(1-MAX(0,1-(1-N107)*Settings!$H$32)/(1+I107)^M107),G107*INDEX('Facilities'!$I$9:$I$108,MATCH(C107,'Facilities'!$C$9:$C$108,0))*(1-(1-S107)/(1+I107)^M107)*P107/(1+I107)*IF(ABS(1-(1-P107)*(1-0)/(1+I107))&lt;0.000000001,AF107,(1-((1-P107)*(1-0)/(1+I107))^AF107)/(1-(1-P107)*(1-0)/(1+I107))))))</x:f>
      </x:c>
      <x:c r="Z107" s="23" t="str">
        <x:f>IF(C107="","",IF(O107&lt;&gt;"Ready","Unavailable",IF(E107=3,G107*INDEX('Facilities'!$I$9:$I$108,MATCH(C107,'Facilities'!$C$9:$C$108,0))*(1-MAX(0,1-(1-N107)*Settings!$H$33)/(1+I107)^M107),G107*INDEX('Facilities'!$I$9:$I$108,MATCH(C107,'Facilities'!$C$9:$C$108,0))*(1-(1-T107)/(1+I107)^M107)*Q107/(1+I107)*IF(ABS(1-(1-Q107)*(1-0)/(1+I107))&lt;0.000000001,AF107,(1-((1-Q107)*(1-0)/(1+I107))^AF107)/(1-(1-Q107)*(1-0)/(1+I107))))))</x:f>
      </x:c>
      <x:c r="AA107" s="23" t="str">
        <x:f>IF(C107="","",IF(O107&lt;&gt;"Ready","Unavailable",IF(E107=3,G107*INDEX('Facilities'!$I$9:$I$108,MATCH(C107,'Facilities'!$C$9:$C$108,0))*(1-MAX(0,1-(1-N107)*Settings!$H$34)/(1+I107)^M107),G107*INDEX('Facilities'!$I$9:$I$108,MATCH(C107,'Facilities'!$C$9:$C$108,0))*(1-(1-U107)/(1+I107)^M107)*R107/(1+I107)*IF(ABS(1-(1-R107)*(1-0)/(1+I107))&lt;0.000000001,AF107,(1-((1-R107)*(1-0)/(1+I107))^AF107)/(1-(1-R107)*(1-0)/(1+I107))))))</x:f>
      </x:c>
      <x:c r="AB107" s="23" t="str">
        <x:f>IF(C107="","",IF(O107&lt;&gt;"Ready","Unavailable",V107*Settings!$F$32+W107*Settings!$F$33+X107*Settings!$F$34))</x:f>
      </x:c>
      <x:c r="AC107" s="23" t="str">
        <x:f>IF(C107="","",IF(O107&lt;&gt;"Ready","Unavailable",Y107*Settings!$F$32+Z107*Settings!$F$33+AA107*Settings!$F$34))</x:f>
      </x:c>
      <x:c r="AD107" s="21" t="str">
        <x:f>IF(C107="","",IF(O107&lt;&gt;"Ready","Unavailable",AB107+AC107))</x:f>
      </x:c>
      <x:c r="AE107" s="17" t="str">
        <x:f>IF(C107="","",IF(OR(O107&lt;&gt;"Ready",F107=0),"Unavailable",AB107/F107))</x:f>
      </x:c>
      <x:c r="AF107" s="44" t="str">
        <x:f>IF(C107="","",IF(E107=1,1,H107))</x:f>
      </x:c>
    </x:row>
    <x:row r="108" ht="26" customHeight="1">
      <x:c r="A108" s="1"/>
      <x:c r="B108" s="1"/>
      <x:c r="C108" s="9" t="str">
        <x:f>IF(Facilities!C108="","",Facilities!C108)</x:f>
      </x:c>
      <x:c r="D108" s="9" t="str">
        <x:f>IF(C108="","",INDEX('Facilities'!$D$9:$D$108,MATCH(C108,'Facilities'!$C$9:$C$108,0)))</x:f>
      </x:c>
      <x:c r="E108" s="9" t="str">
        <x:f>IF(C108="","",INDEX('Facilities'!$AD$9:$AD$108,MATCH(C108,'Facilities'!$C$9:$C$108,0)))</x:f>
      </x:c>
      <x:c r="F108" s="23" t="str">
        <x:f>IF(C108="","",INDEX('Facilities'!$AA$9:$AA$108,MATCH(C108,'Facilities'!$C$9:$C$108,0)))</x:f>
      </x:c>
      <x:c r="G108" s="23" t="str">
        <x:f>IF(C108="","",INDEX('Facilities'!$AB$9:$AB$108,MATCH(C108,'Facilities'!$C$9:$C$108,0)))</x:f>
      </x:c>
      <x:c r="H108" s="42" t="str">
        <x:f>IF(C108="","",INDEX('Facilities'!$J$9:$J$108,MATCH(C108,'Facilities'!$C$9:$C$108,0)))</x:f>
      </x:c>
      <x:c r="I108" s="30" t="str">
        <x:f>IF(C108="","",INDEX('Facilities'!$K$9:$K$108,MATCH(C108,'Facilities'!$C$9:$C$108,0)))</x:f>
      </x:c>
      <x:c r="J108" s="30" t="str">
        <x:f>IF(C108="","",INDEX('Borrowers'!$P$9:$P$108,MATCH(D108,'Borrowers'!$C$9:$C$108,0)))</x:f>
      </x:c>
      <x:c r="K108" s="30" t="str">
        <x:f>IF(C108="","",INDEX('Borrowers'!$Q$9:$Q$108,MATCH(D108,'Borrowers'!$C$9:$C$108,0)))</x:f>
      </x:c>
      <x:c r="L108" s="30" t="str">
        <x:f>IF(C108="","",INDEX('Facilities'!$R$9:$R$108,MATCH(C108,'Facilities'!$C$9:$C$108,0)))</x:f>
      </x:c>
      <x:c r="M108" s="42" t="str">
        <x:f>IF(C108="","",INDEX('Facilities'!$AK$9:$AK$108,MATCH(C108,'Facilities'!$C$9:$C$108,0)))</x:f>
      </x:c>
      <x:c r="N108" s="30" t="str">
        <x:f>IF(C108="","",INDEX('Facilities'!$AL$9:$AL$108,MATCH(C108,'Facilities'!$C$9:$C$108,0)))</x:f>
      </x:c>
      <x:c r="O108" s="23" t="str">
        <x:f>IF(C108="","",IF(AND(INDEX('Facilities'!$AF$9:$AF$108,MATCH(C108,'Facilities'!$C$9:$C$108,0))="Ready",Settings!$F$36="Ready"),"Ready","Review ECL inputs"))</x:f>
      </x:c>
      <x:c r="P108" s="30" t="str">
        <x:f>IF(C108="","",MIN(1,J108*Settings!$G$32))</x:f>
      </x:c>
      <x:c r="Q108" s="30" t="str">
        <x:f>IF(C108="","",MIN(1,J108*Settings!$G$33))</x:f>
      </x:c>
      <x:c r="R108" s="30" t="str">
        <x:f>IF(C108="","",MIN(1,J108*Settings!$G$34))</x:f>
      </x:c>
      <x:c r="S108" s="30" t="str">
        <x:f>IF(C108="","",MIN(1,K108*Settings!$H$32))</x:f>
      </x:c>
      <x:c r="T108" s="30" t="str">
        <x:f>IF(C108="","",MIN(1,K108*Settings!$H$33))</x:f>
      </x:c>
      <x:c r="U108" s="30" t="str">
        <x:f>IF(C108="","",MIN(1,K108*Settings!$H$34))</x:f>
      </x:c>
      <x:c r="V108" s="23" t="str">
        <x:f>IF(C108="","",IF(O108&lt;&gt;"Ready","Unavailable",IF(E108=3,F108*(1-MAX(0,1-(1-N108)*Settings!$H$32)/(1+I108)^M108),F108*(1-(1-S108)/(1+I108)^M108)*P108/(1+I108)*IF(ABS(1-(1-P108)*(1-L108)/(1+I108))&lt;0.000000001,AF108,(1-((1-P108)*(1-L108)/(1+I108))^AF108)/(1-(1-P108)*(1-L108)/(1+I108))))))</x:f>
      </x:c>
      <x:c r="W108" s="23" t="str">
        <x:f>IF(C108="","",IF(O108&lt;&gt;"Ready","Unavailable",IF(E108=3,F108*(1-MAX(0,1-(1-N108)*Settings!$H$33)/(1+I108)^M108),F108*(1-(1-T108)/(1+I108)^M108)*Q108/(1+I108)*IF(ABS(1-(1-Q108)*(1-L108)/(1+I108))&lt;0.000000001,AF108,(1-((1-Q108)*(1-L108)/(1+I108))^AF108)/(1-(1-Q108)*(1-L108)/(1+I108))))))</x:f>
      </x:c>
      <x:c r="X108" s="23" t="str">
        <x:f>IF(C108="","",IF(O108&lt;&gt;"Ready","Unavailable",IF(E108=3,F108*(1-MAX(0,1-(1-N108)*Settings!$H$34)/(1+I108)^M108),F108*(1-(1-U108)/(1+I108)^M108)*R108/(1+I108)*IF(ABS(1-(1-R108)*(1-L108)/(1+I108))&lt;0.000000001,AF108,(1-((1-R108)*(1-L108)/(1+I108))^AF108)/(1-(1-R108)*(1-L108)/(1+I108))))))</x:f>
      </x:c>
      <x:c r="Y108" s="23" t="str">
        <x:f>IF(C108="","",IF(O108&lt;&gt;"Ready","Unavailable",IF(E108=3,G108*INDEX('Facilities'!$I$9:$I$108,MATCH(C108,'Facilities'!$C$9:$C$108,0))*(1-MAX(0,1-(1-N108)*Settings!$H$32)/(1+I108)^M108),G108*INDEX('Facilities'!$I$9:$I$108,MATCH(C108,'Facilities'!$C$9:$C$108,0))*(1-(1-S108)/(1+I108)^M108)*P108/(1+I108)*IF(ABS(1-(1-P108)*(1-0)/(1+I108))&lt;0.000000001,AF108,(1-((1-P108)*(1-0)/(1+I108))^AF108)/(1-(1-P108)*(1-0)/(1+I108))))))</x:f>
      </x:c>
      <x:c r="Z108" s="23" t="str">
        <x:f>IF(C108="","",IF(O108&lt;&gt;"Ready","Unavailable",IF(E108=3,G108*INDEX('Facilities'!$I$9:$I$108,MATCH(C108,'Facilities'!$C$9:$C$108,0))*(1-MAX(0,1-(1-N108)*Settings!$H$33)/(1+I108)^M108),G108*INDEX('Facilities'!$I$9:$I$108,MATCH(C108,'Facilities'!$C$9:$C$108,0))*(1-(1-T108)/(1+I108)^M108)*Q108/(1+I108)*IF(ABS(1-(1-Q108)*(1-0)/(1+I108))&lt;0.000000001,AF108,(1-((1-Q108)*(1-0)/(1+I108))^AF108)/(1-(1-Q108)*(1-0)/(1+I108))))))</x:f>
      </x:c>
      <x:c r="AA108" s="23" t="str">
        <x:f>IF(C108="","",IF(O108&lt;&gt;"Ready","Unavailable",IF(E108=3,G108*INDEX('Facilities'!$I$9:$I$108,MATCH(C108,'Facilities'!$C$9:$C$108,0))*(1-MAX(0,1-(1-N108)*Settings!$H$34)/(1+I108)^M108),G108*INDEX('Facilities'!$I$9:$I$108,MATCH(C108,'Facilities'!$C$9:$C$108,0))*(1-(1-U108)/(1+I108)^M108)*R108/(1+I108)*IF(ABS(1-(1-R108)*(1-0)/(1+I108))&lt;0.000000001,AF108,(1-((1-R108)*(1-0)/(1+I108))^AF108)/(1-(1-R108)*(1-0)/(1+I108))))))</x:f>
      </x:c>
      <x:c r="AB108" s="23" t="str">
        <x:f>IF(C108="","",IF(O108&lt;&gt;"Ready","Unavailable",V108*Settings!$F$32+W108*Settings!$F$33+X108*Settings!$F$34))</x:f>
      </x:c>
      <x:c r="AC108" s="23" t="str">
        <x:f>IF(C108="","",IF(O108&lt;&gt;"Ready","Unavailable",Y108*Settings!$F$32+Z108*Settings!$F$33+AA108*Settings!$F$34))</x:f>
      </x:c>
      <x:c r="AD108" s="21" t="str">
        <x:f>IF(C108="","",IF(O108&lt;&gt;"Ready","Unavailable",AB108+AC108))</x:f>
      </x:c>
      <x:c r="AE108" s="17" t="str">
        <x:f>IF(C108="","",IF(OR(O108&lt;&gt;"Ready",F108=0),"Unavailable",AB108/F108))</x:f>
      </x:c>
      <x:c r="AF108" s="44" t="str">
        <x:f>IF(C108="","",IF(E108=1,1,H108))</x:f>
      </x:c>
    </x:row>
    <x:row r="109" ht="26" customHeight="1">
      <x:c r="A109" s="1"/>
      <x:c r="B109" s="1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  <x:c r="M109" s="3"/>
      <x:c r="N109" s="3"/>
      <x:c r="O109" s="3"/>
      <x:c r="P109" s="3"/>
      <x:c r="Q109" s="3"/>
      <x:c r="R109" s="3"/>
      <x:c r="S109" s="3"/>
      <x:c r="T109" s="3"/>
      <x:c r="U109" s="3"/>
      <x:c r="V109" s="3"/>
      <x:c r="W109" s="3"/>
      <x:c r="X109" s="3"/>
      <x:c r="Y109" s="3"/>
      <x:c r="Z109" s="3"/>
      <x:c r="AA109" s="3"/>
      <x:c r="AB109" s="3"/>
      <x:c r="AC109" s="3"/>
      <x:c r="AD109" s="3"/>
      <x:c r="AE109" s="3"/>
      <x:c r="AF109" s="3"/>
    </x:row>
    <x:row r="110" ht="26" customHeight="1">
      <x:c r="A110" s="1"/>
      <x:c r="B110" s="1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  <x:c r="M110" s="3"/>
      <x:c r="N110" s="3"/>
      <x:c r="O110" s="3"/>
      <x:c r="P110" s="3"/>
      <x:c r="Q110" s="3"/>
      <x:c r="R110" s="3"/>
      <x:c r="S110" s="3"/>
      <x:c r="T110" s="3"/>
      <x:c r="U110" s="3"/>
      <x:c r="V110" s="3"/>
      <x:c r="W110" s="3"/>
      <x:c r="X110" s="3"/>
      <x:c r="Y110" s="3"/>
      <x:c r="Z110" s="3"/>
      <x:c r="AA110" s="3"/>
      <x:c r="AB110" s="3"/>
      <x:c r="AC110" s="3"/>
      <x:c r="AD110" s="3"/>
      <x:c r="AE110" s="3"/>
      <x:c r="AF110" s="3"/>
    </x:row>
    <x:row r="111" ht="26" customHeight="1">
      <x:c r="A111" s="1"/>
      <x:c r="B111" s="1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  <x:c r="M111" s="3"/>
      <x:c r="N111" s="3"/>
      <x:c r="O111" s="3"/>
      <x:c r="P111" s="3"/>
      <x:c r="Q111" s="3"/>
      <x:c r="R111" s="3"/>
      <x:c r="S111" s="3"/>
      <x:c r="T111" s="3"/>
      <x:c r="U111" s="3"/>
      <x:c r="V111" s="3"/>
      <x:c r="W111" s="3"/>
      <x:c r="X111" s="3"/>
      <x:c r="Y111" s="3"/>
      <x:c r="Z111" s="3"/>
      <x:c r="AA111" s="3"/>
      <x:c r="AB111" s="3"/>
      <x:c r="AC111" s="3"/>
      <x:c r="AD111" s="3"/>
      <x:c r="AE111" s="3"/>
      <x:c r="AF111" s="3"/>
    </x:row>
    <x:row r="112" ht="26" customHeight="1">
      <x:c r="A112" s="1"/>
      <x:c r="B112" s="1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  <x:c r="M112" s="3"/>
      <x:c r="N112" s="3"/>
      <x:c r="O112" s="3"/>
      <x:c r="P112" s="3"/>
      <x:c r="Q112" s="3"/>
      <x:c r="R112" s="3"/>
      <x:c r="S112" s="3"/>
      <x:c r="T112" s="3"/>
      <x:c r="U112" s="3"/>
      <x:c r="V112" s="3"/>
      <x:c r="W112" s="3"/>
      <x:c r="X112" s="3"/>
      <x:c r="Y112" s="3"/>
      <x:c r="Z112" s="3"/>
      <x:c r="AA112" s="3"/>
      <x:c r="AB112" s="3"/>
      <x:c r="AC112" s="3"/>
      <x:c r="AD112" s="3"/>
      <x:c r="AE112" s="3"/>
      <x:c r="AF112" s="3"/>
    </x:row>
    <x:row r="113" ht="26" customHeight="1">
      <x:c r="A113" s="1"/>
      <x:c r="B113" s="1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  <x:c r="M113" s="3"/>
      <x:c r="N113" s="3"/>
      <x:c r="O113" s="3"/>
      <x:c r="P113" s="3"/>
      <x:c r="Q113" s="3"/>
      <x:c r="R113" s="3"/>
      <x:c r="S113" s="3"/>
      <x:c r="T113" s="3"/>
      <x:c r="U113" s="3"/>
      <x:c r="V113" s="3"/>
      <x:c r="W113" s="3"/>
      <x:c r="X113" s="3"/>
      <x:c r="Y113" s="3"/>
      <x:c r="Z113" s="3"/>
      <x:c r="AA113" s="3"/>
      <x:c r="AB113" s="3"/>
      <x:c r="AC113" s="3"/>
      <x:c r="AD113" s="3"/>
      <x:c r="AE113" s="3"/>
      <x:c r="AF113" s="3"/>
    </x:row>
  </x:sheetData>
  <x:mergeCells>
    <x:mergeCell ref="C2:H2"/>
    <x:mergeCell ref="C3:M3"/>
    <x:mergeCell ref="C7:F7"/>
    <x:mergeCell ref="G7:J7"/>
    <x:mergeCell ref="K7:N7"/>
    <x:mergeCell ref="C1:D1"/>
    <x:mergeCell ref="E1:F1"/>
    <x:mergeCell ref="G1:H1"/>
    <x:mergeCell ref="I1:J1"/>
    <x:mergeCell ref="K1:L1"/>
    <x:mergeCell ref="M1:N1"/>
  </x:mergeCells>
  <x:conditionalFormatting sqref="O9:O108">
    <x:cfRule type="containsText" dxfId="96" priority="1" operator="containsText" text="Missing"/>
    <x:cfRule type="containsText" dxfId="97" priority="2" operator="containsText" text="Required"/>
    <x:cfRule type="containsText" dxfId="98" priority="3" operator="containsText" text="required"/>
    <x:cfRule type="containsText" dxfId="99" priority="4" operator="containsText" text="Expired"/>
    <x:cfRule type="containsText" dxfId="100" priority="5" operator="containsText" text="Hold"/>
    <x:cfRule type="containsText" dxfId="101" priority="6" operator="containsText" text="Review"/>
    <x:cfRule type="containsText" dxfId="102" priority="7" operator="containsText" text="Incomplete"/>
    <x:cfRule type="containsText" dxfId="103" priority="8" operator="containsText" text="Pending"/>
    <x:cfRule type="containsText" dxfId="104" priority="9" operator="containsText" text="Unsupported"/>
    <x:cfRule type="containsText" dxfId="105" priority="10" operator="containsText" text="Criteria"/>
    <x:cfRule type="containsText" dxfId="106" priority="11" operator="containsText" text="Fail"/>
    <x:cfRule type="containsText" dxfId="107" priority="12" operator="containsText" text="Stop"/>
    <x:cfRule type="containsText" dxfId="108" priority="13" operator="containsText" text="Breach"/>
    <x:cfRule type="containsText" dxfId="109" priority="14" operator="containsText" text="Invalid"/>
    <x:cfRule type="containsText" dxfId="110" priority="15" operator="containsText" text="Duplicate"/>
    <x:cfRule type="containsText" dxfId="111" priority="16" operator="containsText" text="Not aligned"/>
  </x:conditionalFormatting>
  <x:hyperlinks>
    <x:hyperlink ref="C7" location="'Settings'!F32" display="Case probabilities" tooltip="Open Settings"/>
    <x:hyperlink ref="G7" location="'ECL'!AB8" display="Weighted ECL" tooltip="Open ECL"/>
    <x:hyperlink ref="K7" location="'Borrowers'!P8" display="Credit assumptions" tooltip="Open Borrowers"/>
    <x:hyperlink ref="C1" location="'Overview'!C2" display="Home" tooltip="Open Overview"/>
    <x:hyperlink ref="E1" location="'Customer'!C2" display="Customer" tooltip="Open Customer"/>
    <x:hyperlink ref="G1" location="'Capital'!C2" display="Capital" tooltip="Open Capital"/>
    <x:hyperlink ref="I1" location="'Disclosures'!C2" display="Reporting" tooltip="Open Disclosures"/>
    <x:hyperlink ref="K1" location="'Borrowers'!C8" display="Inputs" tooltip="Open Borrowers"/>
    <x:hyperlink ref="M1" location="'Settings'!C5" display="Settings" tooltip="Open Settings"/>
  </x:hyperlinks>
  <x:pageMargins left="0.7" right="0.7" top="0.75" bottom="0.75" header="0.3" footer="0.3"/>
  <x:tableParts count="1">
    <x:tablePart xmlns:r="http://schemas.openxmlformats.org/officeDocument/2006/relationships" r:id="R383b5845760f4df4"/>
  </x:tableParts>
</x:worksheet>
</file>

<file path=xl/worksheets/sheet10.xml><?xml version="1.0" encoding="utf-8"?>
<x:worksheet xmlns:x="http://schemas.openxmlformats.org/spreadsheetml/2006/main">
  <x:sheetPr>
    <x:tabColor rgb="FF007F86"/>
  </x:sheetPr>
  <x:sheetViews>
    <x:sheetView showGridLines="0" workbookViewId="0">
      <x:pane xSplit="4" ySplit="8" topLeftCell="E9" activePane="bottomRight" state="frozen"/>
    </x:sheetView>
  </x:sheetViews>
  <x:sheetFormatPr defaultRowHeight="15"/>
  <x:cols>
    <x:col min="1" max="1" width="2.4000000953674316" hidden="0" customWidth="1"/>
    <x:col min="2" max="2" width="2.4000000953674316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  <x:col min="29" max="29" width="17" hidden="0" customWidth="1"/>
    <x:col min="30" max="30" width="17" hidden="0" customWidth="1"/>
    <x:col min="31" max="31" width="17" hidden="0" customWidth="1"/>
    <x:col min="32" max="32" width="17" hidden="0" customWidth="1"/>
    <x:col min="33" max="33" width="17" hidden="0" customWidth="1"/>
    <x:col min="34" max="34" width="17" hidden="0" customWidth="1"/>
    <x:col min="35" max="35" width="17" hidden="0" customWidth="1"/>
    <x:col min="36" max="36" width="17" hidden="0" customWidth="1"/>
    <x:col min="37" max="37" width="17" hidden="0" customWidth="1"/>
    <x:col min="38" max="38" width="17" hidden="0" customWidth="1"/>
    <x:col min="39" max="39" width="17" hidden="0" customWidth="1"/>
    <x:col min="40" max="40" width="17" hidden="0" customWidth="1"/>
    <x:col min="41" max="41" width="17" hidden="0" customWidth="1"/>
    <x:col min="42" max="42" width="17" hidden="0" customWidth="1"/>
    <x:col min="43" max="43" width="17" hidden="0" customWidth="1"/>
    <x:col min="44" max="44" width="17" hidden="0" customWidth="1"/>
  </x:cols>
  <x:sheetData>
    <x:row r="1" ht="27" customHeight="1">
      <x:c r="A1" s="1"/>
      <x:c r="B1" s="1"/>
      <x:c r="C1" s="50" t="str">
        <x:v>Home</x:v>
      </x:c>
      <x:c r="D1" s="50"/>
      <x:c r="E1" s="63" t="str">
        <x:v>Customer</x:v>
      </x:c>
      <x:c r="F1" s="63"/>
      <x:c r="G1" s="63" t="str">
        <x:v>Capital</x:v>
      </x:c>
      <x:c r="H1" s="63"/>
      <x:c r="I1" s="63" t="str">
        <x:v>Reporting</x:v>
      </x:c>
      <x:c r="J1" s="63"/>
      <x:c r="K1" s="63" t="str">
        <x:v>Inputs</x:v>
      </x:c>
      <x:c r="L1" s="63"/>
      <x:c r="M1" s="63" t="str">
        <x:v>Settings</x:v>
      </x:c>
      <x:c r="N1" s="6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  <x:c r="AK1" s="3"/>
      <x:c r="AL1" s="3"/>
      <x:c r="AM1" s="3"/>
      <x:c r="AN1" s="3"/>
      <x:c r="AO1" s="3"/>
      <x:c r="AP1" s="3"/>
      <x:c r="AQ1" s="3"/>
      <x:c r="AR1" s="3"/>
    </x:row>
    <x:row r="2" ht="45" customHeight="1">
      <x:c r="A2" s="1"/>
      <x:c r="B2" s="1"/>
      <x:c r="C2" s="5" t="str">
        <x:v>Facility stress forecast</x:v>
      </x:c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  <x:c r="Y2" s="5"/>
      <x:c r="Z2" s="5"/>
      <x:c r="AA2" s="5"/>
      <x:c r="AB2" s="5"/>
      <x:c r="AC2" s="5"/>
      <x:c r="AD2" s="5"/>
      <x:c r="AE2" s="5"/>
      <x:c r="AF2" s="5"/>
      <x:c r="AG2" s="5"/>
      <x:c r="AH2" s="5"/>
      <x:c r="AI2" s="5"/>
      <x:c r="AJ2" s="5"/>
      <x:c r="AK2" s="5"/>
      <x:c r="AL2" s="5"/>
      <x:c r="AM2" s="5"/>
      <x:c r="AN2" s="5"/>
      <x:c r="AO2" s="5"/>
      <x:c r="AP2" s="5"/>
      <x:c r="AQ2" s="5"/>
      <x:c r="AR2" s="5"/>
    </x:row>
    <x:row r="3" ht="32" customHeight="1">
      <x:c r="A3" s="1"/>
      <x:c r="B3" s="1"/>
      <x:c r="C3" s="6" t="str">
        <x:v>Year-end defaults before principal collection. No new originations. Defaulted contracts stop gross accrual; recovery discount unwinds through interest.</x:v>
      </x:c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  <x:c r="AA3" s="3"/>
      <x:c r="AB3" s="3"/>
      <x:c r="AC3" s="3"/>
      <x:c r="AD3" s="3"/>
      <x:c r="AE3" s="3"/>
      <x:c r="AF3" s="3"/>
      <x:c r="AG3" s="3"/>
      <x:c r="AH3" s="3"/>
      <x:c r="AI3" s="3"/>
      <x:c r="AJ3" s="3"/>
      <x:c r="AK3" s="3"/>
      <x:c r="AL3" s="3"/>
      <x:c r="AM3" s="3"/>
      <x:c r="AN3" s="3"/>
      <x:c r="AO3" s="3"/>
      <x:c r="AP3" s="3"/>
      <x:c r="AQ3" s="3"/>
      <x:c r="AR3" s="3"/>
    </x:row>
    <x:row r="4" ht="26" customHeight="1">
      <x:c r="A4" s="1"/>
      <x:c r="B4" s="1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  <x:c r="Y4" s="3"/>
      <x:c r="Z4" s="3"/>
      <x:c r="AA4" s="3"/>
      <x:c r="AB4" s="3"/>
      <x:c r="AC4" s="3"/>
      <x:c r="AD4" s="3"/>
      <x:c r="AE4" s="3"/>
      <x:c r="AF4" s="3"/>
      <x:c r="AG4" s="3"/>
      <x:c r="AH4" s="3"/>
      <x:c r="AI4" s="3"/>
      <x:c r="AJ4" s="3"/>
      <x:c r="AK4" s="3"/>
      <x:c r="AL4" s="3"/>
      <x:c r="AM4" s="3"/>
      <x:c r="AN4" s="3"/>
      <x:c r="AO4" s="3"/>
      <x:c r="AP4" s="3"/>
      <x:c r="AQ4" s="3"/>
      <x:c r="AR4" s="3"/>
    </x:row>
    <x:row r="5" ht="26" customHeight="1">
      <x:c r="A5" s="1"/>
      <x:c r="B5" s="1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  <x:c r="X5" s="3"/>
      <x:c r="Y5" s="3"/>
      <x:c r="Z5" s="3"/>
      <x:c r="AA5" s="3"/>
      <x:c r="AB5" s="3"/>
      <x:c r="AC5" s="3"/>
      <x:c r="AD5" s="3"/>
      <x:c r="AE5" s="3"/>
      <x:c r="AF5" s="3"/>
      <x:c r="AG5" s="3"/>
      <x:c r="AH5" s="3"/>
      <x:c r="AI5" s="3"/>
      <x:c r="AJ5" s="3"/>
      <x:c r="AK5" s="3"/>
      <x:c r="AL5" s="3"/>
      <x:c r="AM5" s="3"/>
      <x:c r="AN5" s="3"/>
      <x:c r="AO5" s="3"/>
      <x:c r="AP5" s="3"/>
      <x:c r="AQ5" s="3"/>
      <x:c r="AR5" s="3"/>
    </x:row>
    <x:row r="6" ht="26" customHeight="1">
      <x:c r="A6" s="1"/>
      <x:c r="B6" s="1"/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  <x:c r="O6" s="3"/>
      <x:c r="P6" s="3"/>
      <x:c r="Q6" s="3"/>
      <x:c r="R6" s="3"/>
      <x:c r="S6" s="3"/>
      <x:c r="T6" s="3"/>
      <x:c r="U6" s="3"/>
      <x:c r="V6" s="3"/>
      <x:c r="W6" s="3"/>
      <x:c r="X6" s="3"/>
      <x:c r="Y6" s="3"/>
      <x:c r="Z6" s="3"/>
      <x:c r="AA6" s="3"/>
      <x:c r="AB6" s="3"/>
      <x:c r="AC6" s="3"/>
      <x:c r="AD6" s="3"/>
      <x:c r="AE6" s="3"/>
      <x:c r="AF6" s="3"/>
      <x:c r="AG6" s="3"/>
      <x:c r="AH6" s="3"/>
      <x:c r="AI6" s="3"/>
      <x:c r="AJ6" s="3"/>
      <x:c r="AK6" s="3"/>
      <x:c r="AL6" s="3"/>
      <x:c r="AM6" s="3"/>
      <x:c r="AN6" s="3"/>
      <x:c r="AO6" s="3"/>
      <x:c r="AP6" s="3"/>
      <x:c r="AQ6" s="3"/>
      <x:c r="AR6" s="3"/>
    </x:row>
    <x:row r="7" ht="26" customHeight="1">
      <x:c r="A7" s="1"/>
      <x:c r="B7" s="1"/>
      <x:c r="C7" s="50" t="str">
        <x:v>Loan balances</x:v>
      </x:c>
      <x:c r="D7" s="50"/>
      <x:c r="E7" s="50"/>
      <x:c r="F7" s="50"/>
      <x:c r="G7" s="63" t="str">
        <x:v>Allowances and charge</x:v>
      </x:c>
      <x:c r="H7" s="63"/>
      <x:c r="I7" s="63"/>
      <x:c r="J7" s="63"/>
      <x:c r="K7" s="63" t="str">
        <x:v>RWA and reconciliation</x:v>
      </x:c>
      <x:c r="L7" s="63"/>
      <x:c r="M7" s="63"/>
      <x:c r="N7" s="63"/>
      <x:c r="O7" s="3"/>
      <x:c r="P7" s="3"/>
      <x:c r="Q7" s="3"/>
      <x:c r="R7" s="3"/>
      <x:c r="S7" s="3"/>
      <x:c r="T7" s="3"/>
      <x:c r="U7" s="3"/>
      <x:c r="V7" s="3"/>
      <x:c r="W7" s="3"/>
      <x:c r="X7" s="3"/>
      <x:c r="Y7" s="3"/>
      <x:c r="Z7" s="3"/>
      <x:c r="AA7" s="3"/>
      <x:c r="AB7" s="3"/>
      <x:c r="AC7" s="3"/>
      <x:c r="AD7" s="3"/>
      <x:c r="AE7" s="3"/>
      <x:c r="AF7" s="3"/>
      <x:c r="AG7" s="3"/>
      <x:c r="AH7" s="3"/>
      <x:c r="AI7" s="3"/>
      <x:c r="AJ7" s="3"/>
      <x:c r="AK7" s="3"/>
      <x:c r="AL7" s="3"/>
      <x:c r="AM7" s="3"/>
      <x:c r="AN7" s="3"/>
      <x:c r="AO7" s="3"/>
      <x:c r="AP7" s="3"/>
      <x:c r="AQ7" s="3"/>
      <x:c r="AR7" s="3"/>
    </x:row>
    <x:row r="8" ht="46" customHeight="1">
      <x:c r="A8" s="1"/>
      <x:c r="B8" s="1"/>
      <x:c r="C8" s="15" t="str">
        <x:v>Facility ID</x:v>
      </x:c>
      <x:c r="D8" s="15" t="str">
        <x:v>Year index</x:v>
      </x:c>
      <x:c r="E8" s="15" t="str">
        <x:v>Year</x:v>
      </x:c>
      <x:c r="F8" s="15" t="str">
        <x:v>Borrower ID</x:v>
      </x:c>
      <x:c r="G8" s="15" t="str">
        <x:v>Opening performing</x:v>
      </x:c>
      <x:c r="H8" s="15" t="str">
        <x:v>Opening defaulted</x:v>
      </x:c>
      <x:c r="I8" s="15" t="str">
        <x:v>Opening undrawn</x:v>
      </x:c>
      <x:c r="J8" s="15" t="str">
        <x:v>Drawings</x:v>
      </x:c>
      <x:c r="K8" s="15" t="str">
        <x:v>Repayments</x:v>
      </x:c>
      <x:c r="L8" s="15" t="str">
        <x:v>Transfer to default</x:v>
      </x:c>
      <x:c r="M8" s="15" t="str">
        <x:v>Cash recoveries</x:v>
      </x:c>
      <x:c r="N8" s="15" t="str">
        <x:v>Write-offs</x:v>
      </x:c>
      <x:c r="O8" s="15" t="str">
        <x:v>Closing performing</x:v>
      </x:c>
      <x:c r="P8" s="15" t="str">
        <x:v>Closing defaulted</x:v>
      </x:c>
      <x:c r="Q8" s="15" t="str">
        <x:v>Closing undrawn</x:v>
      </x:c>
      <x:c r="R8" s="15" t="str">
        <x:v>Conditional PD</x:v>
      </x:c>
      <x:c r="S8" s="15" t="str">
        <x:v>Conditional LGD</x:v>
      </x:c>
      <x:c r="T8" s="15" t="str">
        <x:v>Stage at horizon</x:v>
      </x:c>
      <x:c r="U8" s="15" t="str">
        <x:v>Closing drawn allowance</x:v>
      </x:c>
      <x:c r="V8" s="15" t="str">
        <x:v>Closing undrawn provision</x:v>
      </x:c>
      <x:c r="W8" s="15" t="str">
        <x:v>Opening drawn allowance</x:v>
      </x:c>
      <x:c r="X8" s="15" t="str">
        <x:v>Opening undrawn provision</x:v>
      </x:c>
      <x:c r="Y8" s="15" t="str">
        <x:v>Credit charge</x:v>
      </x:c>
      <x:c r="Z8" s="15" t="str">
        <x:v>Interest income</x:v>
      </x:c>
      <x:c r="AA8" s="15" t="str">
        <x:v>Credit RWA</x:v>
      </x:c>
      <x:c r="AB8" s="15" t="str">
        <x:v>Gross loan change</x:v>
      </x:c>
      <x:c r="AC8" s="15" t="str">
        <x:v>Forecast default year</x:v>
      </x:c>
      <x:c r="AD8" s="15" t="str">
        <x:v>Opening total gross</x:v>
      </x:c>
      <x:c r="AE8" s="15" t="str">
        <x:v>Gross reconciliation</x:v>
      </x:c>
      <x:c r="AF8" s="15" t="str">
        <x:v>Stressed RW</x:v>
      </x:c>
      <x:c r="AG8" s="15" t="str">
        <x:v>Recovery discount unwind</x:v>
      </x:c>
      <x:c r="AH8" s="15" t="str">
        <x:v>Closing total gross</x:v>
      </x:c>
      <x:c r="AI8" s="15" t="str">
        <x:v>Net credit contribution</x:v>
      </x:c>
      <x:c r="AJ8" s="15" t="str">
        <x:v>Remaining life</x:v>
      </x:c>
      <x:c r="AK8" s="15" t="str">
        <x:v>Default opening allowance</x:v>
      </x:c>
      <x:c r="AL8" s="15" t="str">
        <x:v>Default closing allowance</x:v>
      </x:c>
      <x:c r="AM8" s="15" t="str">
        <x:v>Recovery fraction</x:v>
      </x:c>
      <x:c r="AN8" s="15" t="str">
        <x:v>Physical loss share</x:v>
      </x:c>
      <x:c r="AO8" s="15" t="str">
        <x:v>Forecast EAD</x:v>
      </x:c>
      <x:c r="AP8" s="15" t="str">
        <x:v>Net loans</x:v>
      </x:c>
      <x:c r="AQ8" s="15" t="str">
        <x:v>Input status</x:v>
      </x:c>
      <x:c r="AR8" s="15" t="str">
        <x:v>30-day collection proxy</x:v>
      </x:c>
    </x:row>
    <x:row r="9" ht="26" customHeight="1">
      <x:c r="A9" s="1"/>
      <x:c r="B9" s="1"/>
      <x:c r="C9" s="9" t="str">
        <x:f>IF(Facilities!C9="","",Facilities!C9)</x:f>
        <x:v>F001</x:v>
      </x:c>
      <x:c r="D9" s="3" t="n">
        <x:v>1</x:v>
      </x:c>
      <x:c r="E9" s="9" t="n">
        <x:f>Settings!$F$18+0</x:f>
        <x:v>2027</x:v>
      </x:c>
      <x:c r="F9" s="9" t="str">
        <x:f>IF(C9="","",IFERROR(INDEX('Facilities'!$D$9:$D$108,MATCH(C9,'Facilities'!$C$9:$C$108,0)),"Unavailable"))</x:f>
        <x:v>B001</x:v>
      </x:c>
      <x:c r="G9" s="23" t="n">
        <x:f>IF(C9="","",IFERROR(IF(INDEX('Facilities'!$AD$9:$AD$108,MATCH(C9,'Facilities'!$C$9:$C$108,0))=3,0,INDEX('Facilities'!$AA$9:$AA$108,MATCH(C9,'Facilities'!$C$9:$C$108,0))),"Unavailable"))</x:f>
        <x:v>5</x:v>
      </x:c>
      <x:c r="H9" s="23" t="n">
        <x:f>IF(C9="","",IFERROR(IF(INDEX('Facilities'!$AD$9:$AD$108,MATCH(C9,'Facilities'!$C$9:$C$108,0))=3,INDEX('Facilities'!$AA$9:$AA$108,MATCH(C9,'Facilities'!$C$9:$C$108,0)),0),"Unavailable"))</x:f>
        <x:v>0</x:v>
      </x:c>
      <x:c r="I9" s="23" t="n">
        <x:f>IF(C9="","",IFERROR(INDEX('Facilities'!$AB$9:$AB$108,MATCH(C9,'Facilities'!$C$9:$C$108,0)),"Unavailable"))</x:f>
        <x:v>1.5</x:v>
      </x:c>
      <x:c r="J9" s="23" t="n">
        <x:f>IF(C9="","",IFERROR(IF(OR(H9&gt;0,AND(AC9&gt;=0,AC9&lt;D9),D9&gt;INDEX('Facilities'!$J$9:$J$108,MATCH(C9,'Facilities'!$C$9:$C$108,0))),0,I9*'Scenario Paths'!F81),"Unavailable"))</x:f>
        <x:v>0.07500000000000001</x:v>
      </x:c>
      <x:c r="K9" s="23" t="n">
        <x:f>IF(C9="","",IFERROR(IF(OR(H9&gt;0,AND(AC9&gt;=0,AC9=D9)),0,IF(D9&gt;=INDEX('Facilities'!$J$9:$J$108,MATCH(C9,'Facilities'!$C$9:$C$108,0)),G9+J9,MIN(G9+J9,G9*INDEX('Facilities'!$R$9:$R$108,MATCH(C9,'Facilities'!$C$9:$C$108,0))))),"Unavailable"))</x:f>
        <x:v>0.6</x:v>
      </x:c>
      <x:c r="L9" s="21" t="n">
        <x:f>IF(C9="","",IFERROR(IF(AND(AC9=D9,AC9&gt;0),MAX(0,G9+J9-K9),0),"Unavailable"))</x:f>
        <x:v>0</x:v>
      </x:c>
      <x:c r="M9" s="23" t="n">
        <x:f>IF(C9="","",IFERROR(IF(AND(AC9&gt;=0,D9&gt;=AC9+INDEX('Facilities'!$AK$9:$AK$108,MATCH(C9,'Facilities'!$C$9:$C$108,0))),(H9+L9)*AM9,0),"Unavailable"))</x:f>
        <x:v>0</x:v>
      </x:c>
      <x:c r="N9" s="23" t="n">
        <x:f>IF(C9="","",IFERROR(IF(AND(AC9&gt;=0,D9&gt;=AC9+INDEX('Facilities'!$AK$9:$AK$108,MATCH(C9,'Facilities'!$C$9:$C$108,0))),H9+L9-M9,0),"Unavailable"))</x:f>
        <x:v>0</x:v>
      </x:c>
      <x:c r="O9" s="21" t="n">
        <x:f>IF(C9="","",IFERROR(MAX(0,G9+J9-K9-L9),"Unavailable"))</x:f>
        <x:v>4.4750000000000005</x:v>
      </x:c>
      <x:c r="P9" s="21" t="n">
        <x:f>IF(C9="","",IFERROR(MAX(0,H9+L9-M9-N9),"Unavailable"))</x:f>
        <x:v>0</x:v>
      </x:c>
      <x:c r="Q9" s="23" t="n">
        <x:f>IF(C9="","",IFERROR(IF(OR(D9&gt;=INDEX('Facilities'!$J$9:$J$108,MATCH(C9,'Facilities'!$C$9:$C$108,0)),AND(AC9&gt;=0,AC9&lt;=D9)),0,MAX(0,I9-J9)),"Unavailable"))</x:f>
        <x:v>1.425</x:v>
      </x:c>
      <x:c r="R9" s="30" t="n">
        <x:f>IF(C9="","",IFERROR(INDEX(Credit!$Q$9:$Q$108,MATCH(F9,Credit!$C$9:$C$108,0)),"Unavailable"))</x:f>
        <x:v>0.017083147338488053</x:v>
      </x:c>
      <x:c r="S9" s="30" t="n">
        <x:f>IF(C9="","",IFERROR(INDEX(Credit!$R$9:$R$108,MATCH(F9,Credit!$C$9:$C$108,0)),"Unavailable"))</x:f>
        <x:v>0.28020160000000005</x:v>
      </x:c>
      <x:c r="T9" s="23" t="n">
        <x:f>IF(C9="","",IFERROR(IF(P9&gt;0,3,IF(OR(INDEX('Facilities'!$AD$9:$AD$108,MATCH(C9,'Facilities'!$C$9:$C$108,0))=2,AND(R9&gt;=INDEX('Facilities'!$L$9:$L$108,MATCH(C9,'Facilities'!$C$9:$C$108,0))*Settings!$F$19,R9-INDEX('Facilities'!$L$9:$L$108,MATCH(C9,'Facilities'!$C$9:$C$108,0))&gt;=Settings!$F$20)),2,1)),"Unavailable"))</x:f>
        <x:v>2</x:v>
      </x:c>
      <x:c r="U9" s="23" t="n">
        <x:f>IF(C9="","",IF(AQ9&lt;&gt;"Ready","Unavailable",IF(C9="","",O9*(1-(1-S9)/(1+INDEX('Facilities'!$K$9:$K$108,MATCH(C9,'Facilities'!$C$9:$C$108,0)))^INDEX('Facilities'!$AK$9:$AK$108,MATCH(C9,'Facilities'!$C$9:$C$108,0)))*R9/(1+INDEX('Facilities'!$K$9:$K$108,MATCH(C9,'Facilities'!$C$9:$C$108,0)))*IF(ABS(1-(1-R9)*(1-INDEX('Facilities'!$R$9:$R$108,MATCH(C9,'Facilities'!$C$9:$C$108,0)))/(1+INDEX('Facilities'!$K$9:$K$108,MATCH(C9,'Facilities'!$C$9:$C$108,0))))&lt;0.000000001,IF(T9=1,MIN(1,AJ9),AJ9),(1-((1-R9)*(1-INDEX('Facilities'!$R$9:$R$108,MATCH(C9,'Facilities'!$C$9:$C$108,0)))/(1+INDEX('Facilities'!$K$9:$K$108,MATCH(C9,'Facilities'!$C$9:$C$108,0))))^IF(T9=1,MIN(1,AJ9),AJ9))/(1-(1-R9)*(1-INDEX('Facilities'!$R$9:$R$108,MATCH(C9,'Facilities'!$C$9:$C$108,0)))/(1+INDEX('Facilities'!$K$9:$K$108,MATCH(C9,'Facilities'!$C$9:$C$108,0)))))+AL9)))</x:f>
        <x:v>0.12428444732042254</x:v>
      </x:c>
      <x:c r="V9" s="23" t="n">
        <x:f>IF(C9="","",IF(AQ9&lt;&gt;"Ready","Unavailable",IF(C9="","",Q9*INDEX('Facilities'!$I$9:$I$108,MATCH(C9,'Facilities'!$C$9:$C$108,0))*(1-(1-S9)/(1+INDEX('Facilities'!$K$9:$K$108,MATCH(C9,'Facilities'!$C$9:$C$108,0)))^INDEX('Facilities'!$AK$9:$AK$108,MATCH(C9,'Facilities'!$C$9:$C$108,0)))*R9/(1+INDEX('Facilities'!$K$9:$K$108,MATCH(C9,'Facilities'!$C$9:$C$108,0)))*IF(ABS(1-(1-R9)*(1-0)/(1+INDEX('Facilities'!$K$9:$K$108,MATCH(C9,'Facilities'!$C$9:$C$108,0))))&lt;0.000000001,IF(T9=1,MIN(1,AJ9),AJ9),(1-((1-R9)*(1-0)/(1+INDEX('Facilities'!$K$9:$K$108,MATCH(C9,'Facilities'!$C$9:$C$108,0))))^IF(T9=1,MIN(1,AJ9),AJ9))/(1-(1-R9)*(1-0)/(1+INDEX('Facilities'!$K$9:$K$108,MATCH(C9,'Facilities'!$C$9:$C$108,0))))))))</x:f>
        <x:v>0.03097092754379989</x:v>
      </x:c>
      <x:c r="W9" s="23" t="n">
        <x:f>IF(C9="","",IFERROR(INDEX(ECL!$AB$9:$AB$108,MATCH(C9,ECL!$C$9:$C$108,0)),"Unavailable"))</x:f>
        <x:v>0.02686356881572931</x:v>
      </x:c>
      <x:c r="X9" s="23" t="n">
        <x:f>IF(C9="","",IFERROR(INDEX(ECL!$AC$9:$AC$108,MATCH(C9,ECL!$C$9:$C$108,0)),"Unavailable"))</x:f>
        <x:v>0.004029535322359398</x:v>
      </x:c>
      <x:c r="Y9" s="21" t="n">
        <x:f>IF(C9="","",IF(AQ9&lt;&gt;"Ready","Unavailable",IF(C9="","",U9-W9+V9-X9+N9+AG9)))</x:f>
        <x:v>0.12436227072613372</x:v>
      </x:c>
      <x:c r="Z9" s="23" t="n">
        <x:f>IF(C9="","",IF(AQ9&lt;&gt;"Ready","Unavailable",IF(C9="","",(G9+O9+L9)/2*INDEX('Facilities'!$T$9:$T$108,MATCH(C9,'Facilities'!$C$9:$C$108,0))+AG9)))</x:f>
        <x:v>0.4500625000000001</x:v>
      </x:c>
      <x:c r="AA9" s="23" t="n">
        <x:f>IF(C9="","",IF(AQ9&lt;&gt;"Ready","Unavailable",IF(C9="","",O9*(1-IF(INDEX('Facilities'!$AA$9:$AA$108,MATCH(C9,'Facilities'!$C$9:$C$108,0))=0,0,MIN(1,INDEX('Facilities'!$X$9:$X$108,MATCH(C9,'Facilities'!$C$9:$C$108,0))/INDEX('Facilities'!$AA$9:$AA$108,MATCH(C9,'Facilities'!$C$9:$C$108,0)))))*AF9+P9*(1-IF(INDEX('Facilities'!$AA$9:$AA$108,MATCH(C9,'Facilities'!$C$9:$C$108,0))=0,0,MIN(1,INDEX('Facilities'!$X$9:$X$108,MATCH(C9,'Facilities'!$C$9:$C$108,0))/INDEX('Facilities'!$AA$9:$AA$108,MATCH(C9,'Facilities'!$C$9:$C$108,0)))))*INDEX('Facilities'!$AJ$9:$AJ$108,MATCH(C9,'Facilities'!$C$9:$C$108,0))+Q9*INDEX('Facilities'!$AI$9:$AI$108,MATCH(C9,'Facilities'!$C$9:$C$108,0))*AF9)))</x:f>
        <x:v>5.260576560000001</x:v>
      </x:c>
      <x:c r="AB9" s="21" t="n">
        <x:f>IF(C9="","",O9+P9-AD9)</x:f>
        <x:v>-0.5249999999999995</x:v>
      </x:c>
      <x:c r="AC9" s="23" t="n">
        <x:f>IF(C9="","",IFERROR(IF(INDEX('Facilities'!$AD$9:$AD$108,MATCH(C9,'Facilities'!$C$9:$C$108,0))=3,0,IF(INDEX('Facilities'!$AN$9:$AN$108,MATCH(C9,'Facilities'!$C$9:$C$108,0))=0,-1,INDEX('Facilities'!$AN$9:$AN$108,MATCH(C9,'Facilities'!$C$9:$C$108,0)))),"Unavailable"))</x:f>
        <x:v>-1</x:v>
      </x:c>
      <x:c r="AD9" s="21" t="n">
        <x:f>IF(C9="","",IFERROR(G9+H9,"Unavailable"))</x:f>
        <x:v>5</x:v>
      </x:c>
      <x:c r="AE9" s="21" t="n">
        <x:f>IF(C9="","",IF(AQ9&lt;&gt;"Ready","Unavailable",IF(C9="","",O9+P9-AD9-J9+K9+M9+N9)))</x:f>
        <x:v>5.551115123125783e-16</x:v>
      </x:c>
      <x:c r="AF9" s="30" t="n">
        <x:f>IF(C9="","",IFERROR(INDEX('Facilities'!$S$9:$S$108,MATCH(C9,'Facilities'!$C$9:$C$108,0))*'Scenario Paths'!F75,"Unavailable"))</x:f>
        <x:v>1.02</x:v>
      </x:c>
      <x:c r="AG9" s="23" t="n">
        <x:f>IF(C9="","",IF(AQ9&lt;&gt;"Ready","Unavailable",IF(C9="","",IF(H9&gt;0,MAX(0,H9-AK9)*((1+INDEX('Facilities'!$K$9:$K$108,MATCH(C9,'Facilities'!$C$9:$C$108,0)))^MIN(1,MAX(0,AC9+INDEX('Facilities'!$AK$9:$AK$108,MATCH(C9,'Facilities'!$C$9:$C$108,0))-D9+1))-1),0))))</x:f>
        <x:v>0</x:v>
      </x:c>
      <x:c r="AH9" s="21" t="n">
        <x:f>IF(C9="","",IF(AQ9&lt;&gt;"Ready","Unavailable",IF(C9="","",O9+P9)))</x:f>
        <x:v>4.4750000000000005</x:v>
      </x:c>
      <x:c r="AI9" s="21" t="n">
        <x:f>IF(C9="","",IF(AQ9&lt;&gt;"Ready","Unavailable",IF(C9="","",Z9-Y9)))</x:f>
        <x:v>0.3257002292738664</x:v>
      </x:c>
      <x:c r="AJ9" s="23" t="n">
        <x:f>IF(C9="","",IFERROR(MAX(0,INDEX('Facilities'!$J$9:$J$108,MATCH(C9,'Facilities'!$C$9:$C$108,0))-D9),"Unavailable"))</x:f>
        <x:v>11</x:v>
      </x:c>
      <x:c r="AK9" s="23" t="n">
        <x:f>IF(C9="","",IFERROR(IF(INDEX('Facilities'!$AD$9:$AD$108,MATCH(C9,'Facilities'!$C$9:$C$108,0))=3,W9,0),"Unavailable"))</x:f>
        <x:v>0</x:v>
      </x:c>
      <x:c r="AL9" s="23" t="n">
        <x:f>IF(C9="","",IFERROR(IF(P9&gt;0,P9*(1-AM9/(1+INDEX('Facilities'!$K$9:$K$108,MATCH(C9,'Facilities'!$C$9:$C$108,0)))^MAX(0,AC9+INDEX('Facilities'!$AK$9:$AK$108,MATCH(C9,'Facilities'!$C$9:$C$108,0))-D9)),0),"Unavailable"))</x:f>
        <x:v>0</x:v>
      </x:c>
      <x:c r="AM9" s="30" t="n">
        <x:f>IF(C9="","",IFERROR(INDEX('Facilities'!$AL$9:$AL$108,MATCH(C9,'Facilities'!$C$9:$C$108,0)),"Unavailable"))</x:f>
        <x:v>0.55</x:v>
      </x:c>
      <x:c r="AN9" s="30" t="n">
        <x:f>IF(C9="","",IFERROR(INDEX(Credit!$T$9:$T$108,MATCH(F9,Credit!$C$9:$C$108,0)),"Unavailable"))</x:f>
        <x:v>0.00028000000000000003</x:v>
      </x:c>
      <x:c r="AO9" s="23" t="n">
        <x:f>IF(C9="","",IF(AQ9&lt;&gt;"Ready","Unavailable",IF(C9="","",O9+P9+Q9*INDEX('Facilities'!$I$9:$I$108,MATCH(C9,'Facilities'!$C$9:$C$108,0)))))</x:f>
        <x:v>5.187500000000001</x:v>
      </x:c>
      <x:c r="AP9" s="21" t="n">
        <x:f>IF(C9="","",IF(AQ9&lt;&gt;"Ready","Unavailable",IF(C9="","",AH9-U9)))</x:f>
        <x:v>4.350715552679578</x:v>
      </x:c>
      <x:c r="AQ9" s="23" t="str">
        <x:f>IFERROR(IF(C9="","",IF(AND(INDEX('Facilities'!$AF$9:$AF$108,MATCH(C9,'Facilities'!$C$9:$C$108,0))="Ready",INDEX(Credit!$U$9:$U$108,MATCH(F9,Credit!$C$9:$C$108,0))="Ready",ISNUMBER(W9)),"Ready","Review inputs")),"Review inputs")</x:f>
        <x:v>Ready</x:v>
      </x:c>
      <x:c r="AR9" s="23" t="n">
        <x:f>IF(C9="","",IF(AQ9&lt;&gt;"Ready","Unavailable",IF(C9="","",IF(O9=0,0,(IF(AJ9&lt;=1,O9,O9*INDEX('Facilities'!$R$9:$R$108,MATCH(C9,'Facilities'!$C$9:$C$108,0)))+O9*INDEX('Facilities'!$T$9:$T$108,MATCH(C9,'Facilities'!$C$9:$C$108,0)))/12))))</x:f>
        <x:v>0.08017708333333334</x:v>
      </x:c>
    </x:row>
    <x:row r="10" ht="26" customHeight="1">
      <x:c r="A10" s="1"/>
      <x:c r="B10" s="1"/>
      <x:c r="C10" s="9" t="str">
        <x:f>IF(Facilities!C10="","",Facilities!C10)</x:f>
        <x:v>F002</x:v>
      </x:c>
      <x:c r="D10" s="3" t="n">
        <x:v>1</x:v>
      </x:c>
      <x:c r="E10" s="9" t="n">
        <x:f>Settings!$F$18+0</x:f>
        <x:v>2027</x:v>
      </x:c>
      <x:c r="F10" s="9" t="str">
        <x:f>IF(C10="","",IFERROR(INDEX('Facilities'!$D$9:$D$108,MATCH(C10,'Facilities'!$C$9:$C$108,0)),"Unavailable"))</x:f>
        <x:v>B001</x:v>
      </x:c>
      <x:c r="G10" s="23" t="n">
        <x:f>IF(C10="","",IFERROR(IF(INDEX('Facilities'!$AD$9:$AD$108,MATCH(C10,'Facilities'!$C$9:$C$108,0))=3,0,INDEX('Facilities'!$AA$9:$AA$108,MATCH(C10,'Facilities'!$C$9:$C$108,0))),"Unavailable"))</x:f>
        <x:v>2.5</x:v>
      </x:c>
      <x:c r="H10" s="23" t="n">
        <x:f>IF(C10="","",IFERROR(IF(INDEX('Facilities'!$AD$9:$AD$108,MATCH(C10,'Facilities'!$C$9:$C$108,0))=3,INDEX('Facilities'!$AA$9:$AA$108,MATCH(C10,'Facilities'!$C$9:$C$108,0)),0),"Unavailable"))</x:f>
        <x:v>0</x:v>
      </x:c>
      <x:c r="I10" s="23" t="n">
        <x:f>IF(C10="","",IFERROR(INDEX('Facilities'!$AB$9:$AB$108,MATCH(C10,'Facilities'!$C$9:$C$108,0)),"Unavailable"))</x:f>
        <x:v>0.5</x:v>
      </x:c>
      <x:c r="J10" s="23" t="n">
        <x:f>IF(C10="","",IFERROR(IF(OR(H10&gt;0,AND(AC10&gt;=0,AC10&lt;D10),D10&gt;INDEX('Facilities'!$J$9:$J$108,MATCH(C10,'Facilities'!$C$9:$C$108,0))),0,I10*'Scenario Paths'!F81),"Unavailable"))</x:f>
        <x:v>0.025</x:v>
      </x:c>
      <x:c r="K10" s="23" t="n">
        <x:f>IF(C10="","",IFERROR(IF(OR(H10&gt;0,AND(AC10&gt;=0,AC10=D10)),0,IF(D10&gt;=INDEX('Facilities'!$J$9:$J$108,MATCH(C10,'Facilities'!$C$9:$C$108,0)),G10+J10,MIN(G10+J10,G10*INDEX('Facilities'!$R$9:$R$108,MATCH(C10,'Facilities'!$C$9:$C$108,0))))),"Unavailable"))</x:f>
        <x:v>0.3</x:v>
      </x:c>
      <x:c r="L10" s="21" t="n">
        <x:f>IF(C10="","",IFERROR(IF(AND(AC10=D10,AC10&gt;0),MAX(0,G10+J10-K10),0),"Unavailable"))</x:f>
        <x:v>0</x:v>
      </x:c>
      <x:c r="M10" s="23" t="n">
        <x:f>IF(C10="","",IFERROR(IF(AND(AC10&gt;=0,D10&gt;=AC10+INDEX('Facilities'!$AK$9:$AK$108,MATCH(C10,'Facilities'!$C$9:$C$108,0))),(H10+L10)*AM10,0),"Unavailable"))</x:f>
        <x:v>0</x:v>
      </x:c>
      <x:c r="N10" s="23" t="n">
        <x:f>IF(C10="","",IFERROR(IF(AND(AC10&gt;=0,D10&gt;=AC10+INDEX('Facilities'!$AK$9:$AK$108,MATCH(C10,'Facilities'!$C$9:$C$108,0))),H10+L10-M10,0),"Unavailable"))</x:f>
        <x:v>0</x:v>
      </x:c>
      <x:c r="O10" s="21" t="n">
        <x:f>IF(C10="","",IFERROR(MAX(0,G10+J10-K10-L10),"Unavailable"))</x:f>
        <x:v>2.225</x:v>
      </x:c>
      <x:c r="P10" s="21" t="n">
        <x:f>IF(C10="","",IFERROR(MAX(0,H10+L10-M10-N10),"Unavailable"))</x:f>
        <x:v>0</x:v>
      </x:c>
      <x:c r="Q10" s="23" t="n">
        <x:f>IF(C10="","",IFERROR(IF(OR(D10&gt;=INDEX('Facilities'!$J$9:$J$108,MATCH(C10,'Facilities'!$C$9:$C$108,0)),AND(AC10&gt;=0,AC10&lt;=D10)),0,MAX(0,I10-J10)),"Unavailable"))</x:f>
        <x:v>0.475</x:v>
      </x:c>
      <x:c r="R10" s="30" t="n">
        <x:f>IF(C10="","",IFERROR(INDEX(Credit!$Q$9:$Q$108,MATCH(F10,Credit!$C$9:$C$108,0)),"Unavailable"))</x:f>
        <x:v>0.017083147338488053</x:v>
      </x:c>
      <x:c r="S10" s="30" t="n">
        <x:f>IF(C10="","",IFERROR(INDEX(Credit!$R$9:$R$108,MATCH(F10,Credit!$C$9:$C$108,0)),"Unavailable"))</x:f>
        <x:v>0.28020160000000005</x:v>
      </x:c>
      <x:c r="T10" s="23" t="n">
        <x:f>IF(C10="","",IFERROR(IF(P10&gt;0,3,IF(OR(INDEX('Facilities'!$AD$9:$AD$108,MATCH(C10,'Facilities'!$C$9:$C$108,0))=2,AND(R10&gt;=INDEX('Facilities'!$L$9:$L$108,MATCH(C10,'Facilities'!$C$9:$C$108,0))*Settings!$F$19,R10-INDEX('Facilities'!$L$9:$L$108,MATCH(C10,'Facilities'!$C$9:$C$108,0))&gt;=Settings!$F$20)),2,1)),"Unavailable"))</x:f>
        <x:v>2</x:v>
      </x:c>
      <x:c r="U10" s="23" t="n">
        <x:f>IF(C10="","",IF(AQ10&lt;&gt;"Ready","Unavailable",IF(C10="","",O10*(1-(1-S10)/(1+INDEX('Facilities'!$K$9:$K$108,MATCH(C10,'Facilities'!$C$9:$C$108,0)))^INDEX('Facilities'!$AK$9:$AK$108,MATCH(C10,'Facilities'!$C$9:$C$108,0)))*R10/(1+INDEX('Facilities'!$K$9:$K$108,MATCH(C10,'Facilities'!$C$9:$C$108,0)))*IF(ABS(1-(1-R10)*(1-INDEX('Facilities'!$R$9:$R$108,MATCH(C10,'Facilities'!$C$9:$C$108,0)))/(1+INDEX('Facilities'!$K$9:$K$108,MATCH(C10,'Facilities'!$C$9:$C$108,0))))&lt;0.000000001,IF(T10=1,MIN(1,AJ10),AJ10),(1-((1-R10)*(1-INDEX('Facilities'!$R$9:$R$108,MATCH(C10,'Facilities'!$C$9:$C$108,0)))/(1+INDEX('Facilities'!$K$9:$K$108,MATCH(C10,'Facilities'!$C$9:$C$108,0))))^IF(T10=1,MIN(1,AJ10),AJ10))/(1-(1-R10)*(1-INDEX('Facilities'!$R$9:$R$108,MATCH(C10,'Facilities'!$C$9:$C$108,0)))/(1+INDEX('Facilities'!$K$9:$K$108,MATCH(C10,'Facilities'!$C$9:$C$108,0)))))+AL10)))</x:f>
        <x:v>0.06179506039953969</x:v>
      </x:c>
      <x:c r="V10" s="23" t="n">
        <x:f>IF(C10="","",IF(AQ10&lt;&gt;"Ready","Unavailable",IF(C10="","",Q10*INDEX('Facilities'!$I$9:$I$108,MATCH(C10,'Facilities'!$C$9:$C$108,0))*(1-(1-S10)/(1+INDEX('Facilities'!$K$9:$K$108,MATCH(C10,'Facilities'!$C$9:$C$108,0)))^INDEX('Facilities'!$AK$9:$AK$108,MATCH(C10,'Facilities'!$C$9:$C$108,0)))*R10/(1+INDEX('Facilities'!$K$9:$K$108,MATCH(C10,'Facilities'!$C$9:$C$108,0)))*IF(ABS(1-(1-R10)*(1-0)/(1+INDEX('Facilities'!$K$9:$K$108,MATCH(C10,'Facilities'!$C$9:$C$108,0))))&lt;0.000000001,IF(T10=1,MIN(1,AJ10),AJ10),(1-((1-R10)*(1-0)/(1+INDEX('Facilities'!$K$9:$K$108,MATCH(C10,'Facilities'!$C$9:$C$108,0))))^IF(T10=1,MIN(1,AJ10),AJ10))/(1-(1-R10)*(1-0)/(1+INDEX('Facilities'!$K$9:$K$108,MATCH(C10,'Facilities'!$C$9:$C$108,0))))))))</x:f>
        <x:v>0.010323642514599963</x:v>
      </x:c>
      <x:c r="W10" s="23" t="n">
        <x:f>IF(C10="","",IFERROR(INDEX(ECL!$AB$9:$AB$108,MATCH(C10,ECL!$C$9:$C$108,0)),"Unavailable"))</x:f>
        <x:v>0.013431784407864656</x:v>
      </x:c>
      <x:c r="X10" s="23" t="n">
        <x:f>IF(C10="","",IFERROR(INDEX(ECL!$AC$9:$AC$108,MATCH(C10,ECL!$C$9:$C$108,0)),"Unavailable"))</x:f>
        <x:v>0.0013431784407864657</x:v>
      </x:c>
      <x:c r="Y10" s="21" t="n">
        <x:f>IF(C10="","",IF(AQ10&lt;&gt;"Ready","Unavailable",IF(C10="","",U10-W10+V10-X10+N10+AG10)))</x:f>
        <x:v>0.057343740065488535</x:v>
      </x:c>
      <x:c r="Z10" s="23" t="n">
        <x:f>IF(C10="","",IF(AQ10&lt;&gt;"Ready","Unavailable",IF(C10="","",(G10+O10+L10)/2*INDEX('Facilities'!$T$9:$T$108,MATCH(C10,'Facilities'!$C$9:$C$108,0))+AG10)))</x:f>
        <x:v>0.22443749999999998</x:v>
      </x:c>
      <x:c r="AA10" s="23" t="n">
        <x:f>IF(C10="","",IF(AQ10&lt;&gt;"Ready","Unavailable",IF(C10="","",O10*(1-IF(INDEX('Facilities'!$AA$9:$AA$108,MATCH(C10,'Facilities'!$C$9:$C$108,0))=0,0,MIN(1,INDEX('Facilities'!$X$9:$X$108,MATCH(C10,'Facilities'!$C$9:$C$108,0))/INDEX('Facilities'!$AA$9:$AA$108,MATCH(C10,'Facilities'!$C$9:$C$108,0)))))*AF10+P10*(1-IF(INDEX('Facilities'!$AA$9:$AA$108,MATCH(C10,'Facilities'!$C$9:$C$108,0))=0,0,MIN(1,INDEX('Facilities'!$X$9:$X$108,MATCH(C10,'Facilities'!$C$9:$C$108,0))/INDEX('Facilities'!$AA$9:$AA$108,MATCH(C10,'Facilities'!$C$9:$C$108,0)))))*INDEX('Facilities'!$AJ$9:$AJ$108,MATCH(C10,'Facilities'!$C$9:$C$108,0))+Q10*INDEX('Facilities'!$AI$9:$AI$108,MATCH(C10,'Facilities'!$C$9:$C$108,0))*AF10)))</x:f>
        <x:v>2.49649896</x:v>
      </x:c>
      <x:c r="AB10" s="21" t="n">
        <x:f>IF(C10="","",O10+P10-AD10)</x:f>
        <x:v>-0.2749999999999999</x:v>
      </x:c>
      <x:c r="AC10" s="23" t="n">
        <x:f>IF(C10="","",IFERROR(IF(INDEX('Facilities'!$AD$9:$AD$108,MATCH(C10,'Facilities'!$C$9:$C$108,0))=3,0,IF(INDEX('Facilities'!$AN$9:$AN$108,MATCH(C10,'Facilities'!$C$9:$C$108,0))=0,-1,INDEX('Facilities'!$AN$9:$AN$108,MATCH(C10,'Facilities'!$C$9:$C$108,0)))),"Unavailable"))</x:f>
        <x:v>-1</x:v>
      </x:c>
      <x:c r="AD10" s="21" t="n">
        <x:f>IF(C10="","",IFERROR(G10+H10,"Unavailable"))</x:f>
        <x:v>2.5</x:v>
      </x:c>
      <x:c r="AE10" s="21" t="n">
        <x:f>IF(C10="","",IF(AQ10&lt;&gt;"Ready","Unavailable",IF(C10="","",O10+P10-AD10-J10+K10+M10+N10)))</x:f>
        <x:v>5.551115123125783e-17</x:v>
      </x:c>
      <x:c r="AF10" s="30" t="n">
        <x:f>IF(C10="","",IFERROR(INDEX('Facilities'!$S$9:$S$108,MATCH(C10,'Facilities'!$C$9:$C$108,0))*'Scenario Paths'!F75,"Unavailable"))</x:f>
        <x:v>1.02</x:v>
      </x:c>
      <x:c r="AG10" s="23" t="n">
        <x:f>IF(C10="","",IF(AQ10&lt;&gt;"Ready","Unavailable",IF(C10="","",IF(H10&gt;0,MAX(0,H10-AK10)*((1+INDEX('Facilities'!$K$9:$K$108,MATCH(C10,'Facilities'!$C$9:$C$108,0)))^MIN(1,MAX(0,AC10+INDEX('Facilities'!$AK$9:$AK$108,MATCH(C10,'Facilities'!$C$9:$C$108,0))-D10+1))-1),0))))</x:f>
        <x:v>0</x:v>
      </x:c>
      <x:c r="AH10" s="21" t="n">
        <x:f>IF(C10="","",IF(AQ10&lt;&gt;"Ready","Unavailable",IF(C10="","",O10+P10)))</x:f>
        <x:v>2.225</x:v>
      </x:c>
      <x:c r="AI10" s="21" t="n">
        <x:f>IF(C10="","",IF(AQ10&lt;&gt;"Ready","Unavailable",IF(C10="","",Z10-Y10)))</x:f>
        <x:v>0.16709375993451145</x:v>
      </x:c>
      <x:c r="AJ10" s="23" t="n">
        <x:f>IF(C10="","",IFERROR(MAX(0,INDEX('Facilities'!$J$9:$J$108,MATCH(C10,'Facilities'!$C$9:$C$108,0))-D10),"Unavailable"))</x:f>
        <x:v>11</x:v>
      </x:c>
      <x:c r="AK10" s="23" t="n">
        <x:f>IF(C10="","",IFERROR(IF(INDEX('Facilities'!$AD$9:$AD$108,MATCH(C10,'Facilities'!$C$9:$C$108,0))=3,W10,0),"Unavailable"))</x:f>
        <x:v>0</x:v>
      </x:c>
      <x:c r="AL10" s="23" t="n">
        <x:f>IF(C10="","",IFERROR(IF(P10&gt;0,P10*(1-AM10/(1+INDEX('Facilities'!$K$9:$K$108,MATCH(C10,'Facilities'!$C$9:$C$108,0)))^MAX(0,AC10+INDEX('Facilities'!$AK$9:$AK$108,MATCH(C10,'Facilities'!$C$9:$C$108,0))-D10)),0),"Unavailable"))</x:f>
        <x:v>0</x:v>
      </x:c>
      <x:c r="AM10" s="30" t="n">
        <x:f>IF(C10="","",IFERROR(INDEX('Facilities'!$AL$9:$AL$108,MATCH(C10,'Facilities'!$C$9:$C$108,0)),"Unavailable"))</x:f>
        <x:v>0.55</x:v>
      </x:c>
      <x:c r="AN10" s="30" t="n">
        <x:f>IF(C10="","",IFERROR(INDEX(Credit!$T$9:$T$108,MATCH(F10,Credit!$C$9:$C$108,0)),"Unavailable"))</x:f>
        <x:v>0.00028000000000000003</x:v>
      </x:c>
      <x:c r="AO10" s="23" t="n">
        <x:f>IF(C10="","",IF(AQ10&lt;&gt;"Ready","Unavailable",IF(C10="","",O10+P10+Q10*INDEX('Facilities'!$I$9:$I$108,MATCH(C10,'Facilities'!$C$9:$C$108,0)))))</x:f>
        <x:v>2.4625</x:v>
      </x:c>
      <x:c r="AP10" s="21" t="n">
        <x:f>IF(C10="","",IF(AQ10&lt;&gt;"Ready","Unavailable",IF(C10="","",AH10-U10)))</x:f>
        <x:v>2.1632049396004605</x:v>
      </x:c>
      <x:c r="AQ10" s="23" t="str">
        <x:f>IFERROR(IF(C10="","",IF(AND(INDEX('Facilities'!$AF$9:$AF$108,MATCH(C10,'Facilities'!$C$9:$C$108,0))="Ready",INDEX(Credit!$U$9:$U$108,MATCH(F10,Credit!$C$9:$C$108,0))="Ready",ISNUMBER(W10)),"Ready","Review inputs")),"Review inputs")</x:f>
        <x:v>Ready</x:v>
      </x:c>
      <x:c r="AR10" s="23" t="n">
        <x:f>IF(C10="","",IF(AQ10&lt;&gt;"Ready","Unavailable",IF(C10="","",IF(O10=0,0,(IF(AJ10&lt;=1,O10,O10*INDEX('Facilities'!$R$9:$R$108,MATCH(C10,'Facilities'!$C$9:$C$108,0)))+O10*INDEX('Facilities'!$T$9:$T$108,MATCH(C10,'Facilities'!$C$9:$C$108,0)))/12))))</x:f>
        <x:v>0.039864583333333335</x:v>
      </x:c>
    </x:row>
    <x:row r="11" ht="26" customHeight="1">
      <x:c r="A11" s="1"/>
      <x:c r="B11" s="1"/>
      <x:c r="C11" s="9" t="str">
        <x:f>IF(Facilities!C11="","",Facilities!C11)</x:f>
        <x:v>F003</x:v>
      </x:c>
      <x:c r="D11" s="3" t="n">
        <x:v>1</x:v>
      </x:c>
      <x:c r="E11" s="9" t="n">
        <x:f>Settings!$F$18+0</x:f>
        <x:v>2027</x:v>
      </x:c>
      <x:c r="F11" s="9" t="str">
        <x:f>IF(C11="","",IFERROR(INDEX('Facilities'!$D$9:$D$108,MATCH(C11,'Facilities'!$C$9:$C$108,0)),"Unavailable"))</x:f>
        <x:v>B002</x:v>
      </x:c>
      <x:c r="G11" s="23" t="n">
        <x:f>IF(C11="","",IFERROR(IF(INDEX('Facilities'!$AD$9:$AD$108,MATCH(C11,'Facilities'!$C$9:$C$108,0))=3,0,INDEX('Facilities'!$AA$9:$AA$108,MATCH(C11,'Facilities'!$C$9:$C$108,0))),"Unavailable"))</x:f>
        <x:v>5.35</x:v>
      </x:c>
      <x:c r="H11" s="23" t="n">
        <x:f>IF(C11="","",IFERROR(IF(INDEX('Facilities'!$AD$9:$AD$108,MATCH(C11,'Facilities'!$C$9:$C$108,0))=3,INDEX('Facilities'!$AA$9:$AA$108,MATCH(C11,'Facilities'!$C$9:$C$108,0)),0),"Unavailable"))</x:f>
        <x:v>0</x:v>
      </x:c>
      <x:c r="I11" s="23" t="n">
        <x:f>IF(C11="","",IFERROR(INDEX('Facilities'!$AB$9:$AB$108,MATCH(C11,'Facilities'!$C$9:$C$108,0)),"Unavailable"))</x:f>
        <x:v>1.5</x:v>
      </x:c>
      <x:c r="J11" s="23" t="n">
        <x:f>IF(C11="","",IFERROR(IF(OR(H11&gt;0,AND(AC11&gt;=0,AC11&lt;D11),D11&gt;INDEX('Facilities'!$J$9:$J$108,MATCH(C11,'Facilities'!$C$9:$C$108,0))),0,I11*'Scenario Paths'!F81),"Unavailable"))</x:f>
        <x:v>0.07500000000000001</x:v>
      </x:c>
      <x:c r="K11" s="23" t="n">
        <x:f>IF(C11="","",IFERROR(IF(OR(H11&gt;0,AND(AC11&gt;=0,AC11=D11)),0,IF(D11&gt;=INDEX('Facilities'!$J$9:$J$108,MATCH(C11,'Facilities'!$C$9:$C$108,0)),G11+J11,MIN(G11+J11,G11*INDEX('Facilities'!$R$9:$R$108,MATCH(C11,'Facilities'!$C$9:$C$108,0))))),"Unavailable"))</x:f>
        <x:v>0.6419999999999999</x:v>
      </x:c>
      <x:c r="L11" s="21" t="n">
        <x:f>IF(C11="","",IFERROR(IF(AND(AC11=D11,AC11&gt;0),MAX(0,G11+J11-K11),0),"Unavailable"))</x:f>
        <x:v>0</x:v>
      </x:c>
      <x:c r="M11" s="23" t="n">
        <x:f>IF(C11="","",IFERROR(IF(AND(AC11&gt;=0,D11&gt;=AC11+INDEX('Facilities'!$AK$9:$AK$108,MATCH(C11,'Facilities'!$C$9:$C$108,0))),(H11+L11)*AM11,0),"Unavailable"))</x:f>
        <x:v>0</x:v>
      </x:c>
      <x:c r="N11" s="23" t="n">
        <x:f>IF(C11="","",IFERROR(IF(AND(AC11&gt;=0,D11&gt;=AC11+INDEX('Facilities'!$AK$9:$AK$108,MATCH(C11,'Facilities'!$C$9:$C$108,0))),H11+L11-M11,0),"Unavailable"))</x:f>
        <x:v>0</x:v>
      </x:c>
      <x:c r="O11" s="21" t="n">
        <x:f>IF(C11="","",IFERROR(MAX(0,G11+J11-K11-L11),"Unavailable"))</x:f>
        <x:v>4.7829999999999995</x:v>
      </x:c>
      <x:c r="P11" s="21" t="n">
        <x:f>IF(C11="","",IFERROR(MAX(0,H11+L11-M11-N11),"Unavailable"))</x:f>
        <x:v>0</x:v>
      </x:c>
      <x:c r="Q11" s="23" t="n">
        <x:f>IF(C11="","",IFERROR(IF(OR(D11&gt;=INDEX('Facilities'!$J$9:$J$108,MATCH(C11,'Facilities'!$C$9:$C$108,0)),AND(AC11&gt;=0,AC11&lt;=D11)),0,MAX(0,I11-J11)),"Unavailable"))</x:f>
        <x:v>1.425</x:v>
      </x:c>
      <x:c r="R11" s="30" t="n">
        <x:f>IF(C11="","",IFERROR(INDEX(Credit!$Q$9:$Q$108,MATCH(F11,Credit!$C$9:$C$108,0)),"Unavailable"))</x:f>
        <x:v>0.018399187916075463</x:v>
      </x:c>
      <x:c r="S11" s="30" t="n">
        <x:f>IF(C11="","",IFERROR(INDEX(Credit!$R$9:$R$108,MATCH(F11,Credit!$C$9:$C$108,0)),"Unavailable"))</x:f>
        <x:v>0.32043520000000003</x:v>
      </x:c>
      <x:c r="T11" s="23" t="n">
        <x:f>IF(C11="","",IFERROR(IF(P11&gt;0,3,IF(OR(INDEX('Facilities'!$AD$9:$AD$108,MATCH(C11,'Facilities'!$C$9:$C$108,0))=2,AND(R11&gt;=INDEX('Facilities'!$L$9:$L$108,MATCH(C11,'Facilities'!$C$9:$C$108,0))*Settings!$F$19,R11-INDEX('Facilities'!$L$9:$L$108,MATCH(C11,'Facilities'!$C$9:$C$108,0))&gt;=Settings!$F$20)),2,1)),"Unavailable"))</x:f>
        <x:v>1</x:v>
      </x:c>
      <x:c r="U11" s="23" t="n">
        <x:f>IF(C11="","",IF(AQ11&lt;&gt;"Ready","Unavailable",IF(C11="","",O11*(1-(1-S11)/(1+INDEX('Facilities'!$K$9:$K$108,MATCH(C11,'Facilities'!$C$9:$C$108,0)))^INDEX('Facilities'!$AK$9:$AK$108,MATCH(C11,'Facilities'!$C$9:$C$108,0)))*R11/(1+INDEX('Facilities'!$K$9:$K$108,MATCH(C11,'Facilities'!$C$9:$C$108,0)))*IF(ABS(1-(1-R11)*(1-INDEX('Facilities'!$R$9:$R$108,MATCH(C11,'Facilities'!$C$9:$C$108,0)))/(1+INDEX('Facilities'!$K$9:$K$108,MATCH(C11,'Facilities'!$C$9:$C$108,0))))&lt;0.000000001,IF(T11=1,MIN(1,AJ11),AJ11),(1-((1-R11)*(1-INDEX('Facilities'!$R$9:$R$108,MATCH(C11,'Facilities'!$C$9:$C$108,0)))/(1+INDEX('Facilities'!$K$9:$K$108,MATCH(C11,'Facilities'!$C$9:$C$108,0))))^IF(T11=1,MIN(1,AJ11),AJ11))/(1-(1-R11)*(1-INDEX('Facilities'!$R$9:$R$108,MATCH(C11,'Facilities'!$C$9:$C$108,0)))/(1+INDEX('Facilities'!$K$9:$K$108,MATCH(C11,'Facilities'!$C$9:$C$108,0)))))+AL11)))</x:f>
        <x:v>0.03401024349170013</x:v>
      </x:c>
      <x:c r="V11" s="23" t="n">
        <x:f>IF(C11="","",IF(AQ11&lt;&gt;"Ready","Unavailable",IF(C11="","",Q11*INDEX('Facilities'!$I$9:$I$108,MATCH(C11,'Facilities'!$C$9:$C$108,0))*(1-(1-S11)/(1+INDEX('Facilities'!$K$9:$K$108,MATCH(C11,'Facilities'!$C$9:$C$108,0)))^INDEX('Facilities'!$AK$9:$AK$108,MATCH(C11,'Facilities'!$C$9:$C$108,0)))*R11/(1+INDEX('Facilities'!$K$9:$K$108,MATCH(C11,'Facilities'!$C$9:$C$108,0)))*IF(ABS(1-(1-R11)*(1-0)/(1+INDEX('Facilities'!$K$9:$K$108,MATCH(C11,'Facilities'!$C$9:$C$108,0))))&lt;0.000000001,IF(T11=1,MIN(1,AJ11),AJ11),(1-((1-R11)*(1-0)/(1+INDEX('Facilities'!$K$9:$K$108,MATCH(C11,'Facilities'!$C$9:$C$108,0))))^IF(T11=1,MIN(1,AJ11),AJ11))/(1-(1-R11)*(1-0)/(1+INDEX('Facilities'!$K$9:$K$108,MATCH(C11,'Facilities'!$C$9:$C$108,0))))))))</x:f>
        <x:v>0.0050663388015547445</x:v>
      </x:c>
      <x:c r="W11" s="23" t="n">
        <x:f>IF(C11="","",IFERROR(INDEX(ECL!$AB$9:$AB$108,MATCH(C11,ECL!$C$9:$C$108,0)),"Unavailable"))</x:f>
        <x:v>0.047067524005486985</x:v>
      </x:c>
      <x:c r="X11" s="23" t="n">
        <x:f>IF(C11="","",IFERROR(INDEX(ECL!$AC$9:$AC$108,MATCH(C11,ECL!$C$9:$C$108,0)),"Unavailable"))</x:f>
        <x:v>0.006598251028806585</x:v>
      </x:c>
      <x:c r="Y11" s="21" t="n">
        <x:f>IF(C11="","",IF(AQ11&lt;&gt;"Ready","Unavailable",IF(C11="","",U11-W11+V11-X11+N11+AG11)))</x:f>
        <x:v>-0.014589192741038698</x:v>
      </x:c>
      <x:c r="Z11" s="23" t="n">
        <x:f>IF(C11="","",IF(AQ11&lt;&gt;"Ready","Unavailable",IF(C11="","",(G11+O11+L11)/2*INDEX('Facilities'!$T$9:$T$108,MATCH(C11,'Facilities'!$C$9:$C$108,0))+AG11)))</x:f>
        <x:v>0.48131749999999995</x:v>
      </x:c>
      <x:c r="AA11" s="23" t="n">
        <x:f>IF(C11="","",IF(AQ11&lt;&gt;"Ready","Unavailable",IF(C11="","",O11*(1-IF(INDEX('Facilities'!$AA$9:$AA$108,MATCH(C11,'Facilities'!$C$9:$C$108,0))=0,0,MIN(1,INDEX('Facilities'!$X$9:$X$108,MATCH(C11,'Facilities'!$C$9:$C$108,0))/INDEX('Facilities'!$AA$9:$AA$108,MATCH(C11,'Facilities'!$C$9:$C$108,0)))))*AF11+P11*(1-IF(INDEX('Facilities'!$AA$9:$AA$108,MATCH(C11,'Facilities'!$C$9:$C$108,0))=0,0,MIN(1,INDEX('Facilities'!$X$9:$X$108,MATCH(C11,'Facilities'!$C$9:$C$108,0))/INDEX('Facilities'!$AA$9:$AA$108,MATCH(C11,'Facilities'!$C$9:$C$108,0)))))*INDEX('Facilities'!$AJ$9:$AJ$108,MATCH(C11,'Facilities'!$C$9:$C$108,0))+Q11*INDEX('Facilities'!$AI$9:$AI$108,MATCH(C11,'Facilities'!$C$9:$C$108,0))*AF11)))</x:f>
        <x:v>5.549207836799999</x:v>
      </x:c>
      <x:c r="AB11" s="21" t="n">
        <x:f>IF(C11="","",O11+P11-AD11)</x:f>
        <x:v>-0.5670000000000002</x:v>
      </x:c>
      <x:c r="AC11" s="23" t="n">
        <x:f>IF(C11="","",IFERROR(IF(INDEX('Facilities'!$AD$9:$AD$108,MATCH(C11,'Facilities'!$C$9:$C$108,0))=3,0,IF(INDEX('Facilities'!$AN$9:$AN$108,MATCH(C11,'Facilities'!$C$9:$C$108,0))=0,-1,INDEX('Facilities'!$AN$9:$AN$108,MATCH(C11,'Facilities'!$C$9:$C$108,0)))),"Unavailable"))</x:f>
        <x:v>-1</x:v>
      </x:c>
      <x:c r="AD11" s="21" t="n">
        <x:f>IF(C11="","",IFERROR(G11+H11,"Unavailable"))</x:f>
        <x:v>5.35</x:v>
      </x:c>
      <x:c r="AE11" s="21" t="n">
        <x:f>IF(C11="","",IF(AQ11&lt;&gt;"Ready","Unavailable",IF(C11="","",O11+P11-AD11-J11+K11+M11+N11)))</x:f>
        <x:v>-2.220446049250313e-16</x:v>
      </x:c>
      <x:c r="AF11" s="30" t="n">
        <x:f>IF(C11="","",IFERROR(INDEX('Facilities'!$S$9:$S$108,MATCH(C11,'Facilities'!$C$9:$C$108,0))*'Scenario Paths'!F75,"Unavailable"))</x:f>
        <x:v>1.02</x:v>
      </x:c>
      <x:c r="AG11" s="23" t="n">
        <x:f>IF(C11="","",IF(AQ11&lt;&gt;"Ready","Unavailable",IF(C11="","",IF(H11&gt;0,MAX(0,H11-AK11)*((1+INDEX('Facilities'!$K$9:$K$108,MATCH(C11,'Facilities'!$C$9:$C$108,0)))^MIN(1,MAX(0,AC11+INDEX('Facilities'!$AK$9:$AK$108,MATCH(C11,'Facilities'!$C$9:$C$108,0))-D11+1))-1),0))))</x:f>
        <x:v>0</x:v>
      </x:c>
      <x:c r="AH11" s="21" t="n">
        <x:f>IF(C11="","",IF(AQ11&lt;&gt;"Ready","Unavailable",IF(C11="","",O11+P11)))</x:f>
        <x:v>4.7829999999999995</x:v>
      </x:c>
      <x:c r="AI11" s="21" t="n">
        <x:f>IF(C11="","",IF(AQ11&lt;&gt;"Ready","Unavailable",IF(C11="","",Z11-Y11)))</x:f>
        <x:v>0.49590669274103866</x:v>
      </x:c>
      <x:c r="AJ11" s="23" t="n">
        <x:f>IF(C11="","",IFERROR(MAX(0,INDEX('Facilities'!$J$9:$J$108,MATCH(C11,'Facilities'!$C$9:$C$108,0))-D11),"Unavailable"))</x:f>
        <x:v>5</x:v>
      </x:c>
      <x:c r="AK11" s="23" t="n">
        <x:f>IF(C11="","",IFERROR(IF(INDEX('Facilities'!$AD$9:$AD$108,MATCH(C11,'Facilities'!$C$9:$C$108,0))=3,W11,0),"Unavailable"))</x:f>
        <x:v>0</x:v>
      </x:c>
      <x:c r="AL11" s="23" t="n">
        <x:f>IF(C11="","",IFERROR(IF(P11&gt;0,P11*(1-AM11/(1+INDEX('Facilities'!$K$9:$K$108,MATCH(C11,'Facilities'!$C$9:$C$108,0)))^MAX(0,AC11+INDEX('Facilities'!$AK$9:$AK$108,MATCH(C11,'Facilities'!$C$9:$C$108,0))-D11)),0),"Unavailable"))</x:f>
        <x:v>0</x:v>
      </x:c>
      <x:c r="AM11" s="30" t="n">
        <x:f>IF(C11="","",IFERROR(INDEX('Facilities'!$AL$9:$AL$108,MATCH(C11,'Facilities'!$C$9:$C$108,0)),"Unavailable"))</x:f>
        <x:v>0.55</x:v>
      </x:c>
      <x:c r="AN11" s="30" t="n">
        <x:f>IF(C11="","",IFERROR(INDEX(Credit!$T$9:$T$108,MATCH(F11,Credit!$C$9:$C$108,0)),"Unavailable"))</x:f>
        <x:v>0.00064</x:v>
      </x:c>
      <x:c r="AO11" s="23" t="n">
        <x:f>IF(C11="","",IF(AQ11&lt;&gt;"Ready","Unavailable",IF(C11="","",O11+P11+Q11*INDEX('Facilities'!$I$9:$I$108,MATCH(C11,'Facilities'!$C$9:$C$108,0)))))</x:f>
        <x:v>5.4955</x:v>
      </x:c>
      <x:c r="AP11" s="21" t="n">
        <x:f>IF(C11="","",IF(AQ11&lt;&gt;"Ready","Unavailable",IF(C11="","",AH11-U11)))</x:f>
        <x:v>4.7489897565082995</x:v>
      </x:c>
      <x:c r="AQ11" s="23" t="str">
        <x:f>IFERROR(IF(C11="","",IF(AND(INDEX('Facilities'!$AF$9:$AF$108,MATCH(C11,'Facilities'!$C$9:$C$108,0))="Ready",INDEX(Credit!$U$9:$U$108,MATCH(F11,Credit!$C$9:$C$108,0))="Ready",ISNUMBER(W11)),"Ready","Review inputs")),"Review inputs")</x:f>
        <x:v>Ready</x:v>
      </x:c>
      <x:c r="AR11" s="23" t="n">
        <x:f>IF(C11="","",IF(AQ11&lt;&gt;"Ready","Unavailable",IF(C11="","",IF(O11=0,0,(IF(AJ11&lt;=1,O11,O11*INDEX('Facilities'!$R$9:$R$108,MATCH(C11,'Facilities'!$C$9:$C$108,0)))+O11*INDEX('Facilities'!$T$9:$T$108,MATCH(C11,'Facilities'!$C$9:$C$108,0)))/12))))</x:f>
        <x:v>0.08569541666666665</x:v>
      </x:c>
    </x:row>
    <x:row r="12" ht="26" customHeight="1">
      <x:c r="A12" s="1"/>
      <x:c r="B12" s="1"/>
      <x:c r="C12" s="9" t="str">
        <x:f>IF(Facilities!C12="","",Facilities!C12)</x:f>
        <x:v>F004</x:v>
      </x:c>
      <x:c r="D12" s="3" t="n">
        <x:v>1</x:v>
      </x:c>
      <x:c r="E12" s="9" t="n">
        <x:f>Settings!$F$18+0</x:f>
        <x:v>2027</x:v>
      </x:c>
      <x:c r="F12" s="9" t="str">
        <x:f>IF(C12="","",IFERROR(INDEX('Facilities'!$D$9:$D$108,MATCH(C12,'Facilities'!$C$9:$C$108,0)),"Unavailable"))</x:f>
        <x:v>B002</x:v>
      </x:c>
      <x:c r="G12" s="23" t="n">
        <x:f>IF(C12="","",IFERROR(IF(INDEX('Facilities'!$AD$9:$AD$108,MATCH(C12,'Facilities'!$C$9:$C$108,0))=3,0,INDEX('Facilities'!$AA$9:$AA$108,MATCH(C12,'Facilities'!$C$9:$C$108,0))),"Unavailable"))</x:f>
        <x:v>2.85</x:v>
      </x:c>
      <x:c r="H12" s="23" t="n">
        <x:f>IF(C12="","",IFERROR(IF(INDEX('Facilities'!$AD$9:$AD$108,MATCH(C12,'Facilities'!$C$9:$C$108,0))=3,INDEX('Facilities'!$AA$9:$AA$108,MATCH(C12,'Facilities'!$C$9:$C$108,0)),0),"Unavailable"))</x:f>
        <x:v>0</x:v>
      </x:c>
      <x:c r="I12" s="23" t="n">
        <x:f>IF(C12="","",IFERROR(INDEX('Facilities'!$AB$9:$AB$108,MATCH(C12,'Facilities'!$C$9:$C$108,0)),"Unavailable"))</x:f>
        <x:v>0.5</x:v>
      </x:c>
      <x:c r="J12" s="23" t="n">
        <x:f>IF(C12="","",IFERROR(IF(OR(H12&gt;0,AND(AC12&gt;=0,AC12&lt;D12),D12&gt;INDEX('Facilities'!$J$9:$J$108,MATCH(C12,'Facilities'!$C$9:$C$108,0))),0,I12*'Scenario Paths'!F81),"Unavailable"))</x:f>
        <x:v>0.025</x:v>
      </x:c>
      <x:c r="K12" s="23" t="n">
        <x:f>IF(C12="","",IFERROR(IF(OR(H12&gt;0,AND(AC12&gt;=0,AC12=D12)),0,IF(D12&gt;=INDEX('Facilities'!$J$9:$J$108,MATCH(C12,'Facilities'!$C$9:$C$108,0)),G12+J12,MIN(G12+J12,G12*INDEX('Facilities'!$R$9:$R$108,MATCH(C12,'Facilities'!$C$9:$C$108,0))))),"Unavailable"))</x:f>
        <x:v>0.34199999999999997</x:v>
      </x:c>
      <x:c r="L12" s="21" t="n">
        <x:f>IF(C12="","",IFERROR(IF(AND(AC12=D12,AC12&gt;0),MAX(0,G12+J12-K12),0),"Unavailable"))</x:f>
        <x:v>0</x:v>
      </x:c>
      <x:c r="M12" s="23" t="n">
        <x:f>IF(C12="","",IFERROR(IF(AND(AC12&gt;=0,D12&gt;=AC12+INDEX('Facilities'!$AK$9:$AK$108,MATCH(C12,'Facilities'!$C$9:$C$108,0))),(H12+L12)*AM12,0),"Unavailable"))</x:f>
        <x:v>0</x:v>
      </x:c>
      <x:c r="N12" s="23" t="n">
        <x:f>IF(C12="","",IFERROR(IF(AND(AC12&gt;=0,D12&gt;=AC12+INDEX('Facilities'!$AK$9:$AK$108,MATCH(C12,'Facilities'!$C$9:$C$108,0))),H12+L12-M12,0),"Unavailable"))</x:f>
        <x:v>0</x:v>
      </x:c>
      <x:c r="O12" s="21" t="n">
        <x:f>IF(C12="","",IFERROR(MAX(0,G12+J12-K12-L12),"Unavailable"))</x:f>
        <x:v>2.533</x:v>
      </x:c>
      <x:c r="P12" s="21" t="n">
        <x:f>IF(C12="","",IFERROR(MAX(0,H12+L12-M12-N12),"Unavailable"))</x:f>
        <x:v>0</x:v>
      </x:c>
      <x:c r="Q12" s="23" t="n">
        <x:f>IF(C12="","",IFERROR(IF(OR(D12&gt;=INDEX('Facilities'!$J$9:$J$108,MATCH(C12,'Facilities'!$C$9:$C$108,0)),AND(AC12&gt;=0,AC12&lt;=D12)),0,MAX(0,I12-J12)),"Unavailable"))</x:f>
        <x:v>0.475</x:v>
      </x:c>
      <x:c r="R12" s="30" t="n">
        <x:f>IF(C12="","",IFERROR(INDEX(Credit!$Q$9:$Q$108,MATCH(F12,Credit!$C$9:$C$108,0)),"Unavailable"))</x:f>
        <x:v>0.018399187916075463</x:v>
      </x:c>
      <x:c r="S12" s="30" t="n">
        <x:f>IF(C12="","",IFERROR(INDEX(Credit!$R$9:$R$108,MATCH(F12,Credit!$C$9:$C$108,0)),"Unavailable"))</x:f>
        <x:v>0.32043520000000003</x:v>
      </x:c>
      <x:c r="T12" s="23" t="n">
        <x:f>IF(C12="","",IFERROR(IF(P12&gt;0,3,IF(OR(INDEX('Facilities'!$AD$9:$AD$108,MATCH(C12,'Facilities'!$C$9:$C$108,0))=2,AND(R12&gt;=INDEX('Facilities'!$L$9:$L$108,MATCH(C12,'Facilities'!$C$9:$C$108,0))*Settings!$F$19,R12-INDEX('Facilities'!$L$9:$L$108,MATCH(C12,'Facilities'!$C$9:$C$108,0))&gt;=Settings!$F$20)),2,1)),"Unavailable"))</x:f>
        <x:v>1</x:v>
      </x:c>
      <x:c r="U12" s="23" t="n">
        <x:f>IF(C12="","",IF(AQ12&lt;&gt;"Ready","Unavailable",IF(C12="","",O12*(1-(1-S12)/(1+INDEX('Facilities'!$K$9:$K$108,MATCH(C12,'Facilities'!$C$9:$C$108,0)))^INDEX('Facilities'!$AK$9:$AK$108,MATCH(C12,'Facilities'!$C$9:$C$108,0)))*R12/(1+INDEX('Facilities'!$K$9:$K$108,MATCH(C12,'Facilities'!$C$9:$C$108,0)))*IF(ABS(1-(1-R12)*(1-INDEX('Facilities'!$R$9:$R$108,MATCH(C12,'Facilities'!$C$9:$C$108,0)))/(1+INDEX('Facilities'!$K$9:$K$108,MATCH(C12,'Facilities'!$C$9:$C$108,0))))&lt;0.000000001,IF(T12=1,MIN(1,AJ12),AJ12),(1-((1-R12)*(1-INDEX('Facilities'!$R$9:$R$108,MATCH(C12,'Facilities'!$C$9:$C$108,0)))/(1+INDEX('Facilities'!$K$9:$K$108,MATCH(C12,'Facilities'!$C$9:$C$108,0))))^IF(T12=1,MIN(1,AJ12),AJ12))/(1-(1-R12)*(1-INDEX('Facilities'!$R$9:$R$108,MATCH(C12,'Facilities'!$C$9:$C$108,0)))/(1+INDEX('Facilities'!$K$9:$K$108,MATCH(C12,'Facilities'!$C$9:$C$108,0)))))+AL12)))</x:f>
        <x:v>0.018011278855211463</x:v>
      </x:c>
      <x:c r="V12" s="23" t="n">
        <x:f>IF(C12="","",IF(AQ12&lt;&gt;"Ready","Unavailable",IF(C12="","",Q12*INDEX('Facilities'!$I$9:$I$108,MATCH(C12,'Facilities'!$C$9:$C$108,0))*(1-(1-S12)/(1+INDEX('Facilities'!$K$9:$K$108,MATCH(C12,'Facilities'!$C$9:$C$108,0)))^INDEX('Facilities'!$AK$9:$AK$108,MATCH(C12,'Facilities'!$C$9:$C$108,0)))*R12/(1+INDEX('Facilities'!$K$9:$K$108,MATCH(C12,'Facilities'!$C$9:$C$108,0)))*IF(ABS(1-(1-R12)*(1-0)/(1+INDEX('Facilities'!$K$9:$K$108,MATCH(C12,'Facilities'!$C$9:$C$108,0))))&lt;0.000000001,IF(T12=1,MIN(1,AJ12),AJ12),(1-((1-R12)*(1-0)/(1+INDEX('Facilities'!$K$9:$K$108,MATCH(C12,'Facilities'!$C$9:$C$108,0))))^IF(T12=1,MIN(1,AJ12),AJ12))/(1-(1-R12)*(1-0)/(1+INDEX('Facilities'!$K$9:$K$108,MATCH(C12,'Facilities'!$C$9:$C$108,0))))))))</x:f>
        <x:v>0.001688779600518248</x:v>
      </x:c>
      <x:c r="W12" s="23" t="n">
        <x:f>IF(C12="","",IFERROR(INDEX(ECL!$AB$9:$AB$108,MATCH(C12,ECL!$C$9:$C$108,0)),"Unavailable"))</x:f>
        <x:v>0.025073353909465024</x:v>
      </x:c>
      <x:c r="X12" s="23" t="n">
        <x:f>IF(C12="","",IFERROR(INDEX(ECL!$AC$9:$AC$108,MATCH(C12,ECL!$C$9:$C$108,0)),"Unavailable"))</x:f>
        <x:v>0.0021994170096021953</x:v>
      </x:c>
      <x:c r="Y12" s="21" t="n">
        <x:f>IF(C12="","",IF(AQ12&lt;&gt;"Ready","Unavailable",IF(C12="","",U12-W12+V12-X12+N12+AG12)))</x:f>
        <x:v>-0.007572712463337509</x:v>
      </x:c>
      <x:c r="Z12" s="23" t="n">
        <x:f>IF(C12="","",IF(AQ12&lt;&gt;"Ready","Unavailable",IF(C12="","",(G12+O12+L12)/2*INDEX('Facilities'!$T$9:$T$108,MATCH(C12,'Facilities'!$C$9:$C$108,0))+AG12)))</x:f>
        <x:v>0.2556925</x:v>
      </x:c>
      <x:c r="AA12" s="23" t="n">
        <x:f>IF(C12="","",IF(AQ12&lt;&gt;"Ready","Unavailable",IF(C12="","",O12*(1-IF(INDEX('Facilities'!$AA$9:$AA$108,MATCH(C12,'Facilities'!$C$9:$C$108,0))=0,0,MIN(1,INDEX('Facilities'!$X$9:$X$108,MATCH(C12,'Facilities'!$C$9:$C$108,0))/INDEX('Facilities'!$AA$9:$AA$108,MATCH(C12,'Facilities'!$C$9:$C$108,0)))))*AF12+P12*(1-IF(INDEX('Facilities'!$AA$9:$AA$108,MATCH(C12,'Facilities'!$C$9:$C$108,0))=0,0,MIN(1,INDEX('Facilities'!$X$9:$X$108,MATCH(C12,'Facilities'!$C$9:$C$108,0))/INDEX('Facilities'!$AA$9:$AA$108,MATCH(C12,'Facilities'!$C$9:$C$108,0)))))*INDEX('Facilities'!$AJ$9:$AJ$108,MATCH(C12,'Facilities'!$C$9:$C$108,0))+Q12*INDEX('Facilities'!$AI$9:$AI$108,MATCH(C12,'Facilities'!$C$9:$C$108,0))*AF12)))</x:f>
        <x:v>2.7961462368</x:v>
      </x:c>
      <x:c r="AB12" s="21" t="n">
        <x:f>IF(C12="","",O12+P12-AD12)</x:f>
        <x:v>-0.31700000000000017</x:v>
      </x:c>
      <x:c r="AC12" s="23" t="n">
        <x:f>IF(C12="","",IFERROR(IF(INDEX('Facilities'!$AD$9:$AD$108,MATCH(C12,'Facilities'!$C$9:$C$108,0))=3,0,IF(INDEX('Facilities'!$AN$9:$AN$108,MATCH(C12,'Facilities'!$C$9:$C$108,0))=0,-1,INDEX('Facilities'!$AN$9:$AN$108,MATCH(C12,'Facilities'!$C$9:$C$108,0)))),"Unavailable"))</x:f>
        <x:v>-1</x:v>
      </x:c>
      <x:c r="AD12" s="21" t="n">
        <x:f>IF(C12="","",IFERROR(G12+H12,"Unavailable"))</x:f>
        <x:v>2.85</x:v>
      </x:c>
      <x:c r="AE12" s="21" t="n">
        <x:f>IF(C12="","",IF(AQ12&lt;&gt;"Ready","Unavailable",IF(C12="","",O12+P12-AD12-J12+K12+M12+N12)))</x:f>
        <x:v>-2.220446049250313e-16</x:v>
      </x:c>
      <x:c r="AF12" s="30" t="n">
        <x:f>IF(C12="","",IFERROR(INDEX('Facilities'!$S$9:$S$108,MATCH(C12,'Facilities'!$C$9:$C$108,0))*'Scenario Paths'!F75,"Unavailable"))</x:f>
        <x:v>1.02</x:v>
      </x:c>
      <x:c r="AG12" s="23" t="n">
        <x:f>IF(C12="","",IF(AQ12&lt;&gt;"Ready","Unavailable",IF(C12="","",IF(H12&gt;0,MAX(0,H12-AK12)*((1+INDEX('Facilities'!$K$9:$K$108,MATCH(C12,'Facilities'!$C$9:$C$108,0)))^MIN(1,MAX(0,AC12+INDEX('Facilities'!$AK$9:$AK$108,MATCH(C12,'Facilities'!$C$9:$C$108,0))-D12+1))-1),0))))</x:f>
        <x:v>0</x:v>
      </x:c>
      <x:c r="AH12" s="21" t="n">
        <x:f>IF(C12="","",IF(AQ12&lt;&gt;"Ready","Unavailable",IF(C12="","",O12+P12)))</x:f>
        <x:v>2.533</x:v>
      </x:c>
      <x:c r="AI12" s="21" t="n">
        <x:f>IF(C12="","",IF(AQ12&lt;&gt;"Ready","Unavailable",IF(C12="","",Z12-Y12)))</x:f>
        <x:v>0.2632652124633375</x:v>
      </x:c>
      <x:c r="AJ12" s="23" t="n">
        <x:f>IF(C12="","",IFERROR(MAX(0,INDEX('Facilities'!$J$9:$J$108,MATCH(C12,'Facilities'!$C$9:$C$108,0))-D12),"Unavailable"))</x:f>
        <x:v>5</x:v>
      </x:c>
      <x:c r="AK12" s="23" t="n">
        <x:f>IF(C12="","",IFERROR(IF(INDEX('Facilities'!$AD$9:$AD$108,MATCH(C12,'Facilities'!$C$9:$C$108,0))=3,W12,0),"Unavailable"))</x:f>
        <x:v>0</x:v>
      </x:c>
      <x:c r="AL12" s="23" t="n">
        <x:f>IF(C12="","",IFERROR(IF(P12&gt;0,P12*(1-AM12/(1+INDEX('Facilities'!$K$9:$K$108,MATCH(C12,'Facilities'!$C$9:$C$108,0)))^MAX(0,AC12+INDEX('Facilities'!$AK$9:$AK$108,MATCH(C12,'Facilities'!$C$9:$C$108,0))-D12)),0),"Unavailable"))</x:f>
        <x:v>0</x:v>
      </x:c>
      <x:c r="AM12" s="30" t="n">
        <x:f>IF(C12="","",IFERROR(INDEX('Facilities'!$AL$9:$AL$108,MATCH(C12,'Facilities'!$C$9:$C$108,0)),"Unavailable"))</x:f>
        <x:v>0.55</x:v>
      </x:c>
      <x:c r="AN12" s="30" t="n">
        <x:f>IF(C12="","",IFERROR(INDEX(Credit!$T$9:$T$108,MATCH(F12,Credit!$C$9:$C$108,0)),"Unavailable"))</x:f>
        <x:v>0.00064</x:v>
      </x:c>
      <x:c r="AO12" s="23" t="n">
        <x:f>IF(C12="","",IF(AQ12&lt;&gt;"Ready","Unavailable",IF(C12="","",O12+P12+Q12*INDEX('Facilities'!$I$9:$I$108,MATCH(C12,'Facilities'!$C$9:$C$108,0)))))</x:f>
        <x:v>2.7704999999999997</x:v>
      </x:c>
      <x:c r="AP12" s="21" t="n">
        <x:f>IF(C12="","",IF(AQ12&lt;&gt;"Ready","Unavailable",IF(C12="","",AH12-U12)))</x:f>
        <x:v>2.5149887211447886</x:v>
      </x:c>
      <x:c r="AQ12" s="23" t="str">
        <x:f>IFERROR(IF(C12="","",IF(AND(INDEX('Facilities'!$AF$9:$AF$108,MATCH(C12,'Facilities'!$C$9:$C$108,0))="Ready",INDEX(Credit!$U$9:$U$108,MATCH(F12,Credit!$C$9:$C$108,0))="Ready",ISNUMBER(W12)),"Ready","Review inputs")),"Review inputs")</x:f>
        <x:v>Ready</x:v>
      </x:c>
      <x:c r="AR12" s="23" t="n">
        <x:f>IF(C12="","",IF(AQ12&lt;&gt;"Ready","Unavailable",IF(C12="","",IF(O12=0,0,(IF(AJ12&lt;=1,O12,O12*INDEX('Facilities'!$R$9:$R$108,MATCH(C12,'Facilities'!$C$9:$C$108,0)))+O12*INDEX('Facilities'!$T$9:$T$108,MATCH(C12,'Facilities'!$C$9:$C$108,0)))/12))))</x:f>
        <x:v>0.04538291666666666</x:v>
      </x:c>
    </x:row>
    <x:row r="13" ht="26" customHeight="1">
      <x:c r="A13" s="1"/>
      <x:c r="B13" s="1"/>
      <x:c r="C13" s="9" t="str">
        <x:f>IF(Facilities!C13="","",Facilities!C13)</x:f>
        <x:v>F005</x:v>
      </x:c>
      <x:c r="D13" s="3" t="n">
        <x:v>1</x:v>
      </x:c>
      <x:c r="E13" s="9" t="n">
        <x:f>Settings!$F$18+0</x:f>
        <x:v>2027</x:v>
      </x:c>
      <x:c r="F13" s="9" t="str">
        <x:f>IF(C13="","",IFERROR(INDEX('Facilities'!$D$9:$D$108,MATCH(C13,'Facilities'!$C$9:$C$108,0)),"Unavailable"))</x:f>
        <x:v>B003</x:v>
      </x:c>
      <x:c r="G13" s="23" t="n">
        <x:f>IF(C13="","",IFERROR(IF(INDEX('Facilities'!$AD$9:$AD$108,MATCH(C13,'Facilities'!$C$9:$C$108,0))=3,0,INDEX('Facilities'!$AA$9:$AA$108,MATCH(C13,'Facilities'!$C$9:$C$108,0))),"Unavailable"))</x:f>
        <x:v>5.7</x:v>
      </x:c>
      <x:c r="H13" s="23" t="n">
        <x:f>IF(C13="","",IFERROR(IF(INDEX('Facilities'!$AD$9:$AD$108,MATCH(C13,'Facilities'!$C$9:$C$108,0))=3,INDEX('Facilities'!$AA$9:$AA$108,MATCH(C13,'Facilities'!$C$9:$C$108,0)),0),"Unavailable"))</x:f>
        <x:v>0</x:v>
      </x:c>
      <x:c r="I13" s="23" t="n">
        <x:f>IF(C13="","",IFERROR(INDEX('Facilities'!$AB$9:$AB$108,MATCH(C13,'Facilities'!$C$9:$C$108,0)),"Unavailable"))</x:f>
        <x:v>1.5</x:v>
      </x:c>
      <x:c r="J13" s="23" t="n">
        <x:f>IF(C13="","",IFERROR(IF(OR(H13&gt;0,AND(AC13&gt;=0,AC13&lt;D13),D13&gt;INDEX('Facilities'!$J$9:$J$108,MATCH(C13,'Facilities'!$C$9:$C$108,0))),0,I13*'Scenario Paths'!F81),"Unavailable"))</x:f>
        <x:v>0.07500000000000001</x:v>
      </x:c>
      <x:c r="K13" s="23" t="n">
        <x:f>IF(C13="","",IFERROR(IF(OR(H13&gt;0,AND(AC13&gt;=0,AC13=D13)),0,IF(D13&gt;=INDEX('Facilities'!$J$9:$J$108,MATCH(C13,'Facilities'!$C$9:$C$108,0)),G13+J13,MIN(G13+J13,G13*INDEX('Facilities'!$R$9:$R$108,MATCH(C13,'Facilities'!$C$9:$C$108,0))))),"Unavailable"))</x:f>
        <x:v>0.6839999999999999</x:v>
      </x:c>
      <x:c r="L13" s="21" t="n">
        <x:f>IF(C13="","",IFERROR(IF(AND(AC13=D13,AC13&gt;0),MAX(0,G13+J13-K13),0),"Unavailable"))</x:f>
        <x:v>0</x:v>
      </x:c>
      <x:c r="M13" s="23" t="n">
        <x:f>IF(C13="","",IFERROR(IF(AND(AC13&gt;=0,D13&gt;=AC13+INDEX('Facilities'!$AK$9:$AK$108,MATCH(C13,'Facilities'!$C$9:$C$108,0))),(H13+L13)*AM13,0),"Unavailable"))</x:f>
        <x:v>0</x:v>
      </x:c>
      <x:c r="N13" s="23" t="n">
        <x:f>IF(C13="","",IFERROR(IF(AND(AC13&gt;=0,D13&gt;=AC13+INDEX('Facilities'!$AK$9:$AK$108,MATCH(C13,'Facilities'!$C$9:$C$108,0))),H13+L13-M13,0),"Unavailable"))</x:f>
        <x:v>0</x:v>
      </x:c>
      <x:c r="O13" s="21" t="n">
        <x:f>IF(C13="","",IFERROR(MAX(0,G13+J13-K13-L13),"Unavailable"))</x:f>
        <x:v>5.091</x:v>
      </x:c>
      <x:c r="P13" s="21" t="n">
        <x:f>IF(C13="","",IFERROR(MAX(0,H13+L13-M13-N13),"Unavailable"))</x:f>
        <x:v>0</x:v>
      </x:c>
      <x:c r="Q13" s="23" t="n">
        <x:f>IF(C13="","",IFERROR(IF(OR(D13&gt;=INDEX('Facilities'!$J$9:$J$108,MATCH(C13,'Facilities'!$C$9:$C$108,0)),AND(AC13&gt;=0,AC13&lt;=D13)),0,MAX(0,I13-J13)),"Unavailable"))</x:f>
        <x:v>1.425</x:v>
      </x:c>
      <x:c r="R13" s="30" t="n">
        <x:f>IF(C13="","",IFERROR(INDEX(Credit!$Q$9:$Q$108,MATCH(F13,Credit!$C$9:$C$108,0)),"Unavailable"))</x:f>
        <x:v>0.027736521633363816</x:v>
      </x:c>
      <x:c r="S13" s="30" t="n">
        <x:f>IF(C13="","",IFERROR(INDEX(Credit!$R$9:$R$108,MATCH(F13,Credit!$C$9:$C$108,0)),"Unavailable"))</x:f>
        <x:v>0.36073216</x:v>
      </x:c>
      <x:c r="T13" s="23" t="n">
        <x:f>IF(C13="","",IFERROR(IF(P13&gt;0,3,IF(OR(INDEX('Facilities'!$AD$9:$AD$108,MATCH(C13,'Facilities'!$C$9:$C$108,0))=2,AND(R13&gt;=INDEX('Facilities'!$L$9:$L$108,MATCH(C13,'Facilities'!$C$9:$C$108,0))*Settings!$F$19,R13-INDEX('Facilities'!$L$9:$L$108,MATCH(C13,'Facilities'!$C$9:$C$108,0))&gt;=Settings!$F$20)),2,1)),"Unavailable"))</x:f>
        <x:v>1</x:v>
      </x:c>
      <x:c r="U13" s="23" t="n">
        <x:f>IF(C13="","",IF(AQ13&lt;&gt;"Ready","Unavailable",IF(C13="","",O13*(1-(1-S13)/(1+INDEX('Facilities'!$K$9:$K$108,MATCH(C13,'Facilities'!$C$9:$C$108,0)))^INDEX('Facilities'!$AK$9:$AK$108,MATCH(C13,'Facilities'!$C$9:$C$108,0)))*R13/(1+INDEX('Facilities'!$K$9:$K$108,MATCH(C13,'Facilities'!$C$9:$C$108,0)))*IF(ABS(1-(1-R13)*(1-INDEX('Facilities'!$R$9:$R$108,MATCH(C13,'Facilities'!$C$9:$C$108,0)))/(1+INDEX('Facilities'!$K$9:$K$108,MATCH(C13,'Facilities'!$C$9:$C$108,0))))&lt;0.000000001,IF(T13=1,MIN(1,AJ13),AJ13),(1-((1-R13)*(1-INDEX('Facilities'!$R$9:$R$108,MATCH(C13,'Facilities'!$C$9:$C$108,0)))/(1+INDEX('Facilities'!$K$9:$K$108,MATCH(C13,'Facilities'!$C$9:$C$108,0))))^IF(T13=1,MIN(1,AJ13),AJ13))/(1-(1-R13)*(1-INDEX('Facilities'!$R$9:$R$108,MATCH(C13,'Facilities'!$C$9:$C$108,0)))/(1+INDEX('Facilities'!$K$9:$K$108,MATCH(C13,'Facilities'!$C$9:$C$108,0)))))+AL13)))</x:f>
        <x:v>0.05908855098651265</x:v>
      </x:c>
      <x:c r="V13" s="23" t="n">
        <x:f>IF(C13="","",IF(AQ13&lt;&gt;"Ready","Unavailable",IF(C13="","",Q13*INDEX('Facilities'!$I$9:$I$108,MATCH(C13,'Facilities'!$C$9:$C$108,0))*(1-(1-S13)/(1+INDEX('Facilities'!$K$9:$K$108,MATCH(C13,'Facilities'!$C$9:$C$108,0)))^INDEX('Facilities'!$AK$9:$AK$108,MATCH(C13,'Facilities'!$C$9:$C$108,0)))*R13/(1+INDEX('Facilities'!$K$9:$K$108,MATCH(C13,'Facilities'!$C$9:$C$108,0)))*IF(ABS(1-(1-R13)*(1-0)/(1+INDEX('Facilities'!$K$9:$K$108,MATCH(C13,'Facilities'!$C$9:$C$108,0))))&lt;0.000000001,IF(T13=1,MIN(1,AJ13),AJ13),(1-((1-R13)*(1-0)/(1+INDEX('Facilities'!$K$9:$K$108,MATCH(C13,'Facilities'!$C$9:$C$108,0))))^IF(T13=1,MIN(1,AJ13),AJ13))/(1-(1-R13)*(1-0)/(1+INDEX('Facilities'!$K$9:$K$108,MATCH(C13,'Facilities'!$C$9:$C$108,0))))))))</x:f>
        <x:v>0.00826961158473586</x:v>
      </x:c>
      <x:c r="W13" s="23" t="n">
        <x:f>IF(C13="","",IFERROR(INDEX(ECL!$AB$9:$AB$108,MATCH(C13,ECL!$C$9:$C$108,0)),"Unavailable"))</x:f>
        <x:v>0.07247561728395063</x:v>
      </x:c>
      <x:c r="X13" s="23" t="n">
        <x:f>IF(C13="","",IFERROR(INDEX(ECL!$AC$9:$AC$108,MATCH(C13,ECL!$C$9:$C$108,0)),"Unavailable"))</x:f>
        <x:v>0.009536265432098767</x:v>
      </x:c>
      <x:c r="Y13" s="21" t="n">
        <x:f>IF(C13="","",IF(AQ13&lt;&gt;"Ready","Unavailable",IF(C13="","",U13-W13+V13-X13+N13+AG13)))</x:f>
        <x:v>-0.014653720144800887</x:v>
      </x:c>
      <x:c r="Z13" s="23" t="n">
        <x:f>IF(C13="","",IF(AQ13&lt;&gt;"Ready","Unavailable",IF(C13="","",(G13+O13+L13)/2*INDEX('Facilities'!$T$9:$T$108,MATCH(C13,'Facilities'!$C$9:$C$108,0))+AG13)))</x:f>
        <x:v>0.5125725</x:v>
      </x:c>
      <x:c r="AA13" s="23" t="n">
        <x:f>IF(C13="","",IF(AQ13&lt;&gt;"Ready","Unavailable",IF(C13="","",O13*(1-IF(INDEX('Facilities'!$AA$9:$AA$108,MATCH(C13,'Facilities'!$C$9:$C$108,0))=0,0,MIN(1,INDEX('Facilities'!$X$9:$X$108,MATCH(C13,'Facilities'!$C$9:$C$108,0))/INDEX('Facilities'!$AA$9:$AA$108,MATCH(C13,'Facilities'!$C$9:$C$108,0)))))*AF13+P13*(1-IF(INDEX('Facilities'!$AA$9:$AA$108,MATCH(C13,'Facilities'!$C$9:$C$108,0))=0,0,MIN(1,INDEX('Facilities'!$X$9:$X$108,MATCH(C13,'Facilities'!$C$9:$C$108,0))/INDEX('Facilities'!$AA$9:$AA$108,MATCH(C13,'Facilities'!$C$9:$C$108,0)))))*INDEX('Facilities'!$AJ$9:$AJ$108,MATCH(C13,'Facilities'!$C$9:$C$108,0))+Q13*INDEX('Facilities'!$AI$9:$AI$108,MATCH(C13,'Facilities'!$C$9:$C$108,0))*AF13)))</x:f>
        <x:v>5.829838070400001</x:v>
      </x:c>
      <x:c r="AB13" s="21" t="n">
        <x:f>IF(C13="","",O13+P13-AD13)</x:f>
        <x:v>-0.609</x:v>
      </x:c>
      <x:c r="AC13" s="23" t="n">
        <x:f>IF(C13="","",IFERROR(IF(INDEX('Facilities'!$AD$9:$AD$108,MATCH(C13,'Facilities'!$C$9:$C$108,0))=3,0,IF(INDEX('Facilities'!$AN$9:$AN$108,MATCH(C13,'Facilities'!$C$9:$C$108,0))=0,-1,INDEX('Facilities'!$AN$9:$AN$108,MATCH(C13,'Facilities'!$C$9:$C$108,0)))),"Unavailable"))</x:f>
        <x:v>-1</x:v>
      </x:c>
      <x:c r="AD13" s="21" t="n">
        <x:f>IF(C13="","",IFERROR(G13+H13,"Unavailable"))</x:f>
        <x:v>5.7</x:v>
      </x:c>
      <x:c r="AE13" s="21" t="n">
        <x:f>IF(C13="","",IF(AQ13&lt;&gt;"Ready","Unavailable",IF(C13="","",O13+P13-AD13-J13+K13+M13+N13)))</x:f>
        <x:v>0</x:v>
      </x:c>
      <x:c r="AF13" s="30" t="n">
        <x:f>IF(C13="","",IFERROR(INDEX('Facilities'!$S$9:$S$108,MATCH(C13,'Facilities'!$C$9:$C$108,0))*'Scenario Paths'!F75,"Unavailable"))</x:f>
        <x:v>1.02</x:v>
      </x:c>
      <x:c r="AG13" s="23" t="n">
        <x:f>IF(C13="","",IF(AQ13&lt;&gt;"Ready","Unavailable",IF(C13="","",IF(H13&gt;0,MAX(0,H13-AK13)*((1+INDEX('Facilities'!$K$9:$K$108,MATCH(C13,'Facilities'!$C$9:$C$108,0)))^MIN(1,MAX(0,AC13+INDEX('Facilities'!$AK$9:$AK$108,MATCH(C13,'Facilities'!$C$9:$C$108,0))-D13+1))-1),0))))</x:f>
        <x:v>0</x:v>
      </x:c>
      <x:c r="AH13" s="21" t="n">
        <x:f>IF(C13="","",IF(AQ13&lt;&gt;"Ready","Unavailable",IF(C13="","",O13+P13)))</x:f>
        <x:v>5.091</x:v>
      </x:c>
      <x:c r="AI13" s="21" t="n">
        <x:f>IF(C13="","",IF(AQ13&lt;&gt;"Ready","Unavailable",IF(C13="","",Z13-Y13)))</x:f>
        <x:v>0.5272262201448009</x:v>
      </x:c>
      <x:c r="AJ13" s="23" t="n">
        <x:f>IF(C13="","",IFERROR(MAX(0,INDEX('Facilities'!$J$9:$J$108,MATCH(C13,'Facilities'!$C$9:$C$108,0))-D13),"Unavailable"))</x:f>
        <x:v>6</x:v>
      </x:c>
      <x:c r="AK13" s="23" t="n">
        <x:f>IF(C13="","",IFERROR(IF(INDEX('Facilities'!$AD$9:$AD$108,MATCH(C13,'Facilities'!$C$9:$C$108,0))=3,W13,0),"Unavailable"))</x:f>
        <x:v>0</x:v>
      </x:c>
      <x:c r="AL13" s="23" t="n">
        <x:f>IF(C13="","",IFERROR(IF(P13&gt;0,P13*(1-AM13/(1+INDEX('Facilities'!$K$9:$K$108,MATCH(C13,'Facilities'!$C$9:$C$108,0)))^MAX(0,AC13+INDEX('Facilities'!$AK$9:$AK$108,MATCH(C13,'Facilities'!$C$9:$C$108,0))-D13)),0),"Unavailable"))</x:f>
        <x:v>0</x:v>
      </x:c>
      <x:c r="AM13" s="30" t="n">
        <x:f>IF(C13="","",IFERROR(INDEX('Facilities'!$AL$9:$AL$108,MATCH(C13,'Facilities'!$C$9:$C$108,0)),"Unavailable"))</x:f>
        <x:v>0.55</x:v>
      </x:c>
      <x:c r="AN13" s="30" t="n">
        <x:f>IF(C13="","",IFERROR(INDEX(Credit!$T$9:$T$108,MATCH(F13,Credit!$C$9:$C$108,0)),"Unavailable"))</x:f>
        <x:v>0.001144</x:v>
      </x:c>
      <x:c r="AO13" s="23" t="n">
        <x:f>IF(C13="","",IF(AQ13&lt;&gt;"Ready","Unavailable",IF(C13="","",O13+P13+Q13*INDEX('Facilities'!$I$9:$I$108,MATCH(C13,'Facilities'!$C$9:$C$108,0)))))</x:f>
        <x:v>5.8035000000000005</x:v>
      </x:c>
      <x:c r="AP13" s="21" t="n">
        <x:f>IF(C13="","",IF(AQ13&lt;&gt;"Ready","Unavailable",IF(C13="","",AH13-U13)))</x:f>
        <x:v>5.031911449013488</x:v>
      </x:c>
      <x:c r="AQ13" s="23" t="str">
        <x:f>IFERROR(IF(C13="","",IF(AND(INDEX('Facilities'!$AF$9:$AF$108,MATCH(C13,'Facilities'!$C$9:$C$108,0))="Ready",INDEX(Credit!$U$9:$U$108,MATCH(F13,Credit!$C$9:$C$108,0))="Ready",ISNUMBER(W13)),"Ready","Review inputs")),"Review inputs")</x:f>
        <x:v>Ready</x:v>
      </x:c>
      <x:c r="AR13" s="23" t="n">
        <x:f>IF(C13="","",IF(AQ13&lt;&gt;"Ready","Unavailable",IF(C13="","",IF(O13=0,0,(IF(AJ13&lt;=1,O13,O13*INDEX('Facilities'!$R$9:$R$108,MATCH(C13,'Facilities'!$C$9:$C$108,0)))+O13*INDEX('Facilities'!$T$9:$T$108,MATCH(C13,'Facilities'!$C$9:$C$108,0)))/12))))</x:f>
        <x:v>0.09121375</x:v>
      </x:c>
    </x:row>
    <x:row r="14" ht="26" customHeight="1">
      <x:c r="A14" s="1"/>
      <x:c r="B14" s="1"/>
      <x:c r="C14" s="9" t="str">
        <x:f>IF(Facilities!C14="","",Facilities!C14)</x:f>
        <x:v>F006</x:v>
      </x:c>
      <x:c r="D14" s="3" t="n">
        <x:v>1</x:v>
      </x:c>
      <x:c r="E14" s="9" t="n">
        <x:f>Settings!$F$18+0</x:f>
        <x:v>2027</x:v>
      </x:c>
      <x:c r="F14" s="9" t="str">
        <x:f>IF(C14="","",IFERROR(INDEX('Facilities'!$D$9:$D$108,MATCH(C14,'Facilities'!$C$9:$C$108,0)),"Unavailable"))</x:f>
        <x:v>B003</x:v>
      </x:c>
      <x:c r="G14" s="23" t="n">
        <x:f>IF(C14="","",IFERROR(IF(INDEX('Facilities'!$AD$9:$AD$108,MATCH(C14,'Facilities'!$C$9:$C$108,0))=3,0,INDEX('Facilities'!$AA$9:$AA$108,MATCH(C14,'Facilities'!$C$9:$C$108,0))),"Unavailable"))</x:f>
        <x:v>3.2</x:v>
      </x:c>
      <x:c r="H14" s="23" t="n">
        <x:f>IF(C14="","",IFERROR(IF(INDEX('Facilities'!$AD$9:$AD$108,MATCH(C14,'Facilities'!$C$9:$C$108,0))=3,INDEX('Facilities'!$AA$9:$AA$108,MATCH(C14,'Facilities'!$C$9:$C$108,0)),0),"Unavailable"))</x:f>
        <x:v>0</x:v>
      </x:c>
      <x:c r="I14" s="23" t="n">
        <x:f>IF(C14="","",IFERROR(INDEX('Facilities'!$AB$9:$AB$108,MATCH(C14,'Facilities'!$C$9:$C$108,0)),"Unavailable"))</x:f>
        <x:v>0.5</x:v>
      </x:c>
      <x:c r="J14" s="23" t="n">
        <x:f>IF(C14="","",IFERROR(IF(OR(H14&gt;0,AND(AC14&gt;=0,AC14&lt;D14),D14&gt;INDEX('Facilities'!$J$9:$J$108,MATCH(C14,'Facilities'!$C$9:$C$108,0))),0,I14*'Scenario Paths'!F81),"Unavailable"))</x:f>
        <x:v>0.025</x:v>
      </x:c>
      <x:c r="K14" s="23" t="n">
        <x:f>IF(C14="","",IFERROR(IF(OR(H14&gt;0,AND(AC14&gt;=0,AC14=D14)),0,IF(D14&gt;=INDEX('Facilities'!$J$9:$J$108,MATCH(C14,'Facilities'!$C$9:$C$108,0)),G14+J14,MIN(G14+J14,G14*INDEX('Facilities'!$R$9:$R$108,MATCH(C14,'Facilities'!$C$9:$C$108,0))))),"Unavailable"))</x:f>
        <x:v>0.384</x:v>
      </x:c>
      <x:c r="L14" s="21" t="n">
        <x:f>IF(C14="","",IFERROR(IF(AND(AC14=D14,AC14&gt;0),MAX(0,G14+J14-K14),0),"Unavailable"))</x:f>
        <x:v>0</x:v>
      </x:c>
      <x:c r="M14" s="23" t="n">
        <x:f>IF(C14="","",IFERROR(IF(AND(AC14&gt;=0,D14&gt;=AC14+INDEX('Facilities'!$AK$9:$AK$108,MATCH(C14,'Facilities'!$C$9:$C$108,0))),(H14+L14)*AM14,0),"Unavailable"))</x:f>
        <x:v>0</x:v>
      </x:c>
      <x:c r="N14" s="23" t="n">
        <x:f>IF(C14="","",IFERROR(IF(AND(AC14&gt;=0,D14&gt;=AC14+INDEX('Facilities'!$AK$9:$AK$108,MATCH(C14,'Facilities'!$C$9:$C$108,0))),H14+L14-M14,0),"Unavailable"))</x:f>
        <x:v>0</x:v>
      </x:c>
      <x:c r="O14" s="21" t="n">
        <x:f>IF(C14="","",IFERROR(MAX(0,G14+J14-K14-L14),"Unavailable"))</x:f>
        <x:v>2.841</x:v>
      </x:c>
      <x:c r="P14" s="21" t="n">
        <x:f>IF(C14="","",IFERROR(MAX(0,H14+L14-M14-N14),"Unavailable"))</x:f>
        <x:v>0</x:v>
      </x:c>
      <x:c r="Q14" s="23" t="n">
        <x:f>IF(C14="","",IFERROR(IF(OR(D14&gt;=INDEX('Facilities'!$J$9:$J$108,MATCH(C14,'Facilities'!$C$9:$C$108,0)),AND(AC14&gt;=0,AC14&lt;=D14)),0,MAX(0,I14-J14)),"Unavailable"))</x:f>
        <x:v>0.475</x:v>
      </x:c>
      <x:c r="R14" s="30" t="n">
        <x:f>IF(C14="","",IFERROR(INDEX(Credit!$Q$9:$Q$108,MATCH(F14,Credit!$C$9:$C$108,0)),"Unavailable"))</x:f>
        <x:v>0.027736521633363816</x:v>
      </x:c>
      <x:c r="S14" s="30" t="n">
        <x:f>IF(C14="","",IFERROR(INDEX(Credit!$R$9:$R$108,MATCH(F14,Credit!$C$9:$C$108,0)),"Unavailable"))</x:f>
        <x:v>0.36073216</x:v>
      </x:c>
      <x:c r="T14" s="23" t="n">
        <x:f>IF(C14="","",IFERROR(IF(P14&gt;0,3,IF(OR(INDEX('Facilities'!$AD$9:$AD$108,MATCH(C14,'Facilities'!$C$9:$C$108,0))=2,AND(R14&gt;=INDEX('Facilities'!$L$9:$L$108,MATCH(C14,'Facilities'!$C$9:$C$108,0))*Settings!$F$19,R14-INDEX('Facilities'!$L$9:$L$108,MATCH(C14,'Facilities'!$C$9:$C$108,0))&gt;=Settings!$F$20)),2,1)),"Unavailable"))</x:f>
        <x:v>1</x:v>
      </x:c>
      <x:c r="U14" s="23" t="n">
        <x:f>IF(C14="","",IF(AQ14&lt;&gt;"Ready","Unavailable",IF(C14="","",O14*(1-(1-S14)/(1+INDEX('Facilities'!$K$9:$K$108,MATCH(C14,'Facilities'!$C$9:$C$108,0)))^INDEX('Facilities'!$AK$9:$AK$108,MATCH(C14,'Facilities'!$C$9:$C$108,0)))*R14/(1+INDEX('Facilities'!$K$9:$K$108,MATCH(C14,'Facilities'!$C$9:$C$108,0)))*IF(ABS(1-(1-R14)*(1-INDEX('Facilities'!$R$9:$R$108,MATCH(C14,'Facilities'!$C$9:$C$108,0)))/(1+INDEX('Facilities'!$K$9:$K$108,MATCH(C14,'Facilities'!$C$9:$C$108,0))))&lt;0.000000001,IF(T14=1,MIN(1,AJ14),AJ14),(1-((1-R14)*(1-INDEX('Facilities'!$R$9:$R$108,MATCH(C14,'Facilities'!$C$9:$C$108,0)))/(1+INDEX('Facilities'!$K$9:$K$108,MATCH(C14,'Facilities'!$C$9:$C$108,0))))^IF(T14=1,MIN(1,AJ14),AJ14))/(1-(1-R14)*(1-INDEX('Facilities'!$R$9:$R$108,MATCH(C14,'Facilities'!$C$9:$C$108,0)))/(1+INDEX('Facilities'!$K$9:$K$108,MATCH(C14,'Facilities'!$C$9:$C$108,0)))))+AL14)))</x:f>
        <x:v>0.032973988087346785</x:v>
      </x:c>
      <x:c r="V14" s="23" t="n">
        <x:f>IF(C14="","",IF(AQ14&lt;&gt;"Ready","Unavailable",IF(C14="","",Q14*INDEX('Facilities'!$I$9:$I$108,MATCH(C14,'Facilities'!$C$9:$C$108,0))*(1-(1-S14)/(1+INDEX('Facilities'!$K$9:$K$108,MATCH(C14,'Facilities'!$C$9:$C$108,0)))^INDEX('Facilities'!$AK$9:$AK$108,MATCH(C14,'Facilities'!$C$9:$C$108,0)))*R14/(1+INDEX('Facilities'!$K$9:$K$108,MATCH(C14,'Facilities'!$C$9:$C$108,0)))*IF(ABS(1-(1-R14)*(1-0)/(1+INDEX('Facilities'!$K$9:$K$108,MATCH(C14,'Facilities'!$C$9:$C$108,0))))&lt;0.000000001,IF(T14=1,MIN(1,AJ14),AJ14),(1-((1-R14)*(1-0)/(1+INDEX('Facilities'!$K$9:$K$108,MATCH(C14,'Facilities'!$C$9:$C$108,0))))^IF(T14=1,MIN(1,AJ14),AJ14))/(1-(1-R14)*(1-0)/(1+INDEX('Facilities'!$K$9:$K$108,MATCH(C14,'Facilities'!$C$9:$C$108,0))))))))</x:f>
        <x:v>0.002756537194911953</x:v>
      </x:c>
      <x:c r="W14" s="23" t="n">
        <x:f>IF(C14="","",IFERROR(INDEX(ECL!$AB$9:$AB$108,MATCH(C14,ECL!$C$9:$C$108,0)),"Unavailable"))</x:f>
        <x:v>0.04068806584362141</x:v>
      </x:c>
      <x:c r="X14" s="23" t="n">
        <x:f>IF(C14="","",IFERROR(INDEX(ECL!$AC$9:$AC$108,MATCH(C14,ECL!$C$9:$C$108,0)),"Unavailable"))</x:f>
        <x:v>0.0031787551440329224</x:v>
      </x:c>
      <x:c r="Y14" s="21" t="n">
        <x:f>IF(C14="","",IF(AQ14&lt;&gt;"Ready","Unavailable",IF(C14="","",U14-W14+V14-X14+N14+AG14)))</x:f>
        <x:v>-0.008136295705395596</x:v>
      </x:c>
      <x:c r="Z14" s="23" t="n">
        <x:f>IF(C14="","",IF(AQ14&lt;&gt;"Ready","Unavailable",IF(C14="","",(G14+O14+L14)/2*INDEX('Facilities'!$T$9:$T$108,MATCH(C14,'Facilities'!$C$9:$C$108,0))+AG14)))</x:f>
        <x:v>0.2869475</x:v>
      </x:c>
      <x:c r="AA14" s="23" t="n">
        <x:f>IF(C14="","",IF(AQ14&lt;&gt;"Ready","Unavailable",IF(C14="","",O14*(1-IF(INDEX('Facilities'!$AA$9:$AA$108,MATCH(C14,'Facilities'!$C$9:$C$108,0))=0,0,MIN(1,INDEX('Facilities'!$X$9:$X$108,MATCH(C14,'Facilities'!$C$9:$C$108,0))/INDEX('Facilities'!$AA$9:$AA$108,MATCH(C14,'Facilities'!$C$9:$C$108,0)))))*AF14+P14*(1-IF(INDEX('Facilities'!$AA$9:$AA$108,MATCH(C14,'Facilities'!$C$9:$C$108,0))=0,0,MIN(1,INDEX('Facilities'!$X$9:$X$108,MATCH(C14,'Facilities'!$C$9:$C$108,0))/INDEX('Facilities'!$AA$9:$AA$108,MATCH(C14,'Facilities'!$C$9:$C$108,0)))))*INDEX('Facilities'!$AJ$9:$AJ$108,MATCH(C14,'Facilities'!$C$9:$C$108,0))+Q14*INDEX('Facilities'!$AI$9:$AI$108,MATCH(C14,'Facilities'!$C$9:$C$108,0))*AF14)))</x:f>
        <x:v>3.0899956704</x:v>
      </x:c>
      <x:c r="AB14" s="21" t="n">
        <x:f>IF(C14="","",O14+P14-AD14)</x:f>
        <x:v>-0.359</x:v>
      </x:c>
      <x:c r="AC14" s="23" t="n">
        <x:f>IF(C14="","",IFERROR(IF(INDEX('Facilities'!$AD$9:$AD$108,MATCH(C14,'Facilities'!$C$9:$C$108,0))=3,0,IF(INDEX('Facilities'!$AN$9:$AN$108,MATCH(C14,'Facilities'!$C$9:$C$108,0))=0,-1,INDEX('Facilities'!$AN$9:$AN$108,MATCH(C14,'Facilities'!$C$9:$C$108,0)))),"Unavailable"))</x:f>
        <x:v>-1</x:v>
      </x:c>
      <x:c r="AD14" s="21" t="n">
        <x:f>IF(C14="","",IFERROR(G14+H14,"Unavailable"))</x:f>
        <x:v>3.2</x:v>
      </x:c>
      <x:c r="AE14" s="21" t="n">
        <x:f>IF(C14="","",IF(AQ14&lt;&gt;"Ready","Unavailable",IF(C14="","",O14+P14-AD14-J14+K14+M14+N14)))</x:f>
        <x:v>0</x:v>
      </x:c>
      <x:c r="AF14" s="30" t="n">
        <x:f>IF(C14="","",IFERROR(INDEX('Facilities'!$S$9:$S$108,MATCH(C14,'Facilities'!$C$9:$C$108,0))*'Scenario Paths'!F75,"Unavailable"))</x:f>
        <x:v>1.02</x:v>
      </x:c>
      <x:c r="AG14" s="23" t="n">
        <x:f>IF(C14="","",IF(AQ14&lt;&gt;"Ready","Unavailable",IF(C14="","",IF(H14&gt;0,MAX(0,H14-AK14)*((1+INDEX('Facilities'!$K$9:$K$108,MATCH(C14,'Facilities'!$C$9:$C$108,0)))^MIN(1,MAX(0,AC14+INDEX('Facilities'!$AK$9:$AK$108,MATCH(C14,'Facilities'!$C$9:$C$108,0))-D14+1))-1),0))))</x:f>
        <x:v>0</x:v>
      </x:c>
      <x:c r="AH14" s="21" t="n">
        <x:f>IF(C14="","",IF(AQ14&lt;&gt;"Ready","Unavailable",IF(C14="","",O14+P14)))</x:f>
        <x:v>2.841</x:v>
      </x:c>
      <x:c r="AI14" s="21" t="n">
        <x:f>IF(C14="","",IF(AQ14&lt;&gt;"Ready","Unavailable",IF(C14="","",Z14-Y14)))</x:f>
        <x:v>0.2950837957053956</x:v>
      </x:c>
      <x:c r="AJ14" s="23" t="n">
        <x:f>IF(C14="","",IFERROR(MAX(0,INDEX('Facilities'!$J$9:$J$108,MATCH(C14,'Facilities'!$C$9:$C$108,0))-D14),"Unavailable"))</x:f>
        <x:v>6</x:v>
      </x:c>
      <x:c r="AK14" s="23" t="n">
        <x:f>IF(C14="","",IFERROR(IF(INDEX('Facilities'!$AD$9:$AD$108,MATCH(C14,'Facilities'!$C$9:$C$108,0))=3,W14,0),"Unavailable"))</x:f>
        <x:v>0</x:v>
      </x:c>
      <x:c r="AL14" s="23" t="n">
        <x:f>IF(C14="","",IFERROR(IF(P14&gt;0,P14*(1-AM14/(1+INDEX('Facilities'!$K$9:$K$108,MATCH(C14,'Facilities'!$C$9:$C$108,0)))^MAX(0,AC14+INDEX('Facilities'!$AK$9:$AK$108,MATCH(C14,'Facilities'!$C$9:$C$108,0))-D14)),0),"Unavailable"))</x:f>
        <x:v>0</x:v>
      </x:c>
      <x:c r="AM14" s="30" t="n">
        <x:f>IF(C14="","",IFERROR(INDEX('Facilities'!$AL$9:$AL$108,MATCH(C14,'Facilities'!$C$9:$C$108,0)),"Unavailable"))</x:f>
        <x:v>0.55</x:v>
      </x:c>
      <x:c r="AN14" s="30" t="n">
        <x:f>IF(C14="","",IFERROR(INDEX(Credit!$T$9:$T$108,MATCH(F14,Credit!$C$9:$C$108,0)),"Unavailable"))</x:f>
        <x:v>0.001144</x:v>
      </x:c>
      <x:c r="AO14" s="23" t="n">
        <x:f>IF(C14="","",IF(AQ14&lt;&gt;"Ready","Unavailable",IF(C14="","",O14+P14+Q14*INDEX('Facilities'!$I$9:$I$108,MATCH(C14,'Facilities'!$C$9:$C$108,0)))))</x:f>
        <x:v>3.0785</x:v>
      </x:c>
      <x:c r="AP14" s="21" t="n">
        <x:f>IF(C14="","",IF(AQ14&lt;&gt;"Ready","Unavailable",IF(C14="","",AH14-U14)))</x:f>
        <x:v>2.8080260119126534</x:v>
      </x:c>
      <x:c r="AQ14" s="23" t="str">
        <x:f>IFERROR(IF(C14="","",IF(AND(INDEX('Facilities'!$AF$9:$AF$108,MATCH(C14,'Facilities'!$C$9:$C$108,0))="Ready",INDEX(Credit!$U$9:$U$108,MATCH(F14,Credit!$C$9:$C$108,0))="Ready",ISNUMBER(W14)),"Ready","Review inputs")),"Review inputs")</x:f>
        <x:v>Ready</x:v>
      </x:c>
      <x:c r="AR14" s="23" t="n">
        <x:f>IF(C14="","",IF(AQ14&lt;&gt;"Ready","Unavailable",IF(C14="","",IF(O14=0,0,(IF(AJ14&lt;=1,O14,O14*INDEX('Facilities'!$R$9:$R$108,MATCH(C14,'Facilities'!$C$9:$C$108,0)))+O14*INDEX('Facilities'!$T$9:$T$108,MATCH(C14,'Facilities'!$C$9:$C$108,0)))/12))))</x:f>
        <x:v>0.05090125</x:v>
      </x:c>
    </x:row>
    <x:row r="15" ht="26" customHeight="1">
      <x:c r="A15" s="1"/>
      <x:c r="B15" s="1"/>
      <x:c r="C15" s="9" t="str">
        <x:f>IF(Facilities!C15="","",Facilities!C15)</x:f>
        <x:v>F007</x:v>
      </x:c>
      <x:c r="D15" s="3" t="n">
        <x:v>1</x:v>
      </x:c>
      <x:c r="E15" s="9" t="n">
        <x:f>Settings!$F$18+0</x:f>
        <x:v>2027</x:v>
      </x:c>
      <x:c r="F15" s="9" t="str">
        <x:f>IF(C15="","",IFERROR(INDEX('Facilities'!$D$9:$D$108,MATCH(C15,'Facilities'!$C$9:$C$108,0)),"Unavailable"))</x:f>
        <x:v>B004</x:v>
      </x:c>
      <x:c r="G15" s="23" t="n">
        <x:f>IF(C15="","",IFERROR(IF(INDEX('Facilities'!$AD$9:$AD$108,MATCH(C15,'Facilities'!$C$9:$C$108,0))=3,0,INDEX('Facilities'!$AA$9:$AA$108,MATCH(C15,'Facilities'!$C$9:$C$108,0))),"Unavailable"))</x:f>
        <x:v>6.05</x:v>
      </x:c>
      <x:c r="H15" s="23" t="n">
        <x:f>IF(C15="","",IFERROR(IF(INDEX('Facilities'!$AD$9:$AD$108,MATCH(C15,'Facilities'!$C$9:$C$108,0))=3,INDEX('Facilities'!$AA$9:$AA$108,MATCH(C15,'Facilities'!$C$9:$C$108,0)),0),"Unavailable"))</x:f>
        <x:v>0</x:v>
      </x:c>
      <x:c r="I15" s="23" t="n">
        <x:f>IF(C15="","",IFERROR(INDEX('Facilities'!$AB$9:$AB$108,MATCH(C15,'Facilities'!$C$9:$C$108,0)),"Unavailable"))</x:f>
        <x:v>1.5</x:v>
      </x:c>
      <x:c r="J15" s="23" t="n">
        <x:f>IF(C15="","",IFERROR(IF(OR(H15&gt;0,AND(AC15&gt;=0,AC15&lt;D15),D15&gt;INDEX('Facilities'!$J$9:$J$108,MATCH(C15,'Facilities'!$C$9:$C$108,0))),0,I15*'Scenario Paths'!F81),"Unavailable"))</x:f>
        <x:v>0.07500000000000001</x:v>
      </x:c>
      <x:c r="K15" s="23" t="n">
        <x:f>IF(C15="","",IFERROR(IF(OR(H15&gt;0,AND(AC15&gt;=0,AC15=D15)),0,IF(D15&gt;=INDEX('Facilities'!$J$9:$J$108,MATCH(C15,'Facilities'!$C$9:$C$108,0)),G15+J15,MIN(G15+J15,G15*INDEX('Facilities'!$R$9:$R$108,MATCH(C15,'Facilities'!$C$9:$C$108,0))))),"Unavailable"))</x:f>
        <x:v>0.726</x:v>
      </x:c>
      <x:c r="L15" s="21" t="n">
        <x:f>IF(C15="","",IFERROR(IF(AND(AC15=D15,AC15&gt;0),MAX(0,G15+J15-K15),0),"Unavailable"))</x:f>
        <x:v>0</x:v>
      </x:c>
      <x:c r="M15" s="23" t="n">
        <x:f>IF(C15="","",IFERROR(IF(AND(AC15&gt;=0,D15&gt;=AC15+INDEX('Facilities'!$AK$9:$AK$108,MATCH(C15,'Facilities'!$C$9:$C$108,0))),(H15+L15)*AM15,0),"Unavailable"))</x:f>
        <x:v>0</x:v>
      </x:c>
      <x:c r="N15" s="23" t="n">
        <x:f>IF(C15="","",IFERROR(IF(AND(AC15&gt;=0,D15&gt;=AC15+INDEX('Facilities'!$AK$9:$AK$108,MATCH(C15,'Facilities'!$C$9:$C$108,0))),H15+L15-M15,0),"Unavailable"))</x:f>
        <x:v>0</x:v>
      </x:c>
      <x:c r="O15" s="21" t="n">
        <x:f>IF(C15="","",IFERROR(MAX(0,G15+J15-K15-L15),"Unavailable"))</x:f>
        <x:v>5.399</x:v>
      </x:c>
      <x:c r="P15" s="21" t="n">
        <x:f>IF(C15="","",IFERROR(MAX(0,H15+L15-M15-N15),"Unavailable"))</x:f>
        <x:v>0</x:v>
      </x:c>
      <x:c r="Q15" s="23" t="n">
        <x:f>IF(C15="","",IFERROR(IF(OR(D15&gt;=INDEX('Facilities'!$J$9:$J$108,MATCH(C15,'Facilities'!$C$9:$C$108,0)),AND(AC15&gt;=0,AC15&lt;=D15)),0,MAX(0,I15-J15)),"Unavailable"))</x:f>
        <x:v>1.425</x:v>
      </x:c>
      <x:c r="R15" s="30" t="n">
        <x:f>IF(C15="","",IFERROR(INDEX(Credit!$Q$9:$Q$108,MATCH(F15,Credit!$C$9:$C$108,0)),"Unavailable"))</x:f>
        <x:v>0.033817818461780946</x:v>
      </x:c>
      <x:c r="S15" s="30" t="n">
        <x:f>IF(C15="","",IFERROR(INDEX(Credit!$R$9:$R$108,MATCH(F15,Credit!$C$9:$C$108,0)),"Unavailable"))</x:f>
        <x:v>0.4004704</x:v>
      </x:c>
      <x:c r="T15" s="23" t="n">
        <x:f>IF(C15="","",IFERROR(IF(P15&gt;0,3,IF(OR(INDEX('Facilities'!$AD$9:$AD$108,MATCH(C15,'Facilities'!$C$9:$C$108,0))=2,AND(R15&gt;=INDEX('Facilities'!$L$9:$L$108,MATCH(C15,'Facilities'!$C$9:$C$108,0))*Settings!$F$19,R15-INDEX('Facilities'!$L$9:$L$108,MATCH(C15,'Facilities'!$C$9:$C$108,0))&gt;=Settings!$F$20)),2,1)),"Unavailable"))</x:f>
        <x:v>1</x:v>
      </x:c>
      <x:c r="U15" s="23" t="n">
        <x:f>IF(C15="","",IF(AQ15&lt;&gt;"Ready","Unavailable",IF(C15="","",O15*(1-(1-S15)/(1+INDEX('Facilities'!$K$9:$K$108,MATCH(C15,'Facilities'!$C$9:$C$108,0)))^INDEX('Facilities'!$AK$9:$AK$108,MATCH(C15,'Facilities'!$C$9:$C$108,0)))*R15/(1+INDEX('Facilities'!$K$9:$K$108,MATCH(C15,'Facilities'!$C$9:$C$108,0)))*IF(ABS(1-(1-R15)*(1-INDEX('Facilities'!$R$9:$R$108,MATCH(C15,'Facilities'!$C$9:$C$108,0)))/(1+INDEX('Facilities'!$K$9:$K$108,MATCH(C15,'Facilities'!$C$9:$C$108,0))))&lt;0.000000001,IF(T15=1,MIN(1,AJ15),AJ15),(1-((1-R15)*(1-INDEX('Facilities'!$R$9:$R$108,MATCH(C15,'Facilities'!$C$9:$C$108,0)))/(1+INDEX('Facilities'!$K$9:$K$108,MATCH(C15,'Facilities'!$C$9:$C$108,0))))^IF(T15=1,MIN(1,AJ15),AJ15))/(1-(1-R15)*(1-INDEX('Facilities'!$R$9:$R$108,MATCH(C15,'Facilities'!$C$9:$C$108,0)))/(1+INDEX('Facilities'!$K$9:$K$108,MATCH(C15,'Facilities'!$C$9:$C$108,0)))))+AL15)))</x:f>
        <x:v>0.0821620808438199</x:v>
      </x:c>
      <x:c r="V15" s="23" t="n">
        <x:f>IF(C15="","",IF(AQ15&lt;&gt;"Ready","Unavailable",IF(C15="","",Q15*INDEX('Facilities'!$I$9:$I$108,MATCH(C15,'Facilities'!$C$9:$C$108,0))*(1-(1-S15)/(1+INDEX('Facilities'!$K$9:$K$108,MATCH(C15,'Facilities'!$C$9:$C$108,0)))^INDEX('Facilities'!$AK$9:$AK$108,MATCH(C15,'Facilities'!$C$9:$C$108,0)))*R15/(1+INDEX('Facilities'!$K$9:$K$108,MATCH(C15,'Facilities'!$C$9:$C$108,0)))*IF(ABS(1-(1-R15)*(1-0)/(1+INDEX('Facilities'!$K$9:$K$108,MATCH(C15,'Facilities'!$C$9:$C$108,0))))&lt;0.000000001,IF(T15=1,MIN(1,AJ15),AJ15),(1-((1-R15)*(1-0)/(1+INDEX('Facilities'!$K$9:$K$108,MATCH(C15,'Facilities'!$C$9:$C$108,0))))^IF(T15=1,MIN(1,AJ15),AJ15))/(1-(1-R15)*(1-0)/(1+INDEX('Facilities'!$K$9:$K$108,MATCH(C15,'Facilities'!$C$9:$C$108,0))))))))</x:f>
        <x:v>0.010842838044308517</x:v>
      </x:c>
      <x:c r="W15" s="23" t="n">
        <x:f>IF(C15="","",IFERROR(INDEX(ECL!$AB$9:$AB$108,MATCH(C15,ECL!$C$9:$C$108,0)),"Unavailable"))</x:f>
        <x:v>0.10360486682670325</x:v>
      </x:c>
      <x:c r="X15" s="23" t="n">
        <x:f>IF(C15="","",IFERROR(INDEX(ECL!$AC$9:$AC$108,MATCH(C15,ECL!$C$9:$C$108,0)),"Unavailable"))</x:f>
        <x:v>0.012843578532235939</x:v>
      </x:c>
      <x:c r="Y15" s="21" t="n">
        <x:f>IF(C15="","",IF(AQ15&lt;&gt;"Ready","Unavailable",IF(C15="","",U15-W15+V15-X15+N15+AG15)))</x:f>
        <x:v>-0.02344352647081077</x:v>
      </x:c>
      <x:c r="Z15" s="23" t="n">
        <x:f>IF(C15="","",IF(AQ15&lt;&gt;"Ready","Unavailable",IF(C15="","",(G15+O15+L15)/2*INDEX('Facilities'!$T$9:$T$108,MATCH(C15,'Facilities'!$C$9:$C$108,0))+AG15)))</x:f>
        <x:v>0.5438275</x:v>
      </x:c>
      <x:c r="AA15" s="23" t="n">
        <x:f>IF(C15="","",IF(AQ15&lt;&gt;"Ready","Unavailable",IF(C15="","",O15*(1-IF(INDEX('Facilities'!$AA$9:$AA$108,MATCH(C15,'Facilities'!$C$9:$C$108,0))=0,0,MIN(1,INDEX('Facilities'!$X$9:$X$108,MATCH(C15,'Facilities'!$C$9:$C$108,0))/INDEX('Facilities'!$AA$9:$AA$108,MATCH(C15,'Facilities'!$C$9:$C$108,0)))))*AF15+P15*(1-IF(INDEX('Facilities'!$AA$9:$AA$108,MATCH(C15,'Facilities'!$C$9:$C$108,0))=0,0,MIN(1,INDEX('Facilities'!$X$9:$X$108,MATCH(C15,'Facilities'!$C$9:$C$108,0))/INDEX('Facilities'!$AA$9:$AA$108,MATCH(C15,'Facilities'!$C$9:$C$108,0)))))*INDEX('Facilities'!$AJ$9:$AJ$108,MATCH(C15,'Facilities'!$C$9:$C$108,0))+Q15*INDEX('Facilities'!$AI$9:$AI$108,MATCH(C15,'Facilities'!$C$9:$C$108,0))*AF15)))</x:f>
        <x:v>6.10156248</x:v>
      </x:c>
      <x:c r="AB15" s="21" t="n">
        <x:f>IF(C15="","",O15+P15-AD15)</x:f>
        <x:v>-0.6509999999999998</x:v>
      </x:c>
      <x:c r="AC15" s="23" t="n">
        <x:f>IF(C15="","",IFERROR(IF(INDEX('Facilities'!$AD$9:$AD$108,MATCH(C15,'Facilities'!$C$9:$C$108,0))=3,0,IF(INDEX('Facilities'!$AN$9:$AN$108,MATCH(C15,'Facilities'!$C$9:$C$108,0))=0,-1,INDEX('Facilities'!$AN$9:$AN$108,MATCH(C15,'Facilities'!$C$9:$C$108,0)))),"Unavailable"))</x:f>
        <x:v>3</x:v>
      </x:c>
      <x:c r="AD15" s="21" t="n">
        <x:f>IF(C15="","",IFERROR(G15+H15,"Unavailable"))</x:f>
        <x:v>6.05</x:v>
      </x:c>
      <x:c r="AE15" s="21" t="n">
        <x:f>IF(C15="","",IF(AQ15&lt;&gt;"Ready","Unavailable",IF(C15="","",O15+P15-AD15-J15+K15+M15+N15)))</x:f>
        <x:v>2.220446049250313e-16</x:v>
      </x:c>
      <x:c r="AF15" s="30" t="n">
        <x:f>IF(C15="","",IFERROR(INDEX('Facilities'!$S$9:$S$108,MATCH(C15,'Facilities'!$C$9:$C$108,0))*'Scenario Paths'!F75,"Unavailable"))</x:f>
        <x:v>1.02</x:v>
      </x:c>
      <x:c r="AG15" s="23" t="n">
        <x:f>IF(C15="","",IF(AQ15&lt;&gt;"Ready","Unavailable",IF(C15="","",IF(H15&gt;0,MAX(0,H15-AK15)*((1+INDEX('Facilities'!$K$9:$K$108,MATCH(C15,'Facilities'!$C$9:$C$108,0)))^MIN(1,MAX(0,AC15+INDEX('Facilities'!$AK$9:$AK$108,MATCH(C15,'Facilities'!$C$9:$C$108,0))-D15+1))-1),0))))</x:f>
        <x:v>0</x:v>
      </x:c>
      <x:c r="AH15" s="21" t="n">
        <x:f>IF(C15="","",IF(AQ15&lt;&gt;"Ready","Unavailable",IF(C15="","",O15+P15)))</x:f>
        <x:v>5.399</x:v>
      </x:c>
      <x:c r="AI15" s="21" t="n">
        <x:f>IF(C15="","",IF(AQ15&lt;&gt;"Ready","Unavailable",IF(C15="","",Z15-Y15)))</x:f>
        <x:v>0.5672710264708107</x:v>
      </x:c>
      <x:c r="AJ15" s="23" t="n">
        <x:f>IF(C15="","",IFERROR(MAX(0,INDEX('Facilities'!$J$9:$J$108,MATCH(C15,'Facilities'!$C$9:$C$108,0))-D15),"Unavailable"))</x:f>
        <x:v>7</x:v>
      </x:c>
      <x:c r="AK15" s="23" t="n">
        <x:f>IF(C15="","",IFERROR(IF(INDEX('Facilities'!$AD$9:$AD$108,MATCH(C15,'Facilities'!$C$9:$C$108,0))=3,W15,0),"Unavailable"))</x:f>
        <x:v>0</x:v>
      </x:c>
      <x:c r="AL15" s="23" t="n">
        <x:f>IF(C15="","",IFERROR(IF(P15&gt;0,P15*(1-AM15/(1+INDEX('Facilities'!$K$9:$K$108,MATCH(C15,'Facilities'!$C$9:$C$108,0)))^MAX(0,AC15+INDEX('Facilities'!$AK$9:$AK$108,MATCH(C15,'Facilities'!$C$9:$C$108,0))-D15)),0),"Unavailable"))</x:f>
        <x:v>0</x:v>
      </x:c>
      <x:c r="AM15" s="30" t="n">
        <x:f>IF(C15="","",IFERROR(INDEX('Facilities'!$AL$9:$AL$108,MATCH(C15,'Facilities'!$C$9:$C$108,0)),"Unavailable"))</x:f>
        <x:v>0.55</x:v>
      </x:c>
      <x:c r="AN15" s="30" t="n">
        <x:f>IF(C15="","",IFERROR(INDEX(Credit!$T$9:$T$108,MATCH(F15,Credit!$C$9:$C$108,0)),"Unavailable"))</x:f>
        <x:v>0.000784</x:v>
      </x:c>
      <x:c r="AO15" s="23" t="n">
        <x:f>IF(C15="","",IF(AQ15&lt;&gt;"Ready","Unavailable",IF(C15="","",O15+P15+Q15*INDEX('Facilities'!$I$9:$I$108,MATCH(C15,'Facilities'!$C$9:$C$108,0)))))</x:f>
        <x:v>6.1115</x:v>
      </x:c>
      <x:c r="AP15" s="21" t="n">
        <x:f>IF(C15="","",IF(AQ15&lt;&gt;"Ready","Unavailable",IF(C15="","",AH15-U15)))</x:f>
        <x:v>5.31683791915618</x:v>
      </x:c>
      <x:c r="AQ15" s="23" t="str">
        <x:f>IFERROR(IF(C15="","",IF(AND(INDEX('Facilities'!$AF$9:$AF$108,MATCH(C15,'Facilities'!$C$9:$C$108,0))="Ready",INDEX(Credit!$U$9:$U$108,MATCH(F15,Credit!$C$9:$C$108,0))="Ready",ISNUMBER(W15)),"Ready","Review inputs")),"Review inputs")</x:f>
        <x:v>Ready</x:v>
      </x:c>
      <x:c r="AR15" s="23" t="n">
        <x:f>IF(C15="","",IF(AQ15&lt;&gt;"Ready","Unavailable",IF(C15="","",IF(O15=0,0,(IF(AJ15&lt;=1,O15,O15*INDEX('Facilities'!$R$9:$R$108,MATCH(C15,'Facilities'!$C$9:$C$108,0)))+O15*INDEX('Facilities'!$T$9:$T$108,MATCH(C15,'Facilities'!$C$9:$C$108,0)))/12))))</x:f>
        <x:v>0.09673208333333334</x:v>
      </x:c>
    </x:row>
    <x:row r="16" ht="26" customHeight="1">
      <x:c r="A16" s="1"/>
      <x:c r="B16" s="1"/>
      <x:c r="C16" s="9" t="str">
        <x:f>IF(Facilities!C16="","",Facilities!C16)</x:f>
        <x:v>F008</x:v>
      </x:c>
      <x:c r="D16" s="3" t="n">
        <x:v>1</x:v>
      </x:c>
      <x:c r="E16" s="9" t="n">
        <x:f>Settings!$F$18+0</x:f>
        <x:v>2027</x:v>
      </x:c>
      <x:c r="F16" s="9" t="str">
        <x:f>IF(C16="","",IFERROR(INDEX('Facilities'!$D$9:$D$108,MATCH(C16,'Facilities'!$C$9:$C$108,0)),"Unavailable"))</x:f>
        <x:v>B004</x:v>
      </x:c>
      <x:c r="G16" s="23" t="n">
        <x:f>IF(C16="","",IFERROR(IF(INDEX('Facilities'!$AD$9:$AD$108,MATCH(C16,'Facilities'!$C$9:$C$108,0))=3,0,INDEX('Facilities'!$AA$9:$AA$108,MATCH(C16,'Facilities'!$C$9:$C$108,0))),"Unavailable"))</x:f>
        <x:v>3.55</x:v>
      </x:c>
      <x:c r="H16" s="23" t="n">
        <x:f>IF(C16="","",IFERROR(IF(INDEX('Facilities'!$AD$9:$AD$108,MATCH(C16,'Facilities'!$C$9:$C$108,0))=3,INDEX('Facilities'!$AA$9:$AA$108,MATCH(C16,'Facilities'!$C$9:$C$108,0)),0),"Unavailable"))</x:f>
        <x:v>0</x:v>
      </x:c>
      <x:c r="I16" s="23" t="n">
        <x:f>IF(C16="","",IFERROR(INDEX('Facilities'!$AB$9:$AB$108,MATCH(C16,'Facilities'!$C$9:$C$108,0)),"Unavailable"))</x:f>
        <x:v>0.5</x:v>
      </x:c>
      <x:c r="J16" s="23" t="n">
        <x:f>IF(C16="","",IFERROR(IF(OR(H16&gt;0,AND(AC16&gt;=0,AC16&lt;D16),D16&gt;INDEX('Facilities'!$J$9:$J$108,MATCH(C16,'Facilities'!$C$9:$C$108,0))),0,I16*'Scenario Paths'!F81),"Unavailable"))</x:f>
        <x:v>0.025</x:v>
      </x:c>
      <x:c r="K16" s="23" t="n">
        <x:f>IF(C16="","",IFERROR(IF(OR(H16&gt;0,AND(AC16&gt;=0,AC16=D16)),0,IF(D16&gt;=INDEX('Facilities'!$J$9:$J$108,MATCH(C16,'Facilities'!$C$9:$C$108,0)),G16+J16,MIN(G16+J16,G16*INDEX('Facilities'!$R$9:$R$108,MATCH(C16,'Facilities'!$C$9:$C$108,0))))),"Unavailable"))</x:f>
        <x:v>0.426</x:v>
      </x:c>
      <x:c r="L16" s="21" t="n">
        <x:f>IF(C16="","",IFERROR(IF(AND(AC16=D16,AC16&gt;0),MAX(0,G16+J16-K16),0),"Unavailable"))</x:f>
        <x:v>0</x:v>
      </x:c>
      <x:c r="M16" s="23" t="n">
        <x:f>IF(C16="","",IFERROR(IF(AND(AC16&gt;=0,D16&gt;=AC16+INDEX('Facilities'!$AK$9:$AK$108,MATCH(C16,'Facilities'!$C$9:$C$108,0))),(H16+L16)*AM16,0),"Unavailable"))</x:f>
        <x:v>0</x:v>
      </x:c>
      <x:c r="N16" s="23" t="n">
        <x:f>IF(C16="","",IFERROR(IF(AND(AC16&gt;=0,D16&gt;=AC16+INDEX('Facilities'!$AK$9:$AK$108,MATCH(C16,'Facilities'!$C$9:$C$108,0))),H16+L16-M16,0),"Unavailable"))</x:f>
        <x:v>0</x:v>
      </x:c>
      <x:c r="O16" s="21" t="n">
        <x:f>IF(C16="","",IFERROR(MAX(0,G16+J16-K16-L16),"Unavailable"))</x:f>
        <x:v>3.1489999999999996</x:v>
      </x:c>
      <x:c r="P16" s="21" t="n">
        <x:f>IF(C16="","",IFERROR(MAX(0,H16+L16-M16-N16),"Unavailable"))</x:f>
        <x:v>0</x:v>
      </x:c>
      <x:c r="Q16" s="23" t="n">
        <x:f>IF(C16="","",IFERROR(IF(OR(D16&gt;=INDEX('Facilities'!$J$9:$J$108,MATCH(C16,'Facilities'!$C$9:$C$108,0)),AND(AC16&gt;=0,AC16&lt;=D16)),0,MAX(0,I16-J16)),"Unavailable"))</x:f>
        <x:v>0.475</x:v>
      </x:c>
      <x:c r="R16" s="30" t="n">
        <x:f>IF(C16="","",IFERROR(INDEX(Credit!$Q$9:$Q$108,MATCH(F16,Credit!$C$9:$C$108,0)),"Unavailable"))</x:f>
        <x:v>0.033817818461780946</x:v>
      </x:c>
      <x:c r="S16" s="30" t="n">
        <x:f>IF(C16="","",IFERROR(INDEX(Credit!$R$9:$R$108,MATCH(F16,Credit!$C$9:$C$108,0)),"Unavailable"))</x:f>
        <x:v>0.4004704</x:v>
      </x:c>
      <x:c r="T16" s="23" t="n">
        <x:f>IF(C16="","",IFERROR(IF(P16&gt;0,3,IF(OR(INDEX('Facilities'!$AD$9:$AD$108,MATCH(C16,'Facilities'!$C$9:$C$108,0))=2,AND(R16&gt;=INDEX('Facilities'!$L$9:$L$108,MATCH(C16,'Facilities'!$C$9:$C$108,0))*Settings!$F$19,R16-INDEX('Facilities'!$L$9:$L$108,MATCH(C16,'Facilities'!$C$9:$C$108,0))&gt;=Settings!$F$20)),2,1)),"Unavailable"))</x:f>
        <x:v>1</x:v>
      </x:c>
      <x:c r="U16" s="23" t="n">
        <x:f>IF(C16="","",IF(AQ16&lt;&gt;"Ready","Unavailable",IF(C16="","",O16*(1-(1-S16)/(1+INDEX('Facilities'!$K$9:$K$108,MATCH(C16,'Facilities'!$C$9:$C$108,0)))^INDEX('Facilities'!$AK$9:$AK$108,MATCH(C16,'Facilities'!$C$9:$C$108,0)))*R16/(1+INDEX('Facilities'!$K$9:$K$108,MATCH(C16,'Facilities'!$C$9:$C$108,0)))*IF(ABS(1-(1-R16)*(1-INDEX('Facilities'!$R$9:$R$108,MATCH(C16,'Facilities'!$C$9:$C$108,0)))/(1+INDEX('Facilities'!$K$9:$K$108,MATCH(C16,'Facilities'!$C$9:$C$108,0))))&lt;0.000000001,IF(T16=1,MIN(1,AJ16),AJ16),(1-((1-R16)*(1-INDEX('Facilities'!$R$9:$R$108,MATCH(C16,'Facilities'!$C$9:$C$108,0)))/(1+INDEX('Facilities'!$K$9:$K$108,MATCH(C16,'Facilities'!$C$9:$C$108,0))))^IF(T16=1,MIN(1,AJ16),AJ16))/(1-(1-R16)*(1-INDEX('Facilities'!$R$9:$R$108,MATCH(C16,'Facilities'!$C$9:$C$108,0)))/(1+INDEX('Facilities'!$K$9:$K$108,MATCH(C16,'Facilities'!$C$9:$C$108,0)))))+AL16)))</x:f>
        <x:v>0.04792153965126669</x:v>
      </x:c>
      <x:c r="V16" s="23" t="n">
        <x:f>IF(C16="","",IF(AQ16&lt;&gt;"Ready","Unavailable",IF(C16="","",Q16*INDEX('Facilities'!$I$9:$I$108,MATCH(C16,'Facilities'!$C$9:$C$108,0))*(1-(1-S16)/(1+INDEX('Facilities'!$K$9:$K$108,MATCH(C16,'Facilities'!$C$9:$C$108,0)))^INDEX('Facilities'!$AK$9:$AK$108,MATCH(C16,'Facilities'!$C$9:$C$108,0)))*R16/(1+INDEX('Facilities'!$K$9:$K$108,MATCH(C16,'Facilities'!$C$9:$C$108,0)))*IF(ABS(1-(1-R16)*(1-0)/(1+INDEX('Facilities'!$K$9:$K$108,MATCH(C16,'Facilities'!$C$9:$C$108,0))))&lt;0.000000001,IF(T16=1,MIN(1,AJ16),AJ16),(1-((1-R16)*(1-0)/(1+INDEX('Facilities'!$K$9:$K$108,MATCH(C16,'Facilities'!$C$9:$C$108,0))))^IF(T16=1,MIN(1,AJ16),AJ16))/(1-(1-R16)*(1-0)/(1+INDEX('Facilities'!$K$9:$K$108,MATCH(C16,'Facilities'!$C$9:$C$108,0))))))))</x:f>
        <x:v>0.003614279348102839</x:v>
      </x:c>
      <x:c r="W16" s="23" t="n">
        <x:f>IF(C16="","",IFERROR(INDEX(ECL!$AB$9:$AB$108,MATCH(C16,ECL!$C$9:$C$108,0)),"Unavailable"))</x:f>
        <x:v>0.060792938385916775</x:v>
      </x:c>
      <x:c r="X16" s="23" t="n">
        <x:f>IF(C16="","",IFERROR(INDEX(ECL!$AC$9:$AC$108,MATCH(C16,ECL!$C$9:$C$108,0)),"Unavailable"))</x:f>
        <x:v>0.004281192844078646</x:v>
      </x:c>
      <x:c r="Y16" s="21" t="n">
        <x:f>IF(C16="","",IF(AQ16&lt;&gt;"Ready","Unavailable",IF(C16="","",U16-W16+V16-X16+N16+AG16)))</x:f>
        <x:v>-0.01353831223062589</x:v>
      </x:c>
      <x:c r="Z16" s="23" t="n">
        <x:f>IF(C16="","",IF(AQ16&lt;&gt;"Ready","Unavailable",IF(C16="","",(G16+O16+L16)/2*INDEX('Facilities'!$T$9:$T$108,MATCH(C16,'Facilities'!$C$9:$C$108,0))+AG16)))</x:f>
        <x:v>0.3182025</x:v>
      </x:c>
      <x:c r="AA16" s="23" t="n">
        <x:f>IF(C16="","",IF(AQ16&lt;&gt;"Ready","Unavailable",IF(C16="","",O16*(1-IF(INDEX('Facilities'!$AA$9:$AA$108,MATCH(C16,'Facilities'!$C$9:$C$108,0))=0,0,MIN(1,INDEX('Facilities'!$X$9:$X$108,MATCH(C16,'Facilities'!$C$9:$C$108,0))/INDEX('Facilities'!$AA$9:$AA$108,MATCH(C16,'Facilities'!$C$9:$C$108,0)))))*AF16+P16*(1-IF(INDEX('Facilities'!$AA$9:$AA$108,MATCH(C16,'Facilities'!$C$9:$C$108,0))=0,0,MIN(1,INDEX('Facilities'!$X$9:$X$108,MATCH(C16,'Facilities'!$C$9:$C$108,0))/INDEX('Facilities'!$AA$9:$AA$108,MATCH(C16,'Facilities'!$C$9:$C$108,0)))))*INDEX('Facilities'!$AJ$9:$AJ$108,MATCH(C16,'Facilities'!$C$9:$C$108,0))+Q16*INDEX('Facilities'!$AI$9:$AI$108,MATCH(C16,'Facilities'!$C$9:$C$108,0))*AF16)))</x:f>
        <x:v>3.37714248</x:v>
      </x:c>
      <x:c r="AB16" s="21" t="n">
        <x:f>IF(C16="","",O16+P16-AD16)</x:f>
        <x:v>-0.40100000000000025</x:v>
      </x:c>
      <x:c r="AC16" s="23" t="n">
        <x:f>IF(C16="","",IFERROR(IF(INDEX('Facilities'!$AD$9:$AD$108,MATCH(C16,'Facilities'!$C$9:$C$108,0))=3,0,IF(INDEX('Facilities'!$AN$9:$AN$108,MATCH(C16,'Facilities'!$C$9:$C$108,0))=0,-1,INDEX('Facilities'!$AN$9:$AN$108,MATCH(C16,'Facilities'!$C$9:$C$108,0)))),"Unavailable"))</x:f>
        <x:v>-1</x:v>
      </x:c>
      <x:c r="AD16" s="21" t="n">
        <x:f>IF(C16="","",IFERROR(G16+H16,"Unavailable"))</x:f>
        <x:v>3.55</x:v>
      </x:c>
      <x:c r="AE16" s="21" t="n">
        <x:f>IF(C16="","",IF(AQ16&lt;&gt;"Ready","Unavailable",IF(C16="","",O16+P16-AD16-J16+K16+M16+N16)))</x:f>
        <x:v>-2.7755575615628914e-16</x:v>
      </x:c>
      <x:c r="AF16" s="30" t="n">
        <x:f>IF(C16="","",IFERROR(INDEX('Facilities'!$S$9:$S$108,MATCH(C16,'Facilities'!$C$9:$C$108,0))*'Scenario Paths'!F75,"Unavailable"))</x:f>
        <x:v>1.02</x:v>
      </x:c>
      <x:c r="AG16" s="23" t="n">
        <x:f>IF(C16="","",IF(AQ16&lt;&gt;"Ready","Unavailable",IF(C16="","",IF(H16&gt;0,MAX(0,H16-AK16)*((1+INDEX('Facilities'!$K$9:$K$108,MATCH(C16,'Facilities'!$C$9:$C$108,0)))^MIN(1,MAX(0,AC16+INDEX('Facilities'!$AK$9:$AK$108,MATCH(C16,'Facilities'!$C$9:$C$108,0))-D16+1))-1),0))))</x:f>
        <x:v>0</x:v>
      </x:c>
      <x:c r="AH16" s="21" t="n">
        <x:f>IF(C16="","",IF(AQ16&lt;&gt;"Ready","Unavailable",IF(C16="","",O16+P16)))</x:f>
        <x:v>3.1489999999999996</x:v>
      </x:c>
      <x:c r="AI16" s="21" t="n">
        <x:f>IF(C16="","",IF(AQ16&lt;&gt;"Ready","Unavailable",IF(C16="","",Z16-Y16)))</x:f>
        <x:v>0.3317408122306259</x:v>
      </x:c>
      <x:c r="AJ16" s="23" t="n">
        <x:f>IF(C16="","",IFERROR(MAX(0,INDEX('Facilities'!$J$9:$J$108,MATCH(C16,'Facilities'!$C$9:$C$108,0))-D16),"Unavailable"))</x:f>
        <x:v>7</x:v>
      </x:c>
      <x:c r="AK16" s="23" t="n">
        <x:f>IF(C16="","",IFERROR(IF(INDEX('Facilities'!$AD$9:$AD$108,MATCH(C16,'Facilities'!$C$9:$C$108,0))=3,W16,0),"Unavailable"))</x:f>
        <x:v>0</x:v>
      </x:c>
      <x:c r="AL16" s="23" t="n">
        <x:f>IF(C16="","",IFERROR(IF(P16&gt;0,P16*(1-AM16/(1+INDEX('Facilities'!$K$9:$K$108,MATCH(C16,'Facilities'!$C$9:$C$108,0)))^MAX(0,AC16+INDEX('Facilities'!$AK$9:$AK$108,MATCH(C16,'Facilities'!$C$9:$C$108,0))-D16)),0),"Unavailable"))</x:f>
        <x:v>0</x:v>
      </x:c>
      <x:c r="AM16" s="30" t="n">
        <x:f>IF(C16="","",IFERROR(INDEX('Facilities'!$AL$9:$AL$108,MATCH(C16,'Facilities'!$C$9:$C$108,0)),"Unavailable"))</x:f>
        <x:v>0.55</x:v>
      </x:c>
      <x:c r="AN16" s="30" t="n">
        <x:f>IF(C16="","",IFERROR(INDEX(Credit!$T$9:$T$108,MATCH(F16,Credit!$C$9:$C$108,0)),"Unavailable"))</x:f>
        <x:v>0.000784</x:v>
      </x:c>
      <x:c r="AO16" s="23" t="n">
        <x:f>IF(C16="","",IF(AQ16&lt;&gt;"Ready","Unavailable",IF(C16="","",O16+P16+Q16*INDEX('Facilities'!$I$9:$I$108,MATCH(C16,'Facilities'!$C$9:$C$108,0)))))</x:f>
        <x:v>3.3864999999999994</x:v>
      </x:c>
      <x:c r="AP16" s="21" t="n">
        <x:f>IF(C16="","",IF(AQ16&lt;&gt;"Ready","Unavailable",IF(C16="","",AH16-U16)))</x:f>
        <x:v>3.1010784603487327</x:v>
      </x:c>
      <x:c r="AQ16" s="23" t="str">
        <x:f>IFERROR(IF(C16="","",IF(AND(INDEX('Facilities'!$AF$9:$AF$108,MATCH(C16,'Facilities'!$C$9:$C$108,0))="Ready",INDEX(Credit!$U$9:$U$108,MATCH(F16,Credit!$C$9:$C$108,0))="Ready",ISNUMBER(W16)),"Ready","Review inputs")),"Review inputs")</x:f>
        <x:v>Ready</x:v>
      </x:c>
      <x:c r="AR16" s="23" t="n">
        <x:f>IF(C16="","",IF(AQ16&lt;&gt;"Ready","Unavailable",IF(C16="","",IF(O16=0,0,(IF(AJ16&lt;=1,O16,O16*INDEX('Facilities'!$R$9:$R$108,MATCH(C16,'Facilities'!$C$9:$C$108,0)))+O16*INDEX('Facilities'!$T$9:$T$108,MATCH(C16,'Facilities'!$C$9:$C$108,0)))/12))))</x:f>
        <x:v>0.05641958333333332</x:v>
      </x:c>
    </x:row>
    <x:row r="17" ht="26" customHeight="1">
      <x:c r="A17" s="1"/>
      <x:c r="B17" s="1"/>
      <x:c r="C17" s="9" t="str">
        <x:f>IF(Facilities!C17="","",Facilities!C17)</x:f>
        <x:v>F009</x:v>
      </x:c>
      <x:c r="D17" s="3" t="n">
        <x:v>1</x:v>
      </x:c>
      <x:c r="E17" s="9" t="n">
        <x:f>Settings!$F$18+0</x:f>
        <x:v>2027</x:v>
      </x:c>
      <x:c r="F17" s="9" t="str">
        <x:f>IF(C17="","",IFERROR(INDEX('Facilities'!$D$9:$D$108,MATCH(C17,'Facilities'!$C$9:$C$108,0)),"Unavailable"))</x:f>
        <x:v>B005</x:v>
      </x:c>
      <x:c r="G17" s="23" t="n">
        <x:f>IF(C17="","",IFERROR(IF(INDEX('Facilities'!$AD$9:$AD$108,MATCH(C17,'Facilities'!$C$9:$C$108,0))=3,0,INDEX('Facilities'!$AA$9:$AA$108,MATCH(C17,'Facilities'!$C$9:$C$108,0))),"Unavailable"))</x:f>
        <x:v>6.4</x:v>
      </x:c>
      <x:c r="H17" s="23" t="n">
        <x:f>IF(C17="","",IFERROR(IF(INDEX('Facilities'!$AD$9:$AD$108,MATCH(C17,'Facilities'!$C$9:$C$108,0))=3,INDEX('Facilities'!$AA$9:$AA$108,MATCH(C17,'Facilities'!$C$9:$C$108,0)),0),"Unavailable"))</x:f>
        <x:v>0</x:v>
      </x:c>
      <x:c r="I17" s="23" t="n">
        <x:f>IF(C17="","",IFERROR(INDEX('Facilities'!$AB$9:$AB$108,MATCH(C17,'Facilities'!$C$9:$C$108,0)),"Unavailable"))</x:f>
        <x:v>1.5</x:v>
      </x:c>
      <x:c r="J17" s="23" t="n">
        <x:f>IF(C17="","",IFERROR(IF(OR(H17&gt;0,AND(AC17&gt;=0,AC17&lt;D17),D17&gt;INDEX('Facilities'!$J$9:$J$108,MATCH(C17,'Facilities'!$C$9:$C$108,0))),0,I17*'Scenario Paths'!F81),"Unavailable"))</x:f>
        <x:v>0.07500000000000001</x:v>
      </x:c>
      <x:c r="K17" s="23" t="n">
        <x:f>IF(C17="","",IFERROR(IF(OR(H17&gt;0,AND(AC17&gt;=0,AC17=D17)),0,IF(D17&gt;=INDEX('Facilities'!$J$9:$J$108,MATCH(C17,'Facilities'!$C$9:$C$108,0)),G17+J17,MIN(G17+J17,G17*INDEX('Facilities'!$R$9:$R$108,MATCH(C17,'Facilities'!$C$9:$C$108,0))))),"Unavailable"))</x:f>
        <x:v>0.768</x:v>
      </x:c>
      <x:c r="L17" s="21" t="n">
        <x:f>IF(C17="","",IFERROR(IF(AND(AC17=D17,AC17&gt;0),MAX(0,G17+J17-K17),0),"Unavailable"))</x:f>
        <x:v>0</x:v>
      </x:c>
      <x:c r="M17" s="23" t="n">
        <x:f>IF(C17="","",IFERROR(IF(AND(AC17&gt;=0,D17&gt;=AC17+INDEX('Facilities'!$AK$9:$AK$108,MATCH(C17,'Facilities'!$C$9:$C$108,0))),(H17+L17)*AM17,0),"Unavailable"))</x:f>
        <x:v>0</x:v>
      </x:c>
      <x:c r="N17" s="23" t="n">
        <x:f>IF(C17="","",IFERROR(IF(AND(AC17&gt;=0,D17&gt;=AC17+INDEX('Facilities'!$AK$9:$AK$108,MATCH(C17,'Facilities'!$C$9:$C$108,0))),H17+L17-M17,0),"Unavailable"))</x:f>
        <x:v>0</x:v>
      </x:c>
      <x:c r="O17" s="21" t="n">
        <x:f>IF(C17="","",IFERROR(MAX(0,G17+J17-K17-L17),"Unavailable"))</x:f>
        <x:v>5.707000000000001</x:v>
      </x:c>
      <x:c r="P17" s="21" t="n">
        <x:f>IF(C17="","",IFERROR(MAX(0,H17+L17-M17-N17),"Unavailable"))</x:f>
        <x:v>0</x:v>
      </x:c>
      <x:c r="Q17" s="23" t="n">
        <x:f>IF(C17="","",IFERROR(IF(OR(D17&gt;=INDEX('Facilities'!$J$9:$J$108,MATCH(C17,'Facilities'!$C$9:$C$108,0)),AND(AC17&gt;=0,AC17&lt;=D17)),0,MAX(0,I17-J17)),"Unavailable"))</x:f>
        <x:v>1.425</x:v>
      </x:c>
      <x:c r="R17" s="30" t="n">
        <x:f>IF(C17="","",IFERROR(INDEX(Credit!$Q$9:$Q$108,MATCH(F17,Credit!$C$9:$C$108,0)),"Unavailable"))</x:f>
        <x:v>0.0411731170323492</x:v>
      </x:c>
      <x:c r="S17" s="30" t="n">
        <x:f>IF(C17="","",IFERROR(INDEX(Credit!$R$9:$R$108,MATCH(F17,Credit!$C$9:$C$108,0)),"Unavailable"))</x:f>
        <x:v>0.44076160000000003</x:v>
      </x:c>
      <x:c r="T17" s="23" t="n">
        <x:f>IF(C17="","",IFERROR(IF(P17&gt;0,3,IF(OR(INDEX('Facilities'!$AD$9:$AD$108,MATCH(C17,'Facilities'!$C$9:$C$108,0))=2,AND(R17&gt;=INDEX('Facilities'!$L$9:$L$108,MATCH(C17,'Facilities'!$C$9:$C$108,0))*Settings!$F$19,R17-INDEX('Facilities'!$L$9:$L$108,MATCH(C17,'Facilities'!$C$9:$C$108,0))&gt;=Settings!$F$20)),2,1)),"Unavailable"))</x:f>
        <x:v>2</x:v>
      </x:c>
      <x:c r="U17" s="23" t="n">
        <x:f>IF(C17="","",IF(AQ17&lt;&gt;"Ready","Unavailable",IF(C17="","",O17*(1-(1-S17)/(1+INDEX('Facilities'!$K$9:$K$108,MATCH(C17,'Facilities'!$C$9:$C$108,0)))^INDEX('Facilities'!$AK$9:$AK$108,MATCH(C17,'Facilities'!$C$9:$C$108,0)))*R17/(1+INDEX('Facilities'!$K$9:$K$108,MATCH(C17,'Facilities'!$C$9:$C$108,0)))*IF(ABS(1-(1-R17)*(1-INDEX('Facilities'!$R$9:$R$108,MATCH(C17,'Facilities'!$C$9:$C$108,0)))/(1+INDEX('Facilities'!$K$9:$K$108,MATCH(C17,'Facilities'!$C$9:$C$108,0))))&lt;0.000000001,IF(T17=1,MIN(1,AJ17),AJ17),(1-((1-R17)*(1-INDEX('Facilities'!$R$9:$R$108,MATCH(C17,'Facilities'!$C$9:$C$108,0)))/(1+INDEX('Facilities'!$K$9:$K$108,MATCH(C17,'Facilities'!$C$9:$C$108,0))))^IF(T17=1,MIN(1,AJ17),AJ17))/(1-(1-R17)*(1-INDEX('Facilities'!$R$9:$R$108,MATCH(C17,'Facilities'!$C$9:$C$108,0)))/(1+INDEX('Facilities'!$K$9:$K$108,MATCH(C17,'Facilities'!$C$9:$C$108,0)))))+AL17)))</x:f>
        <x:v>0.44590516968210525</x:v>
      </x:c>
      <x:c r="V17" s="23" t="n">
        <x:f>IF(C17="","",IF(AQ17&lt;&gt;"Ready","Unavailable",IF(C17="","",Q17*INDEX('Facilities'!$I$9:$I$108,MATCH(C17,'Facilities'!$C$9:$C$108,0))*(1-(1-S17)/(1+INDEX('Facilities'!$K$9:$K$108,MATCH(C17,'Facilities'!$C$9:$C$108,0)))^INDEX('Facilities'!$AK$9:$AK$108,MATCH(C17,'Facilities'!$C$9:$C$108,0)))*R17/(1+INDEX('Facilities'!$K$9:$K$108,MATCH(C17,'Facilities'!$C$9:$C$108,0)))*IF(ABS(1-(1-R17)*(1-0)/(1+INDEX('Facilities'!$K$9:$K$108,MATCH(C17,'Facilities'!$C$9:$C$108,0))))&lt;0.000000001,IF(T17=1,MIN(1,AJ17),AJ17),(1-((1-R17)*(1-0)/(1+INDEX('Facilities'!$K$9:$K$108,MATCH(C17,'Facilities'!$C$9:$C$108,0))))^IF(T17=1,MIN(1,AJ17),AJ17))/(1-(1-R17)*(1-0)/(1+INDEX('Facilities'!$K$9:$K$108,MATCH(C17,'Facilities'!$C$9:$C$108,0))))))))</x:f>
        <x:v>0.07738424077240802</x:v>
      </x:c>
      <x:c r="W17" s="23" t="n">
        <x:f>IF(C17="","",IFERROR(INDEX(ECL!$AB$9:$AB$108,MATCH(C17,ECL!$C$9:$C$108,0)),"Unavailable"))</x:f>
        <x:v>0.5636824352690273</x:v>
      </x:c>
      <x:c r="X17" s="23" t="n">
        <x:f>IF(C17="","",IFERROR(INDEX(ECL!$AC$9:$AC$108,MATCH(C17,ECL!$C$9:$C$108,0)),"Unavailable"))</x:f>
        <x:v>0.0944238627180656</x:v>
      </x:c>
      <x:c r="Y17" s="21" t="n">
        <x:f>IF(C17="","",IF(AQ17&lt;&gt;"Ready","Unavailable",IF(C17="","",U17-W17+V17-X17+N17+AG17)))</x:f>
        <x:v>-0.13481688753257962</x:v>
      </x:c>
      <x:c r="Z17" s="23" t="n">
        <x:f>IF(C17="","",IF(AQ17&lt;&gt;"Ready","Unavailable",IF(C17="","",(G17+O17+L17)/2*INDEX('Facilities'!$T$9:$T$108,MATCH(C17,'Facilities'!$C$9:$C$108,0))+AG17)))</x:f>
        <x:v>0.5750825</x:v>
      </x:c>
      <x:c r="AA17" s="23" t="n">
        <x:f>IF(C17="","",IF(AQ17&lt;&gt;"Ready","Unavailable",IF(C17="","",O17*(1-IF(INDEX('Facilities'!$AA$9:$AA$108,MATCH(C17,'Facilities'!$C$9:$C$108,0))=0,0,MIN(1,INDEX('Facilities'!$X$9:$X$108,MATCH(C17,'Facilities'!$C$9:$C$108,0))/INDEX('Facilities'!$AA$9:$AA$108,MATCH(C17,'Facilities'!$C$9:$C$108,0)))))*AF17+P17*(1-IF(INDEX('Facilities'!$AA$9:$AA$108,MATCH(C17,'Facilities'!$C$9:$C$108,0))=0,0,MIN(1,INDEX('Facilities'!$X$9:$X$108,MATCH(C17,'Facilities'!$C$9:$C$108,0))/INDEX('Facilities'!$AA$9:$AA$108,MATCH(C17,'Facilities'!$C$9:$C$108,0)))))*INDEX('Facilities'!$AJ$9:$AJ$108,MATCH(C17,'Facilities'!$C$9:$C$108,0))+Q17*INDEX('Facilities'!$AI$9:$AI$108,MATCH(C17,'Facilities'!$C$9:$C$108,0))*AF17)))</x:f>
        <x:v>6.363476284800001</x:v>
      </x:c>
      <x:c r="AB17" s="21" t="n">
        <x:f>IF(C17="","",O17+P17-AD17)</x:f>
        <x:v>-0.6929999999999996</x:v>
      </x:c>
      <x:c r="AC17" s="23" t="n">
        <x:f>IF(C17="","",IFERROR(IF(INDEX('Facilities'!$AD$9:$AD$108,MATCH(C17,'Facilities'!$C$9:$C$108,0))=3,0,IF(INDEX('Facilities'!$AN$9:$AN$108,MATCH(C17,'Facilities'!$C$9:$C$108,0))=0,-1,INDEX('Facilities'!$AN$9:$AN$108,MATCH(C17,'Facilities'!$C$9:$C$108,0)))),"Unavailable"))</x:f>
        <x:v>-1</x:v>
      </x:c>
      <x:c r="AD17" s="21" t="n">
        <x:f>IF(C17="","",IFERROR(G17+H17,"Unavailable"))</x:f>
        <x:v>6.4</x:v>
      </x:c>
      <x:c r="AE17" s="21" t="n">
        <x:f>IF(C17="","",IF(AQ17&lt;&gt;"Ready","Unavailable",IF(C17="","",O17+P17-AD17-J17+K17+M17+N17)))</x:f>
        <x:v>4.440892098500626e-16</x:v>
      </x:c>
      <x:c r="AF17" s="30" t="n">
        <x:f>IF(C17="","",IFERROR(INDEX('Facilities'!$S$9:$S$108,MATCH(C17,'Facilities'!$C$9:$C$108,0))*'Scenario Paths'!F75,"Unavailable"))</x:f>
        <x:v>1.02</x:v>
      </x:c>
      <x:c r="AG17" s="23" t="n">
        <x:f>IF(C17="","",IF(AQ17&lt;&gt;"Ready","Unavailable",IF(C17="","",IF(H17&gt;0,MAX(0,H17-AK17)*((1+INDEX('Facilities'!$K$9:$K$108,MATCH(C17,'Facilities'!$C$9:$C$108,0)))^MIN(1,MAX(0,AC17+INDEX('Facilities'!$AK$9:$AK$108,MATCH(C17,'Facilities'!$C$9:$C$108,0))-D17+1))-1),0))))</x:f>
        <x:v>0</x:v>
      </x:c>
      <x:c r="AH17" s="21" t="n">
        <x:f>IF(C17="","",IF(AQ17&lt;&gt;"Ready","Unavailable",IF(C17="","",O17+P17)))</x:f>
        <x:v>5.707000000000001</x:v>
      </x:c>
      <x:c r="AI17" s="21" t="n">
        <x:f>IF(C17="","",IF(AQ17&lt;&gt;"Ready","Unavailable",IF(C17="","",Z17-Y17)))</x:f>
        <x:v>0.7098993875325796</x:v>
      </x:c>
      <x:c r="AJ17" s="23" t="n">
        <x:f>IF(C17="","",IFERROR(MAX(0,INDEX('Facilities'!$J$9:$J$108,MATCH(C17,'Facilities'!$C$9:$C$108,0))-D17),"Unavailable"))</x:f>
        <x:v>8</x:v>
      </x:c>
      <x:c r="AK17" s="23" t="n">
        <x:f>IF(C17="","",IFERROR(IF(INDEX('Facilities'!$AD$9:$AD$108,MATCH(C17,'Facilities'!$C$9:$C$108,0))=3,W17,0),"Unavailable"))</x:f>
        <x:v>0</x:v>
      </x:c>
      <x:c r="AL17" s="23" t="n">
        <x:f>IF(C17="","",IFERROR(IF(P17&gt;0,P17*(1-AM17/(1+INDEX('Facilities'!$K$9:$K$108,MATCH(C17,'Facilities'!$C$9:$C$108,0)))^MAX(0,AC17+INDEX('Facilities'!$AK$9:$AK$108,MATCH(C17,'Facilities'!$C$9:$C$108,0))-D17)),0),"Unavailable"))</x:f>
        <x:v>0</x:v>
      </x:c>
      <x:c r="AM17" s="30" t="n">
        <x:f>IF(C17="","",IFERROR(INDEX('Facilities'!$AL$9:$AL$108,MATCH(C17,'Facilities'!$C$9:$C$108,0)),"Unavailable"))</x:f>
        <x:v>0.55</x:v>
      </x:c>
      <x:c r="AN17" s="30" t="n">
        <x:f>IF(C17="","",IFERROR(INDEX(Credit!$T$9:$T$108,MATCH(F17,Credit!$C$9:$C$108,0)),"Unavailable"))</x:f>
        <x:v>0.00136</x:v>
      </x:c>
      <x:c r="AO17" s="23" t="n">
        <x:f>IF(C17="","",IF(AQ17&lt;&gt;"Ready","Unavailable",IF(C17="","",O17+P17+Q17*INDEX('Facilities'!$I$9:$I$108,MATCH(C17,'Facilities'!$C$9:$C$108,0)))))</x:f>
        <x:v>6.419500000000001</x:v>
      </x:c>
      <x:c r="AP17" s="21" t="n">
        <x:f>IF(C17="","",IF(AQ17&lt;&gt;"Ready","Unavailable",IF(C17="","",AH17-U17)))</x:f>
        <x:v>5.261094830317895</x:v>
      </x:c>
      <x:c r="AQ17" s="23" t="str">
        <x:f>IFERROR(IF(C17="","",IF(AND(INDEX('Facilities'!$AF$9:$AF$108,MATCH(C17,'Facilities'!$C$9:$C$108,0))="Ready",INDEX(Credit!$U$9:$U$108,MATCH(F17,Credit!$C$9:$C$108,0))="Ready",ISNUMBER(W17)),"Ready","Review inputs")),"Review inputs")</x:f>
        <x:v>Ready</x:v>
      </x:c>
      <x:c r="AR17" s="23" t="n">
        <x:f>IF(C17="","",IF(AQ17&lt;&gt;"Ready","Unavailable",IF(C17="","",IF(O17=0,0,(IF(AJ17&lt;=1,O17,O17*INDEX('Facilities'!$R$9:$R$108,MATCH(C17,'Facilities'!$C$9:$C$108,0)))+O17*INDEX('Facilities'!$T$9:$T$108,MATCH(C17,'Facilities'!$C$9:$C$108,0)))/12))))</x:f>
        <x:v>0.10225041666666668</x:v>
      </x:c>
    </x:row>
    <x:row r="18" ht="26" customHeight="1">
      <x:c r="A18" s="1"/>
      <x:c r="B18" s="1"/>
      <x:c r="C18" s="9" t="str">
        <x:f>IF(Facilities!C18="","",Facilities!C18)</x:f>
        <x:v>F010</x:v>
      </x:c>
      <x:c r="D18" s="3" t="n">
        <x:v>1</x:v>
      </x:c>
      <x:c r="E18" s="9" t="n">
        <x:f>Settings!$F$18+0</x:f>
        <x:v>2027</x:v>
      </x:c>
      <x:c r="F18" s="9" t="str">
        <x:f>IF(C18="","",IFERROR(INDEX('Facilities'!$D$9:$D$108,MATCH(C18,'Facilities'!$C$9:$C$108,0)),"Unavailable"))</x:f>
        <x:v>B005</x:v>
      </x:c>
      <x:c r="G18" s="23" t="n">
        <x:f>IF(C18="","",IFERROR(IF(INDEX('Facilities'!$AD$9:$AD$108,MATCH(C18,'Facilities'!$C$9:$C$108,0))=3,0,INDEX('Facilities'!$AA$9:$AA$108,MATCH(C18,'Facilities'!$C$9:$C$108,0))),"Unavailable"))</x:f>
        <x:v>3.9</x:v>
      </x:c>
      <x:c r="H18" s="23" t="n">
        <x:f>IF(C18="","",IFERROR(IF(INDEX('Facilities'!$AD$9:$AD$108,MATCH(C18,'Facilities'!$C$9:$C$108,0))=3,INDEX('Facilities'!$AA$9:$AA$108,MATCH(C18,'Facilities'!$C$9:$C$108,0)),0),"Unavailable"))</x:f>
        <x:v>0</x:v>
      </x:c>
      <x:c r="I18" s="23" t="n">
        <x:f>IF(C18="","",IFERROR(INDEX('Facilities'!$AB$9:$AB$108,MATCH(C18,'Facilities'!$C$9:$C$108,0)),"Unavailable"))</x:f>
        <x:v>0.5</x:v>
      </x:c>
      <x:c r="J18" s="23" t="n">
        <x:f>IF(C18="","",IFERROR(IF(OR(H18&gt;0,AND(AC18&gt;=0,AC18&lt;D18),D18&gt;INDEX('Facilities'!$J$9:$J$108,MATCH(C18,'Facilities'!$C$9:$C$108,0))),0,I18*'Scenario Paths'!F81),"Unavailable"))</x:f>
        <x:v>0.025</x:v>
      </x:c>
      <x:c r="K18" s="23" t="n">
        <x:f>IF(C18="","",IFERROR(IF(OR(H18&gt;0,AND(AC18&gt;=0,AC18=D18)),0,IF(D18&gt;=INDEX('Facilities'!$J$9:$J$108,MATCH(C18,'Facilities'!$C$9:$C$108,0)),G18+J18,MIN(G18+J18,G18*INDEX('Facilities'!$R$9:$R$108,MATCH(C18,'Facilities'!$C$9:$C$108,0))))),"Unavailable"))</x:f>
        <x:v>0.46799999999999997</x:v>
      </x:c>
      <x:c r="L18" s="21" t="n">
        <x:f>IF(C18="","",IFERROR(IF(AND(AC18=D18,AC18&gt;0),MAX(0,G18+J18-K18),0),"Unavailable"))</x:f>
        <x:v>0</x:v>
      </x:c>
      <x:c r="M18" s="23" t="n">
        <x:f>IF(C18="","",IFERROR(IF(AND(AC18&gt;=0,D18&gt;=AC18+INDEX('Facilities'!$AK$9:$AK$108,MATCH(C18,'Facilities'!$C$9:$C$108,0))),(H18+L18)*AM18,0),"Unavailable"))</x:f>
        <x:v>0</x:v>
      </x:c>
      <x:c r="N18" s="23" t="n">
        <x:f>IF(C18="","",IFERROR(IF(AND(AC18&gt;=0,D18&gt;=AC18+INDEX('Facilities'!$AK$9:$AK$108,MATCH(C18,'Facilities'!$C$9:$C$108,0))),H18+L18-M18,0),"Unavailable"))</x:f>
        <x:v>0</x:v>
      </x:c>
      <x:c r="O18" s="21" t="n">
        <x:f>IF(C18="","",IFERROR(MAX(0,G18+J18-K18-L18),"Unavailable"))</x:f>
        <x:v>3.457</x:v>
      </x:c>
      <x:c r="P18" s="21" t="n">
        <x:f>IF(C18="","",IFERROR(MAX(0,H18+L18-M18-N18),"Unavailable"))</x:f>
        <x:v>0</x:v>
      </x:c>
      <x:c r="Q18" s="23" t="n">
        <x:f>IF(C18="","",IFERROR(IF(OR(D18&gt;=INDEX('Facilities'!$J$9:$J$108,MATCH(C18,'Facilities'!$C$9:$C$108,0)),AND(AC18&gt;=0,AC18&lt;=D18)),0,MAX(0,I18-J18)),"Unavailable"))</x:f>
        <x:v>0.475</x:v>
      </x:c>
      <x:c r="R18" s="30" t="n">
        <x:f>IF(C18="","",IFERROR(INDEX(Credit!$Q$9:$Q$108,MATCH(F18,Credit!$C$9:$C$108,0)),"Unavailable"))</x:f>
        <x:v>0.0411731170323492</x:v>
      </x:c>
      <x:c r="S18" s="30" t="n">
        <x:f>IF(C18="","",IFERROR(INDEX(Credit!$R$9:$R$108,MATCH(F18,Credit!$C$9:$C$108,0)),"Unavailable"))</x:f>
        <x:v>0.44076160000000003</x:v>
      </x:c>
      <x:c r="T18" s="23" t="n">
        <x:f>IF(C18="","",IFERROR(IF(P18&gt;0,3,IF(OR(INDEX('Facilities'!$AD$9:$AD$108,MATCH(C18,'Facilities'!$C$9:$C$108,0))=2,AND(R18&gt;=INDEX('Facilities'!$L$9:$L$108,MATCH(C18,'Facilities'!$C$9:$C$108,0))*Settings!$F$19,R18-INDEX('Facilities'!$L$9:$L$108,MATCH(C18,'Facilities'!$C$9:$C$108,0))&gt;=Settings!$F$20)),2,1)),"Unavailable"))</x:f>
        <x:v>2</x:v>
      </x:c>
      <x:c r="U18" s="23" t="n">
        <x:f>IF(C18="","",IF(AQ18&lt;&gt;"Ready","Unavailable",IF(C18="","",O18*(1-(1-S18)/(1+INDEX('Facilities'!$K$9:$K$108,MATCH(C18,'Facilities'!$C$9:$C$108,0)))^INDEX('Facilities'!$AK$9:$AK$108,MATCH(C18,'Facilities'!$C$9:$C$108,0)))*R18/(1+INDEX('Facilities'!$K$9:$K$108,MATCH(C18,'Facilities'!$C$9:$C$108,0)))*IF(ABS(1-(1-R18)*(1-INDEX('Facilities'!$R$9:$R$108,MATCH(C18,'Facilities'!$C$9:$C$108,0)))/(1+INDEX('Facilities'!$K$9:$K$108,MATCH(C18,'Facilities'!$C$9:$C$108,0))))&lt;0.000000001,IF(T18=1,MIN(1,AJ18),AJ18),(1-((1-R18)*(1-INDEX('Facilities'!$R$9:$R$108,MATCH(C18,'Facilities'!$C$9:$C$108,0)))/(1+INDEX('Facilities'!$K$9:$K$108,MATCH(C18,'Facilities'!$C$9:$C$108,0))))^IF(T18=1,MIN(1,AJ18),AJ18))/(1-(1-R18)*(1-INDEX('Facilities'!$R$9:$R$108,MATCH(C18,'Facilities'!$C$9:$C$108,0)))/(1+INDEX('Facilities'!$K$9:$K$108,MATCH(C18,'Facilities'!$C$9:$C$108,0)))))+AL18)))</x:f>
        <x:v>0.27010586500631467</x:v>
      </x:c>
      <x:c r="V18" s="23" t="n">
        <x:f>IF(C18="","",IF(AQ18&lt;&gt;"Ready","Unavailable",IF(C18="","",Q18*INDEX('Facilities'!$I$9:$I$108,MATCH(C18,'Facilities'!$C$9:$C$108,0))*(1-(1-S18)/(1+INDEX('Facilities'!$K$9:$K$108,MATCH(C18,'Facilities'!$C$9:$C$108,0)))^INDEX('Facilities'!$AK$9:$AK$108,MATCH(C18,'Facilities'!$C$9:$C$108,0)))*R18/(1+INDEX('Facilities'!$K$9:$K$108,MATCH(C18,'Facilities'!$C$9:$C$108,0)))*IF(ABS(1-(1-R18)*(1-0)/(1+INDEX('Facilities'!$K$9:$K$108,MATCH(C18,'Facilities'!$C$9:$C$108,0))))&lt;0.000000001,IF(T18=1,MIN(1,AJ18),AJ18),(1-((1-R18)*(1-0)/(1+INDEX('Facilities'!$K$9:$K$108,MATCH(C18,'Facilities'!$C$9:$C$108,0))))^IF(T18=1,MIN(1,AJ18),AJ18))/(1-(1-R18)*(1-0)/(1+INDEX('Facilities'!$K$9:$K$108,MATCH(C18,'Facilities'!$C$9:$C$108,0))))))))</x:f>
        <x:v>0.025794746924136008</x:v>
      </x:c>
      <x:c r="W18" s="23" t="n">
        <x:f>IF(C18="","",IFERROR(INDEX(ECL!$AB$9:$AB$108,MATCH(C18,ECL!$C$9:$C$108,0)),"Unavailable"))</x:f>
        <x:v>0.34349398399206343</x:v>
      </x:c>
      <x:c r="X18" s="23" t="n">
        <x:f>IF(C18="","",IFERROR(INDEX(ECL!$AC$9:$AC$108,MATCH(C18,ECL!$C$9:$C$108,0)),"Unavailable"))</x:f>
        <x:v>0.03147462090602186</x:v>
      </x:c>
      <x:c r="Y18" s="21" t="n">
        <x:f>IF(C18="","",IF(AQ18&lt;&gt;"Ready","Unavailable",IF(C18="","",U18-W18+V18-X18+N18+AG18)))</x:f>
        <x:v>-0.07906799296763461</x:v>
      </x:c>
      <x:c r="Z18" s="23" t="n">
        <x:f>IF(C18="","",IF(AQ18&lt;&gt;"Ready","Unavailable",IF(C18="","",(G18+O18+L18)/2*INDEX('Facilities'!$T$9:$T$108,MATCH(C18,'Facilities'!$C$9:$C$108,0))+AG18)))</x:f>
        <x:v>0.3494575</x:v>
      </x:c>
      <x:c r="AA18" s="23" t="n">
        <x:f>IF(C18="","",IF(AQ18&lt;&gt;"Ready","Unavailable",IF(C18="","",O18*(1-IF(INDEX('Facilities'!$AA$9:$AA$108,MATCH(C18,'Facilities'!$C$9:$C$108,0))=0,0,MIN(1,INDEX('Facilities'!$X$9:$X$108,MATCH(C18,'Facilities'!$C$9:$C$108,0))/INDEX('Facilities'!$AA$9:$AA$108,MATCH(C18,'Facilities'!$C$9:$C$108,0)))))*AF18+P18*(1-IF(INDEX('Facilities'!$AA$9:$AA$108,MATCH(C18,'Facilities'!$C$9:$C$108,0))=0,0,MIN(1,INDEX('Facilities'!$X$9:$X$108,MATCH(C18,'Facilities'!$C$9:$C$108,0))/INDEX('Facilities'!$AA$9:$AA$108,MATCH(C18,'Facilities'!$C$9:$C$108,0)))))*INDEX('Facilities'!$AJ$9:$AJ$108,MATCH(C18,'Facilities'!$C$9:$C$108,0))+Q18*INDEX('Facilities'!$AI$9:$AI$108,MATCH(C18,'Facilities'!$C$9:$C$108,0))*AF18)))</x:f>
        <x:v>3.6566818848</x:v>
      </x:c>
      <x:c r="AB18" s="21" t="n">
        <x:f>IF(C18="","",O18+P18-AD18)</x:f>
        <x:v>-0.44300000000000006</x:v>
      </x:c>
      <x:c r="AC18" s="23" t="n">
        <x:f>IF(C18="","",IFERROR(IF(INDEX('Facilities'!$AD$9:$AD$108,MATCH(C18,'Facilities'!$C$9:$C$108,0))=3,0,IF(INDEX('Facilities'!$AN$9:$AN$108,MATCH(C18,'Facilities'!$C$9:$C$108,0))=0,-1,INDEX('Facilities'!$AN$9:$AN$108,MATCH(C18,'Facilities'!$C$9:$C$108,0)))),"Unavailable"))</x:f>
        <x:v>-1</x:v>
      </x:c>
      <x:c r="AD18" s="21" t="n">
        <x:f>IF(C18="","",IFERROR(G18+H18,"Unavailable"))</x:f>
        <x:v>3.9</x:v>
      </x:c>
      <x:c r="AE18" s="21" t="n">
        <x:f>IF(C18="","",IF(AQ18&lt;&gt;"Ready","Unavailable",IF(C18="","",O18+P18-AD18-J18+K18+M18+N18)))</x:f>
        <x:v>-1.1102230246251565e-16</x:v>
      </x:c>
      <x:c r="AF18" s="30" t="n">
        <x:f>IF(C18="","",IFERROR(INDEX('Facilities'!$S$9:$S$108,MATCH(C18,'Facilities'!$C$9:$C$108,0))*'Scenario Paths'!F75,"Unavailable"))</x:f>
        <x:v>1.02</x:v>
      </x:c>
      <x:c r="AG18" s="23" t="n">
        <x:f>IF(C18="","",IF(AQ18&lt;&gt;"Ready","Unavailable",IF(C18="","",IF(H18&gt;0,MAX(0,H18-AK18)*((1+INDEX('Facilities'!$K$9:$K$108,MATCH(C18,'Facilities'!$C$9:$C$108,0)))^MIN(1,MAX(0,AC18+INDEX('Facilities'!$AK$9:$AK$108,MATCH(C18,'Facilities'!$C$9:$C$108,0))-D18+1))-1),0))))</x:f>
        <x:v>0</x:v>
      </x:c>
      <x:c r="AH18" s="21" t="n">
        <x:f>IF(C18="","",IF(AQ18&lt;&gt;"Ready","Unavailable",IF(C18="","",O18+P18)))</x:f>
        <x:v>3.457</x:v>
      </x:c>
      <x:c r="AI18" s="21" t="n">
        <x:f>IF(C18="","",IF(AQ18&lt;&gt;"Ready","Unavailable",IF(C18="","",Z18-Y18)))</x:f>
        <x:v>0.4285254929676346</x:v>
      </x:c>
      <x:c r="AJ18" s="23" t="n">
        <x:f>IF(C18="","",IFERROR(MAX(0,INDEX('Facilities'!$J$9:$J$108,MATCH(C18,'Facilities'!$C$9:$C$108,0))-D18),"Unavailable"))</x:f>
        <x:v>8</x:v>
      </x:c>
      <x:c r="AK18" s="23" t="n">
        <x:f>IF(C18="","",IFERROR(IF(INDEX('Facilities'!$AD$9:$AD$108,MATCH(C18,'Facilities'!$C$9:$C$108,0))=3,W18,0),"Unavailable"))</x:f>
        <x:v>0</x:v>
      </x:c>
      <x:c r="AL18" s="23" t="n">
        <x:f>IF(C18="","",IFERROR(IF(P18&gt;0,P18*(1-AM18/(1+INDEX('Facilities'!$K$9:$K$108,MATCH(C18,'Facilities'!$C$9:$C$108,0)))^MAX(0,AC18+INDEX('Facilities'!$AK$9:$AK$108,MATCH(C18,'Facilities'!$C$9:$C$108,0))-D18)),0),"Unavailable"))</x:f>
        <x:v>0</x:v>
      </x:c>
      <x:c r="AM18" s="30" t="n">
        <x:f>IF(C18="","",IFERROR(INDEX('Facilities'!$AL$9:$AL$108,MATCH(C18,'Facilities'!$C$9:$C$108,0)),"Unavailable"))</x:f>
        <x:v>0.55</x:v>
      </x:c>
      <x:c r="AN18" s="30" t="n">
        <x:f>IF(C18="","",IFERROR(INDEX(Credit!$T$9:$T$108,MATCH(F18,Credit!$C$9:$C$108,0)),"Unavailable"))</x:f>
        <x:v>0.00136</x:v>
      </x:c>
      <x:c r="AO18" s="23" t="n">
        <x:f>IF(C18="","",IF(AQ18&lt;&gt;"Ready","Unavailable",IF(C18="","",O18+P18+Q18*INDEX('Facilities'!$I$9:$I$108,MATCH(C18,'Facilities'!$C$9:$C$108,0)))))</x:f>
        <x:v>3.6944999999999997</x:v>
      </x:c>
      <x:c r="AP18" s="21" t="n">
        <x:f>IF(C18="","",IF(AQ18&lt;&gt;"Ready","Unavailable",IF(C18="","",AH18-U18)))</x:f>
        <x:v>3.1868941349936852</x:v>
      </x:c>
      <x:c r="AQ18" s="23" t="str">
        <x:f>IFERROR(IF(C18="","",IF(AND(INDEX('Facilities'!$AF$9:$AF$108,MATCH(C18,'Facilities'!$C$9:$C$108,0))="Ready",INDEX(Credit!$U$9:$U$108,MATCH(F18,Credit!$C$9:$C$108,0))="Ready",ISNUMBER(W18)),"Ready","Review inputs")),"Review inputs")</x:f>
        <x:v>Ready</x:v>
      </x:c>
      <x:c r="AR18" s="23" t="n">
        <x:f>IF(C18="","",IF(AQ18&lt;&gt;"Ready","Unavailable",IF(C18="","",IF(O18=0,0,(IF(AJ18&lt;=1,O18,O18*INDEX('Facilities'!$R$9:$R$108,MATCH(C18,'Facilities'!$C$9:$C$108,0)))+O18*INDEX('Facilities'!$T$9:$T$108,MATCH(C18,'Facilities'!$C$9:$C$108,0)))/12))))</x:f>
        <x:v>0.06193791666666667</x:v>
      </x:c>
    </x:row>
    <x:row r="19" ht="26" customHeight="1">
      <x:c r="A19" s="1"/>
      <x:c r="B19" s="1"/>
      <x:c r="C19" s="9" t="str">
        <x:f>IF(Facilities!C19="","",Facilities!C19)</x:f>
        <x:v>F011</x:v>
      </x:c>
      <x:c r="D19" s="3" t="n">
        <x:v>1</x:v>
      </x:c>
      <x:c r="E19" s="9" t="n">
        <x:f>Settings!$F$18+0</x:f>
        <x:v>2027</x:v>
      </x:c>
      <x:c r="F19" s="9" t="str">
        <x:f>IF(C19="","",IFERROR(INDEX('Facilities'!$D$9:$D$108,MATCH(C19,'Facilities'!$C$9:$C$108,0)),"Unavailable"))</x:f>
        <x:v>B006</x:v>
      </x:c>
      <x:c r="G19" s="23" t="n">
        <x:f>IF(C19="","",IFERROR(IF(INDEX('Facilities'!$AD$9:$AD$108,MATCH(C19,'Facilities'!$C$9:$C$108,0))=3,0,INDEX('Facilities'!$AA$9:$AA$108,MATCH(C19,'Facilities'!$C$9:$C$108,0))),"Unavailable"))</x:f>
        <x:v>6.75</x:v>
      </x:c>
      <x:c r="H19" s="23" t="n">
        <x:f>IF(C19="","",IFERROR(IF(INDEX('Facilities'!$AD$9:$AD$108,MATCH(C19,'Facilities'!$C$9:$C$108,0))=3,INDEX('Facilities'!$AA$9:$AA$108,MATCH(C19,'Facilities'!$C$9:$C$108,0)),0),"Unavailable"))</x:f>
        <x:v>0</x:v>
      </x:c>
      <x:c r="I19" s="23" t="n">
        <x:f>IF(C19="","",IFERROR(INDEX('Facilities'!$AB$9:$AB$108,MATCH(C19,'Facilities'!$C$9:$C$108,0)),"Unavailable"))</x:f>
        <x:v>1.5</x:v>
      </x:c>
      <x:c r="J19" s="23" t="n">
        <x:f>IF(C19="","",IFERROR(IF(OR(H19&gt;0,AND(AC19&gt;=0,AC19&lt;D19),D19&gt;INDEX('Facilities'!$J$9:$J$108,MATCH(C19,'Facilities'!$C$9:$C$108,0))),0,I19*'Scenario Paths'!F81),"Unavailable"))</x:f>
        <x:v>0.07500000000000001</x:v>
      </x:c>
      <x:c r="K19" s="23" t="n">
        <x:f>IF(C19="","",IFERROR(IF(OR(H19&gt;0,AND(AC19&gt;=0,AC19=D19)),0,IF(D19&gt;=INDEX('Facilities'!$J$9:$J$108,MATCH(C19,'Facilities'!$C$9:$C$108,0)),G19+J19,MIN(G19+J19,G19*INDEX('Facilities'!$R$9:$R$108,MATCH(C19,'Facilities'!$C$9:$C$108,0))))),"Unavailable"))</x:f>
        <x:v>0.8099999999999999</x:v>
      </x:c>
      <x:c r="L19" s="21" t="n">
        <x:f>IF(C19="","",IFERROR(IF(AND(AC19=D19,AC19&gt;0),MAX(0,G19+J19-K19),0),"Unavailable"))</x:f>
        <x:v>0</x:v>
      </x:c>
      <x:c r="M19" s="23" t="n">
        <x:f>IF(C19="","",IFERROR(IF(AND(AC19&gt;=0,D19&gt;=AC19+INDEX('Facilities'!$AK$9:$AK$108,MATCH(C19,'Facilities'!$C$9:$C$108,0))),(H19+L19)*AM19,0),"Unavailable"))</x:f>
        <x:v>0</x:v>
      </x:c>
      <x:c r="N19" s="23" t="n">
        <x:f>IF(C19="","",IFERROR(IF(AND(AC19&gt;=0,D19&gt;=AC19+INDEX('Facilities'!$AK$9:$AK$108,MATCH(C19,'Facilities'!$C$9:$C$108,0))),H19+L19-M19,0),"Unavailable"))</x:f>
        <x:v>0</x:v>
      </x:c>
      <x:c r="O19" s="21" t="n">
        <x:f>IF(C19="","",IFERROR(MAX(0,G19+J19-K19-L19),"Unavailable"))</x:f>
        <x:v>6.015000000000001</x:v>
      </x:c>
      <x:c r="P19" s="21" t="n">
        <x:f>IF(C19="","",IFERROR(MAX(0,H19+L19-M19-N19),"Unavailable"))</x:f>
        <x:v>0</x:v>
      </x:c>
      <x:c r="Q19" s="23" t="n">
        <x:f>IF(C19="","",IFERROR(IF(OR(D19&gt;=INDEX('Facilities'!$J$9:$J$108,MATCH(C19,'Facilities'!$C$9:$C$108,0)),AND(AC19&gt;=0,AC19&lt;=D19)),0,MAX(0,I19-J19)),"Unavailable"))</x:f>
        <x:v>1.425</x:v>
      </x:c>
      <x:c r="R19" s="30" t="n">
        <x:f>IF(C19="","",IFERROR(INDEX(Credit!$Q$9:$Q$108,MATCH(F19,Credit!$C$9:$C$108,0)),"Unavailable"))</x:f>
        <x:v>0.048144492991702356</x:v>
      </x:c>
      <x:c r="S19" s="30" t="n">
        <x:f>IF(C19="","",IFERROR(INDEX(Credit!$R$9:$R$108,MATCH(F19,Credit!$C$9:$C$108,0)),"Unavailable"))</x:f>
        <x:v>0.2803744</x:v>
      </x:c>
      <x:c r="T19" s="23" t="n">
        <x:f>IF(C19="","",IFERROR(IF(P19&gt;0,3,IF(OR(INDEX('Facilities'!$AD$9:$AD$108,MATCH(C19,'Facilities'!$C$9:$C$108,0))=2,AND(R19&gt;=INDEX('Facilities'!$L$9:$L$108,MATCH(C19,'Facilities'!$C$9:$C$108,0))*Settings!$F$19,R19-INDEX('Facilities'!$L$9:$L$108,MATCH(C19,'Facilities'!$C$9:$C$108,0))&gt;=Settings!$F$20)),2,1)),"Unavailable"))</x:f>
        <x:v>1</x:v>
      </x:c>
      <x:c r="U19" s="23" t="n">
        <x:f>IF(C19="","",IF(AQ19&lt;&gt;"Ready","Unavailable",IF(C19="","",O19*(1-(1-S19)/(1+INDEX('Facilities'!$K$9:$K$108,MATCH(C19,'Facilities'!$C$9:$C$108,0)))^INDEX('Facilities'!$AK$9:$AK$108,MATCH(C19,'Facilities'!$C$9:$C$108,0)))*R19/(1+INDEX('Facilities'!$K$9:$K$108,MATCH(C19,'Facilities'!$C$9:$C$108,0)))*IF(ABS(1-(1-R19)*(1-INDEX('Facilities'!$R$9:$R$108,MATCH(C19,'Facilities'!$C$9:$C$108,0)))/(1+INDEX('Facilities'!$K$9:$K$108,MATCH(C19,'Facilities'!$C$9:$C$108,0))))&lt;0.000000001,IF(T19=1,MIN(1,AJ19),AJ19),(1-((1-R19)*(1-INDEX('Facilities'!$R$9:$R$108,MATCH(C19,'Facilities'!$C$9:$C$108,0)))/(1+INDEX('Facilities'!$K$9:$K$108,MATCH(C19,'Facilities'!$C$9:$C$108,0))))^IF(T19=1,MIN(1,AJ19),AJ19))/(1-(1-R19)*(1-INDEX('Facilities'!$R$9:$R$108,MATCH(C19,'Facilities'!$C$9:$C$108,0)))/(1+INDEX('Facilities'!$K$9:$K$108,MATCH(C19,'Facilities'!$C$9:$C$108,0)))))+AL19)))</x:f>
        <x:v>0.10270681530586137</x:v>
      </x:c>
      <x:c r="V19" s="23" t="n">
        <x:f>IF(C19="","",IF(AQ19&lt;&gt;"Ready","Unavailable",IF(C19="","",Q19*INDEX('Facilities'!$I$9:$I$108,MATCH(C19,'Facilities'!$C$9:$C$108,0))*(1-(1-S19)/(1+INDEX('Facilities'!$K$9:$K$108,MATCH(C19,'Facilities'!$C$9:$C$108,0)))^INDEX('Facilities'!$AK$9:$AK$108,MATCH(C19,'Facilities'!$C$9:$C$108,0)))*R19/(1+INDEX('Facilities'!$K$9:$K$108,MATCH(C19,'Facilities'!$C$9:$C$108,0)))*IF(ABS(1-(1-R19)*(1-0)/(1+INDEX('Facilities'!$K$9:$K$108,MATCH(C19,'Facilities'!$C$9:$C$108,0))))&lt;0.000000001,IF(T19=1,MIN(1,AJ19),AJ19),(1-((1-R19)*(1-0)/(1+INDEX('Facilities'!$K$9:$K$108,MATCH(C19,'Facilities'!$C$9:$C$108,0))))^IF(T19=1,MIN(1,AJ19),AJ19))/(1-(1-R19)*(1-0)/(1+INDEX('Facilities'!$K$9:$K$108,MATCH(C19,'Facilities'!$C$9:$C$108,0))))))))</x:f>
        <x:v>0.012166019269397543</x:v>
      </x:c>
      <x:c r="W19" s="23" t="n">
        <x:f>IF(C19="","",IFERROR(INDEX(ECL!$AB$9:$AB$108,MATCH(C19,ECL!$C$9:$C$108,0)),"Unavailable"))</x:f>
        <x:v>0.12693036265432098</x:v>
      </x:c>
      <x:c r="X19" s="23" t="n">
        <x:f>IF(C19="","",IFERROR(INDEX(ECL!$AC$9:$AC$108,MATCH(C19,ECL!$C$9:$C$108,0)),"Unavailable"))</x:f>
        <x:v>0.014103373628257889</x:v>
      </x:c>
      <x:c r="Y19" s="21" t="n">
        <x:f>IF(C19="","",IF(AQ19&lt;&gt;"Ready","Unavailable",IF(C19="","",U19-W19+V19-X19+N19+AG19)))</x:f>
        <x:v>-0.026160901707319953</x:v>
      </x:c>
      <x:c r="Z19" s="23" t="n">
        <x:f>IF(C19="","",IF(AQ19&lt;&gt;"Ready","Unavailable",IF(C19="","",(G19+O19+L19)/2*INDEX('Facilities'!$T$9:$T$108,MATCH(C19,'Facilities'!$C$9:$C$108,0))+AG19)))</x:f>
        <x:v>0.6063375000000001</x:v>
      </x:c>
      <x:c r="AA19" s="23" t="n">
        <x:f>IF(C19="","",IF(AQ19&lt;&gt;"Ready","Unavailable",IF(C19="","",O19*(1-IF(INDEX('Facilities'!$AA$9:$AA$108,MATCH(C19,'Facilities'!$C$9:$C$108,0))=0,0,MIN(1,INDEX('Facilities'!$X$9:$X$108,MATCH(C19,'Facilities'!$C$9:$C$108,0))/INDEX('Facilities'!$AA$9:$AA$108,MATCH(C19,'Facilities'!$C$9:$C$108,0)))))*AF19+P19*(1-IF(INDEX('Facilities'!$AA$9:$AA$108,MATCH(C19,'Facilities'!$C$9:$C$108,0))=0,0,MIN(1,INDEX('Facilities'!$X$9:$X$108,MATCH(C19,'Facilities'!$C$9:$C$108,0))/INDEX('Facilities'!$AA$9:$AA$108,MATCH(C19,'Facilities'!$C$9:$C$108,0)))))*INDEX('Facilities'!$AJ$9:$AJ$108,MATCH(C19,'Facilities'!$C$9:$C$108,0))+Q19*INDEX('Facilities'!$AI$9:$AI$108,MATCH(C19,'Facilities'!$C$9:$C$108,0))*AF19)))</x:f>
        <x:v>6.717747744</x:v>
      </x:c>
      <x:c r="AB19" s="21" t="n">
        <x:f>IF(C19="","",O19+P19-AD19)</x:f>
        <x:v>-0.7349999999999994</x:v>
      </x:c>
      <x:c r="AC19" s="23" t="n">
        <x:f>IF(C19="","",IFERROR(IF(INDEX('Facilities'!$AD$9:$AD$108,MATCH(C19,'Facilities'!$C$9:$C$108,0))=3,0,IF(INDEX('Facilities'!$AN$9:$AN$108,MATCH(C19,'Facilities'!$C$9:$C$108,0))=0,-1,INDEX('Facilities'!$AN$9:$AN$108,MATCH(C19,'Facilities'!$C$9:$C$108,0)))),"Unavailable"))</x:f>
        <x:v>-1</x:v>
      </x:c>
      <x:c r="AD19" s="21" t="n">
        <x:f>IF(C19="","",IFERROR(G19+H19,"Unavailable"))</x:f>
        <x:v>6.75</x:v>
      </x:c>
      <x:c r="AE19" s="21" t="n">
        <x:f>IF(C19="","",IF(AQ19&lt;&gt;"Ready","Unavailable",IF(C19="","",O19+P19-AD19-J19+K19+M19+N19)))</x:f>
        <x:v>5.551115123125783e-16</x:v>
      </x:c>
      <x:c r="AF19" s="30" t="n">
        <x:f>IF(C19="","",IFERROR(INDEX('Facilities'!$S$9:$S$108,MATCH(C19,'Facilities'!$C$9:$C$108,0))*'Scenario Paths'!F75,"Unavailable"))</x:f>
        <x:v>1.02</x:v>
      </x:c>
      <x:c r="AG19" s="23" t="n">
        <x:f>IF(C19="","",IF(AQ19&lt;&gt;"Ready","Unavailable",IF(C19="","",IF(H19&gt;0,MAX(0,H19-AK19)*((1+INDEX('Facilities'!$K$9:$K$108,MATCH(C19,'Facilities'!$C$9:$C$108,0)))^MIN(1,MAX(0,AC19+INDEX('Facilities'!$AK$9:$AK$108,MATCH(C19,'Facilities'!$C$9:$C$108,0))-D19+1))-1),0))))</x:f>
        <x:v>0</x:v>
      </x:c>
      <x:c r="AH19" s="21" t="n">
        <x:f>IF(C19="","",IF(AQ19&lt;&gt;"Ready","Unavailable",IF(C19="","",O19+P19)))</x:f>
        <x:v>6.015000000000001</x:v>
      </x:c>
      <x:c r="AI19" s="21" t="n">
        <x:f>IF(C19="","",IF(AQ19&lt;&gt;"Ready","Unavailable",IF(C19="","",Z19-Y19)))</x:f>
        <x:v>0.6324984017073201</x:v>
      </x:c>
      <x:c r="AJ19" s="23" t="n">
        <x:f>IF(C19="","",IFERROR(MAX(0,INDEX('Facilities'!$J$9:$J$108,MATCH(C19,'Facilities'!$C$9:$C$108,0))-D19),"Unavailable"))</x:f>
        <x:v>4</x:v>
      </x:c>
      <x:c r="AK19" s="23" t="n">
        <x:f>IF(C19="","",IFERROR(IF(INDEX('Facilities'!$AD$9:$AD$108,MATCH(C19,'Facilities'!$C$9:$C$108,0))=3,W19,0),"Unavailable"))</x:f>
        <x:v>0</x:v>
      </x:c>
      <x:c r="AL19" s="23" t="n">
        <x:f>IF(C19="","",IFERROR(IF(P19&gt;0,P19*(1-AM19/(1+INDEX('Facilities'!$K$9:$K$108,MATCH(C19,'Facilities'!$C$9:$C$108,0)))^MAX(0,AC19+INDEX('Facilities'!$AK$9:$AK$108,MATCH(C19,'Facilities'!$C$9:$C$108,0))-D19)),0),"Unavailable"))</x:f>
        <x:v>0</x:v>
      </x:c>
      <x:c r="AM19" s="30" t="n">
        <x:f>IF(C19="","",IFERROR(INDEX('Facilities'!$AL$9:$AL$108,MATCH(C19,'Facilities'!$C$9:$C$108,0)),"Unavailable"))</x:f>
        <x:v>0.55</x:v>
      </x:c>
      <x:c r="AN19" s="30" t="n">
        <x:f>IF(C19="","",IFERROR(INDEX(Credit!$T$9:$T$108,MATCH(F19,Credit!$C$9:$C$108,0)),"Unavailable"))</x:f>
        <x:v>0.00052</x:v>
      </x:c>
      <x:c r="AO19" s="23" t="n">
        <x:f>IF(C19="","",IF(AQ19&lt;&gt;"Ready","Unavailable",IF(C19="","",O19+P19+Q19*INDEX('Facilities'!$I$9:$I$108,MATCH(C19,'Facilities'!$C$9:$C$108,0)))))</x:f>
        <x:v>6.727500000000001</x:v>
      </x:c>
      <x:c r="AP19" s="21" t="n">
        <x:f>IF(C19="","",IF(AQ19&lt;&gt;"Ready","Unavailable",IF(C19="","",AH19-U19)))</x:f>
        <x:v>5.912293184694139</x:v>
      </x:c>
      <x:c r="AQ19" s="23" t="str">
        <x:f>IFERROR(IF(C19="","",IF(AND(INDEX('Facilities'!$AF$9:$AF$108,MATCH(C19,'Facilities'!$C$9:$C$108,0))="Ready",INDEX(Credit!$U$9:$U$108,MATCH(F19,Credit!$C$9:$C$108,0))="Ready",ISNUMBER(W19)),"Ready","Review inputs")),"Review inputs")</x:f>
        <x:v>Ready</x:v>
      </x:c>
      <x:c r="AR19" s="23" t="n">
        <x:f>IF(C19="","",IF(AQ19&lt;&gt;"Ready","Unavailable",IF(C19="","",IF(O19=0,0,(IF(AJ19&lt;=1,O19,O19*INDEX('Facilities'!$R$9:$R$108,MATCH(C19,'Facilities'!$C$9:$C$108,0)))+O19*INDEX('Facilities'!$T$9:$T$108,MATCH(C19,'Facilities'!$C$9:$C$108,0)))/12))))</x:f>
        <x:v>0.10776875000000001</x:v>
      </x:c>
    </x:row>
    <x:row r="20" ht="26" customHeight="1">
      <x:c r="A20" s="1"/>
      <x:c r="B20" s="1"/>
      <x:c r="C20" s="9" t="str">
        <x:f>IF(Facilities!C20="","",Facilities!C20)</x:f>
        <x:v>F012</x:v>
      </x:c>
      <x:c r="D20" s="3" t="n">
        <x:v>1</x:v>
      </x:c>
      <x:c r="E20" s="9" t="n">
        <x:f>Settings!$F$18+0</x:f>
        <x:v>2027</x:v>
      </x:c>
      <x:c r="F20" s="9" t="str">
        <x:f>IF(C20="","",IFERROR(INDEX('Facilities'!$D$9:$D$108,MATCH(C20,'Facilities'!$C$9:$C$108,0)),"Unavailable"))</x:f>
        <x:v>B006</x:v>
      </x:c>
      <x:c r="G20" s="23" t="n">
        <x:f>IF(C20="","",IFERROR(IF(INDEX('Facilities'!$AD$9:$AD$108,MATCH(C20,'Facilities'!$C$9:$C$108,0))=3,0,INDEX('Facilities'!$AA$9:$AA$108,MATCH(C20,'Facilities'!$C$9:$C$108,0))),"Unavailable"))</x:f>
        <x:v>4.25</x:v>
      </x:c>
      <x:c r="H20" s="23" t="n">
        <x:f>IF(C20="","",IFERROR(IF(INDEX('Facilities'!$AD$9:$AD$108,MATCH(C20,'Facilities'!$C$9:$C$108,0))=3,INDEX('Facilities'!$AA$9:$AA$108,MATCH(C20,'Facilities'!$C$9:$C$108,0)),0),"Unavailable"))</x:f>
        <x:v>0</x:v>
      </x:c>
      <x:c r="I20" s="23" t="n">
        <x:f>IF(C20="","",IFERROR(INDEX('Facilities'!$AB$9:$AB$108,MATCH(C20,'Facilities'!$C$9:$C$108,0)),"Unavailable"))</x:f>
        <x:v>0.5</x:v>
      </x:c>
      <x:c r="J20" s="23" t="n">
        <x:f>IF(C20="","",IFERROR(IF(OR(H20&gt;0,AND(AC20&gt;=0,AC20&lt;D20),D20&gt;INDEX('Facilities'!$J$9:$J$108,MATCH(C20,'Facilities'!$C$9:$C$108,0))),0,I20*'Scenario Paths'!F81),"Unavailable"))</x:f>
        <x:v>0.025</x:v>
      </x:c>
      <x:c r="K20" s="23" t="n">
        <x:f>IF(C20="","",IFERROR(IF(OR(H20&gt;0,AND(AC20&gt;=0,AC20=D20)),0,IF(D20&gt;=INDEX('Facilities'!$J$9:$J$108,MATCH(C20,'Facilities'!$C$9:$C$108,0)),G20+J20,MIN(G20+J20,G20*INDEX('Facilities'!$R$9:$R$108,MATCH(C20,'Facilities'!$C$9:$C$108,0))))),"Unavailable"))</x:f>
        <x:v>0.51</x:v>
      </x:c>
      <x:c r="L20" s="21" t="n">
        <x:f>IF(C20="","",IFERROR(IF(AND(AC20=D20,AC20&gt;0),MAX(0,G20+J20-K20),0),"Unavailable"))</x:f>
        <x:v>0</x:v>
      </x:c>
      <x:c r="M20" s="23" t="n">
        <x:f>IF(C20="","",IFERROR(IF(AND(AC20&gt;=0,D20&gt;=AC20+INDEX('Facilities'!$AK$9:$AK$108,MATCH(C20,'Facilities'!$C$9:$C$108,0))),(H20+L20)*AM20,0),"Unavailable"))</x:f>
        <x:v>0</x:v>
      </x:c>
      <x:c r="N20" s="23" t="n">
        <x:f>IF(C20="","",IFERROR(IF(AND(AC20&gt;=0,D20&gt;=AC20+INDEX('Facilities'!$AK$9:$AK$108,MATCH(C20,'Facilities'!$C$9:$C$108,0))),H20+L20-M20,0),"Unavailable"))</x:f>
        <x:v>0</x:v>
      </x:c>
      <x:c r="O20" s="21" t="n">
        <x:f>IF(C20="","",IFERROR(MAX(0,G20+J20-K20-L20),"Unavailable"))</x:f>
        <x:v>3.7650000000000006</x:v>
      </x:c>
      <x:c r="P20" s="21" t="n">
        <x:f>IF(C20="","",IFERROR(MAX(0,H20+L20-M20-N20),"Unavailable"))</x:f>
        <x:v>0</x:v>
      </x:c>
      <x:c r="Q20" s="23" t="n">
        <x:f>IF(C20="","",IFERROR(IF(OR(D20&gt;=INDEX('Facilities'!$J$9:$J$108,MATCH(C20,'Facilities'!$C$9:$C$108,0)),AND(AC20&gt;=0,AC20&lt;=D20)),0,MAX(0,I20-J20)),"Unavailable"))</x:f>
        <x:v>0.475</x:v>
      </x:c>
      <x:c r="R20" s="30" t="n">
        <x:f>IF(C20="","",IFERROR(INDEX(Credit!$Q$9:$Q$108,MATCH(F20,Credit!$C$9:$C$108,0)),"Unavailable"))</x:f>
        <x:v>0.048144492991702356</x:v>
      </x:c>
      <x:c r="S20" s="30" t="n">
        <x:f>IF(C20="","",IFERROR(INDEX(Credit!$R$9:$R$108,MATCH(F20,Credit!$C$9:$C$108,0)),"Unavailable"))</x:f>
        <x:v>0.2803744</x:v>
      </x:c>
      <x:c r="T20" s="23" t="n">
        <x:f>IF(C20="","",IFERROR(IF(P20&gt;0,3,IF(OR(INDEX('Facilities'!$AD$9:$AD$108,MATCH(C20,'Facilities'!$C$9:$C$108,0))=2,AND(R20&gt;=INDEX('Facilities'!$L$9:$L$108,MATCH(C20,'Facilities'!$C$9:$C$108,0))*Settings!$F$19,R20-INDEX('Facilities'!$L$9:$L$108,MATCH(C20,'Facilities'!$C$9:$C$108,0))&gt;=Settings!$F$20)),2,1)),"Unavailable"))</x:f>
        <x:v>1</x:v>
      </x:c>
      <x:c r="U20" s="23" t="n">
        <x:f>IF(C20="","",IF(AQ20&lt;&gt;"Ready","Unavailable",IF(C20="","",O20*(1-(1-S20)/(1+INDEX('Facilities'!$K$9:$K$108,MATCH(C20,'Facilities'!$C$9:$C$108,0)))^INDEX('Facilities'!$AK$9:$AK$108,MATCH(C20,'Facilities'!$C$9:$C$108,0)))*R20/(1+INDEX('Facilities'!$K$9:$K$108,MATCH(C20,'Facilities'!$C$9:$C$108,0)))*IF(ABS(1-(1-R20)*(1-INDEX('Facilities'!$R$9:$R$108,MATCH(C20,'Facilities'!$C$9:$C$108,0)))/(1+INDEX('Facilities'!$K$9:$K$108,MATCH(C20,'Facilities'!$C$9:$C$108,0))))&lt;0.000000001,IF(T20=1,MIN(1,AJ20),AJ20),(1-((1-R20)*(1-INDEX('Facilities'!$R$9:$R$108,MATCH(C20,'Facilities'!$C$9:$C$108,0)))/(1+INDEX('Facilities'!$K$9:$K$108,MATCH(C20,'Facilities'!$C$9:$C$108,0))))^IF(T20=1,MIN(1,AJ20),AJ20))/(1-(1-R20)*(1-INDEX('Facilities'!$R$9:$R$108,MATCH(C20,'Facilities'!$C$9:$C$108,0)))/(1+INDEX('Facilities'!$K$9:$K$108,MATCH(C20,'Facilities'!$C$9:$C$108,0)))))+AL20)))</x:f>
        <x:v>0.06428780708671124</x:v>
      </x:c>
      <x:c r="V20" s="23" t="n">
        <x:f>IF(C20="","",IF(AQ20&lt;&gt;"Ready","Unavailable",IF(C20="","",Q20*INDEX('Facilities'!$I$9:$I$108,MATCH(C20,'Facilities'!$C$9:$C$108,0))*(1-(1-S20)/(1+INDEX('Facilities'!$K$9:$K$108,MATCH(C20,'Facilities'!$C$9:$C$108,0)))^INDEX('Facilities'!$AK$9:$AK$108,MATCH(C20,'Facilities'!$C$9:$C$108,0)))*R20/(1+INDEX('Facilities'!$K$9:$K$108,MATCH(C20,'Facilities'!$C$9:$C$108,0)))*IF(ABS(1-(1-R20)*(1-0)/(1+INDEX('Facilities'!$K$9:$K$108,MATCH(C20,'Facilities'!$C$9:$C$108,0))))&lt;0.000000001,IF(T20=1,MIN(1,AJ20),AJ20),(1-((1-R20)*(1-0)/(1+INDEX('Facilities'!$K$9:$K$108,MATCH(C20,'Facilities'!$C$9:$C$108,0))))^IF(T20=1,MIN(1,AJ20),AJ20))/(1-(1-R20)*(1-0)/(1+INDEX('Facilities'!$K$9:$K$108,MATCH(C20,'Facilities'!$C$9:$C$108,0))))))))</x:f>
        <x:v>0.004055339756465847</x:v>
      </x:c>
      <x:c r="W20" s="23" t="n">
        <x:f>IF(C20="","",IFERROR(INDEX(ECL!$AB$9:$AB$108,MATCH(C20,ECL!$C$9:$C$108,0)),"Unavailable"))</x:f>
        <x:v>0.0799191172267947</x:v>
      </x:c>
      <x:c r="X20" s="23" t="n">
        <x:f>IF(C20="","",IFERROR(INDEX(ECL!$AC$9:$AC$108,MATCH(C20,ECL!$C$9:$C$108,0)),"Unavailable"))</x:f>
        <x:v>0.004701124542752629</x:v>
      </x:c>
      <x:c r="Y20" s="21" t="n">
        <x:f>IF(C20="","",IF(AQ20&lt;&gt;"Ready","Unavailable",IF(C20="","",U20-W20+V20-X20+N20+AG20)))</x:f>
        <x:v>-0.01627709492637025</x:v>
      </x:c>
      <x:c r="Z20" s="23" t="n">
        <x:f>IF(C20="","",IF(AQ20&lt;&gt;"Ready","Unavailable",IF(C20="","",(G20+O20+L20)/2*INDEX('Facilities'!$T$9:$T$108,MATCH(C20,'Facilities'!$C$9:$C$108,0))+AG20)))</x:f>
        <x:v>0.3807125</x:v>
      </x:c>
      <x:c r="AA20" s="23" t="n">
        <x:f>IF(C20="","",IF(AQ20&lt;&gt;"Ready","Unavailable",IF(C20="","",O20*(1-IF(INDEX('Facilities'!$AA$9:$AA$108,MATCH(C20,'Facilities'!$C$9:$C$108,0))=0,0,MIN(1,INDEX('Facilities'!$X$9:$X$108,MATCH(C20,'Facilities'!$C$9:$C$108,0))/INDEX('Facilities'!$AA$9:$AA$108,MATCH(C20,'Facilities'!$C$9:$C$108,0)))))*AF20+P20*(1-IF(INDEX('Facilities'!$AA$9:$AA$108,MATCH(C20,'Facilities'!$C$9:$C$108,0))=0,0,MIN(1,INDEX('Facilities'!$X$9:$X$108,MATCH(C20,'Facilities'!$C$9:$C$108,0))/INDEX('Facilities'!$AA$9:$AA$108,MATCH(C20,'Facilities'!$C$9:$C$108,0)))))*INDEX('Facilities'!$AJ$9:$AJ$108,MATCH(C20,'Facilities'!$C$9:$C$108,0))+Q20*INDEX('Facilities'!$AI$9:$AI$108,MATCH(C20,'Facilities'!$C$9:$C$108,0))*AF20)))</x:f>
        <x:v>3.9922261440000004</x:v>
      </x:c>
      <x:c r="AB20" s="21" t="n">
        <x:f>IF(C20="","",O20+P20-AD20)</x:f>
        <x:v>-0.48499999999999943</x:v>
      </x:c>
      <x:c r="AC20" s="23" t="n">
        <x:f>IF(C20="","",IFERROR(IF(INDEX('Facilities'!$AD$9:$AD$108,MATCH(C20,'Facilities'!$C$9:$C$108,0))=3,0,IF(INDEX('Facilities'!$AN$9:$AN$108,MATCH(C20,'Facilities'!$C$9:$C$108,0))=0,-1,INDEX('Facilities'!$AN$9:$AN$108,MATCH(C20,'Facilities'!$C$9:$C$108,0)))),"Unavailable"))</x:f>
        <x:v>-1</x:v>
      </x:c>
      <x:c r="AD20" s="21" t="n">
        <x:f>IF(C20="","",IFERROR(G20+H20,"Unavailable"))</x:f>
        <x:v>4.25</x:v>
      </x:c>
      <x:c r="AE20" s="21" t="n">
        <x:f>IF(C20="","",IF(AQ20&lt;&gt;"Ready","Unavailable",IF(C20="","",O20+P20-AD20-J20+K20+M20+N20)))</x:f>
        <x:v>5.551115123125783e-16</x:v>
      </x:c>
      <x:c r="AF20" s="30" t="n">
        <x:f>IF(C20="","",IFERROR(INDEX('Facilities'!$S$9:$S$108,MATCH(C20,'Facilities'!$C$9:$C$108,0))*'Scenario Paths'!F75,"Unavailable"))</x:f>
        <x:v>1.02</x:v>
      </x:c>
      <x:c r="AG20" s="23" t="n">
        <x:f>IF(C20="","",IF(AQ20&lt;&gt;"Ready","Unavailable",IF(C20="","",IF(H20&gt;0,MAX(0,H20-AK20)*((1+INDEX('Facilities'!$K$9:$K$108,MATCH(C20,'Facilities'!$C$9:$C$108,0)))^MIN(1,MAX(0,AC20+INDEX('Facilities'!$AK$9:$AK$108,MATCH(C20,'Facilities'!$C$9:$C$108,0))-D20+1))-1),0))))</x:f>
        <x:v>0</x:v>
      </x:c>
      <x:c r="AH20" s="21" t="n">
        <x:f>IF(C20="","",IF(AQ20&lt;&gt;"Ready","Unavailable",IF(C20="","",O20+P20)))</x:f>
        <x:v>3.7650000000000006</x:v>
      </x:c>
      <x:c r="AI20" s="21" t="n">
        <x:f>IF(C20="","",IF(AQ20&lt;&gt;"Ready","Unavailable",IF(C20="","",Z20-Y20)))</x:f>
        <x:v>0.39698959492637026</x:v>
      </x:c>
      <x:c r="AJ20" s="23" t="n">
        <x:f>IF(C20="","",IFERROR(MAX(0,INDEX('Facilities'!$J$9:$J$108,MATCH(C20,'Facilities'!$C$9:$C$108,0))-D20),"Unavailable"))</x:f>
        <x:v>4</x:v>
      </x:c>
      <x:c r="AK20" s="23" t="n">
        <x:f>IF(C20="","",IFERROR(IF(INDEX('Facilities'!$AD$9:$AD$108,MATCH(C20,'Facilities'!$C$9:$C$108,0))=3,W20,0),"Unavailable"))</x:f>
        <x:v>0</x:v>
      </x:c>
      <x:c r="AL20" s="23" t="n">
        <x:f>IF(C20="","",IFERROR(IF(P20&gt;0,P20*(1-AM20/(1+INDEX('Facilities'!$K$9:$K$108,MATCH(C20,'Facilities'!$C$9:$C$108,0)))^MAX(0,AC20+INDEX('Facilities'!$AK$9:$AK$108,MATCH(C20,'Facilities'!$C$9:$C$108,0))-D20)),0),"Unavailable"))</x:f>
        <x:v>0</x:v>
      </x:c>
      <x:c r="AM20" s="30" t="n">
        <x:f>IF(C20="","",IFERROR(INDEX('Facilities'!$AL$9:$AL$108,MATCH(C20,'Facilities'!$C$9:$C$108,0)),"Unavailable"))</x:f>
        <x:v>0.55</x:v>
      </x:c>
      <x:c r="AN20" s="30" t="n">
        <x:f>IF(C20="","",IFERROR(INDEX(Credit!$T$9:$T$108,MATCH(F20,Credit!$C$9:$C$108,0)),"Unavailable"))</x:f>
        <x:v>0.00052</x:v>
      </x:c>
      <x:c r="AO20" s="23" t="n">
        <x:f>IF(C20="","",IF(AQ20&lt;&gt;"Ready","Unavailable",IF(C20="","",O20+P20+Q20*INDEX('Facilities'!$I$9:$I$108,MATCH(C20,'Facilities'!$C$9:$C$108,0)))))</x:f>
        <x:v>4.0025</x:v>
      </x:c>
      <x:c r="AP20" s="21" t="n">
        <x:f>IF(C20="","",IF(AQ20&lt;&gt;"Ready","Unavailable",IF(C20="","",AH20-U20)))</x:f>
        <x:v>3.700712192913289</x:v>
      </x:c>
      <x:c r="AQ20" s="23" t="str">
        <x:f>IFERROR(IF(C20="","",IF(AND(INDEX('Facilities'!$AF$9:$AF$108,MATCH(C20,'Facilities'!$C$9:$C$108,0))="Ready",INDEX(Credit!$U$9:$U$108,MATCH(F20,Credit!$C$9:$C$108,0))="Ready",ISNUMBER(W20)),"Ready","Review inputs")),"Review inputs")</x:f>
        <x:v>Ready</x:v>
      </x:c>
      <x:c r="AR20" s="23" t="n">
        <x:f>IF(C20="","",IF(AQ20&lt;&gt;"Ready","Unavailable",IF(C20="","",IF(O20=0,0,(IF(AJ20&lt;=1,O20,O20*INDEX('Facilities'!$R$9:$R$108,MATCH(C20,'Facilities'!$C$9:$C$108,0)))+O20*INDEX('Facilities'!$T$9:$T$108,MATCH(C20,'Facilities'!$C$9:$C$108,0)))/12))))</x:f>
        <x:v>0.06745625000000001</x:v>
      </x:c>
    </x:row>
    <x:row r="21" ht="26" customHeight="1">
      <x:c r="A21" s="1"/>
      <x:c r="B21" s="1"/>
      <x:c r="C21" s="9" t="str">
        <x:f>IF(Facilities!C21="","",Facilities!C21)</x:f>
        <x:v>F013</x:v>
      </x:c>
      <x:c r="D21" s="3" t="n">
        <x:v>1</x:v>
      </x:c>
      <x:c r="E21" s="9" t="n">
        <x:f>Settings!$F$18+0</x:f>
        <x:v>2027</x:v>
      </x:c>
      <x:c r="F21" s="9" t="str">
        <x:f>IF(C21="","",IFERROR(INDEX('Facilities'!$D$9:$D$108,MATCH(C21,'Facilities'!$C$9:$C$108,0)),"Unavailable"))</x:f>
        <x:v>B007</x:v>
      </x:c>
      <x:c r="G21" s="23" t="n">
        <x:f>IF(C21="","",IFERROR(IF(INDEX('Facilities'!$AD$9:$AD$108,MATCH(C21,'Facilities'!$C$9:$C$108,0))=3,0,INDEX('Facilities'!$AA$9:$AA$108,MATCH(C21,'Facilities'!$C$9:$C$108,0))),"Unavailable"))</x:f>
        <x:v>7.1</x:v>
      </x:c>
      <x:c r="H21" s="23" t="n">
        <x:f>IF(C21="","",IFERROR(IF(INDEX('Facilities'!$AD$9:$AD$108,MATCH(C21,'Facilities'!$C$9:$C$108,0))=3,INDEX('Facilities'!$AA$9:$AA$108,MATCH(C21,'Facilities'!$C$9:$C$108,0)),0),"Unavailable"))</x:f>
        <x:v>0</x:v>
      </x:c>
      <x:c r="I21" s="23" t="n">
        <x:f>IF(C21="","",IFERROR(INDEX('Facilities'!$AB$9:$AB$108,MATCH(C21,'Facilities'!$C$9:$C$108,0)),"Unavailable"))</x:f>
        <x:v>1.5</x:v>
      </x:c>
      <x:c r="J21" s="23" t="n">
        <x:f>IF(C21="","",IFERROR(IF(OR(H21&gt;0,AND(AC21&gt;=0,AC21&lt;D21),D21&gt;INDEX('Facilities'!$J$9:$J$108,MATCH(C21,'Facilities'!$C$9:$C$108,0))),0,I21*'Scenario Paths'!F81),"Unavailable"))</x:f>
        <x:v>0.07500000000000001</x:v>
      </x:c>
      <x:c r="K21" s="23" t="n">
        <x:f>IF(C21="","",IFERROR(IF(OR(H21&gt;0,AND(AC21&gt;=0,AC21=D21)),0,IF(D21&gt;=INDEX('Facilities'!$J$9:$J$108,MATCH(C21,'Facilities'!$C$9:$C$108,0)),G21+J21,MIN(G21+J21,G21*INDEX('Facilities'!$R$9:$R$108,MATCH(C21,'Facilities'!$C$9:$C$108,0))))),"Unavailable"))</x:f>
        <x:v>0.852</x:v>
      </x:c>
      <x:c r="L21" s="21" t="n">
        <x:f>IF(C21="","",IFERROR(IF(AND(AC21=D21,AC21&gt;0),MAX(0,G21+J21-K21),0),"Unavailable"))</x:f>
        <x:v>0</x:v>
      </x:c>
      <x:c r="M21" s="23" t="n">
        <x:f>IF(C21="","",IFERROR(IF(AND(AC21&gt;=0,D21&gt;=AC21+INDEX('Facilities'!$AK$9:$AK$108,MATCH(C21,'Facilities'!$C$9:$C$108,0))),(H21+L21)*AM21,0),"Unavailable"))</x:f>
        <x:v>0</x:v>
      </x:c>
      <x:c r="N21" s="23" t="n">
        <x:f>IF(C21="","",IFERROR(IF(AND(AC21&gt;=0,D21&gt;=AC21+INDEX('Facilities'!$AK$9:$AK$108,MATCH(C21,'Facilities'!$C$9:$C$108,0))),H21+L21-M21,0),"Unavailable"))</x:f>
        <x:v>0</x:v>
      </x:c>
      <x:c r="O21" s="21" t="n">
        <x:f>IF(C21="","",IFERROR(MAX(0,G21+J21-K21-L21),"Unavailable"))</x:f>
        <x:v>6.3229999999999995</x:v>
      </x:c>
      <x:c r="P21" s="21" t="n">
        <x:f>IF(C21="","",IFERROR(MAX(0,H21+L21-M21-N21),"Unavailable"))</x:f>
        <x:v>0</x:v>
      </x:c>
      <x:c r="Q21" s="23" t="n">
        <x:f>IF(C21="","",IFERROR(IF(OR(D21&gt;=INDEX('Facilities'!$J$9:$J$108,MATCH(C21,'Facilities'!$C$9:$C$108,0)),AND(AC21&gt;=0,AC21&lt;=D21)),0,MAX(0,I21-J21)),"Unavailable"))</x:f>
        <x:v>1.425</x:v>
      </x:c>
      <x:c r="R21" s="30" t="n">
        <x:f>IF(C21="","",IFERROR(INDEX(Credit!$Q$9:$Q$108,MATCH(F21,Credit!$C$9:$C$108,0)),"Unavailable"))</x:f>
        <x:v>0.014839692085888562</x:v>
      </x:c>
      <x:c r="S21" s="30" t="n">
        <x:f>IF(C21="","",IFERROR(INDEX(Credit!$R$9:$R$108,MATCH(F21,Credit!$C$9:$C$108,0)),"Unavailable"))</x:f>
        <x:v>0.32030464000000003</x:v>
      </x:c>
      <x:c r="T21" s="23" t="n">
        <x:f>IF(C21="","",IFERROR(IF(P21&gt;0,3,IF(OR(INDEX('Facilities'!$AD$9:$AD$108,MATCH(C21,'Facilities'!$C$9:$C$108,0))=2,AND(R21&gt;=INDEX('Facilities'!$L$9:$L$108,MATCH(C21,'Facilities'!$C$9:$C$108,0))*Settings!$F$19,R21-INDEX('Facilities'!$L$9:$L$108,MATCH(C21,'Facilities'!$C$9:$C$108,0))&gt;=Settings!$F$20)),2,1)),"Unavailable"))</x:f>
        <x:v>1</x:v>
      </x:c>
      <x:c r="U21" s="23" t="n">
        <x:f>IF(C21="","",IF(AQ21&lt;&gt;"Ready","Unavailable",IF(C21="","",O21*(1-(1-S21)/(1+INDEX('Facilities'!$K$9:$K$108,MATCH(C21,'Facilities'!$C$9:$C$108,0)))^INDEX('Facilities'!$AK$9:$AK$108,MATCH(C21,'Facilities'!$C$9:$C$108,0)))*R21/(1+INDEX('Facilities'!$K$9:$K$108,MATCH(C21,'Facilities'!$C$9:$C$108,0)))*IF(ABS(1-(1-R21)*(1-INDEX('Facilities'!$R$9:$R$108,MATCH(C21,'Facilities'!$C$9:$C$108,0)))/(1+INDEX('Facilities'!$K$9:$K$108,MATCH(C21,'Facilities'!$C$9:$C$108,0))))&lt;0.000000001,IF(T21=1,MIN(1,AJ21),AJ21),(1-((1-R21)*(1-INDEX('Facilities'!$R$9:$R$108,MATCH(C21,'Facilities'!$C$9:$C$108,0)))/(1+INDEX('Facilities'!$K$9:$K$108,MATCH(C21,'Facilities'!$C$9:$C$108,0))))^IF(T21=1,MIN(1,AJ21),AJ21))/(1-(1-R21)*(1-INDEX('Facilities'!$R$9:$R$108,MATCH(C21,'Facilities'!$C$9:$C$108,0)))/(1+INDEX('Facilities'!$K$9:$K$108,MATCH(C21,'Facilities'!$C$9:$C$108,0)))))+AL21)))</x:f>
        <x:v>0.03625286148375343</x:v>
      </x:c>
      <x:c r="V21" s="23" t="n">
        <x:f>IF(C21="","",IF(AQ21&lt;&gt;"Ready","Unavailable",IF(C21="","",Q21*INDEX('Facilities'!$I$9:$I$108,MATCH(C21,'Facilities'!$C$9:$C$108,0))*(1-(1-S21)/(1+INDEX('Facilities'!$K$9:$K$108,MATCH(C21,'Facilities'!$C$9:$C$108,0)))^INDEX('Facilities'!$AK$9:$AK$108,MATCH(C21,'Facilities'!$C$9:$C$108,0)))*R21/(1+INDEX('Facilities'!$K$9:$K$108,MATCH(C21,'Facilities'!$C$9:$C$108,0)))*IF(ABS(1-(1-R21)*(1-0)/(1+INDEX('Facilities'!$K$9:$K$108,MATCH(C21,'Facilities'!$C$9:$C$108,0))))&lt;0.000000001,IF(T21=1,MIN(1,AJ21),AJ21),(1-((1-R21)*(1-0)/(1+INDEX('Facilities'!$K$9:$K$108,MATCH(C21,'Facilities'!$C$9:$C$108,0))))^IF(T21=1,MIN(1,AJ21),AJ21))/(1-(1-R21)*(1-0)/(1+INDEX('Facilities'!$K$9:$K$108,MATCH(C21,'Facilities'!$C$9:$C$108,0))))))))</x:f>
        <x:v>0.004085112099821971</x:v>
      </x:c>
      <x:c r="W21" s="23" t="n">
        <x:f>IF(C21="","",IFERROR(INDEX(ECL!$AB$9:$AB$108,MATCH(C21,ECL!$C$9:$C$108,0)),"Unavailable"))</x:f>
        <x:v>0.04164229538180155</x:v>
      </x:c>
      <x:c r="X21" s="23" t="n">
        <x:f>IF(C21="","",IFERROR(INDEX(ECL!$AC$9:$AC$108,MATCH(C21,ECL!$C$9:$C$108,0)),"Unavailable"))</x:f>
        <x:v>0.004398834019204389</x:v>
      </x:c>
      <x:c r="Y21" s="21" t="n">
        <x:f>IF(C21="","",IF(AQ21&lt;&gt;"Ready","Unavailable",IF(C21="","",U21-W21+V21-X21+N21+AG21)))</x:f>
        <x:v>-0.005703155817430539</x:v>
      </x:c>
      <x:c r="Z21" s="23" t="n">
        <x:f>IF(C21="","",IF(AQ21&lt;&gt;"Ready","Unavailable",IF(C21="","",(G21+O21+L21)/2*INDEX('Facilities'!$T$9:$T$108,MATCH(C21,'Facilities'!$C$9:$C$108,0))+AG21)))</x:f>
        <x:v>0.6375924999999999</x:v>
      </x:c>
      <x:c r="AA21" s="23" t="n">
        <x:f>IF(C21="","",IF(AQ21&lt;&gt;"Ready","Unavailable",IF(C21="","",O21*(1-IF(INDEX('Facilities'!$AA$9:$AA$108,MATCH(C21,'Facilities'!$C$9:$C$108,0))=0,0,MIN(1,INDEX('Facilities'!$X$9:$X$108,MATCH(C21,'Facilities'!$C$9:$C$108,0))/INDEX('Facilities'!$AA$9:$AA$108,MATCH(C21,'Facilities'!$C$9:$C$108,0)))))*AF21+P21*(1-IF(INDEX('Facilities'!$AA$9:$AA$108,MATCH(C21,'Facilities'!$C$9:$C$108,0))=0,0,MIN(1,INDEX('Facilities'!$X$9:$X$108,MATCH(C21,'Facilities'!$C$9:$C$108,0))/INDEX('Facilities'!$AA$9:$AA$108,MATCH(C21,'Facilities'!$C$9:$C$108,0)))))*INDEX('Facilities'!$AJ$9:$AJ$108,MATCH(C21,'Facilities'!$C$9:$C$108,0))+Q21*INDEX('Facilities'!$AI$9:$AI$108,MATCH(C21,'Facilities'!$C$9:$C$108,0))*AF21)))</x:f>
        <x:v>7.1266781472</x:v>
      </x:c>
      <x:c r="AB21" s="21" t="n">
        <x:f>IF(C21="","",O21+P21-AD21)</x:f>
        <x:v>-0.7770000000000001</x:v>
      </x:c>
      <x:c r="AC21" s="23" t="n">
        <x:f>IF(C21="","",IFERROR(IF(INDEX('Facilities'!$AD$9:$AD$108,MATCH(C21,'Facilities'!$C$9:$C$108,0))=3,0,IF(INDEX('Facilities'!$AN$9:$AN$108,MATCH(C21,'Facilities'!$C$9:$C$108,0))=0,-1,INDEX('Facilities'!$AN$9:$AN$108,MATCH(C21,'Facilities'!$C$9:$C$108,0)))),"Unavailable"))</x:f>
        <x:v>-1</x:v>
      </x:c>
      <x:c r="AD21" s="21" t="n">
        <x:f>IF(C21="","",IFERROR(G21+H21,"Unavailable"))</x:f>
        <x:v>7.1</x:v>
      </x:c>
      <x:c r="AE21" s="21" t="n">
        <x:f>IF(C21="","",IF(AQ21&lt;&gt;"Ready","Unavailable",IF(C21="","",O21+P21-AD21-J21+K21+M21+N21)))</x:f>
        <x:v>-1.1102230246251565e-16</x:v>
      </x:c>
      <x:c r="AF21" s="30" t="n">
        <x:f>IF(C21="","",IFERROR(INDEX('Facilities'!$S$9:$S$108,MATCH(C21,'Facilities'!$C$9:$C$108,0))*'Scenario Paths'!F75,"Unavailable"))</x:f>
        <x:v>1.02</x:v>
      </x:c>
      <x:c r="AG21" s="23" t="n">
        <x:f>IF(C21="","",IF(AQ21&lt;&gt;"Ready","Unavailable",IF(C21="","",IF(H21&gt;0,MAX(0,H21-AK21)*((1+INDEX('Facilities'!$K$9:$K$108,MATCH(C21,'Facilities'!$C$9:$C$108,0)))^MIN(1,MAX(0,AC21+INDEX('Facilities'!$AK$9:$AK$108,MATCH(C21,'Facilities'!$C$9:$C$108,0))-D21+1))-1),0))))</x:f>
        <x:v>0</x:v>
      </x:c>
      <x:c r="AH21" s="21" t="n">
        <x:f>IF(C21="","",IF(AQ21&lt;&gt;"Ready","Unavailable",IF(C21="","",O21+P21)))</x:f>
        <x:v>6.3229999999999995</x:v>
      </x:c>
      <x:c r="AI21" s="21" t="n">
        <x:f>IF(C21="","",IF(AQ21&lt;&gt;"Ready","Unavailable",IF(C21="","",Z21-Y21)))</x:f>
        <x:v>0.6432956558174304</x:v>
      </x:c>
      <x:c r="AJ21" s="23" t="n">
        <x:f>IF(C21="","",IFERROR(MAX(0,INDEX('Facilities'!$J$9:$J$108,MATCH(C21,'Facilities'!$C$9:$C$108,0))-D21),"Unavailable"))</x:f>
        <x:v>5</x:v>
      </x:c>
      <x:c r="AK21" s="23" t="n">
        <x:f>IF(C21="","",IFERROR(IF(INDEX('Facilities'!$AD$9:$AD$108,MATCH(C21,'Facilities'!$C$9:$C$108,0))=3,W21,0),"Unavailable"))</x:f>
        <x:v>0</x:v>
      </x:c>
      <x:c r="AL21" s="23" t="n">
        <x:f>IF(C21="","",IFERROR(IF(P21&gt;0,P21*(1-AM21/(1+INDEX('Facilities'!$K$9:$K$108,MATCH(C21,'Facilities'!$C$9:$C$108,0)))^MAX(0,AC21+INDEX('Facilities'!$AK$9:$AK$108,MATCH(C21,'Facilities'!$C$9:$C$108,0))-D21)),0),"Unavailable"))</x:f>
        <x:v>0</x:v>
      </x:c>
      <x:c r="AM21" s="30" t="n">
        <x:f>IF(C21="","",IFERROR(INDEX('Facilities'!$AL$9:$AL$108,MATCH(C21,'Facilities'!$C$9:$C$108,0)),"Unavailable"))</x:f>
        <x:v>0.55</x:v>
      </x:c>
      <x:c r="AN21" s="30" t="n">
        <x:f>IF(C21="","",IFERROR(INDEX(Credit!$T$9:$T$108,MATCH(F21,Credit!$C$9:$C$108,0)),"Unavailable"))</x:f>
        <x:v>0.00044800000000000005</x:v>
      </x:c>
      <x:c r="AO21" s="23" t="n">
        <x:f>IF(C21="","",IF(AQ21&lt;&gt;"Ready","Unavailable",IF(C21="","",O21+P21+Q21*INDEX('Facilities'!$I$9:$I$108,MATCH(C21,'Facilities'!$C$9:$C$108,0)))))</x:f>
        <x:v>7.0355</x:v>
      </x:c>
      <x:c r="AP21" s="21" t="n">
        <x:f>IF(C21="","",IF(AQ21&lt;&gt;"Ready","Unavailable",IF(C21="","",AH21-U21)))</x:f>
        <x:v>6.286747138516246</x:v>
      </x:c>
      <x:c r="AQ21" s="23" t="str">
        <x:f>IFERROR(IF(C21="","",IF(AND(INDEX('Facilities'!$AF$9:$AF$108,MATCH(C21,'Facilities'!$C$9:$C$108,0))="Ready",INDEX(Credit!$U$9:$U$108,MATCH(F21,Credit!$C$9:$C$108,0))="Ready",ISNUMBER(W21)),"Ready","Review inputs")),"Review inputs")</x:f>
        <x:v>Ready</x:v>
      </x:c>
      <x:c r="AR21" s="23" t="n">
        <x:f>IF(C21="","",IF(AQ21&lt;&gt;"Ready","Unavailable",IF(C21="","",IF(O21=0,0,(IF(AJ21&lt;=1,O21,O21*INDEX('Facilities'!$R$9:$R$108,MATCH(C21,'Facilities'!$C$9:$C$108,0)))+O21*INDEX('Facilities'!$T$9:$T$108,MATCH(C21,'Facilities'!$C$9:$C$108,0)))/12))))</x:f>
        <x:v>0.11328708333333332</x:v>
      </x:c>
    </x:row>
    <x:row r="22" ht="26" customHeight="1">
      <x:c r="A22" s="1"/>
      <x:c r="B22" s="1"/>
      <x:c r="C22" s="9" t="str">
        <x:f>IF(Facilities!C22="","",Facilities!C22)</x:f>
        <x:v>F014</x:v>
      </x:c>
      <x:c r="D22" s="3" t="n">
        <x:v>1</x:v>
      </x:c>
      <x:c r="E22" s="9" t="n">
        <x:f>Settings!$F$18+0</x:f>
        <x:v>2027</x:v>
      </x:c>
      <x:c r="F22" s="9" t="str">
        <x:f>IF(C22="","",IFERROR(INDEX('Facilities'!$D$9:$D$108,MATCH(C22,'Facilities'!$C$9:$C$108,0)),"Unavailable"))</x:f>
        <x:v>B007</x:v>
      </x:c>
      <x:c r="G22" s="23" t="n">
        <x:f>IF(C22="","",IFERROR(IF(INDEX('Facilities'!$AD$9:$AD$108,MATCH(C22,'Facilities'!$C$9:$C$108,0))=3,0,INDEX('Facilities'!$AA$9:$AA$108,MATCH(C22,'Facilities'!$C$9:$C$108,0))),"Unavailable"))</x:f>
        <x:v>4.6</x:v>
      </x:c>
      <x:c r="H22" s="23" t="n">
        <x:f>IF(C22="","",IFERROR(IF(INDEX('Facilities'!$AD$9:$AD$108,MATCH(C22,'Facilities'!$C$9:$C$108,0))=3,INDEX('Facilities'!$AA$9:$AA$108,MATCH(C22,'Facilities'!$C$9:$C$108,0)),0),"Unavailable"))</x:f>
        <x:v>0</x:v>
      </x:c>
      <x:c r="I22" s="23" t="n">
        <x:f>IF(C22="","",IFERROR(INDEX('Facilities'!$AB$9:$AB$108,MATCH(C22,'Facilities'!$C$9:$C$108,0)),"Unavailable"))</x:f>
        <x:v>0.5</x:v>
      </x:c>
      <x:c r="J22" s="23" t="n">
        <x:f>IF(C22="","",IFERROR(IF(OR(H22&gt;0,AND(AC22&gt;=0,AC22&lt;D22),D22&gt;INDEX('Facilities'!$J$9:$J$108,MATCH(C22,'Facilities'!$C$9:$C$108,0))),0,I22*'Scenario Paths'!F81),"Unavailable"))</x:f>
        <x:v>0.025</x:v>
      </x:c>
      <x:c r="K22" s="23" t="n">
        <x:f>IF(C22="","",IFERROR(IF(OR(H22&gt;0,AND(AC22&gt;=0,AC22=D22)),0,IF(D22&gt;=INDEX('Facilities'!$J$9:$J$108,MATCH(C22,'Facilities'!$C$9:$C$108,0)),G22+J22,MIN(G22+J22,G22*INDEX('Facilities'!$R$9:$R$108,MATCH(C22,'Facilities'!$C$9:$C$108,0))))),"Unavailable"))</x:f>
        <x:v>0.5519999999999999</x:v>
      </x:c>
      <x:c r="L22" s="21" t="n">
        <x:f>IF(C22="","",IFERROR(IF(AND(AC22=D22,AC22&gt;0),MAX(0,G22+J22-K22),0),"Unavailable"))</x:f>
        <x:v>0</x:v>
      </x:c>
      <x:c r="M22" s="23" t="n">
        <x:f>IF(C22="","",IFERROR(IF(AND(AC22&gt;=0,D22&gt;=AC22+INDEX('Facilities'!$AK$9:$AK$108,MATCH(C22,'Facilities'!$C$9:$C$108,0))),(H22+L22)*AM22,0),"Unavailable"))</x:f>
        <x:v>0</x:v>
      </x:c>
      <x:c r="N22" s="23" t="n">
        <x:f>IF(C22="","",IFERROR(IF(AND(AC22&gt;=0,D22&gt;=AC22+INDEX('Facilities'!$AK$9:$AK$108,MATCH(C22,'Facilities'!$C$9:$C$108,0))),H22+L22-M22,0),"Unavailable"))</x:f>
        <x:v>0</x:v>
      </x:c>
      <x:c r="O22" s="21" t="n">
        <x:f>IF(C22="","",IFERROR(MAX(0,G22+J22-K22-L22),"Unavailable"))</x:f>
        <x:v>4.073</x:v>
      </x:c>
      <x:c r="P22" s="21" t="n">
        <x:f>IF(C22="","",IFERROR(MAX(0,H22+L22-M22-N22),"Unavailable"))</x:f>
        <x:v>0</x:v>
      </x:c>
      <x:c r="Q22" s="23" t="n">
        <x:f>IF(C22="","",IFERROR(IF(OR(D22&gt;=INDEX('Facilities'!$J$9:$J$108,MATCH(C22,'Facilities'!$C$9:$C$108,0)),AND(AC22&gt;=0,AC22&lt;=D22)),0,MAX(0,I22-J22)),"Unavailable"))</x:f>
        <x:v>0.475</x:v>
      </x:c>
      <x:c r="R22" s="30" t="n">
        <x:f>IF(C22="","",IFERROR(INDEX(Credit!$Q$9:$Q$108,MATCH(F22,Credit!$C$9:$C$108,0)),"Unavailable"))</x:f>
        <x:v>0.014839692085888562</x:v>
      </x:c>
      <x:c r="S22" s="30" t="n">
        <x:f>IF(C22="","",IFERROR(INDEX(Credit!$R$9:$R$108,MATCH(F22,Credit!$C$9:$C$108,0)),"Unavailable"))</x:f>
        <x:v>0.32030464000000003</x:v>
      </x:c>
      <x:c r="T22" s="23" t="n">
        <x:f>IF(C22="","",IFERROR(IF(P22&gt;0,3,IF(OR(INDEX('Facilities'!$AD$9:$AD$108,MATCH(C22,'Facilities'!$C$9:$C$108,0))=2,AND(R22&gt;=INDEX('Facilities'!$L$9:$L$108,MATCH(C22,'Facilities'!$C$9:$C$108,0))*Settings!$F$19,R22-INDEX('Facilities'!$L$9:$L$108,MATCH(C22,'Facilities'!$C$9:$C$108,0))&gt;=Settings!$F$20)),2,1)),"Unavailable"))</x:f>
        <x:v>1</x:v>
      </x:c>
      <x:c r="U22" s="23" t="n">
        <x:f>IF(C22="","",IF(AQ22&lt;&gt;"Ready","Unavailable",IF(C22="","",O22*(1-(1-S22)/(1+INDEX('Facilities'!$K$9:$K$108,MATCH(C22,'Facilities'!$C$9:$C$108,0)))^INDEX('Facilities'!$AK$9:$AK$108,MATCH(C22,'Facilities'!$C$9:$C$108,0)))*R22/(1+INDEX('Facilities'!$K$9:$K$108,MATCH(C22,'Facilities'!$C$9:$C$108,0)))*IF(ABS(1-(1-R22)*(1-INDEX('Facilities'!$R$9:$R$108,MATCH(C22,'Facilities'!$C$9:$C$108,0)))/(1+INDEX('Facilities'!$K$9:$K$108,MATCH(C22,'Facilities'!$C$9:$C$108,0))))&lt;0.000000001,IF(T22=1,MIN(1,AJ22),AJ22),(1-((1-R22)*(1-INDEX('Facilities'!$R$9:$R$108,MATCH(C22,'Facilities'!$C$9:$C$108,0)))/(1+INDEX('Facilities'!$K$9:$K$108,MATCH(C22,'Facilities'!$C$9:$C$108,0))))^IF(T22=1,MIN(1,AJ22),AJ22))/(1-(1-R22)*(1-INDEX('Facilities'!$R$9:$R$108,MATCH(C22,'Facilities'!$C$9:$C$108,0)))/(1+INDEX('Facilities'!$K$9:$K$108,MATCH(C22,'Facilities'!$C$9:$C$108,0)))))+AL22)))</x:f>
        <x:v>0.023352507484315638</x:v>
      </x:c>
      <x:c r="V22" s="23" t="n">
        <x:f>IF(C22="","",IF(AQ22&lt;&gt;"Ready","Unavailable",IF(C22="","",Q22*INDEX('Facilities'!$I$9:$I$108,MATCH(C22,'Facilities'!$C$9:$C$108,0))*(1-(1-S22)/(1+INDEX('Facilities'!$K$9:$K$108,MATCH(C22,'Facilities'!$C$9:$C$108,0)))^INDEX('Facilities'!$AK$9:$AK$108,MATCH(C22,'Facilities'!$C$9:$C$108,0)))*R22/(1+INDEX('Facilities'!$K$9:$K$108,MATCH(C22,'Facilities'!$C$9:$C$108,0)))*IF(ABS(1-(1-R22)*(1-0)/(1+INDEX('Facilities'!$K$9:$K$108,MATCH(C22,'Facilities'!$C$9:$C$108,0))))&lt;0.000000001,IF(T22=1,MIN(1,AJ22),AJ22),(1-((1-R22)*(1-0)/(1+INDEX('Facilities'!$K$9:$K$108,MATCH(C22,'Facilities'!$C$9:$C$108,0))))^IF(T22=1,MIN(1,AJ22),AJ22))/(1-(1-R22)*(1-0)/(1+INDEX('Facilities'!$K$9:$K$108,MATCH(C22,'Facilities'!$C$9:$C$108,0))))))))</x:f>
        <x:v>0.0013617040332739902</x:v>
      </x:c>
      <x:c r="W22" s="23" t="n">
        <x:f>IF(C22="","",IFERROR(INDEX(ECL!$AB$9:$AB$108,MATCH(C22,ECL!$C$9:$C$108,0)),"Unavailable"))</x:f>
        <x:v>0.026979515317786924</x:v>
      </x:c>
      <x:c r="X22" s="23" t="n">
        <x:f>IF(C22="","",IFERROR(INDEX(ECL!$AC$9:$AC$108,MATCH(C22,ECL!$C$9:$C$108,0)),"Unavailable"))</x:f>
        <x:v>0.0014662780064014635</x:v>
      </x:c>
      <x:c r="Y22" s="21" t="n">
        <x:f>IF(C22="","",IF(AQ22&lt;&gt;"Ready","Unavailable",IF(C22="","",U22-W22+V22-X22+N22+AG22)))</x:f>
        <x:v>-0.0037315818065987594</x:v>
      </x:c>
      <x:c r="Z22" s="23" t="n">
        <x:f>IF(C22="","",IF(AQ22&lt;&gt;"Ready","Unavailable",IF(C22="","",(G22+O22+L22)/2*INDEX('Facilities'!$T$9:$T$108,MATCH(C22,'Facilities'!$C$9:$C$108,0))+AG22)))</x:f>
        <x:v>0.4119675</x:v>
      </x:c>
      <x:c r="AA22" s="23" t="n">
        <x:f>IF(C22="","",IF(AQ22&lt;&gt;"Ready","Unavailable",IF(C22="","",O22*(1-IF(INDEX('Facilities'!$AA$9:$AA$108,MATCH(C22,'Facilities'!$C$9:$C$108,0))=0,0,MIN(1,INDEX('Facilities'!$X$9:$X$108,MATCH(C22,'Facilities'!$C$9:$C$108,0))/INDEX('Facilities'!$AA$9:$AA$108,MATCH(C22,'Facilities'!$C$9:$C$108,0)))))*AF22+P22*(1-IF(INDEX('Facilities'!$AA$9:$AA$108,MATCH(C22,'Facilities'!$C$9:$C$108,0))=0,0,MIN(1,INDEX('Facilities'!$X$9:$X$108,MATCH(C22,'Facilities'!$C$9:$C$108,0))/INDEX('Facilities'!$AA$9:$AA$108,MATCH(C22,'Facilities'!$C$9:$C$108,0)))))*INDEX('Facilities'!$AJ$9:$AJ$108,MATCH(C22,'Facilities'!$C$9:$C$108,0))+Q22*INDEX('Facilities'!$AI$9:$AI$108,MATCH(C22,'Facilities'!$C$9:$C$108,0))*AF22)))</x:f>
        <x:v>4.364803747200001</x:v>
      </x:c>
      <x:c r="AB22" s="21" t="n">
        <x:f>IF(C22="","",O22+P22-AD22)</x:f>
        <x:v>-0.5269999999999992</x:v>
      </x:c>
      <x:c r="AC22" s="23" t="n">
        <x:f>IF(C22="","",IFERROR(IF(INDEX('Facilities'!$AD$9:$AD$108,MATCH(C22,'Facilities'!$C$9:$C$108,0))=3,0,IF(INDEX('Facilities'!$AN$9:$AN$108,MATCH(C22,'Facilities'!$C$9:$C$108,0))=0,-1,INDEX('Facilities'!$AN$9:$AN$108,MATCH(C22,'Facilities'!$C$9:$C$108,0)))),"Unavailable"))</x:f>
        <x:v>-1</x:v>
      </x:c>
      <x:c r="AD22" s="21" t="n">
        <x:f>IF(C22="","",IFERROR(G22+H22,"Unavailable"))</x:f>
        <x:v>4.6</x:v>
      </x:c>
      <x:c r="AE22" s="21" t="n">
        <x:f>IF(C22="","",IF(AQ22&lt;&gt;"Ready","Unavailable",IF(C22="","",O22+P22-AD22-J22+K22+M22+N22)))</x:f>
        <x:v>6.661338147750939e-16</x:v>
      </x:c>
      <x:c r="AF22" s="30" t="n">
        <x:f>IF(C22="","",IFERROR(INDEX('Facilities'!$S$9:$S$108,MATCH(C22,'Facilities'!$C$9:$C$108,0))*'Scenario Paths'!F75,"Unavailable"))</x:f>
        <x:v>1.02</x:v>
      </x:c>
      <x:c r="AG22" s="23" t="n">
        <x:f>IF(C22="","",IF(AQ22&lt;&gt;"Ready","Unavailable",IF(C22="","",IF(H22&gt;0,MAX(0,H22-AK22)*((1+INDEX('Facilities'!$K$9:$K$108,MATCH(C22,'Facilities'!$C$9:$C$108,0)))^MIN(1,MAX(0,AC22+INDEX('Facilities'!$AK$9:$AK$108,MATCH(C22,'Facilities'!$C$9:$C$108,0))-D22+1))-1),0))))</x:f>
        <x:v>0</x:v>
      </x:c>
      <x:c r="AH22" s="21" t="n">
        <x:f>IF(C22="","",IF(AQ22&lt;&gt;"Ready","Unavailable",IF(C22="","",O22+P22)))</x:f>
        <x:v>4.073</x:v>
      </x:c>
      <x:c r="AI22" s="21" t="n">
        <x:f>IF(C22="","",IF(AQ22&lt;&gt;"Ready","Unavailable",IF(C22="","",Z22-Y22)))</x:f>
        <x:v>0.41569908180659876</x:v>
      </x:c>
      <x:c r="AJ22" s="23" t="n">
        <x:f>IF(C22="","",IFERROR(MAX(0,INDEX('Facilities'!$J$9:$J$108,MATCH(C22,'Facilities'!$C$9:$C$108,0))-D22),"Unavailable"))</x:f>
        <x:v>5</x:v>
      </x:c>
      <x:c r="AK22" s="23" t="n">
        <x:f>IF(C22="","",IFERROR(IF(INDEX('Facilities'!$AD$9:$AD$108,MATCH(C22,'Facilities'!$C$9:$C$108,0))=3,W22,0),"Unavailable"))</x:f>
        <x:v>0</x:v>
      </x:c>
      <x:c r="AL22" s="23" t="n">
        <x:f>IF(C22="","",IFERROR(IF(P22&gt;0,P22*(1-AM22/(1+INDEX('Facilities'!$K$9:$K$108,MATCH(C22,'Facilities'!$C$9:$C$108,0)))^MAX(0,AC22+INDEX('Facilities'!$AK$9:$AK$108,MATCH(C22,'Facilities'!$C$9:$C$108,0))-D22)),0),"Unavailable"))</x:f>
        <x:v>0</x:v>
      </x:c>
      <x:c r="AM22" s="30" t="n">
        <x:f>IF(C22="","",IFERROR(INDEX('Facilities'!$AL$9:$AL$108,MATCH(C22,'Facilities'!$C$9:$C$108,0)),"Unavailable"))</x:f>
        <x:v>0.55</x:v>
      </x:c>
      <x:c r="AN22" s="30" t="n">
        <x:f>IF(C22="","",IFERROR(INDEX(Credit!$T$9:$T$108,MATCH(F22,Credit!$C$9:$C$108,0)),"Unavailable"))</x:f>
        <x:v>0.00044800000000000005</x:v>
      </x:c>
      <x:c r="AO22" s="23" t="n">
        <x:f>IF(C22="","",IF(AQ22&lt;&gt;"Ready","Unavailable",IF(C22="","",O22+P22+Q22*INDEX('Facilities'!$I$9:$I$108,MATCH(C22,'Facilities'!$C$9:$C$108,0)))))</x:f>
        <x:v>4.3105</x:v>
      </x:c>
      <x:c r="AP22" s="21" t="n">
        <x:f>IF(C22="","",IF(AQ22&lt;&gt;"Ready","Unavailable",IF(C22="","",AH22-U22)))</x:f>
        <x:v>4.0496474925156845</x:v>
      </x:c>
      <x:c r="AQ22" s="23" t="str">
        <x:f>IFERROR(IF(C22="","",IF(AND(INDEX('Facilities'!$AF$9:$AF$108,MATCH(C22,'Facilities'!$C$9:$C$108,0))="Ready",INDEX(Credit!$U$9:$U$108,MATCH(F22,Credit!$C$9:$C$108,0))="Ready",ISNUMBER(W22)),"Ready","Review inputs")),"Review inputs")</x:f>
        <x:v>Ready</x:v>
      </x:c>
      <x:c r="AR22" s="23" t="n">
        <x:f>IF(C22="","",IF(AQ22&lt;&gt;"Ready","Unavailable",IF(C22="","",IF(O22=0,0,(IF(AJ22&lt;=1,O22,O22*INDEX('Facilities'!$R$9:$R$108,MATCH(C22,'Facilities'!$C$9:$C$108,0)))+O22*INDEX('Facilities'!$T$9:$T$108,MATCH(C22,'Facilities'!$C$9:$C$108,0)))/12))))</x:f>
        <x:v>0.07297458333333334</x:v>
      </x:c>
    </x:row>
    <x:row r="23" ht="26" customHeight="1">
      <x:c r="A23" s="1"/>
      <x:c r="B23" s="1"/>
      <x:c r="C23" s="9" t="str">
        <x:f>IF(Facilities!C23="","",Facilities!C23)</x:f>
        <x:v>F015</x:v>
      </x:c>
      <x:c r="D23" s="3" t="n">
        <x:v>1</x:v>
      </x:c>
      <x:c r="E23" s="9" t="n">
        <x:f>Settings!$F$18+0</x:f>
        <x:v>2027</x:v>
      </x:c>
      <x:c r="F23" s="9" t="str">
        <x:f>IF(C23="","",IFERROR(INDEX('Facilities'!$D$9:$D$108,MATCH(C23,'Facilities'!$C$9:$C$108,0)),"Unavailable"))</x:f>
        <x:v>B008</x:v>
      </x:c>
      <x:c r="G23" s="23" t="n">
        <x:f>IF(C23="","",IFERROR(IF(INDEX('Facilities'!$AD$9:$AD$108,MATCH(C23,'Facilities'!$C$9:$C$108,0))=3,0,INDEX('Facilities'!$AA$9:$AA$108,MATCH(C23,'Facilities'!$C$9:$C$108,0))),"Unavailable"))</x:f>
        <x:v>7.449999999999999</x:v>
      </x:c>
      <x:c r="H23" s="23" t="n">
        <x:f>IF(C23="","",IFERROR(IF(INDEX('Facilities'!$AD$9:$AD$108,MATCH(C23,'Facilities'!$C$9:$C$108,0))=3,INDEX('Facilities'!$AA$9:$AA$108,MATCH(C23,'Facilities'!$C$9:$C$108,0)),0),"Unavailable"))</x:f>
        <x:v>0</x:v>
      </x:c>
      <x:c r="I23" s="23" t="n">
        <x:f>IF(C23="","",IFERROR(INDEX('Facilities'!$AB$9:$AB$108,MATCH(C23,'Facilities'!$C$9:$C$108,0)),"Unavailable"))</x:f>
        <x:v>1.5</x:v>
      </x:c>
      <x:c r="J23" s="23" t="n">
        <x:f>IF(C23="","",IFERROR(IF(OR(H23&gt;0,AND(AC23&gt;=0,AC23&lt;D23),D23&gt;INDEX('Facilities'!$J$9:$J$108,MATCH(C23,'Facilities'!$C$9:$C$108,0))),0,I23*'Scenario Paths'!F81),"Unavailable"))</x:f>
        <x:v>0.07500000000000001</x:v>
      </x:c>
      <x:c r="K23" s="23" t="n">
        <x:f>IF(C23="","",IFERROR(IF(OR(H23&gt;0,AND(AC23&gt;=0,AC23=D23)),0,IF(D23&gt;=INDEX('Facilities'!$J$9:$J$108,MATCH(C23,'Facilities'!$C$9:$C$108,0)),G23+J23,MIN(G23+J23,G23*INDEX('Facilities'!$R$9:$R$108,MATCH(C23,'Facilities'!$C$9:$C$108,0))))),"Unavailable"))</x:f>
        <x:v>0.8939999999999999</x:v>
      </x:c>
      <x:c r="L23" s="21" t="n">
        <x:f>IF(C23="","",IFERROR(IF(AND(AC23=D23,AC23&gt;0),MAX(0,G23+J23-K23),0),"Unavailable"))</x:f>
        <x:v>0</x:v>
      </x:c>
      <x:c r="M23" s="23" t="n">
        <x:f>IF(C23="","",IFERROR(IF(AND(AC23&gt;=0,D23&gt;=AC23+INDEX('Facilities'!$AK$9:$AK$108,MATCH(C23,'Facilities'!$C$9:$C$108,0))),(H23+L23)*AM23,0),"Unavailable"))</x:f>
        <x:v>0</x:v>
      </x:c>
      <x:c r="N23" s="23" t="n">
        <x:f>IF(C23="","",IFERROR(IF(AND(AC23&gt;=0,D23&gt;=AC23+INDEX('Facilities'!$AK$9:$AK$108,MATCH(C23,'Facilities'!$C$9:$C$108,0))),H23+L23-M23,0),"Unavailable"))</x:f>
        <x:v>0</x:v>
      </x:c>
      <x:c r="O23" s="21" t="n">
        <x:f>IF(C23="","",IFERROR(MAX(0,G23+J23-K23-L23),"Unavailable"))</x:f>
        <x:v>6.630999999999999</x:v>
      </x:c>
      <x:c r="P23" s="21" t="n">
        <x:f>IF(C23="","",IFERROR(MAX(0,H23+L23-M23-N23),"Unavailable"))</x:f>
        <x:v>0</x:v>
      </x:c>
      <x:c r="Q23" s="23" t="n">
        <x:f>IF(C23="","",IFERROR(IF(OR(D23&gt;=INDEX('Facilities'!$J$9:$J$108,MATCH(C23,'Facilities'!$C$9:$C$108,0)),AND(AC23&gt;=0,AC23&lt;=D23)),0,MAX(0,I23-J23)),"Unavailable"))</x:f>
        <x:v>1.425</x:v>
      </x:c>
      <x:c r="R23" s="30" t="n">
        <x:f>IF(C23="","",IFERROR(INDEX(Credit!$Q$9:$Q$108,MATCH(F23,Credit!$C$9:$C$108,0)),"Unavailable"))</x:f>
        <x:v>0.018373054427546526</x:v>
      </x:c>
      <x:c r="S23" s="30" t="n">
        <x:f>IF(C23="","",IFERROR(INDEX(Credit!$R$9:$R$108,MATCH(F23,Credit!$C$9:$C$108,0)),"Unavailable"))</x:f>
        <x:v>0.36056320000000003</x:v>
      </x:c>
      <x:c r="T23" s="23" t="n">
        <x:f>IF(C23="","",IFERROR(IF(P23&gt;0,3,IF(OR(INDEX('Facilities'!$AD$9:$AD$108,MATCH(C23,'Facilities'!$C$9:$C$108,0))=2,AND(R23&gt;=INDEX('Facilities'!$L$9:$L$108,MATCH(C23,'Facilities'!$C$9:$C$108,0))*Settings!$F$19,R23-INDEX('Facilities'!$L$9:$L$108,MATCH(C23,'Facilities'!$C$9:$C$108,0))&gt;=Settings!$F$20)),2,1)),"Unavailable"))</x:f>
        <x:v>1</x:v>
      </x:c>
      <x:c r="U23" s="23" t="n">
        <x:f>IF(C23="","",IF(AQ23&lt;&gt;"Ready","Unavailable",IF(C23="","",O23*(1-(1-S23)/(1+INDEX('Facilities'!$K$9:$K$108,MATCH(C23,'Facilities'!$C$9:$C$108,0)))^INDEX('Facilities'!$AK$9:$AK$108,MATCH(C23,'Facilities'!$C$9:$C$108,0)))*R23/(1+INDEX('Facilities'!$K$9:$K$108,MATCH(C23,'Facilities'!$C$9:$C$108,0)))*IF(ABS(1-(1-R23)*(1-INDEX('Facilities'!$R$9:$R$108,MATCH(C23,'Facilities'!$C$9:$C$108,0)))/(1+INDEX('Facilities'!$K$9:$K$108,MATCH(C23,'Facilities'!$C$9:$C$108,0))))&lt;0.000000001,IF(T23=1,MIN(1,AJ23),AJ23),(1-((1-R23)*(1-INDEX('Facilities'!$R$9:$R$108,MATCH(C23,'Facilities'!$C$9:$C$108,0)))/(1+INDEX('Facilities'!$K$9:$K$108,MATCH(C23,'Facilities'!$C$9:$C$108,0))))^IF(T23=1,MIN(1,AJ23),AJ23))/(1-(1-R23)*(1-INDEX('Facilities'!$R$9:$R$108,MATCH(C23,'Facilities'!$C$9:$C$108,0)))/(1+INDEX('Facilities'!$K$9:$K$108,MATCH(C23,'Facilities'!$C$9:$C$108,0)))))+AL23)))</x:f>
        <x:v>0.05096469279695304</x:v>
      </x:c>
      <x:c r="V23" s="23" t="n">
        <x:f>IF(C23="","",IF(AQ23&lt;&gt;"Ready","Unavailable",IF(C23="","",Q23*INDEX('Facilities'!$I$9:$I$108,MATCH(C23,'Facilities'!$C$9:$C$108,0))*(1-(1-S23)/(1+INDEX('Facilities'!$K$9:$K$108,MATCH(C23,'Facilities'!$C$9:$C$108,0)))^INDEX('Facilities'!$AK$9:$AK$108,MATCH(C23,'Facilities'!$C$9:$C$108,0)))*R23/(1+INDEX('Facilities'!$K$9:$K$108,MATCH(C23,'Facilities'!$C$9:$C$108,0)))*IF(ABS(1-(1-R23)*(1-0)/(1+INDEX('Facilities'!$K$9:$K$108,MATCH(C23,'Facilities'!$C$9:$C$108,0))))&lt;0.000000001,IF(T23=1,MIN(1,AJ23),AJ23),(1-((1-R23)*(1-0)/(1+INDEX('Facilities'!$K$9:$K$108,MATCH(C23,'Facilities'!$C$9:$C$108,0))))^IF(T23=1,MIN(1,AJ23),AJ23))/(1-(1-R23)*(1-0)/(1+INDEX('Facilities'!$K$9:$K$108,MATCH(C23,'Facilities'!$C$9:$C$108,0))))))))</x:f>
        <x:v>0.005476148939500686</x:v>
      </x:c>
      <x:c r="W23" s="23" t="n">
        <x:f>IF(C23="","",IFERROR(INDEX(ECL!$AB$9:$AB$108,MATCH(C23,ECL!$C$9:$C$108,0)),"Unavailable"))</x:f>
        <x:v>0.07104517746913581</x:v>
      </x:c>
      <x:c r="X23" s="23" t="n">
        <x:f>IF(C23="","",IFERROR(INDEX(ECL!$AC$9:$AC$108,MATCH(C23,ECL!$C$9:$C$108,0)),"Unavailable"))</x:f>
        <x:v>0.0071521990740740764</x:v>
      </x:c>
      <x:c r="Y23" s="21" t="n">
        <x:f>IF(C23="","",IF(AQ23&lt;&gt;"Ready","Unavailable",IF(C23="","",U23-W23+V23-X23+N23+AG23)))</x:f>
        <x:v>-0.02175653480675617</x:v>
      </x:c>
      <x:c r="Z23" s="23" t="n">
        <x:f>IF(C23="","",IF(AQ23&lt;&gt;"Ready","Unavailable",IF(C23="","",(G23+O23+L23)/2*INDEX('Facilities'!$T$9:$T$108,MATCH(C23,'Facilities'!$C$9:$C$108,0))+AG23)))</x:f>
        <x:v>0.6688475</x:v>
      </x:c>
      <x:c r="AA23" s="23" t="n">
        <x:f>IF(C23="","",IF(AQ23&lt;&gt;"Ready","Unavailable",IF(C23="","",O23*(1-IF(INDEX('Facilities'!$AA$9:$AA$108,MATCH(C23,'Facilities'!$C$9:$C$108,0))=0,0,MIN(1,INDEX('Facilities'!$X$9:$X$108,MATCH(C23,'Facilities'!$C$9:$C$108,0))/INDEX('Facilities'!$AA$9:$AA$108,MATCH(C23,'Facilities'!$C$9:$C$108,0)))))*AF23+P23*(1-IF(INDEX('Facilities'!$AA$9:$AA$108,MATCH(C23,'Facilities'!$C$9:$C$108,0))=0,0,MIN(1,INDEX('Facilities'!$X$9:$X$108,MATCH(C23,'Facilities'!$C$9:$C$108,0))/INDEX('Facilities'!$AA$9:$AA$108,MATCH(C23,'Facilities'!$C$9:$C$108,0)))))*INDEX('Facilities'!$AJ$9:$AJ$108,MATCH(C23,'Facilities'!$C$9:$C$108,0))+Q23*INDEX('Facilities'!$AI$9:$AI$108,MATCH(C23,'Facilities'!$C$9:$C$108,0))*AF23)))</x:f>
        <x:v>7.4027134848</x:v>
      </x:c>
      <x:c r="AB23" s="21" t="n">
        <x:f>IF(C23="","",O23+P23-AD23)</x:f>
        <x:v>-0.819</x:v>
      </x:c>
      <x:c r="AC23" s="23" t="n">
        <x:f>IF(C23="","",IFERROR(IF(INDEX('Facilities'!$AD$9:$AD$108,MATCH(C23,'Facilities'!$C$9:$C$108,0))=3,0,IF(INDEX('Facilities'!$AN$9:$AN$108,MATCH(C23,'Facilities'!$C$9:$C$108,0))=0,-1,INDEX('Facilities'!$AN$9:$AN$108,MATCH(C23,'Facilities'!$C$9:$C$108,0)))),"Unavailable"))</x:f>
        <x:v>-1</x:v>
      </x:c>
      <x:c r="AD23" s="21" t="n">
        <x:f>IF(C23="","",IFERROR(G23+H23,"Unavailable"))</x:f>
        <x:v>7.449999999999999</x:v>
      </x:c>
      <x:c r="AE23" s="21" t="n">
        <x:f>IF(C23="","",IF(AQ23&lt;&gt;"Ready","Unavailable",IF(C23="","",O23+P23-AD23-J23+K23+M23+N23)))</x:f>
        <x:v>0</x:v>
      </x:c>
      <x:c r="AF23" s="30" t="n">
        <x:f>IF(C23="","",IFERROR(INDEX('Facilities'!$S$9:$S$108,MATCH(C23,'Facilities'!$C$9:$C$108,0))*'Scenario Paths'!F75,"Unavailable"))</x:f>
        <x:v>1.02</x:v>
      </x:c>
      <x:c r="AG23" s="23" t="n">
        <x:f>IF(C23="","",IF(AQ23&lt;&gt;"Ready","Unavailable",IF(C23="","",IF(H23&gt;0,MAX(0,H23-AK23)*((1+INDEX('Facilities'!$K$9:$K$108,MATCH(C23,'Facilities'!$C$9:$C$108,0)))^MIN(1,MAX(0,AC23+INDEX('Facilities'!$AK$9:$AK$108,MATCH(C23,'Facilities'!$C$9:$C$108,0))-D23+1))-1),0))))</x:f>
        <x:v>0</x:v>
      </x:c>
      <x:c r="AH23" s="21" t="n">
        <x:f>IF(C23="","",IF(AQ23&lt;&gt;"Ready","Unavailable",IF(C23="","",O23+P23)))</x:f>
        <x:v>6.630999999999999</x:v>
      </x:c>
      <x:c r="AI23" s="21" t="n">
        <x:f>IF(C23="","",IF(AQ23&lt;&gt;"Ready","Unavailable",IF(C23="","",Z23-Y23)))</x:f>
        <x:v>0.6906040348067563</x:v>
      </x:c>
      <x:c r="AJ23" s="23" t="n">
        <x:f>IF(C23="","",IFERROR(MAX(0,INDEX('Facilities'!$J$9:$J$108,MATCH(C23,'Facilities'!$C$9:$C$108,0))-D23),"Unavailable"))</x:f>
        <x:v>11</x:v>
      </x:c>
      <x:c r="AK23" s="23" t="n">
        <x:f>IF(C23="","",IFERROR(IF(INDEX('Facilities'!$AD$9:$AD$108,MATCH(C23,'Facilities'!$C$9:$C$108,0))=3,W23,0),"Unavailable"))</x:f>
        <x:v>0</x:v>
      </x:c>
      <x:c r="AL23" s="23" t="n">
        <x:f>IF(C23="","",IFERROR(IF(P23&gt;0,P23*(1-AM23/(1+INDEX('Facilities'!$K$9:$K$108,MATCH(C23,'Facilities'!$C$9:$C$108,0)))^MAX(0,AC23+INDEX('Facilities'!$AK$9:$AK$108,MATCH(C23,'Facilities'!$C$9:$C$108,0))-D23)),0),"Unavailable"))</x:f>
        <x:v>0</x:v>
      </x:c>
      <x:c r="AM23" s="30" t="n">
        <x:f>IF(C23="","",IFERROR(INDEX('Facilities'!$AL$9:$AL$108,MATCH(C23,'Facilities'!$C$9:$C$108,0)),"Unavailable"))</x:f>
        <x:v>0.55</x:v>
      </x:c>
      <x:c r="AN23" s="30" t="n">
        <x:f>IF(C23="","",IFERROR(INDEX(Credit!$T$9:$T$108,MATCH(F23,Credit!$C$9:$C$108,0)),"Unavailable"))</x:f>
        <x:v>0.0008800000000000001</x:v>
      </x:c>
      <x:c r="AO23" s="23" t="n">
        <x:f>IF(C23="","",IF(AQ23&lt;&gt;"Ready","Unavailable",IF(C23="","",O23+P23+Q23*INDEX('Facilities'!$I$9:$I$108,MATCH(C23,'Facilities'!$C$9:$C$108,0)))))</x:f>
        <x:v>7.3435</x:v>
      </x:c>
      <x:c r="AP23" s="21" t="n">
        <x:f>IF(C23="","",IF(AQ23&lt;&gt;"Ready","Unavailable",IF(C23="","",AH23-U23)))</x:f>
        <x:v>6.580035307203047</x:v>
      </x:c>
      <x:c r="AQ23" s="23" t="str">
        <x:f>IFERROR(IF(C23="","",IF(AND(INDEX('Facilities'!$AF$9:$AF$108,MATCH(C23,'Facilities'!$C$9:$C$108,0))="Ready",INDEX(Credit!$U$9:$U$108,MATCH(F23,Credit!$C$9:$C$108,0))="Ready",ISNUMBER(W23)),"Ready","Review inputs")),"Review inputs")</x:f>
        <x:v>Ready</x:v>
      </x:c>
      <x:c r="AR23" s="23" t="n">
        <x:f>IF(C23="","",IF(AQ23&lt;&gt;"Ready","Unavailable",IF(C23="","",IF(O23=0,0,(IF(AJ23&lt;=1,O23,O23*INDEX('Facilities'!$R$9:$R$108,MATCH(C23,'Facilities'!$C$9:$C$108,0)))+O23*INDEX('Facilities'!$T$9:$T$108,MATCH(C23,'Facilities'!$C$9:$C$108,0)))/12))))</x:f>
        <x:v>0.11880541666666666</x:v>
      </x:c>
    </x:row>
    <x:row r="24" ht="26" customHeight="1">
      <x:c r="A24" s="1"/>
      <x:c r="B24" s="1"/>
      <x:c r="C24" s="9" t="str">
        <x:f>IF(Facilities!C24="","",Facilities!C24)</x:f>
        <x:v>F016</x:v>
      </x:c>
      <x:c r="D24" s="3" t="n">
        <x:v>1</x:v>
      </x:c>
      <x:c r="E24" s="9" t="n">
        <x:f>Settings!$F$18+0</x:f>
        <x:v>2027</x:v>
      </x:c>
      <x:c r="F24" s="9" t="str">
        <x:f>IF(C24="","",IFERROR(INDEX('Facilities'!$D$9:$D$108,MATCH(C24,'Facilities'!$C$9:$C$108,0)),"Unavailable"))</x:f>
        <x:v>B008</x:v>
      </x:c>
      <x:c r="G24" s="23" t="n">
        <x:f>IF(C24="","",IFERROR(IF(INDEX('Facilities'!$AD$9:$AD$108,MATCH(C24,'Facilities'!$C$9:$C$108,0))=3,0,INDEX('Facilities'!$AA$9:$AA$108,MATCH(C24,'Facilities'!$C$9:$C$108,0))),"Unavailable"))</x:f>
        <x:v>4.949999999999999</x:v>
      </x:c>
      <x:c r="H24" s="23" t="n">
        <x:f>IF(C24="","",IFERROR(IF(INDEX('Facilities'!$AD$9:$AD$108,MATCH(C24,'Facilities'!$C$9:$C$108,0))=3,INDEX('Facilities'!$AA$9:$AA$108,MATCH(C24,'Facilities'!$C$9:$C$108,0)),0),"Unavailable"))</x:f>
        <x:v>0</x:v>
      </x:c>
      <x:c r="I24" s="23" t="n">
        <x:f>IF(C24="","",IFERROR(INDEX('Facilities'!$AB$9:$AB$108,MATCH(C24,'Facilities'!$C$9:$C$108,0)),"Unavailable"))</x:f>
        <x:v>0.5</x:v>
      </x:c>
      <x:c r="J24" s="23" t="n">
        <x:f>IF(C24="","",IFERROR(IF(OR(H24&gt;0,AND(AC24&gt;=0,AC24&lt;D24),D24&gt;INDEX('Facilities'!$J$9:$J$108,MATCH(C24,'Facilities'!$C$9:$C$108,0))),0,I24*'Scenario Paths'!F81),"Unavailable"))</x:f>
        <x:v>0.025</x:v>
      </x:c>
      <x:c r="K24" s="23" t="n">
        <x:f>IF(C24="","",IFERROR(IF(OR(H24&gt;0,AND(AC24&gt;=0,AC24=D24)),0,IF(D24&gt;=INDEX('Facilities'!$J$9:$J$108,MATCH(C24,'Facilities'!$C$9:$C$108,0)),G24+J24,MIN(G24+J24,G24*INDEX('Facilities'!$R$9:$R$108,MATCH(C24,'Facilities'!$C$9:$C$108,0))))),"Unavailable"))</x:f>
        <x:v>0.5939999999999999</x:v>
      </x:c>
      <x:c r="L24" s="21" t="n">
        <x:f>IF(C24="","",IFERROR(IF(AND(AC24=D24,AC24&gt;0),MAX(0,G24+J24-K24),0),"Unavailable"))</x:f>
        <x:v>0</x:v>
      </x:c>
      <x:c r="M24" s="23" t="n">
        <x:f>IF(C24="","",IFERROR(IF(AND(AC24&gt;=0,D24&gt;=AC24+INDEX('Facilities'!$AK$9:$AK$108,MATCH(C24,'Facilities'!$C$9:$C$108,0))),(H24+L24)*AM24,0),"Unavailable"))</x:f>
        <x:v>0</x:v>
      </x:c>
      <x:c r="N24" s="23" t="n">
        <x:f>IF(C24="","",IFERROR(IF(AND(AC24&gt;=0,D24&gt;=AC24+INDEX('Facilities'!$AK$9:$AK$108,MATCH(C24,'Facilities'!$C$9:$C$108,0))),H24+L24-M24,0),"Unavailable"))</x:f>
        <x:v>0</x:v>
      </x:c>
      <x:c r="O24" s="21" t="n">
        <x:f>IF(C24="","",IFERROR(MAX(0,G24+J24-K24-L24),"Unavailable"))</x:f>
        <x:v>4.381</x:v>
      </x:c>
      <x:c r="P24" s="21" t="n">
        <x:f>IF(C24="","",IFERROR(MAX(0,H24+L24-M24-N24),"Unavailable"))</x:f>
        <x:v>0</x:v>
      </x:c>
      <x:c r="Q24" s="23" t="n">
        <x:f>IF(C24="","",IFERROR(IF(OR(D24&gt;=INDEX('Facilities'!$J$9:$J$108,MATCH(C24,'Facilities'!$C$9:$C$108,0)),AND(AC24&gt;=0,AC24&lt;=D24)),0,MAX(0,I24-J24)),"Unavailable"))</x:f>
        <x:v>0.475</x:v>
      </x:c>
      <x:c r="R24" s="30" t="n">
        <x:f>IF(C24="","",IFERROR(INDEX(Credit!$Q$9:$Q$108,MATCH(F24,Credit!$C$9:$C$108,0)),"Unavailable"))</x:f>
        <x:v>0.018373054427546526</x:v>
      </x:c>
      <x:c r="S24" s="30" t="n">
        <x:f>IF(C24="","",IFERROR(INDEX(Credit!$R$9:$R$108,MATCH(F24,Credit!$C$9:$C$108,0)),"Unavailable"))</x:f>
        <x:v>0.36056320000000003</x:v>
      </x:c>
      <x:c r="T24" s="23" t="n">
        <x:f>IF(C24="","",IFERROR(IF(P24&gt;0,3,IF(OR(INDEX('Facilities'!$AD$9:$AD$108,MATCH(C24,'Facilities'!$C$9:$C$108,0))=2,AND(R24&gt;=INDEX('Facilities'!$L$9:$L$108,MATCH(C24,'Facilities'!$C$9:$C$108,0))*Settings!$F$19,R24-INDEX('Facilities'!$L$9:$L$108,MATCH(C24,'Facilities'!$C$9:$C$108,0))&gt;=Settings!$F$20)),2,1)),"Unavailable"))</x:f>
        <x:v>1</x:v>
      </x:c>
      <x:c r="U24" s="23" t="n">
        <x:f>IF(C24="","",IF(AQ24&lt;&gt;"Ready","Unavailable",IF(C24="","",O24*(1-(1-S24)/(1+INDEX('Facilities'!$K$9:$K$108,MATCH(C24,'Facilities'!$C$9:$C$108,0)))^INDEX('Facilities'!$AK$9:$AK$108,MATCH(C24,'Facilities'!$C$9:$C$108,0)))*R24/(1+INDEX('Facilities'!$K$9:$K$108,MATCH(C24,'Facilities'!$C$9:$C$108,0)))*IF(ABS(1-(1-R24)*(1-INDEX('Facilities'!$R$9:$R$108,MATCH(C24,'Facilities'!$C$9:$C$108,0)))/(1+INDEX('Facilities'!$K$9:$K$108,MATCH(C24,'Facilities'!$C$9:$C$108,0))))&lt;0.000000001,IF(T24=1,MIN(1,AJ24),AJ24),(1-((1-R24)*(1-INDEX('Facilities'!$R$9:$R$108,MATCH(C24,'Facilities'!$C$9:$C$108,0)))/(1+INDEX('Facilities'!$K$9:$K$108,MATCH(C24,'Facilities'!$C$9:$C$108,0))))^IF(T24=1,MIN(1,AJ24),AJ24))/(1-(1-R24)*(1-INDEX('Facilities'!$R$9:$R$108,MATCH(C24,'Facilities'!$C$9:$C$108,0)))/(1+INDEX('Facilities'!$K$9:$K$108,MATCH(C24,'Facilities'!$C$9:$C$108,0)))))+AL24)))</x:f>
        <x:v>0.033671590882740354</x:v>
      </x:c>
      <x:c r="V24" s="23" t="n">
        <x:f>IF(C24="","",IF(AQ24&lt;&gt;"Ready","Unavailable",IF(C24="","",Q24*INDEX('Facilities'!$I$9:$I$108,MATCH(C24,'Facilities'!$C$9:$C$108,0))*(1-(1-S24)/(1+INDEX('Facilities'!$K$9:$K$108,MATCH(C24,'Facilities'!$C$9:$C$108,0)))^INDEX('Facilities'!$AK$9:$AK$108,MATCH(C24,'Facilities'!$C$9:$C$108,0)))*R24/(1+INDEX('Facilities'!$K$9:$K$108,MATCH(C24,'Facilities'!$C$9:$C$108,0)))*IF(ABS(1-(1-R24)*(1-0)/(1+INDEX('Facilities'!$K$9:$K$108,MATCH(C24,'Facilities'!$C$9:$C$108,0))))&lt;0.000000001,IF(T24=1,MIN(1,AJ24),AJ24),(1-((1-R24)*(1-0)/(1+INDEX('Facilities'!$K$9:$K$108,MATCH(C24,'Facilities'!$C$9:$C$108,0))))^IF(T24=1,MIN(1,AJ24),AJ24))/(1-(1-R24)*(1-0)/(1+INDEX('Facilities'!$K$9:$K$108,MATCH(C24,'Facilities'!$C$9:$C$108,0))))))))</x:f>
        <x:v>0.0018253829798335617</x:v>
      </x:c>
      <x:c r="W24" s="23" t="n">
        <x:f>IF(C24="","",IFERROR(INDEX(ECL!$AB$9:$AB$108,MATCH(C24,ECL!$C$9:$C$108,0)),"Unavailable"))</x:f>
        <x:v>0.0472045138888889</x:v>
      </x:c>
      <x:c r="X24" s="23" t="n">
        <x:f>IF(C24="","",IFERROR(INDEX(ECL!$AC$9:$AC$108,MATCH(C24,ECL!$C$9:$C$108,0)),"Unavailable"))</x:f>
        <x:v>0.002384066358024692</x:v>
      </x:c>
      <x:c r="Y24" s="21" t="n">
        <x:f>IF(C24="","",IF(AQ24&lt;&gt;"Ready","Unavailable",IF(C24="","",U24-W24+V24-X24+N24+AG24)))</x:f>
        <x:v>-0.014091606384339673</x:v>
      </x:c>
      <x:c r="Z24" s="23" t="n">
        <x:f>IF(C24="","",IF(AQ24&lt;&gt;"Ready","Unavailable",IF(C24="","",(G24+O24+L24)/2*INDEX('Facilities'!$T$9:$T$108,MATCH(C24,'Facilities'!$C$9:$C$108,0))+AG24)))</x:f>
        <x:v>0.44322249999999996</x:v>
      </x:c>
      <x:c r="AA24" s="23" t="n">
        <x:f>IF(C24="","",IF(AQ24&lt;&gt;"Ready","Unavailable",IF(C24="","",O24*(1-IF(INDEX('Facilities'!$AA$9:$AA$108,MATCH(C24,'Facilities'!$C$9:$C$108,0))=0,0,MIN(1,INDEX('Facilities'!$X$9:$X$108,MATCH(C24,'Facilities'!$C$9:$C$108,0))/INDEX('Facilities'!$AA$9:$AA$108,MATCH(C24,'Facilities'!$C$9:$C$108,0)))))*AF24+P24*(1-IF(INDEX('Facilities'!$AA$9:$AA$108,MATCH(C24,'Facilities'!$C$9:$C$108,0))=0,0,MIN(1,INDEX('Facilities'!$X$9:$X$108,MATCH(C24,'Facilities'!$C$9:$C$108,0))/INDEX('Facilities'!$AA$9:$AA$108,MATCH(C24,'Facilities'!$C$9:$C$108,0)))))*INDEX('Facilities'!$AJ$9:$AJ$108,MATCH(C24,'Facilities'!$C$9:$C$108,0))+Q24*INDEX('Facilities'!$AI$9:$AI$108,MATCH(C24,'Facilities'!$C$9:$C$108,0))*AF24)))</x:f>
        <x:v>4.6529566848</x:v>
      </x:c>
      <x:c r="AB24" s="21" t="n">
        <x:f>IF(C24="","",O24+P24-AD24)</x:f>
        <x:v>-0.5689999999999991</x:v>
      </x:c>
      <x:c r="AC24" s="23" t="n">
        <x:f>IF(C24="","",IFERROR(IF(INDEX('Facilities'!$AD$9:$AD$108,MATCH(C24,'Facilities'!$C$9:$C$108,0))=3,0,IF(INDEX('Facilities'!$AN$9:$AN$108,MATCH(C24,'Facilities'!$C$9:$C$108,0))=0,-1,INDEX('Facilities'!$AN$9:$AN$108,MATCH(C24,'Facilities'!$C$9:$C$108,0)))),"Unavailable"))</x:f>
        <x:v>-1</x:v>
      </x:c>
      <x:c r="AD24" s="21" t="n">
        <x:f>IF(C24="","",IFERROR(G24+H24,"Unavailable"))</x:f>
        <x:v>4.949999999999999</x:v>
      </x:c>
      <x:c r="AE24" s="21" t="n">
        <x:f>IF(C24="","",IF(AQ24&lt;&gt;"Ready","Unavailable",IF(C24="","",O24+P24-AD24-J24+K24+M24+N24)))</x:f>
        <x:v>7.771561172376096e-16</x:v>
      </x:c>
      <x:c r="AF24" s="30" t="n">
        <x:f>IF(C24="","",IFERROR(INDEX('Facilities'!$S$9:$S$108,MATCH(C24,'Facilities'!$C$9:$C$108,0))*'Scenario Paths'!F75,"Unavailable"))</x:f>
        <x:v>1.02</x:v>
      </x:c>
      <x:c r="AG24" s="23" t="n">
        <x:f>IF(C24="","",IF(AQ24&lt;&gt;"Ready","Unavailable",IF(C24="","",IF(H24&gt;0,MAX(0,H24-AK24)*((1+INDEX('Facilities'!$K$9:$K$108,MATCH(C24,'Facilities'!$C$9:$C$108,0)))^MIN(1,MAX(0,AC24+INDEX('Facilities'!$AK$9:$AK$108,MATCH(C24,'Facilities'!$C$9:$C$108,0))-D24+1))-1),0))))</x:f>
        <x:v>0</x:v>
      </x:c>
      <x:c r="AH24" s="21" t="n">
        <x:f>IF(C24="","",IF(AQ24&lt;&gt;"Ready","Unavailable",IF(C24="","",O24+P24)))</x:f>
        <x:v>4.381</x:v>
      </x:c>
      <x:c r="AI24" s="21" t="n">
        <x:f>IF(C24="","",IF(AQ24&lt;&gt;"Ready","Unavailable",IF(C24="","",Z24-Y24)))</x:f>
        <x:v>0.4573141063843396</x:v>
      </x:c>
      <x:c r="AJ24" s="23" t="n">
        <x:f>IF(C24="","",IFERROR(MAX(0,INDEX('Facilities'!$J$9:$J$108,MATCH(C24,'Facilities'!$C$9:$C$108,0))-D24),"Unavailable"))</x:f>
        <x:v>11</x:v>
      </x:c>
      <x:c r="AK24" s="23" t="n">
        <x:f>IF(C24="","",IFERROR(IF(INDEX('Facilities'!$AD$9:$AD$108,MATCH(C24,'Facilities'!$C$9:$C$108,0))=3,W24,0),"Unavailable"))</x:f>
        <x:v>0</x:v>
      </x:c>
      <x:c r="AL24" s="23" t="n">
        <x:f>IF(C24="","",IFERROR(IF(P24&gt;0,P24*(1-AM24/(1+INDEX('Facilities'!$K$9:$K$108,MATCH(C24,'Facilities'!$C$9:$C$108,0)))^MAX(0,AC24+INDEX('Facilities'!$AK$9:$AK$108,MATCH(C24,'Facilities'!$C$9:$C$108,0))-D24)),0),"Unavailable"))</x:f>
        <x:v>0</x:v>
      </x:c>
      <x:c r="AM24" s="30" t="n">
        <x:f>IF(C24="","",IFERROR(INDEX('Facilities'!$AL$9:$AL$108,MATCH(C24,'Facilities'!$C$9:$C$108,0)),"Unavailable"))</x:f>
        <x:v>0.55</x:v>
      </x:c>
      <x:c r="AN24" s="30" t="n">
        <x:f>IF(C24="","",IFERROR(INDEX(Credit!$T$9:$T$108,MATCH(F24,Credit!$C$9:$C$108,0)),"Unavailable"))</x:f>
        <x:v>0.0008800000000000001</x:v>
      </x:c>
      <x:c r="AO24" s="23" t="n">
        <x:f>IF(C24="","",IF(AQ24&lt;&gt;"Ready","Unavailable",IF(C24="","",O24+P24+Q24*INDEX('Facilities'!$I$9:$I$108,MATCH(C24,'Facilities'!$C$9:$C$108,0)))))</x:f>
        <x:v>4.6185</x:v>
      </x:c>
      <x:c r="AP24" s="21" t="n">
        <x:f>IF(C24="","",IF(AQ24&lt;&gt;"Ready","Unavailable",IF(C24="","",AH24-U24)))</x:f>
        <x:v>4.34732840911726</x:v>
      </x:c>
      <x:c r="AQ24" s="23" t="str">
        <x:f>IFERROR(IF(C24="","",IF(AND(INDEX('Facilities'!$AF$9:$AF$108,MATCH(C24,'Facilities'!$C$9:$C$108,0))="Ready",INDEX(Credit!$U$9:$U$108,MATCH(F24,Credit!$C$9:$C$108,0))="Ready",ISNUMBER(W24)),"Ready","Review inputs")),"Review inputs")</x:f>
        <x:v>Ready</x:v>
      </x:c>
      <x:c r="AR24" s="23" t="n">
        <x:f>IF(C24="","",IF(AQ24&lt;&gt;"Ready","Unavailable",IF(C24="","",IF(O24=0,0,(IF(AJ24&lt;=1,O24,O24*INDEX('Facilities'!$R$9:$R$108,MATCH(C24,'Facilities'!$C$9:$C$108,0)))+O24*INDEX('Facilities'!$T$9:$T$108,MATCH(C24,'Facilities'!$C$9:$C$108,0)))/12))))</x:f>
        <x:v>0.07849291666666668</x:v>
      </x:c>
    </x:row>
    <x:row r="25" ht="26" customHeight="1">
      <x:c r="A25" s="1"/>
      <x:c r="B25" s="1"/>
      <x:c r="C25" s="9" t="str">
        <x:f>IF(Facilities!C25="","",Facilities!C25)</x:f>
        <x:v>F017</x:v>
      </x:c>
      <x:c r="D25" s="3" t="n">
        <x:v>1</x:v>
      </x:c>
      <x:c r="E25" s="9" t="n">
        <x:f>Settings!$F$18+0</x:f>
        <x:v>2027</x:v>
      </x:c>
      <x:c r="F25" s="9" t="str">
        <x:f>IF(C25="","",IFERROR(INDEX('Facilities'!$D$9:$D$108,MATCH(C25,'Facilities'!$C$9:$C$108,0)),"Unavailable"))</x:f>
        <x:v>B009</x:v>
      </x:c>
      <x:c r="G25" s="23" t="n">
        <x:f>IF(C25="","",IFERROR(IF(INDEX('Facilities'!$AD$9:$AD$108,MATCH(C25,'Facilities'!$C$9:$C$108,0))=3,0,INDEX('Facilities'!$AA$9:$AA$108,MATCH(C25,'Facilities'!$C$9:$C$108,0))),"Unavailable"))</x:f>
        <x:v>7.8</x:v>
      </x:c>
      <x:c r="H25" s="23" t="n">
        <x:f>IF(C25="","",IFERROR(IF(INDEX('Facilities'!$AD$9:$AD$108,MATCH(C25,'Facilities'!$C$9:$C$108,0))=3,INDEX('Facilities'!$AA$9:$AA$108,MATCH(C25,'Facilities'!$C$9:$C$108,0)),0),"Unavailable"))</x:f>
        <x:v>0</x:v>
      </x:c>
      <x:c r="I25" s="23" t="n">
        <x:f>IF(C25="","",IFERROR(INDEX('Facilities'!$AB$9:$AB$108,MATCH(C25,'Facilities'!$C$9:$C$108,0)),"Unavailable"))</x:f>
        <x:v>1.5</x:v>
      </x:c>
      <x:c r="J25" s="23" t="n">
        <x:f>IF(C25="","",IFERROR(IF(OR(H25&gt;0,AND(AC25&gt;=0,AC25&lt;D25),D25&gt;INDEX('Facilities'!$J$9:$J$108,MATCH(C25,'Facilities'!$C$9:$C$108,0))),0,I25*'Scenario Paths'!F81),"Unavailable"))</x:f>
        <x:v>0.07500000000000001</x:v>
      </x:c>
      <x:c r="K25" s="23" t="n">
        <x:f>IF(C25="","",IFERROR(IF(OR(H25&gt;0,AND(AC25&gt;=0,AC25=D25)),0,IF(D25&gt;=INDEX('Facilities'!$J$9:$J$108,MATCH(C25,'Facilities'!$C$9:$C$108,0)),G25+J25,MIN(G25+J25,G25*INDEX('Facilities'!$R$9:$R$108,MATCH(C25,'Facilities'!$C$9:$C$108,0))))),"Unavailable"))</x:f>
        <x:v>0.9359999999999999</x:v>
      </x:c>
      <x:c r="L25" s="21" t="n">
        <x:f>IF(C25="","",IFERROR(IF(AND(AC25=D25,AC25&gt;0),MAX(0,G25+J25-K25),0),"Unavailable"))</x:f>
        <x:v>0</x:v>
      </x:c>
      <x:c r="M25" s="23" t="n">
        <x:f>IF(C25="","",IFERROR(IF(AND(AC25&gt;=0,D25&gt;=AC25+INDEX('Facilities'!$AK$9:$AK$108,MATCH(C25,'Facilities'!$C$9:$C$108,0))),(H25+L25)*AM25,0),"Unavailable"))</x:f>
        <x:v>0</x:v>
      </x:c>
      <x:c r="N25" s="23" t="n">
        <x:f>IF(C25="","",IFERROR(IF(AND(AC25&gt;=0,D25&gt;=AC25+INDEX('Facilities'!$AK$9:$AK$108,MATCH(C25,'Facilities'!$C$9:$C$108,0))),H25+L25-M25,0),"Unavailable"))</x:f>
        <x:v>0</x:v>
      </x:c>
      <x:c r="O25" s="21" t="n">
        <x:f>IF(C25="","",IFERROR(MAX(0,G25+J25-K25-L25),"Unavailable"))</x:f>
        <x:v>6.939</x:v>
      </x:c>
      <x:c r="P25" s="21" t="n">
        <x:f>IF(C25="","",IFERROR(MAX(0,H25+L25-M25-N25),"Unavailable"))</x:f>
        <x:v>0</x:v>
      </x:c>
      <x:c r="Q25" s="23" t="n">
        <x:f>IF(C25="","",IFERROR(IF(OR(D25&gt;=INDEX('Facilities'!$J$9:$J$108,MATCH(C25,'Facilities'!$C$9:$C$108,0)),AND(AC25&gt;=0,AC25&lt;=D25)),0,MAX(0,I25-J25)),"Unavailable"))</x:f>
        <x:v>1.425</x:v>
      </x:c>
      <x:c r="R25" s="30" t="n">
        <x:f>IF(C25="","",IFERROR(INDEX(Credit!$Q$9:$Q$108,MATCH(F25,Credit!$C$9:$C$108,0)),"Unavailable"))</x:f>
        <x:v>0.0276189601452045</x:v>
      </x:c>
      <x:c r="S25" s="30" t="n">
        <x:f>IF(C25="","",IFERROR(INDEX(Credit!$R$9:$R$108,MATCH(F25,Credit!$C$9:$C$108,0)),"Unavailable"))</x:f>
        <x:v>0.4008736</x:v>
      </x:c>
      <x:c r="T25" s="23" t="n">
        <x:f>IF(C25="","",IFERROR(IF(P25&gt;0,3,IF(OR(INDEX('Facilities'!$AD$9:$AD$108,MATCH(C25,'Facilities'!$C$9:$C$108,0))=2,AND(R25&gt;=INDEX('Facilities'!$L$9:$L$108,MATCH(C25,'Facilities'!$C$9:$C$108,0))*Settings!$F$19,R25-INDEX('Facilities'!$L$9:$L$108,MATCH(C25,'Facilities'!$C$9:$C$108,0))&gt;=Settings!$F$20)),2,1)),"Unavailable"))</x:f>
        <x:v>2</x:v>
      </x:c>
      <x:c r="U25" s="23" t="n">
        <x:f>IF(C25="","",IF(AQ25&lt;&gt;"Ready","Unavailable",IF(C25="","",O25*(1-(1-S25)/(1+INDEX('Facilities'!$K$9:$K$108,MATCH(C25,'Facilities'!$C$9:$C$108,0)))^INDEX('Facilities'!$AK$9:$AK$108,MATCH(C25,'Facilities'!$C$9:$C$108,0)))*R25/(1+INDEX('Facilities'!$K$9:$K$108,MATCH(C25,'Facilities'!$C$9:$C$108,0)))*IF(ABS(1-(1-R25)*(1-INDEX('Facilities'!$R$9:$R$108,MATCH(C25,'Facilities'!$C$9:$C$108,0)))/(1+INDEX('Facilities'!$K$9:$K$108,MATCH(C25,'Facilities'!$C$9:$C$108,0))))&lt;0.000000001,IF(T25=1,MIN(1,AJ25),AJ25),(1-((1-R25)*(1-INDEX('Facilities'!$R$9:$R$108,MATCH(C25,'Facilities'!$C$9:$C$108,0)))/(1+INDEX('Facilities'!$K$9:$K$108,MATCH(C25,'Facilities'!$C$9:$C$108,0))))^IF(T25=1,MIN(1,AJ25),AJ25))/(1-(1-R25)*(1-INDEX('Facilities'!$R$9:$R$108,MATCH(C25,'Facilities'!$C$9:$C$108,0)))/(1+INDEX('Facilities'!$K$9:$K$108,MATCH(C25,'Facilities'!$C$9:$C$108,0)))))+AL25)))</x:f>
        <x:v>0.3340904947146954</x:v>
      </x:c>
      <x:c r="V25" s="23" t="n">
        <x:f>IF(C25="","",IF(AQ25&lt;&gt;"Ready","Unavailable",IF(C25="","",Q25*INDEX('Facilities'!$I$9:$I$108,MATCH(C25,'Facilities'!$C$9:$C$108,0))*(1-(1-S25)/(1+INDEX('Facilities'!$K$9:$K$108,MATCH(C25,'Facilities'!$C$9:$C$108,0)))^INDEX('Facilities'!$AK$9:$AK$108,MATCH(C25,'Facilities'!$C$9:$C$108,0)))*R25/(1+INDEX('Facilities'!$K$9:$K$108,MATCH(C25,'Facilities'!$C$9:$C$108,0)))*IF(ABS(1-(1-R25)*(1-0)/(1+INDEX('Facilities'!$K$9:$K$108,MATCH(C25,'Facilities'!$C$9:$C$108,0))))&lt;0.000000001,IF(T25=1,MIN(1,AJ25),AJ25),(1-((1-R25)*(1-0)/(1+INDEX('Facilities'!$K$9:$K$108,MATCH(C25,'Facilities'!$C$9:$C$108,0))))^IF(T25=1,MIN(1,AJ25),AJ25))/(1-(1-R25)*(1-0)/(1+INDEX('Facilities'!$K$9:$K$108,MATCH(C25,'Facilities'!$C$9:$C$108,0))))))))</x:f>
        <x:v>0.04627821669731414</x:v>
      </x:c>
      <x:c r="W25" s="23" t="n">
        <x:f>IF(C25="","",IFERROR(INDEX(ECL!$AB$9:$AB$108,MATCH(C25,ECL!$C$9:$C$108,0)),"Unavailable"))</x:f>
        <x:v>0.4295121964792693</x:v>
      </x:c>
      <x:c r="X25" s="23" t="n">
        <x:f>IF(C25="","",IFERROR(INDEX(ECL!$AC$9:$AC$108,MATCH(C25,ECL!$C$9:$C$108,0)),"Unavailable"))</x:f>
        <x:v>0.05772511344953799</x:v>
      </x:c>
      <x:c r="Y25" s="21" t="n">
        <x:f>IF(C25="","",IF(AQ25&lt;&gt;"Ready","Unavailable",IF(C25="","",U25-W25+V25-X25+N25+AG25)))</x:f>
        <x:v>-0.10686859851679778</x:v>
      </x:c>
      <x:c r="Z25" s="23" t="n">
        <x:f>IF(C25="","",IF(AQ25&lt;&gt;"Ready","Unavailable",IF(C25="","",(G25+O25+L25)/2*INDEX('Facilities'!$T$9:$T$108,MATCH(C25,'Facilities'!$C$9:$C$108,0))+AG25)))</x:f>
        <x:v>0.7001025000000001</x:v>
      </x:c>
      <x:c r="AA25" s="23" t="n">
        <x:f>IF(C25="","",IF(AQ25&lt;&gt;"Ready","Unavailable",IF(C25="","",O25*(1-IF(INDEX('Facilities'!$AA$9:$AA$108,MATCH(C25,'Facilities'!$C$9:$C$108,0))=0,0,MIN(1,INDEX('Facilities'!$X$9:$X$108,MATCH(C25,'Facilities'!$C$9:$C$108,0))/INDEX('Facilities'!$AA$9:$AA$108,MATCH(C25,'Facilities'!$C$9:$C$108,0)))))*AF25+P25*(1-IF(INDEX('Facilities'!$AA$9:$AA$108,MATCH(C25,'Facilities'!$C$9:$C$108,0))=0,0,MIN(1,INDEX('Facilities'!$X$9:$X$108,MATCH(C25,'Facilities'!$C$9:$C$108,0))/INDEX('Facilities'!$AA$9:$AA$108,MATCH(C25,'Facilities'!$C$9:$C$108,0)))))*INDEX('Facilities'!$AJ$9:$AJ$108,MATCH(C25,'Facilities'!$C$9:$C$108,0))+Q25*INDEX('Facilities'!$AI$9:$AI$108,MATCH(C25,'Facilities'!$C$9:$C$108,0))*AF25)))</x:f>
        <x:v>7.6686366239999995</x:v>
      </x:c>
      <x:c r="AB25" s="21" t="n">
        <x:f>IF(C25="","",O25+P25-AD25)</x:f>
        <x:v>-0.8609999999999998</x:v>
      </x:c>
      <x:c r="AC25" s="23" t="n">
        <x:f>IF(C25="","",IFERROR(IF(INDEX('Facilities'!$AD$9:$AD$108,MATCH(C25,'Facilities'!$C$9:$C$108,0))=3,0,IF(INDEX('Facilities'!$AN$9:$AN$108,MATCH(C25,'Facilities'!$C$9:$C$108,0))=0,-1,INDEX('Facilities'!$AN$9:$AN$108,MATCH(C25,'Facilities'!$C$9:$C$108,0)))),"Unavailable"))</x:f>
        <x:v>-1</x:v>
      </x:c>
      <x:c r="AD25" s="21" t="n">
        <x:f>IF(C25="","",IFERROR(G25+H25,"Unavailable"))</x:f>
        <x:v>7.8</x:v>
      </x:c>
      <x:c r="AE25" s="21" t="n">
        <x:f>IF(C25="","",IF(AQ25&lt;&gt;"Ready","Unavailable",IF(C25="","",O25+P25-AD25-J25+K25+M25+N25)))</x:f>
        <x:v>2.220446049250313e-16</x:v>
      </x:c>
      <x:c r="AF25" s="30" t="n">
        <x:f>IF(C25="","",IFERROR(INDEX('Facilities'!$S$9:$S$108,MATCH(C25,'Facilities'!$C$9:$C$108,0))*'Scenario Paths'!F75,"Unavailable"))</x:f>
        <x:v>1.02</x:v>
      </x:c>
      <x:c r="AG25" s="23" t="n">
        <x:f>IF(C25="","",IF(AQ25&lt;&gt;"Ready","Unavailable",IF(C25="","",IF(H25&gt;0,MAX(0,H25-AK25)*((1+INDEX('Facilities'!$K$9:$K$108,MATCH(C25,'Facilities'!$C$9:$C$108,0)))^MIN(1,MAX(0,AC25+INDEX('Facilities'!$AK$9:$AK$108,MATCH(C25,'Facilities'!$C$9:$C$108,0))-D25+1))-1),0))))</x:f>
        <x:v>0</x:v>
      </x:c>
      <x:c r="AH25" s="21" t="n">
        <x:f>IF(C25="","",IF(AQ25&lt;&gt;"Ready","Unavailable",IF(C25="","",O25+P25)))</x:f>
        <x:v>6.939</x:v>
      </x:c>
      <x:c r="AI25" s="21" t="n">
        <x:f>IF(C25="","",IF(AQ25&lt;&gt;"Ready","Unavailable",IF(C25="","",Z25-Y25)))</x:f>
        <x:v>0.8069710985167978</x:v>
      </x:c>
      <x:c r="AJ25" s="23" t="n">
        <x:f>IF(C25="","",IFERROR(MAX(0,INDEX('Facilities'!$J$9:$J$108,MATCH(C25,'Facilities'!$C$9:$C$108,0))-D25),"Unavailable"))</x:f>
        <x:v>7</x:v>
      </x:c>
      <x:c r="AK25" s="23" t="n">
        <x:f>IF(C25="","",IFERROR(IF(INDEX('Facilities'!$AD$9:$AD$108,MATCH(C25,'Facilities'!$C$9:$C$108,0))=3,W25,0),"Unavailable"))</x:f>
        <x:v>0</x:v>
      </x:c>
      <x:c r="AL25" s="23" t="n">
        <x:f>IF(C25="","",IFERROR(IF(P25&gt;0,P25*(1-AM25/(1+INDEX('Facilities'!$K$9:$K$108,MATCH(C25,'Facilities'!$C$9:$C$108,0)))^MAX(0,AC25+INDEX('Facilities'!$AK$9:$AK$108,MATCH(C25,'Facilities'!$C$9:$C$108,0))-D25)),0),"Unavailable"))</x:f>
        <x:v>0</x:v>
      </x:c>
      <x:c r="AM25" s="30" t="n">
        <x:f>IF(C25="","",IFERROR(INDEX('Facilities'!$AL$9:$AL$108,MATCH(C25,'Facilities'!$C$9:$C$108,0)),"Unavailable"))</x:f>
        <x:v>0.55</x:v>
      </x:c>
      <x:c r="AN25" s="30" t="n">
        <x:f>IF(C25="","",IFERROR(INDEX(Credit!$T$9:$T$108,MATCH(F25,Credit!$C$9:$C$108,0)),"Unavailable"))</x:f>
        <x:v>0.001456</x:v>
      </x:c>
      <x:c r="AO25" s="23" t="n">
        <x:f>IF(C25="","",IF(AQ25&lt;&gt;"Ready","Unavailable",IF(C25="","",O25+P25+Q25*INDEX('Facilities'!$I$9:$I$108,MATCH(C25,'Facilities'!$C$9:$C$108,0)))))</x:f>
        <x:v>7.6515</x:v>
      </x:c>
      <x:c r="AP25" s="21" t="n">
        <x:f>IF(C25="","",IF(AQ25&lt;&gt;"Ready","Unavailable",IF(C25="","",AH25-U25)))</x:f>
        <x:v>6.604909505285304</x:v>
      </x:c>
      <x:c r="AQ25" s="23" t="str">
        <x:f>IFERROR(IF(C25="","",IF(AND(INDEX('Facilities'!$AF$9:$AF$108,MATCH(C25,'Facilities'!$C$9:$C$108,0))="Ready",INDEX(Credit!$U$9:$U$108,MATCH(F25,Credit!$C$9:$C$108,0))="Ready",ISNUMBER(W25)),"Ready","Review inputs")),"Review inputs")</x:f>
        <x:v>Ready</x:v>
      </x:c>
      <x:c r="AR25" s="23" t="n">
        <x:f>IF(C25="","",IF(AQ25&lt;&gt;"Ready","Unavailable",IF(C25="","",IF(O25=0,0,(IF(AJ25&lt;=1,O25,O25*INDEX('Facilities'!$R$9:$R$108,MATCH(C25,'Facilities'!$C$9:$C$108,0)))+O25*INDEX('Facilities'!$T$9:$T$108,MATCH(C25,'Facilities'!$C$9:$C$108,0)))/12))))</x:f>
        <x:v>0.12432375</x:v>
      </x:c>
    </x:row>
    <x:row r="26" ht="26" customHeight="1">
      <x:c r="A26" s="1"/>
      <x:c r="B26" s="1"/>
      <x:c r="C26" s="9" t="str">
        <x:f>IF(Facilities!C26="","",Facilities!C26)</x:f>
        <x:v>F018</x:v>
      </x:c>
      <x:c r="D26" s="3" t="n">
        <x:v>1</x:v>
      </x:c>
      <x:c r="E26" s="9" t="n">
        <x:f>Settings!$F$18+0</x:f>
        <x:v>2027</x:v>
      </x:c>
      <x:c r="F26" s="9" t="str">
        <x:f>IF(C26="","",IFERROR(INDEX('Facilities'!$D$9:$D$108,MATCH(C26,'Facilities'!$C$9:$C$108,0)),"Unavailable"))</x:f>
        <x:v>B009</x:v>
      </x:c>
      <x:c r="G26" s="23" t="n">
        <x:f>IF(C26="","",IFERROR(IF(INDEX('Facilities'!$AD$9:$AD$108,MATCH(C26,'Facilities'!$C$9:$C$108,0))=3,0,INDEX('Facilities'!$AA$9:$AA$108,MATCH(C26,'Facilities'!$C$9:$C$108,0))),"Unavailable"))</x:f>
        <x:v>5.3</x:v>
      </x:c>
      <x:c r="H26" s="23" t="n">
        <x:f>IF(C26="","",IFERROR(IF(INDEX('Facilities'!$AD$9:$AD$108,MATCH(C26,'Facilities'!$C$9:$C$108,0))=3,INDEX('Facilities'!$AA$9:$AA$108,MATCH(C26,'Facilities'!$C$9:$C$108,0)),0),"Unavailable"))</x:f>
        <x:v>0</x:v>
      </x:c>
      <x:c r="I26" s="23" t="n">
        <x:f>IF(C26="","",IFERROR(INDEX('Facilities'!$AB$9:$AB$108,MATCH(C26,'Facilities'!$C$9:$C$108,0)),"Unavailable"))</x:f>
        <x:v>0.5</x:v>
      </x:c>
      <x:c r="J26" s="23" t="n">
        <x:f>IF(C26="","",IFERROR(IF(OR(H26&gt;0,AND(AC26&gt;=0,AC26&lt;D26),D26&gt;INDEX('Facilities'!$J$9:$J$108,MATCH(C26,'Facilities'!$C$9:$C$108,0))),0,I26*'Scenario Paths'!F81),"Unavailable"))</x:f>
        <x:v>0.025</x:v>
      </x:c>
      <x:c r="K26" s="23" t="n">
        <x:f>IF(C26="","",IFERROR(IF(OR(H26&gt;0,AND(AC26&gt;=0,AC26=D26)),0,IF(D26&gt;=INDEX('Facilities'!$J$9:$J$108,MATCH(C26,'Facilities'!$C$9:$C$108,0)),G26+J26,MIN(G26+J26,G26*INDEX('Facilities'!$R$9:$R$108,MATCH(C26,'Facilities'!$C$9:$C$108,0))))),"Unavailable"))</x:f>
        <x:v>0.636</x:v>
      </x:c>
      <x:c r="L26" s="21" t="n">
        <x:f>IF(C26="","",IFERROR(IF(AND(AC26=D26,AC26&gt;0),MAX(0,G26+J26-K26),0),"Unavailable"))</x:f>
        <x:v>0</x:v>
      </x:c>
      <x:c r="M26" s="23" t="n">
        <x:f>IF(C26="","",IFERROR(IF(AND(AC26&gt;=0,D26&gt;=AC26+INDEX('Facilities'!$AK$9:$AK$108,MATCH(C26,'Facilities'!$C$9:$C$108,0))),(H26+L26)*AM26,0),"Unavailable"))</x:f>
        <x:v>0</x:v>
      </x:c>
      <x:c r="N26" s="23" t="n">
        <x:f>IF(C26="","",IFERROR(IF(AND(AC26&gt;=0,D26&gt;=AC26+INDEX('Facilities'!$AK$9:$AK$108,MATCH(C26,'Facilities'!$C$9:$C$108,0))),H26+L26-M26,0),"Unavailable"))</x:f>
        <x:v>0</x:v>
      </x:c>
      <x:c r="O26" s="21" t="n">
        <x:f>IF(C26="","",IFERROR(MAX(0,G26+J26-K26-L26),"Unavailable"))</x:f>
        <x:v>4.689</x:v>
      </x:c>
      <x:c r="P26" s="21" t="n">
        <x:f>IF(C26="","",IFERROR(MAX(0,H26+L26-M26-N26),"Unavailable"))</x:f>
        <x:v>0</x:v>
      </x:c>
      <x:c r="Q26" s="23" t="n">
        <x:f>IF(C26="","",IFERROR(IF(OR(D26&gt;=INDEX('Facilities'!$J$9:$J$108,MATCH(C26,'Facilities'!$C$9:$C$108,0)),AND(AC26&gt;=0,AC26&lt;=D26)),0,MAX(0,I26-J26)),"Unavailable"))</x:f>
        <x:v>0.475</x:v>
      </x:c>
      <x:c r="R26" s="30" t="n">
        <x:f>IF(C26="","",IFERROR(INDEX(Credit!$Q$9:$Q$108,MATCH(F26,Credit!$C$9:$C$108,0)),"Unavailable"))</x:f>
        <x:v>0.0276189601452045</x:v>
      </x:c>
      <x:c r="S26" s="30" t="n">
        <x:f>IF(C26="","",IFERROR(INDEX(Credit!$R$9:$R$108,MATCH(F26,Credit!$C$9:$C$108,0)),"Unavailable"))</x:f>
        <x:v>0.4008736</x:v>
      </x:c>
      <x:c r="T26" s="23" t="n">
        <x:f>IF(C26="","",IFERROR(IF(P26&gt;0,3,IF(OR(INDEX('Facilities'!$AD$9:$AD$108,MATCH(C26,'Facilities'!$C$9:$C$108,0))=2,AND(R26&gt;=INDEX('Facilities'!$L$9:$L$108,MATCH(C26,'Facilities'!$C$9:$C$108,0))*Settings!$F$19,R26-INDEX('Facilities'!$L$9:$L$108,MATCH(C26,'Facilities'!$C$9:$C$108,0))&gt;=Settings!$F$20)),2,1)),"Unavailable"))</x:f>
        <x:v>2</x:v>
      </x:c>
      <x:c r="U26" s="23" t="n">
        <x:f>IF(C26="","",IF(AQ26&lt;&gt;"Ready","Unavailable",IF(C26="","",O26*(1-(1-S26)/(1+INDEX('Facilities'!$K$9:$K$108,MATCH(C26,'Facilities'!$C$9:$C$108,0)))^INDEX('Facilities'!$AK$9:$AK$108,MATCH(C26,'Facilities'!$C$9:$C$108,0)))*R26/(1+INDEX('Facilities'!$K$9:$K$108,MATCH(C26,'Facilities'!$C$9:$C$108,0)))*IF(ABS(1-(1-R26)*(1-INDEX('Facilities'!$R$9:$R$108,MATCH(C26,'Facilities'!$C$9:$C$108,0)))/(1+INDEX('Facilities'!$K$9:$K$108,MATCH(C26,'Facilities'!$C$9:$C$108,0))))&lt;0.000000001,IF(T26=1,MIN(1,AJ26),AJ26),(1-((1-R26)*(1-INDEX('Facilities'!$R$9:$R$108,MATCH(C26,'Facilities'!$C$9:$C$108,0)))/(1+INDEX('Facilities'!$K$9:$K$108,MATCH(C26,'Facilities'!$C$9:$C$108,0))))^IF(T26=1,MIN(1,AJ26),AJ26))/(1-(1-R26)*(1-INDEX('Facilities'!$R$9:$R$108,MATCH(C26,'Facilities'!$C$9:$C$108,0)))/(1+INDEX('Facilities'!$K$9:$K$108,MATCH(C26,'Facilities'!$C$9:$C$108,0)))))+AL26)))</x:f>
        <x:v>0.22576024351018975</x:v>
      </x:c>
      <x:c r="V26" s="23" t="n">
        <x:f>IF(C26="","",IF(AQ26&lt;&gt;"Ready","Unavailable",IF(C26="","",Q26*INDEX('Facilities'!$I$9:$I$108,MATCH(C26,'Facilities'!$C$9:$C$108,0))*(1-(1-S26)/(1+INDEX('Facilities'!$K$9:$K$108,MATCH(C26,'Facilities'!$C$9:$C$108,0)))^INDEX('Facilities'!$AK$9:$AK$108,MATCH(C26,'Facilities'!$C$9:$C$108,0)))*R26/(1+INDEX('Facilities'!$K$9:$K$108,MATCH(C26,'Facilities'!$C$9:$C$108,0)))*IF(ABS(1-(1-R26)*(1-0)/(1+INDEX('Facilities'!$K$9:$K$108,MATCH(C26,'Facilities'!$C$9:$C$108,0))))&lt;0.000000001,IF(T26=1,MIN(1,AJ26),AJ26),(1-((1-R26)*(1-0)/(1+INDEX('Facilities'!$K$9:$K$108,MATCH(C26,'Facilities'!$C$9:$C$108,0))))^IF(T26=1,MIN(1,AJ26),AJ26))/(1-(1-R26)*(1-0)/(1+INDEX('Facilities'!$K$9:$K$108,MATCH(C26,'Facilities'!$C$9:$C$108,0))))))))</x:f>
        <x:v>0.015426072232438042</x:v>
      </x:c>
      <x:c r="W26" s="23" t="n">
        <x:f>IF(C26="","",IFERROR(INDEX(ECL!$AB$9:$AB$108,MATCH(C26,ECL!$C$9:$C$108,0)),"Unavailable"))</x:f>
        <x:v>0.29184803094104195</x:v>
      </x:c>
      <x:c r="X26" s="23" t="n">
        <x:f>IF(C26="","",IFERROR(INDEX(ECL!$AC$9:$AC$108,MATCH(C26,ECL!$C$9:$C$108,0)),"Unavailable"))</x:f>
        <x:v>0.01924170448317933</x:v>
      </x:c>
      <x:c r="Y26" s="21" t="n">
        <x:f>IF(C26="","",IF(AQ26&lt;&gt;"Ready","Unavailable",IF(C26="","",U26-W26+V26-X26+N26+AG26)))</x:f>
        <x:v>-0.06990341968159348</x:v>
      </x:c>
      <x:c r="Z26" s="23" t="n">
        <x:f>IF(C26="","",IF(AQ26&lt;&gt;"Ready","Unavailable",IF(C26="","",(G26+O26+L26)/2*INDEX('Facilities'!$T$9:$T$108,MATCH(C26,'Facilities'!$C$9:$C$108,0))+AG26)))</x:f>
        <x:v>0.47447750000000005</x:v>
      </x:c>
      <x:c r="AA26" s="23" t="n">
        <x:f>IF(C26="","",IF(AQ26&lt;&gt;"Ready","Unavailable",IF(C26="","",O26*(1-IF(INDEX('Facilities'!$AA$9:$AA$108,MATCH(C26,'Facilities'!$C$9:$C$108,0))=0,0,MIN(1,INDEX('Facilities'!$X$9:$X$108,MATCH(C26,'Facilities'!$C$9:$C$108,0))/INDEX('Facilities'!$AA$9:$AA$108,MATCH(C26,'Facilities'!$C$9:$C$108,0)))))*AF26+P26*(1-IF(INDEX('Facilities'!$AA$9:$AA$108,MATCH(C26,'Facilities'!$C$9:$C$108,0))=0,0,MIN(1,INDEX('Facilities'!$X$9:$X$108,MATCH(C26,'Facilities'!$C$9:$C$108,0))/INDEX('Facilities'!$AA$9:$AA$108,MATCH(C26,'Facilities'!$C$9:$C$108,0)))))*INDEX('Facilities'!$AJ$9:$AJ$108,MATCH(C26,'Facilities'!$C$9:$C$108,0))+Q26*INDEX('Facilities'!$AI$9:$AI$108,MATCH(C26,'Facilities'!$C$9:$C$108,0))*AF26)))</x:f>
        <x:v>4.933200624</x:v>
      </x:c>
      <x:c r="AB26" s="21" t="n">
        <x:f>IF(C26="","",O26+P26-AD26)</x:f>
        <x:v>-0.6109999999999998</x:v>
      </x:c>
      <x:c r="AC26" s="23" t="n">
        <x:f>IF(C26="","",IFERROR(IF(INDEX('Facilities'!$AD$9:$AD$108,MATCH(C26,'Facilities'!$C$9:$C$108,0))=3,0,IF(INDEX('Facilities'!$AN$9:$AN$108,MATCH(C26,'Facilities'!$C$9:$C$108,0))=0,-1,INDEX('Facilities'!$AN$9:$AN$108,MATCH(C26,'Facilities'!$C$9:$C$108,0)))),"Unavailable"))</x:f>
        <x:v>-1</x:v>
      </x:c>
      <x:c r="AD26" s="21" t="n">
        <x:f>IF(C26="","",IFERROR(G26+H26,"Unavailable"))</x:f>
        <x:v>5.3</x:v>
      </x:c>
      <x:c r="AE26" s="21" t="n">
        <x:f>IF(C26="","",IF(AQ26&lt;&gt;"Ready","Unavailable",IF(C26="","",O26+P26-AD26-J26+K26+M26+N26)))</x:f>
        <x:v>2.220446049250313e-16</x:v>
      </x:c>
      <x:c r="AF26" s="30" t="n">
        <x:f>IF(C26="","",IFERROR(INDEX('Facilities'!$S$9:$S$108,MATCH(C26,'Facilities'!$C$9:$C$108,0))*'Scenario Paths'!F75,"Unavailable"))</x:f>
        <x:v>1.02</x:v>
      </x:c>
      <x:c r="AG26" s="23" t="n">
        <x:f>IF(C26="","",IF(AQ26&lt;&gt;"Ready","Unavailable",IF(C26="","",IF(H26&gt;0,MAX(0,H26-AK26)*((1+INDEX('Facilities'!$K$9:$K$108,MATCH(C26,'Facilities'!$C$9:$C$108,0)))^MIN(1,MAX(0,AC26+INDEX('Facilities'!$AK$9:$AK$108,MATCH(C26,'Facilities'!$C$9:$C$108,0))-D26+1))-1),0))))</x:f>
        <x:v>0</x:v>
      </x:c>
      <x:c r="AH26" s="21" t="n">
        <x:f>IF(C26="","",IF(AQ26&lt;&gt;"Ready","Unavailable",IF(C26="","",O26+P26)))</x:f>
        <x:v>4.689</x:v>
      </x:c>
      <x:c r="AI26" s="21" t="n">
        <x:f>IF(C26="","",IF(AQ26&lt;&gt;"Ready","Unavailable",IF(C26="","",Z26-Y26)))</x:f>
        <x:v>0.5443809196815935</x:v>
      </x:c>
      <x:c r="AJ26" s="23" t="n">
        <x:f>IF(C26="","",IFERROR(MAX(0,INDEX('Facilities'!$J$9:$J$108,MATCH(C26,'Facilities'!$C$9:$C$108,0))-D26),"Unavailable"))</x:f>
        <x:v>7</x:v>
      </x:c>
      <x:c r="AK26" s="23" t="n">
        <x:f>IF(C26="","",IFERROR(IF(INDEX('Facilities'!$AD$9:$AD$108,MATCH(C26,'Facilities'!$C$9:$C$108,0))=3,W26,0),"Unavailable"))</x:f>
        <x:v>0</x:v>
      </x:c>
      <x:c r="AL26" s="23" t="n">
        <x:f>IF(C26="","",IFERROR(IF(P26&gt;0,P26*(1-AM26/(1+INDEX('Facilities'!$K$9:$K$108,MATCH(C26,'Facilities'!$C$9:$C$108,0)))^MAX(0,AC26+INDEX('Facilities'!$AK$9:$AK$108,MATCH(C26,'Facilities'!$C$9:$C$108,0))-D26)),0),"Unavailable"))</x:f>
        <x:v>0</x:v>
      </x:c>
      <x:c r="AM26" s="30" t="n">
        <x:f>IF(C26="","",IFERROR(INDEX('Facilities'!$AL$9:$AL$108,MATCH(C26,'Facilities'!$C$9:$C$108,0)),"Unavailable"))</x:f>
        <x:v>0.55</x:v>
      </x:c>
      <x:c r="AN26" s="30" t="n">
        <x:f>IF(C26="","",IFERROR(INDEX(Credit!$T$9:$T$108,MATCH(F26,Credit!$C$9:$C$108,0)),"Unavailable"))</x:f>
        <x:v>0.001456</x:v>
      </x:c>
      <x:c r="AO26" s="23" t="n">
        <x:f>IF(C26="","",IF(AQ26&lt;&gt;"Ready","Unavailable",IF(C26="","",O26+P26+Q26*INDEX('Facilities'!$I$9:$I$108,MATCH(C26,'Facilities'!$C$9:$C$108,0)))))</x:f>
        <x:v>4.9265</x:v>
      </x:c>
      <x:c r="AP26" s="21" t="n">
        <x:f>IF(C26="","",IF(AQ26&lt;&gt;"Ready","Unavailable",IF(C26="","",AH26-U26)))</x:f>
        <x:v>4.46323975648981</x:v>
      </x:c>
      <x:c r="AQ26" s="23" t="str">
        <x:f>IFERROR(IF(C26="","",IF(AND(INDEX('Facilities'!$AF$9:$AF$108,MATCH(C26,'Facilities'!$C$9:$C$108,0))="Ready",INDEX(Credit!$U$9:$U$108,MATCH(F26,Credit!$C$9:$C$108,0))="Ready",ISNUMBER(W26)),"Ready","Review inputs")),"Review inputs")</x:f>
        <x:v>Ready</x:v>
      </x:c>
      <x:c r="AR26" s="23" t="n">
        <x:f>IF(C26="","",IF(AQ26&lt;&gt;"Ready","Unavailable",IF(C26="","",IF(O26=0,0,(IF(AJ26&lt;=1,O26,O26*INDEX('Facilities'!$R$9:$R$108,MATCH(C26,'Facilities'!$C$9:$C$108,0)))+O26*INDEX('Facilities'!$T$9:$T$108,MATCH(C26,'Facilities'!$C$9:$C$108,0)))/12))))</x:f>
        <x:v>0.08401125</x:v>
      </x:c>
    </x:row>
    <x:row r="27" ht="26" customHeight="1">
      <x:c r="A27" s="1"/>
      <x:c r="B27" s="1"/>
      <x:c r="C27" s="9" t="str">
        <x:f>IF(Facilities!C27="","",Facilities!C27)</x:f>
        <x:v>F019</x:v>
      </x:c>
      <x:c r="D27" s="3" t="n">
        <x:v>1</x:v>
      </x:c>
      <x:c r="E27" s="9" t="n">
        <x:f>Settings!$F$18+0</x:f>
        <x:v>2027</x:v>
      </x:c>
      <x:c r="F27" s="9" t="str">
        <x:f>IF(C27="","",IFERROR(INDEX('Facilities'!$D$9:$D$108,MATCH(C27,'Facilities'!$C$9:$C$108,0)),"Unavailable"))</x:f>
        <x:v>B010</x:v>
      </x:c>
      <x:c r="G27" s="23" t="n">
        <x:f>IF(C27="","",IFERROR(IF(INDEX('Facilities'!$AD$9:$AD$108,MATCH(C27,'Facilities'!$C$9:$C$108,0))=3,0,INDEX('Facilities'!$AA$9:$AA$108,MATCH(C27,'Facilities'!$C$9:$C$108,0))),"Unavailable"))</x:f>
        <x:v>8.15</x:v>
      </x:c>
      <x:c r="H27" s="23" t="n">
        <x:f>IF(C27="","",IFERROR(IF(INDEX('Facilities'!$AD$9:$AD$108,MATCH(C27,'Facilities'!$C$9:$C$108,0))=3,INDEX('Facilities'!$AA$9:$AA$108,MATCH(C27,'Facilities'!$C$9:$C$108,0)),0),"Unavailable"))</x:f>
        <x:v>0</x:v>
      </x:c>
      <x:c r="I27" s="23" t="n">
        <x:f>IF(C27="","",IFERROR(INDEX('Facilities'!$AB$9:$AB$108,MATCH(C27,'Facilities'!$C$9:$C$108,0)),"Unavailable"))</x:f>
        <x:v>1.5</x:v>
      </x:c>
      <x:c r="J27" s="23" t="n">
        <x:f>IF(C27="","",IFERROR(IF(OR(H27&gt;0,AND(AC27&gt;=0,AC27&lt;D27),D27&gt;INDEX('Facilities'!$J$9:$J$108,MATCH(C27,'Facilities'!$C$9:$C$108,0))),0,I27*'Scenario Paths'!F81),"Unavailable"))</x:f>
        <x:v>0.07500000000000001</x:v>
      </x:c>
      <x:c r="K27" s="23" t="n">
        <x:f>IF(C27="","",IFERROR(IF(OR(H27&gt;0,AND(AC27&gt;=0,AC27=D27)),0,IF(D27&gt;=INDEX('Facilities'!$J$9:$J$108,MATCH(C27,'Facilities'!$C$9:$C$108,0)),G27+J27,MIN(G27+J27,G27*INDEX('Facilities'!$R$9:$R$108,MATCH(C27,'Facilities'!$C$9:$C$108,0))))),"Unavailable"))</x:f>
        <x:v>0.978</x:v>
      </x:c>
      <x:c r="L27" s="21" t="n">
        <x:f>IF(C27="","",IFERROR(IF(AND(AC27=D27,AC27&gt;0),MAX(0,G27+J27-K27),0),"Unavailable"))</x:f>
        <x:v>0</x:v>
      </x:c>
      <x:c r="M27" s="23" t="n">
        <x:f>IF(C27="","",IFERROR(IF(AND(AC27&gt;=0,D27&gt;=AC27+INDEX('Facilities'!$AK$9:$AK$108,MATCH(C27,'Facilities'!$C$9:$C$108,0))),(H27+L27)*AM27,0),"Unavailable"))</x:f>
        <x:v>0</x:v>
      </x:c>
      <x:c r="N27" s="23" t="n">
        <x:f>IF(C27="","",IFERROR(IF(AND(AC27&gt;=0,D27&gt;=AC27+INDEX('Facilities'!$AK$9:$AK$108,MATCH(C27,'Facilities'!$C$9:$C$108,0))),H27+L27-M27,0),"Unavailable"))</x:f>
        <x:v>0</x:v>
      </x:c>
      <x:c r="O27" s="21" t="n">
        <x:f>IF(C27="","",IFERROR(MAX(0,G27+J27-K27-L27),"Unavailable"))</x:f>
        <x:v>7.247</x:v>
      </x:c>
      <x:c r="P27" s="21" t="n">
        <x:f>IF(C27="","",IFERROR(MAX(0,H27+L27-M27-N27),"Unavailable"))</x:f>
        <x:v>0</x:v>
      </x:c>
      <x:c r="Q27" s="23" t="n">
        <x:f>IF(C27="","",IFERROR(IF(OR(D27&gt;=INDEX('Facilities'!$J$9:$J$108,MATCH(C27,'Facilities'!$C$9:$C$108,0)),AND(AC27&gt;=0,AC27&lt;=D27)),0,MAX(0,I27-J27)),"Unavailable"))</x:f>
        <x:v>1.425</x:v>
      </x:c>
      <x:c r="R27" s="30" t="n">
        <x:f>IF(C27="","",IFERROR(INDEX(Credit!$Q$9:$Q$108,MATCH(F27,Credit!$C$9:$C$108,0)),"Unavailable"))</x:f>
        <x:v>0.033813683866384045</x:v>
      </x:c>
      <x:c r="S27" s="30" t="n">
        <x:f>IF(C27="","",IFERROR(INDEX(Credit!$R$9:$R$108,MATCH(F27,Credit!$C$9:$C$108,0)),"Unavailable"))</x:f>
        <x:v>0.44053312000000006</x:v>
      </x:c>
      <x:c r="T27" s="23" t="n">
        <x:f>IF(C27="","",IFERROR(IF(P27&gt;0,3,IF(OR(INDEX('Facilities'!$AD$9:$AD$108,MATCH(C27,'Facilities'!$C$9:$C$108,0))=2,AND(R27&gt;=INDEX('Facilities'!$L$9:$L$108,MATCH(C27,'Facilities'!$C$9:$C$108,0))*Settings!$F$19,R27-INDEX('Facilities'!$L$9:$L$108,MATCH(C27,'Facilities'!$C$9:$C$108,0))&gt;=Settings!$F$20)),2,1)),"Unavailable"))</x:f>
        <x:v>2</x:v>
      </x:c>
      <x:c r="U27" s="23" t="n">
        <x:f>IF(C27="","",IF(AQ27&lt;&gt;"Ready","Unavailable",IF(C27="","",O27*(1-(1-S27)/(1+INDEX('Facilities'!$K$9:$K$108,MATCH(C27,'Facilities'!$C$9:$C$108,0)))^INDEX('Facilities'!$AK$9:$AK$108,MATCH(C27,'Facilities'!$C$9:$C$108,0)))*R27/(1+INDEX('Facilities'!$K$9:$K$108,MATCH(C27,'Facilities'!$C$9:$C$108,0)))*IF(ABS(1-(1-R27)*(1-INDEX('Facilities'!$R$9:$R$108,MATCH(C27,'Facilities'!$C$9:$C$108,0)))/(1+INDEX('Facilities'!$K$9:$K$108,MATCH(C27,'Facilities'!$C$9:$C$108,0))))&lt;0.000000001,IF(T27=1,MIN(1,AJ27),AJ27),(1-((1-R27)*(1-INDEX('Facilities'!$R$9:$R$108,MATCH(C27,'Facilities'!$C$9:$C$108,0)))/(1+INDEX('Facilities'!$K$9:$K$108,MATCH(C27,'Facilities'!$C$9:$C$108,0))))^IF(T27=1,MIN(1,AJ27),AJ27))/(1-(1-R27)*(1-INDEX('Facilities'!$R$9:$R$108,MATCH(C27,'Facilities'!$C$9:$C$108,0)))/(1+INDEX('Facilities'!$K$9:$K$108,MATCH(C27,'Facilities'!$C$9:$C$108,0)))))+AL27)))</x:f>
        <x:v>0.4730888695309627</x:v>
      </x:c>
      <x:c r="V27" s="23" t="n">
        <x:f>IF(C27="","",IF(AQ27&lt;&gt;"Ready","Unavailable",IF(C27="","",Q27*INDEX('Facilities'!$I$9:$I$108,MATCH(C27,'Facilities'!$C$9:$C$108,0))*(1-(1-S27)/(1+INDEX('Facilities'!$K$9:$K$108,MATCH(C27,'Facilities'!$C$9:$C$108,0)))^INDEX('Facilities'!$AK$9:$AK$108,MATCH(C27,'Facilities'!$C$9:$C$108,0)))*R27/(1+INDEX('Facilities'!$K$9:$K$108,MATCH(C27,'Facilities'!$C$9:$C$108,0)))*IF(ABS(1-(1-R27)*(1-0)/(1+INDEX('Facilities'!$K$9:$K$108,MATCH(C27,'Facilities'!$C$9:$C$108,0))))&lt;0.000000001,IF(T27=1,MIN(1,AJ27),AJ27),(1-((1-R27)*(1-0)/(1+INDEX('Facilities'!$K$9:$K$108,MATCH(C27,'Facilities'!$C$9:$C$108,0))))^IF(T27=1,MIN(1,AJ27),AJ27))/(1-(1-R27)*(1-0)/(1+INDEX('Facilities'!$K$9:$K$108,MATCH(C27,'Facilities'!$C$9:$C$108,0))))))))</x:f>
        <x:v>0.06495468222553145</x:v>
      </x:c>
      <x:c r="W27" s="23" t="n">
        <x:f>IF(C27="","",IFERROR(INDEX(ECL!$AB$9:$AB$108,MATCH(C27,ECL!$C$9:$C$108,0)),"Unavailable"))</x:f>
        <x:v>0.6106941482327531</x:v>
      </x:c>
      <x:c r="X27" s="23" t="n">
        <x:f>IF(C27="","",IFERROR(INDEX(ECL!$AC$9:$AC$108,MATCH(C27,ECL!$C$9:$C$108,0)),"Unavailable"))</x:f>
        <x:v>0.0808301914632957</x:v>
      </x:c>
      <x:c r="Y27" s="21" t="n">
        <x:f>IF(C27="","",IF(AQ27&lt;&gt;"Ready","Unavailable",IF(C27="","",U27-W27+V27-X27+N27+AG27)))</x:f>
        <x:v>-0.15348078793955472</x:v>
      </x:c>
      <x:c r="Z27" s="23" t="n">
        <x:f>IF(C27="","",IF(AQ27&lt;&gt;"Ready","Unavailable",IF(C27="","",(G27+O27+L27)/2*INDEX('Facilities'!$T$9:$T$108,MATCH(C27,'Facilities'!$C$9:$C$108,0))+AG27)))</x:f>
        <x:v>0.7313575</x:v>
      </x:c>
      <x:c r="AA27" s="23" t="n">
        <x:f>IF(C27="","",IF(AQ27&lt;&gt;"Ready","Unavailable",IF(C27="","",O27*(1-IF(INDEX('Facilities'!$AA$9:$AA$108,MATCH(C27,'Facilities'!$C$9:$C$108,0))=0,0,MIN(1,INDEX('Facilities'!$X$9:$X$108,MATCH(C27,'Facilities'!$C$9:$C$108,0))/INDEX('Facilities'!$AA$9:$AA$108,MATCH(C27,'Facilities'!$C$9:$C$108,0)))))*AF27+P27*(1-IF(INDEX('Facilities'!$AA$9:$AA$108,MATCH(C27,'Facilities'!$C$9:$C$108,0))=0,0,MIN(1,INDEX('Facilities'!$X$9:$X$108,MATCH(C27,'Facilities'!$C$9:$C$108,0))/INDEX('Facilities'!$AA$9:$AA$108,MATCH(C27,'Facilities'!$C$9:$C$108,0)))))*INDEX('Facilities'!$AJ$9:$AJ$108,MATCH(C27,'Facilities'!$C$9:$C$108,0))+Q27*INDEX('Facilities'!$AI$9:$AI$108,MATCH(C27,'Facilities'!$C$9:$C$108,0))*AF27)))</x:f>
        <x:v>7.923542784</x:v>
      </x:c>
      <x:c r="AB27" s="21" t="n">
        <x:f>IF(C27="","",O27+P27-AD27)</x:f>
        <x:v>-0.9030000000000005</x:v>
      </x:c>
      <x:c r="AC27" s="23" t="n">
        <x:f>IF(C27="","",IFERROR(IF(INDEX('Facilities'!$AD$9:$AD$108,MATCH(C27,'Facilities'!$C$9:$C$108,0))=3,0,IF(INDEX('Facilities'!$AN$9:$AN$108,MATCH(C27,'Facilities'!$C$9:$C$108,0))=0,-1,INDEX('Facilities'!$AN$9:$AN$108,MATCH(C27,'Facilities'!$C$9:$C$108,0)))),"Unavailable"))</x:f>
        <x:v>-1</x:v>
      </x:c>
      <x:c r="AD27" s="21" t="n">
        <x:f>IF(C27="","",IFERROR(G27+H27,"Unavailable"))</x:f>
        <x:v>8.15</x:v>
      </x:c>
      <x:c r="AE27" s="21" t="n">
        <x:f>IF(C27="","",IF(AQ27&lt;&gt;"Ready","Unavailable",IF(C27="","",O27+P27-AD27-J27+K27+M27+N27)))</x:f>
        <x:v>-4.440892098500626e-16</x:v>
      </x:c>
      <x:c r="AF27" s="30" t="n">
        <x:f>IF(C27="","",IFERROR(INDEX('Facilities'!$S$9:$S$108,MATCH(C27,'Facilities'!$C$9:$C$108,0))*'Scenario Paths'!F75,"Unavailable"))</x:f>
        <x:v>1.02</x:v>
      </x:c>
      <x:c r="AG27" s="23" t="n">
        <x:f>IF(C27="","",IF(AQ27&lt;&gt;"Ready","Unavailable",IF(C27="","",IF(H27&gt;0,MAX(0,H27-AK27)*((1+INDEX('Facilities'!$K$9:$K$108,MATCH(C27,'Facilities'!$C$9:$C$108,0)))^MIN(1,MAX(0,AC27+INDEX('Facilities'!$AK$9:$AK$108,MATCH(C27,'Facilities'!$C$9:$C$108,0))-D27+1))-1),0))))</x:f>
        <x:v>0</x:v>
      </x:c>
      <x:c r="AH27" s="21" t="n">
        <x:f>IF(C27="","",IF(AQ27&lt;&gt;"Ready","Unavailable",IF(C27="","",O27+P27)))</x:f>
        <x:v>7.247</x:v>
      </x:c>
      <x:c r="AI27" s="21" t="n">
        <x:f>IF(C27="","",IF(AQ27&lt;&gt;"Ready","Unavailable",IF(C27="","",Z27-Y27)))</x:f>
        <x:v>0.8848382879395547</x:v>
      </x:c>
      <x:c r="AJ27" s="23" t="n">
        <x:f>IF(C27="","",IFERROR(MAX(0,INDEX('Facilities'!$J$9:$J$108,MATCH(C27,'Facilities'!$C$9:$C$108,0))-D27),"Unavailable"))</x:f>
        <x:v>8</x:v>
      </x:c>
      <x:c r="AK27" s="23" t="n">
        <x:f>IF(C27="","",IFERROR(IF(INDEX('Facilities'!$AD$9:$AD$108,MATCH(C27,'Facilities'!$C$9:$C$108,0))=3,W27,0),"Unavailable"))</x:f>
        <x:v>0</x:v>
      </x:c>
      <x:c r="AL27" s="23" t="n">
        <x:f>IF(C27="","",IFERROR(IF(P27&gt;0,P27*(1-AM27/(1+INDEX('Facilities'!$K$9:$K$108,MATCH(C27,'Facilities'!$C$9:$C$108,0)))^MAX(0,AC27+INDEX('Facilities'!$AK$9:$AK$108,MATCH(C27,'Facilities'!$C$9:$C$108,0))-D27)),0),"Unavailable"))</x:f>
        <x:v>0</x:v>
      </x:c>
      <x:c r="AM27" s="30" t="n">
        <x:f>IF(C27="","",IFERROR(INDEX('Facilities'!$AL$9:$AL$108,MATCH(C27,'Facilities'!$C$9:$C$108,0)),"Unavailable"))</x:f>
        <x:v>0.55</x:v>
      </x:c>
      <x:c r="AN27" s="30" t="n">
        <x:f>IF(C27="","",IFERROR(INDEX(Credit!$T$9:$T$108,MATCH(F27,Credit!$C$9:$C$108,0)),"Unavailable"))</x:f>
        <x:v>0.0009519999999999999</x:v>
      </x:c>
      <x:c r="AO27" s="23" t="n">
        <x:f>IF(C27="","",IF(AQ27&lt;&gt;"Ready","Unavailable",IF(C27="","",O27+P27+Q27*INDEX('Facilities'!$I$9:$I$108,MATCH(C27,'Facilities'!$C$9:$C$108,0)))))</x:f>
        <x:v>7.9595</x:v>
      </x:c>
      <x:c r="AP27" s="21" t="n">
        <x:f>IF(C27="","",IF(AQ27&lt;&gt;"Ready","Unavailable",IF(C27="","",AH27-U27)))</x:f>
        <x:v>6.773911130469037</x:v>
      </x:c>
      <x:c r="AQ27" s="23" t="str">
        <x:f>IFERROR(IF(C27="","",IF(AND(INDEX('Facilities'!$AF$9:$AF$108,MATCH(C27,'Facilities'!$C$9:$C$108,0))="Ready",INDEX(Credit!$U$9:$U$108,MATCH(F27,Credit!$C$9:$C$108,0))="Ready",ISNUMBER(W27)),"Ready","Review inputs")),"Review inputs")</x:f>
        <x:v>Ready</x:v>
      </x:c>
      <x:c r="AR27" s="23" t="n">
        <x:f>IF(C27="","",IF(AQ27&lt;&gt;"Ready","Unavailable",IF(C27="","",IF(O27=0,0,(IF(AJ27&lt;=1,O27,O27*INDEX('Facilities'!$R$9:$R$108,MATCH(C27,'Facilities'!$C$9:$C$108,0)))+O27*INDEX('Facilities'!$T$9:$T$108,MATCH(C27,'Facilities'!$C$9:$C$108,0)))/12))))</x:f>
        <x:v>0.12984208333333333</x:v>
      </x:c>
    </x:row>
    <x:row r="28" ht="26" customHeight="1">
      <x:c r="A28" s="1"/>
      <x:c r="B28" s="1"/>
      <x:c r="C28" s="9" t="str">
        <x:f>IF(Facilities!C28="","",Facilities!C28)</x:f>
        <x:v>F020</x:v>
      </x:c>
      <x:c r="D28" s="3" t="n">
        <x:v>1</x:v>
      </x:c>
      <x:c r="E28" s="9" t="n">
        <x:f>Settings!$F$18+0</x:f>
        <x:v>2027</x:v>
      </x:c>
      <x:c r="F28" s="9" t="str">
        <x:f>IF(C28="","",IFERROR(INDEX('Facilities'!$D$9:$D$108,MATCH(C28,'Facilities'!$C$9:$C$108,0)),"Unavailable"))</x:f>
        <x:v>B010</x:v>
      </x:c>
      <x:c r="G28" s="23" t="n">
        <x:f>IF(C28="","",IFERROR(IF(INDEX('Facilities'!$AD$9:$AD$108,MATCH(C28,'Facilities'!$C$9:$C$108,0))=3,0,INDEX('Facilities'!$AA$9:$AA$108,MATCH(C28,'Facilities'!$C$9:$C$108,0))),"Unavailable"))</x:f>
        <x:v>5.65</x:v>
      </x:c>
      <x:c r="H28" s="23" t="n">
        <x:f>IF(C28="","",IFERROR(IF(INDEX('Facilities'!$AD$9:$AD$108,MATCH(C28,'Facilities'!$C$9:$C$108,0))=3,INDEX('Facilities'!$AA$9:$AA$108,MATCH(C28,'Facilities'!$C$9:$C$108,0)),0),"Unavailable"))</x:f>
        <x:v>0</x:v>
      </x:c>
      <x:c r="I28" s="23" t="n">
        <x:f>IF(C28="","",IFERROR(INDEX('Facilities'!$AB$9:$AB$108,MATCH(C28,'Facilities'!$C$9:$C$108,0)),"Unavailable"))</x:f>
        <x:v>0.5</x:v>
      </x:c>
      <x:c r="J28" s="23" t="n">
        <x:f>IF(C28="","",IFERROR(IF(OR(H28&gt;0,AND(AC28&gt;=0,AC28&lt;D28),D28&gt;INDEX('Facilities'!$J$9:$J$108,MATCH(C28,'Facilities'!$C$9:$C$108,0))),0,I28*'Scenario Paths'!F81),"Unavailable"))</x:f>
        <x:v>0.025</x:v>
      </x:c>
      <x:c r="K28" s="23" t="n">
        <x:f>IF(C28="","",IFERROR(IF(OR(H28&gt;0,AND(AC28&gt;=0,AC28=D28)),0,IF(D28&gt;=INDEX('Facilities'!$J$9:$J$108,MATCH(C28,'Facilities'!$C$9:$C$108,0)),G28+J28,MIN(G28+J28,G28*INDEX('Facilities'!$R$9:$R$108,MATCH(C28,'Facilities'!$C$9:$C$108,0))))),"Unavailable"))</x:f>
        <x:v>0.678</x:v>
      </x:c>
      <x:c r="L28" s="21" t="n">
        <x:f>IF(C28="","",IFERROR(IF(AND(AC28=D28,AC28&gt;0),MAX(0,G28+J28-K28),0),"Unavailable"))</x:f>
        <x:v>0</x:v>
      </x:c>
      <x:c r="M28" s="23" t="n">
        <x:f>IF(C28="","",IFERROR(IF(AND(AC28&gt;=0,D28&gt;=AC28+INDEX('Facilities'!$AK$9:$AK$108,MATCH(C28,'Facilities'!$C$9:$C$108,0))),(H28+L28)*AM28,0),"Unavailable"))</x:f>
        <x:v>0</x:v>
      </x:c>
      <x:c r="N28" s="23" t="n">
        <x:f>IF(C28="","",IFERROR(IF(AND(AC28&gt;=0,D28&gt;=AC28+INDEX('Facilities'!$AK$9:$AK$108,MATCH(C28,'Facilities'!$C$9:$C$108,0))),H28+L28-M28,0),"Unavailable"))</x:f>
        <x:v>0</x:v>
      </x:c>
      <x:c r="O28" s="21" t="n">
        <x:f>IF(C28="","",IFERROR(MAX(0,G28+J28-K28-L28),"Unavailable"))</x:f>
        <x:v>4.997000000000001</x:v>
      </x:c>
      <x:c r="P28" s="21" t="n">
        <x:f>IF(C28="","",IFERROR(MAX(0,H28+L28-M28-N28),"Unavailable"))</x:f>
        <x:v>0</x:v>
      </x:c>
      <x:c r="Q28" s="23" t="n">
        <x:f>IF(C28="","",IFERROR(IF(OR(D28&gt;=INDEX('Facilities'!$J$9:$J$108,MATCH(C28,'Facilities'!$C$9:$C$108,0)),AND(AC28&gt;=0,AC28&lt;=D28)),0,MAX(0,I28-J28)),"Unavailable"))</x:f>
        <x:v>0.475</x:v>
      </x:c>
      <x:c r="R28" s="30" t="n">
        <x:f>IF(C28="","",IFERROR(INDEX(Credit!$Q$9:$Q$108,MATCH(F28,Credit!$C$9:$C$108,0)),"Unavailable"))</x:f>
        <x:v>0.033813683866384045</x:v>
      </x:c>
      <x:c r="S28" s="30" t="n">
        <x:f>IF(C28="","",IFERROR(INDEX(Credit!$R$9:$R$108,MATCH(F28,Credit!$C$9:$C$108,0)),"Unavailable"))</x:f>
        <x:v>0.44053312000000006</x:v>
      </x:c>
      <x:c r="T28" s="23" t="n">
        <x:f>IF(C28="","",IFERROR(IF(P28&gt;0,3,IF(OR(INDEX('Facilities'!$AD$9:$AD$108,MATCH(C28,'Facilities'!$C$9:$C$108,0))=2,AND(R28&gt;=INDEX('Facilities'!$L$9:$L$108,MATCH(C28,'Facilities'!$C$9:$C$108,0))*Settings!$F$19,R28-INDEX('Facilities'!$L$9:$L$108,MATCH(C28,'Facilities'!$C$9:$C$108,0))&gt;=Settings!$F$20)),2,1)),"Unavailable"))</x:f>
        <x:v>2</x:v>
      </x:c>
      <x:c r="U28" s="23" t="n">
        <x:f>IF(C28="","",IF(AQ28&lt;&gt;"Ready","Unavailable",IF(C28="","",O28*(1-(1-S28)/(1+INDEX('Facilities'!$K$9:$K$108,MATCH(C28,'Facilities'!$C$9:$C$108,0)))^INDEX('Facilities'!$AK$9:$AK$108,MATCH(C28,'Facilities'!$C$9:$C$108,0)))*R28/(1+INDEX('Facilities'!$K$9:$K$108,MATCH(C28,'Facilities'!$C$9:$C$108,0)))*IF(ABS(1-(1-R28)*(1-INDEX('Facilities'!$R$9:$R$108,MATCH(C28,'Facilities'!$C$9:$C$108,0)))/(1+INDEX('Facilities'!$K$9:$K$108,MATCH(C28,'Facilities'!$C$9:$C$108,0))))&lt;0.000000001,IF(T28=1,MIN(1,AJ28),AJ28),(1-((1-R28)*(1-INDEX('Facilities'!$R$9:$R$108,MATCH(C28,'Facilities'!$C$9:$C$108,0)))/(1+INDEX('Facilities'!$K$9:$K$108,MATCH(C28,'Facilities'!$C$9:$C$108,0))))^IF(T28=1,MIN(1,AJ28),AJ28))/(1-(1-R28)*(1-INDEX('Facilities'!$R$9:$R$108,MATCH(C28,'Facilities'!$C$9:$C$108,0)))/(1+INDEX('Facilities'!$K$9:$K$108,MATCH(C28,'Facilities'!$C$9:$C$108,0)))))+AL28)))</x:f>
        <x:v>0.3262074073473466</x:v>
      </x:c>
      <x:c r="V28" s="23" t="n">
        <x:f>IF(C28="","",IF(AQ28&lt;&gt;"Ready","Unavailable",IF(C28="","",Q28*INDEX('Facilities'!$I$9:$I$108,MATCH(C28,'Facilities'!$C$9:$C$108,0))*(1-(1-S28)/(1+INDEX('Facilities'!$K$9:$K$108,MATCH(C28,'Facilities'!$C$9:$C$108,0)))^INDEX('Facilities'!$AK$9:$AK$108,MATCH(C28,'Facilities'!$C$9:$C$108,0)))*R28/(1+INDEX('Facilities'!$K$9:$K$108,MATCH(C28,'Facilities'!$C$9:$C$108,0)))*IF(ABS(1-(1-R28)*(1-0)/(1+INDEX('Facilities'!$K$9:$K$108,MATCH(C28,'Facilities'!$C$9:$C$108,0))))&lt;0.000000001,IF(T28=1,MIN(1,AJ28),AJ28),(1-((1-R28)*(1-0)/(1+INDEX('Facilities'!$K$9:$K$108,MATCH(C28,'Facilities'!$C$9:$C$108,0))))^IF(T28=1,MIN(1,AJ28),AJ28))/(1-(1-R28)*(1-0)/(1+INDEX('Facilities'!$K$9:$K$108,MATCH(C28,'Facilities'!$C$9:$C$108,0))))))))</x:f>
        <x:v>0.02165156074184382</x:v>
      </x:c>
      <x:c r="W28" s="23" t="n">
        <x:f>IF(C28="","",IFERROR(INDEX(ECL!$AB$9:$AB$108,MATCH(C28,ECL!$C$9:$C$108,0)),"Unavailable"))</x:f>
        <x:v>0.4233646549098227</x:v>
      </x:c>
      <x:c r="X28" s="23" t="n">
        <x:f>IF(C28="","",IFERROR(INDEX(ECL!$AC$9:$AC$108,MATCH(C28,ECL!$C$9:$C$108,0)),"Unavailable"))</x:f>
        <x:v>0.026943397154431906</x:v>
      </x:c>
      <x:c r="Y28" s="21" t="n">
        <x:f>IF(C28="","",IF(AQ28&lt;&gt;"Ready","Unavailable",IF(C28="","",U28-W28+V28-X28+N28+AG28)))</x:f>
        <x:v>-0.1024490839750642</x:v>
      </x:c>
      <x:c r="Z28" s="23" t="n">
        <x:f>IF(C28="","",IF(AQ28&lt;&gt;"Ready","Unavailable",IF(C28="","",(G28+O28+L28)/2*INDEX('Facilities'!$T$9:$T$108,MATCH(C28,'Facilities'!$C$9:$C$108,0))+AG28)))</x:f>
        <x:v>0.5057325000000001</x:v>
      </x:c>
      <x:c r="AA28" s="23" t="n">
        <x:f>IF(C28="","",IF(AQ28&lt;&gt;"Ready","Unavailable",IF(C28="","",O28*(1-IF(INDEX('Facilities'!$AA$9:$AA$108,MATCH(C28,'Facilities'!$C$9:$C$108,0))=0,0,MIN(1,INDEX('Facilities'!$X$9:$X$108,MATCH(C28,'Facilities'!$C$9:$C$108,0))/INDEX('Facilities'!$AA$9:$AA$108,MATCH(C28,'Facilities'!$C$9:$C$108,0)))))*AF28+P28*(1-IF(INDEX('Facilities'!$AA$9:$AA$108,MATCH(C28,'Facilities'!$C$9:$C$108,0))=0,0,MIN(1,INDEX('Facilities'!$X$9:$X$108,MATCH(C28,'Facilities'!$C$9:$C$108,0))/INDEX('Facilities'!$AA$9:$AA$108,MATCH(C28,'Facilities'!$C$9:$C$108,0)))))*INDEX('Facilities'!$AJ$9:$AJ$108,MATCH(C28,'Facilities'!$C$9:$C$108,0))+Q28*INDEX('Facilities'!$AI$9:$AI$108,MATCH(C28,'Facilities'!$C$9:$C$108,0))*AF28)))</x:f>
        <x:v>5.204630784000002</x:v>
      </x:c>
      <x:c r="AB28" s="21" t="n">
        <x:f>IF(C28="","",O28+P28-AD28)</x:f>
        <x:v>-0.6529999999999996</x:v>
      </x:c>
      <x:c r="AC28" s="23" t="n">
        <x:f>IF(C28="","",IFERROR(IF(INDEX('Facilities'!$AD$9:$AD$108,MATCH(C28,'Facilities'!$C$9:$C$108,0))=3,0,IF(INDEX('Facilities'!$AN$9:$AN$108,MATCH(C28,'Facilities'!$C$9:$C$108,0))=0,-1,INDEX('Facilities'!$AN$9:$AN$108,MATCH(C28,'Facilities'!$C$9:$C$108,0)))),"Unavailable"))</x:f>
        <x:v>-1</x:v>
      </x:c>
      <x:c r="AD28" s="21" t="n">
        <x:f>IF(C28="","",IFERROR(G28+H28,"Unavailable"))</x:f>
        <x:v>5.65</x:v>
      </x:c>
      <x:c r="AE28" s="21" t="n">
        <x:f>IF(C28="","",IF(AQ28&lt;&gt;"Ready","Unavailable",IF(C28="","",O28+P28-AD28-J28+K28+M28+N28)))</x:f>
        <x:v>4.440892098500626e-16</x:v>
      </x:c>
      <x:c r="AF28" s="30" t="n">
        <x:f>IF(C28="","",IFERROR(INDEX('Facilities'!$S$9:$S$108,MATCH(C28,'Facilities'!$C$9:$C$108,0))*'Scenario Paths'!F75,"Unavailable"))</x:f>
        <x:v>1.02</x:v>
      </x:c>
      <x:c r="AG28" s="23" t="n">
        <x:f>IF(C28="","",IF(AQ28&lt;&gt;"Ready","Unavailable",IF(C28="","",IF(H28&gt;0,MAX(0,H28-AK28)*((1+INDEX('Facilities'!$K$9:$K$108,MATCH(C28,'Facilities'!$C$9:$C$108,0)))^MIN(1,MAX(0,AC28+INDEX('Facilities'!$AK$9:$AK$108,MATCH(C28,'Facilities'!$C$9:$C$108,0))-D28+1))-1),0))))</x:f>
        <x:v>0</x:v>
      </x:c>
      <x:c r="AH28" s="21" t="n">
        <x:f>IF(C28="","",IF(AQ28&lt;&gt;"Ready","Unavailable",IF(C28="","",O28+P28)))</x:f>
        <x:v>4.997000000000001</x:v>
      </x:c>
      <x:c r="AI28" s="21" t="n">
        <x:f>IF(C28="","",IF(AQ28&lt;&gt;"Ready","Unavailable",IF(C28="","",Z28-Y28)))</x:f>
        <x:v>0.6081815839750644</x:v>
      </x:c>
      <x:c r="AJ28" s="23" t="n">
        <x:f>IF(C28="","",IFERROR(MAX(0,INDEX('Facilities'!$J$9:$J$108,MATCH(C28,'Facilities'!$C$9:$C$108,0))-D28),"Unavailable"))</x:f>
        <x:v>8</x:v>
      </x:c>
      <x:c r="AK28" s="23" t="n">
        <x:f>IF(C28="","",IFERROR(IF(INDEX('Facilities'!$AD$9:$AD$108,MATCH(C28,'Facilities'!$C$9:$C$108,0))=3,W28,0),"Unavailable"))</x:f>
        <x:v>0</x:v>
      </x:c>
      <x:c r="AL28" s="23" t="n">
        <x:f>IF(C28="","",IFERROR(IF(P28&gt;0,P28*(1-AM28/(1+INDEX('Facilities'!$K$9:$K$108,MATCH(C28,'Facilities'!$C$9:$C$108,0)))^MAX(0,AC28+INDEX('Facilities'!$AK$9:$AK$108,MATCH(C28,'Facilities'!$C$9:$C$108,0))-D28)),0),"Unavailable"))</x:f>
        <x:v>0</x:v>
      </x:c>
      <x:c r="AM28" s="30" t="n">
        <x:f>IF(C28="","",IFERROR(INDEX('Facilities'!$AL$9:$AL$108,MATCH(C28,'Facilities'!$C$9:$C$108,0)),"Unavailable"))</x:f>
        <x:v>0.55</x:v>
      </x:c>
      <x:c r="AN28" s="30" t="n">
        <x:f>IF(C28="","",IFERROR(INDEX(Credit!$T$9:$T$108,MATCH(F28,Credit!$C$9:$C$108,0)),"Unavailable"))</x:f>
        <x:v>0.0009519999999999999</x:v>
      </x:c>
      <x:c r="AO28" s="23" t="n">
        <x:f>IF(C28="","",IF(AQ28&lt;&gt;"Ready","Unavailable",IF(C28="","",O28+P28+Q28*INDEX('Facilities'!$I$9:$I$108,MATCH(C28,'Facilities'!$C$9:$C$108,0)))))</x:f>
        <x:v>5.234500000000001</x:v>
      </x:c>
      <x:c r="AP28" s="21" t="n">
        <x:f>IF(C28="","",IF(AQ28&lt;&gt;"Ready","Unavailable",IF(C28="","",AH28-U28)))</x:f>
        <x:v>4.670792592652655</x:v>
      </x:c>
      <x:c r="AQ28" s="23" t="str">
        <x:f>IFERROR(IF(C28="","",IF(AND(INDEX('Facilities'!$AF$9:$AF$108,MATCH(C28,'Facilities'!$C$9:$C$108,0))="Ready",INDEX(Credit!$U$9:$U$108,MATCH(F28,Credit!$C$9:$C$108,0))="Ready",ISNUMBER(W28)),"Ready","Review inputs")),"Review inputs")</x:f>
        <x:v>Ready</x:v>
      </x:c>
      <x:c r="AR28" s="23" t="n">
        <x:f>IF(C28="","",IF(AQ28&lt;&gt;"Ready","Unavailable",IF(C28="","",IF(O28=0,0,(IF(AJ28&lt;=1,O28,O28*INDEX('Facilities'!$R$9:$R$108,MATCH(C28,'Facilities'!$C$9:$C$108,0)))+O28*INDEX('Facilities'!$T$9:$T$108,MATCH(C28,'Facilities'!$C$9:$C$108,0)))/12))))</x:f>
        <x:v>0.08952958333333334</x:v>
      </x:c>
    </x:row>
    <x:row r="29" ht="26" customHeight="1">
      <x:c r="A29" s="1"/>
      <x:c r="B29" s="1"/>
      <x:c r="C29" s="9" t="str">
        <x:f>IF(Facilities!C29="","",Facilities!C29)</x:f>
        <x:v>F021</x:v>
      </x:c>
      <x:c r="D29" s="3" t="n">
        <x:v>1</x:v>
      </x:c>
      <x:c r="E29" s="9" t="n">
        <x:f>Settings!$F$18+0</x:f>
        <x:v>2027</x:v>
      </x:c>
      <x:c r="F29" s="9" t="str">
        <x:f>IF(C29="","",IFERROR(INDEX('Facilities'!$D$9:$D$108,MATCH(C29,'Facilities'!$C$9:$C$108,0)),"Unavailable"))</x:f>
        <x:v>B011</x:v>
      </x:c>
      <x:c r="G29" s="23" t="n">
        <x:f>IF(C29="","",IFERROR(IF(INDEX('Facilities'!$AD$9:$AD$108,MATCH(C29,'Facilities'!$C$9:$C$108,0))=3,0,INDEX('Facilities'!$AA$9:$AA$108,MATCH(C29,'Facilities'!$C$9:$C$108,0))),"Unavailable"))</x:f>
        <x:v>8.5</x:v>
      </x:c>
      <x:c r="H29" s="23" t="n">
        <x:f>IF(C29="","",IFERROR(IF(INDEX('Facilities'!$AD$9:$AD$108,MATCH(C29,'Facilities'!$C$9:$C$108,0))=3,INDEX('Facilities'!$AA$9:$AA$108,MATCH(C29,'Facilities'!$C$9:$C$108,0)),0),"Unavailable"))</x:f>
        <x:v>0</x:v>
      </x:c>
      <x:c r="I29" s="23" t="n">
        <x:f>IF(C29="","",IFERROR(INDEX('Facilities'!$AB$9:$AB$108,MATCH(C29,'Facilities'!$C$9:$C$108,0)),"Unavailable"))</x:f>
        <x:v>1.5</x:v>
      </x:c>
      <x:c r="J29" s="23" t="n">
        <x:f>IF(C29="","",IFERROR(IF(OR(H29&gt;0,AND(AC29&gt;=0,AC29&lt;D29),D29&gt;INDEX('Facilities'!$J$9:$J$108,MATCH(C29,'Facilities'!$C$9:$C$108,0))),0,I29*'Scenario Paths'!F81),"Unavailable"))</x:f>
        <x:v>0.07500000000000001</x:v>
      </x:c>
      <x:c r="K29" s="23" t="n">
        <x:f>IF(C29="","",IFERROR(IF(OR(H29&gt;0,AND(AC29&gt;=0,AC29=D29)),0,IF(D29&gt;=INDEX('Facilities'!$J$9:$J$108,MATCH(C29,'Facilities'!$C$9:$C$108,0)),G29+J29,MIN(G29+J29,G29*INDEX('Facilities'!$R$9:$R$108,MATCH(C29,'Facilities'!$C$9:$C$108,0))))),"Unavailable"))</x:f>
        <x:v>1.02</x:v>
      </x:c>
      <x:c r="L29" s="21" t="n">
        <x:f>IF(C29="","",IFERROR(IF(AND(AC29=D29,AC29&gt;0),MAX(0,G29+J29-K29),0),"Unavailable"))</x:f>
        <x:v>0</x:v>
      </x:c>
      <x:c r="M29" s="23" t="n">
        <x:f>IF(C29="","",IFERROR(IF(AND(AC29&gt;=0,D29&gt;=AC29+INDEX('Facilities'!$AK$9:$AK$108,MATCH(C29,'Facilities'!$C$9:$C$108,0))),(H29+L29)*AM29,0),"Unavailable"))</x:f>
        <x:v>0</x:v>
      </x:c>
      <x:c r="N29" s="23" t="n">
        <x:f>IF(C29="","",IFERROR(IF(AND(AC29&gt;=0,D29&gt;=AC29+INDEX('Facilities'!$AK$9:$AK$108,MATCH(C29,'Facilities'!$C$9:$C$108,0))),H29+L29-M29,0),"Unavailable"))</x:f>
        <x:v>0</x:v>
      </x:c>
      <x:c r="O29" s="21" t="n">
        <x:f>IF(C29="","",IFERROR(MAX(0,G29+J29-K29-L29),"Unavailable"))</x:f>
        <x:v>7.555</x:v>
      </x:c>
      <x:c r="P29" s="21" t="n">
        <x:f>IF(C29="","",IFERROR(MAX(0,H29+L29-M29-N29),"Unavailable"))</x:f>
        <x:v>0</x:v>
      </x:c>
      <x:c r="Q29" s="23" t="n">
        <x:f>IF(C29="","",IFERROR(IF(OR(D29&gt;=INDEX('Facilities'!$J$9:$J$108,MATCH(C29,'Facilities'!$C$9:$C$108,0)),AND(AC29&gt;=0,AC29&lt;=D29)),0,MAX(0,I29-J29)),"Unavailable"))</x:f>
        <x:v>1.425</x:v>
      </x:c>
      <x:c r="R29" s="30" t="n">
        <x:f>IF(C29="","",IFERROR(INDEX(Credit!$Q$9:$Q$108,MATCH(F29,Credit!$C$9:$C$108,0)),"Unavailable"))</x:f>
        <x:v>0.04071449885015344</x:v>
      </x:c>
      <x:c r="S29" s="30" t="n">
        <x:f>IF(C29="","",IFERROR(INDEX(Credit!$R$9:$R$108,MATCH(F29,Credit!$C$9:$C$108,0)),"Unavailable"))</x:f>
        <x:v>0.28028800000000004</x:v>
      </x:c>
      <x:c r="T29" s="23" t="n">
        <x:f>IF(C29="","",IFERROR(IF(P29&gt;0,3,IF(OR(INDEX('Facilities'!$AD$9:$AD$108,MATCH(C29,'Facilities'!$C$9:$C$108,0))=2,AND(R29&gt;=INDEX('Facilities'!$L$9:$L$108,MATCH(C29,'Facilities'!$C$9:$C$108,0))*Settings!$F$19,R29-INDEX('Facilities'!$L$9:$L$108,MATCH(C29,'Facilities'!$C$9:$C$108,0))&gt;=Settings!$F$20)),2,1)),"Unavailable"))</x:f>
        <x:v>1</x:v>
      </x:c>
      <x:c r="U29" s="23" t="n">
        <x:f>IF(C29="","",IF(AQ29&lt;&gt;"Ready","Unavailable",IF(C29="","",O29*(1-(1-S29)/(1+INDEX('Facilities'!$K$9:$K$108,MATCH(C29,'Facilities'!$C$9:$C$108,0)))^INDEX('Facilities'!$AK$9:$AK$108,MATCH(C29,'Facilities'!$C$9:$C$108,0)))*R29/(1+INDEX('Facilities'!$K$9:$K$108,MATCH(C29,'Facilities'!$C$9:$C$108,0)))*IF(ABS(1-(1-R29)*(1-INDEX('Facilities'!$R$9:$R$108,MATCH(C29,'Facilities'!$C$9:$C$108,0)))/(1+INDEX('Facilities'!$K$9:$K$108,MATCH(C29,'Facilities'!$C$9:$C$108,0))))&lt;0.000000001,IF(T29=1,MIN(1,AJ29),AJ29),(1-((1-R29)*(1-INDEX('Facilities'!$R$9:$R$108,MATCH(C29,'Facilities'!$C$9:$C$108,0)))/(1+INDEX('Facilities'!$K$9:$K$108,MATCH(C29,'Facilities'!$C$9:$C$108,0))))^IF(T29=1,MIN(1,AJ29),AJ29))/(1-(1-R29)*(1-INDEX('Facilities'!$R$9:$R$108,MATCH(C29,'Facilities'!$C$9:$C$108,0)))/(1+INDEX('Facilities'!$K$9:$K$108,MATCH(C29,'Facilities'!$C$9:$C$108,0)))))+AL29)))</x:f>
        <x:v>0.10907282994943356</x:v>
      </x:c>
      <x:c r="V29" s="23" t="n">
        <x:f>IF(C29="","",IF(AQ29&lt;&gt;"Ready","Unavailable",IF(C29="","",Q29*INDEX('Facilities'!$I$9:$I$108,MATCH(C29,'Facilities'!$C$9:$C$108,0))*(1-(1-S29)/(1+INDEX('Facilities'!$K$9:$K$108,MATCH(C29,'Facilities'!$C$9:$C$108,0)))^INDEX('Facilities'!$AK$9:$AK$108,MATCH(C29,'Facilities'!$C$9:$C$108,0)))*R29/(1+INDEX('Facilities'!$K$9:$K$108,MATCH(C29,'Facilities'!$C$9:$C$108,0)))*IF(ABS(1-(1-R29)*(1-0)/(1+INDEX('Facilities'!$K$9:$K$108,MATCH(C29,'Facilities'!$C$9:$C$108,0))))&lt;0.000000001,IF(T29=1,MIN(1,AJ29),AJ29),(1-((1-R29)*(1-0)/(1+INDEX('Facilities'!$K$9:$K$108,MATCH(C29,'Facilities'!$C$9:$C$108,0))))^IF(T29=1,MIN(1,AJ29),AJ29))/(1-(1-R29)*(1-0)/(1+INDEX('Facilities'!$K$9:$K$108,MATCH(C29,'Facilities'!$C$9:$C$108,0))))))))</x:f>
        <x:v>0.010286484624615672</x:v>
      </x:c>
      <x:c r="W29" s="23" t="n">
        <x:f>IF(C29="","",IFERROR(INDEX(ECL!$AB$9:$AB$108,MATCH(C29,ECL!$C$9:$C$108,0)),"Unavailable"))</x:f>
        <x:v>0.1370042009602195</x:v>
      </x:c>
      <x:c r="X29" s="23" t="n">
        <x:f>IF(C29="","",IFERROR(INDEX(ECL!$AC$9:$AC$108,MATCH(C29,ECL!$C$9:$C$108,0)),"Unavailable"))</x:f>
        <x:v>0.012088605967078192</x:v>
      </x:c>
      <x:c r="Y29" s="21" t="n">
        <x:f>IF(C29="","",IF(AQ29&lt;&gt;"Ready","Unavailable",IF(C29="","",U29-W29+V29-X29+N29+AG29)))</x:f>
        <x:v>-0.029733492353248472</x:v>
      </x:c>
      <x:c r="Z29" s="23" t="n">
        <x:f>IF(C29="","",IF(AQ29&lt;&gt;"Ready","Unavailable",IF(C29="","",(G29+O29+L29)/2*INDEX('Facilities'!$T$9:$T$108,MATCH(C29,'Facilities'!$C$9:$C$108,0))+AG29)))</x:f>
        <x:v>0.7626125</x:v>
      </x:c>
      <x:c r="AA29" s="23" t="n">
        <x:f>IF(C29="","",IF(AQ29&lt;&gt;"Ready","Unavailable",IF(C29="","",O29*(1-IF(INDEX('Facilities'!$AA$9:$AA$108,MATCH(C29,'Facilities'!$C$9:$C$108,0))=0,0,MIN(1,INDEX('Facilities'!$X$9:$X$108,MATCH(C29,'Facilities'!$C$9:$C$108,0))/INDEX('Facilities'!$AA$9:$AA$108,MATCH(C29,'Facilities'!$C$9:$C$108,0)))))*AF29+P29*(1-IF(INDEX('Facilities'!$AA$9:$AA$108,MATCH(C29,'Facilities'!$C$9:$C$108,0))=0,0,MIN(1,INDEX('Facilities'!$X$9:$X$108,MATCH(C29,'Facilities'!$C$9:$C$108,0))/INDEX('Facilities'!$AA$9:$AA$108,MATCH(C29,'Facilities'!$C$9:$C$108,0)))))*INDEX('Facilities'!$AJ$9:$AJ$108,MATCH(C29,'Facilities'!$C$9:$C$108,0))+Q29*INDEX('Facilities'!$AI$9:$AI$108,MATCH(C29,'Facilities'!$C$9:$C$108,0))*AF29)))</x:f>
        <x:v>8.277495024</x:v>
      </x:c>
      <x:c r="AB29" s="21" t="n">
        <x:f>IF(C29="","",O29+P29-AD29)</x:f>
        <x:v>-0.9450000000000003</x:v>
      </x:c>
      <x:c r="AC29" s="23" t="n">
        <x:f>IF(C29="","",IFERROR(IF(INDEX('Facilities'!$AD$9:$AD$108,MATCH(C29,'Facilities'!$C$9:$C$108,0))=3,0,IF(INDEX('Facilities'!$AN$9:$AN$108,MATCH(C29,'Facilities'!$C$9:$C$108,0))=0,-1,INDEX('Facilities'!$AN$9:$AN$108,MATCH(C29,'Facilities'!$C$9:$C$108,0)))),"Unavailable"))</x:f>
        <x:v>-1</x:v>
      </x:c>
      <x:c r="AD29" s="21" t="n">
        <x:f>IF(C29="","",IFERROR(G29+H29,"Unavailable"))</x:f>
        <x:v>8.5</x:v>
      </x:c>
      <x:c r="AE29" s="21" t="n">
        <x:f>IF(C29="","",IF(AQ29&lt;&gt;"Ready","Unavailable",IF(C29="","",O29+P29-AD29-J29+K29+M29+N29)))</x:f>
        <x:v>-2.220446049250313e-16</x:v>
      </x:c>
      <x:c r="AF29" s="30" t="n">
        <x:f>IF(C29="","",IFERROR(INDEX('Facilities'!$S$9:$S$108,MATCH(C29,'Facilities'!$C$9:$C$108,0))*'Scenario Paths'!F75,"Unavailable"))</x:f>
        <x:v>1.02</x:v>
      </x:c>
      <x:c r="AG29" s="23" t="n">
        <x:f>IF(C29="","",IF(AQ29&lt;&gt;"Ready","Unavailable",IF(C29="","",IF(H29&gt;0,MAX(0,H29-AK29)*((1+INDEX('Facilities'!$K$9:$K$108,MATCH(C29,'Facilities'!$C$9:$C$108,0)))^MIN(1,MAX(0,AC29+INDEX('Facilities'!$AK$9:$AK$108,MATCH(C29,'Facilities'!$C$9:$C$108,0))-D29+1))-1),0))))</x:f>
        <x:v>0</x:v>
      </x:c>
      <x:c r="AH29" s="21" t="n">
        <x:f>IF(C29="","",IF(AQ29&lt;&gt;"Ready","Unavailable",IF(C29="","",O29+P29)))</x:f>
        <x:v>7.555</x:v>
      </x:c>
      <x:c r="AI29" s="21" t="n">
        <x:f>IF(C29="","",IF(AQ29&lt;&gt;"Ready","Unavailable",IF(C29="","",Z29-Y29)))</x:f>
        <x:v>0.7923459923532485</x:v>
      </x:c>
      <x:c r="AJ29" s="23" t="n">
        <x:f>IF(C29="","",IFERROR(MAX(0,INDEX('Facilities'!$J$9:$J$108,MATCH(C29,'Facilities'!$C$9:$C$108,0))-D29),"Unavailable"))</x:f>
        <x:v>4</x:v>
      </x:c>
      <x:c r="AK29" s="23" t="n">
        <x:f>IF(C29="","",IFERROR(IF(INDEX('Facilities'!$AD$9:$AD$108,MATCH(C29,'Facilities'!$C$9:$C$108,0))=3,W29,0),"Unavailable"))</x:f>
        <x:v>0</x:v>
      </x:c>
      <x:c r="AL29" s="23" t="n">
        <x:f>IF(C29="","",IFERROR(IF(P29&gt;0,P29*(1-AM29/(1+INDEX('Facilities'!$K$9:$K$108,MATCH(C29,'Facilities'!$C$9:$C$108,0)))^MAX(0,AC29+INDEX('Facilities'!$AK$9:$AK$108,MATCH(C29,'Facilities'!$C$9:$C$108,0))-D29)),0),"Unavailable"))</x:f>
        <x:v>0</x:v>
      </x:c>
      <x:c r="AM29" s="30" t="n">
        <x:f>IF(C29="","",IFERROR(INDEX('Facilities'!$AL$9:$AL$108,MATCH(C29,'Facilities'!$C$9:$C$108,0)),"Unavailable"))</x:f>
        <x:v>0.55</x:v>
      </x:c>
      <x:c r="AN29" s="30" t="n">
        <x:f>IF(C29="","",IFERROR(INDEX(Credit!$T$9:$T$108,MATCH(F29,Credit!$C$9:$C$108,0)),"Unavailable"))</x:f>
        <x:v>0.0004000000000000001</x:v>
      </x:c>
      <x:c r="AO29" s="23" t="n">
        <x:f>IF(C29="","",IF(AQ29&lt;&gt;"Ready","Unavailable",IF(C29="","",O29+P29+Q29*INDEX('Facilities'!$I$9:$I$108,MATCH(C29,'Facilities'!$C$9:$C$108,0)))))</x:f>
        <x:v>8.2675</x:v>
      </x:c>
      <x:c r="AP29" s="21" t="n">
        <x:f>IF(C29="","",IF(AQ29&lt;&gt;"Ready","Unavailable",IF(C29="","",AH29-U29)))</x:f>
        <x:v>7.445927170050566</x:v>
      </x:c>
      <x:c r="AQ29" s="23" t="str">
        <x:f>IFERROR(IF(C29="","",IF(AND(INDEX('Facilities'!$AF$9:$AF$108,MATCH(C29,'Facilities'!$C$9:$C$108,0))="Ready",INDEX(Credit!$U$9:$U$108,MATCH(F29,Credit!$C$9:$C$108,0))="Ready",ISNUMBER(W29)),"Ready","Review inputs")),"Review inputs")</x:f>
        <x:v>Ready</x:v>
      </x:c>
      <x:c r="AR29" s="23" t="n">
        <x:f>IF(C29="","",IF(AQ29&lt;&gt;"Ready","Unavailable",IF(C29="","",IF(O29=0,0,(IF(AJ29&lt;=1,O29,O29*INDEX('Facilities'!$R$9:$R$108,MATCH(C29,'Facilities'!$C$9:$C$108,0)))+O29*INDEX('Facilities'!$T$9:$T$108,MATCH(C29,'Facilities'!$C$9:$C$108,0)))/12))))</x:f>
        <x:v>0.13536041666666665</x:v>
      </x:c>
    </x:row>
    <x:row r="30" ht="26" customHeight="1">
      <x:c r="A30" s="1"/>
      <x:c r="B30" s="1"/>
      <x:c r="C30" s="9" t="str">
        <x:f>IF(Facilities!C30="","",Facilities!C30)</x:f>
        <x:v>F022</x:v>
      </x:c>
      <x:c r="D30" s="3" t="n">
        <x:v>1</x:v>
      </x:c>
      <x:c r="E30" s="9" t="n">
        <x:f>Settings!$F$18+0</x:f>
        <x:v>2027</x:v>
      </x:c>
      <x:c r="F30" s="9" t="str">
        <x:f>IF(C30="","",IFERROR(INDEX('Facilities'!$D$9:$D$108,MATCH(C30,'Facilities'!$C$9:$C$108,0)),"Unavailable"))</x:f>
        <x:v>B011</x:v>
      </x:c>
      <x:c r="G30" s="23" t="n">
        <x:f>IF(C30="","",IFERROR(IF(INDEX('Facilities'!$AD$9:$AD$108,MATCH(C30,'Facilities'!$C$9:$C$108,0))=3,0,INDEX('Facilities'!$AA$9:$AA$108,MATCH(C30,'Facilities'!$C$9:$C$108,0))),"Unavailable"))</x:f>
        <x:v>6</x:v>
      </x:c>
      <x:c r="H30" s="23" t="n">
        <x:f>IF(C30="","",IFERROR(IF(INDEX('Facilities'!$AD$9:$AD$108,MATCH(C30,'Facilities'!$C$9:$C$108,0))=3,INDEX('Facilities'!$AA$9:$AA$108,MATCH(C30,'Facilities'!$C$9:$C$108,0)),0),"Unavailable"))</x:f>
        <x:v>0</x:v>
      </x:c>
      <x:c r="I30" s="23" t="n">
        <x:f>IF(C30="","",IFERROR(INDEX('Facilities'!$AB$9:$AB$108,MATCH(C30,'Facilities'!$C$9:$C$108,0)),"Unavailable"))</x:f>
        <x:v>0.5</x:v>
      </x:c>
      <x:c r="J30" s="23" t="n">
        <x:f>IF(C30="","",IFERROR(IF(OR(H30&gt;0,AND(AC30&gt;=0,AC30&lt;D30),D30&gt;INDEX('Facilities'!$J$9:$J$108,MATCH(C30,'Facilities'!$C$9:$C$108,0))),0,I30*'Scenario Paths'!F81),"Unavailable"))</x:f>
        <x:v>0.025</x:v>
      </x:c>
      <x:c r="K30" s="23" t="n">
        <x:f>IF(C30="","",IFERROR(IF(OR(H30&gt;0,AND(AC30&gt;=0,AC30=D30)),0,IF(D30&gt;=INDEX('Facilities'!$J$9:$J$108,MATCH(C30,'Facilities'!$C$9:$C$108,0)),G30+J30,MIN(G30+J30,G30*INDEX('Facilities'!$R$9:$R$108,MATCH(C30,'Facilities'!$C$9:$C$108,0))))),"Unavailable"))</x:f>
        <x:v>0.72</x:v>
      </x:c>
      <x:c r="L30" s="21" t="n">
        <x:f>IF(C30="","",IFERROR(IF(AND(AC30=D30,AC30&gt;0),MAX(0,G30+J30-K30),0),"Unavailable"))</x:f>
        <x:v>0</x:v>
      </x:c>
      <x:c r="M30" s="23" t="n">
        <x:f>IF(C30="","",IFERROR(IF(AND(AC30&gt;=0,D30&gt;=AC30+INDEX('Facilities'!$AK$9:$AK$108,MATCH(C30,'Facilities'!$C$9:$C$108,0))),(H30+L30)*AM30,0),"Unavailable"))</x:f>
        <x:v>0</x:v>
      </x:c>
      <x:c r="N30" s="23" t="n">
        <x:f>IF(C30="","",IFERROR(IF(AND(AC30&gt;=0,D30&gt;=AC30+INDEX('Facilities'!$AK$9:$AK$108,MATCH(C30,'Facilities'!$C$9:$C$108,0))),H30+L30-M30,0),"Unavailable"))</x:f>
        <x:v>0</x:v>
      </x:c>
      <x:c r="O30" s="21" t="n">
        <x:f>IF(C30="","",IFERROR(MAX(0,G30+J30-K30-L30),"Unavailable"))</x:f>
        <x:v>5.305000000000001</x:v>
      </x:c>
      <x:c r="P30" s="21" t="n">
        <x:f>IF(C30="","",IFERROR(MAX(0,H30+L30-M30-N30),"Unavailable"))</x:f>
        <x:v>0</x:v>
      </x:c>
      <x:c r="Q30" s="23" t="n">
        <x:f>IF(C30="","",IFERROR(IF(OR(D30&gt;=INDEX('Facilities'!$J$9:$J$108,MATCH(C30,'Facilities'!$C$9:$C$108,0)),AND(AC30&gt;=0,AC30&lt;=D30)),0,MAX(0,I30-J30)),"Unavailable"))</x:f>
        <x:v>0.475</x:v>
      </x:c>
      <x:c r="R30" s="30" t="n">
        <x:f>IF(C30="","",IFERROR(INDEX(Credit!$Q$9:$Q$108,MATCH(F30,Credit!$C$9:$C$108,0)),"Unavailable"))</x:f>
        <x:v>0.04071449885015344</x:v>
      </x:c>
      <x:c r="S30" s="30" t="n">
        <x:f>IF(C30="","",IFERROR(INDEX(Credit!$R$9:$R$108,MATCH(F30,Credit!$C$9:$C$108,0)),"Unavailable"))</x:f>
        <x:v>0.28028800000000004</x:v>
      </x:c>
      <x:c r="T30" s="23" t="n">
        <x:f>IF(C30="","",IFERROR(IF(P30&gt;0,3,IF(OR(INDEX('Facilities'!$AD$9:$AD$108,MATCH(C30,'Facilities'!$C$9:$C$108,0))=2,AND(R30&gt;=INDEX('Facilities'!$L$9:$L$108,MATCH(C30,'Facilities'!$C$9:$C$108,0))*Settings!$F$19,R30-INDEX('Facilities'!$L$9:$L$108,MATCH(C30,'Facilities'!$C$9:$C$108,0))&gt;=Settings!$F$20)),2,1)),"Unavailable"))</x:f>
        <x:v>1</x:v>
      </x:c>
      <x:c r="U30" s="23" t="n">
        <x:f>IF(C30="","",IF(AQ30&lt;&gt;"Ready","Unavailable",IF(C30="","",O30*(1-(1-S30)/(1+INDEX('Facilities'!$K$9:$K$108,MATCH(C30,'Facilities'!$C$9:$C$108,0)))^INDEX('Facilities'!$AK$9:$AK$108,MATCH(C30,'Facilities'!$C$9:$C$108,0)))*R30/(1+INDEX('Facilities'!$K$9:$K$108,MATCH(C30,'Facilities'!$C$9:$C$108,0)))*IF(ABS(1-(1-R30)*(1-INDEX('Facilities'!$R$9:$R$108,MATCH(C30,'Facilities'!$C$9:$C$108,0)))/(1+INDEX('Facilities'!$K$9:$K$108,MATCH(C30,'Facilities'!$C$9:$C$108,0))))&lt;0.000000001,IF(T30=1,MIN(1,AJ30),AJ30),(1-((1-R30)*(1-INDEX('Facilities'!$R$9:$R$108,MATCH(C30,'Facilities'!$C$9:$C$108,0)))/(1+INDEX('Facilities'!$K$9:$K$108,MATCH(C30,'Facilities'!$C$9:$C$108,0))))^IF(T30=1,MIN(1,AJ30),AJ30))/(1-(1-R30)*(1-INDEX('Facilities'!$R$9:$R$108,MATCH(C30,'Facilities'!$C$9:$C$108,0)))/(1+INDEX('Facilities'!$K$9:$K$108,MATCH(C30,'Facilities'!$C$9:$C$108,0)))))+AL30)))</x:f>
        <x:v>0.07658919429275249</x:v>
      </x:c>
      <x:c r="V30" s="23" t="n">
        <x:f>IF(C30="","",IF(AQ30&lt;&gt;"Ready","Unavailable",IF(C30="","",Q30*INDEX('Facilities'!$I$9:$I$108,MATCH(C30,'Facilities'!$C$9:$C$108,0))*(1-(1-S30)/(1+INDEX('Facilities'!$K$9:$K$108,MATCH(C30,'Facilities'!$C$9:$C$108,0)))^INDEX('Facilities'!$AK$9:$AK$108,MATCH(C30,'Facilities'!$C$9:$C$108,0)))*R30/(1+INDEX('Facilities'!$K$9:$K$108,MATCH(C30,'Facilities'!$C$9:$C$108,0)))*IF(ABS(1-(1-R30)*(1-0)/(1+INDEX('Facilities'!$K$9:$K$108,MATCH(C30,'Facilities'!$C$9:$C$108,0))))&lt;0.000000001,IF(T30=1,MIN(1,AJ30),AJ30),(1-((1-R30)*(1-0)/(1+INDEX('Facilities'!$K$9:$K$108,MATCH(C30,'Facilities'!$C$9:$C$108,0))))^IF(T30=1,MIN(1,AJ30),AJ30))/(1-(1-R30)*(1-0)/(1+INDEX('Facilities'!$K$9:$K$108,MATCH(C30,'Facilities'!$C$9:$C$108,0))))))))</x:f>
        <x:v>0.003428828208205224</x:v>
      </x:c>
      <x:c r="W30" s="23" t="n">
        <x:f>IF(C30="","",IFERROR(INDEX(ECL!$AB$9:$AB$108,MATCH(C30,ECL!$C$9:$C$108,0)),"Unavailable"))</x:f>
        <x:v>0.09670884773662554</x:v>
      </x:c>
      <x:c r="X30" s="23" t="n">
        <x:f>IF(C30="","",IFERROR(INDEX(ECL!$AC$9:$AC$108,MATCH(C30,ECL!$C$9:$C$108,0)),"Unavailable"))</x:f>
        <x:v>0.004029535322359398</x:v>
      </x:c>
      <x:c r="Y30" s="21" t="n">
        <x:f>IF(C30="","",IF(AQ30&lt;&gt;"Ready","Unavailable",IF(C30="","",U30-W30+V30-X30+N30+AG30)))</x:f>
        <x:v>-0.020720360558027222</x:v>
      </x:c>
      <x:c r="Z30" s="23" t="n">
        <x:f>IF(C30="","",IF(AQ30&lt;&gt;"Ready","Unavailable",IF(C30="","",(G30+O30+L30)/2*INDEX('Facilities'!$T$9:$T$108,MATCH(C30,'Facilities'!$C$9:$C$108,0))+AG30)))</x:f>
        <x:v>0.5369875</x:v>
      </x:c>
      <x:c r="AA30" s="23" t="n">
        <x:f>IF(C30="","",IF(AQ30&lt;&gt;"Ready","Unavailable",IF(C30="","",O30*(1-IF(INDEX('Facilities'!$AA$9:$AA$108,MATCH(C30,'Facilities'!$C$9:$C$108,0))=0,0,MIN(1,INDEX('Facilities'!$X$9:$X$108,MATCH(C30,'Facilities'!$C$9:$C$108,0))/INDEX('Facilities'!$AA$9:$AA$108,MATCH(C30,'Facilities'!$C$9:$C$108,0)))))*AF30+P30*(1-IF(INDEX('Facilities'!$AA$9:$AA$108,MATCH(C30,'Facilities'!$C$9:$C$108,0))=0,0,MIN(1,INDEX('Facilities'!$X$9:$X$108,MATCH(C30,'Facilities'!$C$9:$C$108,0))/INDEX('Facilities'!$AA$9:$AA$108,MATCH(C30,'Facilities'!$C$9:$C$108,0)))))*INDEX('Facilities'!$AJ$9:$AJ$108,MATCH(C30,'Facilities'!$C$9:$C$108,0))+Q30*INDEX('Facilities'!$AI$9:$AI$108,MATCH(C30,'Facilities'!$C$9:$C$108,0))*AF30)))</x:f>
        <x:v>5.5442622240000015</x:v>
      </x:c>
      <x:c r="AB30" s="21" t="n">
        <x:f>IF(C30="","",O30+P30-AD30)</x:f>
        <x:v>-0.6949999999999994</x:v>
      </x:c>
      <x:c r="AC30" s="23" t="n">
        <x:f>IF(C30="","",IFERROR(IF(INDEX('Facilities'!$AD$9:$AD$108,MATCH(C30,'Facilities'!$C$9:$C$108,0))=3,0,IF(INDEX('Facilities'!$AN$9:$AN$108,MATCH(C30,'Facilities'!$C$9:$C$108,0))=0,-1,INDEX('Facilities'!$AN$9:$AN$108,MATCH(C30,'Facilities'!$C$9:$C$108,0)))),"Unavailable"))</x:f>
        <x:v>-1</x:v>
      </x:c>
      <x:c r="AD30" s="21" t="n">
        <x:f>IF(C30="","",IFERROR(G30+H30,"Unavailable"))</x:f>
        <x:v>6</x:v>
      </x:c>
      <x:c r="AE30" s="21" t="n">
        <x:f>IF(C30="","",IF(AQ30&lt;&gt;"Ready","Unavailable",IF(C30="","",O30+P30-AD30-J30+K30+M30+N30)))</x:f>
        <x:v>5.551115123125783e-16</x:v>
      </x:c>
      <x:c r="AF30" s="30" t="n">
        <x:f>IF(C30="","",IFERROR(INDEX('Facilities'!$S$9:$S$108,MATCH(C30,'Facilities'!$C$9:$C$108,0))*'Scenario Paths'!F75,"Unavailable"))</x:f>
        <x:v>1.02</x:v>
      </x:c>
      <x:c r="AG30" s="23" t="n">
        <x:f>IF(C30="","",IF(AQ30&lt;&gt;"Ready","Unavailable",IF(C30="","",IF(H30&gt;0,MAX(0,H30-AK30)*((1+INDEX('Facilities'!$K$9:$K$108,MATCH(C30,'Facilities'!$C$9:$C$108,0)))^MIN(1,MAX(0,AC30+INDEX('Facilities'!$AK$9:$AK$108,MATCH(C30,'Facilities'!$C$9:$C$108,0))-D30+1))-1),0))))</x:f>
        <x:v>0</x:v>
      </x:c>
      <x:c r="AH30" s="21" t="n">
        <x:f>IF(C30="","",IF(AQ30&lt;&gt;"Ready","Unavailable",IF(C30="","",O30+P30)))</x:f>
        <x:v>5.305000000000001</x:v>
      </x:c>
      <x:c r="AI30" s="21" t="n">
        <x:f>IF(C30="","",IF(AQ30&lt;&gt;"Ready","Unavailable",IF(C30="","",Z30-Y30)))</x:f>
        <x:v>0.5577078605580271</x:v>
      </x:c>
      <x:c r="AJ30" s="23" t="n">
        <x:f>IF(C30="","",IFERROR(MAX(0,INDEX('Facilities'!$J$9:$J$108,MATCH(C30,'Facilities'!$C$9:$C$108,0))-D30),"Unavailable"))</x:f>
        <x:v>4</x:v>
      </x:c>
      <x:c r="AK30" s="23" t="n">
        <x:f>IF(C30="","",IFERROR(IF(INDEX('Facilities'!$AD$9:$AD$108,MATCH(C30,'Facilities'!$C$9:$C$108,0))=3,W30,0),"Unavailable"))</x:f>
        <x:v>0</x:v>
      </x:c>
      <x:c r="AL30" s="23" t="n">
        <x:f>IF(C30="","",IFERROR(IF(P30&gt;0,P30*(1-AM30/(1+INDEX('Facilities'!$K$9:$K$108,MATCH(C30,'Facilities'!$C$9:$C$108,0)))^MAX(0,AC30+INDEX('Facilities'!$AK$9:$AK$108,MATCH(C30,'Facilities'!$C$9:$C$108,0))-D30)),0),"Unavailable"))</x:f>
        <x:v>0</x:v>
      </x:c>
      <x:c r="AM30" s="30" t="n">
        <x:f>IF(C30="","",IFERROR(INDEX('Facilities'!$AL$9:$AL$108,MATCH(C30,'Facilities'!$C$9:$C$108,0)),"Unavailable"))</x:f>
        <x:v>0.55</x:v>
      </x:c>
      <x:c r="AN30" s="30" t="n">
        <x:f>IF(C30="","",IFERROR(INDEX(Credit!$T$9:$T$108,MATCH(F30,Credit!$C$9:$C$108,0)),"Unavailable"))</x:f>
        <x:v>0.0004000000000000001</x:v>
      </x:c>
      <x:c r="AO30" s="23" t="n">
        <x:f>IF(C30="","",IF(AQ30&lt;&gt;"Ready","Unavailable",IF(C30="","",O30+P30+Q30*INDEX('Facilities'!$I$9:$I$108,MATCH(C30,'Facilities'!$C$9:$C$108,0)))))</x:f>
        <x:v>5.5425</x:v>
      </x:c>
      <x:c r="AP30" s="21" t="n">
        <x:f>IF(C30="","",IF(AQ30&lt;&gt;"Ready","Unavailable",IF(C30="","",AH30-U30)))</x:f>
        <x:v>5.228410805707248</x:v>
      </x:c>
      <x:c r="AQ30" s="23" t="str">
        <x:f>IFERROR(IF(C30="","",IF(AND(INDEX('Facilities'!$AF$9:$AF$108,MATCH(C30,'Facilities'!$C$9:$C$108,0))="Ready",INDEX(Credit!$U$9:$U$108,MATCH(F30,Credit!$C$9:$C$108,0))="Ready",ISNUMBER(W30)),"Ready","Review inputs")),"Review inputs")</x:f>
        <x:v>Ready</x:v>
      </x:c>
      <x:c r="AR30" s="23" t="n">
        <x:f>IF(C30="","",IF(AQ30&lt;&gt;"Ready","Unavailable",IF(C30="","",IF(O30=0,0,(IF(AJ30&lt;=1,O30,O30*INDEX('Facilities'!$R$9:$R$108,MATCH(C30,'Facilities'!$C$9:$C$108,0)))+O30*INDEX('Facilities'!$T$9:$T$108,MATCH(C30,'Facilities'!$C$9:$C$108,0)))/12))))</x:f>
        <x:v>0.09504791666666668</x:v>
      </x:c>
    </x:row>
    <x:row r="31" ht="26" customHeight="1">
      <x:c r="A31" s="1"/>
      <x:c r="B31" s="1"/>
      <x:c r="C31" s="9" t="str">
        <x:f>IF(Facilities!C31="","",Facilities!C31)</x:f>
        <x:v>F023</x:v>
      </x:c>
      <x:c r="D31" s="3" t="n">
        <x:v>1</x:v>
      </x:c>
      <x:c r="E31" s="9" t="n">
        <x:f>Settings!$F$18+0</x:f>
        <x:v>2027</x:v>
      </x:c>
      <x:c r="F31" s="9" t="str">
        <x:f>IF(C31="","",IFERROR(INDEX('Facilities'!$D$9:$D$108,MATCH(C31,'Facilities'!$C$9:$C$108,0)),"Unavailable"))</x:f>
        <x:v>B012</x:v>
      </x:c>
      <x:c r="G31" s="23" t="n">
        <x:f>IF(C31="","",IFERROR(IF(INDEX('Facilities'!$AD$9:$AD$108,MATCH(C31,'Facilities'!$C$9:$C$108,0))=3,0,INDEX('Facilities'!$AA$9:$AA$108,MATCH(C31,'Facilities'!$C$9:$C$108,0))),"Unavailable"))</x:f>
        <x:v>8.85</x:v>
      </x:c>
      <x:c r="H31" s="23" t="n">
        <x:f>IF(C31="","",IFERROR(IF(INDEX('Facilities'!$AD$9:$AD$108,MATCH(C31,'Facilities'!$C$9:$C$108,0))=3,INDEX('Facilities'!$AA$9:$AA$108,MATCH(C31,'Facilities'!$C$9:$C$108,0)),0),"Unavailable"))</x:f>
        <x:v>0</x:v>
      </x:c>
      <x:c r="I31" s="23" t="n">
        <x:f>IF(C31="","",IFERROR(INDEX('Facilities'!$AB$9:$AB$108,MATCH(C31,'Facilities'!$C$9:$C$108,0)),"Unavailable"))</x:f>
        <x:v>1.5</x:v>
      </x:c>
      <x:c r="J31" s="23" t="n">
        <x:f>IF(C31="","",IFERROR(IF(OR(H31&gt;0,AND(AC31&gt;=0,AC31&lt;D31),D31&gt;INDEX('Facilities'!$J$9:$J$108,MATCH(C31,'Facilities'!$C$9:$C$108,0))),0,I31*'Scenario Paths'!F81),"Unavailable"))</x:f>
        <x:v>0.07500000000000001</x:v>
      </x:c>
      <x:c r="K31" s="23" t="n">
        <x:f>IF(C31="","",IFERROR(IF(OR(H31&gt;0,AND(AC31&gt;=0,AC31=D31)),0,IF(D31&gt;=INDEX('Facilities'!$J$9:$J$108,MATCH(C31,'Facilities'!$C$9:$C$108,0)),G31+J31,MIN(G31+J31,G31*INDEX('Facilities'!$R$9:$R$108,MATCH(C31,'Facilities'!$C$9:$C$108,0))))),"Unavailable"))</x:f>
        <x:v>1.0619999999999998</x:v>
      </x:c>
      <x:c r="L31" s="21" t="n">
        <x:f>IF(C31="","",IFERROR(IF(AND(AC31=D31,AC31&gt;0),MAX(0,G31+J31-K31),0),"Unavailable"))</x:f>
        <x:v>0</x:v>
      </x:c>
      <x:c r="M31" s="23" t="n">
        <x:f>IF(C31="","",IFERROR(IF(AND(AC31&gt;=0,D31&gt;=AC31+INDEX('Facilities'!$AK$9:$AK$108,MATCH(C31,'Facilities'!$C$9:$C$108,0))),(H31+L31)*AM31,0),"Unavailable"))</x:f>
        <x:v>0</x:v>
      </x:c>
      <x:c r="N31" s="23" t="n">
        <x:f>IF(C31="","",IFERROR(IF(AND(AC31&gt;=0,D31&gt;=AC31+INDEX('Facilities'!$AK$9:$AK$108,MATCH(C31,'Facilities'!$C$9:$C$108,0))),H31+L31-M31,0),"Unavailable"))</x:f>
        <x:v>0</x:v>
      </x:c>
      <x:c r="O31" s="21" t="n">
        <x:f>IF(C31="","",IFERROR(MAX(0,G31+J31-K31-L31),"Unavailable"))</x:f>
        <x:v>7.8629999999999995</x:v>
      </x:c>
      <x:c r="P31" s="21" t="n">
        <x:f>IF(C31="","",IFERROR(MAX(0,H31+L31-M31-N31),"Unavailable"))</x:f>
        <x:v>0</x:v>
      </x:c>
      <x:c r="Q31" s="23" t="n">
        <x:f>IF(C31="","",IFERROR(IF(OR(D31&gt;=INDEX('Facilities'!$J$9:$J$108,MATCH(C31,'Facilities'!$C$9:$C$108,0)),AND(AC31&gt;=0,AC31&lt;=D31)),0,MAX(0,I31-J31)),"Unavailable"))</x:f>
        <x:v>1.425</x:v>
      </x:c>
      <x:c r="R31" s="30" t="n">
        <x:f>IF(C31="","",IFERROR(INDEX(Credit!$Q$9:$Q$108,MATCH(F31,Credit!$C$9:$C$108,0)),"Unavailable"))</x:f>
        <x:v>0.04790504904710385</x:v>
      </x:c>
      <x:c r="S31" s="30" t="n">
        <x:f>IF(C31="","",IFERROR(INDEX(Credit!$R$9:$R$108,MATCH(F31,Credit!$C$9:$C$108,0)),"Unavailable"))</x:f>
        <x:v>0.32056576000000003</x:v>
      </x:c>
      <x:c r="T31" s="23" t="n">
        <x:f>IF(C31="","",IFERROR(IF(P31&gt;0,3,IF(OR(INDEX('Facilities'!$AD$9:$AD$108,MATCH(C31,'Facilities'!$C$9:$C$108,0))=2,AND(R31&gt;=INDEX('Facilities'!$L$9:$L$108,MATCH(C31,'Facilities'!$C$9:$C$108,0))*Settings!$F$19,R31-INDEX('Facilities'!$L$9:$L$108,MATCH(C31,'Facilities'!$C$9:$C$108,0))&gt;=Settings!$F$20)),2,1)),"Unavailable"))</x:f>
        <x:v>1</x:v>
      </x:c>
      <x:c r="U31" s="23" t="n">
        <x:f>IF(C31="","",IF(AQ31&lt;&gt;"Ready","Unavailable",IF(C31="","",O31*(1-(1-S31)/(1+INDEX('Facilities'!$K$9:$K$108,MATCH(C31,'Facilities'!$C$9:$C$108,0)))^INDEX('Facilities'!$AK$9:$AK$108,MATCH(C31,'Facilities'!$C$9:$C$108,0)))*R31/(1+INDEX('Facilities'!$K$9:$K$108,MATCH(C31,'Facilities'!$C$9:$C$108,0)))*IF(ABS(1-(1-R31)*(1-INDEX('Facilities'!$R$9:$R$108,MATCH(C31,'Facilities'!$C$9:$C$108,0)))/(1+INDEX('Facilities'!$K$9:$K$108,MATCH(C31,'Facilities'!$C$9:$C$108,0))))&lt;0.000000001,IF(T31=1,MIN(1,AJ31),AJ31),(1-((1-R31)*(1-INDEX('Facilities'!$R$9:$R$108,MATCH(C31,'Facilities'!$C$9:$C$108,0)))/(1+INDEX('Facilities'!$K$9:$K$108,MATCH(C31,'Facilities'!$C$9:$C$108,0))))^IF(T31=1,MIN(1,AJ31),AJ31))/(1-(1-R31)*(1-INDEX('Facilities'!$R$9:$R$108,MATCH(C31,'Facilities'!$C$9:$C$108,0)))/(1+INDEX('Facilities'!$K$9:$K$108,MATCH(C31,'Facilities'!$C$9:$C$108,0)))))+AL31)))</x:f>
        <x:v>0.1456118515072845</x:v>
      </x:c>
      <x:c r="V31" s="23" t="n">
        <x:f>IF(C31="","",IF(AQ31&lt;&gt;"Ready","Unavailable",IF(C31="","",Q31*INDEX('Facilities'!$I$9:$I$108,MATCH(C31,'Facilities'!$C$9:$C$108,0))*(1-(1-S31)/(1+INDEX('Facilities'!$K$9:$K$108,MATCH(C31,'Facilities'!$C$9:$C$108,0)))^INDEX('Facilities'!$AK$9:$AK$108,MATCH(C31,'Facilities'!$C$9:$C$108,0)))*R31/(1+INDEX('Facilities'!$K$9:$K$108,MATCH(C31,'Facilities'!$C$9:$C$108,0)))*IF(ABS(1-(1-R31)*(1-0)/(1+INDEX('Facilities'!$K$9:$K$108,MATCH(C31,'Facilities'!$C$9:$C$108,0))))&lt;0.000000001,IF(T31=1,MIN(1,AJ31),AJ31),(1-((1-R31)*(1-0)/(1+INDEX('Facilities'!$K$9:$K$108,MATCH(C31,'Facilities'!$C$9:$C$108,0))))^IF(T31=1,MIN(1,AJ31),AJ31))/(1-(1-R31)*(1-0)/(1+INDEX('Facilities'!$K$9:$K$108,MATCH(C31,'Facilities'!$C$9:$C$108,0))))))))</x:f>
        <x:v>0.013194511534902734</x:v>
      </x:c>
      <x:c r="W31" s="23" t="n">
        <x:f>IF(C31="","",IFERROR(INDEX(ECL!$AB$9:$AB$108,MATCH(C31,ECL!$C$9:$C$108,0)),"Unavailable"))</x:f>
        <x:v>0.1816718449931413</x:v>
      </x:c>
      <x:c r="X31" s="23" t="n">
        <x:f>IF(C31="","",IFERROR(INDEX(ECL!$AC$9:$AC$108,MATCH(C31,ECL!$C$9:$C$108,0)),"Unavailable"))</x:f>
        <x:v>0.015395919067215363</x:v>
      </x:c>
      <x:c r="Y31" s="21" t="n">
        <x:f>IF(C31="","",IF(AQ31&lt;&gt;"Ready","Unavailable",IF(C31="","",U31-W31+V31-X31+N31+AG31)))</x:f>
        <x:v>-0.03826140101816941</x:v>
      </x:c>
      <x:c r="Z31" s="23" t="n">
        <x:f>IF(C31="","",IF(AQ31&lt;&gt;"Ready","Unavailable",IF(C31="","",(G31+O31+L31)/2*INDEX('Facilities'!$T$9:$T$108,MATCH(C31,'Facilities'!$C$9:$C$108,0))+AG31)))</x:f>
        <x:v>0.7938675000000001</x:v>
      </x:c>
      <x:c r="AA31" s="23" t="n">
        <x:f>IF(C31="","",IF(AQ31&lt;&gt;"Ready","Unavailable",IF(C31="","",O31*(1-IF(INDEX('Facilities'!$AA$9:$AA$108,MATCH(C31,'Facilities'!$C$9:$C$108,0))=0,0,MIN(1,INDEX('Facilities'!$X$9:$X$108,MATCH(C31,'Facilities'!$C$9:$C$108,0))/INDEX('Facilities'!$AA$9:$AA$108,MATCH(C31,'Facilities'!$C$9:$C$108,0)))))*AF31+P31*(1-IF(INDEX('Facilities'!$AA$9:$AA$108,MATCH(C31,'Facilities'!$C$9:$C$108,0))=0,0,MIN(1,INDEX('Facilities'!$X$9:$X$108,MATCH(C31,'Facilities'!$C$9:$C$108,0))/INDEX('Facilities'!$AA$9:$AA$108,MATCH(C31,'Facilities'!$C$9:$C$108,0)))))*INDEX('Facilities'!$AJ$9:$AJ$108,MATCH(C31,'Facilities'!$C$9:$C$108,0))+Q31*INDEX('Facilities'!$AI$9:$AI$108,MATCH(C31,'Facilities'!$C$9:$C$108,0))*AF31)))</x:f>
        <x:v>8.531425411199999</x:v>
      </x:c>
      <x:c r="AB31" s="21" t="n">
        <x:f>IF(C31="","",O31+P31-AD31)</x:f>
        <x:v>-0.9870000000000001</x:v>
      </x:c>
      <x:c r="AC31" s="23" t="n">
        <x:f>IF(C31="","",IFERROR(IF(INDEX('Facilities'!$AD$9:$AD$108,MATCH(C31,'Facilities'!$C$9:$C$108,0))=3,0,IF(INDEX('Facilities'!$AN$9:$AN$108,MATCH(C31,'Facilities'!$C$9:$C$108,0))=0,-1,INDEX('Facilities'!$AN$9:$AN$108,MATCH(C31,'Facilities'!$C$9:$C$108,0)))),"Unavailable"))</x:f>
        <x:v>-1</x:v>
      </x:c>
      <x:c r="AD31" s="21" t="n">
        <x:f>IF(C31="","",IFERROR(G31+H31,"Unavailable"))</x:f>
        <x:v>8.85</x:v>
      </x:c>
      <x:c r="AE31" s="21" t="n">
        <x:f>IF(C31="","",IF(AQ31&lt;&gt;"Ready","Unavailable",IF(C31="","",O31+P31-AD31-J31+K31+M31+N31)))</x:f>
        <x:v>-2.220446049250313e-16</x:v>
      </x:c>
      <x:c r="AF31" s="30" t="n">
        <x:f>IF(C31="","",IFERROR(INDEX('Facilities'!$S$9:$S$108,MATCH(C31,'Facilities'!$C$9:$C$108,0))*'Scenario Paths'!F75,"Unavailable"))</x:f>
        <x:v>1.02</x:v>
      </x:c>
      <x:c r="AG31" s="23" t="n">
        <x:f>IF(C31="","",IF(AQ31&lt;&gt;"Ready","Unavailable",IF(C31="","",IF(H31&gt;0,MAX(0,H31-AK31)*((1+INDEX('Facilities'!$K$9:$K$108,MATCH(C31,'Facilities'!$C$9:$C$108,0)))^MIN(1,MAX(0,AC31+INDEX('Facilities'!$AK$9:$AK$108,MATCH(C31,'Facilities'!$C$9:$C$108,0))-D31+1))-1),0))))</x:f>
        <x:v>0</x:v>
      </x:c>
      <x:c r="AH31" s="21" t="n">
        <x:f>IF(C31="","",IF(AQ31&lt;&gt;"Ready","Unavailable",IF(C31="","",O31+P31)))</x:f>
        <x:v>7.8629999999999995</x:v>
      </x:c>
      <x:c r="AI31" s="21" t="n">
        <x:f>IF(C31="","",IF(AQ31&lt;&gt;"Ready","Unavailable",IF(C31="","",Z31-Y31)))</x:f>
        <x:v>0.8321289010181695</x:v>
      </x:c>
      <x:c r="AJ31" s="23" t="n">
        <x:f>IF(C31="","",IFERROR(MAX(0,INDEX('Facilities'!$J$9:$J$108,MATCH(C31,'Facilities'!$C$9:$C$108,0))-D31),"Unavailable"))</x:f>
        <x:v>5</x:v>
      </x:c>
      <x:c r="AK31" s="23" t="n">
        <x:f>IF(C31="","",IFERROR(IF(INDEX('Facilities'!$AD$9:$AD$108,MATCH(C31,'Facilities'!$C$9:$C$108,0))=3,W31,0),"Unavailable"))</x:f>
        <x:v>0</x:v>
      </x:c>
      <x:c r="AL31" s="23" t="n">
        <x:f>IF(C31="","",IFERROR(IF(P31&gt;0,P31*(1-AM31/(1+INDEX('Facilities'!$K$9:$K$108,MATCH(C31,'Facilities'!$C$9:$C$108,0)))^MAX(0,AC31+INDEX('Facilities'!$AK$9:$AK$108,MATCH(C31,'Facilities'!$C$9:$C$108,0))-D31)),0),"Unavailable"))</x:f>
        <x:v>0</x:v>
      </x:c>
      <x:c r="AM31" s="30" t="n">
        <x:f>IF(C31="","",IFERROR(INDEX('Facilities'!$AL$9:$AL$108,MATCH(C31,'Facilities'!$C$9:$C$108,0)),"Unavailable"))</x:f>
        <x:v>0.55</x:v>
      </x:c>
      <x:c r="AN31" s="30" t="n">
        <x:f>IF(C31="","",IFERROR(INDEX(Credit!$T$9:$T$108,MATCH(F31,Credit!$C$9:$C$108,0)),"Unavailable"))</x:f>
        <x:v>0.000832</x:v>
      </x:c>
      <x:c r="AO31" s="23" t="n">
        <x:f>IF(C31="","",IF(AQ31&lt;&gt;"Ready","Unavailable",IF(C31="","",O31+P31+Q31*INDEX('Facilities'!$I$9:$I$108,MATCH(C31,'Facilities'!$C$9:$C$108,0)))))</x:f>
        <x:v>8.5755</x:v>
      </x:c>
      <x:c r="AP31" s="21" t="n">
        <x:f>IF(C31="","",IF(AQ31&lt;&gt;"Ready","Unavailable",IF(C31="","",AH31-U31)))</x:f>
        <x:v>7.717388148492715</x:v>
      </x:c>
      <x:c r="AQ31" s="23" t="str">
        <x:f>IFERROR(IF(C31="","",IF(AND(INDEX('Facilities'!$AF$9:$AF$108,MATCH(C31,'Facilities'!$C$9:$C$108,0))="Ready",INDEX(Credit!$U$9:$U$108,MATCH(F31,Credit!$C$9:$C$108,0))="Ready",ISNUMBER(W31)),"Ready","Review inputs")),"Review inputs")</x:f>
        <x:v>Ready</x:v>
      </x:c>
      <x:c r="AR31" s="23" t="n">
        <x:f>IF(C31="","",IF(AQ31&lt;&gt;"Ready","Unavailable",IF(C31="","",IF(O31=0,0,(IF(AJ31&lt;=1,O31,O31*INDEX('Facilities'!$R$9:$R$108,MATCH(C31,'Facilities'!$C$9:$C$108,0)))+O31*INDEX('Facilities'!$T$9:$T$108,MATCH(C31,'Facilities'!$C$9:$C$108,0)))/12))))</x:f>
        <x:v>0.14087875</x:v>
      </x:c>
    </x:row>
    <x:row r="32" ht="26" customHeight="1">
      <x:c r="A32" s="1"/>
      <x:c r="B32" s="1"/>
      <x:c r="C32" s="9" t="str">
        <x:f>IF(Facilities!C32="","",Facilities!C32)</x:f>
        <x:v>F024</x:v>
      </x:c>
      <x:c r="D32" s="3" t="n">
        <x:v>1</x:v>
      </x:c>
      <x:c r="E32" s="9" t="n">
        <x:f>Settings!$F$18+0</x:f>
        <x:v>2027</x:v>
      </x:c>
      <x:c r="F32" s="9" t="str">
        <x:f>IF(C32="","",IFERROR(INDEX('Facilities'!$D$9:$D$108,MATCH(C32,'Facilities'!$C$9:$C$108,0)),"Unavailable"))</x:f>
        <x:v>B012</x:v>
      </x:c>
      <x:c r="G32" s="23" t="n">
        <x:f>IF(C32="","",IFERROR(IF(INDEX('Facilities'!$AD$9:$AD$108,MATCH(C32,'Facilities'!$C$9:$C$108,0))=3,0,INDEX('Facilities'!$AA$9:$AA$108,MATCH(C32,'Facilities'!$C$9:$C$108,0))),"Unavailable"))</x:f>
        <x:v>6.35</x:v>
      </x:c>
      <x:c r="H32" s="23" t="n">
        <x:f>IF(C32="","",IFERROR(IF(INDEX('Facilities'!$AD$9:$AD$108,MATCH(C32,'Facilities'!$C$9:$C$108,0))=3,INDEX('Facilities'!$AA$9:$AA$108,MATCH(C32,'Facilities'!$C$9:$C$108,0)),0),"Unavailable"))</x:f>
        <x:v>0</x:v>
      </x:c>
      <x:c r="I32" s="23" t="n">
        <x:f>IF(C32="","",IFERROR(INDEX('Facilities'!$AB$9:$AB$108,MATCH(C32,'Facilities'!$C$9:$C$108,0)),"Unavailable"))</x:f>
        <x:v>0.5</x:v>
      </x:c>
      <x:c r="J32" s="23" t="n">
        <x:f>IF(C32="","",IFERROR(IF(OR(H32&gt;0,AND(AC32&gt;=0,AC32&lt;D32),D32&gt;INDEX('Facilities'!$J$9:$J$108,MATCH(C32,'Facilities'!$C$9:$C$108,0))),0,I32*'Scenario Paths'!F81),"Unavailable"))</x:f>
        <x:v>0.025</x:v>
      </x:c>
      <x:c r="K32" s="23" t="n">
        <x:f>IF(C32="","",IFERROR(IF(OR(H32&gt;0,AND(AC32&gt;=0,AC32=D32)),0,IF(D32&gt;=INDEX('Facilities'!$J$9:$J$108,MATCH(C32,'Facilities'!$C$9:$C$108,0)),G32+J32,MIN(G32+J32,G32*INDEX('Facilities'!$R$9:$R$108,MATCH(C32,'Facilities'!$C$9:$C$108,0))))),"Unavailable"))</x:f>
        <x:v>0.7619999999999999</x:v>
      </x:c>
      <x:c r="L32" s="21" t="n">
        <x:f>IF(C32="","",IFERROR(IF(AND(AC32=D32,AC32&gt;0),MAX(0,G32+J32-K32),0),"Unavailable"))</x:f>
        <x:v>0</x:v>
      </x:c>
      <x:c r="M32" s="23" t="n">
        <x:f>IF(C32="","",IFERROR(IF(AND(AC32&gt;=0,D32&gt;=AC32+INDEX('Facilities'!$AK$9:$AK$108,MATCH(C32,'Facilities'!$C$9:$C$108,0))),(H32+L32)*AM32,0),"Unavailable"))</x:f>
        <x:v>0</x:v>
      </x:c>
      <x:c r="N32" s="23" t="n">
        <x:f>IF(C32="","",IFERROR(IF(AND(AC32&gt;=0,D32&gt;=AC32+INDEX('Facilities'!$AK$9:$AK$108,MATCH(C32,'Facilities'!$C$9:$C$108,0))),H32+L32-M32,0),"Unavailable"))</x:f>
        <x:v>0</x:v>
      </x:c>
      <x:c r="O32" s="21" t="n">
        <x:f>IF(C32="","",IFERROR(MAX(0,G32+J32-K32-L32),"Unavailable"))</x:f>
        <x:v>5.613</x:v>
      </x:c>
      <x:c r="P32" s="21" t="n">
        <x:f>IF(C32="","",IFERROR(MAX(0,H32+L32-M32-N32),"Unavailable"))</x:f>
        <x:v>0</x:v>
      </x:c>
      <x:c r="Q32" s="23" t="n">
        <x:f>IF(C32="","",IFERROR(IF(OR(D32&gt;=INDEX('Facilities'!$J$9:$J$108,MATCH(C32,'Facilities'!$C$9:$C$108,0)),AND(AC32&gt;=0,AC32&lt;=D32)),0,MAX(0,I32-J32)),"Unavailable"))</x:f>
        <x:v>0.475</x:v>
      </x:c>
      <x:c r="R32" s="30" t="n">
        <x:f>IF(C32="","",IFERROR(INDEX(Credit!$Q$9:$Q$108,MATCH(F32,Credit!$C$9:$C$108,0)),"Unavailable"))</x:f>
        <x:v>0.04790504904710385</x:v>
      </x:c>
      <x:c r="S32" s="30" t="n">
        <x:f>IF(C32="","",IFERROR(INDEX(Credit!$R$9:$R$108,MATCH(F32,Credit!$C$9:$C$108,0)),"Unavailable"))</x:f>
        <x:v>0.32056576000000003</x:v>
      </x:c>
      <x:c r="T32" s="23" t="n">
        <x:f>IF(C32="","",IFERROR(IF(P32&gt;0,3,IF(OR(INDEX('Facilities'!$AD$9:$AD$108,MATCH(C32,'Facilities'!$C$9:$C$108,0))=2,AND(R32&gt;=INDEX('Facilities'!$L$9:$L$108,MATCH(C32,'Facilities'!$C$9:$C$108,0))*Settings!$F$19,R32-INDEX('Facilities'!$L$9:$L$108,MATCH(C32,'Facilities'!$C$9:$C$108,0))&gt;=Settings!$F$20)),2,1)),"Unavailable"))</x:f>
        <x:v>1</x:v>
      </x:c>
      <x:c r="U32" s="23" t="n">
        <x:f>IF(C32="","",IF(AQ32&lt;&gt;"Ready","Unavailable",IF(C32="","",O32*(1-(1-S32)/(1+INDEX('Facilities'!$K$9:$K$108,MATCH(C32,'Facilities'!$C$9:$C$108,0)))^INDEX('Facilities'!$AK$9:$AK$108,MATCH(C32,'Facilities'!$C$9:$C$108,0)))*R32/(1+INDEX('Facilities'!$K$9:$K$108,MATCH(C32,'Facilities'!$C$9:$C$108,0)))*IF(ABS(1-(1-R32)*(1-INDEX('Facilities'!$R$9:$R$108,MATCH(C32,'Facilities'!$C$9:$C$108,0)))/(1+INDEX('Facilities'!$K$9:$K$108,MATCH(C32,'Facilities'!$C$9:$C$108,0))))&lt;0.000000001,IF(T32=1,MIN(1,AJ32),AJ32),(1-((1-R32)*(1-INDEX('Facilities'!$R$9:$R$108,MATCH(C32,'Facilities'!$C$9:$C$108,0)))/(1+INDEX('Facilities'!$K$9:$K$108,MATCH(C32,'Facilities'!$C$9:$C$108,0))))^IF(T32=1,MIN(1,AJ32),AJ32))/(1-(1-R32)*(1-INDEX('Facilities'!$R$9:$R$108,MATCH(C32,'Facilities'!$C$9:$C$108,0)))/(1+INDEX('Facilities'!$K$9:$K$108,MATCH(C32,'Facilities'!$C$9:$C$108,0)))))+AL32)))</x:f>
        <x:v>0.1039449729760127</x:v>
      </x:c>
      <x:c r="V32" s="23" t="n">
        <x:f>IF(C32="","",IF(AQ32&lt;&gt;"Ready","Unavailable",IF(C32="","",Q32*INDEX('Facilities'!$I$9:$I$108,MATCH(C32,'Facilities'!$C$9:$C$108,0))*(1-(1-S32)/(1+INDEX('Facilities'!$K$9:$K$108,MATCH(C32,'Facilities'!$C$9:$C$108,0)))^INDEX('Facilities'!$AK$9:$AK$108,MATCH(C32,'Facilities'!$C$9:$C$108,0)))*R32/(1+INDEX('Facilities'!$K$9:$K$108,MATCH(C32,'Facilities'!$C$9:$C$108,0)))*IF(ABS(1-(1-R32)*(1-0)/(1+INDEX('Facilities'!$K$9:$K$108,MATCH(C32,'Facilities'!$C$9:$C$108,0))))&lt;0.000000001,IF(T32=1,MIN(1,AJ32),AJ32),(1-((1-R32)*(1-0)/(1+INDEX('Facilities'!$K$9:$K$108,MATCH(C32,'Facilities'!$C$9:$C$108,0))))^IF(T32=1,MIN(1,AJ32),AJ32))/(1-(1-R32)*(1-0)/(1+INDEX('Facilities'!$K$9:$K$108,MATCH(C32,'Facilities'!$C$9:$C$108,0))))))))</x:f>
        <x:v>0.004398170511634244</x:v>
      </x:c>
      <x:c r="W32" s="23" t="n">
        <x:f>IF(C32="","",IFERROR(INDEX(ECL!$AB$9:$AB$108,MATCH(C32,ECL!$C$9:$C$108,0)),"Unavailable"))</x:f>
        <x:v>0.1303521147690901</x:v>
      </x:c>
      <x:c r="X32" s="23" t="n">
        <x:f>IF(C32="","",IFERROR(INDEX(ECL!$AC$9:$AC$108,MATCH(C32,ECL!$C$9:$C$108,0)),"Unavailable"))</x:f>
        <x:v>0.005131973022405122</x:v>
      </x:c>
      <x:c r="Y32" s="21" t="n">
        <x:f>IF(C32="","",IF(AQ32&lt;&gt;"Ready","Unavailable",IF(C32="","",U32-W32+V32-X32+N32+AG32)))</x:f>
        <x:v>-0.027140944303848266</x:v>
      </x:c>
      <x:c r="Z32" s="23" t="n">
        <x:f>IF(C32="","",IF(AQ32&lt;&gt;"Ready","Unavailable",IF(C32="","",(G32+O32+L32)/2*INDEX('Facilities'!$T$9:$T$108,MATCH(C32,'Facilities'!$C$9:$C$108,0))+AG32)))</x:f>
        <x:v>0.5682425000000001</x:v>
      </x:c>
      <x:c r="AA32" s="23" t="n">
        <x:f>IF(C32="","",IF(AQ32&lt;&gt;"Ready","Unavailable",IF(C32="","",O32*(1-IF(INDEX('Facilities'!$AA$9:$AA$108,MATCH(C32,'Facilities'!$C$9:$C$108,0))=0,0,MIN(1,INDEX('Facilities'!$X$9:$X$108,MATCH(C32,'Facilities'!$C$9:$C$108,0))/INDEX('Facilities'!$AA$9:$AA$108,MATCH(C32,'Facilities'!$C$9:$C$108,0)))))*AF32+P32*(1-IF(INDEX('Facilities'!$AA$9:$AA$108,MATCH(C32,'Facilities'!$C$9:$C$108,0))=0,0,MIN(1,INDEX('Facilities'!$X$9:$X$108,MATCH(C32,'Facilities'!$C$9:$C$108,0))/INDEX('Facilities'!$AA$9:$AA$108,MATCH(C32,'Facilities'!$C$9:$C$108,0)))))*INDEX('Facilities'!$AJ$9:$AJ$108,MATCH(C32,'Facilities'!$C$9:$C$108,0))+Q32*INDEX('Facilities'!$AI$9:$AI$108,MATCH(C32,'Facilities'!$C$9:$C$108,0))*AF32)))</x:f>
        <x:v>5.8136150112000005</x:v>
      </x:c>
      <x:c r="AB32" s="21" t="n">
        <x:f>IF(C32="","",O32+P32-AD32)</x:f>
        <x:v>-0.7369999999999992</x:v>
      </x:c>
      <x:c r="AC32" s="23" t="n">
        <x:f>IF(C32="","",IFERROR(IF(INDEX('Facilities'!$AD$9:$AD$108,MATCH(C32,'Facilities'!$C$9:$C$108,0))=3,0,IF(INDEX('Facilities'!$AN$9:$AN$108,MATCH(C32,'Facilities'!$C$9:$C$108,0))=0,-1,INDEX('Facilities'!$AN$9:$AN$108,MATCH(C32,'Facilities'!$C$9:$C$108,0)))),"Unavailable"))</x:f>
        <x:v>-1</x:v>
      </x:c>
      <x:c r="AD32" s="21" t="n">
        <x:f>IF(C32="","",IFERROR(G32+H32,"Unavailable"))</x:f>
        <x:v>6.35</x:v>
      </x:c>
      <x:c r="AE32" s="21" t="n">
        <x:f>IF(C32="","",IF(AQ32&lt;&gt;"Ready","Unavailable",IF(C32="","",O32+P32-AD32-J32+K32+M32+N32)))</x:f>
        <x:v>6.661338147750939e-16</x:v>
      </x:c>
      <x:c r="AF32" s="30" t="n">
        <x:f>IF(C32="","",IFERROR(INDEX('Facilities'!$S$9:$S$108,MATCH(C32,'Facilities'!$C$9:$C$108,0))*'Scenario Paths'!F75,"Unavailable"))</x:f>
        <x:v>1.02</x:v>
      </x:c>
      <x:c r="AG32" s="23" t="n">
        <x:f>IF(C32="","",IF(AQ32&lt;&gt;"Ready","Unavailable",IF(C32="","",IF(H32&gt;0,MAX(0,H32-AK32)*((1+INDEX('Facilities'!$K$9:$K$108,MATCH(C32,'Facilities'!$C$9:$C$108,0)))^MIN(1,MAX(0,AC32+INDEX('Facilities'!$AK$9:$AK$108,MATCH(C32,'Facilities'!$C$9:$C$108,0))-D32+1))-1),0))))</x:f>
        <x:v>0</x:v>
      </x:c>
      <x:c r="AH32" s="21" t="n">
        <x:f>IF(C32="","",IF(AQ32&lt;&gt;"Ready","Unavailable",IF(C32="","",O32+P32)))</x:f>
        <x:v>5.613</x:v>
      </x:c>
      <x:c r="AI32" s="21" t="n">
        <x:f>IF(C32="","",IF(AQ32&lt;&gt;"Ready","Unavailable",IF(C32="","",Z32-Y32)))</x:f>
        <x:v>0.5953834443038484</x:v>
      </x:c>
      <x:c r="AJ32" s="23" t="n">
        <x:f>IF(C32="","",IFERROR(MAX(0,INDEX('Facilities'!$J$9:$J$108,MATCH(C32,'Facilities'!$C$9:$C$108,0))-D32),"Unavailable"))</x:f>
        <x:v>5</x:v>
      </x:c>
      <x:c r="AK32" s="23" t="n">
        <x:f>IF(C32="","",IFERROR(IF(INDEX('Facilities'!$AD$9:$AD$108,MATCH(C32,'Facilities'!$C$9:$C$108,0))=3,W32,0),"Unavailable"))</x:f>
        <x:v>0</x:v>
      </x:c>
      <x:c r="AL32" s="23" t="n">
        <x:f>IF(C32="","",IFERROR(IF(P32&gt;0,P32*(1-AM32/(1+INDEX('Facilities'!$K$9:$K$108,MATCH(C32,'Facilities'!$C$9:$C$108,0)))^MAX(0,AC32+INDEX('Facilities'!$AK$9:$AK$108,MATCH(C32,'Facilities'!$C$9:$C$108,0))-D32)),0),"Unavailable"))</x:f>
        <x:v>0</x:v>
      </x:c>
      <x:c r="AM32" s="30" t="n">
        <x:f>IF(C32="","",IFERROR(INDEX('Facilities'!$AL$9:$AL$108,MATCH(C32,'Facilities'!$C$9:$C$108,0)),"Unavailable"))</x:f>
        <x:v>0.55</x:v>
      </x:c>
      <x:c r="AN32" s="30" t="n">
        <x:f>IF(C32="","",IFERROR(INDEX(Credit!$T$9:$T$108,MATCH(F32,Credit!$C$9:$C$108,0)),"Unavailable"))</x:f>
        <x:v>0.000832</x:v>
      </x:c>
      <x:c r="AO32" s="23" t="n">
        <x:f>IF(C32="","",IF(AQ32&lt;&gt;"Ready","Unavailable",IF(C32="","",O32+P32+Q32*INDEX('Facilities'!$I$9:$I$108,MATCH(C32,'Facilities'!$C$9:$C$108,0)))))</x:f>
        <x:v>5.8505</x:v>
      </x:c>
      <x:c r="AP32" s="21" t="n">
        <x:f>IF(C32="","",IF(AQ32&lt;&gt;"Ready","Unavailable",IF(C32="","",AH32-U32)))</x:f>
        <x:v>5.5090550270239875</x:v>
      </x:c>
      <x:c r="AQ32" s="23" t="str">
        <x:f>IFERROR(IF(C32="","",IF(AND(INDEX('Facilities'!$AF$9:$AF$108,MATCH(C32,'Facilities'!$C$9:$C$108,0))="Ready",INDEX(Credit!$U$9:$U$108,MATCH(F32,Credit!$C$9:$C$108,0))="Ready",ISNUMBER(W32)),"Ready","Review inputs")),"Review inputs")</x:f>
        <x:v>Ready</x:v>
      </x:c>
      <x:c r="AR32" s="23" t="n">
        <x:f>IF(C32="","",IF(AQ32&lt;&gt;"Ready","Unavailable",IF(C32="","",IF(O32=0,0,(IF(AJ32&lt;=1,O32,O32*INDEX('Facilities'!$R$9:$R$108,MATCH(C32,'Facilities'!$C$9:$C$108,0)))+O32*INDEX('Facilities'!$T$9:$T$108,MATCH(C32,'Facilities'!$C$9:$C$108,0)))/12))))</x:f>
        <x:v>0.10056625000000001</x:v>
      </x:c>
    </x:row>
    <x:row r="33" ht="26" customHeight="1">
      <x:c r="A33" s="1"/>
      <x:c r="B33" s="1"/>
      <x:c r="C33" s="9" t="str">
        <x:f>IF(Facilities!C33="","",Facilities!C33)</x:f>
        <x:v>F025</x:v>
      </x:c>
      <x:c r="D33" s="3" t="n">
        <x:v>1</x:v>
      </x:c>
      <x:c r="E33" s="9" t="n">
        <x:f>Settings!$F$18+0</x:f>
        <x:v>2027</x:v>
      </x:c>
      <x:c r="F33" s="9" t="str">
        <x:f>IF(C33="","",IFERROR(INDEX('Facilities'!$D$9:$D$108,MATCH(C33,'Facilities'!$C$9:$C$108,0)),"Unavailable"))</x:f>
        <x:v>B013</x:v>
      </x:c>
      <x:c r="G33" s="23" t="n">
        <x:f>IF(C33="","",IFERROR(IF(INDEX('Facilities'!$AD$9:$AD$108,MATCH(C33,'Facilities'!$C$9:$C$108,0))=3,0,INDEX('Facilities'!$AA$9:$AA$108,MATCH(C33,'Facilities'!$C$9:$C$108,0))),"Unavailable"))</x:f>
        <x:v>9.2</x:v>
      </x:c>
      <x:c r="H33" s="23" t="n">
        <x:f>IF(C33="","",IFERROR(IF(INDEX('Facilities'!$AD$9:$AD$108,MATCH(C33,'Facilities'!$C$9:$C$108,0))=3,INDEX('Facilities'!$AA$9:$AA$108,MATCH(C33,'Facilities'!$C$9:$C$108,0)),0),"Unavailable"))</x:f>
        <x:v>0</x:v>
      </x:c>
      <x:c r="I33" s="23" t="n">
        <x:f>IF(C33="","",IFERROR(INDEX('Facilities'!$AB$9:$AB$108,MATCH(C33,'Facilities'!$C$9:$C$108,0)),"Unavailable"))</x:f>
        <x:v>1.5</x:v>
      </x:c>
      <x:c r="J33" s="23" t="n">
        <x:f>IF(C33="","",IFERROR(IF(OR(H33&gt;0,AND(AC33&gt;=0,AC33&lt;D33),D33&gt;INDEX('Facilities'!$J$9:$J$108,MATCH(C33,'Facilities'!$C$9:$C$108,0))),0,I33*'Scenario Paths'!F81),"Unavailable"))</x:f>
        <x:v>0.07500000000000001</x:v>
      </x:c>
      <x:c r="K33" s="23" t="n">
        <x:f>IF(C33="","",IFERROR(IF(OR(H33&gt;0,AND(AC33&gt;=0,AC33=D33)),0,IF(D33&gt;=INDEX('Facilities'!$J$9:$J$108,MATCH(C33,'Facilities'!$C$9:$C$108,0)),G33+J33,MIN(G33+J33,G33*INDEX('Facilities'!$R$9:$R$108,MATCH(C33,'Facilities'!$C$9:$C$108,0))))),"Unavailable"))</x:f>
        <x:v>1.1039999999999999</x:v>
      </x:c>
      <x:c r="L33" s="21" t="n">
        <x:f>IF(C33="","",IFERROR(IF(AND(AC33=D33,AC33&gt;0),MAX(0,G33+J33-K33),0),"Unavailable"))</x:f>
        <x:v>0</x:v>
      </x:c>
      <x:c r="M33" s="23" t="n">
        <x:f>IF(C33="","",IFERROR(IF(AND(AC33&gt;=0,D33&gt;=AC33+INDEX('Facilities'!$AK$9:$AK$108,MATCH(C33,'Facilities'!$C$9:$C$108,0))),(H33+L33)*AM33,0),"Unavailable"))</x:f>
        <x:v>0</x:v>
      </x:c>
      <x:c r="N33" s="23" t="n">
        <x:f>IF(C33="","",IFERROR(IF(AND(AC33&gt;=0,D33&gt;=AC33+INDEX('Facilities'!$AK$9:$AK$108,MATCH(C33,'Facilities'!$C$9:$C$108,0))),H33+L33-M33,0),"Unavailable"))</x:f>
        <x:v>0</x:v>
      </x:c>
      <x:c r="O33" s="21" t="n">
        <x:f>IF(C33="","",IFERROR(MAX(0,G33+J33-K33-L33),"Unavailable"))</x:f>
        <x:v>8.171</x:v>
      </x:c>
      <x:c r="P33" s="21" t="n">
        <x:f>IF(C33="","",IFERROR(MAX(0,H33+L33-M33-N33),"Unavailable"))</x:f>
        <x:v>0</x:v>
      </x:c>
      <x:c r="Q33" s="23" t="n">
        <x:f>IF(C33="","",IFERROR(IF(OR(D33&gt;=INDEX('Facilities'!$J$9:$J$108,MATCH(C33,'Facilities'!$C$9:$C$108,0)),AND(AC33&gt;=0,AC33&lt;=D33)),0,MAX(0,I33-J33)),"Unavailable"))</x:f>
        <x:v>1.425</x:v>
      </x:c>
      <x:c r="R33" s="30" t="n">
        <x:f>IF(C33="","",IFERROR(INDEX(Credit!$Q$9:$Q$108,MATCH(F33,Credit!$C$9:$C$108,0)),"Unavailable"))</x:f>
        <x:v>0.015158046129469634</x:v>
      </x:c>
      <x:c r="S33" s="30" t="n">
        <x:f>IF(C33="","",IFERROR(INDEX(Credit!$R$9:$R$108,MATCH(F33,Credit!$C$9:$C$108,0)),"Unavailable"))</x:f>
        <x:v>0.36039424000000003</x:v>
      </x:c>
      <x:c r="T33" s="23" t="n">
        <x:f>IF(C33="","",IFERROR(IF(P33&gt;0,3,IF(OR(INDEX('Facilities'!$AD$9:$AD$108,MATCH(C33,'Facilities'!$C$9:$C$108,0))=2,AND(R33&gt;=INDEX('Facilities'!$L$9:$L$108,MATCH(C33,'Facilities'!$C$9:$C$108,0))*Settings!$F$19,R33-INDEX('Facilities'!$L$9:$L$108,MATCH(C33,'Facilities'!$C$9:$C$108,0))&gt;=Settings!$F$20)),2,1)),"Unavailable"))</x:f>
        <x:v>2</x:v>
      </x:c>
      <x:c r="U33" s="23" t="n">
        <x:f>IF(C33="","",IF(AQ33&lt;&gt;"Ready","Unavailable",IF(C33="","",O33*(1-(1-S33)/(1+INDEX('Facilities'!$K$9:$K$108,MATCH(C33,'Facilities'!$C$9:$C$108,0)))^INDEX('Facilities'!$AK$9:$AK$108,MATCH(C33,'Facilities'!$C$9:$C$108,0)))*R33/(1+INDEX('Facilities'!$K$9:$K$108,MATCH(C33,'Facilities'!$C$9:$C$108,0)))*IF(ABS(1-(1-R33)*(1-INDEX('Facilities'!$R$9:$R$108,MATCH(C33,'Facilities'!$C$9:$C$108,0)))/(1+INDEX('Facilities'!$K$9:$K$108,MATCH(C33,'Facilities'!$C$9:$C$108,0))))&lt;0.000000001,IF(T33=1,MIN(1,AJ33),AJ33),(1-((1-R33)*(1-INDEX('Facilities'!$R$9:$R$108,MATCH(C33,'Facilities'!$C$9:$C$108,0)))/(1+INDEX('Facilities'!$K$9:$K$108,MATCH(C33,'Facilities'!$C$9:$C$108,0))))^IF(T33=1,MIN(1,AJ33),AJ33))/(1-(1-R33)*(1-INDEX('Facilities'!$R$9:$R$108,MATCH(C33,'Facilities'!$C$9:$C$108,0)))/(1+INDEX('Facilities'!$K$9:$K$108,MATCH(C33,'Facilities'!$C$9:$C$108,0)))))+AL33)))</x:f>
        <x:v>0.19218982216981947</x:v>
      </x:c>
      <x:c r="V33" s="23" t="n">
        <x:f>IF(C33="","",IF(AQ33&lt;&gt;"Ready","Unavailable",IF(C33="","",Q33*INDEX('Facilities'!$I$9:$I$108,MATCH(C33,'Facilities'!$C$9:$C$108,0))*(1-(1-S33)/(1+INDEX('Facilities'!$K$9:$K$108,MATCH(C33,'Facilities'!$C$9:$C$108,0)))^INDEX('Facilities'!$AK$9:$AK$108,MATCH(C33,'Facilities'!$C$9:$C$108,0)))*R33/(1+INDEX('Facilities'!$K$9:$K$108,MATCH(C33,'Facilities'!$C$9:$C$108,0)))*IF(ABS(1-(1-R33)*(1-0)/(1+INDEX('Facilities'!$K$9:$K$108,MATCH(C33,'Facilities'!$C$9:$C$108,0))))&lt;0.000000001,IF(T33=1,MIN(1,AJ33),AJ33),(1-((1-R33)*(1-0)/(1+INDEX('Facilities'!$K$9:$K$108,MATCH(C33,'Facilities'!$C$9:$C$108,0))))^IF(T33=1,MIN(1,AJ33),AJ33))/(1-(1-R33)*(1-0)/(1+INDEX('Facilities'!$K$9:$K$108,MATCH(C33,'Facilities'!$C$9:$C$108,0))))))))</x:f>
        <x:v>0.02178612910705008</x:v>
      </x:c>
      <x:c r="W33" s="23" t="n">
        <x:f>IF(C33="","",IFERROR(INDEX(ECL!$AB$9:$AB$108,MATCH(C33,ECL!$C$9:$C$108,0)),"Unavailable"))</x:f>
        <x:v>0.05848909465020576</x:v>
      </x:c>
      <x:c r="X33" s="23" t="n">
        <x:f>IF(C33="","",IFERROR(INDEX(ECL!$AC$9:$AC$108,MATCH(C33,ECL!$C$9:$C$108,0)),"Unavailable"))</x:f>
        <x:v>0.004768132716049383</x:v>
      </x:c>
      <x:c r="Y33" s="21" t="n">
        <x:f>IF(C33="","",IF(AQ33&lt;&gt;"Ready","Unavailable",IF(C33="","",U33-W33+V33-X33+N33+AG33)))</x:f>
        <x:v>0.1507187239106144</x:v>
      </x:c>
      <x:c r="Z33" s="23" t="n">
        <x:f>IF(C33="","",IF(AQ33&lt;&gt;"Ready","Unavailable",IF(C33="","",(G33+O33+L33)/2*INDEX('Facilities'!$T$9:$T$108,MATCH(C33,'Facilities'!$C$9:$C$108,0))+AG33)))</x:f>
        <x:v>0.8251225</x:v>
      </x:c>
      <x:c r="AA33" s="23" t="n">
        <x:f>IF(C33="","",IF(AQ33&lt;&gt;"Ready","Unavailable",IF(C33="","",O33*(1-IF(INDEX('Facilities'!$AA$9:$AA$108,MATCH(C33,'Facilities'!$C$9:$C$108,0))=0,0,MIN(1,INDEX('Facilities'!$X$9:$X$108,MATCH(C33,'Facilities'!$C$9:$C$108,0))/INDEX('Facilities'!$AA$9:$AA$108,MATCH(C33,'Facilities'!$C$9:$C$108,0)))))*AF33+P33*(1-IF(INDEX('Facilities'!$AA$9:$AA$108,MATCH(C33,'Facilities'!$C$9:$C$108,0))=0,0,MIN(1,INDEX('Facilities'!$X$9:$X$108,MATCH(C33,'Facilities'!$C$9:$C$108,0))/INDEX('Facilities'!$AA$9:$AA$108,MATCH(C33,'Facilities'!$C$9:$C$108,0)))))*INDEX('Facilities'!$AJ$9:$AJ$108,MATCH(C33,'Facilities'!$C$9:$C$108,0))+Q33*INDEX('Facilities'!$AI$9:$AI$108,MATCH(C33,'Facilities'!$C$9:$C$108,0))*AF33)))</x:f>
        <x:v>8.989160611199999</x:v>
      </x:c>
      <x:c r="AB33" s="21" t="n">
        <x:f>IF(C33="","",O33+P33-AD33)</x:f>
        <x:v>-1.029</x:v>
      </x:c>
      <x:c r="AC33" s="23" t="n">
        <x:f>IF(C33="","",IFERROR(IF(INDEX('Facilities'!$AD$9:$AD$108,MATCH(C33,'Facilities'!$C$9:$C$108,0))=3,0,IF(INDEX('Facilities'!$AN$9:$AN$108,MATCH(C33,'Facilities'!$C$9:$C$108,0))=0,-1,INDEX('Facilities'!$AN$9:$AN$108,MATCH(C33,'Facilities'!$C$9:$C$108,0)))),"Unavailable"))</x:f>
        <x:v>-1</x:v>
      </x:c>
      <x:c r="AD33" s="21" t="n">
        <x:f>IF(C33="","",IFERROR(G33+H33,"Unavailable"))</x:f>
        <x:v>9.2</x:v>
      </x:c>
      <x:c r="AE33" s="21" t="n">
        <x:f>IF(C33="","",IF(AQ33&lt;&gt;"Ready","Unavailable",IF(C33="","",O33+P33-AD33-J33+K33+M33+N33)))</x:f>
        <x:v>0</x:v>
      </x:c>
      <x:c r="AF33" s="30" t="n">
        <x:f>IF(C33="","",IFERROR(INDEX('Facilities'!$S$9:$S$108,MATCH(C33,'Facilities'!$C$9:$C$108,0))*'Scenario Paths'!F75,"Unavailable"))</x:f>
        <x:v>1.02</x:v>
      </x:c>
      <x:c r="AG33" s="23" t="n">
        <x:f>IF(C33="","",IF(AQ33&lt;&gt;"Ready","Unavailable",IF(C33="","",IF(H33&gt;0,MAX(0,H33-AK33)*((1+INDEX('Facilities'!$K$9:$K$108,MATCH(C33,'Facilities'!$C$9:$C$108,0)))^MIN(1,MAX(0,AC33+INDEX('Facilities'!$AK$9:$AK$108,MATCH(C33,'Facilities'!$C$9:$C$108,0))-D33+1))-1),0))))</x:f>
        <x:v>0</x:v>
      </x:c>
      <x:c r="AH33" s="21" t="n">
        <x:f>IF(C33="","",IF(AQ33&lt;&gt;"Ready","Unavailable",IF(C33="","",O33+P33)))</x:f>
        <x:v>8.171</x:v>
      </x:c>
      <x:c r="AI33" s="21" t="n">
        <x:f>IF(C33="","",IF(AQ33&lt;&gt;"Ready","Unavailable",IF(C33="","",Z33-Y33)))</x:f>
        <x:v>0.6744037760893856</x:v>
      </x:c>
      <x:c r="AJ33" s="23" t="n">
        <x:f>IF(C33="","",IFERROR(MAX(0,INDEX('Facilities'!$J$9:$J$108,MATCH(C33,'Facilities'!$C$9:$C$108,0))-D33),"Unavailable"))</x:f>
        <x:v>6</x:v>
      </x:c>
      <x:c r="AK33" s="23" t="n">
        <x:f>IF(C33="","",IFERROR(IF(INDEX('Facilities'!$AD$9:$AD$108,MATCH(C33,'Facilities'!$C$9:$C$108,0))=3,W33,0),"Unavailable"))</x:f>
        <x:v>0</x:v>
      </x:c>
      <x:c r="AL33" s="23" t="n">
        <x:f>IF(C33="","",IFERROR(IF(P33&gt;0,P33*(1-AM33/(1+INDEX('Facilities'!$K$9:$K$108,MATCH(C33,'Facilities'!$C$9:$C$108,0)))^MAX(0,AC33+INDEX('Facilities'!$AK$9:$AK$108,MATCH(C33,'Facilities'!$C$9:$C$108,0))-D33)),0),"Unavailable"))</x:f>
        <x:v>0</x:v>
      </x:c>
      <x:c r="AM33" s="30" t="n">
        <x:f>IF(C33="","",IFERROR(INDEX('Facilities'!$AL$9:$AL$108,MATCH(C33,'Facilities'!$C$9:$C$108,0)),"Unavailable"))</x:f>
        <x:v>0.55</x:v>
      </x:c>
      <x:c r="AN33" s="30" t="n">
        <x:f>IF(C33="","",IFERROR(INDEX(Credit!$T$9:$T$108,MATCH(F33,Credit!$C$9:$C$108,0)),"Unavailable"))</x:f>
        <x:v>0.000616</x:v>
      </x:c>
      <x:c r="AO33" s="23" t="n">
        <x:f>IF(C33="","",IF(AQ33&lt;&gt;"Ready","Unavailable",IF(C33="","",O33+P33+Q33*INDEX('Facilities'!$I$9:$I$108,MATCH(C33,'Facilities'!$C$9:$C$108,0)))))</x:f>
        <x:v>8.8835</x:v>
      </x:c>
      <x:c r="AP33" s="21" t="n">
        <x:f>IF(C33="","",IF(AQ33&lt;&gt;"Ready","Unavailable",IF(C33="","",AH33-U33)))</x:f>
        <x:v>7.97881017783018</x:v>
      </x:c>
      <x:c r="AQ33" s="23" t="str">
        <x:f>IFERROR(IF(C33="","",IF(AND(INDEX('Facilities'!$AF$9:$AF$108,MATCH(C33,'Facilities'!$C$9:$C$108,0))="Ready",INDEX(Credit!$U$9:$U$108,MATCH(F33,Credit!$C$9:$C$108,0))="Ready",ISNUMBER(W33)),"Ready","Review inputs")),"Review inputs")</x:f>
        <x:v>Ready</x:v>
      </x:c>
      <x:c r="AR33" s="23" t="n">
        <x:f>IF(C33="","",IF(AQ33&lt;&gt;"Ready","Unavailable",IF(C33="","",IF(O33=0,0,(IF(AJ33&lt;=1,O33,O33*INDEX('Facilities'!$R$9:$R$108,MATCH(C33,'Facilities'!$C$9:$C$108,0)))+O33*INDEX('Facilities'!$T$9:$T$108,MATCH(C33,'Facilities'!$C$9:$C$108,0)))/12))))</x:f>
        <x:v>0.14639708333333332</x:v>
      </x:c>
    </x:row>
    <x:row r="34" ht="26" customHeight="1">
      <x:c r="A34" s="1"/>
      <x:c r="B34" s="1"/>
      <x:c r="C34" s="9" t="str">
        <x:f>IF(Facilities!C34="","",Facilities!C34)</x:f>
        <x:v>F026</x:v>
      </x:c>
      <x:c r="D34" s="3" t="n">
        <x:v>1</x:v>
      </x:c>
      <x:c r="E34" s="9" t="n">
        <x:f>Settings!$F$18+0</x:f>
        <x:v>2027</x:v>
      </x:c>
      <x:c r="F34" s="9" t="str">
        <x:f>IF(C34="","",IFERROR(INDEX('Facilities'!$D$9:$D$108,MATCH(C34,'Facilities'!$C$9:$C$108,0)),"Unavailable"))</x:f>
        <x:v>B014</x:v>
      </x:c>
      <x:c r="G34" s="23" t="n">
        <x:f>IF(C34="","",IFERROR(IF(INDEX('Facilities'!$AD$9:$AD$108,MATCH(C34,'Facilities'!$C$9:$C$108,0))=3,0,INDEX('Facilities'!$AA$9:$AA$108,MATCH(C34,'Facilities'!$C$9:$C$108,0))),"Unavailable"))</x:f>
        <x:v>9.55</x:v>
      </x:c>
      <x:c r="H34" s="23" t="n">
        <x:f>IF(C34="","",IFERROR(IF(INDEX('Facilities'!$AD$9:$AD$108,MATCH(C34,'Facilities'!$C$9:$C$108,0))=3,INDEX('Facilities'!$AA$9:$AA$108,MATCH(C34,'Facilities'!$C$9:$C$108,0)),0),"Unavailable"))</x:f>
        <x:v>0</x:v>
      </x:c>
      <x:c r="I34" s="23" t="n">
        <x:f>IF(C34="","",IFERROR(INDEX('Facilities'!$AB$9:$AB$108,MATCH(C34,'Facilities'!$C$9:$C$108,0)),"Unavailable"))</x:f>
        <x:v>1.5</x:v>
      </x:c>
      <x:c r="J34" s="23" t="n">
        <x:f>IF(C34="","",IFERROR(IF(OR(H34&gt;0,AND(AC34&gt;=0,AC34&lt;D34),D34&gt;INDEX('Facilities'!$J$9:$J$108,MATCH(C34,'Facilities'!$C$9:$C$108,0))),0,I34*'Scenario Paths'!F81),"Unavailable"))</x:f>
        <x:v>0.07500000000000001</x:v>
      </x:c>
      <x:c r="K34" s="23" t="n">
        <x:f>IF(C34="","",IFERROR(IF(OR(H34&gt;0,AND(AC34&gt;=0,AC34=D34)),0,IF(D34&gt;=INDEX('Facilities'!$J$9:$J$108,MATCH(C34,'Facilities'!$C$9:$C$108,0)),G34+J34,MIN(G34+J34,G34*INDEX('Facilities'!$R$9:$R$108,MATCH(C34,'Facilities'!$C$9:$C$108,0))))),"Unavailable"))</x:f>
        <x:v>1.1460000000000001</x:v>
      </x:c>
      <x:c r="L34" s="21" t="n">
        <x:f>IF(C34="","",IFERROR(IF(AND(AC34=D34,AC34&gt;0),MAX(0,G34+J34-K34),0),"Unavailable"))</x:f>
        <x:v>0</x:v>
      </x:c>
      <x:c r="M34" s="23" t="n">
        <x:f>IF(C34="","",IFERROR(IF(AND(AC34&gt;=0,D34&gt;=AC34+INDEX('Facilities'!$AK$9:$AK$108,MATCH(C34,'Facilities'!$C$9:$C$108,0))),(H34+L34)*AM34,0),"Unavailable"))</x:f>
        <x:v>0</x:v>
      </x:c>
      <x:c r="N34" s="23" t="n">
        <x:f>IF(C34="","",IFERROR(IF(AND(AC34&gt;=0,D34&gt;=AC34+INDEX('Facilities'!$AK$9:$AK$108,MATCH(C34,'Facilities'!$C$9:$C$108,0))),H34+L34-M34,0),"Unavailable"))</x:f>
        <x:v>0</x:v>
      </x:c>
      <x:c r="O34" s="21" t="n">
        <x:f>IF(C34="","",IFERROR(MAX(0,G34+J34-K34-L34),"Unavailable"))</x:f>
        <x:v>8.479</x:v>
      </x:c>
      <x:c r="P34" s="21" t="n">
        <x:f>IF(C34="","",IFERROR(MAX(0,H34+L34-M34-N34),"Unavailable"))</x:f>
        <x:v>0</x:v>
      </x:c>
      <x:c r="Q34" s="23" t="n">
        <x:f>IF(C34="","",IFERROR(IF(OR(D34&gt;=INDEX('Facilities'!$J$9:$J$108,MATCH(C34,'Facilities'!$C$9:$C$108,0)),AND(AC34&gt;=0,AC34&lt;=D34)),0,MAX(0,I34-J34)),"Unavailable"))</x:f>
        <x:v>1.425</x:v>
      </x:c>
      <x:c r="R34" s="30" t="n">
        <x:f>IF(C34="","",IFERROR(INDEX(Credit!$Q$9:$Q$108,MATCH(F34,Credit!$C$9:$C$108,0)),"Unavailable"))</x:f>
        <x:v>0.018426734381105012</x:v>
      </x:c>
      <x:c r="S34" s="30" t="n">
        <x:f>IF(C34="","",IFERROR(INDEX(Credit!$R$9:$R$108,MATCH(F34,Credit!$C$9:$C$108,0)),"Unavailable"))</x:f>
        <x:v>0.40067200000000003</x:v>
      </x:c>
      <x:c r="T34" s="23" t="n">
        <x:f>IF(C34="","",IFERROR(IF(P34&gt;0,3,IF(OR(INDEX('Facilities'!$AD$9:$AD$108,MATCH(C34,'Facilities'!$C$9:$C$108,0))=2,AND(R34&gt;=INDEX('Facilities'!$L$9:$L$108,MATCH(C34,'Facilities'!$C$9:$C$108,0))*Settings!$F$19,R34-INDEX('Facilities'!$L$9:$L$108,MATCH(C34,'Facilities'!$C$9:$C$108,0))&gt;=Settings!$F$20)),2,1)),"Unavailable"))</x:f>
        <x:v>1</x:v>
      </x:c>
      <x:c r="U34" s="23" t="n">
        <x:f>IF(C34="","",IF(AQ34&lt;&gt;"Ready","Unavailable",IF(C34="","",O34*(1-(1-S34)/(1+INDEX('Facilities'!$K$9:$K$108,MATCH(C34,'Facilities'!$C$9:$C$108,0)))^INDEX('Facilities'!$AK$9:$AK$108,MATCH(C34,'Facilities'!$C$9:$C$108,0)))*R34/(1+INDEX('Facilities'!$K$9:$K$108,MATCH(C34,'Facilities'!$C$9:$C$108,0)))*IF(ABS(1-(1-R34)*(1-INDEX('Facilities'!$R$9:$R$108,MATCH(C34,'Facilities'!$C$9:$C$108,0)))/(1+INDEX('Facilities'!$K$9:$K$108,MATCH(C34,'Facilities'!$C$9:$C$108,0))))&lt;0.000000001,IF(T34=1,MIN(1,AJ34),AJ34),(1-((1-R34)*(1-INDEX('Facilities'!$R$9:$R$108,MATCH(C34,'Facilities'!$C$9:$C$108,0)))/(1+INDEX('Facilities'!$K$9:$K$108,MATCH(C34,'Facilities'!$C$9:$C$108,0))))^IF(T34=1,MIN(1,AJ34),AJ34))/(1-(1-R34)*(1-INDEX('Facilities'!$R$9:$R$108,MATCH(C34,'Facilities'!$C$9:$C$108,0)))/(1+INDEX('Facilities'!$K$9:$K$108,MATCH(C34,'Facilities'!$C$9:$C$108,0)))))+AL34)))</x:f>
        <x:v>0.07033313052799263</x:v>
      </x:c>
      <x:c r="V34" s="23" t="n">
        <x:f>IF(C34="","",IF(AQ34&lt;&gt;"Ready","Unavailable",IF(C34="","",Q34*INDEX('Facilities'!$I$9:$I$108,MATCH(C34,'Facilities'!$C$9:$C$108,0))*(1-(1-S34)/(1+INDEX('Facilities'!$K$9:$K$108,MATCH(C34,'Facilities'!$C$9:$C$108,0)))^INDEX('Facilities'!$AK$9:$AK$108,MATCH(C34,'Facilities'!$C$9:$C$108,0)))*R34/(1+INDEX('Facilities'!$K$9:$K$108,MATCH(C34,'Facilities'!$C$9:$C$108,0)))*IF(ABS(1-(1-R34)*(1-0)/(1+INDEX('Facilities'!$K$9:$K$108,MATCH(C34,'Facilities'!$C$9:$C$108,0))))&lt;0.000000001,IF(T34=1,MIN(1,AJ34),AJ34),(1-((1-R34)*(1-0)/(1+INDEX('Facilities'!$K$9:$K$108,MATCH(C34,'Facilities'!$C$9:$C$108,0))))^IF(T34=1,MIN(1,AJ34),AJ34))/(1-(1-R34)*(1-0)/(1+INDEX('Facilities'!$K$9:$K$108,MATCH(C34,'Facilities'!$C$9:$C$108,0))))))))</x:f>
        <x:v>0.005910172838919064</x:v>
      </x:c>
      <x:c r="W34" s="23" t="n">
        <x:f>IF(C34="","",IFERROR(INDEX(ECL!$AB$9:$AB$108,MATCH(C34,ECL!$C$9:$C$108,0)),"Unavailable"))</x:f>
        <x:v>0.0981249399862826</x:v>
      </x:c>
      <x:c r="X34" s="23" t="n">
        <x:f>IF(C34="","",IFERROR(INDEX(ECL!$AC$9:$AC$108,MATCH(C34,ECL!$C$9:$C$108,0)),"Unavailable"))</x:f>
        <x:v>0.0077061471193415635</x:v>
      </x:c>
      <x:c r="Y34" s="21" t="n">
        <x:f>IF(C34="","",IF(AQ34&lt;&gt;"Ready","Unavailable",IF(C34="","",U34-W34+V34-X34+N34+AG34)))</x:f>
        <x:v>-0.029587783738712476</x:v>
      </x:c>
      <x:c r="Z34" s="23" t="n">
        <x:f>IF(C34="","",IF(AQ34&lt;&gt;"Ready","Unavailable",IF(C34="","",(G34+O34+L34)/2*INDEX('Facilities'!$T$9:$T$108,MATCH(C34,'Facilities'!$C$9:$C$108,0))+AG34)))</x:f>
        <x:v>0.8563775</x:v>
      </x:c>
      <x:c r="AA34" s="23" t="n">
        <x:f>IF(C34="","",IF(AQ34&lt;&gt;"Ready","Unavailable",IF(C34="","",O34*(1-IF(INDEX('Facilities'!$AA$9:$AA$108,MATCH(C34,'Facilities'!$C$9:$C$108,0))=0,0,MIN(1,INDEX('Facilities'!$X$9:$X$108,MATCH(C34,'Facilities'!$C$9:$C$108,0))/INDEX('Facilities'!$AA$9:$AA$108,MATCH(C34,'Facilities'!$C$9:$C$108,0)))))*AF34+P34*(1-IF(INDEX('Facilities'!$AA$9:$AA$108,MATCH(C34,'Facilities'!$C$9:$C$108,0))=0,0,MIN(1,INDEX('Facilities'!$X$9:$X$108,MATCH(C34,'Facilities'!$C$9:$C$108,0))/INDEX('Facilities'!$AA$9:$AA$108,MATCH(C34,'Facilities'!$C$9:$C$108,0)))))*INDEX('Facilities'!$AJ$9:$AJ$108,MATCH(C34,'Facilities'!$C$9:$C$108,0))+Q34*INDEX('Facilities'!$AI$9:$AI$108,MATCH(C34,'Facilities'!$C$9:$C$108,0))*AF34)))</x:f>
        <x:v>9.250790448</x:v>
      </x:c>
      <x:c r="AB34" s="21" t="n">
        <x:f>IF(C34="","",O34+P34-AD34)</x:f>
        <x:v>-1.0710000000000015</x:v>
      </x:c>
      <x:c r="AC34" s="23" t="n">
        <x:f>IF(C34="","",IFERROR(IF(INDEX('Facilities'!$AD$9:$AD$108,MATCH(C34,'Facilities'!$C$9:$C$108,0))=3,0,IF(INDEX('Facilities'!$AN$9:$AN$108,MATCH(C34,'Facilities'!$C$9:$C$108,0))=0,-1,INDEX('Facilities'!$AN$9:$AN$108,MATCH(C34,'Facilities'!$C$9:$C$108,0)))),"Unavailable"))</x:f>
        <x:v>-1</x:v>
      </x:c>
      <x:c r="AD34" s="21" t="n">
        <x:f>IF(C34="","",IFERROR(G34+H34,"Unavailable"))</x:f>
        <x:v>9.55</x:v>
      </x:c>
      <x:c r="AE34" s="21" t="n">
        <x:f>IF(C34="","",IF(AQ34&lt;&gt;"Ready","Unavailable",IF(C34="","",O34+P34-AD34-J34+K34+M34+N34)))</x:f>
        <x:v>-1.3322676295501878e-15</x:v>
      </x:c>
      <x:c r="AF34" s="30" t="n">
        <x:f>IF(C34="","",IFERROR(INDEX('Facilities'!$S$9:$S$108,MATCH(C34,'Facilities'!$C$9:$C$108,0))*'Scenario Paths'!F75,"Unavailable"))</x:f>
        <x:v>1.02</x:v>
      </x:c>
      <x:c r="AG34" s="23" t="n">
        <x:f>IF(C34="","",IF(AQ34&lt;&gt;"Ready","Unavailable",IF(C34="","",IF(H34&gt;0,MAX(0,H34-AK34)*((1+INDEX('Facilities'!$K$9:$K$108,MATCH(C34,'Facilities'!$C$9:$C$108,0)))^MIN(1,MAX(0,AC34+INDEX('Facilities'!$AK$9:$AK$108,MATCH(C34,'Facilities'!$C$9:$C$108,0))-D34+1))-1),0))))</x:f>
        <x:v>0</x:v>
      </x:c>
      <x:c r="AH34" s="21" t="n">
        <x:f>IF(C34="","",IF(AQ34&lt;&gt;"Ready","Unavailable",IF(C34="","",O34+P34)))</x:f>
        <x:v>8.479</x:v>
      </x:c>
      <x:c r="AI34" s="21" t="n">
        <x:f>IF(C34="","",IF(AQ34&lt;&gt;"Ready","Unavailable",IF(C34="","",Z34-Y34)))</x:f>
        <x:v>0.8859652837387125</x:v>
      </x:c>
      <x:c r="AJ34" s="23" t="n">
        <x:f>IF(C34="","",IFERROR(MAX(0,INDEX('Facilities'!$J$9:$J$108,MATCH(C34,'Facilities'!$C$9:$C$108,0))-D34),"Unavailable"))</x:f>
        <x:v>7</x:v>
      </x:c>
      <x:c r="AK34" s="23" t="n">
        <x:f>IF(C34="","",IFERROR(IF(INDEX('Facilities'!$AD$9:$AD$108,MATCH(C34,'Facilities'!$C$9:$C$108,0))=3,W34,0),"Unavailable"))</x:f>
        <x:v>0</x:v>
      </x:c>
      <x:c r="AL34" s="23" t="n">
        <x:f>IF(C34="","",IFERROR(IF(P34&gt;0,P34*(1-AM34/(1+INDEX('Facilities'!$K$9:$K$108,MATCH(C34,'Facilities'!$C$9:$C$108,0)))^MAX(0,AC34+INDEX('Facilities'!$AK$9:$AK$108,MATCH(C34,'Facilities'!$C$9:$C$108,0))-D34)),0),"Unavailable"))</x:f>
        <x:v>0</x:v>
      </x:c>
      <x:c r="AM34" s="30" t="n">
        <x:f>IF(C34="","",IFERROR(INDEX('Facilities'!$AL$9:$AL$108,MATCH(C34,'Facilities'!$C$9:$C$108,0)),"Unavailable"))</x:f>
        <x:v>0.55</x:v>
      </x:c>
      <x:c r="AN34" s="30" t="n">
        <x:f>IF(C34="","",IFERROR(INDEX(Credit!$T$9:$T$108,MATCH(F34,Credit!$C$9:$C$108,0)),"Unavailable"))</x:f>
        <x:v>0.0011200000000000001</x:v>
      </x:c>
      <x:c r="AO34" s="23" t="n">
        <x:f>IF(C34="","",IF(AQ34&lt;&gt;"Ready","Unavailable",IF(C34="","",O34+P34+Q34*INDEX('Facilities'!$I$9:$I$108,MATCH(C34,'Facilities'!$C$9:$C$108,0)))))</x:f>
        <x:v>9.1915</x:v>
      </x:c>
      <x:c r="AP34" s="21" t="n">
        <x:f>IF(C34="","",IF(AQ34&lt;&gt;"Ready","Unavailable",IF(C34="","",AH34-U34)))</x:f>
        <x:v>8.408666869472006</x:v>
      </x:c>
      <x:c r="AQ34" s="23" t="str">
        <x:f>IFERROR(IF(C34="","",IF(AND(INDEX('Facilities'!$AF$9:$AF$108,MATCH(C34,'Facilities'!$C$9:$C$108,0))="Ready",INDEX(Credit!$U$9:$U$108,MATCH(F34,Credit!$C$9:$C$108,0))="Ready",ISNUMBER(W34)),"Ready","Review inputs")),"Review inputs")</x:f>
        <x:v>Ready</x:v>
      </x:c>
      <x:c r="AR34" s="23" t="n">
        <x:f>IF(C34="","",IF(AQ34&lt;&gt;"Ready","Unavailable",IF(C34="","",IF(O34=0,0,(IF(AJ34&lt;=1,O34,O34*INDEX('Facilities'!$R$9:$R$108,MATCH(C34,'Facilities'!$C$9:$C$108,0)))+O34*INDEX('Facilities'!$T$9:$T$108,MATCH(C34,'Facilities'!$C$9:$C$108,0)))/12))))</x:f>
        <x:v>0.15191541666666666</x:v>
      </x:c>
    </x:row>
    <x:row r="35" ht="26" customHeight="1">
      <x:c r="A35" s="1"/>
      <x:c r="B35" s="1"/>
      <x:c r="C35" s="9" t="str">
        <x:f>IF(Facilities!C35="","",Facilities!C35)</x:f>
        <x:v>F027</x:v>
      </x:c>
      <x:c r="D35" s="3" t="n">
        <x:v>1</x:v>
      </x:c>
      <x:c r="E35" s="9" t="n">
        <x:f>Settings!$F$18+0</x:f>
        <x:v>2027</x:v>
      </x:c>
      <x:c r="F35" s="9" t="str">
        <x:f>IF(C35="","",IFERROR(INDEX('Facilities'!$D$9:$D$108,MATCH(C35,'Facilities'!$C$9:$C$108,0)),"Unavailable"))</x:f>
        <x:v>B015</x:v>
      </x:c>
      <x:c r="G35" s="23" t="n">
        <x:f>IF(C35="","",IFERROR(IF(INDEX('Facilities'!$AD$9:$AD$108,MATCH(C35,'Facilities'!$C$9:$C$108,0))=3,0,INDEX('Facilities'!$AA$9:$AA$108,MATCH(C35,'Facilities'!$C$9:$C$108,0))),"Unavailable"))</x:f>
        <x:v>9.899999999999999</x:v>
      </x:c>
      <x:c r="H35" s="23" t="n">
        <x:f>IF(C35="","",IFERROR(IF(INDEX('Facilities'!$AD$9:$AD$108,MATCH(C35,'Facilities'!$C$9:$C$108,0))=3,INDEX('Facilities'!$AA$9:$AA$108,MATCH(C35,'Facilities'!$C$9:$C$108,0)),0),"Unavailable"))</x:f>
        <x:v>0</x:v>
      </x:c>
      <x:c r="I35" s="23" t="n">
        <x:f>IF(C35="","",IFERROR(INDEX('Facilities'!$AB$9:$AB$108,MATCH(C35,'Facilities'!$C$9:$C$108,0)),"Unavailable"))</x:f>
        <x:v>1.5</x:v>
      </x:c>
      <x:c r="J35" s="23" t="n">
        <x:f>IF(C35="","",IFERROR(IF(OR(H35&gt;0,AND(AC35&gt;=0,AC35&lt;D35),D35&gt;INDEX('Facilities'!$J$9:$J$108,MATCH(C35,'Facilities'!$C$9:$C$108,0))),0,I35*'Scenario Paths'!F81),"Unavailable"))</x:f>
        <x:v>0.07500000000000001</x:v>
      </x:c>
      <x:c r="K35" s="23" t="n">
        <x:f>IF(C35="","",IFERROR(IF(OR(H35&gt;0,AND(AC35&gt;=0,AC35=D35)),0,IF(D35&gt;=INDEX('Facilities'!$J$9:$J$108,MATCH(C35,'Facilities'!$C$9:$C$108,0)),G35+J35,MIN(G35+J35,G35*INDEX('Facilities'!$R$9:$R$108,MATCH(C35,'Facilities'!$C$9:$C$108,0))))),"Unavailable"))</x:f>
        <x:v>1.1879999999999997</x:v>
      </x:c>
      <x:c r="L35" s="21" t="n">
        <x:f>IF(C35="","",IFERROR(IF(AND(AC35=D35,AC35&gt;0),MAX(0,G35+J35-K35),0),"Unavailable"))</x:f>
        <x:v>0</x:v>
      </x:c>
      <x:c r="M35" s="23" t="n">
        <x:f>IF(C35="","",IFERROR(IF(AND(AC35&gt;=0,D35&gt;=AC35+INDEX('Facilities'!$AK$9:$AK$108,MATCH(C35,'Facilities'!$C$9:$C$108,0))),(H35+L35)*AM35,0),"Unavailable"))</x:f>
        <x:v>0</x:v>
      </x:c>
      <x:c r="N35" s="23" t="n">
        <x:f>IF(C35="","",IFERROR(IF(AND(AC35&gt;=0,D35&gt;=AC35+INDEX('Facilities'!$AK$9:$AK$108,MATCH(C35,'Facilities'!$C$9:$C$108,0))),H35+L35-M35,0),"Unavailable"))</x:f>
        <x:v>0</x:v>
      </x:c>
      <x:c r="O35" s="21" t="n">
        <x:f>IF(C35="","",IFERROR(MAX(0,G35+J35-K35-L35),"Unavailable"))</x:f>
        <x:v>8.786999999999999</x:v>
      </x:c>
      <x:c r="P35" s="21" t="n">
        <x:f>IF(C35="","",IFERROR(MAX(0,H35+L35-M35-N35),"Unavailable"))</x:f>
        <x:v>0</x:v>
      </x:c>
      <x:c r="Q35" s="23" t="n">
        <x:f>IF(C35="","",IFERROR(IF(OR(D35&gt;=INDEX('Facilities'!$J$9:$J$108,MATCH(C35,'Facilities'!$C$9:$C$108,0)),AND(AC35&gt;=0,AC35&lt;=D35)),0,MAX(0,I35-J35)),"Unavailable"))</x:f>
        <x:v>1.425</x:v>
      </x:c>
      <x:c r="R35" s="30" t="n">
        <x:f>IF(C35="","",IFERROR(INDEX(Credit!$Q$9:$Q$108,MATCH(F35,Credit!$C$9:$C$108,0)),"Unavailable"))</x:f>
        <x:v>0.02760671794745458</x:v>
      </x:c>
      <x:c r="S35" s="30" t="n">
        <x:f>IF(C35="","",IFERROR(INDEX(Credit!$R$9:$R$108,MATCH(F35,Credit!$C$9:$C$108,0)),"Unavailable"))</x:f>
        <x:v>0.44099008000000006</x:v>
      </x:c>
      <x:c r="T35" s="23" t="n">
        <x:f>IF(C35="","",IFERROR(IF(P35&gt;0,3,IF(OR(INDEX('Facilities'!$AD$9:$AD$108,MATCH(C35,'Facilities'!$C$9:$C$108,0))=2,AND(R35&gt;=INDEX('Facilities'!$L$9:$L$108,MATCH(C35,'Facilities'!$C$9:$C$108,0))*Settings!$F$19,R35-INDEX('Facilities'!$L$9:$L$108,MATCH(C35,'Facilities'!$C$9:$C$108,0))&gt;=Settings!$F$20)),2,1)),"Unavailable"))</x:f>
        <x:v>1</x:v>
      </x:c>
      <x:c r="U35" s="23" t="n">
        <x:f>IF(C35="","",IF(AQ35&lt;&gt;"Ready","Unavailable",IF(C35="","",O35*(1-(1-S35)/(1+INDEX('Facilities'!$K$9:$K$108,MATCH(C35,'Facilities'!$C$9:$C$108,0)))^INDEX('Facilities'!$AK$9:$AK$108,MATCH(C35,'Facilities'!$C$9:$C$108,0)))*R35/(1+INDEX('Facilities'!$K$9:$K$108,MATCH(C35,'Facilities'!$C$9:$C$108,0)))*IF(ABS(1-(1-R35)*(1-INDEX('Facilities'!$R$9:$R$108,MATCH(C35,'Facilities'!$C$9:$C$108,0)))/(1+INDEX('Facilities'!$K$9:$K$108,MATCH(C35,'Facilities'!$C$9:$C$108,0))))&lt;0.000000001,IF(T35=1,MIN(1,AJ35),AJ35),(1-((1-R35)*(1-INDEX('Facilities'!$R$9:$R$108,MATCH(C35,'Facilities'!$C$9:$C$108,0)))/(1+INDEX('Facilities'!$K$9:$K$108,MATCH(C35,'Facilities'!$C$9:$C$108,0))))^IF(T35=1,MIN(1,AJ35),AJ35))/(1-(1-R35)*(1-INDEX('Facilities'!$R$9:$R$108,MATCH(C35,'Facilities'!$C$9:$C$108,0)))/(1+INDEX('Facilities'!$K$9:$K$108,MATCH(C35,'Facilities'!$C$9:$C$108,0)))))+AL35)))</x:f>
        <x:v>0.1169638978378821</x:v>
      </x:c>
      <x:c r="V35" s="23" t="n">
        <x:f>IF(C35="","",IF(AQ35&lt;&gt;"Ready","Unavailable",IF(C35="","",Q35*INDEX('Facilities'!$I$9:$I$108,MATCH(C35,'Facilities'!$C$9:$C$108,0))*(1-(1-S35)/(1+INDEX('Facilities'!$K$9:$K$108,MATCH(C35,'Facilities'!$C$9:$C$108,0)))^INDEX('Facilities'!$AK$9:$AK$108,MATCH(C35,'Facilities'!$C$9:$C$108,0)))*R35/(1+INDEX('Facilities'!$K$9:$K$108,MATCH(C35,'Facilities'!$C$9:$C$108,0)))*IF(ABS(1-(1-R35)*(1-0)/(1+INDEX('Facilities'!$K$9:$K$108,MATCH(C35,'Facilities'!$C$9:$C$108,0))))&lt;0.000000001,IF(T35=1,MIN(1,AJ35),AJ35),(1-((1-R35)*(1-0)/(1+INDEX('Facilities'!$K$9:$K$108,MATCH(C35,'Facilities'!$C$9:$C$108,0))))^IF(T35=1,MIN(1,AJ35),AJ35))/(1-(1-R35)*(1-0)/(1+INDEX('Facilities'!$K$9:$K$108,MATCH(C35,'Facilities'!$C$9:$C$108,0))))))))</x:f>
        <x:v>0.009484098919937522</x:v>
      </x:c>
      <x:c r="W35" s="23" t="n">
        <x:f>IF(C35="","",IFERROR(INDEX(ECL!$AB$9:$AB$108,MATCH(C35,ECL!$C$9:$C$108,0)),"Unavailable"))</x:f>
        <x:v>0.14537767489711934</x:v>
      </x:c>
      <x:c r="X35" s="23" t="n">
        <x:f>IF(C35="","",IFERROR(INDEX(ECL!$AC$9:$AC$108,MATCH(C35,ECL!$C$9:$C$108,0)),"Unavailable"))</x:f>
        <x:v>0.011013460219478738</x:v>
      </x:c>
      <x:c r="Y35" s="21" t="n">
        <x:f>IF(C35="","",IF(AQ35&lt;&gt;"Ready","Unavailable",IF(C35="","",U35-W35+V35-X35+N35+AG35)))</x:f>
        <x:v>-0.02994313835877846</x:v>
      </x:c>
      <x:c r="Z35" s="23" t="n">
        <x:f>IF(C35="","",IF(AQ35&lt;&gt;"Ready","Unavailable",IF(C35="","",(G35+O35+L35)/2*INDEX('Facilities'!$T$9:$T$108,MATCH(C35,'Facilities'!$C$9:$C$108,0))+AG35)))</x:f>
        <x:v>0.8876324999999999</x:v>
      </x:c>
      <x:c r="AA35" s="23" t="n">
        <x:f>IF(C35="","",IF(AQ35&lt;&gt;"Ready","Unavailable",IF(C35="","",O35*(1-IF(INDEX('Facilities'!$AA$9:$AA$108,MATCH(C35,'Facilities'!$C$9:$C$108,0))=0,0,MIN(1,INDEX('Facilities'!$X$9:$X$108,MATCH(C35,'Facilities'!$C$9:$C$108,0))/INDEX('Facilities'!$AA$9:$AA$108,MATCH(C35,'Facilities'!$C$9:$C$108,0)))))*AF35+P35*(1-IF(INDEX('Facilities'!$AA$9:$AA$108,MATCH(C35,'Facilities'!$C$9:$C$108,0))=0,0,MIN(1,INDEX('Facilities'!$X$9:$X$108,MATCH(C35,'Facilities'!$C$9:$C$108,0))/INDEX('Facilities'!$AA$9:$AA$108,MATCH(C35,'Facilities'!$C$9:$C$108,0)))))*INDEX('Facilities'!$AJ$9:$AJ$108,MATCH(C35,'Facilities'!$C$9:$C$108,0))+Q35*INDEX('Facilities'!$AI$9:$AI$108,MATCH(C35,'Facilities'!$C$9:$C$108,0))*AF35)))</x:f>
        <x:v>9.500196931199998</x:v>
      </x:c>
      <x:c r="AB35" s="21" t="n">
        <x:f>IF(C35="","",O35+P35-AD35)</x:f>
        <x:v>-1.1129999999999995</x:v>
      </x:c>
      <x:c r="AC35" s="23" t="n">
        <x:f>IF(C35="","",IFERROR(IF(INDEX('Facilities'!$AD$9:$AD$108,MATCH(C35,'Facilities'!$C$9:$C$108,0))=3,0,IF(INDEX('Facilities'!$AN$9:$AN$108,MATCH(C35,'Facilities'!$C$9:$C$108,0))=0,-1,INDEX('Facilities'!$AN$9:$AN$108,MATCH(C35,'Facilities'!$C$9:$C$108,0)))),"Unavailable"))</x:f>
        <x:v>-1</x:v>
      </x:c>
      <x:c r="AD35" s="21" t="n">
        <x:f>IF(C35="","",IFERROR(G35+H35,"Unavailable"))</x:f>
        <x:v>9.899999999999999</x:v>
      </x:c>
      <x:c r="AE35" s="21" t="n">
        <x:f>IF(C35="","",IF(AQ35&lt;&gt;"Ready","Unavailable",IF(C35="","",O35+P35-AD35-J35+K35+M35+N35)))</x:f>
        <x:v>2.220446049250313e-16</x:v>
      </x:c>
      <x:c r="AF35" s="30" t="n">
        <x:f>IF(C35="","",IFERROR(INDEX('Facilities'!$S$9:$S$108,MATCH(C35,'Facilities'!$C$9:$C$108,0))*'Scenario Paths'!F75,"Unavailable"))</x:f>
        <x:v>1.02</x:v>
      </x:c>
      <x:c r="AG35" s="23" t="n">
        <x:f>IF(C35="","",IF(AQ35&lt;&gt;"Ready","Unavailable",IF(C35="","",IF(H35&gt;0,MAX(0,H35-AK35)*((1+INDEX('Facilities'!$K$9:$K$108,MATCH(C35,'Facilities'!$C$9:$C$108,0)))^MIN(1,MAX(0,AC35+INDEX('Facilities'!$AK$9:$AK$108,MATCH(C35,'Facilities'!$C$9:$C$108,0))-D35+1))-1),0))))</x:f>
        <x:v>0</x:v>
      </x:c>
      <x:c r="AH35" s="21" t="n">
        <x:f>IF(C35="","",IF(AQ35&lt;&gt;"Ready","Unavailable",IF(C35="","",O35+P35)))</x:f>
        <x:v>8.786999999999999</x:v>
      </x:c>
      <x:c r="AI35" s="21" t="n">
        <x:f>IF(C35="","",IF(AQ35&lt;&gt;"Ready","Unavailable",IF(C35="","",Z35-Y35)))</x:f>
        <x:v>0.9175756383587784</x:v>
      </x:c>
      <x:c r="AJ35" s="23" t="n">
        <x:f>IF(C35="","",IFERROR(MAX(0,INDEX('Facilities'!$J$9:$J$108,MATCH(C35,'Facilities'!$C$9:$C$108,0))-D35),"Unavailable"))</x:f>
        <x:v>11</x:v>
      </x:c>
      <x:c r="AK35" s="23" t="n">
        <x:f>IF(C35="","",IFERROR(IF(INDEX('Facilities'!$AD$9:$AD$108,MATCH(C35,'Facilities'!$C$9:$C$108,0))=3,W35,0),"Unavailable"))</x:f>
        <x:v>0</x:v>
      </x:c>
      <x:c r="AL35" s="23" t="n">
        <x:f>IF(C35="","",IFERROR(IF(P35&gt;0,P35*(1-AM35/(1+INDEX('Facilities'!$K$9:$K$108,MATCH(C35,'Facilities'!$C$9:$C$108,0)))^MAX(0,AC35+INDEX('Facilities'!$AK$9:$AK$108,MATCH(C35,'Facilities'!$C$9:$C$108,0))-D35)),0),"Unavailable"))</x:f>
        <x:v>0</x:v>
      </x:c>
      <x:c r="AM35" s="30" t="n">
        <x:f>IF(C35="","",IFERROR(INDEX('Facilities'!$AL$9:$AL$108,MATCH(C35,'Facilities'!$C$9:$C$108,0)),"Unavailable"))</x:f>
        <x:v>0.55</x:v>
      </x:c>
      <x:c r="AN35" s="30" t="n">
        <x:f>IF(C35="","",IFERROR(INDEX(Credit!$T$9:$T$108,MATCH(F35,Credit!$C$9:$C$108,0)),"Unavailable"))</x:f>
        <x:v>0.0017679999999999996</x:v>
      </x:c>
      <x:c r="AO35" s="23" t="n">
        <x:f>IF(C35="","",IF(AQ35&lt;&gt;"Ready","Unavailable",IF(C35="","",O35+P35+Q35*INDEX('Facilities'!$I$9:$I$108,MATCH(C35,'Facilities'!$C$9:$C$108,0)))))</x:f>
        <x:v>9.4995</x:v>
      </x:c>
      <x:c r="AP35" s="21" t="n">
        <x:f>IF(C35="","",IF(AQ35&lt;&gt;"Ready","Unavailable",IF(C35="","",AH35-U35)))</x:f>
        <x:v>8.670036102162117</x:v>
      </x:c>
      <x:c r="AQ35" s="23" t="str">
        <x:f>IFERROR(IF(C35="","",IF(AND(INDEX('Facilities'!$AF$9:$AF$108,MATCH(C35,'Facilities'!$C$9:$C$108,0))="Ready",INDEX(Credit!$U$9:$U$108,MATCH(F35,Credit!$C$9:$C$108,0))="Ready",ISNUMBER(W35)),"Ready","Review inputs")),"Review inputs")</x:f>
        <x:v>Ready</x:v>
      </x:c>
      <x:c r="AR35" s="23" t="n">
        <x:f>IF(C35="","",IF(AQ35&lt;&gt;"Ready","Unavailable",IF(C35="","",IF(O35=0,0,(IF(AJ35&lt;=1,O35,O35*INDEX('Facilities'!$R$9:$R$108,MATCH(C35,'Facilities'!$C$9:$C$108,0)))+O35*INDEX('Facilities'!$T$9:$T$108,MATCH(C35,'Facilities'!$C$9:$C$108,0)))/12))))</x:f>
        <x:v>0.15743374999999996</x:v>
      </x:c>
    </x:row>
    <x:row r="36" ht="26" customHeight="1">
      <x:c r="A36" s="1"/>
      <x:c r="B36" s="1"/>
      <x:c r="C36" s="9" t="str">
        <x:f>IF(Facilities!C36="","",Facilities!C36)</x:f>
        <x:v>F028</x:v>
      </x:c>
      <x:c r="D36" s="3" t="n">
        <x:v>1</x:v>
      </x:c>
      <x:c r="E36" s="9" t="n">
        <x:f>Settings!$F$18+0</x:f>
        <x:v>2027</x:v>
      </x:c>
      <x:c r="F36" s="9" t="str">
        <x:f>IF(C36="","",IFERROR(INDEX('Facilities'!$D$9:$D$108,MATCH(C36,'Facilities'!$C$9:$C$108,0)),"Unavailable"))</x:f>
        <x:v>B016</x:v>
      </x:c>
      <x:c r="G36" s="23" t="n">
        <x:f>IF(C36="","",IFERROR(IF(INDEX('Facilities'!$AD$9:$AD$108,MATCH(C36,'Facilities'!$C$9:$C$108,0))=3,0,INDEX('Facilities'!$AA$9:$AA$108,MATCH(C36,'Facilities'!$C$9:$C$108,0))),"Unavailable"))</x:f>
        <x:v>10.25</x:v>
      </x:c>
      <x:c r="H36" s="23" t="n">
        <x:f>IF(C36="","",IFERROR(IF(INDEX('Facilities'!$AD$9:$AD$108,MATCH(C36,'Facilities'!$C$9:$C$108,0))=3,INDEX('Facilities'!$AA$9:$AA$108,MATCH(C36,'Facilities'!$C$9:$C$108,0)),0),"Unavailable"))</x:f>
        <x:v>0</x:v>
      </x:c>
      <x:c r="I36" s="23" t="n">
        <x:f>IF(C36="","",IFERROR(INDEX('Facilities'!$AB$9:$AB$108,MATCH(C36,'Facilities'!$C$9:$C$108,0)),"Unavailable"))</x:f>
        <x:v>1.5</x:v>
      </x:c>
      <x:c r="J36" s="23" t="n">
        <x:f>IF(C36="","",IFERROR(IF(OR(H36&gt;0,AND(AC36&gt;=0,AC36&lt;D36),D36&gt;INDEX('Facilities'!$J$9:$J$108,MATCH(C36,'Facilities'!$C$9:$C$108,0))),0,I36*'Scenario Paths'!F81),"Unavailable"))</x:f>
        <x:v>0.07500000000000001</x:v>
      </x:c>
      <x:c r="K36" s="23" t="n">
        <x:f>IF(C36="","",IFERROR(IF(OR(H36&gt;0,AND(AC36&gt;=0,AC36=D36)),0,IF(D36&gt;=INDEX('Facilities'!$J$9:$J$108,MATCH(C36,'Facilities'!$C$9:$C$108,0)),G36+J36,MIN(G36+J36,G36*INDEX('Facilities'!$R$9:$R$108,MATCH(C36,'Facilities'!$C$9:$C$108,0))))),"Unavailable"))</x:f>
        <x:v>1.23</x:v>
      </x:c>
      <x:c r="L36" s="21" t="n">
        <x:f>IF(C36="","",IFERROR(IF(AND(AC36=D36,AC36&gt;0),MAX(0,G36+J36-K36),0),"Unavailable"))</x:f>
        <x:v>0</x:v>
      </x:c>
      <x:c r="M36" s="23" t="n">
        <x:f>IF(C36="","",IFERROR(IF(AND(AC36&gt;=0,D36&gt;=AC36+INDEX('Facilities'!$AK$9:$AK$108,MATCH(C36,'Facilities'!$C$9:$C$108,0))),(H36+L36)*AM36,0),"Unavailable"))</x:f>
        <x:v>0</x:v>
      </x:c>
      <x:c r="N36" s="23" t="n">
        <x:f>IF(C36="","",IFERROR(IF(AND(AC36&gt;=0,D36&gt;=AC36+INDEX('Facilities'!$AK$9:$AK$108,MATCH(C36,'Facilities'!$C$9:$C$108,0))),H36+L36-M36,0),"Unavailable"))</x:f>
        <x:v>0</x:v>
      </x:c>
      <x:c r="O36" s="21" t="n">
        <x:f>IF(C36="","",IFERROR(MAX(0,G36+J36-K36-L36),"Unavailable"))</x:f>
        <x:v>9.094999999999999</x:v>
      </x:c>
      <x:c r="P36" s="21" t="n">
        <x:f>IF(C36="","",IFERROR(MAX(0,H36+L36-M36-N36),"Unavailable"))</x:f>
        <x:v>0</x:v>
      </x:c>
      <x:c r="Q36" s="23" t="n">
        <x:f>IF(C36="","",IFERROR(IF(OR(D36&gt;=INDEX('Facilities'!$J$9:$J$108,MATCH(C36,'Facilities'!$C$9:$C$108,0)),AND(AC36&gt;=0,AC36&lt;=D36)),0,MAX(0,I36-J36)),"Unavailable"))</x:f>
        <x:v>1.425</x:v>
      </x:c>
      <x:c r="R36" s="30" t="n">
        <x:f>IF(C36="","",IFERROR(INDEX(Credit!$Q$9:$Q$108,MATCH(F36,Credit!$C$9:$C$108,0)),"Unavailable"))</x:f>
        <x:v>0.03348445135977586</x:v>
      </x:c>
      <x:c r="S36" s="30" t="n">
        <x:f>IF(C36="","",IFERROR(INDEX(Credit!$R$9:$R$108,MATCH(F36,Credit!$C$9:$C$108,0)),"Unavailable"))</x:f>
        <x:v>0.28020160000000005</x:v>
      </x:c>
      <x:c r="T36" s="23" t="n">
        <x:f>IF(C36="","",IFERROR(IF(P36&gt;0,3,IF(OR(INDEX('Facilities'!$AD$9:$AD$108,MATCH(C36,'Facilities'!$C$9:$C$108,0))=2,AND(R36&gt;=INDEX('Facilities'!$L$9:$L$108,MATCH(C36,'Facilities'!$C$9:$C$108,0))*Settings!$F$19,R36-INDEX('Facilities'!$L$9:$L$108,MATCH(C36,'Facilities'!$C$9:$C$108,0))&gt;=Settings!$F$20)),2,1)),"Unavailable"))</x:f>
        <x:v>1</x:v>
      </x:c>
      <x:c r="U36" s="23" t="n">
        <x:f>IF(C36="","",IF(AQ36&lt;&gt;"Ready","Unavailable",IF(C36="","",O36*(1-(1-S36)/(1+INDEX('Facilities'!$K$9:$K$108,MATCH(C36,'Facilities'!$C$9:$C$108,0)))^INDEX('Facilities'!$AK$9:$AK$108,MATCH(C36,'Facilities'!$C$9:$C$108,0)))*R36/(1+INDEX('Facilities'!$K$9:$K$108,MATCH(C36,'Facilities'!$C$9:$C$108,0)))*IF(ABS(1-(1-R36)*(1-INDEX('Facilities'!$R$9:$R$108,MATCH(C36,'Facilities'!$C$9:$C$108,0)))/(1+INDEX('Facilities'!$K$9:$K$108,MATCH(C36,'Facilities'!$C$9:$C$108,0))))&lt;0.000000001,IF(T36=1,MIN(1,AJ36),AJ36),(1-((1-R36)*(1-INDEX('Facilities'!$R$9:$R$108,MATCH(C36,'Facilities'!$C$9:$C$108,0)))/(1+INDEX('Facilities'!$K$9:$K$108,MATCH(C36,'Facilities'!$C$9:$C$108,0))))^IF(T36=1,MIN(1,AJ36),AJ36))/(1-(1-R36)*(1-INDEX('Facilities'!$R$9:$R$108,MATCH(C36,'Facilities'!$C$9:$C$108,0)))/(1+INDEX('Facilities'!$K$9:$K$108,MATCH(C36,'Facilities'!$C$9:$C$108,0)))))+AL36)))</x:f>
        <x:v>0.10796796083474675</x:v>
      </x:c>
      <x:c r="V36" s="23" t="n">
        <x:f>IF(C36="","",IF(AQ36&lt;&gt;"Ready","Unavailable",IF(C36="","",Q36*INDEX('Facilities'!$I$9:$I$108,MATCH(C36,'Facilities'!$C$9:$C$108,0))*(1-(1-S36)/(1+INDEX('Facilities'!$K$9:$K$108,MATCH(C36,'Facilities'!$C$9:$C$108,0)))^INDEX('Facilities'!$AK$9:$AK$108,MATCH(C36,'Facilities'!$C$9:$C$108,0)))*R36/(1+INDEX('Facilities'!$K$9:$K$108,MATCH(C36,'Facilities'!$C$9:$C$108,0)))*IF(ABS(1-(1-R36)*(1-0)/(1+INDEX('Facilities'!$K$9:$K$108,MATCH(C36,'Facilities'!$C$9:$C$108,0))))&lt;0.000000001,IF(T36=1,MIN(1,AJ36),AJ36),(1-((1-R36)*(1-0)/(1+INDEX('Facilities'!$K$9:$K$108,MATCH(C36,'Facilities'!$C$9:$C$108,0))))^IF(T36=1,MIN(1,AJ36),AJ36))/(1-(1-R36)*(1-0)/(1+INDEX('Facilities'!$K$9:$K$108,MATCH(C36,'Facilities'!$C$9:$C$108,0))))))))</x:f>
        <x:v>0.008458182748186592</x:v>
      </x:c>
      <x:c r="W36" s="23" t="n">
        <x:f>IF(C36="","",IFERROR(INDEX(ECL!$AB$9:$AB$108,MATCH(C36,ECL!$C$9:$C$108,0)),"Unavailable"))</x:f>
        <x:v>0.1376757901806127</x:v>
      </x:c>
      <x:c r="X36" s="23" t="n">
        <x:f>IF(C36="","",IFERROR(INDEX(ECL!$AC$9:$AC$108,MATCH(C36,ECL!$C$9:$C$108,0)),"Unavailable"))</x:f>
        <x:v>0.010073838305898494</x:v>
      </x:c>
      <x:c r="Y36" s="21" t="n">
        <x:f>IF(C36="","",IF(AQ36&lt;&gt;"Ready","Unavailable",IF(C36="","",U36-W36+V36-X36+N36+AG36)))</x:f>
        <x:v>-0.03132348490357787</x:v>
      </x:c>
      <x:c r="Z36" s="23" t="n">
        <x:f>IF(C36="","",IF(AQ36&lt;&gt;"Ready","Unavailable",IF(C36="","",(G36+O36+L36)/2*INDEX('Facilities'!$T$9:$T$108,MATCH(C36,'Facilities'!$C$9:$C$108,0))+AG36)))</x:f>
        <x:v>0.9188875</x:v>
      </x:c>
      <x:c r="AA36" s="23" t="n">
        <x:f>IF(C36="","",IF(AQ36&lt;&gt;"Ready","Unavailable",IF(C36="","",O36*(1-IF(INDEX('Facilities'!$AA$9:$AA$108,MATCH(C36,'Facilities'!$C$9:$C$108,0))=0,0,MIN(1,INDEX('Facilities'!$X$9:$X$108,MATCH(C36,'Facilities'!$C$9:$C$108,0))/INDEX('Facilities'!$AA$9:$AA$108,MATCH(C36,'Facilities'!$C$9:$C$108,0)))))*AF36+P36*(1-IF(INDEX('Facilities'!$AA$9:$AA$108,MATCH(C36,'Facilities'!$C$9:$C$108,0))=0,0,MIN(1,INDEX('Facilities'!$X$9:$X$108,MATCH(C36,'Facilities'!$C$9:$C$108,0))/INDEX('Facilities'!$AA$9:$AA$108,MATCH(C36,'Facilities'!$C$9:$C$108,0)))))*INDEX('Facilities'!$AJ$9:$AJ$108,MATCH(C36,'Facilities'!$C$9:$C$108,0))+Q36*INDEX('Facilities'!$AI$9:$AI$108,MATCH(C36,'Facilities'!$C$9:$C$108,0))*AF36)))</x:f>
        <x:v>9.847798079999997</x:v>
      </x:c>
      <x:c r="AB36" s="21" t="n">
        <x:f>IF(C36="","",O36+P36-AD36)</x:f>
        <x:v>-1.1550000000000011</x:v>
      </x:c>
      <x:c r="AC36" s="23" t="n">
        <x:f>IF(C36="","",IFERROR(IF(INDEX('Facilities'!$AD$9:$AD$108,MATCH(C36,'Facilities'!$C$9:$C$108,0))=3,0,IF(INDEX('Facilities'!$AN$9:$AN$108,MATCH(C36,'Facilities'!$C$9:$C$108,0))=0,-1,INDEX('Facilities'!$AN$9:$AN$108,MATCH(C36,'Facilities'!$C$9:$C$108,0)))),"Unavailable"))</x:f>
        <x:v>-1</x:v>
      </x:c>
      <x:c r="AD36" s="21" t="n">
        <x:f>IF(C36="","",IFERROR(G36+H36,"Unavailable"))</x:f>
        <x:v>10.25</x:v>
      </x:c>
      <x:c r="AE36" s="21" t="n">
        <x:f>IF(C36="","",IF(AQ36&lt;&gt;"Ready","Unavailable",IF(C36="","",O36+P36-AD36-J36+K36+M36+N36)))</x:f>
        <x:v>-1.1102230246251565e-15</x:v>
      </x:c>
      <x:c r="AF36" s="30" t="n">
        <x:f>IF(C36="","",IFERROR(INDEX('Facilities'!$S$9:$S$108,MATCH(C36,'Facilities'!$C$9:$C$108,0))*'Scenario Paths'!F75,"Unavailable"))</x:f>
        <x:v>1.02</x:v>
      </x:c>
      <x:c r="AG36" s="23" t="n">
        <x:f>IF(C36="","",IF(AQ36&lt;&gt;"Ready","Unavailable",IF(C36="","",IF(H36&gt;0,MAX(0,H36-AK36)*((1+INDEX('Facilities'!$K$9:$K$108,MATCH(C36,'Facilities'!$C$9:$C$108,0)))^MIN(1,MAX(0,AC36+INDEX('Facilities'!$AK$9:$AK$108,MATCH(C36,'Facilities'!$C$9:$C$108,0))-D36+1))-1),0))))</x:f>
        <x:v>0</x:v>
      </x:c>
      <x:c r="AH36" s="21" t="n">
        <x:f>IF(C36="","",IF(AQ36&lt;&gt;"Ready","Unavailable",IF(C36="","",O36+P36)))</x:f>
        <x:v>9.094999999999999</x:v>
      </x:c>
      <x:c r="AI36" s="21" t="n">
        <x:f>IF(C36="","",IF(AQ36&lt;&gt;"Ready","Unavailable",IF(C36="","",Z36-Y36)))</x:f>
        <x:v>0.9502109849035778</x:v>
      </x:c>
      <x:c r="AJ36" s="23" t="n">
        <x:f>IF(C36="","",IFERROR(MAX(0,INDEX('Facilities'!$J$9:$J$108,MATCH(C36,'Facilities'!$C$9:$C$108,0))-D36),"Unavailable"))</x:f>
        <x:v>4</x:v>
      </x:c>
      <x:c r="AK36" s="23" t="n">
        <x:f>IF(C36="","",IFERROR(IF(INDEX('Facilities'!$AD$9:$AD$108,MATCH(C36,'Facilities'!$C$9:$C$108,0))=3,W36,0),"Unavailable"))</x:f>
        <x:v>0</x:v>
      </x:c>
      <x:c r="AL36" s="23" t="n">
        <x:f>IF(C36="","",IFERROR(IF(P36&gt;0,P36*(1-AM36/(1+INDEX('Facilities'!$K$9:$K$108,MATCH(C36,'Facilities'!$C$9:$C$108,0)))^MAX(0,AC36+INDEX('Facilities'!$AK$9:$AK$108,MATCH(C36,'Facilities'!$C$9:$C$108,0))-D36)),0),"Unavailable"))</x:f>
        <x:v>0</x:v>
      </x:c>
      <x:c r="AM36" s="30" t="n">
        <x:f>IF(C36="","",IFERROR(INDEX('Facilities'!$AL$9:$AL$108,MATCH(C36,'Facilities'!$C$9:$C$108,0)),"Unavailable"))</x:f>
        <x:v>0.55</x:v>
      </x:c>
      <x:c r="AN36" s="30" t="n">
        <x:f>IF(C36="","",IFERROR(INDEX(Credit!$T$9:$T$108,MATCH(F36,Credit!$C$9:$C$108,0)),"Unavailable"))</x:f>
        <x:v>0.00028000000000000003</x:v>
      </x:c>
      <x:c r="AO36" s="23" t="n">
        <x:f>IF(C36="","",IF(AQ36&lt;&gt;"Ready","Unavailable",IF(C36="","",O36+P36+Q36*INDEX('Facilities'!$I$9:$I$108,MATCH(C36,'Facilities'!$C$9:$C$108,0)))))</x:f>
        <x:v>9.8075</x:v>
      </x:c>
      <x:c r="AP36" s="21" t="n">
        <x:f>IF(C36="","",IF(AQ36&lt;&gt;"Ready","Unavailable",IF(C36="","",AH36-U36)))</x:f>
        <x:v>8.987032039165252</x:v>
      </x:c>
      <x:c r="AQ36" s="23" t="str">
        <x:f>IFERROR(IF(C36="","",IF(AND(INDEX('Facilities'!$AF$9:$AF$108,MATCH(C36,'Facilities'!$C$9:$C$108,0))="Ready",INDEX(Credit!$U$9:$U$108,MATCH(F36,Credit!$C$9:$C$108,0))="Ready",ISNUMBER(W36)),"Ready","Review inputs")),"Review inputs")</x:f>
        <x:v>Ready</x:v>
      </x:c>
      <x:c r="AR36" s="23" t="n">
        <x:f>IF(C36="","",IF(AQ36&lt;&gt;"Ready","Unavailable",IF(C36="","",IF(O36=0,0,(IF(AJ36&lt;=1,O36,O36*INDEX('Facilities'!$R$9:$R$108,MATCH(C36,'Facilities'!$C$9:$C$108,0)))+O36*INDEX('Facilities'!$T$9:$T$108,MATCH(C36,'Facilities'!$C$9:$C$108,0)))/12))))</x:f>
        <x:v>0.16295208333333333</x:v>
      </x:c>
    </x:row>
    <x:row r="37" ht="26" customHeight="1">
      <x:c r="A37" s="1"/>
      <x:c r="B37" s="1"/>
      <x:c r="C37" s="9" t="str">
        <x:f>IF(Facilities!C37="","",Facilities!C37)</x:f>
        <x:v>F029</x:v>
      </x:c>
      <x:c r="D37" s="3" t="n">
        <x:v>1</x:v>
      </x:c>
      <x:c r="E37" s="9" t="n">
        <x:f>Settings!$F$18+0</x:f>
        <x:v>2027</x:v>
      </x:c>
      <x:c r="F37" s="9" t="str">
        <x:f>IF(C37="","",IFERROR(INDEX('Facilities'!$D$9:$D$108,MATCH(C37,'Facilities'!$C$9:$C$108,0)),"Unavailable"))</x:f>
        <x:v>B017</x:v>
      </x:c>
      <x:c r="G37" s="23" t="n">
        <x:f>IF(C37="","",IFERROR(IF(INDEX('Facilities'!$AD$9:$AD$108,MATCH(C37,'Facilities'!$C$9:$C$108,0))=3,0,INDEX('Facilities'!$AA$9:$AA$108,MATCH(C37,'Facilities'!$C$9:$C$108,0))),"Unavailable"))</x:f>
        <x:v>10.6</x:v>
      </x:c>
      <x:c r="H37" s="23" t="n">
        <x:f>IF(C37="","",IFERROR(IF(INDEX('Facilities'!$AD$9:$AD$108,MATCH(C37,'Facilities'!$C$9:$C$108,0))=3,INDEX('Facilities'!$AA$9:$AA$108,MATCH(C37,'Facilities'!$C$9:$C$108,0)),0),"Unavailable"))</x:f>
        <x:v>0</x:v>
      </x:c>
      <x:c r="I37" s="23" t="n">
        <x:f>IF(C37="","",IFERROR(INDEX('Facilities'!$AB$9:$AB$108,MATCH(C37,'Facilities'!$C$9:$C$108,0)),"Unavailable"))</x:f>
        <x:v>1.5</x:v>
      </x:c>
      <x:c r="J37" s="23" t="n">
        <x:f>IF(C37="","",IFERROR(IF(OR(H37&gt;0,AND(AC37&gt;=0,AC37&lt;D37),D37&gt;INDEX('Facilities'!$J$9:$J$108,MATCH(C37,'Facilities'!$C$9:$C$108,0))),0,I37*'Scenario Paths'!F81),"Unavailable"))</x:f>
        <x:v>0.07500000000000001</x:v>
      </x:c>
      <x:c r="K37" s="23" t="n">
        <x:f>IF(C37="","",IFERROR(IF(OR(H37&gt;0,AND(AC37&gt;=0,AC37=D37)),0,IF(D37&gt;=INDEX('Facilities'!$J$9:$J$108,MATCH(C37,'Facilities'!$C$9:$C$108,0)),G37+J37,MIN(G37+J37,G37*INDEX('Facilities'!$R$9:$R$108,MATCH(C37,'Facilities'!$C$9:$C$108,0))))),"Unavailable"))</x:f>
        <x:v>1.272</x:v>
      </x:c>
      <x:c r="L37" s="21" t="n">
        <x:f>IF(C37="","",IFERROR(IF(AND(AC37=D37,AC37&gt;0),MAX(0,G37+J37-K37),0),"Unavailable"))</x:f>
        <x:v>0</x:v>
      </x:c>
      <x:c r="M37" s="23" t="n">
        <x:f>IF(C37="","",IFERROR(IF(AND(AC37&gt;=0,D37&gt;=AC37+INDEX('Facilities'!$AK$9:$AK$108,MATCH(C37,'Facilities'!$C$9:$C$108,0))),(H37+L37)*AM37,0),"Unavailable"))</x:f>
        <x:v>0</x:v>
      </x:c>
      <x:c r="N37" s="23" t="n">
        <x:f>IF(C37="","",IFERROR(IF(AND(AC37&gt;=0,D37&gt;=AC37+INDEX('Facilities'!$AK$9:$AK$108,MATCH(C37,'Facilities'!$C$9:$C$108,0))),H37+L37-M37,0),"Unavailable"))</x:f>
        <x:v>0</x:v>
      </x:c>
      <x:c r="O37" s="21" t="n">
        <x:f>IF(C37="","",IFERROR(MAX(0,G37+J37-K37-L37),"Unavailable"))</x:f>
        <x:v>9.402999999999999</x:v>
      </x:c>
      <x:c r="P37" s="21" t="n">
        <x:f>IF(C37="","",IFERROR(MAX(0,H37+L37-M37-N37),"Unavailable"))</x:f>
        <x:v>0</x:v>
      </x:c>
      <x:c r="Q37" s="23" t="n">
        <x:f>IF(C37="","",IFERROR(IF(OR(D37&gt;=INDEX('Facilities'!$J$9:$J$108,MATCH(C37,'Facilities'!$C$9:$C$108,0)),AND(AC37&gt;=0,AC37&lt;=D37)),0,MAX(0,I37-J37)),"Unavailable"))</x:f>
        <x:v>1.425</x:v>
      </x:c>
      <x:c r="R37" s="30" t="n">
        <x:f>IF(C37="","",IFERROR(INDEX(Credit!$Q$9:$Q$108,MATCH(F37,Credit!$C$9:$C$108,0)),"Unavailable"))</x:f>
        <x:v>0.04069049006453361</x:v>
      </x:c>
      <x:c r="S37" s="30" t="n">
        <x:f>IF(C37="","",IFERROR(INDEX(Credit!$R$9:$R$108,MATCH(F37,Credit!$C$9:$C$108,0)),"Unavailable"))</x:f>
        <x:v>0.32043520000000003</x:v>
      </x:c>
      <x:c r="T37" s="23" t="n">
        <x:f>IF(C37="","",IFERROR(IF(P37&gt;0,3,IF(OR(INDEX('Facilities'!$AD$9:$AD$108,MATCH(C37,'Facilities'!$C$9:$C$108,0))=2,AND(R37&gt;=INDEX('Facilities'!$L$9:$L$108,MATCH(C37,'Facilities'!$C$9:$C$108,0))*Settings!$F$19,R37-INDEX('Facilities'!$L$9:$L$108,MATCH(C37,'Facilities'!$C$9:$C$108,0))&gt;=Settings!$F$20)),2,1)),"Unavailable"))</x:f>
        <x:v>2</x:v>
      </x:c>
      <x:c r="U37" s="23" t="n">
        <x:f>IF(C37="","",IF(AQ37&lt;&gt;"Ready","Unavailable",IF(C37="","",O37*(1-(1-S37)/(1+INDEX('Facilities'!$K$9:$K$108,MATCH(C37,'Facilities'!$C$9:$C$108,0)))^INDEX('Facilities'!$AK$9:$AK$108,MATCH(C37,'Facilities'!$C$9:$C$108,0)))*R37/(1+INDEX('Facilities'!$K$9:$K$108,MATCH(C37,'Facilities'!$C$9:$C$108,0)))*IF(ABS(1-(1-R37)*(1-INDEX('Facilities'!$R$9:$R$108,MATCH(C37,'Facilities'!$C$9:$C$108,0)))/(1+INDEX('Facilities'!$K$9:$K$108,MATCH(C37,'Facilities'!$C$9:$C$108,0))))&lt;0.000000001,IF(T37=1,MIN(1,AJ37),AJ37),(1-((1-R37)*(1-INDEX('Facilities'!$R$9:$R$108,MATCH(C37,'Facilities'!$C$9:$C$108,0)))/(1+INDEX('Facilities'!$K$9:$K$108,MATCH(C37,'Facilities'!$C$9:$C$108,0))))^IF(T37=1,MIN(1,AJ37),AJ37))/(1-(1-R37)*(1-INDEX('Facilities'!$R$9:$R$108,MATCH(C37,'Facilities'!$C$9:$C$108,0)))/(1+INDEX('Facilities'!$K$9:$K$108,MATCH(C37,'Facilities'!$C$9:$C$108,0)))))+AL37)))</x:f>
        <x:v>0.47961265026383737</x:v>
      </x:c>
      <x:c r="V37" s="23" t="n">
        <x:f>IF(C37="","",IF(AQ37&lt;&gt;"Ready","Unavailable",IF(C37="","",Q37*INDEX('Facilities'!$I$9:$I$108,MATCH(C37,'Facilities'!$C$9:$C$108,0))*(1-(1-S37)/(1+INDEX('Facilities'!$K$9:$K$108,MATCH(C37,'Facilities'!$C$9:$C$108,0)))^INDEX('Facilities'!$AK$9:$AK$108,MATCH(C37,'Facilities'!$C$9:$C$108,0)))*R37/(1+INDEX('Facilities'!$K$9:$K$108,MATCH(C37,'Facilities'!$C$9:$C$108,0)))*IF(ABS(1-(1-R37)*(1-0)/(1+INDEX('Facilities'!$K$9:$K$108,MATCH(C37,'Facilities'!$C$9:$C$108,0))))&lt;0.000000001,IF(T37=1,MIN(1,AJ37),AJ37),(1-((1-R37)*(1-0)/(1+INDEX('Facilities'!$K$9:$K$108,MATCH(C37,'Facilities'!$C$9:$C$108,0))))^IF(T37=1,MIN(1,AJ37),AJ37))/(1-(1-R37)*(1-0)/(1+INDEX('Facilities'!$K$9:$K$108,MATCH(C37,'Facilities'!$C$9:$C$108,0))))))))</x:f>
        <x:v>0.04482381002319204</x:v>
      </x:c>
      <x:c r="W37" s="23" t="n">
        <x:f>IF(C37="","",IFERROR(INDEX(ECL!$AB$9:$AB$108,MATCH(C37,ECL!$C$9:$C$108,0)),"Unavailable"))</x:f>
        <x:v>0.649502625113354</x:v>
      </x:c>
      <x:c r="X37" s="23" t="n">
        <x:f>IF(C37="","",IFERROR(INDEX(ECL!$AC$9:$AC$108,MATCH(C37,ECL!$C$9:$C$108,0)),"Unavailable"))</x:f>
        <x:v>0.05901995168199336</x:v>
      </x:c>
      <x:c r="Y37" s="21" t="n">
        <x:f>IF(C37="","",IF(AQ37&lt;&gt;"Ready","Unavailable",IF(C37="","",U37-W37+V37-X37+N37+AG37)))</x:f>
        <x:v>-0.18408611650831797</x:v>
      </x:c>
      <x:c r="Z37" s="23" t="n">
        <x:f>IF(C37="","",IF(AQ37&lt;&gt;"Ready","Unavailable",IF(C37="","",(G37+O37+L37)/2*INDEX('Facilities'!$T$9:$T$108,MATCH(C37,'Facilities'!$C$9:$C$108,0))+AG37)))</x:f>
        <x:v>0.9501425</x:v>
      </x:c>
      <x:c r="AA37" s="23" t="n">
        <x:f>IF(C37="","",IF(AQ37&lt;&gt;"Ready","Unavailable",IF(C37="","",O37*(1-IF(INDEX('Facilities'!$AA$9:$AA$108,MATCH(C37,'Facilities'!$C$9:$C$108,0))=0,0,MIN(1,INDEX('Facilities'!$X$9:$X$108,MATCH(C37,'Facilities'!$C$9:$C$108,0))/INDEX('Facilities'!$AA$9:$AA$108,MATCH(C37,'Facilities'!$C$9:$C$108,0)))))*AF37+P37*(1-IF(INDEX('Facilities'!$AA$9:$AA$108,MATCH(C37,'Facilities'!$C$9:$C$108,0))=0,0,MIN(1,INDEX('Facilities'!$X$9:$X$108,MATCH(C37,'Facilities'!$C$9:$C$108,0))/INDEX('Facilities'!$AA$9:$AA$108,MATCH(C37,'Facilities'!$C$9:$C$108,0)))))*INDEX('Facilities'!$AJ$9:$AJ$108,MATCH(C37,'Facilities'!$C$9:$C$108,0))+Q37*INDEX('Facilities'!$AI$9:$AI$108,MATCH(C37,'Facilities'!$C$9:$C$108,0))*AF37)))</x:f>
        <x:v>10.0968319776</x:v>
      </x:c>
      <x:c r="AB37" s="21" t="n">
        <x:f>IF(C37="","",O37+P37-AD37)</x:f>
        <x:v>-1.197000000000001</x:v>
      </x:c>
      <x:c r="AC37" s="23" t="n">
        <x:f>IF(C37="","",IFERROR(IF(INDEX('Facilities'!$AD$9:$AD$108,MATCH(C37,'Facilities'!$C$9:$C$108,0))=3,0,IF(INDEX('Facilities'!$AN$9:$AN$108,MATCH(C37,'Facilities'!$C$9:$C$108,0))=0,-1,INDEX('Facilities'!$AN$9:$AN$108,MATCH(C37,'Facilities'!$C$9:$C$108,0)))),"Unavailable"))</x:f>
        <x:v>-1</x:v>
      </x:c>
      <x:c r="AD37" s="21" t="n">
        <x:f>IF(C37="","",IFERROR(G37+H37,"Unavailable"))</x:f>
        <x:v>10.6</x:v>
      </x:c>
      <x:c r="AE37" s="21" t="n">
        <x:f>IF(C37="","",IF(AQ37&lt;&gt;"Ready","Unavailable",IF(C37="","",O37+P37-AD37-J37+K37+M37+N37)))</x:f>
        <x:v>-8.881784197001252e-16</x:v>
      </x:c>
      <x:c r="AF37" s="30" t="n">
        <x:f>IF(C37="","",IFERROR(INDEX('Facilities'!$S$9:$S$108,MATCH(C37,'Facilities'!$C$9:$C$108,0))*'Scenario Paths'!F75,"Unavailable"))</x:f>
        <x:v>1.02</x:v>
      </x:c>
      <x:c r="AG37" s="23" t="n">
        <x:f>IF(C37="","",IF(AQ37&lt;&gt;"Ready","Unavailable",IF(C37="","",IF(H37&gt;0,MAX(0,H37-AK37)*((1+INDEX('Facilities'!$K$9:$K$108,MATCH(C37,'Facilities'!$C$9:$C$108,0)))^MIN(1,MAX(0,AC37+INDEX('Facilities'!$AK$9:$AK$108,MATCH(C37,'Facilities'!$C$9:$C$108,0))-D37+1))-1),0))))</x:f>
        <x:v>0</x:v>
      </x:c>
      <x:c r="AH37" s="21" t="n">
        <x:f>IF(C37="","",IF(AQ37&lt;&gt;"Ready","Unavailable",IF(C37="","",O37+P37)))</x:f>
        <x:v>9.402999999999999</x:v>
      </x:c>
      <x:c r="AI37" s="21" t="n">
        <x:f>IF(C37="","",IF(AQ37&lt;&gt;"Ready","Unavailable",IF(C37="","",Z37-Y37)))</x:f>
        <x:v>1.134228616508318</x:v>
      </x:c>
      <x:c r="AJ37" s="23" t="n">
        <x:f>IF(C37="","",IFERROR(MAX(0,INDEX('Facilities'!$J$9:$J$108,MATCH(C37,'Facilities'!$C$9:$C$108,0))-D37),"Unavailable"))</x:f>
        <x:v>5</x:v>
      </x:c>
      <x:c r="AK37" s="23" t="n">
        <x:f>IF(C37="","",IFERROR(IF(INDEX('Facilities'!$AD$9:$AD$108,MATCH(C37,'Facilities'!$C$9:$C$108,0))=3,W37,0),"Unavailable"))</x:f>
        <x:v>0</x:v>
      </x:c>
      <x:c r="AL37" s="23" t="n">
        <x:f>IF(C37="","",IFERROR(IF(P37&gt;0,P37*(1-AM37/(1+INDEX('Facilities'!$K$9:$K$108,MATCH(C37,'Facilities'!$C$9:$C$108,0)))^MAX(0,AC37+INDEX('Facilities'!$AK$9:$AK$108,MATCH(C37,'Facilities'!$C$9:$C$108,0))-D37)),0),"Unavailable"))</x:f>
        <x:v>0</x:v>
      </x:c>
      <x:c r="AM37" s="30" t="n">
        <x:f>IF(C37="","",IFERROR(INDEX('Facilities'!$AL$9:$AL$108,MATCH(C37,'Facilities'!$C$9:$C$108,0)),"Unavailable"))</x:f>
        <x:v>0.55</x:v>
      </x:c>
      <x:c r="AN37" s="30" t="n">
        <x:f>IF(C37="","",IFERROR(INDEX(Credit!$T$9:$T$108,MATCH(F37,Credit!$C$9:$C$108,0)),"Unavailable"))</x:f>
        <x:v>0.00064</x:v>
      </x:c>
      <x:c r="AO37" s="23" t="n">
        <x:f>IF(C37="","",IF(AQ37&lt;&gt;"Ready","Unavailable",IF(C37="","",O37+P37+Q37*INDEX('Facilities'!$I$9:$I$108,MATCH(C37,'Facilities'!$C$9:$C$108,0)))))</x:f>
        <x:v>10.115499999999999</x:v>
      </x:c>
      <x:c r="AP37" s="21" t="n">
        <x:f>IF(C37="","",IF(AQ37&lt;&gt;"Ready","Unavailable",IF(C37="","",AH37-U37)))</x:f>
        <x:v>8.923387349736162</x:v>
      </x:c>
      <x:c r="AQ37" s="23" t="str">
        <x:f>IFERROR(IF(C37="","",IF(AND(INDEX('Facilities'!$AF$9:$AF$108,MATCH(C37,'Facilities'!$C$9:$C$108,0))="Ready",INDEX(Credit!$U$9:$U$108,MATCH(F37,Credit!$C$9:$C$108,0))="Ready",ISNUMBER(W37)),"Ready","Review inputs")),"Review inputs")</x:f>
        <x:v>Ready</x:v>
      </x:c>
      <x:c r="AR37" s="23" t="n">
        <x:f>IF(C37="","",IF(AQ37&lt;&gt;"Ready","Unavailable",IF(C37="","",IF(O37=0,0,(IF(AJ37&lt;=1,O37,O37*INDEX('Facilities'!$R$9:$R$108,MATCH(C37,'Facilities'!$C$9:$C$108,0)))+O37*INDEX('Facilities'!$T$9:$T$108,MATCH(C37,'Facilities'!$C$9:$C$108,0)))/12))))</x:f>
        <x:v>0.16847041666666662</x:v>
      </x:c>
    </x:row>
    <x:row r="38" ht="26" customHeight="1">
      <x:c r="A38" s="1"/>
      <x:c r="B38" s="1"/>
      <x:c r="C38" s="9" t="str">
        <x:f>IF(Facilities!C38="","",Facilities!C38)</x:f>
        <x:v>F030</x:v>
      </x:c>
      <x:c r="D38" s="3" t="n">
        <x:v>1</x:v>
      </x:c>
      <x:c r="E38" s="9" t="n">
        <x:f>Settings!$F$18+0</x:f>
        <x:v>2027</x:v>
      </x:c>
      <x:c r="F38" s="9" t="str">
        <x:f>IF(C38="","",IFERROR(INDEX('Facilities'!$D$9:$D$108,MATCH(C38,'Facilities'!$C$9:$C$108,0)),"Unavailable"))</x:f>
        <x:v>B018</x:v>
      </x:c>
      <x:c r="G38" s="23" t="n">
        <x:f>IF(C38="","",IFERROR(IF(INDEX('Facilities'!$AD$9:$AD$108,MATCH(C38,'Facilities'!$C$9:$C$108,0))=3,0,INDEX('Facilities'!$AA$9:$AA$108,MATCH(C38,'Facilities'!$C$9:$C$108,0))),"Unavailable"))</x:f>
        <x:v>10.95</x:v>
      </x:c>
      <x:c r="H38" s="23" t="n">
        <x:f>IF(C38="","",IFERROR(IF(INDEX('Facilities'!$AD$9:$AD$108,MATCH(C38,'Facilities'!$C$9:$C$108,0))=3,INDEX('Facilities'!$AA$9:$AA$108,MATCH(C38,'Facilities'!$C$9:$C$108,0)),0),"Unavailable"))</x:f>
        <x:v>0</x:v>
      </x:c>
      <x:c r="I38" s="23" t="n">
        <x:f>IF(C38="","",IFERROR(INDEX('Facilities'!$AB$9:$AB$108,MATCH(C38,'Facilities'!$C$9:$C$108,0)),"Unavailable"))</x:f>
        <x:v>1.5</x:v>
      </x:c>
      <x:c r="J38" s="23" t="n">
        <x:f>IF(C38="","",IFERROR(IF(OR(H38&gt;0,AND(AC38&gt;=0,AC38&lt;D38),D38&gt;INDEX('Facilities'!$J$9:$J$108,MATCH(C38,'Facilities'!$C$9:$C$108,0))),0,I38*'Scenario Paths'!F81),"Unavailable"))</x:f>
        <x:v>0.07500000000000001</x:v>
      </x:c>
      <x:c r="K38" s="23" t="n">
        <x:f>IF(C38="","",IFERROR(IF(OR(H38&gt;0,AND(AC38&gt;=0,AC38=D38)),0,IF(D38&gt;=INDEX('Facilities'!$J$9:$J$108,MATCH(C38,'Facilities'!$C$9:$C$108,0)),G38+J38,MIN(G38+J38,G38*INDEX('Facilities'!$R$9:$R$108,MATCH(C38,'Facilities'!$C$9:$C$108,0))))),"Unavailable"))</x:f>
        <x:v>1.3139999999999998</x:v>
      </x:c>
      <x:c r="L38" s="21" t="n">
        <x:f>IF(C38="","",IFERROR(IF(AND(AC38=D38,AC38&gt;0),MAX(0,G38+J38-K38),0),"Unavailable"))</x:f>
        <x:v>0</x:v>
      </x:c>
      <x:c r="M38" s="23" t="n">
        <x:f>IF(C38="","",IFERROR(IF(AND(AC38&gt;=0,D38&gt;=AC38+INDEX('Facilities'!$AK$9:$AK$108,MATCH(C38,'Facilities'!$C$9:$C$108,0))),(H38+L38)*AM38,0),"Unavailable"))</x:f>
        <x:v>0</x:v>
      </x:c>
      <x:c r="N38" s="23" t="n">
        <x:f>IF(C38="","",IFERROR(IF(AND(AC38&gt;=0,D38&gt;=AC38+INDEX('Facilities'!$AK$9:$AK$108,MATCH(C38,'Facilities'!$C$9:$C$108,0))),H38+L38-M38,0),"Unavailable"))</x:f>
        <x:v>0</x:v>
      </x:c>
      <x:c r="O38" s="21" t="n">
        <x:f>IF(C38="","",IFERROR(MAX(0,G38+J38-K38-L38),"Unavailable"))</x:f>
        <x:v>9.710999999999999</x:v>
      </x:c>
      <x:c r="P38" s="21" t="n">
        <x:f>IF(C38="","",IFERROR(MAX(0,H38+L38-M38-N38),"Unavailable"))</x:f>
        <x:v>0</x:v>
      </x:c>
      <x:c r="Q38" s="23" t="n">
        <x:f>IF(C38="","",IFERROR(IF(OR(D38&gt;=INDEX('Facilities'!$J$9:$J$108,MATCH(C38,'Facilities'!$C$9:$C$108,0)),AND(AC38&gt;=0,AC38&lt;=D38)),0,MAX(0,I38-J38)),"Unavailable"))</x:f>
        <x:v>1.425</x:v>
      </x:c>
      <x:c r="R38" s="30" t="n">
        <x:f>IF(C38="","",IFERROR(INDEX(Credit!$Q$9:$Q$108,MATCH(F38,Credit!$C$9:$C$108,0)),"Unavailable"))</x:f>
        <x:v>0.04807883935880929</x:v>
      </x:c>
      <x:c r="S38" s="30" t="n">
        <x:f>IF(C38="","",IFERROR(INDEX(Credit!$R$9:$R$108,MATCH(F38,Credit!$C$9:$C$108,0)),"Unavailable"))</x:f>
        <x:v>0.36073216</x:v>
      </x:c>
      <x:c r="T38" s="23" t="n">
        <x:f>IF(C38="","",IFERROR(IF(P38&gt;0,3,IF(OR(INDEX('Facilities'!$AD$9:$AD$108,MATCH(C38,'Facilities'!$C$9:$C$108,0))=2,AND(R38&gt;=INDEX('Facilities'!$L$9:$L$108,MATCH(C38,'Facilities'!$C$9:$C$108,0))*Settings!$F$19,R38-INDEX('Facilities'!$L$9:$L$108,MATCH(C38,'Facilities'!$C$9:$C$108,0))&gt;=Settings!$F$20)),2,1)),"Unavailable"))</x:f>
        <x:v>1</x:v>
      </x:c>
      <x:c r="U38" s="23" t="n">
        <x:f>IF(C38="","",IF(AQ38&lt;&gt;"Ready","Unavailable",IF(C38="","",O38*(1-(1-S38)/(1+INDEX('Facilities'!$K$9:$K$108,MATCH(C38,'Facilities'!$C$9:$C$108,0)))^INDEX('Facilities'!$AK$9:$AK$108,MATCH(C38,'Facilities'!$C$9:$C$108,0)))*R38/(1+INDEX('Facilities'!$K$9:$K$108,MATCH(C38,'Facilities'!$C$9:$C$108,0)))*IF(ABS(1-(1-R38)*(1-INDEX('Facilities'!$R$9:$R$108,MATCH(C38,'Facilities'!$C$9:$C$108,0)))/(1+INDEX('Facilities'!$K$9:$K$108,MATCH(C38,'Facilities'!$C$9:$C$108,0))))&lt;0.000000001,IF(T38=1,MIN(1,AJ38),AJ38),(1-((1-R38)*(1-INDEX('Facilities'!$R$9:$R$108,MATCH(C38,'Facilities'!$C$9:$C$108,0)))/(1+INDEX('Facilities'!$K$9:$K$108,MATCH(C38,'Facilities'!$C$9:$C$108,0))))^IF(T38=1,MIN(1,AJ38),AJ38))/(1-(1-R38)*(1-INDEX('Facilities'!$R$9:$R$108,MATCH(C38,'Facilities'!$C$9:$C$108,0)))/(1+INDEX('Facilities'!$K$9:$K$108,MATCH(C38,'Facilities'!$C$9:$C$108,0)))))+AL38)))</x:f>
        <x:v>0.1953737335275265</x:v>
      </x:c>
      <x:c r="V38" s="23" t="n">
        <x:f>IF(C38="","",IF(AQ38&lt;&gt;"Ready","Unavailable",IF(C38="","",Q38*INDEX('Facilities'!$I$9:$I$108,MATCH(C38,'Facilities'!$C$9:$C$108,0))*(1-(1-S38)/(1+INDEX('Facilities'!$K$9:$K$108,MATCH(C38,'Facilities'!$C$9:$C$108,0)))^INDEX('Facilities'!$AK$9:$AK$108,MATCH(C38,'Facilities'!$C$9:$C$108,0)))*R38/(1+INDEX('Facilities'!$K$9:$K$108,MATCH(C38,'Facilities'!$C$9:$C$108,0)))*IF(ABS(1-(1-R38)*(1-0)/(1+INDEX('Facilities'!$K$9:$K$108,MATCH(C38,'Facilities'!$C$9:$C$108,0))))&lt;0.000000001,IF(T38=1,MIN(1,AJ38),AJ38),(1-((1-R38)*(1-0)/(1+INDEX('Facilities'!$K$9:$K$108,MATCH(C38,'Facilities'!$C$9:$C$108,0))))^IF(T38=1,MIN(1,AJ38),AJ38))/(1-(1-R38)*(1-0)/(1+INDEX('Facilities'!$K$9:$K$108,MATCH(C38,'Facilities'!$C$9:$C$108,0))))))))</x:f>
        <x:v>0.014334649895825625</x:v>
      </x:c>
      <x:c r="W38" s="23" t="n">
        <x:f>IF(C38="","",IFERROR(INDEX(ECL!$AB$9:$AB$108,MATCH(C38,ECL!$C$9:$C$108,0)),"Unavailable"))</x:f>
        <x:v>0.24365158179012344</x:v>
      </x:c>
      <x:c r="X38" s="23" t="n">
        <x:f>IF(C38="","",IFERROR(INDEX(ECL!$AC$9:$AC$108,MATCH(C38,ECL!$C$9:$C$108,0)),"Unavailable"))</x:f>
        <x:v>0.01668846450617284</x:v>
      </x:c>
      <x:c r="Y38" s="21" t="n">
        <x:f>IF(C38="","",IF(AQ38&lt;&gt;"Ready","Unavailable",IF(C38="","",U38-W38+V38-X38+N38+AG38)))</x:f>
        <x:v>-0.05063166287294417</x:v>
      </x:c>
      <x:c r="Z38" s="23" t="n">
        <x:f>IF(C38="","",IF(AQ38&lt;&gt;"Ready","Unavailable",IF(C38="","",(G38+O38+L38)/2*INDEX('Facilities'!$T$9:$T$108,MATCH(C38,'Facilities'!$C$9:$C$108,0))+AG38)))</x:f>
        <x:v>0.9813974999999999</x:v>
      </x:c>
      <x:c r="AA38" s="23" t="n">
        <x:f>IF(C38="","",IF(AQ38&lt;&gt;"Ready","Unavailable",IF(C38="","",O38*(1-IF(INDEX('Facilities'!$AA$9:$AA$108,MATCH(C38,'Facilities'!$C$9:$C$108,0))=0,0,MIN(1,INDEX('Facilities'!$X$9:$X$108,MATCH(C38,'Facilities'!$C$9:$C$108,0))/INDEX('Facilities'!$AA$9:$AA$108,MATCH(C38,'Facilities'!$C$9:$C$108,0)))))*AF38+P38*(1-IF(INDEX('Facilities'!$AA$9:$AA$108,MATCH(C38,'Facilities'!$C$9:$C$108,0))=0,0,MIN(1,INDEX('Facilities'!$X$9:$X$108,MATCH(C38,'Facilities'!$C$9:$C$108,0))/INDEX('Facilities'!$AA$9:$AA$108,MATCH(C38,'Facilities'!$C$9:$C$108,0)))))*INDEX('Facilities'!$AJ$9:$AJ$108,MATCH(C38,'Facilities'!$C$9:$C$108,0))+Q38*INDEX('Facilities'!$AI$9:$AI$108,MATCH(C38,'Facilities'!$C$9:$C$108,0))*AF38)))</x:f>
        <x:v>10.3324361472</x:v>
      </x:c>
      <x:c r="AB38" s="21" t="n">
        <x:f>IF(C38="","",O38+P38-AD38)</x:f>
        <x:v>-1.2390000000000008</x:v>
      </x:c>
      <x:c r="AC38" s="23" t="n">
        <x:f>IF(C38="","",IFERROR(IF(INDEX('Facilities'!$AD$9:$AD$108,MATCH(C38,'Facilities'!$C$9:$C$108,0))=3,0,IF(INDEX('Facilities'!$AN$9:$AN$108,MATCH(C38,'Facilities'!$C$9:$C$108,0))=0,-1,INDEX('Facilities'!$AN$9:$AN$108,MATCH(C38,'Facilities'!$C$9:$C$108,0)))),"Unavailable"))</x:f>
        <x:v>-1</x:v>
      </x:c>
      <x:c r="AD38" s="21" t="n">
        <x:f>IF(C38="","",IFERROR(G38+H38,"Unavailable"))</x:f>
        <x:v>10.95</x:v>
      </x:c>
      <x:c r="AE38" s="21" t="n">
        <x:f>IF(C38="","",IF(AQ38&lt;&gt;"Ready","Unavailable",IF(C38="","",O38+P38-AD38-J38+K38+M38+N38)))</x:f>
        <x:v>-8.881784197001252e-16</x:v>
      </x:c>
      <x:c r="AF38" s="30" t="n">
        <x:f>IF(C38="","",IFERROR(INDEX('Facilities'!$S$9:$S$108,MATCH(C38,'Facilities'!$C$9:$C$108,0))*'Scenario Paths'!F75,"Unavailable"))</x:f>
        <x:v>1.02</x:v>
      </x:c>
      <x:c r="AG38" s="23" t="n">
        <x:f>IF(C38="","",IF(AQ38&lt;&gt;"Ready","Unavailable",IF(C38="","",IF(H38&gt;0,MAX(0,H38-AK38)*((1+INDEX('Facilities'!$K$9:$K$108,MATCH(C38,'Facilities'!$C$9:$C$108,0)))^MIN(1,MAX(0,AC38+INDEX('Facilities'!$AK$9:$AK$108,MATCH(C38,'Facilities'!$C$9:$C$108,0))-D38+1))-1),0))))</x:f>
        <x:v>0</x:v>
      </x:c>
      <x:c r="AH38" s="21" t="n">
        <x:f>IF(C38="","",IF(AQ38&lt;&gt;"Ready","Unavailable",IF(C38="","",O38+P38)))</x:f>
        <x:v>9.710999999999999</x:v>
      </x:c>
      <x:c r="AI38" s="21" t="n">
        <x:f>IF(C38="","",IF(AQ38&lt;&gt;"Ready","Unavailable",IF(C38="","",Z38-Y38)))</x:f>
        <x:v>1.032029162872944</x:v>
      </x:c>
      <x:c r="AJ38" s="23" t="n">
        <x:f>IF(C38="","",IFERROR(MAX(0,INDEX('Facilities'!$J$9:$J$108,MATCH(C38,'Facilities'!$C$9:$C$108,0))-D38),"Unavailable"))</x:f>
        <x:v>6</x:v>
      </x:c>
      <x:c r="AK38" s="23" t="n">
        <x:f>IF(C38="","",IFERROR(IF(INDEX('Facilities'!$AD$9:$AD$108,MATCH(C38,'Facilities'!$C$9:$C$108,0))=3,W38,0),"Unavailable"))</x:f>
        <x:v>0</x:v>
      </x:c>
      <x:c r="AL38" s="23" t="n">
        <x:f>IF(C38="","",IFERROR(IF(P38&gt;0,P38*(1-AM38/(1+INDEX('Facilities'!$K$9:$K$108,MATCH(C38,'Facilities'!$C$9:$C$108,0)))^MAX(0,AC38+INDEX('Facilities'!$AK$9:$AK$108,MATCH(C38,'Facilities'!$C$9:$C$108,0))-D38)),0),"Unavailable"))</x:f>
        <x:v>0</x:v>
      </x:c>
      <x:c r="AM38" s="30" t="n">
        <x:f>IF(C38="","",IFERROR(INDEX('Facilities'!$AL$9:$AL$108,MATCH(C38,'Facilities'!$C$9:$C$108,0)),"Unavailable"))</x:f>
        <x:v>0.55</x:v>
      </x:c>
      <x:c r="AN38" s="30" t="n">
        <x:f>IF(C38="","",IFERROR(INDEX(Credit!$T$9:$T$108,MATCH(F38,Credit!$C$9:$C$108,0)),"Unavailable"))</x:f>
        <x:v>0.001144</x:v>
      </x:c>
      <x:c r="AO38" s="23" t="n">
        <x:f>IF(C38="","",IF(AQ38&lt;&gt;"Ready","Unavailable",IF(C38="","",O38+P38+Q38*INDEX('Facilities'!$I$9:$I$108,MATCH(C38,'Facilities'!$C$9:$C$108,0)))))</x:f>
        <x:v>10.423499999999999</x:v>
      </x:c>
      <x:c r="AP38" s="21" t="n">
        <x:f>IF(C38="","",IF(AQ38&lt;&gt;"Ready","Unavailable",IF(C38="","",AH38-U38)))</x:f>
        <x:v>9.515626266472472</x:v>
      </x:c>
      <x:c r="AQ38" s="23" t="str">
        <x:f>IFERROR(IF(C38="","",IF(AND(INDEX('Facilities'!$AF$9:$AF$108,MATCH(C38,'Facilities'!$C$9:$C$108,0))="Ready",INDEX(Credit!$U$9:$U$108,MATCH(F38,Credit!$C$9:$C$108,0))="Ready",ISNUMBER(W38)),"Ready","Review inputs")),"Review inputs")</x:f>
        <x:v>Ready</x:v>
      </x:c>
      <x:c r="AR38" s="23" t="n">
        <x:f>IF(C38="","",IF(AQ38&lt;&gt;"Ready","Unavailable",IF(C38="","",IF(O38=0,0,(IF(AJ38&lt;=1,O38,O38*INDEX('Facilities'!$R$9:$R$108,MATCH(C38,'Facilities'!$C$9:$C$108,0)))+O38*INDEX('Facilities'!$T$9:$T$108,MATCH(C38,'Facilities'!$C$9:$C$108,0)))/12))))</x:f>
        <x:v>0.17398874999999994</x:v>
      </x:c>
    </x:row>
    <x:row r="39" ht="26" customHeight="1">
      <x:c r="A39" s="1"/>
      <x:c r="B39" s="1"/>
      <x:c r="C39" s="9" t="str">
        <x:f>IF(Facilities!C39="","",Facilities!C39)</x:f>
        <x:v>F031</x:v>
      </x:c>
      <x:c r="D39" s="3" t="n">
        <x:v>1</x:v>
      </x:c>
      <x:c r="E39" s="9" t="n">
        <x:f>Settings!$F$18+0</x:f>
        <x:v>2027</x:v>
      </x:c>
      <x:c r="F39" s="9" t="str">
        <x:f>IF(C39="","",IFERROR(INDEX('Facilities'!$D$9:$D$108,MATCH(C39,'Facilities'!$C$9:$C$108,0)),"Unavailable"))</x:f>
        <x:v>B019</x:v>
      </x:c>
      <x:c r="G39" s="23" t="n">
        <x:f>IF(C39="","",IFERROR(IF(INDEX('Facilities'!$AD$9:$AD$108,MATCH(C39,'Facilities'!$C$9:$C$108,0))=3,0,INDEX('Facilities'!$AA$9:$AA$108,MATCH(C39,'Facilities'!$C$9:$C$108,0))),"Unavailable"))</x:f>
        <x:v>11.3</x:v>
      </x:c>
      <x:c r="H39" s="23" t="n">
        <x:f>IF(C39="","",IFERROR(IF(INDEX('Facilities'!$AD$9:$AD$108,MATCH(C39,'Facilities'!$C$9:$C$108,0))=3,INDEX('Facilities'!$AA$9:$AA$108,MATCH(C39,'Facilities'!$C$9:$C$108,0)),0),"Unavailable"))</x:f>
        <x:v>0</x:v>
      </x:c>
      <x:c r="I39" s="23" t="n">
        <x:f>IF(C39="","",IFERROR(INDEX('Facilities'!$AB$9:$AB$108,MATCH(C39,'Facilities'!$C$9:$C$108,0)),"Unavailable"))</x:f>
        <x:v>1.5</x:v>
      </x:c>
      <x:c r="J39" s="23" t="n">
        <x:f>IF(C39="","",IFERROR(IF(OR(H39&gt;0,AND(AC39&gt;=0,AC39&lt;D39),D39&gt;INDEX('Facilities'!$J$9:$J$108,MATCH(C39,'Facilities'!$C$9:$C$108,0))),0,I39*'Scenario Paths'!F81),"Unavailable"))</x:f>
        <x:v>0.07500000000000001</x:v>
      </x:c>
      <x:c r="K39" s="23" t="n">
        <x:f>IF(C39="","",IFERROR(IF(OR(H39&gt;0,AND(AC39&gt;=0,AC39=D39)),0,IF(D39&gt;=INDEX('Facilities'!$J$9:$J$108,MATCH(C39,'Facilities'!$C$9:$C$108,0)),G39+J39,MIN(G39+J39,G39*INDEX('Facilities'!$R$9:$R$108,MATCH(C39,'Facilities'!$C$9:$C$108,0))))),"Unavailable"))</x:f>
        <x:v>1.356</x:v>
      </x:c>
      <x:c r="L39" s="21" t="n">
        <x:f>IF(C39="","",IFERROR(IF(AND(AC39=D39,AC39&gt;0),MAX(0,G39+J39-K39),0),"Unavailable"))</x:f>
        <x:v>0</x:v>
      </x:c>
      <x:c r="M39" s="23" t="n">
        <x:f>IF(C39="","",IFERROR(IF(AND(AC39&gt;=0,D39&gt;=AC39+INDEX('Facilities'!$AK$9:$AK$108,MATCH(C39,'Facilities'!$C$9:$C$108,0))),(H39+L39)*AM39,0),"Unavailable"))</x:f>
        <x:v>0</x:v>
      </x:c>
      <x:c r="N39" s="23" t="n">
        <x:f>IF(C39="","",IFERROR(IF(AND(AC39&gt;=0,D39&gt;=AC39+INDEX('Facilities'!$AK$9:$AK$108,MATCH(C39,'Facilities'!$C$9:$C$108,0))),H39+L39-M39,0),"Unavailable"))</x:f>
        <x:v>0</x:v>
      </x:c>
      <x:c r="O39" s="21" t="n">
        <x:f>IF(C39="","",IFERROR(MAX(0,G39+J39-K39-L39),"Unavailable"))</x:f>
        <x:v>10.019</x:v>
      </x:c>
      <x:c r="P39" s="21" t="n">
        <x:f>IF(C39="","",IFERROR(MAX(0,H39+L39-M39-N39),"Unavailable"))</x:f>
        <x:v>0</x:v>
      </x:c>
      <x:c r="Q39" s="23" t="n">
        <x:f>IF(C39="","",IFERROR(IF(OR(D39&gt;=INDEX('Facilities'!$J$9:$J$108,MATCH(C39,'Facilities'!$C$9:$C$108,0)),AND(AC39&gt;=0,AC39&lt;=D39)),0,MAX(0,I39-J39)),"Unavailable"))</x:f>
        <x:v>1.425</x:v>
      </x:c>
      <x:c r="R39" s="30" t="n">
        <x:f>IF(C39="","",IFERROR(INDEX(Credit!$Q$9:$Q$108,MATCH(F39,Credit!$C$9:$C$108,0)),"Unavailable"))</x:f>
        <x:v>0.01346058003752779</x:v>
      </x:c>
      <x:c r="S39" s="30" t="n">
        <x:f>IF(C39="","",IFERROR(INDEX(Credit!$R$9:$R$108,MATCH(F39,Credit!$C$9:$C$108,0)),"Unavailable"))</x:f>
        <x:v>0.4004704</x:v>
      </x:c>
      <x:c r="T39" s="23" t="n">
        <x:f>IF(C39="","",IFERROR(IF(P39&gt;0,3,IF(OR(INDEX('Facilities'!$AD$9:$AD$108,MATCH(C39,'Facilities'!$C$9:$C$108,0))=2,AND(R39&gt;=INDEX('Facilities'!$L$9:$L$108,MATCH(C39,'Facilities'!$C$9:$C$108,0))*Settings!$F$19,R39-INDEX('Facilities'!$L$9:$L$108,MATCH(C39,'Facilities'!$C$9:$C$108,0))&gt;=Settings!$F$20)),2,1)),"Unavailable"))</x:f>
        <x:v>1</x:v>
      </x:c>
      <x:c r="U39" s="23" t="n">
        <x:f>IF(C39="","",IF(AQ39&lt;&gt;"Ready","Unavailable",IF(C39="","",O39*(1-(1-S39)/(1+INDEX('Facilities'!$K$9:$K$108,MATCH(C39,'Facilities'!$C$9:$C$108,0)))^INDEX('Facilities'!$AK$9:$AK$108,MATCH(C39,'Facilities'!$C$9:$C$108,0)))*R39/(1+INDEX('Facilities'!$K$9:$K$108,MATCH(C39,'Facilities'!$C$9:$C$108,0)))*IF(ABS(1-(1-R39)*(1-INDEX('Facilities'!$R$9:$R$108,MATCH(C39,'Facilities'!$C$9:$C$108,0)))/(1+INDEX('Facilities'!$K$9:$K$108,MATCH(C39,'Facilities'!$C$9:$C$108,0))))&lt;0.000000001,IF(T39=1,MIN(1,AJ39),AJ39),(1-((1-R39)*(1-INDEX('Facilities'!$R$9:$R$108,MATCH(C39,'Facilities'!$C$9:$C$108,0)))/(1+INDEX('Facilities'!$K$9:$K$108,MATCH(C39,'Facilities'!$C$9:$C$108,0))))^IF(T39=1,MIN(1,AJ39),AJ39))/(1-(1-R39)*(1-INDEX('Facilities'!$R$9:$R$108,MATCH(C39,'Facilities'!$C$9:$C$108,0)))/(1+INDEX('Facilities'!$K$9:$K$108,MATCH(C39,'Facilities'!$C$9:$C$108,0)))))+AL39)))</x:f>
        <x:v>0.06068769812819593</x:v>
      </x:c>
      <x:c r="V39" s="23" t="n">
        <x:f>IF(C39="","",IF(AQ39&lt;&gt;"Ready","Unavailable",IF(C39="","",Q39*INDEX('Facilities'!$I$9:$I$108,MATCH(C39,'Facilities'!$C$9:$C$108,0))*(1-(1-S39)/(1+INDEX('Facilities'!$K$9:$K$108,MATCH(C39,'Facilities'!$C$9:$C$108,0)))^INDEX('Facilities'!$AK$9:$AK$108,MATCH(C39,'Facilities'!$C$9:$C$108,0)))*R39/(1+INDEX('Facilities'!$K$9:$K$108,MATCH(C39,'Facilities'!$C$9:$C$108,0)))*IF(ABS(1-(1-R39)*(1-0)/(1+INDEX('Facilities'!$K$9:$K$108,MATCH(C39,'Facilities'!$C$9:$C$108,0))))&lt;0.000000001,IF(T39=1,MIN(1,AJ39),AJ39),(1-((1-R39)*(1-0)/(1+INDEX('Facilities'!$K$9:$K$108,MATCH(C39,'Facilities'!$C$9:$C$108,0))))^IF(T39=1,MIN(1,AJ39),AJ39))/(1-(1-R39)*(1-0)/(1+INDEX('Facilities'!$K$9:$K$108,MATCH(C39,'Facilities'!$C$9:$C$108,0))))))))</x:f>
        <x:v>0.0043157984745323475</x:v>
      </x:c>
      <x:c r="W39" s="23" t="n">
        <x:f>IF(C39="","",IFERROR(INDEX(ECL!$AB$9:$AB$108,MATCH(C39,ECL!$C$9:$C$108,0)),"Unavailable"))</x:f>
        <x:v>0.07740396662094194</x:v>
      </x:c>
      <x:c r="X39" s="23" t="n">
        <x:f>IF(C39="","",IFERROR(INDEX(ECL!$AC$9:$AC$108,MATCH(C39,ECL!$C$9:$C$108,0)),"Unavailable"))</x:f>
        <x:v>0.0051374314128943745</x:v>
      </x:c>
      <x:c r="Y39" s="21" t="n">
        <x:f>IF(C39="","",IF(AQ39&lt;&gt;"Ready","Unavailable",IF(C39="","",U39-W39+V39-X39+N39+AG39)))</x:f>
        <x:v>-0.01753790143110804</x:v>
      </x:c>
      <x:c r="Z39" s="23" t="n">
        <x:f>IF(C39="","",IF(AQ39&lt;&gt;"Ready","Unavailable",IF(C39="","",(G39+O39+L39)/2*INDEX('Facilities'!$T$9:$T$108,MATCH(C39,'Facilities'!$C$9:$C$108,0))+AG39)))</x:f>
        <x:v>1.0126525000000002</x:v>
      </x:c>
      <x:c r="AA39" s="23" t="n">
        <x:f>IF(C39="","",IF(AQ39&lt;&gt;"Ready","Unavailable",IF(C39="","",O39*(1-IF(INDEX('Facilities'!$AA$9:$AA$108,MATCH(C39,'Facilities'!$C$9:$C$108,0))=0,0,MIN(1,INDEX('Facilities'!$X$9:$X$108,MATCH(C39,'Facilities'!$C$9:$C$108,0))/INDEX('Facilities'!$AA$9:$AA$108,MATCH(C39,'Facilities'!$C$9:$C$108,0)))))*AF39+P39*(1-IF(INDEX('Facilities'!$AA$9:$AA$108,MATCH(C39,'Facilities'!$C$9:$C$108,0))=0,0,MIN(1,INDEX('Facilities'!$X$9:$X$108,MATCH(C39,'Facilities'!$C$9:$C$108,0))/INDEX('Facilities'!$AA$9:$AA$108,MATCH(C39,'Facilities'!$C$9:$C$108,0)))))*INDEX('Facilities'!$AJ$9:$AJ$108,MATCH(C39,'Facilities'!$C$9:$C$108,0))+Q39*INDEX('Facilities'!$AI$9:$AI$108,MATCH(C39,'Facilities'!$C$9:$C$108,0))*AF39)))</x:f>
        <x:v>10.848023952000002</x:v>
      </x:c>
      <x:c r="AB39" s="21" t="n">
        <x:f>IF(C39="","",O39+P39-AD39)</x:f>
        <x:v>-1.2810000000000006</x:v>
      </x:c>
      <x:c r="AC39" s="23" t="n">
        <x:f>IF(C39="","",IFERROR(IF(INDEX('Facilities'!$AD$9:$AD$108,MATCH(C39,'Facilities'!$C$9:$C$108,0))=3,0,IF(INDEX('Facilities'!$AN$9:$AN$108,MATCH(C39,'Facilities'!$C$9:$C$108,0))=0,-1,INDEX('Facilities'!$AN$9:$AN$108,MATCH(C39,'Facilities'!$C$9:$C$108,0)))),"Unavailable"))</x:f>
        <x:v>-1</x:v>
      </x:c>
      <x:c r="AD39" s="21" t="n">
        <x:f>IF(C39="","",IFERROR(G39+H39,"Unavailable"))</x:f>
        <x:v>11.3</x:v>
      </x:c>
      <x:c r="AE39" s="21" t="n">
        <x:f>IF(C39="","",IF(AQ39&lt;&gt;"Ready","Unavailable",IF(C39="","",O39+P39-AD39-J39+K39+M39+N39)))</x:f>
        <x:v>-4.440892098500626e-16</x:v>
      </x:c>
      <x:c r="AF39" s="30" t="n">
        <x:f>IF(C39="","",IFERROR(INDEX('Facilities'!$S$9:$S$108,MATCH(C39,'Facilities'!$C$9:$C$108,0))*'Scenario Paths'!F75,"Unavailable"))</x:f>
        <x:v>1.02</x:v>
      </x:c>
      <x:c r="AG39" s="23" t="n">
        <x:f>IF(C39="","",IF(AQ39&lt;&gt;"Ready","Unavailable",IF(C39="","",IF(H39&gt;0,MAX(0,H39-AK39)*((1+INDEX('Facilities'!$K$9:$K$108,MATCH(C39,'Facilities'!$C$9:$C$108,0)))^MIN(1,MAX(0,AC39+INDEX('Facilities'!$AK$9:$AK$108,MATCH(C39,'Facilities'!$C$9:$C$108,0))-D39+1))-1),0))))</x:f>
        <x:v>0</x:v>
      </x:c>
      <x:c r="AH39" s="21" t="n">
        <x:f>IF(C39="","",IF(AQ39&lt;&gt;"Ready","Unavailable",IF(C39="","",O39+P39)))</x:f>
        <x:v>10.019</x:v>
      </x:c>
      <x:c r="AI39" s="21" t="n">
        <x:f>IF(C39="","",IF(AQ39&lt;&gt;"Ready","Unavailable",IF(C39="","",Z39-Y39)))</x:f>
        <x:v>1.0301904014311083</x:v>
      </x:c>
      <x:c r="AJ39" s="23" t="n">
        <x:f>IF(C39="","",IFERROR(MAX(0,INDEX('Facilities'!$J$9:$J$108,MATCH(C39,'Facilities'!$C$9:$C$108,0))-D39),"Unavailable"))</x:f>
        <x:v>7</x:v>
      </x:c>
      <x:c r="AK39" s="23" t="n">
        <x:f>IF(C39="","",IFERROR(IF(INDEX('Facilities'!$AD$9:$AD$108,MATCH(C39,'Facilities'!$C$9:$C$108,0))=3,W39,0),"Unavailable"))</x:f>
        <x:v>0</x:v>
      </x:c>
      <x:c r="AL39" s="23" t="n">
        <x:f>IF(C39="","",IFERROR(IF(P39&gt;0,P39*(1-AM39/(1+INDEX('Facilities'!$K$9:$K$108,MATCH(C39,'Facilities'!$C$9:$C$108,0)))^MAX(0,AC39+INDEX('Facilities'!$AK$9:$AK$108,MATCH(C39,'Facilities'!$C$9:$C$108,0))-D39)),0),"Unavailable"))</x:f>
        <x:v>0</x:v>
      </x:c>
      <x:c r="AM39" s="30" t="n">
        <x:f>IF(C39="","",IFERROR(INDEX('Facilities'!$AL$9:$AL$108,MATCH(C39,'Facilities'!$C$9:$C$108,0)),"Unavailable"))</x:f>
        <x:v>0.55</x:v>
      </x:c>
      <x:c r="AN39" s="30" t="n">
        <x:f>IF(C39="","",IFERROR(INDEX(Credit!$T$9:$T$108,MATCH(F39,Credit!$C$9:$C$108,0)),"Unavailable"))</x:f>
        <x:v>0.000784</x:v>
      </x:c>
      <x:c r="AO39" s="23" t="n">
        <x:f>IF(C39="","",IF(AQ39&lt;&gt;"Ready","Unavailable",IF(C39="","",O39+P39+Q39*INDEX('Facilities'!$I$9:$I$108,MATCH(C39,'Facilities'!$C$9:$C$108,0)))))</x:f>
        <x:v>10.7315</x:v>
      </x:c>
      <x:c r="AP39" s="21" t="n">
        <x:f>IF(C39="","",IF(AQ39&lt;&gt;"Ready","Unavailable",IF(C39="","",AH39-U39)))</x:f>
        <x:v>9.958312301871803</x:v>
      </x:c>
      <x:c r="AQ39" s="23" t="str">
        <x:f>IFERROR(IF(C39="","",IF(AND(INDEX('Facilities'!$AF$9:$AF$108,MATCH(C39,'Facilities'!$C$9:$C$108,0))="Ready",INDEX(Credit!$U$9:$U$108,MATCH(F39,Credit!$C$9:$C$108,0))="Ready",ISNUMBER(W39)),"Ready","Review inputs")),"Review inputs")</x:f>
        <x:v>Ready</x:v>
      </x:c>
      <x:c r="AR39" s="23" t="n">
        <x:f>IF(C39="","",IF(AQ39&lt;&gt;"Ready","Unavailable",IF(C39="","",IF(O39=0,0,(IF(AJ39&lt;=1,O39,O39*INDEX('Facilities'!$R$9:$R$108,MATCH(C39,'Facilities'!$C$9:$C$108,0)))+O39*INDEX('Facilities'!$T$9:$T$108,MATCH(C39,'Facilities'!$C$9:$C$108,0)))/12))))</x:f>
        <x:v>0.17950708333333334</x:v>
      </x:c>
    </x:row>
    <x:row r="40" ht="26" customHeight="1">
      <x:c r="A40" s="1"/>
      <x:c r="B40" s="1"/>
      <x:c r="C40" s="9" t="str">
        <x:f>IF(Facilities!C40="","",Facilities!C40)</x:f>
        <x:v>F032</x:v>
      </x:c>
      <x:c r="D40" s="3" t="n">
        <x:v>1</x:v>
      </x:c>
      <x:c r="E40" s="9" t="n">
        <x:f>Settings!$F$18+0</x:f>
        <x:v>2027</x:v>
      </x:c>
      <x:c r="F40" s="9" t="str">
        <x:f>IF(C40="","",IFERROR(INDEX('Facilities'!$D$9:$D$108,MATCH(C40,'Facilities'!$C$9:$C$108,0)),"Unavailable"))</x:f>
        <x:v>B020</x:v>
      </x:c>
      <x:c r="G40" s="23" t="n">
        <x:f>IF(C40="","",IFERROR(IF(INDEX('Facilities'!$AD$9:$AD$108,MATCH(C40,'Facilities'!$C$9:$C$108,0))=3,0,INDEX('Facilities'!$AA$9:$AA$108,MATCH(C40,'Facilities'!$C$9:$C$108,0))),"Unavailable"))</x:f>
        <x:v>11.649999999999999</x:v>
      </x:c>
      <x:c r="H40" s="23" t="n">
        <x:f>IF(C40="","",IFERROR(IF(INDEX('Facilities'!$AD$9:$AD$108,MATCH(C40,'Facilities'!$C$9:$C$108,0))=3,INDEX('Facilities'!$AA$9:$AA$108,MATCH(C40,'Facilities'!$C$9:$C$108,0)),0),"Unavailable"))</x:f>
        <x:v>0</x:v>
      </x:c>
      <x:c r="I40" s="23" t="n">
        <x:f>IF(C40="","",IFERROR(INDEX('Facilities'!$AB$9:$AB$108,MATCH(C40,'Facilities'!$C$9:$C$108,0)),"Unavailable"))</x:f>
        <x:v>1.5</x:v>
      </x:c>
      <x:c r="J40" s="23" t="n">
        <x:f>IF(C40="","",IFERROR(IF(OR(H40&gt;0,AND(AC40&gt;=0,AC40&lt;D40),D40&gt;INDEX('Facilities'!$J$9:$J$108,MATCH(C40,'Facilities'!$C$9:$C$108,0))),0,I40*'Scenario Paths'!F81),"Unavailable"))</x:f>
        <x:v>0.07500000000000001</x:v>
      </x:c>
      <x:c r="K40" s="23" t="n">
        <x:f>IF(C40="","",IFERROR(IF(OR(H40&gt;0,AND(AC40&gt;=0,AC40=D40)),0,IF(D40&gt;=INDEX('Facilities'!$J$9:$J$108,MATCH(C40,'Facilities'!$C$9:$C$108,0)),G40+J40,MIN(G40+J40,G40*INDEX('Facilities'!$R$9:$R$108,MATCH(C40,'Facilities'!$C$9:$C$108,0))))),"Unavailable"))</x:f>
        <x:v>1.3979999999999997</x:v>
      </x:c>
      <x:c r="L40" s="21" t="n">
        <x:f>IF(C40="","",IFERROR(IF(AND(AC40=D40,AC40&gt;0),MAX(0,G40+J40-K40),0),"Unavailable"))</x:f>
        <x:v>0</x:v>
      </x:c>
      <x:c r="M40" s="23" t="n">
        <x:f>IF(C40="","",IFERROR(IF(AND(AC40&gt;=0,D40&gt;=AC40+INDEX('Facilities'!$AK$9:$AK$108,MATCH(C40,'Facilities'!$C$9:$C$108,0))),(H40+L40)*AM40,0),"Unavailable"))</x:f>
        <x:v>0</x:v>
      </x:c>
      <x:c r="N40" s="23" t="n">
        <x:f>IF(C40="","",IFERROR(IF(AND(AC40&gt;=0,D40&gt;=AC40+INDEX('Facilities'!$AK$9:$AK$108,MATCH(C40,'Facilities'!$C$9:$C$108,0))),H40+L40-M40,0),"Unavailable"))</x:f>
        <x:v>0</x:v>
      </x:c>
      <x:c r="O40" s="21" t="n">
        <x:f>IF(C40="","",IFERROR(MAX(0,G40+J40-K40-L40),"Unavailable"))</x:f>
        <x:v>10.326999999999998</x:v>
      </x:c>
      <x:c r="P40" s="21" t="n">
        <x:f>IF(C40="","",IFERROR(MAX(0,H40+L40-M40-N40),"Unavailable"))</x:f>
        <x:v>0</x:v>
      </x:c>
      <x:c r="Q40" s="23" t="n">
        <x:f>IF(C40="","",IFERROR(IF(OR(D40&gt;=INDEX('Facilities'!$J$9:$J$108,MATCH(C40,'Facilities'!$C$9:$C$108,0)),AND(AC40&gt;=0,AC40&lt;=D40)),0,MAX(0,I40-J40)),"Unavailable"))</x:f>
        <x:v>1.425</x:v>
      </x:c>
      <x:c r="R40" s="30" t="n">
        <x:f>IF(C40="","",IFERROR(INDEX(Credit!$Q$9:$Q$108,MATCH(F40,Credit!$C$9:$C$108,0)),"Unavailable"))</x:f>
        <x:v>0.02038364865305621</x:v>
      </x:c>
      <x:c r="S40" s="30" t="n">
        <x:f>IF(C40="","",IFERROR(INDEX(Credit!$R$9:$R$108,MATCH(F40,Credit!$C$9:$C$108,0)),"Unavailable"))</x:f>
        <x:v>0.44076160000000003</x:v>
      </x:c>
      <x:c r="T40" s="23" t="n">
        <x:f>IF(C40="","",IFERROR(IF(P40&gt;0,3,IF(OR(INDEX('Facilities'!$AD$9:$AD$108,MATCH(C40,'Facilities'!$C$9:$C$108,0))=2,AND(R40&gt;=INDEX('Facilities'!$L$9:$L$108,MATCH(C40,'Facilities'!$C$9:$C$108,0))*Settings!$F$19,R40-INDEX('Facilities'!$L$9:$L$108,MATCH(C40,'Facilities'!$C$9:$C$108,0))&gt;=Settings!$F$20)),2,1)),"Unavailable"))</x:f>
        <x:v>1</x:v>
      </x:c>
      <x:c r="U40" s="23" t="n">
        <x:f>IF(C40="","",IF(AQ40&lt;&gt;"Ready","Unavailable",IF(C40="","",O40*(1-(1-S40)/(1+INDEX('Facilities'!$K$9:$K$108,MATCH(C40,'Facilities'!$C$9:$C$108,0)))^INDEX('Facilities'!$AK$9:$AK$108,MATCH(C40,'Facilities'!$C$9:$C$108,0)))*R40/(1+INDEX('Facilities'!$K$9:$K$108,MATCH(C40,'Facilities'!$C$9:$C$108,0)))*IF(ABS(1-(1-R40)*(1-INDEX('Facilities'!$R$9:$R$108,MATCH(C40,'Facilities'!$C$9:$C$108,0)))/(1+INDEX('Facilities'!$K$9:$K$108,MATCH(C40,'Facilities'!$C$9:$C$108,0))))&lt;0.000000001,IF(T40=1,MIN(1,AJ40),AJ40),(1-((1-R40)*(1-INDEX('Facilities'!$R$9:$R$108,MATCH(C40,'Facilities'!$C$9:$C$108,0)))/(1+INDEX('Facilities'!$K$9:$K$108,MATCH(C40,'Facilities'!$C$9:$C$108,0))))^IF(T40=1,MIN(1,AJ40),AJ40))/(1-(1-R40)*(1-INDEX('Facilities'!$R$9:$R$108,MATCH(C40,'Facilities'!$C$9:$C$108,0)))/(1+INDEX('Facilities'!$K$9:$K$108,MATCH(C40,'Facilities'!$C$9:$C$108,0)))))+AL40)))</x:f>
        <x:v>0.1014586623569463</x:v>
      </x:c>
      <x:c r="V40" s="23" t="n">
        <x:f>IF(C40="","",IF(AQ40&lt;&gt;"Ready","Unavailable",IF(C40="","",Q40*INDEX('Facilities'!$I$9:$I$108,MATCH(C40,'Facilities'!$C$9:$C$108,0))*(1-(1-S40)/(1+INDEX('Facilities'!$K$9:$K$108,MATCH(C40,'Facilities'!$C$9:$C$108,0)))^INDEX('Facilities'!$AK$9:$AK$108,MATCH(C40,'Facilities'!$C$9:$C$108,0)))*R40/(1+INDEX('Facilities'!$K$9:$K$108,MATCH(C40,'Facilities'!$C$9:$C$108,0)))*IF(ABS(1-(1-R40)*(1-0)/(1+INDEX('Facilities'!$K$9:$K$108,MATCH(C40,'Facilities'!$C$9:$C$108,0))))&lt;0.000000001,IF(T40=1,MIN(1,AJ40),AJ40),(1-((1-R40)*(1-0)/(1+INDEX('Facilities'!$K$9:$K$108,MATCH(C40,'Facilities'!$C$9:$C$108,0))))^IF(T40=1,MIN(1,AJ40),AJ40))/(1-(1-R40)*(1-0)/(1+INDEX('Facilities'!$K$9:$K$108,MATCH(C40,'Facilities'!$C$9:$C$108,0))))))))</x:f>
        <x:v>0.007000028752718528</x:v>
      </x:c>
      <x:c r="W40" s="23" t="n">
        <x:f>IF(C40="","",IFERROR(INDEX(ECL!$AB$9:$AB$108,MATCH(C40,ECL!$C$9:$C$108,0)),"Unavailable"))</x:f>
        <x:v>0.1283068115569273</x:v>
      </x:c>
      <x:c r="X40" s="23" t="n">
        <x:f>IF(C40="","",IFERROR(INDEX(ECL!$AC$9:$AC$108,MATCH(C40,ECL!$C$9:$C$108,0)),"Unavailable"))</x:f>
        <x:v>0.008260095164609054</x:v>
      </x:c>
      <x:c r="Y40" s="21" t="n">
        <x:f>IF(C40="","",IF(AQ40&lt;&gt;"Ready","Unavailable",IF(C40="","",U40-W40+V40-X40+N40+AG40)))</x:f>
        <x:v>-0.02810821561187153</x:v>
      </x:c>
      <x:c r="Z40" s="23" t="n">
        <x:f>IF(C40="","",IF(AQ40&lt;&gt;"Ready","Unavailable",IF(C40="","",(G40+O40+L40)/2*INDEX('Facilities'!$T$9:$T$108,MATCH(C40,'Facilities'!$C$9:$C$108,0))+AG40)))</x:f>
        <x:v>1.0439074999999998</x:v>
      </x:c>
      <x:c r="AA40" s="23" t="n">
        <x:f>IF(C40="","",IF(AQ40&lt;&gt;"Ready","Unavailable",IF(C40="","",O40*(1-IF(INDEX('Facilities'!$AA$9:$AA$108,MATCH(C40,'Facilities'!$C$9:$C$108,0))=0,0,MIN(1,INDEX('Facilities'!$X$9:$X$108,MATCH(C40,'Facilities'!$C$9:$C$108,0))/INDEX('Facilities'!$AA$9:$AA$108,MATCH(C40,'Facilities'!$C$9:$C$108,0)))))*AF40+P40*(1-IF(INDEX('Facilities'!$AA$9:$AA$108,MATCH(C40,'Facilities'!$C$9:$C$108,0))=0,0,MIN(1,INDEX('Facilities'!$X$9:$X$108,MATCH(C40,'Facilities'!$C$9:$C$108,0))/INDEX('Facilities'!$AA$9:$AA$108,MATCH(C40,'Facilities'!$C$9:$C$108,0)))))*INDEX('Facilities'!$AJ$9:$AJ$108,MATCH(C40,'Facilities'!$C$9:$C$108,0))+Q40*INDEX('Facilities'!$AI$9:$AI$108,MATCH(C40,'Facilities'!$C$9:$C$108,0))*AF40)))</x:f>
        <x:v>11.093438726399999</x:v>
      </x:c>
      <x:c r="AB40" s="21" t="n">
        <x:f>IF(C40="","",O40+P40-AD40)</x:f>
        <x:v>-1.3230000000000004</x:v>
      </x:c>
      <x:c r="AC40" s="23" t="n">
        <x:f>IF(C40="","",IFERROR(IF(INDEX('Facilities'!$AD$9:$AD$108,MATCH(C40,'Facilities'!$C$9:$C$108,0))=3,0,IF(INDEX('Facilities'!$AN$9:$AN$108,MATCH(C40,'Facilities'!$C$9:$C$108,0))=0,-1,INDEX('Facilities'!$AN$9:$AN$108,MATCH(C40,'Facilities'!$C$9:$C$108,0)))),"Unavailable"))</x:f>
        <x:v>-1</x:v>
      </x:c>
      <x:c r="AD40" s="21" t="n">
        <x:f>IF(C40="","",IFERROR(G40+H40,"Unavailable"))</x:f>
        <x:v>11.649999999999999</x:v>
      </x:c>
      <x:c r="AE40" s="21" t="n">
        <x:f>IF(C40="","",IF(AQ40&lt;&gt;"Ready","Unavailable",IF(C40="","",O40+P40-AD40-J40+K40+M40+N40)))</x:f>
        <x:v>-6.661338147750939e-16</x:v>
      </x:c>
      <x:c r="AF40" s="30" t="n">
        <x:f>IF(C40="","",IFERROR(INDEX('Facilities'!$S$9:$S$108,MATCH(C40,'Facilities'!$C$9:$C$108,0))*'Scenario Paths'!F75,"Unavailable"))</x:f>
        <x:v>1.02</x:v>
      </x:c>
      <x:c r="AG40" s="23" t="n">
        <x:f>IF(C40="","",IF(AQ40&lt;&gt;"Ready","Unavailable",IF(C40="","",IF(H40&gt;0,MAX(0,H40-AK40)*((1+INDEX('Facilities'!$K$9:$K$108,MATCH(C40,'Facilities'!$C$9:$C$108,0)))^MIN(1,MAX(0,AC40+INDEX('Facilities'!$AK$9:$AK$108,MATCH(C40,'Facilities'!$C$9:$C$108,0))-D40+1))-1),0))))</x:f>
        <x:v>0</x:v>
      </x:c>
      <x:c r="AH40" s="21" t="n">
        <x:f>IF(C40="","",IF(AQ40&lt;&gt;"Ready","Unavailable",IF(C40="","",O40+P40)))</x:f>
        <x:v>10.326999999999998</x:v>
      </x:c>
      <x:c r="AI40" s="21" t="n">
        <x:f>IF(C40="","",IF(AQ40&lt;&gt;"Ready","Unavailable",IF(C40="","",Z40-Y40)))</x:f>
        <x:v>1.0720157156118713</x:v>
      </x:c>
      <x:c r="AJ40" s="23" t="n">
        <x:f>IF(C40="","",IFERROR(MAX(0,INDEX('Facilities'!$J$9:$J$108,MATCH(C40,'Facilities'!$C$9:$C$108,0))-D40),"Unavailable"))</x:f>
        <x:v>8</x:v>
      </x:c>
      <x:c r="AK40" s="23" t="n">
        <x:f>IF(C40="","",IFERROR(IF(INDEX('Facilities'!$AD$9:$AD$108,MATCH(C40,'Facilities'!$C$9:$C$108,0))=3,W40,0),"Unavailable"))</x:f>
        <x:v>0</x:v>
      </x:c>
      <x:c r="AL40" s="23" t="n">
        <x:f>IF(C40="","",IFERROR(IF(P40&gt;0,P40*(1-AM40/(1+INDEX('Facilities'!$K$9:$K$108,MATCH(C40,'Facilities'!$C$9:$C$108,0)))^MAX(0,AC40+INDEX('Facilities'!$AK$9:$AK$108,MATCH(C40,'Facilities'!$C$9:$C$108,0))-D40)),0),"Unavailable"))</x:f>
        <x:v>0</x:v>
      </x:c>
      <x:c r="AM40" s="30" t="n">
        <x:f>IF(C40="","",IFERROR(INDEX('Facilities'!$AL$9:$AL$108,MATCH(C40,'Facilities'!$C$9:$C$108,0)),"Unavailable"))</x:f>
        <x:v>0.55</x:v>
      </x:c>
      <x:c r="AN40" s="30" t="n">
        <x:f>IF(C40="","",IFERROR(INDEX(Credit!$T$9:$T$108,MATCH(F40,Credit!$C$9:$C$108,0)),"Unavailable"))</x:f>
        <x:v>0.00136</x:v>
      </x:c>
      <x:c r="AO40" s="23" t="n">
        <x:f>IF(C40="","",IF(AQ40&lt;&gt;"Ready","Unavailable",IF(C40="","",O40+P40+Q40*INDEX('Facilities'!$I$9:$I$108,MATCH(C40,'Facilities'!$C$9:$C$108,0)))))</x:f>
        <x:v>11.039499999999999</x:v>
      </x:c>
      <x:c r="AP40" s="21" t="n">
        <x:f>IF(C40="","",IF(AQ40&lt;&gt;"Ready","Unavailable",IF(C40="","",AH40-U40)))</x:f>
        <x:v>10.225541337643051</x:v>
      </x:c>
      <x:c r="AQ40" s="23" t="str">
        <x:f>IFERROR(IF(C40="","",IF(AND(INDEX('Facilities'!$AF$9:$AF$108,MATCH(C40,'Facilities'!$C$9:$C$108,0))="Ready",INDEX(Credit!$U$9:$U$108,MATCH(F40,Credit!$C$9:$C$108,0))="Ready",ISNUMBER(W40)),"Ready","Review inputs")),"Review inputs")</x:f>
        <x:v>Ready</x:v>
      </x:c>
      <x:c r="AR40" s="23" t="n">
        <x:f>IF(C40="","",IF(AQ40&lt;&gt;"Ready","Unavailable",IF(C40="","",IF(O40=0,0,(IF(AJ40&lt;=1,O40,O40*INDEX('Facilities'!$R$9:$R$108,MATCH(C40,'Facilities'!$C$9:$C$108,0)))+O40*INDEX('Facilities'!$T$9:$T$108,MATCH(C40,'Facilities'!$C$9:$C$108,0)))/12))))</x:f>
        <x:v>0.18502541666666664</x:v>
      </x:c>
    </x:row>
    <x:row r="41" ht="26" customHeight="1">
      <x:c r="A41" s="1"/>
      <x:c r="B41" s="1"/>
      <x:c r="C41" s="9" t="str">
        <x:f>IF(Facilities!C41="","",Facilities!C41)</x:f>
        <x:v>F033</x:v>
      </x:c>
      <x:c r="D41" s="3" t="n">
        <x:v>1</x:v>
      </x:c>
      <x:c r="E41" s="9" t="n">
        <x:f>Settings!$F$18+0</x:f>
        <x:v>2027</x:v>
      </x:c>
      <x:c r="F41" s="9" t="str">
        <x:f>IF(C41="","",IFERROR(INDEX('Facilities'!$D$9:$D$108,MATCH(C41,'Facilities'!$C$9:$C$108,0)),"Unavailable"))</x:f>
        <x:v>B021</x:v>
      </x:c>
      <x:c r="G41" s="23" t="n">
        <x:f>IF(C41="","",IFERROR(IF(INDEX('Facilities'!$AD$9:$AD$108,MATCH(C41,'Facilities'!$C$9:$C$108,0))=3,0,INDEX('Facilities'!$AA$9:$AA$108,MATCH(C41,'Facilities'!$C$9:$C$108,0))),"Unavailable"))</x:f>
        <x:v>12</x:v>
      </x:c>
      <x:c r="H41" s="23" t="n">
        <x:f>IF(C41="","",IFERROR(IF(INDEX('Facilities'!$AD$9:$AD$108,MATCH(C41,'Facilities'!$C$9:$C$108,0))=3,INDEX('Facilities'!$AA$9:$AA$108,MATCH(C41,'Facilities'!$C$9:$C$108,0)),0),"Unavailable"))</x:f>
        <x:v>0</x:v>
      </x:c>
      <x:c r="I41" s="23" t="n">
        <x:f>IF(C41="","",IFERROR(INDEX('Facilities'!$AB$9:$AB$108,MATCH(C41,'Facilities'!$C$9:$C$108,0)),"Unavailable"))</x:f>
        <x:v>1.5</x:v>
      </x:c>
      <x:c r="J41" s="23" t="n">
        <x:f>IF(C41="","",IFERROR(IF(OR(H41&gt;0,AND(AC41&gt;=0,AC41&lt;D41),D41&gt;INDEX('Facilities'!$J$9:$J$108,MATCH(C41,'Facilities'!$C$9:$C$108,0))),0,I41*'Scenario Paths'!F81),"Unavailable"))</x:f>
        <x:v>0.07500000000000001</x:v>
      </x:c>
      <x:c r="K41" s="23" t="n">
        <x:f>IF(C41="","",IFERROR(IF(OR(H41&gt;0,AND(AC41&gt;=0,AC41=D41)),0,IF(D41&gt;=INDEX('Facilities'!$J$9:$J$108,MATCH(C41,'Facilities'!$C$9:$C$108,0)),G41+J41,MIN(G41+J41,G41*INDEX('Facilities'!$R$9:$R$108,MATCH(C41,'Facilities'!$C$9:$C$108,0))))),"Unavailable"))</x:f>
        <x:v>1.44</x:v>
      </x:c>
      <x:c r="L41" s="21" t="n">
        <x:f>IF(C41="","",IFERROR(IF(AND(AC41=D41,AC41&gt;0),MAX(0,G41+J41-K41),0),"Unavailable"))</x:f>
        <x:v>0</x:v>
      </x:c>
      <x:c r="M41" s="23" t="n">
        <x:f>IF(C41="","",IFERROR(IF(AND(AC41&gt;=0,D41&gt;=AC41+INDEX('Facilities'!$AK$9:$AK$108,MATCH(C41,'Facilities'!$C$9:$C$108,0))),(H41+L41)*AM41,0),"Unavailable"))</x:f>
        <x:v>0</x:v>
      </x:c>
      <x:c r="N41" s="23" t="n">
        <x:f>IF(C41="","",IFERROR(IF(AND(AC41&gt;=0,D41&gt;=AC41+INDEX('Facilities'!$AK$9:$AK$108,MATCH(C41,'Facilities'!$C$9:$C$108,0))),H41+L41-M41,0),"Unavailable"))</x:f>
        <x:v>0</x:v>
      </x:c>
      <x:c r="O41" s="21" t="n">
        <x:f>IF(C41="","",IFERROR(MAX(0,G41+J41-K41-L41),"Unavailable"))</x:f>
        <x:v>10.635</x:v>
      </x:c>
      <x:c r="P41" s="21" t="n">
        <x:f>IF(C41="","",IFERROR(MAX(0,H41+L41-M41-N41),"Unavailable"))</x:f>
        <x:v>0</x:v>
      </x:c>
      <x:c r="Q41" s="23" t="n">
        <x:f>IF(C41="","",IFERROR(IF(OR(D41&gt;=INDEX('Facilities'!$J$9:$J$108,MATCH(C41,'Facilities'!$C$9:$C$108,0)),AND(AC41&gt;=0,AC41&lt;=D41)),0,MAX(0,I41-J41)),"Unavailable"))</x:f>
        <x:v>1.425</x:v>
      </x:c>
      <x:c r="R41" s="30" t="n">
        <x:f>IF(C41="","",IFERROR(INDEX(Credit!$Q$9:$Q$108,MATCH(F41,Credit!$C$9:$C$108,0)),"Unavailable"))</x:f>
        <x:v>0.02730094661942279</x:v>
      </x:c>
      <x:c r="S41" s="30" t="n">
        <x:f>IF(C41="","",IFERROR(INDEX(Credit!$R$9:$R$108,MATCH(F41,Credit!$C$9:$C$108,0)),"Unavailable"))</x:f>
        <x:v>0.2803744</x:v>
      </x:c>
      <x:c r="T41" s="23" t="n">
        <x:f>IF(C41="","",IFERROR(IF(P41&gt;0,3,IF(OR(INDEX('Facilities'!$AD$9:$AD$108,MATCH(C41,'Facilities'!$C$9:$C$108,0))=2,AND(R41&gt;=INDEX('Facilities'!$L$9:$L$108,MATCH(C41,'Facilities'!$C$9:$C$108,0))*Settings!$F$19,R41-INDEX('Facilities'!$L$9:$L$108,MATCH(C41,'Facilities'!$C$9:$C$108,0))&gt;=Settings!$F$20)),2,1)),"Unavailable"))</x:f>
        <x:v>2</x:v>
      </x:c>
      <x:c r="U41" s="23" t="n">
        <x:f>IF(C41="","",IF(AQ41&lt;&gt;"Ready","Unavailable",IF(C41="","",O41*(1-(1-S41)/(1+INDEX('Facilities'!$K$9:$K$108,MATCH(C41,'Facilities'!$C$9:$C$108,0)))^INDEX('Facilities'!$AK$9:$AK$108,MATCH(C41,'Facilities'!$C$9:$C$108,0)))*R41/(1+INDEX('Facilities'!$K$9:$K$108,MATCH(C41,'Facilities'!$C$9:$C$108,0)))*IF(ABS(1-(1-R41)*(1-INDEX('Facilities'!$R$9:$R$108,MATCH(C41,'Facilities'!$C$9:$C$108,0)))/(1+INDEX('Facilities'!$K$9:$K$108,MATCH(C41,'Facilities'!$C$9:$C$108,0))))&lt;0.000000001,IF(T41=1,MIN(1,AJ41),AJ41),(1-((1-R41)*(1-INDEX('Facilities'!$R$9:$R$108,MATCH(C41,'Facilities'!$C$9:$C$108,0)))/(1+INDEX('Facilities'!$K$9:$K$108,MATCH(C41,'Facilities'!$C$9:$C$108,0))))^IF(T41=1,MIN(1,AJ41),AJ41))/(1-(1-R41)*(1-INDEX('Facilities'!$R$9:$R$108,MATCH(C41,'Facilities'!$C$9:$C$108,0)))/(1+INDEX('Facilities'!$K$9:$K$108,MATCH(C41,'Facilities'!$C$9:$C$108,0)))))+AL41)))</x:f>
        <x:v>0.30054331602877854</x:v>
      </x:c>
      <x:c r="V41" s="23" t="n">
        <x:f>IF(C41="","",IF(AQ41&lt;&gt;"Ready","Unavailable",IF(C41="","",Q41*INDEX('Facilities'!$I$9:$I$108,MATCH(C41,'Facilities'!$C$9:$C$108,0))*(1-(1-S41)/(1+INDEX('Facilities'!$K$9:$K$108,MATCH(C41,'Facilities'!$C$9:$C$108,0)))^INDEX('Facilities'!$AK$9:$AK$108,MATCH(C41,'Facilities'!$C$9:$C$108,0)))*R41/(1+INDEX('Facilities'!$K$9:$K$108,MATCH(C41,'Facilities'!$C$9:$C$108,0)))*IF(ABS(1-(1-R41)*(1-0)/(1+INDEX('Facilities'!$K$9:$K$108,MATCH(C41,'Facilities'!$C$9:$C$108,0))))&lt;0.000000001,IF(T41=1,MIN(1,AJ41),AJ41),(1-((1-R41)*(1-0)/(1+INDEX('Facilities'!$K$9:$K$108,MATCH(C41,'Facilities'!$C$9:$C$108,0))))^IF(T41=1,MIN(1,AJ41),AJ41))/(1-(1-R41)*(1-0)/(1+INDEX('Facilities'!$K$9:$K$108,MATCH(C41,'Facilities'!$C$9:$C$108,0))))))))</x:f>
        <x:v>0.023748667860243808</x:v>
      </x:c>
      <x:c r="W41" s="23" t="n">
        <x:f>IF(C41="","",IFERROR(INDEX(ECL!$AB$9:$AB$108,MATCH(C41,ECL!$C$9:$C$108,0)),"Unavailable"))</x:f>
        <x:v>0.4236786391584264</x:v>
      </x:c>
      <x:c r="X41" s="23" t="n">
        <x:f>IF(C41="","",IFERROR(INDEX(ECL!$AC$9:$AC$108,MATCH(C41,ECL!$C$9:$C$108,0)),"Unavailable"))</x:f>
        <x:v>0.032728201540996454</x:v>
      </x:c>
      <x:c r="Y41" s="21" t="n">
        <x:f>IF(C41="","",IF(AQ41&lt;&gt;"Ready","Unavailable",IF(C41="","",U41-W41+V41-X41+N41+AG41)))</x:f>
        <x:v>-0.13211485681040053</x:v>
      </x:c>
      <x:c r="Z41" s="23" t="n">
        <x:f>IF(C41="","",IF(AQ41&lt;&gt;"Ready","Unavailable",IF(C41="","",(G41+O41+L41)/2*INDEX('Facilities'!$T$9:$T$108,MATCH(C41,'Facilities'!$C$9:$C$108,0))+AG41)))</x:f>
        <x:v>1.0751625</x:v>
      </x:c>
      <x:c r="AA41" s="23" t="n">
        <x:f>IF(C41="","",IF(AQ41&lt;&gt;"Ready","Unavailable",IF(C41="","",O41*(1-IF(INDEX('Facilities'!$AA$9:$AA$108,MATCH(C41,'Facilities'!$C$9:$C$108,0))=0,0,MIN(1,INDEX('Facilities'!$X$9:$X$108,MATCH(C41,'Facilities'!$C$9:$C$108,0))/INDEX('Facilities'!$AA$9:$AA$108,MATCH(C41,'Facilities'!$C$9:$C$108,0)))))*AF41+P41*(1-IF(INDEX('Facilities'!$AA$9:$AA$108,MATCH(C41,'Facilities'!$C$9:$C$108,0))=0,0,MIN(1,INDEX('Facilities'!$X$9:$X$108,MATCH(C41,'Facilities'!$C$9:$C$108,0))/INDEX('Facilities'!$AA$9:$AA$108,MATCH(C41,'Facilities'!$C$9:$C$108,0)))))*INDEX('Facilities'!$AJ$9:$AJ$108,MATCH(C41,'Facilities'!$C$9:$C$108,0))+Q41*INDEX('Facilities'!$AI$9:$AI$108,MATCH(C41,'Facilities'!$C$9:$C$108,0))*AF41)))</x:f>
        <x:v>11.428656912000001</x:v>
      </x:c>
      <x:c r="AB41" s="21" t="n">
        <x:f>IF(C41="","",O41+P41-AD41)</x:f>
        <x:v>-1.3650000000000002</x:v>
      </x:c>
      <x:c r="AC41" s="23" t="n">
        <x:f>IF(C41="","",IFERROR(IF(INDEX('Facilities'!$AD$9:$AD$108,MATCH(C41,'Facilities'!$C$9:$C$108,0))=3,0,IF(INDEX('Facilities'!$AN$9:$AN$108,MATCH(C41,'Facilities'!$C$9:$C$108,0))=0,-1,INDEX('Facilities'!$AN$9:$AN$108,MATCH(C41,'Facilities'!$C$9:$C$108,0)))),"Unavailable"))</x:f>
        <x:v>-1</x:v>
      </x:c>
      <x:c r="AD41" s="21" t="n">
        <x:f>IF(C41="","",IFERROR(G41+H41,"Unavailable"))</x:f>
        <x:v>12</x:v>
      </x:c>
      <x:c r="AE41" s="21" t="n">
        <x:f>IF(C41="","",IF(AQ41&lt;&gt;"Ready","Unavailable",IF(C41="","",O41+P41-AD41-J41+K41+M41+N41)))</x:f>
        <x:v>-2.220446049250313e-16</x:v>
      </x:c>
      <x:c r="AF41" s="30" t="n">
        <x:f>IF(C41="","",IFERROR(INDEX('Facilities'!$S$9:$S$108,MATCH(C41,'Facilities'!$C$9:$C$108,0))*'Scenario Paths'!F75,"Unavailable"))</x:f>
        <x:v>1.02</x:v>
      </x:c>
      <x:c r="AG41" s="23" t="n">
        <x:f>IF(C41="","",IF(AQ41&lt;&gt;"Ready","Unavailable",IF(C41="","",IF(H41&gt;0,MAX(0,H41-AK41)*((1+INDEX('Facilities'!$K$9:$K$108,MATCH(C41,'Facilities'!$C$9:$C$108,0)))^MIN(1,MAX(0,AC41+INDEX('Facilities'!$AK$9:$AK$108,MATCH(C41,'Facilities'!$C$9:$C$108,0))-D41+1))-1),0))))</x:f>
        <x:v>0</x:v>
      </x:c>
      <x:c r="AH41" s="21" t="n">
        <x:f>IF(C41="","",IF(AQ41&lt;&gt;"Ready","Unavailable",IF(C41="","",O41+P41)))</x:f>
        <x:v>10.635</x:v>
      </x:c>
      <x:c r="AI41" s="21" t="n">
        <x:f>IF(C41="","",IF(AQ41&lt;&gt;"Ready","Unavailable",IF(C41="","",Z41-Y41)))</x:f>
        <x:v>1.2072773568104005</x:v>
      </x:c>
      <x:c r="AJ41" s="23" t="n">
        <x:f>IF(C41="","",IFERROR(MAX(0,INDEX('Facilities'!$J$9:$J$108,MATCH(C41,'Facilities'!$C$9:$C$108,0))-D41),"Unavailable"))</x:f>
        <x:v>4</x:v>
      </x:c>
      <x:c r="AK41" s="23" t="n">
        <x:f>IF(C41="","",IFERROR(IF(INDEX('Facilities'!$AD$9:$AD$108,MATCH(C41,'Facilities'!$C$9:$C$108,0))=3,W41,0),"Unavailable"))</x:f>
        <x:v>0</x:v>
      </x:c>
      <x:c r="AL41" s="23" t="n">
        <x:f>IF(C41="","",IFERROR(IF(P41&gt;0,P41*(1-AM41/(1+INDEX('Facilities'!$K$9:$K$108,MATCH(C41,'Facilities'!$C$9:$C$108,0)))^MAX(0,AC41+INDEX('Facilities'!$AK$9:$AK$108,MATCH(C41,'Facilities'!$C$9:$C$108,0))-D41)),0),"Unavailable"))</x:f>
        <x:v>0</x:v>
      </x:c>
      <x:c r="AM41" s="30" t="n">
        <x:f>IF(C41="","",IFERROR(INDEX('Facilities'!$AL$9:$AL$108,MATCH(C41,'Facilities'!$C$9:$C$108,0)),"Unavailable"))</x:f>
        <x:v>0.55</x:v>
      </x:c>
      <x:c r="AN41" s="30" t="n">
        <x:f>IF(C41="","",IFERROR(INDEX(Credit!$T$9:$T$108,MATCH(F41,Credit!$C$9:$C$108,0)),"Unavailable"))</x:f>
        <x:v>0.00052</x:v>
      </x:c>
      <x:c r="AO41" s="23" t="n">
        <x:f>IF(C41="","",IF(AQ41&lt;&gt;"Ready","Unavailable",IF(C41="","",O41+P41+Q41*INDEX('Facilities'!$I$9:$I$108,MATCH(C41,'Facilities'!$C$9:$C$108,0)))))</x:f>
        <x:v>11.3475</x:v>
      </x:c>
      <x:c r="AP41" s="21" t="n">
        <x:f>IF(C41="","",IF(AQ41&lt;&gt;"Ready","Unavailable",IF(C41="","",AH41-U41)))</x:f>
        <x:v>10.33445668397122</x:v>
      </x:c>
      <x:c r="AQ41" s="23" t="str">
        <x:f>IFERROR(IF(C41="","",IF(AND(INDEX('Facilities'!$AF$9:$AF$108,MATCH(C41,'Facilities'!$C$9:$C$108,0))="Ready",INDEX(Credit!$U$9:$U$108,MATCH(F41,Credit!$C$9:$C$108,0))="Ready",ISNUMBER(W41)),"Ready","Review inputs")),"Review inputs")</x:f>
        <x:v>Ready</x:v>
      </x:c>
      <x:c r="AR41" s="23" t="n">
        <x:f>IF(C41="","",IF(AQ41&lt;&gt;"Ready","Unavailable",IF(C41="","",IF(O41=0,0,(IF(AJ41&lt;=1,O41,O41*INDEX('Facilities'!$R$9:$R$108,MATCH(C41,'Facilities'!$C$9:$C$108,0)))+O41*INDEX('Facilities'!$T$9:$T$108,MATCH(C41,'Facilities'!$C$9:$C$108,0)))/12))))</x:f>
        <x:v>0.19054375</x:v>
      </x:c>
    </x:row>
    <x:row r="42" ht="26" customHeight="1">
      <x:c r="A42" s="1"/>
      <x:c r="B42" s="1"/>
      <x:c r="C42" s="9" t="str">
        <x:f>IF(Facilities!C42="","",Facilities!C42)</x:f>
        <x:v>F034</x:v>
      </x:c>
      <x:c r="D42" s="3" t="n">
        <x:v>1</x:v>
      </x:c>
      <x:c r="E42" s="9" t="n">
        <x:f>Settings!$F$18+0</x:f>
        <x:v>2027</x:v>
      </x:c>
      <x:c r="F42" s="9" t="str">
        <x:f>IF(C42="","",IFERROR(INDEX('Facilities'!$D$9:$D$108,MATCH(C42,'Facilities'!$C$9:$C$108,0)),"Unavailable"))</x:f>
        <x:v>B022</x:v>
      </x:c>
      <x:c r="G42" s="23" t="n">
        <x:f>IF(C42="","",IFERROR(IF(INDEX('Facilities'!$AD$9:$AD$108,MATCH(C42,'Facilities'!$C$9:$C$108,0))=3,0,INDEX('Facilities'!$AA$9:$AA$108,MATCH(C42,'Facilities'!$C$9:$C$108,0))),"Unavailable"))</x:f>
        <x:v>12.35</x:v>
      </x:c>
      <x:c r="H42" s="23" t="n">
        <x:f>IF(C42="","",IFERROR(IF(INDEX('Facilities'!$AD$9:$AD$108,MATCH(C42,'Facilities'!$C$9:$C$108,0))=3,INDEX('Facilities'!$AA$9:$AA$108,MATCH(C42,'Facilities'!$C$9:$C$108,0)),0),"Unavailable"))</x:f>
        <x:v>0</x:v>
      </x:c>
      <x:c r="I42" s="23" t="n">
        <x:f>IF(C42="","",IFERROR(INDEX('Facilities'!$AB$9:$AB$108,MATCH(C42,'Facilities'!$C$9:$C$108,0)),"Unavailable"))</x:f>
        <x:v>1.5</x:v>
      </x:c>
      <x:c r="J42" s="23" t="n">
        <x:f>IF(C42="","",IFERROR(IF(OR(H42&gt;0,AND(AC42&gt;=0,AC42&lt;D42),D42&gt;INDEX('Facilities'!$J$9:$J$108,MATCH(C42,'Facilities'!$C$9:$C$108,0))),0,I42*'Scenario Paths'!F81),"Unavailable"))</x:f>
        <x:v>0.07500000000000001</x:v>
      </x:c>
      <x:c r="K42" s="23" t="n">
        <x:f>IF(C42="","",IFERROR(IF(OR(H42&gt;0,AND(AC42&gt;=0,AC42=D42)),0,IF(D42&gt;=INDEX('Facilities'!$J$9:$J$108,MATCH(C42,'Facilities'!$C$9:$C$108,0)),G42+J42,MIN(G42+J42,G42*INDEX('Facilities'!$R$9:$R$108,MATCH(C42,'Facilities'!$C$9:$C$108,0))))),"Unavailable"))</x:f>
        <x:v>1.482</x:v>
      </x:c>
      <x:c r="L42" s="21" t="n">
        <x:f>IF(C42="","",IFERROR(IF(AND(AC42=D42,AC42&gt;0),MAX(0,G42+J42-K42),0),"Unavailable"))</x:f>
        <x:v>0</x:v>
      </x:c>
      <x:c r="M42" s="23" t="n">
        <x:f>IF(C42="","",IFERROR(IF(AND(AC42&gt;=0,D42&gt;=AC42+INDEX('Facilities'!$AK$9:$AK$108,MATCH(C42,'Facilities'!$C$9:$C$108,0))),(H42+L42)*AM42,0),"Unavailable"))</x:f>
        <x:v>0</x:v>
      </x:c>
      <x:c r="N42" s="23" t="n">
        <x:f>IF(C42="","",IFERROR(IF(AND(AC42&gt;=0,D42&gt;=AC42+INDEX('Facilities'!$AK$9:$AK$108,MATCH(C42,'Facilities'!$C$9:$C$108,0))),H42+L42-M42,0),"Unavailable"))</x:f>
        <x:v>0</x:v>
      </x:c>
      <x:c r="O42" s="21" t="n">
        <x:f>IF(C42="","",IFERROR(MAX(0,G42+J42-K42-L42),"Unavailable"))</x:f>
        <x:v>10.943</x:v>
      </x:c>
      <x:c r="P42" s="21" t="n">
        <x:f>IF(C42="","",IFERROR(MAX(0,H42+L42-M42-N42),"Unavailable"))</x:f>
        <x:v>0</x:v>
      </x:c>
      <x:c r="Q42" s="23" t="n">
        <x:f>IF(C42="","",IFERROR(IF(OR(D42&gt;=INDEX('Facilities'!$J$9:$J$108,MATCH(C42,'Facilities'!$C$9:$C$108,0)),AND(AC42&gt;=0,AC42&lt;=D42)),0,MAX(0,I42-J42)),"Unavailable"))</x:f>
        <x:v>1.425</x:v>
      </x:c>
      <x:c r="R42" s="30" t="n">
        <x:f>IF(C42="","",IFERROR(INDEX(Credit!$Q$9:$Q$108,MATCH(F42,Credit!$C$9:$C$108,0)),"Unavailable"))</x:f>
        <x:v>0.033588814312456895</x:v>
      </x:c>
      <x:c r="S42" s="30" t="n">
        <x:f>IF(C42="","",IFERROR(INDEX(Credit!$R$9:$R$108,MATCH(F42,Credit!$C$9:$C$108,0)),"Unavailable"))</x:f>
        <x:v>0.32030464000000003</x:v>
      </x:c>
      <x:c r="T42" s="23" t="n">
        <x:f>IF(C42="","",IFERROR(IF(P42&gt;0,3,IF(OR(INDEX('Facilities'!$AD$9:$AD$108,MATCH(C42,'Facilities'!$C$9:$C$108,0))=2,AND(R42&gt;=INDEX('Facilities'!$L$9:$L$108,MATCH(C42,'Facilities'!$C$9:$C$108,0))*Settings!$F$19,R42-INDEX('Facilities'!$L$9:$L$108,MATCH(C42,'Facilities'!$C$9:$C$108,0))&gt;=Settings!$F$20)),2,1)),"Unavailable"))</x:f>
        <x:v>1</x:v>
      </x:c>
      <x:c r="U42" s="23" t="n">
        <x:f>IF(C42="","",IF(AQ42&lt;&gt;"Ready","Unavailable",IF(C42="","",O42*(1-(1-S42)/(1+INDEX('Facilities'!$K$9:$K$108,MATCH(C42,'Facilities'!$C$9:$C$108,0)))^INDEX('Facilities'!$AK$9:$AK$108,MATCH(C42,'Facilities'!$C$9:$C$108,0)))*R42/(1+INDEX('Facilities'!$K$9:$K$108,MATCH(C42,'Facilities'!$C$9:$C$108,0)))*IF(ABS(1-(1-R42)*(1-INDEX('Facilities'!$R$9:$R$108,MATCH(C42,'Facilities'!$C$9:$C$108,0)))/(1+INDEX('Facilities'!$K$9:$K$108,MATCH(C42,'Facilities'!$C$9:$C$108,0))))&lt;0.000000001,IF(T42=1,MIN(1,AJ42),AJ42),(1-((1-R42)*(1-INDEX('Facilities'!$R$9:$R$108,MATCH(C42,'Facilities'!$C$9:$C$108,0)))/(1+INDEX('Facilities'!$K$9:$K$108,MATCH(C42,'Facilities'!$C$9:$C$108,0))))^IF(T42=1,MIN(1,AJ42),AJ42))/(1-(1-R42)*(1-INDEX('Facilities'!$R$9:$R$108,MATCH(C42,'Facilities'!$C$9:$C$108,0)))/(1+INDEX('Facilities'!$K$9:$K$108,MATCH(C42,'Facilities'!$C$9:$C$108,0)))))+AL42)))</x:f>
        <x:v>0.14201208144904442</x:v>
      </x:c>
      <x:c r="V42" s="23" t="n">
        <x:f>IF(C42="","",IF(AQ42&lt;&gt;"Ready","Unavailable",IF(C42="","",Q42*INDEX('Facilities'!$I$9:$I$108,MATCH(C42,'Facilities'!$C$9:$C$108,0))*(1-(1-S42)/(1+INDEX('Facilities'!$K$9:$K$108,MATCH(C42,'Facilities'!$C$9:$C$108,0)))^INDEX('Facilities'!$AK$9:$AK$108,MATCH(C42,'Facilities'!$C$9:$C$108,0)))*R42/(1+INDEX('Facilities'!$K$9:$K$108,MATCH(C42,'Facilities'!$C$9:$C$108,0)))*IF(ABS(1-(1-R42)*(1-0)/(1+INDEX('Facilities'!$K$9:$K$108,MATCH(C42,'Facilities'!$C$9:$C$108,0))))&lt;0.000000001,IF(T42=1,MIN(1,AJ42),AJ42),(1-((1-R42)*(1-0)/(1+INDEX('Facilities'!$K$9:$K$108,MATCH(C42,'Facilities'!$C$9:$C$108,0))))^IF(T42=1,MIN(1,AJ42),AJ42))/(1-(1-R42)*(1-0)/(1+INDEX('Facilities'!$K$9:$K$108,MATCH(C42,'Facilities'!$C$9:$C$108,0))))))))</x:f>
        <x:v>0.009246423104490921</x:v>
      </x:c>
      <x:c r="W42" s="23" t="n">
        <x:f>IF(C42="","",IFERROR(INDEX(ECL!$AB$9:$AB$108,MATCH(C42,ECL!$C$9:$C$108,0)),"Unavailable"))</x:f>
        <x:v>0.18108533379058073</x:v>
      </x:c>
      <x:c r="X42" s="23" t="n">
        <x:f>IF(C42="","",IFERROR(INDEX(ECL!$AC$9:$AC$108,MATCH(C42,ECL!$C$9:$C$108,0)),"Unavailable"))</x:f>
        <x:v>0.010997085048010976</x:v>
      </x:c>
      <x:c r="Y42" s="21" t="n">
        <x:f>IF(C42="","",IF(AQ42&lt;&gt;"Ready","Unavailable",IF(C42="","",U42-W42+V42-X42+N42+AG42)))</x:f>
        <x:v>-0.040823914285056356</x:v>
      </x:c>
      <x:c r="Z42" s="23" t="n">
        <x:f>IF(C42="","",IF(AQ42&lt;&gt;"Ready","Unavailable",IF(C42="","",(G42+O42+L42)/2*INDEX('Facilities'!$T$9:$T$108,MATCH(C42,'Facilities'!$C$9:$C$108,0))+AG42)))</x:f>
        <x:v>1.1064175</x:v>
      </x:c>
      <x:c r="AA42" s="23" t="n">
        <x:f>IF(C42="","",IF(AQ42&lt;&gt;"Ready","Unavailable",IF(C42="","",O42*(1-IF(INDEX('Facilities'!$AA$9:$AA$108,MATCH(C42,'Facilities'!$C$9:$C$108,0))=0,0,MIN(1,INDEX('Facilities'!$X$9:$X$108,MATCH(C42,'Facilities'!$C$9:$C$108,0))/INDEX('Facilities'!$AA$9:$AA$108,MATCH(C42,'Facilities'!$C$9:$C$108,0)))))*AF42+P42*(1-IF(INDEX('Facilities'!$AA$9:$AA$108,MATCH(C42,'Facilities'!$C$9:$C$108,0))=0,0,MIN(1,INDEX('Facilities'!$X$9:$X$108,MATCH(C42,'Facilities'!$C$9:$C$108,0))/INDEX('Facilities'!$AA$9:$AA$108,MATCH(C42,'Facilities'!$C$9:$C$108,0)))))*INDEX('Facilities'!$AJ$9:$AJ$108,MATCH(C42,'Facilities'!$C$9:$C$108,0))+Q42*INDEX('Facilities'!$AI$9:$AI$108,MATCH(C42,'Facilities'!$C$9:$C$108,0))*AF42)))</x:f>
        <x:v>11.674302288</x:v>
      </x:c>
      <x:c r="AB42" s="21" t="n">
        <x:f>IF(C42="","",O42+P42-AD42)</x:f>
        <x:v>-1.407</x:v>
      </x:c>
      <x:c r="AC42" s="23" t="n">
        <x:f>IF(C42="","",IFERROR(IF(INDEX('Facilities'!$AD$9:$AD$108,MATCH(C42,'Facilities'!$C$9:$C$108,0))=3,0,IF(INDEX('Facilities'!$AN$9:$AN$108,MATCH(C42,'Facilities'!$C$9:$C$108,0))=0,-1,INDEX('Facilities'!$AN$9:$AN$108,MATCH(C42,'Facilities'!$C$9:$C$108,0)))),"Unavailable"))</x:f>
        <x:v>-1</x:v>
      </x:c>
      <x:c r="AD42" s="21" t="n">
        <x:f>IF(C42="","",IFERROR(G42+H42,"Unavailable"))</x:f>
        <x:v>12.35</x:v>
      </x:c>
      <x:c r="AE42" s="21" t="n">
        <x:f>IF(C42="","",IF(AQ42&lt;&gt;"Ready","Unavailable",IF(C42="","",O42+P42-AD42-J42+K42+M42+N42)))</x:f>
        <x:v>0</x:v>
      </x:c>
      <x:c r="AF42" s="30" t="n">
        <x:f>IF(C42="","",IFERROR(INDEX('Facilities'!$S$9:$S$108,MATCH(C42,'Facilities'!$C$9:$C$108,0))*'Scenario Paths'!F75,"Unavailable"))</x:f>
        <x:v>1.02</x:v>
      </x:c>
      <x:c r="AG42" s="23" t="n">
        <x:f>IF(C42="","",IF(AQ42&lt;&gt;"Ready","Unavailable",IF(C42="","",IF(H42&gt;0,MAX(0,H42-AK42)*((1+INDEX('Facilities'!$K$9:$K$108,MATCH(C42,'Facilities'!$C$9:$C$108,0)))^MIN(1,MAX(0,AC42+INDEX('Facilities'!$AK$9:$AK$108,MATCH(C42,'Facilities'!$C$9:$C$108,0))-D42+1))-1),0))))</x:f>
        <x:v>0</x:v>
      </x:c>
      <x:c r="AH42" s="21" t="n">
        <x:f>IF(C42="","",IF(AQ42&lt;&gt;"Ready","Unavailable",IF(C42="","",O42+P42)))</x:f>
        <x:v>10.943</x:v>
      </x:c>
      <x:c r="AI42" s="21" t="n">
        <x:f>IF(C42="","",IF(AQ42&lt;&gt;"Ready","Unavailable",IF(C42="","",Z42-Y42)))</x:f>
        <x:v>1.1472414142850564</x:v>
      </x:c>
      <x:c r="AJ42" s="23" t="n">
        <x:f>IF(C42="","",IFERROR(MAX(0,INDEX('Facilities'!$J$9:$J$108,MATCH(C42,'Facilities'!$C$9:$C$108,0))-D42),"Unavailable"))</x:f>
        <x:v>11</x:v>
      </x:c>
      <x:c r="AK42" s="23" t="n">
        <x:f>IF(C42="","",IFERROR(IF(INDEX('Facilities'!$AD$9:$AD$108,MATCH(C42,'Facilities'!$C$9:$C$108,0))=3,W42,0),"Unavailable"))</x:f>
        <x:v>0</x:v>
      </x:c>
      <x:c r="AL42" s="23" t="n">
        <x:f>IF(C42="","",IFERROR(IF(P42&gt;0,P42*(1-AM42/(1+INDEX('Facilities'!$K$9:$K$108,MATCH(C42,'Facilities'!$C$9:$C$108,0)))^MAX(0,AC42+INDEX('Facilities'!$AK$9:$AK$108,MATCH(C42,'Facilities'!$C$9:$C$108,0))-D42)),0),"Unavailable"))</x:f>
        <x:v>0</x:v>
      </x:c>
      <x:c r="AM42" s="30" t="n">
        <x:f>IF(C42="","",IFERROR(INDEX('Facilities'!$AL$9:$AL$108,MATCH(C42,'Facilities'!$C$9:$C$108,0)),"Unavailable"))</x:f>
        <x:v>0.55</x:v>
      </x:c>
      <x:c r="AN42" s="30" t="n">
        <x:f>IF(C42="","",IFERROR(INDEX(Credit!$T$9:$T$108,MATCH(F42,Credit!$C$9:$C$108,0)),"Unavailable"))</x:f>
        <x:v>0.00044800000000000005</x:v>
      </x:c>
      <x:c r="AO42" s="23" t="n">
        <x:f>IF(C42="","",IF(AQ42&lt;&gt;"Ready","Unavailable",IF(C42="","",O42+P42+Q42*INDEX('Facilities'!$I$9:$I$108,MATCH(C42,'Facilities'!$C$9:$C$108,0)))))</x:f>
        <x:v>11.6555</x:v>
      </x:c>
      <x:c r="AP42" s="21" t="n">
        <x:f>IF(C42="","",IF(AQ42&lt;&gt;"Ready","Unavailable",IF(C42="","",AH42-U42)))</x:f>
        <x:v>10.800987918550955</x:v>
      </x:c>
      <x:c r="AQ42" s="23" t="str">
        <x:f>IFERROR(IF(C42="","",IF(AND(INDEX('Facilities'!$AF$9:$AF$108,MATCH(C42,'Facilities'!$C$9:$C$108,0))="Ready",INDEX(Credit!$U$9:$U$108,MATCH(F42,Credit!$C$9:$C$108,0))="Ready",ISNUMBER(W42)),"Ready","Review inputs")),"Review inputs")</x:f>
        <x:v>Ready</x:v>
      </x:c>
      <x:c r="AR42" s="23" t="n">
        <x:f>IF(C42="","",IF(AQ42&lt;&gt;"Ready","Unavailable",IF(C42="","",IF(O42=0,0,(IF(AJ42&lt;=1,O42,O42*INDEX('Facilities'!$R$9:$R$108,MATCH(C42,'Facilities'!$C$9:$C$108,0)))+O42*INDEX('Facilities'!$T$9:$T$108,MATCH(C42,'Facilities'!$C$9:$C$108,0)))/12))))</x:f>
        <x:v>0.1960620833333333</x:v>
      </x:c>
    </x:row>
    <x:row r="43" ht="26" customHeight="1">
      <x:c r="A43" s="1"/>
      <x:c r="B43" s="1"/>
      <x:c r="C43" s="9" t="str">
        <x:f>IF(Facilities!C43="","",Facilities!C43)</x:f>
        <x:v>F035</x:v>
      </x:c>
      <x:c r="D43" s="3" t="n">
        <x:v>1</x:v>
      </x:c>
      <x:c r="E43" s="9" t="n">
        <x:f>Settings!$F$18+0</x:f>
        <x:v>2027</x:v>
      </x:c>
      <x:c r="F43" s="9" t="str">
        <x:f>IF(C43="","",IFERROR(INDEX('Facilities'!$D$9:$D$108,MATCH(C43,'Facilities'!$C$9:$C$108,0)),"Unavailable"))</x:f>
        <x:v>B023</x:v>
      </x:c>
      <x:c r="G43" s="23" t="n">
        <x:f>IF(C43="","",IFERROR(IF(INDEX('Facilities'!$AD$9:$AD$108,MATCH(C43,'Facilities'!$C$9:$C$108,0))=3,0,INDEX('Facilities'!$AA$9:$AA$108,MATCH(C43,'Facilities'!$C$9:$C$108,0))),"Unavailable"))</x:f>
        <x:v>0</x:v>
      </x:c>
      <x:c r="H43" s="23" t="n">
        <x:f>IF(C43="","",IFERROR(IF(INDEX('Facilities'!$AD$9:$AD$108,MATCH(C43,'Facilities'!$C$9:$C$108,0))=3,INDEX('Facilities'!$AA$9:$AA$108,MATCH(C43,'Facilities'!$C$9:$C$108,0)),0),"Unavailable"))</x:f>
        <x:v>12.7</x:v>
      </x:c>
      <x:c r="I43" s="23" t="n">
        <x:f>IF(C43="","",IFERROR(INDEX('Facilities'!$AB$9:$AB$108,MATCH(C43,'Facilities'!$C$9:$C$108,0)),"Unavailable"))</x:f>
        <x:v>1.5</x:v>
      </x:c>
      <x:c r="J43" s="23" t="n">
        <x:f>IF(C43="","",IFERROR(IF(OR(H43&gt;0,AND(AC43&gt;=0,AC43&lt;D43),D43&gt;INDEX('Facilities'!$J$9:$J$108,MATCH(C43,'Facilities'!$C$9:$C$108,0))),0,I43*'Scenario Paths'!F81),"Unavailable"))</x:f>
        <x:v>0</x:v>
      </x:c>
      <x:c r="K43" s="23" t="n">
        <x:f>IF(C43="","",IFERROR(IF(OR(H43&gt;0,AND(AC43&gt;=0,AC43=D43)),0,IF(D43&gt;=INDEX('Facilities'!$J$9:$J$108,MATCH(C43,'Facilities'!$C$9:$C$108,0)),G43+J43,MIN(G43+J43,G43*INDEX('Facilities'!$R$9:$R$108,MATCH(C43,'Facilities'!$C$9:$C$108,0))))),"Unavailable"))</x:f>
        <x:v>0</x:v>
      </x:c>
      <x:c r="L43" s="21" t="n">
        <x:f>IF(C43="","",IFERROR(IF(AND(AC43=D43,AC43&gt;0),MAX(0,G43+J43-K43),0),"Unavailable"))</x:f>
        <x:v>0</x:v>
      </x:c>
      <x:c r="M43" s="23" t="n">
        <x:f>IF(C43="","",IFERROR(IF(AND(AC43&gt;=0,D43&gt;=AC43+INDEX('Facilities'!$AK$9:$AK$108,MATCH(C43,'Facilities'!$C$9:$C$108,0))),(H43+L43)*AM43,0),"Unavailable"))</x:f>
        <x:v>0</x:v>
      </x:c>
      <x:c r="N43" s="23" t="n">
        <x:f>IF(C43="","",IFERROR(IF(AND(AC43&gt;=0,D43&gt;=AC43+INDEX('Facilities'!$AK$9:$AK$108,MATCH(C43,'Facilities'!$C$9:$C$108,0))),H43+L43-M43,0),"Unavailable"))</x:f>
        <x:v>0</x:v>
      </x:c>
      <x:c r="O43" s="21" t="n">
        <x:f>IF(C43="","",IFERROR(MAX(0,G43+J43-K43-L43),"Unavailable"))</x:f>
        <x:v>0</x:v>
      </x:c>
      <x:c r="P43" s="21" t="n">
        <x:f>IF(C43="","",IFERROR(MAX(0,H43+L43-M43-N43),"Unavailable"))</x:f>
        <x:v>12.7</x:v>
      </x:c>
      <x:c r="Q43" s="23" t="n">
        <x:f>IF(C43="","",IFERROR(IF(OR(D43&gt;=INDEX('Facilities'!$J$9:$J$108,MATCH(C43,'Facilities'!$C$9:$C$108,0)),AND(AC43&gt;=0,AC43&lt;=D43)),0,MAX(0,I43-J43)),"Unavailable"))</x:f>
        <x:v>0</x:v>
      </x:c>
      <x:c r="R43" s="30" t="n">
        <x:f>IF(C43="","",IFERROR(INDEX(Credit!$Q$9:$Q$108,MATCH(F43,Credit!$C$9:$C$108,0)),"Unavailable"))</x:f>
        <x:v>1</x:v>
      </x:c>
      <x:c r="S43" s="30" t="n">
        <x:f>IF(C43="","",IFERROR(INDEX(Credit!$R$9:$R$108,MATCH(F43,Credit!$C$9:$C$108,0)),"Unavailable"))</x:f>
        <x:v>0.36056320000000003</x:v>
      </x:c>
      <x:c r="T43" s="23" t="n">
        <x:f>IF(C43="","",IFERROR(IF(P43&gt;0,3,IF(OR(INDEX('Facilities'!$AD$9:$AD$108,MATCH(C43,'Facilities'!$C$9:$C$108,0))=2,AND(R43&gt;=INDEX('Facilities'!$L$9:$L$108,MATCH(C43,'Facilities'!$C$9:$C$108,0))*Settings!$F$19,R43-INDEX('Facilities'!$L$9:$L$108,MATCH(C43,'Facilities'!$C$9:$C$108,0))&gt;=Settings!$F$20)),2,1)),"Unavailable"))</x:f>
        <x:v>3</x:v>
      </x:c>
      <x:c r="U43" s="23" t="n">
        <x:f>IF(C43="","",IF(AQ43&lt;&gt;"Ready","Unavailable",IF(C43="","",O43*(1-(1-S43)/(1+INDEX('Facilities'!$K$9:$K$108,MATCH(C43,'Facilities'!$C$9:$C$108,0)))^INDEX('Facilities'!$AK$9:$AK$108,MATCH(C43,'Facilities'!$C$9:$C$108,0)))*R43/(1+INDEX('Facilities'!$K$9:$K$108,MATCH(C43,'Facilities'!$C$9:$C$108,0)))*IF(ABS(1-(1-R43)*(1-INDEX('Facilities'!$R$9:$R$108,MATCH(C43,'Facilities'!$C$9:$C$108,0)))/(1+INDEX('Facilities'!$K$9:$K$108,MATCH(C43,'Facilities'!$C$9:$C$108,0))))&lt;0.000000001,IF(T43=1,MIN(1,AJ43),AJ43),(1-((1-R43)*(1-INDEX('Facilities'!$R$9:$R$108,MATCH(C43,'Facilities'!$C$9:$C$108,0)))/(1+INDEX('Facilities'!$K$9:$K$108,MATCH(C43,'Facilities'!$C$9:$C$108,0))))^IF(T43=1,MIN(1,AJ43),AJ43))/(1-(1-R43)*(1-INDEX('Facilities'!$R$9:$R$108,MATCH(C43,'Facilities'!$C$9:$C$108,0)))/(1+INDEX('Facilities'!$K$9:$K$108,MATCH(C43,'Facilities'!$C$9:$C$108,0)))))+AL43)))</x:f>
        <x:v>6.232407407407407</x:v>
      </x:c>
      <x:c r="V43" s="23" t="n">
        <x:f>IF(C43="","",IF(AQ43&lt;&gt;"Ready","Unavailable",IF(C43="","",Q43*INDEX('Facilities'!$I$9:$I$108,MATCH(C43,'Facilities'!$C$9:$C$108,0))*(1-(1-S43)/(1+INDEX('Facilities'!$K$9:$K$108,MATCH(C43,'Facilities'!$C$9:$C$108,0)))^INDEX('Facilities'!$AK$9:$AK$108,MATCH(C43,'Facilities'!$C$9:$C$108,0)))*R43/(1+INDEX('Facilities'!$K$9:$K$108,MATCH(C43,'Facilities'!$C$9:$C$108,0)))*IF(ABS(1-(1-R43)*(1-0)/(1+INDEX('Facilities'!$K$9:$K$108,MATCH(C43,'Facilities'!$C$9:$C$108,0))))&lt;0.000000001,IF(T43=1,MIN(1,AJ43),AJ43),(1-((1-R43)*(1-0)/(1+INDEX('Facilities'!$K$9:$K$108,MATCH(C43,'Facilities'!$C$9:$C$108,0))))^IF(T43=1,MIN(1,AJ43),AJ43))/(1-(1-R43)*(1-0)/(1+INDEX('Facilities'!$K$9:$K$108,MATCH(C43,'Facilities'!$C$9:$C$108,0))))))))</x:f>
        <x:v>0</x:v>
      </x:c>
      <x:c r="W43" s="23" t="n">
        <x:f>IF(C43="","",IFERROR(INDEX(ECL!$AB$9:$AB$108,MATCH(C43,ECL!$C$9:$C$108,0)),"Unavailable"))</x:f>
        <x:v>6.907475994513031</x:v>
      </x:c>
      <x:c r="X43" s="23" t="n">
        <x:f>IF(C43="","",IFERROR(INDEX(ECL!$AC$9:$AC$108,MATCH(C43,ECL!$C$9:$C$108,0)),"Unavailable"))</x:f>
        <x:v>0.4079218106995884</x:v>
      </x:c>
      <x:c r="Y43" s="21" t="n">
        <x:f>IF(C43="","",IF(AQ43&lt;&gt;"Ready","Unavailable",IF(C43="","",U43-W43+V43-X43+N43+AG43)))</x:f>
        <x:v>-0.6195884773662546</x:v>
      </x:c>
      <x:c r="Z43" s="23" t="n">
        <x:f>IF(C43="","",IF(AQ43&lt;&gt;"Ready","Unavailable",IF(C43="","",(G43+O43+L43)/2*INDEX('Facilities'!$T$9:$T$108,MATCH(C43,'Facilities'!$C$9:$C$108,0))+AG43)))</x:f>
        <x:v>0.4634019204389579</x:v>
      </x:c>
      <x:c r="AA43" s="23" t="n">
        <x:f>IF(C43="","",IF(AQ43&lt;&gt;"Ready","Unavailable",IF(C43="","",O43*(1-IF(INDEX('Facilities'!$AA$9:$AA$108,MATCH(C43,'Facilities'!$C$9:$C$108,0))=0,0,MIN(1,INDEX('Facilities'!$X$9:$X$108,MATCH(C43,'Facilities'!$C$9:$C$108,0))/INDEX('Facilities'!$AA$9:$AA$108,MATCH(C43,'Facilities'!$C$9:$C$108,0)))))*AF43+P43*(1-IF(INDEX('Facilities'!$AA$9:$AA$108,MATCH(C43,'Facilities'!$C$9:$C$108,0))=0,0,MIN(1,INDEX('Facilities'!$X$9:$X$108,MATCH(C43,'Facilities'!$C$9:$C$108,0))/INDEX('Facilities'!$AA$9:$AA$108,MATCH(C43,'Facilities'!$C$9:$C$108,0)))))*INDEX('Facilities'!$AJ$9:$AJ$108,MATCH(C43,'Facilities'!$C$9:$C$108,0))+Q43*INDEX('Facilities'!$AI$9:$AI$108,MATCH(C43,'Facilities'!$C$9:$C$108,0))*AF43)))</x:f>
        <x:v>10.477500000000001</x:v>
      </x:c>
      <x:c r="AB43" s="21" t="n">
        <x:f>IF(C43="","",O43+P43-AD43)</x:f>
        <x:v>0</x:v>
      </x:c>
      <x:c r="AC43" s="23" t="n">
        <x:f>IF(C43="","",IFERROR(IF(INDEX('Facilities'!$AD$9:$AD$108,MATCH(C43,'Facilities'!$C$9:$C$108,0))=3,0,IF(INDEX('Facilities'!$AN$9:$AN$108,MATCH(C43,'Facilities'!$C$9:$C$108,0))=0,-1,INDEX('Facilities'!$AN$9:$AN$108,MATCH(C43,'Facilities'!$C$9:$C$108,0)))),"Unavailable"))</x:f>
        <x:v>0</x:v>
      </x:c>
      <x:c r="AD43" s="21" t="n">
        <x:f>IF(C43="","",IFERROR(G43+H43,"Unavailable"))</x:f>
        <x:v>12.7</x:v>
      </x:c>
      <x:c r="AE43" s="21" t="n">
        <x:f>IF(C43="","",IF(AQ43&lt;&gt;"Ready","Unavailable",IF(C43="","",O43+P43-AD43-J43+K43+M43+N43)))</x:f>
        <x:v>0</x:v>
      </x:c>
      <x:c r="AF43" s="30" t="n">
        <x:f>IF(C43="","",IFERROR(INDEX('Facilities'!$S$9:$S$108,MATCH(C43,'Facilities'!$C$9:$C$108,0))*'Scenario Paths'!F75,"Unavailable"))</x:f>
        <x:v>1.02</x:v>
      </x:c>
      <x:c r="AG43" s="23" t="n">
        <x:f>IF(C43="","",IF(AQ43&lt;&gt;"Ready","Unavailable",IF(C43="","",IF(H43&gt;0,MAX(0,H43-AK43)*((1+INDEX('Facilities'!$K$9:$K$108,MATCH(C43,'Facilities'!$C$9:$C$108,0)))^MIN(1,MAX(0,AC43+INDEX('Facilities'!$AK$9:$AK$108,MATCH(C43,'Facilities'!$C$9:$C$108,0))-D43+1))-1),0))))</x:f>
        <x:v>0.4634019204389579</x:v>
      </x:c>
      <x:c r="AH43" s="21" t="n">
        <x:f>IF(C43="","",IF(AQ43&lt;&gt;"Ready","Unavailable",IF(C43="","",O43+P43)))</x:f>
        <x:v>12.7</x:v>
      </x:c>
      <x:c r="AI43" s="21" t="n">
        <x:f>IF(C43="","",IF(AQ43&lt;&gt;"Ready","Unavailable",IF(C43="","",Z43-Y43)))</x:f>
        <x:v>1.0829903978052124</x:v>
      </x:c>
      <x:c r="AJ43" s="23" t="n">
        <x:f>IF(C43="","",IFERROR(MAX(0,INDEX('Facilities'!$J$9:$J$108,MATCH(C43,'Facilities'!$C$9:$C$108,0))-D43),"Unavailable"))</x:f>
        <x:v>6</x:v>
      </x:c>
      <x:c r="AK43" s="23" t="n">
        <x:f>IF(C43="","",IFERROR(IF(INDEX('Facilities'!$AD$9:$AD$108,MATCH(C43,'Facilities'!$C$9:$C$108,0))=3,W43,0),"Unavailable"))</x:f>
        <x:v>6.907475994513031</x:v>
      </x:c>
      <x:c r="AL43" s="23" t="n">
        <x:f>IF(C43="","",IFERROR(IF(P43&gt;0,P43*(1-AM43/(1+INDEX('Facilities'!$K$9:$K$108,MATCH(C43,'Facilities'!$C$9:$C$108,0)))^MAX(0,AC43+INDEX('Facilities'!$AK$9:$AK$108,MATCH(C43,'Facilities'!$C$9:$C$108,0))-D43)),0),"Unavailable"))</x:f>
        <x:v>6.232407407407407</x:v>
      </x:c>
      <x:c r="AM43" s="30" t="n">
        <x:f>IF(C43="","",IFERROR(INDEX('Facilities'!$AL$9:$AL$108,MATCH(C43,'Facilities'!$C$9:$C$108,0)),"Unavailable"))</x:f>
        <x:v>0.55</x:v>
      </x:c>
      <x:c r="AN43" s="30" t="n">
        <x:f>IF(C43="","",IFERROR(INDEX(Credit!$T$9:$T$108,MATCH(F43,Credit!$C$9:$C$108,0)),"Unavailable"))</x:f>
        <x:v>0.0008800000000000001</x:v>
      </x:c>
      <x:c r="AO43" s="23" t="n">
        <x:f>IF(C43="","",IF(AQ43&lt;&gt;"Ready","Unavailable",IF(C43="","",O43+P43+Q43*INDEX('Facilities'!$I$9:$I$108,MATCH(C43,'Facilities'!$C$9:$C$108,0)))))</x:f>
        <x:v>12.7</x:v>
      </x:c>
      <x:c r="AP43" s="21" t="n">
        <x:f>IF(C43="","",IF(AQ43&lt;&gt;"Ready","Unavailable",IF(C43="","",AH43-U43)))</x:f>
        <x:v>6.467592592592593</x:v>
      </x:c>
      <x:c r="AQ43" s="23" t="str">
        <x:f>IFERROR(IF(C43="","",IF(AND(INDEX('Facilities'!$AF$9:$AF$108,MATCH(C43,'Facilities'!$C$9:$C$108,0))="Ready",INDEX(Credit!$U$9:$U$108,MATCH(F43,Credit!$C$9:$C$108,0))="Ready",ISNUMBER(W43)),"Ready","Review inputs")),"Review inputs")</x:f>
        <x:v>Ready</x:v>
      </x:c>
      <x:c r="AR43" s="23" t="n">
        <x:f>IF(C43="","",IF(AQ43&lt;&gt;"Ready","Unavailable",IF(C43="","",IF(O43=0,0,(IF(AJ43&lt;=1,O43,O43*INDEX('Facilities'!$R$9:$R$108,MATCH(C43,'Facilities'!$C$9:$C$108,0)))+O43*INDEX('Facilities'!$T$9:$T$108,MATCH(C43,'Facilities'!$C$9:$C$108,0)))/12))))</x:f>
        <x:v>0</x:v>
      </x:c>
    </x:row>
    <x:row r="44" ht="26" customHeight="1">
      <x:c r="A44" s="1"/>
      <x:c r="B44" s="1"/>
      <x:c r="C44" s="9" t="str">
        <x:f>IF(Facilities!C44="","",Facilities!C44)</x:f>
        <x:v>F036</x:v>
      </x:c>
      <x:c r="D44" s="3" t="n">
        <x:v>1</x:v>
      </x:c>
      <x:c r="E44" s="9" t="n">
        <x:f>Settings!$F$18+0</x:f>
        <x:v>2027</x:v>
      </x:c>
      <x:c r="F44" s="9" t="str">
        <x:f>IF(C44="","",IFERROR(INDEX('Facilities'!$D$9:$D$108,MATCH(C44,'Facilities'!$C$9:$C$108,0)),"Unavailable"))</x:f>
        <x:v>B024</x:v>
      </x:c>
      <x:c r="G44" s="23" t="n">
        <x:f>IF(C44="","",IFERROR(IF(INDEX('Facilities'!$AD$9:$AD$108,MATCH(C44,'Facilities'!$C$9:$C$108,0))=3,0,INDEX('Facilities'!$AA$9:$AA$108,MATCH(C44,'Facilities'!$C$9:$C$108,0))),"Unavailable"))</x:f>
        <x:v>13.049999999999999</x:v>
      </x:c>
      <x:c r="H44" s="23" t="n">
        <x:f>IF(C44="","",IFERROR(IF(INDEX('Facilities'!$AD$9:$AD$108,MATCH(C44,'Facilities'!$C$9:$C$108,0))=3,INDEX('Facilities'!$AA$9:$AA$108,MATCH(C44,'Facilities'!$C$9:$C$108,0)),0),"Unavailable"))</x:f>
        <x:v>0</x:v>
      </x:c>
      <x:c r="I44" s="23" t="n">
        <x:f>IF(C44="","",IFERROR(INDEX('Facilities'!$AB$9:$AB$108,MATCH(C44,'Facilities'!$C$9:$C$108,0)),"Unavailable"))</x:f>
        <x:v>1.5</x:v>
      </x:c>
      <x:c r="J44" s="23" t="n">
        <x:f>IF(C44="","",IFERROR(IF(OR(H44&gt;0,AND(AC44&gt;=0,AC44&lt;D44),D44&gt;INDEX('Facilities'!$J$9:$J$108,MATCH(C44,'Facilities'!$C$9:$C$108,0))),0,I44*'Scenario Paths'!F81),"Unavailable"))</x:f>
        <x:v>0.07500000000000001</x:v>
      </x:c>
      <x:c r="K44" s="23" t="n">
        <x:f>IF(C44="","",IFERROR(IF(OR(H44&gt;0,AND(AC44&gt;=0,AC44=D44)),0,IF(D44&gt;=INDEX('Facilities'!$J$9:$J$108,MATCH(C44,'Facilities'!$C$9:$C$108,0)),G44+J44,MIN(G44+J44,G44*INDEX('Facilities'!$R$9:$R$108,MATCH(C44,'Facilities'!$C$9:$C$108,0))))),"Unavailable"))</x:f>
        <x:v>1.5659999999999998</x:v>
      </x:c>
      <x:c r="L44" s="21" t="n">
        <x:f>IF(C44="","",IFERROR(IF(AND(AC44=D44,AC44&gt;0),MAX(0,G44+J44-K44),0),"Unavailable"))</x:f>
        <x:v>0</x:v>
      </x:c>
      <x:c r="M44" s="23" t="n">
        <x:f>IF(C44="","",IFERROR(IF(AND(AC44&gt;=0,D44&gt;=AC44+INDEX('Facilities'!$AK$9:$AK$108,MATCH(C44,'Facilities'!$C$9:$C$108,0))),(H44+L44)*AM44,0),"Unavailable"))</x:f>
        <x:v>0</x:v>
      </x:c>
      <x:c r="N44" s="23" t="n">
        <x:f>IF(C44="","",IFERROR(IF(AND(AC44&gt;=0,D44&gt;=AC44+INDEX('Facilities'!$AK$9:$AK$108,MATCH(C44,'Facilities'!$C$9:$C$108,0))),H44+L44-M44,0),"Unavailable"))</x:f>
        <x:v>0</x:v>
      </x:c>
      <x:c r="O44" s="21" t="n">
        <x:f>IF(C44="","",IFERROR(MAX(0,G44+J44-K44-L44),"Unavailable"))</x:f>
        <x:v>11.558999999999997</x:v>
      </x:c>
      <x:c r="P44" s="21" t="n">
        <x:f>IF(C44="","",IFERROR(MAX(0,H44+L44-M44-N44),"Unavailable"))</x:f>
        <x:v>0</x:v>
      </x:c>
      <x:c r="Q44" s="23" t="n">
        <x:f>IF(C44="","",IFERROR(IF(OR(D44&gt;=INDEX('Facilities'!$J$9:$J$108,MATCH(C44,'Facilities'!$C$9:$C$108,0)),AND(AC44&gt;=0,AC44&lt;=D44)),0,MAX(0,I44-J44)),"Unavailable"))</x:f>
        <x:v>1.425</x:v>
      </x:c>
      <x:c r="R44" s="30" t="n">
        <x:f>IF(C44="","",IFERROR(INDEX(Credit!$Q$9:$Q$108,MATCH(F44,Credit!$C$9:$C$108,0)),"Unavailable"))</x:f>
        <x:v>0.04797132883821896</x:v>
      </x:c>
      <x:c r="S44" s="30" t="n">
        <x:f>IF(C44="","",IFERROR(INDEX(Credit!$R$9:$R$108,MATCH(F44,Credit!$C$9:$C$108,0)),"Unavailable"))</x:f>
        <x:v>0.4008736</x:v>
      </x:c>
      <x:c r="T44" s="23" t="n">
        <x:f>IF(C44="","",IFERROR(IF(P44&gt;0,3,IF(OR(INDEX('Facilities'!$AD$9:$AD$108,MATCH(C44,'Facilities'!$C$9:$C$108,0))=2,AND(R44&gt;=INDEX('Facilities'!$L$9:$L$108,MATCH(C44,'Facilities'!$C$9:$C$108,0))*Settings!$F$19,R44-INDEX('Facilities'!$L$9:$L$108,MATCH(C44,'Facilities'!$C$9:$C$108,0))&gt;=Settings!$F$20)),2,1)),"Unavailable"))</x:f>
        <x:v>1</x:v>
      </x:c>
      <x:c r="U44" s="23" t="n">
        <x:f>IF(C44="","",IF(AQ44&lt;&gt;"Ready","Unavailable",IF(C44="","",O44*(1-(1-S44)/(1+INDEX('Facilities'!$K$9:$K$108,MATCH(C44,'Facilities'!$C$9:$C$108,0)))^INDEX('Facilities'!$AK$9:$AK$108,MATCH(C44,'Facilities'!$C$9:$C$108,0)))*R44/(1+INDEX('Facilities'!$K$9:$K$108,MATCH(C44,'Facilities'!$C$9:$C$108,0)))*IF(ABS(1-(1-R44)*(1-INDEX('Facilities'!$R$9:$R$108,MATCH(C44,'Facilities'!$C$9:$C$108,0)))/(1+INDEX('Facilities'!$K$9:$K$108,MATCH(C44,'Facilities'!$C$9:$C$108,0))))&lt;0.000000001,IF(T44=1,MIN(1,AJ44),AJ44),(1-((1-R44)*(1-INDEX('Facilities'!$R$9:$R$108,MATCH(C44,'Facilities'!$C$9:$C$108,0)))/(1+INDEX('Facilities'!$K$9:$K$108,MATCH(C44,'Facilities'!$C$9:$C$108,0))))^IF(T44=1,MIN(1,AJ44),AJ44))/(1-(1-R44)*(1-INDEX('Facilities'!$R$9:$R$108,MATCH(C44,'Facilities'!$C$9:$C$108,0)))/(1+INDEX('Facilities'!$K$9:$K$108,MATCH(C44,'Facilities'!$C$9:$C$108,0)))))+AL44)))</x:f>
        <x:v>0.24970274627428082</x:v>
      </x:c>
      <x:c r="V44" s="23" t="n">
        <x:f>IF(C44="","",IF(AQ44&lt;&gt;"Ready","Unavailable",IF(C44="","",Q44*INDEX('Facilities'!$I$9:$I$108,MATCH(C44,'Facilities'!$C$9:$C$108,0))*(1-(1-S44)/(1+INDEX('Facilities'!$K$9:$K$108,MATCH(C44,'Facilities'!$C$9:$C$108,0)))^INDEX('Facilities'!$AK$9:$AK$108,MATCH(C44,'Facilities'!$C$9:$C$108,0)))*R44/(1+INDEX('Facilities'!$K$9:$K$108,MATCH(C44,'Facilities'!$C$9:$C$108,0)))*IF(ABS(1-(1-R44)*(1-0)/(1+INDEX('Facilities'!$K$9:$K$108,MATCH(C44,'Facilities'!$C$9:$C$108,0))))&lt;0.000000001,IF(T44=1,MIN(1,AJ44),AJ44),(1-((1-R44)*(1-0)/(1+INDEX('Facilities'!$K$9:$K$108,MATCH(C44,'Facilities'!$C$9:$C$108,0))))^IF(T44=1,MIN(1,AJ44),AJ44))/(1-(1-R44)*(1-0)/(1+INDEX('Facilities'!$K$9:$K$108,MATCH(C44,'Facilities'!$C$9:$C$108,0))))))))</x:f>
        <x:v>0.015391747272292164</x:v>
      </x:c>
      <x:c r="W44" s="23" t="n">
        <x:f>IF(C44="","",IFERROR(INDEX(ECL!$AB$9:$AB$108,MATCH(C44,ECL!$C$9:$C$108,0)),"Unavailable"))</x:f>
        <x:v>0.3128695730452674</x:v>
      </x:c>
      <x:c r="X44" s="23" t="n">
        <x:f>IF(C44="","",IFERROR(INDEX(ECL!$AC$9:$AC$108,MATCH(C44,ECL!$C$9:$C$108,0)),"Unavailable"))</x:f>
        <x:v>0.017981009945130313</x:v>
      </x:c>
      <x:c r="Y44" s="21" t="n">
        <x:f>IF(C44="","",IF(AQ44&lt;&gt;"Ready","Unavailable",IF(C44="","",U44-W44+V44-X44+N44+AG44)))</x:f>
        <x:v>-0.06575608944382474</x:v>
      </x:c>
      <x:c r="Z44" s="23" t="n">
        <x:f>IF(C44="","",IF(AQ44&lt;&gt;"Ready","Unavailable",IF(C44="","",(G44+O44+L44)/2*INDEX('Facilities'!$T$9:$T$108,MATCH(C44,'Facilities'!$C$9:$C$108,0))+AG44)))</x:f>
        <x:v>1.1689274999999997</x:v>
      </x:c>
      <x:c r="AA44" s="23" t="n">
        <x:f>IF(C44="","",IF(AQ44&lt;&gt;"Ready","Unavailable",IF(C44="","",O44*(1-IF(INDEX('Facilities'!$AA$9:$AA$108,MATCH(C44,'Facilities'!$C$9:$C$108,0))=0,0,MIN(1,INDEX('Facilities'!$X$9:$X$108,MATCH(C44,'Facilities'!$C$9:$C$108,0))/INDEX('Facilities'!$AA$9:$AA$108,MATCH(C44,'Facilities'!$C$9:$C$108,0)))))*AF44+P44*(1-IF(INDEX('Facilities'!$AA$9:$AA$108,MATCH(C44,'Facilities'!$C$9:$C$108,0))=0,0,MIN(1,INDEX('Facilities'!$X$9:$X$108,MATCH(C44,'Facilities'!$C$9:$C$108,0))/INDEX('Facilities'!$AA$9:$AA$108,MATCH(C44,'Facilities'!$C$9:$C$108,0)))))*INDEX('Facilities'!$AJ$9:$AJ$108,MATCH(C44,'Facilities'!$C$9:$C$108,0))+Q44*INDEX('Facilities'!$AI$9:$AI$108,MATCH(C44,'Facilities'!$C$9:$C$108,0))*AF44)))</x:f>
        <x:v>12.120779952</x:v>
      </x:c>
      <x:c r="AB44" s="21" t="n">
        <x:f>IF(C44="","",O44+P44-AD44)</x:f>
        <x:v>-1.4910000000000014</x:v>
      </x:c>
      <x:c r="AC44" s="23" t="n">
        <x:f>IF(C44="","",IFERROR(IF(INDEX('Facilities'!$AD$9:$AD$108,MATCH(C44,'Facilities'!$C$9:$C$108,0))=3,0,IF(INDEX('Facilities'!$AN$9:$AN$108,MATCH(C44,'Facilities'!$C$9:$C$108,0))=0,-1,INDEX('Facilities'!$AN$9:$AN$108,MATCH(C44,'Facilities'!$C$9:$C$108,0)))),"Unavailable"))</x:f>
        <x:v>-1</x:v>
      </x:c>
      <x:c r="AD44" s="21" t="n">
        <x:f>IF(C44="","",IFERROR(G44+H44,"Unavailable"))</x:f>
        <x:v>13.049999999999999</x:v>
      </x:c>
      <x:c r="AE44" s="21" t="n">
        <x:f>IF(C44="","",IF(AQ44&lt;&gt;"Ready","Unavailable",IF(C44="","",O44+P44-AD44-J44+K44+M44+N44)))</x:f>
        <x:v>-1.5543122344752192e-15</x:v>
      </x:c>
      <x:c r="AF44" s="30" t="n">
        <x:f>IF(C44="","",IFERROR(INDEX('Facilities'!$S$9:$S$108,MATCH(C44,'Facilities'!$C$9:$C$108,0))*'Scenario Paths'!F75,"Unavailable"))</x:f>
        <x:v>1.02</x:v>
      </x:c>
      <x:c r="AG44" s="23" t="n">
        <x:f>IF(C44="","",IF(AQ44&lt;&gt;"Ready","Unavailable",IF(C44="","",IF(H44&gt;0,MAX(0,H44-AK44)*((1+INDEX('Facilities'!$K$9:$K$108,MATCH(C44,'Facilities'!$C$9:$C$108,0)))^MIN(1,MAX(0,AC44+INDEX('Facilities'!$AK$9:$AK$108,MATCH(C44,'Facilities'!$C$9:$C$108,0))-D44+1))-1),0))))</x:f>
        <x:v>0</x:v>
      </x:c>
      <x:c r="AH44" s="21" t="n">
        <x:f>IF(C44="","",IF(AQ44&lt;&gt;"Ready","Unavailable",IF(C44="","",O44+P44)))</x:f>
        <x:v>11.558999999999997</x:v>
      </x:c>
      <x:c r="AI44" s="21" t="n">
        <x:f>IF(C44="","",IF(AQ44&lt;&gt;"Ready","Unavailable",IF(C44="","",Z44-Y44)))</x:f>
        <x:v>1.2346835894438244</x:v>
      </x:c>
      <x:c r="AJ44" s="23" t="n">
        <x:f>IF(C44="","",IFERROR(MAX(0,INDEX('Facilities'!$J$9:$J$108,MATCH(C44,'Facilities'!$C$9:$C$108,0))-D44),"Unavailable"))</x:f>
        <x:v>7</x:v>
      </x:c>
      <x:c r="AK44" s="23" t="n">
        <x:f>IF(C44="","",IFERROR(IF(INDEX('Facilities'!$AD$9:$AD$108,MATCH(C44,'Facilities'!$C$9:$C$108,0))=3,W44,0),"Unavailable"))</x:f>
        <x:v>0</x:v>
      </x:c>
      <x:c r="AL44" s="23" t="n">
        <x:f>IF(C44="","",IFERROR(IF(P44&gt;0,P44*(1-AM44/(1+INDEX('Facilities'!$K$9:$K$108,MATCH(C44,'Facilities'!$C$9:$C$108,0)))^MAX(0,AC44+INDEX('Facilities'!$AK$9:$AK$108,MATCH(C44,'Facilities'!$C$9:$C$108,0))-D44)),0),"Unavailable"))</x:f>
        <x:v>0</x:v>
      </x:c>
      <x:c r="AM44" s="30" t="n">
        <x:f>IF(C44="","",IFERROR(INDEX('Facilities'!$AL$9:$AL$108,MATCH(C44,'Facilities'!$C$9:$C$108,0)),"Unavailable"))</x:f>
        <x:v>0.55</x:v>
      </x:c>
      <x:c r="AN44" s="30" t="n">
        <x:f>IF(C44="","",IFERROR(INDEX(Credit!$T$9:$T$108,MATCH(F44,Credit!$C$9:$C$108,0)),"Unavailable"))</x:f>
        <x:v>0.001456</x:v>
      </x:c>
      <x:c r="AO44" s="23" t="n">
        <x:f>IF(C44="","",IF(AQ44&lt;&gt;"Ready","Unavailable",IF(C44="","",O44+P44+Q44*INDEX('Facilities'!$I$9:$I$108,MATCH(C44,'Facilities'!$C$9:$C$108,0)))))</x:f>
        <x:v>12.271499999999998</x:v>
      </x:c>
      <x:c r="AP44" s="21" t="n">
        <x:f>IF(C44="","",IF(AQ44&lt;&gt;"Ready","Unavailable",IF(C44="","",AH44-U44)))</x:f>
        <x:v>11.309297253725717</x:v>
      </x:c>
      <x:c r="AQ44" s="23" t="str">
        <x:f>IFERROR(IF(C44="","",IF(AND(INDEX('Facilities'!$AF$9:$AF$108,MATCH(C44,'Facilities'!$C$9:$C$108,0))="Ready",INDEX(Credit!$U$9:$U$108,MATCH(F44,Credit!$C$9:$C$108,0))="Ready",ISNUMBER(W44)),"Ready","Review inputs")),"Review inputs")</x:f>
        <x:v>Ready</x:v>
      </x:c>
      <x:c r="AR44" s="23" t="n">
        <x:f>IF(C44="","",IF(AQ44&lt;&gt;"Ready","Unavailable",IF(C44="","",IF(O44=0,0,(IF(AJ44&lt;=1,O44,O44*INDEX('Facilities'!$R$9:$R$108,MATCH(C44,'Facilities'!$C$9:$C$108,0)))+O44*INDEX('Facilities'!$T$9:$T$108,MATCH(C44,'Facilities'!$C$9:$C$108,0)))/12))))</x:f>
        <x:v>0.20709874999999997</x:v>
      </x:c>
    </x:row>
    <x:row r="45" ht="26" customHeight="1">
      <x:c r="A45" s="1"/>
      <x:c r="B45" s="1"/>
      <x:c r="C45" s="9" t="str">
        <x:f>IF(Facilities!C45="","",Facilities!C45)</x:f>
      </x:c>
      <x:c r="D45" s="3" t="n">
        <x:v>1</x:v>
      </x:c>
      <x:c r="E45" s="9" t="n">
        <x:f>Settings!$F$18+0</x:f>
        <x:v>2027</x:v>
      </x:c>
      <x:c r="F45" s="9" t="str">
        <x:f>IF(C45="","",IFERROR(INDEX('Facilities'!$D$9:$D$108,MATCH(C45,'Facilities'!$C$9:$C$108,0)),"Unavailable"))</x:f>
      </x:c>
      <x:c r="G45" s="23" t="str">
        <x:f>IF(C45="","",IFERROR(IF(INDEX('Facilities'!$AD$9:$AD$108,MATCH(C45,'Facilities'!$C$9:$C$108,0))=3,0,INDEX('Facilities'!$AA$9:$AA$108,MATCH(C45,'Facilities'!$C$9:$C$108,0))),"Unavailable"))</x:f>
      </x:c>
      <x:c r="H45" s="23" t="str">
        <x:f>IF(C45="","",IFERROR(IF(INDEX('Facilities'!$AD$9:$AD$108,MATCH(C45,'Facilities'!$C$9:$C$108,0))=3,INDEX('Facilities'!$AA$9:$AA$108,MATCH(C45,'Facilities'!$C$9:$C$108,0)),0),"Unavailable"))</x:f>
      </x:c>
      <x:c r="I45" s="23" t="str">
        <x:f>IF(C45="","",IFERROR(INDEX('Facilities'!$AB$9:$AB$108,MATCH(C45,'Facilities'!$C$9:$C$108,0)),"Unavailable"))</x:f>
      </x:c>
      <x:c r="J45" s="23" t="str">
        <x:f>IF(C45="","",IFERROR(IF(OR(H45&gt;0,AND(AC45&gt;=0,AC45&lt;D45),D45&gt;INDEX('Facilities'!$J$9:$J$108,MATCH(C45,'Facilities'!$C$9:$C$108,0))),0,I45*'Scenario Paths'!F81),"Unavailable"))</x:f>
      </x:c>
      <x:c r="K45" s="23" t="str">
        <x:f>IF(C45="","",IFERROR(IF(OR(H45&gt;0,AND(AC45&gt;=0,AC45=D45)),0,IF(D45&gt;=INDEX('Facilities'!$J$9:$J$108,MATCH(C45,'Facilities'!$C$9:$C$108,0)),G45+J45,MIN(G45+J45,G45*INDEX('Facilities'!$R$9:$R$108,MATCH(C45,'Facilities'!$C$9:$C$108,0))))),"Unavailable"))</x:f>
      </x:c>
      <x:c r="L45" s="21" t="str">
        <x:f>IF(C45="","",IFERROR(IF(AND(AC45=D45,AC45&gt;0),MAX(0,G45+J45-K45),0),"Unavailable"))</x:f>
      </x:c>
      <x:c r="M45" s="23" t="str">
        <x:f>IF(C45="","",IFERROR(IF(AND(AC45&gt;=0,D45&gt;=AC45+INDEX('Facilities'!$AK$9:$AK$108,MATCH(C45,'Facilities'!$C$9:$C$108,0))),(H45+L45)*AM45,0),"Unavailable"))</x:f>
      </x:c>
      <x:c r="N45" s="23" t="str">
        <x:f>IF(C45="","",IFERROR(IF(AND(AC45&gt;=0,D45&gt;=AC45+INDEX('Facilities'!$AK$9:$AK$108,MATCH(C45,'Facilities'!$C$9:$C$108,0))),H45+L45-M45,0),"Unavailable"))</x:f>
      </x:c>
      <x:c r="O45" s="21" t="str">
        <x:f>IF(C45="","",IFERROR(MAX(0,G45+J45-K45-L45),"Unavailable"))</x:f>
      </x:c>
      <x:c r="P45" s="21" t="str">
        <x:f>IF(C45="","",IFERROR(MAX(0,H45+L45-M45-N45),"Unavailable"))</x:f>
      </x:c>
      <x:c r="Q45" s="23" t="str">
        <x:f>IF(C45="","",IFERROR(IF(OR(D45&gt;=INDEX('Facilities'!$J$9:$J$108,MATCH(C45,'Facilities'!$C$9:$C$108,0)),AND(AC45&gt;=0,AC45&lt;=D45)),0,MAX(0,I45-J45)),"Unavailable"))</x:f>
      </x:c>
      <x:c r="R45" s="30" t="str">
        <x:f>IF(C45="","",IFERROR(INDEX(Credit!$Q$9:$Q$108,MATCH(F45,Credit!$C$9:$C$108,0)),"Unavailable"))</x:f>
      </x:c>
      <x:c r="S45" s="30" t="str">
        <x:f>IF(C45="","",IFERROR(INDEX(Credit!$R$9:$R$108,MATCH(F45,Credit!$C$9:$C$108,0)),"Unavailable"))</x:f>
      </x:c>
      <x:c r="T45" s="23" t="str">
        <x:f>IF(C45="","",IFERROR(IF(P45&gt;0,3,IF(OR(INDEX('Facilities'!$AD$9:$AD$108,MATCH(C45,'Facilities'!$C$9:$C$108,0))=2,AND(R45&gt;=INDEX('Facilities'!$L$9:$L$108,MATCH(C45,'Facilities'!$C$9:$C$108,0))*Settings!$F$19,R45-INDEX('Facilities'!$L$9:$L$108,MATCH(C45,'Facilities'!$C$9:$C$108,0))&gt;=Settings!$F$20)),2,1)),"Unavailable"))</x:f>
      </x:c>
      <x:c r="U45" s="23" t="str">
        <x:f>IF(C45="","",IF(AQ45&lt;&gt;"Ready","Unavailable",IF(C45="","",O45*(1-(1-S45)/(1+INDEX('Facilities'!$K$9:$K$108,MATCH(C45,'Facilities'!$C$9:$C$108,0)))^INDEX('Facilities'!$AK$9:$AK$108,MATCH(C45,'Facilities'!$C$9:$C$108,0)))*R45/(1+INDEX('Facilities'!$K$9:$K$108,MATCH(C45,'Facilities'!$C$9:$C$108,0)))*IF(ABS(1-(1-R45)*(1-INDEX('Facilities'!$R$9:$R$108,MATCH(C45,'Facilities'!$C$9:$C$108,0)))/(1+INDEX('Facilities'!$K$9:$K$108,MATCH(C45,'Facilities'!$C$9:$C$108,0))))&lt;0.000000001,IF(T45=1,MIN(1,AJ45),AJ45),(1-((1-R45)*(1-INDEX('Facilities'!$R$9:$R$108,MATCH(C45,'Facilities'!$C$9:$C$108,0)))/(1+INDEX('Facilities'!$K$9:$K$108,MATCH(C45,'Facilities'!$C$9:$C$108,0))))^IF(T45=1,MIN(1,AJ45),AJ45))/(1-(1-R45)*(1-INDEX('Facilities'!$R$9:$R$108,MATCH(C45,'Facilities'!$C$9:$C$108,0)))/(1+INDEX('Facilities'!$K$9:$K$108,MATCH(C45,'Facilities'!$C$9:$C$108,0)))))+AL45)))</x:f>
      </x:c>
      <x:c r="V45" s="23" t="str">
        <x:f>IF(C45="","",IF(AQ45&lt;&gt;"Ready","Unavailable",IF(C45="","",Q45*INDEX('Facilities'!$I$9:$I$108,MATCH(C45,'Facilities'!$C$9:$C$108,0))*(1-(1-S45)/(1+INDEX('Facilities'!$K$9:$K$108,MATCH(C45,'Facilities'!$C$9:$C$108,0)))^INDEX('Facilities'!$AK$9:$AK$108,MATCH(C45,'Facilities'!$C$9:$C$108,0)))*R45/(1+INDEX('Facilities'!$K$9:$K$108,MATCH(C45,'Facilities'!$C$9:$C$108,0)))*IF(ABS(1-(1-R45)*(1-0)/(1+INDEX('Facilities'!$K$9:$K$108,MATCH(C45,'Facilities'!$C$9:$C$108,0))))&lt;0.000000001,IF(T45=1,MIN(1,AJ45),AJ45),(1-((1-R45)*(1-0)/(1+INDEX('Facilities'!$K$9:$K$108,MATCH(C45,'Facilities'!$C$9:$C$108,0))))^IF(T45=1,MIN(1,AJ45),AJ45))/(1-(1-R45)*(1-0)/(1+INDEX('Facilities'!$K$9:$K$108,MATCH(C45,'Facilities'!$C$9:$C$108,0))))))))</x:f>
      </x:c>
      <x:c r="W45" s="23" t="str">
        <x:f>IF(C45="","",IFERROR(INDEX(ECL!$AB$9:$AB$108,MATCH(C45,ECL!$C$9:$C$108,0)),"Unavailable"))</x:f>
      </x:c>
      <x:c r="X45" s="23" t="str">
        <x:f>IF(C45="","",IFERROR(INDEX(ECL!$AC$9:$AC$108,MATCH(C45,ECL!$C$9:$C$108,0)),"Unavailable"))</x:f>
      </x:c>
      <x:c r="Y45" s="21" t="str">
        <x:f>IF(C45="","",IF(AQ45&lt;&gt;"Ready","Unavailable",IF(C45="","",U45-W45+V45-X45+N45+AG45)))</x:f>
      </x:c>
      <x:c r="Z45" s="23" t="str">
        <x:f>IF(C45="","",IF(AQ45&lt;&gt;"Ready","Unavailable",IF(C45="","",(G45+O45+L45)/2*INDEX('Facilities'!$T$9:$T$108,MATCH(C45,'Facilities'!$C$9:$C$108,0))+AG45)))</x:f>
      </x:c>
      <x:c r="AA45" s="23" t="str">
        <x:f>IF(C45="","",IF(AQ45&lt;&gt;"Ready","Unavailable",IF(C45="","",O45*(1-IF(INDEX('Facilities'!$AA$9:$AA$108,MATCH(C45,'Facilities'!$C$9:$C$108,0))=0,0,MIN(1,INDEX('Facilities'!$X$9:$X$108,MATCH(C45,'Facilities'!$C$9:$C$108,0))/INDEX('Facilities'!$AA$9:$AA$108,MATCH(C45,'Facilities'!$C$9:$C$108,0)))))*AF45+P45*(1-IF(INDEX('Facilities'!$AA$9:$AA$108,MATCH(C45,'Facilities'!$C$9:$C$108,0))=0,0,MIN(1,INDEX('Facilities'!$X$9:$X$108,MATCH(C45,'Facilities'!$C$9:$C$108,0))/INDEX('Facilities'!$AA$9:$AA$108,MATCH(C45,'Facilities'!$C$9:$C$108,0)))))*INDEX('Facilities'!$AJ$9:$AJ$108,MATCH(C45,'Facilities'!$C$9:$C$108,0))+Q45*INDEX('Facilities'!$AI$9:$AI$108,MATCH(C45,'Facilities'!$C$9:$C$108,0))*AF45)))</x:f>
      </x:c>
      <x:c r="AB45" s="21" t="str">
        <x:f>IF(C45="","",O45+P45-AD45)</x:f>
      </x:c>
      <x:c r="AC45" s="23" t="str">
        <x:f>IF(C45="","",IFERROR(IF(INDEX('Facilities'!$AD$9:$AD$108,MATCH(C45,'Facilities'!$C$9:$C$108,0))=3,0,IF(INDEX('Facilities'!$AN$9:$AN$108,MATCH(C45,'Facilities'!$C$9:$C$108,0))=0,-1,INDEX('Facilities'!$AN$9:$AN$108,MATCH(C45,'Facilities'!$C$9:$C$108,0)))),"Unavailable"))</x:f>
      </x:c>
      <x:c r="AD45" s="21" t="str">
        <x:f>IF(C45="","",IFERROR(G45+H45,"Unavailable"))</x:f>
      </x:c>
      <x:c r="AE45" s="21" t="str">
        <x:f>IF(C45="","",IF(AQ45&lt;&gt;"Ready","Unavailable",IF(C45="","",O45+P45-AD45-J45+K45+M45+N45)))</x:f>
      </x:c>
      <x:c r="AF45" s="30" t="str">
        <x:f>IF(C45="","",IFERROR(INDEX('Facilities'!$S$9:$S$108,MATCH(C45,'Facilities'!$C$9:$C$108,0))*'Scenario Paths'!F75,"Unavailable"))</x:f>
      </x:c>
      <x:c r="AG45" s="23" t="str">
        <x:f>IF(C45="","",IF(AQ45&lt;&gt;"Ready","Unavailable",IF(C45="","",IF(H45&gt;0,MAX(0,H45-AK45)*((1+INDEX('Facilities'!$K$9:$K$108,MATCH(C45,'Facilities'!$C$9:$C$108,0)))^MIN(1,MAX(0,AC45+INDEX('Facilities'!$AK$9:$AK$108,MATCH(C45,'Facilities'!$C$9:$C$108,0))-D45+1))-1),0))))</x:f>
      </x:c>
      <x:c r="AH45" s="21" t="str">
        <x:f>IF(C45="","",IF(AQ45&lt;&gt;"Ready","Unavailable",IF(C45="","",O45+P45)))</x:f>
      </x:c>
      <x:c r="AI45" s="21" t="str">
        <x:f>IF(C45="","",IF(AQ45&lt;&gt;"Ready","Unavailable",IF(C45="","",Z45-Y45)))</x:f>
      </x:c>
      <x:c r="AJ45" s="23" t="str">
        <x:f>IF(C45="","",IFERROR(MAX(0,INDEX('Facilities'!$J$9:$J$108,MATCH(C45,'Facilities'!$C$9:$C$108,0))-D45),"Unavailable"))</x:f>
      </x:c>
      <x:c r="AK45" s="23" t="str">
        <x:f>IF(C45="","",IFERROR(IF(INDEX('Facilities'!$AD$9:$AD$108,MATCH(C45,'Facilities'!$C$9:$C$108,0))=3,W45,0),"Unavailable"))</x:f>
      </x:c>
      <x:c r="AL45" s="23" t="str">
        <x:f>IF(C45="","",IFERROR(IF(P45&gt;0,P45*(1-AM45/(1+INDEX('Facilities'!$K$9:$K$108,MATCH(C45,'Facilities'!$C$9:$C$108,0)))^MAX(0,AC45+INDEX('Facilities'!$AK$9:$AK$108,MATCH(C45,'Facilities'!$C$9:$C$108,0))-D45)),0),"Unavailable"))</x:f>
      </x:c>
      <x:c r="AM45" s="30" t="str">
        <x:f>IF(C45="","",IFERROR(INDEX('Facilities'!$AL$9:$AL$108,MATCH(C45,'Facilities'!$C$9:$C$108,0)),"Unavailable"))</x:f>
      </x:c>
      <x:c r="AN45" s="30" t="str">
        <x:f>IF(C45="","",IFERROR(INDEX(Credit!$T$9:$T$108,MATCH(F45,Credit!$C$9:$C$108,0)),"Unavailable"))</x:f>
      </x:c>
      <x:c r="AO45" s="23" t="str">
        <x:f>IF(C45="","",IF(AQ45&lt;&gt;"Ready","Unavailable",IF(C45="","",O45+P45+Q45*INDEX('Facilities'!$I$9:$I$108,MATCH(C45,'Facilities'!$C$9:$C$108,0)))))</x:f>
      </x:c>
      <x:c r="AP45" s="21" t="str">
        <x:f>IF(C45="","",IF(AQ45&lt;&gt;"Ready","Unavailable",IF(C45="","",AH45-U45)))</x:f>
      </x:c>
      <x:c r="AQ45" s="23" t="str">
        <x:f>IFERROR(IF(C45="","",IF(AND(INDEX('Facilities'!$AF$9:$AF$108,MATCH(C45,'Facilities'!$C$9:$C$108,0))="Ready",INDEX(Credit!$U$9:$U$108,MATCH(F45,Credit!$C$9:$C$108,0))="Ready",ISNUMBER(W45)),"Ready","Review inputs")),"Review inputs")</x:f>
      </x:c>
      <x:c r="AR45" s="23" t="str">
        <x:f>IF(C45="","",IF(AQ45&lt;&gt;"Ready","Unavailable",IF(C45="","",IF(O45=0,0,(IF(AJ45&lt;=1,O45,O45*INDEX('Facilities'!$R$9:$R$108,MATCH(C45,'Facilities'!$C$9:$C$108,0)))+O45*INDEX('Facilities'!$T$9:$T$108,MATCH(C45,'Facilities'!$C$9:$C$108,0)))/12))))</x:f>
      </x:c>
    </x:row>
    <x:row r="46" ht="26" customHeight="1">
      <x:c r="A46" s="1"/>
      <x:c r="B46" s="1"/>
      <x:c r="C46" s="9" t="str">
        <x:f>IF(Facilities!C46="","",Facilities!C46)</x:f>
      </x:c>
      <x:c r="D46" s="3" t="n">
        <x:v>1</x:v>
      </x:c>
      <x:c r="E46" s="9" t="n">
        <x:f>Settings!$F$18+0</x:f>
        <x:v>2027</x:v>
      </x:c>
      <x:c r="F46" s="9" t="str">
        <x:f>IF(C46="","",IFERROR(INDEX('Facilities'!$D$9:$D$108,MATCH(C46,'Facilities'!$C$9:$C$108,0)),"Unavailable"))</x:f>
      </x:c>
      <x:c r="G46" s="23" t="str">
        <x:f>IF(C46="","",IFERROR(IF(INDEX('Facilities'!$AD$9:$AD$108,MATCH(C46,'Facilities'!$C$9:$C$108,0))=3,0,INDEX('Facilities'!$AA$9:$AA$108,MATCH(C46,'Facilities'!$C$9:$C$108,0))),"Unavailable"))</x:f>
      </x:c>
      <x:c r="H46" s="23" t="str">
        <x:f>IF(C46="","",IFERROR(IF(INDEX('Facilities'!$AD$9:$AD$108,MATCH(C46,'Facilities'!$C$9:$C$108,0))=3,INDEX('Facilities'!$AA$9:$AA$108,MATCH(C46,'Facilities'!$C$9:$C$108,0)),0),"Unavailable"))</x:f>
      </x:c>
      <x:c r="I46" s="23" t="str">
        <x:f>IF(C46="","",IFERROR(INDEX('Facilities'!$AB$9:$AB$108,MATCH(C46,'Facilities'!$C$9:$C$108,0)),"Unavailable"))</x:f>
      </x:c>
      <x:c r="J46" s="23" t="str">
        <x:f>IF(C46="","",IFERROR(IF(OR(H46&gt;0,AND(AC46&gt;=0,AC46&lt;D46),D46&gt;INDEX('Facilities'!$J$9:$J$108,MATCH(C46,'Facilities'!$C$9:$C$108,0))),0,I46*'Scenario Paths'!F81),"Unavailable"))</x:f>
      </x:c>
      <x:c r="K46" s="23" t="str">
        <x:f>IF(C46="","",IFERROR(IF(OR(H46&gt;0,AND(AC46&gt;=0,AC46=D46)),0,IF(D46&gt;=INDEX('Facilities'!$J$9:$J$108,MATCH(C46,'Facilities'!$C$9:$C$108,0)),G46+J46,MIN(G46+J46,G46*INDEX('Facilities'!$R$9:$R$108,MATCH(C46,'Facilities'!$C$9:$C$108,0))))),"Unavailable"))</x:f>
      </x:c>
      <x:c r="L46" s="21" t="str">
        <x:f>IF(C46="","",IFERROR(IF(AND(AC46=D46,AC46&gt;0),MAX(0,G46+J46-K46),0),"Unavailable"))</x:f>
      </x:c>
      <x:c r="M46" s="23" t="str">
        <x:f>IF(C46="","",IFERROR(IF(AND(AC46&gt;=0,D46&gt;=AC46+INDEX('Facilities'!$AK$9:$AK$108,MATCH(C46,'Facilities'!$C$9:$C$108,0))),(H46+L46)*AM46,0),"Unavailable"))</x:f>
      </x:c>
      <x:c r="N46" s="23" t="str">
        <x:f>IF(C46="","",IFERROR(IF(AND(AC46&gt;=0,D46&gt;=AC46+INDEX('Facilities'!$AK$9:$AK$108,MATCH(C46,'Facilities'!$C$9:$C$108,0))),H46+L46-M46,0),"Unavailable"))</x:f>
      </x:c>
      <x:c r="O46" s="21" t="str">
        <x:f>IF(C46="","",IFERROR(MAX(0,G46+J46-K46-L46),"Unavailable"))</x:f>
      </x:c>
      <x:c r="P46" s="21" t="str">
        <x:f>IF(C46="","",IFERROR(MAX(0,H46+L46-M46-N46),"Unavailable"))</x:f>
      </x:c>
      <x:c r="Q46" s="23" t="str">
        <x:f>IF(C46="","",IFERROR(IF(OR(D46&gt;=INDEX('Facilities'!$J$9:$J$108,MATCH(C46,'Facilities'!$C$9:$C$108,0)),AND(AC46&gt;=0,AC46&lt;=D46)),0,MAX(0,I46-J46)),"Unavailable"))</x:f>
      </x:c>
      <x:c r="R46" s="30" t="str">
        <x:f>IF(C46="","",IFERROR(INDEX(Credit!$Q$9:$Q$108,MATCH(F46,Credit!$C$9:$C$108,0)),"Unavailable"))</x:f>
      </x:c>
      <x:c r="S46" s="30" t="str">
        <x:f>IF(C46="","",IFERROR(INDEX(Credit!$R$9:$R$108,MATCH(F46,Credit!$C$9:$C$108,0)),"Unavailable"))</x:f>
      </x:c>
      <x:c r="T46" s="23" t="str">
        <x:f>IF(C46="","",IFERROR(IF(P46&gt;0,3,IF(OR(INDEX('Facilities'!$AD$9:$AD$108,MATCH(C46,'Facilities'!$C$9:$C$108,0))=2,AND(R46&gt;=INDEX('Facilities'!$L$9:$L$108,MATCH(C46,'Facilities'!$C$9:$C$108,0))*Settings!$F$19,R46-INDEX('Facilities'!$L$9:$L$108,MATCH(C46,'Facilities'!$C$9:$C$108,0))&gt;=Settings!$F$20)),2,1)),"Unavailable"))</x:f>
      </x:c>
      <x:c r="U46" s="23" t="str">
        <x:f>IF(C46="","",IF(AQ46&lt;&gt;"Ready","Unavailable",IF(C46="","",O46*(1-(1-S46)/(1+INDEX('Facilities'!$K$9:$K$108,MATCH(C46,'Facilities'!$C$9:$C$108,0)))^INDEX('Facilities'!$AK$9:$AK$108,MATCH(C46,'Facilities'!$C$9:$C$108,0)))*R46/(1+INDEX('Facilities'!$K$9:$K$108,MATCH(C46,'Facilities'!$C$9:$C$108,0)))*IF(ABS(1-(1-R46)*(1-INDEX('Facilities'!$R$9:$R$108,MATCH(C46,'Facilities'!$C$9:$C$108,0)))/(1+INDEX('Facilities'!$K$9:$K$108,MATCH(C46,'Facilities'!$C$9:$C$108,0))))&lt;0.000000001,IF(T46=1,MIN(1,AJ46),AJ46),(1-((1-R46)*(1-INDEX('Facilities'!$R$9:$R$108,MATCH(C46,'Facilities'!$C$9:$C$108,0)))/(1+INDEX('Facilities'!$K$9:$K$108,MATCH(C46,'Facilities'!$C$9:$C$108,0))))^IF(T46=1,MIN(1,AJ46),AJ46))/(1-(1-R46)*(1-INDEX('Facilities'!$R$9:$R$108,MATCH(C46,'Facilities'!$C$9:$C$108,0)))/(1+INDEX('Facilities'!$K$9:$K$108,MATCH(C46,'Facilities'!$C$9:$C$108,0)))))+AL46)))</x:f>
      </x:c>
      <x:c r="V46" s="23" t="str">
        <x:f>IF(C46="","",IF(AQ46&lt;&gt;"Ready","Unavailable",IF(C46="","",Q46*INDEX('Facilities'!$I$9:$I$108,MATCH(C46,'Facilities'!$C$9:$C$108,0))*(1-(1-S46)/(1+INDEX('Facilities'!$K$9:$K$108,MATCH(C46,'Facilities'!$C$9:$C$108,0)))^INDEX('Facilities'!$AK$9:$AK$108,MATCH(C46,'Facilities'!$C$9:$C$108,0)))*R46/(1+INDEX('Facilities'!$K$9:$K$108,MATCH(C46,'Facilities'!$C$9:$C$108,0)))*IF(ABS(1-(1-R46)*(1-0)/(1+INDEX('Facilities'!$K$9:$K$108,MATCH(C46,'Facilities'!$C$9:$C$108,0))))&lt;0.000000001,IF(T46=1,MIN(1,AJ46),AJ46),(1-((1-R46)*(1-0)/(1+INDEX('Facilities'!$K$9:$K$108,MATCH(C46,'Facilities'!$C$9:$C$108,0))))^IF(T46=1,MIN(1,AJ46),AJ46))/(1-(1-R46)*(1-0)/(1+INDEX('Facilities'!$K$9:$K$108,MATCH(C46,'Facilities'!$C$9:$C$108,0))))))))</x:f>
      </x:c>
      <x:c r="W46" s="23" t="str">
        <x:f>IF(C46="","",IFERROR(INDEX(ECL!$AB$9:$AB$108,MATCH(C46,ECL!$C$9:$C$108,0)),"Unavailable"))</x:f>
      </x:c>
      <x:c r="X46" s="23" t="str">
        <x:f>IF(C46="","",IFERROR(INDEX(ECL!$AC$9:$AC$108,MATCH(C46,ECL!$C$9:$C$108,0)),"Unavailable"))</x:f>
      </x:c>
      <x:c r="Y46" s="21" t="str">
        <x:f>IF(C46="","",IF(AQ46&lt;&gt;"Ready","Unavailable",IF(C46="","",U46-W46+V46-X46+N46+AG46)))</x:f>
      </x:c>
      <x:c r="Z46" s="23" t="str">
        <x:f>IF(C46="","",IF(AQ46&lt;&gt;"Ready","Unavailable",IF(C46="","",(G46+O46+L46)/2*INDEX('Facilities'!$T$9:$T$108,MATCH(C46,'Facilities'!$C$9:$C$108,0))+AG46)))</x:f>
      </x:c>
      <x:c r="AA46" s="23" t="str">
        <x:f>IF(C46="","",IF(AQ46&lt;&gt;"Ready","Unavailable",IF(C46="","",O46*(1-IF(INDEX('Facilities'!$AA$9:$AA$108,MATCH(C46,'Facilities'!$C$9:$C$108,0))=0,0,MIN(1,INDEX('Facilities'!$X$9:$X$108,MATCH(C46,'Facilities'!$C$9:$C$108,0))/INDEX('Facilities'!$AA$9:$AA$108,MATCH(C46,'Facilities'!$C$9:$C$108,0)))))*AF46+P46*(1-IF(INDEX('Facilities'!$AA$9:$AA$108,MATCH(C46,'Facilities'!$C$9:$C$108,0))=0,0,MIN(1,INDEX('Facilities'!$X$9:$X$108,MATCH(C46,'Facilities'!$C$9:$C$108,0))/INDEX('Facilities'!$AA$9:$AA$108,MATCH(C46,'Facilities'!$C$9:$C$108,0)))))*INDEX('Facilities'!$AJ$9:$AJ$108,MATCH(C46,'Facilities'!$C$9:$C$108,0))+Q46*INDEX('Facilities'!$AI$9:$AI$108,MATCH(C46,'Facilities'!$C$9:$C$108,0))*AF46)))</x:f>
      </x:c>
      <x:c r="AB46" s="21" t="str">
        <x:f>IF(C46="","",O46+P46-AD46)</x:f>
      </x:c>
      <x:c r="AC46" s="23" t="str">
        <x:f>IF(C46="","",IFERROR(IF(INDEX('Facilities'!$AD$9:$AD$108,MATCH(C46,'Facilities'!$C$9:$C$108,0))=3,0,IF(INDEX('Facilities'!$AN$9:$AN$108,MATCH(C46,'Facilities'!$C$9:$C$108,0))=0,-1,INDEX('Facilities'!$AN$9:$AN$108,MATCH(C46,'Facilities'!$C$9:$C$108,0)))),"Unavailable"))</x:f>
      </x:c>
      <x:c r="AD46" s="21" t="str">
        <x:f>IF(C46="","",IFERROR(G46+H46,"Unavailable"))</x:f>
      </x:c>
      <x:c r="AE46" s="21" t="str">
        <x:f>IF(C46="","",IF(AQ46&lt;&gt;"Ready","Unavailable",IF(C46="","",O46+P46-AD46-J46+K46+M46+N46)))</x:f>
      </x:c>
      <x:c r="AF46" s="30" t="str">
        <x:f>IF(C46="","",IFERROR(INDEX('Facilities'!$S$9:$S$108,MATCH(C46,'Facilities'!$C$9:$C$108,0))*'Scenario Paths'!F75,"Unavailable"))</x:f>
      </x:c>
      <x:c r="AG46" s="23" t="str">
        <x:f>IF(C46="","",IF(AQ46&lt;&gt;"Ready","Unavailable",IF(C46="","",IF(H46&gt;0,MAX(0,H46-AK46)*((1+INDEX('Facilities'!$K$9:$K$108,MATCH(C46,'Facilities'!$C$9:$C$108,0)))^MIN(1,MAX(0,AC46+INDEX('Facilities'!$AK$9:$AK$108,MATCH(C46,'Facilities'!$C$9:$C$108,0))-D46+1))-1),0))))</x:f>
      </x:c>
      <x:c r="AH46" s="21" t="str">
        <x:f>IF(C46="","",IF(AQ46&lt;&gt;"Ready","Unavailable",IF(C46="","",O46+P46)))</x:f>
      </x:c>
      <x:c r="AI46" s="21" t="str">
        <x:f>IF(C46="","",IF(AQ46&lt;&gt;"Ready","Unavailable",IF(C46="","",Z46-Y46)))</x:f>
      </x:c>
      <x:c r="AJ46" s="23" t="str">
        <x:f>IF(C46="","",IFERROR(MAX(0,INDEX('Facilities'!$J$9:$J$108,MATCH(C46,'Facilities'!$C$9:$C$108,0))-D46),"Unavailable"))</x:f>
      </x:c>
      <x:c r="AK46" s="23" t="str">
        <x:f>IF(C46="","",IFERROR(IF(INDEX('Facilities'!$AD$9:$AD$108,MATCH(C46,'Facilities'!$C$9:$C$108,0))=3,W46,0),"Unavailable"))</x:f>
      </x:c>
      <x:c r="AL46" s="23" t="str">
        <x:f>IF(C46="","",IFERROR(IF(P46&gt;0,P46*(1-AM46/(1+INDEX('Facilities'!$K$9:$K$108,MATCH(C46,'Facilities'!$C$9:$C$108,0)))^MAX(0,AC46+INDEX('Facilities'!$AK$9:$AK$108,MATCH(C46,'Facilities'!$C$9:$C$108,0))-D46)),0),"Unavailable"))</x:f>
      </x:c>
      <x:c r="AM46" s="30" t="str">
        <x:f>IF(C46="","",IFERROR(INDEX('Facilities'!$AL$9:$AL$108,MATCH(C46,'Facilities'!$C$9:$C$108,0)),"Unavailable"))</x:f>
      </x:c>
      <x:c r="AN46" s="30" t="str">
        <x:f>IF(C46="","",IFERROR(INDEX(Credit!$T$9:$T$108,MATCH(F46,Credit!$C$9:$C$108,0)),"Unavailable"))</x:f>
      </x:c>
      <x:c r="AO46" s="23" t="str">
        <x:f>IF(C46="","",IF(AQ46&lt;&gt;"Ready","Unavailable",IF(C46="","",O46+P46+Q46*INDEX('Facilities'!$I$9:$I$108,MATCH(C46,'Facilities'!$C$9:$C$108,0)))))</x:f>
      </x:c>
      <x:c r="AP46" s="21" t="str">
        <x:f>IF(C46="","",IF(AQ46&lt;&gt;"Ready","Unavailable",IF(C46="","",AH46-U46)))</x:f>
      </x:c>
      <x:c r="AQ46" s="23" t="str">
        <x:f>IFERROR(IF(C46="","",IF(AND(INDEX('Facilities'!$AF$9:$AF$108,MATCH(C46,'Facilities'!$C$9:$C$108,0))="Ready",INDEX(Credit!$U$9:$U$108,MATCH(F46,Credit!$C$9:$C$108,0))="Ready",ISNUMBER(W46)),"Ready","Review inputs")),"Review inputs")</x:f>
      </x:c>
      <x:c r="AR46" s="23" t="str">
        <x:f>IF(C46="","",IF(AQ46&lt;&gt;"Ready","Unavailable",IF(C46="","",IF(O46=0,0,(IF(AJ46&lt;=1,O46,O46*INDEX('Facilities'!$R$9:$R$108,MATCH(C46,'Facilities'!$C$9:$C$108,0)))+O46*INDEX('Facilities'!$T$9:$T$108,MATCH(C46,'Facilities'!$C$9:$C$108,0)))/12))))</x:f>
      </x:c>
    </x:row>
    <x:row r="47" ht="26" customHeight="1">
      <x:c r="A47" s="1"/>
      <x:c r="B47" s="1"/>
      <x:c r="C47" s="9" t="str">
        <x:f>IF(Facilities!C47="","",Facilities!C47)</x:f>
      </x:c>
      <x:c r="D47" s="3" t="n">
        <x:v>1</x:v>
      </x:c>
      <x:c r="E47" s="9" t="n">
        <x:f>Settings!$F$18+0</x:f>
        <x:v>2027</x:v>
      </x:c>
      <x:c r="F47" s="9" t="str">
        <x:f>IF(C47="","",IFERROR(INDEX('Facilities'!$D$9:$D$108,MATCH(C47,'Facilities'!$C$9:$C$108,0)),"Unavailable"))</x:f>
      </x:c>
      <x:c r="G47" s="23" t="str">
        <x:f>IF(C47="","",IFERROR(IF(INDEX('Facilities'!$AD$9:$AD$108,MATCH(C47,'Facilities'!$C$9:$C$108,0))=3,0,INDEX('Facilities'!$AA$9:$AA$108,MATCH(C47,'Facilities'!$C$9:$C$108,0))),"Unavailable"))</x:f>
      </x:c>
      <x:c r="H47" s="23" t="str">
        <x:f>IF(C47="","",IFERROR(IF(INDEX('Facilities'!$AD$9:$AD$108,MATCH(C47,'Facilities'!$C$9:$C$108,0))=3,INDEX('Facilities'!$AA$9:$AA$108,MATCH(C47,'Facilities'!$C$9:$C$108,0)),0),"Unavailable"))</x:f>
      </x:c>
      <x:c r="I47" s="23" t="str">
        <x:f>IF(C47="","",IFERROR(INDEX('Facilities'!$AB$9:$AB$108,MATCH(C47,'Facilities'!$C$9:$C$108,0)),"Unavailable"))</x:f>
      </x:c>
      <x:c r="J47" s="23" t="str">
        <x:f>IF(C47="","",IFERROR(IF(OR(H47&gt;0,AND(AC47&gt;=0,AC47&lt;D47),D47&gt;INDEX('Facilities'!$J$9:$J$108,MATCH(C47,'Facilities'!$C$9:$C$108,0))),0,I47*'Scenario Paths'!F81),"Unavailable"))</x:f>
      </x:c>
      <x:c r="K47" s="23" t="str">
        <x:f>IF(C47="","",IFERROR(IF(OR(H47&gt;0,AND(AC47&gt;=0,AC47=D47)),0,IF(D47&gt;=INDEX('Facilities'!$J$9:$J$108,MATCH(C47,'Facilities'!$C$9:$C$108,0)),G47+J47,MIN(G47+J47,G47*INDEX('Facilities'!$R$9:$R$108,MATCH(C47,'Facilities'!$C$9:$C$108,0))))),"Unavailable"))</x:f>
      </x:c>
      <x:c r="L47" s="21" t="str">
        <x:f>IF(C47="","",IFERROR(IF(AND(AC47=D47,AC47&gt;0),MAX(0,G47+J47-K47),0),"Unavailable"))</x:f>
      </x:c>
      <x:c r="M47" s="23" t="str">
        <x:f>IF(C47="","",IFERROR(IF(AND(AC47&gt;=0,D47&gt;=AC47+INDEX('Facilities'!$AK$9:$AK$108,MATCH(C47,'Facilities'!$C$9:$C$108,0))),(H47+L47)*AM47,0),"Unavailable"))</x:f>
      </x:c>
      <x:c r="N47" s="23" t="str">
        <x:f>IF(C47="","",IFERROR(IF(AND(AC47&gt;=0,D47&gt;=AC47+INDEX('Facilities'!$AK$9:$AK$108,MATCH(C47,'Facilities'!$C$9:$C$108,0))),H47+L47-M47,0),"Unavailable"))</x:f>
      </x:c>
      <x:c r="O47" s="21" t="str">
        <x:f>IF(C47="","",IFERROR(MAX(0,G47+J47-K47-L47),"Unavailable"))</x:f>
      </x:c>
      <x:c r="P47" s="21" t="str">
        <x:f>IF(C47="","",IFERROR(MAX(0,H47+L47-M47-N47),"Unavailable"))</x:f>
      </x:c>
      <x:c r="Q47" s="23" t="str">
        <x:f>IF(C47="","",IFERROR(IF(OR(D47&gt;=INDEX('Facilities'!$J$9:$J$108,MATCH(C47,'Facilities'!$C$9:$C$108,0)),AND(AC47&gt;=0,AC47&lt;=D47)),0,MAX(0,I47-J47)),"Unavailable"))</x:f>
      </x:c>
      <x:c r="R47" s="30" t="str">
        <x:f>IF(C47="","",IFERROR(INDEX(Credit!$Q$9:$Q$108,MATCH(F47,Credit!$C$9:$C$108,0)),"Unavailable"))</x:f>
      </x:c>
      <x:c r="S47" s="30" t="str">
        <x:f>IF(C47="","",IFERROR(INDEX(Credit!$R$9:$R$108,MATCH(F47,Credit!$C$9:$C$108,0)),"Unavailable"))</x:f>
      </x:c>
      <x:c r="T47" s="23" t="str">
        <x:f>IF(C47="","",IFERROR(IF(P47&gt;0,3,IF(OR(INDEX('Facilities'!$AD$9:$AD$108,MATCH(C47,'Facilities'!$C$9:$C$108,0))=2,AND(R47&gt;=INDEX('Facilities'!$L$9:$L$108,MATCH(C47,'Facilities'!$C$9:$C$108,0))*Settings!$F$19,R47-INDEX('Facilities'!$L$9:$L$108,MATCH(C47,'Facilities'!$C$9:$C$108,0))&gt;=Settings!$F$20)),2,1)),"Unavailable"))</x:f>
      </x:c>
      <x:c r="U47" s="23" t="str">
        <x:f>IF(C47="","",IF(AQ47&lt;&gt;"Ready","Unavailable",IF(C47="","",O47*(1-(1-S47)/(1+INDEX('Facilities'!$K$9:$K$108,MATCH(C47,'Facilities'!$C$9:$C$108,0)))^INDEX('Facilities'!$AK$9:$AK$108,MATCH(C47,'Facilities'!$C$9:$C$108,0)))*R47/(1+INDEX('Facilities'!$K$9:$K$108,MATCH(C47,'Facilities'!$C$9:$C$108,0)))*IF(ABS(1-(1-R47)*(1-INDEX('Facilities'!$R$9:$R$108,MATCH(C47,'Facilities'!$C$9:$C$108,0)))/(1+INDEX('Facilities'!$K$9:$K$108,MATCH(C47,'Facilities'!$C$9:$C$108,0))))&lt;0.000000001,IF(T47=1,MIN(1,AJ47),AJ47),(1-((1-R47)*(1-INDEX('Facilities'!$R$9:$R$108,MATCH(C47,'Facilities'!$C$9:$C$108,0)))/(1+INDEX('Facilities'!$K$9:$K$108,MATCH(C47,'Facilities'!$C$9:$C$108,0))))^IF(T47=1,MIN(1,AJ47),AJ47))/(1-(1-R47)*(1-INDEX('Facilities'!$R$9:$R$108,MATCH(C47,'Facilities'!$C$9:$C$108,0)))/(1+INDEX('Facilities'!$K$9:$K$108,MATCH(C47,'Facilities'!$C$9:$C$108,0)))))+AL47)))</x:f>
      </x:c>
      <x:c r="V47" s="23" t="str">
        <x:f>IF(C47="","",IF(AQ47&lt;&gt;"Ready","Unavailable",IF(C47="","",Q47*INDEX('Facilities'!$I$9:$I$108,MATCH(C47,'Facilities'!$C$9:$C$108,0))*(1-(1-S47)/(1+INDEX('Facilities'!$K$9:$K$108,MATCH(C47,'Facilities'!$C$9:$C$108,0)))^INDEX('Facilities'!$AK$9:$AK$108,MATCH(C47,'Facilities'!$C$9:$C$108,0)))*R47/(1+INDEX('Facilities'!$K$9:$K$108,MATCH(C47,'Facilities'!$C$9:$C$108,0)))*IF(ABS(1-(1-R47)*(1-0)/(1+INDEX('Facilities'!$K$9:$K$108,MATCH(C47,'Facilities'!$C$9:$C$108,0))))&lt;0.000000001,IF(T47=1,MIN(1,AJ47),AJ47),(1-((1-R47)*(1-0)/(1+INDEX('Facilities'!$K$9:$K$108,MATCH(C47,'Facilities'!$C$9:$C$108,0))))^IF(T47=1,MIN(1,AJ47),AJ47))/(1-(1-R47)*(1-0)/(1+INDEX('Facilities'!$K$9:$K$108,MATCH(C47,'Facilities'!$C$9:$C$108,0))))))))</x:f>
      </x:c>
      <x:c r="W47" s="23" t="str">
        <x:f>IF(C47="","",IFERROR(INDEX(ECL!$AB$9:$AB$108,MATCH(C47,ECL!$C$9:$C$108,0)),"Unavailable"))</x:f>
      </x:c>
      <x:c r="X47" s="23" t="str">
        <x:f>IF(C47="","",IFERROR(INDEX(ECL!$AC$9:$AC$108,MATCH(C47,ECL!$C$9:$C$108,0)),"Unavailable"))</x:f>
      </x:c>
      <x:c r="Y47" s="21" t="str">
        <x:f>IF(C47="","",IF(AQ47&lt;&gt;"Ready","Unavailable",IF(C47="","",U47-W47+V47-X47+N47+AG47)))</x:f>
      </x:c>
      <x:c r="Z47" s="23" t="str">
        <x:f>IF(C47="","",IF(AQ47&lt;&gt;"Ready","Unavailable",IF(C47="","",(G47+O47+L47)/2*INDEX('Facilities'!$T$9:$T$108,MATCH(C47,'Facilities'!$C$9:$C$108,0))+AG47)))</x:f>
      </x:c>
      <x:c r="AA47" s="23" t="str">
        <x:f>IF(C47="","",IF(AQ47&lt;&gt;"Ready","Unavailable",IF(C47="","",O47*(1-IF(INDEX('Facilities'!$AA$9:$AA$108,MATCH(C47,'Facilities'!$C$9:$C$108,0))=0,0,MIN(1,INDEX('Facilities'!$X$9:$X$108,MATCH(C47,'Facilities'!$C$9:$C$108,0))/INDEX('Facilities'!$AA$9:$AA$108,MATCH(C47,'Facilities'!$C$9:$C$108,0)))))*AF47+P47*(1-IF(INDEX('Facilities'!$AA$9:$AA$108,MATCH(C47,'Facilities'!$C$9:$C$108,0))=0,0,MIN(1,INDEX('Facilities'!$X$9:$X$108,MATCH(C47,'Facilities'!$C$9:$C$108,0))/INDEX('Facilities'!$AA$9:$AA$108,MATCH(C47,'Facilities'!$C$9:$C$108,0)))))*INDEX('Facilities'!$AJ$9:$AJ$108,MATCH(C47,'Facilities'!$C$9:$C$108,0))+Q47*INDEX('Facilities'!$AI$9:$AI$108,MATCH(C47,'Facilities'!$C$9:$C$108,0))*AF47)))</x:f>
      </x:c>
      <x:c r="AB47" s="21" t="str">
        <x:f>IF(C47="","",O47+P47-AD47)</x:f>
      </x:c>
      <x:c r="AC47" s="23" t="str">
        <x:f>IF(C47="","",IFERROR(IF(INDEX('Facilities'!$AD$9:$AD$108,MATCH(C47,'Facilities'!$C$9:$C$108,0))=3,0,IF(INDEX('Facilities'!$AN$9:$AN$108,MATCH(C47,'Facilities'!$C$9:$C$108,0))=0,-1,INDEX('Facilities'!$AN$9:$AN$108,MATCH(C47,'Facilities'!$C$9:$C$108,0)))),"Unavailable"))</x:f>
      </x:c>
      <x:c r="AD47" s="21" t="str">
        <x:f>IF(C47="","",IFERROR(G47+H47,"Unavailable"))</x:f>
      </x:c>
      <x:c r="AE47" s="21" t="str">
        <x:f>IF(C47="","",IF(AQ47&lt;&gt;"Ready","Unavailable",IF(C47="","",O47+P47-AD47-J47+K47+M47+N47)))</x:f>
      </x:c>
      <x:c r="AF47" s="30" t="str">
        <x:f>IF(C47="","",IFERROR(INDEX('Facilities'!$S$9:$S$108,MATCH(C47,'Facilities'!$C$9:$C$108,0))*'Scenario Paths'!F75,"Unavailable"))</x:f>
      </x:c>
      <x:c r="AG47" s="23" t="str">
        <x:f>IF(C47="","",IF(AQ47&lt;&gt;"Ready","Unavailable",IF(C47="","",IF(H47&gt;0,MAX(0,H47-AK47)*((1+INDEX('Facilities'!$K$9:$K$108,MATCH(C47,'Facilities'!$C$9:$C$108,0)))^MIN(1,MAX(0,AC47+INDEX('Facilities'!$AK$9:$AK$108,MATCH(C47,'Facilities'!$C$9:$C$108,0))-D47+1))-1),0))))</x:f>
      </x:c>
      <x:c r="AH47" s="21" t="str">
        <x:f>IF(C47="","",IF(AQ47&lt;&gt;"Ready","Unavailable",IF(C47="","",O47+P47)))</x:f>
      </x:c>
      <x:c r="AI47" s="21" t="str">
        <x:f>IF(C47="","",IF(AQ47&lt;&gt;"Ready","Unavailable",IF(C47="","",Z47-Y47)))</x:f>
      </x:c>
      <x:c r="AJ47" s="23" t="str">
        <x:f>IF(C47="","",IFERROR(MAX(0,INDEX('Facilities'!$J$9:$J$108,MATCH(C47,'Facilities'!$C$9:$C$108,0))-D47),"Unavailable"))</x:f>
      </x:c>
      <x:c r="AK47" s="23" t="str">
        <x:f>IF(C47="","",IFERROR(IF(INDEX('Facilities'!$AD$9:$AD$108,MATCH(C47,'Facilities'!$C$9:$C$108,0))=3,W47,0),"Unavailable"))</x:f>
      </x:c>
      <x:c r="AL47" s="23" t="str">
        <x:f>IF(C47="","",IFERROR(IF(P47&gt;0,P47*(1-AM47/(1+INDEX('Facilities'!$K$9:$K$108,MATCH(C47,'Facilities'!$C$9:$C$108,0)))^MAX(0,AC47+INDEX('Facilities'!$AK$9:$AK$108,MATCH(C47,'Facilities'!$C$9:$C$108,0))-D47)),0),"Unavailable"))</x:f>
      </x:c>
      <x:c r="AM47" s="30" t="str">
        <x:f>IF(C47="","",IFERROR(INDEX('Facilities'!$AL$9:$AL$108,MATCH(C47,'Facilities'!$C$9:$C$108,0)),"Unavailable"))</x:f>
      </x:c>
      <x:c r="AN47" s="30" t="str">
        <x:f>IF(C47="","",IFERROR(INDEX(Credit!$T$9:$T$108,MATCH(F47,Credit!$C$9:$C$108,0)),"Unavailable"))</x:f>
      </x:c>
      <x:c r="AO47" s="23" t="str">
        <x:f>IF(C47="","",IF(AQ47&lt;&gt;"Ready","Unavailable",IF(C47="","",O47+P47+Q47*INDEX('Facilities'!$I$9:$I$108,MATCH(C47,'Facilities'!$C$9:$C$108,0)))))</x:f>
      </x:c>
      <x:c r="AP47" s="21" t="str">
        <x:f>IF(C47="","",IF(AQ47&lt;&gt;"Ready","Unavailable",IF(C47="","",AH47-U47)))</x:f>
      </x:c>
      <x:c r="AQ47" s="23" t="str">
        <x:f>IFERROR(IF(C47="","",IF(AND(INDEX('Facilities'!$AF$9:$AF$108,MATCH(C47,'Facilities'!$C$9:$C$108,0))="Ready",INDEX(Credit!$U$9:$U$108,MATCH(F47,Credit!$C$9:$C$108,0))="Ready",ISNUMBER(W47)),"Ready","Review inputs")),"Review inputs")</x:f>
      </x:c>
      <x:c r="AR47" s="23" t="str">
        <x:f>IF(C47="","",IF(AQ47&lt;&gt;"Ready","Unavailable",IF(C47="","",IF(O47=0,0,(IF(AJ47&lt;=1,O47,O47*INDEX('Facilities'!$R$9:$R$108,MATCH(C47,'Facilities'!$C$9:$C$108,0)))+O47*INDEX('Facilities'!$T$9:$T$108,MATCH(C47,'Facilities'!$C$9:$C$108,0)))/12))))</x:f>
      </x:c>
    </x:row>
    <x:row r="48" ht="26" customHeight="1">
      <x:c r="A48" s="1"/>
      <x:c r="B48" s="1"/>
      <x:c r="C48" s="9" t="str">
        <x:f>IF(Facilities!C48="","",Facilities!C48)</x:f>
      </x:c>
      <x:c r="D48" s="3" t="n">
        <x:v>1</x:v>
      </x:c>
      <x:c r="E48" s="9" t="n">
        <x:f>Settings!$F$18+0</x:f>
        <x:v>2027</x:v>
      </x:c>
      <x:c r="F48" s="9" t="str">
        <x:f>IF(C48="","",IFERROR(INDEX('Facilities'!$D$9:$D$108,MATCH(C48,'Facilities'!$C$9:$C$108,0)),"Unavailable"))</x:f>
      </x:c>
      <x:c r="G48" s="23" t="str">
        <x:f>IF(C48="","",IFERROR(IF(INDEX('Facilities'!$AD$9:$AD$108,MATCH(C48,'Facilities'!$C$9:$C$108,0))=3,0,INDEX('Facilities'!$AA$9:$AA$108,MATCH(C48,'Facilities'!$C$9:$C$108,0))),"Unavailable"))</x:f>
      </x:c>
      <x:c r="H48" s="23" t="str">
        <x:f>IF(C48="","",IFERROR(IF(INDEX('Facilities'!$AD$9:$AD$108,MATCH(C48,'Facilities'!$C$9:$C$108,0))=3,INDEX('Facilities'!$AA$9:$AA$108,MATCH(C48,'Facilities'!$C$9:$C$108,0)),0),"Unavailable"))</x:f>
      </x:c>
      <x:c r="I48" s="23" t="str">
        <x:f>IF(C48="","",IFERROR(INDEX('Facilities'!$AB$9:$AB$108,MATCH(C48,'Facilities'!$C$9:$C$108,0)),"Unavailable"))</x:f>
      </x:c>
      <x:c r="J48" s="23" t="str">
        <x:f>IF(C48="","",IFERROR(IF(OR(H48&gt;0,AND(AC48&gt;=0,AC48&lt;D48),D48&gt;INDEX('Facilities'!$J$9:$J$108,MATCH(C48,'Facilities'!$C$9:$C$108,0))),0,I48*'Scenario Paths'!F81),"Unavailable"))</x:f>
      </x:c>
      <x:c r="K48" s="23" t="str">
        <x:f>IF(C48="","",IFERROR(IF(OR(H48&gt;0,AND(AC48&gt;=0,AC48=D48)),0,IF(D48&gt;=INDEX('Facilities'!$J$9:$J$108,MATCH(C48,'Facilities'!$C$9:$C$108,0)),G48+J48,MIN(G48+J48,G48*INDEX('Facilities'!$R$9:$R$108,MATCH(C48,'Facilities'!$C$9:$C$108,0))))),"Unavailable"))</x:f>
      </x:c>
      <x:c r="L48" s="21" t="str">
        <x:f>IF(C48="","",IFERROR(IF(AND(AC48=D48,AC48&gt;0),MAX(0,G48+J48-K48),0),"Unavailable"))</x:f>
      </x:c>
      <x:c r="M48" s="23" t="str">
        <x:f>IF(C48="","",IFERROR(IF(AND(AC48&gt;=0,D48&gt;=AC48+INDEX('Facilities'!$AK$9:$AK$108,MATCH(C48,'Facilities'!$C$9:$C$108,0))),(H48+L48)*AM48,0),"Unavailable"))</x:f>
      </x:c>
      <x:c r="N48" s="23" t="str">
        <x:f>IF(C48="","",IFERROR(IF(AND(AC48&gt;=0,D48&gt;=AC48+INDEX('Facilities'!$AK$9:$AK$108,MATCH(C48,'Facilities'!$C$9:$C$108,0))),H48+L48-M48,0),"Unavailable"))</x:f>
      </x:c>
      <x:c r="O48" s="21" t="str">
        <x:f>IF(C48="","",IFERROR(MAX(0,G48+J48-K48-L48),"Unavailable"))</x:f>
      </x:c>
      <x:c r="P48" s="21" t="str">
        <x:f>IF(C48="","",IFERROR(MAX(0,H48+L48-M48-N48),"Unavailable"))</x:f>
      </x:c>
      <x:c r="Q48" s="23" t="str">
        <x:f>IF(C48="","",IFERROR(IF(OR(D48&gt;=INDEX('Facilities'!$J$9:$J$108,MATCH(C48,'Facilities'!$C$9:$C$108,0)),AND(AC48&gt;=0,AC48&lt;=D48)),0,MAX(0,I48-J48)),"Unavailable"))</x:f>
      </x:c>
      <x:c r="R48" s="30" t="str">
        <x:f>IF(C48="","",IFERROR(INDEX(Credit!$Q$9:$Q$108,MATCH(F48,Credit!$C$9:$C$108,0)),"Unavailable"))</x:f>
      </x:c>
      <x:c r="S48" s="30" t="str">
        <x:f>IF(C48="","",IFERROR(INDEX(Credit!$R$9:$R$108,MATCH(F48,Credit!$C$9:$C$108,0)),"Unavailable"))</x:f>
      </x:c>
      <x:c r="T48" s="23" t="str">
        <x:f>IF(C48="","",IFERROR(IF(P48&gt;0,3,IF(OR(INDEX('Facilities'!$AD$9:$AD$108,MATCH(C48,'Facilities'!$C$9:$C$108,0))=2,AND(R48&gt;=INDEX('Facilities'!$L$9:$L$108,MATCH(C48,'Facilities'!$C$9:$C$108,0))*Settings!$F$19,R48-INDEX('Facilities'!$L$9:$L$108,MATCH(C48,'Facilities'!$C$9:$C$108,0))&gt;=Settings!$F$20)),2,1)),"Unavailable"))</x:f>
      </x:c>
      <x:c r="U48" s="23" t="str">
        <x:f>IF(C48="","",IF(AQ48&lt;&gt;"Ready","Unavailable",IF(C48="","",O48*(1-(1-S48)/(1+INDEX('Facilities'!$K$9:$K$108,MATCH(C48,'Facilities'!$C$9:$C$108,0)))^INDEX('Facilities'!$AK$9:$AK$108,MATCH(C48,'Facilities'!$C$9:$C$108,0)))*R48/(1+INDEX('Facilities'!$K$9:$K$108,MATCH(C48,'Facilities'!$C$9:$C$108,0)))*IF(ABS(1-(1-R48)*(1-INDEX('Facilities'!$R$9:$R$108,MATCH(C48,'Facilities'!$C$9:$C$108,0)))/(1+INDEX('Facilities'!$K$9:$K$108,MATCH(C48,'Facilities'!$C$9:$C$108,0))))&lt;0.000000001,IF(T48=1,MIN(1,AJ48),AJ48),(1-((1-R48)*(1-INDEX('Facilities'!$R$9:$R$108,MATCH(C48,'Facilities'!$C$9:$C$108,0)))/(1+INDEX('Facilities'!$K$9:$K$108,MATCH(C48,'Facilities'!$C$9:$C$108,0))))^IF(T48=1,MIN(1,AJ48),AJ48))/(1-(1-R48)*(1-INDEX('Facilities'!$R$9:$R$108,MATCH(C48,'Facilities'!$C$9:$C$108,0)))/(1+INDEX('Facilities'!$K$9:$K$108,MATCH(C48,'Facilities'!$C$9:$C$108,0)))))+AL48)))</x:f>
      </x:c>
      <x:c r="V48" s="23" t="str">
        <x:f>IF(C48="","",IF(AQ48&lt;&gt;"Ready","Unavailable",IF(C48="","",Q48*INDEX('Facilities'!$I$9:$I$108,MATCH(C48,'Facilities'!$C$9:$C$108,0))*(1-(1-S48)/(1+INDEX('Facilities'!$K$9:$K$108,MATCH(C48,'Facilities'!$C$9:$C$108,0)))^INDEX('Facilities'!$AK$9:$AK$108,MATCH(C48,'Facilities'!$C$9:$C$108,0)))*R48/(1+INDEX('Facilities'!$K$9:$K$108,MATCH(C48,'Facilities'!$C$9:$C$108,0)))*IF(ABS(1-(1-R48)*(1-0)/(1+INDEX('Facilities'!$K$9:$K$108,MATCH(C48,'Facilities'!$C$9:$C$108,0))))&lt;0.000000001,IF(T48=1,MIN(1,AJ48),AJ48),(1-((1-R48)*(1-0)/(1+INDEX('Facilities'!$K$9:$K$108,MATCH(C48,'Facilities'!$C$9:$C$108,0))))^IF(T48=1,MIN(1,AJ48),AJ48))/(1-(1-R48)*(1-0)/(1+INDEX('Facilities'!$K$9:$K$108,MATCH(C48,'Facilities'!$C$9:$C$108,0))))))))</x:f>
      </x:c>
      <x:c r="W48" s="23" t="str">
        <x:f>IF(C48="","",IFERROR(INDEX(ECL!$AB$9:$AB$108,MATCH(C48,ECL!$C$9:$C$108,0)),"Unavailable"))</x:f>
      </x:c>
      <x:c r="X48" s="23" t="str">
        <x:f>IF(C48="","",IFERROR(INDEX(ECL!$AC$9:$AC$108,MATCH(C48,ECL!$C$9:$C$108,0)),"Unavailable"))</x:f>
      </x:c>
      <x:c r="Y48" s="21" t="str">
        <x:f>IF(C48="","",IF(AQ48&lt;&gt;"Ready","Unavailable",IF(C48="","",U48-W48+V48-X48+N48+AG48)))</x:f>
      </x:c>
      <x:c r="Z48" s="23" t="str">
        <x:f>IF(C48="","",IF(AQ48&lt;&gt;"Ready","Unavailable",IF(C48="","",(G48+O48+L48)/2*INDEX('Facilities'!$T$9:$T$108,MATCH(C48,'Facilities'!$C$9:$C$108,0))+AG48)))</x:f>
      </x:c>
      <x:c r="AA48" s="23" t="str">
        <x:f>IF(C48="","",IF(AQ48&lt;&gt;"Ready","Unavailable",IF(C48="","",O48*(1-IF(INDEX('Facilities'!$AA$9:$AA$108,MATCH(C48,'Facilities'!$C$9:$C$108,0))=0,0,MIN(1,INDEX('Facilities'!$X$9:$X$108,MATCH(C48,'Facilities'!$C$9:$C$108,0))/INDEX('Facilities'!$AA$9:$AA$108,MATCH(C48,'Facilities'!$C$9:$C$108,0)))))*AF48+P48*(1-IF(INDEX('Facilities'!$AA$9:$AA$108,MATCH(C48,'Facilities'!$C$9:$C$108,0))=0,0,MIN(1,INDEX('Facilities'!$X$9:$X$108,MATCH(C48,'Facilities'!$C$9:$C$108,0))/INDEX('Facilities'!$AA$9:$AA$108,MATCH(C48,'Facilities'!$C$9:$C$108,0)))))*INDEX('Facilities'!$AJ$9:$AJ$108,MATCH(C48,'Facilities'!$C$9:$C$108,0))+Q48*INDEX('Facilities'!$AI$9:$AI$108,MATCH(C48,'Facilities'!$C$9:$C$108,0))*AF48)))</x:f>
      </x:c>
      <x:c r="AB48" s="21" t="str">
        <x:f>IF(C48="","",O48+P48-AD48)</x:f>
      </x:c>
      <x:c r="AC48" s="23" t="str">
        <x:f>IF(C48="","",IFERROR(IF(INDEX('Facilities'!$AD$9:$AD$108,MATCH(C48,'Facilities'!$C$9:$C$108,0))=3,0,IF(INDEX('Facilities'!$AN$9:$AN$108,MATCH(C48,'Facilities'!$C$9:$C$108,0))=0,-1,INDEX('Facilities'!$AN$9:$AN$108,MATCH(C48,'Facilities'!$C$9:$C$108,0)))),"Unavailable"))</x:f>
      </x:c>
      <x:c r="AD48" s="21" t="str">
        <x:f>IF(C48="","",IFERROR(G48+H48,"Unavailable"))</x:f>
      </x:c>
      <x:c r="AE48" s="21" t="str">
        <x:f>IF(C48="","",IF(AQ48&lt;&gt;"Ready","Unavailable",IF(C48="","",O48+P48-AD48-J48+K48+M48+N48)))</x:f>
      </x:c>
      <x:c r="AF48" s="30" t="str">
        <x:f>IF(C48="","",IFERROR(INDEX('Facilities'!$S$9:$S$108,MATCH(C48,'Facilities'!$C$9:$C$108,0))*'Scenario Paths'!F75,"Unavailable"))</x:f>
      </x:c>
      <x:c r="AG48" s="23" t="str">
        <x:f>IF(C48="","",IF(AQ48&lt;&gt;"Ready","Unavailable",IF(C48="","",IF(H48&gt;0,MAX(0,H48-AK48)*((1+INDEX('Facilities'!$K$9:$K$108,MATCH(C48,'Facilities'!$C$9:$C$108,0)))^MIN(1,MAX(0,AC48+INDEX('Facilities'!$AK$9:$AK$108,MATCH(C48,'Facilities'!$C$9:$C$108,0))-D48+1))-1),0))))</x:f>
      </x:c>
      <x:c r="AH48" s="21" t="str">
        <x:f>IF(C48="","",IF(AQ48&lt;&gt;"Ready","Unavailable",IF(C48="","",O48+P48)))</x:f>
      </x:c>
      <x:c r="AI48" s="21" t="str">
        <x:f>IF(C48="","",IF(AQ48&lt;&gt;"Ready","Unavailable",IF(C48="","",Z48-Y48)))</x:f>
      </x:c>
      <x:c r="AJ48" s="23" t="str">
        <x:f>IF(C48="","",IFERROR(MAX(0,INDEX('Facilities'!$J$9:$J$108,MATCH(C48,'Facilities'!$C$9:$C$108,0))-D48),"Unavailable"))</x:f>
      </x:c>
      <x:c r="AK48" s="23" t="str">
        <x:f>IF(C48="","",IFERROR(IF(INDEX('Facilities'!$AD$9:$AD$108,MATCH(C48,'Facilities'!$C$9:$C$108,0))=3,W48,0),"Unavailable"))</x:f>
      </x:c>
      <x:c r="AL48" s="23" t="str">
        <x:f>IF(C48="","",IFERROR(IF(P48&gt;0,P48*(1-AM48/(1+INDEX('Facilities'!$K$9:$K$108,MATCH(C48,'Facilities'!$C$9:$C$108,0)))^MAX(0,AC48+INDEX('Facilities'!$AK$9:$AK$108,MATCH(C48,'Facilities'!$C$9:$C$108,0))-D48)),0),"Unavailable"))</x:f>
      </x:c>
      <x:c r="AM48" s="30" t="str">
        <x:f>IF(C48="","",IFERROR(INDEX('Facilities'!$AL$9:$AL$108,MATCH(C48,'Facilities'!$C$9:$C$108,0)),"Unavailable"))</x:f>
      </x:c>
      <x:c r="AN48" s="30" t="str">
        <x:f>IF(C48="","",IFERROR(INDEX(Credit!$T$9:$T$108,MATCH(F48,Credit!$C$9:$C$108,0)),"Unavailable"))</x:f>
      </x:c>
      <x:c r="AO48" s="23" t="str">
        <x:f>IF(C48="","",IF(AQ48&lt;&gt;"Ready","Unavailable",IF(C48="","",O48+P48+Q48*INDEX('Facilities'!$I$9:$I$108,MATCH(C48,'Facilities'!$C$9:$C$108,0)))))</x:f>
      </x:c>
      <x:c r="AP48" s="21" t="str">
        <x:f>IF(C48="","",IF(AQ48&lt;&gt;"Ready","Unavailable",IF(C48="","",AH48-U48)))</x:f>
      </x:c>
      <x:c r="AQ48" s="23" t="str">
        <x:f>IFERROR(IF(C48="","",IF(AND(INDEX('Facilities'!$AF$9:$AF$108,MATCH(C48,'Facilities'!$C$9:$C$108,0))="Ready",INDEX(Credit!$U$9:$U$108,MATCH(F48,Credit!$C$9:$C$108,0))="Ready",ISNUMBER(W48)),"Ready","Review inputs")),"Review inputs")</x:f>
      </x:c>
      <x:c r="AR48" s="23" t="str">
        <x:f>IF(C48="","",IF(AQ48&lt;&gt;"Ready","Unavailable",IF(C48="","",IF(O48=0,0,(IF(AJ48&lt;=1,O48,O48*INDEX('Facilities'!$R$9:$R$108,MATCH(C48,'Facilities'!$C$9:$C$108,0)))+O48*INDEX('Facilities'!$T$9:$T$108,MATCH(C48,'Facilities'!$C$9:$C$108,0)))/12))))</x:f>
      </x:c>
    </x:row>
    <x:row r="49" ht="26" customHeight="1">
      <x:c r="A49" s="1"/>
      <x:c r="B49" s="1"/>
      <x:c r="C49" s="9" t="str">
        <x:f>IF(Facilities!C49="","",Facilities!C49)</x:f>
      </x:c>
      <x:c r="D49" s="3" t="n">
        <x:v>1</x:v>
      </x:c>
      <x:c r="E49" s="9" t="n">
        <x:f>Settings!$F$18+0</x:f>
        <x:v>2027</x:v>
      </x:c>
      <x:c r="F49" s="9" t="str">
        <x:f>IF(C49="","",IFERROR(INDEX('Facilities'!$D$9:$D$108,MATCH(C49,'Facilities'!$C$9:$C$108,0)),"Unavailable"))</x:f>
      </x:c>
      <x:c r="G49" s="23" t="str">
        <x:f>IF(C49="","",IFERROR(IF(INDEX('Facilities'!$AD$9:$AD$108,MATCH(C49,'Facilities'!$C$9:$C$108,0))=3,0,INDEX('Facilities'!$AA$9:$AA$108,MATCH(C49,'Facilities'!$C$9:$C$108,0))),"Unavailable"))</x:f>
      </x:c>
      <x:c r="H49" s="23" t="str">
        <x:f>IF(C49="","",IFERROR(IF(INDEX('Facilities'!$AD$9:$AD$108,MATCH(C49,'Facilities'!$C$9:$C$108,0))=3,INDEX('Facilities'!$AA$9:$AA$108,MATCH(C49,'Facilities'!$C$9:$C$108,0)),0),"Unavailable"))</x:f>
      </x:c>
      <x:c r="I49" s="23" t="str">
        <x:f>IF(C49="","",IFERROR(INDEX('Facilities'!$AB$9:$AB$108,MATCH(C49,'Facilities'!$C$9:$C$108,0)),"Unavailable"))</x:f>
      </x:c>
      <x:c r="J49" s="23" t="str">
        <x:f>IF(C49="","",IFERROR(IF(OR(H49&gt;0,AND(AC49&gt;=0,AC49&lt;D49),D49&gt;INDEX('Facilities'!$J$9:$J$108,MATCH(C49,'Facilities'!$C$9:$C$108,0))),0,I49*'Scenario Paths'!F81),"Unavailable"))</x:f>
      </x:c>
      <x:c r="K49" s="23" t="str">
        <x:f>IF(C49="","",IFERROR(IF(OR(H49&gt;0,AND(AC49&gt;=0,AC49=D49)),0,IF(D49&gt;=INDEX('Facilities'!$J$9:$J$108,MATCH(C49,'Facilities'!$C$9:$C$108,0)),G49+J49,MIN(G49+J49,G49*INDEX('Facilities'!$R$9:$R$108,MATCH(C49,'Facilities'!$C$9:$C$108,0))))),"Unavailable"))</x:f>
      </x:c>
      <x:c r="L49" s="21" t="str">
        <x:f>IF(C49="","",IFERROR(IF(AND(AC49=D49,AC49&gt;0),MAX(0,G49+J49-K49),0),"Unavailable"))</x:f>
      </x:c>
      <x:c r="M49" s="23" t="str">
        <x:f>IF(C49="","",IFERROR(IF(AND(AC49&gt;=0,D49&gt;=AC49+INDEX('Facilities'!$AK$9:$AK$108,MATCH(C49,'Facilities'!$C$9:$C$108,0))),(H49+L49)*AM49,0),"Unavailable"))</x:f>
      </x:c>
      <x:c r="N49" s="23" t="str">
        <x:f>IF(C49="","",IFERROR(IF(AND(AC49&gt;=0,D49&gt;=AC49+INDEX('Facilities'!$AK$9:$AK$108,MATCH(C49,'Facilities'!$C$9:$C$108,0))),H49+L49-M49,0),"Unavailable"))</x:f>
      </x:c>
      <x:c r="O49" s="21" t="str">
        <x:f>IF(C49="","",IFERROR(MAX(0,G49+J49-K49-L49),"Unavailable"))</x:f>
      </x:c>
      <x:c r="P49" s="21" t="str">
        <x:f>IF(C49="","",IFERROR(MAX(0,H49+L49-M49-N49),"Unavailable"))</x:f>
      </x:c>
      <x:c r="Q49" s="23" t="str">
        <x:f>IF(C49="","",IFERROR(IF(OR(D49&gt;=INDEX('Facilities'!$J$9:$J$108,MATCH(C49,'Facilities'!$C$9:$C$108,0)),AND(AC49&gt;=0,AC49&lt;=D49)),0,MAX(0,I49-J49)),"Unavailable"))</x:f>
      </x:c>
      <x:c r="R49" s="30" t="str">
        <x:f>IF(C49="","",IFERROR(INDEX(Credit!$Q$9:$Q$108,MATCH(F49,Credit!$C$9:$C$108,0)),"Unavailable"))</x:f>
      </x:c>
      <x:c r="S49" s="30" t="str">
        <x:f>IF(C49="","",IFERROR(INDEX(Credit!$R$9:$R$108,MATCH(F49,Credit!$C$9:$C$108,0)),"Unavailable"))</x:f>
      </x:c>
      <x:c r="T49" s="23" t="str">
        <x:f>IF(C49="","",IFERROR(IF(P49&gt;0,3,IF(OR(INDEX('Facilities'!$AD$9:$AD$108,MATCH(C49,'Facilities'!$C$9:$C$108,0))=2,AND(R49&gt;=INDEX('Facilities'!$L$9:$L$108,MATCH(C49,'Facilities'!$C$9:$C$108,0))*Settings!$F$19,R49-INDEX('Facilities'!$L$9:$L$108,MATCH(C49,'Facilities'!$C$9:$C$108,0))&gt;=Settings!$F$20)),2,1)),"Unavailable"))</x:f>
      </x:c>
      <x:c r="U49" s="23" t="str">
        <x:f>IF(C49="","",IF(AQ49&lt;&gt;"Ready","Unavailable",IF(C49="","",O49*(1-(1-S49)/(1+INDEX('Facilities'!$K$9:$K$108,MATCH(C49,'Facilities'!$C$9:$C$108,0)))^INDEX('Facilities'!$AK$9:$AK$108,MATCH(C49,'Facilities'!$C$9:$C$108,0)))*R49/(1+INDEX('Facilities'!$K$9:$K$108,MATCH(C49,'Facilities'!$C$9:$C$108,0)))*IF(ABS(1-(1-R49)*(1-INDEX('Facilities'!$R$9:$R$108,MATCH(C49,'Facilities'!$C$9:$C$108,0)))/(1+INDEX('Facilities'!$K$9:$K$108,MATCH(C49,'Facilities'!$C$9:$C$108,0))))&lt;0.000000001,IF(T49=1,MIN(1,AJ49),AJ49),(1-((1-R49)*(1-INDEX('Facilities'!$R$9:$R$108,MATCH(C49,'Facilities'!$C$9:$C$108,0)))/(1+INDEX('Facilities'!$K$9:$K$108,MATCH(C49,'Facilities'!$C$9:$C$108,0))))^IF(T49=1,MIN(1,AJ49),AJ49))/(1-(1-R49)*(1-INDEX('Facilities'!$R$9:$R$108,MATCH(C49,'Facilities'!$C$9:$C$108,0)))/(1+INDEX('Facilities'!$K$9:$K$108,MATCH(C49,'Facilities'!$C$9:$C$108,0)))))+AL49)))</x:f>
      </x:c>
      <x:c r="V49" s="23" t="str">
        <x:f>IF(C49="","",IF(AQ49&lt;&gt;"Ready","Unavailable",IF(C49="","",Q49*INDEX('Facilities'!$I$9:$I$108,MATCH(C49,'Facilities'!$C$9:$C$108,0))*(1-(1-S49)/(1+INDEX('Facilities'!$K$9:$K$108,MATCH(C49,'Facilities'!$C$9:$C$108,0)))^INDEX('Facilities'!$AK$9:$AK$108,MATCH(C49,'Facilities'!$C$9:$C$108,0)))*R49/(1+INDEX('Facilities'!$K$9:$K$108,MATCH(C49,'Facilities'!$C$9:$C$108,0)))*IF(ABS(1-(1-R49)*(1-0)/(1+INDEX('Facilities'!$K$9:$K$108,MATCH(C49,'Facilities'!$C$9:$C$108,0))))&lt;0.000000001,IF(T49=1,MIN(1,AJ49),AJ49),(1-((1-R49)*(1-0)/(1+INDEX('Facilities'!$K$9:$K$108,MATCH(C49,'Facilities'!$C$9:$C$108,0))))^IF(T49=1,MIN(1,AJ49),AJ49))/(1-(1-R49)*(1-0)/(1+INDEX('Facilities'!$K$9:$K$108,MATCH(C49,'Facilities'!$C$9:$C$108,0))))))))</x:f>
      </x:c>
      <x:c r="W49" s="23" t="str">
        <x:f>IF(C49="","",IFERROR(INDEX(ECL!$AB$9:$AB$108,MATCH(C49,ECL!$C$9:$C$108,0)),"Unavailable"))</x:f>
      </x:c>
      <x:c r="X49" s="23" t="str">
        <x:f>IF(C49="","",IFERROR(INDEX(ECL!$AC$9:$AC$108,MATCH(C49,ECL!$C$9:$C$108,0)),"Unavailable"))</x:f>
      </x:c>
      <x:c r="Y49" s="21" t="str">
        <x:f>IF(C49="","",IF(AQ49&lt;&gt;"Ready","Unavailable",IF(C49="","",U49-W49+V49-X49+N49+AG49)))</x:f>
      </x:c>
      <x:c r="Z49" s="23" t="str">
        <x:f>IF(C49="","",IF(AQ49&lt;&gt;"Ready","Unavailable",IF(C49="","",(G49+O49+L49)/2*INDEX('Facilities'!$T$9:$T$108,MATCH(C49,'Facilities'!$C$9:$C$108,0))+AG49)))</x:f>
      </x:c>
      <x:c r="AA49" s="23" t="str">
        <x:f>IF(C49="","",IF(AQ49&lt;&gt;"Ready","Unavailable",IF(C49="","",O49*(1-IF(INDEX('Facilities'!$AA$9:$AA$108,MATCH(C49,'Facilities'!$C$9:$C$108,0))=0,0,MIN(1,INDEX('Facilities'!$X$9:$X$108,MATCH(C49,'Facilities'!$C$9:$C$108,0))/INDEX('Facilities'!$AA$9:$AA$108,MATCH(C49,'Facilities'!$C$9:$C$108,0)))))*AF49+P49*(1-IF(INDEX('Facilities'!$AA$9:$AA$108,MATCH(C49,'Facilities'!$C$9:$C$108,0))=0,0,MIN(1,INDEX('Facilities'!$X$9:$X$108,MATCH(C49,'Facilities'!$C$9:$C$108,0))/INDEX('Facilities'!$AA$9:$AA$108,MATCH(C49,'Facilities'!$C$9:$C$108,0)))))*INDEX('Facilities'!$AJ$9:$AJ$108,MATCH(C49,'Facilities'!$C$9:$C$108,0))+Q49*INDEX('Facilities'!$AI$9:$AI$108,MATCH(C49,'Facilities'!$C$9:$C$108,0))*AF49)))</x:f>
      </x:c>
      <x:c r="AB49" s="21" t="str">
        <x:f>IF(C49="","",O49+P49-AD49)</x:f>
      </x:c>
      <x:c r="AC49" s="23" t="str">
        <x:f>IF(C49="","",IFERROR(IF(INDEX('Facilities'!$AD$9:$AD$108,MATCH(C49,'Facilities'!$C$9:$C$108,0))=3,0,IF(INDEX('Facilities'!$AN$9:$AN$108,MATCH(C49,'Facilities'!$C$9:$C$108,0))=0,-1,INDEX('Facilities'!$AN$9:$AN$108,MATCH(C49,'Facilities'!$C$9:$C$108,0)))),"Unavailable"))</x:f>
      </x:c>
      <x:c r="AD49" s="21" t="str">
        <x:f>IF(C49="","",IFERROR(G49+H49,"Unavailable"))</x:f>
      </x:c>
      <x:c r="AE49" s="21" t="str">
        <x:f>IF(C49="","",IF(AQ49&lt;&gt;"Ready","Unavailable",IF(C49="","",O49+P49-AD49-J49+K49+M49+N49)))</x:f>
      </x:c>
      <x:c r="AF49" s="30" t="str">
        <x:f>IF(C49="","",IFERROR(INDEX('Facilities'!$S$9:$S$108,MATCH(C49,'Facilities'!$C$9:$C$108,0))*'Scenario Paths'!F75,"Unavailable"))</x:f>
      </x:c>
      <x:c r="AG49" s="23" t="str">
        <x:f>IF(C49="","",IF(AQ49&lt;&gt;"Ready","Unavailable",IF(C49="","",IF(H49&gt;0,MAX(0,H49-AK49)*((1+INDEX('Facilities'!$K$9:$K$108,MATCH(C49,'Facilities'!$C$9:$C$108,0)))^MIN(1,MAX(0,AC49+INDEX('Facilities'!$AK$9:$AK$108,MATCH(C49,'Facilities'!$C$9:$C$108,0))-D49+1))-1),0))))</x:f>
      </x:c>
      <x:c r="AH49" s="21" t="str">
        <x:f>IF(C49="","",IF(AQ49&lt;&gt;"Ready","Unavailable",IF(C49="","",O49+P49)))</x:f>
      </x:c>
      <x:c r="AI49" s="21" t="str">
        <x:f>IF(C49="","",IF(AQ49&lt;&gt;"Ready","Unavailable",IF(C49="","",Z49-Y49)))</x:f>
      </x:c>
      <x:c r="AJ49" s="23" t="str">
        <x:f>IF(C49="","",IFERROR(MAX(0,INDEX('Facilities'!$J$9:$J$108,MATCH(C49,'Facilities'!$C$9:$C$108,0))-D49),"Unavailable"))</x:f>
      </x:c>
      <x:c r="AK49" s="23" t="str">
        <x:f>IF(C49="","",IFERROR(IF(INDEX('Facilities'!$AD$9:$AD$108,MATCH(C49,'Facilities'!$C$9:$C$108,0))=3,W49,0),"Unavailable"))</x:f>
      </x:c>
      <x:c r="AL49" s="23" t="str">
        <x:f>IF(C49="","",IFERROR(IF(P49&gt;0,P49*(1-AM49/(1+INDEX('Facilities'!$K$9:$K$108,MATCH(C49,'Facilities'!$C$9:$C$108,0)))^MAX(0,AC49+INDEX('Facilities'!$AK$9:$AK$108,MATCH(C49,'Facilities'!$C$9:$C$108,0))-D49)),0),"Unavailable"))</x:f>
      </x:c>
      <x:c r="AM49" s="30" t="str">
        <x:f>IF(C49="","",IFERROR(INDEX('Facilities'!$AL$9:$AL$108,MATCH(C49,'Facilities'!$C$9:$C$108,0)),"Unavailable"))</x:f>
      </x:c>
      <x:c r="AN49" s="30" t="str">
        <x:f>IF(C49="","",IFERROR(INDEX(Credit!$T$9:$T$108,MATCH(F49,Credit!$C$9:$C$108,0)),"Unavailable"))</x:f>
      </x:c>
      <x:c r="AO49" s="23" t="str">
        <x:f>IF(C49="","",IF(AQ49&lt;&gt;"Ready","Unavailable",IF(C49="","",O49+P49+Q49*INDEX('Facilities'!$I$9:$I$108,MATCH(C49,'Facilities'!$C$9:$C$108,0)))))</x:f>
      </x:c>
      <x:c r="AP49" s="21" t="str">
        <x:f>IF(C49="","",IF(AQ49&lt;&gt;"Ready","Unavailable",IF(C49="","",AH49-U49)))</x:f>
      </x:c>
      <x:c r="AQ49" s="23" t="str">
        <x:f>IFERROR(IF(C49="","",IF(AND(INDEX('Facilities'!$AF$9:$AF$108,MATCH(C49,'Facilities'!$C$9:$C$108,0))="Ready",INDEX(Credit!$U$9:$U$108,MATCH(F49,Credit!$C$9:$C$108,0))="Ready",ISNUMBER(W49)),"Ready","Review inputs")),"Review inputs")</x:f>
      </x:c>
      <x:c r="AR49" s="23" t="str">
        <x:f>IF(C49="","",IF(AQ49&lt;&gt;"Ready","Unavailable",IF(C49="","",IF(O49=0,0,(IF(AJ49&lt;=1,O49,O49*INDEX('Facilities'!$R$9:$R$108,MATCH(C49,'Facilities'!$C$9:$C$108,0)))+O49*INDEX('Facilities'!$T$9:$T$108,MATCH(C49,'Facilities'!$C$9:$C$108,0)))/12))))</x:f>
      </x:c>
    </x:row>
    <x:row r="50" ht="26" customHeight="1">
      <x:c r="A50" s="1"/>
      <x:c r="B50" s="1"/>
      <x:c r="C50" s="9" t="str">
        <x:f>IF(Facilities!C50="","",Facilities!C50)</x:f>
      </x:c>
      <x:c r="D50" s="3" t="n">
        <x:v>1</x:v>
      </x:c>
      <x:c r="E50" s="9" t="n">
        <x:f>Settings!$F$18+0</x:f>
        <x:v>2027</x:v>
      </x:c>
      <x:c r="F50" s="9" t="str">
        <x:f>IF(C50="","",IFERROR(INDEX('Facilities'!$D$9:$D$108,MATCH(C50,'Facilities'!$C$9:$C$108,0)),"Unavailable"))</x:f>
      </x:c>
      <x:c r="G50" s="23" t="str">
        <x:f>IF(C50="","",IFERROR(IF(INDEX('Facilities'!$AD$9:$AD$108,MATCH(C50,'Facilities'!$C$9:$C$108,0))=3,0,INDEX('Facilities'!$AA$9:$AA$108,MATCH(C50,'Facilities'!$C$9:$C$108,0))),"Unavailable"))</x:f>
      </x:c>
      <x:c r="H50" s="23" t="str">
        <x:f>IF(C50="","",IFERROR(IF(INDEX('Facilities'!$AD$9:$AD$108,MATCH(C50,'Facilities'!$C$9:$C$108,0))=3,INDEX('Facilities'!$AA$9:$AA$108,MATCH(C50,'Facilities'!$C$9:$C$108,0)),0),"Unavailable"))</x:f>
      </x:c>
      <x:c r="I50" s="23" t="str">
        <x:f>IF(C50="","",IFERROR(INDEX('Facilities'!$AB$9:$AB$108,MATCH(C50,'Facilities'!$C$9:$C$108,0)),"Unavailable"))</x:f>
      </x:c>
      <x:c r="J50" s="23" t="str">
        <x:f>IF(C50="","",IFERROR(IF(OR(H50&gt;0,AND(AC50&gt;=0,AC50&lt;D50),D50&gt;INDEX('Facilities'!$J$9:$J$108,MATCH(C50,'Facilities'!$C$9:$C$108,0))),0,I50*'Scenario Paths'!F81),"Unavailable"))</x:f>
      </x:c>
      <x:c r="K50" s="23" t="str">
        <x:f>IF(C50="","",IFERROR(IF(OR(H50&gt;0,AND(AC50&gt;=0,AC50=D50)),0,IF(D50&gt;=INDEX('Facilities'!$J$9:$J$108,MATCH(C50,'Facilities'!$C$9:$C$108,0)),G50+J50,MIN(G50+J50,G50*INDEX('Facilities'!$R$9:$R$108,MATCH(C50,'Facilities'!$C$9:$C$108,0))))),"Unavailable"))</x:f>
      </x:c>
      <x:c r="L50" s="21" t="str">
        <x:f>IF(C50="","",IFERROR(IF(AND(AC50=D50,AC50&gt;0),MAX(0,G50+J50-K50),0),"Unavailable"))</x:f>
      </x:c>
      <x:c r="M50" s="23" t="str">
        <x:f>IF(C50="","",IFERROR(IF(AND(AC50&gt;=0,D50&gt;=AC50+INDEX('Facilities'!$AK$9:$AK$108,MATCH(C50,'Facilities'!$C$9:$C$108,0))),(H50+L50)*AM50,0),"Unavailable"))</x:f>
      </x:c>
      <x:c r="N50" s="23" t="str">
        <x:f>IF(C50="","",IFERROR(IF(AND(AC50&gt;=0,D50&gt;=AC50+INDEX('Facilities'!$AK$9:$AK$108,MATCH(C50,'Facilities'!$C$9:$C$108,0))),H50+L50-M50,0),"Unavailable"))</x:f>
      </x:c>
      <x:c r="O50" s="21" t="str">
        <x:f>IF(C50="","",IFERROR(MAX(0,G50+J50-K50-L50),"Unavailable"))</x:f>
      </x:c>
      <x:c r="P50" s="21" t="str">
        <x:f>IF(C50="","",IFERROR(MAX(0,H50+L50-M50-N50),"Unavailable"))</x:f>
      </x:c>
      <x:c r="Q50" s="23" t="str">
        <x:f>IF(C50="","",IFERROR(IF(OR(D50&gt;=INDEX('Facilities'!$J$9:$J$108,MATCH(C50,'Facilities'!$C$9:$C$108,0)),AND(AC50&gt;=0,AC50&lt;=D50)),0,MAX(0,I50-J50)),"Unavailable"))</x:f>
      </x:c>
      <x:c r="R50" s="30" t="str">
        <x:f>IF(C50="","",IFERROR(INDEX(Credit!$Q$9:$Q$108,MATCH(F50,Credit!$C$9:$C$108,0)),"Unavailable"))</x:f>
      </x:c>
      <x:c r="S50" s="30" t="str">
        <x:f>IF(C50="","",IFERROR(INDEX(Credit!$R$9:$R$108,MATCH(F50,Credit!$C$9:$C$108,0)),"Unavailable"))</x:f>
      </x:c>
      <x:c r="T50" s="23" t="str">
        <x:f>IF(C50="","",IFERROR(IF(P50&gt;0,3,IF(OR(INDEX('Facilities'!$AD$9:$AD$108,MATCH(C50,'Facilities'!$C$9:$C$108,0))=2,AND(R50&gt;=INDEX('Facilities'!$L$9:$L$108,MATCH(C50,'Facilities'!$C$9:$C$108,0))*Settings!$F$19,R50-INDEX('Facilities'!$L$9:$L$108,MATCH(C50,'Facilities'!$C$9:$C$108,0))&gt;=Settings!$F$20)),2,1)),"Unavailable"))</x:f>
      </x:c>
      <x:c r="U50" s="23" t="str">
        <x:f>IF(C50="","",IF(AQ50&lt;&gt;"Ready","Unavailable",IF(C50="","",O50*(1-(1-S50)/(1+INDEX('Facilities'!$K$9:$K$108,MATCH(C50,'Facilities'!$C$9:$C$108,0)))^INDEX('Facilities'!$AK$9:$AK$108,MATCH(C50,'Facilities'!$C$9:$C$108,0)))*R50/(1+INDEX('Facilities'!$K$9:$K$108,MATCH(C50,'Facilities'!$C$9:$C$108,0)))*IF(ABS(1-(1-R50)*(1-INDEX('Facilities'!$R$9:$R$108,MATCH(C50,'Facilities'!$C$9:$C$108,0)))/(1+INDEX('Facilities'!$K$9:$K$108,MATCH(C50,'Facilities'!$C$9:$C$108,0))))&lt;0.000000001,IF(T50=1,MIN(1,AJ50),AJ50),(1-((1-R50)*(1-INDEX('Facilities'!$R$9:$R$108,MATCH(C50,'Facilities'!$C$9:$C$108,0)))/(1+INDEX('Facilities'!$K$9:$K$108,MATCH(C50,'Facilities'!$C$9:$C$108,0))))^IF(T50=1,MIN(1,AJ50),AJ50))/(1-(1-R50)*(1-INDEX('Facilities'!$R$9:$R$108,MATCH(C50,'Facilities'!$C$9:$C$108,0)))/(1+INDEX('Facilities'!$K$9:$K$108,MATCH(C50,'Facilities'!$C$9:$C$108,0)))))+AL50)))</x:f>
      </x:c>
      <x:c r="V50" s="23" t="str">
        <x:f>IF(C50="","",IF(AQ50&lt;&gt;"Ready","Unavailable",IF(C50="","",Q50*INDEX('Facilities'!$I$9:$I$108,MATCH(C50,'Facilities'!$C$9:$C$108,0))*(1-(1-S50)/(1+INDEX('Facilities'!$K$9:$K$108,MATCH(C50,'Facilities'!$C$9:$C$108,0)))^INDEX('Facilities'!$AK$9:$AK$108,MATCH(C50,'Facilities'!$C$9:$C$108,0)))*R50/(1+INDEX('Facilities'!$K$9:$K$108,MATCH(C50,'Facilities'!$C$9:$C$108,0)))*IF(ABS(1-(1-R50)*(1-0)/(1+INDEX('Facilities'!$K$9:$K$108,MATCH(C50,'Facilities'!$C$9:$C$108,0))))&lt;0.000000001,IF(T50=1,MIN(1,AJ50),AJ50),(1-((1-R50)*(1-0)/(1+INDEX('Facilities'!$K$9:$K$108,MATCH(C50,'Facilities'!$C$9:$C$108,0))))^IF(T50=1,MIN(1,AJ50),AJ50))/(1-(1-R50)*(1-0)/(1+INDEX('Facilities'!$K$9:$K$108,MATCH(C50,'Facilities'!$C$9:$C$108,0))))))))</x:f>
      </x:c>
      <x:c r="W50" s="23" t="str">
        <x:f>IF(C50="","",IFERROR(INDEX(ECL!$AB$9:$AB$108,MATCH(C50,ECL!$C$9:$C$108,0)),"Unavailable"))</x:f>
      </x:c>
      <x:c r="X50" s="23" t="str">
        <x:f>IF(C50="","",IFERROR(INDEX(ECL!$AC$9:$AC$108,MATCH(C50,ECL!$C$9:$C$108,0)),"Unavailable"))</x:f>
      </x:c>
      <x:c r="Y50" s="21" t="str">
        <x:f>IF(C50="","",IF(AQ50&lt;&gt;"Ready","Unavailable",IF(C50="","",U50-W50+V50-X50+N50+AG50)))</x:f>
      </x:c>
      <x:c r="Z50" s="23" t="str">
        <x:f>IF(C50="","",IF(AQ50&lt;&gt;"Ready","Unavailable",IF(C50="","",(G50+O50+L50)/2*INDEX('Facilities'!$T$9:$T$108,MATCH(C50,'Facilities'!$C$9:$C$108,0))+AG50)))</x:f>
      </x:c>
      <x:c r="AA50" s="23" t="str">
        <x:f>IF(C50="","",IF(AQ50&lt;&gt;"Ready","Unavailable",IF(C50="","",O50*(1-IF(INDEX('Facilities'!$AA$9:$AA$108,MATCH(C50,'Facilities'!$C$9:$C$108,0))=0,0,MIN(1,INDEX('Facilities'!$X$9:$X$108,MATCH(C50,'Facilities'!$C$9:$C$108,0))/INDEX('Facilities'!$AA$9:$AA$108,MATCH(C50,'Facilities'!$C$9:$C$108,0)))))*AF50+P50*(1-IF(INDEX('Facilities'!$AA$9:$AA$108,MATCH(C50,'Facilities'!$C$9:$C$108,0))=0,0,MIN(1,INDEX('Facilities'!$X$9:$X$108,MATCH(C50,'Facilities'!$C$9:$C$108,0))/INDEX('Facilities'!$AA$9:$AA$108,MATCH(C50,'Facilities'!$C$9:$C$108,0)))))*INDEX('Facilities'!$AJ$9:$AJ$108,MATCH(C50,'Facilities'!$C$9:$C$108,0))+Q50*INDEX('Facilities'!$AI$9:$AI$108,MATCH(C50,'Facilities'!$C$9:$C$108,0))*AF50)))</x:f>
      </x:c>
      <x:c r="AB50" s="21" t="str">
        <x:f>IF(C50="","",O50+P50-AD50)</x:f>
      </x:c>
      <x:c r="AC50" s="23" t="str">
        <x:f>IF(C50="","",IFERROR(IF(INDEX('Facilities'!$AD$9:$AD$108,MATCH(C50,'Facilities'!$C$9:$C$108,0))=3,0,IF(INDEX('Facilities'!$AN$9:$AN$108,MATCH(C50,'Facilities'!$C$9:$C$108,0))=0,-1,INDEX('Facilities'!$AN$9:$AN$108,MATCH(C50,'Facilities'!$C$9:$C$108,0)))),"Unavailable"))</x:f>
      </x:c>
      <x:c r="AD50" s="21" t="str">
        <x:f>IF(C50="","",IFERROR(G50+H50,"Unavailable"))</x:f>
      </x:c>
      <x:c r="AE50" s="21" t="str">
        <x:f>IF(C50="","",IF(AQ50&lt;&gt;"Ready","Unavailable",IF(C50="","",O50+P50-AD50-J50+K50+M50+N50)))</x:f>
      </x:c>
      <x:c r="AF50" s="30" t="str">
        <x:f>IF(C50="","",IFERROR(INDEX('Facilities'!$S$9:$S$108,MATCH(C50,'Facilities'!$C$9:$C$108,0))*'Scenario Paths'!F75,"Unavailable"))</x:f>
      </x:c>
      <x:c r="AG50" s="23" t="str">
        <x:f>IF(C50="","",IF(AQ50&lt;&gt;"Ready","Unavailable",IF(C50="","",IF(H50&gt;0,MAX(0,H50-AK50)*((1+INDEX('Facilities'!$K$9:$K$108,MATCH(C50,'Facilities'!$C$9:$C$108,0)))^MIN(1,MAX(0,AC50+INDEX('Facilities'!$AK$9:$AK$108,MATCH(C50,'Facilities'!$C$9:$C$108,0))-D50+1))-1),0))))</x:f>
      </x:c>
      <x:c r="AH50" s="21" t="str">
        <x:f>IF(C50="","",IF(AQ50&lt;&gt;"Ready","Unavailable",IF(C50="","",O50+P50)))</x:f>
      </x:c>
      <x:c r="AI50" s="21" t="str">
        <x:f>IF(C50="","",IF(AQ50&lt;&gt;"Ready","Unavailable",IF(C50="","",Z50-Y50)))</x:f>
      </x:c>
      <x:c r="AJ50" s="23" t="str">
        <x:f>IF(C50="","",IFERROR(MAX(0,INDEX('Facilities'!$J$9:$J$108,MATCH(C50,'Facilities'!$C$9:$C$108,0))-D50),"Unavailable"))</x:f>
      </x:c>
      <x:c r="AK50" s="23" t="str">
        <x:f>IF(C50="","",IFERROR(IF(INDEX('Facilities'!$AD$9:$AD$108,MATCH(C50,'Facilities'!$C$9:$C$108,0))=3,W50,0),"Unavailable"))</x:f>
      </x:c>
      <x:c r="AL50" s="23" t="str">
        <x:f>IF(C50="","",IFERROR(IF(P50&gt;0,P50*(1-AM50/(1+INDEX('Facilities'!$K$9:$K$108,MATCH(C50,'Facilities'!$C$9:$C$108,0)))^MAX(0,AC50+INDEX('Facilities'!$AK$9:$AK$108,MATCH(C50,'Facilities'!$C$9:$C$108,0))-D50)),0),"Unavailable"))</x:f>
      </x:c>
      <x:c r="AM50" s="30" t="str">
        <x:f>IF(C50="","",IFERROR(INDEX('Facilities'!$AL$9:$AL$108,MATCH(C50,'Facilities'!$C$9:$C$108,0)),"Unavailable"))</x:f>
      </x:c>
      <x:c r="AN50" s="30" t="str">
        <x:f>IF(C50="","",IFERROR(INDEX(Credit!$T$9:$T$108,MATCH(F50,Credit!$C$9:$C$108,0)),"Unavailable"))</x:f>
      </x:c>
      <x:c r="AO50" s="23" t="str">
        <x:f>IF(C50="","",IF(AQ50&lt;&gt;"Ready","Unavailable",IF(C50="","",O50+P50+Q50*INDEX('Facilities'!$I$9:$I$108,MATCH(C50,'Facilities'!$C$9:$C$108,0)))))</x:f>
      </x:c>
      <x:c r="AP50" s="21" t="str">
        <x:f>IF(C50="","",IF(AQ50&lt;&gt;"Ready","Unavailable",IF(C50="","",AH50-U50)))</x:f>
      </x:c>
      <x:c r="AQ50" s="23" t="str">
        <x:f>IFERROR(IF(C50="","",IF(AND(INDEX('Facilities'!$AF$9:$AF$108,MATCH(C50,'Facilities'!$C$9:$C$108,0))="Ready",INDEX(Credit!$U$9:$U$108,MATCH(F50,Credit!$C$9:$C$108,0))="Ready",ISNUMBER(W50)),"Ready","Review inputs")),"Review inputs")</x:f>
      </x:c>
      <x:c r="AR50" s="23" t="str">
        <x:f>IF(C50="","",IF(AQ50&lt;&gt;"Ready","Unavailable",IF(C50="","",IF(O50=0,0,(IF(AJ50&lt;=1,O50,O50*INDEX('Facilities'!$R$9:$R$108,MATCH(C50,'Facilities'!$C$9:$C$108,0)))+O50*INDEX('Facilities'!$T$9:$T$108,MATCH(C50,'Facilities'!$C$9:$C$108,0)))/12))))</x:f>
      </x:c>
    </x:row>
    <x:row r="51" ht="26" customHeight="1">
      <x:c r="A51" s="1"/>
      <x:c r="B51" s="1"/>
      <x:c r="C51" s="9" t="str">
        <x:f>IF(Facilities!C51="","",Facilities!C51)</x:f>
      </x:c>
      <x:c r="D51" s="3" t="n">
        <x:v>1</x:v>
      </x:c>
      <x:c r="E51" s="9" t="n">
        <x:f>Settings!$F$18+0</x:f>
        <x:v>2027</x:v>
      </x:c>
      <x:c r="F51" s="9" t="str">
        <x:f>IF(C51="","",IFERROR(INDEX('Facilities'!$D$9:$D$108,MATCH(C51,'Facilities'!$C$9:$C$108,0)),"Unavailable"))</x:f>
      </x:c>
      <x:c r="G51" s="23" t="str">
        <x:f>IF(C51="","",IFERROR(IF(INDEX('Facilities'!$AD$9:$AD$108,MATCH(C51,'Facilities'!$C$9:$C$108,0))=3,0,INDEX('Facilities'!$AA$9:$AA$108,MATCH(C51,'Facilities'!$C$9:$C$108,0))),"Unavailable"))</x:f>
      </x:c>
      <x:c r="H51" s="23" t="str">
        <x:f>IF(C51="","",IFERROR(IF(INDEX('Facilities'!$AD$9:$AD$108,MATCH(C51,'Facilities'!$C$9:$C$108,0))=3,INDEX('Facilities'!$AA$9:$AA$108,MATCH(C51,'Facilities'!$C$9:$C$108,0)),0),"Unavailable"))</x:f>
      </x:c>
      <x:c r="I51" s="23" t="str">
        <x:f>IF(C51="","",IFERROR(INDEX('Facilities'!$AB$9:$AB$108,MATCH(C51,'Facilities'!$C$9:$C$108,0)),"Unavailable"))</x:f>
      </x:c>
      <x:c r="J51" s="23" t="str">
        <x:f>IF(C51="","",IFERROR(IF(OR(H51&gt;0,AND(AC51&gt;=0,AC51&lt;D51),D51&gt;INDEX('Facilities'!$J$9:$J$108,MATCH(C51,'Facilities'!$C$9:$C$108,0))),0,I51*'Scenario Paths'!F81),"Unavailable"))</x:f>
      </x:c>
      <x:c r="K51" s="23" t="str">
        <x:f>IF(C51="","",IFERROR(IF(OR(H51&gt;0,AND(AC51&gt;=0,AC51=D51)),0,IF(D51&gt;=INDEX('Facilities'!$J$9:$J$108,MATCH(C51,'Facilities'!$C$9:$C$108,0)),G51+J51,MIN(G51+J51,G51*INDEX('Facilities'!$R$9:$R$108,MATCH(C51,'Facilities'!$C$9:$C$108,0))))),"Unavailable"))</x:f>
      </x:c>
      <x:c r="L51" s="21" t="str">
        <x:f>IF(C51="","",IFERROR(IF(AND(AC51=D51,AC51&gt;0),MAX(0,G51+J51-K51),0),"Unavailable"))</x:f>
      </x:c>
      <x:c r="M51" s="23" t="str">
        <x:f>IF(C51="","",IFERROR(IF(AND(AC51&gt;=0,D51&gt;=AC51+INDEX('Facilities'!$AK$9:$AK$108,MATCH(C51,'Facilities'!$C$9:$C$108,0))),(H51+L51)*AM51,0),"Unavailable"))</x:f>
      </x:c>
      <x:c r="N51" s="23" t="str">
        <x:f>IF(C51="","",IFERROR(IF(AND(AC51&gt;=0,D51&gt;=AC51+INDEX('Facilities'!$AK$9:$AK$108,MATCH(C51,'Facilities'!$C$9:$C$108,0))),H51+L51-M51,0),"Unavailable"))</x:f>
      </x:c>
      <x:c r="O51" s="21" t="str">
        <x:f>IF(C51="","",IFERROR(MAX(0,G51+J51-K51-L51),"Unavailable"))</x:f>
      </x:c>
      <x:c r="P51" s="21" t="str">
        <x:f>IF(C51="","",IFERROR(MAX(0,H51+L51-M51-N51),"Unavailable"))</x:f>
      </x:c>
      <x:c r="Q51" s="23" t="str">
        <x:f>IF(C51="","",IFERROR(IF(OR(D51&gt;=INDEX('Facilities'!$J$9:$J$108,MATCH(C51,'Facilities'!$C$9:$C$108,0)),AND(AC51&gt;=0,AC51&lt;=D51)),0,MAX(0,I51-J51)),"Unavailable"))</x:f>
      </x:c>
      <x:c r="R51" s="30" t="str">
        <x:f>IF(C51="","",IFERROR(INDEX(Credit!$Q$9:$Q$108,MATCH(F51,Credit!$C$9:$C$108,0)),"Unavailable"))</x:f>
      </x:c>
      <x:c r="S51" s="30" t="str">
        <x:f>IF(C51="","",IFERROR(INDEX(Credit!$R$9:$R$108,MATCH(F51,Credit!$C$9:$C$108,0)),"Unavailable"))</x:f>
      </x:c>
      <x:c r="T51" s="23" t="str">
        <x:f>IF(C51="","",IFERROR(IF(P51&gt;0,3,IF(OR(INDEX('Facilities'!$AD$9:$AD$108,MATCH(C51,'Facilities'!$C$9:$C$108,0))=2,AND(R51&gt;=INDEX('Facilities'!$L$9:$L$108,MATCH(C51,'Facilities'!$C$9:$C$108,0))*Settings!$F$19,R51-INDEX('Facilities'!$L$9:$L$108,MATCH(C51,'Facilities'!$C$9:$C$108,0))&gt;=Settings!$F$20)),2,1)),"Unavailable"))</x:f>
      </x:c>
      <x:c r="U51" s="23" t="str">
        <x:f>IF(C51="","",IF(AQ51&lt;&gt;"Ready","Unavailable",IF(C51="","",O51*(1-(1-S51)/(1+INDEX('Facilities'!$K$9:$K$108,MATCH(C51,'Facilities'!$C$9:$C$108,0)))^INDEX('Facilities'!$AK$9:$AK$108,MATCH(C51,'Facilities'!$C$9:$C$108,0)))*R51/(1+INDEX('Facilities'!$K$9:$K$108,MATCH(C51,'Facilities'!$C$9:$C$108,0)))*IF(ABS(1-(1-R51)*(1-INDEX('Facilities'!$R$9:$R$108,MATCH(C51,'Facilities'!$C$9:$C$108,0)))/(1+INDEX('Facilities'!$K$9:$K$108,MATCH(C51,'Facilities'!$C$9:$C$108,0))))&lt;0.000000001,IF(T51=1,MIN(1,AJ51),AJ51),(1-((1-R51)*(1-INDEX('Facilities'!$R$9:$R$108,MATCH(C51,'Facilities'!$C$9:$C$108,0)))/(1+INDEX('Facilities'!$K$9:$K$108,MATCH(C51,'Facilities'!$C$9:$C$108,0))))^IF(T51=1,MIN(1,AJ51),AJ51))/(1-(1-R51)*(1-INDEX('Facilities'!$R$9:$R$108,MATCH(C51,'Facilities'!$C$9:$C$108,0)))/(1+INDEX('Facilities'!$K$9:$K$108,MATCH(C51,'Facilities'!$C$9:$C$108,0)))))+AL51)))</x:f>
      </x:c>
      <x:c r="V51" s="23" t="str">
        <x:f>IF(C51="","",IF(AQ51&lt;&gt;"Ready","Unavailable",IF(C51="","",Q51*INDEX('Facilities'!$I$9:$I$108,MATCH(C51,'Facilities'!$C$9:$C$108,0))*(1-(1-S51)/(1+INDEX('Facilities'!$K$9:$K$108,MATCH(C51,'Facilities'!$C$9:$C$108,0)))^INDEX('Facilities'!$AK$9:$AK$108,MATCH(C51,'Facilities'!$C$9:$C$108,0)))*R51/(1+INDEX('Facilities'!$K$9:$K$108,MATCH(C51,'Facilities'!$C$9:$C$108,0)))*IF(ABS(1-(1-R51)*(1-0)/(1+INDEX('Facilities'!$K$9:$K$108,MATCH(C51,'Facilities'!$C$9:$C$108,0))))&lt;0.000000001,IF(T51=1,MIN(1,AJ51),AJ51),(1-((1-R51)*(1-0)/(1+INDEX('Facilities'!$K$9:$K$108,MATCH(C51,'Facilities'!$C$9:$C$108,0))))^IF(T51=1,MIN(1,AJ51),AJ51))/(1-(1-R51)*(1-0)/(1+INDEX('Facilities'!$K$9:$K$108,MATCH(C51,'Facilities'!$C$9:$C$108,0))))))))</x:f>
      </x:c>
      <x:c r="W51" s="23" t="str">
        <x:f>IF(C51="","",IFERROR(INDEX(ECL!$AB$9:$AB$108,MATCH(C51,ECL!$C$9:$C$108,0)),"Unavailable"))</x:f>
      </x:c>
      <x:c r="X51" s="23" t="str">
        <x:f>IF(C51="","",IFERROR(INDEX(ECL!$AC$9:$AC$108,MATCH(C51,ECL!$C$9:$C$108,0)),"Unavailable"))</x:f>
      </x:c>
      <x:c r="Y51" s="21" t="str">
        <x:f>IF(C51="","",IF(AQ51&lt;&gt;"Ready","Unavailable",IF(C51="","",U51-W51+V51-X51+N51+AG51)))</x:f>
      </x:c>
      <x:c r="Z51" s="23" t="str">
        <x:f>IF(C51="","",IF(AQ51&lt;&gt;"Ready","Unavailable",IF(C51="","",(G51+O51+L51)/2*INDEX('Facilities'!$T$9:$T$108,MATCH(C51,'Facilities'!$C$9:$C$108,0))+AG51)))</x:f>
      </x:c>
      <x:c r="AA51" s="23" t="str">
        <x:f>IF(C51="","",IF(AQ51&lt;&gt;"Ready","Unavailable",IF(C51="","",O51*(1-IF(INDEX('Facilities'!$AA$9:$AA$108,MATCH(C51,'Facilities'!$C$9:$C$108,0))=0,0,MIN(1,INDEX('Facilities'!$X$9:$X$108,MATCH(C51,'Facilities'!$C$9:$C$108,0))/INDEX('Facilities'!$AA$9:$AA$108,MATCH(C51,'Facilities'!$C$9:$C$108,0)))))*AF51+P51*(1-IF(INDEX('Facilities'!$AA$9:$AA$108,MATCH(C51,'Facilities'!$C$9:$C$108,0))=0,0,MIN(1,INDEX('Facilities'!$X$9:$X$108,MATCH(C51,'Facilities'!$C$9:$C$108,0))/INDEX('Facilities'!$AA$9:$AA$108,MATCH(C51,'Facilities'!$C$9:$C$108,0)))))*INDEX('Facilities'!$AJ$9:$AJ$108,MATCH(C51,'Facilities'!$C$9:$C$108,0))+Q51*INDEX('Facilities'!$AI$9:$AI$108,MATCH(C51,'Facilities'!$C$9:$C$108,0))*AF51)))</x:f>
      </x:c>
      <x:c r="AB51" s="21" t="str">
        <x:f>IF(C51="","",O51+P51-AD51)</x:f>
      </x:c>
      <x:c r="AC51" s="23" t="str">
        <x:f>IF(C51="","",IFERROR(IF(INDEX('Facilities'!$AD$9:$AD$108,MATCH(C51,'Facilities'!$C$9:$C$108,0))=3,0,IF(INDEX('Facilities'!$AN$9:$AN$108,MATCH(C51,'Facilities'!$C$9:$C$108,0))=0,-1,INDEX('Facilities'!$AN$9:$AN$108,MATCH(C51,'Facilities'!$C$9:$C$108,0)))),"Unavailable"))</x:f>
      </x:c>
      <x:c r="AD51" s="21" t="str">
        <x:f>IF(C51="","",IFERROR(G51+H51,"Unavailable"))</x:f>
      </x:c>
      <x:c r="AE51" s="21" t="str">
        <x:f>IF(C51="","",IF(AQ51&lt;&gt;"Ready","Unavailable",IF(C51="","",O51+P51-AD51-J51+K51+M51+N51)))</x:f>
      </x:c>
      <x:c r="AF51" s="30" t="str">
        <x:f>IF(C51="","",IFERROR(INDEX('Facilities'!$S$9:$S$108,MATCH(C51,'Facilities'!$C$9:$C$108,0))*'Scenario Paths'!F75,"Unavailable"))</x:f>
      </x:c>
      <x:c r="AG51" s="23" t="str">
        <x:f>IF(C51="","",IF(AQ51&lt;&gt;"Ready","Unavailable",IF(C51="","",IF(H51&gt;0,MAX(0,H51-AK51)*((1+INDEX('Facilities'!$K$9:$K$108,MATCH(C51,'Facilities'!$C$9:$C$108,0)))^MIN(1,MAX(0,AC51+INDEX('Facilities'!$AK$9:$AK$108,MATCH(C51,'Facilities'!$C$9:$C$108,0))-D51+1))-1),0))))</x:f>
      </x:c>
      <x:c r="AH51" s="21" t="str">
        <x:f>IF(C51="","",IF(AQ51&lt;&gt;"Ready","Unavailable",IF(C51="","",O51+P51)))</x:f>
      </x:c>
      <x:c r="AI51" s="21" t="str">
        <x:f>IF(C51="","",IF(AQ51&lt;&gt;"Ready","Unavailable",IF(C51="","",Z51-Y51)))</x:f>
      </x:c>
      <x:c r="AJ51" s="23" t="str">
        <x:f>IF(C51="","",IFERROR(MAX(0,INDEX('Facilities'!$J$9:$J$108,MATCH(C51,'Facilities'!$C$9:$C$108,0))-D51),"Unavailable"))</x:f>
      </x:c>
      <x:c r="AK51" s="23" t="str">
        <x:f>IF(C51="","",IFERROR(IF(INDEX('Facilities'!$AD$9:$AD$108,MATCH(C51,'Facilities'!$C$9:$C$108,0))=3,W51,0),"Unavailable"))</x:f>
      </x:c>
      <x:c r="AL51" s="23" t="str">
        <x:f>IF(C51="","",IFERROR(IF(P51&gt;0,P51*(1-AM51/(1+INDEX('Facilities'!$K$9:$K$108,MATCH(C51,'Facilities'!$C$9:$C$108,0)))^MAX(0,AC51+INDEX('Facilities'!$AK$9:$AK$108,MATCH(C51,'Facilities'!$C$9:$C$108,0))-D51)),0),"Unavailable"))</x:f>
      </x:c>
      <x:c r="AM51" s="30" t="str">
        <x:f>IF(C51="","",IFERROR(INDEX('Facilities'!$AL$9:$AL$108,MATCH(C51,'Facilities'!$C$9:$C$108,0)),"Unavailable"))</x:f>
      </x:c>
      <x:c r="AN51" s="30" t="str">
        <x:f>IF(C51="","",IFERROR(INDEX(Credit!$T$9:$T$108,MATCH(F51,Credit!$C$9:$C$108,0)),"Unavailable"))</x:f>
      </x:c>
      <x:c r="AO51" s="23" t="str">
        <x:f>IF(C51="","",IF(AQ51&lt;&gt;"Ready","Unavailable",IF(C51="","",O51+P51+Q51*INDEX('Facilities'!$I$9:$I$108,MATCH(C51,'Facilities'!$C$9:$C$108,0)))))</x:f>
      </x:c>
      <x:c r="AP51" s="21" t="str">
        <x:f>IF(C51="","",IF(AQ51&lt;&gt;"Ready","Unavailable",IF(C51="","",AH51-U51)))</x:f>
      </x:c>
      <x:c r="AQ51" s="23" t="str">
        <x:f>IFERROR(IF(C51="","",IF(AND(INDEX('Facilities'!$AF$9:$AF$108,MATCH(C51,'Facilities'!$C$9:$C$108,0))="Ready",INDEX(Credit!$U$9:$U$108,MATCH(F51,Credit!$C$9:$C$108,0))="Ready",ISNUMBER(W51)),"Ready","Review inputs")),"Review inputs")</x:f>
      </x:c>
      <x:c r="AR51" s="23" t="str">
        <x:f>IF(C51="","",IF(AQ51&lt;&gt;"Ready","Unavailable",IF(C51="","",IF(O51=0,0,(IF(AJ51&lt;=1,O51,O51*INDEX('Facilities'!$R$9:$R$108,MATCH(C51,'Facilities'!$C$9:$C$108,0)))+O51*INDEX('Facilities'!$T$9:$T$108,MATCH(C51,'Facilities'!$C$9:$C$108,0)))/12))))</x:f>
      </x:c>
    </x:row>
    <x:row r="52" ht="26" customHeight="1">
      <x:c r="A52" s="1"/>
      <x:c r="B52" s="1"/>
      <x:c r="C52" s="9" t="str">
        <x:f>IF(Facilities!C52="","",Facilities!C52)</x:f>
      </x:c>
      <x:c r="D52" s="3" t="n">
        <x:v>1</x:v>
      </x:c>
      <x:c r="E52" s="9" t="n">
        <x:f>Settings!$F$18+0</x:f>
        <x:v>2027</x:v>
      </x:c>
      <x:c r="F52" s="9" t="str">
        <x:f>IF(C52="","",IFERROR(INDEX('Facilities'!$D$9:$D$108,MATCH(C52,'Facilities'!$C$9:$C$108,0)),"Unavailable"))</x:f>
      </x:c>
      <x:c r="G52" s="23" t="str">
        <x:f>IF(C52="","",IFERROR(IF(INDEX('Facilities'!$AD$9:$AD$108,MATCH(C52,'Facilities'!$C$9:$C$108,0))=3,0,INDEX('Facilities'!$AA$9:$AA$108,MATCH(C52,'Facilities'!$C$9:$C$108,0))),"Unavailable"))</x:f>
      </x:c>
      <x:c r="H52" s="23" t="str">
        <x:f>IF(C52="","",IFERROR(IF(INDEX('Facilities'!$AD$9:$AD$108,MATCH(C52,'Facilities'!$C$9:$C$108,0))=3,INDEX('Facilities'!$AA$9:$AA$108,MATCH(C52,'Facilities'!$C$9:$C$108,0)),0),"Unavailable"))</x:f>
      </x:c>
      <x:c r="I52" s="23" t="str">
        <x:f>IF(C52="","",IFERROR(INDEX('Facilities'!$AB$9:$AB$108,MATCH(C52,'Facilities'!$C$9:$C$108,0)),"Unavailable"))</x:f>
      </x:c>
      <x:c r="J52" s="23" t="str">
        <x:f>IF(C52="","",IFERROR(IF(OR(H52&gt;0,AND(AC52&gt;=0,AC52&lt;D52),D52&gt;INDEX('Facilities'!$J$9:$J$108,MATCH(C52,'Facilities'!$C$9:$C$108,0))),0,I52*'Scenario Paths'!F81),"Unavailable"))</x:f>
      </x:c>
      <x:c r="K52" s="23" t="str">
        <x:f>IF(C52="","",IFERROR(IF(OR(H52&gt;0,AND(AC52&gt;=0,AC52=D52)),0,IF(D52&gt;=INDEX('Facilities'!$J$9:$J$108,MATCH(C52,'Facilities'!$C$9:$C$108,0)),G52+J52,MIN(G52+J52,G52*INDEX('Facilities'!$R$9:$R$108,MATCH(C52,'Facilities'!$C$9:$C$108,0))))),"Unavailable"))</x:f>
      </x:c>
      <x:c r="L52" s="21" t="str">
        <x:f>IF(C52="","",IFERROR(IF(AND(AC52=D52,AC52&gt;0),MAX(0,G52+J52-K52),0),"Unavailable"))</x:f>
      </x:c>
      <x:c r="M52" s="23" t="str">
        <x:f>IF(C52="","",IFERROR(IF(AND(AC52&gt;=0,D52&gt;=AC52+INDEX('Facilities'!$AK$9:$AK$108,MATCH(C52,'Facilities'!$C$9:$C$108,0))),(H52+L52)*AM52,0),"Unavailable"))</x:f>
      </x:c>
      <x:c r="N52" s="23" t="str">
        <x:f>IF(C52="","",IFERROR(IF(AND(AC52&gt;=0,D52&gt;=AC52+INDEX('Facilities'!$AK$9:$AK$108,MATCH(C52,'Facilities'!$C$9:$C$108,0))),H52+L52-M52,0),"Unavailable"))</x:f>
      </x:c>
      <x:c r="O52" s="21" t="str">
        <x:f>IF(C52="","",IFERROR(MAX(0,G52+J52-K52-L52),"Unavailable"))</x:f>
      </x:c>
      <x:c r="P52" s="21" t="str">
        <x:f>IF(C52="","",IFERROR(MAX(0,H52+L52-M52-N52),"Unavailable"))</x:f>
      </x:c>
      <x:c r="Q52" s="23" t="str">
        <x:f>IF(C52="","",IFERROR(IF(OR(D52&gt;=INDEX('Facilities'!$J$9:$J$108,MATCH(C52,'Facilities'!$C$9:$C$108,0)),AND(AC52&gt;=0,AC52&lt;=D52)),0,MAX(0,I52-J52)),"Unavailable"))</x:f>
      </x:c>
      <x:c r="R52" s="30" t="str">
        <x:f>IF(C52="","",IFERROR(INDEX(Credit!$Q$9:$Q$108,MATCH(F52,Credit!$C$9:$C$108,0)),"Unavailable"))</x:f>
      </x:c>
      <x:c r="S52" s="30" t="str">
        <x:f>IF(C52="","",IFERROR(INDEX(Credit!$R$9:$R$108,MATCH(F52,Credit!$C$9:$C$108,0)),"Unavailable"))</x:f>
      </x:c>
      <x:c r="T52" s="23" t="str">
        <x:f>IF(C52="","",IFERROR(IF(P52&gt;0,3,IF(OR(INDEX('Facilities'!$AD$9:$AD$108,MATCH(C52,'Facilities'!$C$9:$C$108,0))=2,AND(R52&gt;=INDEX('Facilities'!$L$9:$L$108,MATCH(C52,'Facilities'!$C$9:$C$108,0))*Settings!$F$19,R52-INDEX('Facilities'!$L$9:$L$108,MATCH(C52,'Facilities'!$C$9:$C$108,0))&gt;=Settings!$F$20)),2,1)),"Unavailable"))</x:f>
      </x:c>
      <x:c r="U52" s="23" t="str">
        <x:f>IF(C52="","",IF(AQ52&lt;&gt;"Ready","Unavailable",IF(C52="","",O52*(1-(1-S52)/(1+INDEX('Facilities'!$K$9:$K$108,MATCH(C52,'Facilities'!$C$9:$C$108,0)))^INDEX('Facilities'!$AK$9:$AK$108,MATCH(C52,'Facilities'!$C$9:$C$108,0)))*R52/(1+INDEX('Facilities'!$K$9:$K$108,MATCH(C52,'Facilities'!$C$9:$C$108,0)))*IF(ABS(1-(1-R52)*(1-INDEX('Facilities'!$R$9:$R$108,MATCH(C52,'Facilities'!$C$9:$C$108,0)))/(1+INDEX('Facilities'!$K$9:$K$108,MATCH(C52,'Facilities'!$C$9:$C$108,0))))&lt;0.000000001,IF(T52=1,MIN(1,AJ52),AJ52),(1-((1-R52)*(1-INDEX('Facilities'!$R$9:$R$108,MATCH(C52,'Facilities'!$C$9:$C$108,0)))/(1+INDEX('Facilities'!$K$9:$K$108,MATCH(C52,'Facilities'!$C$9:$C$108,0))))^IF(T52=1,MIN(1,AJ52),AJ52))/(1-(1-R52)*(1-INDEX('Facilities'!$R$9:$R$108,MATCH(C52,'Facilities'!$C$9:$C$108,0)))/(1+INDEX('Facilities'!$K$9:$K$108,MATCH(C52,'Facilities'!$C$9:$C$108,0)))))+AL52)))</x:f>
      </x:c>
      <x:c r="V52" s="23" t="str">
        <x:f>IF(C52="","",IF(AQ52&lt;&gt;"Ready","Unavailable",IF(C52="","",Q52*INDEX('Facilities'!$I$9:$I$108,MATCH(C52,'Facilities'!$C$9:$C$108,0))*(1-(1-S52)/(1+INDEX('Facilities'!$K$9:$K$108,MATCH(C52,'Facilities'!$C$9:$C$108,0)))^INDEX('Facilities'!$AK$9:$AK$108,MATCH(C52,'Facilities'!$C$9:$C$108,0)))*R52/(1+INDEX('Facilities'!$K$9:$K$108,MATCH(C52,'Facilities'!$C$9:$C$108,0)))*IF(ABS(1-(1-R52)*(1-0)/(1+INDEX('Facilities'!$K$9:$K$108,MATCH(C52,'Facilities'!$C$9:$C$108,0))))&lt;0.000000001,IF(T52=1,MIN(1,AJ52),AJ52),(1-((1-R52)*(1-0)/(1+INDEX('Facilities'!$K$9:$K$108,MATCH(C52,'Facilities'!$C$9:$C$108,0))))^IF(T52=1,MIN(1,AJ52),AJ52))/(1-(1-R52)*(1-0)/(1+INDEX('Facilities'!$K$9:$K$108,MATCH(C52,'Facilities'!$C$9:$C$108,0))))))))</x:f>
      </x:c>
      <x:c r="W52" s="23" t="str">
        <x:f>IF(C52="","",IFERROR(INDEX(ECL!$AB$9:$AB$108,MATCH(C52,ECL!$C$9:$C$108,0)),"Unavailable"))</x:f>
      </x:c>
      <x:c r="X52" s="23" t="str">
        <x:f>IF(C52="","",IFERROR(INDEX(ECL!$AC$9:$AC$108,MATCH(C52,ECL!$C$9:$C$108,0)),"Unavailable"))</x:f>
      </x:c>
      <x:c r="Y52" s="21" t="str">
        <x:f>IF(C52="","",IF(AQ52&lt;&gt;"Ready","Unavailable",IF(C52="","",U52-W52+V52-X52+N52+AG52)))</x:f>
      </x:c>
      <x:c r="Z52" s="23" t="str">
        <x:f>IF(C52="","",IF(AQ52&lt;&gt;"Ready","Unavailable",IF(C52="","",(G52+O52+L52)/2*INDEX('Facilities'!$T$9:$T$108,MATCH(C52,'Facilities'!$C$9:$C$108,0))+AG52)))</x:f>
      </x:c>
      <x:c r="AA52" s="23" t="str">
        <x:f>IF(C52="","",IF(AQ52&lt;&gt;"Ready","Unavailable",IF(C52="","",O52*(1-IF(INDEX('Facilities'!$AA$9:$AA$108,MATCH(C52,'Facilities'!$C$9:$C$108,0))=0,0,MIN(1,INDEX('Facilities'!$X$9:$X$108,MATCH(C52,'Facilities'!$C$9:$C$108,0))/INDEX('Facilities'!$AA$9:$AA$108,MATCH(C52,'Facilities'!$C$9:$C$108,0)))))*AF52+P52*(1-IF(INDEX('Facilities'!$AA$9:$AA$108,MATCH(C52,'Facilities'!$C$9:$C$108,0))=0,0,MIN(1,INDEX('Facilities'!$X$9:$X$108,MATCH(C52,'Facilities'!$C$9:$C$108,0))/INDEX('Facilities'!$AA$9:$AA$108,MATCH(C52,'Facilities'!$C$9:$C$108,0)))))*INDEX('Facilities'!$AJ$9:$AJ$108,MATCH(C52,'Facilities'!$C$9:$C$108,0))+Q52*INDEX('Facilities'!$AI$9:$AI$108,MATCH(C52,'Facilities'!$C$9:$C$108,0))*AF52)))</x:f>
      </x:c>
      <x:c r="AB52" s="21" t="str">
        <x:f>IF(C52="","",O52+P52-AD52)</x:f>
      </x:c>
      <x:c r="AC52" s="23" t="str">
        <x:f>IF(C52="","",IFERROR(IF(INDEX('Facilities'!$AD$9:$AD$108,MATCH(C52,'Facilities'!$C$9:$C$108,0))=3,0,IF(INDEX('Facilities'!$AN$9:$AN$108,MATCH(C52,'Facilities'!$C$9:$C$108,0))=0,-1,INDEX('Facilities'!$AN$9:$AN$108,MATCH(C52,'Facilities'!$C$9:$C$108,0)))),"Unavailable"))</x:f>
      </x:c>
      <x:c r="AD52" s="21" t="str">
        <x:f>IF(C52="","",IFERROR(G52+H52,"Unavailable"))</x:f>
      </x:c>
      <x:c r="AE52" s="21" t="str">
        <x:f>IF(C52="","",IF(AQ52&lt;&gt;"Ready","Unavailable",IF(C52="","",O52+P52-AD52-J52+K52+M52+N52)))</x:f>
      </x:c>
      <x:c r="AF52" s="30" t="str">
        <x:f>IF(C52="","",IFERROR(INDEX('Facilities'!$S$9:$S$108,MATCH(C52,'Facilities'!$C$9:$C$108,0))*'Scenario Paths'!F75,"Unavailable"))</x:f>
      </x:c>
      <x:c r="AG52" s="23" t="str">
        <x:f>IF(C52="","",IF(AQ52&lt;&gt;"Ready","Unavailable",IF(C52="","",IF(H52&gt;0,MAX(0,H52-AK52)*((1+INDEX('Facilities'!$K$9:$K$108,MATCH(C52,'Facilities'!$C$9:$C$108,0)))^MIN(1,MAX(0,AC52+INDEX('Facilities'!$AK$9:$AK$108,MATCH(C52,'Facilities'!$C$9:$C$108,0))-D52+1))-1),0))))</x:f>
      </x:c>
      <x:c r="AH52" s="21" t="str">
        <x:f>IF(C52="","",IF(AQ52&lt;&gt;"Ready","Unavailable",IF(C52="","",O52+P52)))</x:f>
      </x:c>
      <x:c r="AI52" s="21" t="str">
        <x:f>IF(C52="","",IF(AQ52&lt;&gt;"Ready","Unavailable",IF(C52="","",Z52-Y52)))</x:f>
      </x:c>
      <x:c r="AJ52" s="23" t="str">
        <x:f>IF(C52="","",IFERROR(MAX(0,INDEX('Facilities'!$J$9:$J$108,MATCH(C52,'Facilities'!$C$9:$C$108,0))-D52),"Unavailable"))</x:f>
      </x:c>
      <x:c r="AK52" s="23" t="str">
        <x:f>IF(C52="","",IFERROR(IF(INDEX('Facilities'!$AD$9:$AD$108,MATCH(C52,'Facilities'!$C$9:$C$108,0))=3,W52,0),"Unavailable"))</x:f>
      </x:c>
      <x:c r="AL52" s="23" t="str">
        <x:f>IF(C52="","",IFERROR(IF(P52&gt;0,P52*(1-AM52/(1+INDEX('Facilities'!$K$9:$K$108,MATCH(C52,'Facilities'!$C$9:$C$108,0)))^MAX(0,AC52+INDEX('Facilities'!$AK$9:$AK$108,MATCH(C52,'Facilities'!$C$9:$C$108,0))-D52)),0),"Unavailable"))</x:f>
      </x:c>
      <x:c r="AM52" s="30" t="str">
        <x:f>IF(C52="","",IFERROR(INDEX('Facilities'!$AL$9:$AL$108,MATCH(C52,'Facilities'!$C$9:$C$108,0)),"Unavailable"))</x:f>
      </x:c>
      <x:c r="AN52" s="30" t="str">
        <x:f>IF(C52="","",IFERROR(INDEX(Credit!$T$9:$T$108,MATCH(F52,Credit!$C$9:$C$108,0)),"Unavailable"))</x:f>
      </x:c>
      <x:c r="AO52" s="23" t="str">
        <x:f>IF(C52="","",IF(AQ52&lt;&gt;"Ready","Unavailable",IF(C52="","",O52+P52+Q52*INDEX('Facilities'!$I$9:$I$108,MATCH(C52,'Facilities'!$C$9:$C$108,0)))))</x:f>
      </x:c>
      <x:c r="AP52" s="21" t="str">
        <x:f>IF(C52="","",IF(AQ52&lt;&gt;"Ready","Unavailable",IF(C52="","",AH52-U52)))</x:f>
      </x:c>
      <x:c r="AQ52" s="23" t="str">
        <x:f>IFERROR(IF(C52="","",IF(AND(INDEX('Facilities'!$AF$9:$AF$108,MATCH(C52,'Facilities'!$C$9:$C$108,0))="Ready",INDEX(Credit!$U$9:$U$108,MATCH(F52,Credit!$C$9:$C$108,0))="Ready",ISNUMBER(W52)),"Ready","Review inputs")),"Review inputs")</x:f>
      </x:c>
      <x:c r="AR52" s="23" t="str">
        <x:f>IF(C52="","",IF(AQ52&lt;&gt;"Ready","Unavailable",IF(C52="","",IF(O52=0,0,(IF(AJ52&lt;=1,O52,O52*INDEX('Facilities'!$R$9:$R$108,MATCH(C52,'Facilities'!$C$9:$C$108,0)))+O52*INDEX('Facilities'!$T$9:$T$108,MATCH(C52,'Facilities'!$C$9:$C$108,0)))/12))))</x:f>
      </x:c>
    </x:row>
    <x:row r="53" ht="26" customHeight="1">
      <x:c r="A53" s="1"/>
      <x:c r="B53" s="1"/>
      <x:c r="C53" s="9" t="str">
        <x:f>IF(Facilities!C53="","",Facilities!C53)</x:f>
      </x:c>
      <x:c r="D53" s="3" t="n">
        <x:v>1</x:v>
      </x:c>
      <x:c r="E53" s="9" t="n">
        <x:f>Settings!$F$18+0</x:f>
        <x:v>2027</x:v>
      </x:c>
      <x:c r="F53" s="9" t="str">
        <x:f>IF(C53="","",IFERROR(INDEX('Facilities'!$D$9:$D$108,MATCH(C53,'Facilities'!$C$9:$C$108,0)),"Unavailable"))</x:f>
      </x:c>
      <x:c r="G53" s="23" t="str">
        <x:f>IF(C53="","",IFERROR(IF(INDEX('Facilities'!$AD$9:$AD$108,MATCH(C53,'Facilities'!$C$9:$C$108,0))=3,0,INDEX('Facilities'!$AA$9:$AA$108,MATCH(C53,'Facilities'!$C$9:$C$108,0))),"Unavailable"))</x:f>
      </x:c>
      <x:c r="H53" s="23" t="str">
        <x:f>IF(C53="","",IFERROR(IF(INDEX('Facilities'!$AD$9:$AD$108,MATCH(C53,'Facilities'!$C$9:$C$108,0))=3,INDEX('Facilities'!$AA$9:$AA$108,MATCH(C53,'Facilities'!$C$9:$C$108,0)),0),"Unavailable"))</x:f>
      </x:c>
      <x:c r="I53" s="23" t="str">
        <x:f>IF(C53="","",IFERROR(INDEX('Facilities'!$AB$9:$AB$108,MATCH(C53,'Facilities'!$C$9:$C$108,0)),"Unavailable"))</x:f>
      </x:c>
      <x:c r="J53" s="23" t="str">
        <x:f>IF(C53="","",IFERROR(IF(OR(H53&gt;0,AND(AC53&gt;=0,AC53&lt;D53),D53&gt;INDEX('Facilities'!$J$9:$J$108,MATCH(C53,'Facilities'!$C$9:$C$108,0))),0,I53*'Scenario Paths'!F81),"Unavailable"))</x:f>
      </x:c>
      <x:c r="K53" s="23" t="str">
        <x:f>IF(C53="","",IFERROR(IF(OR(H53&gt;0,AND(AC53&gt;=0,AC53=D53)),0,IF(D53&gt;=INDEX('Facilities'!$J$9:$J$108,MATCH(C53,'Facilities'!$C$9:$C$108,0)),G53+J53,MIN(G53+J53,G53*INDEX('Facilities'!$R$9:$R$108,MATCH(C53,'Facilities'!$C$9:$C$108,0))))),"Unavailable"))</x:f>
      </x:c>
      <x:c r="L53" s="21" t="str">
        <x:f>IF(C53="","",IFERROR(IF(AND(AC53=D53,AC53&gt;0),MAX(0,G53+J53-K53),0),"Unavailable"))</x:f>
      </x:c>
      <x:c r="M53" s="23" t="str">
        <x:f>IF(C53="","",IFERROR(IF(AND(AC53&gt;=0,D53&gt;=AC53+INDEX('Facilities'!$AK$9:$AK$108,MATCH(C53,'Facilities'!$C$9:$C$108,0))),(H53+L53)*AM53,0),"Unavailable"))</x:f>
      </x:c>
      <x:c r="N53" s="23" t="str">
        <x:f>IF(C53="","",IFERROR(IF(AND(AC53&gt;=0,D53&gt;=AC53+INDEX('Facilities'!$AK$9:$AK$108,MATCH(C53,'Facilities'!$C$9:$C$108,0))),H53+L53-M53,0),"Unavailable"))</x:f>
      </x:c>
      <x:c r="O53" s="21" t="str">
        <x:f>IF(C53="","",IFERROR(MAX(0,G53+J53-K53-L53),"Unavailable"))</x:f>
      </x:c>
      <x:c r="P53" s="21" t="str">
        <x:f>IF(C53="","",IFERROR(MAX(0,H53+L53-M53-N53),"Unavailable"))</x:f>
      </x:c>
      <x:c r="Q53" s="23" t="str">
        <x:f>IF(C53="","",IFERROR(IF(OR(D53&gt;=INDEX('Facilities'!$J$9:$J$108,MATCH(C53,'Facilities'!$C$9:$C$108,0)),AND(AC53&gt;=0,AC53&lt;=D53)),0,MAX(0,I53-J53)),"Unavailable"))</x:f>
      </x:c>
      <x:c r="R53" s="30" t="str">
        <x:f>IF(C53="","",IFERROR(INDEX(Credit!$Q$9:$Q$108,MATCH(F53,Credit!$C$9:$C$108,0)),"Unavailable"))</x:f>
      </x:c>
      <x:c r="S53" s="30" t="str">
        <x:f>IF(C53="","",IFERROR(INDEX(Credit!$R$9:$R$108,MATCH(F53,Credit!$C$9:$C$108,0)),"Unavailable"))</x:f>
      </x:c>
      <x:c r="T53" s="23" t="str">
        <x:f>IF(C53="","",IFERROR(IF(P53&gt;0,3,IF(OR(INDEX('Facilities'!$AD$9:$AD$108,MATCH(C53,'Facilities'!$C$9:$C$108,0))=2,AND(R53&gt;=INDEX('Facilities'!$L$9:$L$108,MATCH(C53,'Facilities'!$C$9:$C$108,0))*Settings!$F$19,R53-INDEX('Facilities'!$L$9:$L$108,MATCH(C53,'Facilities'!$C$9:$C$108,0))&gt;=Settings!$F$20)),2,1)),"Unavailable"))</x:f>
      </x:c>
      <x:c r="U53" s="23" t="str">
        <x:f>IF(C53="","",IF(AQ53&lt;&gt;"Ready","Unavailable",IF(C53="","",O53*(1-(1-S53)/(1+INDEX('Facilities'!$K$9:$K$108,MATCH(C53,'Facilities'!$C$9:$C$108,0)))^INDEX('Facilities'!$AK$9:$AK$108,MATCH(C53,'Facilities'!$C$9:$C$108,0)))*R53/(1+INDEX('Facilities'!$K$9:$K$108,MATCH(C53,'Facilities'!$C$9:$C$108,0)))*IF(ABS(1-(1-R53)*(1-INDEX('Facilities'!$R$9:$R$108,MATCH(C53,'Facilities'!$C$9:$C$108,0)))/(1+INDEX('Facilities'!$K$9:$K$108,MATCH(C53,'Facilities'!$C$9:$C$108,0))))&lt;0.000000001,IF(T53=1,MIN(1,AJ53),AJ53),(1-((1-R53)*(1-INDEX('Facilities'!$R$9:$R$108,MATCH(C53,'Facilities'!$C$9:$C$108,0)))/(1+INDEX('Facilities'!$K$9:$K$108,MATCH(C53,'Facilities'!$C$9:$C$108,0))))^IF(T53=1,MIN(1,AJ53),AJ53))/(1-(1-R53)*(1-INDEX('Facilities'!$R$9:$R$108,MATCH(C53,'Facilities'!$C$9:$C$108,0)))/(1+INDEX('Facilities'!$K$9:$K$108,MATCH(C53,'Facilities'!$C$9:$C$108,0)))))+AL53)))</x:f>
      </x:c>
      <x:c r="V53" s="23" t="str">
        <x:f>IF(C53="","",IF(AQ53&lt;&gt;"Ready","Unavailable",IF(C53="","",Q53*INDEX('Facilities'!$I$9:$I$108,MATCH(C53,'Facilities'!$C$9:$C$108,0))*(1-(1-S53)/(1+INDEX('Facilities'!$K$9:$K$108,MATCH(C53,'Facilities'!$C$9:$C$108,0)))^INDEX('Facilities'!$AK$9:$AK$108,MATCH(C53,'Facilities'!$C$9:$C$108,0)))*R53/(1+INDEX('Facilities'!$K$9:$K$108,MATCH(C53,'Facilities'!$C$9:$C$108,0)))*IF(ABS(1-(1-R53)*(1-0)/(1+INDEX('Facilities'!$K$9:$K$108,MATCH(C53,'Facilities'!$C$9:$C$108,0))))&lt;0.000000001,IF(T53=1,MIN(1,AJ53),AJ53),(1-((1-R53)*(1-0)/(1+INDEX('Facilities'!$K$9:$K$108,MATCH(C53,'Facilities'!$C$9:$C$108,0))))^IF(T53=1,MIN(1,AJ53),AJ53))/(1-(1-R53)*(1-0)/(1+INDEX('Facilities'!$K$9:$K$108,MATCH(C53,'Facilities'!$C$9:$C$108,0))))))))</x:f>
      </x:c>
      <x:c r="W53" s="23" t="str">
        <x:f>IF(C53="","",IFERROR(INDEX(ECL!$AB$9:$AB$108,MATCH(C53,ECL!$C$9:$C$108,0)),"Unavailable"))</x:f>
      </x:c>
      <x:c r="X53" s="23" t="str">
        <x:f>IF(C53="","",IFERROR(INDEX(ECL!$AC$9:$AC$108,MATCH(C53,ECL!$C$9:$C$108,0)),"Unavailable"))</x:f>
      </x:c>
      <x:c r="Y53" s="21" t="str">
        <x:f>IF(C53="","",IF(AQ53&lt;&gt;"Ready","Unavailable",IF(C53="","",U53-W53+V53-X53+N53+AG53)))</x:f>
      </x:c>
      <x:c r="Z53" s="23" t="str">
        <x:f>IF(C53="","",IF(AQ53&lt;&gt;"Ready","Unavailable",IF(C53="","",(G53+O53+L53)/2*INDEX('Facilities'!$T$9:$T$108,MATCH(C53,'Facilities'!$C$9:$C$108,0))+AG53)))</x:f>
      </x:c>
      <x:c r="AA53" s="23" t="str">
        <x:f>IF(C53="","",IF(AQ53&lt;&gt;"Ready","Unavailable",IF(C53="","",O53*(1-IF(INDEX('Facilities'!$AA$9:$AA$108,MATCH(C53,'Facilities'!$C$9:$C$108,0))=0,0,MIN(1,INDEX('Facilities'!$X$9:$X$108,MATCH(C53,'Facilities'!$C$9:$C$108,0))/INDEX('Facilities'!$AA$9:$AA$108,MATCH(C53,'Facilities'!$C$9:$C$108,0)))))*AF53+P53*(1-IF(INDEX('Facilities'!$AA$9:$AA$108,MATCH(C53,'Facilities'!$C$9:$C$108,0))=0,0,MIN(1,INDEX('Facilities'!$X$9:$X$108,MATCH(C53,'Facilities'!$C$9:$C$108,0))/INDEX('Facilities'!$AA$9:$AA$108,MATCH(C53,'Facilities'!$C$9:$C$108,0)))))*INDEX('Facilities'!$AJ$9:$AJ$108,MATCH(C53,'Facilities'!$C$9:$C$108,0))+Q53*INDEX('Facilities'!$AI$9:$AI$108,MATCH(C53,'Facilities'!$C$9:$C$108,0))*AF53)))</x:f>
      </x:c>
      <x:c r="AB53" s="21" t="str">
        <x:f>IF(C53="","",O53+P53-AD53)</x:f>
      </x:c>
      <x:c r="AC53" s="23" t="str">
        <x:f>IF(C53="","",IFERROR(IF(INDEX('Facilities'!$AD$9:$AD$108,MATCH(C53,'Facilities'!$C$9:$C$108,0))=3,0,IF(INDEX('Facilities'!$AN$9:$AN$108,MATCH(C53,'Facilities'!$C$9:$C$108,0))=0,-1,INDEX('Facilities'!$AN$9:$AN$108,MATCH(C53,'Facilities'!$C$9:$C$108,0)))),"Unavailable"))</x:f>
      </x:c>
      <x:c r="AD53" s="21" t="str">
        <x:f>IF(C53="","",IFERROR(G53+H53,"Unavailable"))</x:f>
      </x:c>
      <x:c r="AE53" s="21" t="str">
        <x:f>IF(C53="","",IF(AQ53&lt;&gt;"Ready","Unavailable",IF(C53="","",O53+P53-AD53-J53+K53+M53+N53)))</x:f>
      </x:c>
      <x:c r="AF53" s="30" t="str">
        <x:f>IF(C53="","",IFERROR(INDEX('Facilities'!$S$9:$S$108,MATCH(C53,'Facilities'!$C$9:$C$108,0))*'Scenario Paths'!F75,"Unavailable"))</x:f>
      </x:c>
      <x:c r="AG53" s="23" t="str">
        <x:f>IF(C53="","",IF(AQ53&lt;&gt;"Ready","Unavailable",IF(C53="","",IF(H53&gt;0,MAX(0,H53-AK53)*((1+INDEX('Facilities'!$K$9:$K$108,MATCH(C53,'Facilities'!$C$9:$C$108,0)))^MIN(1,MAX(0,AC53+INDEX('Facilities'!$AK$9:$AK$108,MATCH(C53,'Facilities'!$C$9:$C$108,0))-D53+1))-1),0))))</x:f>
      </x:c>
      <x:c r="AH53" s="21" t="str">
        <x:f>IF(C53="","",IF(AQ53&lt;&gt;"Ready","Unavailable",IF(C53="","",O53+P53)))</x:f>
      </x:c>
      <x:c r="AI53" s="21" t="str">
        <x:f>IF(C53="","",IF(AQ53&lt;&gt;"Ready","Unavailable",IF(C53="","",Z53-Y53)))</x:f>
      </x:c>
      <x:c r="AJ53" s="23" t="str">
        <x:f>IF(C53="","",IFERROR(MAX(0,INDEX('Facilities'!$J$9:$J$108,MATCH(C53,'Facilities'!$C$9:$C$108,0))-D53),"Unavailable"))</x:f>
      </x:c>
      <x:c r="AK53" s="23" t="str">
        <x:f>IF(C53="","",IFERROR(IF(INDEX('Facilities'!$AD$9:$AD$108,MATCH(C53,'Facilities'!$C$9:$C$108,0))=3,W53,0),"Unavailable"))</x:f>
      </x:c>
      <x:c r="AL53" s="23" t="str">
        <x:f>IF(C53="","",IFERROR(IF(P53&gt;0,P53*(1-AM53/(1+INDEX('Facilities'!$K$9:$K$108,MATCH(C53,'Facilities'!$C$9:$C$108,0)))^MAX(0,AC53+INDEX('Facilities'!$AK$9:$AK$108,MATCH(C53,'Facilities'!$C$9:$C$108,0))-D53)),0),"Unavailable"))</x:f>
      </x:c>
      <x:c r="AM53" s="30" t="str">
        <x:f>IF(C53="","",IFERROR(INDEX('Facilities'!$AL$9:$AL$108,MATCH(C53,'Facilities'!$C$9:$C$108,0)),"Unavailable"))</x:f>
      </x:c>
      <x:c r="AN53" s="30" t="str">
        <x:f>IF(C53="","",IFERROR(INDEX(Credit!$T$9:$T$108,MATCH(F53,Credit!$C$9:$C$108,0)),"Unavailable"))</x:f>
      </x:c>
      <x:c r="AO53" s="23" t="str">
        <x:f>IF(C53="","",IF(AQ53&lt;&gt;"Ready","Unavailable",IF(C53="","",O53+P53+Q53*INDEX('Facilities'!$I$9:$I$108,MATCH(C53,'Facilities'!$C$9:$C$108,0)))))</x:f>
      </x:c>
      <x:c r="AP53" s="21" t="str">
        <x:f>IF(C53="","",IF(AQ53&lt;&gt;"Ready","Unavailable",IF(C53="","",AH53-U53)))</x:f>
      </x:c>
      <x:c r="AQ53" s="23" t="str">
        <x:f>IFERROR(IF(C53="","",IF(AND(INDEX('Facilities'!$AF$9:$AF$108,MATCH(C53,'Facilities'!$C$9:$C$108,0))="Ready",INDEX(Credit!$U$9:$U$108,MATCH(F53,Credit!$C$9:$C$108,0))="Ready",ISNUMBER(W53)),"Ready","Review inputs")),"Review inputs")</x:f>
      </x:c>
      <x:c r="AR53" s="23" t="str">
        <x:f>IF(C53="","",IF(AQ53&lt;&gt;"Ready","Unavailable",IF(C53="","",IF(O53=0,0,(IF(AJ53&lt;=1,O53,O53*INDEX('Facilities'!$R$9:$R$108,MATCH(C53,'Facilities'!$C$9:$C$108,0)))+O53*INDEX('Facilities'!$T$9:$T$108,MATCH(C53,'Facilities'!$C$9:$C$108,0)))/12))))</x:f>
      </x:c>
    </x:row>
    <x:row r="54" ht="26" customHeight="1">
      <x:c r="A54" s="1"/>
      <x:c r="B54" s="1"/>
      <x:c r="C54" s="9" t="str">
        <x:f>IF(Facilities!C54="","",Facilities!C54)</x:f>
      </x:c>
      <x:c r="D54" s="3" t="n">
        <x:v>1</x:v>
      </x:c>
      <x:c r="E54" s="9" t="n">
        <x:f>Settings!$F$18+0</x:f>
        <x:v>2027</x:v>
      </x:c>
      <x:c r="F54" s="9" t="str">
        <x:f>IF(C54="","",IFERROR(INDEX('Facilities'!$D$9:$D$108,MATCH(C54,'Facilities'!$C$9:$C$108,0)),"Unavailable"))</x:f>
      </x:c>
      <x:c r="G54" s="23" t="str">
        <x:f>IF(C54="","",IFERROR(IF(INDEX('Facilities'!$AD$9:$AD$108,MATCH(C54,'Facilities'!$C$9:$C$108,0))=3,0,INDEX('Facilities'!$AA$9:$AA$108,MATCH(C54,'Facilities'!$C$9:$C$108,0))),"Unavailable"))</x:f>
      </x:c>
      <x:c r="H54" s="23" t="str">
        <x:f>IF(C54="","",IFERROR(IF(INDEX('Facilities'!$AD$9:$AD$108,MATCH(C54,'Facilities'!$C$9:$C$108,0))=3,INDEX('Facilities'!$AA$9:$AA$108,MATCH(C54,'Facilities'!$C$9:$C$108,0)),0),"Unavailable"))</x:f>
      </x:c>
      <x:c r="I54" s="23" t="str">
        <x:f>IF(C54="","",IFERROR(INDEX('Facilities'!$AB$9:$AB$108,MATCH(C54,'Facilities'!$C$9:$C$108,0)),"Unavailable"))</x:f>
      </x:c>
      <x:c r="J54" s="23" t="str">
        <x:f>IF(C54="","",IFERROR(IF(OR(H54&gt;0,AND(AC54&gt;=0,AC54&lt;D54),D54&gt;INDEX('Facilities'!$J$9:$J$108,MATCH(C54,'Facilities'!$C$9:$C$108,0))),0,I54*'Scenario Paths'!F81),"Unavailable"))</x:f>
      </x:c>
      <x:c r="K54" s="23" t="str">
        <x:f>IF(C54="","",IFERROR(IF(OR(H54&gt;0,AND(AC54&gt;=0,AC54=D54)),0,IF(D54&gt;=INDEX('Facilities'!$J$9:$J$108,MATCH(C54,'Facilities'!$C$9:$C$108,0)),G54+J54,MIN(G54+J54,G54*INDEX('Facilities'!$R$9:$R$108,MATCH(C54,'Facilities'!$C$9:$C$108,0))))),"Unavailable"))</x:f>
      </x:c>
      <x:c r="L54" s="21" t="str">
        <x:f>IF(C54="","",IFERROR(IF(AND(AC54=D54,AC54&gt;0),MAX(0,G54+J54-K54),0),"Unavailable"))</x:f>
      </x:c>
      <x:c r="M54" s="23" t="str">
        <x:f>IF(C54="","",IFERROR(IF(AND(AC54&gt;=0,D54&gt;=AC54+INDEX('Facilities'!$AK$9:$AK$108,MATCH(C54,'Facilities'!$C$9:$C$108,0))),(H54+L54)*AM54,0),"Unavailable"))</x:f>
      </x:c>
      <x:c r="N54" s="23" t="str">
        <x:f>IF(C54="","",IFERROR(IF(AND(AC54&gt;=0,D54&gt;=AC54+INDEX('Facilities'!$AK$9:$AK$108,MATCH(C54,'Facilities'!$C$9:$C$108,0))),H54+L54-M54,0),"Unavailable"))</x:f>
      </x:c>
      <x:c r="O54" s="21" t="str">
        <x:f>IF(C54="","",IFERROR(MAX(0,G54+J54-K54-L54),"Unavailable"))</x:f>
      </x:c>
      <x:c r="P54" s="21" t="str">
        <x:f>IF(C54="","",IFERROR(MAX(0,H54+L54-M54-N54),"Unavailable"))</x:f>
      </x:c>
      <x:c r="Q54" s="23" t="str">
        <x:f>IF(C54="","",IFERROR(IF(OR(D54&gt;=INDEX('Facilities'!$J$9:$J$108,MATCH(C54,'Facilities'!$C$9:$C$108,0)),AND(AC54&gt;=0,AC54&lt;=D54)),0,MAX(0,I54-J54)),"Unavailable"))</x:f>
      </x:c>
      <x:c r="R54" s="30" t="str">
        <x:f>IF(C54="","",IFERROR(INDEX(Credit!$Q$9:$Q$108,MATCH(F54,Credit!$C$9:$C$108,0)),"Unavailable"))</x:f>
      </x:c>
      <x:c r="S54" s="30" t="str">
        <x:f>IF(C54="","",IFERROR(INDEX(Credit!$R$9:$R$108,MATCH(F54,Credit!$C$9:$C$108,0)),"Unavailable"))</x:f>
      </x:c>
      <x:c r="T54" s="23" t="str">
        <x:f>IF(C54="","",IFERROR(IF(P54&gt;0,3,IF(OR(INDEX('Facilities'!$AD$9:$AD$108,MATCH(C54,'Facilities'!$C$9:$C$108,0))=2,AND(R54&gt;=INDEX('Facilities'!$L$9:$L$108,MATCH(C54,'Facilities'!$C$9:$C$108,0))*Settings!$F$19,R54-INDEX('Facilities'!$L$9:$L$108,MATCH(C54,'Facilities'!$C$9:$C$108,0))&gt;=Settings!$F$20)),2,1)),"Unavailable"))</x:f>
      </x:c>
      <x:c r="U54" s="23" t="str">
        <x:f>IF(C54="","",IF(AQ54&lt;&gt;"Ready","Unavailable",IF(C54="","",O54*(1-(1-S54)/(1+INDEX('Facilities'!$K$9:$K$108,MATCH(C54,'Facilities'!$C$9:$C$108,0)))^INDEX('Facilities'!$AK$9:$AK$108,MATCH(C54,'Facilities'!$C$9:$C$108,0)))*R54/(1+INDEX('Facilities'!$K$9:$K$108,MATCH(C54,'Facilities'!$C$9:$C$108,0)))*IF(ABS(1-(1-R54)*(1-INDEX('Facilities'!$R$9:$R$108,MATCH(C54,'Facilities'!$C$9:$C$108,0)))/(1+INDEX('Facilities'!$K$9:$K$108,MATCH(C54,'Facilities'!$C$9:$C$108,0))))&lt;0.000000001,IF(T54=1,MIN(1,AJ54),AJ54),(1-((1-R54)*(1-INDEX('Facilities'!$R$9:$R$108,MATCH(C54,'Facilities'!$C$9:$C$108,0)))/(1+INDEX('Facilities'!$K$9:$K$108,MATCH(C54,'Facilities'!$C$9:$C$108,0))))^IF(T54=1,MIN(1,AJ54),AJ54))/(1-(1-R54)*(1-INDEX('Facilities'!$R$9:$R$108,MATCH(C54,'Facilities'!$C$9:$C$108,0)))/(1+INDEX('Facilities'!$K$9:$K$108,MATCH(C54,'Facilities'!$C$9:$C$108,0)))))+AL54)))</x:f>
      </x:c>
      <x:c r="V54" s="23" t="str">
        <x:f>IF(C54="","",IF(AQ54&lt;&gt;"Ready","Unavailable",IF(C54="","",Q54*INDEX('Facilities'!$I$9:$I$108,MATCH(C54,'Facilities'!$C$9:$C$108,0))*(1-(1-S54)/(1+INDEX('Facilities'!$K$9:$K$108,MATCH(C54,'Facilities'!$C$9:$C$108,0)))^INDEX('Facilities'!$AK$9:$AK$108,MATCH(C54,'Facilities'!$C$9:$C$108,0)))*R54/(1+INDEX('Facilities'!$K$9:$K$108,MATCH(C54,'Facilities'!$C$9:$C$108,0)))*IF(ABS(1-(1-R54)*(1-0)/(1+INDEX('Facilities'!$K$9:$K$108,MATCH(C54,'Facilities'!$C$9:$C$108,0))))&lt;0.000000001,IF(T54=1,MIN(1,AJ54),AJ54),(1-((1-R54)*(1-0)/(1+INDEX('Facilities'!$K$9:$K$108,MATCH(C54,'Facilities'!$C$9:$C$108,0))))^IF(T54=1,MIN(1,AJ54),AJ54))/(1-(1-R54)*(1-0)/(1+INDEX('Facilities'!$K$9:$K$108,MATCH(C54,'Facilities'!$C$9:$C$108,0))))))))</x:f>
      </x:c>
      <x:c r="W54" s="23" t="str">
        <x:f>IF(C54="","",IFERROR(INDEX(ECL!$AB$9:$AB$108,MATCH(C54,ECL!$C$9:$C$108,0)),"Unavailable"))</x:f>
      </x:c>
      <x:c r="X54" s="23" t="str">
        <x:f>IF(C54="","",IFERROR(INDEX(ECL!$AC$9:$AC$108,MATCH(C54,ECL!$C$9:$C$108,0)),"Unavailable"))</x:f>
      </x:c>
      <x:c r="Y54" s="21" t="str">
        <x:f>IF(C54="","",IF(AQ54&lt;&gt;"Ready","Unavailable",IF(C54="","",U54-W54+V54-X54+N54+AG54)))</x:f>
      </x:c>
      <x:c r="Z54" s="23" t="str">
        <x:f>IF(C54="","",IF(AQ54&lt;&gt;"Ready","Unavailable",IF(C54="","",(G54+O54+L54)/2*INDEX('Facilities'!$T$9:$T$108,MATCH(C54,'Facilities'!$C$9:$C$108,0))+AG54)))</x:f>
      </x:c>
      <x:c r="AA54" s="23" t="str">
        <x:f>IF(C54="","",IF(AQ54&lt;&gt;"Ready","Unavailable",IF(C54="","",O54*(1-IF(INDEX('Facilities'!$AA$9:$AA$108,MATCH(C54,'Facilities'!$C$9:$C$108,0))=0,0,MIN(1,INDEX('Facilities'!$X$9:$X$108,MATCH(C54,'Facilities'!$C$9:$C$108,0))/INDEX('Facilities'!$AA$9:$AA$108,MATCH(C54,'Facilities'!$C$9:$C$108,0)))))*AF54+P54*(1-IF(INDEX('Facilities'!$AA$9:$AA$108,MATCH(C54,'Facilities'!$C$9:$C$108,0))=0,0,MIN(1,INDEX('Facilities'!$X$9:$X$108,MATCH(C54,'Facilities'!$C$9:$C$108,0))/INDEX('Facilities'!$AA$9:$AA$108,MATCH(C54,'Facilities'!$C$9:$C$108,0)))))*INDEX('Facilities'!$AJ$9:$AJ$108,MATCH(C54,'Facilities'!$C$9:$C$108,0))+Q54*INDEX('Facilities'!$AI$9:$AI$108,MATCH(C54,'Facilities'!$C$9:$C$108,0))*AF54)))</x:f>
      </x:c>
      <x:c r="AB54" s="21" t="str">
        <x:f>IF(C54="","",O54+P54-AD54)</x:f>
      </x:c>
      <x:c r="AC54" s="23" t="str">
        <x:f>IF(C54="","",IFERROR(IF(INDEX('Facilities'!$AD$9:$AD$108,MATCH(C54,'Facilities'!$C$9:$C$108,0))=3,0,IF(INDEX('Facilities'!$AN$9:$AN$108,MATCH(C54,'Facilities'!$C$9:$C$108,0))=0,-1,INDEX('Facilities'!$AN$9:$AN$108,MATCH(C54,'Facilities'!$C$9:$C$108,0)))),"Unavailable"))</x:f>
      </x:c>
      <x:c r="AD54" s="21" t="str">
        <x:f>IF(C54="","",IFERROR(G54+H54,"Unavailable"))</x:f>
      </x:c>
      <x:c r="AE54" s="21" t="str">
        <x:f>IF(C54="","",IF(AQ54&lt;&gt;"Ready","Unavailable",IF(C54="","",O54+P54-AD54-J54+K54+M54+N54)))</x:f>
      </x:c>
      <x:c r="AF54" s="30" t="str">
        <x:f>IF(C54="","",IFERROR(INDEX('Facilities'!$S$9:$S$108,MATCH(C54,'Facilities'!$C$9:$C$108,0))*'Scenario Paths'!F75,"Unavailable"))</x:f>
      </x:c>
      <x:c r="AG54" s="23" t="str">
        <x:f>IF(C54="","",IF(AQ54&lt;&gt;"Ready","Unavailable",IF(C54="","",IF(H54&gt;0,MAX(0,H54-AK54)*((1+INDEX('Facilities'!$K$9:$K$108,MATCH(C54,'Facilities'!$C$9:$C$108,0)))^MIN(1,MAX(0,AC54+INDEX('Facilities'!$AK$9:$AK$108,MATCH(C54,'Facilities'!$C$9:$C$108,0))-D54+1))-1),0))))</x:f>
      </x:c>
      <x:c r="AH54" s="21" t="str">
        <x:f>IF(C54="","",IF(AQ54&lt;&gt;"Ready","Unavailable",IF(C54="","",O54+P54)))</x:f>
      </x:c>
      <x:c r="AI54" s="21" t="str">
        <x:f>IF(C54="","",IF(AQ54&lt;&gt;"Ready","Unavailable",IF(C54="","",Z54-Y54)))</x:f>
      </x:c>
      <x:c r="AJ54" s="23" t="str">
        <x:f>IF(C54="","",IFERROR(MAX(0,INDEX('Facilities'!$J$9:$J$108,MATCH(C54,'Facilities'!$C$9:$C$108,0))-D54),"Unavailable"))</x:f>
      </x:c>
      <x:c r="AK54" s="23" t="str">
        <x:f>IF(C54="","",IFERROR(IF(INDEX('Facilities'!$AD$9:$AD$108,MATCH(C54,'Facilities'!$C$9:$C$108,0))=3,W54,0),"Unavailable"))</x:f>
      </x:c>
      <x:c r="AL54" s="23" t="str">
        <x:f>IF(C54="","",IFERROR(IF(P54&gt;0,P54*(1-AM54/(1+INDEX('Facilities'!$K$9:$K$108,MATCH(C54,'Facilities'!$C$9:$C$108,0)))^MAX(0,AC54+INDEX('Facilities'!$AK$9:$AK$108,MATCH(C54,'Facilities'!$C$9:$C$108,0))-D54)),0),"Unavailable"))</x:f>
      </x:c>
      <x:c r="AM54" s="30" t="str">
        <x:f>IF(C54="","",IFERROR(INDEX('Facilities'!$AL$9:$AL$108,MATCH(C54,'Facilities'!$C$9:$C$108,0)),"Unavailable"))</x:f>
      </x:c>
      <x:c r="AN54" s="30" t="str">
        <x:f>IF(C54="","",IFERROR(INDEX(Credit!$T$9:$T$108,MATCH(F54,Credit!$C$9:$C$108,0)),"Unavailable"))</x:f>
      </x:c>
      <x:c r="AO54" s="23" t="str">
        <x:f>IF(C54="","",IF(AQ54&lt;&gt;"Ready","Unavailable",IF(C54="","",O54+P54+Q54*INDEX('Facilities'!$I$9:$I$108,MATCH(C54,'Facilities'!$C$9:$C$108,0)))))</x:f>
      </x:c>
      <x:c r="AP54" s="21" t="str">
        <x:f>IF(C54="","",IF(AQ54&lt;&gt;"Ready","Unavailable",IF(C54="","",AH54-U54)))</x:f>
      </x:c>
      <x:c r="AQ54" s="23" t="str">
        <x:f>IFERROR(IF(C54="","",IF(AND(INDEX('Facilities'!$AF$9:$AF$108,MATCH(C54,'Facilities'!$C$9:$C$108,0))="Ready",INDEX(Credit!$U$9:$U$108,MATCH(F54,Credit!$C$9:$C$108,0))="Ready",ISNUMBER(W54)),"Ready","Review inputs")),"Review inputs")</x:f>
      </x:c>
      <x:c r="AR54" s="23" t="str">
        <x:f>IF(C54="","",IF(AQ54&lt;&gt;"Ready","Unavailable",IF(C54="","",IF(O54=0,0,(IF(AJ54&lt;=1,O54,O54*INDEX('Facilities'!$R$9:$R$108,MATCH(C54,'Facilities'!$C$9:$C$108,0)))+O54*INDEX('Facilities'!$T$9:$T$108,MATCH(C54,'Facilities'!$C$9:$C$108,0)))/12))))</x:f>
      </x:c>
    </x:row>
    <x:row r="55" ht="26" customHeight="1">
      <x:c r="A55" s="1"/>
      <x:c r="B55" s="1"/>
      <x:c r="C55" s="9" t="str">
        <x:f>IF(Facilities!C55="","",Facilities!C55)</x:f>
      </x:c>
      <x:c r="D55" s="3" t="n">
        <x:v>1</x:v>
      </x:c>
      <x:c r="E55" s="9" t="n">
        <x:f>Settings!$F$18+0</x:f>
        <x:v>2027</x:v>
      </x:c>
      <x:c r="F55" s="9" t="str">
        <x:f>IF(C55="","",IFERROR(INDEX('Facilities'!$D$9:$D$108,MATCH(C55,'Facilities'!$C$9:$C$108,0)),"Unavailable"))</x:f>
      </x:c>
      <x:c r="G55" s="23" t="str">
        <x:f>IF(C55="","",IFERROR(IF(INDEX('Facilities'!$AD$9:$AD$108,MATCH(C55,'Facilities'!$C$9:$C$108,0))=3,0,INDEX('Facilities'!$AA$9:$AA$108,MATCH(C55,'Facilities'!$C$9:$C$108,0))),"Unavailable"))</x:f>
      </x:c>
      <x:c r="H55" s="23" t="str">
        <x:f>IF(C55="","",IFERROR(IF(INDEX('Facilities'!$AD$9:$AD$108,MATCH(C55,'Facilities'!$C$9:$C$108,0))=3,INDEX('Facilities'!$AA$9:$AA$108,MATCH(C55,'Facilities'!$C$9:$C$108,0)),0),"Unavailable"))</x:f>
      </x:c>
      <x:c r="I55" s="23" t="str">
        <x:f>IF(C55="","",IFERROR(INDEX('Facilities'!$AB$9:$AB$108,MATCH(C55,'Facilities'!$C$9:$C$108,0)),"Unavailable"))</x:f>
      </x:c>
      <x:c r="J55" s="23" t="str">
        <x:f>IF(C55="","",IFERROR(IF(OR(H55&gt;0,AND(AC55&gt;=0,AC55&lt;D55),D55&gt;INDEX('Facilities'!$J$9:$J$108,MATCH(C55,'Facilities'!$C$9:$C$108,0))),0,I55*'Scenario Paths'!F81),"Unavailable"))</x:f>
      </x:c>
      <x:c r="K55" s="23" t="str">
        <x:f>IF(C55="","",IFERROR(IF(OR(H55&gt;0,AND(AC55&gt;=0,AC55=D55)),0,IF(D55&gt;=INDEX('Facilities'!$J$9:$J$108,MATCH(C55,'Facilities'!$C$9:$C$108,0)),G55+J55,MIN(G55+J55,G55*INDEX('Facilities'!$R$9:$R$108,MATCH(C55,'Facilities'!$C$9:$C$108,0))))),"Unavailable"))</x:f>
      </x:c>
      <x:c r="L55" s="21" t="str">
        <x:f>IF(C55="","",IFERROR(IF(AND(AC55=D55,AC55&gt;0),MAX(0,G55+J55-K55),0),"Unavailable"))</x:f>
      </x:c>
      <x:c r="M55" s="23" t="str">
        <x:f>IF(C55="","",IFERROR(IF(AND(AC55&gt;=0,D55&gt;=AC55+INDEX('Facilities'!$AK$9:$AK$108,MATCH(C55,'Facilities'!$C$9:$C$108,0))),(H55+L55)*AM55,0),"Unavailable"))</x:f>
      </x:c>
      <x:c r="N55" s="23" t="str">
        <x:f>IF(C55="","",IFERROR(IF(AND(AC55&gt;=0,D55&gt;=AC55+INDEX('Facilities'!$AK$9:$AK$108,MATCH(C55,'Facilities'!$C$9:$C$108,0))),H55+L55-M55,0),"Unavailable"))</x:f>
      </x:c>
      <x:c r="O55" s="21" t="str">
        <x:f>IF(C55="","",IFERROR(MAX(0,G55+J55-K55-L55),"Unavailable"))</x:f>
      </x:c>
      <x:c r="P55" s="21" t="str">
        <x:f>IF(C55="","",IFERROR(MAX(0,H55+L55-M55-N55),"Unavailable"))</x:f>
      </x:c>
      <x:c r="Q55" s="23" t="str">
        <x:f>IF(C55="","",IFERROR(IF(OR(D55&gt;=INDEX('Facilities'!$J$9:$J$108,MATCH(C55,'Facilities'!$C$9:$C$108,0)),AND(AC55&gt;=0,AC55&lt;=D55)),0,MAX(0,I55-J55)),"Unavailable"))</x:f>
      </x:c>
      <x:c r="R55" s="30" t="str">
        <x:f>IF(C55="","",IFERROR(INDEX(Credit!$Q$9:$Q$108,MATCH(F55,Credit!$C$9:$C$108,0)),"Unavailable"))</x:f>
      </x:c>
      <x:c r="S55" s="30" t="str">
        <x:f>IF(C55="","",IFERROR(INDEX(Credit!$R$9:$R$108,MATCH(F55,Credit!$C$9:$C$108,0)),"Unavailable"))</x:f>
      </x:c>
      <x:c r="T55" s="23" t="str">
        <x:f>IF(C55="","",IFERROR(IF(P55&gt;0,3,IF(OR(INDEX('Facilities'!$AD$9:$AD$108,MATCH(C55,'Facilities'!$C$9:$C$108,0))=2,AND(R55&gt;=INDEX('Facilities'!$L$9:$L$108,MATCH(C55,'Facilities'!$C$9:$C$108,0))*Settings!$F$19,R55-INDEX('Facilities'!$L$9:$L$108,MATCH(C55,'Facilities'!$C$9:$C$108,0))&gt;=Settings!$F$20)),2,1)),"Unavailable"))</x:f>
      </x:c>
      <x:c r="U55" s="23" t="str">
        <x:f>IF(C55="","",IF(AQ55&lt;&gt;"Ready","Unavailable",IF(C55="","",O55*(1-(1-S55)/(1+INDEX('Facilities'!$K$9:$K$108,MATCH(C55,'Facilities'!$C$9:$C$108,0)))^INDEX('Facilities'!$AK$9:$AK$108,MATCH(C55,'Facilities'!$C$9:$C$108,0)))*R55/(1+INDEX('Facilities'!$K$9:$K$108,MATCH(C55,'Facilities'!$C$9:$C$108,0)))*IF(ABS(1-(1-R55)*(1-INDEX('Facilities'!$R$9:$R$108,MATCH(C55,'Facilities'!$C$9:$C$108,0)))/(1+INDEX('Facilities'!$K$9:$K$108,MATCH(C55,'Facilities'!$C$9:$C$108,0))))&lt;0.000000001,IF(T55=1,MIN(1,AJ55),AJ55),(1-((1-R55)*(1-INDEX('Facilities'!$R$9:$R$108,MATCH(C55,'Facilities'!$C$9:$C$108,0)))/(1+INDEX('Facilities'!$K$9:$K$108,MATCH(C55,'Facilities'!$C$9:$C$108,0))))^IF(T55=1,MIN(1,AJ55),AJ55))/(1-(1-R55)*(1-INDEX('Facilities'!$R$9:$R$108,MATCH(C55,'Facilities'!$C$9:$C$108,0)))/(1+INDEX('Facilities'!$K$9:$K$108,MATCH(C55,'Facilities'!$C$9:$C$108,0)))))+AL55)))</x:f>
      </x:c>
      <x:c r="V55" s="23" t="str">
        <x:f>IF(C55="","",IF(AQ55&lt;&gt;"Ready","Unavailable",IF(C55="","",Q55*INDEX('Facilities'!$I$9:$I$108,MATCH(C55,'Facilities'!$C$9:$C$108,0))*(1-(1-S55)/(1+INDEX('Facilities'!$K$9:$K$108,MATCH(C55,'Facilities'!$C$9:$C$108,0)))^INDEX('Facilities'!$AK$9:$AK$108,MATCH(C55,'Facilities'!$C$9:$C$108,0)))*R55/(1+INDEX('Facilities'!$K$9:$K$108,MATCH(C55,'Facilities'!$C$9:$C$108,0)))*IF(ABS(1-(1-R55)*(1-0)/(1+INDEX('Facilities'!$K$9:$K$108,MATCH(C55,'Facilities'!$C$9:$C$108,0))))&lt;0.000000001,IF(T55=1,MIN(1,AJ55),AJ55),(1-((1-R55)*(1-0)/(1+INDEX('Facilities'!$K$9:$K$108,MATCH(C55,'Facilities'!$C$9:$C$108,0))))^IF(T55=1,MIN(1,AJ55),AJ55))/(1-(1-R55)*(1-0)/(1+INDEX('Facilities'!$K$9:$K$108,MATCH(C55,'Facilities'!$C$9:$C$108,0))))))))</x:f>
      </x:c>
      <x:c r="W55" s="23" t="str">
        <x:f>IF(C55="","",IFERROR(INDEX(ECL!$AB$9:$AB$108,MATCH(C55,ECL!$C$9:$C$108,0)),"Unavailable"))</x:f>
      </x:c>
      <x:c r="X55" s="23" t="str">
        <x:f>IF(C55="","",IFERROR(INDEX(ECL!$AC$9:$AC$108,MATCH(C55,ECL!$C$9:$C$108,0)),"Unavailable"))</x:f>
      </x:c>
      <x:c r="Y55" s="21" t="str">
        <x:f>IF(C55="","",IF(AQ55&lt;&gt;"Ready","Unavailable",IF(C55="","",U55-W55+V55-X55+N55+AG55)))</x:f>
      </x:c>
      <x:c r="Z55" s="23" t="str">
        <x:f>IF(C55="","",IF(AQ55&lt;&gt;"Ready","Unavailable",IF(C55="","",(G55+O55+L55)/2*INDEX('Facilities'!$T$9:$T$108,MATCH(C55,'Facilities'!$C$9:$C$108,0))+AG55)))</x:f>
      </x:c>
      <x:c r="AA55" s="23" t="str">
        <x:f>IF(C55="","",IF(AQ55&lt;&gt;"Ready","Unavailable",IF(C55="","",O55*(1-IF(INDEX('Facilities'!$AA$9:$AA$108,MATCH(C55,'Facilities'!$C$9:$C$108,0))=0,0,MIN(1,INDEX('Facilities'!$X$9:$X$108,MATCH(C55,'Facilities'!$C$9:$C$108,0))/INDEX('Facilities'!$AA$9:$AA$108,MATCH(C55,'Facilities'!$C$9:$C$108,0)))))*AF55+P55*(1-IF(INDEX('Facilities'!$AA$9:$AA$108,MATCH(C55,'Facilities'!$C$9:$C$108,0))=0,0,MIN(1,INDEX('Facilities'!$X$9:$X$108,MATCH(C55,'Facilities'!$C$9:$C$108,0))/INDEX('Facilities'!$AA$9:$AA$108,MATCH(C55,'Facilities'!$C$9:$C$108,0)))))*INDEX('Facilities'!$AJ$9:$AJ$108,MATCH(C55,'Facilities'!$C$9:$C$108,0))+Q55*INDEX('Facilities'!$AI$9:$AI$108,MATCH(C55,'Facilities'!$C$9:$C$108,0))*AF55)))</x:f>
      </x:c>
      <x:c r="AB55" s="21" t="str">
        <x:f>IF(C55="","",O55+P55-AD55)</x:f>
      </x:c>
      <x:c r="AC55" s="23" t="str">
        <x:f>IF(C55="","",IFERROR(IF(INDEX('Facilities'!$AD$9:$AD$108,MATCH(C55,'Facilities'!$C$9:$C$108,0))=3,0,IF(INDEX('Facilities'!$AN$9:$AN$108,MATCH(C55,'Facilities'!$C$9:$C$108,0))=0,-1,INDEX('Facilities'!$AN$9:$AN$108,MATCH(C55,'Facilities'!$C$9:$C$108,0)))),"Unavailable"))</x:f>
      </x:c>
      <x:c r="AD55" s="21" t="str">
        <x:f>IF(C55="","",IFERROR(G55+H55,"Unavailable"))</x:f>
      </x:c>
      <x:c r="AE55" s="21" t="str">
        <x:f>IF(C55="","",IF(AQ55&lt;&gt;"Ready","Unavailable",IF(C55="","",O55+P55-AD55-J55+K55+M55+N55)))</x:f>
      </x:c>
      <x:c r="AF55" s="30" t="str">
        <x:f>IF(C55="","",IFERROR(INDEX('Facilities'!$S$9:$S$108,MATCH(C55,'Facilities'!$C$9:$C$108,0))*'Scenario Paths'!F75,"Unavailable"))</x:f>
      </x:c>
      <x:c r="AG55" s="23" t="str">
        <x:f>IF(C55="","",IF(AQ55&lt;&gt;"Ready","Unavailable",IF(C55="","",IF(H55&gt;0,MAX(0,H55-AK55)*((1+INDEX('Facilities'!$K$9:$K$108,MATCH(C55,'Facilities'!$C$9:$C$108,0)))^MIN(1,MAX(0,AC55+INDEX('Facilities'!$AK$9:$AK$108,MATCH(C55,'Facilities'!$C$9:$C$108,0))-D55+1))-1),0))))</x:f>
      </x:c>
      <x:c r="AH55" s="21" t="str">
        <x:f>IF(C55="","",IF(AQ55&lt;&gt;"Ready","Unavailable",IF(C55="","",O55+P55)))</x:f>
      </x:c>
      <x:c r="AI55" s="21" t="str">
        <x:f>IF(C55="","",IF(AQ55&lt;&gt;"Ready","Unavailable",IF(C55="","",Z55-Y55)))</x:f>
      </x:c>
      <x:c r="AJ55" s="23" t="str">
        <x:f>IF(C55="","",IFERROR(MAX(0,INDEX('Facilities'!$J$9:$J$108,MATCH(C55,'Facilities'!$C$9:$C$108,0))-D55),"Unavailable"))</x:f>
      </x:c>
      <x:c r="AK55" s="23" t="str">
        <x:f>IF(C55="","",IFERROR(IF(INDEX('Facilities'!$AD$9:$AD$108,MATCH(C55,'Facilities'!$C$9:$C$108,0))=3,W55,0),"Unavailable"))</x:f>
      </x:c>
      <x:c r="AL55" s="23" t="str">
        <x:f>IF(C55="","",IFERROR(IF(P55&gt;0,P55*(1-AM55/(1+INDEX('Facilities'!$K$9:$K$108,MATCH(C55,'Facilities'!$C$9:$C$108,0)))^MAX(0,AC55+INDEX('Facilities'!$AK$9:$AK$108,MATCH(C55,'Facilities'!$C$9:$C$108,0))-D55)),0),"Unavailable"))</x:f>
      </x:c>
      <x:c r="AM55" s="30" t="str">
        <x:f>IF(C55="","",IFERROR(INDEX('Facilities'!$AL$9:$AL$108,MATCH(C55,'Facilities'!$C$9:$C$108,0)),"Unavailable"))</x:f>
      </x:c>
      <x:c r="AN55" s="30" t="str">
        <x:f>IF(C55="","",IFERROR(INDEX(Credit!$T$9:$T$108,MATCH(F55,Credit!$C$9:$C$108,0)),"Unavailable"))</x:f>
      </x:c>
      <x:c r="AO55" s="23" t="str">
        <x:f>IF(C55="","",IF(AQ55&lt;&gt;"Ready","Unavailable",IF(C55="","",O55+P55+Q55*INDEX('Facilities'!$I$9:$I$108,MATCH(C55,'Facilities'!$C$9:$C$108,0)))))</x:f>
      </x:c>
      <x:c r="AP55" s="21" t="str">
        <x:f>IF(C55="","",IF(AQ55&lt;&gt;"Ready","Unavailable",IF(C55="","",AH55-U55)))</x:f>
      </x:c>
      <x:c r="AQ55" s="23" t="str">
        <x:f>IFERROR(IF(C55="","",IF(AND(INDEX('Facilities'!$AF$9:$AF$108,MATCH(C55,'Facilities'!$C$9:$C$108,0))="Ready",INDEX(Credit!$U$9:$U$108,MATCH(F55,Credit!$C$9:$C$108,0))="Ready",ISNUMBER(W55)),"Ready","Review inputs")),"Review inputs")</x:f>
      </x:c>
      <x:c r="AR55" s="23" t="str">
        <x:f>IF(C55="","",IF(AQ55&lt;&gt;"Ready","Unavailable",IF(C55="","",IF(O55=0,0,(IF(AJ55&lt;=1,O55,O55*INDEX('Facilities'!$R$9:$R$108,MATCH(C55,'Facilities'!$C$9:$C$108,0)))+O55*INDEX('Facilities'!$T$9:$T$108,MATCH(C55,'Facilities'!$C$9:$C$108,0)))/12))))</x:f>
      </x:c>
    </x:row>
    <x:row r="56" ht="26" customHeight="1">
      <x:c r="A56" s="1"/>
      <x:c r="B56" s="1"/>
      <x:c r="C56" s="9" t="str">
        <x:f>IF(Facilities!C56="","",Facilities!C56)</x:f>
      </x:c>
      <x:c r="D56" s="3" t="n">
        <x:v>1</x:v>
      </x:c>
      <x:c r="E56" s="9" t="n">
        <x:f>Settings!$F$18+0</x:f>
        <x:v>2027</x:v>
      </x:c>
      <x:c r="F56" s="9" t="str">
        <x:f>IF(C56="","",IFERROR(INDEX('Facilities'!$D$9:$D$108,MATCH(C56,'Facilities'!$C$9:$C$108,0)),"Unavailable"))</x:f>
      </x:c>
      <x:c r="G56" s="23" t="str">
        <x:f>IF(C56="","",IFERROR(IF(INDEX('Facilities'!$AD$9:$AD$108,MATCH(C56,'Facilities'!$C$9:$C$108,0))=3,0,INDEX('Facilities'!$AA$9:$AA$108,MATCH(C56,'Facilities'!$C$9:$C$108,0))),"Unavailable"))</x:f>
      </x:c>
      <x:c r="H56" s="23" t="str">
        <x:f>IF(C56="","",IFERROR(IF(INDEX('Facilities'!$AD$9:$AD$108,MATCH(C56,'Facilities'!$C$9:$C$108,0))=3,INDEX('Facilities'!$AA$9:$AA$108,MATCH(C56,'Facilities'!$C$9:$C$108,0)),0),"Unavailable"))</x:f>
      </x:c>
      <x:c r="I56" s="23" t="str">
        <x:f>IF(C56="","",IFERROR(INDEX('Facilities'!$AB$9:$AB$108,MATCH(C56,'Facilities'!$C$9:$C$108,0)),"Unavailable"))</x:f>
      </x:c>
      <x:c r="J56" s="23" t="str">
        <x:f>IF(C56="","",IFERROR(IF(OR(H56&gt;0,AND(AC56&gt;=0,AC56&lt;D56),D56&gt;INDEX('Facilities'!$J$9:$J$108,MATCH(C56,'Facilities'!$C$9:$C$108,0))),0,I56*'Scenario Paths'!F81),"Unavailable"))</x:f>
      </x:c>
      <x:c r="K56" s="23" t="str">
        <x:f>IF(C56="","",IFERROR(IF(OR(H56&gt;0,AND(AC56&gt;=0,AC56=D56)),0,IF(D56&gt;=INDEX('Facilities'!$J$9:$J$108,MATCH(C56,'Facilities'!$C$9:$C$108,0)),G56+J56,MIN(G56+J56,G56*INDEX('Facilities'!$R$9:$R$108,MATCH(C56,'Facilities'!$C$9:$C$108,0))))),"Unavailable"))</x:f>
      </x:c>
      <x:c r="L56" s="21" t="str">
        <x:f>IF(C56="","",IFERROR(IF(AND(AC56=D56,AC56&gt;0),MAX(0,G56+J56-K56),0),"Unavailable"))</x:f>
      </x:c>
      <x:c r="M56" s="23" t="str">
        <x:f>IF(C56="","",IFERROR(IF(AND(AC56&gt;=0,D56&gt;=AC56+INDEX('Facilities'!$AK$9:$AK$108,MATCH(C56,'Facilities'!$C$9:$C$108,0))),(H56+L56)*AM56,0),"Unavailable"))</x:f>
      </x:c>
      <x:c r="N56" s="23" t="str">
        <x:f>IF(C56="","",IFERROR(IF(AND(AC56&gt;=0,D56&gt;=AC56+INDEX('Facilities'!$AK$9:$AK$108,MATCH(C56,'Facilities'!$C$9:$C$108,0))),H56+L56-M56,0),"Unavailable"))</x:f>
      </x:c>
      <x:c r="O56" s="21" t="str">
        <x:f>IF(C56="","",IFERROR(MAX(0,G56+J56-K56-L56),"Unavailable"))</x:f>
      </x:c>
      <x:c r="P56" s="21" t="str">
        <x:f>IF(C56="","",IFERROR(MAX(0,H56+L56-M56-N56),"Unavailable"))</x:f>
      </x:c>
      <x:c r="Q56" s="23" t="str">
        <x:f>IF(C56="","",IFERROR(IF(OR(D56&gt;=INDEX('Facilities'!$J$9:$J$108,MATCH(C56,'Facilities'!$C$9:$C$108,0)),AND(AC56&gt;=0,AC56&lt;=D56)),0,MAX(0,I56-J56)),"Unavailable"))</x:f>
      </x:c>
      <x:c r="R56" s="30" t="str">
        <x:f>IF(C56="","",IFERROR(INDEX(Credit!$Q$9:$Q$108,MATCH(F56,Credit!$C$9:$C$108,0)),"Unavailable"))</x:f>
      </x:c>
      <x:c r="S56" s="30" t="str">
        <x:f>IF(C56="","",IFERROR(INDEX(Credit!$R$9:$R$108,MATCH(F56,Credit!$C$9:$C$108,0)),"Unavailable"))</x:f>
      </x:c>
      <x:c r="T56" s="23" t="str">
        <x:f>IF(C56="","",IFERROR(IF(P56&gt;0,3,IF(OR(INDEX('Facilities'!$AD$9:$AD$108,MATCH(C56,'Facilities'!$C$9:$C$108,0))=2,AND(R56&gt;=INDEX('Facilities'!$L$9:$L$108,MATCH(C56,'Facilities'!$C$9:$C$108,0))*Settings!$F$19,R56-INDEX('Facilities'!$L$9:$L$108,MATCH(C56,'Facilities'!$C$9:$C$108,0))&gt;=Settings!$F$20)),2,1)),"Unavailable"))</x:f>
      </x:c>
      <x:c r="U56" s="23" t="str">
        <x:f>IF(C56="","",IF(AQ56&lt;&gt;"Ready","Unavailable",IF(C56="","",O56*(1-(1-S56)/(1+INDEX('Facilities'!$K$9:$K$108,MATCH(C56,'Facilities'!$C$9:$C$108,0)))^INDEX('Facilities'!$AK$9:$AK$108,MATCH(C56,'Facilities'!$C$9:$C$108,0)))*R56/(1+INDEX('Facilities'!$K$9:$K$108,MATCH(C56,'Facilities'!$C$9:$C$108,0)))*IF(ABS(1-(1-R56)*(1-INDEX('Facilities'!$R$9:$R$108,MATCH(C56,'Facilities'!$C$9:$C$108,0)))/(1+INDEX('Facilities'!$K$9:$K$108,MATCH(C56,'Facilities'!$C$9:$C$108,0))))&lt;0.000000001,IF(T56=1,MIN(1,AJ56),AJ56),(1-((1-R56)*(1-INDEX('Facilities'!$R$9:$R$108,MATCH(C56,'Facilities'!$C$9:$C$108,0)))/(1+INDEX('Facilities'!$K$9:$K$108,MATCH(C56,'Facilities'!$C$9:$C$108,0))))^IF(T56=1,MIN(1,AJ56),AJ56))/(1-(1-R56)*(1-INDEX('Facilities'!$R$9:$R$108,MATCH(C56,'Facilities'!$C$9:$C$108,0)))/(1+INDEX('Facilities'!$K$9:$K$108,MATCH(C56,'Facilities'!$C$9:$C$108,0)))))+AL56)))</x:f>
      </x:c>
      <x:c r="V56" s="23" t="str">
        <x:f>IF(C56="","",IF(AQ56&lt;&gt;"Ready","Unavailable",IF(C56="","",Q56*INDEX('Facilities'!$I$9:$I$108,MATCH(C56,'Facilities'!$C$9:$C$108,0))*(1-(1-S56)/(1+INDEX('Facilities'!$K$9:$K$108,MATCH(C56,'Facilities'!$C$9:$C$108,0)))^INDEX('Facilities'!$AK$9:$AK$108,MATCH(C56,'Facilities'!$C$9:$C$108,0)))*R56/(1+INDEX('Facilities'!$K$9:$K$108,MATCH(C56,'Facilities'!$C$9:$C$108,0)))*IF(ABS(1-(1-R56)*(1-0)/(1+INDEX('Facilities'!$K$9:$K$108,MATCH(C56,'Facilities'!$C$9:$C$108,0))))&lt;0.000000001,IF(T56=1,MIN(1,AJ56),AJ56),(1-((1-R56)*(1-0)/(1+INDEX('Facilities'!$K$9:$K$108,MATCH(C56,'Facilities'!$C$9:$C$108,0))))^IF(T56=1,MIN(1,AJ56),AJ56))/(1-(1-R56)*(1-0)/(1+INDEX('Facilities'!$K$9:$K$108,MATCH(C56,'Facilities'!$C$9:$C$108,0))))))))</x:f>
      </x:c>
      <x:c r="W56" s="23" t="str">
        <x:f>IF(C56="","",IFERROR(INDEX(ECL!$AB$9:$AB$108,MATCH(C56,ECL!$C$9:$C$108,0)),"Unavailable"))</x:f>
      </x:c>
      <x:c r="X56" s="23" t="str">
        <x:f>IF(C56="","",IFERROR(INDEX(ECL!$AC$9:$AC$108,MATCH(C56,ECL!$C$9:$C$108,0)),"Unavailable"))</x:f>
      </x:c>
      <x:c r="Y56" s="21" t="str">
        <x:f>IF(C56="","",IF(AQ56&lt;&gt;"Ready","Unavailable",IF(C56="","",U56-W56+V56-X56+N56+AG56)))</x:f>
      </x:c>
      <x:c r="Z56" s="23" t="str">
        <x:f>IF(C56="","",IF(AQ56&lt;&gt;"Ready","Unavailable",IF(C56="","",(G56+O56+L56)/2*INDEX('Facilities'!$T$9:$T$108,MATCH(C56,'Facilities'!$C$9:$C$108,0))+AG56)))</x:f>
      </x:c>
      <x:c r="AA56" s="23" t="str">
        <x:f>IF(C56="","",IF(AQ56&lt;&gt;"Ready","Unavailable",IF(C56="","",O56*(1-IF(INDEX('Facilities'!$AA$9:$AA$108,MATCH(C56,'Facilities'!$C$9:$C$108,0))=0,0,MIN(1,INDEX('Facilities'!$X$9:$X$108,MATCH(C56,'Facilities'!$C$9:$C$108,0))/INDEX('Facilities'!$AA$9:$AA$108,MATCH(C56,'Facilities'!$C$9:$C$108,0)))))*AF56+P56*(1-IF(INDEX('Facilities'!$AA$9:$AA$108,MATCH(C56,'Facilities'!$C$9:$C$108,0))=0,0,MIN(1,INDEX('Facilities'!$X$9:$X$108,MATCH(C56,'Facilities'!$C$9:$C$108,0))/INDEX('Facilities'!$AA$9:$AA$108,MATCH(C56,'Facilities'!$C$9:$C$108,0)))))*INDEX('Facilities'!$AJ$9:$AJ$108,MATCH(C56,'Facilities'!$C$9:$C$108,0))+Q56*INDEX('Facilities'!$AI$9:$AI$108,MATCH(C56,'Facilities'!$C$9:$C$108,0))*AF56)))</x:f>
      </x:c>
      <x:c r="AB56" s="21" t="str">
        <x:f>IF(C56="","",O56+P56-AD56)</x:f>
      </x:c>
      <x:c r="AC56" s="23" t="str">
        <x:f>IF(C56="","",IFERROR(IF(INDEX('Facilities'!$AD$9:$AD$108,MATCH(C56,'Facilities'!$C$9:$C$108,0))=3,0,IF(INDEX('Facilities'!$AN$9:$AN$108,MATCH(C56,'Facilities'!$C$9:$C$108,0))=0,-1,INDEX('Facilities'!$AN$9:$AN$108,MATCH(C56,'Facilities'!$C$9:$C$108,0)))),"Unavailable"))</x:f>
      </x:c>
      <x:c r="AD56" s="21" t="str">
        <x:f>IF(C56="","",IFERROR(G56+H56,"Unavailable"))</x:f>
      </x:c>
      <x:c r="AE56" s="21" t="str">
        <x:f>IF(C56="","",IF(AQ56&lt;&gt;"Ready","Unavailable",IF(C56="","",O56+P56-AD56-J56+K56+M56+N56)))</x:f>
      </x:c>
      <x:c r="AF56" s="30" t="str">
        <x:f>IF(C56="","",IFERROR(INDEX('Facilities'!$S$9:$S$108,MATCH(C56,'Facilities'!$C$9:$C$108,0))*'Scenario Paths'!F75,"Unavailable"))</x:f>
      </x:c>
      <x:c r="AG56" s="23" t="str">
        <x:f>IF(C56="","",IF(AQ56&lt;&gt;"Ready","Unavailable",IF(C56="","",IF(H56&gt;0,MAX(0,H56-AK56)*((1+INDEX('Facilities'!$K$9:$K$108,MATCH(C56,'Facilities'!$C$9:$C$108,0)))^MIN(1,MAX(0,AC56+INDEX('Facilities'!$AK$9:$AK$108,MATCH(C56,'Facilities'!$C$9:$C$108,0))-D56+1))-1),0))))</x:f>
      </x:c>
      <x:c r="AH56" s="21" t="str">
        <x:f>IF(C56="","",IF(AQ56&lt;&gt;"Ready","Unavailable",IF(C56="","",O56+P56)))</x:f>
      </x:c>
      <x:c r="AI56" s="21" t="str">
        <x:f>IF(C56="","",IF(AQ56&lt;&gt;"Ready","Unavailable",IF(C56="","",Z56-Y56)))</x:f>
      </x:c>
      <x:c r="AJ56" s="23" t="str">
        <x:f>IF(C56="","",IFERROR(MAX(0,INDEX('Facilities'!$J$9:$J$108,MATCH(C56,'Facilities'!$C$9:$C$108,0))-D56),"Unavailable"))</x:f>
      </x:c>
      <x:c r="AK56" s="23" t="str">
        <x:f>IF(C56="","",IFERROR(IF(INDEX('Facilities'!$AD$9:$AD$108,MATCH(C56,'Facilities'!$C$9:$C$108,0))=3,W56,0),"Unavailable"))</x:f>
      </x:c>
      <x:c r="AL56" s="23" t="str">
        <x:f>IF(C56="","",IFERROR(IF(P56&gt;0,P56*(1-AM56/(1+INDEX('Facilities'!$K$9:$K$108,MATCH(C56,'Facilities'!$C$9:$C$108,0)))^MAX(0,AC56+INDEX('Facilities'!$AK$9:$AK$108,MATCH(C56,'Facilities'!$C$9:$C$108,0))-D56)),0),"Unavailable"))</x:f>
      </x:c>
      <x:c r="AM56" s="30" t="str">
        <x:f>IF(C56="","",IFERROR(INDEX('Facilities'!$AL$9:$AL$108,MATCH(C56,'Facilities'!$C$9:$C$108,0)),"Unavailable"))</x:f>
      </x:c>
      <x:c r="AN56" s="30" t="str">
        <x:f>IF(C56="","",IFERROR(INDEX(Credit!$T$9:$T$108,MATCH(F56,Credit!$C$9:$C$108,0)),"Unavailable"))</x:f>
      </x:c>
      <x:c r="AO56" s="23" t="str">
        <x:f>IF(C56="","",IF(AQ56&lt;&gt;"Ready","Unavailable",IF(C56="","",O56+P56+Q56*INDEX('Facilities'!$I$9:$I$108,MATCH(C56,'Facilities'!$C$9:$C$108,0)))))</x:f>
      </x:c>
      <x:c r="AP56" s="21" t="str">
        <x:f>IF(C56="","",IF(AQ56&lt;&gt;"Ready","Unavailable",IF(C56="","",AH56-U56)))</x:f>
      </x:c>
      <x:c r="AQ56" s="23" t="str">
        <x:f>IFERROR(IF(C56="","",IF(AND(INDEX('Facilities'!$AF$9:$AF$108,MATCH(C56,'Facilities'!$C$9:$C$108,0))="Ready",INDEX(Credit!$U$9:$U$108,MATCH(F56,Credit!$C$9:$C$108,0))="Ready",ISNUMBER(W56)),"Ready","Review inputs")),"Review inputs")</x:f>
      </x:c>
      <x:c r="AR56" s="23" t="str">
        <x:f>IF(C56="","",IF(AQ56&lt;&gt;"Ready","Unavailable",IF(C56="","",IF(O56=0,0,(IF(AJ56&lt;=1,O56,O56*INDEX('Facilities'!$R$9:$R$108,MATCH(C56,'Facilities'!$C$9:$C$108,0)))+O56*INDEX('Facilities'!$T$9:$T$108,MATCH(C56,'Facilities'!$C$9:$C$108,0)))/12))))</x:f>
      </x:c>
    </x:row>
    <x:row r="57" ht="26" customHeight="1">
      <x:c r="A57" s="1"/>
      <x:c r="B57" s="1"/>
      <x:c r="C57" s="9" t="str">
        <x:f>IF(Facilities!C57="","",Facilities!C57)</x:f>
      </x:c>
      <x:c r="D57" s="3" t="n">
        <x:v>1</x:v>
      </x:c>
      <x:c r="E57" s="9" t="n">
        <x:f>Settings!$F$18+0</x:f>
        <x:v>2027</x:v>
      </x:c>
      <x:c r="F57" s="9" t="str">
        <x:f>IF(C57="","",IFERROR(INDEX('Facilities'!$D$9:$D$108,MATCH(C57,'Facilities'!$C$9:$C$108,0)),"Unavailable"))</x:f>
      </x:c>
      <x:c r="G57" s="23" t="str">
        <x:f>IF(C57="","",IFERROR(IF(INDEX('Facilities'!$AD$9:$AD$108,MATCH(C57,'Facilities'!$C$9:$C$108,0))=3,0,INDEX('Facilities'!$AA$9:$AA$108,MATCH(C57,'Facilities'!$C$9:$C$108,0))),"Unavailable"))</x:f>
      </x:c>
      <x:c r="H57" s="23" t="str">
        <x:f>IF(C57="","",IFERROR(IF(INDEX('Facilities'!$AD$9:$AD$108,MATCH(C57,'Facilities'!$C$9:$C$108,0))=3,INDEX('Facilities'!$AA$9:$AA$108,MATCH(C57,'Facilities'!$C$9:$C$108,0)),0),"Unavailable"))</x:f>
      </x:c>
      <x:c r="I57" s="23" t="str">
        <x:f>IF(C57="","",IFERROR(INDEX('Facilities'!$AB$9:$AB$108,MATCH(C57,'Facilities'!$C$9:$C$108,0)),"Unavailable"))</x:f>
      </x:c>
      <x:c r="J57" s="23" t="str">
        <x:f>IF(C57="","",IFERROR(IF(OR(H57&gt;0,AND(AC57&gt;=0,AC57&lt;D57),D57&gt;INDEX('Facilities'!$J$9:$J$108,MATCH(C57,'Facilities'!$C$9:$C$108,0))),0,I57*'Scenario Paths'!F81),"Unavailable"))</x:f>
      </x:c>
      <x:c r="K57" s="23" t="str">
        <x:f>IF(C57="","",IFERROR(IF(OR(H57&gt;0,AND(AC57&gt;=0,AC57=D57)),0,IF(D57&gt;=INDEX('Facilities'!$J$9:$J$108,MATCH(C57,'Facilities'!$C$9:$C$108,0)),G57+J57,MIN(G57+J57,G57*INDEX('Facilities'!$R$9:$R$108,MATCH(C57,'Facilities'!$C$9:$C$108,0))))),"Unavailable"))</x:f>
      </x:c>
      <x:c r="L57" s="21" t="str">
        <x:f>IF(C57="","",IFERROR(IF(AND(AC57=D57,AC57&gt;0),MAX(0,G57+J57-K57),0),"Unavailable"))</x:f>
      </x:c>
      <x:c r="M57" s="23" t="str">
        <x:f>IF(C57="","",IFERROR(IF(AND(AC57&gt;=0,D57&gt;=AC57+INDEX('Facilities'!$AK$9:$AK$108,MATCH(C57,'Facilities'!$C$9:$C$108,0))),(H57+L57)*AM57,0),"Unavailable"))</x:f>
      </x:c>
      <x:c r="N57" s="23" t="str">
        <x:f>IF(C57="","",IFERROR(IF(AND(AC57&gt;=0,D57&gt;=AC57+INDEX('Facilities'!$AK$9:$AK$108,MATCH(C57,'Facilities'!$C$9:$C$108,0))),H57+L57-M57,0),"Unavailable"))</x:f>
      </x:c>
      <x:c r="O57" s="21" t="str">
        <x:f>IF(C57="","",IFERROR(MAX(0,G57+J57-K57-L57),"Unavailable"))</x:f>
      </x:c>
      <x:c r="P57" s="21" t="str">
        <x:f>IF(C57="","",IFERROR(MAX(0,H57+L57-M57-N57),"Unavailable"))</x:f>
      </x:c>
      <x:c r="Q57" s="23" t="str">
        <x:f>IF(C57="","",IFERROR(IF(OR(D57&gt;=INDEX('Facilities'!$J$9:$J$108,MATCH(C57,'Facilities'!$C$9:$C$108,0)),AND(AC57&gt;=0,AC57&lt;=D57)),0,MAX(0,I57-J57)),"Unavailable"))</x:f>
      </x:c>
      <x:c r="R57" s="30" t="str">
        <x:f>IF(C57="","",IFERROR(INDEX(Credit!$Q$9:$Q$108,MATCH(F57,Credit!$C$9:$C$108,0)),"Unavailable"))</x:f>
      </x:c>
      <x:c r="S57" s="30" t="str">
        <x:f>IF(C57="","",IFERROR(INDEX(Credit!$R$9:$R$108,MATCH(F57,Credit!$C$9:$C$108,0)),"Unavailable"))</x:f>
      </x:c>
      <x:c r="T57" s="23" t="str">
        <x:f>IF(C57="","",IFERROR(IF(P57&gt;0,3,IF(OR(INDEX('Facilities'!$AD$9:$AD$108,MATCH(C57,'Facilities'!$C$9:$C$108,0))=2,AND(R57&gt;=INDEX('Facilities'!$L$9:$L$108,MATCH(C57,'Facilities'!$C$9:$C$108,0))*Settings!$F$19,R57-INDEX('Facilities'!$L$9:$L$108,MATCH(C57,'Facilities'!$C$9:$C$108,0))&gt;=Settings!$F$20)),2,1)),"Unavailable"))</x:f>
      </x:c>
      <x:c r="U57" s="23" t="str">
        <x:f>IF(C57="","",IF(AQ57&lt;&gt;"Ready","Unavailable",IF(C57="","",O57*(1-(1-S57)/(1+INDEX('Facilities'!$K$9:$K$108,MATCH(C57,'Facilities'!$C$9:$C$108,0)))^INDEX('Facilities'!$AK$9:$AK$108,MATCH(C57,'Facilities'!$C$9:$C$108,0)))*R57/(1+INDEX('Facilities'!$K$9:$K$108,MATCH(C57,'Facilities'!$C$9:$C$108,0)))*IF(ABS(1-(1-R57)*(1-INDEX('Facilities'!$R$9:$R$108,MATCH(C57,'Facilities'!$C$9:$C$108,0)))/(1+INDEX('Facilities'!$K$9:$K$108,MATCH(C57,'Facilities'!$C$9:$C$108,0))))&lt;0.000000001,IF(T57=1,MIN(1,AJ57),AJ57),(1-((1-R57)*(1-INDEX('Facilities'!$R$9:$R$108,MATCH(C57,'Facilities'!$C$9:$C$108,0)))/(1+INDEX('Facilities'!$K$9:$K$108,MATCH(C57,'Facilities'!$C$9:$C$108,0))))^IF(T57=1,MIN(1,AJ57),AJ57))/(1-(1-R57)*(1-INDEX('Facilities'!$R$9:$R$108,MATCH(C57,'Facilities'!$C$9:$C$108,0)))/(1+INDEX('Facilities'!$K$9:$K$108,MATCH(C57,'Facilities'!$C$9:$C$108,0)))))+AL57)))</x:f>
      </x:c>
      <x:c r="V57" s="23" t="str">
        <x:f>IF(C57="","",IF(AQ57&lt;&gt;"Ready","Unavailable",IF(C57="","",Q57*INDEX('Facilities'!$I$9:$I$108,MATCH(C57,'Facilities'!$C$9:$C$108,0))*(1-(1-S57)/(1+INDEX('Facilities'!$K$9:$K$108,MATCH(C57,'Facilities'!$C$9:$C$108,0)))^INDEX('Facilities'!$AK$9:$AK$108,MATCH(C57,'Facilities'!$C$9:$C$108,0)))*R57/(1+INDEX('Facilities'!$K$9:$K$108,MATCH(C57,'Facilities'!$C$9:$C$108,0)))*IF(ABS(1-(1-R57)*(1-0)/(1+INDEX('Facilities'!$K$9:$K$108,MATCH(C57,'Facilities'!$C$9:$C$108,0))))&lt;0.000000001,IF(T57=1,MIN(1,AJ57),AJ57),(1-((1-R57)*(1-0)/(1+INDEX('Facilities'!$K$9:$K$108,MATCH(C57,'Facilities'!$C$9:$C$108,0))))^IF(T57=1,MIN(1,AJ57),AJ57))/(1-(1-R57)*(1-0)/(1+INDEX('Facilities'!$K$9:$K$108,MATCH(C57,'Facilities'!$C$9:$C$108,0))))))))</x:f>
      </x:c>
      <x:c r="W57" s="23" t="str">
        <x:f>IF(C57="","",IFERROR(INDEX(ECL!$AB$9:$AB$108,MATCH(C57,ECL!$C$9:$C$108,0)),"Unavailable"))</x:f>
      </x:c>
      <x:c r="X57" s="23" t="str">
        <x:f>IF(C57="","",IFERROR(INDEX(ECL!$AC$9:$AC$108,MATCH(C57,ECL!$C$9:$C$108,0)),"Unavailable"))</x:f>
      </x:c>
      <x:c r="Y57" s="21" t="str">
        <x:f>IF(C57="","",IF(AQ57&lt;&gt;"Ready","Unavailable",IF(C57="","",U57-W57+V57-X57+N57+AG57)))</x:f>
      </x:c>
      <x:c r="Z57" s="23" t="str">
        <x:f>IF(C57="","",IF(AQ57&lt;&gt;"Ready","Unavailable",IF(C57="","",(G57+O57+L57)/2*INDEX('Facilities'!$T$9:$T$108,MATCH(C57,'Facilities'!$C$9:$C$108,0))+AG57)))</x:f>
      </x:c>
      <x:c r="AA57" s="23" t="str">
        <x:f>IF(C57="","",IF(AQ57&lt;&gt;"Ready","Unavailable",IF(C57="","",O57*(1-IF(INDEX('Facilities'!$AA$9:$AA$108,MATCH(C57,'Facilities'!$C$9:$C$108,0))=0,0,MIN(1,INDEX('Facilities'!$X$9:$X$108,MATCH(C57,'Facilities'!$C$9:$C$108,0))/INDEX('Facilities'!$AA$9:$AA$108,MATCH(C57,'Facilities'!$C$9:$C$108,0)))))*AF57+P57*(1-IF(INDEX('Facilities'!$AA$9:$AA$108,MATCH(C57,'Facilities'!$C$9:$C$108,0))=0,0,MIN(1,INDEX('Facilities'!$X$9:$X$108,MATCH(C57,'Facilities'!$C$9:$C$108,0))/INDEX('Facilities'!$AA$9:$AA$108,MATCH(C57,'Facilities'!$C$9:$C$108,0)))))*INDEX('Facilities'!$AJ$9:$AJ$108,MATCH(C57,'Facilities'!$C$9:$C$108,0))+Q57*INDEX('Facilities'!$AI$9:$AI$108,MATCH(C57,'Facilities'!$C$9:$C$108,0))*AF57)))</x:f>
      </x:c>
      <x:c r="AB57" s="21" t="str">
        <x:f>IF(C57="","",O57+P57-AD57)</x:f>
      </x:c>
      <x:c r="AC57" s="23" t="str">
        <x:f>IF(C57="","",IFERROR(IF(INDEX('Facilities'!$AD$9:$AD$108,MATCH(C57,'Facilities'!$C$9:$C$108,0))=3,0,IF(INDEX('Facilities'!$AN$9:$AN$108,MATCH(C57,'Facilities'!$C$9:$C$108,0))=0,-1,INDEX('Facilities'!$AN$9:$AN$108,MATCH(C57,'Facilities'!$C$9:$C$108,0)))),"Unavailable"))</x:f>
      </x:c>
      <x:c r="AD57" s="21" t="str">
        <x:f>IF(C57="","",IFERROR(G57+H57,"Unavailable"))</x:f>
      </x:c>
      <x:c r="AE57" s="21" t="str">
        <x:f>IF(C57="","",IF(AQ57&lt;&gt;"Ready","Unavailable",IF(C57="","",O57+P57-AD57-J57+K57+M57+N57)))</x:f>
      </x:c>
      <x:c r="AF57" s="30" t="str">
        <x:f>IF(C57="","",IFERROR(INDEX('Facilities'!$S$9:$S$108,MATCH(C57,'Facilities'!$C$9:$C$108,0))*'Scenario Paths'!F75,"Unavailable"))</x:f>
      </x:c>
      <x:c r="AG57" s="23" t="str">
        <x:f>IF(C57="","",IF(AQ57&lt;&gt;"Ready","Unavailable",IF(C57="","",IF(H57&gt;0,MAX(0,H57-AK57)*((1+INDEX('Facilities'!$K$9:$K$108,MATCH(C57,'Facilities'!$C$9:$C$108,0)))^MIN(1,MAX(0,AC57+INDEX('Facilities'!$AK$9:$AK$108,MATCH(C57,'Facilities'!$C$9:$C$108,0))-D57+1))-1),0))))</x:f>
      </x:c>
      <x:c r="AH57" s="21" t="str">
        <x:f>IF(C57="","",IF(AQ57&lt;&gt;"Ready","Unavailable",IF(C57="","",O57+P57)))</x:f>
      </x:c>
      <x:c r="AI57" s="21" t="str">
        <x:f>IF(C57="","",IF(AQ57&lt;&gt;"Ready","Unavailable",IF(C57="","",Z57-Y57)))</x:f>
      </x:c>
      <x:c r="AJ57" s="23" t="str">
        <x:f>IF(C57="","",IFERROR(MAX(0,INDEX('Facilities'!$J$9:$J$108,MATCH(C57,'Facilities'!$C$9:$C$108,0))-D57),"Unavailable"))</x:f>
      </x:c>
      <x:c r="AK57" s="23" t="str">
        <x:f>IF(C57="","",IFERROR(IF(INDEX('Facilities'!$AD$9:$AD$108,MATCH(C57,'Facilities'!$C$9:$C$108,0))=3,W57,0),"Unavailable"))</x:f>
      </x:c>
      <x:c r="AL57" s="23" t="str">
        <x:f>IF(C57="","",IFERROR(IF(P57&gt;0,P57*(1-AM57/(1+INDEX('Facilities'!$K$9:$K$108,MATCH(C57,'Facilities'!$C$9:$C$108,0)))^MAX(0,AC57+INDEX('Facilities'!$AK$9:$AK$108,MATCH(C57,'Facilities'!$C$9:$C$108,0))-D57)),0),"Unavailable"))</x:f>
      </x:c>
      <x:c r="AM57" s="30" t="str">
        <x:f>IF(C57="","",IFERROR(INDEX('Facilities'!$AL$9:$AL$108,MATCH(C57,'Facilities'!$C$9:$C$108,0)),"Unavailable"))</x:f>
      </x:c>
      <x:c r="AN57" s="30" t="str">
        <x:f>IF(C57="","",IFERROR(INDEX(Credit!$T$9:$T$108,MATCH(F57,Credit!$C$9:$C$108,0)),"Unavailable"))</x:f>
      </x:c>
      <x:c r="AO57" s="23" t="str">
        <x:f>IF(C57="","",IF(AQ57&lt;&gt;"Ready","Unavailable",IF(C57="","",O57+P57+Q57*INDEX('Facilities'!$I$9:$I$108,MATCH(C57,'Facilities'!$C$9:$C$108,0)))))</x:f>
      </x:c>
      <x:c r="AP57" s="21" t="str">
        <x:f>IF(C57="","",IF(AQ57&lt;&gt;"Ready","Unavailable",IF(C57="","",AH57-U57)))</x:f>
      </x:c>
      <x:c r="AQ57" s="23" t="str">
        <x:f>IFERROR(IF(C57="","",IF(AND(INDEX('Facilities'!$AF$9:$AF$108,MATCH(C57,'Facilities'!$C$9:$C$108,0))="Ready",INDEX(Credit!$U$9:$U$108,MATCH(F57,Credit!$C$9:$C$108,0))="Ready",ISNUMBER(W57)),"Ready","Review inputs")),"Review inputs")</x:f>
      </x:c>
      <x:c r="AR57" s="23" t="str">
        <x:f>IF(C57="","",IF(AQ57&lt;&gt;"Ready","Unavailable",IF(C57="","",IF(O57=0,0,(IF(AJ57&lt;=1,O57,O57*INDEX('Facilities'!$R$9:$R$108,MATCH(C57,'Facilities'!$C$9:$C$108,0)))+O57*INDEX('Facilities'!$T$9:$T$108,MATCH(C57,'Facilities'!$C$9:$C$108,0)))/12))))</x:f>
      </x:c>
    </x:row>
    <x:row r="58" ht="26" customHeight="1">
      <x:c r="A58" s="1"/>
      <x:c r="B58" s="1"/>
      <x:c r="C58" s="9" t="str">
        <x:f>IF(Facilities!C58="","",Facilities!C58)</x:f>
      </x:c>
      <x:c r="D58" s="3" t="n">
        <x:v>1</x:v>
      </x:c>
      <x:c r="E58" s="9" t="n">
        <x:f>Settings!$F$18+0</x:f>
        <x:v>2027</x:v>
      </x:c>
      <x:c r="F58" s="9" t="str">
        <x:f>IF(C58="","",IFERROR(INDEX('Facilities'!$D$9:$D$108,MATCH(C58,'Facilities'!$C$9:$C$108,0)),"Unavailable"))</x:f>
      </x:c>
      <x:c r="G58" s="23" t="str">
        <x:f>IF(C58="","",IFERROR(IF(INDEX('Facilities'!$AD$9:$AD$108,MATCH(C58,'Facilities'!$C$9:$C$108,0))=3,0,INDEX('Facilities'!$AA$9:$AA$108,MATCH(C58,'Facilities'!$C$9:$C$108,0))),"Unavailable"))</x:f>
      </x:c>
      <x:c r="H58" s="23" t="str">
        <x:f>IF(C58="","",IFERROR(IF(INDEX('Facilities'!$AD$9:$AD$108,MATCH(C58,'Facilities'!$C$9:$C$108,0))=3,INDEX('Facilities'!$AA$9:$AA$108,MATCH(C58,'Facilities'!$C$9:$C$108,0)),0),"Unavailable"))</x:f>
      </x:c>
      <x:c r="I58" s="23" t="str">
        <x:f>IF(C58="","",IFERROR(INDEX('Facilities'!$AB$9:$AB$108,MATCH(C58,'Facilities'!$C$9:$C$108,0)),"Unavailable"))</x:f>
      </x:c>
      <x:c r="J58" s="23" t="str">
        <x:f>IF(C58="","",IFERROR(IF(OR(H58&gt;0,AND(AC58&gt;=0,AC58&lt;D58),D58&gt;INDEX('Facilities'!$J$9:$J$108,MATCH(C58,'Facilities'!$C$9:$C$108,0))),0,I58*'Scenario Paths'!F81),"Unavailable"))</x:f>
      </x:c>
      <x:c r="K58" s="23" t="str">
        <x:f>IF(C58="","",IFERROR(IF(OR(H58&gt;0,AND(AC58&gt;=0,AC58=D58)),0,IF(D58&gt;=INDEX('Facilities'!$J$9:$J$108,MATCH(C58,'Facilities'!$C$9:$C$108,0)),G58+J58,MIN(G58+J58,G58*INDEX('Facilities'!$R$9:$R$108,MATCH(C58,'Facilities'!$C$9:$C$108,0))))),"Unavailable"))</x:f>
      </x:c>
      <x:c r="L58" s="21" t="str">
        <x:f>IF(C58="","",IFERROR(IF(AND(AC58=D58,AC58&gt;0),MAX(0,G58+J58-K58),0),"Unavailable"))</x:f>
      </x:c>
      <x:c r="M58" s="23" t="str">
        <x:f>IF(C58="","",IFERROR(IF(AND(AC58&gt;=0,D58&gt;=AC58+INDEX('Facilities'!$AK$9:$AK$108,MATCH(C58,'Facilities'!$C$9:$C$108,0))),(H58+L58)*AM58,0),"Unavailable"))</x:f>
      </x:c>
      <x:c r="N58" s="23" t="str">
        <x:f>IF(C58="","",IFERROR(IF(AND(AC58&gt;=0,D58&gt;=AC58+INDEX('Facilities'!$AK$9:$AK$108,MATCH(C58,'Facilities'!$C$9:$C$108,0))),H58+L58-M58,0),"Unavailable"))</x:f>
      </x:c>
      <x:c r="O58" s="21" t="str">
        <x:f>IF(C58="","",IFERROR(MAX(0,G58+J58-K58-L58),"Unavailable"))</x:f>
      </x:c>
      <x:c r="P58" s="21" t="str">
        <x:f>IF(C58="","",IFERROR(MAX(0,H58+L58-M58-N58),"Unavailable"))</x:f>
      </x:c>
      <x:c r="Q58" s="23" t="str">
        <x:f>IF(C58="","",IFERROR(IF(OR(D58&gt;=INDEX('Facilities'!$J$9:$J$108,MATCH(C58,'Facilities'!$C$9:$C$108,0)),AND(AC58&gt;=0,AC58&lt;=D58)),0,MAX(0,I58-J58)),"Unavailable"))</x:f>
      </x:c>
      <x:c r="R58" s="30" t="str">
        <x:f>IF(C58="","",IFERROR(INDEX(Credit!$Q$9:$Q$108,MATCH(F58,Credit!$C$9:$C$108,0)),"Unavailable"))</x:f>
      </x:c>
      <x:c r="S58" s="30" t="str">
        <x:f>IF(C58="","",IFERROR(INDEX(Credit!$R$9:$R$108,MATCH(F58,Credit!$C$9:$C$108,0)),"Unavailable"))</x:f>
      </x:c>
      <x:c r="T58" s="23" t="str">
        <x:f>IF(C58="","",IFERROR(IF(P58&gt;0,3,IF(OR(INDEX('Facilities'!$AD$9:$AD$108,MATCH(C58,'Facilities'!$C$9:$C$108,0))=2,AND(R58&gt;=INDEX('Facilities'!$L$9:$L$108,MATCH(C58,'Facilities'!$C$9:$C$108,0))*Settings!$F$19,R58-INDEX('Facilities'!$L$9:$L$108,MATCH(C58,'Facilities'!$C$9:$C$108,0))&gt;=Settings!$F$20)),2,1)),"Unavailable"))</x:f>
      </x:c>
      <x:c r="U58" s="23" t="str">
        <x:f>IF(C58="","",IF(AQ58&lt;&gt;"Ready","Unavailable",IF(C58="","",O58*(1-(1-S58)/(1+INDEX('Facilities'!$K$9:$K$108,MATCH(C58,'Facilities'!$C$9:$C$108,0)))^INDEX('Facilities'!$AK$9:$AK$108,MATCH(C58,'Facilities'!$C$9:$C$108,0)))*R58/(1+INDEX('Facilities'!$K$9:$K$108,MATCH(C58,'Facilities'!$C$9:$C$108,0)))*IF(ABS(1-(1-R58)*(1-INDEX('Facilities'!$R$9:$R$108,MATCH(C58,'Facilities'!$C$9:$C$108,0)))/(1+INDEX('Facilities'!$K$9:$K$108,MATCH(C58,'Facilities'!$C$9:$C$108,0))))&lt;0.000000001,IF(T58=1,MIN(1,AJ58),AJ58),(1-((1-R58)*(1-INDEX('Facilities'!$R$9:$R$108,MATCH(C58,'Facilities'!$C$9:$C$108,0)))/(1+INDEX('Facilities'!$K$9:$K$108,MATCH(C58,'Facilities'!$C$9:$C$108,0))))^IF(T58=1,MIN(1,AJ58),AJ58))/(1-(1-R58)*(1-INDEX('Facilities'!$R$9:$R$108,MATCH(C58,'Facilities'!$C$9:$C$108,0)))/(1+INDEX('Facilities'!$K$9:$K$108,MATCH(C58,'Facilities'!$C$9:$C$108,0)))))+AL58)))</x:f>
      </x:c>
      <x:c r="V58" s="23" t="str">
        <x:f>IF(C58="","",IF(AQ58&lt;&gt;"Ready","Unavailable",IF(C58="","",Q58*INDEX('Facilities'!$I$9:$I$108,MATCH(C58,'Facilities'!$C$9:$C$108,0))*(1-(1-S58)/(1+INDEX('Facilities'!$K$9:$K$108,MATCH(C58,'Facilities'!$C$9:$C$108,0)))^INDEX('Facilities'!$AK$9:$AK$108,MATCH(C58,'Facilities'!$C$9:$C$108,0)))*R58/(1+INDEX('Facilities'!$K$9:$K$108,MATCH(C58,'Facilities'!$C$9:$C$108,0)))*IF(ABS(1-(1-R58)*(1-0)/(1+INDEX('Facilities'!$K$9:$K$108,MATCH(C58,'Facilities'!$C$9:$C$108,0))))&lt;0.000000001,IF(T58=1,MIN(1,AJ58),AJ58),(1-((1-R58)*(1-0)/(1+INDEX('Facilities'!$K$9:$K$108,MATCH(C58,'Facilities'!$C$9:$C$108,0))))^IF(T58=1,MIN(1,AJ58),AJ58))/(1-(1-R58)*(1-0)/(1+INDEX('Facilities'!$K$9:$K$108,MATCH(C58,'Facilities'!$C$9:$C$108,0))))))))</x:f>
      </x:c>
      <x:c r="W58" s="23" t="str">
        <x:f>IF(C58="","",IFERROR(INDEX(ECL!$AB$9:$AB$108,MATCH(C58,ECL!$C$9:$C$108,0)),"Unavailable"))</x:f>
      </x:c>
      <x:c r="X58" s="23" t="str">
        <x:f>IF(C58="","",IFERROR(INDEX(ECL!$AC$9:$AC$108,MATCH(C58,ECL!$C$9:$C$108,0)),"Unavailable"))</x:f>
      </x:c>
      <x:c r="Y58" s="21" t="str">
        <x:f>IF(C58="","",IF(AQ58&lt;&gt;"Ready","Unavailable",IF(C58="","",U58-W58+V58-X58+N58+AG58)))</x:f>
      </x:c>
      <x:c r="Z58" s="23" t="str">
        <x:f>IF(C58="","",IF(AQ58&lt;&gt;"Ready","Unavailable",IF(C58="","",(G58+O58+L58)/2*INDEX('Facilities'!$T$9:$T$108,MATCH(C58,'Facilities'!$C$9:$C$108,0))+AG58)))</x:f>
      </x:c>
      <x:c r="AA58" s="23" t="str">
        <x:f>IF(C58="","",IF(AQ58&lt;&gt;"Ready","Unavailable",IF(C58="","",O58*(1-IF(INDEX('Facilities'!$AA$9:$AA$108,MATCH(C58,'Facilities'!$C$9:$C$108,0))=0,0,MIN(1,INDEX('Facilities'!$X$9:$X$108,MATCH(C58,'Facilities'!$C$9:$C$108,0))/INDEX('Facilities'!$AA$9:$AA$108,MATCH(C58,'Facilities'!$C$9:$C$108,0)))))*AF58+P58*(1-IF(INDEX('Facilities'!$AA$9:$AA$108,MATCH(C58,'Facilities'!$C$9:$C$108,0))=0,0,MIN(1,INDEX('Facilities'!$X$9:$X$108,MATCH(C58,'Facilities'!$C$9:$C$108,0))/INDEX('Facilities'!$AA$9:$AA$108,MATCH(C58,'Facilities'!$C$9:$C$108,0)))))*INDEX('Facilities'!$AJ$9:$AJ$108,MATCH(C58,'Facilities'!$C$9:$C$108,0))+Q58*INDEX('Facilities'!$AI$9:$AI$108,MATCH(C58,'Facilities'!$C$9:$C$108,0))*AF58)))</x:f>
      </x:c>
      <x:c r="AB58" s="21" t="str">
        <x:f>IF(C58="","",O58+P58-AD58)</x:f>
      </x:c>
      <x:c r="AC58" s="23" t="str">
        <x:f>IF(C58="","",IFERROR(IF(INDEX('Facilities'!$AD$9:$AD$108,MATCH(C58,'Facilities'!$C$9:$C$108,0))=3,0,IF(INDEX('Facilities'!$AN$9:$AN$108,MATCH(C58,'Facilities'!$C$9:$C$108,0))=0,-1,INDEX('Facilities'!$AN$9:$AN$108,MATCH(C58,'Facilities'!$C$9:$C$108,0)))),"Unavailable"))</x:f>
      </x:c>
      <x:c r="AD58" s="21" t="str">
        <x:f>IF(C58="","",IFERROR(G58+H58,"Unavailable"))</x:f>
      </x:c>
      <x:c r="AE58" s="21" t="str">
        <x:f>IF(C58="","",IF(AQ58&lt;&gt;"Ready","Unavailable",IF(C58="","",O58+P58-AD58-J58+K58+M58+N58)))</x:f>
      </x:c>
      <x:c r="AF58" s="30" t="str">
        <x:f>IF(C58="","",IFERROR(INDEX('Facilities'!$S$9:$S$108,MATCH(C58,'Facilities'!$C$9:$C$108,0))*'Scenario Paths'!F75,"Unavailable"))</x:f>
      </x:c>
      <x:c r="AG58" s="23" t="str">
        <x:f>IF(C58="","",IF(AQ58&lt;&gt;"Ready","Unavailable",IF(C58="","",IF(H58&gt;0,MAX(0,H58-AK58)*((1+INDEX('Facilities'!$K$9:$K$108,MATCH(C58,'Facilities'!$C$9:$C$108,0)))^MIN(1,MAX(0,AC58+INDEX('Facilities'!$AK$9:$AK$108,MATCH(C58,'Facilities'!$C$9:$C$108,0))-D58+1))-1),0))))</x:f>
      </x:c>
      <x:c r="AH58" s="21" t="str">
        <x:f>IF(C58="","",IF(AQ58&lt;&gt;"Ready","Unavailable",IF(C58="","",O58+P58)))</x:f>
      </x:c>
      <x:c r="AI58" s="21" t="str">
        <x:f>IF(C58="","",IF(AQ58&lt;&gt;"Ready","Unavailable",IF(C58="","",Z58-Y58)))</x:f>
      </x:c>
      <x:c r="AJ58" s="23" t="str">
        <x:f>IF(C58="","",IFERROR(MAX(0,INDEX('Facilities'!$J$9:$J$108,MATCH(C58,'Facilities'!$C$9:$C$108,0))-D58),"Unavailable"))</x:f>
      </x:c>
      <x:c r="AK58" s="23" t="str">
        <x:f>IF(C58="","",IFERROR(IF(INDEX('Facilities'!$AD$9:$AD$108,MATCH(C58,'Facilities'!$C$9:$C$108,0))=3,W58,0),"Unavailable"))</x:f>
      </x:c>
      <x:c r="AL58" s="23" t="str">
        <x:f>IF(C58="","",IFERROR(IF(P58&gt;0,P58*(1-AM58/(1+INDEX('Facilities'!$K$9:$K$108,MATCH(C58,'Facilities'!$C$9:$C$108,0)))^MAX(0,AC58+INDEX('Facilities'!$AK$9:$AK$108,MATCH(C58,'Facilities'!$C$9:$C$108,0))-D58)),0),"Unavailable"))</x:f>
      </x:c>
      <x:c r="AM58" s="30" t="str">
        <x:f>IF(C58="","",IFERROR(INDEX('Facilities'!$AL$9:$AL$108,MATCH(C58,'Facilities'!$C$9:$C$108,0)),"Unavailable"))</x:f>
      </x:c>
      <x:c r="AN58" s="30" t="str">
        <x:f>IF(C58="","",IFERROR(INDEX(Credit!$T$9:$T$108,MATCH(F58,Credit!$C$9:$C$108,0)),"Unavailable"))</x:f>
      </x:c>
      <x:c r="AO58" s="23" t="str">
        <x:f>IF(C58="","",IF(AQ58&lt;&gt;"Ready","Unavailable",IF(C58="","",O58+P58+Q58*INDEX('Facilities'!$I$9:$I$108,MATCH(C58,'Facilities'!$C$9:$C$108,0)))))</x:f>
      </x:c>
      <x:c r="AP58" s="21" t="str">
        <x:f>IF(C58="","",IF(AQ58&lt;&gt;"Ready","Unavailable",IF(C58="","",AH58-U58)))</x:f>
      </x:c>
      <x:c r="AQ58" s="23" t="str">
        <x:f>IFERROR(IF(C58="","",IF(AND(INDEX('Facilities'!$AF$9:$AF$108,MATCH(C58,'Facilities'!$C$9:$C$108,0))="Ready",INDEX(Credit!$U$9:$U$108,MATCH(F58,Credit!$C$9:$C$108,0))="Ready",ISNUMBER(W58)),"Ready","Review inputs")),"Review inputs")</x:f>
      </x:c>
      <x:c r="AR58" s="23" t="str">
        <x:f>IF(C58="","",IF(AQ58&lt;&gt;"Ready","Unavailable",IF(C58="","",IF(O58=0,0,(IF(AJ58&lt;=1,O58,O58*INDEX('Facilities'!$R$9:$R$108,MATCH(C58,'Facilities'!$C$9:$C$108,0)))+O58*INDEX('Facilities'!$T$9:$T$108,MATCH(C58,'Facilities'!$C$9:$C$108,0)))/12))))</x:f>
      </x:c>
    </x:row>
    <x:row r="59" ht="26" customHeight="1">
      <x:c r="A59" s="1"/>
      <x:c r="B59" s="1"/>
      <x:c r="C59" s="9" t="str">
        <x:f>IF(Facilities!C59="","",Facilities!C59)</x:f>
      </x:c>
      <x:c r="D59" s="3" t="n">
        <x:v>1</x:v>
      </x:c>
      <x:c r="E59" s="9" t="n">
        <x:f>Settings!$F$18+0</x:f>
        <x:v>2027</x:v>
      </x:c>
      <x:c r="F59" s="9" t="str">
        <x:f>IF(C59="","",IFERROR(INDEX('Facilities'!$D$9:$D$108,MATCH(C59,'Facilities'!$C$9:$C$108,0)),"Unavailable"))</x:f>
      </x:c>
      <x:c r="G59" s="23" t="str">
        <x:f>IF(C59="","",IFERROR(IF(INDEX('Facilities'!$AD$9:$AD$108,MATCH(C59,'Facilities'!$C$9:$C$108,0))=3,0,INDEX('Facilities'!$AA$9:$AA$108,MATCH(C59,'Facilities'!$C$9:$C$108,0))),"Unavailable"))</x:f>
      </x:c>
      <x:c r="H59" s="23" t="str">
        <x:f>IF(C59="","",IFERROR(IF(INDEX('Facilities'!$AD$9:$AD$108,MATCH(C59,'Facilities'!$C$9:$C$108,0))=3,INDEX('Facilities'!$AA$9:$AA$108,MATCH(C59,'Facilities'!$C$9:$C$108,0)),0),"Unavailable"))</x:f>
      </x:c>
      <x:c r="I59" s="23" t="str">
        <x:f>IF(C59="","",IFERROR(INDEX('Facilities'!$AB$9:$AB$108,MATCH(C59,'Facilities'!$C$9:$C$108,0)),"Unavailable"))</x:f>
      </x:c>
      <x:c r="J59" s="23" t="str">
        <x:f>IF(C59="","",IFERROR(IF(OR(H59&gt;0,AND(AC59&gt;=0,AC59&lt;D59),D59&gt;INDEX('Facilities'!$J$9:$J$108,MATCH(C59,'Facilities'!$C$9:$C$108,0))),0,I59*'Scenario Paths'!F81),"Unavailable"))</x:f>
      </x:c>
      <x:c r="K59" s="23" t="str">
        <x:f>IF(C59="","",IFERROR(IF(OR(H59&gt;0,AND(AC59&gt;=0,AC59=D59)),0,IF(D59&gt;=INDEX('Facilities'!$J$9:$J$108,MATCH(C59,'Facilities'!$C$9:$C$108,0)),G59+J59,MIN(G59+J59,G59*INDEX('Facilities'!$R$9:$R$108,MATCH(C59,'Facilities'!$C$9:$C$108,0))))),"Unavailable"))</x:f>
      </x:c>
      <x:c r="L59" s="21" t="str">
        <x:f>IF(C59="","",IFERROR(IF(AND(AC59=D59,AC59&gt;0),MAX(0,G59+J59-K59),0),"Unavailable"))</x:f>
      </x:c>
      <x:c r="M59" s="23" t="str">
        <x:f>IF(C59="","",IFERROR(IF(AND(AC59&gt;=0,D59&gt;=AC59+INDEX('Facilities'!$AK$9:$AK$108,MATCH(C59,'Facilities'!$C$9:$C$108,0))),(H59+L59)*AM59,0),"Unavailable"))</x:f>
      </x:c>
      <x:c r="N59" s="23" t="str">
        <x:f>IF(C59="","",IFERROR(IF(AND(AC59&gt;=0,D59&gt;=AC59+INDEX('Facilities'!$AK$9:$AK$108,MATCH(C59,'Facilities'!$C$9:$C$108,0))),H59+L59-M59,0),"Unavailable"))</x:f>
      </x:c>
      <x:c r="O59" s="21" t="str">
        <x:f>IF(C59="","",IFERROR(MAX(0,G59+J59-K59-L59),"Unavailable"))</x:f>
      </x:c>
      <x:c r="P59" s="21" t="str">
        <x:f>IF(C59="","",IFERROR(MAX(0,H59+L59-M59-N59),"Unavailable"))</x:f>
      </x:c>
      <x:c r="Q59" s="23" t="str">
        <x:f>IF(C59="","",IFERROR(IF(OR(D59&gt;=INDEX('Facilities'!$J$9:$J$108,MATCH(C59,'Facilities'!$C$9:$C$108,0)),AND(AC59&gt;=0,AC59&lt;=D59)),0,MAX(0,I59-J59)),"Unavailable"))</x:f>
      </x:c>
      <x:c r="R59" s="30" t="str">
        <x:f>IF(C59="","",IFERROR(INDEX(Credit!$Q$9:$Q$108,MATCH(F59,Credit!$C$9:$C$108,0)),"Unavailable"))</x:f>
      </x:c>
      <x:c r="S59" s="30" t="str">
        <x:f>IF(C59="","",IFERROR(INDEX(Credit!$R$9:$R$108,MATCH(F59,Credit!$C$9:$C$108,0)),"Unavailable"))</x:f>
      </x:c>
      <x:c r="T59" s="23" t="str">
        <x:f>IF(C59="","",IFERROR(IF(P59&gt;0,3,IF(OR(INDEX('Facilities'!$AD$9:$AD$108,MATCH(C59,'Facilities'!$C$9:$C$108,0))=2,AND(R59&gt;=INDEX('Facilities'!$L$9:$L$108,MATCH(C59,'Facilities'!$C$9:$C$108,0))*Settings!$F$19,R59-INDEX('Facilities'!$L$9:$L$108,MATCH(C59,'Facilities'!$C$9:$C$108,0))&gt;=Settings!$F$20)),2,1)),"Unavailable"))</x:f>
      </x:c>
      <x:c r="U59" s="23" t="str">
        <x:f>IF(C59="","",IF(AQ59&lt;&gt;"Ready","Unavailable",IF(C59="","",O59*(1-(1-S59)/(1+INDEX('Facilities'!$K$9:$K$108,MATCH(C59,'Facilities'!$C$9:$C$108,0)))^INDEX('Facilities'!$AK$9:$AK$108,MATCH(C59,'Facilities'!$C$9:$C$108,0)))*R59/(1+INDEX('Facilities'!$K$9:$K$108,MATCH(C59,'Facilities'!$C$9:$C$108,0)))*IF(ABS(1-(1-R59)*(1-INDEX('Facilities'!$R$9:$R$108,MATCH(C59,'Facilities'!$C$9:$C$108,0)))/(1+INDEX('Facilities'!$K$9:$K$108,MATCH(C59,'Facilities'!$C$9:$C$108,0))))&lt;0.000000001,IF(T59=1,MIN(1,AJ59),AJ59),(1-((1-R59)*(1-INDEX('Facilities'!$R$9:$R$108,MATCH(C59,'Facilities'!$C$9:$C$108,0)))/(1+INDEX('Facilities'!$K$9:$K$108,MATCH(C59,'Facilities'!$C$9:$C$108,0))))^IF(T59=1,MIN(1,AJ59),AJ59))/(1-(1-R59)*(1-INDEX('Facilities'!$R$9:$R$108,MATCH(C59,'Facilities'!$C$9:$C$108,0)))/(1+INDEX('Facilities'!$K$9:$K$108,MATCH(C59,'Facilities'!$C$9:$C$108,0)))))+AL59)))</x:f>
      </x:c>
      <x:c r="V59" s="23" t="str">
        <x:f>IF(C59="","",IF(AQ59&lt;&gt;"Ready","Unavailable",IF(C59="","",Q59*INDEX('Facilities'!$I$9:$I$108,MATCH(C59,'Facilities'!$C$9:$C$108,0))*(1-(1-S59)/(1+INDEX('Facilities'!$K$9:$K$108,MATCH(C59,'Facilities'!$C$9:$C$108,0)))^INDEX('Facilities'!$AK$9:$AK$108,MATCH(C59,'Facilities'!$C$9:$C$108,0)))*R59/(1+INDEX('Facilities'!$K$9:$K$108,MATCH(C59,'Facilities'!$C$9:$C$108,0)))*IF(ABS(1-(1-R59)*(1-0)/(1+INDEX('Facilities'!$K$9:$K$108,MATCH(C59,'Facilities'!$C$9:$C$108,0))))&lt;0.000000001,IF(T59=1,MIN(1,AJ59),AJ59),(1-((1-R59)*(1-0)/(1+INDEX('Facilities'!$K$9:$K$108,MATCH(C59,'Facilities'!$C$9:$C$108,0))))^IF(T59=1,MIN(1,AJ59),AJ59))/(1-(1-R59)*(1-0)/(1+INDEX('Facilities'!$K$9:$K$108,MATCH(C59,'Facilities'!$C$9:$C$108,0))))))))</x:f>
      </x:c>
      <x:c r="W59" s="23" t="str">
        <x:f>IF(C59="","",IFERROR(INDEX(ECL!$AB$9:$AB$108,MATCH(C59,ECL!$C$9:$C$108,0)),"Unavailable"))</x:f>
      </x:c>
      <x:c r="X59" s="23" t="str">
        <x:f>IF(C59="","",IFERROR(INDEX(ECL!$AC$9:$AC$108,MATCH(C59,ECL!$C$9:$C$108,0)),"Unavailable"))</x:f>
      </x:c>
      <x:c r="Y59" s="21" t="str">
        <x:f>IF(C59="","",IF(AQ59&lt;&gt;"Ready","Unavailable",IF(C59="","",U59-W59+V59-X59+N59+AG59)))</x:f>
      </x:c>
      <x:c r="Z59" s="23" t="str">
        <x:f>IF(C59="","",IF(AQ59&lt;&gt;"Ready","Unavailable",IF(C59="","",(G59+O59+L59)/2*INDEX('Facilities'!$T$9:$T$108,MATCH(C59,'Facilities'!$C$9:$C$108,0))+AG59)))</x:f>
      </x:c>
      <x:c r="AA59" s="23" t="str">
        <x:f>IF(C59="","",IF(AQ59&lt;&gt;"Ready","Unavailable",IF(C59="","",O59*(1-IF(INDEX('Facilities'!$AA$9:$AA$108,MATCH(C59,'Facilities'!$C$9:$C$108,0))=0,0,MIN(1,INDEX('Facilities'!$X$9:$X$108,MATCH(C59,'Facilities'!$C$9:$C$108,0))/INDEX('Facilities'!$AA$9:$AA$108,MATCH(C59,'Facilities'!$C$9:$C$108,0)))))*AF59+P59*(1-IF(INDEX('Facilities'!$AA$9:$AA$108,MATCH(C59,'Facilities'!$C$9:$C$108,0))=0,0,MIN(1,INDEX('Facilities'!$X$9:$X$108,MATCH(C59,'Facilities'!$C$9:$C$108,0))/INDEX('Facilities'!$AA$9:$AA$108,MATCH(C59,'Facilities'!$C$9:$C$108,0)))))*INDEX('Facilities'!$AJ$9:$AJ$108,MATCH(C59,'Facilities'!$C$9:$C$108,0))+Q59*INDEX('Facilities'!$AI$9:$AI$108,MATCH(C59,'Facilities'!$C$9:$C$108,0))*AF59)))</x:f>
      </x:c>
      <x:c r="AB59" s="21" t="str">
        <x:f>IF(C59="","",O59+P59-AD59)</x:f>
      </x:c>
      <x:c r="AC59" s="23" t="str">
        <x:f>IF(C59="","",IFERROR(IF(INDEX('Facilities'!$AD$9:$AD$108,MATCH(C59,'Facilities'!$C$9:$C$108,0))=3,0,IF(INDEX('Facilities'!$AN$9:$AN$108,MATCH(C59,'Facilities'!$C$9:$C$108,0))=0,-1,INDEX('Facilities'!$AN$9:$AN$108,MATCH(C59,'Facilities'!$C$9:$C$108,0)))),"Unavailable"))</x:f>
      </x:c>
      <x:c r="AD59" s="21" t="str">
        <x:f>IF(C59="","",IFERROR(G59+H59,"Unavailable"))</x:f>
      </x:c>
      <x:c r="AE59" s="21" t="str">
        <x:f>IF(C59="","",IF(AQ59&lt;&gt;"Ready","Unavailable",IF(C59="","",O59+P59-AD59-J59+K59+M59+N59)))</x:f>
      </x:c>
      <x:c r="AF59" s="30" t="str">
        <x:f>IF(C59="","",IFERROR(INDEX('Facilities'!$S$9:$S$108,MATCH(C59,'Facilities'!$C$9:$C$108,0))*'Scenario Paths'!F75,"Unavailable"))</x:f>
      </x:c>
      <x:c r="AG59" s="23" t="str">
        <x:f>IF(C59="","",IF(AQ59&lt;&gt;"Ready","Unavailable",IF(C59="","",IF(H59&gt;0,MAX(0,H59-AK59)*((1+INDEX('Facilities'!$K$9:$K$108,MATCH(C59,'Facilities'!$C$9:$C$108,0)))^MIN(1,MAX(0,AC59+INDEX('Facilities'!$AK$9:$AK$108,MATCH(C59,'Facilities'!$C$9:$C$108,0))-D59+1))-1),0))))</x:f>
      </x:c>
      <x:c r="AH59" s="21" t="str">
        <x:f>IF(C59="","",IF(AQ59&lt;&gt;"Ready","Unavailable",IF(C59="","",O59+P59)))</x:f>
      </x:c>
      <x:c r="AI59" s="21" t="str">
        <x:f>IF(C59="","",IF(AQ59&lt;&gt;"Ready","Unavailable",IF(C59="","",Z59-Y59)))</x:f>
      </x:c>
      <x:c r="AJ59" s="23" t="str">
        <x:f>IF(C59="","",IFERROR(MAX(0,INDEX('Facilities'!$J$9:$J$108,MATCH(C59,'Facilities'!$C$9:$C$108,0))-D59),"Unavailable"))</x:f>
      </x:c>
      <x:c r="AK59" s="23" t="str">
        <x:f>IF(C59="","",IFERROR(IF(INDEX('Facilities'!$AD$9:$AD$108,MATCH(C59,'Facilities'!$C$9:$C$108,0))=3,W59,0),"Unavailable"))</x:f>
      </x:c>
      <x:c r="AL59" s="23" t="str">
        <x:f>IF(C59="","",IFERROR(IF(P59&gt;0,P59*(1-AM59/(1+INDEX('Facilities'!$K$9:$K$108,MATCH(C59,'Facilities'!$C$9:$C$108,0)))^MAX(0,AC59+INDEX('Facilities'!$AK$9:$AK$108,MATCH(C59,'Facilities'!$C$9:$C$108,0))-D59)),0),"Unavailable"))</x:f>
      </x:c>
      <x:c r="AM59" s="30" t="str">
        <x:f>IF(C59="","",IFERROR(INDEX('Facilities'!$AL$9:$AL$108,MATCH(C59,'Facilities'!$C$9:$C$108,0)),"Unavailable"))</x:f>
      </x:c>
      <x:c r="AN59" s="30" t="str">
        <x:f>IF(C59="","",IFERROR(INDEX(Credit!$T$9:$T$108,MATCH(F59,Credit!$C$9:$C$108,0)),"Unavailable"))</x:f>
      </x:c>
      <x:c r="AO59" s="23" t="str">
        <x:f>IF(C59="","",IF(AQ59&lt;&gt;"Ready","Unavailable",IF(C59="","",O59+P59+Q59*INDEX('Facilities'!$I$9:$I$108,MATCH(C59,'Facilities'!$C$9:$C$108,0)))))</x:f>
      </x:c>
      <x:c r="AP59" s="21" t="str">
        <x:f>IF(C59="","",IF(AQ59&lt;&gt;"Ready","Unavailable",IF(C59="","",AH59-U59)))</x:f>
      </x:c>
      <x:c r="AQ59" s="23" t="str">
        <x:f>IFERROR(IF(C59="","",IF(AND(INDEX('Facilities'!$AF$9:$AF$108,MATCH(C59,'Facilities'!$C$9:$C$108,0))="Ready",INDEX(Credit!$U$9:$U$108,MATCH(F59,Credit!$C$9:$C$108,0))="Ready",ISNUMBER(W59)),"Ready","Review inputs")),"Review inputs")</x:f>
      </x:c>
      <x:c r="AR59" s="23" t="str">
        <x:f>IF(C59="","",IF(AQ59&lt;&gt;"Ready","Unavailable",IF(C59="","",IF(O59=0,0,(IF(AJ59&lt;=1,O59,O59*INDEX('Facilities'!$R$9:$R$108,MATCH(C59,'Facilities'!$C$9:$C$108,0)))+O59*INDEX('Facilities'!$T$9:$T$108,MATCH(C59,'Facilities'!$C$9:$C$108,0)))/12))))</x:f>
      </x:c>
    </x:row>
    <x:row r="60" ht="26" customHeight="1">
      <x:c r="A60" s="1"/>
      <x:c r="B60" s="1"/>
      <x:c r="C60" s="9" t="str">
        <x:f>IF(Facilities!C60="","",Facilities!C60)</x:f>
      </x:c>
      <x:c r="D60" s="3" t="n">
        <x:v>1</x:v>
      </x:c>
      <x:c r="E60" s="9" t="n">
        <x:f>Settings!$F$18+0</x:f>
        <x:v>2027</x:v>
      </x:c>
      <x:c r="F60" s="9" t="str">
        <x:f>IF(C60="","",IFERROR(INDEX('Facilities'!$D$9:$D$108,MATCH(C60,'Facilities'!$C$9:$C$108,0)),"Unavailable"))</x:f>
      </x:c>
      <x:c r="G60" s="23" t="str">
        <x:f>IF(C60="","",IFERROR(IF(INDEX('Facilities'!$AD$9:$AD$108,MATCH(C60,'Facilities'!$C$9:$C$108,0))=3,0,INDEX('Facilities'!$AA$9:$AA$108,MATCH(C60,'Facilities'!$C$9:$C$108,0))),"Unavailable"))</x:f>
      </x:c>
      <x:c r="H60" s="23" t="str">
        <x:f>IF(C60="","",IFERROR(IF(INDEX('Facilities'!$AD$9:$AD$108,MATCH(C60,'Facilities'!$C$9:$C$108,0))=3,INDEX('Facilities'!$AA$9:$AA$108,MATCH(C60,'Facilities'!$C$9:$C$108,0)),0),"Unavailable"))</x:f>
      </x:c>
      <x:c r="I60" s="23" t="str">
        <x:f>IF(C60="","",IFERROR(INDEX('Facilities'!$AB$9:$AB$108,MATCH(C60,'Facilities'!$C$9:$C$108,0)),"Unavailable"))</x:f>
      </x:c>
      <x:c r="J60" s="23" t="str">
        <x:f>IF(C60="","",IFERROR(IF(OR(H60&gt;0,AND(AC60&gt;=0,AC60&lt;D60),D60&gt;INDEX('Facilities'!$J$9:$J$108,MATCH(C60,'Facilities'!$C$9:$C$108,0))),0,I60*'Scenario Paths'!F81),"Unavailable"))</x:f>
      </x:c>
      <x:c r="K60" s="23" t="str">
        <x:f>IF(C60="","",IFERROR(IF(OR(H60&gt;0,AND(AC60&gt;=0,AC60=D60)),0,IF(D60&gt;=INDEX('Facilities'!$J$9:$J$108,MATCH(C60,'Facilities'!$C$9:$C$108,0)),G60+J60,MIN(G60+J60,G60*INDEX('Facilities'!$R$9:$R$108,MATCH(C60,'Facilities'!$C$9:$C$108,0))))),"Unavailable"))</x:f>
      </x:c>
      <x:c r="L60" s="21" t="str">
        <x:f>IF(C60="","",IFERROR(IF(AND(AC60=D60,AC60&gt;0),MAX(0,G60+J60-K60),0),"Unavailable"))</x:f>
      </x:c>
      <x:c r="M60" s="23" t="str">
        <x:f>IF(C60="","",IFERROR(IF(AND(AC60&gt;=0,D60&gt;=AC60+INDEX('Facilities'!$AK$9:$AK$108,MATCH(C60,'Facilities'!$C$9:$C$108,0))),(H60+L60)*AM60,0),"Unavailable"))</x:f>
      </x:c>
      <x:c r="N60" s="23" t="str">
        <x:f>IF(C60="","",IFERROR(IF(AND(AC60&gt;=0,D60&gt;=AC60+INDEX('Facilities'!$AK$9:$AK$108,MATCH(C60,'Facilities'!$C$9:$C$108,0))),H60+L60-M60,0),"Unavailable"))</x:f>
      </x:c>
      <x:c r="O60" s="21" t="str">
        <x:f>IF(C60="","",IFERROR(MAX(0,G60+J60-K60-L60),"Unavailable"))</x:f>
      </x:c>
      <x:c r="P60" s="21" t="str">
        <x:f>IF(C60="","",IFERROR(MAX(0,H60+L60-M60-N60),"Unavailable"))</x:f>
      </x:c>
      <x:c r="Q60" s="23" t="str">
        <x:f>IF(C60="","",IFERROR(IF(OR(D60&gt;=INDEX('Facilities'!$J$9:$J$108,MATCH(C60,'Facilities'!$C$9:$C$108,0)),AND(AC60&gt;=0,AC60&lt;=D60)),0,MAX(0,I60-J60)),"Unavailable"))</x:f>
      </x:c>
      <x:c r="R60" s="30" t="str">
        <x:f>IF(C60="","",IFERROR(INDEX(Credit!$Q$9:$Q$108,MATCH(F60,Credit!$C$9:$C$108,0)),"Unavailable"))</x:f>
      </x:c>
      <x:c r="S60" s="30" t="str">
        <x:f>IF(C60="","",IFERROR(INDEX(Credit!$R$9:$R$108,MATCH(F60,Credit!$C$9:$C$108,0)),"Unavailable"))</x:f>
      </x:c>
      <x:c r="T60" s="23" t="str">
        <x:f>IF(C60="","",IFERROR(IF(P60&gt;0,3,IF(OR(INDEX('Facilities'!$AD$9:$AD$108,MATCH(C60,'Facilities'!$C$9:$C$108,0))=2,AND(R60&gt;=INDEX('Facilities'!$L$9:$L$108,MATCH(C60,'Facilities'!$C$9:$C$108,0))*Settings!$F$19,R60-INDEX('Facilities'!$L$9:$L$108,MATCH(C60,'Facilities'!$C$9:$C$108,0))&gt;=Settings!$F$20)),2,1)),"Unavailable"))</x:f>
      </x:c>
      <x:c r="U60" s="23" t="str">
        <x:f>IF(C60="","",IF(AQ60&lt;&gt;"Ready","Unavailable",IF(C60="","",O60*(1-(1-S60)/(1+INDEX('Facilities'!$K$9:$K$108,MATCH(C60,'Facilities'!$C$9:$C$108,0)))^INDEX('Facilities'!$AK$9:$AK$108,MATCH(C60,'Facilities'!$C$9:$C$108,0)))*R60/(1+INDEX('Facilities'!$K$9:$K$108,MATCH(C60,'Facilities'!$C$9:$C$108,0)))*IF(ABS(1-(1-R60)*(1-INDEX('Facilities'!$R$9:$R$108,MATCH(C60,'Facilities'!$C$9:$C$108,0)))/(1+INDEX('Facilities'!$K$9:$K$108,MATCH(C60,'Facilities'!$C$9:$C$108,0))))&lt;0.000000001,IF(T60=1,MIN(1,AJ60),AJ60),(1-((1-R60)*(1-INDEX('Facilities'!$R$9:$R$108,MATCH(C60,'Facilities'!$C$9:$C$108,0)))/(1+INDEX('Facilities'!$K$9:$K$108,MATCH(C60,'Facilities'!$C$9:$C$108,0))))^IF(T60=1,MIN(1,AJ60),AJ60))/(1-(1-R60)*(1-INDEX('Facilities'!$R$9:$R$108,MATCH(C60,'Facilities'!$C$9:$C$108,0)))/(1+INDEX('Facilities'!$K$9:$K$108,MATCH(C60,'Facilities'!$C$9:$C$108,0)))))+AL60)))</x:f>
      </x:c>
      <x:c r="V60" s="23" t="str">
        <x:f>IF(C60="","",IF(AQ60&lt;&gt;"Ready","Unavailable",IF(C60="","",Q60*INDEX('Facilities'!$I$9:$I$108,MATCH(C60,'Facilities'!$C$9:$C$108,0))*(1-(1-S60)/(1+INDEX('Facilities'!$K$9:$K$108,MATCH(C60,'Facilities'!$C$9:$C$108,0)))^INDEX('Facilities'!$AK$9:$AK$108,MATCH(C60,'Facilities'!$C$9:$C$108,0)))*R60/(1+INDEX('Facilities'!$K$9:$K$108,MATCH(C60,'Facilities'!$C$9:$C$108,0)))*IF(ABS(1-(1-R60)*(1-0)/(1+INDEX('Facilities'!$K$9:$K$108,MATCH(C60,'Facilities'!$C$9:$C$108,0))))&lt;0.000000001,IF(T60=1,MIN(1,AJ60),AJ60),(1-((1-R60)*(1-0)/(1+INDEX('Facilities'!$K$9:$K$108,MATCH(C60,'Facilities'!$C$9:$C$108,0))))^IF(T60=1,MIN(1,AJ60),AJ60))/(1-(1-R60)*(1-0)/(1+INDEX('Facilities'!$K$9:$K$108,MATCH(C60,'Facilities'!$C$9:$C$108,0))))))))</x:f>
      </x:c>
      <x:c r="W60" s="23" t="str">
        <x:f>IF(C60="","",IFERROR(INDEX(ECL!$AB$9:$AB$108,MATCH(C60,ECL!$C$9:$C$108,0)),"Unavailable"))</x:f>
      </x:c>
      <x:c r="X60" s="23" t="str">
        <x:f>IF(C60="","",IFERROR(INDEX(ECL!$AC$9:$AC$108,MATCH(C60,ECL!$C$9:$C$108,0)),"Unavailable"))</x:f>
      </x:c>
      <x:c r="Y60" s="21" t="str">
        <x:f>IF(C60="","",IF(AQ60&lt;&gt;"Ready","Unavailable",IF(C60="","",U60-W60+V60-X60+N60+AG60)))</x:f>
      </x:c>
      <x:c r="Z60" s="23" t="str">
        <x:f>IF(C60="","",IF(AQ60&lt;&gt;"Ready","Unavailable",IF(C60="","",(G60+O60+L60)/2*INDEX('Facilities'!$T$9:$T$108,MATCH(C60,'Facilities'!$C$9:$C$108,0))+AG60)))</x:f>
      </x:c>
      <x:c r="AA60" s="23" t="str">
        <x:f>IF(C60="","",IF(AQ60&lt;&gt;"Ready","Unavailable",IF(C60="","",O60*(1-IF(INDEX('Facilities'!$AA$9:$AA$108,MATCH(C60,'Facilities'!$C$9:$C$108,0))=0,0,MIN(1,INDEX('Facilities'!$X$9:$X$108,MATCH(C60,'Facilities'!$C$9:$C$108,0))/INDEX('Facilities'!$AA$9:$AA$108,MATCH(C60,'Facilities'!$C$9:$C$108,0)))))*AF60+P60*(1-IF(INDEX('Facilities'!$AA$9:$AA$108,MATCH(C60,'Facilities'!$C$9:$C$108,0))=0,0,MIN(1,INDEX('Facilities'!$X$9:$X$108,MATCH(C60,'Facilities'!$C$9:$C$108,0))/INDEX('Facilities'!$AA$9:$AA$108,MATCH(C60,'Facilities'!$C$9:$C$108,0)))))*INDEX('Facilities'!$AJ$9:$AJ$108,MATCH(C60,'Facilities'!$C$9:$C$108,0))+Q60*INDEX('Facilities'!$AI$9:$AI$108,MATCH(C60,'Facilities'!$C$9:$C$108,0))*AF60)))</x:f>
      </x:c>
      <x:c r="AB60" s="21" t="str">
        <x:f>IF(C60="","",O60+P60-AD60)</x:f>
      </x:c>
      <x:c r="AC60" s="23" t="str">
        <x:f>IF(C60="","",IFERROR(IF(INDEX('Facilities'!$AD$9:$AD$108,MATCH(C60,'Facilities'!$C$9:$C$108,0))=3,0,IF(INDEX('Facilities'!$AN$9:$AN$108,MATCH(C60,'Facilities'!$C$9:$C$108,0))=0,-1,INDEX('Facilities'!$AN$9:$AN$108,MATCH(C60,'Facilities'!$C$9:$C$108,0)))),"Unavailable"))</x:f>
      </x:c>
      <x:c r="AD60" s="21" t="str">
        <x:f>IF(C60="","",IFERROR(G60+H60,"Unavailable"))</x:f>
      </x:c>
      <x:c r="AE60" s="21" t="str">
        <x:f>IF(C60="","",IF(AQ60&lt;&gt;"Ready","Unavailable",IF(C60="","",O60+P60-AD60-J60+K60+M60+N60)))</x:f>
      </x:c>
      <x:c r="AF60" s="30" t="str">
        <x:f>IF(C60="","",IFERROR(INDEX('Facilities'!$S$9:$S$108,MATCH(C60,'Facilities'!$C$9:$C$108,0))*'Scenario Paths'!F75,"Unavailable"))</x:f>
      </x:c>
      <x:c r="AG60" s="23" t="str">
        <x:f>IF(C60="","",IF(AQ60&lt;&gt;"Ready","Unavailable",IF(C60="","",IF(H60&gt;0,MAX(0,H60-AK60)*((1+INDEX('Facilities'!$K$9:$K$108,MATCH(C60,'Facilities'!$C$9:$C$108,0)))^MIN(1,MAX(0,AC60+INDEX('Facilities'!$AK$9:$AK$108,MATCH(C60,'Facilities'!$C$9:$C$108,0))-D60+1))-1),0))))</x:f>
      </x:c>
      <x:c r="AH60" s="21" t="str">
        <x:f>IF(C60="","",IF(AQ60&lt;&gt;"Ready","Unavailable",IF(C60="","",O60+P60)))</x:f>
      </x:c>
      <x:c r="AI60" s="21" t="str">
        <x:f>IF(C60="","",IF(AQ60&lt;&gt;"Ready","Unavailable",IF(C60="","",Z60-Y60)))</x:f>
      </x:c>
      <x:c r="AJ60" s="23" t="str">
        <x:f>IF(C60="","",IFERROR(MAX(0,INDEX('Facilities'!$J$9:$J$108,MATCH(C60,'Facilities'!$C$9:$C$108,0))-D60),"Unavailable"))</x:f>
      </x:c>
      <x:c r="AK60" s="23" t="str">
        <x:f>IF(C60="","",IFERROR(IF(INDEX('Facilities'!$AD$9:$AD$108,MATCH(C60,'Facilities'!$C$9:$C$108,0))=3,W60,0),"Unavailable"))</x:f>
      </x:c>
      <x:c r="AL60" s="23" t="str">
        <x:f>IF(C60="","",IFERROR(IF(P60&gt;0,P60*(1-AM60/(1+INDEX('Facilities'!$K$9:$K$108,MATCH(C60,'Facilities'!$C$9:$C$108,0)))^MAX(0,AC60+INDEX('Facilities'!$AK$9:$AK$108,MATCH(C60,'Facilities'!$C$9:$C$108,0))-D60)),0),"Unavailable"))</x:f>
      </x:c>
      <x:c r="AM60" s="30" t="str">
        <x:f>IF(C60="","",IFERROR(INDEX('Facilities'!$AL$9:$AL$108,MATCH(C60,'Facilities'!$C$9:$C$108,0)),"Unavailable"))</x:f>
      </x:c>
      <x:c r="AN60" s="30" t="str">
        <x:f>IF(C60="","",IFERROR(INDEX(Credit!$T$9:$T$108,MATCH(F60,Credit!$C$9:$C$108,0)),"Unavailable"))</x:f>
      </x:c>
      <x:c r="AO60" s="23" t="str">
        <x:f>IF(C60="","",IF(AQ60&lt;&gt;"Ready","Unavailable",IF(C60="","",O60+P60+Q60*INDEX('Facilities'!$I$9:$I$108,MATCH(C60,'Facilities'!$C$9:$C$108,0)))))</x:f>
      </x:c>
      <x:c r="AP60" s="21" t="str">
        <x:f>IF(C60="","",IF(AQ60&lt;&gt;"Ready","Unavailable",IF(C60="","",AH60-U60)))</x:f>
      </x:c>
      <x:c r="AQ60" s="23" t="str">
        <x:f>IFERROR(IF(C60="","",IF(AND(INDEX('Facilities'!$AF$9:$AF$108,MATCH(C60,'Facilities'!$C$9:$C$108,0))="Ready",INDEX(Credit!$U$9:$U$108,MATCH(F60,Credit!$C$9:$C$108,0))="Ready",ISNUMBER(W60)),"Ready","Review inputs")),"Review inputs")</x:f>
      </x:c>
      <x:c r="AR60" s="23" t="str">
        <x:f>IF(C60="","",IF(AQ60&lt;&gt;"Ready","Unavailable",IF(C60="","",IF(O60=0,0,(IF(AJ60&lt;=1,O60,O60*INDEX('Facilities'!$R$9:$R$108,MATCH(C60,'Facilities'!$C$9:$C$108,0)))+O60*INDEX('Facilities'!$T$9:$T$108,MATCH(C60,'Facilities'!$C$9:$C$108,0)))/12))))</x:f>
      </x:c>
    </x:row>
    <x:row r="61" ht="26" customHeight="1">
      <x:c r="A61" s="1"/>
      <x:c r="B61" s="1"/>
      <x:c r="C61" s="9" t="str">
        <x:f>IF(Facilities!C61="","",Facilities!C61)</x:f>
      </x:c>
      <x:c r="D61" s="3" t="n">
        <x:v>1</x:v>
      </x:c>
      <x:c r="E61" s="9" t="n">
        <x:f>Settings!$F$18+0</x:f>
        <x:v>2027</x:v>
      </x:c>
      <x:c r="F61" s="9" t="str">
        <x:f>IF(C61="","",IFERROR(INDEX('Facilities'!$D$9:$D$108,MATCH(C61,'Facilities'!$C$9:$C$108,0)),"Unavailable"))</x:f>
      </x:c>
      <x:c r="G61" s="23" t="str">
        <x:f>IF(C61="","",IFERROR(IF(INDEX('Facilities'!$AD$9:$AD$108,MATCH(C61,'Facilities'!$C$9:$C$108,0))=3,0,INDEX('Facilities'!$AA$9:$AA$108,MATCH(C61,'Facilities'!$C$9:$C$108,0))),"Unavailable"))</x:f>
      </x:c>
      <x:c r="H61" s="23" t="str">
        <x:f>IF(C61="","",IFERROR(IF(INDEX('Facilities'!$AD$9:$AD$108,MATCH(C61,'Facilities'!$C$9:$C$108,0))=3,INDEX('Facilities'!$AA$9:$AA$108,MATCH(C61,'Facilities'!$C$9:$C$108,0)),0),"Unavailable"))</x:f>
      </x:c>
      <x:c r="I61" s="23" t="str">
        <x:f>IF(C61="","",IFERROR(INDEX('Facilities'!$AB$9:$AB$108,MATCH(C61,'Facilities'!$C$9:$C$108,0)),"Unavailable"))</x:f>
      </x:c>
      <x:c r="J61" s="23" t="str">
        <x:f>IF(C61="","",IFERROR(IF(OR(H61&gt;0,AND(AC61&gt;=0,AC61&lt;D61),D61&gt;INDEX('Facilities'!$J$9:$J$108,MATCH(C61,'Facilities'!$C$9:$C$108,0))),0,I61*'Scenario Paths'!F81),"Unavailable"))</x:f>
      </x:c>
      <x:c r="K61" s="23" t="str">
        <x:f>IF(C61="","",IFERROR(IF(OR(H61&gt;0,AND(AC61&gt;=0,AC61=D61)),0,IF(D61&gt;=INDEX('Facilities'!$J$9:$J$108,MATCH(C61,'Facilities'!$C$9:$C$108,0)),G61+J61,MIN(G61+J61,G61*INDEX('Facilities'!$R$9:$R$108,MATCH(C61,'Facilities'!$C$9:$C$108,0))))),"Unavailable"))</x:f>
      </x:c>
      <x:c r="L61" s="21" t="str">
        <x:f>IF(C61="","",IFERROR(IF(AND(AC61=D61,AC61&gt;0),MAX(0,G61+J61-K61),0),"Unavailable"))</x:f>
      </x:c>
      <x:c r="M61" s="23" t="str">
        <x:f>IF(C61="","",IFERROR(IF(AND(AC61&gt;=0,D61&gt;=AC61+INDEX('Facilities'!$AK$9:$AK$108,MATCH(C61,'Facilities'!$C$9:$C$108,0))),(H61+L61)*AM61,0),"Unavailable"))</x:f>
      </x:c>
      <x:c r="N61" s="23" t="str">
        <x:f>IF(C61="","",IFERROR(IF(AND(AC61&gt;=0,D61&gt;=AC61+INDEX('Facilities'!$AK$9:$AK$108,MATCH(C61,'Facilities'!$C$9:$C$108,0))),H61+L61-M61,0),"Unavailable"))</x:f>
      </x:c>
      <x:c r="O61" s="21" t="str">
        <x:f>IF(C61="","",IFERROR(MAX(0,G61+J61-K61-L61),"Unavailable"))</x:f>
      </x:c>
      <x:c r="P61" s="21" t="str">
        <x:f>IF(C61="","",IFERROR(MAX(0,H61+L61-M61-N61),"Unavailable"))</x:f>
      </x:c>
      <x:c r="Q61" s="23" t="str">
        <x:f>IF(C61="","",IFERROR(IF(OR(D61&gt;=INDEX('Facilities'!$J$9:$J$108,MATCH(C61,'Facilities'!$C$9:$C$108,0)),AND(AC61&gt;=0,AC61&lt;=D61)),0,MAX(0,I61-J61)),"Unavailable"))</x:f>
      </x:c>
      <x:c r="R61" s="30" t="str">
        <x:f>IF(C61="","",IFERROR(INDEX(Credit!$Q$9:$Q$108,MATCH(F61,Credit!$C$9:$C$108,0)),"Unavailable"))</x:f>
      </x:c>
      <x:c r="S61" s="30" t="str">
        <x:f>IF(C61="","",IFERROR(INDEX(Credit!$R$9:$R$108,MATCH(F61,Credit!$C$9:$C$108,0)),"Unavailable"))</x:f>
      </x:c>
      <x:c r="T61" s="23" t="str">
        <x:f>IF(C61="","",IFERROR(IF(P61&gt;0,3,IF(OR(INDEX('Facilities'!$AD$9:$AD$108,MATCH(C61,'Facilities'!$C$9:$C$108,0))=2,AND(R61&gt;=INDEX('Facilities'!$L$9:$L$108,MATCH(C61,'Facilities'!$C$9:$C$108,0))*Settings!$F$19,R61-INDEX('Facilities'!$L$9:$L$108,MATCH(C61,'Facilities'!$C$9:$C$108,0))&gt;=Settings!$F$20)),2,1)),"Unavailable"))</x:f>
      </x:c>
      <x:c r="U61" s="23" t="str">
        <x:f>IF(C61="","",IF(AQ61&lt;&gt;"Ready","Unavailable",IF(C61="","",O61*(1-(1-S61)/(1+INDEX('Facilities'!$K$9:$K$108,MATCH(C61,'Facilities'!$C$9:$C$108,0)))^INDEX('Facilities'!$AK$9:$AK$108,MATCH(C61,'Facilities'!$C$9:$C$108,0)))*R61/(1+INDEX('Facilities'!$K$9:$K$108,MATCH(C61,'Facilities'!$C$9:$C$108,0)))*IF(ABS(1-(1-R61)*(1-INDEX('Facilities'!$R$9:$R$108,MATCH(C61,'Facilities'!$C$9:$C$108,0)))/(1+INDEX('Facilities'!$K$9:$K$108,MATCH(C61,'Facilities'!$C$9:$C$108,0))))&lt;0.000000001,IF(T61=1,MIN(1,AJ61),AJ61),(1-((1-R61)*(1-INDEX('Facilities'!$R$9:$R$108,MATCH(C61,'Facilities'!$C$9:$C$108,0)))/(1+INDEX('Facilities'!$K$9:$K$108,MATCH(C61,'Facilities'!$C$9:$C$108,0))))^IF(T61=1,MIN(1,AJ61),AJ61))/(1-(1-R61)*(1-INDEX('Facilities'!$R$9:$R$108,MATCH(C61,'Facilities'!$C$9:$C$108,0)))/(1+INDEX('Facilities'!$K$9:$K$108,MATCH(C61,'Facilities'!$C$9:$C$108,0)))))+AL61)))</x:f>
      </x:c>
      <x:c r="V61" s="23" t="str">
        <x:f>IF(C61="","",IF(AQ61&lt;&gt;"Ready","Unavailable",IF(C61="","",Q61*INDEX('Facilities'!$I$9:$I$108,MATCH(C61,'Facilities'!$C$9:$C$108,0))*(1-(1-S61)/(1+INDEX('Facilities'!$K$9:$K$108,MATCH(C61,'Facilities'!$C$9:$C$108,0)))^INDEX('Facilities'!$AK$9:$AK$108,MATCH(C61,'Facilities'!$C$9:$C$108,0)))*R61/(1+INDEX('Facilities'!$K$9:$K$108,MATCH(C61,'Facilities'!$C$9:$C$108,0)))*IF(ABS(1-(1-R61)*(1-0)/(1+INDEX('Facilities'!$K$9:$K$108,MATCH(C61,'Facilities'!$C$9:$C$108,0))))&lt;0.000000001,IF(T61=1,MIN(1,AJ61),AJ61),(1-((1-R61)*(1-0)/(1+INDEX('Facilities'!$K$9:$K$108,MATCH(C61,'Facilities'!$C$9:$C$108,0))))^IF(T61=1,MIN(1,AJ61),AJ61))/(1-(1-R61)*(1-0)/(1+INDEX('Facilities'!$K$9:$K$108,MATCH(C61,'Facilities'!$C$9:$C$108,0))))))))</x:f>
      </x:c>
      <x:c r="W61" s="23" t="str">
        <x:f>IF(C61="","",IFERROR(INDEX(ECL!$AB$9:$AB$108,MATCH(C61,ECL!$C$9:$C$108,0)),"Unavailable"))</x:f>
      </x:c>
      <x:c r="X61" s="23" t="str">
        <x:f>IF(C61="","",IFERROR(INDEX(ECL!$AC$9:$AC$108,MATCH(C61,ECL!$C$9:$C$108,0)),"Unavailable"))</x:f>
      </x:c>
      <x:c r="Y61" s="21" t="str">
        <x:f>IF(C61="","",IF(AQ61&lt;&gt;"Ready","Unavailable",IF(C61="","",U61-W61+V61-X61+N61+AG61)))</x:f>
      </x:c>
      <x:c r="Z61" s="23" t="str">
        <x:f>IF(C61="","",IF(AQ61&lt;&gt;"Ready","Unavailable",IF(C61="","",(G61+O61+L61)/2*INDEX('Facilities'!$T$9:$T$108,MATCH(C61,'Facilities'!$C$9:$C$108,0))+AG61)))</x:f>
      </x:c>
      <x:c r="AA61" s="23" t="str">
        <x:f>IF(C61="","",IF(AQ61&lt;&gt;"Ready","Unavailable",IF(C61="","",O61*(1-IF(INDEX('Facilities'!$AA$9:$AA$108,MATCH(C61,'Facilities'!$C$9:$C$108,0))=0,0,MIN(1,INDEX('Facilities'!$X$9:$X$108,MATCH(C61,'Facilities'!$C$9:$C$108,0))/INDEX('Facilities'!$AA$9:$AA$108,MATCH(C61,'Facilities'!$C$9:$C$108,0)))))*AF61+P61*(1-IF(INDEX('Facilities'!$AA$9:$AA$108,MATCH(C61,'Facilities'!$C$9:$C$108,0))=0,0,MIN(1,INDEX('Facilities'!$X$9:$X$108,MATCH(C61,'Facilities'!$C$9:$C$108,0))/INDEX('Facilities'!$AA$9:$AA$108,MATCH(C61,'Facilities'!$C$9:$C$108,0)))))*INDEX('Facilities'!$AJ$9:$AJ$108,MATCH(C61,'Facilities'!$C$9:$C$108,0))+Q61*INDEX('Facilities'!$AI$9:$AI$108,MATCH(C61,'Facilities'!$C$9:$C$108,0))*AF61)))</x:f>
      </x:c>
      <x:c r="AB61" s="21" t="str">
        <x:f>IF(C61="","",O61+P61-AD61)</x:f>
      </x:c>
      <x:c r="AC61" s="23" t="str">
        <x:f>IF(C61="","",IFERROR(IF(INDEX('Facilities'!$AD$9:$AD$108,MATCH(C61,'Facilities'!$C$9:$C$108,0))=3,0,IF(INDEX('Facilities'!$AN$9:$AN$108,MATCH(C61,'Facilities'!$C$9:$C$108,0))=0,-1,INDEX('Facilities'!$AN$9:$AN$108,MATCH(C61,'Facilities'!$C$9:$C$108,0)))),"Unavailable"))</x:f>
      </x:c>
      <x:c r="AD61" s="21" t="str">
        <x:f>IF(C61="","",IFERROR(G61+H61,"Unavailable"))</x:f>
      </x:c>
      <x:c r="AE61" s="21" t="str">
        <x:f>IF(C61="","",IF(AQ61&lt;&gt;"Ready","Unavailable",IF(C61="","",O61+P61-AD61-J61+K61+M61+N61)))</x:f>
      </x:c>
      <x:c r="AF61" s="30" t="str">
        <x:f>IF(C61="","",IFERROR(INDEX('Facilities'!$S$9:$S$108,MATCH(C61,'Facilities'!$C$9:$C$108,0))*'Scenario Paths'!F75,"Unavailable"))</x:f>
      </x:c>
      <x:c r="AG61" s="23" t="str">
        <x:f>IF(C61="","",IF(AQ61&lt;&gt;"Ready","Unavailable",IF(C61="","",IF(H61&gt;0,MAX(0,H61-AK61)*((1+INDEX('Facilities'!$K$9:$K$108,MATCH(C61,'Facilities'!$C$9:$C$108,0)))^MIN(1,MAX(0,AC61+INDEX('Facilities'!$AK$9:$AK$108,MATCH(C61,'Facilities'!$C$9:$C$108,0))-D61+1))-1),0))))</x:f>
      </x:c>
      <x:c r="AH61" s="21" t="str">
        <x:f>IF(C61="","",IF(AQ61&lt;&gt;"Ready","Unavailable",IF(C61="","",O61+P61)))</x:f>
      </x:c>
      <x:c r="AI61" s="21" t="str">
        <x:f>IF(C61="","",IF(AQ61&lt;&gt;"Ready","Unavailable",IF(C61="","",Z61-Y61)))</x:f>
      </x:c>
      <x:c r="AJ61" s="23" t="str">
        <x:f>IF(C61="","",IFERROR(MAX(0,INDEX('Facilities'!$J$9:$J$108,MATCH(C61,'Facilities'!$C$9:$C$108,0))-D61),"Unavailable"))</x:f>
      </x:c>
      <x:c r="AK61" s="23" t="str">
        <x:f>IF(C61="","",IFERROR(IF(INDEX('Facilities'!$AD$9:$AD$108,MATCH(C61,'Facilities'!$C$9:$C$108,0))=3,W61,0),"Unavailable"))</x:f>
      </x:c>
      <x:c r="AL61" s="23" t="str">
        <x:f>IF(C61="","",IFERROR(IF(P61&gt;0,P61*(1-AM61/(1+INDEX('Facilities'!$K$9:$K$108,MATCH(C61,'Facilities'!$C$9:$C$108,0)))^MAX(0,AC61+INDEX('Facilities'!$AK$9:$AK$108,MATCH(C61,'Facilities'!$C$9:$C$108,0))-D61)),0),"Unavailable"))</x:f>
      </x:c>
      <x:c r="AM61" s="30" t="str">
        <x:f>IF(C61="","",IFERROR(INDEX('Facilities'!$AL$9:$AL$108,MATCH(C61,'Facilities'!$C$9:$C$108,0)),"Unavailable"))</x:f>
      </x:c>
      <x:c r="AN61" s="30" t="str">
        <x:f>IF(C61="","",IFERROR(INDEX(Credit!$T$9:$T$108,MATCH(F61,Credit!$C$9:$C$108,0)),"Unavailable"))</x:f>
      </x:c>
      <x:c r="AO61" s="23" t="str">
        <x:f>IF(C61="","",IF(AQ61&lt;&gt;"Ready","Unavailable",IF(C61="","",O61+P61+Q61*INDEX('Facilities'!$I$9:$I$108,MATCH(C61,'Facilities'!$C$9:$C$108,0)))))</x:f>
      </x:c>
      <x:c r="AP61" s="21" t="str">
        <x:f>IF(C61="","",IF(AQ61&lt;&gt;"Ready","Unavailable",IF(C61="","",AH61-U61)))</x:f>
      </x:c>
      <x:c r="AQ61" s="23" t="str">
        <x:f>IFERROR(IF(C61="","",IF(AND(INDEX('Facilities'!$AF$9:$AF$108,MATCH(C61,'Facilities'!$C$9:$C$108,0))="Ready",INDEX(Credit!$U$9:$U$108,MATCH(F61,Credit!$C$9:$C$108,0))="Ready",ISNUMBER(W61)),"Ready","Review inputs")),"Review inputs")</x:f>
      </x:c>
      <x:c r="AR61" s="23" t="str">
        <x:f>IF(C61="","",IF(AQ61&lt;&gt;"Ready","Unavailable",IF(C61="","",IF(O61=0,0,(IF(AJ61&lt;=1,O61,O61*INDEX('Facilities'!$R$9:$R$108,MATCH(C61,'Facilities'!$C$9:$C$108,0)))+O61*INDEX('Facilities'!$T$9:$T$108,MATCH(C61,'Facilities'!$C$9:$C$108,0)))/12))))</x:f>
      </x:c>
    </x:row>
    <x:row r="62" ht="26" customHeight="1">
      <x:c r="A62" s="1"/>
      <x:c r="B62" s="1"/>
      <x:c r="C62" s="9" t="str">
        <x:f>IF(Facilities!C62="","",Facilities!C62)</x:f>
      </x:c>
      <x:c r="D62" s="3" t="n">
        <x:v>1</x:v>
      </x:c>
      <x:c r="E62" s="9" t="n">
        <x:f>Settings!$F$18+0</x:f>
        <x:v>2027</x:v>
      </x:c>
      <x:c r="F62" s="9" t="str">
        <x:f>IF(C62="","",IFERROR(INDEX('Facilities'!$D$9:$D$108,MATCH(C62,'Facilities'!$C$9:$C$108,0)),"Unavailable"))</x:f>
      </x:c>
      <x:c r="G62" s="23" t="str">
        <x:f>IF(C62="","",IFERROR(IF(INDEX('Facilities'!$AD$9:$AD$108,MATCH(C62,'Facilities'!$C$9:$C$108,0))=3,0,INDEX('Facilities'!$AA$9:$AA$108,MATCH(C62,'Facilities'!$C$9:$C$108,0))),"Unavailable"))</x:f>
      </x:c>
      <x:c r="H62" s="23" t="str">
        <x:f>IF(C62="","",IFERROR(IF(INDEX('Facilities'!$AD$9:$AD$108,MATCH(C62,'Facilities'!$C$9:$C$108,0))=3,INDEX('Facilities'!$AA$9:$AA$108,MATCH(C62,'Facilities'!$C$9:$C$108,0)),0),"Unavailable"))</x:f>
      </x:c>
      <x:c r="I62" s="23" t="str">
        <x:f>IF(C62="","",IFERROR(INDEX('Facilities'!$AB$9:$AB$108,MATCH(C62,'Facilities'!$C$9:$C$108,0)),"Unavailable"))</x:f>
      </x:c>
      <x:c r="J62" s="23" t="str">
        <x:f>IF(C62="","",IFERROR(IF(OR(H62&gt;0,AND(AC62&gt;=0,AC62&lt;D62),D62&gt;INDEX('Facilities'!$J$9:$J$108,MATCH(C62,'Facilities'!$C$9:$C$108,0))),0,I62*'Scenario Paths'!F81),"Unavailable"))</x:f>
      </x:c>
      <x:c r="K62" s="23" t="str">
        <x:f>IF(C62="","",IFERROR(IF(OR(H62&gt;0,AND(AC62&gt;=0,AC62=D62)),0,IF(D62&gt;=INDEX('Facilities'!$J$9:$J$108,MATCH(C62,'Facilities'!$C$9:$C$108,0)),G62+J62,MIN(G62+J62,G62*INDEX('Facilities'!$R$9:$R$108,MATCH(C62,'Facilities'!$C$9:$C$108,0))))),"Unavailable"))</x:f>
      </x:c>
      <x:c r="L62" s="21" t="str">
        <x:f>IF(C62="","",IFERROR(IF(AND(AC62=D62,AC62&gt;0),MAX(0,G62+J62-K62),0),"Unavailable"))</x:f>
      </x:c>
      <x:c r="M62" s="23" t="str">
        <x:f>IF(C62="","",IFERROR(IF(AND(AC62&gt;=0,D62&gt;=AC62+INDEX('Facilities'!$AK$9:$AK$108,MATCH(C62,'Facilities'!$C$9:$C$108,0))),(H62+L62)*AM62,0),"Unavailable"))</x:f>
      </x:c>
      <x:c r="N62" s="23" t="str">
        <x:f>IF(C62="","",IFERROR(IF(AND(AC62&gt;=0,D62&gt;=AC62+INDEX('Facilities'!$AK$9:$AK$108,MATCH(C62,'Facilities'!$C$9:$C$108,0))),H62+L62-M62,0),"Unavailable"))</x:f>
      </x:c>
      <x:c r="O62" s="21" t="str">
        <x:f>IF(C62="","",IFERROR(MAX(0,G62+J62-K62-L62),"Unavailable"))</x:f>
      </x:c>
      <x:c r="P62" s="21" t="str">
        <x:f>IF(C62="","",IFERROR(MAX(0,H62+L62-M62-N62),"Unavailable"))</x:f>
      </x:c>
      <x:c r="Q62" s="23" t="str">
        <x:f>IF(C62="","",IFERROR(IF(OR(D62&gt;=INDEX('Facilities'!$J$9:$J$108,MATCH(C62,'Facilities'!$C$9:$C$108,0)),AND(AC62&gt;=0,AC62&lt;=D62)),0,MAX(0,I62-J62)),"Unavailable"))</x:f>
      </x:c>
      <x:c r="R62" s="30" t="str">
        <x:f>IF(C62="","",IFERROR(INDEX(Credit!$Q$9:$Q$108,MATCH(F62,Credit!$C$9:$C$108,0)),"Unavailable"))</x:f>
      </x:c>
      <x:c r="S62" s="30" t="str">
        <x:f>IF(C62="","",IFERROR(INDEX(Credit!$R$9:$R$108,MATCH(F62,Credit!$C$9:$C$108,0)),"Unavailable"))</x:f>
      </x:c>
      <x:c r="T62" s="23" t="str">
        <x:f>IF(C62="","",IFERROR(IF(P62&gt;0,3,IF(OR(INDEX('Facilities'!$AD$9:$AD$108,MATCH(C62,'Facilities'!$C$9:$C$108,0))=2,AND(R62&gt;=INDEX('Facilities'!$L$9:$L$108,MATCH(C62,'Facilities'!$C$9:$C$108,0))*Settings!$F$19,R62-INDEX('Facilities'!$L$9:$L$108,MATCH(C62,'Facilities'!$C$9:$C$108,0))&gt;=Settings!$F$20)),2,1)),"Unavailable"))</x:f>
      </x:c>
      <x:c r="U62" s="23" t="str">
        <x:f>IF(C62="","",IF(AQ62&lt;&gt;"Ready","Unavailable",IF(C62="","",O62*(1-(1-S62)/(1+INDEX('Facilities'!$K$9:$K$108,MATCH(C62,'Facilities'!$C$9:$C$108,0)))^INDEX('Facilities'!$AK$9:$AK$108,MATCH(C62,'Facilities'!$C$9:$C$108,0)))*R62/(1+INDEX('Facilities'!$K$9:$K$108,MATCH(C62,'Facilities'!$C$9:$C$108,0)))*IF(ABS(1-(1-R62)*(1-INDEX('Facilities'!$R$9:$R$108,MATCH(C62,'Facilities'!$C$9:$C$108,0)))/(1+INDEX('Facilities'!$K$9:$K$108,MATCH(C62,'Facilities'!$C$9:$C$108,0))))&lt;0.000000001,IF(T62=1,MIN(1,AJ62),AJ62),(1-((1-R62)*(1-INDEX('Facilities'!$R$9:$R$108,MATCH(C62,'Facilities'!$C$9:$C$108,0)))/(1+INDEX('Facilities'!$K$9:$K$108,MATCH(C62,'Facilities'!$C$9:$C$108,0))))^IF(T62=1,MIN(1,AJ62),AJ62))/(1-(1-R62)*(1-INDEX('Facilities'!$R$9:$R$108,MATCH(C62,'Facilities'!$C$9:$C$108,0)))/(1+INDEX('Facilities'!$K$9:$K$108,MATCH(C62,'Facilities'!$C$9:$C$108,0)))))+AL62)))</x:f>
      </x:c>
      <x:c r="V62" s="23" t="str">
        <x:f>IF(C62="","",IF(AQ62&lt;&gt;"Ready","Unavailable",IF(C62="","",Q62*INDEX('Facilities'!$I$9:$I$108,MATCH(C62,'Facilities'!$C$9:$C$108,0))*(1-(1-S62)/(1+INDEX('Facilities'!$K$9:$K$108,MATCH(C62,'Facilities'!$C$9:$C$108,0)))^INDEX('Facilities'!$AK$9:$AK$108,MATCH(C62,'Facilities'!$C$9:$C$108,0)))*R62/(1+INDEX('Facilities'!$K$9:$K$108,MATCH(C62,'Facilities'!$C$9:$C$108,0)))*IF(ABS(1-(1-R62)*(1-0)/(1+INDEX('Facilities'!$K$9:$K$108,MATCH(C62,'Facilities'!$C$9:$C$108,0))))&lt;0.000000001,IF(T62=1,MIN(1,AJ62),AJ62),(1-((1-R62)*(1-0)/(1+INDEX('Facilities'!$K$9:$K$108,MATCH(C62,'Facilities'!$C$9:$C$108,0))))^IF(T62=1,MIN(1,AJ62),AJ62))/(1-(1-R62)*(1-0)/(1+INDEX('Facilities'!$K$9:$K$108,MATCH(C62,'Facilities'!$C$9:$C$108,0))))))))</x:f>
      </x:c>
      <x:c r="W62" s="23" t="str">
        <x:f>IF(C62="","",IFERROR(INDEX(ECL!$AB$9:$AB$108,MATCH(C62,ECL!$C$9:$C$108,0)),"Unavailable"))</x:f>
      </x:c>
      <x:c r="X62" s="23" t="str">
        <x:f>IF(C62="","",IFERROR(INDEX(ECL!$AC$9:$AC$108,MATCH(C62,ECL!$C$9:$C$108,0)),"Unavailable"))</x:f>
      </x:c>
      <x:c r="Y62" s="21" t="str">
        <x:f>IF(C62="","",IF(AQ62&lt;&gt;"Ready","Unavailable",IF(C62="","",U62-W62+V62-X62+N62+AG62)))</x:f>
      </x:c>
      <x:c r="Z62" s="23" t="str">
        <x:f>IF(C62="","",IF(AQ62&lt;&gt;"Ready","Unavailable",IF(C62="","",(G62+O62+L62)/2*INDEX('Facilities'!$T$9:$T$108,MATCH(C62,'Facilities'!$C$9:$C$108,0))+AG62)))</x:f>
      </x:c>
      <x:c r="AA62" s="23" t="str">
        <x:f>IF(C62="","",IF(AQ62&lt;&gt;"Ready","Unavailable",IF(C62="","",O62*(1-IF(INDEX('Facilities'!$AA$9:$AA$108,MATCH(C62,'Facilities'!$C$9:$C$108,0))=0,0,MIN(1,INDEX('Facilities'!$X$9:$X$108,MATCH(C62,'Facilities'!$C$9:$C$108,0))/INDEX('Facilities'!$AA$9:$AA$108,MATCH(C62,'Facilities'!$C$9:$C$108,0)))))*AF62+P62*(1-IF(INDEX('Facilities'!$AA$9:$AA$108,MATCH(C62,'Facilities'!$C$9:$C$108,0))=0,0,MIN(1,INDEX('Facilities'!$X$9:$X$108,MATCH(C62,'Facilities'!$C$9:$C$108,0))/INDEX('Facilities'!$AA$9:$AA$108,MATCH(C62,'Facilities'!$C$9:$C$108,0)))))*INDEX('Facilities'!$AJ$9:$AJ$108,MATCH(C62,'Facilities'!$C$9:$C$108,0))+Q62*INDEX('Facilities'!$AI$9:$AI$108,MATCH(C62,'Facilities'!$C$9:$C$108,0))*AF62)))</x:f>
      </x:c>
      <x:c r="AB62" s="21" t="str">
        <x:f>IF(C62="","",O62+P62-AD62)</x:f>
      </x:c>
      <x:c r="AC62" s="23" t="str">
        <x:f>IF(C62="","",IFERROR(IF(INDEX('Facilities'!$AD$9:$AD$108,MATCH(C62,'Facilities'!$C$9:$C$108,0))=3,0,IF(INDEX('Facilities'!$AN$9:$AN$108,MATCH(C62,'Facilities'!$C$9:$C$108,0))=0,-1,INDEX('Facilities'!$AN$9:$AN$108,MATCH(C62,'Facilities'!$C$9:$C$108,0)))),"Unavailable"))</x:f>
      </x:c>
      <x:c r="AD62" s="21" t="str">
        <x:f>IF(C62="","",IFERROR(G62+H62,"Unavailable"))</x:f>
      </x:c>
      <x:c r="AE62" s="21" t="str">
        <x:f>IF(C62="","",IF(AQ62&lt;&gt;"Ready","Unavailable",IF(C62="","",O62+P62-AD62-J62+K62+M62+N62)))</x:f>
      </x:c>
      <x:c r="AF62" s="30" t="str">
        <x:f>IF(C62="","",IFERROR(INDEX('Facilities'!$S$9:$S$108,MATCH(C62,'Facilities'!$C$9:$C$108,0))*'Scenario Paths'!F75,"Unavailable"))</x:f>
      </x:c>
      <x:c r="AG62" s="23" t="str">
        <x:f>IF(C62="","",IF(AQ62&lt;&gt;"Ready","Unavailable",IF(C62="","",IF(H62&gt;0,MAX(0,H62-AK62)*((1+INDEX('Facilities'!$K$9:$K$108,MATCH(C62,'Facilities'!$C$9:$C$108,0)))^MIN(1,MAX(0,AC62+INDEX('Facilities'!$AK$9:$AK$108,MATCH(C62,'Facilities'!$C$9:$C$108,0))-D62+1))-1),0))))</x:f>
      </x:c>
      <x:c r="AH62" s="21" t="str">
        <x:f>IF(C62="","",IF(AQ62&lt;&gt;"Ready","Unavailable",IF(C62="","",O62+P62)))</x:f>
      </x:c>
      <x:c r="AI62" s="21" t="str">
        <x:f>IF(C62="","",IF(AQ62&lt;&gt;"Ready","Unavailable",IF(C62="","",Z62-Y62)))</x:f>
      </x:c>
      <x:c r="AJ62" s="23" t="str">
        <x:f>IF(C62="","",IFERROR(MAX(0,INDEX('Facilities'!$J$9:$J$108,MATCH(C62,'Facilities'!$C$9:$C$108,0))-D62),"Unavailable"))</x:f>
      </x:c>
      <x:c r="AK62" s="23" t="str">
        <x:f>IF(C62="","",IFERROR(IF(INDEX('Facilities'!$AD$9:$AD$108,MATCH(C62,'Facilities'!$C$9:$C$108,0))=3,W62,0),"Unavailable"))</x:f>
      </x:c>
      <x:c r="AL62" s="23" t="str">
        <x:f>IF(C62="","",IFERROR(IF(P62&gt;0,P62*(1-AM62/(1+INDEX('Facilities'!$K$9:$K$108,MATCH(C62,'Facilities'!$C$9:$C$108,0)))^MAX(0,AC62+INDEX('Facilities'!$AK$9:$AK$108,MATCH(C62,'Facilities'!$C$9:$C$108,0))-D62)),0),"Unavailable"))</x:f>
      </x:c>
      <x:c r="AM62" s="30" t="str">
        <x:f>IF(C62="","",IFERROR(INDEX('Facilities'!$AL$9:$AL$108,MATCH(C62,'Facilities'!$C$9:$C$108,0)),"Unavailable"))</x:f>
      </x:c>
      <x:c r="AN62" s="30" t="str">
        <x:f>IF(C62="","",IFERROR(INDEX(Credit!$T$9:$T$108,MATCH(F62,Credit!$C$9:$C$108,0)),"Unavailable"))</x:f>
      </x:c>
      <x:c r="AO62" s="23" t="str">
        <x:f>IF(C62="","",IF(AQ62&lt;&gt;"Ready","Unavailable",IF(C62="","",O62+P62+Q62*INDEX('Facilities'!$I$9:$I$108,MATCH(C62,'Facilities'!$C$9:$C$108,0)))))</x:f>
      </x:c>
      <x:c r="AP62" s="21" t="str">
        <x:f>IF(C62="","",IF(AQ62&lt;&gt;"Ready","Unavailable",IF(C62="","",AH62-U62)))</x:f>
      </x:c>
      <x:c r="AQ62" s="23" t="str">
        <x:f>IFERROR(IF(C62="","",IF(AND(INDEX('Facilities'!$AF$9:$AF$108,MATCH(C62,'Facilities'!$C$9:$C$108,0))="Ready",INDEX(Credit!$U$9:$U$108,MATCH(F62,Credit!$C$9:$C$108,0))="Ready",ISNUMBER(W62)),"Ready","Review inputs")),"Review inputs")</x:f>
      </x:c>
      <x:c r="AR62" s="23" t="str">
        <x:f>IF(C62="","",IF(AQ62&lt;&gt;"Ready","Unavailable",IF(C62="","",IF(O62=0,0,(IF(AJ62&lt;=1,O62,O62*INDEX('Facilities'!$R$9:$R$108,MATCH(C62,'Facilities'!$C$9:$C$108,0)))+O62*INDEX('Facilities'!$T$9:$T$108,MATCH(C62,'Facilities'!$C$9:$C$108,0)))/12))))</x:f>
      </x:c>
    </x:row>
    <x:row r="63" ht="26" customHeight="1">
      <x:c r="A63" s="1"/>
      <x:c r="B63" s="1"/>
      <x:c r="C63" s="9" t="str">
        <x:f>IF(Facilities!C63="","",Facilities!C63)</x:f>
      </x:c>
      <x:c r="D63" s="3" t="n">
        <x:v>1</x:v>
      </x:c>
      <x:c r="E63" s="9" t="n">
        <x:f>Settings!$F$18+0</x:f>
        <x:v>2027</x:v>
      </x:c>
      <x:c r="F63" s="9" t="str">
        <x:f>IF(C63="","",IFERROR(INDEX('Facilities'!$D$9:$D$108,MATCH(C63,'Facilities'!$C$9:$C$108,0)),"Unavailable"))</x:f>
      </x:c>
      <x:c r="G63" s="23" t="str">
        <x:f>IF(C63="","",IFERROR(IF(INDEX('Facilities'!$AD$9:$AD$108,MATCH(C63,'Facilities'!$C$9:$C$108,0))=3,0,INDEX('Facilities'!$AA$9:$AA$108,MATCH(C63,'Facilities'!$C$9:$C$108,0))),"Unavailable"))</x:f>
      </x:c>
      <x:c r="H63" s="23" t="str">
        <x:f>IF(C63="","",IFERROR(IF(INDEX('Facilities'!$AD$9:$AD$108,MATCH(C63,'Facilities'!$C$9:$C$108,0))=3,INDEX('Facilities'!$AA$9:$AA$108,MATCH(C63,'Facilities'!$C$9:$C$108,0)),0),"Unavailable"))</x:f>
      </x:c>
      <x:c r="I63" s="23" t="str">
        <x:f>IF(C63="","",IFERROR(INDEX('Facilities'!$AB$9:$AB$108,MATCH(C63,'Facilities'!$C$9:$C$108,0)),"Unavailable"))</x:f>
      </x:c>
      <x:c r="J63" s="23" t="str">
        <x:f>IF(C63="","",IFERROR(IF(OR(H63&gt;0,AND(AC63&gt;=0,AC63&lt;D63),D63&gt;INDEX('Facilities'!$J$9:$J$108,MATCH(C63,'Facilities'!$C$9:$C$108,0))),0,I63*'Scenario Paths'!F81),"Unavailable"))</x:f>
      </x:c>
      <x:c r="K63" s="23" t="str">
        <x:f>IF(C63="","",IFERROR(IF(OR(H63&gt;0,AND(AC63&gt;=0,AC63=D63)),0,IF(D63&gt;=INDEX('Facilities'!$J$9:$J$108,MATCH(C63,'Facilities'!$C$9:$C$108,0)),G63+J63,MIN(G63+J63,G63*INDEX('Facilities'!$R$9:$R$108,MATCH(C63,'Facilities'!$C$9:$C$108,0))))),"Unavailable"))</x:f>
      </x:c>
      <x:c r="L63" s="21" t="str">
        <x:f>IF(C63="","",IFERROR(IF(AND(AC63=D63,AC63&gt;0),MAX(0,G63+J63-K63),0),"Unavailable"))</x:f>
      </x:c>
      <x:c r="M63" s="23" t="str">
        <x:f>IF(C63="","",IFERROR(IF(AND(AC63&gt;=0,D63&gt;=AC63+INDEX('Facilities'!$AK$9:$AK$108,MATCH(C63,'Facilities'!$C$9:$C$108,0))),(H63+L63)*AM63,0),"Unavailable"))</x:f>
      </x:c>
      <x:c r="N63" s="23" t="str">
        <x:f>IF(C63="","",IFERROR(IF(AND(AC63&gt;=0,D63&gt;=AC63+INDEX('Facilities'!$AK$9:$AK$108,MATCH(C63,'Facilities'!$C$9:$C$108,0))),H63+L63-M63,0),"Unavailable"))</x:f>
      </x:c>
      <x:c r="O63" s="21" t="str">
        <x:f>IF(C63="","",IFERROR(MAX(0,G63+J63-K63-L63),"Unavailable"))</x:f>
      </x:c>
      <x:c r="P63" s="21" t="str">
        <x:f>IF(C63="","",IFERROR(MAX(0,H63+L63-M63-N63),"Unavailable"))</x:f>
      </x:c>
      <x:c r="Q63" s="23" t="str">
        <x:f>IF(C63="","",IFERROR(IF(OR(D63&gt;=INDEX('Facilities'!$J$9:$J$108,MATCH(C63,'Facilities'!$C$9:$C$108,0)),AND(AC63&gt;=0,AC63&lt;=D63)),0,MAX(0,I63-J63)),"Unavailable"))</x:f>
      </x:c>
      <x:c r="R63" s="30" t="str">
        <x:f>IF(C63="","",IFERROR(INDEX(Credit!$Q$9:$Q$108,MATCH(F63,Credit!$C$9:$C$108,0)),"Unavailable"))</x:f>
      </x:c>
      <x:c r="S63" s="30" t="str">
        <x:f>IF(C63="","",IFERROR(INDEX(Credit!$R$9:$R$108,MATCH(F63,Credit!$C$9:$C$108,0)),"Unavailable"))</x:f>
      </x:c>
      <x:c r="T63" s="23" t="str">
        <x:f>IF(C63="","",IFERROR(IF(P63&gt;0,3,IF(OR(INDEX('Facilities'!$AD$9:$AD$108,MATCH(C63,'Facilities'!$C$9:$C$108,0))=2,AND(R63&gt;=INDEX('Facilities'!$L$9:$L$108,MATCH(C63,'Facilities'!$C$9:$C$108,0))*Settings!$F$19,R63-INDEX('Facilities'!$L$9:$L$108,MATCH(C63,'Facilities'!$C$9:$C$108,0))&gt;=Settings!$F$20)),2,1)),"Unavailable"))</x:f>
      </x:c>
      <x:c r="U63" s="23" t="str">
        <x:f>IF(C63="","",IF(AQ63&lt;&gt;"Ready","Unavailable",IF(C63="","",O63*(1-(1-S63)/(1+INDEX('Facilities'!$K$9:$K$108,MATCH(C63,'Facilities'!$C$9:$C$108,0)))^INDEX('Facilities'!$AK$9:$AK$108,MATCH(C63,'Facilities'!$C$9:$C$108,0)))*R63/(1+INDEX('Facilities'!$K$9:$K$108,MATCH(C63,'Facilities'!$C$9:$C$108,0)))*IF(ABS(1-(1-R63)*(1-INDEX('Facilities'!$R$9:$R$108,MATCH(C63,'Facilities'!$C$9:$C$108,0)))/(1+INDEX('Facilities'!$K$9:$K$108,MATCH(C63,'Facilities'!$C$9:$C$108,0))))&lt;0.000000001,IF(T63=1,MIN(1,AJ63),AJ63),(1-((1-R63)*(1-INDEX('Facilities'!$R$9:$R$108,MATCH(C63,'Facilities'!$C$9:$C$108,0)))/(1+INDEX('Facilities'!$K$9:$K$108,MATCH(C63,'Facilities'!$C$9:$C$108,0))))^IF(T63=1,MIN(1,AJ63),AJ63))/(1-(1-R63)*(1-INDEX('Facilities'!$R$9:$R$108,MATCH(C63,'Facilities'!$C$9:$C$108,0)))/(1+INDEX('Facilities'!$K$9:$K$108,MATCH(C63,'Facilities'!$C$9:$C$108,0)))))+AL63)))</x:f>
      </x:c>
      <x:c r="V63" s="23" t="str">
        <x:f>IF(C63="","",IF(AQ63&lt;&gt;"Ready","Unavailable",IF(C63="","",Q63*INDEX('Facilities'!$I$9:$I$108,MATCH(C63,'Facilities'!$C$9:$C$108,0))*(1-(1-S63)/(1+INDEX('Facilities'!$K$9:$K$108,MATCH(C63,'Facilities'!$C$9:$C$108,0)))^INDEX('Facilities'!$AK$9:$AK$108,MATCH(C63,'Facilities'!$C$9:$C$108,0)))*R63/(1+INDEX('Facilities'!$K$9:$K$108,MATCH(C63,'Facilities'!$C$9:$C$108,0)))*IF(ABS(1-(1-R63)*(1-0)/(1+INDEX('Facilities'!$K$9:$K$108,MATCH(C63,'Facilities'!$C$9:$C$108,0))))&lt;0.000000001,IF(T63=1,MIN(1,AJ63),AJ63),(1-((1-R63)*(1-0)/(1+INDEX('Facilities'!$K$9:$K$108,MATCH(C63,'Facilities'!$C$9:$C$108,0))))^IF(T63=1,MIN(1,AJ63),AJ63))/(1-(1-R63)*(1-0)/(1+INDEX('Facilities'!$K$9:$K$108,MATCH(C63,'Facilities'!$C$9:$C$108,0))))))))</x:f>
      </x:c>
      <x:c r="W63" s="23" t="str">
        <x:f>IF(C63="","",IFERROR(INDEX(ECL!$AB$9:$AB$108,MATCH(C63,ECL!$C$9:$C$108,0)),"Unavailable"))</x:f>
      </x:c>
      <x:c r="X63" s="23" t="str">
        <x:f>IF(C63="","",IFERROR(INDEX(ECL!$AC$9:$AC$108,MATCH(C63,ECL!$C$9:$C$108,0)),"Unavailable"))</x:f>
      </x:c>
      <x:c r="Y63" s="21" t="str">
        <x:f>IF(C63="","",IF(AQ63&lt;&gt;"Ready","Unavailable",IF(C63="","",U63-W63+V63-X63+N63+AG63)))</x:f>
      </x:c>
      <x:c r="Z63" s="23" t="str">
        <x:f>IF(C63="","",IF(AQ63&lt;&gt;"Ready","Unavailable",IF(C63="","",(G63+O63+L63)/2*INDEX('Facilities'!$T$9:$T$108,MATCH(C63,'Facilities'!$C$9:$C$108,0))+AG63)))</x:f>
      </x:c>
      <x:c r="AA63" s="23" t="str">
        <x:f>IF(C63="","",IF(AQ63&lt;&gt;"Ready","Unavailable",IF(C63="","",O63*(1-IF(INDEX('Facilities'!$AA$9:$AA$108,MATCH(C63,'Facilities'!$C$9:$C$108,0))=0,0,MIN(1,INDEX('Facilities'!$X$9:$X$108,MATCH(C63,'Facilities'!$C$9:$C$108,0))/INDEX('Facilities'!$AA$9:$AA$108,MATCH(C63,'Facilities'!$C$9:$C$108,0)))))*AF63+P63*(1-IF(INDEX('Facilities'!$AA$9:$AA$108,MATCH(C63,'Facilities'!$C$9:$C$108,0))=0,0,MIN(1,INDEX('Facilities'!$X$9:$X$108,MATCH(C63,'Facilities'!$C$9:$C$108,0))/INDEX('Facilities'!$AA$9:$AA$108,MATCH(C63,'Facilities'!$C$9:$C$108,0)))))*INDEX('Facilities'!$AJ$9:$AJ$108,MATCH(C63,'Facilities'!$C$9:$C$108,0))+Q63*INDEX('Facilities'!$AI$9:$AI$108,MATCH(C63,'Facilities'!$C$9:$C$108,0))*AF63)))</x:f>
      </x:c>
      <x:c r="AB63" s="21" t="str">
        <x:f>IF(C63="","",O63+P63-AD63)</x:f>
      </x:c>
      <x:c r="AC63" s="23" t="str">
        <x:f>IF(C63="","",IFERROR(IF(INDEX('Facilities'!$AD$9:$AD$108,MATCH(C63,'Facilities'!$C$9:$C$108,0))=3,0,IF(INDEX('Facilities'!$AN$9:$AN$108,MATCH(C63,'Facilities'!$C$9:$C$108,0))=0,-1,INDEX('Facilities'!$AN$9:$AN$108,MATCH(C63,'Facilities'!$C$9:$C$108,0)))),"Unavailable"))</x:f>
      </x:c>
      <x:c r="AD63" s="21" t="str">
        <x:f>IF(C63="","",IFERROR(G63+H63,"Unavailable"))</x:f>
      </x:c>
      <x:c r="AE63" s="21" t="str">
        <x:f>IF(C63="","",IF(AQ63&lt;&gt;"Ready","Unavailable",IF(C63="","",O63+P63-AD63-J63+K63+M63+N63)))</x:f>
      </x:c>
      <x:c r="AF63" s="30" t="str">
        <x:f>IF(C63="","",IFERROR(INDEX('Facilities'!$S$9:$S$108,MATCH(C63,'Facilities'!$C$9:$C$108,0))*'Scenario Paths'!F75,"Unavailable"))</x:f>
      </x:c>
      <x:c r="AG63" s="23" t="str">
        <x:f>IF(C63="","",IF(AQ63&lt;&gt;"Ready","Unavailable",IF(C63="","",IF(H63&gt;0,MAX(0,H63-AK63)*((1+INDEX('Facilities'!$K$9:$K$108,MATCH(C63,'Facilities'!$C$9:$C$108,0)))^MIN(1,MAX(0,AC63+INDEX('Facilities'!$AK$9:$AK$108,MATCH(C63,'Facilities'!$C$9:$C$108,0))-D63+1))-1),0))))</x:f>
      </x:c>
      <x:c r="AH63" s="21" t="str">
        <x:f>IF(C63="","",IF(AQ63&lt;&gt;"Ready","Unavailable",IF(C63="","",O63+P63)))</x:f>
      </x:c>
      <x:c r="AI63" s="21" t="str">
        <x:f>IF(C63="","",IF(AQ63&lt;&gt;"Ready","Unavailable",IF(C63="","",Z63-Y63)))</x:f>
      </x:c>
      <x:c r="AJ63" s="23" t="str">
        <x:f>IF(C63="","",IFERROR(MAX(0,INDEX('Facilities'!$J$9:$J$108,MATCH(C63,'Facilities'!$C$9:$C$108,0))-D63),"Unavailable"))</x:f>
      </x:c>
      <x:c r="AK63" s="23" t="str">
        <x:f>IF(C63="","",IFERROR(IF(INDEX('Facilities'!$AD$9:$AD$108,MATCH(C63,'Facilities'!$C$9:$C$108,0))=3,W63,0),"Unavailable"))</x:f>
      </x:c>
      <x:c r="AL63" s="23" t="str">
        <x:f>IF(C63="","",IFERROR(IF(P63&gt;0,P63*(1-AM63/(1+INDEX('Facilities'!$K$9:$K$108,MATCH(C63,'Facilities'!$C$9:$C$108,0)))^MAX(0,AC63+INDEX('Facilities'!$AK$9:$AK$108,MATCH(C63,'Facilities'!$C$9:$C$108,0))-D63)),0),"Unavailable"))</x:f>
      </x:c>
      <x:c r="AM63" s="30" t="str">
        <x:f>IF(C63="","",IFERROR(INDEX('Facilities'!$AL$9:$AL$108,MATCH(C63,'Facilities'!$C$9:$C$108,0)),"Unavailable"))</x:f>
      </x:c>
      <x:c r="AN63" s="30" t="str">
        <x:f>IF(C63="","",IFERROR(INDEX(Credit!$T$9:$T$108,MATCH(F63,Credit!$C$9:$C$108,0)),"Unavailable"))</x:f>
      </x:c>
      <x:c r="AO63" s="23" t="str">
        <x:f>IF(C63="","",IF(AQ63&lt;&gt;"Ready","Unavailable",IF(C63="","",O63+P63+Q63*INDEX('Facilities'!$I$9:$I$108,MATCH(C63,'Facilities'!$C$9:$C$108,0)))))</x:f>
      </x:c>
      <x:c r="AP63" s="21" t="str">
        <x:f>IF(C63="","",IF(AQ63&lt;&gt;"Ready","Unavailable",IF(C63="","",AH63-U63)))</x:f>
      </x:c>
      <x:c r="AQ63" s="23" t="str">
        <x:f>IFERROR(IF(C63="","",IF(AND(INDEX('Facilities'!$AF$9:$AF$108,MATCH(C63,'Facilities'!$C$9:$C$108,0))="Ready",INDEX(Credit!$U$9:$U$108,MATCH(F63,Credit!$C$9:$C$108,0))="Ready",ISNUMBER(W63)),"Ready","Review inputs")),"Review inputs")</x:f>
      </x:c>
      <x:c r="AR63" s="23" t="str">
        <x:f>IF(C63="","",IF(AQ63&lt;&gt;"Ready","Unavailable",IF(C63="","",IF(O63=0,0,(IF(AJ63&lt;=1,O63,O63*INDEX('Facilities'!$R$9:$R$108,MATCH(C63,'Facilities'!$C$9:$C$108,0)))+O63*INDEX('Facilities'!$T$9:$T$108,MATCH(C63,'Facilities'!$C$9:$C$108,0)))/12))))</x:f>
      </x:c>
    </x:row>
    <x:row r="64" ht="26" customHeight="1">
      <x:c r="A64" s="1"/>
      <x:c r="B64" s="1"/>
      <x:c r="C64" s="9" t="str">
        <x:f>IF(Facilities!C64="","",Facilities!C64)</x:f>
      </x:c>
      <x:c r="D64" s="3" t="n">
        <x:v>1</x:v>
      </x:c>
      <x:c r="E64" s="9" t="n">
        <x:f>Settings!$F$18+0</x:f>
        <x:v>2027</x:v>
      </x:c>
      <x:c r="F64" s="9" t="str">
        <x:f>IF(C64="","",IFERROR(INDEX('Facilities'!$D$9:$D$108,MATCH(C64,'Facilities'!$C$9:$C$108,0)),"Unavailable"))</x:f>
      </x:c>
      <x:c r="G64" s="23" t="str">
        <x:f>IF(C64="","",IFERROR(IF(INDEX('Facilities'!$AD$9:$AD$108,MATCH(C64,'Facilities'!$C$9:$C$108,0))=3,0,INDEX('Facilities'!$AA$9:$AA$108,MATCH(C64,'Facilities'!$C$9:$C$108,0))),"Unavailable"))</x:f>
      </x:c>
      <x:c r="H64" s="23" t="str">
        <x:f>IF(C64="","",IFERROR(IF(INDEX('Facilities'!$AD$9:$AD$108,MATCH(C64,'Facilities'!$C$9:$C$108,0))=3,INDEX('Facilities'!$AA$9:$AA$108,MATCH(C64,'Facilities'!$C$9:$C$108,0)),0),"Unavailable"))</x:f>
      </x:c>
      <x:c r="I64" s="23" t="str">
        <x:f>IF(C64="","",IFERROR(INDEX('Facilities'!$AB$9:$AB$108,MATCH(C64,'Facilities'!$C$9:$C$108,0)),"Unavailable"))</x:f>
      </x:c>
      <x:c r="J64" s="23" t="str">
        <x:f>IF(C64="","",IFERROR(IF(OR(H64&gt;0,AND(AC64&gt;=0,AC64&lt;D64),D64&gt;INDEX('Facilities'!$J$9:$J$108,MATCH(C64,'Facilities'!$C$9:$C$108,0))),0,I64*'Scenario Paths'!F81),"Unavailable"))</x:f>
      </x:c>
      <x:c r="K64" s="23" t="str">
        <x:f>IF(C64="","",IFERROR(IF(OR(H64&gt;0,AND(AC64&gt;=0,AC64=D64)),0,IF(D64&gt;=INDEX('Facilities'!$J$9:$J$108,MATCH(C64,'Facilities'!$C$9:$C$108,0)),G64+J64,MIN(G64+J64,G64*INDEX('Facilities'!$R$9:$R$108,MATCH(C64,'Facilities'!$C$9:$C$108,0))))),"Unavailable"))</x:f>
      </x:c>
      <x:c r="L64" s="21" t="str">
        <x:f>IF(C64="","",IFERROR(IF(AND(AC64=D64,AC64&gt;0),MAX(0,G64+J64-K64),0),"Unavailable"))</x:f>
      </x:c>
      <x:c r="M64" s="23" t="str">
        <x:f>IF(C64="","",IFERROR(IF(AND(AC64&gt;=0,D64&gt;=AC64+INDEX('Facilities'!$AK$9:$AK$108,MATCH(C64,'Facilities'!$C$9:$C$108,0))),(H64+L64)*AM64,0),"Unavailable"))</x:f>
      </x:c>
      <x:c r="N64" s="23" t="str">
        <x:f>IF(C64="","",IFERROR(IF(AND(AC64&gt;=0,D64&gt;=AC64+INDEX('Facilities'!$AK$9:$AK$108,MATCH(C64,'Facilities'!$C$9:$C$108,0))),H64+L64-M64,0),"Unavailable"))</x:f>
      </x:c>
      <x:c r="O64" s="21" t="str">
        <x:f>IF(C64="","",IFERROR(MAX(0,G64+J64-K64-L64),"Unavailable"))</x:f>
      </x:c>
      <x:c r="P64" s="21" t="str">
        <x:f>IF(C64="","",IFERROR(MAX(0,H64+L64-M64-N64),"Unavailable"))</x:f>
      </x:c>
      <x:c r="Q64" s="23" t="str">
        <x:f>IF(C64="","",IFERROR(IF(OR(D64&gt;=INDEX('Facilities'!$J$9:$J$108,MATCH(C64,'Facilities'!$C$9:$C$108,0)),AND(AC64&gt;=0,AC64&lt;=D64)),0,MAX(0,I64-J64)),"Unavailable"))</x:f>
      </x:c>
      <x:c r="R64" s="30" t="str">
        <x:f>IF(C64="","",IFERROR(INDEX(Credit!$Q$9:$Q$108,MATCH(F64,Credit!$C$9:$C$108,0)),"Unavailable"))</x:f>
      </x:c>
      <x:c r="S64" s="30" t="str">
        <x:f>IF(C64="","",IFERROR(INDEX(Credit!$R$9:$R$108,MATCH(F64,Credit!$C$9:$C$108,0)),"Unavailable"))</x:f>
      </x:c>
      <x:c r="T64" s="23" t="str">
        <x:f>IF(C64="","",IFERROR(IF(P64&gt;0,3,IF(OR(INDEX('Facilities'!$AD$9:$AD$108,MATCH(C64,'Facilities'!$C$9:$C$108,0))=2,AND(R64&gt;=INDEX('Facilities'!$L$9:$L$108,MATCH(C64,'Facilities'!$C$9:$C$108,0))*Settings!$F$19,R64-INDEX('Facilities'!$L$9:$L$108,MATCH(C64,'Facilities'!$C$9:$C$108,0))&gt;=Settings!$F$20)),2,1)),"Unavailable"))</x:f>
      </x:c>
      <x:c r="U64" s="23" t="str">
        <x:f>IF(C64="","",IF(AQ64&lt;&gt;"Ready","Unavailable",IF(C64="","",O64*(1-(1-S64)/(1+INDEX('Facilities'!$K$9:$K$108,MATCH(C64,'Facilities'!$C$9:$C$108,0)))^INDEX('Facilities'!$AK$9:$AK$108,MATCH(C64,'Facilities'!$C$9:$C$108,0)))*R64/(1+INDEX('Facilities'!$K$9:$K$108,MATCH(C64,'Facilities'!$C$9:$C$108,0)))*IF(ABS(1-(1-R64)*(1-INDEX('Facilities'!$R$9:$R$108,MATCH(C64,'Facilities'!$C$9:$C$108,0)))/(1+INDEX('Facilities'!$K$9:$K$108,MATCH(C64,'Facilities'!$C$9:$C$108,0))))&lt;0.000000001,IF(T64=1,MIN(1,AJ64),AJ64),(1-((1-R64)*(1-INDEX('Facilities'!$R$9:$R$108,MATCH(C64,'Facilities'!$C$9:$C$108,0)))/(1+INDEX('Facilities'!$K$9:$K$108,MATCH(C64,'Facilities'!$C$9:$C$108,0))))^IF(T64=1,MIN(1,AJ64),AJ64))/(1-(1-R64)*(1-INDEX('Facilities'!$R$9:$R$108,MATCH(C64,'Facilities'!$C$9:$C$108,0)))/(1+INDEX('Facilities'!$K$9:$K$108,MATCH(C64,'Facilities'!$C$9:$C$108,0)))))+AL64)))</x:f>
      </x:c>
      <x:c r="V64" s="23" t="str">
        <x:f>IF(C64="","",IF(AQ64&lt;&gt;"Ready","Unavailable",IF(C64="","",Q64*INDEX('Facilities'!$I$9:$I$108,MATCH(C64,'Facilities'!$C$9:$C$108,0))*(1-(1-S64)/(1+INDEX('Facilities'!$K$9:$K$108,MATCH(C64,'Facilities'!$C$9:$C$108,0)))^INDEX('Facilities'!$AK$9:$AK$108,MATCH(C64,'Facilities'!$C$9:$C$108,0)))*R64/(1+INDEX('Facilities'!$K$9:$K$108,MATCH(C64,'Facilities'!$C$9:$C$108,0)))*IF(ABS(1-(1-R64)*(1-0)/(1+INDEX('Facilities'!$K$9:$K$108,MATCH(C64,'Facilities'!$C$9:$C$108,0))))&lt;0.000000001,IF(T64=1,MIN(1,AJ64),AJ64),(1-((1-R64)*(1-0)/(1+INDEX('Facilities'!$K$9:$K$108,MATCH(C64,'Facilities'!$C$9:$C$108,0))))^IF(T64=1,MIN(1,AJ64),AJ64))/(1-(1-R64)*(1-0)/(1+INDEX('Facilities'!$K$9:$K$108,MATCH(C64,'Facilities'!$C$9:$C$108,0))))))))</x:f>
      </x:c>
      <x:c r="W64" s="23" t="str">
        <x:f>IF(C64="","",IFERROR(INDEX(ECL!$AB$9:$AB$108,MATCH(C64,ECL!$C$9:$C$108,0)),"Unavailable"))</x:f>
      </x:c>
      <x:c r="X64" s="23" t="str">
        <x:f>IF(C64="","",IFERROR(INDEX(ECL!$AC$9:$AC$108,MATCH(C64,ECL!$C$9:$C$108,0)),"Unavailable"))</x:f>
      </x:c>
      <x:c r="Y64" s="21" t="str">
        <x:f>IF(C64="","",IF(AQ64&lt;&gt;"Ready","Unavailable",IF(C64="","",U64-W64+V64-X64+N64+AG64)))</x:f>
      </x:c>
      <x:c r="Z64" s="23" t="str">
        <x:f>IF(C64="","",IF(AQ64&lt;&gt;"Ready","Unavailable",IF(C64="","",(G64+O64+L64)/2*INDEX('Facilities'!$T$9:$T$108,MATCH(C64,'Facilities'!$C$9:$C$108,0))+AG64)))</x:f>
      </x:c>
      <x:c r="AA64" s="23" t="str">
        <x:f>IF(C64="","",IF(AQ64&lt;&gt;"Ready","Unavailable",IF(C64="","",O64*(1-IF(INDEX('Facilities'!$AA$9:$AA$108,MATCH(C64,'Facilities'!$C$9:$C$108,0))=0,0,MIN(1,INDEX('Facilities'!$X$9:$X$108,MATCH(C64,'Facilities'!$C$9:$C$108,0))/INDEX('Facilities'!$AA$9:$AA$108,MATCH(C64,'Facilities'!$C$9:$C$108,0)))))*AF64+P64*(1-IF(INDEX('Facilities'!$AA$9:$AA$108,MATCH(C64,'Facilities'!$C$9:$C$108,0))=0,0,MIN(1,INDEX('Facilities'!$X$9:$X$108,MATCH(C64,'Facilities'!$C$9:$C$108,0))/INDEX('Facilities'!$AA$9:$AA$108,MATCH(C64,'Facilities'!$C$9:$C$108,0)))))*INDEX('Facilities'!$AJ$9:$AJ$108,MATCH(C64,'Facilities'!$C$9:$C$108,0))+Q64*INDEX('Facilities'!$AI$9:$AI$108,MATCH(C64,'Facilities'!$C$9:$C$108,0))*AF64)))</x:f>
      </x:c>
      <x:c r="AB64" s="21" t="str">
        <x:f>IF(C64="","",O64+P64-AD64)</x:f>
      </x:c>
      <x:c r="AC64" s="23" t="str">
        <x:f>IF(C64="","",IFERROR(IF(INDEX('Facilities'!$AD$9:$AD$108,MATCH(C64,'Facilities'!$C$9:$C$108,0))=3,0,IF(INDEX('Facilities'!$AN$9:$AN$108,MATCH(C64,'Facilities'!$C$9:$C$108,0))=0,-1,INDEX('Facilities'!$AN$9:$AN$108,MATCH(C64,'Facilities'!$C$9:$C$108,0)))),"Unavailable"))</x:f>
      </x:c>
      <x:c r="AD64" s="21" t="str">
        <x:f>IF(C64="","",IFERROR(G64+H64,"Unavailable"))</x:f>
      </x:c>
      <x:c r="AE64" s="21" t="str">
        <x:f>IF(C64="","",IF(AQ64&lt;&gt;"Ready","Unavailable",IF(C64="","",O64+P64-AD64-J64+K64+M64+N64)))</x:f>
      </x:c>
      <x:c r="AF64" s="30" t="str">
        <x:f>IF(C64="","",IFERROR(INDEX('Facilities'!$S$9:$S$108,MATCH(C64,'Facilities'!$C$9:$C$108,0))*'Scenario Paths'!F75,"Unavailable"))</x:f>
      </x:c>
      <x:c r="AG64" s="23" t="str">
        <x:f>IF(C64="","",IF(AQ64&lt;&gt;"Ready","Unavailable",IF(C64="","",IF(H64&gt;0,MAX(0,H64-AK64)*((1+INDEX('Facilities'!$K$9:$K$108,MATCH(C64,'Facilities'!$C$9:$C$108,0)))^MIN(1,MAX(0,AC64+INDEX('Facilities'!$AK$9:$AK$108,MATCH(C64,'Facilities'!$C$9:$C$108,0))-D64+1))-1),0))))</x:f>
      </x:c>
      <x:c r="AH64" s="21" t="str">
        <x:f>IF(C64="","",IF(AQ64&lt;&gt;"Ready","Unavailable",IF(C64="","",O64+P64)))</x:f>
      </x:c>
      <x:c r="AI64" s="21" t="str">
        <x:f>IF(C64="","",IF(AQ64&lt;&gt;"Ready","Unavailable",IF(C64="","",Z64-Y64)))</x:f>
      </x:c>
      <x:c r="AJ64" s="23" t="str">
        <x:f>IF(C64="","",IFERROR(MAX(0,INDEX('Facilities'!$J$9:$J$108,MATCH(C64,'Facilities'!$C$9:$C$108,0))-D64),"Unavailable"))</x:f>
      </x:c>
      <x:c r="AK64" s="23" t="str">
        <x:f>IF(C64="","",IFERROR(IF(INDEX('Facilities'!$AD$9:$AD$108,MATCH(C64,'Facilities'!$C$9:$C$108,0))=3,W64,0),"Unavailable"))</x:f>
      </x:c>
      <x:c r="AL64" s="23" t="str">
        <x:f>IF(C64="","",IFERROR(IF(P64&gt;0,P64*(1-AM64/(1+INDEX('Facilities'!$K$9:$K$108,MATCH(C64,'Facilities'!$C$9:$C$108,0)))^MAX(0,AC64+INDEX('Facilities'!$AK$9:$AK$108,MATCH(C64,'Facilities'!$C$9:$C$108,0))-D64)),0),"Unavailable"))</x:f>
      </x:c>
      <x:c r="AM64" s="30" t="str">
        <x:f>IF(C64="","",IFERROR(INDEX('Facilities'!$AL$9:$AL$108,MATCH(C64,'Facilities'!$C$9:$C$108,0)),"Unavailable"))</x:f>
      </x:c>
      <x:c r="AN64" s="30" t="str">
        <x:f>IF(C64="","",IFERROR(INDEX(Credit!$T$9:$T$108,MATCH(F64,Credit!$C$9:$C$108,0)),"Unavailable"))</x:f>
      </x:c>
      <x:c r="AO64" s="23" t="str">
        <x:f>IF(C64="","",IF(AQ64&lt;&gt;"Ready","Unavailable",IF(C64="","",O64+P64+Q64*INDEX('Facilities'!$I$9:$I$108,MATCH(C64,'Facilities'!$C$9:$C$108,0)))))</x:f>
      </x:c>
      <x:c r="AP64" s="21" t="str">
        <x:f>IF(C64="","",IF(AQ64&lt;&gt;"Ready","Unavailable",IF(C64="","",AH64-U64)))</x:f>
      </x:c>
      <x:c r="AQ64" s="23" t="str">
        <x:f>IFERROR(IF(C64="","",IF(AND(INDEX('Facilities'!$AF$9:$AF$108,MATCH(C64,'Facilities'!$C$9:$C$108,0))="Ready",INDEX(Credit!$U$9:$U$108,MATCH(F64,Credit!$C$9:$C$108,0))="Ready",ISNUMBER(W64)),"Ready","Review inputs")),"Review inputs")</x:f>
      </x:c>
      <x:c r="AR64" s="23" t="str">
        <x:f>IF(C64="","",IF(AQ64&lt;&gt;"Ready","Unavailable",IF(C64="","",IF(O64=0,0,(IF(AJ64&lt;=1,O64,O64*INDEX('Facilities'!$R$9:$R$108,MATCH(C64,'Facilities'!$C$9:$C$108,0)))+O64*INDEX('Facilities'!$T$9:$T$108,MATCH(C64,'Facilities'!$C$9:$C$108,0)))/12))))</x:f>
      </x:c>
    </x:row>
    <x:row r="65" ht="26" customHeight="1">
      <x:c r="A65" s="1"/>
      <x:c r="B65" s="1"/>
      <x:c r="C65" s="9" t="str">
        <x:f>IF(Facilities!C65="","",Facilities!C65)</x:f>
      </x:c>
      <x:c r="D65" s="3" t="n">
        <x:v>1</x:v>
      </x:c>
      <x:c r="E65" s="9" t="n">
        <x:f>Settings!$F$18+0</x:f>
        <x:v>2027</x:v>
      </x:c>
      <x:c r="F65" s="9" t="str">
        <x:f>IF(C65="","",IFERROR(INDEX('Facilities'!$D$9:$D$108,MATCH(C65,'Facilities'!$C$9:$C$108,0)),"Unavailable"))</x:f>
      </x:c>
      <x:c r="G65" s="23" t="str">
        <x:f>IF(C65="","",IFERROR(IF(INDEX('Facilities'!$AD$9:$AD$108,MATCH(C65,'Facilities'!$C$9:$C$108,0))=3,0,INDEX('Facilities'!$AA$9:$AA$108,MATCH(C65,'Facilities'!$C$9:$C$108,0))),"Unavailable"))</x:f>
      </x:c>
      <x:c r="H65" s="23" t="str">
        <x:f>IF(C65="","",IFERROR(IF(INDEX('Facilities'!$AD$9:$AD$108,MATCH(C65,'Facilities'!$C$9:$C$108,0))=3,INDEX('Facilities'!$AA$9:$AA$108,MATCH(C65,'Facilities'!$C$9:$C$108,0)),0),"Unavailable"))</x:f>
      </x:c>
      <x:c r="I65" s="23" t="str">
        <x:f>IF(C65="","",IFERROR(INDEX('Facilities'!$AB$9:$AB$108,MATCH(C65,'Facilities'!$C$9:$C$108,0)),"Unavailable"))</x:f>
      </x:c>
      <x:c r="J65" s="23" t="str">
        <x:f>IF(C65="","",IFERROR(IF(OR(H65&gt;0,AND(AC65&gt;=0,AC65&lt;D65),D65&gt;INDEX('Facilities'!$J$9:$J$108,MATCH(C65,'Facilities'!$C$9:$C$108,0))),0,I65*'Scenario Paths'!F81),"Unavailable"))</x:f>
      </x:c>
      <x:c r="K65" s="23" t="str">
        <x:f>IF(C65="","",IFERROR(IF(OR(H65&gt;0,AND(AC65&gt;=0,AC65=D65)),0,IF(D65&gt;=INDEX('Facilities'!$J$9:$J$108,MATCH(C65,'Facilities'!$C$9:$C$108,0)),G65+J65,MIN(G65+J65,G65*INDEX('Facilities'!$R$9:$R$108,MATCH(C65,'Facilities'!$C$9:$C$108,0))))),"Unavailable"))</x:f>
      </x:c>
      <x:c r="L65" s="21" t="str">
        <x:f>IF(C65="","",IFERROR(IF(AND(AC65=D65,AC65&gt;0),MAX(0,G65+J65-K65),0),"Unavailable"))</x:f>
      </x:c>
      <x:c r="M65" s="23" t="str">
        <x:f>IF(C65="","",IFERROR(IF(AND(AC65&gt;=0,D65&gt;=AC65+INDEX('Facilities'!$AK$9:$AK$108,MATCH(C65,'Facilities'!$C$9:$C$108,0))),(H65+L65)*AM65,0),"Unavailable"))</x:f>
      </x:c>
      <x:c r="N65" s="23" t="str">
        <x:f>IF(C65="","",IFERROR(IF(AND(AC65&gt;=0,D65&gt;=AC65+INDEX('Facilities'!$AK$9:$AK$108,MATCH(C65,'Facilities'!$C$9:$C$108,0))),H65+L65-M65,0),"Unavailable"))</x:f>
      </x:c>
      <x:c r="O65" s="21" t="str">
        <x:f>IF(C65="","",IFERROR(MAX(0,G65+J65-K65-L65),"Unavailable"))</x:f>
      </x:c>
      <x:c r="P65" s="21" t="str">
        <x:f>IF(C65="","",IFERROR(MAX(0,H65+L65-M65-N65),"Unavailable"))</x:f>
      </x:c>
      <x:c r="Q65" s="23" t="str">
        <x:f>IF(C65="","",IFERROR(IF(OR(D65&gt;=INDEX('Facilities'!$J$9:$J$108,MATCH(C65,'Facilities'!$C$9:$C$108,0)),AND(AC65&gt;=0,AC65&lt;=D65)),0,MAX(0,I65-J65)),"Unavailable"))</x:f>
      </x:c>
      <x:c r="R65" s="30" t="str">
        <x:f>IF(C65="","",IFERROR(INDEX(Credit!$Q$9:$Q$108,MATCH(F65,Credit!$C$9:$C$108,0)),"Unavailable"))</x:f>
      </x:c>
      <x:c r="S65" s="30" t="str">
        <x:f>IF(C65="","",IFERROR(INDEX(Credit!$R$9:$R$108,MATCH(F65,Credit!$C$9:$C$108,0)),"Unavailable"))</x:f>
      </x:c>
      <x:c r="T65" s="23" t="str">
        <x:f>IF(C65="","",IFERROR(IF(P65&gt;0,3,IF(OR(INDEX('Facilities'!$AD$9:$AD$108,MATCH(C65,'Facilities'!$C$9:$C$108,0))=2,AND(R65&gt;=INDEX('Facilities'!$L$9:$L$108,MATCH(C65,'Facilities'!$C$9:$C$108,0))*Settings!$F$19,R65-INDEX('Facilities'!$L$9:$L$108,MATCH(C65,'Facilities'!$C$9:$C$108,0))&gt;=Settings!$F$20)),2,1)),"Unavailable"))</x:f>
      </x:c>
      <x:c r="U65" s="23" t="str">
        <x:f>IF(C65="","",IF(AQ65&lt;&gt;"Ready","Unavailable",IF(C65="","",O65*(1-(1-S65)/(1+INDEX('Facilities'!$K$9:$K$108,MATCH(C65,'Facilities'!$C$9:$C$108,0)))^INDEX('Facilities'!$AK$9:$AK$108,MATCH(C65,'Facilities'!$C$9:$C$108,0)))*R65/(1+INDEX('Facilities'!$K$9:$K$108,MATCH(C65,'Facilities'!$C$9:$C$108,0)))*IF(ABS(1-(1-R65)*(1-INDEX('Facilities'!$R$9:$R$108,MATCH(C65,'Facilities'!$C$9:$C$108,0)))/(1+INDEX('Facilities'!$K$9:$K$108,MATCH(C65,'Facilities'!$C$9:$C$108,0))))&lt;0.000000001,IF(T65=1,MIN(1,AJ65),AJ65),(1-((1-R65)*(1-INDEX('Facilities'!$R$9:$R$108,MATCH(C65,'Facilities'!$C$9:$C$108,0)))/(1+INDEX('Facilities'!$K$9:$K$108,MATCH(C65,'Facilities'!$C$9:$C$108,0))))^IF(T65=1,MIN(1,AJ65),AJ65))/(1-(1-R65)*(1-INDEX('Facilities'!$R$9:$R$108,MATCH(C65,'Facilities'!$C$9:$C$108,0)))/(1+INDEX('Facilities'!$K$9:$K$108,MATCH(C65,'Facilities'!$C$9:$C$108,0)))))+AL65)))</x:f>
      </x:c>
      <x:c r="V65" s="23" t="str">
        <x:f>IF(C65="","",IF(AQ65&lt;&gt;"Ready","Unavailable",IF(C65="","",Q65*INDEX('Facilities'!$I$9:$I$108,MATCH(C65,'Facilities'!$C$9:$C$108,0))*(1-(1-S65)/(1+INDEX('Facilities'!$K$9:$K$108,MATCH(C65,'Facilities'!$C$9:$C$108,0)))^INDEX('Facilities'!$AK$9:$AK$108,MATCH(C65,'Facilities'!$C$9:$C$108,0)))*R65/(1+INDEX('Facilities'!$K$9:$K$108,MATCH(C65,'Facilities'!$C$9:$C$108,0)))*IF(ABS(1-(1-R65)*(1-0)/(1+INDEX('Facilities'!$K$9:$K$108,MATCH(C65,'Facilities'!$C$9:$C$108,0))))&lt;0.000000001,IF(T65=1,MIN(1,AJ65),AJ65),(1-((1-R65)*(1-0)/(1+INDEX('Facilities'!$K$9:$K$108,MATCH(C65,'Facilities'!$C$9:$C$108,0))))^IF(T65=1,MIN(1,AJ65),AJ65))/(1-(1-R65)*(1-0)/(1+INDEX('Facilities'!$K$9:$K$108,MATCH(C65,'Facilities'!$C$9:$C$108,0))))))))</x:f>
      </x:c>
      <x:c r="W65" s="23" t="str">
        <x:f>IF(C65="","",IFERROR(INDEX(ECL!$AB$9:$AB$108,MATCH(C65,ECL!$C$9:$C$108,0)),"Unavailable"))</x:f>
      </x:c>
      <x:c r="X65" s="23" t="str">
        <x:f>IF(C65="","",IFERROR(INDEX(ECL!$AC$9:$AC$108,MATCH(C65,ECL!$C$9:$C$108,0)),"Unavailable"))</x:f>
      </x:c>
      <x:c r="Y65" s="21" t="str">
        <x:f>IF(C65="","",IF(AQ65&lt;&gt;"Ready","Unavailable",IF(C65="","",U65-W65+V65-X65+N65+AG65)))</x:f>
      </x:c>
      <x:c r="Z65" s="23" t="str">
        <x:f>IF(C65="","",IF(AQ65&lt;&gt;"Ready","Unavailable",IF(C65="","",(G65+O65+L65)/2*INDEX('Facilities'!$T$9:$T$108,MATCH(C65,'Facilities'!$C$9:$C$108,0))+AG65)))</x:f>
      </x:c>
      <x:c r="AA65" s="23" t="str">
        <x:f>IF(C65="","",IF(AQ65&lt;&gt;"Ready","Unavailable",IF(C65="","",O65*(1-IF(INDEX('Facilities'!$AA$9:$AA$108,MATCH(C65,'Facilities'!$C$9:$C$108,0))=0,0,MIN(1,INDEX('Facilities'!$X$9:$X$108,MATCH(C65,'Facilities'!$C$9:$C$108,0))/INDEX('Facilities'!$AA$9:$AA$108,MATCH(C65,'Facilities'!$C$9:$C$108,0)))))*AF65+P65*(1-IF(INDEX('Facilities'!$AA$9:$AA$108,MATCH(C65,'Facilities'!$C$9:$C$108,0))=0,0,MIN(1,INDEX('Facilities'!$X$9:$X$108,MATCH(C65,'Facilities'!$C$9:$C$108,0))/INDEX('Facilities'!$AA$9:$AA$108,MATCH(C65,'Facilities'!$C$9:$C$108,0)))))*INDEX('Facilities'!$AJ$9:$AJ$108,MATCH(C65,'Facilities'!$C$9:$C$108,0))+Q65*INDEX('Facilities'!$AI$9:$AI$108,MATCH(C65,'Facilities'!$C$9:$C$108,0))*AF65)))</x:f>
      </x:c>
      <x:c r="AB65" s="21" t="str">
        <x:f>IF(C65="","",O65+P65-AD65)</x:f>
      </x:c>
      <x:c r="AC65" s="23" t="str">
        <x:f>IF(C65="","",IFERROR(IF(INDEX('Facilities'!$AD$9:$AD$108,MATCH(C65,'Facilities'!$C$9:$C$108,0))=3,0,IF(INDEX('Facilities'!$AN$9:$AN$108,MATCH(C65,'Facilities'!$C$9:$C$108,0))=0,-1,INDEX('Facilities'!$AN$9:$AN$108,MATCH(C65,'Facilities'!$C$9:$C$108,0)))),"Unavailable"))</x:f>
      </x:c>
      <x:c r="AD65" s="21" t="str">
        <x:f>IF(C65="","",IFERROR(G65+H65,"Unavailable"))</x:f>
      </x:c>
      <x:c r="AE65" s="21" t="str">
        <x:f>IF(C65="","",IF(AQ65&lt;&gt;"Ready","Unavailable",IF(C65="","",O65+P65-AD65-J65+K65+M65+N65)))</x:f>
      </x:c>
      <x:c r="AF65" s="30" t="str">
        <x:f>IF(C65="","",IFERROR(INDEX('Facilities'!$S$9:$S$108,MATCH(C65,'Facilities'!$C$9:$C$108,0))*'Scenario Paths'!F75,"Unavailable"))</x:f>
      </x:c>
      <x:c r="AG65" s="23" t="str">
        <x:f>IF(C65="","",IF(AQ65&lt;&gt;"Ready","Unavailable",IF(C65="","",IF(H65&gt;0,MAX(0,H65-AK65)*((1+INDEX('Facilities'!$K$9:$K$108,MATCH(C65,'Facilities'!$C$9:$C$108,0)))^MIN(1,MAX(0,AC65+INDEX('Facilities'!$AK$9:$AK$108,MATCH(C65,'Facilities'!$C$9:$C$108,0))-D65+1))-1),0))))</x:f>
      </x:c>
      <x:c r="AH65" s="21" t="str">
        <x:f>IF(C65="","",IF(AQ65&lt;&gt;"Ready","Unavailable",IF(C65="","",O65+P65)))</x:f>
      </x:c>
      <x:c r="AI65" s="21" t="str">
        <x:f>IF(C65="","",IF(AQ65&lt;&gt;"Ready","Unavailable",IF(C65="","",Z65-Y65)))</x:f>
      </x:c>
      <x:c r="AJ65" s="23" t="str">
        <x:f>IF(C65="","",IFERROR(MAX(0,INDEX('Facilities'!$J$9:$J$108,MATCH(C65,'Facilities'!$C$9:$C$108,0))-D65),"Unavailable"))</x:f>
      </x:c>
      <x:c r="AK65" s="23" t="str">
        <x:f>IF(C65="","",IFERROR(IF(INDEX('Facilities'!$AD$9:$AD$108,MATCH(C65,'Facilities'!$C$9:$C$108,0))=3,W65,0),"Unavailable"))</x:f>
      </x:c>
      <x:c r="AL65" s="23" t="str">
        <x:f>IF(C65="","",IFERROR(IF(P65&gt;0,P65*(1-AM65/(1+INDEX('Facilities'!$K$9:$K$108,MATCH(C65,'Facilities'!$C$9:$C$108,0)))^MAX(0,AC65+INDEX('Facilities'!$AK$9:$AK$108,MATCH(C65,'Facilities'!$C$9:$C$108,0))-D65)),0),"Unavailable"))</x:f>
      </x:c>
      <x:c r="AM65" s="30" t="str">
        <x:f>IF(C65="","",IFERROR(INDEX('Facilities'!$AL$9:$AL$108,MATCH(C65,'Facilities'!$C$9:$C$108,0)),"Unavailable"))</x:f>
      </x:c>
      <x:c r="AN65" s="30" t="str">
        <x:f>IF(C65="","",IFERROR(INDEX(Credit!$T$9:$T$108,MATCH(F65,Credit!$C$9:$C$108,0)),"Unavailable"))</x:f>
      </x:c>
      <x:c r="AO65" s="23" t="str">
        <x:f>IF(C65="","",IF(AQ65&lt;&gt;"Ready","Unavailable",IF(C65="","",O65+P65+Q65*INDEX('Facilities'!$I$9:$I$108,MATCH(C65,'Facilities'!$C$9:$C$108,0)))))</x:f>
      </x:c>
      <x:c r="AP65" s="21" t="str">
        <x:f>IF(C65="","",IF(AQ65&lt;&gt;"Ready","Unavailable",IF(C65="","",AH65-U65)))</x:f>
      </x:c>
      <x:c r="AQ65" s="23" t="str">
        <x:f>IFERROR(IF(C65="","",IF(AND(INDEX('Facilities'!$AF$9:$AF$108,MATCH(C65,'Facilities'!$C$9:$C$108,0))="Ready",INDEX(Credit!$U$9:$U$108,MATCH(F65,Credit!$C$9:$C$108,0))="Ready",ISNUMBER(W65)),"Ready","Review inputs")),"Review inputs")</x:f>
      </x:c>
      <x:c r="AR65" s="23" t="str">
        <x:f>IF(C65="","",IF(AQ65&lt;&gt;"Ready","Unavailable",IF(C65="","",IF(O65=0,0,(IF(AJ65&lt;=1,O65,O65*INDEX('Facilities'!$R$9:$R$108,MATCH(C65,'Facilities'!$C$9:$C$108,0)))+O65*INDEX('Facilities'!$T$9:$T$108,MATCH(C65,'Facilities'!$C$9:$C$108,0)))/12))))</x:f>
      </x:c>
    </x:row>
    <x:row r="66" ht="26" customHeight="1">
      <x:c r="A66" s="1"/>
      <x:c r="B66" s="1"/>
      <x:c r="C66" s="9" t="str">
        <x:f>IF(Facilities!C66="","",Facilities!C66)</x:f>
      </x:c>
      <x:c r="D66" s="3" t="n">
        <x:v>1</x:v>
      </x:c>
      <x:c r="E66" s="9" t="n">
        <x:f>Settings!$F$18+0</x:f>
        <x:v>2027</x:v>
      </x:c>
      <x:c r="F66" s="9" t="str">
        <x:f>IF(C66="","",IFERROR(INDEX('Facilities'!$D$9:$D$108,MATCH(C66,'Facilities'!$C$9:$C$108,0)),"Unavailable"))</x:f>
      </x:c>
      <x:c r="G66" s="23" t="str">
        <x:f>IF(C66="","",IFERROR(IF(INDEX('Facilities'!$AD$9:$AD$108,MATCH(C66,'Facilities'!$C$9:$C$108,0))=3,0,INDEX('Facilities'!$AA$9:$AA$108,MATCH(C66,'Facilities'!$C$9:$C$108,0))),"Unavailable"))</x:f>
      </x:c>
      <x:c r="H66" s="23" t="str">
        <x:f>IF(C66="","",IFERROR(IF(INDEX('Facilities'!$AD$9:$AD$108,MATCH(C66,'Facilities'!$C$9:$C$108,0))=3,INDEX('Facilities'!$AA$9:$AA$108,MATCH(C66,'Facilities'!$C$9:$C$108,0)),0),"Unavailable"))</x:f>
      </x:c>
      <x:c r="I66" s="23" t="str">
        <x:f>IF(C66="","",IFERROR(INDEX('Facilities'!$AB$9:$AB$108,MATCH(C66,'Facilities'!$C$9:$C$108,0)),"Unavailable"))</x:f>
      </x:c>
      <x:c r="J66" s="23" t="str">
        <x:f>IF(C66="","",IFERROR(IF(OR(H66&gt;0,AND(AC66&gt;=0,AC66&lt;D66),D66&gt;INDEX('Facilities'!$J$9:$J$108,MATCH(C66,'Facilities'!$C$9:$C$108,0))),0,I66*'Scenario Paths'!F81),"Unavailable"))</x:f>
      </x:c>
      <x:c r="K66" s="23" t="str">
        <x:f>IF(C66="","",IFERROR(IF(OR(H66&gt;0,AND(AC66&gt;=0,AC66=D66)),0,IF(D66&gt;=INDEX('Facilities'!$J$9:$J$108,MATCH(C66,'Facilities'!$C$9:$C$108,0)),G66+J66,MIN(G66+J66,G66*INDEX('Facilities'!$R$9:$R$108,MATCH(C66,'Facilities'!$C$9:$C$108,0))))),"Unavailable"))</x:f>
      </x:c>
      <x:c r="L66" s="21" t="str">
        <x:f>IF(C66="","",IFERROR(IF(AND(AC66=D66,AC66&gt;0),MAX(0,G66+J66-K66),0),"Unavailable"))</x:f>
      </x:c>
      <x:c r="M66" s="23" t="str">
        <x:f>IF(C66="","",IFERROR(IF(AND(AC66&gt;=0,D66&gt;=AC66+INDEX('Facilities'!$AK$9:$AK$108,MATCH(C66,'Facilities'!$C$9:$C$108,0))),(H66+L66)*AM66,0),"Unavailable"))</x:f>
      </x:c>
      <x:c r="N66" s="23" t="str">
        <x:f>IF(C66="","",IFERROR(IF(AND(AC66&gt;=0,D66&gt;=AC66+INDEX('Facilities'!$AK$9:$AK$108,MATCH(C66,'Facilities'!$C$9:$C$108,0))),H66+L66-M66,0),"Unavailable"))</x:f>
      </x:c>
      <x:c r="O66" s="21" t="str">
        <x:f>IF(C66="","",IFERROR(MAX(0,G66+J66-K66-L66),"Unavailable"))</x:f>
      </x:c>
      <x:c r="P66" s="21" t="str">
        <x:f>IF(C66="","",IFERROR(MAX(0,H66+L66-M66-N66),"Unavailable"))</x:f>
      </x:c>
      <x:c r="Q66" s="23" t="str">
        <x:f>IF(C66="","",IFERROR(IF(OR(D66&gt;=INDEX('Facilities'!$J$9:$J$108,MATCH(C66,'Facilities'!$C$9:$C$108,0)),AND(AC66&gt;=0,AC66&lt;=D66)),0,MAX(0,I66-J66)),"Unavailable"))</x:f>
      </x:c>
      <x:c r="R66" s="30" t="str">
        <x:f>IF(C66="","",IFERROR(INDEX(Credit!$Q$9:$Q$108,MATCH(F66,Credit!$C$9:$C$108,0)),"Unavailable"))</x:f>
      </x:c>
      <x:c r="S66" s="30" t="str">
        <x:f>IF(C66="","",IFERROR(INDEX(Credit!$R$9:$R$108,MATCH(F66,Credit!$C$9:$C$108,0)),"Unavailable"))</x:f>
      </x:c>
      <x:c r="T66" s="23" t="str">
        <x:f>IF(C66="","",IFERROR(IF(P66&gt;0,3,IF(OR(INDEX('Facilities'!$AD$9:$AD$108,MATCH(C66,'Facilities'!$C$9:$C$108,0))=2,AND(R66&gt;=INDEX('Facilities'!$L$9:$L$108,MATCH(C66,'Facilities'!$C$9:$C$108,0))*Settings!$F$19,R66-INDEX('Facilities'!$L$9:$L$108,MATCH(C66,'Facilities'!$C$9:$C$108,0))&gt;=Settings!$F$20)),2,1)),"Unavailable"))</x:f>
      </x:c>
      <x:c r="U66" s="23" t="str">
        <x:f>IF(C66="","",IF(AQ66&lt;&gt;"Ready","Unavailable",IF(C66="","",O66*(1-(1-S66)/(1+INDEX('Facilities'!$K$9:$K$108,MATCH(C66,'Facilities'!$C$9:$C$108,0)))^INDEX('Facilities'!$AK$9:$AK$108,MATCH(C66,'Facilities'!$C$9:$C$108,0)))*R66/(1+INDEX('Facilities'!$K$9:$K$108,MATCH(C66,'Facilities'!$C$9:$C$108,0)))*IF(ABS(1-(1-R66)*(1-INDEX('Facilities'!$R$9:$R$108,MATCH(C66,'Facilities'!$C$9:$C$108,0)))/(1+INDEX('Facilities'!$K$9:$K$108,MATCH(C66,'Facilities'!$C$9:$C$108,0))))&lt;0.000000001,IF(T66=1,MIN(1,AJ66),AJ66),(1-((1-R66)*(1-INDEX('Facilities'!$R$9:$R$108,MATCH(C66,'Facilities'!$C$9:$C$108,0)))/(1+INDEX('Facilities'!$K$9:$K$108,MATCH(C66,'Facilities'!$C$9:$C$108,0))))^IF(T66=1,MIN(1,AJ66),AJ66))/(1-(1-R66)*(1-INDEX('Facilities'!$R$9:$R$108,MATCH(C66,'Facilities'!$C$9:$C$108,0)))/(1+INDEX('Facilities'!$K$9:$K$108,MATCH(C66,'Facilities'!$C$9:$C$108,0)))))+AL66)))</x:f>
      </x:c>
      <x:c r="V66" s="23" t="str">
        <x:f>IF(C66="","",IF(AQ66&lt;&gt;"Ready","Unavailable",IF(C66="","",Q66*INDEX('Facilities'!$I$9:$I$108,MATCH(C66,'Facilities'!$C$9:$C$108,0))*(1-(1-S66)/(1+INDEX('Facilities'!$K$9:$K$108,MATCH(C66,'Facilities'!$C$9:$C$108,0)))^INDEX('Facilities'!$AK$9:$AK$108,MATCH(C66,'Facilities'!$C$9:$C$108,0)))*R66/(1+INDEX('Facilities'!$K$9:$K$108,MATCH(C66,'Facilities'!$C$9:$C$108,0)))*IF(ABS(1-(1-R66)*(1-0)/(1+INDEX('Facilities'!$K$9:$K$108,MATCH(C66,'Facilities'!$C$9:$C$108,0))))&lt;0.000000001,IF(T66=1,MIN(1,AJ66),AJ66),(1-((1-R66)*(1-0)/(1+INDEX('Facilities'!$K$9:$K$108,MATCH(C66,'Facilities'!$C$9:$C$108,0))))^IF(T66=1,MIN(1,AJ66),AJ66))/(1-(1-R66)*(1-0)/(1+INDEX('Facilities'!$K$9:$K$108,MATCH(C66,'Facilities'!$C$9:$C$108,0))))))))</x:f>
      </x:c>
      <x:c r="W66" s="23" t="str">
        <x:f>IF(C66="","",IFERROR(INDEX(ECL!$AB$9:$AB$108,MATCH(C66,ECL!$C$9:$C$108,0)),"Unavailable"))</x:f>
      </x:c>
      <x:c r="X66" s="23" t="str">
        <x:f>IF(C66="","",IFERROR(INDEX(ECL!$AC$9:$AC$108,MATCH(C66,ECL!$C$9:$C$108,0)),"Unavailable"))</x:f>
      </x:c>
      <x:c r="Y66" s="21" t="str">
        <x:f>IF(C66="","",IF(AQ66&lt;&gt;"Ready","Unavailable",IF(C66="","",U66-W66+V66-X66+N66+AG66)))</x:f>
      </x:c>
      <x:c r="Z66" s="23" t="str">
        <x:f>IF(C66="","",IF(AQ66&lt;&gt;"Ready","Unavailable",IF(C66="","",(G66+O66+L66)/2*INDEX('Facilities'!$T$9:$T$108,MATCH(C66,'Facilities'!$C$9:$C$108,0))+AG66)))</x:f>
      </x:c>
      <x:c r="AA66" s="23" t="str">
        <x:f>IF(C66="","",IF(AQ66&lt;&gt;"Ready","Unavailable",IF(C66="","",O66*(1-IF(INDEX('Facilities'!$AA$9:$AA$108,MATCH(C66,'Facilities'!$C$9:$C$108,0))=0,0,MIN(1,INDEX('Facilities'!$X$9:$X$108,MATCH(C66,'Facilities'!$C$9:$C$108,0))/INDEX('Facilities'!$AA$9:$AA$108,MATCH(C66,'Facilities'!$C$9:$C$108,0)))))*AF66+P66*(1-IF(INDEX('Facilities'!$AA$9:$AA$108,MATCH(C66,'Facilities'!$C$9:$C$108,0))=0,0,MIN(1,INDEX('Facilities'!$X$9:$X$108,MATCH(C66,'Facilities'!$C$9:$C$108,0))/INDEX('Facilities'!$AA$9:$AA$108,MATCH(C66,'Facilities'!$C$9:$C$108,0)))))*INDEX('Facilities'!$AJ$9:$AJ$108,MATCH(C66,'Facilities'!$C$9:$C$108,0))+Q66*INDEX('Facilities'!$AI$9:$AI$108,MATCH(C66,'Facilities'!$C$9:$C$108,0))*AF66)))</x:f>
      </x:c>
      <x:c r="AB66" s="21" t="str">
        <x:f>IF(C66="","",O66+P66-AD66)</x:f>
      </x:c>
      <x:c r="AC66" s="23" t="str">
        <x:f>IF(C66="","",IFERROR(IF(INDEX('Facilities'!$AD$9:$AD$108,MATCH(C66,'Facilities'!$C$9:$C$108,0))=3,0,IF(INDEX('Facilities'!$AN$9:$AN$108,MATCH(C66,'Facilities'!$C$9:$C$108,0))=0,-1,INDEX('Facilities'!$AN$9:$AN$108,MATCH(C66,'Facilities'!$C$9:$C$108,0)))),"Unavailable"))</x:f>
      </x:c>
      <x:c r="AD66" s="21" t="str">
        <x:f>IF(C66="","",IFERROR(G66+H66,"Unavailable"))</x:f>
      </x:c>
      <x:c r="AE66" s="21" t="str">
        <x:f>IF(C66="","",IF(AQ66&lt;&gt;"Ready","Unavailable",IF(C66="","",O66+P66-AD66-J66+K66+M66+N66)))</x:f>
      </x:c>
      <x:c r="AF66" s="30" t="str">
        <x:f>IF(C66="","",IFERROR(INDEX('Facilities'!$S$9:$S$108,MATCH(C66,'Facilities'!$C$9:$C$108,0))*'Scenario Paths'!F75,"Unavailable"))</x:f>
      </x:c>
      <x:c r="AG66" s="23" t="str">
        <x:f>IF(C66="","",IF(AQ66&lt;&gt;"Ready","Unavailable",IF(C66="","",IF(H66&gt;0,MAX(0,H66-AK66)*((1+INDEX('Facilities'!$K$9:$K$108,MATCH(C66,'Facilities'!$C$9:$C$108,0)))^MIN(1,MAX(0,AC66+INDEX('Facilities'!$AK$9:$AK$108,MATCH(C66,'Facilities'!$C$9:$C$108,0))-D66+1))-1),0))))</x:f>
      </x:c>
      <x:c r="AH66" s="21" t="str">
        <x:f>IF(C66="","",IF(AQ66&lt;&gt;"Ready","Unavailable",IF(C66="","",O66+P66)))</x:f>
      </x:c>
      <x:c r="AI66" s="21" t="str">
        <x:f>IF(C66="","",IF(AQ66&lt;&gt;"Ready","Unavailable",IF(C66="","",Z66-Y66)))</x:f>
      </x:c>
      <x:c r="AJ66" s="23" t="str">
        <x:f>IF(C66="","",IFERROR(MAX(0,INDEX('Facilities'!$J$9:$J$108,MATCH(C66,'Facilities'!$C$9:$C$108,0))-D66),"Unavailable"))</x:f>
      </x:c>
      <x:c r="AK66" s="23" t="str">
        <x:f>IF(C66="","",IFERROR(IF(INDEX('Facilities'!$AD$9:$AD$108,MATCH(C66,'Facilities'!$C$9:$C$108,0))=3,W66,0),"Unavailable"))</x:f>
      </x:c>
      <x:c r="AL66" s="23" t="str">
        <x:f>IF(C66="","",IFERROR(IF(P66&gt;0,P66*(1-AM66/(1+INDEX('Facilities'!$K$9:$K$108,MATCH(C66,'Facilities'!$C$9:$C$108,0)))^MAX(0,AC66+INDEX('Facilities'!$AK$9:$AK$108,MATCH(C66,'Facilities'!$C$9:$C$108,0))-D66)),0),"Unavailable"))</x:f>
      </x:c>
      <x:c r="AM66" s="30" t="str">
        <x:f>IF(C66="","",IFERROR(INDEX('Facilities'!$AL$9:$AL$108,MATCH(C66,'Facilities'!$C$9:$C$108,0)),"Unavailable"))</x:f>
      </x:c>
      <x:c r="AN66" s="30" t="str">
        <x:f>IF(C66="","",IFERROR(INDEX(Credit!$T$9:$T$108,MATCH(F66,Credit!$C$9:$C$108,0)),"Unavailable"))</x:f>
      </x:c>
      <x:c r="AO66" s="23" t="str">
        <x:f>IF(C66="","",IF(AQ66&lt;&gt;"Ready","Unavailable",IF(C66="","",O66+P66+Q66*INDEX('Facilities'!$I$9:$I$108,MATCH(C66,'Facilities'!$C$9:$C$108,0)))))</x:f>
      </x:c>
      <x:c r="AP66" s="21" t="str">
        <x:f>IF(C66="","",IF(AQ66&lt;&gt;"Ready","Unavailable",IF(C66="","",AH66-U66)))</x:f>
      </x:c>
      <x:c r="AQ66" s="23" t="str">
        <x:f>IFERROR(IF(C66="","",IF(AND(INDEX('Facilities'!$AF$9:$AF$108,MATCH(C66,'Facilities'!$C$9:$C$108,0))="Ready",INDEX(Credit!$U$9:$U$108,MATCH(F66,Credit!$C$9:$C$108,0))="Ready",ISNUMBER(W66)),"Ready","Review inputs")),"Review inputs")</x:f>
      </x:c>
      <x:c r="AR66" s="23" t="str">
        <x:f>IF(C66="","",IF(AQ66&lt;&gt;"Ready","Unavailable",IF(C66="","",IF(O66=0,0,(IF(AJ66&lt;=1,O66,O66*INDEX('Facilities'!$R$9:$R$108,MATCH(C66,'Facilities'!$C$9:$C$108,0)))+O66*INDEX('Facilities'!$T$9:$T$108,MATCH(C66,'Facilities'!$C$9:$C$108,0)))/12))))</x:f>
      </x:c>
    </x:row>
    <x:row r="67" ht="26" customHeight="1">
      <x:c r="A67" s="1"/>
      <x:c r="B67" s="1"/>
      <x:c r="C67" s="9" t="str">
        <x:f>IF(Facilities!C67="","",Facilities!C67)</x:f>
      </x:c>
      <x:c r="D67" s="3" t="n">
        <x:v>1</x:v>
      </x:c>
      <x:c r="E67" s="9" t="n">
        <x:f>Settings!$F$18+0</x:f>
        <x:v>2027</x:v>
      </x:c>
      <x:c r="F67" s="9" t="str">
        <x:f>IF(C67="","",IFERROR(INDEX('Facilities'!$D$9:$D$108,MATCH(C67,'Facilities'!$C$9:$C$108,0)),"Unavailable"))</x:f>
      </x:c>
      <x:c r="G67" s="23" t="str">
        <x:f>IF(C67="","",IFERROR(IF(INDEX('Facilities'!$AD$9:$AD$108,MATCH(C67,'Facilities'!$C$9:$C$108,0))=3,0,INDEX('Facilities'!$AA$9:$AA$108,MATCH(C67,'Facilities'!$C$9:$C$108,0))),"Unavailable"))</x:f>
      </x:c>
      <x:c r="H67" s="23" t="str">
        <x:f>IF(C67="","",IFERROR(IF(INDEX('Facilities'!$AD$9:$AD$108,MATCH(C67,'Facilities'!$C$9:$C$108,0))=3,INDEX('Facilities'!$AA$9:$AA$108,MATCH(C67,'Facilities'!$C$9:$C$108,0)),0),"Unavailable"))</x:f>
      </x:c>
      <x:c r="I67" s="23" t="str">
        <x:f>IF(C67="","",IFERROR(INDEX('Facilities'!$AB$9:$AB$108,MATCH(C67,'Facilities'!$C$9:$C$108,0)),"Unavailable"))</x:f>
      </x:c>
      <x:c r="J67" s="23" t="str">
        <x:f>IF(C67="","",IFERROR(IF(OR(H67&gt;0,AND(AC67&gt;=0,AC67&lt;D67),D67&gt;INDEX('Facilities'!$J$9:$J$108,MATCH(C67,'Facilities'!$C$9:$C$108,0))),0,I67*'Scenario Paths'!F81),"Unavailable"))</x:f>
      </x:c>
      <x:c r="K67" s="23" t="str">
        <x:f>IF(C67="","",IFERROR(IF(OR(H67&gt;0,AND(AC67&gt;=0,AC67=D67)),0,IF(D67&gt;=INDEX('Facilities'!$J$9:$J$108,MATCH(C67,'Facilities'!$C$9:$C$108,0)),G67+J67,MIN(G67+J67,G67*INDEX('Facilities'!$R$9:$R$108,MATCH(C67,'Facilities'!$C$9:$C$108,0))))),"Unavailable"))</x:f>
      </x:c>
      <x:c r="L67" s="21" t="str">
        <x:f>IF(C67="","",IFERROR(IF(AND(AC67=D67,AC67&gt;0),MAX(0,G67+J67-K67),0),"Unavailable"))</x:f>
      </x:c>
      <x:c r="M67" s="23" t="str">
        <x:f>IF(C67="","",IFERROR(IF(AND(AC67&gt;=0,D67&gt;=AC67+INDEX('Facilities'!$AK$9:$AK$108,MATCH(C67,'Facilities'!$C$9:$C$108,0))),(H67+L67)*AM67,0),"Unavailable"))</x:f>
      </x:c>
      <x:c r="N67" s="23" t="str">
        <x:f>IF(C67="","",IFERROR(IF(AND(AC67&gt;=0,D67&gt;=AC67+INDEX('Facilities'!$AK$9:$AK$108,MATCH(C67,'Facilities'!$C$9:$C$108,0))),H67+L67-M67,0),"Unavailable"))</x:f>
      </x:c>
      <x:c r="O67" s="21" t="str">
        <x:f>IF(C67="","",IFERROR(MAX(0,G67+J67-K67-L67),"Unavailable"))</x:f>
      </x:c>
      <x:c r="P67" s="21" t="str">
        <x:f>IF(C67="","",IFERROR(MAX(0,H67+L67-M67-N67),"Unavailable"))</x:f>
      </x:c>
      <x:c r="Q67" s="23" t="str">
        <x:f>IF(C67="","",IFERROR(IF(OR(D67&gt;=INDEX('Facilities'!$J$9:$J$108,MATCH(C67,'Facilities'!$C$9:$C$108,0)),AND(AC67&gt;=0,AC67&lt;=D67)),0,MAX(0,I67-J67)),"Unavailable"))</x:f>
      </x:c>
      <x:c r="R67" s="30" t="str">
        <x:f>IF(C67="","",IFERROR(INDEX(Credit!$Q$9:$Q$108,MATCH(F67,Credit!$C$9:$C$108,0)),"Unavailable"))</x:f>
      </x:c>
      <x:c r="S67" s="30" t="str">
        <x:f>IF(C67="","",IFERROR(INDEX(Credit!$R$9:$R$108,MATCH(F67,Credit!$C$9:$C$108,0)),"Unavailable"))</x:f>
      </x:c>
      <x:c r="T67" s="23" t="str">
        <x:f>IF(C67="","",IFERROR(IF(P67&gt;0,3,IF(OR(INDEX('Facilities'!$AD$9:$AD$108,MATCH(C67,'Facilities'!$C$9:$C$108,0))=2,AND(R67&gt;=INDEX('Facilities'!$L$9:$L$108,MATCH(C67,'Facilities'!$C$9:$C$108,0))*Settings!$F$19,R67-INDEX('Facilities'!$L$9:$L$108,MATCH(C67,'Facilities'!$C$9:$C$108,0))&gt;=Settings!$F$20)),2,1)),"Unavailable"))</x:f>
      </x:c>
      <x:c r="U67" s="23" t="str">
        <x:f>IF(C67="","",IF(AQ67&lt;&gt;"Ready","Unavailable",IF(C67="","",O67*(1-(1-S67)/(1+INDEX('Facilities'!$K$9:$K$108,MATCH(C67,'Facilities'!$C$9:$C$108,0)))^INDEX('Facilities'!$AK$9:$AK$108,MATCH(C67,'Facilities'!$C$9:$C$108,0)))*R67/(1+INDEX('Facilities'!$K$9:$K$108,MATCH(C67,'Facilities'!$C$9:$C$108,0)))*IF(ABS(1-(1-R67)*(1-INDEX('Facilities'!$R$9:$R$108,MATCH(C67,'Facilities'!$C$9:$C$108,0)))/(1+INDEX('Facilities'!$K$9:$K$108,MATCH(C67,'Facilities'!$C$9:$C$108,0))))&lt;0.000000001,IF(T67=1,MIN(1,AJ67),AJ67),(1-((1-R67)*(1-INDEX('Facilities'!$R$9:$R$108,MATCH(C67,'Facilities'!$C$9:$C$108,0)))/(1+INDEX('Facilities'!$K$9:$K$108,MATCH(C67,'Facilities'!$C$9:$C$108,0))))^IF(T67=1,MIN(1,AJ67),AJ67))/(1-(1-R67)*(1-INDEX('Facilities'!$R$9:$R$108,MATCH(C67,'Facilities'!$C$9:$C$108,0)))/(1+INDEX('Facilities'!$K$9:$K$108,MATCH(C67,'Facilities'!$C$9:$C$108,0)))))+AL67)))</x:f>
      </x:c>
      <x:c r="V67" s="23" t="str">
        <x:f>IF(C67="","",IF(AQ67&lt;&gt;"Ready","Unavailable",IF(C67="","",Q67*INDEX('Facilities'!$I$9:$I$108,MATCH(C67,'Facilities'!$C$9:$C$108,0))*(1-(1-S67)/(1+INDEX('Facilities'!$K$9:$K$108,MATCH(C67,'Facilities'!$C$9:$C$108,0)))^INDEX('Facilities'!$AK$9:$AK$108,MATCH(C67,'Facilities'!$C$9:$C$108,0)))*R67/(1+INDEX('Facilities'!$K$9:$K$108,MATCH(C67,'Facilities'!$C$9:$C$108,0)))*IF(ABS(1-(1-R67)*(1-0)/(1+INDEX('Facilities'!$K$9:$K$108,MATCH(C67,'Facilities'!$C$9:$C$108,0))))&lt;0.000000001,IF(T67=1,MIN(1,AJ67),AJ67),(1-((1-R67)*(1-0)/(1+INDEX('Facilities'!$K$9:$K$108,MATCH(C67,'Facilities'!$C$9:$C$108,0))))^IF(T67=1,MIN(1,AJ67),AJ67))/(1-(1-R67)*(1-0)/(1+INDEX('Facilities'!$K$9:$K$108,MATCH(C67,'Facilities'!$C$9:$C$108,0))))))))</x:f>
      </x:c>
      <x:c r="W67" s="23" t="str">
        <x:f>IF(C67="","",IFERROR(INDEX(ECL!$AB$9:$AB$108,MATCH(C67,ECL!$C$9:$C$108,0)),"Unavailable"))</x:f>
      </x:c>
      <x:c r="X67" s="23" t="str">
        <x:f>IF(C67="","",IFERROR(INDEX(ECL!$AC$9:$AC$108,MATCH(C67,ECL!$C$9:$C$108,0)),"Unavailable"))</x:f>
      </x:c>
      <x:c r="Y67" s="21" t="str">
        <x:f>IF(C67="","",IF(AQ67&lt;&gt;"Ready","Unavailable",IF(C67="","",U67-W67+V67-X67+N67+AG67)))</x:f>
      </x:c>
      <x:c r="Z67" s="23" t="str">
        <x:f>IF(C67="","",IF(AQ67&lt;&gt;"Ready","Unavailable",IF(C67="","",(G67+O67+L67)/2*INDEX('Facilities'!$T$9:$T$108,MATCH(C67,'Facilities'!$C$9:$C$108,0))+AG67)))</x:f>
      </x:c>
      <x:c r="AA67" s="23" t="str">
        <x:f>IF(C67="","",IF(AQ67&lt;&gt;"Ready","Unavailable",IF(C67="","",O67*(1-IF(INDEX('Facilities'!$AA$9:$AA$108,MATCH(C67,'Facilities'!$C$9:$C$108,0))=0,0,MIN(1,INDEX('Facilities'!$X$9:$X$108,MATCH(C67,'Facilities'!$C$9:$C$108,0))/INDEX('Facilities'!$AA$9:$AA$108,MATCH(C67,'Facilities'!$C$9:$C$108,0)))))*AF67+P67*(1-IF(INDEX('Facilities'!$AA$9:$AA$108,MATCH(C67,'Facilities'!$C$9:$C$108,0))=0,0,MIN(1,INDEX('Facilities'!$X$9:$X$108,MATCH(C67,'Facilities'!$C$9:$C$108,0))/INDEX('Facilities'!$AA$9:$AA$108,MATCH(C67,'Facilities'!$C$9:$C$108,0)))))*INDEX('Facilities'!$AJ$9:$AJ$108,MATCH(C67,'Facilities'!$C$9:$C$108,0))+Q67*INDEX('Facilities'!$AI$9:$AI$108,MATCH(C67,'Facilities'!$C$9:$C$108,0))*AF67)))</x:f>
      </x:c>
      <x:c r="AB67" s="21" t="str">
        <x:f>IF(C67="","",O67+P67-AD67)</x:f>
      </x:c>
      <x:c r="AC67" s="23" t="str">
        <x:f>IF(C67="","",IFERROR(IF(INDEX('Facilities'!$AD$9:$AD$108,MATCH(C67,'Facilities'!$C$9:$C$108,0))=3,0,IF(INDEX('Facilities'!$AN$9:$AN$108,MATCH(C67,'Facilities'!$C$9:$C$108,0))=0,-1,INDEX('Facilities'!$AN$9:$AN$108,MATCH(C67,'Facilities'!$C$9:$C$108,0)))),"Unavailable"))</x:f>
      </x:c>
      <x:c r="AD67" s="21" t="str">
        <x:f>IF(C67="","",IFERROR(G67+H67,"Unavailable"))</x:f>
      </x:c>
      <x:c r="AE67" s="21" t="str">
        <x:f>IF(C67="","",IF(AQ67&lt;&gt;"Ready","Unavailable",IF(C67="","",O67+P67-AD67-J67+K67+M67+N67)))</x:f>
      </x:c>
      <x:c r="AF67" s="30" t="str">
        <x:f>IF(C67="","",IFERROR(INDEX('Facilities'!$S$9:$S$108,MATCH(C67,'Facilities'!$C$9:$C$108,0))*'Scenario Paths'!F75,"Unavailable"))</x:f>
      </x:c>
      <x:c r="AG67" s="23" t="str">
        <x:f>IF(C67="","",IF(AQ67&lt;&gt;"Ready","Unavailable",IF(C67="","",IF(H67&gt;0,MAX(0,H67-AK67)*((1+INDEX('Facilities'!$K$9:$K$108,MATCH(C67,'Facilities'!$C$9:$C$108,0)))^MIN(1,MAX(0,AC67+INDEX('Facilities'!$AK$9:$AK$108,MATCH(C67,'Facilities'!$C$9:$C$108,0))-D67+1))-1),0))))</x:f>
      </x:c>
      <x:c r="AH67" s="21" t="str">
        <x:f>IF(C67="","",IF(AQ67&lt;&gt;"Ready","Unavailable",IF(C67="","",O67+P67)))</x:f>
      </x:c>
      <x:c r="AI67" s="21" t="str">
        <x:f>IF(C67="","",IF(AQ67&lt;&gt;"Ready","Unavailable",IF(C67="","",Z67-Y67)))</x:f>
      </x:c>
      <x:c r="AJ67" s="23" t="str">
        <x:f>IF(C67="","",IFERROR(MAX(0,INDEX('Facilities'!$J$9:$J$108,MATCH(C67,'Facilities'!$C$9:$C$108,0))-D67),"Unavailable"))</x:f>
      </x:c>
      <x:c r="AK67" s="23" t="str">
        <x:f>IF(C67="","",IFERROR(IF(INDEX('Facilities'!$AD$9:$AD$108,MATCH(C67,'Facilities'!$C$9:$C$108,0))=3,W67,0),"Unavailable"))</x:f>
      </x:c>
      <x:c r="AL67" s="23" t="str">
        <x:f>IF(C67="","",IFERROR(IF(P67&gt;0,P67*(1-AM67/(1+INDEX('Facilities'!$K$9:$K$108,MATCH(C67,'Facilities'!$C$9:$C$108,0)))^MAX(0,AC67+INDEX('Facilities'!$AK$9:$AK$108,MATCH(C67,'Facilities'!$C$9:$C$108,0))-D67)),0),"Unavailable"))</x:f>
      </x:c>
      <x:c r="AM67" s="30" t="str">
        <x:f>IF(C67="","",IFERROR(INDEX('Facilities'!$AL$9:$AL$108,MATCH(C67,'Facilities'!$C$9:$C$108,0)),"Unavailable"))</x:f>
      </x:c>
      <x:c r="AN67" s="30" t="str">
        <x:f>IF(C67="","",IFERROR(INDEX(Credit!$T$9:$T$108,MATCH(F67,Credit!$C$9:$C$108,0)),"Unavailable"))</x:f>
      </x:c>
      <x:c r="AO67" s="23" t="str">
        <x:f>IF(C67="","",IF(AQ67&lt;&gt;"Ready","Unavailable",IF(C67="","",O67+P67+Q67*INDEX('Facilities'!$I$9:$I$108,MATCH(C67,'Facilities'!$C$9:$C$108,0)))))</x:f>
      </x:c>
      <x:c r="AP67" s="21" t="str">
        <x:f>IF(C67="","",IF(AQ67&lt;&gt;"Ready","Unavailable",IF(C67="","",AH67-U67)))</x:f>
      </x:c>
      <x:c r="AQ67" s="23" t="str">
        <x:f>IFERROR(IF(C67="","",IF(AND(INDEX('Facilities'!$AF$9:$AF$108,MATCH(C67,'Facilities'!$C$9:$C$108,0))="Ready",INDEX(Credit!$U$9:$U$108,MATCH(F67,Credit!$C$9:$C$108,0))="Ready",ISNUMBER(W67)),"Ready","Review inputs")),"Review inputs")</x:f>
      </x:c>
      <x:c r="AR67" s="23" t="str">
        <x:f>IF(C67="","",IF(AQ67&lt;&gt;"Ready","Unavailable",IF(C67="","",IF(O67=0,0,(IF(AJ67&lt;=1,O67,O67*INDEX('Facilities'!$R$9:$R$108,MATCH(C67,'Facilities'!$C$9:$C$108,0)))+O67*INDEX('Facilities'!$T$9:$T$108,MATCH(C67,'Facilities'!$C$9:$C$108,0)))/12))))</x:f>
      </x:c>
    </x:row>
    <x:row r="68" ht="26" customHeight="1">
      <x:c r="A68" s="1"/>
      <x:c r="B68" s="1"/>
      <x:c r="C68" s="9" t="str">
        <x:f>IF(Facilities!C68="","",Facilities!C68)</x:f>
      </x:c>
      <x:c r="D68" s="3" t="n">
        <x:v>1</x:v>
      </x:c>
      <x:c r="E68" s="9" t="n">
        <x:f>Settings!$F$18+0</x:f>
        <x:v>2027</x:v>
      </x:c>
      <x:c r="F68" s="9" t="str">
        <x:f>IF(C68="","",IFERROR(INDEX('Facilities'!$D$9:$D$108,MATCH(C68,'Facilities'!$C$9:$C$108,0)),"Unavailable"))</x:f>
      </x:c>
      <x:c r="G68" s="23" t="str">
        <x:f>IF(C68="","",IFERROR(IF(INDEX('Facilities'!$AD$9:$AD$108,MATCH(C68,'Facilities'!$C$9:$C$108,0))=3,0,INDEX('Facilities'!$AA$9:$AA$108,MATCH(C68,'Facilities'!$C$9:$C$108,0))),"Unavailable"))</x:f>
      </x:c>
      <x:c r="H68" s="23" t="str">
        <x:f>IF(C68="","",IFERROR(IF(INDEX('Facilities'!$AD$9:$AD$108,MATCH(C68,'Facilities'!$C$9:$C$108,0))=3,INDEX('Facilities'!$AA$9:$AA$108,MATCH(C68,'Facilities'!$C$9:$C$108,0)),0),"Unavailable"))</x:f>
      </x:c>
      <x:c r="I68" s="23" t="str">
        <x:f>IF(C68="","",IFERROR(INDEX('Facilities'!$AB$9:$AB$108,MATCH(C68,'Facilities'!$C$9:$C$108,0)),"Unavailable"))</x:f>
      </x:c>
      <x:c r="J68" s="23" t="str">
        <x:f>IF(C68="","",IFERROR(IF(OR(H68&gt;0,AND(AC68&gt;=0,AC68&lt;D68),D68&gt;INDEX('Facilities'!$J$9:$J$108,MATCH(C68,'Facilities'!$C$9:$C$108,0))),0,I68*'Scenario Paths'!F81),"Unavailable"))</x:f>
      </x:c>
      <x:c r="K68" s="23" t="str">
        <x:f>IF(C68="","",IFERROR(IF(OR(H68&gt;0,AND(AC68&gt;=0,AC68=D68)),0,IF(D68&gt;=INDEX('Facilities'!$J$9:$J$108,MATCH(C68,'Facilities'!$C$9:$C$108,0)),G68+J68,MIN(G68+J68,G68*INDEX('Facilities'!$R$9:$R$108,MATCH(C68,'Facilities'!$C$9:$C$108,0))))),"Unavailable"))</x:f>
      </x:c>
      <x:c r="L68" s="21" t="str">
        <x:f>IF(C68="","",IFERROR(IF(AND(AC68=D68,AC68&gt;0),MAX(0,G68+J68-K68),0),"Unavailable"))</x:f>
      </x:c>
      <x:c r="M68" s="23" t="str">
        <x:f>IF(C68="","",IFERROR(IF(AND(AC68&gt;=0,D68&gt;=AC68+INDEX('Facilities'!$AK$9:$AK$108,MATCH(C68,'Facilities'!$C$9:$C$108,0))),(H68+L68)*AM68,0),"Unavailable"))</x:f>
      </x:c>
      <x:c r="N68" s="23" t="str">
        <x:f>IF(C68="","",IFERROR(IF(AND(AC68&gt;=0,D68&gt;=AC68+INDEX('Facilities'!$AK$9:$AK$108,MATCH(C68,'Facilities'!$C$9:$C$108,0))),H68+L68-M68,0),"Unavailable"))</x:f>
      </x:c>
      <x:c r="O68" s="21" t="str">
        <x:f>IF(C68="","",IFERROR(MAX(0,G68+J68-K68-L68),"Unavailable"))</x:f>
      </x:c>
      <x:c r="P68" s="21" t="str">
        <x:f>IF(C68="","",IFERROR(MAX(0,H68+L68-M68-N68),"Unavailable"))</x:f>
      </x:c>
      <x:c r="Q68" s="23" t="str">
        <x:f>IF(C68="","",IFERROR(IF(OR(D68&gt;=INDEX('Facilities'!$J$9:$J$108,MATCH(C68,'Facilities'!$C$9:$C$108,0)),AND(AC68&gt;=0,AC68&lt;=D68)),0,MAX(0,I68-J68)),"Unavailable"))</x:f>
      </x:c>
      <x:c r="R68" s="30" t="str">
        <x:f>IF(C68="","",IFERROR(INDEX(Credit!$Q$9:$Q$108,MATCH(F68,Credit!$C$9:$C$108,0)),"Unavailable"))</x:f>
      </x:c>
      <x:c r="S68" s="30" t="str">
        <x:f>IF(C68="","",IFERROR(INDEX(Credit!$R$9:$R$108,MATCH(F68,Credit!$C$9:$C$108,0)),"Unavailable"))</x:f>
      </x:c>
      <x:c r="T68" s="23" t="str">
        <x:f>IF(C68="","",IFERROR(IF(P68&gt;0,3,IF(OR(INDEX('Facilities'!$AD$9:$AD$108,MATCH(C68,'Facilities'!$C$9:$C$108,0))=2,AND(R68&gt;=INDEX('Facilities'!$L$9:$L$108,MATCH(C68,'Facilities'!$C$9:$C$108,0))*Settings!$F$19,R68-INDEX('Facilities'!$L$9:$L$108,MATCH(C68,'Facilities'!$C$9:$C$108,0))&gt;=Settings!$F$20)),2,1)),"Unavailable"))</x:f>
      </x:c>
      <x:c r="U68" s="23" t="str">
        <x:f>IF(C68="","",IF(AQ68&lt;&gt;"Ready","Unavailable",IF(C68="","",O68*(1-(1-S68)/(1+INDEX('Facilities'!$K$9:$K$108,MATCH(C68,'Facilities'!$C$9:$C$108,0)))^INDEX('Facilities'!$AK$9:$AK$108,MATCH(C68,'Facilities'!$C$9:$C$108,0)))*R68/(1+INDEX('Facilities'!$K$9:$K$108,MATCH(C68,'Facilities'!$C$9:$C$108,0)))*IF(ABS(1-(1-R68)*(1-INDEX('Facilities'!$R$9:$R$108,MATCH(C68,'Facilities'!$C$9:$C$108,0)))/(1+INDEX('Facilities'!$K$9:$K$108,MATCH(C68,'Facilities'!$C$9:$C$108,0))))&lt;0.000000001,IF(T68=1,MIN(1,AJ68),AJ68),(1-((1-R68)*(1-INDEX('Facilities'!$R$9:$R$108,MATCH(C68,'Facilities'!$C$9:$C$108,0)))/(1+INDEX('Facilities'!$K$9:$K$108,MATCH(C68,'Facilities'!$C$9:$C$108,0))))^IF(T68=1,MIN(1,AJ68),AJ68))/(1-(1-R68)*(1-INDEX('Facilities'!$R$9:$R$108,MATCH(C68,'Facilities'!$C$9:$C$108,0)))/(1+INDEX('Facilities'!$K$9:$K$108,MATCH(C68,'Facilities'!$C$9:$C$108,0)))))+AL68)))</x:f>
      </x:c>
      <x:c r="V68" s="23" t="str">
        <x:f>IF(C68="","",IF(AQ68&lt;&gt;"Ready","Unavailable",IF(C68="","",Q68*INDEX('Facilities'!$I$9:$I$108,MATCH(C68,'Facilities'!$C$9:$C$108,0))*(1-(1-S68)/(1+INDEX('Facilities'!$K$9:$K$108,MATCH(C68,'Facilities'!$C$9:$C$108,0)))^INDEX('Facilities'!$AK$9:$AK$108,MATCH(C68,'Facilities'!$C$9:$C$108,0)))*R68/(1+INDEX('Facilities'!$K$9:$K$108,MATCH(C68,'Facilities'!$C$9:$C$108,0)))*IF(ABS(1-(1-R68)*(1-0)/(1+INDEX('Facilities'!$K$9:$K$108,MATCH(C68,'Facilities'!$C$9:$C$108,0))))&lt;0.000000001,IF(T68=1,MIN(1,AJ68),AJ68),(1-((1-R68)*(1-0)/(1+INDEX('Facilities'!$K$9:$K$108,MATCH(C68,'Facilities'!$C$9:$C$108,0))))^IF(T68=1,MIN(1,AJ68),AJ68))/(1-(1-R68)*(1-0)/(1+INDEX('Facilities'!$K$9:$K$108,MATCH(C68,'Facilities'!$C$9:$C$108,0))))))))</x:f>
      </x:c>
      <x:c r="W68" s="23" t="str">
        <x:f>IF(C68="","",IFERROR(INDEX(ECL!$AB$9:$AB$108,MATCH(C68,ECL!$C$9:$C$108,0)),"Unavailable"))</x:f>
      </x:c>
      <x:c r="X68" s="23" t="str">
        <x:f>IF(C68="","",IFERROR(INDEX(ECL!$AC$9:$AC$108,MATCH(C68,ECL!$C$9:$C$108,0)),"Unavailable"))</x:f>
      </x:c>
      <x:c r="Y68" s="21" t="str">
        <x:f>IF(C68="","",IF(AQ68&lt;&gt;"Ready","Unavailable",IF(C68="","",U68-W68+V68-X68+N68+AG68)))</x:f>
      </x:c>
      <x:c r="Z68" s="23" t="str">
        <x:f>IF(C68="","",IF(AQ68&lt;&gt;"Ready","Unavailable",IF(C68="","",(G68+O68+L68)/2*INDEX('Facilities'!$T$9:$T$108,MATCH(C68,'Facilities'!$C$9:$C$108,0))+AG68)))</x:f>
      </x:c>
      <x:c r="AA68" s="23" t="str">
        <x:f>IF(C68="","",IF(AQ68&lt;&gt;"Ready","Unavailable",IF(C68="","",O68*(1-IF(INDEX('Facilities'!$AA$9:$AA$108,MATCH(C68,'Facilities'!$C$9:$C$108,0))=0,0,MIN(1,INDEX('Facilities'!$X$9:$X$108,MATCH(C68,'Facilities'!$C$9:$C$108,0))/INDEX('Facilities'!$AA$9:$AA$108,MATCH(C68,'Facilities'!$C$9:$C$108,0)))))*AF68+P68*(1-IF(INDEX('Facilities'!$AA$9:$AA$108,MATCH(C68,'Facilities'!$C$9:$C$108,0))=0,0,MIN(1,INDEX('Facilities'!$X$9:$X$108,MATCH(C68,'Facilities'!$C$9:$C$108,0))/INDEX('Facilities'!$AA$9:$AA$108,MATCH(C68,'Facilities'!$C$9:$C$108,0)))))*INDEX('Facilities'!$AJ$9:$AJ$108,MATCH(C68,'Facilities'!$C$9:$C$108,0))+Q68*INDEX('Facilities'!$AI$9:$AI$108,MATCH(C68,'Facilities'!$C$9:$C$108,0))*AF68)))</x:f>
      </x:c>
      <x:c r="AB68" s="21" t="str">
        <x:f>IF(C68="","",O68+P68-AD68)</x:f>
      </x:c>
      <x:c r="AC68" s="23" t="str">
        <x:f>IF(C68="","",IFERROR(IF(INDEX('Facilities'!$AD$9:$AD$108,MATCH(C68,'Facilities'!$C$9:$C$108,0))=3,0,IF(INDEX('Facilities'!$AN$9:$AN$108,MATCH(C68,'Facilities'!$C$9:$C$108,0))=0,-1,INDEX('Facilities'!$AN$9:$AN$108,MATCH(C68,'Facilities'!$C$9:$C$108,0)))),"Unavailable"))</x:f>
      </x:c>
      <x:c r="AD68" s="21" t="str">
        <x:f>IF(C68="","",IFERROR(G68+H68,"Unavailable"))</x:f>
      </x:c>
      <x:c r="AE68" s="21" t="str">
        <x:f>IF(C68="","",IF(AQ68&lt;&gt;"Ready","Unavailable",IF(C68="","",O68+P68-AD68-J68+K68+M68+N68)))</x:f>
      </x:c>
      <x:c r="AF68" s="30" t="str">
        <x:f>IF(C68="","",IFERROR(INDEX('Facilities'!$S$9:$S$108,MATCH(C68,'Facilities'!$C$9:$C$108,0))*'Scenario Paths'!F75,"Unavailable"))</x:f>
      </x:c>
      <x:c r="AG68" s="23" t="str">
        <x:f>IF(C68="","",IF(AQ68&lt;&gt;"Ready","Unavailable",IF(C68="","",IF(H68&gt;0,MAX(0,H68-AK68)*((1+INDEX('Facilities'!$K$9:$K$108,MATCH(C68,'Facilities'!$C$9:$C$108,0)))^MIN(1,MAX(0,AC68+INDEX('Facilities'!$AK$9:$AK$108,MATCH(C68,'Facilities'!$C$9:$C$108,0))-D68+1))-1),0))))</x:f>
      </x:c>
      <x:c r="AH68" s="21" t="str">
        <x:f>IF(C68="","",IF(AQ68&lt;&gt;"Ready","Unavailable",IF(C68="","",O68+P68)))</x:f>
      </x:c>
      <x:c r="AI68" s="21" t="str">
        <x:f>IF(C68="","",IF(AQ68&lt;&gt;"Ready","Unavailable",IF(C68="","",Z68-Y68)))</x:f>
      </x:c>
      <x:c r="AJ68" s="23" t="str">
        <x:f>IF(C68="","",IFERROR(MAX(0,INDEX('Facilities'!$J$9:$J$108,MATCH(C68,'Facilities'!$C$9:$C$108,0))-D68),"Unavailable"))</x:f>
      </x:c>
      <x:c r="AK68" s="23" t="str">
        <x:f>IF(C68="","",IFERROR(IF(INDEX('Facilities'!$AD$9:$AD$108,MATCH(C68,'Facilities'!$C$9:$C$108,0))=3,W68,0),"Unavailable"))</x:f>
      </x:c>
      <x:c r="AL68" s="23" t="str">
        <x:f>IF(C68="","",IFERROR(IF(P68&gt;0,P68*(1-AM68/(1+INDEX('Facilities'!$K$9:$K$108,MATCH(C68,'Facilities'!$C$9:$C$108,0)))^MAX(0,AC68+INDEX('Facilities'!$AK$9:$AK$108,MATCH(C68,'Facilities'!$C$9:$C$108,0))-D68)),0),"Unavailable"))</x:f>
      </x:c>
      <x:c r="AM68" s="30" t="str">
        <x:f>IF(C68="","",IFERROR(INDEX('Facilities'!$AL$9:$AL$108,MATCH(C68,'Facilities'!$C$9:$C$108,0)),"Unavailable"))</x:f>
      </x:c>
      <x:c r="AN68" s="30" t="str">
        <x:f>IF(C68="","",IFERROR(INDEX(Credit!$T$9:$T$108,MATCH(F68,Credit!$C$9:$C$108,0)),"Unavailable"))</x:f>
      </x:c>
      <x:c r="AO68" s="23" t="str">
        <x:f>IF(C68="","",IF(AQ68&lt;&gt;"Ready","Unavailable",IF(C68="","",O68+P68+Q68*INDEX('Facilities'!$I$9:$I$108,MATCH(C68,'Facilities'!$C$9:$C$108,0)))))</x:f>
      </x:c>
      <x:c r="AP68" s="21" t="str">
        <x:f>IF(C68="","",IF(AQ68&lt;&gt;"Ready","Unavailable",IF(C68="","",AH68-U68)))</x:f>
      </x:c>
      <x:c r="AQ68" s="23" t="str">
        <x:f>IFERROR(IF(C68="","",IF(AND(INDEX('Facilities'!$AF$9:$AF$108,MATCH(C68,'Facilities'!$C$9:$C$108,0))="Ready",INDEX(Credit!$U$9:$U$108,MATCH(F68,Credit!$C$9:$C$108,0))="Ready",ISNUMBER(W68)),"Ready","Review inputs")),"Review inputs")</x:f>
      </x:c>
      <x:c r="AR68" s="23" t="str">
        <x:f>IF(C68="","",IF(AQ68&lt;&gt;"Ready","Unavailable",IF(C68="","",IF(O68=0,0,(IF(AJ68&lt;=1,O68,O68*INDEX('Facilities'!$R$9:$R$108,MATCH(C68,'Facilities'!$C$9:$C$108,0)))+O68*INDEX('Facilities'!$T$9:$T$108,MATCH(C68,'Facilities'!$C$9:$C$108,0)))/12))))</x:f>
      </x:c>
    </x:row>
    <x:row r="69" ht="26" customHeight="1">
      <x:c r="A69" s="1"/>
      <x:c r="B69" s="1"/>
      <x:c r="C69" s="9" t="str">
        <x:f>IF(Facilities!C69="","",Facilities!C69)</x:f>
      </x:c>
      <x:c r="D69" s="3" t="n">
        <x:v>1</x:v>
      </x:c>
      <x:c r="E69" s="9" t="n">
        <x:f>Settings!$F$18+0</x:f>
        <x:v>2027</x:v>
      </x:c>
      <x:c r="F69" s="9" t="str">
        <x:f>IF(C69="","",IFERROR(INDEX('Facilities'!$D$9:$D$108,MATCH(C69,'Facilities'!$C$9:$C$108,0)),"Unavailable"))</x:f>
      </x:c>
      <x:c r="G69" s="23" t="str">
        <x:f>IF(C69="","",IFERROR(IF(INDEX('Facilities'!$AD$9:$AD$108,MATCH(C69,'Facilities'!$C$9:$C$108,0))=3,0,INDEX('Facilities'!$AA$9:$AA$108,MATCH(C69,'Facilities'!$C$9:$C$108,0))),"Unavailable"))</x:f>
      </x:c>
      <x:c r="H69" s="23" t="str">
        <x:f>IF(C69="","",IFERROR(IF(INDEX('Facilities'!$AD$9:$AD$108,MATCH(C69,'Facilities'!$C$9:$C$108,0))=3,INDEX('Facilities'!$AA$9:$AA$108,MATCH(C69,'Facilities'!$C$9:$C$108,0)),0),"Unavailable"))</x:f>
      </x:c>
      <x:c r="I69" s="23" t="str">
        <x:f>IF(C69="","",IFERROR(INDEX('Facilities'!$AB$9:$AB$108,MATCH(C69,'Facilities'!$C$9:$C$108,0)),"Unavailable"))</x:f>
      </x:c>
      <x:c r="J69" s="23" t="str">
        <x:f>IF(C69="","",IFERROR(IF(OR(H69&gt;0,AND(AC69&gt;=0,AC69&lt;D69),D69&gt;INDEX('Facilities'!$J$9:$J$108,MATCH(C69,'Facilities'!$C$9:$C$108,0))),0,I69*'Scenario Paths'!F81),"Unavailable"))</x:f>
      </x:c>
      <x:c r="K69" s="23" t="str">
        <x:f>IF(C69="","",IFERROR(IF(OR(H69&gt;0,AND(AC69&gt;=0,AC69=D69)),0,IF(D69&gt;=INDEX('Facilities'!$J$9:$J$108,MATCH(C69,'Facilities'!$C$9:$C$108,0)),G69+J69,MIN(G69+J69,G69*INDEX('Facilities'!$R$9:$R$108,MATCH(C69,'Facilities'!$C$9:$C$108,0))))),"Unavailable"))</x:f>
      </x:c>
      <x:c r="L69" s="21" t="str">
        <x:f>IF(C69="","",IFERROR(IF(AND(AC69=D69,AC69&gt;0),MAX(0,G69+J69-K69),0),"Unavailable"))</x:f>
      </x:c>
      <x:c r="M69" s="23" t="str">
        <x:f>IF(C69="","",IFERROR(IF(AND(AC69&gt;=0,D69&gt;=AC69+INDEX('Facilities'!$AK$9:$AK$108,MATCH(C69,'Facilities'!$C$9:$C$108,0))),(H69+L69)*AM69,0),"Unavailable"))</x:f>
      </x:c>
      <x:c r="N69" s="23" t="str">
        <x:f>IF(C69="","",IFERROR(IF(AND(AC69&gt;=0,D69&gt;=AC69+INDEX('Facilities'!$AK$9:$AK$108,MATCH(C69,'Facilities'!$C$9:$C$108,0))),H69+L69-M69,0),"Unavailable"))</x:f>
      </x:c>
      <x:c r="O69" s="21" t="str">
        <x:f>IF(C69="","",IFERROR(MAX(0,G69+J69-K69-L69),"Unavailable"))</x:f>
      </x:c>
      <x:c r="P69" s="21" t="str">
        <x:f>IF(C69="","",IFERROR(MAX(0,H69+L69-M69-N69),"Unavailable"))</x:f>
      </x:c>
      <x:c r="Q69" s="23" t="str">
        <x:f>IF(C69="","",IFERROR(IF(OR(D69&gt;=INDEX('Facilities'!$J$9:$J$108,MATCH(C69,'Facilities'!$C$9:$C$108,0)),AND(AC69&gt;=0,AC69&lt;=D69)),0,MAX(0,I69-J69)),"Unavailable"))</x:f>
      </x:c>
      <x:c r="R69" s="30" t="str">
        <x:f>IF(C69="","",IFERROR(INDEX(Credit!$Q$9:$Q$108,MATCH(F69,Credit!$C$9:$C$108,0)),"Unavailable"))</x:f>
      </x:c>
      <x:c r="S69" s="30" t="str">
        <x:f>IF(C69="","",IFERROR(INDEX(Credit!$R$9:$R$108,MATCH(F69,Credit!$C$9:$C$108,0)),"Unavailable"))</x:f>
      </x:c>
      <x:c r="T69" s="23" t="str">
        <x:f>IF(C69="","",IFERROR(IF(P69&gt;0,3,IF(OR(INDEX('Facilities'!$AD$9:$AD$108,MATCH(C69,'Facilities'!$C$9:$C$108,0))=2,AND(R69&gt;=INDEX('Facilities'!$L$9:$L$108,MATCH(C69,'Facilities'!$C$9:$C$108,0))*Settings!$F$19,R69-INDEX('Facilities'!$L$9:$L$108,MATCH(C69,'Facilities'!$C$9:$C$108,0))&gt;=Settings!$F$20)),2,1)),"Unavailable"))</x:f>
      </x:c>
      <x:c r="U69" s="23" t="str">
        <x:f>IF(C69="","",IF(AQ69&lt;&gt;"Ready","Unavailable",IF(C69="","",O69*(1-(1-S69)/(1+INDEX('Facilities'!$K$9:$K$108,MATCH(C69,'Facilities'!$C$9:$C$108,0)))^INDEX('Facilities'!$AK$9:$AK$108,MATCH(C69,'Facilities'!$C$9:$C$108,0)))*R69/(1+INDEX('Facilities'!$K$9:$K$108,MATCH(C69,'Facilities'!$C$9:$C$108,0)))*IF(ABS(1-(1-R69)*(1-INDEX('Facilities'!$R$9:$R$108,MATCH(C69,'Facilities'!$C$9:$C$108,0)))/(1+INDEX('Facilities'!$K$9:$K$108,MATCH(C69,'Facilities'!$C$9:$C$108,0))))&lt;0.000000001,IF(T69=1,MIN(1,AJ69),AJ69),(1-((1-R69)*(1-INDEX('Facilities'!$R$9:$R$108,MATCH(C69,'Facilities'!$C$9:$C$108,0)))/(1+INDEX('Facilities'!$K$9:$K$108,MATCH(C69,'Facilities'!$C$9:$C$108,0))))^IF(T69=1,MIN(1,AJ69),AJ69))/(1-(1-R69)*(1-INDEX('Facilities'!$R$9:$R$108,MATCH(C69,'Facilities'!$C$9:$C$108,0)))/(1+INDEX('Facilities'!$K$9:$K$108,MATCH(C69,'Facilities'!$C$9:$C$108,0)))))+AL69)))</x:f>
      </x:c>
      <x:c r="V69" s="23" t="str">
        <x:f>IF(C69="","",IF(AQ69&lt;&gt;"Ready","Unavailable",IF(C69="","",Q69*INDEX('Facilities'!$I$9:$I$108,MATCH(C69,'Facilities'!$C$9:$C$108,0))*(1-(1-S69)/(1+INDEX('Facilities'!$K$9:$K$108,MATCH(C69,'Facilities'!$C$9:$C$108,0)))^INDEX('Facilities'!$AK$9:$AK$108,MATCH(C69,'Facilities'!$C$9:$C$108,0)))*R69/(1+INDEX('Facilities'!$K$9:$K$108,MATCH(C69,'Facilities'!$C$9:$C$108,0)))*IF(ABS(1-(1-R69)*(1-0)/(1+INDEX('Facilities'!$K$9:$K$108,MATCH(C69,'Facilities'!$C$9:$C$108,0))))&lt;0.000000001,IF(T69=1,MIN(1,AJ69),AJ69),(1-((1-R69)*(1-0)/(1+INDEX('Facilities'!$K$9:$K$108,MATCH(C69,'Facilities'!$C$9:$C$108,0))))^IF(T69=1,MIN(1,AJ69),AJ69))/(1-(1-R69)*(1-0)/(1+INDEX('Facilities'!$K$9:$K$108,MATCH(C69,'Facilities'!$C$9:$C$108,0))))))))</x:f>
      </x:c>
      <x:c r="W69" s="23" t="str">
        <x:f>IF(C69="","",IFERROR(INDEX(ECL!$AB$9:$AB$108,MATCH(C69,ECL!$C$9:$C$108,0)),"Unavailable"))</x:f>
      </x:c>
      <x:c r="X69" s="23" t="str">
        <x:f>IF(C69="","",IFERROR(INDEX(ECL!$AC$9:$AC$108,MATCH(C69,ECL!$C$9:$C$108,0)),"Unavailable"))</x:f>
      </x:c>
      <x:c r="Y69" s="21" t="str">
        <x:f>IF(C69="","",IF(AQ69&lt;&gt;"Ready","Unavailable",IF(C69="","",U69-W69+V69-X69+N69+AG69)))</x:f>
      </x:c>
      <x:c r="Z69" s="23" t="str">
        <x:f>IF(C69="","",IF(AQ69&lt;&gt;"Ready","Unavailable",IF(C69="","",(G69+O69+L69)/2*INDEX('Facilities'!$T$9:$T$108,MATCH(C69,'Facilities'!$C$9:$C$108,0))+AG69)))</x:f>
      </x:c>
      <x:c r="AA69" s="23" t="str">
        <x:f>IF(C69="","",IF(AQ69&lt;&gt;"Ready","Unavailable",IF(C69="","",O69*(1-IF(INDEX('Facilities'!$AA$9:$AA$108,MATCH(C69,'Facilities'!$C$9:$C$108,0))=0,0,MIN(1,INDEX('Facilities'!$X$9:$X$108,MATCH(C69,'Facilities'!$C$9:$C$108,0))/INDEX('Facilities'!$AA$9:$AA$108,MATCH(C69,'Facilities'!$C$9:$C$108,0)))))*AF69+P69*(1-IF(INDEX('Facilities'!$AA$9:$AA$108,MATCH(C69,'Facilities'!$C$9:$C$108,0))=0,0,MIN(1,INDEX('Facilities'!$X$9:$X$108,MATCH(C69,'Facilities'!$C$9:$C$108,0))/INDEX('Facilities'!$AA$9:$AA$108,MATCH(C69,'Facilities'!$C$9:$C$108,0)))))*INDEX('Facilities'!$AJ$9:$AJ$108,MATCH(C69,'Facilities'!$C$9:$C$108,0))+Q69*INDEX('Facilities'!$AI$9:$AI$108,MATCH(C69,'Facilities'!$C$9:$C$108,0))*AF69)))</x:f>
      </x:c>
      <x:c r="AB69" s="21" t="str">
        <x:f>IF(C69="","",O69+P69-AD69)</x:f>
      </x:c>
      <x:c r="AC69" s="23" t="str">
        <x:f>IF(C69="","",IFERROR(IF(INDEX('Facilities'!$AD$9:$AD$108,MATCH(C69,'Facilities'!$C$9:$C$108,0))=3,0,IF(INDEX('Facilities'!$AN$9:$AN$108,MATCH(C69,'Facilities'!$C$9:$C$108,0))=0,-1,INDEX('Facilities'!$AN$9:$AN$108,MATCH(C69,'Facilities'!$C$9:$C$108,0)))),"Unavailable"))</x:f>
      </x:c>
      <x:c r="AD69" s="21" t="str">
        <x:f>IF(C69="","",IFERROR(G69+H69,"Unavailable"))</x:f>
      </x:c>
      <x:c r="AE69" s="21" t="str">
        <x:f>IF(C69="","",IF(AQ69&lt;&gt;"Ready","Unavailable",IF(C69="","",O69+P69-AD69-J69+K69+M69+N69)))</x:f>
      </x:c>
      <x:c r="AF69" s="30" t="str">
        <x:f>IF(C69="","",IFERROR(INDEX('Facilities'!$S$9:$S$108,MATCH(C69,'Facilities'!$C$9:$C$108,0))*'Scenario Paths'!F75,"Unavailable"))</x:f>
      </x:c>
      <x:c r="AG69" s="23" t="str">
        <x:f>IF(C69="","",IF(AQ69&lt;&gt;"Ready","Unavailable",IF(C69="","",IF(H69&gt;0,MAX(0,H69-AK69)*((1+INDEX('Facilities'!$K$9:$K$108,MATCH(C69,'Facilities'!$C$9:$C$108,0)))^MIN(1,MAX(0,AC69+INDEX('Facilities'!$AK$9:$AK$108,MATCH(C69,'Facilities'!$C$9:$C$108,0))-D69+1))-1),0))))</x:f>
      </x:c>
      <x:c r="AH69" s="21" t="str">
        <x:f>IF(C69="","",IF(AQ69&lt;&gt;"Ready","Unavailable",IF(C69="","",O69+P69)))</x:f>
      </x:c>
      <x:c r="AI69" s="21" t="str">
        <x:f>IF(C69="","",IF(AQ69&lt;&gt;"Ready","Unavailable",IF(C69="","",Z69-Y69)))</x:f>
      </x:c>
      <x:c r="AJ69" s="23" t="str">
        <x:f>IF(C69="","",IFERROR(MAX(0,INDEX('Facilities'!$J$9:$J$108,MATCH(C69,'Facilities'!$C$9:$C$108,0))-D69),"Unavailable"))</x:f>
      </x:c>
      <x:c r="AK69" s="23" t="str">
        <x:f>IF(C69="","",IFERROR(IF(INDEX('Facilities'!$AD$9:$AD$108,MATCH(C69,'Facilities'!$C$9:$C$108,0))=3,W69,0),"Unavailable"))</x:f>
      </x:c>
      <x:c r="AL69" s="23" t="str">
        <x:f>IF(C69="","",IFERROR(IF(P69&gt;0,P69*(1-AM69/(1+INDEX('Facilities'!$K$9:$K$108,MATCH(C69,'Facilities'!$C$9:$C$108,0)))^MAX(0,AC69+INDEX('Facilities'!$AK$9:$AK$108,MATCH(C69,'Facilities'!$C$9:$C$108,0))-D69)),0),"Unavailable"))</x:f>
      </x:c>
      <x:c r="AM69" s="30" t="str">
        <x:f>IF(C69="","",IFERROR(INDEX('Facilities'!$AL$9:$AL$108,MATCH(C69,'Facilities'!$C$9:$C$108,0)),"Unavailable"))</x:f>
      </x:c>
      <x:c r="AN69" s="30" t="str">
        <x:f>IF(C69="","",IFERROR(INDEX(Credit!$T$9:$T$108,MATCH(F69,Credit!$C$9:$C$108,0)),"Unavailable"))</x:f>
      </x:c>
      <x:c r="AO69" s="23" t="str">
        <x:f>IF(C69="","",IF(AQ69&lt;&gt;"Ready","Unavailable",IF(C69="","",O69+P69+Q69*INDEX('Facilities'!$I$9:$I$108,MATCH(C69,'Facilities'!$C$9:$C$108,0)))))</x:f>
      </x:c>
      <x:c r="AP69" s="21" t="str">
        <x:f>IF(C69="","",IF(AQ69&lt;&gt;"Ready","Unavailable",IF(C69="","",AH69-U69)))</x:f>
      </x:c>
      <x:c r="AQ69" s="23" t="str">
        <x:f>IFERROR(IF(C69="","",IF(AND(INDEX('Facilities'!$AF$9:$AF$108,MATCH(C69,'Facilities'!$C$9:$C$108,0))="Ready",INDEX(Credit!$U$9:$U$108,MATCH(F69,Credit!$C$9:$C$108,0))="Ready",ISNUMBER(W69)),"Ready","Review inputs")),"Review inputs")</x:f>
      </x:c>
      <x:c r="AR69" s="23" t="str">
        <x:f>IF(C69="","",IF(AQ69&lt;&gt;"Ready","Unavailable",IF(C69="","",IF(O69=0,0,(IF(AJ69&lt;=1,O69,O69*INDEX('Facilities'!$R$9:$R$108,MATCH(C69,'Facilities'!$C$9:$C$108,0)))+O69*INDEX('Facilities'!$T$9:$T$108,MATCH(C69,'Facilities'!$C$9:$C$108,0)))/12))))</x:f>
      </x:c>
    </x:row>
    <x:row r="70" ht="26" customHeight="1">
      <x:c r="A70" s="1"/>
      <x:c r="B70" s="1"/>
      <x:c r="C70" s="9" t="str">
        <x:f>IF(Facilities!C70="","",Facilities!C70)</x:f>
      </x:c>
      <x:c r="D70" s="3" t="n">
        <x:v>1</x:v>
      </x:c>
      <x:c r="E70" s="9" t="n">
        <x:f>Settings!$F$18+0</x:f>
        <x:v>2027</x:v>
      </x:c>
      <x:c r="F70" s="9" t="str">
        <x:f>IF(C70="","",IFERROR(INDEX('Facilities'!$D$9:$D$108,MATCH(C70,'Facilities'!$C$9:$C$108,0)),"Unavailable"))</x:f>
      </x:c>
      <x:c r="G70" s="23" t="str">
        <x:f>IF(C70="","",IFERROR(IF(INDEX('Facilities'!$AD$9:$AD$108,MATCH(C70,'Facilities'!$C$9:$C$108,0))=3,0,INDEX('Facilities'!$AA$9:$AA$108,MATCH(C70,'Facilities'!$C$9:$C$108,0))),"Unavailable"))</x:f>
      </x:c>
      <x:c r="H70" s="23" t="str">
        <x:f>IF(C70="","",IFERROR(IF(INDEX('Facilities'!$AD$9:$AD$108,MATCH(C70,'Facilities'!$C$9:$C$108,0))=3,INDEX('Facilities'!$AA$9:$AA$108,MATCH(C70,'Facilities'!$C$9:$C$108,0)),0),"Unavailable"))</x:f>
      </x:c>
      <x:c r="I70" s="23" t="str">
        <x:f>IF(C70="","",IFERROR(INDEX('Facilities'!$AB$9:$AB$108,MATCH(C70,'Facilities'!$C$9:$C$108,0)),"Unavailable"))</x:f>
      </x:c>
      <x:c r="J70" s="23" t="str">
        <x:f>IF(C70="","",IFERROR(IF(OR(H70&gt;0,AND(AC70&gt;=0,AC70&lt;D70),D70&gt;INDEX('Facilities'!$J$9:$J$108,MATCH(C70,'Facilities'!$C$9:$C$108,0))),0,I70*'Scenario Paths'!F81),"Unavailable"))</x:f>
      </x:c>
      <x:c r="K70" s="23" t="str">
        <x:f>IF(C70="","",IFERROR(IF(OR(H70&gt;0,AND(AC70&gt;=0,AC70=D70)),0,IF(D70&gt;=INDEX('Facilities'!$J$9:$J$108,MATCH(C70,'Facilities'!$C$9:$C$108,0)),G70+J70,MIN(G70+J70,G70*INDEX('Facilities'!$R$9:$R$108,MATCH(C70,'Facilities'!$C$9:$C$108,0))))),"Unavailable"))</x:f>
      </x:c>
      <x:c r="L70" s="21" t="str">
        <x:f>IF(C70="","",IFERROR(IF(AND(AC70=D70,AC70&gt;0),MAX(0,G70+J70-K70),0),"Unavailable"))</x:f>
      </x:c>
      <x:c r="M70" s="23" t="str">
        <x:f>IF(C70="","",IFERROR(IF(AND(AC70&gt;=0,D70&gt;=AC70+INDEX('Facilities'!$AK$9:$AK$108,MATCH(C70,'Facilities'!$C$9:$C$108,0))),(H70+L70)*AM70,0),"Unavailable"))</x:f>
      </x:c>
      <x:c r="N70" s="23" t="str">
        <x:f>IF(C70="","",IFERROR(IF(AND(AC70&gt;=0,D70&gt;=AC70+INDEX('Facilities'!$AK$9:$AK$108,MATCH(C70,'Facilities'!$C$9:$C$108,0))),H70+L70-M70,0),"Unavailable"))</x:f>
      </x:c>
      <x:c r="O70" s="21" t="str">
        <x:f>IF(C70="","",IFERROR(MAX(0,G70+J70-K70-L70),"Unavailable"))</x:f>
      </x:c>
      <x:c r="P70" s="21" t="str">
        <x:f>IF(C70="","",IFERROR(MAX(0,H70+L70-M70-N70),"Unavailable"))</x:f>
      </x:c>
      <x:c r="Q70" s="23" t="str">
        <x:f>IF(C70="","",IFERROR(IF(OR(D70&gt;=INDEX('Facilities'!$J$9:$J$108,MATCH(C70,'Facilities'!$C$9:$C$108,0)),AND(AC70&gt;=0,AC70&lt;=D70)),0,MAX(0,I70-J70)),"Unavailable"))</x:f>
      </x:c>
      <x:c r="R70" s="30" t="str">
        <x:f>IF(C70="","",IFERROR(INDEX(Credit!$Q$9:$Q$108,MATCH(F70,Credit!$C$9:$C$108,0)),"Unavailable"))</x:f>
      </x:c>
      <x:c r="S70" s="30" t="str">
        <x:f>IF(C70="","",IFERROR(INDEX(Credit!$R$9:$R$108,MATCH(F70,Credit!$C$9:$C$108,0)),"Unavailable"))</x:f>
      </x:c>
      <x:c r="T70" s="23" t="str">
        <x:f>IF(C70="","",IFERROR(IF(P70&gt;0,3,IF(OR(INDEX('Facilities'!$AD$9:$AD$108,MATCH(C70,'Facilities'!$C$9:$C$108,0))=2,AND(R70&gt;=INDEX('Facilities'!$L$9:$L$108,MATCH(C70,'Facilities'!$C$9:$C$108,0))*Settings!$F$19,R70-INDEX('Facilities'!$L$9:$L$108,MATCH(C70,'Facilities'!$C$9:$C$108,0))&gt;=Settings!$F$20)),2,1)),"Unavailable"))</x:f>
      </x:c>
      <x:c r="U70" s="23" t="str">
        <x:f>IF(C70="","",IF(AQ70&lt;&gt;"Ready","Unavailable",IF(C70="","",O70*(1-(1-S70)/(1+INDEX('Facilities'!$K$9:$K$108,MATCH(C70,'Facilities'!$C$9:$C$108,0)))^INDEX('Facilities'!$AK$9:$AK$108,MATCH(C70,'Facilities'!$C$9:$C$108,0)))*R70/(1+INDEX('Facilities'!$K$9:$K$108,MATCH(C70,'Facilities'!$C$9:$C$108,0)))*IF(ABS(1-(1-R70)*(1-INDEX('Facilities'!$R$9:$R$108,MATCH(C70,'Facilities'!$C$9:$C$108,0)))/(1+INDEX('Facilities'!$K$9:$K$108,MATCH(C70,'Facilities'!$C$9:$C$108,0))))&lt;0.000000001,IF(T70=1,MIN(1,AJ70),AJ70),(1-((1-R70)*(1-INDEX('Facilities'!$R$9:$R$108,MATCH(C70,'Facilities'!$C$9:$C$108,0)))/(1+INDEX('Facilities'!$K$9:$K$108,MATCH(C70,'Facilities'!$C$9:$C$108,0))))^IF(T70=1,MIN(1,AJ70),AJ70))/(1-(1-R70)*(1-INDEX('Facilities'!$R$9:$R$108,MATCH(C70,'Facilities'!$C$9:$C$108,0)))/(1+INDEX('Facilities'!$K$9:$K$108,MATCH(C70,'Facilities'!$C$9:$C$108,0)))))+AL70)))</x:f>
      </x:c>
      <x:c r="V70" s="23" t="str">
        <x:f>IF(C70="","",IF(AQ70&lt;&gt;"Ready","Unavailable",IF(C70="","",Q70*INDEX('Facilities'!$I$9:$I$108,MATCH(C70,'Facilities'!$C$9:$C$108,0))*(1-(1-S70)/(1+INDEX('Facilities'!$K$9:$K$108,MATCH(C70,'Facilities'!$C$9:$C$108,0)))^INDEX('Facilities'!$AK$9:$AK$108,MATCH(C70,'Facilities'!$C$9:$C$108,0)))*R70/(1+INDEX('Facilities'!$K$9:$K$108,MATCH(C70,'Facilities'!$C$9:$C$108,0)))*IF(ABS(1-(1-R70)*(1-0)/(1+INDEX('Facilities'!$K$9:$K$108,MATCH(C70,'Facilities'!$C$9:$C$108,0))))&lt;0.000000001,IF(T70=1,MIN(1,AJ70),AJ70),(1-((1-R70)*(1-0)/(1+INDEX('Facilities'!$K$9:$K$108,MATCH(C70,'Facilities'!$C$9:$C$108,0))))^IF(T70=1,MIN(1,AJ70),AJ70))/(1-(1-R70)*(1-0)/(1+INDEX('Facilities'!$K$9:$K$108,MATCH(C70,'Facilities'!$C$9:$C$108,0))))))))</x:f>
      </x:c>
      <x:c r="W70" s="23" t="str">
        <x:f>IF(C70="","",IFERROR(INDEX(ECL!$AB$9:$AB$108,MATCH(C70,ECL!$C$9:$C$108,0)),"Unavailable"))</x:f>
      </x:c>
      <x:c r="X70" s="23" t="str">
        <x:f>IF(C70="","",IFERROR(INDEX(ECL!$AC$9:$AC$108,MATCH(C70,ECL!$C$9:$C$108,0)),"Unavailable"))</x:f>
      </x:c>
      <x:c r="Y70" s="21" t="str">
        <x:f>IF(C70="","",IF(AQ70&lt;&gt;"Ready","Unavailable",IF(C70="","",U70-W70+V70-X70+N70+AG70)))</x:f>
      </x:c>
      <x:c r="Z70" s="23" t="str">
        <x:f>IF(C70="","",IF(AQ70&lt;&gt;"Ready","Unavailable",IF(C70="","",(G70+O70+L70)/2*INDEX('Facilities'!$T$9:$T$108,MATCH(C70,'Facilities'!$C$9:$C$108,0))+AG70)))</x:f>
      </x:c>
      <x:c r="AA70" s="23" t="str">
        <x:f>IF(C70="","",IF(AQ70&lt;&gt;"Ready","Unavailable",IF(C70="","",O70*(1-IF(INDEX('Facilities'!$AA$9:$AA$108,MATCH(C70,'Facilities'!$C$9:$C$108,0))=0,0,MIN(1,INDEX('Facilities'!$X$9:$X$108,MATCH(C70,'Facilities'!$C$9:$C$108,0))/INDEX('Facilities'!$AA$9:$AA$108,MATCH(C70,'Facilities'!$C$9:$C$108,0)))))*AF70+P70*(1-IF(INDEX('Facilities'!$AA$9:$AA$108,MATCH(C70,'Facilities'!$C$9:$C$108,0))=0,0,MIN(1,INDEX('Facilities'!$X$9:$X$108,MATCH(C70,'Facilities'!$C$9:$C$108,0))/INDEX('Facilities'!$AA$9:$AA$108,MATCH(C70,'Facilities'!$C$9:$C$108,0)))))*INDEX('Facilities'!$AJ$9:$AJ$108,MATCH(C70,'Facilities'!$C$9:$C$108,0))+Q70*INDEX('Facilities'!$AI$9:$AI$108,MATCH(C70,'Facilities'!$C$9:$C$108,0))*AF70)))</x:f>
      </x:c>
      <x:c r="AB70" s="21" t="str">
        <x:f>IF(C70="","",O70+P70-AD70)</x:f>
      </x:c>
      <x:c r="AC70" s="23" t="str">
        <x:f>IF(C70="","",IFERROR(IF(INDEX('Facilities'!$AD$9:$AD$108,MATCH(C70,'Facilities'!$C$9:$C$108,0))=3,0,IF(INDEX('Facilities'!$AN$9:$AN$108,MATCH(C70,'Facilities'!$C$9:$C$108,0))=0,-1,INDEX('Facilities'!$AN$9:$AN$108,MATCH(C70,'Facilities'!$C$9:$C$108,0)))),"Unavailable"))</x:f>
      </x:c>
      <x:c r="AD70" s="21" t="str">
        <x:f>IF(C70="","",IFERROR(G70+H70,"Unavailable"))</x:f>
      </x:c>
      <x:c r="AE70" s="21" t="str">
        <x:f>IF(C70="","",IF(AQ70&lt;&gt;"Ready","Unavailable",IF(C70="","",O70+P70-AD70-J70+K70+M70+N70)))</x:f>
      </x:c>
      <x:c r="AF70" s="30" t="str">
        <x:f>IF(C70="","",IFERROR(INDEX('Facilities'!$S$9:$S$108,MATCH(C70,'Facilities'!$C$9:$C$108,0))*'Scenario Paths'!F75,"Unavailable"))</x:f>
      </x:c>
      <x:c r="AG70" s="23" t="str">
        <x:f>IF(C70="","",IF(AQ70&lt;&gt;"Ready","Unavailable",IF(C70="","",IF(H70&gt;0,MAX(0,H70-AK70)*((1+INDEX('Facilities'!$K$9:$K$108,MATCH(C70,'Facilities'!$C$9:$C$108,0)))^MIN(1,MAX(0,AC70+INDEX('Facilities'!$AK$9:$AK$108,MATCH(C70,'Facilities'!$C$9:$C$108,0))-D70+1))-1),0))))</x:f>
      </x:c>
      <x:c r="AH70" s="21" t="str">
        <x:f>IF(C70="","",IF(AQ70&lt;&gt;"Ready","Unavailable",IF(C70="","",O70+P70)))</x:f>
      </x:c>
      <x:c r="AI70" s="21" t="str">
        <x:f>IF(C70="","",IF(AQ70&lt;&gt;"Ready","Unavailable",IF(C70="","",Z70-Y70)))</x:f>
      </x:c>
      <x:c r="AJ70" s="23" t="str">
        <x:f>IF(C70="","",IFERROR(MAX(0,INDEX('Facilities'!$J$9:$J$108,MATCH(C70,'Facilities'!$C$9:$C$108,0))-D70),"Unavailable"))</x:f>
      </x:c>
      <x:c r="AK70" s="23" t="str">
        <x:f>IF(C70="","",IFERROR(IF(INDEX('Facilities'!$AD$9:$AD$108,MATCH(C70,'Facilities'!$C$9:$C$108,0))=3,W70,0),"Unavailable"))</x:f>
      </x:c>
      <x:c r="AL70" s="23" t="str">
        <x:f>IF(C70="","",IFERROR(IF(P70&gt;0,P70*(1-AM70/(1+INDEX('Facilities'!$K$9:$K$108,MATCH(C70,'Facilities'!$C$9:$C$108,0)))^MAX(0,AC70+INDEX('Facilities'!$AK$9:$AK$108,MATCH(C70,'Facilities'!$C$9:$C$108,0))-D70)),0),"Unavailable"))</x:f>
      </x:c>
      <x:c r="AM70" s="30" t="str">
        <x:f>IF(C70="","",IFERROR(INDEX('Facilities'!$AL$9:$AL$108,MATCH(C70,'Facilities'!$C$9:$C$108,0)),"Unavailable"))</x:f>
      </x:c>
      <x:c r="AN70" s="30" t="str">
        <x:f>IF(C70="","",IFERROR(INDEX(Credit!$T$9:$T$108,MATCH(F70,Credit!$C$9:$C$108,0)),"Unavailable"))</x:f>
      </x:c>
      <x:c r="AO70" s="23" t="str">
        <x:f>IF(C70="","",IF(AQ70&lt;&gt;"Ready","Unavailable",IF(C70="","",O70+P70+Q70*INDEX('Facilities'!$I$9:$I$108,MATCH(C70,'Facilities'!$C$9:$C$108,0)))))</x:f>
      </x:c>
      <x:c r="AP70" s="21" t="str">
        <x:f>IF(C70="","",IF(AQ70&lt;&gt;"Ready","Unavailable",IF(C70="","",AH70-U70)))</x:f>
      </x:c>
      <x:c r="AQ70" s="23" t="str">
        <x:f>IFERROR(IF(C70="","",IF(AND(INDEX('Facilities'!$AF$9:$AF$108,MATCH(C70,'Facilities'!$C$9:$C$108,0))="Ready",INDEX(Credit!$U$9:$U$108,MATCH(F70,Credit!$C$9:$C$108,0))="Ready",ISNUMBER(W70)),"Ready","Review inputs")),"Review inputs")</x:f>
      </x:c>
      <x:c r="AR70" s="23" t="str">
        <x:f>IF(C70="","",IF(AQ70&lt;&gt;"Ready","Unavailable",IF(C70="","",IF(O70=0,0,(IF(AJ70&lt;=1,O70,O70*INDEX('Facilities'!$R$9:$R$108,MATCH(C70,'Facilities'!$C$9:$C$108,0)))+O70*INDEX('Facilities'!$T$9:$T$108,MATCH(C70,'Facilities'!$C$9:$C$108,0)))/12))))</x:f>
      </x:c>
    </x:row>
    <x:row r="71" ht="26" customHeight="1">
      <x:c r="A71" s="1"/>
      <x:c r="B71" s="1"/>
      <x:c r="C71" s="9" t="str">
        <x:f>IF(Facilities!C71="","",Facilities!C71)</x:f>
      </x:c>
      <x:c r="D71" s="3" t="n">
        <x:v>1</x:v>
      </x:c>
      <x:c r="E71" s="9" t="n">
        <x:f>Settings!$F$18+0</x:f>
        <x:v>2027</x:v>
      </x:c>
      <x:c r="F71" s="9" t="str">
        <x:f>IF(C71="","",IFERROR(INDEX('Facilities'!$D$9:$D$108,MATCH(C71,'Facilities'!$C$9:$C$108,0)),"Unavailable"))</x:f>
      </x:c>
      <x:c r="G71" s="23" t="str">
        <x:f>IF(C71="","",IFERROR(IF(INDEX('Facilities'!$AD$9:$AD$108,MATCH(C71,'Facilities'!$C$9:$C$108,0))=3,0,INDEX('Facilities'!$AA$9:$AA$108,MATCH(C71,'Facilities'!$C$9:$C$108,0))),"Unavailable"))</x:f>
      </x:c>
      <x:c r="H71" s="23" t="str">
        <x:f>IF(C71="","",IFERROR(IF(INDEX('Facilities'!$AD$9:$AD$108,MATCH(C71,'Facilities'!$C$9:$C$108,0))=3,INDEX('Facilities'!$AA$9:$AA$108,MATCH(C71,'Facilities'!$C$9:$C$108,0)),0),"Unavailable"))</x:f>
      </x:c>
      <x:c r="I71" s="23" t="str">
        <x:f>IF(C71="","",IFERROR(INDEX('Facilities'!$AB$9:$AB$108,MATCH(C71,'Facilities'!$C$9:$C$108,0)),"Unavailable"))</x:f>
      </x:c>
      <x:c r="J71" s="23" t="str">
        <x:f>IF(C71="","",IFERROR(IF(OR(H71&gt;0,AND(AC71&gt;=0,AC71&lt;D71),D71&gt;INDEX('Facilities'!$J$9:$J$108,MATCH(C71,'Facilities'!$C$9:$C$108,0))),0,I71*'Scenario Paths'!F81),"Unavailable"))</x:f>
      </x:c>
      <x:c r="K71" s="23" t="str">
        <x:f>IF(C71="","",IFERROR(IF(OR(H71&gt;0,AND(AC71&gt;=0,AC71=D71)),0,IF(D71&gt;=INDEX('Facilities'!$J$9:$J$108,MATCH(C71,'Facilities'!$C$9:$C$108,0)),G71+J71,MIN(G71+J71,G71*INDEX('Facilities'!$R$9:$R$108,MATCH(C71,'Facilities'!$C$9:$C$108,0))))),"Unavailable"))</x:f>
      </x:c>
      <x:c r="L71" s="21" t="str">
        <x:f>IF(C71="","",IFERROR(IF(AND(AC71=D71,AC71&gt;0),MAX(0,G71+J71-K71),0),"Unavailable"))</x:f>
      </x:c>
      <x:c r="M71" s="23" t="str">
        <x:f>IF(C71="","",IFERROR(IF(AND(AC71&gt;=0,D71&gt;=AC71+INDEX('Facilities'!$AK$9:$AK$108,MATCH(C71,'Facilities'!$C$9:$C$108,0))),(H71+L71)*AM71,0),"Unavailable"))</x:f>
      </x:c>
      <x:c r="N71" s="23" t="str">
        <x:f>IF(C71="","",IFERROR(IF(AND(AC71&gt;=0,D71&gt;=AC71+INDEX('Facilities'!$AK$9:$AK$108,MATCH(C71,'Facilities'!$C$9:$C$108,0))),H71+L71-M71,0),"Unavailable"))</x:f>
      </x:c>
      <x:c r="O71" s="21" t="str">
        <x:f>IF(C71="","",IFERROR(MAX(0,G71+J71-K71-L71),"Unavailable"))</x:f>
      </x:c>
      <x:c r="P71" s="21" t="str">
        <x:f>IF(C71="","",IFERROR(MAX(0,H71+L71-M71-N71),"Unavailable"))</x:f>
      </x:c>
      <x:c r="Q71" s="23" t="str">
        <x:f>IF(C71="","",IFERROR(IF(OR(D71&gt;=INDEX('Facilities'!$J$9:$J$108,MATCH(C71,'Facilities'!$C$9:$C$108,0)),AND(AC71&gt;=0,AC71&lt;=D71)),0,MAX(0,I71-J71)),"Unavailable"))</x:f>
      </x:c>
      <x:c r="R71" s="30" t="str">
        <x:f>IF(C71="","",IFERROR(INDEX(Credit!$Q$9:$Q$108,MATCH(F71,Credit!$C$9:$C$108,0)),"Unavailable"))</x:f>
      </x:c>
      <x:c r="S71" s="30" t="str">
        <x:f>IF(C71="","",IFERROR(INDEX(Credit!$R$9:$R$108,MATCH(F71,Credit!$C$9:$C$108,0)),"Unavailable"))</x:f>
      </x:c>
      <x:c r="T71" s="23" t="str">
        <x:f>IF(C71="","",IFERROR(IF(P71&gt;0,3,IF(OR(INDEX('Facilities'!$AD$9:$AD$108,MATCH(C71,'Facilities'!$C$9:$C$108,0))=2,AND(R71&gt;=INDEX('Facilities'!$L$9:$L$108,MATCH(C71,'Facilities'!$C$9:$C$108,0))*Settings!$F$19,R71-INDEX('Facilities'!$L$9:$L$108,MATCH(C71,'Facilities'!$C$9:$C$108,0))&gt;=Settings!$F$20)),2,1)),"Unavailable"))</x:f>
      </x:c>
      <x:c r="U71" s="23" t="str">
        <x:f>IF(C71="","",IF(AQ71&lt;&gt;"Ready","Unavailable",IF(C71="","",O71*(1-(1-S71)/(1+INDEX('Facilities'!$K$9:$K$108,MATCH(C71,'Facilities'!$C$9:$C$108,0)))^INDEX('Facilities'!$AK$9:$AK$108,MATCH(C71,'Facilities'!$C$9:$C$108,0)))*R71/(1+INDEX('Facilities'!$K$9:$K$108,MATCH(C71,'Facilities'!$C$9:$C$108,0)))*IF(ABS(1-(1-R71)*(1-INDEX('Facilities'!$R$9:$R$108,MATCH(C71,'Facilities'!$C$9:$C$108,0)))/(1+INDEX('Facilities'!$K$9:$K$108,MATCH(C71,'Facilities'!$C$9:$C$108,0))))&lt;0.000000001,IF(T71=1,MIN(1,AJ71),AJ71),(1-((1-R71)*(1-INDEX('Facilities'!$R$9:$R$108,MATCH(C71,'Facilities'!$C$9:$C$108,0)))/(1+INDEX('Facilities'!$K$9:$K$108,MATCH(C71,'Facilities'!$C$9:$C$108,0))))^IF(T71=1,MIN(1,AJ71),AJ71))/(1-(1-R71)*(1-INDEX('Facilities'!$R$9:$R$108,MATCH(C71,'Facilities'!$C$9:$C$108,0)))/(1+INDEX('Facilities'!$K$9:$K$108,MATCH(C71,'Facilities'!$C$9:$C$108,0)))))+AL71)))</x:f>
      </x:c>
      <x:c r="V71" s="23" t="str">
        <x:f>IF(C71="","",IF(AQ71&lt;&gt;"Ready","Unavailable",IF(C71="","",Q71*INDEX('Facilities'!$I$9:$I$108,MATCH(C71,'Facilities'!$C$9:$C$108,0))*(1-(1-S71)/(1+INDEX('Facilities'!$K$9:$K$108,MATCH(C71,'Facilities'!$C$9:$C$108,0)))^INDEX('Facilities'!$AK$9:$AK$108,MATCH(C71,'Facilities'!$C$9:$C$108,0)))*R71/(1+INDEX('Facilities'!$K$9:$K$108,MATCH(C71,'Facilities'!$C$9:$C$108,0)))*IF(ABS(1-(1-R71)*(1-0)/(1+INDEX('Facilities'!$K$9:$K$108,MATCH(C71,'Facilities'!$C$9:$C$108,0))))&lt;0.000000001,IF(T71=1,MIN(1,AJ71),AJ71),(1-((1-R71)*(1-0)/(1+INDEX('Facilities'!$K$9:$K$108,MATCH(C71,'Facilities'!$C$9:$C$108,0))))^IF(T71=1,MIN(1,AJ71),AJ71))/(1-(1-R71)*(1-0)/(1+INDEX('Facilities'!$K$9:$K$108,MATCH(C71,'Facilities'!$C$9:$C$108,0))))))))</x:f>
      </x:c>
      <x:c r="W71" s="23" t="str">
        <x:f>IF(C71="","",IFERROR(INDEX(ECL!$AB$9:$AB$108,MATCH(C71,ECL!$C$9:$C$108,0)),"Unavailable"))</x:f>
      </x:c>
      <x:c r="X71" s="23" t="str">
        <x:f>IF(C71="","",IFERROR(INDEX(ECL!$AC$9:$AC$108,MATCH(C71,ECL!$C$9:$C$108,0)),"Unavailable"))</x:f>
      </x:c>
      <x:c r="Y71" s="21" t="str">
        <x:f>IF(C71="","",IF(AQ71&lt;&gt;"Ready","Unavailable",IF(C71="","",U71-W71+V71-X71+N71+AG71)))</x:f>
      </x:c>
      <x:c r="Z71" s="23" t="str">
        <x:f>IF(C71="","",IF(AQ71&lt;&gt;"Ready","Unavailable",IF(C71="","",(G71+O71+L71)/2*INDEX('Facilities'!$T$9:$T$108,MATCH(C71,'Facilities'!$C$9:$C$108,0))+AG71)))</x:f>
      </x:c>
      <x:c r="AA71" s="23" t="str">
        <x:f>IF(C71="","",IF(AQ71&lt;&gt;"Ready","Unavailable",IF(C71="","",O71*(1-IF(INDEX('Facilities'!$AA$9:$AA$108,MATCH(C71,'Facilities'!$C$9:$C$108,0))=0,0,MIN(1,INDEX('Facilities'!$X$9:$X$108,MATCH(C71,'Facilities'!$C$9:$C$108,0))/INDEX('Facilities'!$AA$9:$AA$108,MATCH(C71,'Facilities'!$C$9:$C$108,0)))))*AF71+P71*(1-IF(INDEX('Facilities'!$AA$9:$AA$108,MATCH(C71,'Facilities'!$C$9:$C$108,0))=0,0,MIN(1,INDEX('Facilities'!$X$9:$X$108,MATCH(C71,'Facilities'!$C$9:$C$108,0))/INDEX('Facilities'!$AA$9:$AA$108,MATCH(C71,'Facilities'!$C$9:$C$108,0)))))*INDEX('Facilities'!$AJ$9:$AJ$108,MATCH(C71,'Facilities'!$C$9:$C$108,0))+Q71*INDEX('Facilities'!$AI$9:$AI$108,MATCH(C71,'Facilities'!$C$9:$C$108,0))*AF71)))</x:f>
      </x:c>
      <x:c r="AB71" s="21" t="str">
        <x:f>IF(C71="","",O71+P71-AD71)</x:f>
      </x:c>
      <x:c r="AC71" s="23" t="str">
        <x:f>IF(C71="","",IFERROR(IF(INDEX('Facilities'!$AD$9:$AD$108,MATCH(C71,'Facilities'!$C$9:$C$108,0))=3,0,IF(INDEX('Facilities'!$AN$9:$AN$108,MATCH(C71,'Facilities'!$C$9:$C$108,0))=0,-1,INDEX('Facilities'!$AN$9:$AN$108,MATCH(C71,'Facilities'!$C$9:$C$108,0)))),"Unavailable"))</x:f>
      </x:c>
      <x:c r="AD71" s="21" t="str">
        <x:f>IF(C71="","",IFERROR(G71+H71,"Unavailable"))</x:f>
      </x:c>
      <x:c r="AE71" s="21" t="str">
        <x:f>IF(C71="","",IF(AQ71&lt;&gt;"Ready","Unavailable",IF(C71="","",O71+P71-AD71-J71+K71+M71+N71)))</x:f>
      </x:c>
      <x:c r="AF71" s="30" t="str">
        <x:f>IF(C71="","",IFERROR(INDEX('Facilities'!$S$9:$S$108,MATCH(C71,'Facilities'!$C$9:$C$108,0))*'Scenario Paths'!F75,"Unavailable"))</x:f>
      </x:c>
      <x:c r="AG71" s="23" t="str">
        <x:f>IF(C71="","",IF(AQ71&lt;&gt;"Ready","Unavailable",IF(C71="","",IF(H71&gt;0,MAX(0,H71-AK71)*((1+INDEX('Facilities'!$K$9:$K$108,MATCH(C71,'Facilities'!$C$9:$C$108,0)))^MIN(1,MAX(0,AC71+INDEX('Facilities'!$AK$9:$AK$108,MATCH(C71,'Facilities'!$C$9:$C$108,0))-D71+1))-1),0))))</x:f>
      </x:c>
      <x:c r="AH71" s="21" t="str">
        <x:f>IF(C71="","",IF(AQ71&lt;&gt;"Ready","Unavailable",IF(C71="","",O71+P71)))</x:f>
      </x:c>
      <x:c r="AI71" s="21" t="str">
        <x:f>IF(C71="","",IF(AQ71&lt;&gt;"Ready","Unavailable",IF(C71="","",Z71-Y71)))</x:f>
      </x:c>
      <x:c r="AJ71" s="23" t="str">
        <x:f>IF(C71="","",IFERROR(MAX(0,INDEX('Facilities'!$J$9:$J$108,MATCH(C71,'Facilities'!$C$9:$C$108,0))-D71),"Unavailable"))</x:f>
      </x:c>
      <x:c r="AK71" s="23" t="str">
        <x:f>IF(C71="","",IFERROR(IF(INDEX('Facilities'!$AD$9:$AD$108,MATCH(C71,'Facilities'!$C$9:$C$108,0))=3,W71,0),"Unavailable"))</x:f>
      </x:c>
      <x:c r="AL71" s="23" t="str">
        <x:f>IF(C71="","",IFERROR(IF(P71&gt;0,P71*(1-AM71/(1+INDEX('Facilities'!$K$9:$K$108,MATCH(C71,'Facilities'!$C$9:$C$108,0)))^MAX(0,AC71+INDEX('Facilities'!$AK$9:$AK$108,MATCH(C71,'Facilities'!$C$9:$C$108,0))-D71)),0),"Unavailable"))</x:f>
      </x:c>
      <x:c r="AM71" s="30" t="str">
        <x:f>IF(C71="","",IFERROR(INDEX('Facilities'!$AL$9:$AL$108,MATCH(C71,'Facilities'!$C$9:$C$108,0)),"Unavailable"))</x:f>
      </x:c>
      <x:c r="AN71" s="30" t="str">
        <x:f>IF(C71="","",IFERROR(INDEX(Credit!$T$9:$T$108,MATCH(F71,Credit!$C$9:$C$108,0)),"Unavailable"))</x:f>
      </x:c>
      <x:c r="AO71" s="23" t="str">
        <x:f>IF(C71="","",IF(AQ71&lt;&gt;"Ready","Unavailable",IF(C71="","",O71+P71+Q71*INDEX('Facilities'!$I$9:$I$108,MATCH(C71,'Facilities'!$C$9:$C$108,0)))))</x:f>
      </x:c>
      <x:c r="AP71" s="21" t="str">
        <x:f>IF(C71="","",IF(AQ71&lt;&gt;"Ready","Unavailable",IF(C71="","",AH71-U71)))</x:f>
      </x:c>
      <x:c r="AQ71" s="23" t="str">
        <x:f>IFERROR(IF(C71="","",IF(AND(INDEX('Facilities'!$AF$9:$AF$108,MATCH(C71,'Facilities'!$C$9:$C$108,0))="Ready",INDEX(Credit!$U$9:$U$108,MATCH(F71,Credit!$C$9:$C$108,0))="Ready",ISNUMBER(W71)),"Ready","Review inputs")),"Review inputs")</x:f>
      </x:c>
      <x:c r="AR71" s="23" t="str">
        <x:f>IF(C71="","",IF(AQ71&lt;&gt;"Ready","Unavailable",IF(C71="","",IF(O71=0,0,(IF(AJ71&lt;=1,O71,O71*INDEX('Facilities'!$R$9:$R$108,MATCH(C71,'Facilities'!$C$9:$C$108,0)))+O71*INDEX('Facilities'!$T$9:$T$108,MATCH(C71,'Facilities'!$C$9:$C$108,0)))/12))))</x:f>
      </x:c>
    </x:row>
    <x:row r="72" ht="26" customHeight="1">
      <x:c r="A72" s="1"/>
      <x:c r="B72" s="1"/>
      <x:c r="C72" s="9" t="str">
        <x:f>IF(Facilities!C72="","",Facilities!C72)</x:f>
      </x:c>
      <x:c r="D72" s="3" t="n">
        <x:v>1</x:v>
      </x:c>
      <x:c r="E72" s="9" t="n">
        <x:f>Settings!$F$18+0</x:f>
        <x:v>2027</x:v>
      </x:c>
      <x:c r="F72" s="9" t="str">
        <x:f>IF(C72="","",IFERROR(INDEX('Facilities'!$D$9:$D$108,MATCH(C72,'Facilities'!$C$9:$C$108,0)),"Unavailable"))</x:f>
      </x:c>
      <x:c r="G72" s="23" t="str">
        <x:f>IF(C72="","",IFERROR(IF(INDEX('Facilities'!$AD$9:$AD$108,MATCH(C72,'Facilities'!$C$9:$C$108,0))=3,0,INDEX('Facilities'!$AA$9:$AA$108,MATCH(C72,'Facilities'!$C$9:$C$108,0))),"Unavailable"))</x:f>
      </x:c>
      <x:c r="H72" s="23" t="str">
        <x:f>IF(C72="","",IFERROR(IF(INDEX('Facilities'!$AD$9:$AD$108,MATCH(C72,'Facilities'!$C$9:$C$108,0))=3,INDEX('Facilities'!$AA$9:$AA$108,MATCH(C72,'Facilities'!$C$9:$C$108,0)),0),"Unavailable"))</x:f>
      </x:c>
      <x:c r="I72" s="23" t="str">
        <x:f>IF(C72="","",IFERROR(INDEX('Facilities'!$AB$9:$AB$108,MATCH(C72,'Facilities'!$C$9:$C$108,0)),"Unavailable"))</x:f>
      </x:c>
      <x:c r="J72" s="23" t="str">
        <x:f>IF(C72="","",IFERROR(IF(OR(H72&gt;0,AND(AC72&gt;=0,AC72&lt;D72),D72&gt;INDEX('Facilities'!$J$9:$J$108,MATCH(C72,'Facilities'!$C$9:$C$108,0))),0,I72*'Scenario Paths'!F81),"Unavailable"))</x:f>
      </x:c>
      <x:c r="K72" s="23" t="str">
        <x:f>IF(C72="","",IFERROR(IF(OR(H72&gt;0,AND(AC72&gt;=0,AC72=D72)),0,IF(D72&gt;=INDEX('Facilities'!$J$9:$J$108,MATCH(C72,'Facilities'!$C$9:$C$108,0)),G72+J72,MIN(G72+J72,G72*INDEX('Facilities'!$R$9:$R$108,MATCH(C72,'Facilities'!$C$9:$C$108,0))))),"Unavailable"))</x:f>
      </x:c>
      <x:c r="L72" s="21" t="str">
        <x:f>IF(C72="","",IFERROR(IF(AND(AC72=D72,AC72&gt;0),MAX(0,G72+J72-K72),0),"Unavailable"))</x:f>
      </x:c>
      <x:c r="M72" s="23" t="str">
        <x:f>IF(C72="","",IFERROR(IF(AND(AC72&gt;=0,D72&gt;=AC72+INDEX('Facilities'!$AK$9:$AK$108,MATCH(C72,'Facilities'!$C$9:$C$108,0))),(H72+L72)*AM72,0),"Unavailable"))</x:f>
      </x:c>
      <x:c r="N72" s="23" t="str">
        <x:f>IF(C72="","",IFERROR(IF(AND(AC72&gt;=0,D72&gt;=AC72+INDEX('Facilities'!$AK$9:$AK$108,MATCH(C72,'Facilities'!$C$9:$C$108,0))),H72+L72-M72,0),"Unavailable"))</x:f>
      </x:c>
      <x:c r="O72" s="21" t="str">
        <x:f>IF(C72="","",IFERROR(MAX(0,G72+J72-K72-L72),"Unavailable"))</x:f>
      </x:c>
      <x:c r="P72" s="21" t="str">
        <x:f>IF(C72="","",IFERROR(MAX(0,H72+L72-M72-N72),"Unavailable"))</x:f>
      </x:c>
      <x:c r="Q72" s="23" t="str">
        <x:f>IF(C72="","",IFERROR(IF(OR(D72&gt;=INDEX('Facilities'!$J$9:$J$108,MATCH(C72,'Facilities'!$C$9:$C$108,0)),AND(AC72&gt;=0,AC72&lt;=D72)),0,MAX(0,I72-J72)),"Unavailable"))</x:f>
      </x:c>
      <x:c r="R72" s="30" t="str">
        <x:f>IF(C72="","",IFERROR(INDEX(Credit!$Q$9:$Q$108,MATCH(F72,Credit!$C$9:$C$108,0)),"Unavailable"))</x:f>
      </x:c>
      <x:c r="S72" s="30" t="str">
        <x:f>IF(C72="","",IFERROR(INDEX(Credit!$R$9:$R$108,MATCH(F72,Credit!$C$9:$C$108,0)),"Unavailable"))</x:f>
      </x:c>
      <x:c r="T72" s="23" t="str">
        <x:f>IF(C72="","",IFERROR(IF(P72&gt;0,3,IF(OR(INDEX('Facilities'!$AD$9:$AD$108,MATCH(C72,'Facilities'!$C$9:$C$108,0))=2,AND(R72&gt;=INDEX('Facilities'!$L$9:$L$108,MATCH(C72,'Facilities'!$C$9:$C$108,0))*Settings!$F$19,R72-INDEX('Facilities'!$L$9:$L$108,MATCH(C72,'Facilities'!$C$9:$C$108,0))&gt;=Settings!$F$20)),2,1)),"Unavailable"))</x:f>
      </x:c>
      <x:c r="U72" s="23" t="str">
        <x:f>IF(C72="","",IF(AQ72&lt;&gt;"Ready","Unavailable",IF(C72="","",O72*(1-(1-S72)/(1+INDEX('Facilities'!$K$9:$K$108,MATCH(C72,'Facilities'!$C$9:$C$108,0)))^INDEX('Facilities'!$AK$9:$AK$108,MATCH(C72,'Facilities'!$C$9:$C$108,0)))*R72/(1+INDEX('Facilities'!$K$9:$K$108,MATCH(C72,'Facilities'!$C$9:$C$108,0)))*IF(ABS(1-(1-R72)*(1-INDEX('Facilities'!$R$9:$R$108,MATCH(C72,'Facilities'!$C$9:$C$108,0)))/(1+INDEX('Facilities'!$K$9:$K$108,MATCH(C72,'Facilities'!$C$9:$C$108,0))))&lt;0.000000001,IF(T72=1,MIN(1,AJ72),AJ72),(1-((1-R72)*(1-INDEX('Facilities'!$R$9:$R$108,MATCH(C72,'Facilities'!$C$9:$C$108,0)))/(1+INDEX('Facilities'!$K$9:$K$108,MATCH(C72,'Facilities'!$C$9:$C$108,0))))^IF(T72=1,MIN(1,AJ72),AJ72))/(1-(1-R72)*(1-INDEX('Facilities'!$R$9:$R$108,MATCH(C72,'Facilities'!$C$9:$C$108,0)))/(1+INDEX('Facilities'!$K$9:$K$108,MATCH(C72,'Facilities'!$C$9:$C$108,0)))))+AL72)))</x:f>
      </x:c>
      <x:c r="V72" s="23" t="str">
        <x:f>IF(C72="","",IF(AQ72&lt;&gt;"Ready","Unavailable",IF(C72="","",Q72*INDEX('Facilities'!$I$9:$I$108,MATCH(C72,'Facilities'!$C$9:$C$108,0))*(1-(1-S72)/(1+INDEX('Facilities'!$K$9:$K$108,MATCH(C72,'Facilities'!$C$9:$C$108,0)))^INDEX('Facilities'!$AK$9:$AK$108,MATCH(C72,'Facilities'!$C$9:$C$108,0)))*R72/(1+INDEX('Facilities'!$K$9:$K$108,MATCH(C72,'Facilities'!$C$9:$C$108,0)))*IF(ABS(1-(1-R72)*(1-0)/(1+INDEX('Facilities'!$K$9:$K$108,MATCH(C72,'Facilities'!$C$9:$C$108,0))))&lt;0.000000001,IF(T72=1,MIN(1,AJ72),AJ72),(1-((1-R72)*(1-0)/(1+INDEX('Facilities'!$K$9:$K$108,MATCH(C72,'Facilities'!$C$9:$C$108,0))))^IF(T72=1,MIN(1,AJ72),AJ72))/(1-(1-R72)*(1-0)/(1+INDEX('Facilities'!$K$9:$K$108,MATCH(C72,'Facilities'!$C$9:$C$108,0))))))))</x:f>
      </x:c>
      <x:c r="W72" s="23" t="str">
        <x:f>IF(C72="","",IFERROR(INDEX(ECL!$AB$9:$AB$108,MATCH(C72,ECL!$C$9:$C$108,0)),"Unavailable"))</x:f>
      </x:c>
      <x:c r="X72" s="23" t="str">
        <x:f>IF(C72="","",IFERROR(INDEX(ECL!$AC$9:$AC$108,MATCH(C72,ECL!$C$9:$C$108,0)),"Unavailable"))</x:f>
      </x:c>
      <x:c r="Y72" s="21" t="str">
        <x:f>IF(C72="","",IF(AQ72&lt;&gt;"Ready","Unavailable",IF(C72="","",U72-W72+V72-X72+N72+AG72)))</x:f>
      </x:c>
      <x:c r="Z72" s="23" t="str">
        <x:f>IF(C72="","",IF(AQ72&lt;&gt;"Ready","Unavailable",IF(C72="","",(G72+O72+L72)/2*INDEX('Facilities'!$T$9:$T$108,MATCH(C72,'Facilities'!$C$9:$C$108,0))+AG72)))</x:f>
      </x:c>
      <x:c r="AA72" s="23" t="str">
        <x:f>IF(C72="","",IF(AQ72&lt;&gt;"Ready","Unavailable",IF(C72="","",O72*(1-IF(INDEX('Facilities'!$AA$9:$AA$108,MATCH(C72,'Facilities'!$C$9:$C$108,0))=0,0,MIN(1,INDEX('Facilities'!$X$9:$X$108,MATCH(C72,'Facilities'!$C$9:$C$108,0))/INDEX('Facilities'!$AA$9:$AA$108,MATCH(C72,'Facilities'!$C$9:$C$108,0)))))*AF72+P72*(1-IF(INDEX('Facilities'!$AA$9:$AA$108,MATCH(C72,'Facilities'!$C$9:$C$108,0))=0,0,MIN(1,INDEX('Facilities'!$X$9:$X$108,MATCH(C72,'Facilities'!$C$9:$C$108,0))/INDEX('Facilities'!$AA$9:$AA$108,MATCH(C72,'Facilities'!$C$9:$C$108,0)))))*INDEX('Facilities'!$AJ$9:$AJ$108,MATCH(C72,'Facilities'!$C$9:$C$108,0))+Q72*INDEX('Facilities'!$AI$9:$AI$108,MATCH(C72,'Facilities'!$C$9:$C$108,0))*AF72)))</x:f>
      </x:c>
      <x:c r="AB72" s="21" t="str">
        <x:f>IF(C72="","",O72+P72-AD72)</x:f>
      </x:c>
      <x:c r="AC72" s="23" t="str">
        <x:f>IF(C72="","",IFERROR(IF(INDEX('Facilities'!$AD$9:$AD$108,MATCH(C72,'Facilities'!$C$9:$C$108,0))=3,0,IF(INDEX('Facilities'!$AN$9:$AN$108,MATCH(C72,'Facilities'!$C$9:$C$108,0))=0,-1,INDEX('Facilities'!$AN$9:$AN$108,MATCH(C72,'Facilities'!$C$9:$C$108,0)))),"Unavailable"))</x:f>
      </x:c>
      <x:c r="AD72" s="21" t="str">
        <x:f>IF(C72="","",IFERROR(G72+H72,"Unavailable"))</x:f>
      </x:c>
      <x:c r="AE72" s="21" t="str">
        <x:f>IF(C72="","",IF(AQ72&lt;&gt;"Ready","Unavailable",IF(C72="","",O72+P72-AD72-J72+K72+M72+N72)))</x:f>
      </x:c>
      <x:c r="AF72" s="30" t="str">
        <x:f>IF(C72="","",IFERROR(INDEX('Facilities'!$S$9:$S$108,MATCH(C72,'Facilities'!$C$9:$C$108,0))*'Scenario Paths'!F75,"Unavailable"))</x:f>
      </x:c>
      <x:c r="AG72" s="23" t="str">
        <x:f>IF(C72="","",IF(AQ72&lt;&gt;"Ready","Unavailable",IF(C72="","",IF(H72&gt;0,MAX(0,H72-AK72)*((1+INDEX('Facilities'!$K$9:$K$108,MATCH(C72,'Facilities'!$C$9:$C$108,0)))^MIN(1,MAX(0,AC72+INDEX('Facilities'!$AK$9:$AK$108,MATCH(C72,'Facilities'!$C$9:$C$108,0))-D72+1))-1),0))))</x:f>
      </x:c>
      <x:c r="AH72" s="21" t="str">
        <x:f>IF(C72="","",IF(AQ72&lt;&gt;"Ready","Unavailable",IF(C72="","",O72+P72)))</x:f>
      </x:c>
      <x:c r="AI72" s="21" t="str">
        <x:f>IF(C72="","",IF(AQ72&lt;&gt;"Ready","Unavailable",IF(C72="","",Z72-Y72)))</x:f>
      </x:c>
      <x:c r="AJ72" s="23" t="str">
        <x:f>IF(C72="","",IFERROR(MAX(0,INDEX('Facilities'!$J$9:$J$108,MATCH(C72,'Facilities'!$C$9:$C$108,0))-D72),"Unavailable"))</x:f>
      </x:c>
      <x:c r="AK72" s="23" t="str">
        <x:f>IF(C72="","",IFERROR(IF(INDEX('Facilities'!$AD$9:$AD$108,MATCH(C72,'Facilities'!$C$9:$C$108,0))=3,W72,0),"Unavailable"))</x:f>
      </x:c>
      <x:c r="AL72" s="23" t="str">
        <x:f>IF(C72="","",IFERROR(IF(P72&gt;0,P72*(1-AM72/(1+INDEX('Facilities'!$K$9:$K$108,MATCH(C72,'Facilities'!$C$9:$C$108,0)))^MAX(0,AC72+INDEX('Facilities'!$AK$9:$AK$108,MATCH(C72,'Facilities'!$C$9:$C$108,0))-D72)),0),"Unavailable"))</x:f>
      </x:c>
      <x:c r="AM72" s="30" t="str">
        <x:f>IF(C72="","",IFERROR(INDEX('Facilities'!$AL$9:$AL$108,MATCH(C72,'Facilities'!$C$9:$C$108,0)),"Unavailable"))</x:f>
      </x:c>
      <x:c r="AN72" s="30" t="str">
        <x:f>IF(C72="","",IFERROR(INDEX(Credit!$T$9:$T$108,MATCH(F72,Credit!$C$9:$C$108,0)),"Unavailable"))</x:f>
      </x:c>
      <x:c r="AO72" s="23" t="str">
        <x:f>IF(C72="","",IF(AQ72&lt;&gt;"Ready","Unavailable",IF(C72="","",O72+P72+Q72*INDEX('Facilities'!$I$9:$I$108,MATCH(C72,'Facilities'!$C$9:$C$108,0)))))</x:f>
      </x:c>
      <x:c r="AP72" s="21" t="str">
        <x:f>IF(C72="","",IF(AQ72&lt;&gt;"Ready","Unavailable",IF(C72="","",AH72-U72)))</x:f>
      </x:c>
      <x:c r="AQ72" s="23" t="str">
        <x:f>IFERROR(IF(C72="","",IF(AND(INDEX('Facilities'!$AF$9:$AF$108,MATCH(C72,'Facilities'!$C$9:$C$108,0))="Ready",INDEX(Credit!$U$9:$U$108,MATCH(F72,Credit!$C$9:$C$108,0))="Ready",ISNUMBER(W72)),"Ready","Review inputs")),"Review inputs")</x:f>
      </x:c>
      <x:c r="AR72" s="23" t="str">
        <x:f>IF(C72="","",IF(AQ72&lt;&gt;"Ready","Unavailable",IF(C72="","",IF(O72=0,0,(IF(AJ72&lt;=1,O72,O72*INDEX('Facilities'!$R$9:$R$108,MATCH(C72,'Facilities'!$C$9:$C$108,0)))+O72*INDEX('Facilities'!$T$9:$T$108,MATCH(C72,'Facilities'!$C$9:$C$108,0)))/12))))</x:f>
      </x:c>
    </x:row>
    <x:row r="73" ht="26" customHeight="1">
      <x:c r="A73" s="1"/>
      <x:c r="B73" s="1"/>
      <x:c r="C73" s="9" t="str">
        <x:f>IF(Facilities!C73="","",Facilities!C73)</x:f>
      </x:c>
      <x:c r="D73" s="3" t="n">
        <x:v>1</x:v>
      </x:c>
      <x:c r="E73" s="9" t="n">
        <x:f>Settings!$F$18+0</x:f>
        <x:v>2027</x:v>
      </x:c>
      <x:c r="F73" s="9" t="str">
        <x:f>IF(C73="","",IFERROR(INDEX('Facilities'!$D$9:$D$108,MATCH(C73,'Facilities'!$C$9:$C$108,0)),"Unavailable"))</x:f>
      </x:c>
      <x:c r="G73" s="23" t="str">
        <x:f>IF(C73="","",IFERROR(IF(INDEX('Facilities'!$AD$9:$AD$108,MATCH(C73,'Facilities'!$C$9:$C$108,0))=3,0,INDEX('Facilities'!$AA$9:$AA$108,MATCH(C73,'Facilities'!$C$9:$C$108,0))),"Unavailable"))</x:f>
      </x:c>
      <x:c r="H73" s="23" t="str">
        <x:f>IF(C73="","",IFERROR(IF(INDEX('Facilities'!$AD$9:$AD$108,MATCH(C73,'Facilities'!$C$9:$C$108,0))=3,INDEX('Facilities'!$AA$9:$AA$108,MATCH(C73,'Facilities'!$C$9:$C$108,0)),0),"Unavailable"))</x:f>
      </x:c>
      <x:c r="I73" s="23" t="str">
        <x:f>IF(C73="","",IFERROR(INDEX('Facilities'!$AB$9:$AB$108,MATCH(C73,'Facilities'!$C$9:$C$108,0)),"Unavailable"))</x:f>
      </x:c>
      <x:c r="J73" s="23" t="str">
        <x:f>IF(C73="","",IFERROR(IF(OR(H73&gt;0,AND(AC73&gt;=0,AC73&lt;D73),D73&gt;INDEX('Facilities'!$J$9:$J$108,MATCH(C73,'Facilities'!$C$9:$C$108,0))),0,I73*'Scenario Paths'!F81),"Unavailable"))</x:f>
      </x:c>
      <x:c r="K73" s="23" t="str">
        <x:f>IF(C73="","",IFERROR(IF(OR(H73&gt;0,AND(AC73&gt;=0,AC73=D73)),0,IF(D73&gt;=INDEX('Facilities'!$J$9:$J$108,MATCH(C73,'Facilities'!$C$9:$C$108,0)),G73+J73,MIN(G73+J73,G73*INDEX('Facilities'!$R$9:$R$108,MATCH(C73,'Facilities'!$C$9:$C$108,0))))),"Unavailable"))</x:f>
      </x:c>
      <x:c r="L73" s="21" t="str">
        <x:f>IF(C73="","",IFERROR(IF(AND(AC73=D73,AC73&gt;0),MAX(0,G73+J73-K73),0),"Unavailable"))</x:f>
      </x:c>
      <x:c r="M73" s="23" t="str">
        <x:f>IF(C73="","",IFERROR(IF(AND(AC73&gt;=0,D73&gt;=AC73+INDEX('Facilities'!$AK$9:$AK$108,MATCH(C73,'Facilities'!$C$9:$C$108,0))),(H73+L73)*AM73,0),"Unavailable"))</x:f>
      </x:c>
      <x:c r="N73" s="23" t="str">
        <x:f>IF(C73="","",IFERROR(IF(AND(AC73&gt;=0,D73&gt;=AC73+INDEX('Facilities'!$AK$9:$AK$108,MATCH(C73,'Facilities'!$C$9:$C$108,0))),H73+L73-M73,0),"Unavailable"))</x:f>
      </x:c>
      <x:c r="O73" s="21" t="str">
        <x:f>IF(C73="","",IFERROR(MAX(0,G73+J73-K73-L73),"Unavailable"))</x:f>
      </x:c>
      <x:c r="P73" s="21" t="str">
        <x:f>IF(C73="","",IFERROR(MAX(0,H73+L73-M73-N73),"Unavailable"))</x:f>
      </x:c>
      <x:c r="Q73" s="23" t="str">
        <x:f>IF(C73="","",IFERROR(IF(OR(D73&gt;=INDEX('Facilities'!$J$9:$J$108,MATCH(C73,'Facilities'!$C$9:$C$108,0)),AND(AC73&gt;=0,AC73&lt;=D73)),0,MAX(0,I73-J73)),"Unavailable"))</x:f>
      </x:c>
      <x:c r="R73" s="30" t="str">
        <x:f>IF(C73="","",IFERROR(INDEX(Credit!$Q$9:$Q$108,MATCH(F73,Credit!$C$9:$C$108,0)),"Unavailable"))</x:f>
      </x:c>
      <x:c r="S73" s="30" t="str">
        <x:f>IF(C73="","",IFERROR(INDEX(Credit!$R$9:$R$108,MATCH(F73,Credit!$C$9:$C$108,0)),"Unavailable"))</x:f>
      </x:c>
      <x:c r="T73" s="23" t="str">
        <x:f>IF(C73="","",IFERROR(IF(P73&gt;0,3,IF(OR(INDEX('Facilities'!$AD$9:$AD$108,MATCH(C73,'Facilities'!$C$9:$C$108,0))=2,AND(R73&gt;=INDEX('Facilities'!$L$9:$L$108,MATCH(C73,'Facilities'!$C$9:$C$108,0))*Settings!$F$19,R73-INDEX('Facilities'!$L$9:$L$108,MATCH(C73,'Facilities'!$C$9:$C$108,0))&gt;=Settings!$F$20)),2,1)),"Unavailable"))</x:f>
      </x:c>
      <x:c r="U73" s="23" t="str">
        <x:f>IF(C73="","",IF(AQ73&lt;&gt;"Ready","Unavailable",IF(C73="","",O73*(1-(1-S73)/(1+INDEX('Facilities'!$K$9:$K$108,MATCH(C73,'Facilities'!$C$9:$C$108,0)))^INDEX('Facilities'!$AK$9:$AK$108,MATCH(C73,'Facilities'!$C$9:$C$108,0)))*R73/(1+INDEX('Facilities'!$K$9:$K$108,MATCH(C73,'Facilities'!$C$9:$C$108,0)))*IF(ABS(1-(1-R73)*(1-INDEX('Facilities'!$R$9:$R$108,MATCH(C73,'Facilities'!$C$9:$C$108,0)))/(1+INDEX('Facilities'!$K$9:$K$108,MATCH(C73,'Facilities'!$C$9:$C$108,0))))&lt;0.000000001,IF(T73=1,MIN(1,AJ73),AJ73),(1-((1-R73)*(1-INDEX('Facilities'!$R$9:$R$108,MATCH(C73,'Facilities'!$C$9:$C$108,0)))/(1+INDEX('Facilities'!$K$9:$K$108,MATCH(C73,'Facilities'!$C$9:$C$108,0))))^IF(T73=1,MIN(1,AJ73),AJ73))/(1-(1-R73)*(1-INDEX('Facilities'!$R$9:$R$108,MATCH(C73,'Facilities'!$C$9:$C$108,0)))/(1+INDEX('Facilities'!$K$9:$K$108,MATCH(C73,'Facilities'!$C$9:$C$108,0)))))+AL73)))</x:f>
      </x:c>
      <x:c r="V73" s="23" t="str">
        <x:f>IF(C73="","",IF(AQ73&lt;&gt;"Ready","Unavailable",IF(C73="","",Q73*INDEX('Facilities'!$I$9:$I$108,MATCH(C73,'Facilities'!$C$9:$C$108,0))*(1-(1-S73)/(1+INDEX('Facilities'!$K$9:$K$108,MATCH(C73,'Facilities'!$C$9:$C$108,0)))^INDEX('Facilities'!$AK$9:$AK$108,MATCH(C73,'Facilities'!$C$9:$C$108,0)))*R73/(1+INDEX('Facilities'!$K$9:$K$108,MATCH(C73,'Facilities'!$C$9:$C$108,0)))*IF(ABS(1-(1-R73)*(1-0)/(1+INDEX('Facilities'!$K$9:$K$108,MATCH(C73,'Facilities'!$C$9:$C$108,0))))&lt;0.000000001,IF(T73=1,MIN(1,AJ73),AJ73),(1-((1-R73)*(1-0)/(1+INDEX('Facilities'!$K$9:$K$108,MATCH(C73,'Facilities'!$C$9:$C$108,0))))^IF(T73=1,MIN(1,AJ73),AJ73))/(1-(1-R73)*(1-0)/(1+INDEX('Facilities'!$K$9:$K$108,MATCH(C73,'Facilities'!$C$9:$C$108,0))))))))</x:f>
      </x:c>
      <x:c r="W73" s="23" t="str">
        <x:f>IF(C73="","",IFERROR(INDEX(ECL!$AB$9:$AB$108,MATCH(C73,ECL!$C$9:$C$108,0)),"Unavailable"))</x:f>
      </x:c>
      <x:c r="X73" s="23" t="str">
        <x:f>IF(C73="","",IFERROR(INDEX(ECL!$AC$9:$AC$108,MATCH(C73,ECL!$C$9:$C$108,0)),"Unavailable"))</x:f>
      </x:c>
      <x:c r="Y73" s="21" t="str">
        <x:f>IF(C73="","",IF(AQ73&lt;&gt;"Ready","Unavailable",IF(C73="","",U73-W73+V73-X73+N73+AG73)))</x:f>
      </x:c>
      <x:c r="Z73" s="23" t="str">
        <x:f>IF(C73="","",IF(AQ73&lt;&gt;"Ready","Unavailable",IF(C73="","",(G73+O73+L73)/2*INDEX('Facilities'!$T$9:$T$108,MATCH(C73,'Facilities'!$C$9:$C$108,0))+AG73)))</x:f>
      </x:c>
      <x:c r="AA73" s="23" t="str">
        <x:f>IF(C73="","",IF(AQ73&lt;&gt;"Ready","Unavailable",IF(C73="","",O73*(1-IF(INDEX('Facilities'!$AA$9:$AA$108,MATCH(C73,'Facilities'!$C$9:$C$108,0))=0,0,MIN(1,INDEX('Facilities'!$X$9:$X$108,MATCH(C73,'Facilities'!$C$9:$C$108,0))/INDEX('Facilities'!$AA$9:$AA$108,MATCH(C73,'Facilities'!$C$9:$C$108,0)))))*AF73+P73*(1-IF(INDEX('Facilities'!$AA$9:$AA$108,MATCH(C73,'Facilities'!$C$9:$C$108,0))=0,0,MIN(1,INDEX('Facilities'!$X$9:$X$108,MATCH(C73,'Facilities'!$C$9:$C$108,0))/INDEX('Facilities'!$AA$9:$AA$108,MATCH(C73,'Facilities'!$C$9:$C$108,0)))))*INDEX('Facilities'!$AJ$9:$AJ$108,MATCH(C73,'Facilities'!$C$9:$C$108,0))+Q73*INDEX('Facilities'!$AI$9:$AI$108,MATCH(C73,'Facilities'!$C$9:$C$108,0))*AF73)))</x:f>
      </x:c>
      <x:c r="AB73" s="21" t="str">
        <x:f>IF(C73="","",O73+P73-AD73)</x:f>
      </x:c>
      <x:c r="AC73" s="23" t="str">
        <x:f>IF(C73="","",IFERROR(IF(INDEX('Facilities'!$AD$9:$AD$108,MATCH(C73,'Facilities'!$C$9:$C$108,0))=3,0,IF(INDEX('Facilities'!$AN$9:$AN$108,MATCH(C73,'Facilities'!$C$9:$C$108,0))=0,-1,INDEX('Facilities'!$AN$9:$AN$108,MATCH(C73,'Facilities'!$C$9:$C$108,0)))),"Unavailable"))</x:f>
      </x:c>
      <x:c r="AD73" s="21" t="str">
        <x:f>IF(C73="","",IFERROR(G73+H73,"Unavailable"))</x:f>
      </x:c>
      <x:c r="AE73" s="21" t="str">
        <x:f>IF(C73="","",IF(AQ73&lt;&gt;"Ready","Unavailable",IF(C73="","",O73+P73-AD73-J73+K73+M73+N73)))</x:f>
      </x:c>
      <x:c r="AF73" s="30" t="str">
        <x:f>IF(C73="","",IFERROR(INDEX('Facilities'!$S$9:$S$108,MATCH(C73,'Facilities'!$C$9:$C$108,0))*'Scenario Paths'!F75,"Unavailable"))</x:f>
      </x:c>
      <x:c r="AG73" s="23" t="str">
        <x:f>IF(C73="","",IF(AQ73&lt;&gt;"Ready","Unavailable",IF(C73="","",IF(H73&gt;0,MAX(0,H73-AK73)*((1+INDEX('Facilities'!$K$9:$K$108,MATCH(C73,'Facilities'!$C$9:$C$108,0)))^MIN(1,MAX(0,AC73+INDEX('Facilities'!$AK$9:$AK$108,MATCH(C73,'Facilities'!$C$9:$C$108,0))-D73+1))-1),0))))</x:f>
      </x:c>
      <x:c r="AH73" s="21" t="str">
        <x:f>IF(C73="","",IF(AQ73&lt;&gt;"Ready","Unavailable",IF(C73="","",O73+P73)))</x:f>
      </x:c>
      <x:c r="AI73" s="21" t="str">
        <x:f>IF(C73="","",IF(AQ73&lt;&gt;"Ready","Unavailable",IF(C73="","",Z73-Y73)))</x:f>
      </x:c>
      <x:c r="AJ73" s="23" t="str">
        <x:f>IF(C73="","",IFERROR(MAX(0,INDEX('Facilities'!$J$9:$J$108,MATCH(C73,'Facilities'!$C$9:$C$108,0))-D73),"Unavailable"))</x:f>
      </x:c>
      <x:c r="AK73" s="23" t="str">
        <x:f>IF(C73="","",IFERROR(IF(INDEX('Facilities'!$AD$9:$AD$108,MATCH(C73,'Facilities'!$C$9:$C$108,0))=3,W73,0),"Unavailable"))</x:f>
      </x:c>
      <x:c r="AL73" s="23" t="str">
        <x:f>IF(C73="","",IFERROR(IF(P73&gt;0,P73*(1-AM73/(1+INDEX('Facilities'!$K$9:$K$108,MATCH(C73,'Facilities'!$C$9:$C$108,0)))^MAX(0,AC73+INDEX('Facilities'!$AK$9:$AK$108,MATCH(C73,'Facilities'!$C$9:$C$108,0))-D73)),0),"Unavailable"))</x:f>
      </x:c>
      <x:c r="AM73" s="30" t="str">
        <x:f>IF(C73="","",IFERROR(INDEX('Facilities'!$AL$9:$AL$108,MATCH(C73,'Facilities'!$C$9:$C$108,0)),"Unavailable"))</x:f>
      </x:c>
      <x:c r="AN73" s="30" t="str">
        <x:f>IF(C73="","",IFERROR(INDEX(Credit!$T$9:$T$108,MATCH(F73,Credit!$C$9:$C$108,0)),"Unavailable"))</x:f>
      </x:c>
      <x:c r="AO73" s="23" t="str">
        <x:f>IF(C73="","",IF(AQ73&lt;&gt;"Ready","Unavailable",IF(C73="","",O73+P73+Q73*INDEX('Facilities'!$I$9:$I$108,MATCH(C73,'Facilities'!$C$9:$C$108,0)))))</x:f>
      </x:c>
      <x:c r="AP73" s="21" t="str">
        <x:f>IF(C73="","",IF(AQ73&lt;&gt;"Ready","Unavailable",IF(C73="","",AH73-U73)))</x:f>
      </x:c>
      <x:c r="AQ73" s="23" t="str">
        <x:f>IFERROR(IF(C73="","",IF(AND(INDEX('Facilities'!$AF$9:$AF$108,MATCH(C73,'Facilities'!$C$9:$C$108,0))="Ready",INDEX(Credit!$U$9:$U$108,MATCH(F73,Credit!$C$9:$C$108,0))="Ready",ISNUMBER(W73)),"Ready","Review inputs")),"Review inputs")</x:f>
      </x:c>
      <x:c r="AR73" s="23" t="str">
        <x:f>IF(C73="","",IF(AQ73&lt;&gt;"Ready","Unavailable",IF(C73="","",IF(O73=0,0,(IF(AJ73&lt;=1,O73,O73*INDEX('Facilities'!$R$9:$R$108,MATCH(C73,'Facilities'!$C$9:$C$108,0)))+O73*INDEX('Facilities'!$T$9:$T$108,MATCH(C73,'Facilities'!$C$9:$C$108,0)))/12))))</x:f>
      </x:c>
    </x:row>
    <x:row r="74" ht="26" customHeight="1">
      <x:c r="A74" s="1"/>
      <x:c r="B74" s="1"/>
      <x:c r="C74" s="9" t="str">
        <x:f>IF(Facilities!C74="","",Facilities!C74)</x:f>
      </x:c>
      <x:c r="D74" s="3" t="n">
        <x:v>1</x:v>
      </x:c>
      <x:c r="E74" s="9" t="n">
        <x:f>Settings!$F$18+0</x:f>
        <x:v>2027</x:v>
      </x:c>
      <x:c r="F74" s="9" t="str">
        <x:f>IF(C74="","",IFERROR(INDEX('Facilities'!$D$9:$D$108,MATCH(C74,'Facilities'!$C$9:$C$108,0)),"Unavailable"))</x:f>
      </x:c>
      <x:c r="G74" s="23" t="str">
        <x:f>IF(C74="","",IFERROR(IF(INDEX('Facilities'!$AD$9:$AD$108,MATCH(C74,'Facilities'!$C$9:$C$108,0))=3,0,INDEX('Facilities'!$AA$9:$AA$108,MATCH(C74,'Facilities'!$C$9:$C$108,0))),"Unavailable"))</x:f>
      </x:c>
      <x:c r="H74" s="23" t="str">
        <x:f>IF(C74="","",IFERROR(IF(INDEX('Facilities'!$AD$9:$AD$108,MATCH(C74,'Facilities'!$C$9:$C$108,0))=3,INDEX('Facilities'!$AA$9:$AA$108,MATCH(C74,'Facilities'!$C$9:$C$108,0)),0),"Unavailable"))</x:f>
      </x:c>
      <x:c r="I74" s="23" t="str">
        <x:f>IF(C74="","",IFERROR(INDEX('Facilities'!$AB$9:$AB$108,MATCH(C74,'Facilities'!$C$9:$C$108,0)),"Unavailable"))</x:f>
      </x:c>
      <x:c r="J74" s="23" t="str">
        <x:f>IF(C74="","",IFERROR(IF(OR(H74&gt;0,AND(AC74&gt;=0,AC74&lt;D74),D74&gt;INDEX('Facilities'!$J$9:$J$108,MATCH(C74,'Facilities'!$C$9:$C$108,0))),0,I74*'Scenario Paths'!F81),"Unavailable"))</x:f>
      </x:c>
      <x:c r="K74" s="23" t="str">
        <x:f>IF(C74="","",IFERROR(IF(OR(H74&gt;0,AND(AC74&gt;=0,AC74=D74)),0,IF(D74&gt;=INDEX('Facilities'!$J$9:$J$108,MATCH(C74,'Facilities'!$C$9:$C$108,0)),G74+J74,MIN(G74+J74,G74*INDEX('Facilities'!$R$9:$R$108,MATCH(C74,'Facilities'!$C$9:$C$108,0))))),"Unavailable"))</x:f>
      </x:c>
      <x:c r="L74" s="21" t="str">
        <x:f>IF(C74="","",IFERROR(IF(AND(AC74=D74,AC74&gt;0),MAX(0,G74+J74-K74),0),"Unavailable"))</x:f>
      </x:c>
      <x:c r="M74" s="23" t="str">
        <x:f>IF(C74="","",IFERROR(IF(AND(AC74&gt;=0,D74&gt;=AC74+INDEX('Facilities'!$AK$9:$AK$108,MATCH(C74,'Facilities'!$C$9:$C$108,0))),(H74+L74)*AM74,0),"Unavailable"))</x:f>
      </x:c>
      <x:c r="N74" s="23" t="str">
        <x:f>IF(C74="","",IFERROR(IF(AND(AC74&gt;=0,D74&gt;=AC74+INDEX('Facilities'!$AK$9:$AK$108,MATCH(C74,'Facilities'!$C$9:$C$108,0))),H74+L74-M74,0),"Unavailable"))</x:f>
      </x:c>
      <x:c r="O74" s="21" t="str">
        <x:f>IF(C74="","",IFERROR(MAX(0,G74+J74-K74-L74),"Unavailable"))</x:f>
      </x:c>
      <x:c r="P74" s="21" t="str">
        <x:f>IF(C74="","",IFERROR(MAX(0,H74+L74-M74-N74),"Unavailable"))</x:f>
      </x:c>
      <x:c r="Q74" s="23" t="str">
        <x:f>IF(C74="","",IFERROR(IF(OR(D74&gt;=INDEX('Facilities'!$J$9:$J$108,MATCH(C74,'Facilities'!$C$9:$C$108,0)),AND(AC74&gt;=0,AC74&lt;=D74)),0,MAX(0,I74-J74)),"Unavailable"))</x:f>
      </x:c>
      <x:c r="R74" s="30" t="str">
        <x:f>IF(C74="","",IFERROR(INDEX(Credit!$Q$9:$Q$108,MATCH(F74,Credit!$C$9:$C$108,0)),"Unavailable"))</x:f>
      </x:c>
      <x:c r="S74" s="30" t="str">
        <x:f>IF(C74="","",IFERROR(INDEX(Credit!$R$9:$R$108,MATCH(F74,Credit!$C$9:$C$108,0)),"Unavailable"))</x:f>
      </x:c>
      <x:c r="T74" s="23" t="str">
        <x:f>IF(C74="","",IFERROR(IF(P74&gt;0,3,IF(OR(INDEX('Facilities'!$AD$9:$AD$108,MATCH(C74,'Facilities'!$C$9:$C$108,0))=2,AND(R74&gt;=INDEX('Facilities'!$L$9:$L$108,MATCH(C74,'Facilities'!$C$9:$C$108,0))*Settings!$F$19,R74-INDEX('Facilities'!$L$9:$L$108,MATCH(C74,'Facilities'!$C$9:$C$108,0))&gt;=Settings!$F$20)),2,1)),"Unavailable"))</x:f>
      </x:c>
      <x:c r="U74" s="23" t="str">
        <x:f>IF(C74="","",IF(AQ74&lt;&gt;"Ready","Unavailable",IF(C74="","",O74*(1-(1-S74)/(1+INDEX('Facilities'!$K$9:$K$108,MATCH(C74,'Facilities'!$C$9:$C$108,0)))^INDEX('Facilities'!$AK$9:$AK$108,MATCH(C74,'Facilities'!$C$9:$C$108,0)))*R74/(1+INDEX('Facilities'!$K$9:$K$108,MATCH(C74,'Facilities'!$C$9:$C$108,0)))*IF(ABS(1-(1-R74)*(1-INDEX('Facilities'!$R$9:$R$108,MATCH(C74,'Facilities'!$C$9:$C$108,0)))/(1+INDEX('Facilities'!$K$9:$K$108,MATCH(C74,'Facilities'!$C$9:$C$108,0))))&lt;0.000000001,IF(T74=1,MIN(1,AJ74),AJ74),(1-((1-R74)*(1-INDEX('Facilities'!$R$9:$R$108,MATCH(C74,'Facilities'!$C$9:$C$108,0)))/(1+INDEX('Facilities'!$K$9:$K$108,MATCH(C74,'Facilities'!$C$9:$C$108,0))))^IF(T74=1,MIN(1,AJ74),AJ74))/(1-(1-R74)*(1-INDEX('Facilities'!$R$9:$R$108,MATCH(C74,'Facilities'!$C$9:$C$108,0)))/(1+INDEX('Facilities'!$K$9:$K$108,MATCH(C74,'Facilities'!$C$9:$C$108,0)))))+AL74)))</x:f>
      </x:c>
      <x:c r="V74" s="23" t="str">
        <x:f>IF(C74="","",IF(AQ74&lt;&gt;"Ready","Unavailable",IF(C74="","",Q74*INDEX('Facilities'!$I$9:$I$108,MATCH(C74,'Facilities'!$C$9:$C$108,0))*(1-(1-S74)/(1+INDEX('Facilities'!$K$9:$K$108,MATCH(C74,'Facilities'!$C$9:$C$108,0)))^INDEX('Facilities'!$AK$9:$AK$108,MATCH(C74,'Facilities'!$C$9:$C$108,0)))*R74/(1+INDEX('Facilities'!$K$9:$K$108,MATCH(C74,'Facilities'!$C$9:$C$108,0)))*IF(ABS(1-(1-R74)*(1-0)/(1+INDEX('Facilities'!$K$9:$K$108,MATCH(C74,'Facilities'!$C$9:$C$108,0))))&lt;0.000000001,IF(T74=1,MIN(1,AJ74),AJ74),(1-((1-R74)*(1-0)/(1+INDEX('Facilities'!$K$9:$K$108,MATCH(C74,'Facilities'!$C$9:$C$108,0))))^IF(T74=1,MIN(1,AJ74),AJ74))/(1-(1-R74)*(1-0)/(1+INDEX('Facilities'!$K$9:$K$108,MATCH(C74,'Facilities'!$C$9:$C$108,0))))))))</x:f>
      </x:c>
      <x:c r="W74" s="23" t="str">
        <x:f>IF(C74="","",IFERROR(INDEX(ECL!$AB$9:$AB$108,MATCH(C74,ECL!$C$9:$C$108,0)),"Unavailable"))</x:f>
      </x:c>
      <x:c r="X74" s="23" t="str">
        <x:f>IF(C74="","",IFERROR(INDEX(ECL!$AC$9:$AC$108,MATCH(C74,ECL!$C$9:$C$108,0)),"Unavailable"))</x:f>
      </x:c>
      <x:c r="Y74" s="21" t="str">
        <x:f>IF(C74="","",IF(AQ74&lt;&gt;"Ready","Unavailable",IF(C74="","",U74-W74+V74-X74+N74+AG74)))</x:f>
      </x:c>
      <x:c r="Z74" s="23" t="str">
        <x:f>IF(C74="","",IF(AQ74&lt;&gt;"Ready","Unavailable",IF(C74="","",(G74+O74+L74)/2*INDEX('Facilities'!$T$9:$T$108,MATCH(C74,'Facilities'!$C$9:$C$108,0))+AG74)))</x:f>
      </x:c>
      <x:c r="AA74" s="23" t="str">
        <x:f>IF(C74="","",IF(AQ74&lt;&gt;"Ready","Unavailable",IF(C74="","",O74*(1-IF(INDEX('Facilities'!$AA$9:$AA$108,MATCH(C74,'Facilities'!$C$9:$C$108,0))=0,0,MIN(1,INDEX('Facilities'!$X$9:$X$108,MATCH(C74,'Facilities'!$C$9:$C$108,0))/INDEX('Facilities'!$AA$9:$AA$108,MATCH(C74,'Facilities'!$C$9:$C$108,0)))))*AF74+P74*(1-IF(INDEX('Facilities'!$AA$9:$AA$108,MATCH(C74,'Facilities'!$C$9:$C$108,0))=0,0,MIN(1,INDEX('Facilities'!$X$9:$X$108,MATCH(C74,'Facilities'!$C$9:$C$108,0))/INDEX('Facilities'!$AA$9:$AA$108,MATCH(C74,'Facilities'!$C$9:$C$108,0)))))*INDEX('Facilities'!$AJ$9:$AJ$108,MATCH(C74,'Facilities'!$C$9:$C$108,0))+Q74*INDEX('Facilities'!$AI$9:$AI$108,MATCH(C74,'Facilities'!$C$9:$C$108,0))*AF74)))</x:f>
      </x:c>
      <x:c r="AB74" s="21" t="str">
        <x:f>IF(C74="","",O74+P74-AD74)</x:f>
      </x:c>
      <x:c r="AC74" s="23" t="str">
        <x:f>IF(C74="","",IFERROR(IF(INDEX('Facilities'!$AD$9:$AD$108,MATCH(C74,'Facilities'!$C$9:$C$108,0))=3,0,IF(INDEX('Facilities'!$AN$9:$AN$108,MATCH(C74,'Facilities'!$C$9:$C$108,0))=0,-1,INDEX('Facilities'!$AN$9:$AN$108,MATCH(C74,'Facilities'!$C$9:$C$108,0)))),"Unavailable"))</x:f>
      </x:c>
      <x:c r="AD74" s="21" t="str">
        <x:f>IF(C74="","",IFERROR(G74+H74,"Unavailable"))</x:f>
      </x:c>
      <x:c r="AE74" s="21" t="str">
        <x:f>IF(C74="","",IF(AQ74&lt;&gt;"Ready","Unavailable",IF(C74="","",O74+P74-AD74-J74+K74+M74+N74)))</x:f>
      </x:c>
      <x:c r="AF74" s="30" t="str">
        <x:f>IF(C74="","",IFERROR(INDEX('Facilities'!$S$9:$S$108,MATCH(C74,'Facilities'!$C$9:$C$108,0))*'Scenario Paths'!F75,"Unavailable"))</x:f>
      </x:c>
      <x:c r="AG74" s="23" t="str">
        <x:f>IF(C74="","",IF(AQ74&lt;&gt;"Ready","Unavailable",IF(C74="","",IF(H74&gt;0,MAX(0,H74-AK74)*((1+INDEX('Facilities'!$K$9:$K$108,MATCH(C74,'Facilities'!$C$9:$C$108,0)))^MIN(1,MAX(0,AC74+INDEX('Facilities'!$AK$9:$AK$108,MATCH(C74,'Facilities'!$C$9:$C$108,0))-D74+1))-1),0))))</x:f>
      </x:c>
      <x:c r="AH74" s="21" t="str">
        <x:f>IF(C74="","",IF(AQ74&lt;&gt;"Ready","Unavailable",IF(C74="","",O74+P74)))</x:f>
      </x:c>
      <x:c r="AI74" s="21" t="str">
        <x:f>IF(C74="","",IF(AQ74&lt;&gt;"Ready","Unavailable",IF(C74="","",Z74-Y74)))</x:f>
      </x:c>
      <x:c r="AJ74" s="23" t="str">
        <x:f>IF(C74="","",IFERROR(MAX(0,INDEX('Facilities'!$J$9:$J$108,MATCH(C74,'Facilities'!$C$9:$C$108,0))-D74),"Unavailable"))</x:f>
      </x:c>
      <x:c r="AK74" s="23" t="str">
        <x:f>IF(C74="","",IFERROR(IF(INDEX('Facilities'!$AD$9:$AD$108,MATCH(C74,'Facilities'!$C$9:$C$108,0))=3,W74,0),"Unavailable"))</x:f>
      </x:c>
      <x:c r="AL74" s="23" t="str">
        <x:f>IF(C74="","",IFERROR(IF(P74&gt;0,P74*(1-AM74/(1+INDEX('Facilities'!$K$9:$K$108,MATCH(C74,'Facilities'!$C$9:$C$108,0)))^MAX(0,AC74+INDEX('Facilities'!$AK$9:$AK$108,MATCH(C74,'Facilities'!$C$9:$C$108,0))-D74)),0),"Unavailable"))</x:f>
      </x:c>
      <x:c r="AM74" s="30" t="str">
        <x:f>IF(C74="","",IFERROR(INDEX('Facilities'!$AL$9:$AL$108,MATCH(C74,'Facilities'!$C$9:$C$108,0)),"Unavailable"))</x:f>
      </x:c>
      <x:c r="AN74" s="30" t="str">
        <x:f>IF(C74="","",IFERROR(INDEX(Credit!$T$9:$T$108,MATCH(F74,Credit!$C$9:$C$108,0)),"Unavailable"))</x:f>
      </x:c>
      <x:c r="AO74" s="23" t="str">
        <x:f>IF(C74="","",IF(AQ74&lt;&gt;"Ready","Unavailable",IF(C74="","",O74+P74+Q74*INDEX('Facilities'!$I$9:$I$108,MATCH(C74,'Facilities'!$C$9:$C$108,0)))))</x:f>
      </x:c>
      <x:c r="AP74" s="21" t="str">
        <x:f>IF(C74="","",IF(AQ74&lt;&gt;"Ready","Unavailable",IF(C74="","",AH74-U74)))</x:f>
      </x:c>
      <x:c r="AQ74" s="23" t="str">
        <x:f>IFERROR(IF(C74="","",IF(AND(INDEX('Facilities'!$AF$9:$AF$108,MATCH(C74,'Facilities'!$C$9:$C$108,0))="Ready",INDEX(Credit!$U$9:$U$108,MATCH(F74,Credit!$C$9:$C$108,0))="Ready",ISNUMBER(W74)),"Ready","Review inputs")),"Review inputs")</x:f>
      </x:c>
      <x:c r="AR74" s="23" t="str">
        <x:f>IF(C74="","",IF(AQ74&lt;&gt;"Ready","Unavailable",IF(C74="","",IF(O74=0,0,(IF(AJ74&lt;=1,O74,O74*INDEX('Facilities'!$R$9:$R$108,MATCH(C74,'Facilities'!$C$9:$C$108,0)))+O74*INDEX('Facilities'!$T$9:$T$108,MATCH(C74,'Facilities'!$C$9:$C$108,0)))/12))))</x:f>
      </x:c>
    </x:row>
    <x:row r="75" ht="26" customHeight="1">
      <x:c r="A75" s="1"/>
      <x:c r="B75" s="1"/>
      <x:c r="C75" s="9" t="str">
        <x:f>IF(Facilities!C75="","",Facilities!C75)</x:f>
      </x:c>
      <x:c r="D75" s="3" t="n">
        <x:v>1</x:v>
      </x:c>
      <x:c r="E75" s="9" t="n">
        <x:f>Settings!$F$18+0</x:f>
        <x:v>2027</x:v>
      </x:c>
      <x:c r="F75" s="9" t="str">
        <x:f>IF(C75="","",IFERROR(INDEX('Facilities'!$D$9:$D$108,MATCH(C75,'Facilities'!$C$9:$C$108,0)),"Unavailable"))</x:f>
      </x:c>
      <x:c r="G75" s="23" t="str">
        <x:f>IF(C75="","",IFERROR(IF(INDEX('Facilities'!$AD$9:$AD$108,MATCH(C75,'Facilities'!$C$9:$C$108,0))=3,0,INDEX('Facilities'!$AA$9:$AA$108,MATCH(C75,'Facilities'!$C$9:$C$108,0))),"Unavailable"))</x:f>
      </x:c>
      <x:c r="H75" s="23" t="str">
        <x:f>IF(C75="","",IFERROR(IF(INDEX('Facilities'!$AD$9:$AD$108,MATCH(C75,'Facilities'!$C$9:$C$108,0))=3,INDEX('Facilities'!$AA$9:$AA$108,MATCH(C75,'Facilities'!$C$9:$C$108,0)),0),"Unavailable"))</x:f>
      </x:c>
      <x:c r="I75" s="23" t="str">
        <x:f>IF(C75="","",IFERROR(INDEX('Facilities'!$AB$9:$AB$108,MATCH(C75,'Facilities'!$C$9:$C$108,0)),"Unavailable"))</x:f>
      </x:c>
      <x:c r="J75" s="23" t="str">
        <x:f>IF(C75="","",IFERROR(IF(OR(H75&gt;0,AND(AC75&gt;=0,AC75&lt;D75),D75&gt;INDEX('Facilities'!$J$9:$J$108,MATCH(C75,'Facilities'!$C$9:$C$108,0))),0,I75*'Scenario Paths'!F81),"Unavailable"))</x:f>
      </x:c>
      <x:c r="K75" s="23" t="str">
        <x:f>IF(C75="","",IFERROR(IF(OR(H75&gt;0,AND(AC75&gt;=0,AC75=D75)),0,IF(D75&gt;=INDEX('Facilities'!$J$9:$J$108,MATCH(C75,'Facilities'!$C$9:$C$108,0)),G75+J75,MIN(G75+J75,G75*INDEX('Facilities'!$R$9:$R$108,MATCH(C75,'Facilities'!$C$9:$C$108,0))))),"Unavailable"))</x:f>
      </x:c>
      <x:c r="L75" s="21" t="str">
        <x:f>IF(C75="","",IFERROR(IF(AND(AC75=D75,AC75&gt;0),MAX(0,G75+J75-K75),0),"Unavailable"))</x:f>
      </x:c>
      <x:c r="M75" s="23" t="str">
        <x:f>IF(C75="","",IFERROR(IF(AND(AC75&gt;=0,D75&gt;=AC75+INDEX('Facilities'!$AK$9:$AK$108,MATCH(C75,'Facilities'!$C$9:$C$108,0))),(H75+L75)*AM75,0),"Unavailable"))</x:f>
      </x:c>
      <x:c r="N75" s="23" t="str">
        <x:f>IF(C75="","",IFERROR(IF(AND(AC75&gt;=0,D75&gt;=AC75+INDEX('Facilities'!$AK$9:$AK$108,MATCH(C75,'Facilities'!$C$9:$C$108,0))),H75+L75-M75,0),"Unavailable"))</x:f>
      </x:c>
      <x:c r="O75" s="21" t="str">
        <x:f>IF(C75="","",IFERROR(MAX(0,G75+J75-K75-L75),"Unavailable"))</x:f>
      </x:c>
      <x:c r="P75" s="21" t="str">
        <x:f>IF(C75="","",IFERROR(MAX(0,H75+L75-M75-N75),"Unavailable"))</x:f>
      </x:c>
      <x:c r="Q75" s="23" t="str">
        <x:f>IF(C75="","",IFERROR(IF(OR(D75&gt;=INDEX('Facilities'!$J$9:$J$108,MATCH(C75,'Facilities'!$C$9:$C$108,0)),AND(AC75&gt;=0,AC75&lt;=D75)),0,MAX(0,I75-J75)),"Unavailable"))</x:f>
      </x:c>
      <x:c r="R75" s="30" t="str">
        <x:f>IF(C75="","",IFERROR(INDEX(Credit!$Q$9:$Q$108,MATCH(F75,Credit!$C$9:$C$108,0)),"Unavailable"))</x:f>
      </x:c>
      <x:c r="S75" s="30" t="str">
        <x:f>IF(C75="","",IFERROR(INDEX(Credit!$R$9:$R$108,MATCH(F75,Credit!$C$9:$C$108,0)),"Unavailable"))</x:f>
      </x:c>
      <x:c r="T75" s="23" t="str">
        <x:f>IF(C75="","",IFERROR(IF(P75&gt;0,3,IF(OR(INDEX('Facilities'!$AD$9:$AD$108,MATCH(C75,'Facilities'!$C$9:$C$108,0))=2,AND(R75&gt;=INDEX('Facilities'!$L$9:$L$108,MATCH(C75,'Facilities'!$C$9:$C$108,0))*Settings!$F$19,R75-INDEX('Facilities'!$L$9:$L$108,MATCH(C75,'Facilities'!$C$9:$C$108,0))&gt;=Settings!$F$20)),2,1)),"Unavailable"))</x:f>
      </x:c>
      <x:c r="U75" s="23" t="str">
        <x:f>IF(C75="","",IF(AQ75&lt;&gt;"Ready","Unavailable",IF(C75="","",O75*(1-(1-S75)/(1+INDEX('Facilities'!$K$9:$K$108,MATCH(C75,'Facilities'!$C$9:$C$108,0)))^INDEX('Facilities'!$AK$9:$AK$108,MATCH(C75,'Facilities'!$C$9:$C$108,0)))*R75/(1+INDEX('Facilities'!$K$9:$K$108,MATCH(C75,'Facilities'!$C$9:$C$108,0)))*IF(ABS(1-(1-R75)*(1-INDEX('Facilities'!$R$9:$R$108,MATCH(C75,'Facilities'!$C$9:$C$108,0)))/(1+INDEX('Facilities'!$K$9:$K$108,MATCH(C75,'Facilities'!$C$9:$C$108,0))))&lt;0.000000001,IF(T75=1,MIN(1,AJ75),AJ75),(1-((1-R75)*(1-INDEX('Facilities'!$R$9:$R$108,MATCH(C75,'Facilities'!$C$9:$C$108,0)))/(1+INDEX('Facilities'!$K$9:$K$108,MATCH(C75,'Facilities'!$C$9:$C$108,0))))^IF(T75=1,MIN(1,AJ75),AJ75))/(1-(1-R75)*(1-INDEX('Facilities'!$R$9:$R$108,MATCH(C75,'Facilities'!$C$9:$C$108,0)))/(1+INDEX('Facilities'!$K$9:$K$108,MATCH(C75,'Facilities'!$C$9:$C$108,0)))))+AL75)))</x:f>
      </x:c>
      <x:c r="V75" s="23" t="str">
        <x:f>IF(C75="","",IF(AQ75&lt;&gt;"Ready","Unavailable",IF(C75="","",Q75*INDEX('Facilities'!$I$9:$I$108,MATCH(C75,'Facilities'!$C$9:$C$108,0))*(1-(1-S75)/(1+INDEX('Facilities'!$K$9:$K$108,MATCH(C75,'Facilities'!$C$9:$C$108,0)))^INDEX('Facilities'!$AK$9:$AK$108,MATCH(C75,'Facilities'!$C$9:$C$108,0)))*R75/(1+INDEX('Facilities'!$K$9:$K$108,MATCH(C75,'Facilities'!$C$9:$C$108,0)))*IF(ABS(1-(1-R75)*(1-0)/(1+INDEX('Facilities'!$K$9:$K$108,MATCH(C75,'Facilities'!$C$9:$C$108,0))))&lt;0.000000001,IF(T75=1,MIN(1,AJ75),AJ75),(1-((1-R75)*(1-0)/(1+INDEX('Facilities'!$K$9:$K$108,MATCH(C75,'Facilities'!$C$9:$C$108,0))))^IF(T75=1,MIN(1,AJ75),AJ75))/(1-(1-R75)*(1-0)/(1+INDEX('Facilities'!$K$9:$K$108,MATCH(C75,'Facilities'!$C$9:$C$108,0))))))))</x:f>
      </x:c>
      <x:c r="W75" s="23" t="str">
        <x:f>IF(C75="","",IFERROR(INDEX(ECL!$AB$9:$AB$108,MATCH(C75,ECL!$C$9:$C$108,0)),"Unavailable"))</x:f>
      </x:c>
      <x:c r="X75" s="23" t="str">
        <x:f>IF(C75="","",IFERROR(INDEX(ECL!$AC$9:$AC$108,MATCH(C75,ECL!$C$9:$C$108,0)),"Unavailable"))</x:f>
      </x:c>
      <x:c r="Y75" s="21" t="str">
        <x:f>IF(C75="","",IF(AQ75&lt;&gt;"Ready","Unavailable",IF(C75="","",U75-W75+V75-X75+N75+AG75)))</x:f>
      </x:c>
      <x:c r="Z75" s="23" t="str">
        <x:f>IF(C75="","",IF(AQ75&lt;&gt;"Ready","Unavailable",IF(C75="","",(G75+O75+L75)/2*INDEX('Facilities'!$T$9:$T$108,MATCH(C75,'Facilities'!$C$9:$C$108,0))+AG75)))</x:f>
      </x:c>
      <x:c r="AA75" s="23" t="str">
        <x:f>IF(C75="","",IF(AQ75&lt;&gt;"Ready","Unavailable",IF(C75="","",O75*(1-IF(INDEX('Facilities'!$AA$9:$AA$108,MATCH(C75,'Facilities'!$C$9:$C$108,0))=0,0,MIN(1,INDEX('Facilities'!$X$9:$X$108,MATCH(C75,'Facilities'!$C$9:$C$108,0))/INDEX('Facilities'!$AA$9:$AA$108,MATCH(C75,'Facilities'!$C$9:$C$108,0)))))*AF75+P75*(1-IF(INDEX('Facilities'!$AA$9:$AA$108,MATCH(C75,'Facilities'!$C$9:$C$108,0))=0,0,MIN(1,INDEX('Facilities'!$X$9:$X$108,MATCH(C75,'Facilities'!$C$9:$C$108,0))/INDEX('Facilities'!$AA$9:$AA$108,MATCH(C75,'Facilities'!$C$9:$C$108,0)))))*INDEX('Facilities'!$AJ$9:$AJ$108,MATCH(C75,'Facilities'!$C$9:$C$108,0))+Q75*INDEX('Facilities'!$AI$9:$AI$108,MATCH(C75,'Facilities'!$C$9:$C$108,0))*AF75)))</x:f>
      </x:c>
      <x:c r="AB75" s="21" t="str">
        <x:f>IF(C75="","",O75+P75-AD75)</x:f>
      </x:c>
      <x:c r="AC75" s="23" t="str">
        <x:f>IF(C75="","",IFERROR(IF(INDEX('Facilities'!$AD$9:$AD$108,MATCH(C75,'Facilities'!$C$9:$C$108,0))=3,0,IF(INDEX('Facilities'!$AN$9:$AN$108,MATCH(C75,'Facilities'!$C$9:$C$108,0))=0,-1,INDEX('Facilities'!$AN$9:$AN$108,MATCH(C75,'Facilities'!$C$9:$C$108,0)))),"Unavailable"))</x:f>
      </x:c>
      <x:c r="AD75" s="21" t="str">
        <x:f>IF(C75="","",IFERROR(G75+H75,"Unavailable"))</x:f>
      </x:c>
      <x:c r="AE75" s="21" t="str">
        <x:f>IF(C75="","",IF(AQ75&lt;&gt;"Ready","Unavailable",IF(C75="","",O75+P75-AD75-J75+K75+M75+N75)))</x:f>
      </x:c>
      <x:c r="AF75" s="30" t="str">
        <x:f>IF(C75="","",IFERROR(INDEX('Facilities'!$S$9:$S$108,MATCH(C75,'Facilities'!$C$9:$C$108,0))*'Scenario Paths'!F75,"Unavailable"))</x:f>
      </x:c>
      <x:c r="AG75" s="23" t="str">
        <x:f>IF(C75="","",IF(AQ75&lt;&gt;"Ready","Unavailable",IF(C75="","",IF(H75&gt;0,MAX(0,H75-AK75)*((1+INDEX('Facilities'!$K$9:$K$108,MATCH(C75,'Facilities'!$C$9:$C$108,0)))^MIN(1,MAX(0,AC75+INDEX('Facilities'!$AK$9:$AK$108,MATCH(C75,'Facilities'!$C$9:$C$108,0))-D75+1))-1),0))))</x:f>
      </x:c>
      <x:c r="AH75" s="21" t="str">
        <x:f>IF(C75="","",IF(AQ75&lt;&gt;"Ready","Unavailable",IF(C75="","",O75+P75)))</x:f>
      </x:c>
      <x:c r="AI75" s="21" t="str">
        <x:f>IF(C75="","",IF(AQ75&lt;&gt;"Ready","Unavailable",IF(C75="","",Z75-Y75)))</x:f>
      </x:c>
      <x:c r="AJ75" s="23" t="str">
        <x:f>IF(C75="","",IFERROR(MAX(0,INDEX('Facilities'!$J$9:$J$108,MATCH(C75,'Facilities'!$C$9:$C$108,0))-D75),"Unavailable"))</x:f>
      </x:c>
      <x:c r="AK75" s="23" t="str">
        <x:f>IF(C75="","",IFERROR(IF(INDEX('Facilities'!$AD$9:$AD$108,MATCH(C75,'Facilities'!$C$9:$C$108,0))=3,W75,0),"Unavailable"))</x:f>
      </x:c>
      <x:c r="AL75" s="23" t="str">
        <x:f>IF(C75="","",IFERROR(IF(P75&gt;0,P75*(1-AM75/(1+INDEX('Facilities'!$K$9:$K$108,MATCH(C75,'Facilities'!$C$9:$C$108,0)))^MAX(0,AC75+INDEX('Facilities'!$AK$9:$AK$108,MATCH(C75,'Facilities'!$C$9:$C$108,0))-D75)),0),"Unavailable"))</x:f>
      </x:c>
      <x:c r="AM75" s="30" t="str">
        <x:f>IF(C75="","",IFERROR(INDEX('Facilities'!$AL$9:$AL$108,MATCH(C75,'Facilities'!$C$9:$C$108,0)),"Unavailable"))</x:f>
      </x:c>
      <x:c r="AN75" s="30" t="str">
        <x:f>IF(C75="","",IFERROR(INDEX(Credit!$T$9:$T$108,MATCH(F75,Credit!$C$9:$C$108,0)),"Unavailable"))</x:f>
      </x:c>
      <x:c r="AO75" s="23" t="str">
        <x:f>IF(C75="","",IF(AQ75&lt;&gt;"Ready","Unavailable",IF(C75="","",O75+P75+Q75*INDEX('Facilities'!$I$9:$I$108,MATCH(C75,'Facilities'!$C$9:$C$108,0)))))</x:f>
      </x:c>
      <x:c r="AP75" s="21" t="str">
        <x:f>IF(C75="","",IF(AQ75&lt;&gt;"Ready","Unavailable",IF(C75="","",AH75-U75)))</x:f>
      </x:c>
      <x:c r="AQ75" s="23" t="str">
        <x:f>IFERROR(IF(C75="","",IF(AND(INDEX('Facilities'!$AF$9:$AF$108,MATCH(C75,'Facilities'!$C$9:$C$108,0))="Ready",INDEX(Credit!$U$9:$U$108,MATCH(F75,Credit!$C$9:$C$108,0))="Ready",ISNUMBER(W75)),"Ready","Review inputs")),"Review inputs")</x:f>
      </x:c>
      <x:c r="AR75" s="23" t="str">
        <x:f>IF(C75="","",IF(AQ75&lt;&gt;"Ready","Unavailable",IF(C75="","",IF(O75=0,0,(IF(AJ75&lt;=1,O75,O75*INDEX('Facilities'!$R$9:$R$108,MATCH(C75,'Facilities'!$C$9:$C$108,0)))+O75*INDEX('Facilities'!$T$9:$T$108,MATCH(C75,'Facilities'!$C$9:$C$108,0)))/12))))</x:f>
      </x:c>
    </x:row>
    <x:row r="76" ht="26" customHeight="1">
      <x:c r="A76" s="1"/>
      <x:c r="B76" s="1"/>
      <x:c r="C76" s="9" t="str">
        <x:f>IF(Facilities!C76="","",Facilities!C76)</x:f>
      </x:c>
      <x:c r="D76" s="3" t="n">
        <x:v>1</x:v>
      </x:c>
      <x:c r="E76" s="9" t="n">
        <x:f>Settings!$F$18+0</x:f>
        <x:v>2027</x:v>
      </x:c>
      <x:c r="F76" s="9" t="str">
        <x:f>IF(C76="","",IFERROR(INDEX('Facilities'!$D$9:$D$108,MATCH(C76,'Facilities'!$C$9:$C$108,0)),"Unavailable"))</x:f>
      </x:c>
      <x:c r="G76" s="23" t="str">
        <x:f>IF(C76="","",IFERROR(IF(INDEX('Facilities'!$AD$9:$AD$108,MATCH(C76,'Facilities'!$C$9:$C$108,0))=3,0,INDEX('Facilities'!$AA$9:$AA$108,MATCH(C76,'Facilities'!$C$9:$C$108,0))),"Unavailable"))</x:f>
      </x:c>
      <x:c r="H76" s="23" t="str">
        <x:f>IF(C76="","",IFERROR(IF(INDEX('Facilities'!$AD$9:$AD$108,MATCH(C76,'Facilities'!$C$9:$C$108,0))=3,INDEX('Facilities'!$AA$9:$AA$108,MATCH(C76,'Facilities'!$C$9:$C$108,0)),0),"Unavailable"))</x:f>
      </x:c>
      <x:c r="I76" s="23" t="str">
        <x:f>IF(C76="","",IFERROR(INDEX('Facilities'!$AB$9:$AB$108,MATCH(C76,'Facilities'!$C$9:$C$108,0)),"Unavailable"))</x:f>
      </x:c>
      <x:c r="J76" s="23" t="str">
        <x:f>IF(C76="","",IFERROR(IF(OR(H76&gt;0,AND(AC76&gt;=0,AC76&lt;D76),D76&gt;INDEX('Facilities'!$J$9:$J$108,MATCH(C76,'Facilities'!$C$9:$C$108,0))),0,I76*'Scenario Paths'!F81),"Unavailable"))</x:f>
      </x:c>
      <x:c r="K76" s="23" t="str">
        <x:f>IF(C76="","",IFERROR(IF(OR(H76&gt;0,AND(AC76&gt;=0,AC76=D76)),0,IF(D76&gt;=INDEX('Facilities'!$J$9:$J$108,MATCH(C76,'Facilities'!$C$9:$C$108,0)),G76+J76,MIN(G76+J76,G76*INDEX('Facilities'!$R$9:$R$108,MATCH(C76,'Facilities'!$C$9:$C$108,0))))),"Unavailable"))</x:f>
      </x:c>
      <x:c r="L76" s="21" t="str">
        <x:f>IF(C76="","",IFERROR(IF(AND(AC76=D76,AC76&gt;0),MAX(0,G76+J76-K76),0),"Unavailable"))</x:f>
      </x:c>
      <x:c r="M76" s="23" t="str">
        <x:f>IF(C76="","",IFERROR(IF(AND(AC76&gt;=0,D76&gt;=AC76+INDEX('Facilities'!$AK$9:$AK$108,MATCH(C76,'Facilities'!$C$9:$C$108,0))),(H76+L76)*AM76,0),"Unavailable"))</x:f>
      </x:c>
      <x:c r="N76" s="23" t="str">
        <x:f>IF(C76="","",IFERROR(IF(AND(AC76&gt;=0,D76&gt;=AC76+INDEX('Facilities'!$AK$9:$AK$108,MATCH(C76,'Facilities'!$C$9:$C$108,0))),H76+L76-M76,0),"Unavailable"))</x:f>
      </x:c>
      <x:c r="O76" s="21" t="str">
        <x:f>IF(C76="","",IFERROR(MAX(0,G76+J76-K76-L76),"Unavailable"))</x:f>
      </x:c>
      <x:c r="P76" s="21" t="str">
        <x:f>IF(C76="","",IFERROR(MAX(0,H76+L76-M76-N76),"Unavailable"))</x:f>
      </x:c>
      <x:c r="Q76" s="23" t="str">
        <x:f>IF(C76="","",IFERROR(IF(OR(D76&gt;=INDEX('Facilities'!$J$9:$J$108,MATCH(C76,'Facilities'!$C$9:$C$108,0)),AND(AC76&gt;=0,AC76&lt;=D76)),0,MAX(0,I76-J76)),"Unavailable"))</x:f>
      </x:c>
      <x:c r="R76" s="30" t="str">
        <x:f>IF(C76="","",IFERROR(INDEX(Credit!$Q$9:$Q$108,MATCH(F76,Credit!$C$9:$C$108,0)),"Unavailable"))</x:f>
      </x:c>
      <x:c r="S76" s="30" t="str">
        <x:f>IF(C76="","",IFERROR(INDEX(Credit!$R$9:$R$108,MATCH(F76,Credit!$C$9:$C$108,0)),"Unavailable"))</x:f>
      </x:c>
      <x:c r="T76" s="23" t="str">
        <x:f>IF(C76="","",IFERROR(IF(P76&gt;0,3,IF(OR(INDEX('Facilities'!$AD$9:$AD$108,MATCH(C76,'Facilities'!$C$9:$C$108,0))=2,AND(R76&gt;=INDEX('Facilities'!$L$9:$L$108,MATCH(C76,'Facilities'!$C$9:$C$108,0))*Settings!$F$19,R76-INDEX('Facilities'!$L$9:$L$108,MATCH(C76,'Facilities'!$C$9:$C$108,0))&gt;=Settings!$F$20)),2,1)),"Unavailable"))</x:f>
      </x:c>
      <x:c r="U76" s="23" t="str">
        <x:f>IF(C76="","",IF(AQ76&lt;&gt;"Ready","Unavailable",IF(C76="","",O76*(1-(1-S76)/(1+INDEX('Facilities'!$K$9:$K$108,MATCH(C76,'Facilities'!$C$9:$C$108,0)))^INDEX('Facilities'!$AK$9:$AK$108,MATCH(C76,'Facilities'!$C$9:$C$108,0)))*R76/(1+INDEX('Facilities'!$K$9:$K$108,MATCH(C76,'Facilities'!$C$9:$C$108,0)))*IF(ABS(1-(1-R76)*(1-INDEX('Facilities'!$R$9:$R$108,MATCH(C76,'Facilities'!$C$9:$C$108,0)))/(1+INDEX('Facilities'!$K$9:$K$108,MATCH(C76,'Facilities'!$C$9:$C$108,0))))&lt;0.000000001,IF(T76=1,MIN(1,AJ76),AJ76),(1-((1-R76)*(1-INDEX('Facilities'!$R$9:$R$108,MATCH(C76,'Facilities'!$C$9:$C$108,0)))/(1+INDEX('Facilities'!$K$9:$K$108,MATCH(C76,'Facilities'!$C$9:$C$108,0))))^IF(T76=1,MIN(1,AJ76),AJ76))/(1-(1-R76)*(1-INDEX('Facilities'!$R$9:$R$108,MATCH(C76,'Facilities'!$C$9:$C$108,0)))/(1+INDEX('Facilities'!$K$9:$K$108,MATCH(C76,'Facilities'!$C$9:$C$108,0)))))+AL76)))</x:f>
      </x:c>
      <x:c r="V76" s="23" t="str">
        <x:f>IF(C76="","",IF(AQ76&lt;&gt;"Ready","Unavailable",IF(C76="","",Q76*INDEX('Facilities'!$I$9:$I$108,MATCH(C76,'Facilities'!$C$9:$C$108,0))*(1-(1-S76)/(1+INDEX('Facilities'!$K$9:$K$108,MATCH(C76,'Facilities'!$C$9:$C$108,0)))^INDEX('Facilities'!$AK$9:$AK$108,MATCH(C76,'Facilities'!$C$9:$C$108,0)))*R76/(1+INDEX('Facilities'!$K$9:$K$108,MATCH(C76,'Facilities'!$C$9:$C$108,0)))*IF(ABS(1-(1-R76)*(1-0)/(1+INDEX('Facilities'!$K$9:$K$108,MATCH(C76,'Facilities'!$C$9:$C$108,0))))&lt;0.000000001,IF(T76=1,MIN(1,AJ76),AJ76),(1-((1-R76)*(1-0)/(1+INDEX('Facilities'!$K$9:$K$108,MATCH(C76,'Facilities'!$C$9:$C$108,0))))^IF(T76=1,MIN(1,AJ76),AJ76))/(1-(1-R76)*(1-0)/(1+INDEX('Facilities'!$K$9:$K$108,MATCH(C76,'Facilities'!$C$9:$C$108,0))))))))</x:f>
      </x:c>
      <x:c r="W76" s="23" t="str">
        <x:f>IF(C76="","",IFERROR(INDEX(ECL!$AB$9:$AB$108,MATCH(C76,ECL!$C$9:$C$108,0)),"Unavailable"))</x:f>
      </x:c>
      <x:c r="X76" s="23" t="str">
        <x:f>IF(C76="","",IFERROR(INDEX(ECL!$AC$9:$AC$108,MATCH(C76,ECL!$C$9:$C$108,0)),"Unavailable"))</x:f>
      </x:c>
      <x:c r="Y76" s="21" t="str">
        <x:f>IF(C76="","",IF(AQ76&lt;&gt;"Ready","Unavailable",IF(C76="","",U76-W76+V76-X76+N76+AG76)))</x:f>
      </x:c>
      <x:c r="Z76" s="23" t="str">
        <x:f>IF(C76="","",IF(AQ76&lt;&gt;"Ready","Unavailable",IF(C76="","",(G76+O76+L76)/2*INDEX('Facilities'!$T$9:$T$108,MATCH(C76,'Facilities'!$C$9:$C$108,0))+AG76)))</x:f>
      </x:c>
      <x:c r="AA76" s="23" t="str">
        <x:f>IF(C76="","",IF(AQ76&lt;&gt;"Ready","Unavailable",IF(C76="","",O76*(1-IF(INDEX('Facilities'!$AA$9:$AA$108,MATCH(C76,'Facilities'!$C$9:$C$108,0))=0,0,MIN(1,INDEX('Facilities'!$X$9:$X$108,MATCH(C76,'Facilities'!$C$9:$C$108,0))/INDEX('Facilities'!$AA$9:$AA$108,MATCH(C76,'Facilities'!$C$9:$C$108,0)))))*AF76+P76*(1-IF(INDEX('Facilities'!$AA$9:$AA$108,MATCH(C76,'Facilities'!$C$9:$C$108,0))=0,0,MIN(1,INDEX('Facilities'!$X$9:$X$108,MATCH(C76,'Facilities'!$C$9:$C$108,0))/INDEX('Facilities'!$AA$9:$AA$108,MATCH(C76,'Facilities'!$C$9:$C$108,0)))))*INDEX('Facilities'!$AJ$9:$AJ$108,MATCH(C76,'Facilities'!$C$9:$C$108,0))+Q76*INDEX('Facilities'!$AI$9:$AI$108,MATCH(C76,'Facilities'!$C$9:$C$108,0))*AF76)))</x:f>
      </x:c>
      <x:c r="AB76" s="21" t="str">
        <x:f>IF(C76="","",O76+P76-AD76)</x:f>
      </x:c>
      <x:c r="AC76" s="23" t="str">
        <x:f>IF(C76="","",IFERROR(IF(INDEX('Facilities'!$AD$9:$AD$108,MATCH(C76,'Facilities'!$C$9:$C$108,0))=3,0,IF(INDEX('Facilities'!$AN$9:$AN$108,MATCH(C76,'Facilities'!$C$9:$C$108,0))=0,-1,INDEX('Facilities'!$AN$9:$AN$108,MATCH(C76,'Facilities'!$C$9:$C$108,0)))),"Unavailable"))</x:f>
      </x:c>
      <x:c r="AD76" s="21" t="str">
        <x:f>IF(C76="","",IFERROR(G76+H76,"Unavailable"))</x:f>
      </x:c>
      <x:c r="AE76" s="21" t="str">
        <x:f>IF(C76="","",IF(AQ76&lt;&gt;"Ready","Unavailable",IF(C76="","",O76+P76-AD76-J76+K76+M76+N76)))</x:f>
      </x:c>
      <x:c r="AF76" s="30" t="str">
        <x:f>IF(C76="","",IFERROR(INDEX('Facilities'!$S$9:$S$108,MATCH(C76,'Facilities'!$C$9:$C$108,0))*'Scenario Paths'!F75,"Unavailable"))</x:f>
      </x:c>
      <x:c r="AG76" s="23" t="str">
        <x:f>IF(C76="","",IF(AQ76&lt;&gt;"Ready","Unavailable",IF(C76="","",IF(H76&gt;0,MAX(0,H76-AK76)*((1+INDEX('Facilities'!$K$9:$K$108,MATCH(C76,'Facilities'!$C$9:$C$108,0)))^MIN(1,MAX(0,AC76+INDEX('Facilities'!$AK$9:$AK$108,MATCH(C76,'Facilities'!$C$9:$C$108,0))-D76+1))-1),0))))</x:f>
      </x:c>
      <x:c r="AH76" s="21" t="str">
        <x:f>IF(C76="","",IF(AQ76&lt;&gt;"Ready","Unavailable",IF(C76="","",O76+P76)))</x:f>
      </x:c>
      <x:c r="AI76" s="21" t="str">
        <x:f>IF(C76="","",IF(AQ76&lt;&gt;"Ready","Unavailable",IF(C76="","",Z76-Y76)))</x:f>
      </x:c>
      <x:c r="AJ76" s="23" t="str">
        <x:f>IF(C76="","",IFERROR(MAX(0,INDEX('Facilities'!$J$9:$J$108,MATCH(C76,'Facilities'!$C$9:$C$108,0))-D76),"Unavailable"))</x:f>
      </x:c>
      <x:c r="AK76" s="23" t="str">
        <x:f>IF(C76="","",IFERROR(IF(INDEX('Facilities'!$AD$9:$AD$108,MATCH(C76,'Facilities'!$C$9:$C$108,0))=3,W76,0),"Unavailable"))</x:f>
      </x:c>
      <x:c r="AL76" s="23" t="str">
        <x:f>IF(C76="","",IFERROR(IF(P76&gt;0,P76*(1-AM76/(1+INDEX('Facilities'!$K$9:$K$108,MATCH(C76,'Facilities'!$C$9:$C$108,0)))^MAX(0,AC76+INDEX('Facilities'!$AK$9:$AK$108,MATCH(C76,'Facilities'!$C$9:$C$108,0))-D76)),0),"Unavailable"))</x:f>
      </x:c>
      <x:c r="AM76" s="30" t="str">
        <x:f>IF(C76="","",IFERROR(INDEX('Facilities'!$AL$9:$AL$108,MATCH(C76,'Facilities'!$C$9:$C$108,0)),"Unavailable"))</x:f>
      </x:c>
      <x:c r="AN76" s="30" t="str">
        <x:f>IF(C76="","",IFERROR(INDEX(Credit!$T$9:$T$108,MATCH(F76,Credit!$C$9:$C$108,0)),"Unavailable"))</x:f>
      </x:c>
      <x:c r="AO76" s="23" t="str">
        <x:f>IF(C76="","",IF(AQ76&lt;&gt;"Ready","Unavailable",IF(C76="","",O76+P76+Q76*INDEX('Facilities'!$I$9:$I$108,MATCH(C76,'Facilities'!$C$9:$C$108,0)))))</x:f>
      </x:c>
      <x:c r="AP76" s="21" t="str">
        <x:f>IF(C76="","",IF(AQ76&lt;&gt;"Ready","Unavailable",IF(C76="","",AH76-U76)))</x:f>
      </x:c>
      <x:c r="AQ76" s="23" t="str">
        <x:f>IFERROR(IF(C76="","",IF(AND(INDEX('Facilities'!$AF$9:$AF$108,MATCH(C76,'Facilities'!$C$9:$C$108,0))="Ready",INDEX(Credit!$U$9:$U$108,MATCH(F76,Credit!$C$9:$C$108,0))="Ready",ISNUMBER(W76)),"Ready","Review inputs")),"Review inputs")</x:f>
      </x:c>
      <x:c r="AR76" s="23" t="str">
        <x:f>IF(C76="","",IF(AQ76&lt;&gt;"Ready","Unavailable",IF(C76="","",IF(O76=0,0,(IF(AJ76&lt;=1,O76,O76*INDEX('Facilities'!$R$9:$R$108,MATCH(C76,'Facilities'!$C$9:$C$108,0)))+O76*INDEX('Facilities'!$T$9:$T$108,MATCH(C76,'Facilities'!$C$9:$C$108,0)))/12))))</x:f>
      </x:c>
    </x:row>
    <x:row r="77" ht="26" customHeight="1">
      <x:c r="A77" s="1"/>
      <x:c r="B77" s="1"/>
      <x:c r="C77" s="9" t="str">
        <x:f>IF(Facilities!C77="","",Facilities!C77)</x:f>
      </x:c>
      <x:c r="D77" s="3" t="n">
        <x:v>1</x:v>
      </x:c>
      <x:c r="E77" s="9" t="n">
        <x:f>Settings!$F$18+0</x:f>
        <x:v>2027</x:v>
      </x:c>
      <x:c r="F77" s="9" t="str">
        <x:f>IF(C77="","",IFERROR(INDEX('Facilities'!$D$9:$D$108,MATCH(C77,'Facilities'!$C$9:$C$108,0)),"Unavailable"))</x:f>
      </x:c>
      <x:c r="G77" s="23" t="str">
        <x:f>IF(C77="","",IFERROR(IF(INDEX('Facilities'!$AD$9:$AD$108,MATCH(C77,'Facilities'!$C$9:$C$108,0))=3,0,INDEX('Facilities'!$AA$9:$AA$108,MATCH(C77,'Facilities'!$C$9:$C$108,0))),"Unavailable"))</x:f>
      </x:c>
      <x:c r="H77" s="23" t="str">
        <x:f>IF(C77="","",IFERROR(IF(INDEX('Facilities'!$AD$9:$AD$108,MATCH(C77,'Facilities'!$C$9:$C$108,0))=3,INDEX('Facilities'!$AA$9:$AA$108,MATCH(C77,'Facilities'!$C$9:$C$108,0)),0),"Unavailable"))</x:f>
      </x:c>
      <x:c r="I77" s="23" t="str">
        <x:f>IF(C77="","",IFERROR(INDEX('Facilities'!$AB$9:$AB$108,MATCH(C77,'Facilities'!$C$9:$C$108,0)),"Unavailable"))</x:f>
      </x:c>
      <x:c r="J77" s="23" t="str">
        <x:f>IF(C77="","",IFERROR(IF(OR(H77&gt;0,AND(AC77&gt;=0,AC77&lt;D77),D77&gt;INDEX('Facilities'!$J$9:$J$108,MATCH(C77,'Facilities'!$C$9:$C$108,0))),0,I77*'Scenario Paths'!F81),"Unavailable"))</x:f>
      </x:c>
      <x:c r="K77" s="23" t="str">
        <x:f>IF(C77="","",IFERROR(IF(OR(H77&gt;0,AND(AC77&gt;=0,AC77=D77)),0,IF(D77&gt;=INDEX('Facilities'!$J$9:$J$108,MATCH(C77,'Facilities'!$C$9:$C$108,0)),G77+J77,MIN(G77+J77,G77*INDEX('Facilities'!$R$9:$R$108,MATCH(C77,'Facilities'!$C$9:$C$108,0))))),"Unavailable"))</x:f>
      </x:c>
      <x:c r="L77" s="21" t="str">
        <x:f>IF(C77="","",IFERROR(IF(AND(AC77=D77,AC77&gt;0),MAX(0,G77+J77-K77),0),"Unavailable"))</x:f>
      </x:c>
      <x:c r="M77" s="23" t="str">
        <x:f>IF(C77="","",IFERROR(IF(AND(AC77&gt;=0,D77&gt;=AC77+INDEX('Facilities'!$AK$9:$AK$108,MATCH(C77,'Facilities'!$C$9:$C$108,0))),(H77+L77)*AM77,0),"Unavailable"))</x:f>
      </x:c>
      <x:c r="N77" s="23" t="str">
        <x:f>IF(C77="","",IFERROR(IF(AND(AC77&gt;=0,D77&gt;=AC77+INDEX('Facilities'!$AK$9:$AK$108,MATCH(C77,'Facilities'!$C$9:$C$108,0))),H77+L77-M77,0),"Unavailable"))</x:f>
      </x:c>
      <x:c r="O77" s="21" t="str">
        <x:f>IF(C77="","",IFERROR(MAX(0,G77+J77-K77-L77),"Unavailable"))</x:f>
      </x:c>
      <x:c r="P77" s="21" t="str">
        <x:f>IF(C77="","",IFERROR(MAX(0,H77+L77-M77-N77),"Unavailable"))</x:f>
      </x:c>
      <x:c r="Q77" s="23" t="str">
        <x:f>IF(C77="","",IFERROR(IF(OR(D77&gt;=INDEX('Facilities'!$J$9:$J$108,MATCH(C77,'Facilities'!$C$9:$C$108,0)),AND(AC77&gt;=0,AC77&lt;=D77)),0,MAX(0,I77-J77)),"Unavailable"))</x:f>
      </x:c>
      <x:c r="R77" s="30" t="str">
        <x:f>IF(C77="","",IFERROR(INDEX(Credit!$Q$9:$Q$108,MATCH(F77,Credit!$C$9:$C$108,0)),"Unavailable"))</x:f>
      </x:c>
      <x:c r="S77" s="30" t="str">
        <x:f>IF(C77="","",IFERROR(INDEX(Credit!$R$9:$R$108,MATCH(F77,Credit!$C$9:$C$108,0)),"Unavailable"))</x:f>
      </x:c>
      <x:c r="T77" s="23" t="str">
        <x:f>IF(C77="","",IFERROR(IF(P77&gt;0,3,IF(OR(INDEX('Facilities'!$AD$9:$AD$108,MATCH(C77,'Facilities'!$C$9:$C$108,0))=2,AND(R77&gt;=INDEX('Facilities'!$L$9:$L$108,MATCH(C77,'Facilities'!$C$9:$C$108,0))*Settings!$F$19,R77-INDEX('Facilities'!$L$9:$L$108,MATCH(C77,'Facilities'!$C$9:$C$108,0))&gt;=Settings!$F$20)),2,1)),"Unavailable"))</x:f>
      </x:c>
      <x:c r="U77" s="23" t="str">
        <x:f>IF(C77="","",IF(AQ77&lt;&gt;"Ready","Unavailable",IF(C77="","",O77*(1-(1-S77)/(1+INDEX('Facilities'!$K$9:$K$108,MATCH(C77,'Facilities'!$C$9:$C$108,0)))^INDEX('Facilities'!$AK$9:$AK$108,MATCH(C77,'Facilities'!$C$9:$C$108,0)))*R77/(1+INDEX('Facilities'!$K$9:$K$108,MATCH(C77,'Facilities'!$C$9:$C$108,0)))*IF(ABS(1-(1-R77)*(1-INDEX('Facilities'!$R$9:$R$108,MATCH(C77,'Facilities'!$C$9:$C$108,0)))/(1+INDEX('Facilities'!$K$9:$K$108,MATCH(C77,'Facilities'!$C$9:$C$108,0))))&lt;0.000000001,IF(T77=1,MIN(1,AJ77),AJ77),(1-((1-R77)*(1-INDEX('Facilities'!$R$9:$R$108,MATCH(C77,'Facilities'!$C$9:$C$108,0)))/(1+INDEX('Facilities'!$K$9:$K$108,MATCH(C77,'Facilities'!$C$9:$C$108,0))))^IF(T77=1,MIN(1,AJ77),AJ77))/(1-(1-R77)*(1-INDEX('Facilities'!$R$9:$R$108,MATCH(C77,'Facilities'!$C$9:$C$108,0)))/(1+INDEX('Facilities'!$K$9:$K$108,MATCH(C77,'Facilities'!$C$9:$C$108,0)))))+AL77)))</x:f>
      </x:c>
      <x:c r="V77" s="23" t="str">
        <x:f>IF(C77="","",IF(AQ77&lt;&gt;"Ready","Unavailable",IF(C77="","",Q77*INDEX('Facilities'!$I$9:$I$108,MATCH(C77,'Facilities'!$C$9:$C$108,0))*(1-(1-S77)/(1+INDEX('Facilities'!$K$9:$K$108,MATCH(C77,'Facilities'!$C$9:$C$108,0)))^INDEX('Facilities'!$AK$9:$AK$108,MATCH(C77,'Facilities'!$C$9:$C$108,0)))*R77/(1+INDEX('Facilities'!$K$9:$K$108,MATCH(C77,'Facilities'!$C$9:$C$108,0)))*IF(ABS(1-(1-R77)*(1-0)/(1+INDEX('Facilities'!$K$9:$K$108,MATCH(C77,'Facilities'!$C$9:$C$108,0))))&lt;0.000000001,IF(T77=1,MIN(1,AJ77),AJ77),(1-((1-R77)*(1-0)/(1+INDEX('Facilities'!$K$9:$K$108,MATCH(C77,'Facilities'!$C$9:$C$108,0))))^IF(T77=1,MIN(1,AJ77),AJ77))/(1-(1-R77)*(1-0)/(1+INDEX('Facilities'!$K$9:$K$108,MATCH(C77,'Facilities'!$C$9:$C$108,0))))))))</x:f>
      </x:c>
      <x:c r="W77" s="23" t="str">
        <x:f>IF(C77="","",IFERROR(INDEX(ECL!$AB$9:$AB$108,MATCH(C77,ECL!$C$9:$C$108,0)),"Unavailable"))</x:f>
      </x:c>
      <x:c r="X77" s="23" t="str">
        <x:f>IF(C77="","",IFERROR(INDEX(ECL!$AC$9:$AC$108,MATCH(C77,ECL!$C$9:$C$108,0)),"Unavailable"))</x:f>
      </x:c>
      <x:c r="Y77" s="21" t="str">
        <x:f>IF(C77="","",IF(AQ77&lt;&gt;"Ready","Unavailable",IF(C77="","",U77-W77+V77-X77+N77+AG77)))</x:f>
      </x:c>
      <x:c r="Z77" s="23" t="str">
        <x:f>IF(C77="","",IF(AQ77&lt;&gt;"Ready","Unavailable",IF(C77="","",(G77+O77+L77)/2*INDEX('Facilities'!$T$9:$T$108,MATCH(C77,'Facilities'!$C$9:$C$108,0))+AG77)))</x:f>
      </x:c>
      <x:c r="AA77" s="23" t="str">
        <x:f>IF(C77="","",IF(AQ77&lt;&gt;"Ready","Unavailable",IF(C77="","",O77*(1-IF(INDEX('Facilities'!$AA$9:$AA$108,MATCH(C77,'Facilities'!$C$9:$C$108,0))=0,0,MIN(1,INDEX('Facilities'!$X$9:$X$108,MATCH(C77,'Facilities'!$C$9:$C$108,0))/INDEX('Facilities'!$AA$9:$AA$108,MATCH(C77,'Facilities'!$C$9:$C$108,0)))))*AF77+P77*(1-IF(INDEX('Facilities'!$AA$9:$AA$108,MATCH(C77,'Facilities'!$C$9:$C$108,0))=0,0,MIN(1,INDEX('Facilities'!$X$9:$X$108,MATCH(C77,'Facilities'!$C$9:$C$108,0))/INDEX('Facilities'!$AA$9:$AA$108,MATCH(C77,'Facilities'!$C$9:$C$108,0)))))*INDEX('Facilities'!$AJ$9:$AJ$108,MATCH(C77,'Facilities'!$C$9:$C$108,0))+Q77*INDEX('Facilities'!$AI$9:$AI$108,MATCH(C77,'Facilities'!$C$9:$C$108,0))*AF77)))</x:f>
      </x:c>
      <x:c r="AB77" s="21" t="str">
        <x:f>IF(C77="","",O77+P77-AD77)</x:f>
      </x:c>
      <x:c r="AC77" s="23" t="str">
        <x:f>IF(C77="","",IFERROR(IF(INDEX('Facilities'!$AD$9:$AD$108,MATCH(C77,'Facilities'!$C$9:$C$108,0))=3,0,IF(INDEX('Facilities'!$AN$9:$AN$108,MATCH(C77,'Facilities'!$C$9:$C$108,0))=0,-1,INDEX('Facilities'!$AN$9:$AN$108,MATCH(C77,'Facilities'!$C$9:$C$108,0)))),"Unavailable"))</x:f>
      </x:c>
      <x:c r="AD77" s="21" t="str">
        <x:f>IF(C77="","",IFERROR(G77+H77,"Unavailable"))</x:f>
      </x:c>
      <x:c r="AE77" s="21" t="str">
        <x:f>IF(C77="","",IF(AQ77&lt;&gt;"Ready","Unavailable",IF(C77="","",O77+P77-AD77-J77+K77+M77+N77)))</x:f>
      </x:c>
      <x:c r="AF77" s="30" t="str">
        <x:f>IF(C77="","",IFERROR(INDEX('Facilities'!$S$9:$S$108,MATCH(C77,'Facilities'!$C$9:$C$108,0))*'Scenario Paths'!F75,"Unavailable"))</x:f>
      </x:c>
      <x:c r="AG77" s="23" t="str">
        <x:f>IF(C77="","",IF(AQ77&lt;&gt;"Ready","Unavailable",IF(C77="","",IF(H77&gt;0,MAX(0,H77-AK77)*((1+INDEX('Facilities'!$K$9:$K$108,MATCH(C77,'Facilities'!$C$9:$C$108,0)))^MIN(1,MAX(0,AC77+INDEX('Facilities'!$AK$9:$AK$108,MATCH(C77,'Facilities'!$C$9:$C$108,0))-D77+1))-1),0))))</x:f>
      </x:c>
      <x:c r="AH77" s="21" t="str">
        <x:f>IF(C77="","",IF(AQ77&lt;&gt;"Ready","Unavailable",IF(C77="","",O77+P77)))</x:f>
      </x:c>
      <x:c r="AI77" s="21" t="str">
        <x:f>IF(C77="","",IF(AQ77&lt;&gt;"Ready","Unavailable",IF(C77="","",Z77-Y77)))</x:f>
      </x:c>
      <x:c r="AJ77" s="23" t="str">
        <x:f>IF(C77="","",IFERROR(MAX(0,INDEX('Facilities'!$J$9:$J$108,MATCH(C77,'Facilities'!$C$9:$C$108,0))-D77),"Unavailable"))</x:f>
      </x:c>
      <x:c r="AK77" s="23" t="str">
        <x:f>IF(C77="","",IFERROR(IF(INDEX('Facilities'!$AD$9:$AD$108,MATCH(C77,'Facilities'!$C$9:$C$108,0))=3,W77,0),"Unavailable"))</x:f>
      </x:c>
      <x:c r="AL77" s="23" t="str">
        <x:f>IF(C77="","",IFERROR(IF(P77&gt;0,P77*(1-AM77/(1+INDEX('Facilities'!$K$9:$K$108,MATCH(C77,'Facilities'!$C$9:$C$108,0)))^MAX(0,AC77+INDEX('Facilities'!$AK$9:$AK$108,MATCH(C77,'Facilities'!$C$9:$C$108,0))-D77)),0),"Unavailable"))</x:f>
      </x:c>
      <x:c r="AM77" s="30" t="str">
        <x:f>IF(C77="","",IFERROR(INDEX('Facilities'!$AL$9:$AL$108,MATCH(C77,'Facilities'!$C$9:$C$108,0)),"Unavailable"))</x:f>
      </x:c>
      <x:c r="AN77" s="30" t="str">
        <x:f>IF(C77="","",IFERROR(INDEX(Credit!$T$9:$T$108,MATCH(F77,Credit!$C$9:$C$108,0)),"Unavailable"))</x:f>
      </x:c>
      <x:c r="AO77" s="23" t="str">
        <x:f>IF(C77="","",IF(AQ77&lt;&gt;"Ready","Unavailable",IF(C77="","",O77+P77+Q77*INDEX('Facilities'!$I$9:$I$108,MATCH(C77,'Facilities'!$C$9:$C$108,0)))))</x:f>
      </x:c>
      <x:c r="AP77" s="21" t="str">
        <x:f>IF(C77="","",IF(AQ77&lt;&gt;"Ready","Unavailable",IF(C77="","",AH77-U77)))</x:f>
      </x:c>
      <x:c r="AQ77" s="23" t="str">
        <x:f>IFERROR(IF(C77="","",IF(AND(INDEX('Facilities'!$AF$9:$AF$108,MATCH(C77,'Facilities'!$C$9:$C$108,0))="Ready",INDEX(Credit!$U$9:$U$108,MATCH(F77,Credit!$C$9:$C$108,0))="Ready",ISNUMBER(W77)),"Ready","Review inputs")),"Review inputs")</x:f>
      </x:c>
      <x:c r="AR77" s="23" t="str">
        <x:f>IF(C77="","",IF(AQ77&lt;&gt;"Ready","Unavailable",IF(C77="","",IF(O77=0,0,(IF(AJ77&lt;=1,O77,O77*INDEX('Facilities'!$R$9:$R$108,MATCH(C77,'Facilities'!$C$9:$C$108,0)))+O77*INDEX('Facilities'!$T$9:$T$108,MATCH(C77,'Facilities'!$C$9:$C$108,0)))/12))))</x:f>
      </x:c>
    </x:row>
    <x:row r="78" ht="26" customHeight="1">
      <x:c r="A78" s="1"/>
      <x:c r="B78" s="1"/>
      <x:c r="C78" s="9" t="str">
        <x:f>IF(Facilities!C78="","",Facilities!C78)</x:f>
      </x:c>
      <x:c r="D78" s="3" t="n">
        <x:v>1</x:v>
      </x:c>
      <x:c r="E78" s="9" t="n">
        <x:f>Settings!$F$18+0</x:f>
        <x:v>2027</x:v>
      </x:c>
      <x:c r="F78" s="9" t="str">
        <x:f>IF(C78="","",IFERROR(INDEX('Facilities'!$D$9:$D$108,MATCH(C78,'Facilities'!$C$9:$C$108,0)),"Unavailable"))</x:f>
      </x:c>
      <x:c r="G78" s="23" t="str">
        <x:f>IF(C78="","",IFERROR(IF(INDEX('Facilities'!$AD$9:$AD$108,MATCH(C78,'Facilities'!$C$9:$C$108,0))=3,0,INDEX('Facilities'!$AA$9:$AA$108,MATCH(C78,'Facilities'!$C$9:$C$108,0))),"Unavailable"))</x:f>
      </x:c>
      <x:c r="H78" s="23" t="str">
        <x:f>IF(C78="","",IFERROR(IF(INDEX('Facilities'!$AD$9:$AD$108,MATCH(C78,'Facilities'!$C$9:$C$108,0))=3,INDEX('Facilities'!$AA$9:$AA$108,MATCH(C78,'Facilities'!$C$9:$C$108,0)),0),"Unavailable"))</x:f>
      </x:c>
      <x:c r="I78" s="23" t="str">
        <x:f>IF(C78="","",IFERROR(INDEX('Facilities'!$AB$9:$AB$108,MATCH(C78,'Facilities'!$C$9:$C$108,0)),"Unavailable"))</x:f>
      </x:c>
      <x:c r="J78" s="23" t="str">
        <x:f>IF(C78="","",IFERROR(IF(OR(H78&gt;0,AND(AC78&gt;=0,AC78&lt;D78),D78&gt;INDEX('Facilities'!$J$9:$J$108,MATCH(C78,'Facilities'!$C$9:$C$108,0))),0,I78*'Scenario Paths'!F81),"Unavailable"))</x:f>
      </x:c>
      <x:c r="K78" s="23" t="str">
        <x:f>IF(C78="","",IFERROR(IF(OR(H78&gt;0,AND(AC78&gt;=0,AC78=D78)),0,IF(D78&gt;=INDEX('Facilities'!$J$9:$J$108,MATCH(C78,'Facilities'!$C$9:$C$108,0)),G78+J78,MIN(G78+J78,G78*INDEX('Facilities'!$R$9:$R$108,MATCH(C78,'Facilities'!$C$9:$C$108,0))))),"Unavailable"))</x:f>
      </x:c>
      <x:c r="L78" s="21" t="str">
        <x:f>IF(C78="","",IFERROR(IF(AND(AC78=D78,AC78&gt;0),MAX(0,G78+J78-K78),0),"Unavailable"))</x:f>
      </x:c>
      <x:c r="M78" s="23" t="str">
        <x:f>IF(C78="","",IFERROR(IF(AND(AC78&gt;=0,D78&gt;=AC78+INDEX('Facilities'!$AK$9:$AK$108,MATCH(C78,'Facilities'!$C$9:$C$108,0))),(H78+L78)*AM78,0),"Unavailable"))</x:f>
      </x:c>
      <x:c r="N78" s="23" t="str">
        <x:f>IF(C78="","",IFERROR(IF(AND(AC78&gt;=0,D78&gt;=AC78+INDEX('Facilities'!$AK$9:$AK$108,MATCH(C78,'Facilities'!$C$9:$C$108,0))),H78+L78-M78,0),"Unavailable"))</x:f>
      </x:c>
      <x:c r="O78" s="21" t="str">
        <x:f>IF(C78="","",IFERROR(MAX(0,G78+J78-K78-L78),"Unavailable"))</x:f>
      </x:c>
      <x:c r="P78" s="21" t="str">
        <x:f>IF(C78="","",IFERROR(MAX(0,H78+L78-M78-N78),"Unavailable"))</x:f>
      </x:c>
      <x:c r="Q78" s="23" t="str">
        <x:f>IF(C78="","",IFERROR(IF(OR(D78&gt;=INDEX('Facilities'!$J$9:$J$108,MATCH(C78,'Facilities'!$C$9:$C$108,0)),AND(AC78&gt;=0,AC78&lt;=D78)),0,MAX(0,I78-J78)),"Unavailable"))</x:f>
      </x:c>
      <x:c r="R78" s="30" t="str">
        <x:f>IF(C78="","",IFERROR(INDEX(Credit!$Q$9:$Q$108,MATCH(F78,Credit!$C$9:$C$108,0)),"Unavailable"))</x:f>
      </x:c>
      <x:c r="S78" s="30" t="str">
        <x:f>IF(C78="","",IFERROR(INDEX(Credit!$R$9:$R$108,MATCH(F78,Credit!$C$9:$C$108,0)),"Unavailable"))</x:f>
      </x:c>
      <x:c r="T78" s="23" t="str">
        <x:f>IF(C78="","",IFERROR(IF(P78&gt;0,3,IF(OR(INDEX('Facilities'!$AD$9:$AD$108,MATCH(C78,'Facilities'!$C$9:$C$108,0))=2,AND(R78&gt;=INDEX('Facilities'!$L$9:$L$108,MATCH(C78,'Facilities'!$C$9:$C$108,0))*Settings!$F$19,R78-INDEX('Facilities'!$L$9:$L$108,MATCH(C78,'Facilities'!$C$9:$C$108,0))&gt;=Settings!$F$20)),2,1)),"Unavailable"))</x:f>
      </x:c>
      <x:c r="U78" s="23" t="str">
        <x:f>IF(C78="","",IF(AQ78&lt;&gt;"Ready","Unavailable",IF(C78="","",O78*(1-(1-S78)/(1+INDEX('Facilities'!$K$9:$K$108,MATCH(C78,'Facilities'!$C$9:$C$108,0)))^INDEX('Facilities'!$AK$9:$AK$108,MATCH(C78,'Facilities'!$C$9:$C$108,0)))*R78/(1+INDEX('Facilities'!$K$9:$K$108,MATCH(C78,'Facilities'!$C$9:$C$108,0)))*IF(ABS(1-(1-R78)*(1-INDEX('Facilities'!$R$9:$R$108,MATCH(C78,'Facilities'!$C$9:$C$108,0)))/(1+INDEX('Facilities'!$K$9:$K$108,MATCH(C78,'Facilities'!$C$9:$C$108,0))))&lt;0.000000001,IF(T78=1,MIN(1,AJ78),AJ78),(1-((1-R78)*(1-INDEX('Facilities'!$R$9:$R$108,MATCH(C78,'Facilities'!$C$9:$C$108,0)))/(1+INDEX('Facilities'!$K$9:$K$108,MATCH(C78,'Facilities'!$C$9:$C$108,0))))^IF(T78=1,MIN(1,AJ78),AJ78))/(1-(1-R78)*(1-INDEX('Facilities'!$R$9:$R$108,MATCH(C78,'Facilities'!$C$9:$C$108,0)))/(1+INDEX('Facilities'!$K$9:$K$108,MATCH(C78,'Facilities'!$C$9:$C$108,0)))))+AL78)))</x:f>
      </x:c>
      <x:c r="V78" s="23" t="str">
        <x:f>IF(C78="","",IF(AQ78&lt;&gt;"Ready","Unavailable",IF(C78="","",Q78*INDEX('Facilities'!$I$9:$I$108,MATCH(C78,'Facilities'!$C$9:$C$108,0))*(1-(1-S78)/(1+INDEX('Facilities'!$K$9:$K$108,MATCH(C78,'Facilities'!$C$9:$C$108,0)))^INDEX('Facilities'!$AK$9:$AK$108,MATCH(C78,'Facilities'!$C$9:$C$108,0)))*R78/(1+INDEX('Facilities'!$K$9:$K$108,MATCH(C78,'Facilities'!$C$9:$C$108,0)))*IF(ABS(1-(1-R78)*(1-0)/(1+INDEX('Facilities'!$K$9:$K$108,MATCH(C78,'Facilities'!$C$9:$C$108,0))))&lt;0.000000001,IF(T78=1,MIN(1,AJ78),AJ78),(1-((1-R78)*(1-0)/(1+INDEX('Facilities'!$K$9:$K$108,MATCH(C78,'Facilities'!$C$9:$C$108,0))))^IF(T78=1,MIN(1,AJ78),AJ78))/(1-(1-R78)*(1-0)/(1+INDEX('Facilities'!$K$9:$K$108,MATCH(C78,'Facilities'!$C$9:$C$108,0))))))))</x:f>
      </x:c>
      <x:c r="W78" s="23" t="str">
        <x:f>IF(C78="","",IFERROR(INDEX(ECL!$AB$9:$AB$108,MATCH(C78,ECL!$C$9:$C$108,0)),"Unavailable"))</x:f>
      </x:c>
      <x:c r="X78" s="23" t="str">
        <x:f>IF(C78="","",IFERROR(INDEX(ECL!$AC$9:$AC$108,MATCH(C78,ECL!$C$9:$C$108,0)),"Unavailable"))</x:f>
      </x:c>
      <x:c r="Y78" s="21" t="str">
        <x:f>IF(C78="","",IF(AQ78&lt;&gt;"Ready","Unavailable",IF(C78="","",U78-W78+V78-X78+N78+AG78)))</x:f>
      </x:c>
      <x:c r="Z78" s="23" t="str">
        <x:f>IF(C78="","",IF(AQ78&lt;&gt;"Ready","Unavailable",IF(C78="","",(G78+O78+L78)/2*INDEX('Facilities'!$T$9:$T$108,MATCH(C78,'Facilities'!$C$9:$C$108,0))+AG78)))</x:f>
      </x:c>
      <x:c r="AA78" s="23" t="str">
        <x:f>IF(C78="","",IF(AQ78&lt;&gt;"Ready","Unavailable",IF(C78="","",O78*(1-IF(INDEX('Facilities'!$AA$9:$AA$108,MATCH(C78,'Facilities'!$C$9:$C$108,0))=0,0,MIN(1,INDEX('Facilities'!$X$9:$X$108,MATCH(C78,'Facilities'!$C$9:$C$108,0))/INDEX('Facilities'!$AA$9:$AA$108,MATCH(C78,'Facilities'!$C$9:$C$108,0)))))*AF78+P78*(1-IF(INDEX('Facilities'!$AA$9:$AA$108,MATCH(C78,'Facilities'!$C$9:$C$108,0))=0,0,MIN(1,INDEX('Facilities'!$X$9:$X$108,MATCH(C78,'Facilities'!$C$9:$C$108,0))/INDEX('Facilities'!$AA$9:$AA$108,MATCH(C78,'Facilities'!$C$9:$C$108,0)))))*INDEX('Facilities'!$AJ$9:$AJ$108,MATCH(C78,'Facilities'!$C$9:$C$108,0))+Q78*INDEX('Facilities'!$AI$9:$AI$108,MATCH(C78,'Facilities'!$C$9:$C$108,0))*AF78)))</x:f>
      </x:c>
      <x:c r="AB78" s="21" t="str">
        <x:f>IF(C78="","",O78+P78-AD78)</x:f>
      </x:c>
      <x:c r="AC78" s="23" t="str">
        <x:f>IF(C78="","",IFERROR(IF(INDEX('Facilities'!$AD$9:$AD$108,MATCH(C78,'Facilities'!$C$9:$C$108,0))=3,0,IF(INDEX('Facilities'!$AN$9:$AN$108,MATCH(C78,'Facilities'!$C$9:$C$108,0))=0,-1,INDEX('Facilities'!$AN$9:$AN$108,MATCH(C78,'Facilities'!$C$9:$C$108,0)))),"Unavailable"))</x:f>
      </x:c>
      <x:c r="AD78" s="21" t="str">
        <x:f>IF(C78="","",IFERROR(G78+H78,"Unavailable"))</x:f>
      </x:c>
      <x:c r="AE78" s="21" t="str">
        <x:f>IF(C78="","",IF(AQ78&lt;&gt;"Ready","Unavailable",IF(C78="","",O78+P78-AD78-J78+K78+M78+N78)))</x:f>
      </x:c>
      <x:c r="AF78" s="30" t="str">
        <x:f>IF(C78="","",IFERROR(INDEX('Facilities'!$S$9:$S$108,MATCH(C78,'Facilities'!$C$9:$C$108,0))*'Scenario Paths'!F75,"Unavailable"))</x:f>
      </x:c>
      <x:c r="AG78" s="23" t="str">
        <x:f>IF(C78="","",IF(AQ78&lt;&gt;"Ready","Unavailable",IF(C78="","",IF(H78&gt;0,MAX(0,H78-AK78)*((1+INDEX('Facilities'!$K$9:$K$108,MATCH(C78,'Facilities'!$C$9:$C$108,0)))^MIN(1,MAX(0,AC78+INDEX('Facilities'!$AK$9:$AK$108,MATCH(C78,'Facilities'!$C$9:$C$108,0))-D78+1))-1),0))))</x:f>
      </x:c>
      <x:c r="AH78" s="21" t="str">
        <x:f>IF(C78="","",IF(AQ78&lt;&gt;"Ready","Unavailable",IF(C78="","",O78+P78)))</x:f>
      </x:c>
      <x:c r="AI78" s="21" t="str">
        <x:f>IF(C78="","",IF(AQ78&lt;&gt;"Ready","Unavailable",IF(C78="","",Z78-Y78)))</x:f>
      </x:c>
      <x:c r="AJ78" s="23" t="str">
        <x:f>IF(C78="","",IFERROR(MAX(0,INDEX('Facilities'!$J$9:$J$108,MATCH(C78,'Facilities'!$C$9:$C$108,0))-D78),"Unavailable"))</x:f>
      </x:c>
      <x:c r="AK78" s="23" t="str">
        <x:f>IF(C78="","",IFERROR(IF(INDEX('Facilities'!$AD$9:$AD$108,MATCH(C78,'Facilities'!$C$9:$C$108,0))=3,W78,0),"Unavailable"))</x:f>
      </x:c>
      <x:c r="AL78" s="23" t="str">
        <x:f>IF(C78="","",IFERROR(IF(P78&gt;0,P78*(1-AM78/(1+INDEX('Facilities'!$K$9:$K$108,MATCH(C78,'Facilities'!$C$9:$C$108,0)))^MAX(0,AC78+INDEX('Facilities'!$AK$9:$AK$108,MATCH(C78,'Facilities'!$C$9:$C$108,0))-D78)),0),"Unavailable"))</x:f>
      </x:c>
      <x:c r="AM78" s="30" t="str">
        <x:f>IF(C78="","",IFERROR(INDEX('Facilities'!$AL$9:$AL$108,MATCH(C78,'Facilities'!$C$9:$C$108,0)),"Unavailable"))</x:f>
      </x:c>
      <x:c r="AN78" s="30" t="str">
        <x:f>IF(C78="","",IFERROR(INDEX(Credit!$T$9:$T$108,MATCH(F78,Credit!$C$9:$C$108,0)),"Unavailable"))</x:f>
      </x:c>
      <x:c r="AO78" s="23" t="str">
        <x:f>IF(C78="","",IF(AQ78&lt;&gt;"Ready","Unavailable",IF(C78="","",O78+P78+Q78*INDEX('Facilities'!$I$9:$I$108,MATCH(C78,'Facilities'!$C$9:$C$108,0)))))</x:f>
      </x:c>
      <x:c r="AP78" s="21" t="str">
        <x:f>IF(C78="","",IF(AQ78&lt;&gt;"Ready","Unavailable",IF(C78="","",AH78-U78)))</x:f>
      </x:c>
      <x:c r="AQ78" s="23" t="str">
        <x:f>IFERROR(IF(C78="","",IF(AND(INDEX('Facilities'!$AF$9:$AF$108,MATCH(C78,'Facilities'!$C$9:$C$108,0))="Ready",INDEX(Credit!$U$9:$U$108,MATCH(F78,Credit!$C$9:$C$108,0))="Ready",ISNUMBER(W78)),"Ready","Review inputs")),"Review inputs")</x:f>
      </x:c>
      <x:c r="AR78" s="23" t="str">
        <x:f>IF(C78="","",IF(AQ78&lt;&gt;"Ready","Unavailable",IF(C78="","",IF(O78=0,0,(IF(AJ78&lt;=1,O78,O78*INDEX('Facilities'!$R$9:$R$108,MATCH(C78,'Facilities'!$C$9:$C$108,0)))+O78*INDEX('Facilities'!$T$9:$T$108,MATCH(C78,'Facilities'!$C$9:$C$108,0)))/12))))</x:f>
      </x:c>
    </x:row>
    <x:row r="79" ht="26" customHeight="1">
      <x:c r="A79" s="1"/>
      <x:c r="B79" s="1"/>
      <x:c r="C79" s="9" t="str">
        <x:f>IF(Facilities!C79="","",Facilities!C79)</x:f>
      </x:c>
      <x:c r="D79" s="3" t="n">
        <x:v>1</x:v>
      </x:c>
      <x:c r="E79" s="9" t="n">
        <x:f>Settings!$F$18+0</x:f>
        <x:v>2027</x:v>
      </x:c>
      <x:c r="F79" s="9" t="str">
        <x:f>IF(C79="","",IFERROR(INDEX('Facilities'!$D$9:$D$108,MATCH(C79,'Facilities'!$C$9:$C$108,0)),"Unavailable"))</x:f>
      </x:c>
      <x:c r="G79" s="23" t="str">
        <x:f>IF(C79="","",IFERROR(IF(INDEX('Facilities'!$AD$9:$AD$108,MATCH(C79,'Facilities'!$C$9:$C$108,0))=3,0,INDEX('Facilities'!$AA$9:$AA$108,MATCH(C79,'Facilities'!$C$9:$C$108,0))),"Unavailable"))</x:f>
      </x:c>
      <x:c r="H79" s="23" t="str">
        <x:f>IF(C79="","",IFERROR(IF(INDEX('Facilities'!$AD$9:$AD$108,MATCH(C79,'Facilities'!$C$9:$C$108,0))=3,INDEX('Facilities'!$AA$9:$AA$108,MATCH(C79,'Facilities'!$C$9:$C$108,0)),0),"Unavailable"))</x:f>
      </x:c>
      <x:c r="I79" s="23" t="str">
        <x:f>IF(C79="","",IFERROR(INDEX('Facilities'!$AB$9:$AB$108,MATCH(C79,'Facilities'!$C$9:$C$108,0)),"Unavailable"))</x:f>
      </x:c>
      <x:c r="J79" s="23" t="str">
        <x:f>IF(C79="","",IFERROR(IF(OR(H79&gt;0,AND(AC79&gt;=0,AC79&lt;D79),D79&gt;INDEX('Facilities'!$J$9:$J$108,MATCH(C79,'Facilities'!$C$9:$C$108,0))),0,I79*'Scenario Paths'!F81),"Unavailable"))</x:f>
      </x:c>
      <x:c r="K79" s="23" t="str">
        <x:f>IF(C79="","",IFERROR(IF(OR(H79&gt;0,AND(AC79&gt;=0,AC79=D79)),0,IF(D79&gt;=INDEX('Facilities'!$J$9:$J$108,MATCH(C79,'Facilities'!$C$9:$C$108,0)),G79+J79,MIN(G79+J79,G79*INDEX('Facilities'!$R$9:$R$108,MATCH(C79,'Facilities'!$C$9:$C$108,0))))),"Unavailable"))</x:f>
      </x:c>
      <x:c r="L79" s="21" t="str">
        <x:f>IF(C79="","",IFERROR(IF(AND(AC79=D79,AC79&gt;0),MAX(0,G79+J79-K79),0),"Unavailable"))</x:f>
      </x:c>
      <x:c r="M79" s="23" t="str">
        <x:f>IF(C79="","",IFERROR(IF(AND(AC79&gt;=0,D79&gt;=AC79+INDEX('Facilities'!$AK$9:$AK$108,MATCH(C79,'Facilities'!$C$9:$C$108,0))),(H79+L79)*AM79,0),"Unavailable"))</x:f>
      </x:c>
      <x:c r="N79" s="23" t="str">
        <x:f>IF(C79="","",IFERROR(IF(AND(AC79&gt;=0,D79&gt;=AC79+INDEX('Facilities'!$AK$9:$AK$108,MATCH(C79,'Facilities'!$C$9:$C$108,0))),H79+L79-M79,0),"Unavailable"))</x:f>
      </x:c>
      <x:c r="O79" s="21" t="str">
        <x:f>IF(C79="","",IFERROR(MAX(0,G79+J79-K79-L79),"Unavailable"))</x:f>
      </x:c>
      <x:c r="P79" s="21" t="str">
        <x:f>IF(C79="","",IFERROR(MAX(0,H79+L79-M79-N79),"Unavailable"))</x:f>
      </x:c>
      <x:c r="Q79" s="23" t="str">
        <x:f>IF(C79="","",IFERROR(IF(OR(D79&gt;=INDEX('Facilities'!$J$9:$J$108,MATCH(C79,'Facilities'!$C$9:$C$108,0)),AND(AC79&gt;=0,AC79&lt;=D79)),0,MAX(0,I79-J79)),"Unavailable"))</x:f>
      </x:c>
      <x:c r="R79" s="30" t="str">
        <x:f>IF(C79="","",IFERROR(INDEX(Credit!$Q$9:$Q$108,MATCH(F79,Credit!$C$9:$C$108,0)),"Unavailable"))</x:f>
      </x:c>
      <x:c r="S79" s="30" t="str">
        <x:f>IF(C79="","",IFERROR(INDEX(Credit!$R$9:$R$108,MATCH(F79,Credit!$C$9:$C$108,0)),"Unavailable"))</x:f>
      </x:c>
      <x:c r="T79" s="23" t="str">
        <x:f>IF(C79="","",IFERROR(IF(P79&gt;0,3,IF(OR(INDEX('Facilities'!$AD$9:$AD$108,MATCH(C79,'Facilities'!$C$9:$C$108,0))=2,AND(R79&gt;=INDEX('Facilities'!$L$9:$L$108,MATCH(C79,'Facilities'!$C$9:$C$108,0))*Settings!$F$19,R79-INDEX('Facilities'!$L$9:$L$108,MATCH(C79,'Facilities'!$C$9:$C$108,0))&gt;=Settings!$F$20)),2,1)),"Unavailable"))</x:f>
      </x:c>
      <x:c r="U79" s="23" t="str">
        <x:f>IF(C79="","",IF(AQ79&lt;&gt;"Ready","Unavailable",IF(C79="","",O79*(1-(1-S79)/(1+INDEX('Facilities'!$K$9:$K$108,MATCH(C79,'Facilities'!$C$9:$C$108,0)))^INDEX('Facilities'!$AK$9:$AK$108,MATCH(C79,'Facilities'!$C$9:$C$108,0)))*R79/(1+INDEX('Facilities'!$K$9:$K$108,MATCH(C79,'Facilities'!$C$9:$C$108,0)))*IF(ABS(1-(1-R79)*(1-INDEX('Facilities'!$R$9:$R$108,MATCH(C79,'Facilities'!$C$9:$C$108,0)))/(1+INDEX('Facilities'!$K$9:$K$108,MATCH(C79,'Facilities'!$C$9:$C$108,0))))&lt;0.000000001,IF(T79=1,MIN(1,AJ79),AJ79),(1-((1-R79)*(1-INDEX('Facilities'!$R$9:$R$108,MATCH(C79,'Facilities'!$C$9:$C$108,0)))/(1+INDEX('Facilities'!$K$9:$K$108,MATCH(C79,'Facilities'!$C$9:$C$108,0))))^IF(T79=1,MIN(1,AJ79),AJ79))/(1-(1-R79)*(1-INDEX('Facilities'!$R$9:$R$108,MATCH(C79,'Facilities'!$C$9:$C$108,0)))/(1+INDEX('Facilities'!$K$9:$K$108,MATCH(C79,'Facilities'!$C$9:$C$108,0)))))+AL79)))</x:f>
      </x:c>
      <x:c r="V79" s="23" t="str">
        <x:f>IF(C79="","",IF(AQ79&lt;&gt;"Ready","Unavailable",IF(C79="","",Q79*INDEX('Facilities'!$I$9:$I$108,MATCH(C79,'Facilities'!$C$9:$C$108,0))*(1-(1-S79)/(1+INDEX('Facilities'!$K$9:$K$108,MATCH(C79,'Facilities'!$C$9:$C$108,0)))^INDEX('Facilities'!$AK$9:$AK$108,MATCH(C79,'Facilities'!$C$9:$C$108,0)))*R79/(1+INDEX('Facilities'!$K$9:$K$108,MATCH(C79,'Facilities'!$C$9:$C$108,0)))*IF(ABS(1-(1-R79)*(1-0)/(1+INDEX('Facilities'!$K$9:$K$108,MATCH(C79,'Facilities'!$C$9:$C$108,0))))&lt;0.000000001,IF(T79=1,MIN(1,AJ79),AJ79),(1-((1-R79)*(1-0)/(1+INDEX('Facilities'!$K$9:$K$108,MATCH(C79,'Facilities'!$C$9:$C$108,0))))^IF(T79=1,MIN(1,AJ79),AJ79))/(1-(1-R79)*(1-0)/(1+INDEX('Facilities'!$K$9:$K$108,MATCH(C79,'Facilities'!$C$9:$C$108,0))))))))</x:f>
      </x:c>
      <x:c r="W79" s="23" t="str">
        <x:f>IF(C79="","",IFERROR(INDEX(ECL!$AB$9:$AB$108,MATCH(C79,ECL!$C$9:$C$108,0)),"Unavailable"))</x:f>
      </x:c>
      <x:c r="X79" s="23" t="str">
        <x:f>IF(C79="","",IFERROR(INDEX(ECL!$AC$9:$AC$108,MATCH(C79,ECL!$C$9:$C$108,0)),"Unavailable"))</x:f>
      </x:c>
      <x:c r="Y79" s="21" t="str">
        <x:f>IF(C79="","",IF(AQ79&lt;&gt;"Ready","Unavailable",IF(C79="","",U79-W79+V79-X79+N79+AG79)))</x:f>
      </x:c>
      <x:c r="Z79" s="23" t="str">
        <x:f>IF(C79="","",IF(AQ79&lt;&gt;"Ready","Unavailable",IF(C79="","",(G79+O79+L79)/2*INDEX('Facilities'!$T$9:$T$108,MATCH(C79,'Facilities'!$C$9:$C$108,0))+AG79)))</x:f>
      </x:c>
      <x:c r="AA79" s="23" t="str">
        <x:f>IF(C79="","",IF(AQ79&lt;&gt;"Ready","Unavailable",IF(C79="","",O79*(1-IF(INDEX('Facilities'!$AA$9:$AA$108,MATCH(C79,'Facilities'!$C$9:$C$108,0))=0,0,MIN(1,INDEX('Facilities'!$X$9:$X$108,MATCH(C79,'Facilities'!$C$9:$C$108,0))/INDEX('Facilities'!$AA$9:$AA$108,MATCH(C79,'Facilities'!$C$9:$C$108,0)))))*AF79+P79*(1-IF(INDEX('Facilities'!$AA$9:$AA$108,MATCH(C79,'Facilities'!$C$9:$C$108,0))=0,0,MIN(1,INDEX('Facilities'!$X$9:$X$108,MATCH(C79,'Facilities'!$C$9:$C$108,0))/INDEX('Facilities'!$AA$9:$AA$108,MATCH(C79,'Facilities'!$C$9:$C$108,0)))))*INDEX('Facilities'!$AJ$9:$AJ$108,MATCH(C79,'Facilities'!$C$9:$C$108,0))+Q79*INDEX('Facilities'!$AI$9:$AI$108,MATCH(C79,'Facilities'!$C$9:$C$108,0))*AF79)))</x:f>
      </x:c>
      <x:c r="AB79" s="21" t="str">
        <x:f>IF(C79="","",O79+P79-AD79)</x:f>
      </x:c>
      <x:c r="AC79" s="23" t="str">
        <x:f>IF(C79="","",IFERROR(IF(INDEX('Facilities'!$AD$9:$AD$108,MATCH(C79,'Facilities'!$C$9:$C$108,0))=3,0,IF(INDEX('Facilities'!$AN$9:$AN$108,MATCH(C79,'Facilities'!$C$9:$C$108,0))=0,-1,INDEX('Facilities'!$AN$9:$AN$108,MATCH(C79,'Facilities'!$C$9:$C$108,0)))),"Unavailable"))</x:f>
      </x:c>
      <x:c r="AD79" s="21" t="str">
        <x:f>IF(C79="","",IFERROR(G79+H79,"Unavailable"))</x:f>
      </x:c>
      <x:c r="AE79" s="21" t="str">
        <x:f>IF(C79="","",IF(AQ79&lt;&gt;"Ready","Unavailable",IF(C79="","",O79+P79-AD79-J79+K79+M79+N79)))</x:f>
      </x:c>
      <x:c r="AF79" s="30" t="str">
        <x:f>IF(C79="","",IFERROR(INDEX('Facilities'!$S$9:$S$108,MATCH(C79,'Facilities'!$C$9:$C$108,0))*'Scenario Paths'!F75,"Unavailable"))</x:f>
      </x:c>
      <x:c r="AG79" s="23" t="str">
        <x:f>IF(C79="","",IF(AQ79&lt;&gt;"Ready","Unavailable",IF(C79="","",IF(H79&gt;0,MAX(0,H79-AK79)*((1+INDEX('Facilities'!$K$9:$K$108,MATCH(C79,'Facilities'!$C$9:$C$108,0)))^MIN(1,MAX(0,AC79+INDEX('Facilities'!$AK$9:$AK$108,MATCH(C79,'Facilities'!$C$9:$C$108,0))-D79+1))-1),0))))</x:f>
      </x:c>
      <x:c r="AH79" s="21" t="str">
        <x:f>IF(C79="","",IF(AQ79&lt;&gt;"Ready","Unavailable",IF(C79="","",O79+P79)))</x:f>
      </x:c>
      <x:c r="AI79" s="21" t="str">
        <x:f>IF(C79="","",IF(AQ79&lt;&gt;"Ready","Unavailable",IF(C79="","",Z79-Y79)))</x:f>
      </x:c>
      <x:c r="AJ79" s="23" t="str">
        <x:f>IF(C79="","",IFERROR(MAX(0,INDEX('Facilities'!$J$9:$J$108,MATCH(C79,'Facilities'!$C$9:$C$108,0))-D79),"Unavailable"))</x:f>
      </x:c>
      <x:c r="AK79" s="23" t="str">
        <x:f>IF(C79="","",IFERROR(IF(INDEX('Facilities'!$AD$9:$AD$108,MATCH(C79,'Facilities'!$C$9:$C$108,0))=3,W79,0),"Unavailable"))</x:f>
      </x:c>
      <x:c r="AL79" s="23" t="str">
        <x:f>IF(C79="","",IFERROR(IF(P79&gt;0,P79*(1-AM79/(1+INDEX('Facilities'!$K$9:$K$108,MATCH(C79,'Facilities'!$C$9:$C$108,0)))^MAX(0,AC79+INDEX('Facilities'!$AK$9:$AK$108,MATCH(C79,'Facilities'!$C$9:$C$108,0))-D79)),0),"Unavailable"))</x:f>
      </x:c>
      <x:c r="AM79" s="30" t="str">
        <x:f>IF(C79="","",IFERROR(INDEX('Facilities'!$AL$9:$AL$108,MATCH(C79,'Facilities'!$C$9:$C$108,0)),"Unavailable"))</x:f>
      </x:c>
      <x:c r="AN79" s="30" t="str">
        <x:f>IF(C79="","",IFERROR(INDEX(Credit!$T$9:$T$108,MATCH(F79,Credit!$C$9:$C$108,0)),"Unavailable"))</x:f>
      </x:c>
      <x:c r="AO79" s="23" t="str">
        <x:f>IF(C79="","",IF(AQ79&lt;&gt;"Ready","Unavailable",IF(C79="","",O79+P79+Q79*INDEX('Facilities'!$I$9:$I$108,MATCH(C79,'Facilities'!$C$9:$C$108,0)))))</x:f>
      </x:c>
      <x:c r="AP79" s="21" t="str">
        <x:f>IF(C79="","",IF(AQ79&lt;&gt;"Ready","Unavailable",IF(C79="","",AH79-U79)))</x:f>
      </x:c>
      <x:c r="AQ79" s="23" t="str">
        <x:f>IFERROR(IF(C79="","",IF(AND(INDEX('Facilities'!$AF$9:$AF$108,MATCH(C79,'Facilities'!$C$9:$C$108,0))="Ready",INDEX(Credit!$U$9:$U$108,MATCH(F79,Credit!$C$9:$C$108,0))="Ready",ISNUMBER(W79)),"Ready","Review inputs")),"Review inputs")</x:f>
      </x:c>
      <x:c r="AR79" s="23" t="str">
        <x:f>IF(C79="","",IF(AQ79&lt;&gt;"Ready","Unavailable",IF(C79="","",IF(O79=0,0,(IF(AJ79&lt;=1,O79,O79*INDEX('Facilities'!$R$9:$R$108,MATCH(C79,'Facilities'!$C$9:$C$108,0)))+O79*INDEX('Facilities'!$T$9:$T$108,MATCH(C79,'Facilities'!$C$9:$C$108,0)))/12))))</x:f>
      </x:c>
    </x:row>
    <x:row r="80" ht="26" customHeight="1">
      <x:c r="A80" s="1"/>
      <x:c r="B80" s="1"/>
      <x:c r="C80" s="9" t="str">
        <x:f>IF(Facilities!C80="","",Facilities!C80)</x:f>
      </x:c>
      <x:c r="D80" s="3" t="n">
        <x:v>1</x:v>
      </x:c>
      <x:c r="E80" s="9" t="n">
        <x:f>Settings!$F$18+0</x:f>
        <x:v>2027</x:v>
      </x:c>
      <x:c r="F80" s="9" t="str">
        <x:f>IF(C80="","",IFERROR(INDEX('Facilities'!$D$9:$D$108,MATCH(C80,'Facilities'!$C$9:$C$108,0)),"Unavailable"))</x:f>
      </x:c>
      <x:c r="G80" s="23" t="str">
        <x:f>IF(C80="","",IFERROR(IF(INDEX('Facilities'!$AD$9:$AD$108,MATCH(C80,'Facilities'!$C$9:$C$108,0))=3,0,INDEX('Facilities'!$AA$9:$AA$108,MATCH(C80,'Facilities'!$C$9:$C$108,0))),"Unavailable"))</x:f>
      </x:c>
      <x:c r="H80" s="23" t="str">
        <x:f>IF(C80="","",IFERROR(IF(INDEX('Facilities'!$AD$9:$AD$108,MATCH(C80,'Facilities'!$C$9:$C$108,0))=3,INDEX('Facilities'!$AA$9:$AA$108,MATCH(C80,'Facilities'!$C$9:$C$108,0)),0),"Unavailable"))</x:f>
      </x:c>
      <x:c r="I80" s="23" t="str">
        <x:f>IF(C80="","",IFERROR(INDEX('Facilities'!$AB$9:$AB$108,MATCH(C80,'Facilities'!$C$9:$C$108,0)),"Unavailable"))</x:f>
      </x:c>
      <x:c r="J80" s="23" t="str">
        <x:f>IF(C80="","",IFERROR(IF(OR(H80&gt;0,AND(AC80&gt;=0,AC80&lt;D80),D80&gt;INDEX('Facilities'!$J$9:$J$108,MATCH(C80,'Facilities'!$C$9:$C$108,0))),0,I80*'Scenario Paths'!F81),"Unavailable"))</x:f>
      </x:c>
      <x:c r="K80" s="23" t="str">
        <x:f>IF(C80="","",IFERROR(IF(OR(H80&gt;0,AND(AC80&gt;=0,AC80=D80)),0,IF(D80&gt;=INDEX('Facilities'!$J$9:$J$108,MATCH(C80,'Facilities'!$C$9:$C$108,0)),G80+J80,MIN(G80+J80,G80*INDEX('Facilities'!$R$9:$R$108,MATCH(C80,'Facilities'!$C$9:$C$108,0))))),"Unavailable"))</x:f>
      </x:c>
      <x:c r="L80" s="21" t="str">
        <x:f>IF(C80="","",IFERROR(IF(AND(AC80=D80,AC80&gt;0),MAX(0,G80+J80-K80),0),"Unavailable"))</x:f>
      </x:c>
      <x:c r="M80" s="23" t="str">
        <x:f>IF(C80="","",IFERROR(IF(AND(AC80&gt;=0,D80&gt;=AC80+INDEX('Facilities'!$AK$9:$AK$108,MATCH(C80,'Facilities'!$C$9:$C$108,0))),(H80+L80)*AM80,0),"Unavailable"))</x:f>
      </x:c>
      <x:c r="N80" s="23" t="str">
        <x:f>IF(C80="","",IFERROR(IF(AND(AC80&gt;=0,D80&gt;=AC80+INDEX('Facilities'!$AK$9:$AK$108,MATCH(C80,'Facilities'!$C$9:$C$108,0))),H80+L80-M80,0),"Unavailable"))</x:f>
      </x:c>
      <x:c r="O80" s="21" t="str">
        <x:f>IF(C80="","",IFERROR(MAX(0,G80+J80-K80-L80),"Unavailable"))</x:f>
      </x:c>
      <x:c r="P80" s="21" t="str">
        <x:f>IF(C80="","",IFERROR(MAX(0,H80+L80-M80-N80),"Unavailable"))</x:f>
      </x:c>
      <x:c r="Q80" s="23" t="str">
        <x:f>IF(C80="","",IFERROR(IF(OR(D80&gt;=INDEX('Facilities'!$J$9:$J$108,MATCH(C80,'Facilities'!$C$9:$C$108,0)),AND(AC80&gt;=0,AC80&lt;=D80)),0,MAX(0,I80-J80)),"Unavailable"))</x:f>
      </x:c>
      <x:c r="R80" s="30" t="str">
        <x:f>IF(C80="","",IFERROR(INDEX(Credit!$Q$9:$Q$108,MATCH(F80,Credit!$C$9:$C$108,0)),"Unavailable"))</x:f>
      </x:c>
      <x:c r="S80" s="30" t="str">
        <x:f>IF(C80="","",IFERROR(INDEX(Credit!$R$9:$R$108,MATCH(F80,Credit!$C$9:$C$108,0)),"Unavailable"))</x:f>
      </x:c>
      <x:c r="T80" s="23" t="str">
        <x:f>IF(C80="","",IFERROR(IF(P80&gt;0,3,IF(OR(INDEX('Facilities'!$AD$9:$AD$108,MATCH(C80,'Facilities'!$C$9:$C$108,0))=2,AND(R80&gt;=INDEX('Facilities'!$L$9:$L$108,MATCH(C80,'Facilities'!$C$9:$C$108,0))*Settings!$F$19,R80-INDEX('Facilities'!$L$9:$L$108,MATCH(C80,'Facilities'!$C$9:$C$108,0))&gt;=Settings!$F$20)),2,1)),"Unavailable"))</x:f>
      </x:c>
      <x:c r="U80" s="23" t="str">
        <x:f>IF(C80="","",IF(AQ80&lt;&gt;"Ready","Unavailable",IF(C80="","",O80*(1-(1-S80)/(1+INDEX('Facilities'!$K$9:$K$108,MATCH(C80,'Facilities'!$C$9:$C$108,0)))^INDEX('Facilities'!$AK$9:$AK$108,MATCH(C80,'Facilities'!$C$9:$C$108,0)))*R80/(1+INDEX('Facilities'!$K$9:$K$108,MATCH(C80,'Facilities'!$C$9:$C$108,0)))*IF(ABS(1-(1-R80)*(1-INDEX('Facilities'!$R$9:$R$108,MATCH(C80,'Facilities'!$C$9:$C$108,0)))/(1+INDEX('Facilities'!$K$9:$K$108,MATCH(C80,'Facilities'!$C$9:$C$108,0))))&lt;0.000000001,IF(T80=1,MIN(1,AJ80),AJ80),(1-((1-R80)*(1-INDEX('Facilities'!$R$9:$R$108,MATCH(C80,'Facilities'!$C$9:$C$108,0)))/(1+INDEX('Facilities'!$K$9:$K$108,MATCH(C80,'Facilities'!$C$9:$C$108,0))))^IF(T80=1,MIN(1,AJ80),AJ80))/(1-(1-R80)*(1-INDEX('Facilities'!$R$9:$R$108,MATCH(C80,'Facilities'!$C$9:$C$108,0)))/(1+INDEX('Facilities'!$K$9:$K$108,MATCH(C80,'Facilities'!$C$9:$C$108,0)))))+AL80)))</x:f>
      </x:c>
      <x:c r="V80" s="23" t="str">
        <x:f>IF(C80="","",IF(AQ80&lt;&gt;"Ready","Unavailable",IF(C80="","",Q80*INDEX('Facilities'!$I$9:$I$108,MATCH(C80,'Facilities'!$C$9:$C$108,0))*(1-(1-S80)/(1+INDEX('Facilities'!$K$9:$K$108,MATCH(C80,'Facilities'!$C$9:$C$108,0)))^INDEX('Facilities'!$AK$9:$AK$108,MATCH(C80,'Facilities'!$C$9:$C$108,0)))*R80/(1+INDEX('Facilities'!$K$9:$K$108,MATCH(C80,'Facilities'!$C$9:$C$108,0)))*IF(ABS(1-(1-R80)*(1-0)/(1+INDEX('Facilities'!$K$9:$K$108,MATCH(C80,'Facilities'!$C$9:$C$108,0))))&lt;0.000000001,IF(T80=1,MIN(1,AJ80),AJ80),(1-((1-R80)*(1-0)/(1+INDEX('Facilities'!$K$9:$K$108,MATCH(C80,'Facilities'!$C$9:$C$108,0))))^IF(T80=1,MIN(1,AJ80),AJ80))/(1-(1-R80)*(1-0)/(1+INDEX('Facilities'!$K$9:$K$108,MATCH(C80,'Facilities'!$C$9:$C$108,0))))))))</x:f>
      </x:c>
      <x:c r="W80" s="23" t="str">
        <x:f>IF(C80="","",IFERROR(INDEX(ECL!$AB$9:$AB$108,MATCH(C80,ECL!$C$9:$C$108,0)),"Unavailable"))</x:f>
      </x:c>
      <x:c r="X80" s="23" t="str">
        <x:f>IF(C80="","",IFERROR(INDEX(ECL!$AC$9:$AC$108,MATCH(C80,ECL!$C$9:$C$108,0)),"Unavailable"))</x:f>
      </x:c>
      <x:c r="Y80" s="21" t="str">
        <x:f>IF(C80="","",IF(AQ80&lt;&gt;"Ready","Unavailable",IF(C80="","",U80-W80+V80-X80+N80+AG80)))</x:f>
      </x:c>
      <x:c r="Z80" s="23" t="str">
        <x:f>IF(C80="","",IF(AQ80&lt;&gt;"Ready","Unavailable",IF(C80="","",(G80+O80+L80)/2*INDEX('Facilities'!$T$9:$T$108,MATCH(C80,'Facilities'!$C$9:$C$108,0))+AG80)))</x:f>
      </x:c>
      <x:c r="AA80" s="23" t="str">
        <x:f>IF(C80="","",IF(AQ80&lt;&gt;"Ready","Unavailable",IF(C80="","",O80*(1-IF(INDEX('Facilities'!$AA$9:$AA$108,MATCH(C80,'Facilities'!$C$9:$C$108,0))=0,0,MIN(1,INDEX('Facilities'!$X$9:$X$108,MATCH(C80,'Facilities'!$C$9:$C$108,0))/INDEX('Facilities'!$AA$9:$AA$108,MATCH(C80,'Facilities'!$C$9:$C$108,0)))))*AF80+P80*(1-IF(INDEX('Facilities'!$AA$9:$AA$108,MATCH(C80,'Facilities'!$C$9:$C$108,0))=0,0,MIN(1,INDEX('Facilities'!$X$9:$X$108,MATCH(C80,'Facilities'!$C$9:$C$108,0))/INDEX('Facilities'!$AA$9:$AA$108,MATCH(C80,'Facilities'!$C$9:$C$108,0)))))*INDEX('Facilities'!$AJ$9:$AJ$108,MATCH(C80,'Facilities'!$C$9:$C$108,0))+Q80*INDEX('Facilities'!$AI$9:$AI$108,MATCH(C80,'Facilities'!$C$9:$C$108,0))*AF80)))</x:f>
      </x:c>
      <x:c r="AB80" s="21" t="str">
        <x:f>IF(C80="","",O80+P80-AD80)</x:f>
      </x:c>
      <x:c r="AC80" s="23" t="str">
        <x:f>IF(C80="","",IFERROR(IF(INDEX('Facilities'!$AD$9:$AD$108,MATCH(C80,'Facilities'!$C$9:$C$108,0))=3,0,IF(INDEX('Facilities'!$AN$9:$AN$108,MATCH(C80,'Facilities'!$C$9:$C$108,0))=0,-1,INDEX('Facilities'!$AN$9:$AN$108,MATCH(C80,'Facilities'!$C$9:$C$108,0)))),"Unavailable"))</x:f>
      </x:c>
      <x:c r="AD80" s="21" t="str">
        <x:f>IF(C80="","",IFERROR(G80+H80,"Unavailable"))</x:f>
      </x:c>
      <x:c r="AE80" s="21" t="str">
        <x:f>IF(C80="","",IF(AQ80&lt;&gt;"Ready","Unavailable",IF(C80="","",O80+P80-AD80-J80+K80+M80+N80)))</x:f>
      </x:c>
      <x:c r="AF80" s="30" t="str">
        <x:f>IF(C80="","",IFERROR(INDEX('Facilities'!$S$9:$S$108,MATCH(C80,'Facilities'!$C$9:$C$108,0))*'Scenario Paths'!F75,"Unavailable"))</x:f>
      </x:c>
      <x:c r="AG80" s="23" t="str">
        <x:f>IF(C80="","",IF(AQ80&lt;&gt;"Ready","Unavailable",IF(C80="","",IF(H80&gt;0,MAX(0,H80-AK80)*((1+INDEX('Facilities'!$K$9:$K$108,MATCH(C80,'Facilities'!$C$9:$C$108,0)))^MIN(1,MAX(0,AC80+INDEX('Facilities'!$AK$9:$AK$108,MATCH(C80,'Facilities'!$C$9:$C$108,0))-D80+1))-1),0))))</x:f>
      </x:c>
      <x:c r="AH80" s="21" t="str">
        <x:f>IF(C80="","",IF(AQ80&lt;&gt;"Ready","Unavailable",IF(C80="","",O80+P80)))</x:f>
      </x:c>
      <x:c r="AI80" s="21" t="str">
        <x:f>IF(C80="","",IF(AQ80&lt;&gt;"Ready","Unavailable",IF(C80="","",Z80-Y80)))</x:f>
      </x:c>
      <x:c r="AJ80" s="23" t="str">
        <x:f>IF(C80="","",IFERROR(MAX(0,INDEX('Facilities'!$J$9:$J$108,MATCH(C80,'Facilities'!$C$9:$C$108,0))-D80),"Unavailable"))</x:f>
      </x:c>
      <x:c r="AK80" s="23" t="str">
        <x:f>IF(C80="","",IFERROR(IF(INDEX('Facilities'!$AD$9:$AD$108,MATCH(C80,'Facilities'!$C$9:$C$108,0))=3,W80,0),"Unavailable"))</x:f>
      </x:c>
      <x:c r="AL80" s="23" t="str">
        <x:f>IF(C80="","",IFERROR(IF(P80&gt;0,P80*(1-AM80/(1+INDEX('Facilities'!$K$9:$K$108,MATCH(C80,'Facilities'!$C$9:$C$108,0)))^MAX(0,AC80+INDEX('Facilities'!$AK$9:$AK$108,MATCH(C80,'Facilities'!$C$9:$C$108,0))-D80)),0),"Unavailable"))</x:f>
      </x:c>
      <x:c r="AM80" s="30" t="str">
        <x:f>IF(C80="","",IFERROR(INDEX('Facilities'!$AL$9:$AL$108,MATCH(C80,'Facilities'!$C$9:$C$108,0)),"Unavailable"))</x:f>
      </x:c>
      <x:c r="AN80" s="30" t="str">
        <x:f>IF(C80="","",IFERROR(INDEX(Credit!$T$9:$T$108,MATCH(F80,Credit!$C$9:$C$108,0)),"Unavailable"))</x:f>
      </x:c>
      <x:c r="AO80" s="23" t="str">
        <x:f>IF(C80="","",IF(AQ80&lt;&gt;"Ready","Unavailable",IF(C80="","",O80+P80+Q80*INDEX('Facilities'!$I$9:$I$108,MATCH(C80,'Facilities'!$C$9:$C$108,0)))))</x:f>
      </x:c>
      <x:c r="AP80" s="21" t="str">
        <x:f>IF(C80="","",IF(AQ80&lt;&gt;"Ready","Unavailable",IF(C80="","",AH80-U80)))</x:f>
      </x:c>
      <x:c r="AQ80" s="23" t="str">
        <x:f>IFERROR(IF(C80="","",IF(AND(INDEX('Facilities'!$AF$9:$AF$108,MATCH(C80,'Facilities'!$C$9:$C$108,0))="Ready",INDEX(Credit!$U$9:$U$108,MATCH(F80,Credit!$C$9:$C$108,0))="Ready",ISNUMBER(W80)),"Ready","Review inputs")),"Review inputs")</x:f>
      </x:c>
      <x:c r="AR80" s="23" t="str">
        <x:f>IF(C80="","",IF(AQ80&lt;&gt;"Ready","Unavailable",IF(C80="","",IF(O80=0,0,(IF(AJ80&lt;=1,O80,O80*INDEX('Facilities'!$R$9:$R$108,MATCH(C80,'Facilities'!$C$9:$C$108,0)))+O80*INDEX('Facilities'!$T$9:$T$108,MATCH(C80,'Facilities'!$C$9:$C$108,0)))/12))))</x:f>
      </x:c>
    </x:row>
    <x:row r="81" ht="26" customHeight="1">
      <x:c r="A81" s="1"/>
      <x:c r="B81" s="1"/>
      <x:c r="C81" s="9" t="str">
        <x:f>IF(Facilities!C81="","",Facilities!C81)</x:f>
      </x:c>
      <x:c r="D81" s="3" t="n">
        <x:v>1</x:v>
      </x:c>
      <x:c r="E81" s="9" t="n">
        <x:f>Settings!$F$18+0</x:f>
        <x:v>2027</x:v>
      </x:c>
      <x:c r="F81" s="9" t="str">
        <x:f>IF(C81="","",IFERROR(INDEX('Facilities'!$D$9:$D$108,MATCH(C81,'Facilities'!$C$9:$C$108,0)),"Unavailable"))</x:f>
      </x:c>
      <x:c r="G81" s="23" t="str">
        <x:f>IF(C81="","",IFERROR(IF(INDEX('Facilities'!$AD$9:$AD$108,MATCH(C81,'Facilities'!$C$9:$C$108,0))=3,0,INDEX('Facilities'!$AA$9:$AA$108,MATCH(C81,'Facilities'!$C$9:$C$108,0))),"Unavailable"))</x:f>
      </x:c>
      <x:c r="H81" s="23" t="str">
        <x:f>IF(C81="","",IFERROR(IF(INDEX('Facilities'!$AD$9:$AD$108,MATCH(C81,'Facilities'!$C$9:$C$108,0))=3,INDEX('Facilities'!$AA$9:$AA$108,MATCH(C81,'Facilities'!$C$9:$C$108,0)),0),"Unavailable"))</x:f>
      </x:c>
      <x:c r="I81" s="23" t="str">
        <x:f>IF(C81="","",IFERROR(INDEX('Facilities'!$AB$9:$AB$108,MATCH(C81,'Facilities'!$C$9:$C$108,0)),"Unavailable"))</x:f>
      </x:c>
      <x:c r="J81" s="23" t="str">
        <x:f>IF(C81="","",IFERROR(IF(OR(H81&gt;0,AND(AC81&gt;=0,AC81&lt;D81),D81&gt;INDEX('Facilities'!$J$9:$J$108,MATCH(C81,'Facilities'!$C$9:$C$108,0))),0,I81*'Scenario Paths'!F81),"Unavailable"))</x:f>
      </x:c>
      <x:c r="K81" s="23" t="str">
        <x:f>IF(C81="","",IFERROR(IF(OR(H81&gt;0,AND(AC81&gt;=0,AC81=D81)),0,IF(D81&gt;=INDEX('Facilities'!$J$9:$J$108,MATCH(C81,'Facilities'!$C$9:$C$108,0)),G81+J81,MIN(G81+J81,G81*INDEX('Facilities'!$R$9:$R$108,MATCH(C81,'Facilities'!$C$9:$C$108,0))))),"Unavailable"))</x:f>
      </x:c>
      <x:c r="L81" s="21" t="str">
        <x:f>IF(C81="","",IFERROR(IF(AND(AC81=D81,AC81&gt;0),MAX(0,G81+J81-K81),0),"Unavailable"))</x:f>
      </x:c>
      <x:c r="M81" s="23" t="str">
        <x:f>IF(C81="","",IFERROR(IF(AND(AC81&gt;=0,D81&gt;=AC81+INDEX('Facilities'!$AK$9:$AK$108,MATCH(C81,'Facilities'!$C$9:$C$108,0))),(H81+L81)*AM81,0),"Unavailable"))</x:f>
      </x:c>
      <x:c r="N81" s="23" t="str">
        <x:f>IF(C81="","",IFERROR(IF(AND(AC81&gt;=0,D81&gt;=AC81+INDEX('Facilities'!$AK$9:$AK$108,MATCH(C81,'Facilities'!$C$9:$C$108,0))),H81+L81-M81,0),"Unavailable"))</x:f>
      </x:c>
      <x:c r="O81" s="21" t="str">
        <x:f>IF(C81="","",IFERROR(MAX(0,G81+J81-K81-L81),"Unavailable"))</x:f>
      </x:c>
      <x:c r="P81" s="21" t="str">
        <x:f>IF(C81="","",IFERROR(MAX(0,H81+L81-M81-N81),"Unavailable"))</x:f>
      </x:c>
      <x:c r="Q81" s="23" t="str">
        <x:f>IF(C81="","",IFERROR(IF(OR(D81&gt;=INDEX('Facilities'!$J$9:$J$108,MATCH(C81,'Facilities'!$C$9:$C$108,0)),AND(AC81&gt;=0,AC81&lt;=D81)),0,MAX(0,I81-J81)),"Unavailable"))</x:f>
      </x:c>
      <x:c r="R81" s="30" t="str">
        <x:f>IF(C81="","",IFERROR(INDEX(Credit!$Q$9:$Q$108,MATCH(F81,Credit!$C$9:$C$108,0)),"Unavailable"))</x:f>
      </x:c>
      <x:c r="S81" s="30" t="str">
        <x:f>IF(C81="","",IFERROR(INDEX(Credit!$R$9:$R$108,MATCH(F81,Credit!$C$9:$C$108,0)),"Unavailable"))</x:f>
      </x:c>
      <x:c r="T81" s="23" t="str">
        <x:f>IF(C81="","",IFERROR(IF(P81&gt;0,3,IF(OR(INDEX('Facilities'!$AD$9:$AD$108,MATCH(C81,'Facilities'!$C$9:$C$108,0))=2,AND(R81&gt;=INDEX('Facilities'!$L$9:$L$108,MATCH(C81,'Facilities'!$C$9:$C$108,0))*Settings!$F$19,R81-INDEX('Facilities'!$L$9:$L$108,MATCH(C81,'Facilities'!$C$9:$C$108,0))&gt;=Settings!$F$20)),2,1)),"Unavailable"))</x:f>
      </x:c>
      <x:c r="U81" s="23" t="str">
        <x:f>IF(C81="","",IF(AQ81&lt;&gt;"Ready","Unavailable",IF(C81="","",O81*(1-(1-S81)/(1+INDEX('Facilities'!$K$9:$K$108,MATCH(C81,'Facilities'!$C$9:$C$108,0)))^INDEX('Facilities'!$AK$9:$AK$108,MATCH(C81,'Facilities'!$C$9:$C$108,0)))*R81/(1+INDEX('Facilities'!$K$9:$K$108,MATCH(C81,'Facilities'!$C$9:$C$108,0)))*IF(ABS(1-(1-R81)*(1-INDEX('Facilities'!$R$9:$R$108,MATCH(C81,'Facilities'!$C$9:$C$108,0)))/(1+INDEX('Facilities'!$K$9:$K$108,MATCH(C81,'Facilities'!$C$9:$C$108,0))))&lt;0.000000001,IF(T81=1,MIN(1,AJ81),AJ81),(1-((1-R81)*(1-INDEX('Facilities'!$R$9:$R$108,MATCH(C81,'Facilities'!$C$9:$C$108,0)))/(1+INDEX('Facilities'!$K$9:$K$108,MATCH(C81,'Facilities'!$C$9:$C$108,0))))^IF(T81=1,MIN(1,AJ81),AJ81))/(1-(1-R81)*(1-INDEX('Facilities'!$R$9:$R$108,MATCH(C81,'Facilities'!$C$9:$C$108,0)))/(1+INDEX('Facilities'!$K$9:$K$108,MATCH(C81,'Facilities'!$C$9:$C$108,0)))))+AL81)))</x:f>
      </x:c>
      <x:c r="V81" s="23" t="str">
        <x:f>IF(C81="","",IF(AQ81&lt;&gt;"Ready","Unavailable",IF(C81="","",Q81*INDEX('Facilities'!$I$9:$I$108,MATCH(C81,'Facilities'!$C$9:$C$108,0))*(1-(1-S81)/(1+INDEX('Facilities'!$K$9:$K$108,MATCH(C81,'Facilities'!$C$9:$C$108,0)))^INDEX('Facilities'!$AK$9:$AK$108,MATCH(C81,'Facilities'!$C$9:$C$108,0)))*R81/(1+INDEX('Facilities'!$K$9:$K$108,MATCH(C81,'Facilities'!$C$9:$C$108,0)))*IF(ABS(1-(1-R81)*(1-0)/(1+INDEX('Facilities'!$K$9:$K$108,MATCH(C81,'Facilities'!$C$9:$C$108,0))))&lt;0.000000001,IF(T81=1,MIN(1,AJ81),AJ81),(1-((1-R81)*(1-0)/(1+INDEX('Facilities'!$K$9:$K$108,MATCH(C81,'Facilities'!$C$9:$C$108,0))))^IF(T81=1,MIN(1,AJ81),AJ81))/(1-(1-R81)*(1-0)/(1+INDEX('Facilities'!$K$9:$K$108,MATCH(C81,'Facilities'!$C$9:$C$108,0))))))))</x:f>
      </x:c>
      <x:c r="W81" s="23" t="str">
        <x:f>IF(C81="","",IFERROR(INDEX(ECL!$AB$9:$AB$108,MATCH(C81,ECL!$C$9:$C$108,0)),"Unavailable"))</x:f>
      </x:c>
      <x:c r="X81" s="23" t="str">
        <x:f>IF(C81="","",IFERROR(INDEX(ECL!$AC$9:$AC$108,MATCH(C81,ECL!$C$9:$C$108,0)),"Unavailable"))</x:f>
      </x:c>
      <x:c r="Y81" s="21" t="str">
        <x:f>IF(C81="","",IF(AQ81&lt;&gt;"Ready","Unavailable",IF(C81="","",U81-W81+V81-X81+N81+AG81)))</x:f>
      </x:c>
      <x:c r="Z81" s="23" t="str">
        <x:f>IF(C81="","",IF(AQ81&lt;&gt;"Ready","Unavailable",IF(C81="","",(G81+O81+L81)/2*INDEX('Facilities'!$T$9:$T$108,MATCH(C81,'Facilities'!$C$9:$C$108,0))+AG81)))</x:f>
      </x:c>
      <x:c r="AA81" s="23" t="str">
        <x:f>IF(C81="","",IF(AQ81&lt;&gt;"Ready","Unavailable",IF(C81="","",O81*(1-IF(INDEX('Facilities'!$AA$9:$AA$108,MATCH(C81,'Facilities'!$C$9:$C$108,0))=0,0,MIN(1,INDEX('Facilities'!$X$9:$X$108,MATCH(C81,'Facilities'!$C$9:$C$108,0))/INDEX('Facilities'!$AA$9:$AA$108,MATCH(C81,'Facilities'!$C$9:$C$108,0)))))*AF81+P81*(1-IF(INDEX('Facilities'!$AA$9:$AA$108,MATCH(C81,'Facilities'!$C$9:$C$108,0))=0,0,MIN(1,INDEX('Facilities'!$X$9:$X$108,MATCH(C81,'Facilities'!$C$9:$C$108,0))/INDEX('Facilities'!$AA$9:$AA$108,MATCH(C81,'Facilities'!$C$9:$C$108,0)))))*INDEX('Facilities'!$AJ$9:$AJ$108,MATCH(C81,'Facilities'!$C$9:$C$108,0))+Q81*INDEX('Facilities'!$AI$9:$AI$108,MATCH(C81,'Facilities'!$C$9:$C$108,0))*AF81)))</x:f>
      </x:c>
      <x:c r="AB81" s="21" t="str">
        <x:f>IF(C81="","",O81+P81-AD81)</x:f>
      </x:c>
      <x:c r="AC81" s="23" t="str">
        <x:f>IF(C81="","",IFERROR(IF(INDEX('Facilities'!$AD$9:$AD$108,MATCH(C81,'Facilities'!$C$9:$C$108,0))=3,0,IF(INDEX('Facilities'!$AN$9:$AN$108,MATCH(C81,'Facilities'!$C$9:$C$108,0))=0,-1,INDEX('Facilities'!$AN$9:$AN$108,MATCH(C81,'Facilities'!$C$9:$C$108,0)))),"Unavailable"))</x:f>
      </x:c>
      <x:c r="AD81" s="21" t="str">
        <x:f>IF(C81="","",IFERROR(G81+H81,"Unavailable"))</x:f>
      </x:c>
      <x:c r="AE81" s="21" t="str">
        <x:f>IF(C81="","",IF(AQ81&lt;&gt;"Ready","Unavailable",IF(C81="","",O81+P81-AD81-J81+K81+M81+N81)))</x:f>
      </x:c>
      <x:c r="AF81" s="30" t="str">
        <x:f>IF(C81="","",IFERROR(INDEX('Facilities'!$S$9:$S$108,MATCH(C81,'Facilities'!$C$9:$C$108,0))*'Scenario Paths'!F75,"Unavailable"))</x:f>
      </x:c>
      <x:c r="AG81" s="23" t="str">
        <x:f>IF(C81="","",IF(AQ81&lt;&gt;"Ready","Unavailable",IF(C81="","",IF(H81&gt;0,MAX(0,H81-AK81)*((1+INDEX('Facilities'!$K$9:$K$108,MATCH(C81,'Facilities'!$C$9:$C$108,0)))^MIN(1,MAX(0,AC81+INDEX('Facilities'!$AK$9:$AK$108,MATCH(C81,'Facilities'!$C$9:$C$108,0))-D81+1))-1),0))))</x:f>
      </x:c>
      <x:c r="AH81" s="21" t="str">
        <x:f>IF(C81="","",IF(AQ81&lt;&gt;"Ready","Unavailable",IF(C81="","",O81+P81)))</x:f>
      </x:c>
      <x:c r="AI81" s="21" t="str">
        <x:f>IF(C81="","",IF(AQ81&lt;&gt;"Ready","Unavailable",IF(C81="","",Z81-Y81)))</x:f>
      </x:c>
      <x:c r="AJ81" s="23" t="str">
        <x:f>IF(C81="","",IFERROR(MAX(0,INDEX('Facilities'!$J$9:$J$108,MATCH(C81,'Facilities'!$C$9:$C$108,0))-D81),"Unavailable"))</x:f>
      </x:c>
      <x:c r="AK81" s="23" t="str">
        <x:f>IF(C81="","",IFERROR(IF(INDEX('Facilities'!$AD$9:$AD$108,MATCH(C81,'Facilities'!$C$9:$C$108,0))=3,W81,0),"Unavailable"))</x:f>
      </x:c>
      <x:c r="AL81" s="23" t="str">
        <x:f>IF(C81="","",IFERROR(IF(P81&gt;0,P81*(1-AM81/(1+INDEX('Facilities'!$K$9:$K$108,MATCH(C81,'Facilities'!$C$9:$C$108,0)))^MAX(0,AC81+INDEX('Facilities'!$AK$9:$AK$108,MATCH(C81,'Facilities'!$C$9:$C$108,0))-D81)),0),"Unavailable"))</x:f>
      </x:c>
      <x:c r="AM81" s="30" t="str">
        <x:f>IF(C81="","",IFERROR(INDEX('Facilities'!$AL$9:$AL$108,MATCH(C81,'Facilities'!$C$9:$C$108,0)),"Unavailable"))</x:f>
      </x:c>
      <x:c r="AN81" s="30" t="str">
        <x:f>IF(C81="","",IFERROR(INDEX(Credit!$T$9:$T$108,MATCH(F81,Credit!$C$9:$C$108,0)),"Unavailable"))</x:f>
      </x:c>
      <x:c r="AO81" s="23" t="str">
        <x:f>IF(C81="","",IF(AQ81&lt;&gt;"Ready","Unavailable",IF(C81="","",O81+P81+Q81*INDEX('Facilities'!$I$9:$I$108,MATCH(C81,'Facilities'!$C$9:$C$108,0)))))</x:f>
      </x:c>
      <x:c r="AP81" s="21" t="str">
        <x:f>IF(C81="","",IF(AQ81&lt;&gt;"Ready","Unavailable",IF(C81="","",AH81-U81)))</x:f>
      </x:c>
      <x:c r="AQ81" s="23" t="str">
        <x:f>IFERROR(IF(C81="","",IF(AND(INDEX('Facilities'!$AF$9:$AF$108,MATCH(C81,'Facilities'!$C$9:$C$108,0))="Ready",INDEX(Credit!$U$9:$U$108,MATCH(F81,Credit!$C$9:$C$108,0))="Ready",ISNUMBER(W81)),"Ready","Review inputs")),"Review inputs")</x:f>
      </x:c>
      <x:c r="AR81" s="23" t="str">
        <x:f>IF(C81="","",IF(AQ81&lt;&gt;"Ready","Unavailable",IF(C81="","",IF(O81=0,0,(IF(AJ81&lt;=1,O81,O81*INDEX('Facilities'!$R$9:$R$108,MATCH(C81,'Facilities'!$C$9:$C$108,0)))+O81*INDEX('Facilities'!$T$9:$T$108,MATCH(C81,'Facilities'!$C$9:$C$108,0)))/12))))</x:f>
      </x:c>
    </x:row>
    <x:row r="82" ht="26" customHeight="1">
      <x:c r="A82" s="1"/>
      <x:c r="B82" s="1"/>
      <x:c r="C82" s="9" t="str">
        <x:f>IF(Facilities!C82="","",Facilities!C82)</x:f>
      </x:c>
      <x:c r="D82" s="3" t="n">
        <x:v>1</x:v>
      </x:c>
      <x:c r="E82" s="9" t="n">
        <x:f>Settings!$F$18+0</x:f>
        <x:v>2027</x:v>
      </x:c>
      <x:c r="F82" s="9" t="str">
        <x:f>IF(C82="","",IFERROR(INDEX('Facilities'!$D$9:$D$108,MATCH(C82,'Facilities'!$C$9:$C$108,0)),"Unavailable"))</x:f>
      </x:c>
      <x:c r="G82" s="23" t="str">
        <x:f>IF(C82="","",IFERROR(IF(INDEX('Facilities'!$AD$9:$AD$108,MATCH(C82,'Facilities'!$C$9:$C$108,0))=3,0,INDEX('Facilities'!$AA$9:$AA$108,MATCH(C82,'Facilities'!$C$9:$C$108,0))),"Unavailable"))</x:f>
      </x:c>
      <x:c r="H82" s="23" t="str">
        <x:f>IF(C82="","",IFERROR(IF(INDEX('Facilities'!$AD$9:$AD$108,MATCH(C82,'Facilities'!$C$9:$C$108,0))=3,INDEX('Facilities'!$AA$9:$AA$108,MATCH(C82,'Facilities'!$C$9:$C$108,0)),0),"Unavailable"))</x:f>
      </x:c>
      <x:c r="I82" s="23" t="str">
        <x:f>IF(C82="","",IFERROR(INDEX('Facilities'!$AB$9:$AB$108,MATCH(C82,'Facilities'!$C$9:$C$108,0)),"Unavailable"))</x:f>
      </x:c>
      <x:c r="J82" s="23" t="str">
        <x:f>IF(C82="","",IFERROR(IF(OR(H82&gt;0,AND(AC82&gt;=0,AC82&lt;D82),D82&gt;INDEX('Facilities'!$J$9:$J$108,MATCH(C82,'Facilities'!$C$9:$C$108,0))),0,I82*'Scenario Paths'!F81),"Unavailable"))</x:f>
      </x:c>
      <x:c r="K82" s="23" t="str">
        <x:f>IF(C82="","",IFERROR(IF(OR(H82&gt;0,AND(AC82&gt;=0,AC82=D82)),0,IF(D82&gt;=INDEX('Facilities'!$J$9:$J$108,MATCH(C82,'Facilities'!$C$9:$C$108,0)),G82+J82,MIN(G82+J82,G82*INDEX('Facilities'!$R$9:$R$108,MATCH(C82,'Facilities'!$C$9:$C$108,0))))),"Unavailable"))</x:f>
      </x:c>
      <x:c r="L82" s="21" t="str">
        <x:f>IF(C82="","",IFERROR(IF(AND(AC82=D82,AC82&gt;0),MAX(0,G82+J82-K82),0),"Unavailable"))</x:f>
      </x:c>
      <x:c r="M82" s="23" t="str">
        <x:f>IF(C82="","",IFERROR(IF(AND(AC82&gt;=0,D82&gt;=AC82+INDEX('Facilities'!$AK$9:$AK$108,MATCH(C82,'Facilities'!$C$9:$C$108,0))),(H82+L82)*AM82,0),"Unavailable"))</x:f>
      </x:c>
      <x:c r="N82" s="23" t="str">
        <x:f>IF(C82="","",IFERROR(IF(AND(AC82&gt;=0,D82&gt;=AC82+INDEX('Facilities'!$AK$9:$AK$108,MATCH(C82,'Facilities'!$C$9:$C$108,0))),H82+L82-M82,0),"Unavailable"))</x:f>
      </x:c>
      <x:c r="O82" s="21" t="str">
        <x:f>IF(C82="","",IFERROR(MAX(0,G82+J82-K82-L82),"Unavailable"))</x:f>
      </x:c>
      <x:c r="P82" s="21" t="str">
        <x:f>IF(C82="","",IFERROR(MAX(0,H82+L82-M82-N82),"Unavailable"))</x:f>
      </x:c>
      <x:c r="Q82" s="23" t="str">
        <x:f>IF(C82="","",IFERROR(IF(OR(D82&gt;=INDEX('Facilities'!$J$9:$J$108,MATCH(C82,'Facilities'!$C$9:$C$108,0)),AND(AC82&gt;=0,AC82&lt;=D82)),0,MAX(0,I82-J82)),"Unavailable"))</x:f>
      </x:c>
      <x:c r="R82" s="30" t="str">
        <x:f>IF(C82="","",IFERROR(INDEX(Credit!$Q$9:$Q$108,MATCH(F82,Credit!$C$9:$C$108,0)),"Unavailable"))</x:f>
      </x:c>
      <x:c r="S82" s="30" t="str">
        <x:f>IF(C82="","",IFERROR(INDEX(Credit!$R$9:$R$108,MATCH(F82,Credit!$C$9:$C$108,0)),"Unavailable"))</x:f>
      </x:c>
      <x:c r="T82" s="23" t="str">
        <x:f>IF(C82="","",IFERROR(IF(P82&gt;0,3,IF(OR(INDEX('Facilities'!$AD$9:$AD$108,MATCH(C82,'Facilities'!$C$9:$C$108,0))=2,AND(R82&gt;=INDEX('Facilities'!$L$9:$L$108,MATCH(C82,'Facilities'!$C$9:$C$108,0))*Settings!$F$19,R82-INDEX('Facilities'!$L$9:$L$108,MATCH(C82,'Facilities'!$C$9:$C$108,0))&gt;=Settings!$F$20)),2,1)),"Unavailable"))</x:f>
      </x:c>
      <x:c r="U82" s="23" t="str">
        <x:f>IF(C82="","",IF(AQ82&lt;&gt;"Ready","Unavailable",IF(C82="","",O82*(1-(1-S82)/(1+INDEX('Facilities'!$K$9:$K$108,MATCH(C82,'Facilities'!$C$9:$C$108,0)))^INDEX('Facilities'!$AK$9:$AK$108,MATCH(C82,'Facilities'!$C$9:$C$108,0)))*R82/(1+INDEX('Facilities'!$K$9:$K$108,MATCH(C82,'Facilities'!$C$9:$C$108,0)))*IF(ABS(1-(1-R82)*(1-INDEX('Facilities'!$R$9:$R$108,MATCH(C82,'Facilities'!$C$9:$C$108,0)))/(1+INDEX('Facilities'!$K$9:$K$108,MATCH(C82,'Facilities'!$C$9:$C$108,0))))&lt;0.000000001,IF(T82=1,MIN(1,AJ82),AJ82),(1-((1-R82)*(1-INDEX('Facilities'!$R$9:$R$108,MATCH(C82,'Facilities'!$C$9:$C$108,0)))/(1+INDEX('Facilities'!$K$9:$K$108,MATCH(C82,'Facilities'!$C$9:$C$108,0))))^IF(T82=1,MIN(1,AJ82),AJ82))/(1-(1-R82)*(1-INDEX('Facilities'!$R$9:$R$108,MATCH(C82,'Facilities'!$C$9:$C$108,0)))/(1+INDEX('Facilities'!$K$9:$K$108,MATCH(C82,'Facilities'!$C$9:$C$108,0)))))+AL82)))</x:f>
      </x:c>
      <x:c r="V82" s="23" t="str">
        <x:f>IF(C82="","",IF(AQ82&lt;&gt;"Ready","Unavailable",IF(C82="","",Q82*INDEX('Facilities'!$I$9:$I$108,MATCH(C82,'Facilities'!$C$9:$C$108,0))*(1-(1-S82)/(1+INDEX('Facilities'!$K$9:$K$108,MATCH(C82,'Facilities'!$C$9:$C$108,0)))^INDEX('Facilities'!$AK$9:$AK$108,MATCH(C82,'Facilities'!$C$9:$C$108,0)))*R82/(1+INDEX('Facilities'!$K$9:$K$108,MATCH(C82,'Facilities'!$C$9:$C$108,0)))*IF(ABS(1-(1-R82)*(1-0)/(1+INDEX('Facilities'!$K$9:$K$108,MATCH(C82,'Facilities'!$C$9:$C$108,0))))&lt;0.000000001,IF(T82=1,MIN(1,AJ82),AJ82),(1-((1-R82)*(1-0)/(1+INDEX('Facilities'!$K$9:$K$108,MATCH(C82,'Facilities'!$C$9:$C$108,0))))^IF(T82=1,MIN(1,AJ82),AJ82))/(1-(1-R82)*(1-0)/(1+INDEX('Facilities'!$K$9:$K$108,MATCH(C82,'Facilities'!$C$9:$C$108,0))))))))</x:f>
      </x:c>
      <x:c r="W82" s="23" t="str">
        <x:f>IF(C82="","",IFERROR(INDEX(ECL!$AB$9:$AB$108,MATCH(C82,ECL!$C$9:$C$108,0)),"Unavailable"))</x:f>
      </x:c>
      <x:c r="X82" s="23" t="str">
        <x:f>IF(C82="","",IFERROR(INDEX(ECL!$AC$9:$AC$108,MATCH(C82,ECL!$C$9:$C$108,0)),"Unavailable"))</x:f>
      </x:c>
      <x:c r="Y82" s="21" t="str">
        <x:f>IF(C82="","",IF(AQ82&lt;&gt;"Ready","Unavailable",IF(C82="","",U82-W82+V82-X82+N82+AG82)))</x:f>
      </x:c>
      <x:c r="Z82" s="23" t="str">
        <x:f>IF(C82="","",IF(AQ82&lt;&gt;"Ready","Unavailable",IF(C82="","",(G82+O82+L82)/2*INDEX('Facilities'!$T$9:$T$108,MATCH(C82,'Facilities'!$C$9:$C$108,0))+AG82)))</x:f>
      </x:c>
      <x:c r="AA82" s="23" t="str">
        <x:f>IF(C82="","",IF(AQ82&lt;&gt;"Ready","Unavailable",IF(C82="","",O82*(1-IF(INDEX('Facilities'!$AA$9:$AA$108,MATCH(C82,'Facilities'!$C$9:$C$108,0))=0,0,MIN(1,INDEX('Facilities'!$X$9:$X$108,MATCH(C82,'Facilities'!$C$9:$C$108,0))/INDEX('Facilities'!$AA$9:$AA$108,MATCH(C82,'Facilities'!$C$9:$C$108,0)))))*AF82+P82*(1-IF(INDEX('Facilities'!$AA$9:$AA$108,MATCH(C82,'Facilities'!$C$9:$C$108,0))=0,0,MIN(1,INDEX('Facilities'!$X$9:$X$108,MATCH(C82,'Facilities'!$C$9:$C$108,0))/INDEX('Facilities'!$AA$9:$AA$108,MATCH(C82,'Facilities'!$C$9:$C$108,0)))))*INDEX('Facilities'!$AJ$9:$AJ$108,MATCH(C82,'Facilities'!$C$9:$C$108,0))+Q82*INDEX('Facilities'!$AI$9:$AI$108,MATCH(C82,'Facilities'!$C$9:$C$108,0))*AF82)))</x:f>
      </x:c>
      <x:c r="AB82" s="21" t="str">
        <x:f>IF(C82="","",O82+P82-AD82)</x:f>
      </x:c>
      <x:c r="AC82" s="23" t="str">
        <x:f>IF(C82="","",IFERROR(IF(INDEX('Facilities'!$AD$9:$AD$108,MATCH(C82,'Facilities'!$C$9:$C$108,0))=3,0,IF(INDEX('Facilities'!$AN$9:$AN$108,MATCH(C82,'Facilities'!$C$9:$C$108,0))=0,-1,INDEX('Facilities'!$AN$9:$AN$108,MATCH(C82,'Facilities'!$C$9:$C$108,0)))),"Unavailable"))</x:f>
      </x:c>
      <x:c r="AD82" s="21" t="str">
        <x:f>IF(C82="","",IFERROR(G82+H82,"Unavailable"))</x:f>
      </x:c>
      <x:c r="AE82" s="21" t="str">
        <x:f>IF(C82="","",IF(AQ82&lt;&gt;"Ready","Unavailable",IF(C82="","",O82+P82-AD82-J82+K82+M82+N82)))</x:f>
      </x:c>
      <x:c r="AF82" s="30" t="str">
        <x:f>IF(C82="","",IFERROR(INDEX('Facilities'!$S$9:$S$108,MATCH(C82,'Facilities'!$C$9:$C$108,0))*'Scenario Paths'!F75,"Unavailable"))</x:f>
      </x:c>
      <x:c r="AG82" s="23" t="str">
        <x:f>IF(C82="","",IF(AQ82&lt;&gt;"Ready","Unavailable",IF(C82="","",IF(H82&gt;0,MAX(0,H82-AK82)*((1+INDEX('Facilities'!$K$9:$K$108,MATCH(C82,'Facilities'!$C$9:$C$108,0)))^MIN(1,MAX(0,AC82+INDEX('Facilities'!$AK$9:$AK$108,MATCH(C82,'Facilities'!$C$9:$C$108,0))-D82+1))-1),0))))</x:f>
      </x:c>
      <x:c r="AH82" s="21" t="str">
        <x:f>IF(C82="","",IF(AQ82&lt;&gt;"Ready","Unavailable",IF(C82="","",O82+P82)))</x:f>
      </x:c>
      <x:c r="AI82" s="21" t="str">
        <x:f>IF(C82="","",IF(AQ82&lt;&gt;"Ready","Unavailable",IF(C82="","",Z82-Y82)))</x:f>
      </x:c>
      <x:c r="AJ82" s="23" t="str">
        <x:f>IF(C82="","",IFERROR(MAX(0,INDEX('Facilities'!$J$9:$J$108,MATCH(C82,'Facilities'!$C$9:$C$108,0))-D82),"Unavailable"))</x:f>
      </x:c>
      <x:c r="AK82" s="23" t="str">
        <x:f>IF(C82="","",IFERROR(IF(INDEX('Facilities'!$AD$9:$AD$108,MATCH(C82,'Facilities'!$C$9:$C$108,0))=3,W82,0),"Unavailable"))</x:f>
      </x:c>
      <x:c r="AL82" s="23" t="str">
        <x:f>IF(C82="","",IFERROR(IF(P82&gt;0,P82*(1-AM82/(1+INDEX('Facilities'!$K$9:$K$108,MATCH(C82,'Facilities'!$C$9:$C$108,0)))^MAX(0,AC82+INDEX('Facilities'!$AK$9:$AK$108,MATCH(C82,'Facilities'!$C$9:$C$108,0))-D82)),0),"Unavailable"))</x:f>
      </x:c>
      <x:c r="AM82" s="30" t="str">
        <x:f>IF(C82="","",IFERROR(INDEX('Facilities'!$AL$9:$AL$108,MATCH(C82,'Facilities'!$C$9:$C$108,0)),"Unavailable"))</x:f>
      </x:c>
      <x:c r="AN82" s="30" t="str">
        <x:f>IF(C82="","",IFERROR(INDEX(Credit!$T$9:$T$108,MATCH(F82,Credit!$C$9:$C$108,0)),"Unavailable"))</x:f>
      </x:c>
      <x:c r="AO82" s="23" t="str">
        <x:f>IF(C82="","",IF(AQ82&lt;&gt;"Ready","Unavailable",IF(C82="","",O82+P82+Q82*INDEX('Facilities'!$I$9:$I$108,MATCH(C82,'Facilities'!$C$9:$C$108,0)))))</x:f>
      </x:c>
      <x:c r="AP82" s="21" t="str">
        <x:f>IF(C82="","",IF(AQ82&lt;&gt;"Ready","Unavailable",IF(C82="","",AH82-U82)))</x:f>
      </x:c>
      <x:c r="AQ82" s="23" t="str">
        <x:f>IFERROR(IF(C82="","",IF(AND(INDEX('Facilities'!$AF$9:$AF$108,MATCH(C82,'Facilities'!$C$9:$C$108,0))="Ready",INDEX(Credit!$U$9:$U$108,MATCH(F82,Credit!$C$9:$C$108,0))="Ready",ISNUMBER(W82)),"Ready","Review inputs")),"Review inputs")</x:f>
      </x:c>
      <x:c r="AR82" s="23" t="str">
        <x:f>IF(C82="","",IF(AQ82&lt;&gt;"Ready","Unavailable",IF(C82="","",IF(O82=0,0,(IF(AJ82&lt;=1,O82,O82*INDEX('Facilities'!$R$9:$R$108,MATCH(C82,'Facilities'!$C$9:$C$108,0)))+O82*INDEX('Facilities'!$T$9:$T$108,MATCH(C82,'Facilities'!$C$9:$C$108,0)))/12))))</x:f>
      </x:c>
    </x:row>
    <x:row r="83" ht="26" customHeight="1">
      <x:c r="A83" s="1"/>
      <x:c r="B83" s="1"/>
      <x:c r="C83" s="9" t="str">
        <x:f>IF(Facilities!C83="","",Facilities!C83)</x:f>
      </x:c>
      <x:c r="D83" s="3" t="n">
        <x:v>1</x:v>
      </x:c>
      <x:c r="E83" s="9" t="n">
        <x:f>Settings!$F$18+0</x:f>
        <x:v>2027</x:v>
      </x:c>
      <x:c r="F83" s="9" t="str">
        <x:f>IF(C83="","",IFERROR(INDEX('Facilities'!$D$9:$D$108,MATCH(C83,'Facilities'!$C$9:$C$108,0)),"Unavailable"))</x:f>
      </x:c>
      <x:c r="G83" s="23" t="str">
        <x:f>IF(C83="","",IFERROR(IF(INDEX('Facilities'!$AD$9:$AD$108,MATCH(C83,'Facilities'!$C$9:$C$108,0))=3,0,INDEX('Facilities'!$AA$9:$AA$108,MATCH(C83,'Facilities'!$C$9:$C$108,0))),"Unavailable"))</x:f>
      </x:c>
      <x:c r="H83" s="23" t="str">
        <x:f>IF(C83="","",IFERROR(IF(INDEX('Facilities'!$AD$9:$AD$108,MATCH(C83,'Facilities'!$C$9:$C$108,0))=3,INDEX('Facilities'!$AA$9:$AA$108,MATCH(C83,'Facilities'!$C$9:$C$108,0)),0),"Unavailable"))</x:f>
      </x:c>
      <x:c r="I83" s="23" t="str">
        <x:f>IF(C83="","",IFERROR(INDEX('Facilities'!$AB$9:$AB$108,MATCH(C83,'Facilities'!$C$9:$C$108,0)),"Unavailable"))</x:f>
      </x:c>
      <x:c r="J83" s="23" t="str">
        <x:f>IF(C83="","",IFERROR(IF(OR(H83&gt;0,AND(AC83&gt;=0,AC83&lt;D83),D83&gt;INDEX('Facilities'!$J$9:$J$108,MATCH(C83,'Facilities'!$C$9:$C$108,0))),0,I83*'Scenario Paths'!F81),"Unavailable"))</x:f>
      </x:c>
      <x:c r="K83" s="23" t="str">
        <x:f>IF(C83="","",IFERROR(IF(OR(H83&gt;0,AND(AC83&gt;=0,AC83=D83)),0,IF(D83&gt;=INDEX('Facilities'!$J$9:$J$108,MATCH(C83,'Facilities'!$C$9:$C$108,0)),G83+J83,MIN(G83+J83,G83*INDEX('Facilities'!$R$9:$R$108,MATCH(C83,'Facilities'!$C$9:$C$108,0))))),"Unavailable"))</x:f>
      </x:c>
      <x:c r="L83" s="21" t="str">
        <x:f>IF(C83="","",IFERROR(IF(AND(AC83=D83,AC83&gt;0),MAX(0,G83+J83-K83),0),"Unavailable"))</x:f>
      </x:c>
      <x:c r="M83" s="23" t="str">
        <x:f>IF(C83="","",IFERROR(IF(AND(AC83&gt;=0,D83&gt;=AC83+INDEX('Facilities'!$AK$9:$AK$108,MATCH(C83,'Facilities'!$C$9:$C$108,0))),(H83+L83)*AM83,0),"Unavailable"))</x:f>
      </x:c>
      <x:c r="N83" s="23" t="str">
        <x:f>IF(C83="","",IFERROR(IF(AND(AC83&gt;=0,D83&gt;=AC83+INDEX('Facilities'!$AK$9:$AK$108,MATCH(C83,'Facilities'!$C$9:$C$108,0))),H83+L83-M83,0),"Unavailable"))</x:f>
      </x:c>
      <x:c r="O83" s="21" t="str">
        <x:f>IF(C83="","",IFERROR(MAX(0,G83+J83-K83-L83),"Unavailable"))</x:f>
      </x:c>
      <x:c r="P83" s="21" t="str">
        <x:f>IF(C83="","",IFERROR(MAX(0,H83+L83-M83-N83),"Unavailable"))</x:f>
      </x:c>
      <x:c r="Q83" s="23" t="str">
        <x:f>IF(C83="","",IFERROR(IF(OR(D83&gt;=INDEX('Facilities'!$J$9:$J$108,MATCH(C83,'Facilities'!$C$9:$C$108,0)),AND(AC83&gt;=0,AC83&lt;=D83)),0,MAX(0,I83-J83)),"Unavailable"))</x:f>
      </x:c>
      <x:c r="R83" s="30" t="str">
        <x:f>IF(C83="","",IFERROR(INDEX(Credit!$Q$9:$Q$108,MATCH(F83,Credit!$C$9:$C$108,0)),"Unavailable"))</x:f>
      </x:c>
      <x:c r="S83" s="30" t="str">
        <x:f>IF(C83="","",IFERROR(INDEX(Credit!$R$9:$R$108,MATCH(F83,Credit!$C$9:$C$108,0)),"Unavailable"))</x:f>
      </x:c>
      <x:c r="T83" s="23" t="str">
        <x:f>IF(C83="","",IFERROR(IF(P83&gt;0,3,IF(OR(INDEX('Facilities'!$AD$9:$AD$108,MATCH(C83,'Facilities'!$C$9:$C$108,0))=2,AND(R83&gt;=INDEX('Facilities'!$L$9:$L$108,MATCH(C83,'Facilities'!$C$9:$C$108,0))*Settings!$F$19,R83-INDEX('Facilities'!$L$9:$L$108,MATCH(C83,'Facilities'!$C$9:$C$108,0))&gt;=Settings!$F$20)),2,1)),"Unavailable"))</x:f>
      </x:c>
      <x:c r="U83" s="23" t="str">
        <x:f>IF(C83="","",IF(AQ83&lt;&gt;"Ready","Unavailable",IF(C83="","",O83*(1-(1-S83)/(1+INDEX('Facilities'!$K$9:$K$108,MATCH(C83,'Facilities'!$C$9:$C$108,0)))^INDEX('Facilities'!$AK$9:$AK$108,MATCH(C83,'Facilities'!$C$9:$C$108,0)))*R83/(1+INDEX('Facilities'!$K$9:$K$108,MATCH(C83,'Facilities'!$C$9:$C$108,0)))*IF(ABS(1-(1-R83)*(1-INDEX('Facilities'!$R$9:$R$108,MATCH(C83,'Facilities'!$C$9:$C$108,0)))/(1+INDEX('Facilities'!$K$9:$K$108,MATCH(C83,'Facilities'!$C$9:$C$108,0))))&lt;0.000000001,IF(T83=1,MIN(1,AJ83),AJ83),(1-((1-R83)*(1-INDEX('Facilities'!$R$9:$R$108,MATCH(C83,'Facilities'!$C$9:$C$108,0)))/(1+INDEX('Facilities'!$K$9:$K$108,MATCH(C83,'Facilities'!$C$9:$C$108,0))))^IF(T83=1,MIN(1,AJ83),AJ83))/(1-(1-R83)*(1-INDEX('Facilities'!$R$9:$R$108,MATCH(C83,'Facilities'!$C$9:$C$108,0)))/(1+INDEX('Facilities'!$K$9:$K$108,MATCH(C83,'Facilities'!$C$9:$C$108,0)))))+AL83)))</x:f>
      </x:c>
      <x:c r="V83" s="23" t="str">
        <x:f>IF(C83="","",IF(AQ83&lt;&gt;"Ready","Unavailable",IF(C83="","",Q83*INDEX('Facilities'!$I$9:$I$108,MATCH(C83,'Facilities'!$C$9:$C$108,0))*(1-(1-S83)/(1+INDEX('Facilities'!$K$9:$K$108,MATCH(C83,'Facilities'!$C$9:$C$108,0)))^INDEX('Facilities'!$AK$9:$AK$108,MATCH(C83,'Facilities'!$C$9:$C$108,0)))*R83/(1+INDEX('Facilities'!$K$9:$K$108,MATCH(C83,'Facilities'!$C$9:$C$108,0)))*IF(ABS(1-(1-R83)*(1-0)/(1+INDEX('Facilities'!$K$9:$K$108,MATCH(C83,'Facilities'!$C$9:$C$108,0))))&lt;0.000000001,IF(T83=1,MIN(1,AJ83),AJ83),(1-((1-R83)*(1-0)/(1+INDEX('Facilities'!$K$9:$K$108,MATCH(C83,'Facilities'!$C$9:$C$108,0))))^IF(T83=1,MIN(1,AJ83),AJ83))/(1-(1-R83)*(1-0)/(1+INDEX('Facilities'!$K$9:$K$108,MATCH(C83,'Facilities'!$C$9:$C$108,0))))))))</x:f>
      </x:c>
      <x:c r="W83" s="23" t="str">
        <x:f>IF(C83="","",IFERROR(INDEX(ECL!$AB$9:$AB$108,MATCH(C83,ECL!$C$9:$C$108,0)),"Unavailable"))</x:f>
      </x:c>
      <x:c r="X83" s="23" t="str">
        <x:f>IF(C83="","",IFERROR(INDEX(ECL!$AC$9:$AC$108,MATCH(C83,ECL!$C$9:$C$108,0)),"Unavailable"))</x:f>
      </x:c>
      <x:c r="Y83" s="21" t="str">
        <x:f>IF(C83="","",IF(AQ83&lt;&gt;"Ready","Unavailable",IF(C83="","",U83-W83+V83-X83+N83+AG83)))</x:f>
      </x:c>
      <x:c r="Z83" s="23" t="str">
        <x:f>IF(C83="","",IF(AQ83&lt;&gt;"Ready","Unavailable",IF(C83="","",(G83+O83+L83)/2*INDEX('Facilities'!$T$9:$T$108,MATCH(C83,'Facilities'!$C$9:$C$108,0))+AG83)))</x:f>
      </x:c>
      <x:c r="AA83" s="23" t="str">
        <x:f>IF(C83="","",IF(AQ83&lt;&gt;"Ready","Unavailable",IF(C83="","",O83*(1-IF(INDEX('Facilities'!$AA$9:$AA$108,MATCH(C83,'Facilities'!$C$9:$C$108,0))=0,0,MIN(1,INDEX('Facilities'!$X$9:$X$108,MATCH(C83,'Facilities'!$C$9:$C$108,0))/INDEX('Facilities'!$AA$9:$AA$108,MATCH(C83,'Facilities'!$C$9:$C$108,0)))))*AF83+P83*(1-IF(INDEX('Facilities'!$AA$9:$AA$108,MATCH(C83,'Facilities'!$C$9:$C$108,0))=0,0,MIN(1,INDEX('Facilities'!$X$9:$X$108,MATCH(C83,'Facilities'!$C$9:$C$108,0))/INDEX('Facilities'!$AA$9:$AA$108,MATCH(C83,'Facilities'!$C$9:$C$108,0)))))*INDEX('Facilities'!$AJ$9:$AJ$108,MATCH(C83,'Facilities'!$C$9:$C$108,0))+Q83*INDEX('Facilities'!$AI$9:$AI$108,MATCH(C83,'Facilities'!$C$9:$C$108,0))*AF83)))</x:f>
      </x:c>
      <x:c r="AB83" s="21" t="str">
        <x:f>IF(C83="","",O83+P83-AD83)</x:f>
      </x:c>
      <x:c r="AC83" s="23" t="str">
        <x:f>IF(C83="","",IFERROR(IF(INDEX('Facilities'!$AD$9:$AD$108,MATCH(C83,'Facilities'!$C$9:$C$108,0))=3,0,IF(INDEX('Facilities'!$AN$9:$AN$108,MATCH(C83,'Facilities'!$C$9:$C$108,0))=0,-1,INDEX('Facilities'!$AN$9:$AN$108,MATCH(C83,'Facilities'!$C$9:$C$108,0)))),"Unavailable"))</x:f>
      </x:c>
      <x:c r="AD83" s="21" t="str">
        <x:f>IF(C83="","",IFERROR(G83+H83,"Unavailable"))</x:f>
      </x:c>
      <x:c r="AE83" s="21" t="str">
        <x:f>IF(C83="","",IF(AQ83&lt;&gt;"Ready","Unavailable",IF(C83="","",O83+P83-AD83-J83+K83+M83+N83)))</x:f>
      </x:c>
      <x:c r="AF83" s="30" t="str">
        <x:f>IF(C83="","",IFERROR(INDEX('Facilities'!$S$9:$S$108,MATCH(C83,'Facilities'!$C$9:$C$108,0))*'Scenario Paths'!F75,"Unavailable"))</x:f>
      </x:c>
      <x:c r="AG83" s="23" t="str">
        <x:f>IF(C83="","",IF(AQ83&lt;&gt;"Ready","Unavailable",IF(C83="","",IF(H83&gt;0,MAX(0,H83-AK83)*((1+INDEX('Facilities'!$K$9:$K$108,MATCH(C83,'Facilities'!$C$9:$C$108,0)))^MIN(1,MAX(0,AC83+INDEX('Facilities'!$AK$9:$AK$108,MATCH(C83,'Facilities'!$C$9:$C$108,0))-D83+1))-1),0))))</x:f>
      </x:c>
      <x:c r="AH83" s="21" t="str">
        <x:f>IF(C83="","",IF(AQ83&lt;&gt;"Ready","Unavailable",IF(C83="","",O83+P83)))</x:f>
      </x:c>
      <x:c r="AI83" s="21" t="str">
        <x:f>IF(C83="","",IF(AQ83&lt;&gt;"Ready","Unavailable",IF(C83="","",Z83-Y83)))</x:f>
      </x:c>
      <x:c r="AJ83" s="23" t="str">
        <x:f>IF(C83="","",IFERROR(MAX(0,INDEX('Facilities'!$J$9:$J$108,MATCH(C83,'Facilities'!$C$9:$C$108,0))-D83),"Unavailable"))</x:f>
      </x:c>
      <x:c r="AK83" s="23" t="str">
        <x:f>IF(C83="","",IFERROR(IF(INDEX('Facilities'!$AD$9:$AD$108,MATCH(C83,'Facilities'!$C$9:$C$108,0))=3,W83,0),"Unavailable"))</x:f>
      </x:c>
      <x:c r="AL83" s="23" t="str">
        <x:f>IF(C83="","",IFERROR(IF(P83&gt;0,P83*(1-AM83/(1+INDEX('Facilities'!$K$9:$K$108,MATCH(C83,'Facilities'!$C$9:$C$108,0)))^MAX(0,AC83+INDEX('Facilities'!$AK$9:$AK$108,MATCH(C83,'Facilities'!$C$9:$C$108,0))-D83)),0),"Unavailable"))</x:f>
      </x:c>
      <x:c r="AM83" s="30" t="str">
        <x:f>IF(C83="","",IFERROR(INDEX('Facilities'!$AL$9:$AL$108,MATCH(C83,'Facilities'!$C$9:$C$108,0)),"Unavailable"))</x:f>
      </x:c>
      <x:c r="AN83" s="30" t="str">
        <x:f>IF(C83="","",IFERROR(INDEX(Credit!$T$9:$T$108,MATCH(F83,Credit!$C$9:$C$108,0)),"Unavailable"))</x:f>
      </x:c>
      <x:c r="AO83" s="23" t="str">
        <x:f>IF(C83="","",IF(AQ83&lt;&gt;"Ready","Unavailable",IF(C83="","",O83+P83+Q83*INDEX('Facilities'!$I$9:$I$108,MATCH(C83,'Facilities'!$C$9:$C$108,0)))))</x:f>
      </x:c>
      <x:c r="AP83" s="21" t="str">
        <x:f>IF(C83="","",IF(AQ83&lt;&gt;"Ready","Unavailable",IF(C83="","",AH83-U83)))</x:f>
      </x:c>
      <x:c r="AQ83" s="23" t="str">
        <x:f>IFERROR(IF(C83="","",IF(AND(INDEX('Facilities'!$AF$9:$AF$108,MATCH(C83,'Facilities'!$C$9:$C$108,0))="Ready",INDEX(Credit!$U$9:$U$108,MATCH(F83,Credit!$C$9:$C$108,0))="Ready",ISNUMBER(W83)),"Ready","Review inputs")),"Review inputs")</x:f>
      </x:c>
      <x:c r="AR83" s="23" t="str">
        <x:f>IF(C83="","",IF(AQ83&lt;&gt;"Ready","Unavailable",IF(C83="","",IF(O83=0,0,(IF(AJ83&lt;=1,O83,O83*INDEX('Facilities'!$R$9:$R$108,MATCH(C83,'Facilities'!$C$9:$C$108,0)))+O83*INDEX('Facilities'!$T$9:$T$108,MATCH(C83,'Facilities'!$C$9:$C$108,0)))/12))))</x:f>
      </x:c>
    </x:row>
    <x:row r="84" ht="26" customHeight="1">
      <x:c r="A84" s="1"/>
      <x:c r="B84" s="1"/>
      <x:c r="C84" s="9" t="str">
        <x:f>IF(Facilities!C84="","",Facilities!C84)</x:f>
      </x:c>
      <x:c r="D84" s="3" t="n">
        <x:v>1</x:v>
      </x:c>
      <x:c r="E84" s="9" t="n">
        <x:f>Settings!$F$18+0</x:f>
        <x:v>2027</x:v>
      </x:c>
      <x:c r="F84" s="9" t="str">
        <x:f>IF(C84="","",IFERROR(INDEX('Facilities'!$D$9:$D$108,MATCH(C84,'Facilities'!$C$9:$C$108,0)),"Unavailable"))</x:f>
      </x:c>
      <x:c r="G84" s="23" t="str">
        <x:f>IF(C84="","",IFERROR(IF(INDEX('Facilities'!$AD$9:$AD$108,MATCH(C84,'Facilities'!$C$9:$C$108,0))=3,0,INDEX('Facilities'!$AA$9:$AA$108,MATCH(C84,'Facilities'!$C$9:$C$108,0))),"Unavailable"))</x:f>
      </x:c>
      <x:c r="H84" s="23" t="str">
        <x:f>IF(C84="","",IFERROR(IF(INDEX('Facilities'!$AD$9:$AD$108,MATCH(C84,'Facilities'!$C$9:$C$108,0))=3,INDEX('Facilities'!$AA$9:$AA$108,MATCH(C84,'Facilities'!$C$9:$C$108,0)),0),"Unavailable"))</x:f>
      </x:c>
      <x:c r="I84" s="23" t="str">
        <x:f>IF(C84="","",IFERROR(INDEX('Facilities'!$AB$9:$AB$108,MATCH(C84,'Facilities'!$C$9:$C$108,0)),"Unavailable"))</x:f>
      </x:c>
      <x:c r="J84" s="23" t="str">
        <x:f>IF(C84="","",IFERROR(IF(OR(H84&gt;0,AND(AC84&gt;=0,AC84&lt;D84),D84&gt;INDEX('Facilities'!$J$9:$J$108,MATCH(C84,'Facilities'!$C$9:$C$108,0))),0,I84*'Scenario Paths'!F81),"Unavailable"))</x:f>
      </x:c>
      <x:c r="K84" s="23" t="str">
        <x:f>IF(C84="","",IFERROR(IF(OR(H84&gt;0,AND(AC84&gt;=0,AC84=D84)),0,IF(D84&gt;=INDEX('Facilities'!$J$9:$J$108,MATCH(C84,'Facilities'!$C$9:$C$108,0)),G84+J84,MIN(G84+J84,G84*INDEX('Facilities'!$R$9:$R$108,MATCH(C84,'Facilities'!$C$9:$C$108,0))))),"Unavailable"))</x:f>
      </x:c>
      <x:c r="L84" s="21" t="str">
        <x:f>IF(C84="","",IFERROR(IF(AND(AC84=D84,AC84&gt;0),MAX(0,G84+J84-K84),0),"Unavailable"))</x:f>
      </x:c>
      <x:c r="M84" s="23" t="str">
        <x:f>IF(C84="","",IFERROR(IF(AND(AC84&gt;=0,D84&gt;=AC84+INDEX('Facilities'!$AK$9:$AK$108,MATCH(C84,'Facilities'!$C$9:$C$108,0))),(H84+L84)*AM84,0),"Unavailable"))</x:f>
      </x:c>
      <x:c r="N84" s="23" t="str">
        <x:f>IF(C84="","",IFERROR(IF(AND(AC84&gt;=0,D84&gt;=AC84+INDEX('Facilities'!$AK$9:$AK$108,MATCH(C84,'Facilities'!$C$9:$C$108,0))),H84+L84-M84,0),"Unavailable"))</x:f>
      </x:c>
      <x:c r="O84" s="21" t="str">
        <x:f>IF(C84="","",IFERROR(MAX(0,G84+J84-K84-L84),"Unavailable"))</x:f>
      </x:c>
      <x:c r="P84" s="21" t="str">
        <x:f>IF(C84="","",IFERROR(MAX(0,H84+L84-M84-N84),"Unavailable"))</x:f>
      </x:c>
      <x:c r="Q84" s="23" t="str">
        <x:f>IF(C84="","",IFERROR(IF(OR(D84&gt;=INDEX('Facilities'!$J$9:$J$108,MATCH(C84,'Facilities'!$C$9:$C$108,0)),AND(AC84&gt;=0,AC84&lt;=D84)),0,MAX(0,I84-J84)),"Unavailable"))</x:f>
      </x:c>
      <x:c r="R84" s="30" t="str">
        <x:f>IF(C84="","",IFERROR(INDEX(Credit!$Q$9:$Q$108,MATCH(F84,Credit!$C$9:$C$108,0)),"Unavailable"))</x:f>
      </x:c>
      <x:c r="S84" s="30" t="str">
        <x:f>IF(C84="","",IFERROR(INDEX(Credit!$R$9:$R$108,MATCH(F84,Credit!$C$9:$C$108,0)),"Unavailable"))</x:f>
      </x:c>
      <x:c r="T84" s="23" t="str">
        <x:f>IF(C84="","",IFERROR(IF(P84&gt;0,3,IF(OR(INDEX('Facilities'!$AD$9:$AD$108,MATCH(C84,'Facilities'!$C$9:$C$108,0))=2,AND(R84&gt;=INDEX('Facilities'!$L$9:$L$108,MATCH(C84,'Facilities'!$C$9:$C$108,0))*Settings!$F$19,R84-INDEX('Facilities'!$L$9:$L$108,MATCH(C84,'Facilities'!$C$9:$C$108,0))&gt;=Settings!$F$20)),2,1)),"Unavailable"))</x:f>
      </x:c>
      <x:c r="U84" s="23" t="str">
        <x:f>IF(C84="","",IF(AQ84&lt;&gt;"Ready","Unavailable",IF(C84="","",O84*(1-(1-S84)/(1+INDEX('Facilities'!$K$9:$K$108,MATCH(C84,'Facilities'!$C$9:$C$108,0)))^INDEX('Facilities'!$AK$9:$AK$108,MATCH(C84,'Facilities'!$C$9:$C$108,0)))*R84/(1+INDEX('Facilities'!$K$9:$K$108,MATCH(C84,'Facilities'!$C$9:$C$108,0)))*IF(ABS(1-(1-R84)*(1-INDEX('Facilities'!$R$9:$R$108,MATCH(C84,'Facilities'!$C$9:$C$108,0)))/(1+INDEX('Facilities'!$K$9:$K$108,MATCH(C84,'Facilities'!$C$9:$C$108,0))))&lt;0.000000001,IF(T84=1,MIN(1,AJ84),AJ84),(1-((1-R84)*(1-INDEX('Facilities'!$R$9:$R$108,MATCH(C84,'Facilities'!$C$9:$C$108,0)))/(1+INDEX('Facilities'!$K$9:$K$108,MATCH(C84,'Facilities'!$C$9:$C$108,0))))^IF(T84=1,MIN(1,AJ84),AJ84))/(1-(1-R84)*(1-INDEX('Facilities'!$R$9:$R$108,MATCH(C84,'Facilities'!$C$9:$C$108,0)))/(1+INDEX('Facilities'!$K$9:$K$108,MATCH(C84,'Facilities'!$C$9:$C$108,0)))))+AL84)))</x:f>
      </x:c>
      <x:c r="V84" s="23" t="str">
        <x:f>IF(C84="","",IF(AQ84&lt;&gt;"Ready","Unavailable",IF(C84="","",Q84*INDEX('Facilities'!$I$9:$I$108,MATCH(C84,'Facilities'!$C$9:$C$108,0))*(1-(1-S84)/(1+INDEX('Facilities'!$K$9:$K$108,MATCH(C84,'Facilities'!$C$9:$C$108,0)))^INDEX('Facilities'!$AK$9:$AK$108,MATCH(C84,'Facilities'!$C$9:$C$108,0)))*R84/(1+INDEX('Facilities'!$K$9:$K$108,MATCH(C84,'Facilities'!$C$9:$C$108,0)))*IF(ABS(1-(1-R84)*(1-0)/(1+INDEX('Facilities'!$K$9:$K$108,MATCH(C84,'Facilities'!$C$9:$C$108,0))))&lt;0.000000001,IF(T84=1,MIN(1,AJ84),AJ84),(1-((1-R84)*(1-0)/(1+INDEX('Facilities'!$K$9:$K$108,MATCH(C84,'Facilities'!$C$9:$C$108,0))))^IF(T84=1,MIN(1,AJ84),AJ84))/(1-(1-R84)*(1-0)/(1+INDEX('Facilities'!$K$9:$K$108,MATCH(C84,'Facilities'!$C$9:$C$108,0))))))))</x:f>
      </x:c>
      <x:c r="W84" s="23" t="str">
        <x:f>IF(C84="","",IFERROR(INDEX(ECL!$AB$9:$AB$108,MATCH(C84,ECL!$C$9:$C$108,0)),"Unavailable"))</x:f>
      </x:c>
      <x:c r="X84" s="23" t="str">
        <x:f>IF(C84="","",IFERROR(INDEX(ECL!$AC$9:$AC$108,MATCH(C84,ECL!$C$9:$C$108,0)),"Unavailable"))</x:f>
      </x:c>
      <x:c r="Y84" s="21" t="str">
        <x:f>IF(C84="","",IF(AQ84&lt;&gt;"Ready","Unavailable",IF(C84="","",U84-W84+V84-X84+N84+AG84)))</x:f>
      </x:c>
      <x:c r="Z84" s="23" t="str">
        <x:f>IF(C84="","",IF(AQ84&lt;&gt;"Ready","Unavailable",IF(C84="","",(G84+O84+L84)/2*INDEX('Facilities'!$T$9:$T$108,MATCH(C84,'Facilities'!$C$9:$C$108,0))+AG84)))</x:f>
      </x:c>
      <x:c r="AA84" s="23" t="str">
        <x:f>IF(C84="","",IF(AQ84&lt;&gt;"Ready","Unavailable",IF(C84="","",O84*(1-IF(INDEX('Facilities'!$AA$9:$AA$108,MATCH(C84,'Facilities'!$C$9:$C$108,0))=0,0,MIN(1,INDEX('Facilities'!$X$9:$X$108,MATCH(C84,'Facilities'!$C$9:$C$108,0))/INDEX('Facilities'!$AA$9:$AA$108,MATCH(C84,'Facilities'!$C$9:$C$108,0)))))*AF84+P84*(1-IF(INDEX('Facilities'!$AA$9:$AA$108,MATCH(C84,'Facilities'!$C$9:$C$108,0))=0,0,MIN(1,INDEX('Facilities'!$X$9:$X$108,MATCH(C84,'Facilities'!$C$9:$C$108,0))/INDEX('Facilities'!$AA$9:$AA$108,MATCH(C84,'Facilities'!$C$9:$C$108,0)))))*INDEX('Facilities'!$AJ$9:$AJ$108,MATCH(C84,'Facilities'!$C$9:$C$108,0))+Q84*INDEX('Facilities'!$AI$9:$AI$108,MATCH(C84,'Facilities'!$C$9:$C$108,0))*AF84)))</x:f>
      </x:c>
      <x:c r="AB84" s="21" t="str">
        <x:f>IF(C84="","",O84+P84-AD84)</x:f>
      </x:c>
      <x:c r="AC84" s="23" t="str">
        <x:f>IF(C84="","",IFERROR(IF(INDEX('Facilities'!$AD$9:$AD$108,MATCH(C84,'Facilities'!$C$9:$C$108,0))=3,0,IF(INDEX('Facilities'!$AN$9:$AN$108,MATCH(C84,'Facilities'!$C$9:$C$108,0))=0,-1,INDEX('Facilities'!$AN$9:$AN$108,MATCH(C84,'Facilities'!$C$9:$C$108,0)))),"Unavailable"))</x:f>
      </x:c>
      <x:c r="AD84" s="21" t="str">
        <x:f>IF(C84="","",IFERROR(G84+H84,"Unavailable"))</x:f>
      </x:c>
      <x:c r="AE84" s="21" t="str">
        <x:f>IF(C84="","",IF(AQ84&lt;&gt;"Ready","Unavailable",IF(C84="","",O84+P84-AD84-J84+K84+M84+N84)))</x:f>
      </x:c>
      <x:c r="AF84" s="30" t="str">
        <x:f>IF(C84="","",IFERROR(INDEX('Facilities'!$S$9:$S$108,MATCH(C84,'Facilities'!$C$9:$C$108,0))*'Scenario Paths'!F75,"Unavailable"))</x:f>
      </x:c>
      <x:c r="AG84" s="23" t="str">
        <x:f>IF(C84="","",IF(AQ84&lt;&gt;"Ready","Unavailable",IF(C84="","",IF(H84&gt;0,MAX(0,H84-AK84)*((1+INDEX('Facilities'!$K$9:$K$108,MATCH(C84,'Facilities'!$C$9:$C$108,0)))^MIN(1,MAX(0,AC84+INDEX('Facilities'!$AK$9:$AK$108,MATCH(C84,'Facilities'!$C$9:$C$108,0))-D84+1))-1),0))))</x:f>
      </x:c>
      <x:c r="AH84" s="21" t="str">
        <x:f>IF(C84="","",IF(AQ84&lt;&gt;"Ready","Unavailable",IF(C84="","",O84+P84)))</x:f>
      </x:c>
      <x:c r="AI84" s="21" t="str">
        <x:f>IF(C84="","",IF(AQ84&lt;&gt;"Ready","Unavailable",IF(C84="","",Z84-Y84)))</x:f>
      </x:c>
      <x:c r="AJ84" s="23" t="str">
        <x:f>IF(C84="","",IFERROR(MAX(0,INDEX('Facilities'!$J$9:$J$108,MATCH(C84,'Facilities'!$C$9:$C$108,0))-D84),"Unavailable"))</x:f>
      </x:c>
      <x:c r="AK84" s="23" t="str">
        <x:f>IF(C84="","",IFERROR(IF(INDEX('Facilities'!$AD$9:$AD$108,MATCH(C84,'Facilities'!$C$9:$C$108,0))=3,W84,0),"Unavailable"))</x:f>
      </x:c>
      <x:c r="AL84" s="23" t="str">
        <x:f>IF(C84="","",IFERROR(IF(P84&gt;0,P84*(1-AM84/(1+INDEX('Facilities'!$K$9:$K$108,MATCH(C84,'Facilities'!$C$9:$C$108,0)))^MAX(0,AC84+INDEX('Facilities'!$AK$9:$AK$108,MATCH(C84,'Facilities'!$C$9:$C$108,0))-D84)),0),"Unavailable"))</x:f>
      </x:c>
      <x:c r="AM84" s="30" t="str">
        <x:f>IF(C84="","",IFERROR(INDEX('Facilities'!$AL$9:$AL$108,MATCH(C84,'Facilities'!$C$9:$C$108,0)),"Unavailable"))</x:f>
      </x:c>
      <x:c r="AN84" s="30" t="str">
        <x:f>IF(C84="","",IFERROR(INDEX(Credit!$T$9:$T$108,MATCH(F84,Credit!$C$9:$C$108,0)),"Unavailable"))</x:f>
      </x:c>
      <x:c r="AO84" s="23" t="str">
        <x:f>IF(C84="","",IF(AQ84&lt;&gt;"Ready","Unavailable",IF(C84="","",O84+P84+Q84*INDEX('Facilities'!$I$9:$I$108,MATCH(C84,'Facilities'!$C$9:$C$108,0)))))</x:f>
      </x:c>
      <x:c r="AP84" s="21" t="str">
        <x:f>IF(C84="","",IF(AQ84&lt;&gt;"Ready","Unavailable",IF(C84="","",AH84-U84)))</x:f>
      </x:c>
      <x:c r="AQ84" s="23" t="str">
        <x:f>IFERROR(IF(C84="","",IF(AND(INDEX('Facilities'!$AF$9:$AF$108,MATCH(C84,'Facilities'!$C$9:$C$108,0))="Ready",INDEX(Credit!$U$9:$U$108,MATCH(F84,Credit!$C$9:$C$108,0))="Ready",ISNUMBER(W84)),"Ready","Review inputs")),"Review inputs")</x:f>
      </x:c>
      <x:c r="AR84" s="23" t="str">
        <x:f>IF(C84="","",IF(AQ84&lt;&gt;"Ready","Unavailable",IF(C84="","",IF(O84=0,0,(IF(AJ84&lt;=1,O84,O84*INDEX('Facilities'!$R$9:$R$108,MATCH(C84,'Facilities'!$C$9:$C$108,0)))+O84*INDEX('Facilities'!$T$9:$T$108,MATCH(C84,'Facilities'!$C$9:$C$108,0)))/12))))</x:f>
      </x:c>
    </x:row>
    <x:row r="85" ht="26" customHeight="1">
      <x:c r="A85" s="1"/>
      <x:c r="B85" s="1"/>
      <x:c r="C85" s="9" t="str">
        <x:f>IF(Facilities!C85="","",Facilities!C85)</x:f>
      </x:c>
      <x:c r="D85" s="3" t="n">
        <x:v>1</x:v>
      </x:c>
      <x:c r="E85" s="9" t="n">
        <x:f>Settings!$F$18+0</x:f>
        <x:v>2027</x:v>
      </x:c>
      <x:c r="F85" s="9" t="str">
        <x:f>IF(C85="","",IFERROR(INDEX('Facilities'!$D$9:$D$108,MATCH(C85,'Facilities'!$C$9:$C$108,0)),"Unavailable"))</x:f>
      </x:c>
      <x:c r="G85" s="23" t="str">
        <x:f>IF(C85="","",IFERROR(IF(INDEX('Facilities'!$AD$9:$AD$108,MATCH(C85,'Facilities'!$C$9:$C$108,0))=3,0,INDEX('Facilities'!$AA$9:$AA$108,MATCH(C85,'Facilities'!$C$9:$C$108,0))),"Unavailable"))</x:f>
      </x:c>
      <x:c r="H85" s="23" t="str">
        <x:f>IF(C85="","",IFERROR(IF(INDEX('Facilities'!$AD$9:$AD$108,MATCH(C85,'Facilities'!$C$9:$C$108,0))=3,INDEX('Facilities'!$AA$9:$AA$108,MATCH(C85,'Facilities'!$C$9:$C$108,0)),0),"Unavailable"))</x:f>
      </x:c>
      <x:c r="I85" s="23" t="str">
        <x:f>IF(C85="","",IFERROR(INDEX('Facilities'!$AB$9:$AB$108,MATCH(C85,'Facilities'!$C$9:$C$108,0)),"Unavailable"))</x:f>
      </x:c>
      <x:c r="J85" s="23" t="str">
        <x:f>IF(C85="","",IFERROR(IF(OR(H85&gt;0,AND(AC85&gt;=0,AC85&lt;D85),D85&gt;INDEX('Facilities'!$J$9:$J$108,MATCH(C85,'Facilities'!$C$9:$C$108,0))),0,I85*'Scenario Paths'!F81),"Unavailable"))</x:f>
      </x:c>
      <x:c r="K85" s="23" t="str">
        <x:f>IF(C85="","",IFERROR(IF(OR(H85&gt;0,AND(AC85&gt;=0,AC85=D85)),0,IF(D85&gt;=INDEX('Facilities'!$J$9:$J$108,MATCH(C85,'Facilities'!$C$9:$C$108,0)),G85+J85,MIN(G85+J85,G85*INDEX('Facilities'!$R$9:$R$108,MATCH(C85,'Facilities'!$C$9:$C$108,0))))),"Unavailable"))</x:f>
      </x:c>
      <x:c r="L85" s="21" t="str">
        <x:f>IF(C85="","",IFERROR(IF(AND(AC85=D85,AC85&gt;0),MAX(0,G85+J85-K85),0),"Unavailable"))</x:f>
      </x:c>
      <x:c r="M85" s="23" t="str">
        <x:f>IF(C85="","",IFERROR(IF(AND(AC85&gt;=0,D85&gt;=AC85+INDEX('Facilities'!$AK$9:$AK$108,MATCH(C85,'Facilities'!$C$9:$C$108,0))),(H85+L85)*AM85,0),"Unavailable"))</x:f>
      </x:c>
      <x:c r="N85" s="23" t="str">
        <x:f>IF(C85="","",IFERROR(IF(AND(AC85&gt;=0,D85&gt;=AC85+INDEX('Facilities'!$AK$9:$AK$108,MATCH(C85,'Facilities'!$C$9:$C$108,0))),H85+L85-M85,0),"Unavailable"))</x:f>
      </x:c>
      <x:c r="O85" s="21" t="str">
        <x:f>IF(C85="","",IFERROR(MAX(0,G85+J85-K85-L85),"Unavailable"))</x:f>
      </x:c>
      <x:c r="P85" s="21" t="str">
        <x:f>IF(C85="","",IFERROR(MAX(0,H85+L85-M85-N85),"Unavailable"))</x:f>
      </x:c>
      <x:c r="Q85" s="23" t="str">
        <x:f>IF(C85="","",IFERROR(IF(OR(D85&gt;=INDEX('Facilities'!$J$9:$J$108,MATCH(C85,'Facilities'!$C$9:$C$108,0)),AND(AC85&gt;=0,AC85&lt;=D85)),0,MAX(0,I85-J85)),"Unavailable"))</x:f>
      </x:c>
      <x:c r="R85" s="30" t="str">
        <x:f>IF(C85="","",IFERROR(INDEX(Credit!$Q$9:$Q$108,MATCH(F85,Credit!$C$9:$C$108,0)),"Unavailable"))</x:f>
      </x:c>
      <x:c r="S85" s="30" t="str">
        <x:f>IF(C85="","",IFERROR(INDEX(Credit!$R$9:$R$108,MATCH(F85,Credit!$C$9:$C$108,0)),"Unavailable"))</x:f>
      </x:c>
      <x:c r="T85" s="23" t="str">
        <x:f>IF(C85="","",IFERROR(IF(P85&gt;0,3,IF(OR(INDEX('Facilities'!$AD$9:$AD$108,MATCH(C85,'Facilities'!$C$9:$C$108,0))=2,AND(R85&gt;=INDEX('Facilities'!$L$9:$L$108,MATCH(C85,'Facilities'!$C$9:$C$108,0))*Settings!$F$19,R85-INDEX('Facilities'!$L$9:$L$108,MATCH(C85,'Facilities'!$C$9:$C$108,0))&gt;=Settings!$F$20)),2,1)),"Unavailable"))</x:f>
      </x:c>
      <x:c r="U85" s="23" t="str">
        <x:f>IF(C85="","",IF(AQ85&lt;&gt;"Ready","Unavailable",IF(C85="","",O85*(1-(1-S85)/(1+INDEX('Facilities'!$K$9:$K$108,MATCH(C85,'Facilities'!$C$9:$C$108,0)))^INDEX('Facilities'!$AK$9:$AK$108,MATCH(C85,'Facilities'!$C$9:$C$108,0)))*R85/(1+INDEX('Facilities'!$K$9:$K$108,MATCH(C85,'Facilities'!$C$9:$C$108,0)))*IF(ABS(1-(1-R85)*(1-INDEX('Facilities'!$R$9:$R$108,MATCH(C85,'Facilities'!$C$9:$C$108,0)))/(1+INDEX('Facilities'!$K$9:$K$108,MATCH(C85,'Facilities'!$C$9:$C$108,0))))&lt;0.000000001,IF(T85=1,MIN(1,AJ85),AJ85),(1-((1-R85)*(1-INDEX('Facilities'!$R$9:$R$108,MATCH(C85,'Facilities'!$C$9:$C$108,0)))/(1+INDEX('Facilities'!$K$9:$K$108,MATCH(C85,'Facilities'!$C$9:$C$108,0))))^IF(T85=1,MIN(1,AJ85),AJ85))/(1-(1-R85)*(1-INDEX('Facilities'!$R$9:$R$108,MATCH(C85,'Facilities'!$C$9:$C$108,0)))/(1+INDEX('Facilities'!$K$9:$K$108,MATCH(C85,'Facilities'!$C$9:$C$108,0)))))+AL85)))</x:f>
      </x:c>
      <x:c r="V85" s="23" t="str">
        <x:f>IF(C85="","",IF(AQ85&lt;&gt;"Ready","Unavailable",IF(C85="","",Q85*INDEX('Facilities'!$I$9:$I$108,MATCH(C85,'Facilities'!$C$9:$C$108,0))*(1-(1-S85)/(1+INDEX('Facilities'!$K$9:$K$108,MATCH(C85,'Facilities'!$C$9:$C$108,0)))^INDEX('Facilities'!$AK$9:$AK$108,MATCH(C85,'Facilities'!$C$9:$C$108,0)))*R85/(1+INDEX('Facilities'!$K$9:$K$108,MATCH(C85,'Facilities'!$C$9:$C$108,0)))*IF(ABS(1-(1-R85)*(1-0)/(1+INDEX('Facilities'!$K$9:$K$108,MATCH(C85,'Facilities'!$C$9:$C$108,0))))&lt;0.000000001,IF(T85=1,MIN(1,AJ85),AJ85),(1-((1-R85)*(1-0)/(1+INDEX('Facilities'!$K$9:$K$108,MATCH(C85,'Facilities'!$C$9:$C$108,0))))^IF(T85=1,MIN(1,AJ85),AJ85))/(1-(1-R85)*(1-0)/(1+INDEX('Facilities'!$K$9:$K$108,MATCH(C85,'Facilities'!$C$9:$C$108,0))))))))</x:f>
      </x:c>
      <x:c r="W85" s="23" t="str">
        <x:f>IF(C85="","",IFERROR(INDEX(ECL!$AB$9:$AB$108,MATCH(C85,ECL!$C$9:$C$108,0)),"Unavailable"))</x:f>
      </x:c>
      <x:c r="X85" s="23" t="str">
        <x:f>IF(C85="","",IFERROR(INDEX(ECL!$AC$9:$AC$108,MATCH(C85,ECL!$C$9:$C$108,0)),"Unavailable"))</x:f>
      </x:c>
      <x:c r="Y85" s="21" t="str">
        <x:f>IF(C85="","",IF(AQ85&lt;&gt;"Ready","Unavailable",IF(C85="","",U85-W85+V85-X85+N85+AG85)))</x:f>
      </x:c>
      <x:c r="Z85" s="23" t="str">
        <x:f>IF(C85="","",IF(AQ85&lt;&gt;"Ready","Unavailable",IF(C85="","",(G85+O85+L85)/2*INDEX('Facilities'!$T$9:$T$108,MATCH(C85,'Facilities'!$C$9:$C$108,0))+AG85)))</x:f>
      </x:c>
      <x:c r="AA85" s="23" t="str">
        <x:f>IF(C85="","",IF(AQ85&lt;&gt;"Ready","Unavailable",IF(C85="","",O85*(1-IF(INDEX('Facilities'!$AA$9:$AA$108,MATCH(C85,'Facilities'!$C$9:$C$108,0))=0,0,MIN(1,INDEX('Facilities'!$X$9:$X$108,MATCH(C85,'Facilities'!$C$9:$C$108,0))/INDEX('Facilities'!$AA$9:$AA$108,MATCH(C85,'Facilities'!$C$9:$C$108,0)))))*AF85+P85*(1-IF(INDEX('Facilities'!$AA$9:$AA$108,MATCH(C85,'Facilities'!$C$9:$C$108,0))=0,0,MIN(1,INDEX('Facilities'!$X$9:$X$108,MATCH(C85,'Facilities'!$C$9:$C$108,0))/INDEX('Facilities'!$AA$9:$AA$108,MATCH(C85,'Facilities'!$C$9:$C$108,0)))))*INDEX('Facilities'!$AJ$9:$AJ$108,MATCH(C85,'Facilities'!$C$9:$C$108,0))+Q85*INDEX('Facilities'!$AI$9:$AI$108,MATCH(C85,'Facilities'!$C$9:$C$108,0))*AF85)))</x:f>
      </x:c>
      <x:c r="AB85" s="21" t="str">
        <x:f>IF(C85="","",O85+P85-AD85)</x:f>
      </x:c>
      <x:c r="AC85" s="23" t="str">
        <x:f>IF(C85="","",IFERROR(IF(INDEX('Facilities'!$AD$9:$AD$108,MATCH(C85,'Facilities'!$C$9:$C$108,0))=3,0,IF(INDEX('Facilities'!$AN$9:$AN$108,MATCH(C85,'Facilities'!$C$9:$C$108,0))=0,-1,INDEX('Facilities'!$AN$9:$AN$108,MATCH(C85,'Facilities'!$C$9:$C$108,0)))),"Unavailable"))</x:f>
      </x:c>
      <x:c r="AD85" s="21" t="str">
        <x:f>IF(C85="","",IFERROR(G85+H85,"Unavailable"))</x:f>
      </x:c>
      <x:c r="AE85" s="21" t="str">
        <x:f>IF(C85="","",IF(AQ85&lt;&gt;"Ready","Unavailable",IF(C85="","",O85+P85-AD85-J85+K85+M85+N85)))</x:f>
      </x:c>
      <x:c r="AF85" s="30" t="str">
        <x:f>IF(C85="","",IFERROR(INDEX('Facilities'!$S$9:$S$108,MATCH(C85,'Facilities'!$C$9:$C$108,0))*'Scenario Paths'!F75,"Unavailable"))</x:f>
      </x:c>
      <x:c r="AG85" s="23" t="str">
        <x:f>IF(C85="","",IF(AQ85&lt;&gt;"Ready","Unavailable",IF(C85="","",IF(H85&gt;0,MAX(0,H85-AK85)*((1+INDEX('Facilities'!$K$9:$K$108,MATCH(C85,'Facilities'!$C$9:$C$108,0)))^MIN(1,MAX(0,AC85+INDEX('Facilities'!$AK$9:$AK$108,MATCH(C85,'Facilities'!$C$9:$C$108,0))-D85+1))-1),0))))</x:f>
      </x:c>
      <x:c r="AH85" s="21" t="str">
        <x:f>IF(C85="","",IF(AQ85&lt;&gt;"Ready","Unavailable",IF(C85="","",O85+P85)))</x:f>
      </x:c>
      <x:c r="AI85" s="21" t="str">
        <x:f>IF(C85="","",IF(AQ85&lt;&gt;"Ready","Unavailable",IF(C85="","",Z85-Y85)))</x:f>
      </x:c>
      <x:c r="AJ85" s="23" t="str">
        <x:f>IF(C85="","",IFERROR(MAX(0,INDEX('Facilities'!$J$9:$J$108,MATCH(C85,'Facilities'!$C$9:$C$108,0))-D85),"Unavailable"))</x:f>
      </x:c>
      <x:c r="AK85" s="23" t="str">
        <x:f>IF(C85="","",IFERROR(IF(INDEX('Facilities'!$AD$9:$AD$108,MATCH(C85,'Facilities'!$C$9:$C$108,0))=3,W85,0),"Unavailable"))</x:f>
      </x:c>
      <x:c r="AL85" s="23" t="str">
        <x:f>IF(C85="","",IFERROR(IF(P85&gt;0,P85*(1-AM85/(1+INDEX('Facilities'!$K$9:$K$108,MATCH(C85,'Facilities'!$C$9:$C$108,0)))^MAX(0,AC85+INDEX('Facilities'!$AK$9:$AK$108,MATCH(C85,'Facilities'!$C$9:$C$108,0))-D85)),0),"Unavailable"))</x:f>
      </x:c>
      <x:c r="AM85" s="30" t="str">
        <x:f>IF(C85="","",IFERROR(INDEX('Facilities'!$AL$9:$AL$108,MATCH(C85,'Facilities'!$C$9:$C$108,0)),"Unavailable"))</x:f>
      </x:c>
      <x:c r="AN85" s="30" t="str">
        <x:f>IF(C85="","",IFERROR(INDEX(Credit!$T$9:$T$108,MATCH(F85,Credit!$C$9:$C$108,0)),"Unavailable"))</x:f>
      </x:c>
      <x:c r="AO85" s="23" t="str">
        <x:f>IF(C85="","",IF(AQ85&lt;&gt;"Ready","Unavailable",IF(C85="","",O85+P85+Q85*INDEX('Facilities'!$I$9:$I$108,MATCH(C85,'Facilities'!$C$9:$C$108,0)))))</x:f>
      </x:c>
      <x:c r="AP85" s="21" t="str">
        <x:f>IF(C85="","",IF(AQ85&lt;&gt;"Ready","Unavailable",IF(C85="","",AH85-U85)))</x:f>
      </x:c>
      <x:c r="AQ85" s="23" t="str">
        <x:f>IFERROR(IF(C85="","",IF(AND(INDEX('Facilities'!$AF$9:$AF$108,MATCH(C85,'Facilities'!$C$9:$C$108,0))="Ready",INDEX(Credit!$U$9:$U$108,MATCH(F85,Credit!$C$9:$C$108,0))="Ready",ISNUMBER(W85)),"Ready","Review inputs")),"Review inputs")</x:f>
      </x:c>
      <x:c r="AR85" s="23" t="str">
        <x:f>IF(C85="","",IF(AQ85&lt;&gt;"Ready","Unavailable",IF(C85="","",IF(O85=0,0,(IF(AJ85&lt;=1,O85,O85*INDEX('Facilities'!$R$9:$R$108,MATCH(C85,'Facilities'!$C$9:$C$108,0)))+O85*INDEX('Facilities'!$T$9:$T$108,MATCH(C85,'Facilities'!$C$9:$C$108,0)))/12))))</x:f>
      </x:c>
    </x:row>
    <x:row r="86" ht="26" customHeight="1">
      <x:c r="A86" s="1"/>
      <x:c r="B86" s="1"/>
      <x:c r="C86" s="9" t="str">
        <x:f>IF(Facilities!C86="","",Facilities!C86)</x:f>
      </x:c>
      <x:c r="D86" s="3" t="n">
        <x:v>1</x:v>
      </x:c>
      <x:c r="E86" s="9" t="n">
        <x:f>Settings!$F$18+0</x:f>
        <x:v>2027</x:v>
      </x:c>
      <x:c r="F86" s="9" t="str">
        <x:f>IF(C86="","",IFERROR(INDEX('Facilities'!$D$9:$D$108,MATCH(C86,'Facilities'!$C$9:$C$108,0)),"Unavailable"))</x:f>
      </x:c>
      <x:c r="G86" s="23" t="str">
        <x:f>IF(C86="","",IFERROR(IF(INDEX('Facilities'!$AD$9:$AD$108,MATCH(C86,'Facilities'!$C$9:$C$108,0))=3,0,INDEX('Facilities'!$AA$9:$AA$108,MATCH(C86,'Facilities'!$C$9:$C$108,0))),"Unavailable"))</x:f>
      </x:c>
      <x:c r="H86" s="23" t="str">
        <x:f>IF(C86="","",IFERROR(IF(INDEX('Facilities'!$AD$9:$AD$108,MATCH(C86,'Facilities'!$C$9:$C$108,0))=3,INDEX('Facilities'!$AA$9:$AA$108,MATCH(C86,'Facilities'!$C$9:$C$108,0)),0),"Unavailable"))</x:f>
      </x:c>
      <x:c r="I86" s="23" t="str">
        <x:f>IF(C86="","",IFERROR(INDEX('Facilities'!$AB$9:$AB$108,MATCH(C86,'Facilities'!$C$9:$C$108,0)),"Unavailable"))</x:f>
      </x:c>
      <x:c r="J86" s="23" t="str">
        <x:f>IF(C86="","",IFERROR(IF(OR(H86&gt;0,AND(AC86&gt;=0,AC86&lt;D86),D86&gt;INDEX('Facilities'!$J$9:$J$108,MATCH(C86,'Facilities'!$C$9:$C$108,0))),0,I86*'Scenario Paths'!F81),"Unavailable"))</x:f>
      </x:c>
      <x:c r="K86" s="23" t="str">
        <x:f>IF(C86="","",IFERROR(IF(OR(H86&gt;0,AND(AC86&gt;=0,AC86=D86)),0,IF(D86&gt;=INDEX('Facilities'!$J$9:$J$108,MATCH(C86,'Facilities'!$C$9:$C$108,0)),G86+J86,MIN(G86+J86,G86*INDEX('Facilities'!$R$9:$R$108,MATCH(C86,'Facilities'!$C$9:$C$108,0))))),"Unavailable"))</x:f>
      </x:c>
      <x:c r="L86" s="21" t="str">
        <x:f>IF(C86="","",IFERROR(IF(AND(AC86=D86,AC86&gt;0),MAX(0,G86+J86-K86),0),"Unavailable"))</x:f>
      </x:c>
      <x:c r="M86" s="23" t="str">
        <x:f>IF(C86="","",IFERROR(IF(AND(AC86&gt;=0,D86&gt;=AC86+INDEX('Facilities'!$AK$9:$AK$108,MATCH(C86,'Facilities'!$C$9:$C$108,0))),(H86+L86)*AM86,0),"Unavailable"))</x:f>
      </x:c>
      <x:c r="N86" s="23" t="str">
        <x:f>IF(C86="","",IFERROR(IF(AND(AC86&gt;=0,D86&gt;=AC86+INDEX('Facilities'!$AK$9:$AK$108,MATCH(C86,'Facilities'!$C$9:$C$108,0))),H86+L86-M86,0),"Unavailable"))</x:f>
      </x:c>
      <x:c r="O86" s="21" t="str">
        <x:f>IF(C86="","",IFERROR(MAX(0,G86+J86-K86-L86),"Unavailable"))</x:f>
      </x:c>
      <x:c r="P86" s="21" t="str">
        <x:f>IF(C86="","",IFERROR(MAX(0,H86+L86-M86-N86),"Unavailable"))</x:f>
      </x:c>
      <x:c r="Q86" s="23" t="str">
        <x:f>IF(C86="","",IFERROR(IF(OR(D86&gt;=INDEX('Facilities'!$J$9:$J$108,MATCH(C86,'Facilities'!$C$9:$C$108,0)),AND(AC86&gt;=0,AC86&lt;=D86)),0,MAX(0,I86-J86)),"Unavailable"))</x:f>
      </x:c>
      <x:c r="R86" s="30" t="str">
        <x:f>IF(C86="","",IFERROR(INDEX(Credit!$Q$9:$Q$108,MATCH(F86,Credit!$C$9:$C$108,0)),"Unavailable"))</x:f>
      </x:c>
      <x:c r="S86" s="30" t="str">
        <x:f>IF(C86="","",IFERROR(INDEX(Credit!$R$9:$R$108,MATCH(F86,Credit!$C$9:$C$108,0)),"Unavailable"))</x:f>
      </x:c>
      <x:c r="T86" s="23" t="str">
        <x:f>IF(C86="","",IFERROR(IF(P86&gt;0,3,IF(OR(INDEX('Facilities'!$AD$9:$AD$108,MATCH(C86,'Facilities'!$C$9:$C$108,0))=2,AND(R86&gt;=INDEX('Facilities'!$L$9:$L$108,MATCH(C86,'Facilities'!$C$9:$C$108,0))*Settings!$F$19,R86-INDEX('Facilities'!$L$9:$L$108,MATCH(C86,'Facilities'!$C$9:$C$108,0))&gt;=Settings!$F$20)),2,1)),"Unavailable"))</x:f>
      </x:c>
      <x:c r="U86" s="23" t="str">
        <x:f>IF(C86="","",IF(AQ86&lt;&gt;"Ready","Unavailable",IF(C86="","",O86*(1-(1-S86)/(1+INDEX('Facilities'!$K$9:$K$108,MATCH(C86,'Facilities'!$C$9:$C$108,0)))^INDEX('Facilities'!$AK$9:$AK$108,MATCH(C86,'Facilities'!$C$9:$C$108,0)))*R86/(1+INDEX('Facilities'!$K$9:$K$108,MATCH(C86,'Facilities'!$C$9:$C$108,0)))*IF(ABS(1-(1-R86)*(1-INDEX('Facilities'!$R$9:$R$108,MATCH(C86,'Facilities'!$C$9:$C$108,0)))/(1+INDEX('Facilities'!$K$9:$K$108,MATCH(C86,'Facilities'!$C$9:$C$108,0))))&lt;0.000000001,IF(T86=1,MIN(1,AJ86),AJ86),(1-((1-R86)*(1-INDEX('Facilities'!$R$9:$R$108,MATCH(C86,'Facilities'!$C$9:$C$108,0)))/(1+INDEX('Facilities'!$K$9:$K$108,MATCH(C86,'Facilities'!$C$9:$C$108,0))))^IF(T86=1,MIN(1,AJ86),AJ86))/(1-(1-R86)*(1-INDEX('Facilities'!$R$9:$R$108,MATCH(C86,'Facilities'!$C$9:$C$108,0)))/(1+INDEX('Facilities'!$K$9:$K$108,MATCH(C86,'Facilities'!$C$9:$C$108,0)))))+AL86)))</x:f>
      </x:c>
      <x:c r="V86" s="23" t="str">
        <x:f>IF(C86="","",IF(AQ86&lt;&gt;"Ready","Unavailable",IF(C86="","",Q86*INDEX('Facilities'!$I$9:$I$108,MATCH(C86,'Facilities'!$C$9:$C$108,0))*(1-(1-S86)/(1+INDEX('Facilities'!$K$9:$K$108,MATCH(C86,'Facilities'!$C$9:$C$108,0)))^INDEX('Facilities'!$AK$9:$AK$108,MATCH(C86,'Facilities'!$C$9:$C$108,0)))*R86/(1+INDEX('Facilities'!$K$9:$K$108,MATCH(C86,'Facilities'!$C$9:$C$108,0)))*IF(ABS(1-(1-R86)*(1-0)/(1+INDEX('Facilities'!$K$9:$K$108,MATCH(C86,'Facilities'!$C$9:$C$108,0))))&lt;0.000000001,IF(T86=1,MIN(1,AJ86),AJ86),(1-((1-R86)*(1-0)/(1+INDEX('Facilities'!$K$9:$K$108,MATCH(C86,'Facilities'!$C$9:$C$108,0))))^IF(T86=1,MIN(1,AJ86),AJ86))/(1-(1-R86)*(1-0)/(1+INDEX('Facilities'!$K$9:$K$108,MATCH(C86,'Facilities'!$C$9:$C$108,0))))))))</x:f>
      </x:c>
      <x:c r="W86" s="23" t="str">
        <x:f>IF(C86="","",IFERROR(INDEX(ECL!$AB$9:$AB$108,MATCH(C86,ECL!$C$9:$C$108,0)),"Unavailable"))</x:f>
      </x:c>
      <x:c r="X86" s="23" t="str">
        <x:f>IF(C86="","",IFERROR(INDEX(ECL!$AC$9:$AC$108,MATCH(C86,ECL!$C$9:$C$108,0)),"Unavailable"))</x:f>
      </x:c>
      <x:c r="Y86" s="21" t="str">
        <x:f>IF(C86="","",IF(AQ86&lt;&gt;"Ready","Unavailable",IF(C86="","",U86-W86+V86-X86+N86+AG86)))</x:f>
      </x:c>
      <x:c r="Z86" s="23" t="str">
        <x:f>IF(C86="","",IF(AQ86&lt;&gt;"Ready","Unavailable",IF(C86="","",(G86+O86+L86)/2*INDEX('Facilities'!$T$9:$T$108,MATCH(C86,'Facilities'!$C$9:$C$108,0))+AG86)))</x:f>
      </x:c>
      <x:c r="AA86" s="23" t="str">
        <x:f>IF(C86="","",IF(AQ86&lt;&gt;"Ready","Unavailable",IF(C86="","",O86*(1-IF(INDEX('Facilities'!$AA$9:$AA$108,MATCH(C86,'Facilities'!$C$9:$C$108,0))=0,0,MIN(1,INDEX('Facilities'!$X$9:$X$108,MATCH(C86,'Facilities'!$C$9:$C$108,0))/INDEX('Facilities'!$AA$9:$AA$108,MATCH(C86,'Facilities'!$C$9:$C$108,0)))))*AF86+P86*(1-IF(INDEX('Facilities'!$AA$9:$AA$108,MATCH(C86,'Facilities'!$C$9:$C$108,0))=0,0,MIN(1,INDEX('Facilities'!$X$9:$X$108,MATCH(C86,'Facilities'!$C$9:$C$108,0))/INDEX('Facilities'!$AA$9:$AA$108,MATCH(C86,'Facilities'!$C$9:$C$108,0)))))*INDEX('Facilities'!$AJ$9:$AJ$108,MATCH(C86,'Facilities'!$C$9:$C$108,0))+Q86*INDEX('Facilities'!$AI$9:$AI$108,MATCH(C86,'Facilities'!$C$9:$C$108,0))*AF86)))</x:f>
      </x:c>
      <x:c r="AB86" s="21" t="str">
        <x:f>IF(C86="","",O86+P86-AD86)</x:f>
      </x:c>
      <x:c r="AC86" s="23" t="str">
        <x:f>IF(C86="","",IFERROR(IF(INDEX('Facilities'!$AD$9:$AD$108,MATCH(C86,'Facilities'!$C$9:$C$108,0))=3,0,IF(INDEX('Facilities'!$AN$9:$AN$108,MATCH(C86,'Facilities'!$C$9:$C$108,0))=0,-1,INDEX('Facilities'!$AN$9:$AN$108,MATCH(C86,'Facilities'!$C$9:$C$108,0)))),"Unavailable"))</x:f>
      </x:c>
      <x:c r="AD86" s="21" t="str">
        <x:f>IF(C86="","",IFERROR(G86+H86,"Unavailable"))</x:f>
      </x:c>
      <x:c r="AE86" s="21" t="str">
        <x:f>IF(C86="","",IF(AQ86&lt;&gt;"Ready","Unavailable",IF(C86="","",O86+P86-AD86-J86+K86+M86+N86)))</x:f>
      </x:c>
      <x:c r="AF86" s="30" t="str">
        <x:f>IF(C86="","",IFERROR(INDEX('Facilities'!$S$9:$S$108,MATCH(C86,'Facilities'!$C$9:$C$108,0))*'Scenario Paths'!F75,"Unavailable"))</x:f>
      </x:c>
      <x:c r="AG86" s="23" t="str">
        <x:f>IF(C86="","",IF(AQ86&lt;&gt;"Ready","Unavailable",IF(C86="","",IF(H86&gt;0,MAX(0,H86-AK86)*((1+INDEX('Facilities'!$K$9:$K$108,MATCH(C86,'Facilities'!$C$9:$C$108,0)))^MIN(1,MAX(0,AC86+INDEX('Facilities'!$AK$9:$AK$108,MATCH(C86,'Facilities'!$C$9:$C$108,0))-D86+1))-1),0))))</x:f>
      </x:c>
      <x:c r="AH86" s="21" t="str">
        <x:f>IF(C86="","",IF(AQ86&lt;&gt;"Ready","Unavailable",IF(C86="","",O86+P86)))</x:f>
      </x:c>
      <x:c r="AI86" s="21" t="str">
        <x:f>IF(C86="","",IF(AQ86&lt;&gt;"Ready","Unavailable",IF(C86="","",Z86-Y86)))</x:f>
      </x:c>
      <x:c r="AJ86" s="23" t="str">
        <x:f>IF(C86="","",IFERROR(MAX(0,INDEX('Facilities'!$J$9:$J$108,MATCH(C86,'Facilities'!$C$9:$C$108,0))-D86),"Unavailable"))</x:f>
      </x:c>
      <x:c r="AK86" s="23" t="str">
        <x:f>IF(C86="","",IFERROR(IF(INDEX('Facilities'!$AD$9:$AD$108,MATCH(C86,'Facilities'!$C$9:$C$108,0))=3,W86,0),"Unavailable"))</x:f>
      </x:c>
      <x:c r="AL86" s="23" t="str">
        <x:f>IF(C86="","",IFERROR(IF(P86&gt;0,P86*(1-AM86/(1+INDEX('Facilities'!$K$9:$K$108,MATCH(C86,'Facilities'!$C$9:$C$108,0)))^MAX(0,AC86+INDEX('Facilities'!$AK$9:$AK$108,MATCH(C86,'Facilities'!$C$9:$C$108,0))-D86)),0),"Unavailable"))</x:f>
      </x:c>
      <x:c r="AM86" s="30" t="str">
        <x:f>IF(C86="","",IFERROR(INDEX('Facilities'!$AL$9:$AL$108,MATCH(C86,'Facilities'!$C$9:$C$108,0)),"Unavailable"))</x:f>
      </x:c>
      <x:c r="AN86" s="30" t="str">
        <x:f>IF(C86="","",IFERROR(INDEX(Credit!$T$9:$T$108,MATCH(F86,Credit!$C$9:$C$108,0)),"Unavailable"))</x:f>
      </x:c>
      <x:c r="AO86" s="23" t="str">
        <x:f>IF(C86="","",IF(AQ86&lt;&gt;"Ready","Unavailable",IF(C86="","",O86+P86+Q86*INDEX('Facilities'!$I$9:$I$108,MATCH(C86,'Facilities'!$C$9:$C$108,0)))))</x:f>
      </x:c>
      <x:c r="AP86" s="21" t="str">
        <x:f>IF(C86="","",IF(AQ86&lt;&gt;"Ready","Unavailable",IF(C86="","",AH86-U86)))</x:f>
      </x:c>
      <x:c r="AQ86" s="23" t="str">
        <x:f>IFERROR(IF(C86="","",IF(AND(INDEX('Facilities'!$AF$9:$AF$108,MATCH(C86,'Facilities'!$C$9:$C$108,0))="Ready",INDEX(Credit!$U$9:$U$108,MATCH(F86,Credit!$C$9:$C$108,0))="Ready",ISNUMBER(W86)),"Ready","Review inputs")),"Review inputs")</x:f>
      </x:c>
      <x:c r="AR86" s="23" t="str">
        <x:f>IF(C86="","",IF(AQ86&lt;&gt;"Ready","Unavailable",IF(C86="","",IF(O86=0,0,(IF(AJ86&lt;=1,O86,O86*INDEX('Facilities'!$R$9:$R$108,MATCH(C86,'Facilities'!$C$9:$C$108,0)))+O86*INDEX('Facilities'!$T$9:$T$108,MATCH(C86,'Facilities'!$C$9:$C$108,0)))/12))))</x:f>
      </x:c>
    </x:row>
    <x:row r="87" ht="26" customHeight="1">
      <x:c r="A87" s="1"/>
      <x:c r="B87" s="1"/>
      <x:c r="C87" s="9" t="str">
        <x:f>IF(Facilities!C87="","",Facilities!C87)</x:f>
      </x:c>
      <x:c r="D87" s="3" t="n">
        <x:v>1</x:v>
      </x:c>
      <x:c r="E87" s="9" t="n">
        <x:f>Settings!$F$18+0</x:f>
        <x:v>2027</x:v>
      </x:c>
      <x:c r="F87" s="9" t="str">
        <x:f>IF(C87="","",IFERROR(INDEX('Facilities'!$D$9:$D$108,MATCH(C87,'Facilities'!$C$9:$C$108,0)),"Unavailable"))</x:f>
      </x:c>
      <x:c r="G87" s="23" t="str">
        <x:f>IF(C87="","",IFERROR(IF(INDEX('Facilities'!$AD$9:$AD$108,MATCH(C87,'Facilities'!$C$9:$C$108,0))=3,0,INDEX('Facilities'!$AA$9:$AA$108,MATCH(C87,'Facilities'!$C$9:$C$108,0))),"Unavailable"))</x:f>
      </x:c>
      <x:c r="H87" s="23" t="str">
        <x:f>IF(C87="","",IFERROR(IF(INDEX('Facilities'!$AD$9:$AD$108,MATCH(C87,'Facilities'!$C$9:$C$108,0))=3,INDEX('Facilities'!$AA$9:$AA$108,MATCH(C87,'Facilities'!$C$9:$C$108,0)),0),"Unavailable"))</x:f>
      </x:c>
      <x:c r="I87" s="23" t="str">
        <x:f>IF(C87="","",IFERROR(INDEX('Facilities'!$AB$9:$AB$108,MATCH(C87,'Facilities'!$C$9:$C$108,0)),"Unavailable"))</x:f>
      </x:c>
      <x:c r="J87" s="23" t="str">
        <x:f>IF(C87="","",IFERROR(IF(OR(H87&gt;0,AND(AC87&gt;=0,AC87&lt;D87),D87&gt;INDEX('Facilities'!$J$9:$J$108,MATCH(C87,'Facilities'!$C$9:$C$108,0))),0,I87*'Scenario Paths'!F81),"Unavailable"))</x:f>
      </x:c>
      <x:c r="K87" s="23" t="str">
        <x:f>IF(C87="","",IFERROR(IF(OR(H87&gt;0,AND(AC87&gt;=0,AC87=D87)),0,IF(D87&gt;=INDEX('Facilities'!$J$9:$J$108,MATCH(C87,'Facilities'!$C$9:$C$108,0)),G87+J87,MIN(G87+J87,G87*INDEX('Facilities'!$R$9:$R$108,MATCH(C87,'Facilities'!$C$9:$C$108,0))))),"Unavailable"))</x:f>
      </x:c>
      <x:c r="L87" s="21" t="str">
        <x:f>IF(C87="","",IFERROR(IF(AND(AC87=D87,AC87&gt;0),MAX(0,G87+J87-K87),0),"Unavailable"))</x:f>
      </x:c>
      <x:c r="M87" s="23" t="str">
        <x:f>IF(C87="","",IFERROR(IF(AND(AC87&gt;=0,D87&gt;=AC87+INDEX('Facilities'!$AK$9:$AK$108,MATCH(C87,'Facilities'!$C$9:$C$108,0))),(H87+L87)*AM87,0),"Unavailable"))</x:f>
      </x:c>
      <x:c r="N87" s="23" t="str">
        <x:f>IF(C87="","",IFERROR(IF(AND(AC87&gt;=0,D87&gt;=AC87+INDEX('Facilities'!$AK$9:$AK$108,MATCH(C87,'Facilities'!$C$9:$C$108,0))),H87+L87-M87,0),"Unavailable"))</x:f>
      </x:c>
      <x:c r="O87" s="21" t="str">
        <x:f>IF(C87="","",IFERROR(MAX(0,G87+J87-K87-L87),"Unavailable"))</x:f>
      </x:c>
      <x:c r="P87" s="21" t="str">
        <x:f>IF(C87="","",IFERROR(MAX(0,H87+L87-M87-N87),"Unavailable"))</x:f>
      </x:c>
      <x:c r="Q87" s="23" t="str">
        <x:f>IF(C87="","",IFERROR(IF(OR(D87&gt;=INDEX('Facilities'!$J$9:$J$108,MATCH(C87,'Facilities'!$C$9:$C$108,0)),AND(AC87&gt;=0,AC87&lt;=D87)),0,MAX(0,I87-J87)),"Unavailable"))</x:f>
      </x:c>
      <x:c r="R87" s="30" t="str">
        <x:f>IF(C87="","",IFERROR(INDEX(Credit!$Q$9:$Q$108,MATCH(F87,Credit!$C$9:$C$108,0)),"Unavailable"))</x:f>
      </x:c>
      <x:c r="S87" s="30" t="str">
        <x:f>IF(C87="","",IFERROR(INDEX(Credit!$R$9:$R$108,MATCH(F87,Credit!$C$9:$C$108,0)),"Unavailable"))</x:f>
      </x:c>
      <x:c r="T87" s="23" t="str">
        <x:f>IF(C87="","",IFERROR(IF(P87&gt;0,3,IF(OR(INDEX('Facilities'!$AD$9:$AD$108,MATCH(C87,'Facilities'!$C$9:$C$108,0))=2,AND(R87&gt;=INDEX('Facilities'!$L$9:$L$108,MATCH(C87,'Facilities'!$C$9:$C$108,0))*Settings!$F$19,R87-INDEX('Facilities'!$L$9:$L$108,MATCH(C87,'Facilities'!$C$9:$C$108,0))&gt;=Settings!$F$20)),2,1)),"Unavailable"))</x:f>
      </x:c>
      <x:c r="U87" s="23" t="str">
        <x:f>IF(C87="","",IF(AQ87&lt;&gt;"Ready","Unavailable",IF(C87="","",O87*(1-(1-S87)/(1+INDEX('Facilities'!$K$9:$K$108,MATCH(C87,'Facilities'!$C$9:$C$108,0)))^INDEX('Facilities'!$AK$9:$AK$108,MATCH(C87,'Facilities'!$C$9:$C$108,0)))*R87/(1+INDEX('Facilities'!$K$9:$K$108,MATCH(C87,'Facilities'!$C$9:$C$108,0)))*IF(ABS(1-(1-R87)*(1-INDEX('Facilities'!$R$9:$R$108,MATCH(C87,'Facilities'!$C$9:$C$108,0)))/(1+INDEX('Facilities'!$K$9:$K$108,MATCH(C87,'Facilities'!$C$9:$C$108,0))))&lt;0.000000001,IF(T87=1,MIN(1,AJ87),AJ87),(1-((1-R87)*(1-INDEX('Facilities'!$R$9:$R$108,MATCH(C87,'Facilities'!$C$9:$C$108,0)))/(1+INDEX('Facilities'!$K$9:$K$108,MATCH(C87,'Facilities'!$C$9:$C$108,0))))^IF(T87=1,MIN(1,AJ87),AJ87))/(1-(1-R87)*(1-INDEX('Facilities'!$R$9:$R$108,MATCH(C87,'Facilities'!$C$9:$C$108,0)))/(1+INDEX('Facilities'!$K$9:$K$108,MATCH(C87,'Facilities'!$C$9:$C$108,0)))))+AL87)))</x:f>
      </x:c>
      <x:c r="V87" s="23" t="str">
        <x:f>IF(C87="","",IF(AQ87&lt;&gt;"Ready","Unavailable",IF(C87="","",Q87*INDEX('Facilities'!$I$9:$I$108,MATCH(C87,'Facilities'!$C$9:$C$108,0))*(1-(1-S87)/(1+INDEX('Facilities'!$K$9:$K$108,MATCH(C87,'Facilities'!$C$9:$C$108,0)))^INDEX('Facilities'!$AK$9:$AK$108,MATCH(C87,'Facilities'!$C$9:$C$108,0)))*R87/(1+INDEX('Facilities'!$K$9:$K$108,MATCH(C87,'Facilities'!$C$9:$C$108,0)))*IF(ABS(1-(1-R87)*(1-0)/(1+INDEX('Facilities'!$K$9:$K$108,MATCH(C87,'Facilities'!$C$9:$C$108,0))))&lt;0.000000001,IF(T87=1,MIN(1,AJ87),AJ87),(1-((1-R87)*(1-0)/(1+INDEX('Facilities'!$K$9:$K$108,MATCH(C87,'Facilities'!$C$9:$C$108,0))))^IF(T87=1,MIN(1,AJ87),AJ87))/(1-(1-R87)*(1-0)/(1+INDEX('Facilities'!$K$9:$K$108,MATCH(C87,'Facilities'!$C$9:$C$108,0))))))))</x:f>
      </x:c>
      <x:c r="W87" s="23" t="str">
        <x:f>IF(C87="","",IFERROR(INDEX(ECL!$AB$9:$AB$108,MATCH(C87,ECL!$C$9:$C$108,0)),"Unavailable"))</x:f>
      </x:c>
      <x:c r="X87" s="23" t="str">
        <x:f>IF(C87="","",IFERROR(INDEX(ECL!$AC$9:$AC$108,MATCH(C87,ECL!$C$9:$C$108,0)),"Unavailable"))</x:f>
      </x:c>
      <x:c r="Y87" s="21" t="str">
        <x:f>IF(C87="","",IF(AQ87&lt;&gt;"Ready","Unavailable",IF(C87="","",U87-W87+V87-X87+N87+AG87)))</x:f>
      </x:c>
      <x:c r="Z87" s="23" t="str">
        <x:f>IF(C87="","",IF(AQ87&lt;&gt;"Ready","Unavailable",IF(C87="","",(G87+O87+L87)/2*INDEX('Facilities'!$T$9:$T$108,MATCH(C87,'Facilities'!$C$9:$C$108,0))+AG87)))</x:f>
      </x:c>
      <x:c r="AA87" s="23" t="str">
        <x:f>IF(C87="","",IF(AQ87&lt;&gt;"Ready","Unavailable",IF(C87="","",O87*(1-IF(INDEX('Facilities'!$AA$9:$AA$108,MATCH(C87,'Facilities'!$C$9:$C$108,0))=0,0,MIN(1,INDEX('Facilities'!$X$9:$X$108,MATCH(C87,'Facilities'!$C$9:$C$108,0))/INDEX('Facilities'!$AA$9:$AA$108,MATCH(C87,'Facilities'!$C$9:$C$108,0)))))*AF87+P87*(1-IF(INDEX('Facilities'!$AA$9:$AA$108,MATCH(C87,'Facilities'!$C$9:$C$108,0))=0,0,MIN(1,INDEX('Facilities'!$X$9:$X$108,MATCH(C87,'Facilities'!$C$9:$C$108,0))/INDEX('Facilities'!$AA$9:$AA$108,MATCH(C87,'Facilities'!$C$9:$C$108,0)))))*INDEX('Facilities'!$AJ$9:$AJ$108,MATCH(C87,'Facilities'!$C$9:$C$108,0))+Q87*INDEX('Facilities'!$AI$9:$AI$108,MATCH(C87,'Facilities'!$C$9:$C$108,0))*AF87)))</x:f>
      </x:c>
      <x:c r="AB87" s="21" t="str">
        <x:f>IF(C87="","",O87+P87-AD87)</x:f>
      </x:c>
      <x:c r="AC87" s="23" t="str">
        <x:f>IF(C87="","",IFERROR(IF(INDEX('Facilities'!$AD$9:$AD$108,MATCH(C87,'Facilities'!$C$9:$C$108,0))=3,0,IF(INDEX('Facilities'!$AN$9:$AN$108,MATCH(C87,'Facilities'!$C$9:$C$108,0))=0,-1,INDEX('Facilities'!$AN$9:$AN$108,MATCH(C87,'Facilities'!$C$9:$C$108,0)))),"Unavailable"))</x:f>
      </x:c>
      <x:c r="AD87" s="21" t="str">
        <x:f>IF(C87="","",IFERROR(G87+H87,"Unavailable"))</x:f>
      </x:c>
      <x:c r="AE87" s="21" t="str">
        <x:f>IF(C87="","",IF(AQ87&lt;&gt;"Ready","Unavailable",IF(C87="","",O87+P87-AD87-J87+K87+M87+N87)))</x:f>
      </x:c>
      <x:c r="AF87" s="30" t="str">
        <x:f>IF(C87="","",IFERROR(INDEX('Facilities'!$S$9:$S$108,MATCH(C87,'Facilities'!$C$9:$C$108,0))*'Scenario Paths'!F75,"Unavailable"))</x:f>
      </x:c>
      <x:c r="AG87" s="23" t="str">
        <x:f>IF(C87="","",IF(AQ87&lt;&gt;"Ready","Unavailable",IF(C87="","",IF(H87&gt;0,MAX(0,H87-AK87)*((1+INDEX('Facilities'!$K$9:$K$108,MATCH(C87,'Facilities'!$C$9:$C$108,0)))^MIN(1,MAX(0,AC87+INDEX('Facilities'!$AK$9:$AK$108,MATCH(C87,'Facilities'!$C$9:$C$108,0))-D87+1))-1),0))))</x:f>
      </x:c>
      <x:c r="AH87" s="21" t="str">
        <x:f>IF(C87="","",IF(AQ87&lt;&gt;"Ready","Unavailable",IF(C87="","",O87+P87)))</x:f>
      </x:c>
      <x:c r="AI87" s="21" t="str">
        <x:f>IF(C87="","",IF(AQ87&lt;&gt;"Ready","Unavailable",IF(C87="","",Z87-Y87)))</x:f>
      </x:c>
      <x:c r="AJ87" s="23" t="str">
        <x:f>IF(C87="","",IFERROR(MAX(0,INDEX('Facilities'!$J$9:$J$108,MATCH(C87,'Facilities'!$C$9:$C$108,0))-D87),"Unavailable"))</x:f>
      </x:c>
      <x:c r="AK87" s="23" t="str">
        <x:f>IF(C87="","",IFERROR(IF(INDEX('Facilities'!$AD$9:$AD$108,MATCH(C87,'Facilities'!$C$9:$C$108,0))=3,W87,0),"Unavailable"))</x:f>
      </x:c>
      <x:c r="AL87" s="23" t="str">
        <x:f>IF(C87="","",IFERROR(IF(P87&gt;0,P87*(1-AM87/(1+INDEX('Facilities'!$K$9:$K$108,MATCH(C87,'Facilities'!$C$9:$C$108,0)))^MAX(0,AC87+INDEX('Facilities'!$AK$9:$AK$108,MATCH(C87,'Facilities'!$C$9:$C$108,0))-D87)),0),"Unavailable"))</x:f>
      </x:c>
      <x:c r="AM87" s="30" t="str">
        <x:f>IF(C87="","",IFERROR(INDEX('Facilities'!$AL$9:$AL$108,MATCH(C87,'Facilities'!$C$9:$C$108,0)),"Unavailable"))</x:f>
      </x:c>
      <x:c r="AN87" s="30" t="str">
        <x:f>IF(C87="","",IFERROR(INDEX(Credit!$T$9:$T$108,MATCH(F87,Credit!$C$9:$C$108,0)),"Unavailable"))</x:f>
      </x:c>
      <x:c r="AO87" s="23" t="str">
        <x:f>IF(C87="","",IF(AQ87&lt;&gt;"Ready","Unavailable",IF(C87="","",O87+P87+Q87*INDEX('Facilities'!$I$9:$I$108,MATCH(C87,'Facilities'!$C$9:$C$108,0)))))</x:f>
      </x:c>
      <x:c r="AP87" s="21" t="str">
        <x:f>IF(C87="","",IF(AQ87&lt;&gt;"Ready","Unavailable",IF(C87="","",AH87-U87)))</x:f>
      </x:c>
      <x:c r="AQ87" s="23" t="str">
        <x:f>IFERROR(IF(C87="","",IF(AND(INDEX('Facilities'!$AF$9:$AF$108,MATCH(C87,'Facilities'!$C$9:$C$108,0))="Ready",INDEX(Credit!$U$9:$U$108,MATCH(F87,Credit!$C$9:$C$108,0))="Ready",ISNUMBER(W87)),"Ready","Review inputs")),"Review inputs")</x:f>
      </x:c>
      <x:c r="AR87" s="23" t="str">
        <x:f>IF(C87="","",IF(AQ87&lt;&gt;"Ready","Unavailable",IF(C87="","",IF(O87=0,0,(IF(AJ87&lt;=1,O87,O87*INDEX('Facilities'!$R$9:$R$108,MATCH(C87,'Facilities'!$C$9:$C$108,0)))+O87*INDEX('Facilities'!$T$9:$T$108,MATCH(C87,'Facilities'!$C$9:$C$108,0)))/12))))</x:f>
      </x:c>
    </x:row>
    <x:row r="88" ht="26" customHeight="1">
      <x:c r="A88" s="1"/>
      <x:c r="B88" s="1"/>
      <x:c r="C88" s="9" t="str">
        <x:f>IF(Facilities!C88="","",Facilities!C88)</x:f>
      </x:c>
      <x:c r="D88" s="3" t="n">
        <x:v>1</x:v>
      </x:c>
      <x:c r="E88" s="9" t="n">
        <x:f>Settings!$F$18+0</x:f>
        <x:v>2027</x:v>
      </x:c>
      <x:c r="F88" s="9" t="str">
        <x:f>IF(C88="","",IFERROR(INDEX('Facilities'!$D$9:$D$108,MATCH(C88,'Facilities'!$C$9:$C$108,0)),"Unavailable"))</x:f>
      </x:c>
      <x:c r="G88" s="23" t="str">
        <x:f>IF(C88="","",IFERROR(IF(INDEX('Facilities'!$AD$9:$AD$108,MATCH(C88,'Facilities'!$C$9:$C$108,0))=3,0,INDEX('Facilities'!$AA$9:$AA$108,MATCH(C88,'Facilities'!$C$9:$C$108,0))),"Unavailable"))</x:f>
      </x:c>
      <x:c r="H88" s="23" t="str">
        <x:f>IF(C88="","",IFERROR(IF(INDEX('Facilities'!$AD$9:$AD$108,MATCH(C88,'Facilities'!$C$9:$C$108,0))=3,INDEX('Facilities'!$AA$9:$AA$108,MATCH(C88,'Facilities'!$C$9:$C$108,0)),0),"Unavailable"))</x:f>
      </x:c>
      <x:c r="I88" s="23" t="str">
        <x:f>IF(C88="","",IFERROR(INDEX('Facilities'!$AB$9:$AB$108,MATCH(C88,'Facilities'!$C$9:$C$108,0)),"Unavailable"))</x:f>
      </x:c>
      <x:c r="J88" s="23" t="str">
        <x:f>IF(C88="","",IFERROR(IF(OR(H88&gt;0,AND(AC88&gt;=0,AC88&lt;D88),D88&gt;INDEX('Facilities'!$J$9:$J$108,MATCH(C88,'Facilities'!$C$9:$C$108,0))),0,I88*'Scenario Paths'!F81),"Unavailable"))</x:f>
      </x:c>
      <x:c r="K88" s="23" t="str">
        <x:f>IF(C88="","",IFERROR(IF(OR(H88&gt;0,AND(AC88&gt;=0,AC88=D88)),0,IF(D88&gt;=INDEX('Facilities'!$J$9:$J$108,MATCH(C88,'Facilities'!$C$9:$C$108,0)),G88+J88,MIN(G88+J88,G88*INDEX('Facilities'!$R$9:$R$108,MATCH(C88,'Facilities'!$C$9:$C$108,0))))),"Unavailable"))</x:f>
      </x:c>
      <x:c r="L88" s="21" t="str">
        <x:f>IF(C88="","",IFERROR(IF(AND(AC88=D88,AC88&gt;0),MAX(0,G88+J88-K88),0),"Unavailable"))</x:f>
      </x:c>
      <x:c r="M88" s="23" t="str">
        <x:f>IF(C88="","",IFERROR(IF(AND(AC88&gt;=0,D88&gt;=AC88+INDEX('Facilities'!$AK$9:$AK$108,MATCH(C88,'Facilities'!$C$9:$C$108,0))),(H88+L88)*AM88,0),"Unavailable"))</x:f>
      </x:c>
      <x:c r="N88" s="23" t="str">
        <x:f>IF(C88="","",IFERROR(IF(AND(AC88&gt;=0,D88&gt;=AC88+INDEX('Facilities'!$AK$9:$AK$108,MATCH(C88,'Facilities'!$C$9:$C$108,0))),H88+L88-M88,0),"Unavailable"))</x:f>
      </x:c>
      <x:c r="O88" s="21" t="str">
        <x:f>IF(C88="","",IFERROR(MAX(0,G88+J88-K88-L88),"Unavailable"))</x:f>
      </x:c>
      <x:c r="P88" s="21" t="str">
        <x:f>IF(C88="","",IFERROR(MAX(0,H88+L88-M88-N88),"Unavailable"))</x:f>
      </x:c>
      <x:c r="Q88" s="23" t="str">
        <x:f>IF(C88="","",IFERROR(IF(OR(D88&gt;=INDEX('Facilities'!$J$9:$J$108,MATCH(C88,'Facilities'!$C$9:$C$108,0)),AND(AC88&gt;=0,AC88&lt;=D88)),0,MAX(0,I88-J88)),"Unavailable"))</x:f>
      </x:c>
      <x:c r="R88" s="30" t="str">
        <x:f>IF(C88="","",IFERROR(INDEX(Credit!$Q$9:$Q$108,MATCH(F88,Credit!$C$9:$C$108,0)),"Unavailable"))</x:f>
      </x:c>
      <x:c r="S88" s="30" t="str">
        <x:f>IF(C88="","",IFERROR(INDEX(Credit!$R$9:$R$108,MATCH(F88,Credit!$C$9:$C$108,0)),"Unavailable"))</x:f>
      </x:c>
      <x:c r="T88" s="23" t="str">
        <x:f>IF(C88="","",IFERROR(IF(P88&gt;0,3,IF(OR(INDEX('Facilities'!$AD$9:$AD$108,MATCH(C88,'Facilities'!$C$9:$C$108,0))=2,AND(R88&gt;=INDEX('Facilities'!$L$9:$L$108,MATCH(C88,'Facilities'!$C$9:$C$108,0))*Settings!$F$19,R88-INDEX('Facilities'!$L$9:$L$108,MATCH(C88,'Facilities'!$C$9:$C$108,0))&gt;=Settings!$F$20)),2,1)),"Unavailable"))</x:f>
      </x:c>
      <x:c r="U88" s="23" t="str">
        <x:f>IF(C88="","",IF(AQ88&lt;&gt;"Ready","Unavailable",IF(C88="","",O88*(1-(1-S88)/(1+INDEX('Facilities'!$K$9:$K$108,MATCH(C88,'Facilities'!$C$9:$C$108,0)))^INDEX('Facilities'!$AK$9:$AK$108,MATCH(C88,'Facilities'!$C$9:$C$108,0)))*R88/(1+INDEX('Facilities'!$K$9:$K$108,MATCH(C88,'Facilities'!$C$9:$C$108,0)))*IF(ABS(1-(1-R88)*(1-INDEX('Facilities'!$R$9:$R$108,MATCH(C88,'Facilities'!$C$9:$C$108,0)))/(1+INDEX('Facilities'!$K$9:$K$108,MATCH(C88,'Facilities'!$C$9:$C$108,0))))&lt;0.000000001,IF(T88=1,MIN(1,AJ88),AJ88),(1-((1-R88)*(1-INDEX('Facilities'!$R$9:$R$108,MATCH(C88,'Facilities'!$C$9:$C$108,0)))/(1+INDEX('Facilities'!$K$9:$K$108,MATCH(C88,'Facilities'!$C$9:$C$108,0))))^IF(T88=1,MIN(1,AJ88),AJ88))/(1-(1-R88)*(1-INDEX('Facilities'!$R$9:$R$108,MATCH(C88,'Facilities'!$C$9:$C$108,0)))/(1+INDEX('Facilities'!$K$9:$K$108,MATCH(C88,'Facilities'!$C$9:$C$108,0)))))+AL88)))</x:f>
      </x:c>
      <x:c r="V88" s="23" t="str">
        <x:f>IF(C88="","",IF(AQ88&lt;&gt;"Ready","Unavailable",IF(C88="","",Q88*INDEX('Facilities'!$I$9:$I$108,MATCH(C88,'Facilities'!$C$9:$C$108,0))*(1-(1-S88)/(1+INDEX('Facilities'!$K$9:$K$108,MATCH(C88,'Facilities'!$C$9:$C$108,0)))^INDEX('Facilities'!$AK$9:$AK$108,MATCH(C88,'Facilities'!$C$9:$C$108,0)))*R88/(1+INDEX('Facilities'!$K$9:$K$108,MATCH(C88,'Facilities'!$C$9:$C$108,0)))*IF(ABS(1-(1-R88)*(1-0)/(1+INDEX('Facilities'!$K$9:$K$108,MATCH(C88,'Facilities'!$C$9:$C$108,0))))&lt;0.000000001,IF(T88=1,MIN(1,AJ88),AJ88),(1-((1-R88)*(1-0)/(1+INDEX('Facilities'!$K$9:$K$108,MATCH(C88,'Facilities'!$C$9:$C$108,0))))^IF(T88=1,MIN(1,AJ88),AJ88))/(1-(1-R88)*(1-0)/(1+INDEX('Facilities'!$K$9:$K$108,MATCH(C88,'Facilities'!$C$9:$C$108,0))))))))</x:f>
      </x:c>
      <x:c r="W88" s="23" t="str">
        <x:f>IF(C88="","",IFERROR(INDEX(ECL!$AB$9:$AB$108,MATCH(C88,ECL!$C$9:$C$108,0)),"Unavailable"))</x:f>
      </x:c>
      <x:c r="X88" s="23" t="str">
        <x:f>IF(C88="","",IFERROR(INDEX(ECL!$AC$9:$AC$108,MATCH(C88,ECL!$C$9:$C$108,0)),"Unavailable"))</x:f>
      </x:c>
      <x:c r="Y88" s="21" t="str">
        <x:f>IF(C88="","",IF(AQ88&lt;&gt;"Ready","Unavailable",IF(C88="","",U88-W88+V88-X88+N88+AG88)))</x:f>
      </x:c>
      <x:c r="Z88" s="23" t="str">
        <x:f>IF(C88="","",IF(AQ88&lt;&gt;"Ready","Unavailable",IF(C88="","",(G88+O88+L88)/2*INDEX('Facilities'!$T$9:$T$108,MATCH(C88,'Facilities'!$C$9:$C$108,0))+AG88)))</x:f>
      </x:c>
      <x:c r="AA88" s="23" t="str">
        <x:f>IF(C88="","",IF(AQ88&lt;&gt;"Ready","Unavailable",IF(C88="","",O88*(1-IF(INDEX('Facilities'!$AA$9:$AA$108,MATCH(C88,'Facilities'!$C$9:$C$108,0))=0,0,MIN(1,INDEX('Facilities'!$X$9:$X$108,MATCH(C88,'Facilities'!$C$9:$C$108,0))/INDEX('Facilities'!$AA$9:$AA$108,MATCH(C88,'Facilities'!$C$9:$C$108,0)))))*AF88+P88*(1-IF(INDEX('Facilities'!$AA$9:$AA$108,MATCH(C88,'Facilities'!$C$9:$C$108,0))=0,0,MIN(1,INDEX('Facilities'!$X$9:$X$108,MATCH(C88,'Facilities'!$C$9:$C$108,0))/INDEX('Facilities'!$AA$9:$AA$108,MATCH(C88,'Facilities'!$C$9:$C$108,0)))))*INDEX('Facilities'!$AJ$9:$AJ$108,MATCH(C88,'Facilities'!$C$9:$C$108,0))+Q88*INDEX('Facilities'!$AI$9:$AI$108,MATCH(C88,'Facilities'!$C$9:$C$108,0))*AF88)))</x:f>
      </x:c>
      <x:c r="AB88" s="21" t="str">
        <x:f>IF(C88="","",O88+P88-AD88)</x:f>
      </x:c>
      <x:c r="AC88" s="23" t="str">
        <x:f>IF(C88="","",IFERROR(IF(INDEX('Facilities'!$AD$9:$AD$108,MATCH(C88,'Facilities'!$C$9:$C$108,0))=3,0,IF(INDEX('Facilities'!$AN$9:$AN$108,MATCH(C88,'Facilities'!$C$9:$C$108,0))=0,-1,INDEX('Facilities'!$AN$9:$AN$108,MATCH(C88,'Facilities'!$C$9:$C$108,0)))),"Unavailable"))</x:f>
      </x:c>
      <x:c r="AD88" s="21" t="str">
        <x:f>IF(C88="","",IFERROR(G88+H88,"Unavailable"))</x:f>
      </x:c>
      <x:c r="AE88" s="21" t="str">
        <x:f>IF(C88="","",IF(AQ88&lt;&gt;"Ready","Unavailable",IF(C88="","",O88+P88-AD88-J88+K88+M88+N88)))</x:f>
      </x:c>
      <x:c r="AF88" s="30" t="str">
        <x:f>IF(C88="","",IFERROR(INDEX('Facilities'!$S$9:$S$108,MATCH(C88,'Facilities'!$C$9:$C$108,0))*'Scenario Paths'!F75,"Unavailable"))</x:f>
      </x:c>
      <x:c r="AG88" s="23" t="str">
        <x:f>IF(C88="","",IF(AQ88&lt;&gt;"Ready","Unavailable",IF(C88="","",IF(H88&gt;0,MAX(0,H88-AK88)*((1+INDEX('Facilities'!$K$9:$K$108,MATCH(C88,'Facilities'!$C$9:$C$108,0)))^MIN(1,MAX(0,AC88+INDEX('Facilities'!$AK$9:$AK$108,MATCH(C88,'Facilities'!$C$9:$C$108,0))-D88+1))-1),0))))</x:f>
      </x:c>
      <x:c r="AH88" s="21" t="str">
        <x:f>IF(C88="","",IF(AQ88&lt;&gt;"Ready","Unavailable",IF(C88="","",O88+P88)))</x:f>
      </x:c>
      <x:c r="AI88" s="21" t="str">
        <x:f>IF(C88="","",IF(AQ88&lt;&gt;"Ready","Unavailable",IF(C88="","",Z88-Y88)))</x:f>
      </x:c>
      <x:c r="AJ88" s="23" t="str">
        <x:f>IF(C88="","",IFERROR(MAX(0,INDEX('Facilities'!$J$9:$J$108,MATCH(C88,'Facilities'!$C$9:$C$108,0))-D88),"Unavailable"))</x:f>
      </x:c>
      <x:c r="AK88" s="23" t="str">
        <x:f>IF(C88="","",IFERROR(IF(INDEX('Facilities'!$AD$9:$AD$108,MATCH(C88,'Facilities'!$C$9:$C$108,0))=3,W88,0),"Unavailable"))</x:f>
      </x:c>
      <x:c r="AL88" s="23" t="str">
        <x:f>IF(C88="","",IFERROR(IF(P88&gt;0,P88*(1-AM88/(1+INDEX('Facilities'!$K$9:$K$108,MATCH(C88,'Facilities'!$C$9:$C$108,0)))^MAX(0,AC88+INDEX('Facilities'!$AK$9:$AK$108,MATCH(C88,'Facilities'!$C$9:$C$108,0))-D88)),0),"Unavailable"))</x:f>
      </x:c>
      <x:c r="AM88" s="30" t="str">
        <x:f>IF(C88="","",IFERROR(INDEX('Facilities'!$AL$9:$AL$108,MATCH(C88,'Facilities'!$C$9:$C$108,0)),"Unavailable"))</x:f>
      </x:c>
      <x:c r="AN88" s="30" t="str">
        <x:f>IF(C88="","",IFERROR(INDEX(Credit!$T$9:$T$108,MATCH(F88,Credit!$C$9:$C$108,0)),"Unavailable"))</x:f>
      </x:c>
      <x:c r="AO88" s="23" t="str">
        <x:f>IF(C88="","",IF(AQ88&lt;&gt;"Ready","Unavailable",IF(C88="","",O88+P88+Q88*INDEX('Facilities'!$I$9:$I$108,MATCH(C88,'Facilities'!$C$9:$C$108,0)))))</x:f>
      </x:c>
      <x:c r="AP88" s="21" t="str">
        <x:f>IF(C88="","",IF(AQ88&lt;&gt;"Ready","Unavailable",IF(C88="","",AH88-U88)))</x:f>
      </x:c>
      <x:c r="AQ88" s="23" t="str">
        <x:f>IFERROR(IF(C88="","",IF(AND(INDEX('Facilities'!$AF$9:$AF$108,MATCH(C88,'Facilities'!$C$9:$C$108,0))="Ready",INDEX(Credit!$U$9:$U$108,MATCH(F88,Credit!$C$9:$C$108,0))="Ready",ISNUMBER(W88)),"Ready","Review inputs")),"Review inputs")</x:f>
      </x:c>
      <x:c r="AR88" s="23" t="str">
        <x:f>IF(C88="","",IF(AQ88&lt;&gt;"Ready","Unavailable",IF(C88="","",IF(O88=0,0,(IF(AJ88&lt;=1,O88,O88*INDEX('Facilities'!$R$9:$R$108,MATCH(C88,'Facilities'!$C$9:$C$108,0)))+O88*INDEX('Facilities'!$T$9:$T$108,MATCH(C88,'Facilities'!$C$9:$C$108,0)))/12))))</x:f>
      </x:c>
    </x:row>
    <x:row r="89" ht="26" customHeight="1">
      <x:c r="A89" s="1"/>
      <x:c r="B89" s="1"/>
      <x:c r="C89" s="9" t="str">
        <x:f>IF(Facilities!C89="","",Facilities!C89)</x:f>
      </x:c>
      <x:c r="D89" s="3" t="n">
        <x:v>1</x:v>
      </x:c>
      <x:c r="E89" s="9" t="n">
        <x:f>Settings!$F$18+0</x:f>
        <x:v>2027</x:v>
      </x:c>
      <x:c r="F89" s="9" t="str">
        <x:f>IF(C89="","",IFERROR(INDEX('Facilities'!$D$9:$D$108,MATCH(C89,'Facilities'!$C$9:$C$108,0)),"Unavailable"))</x:f>
      </x:c>
      <x:c r="G89" s="23" t="str">
        <x:f>IF(C89="","",IFERROR(IF(INDEX('Facilities'!$AD$9:$AD$108,MATCH(C89,'Facilities'!$C$9:$C$108,0))=3,0,INDEX('Facilities'!$AA$9:$AA$108,MATCH(C89,'Facilities'!$C$9:$C$108,0))),"Unavailable"))</x:f>
      </x:c>
      <x:c r="H89" s="23" t="str">
        <x:f>IF(C89="","",IFERROR(IF(INDEX('Facilities'!$AD$9:$AD$108,MATCH(C89,'Facilities'!$C$9:$C$108,0))=3,INDEX('Facilities'!$AA$9:$AA$108,MATCH(C89,'Facilities'!$C$9:$C$108,0)),0),"Unavailable"))</x:f>
      </x:c>
      <x:c r="I89" s="23" t="str">
        <x:f>IF(C89="","",IFERROR(INDEX('Facilities'!$AB$9:$AB$108,MATCH(C89,'Facilities'!$C$9:$C$108,0)),"Unavailable"))</x:f>
      </x:c>
      <x:c r="J89" s="23" t="str">
        <x:f>IF(C89="","",IFERROR(IF(OR(H89&gt;0,AND(AC89&gt;=0,AC89&lt;D89),D89&gt;INDEX('Facilities'!$J$9:$J$108,MATCH(C89,'Facilities'!$C$9:$C$108,0))),0,I89*'Scenario Paths'!F81),"Unavailable"))</x:f>
      </x:c>
      <x:c r="K89" s="23" t="str">
        <x:f>IF(C89="","",IFERROR(IF(OR(H89&gt;0,AND(AC89&gt;=0,AC89=D89)),0,IF(D89&gt;=INDEX('Facilities'!$J$9:$J$108,MATCH(C89,'Facilities'!$C$9:$C$108,0)),G89+J89,MIN(G89+J89,G89*INDEX('Facilities'!$R$9:$R$108,MATCH(C89,'Facilities'!$C$9:$C$108,0))))),"Unavailable"))</x:f>
      </x:c>
      <x:c r="L89" s="21" t="str">
        <x:f>IF(C89="","",IFERROR(IF(AND(AC89=D89,AC89&gt;0),MAX(0,G89+J89-K89),0),"Unavailable"))</x:f>
      </x:c>
      <x:c r="M89" s="23" t="str">
        <x:f>IF(C89="","",IFERROR(IF(AND(AC89&gt;=0,D89&gt;=AC89+INDEX('Facilities'!$AK$9:$AK$108,MATCH(C89,'Facilities'!$C$9:$C$108,0))),(H89+L89)*AM89,0),"Unavailable"))</x:f>
      </x:c>
      <x:c r="N89" s="23" t="str">
        <x:f>IF(C89="","",IFERROR(IF(AND(AC89&gt;=0,D89&gt;=AC89+INDEX('Facilities'!$AK$9:$AK$108,MATCH(C89,'Facilities'!$C$9:$C$108,0))),H89+L89-M89,0),"Unavailable"))</x:f>
      </x:c>
      <x:c r="O89" s="21" t="str">
        <x:f>IF(C89="","",IFERROR(MAX(0,G89+J89-K89-L89),"Unavailable"))</x:f>
      </x:c>
      <x:c r="P89" s="21" t="str">
        <x:f>IF(C89="","",IFERROR(MAX(0,H89+L89-M89-N89),"Unavailable"))</x:f>
      </x:c>
      <x:c r="Q89" s="23" t="str">
        <x:f>IF(C89="","",IFERROR(IF(OR(D89&gt;=INDEX('Facilities'!$J$9:$J$108,MATCH(C89,'Facilities'!$C$9:$C$108,0)),AND(AC89&gt;=0,AC89&lt;=D89)),0,MAX(0,I89-J89)),"Unavailable"))</x:f>
      </x:c>
      <x:c r="R89" s="30" t="str">
        <x:f>IF(C89="","",IFERROR(INDEX(Credit!$Q$9:$Q$108,MATCH(F89,Credit!$C$9:$C$108,0)),"Unavailable"))</x:f>
      </x:c>
      <x:c r="S89" s="30" t="str">
        <x:f>IF(C89="","",IFERROR(INDEX(Credit!$R$9:$R$108,MATCH(F89,Credit!$C$9:$C$108,0)),"Unavailable"))</x:f>
      </x:c>
      <x:c r="T89" s="23" t="str">
        <x:f>IF(C89="","",IFERROR(IF(P89&gt;0,3,IF(OR(INDEX('Facilities'!$AD$9:$AD$108,MATCH(C89,'Facilities'!$C$9:$C$108,0))=2,AND(R89&gt;=INDEX('Facilities'!$L$9:$L$108,MATCH(C89,'Facilities'!$C$9:$C$108,0))*Settings!$F$19,R89-INDEX('Facilities'!$L$9:$L$108,MATCH(C89,'Facilities'!$C$9:$C$108,0))&gt;=Settings!$F$20)),2,1)),"Unavailable"))</x:f>
      </x:c>
      <x:c r="U89" s="23" t="str">
        <x:f>IF(C89="","",IF(AQ89&lt;&gt;"Ready","Unavailable",IF(C89="","",O89*(1-(1-S89)/(1+INDEX('Facilities'!$K$9:$K$108,MATCH(C89,'Facilities'!$C$9:$C$108,0)))^INDEX('Facilities'!$AK$9:$AK$108,MATCH(C89,'Facilities'!$C$9:$C$108,0)))*R89/(1+INDEX('Facilities'!$K$9:$K$108,MATCH(C89,'Facilities'!$C$9:$C$108,0)))*IF(ABS(1-(1-R89)*(1-INDEX('Facilities'!$R$9:$R$108,MATCH(C89,'Facilities'!$C$9:$C$108,0)))/(1+INDEX('Facilities'!$K$9:$K$108,MATCH(C89,'Facilities'!$C$9:$C$108,0))))&lt;0.000000001,IF(T89=1,MIN(1,AJ89),AJ89),(1-((1-R89)*(1-INDEX('Facilities'!$R$9:$R$108,MATCH(C89,'Facilities'!$C$9:$C$108,0)))/(1+INDEX('Facilities'!$K$9:$K$108,MATCH(C89,'Facilities'!$C$9:$C$108,0))))^IF(T89=1,MIN(1,AJ89),AJ89))/(1-(1-R89)*(1-INDEX('Facilities'!$R$9:$R$108,MATCH(C89,'Facilities'!$C$9:$C$108,0)))/(1+INDEX('Facilities'!$K$9:$K$108,MATCH(C89,'Facilities'!$C$9:$C$108,0)))))+AL89)))</x:f>
      </x:c>
      <x:c r="V89" s="23" t="str">
        <x:f>IF(C89="","",IF(AQ89&lt;&gt;"Ready","Unavailable",IF(C89="","",Q89*INDEX('Facilities'!$I$9:$I$108,MATCH(C89,'Facilities'!$C$9:$C$108,0))*(1-(1-S89)/(1+INDEX('Facilities'!$K$9:$K$108,MATCH(C89,'Facilities'!$C$9:$C$108,0)))^INDEX('Facilities'!$AK$9:$AK$108,MATCH(C89,'Facilities'!$C$9:$C$108,0)))*R89/(1+INDEX('Facilities'!$K$9:$K$108,MATCH(C89,'Facilities'!$C$9:$C$108,0)))*IF(ABS(1-(1-R89)*(1-0)/(1+INDEX('Facilities'!$K$9:$K$108,MATCH(C89,'Facilities'!$C$9:$C$108,0))))&lt;0.000000001,IF(T89=1,MIN(1,AJ89),AJ89),(1-((1-R89)*(1-0)/(1+INDEX('Facilities'!$K$9:$K$108,MATCH(C89,'Facilities'!$C$9:$C$108,0))))^IF(T89=1,MIN(1,AJ89),AJ89))/(1-(1-R89)*(1-0)/(1+INDEX('Facilities'!$K$9:$K$108,MATCH(C89,'Facilities'!$C$9:$C$108,0))))))))</x:f>
      </x:c>
      <x:c r="W89" s="23" t="str">
        <x:f>IF(C89="","",IFERROR(INDEX(ECL!$AB$9:$AB$108,MATCH(C89,ECL!$C$9:$C$108,0)),"Unavailable"))</x:f>
      </x:c>
      <x:c r="X89" s="23" t="str">
        <x:f>IF(C89="","",IFERROR(INDEX(ECL!$AC$9:$AC$108,MATCH(C89,ECL!$C$9:$C$108,0)),"Unavailable"))</x:f>
      </x:c>
      <x:c r="Y89" s="21" t="str">
        <x:f>IF(C89="","",IF(AQ89&lt;&gt;"Ready","Unavailable",IF(C89="","",U89-W89+V89-X89+N89+AG89)))</x:f>
      </x:c>
      <x:c r="Z89" s="23" t="str">
        <x:f>IF(C89="","",IF(AQ89&lt;&gt;"Ready","Unavailable",IF(C89="","",(G89+O89+L89)/2*INDEX('Facilities'!$T$9:$T$108,MATCH(C89,'Facilities'!$C$9:$C$108,0))+AG89)))</x:f>
      </x:c>
      <x:c r="AA89" s="23" t="str">
        <x:f>IF(C89="","",IF(AQ89&lt;&gt;"Ready","Unavailable",IF(C89="","",O89*(1-IF(INDEX('Facilities'!$AA$9:$AA$108,MATCH(C89,'Facilities'!$C$9:$C$108,0))=0,0,MIN(1,INDEX('Facilities'!$X$9:$X$108,MATCH(C89,'Facilities'!$C$9:$C$108,0))/INDEX('Facilities'!$AA$9:$AA$108,MATCH(C89,'Facilities'!$C$9:$C$108,0)))))*AF89+P89*(1-IF(INDEX('Facilities'!$AA$9:$AA$108,MATCH(C89,'Facilities'!$C$9:$C$108,0))=0,0,MIN(1,INDEX('Facilities'!$X$9:$X$108,MATCH(C89,'Facilities'!$C$9:$C$108,0))/INDEX('Facilities'!$AA$9:$AA$108,MATCH(C89,'Facilities'!$C$9:$C$108,0)))))*INDEX('Facilities'!$AJ$9:$AJ$108,MATCH(C89,'Facilities'!$C$9:$C$108,0))+Q89*INDEX('Facilities'!$AI$9:$AI$108,MATCH(C89,'Facilities'!$C$9:$C$108,0))*AF89)))</x:f>
      </x:c>
      <x:c r="AB89" s="21" t="str">
        <x:f>IF(C89="","",O89+P89-AD89)</x:f>
      </x:c>
      <x:c r="AC89" s="23" t="str">
        <x:f>IF(C89="","",IFERROR(IF(INDEX('Facilities'!$AD$9:$AD$108,MATCH(C89,'Facilities'!$C$9:$C$108,0))=3,0,IF(INDEX('Facilities'!$AN$9:$AN$108,MATCH(C89,'Facilities'!$C$9:$C$108,0))=0,-1,INDEX('Facilities'!$AN$9:$AN$108,MATCH(C89,'Facilities'!$C$9:$C$108,0)))),"Unavailable"))</x:f>
      </x:c>
      <x:c r="AD89" s="21" t="str">
        <x:f>IF(C89="","",IFERROR(G89+H89,"Unavailable"))</x:f>
      </x:c>
      <x:c r="AE89" s="21" t="str">
        <x:f>IF(C89="","",IF(AQ89&lt;&gt;"Ready","Unavailable",IF(C89="","",O89+P89-AD89-J89+K89+M89+N89)))</x:f>
      </x:c>
      <x:c r="AF89" s="30" t="str">
        <x:f>IF(C89="","",IFERROR(INDEX('Facilities'!$S$9:$S$108,MATCH(C89,'Facilities'!$C$9:$C$108,0))*'Scenario Paths'!F75,"Unavailable"))</x:f>
      </x:c>
      <x:c r="AG89" s="23" t="str">
        <x:f>IF(C89="","",IF(AQ89&lt;&gt;"Ready","Unavailable",IF(C89="","",IF(H89&gt;0,MAX(0,H89-AK89)*((1+INDEX('Facilities'!$K$9:$K$108,MATCH(C89,'Facilities'!$C$9:$C$108,0)))^MIN(1,MAX(0,AC89+INDEX('Facilities'!$AK$9:$AK$108,MATCH(C89,'Facilities'!$C$9:$C$108,0))-D89+1))-1),0))))</x:f>
      </x:c>
      <x:c r="AH89" s="21" t="str">
        <x:f>IF(C89="","",IF(AQ89&lt;&gt;"Ready","Unavailable",IF(C89="","",O89+P89)))</x:f>
      </x:c>
      <x:c r="AI89" s="21" t="str">
        <x:f>IF(C89="","",IF(AQ89&lt;&gt;"Ready","Unavailable",IF(C89="","",Z89-Y89)))</x:f>
      </x:c>
      <x:c r="AJ89" s="23" t="str">
        <x:f>IF(C89="","",IFERROR(MAX(0,INDEX('Facilities'!$J$9:$J$108,MATCH(C89,'Facilities'!$C$9:$C$108,0))-D89),"Unavailable"))</x:f>
      </x:c>
      <x:c r="AK89" s="23" t="str">
        <x:f>IF(C89="","",IFERROR(IF(INDEX('Facilities'!$AD$9:$AD$108,MATCH(C89,'Facilities'!$C$9:$C$108,0))=3,W89,0),"Unavailable"))</x:f>
      </x:c>
      <x:c r="AL89" s="23" t="str">
        <x:f>IF(C89="","",IFERROR(IF(P89&gt;0,P89*(1-AM89/(1+INDEX('Facilities'!$K$9:$K$108,MATCH(C89,'Facilities'!$C$9:$C$108,0)))^MAX(0,AC89+INDEX('Facilities'!$AK$9:$AK$108,MATCH(C89,'Facilities'!$C$9:$C$108,0))-D89)),0),"Unavailable"))</x:f>
      </x:c>
      <x:c r="AM89" s="30" t="str">
        <x:f>IF(C89="","",IFERROR(INDEX('Facilities'!$AL$9:$AL$108,MATCH(C89,'Facilities'!$C$9:$C$108,0)),"Unavailable"))</x:f>
      </x:c>
      <x:c r="AN89" s="30" t="str">
        <x:f>IF(C89="","",IFERROR(INDEX(Credit!$T$9:$T$108,MATCH(F89,Credit!$C$9:$C$108,0)),"Unavailable"))</x:f>
      </x:c>
      <x:c r="AO89" s="23" t="str">
        <x:f>IF(C89="","",IF(AQ89&lt;&gt;"Ready","Unavailable",IF(C89="","",O89+P89+Q89*INDEX('Facilities'!$I$9:$I$108,MATCH(C89,'Facilities'!$C$9:$C$108,0)))))</x:f>
      </x:c>
      <x:c r="AP89" s="21" t="str">
        <x:f>IF(C89="","",IF(AQ89&lt;&gt;"Ready","Unavailable",IF(C89="","",AH89-U89)))</x:f>
      </x:c>
      <x:c r="AQ89" s="23" t="str">
        <x:f>IFERROR(IF(C89="","",IF(AND(INDEX('Facilities'!$AF$9:$AF$108,MATCH(C89,'Facilities'!$C$9:$C$108,0))="Ready",INDEX(Credit!$U$9:$U$108,MATCH(F89,Credit!$C$9:$C$108,0))="Ready",ISNUMBER(W89)),"Ready","Review inputs")),"Review inputs")</x:f>
      </x:c>
      <x:c r="AR89" s="23" t="str">
        <x:f>IF(C89="","",IF(AQ89&lt;&gt;"Ready","Unavailable",IF(C89="","",IF(O89=0,0,(IF(AJ89&lt;=1,O89,O89*INDEX('Facilities'!$R$9:$R$108,MATCH(C89,'Facilities'!$C$9:$C$108,0)))+O89*INDEX('Facilities'!$T$9:$T$108,MATCH(C89,'Facilities'!$C$9:$C$108,0)))/12))))</x:f>
      </x:c>
    </x:row>
    <x:row r="90" ht="26" customHeight="1">
      <x:c r="A90" s="1"/>
      <x:c r="B90" s="1"/>
      <x:c r="C90" s="9" t="str">
        <x:f>IF(Facilities!C90="","",Facilities!C90)</x:f>
      </x:c>
      <x:c r="D90" s="3" t="n">
        <x:v>1</x:v>
      </x:c>
      <x:c r="E90" s="9" t="n">
        <x:f>Settings!$F$18+0</x:f>
        <x:v>2027</x:v>
      </x:c>
      <x:c r="F90" s="9" t="str">
        <x:f>IF(C90="","",IFERROR(INDEX('Facilities'!$D$9:$D$108,MATCH(C90,'Facilities'!$C$9:$C$108,0)),"Unavailable"))</x:f>
      </x:c>
      <x:c r="G90" s="23" t="str">
        <x:f>IF(C90="","",IFERROR(IF(INDEX('Facilities'!$AD$9:$AD$108,MATCH(C90,'Facilities'!$C$9:$C$108,0))=3,0,INDEX('Facilities'!$AA$9:$AA$108,MATCH(C90,'Facilities'!$C$9:$C$108,0))),"Unavailable"))</x:f>
      </x:c>
      <x:c r="H90" s="23" t="str">
        <x:f>IF(C90="","",IFERROR(IF(INDEX('Facilities'!$AD$9:$AD$108,MATCH(C90,'Facilities'!$C$9:$C$108,0))=3,INDEX('Facilities'!$AA$9:$AA$108,MATCH(C90,'Facilities'!$C$9:$C$108,0)),0),"Unavailable"))</x:f>
      </x:c>
      <x:c r="I90" s="23" t="str">
        <x:f>IF(C90="","",IFERROR(INDEX('Facilities'!$AB$9:$AB$108,MATCH(C90,'Facilities'!$C$9:$C$108,0)),"Unavailable"))</x:f>
      </x:c>
      <x:c r="J90" s="23" t="str">
        <x:f>IF(C90="","",IFERROR(IF(OR(H90&gt;0,AND(AC90&gt;=0,AC90&lt;D90),D90&gt;INDEX('Facilities'!$J$9:$J$108,MATCH(C90,'Facilities'!$C$9:$C$108,0))),0,I90*'Scenario Paths'!F81),"Unavailable"))</x:f>
      </x:c>
      <x:c r="K90" s="23" t="str">
        <x:f>IF(C90="","",IFERROR(IF(OR(H90&gt;0,AND(AC90&gt;=0,AC90=D90)),0,IF(D90&gt;=INDEX('Facilities'!$J$9:$J$108,MATCH(C90,'Facilities'!$C$9:$C$108,0)),G90+J90,MIN(G90+J90,G90*INDEX('Facilities'!$R$9:$R$108,MATCH(C90,'Facilities'!$C$9:$C$108,0))))),"Unavailable"))</x:f>
      </x:c>
      <x:c r="L90" s="21" t="str">
        <x:f>IF(C90="","",IFERROR(IF(AND(AC90=D90,AC90&gt;0),MAX(0,G90+J90-K90),0),"Unavailable"))</x:f>
      </x:c>
      <x:c r="M90" s="23" t="str">
        <x:f>IF(C90="","",IFERROR(IF(AND(AC90&gt;=0,D90&gt;=AC90+INDEX('Facilities'!$AK$9:$AK$108,MATCH(C90,'Facilities'!$C$9:$C$108,0))),(H90+L90)*AM90,0),"Unavailable"))</x:f>
      </x:c>
      <x:c r="N90" s="23" t="str">
        <x:f>IF(C90="","",IFERROR(IF(AND(AC90&gt;=0,D90&gt;=AC90+INDEX('Facilities'!$AK$9:$AK$108,MATCH(C90,'Facilities'!$C$9:$C$108,0))),H90+L90-M90,0),"Unavailable"))</x:f>
      </x:c>
      <x:c r="O90" s="21" t="str">
        <x:f>IF(C90="","",IFERROR(MAX(0,G90+J90-K90-L90),"Unavailable"))</x:f>
      </x:c>
      <x:c r="P90" s="21" t="str">
        <x:f>IF(C90="","",IFERROR(MAX(0,H90+L90-M90-N90),"Unavailable"))</x:f>
      </x:c>
      <x:c r="Q90" s="23" t="str">
        <x:f>IF(C90="","",IFERROR(IF(OR(D90&gt;=INDEX('Facilities'!$J$9:$J$108,MATCH(C90,'Facilities'!$C$9:$C$108,0)),AND(AC90&gt;=0,AC90&lt;=D90)),0,MAX(0,I90-J90)),"Unavailable"))</x:f>
      </x:c>
      <x:c r="R90" s="30" t="str">
        <x:f>IF(C90="","",IFERROR(INDEX(Credit!$Q$9:$Q$108,MATCH(F90,Credit!$C$9:$C$108,0)),"Unavailable"))</x:f>
      </x:c>
      <x:c r="S90" s="30" t="str">
        <x:f>IF(C90="","",IFERROR(INDEX(Credit!$R$9:$R$108,MATCH(F90,Credit!$C$9:$C$108,0)),"Unavailable"))</x:f>
      </x:c>
      <x:c r="T90" s="23" t="str">
        <x:f>IF(C90="","",IFERROR(IF(P90&gt;0,3,IF(OR(INDEX('Facilities'!$AD$9:$AD$108,MATCH(C90,'Facilities'!$C$9:$C$108,0))=2,AND(R90&gt;=INDEX('Facilities'!$L$9:$L$108,MATCH(C90,'Facilities'!$C$9:$C$108,0))*Settings!$F$19,R90-INDEX('Facilities'!$L$9:$L$108,MATCH(C90,'Facilities'!$C$9:$C$108,0))&gt;=Settings!$F$20)),2,1)),"Unavailable"))</x:f>
      </x:c>
      <x:c r="U90" s="23" t="str">
        <x:f>IF(C90="","",IF(AQ90&lt;&gt;"Ready","Unavailable",IF(C90="","",O90*(1-(1-S90)/(1+INDEX('Facilities'!$K$9:$K$108,MATCH(C90,'Facilities'!$C$9:$C$108,0)))^INDEX('Facilities'!$AK$9:$AK$108,MATCH(C90,'Facilities'!$C$9:$C$108,0)))*R90/(1+INDEX('Facilities'!$K$9:$K$108,MATCH(C90,'Facilities'!$C$9:$C$108,0)))*IF(ABS(1-(1-R90)*(1-INDEX('Facilities'!$R$9:$R$108,MATCH(C90,'Facilities'!$C$9:$C$108,0)))/(1+INDEX('Facilities'!$K$9:$K$108,MATCH(C90,'Facilities'!$C$9:$C$108,0))))&lt;0.000000001,IF(T90=1,MIN(1,AJ90),AJ90),(1-((1-R90)*(1-INDEX('Facilities'!$R$9:$R$108,MATCH(C90,'Facilities'!$C$9:$C$108,0)))/(1+INDEX('Facilities'!$K$9:$K$108,MATCH(C90,'Facilities'!$C$9:$C$108,0))))^IF(T90=1,MIN(1,AJ90),AJ90))/(1-(1-R90)*(1-INDEX('Facilities'!$R$9:$R$108,MATCH(C90,'Facilities'!$C$9:$C$108,0)))/(1+INDEX('Facilities'!$K$9:$K$108,MATCH(C90,'Facilities'!$C$9:$C$108,0)))))+AL90)))</x:f>
      </x:c>
      <x:c r="V90" s="23" t="str">
        <x:f>IF(C90="","",IF(AQ90&lt;&gt;"Ready","Unavailable",IF(C90="","",Q90*INDEX('Facilities'!$I$9:$I$108,MATCH(C90,'Facilities'!$C$9:$C$108,0))*(1-(1-S90)/(1+INDEX('Facilities'!$K$9:$K$108,MATCH(C90,'Facilities'!$C$9:$C$108,0)))^INDEX('Facilities'!$AK$9:$AK$108,MATCH(C90,'Facilities'!$C$9:$C$108,0)))*R90/(1+INDEX('Facilities'!$K$9:$K$108,MATCH(C90,'Facilities'!$C$9:$C$108,0)))*IF(ABS(1-(1-R90)*(1-0)/(1+INDEX('Facilities'!$K$9:$K$108,MATCH(C90,'Facilities'!$C$9:$C$108,0))))&lt;0.000000001,IF(T90=1,MIN(1,AJ90),AJ90),(1-((1-R90)*(1-0)/(1+INDEX('Facilities'!$K$9:$K$108,MATCH(C90,'Facilities'!$C$9:$C$108,0))))^IF(T90=1,MIN(1,AJ90),AJ90))/(1-(1-R90)*(1-0)/(1+INDEX('Facilities'!$K$9:$K$108,MATCH(C90,'Facilities'!$C$9:$C$108,0))))))))</x:f>
      </x:c>
      <x:c r="W90" s="23" t="str">
        <x:f>IF(C90="","",IFERROR(INDEX(ECL!$AB$9:$AB$108,MATCH(C90,ECL!$C$9:$C$108,0)),"Unavailable"))</x:f>
      </x:c>
      <x:c r="X90" s="23" t="str">
        <x:f>IF(C90="","",IFERROR(INDEX(ECL!$AC$9:$AC$108,MATCH(C90,ECL!$C$9:$C$108,0)),"Unavailable"))</x:f>
      </x:c>
      <x:c r="Y90" s="21" t="str">
        <x:f>IF(C90="","",IF(AQ90&lt;&gt;"Ready","Unavailable",IF(C90="","",U90-W90+V90-X90+N90+AG90)))</x:f>
      </x:c>
      <x:c r="Z90" s="23" t="str">
        <x:f>IF(C90="","",IF(AQ90&lt;&gt;"Ready","Unavailable",IF(C90="","",(G90+O90+L90)/2*INDEX('Facilities'!$T$9:$T$108,MATCH(C90,'Facilities'!$C$9:$C$108,0))+AG90)))</x:f>
      </x:c>
      <x:c r="AA90" s="23" t="str">
        <x:f>IF(C90="","",IF(AQ90&lt;&gt;"Ready","Unavailable",IF(C90="","",O90*(1-IF(INDEX('Facilities'!$AA$9:$AA$108,MATCH(C90,'Facilities'!$C$9:$C$108,0))=0,0,MIN(1,INDEX('Facilities'!$X$9:$X$108,MATCH(C90,'Facilities'!$C$9:$C$108,0))/INDEX('Facilities'!$AA$9:$AA$108,MATCH(C90,'Facilities'!$C$9:$C$108,0)))))*AF90+P90*(1-IF(INDEX('Facilities'!$AA$9:$AA$108,MATCH(C90,'Facilities'!$C$9:$C$108,0))=0,0,MIN(1,INDEX('Facilities'!$X$9:$X$108,MATCH(C90,'Facilities'!$C$9:$C$108,0))/INDEX('Facilities'!$AA$9:$AA$108,MATCH(C90,'Facilities'!$C$9:$C$108,0)))))*INDEX('Facilities'!$AJ$9:$AJ$108,MATCH(C90,'Facilities'!$C$9:$C$108,0))+Q90*INDEX('Facilities'!$AI$9:$AI$108,MATCH(C90,'Facilities'!$C$9:$C$108,0))*AF90)))</x:f>
      </x:c>
      <x:c r="AB90" s="21" t="str">
        <x:f>IF(C90="","",O90+P90-AD90)</x:f>
      </x:c>
      <x:c r="AC90" s="23" t="str">
        <x:f>IF(C90="","",IFERROR(IF(INDEX('Facilities'!$AD$9:$AD$108,MATCH(C90,'Facilities'!$C$9:$C$108,0))=3,0,IF(INDEX('Facilities'!$AN$9:$AN$108,MATCH(C90,'Facilities'!$C$9:$C$108,0))=0,-1,INDEX('Facilities'!$AN$9:$AN$108,MATCH(C90,'Facilities'!$C$9:$C$108,0)))),"Unavailable"))</x:f>
      </x:c>
      <x:c r="AD90" s="21" t="str">
        <x:f>IF(C90="","",IFERROR(G90+H90,"Unavailable"))</x:f>
      </x:c>
      <x:c r="AE90" s="21" t="str">
        <x:f>IF(C90="","",IF(AQ90&lt;&gt;"Ready","Unavailable",IF(C90="","",O90+P90-AD90-J90+K90+M90+N90)))</x:f>
      </x:c>
      <x:c r="AF90" s="30" t="str">
        <x:f>IF(C90="","",IFERROR(INDEX('Facilities'!$S$9:$S$108,MATCH(C90,'Facilities'!$C$9:$C$108,0))*'Scenario Paths'!F75,"Unavailable"))</x:f>
      </x:c>
      <x:c r="AG90" s="23" t="str">
        <x:f>IF(C90="","",IF(AQ90&lt;&gt;"Ready","Unavailable",IF(C90="","",IF(H90&gt;0,MAX(0,H90-AK90)*((1+INDEX('Facilities'!$K$9:$K$108,MATCH(C90,'Facilities'!$C$9:$C$108,0)))^MIN(1,MAX(0,AC90+INDEX('Facilities'!$AK$9:$AK$108,MATCH(C90,'Facilities'!$C$9:$C$108,0))-D90+1))-1),0))))</x:f>
      </x:c>
      <x:c r="AH90" s="21" t="str">
        <x:f>IF(C90="","",IF(AQ90&lt;&gt;"Ready","Unavailable",IF(C90="","",O90+P90)))</x:f>
      </x:c>
      <x:c r="AI90" s="21" t="str">
        <x:f>IF(C90="","",IF(AQ90&lt;&gt;"Ready","Unavailable",IF(C90="","",Z90-Y90)))</x:f>
      </x:c>
      <x:c r="AJ90" s="23" t="str">
        <x:f>IF(C90="","",IFERROR(MAX(0,INDEX('Facilities'!$J$9:$J$108,MATCH(C90,'Facilities'!$C$9:$C$108,0))-D90),"Unavailable"))</x:f>
      </x:c>
      <x:c r="AK90" s="23" t="str">
        <x:f>IF(C90="","",IFERROR(IF(INDEX('Facilities'!$AD$9:$AD$108,MATCH(C90,'Facilities'!$C$9:$C$108,0))=3,W90,0),"Unavailable"))</x:f>
      </x:c>
      <x:c r="AL90" s="23" t="str">
        <x:f>IF(C90="","",IFERROR(IF(P90&gt;0,P90*(1-AM90/(1+INDEX('Facilities'!$K$9:$K$108,MATCH(C90,'Facilities'!$C$9:$C$108,0)))^MAX(0,AC90+INDEX('Facilities'!$AK$9:$AK$108,MATCH(C90,'Facilities'!$C$9:$C$108,0))-D90)),0),"Unavailable"))</x:f>
      </x:c>
      <x:c r="AM90" s="30" t="str">
        <x:f>IF(C90="","",IFERROR(INDEX('Facilities'!$AL$9:$AL$108,MATCH(C90,'Facilities'!$C$9:$C$108,0)),"Unavailable"))</x:f>
      </x:c>
      <x:c r="AN90" s="30" t="str">
        <x:f>IF(C90="","",IFERROR(INDEX(Credit!$T$9:$T$108,MATCH(F90,Credit!$C$9:$C$108,0)),"Unavailable"))</x:f>
      </x:c>
      <x:c r="AO90" s="23" t="str">
        <x:f>IF(C90="","",IF(AQ90&lt;&gt;"Ready","Unavailable",IF(C90="","",O90+P90+Q90*INDEX('Facilities'!$I$9:$I$108,MATCH(C90,'Facilities'!$C$9:$C$108,0)))))</x:f>
      </x:c>
      <x:c r="AP90" s="21" t="str">
        <x:f>IF(C90="","",IF(AQ90&lt;&gt;"Ready","Unavailable",IF(C90="","",AH90-U90)))</x:f>
      </x:c>
      <x:c r="AQ90" s="23" t="str">
        <x:f>IFERROR(IF(C90="","",IF(AND(INDEX('Facilities'!$AF$9:$AF$108,MATCH(C90,'Facilities'!$C$9:$C$108,0))="Ready",INDEX(Credit!$U$9:$U$108,MATCH(F90,Credit!$C$9:$C$108,0))="Ready",ISNUMBER(W90)),"Ready","Review inputs")),"Review inputs")</x:f>
      </x:c>
      <x:c r="AR90" s="23" t="str">
        <x:f>IF(C90="","",IF(AQ90&lt;&gt;"Ready","Unavailable",IF(C90="","",IF(O90=0,0,(IF(AJ90&lt;=1,O90,O90*INDEX('Facilities'!$R$9:$R$108,MATCH(C90,'Facilities'!$C$9:$C$108,0)))+O90*INDEX('Facilities'!$T$9:$T$108,MATCH(C90,'Facilities'!$C$9:$C$108,0)))/12))))</x:f>
      </x:c>
    </x:row>
    <x:row r="91" ht="26" customHeight="1">
      <x:c r="A91" s="1"/>
      <x:c r="B91" s="1"/>
      <x:c r="C91" s="9" t="str">
        <x:f>IF(Facilities!C91="","",Facilities!C91)</x:f>
      </x:c>
      <x:c r="D91" s="3" t="n">
        <x:v>1</x:v>
      </x:c>
      <x:c r="E91" s="9" t="n">
        <x:f>Settings!$F$18+0</x:f>
        <x:v>2027</x:v>
      </x:c>
      <x:c r="F91" s="9" t="str">
        <x:f>IF(C91="","",IFERROR(INDEX('Facilities'!$D$9:$D$108,MATCH(C91,'Facilities'!$C$9:$C$108,0)),"Unavailable"))</x:f>
      </x:c>
      <x:c r="G91" s="23" t="str">
        <x:f>IF(C91="","",IFERROR(IF(INDEX('Facilities'!$AD$9:$AD$108,MATCH(C91,'Facilities'!$C$9:$C$108,0))=3,0,INDEX('Facilities'!$AA$9:$AA$108,MATCH(C91,'Facilities'!$C$9:$C$108,0))),"Unavailable"))</x:f>
      </x:c>
      <x:c r="H91" s="23" t="str">
        <x:f>IF(C91="","",IFERROR(IF(INDEX('Facilities'!$AD$9:$AD$108,MATCH(C91,'Facilities'!$C$9:$C$108,0))=3,INDEX('Facilities'!$AA$9:$AA$108,MATCH(C91,'Facilities'!$C$9:$C$108,0)),0),"Unavailable"))</x:f>
      </x:c>
      <x:c r="I91" s="23" t="str">
        <x:f>IF(C91="","",IFERROR(INDEX('Facilities'!$AB$9:$AB$108,MATCH(C91,'Facilities'!$C$9:$C$108,0)),"Unavailable"))</x:f>
      </x:c>
      <x:c r="J91" s="23" t="str">
        <x:f>IF(C91="","",IFERROR(IF(OR(H91&gt;0,AND(AC91&gt;=0,AC91&lt;D91),D91&gt;INDEX('Facilities'!$J$9:$J$108,MATCH(C91,'Facilities'!$C$9:$C$108,0))),0,I91*'Scenario Paths'!F81),"Unavailable"))</x:f>
      </x:c>
      <x:c r="K91" s="23" t="str">
        <x:f>IF(C91="","",IFERROR(IF(OR(H91&gt;0,AND(AC91&gt;=0,AC91=D91)),0,IF(D91&gt;=INDEX('Facilities'!$J$9:$J$108,MATCH(C91,'Facilities'!$C$9:$C$108,0)),G91+J91,MIN(G91+J91,G91*INDEX('Facilities'!$R$9:$R$108,MATCH(C91,'Facilities'!$C$9:$C$108,0))))),"Unavailable"))</x:f>
      </x:c>
      <x:c r="L91" s="21" t="str">
        <x:f>IF(C91="","",IFERROR(IF(AND(AC91=D91,AC91&gt;0),MAX(0,G91+J91-K91),0),"Unavailable"))</x:f>
      </x:c>
      <x:c r="M91" s="23" t="str">
        <x:f>IF(C91="","",IFERROR(IF(AND(AC91&gt;=0,D91&gt;=AC91+INDEX('Facilities'!$AK$9:$AK$108,MATCH(C91,'Facilities'!$C$9:$C$108,0))),(H91+L91)*AM91,0),"Unavailable"))</x:f>
      </x:c>
      <x:c r="N91" s="23" t="str">
        <x:f>IF(C91="","",IFERROR(IF(AND(AC91&gt;=0,D91&gt;=AC91+INDEX('Facilities'!$AK$9:$AK$108,MATCH(C91,'Facilities'!$C$9:$C$108,0))),H91+L91-M91,0),"Unavailable"))</x:f>
      </x:c>
      <x:c r="O91" s="21" t="str">
        <x:f>IF(C91="","",IFERROR(MAX(0,G91+J91-K91-L91),"Unavailable"))</x:f>
      </x:c>
      <x:c r="P91" s="21" t="str">
        <x:f>IF(C91="","",IFERROR(MAX(0,H91+L91-M91-N91),"Unavailable"))</x:f>
      </x:c>
      <x:c r="Q91" s="23" t="str">
        <x:f>IF(C91="","",IFERROR(IF(OR(D91&gt;=INDEX('Facilities'!$J$9:$J$108,MATCH(C91,'Facilities'!$C$9:$C$108,0)),AND(AC91&gt;=0,AC91&lt;=D91)),0,MAX(0,I91-J91)),"Unavailable"))</x:f>
      </x:c>
      <x:c r="R91" s="30" t="str">
        <x:f>IF(C91="","",IFERROR(INDEX(Credit!$Q$9:$Q$108,MATCH(F91,Credit!$C$9:$C$108,0)),"Unavailable"))</x:f>
      </x:c>
      <x:c r="S91" s="30" t="str">
        <x:f>IF(C91="","",IFERROR(INDEX(Credit!$R$9:$R$108,MATCH(F91,Credit!$C$9:$C$108,0)),"Unavailable"))</x:f>
      </x:c>
      <x:c r="T91" s="23" t="str">
        <x:f>IF(C91="","",IFERROR(IF(P91&gt;0,3,IF(OR(INDEX('Facilities'!$AD$9:$AD$108,MATCH(C91,'Facilities'!$C$9:$C$108,0))=2,AND(R91&gt;=INDEX('Facilities'!$L$9:$L$108,MATCH(C91,'Facilities'!$C$9:$C$108,0))*Settings!$F$19,R91-INDEX('Facilities'!$L$9:$L$108,MATCH(C91,'Facilities'!$C$9:$C$108,0))&gt;=Settings!$F$20)),2,1)),"Unavailable"))</x:f>
      </x:c>
      <x:c r="U91" s="23" t="str">
        <x:f>IF(C91="","",IF(AQ91&lt;&gt;"Ready","Unavailable",IF(C91="","",O91*(1-(1-S91)/(1+INDEX('Facilities'!$K$9:$K$108,MATCH(C91,'Facilities'!$C$9:$C$108,0)))^INDEX('Facilities'!$AK$9:$AK$108,MATCH(C91,'Facilities'!$C$9:$C$108,0)))*R91/(1+INDEX('Facilities'!$K$9:$K$108,MATCH(C91,'Facilities'!$C$9:$C$108,0)))*IF(ABS(1-(1-R91)*(1-INDEX('Facilities'!$R$9:$R$108,MATCH(C91,'Facilities'!$C$9:$C$108,0)))/(1+INDEX('Facilities'!$K$9:$K$108,MATCH(C91,'Facilities'!$C$9:$C$108,0))))&lt;0.000000001,IF(T91=1,MIN(1,AJ91),AJ91),(1-((1-R91)*(1-INDEX('Facilities'!$R$9:$R$108,MATCH(C91,'Facilities'!$C$9:$C$108,0)))/(1+INDEX('Facilities'!$K$9:$K$108,MATCH(C91,'Facilities'!$C$9:$C$108,0))))^IF(T91=1,MIN(1,AJ91),AJ91))/(1-(1-R91)*(1-INDEX('Facilities'!$R$9:$R$108,MATCH(C91,'Facilities'!$C$9:$C$108,0)))/(1+INDEX('Facilities'!$K$9:$K$108,MATCH(C91,'Facilities'!$C$9:$C$108,0)))))+AL91)))</x:f>
      </x:c>
      <x:c r="V91" s="23" t="str">
        <x:f>IF(C91="","",IF(AQ91&lt;&gt;"Ready","Unavailable",IF(C91="","",Q91*INDEX('Facilities'!$I$9:$I$108,MATCH(C91,'Facilities'!$C$9:$C$108,0))*(1-(1-S91)/(1+INDEX('Facilities'!$K$9:$K$108,MATCH(C91,'Facilities'!$C$9:$C$108,0)))^INDEX('Facilities'!$AK$9:$AK$108,MATCH(C91,'Facilities'!$C$9:$C$108,0)))*R91/(1+INDEX('Facilities'!$K$9:$K$108,MATCH(C91,'Facilities'!$C$9:$C$108,0)))*IF(ABS(1-(1-R91)*(1-0)/(1+INDEX('Facilities'!$K$9:$K$108,MATCH(C91,'Facilities'!$C$9:$C$108,0))))&lt;0.000000001,IF(T91=1,MIN(1,AJ91),AJ91),(1-((1-R91)*(1-0)/(1+INDEX('Facilities'!$K$9:$K$108,MATCH(C91,'Facilities'!$C$9:$C$108,0))))^IF(T91=1,MIN(1,AJ91),AJ91))/(1-(1-R91)*(1-0)/(1+INDEX('Facilities'!$K$9:$K$108,MATCH(C91,'Facilities'!$C$9:$C$108,0))))))))</x:f>
      </x:c>
      <x:c r="W91" s="23" t="str">
        <x:f>IF(C91="","",IFERROR(INDEX(ECL!$AB$9:$AB$108,MATCH(C91,ECL!$C$9:$C$108,0)),"Unavailable"))</x:f>
      </x:c>
      <x:c r="X91" s="23" t="str">
        <x:f>IF(C91="","",IFERROR(INDEX(ECL!$AC$9:$AC$108,MATCH(C91,ECL!$C$9:$C$108,0)),"Unavailable"))</x:f>
      </x:c>
      <x:c r="Y91" s="21" t="str">
        <x:f>IF(C91="","",IF(AQ91&lt;&gt;"Ready","Unavailable",IF(C91="","",U91-W91+V91-X91+N91+AG91)))</x:f>
      </x:c>
      <x:c r="Z91" s="23" t="str">
        <x:f>IF(C91="","",IF(AQ91&lt;&gt;"Ready","Unavailable",IF(C91="","",(G91+O91+L91)/2*INDEX('Facilities'!$T$9:$T$108,MATCH(C91,'Facilities'!$C$9:$C$108,0))+AG91)))</x:f>
      </x:c>
      <x:c r="AA91" s="23" t="str">
        <x:f>IF(C91="","",IF(AQ91&lt;&gt;"Ready","Unavailable",IF(C91="","",O91*(1-IF(INDEX('Facilities'!$AA$9:$AA$108,MATCH(C91,'Facilities'!$C$9:$C$108,0))=0,0,MIN(1,INDEX('Facilities'!$X$9:$X$108,MATCH(C91,'Facilities'!$C$9:$C$108,0))/INDEX('Facilities'!$AA$9:$AA$108,MATCH(C91,'Facilities'!$C$9:$C$108,0)))))*AF91+P91*(1-IF(INDEX('Facilities'!$AA$9:$AA$108,MATCH(C91,'Facilities'!$C$9:$C$108,0))=0,0,MIN(1,INDEX('Facilities'!$X$9:$X$108,MATCH(C91,'Facilities'!$C$9:$C$108,0))/INDEX('Facilities'!$AA$9:$AA$108,MATCH(C91,'Facilities'!$C$9:$C$108,0)))))*INDEX('Facilities'!$AJ$9:$AJ$108,MATCH(C91,'Facilities'!$C$9:$C$108,0))+Q91*INDEX('Facilities'!$AI$9:$AI$108,MATCH(C91,'Facilities'!$C$9:$C$108,0))*AF91)))</x:f>
      </x:c>
      <x:c r="AB91" s="21" t="str">
        <x:f>IF(C91="","",O91+P91-AD91)</x:f>
      </x:c>
      <x:c r="AC91" s="23" t="str">
        <x:f>IF(C91="","",IFERROR(IF(INDEX('Facilities'!$AD$9:$AD$108,MATCH(C91,'Facilities'!$C$9:$C$108,0))=3,0,IF(INDEX('Facilities'!$AN$9:$AN$108,MATCH(C91,'Facilities'!$C$9:$C$108,0))=0,-1,INDEX('Facilities'!$AN$9:$AN$108,MATCH(C91,'Facilities'!$C$9:$C$108,0)))),"Unavailable"))</x:f>
      </x:c>
      <x:c r="AD91" s="21" t="str">
        <x:f>IF(C91="","",IFERROR(G91+H91,"Unavailable"))</x:f>
      </x:c>
      <x:c r="AE91" s="21" t="str">
        <x:f>IF(C91="","",IF(AQ91&lt;&gt;"Ready","Unavailable",IF(C91="","",O91+P91-AD91-J91+K91+M91+N91)))</x:f>
      </x:c>
      <x:c r="AF91" s="30" t="str">
        <x:f>IF(C91="","",IFERROR(INDEX('Facilities'!$S$9:$S$108,MATCH(C91,'Facilities'!$C$9:$C$108,0))*'Scenario Paths'!F75,"Unavailable"))</x:f>
      </x:c>
      <x:c r="AG91" s="23" t="str">
        <x:f>IF(C91="","",IF(AQ91&lt;&gt;"Ready","Unavailable",IF(C91="","",IF(H91&gt;0,MAX(0,H91-AK91)*((1+INDEX('Facilities'!$K$9:$K$108,MATCH(C91,'Facilities'!$C$9:$C$108,0)))^MIN(1,MAX(0,AC91+INDEX('Facilities'!$AK$9:$AK$108,MATCH(C91,'Facilities'!$C$9:$C$108,0))-D91+1))-1),0))))</x:f>
      </x:c>
      <x:c r="AH91" s="21" t="str">
        <x:f>IF(C91="","",IF(AQ91&lt;&gt;"Ready","Unavailable",IF(C91="","",O91+P91)))</x:f>
      </x:c>
      <x:c r="AI91" s="21" t="str">
        <x:f>IF(C91="","",IF(AQ91&lt;&gt;"Ready","Unavailable",IF(C91="","",Z91-Y91)))</x:f>
      </x:c>
      <x:c r="AJ91" s="23" t="str">
        <x:f>IF(C91="","",IFERROR(MAX(0,INDEX('Facilities'!$J$9:$J$108,MATCH(C91,'Facilities'!$C$9:$C$108,0))-D91),"Unavailable"))</x:f>
      </x:c>
      <x:c r="AK91" s="23" t="str">
        <x:f>IF(C91="","",IFERROR(IF(INDEX('Facilities'!$AD$9:$AD$108,MATCH(C91,'Facilities'!$C$9:$C$108,0))=3,W91,0),"Unavailable"))</x:f>
      </x:c>
      <x:c r="AL91" s="23" t="str">
        <x:f>IF(C91="","",IFERROR(IF(P91&gt;0,P91*(1-AM91/(1+INDEX('Facilities'!$K$9:$K$108,MATCH(C91,'Facilities'!$C$9:$C$108,0)))^MAX(0,AC91+INDEX('Facilities'!$AK$9:$AK$108,MATCH(C91,'Facilities'!$C$9:$C$108,0))-D91)),0),"Unavailable"))</x:f>
      </x:c>
      <x:c r="AM91" s="30" t="str">
        <x:f>IF(C91="","",IFERROR(INDEX('Facilities'!$AL$9:$AL$108,MATCH(C91,'Facilities'!$C$9:$C$108,0)),"Unavailable"))</x:f>
      </x:c>
      <x:c r="AN91" s="30" t="str">
        <x:f>IF(C91="","",IFERROR(INDEX(Credit!$T$9:$T$108,MATCH(F91,Credit!$C$9:$C$108,0)),"Unavailable"))</x:f>
      </x:c>
      <x:c r="AO91" s="23" t="str">
        <x:f>IF(C91="","",IF(AQ91&lt;&gt;"Ready","Unavailable",IF(C91="","",O91+P91+Q91*INDEX('Facilities'!$I$9:$I$108,MATCH(C91,'Facilities'!$C$9:$C$108,0)))))</x:f>
      </x:c>
      <x:c r="AP91" s="21" t="str">
        <x:f>IF(C91="","",IF(AQ91&lt;&gt;"Ready","Unavailable",IF(C91="","",AH91-U91)))</x:f>
      </x:c>
      <x:c r="AQ91" s="23" t="str">
        <x:f>IFERROR(IF(C91="","",IF(AND(INDEX('Facilities'!$AF$9:$AF$108,MATCH(C91,'Facilities'!$C$9:$C$108,0))="Ready",INDEX(Credit!$U$9:$U$108,MATCH(F91,Credit!$C$9:$C$108,0))="Ready",ISNUMBER(W91)),"Ready","Review inputs")),"Review inputs")</x:f>
      </x:c>
      <x:c r="AR91" s="23" t="str">
        <x:f>IF(C91="","",IF(AQ91&lt;&gt;"Ready","Unavailable",IF(C91="","",IF(O91=0,0,(IF(AJ91&lt;=1,O91,O91*INDEX('Facilities'!$R$9:$R$108,MATCH(C91,'Facilities'!$C$9:$C$108,0)))+O91*INDEX('Facilities'!$T$9:$T$108,MATCH(C91,'Facilities'!$C$9:$C$108,0)))/12))))</x:f>
      </x:c>
    </x:row>
    <x:row r="92" ht="26" customHeight="1">
      <x:c r="A92" s="1"/>
      <x:c r="B92" s="1"/>
      <x:c r="C92" s="9" t="str">
        <x:f>IF(Facilities!C92="","",Facilities!C92)</x:f>
      </x:c>
      <x:c r="D92" s="3" t="n">
        <x:v>1</x:v>
      </x:c>
      <x:c r="E92" s="9" t="n">
        <x:f>Settings!$F$18+0</x:f>
        <x:v>2027</x:v>
      </x:c>
      <x:c r="F92" s="9" t="str">
        <x:f>IF(C92="","",IFERROR(INDEX('Facilities'!$D$9:$D$108,MATCH(C92,'Facilities'!$C$9:$C$108,0)),"Unavailable"))</x:f>
      </x:c>
      <x:c r="G92" s="23" t="str">
        <x:f>IF(C92="","",IFERROR(IF(INDEX('Facilities'!$AD$9:$AD$108,MATCH(C92,'Facilities'!$C$9:$C$108,0))=3,0,INDEX('Facilities'!$AA$9:$AA$108,MATCH(C92,'Facilities'!$C$9:$C$108,0))),"Unavailable"))</x:f>
      </x:c>
      <x:c r="H92" s="23" t="str">
        <x:f>IF(C92="","",IFERROR(IF(INDEX('Facilities'!$AD$9:$AD$108,MATCH(C92,'Facilities'!$C$9:$C$108,0))=3,INDEX('Facilities'!$AA$9:$AA$108,MATCH(C92,'Facilities'!$C$9:$C$108,0)),0),"Unavailable"))</x:f>
      </x:c>
      <x:c r="I92" s="23" t="str">
        <x:f>IF(C92="","",IFERROR(INDEX('Facilities'!$AB$9:$AB$108,MATCH(C92,'Facilities'!$C$9:$C$108,0)),"Unavailable"))</x:f>
      </x:c>
      <x:c r="J92" s="23" t="str">
        <x:f>IF(C92="","",IFERROR(IF(OR(H92&gt;0,AND(AC92&gt;=0,AC92&lt;D92),D92&gt;INDEX('Facilities'!$J$9:$J$108,MATCH(C92,'Facilities'!$C$9:$C$108,0))),0,I92*'Scenario Paths'!F81),"Unavailable"))</x:f>
      </x:c>
      <x:c r="K92" s="23" t="str">
        <x:f>IF(C92="","",IFERROR(IF(OR(H92&gt;0,AND(AC92&gt;=0,AC92=D92)),0,IF(D92&gt;=INDEX('Facilities'!$J$9:$J$108,MATCH(C92,'Facilities'!$C$9:$C$108,0)),G92+J92,MIN(G92+J92,G92*INDEX('Facilities'!$R$9:$R$108,MATCH(C92,'Facilities'!$C$9:$C$108,0))))),"Unavailable"))</x:f>
      </x:c>
      <x:c r="L92" s="21" t="str">
        <x:f>IF(C92="","",IFERROR(IF(AND(AC92=D92,AC92&gt;0),MAX(0,G92+J92-K92),0),"Unavailable"))</x:f>
      </x:c>
      <x:c r="M92" s="23" t="str">
        <x:f>IF(C92="","",IFERROR(IF(AND(AC92&gt;=0,D92&gt;=AC92+INDEX('Facilities'!$AK$9:$AK$108,MATCH(C92,'Facilities'!$C$9:$C$108,0))),(H92+L92)*AM92,0),"Unavailable"))</x:f>
      </x:c>
      <x:c r="N92" s="23" t="str">
        <x:f>IF(C92="","",IFERROR(IF(AND(AC92&gt;=0,D92&gt;=AC92+INDEX('Facilities'!$AK$9:$AK$108,MATCH(C92,'Facilities'!$C$9:$C$108,0))),H92+L92-M92,0),"Unavailable"))</x:f>
      </x:c>
      <x:c r="O92" s="21" t="str">
        <x:f>IF(C92="","",IFERROR(MAX(0,G92+J92-K92-L92),"Unavailable"))</x:f>
      </x:c>
      <x:c r="P92" s="21" t="str">
        <x:f>IF(C92="","",IFERROR(MAX(0,H92+L92-M92-N92),"Unavailable"))</x:f>
      </x:c>
      <x:c r="Q92" s="23" t="str">
        <x:f>IF(C92="","",IFERROR(IF(OR(D92&gt;=INDEX('Facilities'!$J$9:$J$108,MATCH(C92,'Facilities'!$C$9:$C$108,0)),AND(AC92&gt;=0,AC92&lt;=D92)),0,MAX(0,I92-J92)),"Unavailable"))</x:f>
      </x:c>
      <x:c r="R92" s="30" t="str">
        <x:f>IF(C92="","",IFERROR(INDEX(Credit!$Q$9:$Q$108,MATCH(F92,Credit!$C$9:$C$108,0)),"Unavailable"))</x:f>
      </x:c>
      <x:c r="S92" s="30" t="str">
        <x:f>IF(C92="","",IFERROR(INDEX(Credit!$R$9:$R$108,MATCH(F92,Credit!$C$9:$C$108,0)),"Unavailable"))</x:f>
      </x:c>
      <x:c r="T92" s="23" t="str">
        <x:f>IF(C92="","",IFERROR(IF(P92&gt;0,3,IF(OR(INDEX('Facilities'!$AD$9:$AD$108,MATCH(C92,'Facilities'!$C$9:$C$108,0))=2,AND(R92&gt;=INDEX('Facilities'!$L$9:$L$108,MATCH(C92,'Facilities'!$C$9:$C$108,0))*Settings!$F$19,R92-INDEX('Facilities'!$L$9:$L$108,MATCH(C92,'Facilities'!$C$9:$C$108,0))&gt;=Settings!$F$20)),2,1)),"Unavailable"))</x:f>
      </x:c>
      <x:c r="U92" s="23" t="str">
        <x:f>IF(C92="","",IF(AQ92&lt;&gt;"Ready","Unavailable",IF(C92="","",O92*(1-(1-S92)/(1+INDEX('Facilities'!$K$9:$K$108,MATCH(C92,'Facilities'!$C$9:$C$108,0)))^INDEX('Facilities'!$AK$9:$AK$108,MATCH(C92,'Facilities'!$C$9:$C$108,0)))*R92/(1+INDEX('Facilities'!$K$9:$K$108,MATCH(C92,'Facilities'!$C$9:$C$108,0)))*IF(ABS(1-(1-R92)*(1-INDEX('Facilities'!$R$9:$R$108,MATCH(C92,'Facilities'!$C$9:$C$108,0)))/(1+INDEX('Facilities'!$K$9:$K$108,MATCH(C92,'Facilities'!$C$9:$C$108,0))))&lt;0.000000001,IF(T92=1,MIN(1,AJ92),AJ92),(1-((1-R92)*(1-INDEX('Facilities'!$R$9:$R$108,MATCH(C92,'Facilities'!$C$9:$C$108,0)))/(1+INDEX('Facilities'!$K$9:$K$108,MATCH(C92,'Facilities'!$C$9:$C$108,0))))^IF(T92=1,MIN(1,AJ92),AJ92))/(1-(1-R92)*(1-INDEX('Facilities'!$R$9:$R$108,MATCH(C92,'Facilities'!$C$9:$C$108,0)))/(1+INDEX('Facilities'!$K$9:$K$108,MATCH(C92,'Facilities'!$C$9:$C$108,0)))))+AL92)))</x:f>
      </x:c>
      <x:c r="V92" s="23" t="str">
        <x:f>IF(C92="","",IF(AQ92&lt;&gt;"Ready","Unavailable",IF(C92="","",Q92*INDEX('Facilities'!$I$9:$I$108,MATCH(C92,'Facilities'!$C$9:$C$108,0))*(1-(1-S92)/(1+INDEX('Facilities'!$K$9:$K$108,MATCH(C92,'Facilities'!$C$9:$C$108,0)))^INDEX('Facilities'!$AK$9:$AK$108,MATCH(C92,'Facilities'!$C$9:$C$108,0)))*R92/(1+INDEX('Facilities'!$K$9:$K$108,MATCH(C92,'Facilities'!$C$9:$C$108,0)))*IF(ABS(1-(1-R92)*(1-0)/(1+INDEX('Facilities'!$K$9:$K$108,MATCH(C92,'Facilities'!$C$9:$C$108,0))))&lt;0.000000001,IF(T92=1,MIN(1,AJ92),AJ92),(1-((1-R92)*(1-0)/(1+INDEX('Facilities'!$K$9:$K$108,MATCH(C92,'Facilities'!$C$9:$C$108,0))))^IF(T92=1,MIN(1,AJ92),AJ92))/(1-(1-R92)*(1-0)/(1+INDEX('Facilities'!$K$9:$K$108,MATCH(C92,'Facilities'!$C$9:$C$108,0))))))))</x:f>
      </x:c>
      <x:c r="W92" s="23" t="str">
        <x:f>IF(C92="","",IFERROR(INDEX(ECL!$AB$9:$AB$108,MATCH(C92,ECL!$C$9:$C$108,0)),"Unavailable"))</x:f>
      </x:c>
      <x:c r="X92" s="23" t="str">
        <x:f>IF(C92="","",IFERROR(INDEX(ECL!$AC$9:$AC$108,MATCH(C92,ECL!$C$9:$C$108,0)),"Unavailable"))</x:f>
      </x:c>
      <x:c r="Y92" s="21" t="str">
        <x:f>IF(C92="","",IF(AQ92&lt;&gt;"Ready","Unavailable",IF(C92="","",U92-W92+V92-X92+N92+AG92)))</x:f>
      </x:c>
      <x:c r="Z92" s="23" t="str">
        <x:f>IF(C92="","",IF(AQ92&lt;&gt;"Ready","Unavailable",IF(C92="","",(G92+O92+L92)/2*INDEX('Facilities'!$T$9:$T$108,MATCH(C92,'Facilities'!$C$9:$C$108,0))+AG92)))</x:f>
      </x:c>
      <x:c r="AA92" s="23" t="str">
        <x:f>IF(C92="","",IF(AQ92&lt;&gt;"Ready","Unavailable",IF(C92="","",O92*(1-IF(INDEX('Facilities'!$AA$9:$AA$108,MATCH(C92,'Facilities'!$C$9:$C$108,0))=0,0,MIN(1,INDEX('Facilities'!$X$9:$X$108,MATCH(C92,'Facilities'!$C$9:$C$108,0))/INDEX('Facilities'!$AA$9:$AA$108,MATCH(C92,'Facilities'!$C$9:$C$108,0)))))*AF92+P92*(1-IF(INDEX('Facilities'!$AA$9:$AA$108,MATCH(C92,'Facilities'!$C$9:$C$108,0))=0,0,MIN(1,INDEX('Facilities'!$X$9:$X$108,MATCH(C92,'Facilities'!$C$9:$C$108,0))/INDEX('Facilities'!$AA$9:$AA$108,MATCH(C92,'Facilities'!$C$9:$C$108,0)))))*INDEX('Facilities'!$AJ$9:$AJ$108,MATCH(C92,'Facilities'!$C$9:$C$108,0))+Q92*INDEX('Facilities'!$AI$9:$AI$108,MATCH(C92,'Facilities'!$C$9:$C$108,0))*AF92)))</x:f>
      </x:c>
      <x:c r="AB92" s="21" t="str">
        <x:f>IF(C92="","",O92+P92-AD92)</x:f>
      </x:c>
      <x:c r="AC92" s="23" t="str">
        <x:f>IF(C92="","",IFERROR(IF(INDEX('Facilities'!$AD$9:$AD$108,MATCH(C92,'Facilities'!$C$9:$C$108,0))=3,0,IF(INDEX('Facilities'!$AN$9:$AN$108,MATCH(C92,'Facilities'!$C$9:$C$108,0))=0,-1,INDEX('Facilities'!$AN$9:$AN$108,MATCH(C92,'Facilities'!$C$9:$C$108,0)))),"Unavailable"))</x:f>
      </x:c>
      <x:c r="AD92" s="21" t="str">
        <x:f>IF(C92="","",IFERROR(G92+H92,"Unavailable"))</x:f>
      </x:c>
      <x:c r="AE92" s="21" t="str">
        <x:f>IF(C92="","",IF(AQ92&lt;&gt;"Ready","Unavailable",IF(C92="","",O92+P92-AD92-J92+K92+M92+N92)))</x:f>
      </x:c>
      <x:c r="AF92" s="30" t="str">
        <x:f>IF(C92="","",IFERROR(INDEX('Facilities'!$S$9:$S$108,MATCH(C92,'Facilities'!$C$9:$C$108,0))*'Scenario Paths'!F75,"Unavailable"))</x:f>
      </x:c>
      <x:c r="AG92" s="23" t="str">
        <x:f>IF(C92="","",IF(AQ92&lt;&gt;"Ready","Unavailable",IF(C92="","",IF(H92&gt;0,MAX(0,H92-AK92)*((1+INDEX('Facilities'!$K$9:$K$108,MATCH(C92,'Facilities'!$C$9:$C$108,0)))^MIN(1,MAX(0,AC92+INDEX('Facilities'!$AK$9:$AK$108,MATCH(C92,'Facilities'!$C$9:$C$108,0))-D92+1))-1),0))))</x:f>
      </x:c>
      <x:c r="AH92" s="21" t="str">
        <x:f>IF(C92="","",IF(AQ92&lt;&gt;"Ready","Unavailable",IF(C92="","",O92+P92)))</x:f>
      </x:c>
      <x:c r="AI92" s="21" t="str">
        <x:f>IF(C92="","",IF(AQ92&lt;&gt;"Ready","Unavailable",IF(C92="","",Z92-Y92)))</x:f>
      </x:c>
      <x:c r="AJ92" s="23" t="str">
        <x:f>IF(C92="","",IFERROR(MAX(0,INDEX('Facilities'!$J$9:$J$108,MATCH(C92,'Facilities'!$C$9:$C$108,0))-D92),"Unavailable"))</x:f>
      </x:c>
      <x:c r="AK92" s="23" t="str">
        <x:f>IF(C92="","",IFERROR(IF(INDEX('Facilities'!$AD$9:$AD$108,MATCH(C92,'Facilities'!$C$9:$C$108,0))=3,W92,0),"Unavailable"))</x:f>
      </x:c>
      <x:c r="AL92" s="23" t="str">
        <x:f>IF(C92="","",IFERROR(IF(P92&gt;0,P92*(1-AM92/(1+INDEX('Facilities'!$K$9:$K$108,MATCH(C92,'Facilities'!$C$9:$C$108,0)))^MAX(0,AC92+INDEX('Facilities'!$AK$9:$AK$108,MATCH(C92,'Facilities'!$C$9:$C$108,0))-D92)),0),"Unavailable"))</x:f>
      </x:c>
      <x:c r="AM92" s="30" t="str">
        <x:f>IF(C92="","",IFERROR(INDEX('Facilities'!$AL$9:$AL$108,MATCH(C92,'Facilities'!$C$9:$C$108,0)),"Unavailable"))</x:f>
      </x:c>
      <x:c r="AN92" s="30" t="str">
        <x:f>IF(C92="","",IFERROR(INDEX(Credit!$T$9:$T$108,MATCH(F92,Credit!$C$9:$C$108,0)),"Unavailable"))</x:f>
      </x:c>
      <x:c r="AO92" s="23" t="str">
        <x:f>IF(C92="","",IF(AQ92&lt;&gt;"Ready","Unavailable",IF(C92="","",O92+P92+Q92*INDEX('Facilities'!$I$9:$I$108,MATCH(C92,'Facilities'!$C$9:$C$108,0)))))</x:f>
      </x:c>
      <x:c r="AP92" s="21" t="str">
        <x:f>IF(C92="","",IF(AQ92&lt;&gt;"Ready","Unavailable",IF(C92="","",AH92-U92)))</x:f>
      </x:c>
      <x:c r="AQ92" s="23" t="str">
        <x:f>IFERROR(IF(C92="","",IF(AND(INDEX('Facilities'!$AF$9:$AF$108,MATCH(C92,'Facilities'!$C$9:$C$108,0))="Ready",INDEX(Credit!$U$9:$U$108,MATCH(F92,Credit!$C$9:$C$108,0))="Ready",ISNUMBER(W92)),"Ready","Review inputs")),"Review inputs")</x:f>
      </x:c>
      <x:c r="AR92" s="23" t="str">
        <x:f>IF(C92="","",IF(AQ92&lt;&gt;"Ready","Unavailable",IF(C92="","",IF(O92=0,0,(IF(AJ92&lt;=1,O92,O92*INDEX('Facilities'!$R$9:$R$108,MATCH(C92,'Facilities'!$C$9:$C$108,0)))+O92*INDEX('Facilities'!$T$9:$T$108,MATCH(C92,'Facilities'!$C$9:$C$108,0)))/12))))</x:f>
      </x:c>
    </x:row>
    <x:row r="93" ht="26" customHeight="1">
      <x:c r="A93" s="1"/>
      <x:c r="B93" s="1"/>
      <x:c r="C93" s="9" t="str">
        <x:f>IF(Facilities!C93="","",Facilities!C93)</x:f>
      </x:c>
      <x:c r="D93" s="3" t="n">
        <x:v>1</x:v>
      </x:c>
      <x:c r="E93" s="9" t="n">
        <x:f>Settings!$F$18+0</x:f>
        <x:v>2027</x:v>
      </x:c>
      <x:c r="F93" s="9" t="str">
        <x:f>IF(C93="","",IFERROR(INDEX('Facilities'!$D$9:$D$108,MATCH(C93,'Facilities'!$C$9:$C$108,0)),"Unavailable"))</x:f>
      </x:c>
      <x:c r="G93" s="23" t="str">
        <x:f>IF(C93="","",IFERROR(IF(INDEX('Facilities'!$AD$9:$AD$108,MATCH(C93,'Facilities'!$C$9:$C$108,0))=3,0,INDEX('Facilities'!$AA$9:$AA$108,MATCH(C93,'Facilities'!$C$9:$C$108,0))),"Unavailable"))</x:f>
      </x:c>
      <x:c r="H93" s="23" t="str">
        <x:f>IF(C93="","",IFERROR(IF(INDEX('Facilities'!$AD$9:$AD$108,MATCH(C93,'Facilities'!$C$9:$C$108,0))=3,INDEX('Facilities'!$AA$9:$AA$108,MATCH(C93,'Facilities'!$C$9:$C$108,0)),0),"Unavailable"))</x:f>
      </x:c>
      <x:c r="I93" s="23" t="str">
        <x:f>IF(C93="","",IFERROR(INDEX('Facilities'!$AB$9:$AB$108,MATCH(C93,'Facilities'!$C$9:$C$108,0)),"Unavailable"))</x:f>
      </x:c>
      <x:c r="J93" s="23" t="str">
        <x:f>IF(C93="","",IFERROR(IF(OR(H93&gt;0,AND(AC93&gt;=0,AC93&lt;D93),D93&gt;INDEX('Facilities'!$J$9:$J$108,MATCH(C93,'Facilities'!$C$9:$C$108,0))),0,I93*'Scenario Paths'!F81),"Unavailable"))</x:f>
      </x:c>
      <x:c r="K93" s="23" t="str">
        <x:f>IF(C93="","",IFERROR(IF(OR(H93&gt;0,AND(AC93&gt;=0,AC93=D93)),0,IF(D93&gt;=INDEX('Facilities'!$J$9:$J$108,MATCH(C93,'Facilities'!$C$9:$C$108,0)),G93+J93,MIN(G93+J93,G93*INDEX('Facilities'!$R$9:$R$108,MATCH(C93,'Facilities'!$C$9:$C$108,0))))),"Unavailable"))</x:f>
      </x:c>
      <x:c r="L93" s="21" t="str">
        <x:f>IF(C93="","",IFERROR(IF(AND(AC93=D93,AC93&gt;0),MAX(0,G93+J93-K93),0),"Unavailable"))</x:f>
      </x:c>
      <x:c r="M93" s="23" t="str">
        <x:f>IF(C93="","",IFERROR(IF(AND(AC93&gt;=0,D93&gt;=AC93+INDEX('Facilities'!$AK$9:$AK$108,MATCH(C93,'Facilities'!$C$9:$C$108,0))),(H93+L93)*AM93,0),"Unavailable"))</x:f>
      </x:c>
      <x:c r="N93" s="23" t="str">
        <x:f>IF(C93="","",IFERROR(IF(AND(AC93&gt;=0,D93&gt;=AC93+INDEX('Facilities'!$AK$9:$AK$108,MATCH(C93,'Facilities'!$C$9:$C$108,0))),H93+L93-M93,0),"Unavailable"))</x:f>
      </x:c>
      <x:c r="O93" s="21" t="str">
        <x:f>IF(C93="","",IFERROR(MAX(0,G93+J93-K93-L93),"Unavailable"))</x:f>
      </x:c>
      <x:c r="P93" s="21" t="str">
        <x:f>IF(C93="","",IFERROR(MAX(0,H93+L93-M93-N93),"Unavailable"))</x:f>
      </x:c>
      <x:c r="Q93" s="23" t="str">
        <x:f>IF(C93="","",IFERROR(IF(OR(D93&gt;=INDEX('Facilities'!$J$9:$J$108,MATCH(C93,'Facilities'!$C$9:$C$108,0)),AND(AC93&gt;=0,AC93&lt;=D93)),0,MAX(0,I93-J93)),"Unavailable"))</x:f>
      </x:c>
      <x:c r="R93" s="30" t="str">
        <x:f>IF(C93="","",IFERROR(INDEX(Credit!$Q$9:$Q$108,MATCH(F93,Credit!$C$9:$C$108,0)),"Unavailable"))</x:f>
      </x:c>
      <x:c r="S93" s="30" t="str">
        <x:f>IF(C93="","",IFERROR(INDEX(Credit!$R$9:$R$108,MATCH(F93,Credit!$C$9:$C$108,0)),"Unavailable"))</x:f>
      </x:c>
      <x:c r="T93" s="23" t="str">
        <x:f>IF(C93="","",IFERROR(IF(P93&gt;0,3,IF(OR(INDEX('Facilities'!$AD$9:$AD$108,MATCH(C93,'Facilities'!$C$9:$C$108,0))=2,AND(R93&gt;=INDEX('Facilities'!$L$9:$L$108,MATCH(C93,'Facilities'!$C$9:$C$108,0))*Settings!$F$19,R93-INDEX('Facilities'!$L$9:$L$108,MATCH(C93,'Facilities'!$C$9:$C$108,0))&gt;=Settings!$F$20)),2,1)),"Unavailable"))</x:f>
      </x:c>
      <x:c r="U93" s="23" t="str">
        <x:f>IF(C93="","",IF(AQ93&lt;&gt;"Ready","Unavailable",IF(C93="","",O93*(1-(1-S93)/(1+INDEX('Facilities'!$K$9:$K$108,MATCH(C93,'Facilities'!$C$9:$C$108,0)))^INDEX('Facilities'!$AK$9:$AK$108,MATCH(C93,'Facilities'!$C$9:$C$108,0)))*R93/(1+INDEX('Facilities'!$K$9:$K$108,MATCH(C93,'Facilities'!$C$9:$C$108,0)))*IF(ABS(1-(1-R93)*(1-INDEX('Facilities'!$R$9:$R$108,MATCH(C93,'Facilities'!$C$9:$C$108,0)))/(1+INDEX('Facilities'!$K$9:$K$108,MATCH(C93,'Facilities'!$C$9:$C$108,0))))&lt;0.000000001,IF(T93=1,MIN(1,AJ93),AJ93),(1-((1-R93)*(1-INDEX('Facilities'!$R$9:$R$108,MATCH(C93,'Facilities'!$C$9:$C$108,0)))/(1+INDEX('Facilities'!$K$9:$K$108,MATCH(C93,'Facilities'!$C$9:$C$108,0))))^IF(T93=1,MIN(1,AJ93),AJ93))/(1-(1-R93)*(1-INDEX('Facilities'!$R$9:$R$108,MATCH(C93,'Facilities'!$C$9:$C$108,0)))/(1+INDEX('Facilities'!$K$9:$K$108,MATCH(C93,'Facilities'!$C$9:$C$108,0)))))+AL93)))</x:f>
      </x:c>
      <x:c r="V93" s="23" t="str">
        <x:f>IF(C93="","",IF(AQ93&lt;&gt;"Ready","Unavailable",IF(C93="","",Q93*INDEX('Facilities'!$I$9:$I$108,MATCH(C93,'Facilities'!$C$9:$C$108,0))*(1-(1-S93)/(1+INDEX('Facilities'!$K$9:$K$108,MATCH(C93,'Facilities'!$C$9:$C$108,0)))^INDEX('Facilities'!$AK$9:$AK$108,MATCH(C93,'Facilities'!$C$9:$C$108,0)))*R93/(1+INDEX('Facilities'!$K$9:$K$108,MATCH(C93,'Facilities'!$C$9:$C$108,0)))*IF(ABS(1-(1-R93)*(1-0)/(1+INDEX('Facilities'!$K$9:$K$108,MATCH(C93,'Facilities'!$C$9:$C$108,0))))&lt;0.000000001,IF(T93=1,MIN(1,AJ93),AJ93),(1-((1-R93)*(1-0)/(1+INDEX('Facilities'!$K$9:$K$108,MATCH(C93,'Facilities'!$C$9:$C$108,0))))^IF(T93=1,MIN(1,AJ93),AJ93))/(1-(1-R93)*(1-0)/(1+INDEX('Facilities'!$K$9:$K$108,MATCH(C93,'Facilities'!$C$9:$C$108,0))))))))</x:f>
      </x:c>
      <x:c r="W93" s="23" t="str">
        <x:f>IF(C93="","",IFERROR(INDEX(ECL!$AB$9:$AB$108,MATCH(C93,ECL!$C$9:$C$108,0)),"Unavailable"))</x:f>
      </x:c>
      <x:c r="X93" s="23" t="str">
        <x:f>IF(C93="","",IFERROR(INDEX(ECL!$AC$9:$AC$108,MATCH(C93,ECL!$C$9:$C$108,0)),"Unavailable"))</x:f>
      </x:c>
      <x:c r="Y93" s="21" t="str">
        <x:f>IF(C93="","",IF(AQ93&lt;&gt;"Ready","Unavailable",IF(C93="","",U93-W93+V93-X93+N93+AG93)))</x:f>
      </x:c>
      <x:c r="Z93" s="23" t="str">
        <x:f>IF(C93="","",IF(AQ93&lt;&gt;"Ready","Unavailable",IF(C93="","",(G93+O93+L93)/2*INDEX('Facilities'!$T$9:$T$108,MATCH(C93,'Facilities'!$C$9:$C$108,0))+AG93)))</x:f>
      </x:c>
      <x:c r="AA93" s="23" t="str">
        <x:f>IF(C93="","",IF(AQ93&lt;&gt;"Ready","Unavailable",IF(C93="","",O93*(1-IF(INDEX('Facilities'!$AA$9:$AA$108,MATCH(C93,'Facilities'!$C$9:$C$108,0))=0,0,MIN(1,INDEX('Facilities'!$X$9:$X$108,MATCH(C93,'Facilities'!$C$9:$C$108,0))/INDEX('Facilities'!$AA$9:$AA$108,MATCH(C93,'Facilities'!$C$9:$C$108,0)))))*AF93+P93*(1-IF(INDEX('Facilities'!$AA$9:$AA$108,MATCH(C93,'Facilities'!$C$9:$C$108,0))=0,0,MIN(1,INDEX('Facilities'!$X$9:$X$108,MATCH(C93,'Facilities'!$C$9:$C$108,0))/INDEX('Facilities'!$AA$9:$AA$108,MATCH(C93,'Facilities'!$C$9:$C$108,0)))))*INDEX('Facilities'!$AJ$9:$AJ$108,MATCH(C93,'Facilities'!$C$9:$C$108,0))+Q93*INDEX('Facilities'!$AI$9:$AI$108,MATCH(C93,'Facilities'!$C$9:$C$108,0))*AF93)))</x:f>
      </x:c>
      <x:c r="AB93" s="21" t="str">
        <x:f>IF(C93="","",O93+P93-AD93)</x:f>
      </x:c>
      <x:c r="AC93" s="23" t="str">
        <x:f>IF(C93="","",IFERROR(IF(INDEX('Facilities'!$AD$9:$AD$108,MATCH(C93,'Facilities'!$C$9:$C$108,0))=3,0,IF(INDEX('Facilities'!$AN$9:$AN$108,MATCH(C93,'Facilities'!$C$9:$C$108,0))=0,-1,INDEX('Facilities'!$AN$9:$AN$108,MATCH(C93,'Facilities'!$C$9:$C$108,0)))),"Unavailable"))</x:f>
      </x:c>
      <x:c r="AD93" s="21" t="str">
        <x:f>IF(C93="","",IFERROR(G93+H93,"Unavailable"))</x:f>
      </x:c>
      <x:c r="AE93" s="21" t="str">
        <x:f>IF(C93="","",IF(AQ93&lt;&gt;"Ready","Unavailable",IF(C93="","",O93+P93-AD93-J93+K93+M93+N93)))</x:f>
      </x:c>
      <x:c r="AF93" s="30" t="str">
        <x:f>IF(C93="","",IFERROR(INDEX('Facilities'!$S$9:$S$108,MATCH(C93,'Facilities'!$C$9:$C$108,0))*'Scenario Paths'!F75,"Unavailable"))</x:f>
      </x:c>
      <x:c r="AG93" s="23" t="str">
        <x:f>IF(C93="","",IF(AQ93&lt;&gt;"Ready","Unavailable",IF(C93="","",IF(H93&gt;0,MAX(0,H93-AK93)*((1+INDEX('Facilities'!$K$9:$K$108,MATCH(C93,'Facilities'!$C$9:$C$108,0)))^MIN(1,MAX(0,AC93+INDEX('Facilities'!$AK$9:$AK$108,MATCH(C93,'Facilities'!$C$9:$C$108,0))-D93+1))-1),0))))</x:f>
      </x:c>
      <x:c r="AH93" s="21" t="str">
        <x:f>IF(C93="","",IF(AQ93&lt;&gt;"Ready","Unavailable",IF(C93="","",O93+P93)))</x:f>
      </x:c>
      <x:c r="AI93" s="21" t="str">
        <x:f>IF(C93="","",IF(AQ93&lt;&gt;"Ready","Unavailable",IF(C93="","",Z93-Y93)))</x:f>
      </x:c>
      <x:c r="AJ93" s="23" t="str">
        <x:f>IF(C93="","",IFERROR(MAX(0,INDEX('Facilities'!$J$9:$J$108,MATCH(C93,'Facilities'!$C$9:$C$108,0))-D93),"Unavailable"))</x:f>
      </x:c>
      <x:c r="AK93" s="23" t="str">
        <x:f>IF(C93="","",IFERROR(IF(INDEX('Facilities'!$AD$9:$AD$108,MATCH(C93,'Facilities'!$C$9:$C$108,0))=3,W93,0),"Unavailable"))</x:f>
      </x:c>
      <x:c r="AL93" s="23" t="str">
        <x:f>IF(C93="","",IFERROR(IF(P93&gt;0,P93*(1-AM93/(1+INDEX('Facilities'!$K$9:$K$108,MATCH(C93,'Facilities'!$C$9:$C$108,0)))^MAX(0,AC93+INDEX('Facilities'!$AK$9:$AK$108,MATCH(C93,'Facilities'!$C$9:$C$108,0))-D93)),0),"Unavailable"))</x:f>
      </x:c>
      <x:c r="AM93" s="30" t="str">
        <x:f>IF(C93="","",IFERROR(INDEX('Facilities'!$AL$9:$AL$108,MATCH(C93,'Facilities'!$C$9:$C$108,0)),"Unavailable"))</x:f>
      </x:c>
      <x:c r="AN93" s="30" t="str">
        <x:f>IF(C93="","",IFERROR(INDEX(Credit!$T$9:$T$108,MATCH(F93,Credit!$C$9:$C$108,0)),"Unavailable"))</x:f>
      </x:c>
      <x:c r="AO93" s="23" t="str">
        <x:f>IF(C93="","",IF(AQ93&lt;&gt;"Ready","Unavailable",IF(C93="","",O93+P93+Q93*INDEX('Facilities'!$I$9:$I$108,MATCH(C93,'Facilities'!$C$9:$C$108,0)))))</x:f>
      </x:c>
      <x:c r="AP93" s="21" t="str">
        <x:f>IF(C93="","",IF(AQ93&lt;&gt;"Ready","Unavailable",IF(C93="","",AH93-U93)))</x:f>
      </x:c>
      <x:c r="AQ93" s="23" t="str">
        <x:f>IFERROR(IF(C93="","",IF(AND(INDEX('Facilities'!$AF$9:$AF$108,MATCH(C93,'Facilities'!$C$9:$C$108,0))="Ready",INDEX(Credit!$U$9:$U$108,MATCH(F93,Credit!$C$9:$C$108,0))="Ready",ISNUMBER(W93)),"Ready","Review inputs")),"Review inputs")</x:f>
      </x:c>
      <x:c r="AR93" s="23" t="str">
        <x:f>IF(C93="","",IF(AQ93&lt;&gt;"Ready","Unavailable",IF(C93="","",IF(O93=0,0,(IF(AJ93&lt;=1,O93,O93*INDEX('Facilities'!$R$9:$R$108,MATCH(C93,'Facilities'!$C$9:$C$108,0)))+O93*INDEX('Facilities'!$T$9:$T$108,MATCH(C93,'Facilities'!$C$9:$C$108,0)))/12))))</x:f>
      </x:c>
    </x:row>
    <x:row r="94" ht="26" customHeight="1">
      <x:c r="A94" s="1"/>
      <x:c r="B94" s="1"/>
      <x:c r="C94" s="9" t="str">
        <x:f>IF(Facilities!C94="","",Facilities!C94)</x:f>
      </x:c>
      <x:c r="D94" s="3" t="n">
        <x:v>1</x:v>
      </x:c>
      <x:c r="E94" s="9" t="n">
        <x:f>Settings!$F$18+0</x:f>
        <x:v>2027</x:v>
      </x:c>
      <x:c r="F94" s="9" t="str">
        <x:f>IF(C94="","",IFERROR(INDEX('Facilities'!$D$9:$D$108,MATCH(C94,'Facilities'!$C$9:$C$108,0)),"Unavailable"))</x:f>
      </x:c>
      <x:c r="G94" s="23" t="str">
        <x:f>IF(C94="","",IFERROR(IF(INDEX('Facilities'!$AD$9:$AD$108,MATCH(C94,'Facilities'!$C$9:$C$108,0))=3,0,INDEX('Facilities'!$AA$9:$AA$108,MATCH(C94,'Facilities'!$C$9:$C$108,0))),"Unavailable"))</x:f>
      </x:c>
      <x:c r="H94" s="23" t="str">
        <x:f>IF(C94="","",IFERROR(IF(INDEX('Facilities'!$AD$9:$AD$108,MATCH(C94,'Facilities'!$C$9:$C$108,0))=3,INDEX('Facilities'!$AA$9:$AA$108,MATCH(C94,'Facilities'!$C$9:$C$108,0)),0),"Unavailable"))</x:f>
      </x:c>
      <x:c r="I94" s="23" t="str">
        <x:f>IF(C94="","",IFERROR(INDEX('Facilities'!$AB$9:$AB$108,MATCH(C94,'Facilities'!$C$9:$C$108,0)),"Unavailable"))</x:f>
      </x:c>
      <x:c r="J94" s="23" t="str">
        <x:f>IF(C94="","",IFERROR(IF(OR(H94&gt;0,AND(AC94&gt;=0,AC94&lt;D94),D94&gt;INDEX('Facilities'!$J$9:$J$108,MATCH(C94,'Facilities'!$C$9:$C$108,0))),0,I94*'Scenario Paths'!F81),"Unavailable"))</x:f>
      </x:c>
      <x:c r="K94" s="23" t="str">
        <x:f>IF(C94="","",IFERROR(IF(OR(H94&gt;0,AND(AC94&gt;=0,AC94=D94)),0,IF(D94&gt;=INDEX('Facilities'!$J$9:$J$108,MATCH(C94,'Facilities'!$C$9:$C$108,0)),G94+J94,MIN(G94+J94,G94*INDEX('Facilities'!$R$9:$R$108,MATCH(C94,'Facilities'!$C$9:$C$108,0))))),"Unavailable"))</x:f>
      </x:c>
      <x:c r="L94" s="21" t="str">
        <x:f>IF(C94="","",IFERROR(IF(AND(AC94=D94,AC94&gt;0),MAX(0,G94+J94-K94),0),"Unavailable"))</x:f>
      </x:c>
      <x:c r="M94" s="23" t="str">
        <x:f>IF(C94="","",IFERROR(IF(AND(AC94&gt;=0,D94&gt;=AC94+INDEX('Facilities'!$AK$9:$AK$108,MATCH(C94,'Facilities'!$C$9:$C$108,0))),(H94+L94)*AM94,0),"Unavailable"))</x:f>
      </x:c>
      <x:c r="N94" s="23" t="str">
        <x:f>IF(C94="","",IFERROR(IF(AND(AC94&gt;=0,D94&gt;=AC94+INDEX('Facilities'!$AK$9:$AK$108,MATCH(C94,'Facilities'!$C$9:$C$108,0))),H94+L94-M94,0),"Unavailable"))</x:f>
      </x:c>
      <x:c r="O94" s="21" t="str">
        <x:f>IF(C94="","",IFERROR(MAX(0,G94+J94-K94-L94),"Unavailable"))</x:f>
      </x:c>
      <x:c r="P94" s="21" t="str">
        <x:f>IF(C94="","",IFERROR(MAX(0,H94+L94-M94-N94),"Unavailable"))</x:f>
      </x:c>
      <x:c r="Q94" s="23" t="str">
        <x:f>IF(C94="","",IFERROR(IF(OR(D94&gt;=INDEX('Facilities'!$J$9:$J$108,MATCH(C94,'Facilities'!$C$9:$C$108,0)),AND(AC94&gt;=0,AC94&lt;=D94)),0,MAX(0,I94-J94)),"Unavailable"))</x:f>
      </x:c>
      <x:c r="R94" s="30" t="str">
        <x:f>IF(C94="","",IFERROR(INDEX(Credit!$Q$9:$Q$108,MATCH(F94,Credit!$C$9:$C$108,0)),"Unavailable"))</x:f>
      </x:c>
      <x:c r="S94" s="30" t="str">
        <x:f>IF(C94="","",IFERROR(INDEX(Credit!$R$9:$R$108,MATCH(F94,Credit!$C$9:$C$108,0)),"Unavailable"))</x:f>
      </x:c>
      <x:c r="T94" s="23" t="str">
        <x:f>IF(C94="","",IFERROR(IF(P94&gt;0,3,IF(OR(INDEX('Facilities'!$AD$9:$AD$108,MATCH(C94,'Facilities'!$C$9:$C$108,0))=2,AND(R94&gt;=INDEX('Facilities'!$L$9:$L$108,MATCH(C94,'Facilities'!$C$9:$C$108,0))*Settings!$F$19,R94-INDEX('Facilities'!$L$9:$L$108,MATCH(C94,'Facilities'!$C$9:$C$108,0))&gt;=Settings!$F$20)),2,1)),"Unavailable"))</x:f>
      </x:c>
      <x:c r="U94" s="23" t="str">
        <x:f>IF(C94="","",IF(AQ94&lt;&gt;"Ready","Unavailable",IF(C94="","",O94*(1-(1-S94)/(1+INDEX('Facilities'!$K$9:$K$108,MATCH(C94,'Facilities'!$C$9:$C$108,0)))^INDEX('Facilities'!$AK$9:$AK$108,MATCH(C94,'Facilities'!$C$9:$C$108,0)))*R94/(1+INDEX('Facilities'!$K$9:$K$108,MATCH(C94,'Facilities'!$C$9:$C$108,0)))*IF(ABS(1-(1-R94)*(1-INDEX('Facilities'!$R$9:$R$108,MATCH(C94,'Facilities'!$C$9:$C$108,0)))/(1+INDEX('Facilities'!$K$9:$K$108,MATCH(C94,'Facilities'!$C$9:$C$108,0))))&lt;0.000000001,IF(T94=1,MIN(1,AJ94),AJ94),(1-((1-R94)*(1-INDEX('Facilities'!$R$9:$R$108,MATCH(C94,'Facilities'!$C$9:$C$108,0)))/(1+INDEX('Facilities'!$K$9:$K$108,MATCH(C94,'Facilities'!$C$9:$C$108,0))))^IF(T94=1,MIN(1,AJ94),AJ94))/(1-(1-R94)*(1-INDEX('Facilities'!$R$9:$R$108,MATCH(C94,'Facilities'!$C$9:$C$108,0)))/(1+INDEX('Facilities'!$K$9:$K$108,MATCH(C94,'Facilities'!$C$9:$C$108,0)))))+AL94)))</x:f>
      </x:c>
      <x:c r="V94" s="23" t="str">
        <x:f>IF(C94="","",IF(AQ94&lt;&gt;"Ready","Unavailable",IF(C94="","",Q94*INDEX('Facilities'!$I$9:$I$108,MATCH(C94,'Facilities'!$C$9:$C$108,0))*(1-(1-S94)/(1+INDEX('Facilities'!$K$9:$K$108,MATCH(C94,'Facilities'!$C$9:$C$108,0)))^INDEX('Facilities'!$AK$9:$AK$108,MATCH(C94,'Facilities'!$C$9:$C$108,0)))*R94/(1+INDEX('Facilities'!$K$9:$K$108,MATCH(C94,'Facilities'!$C$9:$C$108,0)))*IF(ABS(1-(1-R94)*(1-0)/(1+INDEX('Facilities'!$K$9:$K$108,MATCH(C94,'Facilities'!$C$9:$C$108,0))))&lt;0.000000001,IF(T94=1,MIN(1,AJ94),AJ94),(1-((1-R94)*(1-0)/(1+INDEX('Facilities'!$K$9:$K$108,MATCH(C94,'Facilities'!$C$9:$C$108,0))))^IF(T94=1,MIN(1,AJ94),AJ94))/(1-(1-R94)*(1-0)/(1+INDEX('Facilities'!$K$9:$K$108,MATCH(C94,'Facilities'!$C$9:$C$108,0))))))))</x:f>
      </x:c>
      <x:c r="W94" s="23" t="str">
        <x:f>IF(C94="","",IFERROR(INDEX(ECL!$AB$9:$AB$108,MATCH(C94,ECL!$C$9:$C$108,0)),"Unavailable"))</x:f>
      </x:c>
      <x:c r="X94" s="23" t="str">
        <x:f>IF(C94="","",IFERROR(INDEX(ECL!$AC$9:$AC$108,MATCH(C94,ECL!$C$9:$C$108,0)),"Unavailable"))</x:f>
      </x:c>
      <x:c r="Y94" s="21" t="str">
        <x:f>IF(C94="","",IF(AQ94&lt;&gt;"Ready","Unavailable",IF(C94="","",U94-W94+V94-X94+N94+AG94)))</x:f>
      </x:c>
      <x:c r="Z94" s="23" t="str">
        <x:f>IF(C94="","",IF(AQ94&lt;&gt;"Ready","Unavailable",IF(C94="","",(G94+O94+L94)/2*INDEX('Facilities'!$T$9:$T$108,MATCH(C94,'Facilities'!$C$9:$C$108,0))+AG94)))</x:f>
      </x:c>
      <x:c r="AA94" s="23" t="str">
        <x:f>IF(C94="","",IF(AQ94&lt;&gt;"Ready","Unavailable",IF(C94="","",O94*(1-IF(INDEX('Facilities'!$AA$9:$AA$108,MATCH(C94,'Facilities'!$C$9:$C$108,0))=0,0,MIN(1,INDEX('Facilities'!$X$9:$X$108,MATCH(C94,'Facilities'!$C$9:$C$108,0))/INDEX('Facilities'!$AA$9:$AA$108,MATCH(C94,'Facilities'!$C$9:$C$108,0)))))*AF94+P94*(1-IF(INDEX('Facilities'!$AA$9:$AA$108,MATCH(C94,'Facilities'!$C$9:$C$108,0))=0,0,MIN(1,INDEX('Facilities'!$X$9:$X$108,MATCH(C94,'Facilities'!$C$9:$C$108,0))/INDEX('Facilities'!$AA$9:$AA$108,MATCH(C94,'Facilities'!$C$9:$C$108,0)))))*INDEX('Facilities'!$AJ$9:$AJ$108,MATCH(C94,'Facilities'!$C$9:$C$108,0))+Q94*INDEX('Facilities'!$AI$9:$AI$108,MATCH(C94,'Facilities'!$C$9:$C$108,0))*AF94)))</x:f>
      </x:c>
      <x:c r="AB94" s="21" t="str">
        <x:f>IF(C94="","",O94+P94-AD94)</x:f>
      </x:c>
      <x:c r="AC94" s="23" t="str">
        <x:f>IF(C94="","",IFERROR(IF(INDEX('Facilities'!$AD$9:$AD$108,MATCH(C94,'Facilities'!$C$9:$C$108,0))=3,0,IF(INDEX('Facilities'!$AN$9:$AN$108,MATCH(C94,'Facilities'!$C$9:$C$108,0))=0,-1,INDEX('Facilities'!$AN$9:$AN$108,MATCH(C94,'Facilities'!$C$9:$C$108,0)))),"Unavailable"))</x:f>
      </x:c>
      <x:c r="AD94" s="21" t="str">
        <x:f>IF(C94="","",IFERROR(G94+H94,"Unavailable"))</x:f>
      </x:c>
      <x:c r="AE94" s="21" t="str">
        <x:f>IF(C94="","",IF(AQ94&lt;&gt;"Ready","Unavailable",IF(C94="","",O94+P94-AD94-J94+K94+M94+N94)))</x:f>
      </x:c>
      <x:c r="AF94" s="30" t="str">
        <x:f>IF(C94="","",IFERROR(INDEX('Facilities'!$S$9:$S$108,MATCH(C94,'Facilities'!$C$9:$C$108,0))*'Scenario Paths'!F75,"Unavailable"))</x:f>
      </x:c>
      <x:c r="AG94" s="23" t="str">
        <x:f>IF(C94="","",IF(AQ94&lt;&gt;"Ready","Unavailable",IF(C94="","",IF(H94&gt;0,MAX(0,H94-AK94)*((1+INDEX('Facilities'!$K$9:$K$108,MATCH(C94,'Facilities'!$C$9:$C$108,0)))^MIN(1,MAX(0,AC94+INDEX('Facilities'!$AK$9:$AK$108,MATCH(C94,'Facilities'!$C$9:$C$108,0))-D94+1))-1),0))))</x:f>
      </x:c>
      <x:c r="AH94" s="21" t="str">
        <x:f>IF(C94="","",IF(AQ94&lt;&gt;"Ready","Unavailable",IF(C94="","",O94+P94)))</x:f>
      </x:c>
      <x:c r="AI94" s="21" t="str">
        <x:f>IF(C94="","",IF(AQ94&lt;&gt;"Ready","Unavailable",IF(C94="","",Z94-Y94)))</x:f>
      </x:c>
      <x:c r="AJ94" s="23" t="str">
        <x:f>IF(C94="","",IFERROR(MAX(0,INDEX('Facilities'!$J$9:$J$108,MATCH(C94,'Facilities'!$C$9:$C$108,0))-D94),"Unavailable"))</x:f>
      </x:c>
      <x:c r="AK94" s="23" t="str">
        <x:f>IF(C94="","",IFERROR(IF(INDEX('Facilities'!$AD$9:$AD$108,MATCH(C94,'Facilities'!$C$9:$C$108,0))=3,W94,0),"Unavailable"))</x:f>
      </x:c>
      <x:c r="AL94" s="23" t="str">
        <x:f>IF(C94="","",IFERROR(IF(P94&gt;0,P94*(1-AM94/(1+INDEX('Facilities'!$K$9:$K$108,MATCH(C94,'Facilities'!$C$9:$C$108,0)))^MAX(0,AC94+INDEX('Facilities'!$AK$9:$AK$108,MATCH(C94,'Facilities'!$C$9:$C$108,0))-D94)),0),"Unavailable"))</x:f>
      </x:c>
      <x:c r="AM94" s="30" t="str">
        <x:f>IF(C94="","",IFERROR(INDEX('Facilities'!$AL$9:$AL$108,MATCH(C94,'Facilities'!$C$9:$C$108,0)),"Unavailable"))</x:f>
      </x:c>
      <x:c r="AN94" s="30" t="str">
        <x:f>IF(C94="","",IFERROR(INDEX(Credit!$T$9:$T$108,MATCH(F94,Credit!$C$9:$C$108,0)),"Unavailable"))</x:f>
      </x:c>
      <x:c r="AO94" s="23" t="str">
        <x:f>IF(C94="","",IF(AQ94&lt;&gt;"Ready","Unavailable",IF(C94="","",O94+P94+Q94*INDEX('Facilities'!$I$9:$I$108,MATCH(C94,'Facilities'!$C$9:$C$108,0)))))</x:f>
      </x:c>
      <x:c r="AP94" s="21" t="str">
        <x:f>IF(C94="","",IF(AQ94&lt;&gt;"Ready","Unavailable",IF(C94="","",AH94-U94)))</x:f>
      </x:c>
      <x:c r="AQ94" s="23" t="str">
        <x:f>IFERROR(IF(C94="","",IF(AND(INDEX('Facilities'!$AF$9:$AF$108,MATCH(C94,'Facilities'!$C$9:$C$108,0))="Ready",INDEX(Credit!$U$9:$U$108,MATCH(F94,Credit!$C$9:$C$108,0))="Ready",ISNUMBER(W94)),"Ready","Review inputs")),"Review inputs")</x:f>
      </x:c>
      <x:c r="AR94" s="23" t="str">
        <x:f>IF(C94="","",IF(AQ94&lt;&gt;"Ready","Unavailable",IF(C94="","",IF(O94=0,0,(IF(AJ94&lt;=1,O94,O94*INDEX('Facilities'!$R$9:$R$108,MATCH(C94,'Facilities'!$C$9:$C$108,0)))+O94*INDEX('Facilities'!$T$9:$T$108,MATCH(C94,'Facilities'!$C$9:$C$108,0)))/12))))</x:f>
      </x:c>
    </x:row>
    <x:row r="95" ht="26" customHeight="1">
      <x:c r="A95" s="1"/>
      <x:c r="B95" s="1"/>
      <x:c r="C95" s="9" t="str">
        <x:f>IF(Facilities!C95="","",Facilities!C95)</x:f>
      </x:c>
      <x:c r="D95" s="3" t="n">
        <x:v>1</x:v>
      </x:c>
      <x:c r="E95" s="9" t="n">
        <x:f>Settings!$F$18+0</x:f>
        <x:v>2027</x:v>
      </x:c>
      <x:c r="F95" s="9" t="str">
        <x:f>IF(C95="","",IFERROR(INDEX('Facilities'!$D$9:$D$108,MATCH(C95,'Facilities'!$C$9:$C$108,0)),"Unavailable"))</x:f>
      </x:c>
      <x:c r="G95" s="23" t="str">
        <x:f>IF(C95="","",IFERROR(IF(INDEX('Facilities'!$AD$9:$AD$108,MATCH(C95,'Facilities'!$C$9:$C$108,0))=3,0,INDEX('Facilities'!$AA$9:$AA$108,MATCH(C95,'Facilities'!$C$9:$C$108,0))),"Unavailable"))</x:f>
      </x:c>
      <x:c r="H95" s="23" t="str">
        <x:f>IF(C95="","",IFERROR(IF(INDEX('Facilities'!$AD$9:$AD$108,MATCH(C95,'Facilities'!$C$9:$C$108,0))=3,INDEX('Facilities'!$AA$9:$AA$108,MATCH(C95,'Facilities'!$C$9:$C$108,0)),0),"Unavailable"))</x:f>
      </x:c>
      <x:c r="I95" s="23" t="str">
        <x:f>IF(C95="","",IFERROR(INDEX('Facilities'!$AB$9:$AB$108,MATCH(C95,'Facilities'!$C$9:$C$108,0)),"Unavailable"))</x:f>
      </x:c>
      <x:c r="J95" s="23" t="str">
        <x:f>IF(C95="","",IFERROR(IF(OR(H95&gt;0,AND(AC95&gt;=0,AC95&lt;D95),D95&gt;INDEX('Facilities'!$J$9:$J$108,MATCH(C95,'Facilities'!$C$9:$C$108,0))),0,I95*'Scenario Paths'!F81),"Unavailable"))</x:f>
      </x:c>
      <x:c r="K95" s="23" t="str">
        <x:f>IF(C95="","",IFERROR(IF(OR(H95&gt;0,AND(AC95&gt;=0,AC95=D95)),0,IF(D95&gt;=INDEX('Facilities'!$J$9:$J$108,MATCH(C95,'Facilities'!$C$9:$C$108,0)),G95+J95,MIN(G95+J95,G95*INDEX('Facilities'!$R$9:$R$108,MATCH(C95,'Facilities'!$C$9:$C$108,0))))),"Unavailable"))</x:f>
      </x:c>
      <x:c r="L95" s="21" t="str">
        <x:f>IF(C95="","",IFERROR(IF(AND(AC95=D95,AC95&gt;0),MAX(0,G95+J95-K95),0),"Unavailable"))</x:f>
      </x:c>
      <x:c r="M95" s="23" t="str">
        <x:f>IF(C95="","",IFERROR(IF(AND(AC95&gt;=0,D95&gt;=AC95+INDEX('Facilities'!$AK$9:$AK$108,MATCH(C95,'Facilities'!$C$9:$C$108,0))),(H95+L95)*AM95,0),"Unavailable"))</x:f>
      </x:c>
      <x:c r="N95" s="23" t="str">
        <x:f>IF(C95="","",IFERROR(IF(AND(AC95&gt;=0,D95&gt;=AC95+INDEX('Facilities'!$AK$9:$AK$108,MATCH(C95,'Facilities'!$C$9:$C$108,0))),H95+L95-M95,0),"Unavailable"))</x:f>
      </x:c>
      <x:c r="O95" s="21" t="str">
        <x:f>IF(C95="","",IFERROR(MAX(0,G95+J95-K95-L95),"Unavailable"))</x:f>
      </x:c>
      <x:c r="P95" s="21" t="str">
        <x:f>IF(C95="","",IFERROR(MAX(0,H95+L95-M95-N95),"Unavailable"))</x:f>
      </x:c>
      <x:c r="Q95" s="23" t="str">
        <x:f>IF(C95="","",IFERROR(IF(OR(D95&gt;=INDEX('Facilities'!$J$9:$J$108,MATCH(C95,'Facilities'!$C$9:$C$108,0)),AND(AC95&gt;=0,AC95&lt;=D95)),0,MAX(0,I95-J95)),"Unavailable"))</x:f>
      </x:c>
      <x:c r="R95" s="30" t="str">
        <x:f>IF(C95="","",IFERROR(INDEX(Credit!$Q$9:$Q$108,MATCH(F95,Credit!$C$9:$C$108,0)),"Unavailable"))</x:f>
      </x:c>
      <x:c r="S95" s="30" t="str">
        <x:f>IF(C95="","",IFERROR(INDEX(Credit!$R$9:$R$108,MATCH(F95,Credit!$C$9:$C$108,0)),"Unavailable"))</x:f>
      </x:c>
      <x:c r="T95" s="23" t="str">
        <x:f>IF(C95="","",IFERROR(IF(P95&gt;0,3,IF(OR(INDEX('Facilities'!$AD$9:$AD$108,MATCH(C95,'Facilities'!$C$9:$C$108,0))=2,AND(R95&gt;=INDEX('Facilities'!$L$9:$L$108,MATCH(C95,'Facilities'!$C$9:$C$108,0))*Settings!$F$19,R95-INDEX('Facilities'!$L$9:$L$108,MATCH(C95,'Facilities'!$C$9:$C$108,0))&gt;=Settings!$F$20)),2,1)),"Unavailable"))</x:f>
      </x:c>
      <x:c r="U95" s="23" t="str">
        <x:f>IF(C95="","",IF(AQ95&lt;&gt;"Ready","Unavailable",IF(C95="","",O95*(1-(1-S95)/(1+INDEX('Facilities'!$K$9:$K$108,MATCH(C95,'Facilities'!$C$9:$C$108,0)))^INDEX('Facilities'!$AK$9:$AK$108,MATCH(C95,'Facilities'!$C$9:$C$108,0)))*R95/(1+INDEX('Facilities'!$K$9:$K$108,MATCH(C95,'Facilities'!$C$9:$C$108,0)))*IF(ABS(1-(1-R95)*(1-INDEX('Facilities'!$R$9:$R$108,MATCH(C95,'Facilities'!$C$9:$C$108,0)))/(1+INDEX('Facilities'!$K$9:$K$108,MATCH(C95,'Facilities'!$C$9:$C$108,0))))&lt;0.000000001,IF(T95=1,MIN(1,AJ95),AJ95),(1-((1-R95)*(1-INDEX('Facilities'!$R$9:$R$108,MATCH(C95,'Facilities'!$C$9:$C$108,0)))/(1+INDEX('Facilities'!$K$9:$K$108,MATCH(C95,'Facilities'!$C$9:$C$108,0))))^IF(T95=1,MIN(1,AJ95),AJ95))/(1-(1-R95)*(1-INDEX('Facilities'!$R$9:$R$108,MATCH(C95,'Facilities'!$C$9:$C$108,0)))/(1+INDEX('Facilities'!$K$9:$K$108,MATCH(C95,'Facilities'!$C$9:$C$108,0)))))+AL95)))</x:f>
      </x:c>
      <x:c r="V95" s="23" t="str">
        <x:f>IF(C95="","",IF(AQ95&lt;&gt;"Ready","Unavailable",IF(C95="","",Q95*INDEX('Facilities'!$I$9:$I$108,MATCH(C95,'Facilities'!$C$9:$C$108,0))*(1-(1-S95)/(1+INDEX('Facilities'!$K$9:$K$108,MATCH(C95,'Facilities'!$C$9:$C$108,0)))^INDEX('Facilities'!$AK$9:$AK$108,MATCH(C95,'Facilities'!$C$9:$C$108,0)))*R95/(1+INDEX('Facilities'!$K$9:$K$108,MATCH(C95,'Facilities'!$C$9:$C$108,0)))*IF(ABS(1-(1-R95)*(1-0)/(1+INDEX('Facilities'!$K$9:$K$108,MATCH(C95,'Facilities'!$C$9:$C$108,0))))&lt;0.000000001,IF(T95=1,MIN(1,AJ95),AJ95),(1-((1-R95)*(1-0)/(1+INDEX('Facilities'!$K$9:$K$108,MATCH(C95,'Facilities'!$C$9:$C$108,0))))^IF(T95=1,MIN(1,AJ95),AJ95))/(1-(1-R95)*(1-0)/(1+INDEX('Facilities'!$K$9:$K$108,MATCH(C95,'Facilities'!$C$9:$C$108,0))))))))</x:f>
      </x:c>
      <x:c r="W95" s="23" t="str">
        <x:f>IF(C95="","",IFERROR(INDEX(ECL!$AB$9:$AB$108,MATCH(C95,ECL!$C$9:$C$108,0)),"Unavailable"))</x:f>
      </x:c>
      <x:c r="X95" s="23" t="str">
        <x:f>IF(C95="","",IFERROR(INDEX(ECL!$AC$9:$AC$108,MATCH(C95,ECL!$C$9:$C$108,0)),"Unavailable"))</x:f>
      </x:c>
      <x:c r="Y95" s="21" t="str">
        <x:f>IF(C95="","",IF(AQ95&lt;&gt;"Ready","Unavailable",IF(C95="","",U95-W95+V95-X95+N95+AG95)))</x:f>
      </x:c>
      <x:c r="Z95" s="23" t="str">
        <x:f>IF(C95="","",IF(AQ95&lt;&gt;"Ready","Unavailable",IF(C95="","",(G95+O95+L95)/2*INDEX('Facilities'!$T$9:$T$108,MATCH(C95,'Facilities'!$C$9:$C$108,0))+AG95)))</x:f>
      </x:c>
      <x:c r="AA95" s="23" t="str">
        <x:f>IF(C95="","",IF(AQ95&lt;&gt;"Ready","Unavailable",IF(C95="","",O95*(1-IF(INDEX('Facilities'!$AA$9:$AA$108,MATCH(C95,'Facilities'!$C$9:$C$108,0))=0,0,MIN(1,INDEX('Facilities'!$X$9:$X$108,MATCH(C95,'Facilities'!$C$9:$C$108,0))/INDEX('Facilities'!$AA$9:$AA$108,MATCH(C95,'Facilities'!$C$9:$C$108,0)))))*AF95+P95*(1-IF(INDEX('Facilities'!$AA$9:$AA$108,MATCH(C95,'Facilities'!$C$9:$C$108,0))=0,0,MIN(1,INDEX('Facilities'!$X$9:$X$108,MATCH(C95,'Facilities'!$C$9:$C$108,0))/INDEX('Facilities'!$AA$9:$AA$108,MATCH(C95,'Facilities'!$C$9:$C$108,0)))))*INDEX('Facilities'!$AJ$9:$AJ$108,MATCH(C95,'Facilities'!$C$9:$C$108,0))+Q95*INDEX('Facilities'!$AI$9:$AI$108,MATCH(C95,'Facilities'!$C$9:$C$108,0))*AF95)))</x:f>
      </x:c>
      <x:c r="AB95" s="21" t="str">
        <x:f>IF(C95="","",O95+P95-AD95)</x:f>
      </x:c>
      <x:c r="AC95" s="23" t="str">
        <x:f>IF(C95="","",IFERROR(IF(INDEX('Facilities'!$AD$9:$AD$108,MATCH(C95,'Facilities'!$C$9:$C$108,0))=3,0,IF(INDEX('Facilities'!$AN$9:$AN$108,MATCH(C95,'Facilities'!$C$9:$C$108,0))=0,-1,INDEX('Facilities'!$AN$9:$AN$108,MATCH(C95,'Facilities'!$C$9:$C$108,0)))),"Unavailable"))</x:f>
      </x:c>
      <x:c r="AD95" s="21" t="str">
        <x:f>IF(C95="","",IFERROR(G95+H95,"Unavailable"))</x:f>
      </x:c>
      <x:c r="AE95" s="21" t="str">
        <x:f>IF(C95="","",IF(AQ95&lt;&gt;"Ready","Unavailable",IF(C95="","",O95+P95-AD95-J95+K95+M95+N95)))</x:f>
      </x:c>
      <x:c r="AF95" s="30" t="str">
        <x:f>IF(C95="","",IFERROR(INDEX('Facilities'!$S$9:$S$108,MATCH(C95,'Facilities'!$C$9:$C$108,0))*'Scenario Paths'!F75,"Unavailable"))</x:f>
      </x:c>
      <x:c r="AG95" s="23" t="str">
        <x:f>IF(C95="","",IF(AQ95&lt;&gt;"Ready","Unavailable",IF(C95="","",IF(H95&gt;0,MAX(0,H95-AK95)*((1+INDEX('Facilities'!$K$9:$K$108,MATCH(C95,'Facilities'!$C$9:$C$108,0)))^MIN(1,MAX(0,AC95+INDEX('Facilities'!$AK$9:$AK$108,MATCH(C95,'Facilities'!$C$9:$C$108,0))-D95+1))-1),0))))</x:f>
      </x:c>
      <x:c r="AH95" s="21" t="str">
        <x:f>IF(C95="","",IF(AQ95&lt;&gt;"Ready","Unavailable",IF(C95="","",O95+P95)))</x:f>
      </x:c>
      <x:c r="AI95" s="21" t="str">
        <x:f>IF(C95="","",IF(AQ95&lt;&gt;"Ready","Unavailable",IF(C95="","",Z95-Y95)))</x:f>
      </x:c>
      <x:c r="AJ95" s="23" t="str">
        <x:f>IF(C95="","",IFERROR(MAX(0,INDEX('Facilities'!$J$9:$J$108,MATCH(C95,'Facilities'!$C$9:$C$108,0))-D95),"Unavailable"))</x:f>
      </x:c>
      <x:c r="AK95" s="23" t="str">
        <x:f>IF(C95="","",IFERROR(IF(INDEX('Facilities'!$AD$9:$AD$108,MATCH(C95,'Facilities'!$C$9:$C$108,0))=3,W95,0),"Unavailable"))</x:f>
      </x:c>
      <x:c r="AL95" s="23" t="str">
        <x:f>IF(C95="","",IFERROR(IF(P95&gt;0,P95*(1-AM95/(1+INDEX('Facilities'!$K$9:$K$108,MATCH(C95,'Facilities'!$C$9:$C$108,0)))^MAX(0,AC95+INDEX('Facilities'!$AK$9:$AK$108,MATCH(C95,'Facilities'!$C$9:$C$108,0))-D95)),0),"Unavailable"))</x:f>
      </x:c>
      <x:c r="AM95" s="30" t="str">
        <x:f>IF(C95="","",IFERROR(INDEX('Facilities'!$AL$9:$AL$108,MATCH(C95,'Facilities'!$C$9:$C$108,0)),"Unavailable"))</x:f>
      </x:c>
      <x:c r="AN95" s="30" t="str">
        <x:f>IF(C95="","",IFERROR(INDEX(Credit!$T$9:$T$108,MATCH(F95,Credit!$C$9:$C$108,0)),"Unavailable"))</x:f>
      </x:c>
      <x:c r="AO95" s="23" t="str">
        <x:f>IF(C95="","",IF(AQ95&lt;&gt;"Ready","Unavailable",IF(C95="","",O95+P95+Q95*INDEX('Facilities'!$I$9:$I$108,MATCH(C95,'Facilities'!$C$9:$C$108,0)))))</x:f>
      </x:c>
      <x:c r="AP95" s="21" t="str">
        <x:f>IF(C95="","",IF(AQ95&lt;&gt;"Ready","Unavailable",IF(C95="","",AH95-U95)))</x:f>
      </x:c>
      <x:c r="AQ95" s="23" t="str">
        <x:f>IFERROR(IF(C95="","",IF(AND(INDEX('Facilities'!$AF$9:$AF$108,MATCH(C95,'Facilities'!$C$9:$C$108,0))="Ready",INDEX(Credit!$U$9:$U$108,MATCH(F95,Credit!$C$9:$C$108,0))="Ready",ISNUMBER(W95)),"Ready","Review inputs")),"Review inputs")</x:f>
      </x:c>
      <x:c r="AR95" s="23" t="str">
        <x:f>IF(C95="","",IF(AQ95&lt;&gt;"Ready","Unavailable",IF(C95="","",IF(O95=0,0,(IF(AJ95&lt;=1,O95,O95*INDEX('Facilities'!$R$9:$R$108,MATCH(C95,'Facilities'!$C$9:$C$108,0)))+O95*INDEX('Facilities'!$T$9:$T$108,MATCH(C95,'Facilities'!$C$9:$C$108,0)))/12))))</x:f>
      </x:c>
    </x:row>
    <x:row r="96" ht="26" customHeight="1">
      <x:c r="A96" s="1"/>
      <x:c r="B96" s="1"/>
      <x:c r="C96" s="9" t="str">
        <x:f>IF(Facilities!C96="","",Facilities!C96)</x:f>
      </x:c>
      <x:c r="D96" s="3" t="n">
        <x:v>1</x:v>
      </x:c>
      <x:c r="E96" s="9" t="n">
        <x:f>Settings!$F$18+0</x:f>
        <x:v>2027</x:v>
      </x:c>
      <x:c r="F96" s="9" t="str">
        <x:f>IF(C96="","",IFERROR(INDEX('Facilities'!$D$9:$D$108,MATCH(C96,'Facilities'!$C$9:$C$108,0)),"Unavailable"))</x:f>
      </x:c>
      <x:c r="G96" s="23" t="str">
        <x:f>IF(C96="","",IFERROR(IF(INDEX('Facilities'!$AD$9:$AD$108,MATCH(C96,'Facilities'!$C$9:$C$108,0))=3,0,INDEX('Facilities'!$AA$9:$AA$108,MATCH(C96,'Facilities'!$C$9:$C$108,0))),"Unavailable"))</x:f>
      </x:c>
      <x:c r="H96" s="23" t="str">
        <x:f>IF(C96="","",IFERROR(IF(INDEX('Facilities'!$AD$9:$AD$108,MATCH(C96,'Facilities'!$C$9:$C$108,0))=3,INDEX('Facilities'!$AA$9:$AA$108,MATCH(C96,'Facilities'!$C$9:$C$108,0)),0),"Unavailable"))</x:f>
      </x:c>
      <x:c r="I96" s="23" t="str">
        <x:f>IF(C96="","",IFERROR(INDEX('Facilities'!$AB$9:$AB$108,MATCH(C96,'Facilities'!$C$9:$C$108,0)),"Unavailable"))</x:f>
      </x:c>
      <x:c r="J96" s="23" t="str">
        <x:f>IF(C96="","",IFERROR(IF(OR(H96&gt;0,AND(AC96&gt;=0,AC96&lt;D96),D96&gt;INDEX('Facilities'!$J$9:$J$108,MATCH(C96,'Facilities'!$C$9:$C$108,0))),0,I96*'Scenario Paths'!F81),"Unavailable"))</x:f>
      </x:c>
      <x:c r="K96" s="23" t="str">
        <x:f>IF(C96="","",IFERROR(IF(OR(H96&gt;0,AND(AC96&gt;=0,AC96=D96)),0,IF(D96&gt;=INDEX('Facilities'!$J$9:$J$108,MATCH(C96,'Facilities'!$C$9:$C$108,0)),G96+J96,MIN(G96+J96,G96*INDEX('Facilities'!$R$9:$R$108,MATCH(C96,'Facilities'!$C$9:$C$108,0))))),"Unavailable"))</x:f>
      </x:c>
      <x:c r="L96" s="21" t="str">
        <x:f>IF(C96="","",IFERROR(IF(AND(AC96=D96,AC96&gt;0),MAX(0,G96+J96-K96),0),"Unavailable"))</x:f>
      </x:c>
      <x:c r="M96" s="23" t="str">
        <x:f>IF(C96="","",IFERROR(IF(AND(AC96&gt;=0,D96&gt;=AC96+INDEX('Facilities'!$AK$9:$AK$108,MATCH(C96,'Facilities'!$C$9:$C$108,0))),(H96+L96)*AM96,0),"Unavailable"))</x:f>
      </x:c>
      <x:c r="N96" s="23" t="str">
        <x:f>IF(C96="","",IFERROR(IF(AND(AC96&gt;=0,D96&gt;=AC96+INDEX('Facilities'!$AK$9:$AK$108,MATCH(C96,'Facilities'!$C$9:$C$108,0))),H96+L96-M96,0),"Unavailable"))</x:f>
      </x:c>
      <x:c r="O96" s="21" t="str">
        <x:f>IF(C96="","",IFERROR(MAX(0,G96+J96-K96-L96),"Unavailable"))</x:f>
      </x:c>
      <x:c r="P96" s="21" t="str">
        <x:f>IF(C96="","",IFERROR(MAX(0,H96+L96-M96-N96),"Unavailable"))</x:f>
      </x:c>
      <x:c r="Q96" s="23" t="str">
        <x:f>IF(C96="","",IFERROR(IF(OR(D96&gt;=INDEX('Facilities'!$J$9:$J$108,MATCH(C96,'Facilities'!$C$9:$C$108,0)),AND(AC96&gt;=0,AC96&lt;=D96)),0,MAX(0,I96-J96)),"Unavailable"))</x:f>
      </x:c>
      <x:c r="R96" s="30" t="str">
        <x:f>IF(C96="","",IFERROR(INDEX(Credit!$Q$9:$Q$108,MATCH(F96,Credit!$C$9:$C$108,0)),"Unavailable"))</x:f>
      </x:c>
      <x:c r="S96" s="30" t="str">
        <x:f>IF(C96="","",IFERROR(INDEX(Credit!$R$9:$R$108,MATCH(F96,Credit!$C$9:$C$108,0)),"Unavailable"))</x:f>
      </x:c>
      <x:c r="T96" s="23" t="str">
        <x:f>IF(C96="","",IFERROR(IF(P96&gt;0,3,IF(OR(INDEX('Facilities'!$AD$9:$AD$108,MATCH(C96,'Facilities'!$C$9:$C$108,0))=2,AND(R96&gt;=INDEX('Facilities'!$L$9:$L$108,MATCH(C96,'Facilities'!$C$9:$C$108,0))*Settings!$F$19,R96-INDEX('Facilities'!$L$9:$L$108,MATCH(C96,'Facilities'!$C$9:$C$108,0))&gt;=Settings!$F$20)),2,1)),"Unavailable"))</x:f>
      </x:c>
      <x:c r="U96" s="23" t="str">
        <x:f>IF(C96="","",IF(AQ96&lt;&gt;"Ready","Unavailable",IF(C96="","",O96*(1-(1-S96)/(1+INDEX('Facilities'!$K$9:$K$108,MATCH(C96,'Facilities'!$C$9:$C$108,0)))^INDEX('Facilities'!$AK$9:$AK$108,MATCH(C96,'Facilities'!$C$9:$C$108,0)))*R96/(1+INDEX('Facilities'!$K$9:$K$108,MATCH(C96,'Facilities'!$C$9:$C$108,0)))*IF(ABS(1-(1-R96)*(1-INDEX('Facilities'!$R$9:$R$108,MATCH(C96,'Facilities'!$C$9:$C$108,0)))/(1+INDEX('Facilities'!$K$9:$K$108,MATCH(C96,'Facilities'!$C$9:$C$108,0))))&lt;0.000000001,IF(T96=1,MIN(1,AJ96),AJ96),(1-((1-R96)*(1-INDEX('Facilities'!$R$9:$R$108,MATCH(C96,'Facilities'!$C$9:$C$108,0)))/(1+INDEX('Facilities'!$K$9:$K$108,MATCH(C96,'Facilities'!$C$9:$C$108,0))))^IF(T96=1,MIN(1,AJ96),AJ96))/(1-(1-R96)*(1-INDEX('Facilities'!$R$9:$R$108,MATCH(C96,'Facilities'!$C$9:$C$108,0)))/(1+INDEX('Facilities'!$K$9:$K$108,MATCH(C96,'Facilities'!$C$9:$C$108,0)))))+AL96)))</x:f>
      </x:c>
      <x:c r="V96" s="23" t="str">
        <x:f>IF(C96="","",IF(AQ96&lt;&gt;"Ready","Unavailable",IF(C96="","",Q96*INDEX('Facilities'!$I$9:$I$108,MATCH(C96,'Facilities'!$C$9:$C$108,0))*(1-(1-S96)/(1+INDEX('Facilities'!$K$9:$K$108,MATCH(C96,'Facilities'!$C$9:$C$108,0)))^INDEX('Facilities'!$AK$9:$AK$108,MATCH(C96,'Facilities'!$C$9:$C$108,0)))*R96/(1+INDEX('Facilities'!$K$9:$K$108,MATCH(C96,'Facilities'!$C$9:$C$108,0)))*IF(ABS(1-(1-R96)*(1-0)/(1+INDEX('Facilities'!$K$9:$K$108,MATCH(C96,'Facilities'!$C$9:$C$108,0))))&lt;0.000000001,IF(T96=1,MIN(1,AJ96),AJ96),(1-((1-R96)*(1-0)/(1+INDEX('Facilities'!$K$9:$K$108,MATCH(C96,'Facilities'!$C$9:$C$108,0))))^IF(T96=1,MIN(1,AJ96),AJ96))/(1-(1-R96)*(1-0)/(1+INDEX('Facilities'!$K$9:$K$108,MATCH(C96,'Facilities'!$C$9:$C$108,0))))))))</x:f>
      </x:c>
      <x:c r="W96" s="23" t="str">
        <x:f>IF(C96="","",IFERROR(INDEX(ECL!$AB$9:$AB$108,MATCH(C96,ECL!$C$9:$C$108,0)),"Unavailable"))</x:f>
      </x:c>
      <x:c r="X96" s="23" t="str">
        <x:f>IF(C96="","",IFERROR(INDEX(ECL!$AC$9:$AC$108,MATCH(C96,ECL!$C$9:$C$108,0)),"Unavailable"))</x:f>
      </x:c>
      <x:c r="Y96" s="21" t="str">
        <x:f>IF(C96="","",IF(AQ96&lt;&gt;"Ready","Unavailable",IF(C96="","",U96-W96+V96-X96+N96+AG96)))</x:f>
      </x:c>
      <x:c r="Z96" s="23" t="str">
        <x:f>IF(C96="","",IF(AQ96&lt;&gt;"Ready","Unavailable",IF(C96="","",(G96+O96+L96)/2*INDEX('Facilities'!$T$9:$T$108,MATCH(C96,'Facilities'!$C$9:$C$108,0))+AG96)))</x:f>
      </x:c>
      <x:c r="AA96" s="23" t="str">
        <x:f>IF(C96="","",IF(AQ96&lt;&gt;"Ready","Unavailable",IF(C96="","",O96*(1-IF(INDEX('Facilities'!$AA$9:$AA$108,MATCH(C96,'Facilities'!$C$9:$C$108,0))=0,0,MIN(1,INDEX('Facilities'!$X$9:$X$108,MATCH(C96,'Facilities'!$C$9:$C$108,0))/INDEX('Facilities'!$AA$9:$AA$108,MATCH(C96,'Facilities'!$C$9:$C$108,0)))))*AF96+P96*(1-IF(INDEX('Facilities'!$AA$9:$AA$108,MATCH(C96,'Facilities'!$C$9:$C$108,0))=0,0,MIN(1,INDEX('Facilities'!$X$9:$X$108,MATCH(C96,'Facilities'!$C$9:$C$108,0))/INDEX('Facilities'!$AA$9:$AA$108,MATCH(C96,'Facilities'!$C$9:$C$108,0)))))*INDEX('Facilities'!$AJ$9:$AJ$108,MATCH(C96,'Facilities'!$C$9:$C$108,0))+Q96*INDEX('Facilities'!$AI$9:$AI$108,MATCH(C96,'Facilities'!$C$9:$C$108,0))*AF96)))</x:f>
      </x:c>
      <x:c r="AB96" s="21" t="str">
        <x:f>IF(C96="","",O96+P96-AD96)</x:f>
      </x:c>
      <x:c r="AC96" s="23" t="str">
        <x:f>IF(C96="","",IFERROR(IF(INDEX('Facilities'!$AD$9:$AD$108,MATCH(C96,'Facilities'!$C$9:$C$108,0))=3,0,IF(INDEX('Facilities'!$AN$9:$AN$108,MATCH(C96,'Facilities'!$C$9:$C$108,0))=0,-1,INDEX('Facilities'!$AN$9:$AN$108,MATCH(C96,'Facilities'!$C$9:$C$108,0)))),"Unavailable"))</x:f>
      </x:c>
      <x:c r="AD96" s="21" t="str">
        <x:f>IF(C96="","",IFERROR(G96+H96,"Unavailable"))</x:f>
      </x:c>
      <x:c r="AE96" s="21" t="str">
        <x:f>IF(C96="","",IF(AQ96&lt;&gt;"Ready","Unavailable",IF(C96="","",O96+P96-AD96-J96+K96+M96+N96)))</x:f>
      </x:c>
      <x:c r="AF96" s="30" t="str">
        <x:f>IF(C96="","",IFERROR(INDEX('Facilities'!$S$9:$S$108,MATCH(C96,'Facilities'!$C$9:$C$108,0))*'Scenario Paths'!F75,"Unavailable"))</x:f>
      </x:c>
      <x:c r="AG96" s="23" t="str">
        <x:f>IF(C96="","",IF(AQ96&lt;&gt;"Ready","Unavailable",IF(C96="","",IF(H96&gt;0,MAX(0,H96-AK96)*((1+INDEX('Facilities'!$K$9:$K$108,MATCH(C96,'Facilities'!$C$9:$C$108,0)))^MIN(1,MAX(0,AC96+INDEX('Facilities'!$AK$9:$AK$108,MATCH(C96,'Facilities'!$C$9:$C$108,0))-D96+1))-1),0))))</x:f>
      </x:c>
      <x:c r="AH96" s="21" t="str">
        <x:f>IF(C96="","",IF(AQ96&lt;&gt;"Ready","Unavailable",IF(C96="","",O96+P96)))</x:f>
      </x:c>
      <x:c r="AI96" s="21" t="str">
        <x:f>IF(C96="","",IF(AQ96&lt;&gt;"Ready","Unavailable",IF(C96="","",Z96-Y96)))</x:f>
      </x:c>
      <x:c r="AJ96" s="23" t="str">
        <x:f>IF(C96="","",IFERROR(MAX(0,INDEX('Facilities'!$J$9:$J$108,MATCH(C96,'Facilities'!$C$9:$C$108,0))-D96),"Unavailable"))</x:f>
      </x:c>
      <x:c r="AK96" s="23" t="str">
        <x:f>IF(C96="","",IFERROR(IF(INDEX('Facilities'!$AD$9:$AD$108,MATCH(C96,'Facilities'!$C$9:$C$108,0))=3,W96,0),"Unavailable"))</x:f>
      </x:c>
      <x:c r="AL96" s="23" t="str">
        <x:f>IF(C96="","",IFERROR(IF(P96&gt;0,P96*(1-AM96/(1+INDEX('Facilities'!$K$9:$K$108,MATCH(C96,'Facilities'!$C$9:$C$108,0)))^MAX(0,AC96+INDEX('Facilities'!$AK$9:$AK$108,MATCH(C96,'Facilities'!$C$9:$C$108,0))-D96)),0),"Unavailable"))</x:f>
      </x:c>
      <x:c r="AM96" s="30" t="str">
        <x:f>IF(C96="","",IFERROR(INDEX('Facilities'!$AL$9:$AL$108,MATCH(C96,'Facilities'!$C$9:$C$108,0)),"Unavailable"))</x:f>
      </x:c>
      <x:c r="AN96" s="30" t="str">
        <x:f>IF(C96="","",IFERROR(INDEX(Credit!$T$9:$T$108,MATCH(F96,Credit!$C$9:$C$108,0)),"Unavailable"))</x:f>
      </x:c>
      <x:c r="AO96" s="23" t="str">
        <x:f>IF(C96="","",IF(AQ96&lt;&gt;"Ready","Unavailable",IF(C96="","",O96+P96+Q96*INDEX('Facilities'!$I$9:$I$108,MATCH(C96,'Facilities'!$C$9:$C$108,0)))))</x:f>
      </x:c>
      <x:c r="AP96" s="21" t="str">
        <x:f>IF(C96="","",IF(AQ96&lt;&gt;"Ready","Unavailable",IF(C96="","",AH96-U96)))</x:f>
      </x:c>
      <x:c r="AQ96" s="23" t="str">
        <x:f>IFERROR(IF(C96="","",IF(AND(INDEX('Facilities'!$AF$9:$AF$108,MATCH(C96,'Facilities'!$C$9:$C$108,0))="Ready",INDEX(Credit!$U$9:$U$108,MATCH(F96,Credit!$C$9:$C$108,0))="Ready",ISNUMBER(W96)),"Ready","Review inputs")),"Review inputs")</x:f>
      </x:c>
      <x:c r="AR96" s="23" t="str">
        <x:f>IF(C96="","",IF(AQ96&lt;&gt;"Ready","Unavailable",IF(C96="","",IF(O96=0,0,(IF(AJ96&lt;=1,O96,O96*INDEX('Facilities'!$R$9:$R$108,MATCH(C96,'Facilities'!$C$9:$C$108,0)))+O96*INDEX('Facilities'!$T$9:$T$108,MATCH(C96,'Facilities'!$C$9:$C$108,0)))/12))))</x:f>
      </x:c>
    </x:row>
    <x:row r="97" ht="26" customHeight="1">
      <x:c r="A97" s="1"/>
      <x:c r="B97" s="1"/>
      <x:c r="C97" s="9" t="str">
        <x:f>IF(Facilities!C97="","",Facilities!C97)</x:f>
      </x:c>
      <x:c r="D97" s="3" t="n">
        <x:v>1</x:v>
      </x:c>
      <x:c r="E97" s="9" t="n">
        <x:f>Settings!$F$18+0</x:f>
        <x:v>2027</x:v>
      </x:c>
      <x:c r="F97" s="9" t="str">
        <x:f>IF(C97="","",IFERROR(INDEX('Facilities'!$D$9:$D$108,MATCH(C97,'Facilities'!$C$9:$C$108,0)),"Unavailable"))</x:f>
      </x:c>
      <x:c r="G97" s="23" t="str">
        <x:f>IF(C97="","",IFERROR(IF(INDEX('Facilities'!$AD$9:$AD$108,MATCH(C97,'Facilities'!$C$9:$C$108,0))=3,0,INDEX('Facilities'!$AA$9:$AA$108,MATCH(C97,'Facilities'!$C$9:$C$108,0))),"Unavailable"))</x:f>
      </x:c>
      <x:c r="H97" s="23" t="str">
        <x:f>IF(C97="","",IFERROR(IF(INDEX('Facilities'!$AD$9:$AD$108,MATCH(C97,'Facilities'!$C$9:$C$108,0))=3,INDEX('Facilities'!$AA$9:$AA$108,MATCH(C97,'Facilities'!$C$9:$C$108,0)),0),"Unavailable"))</x:f>
      </x:c>
      <x:c r="I97" s="23" t="str">
        <x:f>IF(C97="","",IFERROR(INDEX('Facilities'!$AB$9:$AB$108,MATCH(C97,'Facilities'!$C$9:$C$108,0)),"Unavailable"))</x:f>
      </x:c>
      <x:c r="J97" s="23" t="str">
        <x:f>IF(C97="","",IFERROR(IF(OR(H97&gt;0,AND(AC97&gt;=0,AC97&lt;D97),D97&gt;INDEX('Facilities'!$J$9:$J$108,MATCH(C97,'Facilities'!$C$9:$C$108,0))),0,I97*'Scenario Paths'!F81),"Unavailable"))</x:f>
      </x:c>
      <x:c r="K97" s="23" t="str">
        <x:f>IF(C97="","",IFERROR(IF(OR(H97&gt;0,AND(AC97&gt;=0,AC97=D97)),0,IF(D97&gt;=INDEX('Facilities'!$J$9:$J$108,MATCH(C97,'Facilities'!$C$9:$C$108,0)),G97+J97,MIN(G97+J97,G97*INDEX('Facilities'!$R$9:$R$108,MATCH(C97,'Facilities'!$C$9:$C$108,0))))),"Unavailable"))</x:f>
      </x:c>
      <x:c r="L97" s="21" t="str">
        <x:f>IF(C97="","",IFERROR(IF(AND(AC97=D97,AC97&gt;0),MAX(0,G97+J97-K97),0),"Unavailable"))</x:f>
      </x:c>
      <x:c r="M97" s="23" t="str">
        <x:f>IF(C97="","",IFERROR(IF(AND(AC97&gt;=0,D97&gt;=AC97+INDEX('Facilities'!$AK$9:$AK$108,MATCH(C97,'Facilities'!$C$9:$C$108,0))),(H97+L97)*AM97,0),"Unavailable"))</x:f>
      </x:c>
      <x:c r="N97" s="23" t="str">
        <x:f>IF(C97="","",IFERROR(IF(AND(AC97&gt;=0,D97&gt;=AC97+INDEX('Facilities'!$AK$9:$AK$108,MATCH(C97,'Facilities'!$C$9:$C$108,0))),H97+L97-M97,0),"Unavailable"))</x:f>
      </x:c>
      <x:c r="O97" s="21" t="str">
        <x:f>IF(C97="","",IFERROR(MAX(0,G97+J97-K97-L97),"Unavailable"))</x:f>
      </x:c>
      <x:c r="P97" s="21" t="str">
        <x:f>IF(C97="","",IFERROR(MAX(0,H97+L97-M97-N97),"Unavailable"))</x:f>
      </x:c>
      <x:c r="Q97" s="23" t="str">
        <x:f>IF(C97="","",IFERROR(IF(OR(D97&gt;=INDEX('Facilities'!$J$9:$J$108,MATCH(C97,'Facilities'!$C$9:$C$108,0)),AND(AC97&gt;=0,AC97&lt;=D97)),0,MAX(0,I97-J97)),"Unavailable"))</x:f>
      </x:c>
      <x:c r="R97" s="30" t="str">
        <x:f>IF(C97="","",IFERROR(INDEX(Credit!$Q$9:$Q$108,MATCH(F97,Credit!$C$9:$C$108,0)),"Unavailable"))</x:f>
      </x:c>
      <x:c r="S97" s="30" t="str">
        <x:f>IF(C97="","",IFERROR(INDEX(Credit!$R$9:$R$108,MATCH(F97,Credit!$C$9:$C$108,0)),"Unavailable"))</x:f>
      </x:c>
      <x:c r="T97" s="23" t="str">
        <x:f>IF(C97="","",IFERROR(IF(P97&gt;0,3,IF(OR(INDEX('Facilities'!$AD$9:$AD$108,MATCH(C97,'Facilities'!$C$9:$C$108,0))=2,AND(R97&gt;=INDEX('Facilities'!$L$9:$L$108,MATCH(C97,'Facilities'!$C$9:$C$108,0))*Settings!$F$19,R97-INDEX('Facilities'!$L$9:$L$108,MATCH(C97,'Facilities'!$C$9:$C$108,0))&gt;=Settings!$F$20)),2,1)),"Unavailable"))</x:f>
      </x:c>
      <x:c r="U97" s="23" t="str">
        <x:f>IF(C97="","",IF(AQ97&lt;&gt;"Ready","Unavailable",IF(C97="","",O97*(1-(1-S97)/(1+INDEX('Facilities'!$K$9:$K$108,MATCH(C97,'Facilities'!$C$9:$C$108,0)))^INDEX('Facilities'!$AK$9:$AK$108,MATCH(C97,'Facilities'!$C$9:$C$108,0)))*R97/(1+INDEX('Facilities'!$K$9:$K$108,MATCH(C97,'Facilities'!$C$9:$C$108,0)))*IF(ABS(1-(1-R97)*(1-INDEX('Facilities'!$R$9:$R$108,MATCH(C97,'Facilities'!$C$9:$C$108,0)))/(1+INDEX('Facilities'!$K$9:$K$108,MATCH(C97,'Facilities'!$C$9:$C$108,0))))&lt;0.000000001,IF(T97=1,MIN(1,AJ97),AJ97),(1-((1-R97)*(1-INDEX('Facilities'!$R$9:$R$108,MATCH(C97,'Facilities'!$C$9:$C$108,0)))/(1+INDEX('Facilities'!$K$9:$K$108,MATCH(C97,'Facilities'!$C$9:$C$108,0))))^IF(T97=1,MIN(1,AJ97),AJ97))/(1-(1-R97)*(1-INDEX('Facilities'!$R$9:$R$108,MATCH(C97,'Facilities'!$C$9:$C$108,0)))/(1+INDEX('Facilities'!$K$9:$K$108,MATCH(C97,'Facilities'!$C$9:$C$108,0)))))+AL97)))</x:f>
      </x:c>
      <x:c r="V97" s="23" t="str">
        <x:f>IF(C97="","",IF(AQ97&lt;&gt;"Ready","Unavailable",IF(C97="","",Q97*INDEX('Facilities'!$I$9:$I$108,MATCH(C97,'Facilities'!$C$9:$C$108,0))*(1-(1-S97)/(1+INDEX('Facilities'!$K$9:$K$108,MATCH(C97,'Facilities'!$C$9:$C$108,0)))^INDEX('Facilities'!$AK$9:$AK$108,MATCH(C97,'Facilities'!$C$9:$C$108,0)))*R97/(1+INDEX('Facilities'!$K$9:$K$108,MATCH(C97,'Facilities'!$C$9:$C$108,0)))*IF(ABS(1-(1-R97)*(1-0)/(1+INDEX('Facilities'!$K$9:$K$108,MATCH(C97,'Facilities'!$C$9:$C$108,0))))&lt;0.000000001,IF(T97=1,MIN(1,AJ97),AJ97),(1-((1-R97)*(1-0)/(1+INDEX('Facilities'!$K$9:$K$108,MATCH(C97,'Facilities'!$C$9:$C$108,0))))^IF(T97=1,MIN(1,AJ97),AJ97))/(1-(1-R97)*(1-0)/(1+INDEX('Facilities'!$K$9:$K$108,MATCH(C97,'Facilities'!$C$9:$C$108,0))))))))</x:f>
      </x:c>
      <x:c r="W97" s="23" t="str">
        <x:f>IF(C97="","",IFERROR(INDEX(ECL!$AB$9:$AB$108,MATCH(C97,ECL!$C$9:$C$108,0)),"Unavailable"))</x:f>
      </x:c>
      <x:c r="X97" s="23" t="str">
        <x:f>IF(C97="","",IFERROR(INDEX(ECL!$AC$9:$AC$108,MATCH(C97,ECL!$C$9:$C$108,0)),"Unavailable"))</x:f>
      </x:c>
      <x:c r="Y97" s="21" t="str">
        <x:f>IF(C97="","",IF(AQ97&lt;&gt;"Ready","Unavailable",IF(C97="","",U97-W97+V97-X97+N97+AG97)))</x:f>
      </x:c>
      <x:c r="Z97" s="23" t="str">
        <x:f>IF(C97="","",IF(AQ97&lt;&gt;"Ready","Unavailable",IF(C97="","",(G97+O97+L97)/2*INDEX('Facilities'!$T$9:$T$108,MATCH(C97,'Facilities'!$C$9:$C$108,0))+AG97)))</x:f>
      </x:c>
      <x:c r="AA97" s="23" t="str">
        <x:f>IF(C97="","",IF(AQ97&lt;&gt;"Ready","Unavailable",IF(C97="","",O97*(1-IF(INDEX('Facilities'!$AA$9:$AA$108,MATCH(C97,'Facilities'!$C$9:$C$108,0))=0,0,MIN(1,INDEX('Facilities'!$X$9:$X$108,MATCH(C97,'Facilities'!$C$9:$C$108,0))/INDEX('Facilities'!$AA$9:$AA$108,MATCH(C97,'Facilities'!$C$9:$C$108,0)))))*AF97+P97*(1-IF(INDEX('Facilities'!$AA$9:$AA$108,MATCH(C97,'Facilities'!$C$9:$C$108,0))=0,0,MIN(1,INDEX('Facilities'!$X$9:$X$108,MATCH(C97,'Facilities'!$C$9:$C$108,0))/INDEX('Facilities'!$AA$9:$AA$108,MATCH(C97,'Facilities'!$C$9:$C$108,0)))))*INDEX('Facilities'!$AJ$9:$AJ$108,MATCH(C97,'Facilities'!$C$9:$C$108,0))+Q97*INDEX('Facilities'!$AI$9:$AI$108,MATCH(C97,'Facilities'!$C$9:$C$108,0))*AF97)))</x:f>
      </x:c>
      <x:c r="AB97" s="21" t="str">
        <x:f>IF(C97="","",O97+P97-AD97)</x:f>
      </x:c>
      <x:c r="AC97" s="23" t="str">
        <x:f>IF(C97="","",IFERROR(IF(INDEX('Facilities'!$AD$9:$AD$108,MATCH(C97,'Facilities'!$C$9:$C$108,0))=3,0,IF(INDEX('Facilities'!$AN$9:$AN$108,MATCH(C97,'Facilities'!$C$9:$C$108,0))=0,-1,INDEX('Facilities'!$AN$9:$AN$108,MATCH(C97,'Facilities'!$C$9:$C$108,0)))),"Unavailable"))</x:f>
      </x:c>
      <x:c r="AD97" s="21" t="str">
        <x:f>IF(C97="","",IFERROR(G97+H97,"Unavailable"))</x:f>
      </x:c>
      <x:c r="AE97" s="21" t="str">
        <x:f>IF(C97="","",IF(AQ97&lt;&gt;"Ready","Unavailable",IF(C97="","",O97+P97-AD97-J97+K97+M97+N97)))</x:f>
      </x:c>
      <x:c r="AF97" s="30" t="str">
        <x:f>IF(C97="","",IFERROR(INDEX('Facilities'!$S$9:$S$108,MATCH(C97,'Facilities'!$C$9:$C$108,0))*'Scenario Paths'!F75,"Unavailable"))</x:f>
      </x:c>
      <x:c r="AG97" s="23" t="str">
        <x:f>IF(C97="","",IF(AQ97&lt;&gt;"Ready","Unavailable",IF(C97="","",IF(H97&gt;0,MAX(0,H97-AK97)*((1+INDEX('Facilities'!$K$9:$K$108,MATCH(C97,'Facilities'!$C$9:$C$108,0)))^MIN(1,MAX(0,AC97+INDEX('Facilities'!$AK$9:$AK$108,MATCH(C97,'Facilities'!$C$9:$C$108,0))-D97+1))-1),0))))</x:f>
      </x:c>
      <x:c r="AH97" s="21" t="str">
        <x:f>IF(C97="","",IF(AQ97&lt;&gt;"Ready","Unavailable",IF(C97="","",O97+P97)))</x:f>
      </x:c>
      <x:c r="AI97" s="21" t="str">
        <x:f>IF(C97="","",IF(AQ97&lt;&gt;"Ready","Unavailable",IF(C97="","",Z97-Y97)))</x:f>
      </x:c>
      <x:c r="AJ97" s="23" t="str">
        <x:f>IF(C97="","",IFERROR(MAX(0,INDEX('Facilities'!$J$9:$J$108,MATCH(C97,'Facilities'!$C$9:$C$108,0))-D97),"Unavailable"))</x:f>
      </x:c>
      <x:c r="AK97" s="23" t="str">
        <x:f>IF(C97="","",IFERROR(IF(INDEX('Facilities'!$AD$9:$AD$108,MATCH(C97,'Facilities'!$C$9:$C$108,0))=3,W97,0),"Unavailable"))</x:f>
      </x:c>
      <x:c r="AL97" s="23" t="str">
        <x:f>IF(C97="","",IFERROR(IF(P97&gt;0,P97*(1-AM97/(1+INDEX('Facilities'!$K$9:$K$108,MATCH(C97,'Facilities'!$C$9:$C$108,0)))^MAX(0,AC97+INDEX('Facilities'!$AK$9:$AK$108,MATCH(C97,'Facilities'!$C$9:$C$108,0))-D97)),0),"Unavailable"))</x:f>
      </x:c>
      <x:c r="AM97" s="30" t="str">
        <x:f>IF(C97="","",IFERROR(INDEX('Facilities'!$AL$9:$AL$108,MATCH(C97,'Facilities'!$C$9:$C$108,0)),"Unavailable"))</x:f>
      </x:c>
      <x:c r="AN97" s="30" t="str">
        <x:f>IF(C97="","",IFERROR(INDEX(Credit!$T$9:$T$108,MATCH(F97,Credit!$C$9:$C$108,0)),"Unavailable"))</x:f>
      </x:c>
      <x:c r="AO97" s="23" t="str">
        <x:f>IF(C97="","",IF(AQ97&lt;&gt;"Ready","Unavailable",IF(C97="","",O97+P97+Q97*INDEX('Facilities'!$I$9:$I$108,MATCH(C97,'Facilities'!$C$9:$C$108,0)))))</x:f>
      </x:c>
      <x:c r="AP97" s="21" t="str">
        <x:f>IF(C97="","",IF(AQ97&lt;&gt;"Ready","Unavailable",IF(C97="","",AH97-U97)))</x:f>
      </x:c>
      <x:c r="AQ97" s="23" t="str">
        <x:f>IFERROR(IF(C97="","",IF(AND(INDEX('Facilities'!$AF$9:$AF$108,MATCH(C97,'Facilities'!$C$9:$C$108,0))="Ready",INDEX(Credit!$U$9:$U$108,MATCH(F97,Credit!$C$9:$C$108,0))="Ready",ISNUMBER(W97)),"Ready","Review inputs")),"Review inputs")</x:f>
      </x:c>
      <x:c r="AR97" s="23" t="str">
        <x:f>IF(C97="","",IF(AQ97&lt;&gt;"Ready","Unavailable",IF(C97="","",IF(O97=0,0,(IF(AJ97&lt;=1,O97,O97*INDEX('Facilities'!$R$9:$R$108,MATCH(C97,'Facilities'!$C$9:$C$108,0)))+O97*INDEX('Facilities'!$T$9:$T$108,MATCH(C97,'Facilities'!$C$9:$C$108,0)))/12))))</x:f>
      </x:c>
    </x:row>
    <x:row r="98" ht="26" customHeight="1">
      <x:c r="A98" s="1"/>
      <x:c r="B98" s="1"/>
      <x:c r="C98" s="9" t="str">
        <x:f>IF(Facilities!C98="","",Facilities!C98)</x:f>
      </x:c>
      <x:c r="D98" s="3" t="n">
        <x:v>1</x:v>
      </x:c>
      <x:c r="E98" s="9" t="n">
        <x:f>Settings!$F$18+0</x:f>
        <x:v>2027</x:v>
      </x:c>
      <x:c r="F98" s="9" t="str">
        <x:f>IF(C98="","",IFERROR(INDEX('Facilities'!$D$9:$D$108,MATCH(C98,'Facilities'!$C$9:$C$108,0)),"Unavailable"))</x:f>
      </x:c>
      <x:c r="G98" s="23" t="str">
        <x:f>IF(C98="","",IFERROR(IF(INDEX('Facilities'!$AD$9:$AD$108,MATCH(C98,'Facilities'!$C$9:$C$108,0))=3,0,INDEX('Facilities'!$AA$9:$AA$108,MATCH(C98,'Facilities'!$C$9:$C$108,0))),"Unavailable"))</x:f>
      </x:c>
      <x:c r="H98" s="23" t="str">
        <x:f>IF(C98="","",IFERROR(IF(INDEX('Facilities'!$AD$9:$AD$108,MATCH(C98,'Facilities'!$C$9:$C$108,0))=3,INDEX('Facilities'!$AA$9:$AA$108,MATCH(C98,'Facilities'!$C$9:$C$108,0)),0),"Unavailable"))</x:f>
      </x:c>
      <x:c r="I98" s="23" t="str">
        <x:f>IF(C98="","",IFERROR(INDEX('Facilities'!$AB$9:$AB$108,MATCH(C98,'Facilities'!$C$9:$C$108,0)),"Unavailable"))</x:f>
      </x:c>
      <x:c r="J98" s="23" t="str">
        <x:f>IF(C98="","",IFERROR(IF(OR(H98&gt;0,AND(AC98&gt;=0,AC98&lt;D98),D98&gt;INDEX('Facilities'!$J$9:$J$108,MATCH(C98,'Facilities'!$C$9:$C$108,0))),0,I98*'Scenario Paths'!F81),"Unavailable"))</x:f>
      </x:c>
      <x:c r="K98" s="23" t="str">
        <x:f>IF(C98="","",IFERROR(IF(OR(H98&gt;0,AND(AC98&gt;=0,AC98=D98)),0,IF(D98&gt;=INDEX('Facilities'!$J$9:$J$108,MATCH(C98,'Facilities'!$C$9:$C$108,0)),G98+J98,MIN(G98+J98,G98*INDEX('Facilities'!$R$9:$R$108,MATCH(C98,'Facilities'!$C$9:$C$108,0))))),"Unavailable"))</x:f>
      </x:c>
      <x:c r="L98" s="21" t="str">
        <x:f>IF(C98="","",IFERROR(IF(AND(AC98=D98,AC98&gt;0),MAX(0,G98+J98-K98),0),"Unavailable"))</x:f>
      </x:c>
      <x:c r="M98" s="23" t="str">
        <x:f>IF(C98="","",IFERROR(IF(AND(AC98&gt;=0,D98&gt;=AC98+INDEX('Facilities'!$AK$9:$AK$108,MATCH(C98,'Facilities'!$C$9:$C$108,0))),(H98+L98)*AM98,0),"Unavailable"))</x:f>
      </x:c>
      <x:c r="N98" s="23" t="str">
        <x:f>IF(C98="","",IFERROR(IF(AND(AC98&gt;=0,D98&gt;=AC98+INDEX('Facilities'!$AK$9:$AK$108,MATCH(C98,'Facilities'!$C$9:$C$108,0))),H98+L98-M98,0),"Unavailable"))</x:f>
      </x:c>
      <x:c r="O98" s="21" t="str">
        <x:f>IF(C98="","",IFERROR(MAX(0,G98+J98-K98-L98),"Unavailable"))</x:f>
      </x:c>
      <x:c r="P98" s="21" t="str">
        <x:f>IF(C98="","",IFERROR(MAX(0,H98+L98-M98-N98),"Unavailable"))</x:f>
      </x:c>
      <x:c r="Q98" s="23" t="str">
        <x:f>IF(C98="","",IFERROR(IF(OR(D98&gt;=INDEX('Facilities'!$J$9:$J$108,MATCH(C98,'Facilities'!$C$9:$C$108,0)),AND(AC98&gt;=0,AC98&lt;=D98)),0,MAX(0,I98-J98)),"Unavailable"))</x:f>
      </x:c>
      <x:c r="R98" s="30" t="str">
        <x:f>IF(C98="","",IFERROR(INDEX(Credit!$Q$9:$Q$108,MATCH(F98,Credit!$C$9:$C$108,0)),"Unavailable"))</x:f>
      </x:c>
      <x:c r="S98" s="30" t="str">
        <x:f>IF(C98="","",IFERROR(INDEX(Credit!$R$9:$R$108,MATCH(F98,Credit!$C$9:$C$108,0)),"Unavailable"))</x:f>
      </x:c>
      <x:c r="T98" s="23" t="str">
        <x:f>IF(C98="","",IFERROR(IF(P98&gt;0,3,IF(OR(INDEX('Facilities'!$AD$9:$AD$108,MATCH(C98,'Facilities'!$C$9:$C$108,0))=2,AND(R98&gt;=INDEX('Facilities'!$L$9:$L$108,MATCH(C98,'Facilities'!$C$9:$C$108,0))*Settings!$F$19,R98-INDEX('Facilities'!$L$9:$L$108,MATCH(C98,'Facilities'!$C$9:$C$108,0))&gt;=Settings!$F$20)),2,1)),"Unavailable"))</x:f>
      </x:c>
      <x:c r="U98" s="23" t="str">
        <x:f>IF(C98="","",IF(AQ98&lt;&gt;"Ready","Unavailable",IF(C98="","",O98*(1-(1-S98)/(1+INDEX('Facilities'!$K$9:$K$108,MATCH(C98,'Facilities'!$C$9:$C$108,0)))^INDEX('Facilities'!$AK$9:$AK$108,MATCH(C98,'Facilities'!$C$9:$C$108,0)))*R98/(1+INDEX('Facilities'!$K$9:$K$108,MATCH(C98,'Facilities'!$C$9:$C$108,0)))*IF(ABS(1-(1-R98)*(1-INDEX('Facilities'!$R$9:$R$108,MATCH(C98,'Facilities'!$C$9:$C$108,0)))/(1+INDEX('Facilities'!$K$9:$K$108,MATCH(C98,'Facilities'!$C$9:$C$108,0))))&lt;0.000000001,IF(T98=1,MIN(1,AJ98),AJ98),(1-((1-R98)*(1-INDEX('Facilities'!$R$9:$R$108,MATCH(C98,'Facilities'!$C$9:$C$108,0)))/(1+INDEX('Facilities'!$K$9:$K$108,MATCH(C98,'Facilities'!$C$9:$C$108,0))))^IF(T98=1,MIN(1,AJ98),AJ98))/(1-(1-R98)*(1-INDEX('Facilities'!$R$9:$R$108,MATCH(C98,'Facilities'!$C$9:$C$108,0)))/(1+INDEX('Facilities'!$K$9:$K$108,MATCH(C98,'Facilities'!$C$9:$C$108,0)))))+AL98)))</x:f>
      </x:c>
      <x:c r="V98" s="23" t="str">
        <x:f>IF(C98="","",IF(AQ98&lt;&gt;"Ready","Unavailable",IF(C98="","",Q98*INDEX('Facilities'!$I$9:$I$108,MATCH(C98,'Facilities'!$C$9:$C$108,0))*(1-(1-S98)/(1+INDEX('Facilities'!$K$9:$K$108,MATCH(C98,'Facilities'!$C$9:$C$108,0)))^INDEX('Facilities'!$AK$9:$AK$108,MATCH(C98,'Facilities'!$C$9:$C$108,0)))*R98/(1+INDEX('Facilities'!$K$9:$K$108,MATCH(C98,'Facilities'!$C$9:$C$108,0)))*IF(ABS(1-(1-R98)*(1-0)/(1+INDEX('Facilities'!$K$9:$K$108,MATCH(C98,'Facilities'!$C$9:$C$108,0))))&lt;0.000000001,IF(T98=1,MIN(1,AJ98),AJ98),(1-((1-R98)*(1-0)/(1+INDEX('Facilities'!$K$9:$K$108,MATCH(C98,'Facilities'!$C$9:$C$108,0))))^IF(T98=1,MIN(1,AJ98),AJ98))/(1-(1-R98)*(1-0)/(1+INDEX('Facilities'!$K$9:$K$108,MATCH(C98,'Facilities'!$C$9:$C$108,0))))))))</x:f>
      </x:c>
      <x:c r="W98" s="23" t="str">
        <x:f>IF(C98="","",IFERROR(INDEX(ECL!$AB$9:$AB$108,MATCH(C98,ECL!$C$9:$C$108,0)),"Unavailable"))</x:f>
      </x:c>
      <x:c r="X98" s="23" t="str">
        <x:f>IF(C98="","",IFERROR(INDEX(ECL!$AC$9:$AC$108,MATCH(C98,ECL!$C$9:$C$108,0)),"Unavailable"))</x:f>
      </x:c>
      <x:c r="Y98" s="21" t="str">
        <x:f>IF(C98="","",IF(AQ98&lt;&gt;"Ready","Unavailable",IF(C98="","",U98-W98+V98-X98+N98+AG98)))</x:f>
      </x:c>
      <x:c r="Z98" s="23" t="str">
        <x:f>IF(C98="","",IF(AQ98&lt;&gt;"Ready","Unavailable",IF(C98="","",(G98+O98+L98)/2*INDEX('Facilities'!$T$9:$T$108,MATCH(C98,'Facilities'!$C$9:$C$108,0))+AG98)))</x:f>
      </x:c>
      <x:c r="AA98" s="23" t="str">
        <x:f>IF(C98="","",IF(AQ98&lt;&gt;"Ready","Unavailable",IF(C98="","",O98*(1-IF(INDEX('Facilities'!$AA$9:$AA$108,MATCH(C98,'Facilities'!$C$9:$C$108,0))=0,0,MIN(1,INDEX('Facilities'!$X$9:$X$108,MATCH(C98,'Facilities'!$C$9:$C$108,0))/INDEX('Facilities'!$AA$9:$AA$108,MATCH(C98,'Facilities'!$C$9:$C$108,0)))))*AF98+P98*(1-IF(INDEX('Facilities'!$AA$9:$AA$108,MATCH(C98,'Facilities'!$C$9:$C$108,0))=0,0,MIN(1,INDEX('Facilities'!$X$9:$X$108,MATCH(C98,'Facilities'!$C$9:$C$108,0))/INDEX('Facilities'!$AA$9:$AA$108,MATCH(C98,'Facilities'!$C$9:$C$108,0)))))*INDEX('Facilities'!$AJ$9:$AJ$108,MATCH(C98,'Facilities'!$C$9:$C$108,0))+Q98*INDEX('Facilities'!$AI$9:$AI$108,MATCH(C98,'Facilities'!$C$9:$C$108,0))*AF98)))</x:f>
      </x:c>
      <x:c r="AB98" s="21" t="str">
        <x:f>IF(C98="","",O98+P98-AD98)</x:f>
      </x:c>
      <x:c r="AC98" s="23" t="str">
        <x:f>IF(C98="","",IFERROR(IF(INDEX('Facilities'!$AD$9:$AD$108,MATCH(C98,'Facilities'!$C$9:$C$108,0))=3,0,IF(INDEX('Facilities'!$AN$9:$AN$108,MATCH(C98,'Facilities'!$C$9:$C$108,0))=0,-1,INDEX('Facilities'!$AN$9:$AN$108,MATCH(C98,'Facilities'!$C$9:$C$108,0)))),"Unavailable"))</x:f>
      </x:c>
      <x:c r="AD98" s="21" t="str">
        <x:f>IF(C98="","",IFERROR(G98+H98,"Unavailable"))</x:f>
      </x:c>
      <x:c r="AE98" s="21" t="str">
        <x:f>IF(C98="","",IF(AQ98&lt;&gt;"Ready","Unavailable",IF(C98="","",O98+P98-AD98-J98+K98+M98+N98)))</x:f>
      </x:c>
      <x:c r="AF98" s="30" t="str">
        <x:f>IF(C98="","",IFERROR(INDEX('Facilities'!$S$9:$S$108,MATCH(C98,'Facilities'!$C$9:$C$108,0))*'Scenario Paths'!F75,"Unavailable"))</x:f>
      </x:c>
      <x:c r="AG98" s="23" t="str">
        <x:f>IF(C98="","",IF(AQ98&lt;&gt;"Ready","Unavailable",IF(C98="","",IF(H98&gt;0,MAX(0,H98-AK98)*((1+INDEX('Facilities'!$K$9:$K$108,MATCH(C98,'Facilities'!$C$9:$C$108,0)))^MIN(1,MAX(0,AC98+INDEX('Facilities'!$AK$9:$AK$108,MATCH(C98,'Facilities'!$C$9:$C$108,0))-D98+1))-1),0))))</x:f>
      </x:c>
      <x:c r="AH98" s="21" t="str">
        <x:f>IF(C98="","",IF(AQ98&lt;&gt;"Ready","Unavailable",IF(C98="","",O98+P98)))</x:f>
      </x:c>
      <x:c r="AI98" s="21" t="str">
        <x:f>IF(C98="","",IF(AQ98&lt;&gt;"Ready","Unavailable",IF(C98="","",Z98-Y98)))</x:f>
      </x:c>
      <x:c r="AJ98" s="23" t="str">
        <x:f>IF(C98="","",IFERROR(MAX(0,INDEX('Facilities'!$J$9:$J$108,MATCH(C98,'Facilities'!$C$9:$C$108,0))-D98),"Unavailable"))</x:f>
      </x:c>
      <x:c r="AK98" s="23" t="str">
        <x:f>IF(C98="","",IFERROR(IF(INDEX('Facilities'!$AD$9:$AD$108,MATCH(C98,'Facilities'!$C$9:$C$108,0))=3,W98,0),"Unavailable"))</x:f>
      </x:c>
      <x:c r="AL98" s="23" t="str">
        <x:f>IF(C98="","",IFERROR(IF(P98&gt;0,P98*(1-AM98/(1+INDEX('Facilities'!$K$9:$K$108,MATCH(C98,'Facilities'!$C$9:$C$108,0)))^MAX(0,AC98+INDEX('Facilities'!$AK$9:$AK$108,MATCH(C98,'Facilities'!$C$9:$C$108,0))-D98)),0),"Unavailable"))</x:f>
      </x:c>
      <x:c r="AM98" s="30" t="str">
        <x:f>IF(C98="","",IFERROR(INDEX('Facilities'!$AL$9:$AL$108,MATCH(C98,'Facilities'!$C$9:$C$108,0)),"Unavailable"))</x:f>
      </x:c>
      <x:c r="AN98" s="30" t="str">
        <x:f>IF(C98="","",IFERROR(INDEX(Credit!$T$9:$T$108,MATCH(F98,Credit!$C$9:$C$108,0)),"Unavailable"))</x:f>
      </x:c>
      <x:c r="AO98" s="23" t="str">
        <x:f>IF(C98="","",IF(AQ98&lt;&gt;"Ready","Unavailable",IF(C98="","",O98+P98+Q98*INDEX('Facilities'!$I$9:$I$108,MATCH(C98,'Facilities'!$C$9:$C$108,0)))))</x:f>
      </x:c>
      <x:c r="AP98" s="21" t="str">
        <x:f>IF(C98="","",IF(AQ98&lt;&gt;"Ready","Unavailable",IF(C98="","",AH98-U98)))</x:f>
      </x:c>
      <x:c r="AQ98" s="23" t="str">
        <x:f>IFERROR(IF(C98="","",IF(AND(INDEX('Facilities'!$AF$9:$AF$108,MATCH(C98,'Facilities'!$C$9:$C$108,0))="Ready",INDEX(Credit!$U$9:$U$108,MATCH(F98,Credit!$C$9:$C$108,0))="Ready",ISNUMBER(W98)),"Ready","Review inputs")),"Review inputs")</x:f>
      </x:c>
      <x:c r="AR98" s="23" t="str">
        <x:f>IF(C98="","",IF(AQ98&lt;&gt;"Ready","Unavailable",IF(C98="","",IF(O98=0,0,(IF(AJ98&lt;=1,O98,O98*INDEX('Facilities'!$R$9:$R$108,MATCH(C98,'Facilities'!$C$9:$C$108,0)))+O98*INDEX('Facilities'!$T$9:$T$108,MATCH(C98,'Facilities'!$C$9:$C$108,0)))/12))))</x:f>
      </x:c>
    </x:row>
    <x:row r="99" ht="26" customHeight="1">
      <x:c r="A99" s="1"/>
      <x:c r="B99" s="1"/>
      <x:c r="C99" s="9" t="str">
        <x:f>IF(Facilities!C99="","",Facilities!C99)</x:f>
      </x:c>
      <x:c r="D99" s="3" t="n">
        <x:v>1</x:v>
      </x:c>
      <x:c r="E99" s="9" t="n">
        <x:f>Settings!$F$18+0</x:f>
        <x:v>2027</x:v>
      </x:c>
      <x:c r="F99" s="9" t="str">
        <x:f>IF(C99="","",IFERROR(INDEX('Facilities'!$D$9:$D$108,MATCH(C99,'Facilities'!$C$9:$C$108,0)),"Unavailable"))</x:f>
      </x:c>
      <x:c r="G99" s="23" t="str">
        <x:f>IF(C99="","",IFERROR(IF(INDEX('Facilities'!$AD$9:$AD$108,MATCH(C99,'Facilities'!$C$9:$C$108,0))=3,0,INDEX('Facilities'!$AA$9:$AA$108,MATCH(C99,'Facilities'!$C$9:$C$108,0))),"Unavailable"))</x:f>
      </x:c>
      <x:c r="H99" s="23" t="str">
        <x:f>IF(C99="","",IFERROR(IF(INDEX('Facilities'!$AD$9:$AD$108,MATCH(C99,'Facilities'!$C$9:$C$108,0))=3,INDEX('Facilities'!$AA$9:$AA$108,MATCH(C99,'Facilities'!$C$9:$C$108,0)),0),"Unavailable"))</x:f>
      </x:c>
      <x:c r="I99" s="23" t="str">
        <x:f>IF(C99="","",IFERROR(INDEX('Facilities'!$AB$9:$AB$108,MATCH(C99,'Facilities'!$C$9:$C$108,0)),"Unavailable"))</x:f>
      </x:c>
      <x:c r="J99" s="23" t="str">
        <x:f>IF(C99="","",IFERROR(IF(OR(H99&gt;0,AND(AC99&gt;=0,AC99&lt;D99),D99&gt;INDEX('Facilities'!$J$9:$J$108,MATCH(C99,'Facilities'!$C$9:$C$108,0))),0,I99*'Scenario Paths'!F81),"Unavailable"))</x:f>
      </x:c>
      <x:c r="K99" s="23" t="str">
        <x:f>IF(C99="","",IFERROR(IF(OR(H99&gt;0,AND(AC99&gt;=0,AC99=D99)),0,IF(D99&gt;=INDEX('Facilities'!$J$9:$J$108,MATCH(C99,'Facilities'!$C$9:$C$108,0)),G99+J99,MIN(G99+J99,G99*INDEX('Facilities'!$R$9:$R$108,MATCH(C99,'Facilities'!$C$9:$C$108,0))))),"Unavailable"))</x:f>
      </x:c>
      <x:c r="L99" s="21" t="str">
        <x:f>IF(C99="","",IFERROR(IF(AND(AC99=D99,AC99&gt;0),MAX(0,G99+J99-K99),0),"Unavailable"))</x:f>
      </x:c>
      <x:c r="M99" s="23" t="str">
        <x:f>IF(C99="","",IFERROR(IF(AND(AC99&gt;=0,D99&gt;=AC99+INDEX('Facilities'!$AK$9:$AK$108,MATCH(C99,'Facilities'!$C$9:$C$108,0))),(H99+L99)*AM99,0),"Unavailable"))</x:f>
      </x:c>
      <x:c r="N99" s="23" t="str">
        <x:f>IF(C99="","",IFERROR(IF(AND(AC99&gt;=0,D99&gt;=AC99+INDEX('Facilities'!$AK$9:$AK$108,MATCH(C99,'Facilities'!$C$9:$C$108,0))),H99+L99-M99,0),"Unavailable"))</x:f>
      </x:c>
      <x:c r="O99" s="21" t="str">
        <x:f>IF(C99="","",IFERROR(MAX(0,G99+J99-K99-L99),"Unavailable"))</x:f>
      </x:c>
      <x:c r="P99" s="21" t="str">
        <x:f>IF(C99="","",IFERROR(MAX(0,H99+L99-M99-N99),"Unavailable"))</x:f>
      </x:c>
      <x:c r="Q99" s="23" t="str">
        <x:f>IF(C99="","",IFERROR(IF(OR(D99&gt;=INDEX('Facilities'!$J$9:$J$108,MATCH(C99,'Facilities'!$C$9:$C$108,0)),AND(AC99&gt;=0,AC99&lt;=D99)),0,MAX(0,I99-J99)),"Unavailable"))</x:f>
      </x:c>
      <x:c r="R99" s="30" t="str">
        <x:f>IF(C99="","",IFERROR(INDEX(Credit!$Q$9:$Q$108,MATCH(F99,Credit!$C$9:$C$108,0)),"Unavailable"))</x:f>
      </x:c>
      <x:c r="S99" s="30" t="str">
        <x:f>IF(C99="","",IFERROR(INDEX(Credit!$R$9:$R$108,MATCH(F99,Credit!$C$9:$C$108,0)),"Unavailable"))</x:f>
      </x:c>
      <x:c r="T99" s="23" t="str">
        <x:f>IF(C99="","",IFERROR(IF(P99&gt;0,3,IF(OR(INDEX('Facilities'!$AD$9:$AD$108,MATCH(C99,'Facilities'!$C$9:$C$108,0))=2,AND(R99&gt;=INDEX('Facilities'!$L$9:$L$108,MATCH(C99,'Facilities'!$C$9:$C$108,0))*Settings!$F$19,R99-INDEX('Facilities'!$L$9:$L$108,MATCH(C99,'Facilities'!$C$9:$C$108,0))&gt;=Settings!$F$20)),2,1)),"Unavailable"))</x:f>
      </x:c>
      <x:c r="U99" s="23" t="str">
        <x:f>IF(C99="","",IF(AQ99&lt;&gt;"Ready","Unavailable",IF(C99="","",O99*(1-(1-S99)/(1+INDEX('Facilities'!$K$9:$K$108,MATCH(C99,'Facilities'!$C$9:$C$108,0)))^INDEX('Facilities'!$AK$9:$AK$108,MATCH(C99,'Facilities'!$C$9:$C$108,0)))*R99/(1+INDEX('Facilities'!$K$9:$K$108,MATCH(C99,'Facilities'!$C$9:$C$108,0)))*IF(ABS(1-(1-R99)*(1-INDEX('Facilities'!$R$9:$R$108,MATCH(C99,'Facilities'!$C$9:$C$108,0)))/(1+INDEX('Facilities'!$K$9:$K$108,MATCH(C99,'Facilities'!$C$9:$C$108,0))))&lt;0.000000001,IF(T99=1,MIN(1,AJ99),AJ99),(1-((1-R99)*(1-INDEX('Facilities'!$R$9:$R$108,MATCH(C99,'Facilities'!$C$9:$C$108,0)))/(1+INDEX('Facilities'!$K$9:$K$108,MATCH(C99,'Facilities'!$C$9:$C$108,0))))^IF(T99=1,MIN(1,AJ99),AJ99))/(1-(1-R99)*(1-INDEX('Facilities'!$R$9:$R$108,MATCH(C99,'Facilities'!$C$9:$C$108,0)))/(1+INDEX('Facilities'!$K$9:$K$108,MATCH(C99,'Facilities'!$C$9:$C$108,0)))))+AL99)))</x:f>
      </x:c>
      <x:c r="V99" s="23" t="str">
        <x:f>IF(C99="","",IF(AQ99&lt;&gt;"Ready","Unavailable",IF(C99="","",Q99*INDEX('Facilities'!$I$9:$I$108,MATCH(C99,'Facilities'!$C$9:$C$108,0))*(1-(1-S99)/(1+INDEX('Facilities'!$K$9:$K$108,MATCH(C99,'Facilities'!$C$9:$C$108,0)))^INDEX('Facilities'!$AK$9:$AK$108,MATCH(C99,'Facilities'!$C$9:$C$108,0)))*R99/(1+INDEX('Facilities'!$K$9:$K$108,MATCH(C99,'Facilities'!$C$9:$C$108,0)))*IF(ABS(1-(1-R99)*(1-0)/(1+INDEX('Facilities'!$K$9:$K$108,MATCH(C99,'Facilities'!$C$9:$C$108,0))))&lt;0.000000001,IF(T99=1,MIN(1,AJ99),AJ99),(1-((1-R99)*(1-0)/(1+INDEX('Facilities'!$K$9:$K$108,MATCH(C99,'Facilities'!$C$9:$C$108,0))))^IF(T99=1,MIN(1,AJ99),AJ99))/(1-(1-R99)*(1-0)/(1+INDEX('Facilities'!$K$9:$K$108,MATCH(C99,'Facilities'!$C$9:$C$108,0))))))))</x:f>
      </x:c>
      <x:c r="W99" s="23" t="str">
        <x:f>IF(C99="","",IFERROR(INDEX(ECL!$AB$9:$AB$108,MATCH(C99,ECL!$C$9:$C$108,0)),"Unavailable"))</x:f>
      </x:c>
      <x:c r="X99" s="23" t="str">
        <x:f>IF(C99="","",IFERROR(INDEX(ECL!$AC$9:$AC$108,MATCH(C99,ECL!$C$9:$C$108,0)),"Unavailable"))</x:f>
      </x:c>
      <x:c r="Y99" s="21" t="str">
        <x:f>IF(C99="","",IF(AQ99&lt;&gt;"Ready","Unavailable",IF(C99="","",U99-W99+V99-X99+N99+AG99)))</x:f>
      </x:c>
      <x:c r="Z99" s="23" t="str">
        <x:f>IF(C99="","",IF(AQ99&lt;&gt;"Ready","Unavailable",IF(C99="","",(G99+O99+L99)/2*INDEX('Facilities'!$T$9:$T$108,MATCH(C99,'Facilities'!$C$9:$C$108,0))+AG99)))</x:f>
      </x:c>
      <x:c r="AA99" s="23" t="str">
        <x:f>IF(C99="","",IF(AQ99&lt;&gt;"Ready","Unavailable",IF(C99="","",O99*(1-IF(INDEX('Facilities'!$AA$9:$AA$108,MATCH(C99,'Facilities'!$C$9:$C$108,0))=0,0,MIN(1,INDEX('Facilities'!$X$9:$X$108,MATCH(C99,'Facilities'!$C$9:$C$108,0))/INDEX('Facilities'!$AA$9:$AA$108,MATCH(C99,'Facilities'!$C$9:$C$108,0)))))*AF99+P99*(1-IF(INDEX('Facilities'!$AA$9:$AA$108,MATCH(C99,'Facilities'!$C$9:$C$108,0))=0,0,MIN(1,INDEX('Facilities'!$X$9:$X$108,MATCH(C99,'Facilities'!$C$9:$C$108,0))/INDEX('Facilities'!$AA$9:$AA$108,MATCH(C99,'Facilities'!$C$9:$C$108,0)))))*INDEX('Facilities'!$AJ$9:$AJ$108,MATCH(C99,'Facilities'!$C$9:$C$108,0))+Q99*INDEX('Facilities'!$AI$9:$AI$108,MATCH(C99,'Facilities'!$C$9:$C$108,0))*AF99)))</x:f>
      </x:c>
      <x:c r="AB99" s="21" t="str">
        <x:f>IF(C99="","",O99+P99-AD99)</x:f>
      </x:c>
      <x:c r="AC99" s="23" t="str">
        <x:f>IF(C99="","",IFERROR(IF(INDEX('Facilities'!$AD$9:$AD$108,MATCH(C99,'Facilities'!$C$9:$C$108,0))=3,0,IF(INDEX('Facilities'!$AN$9:$AN$108,MATCH(C99,'Facilities'!$C$9:$C$108,0))=0,-1,INDEX('Facilities'!$AN$9:$AN$108,MATCH(C99,'Facilities'!$C$9:$C$108,0)))),"Unavailable"))</x:f>
      </x:c>
      <x:c r="AD99" s="21" t="str">
        <x:f>IF(C99="","",IFERROR(G99+H99,"Unavailable"))</x:f>
      </x:c>
      <x:c r="AE99" s="21" t="str">
        <x:f>IF(C99="","",IF(AQ99&lt;&gt;"Ready","Unavailable",IF(C99="","",O99+P99-AD99-J99+K99+M99+N99)))</x:f>
      </x:c>
      <x:c r="AF99" s="30" t="str">
        <x:f>IF(C99="","",IFERROR(INDEX('Facilities'!$S$9:$S$108,MATCH(C99,'Facilities'!$C$9:$C$108,0))*'Scenario Paths'!F75,"Unavailable"))</x:f>
      </x:c>
      <x:c r="AG99" s="23" t="str">
        <x:f>IF(C99="","",IF(AQ99&lt;&gt;"Ready","Unavailable",IF(C99="","",IF(H99&gt;0,MAX(0,H99-AK99)*((1+INDEX('Facilities'!$K$9:$K$108,MATCH(C99,'Facilities'!$C$9:$C$108,0)))^MIN(1,MAX(0,AC99+INDEX('Facilities'!$AK$9:$AK$108,MATCH(C99,'Facilities'!$C$9:$C$108,0))-D99+1))-1),0))))</x:f>
      </x:c>
      <x:c r="AH99" s="21" t="str">
        <x:f>IF(C99="","",IF(AQ99&lt;&gt;"Ready","Unavailable",IF(C99="","",O99+P99)))</x:f>
      </x:c>
      <x:c r="AI99" s="21" t="str">
        <x:f>IF(C99="","",IF(AQ99&lt;&gt;"Ready","Unavailable",IF(C99="","",Z99-Y99)))</x:f>
      </x:c>
      <x:c r="AJ99" s="23" t="str">
        <x:f>IF(C99="","",IFERROR(MAX(0,INDEX('Facilities'!$J$9:$J$108,MATCH(C99,'Facilities'!$C$9:$C$108,0))-D99),"Unavailable"))</x:f>
      </x:c>
      <x:c r="AK99" s="23" t="str">
        <x:f>IF(C99="","",IFERROR(IF(INDEX('Facilities'!$AD$9:$AD$108,MATCH(C99,'Facilities'!$C$9:$C$108,0))=3,W99,0),"Unavailable"))</x:f>
      </x:c>
      <x:c r="AL99" s="23" t="str">
        <x:f>IF(C99="","",IFERROR(IF(P99&gt;0,P99*(1-AM99/(1+INDEX('Facilities'!$K$9:$K$108,MATCH(C99,'Facilities'!$C$9:$C$108,0)))^MAX(0,AC99+INDEX('Facilities'!$AK$9:$AK$108,MATCH(C99,'Facilities'!$C$9:$C$108,0))-D99)),0),"Unavailable"))</x:f>
      </x:c>
      <x:c r="AM99" s="30" t="str">
        <x:f>IF(C99="","",IFERROR(INDEX('Facilities'!$AL$9:$AL$108,MATCH(C99,'Facilities'!$C$9:$C$108,0)),"Unavailable"))</x:f>
      </x:c>
      <x:c r="AN99" s="30" t="str">
        <x:f>IF(C99="","",IFERROR(INDEX(Credit!$T$9:$T$108,MATCH(F99,Credit!$C$9:$C$108,0)),"Unavailable"))</x:f>
      </x:c>
      <x:c r="AO99" s="23" t="str">
        <x:f>IF(C99="","",IF(AQ99&lt;&gt;"Ready","Unavailable",IF(C99="","",O99+P99+Q99*INDEX('Facilities'!$I$9:$I$108,MATCH(C99,'Facilities'!$C$9:$C$108,0)))))</x:f>
      </x:c>
      <x:c r="AP99" s="21" t="str">
        <x:f>IF(C99="","",IF(AQ99&lt;&gt;"Ready","Unavailable",IF(C99="","",AH99-U99)))</x:f>
      </x:c>
      <x:c r="AQ99" s="23" t="str">
        <x:f>IFERROR(IF(C99="","",IF(AND(INDEX('Facilities'!$AF$9:$AF$108,MATCH(C99,'Facilities'!$C$9:$C$108,0))="Ready",INDEX(Credit!$U$9:$U$108,MATCH(F99,Credit!$C$9:$C$108,0))="Ready",ISNUMBER(W99)),"Ready","Review inputs")),"Review inputs")</x:f>
      </x:c>
      <x:c r="AR99" s="23" t="str">
        <x:f>IF(C99="","",IF(AQ99&lt;&gt;"Ready","Unavailable",IF(C99="","",IF(O99=0,0,(IF(AJ99&lt;=1,O99,O99*INDEX('Facilities'!$R$9:$R$108,MATCH(C99,'Facilities'!$C$9:$C$108,0)))+O99*INDEX('Facilities'!$T$9:$T$108,MATCH(C99,'Facilities'!$C$9:$C$108,0)))/12))))</x:f>
      </x:c>
    </x:row>
    <x:row r="100" ht="26" customHeight="1">
      <x:c r="A100" s="1"/>
      <x:c r="B100" s="1"/>
      <x:c r="C100" s="9" t="str">
        <x:f>IF(Facilities!C100="","",Facilities!C100)</x:f>
      </x:c>
      <x:c r="D100" s="3" t="n">
        <x:v>1</x:v>
      </x:c>
      <x:c r="E100" s="9" t="n">
        <x:f>Settings!$F$18+0</x:f>
        <x:v>2027</x:v>
      </x:c>
      <x:c r="F100" s="9" t="str">
        <x:f>IF(C100="","",IFERROR(INDEX('Facilities'!$D$9:$D$108,MATCH(C100,'Facilities'!$C$9:$C$108,0)),"Unavailable"))</x:f>
      </x:c>
      <x:c r="G100" s="23" t="str">
        <x:f>IF(C100="","",IFERROR(IF(INDEX('Facilities'!$AD$9:$AD$108,MATCH(C100,'Facilities'!$C$9:$C$108,0))=3,0,INDEX('Facilities'!$AA$9:$AA$108,MATCH(C100,'Facilities'!$C$9:$C$108,0))),"Unavailable"))</x:f>
      </x:c>
      <x:c r="H100" s="23" t="str">
        <x:f>IF(C100="","",IFERROR(IF(INDEX('Facilities'!$AD$9:$AD$108,MATCH(C100,'Facilities'!$C$9:$C$108,0))=3,INDEX('Facilities'!$AA$9:$AA$108,MATCH(C100,'Facilities'!$C$9:$C$108,0)),0),"Unavailable"))</x:f>
      </x:c>
      <x:c r="I100" s="23" t="str">
        <x:f>IF(C100="","",IFERROR(INDEX('Facilities'!$AB$9:$AB$108,MATCH(C100,'Facilities'!$C$9:$C$108,0)),"Unavailable"))</x:f>
      </x:c>
      <x:c r="J100" s="23" t="str">
        <x:f>IF(C100="","",IFERROR(IF(OR(H100&gt;0,AND(AC100&gt;=0,AC100&lt;D100),D100&gt;INDEX('Facilities'!$J$9:$J$108,MATCH(C100,'Facilities'!$C$9:$C$108,0))),0,I100*'Scenario Paths'!F81),"Unavailable"))</x:f>
      </x:c>
      <x:c r="K100" s="23" t="str">
        <x:f>IF(C100="","",IFERROR(IF(OR(H100&gt;0,AND(AC100&gt;=0,AC100=D100)),0,IF(D100&gt;=INDEX('Facilities'!$J$9:$J$108,MATCH(C100,'Facilities'!$C$9:$C$108,0)),G100+J100,MIN(G100+J100,G100*INDEX('Facilities'!$R$9:$R$108,MATCH(C100,'Facilities'!$C$9:$C$108,0))))),"Unavailable"))</x:f>
      </x:c>
      <x:c r="L100" s="21" t="str">
        <x:f>IF(C100="","",IFERROR(IF(AND(AC100=D100,AC100&gt;0),MAX(0,G100+J100-K100),0),"Unavailable"))</x:f>
      </x:c>
      <x:c r="M100" s="23" t="str">
        <x:f>IF(C100="","",IFERROR(IF(AND(AC100&gt;=0,D100&gt;=AC100+INDEX('Facilities'!$AK$9:$AK$108,MATCH(C100,'Facilities'!$C$9:$C$108,0))),(H100+L100)*AM100,0),"Unavailable"))</x:f>
      </x:c>
      <x:c r="N100" s="23" t="str">
        <x:f>IF(C100="","",IFERROR(IF(AND(AC100&gt;=0,D100&gt;=AC100+INDEX('Facilities'!$AK$9:$AK$108,MATCH(C100,'Facilities'!$C$9:$C$108,0))),H100+L100-M100,0),"Unavailable"))</x:f>
      </x:c>
      <x:c r="O100" s="21" t="str">
        <x:f>IF(C100="","",IFERROR(MAX(0,G100+J100-K100-L100),"Unavailable"))</x:f>
      </x:c>
      <x:c r="P100" s="21" t="str">
        <x:f>IF(C100="","",IFERROR(MAX(0,H100+L100-M100-N100),"Unavailable"))</x:f>
      </x:c>
      <x:c r="Q100" s="23" t="str">
        <x:f>IF(C100="","",IFERROR(IF(OR(D100&gt;=INDEX('Facilities'!$J$9:$J$108,MATCH(C100,'Facilities'!$C$9:$C$108,0)),AND(AC100&gt;=0,AC100&lt;=D100)),0,MAX(0,I100-J100)),"Unavailable"))</x:f>
      </x:c>
      <x:c r="R100" s="30" t="str">
        <x:f>IF(C100="","",IFERROR(INDEX(Credit!$Q$9:$Q$108,MATCH(F100,Credit!$C$9:$C$108,0)),"Unavailable"))</x:f>
      </x:c>
      <x:c r="S100" s="30" t="str">
        <x:f>IF(C100="","",IFERROR(INDEX(Credit!$R$9:$R$108,MATCH(F100,Credit!$C$9:$C$108,0)),"Unavailable"))</x:f>
      </x:c>
      <x:c r="T100" s="23" t="str">
        <x:f>IF(C100="","",IFERROR(IF(P100&gt;0,3,IF(OR(INDEX('Facilities'!$AD$9:$AD$108,MATCH(C100,'Facilities'!$C$9:$C$108,0))=2,AND(R100&gt;=INDEX('Facilities'!$L$9:$L$108,MATCH(C100,'Facilities'!$C$9:$C$108,0))*Settings!$F$19,R100-INDEX('Facilities'!$L$9:$L$108,MATCH(C100,'Facilities'!$C$9:$C$108,0))&gt;=Settings!$F$20)),2,1)),"Unavailable"))</x:f>
      </x:c>
      <x:c r="U100" s="23" t="str">
        <x:f>IF(C100="","",IF(AQ100&lt;&gt;"Ready","Unavailable",IF(C100="","",O100*(1-(1-S100)/(1+INDEX('Facilities'!$K$9:$K$108,MATCH(C100,'Facilities'!$C$9:$C$108,0)))^INDEX('Facilities'!$AK$9:$AK$108,MATCH(C100,'Facilities'!$C$9:$C$108,0)))*R100/(1+INDEX('Facilities'!$K$9:$K$108,MATCH(C100,'Facilities'!$C$9:$C$108,0)))*IF(ABS(1-(1-R100)*(1-INDEX('Facilities'!$R$9:$R$108,MATCH(C100,'Facilities'!$C$9:$C$108,0)))/(1+INDEX('Facilities'!$K$9:$K$108,MATCH(C100,'Facilities'!$C$9:$C$108,0))))&lt;0.000000001,IF(T100=1,MIN(1,AJ100),AJ100),(1-((1-R100)*(1-INDEX('Facilities'!$R$9:$R$108,MATCH(C100,'Facilities'!$C$9:$C$108,0)))/(1+INDEX('Facilities'!$K$9:$K$108,MATCH(C100,'Facilities'!$C$9:$C$108,0))))^IF(T100=1,MIN(1,AJ100),AJ100))/(1-(1-R100)*(1-INDEX('Facilities'!$R$9:$R$108,MATCH(C100,'Facilities'!$C$9:$C$108,0)))/(1+INDEX('Facilities'!$K$9:$K$108,MATCH(C100,'Facilities'!$C$9:$C$108,0)))))+AL100)))</x:f>
      </x:c>
      <x:c r="V100" s="23" t="str">
        <x:f>IF(C100="","",IF(AQ100&lt;&gt;"Ready","Unavailable",IF(C100="","",Q100*INDEX('Facilities'!$I$9:$I$108,MATCH(C100,'Facilities'!$C$9:$C$108,0))*(1-(1-S100)/(1+INDEX('Facilities'!$K$9:$K$108,MATCH(C100,'Facilities'!$C$9:$C$108,0)))^INDEX('Facilities'!$AK$9:$AK$108,MATCH(C100,'Facilities'!$C$9:$C$108,0)))*R100/(1+INDEX('Facilities'!$K$9:$K$108,MATCH(C100,'Facilities'!$C$9:$C$108,0)))*IF(ABS(1-(1-R100)*(1-0)/(1+INDEX('Facilities'!$K$9:$K$108,MATCH(C100,'Facilities'!$C$9:$C$108,0))))&lt;0.000000001,IF(T100=1,MIN(1,AJ100),AJ100),(1-((1-R100)*(1-0)/(1+INDEX('Facilities'!$K$9:$K$108,MATCH(C100,'Facilities'!$C$9:$C$108,0))))^IF(T100=1,MIN(1,AJ100),AJ100))/(1-(1-R100)*(1-0)/(1+INDEX('Facilities'!$K$9:$K$108,MATCH(C100,'Facilities'!$C$9:$C$108,0))))))))</x:f>
      </x:c>
      <x:c r="W100" s="23" t="str">
        <x:f>IF(C100="","",IFERROR(INDEX(ECL!$AB$9:$AB$108,MATCH(C100,ECL!$C$9:$C$108,0)),"Unavailable"))</x:f>
      </x:c>
      <x:c r="X100" s="23" t="str">
        <x:f>IF(C100="","",IFERROR(INDEX(ECL!$AC$9:$AC$108,MATCH(C100,ECL!$C$9:$C$108,0)),"Unavailable"))</x:f>
      </x:c>
      <x:c r="Y100" s="21" t="str">
        <x:f>IF(C100="","",IF(AQ100&lt;&gt;"Ready","Unavailable",IF(C100="","",U100-W100+V100-X100+N100+AG100)))</x:f>
      </x:c>
      <x:c r="Z100" s="23" t="str">
        <x:f>IF(C100="","",IF(AQ100&lt;&gt;"Ready","Unavailable",IF(C100="","",(G100+O100+L100)/2*INDEX('Facilities'!$T$9:$T$108,MATCH(C100,'Facilities'!$C$9:$C$108,0))+AG100)))</x:f>
      </x:c>
      <x:c r="AA100" s="23" t="str">
        <x:f>IF(C100="","",IF(AQ100&lt;&gt;"Ready","Unavailable",IF(C100="","",O100*(1-IF(INDEX('Facilities'!$AA$9:$AA$108,MATCH(C100,'Facilities'!$C$9:$C$108,0))=0,0,MIN(1,INDEX('Facilities'!$X$9:$X$108,MATCH(C100,'Facilities'!$C$9:$C$108,0))/INDEX('Facilities'!$AA$9:$AA$108,MATCH(C100,'Facilities'!$C$9:$C$108,0)))))*AF100+P100*(1-IF(INDEX('Facilities'!$AA$9:$AA$108,MATCH(C100,'Facilities'!$C$9:$C$108,0))=0,0,MIN(1,INDEX('Facilities'!$X$9:$X$108,MATCH(C100,'Facilities'!$C$9:$C$108,0))/INDEX('Facilities'!$AA$9:$AA$108,MATCH(C100,'Facilities'!$C$9:$C$108,0)))))*INDEX('Facilities'!$AJ$9:$AJ$108,MATCH(C100,'Facilities'!$C$9:$C$108,0))+Q100*INDEX('Facilities'!$AI$9:$AI$108,MATCH(C100,'Facilities'!$C$9:$C$108,0))*AF100)))</x:f>
      </x:c>
      <x:c r="AB100" s="21" t="str">
        <x:f>IF(C100="","",O100+P100-AD100)</x:f>
      </x:c>
      <x:c r="AC100" s="23" t="str">
        <x:f>IF(C100="","",IFERROR(IF(INDEX('Facilities'!$AD$9:$AD$108,MATCH(C100,'Facilities'!$C$9:$C$108,0))=3,0,IF(INDEX('Facilities'!$AN$9:$AN$108,MATCH(C100,'Facilities'!$C$9:$C$108,0))=0,-1,INDEX('Facilities'!$AN$9:$AN$108,MATCH(C100,'Facilities'!$C$9:$C$108,0)))),"Unavailable"))</x:f>
      </x:c>
      <x:c r="AD100" s="21" t="str">
        <x:f>IF(C100="","",IFERROR(G100+H100,"Unavailable"))</x:f>
      </x:c>
      <x:c r="AE100" s="21" t="str">
        <x:f>IF(C100="","",IF(AQ100&lt;&gt;"Ready","Unavailable",IF(C100="","",O100+P100-AD100-J100+K100+M100+N100)))</x:f>
      </x:c>
      <x:c r="AF100" s="30" t="str">
        <x:f>IF(C100="","",IFERROR(INDEX('Facilities'!$S$9:$S$108,MATCH(C100,'Facilities'!$C$9:$C$108,0))*'Scenario Paths'!F75,"Unavailable"))</x:f>
      </x:c>
      <x:c r="AG100" s="23" t="str">
        <x:f>IF(C100="","",IF(AQ100&lt;&gt;"Ready","Unavailable",IF(C100="","",IF(H100&gt;0,MAX(0,H100-AK100)*((1+INDEX('Facilities'!$K$9:$K$108,MATCH(C100,'Facilities'!$C$9:$C$108,0)))^MIN(1,MAX(0,AC100+INDEX('Facilities'!$AK$9:$AK$108,MATCH(C100,'Facilities'!$C$9:$C$108,0))-D100+1))-1),0))))</x:f>
      </x:c>
      <x:c r="AH100" s="21" t="str">
        <x:f>IF(C100="","",IF(AQ100&lt;&gt;"Ready","Unavailable",IF(C100="","",O100+P100)))</x:f>
      </x:c>
      <x:c r="AI100" s="21" t="str">
        <x:f>IF(C100="","",IF(AQ100&lt;&gt;"Ready","Unavailable",IF(C100="","",Z100-Y100)))</x:f>
      </x:c>
      <x:c r="AJ100" s="23" t="str">
        <x:f>IF(C100="","",IFERROR(MAX(0,INDEX('Facilities'!$J$9:$J$108,MATCH(C100,'Facilities'!$C$9:$C$108,0))-D100),"Unavailable"))</x:f>
      </x:c>
      <x:c r="AK100" s="23" t="str">
        <x:f>IF(C100="","",IFERROR(IF(INDEX('Facilities'!$AD$9:$AD$108,MATCH(C100,'Facilities'!$C$9:$C$108,0))=3,W100,0),"Unavailable"))</x:f>
      </x:c>
      <x:c r="AL100" s="23" t="str">
        <x:f>IF(C100="","",IFERROR(IF(P100&gt;0,P100*(1-AM100/(1+INDEX('Facilities'!$K$9:$K$108,MATCH(C100,'Facilities'!$C$9:$C$108,0)))^MAX(0,AC100+INDEX('Facilities'!$AK$9:$AK$108,MATCH(C100,'Facilities'!$C$9:$C$108,0))-D100)),0),"Unavailable"))</x:f>
      </x:c>
      <x:c r="AM100" s="30" t="str">
        <x:f>IF(C100="","",IFERROR(INDEX('Facilities'!$AL$9:$AL$108,MATCH(C100,'Facilities'!$C$9:$C$108,0)),"Unavailable"))</x:f>
      </x:c>
      <x:c r="AN100" s="30" t="str">
        <x:f>IF(C100="","",IFERROR(INDEX(Credit!$T$9:$T$108,MATCH(F100,Credit!$C$9:$C$108,0)),"Unavailable"))</x:f>
      </x:c>
      <x:c r="AO100" s="23" t="str">
        <x:f>IF(C100="","",IF(AQ100&lt;&gt;"Ready","Unavailable",IF(C100="","",O100+P100+Q100*INDEX('Facilities'!$I$9:$I$108,MATCH(C100,'Facilities'!$C$9:$C$108,0)))))</x:f>
      </x:c>
      <x:c r="AP100" s="21" t="str">
        <x:f>IF(C100="","",IF(AQ100&lt;&gt;"Ready","Unavailable",IF(C100="","",AH100-U100)))</x:f>
      </x:c>
      <x:c r="AQ100" s="23" t="str">
        <x:f>IFERROR(IF(C100="","",IF(AND(INDEX('Facilities'!$AF$9:$AF$108,MATCH(C100,'Facilities'!$C$9:$C$108,0))="Ready",INDEX(Credit!$U$9:$U$108,MATCH(F100,Credit!$C$9:$C$108,0))="Ready",ISNUMBER(W100)),"Ready","Review inputs")),"Review inputs")</x:f>
      </x:c>
      <x:c r="AR100" s="23" t="str">
        <x:f>IF(C100="","",IF(AQ100&lt;&gt;"Ready","Unavailable",IF(C100="","",IF(O100=0,0,(IF(AJ100&lt;=1,O100,O100*INDEX('Facilities'!$R$9:$R$108,MATCH(C100,'Facilities'!$C$9:$C$108,0)))+O100*INDEX('Facilities'!$T$9:$T$108,MATCH(C100,'Facilities'!$C$9:$C$108,0)))/12))))</x:f>
      </x:c>
    </x:row>
    <x:row r="101" ht="26" customHeight="1">
      <x:c r="A101" s="1"/>
      <x:c r="B101" s="1"/>
      <x:c r="C101" s="9" t="str">
        <x:f>IF(Facilities!C101="","",Facilities!C101)</x:f>
      </x:c>
      <x:c r="D101" s="3" t="n">
        <x:v>1</x:v>
      </x:c>
      <x:c r="E101" s="9" t="n">
        <x:f>Settings!$F$18+0</x:f>
        <x:v>2027</x:v>
      </x:c>
      <x:c r="F101" s="9" t="str">
        <x:f>IF(C101="","",IFERROR(INDEX('Facilities'!$D$9:$D$108,MATCH(C101,'Facilities'!$C$9:$C$108,0)),"Unavailable"))</x:f>
      </x:c>
      <x:c r="G101" s="23" t="str">
        <x:f>IF(C101="","",IFERROR(IF(INDEX('Facilities'!$AD$9:$AD$108,MATCH(C101,'Facilities'!$C$9:$C$108,0))=3,0,INDEX('Facilities'!$AA$9:$AA$108,MATCH(C101,'Facilities'!$C$9:$C$108,0))),"Unavailable"))</x:f>
      </x:c>
      <x:c r="H101" s="23" t="str">
        <x:f>IF(C101="","",IFERROR(IF(INDEX('Facilities'!$AD$9:$AD$108,MATCH(C101,'Facilities'!$C$9:$C$108,0))=3,INDEX('Facilities'!$AA$9:$AA$108,MATCH(C101,'Facilities'!$C$9:$C$108,0)),0),"Unavailable"))</x:f>
      </x:c>
      <x:c r="I101" s="23" t="str">
        <x:f>IF(C101="","",IFERROR(INDEX('Facilities'!$AB$9:$AB$108,MATCH(C101,'Facilities'!$C$9:$C$108,0)),"Unavailable"))</x:f>
      </x:c>
      <x:c r="J101" s="23" t="str">
        <x:f>IF(C101="","",IFERROR(IF(OR(H101&gt;0,AND(AC101&gt;=0,AC101&lt;D101),D101&gt;INDEX('Facilities'!$J$9:$J$108,MATCH(C101,'Facilities'!$C$9:$C$108,0))),0,I101*'Scenario Paths'!F81),"Unavailable"))</x:f>
      </x:c>
      <x:c r="K101" s="23" t="str">
        <x:f>IF(C101="","",IFERROR(IF(OR(H101&gt;0,AND(AC101&gt;=0,AC101=D101)),0,IF(D101&gt;=INDEX('Facilities'!$J$9:$J$108,MATCH(C101,'Facilities'!$C$9:$C$108,0)),G101+J101,MIN(G101+J101,G101*INDEX('Facilities'!$R$9:$R$108,MATCH(C101,'Facilities'!$C$9:$C$108,0))))),"Unavailable"))</x:f>
      </x:c>
      <x:c r="L101" s="21" t="str">
        <x:f>IF(C101="","",IFERROR(IF(AND(AC101=D101,AC101&gt;0),MAX(0,G101+J101-K101),0),"Unavailable"))</x:f>
      </x:c>
      <x:c r="M101" s="23" t="str">
        <x:f>IF(C101="","",IFERROR(IF(AND(AC101&gt;=0,D101&gt;=AC101+INDEX('Facilities'!$AK$9:$AK$108,MATCH(C101,'Facilities'!$C$9:$C$108,0))),(H101+L101)*AM101,0),"Unavailable"))</x:f>
      </x:c>
      <x:c r="N101" s="23" t="str">
        <x:f>IF(C101="","",IFERROR(IF(AND(AC101&gt;=0,D101&gt;=AC101+INDEX('Facilities'!$AK$9:$AK$108,MATCH(C101,'Facilities'!$C$9:$C$108,0))),H101+L101-M101,0),"Unavailable"))</x:f>
      </x:c>
      <x:c r="O101" s="21" t="str">
        <x:f>IF(C101="","",IFERROR(MAX(0,G101+J101-K101-L101),"Unavailable"))</x:f>
      </x:c>
      <x:c r="P101" s="21" t="str">
        <x:f>IF(C101="","",IFERROR(MAX(0,H101+L101-M101-N101),"Unavailable"))</x:f>
      </x:c>
      <x:c r="Q101" s="23" t="str">
        <x:f>IF(C101="","",IFERROR(IF(OR(D101&gt;=INDEX('Facilities'!$J$9:$J$108,MATCH(C101,'Facilities'!$C$9:$C$108,0)),AND(AC101&gt;=0,AC101&lt;=D101)),0,MAX(0,I101-J101)),"Unavailable"))</x:f>
      </x:c>
      <x:c r="R101" s="30" t="str">
        <x:f>IF(C101="","",IFERROR(INDEX(Credit!$Q$9:$Q$108,MATCH(F101,Credit!$C$9:$C$108,0)),"Unavailable"))</x:f>
      </x:c>
      <x:c r="S101" s="30" t="str">
        <x:f>IF(C101="","",IFERROR(INDEX(Credit!$R$9:$R$108,MATCH(F101,Credit!$C$9:$C$108,0)),"Unavailable"))</x:f>
      </x:c>
      <x:c r="T101" s="23" t="str">
        <x:f>IF(C101="","",IFERROR(IF(P101&gt;0,3,IF(OR(INDEX('Facilities'!$AD$9:$AD$108,MATCH(C101,'Facilities'!$C$9:$C$108,0))=2,AND(R101&gt;=INDEX('Facilities'!$L$9:$L$108,MATCH(C101,'Facilities'!$C$9:$C$108,0))*Settings!$F$19,R101-INDEX('Facilities'!$L$9:$L$108,MATCH(C101,'Facilities'!$C$9:$C$108,0))&gt;=Settings!$F$20)),2,1)),"Unavailable"))</x:f>
      </x:c>
      <x:c r="U101" s="23" t="str">
        <x:f>IF(C101="","",IF(AQ101&lt;&gt;"Ready","Unavailable",IF(C101="","",O101*(1-(1-S101)/(1+INDEX('Facilities'!$K$9:$K$108,MATCH(C101,'Facilities'!$C$9:$C$108,0)))^INDEX('Facilities'!$AK$9:$AK$108,MATCH(C101,'Facilities'!$C$9:$C$108,0)))*R101/(1+INDEX('Facilities'!$K$9:$K$108,MATCH(C101,'Facilities'!$C$9:$C$108,0)))*IF(ABS(1-(1-R101)*(1-INDEX('Facilities'!$R$9:$R$108,MATCH(C101,'Facilities'!$C$9:$C$108,0)))/(1+INDEX('Facilities'!$K$9:$K$108,MATCH(C101,'Facilities'!$C$9:$C$108,0))))&lt;0.000000001,IF(T101=1,MIN(1,AJ101),AJ101),(1-((1-R101)*(1-INDEX('Facilities'!$R$9:$R$108,MATCH(C101,'Facilities'!$C$9:$C$108,0)))/(1+INDEX('Facilities'!$K$9:$K$108,MATCH(C101,'Facilities'!$C$9:$C$108,0))))^IF(T101=1,MIN(1,AJ101),AJ101))/(1-(1-R101)*(1-INDEX('Facilities'!$R$9:$R$108,MATCH(C101,'Facilities'!$C$9:$C$108,0)))/(1+INDEX('Facilities'!$K$9:$K$108,MATCH(C101,'Facilities'!$C$9:$C$108,0)))))+AL101)))</x:f>
      </x:c>
      <x:c r="V101" s="23" t="str">
        <x:f>IF(C101="","",IF(AQ101&lt;&gt;"Ready","Unavailable",IF(C101="","",Q101*INDEX('Facilities'!$I$9:$I$108,MATCH(C101,'Facilities'!$C$9:$C$108,0))*(1-(1-S101)/(1+INDEX('Facilities'!$K$9:$K$108,MATCH(C101,'Facilities'!$C$9:$C$108,0)))^INDEX('Facilities'!$AK$9:$AK$108,MATCH(C101,'Facilities'!$C$9:$C$108,0)))*R101/(1+INDEX('Facilities'!$K$9:$K$108,MATCH(C101,'Facilities'!$C$9:$C$108,0)))*IF(ABS(1-(1-R101)*(1-0)/(1+INDEX('Facilities'!$K$9:$K$108,MATCH(C101,'Facilities'!$C$9:$C$108,0))))&lt;0.000000001,IF(T101=1,MIN(1,AJ101),AJ101),(1-((1-R101)*(1-0)/(1+INDEX('Facilities'!$K$9:$K$108,MATCH(C101,'Facilities'!$C$9:$C$108,0))))^IF(T101=1,MIN(1,AJ101),AJ101))/(1-(1-R101)*(1-0)/(1+INDEX('Facilities'!$K$9:$K$108,MATCH(C101,'Facilities'!$C$9:$C$108,0))))))))</x:f>
      </x:c>
      <x:c r="W101" s="23" t="str">
        <x:f>IF(C101="","",IFERROR(INDEX(ECL!$AB$9:$AB$108,MATCH(C101,ECL!$C$9:$C$108,0)),"Unavailable"))</x:f>
      </x:c>
      <x:c r="X101" s="23" t="str">
        <x:f>IF(C101="","",IFERROR(INDEX(ECL!$AC$9:$AC$108,MATCH(C101,ECL!$C$9:$C$108,0)),"Unavailable"))</x:f>
      </x:c>
      <x:c r="Y101" s="21" t="str">
        <x:f>IF(C101="","",IF(AQ101&lt;&gt;"Ready","Unavailable",IF(C101="","",U101-W101+V101-X101+N101+AG101)))</x:f>
      </x:c>
      <x:c r="Z101" s="23" t="str">
        <x:f>IF(C101="","",IF(AQ101&lt;&gt;"Ready","Unavailable",IF(C101="","",(G101+O101+L101)/2*INDEX('Facilities'!$T$9:$T$108,MATCH(C101,'Facilities'!$C$9:$C$108,0))+AG101)))</x:f>
      </x:c>
      <x:c r="AA101" s="23" t="str">
        <x:f>IF(C101="","",IF(AQ101&lt;&gt;"Ready","Unavailable",IF(C101="","",O101*(1-IF(INDEX('Facilities'!$AA$9:$AA$108,MATCH(C101,'Facilities'!$C$9:$C$108,0))=0,0,MIN(1,INDEX('Facilities'!$X$9:$X$108,MATCH(C101,'Facilities'!$C$9:$C$108,0))/INDEX('Facilities'!$AA$9:$AA$108,MATCH(C101,'Facilities'!$C$9:$C$108,0)))))*AF101+P101*(1-IF(INDEX('Facilities'!$AA$9:$AA$108,MATCH(C101,'Facilities'!$C$9:$C$108,0))=0,0,MIN(1,INDEX('Facilities'!$X$9:$X$108,MATCH(C101,'Facilities'!$C$9:$C$108,0))/INDEX('Facilities'!$AA$9:$AA$108,MATCH(C101,'Facilities'!$C$9:$C$108,0)))))*INDEX('Facilities'!$AJ$9:$AJ$108,MATCH(C101,'Facilities'!$C$9:$C$108,0))+Q101*INDEX('Facilities'!$AI$9:$AI$108,MATCH(C101,'Facilities'!$C$9:$C$108,0))*AF101)))</x:f>
      </x:c>
      <x:c r="AB101" s="21" t="str">
        <x:f>IF(C101="","",O101+P101-AD101)</x:f>
      </x:c>
      <x:c r="AC101" s="23" t="str">
        <x:f>IF(C101="","",IFERROR(IF(INDEX('Facilities'!$AD$9:$AD$108,MATCH(C101,'Facilities'!$C$9:$C$108,0))=3,0,IF(INDEX('Facilities'!$AN$9:$AN$108,MATCH(C101,'Facilities'!$C$9:$C$108,0))=0,-1,INDEX('Facilities'!$AN$9:$AN$108,MATCH(C101,'Facilities'!$C$9:$C$108,0)))),"Unavailable"))</x:f>
      </x:c>
      <x:c r="AD101" s="21" t="str">
        <x:f>IF(C101="","",IFERROR(G101+H101,"Unavailable"))</x:f>
      </x:c>
      <x:c r="AE101" s="21" t="str">
        <x:f>IF(C101="","",IF(AQ101&lt;&gt;"Ready","Unavailable",IF(C101="","",O101+P101-AD101-J101+K101+M101+N101)))</x:f>
      </x:c>
      <x:c r="AF101" s="30" t="str">
        <x:f>IF(C101="","",IFERROR(INDEX('Facilities'!$S$9:$S$108,MATCH(C101,'Facilities'!$C$9:$C$108,0))*'Scenario Paths'!F75,"Unavailable"))</x:f>
      </x:c>
      <x:c r="AG101" s="23" t="str">
        <x:f>IF(C101="","",IF(AQ101&lt;&gt;"Ready","Unavailable",IF(C101="","",IF(H101&gt;0,MAX(0,H101-AK101)*((1+INDEX('Facilities'!$K$9:$K$108,MATCH(C101,'Facilities'!$C$9:$C$108,0)))^MIN(1,MAX(0,AC101+INDEX('Facilities'!$AK$9:$AK$108,MATCH(C101,'Facilities'!$C$9:$C$108,0))-D101+1))-1),0))))</x:f>
      </x:c>
      <x:c r="AH101" s="21" t="str">
        <x:f>IF(C101="","",IF(AQ101&lt;&gt;"Ready","Unavailable",IF(C101="","",O101+P101)))</x:f>
      </x:c>
      <x:c r="AI101" s="21" t="str">
        <x:f>IF(C101="","",IF(AQ101&lt;&gt;"Ready","Unavailable",IF(C101="","",Z101-Y101)))</x:f>
      </x:c>
      <x:c r="AJ101" s="23" t="str">
        <x:f>IF(C101="","",IFERROR(MAX(0,INDEX('Facilities'!$J$9:$J$108,MATCH(C101,'Facilities'!$C$9:$C$108,0))-D101),"Unavailable"))</x:f>
      </x:c>
      <x:c r="AK101" s="23" t="str">
        <x:f>IF(C101="","",IFERROR(IF(INDEX('Facilities'!$AD$9:$AD$108,MATCH(C101,'Facilities'!$C$9:$C$108,0))=3,W101,0),"Unavailable"))</x:f>
      </x:c>
      <x:c r="AL101" s="23" t="str">
        <x:f>IF(C101="","",IFERROR(IF(P101&gt;0,P101*(1-AM101/(1+INDEX('Facilities'!$K$9:$K$108,MATCH(C101,'Facilities'!$C$9:$C$108,0)))^MAX(0,AC101+INDEX('Facilities'!$AK$9:$AK$108,MATCH(C101,'Facilities'!$C$9:$C$108,0))-D101)),0),"Unavailable"))</x:f>
      </x:c>
      <x:c r="AM101" s="30" t="str">
        <x:f>IF(C101="","",IFERROR(INDEX('Facilities'!$AL$9:$AL$108,MATCH(C101,'Facilities'!$C$9:$C$108,0)),"Unavailable"))</x:f>
      </x:c>
      <x:c r="AN101" s="30" t="str">
        <x:f>IF(C101="","",IFERROR(INDEX(Credit!$T$9:$T$108,MATCH(F101,Credit!$C$9:$C$108,0)),"Unavailable"))</x:f>
      </x:c>
      <x:c r="AO101" s="23" t="str">
        <x:f>IF(C101="","",IF(AQ101&lt;&gt;"Ready","Unavailable",IF(C101="","",O101+P101+Q101*INDEX('Facilities'!$I$9:$I$108,MATCH(C101,'Facilities'!$C$9:$C$108,0)))))</x:f>
      </x:c>
      <x:c r="AP101" s="21" t="str">
        <x:f>IF(C101="","",IF(AQ101&lt;&gt;"Ready","Unavailable",IF(C101="","",AH101-U101)))</x:f>
      </x:c>
      <x:c r="AQ101" s="23" t="str">
        <x:f>IFERROR(IF(C101="","",IF(AND(INDEX('Facilities'!$AF$9:$AF$108,MATCH(C101,'Facilities'!$C$9:$C$108,0))="Ready",INDEX(Credit!$U$9:$U$108,MATCH(F101,Credit!$C$9:$C$108,0))="Ready",ISNUMBER(W101)),"Ready","Review inputs")),"Review inputs")</x:f>
      </x:c>
      <x:c r="AR101" s="23" t="str">
        <x:f>IF(C101="","",IF(AQ101&lt;&gt;"Ready","Unavailable",IF(C101="","",IF(O101=0,0,(IF(AJ101&lt;=1,O101,O101*INDEX('Facilities'!$R$9:$R$108,MATCH(C101,'Facilities'!$C$9:$C$108,0)))+O101*INDEX('Facilities'!$T$9:$T$108,MATCH(C101,'Facilities'!$C$9:$C$108,0)))/12))))</x:f>
      </x:c>
    </x:row>
    <x:row r="102" ht="26" customHeight="1">
      <x:c r="A102" s="1"/>
      <x:c r="B102" s="1"/>
      <x:c r="C102" s="9" t="str">
        <x:f>IF(Facilities!C102="","",Facilities!C102)</x:f>
      </x:c>
      <x:c r="D102" s="3" t="n">
        <x:v>1</x:v>
      </x:c>
      <x:c r="E102" s="9" t="n">
        <x:f>Settings!$F$18+0</x:f>
        <x:v>2027</x:v>
      </x:c>
      <x:c r="F102" s="9" t="str">
        <x:f>IF(C102="","",IFERROR(INDEX('Facilities'!$D$9:$D$108,MATCH(C102,'Facilities'!$C$9:$C$108,0)),"Unavailable"))</x:f>
      </x:c>
      <x:c r="G102" s="23" t="str">
        <x:f>IF(C102="","",IFERROR(IF(INDEX('Facilities'!$AD$9:$AD$108,MATCH(C102,'Facilities'!$C$9:$C$108,0))=3,0,INDEX('Facilities'!$AA$9:$AA$108,MATCH(C102,'Facilities'!$C$9:$C$108,0))),"Unavailable"))</x:f>
      </x:c>
      <x:c r="H102" s="23" t="str">
        <x:f>IF(C102="","",IFERROR(IF(INDEX('Facilities'!$AD$9:$AD$108,MATCH(C102,'Facilities'!$C$9:$C$108,0))=3,INDEX('Facilities'!$AA$9:$AA$108,MATCH(C102,'Facilities'!$C$9:$C$108,0)),0),"Unavailable"))</x:f>
      </x:c>
      <x:c r="I102" s="23" t="str">
        <x:f>IF(C102="","",IFERROR(INDEX('Facilities'!$AB$9:$AB$108,MATCH(C102,'Facilities'!$C$9:$C$108,0)),"Unavailable"))</x:f>
      </x:c>
      <x:c r="J102" s="23" t="str">
        <x:f>IF(C102="","",IFERROR(IF(OR(H102&gt;0,AND(AC102&gt;=0,AC102&lt;D102),D102&gt;INDEX('Facilities'!$J$9:$J$108,MATCH(C102,'Facilities'!$C$9:$C$108,0))),0,I102*'Scenario Paths'!F81),"Unavailable"))</x:f>
      </x:c>
      <x:c r="K102" s="23" t="str">
        <x:f>IF(C102="","",IFERROR(IF(OR(H102&gt;0,AND(AC102&gt;=0,AC102=D102)),0,IF(D102&gt;=INDEX('Facilities'!$J$9:$J$108,MATCH(C102,'Facilities'!$C$9:$C$108,0)),G102+J102,MIN(G102+J102,G102*INDEX('Facilities'!$R$9:$R$108,MATCH(C102,'Facilities'!$C$9:$C$108,0))))),"Unavailable"))</x:f>
      </x:c>
      <x:c r="L102" s="21" t="str">
        <x:f>IF(C102="","",IFERROR(IF(AND(AC102=D102,AC102&gt;0),MAX(0,G102+J102-K102),0),"Unavailable"))</x:f>
      </x:c>
      <x:c r="M102" s="23" t="str">
        <x:f>IF(C102="","",IFERROR(IF(AND(AC102&gt;=0,D102&gt;=AC102+INDEX('Facilities'!$AK$9:$AK$108,MATCH(C102,'Facilities'!$C$9:$C$108,0))),(H102+L102)*AM102,0),"Unavailable"))</x:f>
      </x:c>
      <x:c r="N102" s="23" t="str">
        <x:f>IF(C102="","",IFERROR(IF(AND(AC102&gt;=0,D102&gt;=AC102+INDEX('Facilities'!$AK$9:$AK$108,MATCH(C102,'Facilities'!$C$9:$C$108,0))),H102+L102-M102,0),"Unavailable"))</x:f>
      </x:c>
      <x:c r="O102" s="21" t="str">
        <x:f>IF(C102="","",IFERROR(MAX(0,G102+J102-K102-L102),"Unavailable"))</x:f>
      </x:c>
      <x:c r="P102" s="21" t="str">
        <x:f>IF(C102="","",IFERROR(MAX(0,H102+L102-M102-N102),"Unavailable"))</x:f>
      </x:c>
      <x:c r="Q102" s="23" t="str">
        <x:f>IF(C102="","",IFERROR(IF(OR(D102&gt;=INDEX('Facilities'!$J$9:$J$108,MATCH(C102,'Facilities'!$C$9:$C$108,0)),AND(AC102&gt;=0,AC102&lt;=D102)),0,MAX(0,I102-J102)),"Unavailable"))</x:f>
      </x:c>
      <x:c r="R102" s="30" t="str">
        <x:f>IF(C102="","",IFERROR(INDEX(Credit!$Q$9:$Q$108,MATCH(F102,Credit!$C$9:$C$108,0)),"Unavailable"))</x:f>
      </x:c>
      <x:c r="S102" s="30" t="str">
        <x:f>IF(C102="","",IFERROR(INDEX(Credit!$R$9:$R$108,MATCH(F102,Credit!$C$9:$C$108,0)),"Unavailable"))</x:f>
      </x:c>
      <x:c r="T102" s="23" t="str">
        <x:f>IF(C102="","",IFERROR(IF(P102&gt;0,3,IF(OR(INDEX('Facilities'!$AD$9:$AD$108,MATCH(C102,'Facilities'!$C$9:$C$108,0))=2,AND(R102&gt;=INDEX('Facilities'!$L$9:$L$108,MATCH(C102,'Facilities'!$C$9:$C$108,0))*Settings!$F$19,R102-INDEX('Facilities'!$L$9:$L$108,MATCH(C102,'Facilities'!$C$9:$C$108,0))&gt;=Settings!$F$20)),2,1)),"Unavailable"))</x:f>
      </x:c>
      <x:c r="U102" s="23" t="str">
        <x:f>IF(C102="","",IF(AQ102&lt;&gt;"Ready","Unavailable",IF(C102="","",O102*(1-(1-S102)/(1+INDEX('Facilities'!$K$9:$K$108,MATCH(C102,'Facilities'!$C$9:$C$108,0)))^INDEX('Facilities'!$AK$9:$AK$108,MATCH(C102,'Facilities'!$C$9:$C$108,0)))*R102/(1+INDEX('Facilities'!$K$9:$K$108,MATCH(C102,'Facilities'!$C$9:$C$108,0)))*IF(ABS(1-(1-R102)*(1-INDEX('Facilities'!$R$9:$R$108,MATCH(C102,'Facilities'!$C$9:$C$108,0)))/(1+INDEX('Facilities'!$K$9:$K$108,MATCH(C102,'Facilities'!$C$9:$C$108,0))))&lt;0.000000001,IF(T102=1,MIN(1,AJ102),AJ102),(1-((1-R102)*(1-INDEX('Facilities'!$R$9:$R$108,MATCH(C102,'Facilities'!$C$9:$C$108,0)))/(1+INDEX('Facilities'!$K$9:$K$108,MATCH(C102,'Facilities'!$C$9:$C$108,0))))^IF(T102=1,MIN(1,AJ102),AJ102))/(1-(1-R102)*(1-INDEX('Facilities'!$R$9:$R$108,MATCH(C102,'Facilities'!$C$9:$C$108,0)))/(1+INDEX('Facilities'!$K$9:$K$108,MATCH(C102,'Facilities'!$C$9:$C$108,0)))))+AL102)))</x:f>
      </x:c>
      <x:c r="V102" s="23" t="str">
        <x:f>IF(C102="","",IF(AQ102&lt;&gt;"Ready","Unavailable",IF(C102="","",Q102*INDEX('Facilities'!$I$9:$I$108,MATCH(C102,'Facilities'!$C$9:$C$108,0))*(1-(1-S102)/(1+INDEX('Facilities'!$K$9:$K$108,MATCH(C102,'Facilities'!$C$9:$C$108,0)))^INDEX('Facilities'!$AK$9:$AK$108,MATCH(C102,'Facilities'!$C$9:$C$108,0)))*R102/(1+INDEX('Facilities'!$K$9:$K$108,MATCH(C102,'Facilities'!$C$9:$C$108,0)))*IF(ABS(1-(1-R102)*(1-0)/(1+INDEX('Facilities'!$K$9:$K$108,MATCH(C102,'Facilities'!$C$9:$C$108,0))))&lt;0.000000001,IF(T102=1,MIN(1,AJ102),AJ102),(1-((1-R102)*(1-0)/(1+INDEX('Facilities'!$K$9:$K$108,MATCH(C102,'Facilities'!$C$9:$C$108,0))))^IF(T102=1,MIN(1,AJ102),AJ102))/(1-(1-R102)*(1-0)/(1+INDEX('Facilities'!$K$9:$K$108,MATCH(C102,'Facilities'!$C$9:$C$108,0))))))))</x:f>
      </x:c>
      <x:c r="W102" s="23" t="str">
        <x:f>IF(C102="","",IFERROR(INDEX(ECL!$AB$9:$AB$108,MATCH(C102,ECL!$C$9:$C$108,0)),"Unavailable"))</x:f>
      </x:c>
      <x:c r="X102" s="23" t="str">
        <x:f>IF(C102="","",IFERROR(INDEX(ECL!$AC$9:$AC$108,MATCH(C102,ECL!$C$9:$C$108,0)),"Unavailable"))</x:f>
      </x:c>
      <x:c r="Y102" s="21" t="str">
        <x:f>IF(C102="","",IF(AQ102&lt;&gt;"Ready","Unavailable",IF(C102="","",U102-W102+V102-X102+N102+AG102)))</x:f>
      </x:c>
      <x:c r="Z102" s="23" t="str">
        <x:f>IF(C102="","",IF(AQ102&lt;&gt;"Ready","Unavailable",IF(C102="","",(G102+O102+L102)/2*INDEX('Facilities'!$T$9:$T$108,MATCH(C102,'Facilities'!$C$9:$C$108,0))+AG102)))</x:f>
      </x:c>
      <x:c r="AA102" s="23" t="str">
        <x:f>IF(C102="","",IF(AQ102&lt;&gt;"Ready","Unavailable",IF(C102="","",O102*(1-IF(INDEX('Facilities'!$AA$9:$AA$108,MATCH(C102,'Facilities'!$C$9:$C$108,0))=0,0,MIN(1,INDEX('Facilities'!$X$9:$X$108,MATCH(C102,'Facilities'!$C$9:$C$108,0))/INDEX('Facilities'!$AA$9:$AA$108,MATCH(C102,'Facilities'!$C$9:$C$108,0)))))*AF102+P102*(1-IF(INDEX('Facilities'!$AA$9:$AA$108,MATCH(C102,'Facilities'!$C$9:$C$108,0))=0,0,MIN(1,INDEX('Facilities'!$X$9:$X$108,MATCH(C102,'Facilities'!$C$9:$C$108,0))/INDEX('Facilities'!$AA$9:$AA$108,MATCH(C102,'Facilities'!$C$9:$C$108,0)))))*INDEX('Facilities'!$AJ$9:$AJ$108,MATCH(C102,'Facilities'!$C$9:$C$108,0))+Q102*INDEX('Facilities'!$AI$9:$AI$108,MATCH(C102,'Facilities'!$C$9:$C$108,0))*AF102)))</x:f>
      </x:c>
      <x:c r="AB102" s="21" t="str">
        <x:f>IF(C102="","",O102+P102-AD102)</x:f>
      </x:c>
      <x:c r="AC102" s="23" t="str">
        <x:f>IF(C102="","",IFERROR(IF(INDEX('Facilities'!$AD$9:$AD$108,MATCH(C102,'Facilities'!$C$9:$C$108,0))=3,0,IF(INDEX('Facilities'!$AN$9:$AN$108,MATCH(C102,'Facilities'!$C$9:$C$108,0))=0,-1,INDEX('Facilities'!$AN$9:$AN$108,MATCH(C102,'Facilities'!$C$9:$C$108,0)))),"Unavailable"))</x:f>
      </x:c>
      <x:c r="AD102" s="21" t="str">
        <x:f>IF(C102="","",IFERROR(G102+H102,"Unavailable"))</x:f>
      </x:c>
      <x:c r="AE102" s="21" t="str">
        <x:f>IF(C102="","",IF(AQ102&lt;&gt;"Ready","Unavailable",IF(C102="","",O102+P102-AD102-J102+K102+M102+N102)))</x:f>
      </x:c>
      <x:c r="AF102" s="30" t="str">
        <x:f>IF(C102="","",IFERROR(INDEX('Facilities'!$S$9:$S$108,MATCH(C102,'Facilities'!$C$9:$C$108,0))*'Scenario Paths'!F75,"Unavailable"))</x:f>
      </x:c>
      <x:c r="AG102" s="23" t="str">
        <x:f>IF(C102="","",IF(AQ102&lt;&gt;"Ready","Unavailable",IF(C102="","",IF(H102&gt;0,MAX(0,H102-AK102)*((1+INDEX('Facilities'!$K$9:$K$108,MATCH(C102,'Facilities'!$C$9:$C$108,0)))^MIN(1,MAX(0,AC102+INDEX('Facilities'!$AK$9:$AK$108,MATCH(C102,'Facilities'!$C$9:$C$108,0))-D102+1))-1),0))))</x:f>
      </x:c>
      <x:c r="AH102" s="21" t="str">
        <x:f>IF(C102="","",IF(AQ102&lt;&gt;"Ready","Unavailable",IF(C102="","",O102+P102)))</x:f>
      </x:c>
      <x:c r="AI102" s="21" t="str">
        <x:f>IF(C102="","",IF(AQ102&lt;&gt;"Ready","Unavailable",IF(C102="","",Z102-Y102)))</x:f>
      </x:c>
      <x:c r="AJ102" s="23" t="str">
        <x:f>IF(C102="","",IFERROR(MAX(0,INDEX('Facilities'!$J$9:$J$108,MATCH(C102,'Facilities'!$C$9:$C$108,0))-D102),"Unavailable"))</x:f>
      </x:c>
      <x:c r="AK102" s="23" t="str">
        <x:f>IF(C102="","",IFERROR(IF(INDEX('Facilities'!$AD$9:$AD$108,MATCH(C102,'Facilities'!$C$9:$C$108,0))=3,W102,0),"Unavailable"))</x:f>
      </x:c>
      <x:c r="AL102" s="23" t="str">
        <x:f>IF(C102="","",IFERROR(IF(P102&gt;0,P102*(1-AM102/(1+INDEX('Facilities'!$K$9:$K$108,MATCH(C102,'Facilities'!$C$9:$C$108,0)))^MAX(0,AC102+INDEX('Facilities'!$AK$9:$AK$108,MATCH(C102,'Facilities'!$C$9:$C$108,0))-D102)),0),"Unavailable"))</x:f>
      </x:c>
      <x:c r="AM102" s="30" t="str">
        <x:f>IF(C102="","",IFERROR(INDEX('Facilities'!$AL$9:$AL$108,MATCH(C102,'Facilities'!$C$9:$C$108,0)),"Unavailable"))</x:f>
      </x:c>
      <x:c r="AN102" s="30" t="str">
        <x:f>IF(C102="","",IFERROR(INDEX(Credit!$T$9:$T$108,MATCH(F102,Credit!$C$9:$C$108,0)),"Unavailable"))</x:f>
      </x:c>
      <x:c r="AO102" s="23" t="str">
        <x:f>IF(C102="","",IF(AQ102&lt;&gt;"Ready","Unavailable",IF(C102="","",O102+P102+Q102*INDEX('Facilities'!$I$9:$I$108,MATCH(C102,'Facilities'!$C$9:$C$108,0)))))</x:f>
      </x:c>
      <x:c r="AP102" s="21" t="str">
        <x:f>IF(C102="","",IF(AQ102&lt;&gt;"Ready","Unavailable",IF(C102="","",AH102-U102)))</x:f>
      </x:c>
      <x:c r="AQ102" s="23" t="str">
        <x:f>IFERROR(IF(C102="","",IF(AND(INDEX('Facilities'!$AF$9:$AF$108,MATCH(C102,'Facilities'!$C$9:$C$108,0))="Ready",INDEX(Credit!$U$9:$U$108,MATCH(F102,Credit!$C$9:$C$108,0))="Ready",ISNUMBER(W102)),"Ready","Review inputs")),"Review inputs")</x:f>
      </x:c>
      <x:c r="AR102" s="23" t="str">
        <x:f>IF(C102="","",IF(AQ102&lt;&gt;"Ready","Unavailable",IF(C102="","",IF(O102=0,0,(IF(AJ102&lt;=1,O102,O102*INDEX('Facilities'!$R$9:$R$108,MATCH(C102,'Facilities'!$C$9:$C$108,0)))+O102*INDEX('Facilities'!$T$9:$T$108,MATCH(C102,'Facilities'!$C$9:$C$108,0)))/12))))</x:f>
      </x:c>
    </x:row>
    <x:row r="103" ht="26" customHeight="1">
      <x:c r="A103" s="1"/>
      <x:c r="B103" s="1"/>
      <x:c r="C103" s="9" t="str">
        <x:f>IF(Facilities!C103="","",Facilities!C103)</x:f>
      </x:c>
      <x:c r="D103" s="3" t="n">
        <x:v>1</x:v>
      </x:c>
      <x:c r="E103" s="9" t="n">
        <x:f>Settings!$F$18+0</x:f>
        <x:v>2027</x:v>
      </x:c>
      <x:c r="F103" s="9" t="str">
        <x:f>IF(C103="","",IFERROR(INDEX('Facilities'!$D$9:$D$108,MATCH(C103,'Facilities'!$C$9:$C$108,0)),"Unavailable"))</x:f>
      </x:c>
      <x:c r="G103" s="23" t="str">
        <x:f>IF(C103="","",IFERROR(IF(INDEX('Facilities'!$AD$9:$AD$108,MATCH(C103,'Facilities'!$C$9:$C$108,0))=3,0,INDEX('Facilities'!$AA$9:$AA$108,MATCH(C103,'Facilities'!$C$9:$C$108,0))),"Unavailable"))</x:f>
      </x:c>
      <x:c r="H103" s="23" t="str">
        <x:f>IF(C103="","",IFERROR(IF(INDEX('Facilities'!$AD$9:$AD$108,MATCH(C103,'Facilities'!$C$9:$C$108,0))=3,INDEX('Facilities'!$AA$9:$AA$108,MATCH(C103,'Facilities'!$C$9:$C$108,0)),0),"Unavailable"))</x:f>
      </x:c>
      <x:c r="I103" s="23" t="str">
        <x:f>IF(C103="","",IFERROR(INDEX('Facilities'!$AB$9:$AB$108,MATCH(C103,'Facilities'!$C$9:$C$108,0)),"Unavailable"))</x:f>
      </x:c>
      <x:c r="J103" s="23" t="str">
        <x:f>IF(C103="","",IFERROR(IF(OR(H103&gt;0,AND(AC103&gt;=0,AC103&lt;D103),D103&gt;INDEX('Facilities'!$J$9:$J$108,MATCH(C103,'Facilities'!$C$9:$C$108,0))),0,I103*'Scenario Paths'!F81),"Unavailable"))</x:f>
      </x:c>
      <x:c r="K103" s="23" t="str">
        <x:f>IF(C103="","",IFERROR(IF(OR(H103&gt;0,AND(AC103&gt;=0,AC103=D103)),0,IF(D103&gt;=INDEX('Facilities'!$J$9:$J$108,MATCH(C103,'Facilities'!$C$9:$C$108,0)),G103+J103,MIN(G103+J103,G103*INDEX('Facilities'!$R$9:$R$108,MATCH(C103,'Facilities'!$C$9:$C$108,0))))),"Unavailable"))</x:f>
      </x:c>
      <x:c r="L103" s="21" t="str">
        <x:f>IF(C103="","",IFERROR(IF(AND(AC103=D103,AC103&gt;0),MAX(0,G103+J103-K103),0),"Unavailable"))</x:f>
      </x:c>
      <x:c r="M103" s="23" t="str">
        <x:f>IF(C103="","",IFERROR(IF(AND(AC103&gt;=0,D103&gt;=AC103+INDEX('Facilities'!$AK$9:$AK$108,MATCH(C103,'Facilities'!$C$9:$C$108,0))),(H103+L103)*AM103,0),"Unavailable"))</x:f>
      </x:c>
      <x:c r="N103" s="23" t="str">
        <x:f>IF(C103="","",IFERROR(IF(AND(AC103&gt;=0,D103&gt;=AC103+INDEX('Facilities'!$AK$9:$AK$108,MATCH(C103,'Facilities'!$C$9:$C$108,0))),H103+L103-M103,0),"Unavailable"))</x:f>
      </x:c>
      <x:c r="O103" s="21" t="str">
        <x:f>IF(C103="","",IFERROR(MAX(0,G103+J103-K103-L103),"Unavailable"))</x:f>
      </x:c>
      <x:c r="P103" s="21" t="str">
        <x:f>IF(C103="","",IFERROR(MAX(0,H103+L103-M103-N103),"Unavailable"))</x:f>
      </x:c>
      <x:c r="Q103" s="23" t="str">
        <x:f>IF(C103="","",IFERROR(IF(OR(D103&gt;=INDEX('Facilities'!$J$9:$J$108,MATCH(C103,'Facilities'!$C$9:$C$108,0)),AND(AC103&gt;=0,AC103&lt;=D103)),0,MAX(0,I103-J103)),"Unavailable"))</x:f>
      </x:c>
      <x:c r="R103" s="30" t="str">
        <x:f>IF(C103="","",IFERROR(INDEX(Credit!$Q$9:$Q$108,MATCH(F103,Credit!$C$9:$C$108,0)),"Unavailable"))</x:f>
      </x:c>
      <x:c r="S103" s="30" t="str">
        <x:f>IF(C103="","",IFERROR(INDEX(Credit!$R$9:$R$108,MATCH(F103,Credit!$C$9:$C$108,0)),"Unavailable"))</x:f>
      </x:c>
      <x:c r="T103" s="23" t="str">
        <x:f>IF(C103="","",IFERROR(IF(P103&gt;0,3,IF(OR(INDEX('Facilities'!$AD$9:$AD$108,MATCH(C103,'Facilities'!$C$9:$C$108,0))=2,AND(R103&gt;=INDEX('Facilities'!$L$9:$L$108,MATCH(C103,'Facilities'!$C$9:$C$108,0))*Settings!$F$19,R103-INDEX('Facilities'!$L$9:$L$108,MATCH(C103,'Facilities'!$C$9:$C$108,0))&gt;=Settings!$F$20)),2,1)),"Unavailable"))</x:f>
      </x:c>
      <x:c r="U103" s="23" t="str">
        <x:f>IF(C103="","",IF(AQ103&lt;&gt;"Ready","Unavailable",IF(C103="","",O103*(1-(1-S103)/(1+INDEX('Facilities'!$K$9:$K$108,MATCH(C103,'Facilities'!$C$9:$C$108,0)))^INDEX('Facilities'!$AK$9:$AK$108,MATCH(C103,'Facilities'!$C$9:$C$108,0)))*R103/(1+INDEX('Facilities'!$K$9:$K$108,MATCH(C103,'Facilities'!$C$9:$C$108,0)))*IF(ABS(1-(1-R103)*(1-INDEX('Facilities'!$R$9:$R$108,MATCH(C103,'Facilities'!$C$9:$C$108,0)))/(1+INDEX('Facilities'!$K$9:$K$108,MATCH(C103,'Facilities'!$C$9:$C$108,0))))&lt;0.000000001,IF(T103=1,MIN(1,AJ103),AJ103),(1-((1-R103)*(1-INDEX('Facilities'!$R$9:$R$108,MATCH(C103,'Facilities'!$C$9:$C$108,0)))/(1+INDEX('Facilities'!$K$9:$K$108,MATCH(C103,'Facilities'!$C$9:$C$108,0))))^IF(T103=1,MIN(1,AJ103),AJ103))/(1-(1-R103)*(1-INDEX('Facilities'!$R$9:$R$108,MATCH(C103,'Facilities'!$C$9:$C$108,0)))/(1+INDEX('Facilities'!$K$9:$K$108,MATCH(C103,'Facilities'!$C$9:$C$108,0)))))+AL103)))</x:f>
      </x:c>
      <x:c r="V103" s="23" t="str">
        <x:f>IF(C103="","",IF(AQ103&lt;&gt;"Ready","Unavailable",IF(C103="","",Q103*INDEX('Facilities'!$I$9:$I$108,MATCH(C103,'Facilities'!$C$9:$C$108,0))*(1-(1-S103)/(1+INDEX('Facilities'!$K$9:$K$108,MATCH(C103,'Facilities'!$C$9:$C$108,0)))^INDEX('Facilities'!$AK$9:$AK$108,MATCH(C103,'Facilities'!$C$9:$C$108,0)))*R103/(1+INDEX('Facilities'!$K$9:$K$108,MATCH(C103,'Facilities'!$C$9:$C$108,0)))*IF(ABS(1-(1-R103)*(1-0)/(1+INDEX('Facilities'!$K$9:$K$108,MATCH(C103,'Facilities'!$C$9:$C$108,0))))&lt;0.000000001,IF(T103=1,MIN(1,AJ103),AJ103),(1-((1-R103)*(1-0)/(1+INDEX('Facilities'!$K$9:$K$108,MATCH(C103,'Facilities'!$C$9:$C$108,0))))^IF(T103=1,MIN(1,AJ103),AJ103))/(1-(1-R103)*(1-0)/(1+INDEX('Facilities'!$K$9:$K$108,MATCH(C103,'Facilities'!$C$9:$C$108,0))))))))</x:f>
      </x:c>
      <x:c r="W103" s="23" t="str">
        <x:f>IF(C103="","",IFERROR(INDEX(ECL!$AB$9:$AB$108,MATCH(C103,ECL!$C$9:$C$108,0)),"Unavailable"))</x:f>
      </x:c>
      <x:c r="X103" s="23" t="str">
        <x:f>IF(C103="","",IFERROR(INDEX(ECL!$AC$9:$AC$108,MATCH(C103,ECL!$C$9:$C$108,0)),"Unavailable"))</x:f>
      </x:c>
      <x:c r="Y103" s="21" t="str">
        <x:f>IF(C103="","",IF(AQ103&lt;&gt;"Ready","Unavailable",IF(C103="","",U103-W103+V103-X103+N103+AG103)))</x:f>
      </x:c>
      <x:c r="Z103" s="23" t="str">
        <x:f>IF(C103="","",IF(AQ103&lt;&gt;"Ready","Unavailable",IF(C103="","",(G103+O103+L103)/2*INDEX('Facilities'!$T$9:$T$108,MATCH(C103,'Facilities'!$C$9:$C$108,0))+AG103)))</x:f>
      </x:c>
      <x:c r="AA103" s="23" t="str">
        <x:f>IF(C103="","",IF(AQ103&lt;&gt;"Ready","Unavailable",IF(C103="","",O103*(1-IF(INDEX('Facilities'!$AA$9:$AA$108,MATCH(C103,'Facilities'!$C$9:$C$108,0))=0,0,MIN(1,INDEX('Facilities'!$X$9:$X$108,MATCH(C103,'Facilities'!$C$9:$C$108,0))/INDEX('Facilities'!$AA$9:$AA$108,MATCH(C103,'Facilities'!$C$9:$C$108,0)))))*AF103+P103*(1-IF(INDEX('Facilities'!$AA$9:$AA$108,MATCH(C103,'Facilities'!$C$9:$C$108,0))=0,0,MIN(1,INDEX('Facilities'!$X$9:$X$108,MATCH(C103,'Facilities'!$C$9:$C$108,0))/INDEX('Facilities'!$AA$9:$AA$108,MATCH(C103,'Facilities'!$C$9:$C$108,0)))))*INDEX('Facilities'!$AJ$9:$AJ$108,MATCH(C103,'Facilities'!$C$9:$C$108,0))+Q103*INDEX('Facilities'!$AI$9:$AI$108,MATCH(C103,'Facilities'!$C$9:$C$108,0))*AF103)))</x:f>
      </x:c>
      <x:c r="AB103" s="21" t="str">
        <x:f>IF(C103="","",O103+P103-AD103)</x:f>
      </x:c>
      <x:c r="AC103" s="23" t="str">
        <x:f>IF(C103="","",IFERROR(IF(INDEX('Facilities'!$AD$9:$AD$108,MATCH(C103,'Facilities'!$C$9:$C$108,0))=3,0,IF(INDEX('Facilities'!$AN$9:$AN$108,MATCH(C103,'Facilities'!$C$9:$C$108,0))=0,-1,INDEX('Facilities'!$AN$9:$AN$108,MATCH(C103,'Facilities'!$C$9:$C$108,0)))),"Unavailable"))</x:f>
      </x:c>
      <x:c r="AD103" s="21" t="str">
        <x:f>IF(C103="","",IFERROR(G103+H103,"Unavailable"))</x:f>
      </x:c>
      <x:c r="AE103" s="21" t="str">
        <x:f>IF(C103="","",IF(AQ103&lt;&gt;"Ready","Unavailable",IF(C103="","",O103+P103-AD103-J103+K103+M103+N103)))</x:f>
      </x:c>
      <x:c r="AF103" s="30" t="str">
        <x:f>IF(C103="","",IFERROR(INDEX('Facilities'!$S$9:$S$108,MATCH(C103,'Facilities'!$C$9:$C$108,0))*'Scenario Paths'!F75,"Unavailable"))</x:f>
      </x:c>
      <x:c r="AG103" s="23" t="str">
        <x:f>IF(C103="","",IF(AQ103&lt;&gt;"Ready","Unavailable",IF(C103="","",IF(H103&gt;0,MAX(0,H103-AK103)*((1+INDEX('Facilities'!$K$9:$K$108,MATCH(C103,'Facilities'!$C$9:$C$108,0)))^MIN(1,MAX(0,AC103+INDEX('Facilities'!$AK$9:$AK$108,MATCH(C103,'Facilities'!$C$9:$C$108,0))-D103+1))-1),0))))</x:f>
      </x:c>
      <x:c r="AH103" s="21" t="str">
        <x:f>IF(C103="","",IF(AQ103&lt;&gt;"Ready","Unavailable",IF(C103="","",O103+P103)))</x:f>
      </x:c>
      <x:c r="AI103" s="21" t="str">
        <x:f>IF(C103="","",IF(AQ103&lt;&gt;"Ready","Unavailable",IF(C103="","",Z103-Y103)))</x:f>
      </x:c>
      <x:c r="AJ103" s="23" t="str">
        <x:f>IF(C103="","",IFERROR(MAX(0,INDEX('Facilities'!$J$9:$J$108,MATCH(C103,'Facilities'!$C$9:$C$108,0))-D103),"Unavailable"))</x:f>
      </x:c>
      <x:c r="AK103" s="23" t="str">
        <x:f>IF(C103="","",IFERROR(IF(INDEX('Facilities'!$AD$9:$AD$108,MATCH(C103,'Facilities'!$C$9:$C$108,0))=3,W103,0),"Unavailable"))</x:f>
      </x:c>
      <x:c r="AL103" s="23" t="str">
        <x:f>IF(C103="","",IFERROR(IF(P103&gt;0,P103*(1-AM103/(1+INDEX('Facilities'!$K$9:$K$108,MATCH(C103,'Facilities'!$C$9:$C$108,0)))^MAX(0,AC103+INDEX('Facilities'!$AK$9:$AK$108,MATCH(C103,'Facilities'!$C$9:$C$108,0))-D103)),0),"Unavailable"))</x:f>
      </x:c>
      <x:c r="AM103" s="30" t="str">
        <x:f>IF(C103="","",IFERROR(INDEX('Facilities'!$AL$9:$AL$108,MATCH(C103,'Facilities'!$C$9:$C$108,0)),"Unavailable"))</x:f>
      </x:c>
      <x:c r="AN103" s="30" t="str">
        <x:f>IF(C103="","",IFERROR(INDEX(Credit!$T$9:$T$108,MATCH(F103,Credit!$C$9:$C$108,0)),"Unavailable"))</x:f>
      </x:c>
      <x:c r="AO103" s="23" t="str">
        <x:f>IF(C103="","",IF(AQ103&lt;&gt;"Ready","Unavailable",IF(C103="","",O103+P103+Q103*INDEX('Facilities'!$I$9:$I$108,MATCH(C103,'Facilities'!$C$9:$C$108,0)))))</x:f>
      </x:c>
      <x:c r="AP103" s="21" t="str">
        <x:f>IF(C103="","",IF(AQ103&lt;&gt;"Ready","Unavailable",IF(C103="","",AH103-U103)))</x:f>
      </x:c>
      <x:c r="AQ103" s="23" t="str">
        <x:f>IFERROR(IF(C103="","",IF(AND(INDEX('Facilities'!$AF$9:$AF$108,MATCH(C103,'Facilities'!$C$9:$C$108,0))="Ready",INDEX(Credit!$U$9:$U$108,MATCH(F103,Credit!$C$9:$C$108,0))="Ready",ISNUMBER(W103)),"Ready","Review inputs")),"Review inputs")</x:f>
      </x:c>
      <x:c r="AR103" s="23" t="str">
        <x:f>IF(C103="","",IF(AQ103&lt;&gt;"Ready","Unavailable",IF(C103="","",IF(O103=0,0,(IF(AJ103&lt;=1,O103,O103*INDEX('Facilities'!$R$9:$R$108,MATCH(C103,'Facilities'!$C$9:$C$108,0)))+O103*INDEX('Facilities'!$T$9:$T$108,MATCH(C103,'Facilities'!$C$9:$C$108,0)))/12))))</x:f>
      </x:c>
    </x:row>
    <x:row r="104" ht="26" customHeight="1">
      <x:c r="A104" s="1"/>
      <x:c r="B104" s="1"/>
      <x:c r="C104" s="9" t="str">
        <x:f>IF(Facilities!C104="","",Facilities!C104)</x:f>
      </x:c>
      <x:c r="D104" s="3" t="n">
        <x:v>1</x:v>
      </x:c>
      <x:c r="E104" s="9" t="n">
        <x:f>Settings!$F$18+0</x:f>
        <x:v>2027</x:v>
      </x:c>
      <x:c r="F104" s="9" t="str">
        <x:f>IF(C104="","",IFERROR(INDEX('Facilities'!$D$9:$D$108,MATCH(C104,'Facilities'!$C$9:$C$108,0)),"Unavailable"))</x:f>
      </x:c>
      <x:c r="G104" s="23" t="str">
        <x:f>IF(C104="","",IFERROR(IF(INDEX('Facilities'!$AD$9:$AD$108,MATCH(C104,'Facilities'!$C$9:$C$108,0))=3,0,INDEX('Facilities'!$AA$9:$AA$108,MATCH(C104,'Facilities'!$C$9:$C$108,0))),"Unavailable"))</x:f>
      </x:c>
      <x:c r="H104" s="23" t="str">
        <x:f>IF(C104="","",IFERROR(IF(INDEX('Facilities'!$AD$9:$AD$108,MATCH(C104,'Facilities'!$C$9:$C$108,0))=3,INDEX('Facilities'!$AA$9:$AA$108,MATCH(C104,'Facilities'!$C$9:$C$108,0)),0),"Unavailable"))</x:f>
      </x:c>
      <x:c r="I104" s="23" t="str">
        <x:f>IF(C104="","",IFERROR(INDEX('Facilities'!$AB$9:$AB$108,MATCH(C104,'Facilities'!$C$9:$C$108,0)),"Unavailable"))</x:f>
      </x:c>
      <x:c r="J104" s="23" t="str">
        <x:f>IF(C104="","",IFERROR(IF(OR(H104&gt;0,AND(AC104&gt;=0,AC104&lt;D104),D104&gt;INDEX('Facilities'!$J$9:$J$108,MATCH(C104,'Facilities'!$C$9:$C$108,0))),0,I104*'Scenario Paths'!F81),"Unavailable"))</x:f>
      </x:c>
      <x:c r="K104" s="23" t="str">
        <x:f>IF(C104="","",IFERROR(IF(OR(H104&gt;0,AND(AC104&gt;=0,AC104=D104)),0,IF(D104&gt;=INDEX('Facilities'!$J$9:$J$108,MATCH(C104,'Facilities'!$C$9:$C$108,0)),G104+J104,MIN(G104+J104,G104*INDEX('Facilities'!$R$9:$R$108,MATCH(C104,'Facilities'!$C$9:$C$108,0))))),"Unavailable"))</x:f>
      </x:c>
      <x:c r="L104" s="21" t="str">
        <x:f>IF(C104="","",IFERROR(IF(AND(AC104=D104,AC104&gt;0),MAX(0,G104+J104-K104),0),"Unavailable"))</x:f>
      </x:c>
      <x:c r="M104" s="23" t="str">
        <x:f>IF(C104="","",IFERROR(IF(AND(AC104&gt;=0,D104&gt;=AC104+INDEX('Facilities'!$AK$9:$AK$108,MATCH(C104,'Facilities'!$C$9:$C$108,0))),(H104+L104)*AM104,0),"Unavailable"))</x:f>
      </x:c>
      <x:c r="N104" s="23" t="str">
        <x:f>IF(C104="","",IFERROR(IF(AND(AC104&gt;=0,D104&gt;=AC104+INDEX('Facilities'!$AK$9:$AK$108,MATCH(C104,'Facilities'!$C$9:$C$108,0))),H104+L104-M104,0),"Unavailable"))</x:f>
      </x:c>
      <x:c r="O104" s="21" t="str">
        <x:f>IF(C104="","",IFERROR(MAX(0,G104+J104-K104-L104),"Unavailable"))</x:f>
      </x:c>
      <x:c r="P104" s="21" t="str">
        <x:f>IF(C104="","",IFERROR(MAX(0,H104+L104-M104-N104),"Unavailable"))</x:f>
      </x:c>
      <x:c r="Q104" s="23" t="str">
        <x:f>IF(C104="","",IFERROR(IF(OR(D104&gt;=INDEX('Facilities'!$J$9:$J$108,MATCH(C104,'Facilities'!$C$9:$C$108,0)),AND(AC104&gt;=0,AC104&lt;=D104)),0,MAX(0,I104-J104)),"Unavailable"))</x:f>
      </x:c>
      <x:c r="R104" s="30" t="str">
        <x:f>IF(C104="","",IFERROR(INDEX(Credit!$Q$9:$Q$108,MATCH(F104,Credit!$C$9:$C$108,0)),"Unavailable"))</x:f>
      </x:c>
      <x:c r="S104" s="30" t="str">
        <x:f>IF(C104="","",IFERROR(INDEX(Credit!$R$9:$R$108,MATCH(F104,Credit!$C$9:$C$108,0)),"Unavailable"))</x:f>
      </x:c>
      <x:c r="T104" s="23" t="str">
        <x:f>IF(C104="","",IFERROR(IF(P104&gt;0,3,IF(OR(INDEX('Facilities'!$AD$9:$AD$108,MATCH(C104,'Facilities'!$C$9:$C$108,0))=2,AND(R104&gt;=INDEX('Facilities'!$L$9:$L$108,MATCH(C104,'Facilities'!$C$9:$C$108,0))*Settings!$F$19,R104-INDEX('Facilities'!$L$9:$L$108,MATCH(C104,'Facilities'!$C$9:$C$108,0))&gt;=Settings!$F$20)),2,1)),"Unavailable"))</x:f>
      </x:c>
      <x:c r="U104" s="23" t="str">
        <x:f>IF(C104="","",IF(AQ104&lt;&gt;"Ready","Unavailable",IF(C104="","",O104*(1-(1-S104)/(1+INDEX('Facilities'!$K$9:$K$108,MATCH(C104,'Facilities'!$C$9:$C$108,0)))^INDEX('Facilities'!$AK$9:$AK$108,MATCH(C104,'Facilities'!$C$9:$C$108,0)))*R104/(1+INDEX('Facilities'!$K$9:$K$108,MATCH(C104,'Facilities'!$C$9:$C$108,0)))*IF(ABS(1-(1-R104)*(1-INDEX('Facilities'!$R$9:$R$108,MATCH(C104,'Facilities'!$C$9:$C$108,0)))/(1+INDEX('Facilities'!$K$9:$K$108,MATCH(C104,'Facilities'!$C$9:$C$108,0))))&lt;0.000000001,IF(T104=1,MIN(1,AJ104),AJ104),(1-((1-R104)*(1-INDEX('Facilities'!$R$9:$R$108,MATCH(C104,'Facilities'!$C$9:$C$108,0)))/(1+INDEX('Facilities'!$K$9:$K$108,MATCH(C104,'Facilities'!$C$9:$C$108,0))))^IF(T104=1,MIN(1,AJ104),AJ104))/(1-(1-R104)*(1-INDEX('Facilities'!$R$9:$R$108,MATCH(C104,'Facilities'!$C$9:$C$108,0)))/(1+INDEX('Facilities'!$K$9:$K$108,MATCH(C104,'Facilities'!$C$9:$C$108,0)))))+AL104)))</x:f>
      </x:c>
      <x:c r="V104" s="23" t="str">
        <x:f>IF(C104="","",IF(AQ104&lt;&gt;"Ready","Unavailable",IF(C104="","",Q104*INDEX('Facilities'!$I$9:$I$108,MATCH(C104,'Facilities'!$C$9:$C$108,0))*(1-(1-S104)/(1+INDEX('Facilities'!$K$9:$K$108,MATCH(C104,'Facilities'!$C$9:$C$108,0)))^INDEX('Facilities'!$AK$9:$AK$108,MATCH(C104,'Facilities'!$C$9:$C$108,0)))*R104/(1+INDEX('Facilities'!$K$9:$K$108,MATCH(C104,'Facilities'!$C$9:$C$108,0)))*IF(ABS(1-(1-R104)*(1-0)/(1+INDEX('Facilities'!$K$9:$K$108,MATCH(C104,'Facilities'!$C$9:$C$108,0))))&lt;0.000000001,IF(T104=1,MIN(1,AJ104),AJ104),(1-((1-R104)*(1-0)/(1+INDEX('Facilities'!$K$9:$K$108,MATCH(C104,'Facilities'!$C$9:$C$108,0))))^IF(T104=1,MIN(1,AJ104),AJ104))/(1-(1-R104)*(1-0)/(1+INDEX('Facilities'!$K$9:$K$108,MATCH(C104,'Facilities'!$C$9:$C$108,0))))))))</x:f>
      </x:c>
      <x:c r="W104" s="23" t="str">
        <x:f>IF(C104="","",IFERROR(INDEX(ECL!$AB$9:$AB$108,MATCH(C104,ECL!$C$9:$C$108,0)),"Unavailable"))</x:f>
      </x:c>
      <x:c r="X104" s="23" t="str">
        <x:f>IF(C104="","",IFERROR(INDEX(ECL!$AC$9:$AC$108,MATCH(C104,ECL!$C$9:$C$108,0)),"Unavailable"))</x:f>
      </x:c>
      <x:c r="Y104" s="21" t="str">
        <x:f>IF(C104="","",IF(AQ104&lt;&gt;"Ready","Unavailable",IF(C104="","",U104-W104+V104-X104+N104+AG104)))</x:f>
      </x:c>
      <x:c r="Z104" s="23" t="str">
        <x:f>IF(C104="","",IF(AQ104&lt;&gt;"Ready","Unavailable",IF(C104="","",(G104+O104+L104)/2*INDEX('Facilities'!$T$9:$T$108,MATCH(C104,'Facilities'!$C$9:$C$108,0))+AG104)))</x:f>
      </x:c>
      <x:c r="AA104" s="23" t="str">
        <x:f>IF(C104="","",IF(AQ104&lt;&gt;"Ready","Unavailable",IF(C104="","",O104*(1-IF(INDEX('Facilities'!$AA$9:$AA$108,MATCH(C104,'Facilities'!$C$9:$C$108,0))=0,0,MIN(1,INDEX('Facilities'!$X$9:$X$108,MATCH(C104,'Facilities'!$C$9:$C$108,0))/INDEX('Facilities'!$AA$9:$AA$108,MATCH(C104,'Facilities'!$C$9:$C$108,0)))))*AF104+P104*(1-IF(INDEX('Facilities'!$AA$9:$AA$108,MATCH(C104,'Facilities'!$C$9:$C$108,0))=0,0,MIN(1,INDEX('Facilities'!$X$9:$X$108,MATCH(C104,'Facilities'!$C$9:$C$108,0))/INDEX('Facilities'!$AA$9:$AA$108,MATCH(C104,'Facilities'!$C$9:$C$108,0)))))*INDEX('Facilities'!$AJ$9:$AJ$108,MATCH(C104,'Facilities'!$C$9:$C$108,0))+Q104*INDEX('Facilities'!$AI$9:$AI$108,MATCH(C104,'Facilities'!$C$9:$C$108,0))*AF104)))</x:f>
      </x:c>
      <x:c r="AB104" s="21" t="str">
        <x:f>IF(C104="","",O104+P104-AD104)</x:f>
      </x:c>
      <x:c r="AC104" s="23" t="str">
        <x:f>IF(C104="","",IFERROR(IF(INDEX('Facilities'!$AD$9:$AD$108,MATCH(C104,'Facilities'!$C$9:$C$108,0))=3,0,IF(INDEX('Facilities'!$AN$9:$AN$108,MATCH(C104,'Facilities'!$C$9:$C$108,0))=0,-1,INDEX('Facilities'!$AN$9:$AN$108,MATCH(C104,'Facilities'!$C$9:$C$108,0)))),"Unavailable"))</x:f>
      </x:c>
      <x:c r="AD104" s="21" t="str">
        <x:f>IF(C104="","",IFERROR(G104+H104,"Unavailable"))</x:f>
      </x:c>
      <x:c r="AE104" s="21" t="str">
        <x:f>IF(C104="","",IF(AQ104&lt;&gt;"Ready","Unavailable",IF(C104="","",O104+P104-AD104-J104+K104+M104+N104)))</x:f>
      </x:c>
      <x:c r="AF104" s="30" t="str">
        <x:f>IF(C104="","",IFERROR(INDEX('Facilities'!$S$9:$S$108,MATCH(C104,'Facilities'!$C$9:$C$108,0))*'Scenario Paths'!F75,"Unavailable"))</x:f>
      </x:c>
      <x:c r="AG104" s="23" t="str">
        <x:f>IF(C104="","",IF(AQ104&lt;&gt;"Ready","Unavailable",IF(C104="","",IF(H104&gt;0,MAX(0,H104-AK104)*((1+INDEX('Facilities'!$K$9:$K$108,MATCH(C104,'Facilities'!$C$9:$C$108,0)))^MIN(1,MAX(0,AC104+INDEX('Facilities'!$AK$9:$AK$108,MATCH(C104,'Facilities'!$C$9:$C$108,0))-D104+1))-1),0))))</x:f>
      </x:c>
      <x:c r="AH104" s="21" t="str">
        <x:f>IF(C104="","",IF(AQ104&lt;&gt;"Ready","Unavailable",IF(C104="","",O104+P104)))</x:f>
      </x:c>
      <x:c r="AI104" s="21" t="str">
        <x:f>IF(C104="","",IF(AQ104&lt;&gt;"Ready","Unavailable",IF(C104="","",Z104-Y104)))</x:f>
      </x:c>
      <x:c r="AJ104" s="23" t="str">
        <x:f>IF(C104="","",IFERROR(MAX(0,INDEX('Facilities'!$J$9:$J$108,MATCH(C104,'Facilities'!$C$9:$C$108,0))-D104),"Unavailable"))</x:f>
      </x:c>
      <x:c r="AK104" s="23" t="str">
        <x:f>IF(C104="","",IFERROR(IF(INDEX('Facilities'!$AD$9:$AD$108,MATCH(C104,'Facilities'!$C$9:$C$108,0))=3,W104,0),"Unavailable"))</x:f>
      </x:c>
      <x:c r="AL104" s="23" t="str">
        <x:f>IF(C104="","",IFERROR(IF(P104&gt;0,P104*(1-AM104/(1+INDEX('Facilities'!$K$9:$K$108,MATCH(C104,'Facilities'!$C$9:$C$108,0)))^MAX(0,AC104+INDEX('Facilities'!$AK$9:$AK$108,MATCH(C104,'Facilities'!$C$9:$C$108,0))-D104)),0),"Unavailable"))</x:f>
      </x:c>
      <x:c r="AM104" s="30" t="str">
        <x:f>IF(C104="","",IFERROR(INDEX('Facilities'!$AL$9:$AL$108,MATCH(C104,'Facilities'!$C$9:$C$108,0)),"Unavailable"))</x:f>
      </x:c>
      <x:c r="AN104" s="30" t="str">
        <x:f>IF(C104="","",IFERROR(INDEX(Credit!$T$9:$T$108,MATCH(F104,Credit!$C$9:$C$108,0)),"Unavailable"))</x:f>
      </x:c>
      <x:c r="AO104" s="23" t="str">
        <x:f>IF(C104="","",IF(AQ104&lt;&gt;"Ready","Unavailable",IF(C104="","",O104+P104+Q104*INDEX('Facilities'!$I$9:$I$108,MATCH(C104,'Facilities'!$C$9:$C$108,0)))))</x:f>
      </x:c>
      <x:c r="AP104" s="21" t="str">
        <x:f>IF(C104="","",IF(AQ104&lt;&gt;"Ready","Unavailable",IF(C104="","",AH104-U104)))</x:f>
      </x:c>
      <x:c r="AQ104" s="23" t="str">
        <x:f>IFERROR(IF(C104="","",IF(AND(INDEX('Facilities'!$AF$9:$AF$108,MATCH(C104,'Facilities'!$C$9:$C$108,0))="Ready",INDEX(Credit!$U$9:$U$108,MATCH(F104,Credit!$C$9:$C$108,0))="Ready",ISNUMBER(W104)),"Ready","Review inputs")),"Review inputs")</x:f>
      </x:c>
      <x:c r="AR104" s="23" t="str">
        <x:f>IF(C104="","",IF(AQ104&lt;&gt;"Ready","Unavailable",IF(C104="","",IF(O104=0,0,(IF(AJ104&lt;=1,O104,O104*INDEX('Facilities'!$R$9:$R$108,MATCH(C104,'Facilities'!$C$9:$C$108,0)))+O104*INDEX('Facilities'!$T$9:$T$108,MATCH(C104,'Facilities'!$C$9:$C$108,0)))/12))))</x:f>
      </x:c>
    </x:row>
    <x:row r="105" ht="26" customHeight="1">
      <x:c r="A105" s="1"/>
      <x:c r="B105" s="1"/>
      <x:c r="C105" s="9" t="str">
        <x:f>IF(Facilities!C105="","",Facilities!C105)</x:f>
      </x:c>
      <x:c r="D105" s="3" t="n">
        <x:v>1</x:v>
      </x:c>
      <x:c r="E105" s="9" t="n">
        <x:f>Settings!$F$18+0</x:f>
        <x:v>2027</x:v>
      </x:c>
      <x:c r="F105" s="9" t="str">
        <x:f>IF(C105="","",IFERROR(INDEX('Facilities'!$D$9:$D$108,MATCH(C105,'Facilities'!$C$9:$C$108,0)),"Unavailable"))</x:f>
      </x:c>
      <x:c r="G105" s="23" t="str">
        <x:f>IF(C105="","",IFERROR(IF(INDEX('Facilities'!$AD$9:$AD$108,MATCH(C105,'Facilities'!$C$9:$C$108,0))=3,0,INDEX('Facilities'!$AA$9:$AA$108,MATCH(C105,'Facilities'!$C$9:$C$108,0))),"Unavailable"))</x:f>
      </x:c>
      <x:c r="H105" s="23" t="str">
        <x:f>IF(C105="","",IFERROR(IF(INDEX('Facilities'!$AD$9:$AD$108,MATCH(C105,'Facilities'!$C$9:$C$108,0))=3,INDEX('Facilities'!$AA$9:$AA$108,MATCH(C105,'Facilities'!$C$9:$C$108,0)),0),"Unavailable"))</x:f>
      </x:c>
      <x:c r="I105" s="23" t="str">
        <x:f>IF(C105="","",IFERROR(INDEX('Facilities'!$AB$9:$AB$108,MATCH(C105,'Facilities'!$C$9:$C$108,0)),"Unavailable"))</x:f>
      </x:c>
      <x:c r="J105" s="23" t="str">
        <x:f>IF(C105="","",IFERROR(IF(OR(H105&gt;0,AND(AC105&gt;=0,AC105&lt;D105),D105&gt;INDEX('Facilities'!$J$9:$J$108,MATCH(C105,'Facilities'!$C$9:$C$108,0))),0,I105*'Scenario Paths'!F81),"Unavailable"))</x:f>
      </x:c>
      <x:c r="K105" s="23" t="str">
        <x:f>IF(C105="","",IFERROR(IF(OR(H105&gt;0,AND(AC105&gt;=0,AC105=D105)),0,IF(D105&gt;=INDEX('Facilities'!$J$9:$J$108,MATCH(C105,'Facilities'!$C$9:$C$108,0)),G105+J105,MIN(G105+J105,G105*INDEX('Facilities'!$R$9:$R$108,MATCH(C105,'Facilities'!$C$9:$C$108,0))))),"Unavailable"))</x:f>
      </x:c>
      <x:c r="L105" s="21" t="str">
        <x:f>IF(C105="","",IFERROR(IF(AND(AC105=D105,AC105&gt;0),MAX(0,G105+J105-K105),0),"Unavailable"))</x:f>
      </x:c>
      <x:c r="M105" s="23" t="str">
        <x:f>IF(C105="","",IFERROR(IF(AND(AC105&gt;=0,D105&gt;=AC105+INDEX('Facilities'!$AK$9:$AK$108,MATCH(C105,'Facilities'!$C$9:$C$108,0))),(H105+L105)*AM105,0),"Unavailable"))</x:f>
      </x:c>
      <x:c r="N105" s="23" t="str">
        <x:f>IF(C105="","",IFERROR(IF(AND(AC105&gt;=0,D105&gt;=AC105+INDEX('Facilities'!$AK$9:$AK$108,MATCH(C105,'Facilities'!$C$9:$C$108,0))),H105+L105-M105,0),"Unavailable"))</x:f>
      </x:c>
      <x:c r="O105" s="21" t="str">
        <x:f>IF(C105="","",IFERROR(MAX(0,G105+J105-K105-L105),"Unavailable"))</x:f>
      </x:c>
      <x:c r="P105" s="21" t="str">
        <x:f>IF(C105="","",IFERROR(MAX(0,H105+L105-M105-N105),"Unavailable"))</x:f>
      </x:c>
      <x:c r="Q105" s="23" t="str">
        <x:f>IF(C105="","",IFERROR(IF(OR(D105&gt;=INDEX('Facilities'!$J$9:$J$108,MATCH(C105,'Facilities'!$C$9:$C$108,0)),AND(AC105&gt;=0,AC105&lt;=D105)),0,MAX(0,I105-J105)),"Unavailable"))</x:f>
      </x:c>
      <x:c r="R105" s="30" t="str">
        <x:f>IF(C105="","",IFERROR(INDEX(Credit!$Q$9:$Q$108,MATCH(F105,Credit!$C$9:$C$108,0)),"Unavailable"))</x:f>
      </x:c>
      <x:c r="S105" s="30" t="str">
        <x:f>IF(C105="","",IFERROR(INDEX(Credit!$R$9:$R$108,MATCH(F105,Credit!$C$9:$C$108,0)),"Unavailable"))</x:f>
      </x:c>
      <x:c r="T105" s="23" t="str">
        <x:f>IF(C105="","",IFERROR(IF(P105&gt;0,3,IF(OR(INDEX('Facilities'!$AD$9:$AD$108,MATCH(C105,'Facilities'!$C$9:$C$108,0))=2,AND(R105&gt;=INDEX('Facilities'!$L$9:$L$108,MATCH(C105,'Facilities'!$C$9:$C$108,0))*Settings!$F$19,R105-INDEX('Facilities'!$L$9:$L$108,MATCH(C105,'Facilities'!$C$9:$C$108,0))&gt;=Settings!$F$20)),2,1)),"Unavailable"))</x:f>
      </x:c>
      <x:c r="U105" s="23" t="str">
        <x:f>IF(C105="","",IF(AQ105&lt;&gt;"Ready","Unavailable",IF(C105="","",O105*(1-(1-S105)/(1+INDEX('Facilities'!$K$9:$K$108,MATCH(C105,'Facilities'!$C$9:$C$108,0)))^INDEX('Facilities'!$AK$9:$AK$108,MATCH(C105,'Facilities'!$C$9:$C$108,0)))*R105/(1+INDEX('Facilities'!$K$9:$K$108,MATCH(C105,'Facilities'!$C$9:$C$108,0)))*IF(ABS(1-(1-R105)*(1-INDEX('Facilities'!$R$9:$R$108,MATCH(C105,'Facilities'!$C$9:$C$108,0)))/(1+INDEX('Facilities'!$K$9:$K$108,MATCH(C105,'Facilities'!$C$9:$C$108,0))))&lt;0.000000001,IF(T105=1,MIN(1,AJ105),AJ105),(1-((1-R105)*(1-INDEX('Facilities'!$R$9:$R$108,MATCH(C105,'Facilities'!$C$9:$C$108,0)))/(1+INDEX('Facilities'!$K$9:$K$108,MATCH(C105,'Facilities'!$C$9:$C$108,0))))^IF(T105=1,MIN(1,AJ105),AJ105))/(1-(1-R105)*(1-INDEX('Facilities'!$R$9:$R$108,MATCH(C105,'Facilities'!$C$9:$C$108,0)))/(1+INDEX('Facilities'!$K$9:$K$108,MATCH(C105,'Facilities'!$C$9:$C$108,0)))))+AL105)))</x:f>
      </x:c>
      <x:c r="V105" s="23" t="str">
        <x:f>IF(C105="","",IF(AQ105&lt;&gt;"Ready","Unavailable",IF(C105="","",Q105*INDEX('Facilities'!$I$9:$I$108,MATCH(C105,'Facilities'!$C$9:$C$108,0))*(1-(1-S105)/(1+INDEX('Facilities'!$K$9:$K$108,MATCH(C105,'Facilities'!$C$9:$C$108,0)))^INDEX('Facilities'!$AK$9:$AK$108,MATCH(C105,'Facilities'!$C$9:$C$108,0)))*R105/(1+INDEX('Facilities'!$K$9:$K$108,MATCH(C105,'Facilities'!$C$9:$C$108,0)))*IF(ABS(1-(1-R105)*(1-0)/(1+INDEX('Facilities'!$K$9:$K$108,MATCH(C105,'Facilities'!$C$9:$C$108,0))))&lt;0.000000001,IF(T105=1,MIN(1,AJ105),AJ105),(1-((1-R105)*(1-0)/(1+INDEX('Facilities'!$K$9:$K$108,MATCH(C105,'Facilities'!$C$9:$C$108,0))))^IF(T105=1,MIN(1,AJ105),AJ105))/(1-(1-R105)*(1-0)/(1+INDEX('Facilities'!$K$9:$K$108,MATCH(C105,'Facilities'!$C$9:$C$108,0))))))))</x:f>
      </x:c>
      <x:c r="W105" s="23" t="str">
        <x:f>IF(C105="","",IFERROR(INDEX(ECL!$AB$9:$AB$108,MATCH(C105,ECL!$C$9:$C$108,0)),"Unavailable"))</x:f>
      </x:c>
      <x:c r="X105" s="23" t="str">
        <x:f>IF(C105="","",IFERROR(INDEX(ECL!$AC$9:$AC$108,MATCH(C105,ECL!$C$9:$C$108,0)),"Unavailable"))</x:f>
      </x:c>
      <x:c r="Y105" s="21" t="str">
        <x:f>IF(C105="","",IF(AQ105&lt;&gt;"Ready","Unavailable",IF(C105="","",U105-W105+V105-X105+N105+AG105)))</x:f>
      </x:c>
      <x:c r="Z105" s="23" t="str">
        <x:f>IF(C105="","",IF(AQ105&lt;&gt;"Ready","Unavailable",IF(C105="","",(G105+O105+L105)/2*INDEX('Facilities'!$T$9:$T$108,MATCH(C105,'Facilities'!$C$9:$C$108,0))+AG105)))</x:f>
      </x:c>
      <x:c r="AA105" s="23" t="str">
        <x:f>IF(C105="","",IF(AQ105&lt;&gt;"Ready","Unavailable",IF(C105="","",O105*(1-IF(INDEX('Facilities'!$AA$9:$AA$108,MATCH(C105,'Facilities'!$C$9:$C$108,0))=0,0,MIN(1,INDEX('Facilities'!$X$9:$X$108,MATCH(C105,'Facilities'!$C$9:$C$108,0))/INDEX('Facilities'!$AA$9:$AA$108,MATCH(C105,'Facilities'!$C$9:$C$108,0)))))*AF105+P105*(1-IF(INDEX('Facilities'!$AA$9:$AA$108,MATCH(C105,'Facilities'!$C$9:$C$108,0))=0,0,MIN(1,INDEX('Facilities'!$X$9:$X$108,MATCH(C105,'Facilities'!$C$9:$C$108,0))/INDEX('Facilities'!$AA$9:$AA$108,MATCH(C105,'Facilities'!$C$9:$C$108,0)))))*INDEX('Facilities'!$AJ$9:$AJ$108,MATCH(C105,'Facilities'!$C$9:$C$108,0))+Q105*INDEX('Facilities'!$AI$9:$AI$108,MATCH(C105,'Facilities'!$C$9:$C$108,0))*AF105)))</x:f>
      </x:c>
      <x:c r="AB105" s="21" t="str">
        <x:f>IF(C105="","",O105+P105-AD105)</x:f>
      </x:c>
      <x:c r="AC105" s="23" t="str">
        <x:f>IF(C105="","",IFERROR(IF(INDEX('Facilities'!$AD$9:$AD$108,MATCH(C105,'Facilities'!$C$9:$C$108,0))=3,0,IF(INDEX('Facilities'!$AN$9:$AN$108,MATCH(C105,'Facilities'!$C$9:$C$108,0))=0,-1,INDEX('Facilities'!$AN$9:$AN$108,MATCH(C105,'Facilities'!$C$9:$C$108,0)))),"Unavailable"))</x:f>
      </x:c>
      <x:c r="AD105" s="21" t="str">
        <x:f>IF(C105="","",IFERROR(G105+H105,"Unavailable"))</x:f>
      </x:c>
      <x:c r="AE105" s="21" t="str">
        <x:f>IF(C105="","",IF(AQ105&lt;&gt;"Ready","Unavailable",IF(C105="","",O105+P105-AD105-J105+K105+M105+N105)))</x:f>
      </x:c>
      <x:c r="AF105" s="30" t="str">
        <x:f>IF(C105="","",IFERROR(INDEX('Facilities'!$S$9:$S$108,MATCH(C105,'Facilities'!$C$9:$C$108,0))*'Scenario Paths'!F75,"Unavailable"))</x:f>
      </x:c>
      <x:c r="AG105" s="23" t="str">
        <x:f>IF(C105="","",IF(AQ105&lt;&gt;"Ready","Unavailable",IF(C105="","",IF(H105&gt;0,MAX(0,H105-AK105)*((1+INDEX('Facilities'!$K$9:$K$108,MATCH(C105,'Facilities'!$C$9:$C$108,0)))^MIN(1,MAX(0,AC105+INDEX('Facilities'!$AK$9:$AK$108,MATCH(C105,'Facilities'!$C$9:$C$108,0))-D105+1))-1),0))))</x:f>
      </x:c>
      <x:c r="AH105" s="21" t="str">
        <x:f>IF(C105="","",IF(AQ105&lt;&gt;"Ready","Unavailable",IF(C105="","",O105+P105)))</x:f>
      </x:c>
      <x:c r="AI105" s="21" t="str">
        <x:f>IF(C105="","",IF(AQ105&lt;&gt;"Ready","Unavailable",IF(C105="","",Z105-Y105)))</x:f>
      </x:c>
      <x:c r="AJ105" s="23" t="str">
        <x:f>IF(C105="","",IFERROR(MAX(0,INDEX('Facilities'!$J$9:$J$108,MATCH(C105,'Facilities'!$C$9:$C$108,0))-D105),"Unavailable"))</x:f>
      </x:c>
      <x:c r="AK105" s="23" t="str">
        <x:f>IF(C105="","",IFERROR(IF(INDEX('Facilities'!$AD$9:$AD$108,MATCH(C105,'Facilities'!$C$9:$C$108,0))=3,W105,0),"Unavailable"))</x:f>
      </x:c>
      <x:c r="AL105" s="23" t="str">
        <x:f>IF(C105="","",IFERROR(IF(P105&gt;0,P105*(1-AM105/(1+INDEX('Facilities'!$K$9:$K$108,MATCH(C105,'Facilities'!$C$9:$C$108,0)))^MAX(0,AC105+INDEX('Facilities'!$AK$9:$AK$108,MATCH(C105,'Facilities'!$C$9:$C$108,0))-D105)),0),"Unavailable"))</x:f>
      </x:c>
      <x:c r="AM105" s="30" t="str">
        <x:f>IF(C105="","",IFERROR(INDEX('Facilities'!$AL$9:$AL$108,MATCH(C105,'Facilities'!$C$9:$C$108,0)),"Unavailable"))</x:f>
      </x:c>
      <x:c r="AN105" s="30" t="str">
        <x:f>IF(C105="","",IFERROR(INDEX(Credit!$T$9:$T$108,MATCH(F105,Credit!$C$9:$C$108,0)),"Unavailable"))</x:f>
      </x:c>
      <x:c r="AO105" s="23" t="str">
        <x:f>IF(C105="","",IF(AQ105&lt;&gt;"Ready","Unavailable",IF(C105="","",O105+P105+Q105*INDEX('Facilities'!$I$9:$I$108,MATCH(C105,'Facilities'!$C$9:$C$108,0)))))</x:f>
      </x:c>
      <x:c r="AP105" s="21" t="str">
        <x:f>IF(C105="","",IF(AQ105&lt;&gt;"Ready","Unavailable",IF(C105="","",AH105-U105)))</x:f>
      </x:c>
      <x:c r="AQ105" s="23" t="str">
        <x:f>IFERROR(IF(C105="","",IF(AND(INDEX('Facilities'!$AF$9:$AF$108,MATCH(C105,'Facilities'!$C$9:$C$108,0))="Ready",INDEX(Credit!$U$9:$U$108,MATCH(F105,Credit!$C$9:$C$108,0))="Ready",ISNUMBER(W105)),"Ready","Review inputs")),"Review inputs")</x:f>
      </x:c>
      <x:c r="AR105" s="23" t="str">
        <x:f>IF(C105="","",IF(AQ105&lt;&gt;"Ready","Unavailable",IF(C105="","",IF(O105=0,0,(IF(AJ105&lt;=1,O105,O105*INDEX('Facilities'!$R$9:$R$108,MATCH(C105,'Facilities'!$C$9:$C$108,0)))+O105*INDEX('Facilities'!$T$9:$T$108,MATCH(C105,'Facilities'!$C$9:$C$108,0)))/12))))</x:f>
      </x:c>
    </x:row>
    <x:row r="106" ht="26" customHeight="1">
      <x:c r="A106" s="1"/>
      <x:c r="B106" s="1"/>
      <x:c r="C106" s="9" t="str">
        <x:f>IF(Facilities!C106="","",Facilities!C106)</x:f>
      </x:c>
      <x:c r="D106" s="3" t="n">
        <x:v>1</x:v>
      </x:c>
      <x:c r="E106" s="9" t="n">
        <x:f>Settings!$F$18+0</x:f>
        <x:v>2027</x:v>
      </x:c>
      <x:c r="F106" s="9" t="str">
        <x:f>IF(C106="","",IFERROR(INDEX('Facilities'!$D$9:$D$108,MATCH(C106,'Facilities'!$C$9:$C$108,0)),"Unavailable"))</x:f>
      </x:c>
      <x:c r="G106" s="23" t="str">
        <x:f>IF(C106="","",IFERROR(IF(INDEX('Facilities'!$AD$9:$AD$108,MATCH(C106,'Facilities'!$C$9:$C$108,0))=3,0,INDEX('Facilities'!$AA$9:$AA$108,MATCH(C106,'Facilities'!$C$9:$C$108,0))),"Unavailable"))</x:f>
      </x:c>
      <x:c r="H106" s="23" t="str">
        <x:f>IF(C106="","",IFERROR(IF(INDEX('Facilities'!$AD$9:$AD$108,MATCH(C106,'Facilities'!$C$9:$C$108,0))=3,INDEX('Facilities'!$AA$9:$AA$108,MATCH(C106,'Facilities'!$C$9:$C$108,0)),0),"Unavailable"))</x:f>
      </x:c>
      <x:c r="I106" s="23" t="str">
        <x:f>IF(C106="","",IFERROR(INDEX('Facilities'!$AB$9:$AB$108,MATCH(C106,'Facilities'!$C$9:$C$108,0)),"Unavailable"))</x:f>
      </x:c>
      <x:c r="J106" s="23" t="str">
        <x:f>IF(C106="","",IFERROR(IF(OR(H106&gt;0,AND(AC106&gt;=0,AC106&lt;D106),D106&gt;INDEX('Facilities'!$J$9:$J$108,MATCH(C106,'Facilities'!$C$9:$C$108,0))),0,I106*'Scenario Paths'!F81),"Unavailable"))</x:f>
      </x:c>
      <x:c r="K106" s="23" t="str">
        <x:f>IF(C106="","",IFERROR(IF(OR(H106&gt;0,AND(AC106&gt;=0,AC106=D106)),0,IF(D106&gt;=INDEX('Facilities'!$J$9:$J$108,MATCH(C106,'Facilities'!$C$9:$C$108,0)),G106+J106,MIN(G106+J106,G106*INDEX('Facilities'!$R$9:$R$108,MATCH(C106,'Facilities'!$C$9:$C$108,0))))),"Unavailable"))</x:f>
      </x:c>
      <x:c r="L106" s="21" t="str">
        <x:f>IF(C106="","",IFERROR(IF(AND(AC106=D106,AC106&gt;0),MAX(0,G106+J106-K106),0),"Unavailable"))</x:f>
      </x:c>
      <x:c r="M106" s="23" t="str">
        <x:f>IF(C106="","",IFERROR(IF(AND(AC106&gt;=0,D106&gt;=AC106+INDEX('Facilities'!$AK$9:$AK$108,MATCH(C106,'Facilities'!$C$9:$C$108,0))),(H106+L106)*AM106,0),"Unavailable"))</x:f>
      </x:c>
      <x:c r="N106" s="23" t="str">
        <x:f>IF(C106="","",IFERROR(IF(AND(AC106&gt;=0,D106&gt;=AC106+INDEX('Facilities'!$AK$9:$AK$108,MATCH(C106,'Facilities'!$C$9:$C$108,0))),H106+L106-M106,0),"Unavailable"))</x:f>
      </x:c>
      <x:c r="O106" s="21" t="str">
        <x:f>IF(C106="","",IFERROR(MAX(0,G106+J106-K106-L106),"Unavailable"))</x:f>
      </x:c>
      <x:c r="P106" s="21" t="str">
        <x:f>IF(C106="","",IFERROR(MAX(0,H106+L106-M106-N106),"Unavailable"))</x:f>
      </x:c>
      <x:c r="Q106" s="23" t="str">
        <x:f>IF(C106="","",IFERROR(IF(OR(D106&gt;=INDEX('Facilities'!$J$9:$J$108,MATCH(C106,'Facilities'!$C$9:$C$108,0)),AND(AC106&gt;=0,AC106&lt;=D106)),0,MAX(0,I106-J106)),"Unavailable"))</x:f>
      </x:c>
      <x:c r="R106" s="30" t="str">
        <x:f>IF(C106="","",IFERROR(INDEX(Credit!$Q$9:$Q$108,MATCH(F106,Credit!$C$9:$C$108,0)),"Unavailable"))</x:f>
      </x:c>
      <x:c r="S106" s="30" t="str">
        <x:f>IF(C106="","",IFERROR(INDEX(Credit!$R$9:$R$108,MATCH(F106,Credit!$C$9:$C$108,0)),"Unavailable"))</x:f>
      </x:c>
      <x:c r="T106" s="23" t="str">
        <x:f>IF(C106="","",IFERROR(IF(P106&gt;0,3,IF(OR(INDEX('Facilities'!$AD$9:$AD$108,MATCH(C106,'Facilities'!$C$9:$C$108,0))=2,AND(R106&gt;=INDEX('Facilities'!$L$9:$L$108,MATCH(C106,'Facilities'!$C$9:$C$108,0))*Settings!$F$19,R106-INDEX('Facilities'!$L$9:$L$108,MATCH(C106,'Facilities'!$C$9:$C$108,0))&gt;=Settings!$F$20)),2,1)),"Unavailable"))</x:f>
      </x:c>
      <x:c r="U106" s="23" t="str">
        <x:f>IF(C106="","",IF(AQ106&lt;&gt;"Ready","Unavailable",IF(C106="","",O106*(1-(1-S106)/(1+INDEX('Facilities'!$K$9:$K$108,MATCH(C106,'Facilities'!$C$9:$C$108,0)))^INDEX('Facilities'!$AK$9:$AK$108,MATCH(C106,'Facilities'!$C$9:$C$108,0)))*R106/(1+INDEX('Facilities'!$K$9:$K$108,MATCH(C106,'Facilities'!$C$9:$C$108,0)))*IF(ABS(1-(1-R106)*(1-INDEX('Facilities'!$R$9:$R$108,MATCH(C106,'Facilities'!$C$9:$C$108,0)))/(1+INDEX('Facilities'!$K$9:$K$108,MATCH(C106,'Facilities'!$C$9:$C$108,0))))&lt;0.000000001,IF(T106=1,MIN(1,AJ106),AJ106),(1-((1-R106)*(1-INDEX('Facilities'!$R$9:$R$108,MATCH(C106,'Facilities'!$C$9:$C$108,0)))/(1+INDEX('Facilities'!$K$9:$K$108,MATCH(C106,'Facilities'!$C$9:$C$108,0))))^IF(T106=1,MIN(1,AJ106),AJ106))/(1-(1-R106)*(1-INDEX('Facilities'!$R$9:$R$108,MATCH(C106,'Facilities'!$C$9:$C$108,0)))/(1+INDEX('Facilities'!$K$9:$K$108,MATCH(C106,'Facilities'!$C$9:$C$108,0)))))+AL106)))</x:f>
      </x:c>
      <x:c r="V106" s="23" t="str">
        <x:f>IF(C106="","",IF(AQ106&lt;&gt;"Ready","Unavailable",IF(C106="","",Q106*INDEX('Facilities'!$I$9:$I$108,MATCH(C106,'Facilities'!$C$9:$C$108,0))*(1-(1-S106)/(1+INDEX('Facilities'!$K$9:$K$108,MATCH(C106,'Facilities'!$C$9:$C$108,0)))^INDEX('Facilities'!$AK$9:$AK$108,MATCH(C106,'Facilities'!$C$9:$C$108,0)))*R106/(1+INDEX('Facilities'!$K$9:$K$108,MATCH(C106,'Facilities'!$C$9:$C$108,0)))*IF(ABS(1-(1-R106)*(1-0)/(1+INDEX('Facilities'!$K$9:$K$108,MATCH(C106,'Facilities'!$C$9:$C$108,0))))&lt;0.000000001,IF(T106=1,MIN(1,AJ106),AJ106),(1-((1-R106)*(1-0)/(1+INDEX('Facilities'!$K$9:$K$108,MATCH(C106,'Facilities'!$C$9:$C$108,0))))^IF(T106=1,MIN(1,AJ106),AJ106))/(1-(1-R106)*(1-0)/(1+INDEX('Facilities'!$K$9:$K$108,MATCH(C106,'Facilities'!$C$9:$C$108,0))))))))</x:f>
      </x:c>
      <x:c r="W106" s="23" t="str">
        <x:f>IF(C106="","",IFERROR(INDEX(ECL!$AB$9:$AB$108,MATCH(C106,ECL!$C$9:$C$108,0)),"Unavailable"))</x:f>
      </x:c>
      <x:c r="X106" s="23" t="str">
        <x:f>IF(C106="","",IFERROR(INDEX(ECL!$AC$9:$AC$108,MATCH(C106,ECL!$C$9:$C$108,0)),"Unavailable"))</x:f>
      </x:c>
      <x:c r="Y106" s="21" t="str">
        <x:f>IF(C106="","",IF(AQ106&lt;&gt;"Ready","Unavailable",IF(C106="","",U106-W106+V106-X106+N106+AG106)))</x:f>
      </x:c>
      <x:c r="Z106" s="23" t="str">
        <x:f>IF(C106="","",IF(AQ106&lt;&gt;"Ready","Unavailable",IF(C106="","",(G106+O106+L106)/2*INDEX('Facilities'!$T$9:$T$108,MATCH(C106,'Facilities'!$C$9:$C$108,0))+AG106)))</x:f>
      </x:c>
      <x:c r="AA106" s="23" t="str">
        <x:f>IF(C106="","",IF(AQ106&lt;&gt;"Ready","Unavailable",IF(C106="","",O106*(1-IF(INDEX('Facilities'!$AA$9:$AA$108,MATCH(C106,'Facilities'!$C$9:$C$108,0))=0,0,MIN(1,INDEX('Facilities'!$X$9:$X$108,MATCH(C106,'Facilities'!$C$9:$C$108,0))/INDEX('Facilities'!$AA$9:$AA$108,MATCH(C106,'Facilities'!$C$9:$C$108,0)))))*AF106+P106*(1-IF(INDEX('Facilities'!$AA$9:$AA$108,MATCH(C106,'Facilities'!$C$9:$C$108,0))=0,0,MIN(1,INDEX('Facilities'!$X$9:$X$108,MATCH(C106,'Facilities'!$C$9:$C$108,0))/INDEX('Facilities'!$AA$9:$AA$108,MATCH(C106,'Facilities'!$C$9:$C$108,0)))))*INDEX('Facilities'!$AJ$9:$AJ$108,MATCH(C106,'Facilities'!$C$9:$C$108,0))+Q106*INDEX('Facilities'!$AI$9:$AI$108,MATCH(C106,'Facilities'!$C$9:$C$108,0))*AF106)))</x:f>
      </x:c>
      <x:c r="AB106" s="21" t="str">
        <x:f>IF(C106="","",O106+P106-AD106)</x:f>
      </x:c>
      <x:c r="AC106" s="23" t="str">
        <x:f>IF(C106="","",IFERROR(IF(INDEX('Facilities'!$AD$9:$AD$108,MATCH(C106,'Facilities'!$C$9:$C$108,0))=3,0,IF(INDEX('Facilities'!$AN$9:$AN$108,MATCH(C106,'Facilities'!$C$9:$C$108,0))=0,-1,INDEX('Facilities'!$AN$9:$AN$108,MATCH(C106,'Facilities'!$C$9:$C$108,0)))),"Unavailable"))</x:f>
      </x:c>
      <x:c r="AD106" s="21" t="str">
        <x:f>IF(C106="","",IFERROR(G106+H106,"Unavailable"))</x:f>
      </x:c>
      <x:c r="AE106" s="21" t="str">
        <x:f>IF(C106="","",IF(AQ106&lt;&gt;"Ready","Unavailable",IF(C106="","",O106+P106-AD106-J106+K106+M106+N106)))</x:f>
      </x:c>
      <x:c r="AF106" s="30" t="str">
        <x:f>IF(C106="","",IFERROR(INDEX('Facilities'!$S$9:$S$108,MATCH(C106,'Facilities'!$C$9:$C$108,0))*'Scenario Paths'!F75,"Unavailable"))</x:f>
      </x:c>
      <x:c r="AG106" s="23" t="str">
        <x:f>IF(C106="","",IF(AQ106&lt;&gt;"Ready","Unavailable",IF(C106="","",IF(H106&gt;0,MAX(0,H106-AK106)*((1+INDEX('Facilities'!$K$9:$K$108,MATCH(C106,'Facilities'!$C$9:$C$108,0)))^MIN(1,MAX(0,AC106+INDEX('Facilities'!$AK$9:$AK$108,MATCH(C106,'Facilities'!$C$9:$C$108,0))-D106+1))-1),0))))</x:f>
      </x:c>
      <x:c r="AH106" s="21" t="str">
        <x:f>IF(C106="","",IF(AQ106&lt;&gt;"Ready","Unavailable",IF(C106="","",O106+P106)))</x:f>
      </x:c>
      <x:c r="AI106" s="21" t="str">
        <x:f>IF(C106="","",IF(AQ106&lt;&gt;"Ready","Unavailable",IF(C106="","",Z106-Y106)))</x:f>
      </x:c>
      <x:c r="AJ106" s="23" t="str">
        <x:f>IF(C106="","",IFERROR(MAX(0,INDEX('Facilities'!$J$9:$J$108,MATCH(C106,'Facilities'!$C$9:$C$108,0))-D106),"Unavailable"))</x:f>
      </x:c>
      <x:c r="AK106" s="23" t="str">
        <x:f>IF(C106="","",IFERROR(IF(INDEX('Facilities'!$AD$9:$AD$108,MATCH(C106,'Facilities'!$C$9:$C$108,0))=3,W106,0),"Unavailable"))</x:f>
      </x:c>
      <x:c r="AL106" s="23" t="str">
        <x:f>IF(C106="","",IFERROR(IF(P106&gt;0,P106*(1-AM106/(1+INDEX('Facilities'!$K$9:$K$108,MATCH(C106,'Facilities'!$C$9:$C$108,0)))^MAX(0,AC106+INDEX('Facilities'!$AK$9:$AK$108,MATCH(C106,'Facilities'!$C$9:$C$108,0))-D106)),0),"Unavailable"))</x:f>
      </x:c>
      <x:c r="AM106" s="30" t="str">
        <x:f>IF(C106="","",IFERROR(INDEX('Facilities'!$AL$9:$AL$108,MATCH(C106,'Facilities'!$C$9:$C$108,0)),"Unavailable"))</x:f>
      </x:c>
      <x:c r="AN106" s="30" t="str">
        <x:f>IF(C106="","",IFERROR(INDEX(Credit!$T$9:$T$108,MATCH(F106,Credit!$C$9:$C$108,0)),"Unavailable"))</x:f>
      </x:c>
      <x:c r="AO106" s="23" t="str">
        <x:f>IF(C106="","",IF(AQ106&lt;&gt;"Ready","Unavailable",IF(C106="","",O106+P106+Q106*INDEX('Facilities'!$I$9:$I$108,MATCH(C106,'Facilities'!$C$9:$C$108,0)))))</x:f>
      </x:c>
      <x:c r="AP106" s="21" t="str">
        <x:f>IF(C106="","",IF(AQ106&lt;&gt;"Ready","Unavailable",IF(C106="","",AH106-U106)))</x:f>
      </x:c>
      <x:c r="AQ106" s="23" t="str">
        <x:f>IFERROR(IF(C106="","",IF(AND(INDEX('Facilities'!$AF$9:$AF$108,MATCH(C106,'Facilities'!$C$9:$C$108,0))="Ready",INDEX(Credit!$U$9:$U$108,MATCH(F106,Credit!$C$9:$C$108,0))="Ready",ISNUMBER(W106)),"Ready","Review inputs")),"Review inputs")</x:f>
      </x:c>
      <x:c r="AR106" s="23" t="str">
        <x:f>IF(C106="","",IF(AQ106&lt;&gt;"Ready","Unavailable",IF(C106="","",IF(O106=0,0,(IF(AJ106&lt;=1,O106,O106*INDEX('Facilities'!$R$9:$R$108,MATCH(C106,'Facilities'!$C$9:$C$108,0)))+O106*INDEX('Facilities'!$T$9:$T$108,MATCH(C106,'Facilities'!$C$9:$C$108,0)))/12))))</x:f>
      </x:c>
    </x:row>
    <x:row r="107" ht="26" customHeight="1">
      <x:c r="A107" s="1"/>
      <x:c r="B107" s="1"/>
      <x:c r="C107" s="9" t="str">
        <x:f>IF(Facilities!C107="","",Facilities!C107)</x:f>
      </x:c>
      <x:c r="D107" s="3" t="n">
        <x:v>1</x:v>
      </x:c>
      <x:c r="E107" s="9" t="n">
        <x:f>Settings!$F$18+0</x:f>
        <x:v>2027</x:v>
      </x:c>
      <x:c r="F107" s="9" t="str">
        <x:f>IF(C107="","",IFERROR(INDEX('Facilities'!$D$9:$D$108,MATCH(C107,'Facilities'!$C$9:$C$108,0)),"Unavailable"))</x:f>
      </x:c>
      <x:c r="G107" s="23" t="str">
        <x:f>IF(C107="","",IFERROR(IF(INDEX('Facilities'!$AD$9:$AD$108,MATCH(C107,'Facilities'!$C$9:$C$108,0))=3,0,INDEX('Facilities'!$AA$9:$AA$108,MATCH(C107,'Facilities'!$C$9:$C$108,0))),"Unavailable"))</x:f>
      </x:c>
      <x:c r="H107" s="23" t="str">
        <x:f>IF(C107="","",IFERROR(IF(INDEX('Facilities'!$AD$9:$AD$108,MATCH(C107,'Facilities'!$C$9:$C$108,0))=3,INDEX('Facilities'!$AA$9:$AA$108,MATCH(C107,'Facilities'!$C$9:$C$108,0)),0),"Unavailable"))</x:f>
      </x:c>
      <x:c r="I107" s="23" t="str">
        <x:f>IF(C107="","",IFERROR(INDEX('Facilities'!$AB$9:$AB$108,MATCH(C107,'Facilities'!$C$9:$C$108,0)),"Unavailable"))</x:f>
      </x:c>
      <x:c r="J107" s="23" t="str">
        <x:f>IF(C107="","",IFERROR(IF(OR(H107&gt;0,AND(AC107&gt;=0,AC107&lt;D107),D107&gt;INDEX('Facilities'!$J$9:$J$108,MATCH(C107,'Facilities'!$C$9:$C$108,0))),0,I107*'Scenario Paths'!F81),"Unavailable"))</x:f>
      </x:c>
      <x:c r="K107" s="23" t="str">
        <x:f>IF(C107="","",IFERROR(IF(OR(H107&gt;0,AND(AC107&gt;=0,AC107=D107)),0,IF(D107&gt;=INDEX('Facilities'!$J$9:$J$108,MATCH(C107,'Facilities'!$C$9:$C$108,0)),G107+J107,MIN(G107+J107,G107*INDEX('Facilities'!$R$9:$R$108,MATCH(C107,'Facilities'!$C$9:$C$108,0))))),"Unavailable"))</x:f>
      </x:c>
      <x:c r="L107" s="21" t="str">
        <x:f>IF(C107="","",IFERROR(IF(AND(AC107=D107,AC107&gt;0),MAX(0,G107+J107-K107),0),"Unavailable"))</x:f>
      </x:c>
      <x:c r="M107" s="23" t="str">
        <x:f>IF(C107="","",IFERROR(IF(AND(AC107&gt;=0,D107&gt;=AC107+INDEX('Facilities'!$AK$9:$AK$108,MATCH(C107,'Facilities'!$C$9:$C$108,0))),(H107+L107)*AM107,0),"Unavailable"))</x:f>
      </x:c>
      <x:c r="N107" s="23" t="str">
        <x:f>IF(C107="","",IFERROR(IF(AND(AC107&gt;=0,D107&gt;=AC107+INDEX('Facilities'!$AK$9:$AK$108,MATCH(C107,'Facilities'!$C$9:$C$108,0))),H107+L107-M107,0),"Unavailable"))</x:f>
      </x:c>
      <x:c r="O107" s="21" t="str">
        <x:f>IF(C107="","",IFERROR(MAX(0,G107+J107-K107-L107),"Unavailable"))</x:f>
      </x:c>
      <x:c r="P107" s="21" t="str">
        <x:f>IF(C107="","",IFERROR(MAX(0,H107+L107-M107-N107),"Unavailable"))</x:f>
      </x:c>
      <x:c r="Q107" s="23" t="str">
        <x:f>IF(C107="","",IFERROR(IF(OR(D107&gt;=INDEX('Facilities'!$J$9:$J$108,MATCH(C107,'Facilities'!$C$9:$C$108,0)),AND(AC107&gt;=0,AC107&lt;=D107)),0,MAX(0,I107-J107)),"Unavailable"))</x:f>
      </x:c>
      <x:c r="R107" s="30" t="str">
        <x:f>IF(C107="","",IFERROR(INDEX(Credit!$Q$9:$Q$108,MATCH(F107,Credit!$C$9:$C$108,0)),"Unavailable"))</x:f>
      </x:c>
      <x:c r="S107" s="30" t="str">
        <x:f>IF(C107="","",IFERROR(INDEX(Credit!$R$9:$R$108,MATCH(F107,Credit!$C$9:$C$108,0)),"Unavailable"))</x:f>
      </x:c>
      <x:c r="T107" s="23" t="str">
        <x:f>IF(C107="","",IFERROR(IF(P107&gt;0,3,IF(OR(INDEX('Facilities'!$AD$9:$AD$108,MATCH(C107,'Facilities'!$C$9:$C$108,0))=2,AND(R107&gt;=INDEX('Facilities'!$L$9:$L$108,MATCH(C107,'Facilities'!$C$9:$C$108,0))*Settings!$F$19,R107-INDEX('Facilities'!$L$9:$L$108,MATCH(C107,'Facilities'!$C$9:$C$108,0))&gt;=Settings!$F$20)),2,1)),"Unavailable"))</x:f>
      </x:c>
      <x:c r="U107" s="23" t="str">
        <x:f>IF(C107="","",IF(AQ107&lt;&gt;"Ready","Unavailable",IF(C107="","",O107*(1-(1-S107)/(1+INDEX('Facilities'!$K$9:$K$108,MATCH(C107,'Facilities'!$C$9:$C$108,0)))^INDEX('Facilities'!$AK$9:$AK$108,MATCH(C107,'Facilities'!$C$9:$C$108,0)))*R107/(1+INDEX('Facilities'!$K$9:$K$108,MATCH(C107,'Facilities'!$C$9:$C$108,0)))*IF(ABS(1-(1-R107)*(1-INDEX('Facilities'!$R$9:$R$108,MATCH(C107,'Facilities'!$C$9:$C$108,0)))/(1+INDEX('Facilities'!$K$9:$K$108,MATCH(C107,'Facilities'!$C$9:$C$108,0))))&lt;0.000000001,IF(T107=1,MIN(1,AJ107),AJ107),(1-((1-R107)*(1-INDEX('Facilities'!$R$9:$R$108,MATCH(C107,'Facilities'!$C$9:$C$108,0)))/(1+INDEX('Facilities'!$K$9:$K$108,MATCH(C107,'Facilities'!$C$9:$C$108,0))))^IF(T107=1,MIN(1,AJ107),AJ107))/(1-(1-R107)*(1-INDEX('Facilities'!$R$9:$R$108,MATCH(C107,'Facilities'!$C$9:$C$108,0)))/(1+INDEX('Facilities'!$K$9:$K$108,MATCH(C107,'Facilities'!$C$9:$C$108,0)))))+AL107)))</x:f>
      </x:c>
      <x:c r="V107" s="23" t="str">
        <x:f>IF(C107="","",IF(AQ107&lt;&gt;"Ready","Unavailable",IF(C107="","",Q107*INDEX('Facilities'!$I$9:$I$108,MATCH(C107,'Facilities'!$C$9:$C$108,0))*(1-(1-S107)/(1+INDEX('Facilities'!$K$9:$K$108,MATCH(C107,'Facilities'!$C$9:$C$108,0)))^INDEX('Facilities'!$AK$9:$AK$108,MATCH(C107,'Facilities'!$C$9:$C$108,0)))*R107/(1+INDEX('Facilities'!$K$9:$K$108,MATCH(C107,'Facilities'!$C$9:$C$108,0)))*IF(ABS(1-(1-R107)*(1-0)/(1+INDEX('Facilities'!$K$9:$K$108,MATCH(C107,'Facilities'!$C$9:$C$108,0))))&lt;0.000000001,IF(T107=1,MIN(1,AJ107),AJ107),(1-((1-R107)*(1-0)/(1+INDEX('Facilities'!$K$9:$K$108,MATCH(C107,'Facilities'!$C$9:$C$108,0))))^IF(T107=1,MIN(1,AJ107),AJ107))/(1-(1-R107)*(1-0)/(1+INDEX('Facilities'!$K$9:$K$108,MATCH(C107,'Facilities'!$C$9:$C$108,0))))))))</x:f>
      </x:c>
      <x:c r="W107" s="23" t="str">
        <x:f>IF(C107="","",IFERROR(INDEX(ECL!$AB$9:$AB$108,MATCH(C107,ECL!$C$9:$C$108,0)),"Unavailable"))</x:f>
      </x:c>
      <x:c r="X107" s="23" t="str">
        <x:f>IF(C107="","",IFERROR(INDEX(ECL!$AC$9:$AC$108,MATCH(C107,ECL!$C$9:$C$108,0)),"Unavailable"))</x:f>
      </x:c>
      <x:c r="Y107" s="21" t="str">
        <x:f>IF(C107="","",IF(AQ107&lt;&gt;"Ready","Unavailable",IF(C107="","",U107-W107+V107-X107+N107+AG107)))</x:f>
      </x:c>
      <x:c r="Z107" s="23" t="str">
        <x:f>IF(C107="","",IF(AQ107&lt;&gt;"Ready","Unavailable",IF(C107="","",(G107+O107+L107)/2*INDEX('Facilities'!$T$9:$T$108,MATCH(C107,'Facilities'!$C$9:$C$108,0))+AG107)))</x:f>
      </x:c>
      <x:c r="AA107" s="23" t="str">
        <x:f>IF(C107="","",IF(AQ107&lt;&gt;"Ready","Unavailable",IF(C107="","",O107*(1-IF(INDEX('Facilities'!$AA$9:$AA$108,MATCH(C107,'Facilities'!$C$9:$C$108,0))=0,0,MIN(1,INDEX('Facilities'!$X$9:$X$108,MATCH(C107,'Facilities'!$C$9:$C$108,0))/INDEX('Facilities'!$AA$9:$AA$108,MATCH(C107,'Facilities'!$C$9:$C$108,0)))))*AF107+P107*(1-IF(INDEX('Facilities'!$AA$9:$AA$108,MATCH(C107,'Facilities'!$C$9:$C$108,0))=0,0,MIN(1,INDEX('Facilities'!$X$9:$X$108,MATCH(C107,'Facilities'!$C$9:$C$108,0))/INDEX('Facilities'!$AA$9:$AA$108,MATCH(C107,'Facilities'!$C$9:$C$108,0)))))*INDEX('Facilities'!$AJ$9:$AJ$108,MATCH(C107,'Facilities'!$C$9:$C$108,0))+Q107*INDEX('Facilities'!$AI$9:$AI$108,MATCH(C107,'Facilities'!$C$9:$C$108,0))*AF107)))</x:f>
      </x:c>
      <x:c r="AB107" s="21" t="str">
        <x:f>IF(C107="","",O107+P107-AD107)</x:f>
      </x:c>
      <x:c r="AC107" s="23" t="str">
        <x:f>IF(C107="","",IFERROR(IF(INDEX('Facilities'!$AD$9:$AD$108,MATCH(C107,'Facilities'!$C$9:$C$108,0))=3,0,IF(INDEX('Facilities'!$AN$9:$AN$108,MATCH(C107,'Facilities'!$C$9:$C$108,0))=0,-1,INDEX('Facilities'!$AN$9:$AN$108,MATCH(C107,'Facilities'!$C$9:$C$108,0)))),"Unavailable"))</x:f>
      </x:c>
      <x:c r="AD107" s="21" t="str">
        <x:f>IF(C107="","",IFERROR(G107+H107,"Unavailable"))</x:f>
      </x:c>
      <x:c r="AE107" s="21" t="str">
        <x:f>IF(C107="","",IF(AQ107&lt;&gt;"Ready","Unavailable",IF(C107="","",O107+P107-AD107-J107+K107+M107+N107)))</x:f>
      </x:c>
      <x:c r="AF107" s="30" t="str">
        <x:f>IF(C107="","",IFERROR(INDEX('Facilities'!$S$9:$S$108,MATCH(C107,'Facilities'!$C$9:$C$108,0))*'Scenario Paths'!F75,"Unavailable"))</x:f>
      </x:c>
      <x:c r="AG107" s="23" t="str">
        <x:f>IF(C107="","",IF(AQ107&lt;&gt;"Ready","Unavailable",IF(C107="","",IF(H107&gt;0,MAX(0,H107-AK107)*((1+INDEX('Facilities'!$K$9:$K$108,MATCH(C107,'Facilities'!$C$9:$C$108,0)))^MIN(1,MAX(0,AC107+INDEX('Facilities'!$AK$9:$AK$108,MATCH(C107,'Facilities'!$C$9:$C$108,0))-D107+1))-1),0))))</x:f>
      </x:c>
      <x:c r="AH107" s="21" t="str">
        <x:f>IF(C107="","",IF(AQ107&lt;&gt;"Ready","Unavailable",IF(C107="","",O107+P107)))</x:f>
      </x:c>
      <x:c r="AI107" s="21" t="str">
        <x:f>IF(C107="","",IF(AQ107&lt;&gt;"Ready","Unavailable",IF(C107="","",Z107-Y107)))</x:f>
      </x:c>
      <x:c r="AJ107" s="23" t="str">
        <x:f>IF(C107="","",IFERROR(MAX(0,INDEX('Facilities'!$J$9:$J$108,MATCH(C107,'Facilities'!$C$9:$C$108,0))-D107),"Unavailable"))</x:f>
      </x:c>
      <x:c r="AK107" s="23" t="str">
        <x:f>IF(C107="","",IFERROR(IF(INDEX('Facilities'!$AD$9:$AD$108,MATCH(C107,'Facilities'!$C$9:$C$108,0))=3,W107,0),"Unavailable"))</x:f>
      </x:c>
      <x:c r="AL107" s="23" t="str">
        <x:f>IF(C107="","",IFERROR(IF(P107&gt;0,P107*(1-AM107/(1+INDEX('Facilities'!$K$9:$K$108,MATCH(C107,'Facilities'!$C$9:$C$108,0)))^MAX(0,AC107+INDEX('Facilities'!$AK$9:$AK$108,MATCH(C107,'Facilities'!$C$9:$C$108,0))-D107)),0),"Unavailable"))</x:f>
      </x:c>
      <x:c r="AM107" s="30" t="str">
        <x:f>IF(C107="","",IFERROR(INDEX('Facilities'!$AL$9:$AL$108,MATCH(C107,'Facilities'!$C$9:$C$108,0)),"Unavailable"))</x:f>
      </x:c>
      <x:c r="AN107" s="30" t="str">
        <x:f>IF(C107="","",IFERROR(INDEX(Credit!$T$9:$T$108,MATCH(F107,Credit!$C$9:$C$108,0)),"Unavailable"))</x:f>
      </x:c>
      <x:c r="AO107" s="23" t="str">
        <x:f>IF(C107="","",IF(AQ107&lt;&gt;"Ready","Unavailable",IF(C107="","",O107+P107+Q107*INDEX('Facilities'!$I$9:$I$108,MATCH(C107,'Facilities'!$C$9:$C$108,0)))))</x:f>
      </x:c>
      <x:c r="AP107" s="21" t="str">
        <x:f>IF(C107="","",IF(AQ107&lt;&gt;"Ready","Unavailable",IF(C107="","",AH107-U107)))</x:f>
      </x:c>
      <x:c r="AQ107" s="23" t="str">
        <x:f>IFERROR(IF(C107="","",IF(AND(INDEX('Facilities'!$AF$9:$AF$108,MATCH(C107,'Facilities'!$C$9:$C$108,0))="Ready",INDEX(Credit!$U$9:$U$108,MATCH(F107,Credit!$C$9:$C$108,0))="Ready",ISNUMBER(W107)),"Ready","Review inputs")),"Review inputs")</x:f>
      </x:c>
      <x:c r="AR107" s="23" t="str">
        <x:f>IF(C107="","",IF(AQ107&lt;&gt;"Ready","Unavailable",IF(C107="","",IF(O107=0,0,(IF(AJ107&lt;=1,O107,O107*INDEX('Facilities'!$R$9:$R$108,MATCH(C107,'Facilities'!$C$9:$C$108,0)))+O107*INDEX('Facilities'!$T$9:$T$108,MATCH(C107,'Facilities'!$C$9:$C$108,0)))/12))))</x:f>
      </x:c>
    </x:row>
    <x:row r="108" ht="26" customHeight="1">
      <x:c r="A108" s="1"/>
      <x:c r="B108" s="1"/>
      <x:c r="C108" s="9" t="str">
        <x:f>IF(Facilities!C108="","",Facilities!C108)</x:f>
      </x:c>
      <x:c r="D108" s="3" t="n">
        <x:v>1</x:v>
      </x:c>
      <x:c r="E108" s="9" t="n">
        <x:f>Settings!$F$18+0</x:f>
        <x:v>2027</x:v>
      </x:c>
      <x:c r="F108" s="9" t="str">
        <x:f>IF(C108="","",IFERROR(INDEX('Facilities'!$D$9:$D$108,MATCH(C108,'Facilities'!$C$9:$C$108,0)),"Unavailable"))</x:f>
      </x:c>
      <x:c r="G108" s="23" t="str">
        <x:f>IF(C108="","",IFERROR(IF(INDEX('Facilities'!$AD$9:$AD$108,MATCH(C108,'Facilities'!$C$9:$C$108,0))=3,0,INDEX('Facilities'!$AA$9:$AA$108,MATCH(C108,'Facilities'!$C$9:$C$108,0))),"Unavailable"))</x:f>
      </x:c>
      <x:c r="H108" s="23" t="str">
        <x:f>IF(C108="","",IFERROR(IF(INDEX('Facilities'!$AD$9:$AD$108,MATCH(C108,'Facilities'!$C$9:$C$108,0))=3,INDEX('Facilities'!$AA$9:$AA$108,MATCH(C108,'Facilities'!$C$9:$C$108,0)),0),"Unavailable"))</x:f>
      </x:c>
      <x:c r="I108" s="23" t="str">
        <x:f>IF(C108="","",IFERROR(INDEX('Facilities'!$AB$9:$AB$108,MATCH(C108,'Facilities'!$C$9:$C$108,0)),"Unavailable"))</x:f>
      </x:c>
      <x:c r="J108" s="23" t="str">
        <x:f>IF(C108="","",IFERROR(IF(OR(H108&gt;0,AND(AC108&gt;=0,AC108&lt;D108),D108&gt;INDEX('Facilities'!$J$9:$J$108,MATCH(C108,'Facilities'!$C$9:$C$108,0))),0,I108*'Scenario Paths'!F81),"Unavailable"))</x:f>
      </x:c>
      <x:c r="K108" s="23" t="str">
        <x:f>IF(C108="","",IFERROR(IF(OR(H108&gt;0,AND(AC108&gt;=0,AC108=D108)),0,IF(D108&gt;=INDEX('Facilities'!$J$9:$J$108,MATCH(C108,'Facilities'!$C$9:$C$108,0)),G108+J108,MIN(G108+J108,G108*INDEX('Facilities'!$R$9:$R$108,MATCH(C108,'Facilities'!$C$9:$C$108,0))))),"Unavailable"))</x:f>
      </x:c>
      <x:c r="L108" s="21" t="str">
        <x:f>IF(C108="","",IFERROR(IF(AND(AC108=D108,AC108&gt;0),MAX(0,G108+J108-K108),0),"Unavailable"))</x:f>
      </x:c>
      <x:c r="M108" s="23" t="str">
        <x:f>IF(C108="","",IFERROR(IF(AND(AC108&gt;=0,D108&gt;=AC108+INDEX('Facilities'!$AK$9:$AK$108,MATCH(C108,'Facilities'!$C$9:$C$108,0))),(H108+L108)*AM108,0),"Unavailable"))</x:f>
      </x:c>
      <x:c r="N108" s="23" t="str">
        <x:f>IF(C108="","",IFERROR(IF(AND(AC108&gt;=0,D108&gt;=AC108+INDEX('Facilities'!$AK$9:$AK$108,MATCH(C108,'Facilities'!$C$9:$C$108,0))),H108+L108-M108,0),"Unavailable"))</x:f>
      </x:c>
      <x:c r="O108" s="21" t="str">
        <x:f>IF(C108="","",IFERROR(MAX(0,G108+J108-K108-L108),"Unavailable"))</x:f>
      </x:c>
      <x:c r="P108" s="21" t="str">
        <x:f>IF(C108="","",IFERROR(MAX(0,H108+L108-M108-N108),"Unavailable"))</x:f>
      </x:c>
      <x:c r="Q108" s="23" t="str">
        <x:f>IF(C108="","",IFERROR(IF(OR(D108&gt;=INDEX('Facilities'!$J$9:$J$108,MATCH(C108,'Facilities'!$C$9:$C$108,0)),AND(AC108&gt;=0,AC108&lt;=D108)),0,MAX(0,I108-J108)),"Unavailable"))</x:f>
      </x:c>
      <x:c r="R108" s="30" t="str">
        <x:f>IF(C108="","",IFERROR(INDEX(Credit!$Q$9:$Q$108,MATCH(F108,Credit!$C$9:$C$108,0)),"Unavailable"))</x:f>
      </x:c>
      <x:c r="S108" s="30" t="str">
        <x:f>IF(C108="","",IFERROR(INDEX(Credit!$R$9:$R$108,MATCH(F108,Credit!$C$9:$C$108,0)),"Unavailable"))</x:f>
      </x:c>
      <x:c r="T108" s="23" t="str">
        <x:f>IF(C108="","",IFERROR(IF(P108&gt;0,3,IF(OR(INDEX('Facilities'!$AD$9:$AD$108,MATCH(C108,'Facilities'!$C$9:$C$108,0))=2,AND(R108&gt;=INDEX('Facilities'!$L$9:$L$108,MATCH(C108,'Facilities'!$C$9:$C$108,0))*Settings!$F$19,R108-INDEX('Facilities'!$L$9:$L$108,MATCH(C108,'Facilities'!$C$9:$C$108,0))&gt;=Settings!$F$20)),2,1)),"Unavailable"))</x:f>
      </x:c>
      <x:c r="U108" s="23" t="str">
        <x:f>IF(C108="","",IF(AQ108&lt;&gt;"Ready","Unavailable",IF(C108="","",O108*(1-(1-S108)/(1+INDEX('Facilities'!$K$9:$K$108,MATCH(C108,'Facilities'!$C$9:$C$108,0)))^INDEX('Facilities'!$AK$9:$AK$108,MATCH(C108,'Facilities'!$C$9:$C$108,0)))*R108/(1+INDEX('Facilities'!$K$9:$K$108,MATCH(C108,'Facilities'!$C$9:$C$108,0)))*IF(ABS(1-(1-R108)*(1-INDEX('Facilities'!$R$9:$R$108,MATCH(C108,'Facilities'!$C$9:$C$108,0)))/(1+INDEX('Facilities'!$K$9:$K$108,MATCH(C108,'Facilities'!$C$9:$C$108,0))))&lt;0.000000001,IF(T108=1,MIN(1,AJ108),AJ108),(1-((1-R108)*(1-INDEX('Facilities'!$R$9:$R$108,MATCH(C108,'Facilities'!$C$9:$C$108,0)))/(1+INDEX('Facilities'!$K$9:$K$108,MATCH(C108,'Facilities'!$C$9:$C$108,0))))^IF(T108=1,MIN(1,AJ108),AJ108))/(1-(1-R108)*(1-INDEX('Facilities'!$R$9:$R$108,MATCH(C108,'Facilities'!$C$9:$C$108,0)))/(1+INDEX('Facilities'!$K$9:$K$108,MATCH(C108,'Facilities'!$C$9:$C$108,0)))))+AL108)))</x:f>
      </x:c>
      <x:c r="V108" s="23" t="str">
        <x:f>IF(C108="","",IF(AQ108&lt;&gt;"Ready","Unavailable",IF(C108="","",Q108*INDEX('Facilities'!$I$9:$I$108,MATCH(C108,'Facilities'!$C$9:$C$108,0))*(1-(1-S108)/(1+INDEX('Facilities'!$K$9:$K$108,MATCH(C108,'Facilities'!$C$9:$C$108,0)))^INDEX('Facilities'!$AK$9:$AK$108,MATCH(C108,'Facilities'!$C$9:$C$108,0)))*R108/(1+INDEX('Facilities'!$K$9:$K$108,MATCH(C108,'Facilities'!$C$9:$C$108,0)))*IF(ABS(1-(1-R108)*(1-0)/(1+INDEX('Facilities'!$K$9:$K$108,MATCH(C108,'Facilities'!$C$9:$C$108,0))))&lt;0.000000001,IF(T108=1,MIN(1,AJ108),AJ108),(1-((1-R108)*(1-0)/(1+INDEX('Facilities'!$K$9:$K$108,MATCH(C108,'Facilities'!$C$9:$C$108,0))))^IF(T108=1,MIN(1,AJ108),AJ108))/(1-(1-R108)*(1-0)/(1+INDEX('Facilities'!$K$9:$K$108,MATCH(C108,'Facilities'!$C$9:$C$108,0))))))))</x:f>
      </x:c>
      <x:c r="W108" s="23" t="str">
        <x:f>IF(C108="","",IFERROR(INDEX(ECL!$AB$9:$AB$108,MATCH(C108,ECL!$C$9:$C$108,0)),"Unavailable"))</x:f>
      </x:c>
      <x:c r="X108" s="23" t="str">
        <x:f>IF(C108="","",IFERROR(INDEX(ECL!$AC$9:$AC$108,MATCH(C108,ECL!$C$9:$C$108,0)),"Unavailable"))</x:f>
      </x:c>
      <x:c r="Y108" s="21" t="str">
        <x:f>IF(C108="","",IF(AQ108&lt;&gt;"Ready","Unavailable",IF(C108="","",U108-W108+V108-X108+N108+AG108)))</x:f>
      </x:c>
      <x:c r="Z108" s="23" t="str">
        <x:f>IF(C108="","",IF(AQ108&lt;&gt;"Ready","Unavailable",IF(C108="","",(G108+O108+L108)/2*INDEX('Facilities'!$T$9:$T$108,MATCH(C108,'Facilities'!$C$9:$C$108,0))+AG108)))</x:f>
      </x:c>
      <x:c r="AA108" s="23" t="str">
        <x:f>IF(C108="","",IF(AQ108&lt;&gt;"Ready","Unavailable",IF(C108="","",O108*(1-IF(INDEX('Facilities'!$AA$9:$AA$108,MATCH(C108,'Facilities'!$C$9:$C$108,0))=0,0,MIN(1,INDEX('Facilities'!$X$9:$X$108,MATCH(C108,'Facilities'!$C$9:$C$108,0))/INDEX('Facilities'!$AA$9:$AA$108,MATCH(C108,'Facilities'!$C$9:$C$108,0)))))*AF108+P108*(1-IF(INDEX('Facilities'!$AA$9:$AA$108,MATCH(C108,'Facilities'!$C$9:$C$108,0))=0,0,MIN(1,INDEX('Facilities'!$X$9:$X$108,MATCH(C108,'Facilities'!$C$9:$C$108,0))/INDEX('Facilities'!$AA$9:$AA$108,MATCH(C108,'Facilities'!$C$9:$C$108,0)))))*INDEX('Facilities'!$AJ$9:$AJ$108,MATCH(C108,'Facilities'!$C$9:$C$108,0))+Q108*INDEX('Facilities'!$AI$9:$AI$108,MATCH(C108,'Facilities'!$C$9:$C$108,0))*AF108)))</x:f>
      </x:c>
      <x:c r="AB108" s="21" t="str">
        <x:f>IF(C108="","",O108+P108-AD108)</x:f>
      </x:c>
      <x:c r="AC108" s="23" t="str">
        <x:f>IF(C108="","",IFERROR(IF(INDEX('Facilities'!$AD$9:$AD$108,MATCH(C108,'Facilities'!$C$9:$C$108,0))=3,0,IF(INDEX('Facilities'!$AN$9:$AN$108,MATCH(C108,'Facilities'!$C$9:$C$108,0))=0,-1,INDEX('Facilities'!$AN$9:$AN$108,MATCH(C108,'Facilities'!$C$9:$C$108,0)))),"Unavailable"))</x:f>
      </x:c>
      <x:c r="AD108" s="21" t="str">
        <x:f>IF(C108="","",IFERROR(G108+H108,"Unavailable"))</x:f>
      </x:c>
      <x:c r="AE108" s="21" t="str">
        <x:f>IF(C108="","",IF(AQ108&lt;&gt;"Ready","Unavailable",IF(C108="","",O108+P108-AD108-J108+K108+M108+N108)))</x:f>
      </x:c>
      <x:c r="AF108" s="30" t="str">
        <x:f>IF(C108="","",IFERROR(INDEX('Facilities'!$S$9:$S$108,MATCH(C108,'Facilities'!$C$9:$C$108,0))*'Scenario Paths'!F75,"Unavailable"))</x:f>
      </x:c>
      <x:c r="AG108" s="23" t="str">
        <x:f>IF(C108="","",IF(AQ108&lt;&gt;"Ready","Unavailable",IF(C108="","",IF(H108&gt;0,MAX(0,H108-AK108)*((1+INDEX('Facilities'!$K$9:$K$108,MATCH(C108,'Facilities'!$C$9:$C$108,0)))^MIN(1,MAX(0,AC108+INDEX('Facilities'!$AK$9:$AK$108,MATCH(C108,'Facilities'!$C$9:$C$108,0))-D108+1))-1),0))))</x:f>
      </x:c>
      <x:c r="AH108" s="21" t="str">
        <x:f>IF(C108="","",IF(AQ108&lt;&gt;"Ready","Unavailable",IF(C108="","",O108+P108)))</x:f>
      </x:c>
      <x:c r="AI108" s="21" t="str">
        <x:f>IF(C108="","",IF(AQ108&lt;&gt;"Ready","Unavailable",IF(C108="","",Z108-Y108)))</x:f>
      </x:c>
      <x:c r="AJ108" s="23" t="str">
        <x:f>IF(C108="","",IFERROR(MAX(0,INDEX('Facilities'!$J$9:$J$108,MATCH(C108,'Facilities'!$C$9:$C$108,0))-D108),"Unavailable"))</x:f>
      </x:c>
      <x:c r="AK108" s="23" t="str">
        <x:f>IF(C108="","",IFERROR(IF(INDEX('Facilities'!$AD$9:$AD$108,MATCH(C108,'Facilities'!$C$9:$C$108,0))=3,W108,0),"Unavailable"))</x:f>
      </x:c>
      <x:c r="AL108" s="23" t="str">
        <x:f>IF(C108="","",IFERROR(IF(P108&gt;0,P108*(1-AM108/(1+INDEX('Facilities'!$K$9:$K$108,MATCH(C108,'Facilities'!$C$9:$C$108,0)))^MAX(0,AC108+INDEX('Facilities'!$AK$9:$AK$108,MATCH(C108,'Facilities'!$C$9:$C$108,0))-D108)),0),"Unavailable"))</x:f>
      </x:c>
      <x:c r="AM108" s="30" t="str">
        <x:f>IF(C108="","",IFERROR(INDEX('Facilities'!$AL$9:$AL$108,MATCH(C108,'Facilities'!$C$9:$C$108,0)),"Unavailable"))</x:f>
      </x:c>
      <x:c r="AN108" s="30" t="str">
        <x:f>IF(C108="","",IFERROR(INDEX(Credit!$T$9:$T$108,MATCH(F108,Credit!$C$9:$C$108,0)),"Unavailable"))</x:f>
      </x:c>
      <x:c r="AO108" s="23" t="str">
        <x:f>IF(C108="","",IF(AQ108&lt;&gt;"Ready","Unavailable",IF(C108="","",O108+P108+Q108*INDEX('Facilities'!$I$9:$I$108,MATCH(C108,'Facilities'!$C$9:$C$108,0)))))</x:f>
      </x:c>
      <x:c r="AP108" s="21" t="str">
        <x:f>IF(C108="","",IF(AQ108&lt;&gt;"Ready","Unavailable",IF(C108="","",AH108-U108)))</x:f>
      </x:c>
      <x:c r="AQ108" s="23" t="str">
        <x:f>IFERROR(IF(C108="","",IF(AND(INDEX('Facilities'!$AF$9:$AF$108,MATCH(C108,'Facilities'!$C$9:$C$108,0))="Ready",INDEX(Credit!$U$9:$U$108,MATCH(F108,Credit!$C$9:$C$108,0))="Ready",ISNUMBER(W108)),"Ready","Review inputs")),"Review inputs")</x:f>
      </x:c>
      <x:c r="AR108" s="23" t="str">
        <x:f>IF(C108="","",IF(AQ108&lt;&gt;"Ready","Unavailable",IF(C108="","",IF(O108=0,0,(IF(AJ108&lt;=1,O108,O108*INDEX('Facilities'!$R$9:$R$108,MATCH(C108,'Facilities'!$C$9:$C$108,0)))+O108*INDEX('Facilities'!$T$9:$T$108,MATCH(C108,'Facilities'!$C$9:$C$108,0)))/12))))</x:f>
      </x:c>
    </x:row>
    <x:row r="109" ht="26" customHeight="1">
      <x:c r="A109" s="1"/>
      <x:c r="B109" s="1"/>
      <x:c r="C109" s="9" t="str">
        <x:f>IF(Facilities!C9="","",Facilities!C9)</x:f>
        <x:v>F001</x:v>
      </x:c>
      <x:c r="D109" s="3" t="n">
        <x:v>2</x:v>
      </x:c>
      <x:c r="E109" s="9" t="n">
        <x:f>Settings!$F$18+1</x:f>
        <x:v>2028</x:v>
      </x:c>
      <x:c r="F109" s="9" t="str">
        <x:f>IF(C109="","",IFERROR(INDEX('Facilities'!$D$9:$D$108,MATCH(C109,'Facilities'!$C$9:$C$108,0)),"Unavailable"))</x:f>
        <x:v>B001</x:v>
      </x:c>
      <x:c r="G109" s="21" t="n">
        <x:f>IF(C109="","",IFERROR(O9,"Unavailable"))</x:f>
        <x:v>4.4750000000000005</x:v>
      </x:c>
      <x:c r="H109" s="21" t="n">
        <x:f>IF(C109="","",IFERROR(P9,"Unavailable"))</x:f>
        <x:v>0</x:v>
      </x:c>
      <x:c r="I109" s="21" t="n">
        <x:f>IF(C109="","",IFERROR(Q9,"Unavailable"))</x:f>
        <x:v>1.425</x:v>
      </x:c>
      <x:c r="J109" s="23" t="n">
        <x:f>IF(C109="","",IFERROR(IF(OR(H109&gt;0,AND(AC109&gt;=0,AC109&lt;D109),D109&gt;INDEX('Facilities'!$J$9:$J$108,MATCH(C109,'Facilities'!$C$9:$C$108,0))),0,I109*'Scenario Paths'!G81),"Unavailable"))</x:f>
        <x:v>0.114</x:v>
      </x:c>
      <x:c r="K109" s="23" t="n">
        <x:f>IF(C109="","",IFERROR(IF(OR(H109&gt;0,AND(AC109&gt;=0,AC109=D109)),0,IF(D109&gt;=INDEX('Facilities'!$J$9:$J$108,MATCH(C109,'Facilities'!$C$9:$C$108,0)),G109+J109,MIN(G109+J109,G109*INDEX('Facilities'!$R$9:$R$108,MATCH(C109,'Facilities'!$C$9:$C$108,0))))),"Unavailable"))</x:f>
        <x:v>0.537</x:v>
      </x:c>
      <x:c r="L109" s="21" t="n">
        <x:f>IF(C109="","",IFERROR(IF(AND(AC109=D109,AC109&gt;0),MAX(0,G109+J109-K109),0),"Unavailable"))</x:f>
        <x:v>0</x:v>
      </x:c>
      <x:c r="M109" s="23" t="n">
        <x:f>IF(C109="","",IFERROR(IF(AND(AC109&gt;=0,D109&gt;=AC109+INDEX('Facilities'!$AK$9:$AK$108,MATCH(C109,'Facilities'!$C$9:$C$108,0))),(H109+L109)*AM109,0),"Unavailable"))</x:f>
        <x:v>0</x:v>
      </x:c>
      <x:c r="N109" s="23" t="n">
        <x:f>IF(C109="","",IFERROR(IF(AND(AC109&gt;=0,D109&gt;=AC109+INDEX('Facilities'!$AK$9:$AK$108,MATCH(C109,'Facilities'!$C$9:$C$108,0))),H109+L109-M109,0),"Unavailable"))</x:f>
        <x:v>0</x:v>
      </x:c>
      <x:c r="O109" s="21" t="n">
        <x:f>IF(C109="","",IFERROR(MAX(0,G109+J109-K109-L109),"Unavailable"))</x:f>
        <x:v>4.0520000000000005</x:v>
      </x:c>
      <x:c r="P109" s="21" t="n">
        <x:f>IF(C109="","",IFERROR(MAX(0,H109+L109-M109-N109),"Unavailable"))</x:f>
        <x:v>0</x:v>
      </x:c>
      <x:c r="Q109" s="23" t="n">
        <x:f>IF(C109="","",IFERROR(IF(OR(D109&gt;=INDEX('Facilities'!$J$9:$J$108,MATCH(C109,'Facilities'!$C$9:$C$108,0)),AND(AC109&gt;=0,AC109&lt;=D109)),0,MAX(0,I109-J109)),"Unavailable"))</x:f>
        <x:v>1.311</x:v>
      </x:c>
      <x:c r="R109" s="30" t="n">
        <x:f>IF(C109="","",IFERROR(INDEX(Credit!$Q$109:$Q$208,MATCH(F109,Credit!$C$109:$C$208,0)),"Unavailable"))</x:f>
        <x:v>0.022783535998504204</x:v>
      </x:c>
      <x:c r="S109" s="30" t="n">
        <x:f>IF(C109="","",IFERROR(INDEX(Credit!$R$109:$R$208,MATCH(F109,Credit!$C$109:$C$208,0)),"Unavailable"))</x:f>
        <x:v>0.2804032</x:v>
      </x:c>
      <x:c r="T109" s="23" t="n">
        <x:f>IF(C109="","",IFERROR(IF(P109&gt;0,3,IF(OR(INDEX('Facilities'!$AD$9:$AD$108,MATCH(C109,'Facilities'!$C$9:$C$108,0))=2,AND(R109&gt;=INDEX('Facilities'!$L$9:$L$108,MATCH(C109,'Facilities'!$C$9:$C$108,0))*Settings!$F$19,R109-INDEX('Facilities'!$L$9:$L$108,MATCH(C109,'Facilities'!$C$9:$C$108,0))&gt;=Settings!$F$20)),2,1)),"Unavailable"))</x:f>
        <x:v>2</x:v>
      </x:c>
      <x:c r="U109" s="23" t="n">
        <x:f>IF(C109="","",IF(AQ109&lt;&gt;"Ready","Unavailable",IF(C109="","",O109*(1-(1-S109)/(1+INDEX('Facilities'!$K$9:$K$108,MATCH(C109,'Facilities'!$C$9:$C$108,0)))^INDEX('Facilities'!$AK$9:$AK$108,MATCH(C109,'Facilities'!$C$9:$C$108,0)))*R109/(1+INDEX('Facilities'!$K$9:$K$108,MATCH(C109,'Facilities'!$C$9:$C$108,0)))*IF(ABS(1-(1-R109)*(1-INDEX('Facilities'!$R$9:$R$108,MATCH(C109,'Facilities'!$C$9:$C$108,0)))/(1+INDEX('Facilities'!$K$9:$K$108,MATCH(C109,'Facilities'!$C$9:$C$108,0))))&lt;0.000000001,IF(T109=1,MIN(1,AJ109),AJ109),(1-((1-R109)*(1-INDEX('Facilities'!$R$9:$R$108,MATCH(C109,'Facilities'!$C$9:$C$108,0)))/(1+INDEX('Facilities'!$K$9:$K$108,MATCH(C109,'Facilities'!$C$9:$C$108,0))))^IF(T109=1,MIN(1,AJ109),AJ109))/(1-(1-R109)*(1-INDEX('Facilities'!$R$9:$R$108,MATCH(C109,'Facilities'!$C$9:$C$108,0)))/(1+INDEX('Facilities'!$K$9:$K$108,MATCH(C109,'Facilities'!$C$9:$C$108,0)))))+AL109)))</x:f>
        <x:v>0.14424450813324763</x:v>
      </x:c>
      <x:c r="V109" s="23" t="n">
        <x:f>IF(C109="","",IF(AQ109&lt;&gt;"Ready","Unavailable",IF(C109="","",Q109*INDEX('Facilities'!$I$9:$I$108,MATCH(C109,'Facilities'!$C$9:$C$108,0))*(1-(1-S109)/(1+INDEX('Facilities'!$K$9:$K$108,MATCH(C109,'Facilities'!$C$9:$C$108,0)))^INDEX('Facilities'!$AK$9:$AK$108,MATCH(C109,'Facilities'!$C$9:$C$108,0)))*R109/(1+INDEX('Facilities'!$K$9:$K$108,MATCH(C109,'Facilities'!$C$9:$C$108,0)))*IF(ABS(1-(1-R109)*(1-0)/(1+INDEX('Facilities'!$K$9:$K$108,MATCH(C109,'Facilities'!$C$9:$C$108,0))))&lt;0.000000001,IF(T109=1,MIN(1,AJ109),AJ109),(1-((1-R109)*(1-0)/(1+INDEX('Facilities'!$K$9:$K$108,MATCH(C109,'Facilities'!$C$9:$C$108,0))))^IF(T109=1,MIN(1,AJ109),AJ109))/(1-(1-R109)*(1-0)/(1+INDEX('Facilities'!$K$9:$K$108,MATCH(C109,'Facilities'!$C$9:$C$108,0))))))))</x:f>
        <x:v>0.03518515774166511</x:v>
      </x:c>
      <x:c r="W109" s="21" t="n">
        <x:f>IF(C109="","",IFERROR(U9,"Unavailable"))</x:f>
        <x:v>0.12428444732042254</x:v>
      </x:c>
      <x:c r="X109" s="21" t="n">
        <x:f>IF(C109="","",IFERROR(V9,"Unavailable"))</x:f>
        <x:v>0.03097092754379989</x:v>
      </x:c>
      <x:c r="Y109" s="21" t="n">
        <x:f>IF(C109="","",IF(AQ109&lt;&gt;"Ready","Unavailable",IF(C109="","",U109-W109+V109-X109+N109+AG109)))</x:f>
        <x:v>0.02417429101069031</x:v>
      </x:c>
      <x:c r="Z109" s="23" t="n">
        <x:f>IF(C109="","",IF(AQ109&lt;&gt;"Ready","Unavailable",IF(C109="","",(G109+O109+L109)/2*INDEX('Facilities'!$T$9:$T$108,MATCH(C109,'Facilities'!$C$9:$C$108,0))+AG109)))</x:f>
        <x:v>0.4050325000000001</x:v>
      </x:c>
      <x:c r="AA109" s="23" t="n">
        <x:f>IF(C109="","",IF(AQ109&lt;&gt;"Ready","Unavailable",IF(C109="","",O109*(1-IF(INDEX('Facilities'!$AA$9:$AA$108,MATCH(C109,'Facilities'!$C$9:$C$108,0))=0,0,MIN(1,INDEX('Facilities'!$X$9:$X$108,MATCH(C109,'Facilities'!$C$9:$C$108,0))/INDEX('Facilities'!$AA$9:$AA$108,MATCH(C109,'Facilities'!$C$9:$C$108,0)))))*AF109+P109*(1-IF(INDEX('Facilities'!$AA$9:$AA$108,MATCH(C109,'Facilities'!$C$9:$C$108,0))=0,0,MIN(1,INDEX('Facilities'!$X$9:$X$108,MATCH(C109,'Facilities'!$C$9:$C$108,0))/INDEX('Facilities'!$AA$9:$AA$108,MATCH(C109,'Facilities'!$C$9:$C$108,0)))))*INDEX('Facilities'!$AJ$9:$AJ$108,MATCH(C109,'Facilities'!$C$9:$C$108,0))+Q109*INDEX('Facilities'!$AI$9:$AI$108,MATCH(C109,'Facilities'!$C$9:$C$108,0))*AF109)))</x:f>
        <x:v>4.9142840880000005</x:v>
      </x:c>
      <x:c r="AB109" s="21" t="n">
        <x:f>IF(C109="","",O109+P109-AD109)</x:f>
        <x:v>-0.42300000000000004</x:v>
      </x:c>
      <x:c r="AC109" s="23" t="n">
        <x:f>IF(C109="","",IFERROR(IF(INDEX('Facilities'!$AD$9:$AD$108,MATCH(C109,'Facilities'!$C$9:$C$108,0))=3,0,IF(INDEX('Facilities'!$AN$9:$AN$108,MATCH(C109,'Facilities'!$C$9:$C$108,0))=0,-1,INDEX('Facilities'!$AN$9:$AN$108,MATCH(C109,'Facilities'!$C$9:$C$108,0)))),"Unavailable"))</x:f>
        <x:v>-1</x:v>
      </x:c>
      <x:c r="AD109" s="21" t="n">
        <x:f>IF(C109="","",IFERROR(G109+H109,"Unavailable"))</x:f>
        <x:v>4.4750000000000005</x:v>
      </x:c>
      <x:c r="AE109" s="21" t="n">
        <x:f>IF(C109="","",IF(AQ109&lt;&gt;"Ready","Unavailable",IF(C109="","",O109+P109-AD109-J109+K109+M109+N109)))</x:f>
        <x:v>0</x:v>
      </x:c>
      <x:c r="AF109" s="30" t="n">
        <x:f>IF(C109="","",IFERROR(INDEX('Facilities'!$S$9:$S$108,MATCH(C109,'Facilities'!$C$9:$C$108,0))*'Scenario Paths'!G75,"Unavailable"))</x:f>
        <x:v>1.05</x:v>
      </x:c>
      <x:c r="AG109" s="23" t="n">
        <x:f>IF(C109="","",IF(AQ109&lt;&gt;"Ready","Unavailable",IF(C109="","",IF(H109&gt;0,MAX(0,H109-AK109)*((1+INDEX('Facilities'!$K$9:$K$108,MATCH(C109,'Facilities'!$C$9:$C$108,0)))^MIN(1,MAX(0,AC109+INDEX('Facilities'!$AK$9:$AK$108,MATCH(C109,'Facilities'!$C$9:$C$108,0))-D109+1))-1),0))))</x:f>
        <x:v>0</x:v>
      </x:c>
      <x:c r="AH109" s="21" t="n">
        <x:f>IF(C109="","",IF(AQ109&lt;&gt;"Ready","Unavailable",IF(C109="","",O109+P109)))</x:f>
        <x:v>4.0520000000000005</x:v>
      </x:c>
      <x:c r="AI109" s="21" t="n">
        <x:f>IF(C109="","",IF(AQ109&lt;&gt;"Ready","Unavailable",IF(C109="","",Z109-Y109)))</x:f>
        <x:v>0.3808582089893098</x:v>
      </x:c>
      <x:c r="AJ109" s="23" t="n">
        <x:f>IF(C109="","",IFERROR(MAX(0,INDEX('Facilities'!$J$9:$J$108,MATCH(C109,'Facilities'!$C$9:$C$108,0))-D109),"Unavailable"))</x:f>
        <x:v>10</x:v>
      </x:c>
      <x:c r="AK109" s="21" t="n">
        <x:f>IF(C109="","",IFERROR(AL9,"Unavailable"))</x:f>
        <x:v>0</x:v>
      </x:c>
      <x:c r="AL109" s="23" t="n">
        <x:f>IF(C109="","",IFERROR(IF(P109&gt;0,P109*(1-AM109/(1+INDEX('Facilities'!$K$9:$K$108,MATCH(C109,'Facilities'!$C$9:$C$108,0)))^MAX(0,AC109+INDEX('Facilities'!$AK$9:$AK$108,MATCH(C109,'Facilities'!$C$9:$C$108,0))-D109)),0),"Unavailable"))</x:f>
        <x:v>0</x:v>
      </x:c>
      <x:c r="AM109" s="30" t="n">
        <x:f>IF(C109="","",IFERROR(INDEX('Facilities'!$AL$9:$AL$108,MATCH(C109,'Facilities'!$C$9:$C$108,0)),"Unavailable"))</x:f>
        <x:v>0.55</x:v>
      </x:c>
      <x:c r="AN109" s="30" t="n">
        <x:f>IF(C109="","",IFERROR(INDEX(Credit!$T$109:$T$208,MATCH(F109,Credit!$C$109:$C$208,0)),"Unavailable"))</x:f>
        <x:v>0.0005600000000000001</x:v>
      </x:c>
      <x:c r="AO109" s="23" t="n">
        <x:f>IF(C109="","",IF(AQ109&lt;&gt;"Ready","Unavailable",IF(C109="","",O109+P109+Q109*INDEX('Facilities'!$I$9:$I$108,MATCH(C109,'Facilities'!$C$9:$C$108,0)))))</x:f>
        <x:v>4.7075000000000005</x:v>
      </x:c>
      <x:c r="AP109" s="21" t="n">
        <x:f>IF(C109="","",IF(AQ109&lt;&gt;"Ready","Unavailable",IF(C109="","",AH109-U109)))</x:f>
        <x:v>3.907755491866753</x:v>
      </x:c>
      <x:c r="AQ109" s="23" t="str">
        <x:f>IFERROR(IF(C109="","",IF(AND(INDEX('Facilities'!$AF$9:$AF$108,MATCH(C109,'Facilities'!$C$9:$C$108,0))="Ready",INDEX(Credit!$U$109:$U$208,MATCH(F109,Credit!$C$109:$C$208,0))="Ready",ISNUMBER(W109)),"Ready","Review inputs")),"Review inputs")</x:f>
        <x:v>Ready</x:v>
      </x:c>
      <x:c r="AR109" s="23" t="n">
        <x:f>IF(C109="","",IF(AQ109&lt;&gt;"Ready","Unavailable",IF(C109="","",IF(O109=0,0,(IF(AJ109&lt;=1,O109,O109*INDEX('Facilities'!$R$9:$R$108,MATCH(C109,'Facilities'!$C$9:$C$108,0)))+O109*INDEX('Facilities'!$T$9:$T$108,MATCH(C109,'Facilities'!$C$9:$C$108,0)))/12))))</x:f>
        <x:v>0.07259833333333333</x:v>
      </x:c>
    </x:row>
    <x:row r="110" ht="26" customHeight="1">
      <x:c r="A110" s="1"/>
      <x:c r="B110" s="1"/>
      <x:c r="C110" s="9" t="str">
        <x:f>IF(Facilities!C10="","",Facilities!C10)</x:f>
        <x:v>F002</x:v>
      </x:c>
      <x:c r="D110" s="3" t="n">
        <x:v>2</x:v>
      </x:c>
      <x:c r="E110" s="9" t="n">
        <x:f>Settings!$F$18+1</x:f>
        <x:v>2028</x:v>
      </x:c>
      <x:c r="F110" s="9" t="str">
        <x:f>IF(C110="","",IFERROR(INDEX('Facilities'!$D$9:$D$108,MATCH(C110,'Facilities'!$C$9:$C$108,0)),"Unavailable"))</x:f>
        <x:v>B001</x:v>
      </x:c>
      <x:c r="G110" s="21" t="n">
        <x:f>IF(C110="","",IFERROR(O10,"Unavailable"))</x:f>
        <x:v>2.225</x:v>
      </x:c>
      <x:c r="H110" s="21" t="n">
        <x:f>IF(C110="","",IFERROR(P10,"Unavailable"))</x:f>
        <x:v>0</x:v>
      </x:c>
      <x:c r="I110" s="21" t="n">
        <x:f>IF(C110="","",IFERROR(Q10,"Unavailable"))</x:f>
        <x:v>0.475</x:v>
      </x:c>
      <x:c r="J110" s="23" t="n">
        <x:f>IF(C110="","",IFERROR(IF(OR(H110&gt;0,AND(AC110&gt;=0,AC110&lt;D110),D110&gt;INDEX('Facilities'!$J$9:$J$108,MATCH(C110,'Facilities'!$C$9:$C$108,0))),0,I110*'Scenario Paths'!G81),"Unavailable"))</x:f>
        <x:v>0.038</x:v>
      </x:c>
      <x:c r="K110" s="23" t="n">
        <x:f>IF(C110="","",IFERROR(IF(OR(H110&gt;0,AND(AC110&gt;=0,AC110=D110)),0,IF(D110&gt;=INDEX('Facilities'!$J$9:$J$108,MATCH(C110,'Facilities'!$C$9:$C$108,0)),G110+J110,MIN(G110+J110,G110*INDEX('Facilities'!$R$9:$R$108,MATCH(C110,'Facilities'!$C$9:$C$108,0))))),"Unavailable"))</x:f>
        <x:v>0.267</x:v>
      </x:c>
      <x:c r="L110" s="21" t="n">
        <x:f>IF(C110="","",IFERROR(IF(AND(AC110=D110,AC110&gt;0),MAX(0,G110+J110-K110),0),"Unavailable"))</x:f>
        <x:v>0</x:v>
      </x:c>
      <x:c r="M110" s="23" t="n">
        <x:f>IF(C110="","",IFERROR(IF(AND(AC110&gt;=0,D110&gt;=AC110+INDEX('Facilities'!$AK$9:$AK$108,MATCH(C110,'Facilities'!$C$9:$C$108,0))),(H110+L110)*AM110,0),"Unavailable"))</x:f>
        <x:v>0</x:v>
      </x:c>
      <x:c r="N110" s="23" t="n">
        <x:f>IF(C110="","",IFERROR(IF(AND(AC110&gt;=0,D110&gt;=AC110+INDEX('Facilities'!$AK$9:$AK$108,MATCH(C110,'Facilities'!$C$9:$C$108,0))),H110+L110-M110,0),"Unavailable"))</x:f>
        <x:v>0</x:v>
      </x:c>
      <x:c r="O110" s="21" t="n">
        <x:f>IF(C110="","",IFERROR(MAX(0,G110+J110-K110-L110),"Unavailable"))</x:f>
        <x:v>1.996</x:v>
      </x:c>
      <x:c r="P110" s="21" t="n">
        <x:f>IF(C110="","",IFERROR(MAX(0,H110+L110-M110-N110),"Unavailable"))</x:f>
        <x:v>0</x:v>
      </x:c>
      <x:c r="Q110" s="23" t="n">
        <x:f>IF(C110="","",IFERROR(IF(OR(D110&gt;=INDEX('Facilities'!$J$9:$J$108,MATCH(C110,'Facilities'!$C$9:$C$108,0)),AND(AC110&gt;=0,AC110&lt;=D110)),0,MAX(0,I110-J110)),"Unavailable"))</x:f>
        <x:v>0.437</x:v>
      </x:c>
      <x:c r="R110" s="30" t="n">
        <x:f>IF(C110="","",IFERROR(INDEX(Credit!$Q$109:$Q$208,MATCH(F110,Credit!$C$109:$C$208,0)),"Unavailable"))</x:f>
        <x:v>0.022783535998504204</x:v>
      </x:c>
      <x:c r="S110" s="30" t="n">
        <x:f>IF(C110="","",IFERROR(INDEX(Credit!$R$109:$R$208,MATCH(F110,Credit!$C$109:$C$208,0)),"Unavailable"))</x:f>
        <x:v>0.2804032</x:v>
      </x:c>
      <x:c r="T110" s="23" t="n">
        <x:f>IF(C110="","",IFERROR(IF(P110&gt;0,3,IF(OR(INDEX('Facilities'!$AD$9:$AD$108,MATCH(C110,'Facilities'!$C$9:$C$108,0))=2,AND(R110&gt;=INDEX('Facilities'!$L$9:$L$108,MATCH(C110,'Facilities'!$C$9:$C$108,0))*Settings!$F$19,R110-INDEX('Facilities'!$L$9:$L$108,MATCH(C110,'Facilities'!$C$9:$C$108,0))&gt;=Settings!$F$20)),2,1)),"Unavailable"))</x:f>
        <x:v>2</x:v>
      </x:c>
      <x:c r="U110" s="23" t="n">
        <x:f>IF(C110="","",IF(AQ110&lt;&gt;"Ready","Unavailable",IF(C110="","",O110*(1-(1-S110)/(1+INDEX('Facilities'!$K$9:$K$108,MATCH(C110,'Facilities'!$C$9:$C$108,0)))^INDEX('Facilities'!$AK$9:$AK$108,MATCH(C110,'Facilities'!$C$9:$C$108,0)))*R110/(1+INDEX('Facilities'!$K$9:$K$108,MATCH(C110,'Facilities'!$C$9:$C$108,0)))*IF(ABS(1-(1-R110)*(1-INDEX('Facilities'!$R$9:$R$108,MATCH(C110,'Facilities'!$C$9:$C$108,0)))/(1+INDEX('Facilities'!$K$9:$K$108,MATCH(C110,'Facilities'!$C$9:$C$108,0))))&lt;0.000000001,IF(T110=1,MIN(1,AJ110),AJ110),(1-((1-R110)*(1-INDEX('Facilities'!$R$9:$R$108,MATCH(C110,'Facilities'!$C$9:$C$108,0)))/(1+INDEX('Facilities'!$K$9:$K$108,MATCH(C110,'Facilities'!$C$9:$C$108,0))))^IF(T110=1,MIN(1,AJ110),AJ110))/(1-(1-R110)*(1-INDEX('Facilities'!$R$9:$R$108,MATCH(C110,'Facilities'!$C$9:$C$108,0)))/(1+INDEX('Facilities'!$K$9:$K$108,MATCH(C110,'Facilities'!$C$9:$C$108,0)))))+AL110)))</x:f>
        <x:v>0.07105430361154054</x:v>
      </x:c>
      <x:c r="V110" s="23" t="n">
        <x:f>IF(C110="","",IF(AQ110&lt;&gt;"Ready","Unavailable",IF(C110="","",Q110*INDEX('Facilities'!$I$9:$I$108,MATCH(C110,'Facilities'!$C$9:$C$108,0))*(1-(1-S110)/(1+INDEX('Facilities'!$K$9:$K$108,MATCH(C110,'Facilities'!$C$9:$C$108,0)))^INDEX('Facilities'!$AK$9:$AK$108,MATCH(C110,'Facilities'!$C$9:$C$108,0)))*R110/(1+INDEX('Facilities'!$K$9:$K$108,MATCH(C110,'Facilities'!$C$9:$C$108,0)))*IF(ABS(1-(1-R110)*(1-0)/(1+INDEX('Facilities'!$K$9:$K$108,MATCH(C110,'Facilities'!$C$9:$C$108,0))))&lt;0.000000001,IF(T110=1,MIN(1,AJ110),AJ110),(1-((1-R110)*(1-0)/(1+INDEX('Facilities'!$K$9:$K$108,MATCH(C110,'Facilities'!$C$9:$C$108,0))))^IF(T110=1,MIN(1,AJ110),AJ110))/(1-(1-R110)*(1-0)/(1+INDEX('Facilities'!$K$9:$K$108,MATCH(C110,'Facilities'!$C$9:$C$108,0))))))))</x:f>
        <x:v>0.01172838591388837</x:v>
      </x:c>
      <x:c r="W110" s="21" t="n">
        <x:f>IF(C110="","",IFERROR(U10,"Unavailable"))</x:f>
        <x:v>0.06179506039953969</x:v>
      </x:c>
      <x:c r="X110" s="21" t="n">
        <x:f>IF(C110="","",IFERROR(V10,"Unavailable"))</x:f>
        <x:v>0.010323642514599963</x:v>
      </x:c>
      <x:c r="Y110" s="21" t="n">
        <x:f>IF(C110="","",IF(AQ110&lt;&gt;"Ready","Unavailable",IF(C110="","",U110-W110+V110-X110+N110+AG110)))</x:f>
        <x:v>0.010663986611289254</x:v>
      </x:c>
      <x:c r="Z110" s="23" t="n">
        <x:f>IF(C110="","",IF(AQ110&lt;&gt;"Ready","Unavailable",IF(C110="","",(G110+O110+L110)/2*INDEX('Facilities'!$T$9:$T$108,MATCH(C110,'Facilities'!$C$9:$C$108,0))+AG110)))</x:f>
        <x:v>0.2004975</x:v>
      </x:c>
      <x:c r="AA110" s="23" t="n">
        <x:f>IF(C110="","",IF(AQ110&lt;&gt;"Ready","Unavailable",IF(C110="","",O110*(1-IF(INDEX('Facilities'!$AA$9:$AA$108,MATCH(C110,'Facilities'!$C$9:$C$108,0))=0,0,MIN(1,INDEX('Facilities'!$X$9:$X$108,MATCH(C110,'Facilities'!$C$9:$C$108,0))/INDEX('Facilities'!$AA$9:$AA$108,MATCH(C110,'Facilities'!$C$9:$C$108,0)))))*AF110+P110*(1-IF(INDEX('Facilities'!$AA$9:$AA$108,MATCH(C110,'Facilities'!$C$9:$C$108,0))=0,0,MIN(1,INDEX('Facilities'!$X$9:$X$108,MATCH(C110,'Facilities'!$C$9:$C$108,0))/INDEX('Facilities'!$AA$9:$AA$108,MATCH(C110,'Facilities'!$C$9:$C$108,0)))))*INDEX('Facilities'!$AJ$9:$AJ$108,MATCH(C110,'Facilities'!$C$9:$C$108,0))+Q110*INDEX('Facilities'!$AI$9:$AI$108,MATCH(C110,'Facilities'!$C$9:$C$108,0))*AF110)))</x:f>
        <x:v>2.3111412240000004</x:v>
      </x:c>
      <x:c r="AB110" s="21" t="n">
        <x:f>IF(C110="","",O110+P110-AD110)</x:f>
        <x:v>-0.2290000000000001</x:v>
      </x:c>
      <x:c r="AC110" s="23" t="n">
        <x:f>IF(C110="","",IFERROR(IF(INDEX('Facilities'!$AD$9:$AD$108,MATCH(C110,'Facilities'!$C$9:$C$108,0))=3,0,IF(INDEX('Facilities'!$AN$9:$AN$108,MATCH(C110,'Facilities'!$C$9:$C$108,0))=0,-1,INDEX('Facilities'!$AN$9:$AN$108,MATCH(C110,'Facilities'!$C$9:$C$108,0)))),"Unavailable"))</x:f>
        <x:v>-1</x:v>
      </x:c>
      <x:c r="AD110" s="21" t="n">
        <x:f>IF(C110="","",IFERROR(G110+H110,"Unavailable"))</x:f>
        <x:v>2.225</x:v>
      </x:c>
      <x:c r="AE110" s="21" t="n">
        <x:f>IF(C110="","",IF(AQ110&lt;&gt;"Ready","Unavailable",IF(C110="","",O110+P110-AD110-J110+K110+M110+N110)))</x:f>
        <x:v>-5.551115123125783e-17</x:v>
      </x:c>
      <x:c r="AF110" s="30" t="n">
        <x:f>IF(C110="","",IFERROR(INDEX('Facilities'!$S$9:$S$108,MATCH(C110,'Facilities'!$C$9:$C$108,0))*'Scenario Paths'!G75,"Unavailable"))</x:f>
        <x:v>1.05</x:v>
      </x:c>
      <x:c r="AG110" s="23" t="n">
        <x:f>IF(C110="","",IF(AQ110&lt;&gt;"Ready","Unavailable",IF(C110="","",IF(H110&gt;0,MAX(0,H110-AK110)*((1+INDEX('Facilities'!$K$9:$K$108,MATCH(C110,'Facilities'!$C$9:$C$108,0)))^MIN(1,MAX(0,AC110+INDEX('Facilities'!$AK$9:$AK$108,MATCH(C110,'Facilities'!$C$9:$C$108,0))-D110+1))-1),0))))</x:f>
        <x:v>0</x:v>
      </x:c>
      <x:c r="AH110" s="21" t="n">
        <x:f>IF(C110="","",IF(AQ110&lt;&gt;"Ready","Unavailable",IF(C110="","",O110+P110)))</x:f>
        <x:v>1.996</x:v>
      </x:c>
      <x:c r="AI110" s="21" t="n">
        <x:f>IF(C110="","",IF(AQ110&lt;&gt;"Ready","Unavailable",IF(C110="","",Z110-Y110)))</x:f>
        <x:v>0.18983351338871074</x:v>
      </x:c>
      <x:c r="AJ110" s="23" t="n">
        <x:f>IF(C110="","",IFERROR(MAX(0,INDEX('Facilities'!$J$9:$J$108,MATCH(C110,'Facilities'!$C$9:$C$108,0))-D110),"Unavailable"))</x:f>
        <x:v>10</x:v>
      </x:c>
      <x:c r="AK110" s="21" t="n">
        <x:f>IF(C110="","",IFERROR(AL10,"Unavailable"))</x:f>
        <x:v>0</x:v>
      </x:c>
      <x:c r="AL110" s="23" t="n">
        <x:f>IF(C110="","",IFERROR(IF(P110&gt;0,P110*(1-AM110/(1+INDEX('Facilities'!$K$9:$K$108,MATCH(C110,'Facilities'!$C$9:$C$108,0)))^MAX(0,AC110+INDEX('Facilities'!$AK$9:$AK$108,MATCH(C110,'Facilities'!$C$9:$C$108,0))-D110)),0),"Unavailable"))</x:f>
        <x:v>0</x:v>
      </x:c>
      <x:c r="AM110" s="30" t="n">
        <x:f>IF(C110="","",IFERROR(INDEX('Facilities'!$AL$9:$AL$108,MATCH(C110,'Facilities'!$C$9:$C$108,0)),"Unavailable"))</x:f>
        <x:v>0.55</x:v>
      </x:c>
      <x:c r="AN110" s="30" t="n">
        <x:f>IF(C110="","",IFERROR(INDEX(Credit!$T$109:$T$208,MATCH(F110,Credit!$C$109:$C$208,0)),"Unavailable"))</x:f>
        <x:v>0.0005600000000000001</x:v>
      </x:c>
      <x:c r="AO110" s="23" t="n">
        <x:f>IF(C110="","",IF(AQ110&lt;&gt;"Ready","Unavailable",IF(C110="","",O110+P110+Q110*INDEX('Facilities'!$I$9:$I$108,MATCH(C110,'Facilities'!$C$9:$C$108,0)))))</x:f>
        <x:v>2.2145</x:v>
      </x:c>
      <x:c r="AP110" s="21" t="n">
        <x:f>IF(C110="","",IF(AQ110&lt;&gt;"Ready","Unavailable",IF(C110="","",AH110-U110)))</x:f>
        <x:v>1.9249456963884595</x:v>
      </x:c>
      <x:c r="AQ110" s="23" t="str">
        <x:f>IFERROR(IF(C110="","",IF(AND(INDEX('Facilities'!$AF$9:$AF$108,MATCH(C110,'Facilities'!$C$9:$C$108,0))="Ready",INDEX(Credit!$U$109:$U$208,MATCH(F110,Credit!$C$109:$C$208,0))="Ready",ISNUMBER(W110)),"Ready","Review inputs")),"Review inputs")</x:f>
        <x:v>Ready</x:v>
      </x:c>
      <x:c r="AR110" s="23" t="n">
        <x:f>IF(C110="","",IF(AQ110&lt;&gt;"Ready","Unavailable",IF(C110="","",IF(O110=0,0,(IF(AJ110&lt;=1,O110,O110*INDEX('Facilities'!$R$9:$R$108,MATCH(C110,'Facilities'!$C$9:$C$108,0)))+O110*INDEX('Facilities'!$T$9:$T$108,MATCH(C110,'Facilities'!$C$9:$C$108,0)))/12))))</x:f>
        <x:v>0.035761666666666664</x:v>
      </x:c>
    </x:row>
    <x:row r="111" ht="26" customHeight="1">
      <x:c r="A111" s="1"/>
      <x:c r="B111" s="1"/>
      <x:c r="C111" s="9" t="str">
        <x:f>IF(Facilities!C11="","",Facilities!C11)</x:f>
        <x:v>F003</x:v>
      </x:c>
      <x:c r="D111" s="3" t="n">
        <x:v>2</x:v>
      </x:c>
      <x:c r="E111" s="9" t="n">
        <x:f>Settings!$F$18+1</x:f>
        <x:v>2028</x:v>
      </x:c>
      <x:c r="F111" s="9" t="str">
        <x:f>IF(C111="","",IFERROR(INDEX('Facilities'!$D$9:$D$108,MATCH(C111,'Facilities'!$C$9:$C$108,0)),"Unavailable"))</x:f>
        <x:v>B002</x:v>
      </x:c>
      <x:c r="G111" s="21" t="n">
        <x:f>IF(C111="","",IFERROR(O11,"Unavailable"))</x:f>
        <x:v>4.7829999999999995</x:v>
      </x:c>
      <x:c r="H111" s="21" t="n">
        <x:f>IF(C111="","",IFERROR(P11,"Unavailable"))</x:f>
        <x:v>0</x:v>
      </x:c>
      <x:c r="I111" s="21" t="n">
        <x:f>IF(C111="","",IFERROR(Q11,"Unavailable"))</x:f>
        <x:v>1.425</x:v>
      </x:c>
      <x:c r="J111" s="23" t="n">
        <x:f>IF(C111="","",IFERROR(IF(OR(H111&gt;0,AND(AC111&gt;=0,AC111&lt;D111),D111&gt;INDEX('Facilities'!$J$9:$J$108,MATCH(C111,'Facilities'!$C$9:$C$108,0))),0,I111*'Scenario Paths'!G81),"Unavailable"))</x:f>
        <x:v>0.114</x:v>
      </x:c>
      <x:c r="K111" s="23" t="n">
        <x:f>IF(C111="","",IFERROR(IF(OR(H111&gt;0,AND(AC111&gt;=0,AC111=D111)),0,IF(D111&gt;=INDEX('Facilities'!$J$9:$J$108,MATCH(C111,'Facilities'!$C$9:$C$108,0)),G111+J111,MIN(G111+J111,G111*INDEX('Facilities'!$R$9:$R$108,MATCH(C111,'Facilities'!$C$9:$C$108,0))))),"Unavailable"))</x:f>
        <x:v>0.5739599999999999</x:v>
      </x:c>
      <x:c r="L111" s="21" t="n">
        <x:f>IF(C111="","",IFERROR(IF(AND(AC111=D111,AC111&gt;0),MAX(0,G111+J111-K111),0),"Unavailable"))</x:f>
        <x:v>0</x:v>
      </x:c>
      <x:c r="M111" s="23" t="n">
        <x:f>IF(C111="","",IFERROR(IF(AND(AC111&gt;=0,D111&gt;=AC111+INDEX('Facilities'!$AK$9:$AK$108,MATCH(C111,'Facilities'!$C$9:$C$108,0))),(H111+L111)*AM111,0),"Unavailable"))</x:f>
        <x:v>0</x:v>
      </x:c>
      <x:c r="N111" s="23" t="n">
        <x:f>IF(C111="","",IFERROR(IF(AND(AC111&gt;=0,D111&gt;=AC111+INDEX('Facilities'!$AK$9:$AK$108,MATCH(C111,'Facilities'!$C$9:$C$108,0))),H111+L111-M111,0),"Unavailable"))</x:f>
        <x:v>0</x:v>
      </x:c>
      <x:c r="O111" s="21" t="n">
        <x:f>IF(C111="","",IFERROR(MAX(0,G111+J111-K111-L111),"Unavailable"))</x:f>
        <x:v>4.32304</x:v>
      </x:c>
      <x:c r="P111" s="21" t="n">
        <x:f>IF(C111="","",IFERROR(MAX(0,H111+L111-M111-N111),"Unavailable"))</x:f>
        <x:v>0</x:v>
      </x:c>
      <x:c r="Q111" s="23" t="n">
        <x:f>IF(C111="","",IFERROR(IF(OR(D111&gt;=INDEX('Facilities'!$J$9:$J$108,MATCH(C111,'Facilities'!$C$9:$C$108,0)),AND(AC111&gt;=0,AC111&lt;=D111)),0,MAX(0,I111-J111)),"Unavailable"))</x:f>
        <x:v>1.311</x:v>
      </x:c>
      <x:c r="R111" s="30" t="n">
        <x:f>IF(C111="","",IFERROR(INDEX(Credit!$Q$109:$Q$208,MATCH(F111,Credit!$C$109:$C$208,0)),"Unavailable"))</x:f>
        <x:v>0.018788441404748814</x:v>
      </x:c>
      <x:c r="S111" s="30" t="n">
        <x:f>IF(C111="","",IFERROR(INDEX(Credit!$R$109:$R$208,MATCH(F111,Credit!$C$109:$C$208,0)),"Unavailable"))</x:f>
        <x:v>0.3208704</x:v>
      </x:c>
      <x:c r="T111" s="23" t="n">
        <x:f>IF(C111="","",IFERROR(IF(P111&gt;0,3,IF(OR(INDEX('Facilities'!$AD$9:$AD$108,MATCH(C111,'Facilities'!$C$9:$C$108,0))=2,AND(R111&gt;=INDEX('Facilities'!$L$9:$L$108,MATCH(C111,'Facilities'!$C$9:$C$108,0))*Settings!$F$19,R111-INDEX('Facilities'!$L$9:$L$108,MATCH(C111,'Facilities'!$C$9:$C$108,0))&gt;=Settings!$F$20)),2,1)),"Unavailable"))</x:f>
        <x:v>1</x:v>
      </x:c>
      <x:c r="U111" s="23" t="n">
        <x:f>IF(C111="","",IF(AQ111&lt;&gt;"Ready","Unavailable",IF(C111="","",O111*(1-(1-S111)/(1+INDEX('Facilities'!$K$9:$K$108,MATCH(C111,'Facilities'!$C$9:$C$108,0)))^INDEX('Facilities'!$AK$9:$AK$108,MATCH(C111,'Facilities'!$C$9:$C$108,0)))*R111/(1+INDEX('Facilities'!$K$9:$K$108,MATCH(C111,'Facilities'!$C$9:$C$108,0)))*IF(ABS(1-(1-R111)*(1-INDEX('Facilities'!$R$9:$R$108,MATCH(C111,'Facilities'!$C$9:$C$108,0)))/(1+INDEX('Facilities'!$K$9:$K$108,MATCH(C111,'Facilities'!$C$9:$C$108,0))))&lt;0.000000001,IF(T111=1,MIN(1,AJ111),AJ111),(1-((1-R111)*(1-INDEX('Facilities'!$R$9:$R$108,MATCH(C111,'Facilities'!$C$9:$C$108,0)))/(1+INDEX('Facilities'!$K$9:$K$108,MATCH(C111,'Facilities'!$C$9:$C$108,0))))^IF(T111=1,MIN(1,AJ111),AJ111))/(1-(1-R111)*(1-INDEX('Facilities'!$R$9:$R$108,MATCH(C111,'Facilities'!$C$9:$C$108,0)))/(1+INDEX('Facilities'!$K$9:$K$108,MATCH(C111,'Facilities'!$C$9:$C$108,0)))))+AL111)))</x:f>
        <x:v>0.03141801715438</x:v>
      </x:c>
      <x:c r="V111" s="23" t="n">
        <x:f>IF(C111="","",IF(AQ111&lt;&gt;"Ready","Unavailable",IF(C111="","",Q111*INDEX('Facilities'!$I$9:$I$108,MATCH(C111,'Facilities'!$C$9:$C$108,0))*(1-(1-S111)/(1+INDEX('Facilities'!$K$9:$K$108,MATCH(C111,'Facilities'!$C$9:$C$108,0)))^INDEX('Facilities'!$AK$9:$AK$108,MATCH(C111,'Facilities'!$C$9:$C$108,0)))*R111/(1+INDEX('Facilities'!$K$9:$K$108,MATCH(C111,'Facilities'!$C$9:$C$108,0)))*IF(ABS(1-(1-R111)*(1-0)/(1+INDEX('Facilities'!$K$9:$K$108,MATCH(C111,'Facilities'!$C$9:$C$108,0))))&lt;0.000000001,IF(T111=1,MIN(1,AJ111),AJ111),(1-((1-R111)*(1-0)/(1+INDEX('Facilities'!$K$9:$K$108,MATCH(C111,'Facilities'!$C$9:$C$108,0))))^IF(T111=1,MIN(1,AJ111),AJ111))/(1-(1-R111)*(1-0)/(1+INDEX('Facilities'!$K$9:$K$108,MATCH(C111,'Facilities'!$C$9:$C$108,0))))))))</x:f>
        <x:v>0.004763895371011162</x:v>
      </x:c>
      <x:c r="W111" s="21" t="n">
        <x:f>IF(C111="","",IFERROR(U11,"Unavailable"))</x:f>
        <x:v>0.03401024349170013</x:v>
      </x:c>
      <x:c r="X111" s="21" t="n">
        <x:f>IF(C111="","",IFERROR(V11,"Unavailable"))</x:f>
        <x:v>0.0050663388015547445</x:v>
      </x:c>
      <x:c r="Y111" s="21" t="n">
        <x:f>IF(C111="","",IF(AQ111&lt;&gt;"Ready","Unavailable",IF(C111="","",U111-W111+V111-X111+N111+AG111)))</x:f>
        <x:v>-0.002894669767863709</x:v>
      </x:c>
      <x:c r="Z111" s="23" t="n">
        <x:f>IF(C111="","",IF(AQ111&lt;&gt;"Ready","Unavailable",IF(C111="","",(G111+O111+L111)/2*INDEX('Facilities'!$T$9:$T$108,MATCH(C111,'Facilities'!$C$9:$C$108,0))+AG111)))</x:f>
        <x:v>0.4325369</x:v>
      </x:c>
      <x:c r="AA111" s="23" t="n">
        <x:f>IF(C111="","",IF(AQ111&lt;&gt;"Ready","Unavailable",IF(C111="","",O111*(1-IF(INDEX('Facilities'!$AA$9:$AA$108,MATCH(C111,'Facilities'!$C$9:$C$108,0))=0,0,MIN(1,INDEX('Facilities'!$X$9:$X$108,MATCH(C111,'Facilities'!$C$9:$C$108,0))/INDEX('Facilities'!$AA$9:$AA$108,MATCH(C111,'Facilities'!$C$9:$C$108,0)))))*AF111+P111*(1-IF(INDEX('Facilities'!$AA$9:$AA$108,MATCH(C111,'Facilities'!$C$9:$C$108,0))=0,0,MIN(1,INDEX('Facilities'!$X$9:$X$108,MATCH(C111,'Facilities'!$C$9:$C$108,0))/INDEX('Facilities'!$AA$9:$AA$108,MATCH(C111,'Facilities'!$C$9:$C$108,0)))))*INDEX('Facilities'!$AJ$9:$AJ$108,MATCH(C111,'Facilities'!$C$9:$C$108,0))+Q111*INDEX('Facilities'!$AI$9:$AI$108,MATCH(C111,'Facilities'!$C$9:$C$108,0))*AF111)))</x:f>
        <x:v>5.175175508160001</x:v>
      </x:c>
      <x:c r="AB111" s="21" t="n">
        <x:f>IF(C111="","",O111+P111-AD111)</x:f>
        <x:v>-0.4599599999999997</x:v>
      </x:c>
      <x:c r="AC111" s="23" t="n">
        <x:f>IF(C111="","",IFERROR(IF(INDEX('Facilities'!$AD$9:$AD$108,MATCH(C111,'Facilities'!$C$9:$C$108,0))=3,0,IF(INDEX('Facilities'!$AN$9:$AN$108,MATCH(C111,'Facilities'!$C$9:$C$108,0))=0,-1,INDEX('Facilities'!$AN$9:$AN$108,MATCH(C111,'Facilities'!$C$9:$C$108,0)))),"Unavailable"))</x:f>
        <x:v>-1</x:v>
      </x:c>
      <x:c r="AD111" s="21" t="n">
        <x:f>IF(C111="","",IFERROR(G111+H111,"Unavailable"))</x:f>
        <x:v>4.7829999999999995</x:v>
      </x:c>
      <x:c r="AE111" s="21" t="n">
        <x:f>IF(C111="","",IF(AQ111&lt;&gt;"Ready","Unavailable",IF(C111="","",O111+P111-AD111-J111+K111+M111+N111)))</x:f>
        <x:v>2.220446049250313e-16</x:v>
      </x:c>
      <x:c r="AF111" s="30" t="n">
        <x:f>IF(C111="","",IFERROR(INDEX('Facilities'!$S$9:$S$108,MATCH(C111,'Facilities'!$C$9:$C$108,0))*'Scenario Paths'!G75,"Unavailable"))</x:f>
        <x:v>1.05</x:v>
      </x:c>
      <x:c r="AG111" s="23" t="n">
        <x:f>IF(C111="","",IF(AQ111&lt;&gt;"Ready","Unavailable",IF(C111="","",IF(H111&gt;0,MAX(0,H111-AK111)*((1+INDEX('Facilities'!$K$9:$K$108,MATCH(C111,'Facilities'!$C$9:$C$108,0)))^MIN(1,MAX(0,AC111+INDEX('Facilities'!$AK$9:$AK$108,MATCH(C111,'Facilities'!$C$9:$C$108,0))-D111+1))-1),0))))</x:f>
        <x:v>0</x:v>
      </x:c>
      <x:c r="AH111" s="21" t="n">
        <x:f>IF(C111="","",IF(AQ111&lt;&gt;"Ready","Unavailable",IF(C111="","",O111+P111)))</x:f>
        <x:v>4.32304</x:v>
      </x:c>
      <x:c r="AI111" s="21" t="n">
        <x:f>IF(C111="","",IF(AQ111&lt;&gt;"Ready","Unavailable",IF(C111="","",Z111-Y111)))</x:f>
        <x:v>0.43543156976786374</x:v>
      </x:c>
      <x:c r="AJ111" s="23" t="n">
        <x:f>IF(C111="","",IFERROR(MAX(0,INDEX('Facilities'!$J$9:$J$108,MATCH(C111,'Facilities'!$C$9:$C$108,0))-D111),"Unavailable"))</x:f>
        <x:v>4</x:v>
      </x:c>
      <x:c r="AK111" s="21" t="n">
        <x:f>IF(C111="","",IFERROR(AL11,"Unavailable"))</x:f>
        <x:v>0</x:v>
      </x:c>
      <x:c r="AL111" s="23" t="n">
        <x:f>IF(C111="","",IFERROR(IF(P111&gt;0,P111*(1-AM111/(1+INDEX('Facilities'!$K$9:$K$108,MATCH(C111,'Facilities'!$C$9:$C$108,0)))^MAX(0,AC111+INDEX('Facilities'!$AK$9:$AK$108,MATCH(C111,'Facilities'!$C$9:$C$108,0))-D111)),0),"Unavailable"))</x:f>
        <x:v>0</x:v>
      </x:c>
      <x:c r="AM111" s="30" t="n">
        <x:f>IF(C111="","",IFERROR(INDEX('Facilities'!$AL$9:$AL$108,MATCH(C111,'Facilities'!$C$9:$C$108,0)),"Unavailable"))</x:f>
        <x:v>0.55</x:v>
      </x:c>
      <x:c r="AN111" s="30" t="n">
        <x:f>IF(C111="","",IFERROR(INDEX(Credit!$T$109:$T$208,MATCH(F111,Credit!$C$109:$C$208,0)),"Unavailable"))</x:f>
        <x:v>0.00128</x:v>
      </x:c>
      <x:c r="AO111" s="23" t="n">
        <x:f>IF(C111="","",IF(AQ111&lt;&gt;"Ready","Unavailable",IF(C111="","",O111+P111+Q111*INDEX('Facilities'!$I$9:$I$108,MATCH(C111,'Facilities'!$C$9:$C$108,0)))))</x:f>
        <x:v>4.97854</x:v>
      </x:c>
      <x:c r="AP111" s="21" t="n">
        <x:f>IF(C111="","",IF(AQ111&lt;&gt;"Ready","Unavailable",IF(C111="","",AH111-U111)))</x:f>
        <x:v>4.29162198284562</x:v>
      </x:c>
      <x:c r="AQ111" s="23" t="str">
        <x:f>IFERROR(IF(C111="","",IF(AND(INDEX('Facilities'!$AF$9:$AF$108,MATCH(C111,'Facilities'!$C$9:$C$108,0))="Ready",INDEX(Credit!$U$109:$U$208,MATCH(F111,Credit!$C$109:$C$208,0))="Ready",ISNUMBER(W111)),"Ready","Review inputs")),"Review inputs")</x:f>
        <x:v>Ready</x:v>
      </x:c>
      <x:c r="AR111" s="23" t="n">
        <x:f>IF(C111="","",IF(AQ111&lt;&gt;"Ready","Unavailable",IF(C111="","",IF(O111=0,0,(IF(AJ111&lt;=1,O111,O111*INDEX('Facilities'!$R$9:$R$108,MATCH(C111,'Facilities'!$C$9:$C$108,0)))+O111*INDEX('Facilities'!$T$9:$T$108,MATCH(C111,'Facilities'!$C$9:$C$108,0)))/12))))</x:f>
        <x:v>0.07745446666666665</x:v>
      </x:c>
    </x:row>
    <x:row r="112" ht="26" customHeight="1">
      <x:c r="A112" s="1"/>
      <x:c r="B112" s="1"/>
      <x:c r="C112" s="9" t="str">
        <x:f>IF(Facilities!C12="","",Facilities!C12)</x:f>
        <x:v>F004</x:v>
      </x:c>
      <x:c r="D112" s="3" t="n">
        <x:v>2</x:v>
      </x:c>
      <x:c r="E112" s="9" t="n">
        <x:f>Settings!$F$18+1</x:f>
        <x:v>2028</x:v>
      </x:c>
      <x:c r="F112" s="9" t="str">
        <x:f>IF(C112="","",IFERROR(INDEX('Facilities'!$D$9:$D$108,MATCH(C112,'Facilities'!$C$9:$C$108,0)),"Unavailable"))</x:f>
        <x:v>B002</x:v>
      </x:c>
      <x:c r="G112" s="21" t="n">
        <x:f>IF(C112="","",IFERROR(O12,"Unavailable"))</x:f>
        <x:v>2.533</x:v>
      </x:c>
      <x:c r="H112" s="21" t="n">
        <x:f>IF(C112="","",IFERROR(P12,"Unavailable"))</x:f>
        <x:v>0</x:v>
      </x:c>
      <x:c r="I112" s="21" t="n">
        <x:f>IF(C112="","",IFERROR(Q12,"Unavailable"))</x:f>
        <x:v>0.475</x:v>
      </x:c>
      <x:c r="J112" s="23" t="n">
        <x:f>IF(C112="","",IFERROR(IF(OR(H112&gt;0,AND(AC112&gt;=0,AC112&lt;D112),D112&gt;INDEX('Facilities'!$J$9:$J$108,MATCH(C112,'Facilities'!$C$9:$C$108,0))),0,I112*'Scenario Paths'!G81),"Unavailable"))</x:f>
        <x:v>0.038</x:v>
      </x:c>
      <x:c r="K112" s="23" t="n">
        <x:f>IF(C112="","",IFERROR(IF(OR(H112&gt;0,AND(AC112&gt;=0,AC112=D112)),0,IF(D112&gt;=INDEX('Facilities'!$J$9:$J$108,MATCH(C112,'Facilities'!$C$9:$C$108,0)),G112+J112,MIN(G112+J112,G112*INDEX('Facilities'!$R$9:$R$108,MATCH(C112,'Facilities'!$C$9:$C$108,0))))),"Unavailable"))</x:f>
        <x:v>0.30395999999999995</x:v>
      </x:c>
      <x:c r="L112" s="21" t="n">
        <x:f>IF(C112="","",IFERROR(IF(AND(AC112=D112,AC112&gt;0),MAX(0,G112+J112-K112),0),"Unavailable"))</x:f>
        <x:v>0</x:v>
      </x:c>
      <x:c r="M112" s="23" t="n">
        <x:f>IF(C112="","",IFERROR(IF(AND(AC112&gt;=0,D112&gt;=AC112+INDEX('Facilities'!$AK$9:$AK$108,MATCH(C112,'Facilities'!$C$9:$C$108,0))),(H112+L112)*AM112,0),"Unavailable"))</x:f>
        <x:v>0</x:v>
      </x:c>
      <x:c r="N112" s="23" t="n">
        <x:f>IF(C112="","",IFERROR(IF(AND(AC112&gt;=0,D112&gt;=AC112+INDEX('Facilities'!$AK$9:$AK$108,MATCH(C112,'Facilities'!$C$9:$C$108,0))),H112+L112-M112,0),"Unavailable"))</x:f>
        <x:v>0</x:v>
      </x:c>
      <x:c r="O112" s="21" t="n">
        <x:f>IF(C112="","",IFERROR(MAX(0,G112+J112-K112-L112),"Unavailable"))</x:f>
        <x:v>2.2670399999999997</x:v>
      </x:c>
      <x:c r="P112" s="21" t="n">
        <x:f>IF(C112="","",IFERROR(MAX(0,H112+L112-M112-N112),"Unavailable"))</x:f>
        <x:v>0</x:v>
      </x:c>
      <x:c r="Q112" s="23" t="n">
        <x:f>IF(C112="","",IFERROR(IF(OR(D112&gt;=INDEX('Facilities'!$J$9:$J$108,MATCH(C112,'Facilities'!$C$9:$C$108,0)),AND(AC112&gt;=0,AC112&lt;=D112)),0,MAX(0,I112-J112)),"Unavailable"))</x:f>
        <x:v>0.437</x:v>
      </x:c>
      <x:c r="R112" s="30" t="n">
        <x:f>IF(C112="","",IFERROR(INDEX(Credit!$Q$109:$Q$208,MATCH(F112,Credit!$C$109:$C$208,0)),"Unavailable"))</x:f>
        <x:v>0.018788441404748814</x:v>
      </x:c>
      <x:c r="S112" s="30" t="n">
        <x:f>IF(C112="","",IFERROR(INDEX(Credit!$R$109:$R$208,MATCH(F112,Credit!$C$109:$C$208,0)),"Unavailable"))</x:f>
        <x:v>0.3208704</x:v>
      </x:c>
      <x:c r="T112" s="23" t="n">
        <x:f>IF(C112="","",IFERROR(IF(P112&gt;0,3,IF(OR(INDEX('Facilities'!$AD$9:$AD$108,MATCH(C112,'Facilities'!$C$9:$C$108,0))=2,AND(R112&gt;=INDEX('Facilities'!$L$9:$L$108,MATCH(C112,'Facilities'!$C$9:$C$108,0))*Settings!$F$19,R112-INDEX('Facilities'!$L$9:$L$108,MATCH(C112,'Facilities'!$C$9:$C$108,0))&gt;=Settings!$F$20)),2,1)),"Unavailable"))</x:f>
        <x:v>1</x:v>
      </x:c>
      <x:c r="U112" s="23" t="n">
        <x:f>IF(C112="","",IF(AQ112&lt;&gt;"Ready","Unavailable",IF(C112="","",O112*(1-(1-S112)/(1+INDEX('Facilities'!$K$9:$K$108,MATCH(C112,'Facilities'!$C$9:$C$108,0)))^INDEX('Facilities'!$AK$9:$AK$108,MATCH(C112,'Facilities'!$C$9:$C$108,0)))*R112/(1+INDEX('Facilities'!$K$9:$K$108,MATCH(C112,'Facilities'!$C$9:$C$108,0)))*IF(ABS(1-(1-R112)*(1-INDEX('Facilities'!$R$9:$R$108,MATCH(C112,'Facilities'!$C$9:$C$108,0)))/(1+INDEX('Facilities'!$K$9:$K$108,MATCH(C112,'Facilities'!$C$9:$C$108,0))))&lt;0.000000001,IF(T112=1,MIN(1,AJ112),AJ112),(1-((1-R112)*(1-INDEX('Facilities'!$R$9:$R$108,MATCH(C112,'Facilities'!$C$9:$C$108,0)))/(1+INDEX('Facilities'!$K$9:$K$108,MATCH(C112,'Facilities'!$C$9:$C$108,0))))^IF(T112=1,MIN(1,AJ112),AJ112))/(1-(1-R112)*(1-INDEX('Facilities'!$R$9:$R$108,MATCH(C112,'Facilities'!$C$9:$C$108,0)))/(1+INDEX('Facilities'!$K$9:$K$108,MATCH(C112,'Facilities'!$C$9:$C$108,0)))))+AL112)))</x:f>
        <x:v>0.01647588308451128</x:v>
      </x:c>
      <x:c r="V112" s="23" t="n">
        <x:f>IF(C112="","",IF(AQ112&lt;&gt;"Ready","Unavailable",IF(C112="","",Q112*INDEX('Facilities'!$I$9:$I$108,MATCH(C112,'Facilities'!$C$9:$C$108,0))*(1-(1-S112)/(1+INDEX('Facilities'!$K$9:$K$108,MATCH(C112,'Facilities'!$C$9:$C$108,0)))^INDEX('Facilities'!$AK$9:$AK$108,MATCH(C112,'Facilities'!$C$9:$C$108,0)))*R112/(1+INDEX('Facilities'!$K$9:$K$108,MATCH(C112,'Facilities'!$C$9:$C$108,0)))*IF(ABS(1-(1-R112)*(1-0)/(1+INDEX('Facilities'!$K$9:$K$108,MATCH(C112,'Facilities'!$C$9:$C$108,0))))&lt;0.000000001,IF(T112=1,MIN(1,AJ112),AJ112),(1-((1-R112)*(1-0)/(1+INDEX('Facilities'!$K$9:$K$108,MATCH(C112,'Facilities'!$C$9:$C$108,0))))^IF(T112=1,MIN(1,AJ112),AJ112))/(1-(1-R112)*(1-0)/(1+INDEX('Facilities'!$K$9:$K$108,MATCH(C112,'Facilities'!$C$9:$C$108,0))))))))</x:f>
        <x:v>0.001587965123670387</x:v>
      </x:c>
      <x:c r="W112" s="21" t="n">
        <x:f>IF(C112="","",IFERROR(U12,"Unavailable"))</x:f>
        <x:v>0.018011278855211463</x:v>
      </x:c>
      <x:c r="X112" s="21" t="n">
        <x:f>IF(C112="","",IFERROR(V12,"Unavailable"))</x:f>
        <x:v>0.001688779600518248</x:v>
      </x:c>
      <x:c r="Y112" s="21" t="n">
        <x:f>IF(C112="","",IF(AQ112&lt;&gt;"Ready","Unavailable",IF(C112="","",U112-W112+V112-X112+N112+AG112)))</x:f>
        <x:v>-0.0016362102475480436</x:v>
      </x:c>
      <x:c r="Z112" s="23" t="n">
        <x:f>IF(C112="","",IF(AQ112&lt;&gt;"Ready","Unavailable",IF(C112="","",(G112+O112+L112)/2*INDEX('Facilities'!$T$9:$T$108,MATCH(C112,'Facilities'!$C$9:$C$108,0))+AG112)))</x:f>
        <x:v>0.22800189999999995</x:v>
      </x:c>
      <x:c r="AA112" s="23" t="n">
        <x:f>IF(C112="","",IF(AQ112&lt;&gt;"Ready","Unavailable",IF(C112="","",O112*(1-IF(INDEX('Facilities'!$AA$9:$AA$108,MATCH(C112,'Facilities'!$C$9:$C$108,0))=0,0,MIN(1,INDEX('Facilities'!$X$9:$X$108,MATCH(C112,'Facilities'!$C$9:$C$108,0))/INDEX('Facilities'!$AA$9:$AA$108,MATCH(C112,'Facilities'!$C$9:$C$108,0)))))*AF112+P112*(1-IF(INDEX('Facilities'!$AA$9:$AA$108,MATCH(C112,'Facilities'!$C$9:$C$108,0))=0,0,MIN(1,INDEX('Facilities'!$X$9:$X$108,MATCH(C112,'Facilities'!$C$9:$C$108,0))/INDEX('Facilities'!$AA$9:$AA$108,MATCH(C112,'Facilities'!$C$9:$C$108,0)))))*INDEX('Facilities'!$AJ$9:$AJ$108,MATCH(C112,'Facilities'!$C$9:$C$108,0))+Q112*INDEX('Facilities'!$AI$9:$AI$108,MATCH(C112,'Facilities'!$C$9:$C$108,0))*AF112)))</x:f>
        <x:v>2.5823948841599997</x:v>
      </x:c>
      <x:c r="AB112" s="21" t="n">
        <x:f>IF(C112="","",O112+P112-AD112)</x:f>
        <x:v>-0.2659600000000002</x:v>
      </x:c>
      <x:c r="AC112" s="23" t="n">
        <x:f>IF(C112="","",IFERROR(IF(INDEX('Facilities'!$AD$9:$AD$108,MATCH(C112,'Facilities'!$C$9:$C$108,0))=3,0,IF(INDEX('Facilities'!$AN$9:$AN$108,MATCH(C112,'Facilities'!$C$9:$C$108,0))=0,-1,INDEX('Facilities'!$AN$9:$AN$108,MATCH(C112,'Facilities'!$C$9:$C$108,0)))),"Unavailable"))</x:f>
        <x:v>-1</x:v>
      </x:c>
      <x:c r="AD112" s="21" t="n">
        <x:f>IF(C112="","",IFERROR(G112+H112,"Unavailable"))</x:f>
        <x:v>2.533</x:v>
      </x:c>
      <x:c r="AE112" s="21" t="n">
        <x:f>IF(C112="","",IF(AQ112&lt;&gt;"Ready","Unavailable",IF(C112="","",O112+P112-AD112-J112+K112+M112+N112)))</x:f>
        <x:v>-2.220446049250313e-16</x:v>
      </x:c>
      <x:c r="AF112" s="30" t="n">
        <x:f>IF(C112="","",IFERROR(INDEX('Facilities'!$S$9:$S$108,MATCH(C112,'Facilities'!$C$9:$C$108,0))*'Scenario Paths'!G75,"Unavailable"))</x:f>
        <x:v>1.05</x:v>
      </x:c>
      <x:c r="AG112" s="23" t="n">
        <x:f>IF(C112="","",IF(AQ112&lt;&gt;"Ready","Unavailable",IF(C112="","",IF(H112&gt;0,MAX(0,H112-AK112)*((1+INDEX('Facilities'!$K$9:$K$108,MATCH(C112,'Facilities'!$C$9:$C$108,0)))^MIN(1,MAX(0,AC112+INDEX('Facilities'!$AK$9:$AK$108,MATCH(C112,'Facilities'!$C$9:$C$108,0))-D112+1))-1),0))))</x:f>
        <x:v>0</x:v>
      </x:c>
      <x:c r="AH112" s="21" t="n">
        <x:f>IF(C112="","",IF(AQ112&lt;&gt;"Ready","Unavailable",IF(C112="","",O112+P112)))</x:f>
        <x:v>2.2670399999999997</x:v>
      </x:c>
      <x:c r="AI112" s="21" t="n">
        <x:f>IF(C112="","",IF(AQ112&lt;&gt;"Ready","Unavailable",IF(C112="","",Z112-Y112)))</x:f>
        <x:v>0.229638110247548</x:v>
      </x:c>
      <x:c r="AJ112" s="23" t="n">
        <x:f>IF(C112="","",IFERROR(MAX(0,INDEX('Facilities'!$J$9:$J$108,MATCH(C112,'Facilities'!$C$9:$C$108,0))-D112),"Unavailable"))</x:f>
        <x:v>4</x:v>
      </x:c>
      <x:c r="AK112" s="21" t="n">
        <x:f>IF(C112="","",IFERROR(AL12,"Unavailable"))</x:f>
        <x:v>0</x:v>
      </x:c>
      <x:c r="AL112" s="23" t="n">
        <x:f>IF(C112="","",IFERROR(IF(P112&gt;0,P112*(1-AM112/(1+INDEX('Facilities'!$K$9:$K$108,MATCH(C112,'Facilities'!$C$9:$C$108,0)))^MAX(0,AC112+INDEX('Facilities'!$AK$9:$AK$108,MATCH(C112,'Facilities'!$C$9:$C$108,0))-D112)),0),"Unavailable"))</x:f>
        <x:v>0</x:v>
      </x:c>
      <x:c r="AM112" s="30" t="n">
        <x:f>IF(C112="","",IFERROR(INDEX('Facilities'!$AL$9:$AL$108,MATCH(C112,'Facilities'!$C$9:$C$108,0)),"Unavailable"))</x:f>
        <x:v>0.55</x:v>
      </x:c>
      <x:c r="AN112" s="30" t="n">
        <x:f>IF(C112="","",IFERROR(INDEX(Credit!$T$109:$T$208,MATCH(F112,Credit!$C$109:$C$208,0)),"Unavailable"))</x:f>
        <x:v>0.00128</x:v>
      </x:c>
      <x:c r="AO112" s="23" t="n">
        <x:f>IF(C112="","",IF(AQ112&lt;&gt;"Ready","Unavailable",IF(C112="","",O112+P112+Q112*INDEX('Facilities'!$I$9:$I$108,MATCH(C112,'Facilities'!$C$9:$C$108,0)))))</x:f>
        <x:v>2.48554</x:v>
      </x:c>
      <x:c r="AP112" s="21" t="n">
        <x:f>IF(C112="","",IF(AQ112&lt;&gt;"Ready","Unavailable",IF(C112="","",AH112-U112)))</x:f>
        <x:v>2.2505641169154886</x:v>
      </x:c>
      <x:c r="AQ112" s="23" t="str">
        <x:f>IFERROR(IF(C112="","",IF(AND(INDEX('Facilities'!$AF$9:$AF$108,MATCH(C112,'Facilities'!$C$9:$C$108,0))="Ready",INDEX(Credit!$U$109:$U$208,MATCH(F112,Credit!$C$109:$C$208,0))="Ready",ISNUMBER(W112)),"Ready","Review inputs")),"Review inputs")</x:f>
        <x:v>Ready</x:v>
      </x:c>
      <x:c r="AR112" s="23" t="n">
        <x:f>IF(C112="","",IF(AQ112&lt;&gt;"Ready","Unavailable",IF(C112="","",IF(O112=0,0,(IF(AJ112&lt;=1,O112,O112*INDEX('Facilities'!$R$9:$R$108,MATCH(C112,'Facilities'!$C$9:$C$108,0)))+O112*INDEX('Facilities'!$T$9:$T$108,MATCH(C112,'Facilities'!$C$9:$C$108,0)))/12))))</x:f>
        <x:v>0.040617799999999996</x:v>
      </x:c>
    </x:row>
    <x:row r="113" ht="26" customHeight="1">
      <x:c r="A113" s="1"/>
      <x:c r="B113" s="1"/>
      <x:c r="C113" s="9" t="str">
        <x:f>IF(Facilities!C13="","",Facilities!C13)</x:f>
        <x:v>F005</x:v>
      </x:c>
      <x:c r="D113" s="3" t="n">
        <x:v>2</x:v>
      </x:c>
      <x:c r="E113" s="9" t="n">
        <x:f>Settings!$F$18+1</x:f>
        <x:v>2028</x:v>
      </x:c>
      <x:c r="F113" s="9" t="str">
        <x:f>IF(C113="","",IFERROR(INDEX('Facilities'!$D$9:$D$108,MATCH(C113,'Facilities'!$C$9:$C$108,0)),"Unavailable"))</x:f>
        <x:v>B003</x:v>
      </x:c>
      <x:c r="G113" s="21" t="n">
        <x:f>IF(C113="","",IFERROR(O13,"Unavailable"))</x:f>
        <x:v>5.091</x:v>
      </x:c>
      <x:c r="H113" s="21" t="n">
        <x:f>IF(C113="","",IFERROR(P13,"Unavailable"))</x:f>
        <x:v>0</x:v>
      </x:c>
      <x:c r="I113" s="21" t="n">
        <x:f>IF(C113="","",IFERROR(Q13,"Unavailable"))</x:f>
        <x:v>1.425</x:v>
      </x:c>
      <x:c r="J113" s="23" t="n">
        <x:f>IF(C113="","",IFERROR(IF(OR(H113&gt;0,AND(AC113&gt;=0,AC113&lt;D113),D113&gt;INDEX('Facilities'!$J$9:$J$108,MATCH(C113,'Facilities'!$C$9:$C$108,0))),0,I113*'Scenario Paths'!G81),"Unavailable"))</x:f>
        <x:v>0.114</x:v>
      </x:c>
      <x:c r="K113" s="23" t="n">
        <x:f>IF(C113="","",IFERROR(IF(OR(H113&gt;0,AND(AC113&gt;=0,AC113=D113)),0,IF(D113&gt;=INDEX('Facilities'!$J$9:$J$108,MATCH(C113,'Facilities'!$C$9:$C$108,0)),G113+J113,MIN(G113+J113,G113*INDEX('Facilities'!$R$9:$R$108,MATCH(C113,'Facilities'!$C$9:$C$108,0))))),"Unavailable"))</x:f>
        <x:v>0.61092</x:v>
      </x:c>
      <x:c r="L113" s="21" t="n">
        <x:f>IF(C113="","",IFERROR(IF(AND(AC113=D113,AC113&gt;0),MAX(0,G113+J113-K113),0),"Unavailable"))</x:f>
        <x:v>0</x:v>
      </x:c>
      <x:c r="M113" s="23" t="n">
        <x:f>IF(C113="","",IFERROR(IF(AND(AC113&gt;=0,D113&gt;=AC113+INDEX('Facilities'!$AK$9:$AK$108,MATCH(C113,'Facilities'!$C$9:$C$108,0))),(H113+L113)*AM113,0),"Unavailable"))</x:f>
        <x:v>0</x:v>
      </x:c>
      <x:c r="N113" s="23" t="n">
        <x:f>IF(C113="","",IFERROR(IF(AND(AC113&gt;=0,D113&gt;=AC113+INDEX('Facilities'!$AK$9:$AK$108,MATCH(C113,'Facilities'!$C$9:$C$108,0))),H113+L113-M113,0),"Unavailable"))</x:f>
        <x:v>0</x:v>
      </x:c>
      <x:c r="O113" s="21" t="n">
        <x:f>IF(C113="","",IFERROR(MAX(0,G113+J113-K113-L113),"Unavailable"))</x:f>
        <x:v>4.59408</x:v>
      </x:c>
      <x:c r="P113" s="21" t="n">
        <x:f>IF(C113="","",IFERROR(MAX(0,H113+L113-M113-N113),"Unavailable"))</x:f>
        <x:v>0</x:v>
      </x:c>
      <x:c r="Q113" s="23" t="n">
        <x:f>IF(C113="","",IFERROR(IF(OR(D113&gt;=INDEX('Facilities'!$J$9:$J$108,MATCH(C113,'Facilities'!$C$9:$C$108,0)),AND(AC113&gt;=0,AC113&lt;=D113)),0,MAX(0,I113-J113)),"Unavailable"))</x:f>
        <x:v>1.311</x:v>
      </x:c>
      <x:c r="R113" s="30" t="n">
        <x:f>IF(C113="","",IFERROR(INDEX(Credit!$Q$109:$Q$208,MATCH(F113,Credit!$C$109:$C$208,0)),"Unavailable"))</x:f>
        <x:v>0.031949420671147546</x:v>
      </x:c>
      <x:c r="S113" s="30" t="n">
        <x:f>IF(C113="","",IFERROR(INDEX(Credit!$R$109:$R$208,MATCH(F113,Credit!$C$109:$C$208,0)),"Unavailable"))</x:f>
        <x:v>0.36146432000000006</x:v>
      </x:c>
      <x:c r="T113" s="23" t="n">
        <x:f>IF(C113="","",IFERROR(IF(P113&gt;0,3,IF(OR(INDEX('Facilities'!$AD$9:$AD$108,MATCH(C113,'Facilities'!$C$9:$C$108,0))=2,AND(R113&gt;=INDEX('Facilities'!$L$9:$L$108,MATCH(C113,'Facilities'!$C$9:$C$108,0))*Settings!$F$19,R113-INDEX('Facilities'!$L$9:$L$108,MATCH(C113,'Facilities'!$C$9:$C$108,0))&gt;=Settings!$F$20)),2,1)),"Unavailable"))</x:f>
        <x:v>1</x:v>
      </x:c>
      <x:c r="U113" s="23" t="n">
        <x:f>IF(C113="","",IF(AQ113&lt;&gt;"Ready","Unavailable",IF(C113="","",O113*(1-(1-S113)/(1+INDEX('Facilities'!$K$9:$K$108,MATCH(C113,'Facilities'!$C$9:$C$108,0)))^INDEX('Facilities'!$AK$9:$AK$108,MATCH(C113,'Facilities'!$C$9:$C$108,0)))*R113/(1+INDEX('Facilities'!$K$9:$K$108,MATCH(C113,'Facilities'!$C$9:$C$108,0)))*IF(ABS(1-(1-R113)*(1-INDEX('Facilities'!$R$9:$R$108,MATCH(C113,'Facilities'!$C$9:$C$108,0)))/(1+INDEX('Facilities'!$K$9:$K$108,MATCH(C113,'Facilities'!$C$9:$C$108,0))))&lt;0.000000001,IF(T113=1,MIN(1,AJ113),AJ113),(1-((1-R113)*(1-INDEX('Facilities'!$R$9:$R$108,MATCH(C113,'Facilities'!$C$9:$C$108,0)))/(1+INDEX('Facilities'!$K$9:$K$108,MATCH(C113,'Facilities'!$C$9:$C$108,0))))^IF(T113=1,MIN(1,AJ113),AJ113))/(1-(1-R113)*(1-INDEX('Facilities'!$R$9:$R$108,MATCH(C113,'Facilities'!$C$9:$C$108,0)))/(1+INDEX('Facilities'!$K$9:$K$108,MATCH(C113,'Facilities'!$C$9:$C$108,0)))))+AL113)))</x:f>
        <x:v>0.061505305847284204</x:v>
      </x:c>
      <x:c r="V113" s="23" t="n">
        <x:f>IF(C113="","",IF(AQ113&lt;&gt;"Ready","Unavailable",IF(C113="","",Q113*INDEX('Facilities'!$I$9:$I$108,MATCH(C113,'Facilities'!$C$9:$C$108,0))*(1-(1-S113)/(1+INDEX('Facilities'!$K$9:$K$108,MATCH(C113,'Facilities'!$C$9:$C$108,0)))^INDEX('Facilities'!$AK$9:$AK$108,MATCH(C113,'Facilities'!$C$9:$C$108,0)))*R113/(1+INDEX('Facilities'!$K$9:$K$108,MATCH(C113,'Facilities'!$C$9:$C$108,0)))*IF(ABS(1-(1-R113)*(1-0)/(1+INDEX('Facilities'!$K$9:$K$108,MATCH(C113,'Facilities'!$C$9:$C$108,0))))&lt;0.000000001,IF(T113=1,MIN(1,AJ113),AJ113),(1-((1-R113)*(1-0)/(1+INDEX('Facilities'!$K$9:$K$108,MATCH(C113,'Facilities'!$C$9:$C$108,0))))^IF(T113=1,MIN(1,AJ113),AJ113))/(1-(1-R113)*(1-0)/(1+INDEX('Facilities'!$K$9:$K$108,MATCH(C113,'Facilities'!$C$9:$C$108,0))))))))</x:f>
        <x:v>0.008775800156482863</x:v>
      </x:c>
      <x:c r="W113" s="21" t="n">
        <x:f>IF(C113="","",IFERROR(U13,"Unavailable"))</x:f>
        <x:v>0.05908855098651265</x:v>
      </x:c>
      <x:c r="X113" s="21" t="n">
        <x:f>IF(C113="","",IFERROR(V13,"Unavailable"))</x:f>
        <x:v>0.00826961158473586</x:v>
      </x:c>
      <x:c r="Y113" s="21" t="n">
        <x:f>IF(C113="","",IF(AQ113&lt;&gt;"Ready","Unavailable",IF(C113="","",U113-W113+V113-X113+N113+AG113)))</x:f>
        <x:v>0.0029229434325185547</x:v>
      </x:c>
      <x:c r="Z113" s="23" t="n">
        <x:f>IF(C113="","",IF(AQ113&lt;&gt;"Ready","Unavailable",IF(C113="","",(G113+O113+L113)/2*INDEX('Facilities'!$T$9:$T$108,MATCH(C113,'Facilities'!$C$9:$C$108,0))+AG113)))</x:f>
        <x:v>0.4600413</x:v>
      </x:c>
      <x:c r="AA113" s="23" t="n">
        <x:f>IF(C113="","",IF(AQ113&lt;&gt;"Ready","Unavailable",IF(C113="","",O113*(1-IF(INDEX('Facilities'!$AA$9:$AA$108,MATCH(C113,'Facilities'!$C$9:$C$108,0))=0,0,MIN(1,INDEX('Facilities'!$X$9:$X$108,MATCH(C113,'Facilities'!$C$9:$C$108,0))/INDEX('Facilities'!$AA$9:$AA$108,MATCH(C113,'Facilities'!$C$9:$C$108,0)))))*AF113+P113*(1-IF(INDEX('Facilities'!$AA$9:$AA$108,MATCH(C113,'Facilities'!$C$9:$C$108,0))=0,0,MIN(1,INDEX('Facilities'!$X$9:$X$108,MATCH(C113,'Facilities'!$C$9:$C$108,0))/INDEX('Facilities'!$AA$9:$AA$108,MATCH(C113,'Facilities'!$C$9:$C$108,0)))))*INDEX('Facilities'!$AJ$9:$AJ$108,MATCH(C113,'Facilities'!$C$9:$C$108,0))+Q113*INDEX('Facilities'!$AI$9:$AI$108,MATCH(C113,'Facilities'!$C$9:$C$108,0))*AF113)))</x:f>
        <x:v>5.428704012480001</x:v>
      </x:c>
      <x:c r="AB113" s="21" t="n">
        <x:f>IF(C113="","",O113+P113-AD113)</x:f>
        <x:v>-0.49692000000000025</x:v>
      </x:c>
      <x:c r="AC113" s="23" t="n">
        <x:f>IF(C113="","",IFERROR(IF(INDEX('Facilities'!$AD$9:$AD$108,MATCH(C113,'Facilities'!$C$9:$C$108,0))=3,0,IF(INDEX('Facilities'!$AN$9:$AN$108,MATCH(C113,'Facilities'!$C$9:$C$108,0))=0,-1,INDEX('Facilities'!$AN$9:$AN$108,MATCH(C113,'Facilities'!$C$9:$C$108,0)))),"Unavailable"))</x:f>
        <x:v>-1</x:v>
      </x:c>
      <x:c r="AD113" s="21" t="n">
        <x:f>IF(C113="","",IFERROR(G113+H113,"Unavailable"))</x:f>
        <x:v>5.091</x:v>
      </x:c>
      <x:c r="AE113" s="21" t="n">
        <x:f>IF(C113="","",IF(AQ113&lt;&gt;"Ready","Unavailable",IF(C113="","",O113+P113-AD113-J113+K113+M113+N113)))</x:f>
        <x:v>-2.220446049250313e-16</x:v>
      </x:c>
      <x:c r="AF113" s="30" t="n">
        <x:f>IF(C113="","",IFERROR(INDEX('Facilities'!$S$9:$S$108,MATCH(C113,'Facilities'!$C$9:$C$108,0))*'Scenario Paths'!G75,"Unavailable"))</x:f>
        <x:v>1.05</x:v>
      </x:c>
      <x:c r="AG113" s="23" t="n">
        <x:f>IF(C113="","",IF(AQ113&lt;&gt;"Ready","Unavailable",IF(C113="","",IF(H113&gt;0,MAX(0,H113-AK113)*((1+INDEX('Facilities'!$K$9:$K$108,MATCH(C113,'Facilities'!$C$9:$C$108,0)))^MIN(1,MAX(0,AC113+INDEX('Facilities'!$AK$9:$AK$108,MATCH(C113,'Facilities'!$C$9:$C$108,0))-D113+1))-1),0))))</x:f>
        <x:v>0</x:v>
      </x:c>
      <x:c r="AH113" s="21" t="n">
        <x:f>IF(C113="","",IF(AQ113&lt;&gt;"Ready","Unavailable",IF(C113="","",O113+P113)))</x:f>
        <x:v>4.59408</x:v>
      </x:c>
      <x:c r="AI113" s="21" t="n">
        <x:f>IF(C113="","",IF(AQ113&lt;&gt;"Ready","Unavailable",IF(C113="","",Z113-Y113)))</x:f>
        <x:v>0.45711835656748145</x:v>
      </x:c>
      <x:c r="AJ113" s="23" t="n">
        <x:f>IF(C113="","",IFERROR(MAX(0,INDEX('Facilities'!$J$9:$J$108,MATCH(C113,'Facilities'!$C$9:$C$108,0))-D113),"Unavailable"))</x:f>
        <x:v>5</x:v>
      </x:c>
      <x:c r="AK113" s="21" t="n">
        <x:f>IF(C113="","",IFERROR(AL13,"Unavailable"))</x:f>
        <x:v>0</x:v>
      </x:c>
      <x:c r="AL113" s="23" t="n">
        <x:f>IF(C113="","",IFERROR(IF(P113&gt;0,P113*(1-AM113/(1+INDEX('Facilities'!$K$9:$K$108,MATCH(C113,'Facilities'!$C$9:$C$108,0)))^MAX(0,AC113+INDEX('Facilities'!$AK$9:$AK$108,MATCH(C113,'Facilities'!$C$9:$C$108,0))-D113)),0),"Unavailable"))</x:f>
        <x:v>0</x:v>
      </x:c>
      <x:c r="AM113" s="30" t="n">
        <x:f>IF(C113="","",IFERROR(INDEX('Facilities'!$AL$9:$AL$108,MATCH(C113,'Facilities'!$C$9:$C$108,0)),"Unavailable"))</x:f>
        <x:v>0.55</x:v>
      </x:c>
      <x:c r="AN113" s="30" t="n">
        <x:f>IF(C113="","",IFERROR(INDEX(Credit!$T$109:$T$208,MATCH(F113,Credit!$C$109:$C$208,0)),"Unavailable"))</x:f>
        <x:v>0.002288</x:v>
      </x:c>
      <x:c r="AO113" s="23" t="n">
        <x:f>IF(C113="","",IF(AQ113&lt;&gt;"Ready","Unavailable",IF(C113="","",O113+P113+Q113*INDEX('Facilities'!$I$9:$I$108,MATCH(C113,'Facilities'!$C$9:$C$108,0)))))</x:f>
        <x:v>5.24958</x:v>
      </x:c>
      <x:c r="AP113" s="21" t="n">
        <x:f>IF(C113="","",IF(AQ113&lt;&gt;"Ready","Unavailable",IF(C113="","",AH113-U113)))</x:f>
        <x:v>4.532574694152716</x:v>
      </x:c>
      <x:c r="AQ113" s="23" t="str">
        <x:f>IFERROR(IF(C113="","",IF(AND(INDEX('Facilities'!$AF$9:$AF$108,MATCH(C113,'Facilities'!$C$9:$C$108,0))="Ready",INDEX(Credit!$U$109:$U$208,MATCH(F113,Credit!$C$109:$C$208,0))="Ready",ISNUMBER(W113)),"Ready","Review inputs")),"Review inputs")</x:f>
        <x:v>Ready</x:v>
      </x:c>
      <x:c r="AR113" s="23" t="n">
        <x:f>IF(C113="","",IF(AQ113&lt;&gt;"Ready","Unavailable",IF(C113="","",IF(O113=0,0,(IF(AJ113&lt;=1,O113,O113*INDEX('Facilities'!$R$9:$R$108,MATCH(C113,'Facilities'!$C$9:$C$108,0)))+O113*INDEX('Facilities'!$T$9:$T$108,MATCH(C113,'Facilities'!$C$9:$C$108,0)))/12))))</x:f>
        <x:v>0.0823106</x:v>
      </x:c>
    </x:row>
    <x:row r="114" ht="26" customHeight="1">
      <x:c r="A114" s="1"/>
      <x:c r="B114" s="1"/>
      <x:c r="C114" s="9" t="str">
        <x:f>IF(Facilities!C14="","",Facilities!C14)</x:f>
        <x:v>F006</x:v>
      </x:c>
      <x:c r="D114" s="3" t="n">
        <x:v>2</x:v>
      </x:c>
      <x:c r="E114" s="9" t="n">
        <x:f>Settings!$F$18+1</x:f>
        <x:v>2028</x:v>
      </x:c>
      <x:c r="F114" s="9" t="str">
        <x:f>IF(C114="","",IFERROR(INDEX('Facilities'!$D$9:$D$108,MATCH(C114,'Facilities'!$C$9:$C$108,0)),"Unavailable"))</x:f>
        <x:v>B003</x:v>
      </x:c>
      <x:c r="G114" s="21" t="n">
        <x:f>IF(C114="","",IFERROR(O14,"Unavailable"))</x:f>
        <x:v>2.841</x:v>
      </x:c>
      <x:c r="H114" s="21" t="n">
        <x:f>IF(C114="","",IFERROR(P14,"Unavailable"))</x:f>
        <x:v>0</x:v>
      </x:c>
      <x:c r="I114" s="21" t="n">
        <x:f>IF(C114="","",IFERROR(Q14,"Unavailable"))</x:f>
        <x:v>0.475</x:v>
      </x:c>
      <x:c r="J114" s="23" t="n">
        <x:f>IF(C114="","",IFERROR(IF(OR(H114&gt;0,AND(AC114&gt;=0,AC114&lt;D114),D114&gt;INDEX('Facilities'!$J$9:$J$108,MATCH(C114,'Facilities'!$C$9:$C$108,0))),0,I114*'Scenario Paths'!G81),"Unavailable"))</x:f>
        <x:v>0.038</x:v>
      </x:c>
      <x:c r="K114" s="23" t="n">
        <x:f>IF(C114="","",IFERROR(IF(OR(H114&gt;0,AND(AC114&gt;=0,AC114=D114)),0,IF(D114&gt;=INDEX('Facilities'!$J$9:$J$108,MATCH(C114,'Facilities'!$C$9:$C$108,0)),G114+J114,MIN(G114+J114,G114*INDEX('Facilities'!$R$9:$R$108,MATCH(C114,'Facilities'!$C$9:$C$108,0))))),"Unavailable"))</x:f>
        <x:v>0.34092</x:v>
      </x:c>
      <x:c r="L114" s="21" t="n">
        <x:f>IF(C114="","",IFERROR(IF(AND(AC114=D114,AC114&gt;0),MAX(0,G114+J114-K114),0),"Unavailable"))</x:f>
        <x:v>0</x:v>
      </x:c>
      <x:c r="M114" s="23" t="n">
        <x:f>IF(C114="","",IFERROR(IF(AND(AC114&gt;=0,D114&gt;=AC114+INDEX('Facilities'!$AK$9:$AK$108,MATCH(C114,'Facilities'!$C$9:$C$108,0))),(H114+L114)*AM114,0),"Unavailable"))</x:f>
        <x:v>0</x:v>
      </x:c>
      <x:c r="N114" s="23" t="n">
        <x:f>IF(C114="","",IFERROR(IF(AND(AC114&gt;=0,D114&gt;=AC114+INDEX('Facilities'!$AK$9:$AK$108,MATCH(C114,'Facilities'!$C$9:$C$108,0))),H114+L114-M114,0),"Unavailable"))</x:f>
        <x:v>0</x:v>
      </x:c>
      <x:c r="O114" s="21" t="n">
        <x:f>IF(C114="","",IFERROR(MAX(0,G114+J114-K114-L114),"Unavailable"))</x:f>
        <x:v>2.53808</x:v>
      </x:c>
      <x:c r="P114" s="21" t="n">
        <x:f>IF(C114="","",IFERROR(MAX(0,H114+L114-M114-N114),"Unavailable"))</x:f>
        <x:v>0</x:v>
      </x:c>
      <x:c r="Q114" s="23" t="n">
        <x:f>IF(C114="","",IFERROR(IF(OR(D114&gt;=INDEX('Facilities'!$J$9:$J$108,MATCH(C114,'Facilities'!$C$9:$C$108,0)),AND(AC114&gt;=0,AC114&lt;=D114)),0,MAX(0,I114-J114)),"Unavailable"))</x:f>
        <x:v>0.437</x:v>
      </x:c>
      <x:c r="R114" s="30" t="n">
        <x:f>IF(C114="","",IFERROR(INDEX(Credit!$Q$109:$Q$208,MATCH(F114,Credit!$C$109:$C$208,0)),"Unavailable"))</x:f>
        <x:v>0.031949420671147546</x:v>
      </x:c>
      <x:c r="S114" s="30" t="n">
        <x:f>IF(C114="","",IFERROR(INDEX(Credit!$R$109:$R$208,MATCH(F114,Credit!$C$109:$C$208,0)),"Unavailable"))</x:f>
        <x:v>0.36146432000000006</x:v>
      </x:c>
      <x:c r="T114" s="23" t="n">
        <x:f>IF(C114="","",IFERROR(IF(P114&gt;0,3,IF(OR(INDEX('Facilities'!$AD$9:$AD$108,MATCH(C114,'Facilities'!$C$9:$C$108,0))=2,AND(R114&gt;=INDEX('Facilities'!$L$9:$L$108,MATCH(C114,'Facilities'!$C$9:$C$108,0))*Settings!$F$19,R114-INDEX('Facilities'!$L$9:$L$108,MATCH(C114,'Facilities'!$C$9:$C$108,0))&gt;=Settings!$F$20)),2,1)),"Unavailable"))</x:f>
        <x:v>1</x:v>
      </x:c>
      <x:c r="U114" s="23" t="n">
        <x:f>IF(C114="","",IF(AQ114&lt;&gt;"Ready","Unavailable",IF(C114="","",O114*(1-(1-S114)/(1+INDEX('Facilities'!$K$9:$K$108,MATCH(C114,'Facilities'!$C$9:$C$108,0)))^INDEX('Facilities'!$AK$9:$AK$108,MATCH(C114,'Facilities'!$C$9:$C$108,0)))*R114/(1+INDEX('Facilities'!$K$9:$K$108,MATCH(C114,'Facilities'!$C$9:$C$108,0)))*IF(ABS(1-(1-R114)*(1-INDEX('Facilities'!$R$9:$R$108,MATCH(C114,'Facilities'!$C$9:$C$108,0)))/(1+INDEX('Facilities'!$K$9:$K$108,MATCH(C114,'Facilities'!$C$9:$C$108,0))))&lt;0.000000001,IF(T114=1,MIN(1,AJ114),AJ114),(1-((1-R114)*(1-INDEX('Facilities'!$R$9:$R$108,MATCH(C114,'Facilities'!$C$9:$C$108,0)))/(1+INDEX('Facilities'!$K$9:$K$108,MATCH(C114,'Facilities'!$C$9:$C$108,0))))^IF(T114=1,MIN(1,AJ114),AJ114))/(1-(1-R114)*(1-INDEX('Facilities'!$R$9:$R$108,MATCH(C114,'Facilities'!$C$9:$C$108,0)))/(1+INDEX('Facilities'!$K$9:$K$108,MATCH(C114,'Facilities'!$C$9:$C$108,0)))))+AL114)))</x:f>
        <x:v>0.03397968399872773</x:v>
      </x:c>
      <x:c r="V114" s="23" t="n">
        <x:f>IF(C114="","",IF(AQ114&lt;&gt;"Ready","Unavailable",IF(C114="","",Q114*INDEX('Facilities'!$I$9:$I$108,MATCH(C114,'Facilities'!$C$9:$C$108,0))*(1-(1-S114)/(1+INDEX('Facilities'!$K$9:$K$108,MATCH(C114,'Facilities'!$C$9:$C$108,0)))^INDEX('Facilities'!$AK$9:$AK$108,MATCH(C114,'Facilities'!$C$9:$C$108,0)))*R114/(1+INDEX('Facilities'!$K$9:$K$108,MATCH(C114,'Facilities'!$C$9:$C$108,0)))*IF(ABS(1-(1-R114)*(1-0)/(1+INDEX('Facilities'!$K$9:$K$108,MATCH(C114,'Facilities'!$C$9:$C$108,0))))&lt;0.000000001,IF(T114=1,MIN(1,AJ114),AJ114),(1-((1-R114)*(1-0)/(1+INDEX('Facilities'!$K$9:$K$108,MATCH(C114,'Facilities'!$C$9:$C$108,0))))^IF(T114=1,MIN(1,AJ114),AJ114))/(1-(1-R114)*(1-0)/(1+INDEX('Facilities'!$K$9:$K$108,MATCH(C114,'Facilities'!$C$9:$C$108,0))))))))</x:f>
        <x:v>0.0029252667188276213</x:v>
      </x:c>
      <x:c r="W114" s="21" t="n">
        <x:f>IF(C114="","",IFERROR(U14,"Unavailable"))</x:f>
        <x:v>0.032973988087346785</x:v>
      </x:c>
      <x:c r="X114" s="21" t="n">
        <x:f>IF(C114="","",IFERROR(V14,"Unavailable"))</x:f>
        <x:v>0.002756537194911953</x:v>
      </x:c>
      <x:c r="Y114" s="21" t="n">
        <x:f>IF(C114="","",IF(AQ114&lt;&gt;"Ready","Unavailable",IF(C114="","",U114-W114+V114-X114+N114+AG114)))</x:f>
        <x:v>0.0011744254352966123</x:v>
      </x:c>
      <x:c r="Z114" s="23" t="n">
        <x:f>IF(C114="","",IF(AQ114&lt;&gt;"Ready","Unavailable",IF(C114="","",(G114+O114+L114)/2*INDEX('Facilities'!$T$9:$T$108,MATCH(C114,'Facilities'!$C$9:$C$108,0))+AG114)))</x:f>
        <x:v>0.2555063</x:v>
      </x:c>
      <x:c r="AA114" s="23" t="n">
        <x:f>IF(C114="","",IF(AQ114&lt;&gt;"Ready","Unavailable",IF(C114="","",O114*(1-IF(INDEX('Facilities'!$AA$9:$AA$108,MATCH(C114,'Facilities'!$C$9:$C$108,0))=0,0,MIN(1,INDEX('Facilities'!$X$9:$X$108,MATCH(C114,'Facilities'!$C$9:$C$108,0))/INDEX('Facilities'!$AA$9:$AA$108,MATCH(C114,'Facilities'!$C$9:$C$108,0)))))*AF114+P114*(1-IF(INDEX('Facilities'!$AA$9:$AA$108,MATCH(C114,'Facilities'!$C$9:$C$108,0))=0,0,MIN(1,INDEX('Facilities'!$X$9:$X$108,MATCH(C114,'Facilities'!$C$9:$C$108,0))/INDEX('Facilities'!$AA$9:$AA$108,MATCH(C114,'Facilities'!$C$9:$C$108,0)))))*INDEX('Facilities'!$AJ$9:$AJ$108,MATCH(C114,'Facilities'!$C$9:$C$108,0))+Q114*INDEX('Facilities'!$AI$9:$AI$108,MATCH(C114,'Facilities'!$C$9:$C$108,0))*AF114)))</x:f>
        <x:v>2.8483580764800003</x:v>
      </x:c>
      <x:c r="AB114" s="21" t="n">
        <x:f>IF(C114="","",O114+P114-AD114)</x:f>
        <x:v>-0.3029200000000003</x:v>
      </x:c>
      <x:c r="AC114" s="23" t="n">
        <x:f>IF(C114="","",IFERROR(IF(INDEX('Facilities'!$AD$9:$AD$108,MATCH(C114,'Facilities'!$C$9:$C$108,0))=3,0,IF(INDEX('Facilities'!$AN$9:$AN$108,MATCH(C114,'Facilities'!$C$9:$C$108,0))=0,-1,INDEX('Facilities'!$AN$9:$AN$108,MATCH(C114,'Facilities'!$C$9:$C$108,0)))),"Unavailable"))</x:f>
        <x:v>-1</x:v>
      </x:c>
      <x:c r="AD114" s="21" t="n">
        <x:f>IF(C114="","",IFERROR(G114+H114,"Unavailable"))</x:f>
        <x:v>2.841</x:v>
      </x:c>
      <x:c r="AE114" s="21" t="n">
        <x:f>IF(C114="","",IF(AQ114&lt;&gt;"Ready","Unavailable",IF(C114="","",O114+P114-AD114-J114+K114+M114+N114)))</x:f>
        <x:v>-2.7755575615628914e-16</x:v>
      </x:c>
      <x:c r="AF114" s="30" t="n">
        <x:f>IF(C114="","",IFERROR(INDEX('Facilities'!$S$9:$S$108,MATCH(C114,'Facilities'!$C$9:$C$108,0))*'Scenario Paths'!G75,"Unavailable"))</x:f>
        <x:v>1.05</x:v>
      </x:c>
      <x:c r="AG114" s="23" t="n">
        <x:f>IF(C114="","",IF(AQ114&lt;&gt;"Ready","Unavailable",IF(C114="","",IF(H114&gt;0,MAX(0,H114-AK114)*((1+INDEX('Facilities'!$K$9:$K$108,MATCH(C114,'Facilities'!$C$9:$C$108,0)))^MIN(1,MAX(0,AC114+INDEX('Facilities'!$AK$9:$AK$108,MATCH(C114,'Facilities'!$C$9:$C$108,0))-D114+1))-1),0))))</x:f>
        <x:v>0</x:v>
      </x:c>
      <x:c r="AH114" s="21" t="n">
        <x:f>IF(C114="","",IF(AQ114&lt;&gt;"Ready","Unavailable",IF(C114="","",O114+P114)))</x:f>
        <x:v>2.53808</x:v>
      </x:c>
      <x:c r="AI114" s="21" t="n">
        <x:f>IF(C114="","",IF(AQ114&lt;&gt;"Ready","Unavailable",IF(C114="","",Z114-Y114)))</x:f>
        <x:v>0.2543318745647034</x:v>
      </x:c>
      <x:c r="AJ114" s="23" t="n">
        <x:f>IF(C114="","",IFERROR(MAX(0,INDEX('Facilities'!$J$9:$J$108,MATCH(C114,'Facilities'!$C$9:$C$108,0))-D114),"Unavailable"))</x:f>
        <x:v>5</x:v>
      </x:c>
      <x:c r="AK114" s="21" t="n">
        <x:f>IF(C114="","",IFERROR(AL14,"Unavailable"))</x:f>
        <x:v>0</x:v>
      </x:c>
      <x:c r="AL114" s="23" t="n">
        <x:f>IF(C114="","",IFERROR(IF(P114&gt;0,P114*(1-AM114/(1+INDEX('Facilities'!$K$9:$K$108,MATCH(C114,'Facilities'!$C$9:$C$108,0)))^MAX(0,AC114+INDEX('Facilities'!$AK$9:$AK$108,MATCH(C114,'Facilities'!$C$9:$C$108,0))-D114)),0),"Unavailable"))</x:f>
        <x:v>0</x:v>
      </x:c>
      <x:c r="AM114" s="30" t="n">
        <x:f>IF(C114="","",IFERROR(INDEX('Facilities'!$AL$9:$AL$108,MATCH(C114,'Facilities'!$C$9:$C$108,0)),"Unavailable"))</x:f>
        <x:v>0.55</x:v>
      </x:c>
      <x:c r="AN114" s="30" t="n">
        <x:f>IF(C114="","",IFERROR(INDEX(Credit!$T$109:$T$208,MATCH(F114,Credit!$C$109:$C$208,0)),"Unavailable"))</x:f>
        <x:v>0.002288</x:v>
      </x:c>
      <x:c r="AO114" s="23" t="n">
        <x:f>IF(C114="","",IF(AQ114&lt;&gt;"Ready","Unavailable",IF(C114="","",O114+P114+Q114*INDEX('Facilities'!$I$9:$I$108,MATCH(C114,'Facilities'!$C$9:$C$108,0)))))</x:f>
        <x:v>2.75658</x:v>
      </x:c>
      <x:c r="AP114" s="21" t="n">
        <x:f>IF(C114="","",IF(AQ114&lt;&gt;"Ready","Unavailable",IF(C114="","",AH114-U114)))</x:f>
        <x:v>2.504100316001272</x:v>
      </x:c>
      <x:c r="AQ114" s="23" t="str">
        <x:f>IFERROR(IF(C114="","",IF(AND(INDEX('Facilities'!$AF$9:$AF$108,MATCH(C114,'Facilities'!$C$9:$C$108,0))="Ready",INDEX(Credit!$U$109:$U$208,MATCH(F114,Credit!$C$109:$C$208,0))="Ready",ISNUMBER(W114)),"Ready","Review inputs")),"Review inputs")</x:f>
        <x:v>Ready</x:v>
      </x:c>
      <x:c r="AR114" s="23" t="n">
        <x:f>IF(C114="","",IF(AQ114&lt;&gt;"Ready","Unavailable",IF(C114="","",IF(O114=0,0,(IF(AJ114&lt;=1,O114,O114*INDEX('Facilities'!$R$9:$R$108,MATCH(C114,'Facilities'!$C$9:$C$108,0)))+O114*INDEX('Facilities'!$T$9:$T$108,MATCH(C114,'Facilities'!$C$9:$C$108,0)))/12))))</x:f>
        <x:v>0.04547393333333333</x:v>
      </x:c>
    </x:row>
    <x:row r="115" ht="26" customHeight="1">
      <x:c r="A115" s="1"/>
      <x:c r="B115" s="1"/>
      <x:c r="C115" s="9" t="str">
        <x:f>IF(Facilities!C15="","",Facilities!C15)</x:f>
        <x:v>F007</x:v>
      </x:c>
      <x:c r="D115" s="3" t="n">
        <x:v>2</x:v>
      </x:c>
      <x:c r="E115" s="9" t="n">
        <x:f>Settings!$F$18+1</x:f>
        <x:v>2028</x:v>
      </x:c>
      <x:c r="F115" s="9" t="str">
        <x:f>IF(C115="","",IFERROR(INDEX('Facilities'!$D$9:$D$108,MATCH(C115,'Facilities'!$C$9:$C$108,0)),"Unavailable"))</x:f>
        <x:v>B004</x:v>
      </x:c>
      <x:c r="G115" s="21" t="n">
        <x:f>IF(C115="","",IFERROR(O15,"Unavailable"))</x:f>
        <x:v>5.399</x:v>
      </x:c>
      <x:c r="H115" s="21" t="n">
        <x:f>IF(C115="","",IFERROR(P15,"Unavailable"))</x:f>
        <x:v>0</x:v>
      </x:c>
      <x:c r="I115" s="21" t="n">
        <x:f>IF(C115="","",IFERROR(Q15,"Unavailable"))</x:f>
        <x:v>1.425</x:v>
      </x:c>
      <x:c r="J115" s="23" t="n">
        <x:f>IF(C115="","",IFERROR(IF(OR(H115&gt;0,AND(AC115&gt;=0,AC115&lt;D115),D115&gt;INDEX('Facilities'!$J$9:$J$108,MATCH(C115,'Facilities'!$C$9:$C$108,0))),0,I115*'Scenario Paths'!G81),"Unavailable"))</x:f>
        <x:v>0.114</x:v>
      </x:c>
      <x:c r="K115" s="23" t="n">
        <x:f>IF(C115="","",IFERROR(IF(OR(H115&gt;0,AND(AC115&gt;=0,AC115=D115)),0,IF(D115&gt;=INDEX('Facilities'!$J$9:$J$108,MATCH(C115,'Facilities'!$C$9:$C$108,0)),G115+J115,MIN(G115+J115,G115*INDEX('Facilities'!$R$9:$R$108,MATCH(C115,'Facilities'!$C$9:$C$108,0))))),"Unavailable"))</x:f>
        <x:v>0.64788</x:v>
      </x:c>
      <x:c r="L115" s="21" t="n">
        <x:f>IF(C115="","",IFERROR(IF(AND(AC115=D115,AC115&gt;0),MAX(0,G115+J115-K115),0),"Unavailable"))</x:f>
        <x:v>0</x:v>
      </x:c>
      <x:c r="M115" s="23" t="n">
        <x:f>IF(C115="","",IFERROR(IF(AND(AC115&gt;=0,D115&gt;=AC115+INDEX('Facilities'!$AK$9:$AK$108,MATCH(C115,'Facilities'!$C$9:$C$108,0))),(H115+L115)*AM115,0),"Unavailable"))</x:f>
        <x:v>0</x:v>
      </x:c>
      <x:c r="N115" s="23" t="n">
        <x:f>IF(C115="","",IFERROR(IF(AND(AC115&gt;=0,D115&gt;=AC115+INDEX('Facilities'!$AK$9:$AK$108,MATCH(C115,'Facilities'!$C$9:$C$108,0))),H115+L115-M115,0),"Unavailable"))</x:f>
        <x:v>0</x:v>
      </x:c>
      <x:c r="O115" s="21" t="n">
        <x:f>IF(C115="","",IFERROR(MAX(0,G115+J115-K115-L115),"Unavailable"))</x:f>
        <x:v>4.86512</x:v>
      </x:c>
      <x:c r="P115" s="21" t="n">
        <x:f>IF(C115="","",IFERROR(MAX(0,H115+L115-M115-N115),"Unavailable"))</x:f>
        <x:v>0</x:v>
      </x:c>
      <x:c r="Q115" s="23" t="n">
        <x:f>IF(C115="","",IFERROR(IF(OR(D115&gt;=INDEX('Facilities'!$J$9:$J$108,MATCH(C115,'Facilities'!$C$9:$C$108,0)),AND(AC115&gt;=0,AC115&lt;=D115)),0,MAX(0,I115-J115)),"Unavailable"))</x:f>
        <x:v>1.311</x:v>
      </x:c>
      <x:c r="R115" s="30" t="n">
        <x:f>IF(C115="","",IFERROR(INDEX(Credit!$Q$109:$Q$208,MATCH(F115,Credit!$C$109:$C$208,0)),"Unavailable"))</x:f>
        <x:v>0.03804519802426122</x:v>
      </x:c>
      <x:c r="S115" s="30" t="n">
        <x:f>IF(C115="","",IFERROR(INDEX(Credit!$R$109:$R$208,MATCH(F115,Credit!$C$109:$C$208,0)),"Unavailable"))</x:f>
        <x:v>0.40094080000000004</x:v>
      </x:c>
      <x:c r="T115" s="23" t="n">
        <x:f>IF(C115="","",IFERROR(IF(P115&gt;0,3,IF(OR(INDEX('Facilities'!$AD$9:$AD$108,MATCH(C115,'Facilities'!$C$9:$C$108,0))=2,AND(R115&gt;=INDEX('Facilities'!$L$9:$L$108,MATCH(C115,'Facilities'!$C$9:$C$108,0))*Settings!$F$19,R115-INDEX('Facilities'!$L$9:$L$108,MATCH(C115,'Facilities'!$C$9:$C$108,0))&gt;=Settings!$F$20)),2,1)),"Unavailable"))</x:f>
        <x:v>1</x:v>
      </x:c>
      <x:c r="U115" s="23" t="n">
        <x:f>IF(C115="","",IF(AQ115&lt;&gt;"Ready","Unavailable",IF(C115="","",O115*(1-(1-S115)/(1+INDEX('Facilities'!$K$9:$K$108,MATCH(C115,'Facilities'!$C$9:$C$108,0)))^INDEX('Facilities'!$AK$9:$AK$108,MATCH(C115,'Facilities'!$C$9:$C$108,0)))*R115/(1+INDEX('Facilities'!$K$9:$K$108,MATCH(C115,'Facilities'!$C$9:$C$108,0)))*IF(ABS(1-(1-R115)*(1-INDEX('Facilities'!$R$9:$R$108,MATCH(C115,'Facilities'!$C$9:$C$108,0)))/(1+INDEX('Facilities'!$K$9:$K$108,MATCH(C115,'Facilities'!$C$9:$C$108,0))))&lt;0.000000001,IF(T115=1,MIN(1,AJ115),AJ115),(1-((1-R115)*(1-INDEX('Facilities'!$R$9:$R$108,MATCH(C115,'Facilities'!$C$9:$C$108,0)))/(1+INDEX('Facilities'!$K$9:$K$108,MATCH(C115,'Facilities'!$C$9:$C$108,0))))^IF(T115=1,MIN(1,AJ115),AJ115))/(1-(1-R115)*(1-INDEX('Facilities'!$R$9:$R$108,MATCH(C115,'Facilities'!$C$9:$C$108,0)))/(1+INDEX('Facilities'!$K$9:$K$108,MATCH(C115,'Facilities'!$C$9:$C$108,0)))))+AL115)))</x:f>
        <x:v>0.08336162194306805</x:v>
      </x:c>
      <x:c r="V115" s="23" t="n">
        <x:f>IF(C115="","",IF(AQ115&lt;&gt;"Ready","Unavailable",IF(C115="","",Q115*INDEX('Facilities'!$I$9:$I$108,MATCH(C115,'Facilities'!$C$9:$C$108,0))*(1-(1-S115)/(1+INDEX('Facilities'!$K$9:$K$108,MATCH(C115,'Facilities'!$C$9:$C$108,0)))^INDEX('Facilities'!$AK$9:$AK$108,MATCH(C115,'Facilities'!$C$9:$C$108,0)))*R115/(1+INDEX('Facilities'!$K$9:$K$108,MATCH(C115,'Facilities'!$C$9:$C$108,0)))*IF(ABS(1-(1-R115)*(1-0)/(1+INDEX('Facilities'!$K$9:$K$108,MATCH(C115,'Facilities'!$C$9:$C$108,0))))&lt;0.000000001,IF(T115=1,MIN(1,AJ115),AJ115),(1-((1-R115)*(1-0)/(1+INDEX('Facilities'!$K$9:$K$108,MATCH(C115,'Facilities'!$C$9:$C$108,0))))^IF(T115=1,MIN(1,AJ115),AJ115))/(1-(1-R115)*(1-0)/(1+INDEX('Facilities'!$K$9:$K$108,MATCH(C115,'Facilities'!$C$9:$C$108,0))))))))</x:f>
        <x:v>0.01123169483664968</x:v>
      </x:c>
      <x:c r="W115" s="21" t="n">
        <x:f>IF(C115="","",IFERROR(U15,"Unavailable"))</x:f>
        <x:v>0.0821620808438199</x:v>
      </x:c>
      <x:c r="X115" s="21" t="n">
        <x:f>IF(C115="","",IFERROR(V15,"Unavailable"))</x:f>
        <x:v>0.010842838044308517</x:v>
      </x:c>
      <x:c r="Y115" s="21" t="n">
        <x:f>IF(C115="","",IF(AQ115&lt;&gt;"Ready","Unavailable",IF(C115="","",U115-W115+V115-X115+N115+AG115)))</x:f>
        <x:v>0.0015883978915893129</x:v>
      </x:c>
      <x:c r="Z115" s="23" t="n">
        <x:f>IF(C115="","",IF(AQ115&lt;&gt;"Ready","Unavailable",IF(C115="","",(G115+O115+L115)/2*INDEX('Facilities'!$T$9:$T$108,MATCH(C115,'Facilities'!$C$9:$C$108,0))+AG115)))</x:f>
        <x:v>0.4875457</x:v>
      </x:c>
      <x:c r="AA115" s="23" t="n">
        <x:f>IF(C115="","",IF(AQ115&lt;&gt;"Ready","Unavailable",IF(C115="","",O115*(1-IF(INDEX('Facilities'!$AA$9:$AA$108,MATCH(C115,'Facilities'!$C$9:$C$108,0))=0,0,MIN(1,INDEX('Facilities'!$X$9:$X$108,MATCH(C115,'Facilities'!$C$9:$C$108,0))/INDEX('Facilities'!$AA$9:$AA$108,MATCH(C115,'Facilities'!$C$9:$C$108,0)))))*AF115+P115*(1-IF(INDEX('Facilities'!$AA$9:$AA$108,MATCH(C115,'Facilities'!$C$9:$C$108,0))=0,0,MIN(1,INDEX('Facilities'!$X$9:$X$108,MATCH(C115,'Facilities'!$C$9:$C$108,0))/INDEX('Facilities'!$AA$9:$AA$108,MATCH(C115,'Facilities'!$C$9:$C$108,0)))))*INDEX('Facilities'!$AJ$9:$AJ$108,MATCH(C115,'Facilities'!$C$9:$C$108,0))+Q115*INDEX('Facilities'!$AI$9:$AI$108,MATCH(C115,'Facilities'!$C$9:$C$108,0))*AF115)))</x:f>
        <x:v>5.674049976</x:v>
      </x:c>
      <x:c r="AB115" s="21" t="n">
        <x:f>IF(C115="","",O115+P115-AD115)</x:f>
        <x:v>-0.5338799999999999</x:v>
      </x:c>
      <x:c r="AC115" s="23" t="n">
        <x:f>IF(C115="","",IFERROR(IF(INDEX('Facilities'!$AD$9:$AD$108,MATCH(C115,'Facilities'!$C$9:$C$108,0))=3,0,IF(INDEX('Facilities'!$AN$9:$AN$108,MATCH(C115,'Facilities'!$C$9:$C$108,0))=0,-1,INDEX('Facilities'!$AN$9:$AN$108,MATCH(C115,'Facilities'!$C$9:$C$108,0)))),"Unavailable"))</x:f>
        <x:v>3</x:v>
      </x:c>
      <x:c r="AD115" s="21" t="n">
        <x:f>IF(C115="","",IFERROR(G115+H115,"Unavailable"))</x:f>
        <x:v>5.399</x:v>
      </x:c>
      <x:c r="AE115" s="21" t="n">
        <x:f>IF(C115="","",IF(AQ115&lt;&gt;"Ready","Unavailable",IF(C115="","",O115+P115-AD115-J115+K115+M115+N115)))</x:f>
        <x:v>1.1102230246251565e-16</x:v>
      </x:c>
      <x:c r="AF115" s="30" t="n">
        <x:f>IF(C115="","",IFERROR(INDEX('Facilities'!$S$9:$S$108,MATCH(C115,'Facilities'!$C$9:$C$108,0))*'Scenario Paths'!G75,"Unavailable"))</x:f>
        <x:v>1.05</x:v>
      </x:c>
      <x:c r="AG115" s="23" t="n">
        <x:f>IF(C115="","",IF(AQ115&lt;&gt;"Ready","Unavailable",IF(C115="","",IF(H115&gt;0,MAX(0,H115-AK115)*((1+INDEX('Facilities'!$K$9:$K$108,MATCH(C115,'Facilities'!$C$9:$C$108,0)))^MIN(1,MAX(0,AC115+INDEX('Facilities'!$AK$9:$AK$108,MATCH(C115,'Facilities'!$C$9:$C$108,0))-D115+1))-1),0))))</x:f>
        <x:v>0</x:v>
      </x:c>
      <x:c r="AH115" s="21" t="n">
        <x:f>IF(C115="","",IF(AQ115&lt;&gt;"Ready","Unavailable",IF(C115="","",O115+P115)))</x:f>
        <x:v>4.86512</x:v>
      </x:c>
      <x:c r="AI115" s="21" t="n">
        <x:f>IF(C115="","",IF(AQ115&lt;&gt;"Ready","Unavailable",IF(C115="","",Z115-Y115)))</x:f>
        <x:v>0.4859573021084107</x:v>
      </x:c>
      <x:c r="AJ115" s="23" t="n">
        <x:f>IF(C115="","",IFERROR(MAX(0,INDEX('Facilities'!$J$9:$J$108,MATCH(C115,'Facilities'!$C$9:$C$108,0))-D115),"Unavailable"))</x:f>
        <x:v>6</x:v>
      </x:c>
      <x:c r="AK115" s="21" t="n">
        <x:f>IF(C115="","",IFERROR(AL15,"Unavailable"))</x:f>
        <x:v>0</x:v>
      </x:c>
      <x:c r="AL115" s="23" t="n">
        <x:f>IF(C115="","",IFERROR(IF(P115&gt;0,P115*(1-AM115/(1+INDEX('Facilities'!$K$9:$K$108,MATCH(C115,'Facilities'!$C$9:$C$108,0)))^MAX(0,AC115+INDEX('Facilities'!$AK$9:$AK$108,MATCH(C115,'Facilities'!$C$9:$C$108,0))-D115)),0),"Unavailable"))</x:f>
        <x:v>0</x:v>
      </x:c>
      <x:c r="AM115" s="30" t="n">
        <x:f>IF(C115="","",IFERROR(INDEX('Facilities'!$AL$9:$AL$108,MATCH(C115,'Facilities'!$C$9:$C$108,0)),"Unavailable"))</x:f>
        <x:v>0.55</x:v>
      </x:c>
      <x:c r="AN115" s="30" t="n">
        <x:f>IF(C115="","",IFERROR(INDEX(Credit!$T$109:$T$208,MATCH(F115,Credit!$C$109:$C$208,0)),"Unavailable"))</x:f>
        <x:v>0.001568</x:v>
      </x:c>
      <x:c r="AO115" s="23" t="n">
        <x:f>IF(C115="","",IF(AQ115&lt;&gt;"Ready","Unavailable",IF(C115="","",O115+P115+Q115*INDEX('Facilities'!$I$9:$I$108,MATCH(C115,'Facilities'!$C$9:$C$108,0)))))</x:f>
        <x:v>5.52062</x:v>
      </x:c>
      <x:c r="AP115" s="21" t="n">
        <x:f>IF(C115="","",IF(AQ115&lt;&gt;"Ready","Unavailable",IF(C115="","",AH115-U115)))</x:f>
        <x:v>4.781758378056932</x:v>
      </x:c>
      <x:c r="AQ115" s="23" t="str">
        <x:f>IFERROR(IF(C115="","",IF(AND(INDEX('Facilities'!$AF$9:$AF$108,MATCH(C115,'Facilities'!$C$9:$C$108,0))="Ready",INDEX(Credit!$U$109:$U$208,MATCH(F115,Credit!$C$109:$C$208,0))="Ready",ISNUMBER(W115)),"Ready","Review inputs")),"Review inputs")</x:f>
        <x:v>Ready</x:v>
      </x:c>
      <x:c r="AR115" s="23" t="n">
        <x:f>IF(C115="","",IF(AQ115&lt;&gt;"Ready","Unavailable",IF(C115="","",IF(O115=0,0,(IF(AJ115&lt;=1,O115,O115*INDEX('Facilities'!$R$9:$R$108,MATCH(C115,'Facilities'!$C$9:$C$108,0)))+O115*INDEX('Facilities'!$T$9:$T$108,MATCH(C115,'Facilities'!$C$9:$C$108,0)))/12))))</x:f>
        <x:v>0.08716673333333332</x:v>
      </x:c>
    </x:row>
    <x:row r="116" ht="26" customHeight="1">
      <x:c r="A116" s="1"/>
      <x:c r="B116" s="1"/>
      <x:c r="C116" s="9" t="str">
        <x:f>IF(Facilities!C16="","",Facilities!C16)</x:f>
        <x:v>F008</x:v>
      </x:c>
      <x:c r="D116" s="3" t="n">
        <x:v>2</x:v>
      </x:c>
      <x:c r="E116" s="9" t="n">
        <x:f>Settings!$F$18+1</x:f>
        <x:v>2028</x:v>
      </x:c>
      <x:c r="F116" s="9" t="str">
        <x:f>IF(C116="","",IFERROR(INDEX('Facilities'!$D$9:$D$108,MATCH(C116,'Facilities'!$C$9:$C$108,0)),"Unavailable"))</x:f>
        <x:v>B004</x:v>
      </x:c>
      <x:c r="G116" s="21" t="n">
        <x:f>IF(C116="","",IFERROR(O16,"Unavailable"))</x:f>
        <x:v>3.1489999999999996</x:v>
      </x:c>
      <x:c r="H116" s="21" t="n">
        <x:f>IF(C116="","",IFERROR(P16,"Unavailable"))</x:f>
        <x:v>0</x:v>
      </x:c>
      <x:c r="I116" s="21" t="n">
        <x:f>IF(C116="","",IFERROR(Q16,"Unavailable"))</x:f>
        <x:v>0.475</x:v>
      </x:c>
      <x:c r="J116" s="23" t="n">
        <x:f>IF(C116="","",IFERROR(IF(OR(H116&gt;0,AND(AC116&gt;=0,AC116&lt;D116),D116&gt;INDEX('Facilities'!$J$9:$J$108,MATCH(C116,'Facilities'!$C$9:$C$108,0))),0,I116*'Scenario Paths'!G81),"Unavailable"))</x:f>
        <x:v>0.038</x:v>
      </x:c>
      <x:c r="K116" s="23" t="n">
        <x:f>IF(C116="","",IFERROR(IF(OR(H116&gt;0,AND(AC116&gt;=0,AC116=D116)),0,IF(D116&gt;=INDEX('Facilities'!$J$9:$J$108,MATCH(C116,'Facilities'!$C$9:$C$108,0)),G116+J116,MIN(G116+J116,G116*INDEX('Facilities'!$R$9:$R$108,MATCH(C116,'Facilities'!$C$9:$C$108,0))))),"Unavailable"))</x:f>
        <x:v>0.37787999999999994</x:v>
      </x:c>
      <x:c r="L116" s="21" t="n">
        <x:f>IF(C116="","",IFERROR(IF(AND(AC116=D116,AC116&gt;0),MAX(0,G116+J116-K116),0),"Unavailable"))</x:f>
        <x:v>0</x:v>
      </x:c>
      <x:c r="M116" s="23" t="n">
        <x:f>IF(C116="","",IFERROR(IF(AND(AC116&gt;=0,D116&gt;=AC116+INDEX('Facilities'!$AK$9:$AK$108,MATCH(C116,'Facilities'!$C$9:$C$108,0))),(H116+L116)*AM116,0),"Unavailable"))</x:f>
        <x:v>0</x:v>
      </x:c>
      <x:c r="N116" s="23" t="n">
        <x:f>IF(C116="","",IFERROR(IF(AND(AC116&gt;=0,D116&gt;=AC116+INDEX('Facilities'!$AK$9:$AK$108,MATCH(C116,'Facilities'!$C$9:$C$108,0))),H116+L116-M116,0),"Unavailable"))</x:f>
        <x:v>0</x:v>
      </x:c>
      <x:c r="O116" s="21" t="n">
        <x:f>IF(C116="","",IFERROR(MAX(0,G116+J116-K116-L116),"Unavailable"))</x:f>
        <x:v>2.8091199999999996</x:v>
      </x:c>
      <x:c r="P116" s="21" t="n">
        <x:f>IF(C116="","",IFERROR(MAX(0,H116+L116-M116-N116),"Unavailable"))</x:f>
        <x:v>0</x:v>
      </x:c>
      <x:c r="Q116" s="23" t="n">
        <x:f>IF(C116="","",IFERROR(IF(OR(D116&gt;=INDEX('Facilities'!$J$9:$J$108,MATCH(C116,'Facilities'!$C$9:$C$108,0)),AND(AC116&gt;=0,AC116&lt;=D116)),0,MAX(0,I116-J116)),"Unavailable"))</x:f>
        <x:v>0.437</x:v>
      </x:c>
      <x:c r="R116" s="30" t="n">
        <x:f>IF(C116="","",IFERROR(INDEX(Credit!$Q$109:$Q$208,MATCH(F116,Credit!$C$109:$C$208,0)),"Unavailable"))</x:f>
        <x:v>0.03804519802426122</x:v>
      </x:c>
      <x:c r="S116" s="30" t="n">
        <x:f>IF(C116="","",IFERROR(INDEX(Credit!$R$109:$R$208,MATCH(F116,Credit!$C$109:$C$208,0)),"Unavailable"))</x:f>
        <x:v>0.40094080000000004</x:v>
      </x:c>
      <x:c r="T116" s="23" t="n">
        <x:f>IF(C116="","",IFERROR(IF(P116&gt;0,3,IF(OR(INDEX('Facilities'!$AD$9:$AD$108,MATCH(C116,'Facilities'!$C$9:$C$108,0))=2,AND(R116&gt;=INDEX('Facilities'!$L$9:$L$108,MATCH(C116,'Facilities'!$C$9:$C$108,0))*Settings!$F$19,R116-INDEX('Facilities'!$L$9:$L$108,MATCH(C116,'Facilities'!$C$9:$C$108,0))&gt;=Settings!$F$20)),2,1)),"Unavailable"))</x:f>
        <x:v>1</x:v>
      </x:c>
      <x:c r="U116" s="23" t="n">
        <x:f>IF(C116="","",IF(AQ116&lt;&gt;"Ready","Unavailable",IF(C116="","",O116*(1-(1-S116)/(1+INDEX('Facilities'!$K$9:$K$108,MATCH(C116,'Facilities'!$C$9:$C$108,0)))^INDEX('Facilities'!$AK$9:$AK$108,MATCH(C116,'Facilities'!$C$9:$C$108,0)))*R116/(1+INDEX('Facilities'!$K$9:$K$108,MATCH(C116,'Facilities'!$C$9:$C$108,0)))*IF(ABS(1-(1-R116)*(1-INDEX('Facilities'!$R$9:$R$108,MATCH(C116,'Facilities'!$C$9:$C$108,0)))/(1+INDEX('Facilities'!$K$9:$K$108,MATCH(C116,'Facilities'!$C$9:$C$108,0))))&lt;0.000000001,IF(T116=1,MIN(1,AJ116),AJ116),(1-((1-R116)*(1-INDEX('Facilities'!$R$9:$R$108,MATCH(C116,'Facilities'!$C$9:$C$108,0)))/(1+INDEX('Facilities'!$K$9:$K$108,MATCH(C116,'Facilities'!$C$9:$C$108,0))))^IF(T116=1,MIN(1,AJ116),AJ116))/(1-(1-R116)*(1-INDEX('Facilities'!$R$9:$R$108,MATCH(C116,'Facilities'!$C$9:$C$108,0)))/(1+INDEX('Facilities'!$K$9:$K$108,MATCH(C116,'Facilities'!$C$9:$C$108,0)))))+AL116)))</x:f>
        <x:v>0.04813299557517826</x:v>
      </x:c>
      <x:c r="V116" s="23" t="n">
        <x:f>IF(C116="","",IF(AQ116&lt;&gt;"Ready","Unavailable",IF(C116="","",Q116*INDEX('Facilities'!$I$9:$I$108,MATCH(C116,'Facilities'!$C$9:$C$108,0))*(1-(1-S116)/(1+INDEX('Facilities'!$K$9:$K$108,MATCH(C116,'Facilities'!$C$9:$C$108,0)))^INDEX('Facilities'!$AK$9:$AK$108,MATCH(C116,'Facilities'!$C$9:$C$108,0)))*R116/(1+INDEX('Facilities'!$K$9:$K$108,MATCH(C116,'Facilities'!$C$9:$C$108,0)))*IF(ABS(1-(1-R116)*(1-0)/(1+INDEX('Facilities'!$K$9:$K$108,MATCH(C116,'Facilities'!$C$9:$C$108,0))))&lt;0.000000001,IF(T116=1,MIN(1,AJ116),AJ116),(1-((1-R116)*(1-0)/(1+INDEX('Facilities'!$K$9:$K$108,MATCH(C116,'Facilities'!$C$9:$C$108,0))))^IF(T116=1,MIN(1,AJ116),AJ116))/(1-(1-R116)*(1-0)/(1+INDEX('Facilities'!$K$9:$K$108,MATCH(C116,'Facilities'!$C$9:$C$108,0))))))))</x:f>
        <x:v>0.003743898278883227</x:v>
      </x:c>
      <x:c r="W116" s="21" t="n">
        <x:f>IF(C116="","",IFERROR(U16,"Unavailable"))</x:f>
        <x:v>0.04792153965126669</x:v>
      </x:c>
      <x:c r="X116" s="21" t="n">
        <x:f>IF(C116="","",IFERROR(V16,"Unavailable"))</x:f>
        <x:v>0.003614279348102839</x:v>
      </x:c>
      <x:c r="Y116" s="21" t="n">
        <x:f>IF(C116="","",IF(AQ116&lt;&gt;"Ready","Unavailable",IF(C116="","",U116-W116+V116-X116+N116+AG116)))</x:f>
        <x:v>0.00034107485469195287</x:v>
      </x:c>
      <x:c r="Z116" s="23" t="n">
        <x:f>IF(C116="","",IF(AQ116&lt;&gt;"Ready","Unavailable",IF(C116="","",(G116+O116+L116)/2*INDEX('Facilities'!$T$9:$T$108,MATCH(C116,'Facilities'!$C$9:$C$108,0))+AG116)))</x:f>
        <x:v>0.28301069999999995</x:v>
      </x:c>
      <x:c r="AA116" s="23" t="n">
        <x:f>IF(C116="","",IF(AQ116&lt;&gt;"Ready","Unavailable",IF(C116="","",O116*(1-IF(INDEX('Facilities'!$AA$9:$AA$108,MATCH(C116,'Facilities'!$C$9:$C$108,0))=0,0,MIN(1,INDEX('Facilities'!$X$9:$X$108,MATCH(C116,'Facilities'!$C$9:$C$108,0))/INDEX('Facilities'!$AA$9:$AA$108,MATCH(C116,'Facilities'!$C$9:$C$108,0)))))*AF116+P116*(1-IF(INDEX('Facilities'!$AA$9:$AA$108,MATCH(C116,'Facilities'!$C$9:$C$108,0))=0,0,MIN(1,INDEX('Facilities'!$X$9:$X$108,MATCH(C116,'Facilities'!$C$9:$C$108,0))/INDEX('Facilities'!$AA$9:$AA$108,MATCH(C116,'Facilities'!$C$9:$C$108,0)))))*INDEX('Facilities'!$AJ$9:$AJ$108,MATCH(C116,'Facilities'!$C$9:$C$108,0))+Q116*INDEX('Facilities'!$AI$9:$AI$108,MATCH(C116,'Facilities'!$C$9:$C$108,0))*AF116)))</x:f>
        <x:v>3.1082111759999997</x:v>
      </x:c>
      <x:c r="AB116" s="21" t="n">
        <x:f>IF(C116="","",O116+P116-AD116)</x:f>
        <x:v>-0.33987999999999996</x:v>
      </x:c>
      <x:c r="AC116" s="23" t="n">
        <x:f>IF(C116="","",IFERROR(IF(INDEX('Facilities'!$AD$9:$AD$108,MATCH(C116,'Facilities'!$C$9:$C$108,0))=3,0,IF(INDEX('Facilities'!$AN$9:$AN$108,MATCH(C116,'Facilities'!$C$9:$C$108,0))=0,-1,INDEX('Facilities'!$AN$9:$AN$108,MATCH(C116,'Facilities'!$C$9:$C$108,0)))),"Unavailable"))</x:f>
        <x:v>-1</x:v>
      </x:c>
      <x:c r="AD116" s="21" t="n">
        <x:f>IF(C116="","",IFERROR(G116+H116,"Unavailable"))</x:f>
        <x:v>3.1489999999999996</x:v>
      </x:c>
      <x:c r="AE116" s="21" t="n">
        <x:f>IF(C116="","",IF(AQ116&lt;&gt;"Ready","Unavailable",IF(C116="","",O116+P116-AD116-J116+K116+M116+N116)))</x:f>
        <x:v>0</x:v>
      </x:c>
      <x:c r="AF116" s="30" t="n">
        <x:f>IF(C116="","",IFERROR(INDEX('Facilities'!$S$9:$S$108,MATCH(C116,'Facilities'!$C$9:$C$108,0))*'Scenario Paths'!G75,"Unavailable"))</x:f>
        <x:v>1.05</x:v>
      </x:c>
      <x:c r="AG116" s="23" t="n">
        <x:f>IF(C116="","",IF(AQ116&lt;&gt;"Ready","Unavailable",IF(C116="","",IF(H116&gt;0,MAX(0,H116-AK116)*((1+INDEX('Facilities'!$K$9:$K$108,MATCH(C116,'Facilities'!$C$9:$C$108,0)))^MIN(1,MAX(0,AC116+INDEX('Facilities'!$AK$9:$AK$108,MATCH(C116,'Facilities'!$C$9:$C$108,0))-D116+1))-1),0))))</x:f>
        <x:v>0</x:v>
      </x:c>
      <x:c r="AH116" s="21" t="n">
        <x:f>IF(C116="","",IF(AQ116&lt;&gt;"Ready","Unavailable",IF(C116="","",O116+P116)))</x:f>
        <x:v>2.8091199999999996</x:v>
      </x:c>
      <x:c r="AI116" s="21" t="n">
        <x:f>IF(C116="","",IF(AQ116&lt;&gt;"Ready","Unavailable",IF(C116="","",Z116-Y116)))</x:f>
        <x:v>0.282669625145308</x:v>
      </x:c>
      <x:c r="AJ116" s="23" t="n">
        <x:f>IF(C116="","",IFERROR(MAX(0,INDEX('Facilities'!$J$9:$J$108,MATCH(C116,'Facilities'!$C$9:$C$108,0))-D116),"Unavailable"))</x:f>
        <x:v>6</x:v>
      </x:c>
      <x:c r="AK116" s="21" t="n">
        <x:f>IF(C116="","",IFERROR(AL16,"Unavailable"))</x:f>
        <x:v>0</x:v>
      </x:c>
      <x:c r="AL116" s="23" t="n">
        <x:f>IF(C116="","",IFERROR(IF(P116&gt;0,P116*(1-AM116/(1+INDEX('Facilities'!$K$9:$K$108,MATCH(C116,'Facilities'!$C$9:$C$108,0)))^MAX(0,AC116+INDEX('Facilities'!$AK$9:$AK$108,MATCH(C116,'Facilities'!$C$9:$C$108,0))-D116)),0),"Unavailable"))</x:f>
        <x:v>0</x:v>
      </x:c>
      <x:c r="AM116" s="30" t="n">
        <x:f>IF(C116="","",IFERROR(INDEX('Facilities'!$AL$9:$AL$108,MATCH(C116,'Facilities'!$C$9:$C$108,0)),"Unavailable"))</x:f>
        <x:v>0.55</x:v>
      </x:c>
      <x:c r="AN116" s="30" t="n">
        <x:f>IF(C116="","",IFERROR(INDEX(Credit!$T$109:$T$208,MATCH(F116,Credit!$C$109:$C$208,0)),"Unavailable"))</x:f>
        <x:v>0.001568</x:v>
      </x:c>
      <x:c r="AO116" s="23" t="n">
        <x:f>IF(C116="","",IF(AQ116&lt;&gt;"Ready","Unavailable",IF(C116="","",O116+P116+Q116*INDEX('Facilities'!$I$9:$I$108,MATCH(C116,'Facilities'!$C$9:$C$108,0)))))</x:f>
        <x:v>3.0276199999999998</x:v>
      </x:c>
      <x:c r="AP116" s="21" t="n">
        <x:f>IF(C116="","",IF(AQ116&lt;&gt;"Ready","Unavailable",IF(C116="","",AH116-U116)))</x:f>
        <x:v>2.7609870044248215</x:v>
      </x:c>
      <x:c r="AQ116" s="23" t="str">
        <x:f>IFERROR(IF(C116="","",IF(AND(INDEX('Facilities'!$AF$9:$AF$108,MATCH(C116,'Facilities'!$C$9:$C$108,0))="Ready",INDEX(Credit!$U$109:$U$208,MATCH(F116,Credit!$C$109:$C$208,0))="Ready",ISNUMBER(W116)),"Ready","Review inputs")),"Review inputs")</x:f>
        <x:v>Ready</x:v>
      </x:c>
      <x:c r="AR116" s="23" t="n">
        <x:f>IF(C116="","",IF(AQ116&lt;&gt;"Ready","Unavailable",IF(C116="","",IF(O116=0,0,(IF(AJ116&lt;=1,O116,O116*INDEX('Facilities'!$R$9:$R$108,MATCH(C116,'Facilities'!$C$9:$C$108,0)))+O116*INDEX('Facilities'!$T$9:$T$108,MATCH(C116,'Facilities'!$C$9:$C$108,0)))/12))))</x:f>
        <x:v>0.05033006666666665</x:v>
      </x:c>
    </x:row>
    <x:row r="117" ht="26" customHeight="1">
      <x:c r="A117" s="1"/>
      <x:c r="B117" s="1"/>
      <x:c r="C117" s="9" t="str">
        <x:f>IF(Facilities!C17="","",Facilities!C17)</x:f>
        <x:v>F009</x:v>
      </x:c>
      <x:c r="D117" s="3" t="n">
        <x:v>2</x:v>
      </x:c>
      <x:c r="E117" s="9" t="n">
        <x:f>Settings!$F$18+1</x:f>
        <x:v>2028</x:v>
      </x:c>
      <x:c r="F117" s="9" t="str">
        <x:f>IF(C117="","",IFERROR(INDEX('Facilities'!$D$9:$D$108,MATCH(C117,'Facilities'!$C$9:$C$108,0)),"Unavailable"))</x:f>
        <x:v>B005</x:v>
      </x:c>
      <x:c r="G117" s="21" t="n">
        <x:f>IF(C117="","",IFERROR(O17,"Unavailable"))</x:f>
        <x:v>5.707000000000001</x:v>
      </x:c>
      <x:c r="H117" s="21" t="n">
        <x:f>IF(C117="","",IFERROR(P17,"Unavailable"))</x:f>
        <x:v>0</x:v>
      </x:c>
      <x:c r="I117" s="21" t="n">
        <x:f>IF(C117="","",IFERROR(Q17,"Unavailable"))</x:f>
        <x:v>1.425</x:v>
      </x:c>
      <x:c r="J117" s="23" t="n">
        <x:f>IF(C117="","",IFERROR(IF(OR(H117&gt;0,AND(AC117&gt;=0,AC117&lt;D117),D117&gt;INDEX('Facilities'!$J$9:$J$108,MATCH(C117,'Facilities'!$C$9:$C$108,0))),0,I117*'Scenario Paths'!G81),"Unavailable"))</x:f>
        <x:v>0.114</x:v>
      </x:c>
      <x:c r="K117" s="23" t="n">
        <x:f>IF(C117="","",IFERROR(IF(OR(H117&gt;0,AND(AC117&gt;=0,AC117=D117)),0,IF(D117&gt;=INDEX('Facilities'!$J$9:$J$108,MATCH(C117,'Facilities'!$C$9:$C$108,0)),G117+J117,MIN(G117+J117,G117*INDEX('Facilities'!$R$9:$R$108,MATCH(C117,'Facilities'!$C$9:$C$108,0))))),"Unavailable"))</x:f>
        <x:v>0.6848400000000001</x:v>
      </x:c>
      <x:c r="L117" s="21" t="n">
        <x:f>IF(C117="","",IFERROR(IF(AND(AC117=D117,AC117&gt;0),MAX(0,G117+J117-K117),0),"Unavailable"))</x:f>
        <x:v>0</x:v>
      </x:c>
      <x:c r="M117" s="23" t="n">
        <x:f>IF(C117="","",IFERROR(IF(AND(AC117&gt;=0,D117&gt;=AC117+INDEX('Facilities'!$AK$9:$AK$108,MATCH(C117,'Facilities'!$C$9:$C$108,0))),(H117+L117)*AM117,0),"Unavailable"))</x:f>
        <x:v>0</x:v>
      </x:c>
      <x:c r="N117" s="23" t="n">
        <x:f>IF(C117="","",IFERROR(IF(AND(AC117&gt;=0,D117&gt;=AC117+INDEX('Facilities'!$AK$9:$AK$108,MATCH(C117,'Facilities'!$C$9:$C$108,0))),H117+L117-M117,0),"Unavailable"))</x:f>
        <x:v>0</x:v>
      </x:c>
      <x:c r="O117" s="21" t="n">
        <x:f>IF(C117="","",IFERROR(MAX(0,G117+J117-K117-L117),"Unavailable"))</x:f>
        <x:v>5.13616</x:v>
      </x:c>
      <x:c r="P117" s="21" t="n">
        <x:f>IF(C117="","",IFERROR(MAX(0,H117+L117-M117-N117),"Unavailable"))</x:f>
        <x:v>0</x:v>
      </x:c>
      <x:c r="Q117" s="23" t="n">
        <x:f>IF(C117="","",IFERROR(IF(OR(D117&gt;=INDEX('Facilities'!$J$9:$J$108,MATCH(C117,'Facilities'!$C$9:$C$108,0)),AND(AC117&gt;=0,AC117&lt;=D117)),0,MAX(0,I117-J117)),"Unavailable"))</x:f>
        <x:v>1.311</x:v>
      </x:c>
      <x:c r="R117" s="30" t="n">
        <x:f>IF(C117="","",IFERROR(INDEX(Credit!$Q$109:$Q$208,MATCH(F117,Credit!$C$109:$C$208,0)),"Unavailable"))</x:f>
        <x:v>0.0469083450754093</x:v>
      </x:c>
      <x:c r="S117" s="30" t="n">
        <x:f>IF(C117="","",IFERROR(INDEX(Credit!$R$109:$R$208,MATCH(F117,Credit!$C$109:$C$208,0)),"Unavailable"))</x:f>
        <x:v>0.44152320000000006</x:v>
      </x:c>
      <x:c r="T117" s="23" t="n">
        <x:f>IF(C117="","",IFERROR(IF(P117&gt;0,3,IF(OR(INDEX('Facilities'!$AD$9:$AD$108,MATCH(C117,'Facilities'!$C$9:$C$108,0))=2,AND(R117&gt;=INDEX('Facilities'!$L$9:$L$108,MATCH(C117,'Facilities'!$C$9:$C$108,0))*Settings!$F$19,R117-INDEX('Facilities'!$L$9:$L$108,MATCH(C117,'Facilities'!$C$9:$C$108,0))&gt;=Settings!$F$20)),2,1)),"Unavailable"))</x:f>
        <x:v>2</x:v>
      </x:c>
      <x:c r="U117" s="23" t="n">
        <x:f>IF(C117="","",IF(AQ117&lt;&gt;"Ready","Unavailable",IF(C117="","",O117*(1-(1-S117)/(1+INDEX('Facilities'!$K$9:$K$108,MATCH(C117,'Facilities'!$C$9:$C$108,0)))^INDEX('Facilities'!$AK$9:$AK$108,MATCH(C117,'Facilities'!$C$9:$C$108,0)))*R117/(1+INDEX('Facilities'!$K$9:$K$108,MATCH(C117,'Facilities'!$C$9:$C$108,0)))*IF(ABS(1-(1-R117)*(1-INDEX('Facilities'!$R$9:$R$108,MATCH(C117,'Facilities'!$C$9:$C$108,0)))/(1+INDEX('Facilities'!$K$9:$K$108,MATCH(C117,'Facilities'!$C$9:$C$108,0))))&lt;0.000000001,IF(T117=1,MIN(1,AJ117),AJ117),(1-((1-R117)*(1-INDEX('Facilities'!$R$9:$R$108,MATCH(C117,'Facilities'!$C$9:$C$108,0)))/(1+INDEX('Facilities'!$K$9:$K$108,MATCH(C117,'Facilities'!$C$9:$C$108,0))))^IF(T117=1,MIN(1,AJ117),AJ117))/(1-(1-R117)*(1-INDEX('Facilities'!$R$9:$R$108,MATCH(C117,'Facilities'!$C$9:$C$108,0)))/(1+INDEX('Facilities'!$K$9:$K$108,MATCH(C117,'Facilities'!$C$9:$C$108,0)))))+AL117)))</x:f>
        <x:v>0.4317794595154476</x:v>
      </x:c>
      <x:c r="V117" s="23" t="n">
        <x:f>IF(C117="","",IF(AQ117&lt;&gt;"Ready","Unavailable",IF(C117="","",Q117*INDEX('Facilities'!$I$9:$I$108,MATCH(C117,'Facilities'!$C$9:$C$108,0))*(1-(1-S117)/(1+INDEX('Facilities'!$K$9:$K$108,MATCH(C117,'Facilities'!$C$9:$C$108,0)))^INDEX('Facilities'!$AK$9:$AK$108,MATCH(C117,'Facilities'!$C$9:$C$108,0)))*R117/(1+INDEX('Facilities'!$K$9:$K$108,MATCH(C117,'Facilities'!$C$9:$C$108,0)))*IF(ABS(1-(1-R117)*(1-0)/(1+INDEX('Facilities'!$K$9:$K$108,MATCH(C117,'Facilities'!$C$9:$C$108,0))))&lt;0.000000001,IF(T117=1,MIN(1,AJ117),AJ117),(1-((1-R117)*(1-0)/(1+INDEX('Facilities'!$K$9:$K$108,MATCH(C117,'Facilities'!$C$9:$C$108,0))))^IF(T117=1,MIN(1,AJ117),AJ117))/(1-(1-R117)*(1-0)/(1+INDEX('Facilities'!$K$9:$K$108,MATCH(C117,'Facilities'!$C$9:$C$108,0))))))))</x:f>
        <x:v>0.07364047169607887</x:v>
      </x:c>
      <x:c r="W117" s="21" t="n">
        <x:f>IF(C117="","",IFERROR(U17,"Unavailable"))</x:f>
        <x:v>0.44590516968210525</x:v>
      </x:c>
      <x:c r="X117" s="21" t="n">
        <x:f>IF(C117="","",IFERROR(V17,"Unavailable"))</x:f>
        <x:v>0.07738424077240802</x:v>
      </x:c>
      <x:c r="Y117" s="21" t="n">
        <x:f>IF(C117="","",IF(AQ117&lt;&gt;"Ready","Unavailable",IF(C117="","",U117-W117+V117-X117+N117+AG117)))</x:f>
        <x:v>-0.01786947924298679</x:v>
      </x:c>
      <x:c r="Z117" s="23" t="n">
        <x:f>IF(C117="","",IF(AQ117&lt;&gt;"Ready","Unavailable",IF(C117="","",(G117+O117+L117)/2*INDEX('Facilities'!$T$9:$T$108,MATCH(C117,'Facilities'!$C$9:$C$108,0))+AG117)))</x:f>
        <x:v>0.5150501000000001</x:v>
      </x:c>
      <x:c r="AA117" s="23" t="n">
        <x:f>IF(C117="","",IF(AQ117&lt;&gt;"Ready","Unavailable",IF(C117="","",O117*(1-IF(INDEX('Facilities'!$AA$9:$AA$108,MATCH(C117,'Facilities'!$C$9:$C$108,0))=0,0,MIN(1,INDEX('Facilities'!$X$9:$X$108,MATCH(C117,'Facilities'!$C$9:$C$108,0))/INDEX('Facilities'!$AA$9:$AA$108,MATCH(C117,'Facilities'!$C$9:$C$108,0)))))*AF117+P117*(1-IF(INDEX('Facilities'!$AA$9:$AA$108,MATCH(C117,'Facilities'!$C$9:$C$108,0))=0,0,MIN(1,INDEX('Facilities'!$X$9:$X$108,MATCH(C117,'Facilities'!$C$9:$C$108,0))/INDEX('Facilities'!$AA$9:$AA$108,MATCH(C117,'Facilities'!$C$9:$C$108,0)))))*INDEX('Facilities'!$AJ$9:$AJ$108,MATCH(C117,'Facilities'!$C$9:$C$108,0))+Q117*INDEX('Facilities'!$AI$9:$AI$108,MATCH(C117,'Facilities'!$C$9:$C$108,0))*AF117)))</x:f>
        <x:v>5.91039377376</x:v>
      </x:c>
      <x:c r="AB117" s="21" t="n">
        <x:f>IF(C117="","",O117+P117-AD117)</x:f>
        <x:v>-0.5708400000000005</x:v>
      </x:c>
      <x:c r="AC117" s="23" t="n">
        <x:f>IF(C117="","",IFERROR(IF(INDEX('Facilities'!$AD$9:$AD$108,MATCH(C117,'Facilities'!$C$9:$C$108,0))=3,0,IF(INDEX('Facilities'!$AN$9:$AN$108,MATCH(C117,'Facilities'!$C$9:$C$108,0))=0,-1,INDEX('Facilities'!$AN$9:$AN$108,MATCH(C117,'Facilities'!$C$9:$C$108,0)))),"Unavailable"))</x:f>
        <x:v>-1</x:v>
      </x:c>
      <x:c r="AD117" s="21" t="n">
        <x:f>IF(C117="","",IFERROR(G117+H117,"Unavailable"))</x:f>
        <x:v>5.707000000000001</x:v>
      </x:c>
      <x:c r="AE117" s="21" t="n">
        <x:f>IF(C117="","",IF(AQ117&lt;&gt;"Ready","Unavailable",IF(C117="","",O117+P117-AD117-J117+K117+M117+N117)))</x:f>
        <x:v>-3.3306690738754696e-16</x:v>
      </x:c>
      <x:c r="AF117" s="30" t="n">
        <x:f>IF(C117="","",IFERROR(INDEX('Facilities'!$S$9:$S$108,MATCH(C117,'Facilities'!$C$9:$C$108,0))*'Scenario Paths'!G75,"Unavailable"))</x:f>
        <x:v>1.05</x:v>
      </x:c>
      <x:c r="AG117" s="23" t="n">
        <x:f>IF(C117="","",IF(AQ117&lt;&gt;"Ready","Unavailable",IF(C117="","",IF(H117&gt;0,MAX(0,H117-AK117)*((1+INDEX('Facilities'!$K$9:$K$108,MATCH(C117,'Facilities'!$C$9:$C$108,0)))^MIN(1,MAX(0,AC117+INDEX('Facilities'!$AK$9:$AK$108,MATCH(C117,'Facilities'!$C$9:$C$108,0))-D117+1))-1),0))))</x:f>
        <x:v>0</x:v>
      </x:c>
      <x:c r="AH117" s="21" t="n">
        <x:f>IF(C117="","",IF(AQ117&lt;&gt;"Ready","Unavailable",IF(C117="","",O117+P117)))</x:f>
        <x:v>5.13616</x:v>
      </x:c>
      <x:c r="AI117" s="21" t="n">
        <x:f>IF(C117="","",IF(AQ117&lt;&gt;"Ready","Unavailable",IF(C117="","",Z117-Y117)))</x:f>
        <x:v>0.5329195792429868</x:v>
      </x:c>
      <x:c r="AJ117" s="23" t="n">
        <x:f>IF(C117="","",IFERROR(MAX(0,INDEX('Facilities'!$J$9:$J$108,MATCH(C117,'Facilities'!$C$9:$C$108,0))-D117),"Unavailable"))</x:f>
        <x:v>7</x:v>
      </x:c>
      <x:c r="AK117" s="21" t="n">
        <x:f>IF(C117="","",IFERROR(AL17,"Unavailable"))</x:f>
        <x:v>0</x:v>
      </x:c>
      <x:c r="AL117" s="23" t="n">
        <x:f>IF(C117="","",IFERROR(IF(P117&gt;0,P117*(1-AM117/(1+INDEX('Facilities'!$K$9:$K$108,MATCH(C117,'Facilities'!$C$9:$C$108,0)))^MAX(0,AC117+INDEX('Facilities'!$AK$9:$AK$108,MATCH(C117,'Facilities'!$C$9:$C$108,0))-D117)),0),"Unavailable"))</x:f>
        <x:v>0</x:v>
      </x:c>
      <x:c r="AM117" s="30" t="n">
        <x:f>IF(C117="","",IFERROR(INDEX('Facilities'!$AL$9:$AL$108,MATCH(C117,'Facilities'!$C$9:$C$108,0)),"Unavailable"))</x:f>
        <x:v>0.55</x:v>
      </x:c>
      <x:c r="AN117" s="30" t="n">
        <x:f>IF(C117="","",IFERROR(INDEX(Credit!$T$109:$T$208,MATCH(F117,Credit!$C$109:$C$208,0)),"Unavailable"))</x:f>
        <x:v>0.00272</x:v>
      </x:c>
      <x:c r="AO117" s="23" t="n">
        <x:f>IF(C117="","",IF(AQ117&lt;&gt;"Ready","Unavailable",IF(C117="","",O117+P117+Q117*INDEX('Facilities'!$I$9:$I$108,MATCH(C117,'Facilities'!$C$9:$C$108,0)))))</x:f>
        <x:v>5.79166</x:v>
      </x:c>
      <x:c r="AP117" s="21" t="n">
        <x:f>IF(C117="","",IF(AQ117&lt;&gt;"Ready","Unavailable",IF(C117="","",AH117-U117)))</x:f>
        <x:v>4.704380540484553</x:v>
      </x:c>
      <x:c r="AQ117" s="23" t="str">
        <x:f>IFERROR(IF(C117="","",IF(AND(INDEX('Facilities'!$AF$9:$AF$108,MATCH(C117,'Facilities'!$C$9:$C$108,0))="Ready",INDEX(Credit!$U$109:$U$208,MATCH(F117,Credit!$C$109:$C$208,0))="Ready",ISNUMBER(W117)),"Ready","Review inputs")),"Review inputs")</x:f>
        <x:v>Ready</x:v>
      </x:c>
      <x:c r="AR117" s="23" t="n">
        <x:f>IF(C117="","",IF(AQ117&lt;&gt;"Ready","Unavailable",IF(C117="","",IF(O117=0,0,(IF(AJ117&lt;=1,O117,O117*INDEX('Facilities'!$R$9:$R$108,MATCH(C117,'Facilities'!$C$9:$C$108,0)))+O117*INDEX('Facilities'!$T$9:$T$108,MATCH(C117,'Facilities'!$C$9:$C$108,0)))/12))))</x:f>
        <x:v>0.09202286666666666</x:v>
      </x:c>
    </x:row>
    <x:row r="118" ht="26" customHeight="1">
      <x:c r="A118" s="1"/>
      <x:c r="B118" s="1"/>
      <x:c r="C118" s="9" t="str">
        <x:f>IF(Facilities!C18="","",Facilities!C18)</x:f>
        <x:v>F010</x:v>
      </x:c>
      <x:c r="D118" s="3" t="n">
        <x:v>2</x:v>
      </x:c>
      <x:c r="E118" s="9" t="n">
        <x:f>Settings!$F$18+1</x:f>
        <x:v>2028</x:v>
      </x:c>
      <x:c r="F118" s="9" t="str">
        <x:f>IF(C118="","",IFERROR(INDEX('Facilities'!$D$9:$D$108,MATCH(C118,'Facilities'!$C$9:$C$108,0)),"Unavailable"))</x:f>
        <x:v>B005</x:v>
      </x:c>
      <x:c r="G118" s="21" t="n">
        <x:f>IF(C118="","",IFERROR(O18,"Unavailable"))</x:f>
        <x:v>3.457</x:v>
      </x:c>
      <x:c r="H118" s="21" t="n">
        <x:f>IF(C118="","",IFERROR(P18,"Unavailable"))</x:f>
        <x:v>0</x:v>
      </x:c>
      <x:c r="I118" s="21" t="n">
        <x:f>IF(C118="","",IFERROR(Q18,"Unavailable"))</x:f>
        <x:v>0.475</x:v>
      </x:c>
      <x:c r="J118" s="23" t="n">
        <x:f>IF(C118="","",IFERROR(IF(OR(H118&gt;0,AND(AC118&gt;=0,AC118&lt;D118),D118&gt;INDEX('Facilities'!$J$9:$J$108,MATCH(C118,'Facilities'!$C$9:$C$108,0))),0,I118*'Scenario Paths'!G81),"Unavailable"))</x:f>
        <x:v>0.038</x:v>
      </x:c>
      <x:c r="K118" s="23" t="n">
        <x:f>IF(C118="","",IFERROR(IF(OR(H118&gt;0,AND(AC118&gt;=0,AC118=D118)),0,IF(D118&gt;=INDEX('Facilities'!$J$9:$J$108,MATCH(C118,'Facilities'!$C$9:$C$108,0)),G118+J118,MIN(G118+J118,G118*INDEX('Facilities'!$R$9:$R$108,MATCH(C118,'Facilities'!$C$9:$C$108,0))))),"Unavailable"))</x:f>
        <x:v>0.41484</x:v>
      </x:c>
      <x:c r="L118" s="21" t="n">
        <x:f>IF(C118="","",IFERROR(IF(AND(AC118=D118,AC118&gt;0),MAX(0,G118+J118-K118),0),"Unavailable"))</x:f>
        <x:v>0</x:v>
      </x:c>
      <x:c r="M118" s="23" t="n">
        <x:f>IF(C118="","",IFERROR(IF(AND(AC118&gt;=0,D118&gt;=AC118+INDEX('Facilities'!$AK$9:$AK$108,MATCH(C118,'Facilities'!$C$9:$C$108,0))),(H118+L118)*AM118,0),"Unavailable"))</x:f>
        <x:v>0</x:v>
      </x:c>
      <x:c r="N118" s="23" t="n">
        <x:f>IF(C118="","",IFERROR(IF(AND(AC118&gt;=0,D118&gt;=AC118+INDEX('Facilities'!$AK$9:$AK$108,MATCH(C118,'Facilities'!$C$9:$C$108,0))),H118+L118-M118,0),"Unavailable"))</x:f>
        <x:v>0</x:v>
      </x:c>
      <x:c r="O118" s="21" t="n">
        <x:f>IF(C118="","",IFERROR(MAX(0,G118+J118-K118-L118),"Unavailable"))</x:f>
        <x:v>3.08016</x:v>
      </x:c>
      <x:c r="P118" s="21" t="n">
        <x:f>IF(C118="","",IFERROR(MAX(0,H118+L118-M118-N118),"Unavailable"))</x:f>
        <x:v>0</x:v>
      </x:c>
      <x:c r="Q118" s="23" t="n">
        <x:f>IF(C118="","",IFERROR(IF(OR(D118&gt;=INDEX('Facilities'!$J$9:$J$108,MATCH(C118,'Facilities'!$C$9:$C$108,0)),AND(AC118&gt;=0,AC118&lt;=D118)),0,MAX(0,I118-J118)),"Unavailable"))</x:f>
        <x:v>0.437</x:v>
      </x:c>
      <x:c r="R118" s="30" t="n">
        <x:f>IF(C118="","",IFERROR(INDEX(Credit!$Q$109:$Q$208,MATCH(F118,Credit!$C$109:$C$208,0)),"Unavailable"))</x:f>
        <x:v>0.0469083450754093</x:v>
      </x:c>
      <x:c r="S118" s="30" t="n">
        <x:f>IF(C118="","",IFERROR(INDEX(Credit!$R$109:$R$208,MATCH(F118,Credit!$C$109:$C$208,0)),"Unavailable"))</x:f>
        <x:v>0.44152320000000006</x:v>
      </x:c>
      <x:c r="T118" s="23" t="n">
        <x:f>IF(C118="","",IFERROR(IF(P118&gt;0,3,IF(OR(INDEX('Facilities'!$AD$9:$AD$108,MATCH(C118,'Facilities'!$C$9:$C$108,0))=2,AND(R118&gt;=INDEX('Facilities'!$L$9:$L$108,MATCH(C118,'Facilities'!$C$9:$C$108,0))*Settings!$F$19,R118-INDEX('Facilities'!$L$9:$L$108,MATCH(C118,'Facilities'!$C$9:$C$108,0))&gt;=Settings!$F$20)),2,1)),"Unavailable"))</x:f>
        <x:v>2</x:v>
      </x:c>
      <x:c r="U118" s="23" t="n">
        <x:f>IF(C118="","",IF(AQ118&lt;&gt;"Ready","Unavailable",IF(C118="","",O118*(1-(1-S118)/(1+INDEX('Facilities'!$K$9:$K$108,MATCH(C118,'Facilities'!$C$9:$C$108,0)))^INDEX('Facilities'!$AK$9:$AK$108,MATCH(C118,'Facilities'!$C$9:$C$108,0)))*R118/(1+INDEX('Facilities'!$K$9:$K$108,MATCH(C118,'Facilities'!$C$9:$C$108,0)))*IF(ABS(1-(1-R118)*(1-INDEX('Facilities'!$R$9:$R$108,MATCH(C118,'Facilities'!$C$9:$C$108,0)))/(1+INDEX('Facilities'!$K$9:$K$108,MATCH(C118,'Facilities'!$C$9:$C$108,0))))&lt;0.000000001,IF(T118=1,MIN(1,AJ118),AJ118),(1-((1-R118)*(1-INDEX('Facilities'!$R$9:$R$108,MATCH(C118,'Facilities'!$C$9:$C$108,0)))/(1+INDEX('Facilities'!$K$9:$K$108,MATCH(C118,'Facilities'!$C$9:$C$108,0))))^IF(T118=1,MIN(1,AJ118),AJ118))/(1-(1-R118)*(1-INDEX('Facilities'!$R$9:$R$108,MATCH(C118,'Facilities'!$C$9:$C$108,0)))/(1+INDEX('Facilities'!$K$9:$K$108,MATCH(C118,'Facilities'!$C$9:$C$108,0)))))+AL118)))</x:f>
        <x:v>0.25893854942624467</x:v>
      </x:c>
      <x:c r="V118" s="23" t="n">
        <x:f>IF(C118="","",IF(AQ118&lt;&gt;"Ready","Unavailable",IF(C118="","",Q118*INDEX('Facilities'!$I$9:$I$108,MATCH(C118,'Facilities'!$C$9:$C$108,0))*(1-(1-S118)/(1+INDEX('Facilities'!$K$9:$K$108,MATCH(C118,'Facilities'!$C$9:$C$108,0)))^INDEX('Facilities'!$AK$9:$AK$108,MATCH(C118,'Facilities'!$C$9:$C$108,0)))*R118/(1+INDEX('Facilities'!$K$9:$K$108,MATCH(C118,'Facilities'!$C$9:$C$108,0)))*IF(ABS(1-(1-R118)*(1-0)/(1+INDEX('Facilities'!$K$9:$K$108,MATCH(C118,'Facilities'!$C$9:$C$108,0))))&lt;0.000000001,IF(T118=1,MIN(1,AJ118),AJ118),(1-((1-R118)*(1-0)/(1+INDEX('Facilities'!$K$9:$K$108,MATCH(C118,'Facilities'!$C$9:$C$108,0))))^IF(T118=1,MIN(1,AJ118),AJ118))/(1-(1-R118)*(1-0)/(1+INDEX('Facilities'!$K$9:$K$108,MATCH(C118,'Facilities'!$C$9:$C$108,0))))))))</x:f>
        <x:v>0.024546823898692956</x:v>
      </x:c>
      <x:c r="W118" s="21" t="n">
        <x:f>IF(C118="","",IFERROR(U18,"Unavailable"))</x:f>
        <x:v>0.27010586500631467</x:v>
      </x:c>
      <x:c r="X118" s="21" t="n">
        <x:f>IF(C118="","",IFERROR(V18,"Unavailable"))</x:f>
        <x:v>0.025794746924136008</x:v>
      </x:c>
      <x:c r="Y118" s="21" t="n">
        <x:f>IF(C118="","",IF(AQ118&lt;&gt;"Ready","Unavailable",IF(C118="","",U118-W118+V118-X118+N118+AG118)))</x:f>
        <x:v>-0.012415238605513055</x:v>
      </x:c>
      <x:c r="Z118" s="23" t="n">
        <x:f>IF(C118="","",IF(AQ118&lt;&gt;"Ready","Unavailable",IF(C118="","",(G118+O118+L118)/2*INDEX('Facilities'!$T$9:$T$108,MATCH(C118,'Facilities'!$C$9:$C$108,0))+AG118)))</x:f>
        <x:v>0.3105151</x:v>
      </x:c>
      <x:c r="AA118" s="23" t="n">
        <x:f>IF(C118="","",IF(AQ118&lt;&gt;"Ready","Unavailable",IF(C118="","",O118*(1-IF(INDEX('Facilities'!$AA$9:$AA$108,MATCH(C118,'Facilities'!$C$9:$C$108,0))=0,0,MIN(1,INDEX('Facilities'!$X$9:$X$108,MATCH(C118,'Facilities'!$C$9:$C$108,0))/INDEX('Facilities'!$AA$9:$AA$108,MATCH(C118,'Facilities'!$C$9:$C$108,0)))))*AF118+P118*(1-IF(INDEX('Facilities'!$AA$9:$AA$108,MATCH(C118,'Facilities'!$C$9:$C$108,0))=0,0,MIN(1,INDEX('Facilities'!$X$9:$X$108,MATCH(C118,'Facilities'!$C$9:$C$108,0))/INDEX('Facilities'!$AA$9:$AA$108,MATCH(C118,'Facilities'!$C$9:$C$108,0)))))*INDEX('Facilities'!$AJ$9:$AJ$108,MATCH(C118,'Facilities'!$C$9:$C$108,0))+Q118*INDEX('Facilities'!$AI$9:$AI$108,MATCH(C118,'Facilities'!$C$9:$C$108,0))*AF118)))</x:f>
        <x:v>3.36113455776</x:v>
      </x:c>
      <x:c r="AB118" s="21" t="n">
        <x:f>IF(C118="","",O118+P118-AD118)</x:f>
        <x:v>-0.37684000000000006</x:v>
      </x:c>
      <x:c r="AC118" s="23" t="n">
        <x:f>IF(C118="","",IFERROR(IF(INDEX('Facilities'!$AD$9:$AD$108,MATCH(C118,'Facilities'!$C$9:$C$108,0))=3,0,IF(INDEX('Facilities'!$AN$9:$AN$108,MATCH(C118,'Facilities'!$C$9:$C$108,0))=0,-1,INDEX('Facilities'!$AN$9:$AN$108,MATCH(C118,'Facilities'!$C$9:$C$108,0)))),"Unavailable"))</x:f>
        <x:v>-1</x:v>
      </x:c>
      <x:c r="AD118" s="21" t="n">
        <x:f>IF(C118="","",IFERROR(G118+H118,"Unavailable"))</x:f>
        <x:v>3.457</x:v>
      </x:c>
      <x:c r="AE118" s="21" t="n">
        <x:f>IF(C118="","",IF(AQ118&lt;&gt;"Ready","Unavailable",IF(C118="","",O118+P118-AD118-J118+K118+M118+N118)))</x:f>
        <x:v>-5.551115123125783e-17</x:v>
      </x:c>
      <x:c r="AF118" s="30" t="n">
        <x:f>IF(C118="","",IFERROR(INDEX('Facilities'!$S$9:$S$108,MATCH(C118,'Facilities'!$C$9:$C$108,0))*'Scenario Paths'!G75,"Unavailable"))</x:f>
        <x:v>1.05</x:v>
      </x:c>
      <x:c r="AG118" s="23" t="n">
        <x:f>IF(C118="","",IF(AQ118&lt;&gt;"Ready","Unavailable",IF(C118="","",IF(H118&gt;0,MAX(0,H118-AK118)*((1+INDEX('Facilities'!$K$9:$K$108,MATCH(C118,'Facilities'!$C$9:$C$108,0)))^MIN(1,MAX(0,AC118+INDEX('Facilities'!$AK$9:$AK$108,MATCH(C118,'Facilities'!$C$9:$C$108,0))-D118+1))-1),0))))</x:f>
        <x:v>0</x:v>
      </x:c>
      <x:c r="AH118" s="21" t="n">
        <x:f>IF(C118="","",IF(AQ118&lt;&gt;"Ready","Unavailable",IF(C118="","",O118+P118)))</x:f>
        <x:v>3.08016</x:v>
      </x:c>
      <x:c r="AI118" s="21" t="n">
        <x:f>IF(C118="","",IF(AQ118&lt;&gt;"Ready","Unavailable",IF(C118="","",Z118-Y118)))</x:f>
        <x:v>0.32293033860551307</x:v>
      </x:c>
      <x:c r="AJ118" s="23" t="n">
        <x:f>IF(C118="","",IFERROR(MAX(0,INDEX('Facilities'!$J$9:$J$108,MATCH(C118,'Facilities'!$C$9:$C$108,0))-D118),"Unavailable"))</x:f>
        <x:v>7</x:v>
      </x:c>
      <x:c r="AK118" s="21" t="n">
        <x:f>IF(C118="","",IFERROR(AL18,"Unavailable"))</x:f>
        <x:v>0</x:v>
      </x:c>
      <x:c r="AL118" s="23" t="n">
        <x:f>IF(C118="","",IFERROR(IF(P118&gt;0,P118*(1-AM118/(1+INDEX('Facilities'!$K$9:$K$108,MATCH(C118,'Facilities'!$C$9:$C$108,0)))^MAX(0,AC118+INDEX('Facilities'!$AK$9:$AK$108,MATCH(C118,'Facilities'!$C$9:$C$108,0))-D118)),0),"Unavailable"))</x:f>
        <x:v>0</x:v>
      </x:c>
      <x:c r="AM118" s="30" t="n">
        <x:f>IF(C118="","",IFERROR(INDEX('Facilities'!$AL$9:$AL$108,MATCH(C118,'Facilities'!$C$9:$C$108,0)),"Unavailable"))</x:f>
        <x:v>0.55</x:v>
      </x:c>
      <x:c r="AN118" s="30" t="n">
        <x:f>IF(C118="","",IFERROR(INDEX(Credit!$T$109:$T$208,MATCH(F118,Credit!$C$109:$C$208,0)),"Unavailable"))</x:f>
        <x:v>0.00272</x:v>
      </x:c>
      <x:c r="AO118" s="23" t="n">
        <x:f>IF(C118="","",IF(AQ118&lt;&gt;"Ready","Unavailable",IF(C118="","",O118+P118+Q118*INDEX('Facilities'!$I$9:$I$108,MATCH(C118,'Facilities'!$C$9:$C$108,0)))))</x:f>
        <x:v>3.29866</x:v>
      </x:c>
      <x:c r="AP118" s="21" t="n">
        <x:f>IF(C118="","",IF(AQ118&lt;&gt;"Ready","Unavailable",IF(C118="","",AH118-U118)))</x:f>
        <x:v>2.821221450573755</x:v>
      </x:c>
      <x:c r="AQ118" s="23" t="str">
        <x:f>IFERROR(IF(C118="","",IF(AND(INDEX('Facilities'!$AF$9:$AF$108,MATCH(C118,'Facilities'!$C$9:$C$108,0))="Ready",INDEX(Credit!$U$109:$U$208,MATCH(F118,Credit!$C$109:$C$208,0))="Ready",ISNUMBER(W118)),"Ready","Review inputs")),"Review inputs")</x:f>
        <x:v>Ready</x:v>
      </x:c>
      <x:c r="AR118" s="23" t="n">
        <x:f>IF(C118="","",IF(AQ118&lt;&gt;"Ready","Unavailable",IF(C118="","",IF(O118=0,0,(IF(AJ118&lt;=1,O118,O118*INDEX('Facilities'!$R$9:$R$108,MATCH(C118,'Facilities'!$C$9:$C$108,0)))+O118*INDEX('Facilities'!$T$9:$T$108,MATCH(C118,'Facilities'!$C$9:$C$108,0)))/12))))</x:f>
        <x:v>0.0551862</x:v>
      </x:c>
    </x:row>
    <x:row r="119" ht="26" customHeight="1">
      <x:c r="A119" s="1"/>
      <x:c r="B119" s="1"/>
      <x:c r="C119" s="9" t="str">
        <x:f>IF(Facilities!C19="","",Facilities!C19)</x:f>
        <x:v>F011</x:v>
      </x:c>
      <x:c r="D119" s="3" t="n">
        <x:v>2</x:v>
      </x:c>
      <x:c r="E119" s="9" t="n">
        <x:f>Settings!$F$18+1</x:f>
        <x:v>2028</x:v>
      </x:c>
      <x:c r="F119" s="9" t="str">
        <x:f>IF(C119="","",IFERROR(INDEX('Facilities'!$D$9:$D$108,MATCH(C119,'Facilities'!$C$9:$C$108,0)),"Unavailable"))</x:f>
        <x:v>B006</x:v>
      </x:c>
      <x:c r="G119" s="21" t="n">
        <x:f>IF(C119="","",IFERROR(O19,"Unavailable"))</x:f>
        <x:v>6.015000000000001</x:v>
      </x:c>
      <x:c r="H119" s="21" t="n">
        <x:f>IF(C119="","",IFERROR(P19,"Unavailable"))</x:f>
        <x:v>0</x:v>
      </x:c>
      <x:c r="I119" s="21" t="n">
        <x:f>IF(C119="","",IFERROR(Q19,"Unavailable"))</x:f>
        <x:v>1.425</x:v>
      </x:c>
      <x:c r="J119" s="23" t="n">
        <x:f>IF(C119="","",IFERROR(IF(OR(H119&gt;0,AND(AC119&gt;=0,AC119&lt;D119),D119&gt;INDEX('Facilities'!$J$9:$J$108,MATCH(C119,'Facilities'!$C$9:$C$108,0))),0,I119*'Scenario Paths'!G81),"Unavailable"))</x:f>
        <x:v>0.114</x:v>
      </x:c>
      <x:c r="K119" s="23" t="n">
        <x:f>IF(C119="","",IFERROR(IF(OR(H119&gt;0,AND(AC119&gt;=0,AC119=D119)),0,IF(D119&gt;=INDEX('Facilities'!$J$9:$J$108,MATCH(C119,'Facilities'!$C$9:$C$108,0)),G119+J119,MIN(G119+J119,G119*INDEX('Facilities'!$R$9:$R$108,MATCH(C119,'Facilities'!$C$9:$C$108,0))))),"Unavailable"))</x:f>
        <x:v>0.7218</x:v>
      </x:c>
      <x:c r="L119" s="21" t="n">
        <x:f>IF(C119="","",IFERROR(IF(AND(AC119=D119,AC119&gt;0),MAX(0,G119+J119-K119),0),"Unavailable"))</x:f>
        <x:v>0</x:v>
      </x:c>
      <x:c r="M119" s="23" t="n">
        <x:f>IF(C119="","",IFERROR(IF(AND(AC119&gt;=0,D119&gt;=AC119+INDEX('Facilities'!$AK$9:$AK$108,MATCH(C119,'Facilities'!$C$9:$C$108,0))),(H119+L119)*AM119,0),"Unavailable"))</x:f>
        <x:v>0</x:v>
      </x:c>
      <x:c r="N119" s="23" t="n">
        <x:f>IF(C119="","",IFERROR(IF(AND(AC119&gt;=0,D119&gt;=AC119+INDEX('Facilities'!$AK$9:$AK$108,MATCH(C119,'Facilities'!$C$9:$C$108,0))),H119+L119-M119,0),"Unavailable"))</x:f>
        <x:v>0</x:v>
      </x:c>
      <x:c r="O119" s="21" t="n">
        <x:f>IF(C119="","",IFERROR(MAX(0,G119+J119-K119-L119),"Unavailable"))</x:f>
        <x:v>5.4072000000000005</x:v>
      </x:c>
      <x:c r="P119" s="21" t="n">
        <x:f>IF(C119="","",IFERROR(MAX(0,H119+L119-M119-N119),"Unavailable"))</x:f>
        <x:v>0</x:v>
      </x:c>
      <x:c r="Q119" s="23" t="n">
        <x:f>IF(C119="","",IFERROR(IF(OR(D119&gt;=INDEX('Facilities'!$J$9:$J$108,MATCH(C119,'Facilities'!$C$9:$C$108,0)),AND(AC119&gt;=0,AC119&lt;=D119)),0,MAX(0,I119-J119)),"Unavailable"))</x:f>
        <x:v>1.311</x:v>
      </x:c>
      <x:c r="R119" s="30" t="n">
        <x:f>IF(C119="","",IFERROR(INDEX(Credit!$Q$109:$Q$208,MATCH(F119,Credit!$C$109:$C$208,0)),"Unavailable"))</x:f>
        <x:v>0.05505178167087908</x:v>
      </x:c>
      <x:c r="S119" s="30" t="n">
        <x:f>IF(C119="","",IFERROR(INDEX(Credit!$R$109:$R$208,MATCH(F119,Credit!$C$109:$C$208,0)),"Unavailable"))</x:f>
        <x:v>0.2807488</x:v>
      </x:c>
      <x:c r="T119" s="23" t="n">
        <x:f>IF(C119="","",IFERROR(IF(P119&gt;0,3,IF(OR(INDEX('Facilities'!$AD$9:$AD$108,MATCH(C119,'Facilities'!$C$9:$C$108,0))=2,AND(R119&gt;=INDEX('Facilities'!$L$9:$L$108,MATCH(C119,'Facilities'!$C$9:$C$108,0))*Settings!$F$19,R119-INDEX('Facilities'!$L$9:$L$108,MATCH(C119,'Facilities'!$C$9:$C$108,0))&gt;=Settings!$F$20)),2,1)),"Unavailable"))</x:f>
        <x:v>1</x:v>
      </x:c>
      <x:c r="U119" s="23" t="n">
        <x:f>IF(C119="","",IF(AQ119&lt;&gt;"Ready","Unavailable",IF(C119="","",O119*(1-(1-S119)/(1+INDEX('Facilities'!$K$9:$K$108,MATCH(C119,'Facilities'!$C$9:$C$108,0)))^INDEX('Facilities'!$AK$9:$AK$108,MATCH(C119,'Facilities'!$C$9:$C$108,0)))*R119/(1+INDEX('Facilities'!$K$9:$K$108,MATCH(C119,'Facilities'!$C$9:$C$108,0)))*IF(ABS(1-(1-R119)*(1-INDEX('Facilities'!$R$9:$R$108,MATCH(C119,'Facilities'!$C$9:$C$108,0)))/(1+INDEX('Facilities'!$K$9:$K$108,MATCH(C119,'Facilities'!$C$9:$C$108,0))))&lt;0.000000001,IF(T119=1,MIN(1,AJ119),AJ119),(1-((1-R119)*(1-INDEX('Facilities'!$R$9:$R$108,MATCH(C119,'Facilities'!$C$9:$C$108,0)))/(1+INDEX('Facilities'!$K$9:$K$108,MATCH(C119,'Facilities'!$C$9:$C$108,0))))^IF(T119=1,MIN(1,AJ119),AJ119))/(1-(1-R119)*(1-INDEX('Facilities'!$R$9:$R$108,MATCH(C119,'Facilities'!$C$9:$C$108,0)))/(1+INDEX('Facilities'!$K$9:$K$108,MATCH(C119,'Facilities'!$C$9:$C$108,0)))))+AL119)))</x:f>
        <x:v>0.10566340833395449</x:v>
      </x:c>
      <x:c r="V119" s="23" t="n">
        <x:f>IF(C119="","",IF(AQ119&lt;&gt;"Ready","Unavailable",IF(C119="","",Q119*INDEX('Facilities'!$I$9:$I$108,MATCH(C119,'Facilities'!$C$9:$C$108,0))*(1-(1-S119)/(1+INDEX('Facilities'!$K$9:$K$108,MATCH(C119,'Facilities'!$C$9:$C$108,0)))^INDEX('Facilities'!$AK$9:$AK$108,MATCH(C119,'Facilities'!$C$9:$C$108,0)))*R119/(1+INDEX('Facilities'!$K$9:$K$108,MATCH(C119,'Facilities'!$C$9:$C$108,0)))*IF(ABS(1-(1-R119)*(1-0)/(1+INDEX('Facilities'!$K$9:$K$108,MATCH(C119,'Facilities'!$C$9:$C$108,0))))&lt;0.000000001,IF(T119=1,MIN(1,AJ119),AJ119),(1-((1-R119)*(1-0)/(1+INDEX('Facilities'!$K$9:$K$108,MATCH(C119,'Facilities'!$C$9:$C$108,0))))^IF(T119=1,MIN(1,AJ119),AJ119))/(1-(1-R119)*(1-0)/(1+INDEX('Facilities'!$K$9:$K$108,MATCH(C119,'Facilities'!$C$9:$C$108,0))))))))</x:f>
        <x:v>0.012809284687621535</x:v>
      </x:c>
      <x:c r="W119" s="21" t="n">
        <x:f>IF(C119="","",IFERROR(U19,"Unavailable"))</x:f>
        <x:v>0.10270681530586137</x:v>
      </x:c>
      <x:c r="X119" s="21" t="n">
        <x:f>IF(C119="","",IFERROR(V19,"Unavailable"))</x:f>
        <x:v>0.012166019269397543</x:v>
      </x:c>
      <x:c r="Y119" s="21" t="n">
        <x:f>IF(C119="","",IF(AQ119&lt;&gt;"Ready","Unavailable",IF(C119="","",U119-W119+V119-X119+N119+AG119)))</x:f>
        <x:v>0.003599858446317109</x:v>
      </x:c>
      <x:c r="Z119" s="23" t="n">
        <x:f>IF(C119="","",IF(AQ119&lt;&gt;"Ready","Unavailable",IF(C119="","",(G119+O119+L119)/2*INDEX('Facilities'!$T$9:$T$108,MATCH(C119,'Facilities'!$C$9:$C$108,0))+AG119)))</x:f>
        <x:v>0.5425545</x:v>
      </x:c>
      <x:c r="AA119" s="23" t="n">
        <x:f>IF(C119="","",IF(AQ119&lt;&gt;"Ready","Unavailable",IF(C119="","",O119*(1-IF(INDEX('Facilities'!$AA$9:$AA$108,MATCH(C119,'Facilities'!$C$9:$C$108,0))=0,0,MIN(1,INDEX('Facilities'!$X$9:$X$108,MATCH(C119,'Facilities'!$C$9:$C$108,0))/INDEX('Facilities'!$AA$9:$AA$108,MATCH(C119,'Facilities'!$C$9:$C$108,0)))))*AF119+P119*(1-IF(INDEX('Facilities'!$AA$9:$AA$108,MATCH(C119,'Facilities'!$C$9:$C$108,0))=0,0,MIN(1,INDEX('Facilities'!$X$9:$X$108,MATCH(C119,'Facilities'!$C$9:$C$108,0))/INDEX('Facilities'!$AA$9:$AA$108,MATCH(C119,'Facilities'!$C$9:$C$108,0)))))*INDEX('Facilities'!$AJ$9:$AJ$108,MATCH(C119,'Facilities'!$C$9:$C$108,0))+Q119*INDEX('Facilities'!$AI$9:$AI$108,MATCH(C119,'Facilities'!$C$9:$C$108,0))*AF119)))</x:f>
        <x:v>6.232298788800001</x:v>
      </x:c>
      <x:c r="AB119" s="21" t="n">
        <x:f>IF(C119="","",O119+P119-AD119)</x:f>
        <x:v>-0.6078000000000001</x:v>
      </x:c>
      <x:c r="AC119" s="23" t="n">
        <x:f>IF(C119="","",IFERROR(IF(INDEX('Facilities'!$AD$9:$AD$108,MATCH(C119,'Facilities'!$C$9:$C$108,0))=3,0,IF(INDEX('Facilities'!$AN$9:$AN$108,MATCH(C119,'Facilities'!$C$9:$C$108,0))=0,-1,INDEX('Facilities'!$AN$9:$AN$108,MATCH(C119,'Facilities'!$C$9:$C$108,0)))),"Unavailable"))</x:f>
        <x:v>-1</x:v>
      </x:c>
      <x:c r="AD119" s="21" t="n">
        <x:f>IF(C119="","",IFERROR(G119+H119,"Unavailable"))</x:f>
        <x:v>6.015000000000001</x:v>
      </x:c>
      <x:c r="AE119" s="21" t="n">
        <x:f>IF(C119="","",IF(AQ119&lt;&gt;"Ready","Unavailable",IF(C119="","",O119+P119-AD119-J119+K119+M119+N119)))</x:f>
        <x:v>-1.1102230246251565e-16</x:v>
      </x:c>
      <x:c r="AF119" s="30" t="n">
        <x:f>IF(C119="","",IFERROR(INDEX('Facilities'!$S$9:$S$108,MATCH(C119,'Facilities'!$C$9:$C$108,0))*'Scenario Paths'!G75,"Unavailable"))</x:f>
        <x:v>1.05</x:v>
      </x:c>
      <x:c r="AG119" s="23" t="n">
        <x:f>IF(C119="","",IF(AQ119&lt;&gt;"Ready","Unavailable",IF(C119="","",IF(H119&gt;0,MAX(0,H119-AK119)*((1+INDEX('Facilities'!$K$9:$K$108,MATCH(C119,'Facilities'!$C$9:$C$108,0)))^MIN(1,MAX(0,AC119+INDEX('Facilities'!$AK$9:$AK$108,MATCH(C119,'Facilities'!$C$9:$C$108,0))-D119+1))-1),0))))</x:f>
        <x:v>0</x:v>
      </x:c>
      <x:c r="AH119" s="21" t="n">
        <x:f>IF(C119="","",IF(AQ119&lt;&gt;"Ready","Unavailable",IF(C119="","",O119+P119)))</x:f>
        <x:v>5.4072000000000005</x:v>
      </x:c>
      <x:c r="AI119" s="21" t="n">
        <x:f>IF(C119="","",IF(AQ119&lt;&gt;"Ready","Unavailable",IF(C119="","",Z119-Y119)))</x:f>
        <x:v>0.5389546415536829</x:v>
      </x:c>
      <x:c r="AJ119" s="23" t="n">
        <x:f>IF(C119="","",IFERROR(MAX(0,INDEX('Facilities'!$J$9:$J$108,MATCH(C119,'Facilities'!$C$9:$C$108,0))-D119),"Unavailable"))</x:f>
        <x:v>3</x:v>
      </x:c>
      <x:c r="AK119" s="21" t="n">
        <x:f>IF(C119="","",IFERROR(AL19,"Unavailable"))</x:f>
        <x:v>0</x:v>
      </x:c>
      <x:c r="AL119" s="23" t="n">
        <x:f>IF(C119="","",IFERROR(IF(P119&gt;0,P119*(1-AM119/(1+INDEX('Facilities'!$K$9:$K$108,MATCH(C119,'Facilities'!$C$9:$C$108,0)))^MAX(0,AC119+INDEX('Facilities'!$AK$9:$AK$108,MATCH(C119,'Facilities'!$C$9:$C$108,0))-D119)),0),"Unavailable"))</x:f>
        <x:v>0</x:v>
      </x:c>
      <x:c r="AM119" s="30" t="n">
        <x:f>IF(C119="","",IFERROR(INDEX('Facilities'!$AL$9:$AL$108,MATCH(C119,'Facilities'!$C$9:$C$108,0)),"Unavailable"))</x:f>
        <x:v>0.55</x:v>
      </x:c>
      <x:c r="AN119" s="30" t="n">
        <x:f>IF(C119="","",IFERROR(INDEX(Credit!$T$109:$T$208,MATCH(F119,Credit!$C$109:$C$208,0)),"Unavailable"))</x:f>
        <x:v>0.00104</x:v>
      </x:c>
      <x:c r="AO119" s="23" t="n">
        <x:f>IF(C119="","",IF(AQ119&lt;&gt;"Ready","Unavailable",IF(C119="","",O119+P119+Q119*INDEX('Facilities'!$I$9:$I$108,MATCH(C119,'Facilities'!$C$9:$C$108,0)))))</x:f>
        <x:v>6.0627</x:v>
      </x:c>
      <x:c r="AP119" s="21" t="n">
        <x:f>IF(C119="","",IF(AQ119&lt;&gt;"Ready","Unavailable",IF(C119="","",AH119-U119)))</x:f>
        <x:v>5.301536591666046</x:v>
      </x:c>
      <x:c r="AQ119" s="23" t="str">
        <x:f>IFERROR(IF(C119="","",IF(AND(INDEX('Facilities'!$AF$9:$AF$108,MATCH(C119,'Facilities'!$C$9:$C$108,0))="Ready",INDEX(Credit!$U$109:$U$208,MATCH(F119,Credit!$C$109:$C$208,0))="Ready",ISNUMBER(W119)),"Ready","Review inputs")),"Review inputs")</x:f>
        <x:v>Ready</x:v>
      </x:c>
      <x:c r="AR119" s="23" t="n">
        <x:f>IF(C119="","",IF(AQ119&lt;&gt;"Ready","Unavailable",IF(C119="","",IF(O119=0,0,(IF(AJ119&lt;=1,O119,O119*INDEX('Facilities'!$R$9:$R$108,MATCH(C119,'Facilities'!$C$9:$C$108,0)))+O119*INDEX('Facilities'!$T$9:$T$108,MATCH(C119,'Facilities'!$C$9:$C$108,0)))/12))))</x:f>
        <x:v>0.096879</x:v>
      </x:c>
    </x:row>
    <x:row r="120" ht="26" customHeight="1">
      <x:c r="A120" s="1"/>
      <x:c r="B120" s="1"/>
      <x:c r="C120" s="9" t="str">
        <x:f>IF(Facilities!C20="","",Facilities!C20)</x:f>
        <x:v>F012</x:v>
      </x:c>
      <x:c r="D120" s="3" t="n">
        <x:v>2</x:v>
      </x:c>
      <x:c r="E120" s="9" t="n">
        <x:f>Settings!$F$18+1</x:f>
        <x:v>2028</x:v>
      </x:c>
      <x:c r="F120" s="9" t="str">
        <x:f>IF(C120="","",IFERROR(INDEX('Facilities'!$D$9:$D$108,MATCH(C120,'Facilities'!$C$9:$C$108,0)),"Unavailable"))</x:f>
        <x:v>B006</x:v>
      </x:c>
      <x:c r="G120" s="21" t="n">
        <x:f>IF(C120="","",IFERROR(O20,"Unavailable"))</x:f>
        <x:v>3.7650000000000006</x:v>
      </x:c>
      <x:c r="H120" s="21" t="n">
        <x:f>IF(C120="","",IFERROR(P20,"Unavailable"))</x:f>
        <x:v>0</x:v>
      </x:c>
      <x:c r="I120" s="21" t="n">
        <x:f>IF(C120="","",IFERROR(Q20,"Unavailable"))</x:f>
        <x:v>0.475</x:v>
      </x:c>
      <x:c r="J120" s="23" t="n">
        <x:f>IF(C120="","",IFERROR(IF(OR(H120&gt;0,AND(AC120&gt;=0,AC120&lt;D120),D120&gt;INDEX('Facilities'!$J$9:$J$108,MATCH(C120,'Facilities'!$C$9:$C$108,0))),0,I120*'Scenario Paths'!G81),"Unavailable"))</x:f>
        <x:v>0.038</x:v>
      </x:c>
      <x:c r="K120" s="23" t="n">
        <x:f>IF(C120="","",IFERROR(IF(OR(H120&gt;0,AND(AC120&gt;=0,AC120=D120)),0,IF(D120&gt;=INDEX('Facilities'!$J$9:$J$108,MATCH(C120,'Facilities'!$C$9:$C$108,0)),G120+J120,MIN(G120+J120,G120*INDEX('Facilities'!$R$9:$R$108,MATCH(C120,'Facilities'!$C$9:$C$108,0))))),"Unavailable"))</x:f>
        <x:v>0.45180000000000003</x:v>
      </x:c>
      <x:c r="L120" s="21" t="n">
        <x:f>IF(C120="","",IFERROR(IF(AND(AC120=D120,AC120&gt;0),MAX(0,G120+J120-K120),0),"Unavailable"))</x:f>
        <x:v>0</x:v>
      </x:c>
      <x:c r="M120" s="23" t="n">
        <x:f>IF(C120="","",IFERROR(IF(AND(AC120&gt;=0,D120&gt;=AC120+INDEX('Facilities'!$AK$9:$AK$108,MATCH(C120,'Facilities'!$C$9:$C$108,0))),(H120+L120)*AM120,0),"Unavailable"))</x:f>
        <x:v>0</x:v>
      </x:c>
      <x:c r="N120" s="23" t="n">
        <x:f>IF(C120="","",IFERROR(IF(AND(AC120&gt;=0,D120&gt;=AC120+INDEX('Facilities'!$AK$9:$AK$108,MATCH(C120,'Facilities'!$C$9:$C$108,0))),H120+L120-M120,0),"Unavailable"))</x:f>
        <x:v>0</x:v>
      </x:c>
      <x:c r="O120" s="21" t="n">
        <x:f>IF(C120="","",IFERROR(MAX(0,G120+J120-K120-L120),"Unavailable"))</x:f>
        <x:v>3.3512000000000004</x:v>
      </x:c>
      <x:c r="P120" s="21" t="n">
        <x:f>IF(C120="","",IFERROR(MAX(0,H120+L120-M120-N120),"Unavailable"))</x:f>
        <x:v>0</x:v>
      </x:c>
      <x:c r="Q120" s="23" t="n">
        <x:f>IF(C120="","",IFERROR(IF(OR(D120&gt;=INDEX('Facilities'!$J$9:$J$108,MATCH(C120,'Facilities'!$C$9:$C$108,0)),AND(AC120&gt;=0,AC120&lt;=D120)),0,MAX(0,I120-J120)),"Unavailable"))</x:f>
        <x:v>0.437</x:v>
      </x:c>
      <x:c r="R120" s="30" t="n">
        <x:f>IF(C120="","",IFERROR(INDEX(Credit!$Q$109:$Q$208,MATCH(F120,Credit!$C$109:$C$208,0)),"Unavailable"))</x:f>
        <x:v>0.05505178167087908</x:v>
      </x:c>
      <x:c r="S120" s="30" t="n">
        <x:f>IF(C120="","",IFERROR(INDEX(Credit!$R$109:$R$208,MATCH(F120,Credit!$C$109:$C$208,0)),"Unavailable"))</x:f>
        <x:v>0.2807488</x:v>
      </x:c>
      <x:c r="T120" s="23" t="n">
        <x:f>IF(C120="","",IFERROR(IF(P120&gt;0,3,IF(OR(INDEX('Facilities'!$AD$9:$AD$108,MATCH(C120,'Facilities'!$C$9:$C$108,0))=2,AND(R120&gt;=INDEX('Facilities'!$L$9:$L$108,MATCH(C120,'Facilities'!$C$9:$C$108,0))*Settings!$F$19,R120-INDEX('Facilities'!$L$9:$L$108,MATCH(C120,'Facilities'!$C$9:$C$108,0))&gt;=Settings!$F$20)),2,1)),"Unavailable"))</x:f>
        <x:v>1</x:v>
      </x:c>
      <x:c r="U120" s="23" t="n">
        <x:f>IF(C120="","",IF(AQ120&lt;&gt;"Ready","Unavailable",IF(C120="","",O120*(1-(1-S120)/(1+INDEX('Facilities'!$K$9:$K$108,MATCH(C120,'Facilities'!$C$9:$C$108,0)))^INDEX('Facilities'!$AK$9:$AK$108,MATCH(C120,'Facilities'!$C$9:$C$108,0)))*R120/(1+INDEX('Facilities'!$K$9:$K$108,MATCH(C120,'Facilities'!$C$9:$C$108,0)))*IF(ABS(1-(1-R120)*(1-INDEX('Facilities'!$R$9:$R$108,MATCH(C120,'Facilities'!$C$9:$C$108,0)))/(1+INDEX('Facilities'!$K$9:$K$108,MATCH(C120,'Facilities'!$C$9:$C$108,0))))&lt;0.000000001,IF(T120=1,MIN(1,AJ120),AJ120),(1-((1-R120)*(1-INDEX('Facilities'!$R$9:$R$108,MATCH(C120,'Facilities'!$C$9:$C$108,0)))/(1+INDEX('Facilities'!$K$9:$K$108,MATCH(C120,'Facilities'!$C$9:$C$108,0))))^IF(T120=1,MIN(1,AJ120),AJ120))/(1-(1-R120)*(1-INDEX('Facilities'!$R$9:$R$108,MATCH(C120,'Facilities'!$C$9:$C$108,0)))/(1+INDEX('Facilities'!$K$9:$K$108,MATCH(C120,'Facilities'!$C$9:$C$108,0)))))+AL120)))</x:f>
        <x:v>0.06548661303609046</x:v>
      </x:c>
      <x:c r="V120" s="23" t="n">
        <x:f>IF(C120="","",IF(AQ120&lt;&gt;"Ready","Unavailable",IF(C120="","",Q120*INDEX('Facilities'!$I$9:$I$108,MATCH(C120,'Facilities'!$C$9:$C$108,0))*(1-(1-S120)/(1+INDEX('Facilities'!$K$9:$K$108,MATCH(C120,'Facilities'!$C$9:$C$108,0)))^INDEX('Facilities'!$AK$9:$AK$108,MATCH(C120,'Facilities'!$C$9:$C$108,0)))*R120/(1+INDEX('Facilities'!$K$9:$K$108,MATCH(C120,'Facilities'!$C$9:$C$108,0)))*IF(ABS(1-(1-R120)*(1-0)/(1+INDEX('Facilities'!$K$9:$K$108,MATCH(C120,'Facilities'!$C$9:$C$108,0))))&lt;0.000000001,IF(T120=1,MIN(1,AJ120),AJ120),(1-((1-R120)*(1-0)/(1+INDEX('Facilities'!$K$9:$K$108,MATCH(C120,'Facilities'!$C$9:$C$108,0))))^IF(T120=1,MIN(1,AJ120),AJ120))/(1-(1-R120)*(1-0)/(1+INDEX('Facilities'!$K$9:$K$108,MATCH(C120,'Facilities'!$C$9:$C$108,0))))))))</x:f>
        <x:v>0.004269761562540512</x:v>
      </x:c>
      <x:c r="W120" s="21" t="n">
        <x:f>IF(C120="","",IFERROR(U20,"Unavailable"))</x:f>
        <x:v>0.06428780708671124</x:v>
      </x:c>
      <x:c r="X120" s="21" t="n">
        <x:f>IF(C120="","",IFERROR(V20,"Unavailable"))</x:f>
        <x:v>0.004055339756465847</x:v>
      </x:c>
      <x:c r="Y120" s="21" t="n">
        <x:f>IF(C120="","",IF(AQ120&lt;&gt;"Ready","Unavailable",IF(C120="","",U120-W120+V120-X120+N120+AG120)))</x:f>
        <x:v>0.00141322775545389</x:v>
      </x:c>
      <x:c r="Z120" s="23" t="n">
        <x:f>IF(C120="","",IF(AQ120&lt;&gt;"Ready","Unavailable",IF(C120="","",(G120+O120+L120)/2*INDEX('Facilities'!$T$9:$T$108,MATCH(C120,'Facilities'!$C$9:$C$108,0))+AG120)))</x:f>
        <x:v>0.33801950000000003</x:v>
      </x:c>
      <x:c r="AA120" s="23" t="n">
        <x:f>IF(C120="","",IF(AQ120&lt;&gt;"Ready","Unavailable",IF(C120="","",O120*(1-IF(INDEX('Facilities'!$AA$9:$AA$108,MATCH(C120,'Facilities'!$C$9:$C$108,0))=0,0,MIN(1,INDEX('Facilities'!$X$9:$X$108,MATCH(C120,'Facilities'!$C$9:$C$108,0))/INDEX('Facilities'!$AA$9:$AA$108,MATCH(C120,'Facilities'!$C$9:$C$108,0)))))*AF120+P120*(1-IF(INDEX('Facilities'!$AA$9:$AA$108,MATCH(C120,'Facilities'!$C$9:$C$108,0))=0,0,MIN(1,INDEX('Facilities'!$X$9:$X$108,MATCH(C120,'Facilities'!$C$9:$C$108,0))/INDEX('Facilities'!$AA$9:$AA$108,MATCH(C120,'Facilities'!$C$9:$C$108,0)))))*INDEX('Facilities'!$AJ$9:$AJ$108,MATCH(C120,'Facilities'!$C$9:$C$108,0))+Q120*INDEX('Facilities'!$AI$9:$AI$108,MATCH(C120,'Facilities'!$C$9:$C$108,0))*AF120)))</x:f>
        <x:v>3.6654237648000008</x:v>
      </x:c>
      <x:c r="AB120" s="21" t="n">
        <x:f>IF(C120="","",O120+P120-AD120)</x:f>
        <x:v>-0.41380000000000017</x:v>
      </x:c>
      <x:c r="AC120" s="23" t="n">
        <x:f>IF(C120="","",IFERROR(IF(INDEX('Facilities'!$AD$9:$AD$108,MATCH(C120,'Facilities'!$C$9:$C$108,0))=3,0,IF(INDEX('Facilities'!$AN$9:$AN$108,MATCH(C120,'Facilities'!$C$9:$C$108,0))=0,-1,INDEX('Facilities'!$AN$9:$AN$108,MATCH(C120,'Facilities'!$C$9:$C$108,0)))),"Unavailable"))</x:f>
        <x:v>-1</x:v>
      </x:c>
      <x:c r="AD120" s="21" t="n">
        <x:f>IF(C120="","",IFERROR(G120+H120,"Unavailable"))</x:f>
        <x:v>3.7650000000000006</x:v>
      </x:c>
      <x:c r="AE120" s="21" t="n">
        <x:f>IF(C120="","",IF(AQ120&lt;&gt;"Ready","Unavailable",IF(C120="","",O120+P120-AD120-J120+K120+M120+N120)))</x:f>
        <x:v>-1.1102230246251565e-16</x:v>
      </x:c>
      <x:c r="AF120" s="30" t="n">
        <x:f>IF(C120="","",IFERROR(INDEX('Facilities'!$S$9:$S$108,MATCH(C120,'Facilities'!$C$9:$C$108,0))*'Scenario Paths'!G75,"Unavailable"))</x:f>
        <x:v>1.05</x:v>
      </x:c>
      <x:c r="AG120" s="23" t="n">
        <x:f>IF(C120="","",IF(AQ120&lt;&gt;"Ready","Unavailable",IF(C120="","",IF(H120&gt;0,MAX(0,H120-AK120)*((1+INDEX('Facilities'!$K$9:$K$108,MATCH(C120,'Facilities'!$C$9:$C$108,0)))^MIN(1,MAX(0,AC120+INDEX('Facilities'!$AK$9:$AK$108,MATCH(C120,'Facilities'!$C$9:$C$108,0))-D120+1))-1),0))))</x:f>
        <x:v>0</x:v>
      </x:c>
      <x:c r="AH120" s="21" t="n">
        <x:f>IF(C120="","",IF(AQ120&lt;&gt;"Ready","Unavailable",IF(C120="","",O120+P120)))</x:f>
        <x:v>3.3512000000000004</x:v>
      </x:c>
      <x:c r="AI120" s="21" t="n">
        <x:f>IF(C120="","",IF(AQ120&lt;&gt;"Ready","Unavailable",IF(C120="","",Z120-Y120)))</x:f>
        <x:v>0.33660627224454615</x:v>
      </x:c>
      <x:c r="AJ120" s="23" t="n">
        <x:f>IF(C120="","",IFERROR(MAX(0,INDEX('Facilities'!$J$9:$J$108,MATCH(C120,'Facilities'!$C$9:$C$108,0))-D120),"Unavailable"))</x:f>
        <x:v>3</x:v>
      </x:c>
      <x:c r="AK120" s="21" t="n">
        <x:f>IF(C120="","",IFERROR(AL20,"Unavailable"))</x:f>
        <x:v>0</x:v>
      </x:c>
      <x:c r="AL120" s="23" t="n">
        <x:f>IF(C120="","",IFERROR(IF(P120&gt;0,P120*(1-AM120/(1+INDEX('Facilities'!$K$9:$K$108,MATCH(C120,'Facilities'!$C$9:$C$108,0)))^MAX(0,AC120+INDEX('Facilities'!$AK$9:$AK$108,MATCH(C120,'Facilities'!$C$9:$C$108,0))-D120)),0),"Unavailable"))</x:f>
        <x:v>0</x:v>
      </x:c>
      <x:c r="AM120" s="30" t="n">
        <x:f>IF(C120="","",IFERROR(INDEX('Facilities'!$AL$9:$AL$108,MATCH(C120,'Facilities'!$C$9:$C$108,0)),"Unavailable"))</x:f>
        <x:v>0.55</x:v>
      </x:c>
      <x:c r="AN120" s="30" t="n">
        <x:f>IF(C120="","",IFERROR(INDEX(Credit!$T$109:$T$208,MATCH(F120,Credit!$C$109:$C$208,0)),"Unavailable"))</x:f>
        <x:v>0.00104</x:v>
      </x:c>
      <x:c r="AO120" s="23" t="n">
        <x:f>IF(C120="","",IF(AQ120&lt;&gt;"Ready","Unavailable",IF(C120="","",O120+P120+Q120*INDEX('Facilities'!$I$9:$I$108,MATCH(C120,'Facilities'!$C$9:$C$108,0)))))</x:f>
        <x:v>3.5697000000000005</x:v>
      </x:c>
      <x:c r="AP120" s="21" t="n">
        <x:f>IF(C120="","",IF(AQ120&lt;&gt;"Ready","Unavailable",IF(C120="","",AH120-U120)))</x:f>
        <x:v>3.28571338696391</x:v>
      </x:c>
      <x:c r="AQ120" s="23" t="str">
        <x:f>IFERROR(IF(C120="","",IF(AND(INDEX('Facilities'!$AF$9:$AF$108,MATCH(C120,'Facilities'!$C$9:$C$108,0))="Ready",INDEX(Credit!$U$109:$U$208,MATCH(F120,Credit!$C$109:$C$208,0))="Ready",ISNUMBER(W120)),"Ready","Review inputs")),"Review inputs")</x:f>
        <x:v>Ready</x:v>
      </x:c>
      <x:c r="AR120" s="23" t="n">
        <x:f>IF(C120="","",IF(AQ120&lt;&gt;"Ready","Unavailable",IF(C120="","",IF(O120=0,0,(IF(AJ120&lt;=1,O120,O120*INDEX('Facilities'!$R$9:$R$108,MATCH(C120,'Facilities'!$C$9:$C$108,0)))+O120*INDEX('Facilities'!$T$9:$T$108,MATCH(C120,'Facilities'!$C$9:$C$108,0)))/12))))</x:f>
        <x:v>0.06004233333333334</x:v>
      </x:c>
    </x:row>
    <x:row r="121" ht="26" customHeight="1">
      <x:c r="A121" s="1"/>
      <x:c r="B121" s="1"/>
      <x:c r="C121" s="9" t="str">
        <x:f>IF(Facilities!C21="","",Facilities!C21)</x:f>
        <x:v>F013</x:v>
      </x:c>
      <x:c r="D121" s="3" t="n">
        <x:v>2</x:v>
      </x:c>
      <x:c r="E121" s="9" t="n">
        <x:f>Settings!$F$18+1</x:f>
        <x:v>2028</x:v>
      </x:c>
      <x:c r="F121" s="9" t="str">
        <x:f>IF(C121="","",IFERROR(INDEX('Facilities'!$D$9:$D$108,MATCH(C121,'Facilities'!$C$9:$C$108,0)),"Unavailable"))</x:f>
        <x:v>B007</x:v>
      </x:c>
      <x:c r="G121" s="21" t="n">
        <x:f>IF(C121="","",IFERROR(O21,"Unavailable"))</x:f>
        <x:v>6.3229999999999995</x:v>
      </x:c>
      <x:c r="H121" s="21" t="n">
        <x:f>IF(C121="","",IFERROR(P21,"Unavailable"))</x:f>
        <x:v>0</x:v>
      </x:c>
      <x:c r="I121" s="21" t="n">
        <x:f>IF(C121="","",IFERROR(Q21,"Unavailable"))</x:f>
        <x:v>1.425</x:v>
      </x:c>
      <x:c r="J121" s="23" t="n">
        <x:f>IF(C121="","",IFERROR(IF(OR(H121&gt;0,AND(AC121&gt;=0,AC121&lt;D121),D121&gt;INDEX('Facilities'!$J$9:$J$108,MATCH(C121,'Facilities'!$C$9:$C$108,0))),0,I121*'Scenario Paths'!G81),"Unavailable"))</x:f>
        <x:v>0.114</x:v>
      </x:c>
      <x:c r="K121" s="23" t="n">
        <x:f>IF(C121="","",IFERROR(IF(OR(H121&gt;0,AND(AC121&gt;=0,AC121=D121)),0,IF(D121&gt;=INDEX('Facilities'!$J$9:$J$108,MATCH(C121,'Facilities'!$C$9:$C$108,0)),G121+J121,MIN(G121+J121,G121*INDEX('Facilities'!$R$9:$R$108,MATCH(C121,'Facilities'!$C$9:$C$108,0))))),"Unavailable"))</x:f>
        <x:v>0.7587599999999999</x:v>
      </x:c>
      <x:c r="L121" s="21" t="n">
        <x:f>IF(C121="","",IFERROR(IF(AND(AC121=D121,AC121&gt;0),MAX(0,G121+J121-K121),0),"Unavailable"))</x:f>
        <x:v>0</x:v>
      </x:c>
      <x:c r="M121" s="23" t="n">
        <x:f>IF(C121="","",IFERROR(IF(AND(AC121&gt;=0,D121&gt;=AC121+INDEX('Facilities'!$AK$9:$AK$108,MATCH(C121,'Facilities'!$C$9:$C$108,0))),(H121+L121)*AM121,0),"Unavailable"))</x:f>
        <x:v>0</x:v>
      </x:c>
      <x:c r="N121" s="23" t="n">
        <x:f>IF(C121="","",IFERROR(IF(AND(AC121&gt;=0,D121&gt;=AC121+INDEX('Facilities'!$AK$9:$AK$108,MATCH(C121,'Facilities'!$C$9:$C$108,0))),H121+L121-M121,0),"Unavailable"))</x:f>
        <x:v>0</x:v>
      </x:c>
      <x:c r="O121" s="21" t="n">
        <x:f>IF(C121="","",IFERROR(MAX(0,G121+J121-K121-L121),"Unavailable"))</x:f>
        <x:v>5.67824</x:v>
      </x:c>
      <x:c r="P121" s="21" t="n">
        <x:f>IF(C121="","",IFERROR(MAX(0,H121+L121-M121-N121),"Unavailable"))</x:f>
        <x:v>0</x:v>
      </x:c>
      <x:c r="Q121" s="23" t="n">
        <x:f>IF(C121="","",IFERROR(IF(OR(D121&gt;=INDEX('Facilities'!$J$9:$J$108,MATCH(C121,'Facilities'!$C$9:$C$108,0)),AND(AC121&gt;=0,AC121&lt;=D121)),0,MAX(0,I121-J121)),"Unavailable"))</x:f>
        <x:v>1.311</x:v>
      </x:c>
      <x:c r="R121" s="30" t="n">
        <x:f>IF(C121="","",IFERROR(INDEX(Credit!$Q$109:$Q$208,MATCH(F121,Credit!$C$109:$C$208,0)),"Unavailable"))</x:f>
        <x:v>0.017870013355274494</x:v>
      </x:c>
      <x:c r="S121" s="30" t="n">
        <x:f>IF(C121="","",IFERROR(INDEX(Credit!$R$109:$R$208,MATCH(F121,Credit!$C$109:$C$208,0)),"Unavailable"))</x:f>
        <x:v>0.32060928</x:v>
      </x:c>
      <x:c r="T121" s="23" t="n">
        <x:f>IF(C121="","",IFERROR(IF(P121&gt;0,3,IF(OR(INDEX('Facilities'!$AD$9:$AD$108,MATCH(C121,'Facilities'!$C$9:$C$108,0))=2,AND(R121&gt;=INDEX('Facilities'!$L$9:$L$108,MATCH(C121,'Facilities'!$C$9:$C$108,0))*Settings!$F$19,R121-INDEX('Facilities'!$L$9:$L$108,MATCH(C121,'Facilities'!$C$9:$C$108,0))&gt;=Settings!$F$20)),2,1)),"Unavailable"))</x:f>
        <x:v>1</x:v>
      </x:c>
      <x:c r="U121" s="23" t="n">
        <x:f>IF(C121="","",IF(AQ121&lt;&gt;"Ready","Unavailable",IF(C121="","",O121*(1-(1-S121)/(1+INDEX('Facilities'!$K$9:$K$108,MATCH(C121,'Facilities'!$C$9:$C$108,0)))^INDEX('Facilities'!$AK$9:$AK$108,MATCH(C121,'Facilities'!$C$9:$C$108,0)))*R121/(1+INDEX('Facilities'!$K$9:$K$108,MATCH(C121,'Facilities'!$C$9:$C$108,0)))*IF(ABS(1-(1-R121)*(1-INDEX('Facilities'!$R$9:$R$108,MATCH(C121,'Facilities'!$C$9:$C$108,0)))/(1+INDEX('Facilities'!$K$9:$K$108,MATCH(C121,'Facilities'!$C$9:$C$108,0))))&lt;0.000000001,IF(T121=1,MIN(1,AJ121),AJ121),(1-((1-R121)*(1-INDEX('Facilities'!$R$9:$R$108,MATCH(C121,'Facilities'!$C$9:$C$108,0)))/(1+INDEX('Facilities'!$K$9:$K$108,MATCH(C121,'Facilities'!$C$9:$C$108,0))))^IF(T121=1,MIN(1,AJ121),AJ121))/(1-(1-R121)*(1-INDEX('Facilities'!$R$9:$R$108,MATCH(C121,'Facilities'!$C$9:$C$108,0)))/(1+INDEX('Facilities'!$K$9:$K$108,MATCH(C121,'Facilities'!$C$9:$C$108,0)))))+AL121)))</x:f>
        <x:v>0.0392287610506716</x:v>
      </x:c>
      <x:c r="V121" s="23" t="n">
        <x:f>IF(C121="","",IF(AQ121&lt;&gt;"Ready","Unavailable",IF(C121="","",Q121*INDEX('Facilities'!$I$9:$I$108,MATCH(C121,'Facilities'!$C$9:$C$108,0))*(1-(1-S121)/(1+INDEX('Facilities'!$K$9:$K$108,MATCH(C121,'Facilities'!$C$9:$C$108,0)))^INDEX('Facilities'!$AK$9:$AK$108,MATCH(C121,'Facilities'!$C$9:$C$108,0)))*R121/(1+INDEX('Facilities'!$K$9:$K$108,MATCH(C121,'Facilities'!$C$9:$C$108,0)))*IF(ABS(1-(1-R121)*(1-0)/(1+INDEX('Facilities'!$K$9:$K$108,MATCH(C121,'Facilities'!$C$9:$C$108,0))))&lt;0.000000001,IF(T121=1,MIN(1,AJ121),AJ121),(1-((1-R121)*(1-0)/(1+INDEX('Facilities'!$K$9:$K$108,MATCH(C121,'Facilities'!$C$9:$C$108,0))))^IF(T121=1,MIN(1,AJ121),AJ121))/(1-(1-R121)*(1-0)/(1+INDEX('Facilities'!$K$9:$K$108,MATCH(C121,'Facilities'!$C$9:$C$108,0))))))))</x:f>
        <x:v>0.004528595633279895</x:v>
      </x:c>
      <x:c r="W121" s="21" t="n">
        <x:f>IF(C121="","",IFERROR(U21,"Unavailable"))</x:f>
        <x:v>0.03625286148375343</x:v>
      </x:c>
      <x:c r="X121" s="21" t="n">
        <x:f>IF(C121="","",IFERROR(V21,"Unavailable"))</x:f>
        <x:v>0.004085112099821971</x:v>
      </x:c>
      <x:c r="Y121" s="21" t="n">
        <x:f>IF(C121="","",IF(AQ121&lt;&gt;"Ready","Unavailable",IF(C121="","",U121-W121+V121-X121+N121+AG121)))</x:f>
        <x:v>0.0034193831003760935</x:v>
      </x:c>
      <x:c r="Z121" s="23" t="n">
        <x:f>IF(C121="","",IF(AQ121&lt;&gt;"Ready","Unavailable",IF(C121="","",(G121+O121+L121)/2*INDEX('Facilities'!$T$9:$T$108,MATCH(C121,'Facilities'!$C$9:$C$108,0))+AG121)))</x:f>
        <x:v>0.5700588999999999</x:v>
      </x:c>
      <x:c r="AA121" s="23" t="n">
        <x:f>IF(C121="","",IF(AQ121&lt;&gt;"Ready","Unavailable",IF(C121="","",O121*(1-IF(INDEX('Facilities'!$AA$9:$AA$108,MATCH(C121,'Facilities'!$C$9:$C$108,0))=0,0,MIN(1,INDEX('Facilities'!$X$9:$X$108,MATCH(C121,'Facilities'!$C$9:$C$108,0))/INDEX('Facilities'!$AA$9:$AA$108,MATCH(C121,'Facilities'!$C$9:$C$108,0)))))*AF121+P121*(1-IF(INDEX('Facilities'!$AA$9:$AA$108,MATCH(C121,'Facilities'!$C$9:$C$108,0))=0,0,MIN(1,INDEX('Facilities'!$X$9:$X$108,MATCH(C121,'Facilities'!$C$9:$C$108,0))/INDEX('Facilities'!$AA$9:$AA$108,MATCH(C121,'Facilities'!$C$9:$C$108,0)))))*INDEX('Facilities'!$AJ$9:$AJ$108,MATCH(C121,'Facilities'!$C$9:$C$108,0))+Q121*INDEX('Facilities'!$AI$9:$AI$108,MATCH(C121,'Facilities'!$C$9:$C$108,0))*AF121)))</x:f>
        <x:v>6.60463767264</x:v>
      </x:c>
      <x:c r="AB121" s="21" t="n">
        <x:f>IF(C121="","",O121+P121-AD121)</x:f>
        <x:v>-0.6447599999999998</x:v>
      </x:c>
      <x:c r="AC121" s="23" t="n">
        <x:f>IF(C121="","",IFERROR(IF(INDEX('Facilities'!$AD$9:$AD$108,MATCH(C121,'Facilities'!$C$9:$C$108,0))=3,0,IF(INDEX('Facilities'!$AN$9:$AN$108,MATCH(C121,'Facilities'!$C$9:$C$108,0))=0,-1,INDEX('Facilities'!$AN$9:$AN$108,MATCH(C121,'Facilities'!$C$9:$C$108,0)))),"Unavailable"))</x:f>
        <x:v>-1</x:v>
      </x:c>
      <x:c r="AD121" s="21" t="n">
        <x:f>IF(C121="","",IFERROR(G121+H121,"Unavailable"))</x:f>
        <x:v>6.3229999999999995</x:v>
      </x:c>
      <x:c r="AE121" s="21" t="n">
        <x:f>IF(C121="","",IF(AQ121&lt;&gt;"Ready","Unavailable",IF(C121="","",O121+P121-AD121-J121+K121+M121+N121)))</x:f>
        <x:v>1.1102230246251565e-16</x:v>
      </x:c>
      <x:c r="AF121" s="30" t="n">
        <x:f>IF(C121="","",IFERROR(INDEX('Facilities'!$S$9:$S$108,MATCH(C121,'Facilities'!$C$9:$C$108,0))*'Scenario Paths'!G75,"Unavailable"))</x:f>
        <x:v>1.05</x:v>
      </x:c>
      <x:c r="AG121" s="23" t="n">
        <x:f>IF(C121="","",IF(AQ121&lt;&gt;"Ready","Unavailable",IF(C121="","",IF(H121&gt;0,MAX(0,H121-AK121)*((1+INDEX('Facilities'!$K$9:$K$108,MATCH(C121,'Facilities'!$C$9:$C$108,0)))^MIN(1,MAX(0,AC121+INDEX('Facilities'!$AK$9:$AK$108,MATCH(C121,'Facilities'!$C$9:$C$108,0))-D121+1))-1),0))))</x:f>
        <x:v>0</x:v>
      </x:c>
      <x:c r="AH121" s="21" t="n">
        <x:f>IF(C121="","",IF(AQ121&lt;&gt;"Ready","Unavailable",IF(C121="","",O121+P121)))</x:f>
        <x:v>5.67824</x:v>
      </x:c>
      <x:c r="AI121" s="21" t="n">
        <x:f>IF(C121="","",IF(AQ121&lt;&gt;"Ready","Unavailable",IF(C121="","",Z121-Y121)))</x:f>
        <x:v>0.5666395168996239</x:v>
      </x:c>
      <x:c r="AJ121" s="23" t="n">
        <x:f>IF(C121="","",IFERROR(MAX(0,INDEX('Facilities'!$J$9:$J$108,MATCH(C121,'Facilities'!$C$9:$C$108,0))-D121),"Unavailable"))</x:f>
        <x:v>4</x:v>
      </x:c>
      <x:c r="AK121" s="21" t="n">
        <x:f>IF(C121="","",IFERROR(AL21,"Unavailable"))</x:f>
        <x:v>0</x:v>
      </x:c>
      <x:c r="AL121" s="23" t="n">
        <x:f>IF(C121="","",IFERROR(IF(P121&gt;0,P121*(1-AM121/(1+INDEX('Facilities'!$K$9:$K$108,MATCH(C121,'Facilities'!$C$9:$C$108,0)))^MAX(0,AC121+INDEX('Facilities'!$AK$9:$AK$108,MATCH(C121,'Facilities'!$C$9:$C$108,0))-D121)),0),"Unavailable"))</x:f>
        <x:v>0</x:v>
      </x:c>
      <x:c r="AM121" s="30" t="n">
        <x:f>IF(C121="","",IFERROR(INDEX('Facilities'!$AL$9:$AL$108,MATCH(C121,'Facilities'!$C$9:$C$108,0)),"Unavailable"))</x:f>
        <x:v>0.55</x:v>
      </x:c>
      <x:c r="AN121" s="30" t="n">
        <x:f>IF(C121="","",IFERROR(INDEX(Credit!$T$109:$T$208,MATCH(F121,Credit!$C$109:$C$208,0)),"Unavailable"))</x:f>
        <x:v>0.0008960000000000001</x:v>
      </x:c>
      <x:c r="AO121" s="23" t="n">
        <x:f>IF(C121="","",IF(AQ121&lt;&gt;"Ready","Unavailable",IF(C121="","",O121+P121+Q121*INDEX('Facilities'!$I$9:$I$108,MATCH(C121,'Facilities'!$C$9:$C$108,0)))))</x:f>
        <x:v>6.33374</x:v>
      </x:c>
      <x:c r="AP121" s="21" t="n">
        <x:f>IF(C121="","",IF(AQ121&lt;&gt;"Ready","Unavailable",IF(C121="","",AH121-U121)))</x:f>
        <x:v>5.639011238949328</x:v>
      </x:c>
      <x:c r="AQ121" s="23" t="str">
        <x:f>IFERROR(IF(C121="","",IF(AND(INDEX('Facilities'!$AF$9:$AF$108,MATCH(C121,'Facilities'!$C$9:$C$108,0))="Ready",INDEX(Credit!$U$109:$U$208,MATCH(F121,Credit!$C$109:$C$208,0))="Ready",ISNUMBER(W121)),"Ready","Review inputs")),"Review inputs")</x:f>
        <x:v>Ready</x:v>
      </x:c>
      <x:c r="AR121" s="23" t="n">
        <x:f>IF(C121="","",IF(AQ121&lt;&gt;"Ready","Unavailable",IF(C121="","",IF(O121=0,0,(IF(AJ121&lt;=1,O121,O121*INDEX('Facilities'!$R$9:$R$108,MATCH(C121,'Facilities'!$C$9:$C$108,0)))+O121*INDEX('Facilities'!$T$9:$T$108,MATCH(C121,'Facilities'!$C$9:$C$108,0)))/12))))</x:f>
        <x:v>0.10173513333333332</x:v>
      </x:c>
    </x:row>
    <x:row r="122" ht="26" customHeight="1">
      <x:c r="A122" s="1"/>
      <x:c r="B122" s="1"/>
      <x:c r="C122" s="9" t="str">
        <x:f>IF(Facilities!C22="","",Facilities!C22)</x:f>
        <x:v>F014</x:v>
      </x:c>
      <x:c r="D122" s="3" t="n">
        <x:v>2</x:v>
      </x:c>
      <x:c r="E122" s="9" t="n">
        <x:f>Settings!$F$18+1</x:f>
        <x:v>2028</x:v>
      </x:c>
      <x:c r="F122" s="9" t="str">
        <x:f>IF(C122="","",IFERROR(INDEX('Facilities'!$D$9:$D$108,MATCH(C122,'Facilities'!$C$9:$C$108,0)),"Unavailable"))</x:f>
        <x:v>B007</x:v>
      </x:c>
      <x:c r="G122" s="21" t="n">
        <x:f>IF(C122="","",IFERROR(O22,"Unavailable"))</x:f>
        <x:v>4.073</x:v>
      </x:c>
      <x:c r="H122" s="21" t="n">
        <x:f>IF(C122="","",IFERROR(P22,"Unavailable"))</x:f>
        <x:v>0</x:v>
      </x:c>
      <x:c r="I122" s="21" t="n">
        <x:f>IF(C122="","",IFERROR(Q22,"Unavailable"))</x:f>
        <x:v>0.475</x:v>
      </x:c>
      <x:c r="J122" s="23" t="n">
        <x:f>IF(C122="","",IFERROR(IF(OR(H122&gt;0,AND(AC122&gt;=0,AC122&lt;D122),D122&gt;INDEX('Facilities'!$J$9:$J$108,MATCH(C122,'Facilities'!$C$9:$C$108,0))),0,I122*'Scenario Paths'!G81),"Unavailable"))</x:f>
        <x:v>0.038</x:v>
      </x:c>
      <x:c r="K122" s="23" t="n">
        <x:f>IF(C122="","",IFERROR(IF(OR(H122&gt;0,AND(AC122&gt;=0,AC122=D122)),0,IF(D122&gt;=INDEX('Facilities'!$J$9:$J$108,MATCH(C122,'Facilities'!$C$9:$C$108,0)),G122+J122,MIN(G122+J122,G122*INDEX('Facilities'!$R$9:$R$108,MATCH(C122,'Facilities'!$C$9:$C$108,0))))),"Unavailable"))</x:f>
        <x:v>0.48876000000000003</x:v>
      </x:c>
      <x:c r="L122" s="21" t="n">
        <x:f>IF(C122="","",IFERROR(IF(AND(AC122=D122,AC122&gt;0),MAX(0,G122+J122-K122),0),"Unavailable"))</x:f>
        <x:v>0</x:v>
      </x:c>
      <x:c r="M122" s="23" t="n">
        <x:f>IF(C122="","",IFERROR(IF(AND(AC122&gt;=0,D122&gt;=AC122+INDEX('Facilities'!$AK$9:$AK$108,MATCH(C122,'Facilities'!$C$9:$C$108,0))),(H122+L122)*AM122,0),"Unavailable"))</x:f>
        <x:v>0</x:v>
      </x:c>
      <x:c r="N122" s="23" t="n">
        <x:f>IF(C122="","",IFERROR(IF(AND(AC122&gt;=0,D122&gt;=AC122+INDEX('Facilities'!$AK$9:$AK$108,MATCH(C122,'Facilities'!$C$9:$C$108,0))),H122+L122-M122,0),"Unavailable"))</x:f>
        <x:v>0</x:v>
      </x:c>
      <x:c r="O122" s="21" t="n">
        <x:f>IF(C122="","",IFERROR(MAX(0,G122+J122-K122-L122),"Unavailable"))</x:f>
        <x:v>3.6222400000000006</x:v>
      </x:c>
      <x:c r="P122" s="21" t="n">
        <x:f>IF(C122="","",IFERROR(MAX(0,H122+L122-M122-N122),"Unavailable"))</x:f>
        <x:v>0</x:v>
      </x:c>
      <x:c r="Q122" s="23" t="n">
        <x:f>IF(C122="","",IFERROR(IF(OR(D122&gt;=INDEX('Facilities'!$J$9:$J$108,MATCH(C122,'Facilities'!$C$9:$C$108,0)),AND(AC122&gt;=0,AC122&lt;=D122)),0,MAX(0,I122-J122)),"Unavailable"))</x:f>
        <x:v>0.437</x:v>
      </x:c>
      <x:c r="R122" s="30" t="n">
        <x:f>IF(C122="","",IFERROR(INDEX(Credit!$Q$109:$Q$208,MATCH(F122,Credit!$C$109:$C$208,0)),"Unavailable"))</x:f>
        <x:v>0.017870013355274494</x:v>
      </x:c>
      <x:c r="S122" s="30" t="n">
        <x:f>IF(C122="","",IFERROR(INDEX(Credit!$R$109:$R$208,MATCH(F122,Credit!$C$109:$C$208,0)),"Unavailable"))</x:f>
        <x:v>0.32060928</x:v>
      </x:c>
      <x:c r="T122" s="23" t="n">
        <x:f>IF(C122="","",IFERROR(IF(P122&gt;0,3,IF(OR(INDEX('Facilities'!$AD$9:$AD$108,MATCH(C122,'Facilities'!$C$9:$C$108,0))=2,AND(R122&gt;=INDEX('Facilities'!$L$9:$L$108,MATCH(C122,'Facilities'!$C$9:$C$108,0))*Settings!$F$19,R122-INDEX('Facilities'!$L$9:$L$108,MATCH(C122,'Facilities'!$C$9:$C$108,0))&gt;=Settings!$F$20)),2,1)),"Unavailable"))</x:f>
        <x:v>1</x:v>
      </x:c>
      <x:c r="U122" s="23" t="n">
        <x:f>IF(C122="","",IF(AQ122&lt;&gt;"Ready","Unavailable",IF(C122="","",O122*(1-(1-S122)/(1+INDEX('Facilities'!$K$9:$K$108,MATCH(C122,'Facilities'!$C$9:$C$108,0)))^INDEX('Facilities'!$AK$9:$AK$108,MATCH(C122,'Facilities'!$C$9:$C$108,0)))*R122/(1+INDEX('Facilities'!$K$9:$K$108,MATCH(C122,'Facilities'!$C$9:$C$108,0)))*IF(ABS(1-(1-R122)*(1-INDEX('Facilities'!$R$9:$R$108,MATCH(C122,'Facilities'!$C$9:$C$108,0)))/(1+INDEX('Facilities'!$K$9:$K$108,MATCH(C122,'Facilities'!$C$9:$C$108,0))))&lt;0.000000001,IF(T122=1,MIN(1,AJ122),AJ122),(1-((1-R122)*(1-INDEX('Facilities'!$R$9:$R$108,MATCH(C122,'Facilities'!$C$9:$C$108,0)))/(1+INDEX('Facilities'!$K$9:$K$108,MATCH(C122,'Facilities'!$C$9:$C$108,0))))^IF(T122=1,MIN(1,AJ122),AJ122))/(1-(1-R122)*(1-INDEX('Facilities'!$R$9:$R$108,MATCH(C122,'Facilities'!$C$9:$C$108,0)))/(1+INDEX('Facilities'!$K$9:$K$108,MATCH(C122,'Facilities'!$C$9:$C$108,0)))))+AL122)))</x:f>
        <x:v>0.02502465331303093</x:v>
      </x:c>
      <x:c r="V122" s="23" t="n">
        <x:f>IF(C122="","",IF(AQ122&lt;&gt;"Ready","Unavailable",IF(C122="","",Q122*INDEX('Facilities'!$I$9:$I$108,MATCH(C122,'Facilities'!$C$9:$C$108,0))*(1-(1-S122)/(1+INDEX('Facilities'!$K$9:$K$108,MATCH(C122,'Facilities'!$C$9:$C$108,0)))^INDEX('Facilities'!$AK$9:$AK$108,MATCH(C122,'Facilities'!$C$9:$C$108,0)))*R122/(1+INDEX('Facilities'!$K$9:$K$108,MATCH(C122,'Facilities'!$C$9:$C$108,0)))*IF(ABS(1-(1-R122)*(1-0)/(1+INDEX('Facilities'!$K$9:$K$108,MATCH(C122,'Facilities'!$C$9:$C$108,0))))&lt;0.000000001,IF(T122=1,MIN(1,AJ122),AJ122),(1-((1-R122)*(1-0)/(1+INDEX('Facilities'!$K$9:$K$108,MATCH(C122,'Facilities'!$C$9:$C$108,0))))^IF(T122=1,MIN(1,AJ122),AJ122))/(1-(1-R122)*(1-0)/(1+INDEX('Facilities'!$K$9:$K$108,MATCH(C122,'Facilities'!$C$9:$C$108,0))))))))</x:f>
        <x:v>0.0015095318777599656</x:v>
      </x:c>
      <x:c r="W122" s="21" t="n">
        <x:f>IF(C122="","",IFERROR(U22,"Unavailable"))</x:f>
        <x:v>0.023352507484315638</x:v>
      </x:c>
      <x:c r="X122" s="21" t="n">
        <x:f>IF(C122="","",IFERROR(V22,"Unavailable"))</x:f>
        <x:v>0.0013617040332739902</x:v>
      </x:c>
      <x:c r="Y122" s="21" t="n">
        <x:f>IF(C122="","",IF(AQ122&lt;&gt;"Ready","Unavailable",IF(C122="","",U122-W122+V122-X122+N122+AG122)))</x:f>
        <x:v>0.0018199736732012661</x:v>
      </x:c>
      <x:c r="Z122" s="23" t="n">
        <x:f>IF(C122="","",IF(AQ122&lt;&gt;"Ready","Unavailable",IF(C122="","",(G122+O122+L122)/2*INDEX('Facilities'!$T$9:$T$108,MATCH(C122,'Facilities'!$C$9:$C$108,0))+AG122)))</x:f>
        <x:v>0.36552390000000007</x:v>
      </x:c>
      <x:c r="AA122" s="23" t="n">
        <x:f>IF(C122="","",IF(AQ122&lt;&gt;"Ready","Unavailable",IF(C122="","",O122*(1-IF(INDEX('Facilities'!$AA$9:$AA$108,MATCH(C122,'Facilities'!$C$9:$C$108,0))=0,0,MIN(1,INDEX('Facilities'!$X$9:$X$108,MATCH(C122,'Facilities'!$C$9:$C$108,0))/INDEX('Facilities'!$AA$9:$AA$108,MATCH(C122,'Facilities'!$C$9:$C$108,0)))))*AF122+P122*(1-IF(INDEX('Facilities'!$AA$9:$AA$108,MATCH(C122,'Facilities'!$C$9:$C$108,0))=0,0,MIN(1,INDEX('Facilities'!$X$9:$X$108,MATCH(C122,'Facilities'!$C$9:$C$108,0))/INDEX('Facilities'!$AA$9:$AA$108,MATCH(C122,'Facilities'!$C$9:$C$108,0)))))*INDEX('Facilities'!$AJ$9:$AJ$108,MATCH(C122,'Facilities'!$C$9:$C$108,0))+Q122*INDEX('Facilities'!$AI$9:$AI$108,MATCH(C122,'Facilities'!$C$9:$C$108,0))*AF122)))</x:f>
        <x:v>4.003567256640001</x:v>
      </x:c>
      <x:c r="AB122" s="21" t="n">
        <x:f>IF(C122="","",O122+P122-AD122)</x:f>
        <x:v>-0.4507599999999998</x:v>
      </x:c>
      <x:c r="AC122" s="23" t="n">
        <x:f>IF(C122="","",IFERROR(IF(INDEX('Facilities'!$AD$9:$AD$108,MATCH(C122,'Facilities'!$C$9:$C$108,0))=3,0,IF(INDEX('Facilities'!$AN$9:$AN$108,MATCH(C122,'Facilities'!$C$9:$C$108,0))=0,-1,INDEX('Facilities'!$AN$9:$AN$108,MATCH(C122,'Facilities'!$C$9:$C$108,0)))),"Unavailable"))</x:f>
        <x:v>-1</x:v>
      </x:c>
      <x:c r="AD122" s="21" t="n">
        <x:f>IF(C122="","",IFERROR(G122+H122,"Unavailable"))</x:f>
        <x:v>4.073</x:v>
      </x:c>
      <x:c r="AE122" s="21" t="n">
        <x:f>IF(C122="","",IF(AQ122&lt;&gt;"Ready","Unavailable",IF(C122="","",O122+P122-AD122-J122+K122+M122+N122)))</x:f>
        <x:v>2.220446049250313e-16</x:v>
      </x:c>
      <x:c r="AF122" s="30" t="n">
        <x:f>IF(C122="","",IFERROR(INDEX('Facilities'!$S$9:$S$108,MATCH(C122,'Facilities'!$C$9:$C$108,0))*'Scenario Paths'!G75,"Unavailable"))</x:f>
        <x:v>1.05</x:v>
      </x:c>
      <x:c r="AG122" s="23" t="n">
        <x:f>IF(C122="","",IF(AQ122&lt;&gt;"Ready","Unavailable",IF(C122="","",IF(H122&gt;0,MAX(0,H122-AK122)*((1+INDEX('Facilities'!$K$9:$K$108,MATCH(C122,'Facilities'!$C$9:$C$108,0)))^MIN(1,MAX(0,AC122+INDEX('Facilities'!$AK$9:$AK$108,MATCH(C122,'Facilities'!$C$9:$C$108,0))-D122+1))-1),0))))</x:f>
        <x:v>0</x:v>
      </x:c>
      <x:c r="AH122" s="21" t="n">
        <x:f>IF(C122="","",IF(AQ122&lt;&gt;"Ready","Unavailable",IF(C122="","",O122+P122)))</x:f>
        <x:v>3.6222400000000006</x:v>
      </x:c>
      <x:c r="AI122" s="21" t="n">
        <x:f>IF(C122="","",IF(AQ122&lt;&gt;"Ready","Unavailable",IF(C122="","",Z122-Y122)))</x:f>
        <x:v>0.3637039263267988</x:v>
      </x:c>
      <x:c r="AJ122" s="23" t="n">
        <x:f>IF(C122="","",IFERROR(MAX(0,INDEX('Facilities'!$J$9:$J$108,MATCH(C122,'Facilities'!$C$9:$C$108,0))-D122),"Unavailable"))</x:f>
        <x:v>4</x:v>
      </x:c>
      <x:c r="AK122" s="21" t="n">
        <x:f>IF(C122="","",IFERROR(AL22,"Unavailable"))</x:f>
        <x:v>0</x:v>
      </x:c>
      <x:c r="AL122" s="23" t="n">
        <x:f>IF(C122="","",IFERROR(IF(P122&gt;0,P122*(1-AM122/(1+INDEX('Facilities'!$K$9:$K$108,MATCH(C122,'Facilities'!$C$9:$C$108,0)))^MAX(0,AC122+INDEX('Facilities'!$AK$9:$AK$108,MATCH(C122,'Facilities'!$C$9:$C$108,0))-D122)),0),"Unavailable"))</x:f>
        <x:v>0</x:v>
      </x:c>
      <x:c r="AM122" s="30" t="n">
        <x:f>IF(C122="","",IFERROR(INDEX('Facilities'!$AL$9:$AL$108,MATCH(C122,'Facilities'!$C$9:$C$108,0)),"Unavailable"))</x:f>
        <x:v>0.55</x:v>
      </x:c>
      <x:c r="AN122" s="30" t="n">
        <x:f>IF(C122="","",IFERROR(INDEX(Credit!$T$109:$T$208,MATCH(F122,Credit!$C$109:$C$208,0)),"Unavailable"))</x:f>
        <x:v>0.0008960000000000001</x:v>
      </x:c>
      <x:c r="AO122" s="23" t="n">
        <x:f>IF(C122="","",IF(AQ122&lt;&gt;"Ready","Unavailable",IF(C122="","",O122+P122+Q122*INDEX('Facilities'!$I$9:$I$108,MATCH(C122,'Facilities'!$C$9:$C$108,0)))))</x:f>
        <x:v>3.8407400000000007</x:v>
      </x:c>
      <x:c r="AP122" s="21" t="n">
        <x:f>IF(C122="","",IF(AQ122&lt;&gt;"Ready","Unavailable",IF(C122="","",AH122-U122)))</x:f>
        <x:v>3.5972153466869696</x:v>
      </x:c>
      <x:c r="AQ122" s="23" t="str">
        <x:f>IFERROR(IF(C122="","",IF(AND(INDEX('Facilities'!$AF$9:$AF$108,MATCH(C122,'Facilities'!$C$9:$C$108,0))="Ready",INDEX(Credit!$U$109:$U$208,MATCH(F122,Credit!$C$109:$C$208,0))="Ready",ISNUMBER(W122)),"Ready","Review inputs")),"Review inputs")</x:f>
        <x:v>Ready</x:v>
      </x:c>
      <x:c r="AR122" s="23" t="n">
        <x:f>IF(C122="","",IF(AQ122&lt;&gt;"Ready","Unavailable",IF(C122="","",IF(O122=0,0,(IF(AJ122&lt;=1,O122,O122*INDEX('Facilities'!$R$9:$R$108,MATCH(C122,'Facilities'!$C$9:$C$108,0)))+O122*INDEX('Facilities'!$T$9:$T$108,MATCH(C122,'Facilities'!$C$9:$C$108,0)))/12))))</x:f>
        <x:v>0.06489846666666667</x:v>
      </x:c>
    </x:row>
    <x:row r="123" ht="26" customHeight="1">
      <x:c r="A123" s="1"/>
      <x:c r="B123" s="1"/>
      <x:c r="C123" s="9" t="str">
        <x:f>IF(Facilities!C23="","",Facilities!C23)</x:f>
        <x:v>F015</x:v>
      </x:c>
      <x:c r="D123" s="3" t="n">
        <x:v>2</x:v>
      </x:c>
      <x:c r="E123" s="9" t="n">
        <x:f>Settings!$F$18+1</x:f>
        <x:v>2028</x:v>
      </x:c>
      <x:c r="F123" s="9" t="str">
        <x:f>IF(C123="","",IFERROR(INDEX('Facilities'!$D$9:$D$108,MATCH(C123,'Facilities'!$C$9:$C$108,0)),"Unavailable"))</x:f>
        <x:v>B008</x:v>
      </x:c>
      <x:c r="G123" s="21" t="n">
        <x:f>IF(C123="","",IFERROR(O23,"Unavailable"))</x:f>
        <x:v>6.630999999999999</x:v>
      </x:c>
      <x:c r="H123" s="21" t="n">
        <x:f>IF(C123="","",IFERROR(P23,"Unavailable"))</x:f>
        <x:v>0</x:v>
      </x:c>
      <x:c r="I123" s="21" t="n">
        <x:f>IF(C123="","",IFERROR(Q23,"Unavailable"))</x:f>
        <x:v>1.425</x:v>
      </x:c>
      <x:c r="J123" s="23" t="n">
        <x:f>IF(C123="","",IFERROR(IF(OR(H123&gt;0,AND(AC123&gt;=0,AC123&lt;D123),D123&gt;INDEX('Facilities'!$J$9:$J$108,MATCH(C123,'Facilities'!$C$9:$C$108,0))),0,I123*'Scenario Paths'!G81),"Unavailable"))</x:f>
        <x:v>0.114</x:v>
      </x:c>
      <x:c r="K123" s="23" t="n">
        <x:f>IF(C123="","",IFERROR(IF(OR(H123&gt;0,AND(AC123&gt;=0,AC123=D123)),0,IF(D123&gt;=INDEX('Facilities'!$J$9:$J$108,MATCH(C123,'Facilities'!$C$9:$C$108,0)),G123+J123,MIN(G123+J123,G123*INDEX('Facilities'!$R$9:$R$108,MATCH(C123,'Facilities'!$C$9:$C$108,0))))),"Unavailable"))</x:f>
        <x:v>0.7957199999999999</x:v>
      </x:c>
      <x:c r="L123" s="21" t="n">
        <x:f>IF(C123="","",IFERROR(IF(AND(AC123=D123,AC123&gt;0),MAX(0,G123+J123-K123),0),"Unavailable"))</x:f>
        <x:v>0</x:v>
      </x:c>
      <x:c r="M123" s="23" t="n">
        <x:f>IF(C123="","",IFERROR(IF(AND(AC123&gt;=0,D123&gt;=AC123+INDEX('Facilities'!$AK$9:$AK$108,MATCH(C123,'Facilities'!$C$9:$C$108,0))),(H123+L123)*AM123,0),"Unavailable"))</x:f>
        <x:v>0</x:v>
      </x:c>
      <x:c r="N123" s="23" t="n">
        <x:f>IF(C123="","",IFERROR(IF(AND(AC123&gt;=0,D123&gt;=AC123+INDEX('Facilities'!$AK$9:$AK$108,MATCH(C123,'Facilities'!$C$9:$C$108,0))),H123+L123-M123,0),"Unavailable"))</x:f>
        <x:v>0</x:v>
      </x:c>
      <x:c r="O123" s="21" t="n">
        <x:f>IF(C123="","",IFERROR(MAX(0,G123+J123-K123-L123),"Unavailable"))</x:f>
        <x:v>5.949279999999999</x:v>
      </x:c>
      <x:c r="P123" s="21" t="n">
        <x:f>IF(C123="","",IFERROR(MAX(0,H123+L123-M123-N123),"Unavailable"))</x:f>
        <x:v>0</x:v>
      </x:c>
      <x:c r="Q123" s="23" t="n">
        <x:f>IF(C123="","",IFERROR(IF(OR(D123&gt;=INDEX('Facilities'!$J$9:$J$108,MATCH(C123,'Facilities'!$C$9:$C$108,0)),AND(AC123&gt;=0,AC123&lt;=D123)),0,MAX(0,I123-J123)),"Unavailable"))</x:f>
        <x:v>1.311</x:v>
      </x:c>
      <x:c r="R123" s="30" t="n">
        <x:f>IF(C123="","",IFERROR(INDEX(Credit!$Q$109:$Q$208,MATCH(F123,Credit!$C$109:$C$208,0)),"Unavailable"))</x:f>
        <x:v>0.018730800318711948</x:v>
      </x:c>
      <x:c r="S123" s="30" t="n">
        <x:f>IF(C123="","",IFERROR(INDEX(Credit!$R$109:$R$208,MATCH(F123,Credit!$C$109:$C$208,0)),"Unavailable"))</x:f>
        <x:v>0.36112640000000007</x:v>
      </x:c>
      <x:c r="T123" s="23" t="n">
        <x:f>IF(C123="","",IFERROR(IF(P123&gt;0,3,IF(OR(INDEX('Facilities'!$AD$9:$AD$108,MATCH(C123,'Facilities'!$C$9:$C$108,0))=2,AND(R123&gt;=INDEX('Facilities'!$L$9:$L$108,MATCH(C123,'Facilities'!$C$9:$C$108,0))*Settings!$F$19,R123-INDEX('Facilities'!$L$9:$L$108,MATCH(C123,'Facilities'!$C$9:$C$108,0))&gt;=Settings!$F$20)),2,1)),"Unavailable"))</x:f>
        <x:v>1</x:v>
      </x:c>
      <x:c r="U123" s="23" t="n">
        <x:f>IF(C123="","",IF(AQ123&lt;&gt;"Ready","Unavailable",IF(C123="","",O123*(1-(1-S123)/(1+INDEX('Facilities'!$K$9:$K$108,MATCH(C123,'Facilities'!$C$9:$C$108,0)))^INDEX('Facilities'!$AK$9:$AK$108,MATCH(C123,'Facilities'!$C$9:$C$108,0)))*R123/(1+INDEX('Facilities'!$K$9:$K$108,MATCH(C123,'Facilities'!$C$9:$C$108,0)))*IF(ABS(1-(1-R123)*(1-INDEX('Facilities'!$R$9:$R$108,MATCH(C123,'Facilities'!$C$9:$C$108,0)))/(1+INDEX('Facilities'!$K$9:$K$108,MATCH(C123,'Facilities'!$C$9:$C$108,0))))&lt;0.000000001,IF(T123=1,MIN(1,AJ123),AJ123),(1-((1-R123)*(1-INDEX('Facilities'!$R$9:$R$108,MATCH(C123,'Facilities'!$C$9:$C$108,0)))/(1+INDEX('Facilities'!$K$9:$K$108,MATCH(C123,'Facilities'!$C$9:$C$108,0))))^IF(T123=1,MIN(1,AJ123),AJ123))/(1-(1-R123)*(1-INDEX('Facilities'!$R$9:$R$108,MATCH(C123,'Facilities'!$C$9:$C$108,0)))/(1+INDEX('Facilities'!$K$9:$K$108,MATCH(C123,'Facilities'!$C$9:$C$108,0)))))+AL123)))</x:f>
        <x:v>0.04666525846418487</x:v>
      </x:c>
      <x:c r="V123" s="23" t="n">
        <x:f>IF(C123="","",IF(AQ123&lt;&gt;"Ready","Unavailable",IF(C123="","",Q123*INDEX('Facilities'!$I$9:$I$108,MATCH(C123,'Facilities'!$C$9:$C$108,0))*(1-(1-S123)/(1+INDEX('Facilities'!$K$9:$K$108,MATCH(C123,'Facilities'!$C$9:$C$108,0)))^INDEX('Facilities'!$AK$9:$AK$108,MATCH(C123,'Facilities'!$C$9:$C$108,0)))*R123/(1+INDEX('Facilities'!$K$9:$K$108,MATCH(C123,'Facilities'!$C$9:$C$108,0)))*IF(ABS(1-(1-R123)*(1-0)/(1+INDEX('Facilities'!$K$9:$K$108,MATCH(C123,'Facilities'!$C$9:$C$108,0))))&lt;0.000000001,IF(T123=1,MIN(1,AJ123),AJ123),(1-((1-R123)*(1-0)/(1+INDEX('Facilities'!$K$9:$K$108,MATCH(C123,'Facilities'!$C$9:$C$108,0))))^IF(T123=1,MIN(1,AJ123),AJ123))/(1-(1-R123)*(1-0)/(1+INDEX('Facilities'!$K$9:$K$108,MATCH(C123,'Facilities'!$C$9:$C$108,0))))))))</x:f>
        <x:v>0.0051416435137148</x:v>
      </x:c>
      <x:c r="W123" s="21" t="n">
        <x:f>IF(C123="","",IFERROR(U23,"Unavailable"))</x:f>
        <x:v>0.05096469279695304</x:v>
      </x:c>
      <x:c r="X123" s="21" t="n">
        <x:f>IF(C123="","",IFERROR(V23,"Unavailable"))</x:f>
        <x:v>0.005476148939500686</x:v>
      </x:c>
      <x:c r="Y123" s="21" t="n">
        <x:f>IF(C123="","",IF(AQ123&lt;&gt;"Ready","Unavailable",IF(C123="","",U123-W123+V123-X123+N123+AG123)))</x:f>
        <x:v>-0.00463393975855405</x:v>
      </x:c>
      <x:c r="Z123" s="23" t="n">
        <x:f>IF(C123="","",IF(AQ123&lt;&gt;"Ready","Unavailable",IF(C123="","",(G123+O123+L123)/2*INDEX('Facilities'!$T$9:$T$108,MATCH(C123,'Facilities'!$C$9:$C$108,0))+AG123)))</x:f>
        <x:v>0.5975632999999999</x:v>
      </x:c>
      <x:c r="AA123" s="23" t="n">
        <x:f>IF(C123="","",IF(AQ123&lt;&gt;"Ready","Unavailable",IF(C123="","",O123*(1-IF(INDEX('Facilities'!$AA$9:$AA$108,MATCH(C123,'Facilities'!$C$9:$C$108,0))=0,0,MIN(1,INDEX('Facilities'!$X$9:$X$108,MATCH(C123,'Facilities'!$C$9:$C$108,0))/INDEX('Facilities'!$AA$9:$AA$108,MATCH(C123,'Facilities'!$C$9:$C$108,0)))))*AF123+P123*(1-IF(INDEX('Facilities'!$AA$9:$AA$108,MATCH(C123,'Facilities'!$C$9:$C$108,0))=0,0,MIN(1,INDEX('Facilities'!$X$9:$X$108,MATCH(C123,'Facilities'!$C$9:$C$108,0))/INDEX('Facilities'!$AA$9:$AA$108,MATCH(C123,'Facilities'!$C$9:$C$108,0)))))*INDEX('Facilities'!$AJ$9:$AJ$108,MATCH(C123,'Facilities'!$C$9:$C$108,0))+Q123*INDEX('Facilities'!$AI$9:$AI$108,MATCH(C123,'Facilities'!$C$9:$C$108,0))*AF123)))</x:f>
        <x:v>6.85406119776</x:v>
      </x:c>
      <x:c r="AB123" s="21" t="n">
        <x:f>IF(C123="","",O123+P123-AD123)</x:f>
        <x:v>-0.6817200000000003</x:v>
      </x:c>
      <x:c r="AC123" s="23" t="n">
        <x:f>IF(C123="","",IFERROR(IF(INDEX('Facilities'!$AD$9:$AD$108,MATCH(C123,'Facilities'!$C$9:$C$108,0))=3,0,IF(INDEX('Facilities'!$AN$9:$AN$108,MATCH(C123,'Facilities'!$C$9:$C$108,0))=0,-1,INDEX('Facilities'!$AN$9:$AN$108,MATCH(C123,'Facilities'!$C$9:$C$108,0)))),"Unavailable"))</x:f>
        <x:v>-1</x:v>
      </x:c>
      <x:c r="AD123" s="21" t="n">
        <x:f>IF(C123="","",IFERROR(G123+H123,"Unavailable"))</x:f>
        <x:v>6.630999999999999</x:v>
      </x:c>
      <x:c r="AE123" s="21" t="n">
        <x:f>IF(C123="","",IF(AQ123&lt;&gt;"Ready","Unavailable",IF(C123="","",O123+P123-AD123-J123+K123+M123+N123)))</x:f>
        <x:v>-4.440892098500626e-16</x:v>
      </x:c>
      <x:c r="AF123" s="30" t="n">
        <x:f>IF(C123="","",IFERROR(INDEX('Facilities'!$S$9:$S$108,MATCH(C123,'Facilities'!$C$9:$C$108,0))*'Scenario Paths'!G75,"Unavailable"))</x:f>
        <x:v>1.05</x:v>
      </x:c>
      <x:c r="AG123" s="23" t="n">
        <x:f>IF(C123="","",IF(AQ123&lt;&gt;"Ready","Unavailable",IF(C123="","",IF(H123&gt;0,MAX(0,H123-AK123)*((1+INDEX('Facilities'!$K$9:$K$108,MATCH(C123,'Facilities'!$C$9:$C$108,0)))^MIN(1,MAX(0,AC123+INDEX('Facilities'!$AK$9:$AK$108,MATCH(C123,'Facilities'!$C$9:$C$108,0))-D123+1))-1),0))))</x:f>
        <x:v>0</x:v>
      </x:c>
      <x:c r="AH123" s="21" t="n">
        <x:f>IF(C123="","",IF(AQ123&lt;&gt;"Ready","Unavailable",IF(C123="","",O123+P123)))</x:f>
        <x:v>5.949279999999999</x:v>
      </x:c>
      <x:c r="AI123" s="21" t="n">
        <x:f>IF(C123="","",IF(AQ123&lt;&gt;"Ready","Unavailable",IF(C123="","",Z123-Y123)))</x:f>
        <x:v>0.602197239758554</x:v>
      </x:c>
      <x:c r="AJ123" s="23" t="n">
        <x:f>IF(C123="","",IFERROR(MAX(0,INDEX('Facilities'!$J$9:$J$108,MATCH(C123,'Facilities'!$C$9:$C$108,0))-D123),"Unavailable"))</x:f>
        <x:v>10</x:v>
      </x:c>
      <x:c r="AK123" s="21" t="n">
        <x:f>IF(C123="","",IFERROR(AL23,"Unavailable"))</x:f>
        <x:v>0</x:v>
      </x:c>
      <x:c r="AL123" s="23" t="n">
        <x:f>IF(C123="","",IFERROR(IF(P123&gt;0,P123*(1-AM123/(1+INDEX('Facilities'!$K$9:$K$108,MATCH(C123,'Facilities'!$C$9:$C$108,0)))^MAX(0,AC123+INDEX('Facilities'!$AK$9:$AK$108,MATCH(C123,'Facilities'!$C$9:$C$108,0))-D123)),0),"Unavailable"))</x:f>
        <x:v>0</x:v>
      </x:c>
      <x:c r="AM123" s="30" t="n">
        <x:f>IF(C123="","",IFERROR(INDEX('Facilities'!$AL$9:$AL$108,MATCH(C123,'Facilities'!$C$9:$C$108,0)),"Unavailable"))</x:f>
        <x:v>0.55</x:v>
      </x:c>
      <x:c r="AN123" s="30" t="n">
        <x:f>IF(C123="","",IFERROR(INDEX(Credit!$T$109:$T$208,MATCH(F123,Credit!$C$109:$C$208,0)),"Unavailable"))</x:f>
        <x:v>0.0017600000000000003</x:v>
      </x:c>
      <x:c r="AO123" s="23" t="n">
        <x:f>IF(C123="","",IF(AQ123&lt;&gt;"Ready","Unavailable",IF(C123="","",O123+P123+Q123*INDEX('Facilities'!$I$9:$I$108,MATCH(C123,'Facilities'!$C$9:$C$108,0)))))</x:f>
        <x:v>6.604779999999999</x:v>
      </x:c>
      <x:c r="AP123" s="21" t="n">
        <x:f>IF(C123="","",IF(AQ123&lt;&gt;"Ready","Unavailable",IF(C123="","",AH123-U123)))</x:f>
        <x:v>5.902614741535814</x:v>
      </x:c>
      <x:c r="AQ123" s="23" t="str">
        <x:f>IFERROR(IF(C123="","",IF(AND(INDEX('Facilities'!$AF$9:$AF$108,MATCH(C123,'Facilities'!$C$9:$C$108,0))="Ready",INDEX(Credit!$U$109:$U$208,MATCH(F123,Credit!$C$109:$C$208,0))="Ready",ISNUMBER(W123)),"Ready","Review inputs")),"Review inputs")</x:f>
        <x:v>Ready</x:v>
      </x:c>
      <x:c r="AR123" s="23" t="n">
        <x:f>IF(C123="","",IF(AQ123&lt;&gt;"Ready","Unavailable",IF(C123="","",IF(O123=0,0,(IF(AJ123&lt;=1,O123,O123*INDEX('Facilities'!$R$9:$R$108,MATCH(C123,'Facilities'!$C$9:$C$108,0)))+O123*INDEX('Facilities'!$T$9:$T$108,MATCH(C123,'Facilities'!$C$9:$C$108,0)))/12))))</x:f>
        <x:v>0.10659126666666664</x:v>
      </x:c>
    </x:row>
    <x:row r="124" ht="26" customHeight="1">
      <x:c r="A124" s="1"/>
      <x:c r="B124" s="1"/>
      <x:c r="C124" s="9" t="str">
        <x:f>IF(Facilities!C24="","",Facilities!C24)</x:f>
        <x:v>F016</x:v>
      </x:c>
      <x:c r="D124" s="3" t="n">
        <x:v>2</x:v>
      </x:c>
      <x:c r="E124" s="9" t="n">
        <x:f>Settings!$F$18+1</x:f>
        <x:v>2028</x:v>
      </x:c>
      <x:c r="F124" s="9" t="str">
        <x:f>IF(C124="","",IFERROR(INDEX('Facilities'!$D$9:$D$108,MATCH(C124,'Facilities'!$C$9:$C$108,0)),"Unavailable"))</x:f>
        <x:v>B008</x:v>
      </x:c>
      <x:c r="G124" s="21" t="n">
        <x:f>IF(C124="","",IFERROR(O24,"Unavailable"))</x:f>
        <x:v>4.381</x:v>
      </x:c>
      <x:c r="H124" s="21" t="n">
        <x:f>IF(C124="","",IFERROR(P24,"Unavailable"))</x:f>
        <x:v>0</x:v>
      </x:c>
      <x:c r="I124" s="21" t="n">
        <x:f>IF(C124="","",IFERROR(Q24,"Unavailable"))</x:f>
        <x:v>0.475</x:v>
      </x:c>
      <x:c r="J124" s="23" t="n">
        <x:f>IF(C124="","",IFERROR(IF(OR(H124&gt;0,AND(AC124&gt;=0,AC124&lt;D124),D124&gt;INDEX('Facilities'!$J$9:$J$108,MATCH(C124,'Facilities'!$C$9:$C$108,0))),0,I124*'Scenario Paths'!G81),"Unavailable"))</x:f>
        <x:v>0.038</x:v>
      </x:c>
      <x:c r="K124" s="23" t="n">
        <x:f>IF(C124="","",IFERROR(IF(OR(H124&gt;0,AND(AC124&gt;=0,AC124=D124)),0,IF(D124&gt;=INDEX('Facilities'!$J$9:$J$108,MATCH(C124,'Facilities'!$C$9:$C$108,0)),G124+J124,MIN(G124+J124,G124*INDEX('Facilities'!$R$9:$R$108,MATCH(C124,'Facilities'!$C$9:$C$108,0))))),"Unavailable"))</x:f>
        <x:v>0.52572</x:v>
      </x:c>
      <x:c r="L124" s="21" t="n">
        <x:f>IF(C124="","",IFERROR(IF(AND(AC124=D124,AC124&gt;0),MAX(0,G124+J124-K124),0),"Unavailable"))</x:f>
        <x:v>0</x:v>
      </x:c>
      <x:c r="M124" s="23" t="n">
        <x:f>IF(C124="","",IFERROR(IF(AND(AC124&gt;=0,D124&gt;=AC124+INDEX('Facilities'!$AK$9:$AK$108,MATCH(C124,'Facilities'!$C$9:$C$108,0))),(H124+L124)*AM124,0),"Unavailable"))</x:f>
        <x:v>0</x:v>
      </x:c>
      <x:c r="N124" s="23" t="n">
        <x:f>IF(C124="","",IFERROR(IF(AND(AC124&gt;=0,D124&gt;=AC124+INDEX('Facilities'!$AK$9:$AK$108,MATCH(C124,'Facilities'!$C$9:$C$108,0))),H124+L124-M124,0),"Unavailable"))</x:f>
        <x:v>0</x:v>
      </x:c>
      <x:c r="O124" s="21" t="n">
        <x:f>IF(C124="","",IFERROR(MAX(0,G124+J124-K124-L124),"Unavailable"))</x:f>
        <x:v>3.8932800000000007</x:v>
      </x:c>
      <x:c r="P124" s="21" t="n">
        <x:f>IF(C124="","",IFERROR(MAX(0,H124+L124-M124-N124),"Unavailable"))</x:f>
        <x:v>0</x:v>
      </x:c>
      <x:c r="Q124" s="23" t="n">
        <x:f>IF(C124="","",IFERROR(IF(OR(D124&gt;=INDEX('Facilities'!$J$9:$J$108,MATCH(C124,'Facilities'!$C$9:$C$108,0)),AND(AC124&gt;=0,AC124&lt;=D124)),0,MAX(0,I124-J124)),"Unavailable"))</x:f>
        <x:v>0.437</x:v>
      </x:c>
      <x:c r="R124" s="30" t="n">
        <x:f>IF(C124="","",IFERROR(INDEX(Credit!$Q$109:$Q$208,MATCH(F124,Credit!$C$109:$C$208,0)),"Unavailable"))</x:f>
        <x:v>0.018730800318711948</x:v>
      </x:c>
      <x:c r="S124" s="30" t="n">
        <x:f>IF(C124="","",IFERROR(INDEX(Credit!$R$109:$R$208,MATCH(F124,Credit!$C$109:$C$208,0)),"Unavailable"))</x:f>
        <x:v>0.36112640000000007</x:v>
      </x:c>
      <x:c r="T124" s="23" t="n">
        <x:f>IF(C124="","",IFERROR(IF(P124&gt;0,3,IF(OR(INDEX('Facilities'!$AD$9:$AD$108,MATCH(C124,'Facilities'!$C$9:$C$108,0))=2,AND(R124&gt;=INDEX('Facilities'!$L$9:$L$108,MATCH(C124,'Facilities'!$C$9:$C$108,0))*Settings!$F$19,R124-INDEX('Facilities'!$L$9:$L$108,MATCH(C124,'Facilities'!$C$9:$C$108,0))&gt;=Settings!$F$20)),2,1)),"Unavailable"))</x:f>
        <x:v>1</x:v>
      </x:c>
      <x:c r="U124" s="23" t="n">
        <x:f>IF(C124="","",IF(AQ124&lt;&gt;"Ready","Unavailable",IF(C124="","",O124*(1-(1-S124)/(1+INDEX('Facilities'!$K$9:$K$108,MATCH(C124,'Facilities'!$C$9:$C$108,0)))^INDEX('Facilities'!$AK$9:$AK$108,MATCH(C124,'Facilities'!$C$9:$C$108,0)))*R124/(1+INDEX('Facilities'!$K$9:$K$108,MATCH(C124,'Facilities'!$C$9:$C$108,0)))*IF(ABS(1-(1-R124)*(1-INDEX('Facilities'!$R$9:$R$108,MATCH(C124,'Facilities'!$C$9:$C$108,0)))/(1+INDEX('Facilities'!$K$9:$K$108,MATCH(C124,'Facilities'!$C$9:$C$108,0))))&lt;0.000000001,IF(T124=1,MIN(1,AJ124),AJ124),(1-((1-R124)*(1-INDEX('Facilities'!$R$9:$R$108,MATCH(C124,'Facilities'!$C$9:$C$108,0)))/(1+INDEX('Facilities'!$K$9:$K$108,MATCH(C124,'Facilities'!$C$9:$C$108,0))))^IF(T124=1,MIN(1,AJ124),AJ124))/(1-(1-R124)*(1-INDEX('Facilities'!$R$9:$R$108,MATCH(C124,'Facilities'!$C$9:$C$108,0)))/(1+INDEX('Facilities'!$K$9:$K$108,MATCH(C124,'Facilities'!$C$9:$C$108,0)))))+AL124)))</x:f>
        <x:v>0.03053830337006188</x:v>
      </x:c>
      <x:c r="V124" s="23" t="n">
        <x:f>IF(C124="","",IF(AQ124&lt;&gt;"Ready","Unavailable",IF(C124="","",Q124*INDEX('Facilities'!$I$9:$I$108,MATCH(C124,'Facilities'!$C$9:$C$108,0))*(1-(1-S124)/(1+INDEX('Facilities'!$K$9:$K$108,MATCH(C124,'Facilities'!$C$9:$C$108,0)))^INDEX('Facilities'!$AK$9:$AK$108,MATCH(C124,'Facilities'!$C$9:$C$108,0)))*R124/(1+INDEX('Facilities'!$K$9:$K$108,MATCH(C124,'Facilities'!$C$9:$C$108,0)))*IF(ABS(1-(1-R124)*(1-0)/(1+INDEX('Facilities'!$K$9:$K$108,MATCH(C124,'Facilities'!$C$9:$C$108,0))))&lt;0.000000001,IF(T124=1,MIN(1,AJ124),AJ124),(1-((1-R124)*(1-0)/(1+INDEX('Facilities'!$K$9:$K$108,MATCH(C124,'Facilities'!$C$9:$C$108,0))))^IF(T124=1,MIN(1,AJ124),AJ124))/(1-(1-R124)*(1-0)/(1+INDEX('Facilities'!$K$9:$K$108,MATCH(C124,'Facilities'!$C$9:$C$108,0))))))))</x:f>
        <x:v>0.0017138811712382668</x:v>
      </x:c>
      <x:c r="W124" s="21" t="n">
        <x:f>IF(C124="","",IFERROR(U24,"Unavailable"))</x:f>
        <x:v>0.033671590882740354</x:v>
      </x:c>
      <x:c r="X124" s="21" t="n">
        <x:f>IF(C124="","",IFERROR(V24,"Unavailable"))</x:f>
        <x:v>0.0018253829798335617</x:v>
      </x:c>
      <x:c r="Y124" s="21" t="n">
        <x:f>IF(C124="","",IF(AQ124&lt;&gt;"Ready","Unavailable",IF(C124="","",U124-W124+V124-X124+N124+AG124)))</x:f>
        <x:v>-0.0032447893212737694</x:v>
      </x:c>
      <x:c r="Z124" s="23" t="n">
        <x:f>IF(C124="","",IF(AQ124&lt;&gt;"Ready","Unavailable",IF(C124="","",(G124+O124+L124)/2*INDEX('Facilities'!$T$9:$T$108,MATCH(C124,'Facilities'!$C$9:$C$108,0))+AG124)))</x:f>
        <x:v>0.39302830000000005</x:v>
      </x:c>
      <x:c r="AA124" s="23" t="n">
        <x:f>IF(C124="","",IF(AQ124&lt;&gt;"Ready","Unavailable",IF(C124="","",O124*(1-IF(INDEX('Facilities'!$AA$9:$AA$108,MATCH(C124,'Facilities'!$C$9:$C$108,0))=0,0,MIN(1,INDEX('Facilities'!$X$9:$X$108,MATCH(C124,'Facilities'!$C$9:$C$108,0))/INDEX('Facilities'!$AA$9:$AA$108,MATCH(C124,'Facilities'!$C$9:$C$108,0)))))*AF124+P124*(1-IF(INDEX('Facilities'!$AA$9:$AA$108,MATCH(C124,'Facilities'!$C$9:$C$108,0))=0,0,MIN(1,INDEX('Facilities'!$X$9:$X$108,MATCH(C124,'Facilities'!$C$9:$C$108,0))/INDEX('Facilities'!$AA$9:$AA$108,MATCH(C124,'Facilities'!$C$9:$C$108,0)))))*INDEX('Facilities'!$AJ$9:$AJ$108,MATCH(C124,'Facilities'!$C$9:$C$108,0))+Q124*INDEX('Facilities'!$AI$9:$AI$108,MATCH(C124,'Facilities'!$C$9:$C$108,0))*AF124)))</x:f>
        <x:v>4.264389245760001</x:v>
      </x:c>
      <x:c r="AB124" s="21" t="n">
        <x:f>IF(C124="","",O124+P124-AD124)</x:f>
        <x:v>-0.4877199999999995</x:v>
      </x:c>
      <x:c r="AC124" s="23" t="n">
        <x:f>IF(C124="","",IFERROR(IF(INDEX('Facilities'!$AD$9:$AD$108,MATCH(C124,'Facilities'!$C$9:$C$108,0))=3,0,IF(INDEX('Facilities'!$AN$9:$AN$108,MATCH(C124,'Facilities'!$C$9:$C$108,0))=0,-1,INDEX('Facilities'!$AN$9:$AN$108,MATCH(C124,'Facilities'!$C$9:$C$108,0)))),"Unavailable"))</x:f>
        <x:v>-1</x:v>
      </x:c>
      <x:c r="AD124" s="21" t="n">
        <x:f>IF(C124="","",IFERROR(G124+H124,"Unavailable"))</x:f>
        <x:v>4.381</x:v>
      </x:c>
      <x:c r="AE124" s="21" t="n">
        <x:f>IF(C124="","",IF(AQ124&lt;&gt;"Ready","Unavailable",IF(C124="","",O124+P124-AD124-J124+K124+M124+N124)))</x:f>
        <x:v>4.440892098500626e-16</x:v>
      </x:c>
      <x:c r="AF124" s="30" t="n">
        <x:f>IF(C124="","",IFERROR(INDEX('Facilities'!$S$9:$S$108,MATCH(C124,'Facilities'!$C$9:$C$108,0))*'Scenario Paths'!G75,"Unavailable"))</x:f>
        <x:v>1.05</x:v>
      </x:c>
      <x:c r="AG124" s="23" t="n">
        <x:f>IF(C124="","",IF(AQ124&lt;&gt;"Ready","Unavailable",IF(C124="","",IF(H124&gt;0,MAX(0,H124-AK124)*((1+INDEX('Facilities'!$K$9:$K$108,MATCH(C124,'Facilities'!$C$9:$C$108,0)))^MIN(1,MAX(0,AC124+INDEX('Facilities'!$AK$9:$AK$108,MATCH(C124,'Facilities'!$C$9:$C$108,0))-D124+1))-1),0))))</x:f>
        <x:v>0</x:v>
      </x:c>
      <x:c r="AH124" s="21" t="n">
        <x:f>IF(C124="","",IF(AQ124&lt;&gt;"Ready","Unavailable",IF(C124="","",O124+P124)))</x:f>
        <x:v>3.8932800000000007</x:v>
      </x:c>
      <x:c r="AI124" s="21" t="n">
        <x:f>IF(C124="","",IF(AQ124&lt;&gt;"Ready","Unavailable",IF(C124="","",Z124-Y124)))</x:f>
        <x:v>0.3962730893212738</x:v>
      </x:c>
      <x:c r="AJ124" s="23" t="n">
        <x:f>IF(C124="","",IFERROR(MAX(0,INDEX('Facilities'!$J$9:$J$108,MATCH(C124,'Facilities'!$C$9:$C$108,0))-D124),"Unavailable"))</x:f>
        <x:v>10</x:v>
      </x:c>
      <x:c r="AK124" s="21" t="n">
        <x:f>IF(C124="","",IFERROR(AL24,"Unavailable"))</x:f>
        <x:v>0</x:v>
      </x:c>
      <x:c r="AL124" s="23" t="n">
        <x:f>IF(C124="","",IFERROR(IF(P124&gt;0,P124*(1-AM124/(1+INDEX('Facilities'!$K$9:$K$108,MATCH(C124,'Facilities'!$C$9:$C$108,0)))^MAX(0,AC124+INDEX('Facilities'!$AK$9:$AK$108,MATCH(C124,'Facilities'!$C$9:$C$108,0))-D124)),0),"Unavailable"))</x:f>
        <x:v>0</x:v>
      </x:c>
      <x:c r="AM124" s="30" t="n">
        <x:f>IF(C124="","",IFERROR(INDEX('Facilities'!$AL$9:$AL$108,MATCH(C124,'Facilities'!$C$9:$C$108,0)),"Unavailable"))</x:f>
        <x:v>0.55</x:v>
      </x:c>
      <x:c r="AN124" s="30" t="n">
        <x:f>IF(C124="","",IFERROR(INDEX(Credit!$T$109:$T$208,MATCH(F124,Credit!$C$109:$C$208,0)),"Unavailable"))</x:f>
        <x:v>0.0017600000000000003</x:v>
      </x:c>
      <x:c r="AO124" s="23" t="n">
        <x:f>IF(C124="","",IF(AQ124&lt;&gt;"Ready","Unavailable",IF(C124="","",O124+P124+Q124*INDEX('Facilities'!$I$9:$I$108,MATCH(C124,'Facilities'!$C$9:$C$108,0)))))</x:f>
        <x:v>4.11178</x:v>
      </x:c>
      <x:c r="AP124" s="21" t="n">
        <x:f>IF(C124="","",IF(AQ124&lt;&gt;"Ready","Unavailable",IF(C124="","",AH124-U124)))</x:f>
        <x:v>3.862741696629939</x:v>
      </x:c>
      <x:c r="AQ124" s="23" t="str">
        <x:f>IFERROR(IF(C124="","",IF(AND(INDEX('Facilities'!$AF$9:$AF$108,MATCH(C124,'Facilities'!$C$9:$C$108,0))="Ready",INDEX(Credit!$U$109:$U$208,MATCH(F124,Credit!$C$109:$C$208,0))="Ready",ISNUMBER(W124)),"Ready","Review inputs")),"Review inputs")</x:f>
        <x:v>Ready</x:v>
      </x:c>
      <x:c r="AR124" s="23" t="n">
        <x:f>IF(C124="","",IF(AQ124&lt;&gt;"Ready","Unavailable",IF(C124="","",IF(O124=0,0,(IF(AJ124&lt;=1,O124,O124*INDEX('Facilities'!$R$9:$R$108,MATCH(C124,'Facilities'!$C$9:$C$108,0)))+O124*INDEX('Facilities'!$T$9:$T$108,MATCH(C124,'Facilities'!$C$9:$C$108,0)))/12))))</x:f>
        <x:v>0.06975460000000001</x:v>
      </x:c>
    </x:row>
    <x:row r="125" ht="26" customHeight="1">
      <x:c r="A125" s="1"/>
      <x:c r="B125" s="1"/>
      <x:c r="C125" s="9" t="str">
        <x:f>IF(Facilities!C25="","",Facilities!C25)</x:f>
        <x:v>F017</x:v>
      </x:c>
      <x:c r="D125" s="3" t="n">
        <x:v>2</x:v>
      </x:c>
      <x:c r="E125" s="9" t="n">
        <x:f>Settings!$F$18+1</x:f>
        <x:v>2028</x:v>
      </x:c>
      <x:c r="F125" s="9" t="str">
        <x:f>IF(C125="","",IFERROR(INDEX('Facilities'!$D$9:$D$108,MATCH(C125,'Facilities'!$C$9:$C$108,0)),"Unavailable"))</x:f>
        <x:v>B009</x:v>
      </x:c>
      <x:c r="G125" s="21" t="n">
        <x:f>IF(C125="","",IFERROR(O25,"Unavailable"))</x:f>
        <x:v>6.939</x:v>
      </x:c>
      <x:c r="H125" s="21" t="n">
        <x:f>IF(C125="","",IFERROR(P25,"Unavailable"))</x:f>
        <x:v>0</x:v>
      </x:c>
      <x:c r="I125" s="21" t="n">
        <x:f>IF(C125="","",IFERROR(Q25,"Unavailable"))</x:f>
        <x:v>1.425</x:v>
      </x:c>
      <x:c r="J125" s="23" t="n">
        <x:f>IF(C125="","",IFERROR(IF(OR(H125&gt;0,AND(AC125&gt;=0,AC125&lt;D125),D125&gt;INDEX('Facilities'!$J$9:$J$108,MATCH(C125,'Facilities'!$C$9:$C$108,0))),0,I125*'Scenario Paths'!G81),"Unavailable"))</x:f>
        <x:v>0.114</x:v>
      </x:c>
      <x:c r="K125" s="23" t="n">
        <x:f>IF(C125="","",IFERROR(IF(OR(H125&gt;0,AND(AC125&gt;=0,AC125=D125)),0,IF(D125&gt;=INDEX('Facilities'!$J$9:$J$108,MATCH(C125,'Facilities'!$C$9:$C$108,0)),G125+J125,MIN(G125+J125,G125*INDEX('Facilities'!$R$9:$R$108,MATCH(C125,'Facilities'!$C$9:$C$108,0))))),"Unavailable"))</x:f>
        <x:v>0.83268</x:v>
      </x:c>
      <x:c r="L125" s="21" t="n">
        <x:f>IF(C125="","",IFERROR(IF(AND(AC125=D125,AC125&gt;0),MAX(0,G125+J125-K125),0),"Unavailable"))</x:f>
        <x:v>0</x:v>
      </x:c>
      <x:c r="M125" s="23" t="n">
        <x:f>IF(C125="","",IFERROR(IF(AND(AC125&gt;=0,D125&gt;=AC125+INDEX('Facilities'!$AK$9:$AK$108,MATCH(C125,'Facilities'!$C$9:$C$108,0))),(H125+L125)*AM125,0),"Unavailable"))</x:f>
        <x:v>0</x:v>
      </x:c>
      <x:c r="N125" s="23" t="n">
        <x:f>IF(C125="","",IFERROR(IF(AND(AC125&gt;=0,D125&gt;=AC125+INDEX('Facilities'!$AK$9:$AK$108,MATCH(C125,'Facilities'!$C$9:$C$108,0))),H125+L125-M125,0),"Unavailable"))</x:f>
        <x:v>0</x:v>
      </x:c>
      <x:c r="O125" s="21" t="n">
        <x:f>IF(C125="","",IFERROR(MAX(0,G125+J125-K125-L125),"Unavailable"))</x:f>
        <x:v>6.22032</x:v>
      </x:c>
      <x:c r="P125" s="21" t="n">
        <x:f>IF(C125="","",IFERROR(MAX(0,H125+L125-M125-N125),"Unavailable"))</x:f>
        <x:v>0</x:v>
      </x:c>
      <x:c r="Q125" s="23" t="n">
        <x:f>IF(C125="","",IFERROR(IF(OR(D125&gt;=INDEX('Facilities'!$J$9:$J$108,MATCH(C125,'Facilities'!$C$9:$C$108,0)),AND(AC125&gt;=0,AC125&lt;=D125)),0,MAX(0,I125-J125)),"Unavailable"))</x:f>
        <x:v>1.311</x:v>
      </x:c>
      <x:c r="R125" s="30" t="n">
        <x:f>IF(C125="","",IFERROR(INDEX(Credit!$Q$109:$Q$208,MATCH(F125,Credit!$C$109:$C$208,0)),"Unavailable"))</x:f>
        <x:v>0.031651722641588186</x:v>
      </x:c>
      <x:c r="S125" s="30" t="n">
        <x:f>IF(C125="","",IFERROR(INDEX(Credit!$R$109:$R$208,MATCH(F125,Credit!$C$109:$C$208,0)),"Unavailable"))</x:f>
        <x:v>0.4017472</x:v>
      </x:c>
      <x:c r="T125" s="23" t="n">
        <x:f>IF(C125="","",IFERROR(IF(P125&gt;0,3,IF(OR(INDEX('Facilities'!$AD$9:$AD$108,MATCH(C125,'Facilities'!$C$9:$C$108,0))=2,AND(R125&gt;=INDEX('Facilities'!$L$9:$L$108,MATCH(C125,'Facilities'!$C$9:$C$108,0))*Settings!$F$19,R125-INDEX('Facilities'!$L$9:$L$108,MATCH(C125,'Facilities'!$C$9:$C$108,0))&gt;=Settings!$F$20)),2,1)),"Unavailable"))</x:f>
        <x:v>2</x:v>
      </x:c>
      <x:c r="U125" s="23" t="n">
        <x:f>IF(C125="","",IF(AQ125&lt;&gt;"Ready","Unavailable",IF(C125="","",O125*(1-(1-S125)/(1+INDEX('Facilities'!$K$9:$K$108,MATCH(C125,'Facilities'!$C$9:$C$108,0)))^INDEX('Facilities'!$AK$9:$AK$108,MATCH(C125,'Facilities'!$C$9:$C$108,0)))*R125/(1+INDEX('Facilities'!$K$9:$K$108,MATCH(C125,'Facilities'!$C$9:$C$108,0)))*IF(ABS(1-(1-R125)*(1-INDEX('Facilities'!$R$9:$R$108,MATCH(C125,'Facilities'!$C$9:$C$108,0)))/(1+INDEX('Facilities'!$K$9:$K$108,MATCH(C125,'Facilities'!$C$9:$C$108,0))))&lt;0.000000001,IF(T125=1,MIN(1,AJ125),AJ125),(1-((1-R125)*(1-INDEX('Facilities'!$R$9:$R$108,MATCH(C125,'Facilities'!$C$9:$C$108,0)))/(1+INDEX('Facilities'!$K$9:$K$108,MATCH(C125,'Facilities'!$C$9:$C$108,0))))^IF(T125=1,MIN(1,AJ125),AJ125))/(1-(1-R125)*(1-INDEX('Facilities'!$R$9:$R$108,MATCH(C125,'Facilities'!$C$9:$C$108,0)))/(1+INDEX('Facilities'!$K$9:$K$108,MATCH(C125,'Facilities'!$C$9:$C$108,0)))))+AL125)))</x:f>
        <x:v>0.3193319265222986</x:v>
      </x:c>
      <x:c r="V125" s="23" t="n">
        <x:f>IF(C125="","",IF(AQ125&lt;&gt;"Ready","Unavailable",IF(C125="","",Q125*INDEX('Facilities'!$I$9:$I$108,MATCH(C125,'Facilities'!$C$9:$C$108,0))*(1-(1-S125)/(1+INDEX('Facilities'!$K$9:$K$108,MATCH(C125,'Facilities'!$C$9:$C$108,0)))^INDEX('Facilities'!$AK$9:$AK$108,MATCH(C125,'Facilities'!$C$9:$C$108,0)))*R125/(1+INDEX('Facilities'!$K$9:$K$108,MATCH(C125,'Facilities'!$C$9:$C$108,0)))*IF(ABS(1-(1-R125)*(1-0)/(1+INDEX('Facilities'!$K$9:$K$108,MATCH(C125,'Facilities'!$C$9:$C$108,0))))&lt;0.000000001,IF(T125=1,MIN(1,AJ125),AJ125),(1-((1-R125)*(1-0)/(1+INDEX('Facilities'!$K$9:$K$108,MATCH(C125,'Facilities'!$C$9:$C$108,0))))^IF(T125=1,MIN(1,AJ125),AJ125))/(1-(1-R125)*(1-0)/(1+INDEX('Facilities'!$K$9:$K$108,MATCH(C125,'Facilities'!$C$9:$C$108,0))))))))</x:f>
        <x:v>0.043485548769760796</x:v>
      </x:c>
      <x:c r="W125" s="21" t="n">
        <x:f>IF(C125="","",IFERROR(U25,"Unavailable"))</x:f>
        <x:v>0.3340904947146954</x:v>
      </x:c>
      <x:c r="X125" s="21" t="n">
        <x:f>IF(C125="","",IFERROR(V25,"Unavailable"))</x:f>
        <x:v>0.04627821669731414</x:v>
      </x:c>
      <x:c r="Y125" s="21" t="n">
        <x:f>IF(C125="","",IF(AQ125&lt;&gt;"Ready","Unavailable",IF(C125="","",U125-W125+V125-X125+N125+AG125)))</x:f>
        <x:v>-0.017551236119950138</x:v>
      </x:c>
      <x:c r="Z125" s="23" t="n">
        <x:f>IF(C125="","",IF(AQ125&lt;&gt;"Ready","Unavailable",IF(C125="","",(G125+O125+L125)/2*INDEX('Facilities'!$T$9:$T$108,MATCH(C125,'Facilities'!$C$9:$C$108,0))+AG125)))</x:f>
        <x:v>0.6250677</x:v>
      </x:c>
      <x:c r="AA125" s="23" t="n">
        <x:f>IF(C125="","",IF(AQ125&lt;&gt;"Ready","Unavailable",IF(C125="","",O125*(1-IF(INDEX('Facilities'!$AA$9:$AA$108,MATCH(C125,'Facilities'!$C$9:$C$108,0))=0,0,MIN(1,INDEX('Facilities'!$X$9:$X$108,MATCH(C125,'Facilities'!$C$9:$C$108,0))/INDEX('Facilities'!$AA$9:$AA$108,MATCH(C125,'Facilities'!$C$9:$C$108,0)))))*AF125+P125*(1-IF(INDEX('Facilities'!$AA$9:$AA$108,MATCH(C125,'Facilities'!$C$9:$C$108,0))=0,0,MIN(1,INDEX('Facilities'!$X$9:$X$108,MATCH(C125,'Facilities'!$C$9:$C$108,0))/INDEX('Facilities'!$AA$9:$AA$108,MATCH(C125,'Facilities'!$C$9:$C$108,0)))))*INDEX('Facilities'!$AJ$9:$AJ$108,MATCH(C125,'Facilities'!$C$9:$C$108,0))+Q125*INDEX('Facilities'!$AI$9:$AI$108,MATCH(C125,'Facilities'!$C$9:$C$108,0))*AF125)))</x:f>
        <x:v>7.094209348800001</x:v>
      </x:c>
      <x:c r="AB125" s="21" t="n">
        <x:f>IF(C125="","",O125+P125-AD125)</x:f>
        <x:v>-0.71868</x:v>
      </x:c>
      <x:c r="AC125" s="23" t="n">
        <x:f>IF(C125="","",IFERROR(IF(INDEX('Facilities'!$AD$9:$AD$108,MATCH(C125,'Facilities'!$C$9:$C$108,0))=3,0,IF(INDEX('Facilities'!$AN$9:$AN$108,MATCH(C125,'Facilities'!$C$9:$C$108,0))=0,-1,INDEX('Facilities'!$AN$9:$AN$108,MATCH(C125,'Facilities'!$C$9:$C$108,0)))),"Unavailable"))</x:f>
        <x:v>-1</x:v>
      </x:c>
      <x:c r="AD125" s="21" t="n">
        <x:f>IF(C125="","",IFERROR(G125+H125,"Unavailable"))</x:f>
        <x:v>6.939</x:v>
      </x:c>
      <x:c r="AE125" s="21" t="n">
        <x:f>IF(C125="","",IF(AQ125&lt;&gt;"Ready","Unavailable",IF(C125="","",O125+P125-AD125-J125+K125+M125+N125)))</x:f>
        <x:v>0</x:v>
      </x:c>
      <x:c r="AF125" s="30" t="n">
        <x:f>IF(C125="","",IFERROR(INDEX('Facilities'!$S$9:$S$108,MATCH(C125,'Facilities'!$C$9:$C$108,0))*'Scenario Paths'!G75,"Unavailable"))</x:f>
        <x:v>1.05</x:v>
      </x:c>
      <x:c r="AG125" s="23" t="n">
        <x:f>IF(C125="","",IF(AQ125&lt;&gt;"Ready","Unavailable",IF(C125="","",IF(H125&gt;0,MAX(0,H125-AK125)*((1+INDEX('Facilities'!$K$9:$K$108,MATCH(C125,'Facilities'!$C$9:$C$108,0)))^MIN(1,MAX(0,AC125+INDEX('Facilities'!$AK$9:$AK$108,MATCH(C125,'Facilities'!$C$9:$C$108,0))-D125+1))-1),0))))</x:f>
        <x:v>0</x:v>
      </x:c>
      <x:c r="AH125" s="21" t="n">
        <x:f>IF(C125="","",IF(AQ125&lt;&gt;"Ready","Unavailable",IF(C125="","",O125+P125)))</x:f>
        <x:v>6.22032</x:v>
      </x:c>
      <x:c r="AI125" s="21" t="n">
        <x:f>IF(C125="","",IF(AQ125&lt;&gt;"Ready","Unavailable",IF(C125="","",Z125-Y125)))</x:f>
        <x:v>0.6426189361199501</x:v>
      </x:c>
      <x:c r="AJ125" s="23" t="n">
        <x:f>IF(C125="","",IFERROR(MAX(0,INDEX('Facilities'!$J$9:$J$108,MATCH(C125,'Facilities'!$C$9:$C$108,0))-D125),"Unavailable"))</x:f>
        <x:v>6</x:v>
      </x:c>
      <x:c r="AK125" s="21" t="n">
        <x:f>IF(C125="","",IFERROR(AL25,"Unavailable"))</x:f>
        <x:v>0</x:v>
      </x:c>
      <x:c r="AL125" s="23" t="n">
        <x:f>IF(C125="","",IFERROR(IF(P125&gt;0,P125*(1-AM125/(1+INDEX('Facilities'!$K$9:$K$108,MATCH(C125,'Facilities'!$C$9:$C$108,0)))^MAX(0,AC125+INDEX('Facilities'!$AK$9:$AK$108,MATCH(C125,'Facilities'!$C$9:$C$108,0))-D125)),0),"Unavailable"))</x:f>
        <x:v>0</x:v>
      </x:c>
      <x:c r="AM125" s="30" t="n">
        <x:f>IF(C125="","",IFERROR(INDEX('Facilities'!$AL$9:$AL$108,MATCH(C125,'Facilities'!$C$9:$C$108,0)),"Unavailable"))</x:f>
        <x:v>0.55</x:v>
      </x:c>
      <x:c r="AN125" s="30" t="n">
        <x:f>IF(C125="","",IFERROR(INDEX(Credit!$T$109:$T$208,MATCH(F125,Credit!$C$109:$C$208,0)),"Unavailable"))</x:f>
        <x:v>0.002912</x:v>
      </x:c>
      <x:c r="AO125" s="23" t="n">
        <x:f>IF(C125="","",IF(AQ125&lt;&gt;"Ready","Unavailable",IF(C125="","",O125+P125+Q125*INDEX('Facilities'!$I$9:$I$108,MATCH(C125,'Facilities'!$C$9:$C$108,0)))))</x:f>
        <x:v>6.87582</x:v>
      </x:c>
      <x:c r="AP125" s="21" t="n">
        <x:f>IF(C125="","",IF(AQ125&lt;&gt;"Ready","Unavailable",IF(C125="","",AH125-U125)))</x:f>
        <x:v>5.900988073477701</x:v>
      </x:c>
      <x:c r="AQ125" s="23" t="str">
        <x:f>IFERROR(IF(C125="","",IF(AND(INDEX('Facilities'!$AF$9:$AF$108,MATCH(C125,'Facilities'!$C$9:$C$108,0))="Ready",INDEX(Credit!$U$109:$U$208,MATCH(F125,Credit!$C$109:$C$208,0))="Ready",ISNUMBER(W125)),"Ready","Review inputs")),"Review inputs")</x:f>
        <x:v>Ready</x:v>
      </x:c>
      <x:c r="AR125" s="23" t="n">
        <x:f>IF(C125="","",IF(AQ125&lt;&gt;"Ready","Unavailable",IF(C125="","",IF(O125=0,0,(IF(AJ125&lt;=1,O125,O125*INDEX('Facilities'!$R$9:$R$108,MATCH(C125,'Facilities'!$C$9:$C$108,0)))+O125*INDEX('Facilities'!$T$9:$T$108,MATCH(C125,'Facilities'!$C$9:$C$108,0)))/12))))</x:f>
        <x:v>0.11144739999999999</x:v>
      </x:c>
    </x:row>
    <x:row r="126" ht="26" customHeight="1">
      <x:c r="A126" s="1"/>
      <x:c r="B126" s="1"/>
      <x:c r="C126" s="9" t="str">
        <x:f>IF(Facilities!C26="","",Facilities!C26)</x:f>
        <x:v>F018</x:v>
      </x:c>
      <x:c r="D126" s="3" t="n">
        <x:v>2</x:v>
      </x:c>
      <x:c r="E126" s="9" t="n">
        <x:f>Settings!$F$18+1</x:f>
        <x:v>2028</x:v>
      </x:c>
      <x:c r="F126" s="9" t="str">
        <x:f>IF(C126="","",IFERROR(INDEX('Facilities'!$D$9:$D$108,MATCH(C126,'Facilities'!$C$9:$C$108,0)),"Unavailable"))</x:f>
        <x:v>B009</x:v>
      </x:c>
      <x:c r="G126" s="21" t="n">
        <x:f>IF(C126="","",IFERROR(O26,"Unavailable"))</x:f>
        <x:v>4.689</x:v>
      </x:c>
      <x:c r="H126" s="21" t="n">
        <x:f>IF(C126="","",IFERROR(P26,"Unavailable"))</x:f>
        <x:v>0</x:v>
      </x:c>
      <x:c r="I126" s="21" t="n">
        <x:f>IF(C126="","",IFERROR(Q26,"Unavailable"))</x:f>
        <x:v>0.475</x:v>
      </x:c>
      <x:c r="J126" s="23" t="n">
        <x:f>IF(C126="","",IFERROR(IF(OR(H126&gt;0,AND(AC126&gt;=0,AC126&lt;D126),D126&gt;INDEX('Facilities'!$J$9:$J$108,MATCH(C126,'Facilities'!$C$9:$C$108,0))),0,I126*'Scenario Paths'!G81),"Unavailable"))</x:f>
        <x:v>0.038</x:v>
      </x:c>
      <x:c r="K126" s="23" t="n">
        <x:f>IF(C126="","",IFERROR(IF(OR(H126&gt;0,AND(AC126&gt;=0,AC126=D126)),0,IF(D126&gt;=INDEX('Facilities'!$J$9:$J$108,MATCH(C126,'Facilities'!$C$9:$C$108,0)),G126+J126,MIN(G126+J126,G126*INDEX('Facilities'!$R$9:$R$108,MATCH(C126,'Facilities'!$C$9:$C$108,0))))),"Unavailable"))</x:f>
        <x:v>0.56268</x:v>
      </x:c>
      <x:c r="L126" s="21" t="n">
        <x:f>IF(C126="","",IFERROR(IF(AND(AC126=D126,AC126&gt;0),MAX(0,G126+J126-K126),0),"Unavailable"))</x:f>
        <x:v>0</x:v>
      </x:c>
      <x:c r="M126" s="23" t="n">
        <x:f>IF(C126="","",IFERROR(IF(AND(AC126&gt;=0,D126&gt;=AC126+INDEX('Facilities'!$AK$9:$AK$108,MATCH(C126,'Facilities'!$C$9:$C$108,0))),(H126+L126)*AM126,0),"Unavailable"))</x:f>
        <x:v>0</x:v>
      </x:c>
      <x:c r="N126" s="23" t="n">
        <x:f>IF(C126="","",IFERROR(IF(AND(AC126&gt;=0,D126&gt;=AC126+INDEX('Facilities'!$AK$9:$AK$108,MATCH(C126,'Facilities'!$C$9:$C$108,0))),H126+L126-M126,0),"Unavailable"))</x:f>
        <x:v>0</x:v>
      </x:c>
      <x:c r="O126" s="21" t="n">
        <x:f>IF(C126="","",IFERROR(MAX(0,G126+J126-K126-L126),"Unavailable"))</x:f>
        <x:v>4.16432</x:v>
      </x:c>
      <x:c r="P126" s="21" t="n">
        <x:f>IF(C126="","",IFERROR(MAX(0,H126+L126-M126-N126),"Unavailable"))</x:f>
        <x:v>0</x:v>
      </x:c>
      <x:c r="Q126" s="23" t="n">
        <x:f>IF(C126="","",IFERROR(IF(OR(D126&gt;=INDEX('Facilities'!$J$9:$J$108,MATCH(C126,'Facilities'!$C$9:$C$108,0)),AND(AC126&gt;=0,AC126&lt;=D126)),0,MAX(0,I126-J126)),"Unavailable"))</x:f>
        <x:v>0.437</x:v>
      </x:c>
      <x:c r="R126" s="30" t="n">
        <x:f>IF(C126="","",IFERROR(INDEX(Credit!$Q$109:$Q$208,MATCH(F126,Credit!$C$109:$C$208,0)),"Unavailable"))</x:f>
        <x:v>0.031651722641588186</x:v>
      </x:c>
      <x:c r="S126" s="30" t="n">
        <x:f>IF(C126="","",IFERROR(INDEX(Credit!$R$109:$R$208,MATCH(F126,Credit!$C$109:$C$208,0)),"Unavailable"))</x:f>
        <x:v>0.4017472</x:v>
      </x:c>
      <x:c r="T126" s="23" t="n">
        <x:f>IF(C126="","",IFERROR(IF(P126&gt;0,3,IF(OR(INDEX('Facilities'!$AD$9:$AD$108,MATCH(C126,'Facilities'!$C$9:$C$108,0))=2,AND(R126&gt;=INDEX('Facilities'!$L$9:$L$108,MATCH(C126,'Facilities'!$C$9:$C$108,0))*Settings!$F$19,R126-INDEX('Facilities'!$L$9:$L$108,MATCH(C126,'Facilities'!$C$9:$C$108,0))&gt;=Settings!$F$20)),2,1)),"Unavailable"))</x:f>
        <x:v>2</x:v>
      </x:c>
      <x:c r="U126" s="23" t="n">
        <x:f>IF(C126="","",IF(AQ126&lt;&gt;"Ready","Unavailable",IF(C126="","",O126*(1-(1-S126)/(1+INDEX('Facilities'!$K$9:$K$108,MATCH(C126,'Facilities'!$C$9:$C$108,0)))^INDEX('Facilities'!$AK$9:$AK$108,MATCH(C126,'Facilities'!$C$9:$C$108,0)))*R126/(1+INDEX('Facilities'!$K$9:$K$108,MATCH(C126,'Facilities'!$C$9:$C$108,0)))*IF(ABS(1-(1-R126)*(1-INDEX('Facilities'!$R$9:$R$108,MATCH(C126,'Facilities'!$C$9:$C$108,0)))/(1+INDEX('Facilities'!$K$9:$K$108,MATCH(C126,'Facilities'!$C$9:$C$108,0))))&lt;0.000000001,IF(T126=1,MIN(1,AJ126),AJ126),(1-((1-R126)*(1-INDEX('Facilities'!$R$9:$R$108,MATCH(C126,'Facilities'!$C$9:$C$108,0)))/(1+INDEX('Facilities'!$K$9:$K$108,MATCH(C126,'Facilities'!$C$9:$C$108,0))))^IF(T126=1,MIN(1,AJ126),AJ126))/(1-(1-R126)*(1-INDEX('Facilities'!$R$9:$R$108,MATCH(C126,'Facilities'!$C$9:$C$108,0)))/(1+INDEX('Facilities'!$K$9:$K$108,MATCH(C126,'Facilities'!$C$9:$C$108,0)))))+AL126)))</x:f>
        <x:v>0.21378326649679413</x:v>
      </x:c>
      <x:c r="V126" s="23" t="n">
        <x:f>IF(C126="","",IF(AQ126&lt;&gt;"Ready","Unavailable",IF(C126="","",Q126*INDEX('Facilities'!$I$9:$I$108,MATCH(C126,'Facilities'!$C$9:$C$108,0))*(1-(1-S126)/(1+INDEX('Facilities'!$K$9:$K$108,MATCH(C126,'Facilities'!$C$9:$C$108,0)))^INDEX('Facilities'!$AK$9:$AK$108,MATCH(C126,'Facilities'!$C$9:$C$108,0)))*R126/(1+INDEX('Facilities'!$K$9:$K$108,MATCH(C126,'Facilities'!$C$9:$C$108,0)))*IF(ABS(1-(1-R126)*(1-0)/(1+INDEX('Facilities'!$K$9:$K$108,MATCH(C126,'Facilities'!$C$9:$C$108,0))))&lt;0.000000001,IF(T126=1,MIN(1,AJ126),AJ126),(1-((1-R126)*(1-0)/(1+INDEX('Facilities'!$K$9:$K$108,MATCH(C126,'Facilities'!$C$9:$C$108,0))))^IF(T126=1,MIN(1,AJ126),AJ126))/(1-(1-R126)*(1-0)/(1+INDEX('Facilities'!$K$9:$K$108,MATCH(C126,'Facilities'!$C$9:$C$108,0))))))))</x:f>
        <x:v>0.0144951829232536</x:v>
      </x:c>
      <x:c r="W126" s="21" t="n">
        <x:f>IF(C126="","",IFERROR(U26,"Unavailable"))</x:f>
        <x:v>0.22576024351018975</x:v>
      </x:c>
      <x:c r="X126" s="21" t="n">
        <x:f>IF(C126="","",IFERROR(V26,"Unavailable"))</x:f>
        <x:v>0.015426072232438042</x:v>
      </x:c>
      <x:c r="Y126" s="21" t="n">
        <x:f>IF(C126="","",IF(AQ126&lt;&gt;"Ready","Unavailable",IF(C126="","",U126-W126+V126-X126+N126+AG126)))</x:f>
        <x:v>-0.012907866322580059</x:v>
      </x:c>
      <x:c r="Z126" s="23" t="n">
        <x:f>IF(C126="","",IF(AQ126&lt;&gt;"Ready","Unavailable",IF(C126="","",(G126+O126+L126)/2*INDEX('Facilities'!$T$9:$T$108,MATCH(C126,'Facilities'!$C$9:$C$108,0))+AG126)))</x:f>
        <x:v>0.4205327</x:v>
      </x:c>
      <x:c r="AA126" s="23" t="n">
        <x:f>IF(C126="","",IF(AQ126&lt;&gt;"Ready","Unavailable",IF(C126="","",O126*(1-IF(INDEX('Facilities'!$AA$9:$AA$108,MATCH(C126,'Facilities'!$C$9:$C$108,0))=0,0,MIN(1,INDEX('Facilities'!$X$9:$X$108,MATCH(C126,'Facilities'!$C$9:$C$108,0))/INDEX('Facilities'!$AA$9:$AA$108,MATCH(C126,'Facilities'!$C$9:$C$108,0)))))*AF126+P126*(1-IF(INDEX('Facilities'!$AA$9:$AA$108,MATCH(C126,'Facilities'!$C$9:$C$108,0))=0,0,MIN(1,INDEX('Facilities'!$X$9:$X$108,MATCH(C126,'Facilities'!$C$9:$C$108,0))/INDEX('Facilities'!$AA$9:$AA$108,MATCH(C126,'Facilities'!$C$9:$C$108,0)))))*INDEX('Facilities'!$AJ$9:$AJ$108,MATCH(C126,'Facilities'!$C$9:$C$108,0))+Q126*INDEX('Facilities'!$AI$9:$AI$108,MATCH(C126,'Facilities'!$C$9:$C$108,0))*AF126)))</x:f>
        <x:v>4.518008308800001</x:v>
      </x:c>
      <x:c r="AB126" s="21" t="n">
        <x:f>IF(C126="","",O126+P126-AD126)</x:f>
        <x:v>-0.52468</x:v>
      </x:c>
      <x:c r="AC126" s="23" t="n">
        <x:f>IF(C126="","",IFERROR(IF(INDEX('Facilities'!$AD$9:$AD$108,MATCH(C126,'Facilities'!$C$9:$C$108,0))=3,0,IF(INDEX('Facilities'!$AN$9:$AN$108,MATCH(C126,'Facilities'!$C$9:$C$108,0))=0,-1,INDEX('Facilities'!$AN$9:$AN$108,MATCH(C126,'Facilities'!$C$9:$C$108,0)))),"Unavailable"))</x:f>
        <x:v>-1</x:v>
      </x:c>
      <x:c r="AD126" s="21" t="n">
        <x:f>IF(C126="","",IFERROR(G126+H126,"Unavailable"))</x:f>
        <x:v>4.689</x:v>
      </x:c>
      <x:c r="AE126" s="21" t="n">
        <x:f>IF(C126="","",IF(AQ126&lt;&gt;"Ready","Unavailable",IF(C126="","",O126+P126-AD126-J126+K126+M126+N126)))</x:f>
        <x:v>-1.1102230246251565e-16</x:v>
      </x:c>
      <x:c r="AF126" s="30" t="n">
        <x:f>IF(C126="","",IFERROR(INDEX('Facilities'!$S$9:$S$108,MATCH(C126,'Facilities'!$C$9:$C$108,0))*'Scenario Paths'!G75,"Unavailable"))</x:f>
        <x:v>1.05</x:v>
      </x:c>
      <x:c r="AG126" s="23" t="n">
        <x:f>IF(C126="","",IF(AQ126&lt;&gt;"Ready","Unavailable",IF(C126="","",IF(H126&gt;0,MAX(0,H126-AK126)*((1+INDEX('Facilities'!$K$9:$K$108,MATCH(C126,'Facilities'!$C$9:$C$108,0)))^MIN(1,MAX(0,AC126+INDEX('Facilities'!$AK$9:$AK$108,MATCH(C126,'Facilities'!$C$9:$C$108,0))-D126+1))-1),0))))</x:f>
        <x:v>0</x:v>
      </x:c>
      <x:c r="AH126" s="21" t="n">
        <x:f>IF(C126="","",IF(AQ126&lt;&gt;"Ready","Unavailable",IF(C126="","",O126+P126)))</x:f>
        <x:v>4.16432</x:v>
      </x:c>
      <x:c r="AI126" s="21" t="n">
        <x:f>IF(C126="","",IF(AQ126&lt;&gt;"Ready","Unavailable",IF(C126="","",Z126-Y126)))</x:f>
        <x:v>0.43344056632258005</x:v>
      </x:c>
      <x:c r="AJ126" s="23" t="n">
        <x:f>IF(C126="","",IFERROR(MAX(0,INDEX('Facilities'!$J$9:$J$108,MATCH(C126,'Facilities'!$C$9:$C$108,0))-D126),"Unavailable"))</x:f>
        <x:v>6</x:v>
      </x:c>
      <x:c r="AK126" s="21" t="n">
        <x:f>IF(C126="","",IFERROR(AL26,"Unavailable"))</x:f>
        <x:v>0</x:v>
      </x:c>
      <x:c r="AL126" s="23" t="n">
        <x:f>IF(C126="","",IFERROR(IF(P126&gt;0,P126*(1-AM126/(1+INDEX('Facilities'!$K$9:$K$108,MATCH(C126,'Facilities'!$C$9:$C$108,0)))^MAX(0,AC126+INDEX('Facilities'!$AK$9:$AK$108,MATCH(C126,'Facilities'!$C$9:$C$108,0))-D126)),0),"Unavailable"))</x:f>
        <x:v>0</x:v>
      </x:c>
      <x:c r="AM126" s="30" t="n">
        <x:f>IF(C126="","",IFERROR(INDEX('Facilities'!$AL$9:$AL$108,MATCH(C126,'Facilities'!$C$9:$C$108,0)),"Unavailable"))</x:f>
        <x:v>0.55</x:v>
      </x:c>
      <x:c r="AN126" s="30" t="n">
        <x:f>IF(C126="","",IFERROR(INDEX(Credit!$T$109:$T$208,MATCH(F126,Credit!$C$109:$C$208,0)),"Unavailable"))</x:f>
        <x:v>0.002912</x:v>
      </x:c>
      <x:c r="AO126" s="23" t="n">
        <x:f>IF(C126="","",IF(AQ126&lt;&gt;"Ready","Unavailable",IF(C126="","",O126+P126+Q126*INDEX('Facilities'!$I$9:$I$108,MATCH(C126,'Facilities'!$C$9:$C$108,0)))))</x:f>
        <x:v>4.38282</x:v>
      </x:c>
      <x:c r="AP126" s="21" t="n">
        <x:f>IF(C126="","",IF(AQ126&lt;&gt;"Ready","Unavailable",IF(C126="","",AH126-U126)))</x:f>
        <x:v>3.9505367335032058</x:v>
      </x:c>
      <x:c r="AQ126" s="23" t="str">
        <x:f>IFERROR(IF(C126="","",IF(AND(INDEX('Facilities'!$AF$9:$AF$108,MATCH(C126,'Facilities'!$C$9:$C$108,0))="Ready",INDEX(Credit!$U$109:$U$208,MATCH(F126,Credit!$C$109:$C$208,0))="Ready",ISNUMBER(W126)),"Ready","Review inputs")),"Review inputs")</x:f>
        <x:v>Ready</x:v>
      </x:c>
      <x:c r="AR126" s="23" t="n">
        <x:f>IF(C126="","",IF(AQ126&lt;&gt;"Ready","Unavailable",IF(C126="","",IF(O126=0,0,(IF(AJ126&lt;=1,O126,O126*INDEX('Facilities'!$R$9:$R$108,MATCH(C126,'Facilities'!$C$9:$C$108,0)))+O126*INDEX('Facilities'!$T$9:$T$108,MATCH(C126,'Facilities'!$C$9:$C$108,0)))/12))))</x:f>
        <x:v>0.07461073333333333</x:v>
      </x:c>
    </x:row>
    <x:row r="127" ht="26" customHeight="1">
      <x:c r="A127" s="1"/>
      <x:c r="B127" s="1"/>
      <x:c r="C127" s="9" t="str">
        <x:f>IF(Facilities!C27="","",Facilities!C27)</x:f>
        <x:v>F019</x:v>
      </x:c>
      <x:c r="D127" s="3" t="n">
        <x:v>2</x:v>
      </x:c>
      <x:c r="E127" s="9" t="n">
        <x:f>Settings!$F$18+1</x:f>
        <x:v>2028</x:v>
      </x:c>
      <x:c r="F127" s="9" t="str">
        <x:f>IF(C127="","",IFERROR(INDEX('Facilities'!$D$9:$D$108,MATCH(C127,'Facilities'!$C$9:$C$108,0)),"Unavailable"))</x:f>
        <x:v>B010</x:v>
      </x:c>
      <x:c r="G127" s="21" t="n">
        <x:f>IF(C127="","",IFERROR(O27,"Unavailable"))</x:f>
        <x:v>7.247</x:v>
      </x:c>
      <x:c r="H127" s="21" t="n">
        <x:f>IF(C127="","",IFERROR(P27,"Unavailable"))</x:f>
        <x:v>0</x:v>
      </x:c>
      <x:c r="I127" s="21" t="n">
        <x:f>IF(C127="","",IFERROR(Q27,"Unavailable"))</x:f>
        <x:v>1.425</x:v>
      </x:c>
      <x:c r="J127" s="23" t="n">
        <x:f>IF(C127="","",IFERROR(IF(OR(H127&gt;0,AND(AC127&gt;=0,AC127&lt;D127),D127&gt;INDEX('Facilities'!$J$9:$J$108,MATCH(C127,'Facilities'!$C$9:$C$108,0))),0,I127*'Scenario Paths'!G81),"Unavailable"))</x:f>
        <x:v>0.114</x:v>
      </x:c>
      <x:c r="K127" s="23" t="n">
        <x:f>IF(C127="","",IFERROR(IF(OR(H127&gt;0,AND(AC127&gt;=0,AC127=D127)),0,IF(D127&gt;=INDEX('Facilities'!$J$9:$J$108,MATCH(C127,'Facilities'!$C$9:$C$108,0)),G127+J127,MIN(G127+J127,G127*INDEX('Facilities'!$R$9:$R$108,MATCH(C127,'Facilities'!$C$9:$C$108,0))))),"Unavailable"))</x:f>
        <x:v>0.86964</x:v>
      </x:c>
      <x:c r="L127" s="21" t="n">
        <x:f>IF(C127="","",IFERROR(IF(AND(AC127=D127,AC127&gt;0),MAX(0,G127+J127-K127),0),"Unavailable"))</x:f>
        <x:v>0</x:v>
      </x:c>
      <x:c r="M127" s="23" t="n">
        <x:f>IF(C127="","",IFERROR(IF(AND(AC127&gt;=0,D127&gt;=AC127+INDEX('Facilities'!$AK$9:$AK$108,MATCH(C127,'Facilities'!$C$9:$C$108,0))),(H127+L127)*AM127,0),"Unavailable"))</x:f>
        <x:v>0</x:v>
      </x:c>
      <x:c r="N127" s="23" t="n">
        <x:f>IF(C127="","",IFERROR(IF(AND(AC127&gt;=0,D127&gt;=AC127+INDEX('Facilities'!$AK$9:$AK$108,MATCH(C127,'Facilities'!$C$9:$C$108,0))),H127+L127-M127,0),"Unavailable"))</x:f>
        <x:v>0</x:v>
      </x:c>
      <x:c r="O127" s="21" t="n">
        <x:f>IF(C127="","",IFERROR(MAX(0,G127+J127-K127-L127),"Unavailable"))</x:f>
        <x:v>6.49136</x:v>
      </x:c>
      <x:c r="P127" s="21" t="n">
        <x:f>IF(C127="","",IFERROR(MAX(0,H127+L127-M127-N127),"Unavailable"))</x:f>
        <x:v>0</x:v>
      </x:c>
      <x:c r="Q127" s="23" t="n">
        <x:f>IF(C127="","",IFERROR(IF(OR(D127&gt;=INDEX('Facilities'!$J$9:$J$108,MATCH(C127,'Facilities'!$C$9:$C$108,0)),AND(AC127&gt;=0,AC127&lt;=D127)),0,MAX(0,I127-J127)),"Unavailable"))</x:f>
        <x:v>1.311</x:v>
      </x:c>
      <x:c r="R127" s="30" t="n">
        <x:f>IF(C127="","",IFERROR(INDEX(Credit!$Q$109:$Q$208,MATCH(F127,Credit!$C$109:$C$208,0)),"Unavailable"))</x:f>
        <x:v>0.038011205029351916</x:v>
      </x:c>
      <x:c r="S127" s="30" t="n">
        <x:f>IF(C127="","",IFERROR(INDEX(Credit!$R$109:$R$208,MATCH(F127,Credit!$C$109:$C$208,0)),"Unavailable"))</x:f>
        <x:v>0.44106624000000005</x:v>
      </x:c>
      <x:c r="T127" s="23" t="n">
        <x:f>IF(C127="","",IFERROR(IF(P127&gt;0,3,IF(OR(INDEX('Facilities'!$AD$9:$AD$108,MATCH(C127,'Facilities'!$C$9:$C$108,0))=2,AND(R127&gt;=INDEX('Facilities'!$L$9:$L$108,MATCH(C127,'Facilities'!$C$9:$C$108,0))*Settings!$F$19,R127-INDEX('Facilities'!$L$9:$L$108,MATCH(C127,'Facilities'!$C$9:$C$108,0))&gt;=Settings!$F$20)),2,1)),"Unavailable"))</x:f>
        <x:v>2</x:v>
      </x:c>
      <x:c r="U127" s="23" t="n">
        <x:f>IF(C127="","",IF(AQ127&lt;&gt;"Ready","Unavailable",IF(C127="","",O127*(1-(1-S127)/(1+INDEX('Facilities'!$K$9:$K$108,MATCH(C127,'Facilities'!$C$9:$C$108,0)))^INDEX('Facilities'!$AK$9:$AK$108,MATCH(C127,'Facilities'!$C$9:$C$108,0)))*R127/(1+INDEX('Facilities'!$K$9:$K$108,MATCH(C127,'Facilities'!$C$9:$C$108,0)))*IF(ABS(1-(1-R127)*(1-INDEX('Facilities'!$R$9:$R$108,MATCH(C127,'Facilities'!$C$9:$C$108,0)))/(1+INDEX('Facilities'!$K$9:$K$108,MATCH(C127,'Facilities'!$C$9:$C$108,0))))&lt;0.000000001,IF(T127=1,MIN(1,AJ127),AJ127),(1-((1-R127)*(1-INDEX('Facilities'!$R$9:$R$108,MATCH(C127,'Facilities'!$C$9:$C$108,0)))/(1+INDEX('Facilities'!$K$9:$K$108,MATCH(C127,'Facilities'!$C$9:$C$108,0))))^IF(T127=1,MIN(1,AJ127),AJ127))/(1-(1-R127)*(1-INDEX('Facilities'!$R$9:$R$108,MATCH(C127,'Facilities'!$C$9:$C$108,0)))/(1+INDEX('Facilities'!$K$9:$K$108,MATCH(C127,'Facilities'!$C$9:$C$108,0)))))+AL127)))</x:f>
        <x:v>0.4503870630673732</x:v>
      </x:c>
      <x:c r="V127" s="23" t="n">
        <x:f>IF(C127="","",IF(AQ127&lt;&gt;"Ready","Unavailable",IF(C127="","",Q127*INDEX('Facilities'!$I$9:$I$108,MATCH(C127,'Facilities'!$C$9:$C$108,0))*(1-(1-S127)/(1+INDEX('Facilities'!$K$9:$K$108,MATCH(C127,'Facilities'!$C$9:$C$108,0)))^INDEX('Facilities'!$AK$9:$AK$108,MATCH(C127,'Facilities'!$C$9:$C$108,0)))*R127/(1+INDEX('Facilities'!$K$9:$K$108,MATCH(C127,'Facilities'!$C$9:$C$108,0)))*IF(ABS(1-(1-R127)*(1-0)/(1+INDEX('Facilities'!$K$9:$K$108,MATCH(C127,'Facilities'!$C$9:$C$108,0))))&lt;0.000000001,IF(T127=1,MIN(1,AJ127),AJ127),(1-((1-R127)*(1-0)/(1+INDEX('Facilities'!$K$9:$K$108,MATCH(C127,'Facilities'!$C$9:$C$108,0))))^IF(T127=1,MIN(1,AJ127),AJ127))/(1-(1-R127)*(1-0)/(1+INDEX('Facilities'!$K$9:$K$108,MATCH(C127,'Facilities'!$C$9:$C$108,0))))))))</x:f>
        <x:v>0.061043283534485106</x:v>
      </x:c>
      <x:c r="W127" s="21" t="n">
        <x:f>IF(C127="","",IFERROR(U27,"Unavailable"))</x:f>
        <x:v>0.4730888695309627</x:v>
      </x:c>
      <x:c r="X127" s="21" t="n">
        <x:f>IF(C127="","",IFERROR(V27,"Unavailable"))</x:f>
        <x:v>0.06495468222553145</x:v>
      </x:c>
      <x:c r="Y127" s="21" t="n">
        <x:f>IF(C127="","",IF(AQ127&lt;&gt;"Ready","Unavailable",IF(C127="","",U127-W127+V127-X127+N127+AG127)))</x:f>
        <x:v>-0.02661320515463584</x:v>
      </x:c>
      <x:c r="Z127" s="23" t="n">
        <x:f>IF(C127="","",IF(AQ127&lt;&gt;"Ready","Unavailable",IF(C127="","",(G127+O127+L127)/2*INDEX('Facilities'!$T$9:$T$108,MATCH(C127,'Facilities'!$C$9:$C$108,0))+AG127)))</x:f>
        <x:v>0.6525721</x:v>
      </x:c>
      <x:c r="AA127" s="23" t="n">
        <x:f>IF(C127="","",IF(AQ127&lt;&gt;"Ready","Unavailable",IF(C127="","",O127*(1-IF(INDEX('Facilities'!$AA$9:$AA$108,MATCH(C127,'Facilities'!$C$9:$C$108,0))=0,0,MIN(1,INDEX('Facilities'!$X$9:$X$108,MATCH(C127,'Facilities'!$C$9:$C$108,0))/INDEX('Facilities'!$AA$9:$AA$108,MATCH(C127,'Facilities'!$C$9:$C$108,0)))))*AF127+P127*(1-IF(INDEX('Facilities'!$AA$9:$AA$108,MATCH(C127,'Facilities'!$C$9:$C$108,0))=0,0,MIN(1,INDEX('Facilities'!$X$9:$X$108,MATCH(C127,'Facilities'!$C$9:$C$108,0))/INDEX('Facilities'!$AA$9:$AA$108,MATCH(C127,'Facilities'!$C$9:$C$108,0)))))*INDEX('Facilities'!$AJ$9:$AJ$108,MATCH(C127,'Facilities'!$C$9:$C$108,0))+Q127*INDEX('Facilities'!$AI$9:$AI$108,MATCH(C127,'Facilities'!$C$9:$C$108,0))*AF127)))</x:f>
        <x:v>7.324262500800001</x:v>
      </x:c>
      <x:c r="AB127" s="21" t="n">
        <x:f>IF(C127="","",O127+P127-AD127)</x:f>
        <x:v>-0.7556399999999996</x:v>
      </x:c>
      <x:c r="AC127" s="23" t="n">
        <x:f>IF(C127="","",IFERROR(IF(INDEX('Facilities'!$AD$9:$AD$108,MATCH(C127,'Facilities'!$C$9:$C$108,0))=3,0,IF(INDEX('Facilities'!$AN$9:$AN$108,MATCH(C127,'Facilities'!$C$9:$C$108,0))=0,-1,INDEX('Facilities'!$AN$9:$AN$108,MATCH(C127,'Facilities'!$C$9:$C$108,0)))),"Unavailable"))</x:f>
        <x:v>-1</x:v>
      </x:c>
      <x:c r="AD127" s="21" t="n">
        <x:f>IF(C127="","",IFERROR(G127+H127,"Unavailable"))</x:f>
        <x:v>7.247</x:v>
      </x:c>
      <x:c r="AE127" s="21" t="n">
        <x:f>IF(C127="","",IF(AQ127&lt;&gt;"Ready","Unavailable",IF(C127="","",O127+P127-AD127-J127+K127+M127+N127)))</x:f>
        <x:v>3.3306690738754696e-16</x:v>
      </x:c>
      <x:c r="AF127" s="30" t="n">
        <x:f>IF(C127="","",IFERROR(INDEX('Facilities'!$S$9:$S$108,MATCH(C127,'Facilities'!$C$9:$C$108,0))*'Scenario Paths'!G75,"Unavailable"))</x:f>
        <x:v>1.05</x:v>
      </x:c>
      <x:c r="AG127" s="23" t="n">
        <x:f>IF(C127="","",IF(AQ127&lt;&gt;"Ready","Unavailable",IF(C127="","",IF(H127&gt;0,MAX(0,H127-AK127)*((1+INDEX('Facilities'!$K$9:$K$108,MATCH(C127,'Facilities'!$C$9:$C$108,0)))^MIN(1,MAX(0,AC127+INDEX('Facilities'!$AK$9:$AK$108,MATCH(C127,'Facilities'!$C$9:$C$108,0))-D127+1))-1),0))))</x:f>
        <x:v>0</x:v>
      </x:c>
      <x:c r="AH127" s="21" t="n">
        <x:f>IF(C127="","",IF(AQ127&lt;&gt;"Ready","Unavailable",IF(C127="","",O127+P127)))</x:f>
        <x:v>6.49136</x:v>
      </x:c>
      <x:c r="AI127" s="21" t="n">
        <x:f>IF(C127="","",IF(AQ127&lt;&gt;"Ready","Unavailable",IF(C127="","",Z127-Y127)))</x:f>
        <x:v>0.6791853051546358</x:v>
      </x:c>
      <x:c r="AJ127" s="23" t="n">
        <x:f>IF(C127="","",IFERROR(MAX(0,INDEX('Facilities'!$J$9:$J$108,MATCH(C127,'Facilities'!$C$9:$C$108,0))-D127),"Unavailable"))</x:f>
        <x:v>7</x:v>
      </x:c>
      <x:c r="AK127" s="21" t="n">
        <x:f>IF(C127="","",IFERROR(AL27,"Unavailable"))</x:f>
        <x:v>0</x:v>
      </x:c>
      <x:c r="AL127" s="23" t="n">
        <x:f>IF(C127="","",IFERROR(IF(P127&gt;0,P127*(1-AM127/(1+INDEX('Facilities'!$K$9:$K$108,MATCH(C127,'Facilities'!$C$9:$C$108,0)))^MAX(0,AC127+INDEX('Facilities'!$AK$9:$AK$108,MATCH(C127,'Facilities'!$C$9:$C$108,0))-D127)),0),"Unavailable"))</x:f>
        <x:v>0</x:v>
      </x:c>
      <x:c r="AM127" s="30" t="n">
        <x:f>IF(C127="","",IFERROR(INDEX('Facilities'!$AL$9:$AL$108,MATCH(C127,'Facilities'!$C$9:$C$108,0)),"Unavailable"))</x:f>
        <x:v>0.55</x:v>
      </x:c>
      <x:c r="AN127" s="30" t="n">
        <x:f>IF(C127="","",IFERROR(INDEX(Credit!$T$109:$T$208,MATCH(F127,Credit!$C$109:$C$208,0)),"Unavailable"))</x:f>
        <x:v>0.0019039999999999999</x:v>
      </x:c>
      <x:c r="AO127" s="23" t="n">
        <x:f>IF(C127="","",IF(AQ127&lt;&gt;"Ready","Unavailable",IF(C127="","",O127+P127+Q127*INDEX('Facilities'!$I$9:$I$108,MATCH(C127,'Facilities'!$C$9:$C$108,0)))))</x:f>
        <x:v>7.14686</x:v>
      </x:c>
      <x:c r="AP127" s="21" t="n">
        <x:f>IF(C127="","",IF(AQ127&lt;&gt;"Ready","Unavailable",IF(C127="","",AH127-U127)))</x:f>
        <x:v>6.0409729369326275</x:v>
      </x:c>
      <x:c r="AQ127" s="23" t="str">
        <x:f>IFERROR(IF(C127="","",IF(AND(INDEX('Facilities'!$AF$9:$AF$108,MATCH(C127,'Facilities'!$C$9:$C$108,0))="Ready",INDEX(Credit!$U$109:$U$208,MATCH(F127,Credit!$C$109:$C$208,0))="Ready",ISNUMBER(W127)),"Ready","Review inputs")),"Review inputs")</x:f>
        <x:v>Ready</x:v>
      </x:c>
      <x:c r="AR127" s="23" t="n">
        <x:f>IF(C127="","",IF(AQ127&lt;&gt;"Ready","Unavailable",IF(C127="","",IF(O127=0,0,(IF(AJ127&lt;=1,O127,O127*INDEX('Facilities'!$R$9:$R$108,MATCH(C127,'Facilities'!$C$9:$C$108,0)))+O127*INDEX('Facilities'!$T$9:$T$108,MATCH(C127,'Facilities'!$C$9:$C$108,0)))/12))))</x:f>
        <x:v>0.11630353333333332</x:v>
      </x:c>
    </x:row>
    <x:row r="128" ht="26" customHeight="1">
      <x:c r="A128" s="1"/>
      <x:c r="B128" s="1"/>
      <x:c r="C128" s="9" t="str">
        <x:f>IF(Facilities!C28="","",Facilities!C28)</x:f>
        <x:v>F020</x:v>
      </x:c>
      <x:c r="D128" s="3" t="n">
        <x:v>2</x:v>
      </x:c>
      <x:c r="E128" s="9" t="n">
        <x:f>Settings!$F$18+1</x:f>
        <x:v>2028</x:v>
      </x:c>
      <x:c r="F128" s="9" t="str">
        <x:f>IF(C128="","",IFERROR(INDEX('Facilities'!$D$9:$D$108,MATCH(C128,'Facilities'!$C$9:$C$108,0)),"Unavailable"))</x:f>
        <x:v>B010</x:v>
      </x:c>
      <x:c r="G128" s="21" t="n">
        <x:f>IF(C128="","",IFERROR(O28,"Unavailable"))</x:f>
        <x:v>4.997000000000001</x:v>
      </x:c>
      <x:c r="H128" s="21" t="n">
        <x:f>IF(C128="","",IFERROR(P28,"Unavailable"))</x:f>
        <x:v>0</x:v>
      </x:c>
      <x:c r="I128" s="21" t="n">
        <x:f>IF(C128="","",IFERROR(Q28,"Unavailable"))</x:f>
        <x:v>0.475</x:v>
      </x:c>
      <x:c r="J128" s="23" t="n">
        <x:f>IF(C128="","",IFERROR(IF(OR(H128&gt;0,AND(AC128&gt;=0,AC128&lt;D128),D128&gt;INDEX('Facilities'!$J$9:$J$108,MATCH(C128,'Facilities'!$C$9:$C$108,0))),0,I128*'Scenario Paths'!G81),"Unavailable"))</x:f>
        <x:v>0.038</x:v>
      </x:c>
      <x:c r="K128" s="23" t="n">
        <x:f>IF(C128="","",IFERROR(IF(OR(H128&gt;0,AND(AC128&gt;=0,AC128=D128)),0,IF(D128&gt;=INDEX('Facilities'!$J$9:$J$108,MATCH(C128,'Facilities'!$C$9:$C$108,0)),G128+J128,MIN(G128+J128,G128*INDEX('Facilities'!$R$9:$R$108,MATCH(C128,'Facilities'!$C$9:$C$108,0))))),"Unavailable"))</x:f>
        <x:v>0.5996400000000001</x:v>
      </x:c>
      <x:c r="L128" s="21" t="n">
        <x:f>IF(C128="","",IFERROR(IF(AND(AC128=D128,AC128&gt;0),MAX(0,G128+J128-K128),0),"Unavailable"))</x:f>
        <x:v>0</x:v>
      </x:c>
      <x:c r="M128" s="23" t="n">
        <x:f>IF(C128="","",IFERROR(IF(AND(AC128&gt;=0,D128&gt;=AC128+INDEX('Facilities'!$AK$9:$AK$108,MATCH(C128,'Facilities'!$C$9:$C$108,0))),(H128+L128)*AM128,0),"Unavailable"))</x:f>
        <x:v>0</x:v>
      </x:c>
      <x:c r="N128" s="23" t="n">
        <x:f>IF(C128="","",IFERROR(IF(AND(AC128&gt;=0,D128&gt;=AC128+INDEX('Facilities'!$AK$9:$AK$108,MATCH(C128,'Facilities'!$C$9:$C$108,0))),H128+L128-M128,0),"Unavailable"))</x:f>
        <x:v>0</x:v>
      </x:c>
      <x:c r="O128" s="21" t="n">
        <x:f>IF(C128="","",IFERROR(MAX(0,G128+J128-K128-L128),"Unavailable"))</x:f>
        <x:v>4.435360000000001</x:v>
      </x:c>
      <x:c r="P128" s="21" t="n">
        <x:f>IF(C128="","",IFERROR(MAX(0,H128+L128-M128-N128),"Unavailable"))</x:f>
        <x:v>0</x:v>
      </x:c>
      <x:c r="Q128" s="23" t="n">
        <x:f>IF(C128="","",IFERROR(IF(OR(D128&gt;=INDEX('Facilities'!$J$9:$J$108,MATCH(C128,'Facilities'!$C$9:$C$108,0)),AND(AC128&gt;=0,AC128&lt;=D128)),0,MAX(0,I128-J128)),"Unavailable"))</x:f>
        <x:v>0.437</x:v>
      </x:c>
      <x:c r="R128" s="30" t="n">
        <x:f>IF(C128="","",IFERROR(INDEX(Credit!$Q$109:$Q$208,MATCH(F128,Credit!$C$109:$C$208,0)),"Unavailable"))</x:f>
        <x:v>0.038011205029351916</x:v>
      </x:c>
      <x:c r="S128" s="30" t="n">
        <x:f>IF(C128="","",IFERROR(INDEX(Credit!$R$109:$R$208,MATCH(F128,Credit!$C$109:$C$208,0)),"Unavailable"))</x:f>
        <x:v>0.44106624000000005</x:v>
      </x:c>
      <x:c r="T128" s="23" t="n">
        <x:f>IF(C128="","",IFERROR(IF(P128&gt;0,3,IF(OR(INDEX('Facilities'!$AD$9:$AD$108,MATCH(C128,'Facilities'!$C$9:$C$108,0))=2,AND(R128&gt;=INDEX('Facilities'!$L$9:$L$108,MATCH(C128,'Facilities'!$C$9:$C$108,0))*Settings!$F$19,R128-INDEX('Facilities'!$L$9:$L$108,MATCH(C128,'Facilities'!$C$9:$C$108,0))&gt;=Settings!$F$20)),2,1)),"Unavailable"))</x:f>
        <x:v>2</x:v>
      </x:c>
      <x:c r="U128" s="23" t="n">
        <x:f>IF(C128="","",IF(AQ128&lt;&gt;"Ready","Unavailable",IF(C128="","",O128*(1-(1-S128)/(1+INDEX('Facilities'!$K$9:$K$108,MATCH(C128,'Facilities'!$C$9:$C$108,0)))^INDEX('Facilities'!$AK$9:$AK$108,MATCH(C128,'Facilities'!$C$9:$C$108,0)))*R128/(1+INDEX('Facilities'!$K$9:$K$108,MATCH(C128,'Facilities'!$C$9:$C$108,0)))*IF(ABS(1-(1-R128)*(1-INDEX('Facilities'!$R$9:$R$108,MATCH(C128,'Facilities'!$C$9:$C$108,0)))/(1+INDEX('Facilities'!$K$9:$K$108,MATCH(C128,'Facilities'!$C$9:$C$108,0))))&lt;0.000000001,IF(T128=1,MIN(1,AJ128),AJ128),(1-((1-R128)*(1-INDEX('Facilities'!$R$9:$R$108,MATCH(C128,'Facilities'!$C$9:$C$108,0)))/(1+INDEX('Facilities'!$K$9:$K$108,MATCH(C128,'Facilities'!$C$9:$C$108,0))))^IF(T128=1,MIN(1,AJ128),AJ128))/(1-(1-R128)*(1-INDEX('Facilities'!$R$9:$R$108,MATCH(C128,'Facilities'!$C$9:$C$108,0)))/(1+INDEX('Facilities'!$K$9:$K$108,MATCH(C128,'Facilities'!$C$9:$C$108,0)))))+AL128)))</x:f>
        <x:v>0.307736555058802</x:v>
      </x:c>
      <x:c r="V128" s="23" t="n">
        <x:f>IF(C128="","",IF(AQ128&lt;&gt;"Ready","Unavailable",IF(C128="","",Q128*INDEX('Facilities'!$I$9:$I$108,MATCH(C128,'Facilities'!$C$9:$C$108,0))*(1-(1-S128)/(1+INDEX('Facilities'!$K$9:$K$108,MATCH(C128,'Facilities'!$C$9:$C$108,0)))^INDEX('Facilities'!$AK$9:$AK$108,MATCH(C128,'Facilities'!$C$9:$C$108,0)))*R128/(1+INDEX('Facilities'!$K$9:$K$108,MATCH(C128,'Facilities'!$C$9:$C$108,0)))*IF(ABS(1-(1-R128)*(1-0)/(1+INDEX('Facilities'!$K$9:$K$108,MATCH(C128,'Facilities'!$C$9:$C$108,0))))&lt;0.000000001,IF(T128=1,MIN(1,AJ128),AJ128),(1-((1-R128)*(1-0)/(1+INDEX('Facilities'!$K$9:$K$108,MATCH(C128,'Facilities'!$C$9:$C$108,0))))^IF(T128=1,MIN(1,AJ128),AJ128))/(1-(1-R128)*(1-0)/(1+INDEX('Facilities'!$K$9:$K$108,MATCH(C128,'Facilities'!$C$9:$C$108,0))))))))</x:f>
        <x:v>0.020347761178161703</x:v>
      </x:c>
      <x:c r="W128" s="21" t="n">
        <x:f>IF(C128="","",IFERROR(U28,"Unavailable"))</x:f>
        <x:v>0.3262074073473466</x:v>
      </x:c>
      <x:c r="X128" s="21" t="n">
        <x:f>IF(C128="","",IFERROR(V28,"Unavailable"))</x:f>
        <x:v>0.02165156074184382</x:v>
      </x:c>
      <x:c r="Y128" s="21" t="n">
        <x:f>IF(C128="","",IF(AQ128&lt;&gt;"Ready","Unavailable",IF(C128="","",U128-W128+V128-X128+N128+AG128)))</x:f>
        <x:v>-0.01977465185222673</x:v>
      </x:c>
      <x:c r="Z128" s="23" t="n">
        <x:f>IF(C128="","",IF(AQ128&lt;&gt;"Ready","Unavailable",IF(C128="","",(G128+O128+L128)/2*INDEX('Facilities'!$T$9:$T$108,MATCH(C128,'Facilities'!$C$9:$C$108,0))+AG128)))</x:f>
        <x:v>0.44803710000000013</x:v>
      </x:c>
      <x:c r="AA128" s="23" t="n">
        <x:f>IF(C128="","",IF(AQ128&lt;&gt;"Ready","Unavailable",IF(C128="","",O128*(1-IF(INDEX('Facilities'!$AA$9:$AA$108,MATCH(C128,'Facilities'!$C$9:$C$108,0))=0,0,MIN(1,INDEX('Facilities'!$X$9:$X$108,MATCH(C128,'Facilities'!$C$9:$C$108,0))/INDEX('Facilities'!$AA$9:$AA$108,MATCH(C128,'Facilities'!$C$9:$C$108,0)))))*AF128+P128*(1-IF(INDEX('Facilities'!$AA$9:$AA$108,MATCH(C128,'Facilities'!$C$9:$C$108,0))=0,0,MIN(1,INDEX('Facilities'!$X$9:$X$108,MATCH(C128,'Facilities'!$C$9:$C$108,0))/INDEX('Facilities'!$AA$9:$AA$108,MATCH(C128,'Facilities'!$C$9:$C$108,0)))))*INDEX('Facilities'!$AJ$9:$AJ$108,MATCH(C128,'Facilities'!$C$9:$C$108,0))+Q128*INDEX('Facilities'!$AI$9:$AI$108,MATCH(C128,'Facilities'!$C$9:$C$108,0))*AF128)))</x:f>
        <x:v>4.763604820800002</x:v>
      </x:c>
      <x:c r="AB128" s="21" t="n">
        <x:f>IF(C128="","",O128+P128-AD128)</x:f>
        <x:v>-0.5616399999999997</x:v>
      </x:c>
      <x:c r="AC128" s="23" t="n">
        <x:f>IF(C128="","",IFERROR(IF(INDEX('Facilities'!$AD$9:$AD$108,MATCH(C128,'Facilities'!$C$9:$C$108,0))=3,0,IF(INDEX('Facilities'!$AN$9:$AN$108,MATCH(C128,'Facilities'!$C$9:$C$108,0))=0,-1,INDEX('Facilities'!$AN$9:$AN$108,MATCH(C128,'Facilities'!$C$9:$C$108,0)))),"Unavailable"))</x:f>
        <x:v>-1</x:v>
      </x:c>
      <x:c r="AD128" s="21" t="n">
        <x:f>IF(C128="","",IFERROR(G128+H128,"Unavailable"))</x:f>
        <x:v>4.997000000000001</x:v>
      </x:c>
      <x:c r="AE128" s="21" t="n">
        <x:f>IF(C128="","",IF(AQ128&lt;&gt;"Ready","Unavailable",IF(C128="","",O128+P128-AD128-J128+K128+M128+N128)))</x:f>
        <x:v>3.3306690738754696e-16</x:v>
      </x:c>
      <x:c r="AF128" s="30" t="n">
        <x:f>IF(C128="","",IFERROR(INDEX('Facilities'!$S$9:$S$108,MATCH(C128,'Facilities'!$C$9:$C$108,0))*'Scenario Paths'!G75,"Unavailable"))</x:f>
        <x:v>1.05</x:v>
      </x:c>
      <x:c r="AG128" s="23" t="n">
        <x:f>IF(C128="","",IF(AQ128&lt;&gt;"Ready","Unavailable",IF(C128="","",IF(H128&gt;0,MAX(0,H128-AK128)*((1+INDEX('Facilities'!$K$9:$K$108,MATCH(C128,'Facilities'!$C$9:$C$108,0)))^MIN(1,MAX(0,AC128+INDEX('Facilities'!$AK$9:$AK$108,MATCH(C128,'Facilities'!$C$9:$C$108,0))-D128+1))-1),0))))</x:f>
        <x:v>0</x:v>
      </x:c>
      <x:c r="AH128" s="21" t="n">
        <x:f>IF(C128="","",IF(AQ128&lt;&gt;"Ready","Unavailable",IF(C128="","",O128+P128)))</x:f>
        <x:v>4.435360000000001</x:v>
      </x:c>
      <x:c r="AI128" s="21" t="n">
        <x:f>IF(C128="","",IF(AQ128&lt;&gt;"Ready","Unavailable",IF(C128="","",Z128-Y128)))</x:f>
        <x:v>0.46781175185222684</x:v>
      </x:c>
      <x:c r="AJ128" s="23" t="n">
        <x:f>IF(C128="","",IFERROR(MAX(0,INDEX('Facilities'!$J$9:$J$108,MATCH(C128,'Facilities'!$C$9:$C$108,0))-D128),"Unavailable"))</x:f>
        <x:v>7</x:v>
      </x:c>
      <x:c r="AK128" s="21" t="n">
        <x:f>IF(C128="","",IFERROR(AL28,"Unavailable"))</x:f>
        <x:v>0</x:v>
      </x:c>
      <x:c r="AL128" s="23" t="n">
        <x:f>IF(C128="","",IFERROR(IF(P128&gt;0,P128*(1-AM128/(1+INDEX('Facilities'!$K$9:$K$108,MATCH(C128,'Facilities'!$C$9:$C$108,0)))^MAX(0,AC128+INDEX('Facilities'!$AK$9:$AK$108,MATCH(C128,'Facilities'!$C$9:$C$108,0))-D128)),0),"Unavailable"))</x:f>
        <x:v>0</x:v>
      </x:c>
      <x:c r="AM128" s="30" t="n">
        <x:f>IF(C128="","",IFERROR(INDEX('Facilities'!$AL$9:$AL$108,MATCH(C128,'Facilities'!$C$9:$C$108,0)),"Unavailable"))</x:f>
        <x:v>0.55</x:v>
      </x:c>
      <x:c r="AN128" s="30" t="n">
        <x:f>IF(C128="","",IFERROR(INDEX(Credit!$T$109:$T$208,MATCH(F128,Credit!$C$109:$C$208,0)),"Unavailable"))</x:f>
        <x:v>0.0019039999999999999</x:v>
      </x:c>
      <x:c r="AO128" s="23" t="n">
        <x:f>IF(C128="","",IF(AQ128&lt;&gt;"Ready","Unavailable",IF(C128="","",O128+P128+Q128*INDEX('Facilities'!$I$9:$I$108,MATCH(C128,'Facilities'!$C$9:$C$108,0)))))</x:f>
        <x:v>4.653860000000001</x:v>
      </x:c>
      <x:c r="AP128" s="21" t="n">
        <x:f>IF(C128="","",IF(AQ128&lt;&gt;"Ready","Unavailable",IF(C128="","",AH128-U128)))</x:f>
        <x:v>4.127623444941199</x:v>
      </x:c>
      <x:c r="AQ128" s="23" t="str">
        <x:f>IFERROR(IF(C128="","",IF(AND(INDEX('Facilities'!$AF$9:$AF$108,MATCH(C128,'Facilities'!$C$9:$C$108,0))="Ready",INDEX(Credit!$U$109:$U$208,MATCH(F128,Credit!$C$109:$C$208,0))="Ready",ISNUMBER(W128)),"Ready","Review inputs")),"Review inputs")</x:f>
        <x:v>Ready</x:v>
      </x:c>
      <x:c r="AR128" s="23" t="n">
        <x:f>IF(C128="","",IF(AQ128&lt;&gt;"Ready","Unavailable",IF(C128="","",IF(O128=0,0,(IF(AJ128&lt;=1,O128,O128*INDEX('Facilities'!$R$9:$R$108,MATCH(C128,'Facilities'!$C$9:$C$108,0)))+O128*INDEX('Facilities'!$T$9:$T$108,MATCH(C128,'Facilities'!$C$9:$C$108,0)))/12))))</x:f>
        <x:v>0.07946686666666669</x:v>
      </x:c>
    </x:row>
    <x:row r="129" ht="26" customHeight="1">
      <x:c r="A129" s="1"/>
      <x:c r="B129" s="1"/>
      <x:c r="C129" s="9" t="str">
        <x:f>IF(Facilities!C29="","",Facilities!C29)</x:f>
        <x:v>F021</x:v>
      </x:c>
      <x:c r="D129" s="3" t="n">
        <x:v>2</x:v>
      </x:c>
      <x:c r="E129" s="9" t="n">
        <x:f>Settings!$F$18+1</x:f>
        <x:v>2028</x:v>
      </x:c>
      <x:c r="F129" s="9" t="str">
        <x:f>IF(C129="","",IFERROR(INDEX('Facilities'!$D$9:$D$108,MATCH(C129,'Facilities'!$C$9:$C$108,0)),"Unavailable"))</x:f>
        <x:v>B011</x:v>
      </x:c>
      <x:c r="G129" s="21" t="n">
        <x:f>IF(C129="","",IFERROR(O29,"Unavailable"))</x:f>
        <x:v>7.555</x:v>
      </x:c>
      <x:c r="H129" s="21" t="n">
        <x:f>IF(C129="","",IFERROR(P29,"Unavailable"))</x:f>
        <x:v>0</x:v>
      </x:c>
      <x:c r="I129" s="21" t="n">
        <x:f>IF(C129="","",IFERROR(Q29,"Unavailable"))</x:f>
        <x:v>1.425</x:v>
      </x:c>
      <x:c r="J129" s="23" t="n">
        <x:f>IF(C129="","",IFERROR(IF(OR(H129&gt;0,AND(AC129&gt;=0,AC129&lt;D129),D129&gt;INDEX('Facilities'!$J$9:$J$108,MATCH(C129,'Facilities'!$C$9:$C$108,0))),0,I129*'Scenario Paths'!G81),"Unavailable"))</x:f>
        <x:v>0.114</x:v>
      </x:c>
      <x:c r="K129" s="23" t="n">
        <x:f>IF(C129="","",IFERROR(IF(OR(H129&gt;0,AND(AC129&gt;=0,AC129=D129)),0,IF(D129&gt;=INDEX('Facilities'!$J$9:$J$108,MATCH(C129,'Facilities'!$C$9:$C$108,0)),G129+J129,MIN(G129+J129,G129*INDEX('Facilities'!$R$9:$R$108,MATCH(C129,'Facilities'!$C$9:$C$108,0))))),"Unavailable"))</x:f>
        <x:v>0.9066</x:v>
      </x:c>
      <x:c r="L129" s="21" t="n">
        <x:f>IF(C129="","",IFERROR(IF(AND(AC129=D129,AC129&gt;0),MAX(0,G129+J129-K129),0),"Unavailable"))</x:f>
        <x:v>0</x:v>
      </x:c>
      <x:c r="M129" s="23" t="n">
        <x:f>IF(C129="","",IFERROR(IF(AND(AC129&gt;=0,D129&gt;=AC129+INDEX('Facilities'!$AK$9:$AK$108,MATCH(C129,'Facilities'!$C$9:$C$108,0))),(H129+L129)*AM129,0),"Unavailable"))</x:f>
        <x:v>0</x:v>
      </x:c>
      <x:c r="N129" s="23" t="n">
        <x:f>IF(C129="","",IFERROR(IF(AND(AC129&gt;=0,D129&gt;=AC129+INDEX('Facilities'!$AK$9:$AK$108,MATCH(C129,'Facilities'!$C$9:$C$108,0))),H129+L129-M129,0),"Unavailable"))</x:f>
        <x:v>0</x:v>
      </x:c>
      <x:c r="O129" s="21" t="n">
        <x:f>IF(C129="","",IFERROR(MAX(0,G129+J129-K129-L129),"Unavailable"))</x:f>
        <x:v>6.7623999999999995</x:v>
      </x:c>
      <x:c r="P129" s="21" t="n">
        <x:f>IF(C129="","",IFERROR(MAX(0,H129+L129-M129-N129),"Unavailable"))</x:f>
        <x:v>0</x:v>
      </x:c>
      <x:c r="Q129" s="23" t="n">
        <x:f>IF(C129="","",IFERROR(IF(OR(D129&gt;=INDEX('Facilities'!$J$9:$J$108,MATCH(C129,'Facilities'!$C$9:$C$108,0)),AND(AC129&gt;=0,AC129&lt;=D129)),0,MAX(0,I129-J129)),"Unavailable"))</x:f>
        <x:v>1.311</x:v>
      </x:c>
      <x:c r="R129" s="30" t="n">
        <x:f>IF(C129="","",IFERROR(INDEX(Credit!$Q$109:$Q$208,MATCH(F129,Credit!$C$109:$C$208,0)),"Unavailable"))</x:f>
        <x:v>0.045963007855132174</x:v>
      </x:c>
      <x:c r="S129" s="30" t="n">
        <x:f>IF(C129="","",IFERROR(INDEX(Credit!$R$109:$R$208,MATCH(F129,Credit!$C$109:$C$208,0)),"Unavailable"))</x:f>
        <x:v>0.28057600000000005</x:v>
      </x:c>
      <x:c r="T129" s="23" t="n">
        <x:f>IF(C129="","",IFERROR(IF(P129&gt;0,3,IF(OR(INDEX('Facilities'!$AD$9:$AD$108,MATCH(C129,'Facilities'!$C$9:$C$108,0))=2,AND(R129&gt;=INDEX('Facilities'!$L$9:$L$108,MATCH(C129,'Facilities'!$C$9:$C$108,0))*Settings!$F$19,R129-INDEX('Facilities'!$L$9:$L$108,MATCH(C129,'Facilities'!$C$9:$C$108,0))&gt;=Settings!$F$20)),2,1)),"Unavailable"))</x:f>
        <x:v>1</x:v>
      </x:c>
      <x:c r="U129" s="23" t="n">
        <x:f>IF(C129="","",IF(AQ129&lt;&gt;"Ready","Unavailable",IF(C129="","",O129*(1-(1-S129)/(1+INDEX('Facilities'!$K$9:$K$108,MATCH(C129,'Facilities'!$C$9:$C$108,0)))^INDEX('Facilities'!$AK$9:$AK$108,MATCH(C129,'Facilities'!$C$9:$C$108,0)))*R129/(1+INDEX('Facilities'!$K$9:$K$108,MATCH(C129,'Facilities'!$C$9:$C$108,0)))*IF(ABS(1-(1-R129)*(1-INDEX('Facilities'!$R$9:$R$108,MATCH(C129,'Facilities'!$C$9:$C$108,0)))/(1+INDEX('Facilities'!$K$9:$K$108,MATCH(C129,'Facilities'!$C$9:$C$108,0))))&lt;0.000000001,IF(T129=1,MIN(1,AJ129),AJ129),(1-((1-R129)*(1-INDEX('Facilities'!$R$9:$R$108,MATCH(C129,'Facilities'!$C$9:$C$108,0)))/(1+INDEX('Facilities'!$K$9:$K$108,MATCH(C129,'Facilities'!$C$9:$C$108,0))))^IF(T129=1,MIN(1,AJ129),AJ129))/(1-(1-R129)*(1-INDEX('Facilities'!$R$9:$R$108,MATCH(C129,'Facilities'!$C$9:$C$108,0)))/(1+INDEX('Facilities'!$K$9:$K$108,MATCH(C129,'Facilities'!$C$9:$C$108,0)))))+AL129)))</x:f>
        <x:v>0.11028646986372544</x:v>
      </x:c>
      <x:c r="V129" s="23" t="n">
        <x:f>IF(C129="","",IF(AQ129&lt;&gt;"Ready","Unavailable",IF(C129="","",Q129*INDEX('Facilities'!$I$9:$I$108,MATCH(C129,'Facilities'!$C$9:$C$108,0))*(1-(1-S129)/(1+INDEX('Facilities'!$K$9:$K$108,MATCH(C129,'Facilities'!$C$9:$C$108,0)))^INDEX('Facilities'!$AK$9:$AK$108,MATCH(C129,'Facilities'!$C$9:$C$108,0)))*R129/(1+INDEX('Facilities'!$K$9:$K$108,MATCH(C129,'Facilities'!$C$9:$C$108,0)))*IF(ABS(1-(1-R129)*(1-0)/(1+INDEX('Facilities'!$K$9:$K$108,MATCH(C129,'Facilities'!$C$9:$C$108,0))))&lt;0.000000001,IF(T129=1,MIN(1,AJ129),AJ129),(1-((1-R129)*(1-0)/(1+INDEX('Facilities'!$K$9:$K$108,MATCH(C129,'Facilities'!$C$9:$C$108,0))))^IF(T129=1,MIN(1,AJ129),AJ129))/(1-(1-R129)*(1-0)/(1+INDEX('Facilities'!$K$9:$K$108,MATCH(C129,'Facilities'!$C$9:$C$108,0))))))))</x:f>
        <x:v>0.010690402962804926</x:v>
      </x:c>
      <x:c r="W129" s="21" t="n">
        <x:f>IF(C129="","",IFERROR(U29,"Unavailable"))</x:f>
        <x:v>0.10907282994943356</x:v>
      </x:c>
      <x:c r="X129" s="21" t="n">
        <x:f>IF(C129="","",IFERROR(V29,"Unavailable"))</x:f>
        <x:v>0.010286484624615672</x:v>
      </x:c>
      <x:c r="Y129" s="21" t="n">
        <x:f>IF(C129="","",IF(AQ129&lt;&gt;"Ready","Unavailable",IF(C129="","",U129-W129+V129-X129+N129+AG129)))</x:f>
        <x:v>0.0016175582524811348</x:v>
      </x:c>
      <x:c r="Z129" s="23" t="n">
        <x:f>IF(C129="","",IF(AQ129&lt;&gt;"Ready","Unavailable",IF(C129="","",(G129+O129+L129)/2*INDEX('Facilities'!$T$9:$T$108,MATCH(C129,'Facilities'!$C$9:$C$108,0))+AG129)))</x:f>
        <x:v>0.6800765</x:v>
      </x:c>
      <x:c r="AA129" s="23" t="n">
        <x:f>IF(C129="","",IF(AQ129&lt;&gt;"Ready","Unavailable",IF(C129="","",O129*(1-IF(INDEX('Facilities'!$AA$9:$AA$108,MATCH(C129,'Facilities'!$C$9:$C$108,0))=0,0,MIN(1,INDEX('Facilities'!$X$9:$X$108,MATCH(C129,'Facilities'!$C$9:$C$108,0))/INDEX('Facilities'!$AA$9:$AA$108,MATCH(C129,'Facilities'!$C$9:$C$108,0)))))*AF129+P129*(1-IF(INDEX('Facilities'!$AA$9:$AA$108,MATCH(C129,'Facilities'!$C$9:$C$108,0))=0,0,MIN(1,INDEX('Facilities'!$X$9:$X$108,MATCH(C129,'Facilities'!$C$9:$C$108,0))/INDEX('Facilities'!$AA$9:$AA$108,MATCH(C129,'Facilities'!$C$9:$C$108,0)))))*INDEX('Facilities'!$AJ$9:$AJ$108,MATCH(C129,'Facilities'!$C$9:$C$108,0))+Q129*INDEX('Facilities'!$AI$9:$AI$108,MATCH(C129,'Facilities'!$C$9:$C$108,0))*AF129)))</x:f>
        <x:v>7.645648516800001</x:v>
      </x:c>
      <x:c r="AB129" s="21" t="n">
        <x:f>IF(C129="","",O129+P129-AD129)</x:f>
        <x:v>-0.7926000000000002</x:v>
      </x:c>
      <x:c r="AC129" s="23" t="n">
        <x:f>IF(C129="","",IFERROR(IF(INDEX('Facilities'!$AD$9:$AD$108,MATCH(C129,'Facilities'!$C$9:$C$108,0))=3,0,IF(INDEX('Facilities'!$AN$9:$AN$108,MATCH(C129,'Facilities'!$C$9:$C$108,0))=0,-1,INDEX('Facilities'!$AN$9:$AN$108,MATCH(C129,'Facilities'!$C$9:$C$108,0)))),"Unavailable"))</x:f>
        <x:v>-1</x:v>
      </x:c>
      <x:c r="AD129" s="21" t="n">
        <x:f>IF(C129="","",IFERROR(G129+H129,"Unavailable"))</x:f>
        <x:v>7.555</x:v>
      </x:c>
      <x:c r="AE129" s="21" t="n">
        <x:f>IF(C129="","",IF(AQ129&lt;&gt;"Ready","Unavailable",IF(C129="","",O129+P129-AD129-J129+K129+M129+N129)))</x:f>
        <x:v>-2.220446049250313e-16</x:v>
      </x:c>
      <x:c r="AF129" s="30" t="n">
        <x:f>IF(C129="","",IFERROR(INDEX('Facilities'!$S$9:$S$108,MATCH(C129,'Facilities'!$C$9:$C$108,0))*'Scenario Paths'!G75,"Unavailable"))</x:f>
        <x:v>1.05</x:v>
      </x:c>
      <x:c r="AG129" s="23" t="n">
        <x:f>IF(C129="","",IF(AQ129&lt;&gt;"Ready","Unavailable",IF(C129="","",IF(H129&gt;0,MAX(0,H129-AK129)*((1+INDEX('Facilities'!$K$9:$K$108,MATCH(C129,'Facilities'!$C$9:$C$108,0)))^MIN(1,MAX(0,AC129+INDEX('Facilities'!$AK$9:$AK$108,MATCH(C129,'Facilities'!$C$9:$C$108,0))-D129+1))-1),0))))</x:f>
        <x:v>0</x:v>
      </x:c>
      <x:c r="AH129" s="21" t="n">
        <x:f>IF(C129="","",IF(AQ129&lt;&gt;"Ready","Unavailable",IF(C129="","",O129+P129)))</x:f>
        <x:v>6.7623999999999995</x:v>
      </x:c>
      <x:c r="AI129" s="21" t="n">
        <x:f>IF(C129="","",IF(AQ129&lt;&gt;"Ready","Unavailable",IF(C129="","",Z129-Y129)))</x:f>
        <x:v>0.6784589417475189</x:v>
      </x:c>
      <x:c r="AJ129" s="23" t="n">
        <x:f>IF(C129="","",IFERROR(MAX(0,INDEX('Facilities'!$J$9:$J$108,MATCH(C129,'Facilities'!$C$9:$C$108,0))-D129),"Unavailable"))</x:f>
        <x:v>3</x:v>
      </x:c>
      <x:c r="AK129" s="21" t="n">
        <x:f>IF(C129="","",IFERROR(AL29,"Unavailable"))</x:f>
        <x:v>0</x:v>
      </x:c>
      <x:c r="AL129" s="23" t="n">
        <x:f>IF(C129="","",IFERROR(IF(P129&gt;0,P129*(1-AM129/(1+INDEX('Facilities'!$K$9:$K$108,MATCH(C129,'Facilities'!$C$9:$C$108,0)))^MAX(0,AC129+INDEX('Facilities'!$AK$9:$AK$108,MATCH(C129,'Facilities'!$C$9:$C$108,0))-D129)),0),"Unavailable"))</x:f>
        <x:v>0</x:v>
      </x:c>
      <x:c r="AM129" s="30" t="n">
        <x:f>IF(C129="","",IFERROR(INDEX('Facilities'!$AL$9:$AL$108,MATCH(C129,'Facilities'!$C$9:$C$108,0)),"Unavailable"))</x:f>
        <x:v>0.55</x:v>
      </x:c>
      <x:c r="AN129" s="30" t="n">
        <x:f>IF(C129="","",IFERROR(INDEX(Credit!$T$109:$T$208,MATCH(F129,Credit!$C$109:$C$208,0)),"Unavailable"))</x:f>
        <x:v>0.0008000000000000001</x:v>
      </x:c>
      <x:c r="AO129" s="23" t="n">
        <x:f>IF(C129="","",IF(AQ129&lt;&gt;"Ready","Unavailable",IF(C129="","",O129+P129+Q129*INDEX('Facilities'!$I$9:$I$108,MATCH(C129,'Facilities'!$C$9:$C$108,0)))))</x:f>
        <x:v>7.4178999999999995</x:v>
      </x:c>
      <x:c r="AP129" s="21" t="n">
        <x:f>IF(C129="","",IF(AQ129&lt;&gt;"Ready","Unavailable",IF(C129="","",AH129-U129)))</x:f>
        <x:v>6.652113530136274</x:v>
      </x:c>
      <x:c r="AQ129" s="23" t="str">
        <x:f>IFERROR(IF(C129="","",IF(AND(INDEX('Facilities'!$AF$9:$AF$108,MATCH(C129,'Facilities'!$C$9:$C$108,0))="Ready",INDEX(Credit!$U$109:$U$208,MATCH(F129,Credit!$C$109:$C$208,0))="Ready",ISNUMBER(W129)),"Ready","Review inputs")),"Review inputs")</x:f>
        <x:v>Ready</x:v>
      </x:c>
      <x:c r="AR129" s="23" t="n">
        <x:f>IF(C129="","",IF(AQ129&lt;&gt;"Ready","Unavailable",IF(C129="","",IF(O129=0,0,(IF(AJ129&lt;=1,O129,O129*INDEX('Facilities'!$R$9:$R$108,MATCH(C129,'Facilities'!$C$9:$C$108,0)))+O129*INDEX('Facilities'!$T$9:$T$108,MATCH(C129,'Facilities'!$C$9:$C$108,0)))/12))))</x:f>
        <x:v>0.12115966666666667</x:v>
      </x:c>
    </x:row>
    <x:row r="130" ht="26" customHeight="1">
      <x:c r="A130" s="1"/>
      <x:c r="B130" s="1"/>
      <x:c r="C130" s="9" t="str">
        <x:f>IF(Facilities!C30="","",Facilities!C30)</x:f>
        <x:v>F022</x:v>
      </x:c>
      <x:c r="D130" s="3" t="n">
        <x:v>2</x:v>
      </x:c>
      <x:c r="E130" s="9" t="n">
        <x:f>Settings!$F$18+1</x:f>
        <x:v>2028</x:v>
      </x:c>
      <x:c r="F130" s="9" t="str">
        <x:f>IF(C130="","",IFERROR(INDEX('Facilities'!$D$9:$D$108,MATCH(C130,'Facilities'!$C$9:$C$108,0)),"Unavailable"))</x:f>
        <x:v>B011</x:v>
      </x:c>
      <x:c r="G130" s="21" t="n">
        <x:f>IF(C130="","",IFERROR(O30,"Unavailable"))</x:f>
        <x:v>5.305000000000001</x:v>
      </x:c>
      <x:c r="H130" s="21" t="n">
        <x:f>IF(C130="","",IFERROR(P30,"Unavailable"))</x:f>
        <x:v>0</x:v>
      </x:c>
      <x:c r="I130" s="21" t="n">
        <x:f>IF(C130="","",IFERROR(Q30,"Unavailable"))</x:f>
        <x:v>0.475</x:v>
      </x:c>
      <x:c r="J130" s="23" t="n">
        <x:f>IF(C130="","",IFERROR(IF(OR(H130&gt;0,AND(AC130&gt;=0,AC130&lt;D130),D130&gt;INDEX('Facilities'!$J$9:$J$108,MATCH(C130,'Facilities'!$C$9:$C$108,0))),0,I130*'Scenario Paths'!G81),"Unavailable"))</x:f>
        <x:v>0.038</x:v>
      </x:c>
      <x:c r="K130" s="23" t="n">
        <x:f>IF(C130="","",IFERROR(IF(OR(H130&gt;0,AND(AC130&gt;=0,AC130=D130)),0,IF(D130&gt;=INDEX('Facilities'!$J$9:$J$108,MATCH(C130,'Facilities'!$C$9:$C$108,0)),G130+J130,MIN(G130+J130,G130*INDEX('Facilities'!$R$9:$R$108,MATCH(C130,'Facilities'!$C$9:$C$108,0))))),"Unavailable"))</x:f>
        <x:v>0.6366</x:v>
      </x:c>
      <x:c r="L130" s="21" t="n">
        <x:f>IF(C130="","",IFERROR(IF(AND(AC130=D130,AC130&gt;0),MAX(0,G130+J130-K130),0),"Unavailable"))</x:f>
        <x:v>0</x:v>
      </x:c>
      <x:c r="M130" s="23" t="n">
        <x:f>IF(C130="","",IFERROR(IF(AND(AC130&gt;=0,D130&gt;=AC130+INDEX('Facilities'!$AK$9:$AK$108,MATCH(C130,'Facilities'!$C$9:$C$108,0))),(H130+L130)*AM130,0),"Unavailable"))</x:f>
        <x:v>0</x:v>
      </x:c>
      <x:c r="N130" s="23" t="n">
        <x:f>IF(C130="","",IFERROR(IF(AND(AC130&gt;=0,D130&gt;=AC130+INDEX('Facilities'!$AK$9:$AK$108,MATCH(C130,'Facilities'!$C$9:$C$108,0))),H130+L130-M130,0),"Unavailable"))</x:f>
        <x:v>0</x:v>
      </x:c>
      <x:c r="O130" s="21" t="n">
        <x:f>IF(C130="","",IFERROR(MAX(0,G130+J130-K130-L130),"Unavailable"))</x:f>
        <x:v>4.7064</x:v>
      </x:c>
      <x:c r="P130" s="21" t="n">
        <x:f>IF(C130="","",IFERROR(MAX(0,H130+L130-M130-N130),"Unavailable"))</x:f>
        <x:v>0</x:v>
      </x:c>
      <x:c r="Q130" s="23" t="n">
        <x:f>IF(C130="","",IFERROR(IF(OR(D130&gt;=INDEX('Facilities'!$J$9:$J$108,MATCH(C130,'Facilities'!$C$9:$C$108,0)),AND(AC130&gt;=0,AC130&lt;=D130)),0,MAX(0,I130-J130)),"Unavailable"))</x:f>
        <x:v>0.437</x:v>
      </x:c>
      <x:c r="R130" s="30" t="n">
        <x:f>IF(C130="","",IFERROR(INDEX(Credit!$Q$109:$Q$208,MATCH(F130,Credit!$C$109:$C$208,0)),"Unavailable"))</x:f>
        <x:v>0.045963007855132174</x:v>
      </x:c>
      <x:c r="S130" s="30" t="n">
        <x:f>IF(C130="","",IFERROR(INDEX(Credit!$R$109:$R$208,MATCH(F130,Credit!$C$109:$C$208,0)),"Unavailable"))</x:f>
        <x:v>0.28057600000000005</x:v>
      </x:c>
      <x:c r="T130" s="23" t="n">
        <x:f>IF(C130="","",IFERROR(IF(P130&gt;0,3,IF(OR(INDEX('Facilities'!$AD$9:$AD$108,MATCH(C130,'Facilities'!$C$9:$C$108,0))=2,AND(R130&gt;=INDEX('Facilities'!$L$9:$L$108,MATCH(C130,'Facilities'!$C$9:$C$108,0))*Settings!$F$19,R130-INDEX('Facilities'!$L$9:$L$108,MATCH(C130,'Facilities'!$C$9:$C$108,0))&gt;=Settings!$F$20)),2,1)),"Unavailable"))</x:f>
        <x:v>1</x:v>
      </x:c>
      <x:c r="U130" s="23" t="n">
        <x:f>IF(C130="","",IF(AQ130&lt;&gt;"Ready","Unavailable",IF(C130="","",O130*(1-(1-S130)/(1+INDEX('Facilities'!$K$9:$K$108,MATCH(C130,'Facilities'!$C$9:$C$108,0)))^INDEX('Facilities'!$AK$9:$AK$108,MATCH(C130,'Facilities'!$C$9:$C$108,0)))*R130/(1+INDEX('Facilities'!$K$9:$K$108,MATCH(C130,'Facilities'!$C$9:$C$108,0)))*IF(ABS(1-(1-R130)*(1-INDEX('Facilities'!$R$9:$R$108,MATCH(C130,'Facilities'!$C$9:$C$108,0)))/(1+INDEX('Facilities'!$K$9:$K$108,MATCH(C130,'Facilities'!$C$9:$C$108,0))))&lt;0.000000001,IF(T130=1,MIN(1,AJ130),AJ130),(1-((1-R130)*(1-INDEX('Facilities'!$R$9:$R$108,MATCH(C130,'Facilities'!$C$9:$C$108,0)))/(1+INDEX('Facilities'!$K$9:$K$108,MATCH(C130,'Facilities'!$C$9:$C$108,0))))^IF(T130=1,MIN(1,AJ130),AJ130))/(1-(1-R130)*(1-INDEX('Facilities'!$R$9:$R$108,MATCH(C130,'Facilities'!$C$9:$C$108,0)))/(1+INDEX('Facilities'!$K$9:$K$108,MATCH(C130,'Facilities'!$C$9:$C$108,0)))))+AL130)))</x:f>
        <x:v>0.07675562548305889</x:v>
      </x:c>
      <x:c r="V130" s="23" t="n">
        <x:f>IF(C130="","",IF(AQ130&lt;&gt;"Ready","Unavailable",IF(C130="","",Q130*INDEX('Facilities'!$I$9:$I$108,MATCH(C130,'Facilities'!$C$9:$C$108,0))*(1-(1-S130)/(1+INDEX('Facilities'!$K$9:$K$108,MATCH(C130,'Facilities'!$C$9:$C$108,0)))^INDEX('Facilities'!$AK$9:$AK$108,MATCH(C130,'Facilities'!$C$9:$C$108,0)))*R130/(1+INDEX('Facilities'!$K$9:$K$108,MATCH(C130,'Facilities'!$C$9:$C$108,0)))*IF(ABS(1-(1-R130)*(1-0)/(1+INDEX('Facilities'!$K$9:$K$108,MATCH(C130,'Facilities'!$C$9:$C$108,0))))&lt;0.000000001,IF(T130=1,MIN(1,AJ130),AJ130),(1-((1-R130)*(1-0)/(1+INDEX('Facilities'!$K$9:$K$108,MATCH(C130,'Facilities'!$C$9:$C$108,0))))^IF(T130=1,MIN(1,AJ130),AJ130))/(1-(1-R130)*(1-0)/(1+INDEX('Facilities'!$K$9:$K$108,MATCH(C130,'Facilities'!$C$9:$C$108,0))))))))</x:f>
        <x:v>0.0035634676542683087</x:v>
      </x:c>
      <x:c r="W130" s="21" t="n">
        <x:f>IF(C130="","",IFERROR(U30,"Unavailable"))</x:f>
        <x:v>0.07658919429275249</x:v>
      </x:c>
      <x:c r="X130" s="21" t="n">
        <x:f>IF(C130="","",IFERROR(V30,"Unavailable"))</x:f>
        <x:v>0.003428828208205224</x:v>
      </x:c>
      <x:c r="Y130" s="21" t="n">
        <x:f>IF(C130="","",IF(AQ130&lt;&gt;"Ready","Unavailable",IF(C130="","",U130-W130+V130-X130+N130+AG130)))</x:f>
        <x:v>0.00030107063636948886</x:v>
      </x:c>
      <x:c r="Z130" s="23" t="n">
        <x:f>IF(C130="","",IF(AQ130&lt;&gt;"Ready","Unavailable",IF(C130="","",(G130+O130+L130)/2*INDEX('Facilities'!$T$9:$T$108,MATCH(C130,'Facilities'!$C$9:$C$108,0))+AG130)))</x:f>
        <x:v>0.4755415000000001</x:v>
      </x:c>
      <x:c r="AA130" s="23" t="n">
        <x:f>IF(C130="","",IF(AQ130&lt;&gt;"Ready","Unavailable",IF(C130="","",O130*(1-IF(INDEX('Facilities'!$AA$9:$AA$108,MATCH(C130,'Facilities'!$C$9:$C$108,0))=0,0,MIN(1,INDEX('Facilities'!$X$9:$X$108,MATCH(C130,'Facilities'!$C$9:$C$108,0))/INDEX('Facilities'!$AA$9:$AA$108,MATCH(C130,'Facilities'!$C$9:$C$108,0)))))*AF130+P130*(1-IF(INDEX('Facilities'!$AA$9:$AA$108,MATCH(C130,'Facilities'!$C$9:$C$108,0))=0,0,MIN(1,INDEX('Facilities'!$X$9:$X$108,MATCH(C130,'Facilities'!$C$9:$C$108,0))/INDEX('Facilities'!$AA$9:$AA$108,MATCH(C130,'Facilities'!$C$9:$C$108,0)))))*INDEX('Facilities'!$AJ$9:$AJ$108,MATCH(C130,'Facilities'!$C$9:$C$108,0))+Q130*INDEX('Facilities'!$AI$9:$AI$108,MATCH(C130,'Facilities'!$C$9:$C$108,0))*AF130)))</x:f>
        <x:v>5.0715199248000005</x:v>
      </x:c>
      <x:c r="AB130" s="21" t="n">
        <x:f>IF(C130="","",O130+P130-AD130)</x:f>
        <x:v>-0.5986000000000002</x:v>
      </x:c>
      <x:c r="AC130" s="23" t="n">
        <x:f>IF(C130="","",IFERROR(IF(INDEX('Facilities'!$AD$9:$AD$108,MATCH(C130,'Facilities'!$C$9:$C$108,0))=3,0,IF(INDEX('Facilities'!$AN$9:$AN$108,MATCH(C130,'Facilities'!$C$9:$C$108,0))=0,-1,INDEX('Facilities'!$AN$9:$AN$108,MATCH(C130,'Facilities'!$C$9:$C$108,0)))),"Unavailable"))</x:f>
        <x:v>-1</x:v>
      </x:c>
      <x:c r="AD130" s="21" t="n">
        <x:f>IF(C130="","",IFERROR(G130+H130,"Unavailable"))</x:f>
        <x:v>5.305000000000001</x:v>
      </x:c>
      <x:c r="AE130" s="21" t="n">
        <x:f>IF(C130="","",IF(AQ130&lt;&gt;"Ready","Unavailable",IF(C130="","",O130+P130-AD130-J130+K130+M130+N130)))</x:f>
        <x:v>-2.220446049250313e-16</x:v>
      </x:c>
      <x:c r="AF130" s="30" t="n">
        <x:f>IF(C130="","",IFERROR(INDEX('Facilities'!$S$9:$S$108,MATCH(C130,'Facilities'!$C$9:$C$108,0))*'Scenario Paths'!G75,"Unavailable"))</x:f>
        <x:v>1.05</x:v>
      </x:c>
      <x:c r="AG130" s="23" t="n">
        <x:f>IF(C130="","",IF(AQ130&lt;&gt;"Ready","Unavailable",IF(C130="","",IF(H130&gt;0,MAX(0,H130-AK130)*((1+INDEX('Facilities'!$K$9:$K$108,MATCH(C130,'Facilities'!$C$9:$C$108,0)))^MIN(1,MAX(0,AC130+INDEX('Facilities'!$AK$9:$AK$108,MATCH(C130,'Facilities'!$C$9:$C$108,0))-D130+1))-1),0))))</x:f>
        <x:v>0</x:v>
      </x:c>
      <x:c r="AH130" s="21" t="n">
        <x:f>IF(C130="","",IF(AQ130&lt;&gt;"Ready","Unavailable",IF(C130="","",O130+P130)))</x:f>
        <x:v>4.7064</x:v>
      </x:c>
      <x:c r="AI130" s="21" t="n">
        <x:f>IF(C130="","",IF(AQ130&lt;&gt;"Ready","Unavailable",IF(C130="","",Z130-Y130)))</x:f>
        <x:v>0.47524042936363065</x:v>
      </x:c>
      <x:c r="AJ130" s="23" t="n">
        <x:f>IF(C130="","",IFERROR(MAX(0,INDEX('Facilities'!$J$9:$J$108,MATCH(C130,'Facilities'!$C$9:$C$108,0))-D130),"Unavailable"))</x:f>
        <x:v>3</x:v>
      </x:c>
      <x:c r="AK130" s="21" t="n">
        <x:f>IF(C130="","",IFERROR(AL30,"Unavailable"))</x:f>
        <x:v>0</x:v>
      </x:c>
      <x:c r="AL130" s="23" t="n">
        <x:f>IF(C130="","",IFERROR(IF(P130&gt;0,P130*(1-AM130/(1+INDEX('Facilities'!$K$9:$K$108,MATCH(C130,'Facilities'!$C$9:$C$108,0)))^MAX(0,AC130+INDEX('Facilities'!$AK$9:$AK$108,MATCH(C130,'Facilities'!$C$9:$C$108,0))-D130)),0),"Unavailable"))</x:f>
        <x:v>0</x:v>
      </x:c>
      <x:c r="AM130" s="30" t="n">
        <x:f>IF(C130="","",IFERROR(INDEX('Facilities'!$AL$9:$AL$108,MATCH(C130,'Facilities'!$C$9:$C$108,0)),"Unavailable"))</x:f>
        <x:v>0.55</x:v>
      </x:c>
      <x:c r="AN130" s="30" t="n">
        <x:f>IF(C130="","",IFERROR(INDEX(Credit!$T$109:$T$208,MATCH(F130,Credit!$C$109:$C$208,0)),"Unavailable"))</x:f>
        <x:v>0.0008000000000000001</x:v>
      </x:c>
      <x:c r="AO130" s="23" t="n">
        <x:f>IF(C130="","",IF(AQ130&lt;&gt;"Ready","Unavailable",IF(C130="","",O130+P130+Q130*INDEX('Facilities'!$I$9:$I$108,MATCH(C130,'Facilities'!$C$9:$C$108,0)))))</x:f>
        <x:v>4.9249</x:v>
      </x:c>
      <x:c r="AP130" s="21" t="n">
        <x:f>IF(C130="","",IF(AQ130&lt;&gt;"Ready","Unavailable",IF(C130="","",AH130-U130)))</x:f>
        <x:v>4.629644374516942</x:v>
      </x:c>
      <x:c r="AQ130" s="23" t="str">
        <x:f>IFERROR(IF(C130="","",IF(AND(INDEX('Facilities'!$AF$9:$AF$108,MATCH(C130,'Facilities'!$C$9:$C$108,0))="Ready",INDEX(Credit!$U$109:$U$208,MATCH(F130,Credit!$C$109:$C$208,0))="Ready",ISNUMBER(W130)),"Ready","Review inputs")),"Review inputs")</x:f>
        <x:v>Ready</x:v>
      </x:c>
      <x:c r="AR130" s="23" t="n">
        <x:f>IF(C130="","",IF(AQ130&lt;&gt;"Ready","Unavailable",IF(C130="","",IF(O130=0,0,(IF(AJ130&lt;=1,O130,O130*INDEX('Facilities'!$R$9:$R$108,MATCH(C130,'Facilities'!$C$9:$C$108,0)))+O130*INDEX('Facilities'!$T$9:$T$108,MATCH(C130,'Facilities'!$C$9:$C$108,0)))/12))))</x:f>
        <x:v>0.084323</x:v>
      </x:c>
    </x:row>
    <x:row r="131" ht="26" customHeight="1">
      <x:c r="A131" s="1"/>
      <x:c r="B131" s="1"/>
      <x:c r="C131" s="9" t="str">
        <x:f>IF(Facilities!C31="","",Facilities!C31)</x:f>
        <x:v>F023</x:v>
      </x:c>
      <x:c r="D131" s="3" t="n">
        <x:v>2</x:v>
      </x:c>
      <x:c r="E131" s="9" t="n">
        <x:f>Settings!$F$18+1</x:f>
        <x:v>2028</x:v>
      </x:c>
      <x:c r="F131" s="9" t="str">
        <x:f>IF(C131="","",IFERROR(INDEX('Facilities'!$D$9:$D$108,MATCH(C131,'Facilities'!$C$9:$C$108,0)),"Unavailable"))</x:f>
        <x:v>B012</x:v>
      </x:c>
      <x:c r="G131" s="21" t="n">
        <x:f>IF(C131="","",IFERROR(O31,"Unavailable"))</x:f>
        <x:v>7.8629999999999995</x:v>
      </x:c>
      <x:c r="H131" s="21" t="n">
        <x:f>IF(C131="","",IFERROR(P31,"Unavailable"))</x:f>
        <x:v>0</x:v>
      </x:c>
      <x:c r="I131" s="21" t="n">
        <x:f>IF(C131="","",IFERROR(Q31,"Unavailable"))</x:f>
        <x:v>1.425</x:v>
      </x:c>
      <x:c r="J131" s="23" t="n">
        <x:f>IF(C131="","",IFERROR(IF(OR(H131&gt;0,AND(AC131&gt;=0,AC131&lt;D131),D131&gt;INDEX('Facilities'!$J$9:$J$108,MATCH(C131,'Facilities'!$C$9:$C$108,0))),0,I131*'Scenario Paths'!G81),"Unavailable"))</x:f>
        <x:v>0.114</x:v>
      </x:c>
      <x:c r="K131" s="23" t="n">
        <x:f>IF(C131="","",IFERROR(IF(OR(H131&gt;0,AND(AC131&gt;=0,AC131=D131)),0,IF(D131&gt;=INDEX('Facilities'!$J$9:$J$108,MATCH(C131,'Facilities'!$C$9:$C$108,0)),G131+J131,MIN(G131+J131,G131*INDEX('Facilities'!$R$9:$R$108,MATCH(C131,'Facilities'!$C$9:$C$108,0))))),"Unavailable"))</x:f>
        <x:v>0.94356</x:v>
      </x:c>
      <x:c r="L131" s="21" t="n">
        <x:f>IF(C131="","",IFERROR(IF(AND(AC131=D131,AC131&gt;0),MAX(0,G131+J131-K131),0),"Unavailable"))</x:f>
        <x:v>0</x:v>
      </x:c>
      <x:c r="M131" s="23" t="n">
        <x:f>IF(C131="","",IFERROR(IF(AND(AC131&gt;=0,D131&gt;=AC131+INDEX('Facilities'!$AK$9:$AK$108,MATCH(C131,'Facilities'!$C$9:$C$108,0))),(H131+L131)*AM131,0),"Unavailable"))</x:f>
        <x:v>0</x:v>
      </x:c>
      <x:c r="N131" s="23" t="n">
        <x:f>IF(C131="","",IFERROR(IF(AND(AC131&gt;=0,D131&gt;=AC131+INDEX('Facilities'!$AK$9:$AK$108,MATCH(C131,'Facilities'!$C$9:$C$108,0))),H131+L131-M131,0),"Unavailable"))</x:f>
        <x:v>0</x:v>
      </x:c>
      <x:c r="O131" s="21" t="n">
        <x:f>IF(C131="","",IFERROR(MAX(0,G131+J131-K131-L131),"Unavailable"))</x:f>
        <x:v>7.03344</x:v>
      </x:c>
      <x:c r="P131" s="21" t="n">
        <x:f>IF(C131="","",IFERROR(MAX(0,H131+L131-M131-N131),"Unavailable"))</x:f>
        <x:v>0</x:v>
      </x:c>
      <x:c r="Q131" s="23" t="n">
        <x:f>IF(C131="","",IFERROR(IF(OR(D131&gt;=INDEX('Facilities'!$J$9:$J$108,MATCH(C131,'Facilities'!$C$9:$C$108,0)),AND(AC131&gt;=0,AC131&lt;=D131)),0,MAX(0,I131-J131)),"Unavailable"))</x:f>
        <x:v>1.311</x:v>
      </x:c>
      <x:c r="R131" s="30" t="n">
        <x:f>IF(C131="","",IFERROR(INDEX(Credit!$Q$109:$Q$208,MATCH(F131,Credit!$C$109:$C$208,0)),"Unavailable"))</x:f>
        <x:v>0.05451610659192599</x:v>
      </x:c>
      <x:c r="S131" s="30" t="n">
        <x:f>IF(C131="","",IFERROR(INDEX(Credit!$R$109:$R$208,MATCH(F131,Credit!$C$109:$C$208,0)),"Unavailable"))</x:f>
        <x:v>0.32113152</x:v>
      </x:c>
      <x:c r="T131" s="23" t="n">
        <x:f>IF(C131="","",IFERROR(IF(P131&gt;0,3,IF(OR(INDEX('Facilities'!$AD$9:$AD$108,MATCH(C131,'Facilities'!$C$9:$C$108,0))=2,AND(R131&gt;=INDEX('Facilities'!$L$9:$L$108,MATCH(C131,'Facilities'!$C$9:$C$108,0))*Settings!$F$19,R131-INDEX('Facilities'!$L$9:$L$108,MATCH(C131,'Facilities'!$C$9:$C$108,0))&gt;=Settings!$F$20)),2,1)),"Unavailable"))</x:f>
        <x:v>1</x:v>
      </x:c>
      <x:c r="U131" s="23" t="n">
        <x:f>IF(C131="","",IF(AQ131&lt;&gt;"Ready","Unavailable",IF(C131="","",O131*(1-(1-S131)/(1+INDEX('Facilities'!$K$9:$K$108,MATCH(C131,'Facilities'!$C$9:$C$108,0)))^INDEX('Facilities'!$AK$9:$AK$108,MATCH(C131,'Facilities'!$C$9:$C$108,0)))*R131/(1+INDEX('Facilities'!$K$9:$K$108,MATCH(C131,'Facilities'!$C$9:$C$108,0)))*IF(ABS(1-(1-R131)*(1-INDEX('Facilities'!$R$9:$R$108,MATCH(C131,'Facilities'!$C$9:$C$108,0)))/(1+INDEX('Facilities'!$K$9:$K$108,MATCH(C131,'Facilities'!$C$9:$C$108,0))))&lt;0.000000001,IF(T131=1,MIN(1,AJ131),AJ131),(1-((1-R131)*(1-INDEX('Facilities'!$R$9:$R$108,MATCH(C131,'Facilities'!$C$9:$C$108,0)))/(1+INDEX('Facilities'!$K$9:$K$108,MATCH(C131,'Facilities'!$C$9:$C$108,0))))^IF(T131=1,MIN(1,AJ131),AJ131))/(1-(1-R131)*(1-INDEX('Facilities'!$R$9:$R$108,MATCH(C131,'Facilities'!$C$9:$C$108,0)))/(1+INDEX('Facilities'!$K$9:$K$108,MATCH(C131,'Facilities'!$C$9:$C$108,0)))))+AL131)))</x:f>
        <x:v>0.14839663447670093</x:v>
      </x:c>
      <x:c r="V131" s="23" t="n">
        <x:f>IF(C131="","",IF(AQ131&lt;&gt;"Ready","Unavailable",IF(C131="","",Q131*INDEX('Facilities'!$I$9:$I$108,MATCH(C131,'Facilities'!$C$9:$C$108,0))*(1-(1-S131)/(1+INDEX('Facilities'!$K$9:$K$108,MATCH(C131,'Facilities'!$C$9:$C$108,0)))^INDEX('Facilities'!$AK$9:$AK$108,MATCH(C131,'Facilities'!$C$9:$C$108,0)))*R131/(1+INDEX('Facilities'!$K$9:$K$108,MATCH(C131,'Facilities'!$C$9:$C$108,0)))*IF(ABS(1-(1-R131)*(1-0)/(1+INDEX('Facilities'!$K$9:$K$108,MATCH(C131,'Facilities'!$C$9:$C$108,0))))&lt;0.000000001,IF(T131=1,MIN(1,AJ131),AJ131),(1-((1-R131)*(1-0)/(1+INDEX('Facilities'!$K$9:$K$108,MATCH(C131,'Facilities'!$C$9:$C$108,0))))^IF(T131=1,MIN(1,AJ131),AJ131))/(1-(1-R131)*(1-0)/(1+INDEX('Facilities'!$K$9:$K$108,MATCH(C131,'Facilities'!$C$9:$C$108,0))))))))</x:f>
        <x:v>0.013830215925560958</x:v>
      </x:c>
      <x:c r="W131" s="21" t="n">
        <x:f>IF(C131="","",IFERROR(U31,"Unavailable"))</x:f>
        <x:v>0.1456118515072845</x:v>
      </x:c>
      <x:c r="X131" s="21" t="n">
        <x:f>IF(C131="","",IFERROR(V31,"Unavailable"))</x:f>
        <x:v>0.013194511534902734</x:v>
      </x:c>
      <x:c r="Y131" s="21" t="n">
        <x:f>IF(C131="","",IF(AQ131&lt;&gt;"Ready","Unavailable",IF(C131="","",U131-W131+V131-X131+N131+AG131)))</x:f>
        <x:v>0.0034204873600746453</x:v>
      </x:c>
      <x:c r="Z131" s="23" t="n">
        <x:f>IF(C131="","",IF(AQ131&lt;&gt;"Ready","Unavailable",IF(C131="","",(G131+O131+L131)/2*INDEX('Facilities'!$T$9:$T$108,MATCH(C131,'Facilities'!$C$9:$C$108,0))+AG131)))</x:f>
        <x:v>0.7075809</x:v>
      </x:c>
      <x:c r="AA131" s="23" t="n">
        <x:f>IF(C131="","",IF(AQ131&lt;&gt;"Ready","Unavailable",IF(C131="","",O131*(1-IF(INDEX('Facilities'!$AA$9:$AA$108,MATCH(C131,'Facilities'!$C$9:$C$108,0))=0,0,MIN(1,INDEX('Facilities'!$X$9:$X$108,MATCH(C131,'Facilities'!$C$9:$C$108,0))/INDEX('Facilities'!$AA$9:$AA$108,MATCH(C131,'Facilities'!$C$9:$C$108,0)))))*AF131+P131*(1-IF(INDEX('Facilities'!$AA$9:$AA$108,MATCH(C131,'Facilities'!$C$9:$C$108,0))=0,0,MIN(1,INDEX('Facilities'!$X$9:$X$108,MATCH(C131,'Facilities'!$C$9:$C$108,0))/INDEX('Facilities'!$AA$9:$AA$108,MATCH(C131,'Facilities'!$C$9:$C$108,0)))))*INDEX('Facilities'!$AJ$9:$AJ$108,MATCH(C131,'Facilities'!$C$9:$C$108,0))+Q131*INDEX('Facilities'!$AI$9:$AI$108,MATCH(C131,'Facilities'!$C$9:$C$108,0))*AF131)))</x:f>
        <x:v>7.87487518944</x:v>
      </x:c>
      <x:c r="AB131" s="21" t="n">
        <x:f>IF(C131="","",O131+P131-AD131)</x:f>
        <x:v>-0.8295599999999999</x:v>
      </x:c>
      <x:c r="AC131" s="23" t="n">
        <x:f>IF(C131="","",IFERROR(IF(INDEX('Facilities'!$AD$9:$AD$108,MATCH(C131,'Facilities'!$C$9:$C$108,0))=3,0,IF(INDEX('Facilities'!$AN$9:$AN$108,MATCH(C131,'Facilities'!$C$9:$C$108,0))=0,-1,INDEX('Facilities'!$AN$9:$AN$108,MATCH(C131,'Facilities'!$C$9:$C$108,0)))),"Unavailable"))</x:f>
        <x:v>-1</x:v>
      </x:c>
      <x:c r="AD131" s="21" t="n">
        <x:f>IF(C131="","",IFERROR(G131+H131,"Unavailable"))</x:f>
        <x:v>7.8629999999999995</x:v>
      </x:c>
      <x:c r="AE131" s="21" t="n">
        <x:f>IF(C131="","",IF(AQ131&lt;&gt;"Ready","Unavailable",IF(C131="","",O131+P131-AD131-J131+K131+M131+N131)))</x:f>
        <x:v>1.1102230246251565e-16</x:v>
      </x:c>
      <x:c r="AF131" s="30" t="n">
        <x:f>IF(C131="","",IFERROR(INDEX('Facilities'!$S$9:$S$108,MATCH(C131,'Facilities'!$C$9:$C$108,0))*'Scenario Paths'!G75,"Unavailable"))</x:f>
        <x:v>1.05</x:v>
      </x:c>
      <x:c r="AG131" s="23" t="n">
        <x:f>IF(C131="","",IF(AQ131&lt;&gt;"Ready","Unavailable",IF(C131="","",IF(H131&gt;0,MAX(0,H131-AK131)*((1+INDEX('Facilities'!$K$9:$K$108,MATCH(C131,'Facilities'!$C$9:$C$108,0)))^MIN(1,MAX(0,AC131+INDEX('Facilities'!$AK$9:$AK$108,MATCH(C131,'Facilities'!$C$9:$C$108,0))-D131+1))-1),0))))</x:f>
        <x:v>0</x:v>
      </x:c>
      <x:c r="AH131" s="21" t="n">
        <x:f>IF(C131="","",IF(AQ131&lt;&gt;"Ready","Unavailable",IF(C131="","",O131+P131)))</x:f>
        <x:v>7.03344</x:v>
      </x:c>
      <x:c r="AI131" s="21" t="n">
        <x:f>IF(C131="","",IF(AQ131&lt;&gt;"Ready","Unavailable",IF(C131="","",Z131-Y131)))</x:f>
        <x:v>0.7041604126399253</x:v>
      </x:c>
      <x:c r="AJ131" s="23" t="n">
        <x:f>IF(C131="","",IFERROR(MAX(0,INDEX('Facilities'!$J$9:$J$108,MATCH(C131,'Facilities'!$C$9:$C$108,0))-D131),"Unavailable"))</x:f>
        <x:v>4</x:v>
      </x:c>
      <x:c r="AK131" s="21" t="n">
        <x:f>IF(C131="","",IFERROR(AL31,"Unavailable"))</x:f>
        <x:v>0</x:v>
      </x:c>
      <x:c r="AL131" s="23" t="n">
        <x:f>IF(C131="","",IFERROR(IF(P131&gt;0,P131*(1-AM131/(1+INDEX('Facilities'!$K$9:$K$108,MATCH(C131,'Facilities'!$C$9:$C$108,0)))^MAX(0,AC131+INDEX('Facilities'!$AK$9:$AK$108,MATCH(C131,'Facilities'!$C$9:$C$108,0))-D131)),0),"Unavailable"))</x:f>
        <x:v>0</x:v>
      </x:c>
      <x:c r="AM131" s="30" t="n">
        <x:f>IF(C131="","",IFERROR(INDEX('Facilities'!$AL$9:$AL$108,MATCH(C131,'Facilities'!$C$9:$C$108,0)),"Unavailable"))</x:f>
        <x:v>0.55</x:v>
      </x:c>
      <x:c r="AN131" s="30" t="n">
        <x:f>IF(C131="","",IFERROR(INDEX(Credit!$T$109:$T$208,MATCH(F131,Credit!$C$109:$C$208,0)),"Unavailable"))</x:f>
        <x:v>0.001664</x:v>
      </x:c>
      <x:c r="AO131" s="23" t="n">
        <x:f>IF(C131="","",IF(AQ131&lt;&gt;"Ready","Unavailable",IF(C131="","",O131+P131+Q131*INDEX('Facilities'!$I$9:$I$108,MATCH(C131,'Facilities'!$C$9:$C$108,0)))))</x:f>
        <x:v>7.68894</x:v>
      </x:c>
      <x:c r="AP131" s="21" t="n">
        <x:f>IF(C131="","",IF(AQ131&lt;&gt;"Ready","Unavailable",IF(C131="","",AH131-U131)))</x:f>
        <x:v>6.885043365523298</x:v>
      </x:c>
      <x:c r="AQ131" s="23" t="str">
        <x:f>IFERROR(IF(C131="","",IF(AND(INDEX('Facilities'!$AF$9:$AF$108,MATCH(C131,'Facilities'!$C$9:$C$108,0))="Ready",INDEX(Credit!$U$109:$U$208,MATCH(F131,Credit!$C$109:$C$208,0))="Ready",ISNUMBER(W131)),"Ready","Review inputs")),"Review inputs")</x:f>
        <x:v>Ready</x:v>
      </x:c>
      <x:c r="AR131" s="23" t="n">
        <x:f>IF(C131="","",IF(AQ131&lt;&gt;"Ready","Unavailable",IF(C131="","",IF(O131=0,0,(IF(AJ131&lt;=1,O131,O131*INDEX('Facilities'!$R$9:$R$108,MATCH(C131,'Facilities'!$C$9:$C$108,0)))+O131*INDEX('Facilities'!$T$9:$T$108,MATCH(C131,'Facilities'!$C$9:$C$108,0)))/12))))</x:f>
        <x:v>0.12601579999999998</x:v>
      </x:c>
    </x:row>
    <x:row r="132" ht="26" customHeight="1">
      <x:c r="A132" s="1"/>
      <x:c r="B132" s="1"/>
      <x:c r="C132" s="9" t="str">
        <x:f>IF(Facilities!C32="","",Facilities!C32)</x:f>
        <x:v>F024</x:v>
      </x:c>
      <x:c r="D132" s="3" t="n">
        <x:v>2</x:v>
      </x:c>
      <x:c r="E132" s="9" t="n">
        <x:f>Settings!$F$18+1</x:f>
        <x:v>2028</x:v>
      </x:c>
      <x:c r="F132" s="9" t="str">
        <x:f>IF(C132="","",IFERROR(INDEX('Facilities'!$D$9:$D$108,MATCH(C132,'Facilities'!$C$9:$C$108,0)),"Unavailable"))</x:f>
        <x:v>B012</x:v>
      </x:c>
      <x:c r="G132" s="21" t="n">
        <x:f>IF(C132="","",IFERROR(O32,"Unavailable"))</x:f>
        <x:v>5.613</x:v>
      </x:c>
      <x:c r="H132" s="21" t="n">
        <x:f>IF(C132="","",IFERROR(P32,"Unavailable"))</x:f>
        <x:v>0</x:v>
      </x:c>
      <x:c r="I132" s="21" t="n">
        <x:f>IF(C132="","",IFERROR(Q32,"Unavailable"))</x:f>
        <x:v>0.475</x:v>
      </x:c>
      <x:c r="J132" s="23" t="n">
        <x:f>IF(C132="","",IFERROR(IF(OR(H132&gt;0,AND(AC132&gt;=0,AC132&lt;D132),D132&gt;INDEX('Facilities'!$J$9:$J$108,MATCH(C132,'Facilities'!$C$9:$C$108,0))),0,I132*'Scenario Paths'!G81),"Unavailable"))</x:f>
        <x:v>0.038</x:v>
      </x:c>
      <x:c r="K132" s="23" t="n">
        <x:f>IF(C132="","",IFERROR(IF(OR(H132&gt;0,AND(AC132&gt;=0,AC132=D132)),0,IF(D132&gt;=INDEX('Facilities'!$J$9:$J$108,MATCH(C132,'Facilities'!$C$9:$C$108,0)),G132+J132,MIN(G132+J132,G132*INDEX('Facilities'!$R$9:$R$108,MATCH(C132,'Facilities'!$C$9:$C$108,0))))),"Unavailable"))</x:f>
        <x:v>0.67356</x:v>
      </x:c>
      <x:c r="L132" s="21" t="n">
        <x:f>IF(C132="","",IFERROR(IF(AND(AC132=D132,AC132&gt;0),MAX(0,G132+J132-K132),0),"Unavailable"))</x:f>
        <x:v>0</x:v>
      </x:c>
      <x:c r="M132" s="23" t="n">
        <x:f>IF(C132="","",IFERROR(IF(AND(AC132&gt;=0,D132&gt;=AC132+INDEX('Facilities'!$AK$9:$AK$108,MATCH(C132,'Facilities'!$C$9:$C$108,0))),(H132+L132)*AM132,0),"Unavailable"))</x:f>
        <x:v>0</x:v>
      </x:c>
      <x:c r="N132" s="23" t="n">
        <x:f>IF(C132="","",IFERROR(IF(AND(AC132&gt;=0,D132&gt;=AC132+INDEX('Facilities'!$AK$9:$AK$108,MATCH(C132,'Facilities'!$C$9:$C$108,0))),H132+L132-M132,0),"Unavailable"))</x:f>
        <x:v>0</x:v>
      </x:c>
      <x:c r="O132" s="21" t="n">
        <x:f>IF(C132="","",IFERROR(MAX(0,G132+J132-K132-L132),"Unavailable"))</x:f>
        <x:v>4.9774400000000005</x:v>
      </x:c>
      <x:c r="P132" s="21" t="n">
        <x:f>IF(C132="","",IFERROR(MAX(0,H132+L132-M132-N132),"Unavailable"))</x:f>
        <x:v>0</x:v>
      </x:c>
      <x:c r="Q132" s="23" t="n">
        <x:f>IF(C132="","",IFERROR(IF(OR(D132&gt;=INDEX('Facilities'!$J$9:$J$108,MATCH(C132,'Facilities'!$C$9:$C$108,0)),AND(AC132&gt;=0,AC132&lt;=D132)),0,MAX(0,I132-J132)),"Unavailable"))</x:f>
        <x:v>0.437</x:v>
      </x:c>
      <x:c r="R132" s="30" t="n">
        <x:f>IF(C132="","",IFERROR(INDEX(Credit!$Q$109:$Q$208,MATCH(F132,Credit!$C$109:$C$208,0)),"Unavailable"))</x:f>
        <x:v>0.05451610659192599</x:v>
      </x:c>
      <x:c r="S132" s="30" t="n">
        <x:f>IF(C132="","",IFERROR(INDEX(Credit!$R$109:$R$208,MATCH(F132,Credit!$C$109:$C$208,0)),"Unavailable"))</x:f>
        <x:v>0.32113152</x:v>
      </x:c>
      <x:c r="T132" s="23" t="n">
        <x:f>IF(C132="","",IFERROR(IF(P132&gt;0,3,IF(OR(INDEX('Facilities'!$AD$9:$AD$108,MATCH(C132,'Facilities'!$C$9:$C$108,0))=2,AND(R132&gt;=INDEX('Facilities'!$L$9:$L$108,MATCH(C132,'Facilities'!$C$9:$C$108,0))*Settings!$F$19,R132-INDEX('Facilities'!$L$9:$L$108,MATCH(C132,'Facilities'!$C$9:$C$108,0))&gt;=Settings!$F$20)),2,1)),"Unavailable"))</x:f>
        <x:v>1</x:v>
      </x:c>
      <x:c r="U132" s="23" t="n">
        <x:f>IF(C132="","",IF(AQ132&lt;&gt;"Ready","Unavailable",IF(C132="","",O132*(1-(1-S132)/(1+INDEX('Facilities'!$K$9:$K$108,MATCH(C132,'Facilities'!$C$9:$C$108,0)))^INDEX('Facilities'!$AK$9:$AK$108,MATCH(C132,'Facilities'!$C$9:$C$108,0)))*R132/(1+INDEX('Facilities'!$K$9:$K$108,MATCH(C132,'Facilities'!$C$9:$C$108,0)))*IF(ABS(1-(1-R132)*(1-INDEX('Facilities'!$R$9:$R$108,MATCH(C132,'Facilities'!$C$9:$C$108,0)))/(1+INDEX('Facilities'!$K$9:$K$108,MATCH(C132,'Facilities'!$C$9:$C$108,0))))&lt;0.000000001,IF(T132=1,MIN(1,AJ132),AJ132),(1-((1-R132)*(1-INDEX('Facilities'!$R$9:$R$108,MATCH(C132,'Facilities'!$C$9:$C$108,0)))/(1+INDEX('Facilities'!$K$9:$K$108,MATCH(C132,'Facilities'!$C$9:$C$108,0))))^IF(T132=1,MIN(1,AJ132),AJ132))/(1-(1-R132)*(1-INDEX('Facilities'!$R$9:$R$108,MATCH(C132,'Facilities'!$C$9:$C$108,0)))/(1+INDEX('Facilities'!$K$9:$K$108,MATCH(C132,'Facilities'!$C$9:$C$108,0)))))+AL132)))</x:f>
        <x:v>0.10501765058203529</x:v>
      </x:c>
      <x:c r="V132" s="23" t="n">
        <x:f>IF(C132="","",IF(AQ132&lt;&gt;"Ready","Unavailable",IF(C132="","",Q132*INDEX('Facilities'!$I$9:$I$108,MATCH(C132,'Facilities'!$C$9:$C$108,0))*(1-(1-S132)/(1+INDEX('Facilities'!$K$9:$K$108,MATCH(C132,'Facilities'!$C$9:$C$108,0)))^INDEX('Facilities'!$AK$9:$AK$108,MATCH(C132,'Facilities'!$C$9:$C$108,0)))*R132/(1+INDEX('Facilities'!$K$9:$K$108,MATCH(C132,'Facilities'!$C$9:$C$108,0)))*IF(ABS(1-(1-R132)*(1-0)/(1+INDEX('Facilities'!$K$9:$K$108,MATCH(C132,'Facilities'!$C$9:$C$108,0))))&lt;0.000000001,IF(T132=1,MIN(1,AJ132),AJ132),(1-((1-R132)*(1-0)/(1+INDEX('Facilities'!$K$9:$K$108,MATCH(C132,'Facilities'!$C$9:$C$108,0))))^IF(T132=1,MIN(1,AJ132),AJ132))/(1-(1-R132)*(1-0)/(1+INDEX('Facilities'!$K$9:$K$108,MATCH(C132,'Facilities'!$C$9:$C$108,0))))))))</x:f>
        <x:v>0.004610071975186986</x:v>
      </x:c>
      <x:c r="W132" s="21" t="n">
        <x:f>IF(C132="","",IFERROR(U32,"Unavailable"))</x:f>
        <x:v>0.1039449729760127</x:v>
      </x:c>
      <x:c r="X132" s="21" t="n">
        <x:f>IF(C132="","",IFERROR(V32,"Unavailable"))</x:f>
        <x:v>0.004398170511634244</x:v>
      </x:c>
      <x:c r="Y132" s="21" t="n">
        <x:f>IF(C132="","",IF(AQ132&lt;&gt;"Ready","Unavailable",IF(C132="","",U132-W132+V132-X132+N132+AG132)))</x:f>
        <x:v>0.001284579069575329</x:v>
      </x:c>
      <x:c r="Z132" s="23" t="n">
        <x:f>IF(C132="","",IF(AQ132&lt;&gt;"Ready","Unavailable",IF(C132="","",(G132+O132+L132)/2*INDEX('Facilities'!$T$9:$T$108,MATCH(C132,'Facilities'!$C$9:$C$108,0))+AG132)))</x:f>
        <x:v>0.5030459</x:v>
      </x:c>
      <x:c r="AA132" s="23" t="n">
        <x:f>IF(C132="","",IF(AQ132&lt;&gt;"Ready","Unavailable",IF(C132="","",O132*(1-IF(INDEX('Facilities'!$AA$9:$AA$108,MATCH(C132,'Facilities'!$C$9:$C$108,0))=0,0,MIN(1,INDEX('Facilities'!$X$9:$X$108,MATCH(C132,'Facilities'!$C$9:$C$108,0))/INDEX('Facilities'!$AA$9:$AA$108,MATCH(C132,'Facilities'!$C$9:$C$108,0)))))*AF132+P132*(1-IF(INDEX('Facilities'!$AA$9:$AA$108,MATCH(C132,'Facilities'!$C$9:$C$108,0))=0,0,MIN(1,INDEX('Facilities'!$X$9:$X$108,MATCH(C132,'Facilities'!$C$9:$C$108,0))/INDEX('Facilities'!$AA$9:$AA$108,MATCH(C132,'Facilities'!$C$9:$C$108,0)))))*INDEX('Facilities'!$AJ$9:$AJ$108,MATCH(C132,'Facilities'!$C$9:$C$108,0))+Q132*INDEX('Facilities'!$AI$9:$AI$108,MATCH(C132,'Facilities'!$C$9:$C$108,0))*AF132)))</x:f>
        <x:v>5.3152537334400005</x:v>
      </x:c>
      <x:c r="AB132" s="21" t="n">
        <x:f>IF(C132="","",O132+P132-AD132)</x:f>
        <x:v>-0.6355599999999999</x:v>
      </x:c>
      <x:c r="AC132" s="23" t="n">
        <x:f>IF(C132="","",IFERROR(IF(INDEX('Facilities'!$AD$9:$AD$108,MATCH(C132,'Facilities'!$C$9:$C$108,0))=3,0,IF(INDEX('Facilities'!$AN$9:$AN$108,MATCH(C132,'Facilities'!$C$9:$C$108,0))=0,-1,INDEX('Facilities'!$AN$9:$AN$108,MATCH(C132,'Facilities'!$C$9:$C$108,0)))),"Unavailable"))</x:f>
        <x:v>-1</x:v>
      </x:c>
      <x:c r="AD132" s="21" t="n">
        <x:f>IF(C132="","",IFERROR(G132+H132,"Unavailable"))</x:f>
        <x:v>5.613</x:v>
      </x:c>
      <x:c r="AE132" s="21" t="n">
        <x:f>IF(C132="","",IF(AQ132&lt;&gt;"Ready","Unavailable",IF(C132="","",O132+P132-AD132-J132+K132+M132+N132)))</x:f>
        <x:v>1.1102230246251565e-16</x:v>
      </x:c>
      <x:c r="AF132" s="30" t="n">
        <x:f>IF(C132="","",IFERROR(INDEX('Facilities'!$S$9:$S$108,MATCH(C132,'Facilities'!$C$9:$C$108,0))*'Scenario Paths'!G75,"Unavailable"))</x:f>
        <x:v>1.05</x:v>
      </x:c>
      <x:c r="AG132" s="23" t="n">
        <x:f>IF(C132="","",IF(AQ132&lt;&gt;"Ready","Unavailable",IF(C132="","",IF(H132&gt;0,MAX(0,H132-AK132)*((1+INDEX('Facilities'!$K$9:$K$108,MATCH(C132,'Facilities'!$C$9:$C$108,0)))^MIN(1,MAX(0,AC132+INDEX('Facilities'!$AK$9:$AK$108,MATCH(C132,'Facilities'!$C$9:$C$108,0))-D132+1))-1),0))))</x:f>
        <x:v>0</x:v>
      </x:c>
      <x:c r="AH132" s="21" t="n">
        <x:f>IF(C132="","",IF(AQ132&lt;&gt;"Ready","Unavailable",IF(C132="","",O132+P132)))</x:f>
        <x:v>4.9774400000000005</x:v>
      </x:c>
      <x:c r="AI132" s="21" t="n">
        <x:f>IF(C132="","",IF(AQ132&lt;&gt;"Ready","Unavailable",IF(C132="","",Z132-Y132)))</x:f>
        <x:v>0.5017613209304247</x:v>
      </x:c>
      <x:c r="AJ132" s="23" t="n">
        <x:f>IF(C132="","",IFERROR(MAX(0,INDEX('Facilities'!$J$9:$J$108,MATCH(C132,'Facilities'!$C$9:$C$108,0))-D132),"Unavailable"))</x:f>
        <x:v>4</x:v>
      </x:c>
      <x:c r="AK132" s="21" t="n">
        <x:f>IF(C132="","",IFERROR(AL32,"Unavailable"))</x:f>
        <x:v>0</x:v>
      </x:c>
      <x:c r="AL132" s="23" t="n">
        <x:f>IF(C132="","",IFERROR(IF(P132&gt;0,P132*(1-AM132/(1+INDEX('Facilities'!$K$9:$K$108,MATCH(C132,'Facilities'!$C$9:$C$108,0)))^MAX(0,AC132+INDEX('Facilities'!$AK$9:$AK$108,MATCH(C132,'Facilities'!$C$9:$C$108,0))-D132)),0),"Unavailable"))</x:f>
        <x:v>0</x:v>
      </x:c>
      <x:c r="AM132" s="30" t="n">
        <x:f>IF(C132="","",IFERROR(INDEX('Facilities'!$AL$9:$AL$108,MATCH(C132,'Facilities'!$C$9:$C$108,0)),"Unavailable"))</x:f>
        <x:v>0.55</x:v>
      </x:c>
      <x:c r="AN132" s="30" t="n">
        <x:f>IF(C132="","",IFERROR(INDEX(Credit!$T$109:$T$208,MATCH(F132,Credit!$C$109:$C$208,0)),"Unavailable"))</x:f>
        <x:v>0.001664</x:v>
      </x:c>
      <x:c r="AO132" s="23" t="n">
        <x:f>IF(C132="","",IF(AQ132&lt;&gt;"Ready","Unavailable",IF(C132="","",O132+P132+Q132*INDEX('Facilities'!$I$9:$I$108,MATCH(C132,'Facilities'!$C$9:$C$108,0)))))</x:f>
        <x:v>5.19594</x:v>
      </x:c>
      <x:c r="AP132" s="21" t="n">
        <x:f>IF(C132="","",IF(AQ132&lt;&gt;"Ready","Unavailable",IF(C132="","",AH132-U132)))</x:f>
        <x:v>4.872422349417965</x:v>
      </x:c>
      <x:c r="AQ132" s="23" t="str">
        <x:f>IFERROR(IF(C132="","",IF(AND(INDEX('Facilities'!$AF$9:$AF$108,MATCH(C132,'Facilities'!$C$9:$C$108,0))="Ready",INDEX(Credit!$U$109:$U$208,MATCH(F132,Credit!$C$109:$C$208,0))="Ready",ISNUMBER(W132)),"Ready","Review inputs")),"Review inputs")</x:f>
        <x:v>Ready</x:v>
      </x:c>
      <x:c r="AR132" s="23" t="n">
        <x:f>IF(C132="","",IF(AQ132&lt;&gt;"Ready","Unavailable",IF(C132="","",IF(O132=0,0,(IF(AJ132&lt;=1,O132,O132*INDEX('Facilities'!$R$9:$R$108,MATCH(C132,'Facilities'!$C$9:$C$108,0)))+O132*INDEX('Facilities'!$T$9:$T$108,MATCH(C132,'Facilities'!$C$9:$C$108,0)))/12))))</x:f>
        <x:v>0.08917913333333334</x:v>
      </x:c>
    </x:row>
    <x:row r="133" ht="26" customHeight="1">
      <x:c r="A133" s="1"/>
      <x:c r="B133" s="1"/>
      <x:c r="C133" s="9" t="str">
        <x:f>IF(Facilities!C33="","",Facilities!C33)</x:f>
        <x:v>F025</x:v>
      </x:c>
      <x:c r="D133" s="3" t="n">
        <x:v>2</x:v>
      </x:c>
      <x:c r="E133" s="9" t="n">
        <x:f>Settings!$F$18+1</x:f>
        <x:v>2028</x:v>
      </x:c>
      <x:c r="F133" s="9" t="str">
        <x:f>IF(C133="","",IFERROR(INDEX('Facilities'!$D$9:$D$108,MATCH(C133,'Facilities'!$C$9:$C$108,0)),"Unavailable"))</x:f>
        <x:v>B013</x:v>
      </x:c>
      <x:c r="G133" s="21" t="n">
        <x:f>IF(C133="","",IFERROR(O33,"Unavailable"))</x:f>
        <x:v>8.171</x:v>
      </x:c>
      <x:c r="H133" s="21" t="n">
        <x:f>IF(C133="","",IFERROR(P33,"Unavailable"))</x:f>
        <x:v>0</x:v>
      </x:c>
      <x:c r="I133" s="21" t="n">
        <x:f>IF(C133="","",IFERROR(Q33,"Unavailable"))</x:f>
        <x:v>1.425</x:v>
      </x:c>
      <x:c r="J133" s="23" t="n">
        <x:f>IF(C133="","",IFERROR(IF(OR(H133&gt;0,AND(AC133&gt;=0,AC133&lt;D133),D133&gt;INDEX('Facilities'!$J$9:$J$108,MATCH(C133,'Facilities'!$C$9:$C$108,0))),0,I133*'Scenario Paths'!G81),"Unavailable"))</x:f>
        <x:v>0.114</x:v>
      </x:c>
      <x:c r="K133" s="23" t="n">
        <x:f>IF(C133="","",IFERROR(IF(OR(H133&gt;0,AND(AC133&gt;=0,AC133=D133)),0,IF(D133&gt;=INDEX('Facilities'!$J$9:$J$108,MATCH(C133,'Facilities'!$C$9:$C$108,0)),G133+J133,MIN(G133+J133,G133*INDEX('Facilities'!$R$9:$R$108,MATCH(C133,'Facilities'!$C$9:$C$108,0))))),"Unavailable"))</x:f>
        <x:v>0.9805199999999998</x:v>
      </x:c>
      <x:c r="L133" s="21" t="n">
        <x:f>IF(C133="","",IFERROR(IF(AND(AC133=D133,AC133&gt;0),MAX(0,G133+J133-K133),0),"Unavailable"))</x:f>
        <x:v>0</x:v>
      </x:c>
      <x:c r="M133" s="23" t="n">
        <x:f>IF(C133="","",IFERROR(IF(AND(AC133&gt;=0,D133&gt;=AC133+INDEX('Facilities'!$AK$9:$AK$108,MATCH(C133,'Facilities'!$C$9:$C$108,0))),(H133+L133)*AM133,0),"Unavailable"))</x:f>
        <x:v>0</x:v>
      </x:c>
      <x:c r="N133" s="23" t="n">
        <x:f>IF(C133="","",IFERROR(IF(AND(AC133&gt;=0,D133&gt;=AC133+INDEX('Facilities'!$AK$9:$AK$108,MATCH(C133,'Facilities'!$C$9:$C$108,0))),H133+L133-M133,0),"Unavailable"))</x:f>
        <x:v>0</x:v>
      </x:c>
      <x:c r="O133" s="21" t="n">
        <x:f>IF(C133="","",IFERROR(MAX(0,G133+J133-K133-L133),"Unavailable"))</x:f>
        <x:v>7.30448</x:v>
      </x:c>
      <x:c r="P133" s="21" t="n">
        <x:f>IF(C133="","",IFERROR(MAX(0,H133+L133-M133-N133),"Unavailable"))</x:f>
        <x:v>0</x:v>
      </x:c>
      <x:c r="Q133" s="23" t="n">
        <x:f>IF(C133="","",IFERROR(IF(OR(D133&gt;=INDEX('Facilities'!$J$9:$J$108,MATCH(C133,'Facilities'!$C$9:$C$108,0)),AND(AC133&gt;=0,AC133&lt;=D133)),0,MAX(0,I133-J133)),"Unavailable"))</x:f>
        <x:v>1.311</x:v>
      </x:c>
      <x:c r="R133" s="30" t="n">
        <x:f>IF(C133="","",IFERROR(INDEX(Credit!$Q$109:$Q$208,MATCH(F133,Credit!$C$109:$C$208,0)),"Unavailable"))</x:f>
        <x:v>0.01861963249173496</x:v>
      </x:c>
      <x:c r="S133" s="30" t="n">
        <x:f>IF(C133="","",IFERROR(INDEX(Credit!$R$109:$R$208,MATCH(F133,Credit!$C$109:$C$208,0)),"Unavailable"))</x:f>
        <x:v>0.36078848</x:v>
      </x:c>
      <x:c r="T133" s="23" t="n">
        <x:f>IF(C133="","",IFERROR(IF(P133&gt;0,3,IF(OR(INDEX('Facilities'!$AD$9:$AD$108,MATCH(C133,'Facilities'!$C$9:$C$108,0))=2,AND(R133&gt;=INDEX('Facilities'!$L$9:$L$108,MATCH(C133,'Facilities'!$C$9:$C$108,0))*Settings!$F$19,R133-INDEX('Facilities'!$L$9:$L$108,MATCH(C133,'Facilities'!$C$9:$C$108,0))&gt;=Settings!$F$20)),2,1)),"Unavailable"))</x:f>
        <x:v>2</x:v>
      </x:c>
      <x:c r="U133" s="23" t="n">
        <x:f>IF(C133="","",IF(AQ133&lt;&gt;"Ready","Unavailable",IF(C133="","",O133*(1-(1-S133)/(1+INDEX('Facilities'!$K$9:$K$108,MATCH(C133,'Facilities'!$C$9:$C$108,0)))^INDEX('Facilities'!$AK$9:$AK$108,MATCH(C133,'Facilities'!$C$9:$C$108,0)))*R133/(1+INDEX('Facilities'!$K$9:$K$108,MATCH(C133,'Facilities'!$C$9:$C$108,0)))*IF(ABS(1-(1-R133)*(1-INDEX('Facilities'!$R$9:$R$108,MATCH(C133,'Facilities'!$C$9:$C$108,0)))/(1+INDEX('Facilities'!$K$9:$K$108,MATCH(C133,'Facilities'!$C$9:$C$108,0))))&lt;0.000000001,IF(T133=1,MIN(1,AJ133),AJ133),(1-((1-R133)*(1-INDEX('Facilities'!$R$9:$R$108,MATCH(C133,'Facilities'!$C$9:$C$108,0)))/(1+INDEX('Facilities'!$K$9:$K$108,MATCH(C133,'Facilities'!$C$9:$C$108,0))))^IF(T133=1,MIN(1,AJ133),AJ133))/(1-(1-R133)*(1-INDEX('Facilities'!$R$9:$R$108,MATCH(C133,'Facilities'!$C$9:$C$108,0)))/(1+INDEX('Facilities'!$K$9:$K$108,MATCH(C133,'Facilities'!$C$9:$C$108,0)))))+AL133)))</x:f>
        <x:v>0.19120462685565087</x:v>
      </x:c>
      <x:c r="V133" s="23" t="n">
        <x:f>IF(C133="","",IF(AQ133&lt;&gt;"Ready","Unavailable",IF(C133="","",Q133*INDEX('Facilities'!$I$9:$I$108,MATCH(C133,'Facilities'!$C$9:$C$108,0))*(1-(1-S133)/(1+INDEX('Facilities'!$K$9:$K$108,MATCH(C133,'Facilities'!$C$9:$C$108,0)))^INDEX('Facilities'!$AK$9:$AK$108,MATCH(C133,'Facilities'!$C$9:$C$108,0)))*R133/(1+INDEX('Facilities'!$K$9:$K$108,MATCH(C133,'Facilities'!$C$9:$C$108,0)))*IF(ABS(1-(1-R133)*(1-0)/(1+INDEX('Facilities'!$K$9:$K$108,MATCH(C133,'Facilities'!$C$9:$C$108,0))))&lt;0.000000001,IF(T133=1,MIN(1,AJ133),AJ133),(1-((1-R133)*(1-0)/(1+INDEX('Facilities'!$K$9:$K$108,MATCH(C133,'Facilities'!$C$9:$C$108,0))))^IF(T133=1,MIN(1,AJ133),AJ133))/(1-(1-R133)*(1-0)/(1+INDEX('Facilities'!$K$9:$K$108,MATCH(C133,'Facilities'!$C$9:$C$108,0))))))))</x:f>
        <x:v>0.021281877686061858</x:v>
      </x:c>
      <x:c r="W133" s="21" t="n">
        <x:f>IF(C133="","",IFERROR(U33,"Unavailable"))</x:f>
        <x:v>0.19218982216981947</x:v>
      </x:c>
      <x:c r="X133" s="21" t="n">
        <x:f>IF(C133="","",IFERROR(V33,"Unavailable"))</x:f>
        <x:v>0.02178612910705008</x:v>
      </x:c>
      <x:c r="Y133" s="21" t="n">
        <x:f>IF(C133="","",IF(AQ133&lt;&gt;"Ready","Unavailable",IF(C133="","",U133-W133+V133-X133+N133+AG133)))</x:f>
        <x:v>-0.0014894467351568227</x:v>
      </x:c>
      <x:c r="Z133" s="23" t="n">
        <x:f>IF(C133="","",IF(AQ133&lt;&gt;"Ready","Unavailable",IF(C133="","",(G133+O133+L133)/2*INDEX('Facilities'!$T$9:$T$108,MATCH(C133,'Facilities'!$C$9:$C$108,0))+AG133)))</x:f>
        <x:v>0.7350852999999999</x:v>
      </x:c>
      <x:c r="AA133" s="23" t="n">
        <x:f>IF(C133="","",IF(AQ133&lt;&gt;"Ready","Unavailable",IF(C133="","",O133*(1-IF(INDEX('Facilities'!$AA$9:$AA$108,MATCH(C133,'Facilities'!$C$9:$C$108,0))=0,0,MIN(1,INDEX('Facilities'!$X$9:$X$108,MATCH(C133,'Facilities'!$C$9:$C$108,0))/INDEX('Facilities'!$AA$9:$AA$108,MATCH(C133,'Facilities'!$C$9:$C$108,0)))))*AF133+P133*(1-IF(INDEX('Facilities'!$AA$9:$AA$108,MATCH(C133,'Facilities'!$C$9:$C$108,0))=0,0,MIN(1,INDEX('Facilities'!$X$9:$X$108,MATCH(C133,'Facilities'!$C$9:$C$108,0))/INDEX('Facilities'!$AA$9:$AA$108,MATCH(C133,'Facilities'!$C$9:$C$108,0)))))*INDEX('Facilities'!$AJ$9:$AJ$108,MATCH(C133,'Facilities'!$C$9:$C$108,0))+Q133*INDEX('Facilities'!$AI$9:$AI$108,MATCH(C133,'Facilities'!$C$9:$C$108,0))*AF133)))</x:f>
        <x:v>8.29171275744</x:v>
      </x:c>
      <x:c r="AB133" s="21" t="n">
        <x:f>IF(C133="","",O133+P133-AD133)</x:f>
        <x:v>-0.8665199999999995</x:v>
      </x:c>
      <x:c r="AC133" s="23" t="n">
        <x:f>IF(C133="","",IFERROR(IF(INDEX('Facilities'!$AD$9:$AD$108,MATCH(C133,'Facilities'!$C$9:$C$108,0))=3,0,IF(INDEX('Facilities'!$AN$9:$AN$108,MATCH(C133,'Facilities'!$C$9:$C$108,0))=0,-1,INDEX('Facilities'!$AN$9:$AN$108,MATCH(C133,'Facilities'!$C$9:$C$108,0)))),"Unavailable"))</x:f>
        <x:v>-1</x:v>
      </x:c>
      <x:c r="AD133" s="21" t="n">
        <x:f>IF(C133="","",IFERROR(G133+H133,"Unavailable"))</x:f>
        <x:v>8.171</x:v>
      </x:c>
      <x:c r="AE133" s="21" t="n">
        <x:f>IF(C133="","",IF(AQ133&lt;&gt;"Ready","Unavailable",IF(C133="","",O133+P133-AD133-J133+K133+M133+N133)))</x:f>
        <x:v>3.3306690738754696e-16</x:v>
      </x:c>
      <x:c r="AF133" s="30" t="n">
        <x:f>IF(C133="","",IFERROR(INDEX('Facilities'!$S$9:$S$108,MATCH(C133,'Facilities'!$C$9:$C$108,0))*'Scenario Paths'!G75,"Unavailable"))</x:f>
        <x:v>1.05</x:v>
      </x:c>
      <x:c r="AG133" s="23" t="n">
        <x:f>IF(C133="","",IF(AQ133&lt;&gt;"Ready","Unavailable",IF(C133="","",IF(H133&gt;0,MAX(0,H133-AK133)*((1+INDEX('Facilities'!$K$9:$K$108,MATCH(C133,'Facilities'!$C$9:$C$108,0)))^MIN(1,MAX(0,AC133+INDEX('Facilities'!$AK$9:$AK$108,MATCH(C133,'Facilities'!$C$9:$C$108,0))-D133+1))-1),0))))</x:f>
        <x:v>0</x:v>
      </x:c>
      <x:c r="AH133" s="21" t="n">
        <x:f>IF(C133="","",IF(AQ133&lt;&gt;"Ready","Unavailable",IF(C133="","",O133+P133)))</x:f>
        <x:v>7.30448</x:v>
      </x:c>
      <x:c r="AI133" s="21" t="n">
        <x:f>IF(C133="","",IF(AQ133&lt;&gt;"Ready","Unavailable",IF(C133="","",Z133-Y133)))</x:f>
        <x:v>0.7365747467351568</x:v>
      </x:c>
      <x:c r="AJ133" s="23" t="n">
        <x:f>IF(C133="","",IFERROR(MAX(0,INDEX('Facilities'!$J$9:$J$108,MATCH(C133,'Facilities'!$C$9:$C$108,0))-D133),"Unavailable"))</x:f>
        <x:v>5</x:v>
      </x:c>
      <x:c r="AK133" s="21" t="n">
        <x:f>IF(C133="","",IFERROR(AL33,"Unavailable"))</x:f>
        <x:v>0</x:v>
      </x:c>
      <x:c r="AL133" s="23" t="n">
        <x:f>IF(C133="","",IFERROR(IF(P133&gt;0,P133*(1-AM133/(1+INDEX('Facilities'!$K$9:$K$108,MATCH(C133,'Facilities'!$C$9:$C$108,0)))^MAX(0,AC133+INDEX('Facilities'!$AK$9:$AK$108,MATCH(C133,'Facilities'!$C$9:$C$108,0))-D133)),0),"Unavailable"))</x:f>
        <x:v>0</x:v>
      </x:c>
      <x:c r="AM133" s="30" t="n">
        <x:f>IF(C133="","",IFERROR(INDEX('Facilities'!$AL$9:$AL$108,MATCH(C133,'Facilities'!$C$9:$C$108,0)),"Unavailable"))</x:f>
        <x:v>0.55</x:v>
      </x:c>
      <x:c r="AN133" s="30" t="n">
        <x:f>IF(C133="","",IFERROR(INDEX(Credit!$T$109:$T$208,MATCH(F133,Credit!$C$109:$C$208,0)),"Unavailable"))</x:f>
        <x:v>0.001232</x:v>
      </x:c>
      <x:c r="AO133" s="23" t="n">
        <x:f>IF(C133="","",IF(AQ133&lt;&gt;"Ready","Unavailable",IF(C133="","",O133+P133+Q133*INDEX('Facilities'!$I$9:$I$108,MATCH(C133,'Facilities'!$C$9:$C$108,0)))))</x:f>
        <x:v>7.95998</x:v>
      </x:c>
      <x:c r="AP133" s="21" t="n">
        <x:f>IF(C133="","",IF(AQ133&lt;&gt;"Ready","Unavailable",IF(C133="","",AH133-U133)))</x:f>
        <x:v>7.113275373144349</x:v>
      </x:c>
      <x:c r="AQ133" s="23" t="str">
        <x:f>IFERROR(IF(C133="","",IF(AND(INDEX('Facilities'!$AF$9:$AF$108,MATCH(C133,'Facilities'!$C$9:$C$108,0))="Ready",INDEX(Credit!$U$109:$U$208,MATCH(F133,Credit!$C$109:$C$208,0))="Ready",ISNUMBER(W133)),"Ready","Review inputs")),"Review inputs")</x:f>
        <x:v>Ready</x:v>
      </x:c>
      <x:c r="AR133" s="23" t="n">
        <x:f>IF(C133="","",IF(AQ133&lt;&gt;"Ready","Unavailable",IF(C133="","",IF(O133=0,0,(IF(AJ133&lt;=1,O133,O133*INDEX('Facilities'!$R$9:$R$108,MATCH(C133,'Facilities'!$C$9:$C$108,0)))+O133*INDEX('Facilities'!$T$9:$T$108,MATCH(C133,'Facilities'!$C$9:$C$108,0)))/12))))</x:f>
        <x:v>0.13087193333333333</x:v>
      </x:c>
    </x:row>
    <x:row r="134" ht="26" customHeight="1">
      <x:c r="A134" s="1"/>
      <x:c r="B134" s="1"/>
      <x:c r="C134" s="9" t="str">
        <x:f>IF(Facilities!C34="","",Facilities!C34)</x:f>
        <x:v>F026</x:v>
      </x:c>
      <x:c r="D134" s="3" t="n">
        <x:v>2</x:v>
      </x:c>
      <x:c r="E134" s="9" t="n">
        <x:f>Settings!$F$18+1</x:f>
        <x:v>2028</x:v>
      </x:c>
      <x:c r="F134" s="9" t="str">
        <x:f>IF(C134="","",IFERROR(INDEX('Facilities'!$D$9:$D$108,MATCH(C134,'Facilities'!$C$9:$C$108,0)),"Unavailable"))</x:f>
        <x:v>B014</x:v>
      </x:c>
      <x:c r="G134" s="21" t="n">
        <x:f>IF(C134="","",IFERROR(O34,"Unavailable"))</x:f>
        <x:v>8.479</x:v>
      </x:c>
      <x:c r="H134" s="21" t="n">
        <x:f>IF(C134="","",IFERROR(P34,"Unavailable"))</x:f>
        <x:v>0</x:v>
      </x:c>
      <x:c r="I134" s="21" t="n">
        <x:f>IF(C134="","",IFERROR(Q34,"Unavailable"))</x:f>
        <x:v>1.425</x:v>
      </x:c>
      <x:c r="J134" s="23" t="n">
        <x:f>IF(C134="","",IFERROR(IF(OR(H134&gt;0,AND(AC134&gt;=0,AC134&lt;D134),D134&gt;INDEX('Facilities'!$J$9:$J$108,MATCH(C134,'Facilities'!$C$9:$C$108,0))),0,I134*'Scenario Paths'!G81),"Unavailable"))</x:f>
        <x:v>0.114</x:v>
      </x:c>
      <x:c r="K134" s="23" t="n">
        <x:f>IF(C134="","",IFERROR(IF(OR(H134&gt;0,AND(AC134&gt;=0,AC134=D134)),0,IF(D134&gt;=INDEX('Facilities'!$J$9:$J$108,MATCH(C134,'Facilities'!$C$9:$C$108,0)),G134+J134,MIN(G134+J134,G134*INDEX('Facilities'!$R$9:$R$108,MATCH(C134,'Facilities'!$C$9:$C$108,0))))),"Unavailable"))</x:f>
        <x:v>1.01748</x:v>
      </x:c>
      <x:c r="L134" s="21" t="n">
        <x:f>IF(C134="","",IFERROR(IF(AND(AC134=D134,AC134&gt;0),MAX(0,G134+J134-K134),0),"Unavailable"))</x:f>
        <x:v>0</x:v>
      </x:c>
      <x:c r="M134" s="23" t="n">
        <x:f>IF(C134="","",IFERROR(IF(AND(AC134&gt;=0,D134&gt;=AC134+INDEX('Facilities'!$AK$9:$AK$108,MATCH(C134,'Facilities'!$C$9:$C$108,0))),(H134+L134)*AM134,0),"Unavailable"))</x:f>
        <x:v>0</x:v>
      </x:c>
      <x:c r="N134" s="23" t="n">
        <x:f>IF(C134="","",IFERROR(IF(AND(AC134&gt;=0,D134&gt;=AC134+INDEX('Facilities'!$AK$9:$AK$108,MATCH(C134,'Facilities'!$C$9:$C$108,0))),H134+L134-M134,0),"Unavailable"))</x:f>
        <x:v>0</x:v>
      </x:c>
      <x:c r="O134" s="21" t="n">
        <x:f>IF(C134="","",IFERROR(MAX(0,G134+J134-K134-L134),"Unavailable"))</x:f>
        <x:v>7.57552</x:v>
      </x:c>
      <x:c r="P134" s="21" t="n">
        <x:f>IF(C134="","",IFERROR(MAX(0,H134+L134-M134-N134),"Unavailable"))</x:f>
        <x:v>0</x:v>
      </x:c>
      <x:c r="Q134" s="23" t="n">
        <x:f>IF(C134="","",IFERROR(IF(OR(D134&gt;=INDEX('Facilities'!$J$9:$J$108,MATCH(C134,'Facilities'!$C$9:$C$108,0)),AND(AC134&gt;=0,AC134&lt;=D134)),0,MAX(0,I134-J134)),"Unavailable"))</x:f>
        <x:v>1.311</x:v>
      </x:c>
      <x:c r="R134" s="30" t="n">
        <x:f>IF(C134="","",IFERROR(INDEX(Credit!$Q$109:$Q$208,MATCH(F134,Credit!$C$109:$C$208,0)),"Unavailable"))</x:f>
        <x:v>0.018834819018411875</x:v>
      </x:c>
      <x:c r="S134" s="30" t="n">
        <x:f>IF(C134="","",IFERROR(INDEX(Credit!$R$109:$R$208,MATCH(F134,Credit!$C$109:$C$208,0)),"Unavailable"))</x:f>
        <x:v>0.40134400000000003</x:v>
      </x:c>
      <x:c r="T134" s="23" t="n">
        <x:f>IF(C134="","",IFERROR(IF(P134&gt;0,3,IF(OR(INDEX('Facilities'!$AD$9:$AD$108,MATCH(C134,'Facilities'!$C$9:$C$108,0))=2,AND(R134&gt;=INDEX('Facilities'!$L$9:$L$108,MATCH(C134,'Facilities'!$C$9:$C$108,0))*Settings!$F$19,R134-INDEX('Facilities'!$L$9:$L$108,MATCH(C134,'Facilities'!$C$9:$C$108,0))&gt;=Settings!$F$20)),2,1)),"Unavailable"))</x:f>
        <x:v>1</x:v>
      </x:c>
      <x:c r="U134" s="23" t="n">
        <x:f>IF(C134="","",IF(AQ134&lt;&gt;"Ready","Unavailable",IF(C134="","",O134*(1-(1-S134)/(1+INDEX('Facilities'!$K$9:$K$108,MATCH(C134,'Facilities'!$C$9:$C$108,0)))^INDEX('Facilities'!$AK$9:$AK$108,MATCH(C134,'Facilities'!$C$9:$C$108,0)))*R134/(1+INDEX('Facilities'!$K$9:$K$108,MATCH(C134,'Facilities'!$C$9:$C$108,0)))*IF(ABS(1-(1-R134)*(1-INDEX('Facilities'!$R$9:$R$108,MATCH(C134,'Facilities'!$C$9:$C$108,0)))/(1+INDEX('Facilities'!$K$9:$K$108,MATCH(C134,'Facilities'!$C$9:$C$108,0))))&lt;0.000000001,IF(T134=1,MIN(1,AJ134),AJ134),(1-((1-R134)*(1-INDEX('Facilities'!$R$9:$R$108,MATCH(C134,'Facilities'!$C$9:$C$108,0)))/(1+INDEX('Facilities'!$K$9:$K$108,MATCH(C134,'Facilities'!$C$9:$C$108,0))))^IF(T134=1,MIN(1,AJ134),AJ134))/(1-(1-R134)*(1-INDEX('Facilities'!$R$9:$R$108,MATCH(C134,'Facilities'!$C$9:$C$108,0)))/(1+INDEX('Facilities'!$K$9:$K$108,MATCH(C134,'Facilities'!$C$9:$C$108,0)))))+AL134)))</x:f>
        <x:v>0.06430654655384137</x:v>
      </x:c>
      <x:c r="V134" s="23" t="n">
        <x:f>IF(C134="","",IF(AQ134&lt;&gt;"Ready","Unavailable",IF(C134="","",Q134*INDEX('Facilities'!$I$9:$I$108,MATCH(C134,'Facilities'!$C$9:$C$108,0))*(1-(1-S134)/(1+INDEX('Facilities'!$K$9:$K$108,MATCH(C134,'Facilities'!$C$9:$C$108,0)))^INDEX('Facilities'!$AK$9:$AK$108,MATCH(C134,'Facilities'!$C$9:$C$108,0)))*R134/(1+INDEX('Facilities'!$K$9:$K$108,MATCH(C134,'Facilities'!$C$9:$C$108,0)))*IF(ABS(1-(1-R134)*(1-0)/(1+INDEX('Facilities'!$K$9:$K$108,MATCH(C134,'Facilities'!$C$9:$C$108,0))))&lt;0.000000001,IF(T134=1,MIN(1,AJ134),AJ134),(1-((1-R134)*(1-0)/(1+INDEX('Facilities'!$K$9:$K$108,MATCH(C134,'Facilities'!$C$9:$C$108,0))))^IF(T134=1,MIN(1,AJ134),AJ134))/(1-(1-R134)*(1-0)/(1+INDEX('Facilities'!$K$9:$K$108,MATCH(C134,'Facilities'!$C$9:$C$108,0))))))))</x:f>
        <x:v>0.005564362745533378</x:v>
      </x:c>
      <x:c r="W134" s="21" t="n">
        <x:f>IF(C134="","",IFERROR(U34,"Unavailable"))</x:f>
        <x:v>0.07033313052799263</x:v>
      </x:c>
      <x:c r="X134" s="21" t="n">
        <x:f>IF(C134="","",IFERROR(V34,"Unavailable"))</x:f>
        <x:v>0.005910172838919064</x:v>
      </x:c>
      <x:c r="Y134" s="21" t="n">
        <x:f>IF(C134="","",IF(AQ134&lt;&gt;"Ready","Unavailable",IF(C134="","",U134-W134+V134-X134+N134+AG134)))</x:f>
        <x:v>-0.006372394067536948</x:v>
      </x:c>
      <x:c r="Z134" s="23" t="n">
        <x:f>IF(C134="","",IF(AQ134&lt;&gt;"Ready","Unavailable",IF(C134="","",(G134+O134+L134)/2*INDEX('Facilities'!$T$9:$T$108,MATCH(C134,'Facilities'!$C$9:$C$108,0))+AG134)))</x:f>
        <x:v>0.7625897</x:v>
      </x:c>
      <x:c r="AA134" s="23" t="n">
        <x:f>IF(C134="","",IF(AQ134&lt;&gt;"Ready","Unavailable",IF(C134="","",O134*(1-IF(INDEX('Facilities'!$AA$9:$AA$108,MATCH(C134,'Facilities'!$C$9:$C$108,0))=0,0,MIN(1,INDEX('Facilities'!$X$9:$X$108,MATCH(C134,'Facilities'!$C$9:$C$108,0))/INDEX('Facilities'!$AA$9:$AA$108,MATCH(C134,'Facilities'!$C$9:$C$108,0)))))*AF134+P134*(1-IF(INDEX('Facilities'!$AA$9:$AA$108,MATCH(C134,'Facilities'!$C$9:$C$108,0))=0,0,MIN(1,INDEX('Facilities'!$X$9:$X$108,MATCH(C134,'Facilities'!$C$9:$C$108,0))/INDEX('Facilities'!$AA$9:$AA$108,MATCH(C134,'Facilities'!$C$9:$C$108,0)))))*INDEX('Facilities'!$AJ$9:$AJ$108,MATCH(C134,'Facilities'!$C$9:$C$108,0))+Q134*INDEX('Facilities'!$AI$9:$AI$108,MATCH(C134,'Facilities'!$C$9:$C$108,0))*AF134)))</x:f>
        <x:v>8.5280291376</x:v>
      </x:c>
      <x:c r="AB134" s="21" t="n">
        <x:f>IF(C134="","",O134+P134-AD134)</x:f>
        <x:v>-0.9034799999999992</x:v>
      </x:c>
      <x:c r="AC134" s="23" t="n">
        <x:f>IF(C134="","",IFERROR(IF(INDEX('Facilities'!$AD$9:$AD$108,MATCH(C134,'Facilities'!$C$9:$C$108,0))=3,0,IF(INDEX('Facilities'!$AN$9:$AN$108,MATCH(C134,'Facilities'!$C$9:$C$108,0))=0,-1,INDEX('Facilities'!$AN$9:$AN$108,MATCH(C134,'Facilities'!$C$9:$C$108,0)))),"Unavailable"))</x:f>
        <x:v>-1</x:v>
      </x:c>
      <x:c r="AD134" s="21" t="n">
        <x:f>IF(C134="","",IFERROR(G134+H134,"Unavailable"))</x:f>
        <x:v>8.479</x:v>
      </x:c>
      <x:c r="AE134" s="21" t="n">
        <x:f>IF(C134="","",IF(AQ134&lt;&gt;"Ready","Unavailable",IF(C134="","",O134+P134-AD134-J134+K134+M134+N134)))</x:f>
        <x:v>6.661338147750939e-16</x:v>
      </x:c>
      <x:c r="AF134" s="30" t="n">
        <x:f>IF(C134="","",IFERROR(INDEX('Facilities'!$S$9:$S$108,MATCH(C134,'Facilities'!$C$9:$C$108,0))*'Scenario Paths'!G75,"Unavailable"))</x:f>
        <x:v>1.05</x:v>
      </x:c>
      <x:c r="AG134" s="23" t="n">
        <x:f>IF(C134="","",IF(AQ134&lt;&gt;"Ready","Unavailable",IF(C134="","",IF(H134&gt;0,MAX(0,H134-AK134)*((1+INDEX('Facilities'!$K$9:$K$108,MATCH(C134,'Facilities'!$C$9:$C$108,0)))^MIN(1,MAX(0,AC134+INDEX('Facilities'!$AK$9:$AK$108,MATCH(C134,'Facilities'!$C$9:$C$108,0))-D134+1))-1),0))))</x:f>
        <x:v>0</x:v>
      </x:c>
      <x:c r="AH134" s="21" t="n">
        <x:f>IF(C134="","",IF(AQ134&lt;&gt;"Ready","Unavailable",IF(C134="","",O134+P134)))</x:f>
        <x:v>7.57552</x:v>
      </x:c>
      <x:c r="AI134" s="21" t="n">
        <x:f>IF(C134="","",IF(AQ134&lt;&gt;"Ready","Unavailable",IF(C134="","",Z134-Y134)))</x:f>
        <x:v>0.768962094067537</x:v>
      </x:c>
      <x:c r="AJ134" s="23" t="n">
        <x:f>IF(C134="","",IFERROR(MAX(0,INDEX('Facilities'!$J$9:$J$108,MATCH(C134,'Facilities'!$C$9:$C$108,0))-D134),"Unavailable"))</x:f>
        <x:v>6</x:v>
      </x:c>
      <x:c r="AK134" s="21" t="n">
        <x:f>IF(C134="","",IFERROR(AL34,"Unavailable"))</x:f>
        <x:v>0</x:v>
      </x:c>
      <x:c r="AL134" s="23" t="n">
        <x:f>IF(C134="","",IFERROR(IF(P134&gt;0,P134*(1-AM134/(1+INDEX('Facilities'!$K$9:$K$108,MATCH(C134,'Facilities'!$C$9:$C$108,0)))^MAX(0,AC134+INDEX('Facilities'!$AK$9:$AK$108,MATCH(C134,'Facilities'!$C$9:$C$108,0))-D134)),0),"Unavailable"))</x:f>
        <x:v>0</x:v>
      </x:c>
      <x:c r="AM134" s="30" t="n">
        <x:f>IF(C134="","",IFERROR(INDEX('Facilities'!$AL$9:$AL$108,MATCH(C134,'Facilities'!$C$9:$C$108,0)),"Unavailable"))</x:f>
        <x:v>0.55</x:v>
      </x:c>
      <x:c r="AN134" s="30" t="n">
        <x:f>IF(C134="","",IFERROR(INDEX(Credit!$T$109:$T$208,MATCH(F134,Credit!$C$109:$C$208,0)),"Unavailable"))</x:f>
        <x:v>0.0022400000000000002</x:v>
      </x:c>
      <x:c r="AO134" s="23" t="n">
        <x:f>IF(C134="","",IF(AQ134&lt;&gt;"Ready","Unavailable",IF(C134="","",O134+P134+Q134*INDEX('Facilities'!$I$9:$I$108,MATCH(C134,'Facilities'!$C$9:$C$108,0)))))</x:f>
        <x:v>8.231020000000001</x:v>
      </x:c>
      <x:c r="AP134" s="21" t="n">
        <x:f>IF(C134="","",IF(AQ134&lt;&gt;"Ready","Unavailable",IF(C134="","",AH134-U134)))</x:f>
        <x:v>7.5112134534461585</x:v>
      </x:c>
      <x:c r="AQ134" s="23" t="str">
        <x:f>IFERROR(IF(C134="","",IF(AND(INDEX('Facilities'!$AF$9:$AF$108,MATCH(C134,'Facilities'!$C$9:$C$108,0))="Ready",INDEX(Credit!$U$109:$U$208,MATCH(F134,Credit!$C$109:$C$208,0))="Ready",ISNUMBER(W134)),"Ready","Review inputs")),"Review inputs")</x:f>
        <x:v>Ready</x:v>
      </x:c>
      <x:c r="AR134" s="23" t="n">
        <x:f>IF(C134="","",IF(AQ134&lt;&gt;"Ready","Unavailable",IF(C134="","",IF(O134=0,0,(IF(AJ134&lt;=1,O134,O134*INDEX('Facilities'!$R$9:$R$108,MATCH(C134,'Facilities'!$C$9:$C$108,0)))+O134*INDEX('Facilities'!$T$9:$T$108,MATCH(C134,'Facilities'!$C$9:$C$108,0)))/12))))</x:f>
        <x:v>0.13572806666666667</x:v>
      </x:c>
    </x:row>
    <x:row r="135" ht="26" customHeight="1">
      <x:c r="A135" s="1"/>
      <x:c r="B135" s="1"/>
      <x:c r="C135" s="9" t="str">
        <x:f>IF(Facilities!C35="","",Facilities!C35)</x:f>
        <x:v>F027</x:v>
      </x:c>
      <x:c r="D135" s="3" t="n">
        <x:v>2</x:v>
      </x:c>
      <x:c r="E135" s="9" t="n">
        <x:f>Settings!$F$18+1</x:f>
        <x:v>2028</x:v>
      </x:c>
      <x:c r="F135" s="9" t="str">
        <x:f>IF(C135="","",IFERROR(INDEX('Facilities'!$D$9:$D$108,MATCH(C135,'Facilities'!$C$9:$C$108,0)),"Unavailable"))</x:f>
        <x:v>B015</x:v>
      </x:c>
      <x:c r="G135" s="21" t="n">
        <x:f>IF(C135="","",IFERROR(O35,"Unavailable"))</x:f>
        <x:v>8.786999999999999</x:v>
      </x:c>
      <x:c r="H135" s="21" t="n">
        <x:f>IF(C135="","",IFERROR(P35,"Unavailable"))</x:f>
        <x:v>0</x:v>
      </x:c>
      <x:c r="I135" s="21" t="n">
        <x:f>IF(C135="","",IFERROR(Q35,"Unavailable"))</x:f>
        <x:v>1.425</x:v>
      </x:c>
      <x:c r="J135" s="23" t="n">
        <x:f>IF(C135="","",IFERROR(IF(OR(H135&gt;0,AND(AC135&gt;=0,AC135&lt;D135),D135&gt;INDEX('Facilities'!$J$9:$J$108,MATCH(C135,'Facilities'!$C$9:$C$108,0))),0,I135*'Scenario Paths'!G81),"Unavailable"))</x:f>
        <x:v>0.114</x:v>
      </x:c>
      <x:c r="K135" s="23" t="n">
        <x:f>IF(C135="","",IFERROR(IF(OR(H135&gt;0,AND(AC135&gt;=0,AC135=D135)),0,IF(D135&gt;=INDEX('Facilities'!$J$9:$J$108,MATCH(C135,'Facilities'!$C$9:$C$108,0)),G135+J135,MIN(G135+J135,G135*INDEX('Facilities'!$R$9:$R$108,MATCH(C135,'Facilities'!$C$9:$C$108,0))))),"Unavailable"))</x:f>
        <x:v>1.0544399999999998</x:v>
      </x:c>
      <x:c r="L135" s="21" t="n">
        <x:f>IF(C135="","",IFERROR(IF(AND(AC135=D135,AC135&gt;0),MAX(0,G135+J135-K135),0),"Unavailable"))</x:f>
        <x:v>0</x:v>
      </x:c>
      <x:c r="M135" s="23" t="n">
        <x:f>IF(C135="","",IFERROR(IF(AND(AC135&gt;=0,D135&gt;=AC135+INDEX('Facilities'!$AK$9:$AK$108,MATCH(C135,'Facilities'!$C$9:$C$108,0))),(H135+L135)*AM135,0),"Unavailable"))</x:f>
        <x:v>0</x:v>
      </x:c>
      <x:c r="N135" s="23" t="n">
        <x:f>IF(C135="","",IFERROR(IF(AND(AC135&gt;=0,D135&gt;=AC135+INDEX('Facilities'!$AK$9:$AK$108,MATCH(C135,'Facilities'!$C$9:$C$108,0))),H135+L135-M135,0),"Unavailable"))</x:f>
        <x:v>0</x:v>
      </x:c>
      <x:c r="O135" s="21" t="n">
        <x:f>IF(C135="","",IFERROR(MAX(0,G135+J135-K135-L135),"Unavailable"))</x:f>
        <x:v>7.84656</x:v>
      </x:c>
      <x:c r="P135" s="21" t="n">
        <x:f>IF(C135="","",IFERROR(MAX(0,H135+L135-M135-N135),"Unavailable"))</x:f>
        <x:v>0</x:v>
      </x:c>
      <x:c r="Q135" s="23" t="n">
        <x:f>IF(C135="","",IFERROR(IF(OR(D135&gt;=INDEX('Facilities'!$J$9:$J$108,MATCH(C135,'Facilities'!$C$9:$C$108,0)),AND(AC135&gt;=0,AC135&lt;=D135)),0,MAX(0,I135-J135)),"Unavailable"))</x:f>
        <x:v>1.311</x:v>
      </x:c>
      <x:c r="R135" s="30" t="n">
        <x:f>IF(C135="","",IFERROR(INDEX(Credit!$Q$109:$Q$208,MATCH(F135,Credit!$C$109:$C$208,0)),"Unavailable"))</x:f>
        <x:v>0.031629773283296574</x:v>
      </x:c>
      <x:c r="S135" s="30" t="n">
        <x:f>IF(C135="","",IFERROR(INDEX(Credit!$R$109:$R$208,MATCH(F135,Credit!$C$109:$C$208,0)),"Unavailable"))</x:f>
        <x:v>0.44198016000000007</x:v>
      </x:c>
      <x:c r="T135" s="23" t="n">
        <x:f>IF(C135="","",IFERROR(IF(P135&gt;0,3,IF(OR(INDEX('Facilities'!$AD$9:$AD$108,MATCH(C135,'Facilities'!$C$9:$C$108,0))=2,AND(R135&gt;=INDEX('Facilities'!$L$9:$L$108,MATCH(C135,'Facilities'!$C$9:$C$108,0))*Settings!$F$19,R135-INDEX('Facilities'!$L$9:$L$108,MATCH(C135,'Facilities'!$C$9:$C$108,0))&gt;=Settings!$F$20)),2,1)),"Unavailable"))</x:f>
        <x:v>1</x:v>
      </x:c>
      <x:c r="U135" s="23" t="n">
        <x:f>IF(C135="","",IF(AQ135&lt;&gt;"Ready","Unavailable",IF(C135="","",O135*(1-(1-S135)/(1+INDEX('Facilities'!$K$9:$K$108,MATCH(C135,'Facilities'!$C$9:$C$108,0)))^INDEX('Facilities'!$AK$9:$AK$108,MATCH(C135,'Facilities'!$C$9:$C$108,0)))*R135/(1+INDEX('Facilities'!$K$9:$K$108,MATCH(C135,'Facilities'!$C$9:$C$108,0)))*IF(ABS(1-(1-R135)*(1-INDEX('Facilities'!$R$9:$R$108,MATCH(C135,'Facilities'!$C$9:$C$108,0)))/(1+INDEX('Facilities'!$K$9:$K$108,MATCH(C135,'Facilities'!$C$9:$C$108,0))))&lt;0.000000001,IF(T135=1,MIN(1,AJ135),AJ135),(1-((1-R135)*(1-INDEX('Facilities'!$R$9:$R$108,MATCH(C135,'Facilities'!$C$9:$C$108,0)))/(1+INDEX('Facilities'!$K$9:$K$108,MATCH(C135,'Facilities'!$C$9:$C$108,0))))^IF(T135=1,MIN(1,AJ135),AJ135))/(1-(1-R135)*(1-INDEX('Facilities'!$R$9:$R$108,MATCH(C135,'Facilities'!$C$9:$C$108,0)))/(1+INDEX('Facilities'!$K$9:$K$108,MATCH(C135,'Facilities'!$C$9:$C$108,0)))))+AL135)))</x:f>
        <x:v>0.11986134735554721</x:v>
      </x:c>
      <x:c r="V135" s="23" t="n">
        <x:f>IF(C135="","",IF(AQ135&lt;&gt;"Ready","Unavailable",IF(C135="","",Q135*INDEX('Facilities'!$I$9:$I$108,MATCH(C135,'Facilities'!$C$9:$C$108,0))*(1-(1-S135)/(1+INDEX('Facilities'!$K$9:$K$108,MATCH(C135,'Facilities'!$C$9:$C$108,0)))^INDEX('Facilities'!$AK$9:$AK$108,MATCH(C135,'Facilities'!$C$9:$C$108,0)))*R135/(1+INDEX('Facilities'!$K$9:$K$108,MATCH(C135,'Facilities'!$C$9:$C$108,0)))*IF(ABS(1-(1-R135)*(1-0)/(1+INDEX('Facilities'!$K$9:$K$108,MATCH(C135,'Facilities'!$C$9:$C$108,0))))&lt;0.000000001,IF(T135=1,MIN(1,AJ135),AJ135),(1-((1-R135)*(1-0)/(1+INDEX('Facilities'!$K$9:$K$108,MATCH(C135,'Facilities'!$C$9:$C$108,0))))^IF(T135=1,MIN(1,AJ135),AJ135))/(1-(1-R135)*(1-0)/(1+INDEX('Facilities'!$K$9:$K$108,MATCH(C135,'Facilities'!$C$9:$C$108,0))))))))</x:f>
        <x:v>0.010013192174858944</x:v>
      </x:c>
      <x:c r="W135" s="21" t="n">
        <x:f>IF(C135="","",IFERROR(U35,"Unavailable"))</x:f>
        <x:v>0.1169638978378821</x:v>
      </x:c>
      <x:c r="X135" s="21" t="n">
        <x:f>IF(C135="","",IFERROR(V35,"Unavailable"))</x:f>
        <x:v>0.009484098919937522</x:v>
      </x:c>
      <x:c r="Y135" s="21" t="n">
        <x:f>IF(C135="","",IF(AQ135&lt;&gt;"Ready","Unavailable",IF(C135="","",U135-W135+V135-X135+N135+AG135)))</x:f>
        <x:v>0.0034265427725865376</x:v>
      </x:c>
      <x:c r="Z135" s="23" t="n">
        <x:f>IF(C135="","",IF(AQ135&lt;&gt;"Ready","Unavailable",IF(C135="","",(G135+O135+L135)/2*INDEX('Facilities'!$T$9:$T$108,MATCH(C135,'Facilities'!$C$9:$C$108,0))+AG135)))</x:f>
        <x:v>0.7900941</x:v>
      </x:c>
      <x:c r="AA135" s="23" t="n">
        <x:f>IF(C135="","",IF(AQ135&lt;&gt;"Ready","Unavailable",IF(C135="","",O135*(1-IF(INDEX('Facilities'!$AA$9:$AA$108,MATCH(C135,'Facilities'!$C$9:$C$108,0))=0,0,MIN(1,INDEX('Facilities'!$X$9:$X$108,MATCH(C135,'Facilities'!$C$9:$C$108,0))/INDEX('Facilities'!$AA$9:$AA$108,MATCH(C135,'Facilities'!$C$9:$C$108,0)))))*AF135+P135*(1-IF(INDEX('Facilities'!$AA$9:$AA$108,MATCH(C135,'Facilities'!$C$9:$C$108,0))=0,0,MIN(1,INDEX('Facilities'!$X$9:$X$108,MATCH(C135,'Facilities'!$C$9:$C$108,0))/INDEX('Facilities'!$AA$9:$AA$108,MATCH(C135,'Facilities'!$C$9:$C$108,0)))))*INDEX('Facilities'!$AJ$9:$AJ$108,MATCH(C135,'Facilities'!$C$9:$C$108,0))+Q135*INDEX('Facilities'!$AI$9:$AI$108,MATCH(C135,'Facilities'!$C$9:$C$108,0))*AF135)))</x:f>
        <x:v>8.753157685440002</x:v>
      </x:c>
      <x:c r="AB135" s="21" t="n">
        <x:f>IF(C135="","",O135+P135-AD135)</x:f>
        <x:v>-0.9404399999999988</x:v>
      </x:c>
      <x:c r="AC135" s="23" t="n">
        <x:f>IF(C135="","",IFERROR(IF(INDEX('Facilities'!$AD$9:$AD$108,MATCH(C135,'Facilities'!$C$9:$C$108,0))=3,0,IF(INDEX('Facilities'!$AN$9:$AN$108,MATCH(C135,'Facilities'!$C$9:$C$108,0))=0,-1,INDEX('Facilities'!$AN$9:$AN$108,MATCH(C135,'Facilities'!$C$9:$C$108,0)))),"Unavailable"))</x:f>
        <x:v>-1</x:v>
      </x:c>
      <x:c r="AD135" s="21" t="n">
        <x:f>IF(C135="","",IFERROR(G135+H135,"Unavailable"))</x:f>
        <x:v>8.786999999999999</x:v>
      </x:c>
      <x:c r="AE135" s="21" t="n">
        <x:f>IF(C135="","",IF(AQ135&lt;&gt;"Ready","Unavailable",IF(C135="","",O135+P135-AD135-J135+K135+M135+N135)))</x:f>
        <x:v>8.881784197001252e-16</x:v>
      </x:c>
      <x:c r="AF135" s="30" t="n">
        <x:f>IF(C135="","",IFERROR(INDEX('Facilities'!$S$9:$S$108,MATCH(C135,'Facilities'!$C$9:$C$108,0))*'Scenario Paths'!G75,"Unavailable"))</x:f>
        <x:v>1.05</x:v>
      </x:c>
      <x:c r="AG135" s="23" t="n">
        <x:f>IF(C135="","",IF(AQ135&lt;&gt;"Ready","Unavailable",IF(C135="","",IF(H135&gt;0,MAX(0,H135-AK135)*((1+INDEX('Facilities'!$K$9:$K$108,MATCH(C135,'Facilities'!$C$9:$C$108,0)))^MIN(1,MAX(0,AC135+INDEX('Facilities'!$AK$9:$AK$108,MATCH(C135,'Facilities'!$C$9:$C$108,0))-D135+1))-1),0))))</x:f>
        <x:v>0</x:v>
      </x:c>
      <x:c r="AH135" s="21" t="n">
        <x:f>IF(C135="","",IF(AQ135&lt;&gt;"Ready","Unavailable",IF(C135="","",O135+P135)))</x:f>
        <x:v>7.84656</x:v>
      </x:c>
      <x:c r="AI135" s="21" t="n">
        <x:f>IF(C135="","",IF(AQ135&lt;&gt;"Ready","Unavailable",IF(C135="","",Z135-Y135)))</x:f>
        <x:v>0.7866675572274134</x:v>
      </x:c>
      <x:c r="AJ135" s="23" t="n">
        <x:f>IF(C135="","",IFERROR(MAX(0,INDEX('Facilities'!$J$9:$J$108,MATCH(C135,'Facilities'!$C$9:$C$108,0))-D135),"Unavailable"))</x:f>
        <x:v>10</x:v>
      </x:c>
      <x:c r="AK135" s="21" t="n">
        <x:f>IF(C135="","",IFERROR(AL35,"Unavailable"))</x:f>
        <x:v>0</x:v>
      </x:c>
      <x:c r="AL135" s="23" t="n">
        <x:f>IF(C135="","",IFERROR(IF(P135&gt;0,P135*(1-AM135/(1+INDEX('Facilities'!$K$9:$K$108,MATCH(C135,'Facilities'!$C$9:$C$108,0)))^MAX(0,AC135+INDEX('Facilities'!$AK$9:$AK$108,MATCH(C135,'Facilities'!$C$9:$C$108,0))-D135)),0),"Unavailable"))</x:f>
        <x:v>0</x:v>
      </x:c>
      <x:c r="AM135" s="30" t="n">
        <x:f>IF(C135="","",IFERROR(INDEX('Facilities'!$AL$9:$AL$108,MATCH(C135,'Facilities'!$C$9:$C$108,0)),"Unavailable"))</x:f>
        <x:v>0.55</x:v>
      </x:c>
      <x:c r="AN135" s="30" t="n">
        <x:f>IF(C135="","",IFERROR(INDEX(Credit!$T$109:$T$208,MATCH(F135,Credit!$C$109:$C$208,0)),"Unavailable"))</x:f>
        <x:v>0.003535999999999999</x:v>
      </x:c>
      <x:c r="AO135" s="23" t="n">
        <x:f>IF(C135="","",IF(AQ135&lt;&gt;"Ready","Unavailable",IF(C135="","",O135+P135+Q135*INDEX('Facilities'!$I$9:$I$108,MATCH(C135,'Facilities'!$C$9:$C$108,0)))))</x:f>
        <x:v>8.50206</x:v>
      </x:c>
      <x:c r="AP135" s="21" t="n">
        <x:f>IF(C135="","",IF(AQ135&lt;&gt;"Ready","Unavailable",IF(C135="","",AH135-U135)))</x:f>
        <x:v>7.726698652644453</x:v>
      </x:c>
      <x:c r="AQ135" s="23" t="str">
        <x:f>IFERROR(IF(C135="","",IF(AND(INDEX('Facilities'!$AF$9:$AF$108,MATCH(C135,'Facilities'!$C$9:$C$108,0))="Ready",INDEX(Credit!$U$109:$U$208,MATCH(F135,Credit!$C$109:$C$208,0))="Ready",ISNUMBER(W135)),"Ready","Review inputs")),"Review inputs")</x:f>
        <x:v>Ready</x:v>
      </x:c>
      <x:c r="AR135" s="23" t="n">
        <x:f>IF(C135="","",IF(AQ135&lt;&gt;"Ready","Unavailable",IF(C135="","",IF(O135=0,0,(IF(AJ135&lt;=1,O135,O135*INDEX('Facilities'!$R$9:$R$108,MATCH(C135,'Facilities'!$C$9:$C$108,0)))+O135*INDEX('Facilities'!$T$9:$T$108,MATCH(C135,'Facilities'!$C$9:$C$108,0)))/12))))</x:f>
        <x:v>0.14058420000000002</x:v>
      </x:c>
    </x:row>
    <x:row r="136" ht="26" customHeight="1">
      <x:c r="A136" s="1"/>
      <x:c r="B136" s="1"/>
      <x:c r="C136" s="9" t="str">
        <x:f>IF(Facilities!C36="","",Facilities!C36)</x:f>
        <x:v>F028</x:v>
      </x:c>
      <x:c r="D136" s="3" t="n">
        <x:v>2</x:v>
      </x:c>
      <x:c r="E136" s="9" t="n">
        <x:f>Settings!$F$18+1</x:f>
        <x:v>2028</x:v>
      </x:c>
      <x:c r="F136" s="9" t="str">
        <x:f>IF(C136="","",IFERROR(INDEX('Facilities'!$D$9:$D$108,MATCH(C136,'Facilities'!$C$9:$C$108,0)),"Unavailable"))</x:f>
        <x:v>B016</x:v>
      </x:c>
      <x:c r="G136" s="21" t="n">
        <x:f>IF(C136="","",IFERROR(O36,"Unavailable"))</x:f>
        <x:v>9.094999999999999</x:v>
      </x:c>
      <x:c r="H136" s="21" t="n">
        <x:f>IF(C136="","",IFERROR(P36,"Unavailable"))</x:f>
        <x:v>0</x:v>
      </x:c>
      <x:c r="I136" s="21" t="n">
        <x:f>IF(C136="","",IFERROR(Q36,"Unavailable"))</x:f>
        <x:v>1.425</x:v>
      </x:c>
      <x:c r="J136" s="23" t="n">
        <x:f>IF(C136="","",IFERROR(IF(OR(H136&gt;0,AND(AC136&gt;=0,AC136&lt;D136),D136&gt;INDEX('Facilities'!$J$9:$J$108,MATCH(C136,'Facilities'!$C$9:$C$108,0))),0,I136*'Scenario Paths'!G81),"Unavailable"))</x:f>
        <x:v>0.114</x:v>
      </x:c>
      <x:c r="K136" s="23" t="n">
        <x:f>IF(C136="","",IFERROR(IF(OR(H136&gt;0,AND(AC136&gt;=0,AC136=D136)),0,IF(D136&gt;=INDEX('Facilities'!$J$9:$J$108,MATCH(C136,'Facilities'!$C$9:$C$108,0)),G136+J136,MIN(G136+J136,G136*INDEX('Facilities'!$R$9:$R$108,MATCH(C136,'Facilities'!$C$9:$C$108,0))))),"Unavailable"))</x:f>
        <x:v>1.0914</x:v>
      </x:c>
      <x:c r="L136" s="21" t="n">
        <x:f>IF(C136="","",IFERROR(IF(AND(AC136=D136,AC136&gt;0),MAX(0,G136+J136-K136),0),"Unavailable"))</x:f>
        <x:v>0</x:v>
      </x:c>
      <x:c r="M136" s="23" t="n">
        <x:f>IF(C136="","",IFERROR(IF(AND(AC136&gt;=0,D136&gt;=AC136+INDEX('Facilities'!$AK$9:$AK$108,MATCH(C136,'Facilities'!$C$9:$C$108,0))),(H136+L136)*AM136,0),"Unavailable"))</x:f>
        <x:v>0</x:v>
      </x:c>
      <x:c r="N136" s="23" t="n">
        <x:f>IF(C136="","",IFERROR(IF(AND(AC136&gt;=0,D136&gt;=AC136+INDEX('Facilities'!$AK$9:$AK$108,MATCH(C136,'Facilities'!$C$9:$C$108,0))),H136+L136-M136,0),"Unavailable"))</x:f>
        <x:v>0</x:v>
      </x:c>
      <x:c r="O136" s="21" t="n">
        <x:f>IF(C136="","",IFERROR(MAX(0,G136+J136-K136-L136),"Unavailable"))</x:f>
        <x:v>8.1176</x:v>
      </x:c>
      <x:c r="P136" s="21" t="n">
        <x:f>IF(C136="","",IFERROR(MAX(0,H136+L136-M136-N136),"Unavailable"))</x:f>
        <x:v>0</x:v>
      </x:c>
      <x:c r="Q136" s="23" t="n">
        <x:f>IF(C136="","",IFERROR(IF(OR(D136&gt;=INDEX('Facilities'!$J$9:$J$108,MATCH(C136,'Facilities'!$C$9:$C$108,0)),AND(AC136&gt;=0,AC136&lt;=D136)),0,MAX(0,I136-J136)),"Unavailable"))</x:f>
        <x:v>1.311</x:v>
      </x:c>
      <x:c r="R136" s="30" t="n">
        <x:f>IF(C136="","",IFERROR(INDEX(Credit!$Q$109:$Q$208,MATCH(F136,Credit!$C$109:$C$208,0)),"Unavailable"))</x:f>
        <x:v>0.037325979046561396</x:v>
      </x:c>
      <x:c r="S136" s="30" t="n">
        <x:f>IF(C136="","",IFERROR(INDEX(Credit!$R$109:$R$208,MATCH(F136,Credit!$C$109:$C$208,0)),"Unavailable"))</x:f>
        <x:v>0.2804032</x:v>
      </x:c>
      <x:c r="T136" s="23" t="n">
        <x:f>IF(C136="","",IFERROR(IF(P136&gt;0,3,IF(OR(INDEX('Facilities'!$AD$9:$AD$108,MATCH(C136,'Facilities'!$C$9:$C$108,0))=2,AND(R136&gt;=INDEX('Facilities'!$L$9:$L$108,MATCH(C136,'Facilities'!$C$9:$C$108,0))*Settings!$F$19,R136-INDEX('Facilities'!$L$9:$L$108,MATCH(C136,'Facilities'!$C$9:$C$108,0))&gt;=Settings!$F$20)),2,1)),"Unavailable"))</x:f>
        <x:v>1</x:v>
      </x:c>
      <x:c r="U136" s="23" t="n">
        <x:f>IF(C136="","",IF(AQ136&lt;&gt;"Ready","Unavailable",IF(C136="","",O136*(1-(1-S136)/(1+INDEX('Facilities'!$K$9:$K$108,MATCH(C136,'Facilities'!$C$9:$C$108,0)))^INDEX('Facilities'!$AK$9:$AK$108,MATCH(C136,'Facilities'!$C$9:$C$108,0)))*R136/(1+INDEX('Facilities'!$K$9:$K$108,MATCH(C136,'Facilities'!$C$9:$C$108,0)))*IF(ABS(1-(1-R136)*(1-INDEX('Facilities'!$R$9:$R$108,MATCH(C136,'Facilities'!$C$9:$C$108,0)))/(1+INDEX('Facilities'!$K$9:$K$108,MATCH(C136,'Facilities'!$C$9:$C$108,0))))&lt;0.000000001,IF(T136=1,MIN(1,AJ136),AJ136),(1-((1-R136)*(1-INDEX('Facilities'!$R$9:$R$108,MATCH(C136,'Facilities'!$C$9:$C$108,0)))/(1+INDEX('Facilities'!$K$9:$K$108,MATCH(C136,'Facilities'!$C$9:$C$108,0))))^IF(T136=1,MIN(1,AJ136),AJ136))/(1-(1-R136)*(1-INDEX('Facilities'!$R$9:$R$108,MATCH(C136,'Facilities'!$C$9:$C$108,0)))/(1+INDEX('Facilities'!$K$9:$K$108,MATCH(C136,'Facilities'!$C$9:$C$108,0)))))+AL136)))</x:f>
        <x:v>0.10746916231195251</x:v>
      </x:c>
      <x:c r="V136" s="23" t="n">
        <x:f>IF(C136="","",IF(AQ136&lt;&gt;"Ready","Unavailable",IF(C136="","",Q136*INDEX('Facilities'!$I$9:$I$108,MATCH(C136,'Facilities'!$C$9:$C$108,0))*(1-(1-S136)/(1+INDEX('Facilities'!$K$9:$K$108,MATCH(C136,'Facilities'!$C$9:$C$108,0)))^INDEX('Facilities'!$AK$9:$AK$108,MATCH(C136,'Facilities'!$C$9:$C$108,0)))*R136/(1+INDEX('Facilities'!$K$9:$K$108,MATCH(C136,'Facilities'!$C$9:$C$108,0)))*IF(ABS(1-(1-R136)*(1-0)/(1+INDEX('Facilities'!$K$9:$K$108,MATCH(C136,'Facilities'!$C$9:$C$108,0))))&lt;0.000000001,IF(T136=1,MIN(1,AJ136),AJ136),(1-((1-R136)*(1-0)/(1+INDEX('Facilities'!$K$9:$K$108,MATCH(C136,'Facilities'!$C$9:$C$108,0))))^IF(T136=1,MIN(1,AJ136),AJ136))/(1-(1-R136)*(1-0)/(1+INDEX('Facilities'!$K$9:$K$108,MATCH(C136,'Facilities'!$C$9:$C$108,0))))))))</x:f>
        <x:v>0.008678185165009962</x:v>
      </x:c>
      <x:c r="W136" s="21" t="n">
        <x:f>IF(C136="","",IFERROR(U36,"Unavailable"))</x:f>
        <x:v>0.10796796083474675</x:v>
      </x:c>
      <x:c r="X136" s="21" t="n">
        <x:f>IF(C136="","",IFERROR(V36,"Unavailable"))</x:f>
        <x:v>0.008458182748186592</x:v>
      </x:c>
      <x:c r="Y136" s="21" t="n">
        <x:f>IF(C136="","",IF(AQ136&lt;&gt;"Ready","Unavailable",IF(C136="","",U136-W136+V136-X136+N136+AG136)))</x:f>
        <x:v>-0.0002787961059708636</x:v>
      </x:c>
      <x:c r="Z136" s="23" t="n">
        <x:f>IF(C136="","",IF(AQ136&lt;&gt;"Ready","Unavailable",IF(C136="","",(G136+O136+L136)/2*INDEX('Facilities'!$T$9:$T$108,MATCH(C136,'Facilities'!$C$9:$C$108,0))+AG136)))</x:f>
        <x:v>0.8175984999999999</x:v>
      </x:c>
      <x:c r="AA136" s="23" t="n">
        <x:f>IF(C136="","",IF(AQ136&lt;&gt;"Ready","Unavailable",IF(C136="","",O136*(1-IF(INDEX('Facilities'!$AA$9:$AA$108,MATCH(C136,'Facilities'!$C$9:$C$108,0))=0,0,MIN(1,INDEX('Facilities'!$X$9:$X$108,MATCH(C136,'Facilities'!$C$9:$C$108,0))/INDEX('Facilities'!$AA$9:$AA$108,MATCH(C136,'Facilities'!$C$9:$C$108,0)))))*AF136+P136*(1-IF(INDEX('Facilities'!$AA$9:$AA$108,MATCH(C136,'Facilities'!$C$9:$C$108,0))=0,0,MIN(1,INDEX('Facilities'!$X$9:$X$108,MATCH(C136,'Facilities'!$C$9:$C$108,0))/INDEX('Facilities'!$AA$9:$AA$108,MATCH(C136,'Facilities'!$C$9:$C$108,0)))))*INDEX('Facilities'!$AJ$9:$AJ$108,MATCH(C136,'Facilities'!$C$9:$C$108,0))+Q136*INDEX('Facilities'!$AI$9:$AI$108,MATCH(C136,'Facilities'!$C$9:$C$108,0))*AF136)))</x:f>
        <x:v>9.068560536</x:v>
      </x:c>
      <x:c r="AB136" s="21" t="n">
        <x:f>IF(C136="","",O136+P136-AD136)</x:f>
        <x:v>-0.9773999999999994</x:v>
      </x:c>
      <x:c r="AC136" s="23" t="n">
        <x:f>IF(C136="","",IFERROR(IF(INDEX('Facilities'!$AD$9:$AD$108,MATCH(C136,'Facilities'!$C$9:$C$108,0))=3,0,IF(INDEX('Facilities'!$AN$9:$AN$108,MATCH(C136,'Facilities'!$C$9:$C$108,0))=0,-1,INDEX('Facilities'!$AN$9:$AN$108,MATCH(C136,'Facilities'!$C$9:$C$108,0)))),"Unavailable"))</x:f>
        <x:v>-1</x:v>
      </x:c>
      <x:c r="AD136" s="21" t="n">
        <x:f>IF(C136="","",IFERROR(G136+H136,"Unavailable"))</x:f>
        <x:v>9.094999999999999</x:v>
      </x:c>
      <x:c r="AE136" s="21" t="n">
        <x:f>IF(C136="","",IF(AQ136&lt;&gt;"Ready","Unavailable",IF(C136="","",O136+P136-AD136-J136+K136+M136+N136)))</x:f>
        <x:v>4.440892098500626e-16</x:v>
      </x:c>
      <x:c r="AF136" s="30" t="n">
        <x:f>IF(C136="","",IFERROR(INDEX('Facilities'!$S$9:$S$108,MATCH(C136,'Facilities'!$C$9:$C$108,0))*'Scenario Paths'!G75,"Unavailable"))</x:f>
        <x:v>1.05</x:v>
      </x:c>
      <x:c r="AG136" s="23" t="n">
        <x:f>IF(C136="","",IF(AQ136&lt;&gt;"Ready","Unavailable",IF(C136="","",IF(H136&gt;0,MAX(0,H136-AK136)*((1+INDEX('Facilities'!$K$9:$K$108,MATCH(C136,'Facilities'!$C$9:$C$108,0)))^MIN(1,MAX(0,AC136+INDEX('Facilities'!$AK$9:$AK$108,MATCH(C136,'Facilities'!$C$9:$C$108,0))-D136+1))-1),0))))</x:f>
        <x:v>0</x:v>
      </x:c>
      <x:c r="AH136" s="21" t="n">
        <x:f>IF(C136="","",IF(AQ136&lt;&gt;"Ready","Unavailable",IF(C136="","",O136+P136)))</x:f>
        <x:v>8.1176</x:v>
      </x:c>
      <x:c r="AI136" s="21" t="n">
        <x:f>IF(C136="","",IF(AQ136&lt;&gt;"Ready","Unavailable",IF(C136="","",Z136-Y136)))</x:f>
        <x:v>0.8178772961059707</x:v>
      </x:c>
      <x:c r="AJ136" s="23" t="n">
        <x:f>IF(C136="","",IFERROR(MAX(0,INDEX('Facilities'!$J$9:$J$108,MATCH(C136,'Facilities'!$C$9:$C$108,0))-D136),"Unavailable"))</x:f>
        <x:v>3</x:v>
      </x:c>
      <x:c r="AK136" s="21" t="n">
        <x:f>IF(C136="","",IFERROR(AL36,"Unavailable"))</x:f>
        <x:v>0</x:v>
      </x:c>
      <x:c r="AL136" s="23" t="n">
        <x:f>IF(C136="","",IFERROR(IF(P136&gt;0,P136*(1-AM136/(1+INDEX('Facilities'!$K$9:$K$108,MATCH(C136,'Facilities'!$C$9:$C$108,0)))^MAX(0,AC136+INDEX('Facilities'!$AK$9:$AK$108,MATCH(C136,'Facilities'!$C$9:$C$108,0))-D136)),0),"Unavailable"))</x:f>
        <x:v>0</x:v>
      </x:c>
      <x:c r="AM136" s="30" t="n">
        <x:f>IF(C136="","",IFERROR(INDEX('Facilities'!$AL$9:$AL$108,MATCH(C136,'Facilities'!$C$9:$C$108,0)),"Unavailable"))</x:f>
        <x:v>0.55</x:v>
      </x:c>
      <x:c r="AN136" s="30" t="n">
        <x:f>IF(C136="","",IFERROR(INDEX(Credit!$T$109:$T$208,MATCH(F136,Credit!$C$109:$C$208,0)),"Unavailable"))</x:f>
        <x:v>0.0005600000000000001</x:v>
      </x:c>
      <x:c r="AO136" s="23" t="n">
        <x:f>IF(C136="","",IF(AQ136&lt;&gt;"Ready","Unavailable",IF(C136="","",O136+P136+Q136*INDEX('Facilities'!$I$9:$I$108,MATCH(C136,'Facilities'!$C$9:$C$108,0)))))</x:f>
        <x:v>8.7731</x:v>
      </x:c>
      <x:c r="AP136" s="21" t="n">
        <x:f>IF(C136="","",IF(AQ136&lt;&gt;"Ready","Unavailable",IF(C136="","",AH136-U136)))</x:f>
        <x:v>8.010130837688047</x:v>
      </x:c>
      <x:c r="AQ136" s="23" t="str">
        <x:f>IFERROR(IF(C136="","",IF(AND(INDEX('Facilities'!$AF$9:$AF$108,MATCH(C136,'Facilities'!$C$9:$C$108,0))="Ready",INDEX(Credit!$U$109:$U$208,MATCH(F136,Credit!$C$109:$C$208,0))="Ready",ISNUMBER(W136)),"Ready","Review inputs")),"Review inputs")</x:f>
        <x:v>Ready</x:v>
      </x:c>
      <x:c r="AR136" s="23" t="n">
        <x:f>IF(C136="","",IF(AQ136&lt;&gt;"Ready","Unavailable",IF(C136="","",IF(O136=0,0,(IF(AJ136&lt;=1,O136,O136*INDEX('Facilities'!$R$9:$R$108,MATCH(C136,'Facilities'!$C$9:$C$108,0)))+O136*INDEX('Facilities'!$T$9:$T$108,MATCH(C136,'Facilities'!$C$9:$C$108,0)))/12))))</x:f>
        <x:v>0.1454403333333333</x:v>
      </x:c>
    </x:row>
    <x:row r="137" ht="26" customHeight="1">
      <x:c r="A137" s="1"/>
      <x:c r="B137" s="1"/>
      <x:c r="C137" s="9" t="str">
        <x:f>IF(Facilities!C37="","",Facilities!C37)</x:f>
        <x:v>F029</x:v>
      </x:c>
      <x:c r="D137" s="3" t="n">
        <x:v>2</x:v>
      </x:c>
      <x:c r="E137" s="9" t="n">
        <x:f>Settings!$F$18+1</x:f>
        <x:v>2028</x:v>
      </x:c>
      <x:c r="F137" s="9" t="str">
        <x:f>IF(C137="","",IFERROR(INDEX('Facilities'!$D$9:$D$108,MATCH(C137,'Facilities'!$C$9:$C$108,0)),"Unavailable"))</x:f>
        <x:v>B017</x:v>
      </x:c>
      <x:c r="G137" s="21" t="n">
        <x:f>IF(C137="","",IFERROR(O37,"Unavailable"))</x:f>
        <x:v>9.402999999999999</x:v>
      </x:c>
      <x:c r="H137" s="21" t="n">
        <x:f>IF(C137="","",IFERROR(P37,"Unavailable"))</x:f>
        <x:v>0</x:v>
      </x:c>
      <x:c r="I137" s="21" t="n">
        <x:f>IF(C137="","",IFERROR(Q37,"Unavailable"))</x:f>
        <x:v>1.425</x:v>
      </x:c>
      <x:c r="J137" s="23" t="n">
        <x:f>IF(C137="","",IFERROR(IF(OR(H137&gt;0,AND(AC137&gt;=0,AC137&lt;D137),D137&gt;INDEX('Facilities'!$J$9:$J$108,MATCH(C137,'Facilities'!$C$9:$C$108,0))),0,I137*'Scenario Paths'!G81),"Unavailable"))</x:f>
        <x:v>0.114</x:v>
      </x:c>
      <x:c r="K137" s="23" t="n">
        <x:f>IF(C137="","",IFERROR(IF(OR(H137&gt;0,AND(AC137&gt;=0,AC137=D137)),0,IF(D137&gt;=INDEX('Facilities'!$J$9:$J$108,MATCH(C137,'Facilities'!$C$9:$C$108,0)),G137+J137,MIN(G137+J137,G137*INDEX('Facilities'!$R$9:$R$108,MATCH(C137,'Facilities'!$C$9:$C$108,0))))),"Unavailable"))</x:f>
        <x:v>1.1283599999999998</x:v>
      </x:c>
      <x:c r="L137" s="21" t="n">
        <x:f>IF(C137="","",IFERROR(IF(AND(AC137=D137,AC137&gt;0),MAX(0,G137+J137-K137),0),"Unavailable"))</x:f>
        <x:v>0</x:v>
      </x:c>
      <x:c r="M137" s="23" t="n">
        <x:f>IF(C137="","",IFERROR(IF(AND(AC137&gt;=0,D137&gt;=AC137+INDEX('Facilities'!$AK$9:$AK$108,MATCH(C137,'Facilities'!$C$9:$C$108,0))),(H137+L137)*AM137,0),"Unavailable"))</x:f>
        <x:v>0</x:v>
      </x:c>
      <x:c r="N137" s="23" t="n">
        <x:f>IF(C137="","",IFERROR(IF(AND(AC137&gt;=0,D137&gt;=AC137+INDEX('Facilities'!$AK$9:$AK$108,MATCH(C137,'Facilities'!$C$9:$C$108,0))),H137+L137-M137,0),"Unavailable"))</x:f>
        <x:v>0</x:v>
      </x:c>
      <x:c r="O137" s="21" t="n">
        <x:f>IF(C137="","",IFERROR(MAX(0,G137+J137-K137-L137),"Unavailable"))</x:f>
        <x:v>8.388639999999999</x:v>
      </x:c>
      <x:c r="P137" s="21" t="n">
        <x:f>IF(C137="","",IFERROR(MAX(0,H137+L137-M137-N137),"Unavailable"))</x:f>
        <x:v>0</x:v>
      </x:c>
      <x:c r="Q137" s="23" t="n">
        <x:f>IF(C137="","",IFERROR(IF(OR(D137&gt;=INDEX('Facilities'!$J$9:$J$108,MATCH(C137,'Facilities'!$C$9:$C$108,0)),AND(AC137&gt;=0,AC137&lt;=D137)),0,MAX(0,I137-J137)),"Unavailable"))</x:f>
        <x:v>1.311</x:v>
      </x:c>
      <x:c r="R137" s="30" t="n">
        <x:f>IF(C137="","",IFERROR(INDEX(Credit!$Q$109:$Q$208,MATCH(F137,Credit!$C$109:$C$208,0)),"Unavailable"))</x:f>
        <x:v>0.04587144577429778</x:v>
      </x:c>
      <x:c r="S137" s="30" t="n">
        <x:f>IF(C137="","",IFERROR(INDEX(Credit!$R$109:$R$208,MATCH(F137,Credit!$C$109:$C$208,0)),"Unavailable"))</x:f>
        <x:v>0.3208704</x:v>
      </x:c>
      <x:c r="T137" s="23" t="n">
        <x:f>IF(C137="","",IFERROR(IF(P137&gt;0,3,IF(OR(INDEX('Facilities'!$AD$9:$AD$108,MATCH(C137,'Facilities'!$C$9:$C$108,0))=2,AND(R137&gt;=INDEX('Facilities'!$L$9:$L$108,MATCH(C137,'Facilities'!$C$9:$C$108,0))*Settings!$F$19,R137-INDEX('Facilities'!$L$9:$L$108,MATCH(C137,'Facilities'!$C$9:$C$108,0))&gt;=Settings!$F$20)),2,1)),"Unavailable"))</x:f>
        <x:v>2</x:v>
      </x:c>
      <x:c r="U137" s="23" t="n">
        <x:f>IF(C137="","",IF(AQ137&lt;&gt;"Ready","Unavailable",IF(C137="","",O137*(1-(1-S137)/(1+INDEX('Facilities'!$K$9:$K$108,MATCH(C137,'Facilities'!$C$9:$C$108,0)))^INDEX('Facilities'!$AK$9:$AK$108,MATCH(C137,'Facilities'!$C$9:$C$108,0)))*R137/(1+INDEX('Facilities'!$K$9:$K$108,MATCH(C137,'Facilities'!$C$9:$C$108,0)))*IF(ABS(1-(1-R137)*(1-INDEX('Facilities'!$R$9:$R$108,MATCH(C137,'Facilities'!$C$9:$C$108,0)))/(1+INDEX('Facilities'!$K$9:$K$108,MATCH(C137,'Facilities'!$C$9:$C$108,0))))&lt;0.000000001,IF(T137=1,MIN(1,AJ137),AJ137),(1-((1-R137)*(1-INDEX('Facilities'!$R$9:$R$108,MATCH(C137,'Facilities'!$C$9:$C$108,0)))/(1+INDEX('Facilities'!$K$9:$K$108,MATCH(C137,'Facilities'!$C$9:$C$108,0))))^IF(T137=1,MIN(1,AJ137),AJ137))/(1-(1-R137)*(1-INDEX('Facilities'!$R$9:$R$108,MATCH(C137,'Facilities'!$C$9:$C$108,0)))/(1+INDEX('Facilities'!$K$9:$K$108,MATCH(C137,'Facilities'!$C$9:$C$108,0)))))+AL137)))</x:f>
        <x:v>0.42446568061856704</x:v>
      </x:c>
      <x:c r="V137" s="23" t="n">
        <x:f>IF(C137="","",IF(AQ137&lt;&gt;"Ready","Unavailable",IF(C137="","",Q137*INDEX('Facilities'!$I$9:$I$108,MATCH(C137,'Facilities'!$C$9:$C$108,0))*(1-(1-S137)/(1+INDEX('Facilities'!$K$9:$K$108,MATCH(C137,'Facilities'!$C$9:$C$108,0)))^INDEX('Facilities'!$AK$9:$AK$108,MATCH(C137,'Facilities'!$C$9:$C$108,0)))*R137/(1+INDEX('Facilities'!$K$9:$K$108,MATCH(C137,'Facilities'!$C$9:$C$108,0)))*IF(ABS(1-(1-R137)*(1-0)/(1+INDEX('Facilities'!$K$9:$K$108,MATCH(C137,'Facilities'!$C$9:$C$108,0))))&lt;0.000000001,IF(T137=1,MIN(1,AJ137),AJ137),(1-((1-R137)*(1-0)/(1+INDEX('Facilities'!$K$9:$K$108,MATCH(C137,'Facilities'!$C$9:$C$108,0))))^IF(T137=1,MIN(1,AJ137),AJ137))/(1-(1-R137)*(1-0)/(1+INDEX('Facilities'!$K$9:$K$108,MATCH(C137,'Facilities'!$C$9:$C$108,0))))))))</x:f>
        <x:v>0.03900386098585246</x:v>
      </x:c>
      <x:c r="W137" s="21" t="n">
        <x:f>IF(C137="","",IFERROR(U37,"Unavailable"))</x:f>
        <x:v>0.47961265026383737</x:v>
      </x:c>
      <x:c r="X137" s="21" t="n">
        <x:f>IF(C137="","",IFERROR(V37,"Unavailable"))</x:f>
        <x:v>0.04482381002319204</x:v>
      </x:c>
      <x:c r="Y137" s="21" t="n">
        <x:f>IF(C137="","",IF(AQ137&lt;&gt;"Ready","Unavailable",IF(C137="","",U137-W137+V137-X137+N137+AG137)))</x:f>
        <x:v>-0.06096691868260991</x:v>
      </x:c>
      <x:c r="Z137" s="23" t="n">
        <x:f>IF(C137="","",IF(AQ137&lt;&gt;"Ready","Unavailable",IF(C137="","",(G137+O137+L137)/2*INDEX('Facilities'!$T$9:$T$108,MATCH(C137,'Facilities'!$C$9:$C$108,0))+AG137)))</x:f>
        <x:v>0.8451028999999999</x:v>
      </x:c>
      <x:c r="AA137" s="23" t="n">
        <x:f>IF(C137="","",IF(AQ137&lt;&gt;"Ready","Unavailable",IF(C137="","",O137*(1-IF(INDEX('Facilities'!$AA$9:$AA$108,MATCH(C137,'Facilities'!$C$9:$C$108,0))=0,0,MIN(1,INDEX('Facilities'!$X$9:$X$108,MATCH(C137,'Facilities'!$C$9:$C$108,0))/INDEX('Facilities'!$AA$9:$AA$108,MATCH(C137,'Facilities'!$C$9:$C$108,0)))))*AF137+P137*(1-IF(INDEX('Facilities'!$AA$9:$AA$108,MATCH(C137,'Facilities'!$C$9:$C$108,0))=0,0,MIN(1,INDEX('Facilities'!$X$9:$X$108,MATCH(C137,'Facilities'!$C$9:$C$108,0))/INDEX('Facilities'!$AA$9:$AA$108,MATCH(C137,'Facilities'!$C$9:$C$108,0)))))*INDEX('Facilities'!$AJ$9:$AJ$108,MATCH(C137,'Facilities'!$C$9:$C$108,0))+Q137*INDEX('Facilities'!$AI$9:$AI$108,MATCH(C137,'Facilities'!$C$9:$C$108,0))*AF137)))</x:f>
        <x:v>9.293409021119999</x:v>
      </x:c>
      <x:c r="AB137" s="21" t="n">
        <x:f>IF(C137="","",O137+P137-AD137)</x:f>
        <x:v>-1.01436</x:v>
      </x:c>
      <x:c r="AC137" s="23" t="n">
        <x:f>IF(C137="","",IFERROR(IF(INDEX('Facilities'!$AD$9:$AD$108,MATCH(C137,'Facilities'!$C$9:$C$108,0))=3,0,IF(INDEX('Facilities'!$AN$9:$AN$108,MATCH(C137,'Facilities'!$C$9:$C$108,0))=0,-1,INDEX('Facilities'!$AN$9:$AN$108,MATCH(C137,'Facilities'!$C$9:$C$108,0)))),"Unavailable"))</x:f>
        <x:v>-1</x:v>
      </x:c>
      <x:c r="AD137" s="21" t="n">
        <x:f>IF(C137="","",IFERROR(G137+H137,"Unavailable"))</x:f>
        <x:v>9.402999999999999</x:v>
      </x:c>
      <x:c r="AE137" s="21" t="n">
        <x:f>IF(C137="","",IF(AQ137&lt;&gt;"Ready","Unavailable",IF(C137="","",O137+P137-AD137-J137+K137+M137+N137)))</x:f>
        <x:v>-2.220446049250313e-16</x:v>
      </x:c>
      <x:c r="AF137" s="30" t="n">
        <x:f>IF(C137="","",IFERROR(INDEX('Facilities'!$S$9:$S$108,MATCH(C137,'Facilities'!$C$9:$C$108,0))*'Scenario Paths'!G75,"Unavailable"))</x:f>
        <x:v>1.05</x:v>
      </x:c>
      <x:c r="AG137" s="23" t="n">
        <x:f>IF(C137="","",IF(AQ137&lt;&gt;"Ready","Unavailable",IF(C137="","",IF(H137&gt;0,MAX(0,H137-AK137)*((1+INDEX('Facilities'!$K$9:$K$108,MATCH(C137,'Facilities'!$C$9:$C$108,0)))^MIN(1,MAX(0,AC137+INDEX('Facilities'!$AK$9:$AK$108,MATCH(C137,'Facilities'!$C$9:$C$108,0))-D137+1))-1),0))))</x:f>
        <x:v>0</x:v>
      </x:c>
      <x:c r="AH137" s="21" t="n">
        <x:f>IF(C137="","",IF(AQ137&lt;&gt;"Ready","Unavailable",IF(C137="","",O137+P137)))</x:f>
        <x:v>8.388639999999999</x:v>
      </x:c>
      <x:c r="AI137" s="21" t="n">
        <x:f>IF(C137="","",IF(AQ137&lt;&gt;"Ready","Unavailable",IF(C137="","",Z137-Y137)))</x:f>
        <x:v>0.9060698186826098</x:v>
      </x:c>
      <x:c r="AJ137" s="23" t="n">
        <x:f>IF(C137="","",IFERROR(MAX(0,INDEX('Facilities'!$J$9:$J$108,MATCH(C137,'Facilities'!$C$9:$C$108,0))-D137),"Unavailable"))</x:f>
        <x:v>4</x:v>
      </x:c>
      <x:c r="AK137" s="21" t="n">
        <x:f>IF(C137="","",IFERROR(AL37,"Unavailable"))</x:f>
        <x:v>0</x:v>
      </x:c>
      <x:c r="AL137" s="23" t="n">
        <x:f>IF(C137="","",IFERROR(IF(P137&gt;0,P137*(1-AM137/(1+INDEX('Facilities'!$K$9:$K$108,MATCH(C137,'Facilities'!$C$9:$C$108,0)))^MAX(0,AC137+INDEX('Facilities'!$AK$9:$AK$108,MATCH(C137,'Facilities'!$C$9:$C$108,0))-D137)),0),"Unavailable"))</x:f>
        <x:v>0</x:v>
      </x:c>
      <x:c r="AM137" s="30" t="n">
        <x:f>IF(C137="","",IFERROR(INDEX('Facilities'!$AL$9:$AL$108,MATCH(C137,'Facilities'!$C$9:$C$108,0)),"Unavailable"))</x:f>
        <x:v>0.55</x:v>
      </x:c>
      <x:c r="AN137" s="30" t="n">
        <x:f>IF(C137="","",IFERROR(INDEX(Credit!$T$109:$T$208,MATCH(F137,Credit!$C$109:$C$208,0)),"Unavailable"))</x:f>
        <x:v>0.00128</x:v>
      </x:c>
      <x:c r="AO137" s="23" t="n">
        <x:f>IF(C137="","",IF(AQ137&lt;&gt;"Ready","Unavailable",IF(C137="","",O137+P137+Q137*INDEX('Facilities'!$I$9:$I$108,MATCH(C137,'Facilities'!$C$9:$C$108,0)))))</x:f>
        <x:v>9.044139999999999</x:v>
      </x:c>
      <x:c r="AP137" s="21" t="n">
        <x:f>IF(C137="","",IF(AQ137&lt;&gt;"Ready","Unavailable",IF(C137="","",AH137-U137)))</x:f>
        <x:v>7.964174319381431</x:v>
      </x:c>
      <x:c r="AQ137" s="23" t="str">
        <x:f>IFERROR(IF(C137="","",IF(AND(INDEX('Facilities'!$AF$9:$AF$108,MATCH(C137,'Facilities'!$C$9:$C$108,0))="Ready",INDEX(Credit!$U$109:$U$208,MATCH(F137,Credit!$C$109:$C$208,0))="Ready",ISNUMBER(W137)),"Ready","Review inputs")),"Review inputs")</x:f>
        <x:v>Ready</x:v>
      </x:c>
      <x:c r="AR137" s="23" t="n">
        <x:f>IF(C137="","",IF(AQ137&lt;&gt;"Ready","Unavailable",IF(C137="","",IF(O137=0,0,(IF(AJ137&lt;=1,O137,O137*INDEX('Facilities'!$R$9:$R$108,MATCH(C137,'Facilities'!$C$9:$C$108,0)))+O137*INDEX('Facilities'!$T$9:$T$108,MATCH(C137,'Facilities'!$C$9:$C$108,0)))/12))))</x:f>
        <x:v>0.15029646666666666</x:v>
      </x:c>
    </x:row>
    <x:row r="138" ht="26" customHeight="1">
      <x:c r="A138" s="1"/>
      <x:c r="B138" s="1"/>
      <x:c r="C138" s="9" t="str">
        <x:f>IF(Facilities!C38="","",Facilities!C38)</x:f>
        <x:v>F030</x:v>
      </x:c>
      <x:c r="D138" s="3" t="n">
        <x:v>2</x:v>
      </x:c>
      <x:c r="E138" s="9" t="n">
        <x:f>Settings!$F$18+1</x:f>
        <x:v>2028</x:v>
      </x:c>
      <x:c r="F138" s="9" t="str">
        <x:f>IF(C138="","",IFERROR(INDEX('Facilities'!$D$9:$D$108,MATCH(C138,'Facilities'!$C$9:$C$108,0)),"Unavailable"))</x:f>
        <x:v>B018</x:v>
      </x:c>
      <x:c r="G138" s="21" t="n">
        <x:f>IF(C138="","",IFERROR(O38,"Unavailable"))</x:f>
        <x:v>9.710999999999999</x:v>
      </x:c>
      <x:c r="H138" s="21" t="n">
        <x:f>IF(C138="","",IFERROR(P38,"Unavailable"))</x:f>
        <x:v>0</x:v>
      </x:c>
      <x:c r="I138" s="21" t="n">
        <x:f>IF(C138="","",IFERROR(Q38,"Unavailable"))</x:f>
        <x:v>1.425</x:v>
      </x:c>
      <x:c r="J138" s="23" t="n">
        <x:f>IF(C138="","",IFERROR(IF(OR(H138&gt;0,AND(AC138&gt;=0,AC138&lt;D138),D138&gt;INDEX('Facilities'!$J$9:$J$108,MATCH(C138,'Facilities'!$C$9:$C$108,0))),0,I138*'Scenario Paths'!G81),"Unavailable"))</x:f>
        <x:v>0.114</x:v>
      </x:c>
      <x:c r="K138" s="23" t="n">
        <x:f>IF(C138="","",IFERROR(IF(OR(H138&gt;0,AND(AC138&gt;=0,AC138=D138)),0,IF(D138&gt;=INDEX('Facilities'!$J$9:$J$108,MATCH(C138,'Facilities'!$C$9:$C$108,0)),G138+J138,MIN(G138+J138,G138*INDEX('Facilities'!$R$9:$R$108,MATCH(C138,'Facilities'!$C$9:$C$108,0))))),"Unavailable"))</x:f>
        <x:v>1.1653199999999997</x:v>
      </x:c>
      <x:c r="L138" s="21" t="n">
        <x:f>IF(C138="","",IFERROR(IF(AND(AC138=D138,AC138&gt;0),MAX(0,G138+J138-K138),0),"Unavailable"))</x:f>
        <x:v>0</x:v>
      </x:c>
      <x:c r="M138" s="23" t="n">
        <x:f>IF(C138="","",IFERROR(IF(AND(AC138&gt;=0,D138&gt;=AC138+INDEX('Facilities'!$AK$9:$AK$108,MATCH(C138,'Facilities'!$C$9:$C$108,0))),(H138+L138)*AM138,0),"Unavailable"))</x:f>
        <x:v>0</x:v>
      </x:c>
      <x:c r="N138" s="23" t="n">
        <x:f>IF(C138="","",IFERROR(IF(AND(AC138&gt;=0,D138&gt;=AC138+INDEX('Facilities'!$AK$9:$AK$108,MATCH(C138,'Facilities'!$C$9:$C$108,0))),H138+L138-M138,0),"Unavailable"))</x:f>
        <x:v>0</x:v>
      </x:c>
      <x:c r="O138" s="21" t="n">
        <x:f>IF(C138="","",IFERROR(MAX(0,G138+J138-K138-L138),"Unavailable"))</x:f>
        <x:v>8.65968</x:v>
      </x:c>
      <x:c r="P138" s="21" t="n">
        <x:f>IF(C138="","",IFERROR(MAX(0,H138+L138-M138-N138),"Unavailable"))</x:f>
        <x:v>0</x:v>
      </x:c>
      <x:c r="Q138" s="23" t="n">
        <x:f>IF(C138="","",IFERROR(IF(OR(D138&gt;=INDEX('Facilities'!$J$9:$J$108,MATCH(C138,'Facilities'!$C$9:$C$108,0)),AND(AC138&gt;=0,AC138&lt;=D138)),0,MAX(0,I138-J138)),"Unavailable"))</x:f>
        <x:v>1.311</x:v>
      </x:c>
      <x:c r="R138" s="30" t="n">
        <x:f>IF(C138="","",IFERROR(INDEX(Credit!$Q$109:$Q$208,MATCH(F138,Credit!$C$109:$C$208,0)),"Unavailable"))</x:f>
        <x:v>0.05485891655133964</x:v>
      </x:c>
      <x:c r="S138" s="30" t="n">
        <x:f>IF(C138="","",IFERROR(INDEX(Credit!$R$109:$R$208,MATCH(F138,Credit!$C$109:$C$208,0)),"Unavailable"))</x:f>
        <x:v>0.36146432000000006</x:v>
      </x:c>
      <x:c r="T138" s="23" t="n">
        <x:f>IF(C138="","",IFERROR(IF(P138&gt;0,3,IF(OR(INDEX('Facilities'!$AD$9:$AD$108,MATCH(C138,'Facilities'!$C$9:$C$108,0))=2,AND(R138&gt;=INDEX('Facilities'!$L$9:$L$108,MATCH(C138,'Facilities'!$C$9:$C$108,0))*Settings!$F$19,R138-INDEX('Facilities'!$L$9:$L$108,MATCH(C138,'Facilities'!$C$9:$C$108,0))&gt;=Settings!$F$20)),2,1)),"Unavailable"))</x:f>
        <x:v>1</x:v>
      </x:c>
      <x:c r="U138" s="23" t="n">
        <x:f>IF(C138="","",IF(AQ138&lt;&gt;"Ready","Unavailable",IF(C138="","",O138*(1-(1-S138)/(1+INDEX('Facilities'!$K$9:$K$108,MATCH(C138,'Facilities'!$C$9:$C$108,0)))^INDEX('Facilities'!$AK$9:$AK$108,MATCH(C138,'Facilities'!$C$9:$C$108,0)))*R138/(1+INDEX('Facilities'!$K$9:$K$108,MATCH(C138,'Facilities'!$C$9:$C$108,0)))*IF(ABS(1-(1-R138)*(1-INDEX('Facilities'!$R$9:$R$108,MATCH(C138,'Facilities'!$C$9:$C$108,0)))/(1+INDEX('Facilities'!$K$9:$K$108,MATCH(C138,'Facilities'!$C$9:$C$108,0))))&lt;0.000000001,IF(T138=1,MIN(1,AJ138),AJ138),(1-((1-R138)*(1-INDEX('Facilities'!$R$9:$R$108,MATCH(C138,'Facilities'!$C$9:$C$108,0)))/(1+INDEX('Facilities'!$K$9:$K$108,MATCH(C138,'Facilities'!$C$9:$C$108,0))))^IF(T138=1,MIN(1,AJ138),AJ138))/(1-(1-R138)*(1-INDEX('Facilities'!$R$9:$R$108,MATCH(C138,'Facilities'!$C$9:$C$108,0)))/(1+INDEX('Facilities'!$K$9:$K$108,MATCH(C138,'Facilities'!$C$9:$C$108,0)))))+AL138)))</x:f>
        <x:v>0.19906738489388331</x:v>
      </x:c>
      <x:c r="V138" s="23" t="n">
        <x:f>IF(C138="","",IF(AQ138&lt;&gt;"Ready","Unavailable",IF(C138="","",Q138*INDEX('Facilities'!$I$9:$I$108,MATCH(C138,'Facilities'!$C$9:$C$108,0))*(1-(1-S138)/(1+INDEX('Facilities'!$K$9:$K$108,MATCH(C138,'Facilities'!$C$9:$C$108,0)))^INDEX('Facilities'!$AK$9:$AK$108,MATCH(C138,'Facilities'!$C$9:$C$108,0)))*R138/(1+INDEX('Facilities'!$K$9:$K$108,MATCH(C138,'Facilities'!$C$9:$C$108,0)))*IF(ABS(1-(1-R138)*(1-0)/(1+INDEX('Facilities'!$K$9:$K$108,MATCH(C138,'Facilities'!$C$9:$C$108,0))))&lt;0.000000001,IF(T138=1,MIN(1,AJ138),AJ138),(1-((1-R138)*(1-0)/(1+INDEX('Facilities'!$K$9:$K$108,MATCH(C138,'Facilities'!$C$9:$C$108,0))))^IF(T138=1,MIN(1,AJ138),AJ138))/(1-(1-R138)*(1-0)/(1+INDEX('Facilities'!$K$9:$K$108,MATCH(C138,'Facilities'!$C$9:$C$108,0))))))))</x:f>
        <x:v>0.015068532647619834</x:v>
      </x:c>
      <x:c r="W138" s="21" t="n">
        <x:f>IF(C138="","",IFERROR(U38,"Unavailable"))</x:f>
        <x:v>0.1953737335275265</x:v>
      </x:c>
      <x:c r="X138" s="21" t="n">
        <x:f>IF(C138="","",IFERROR(V38,"Unavailable"))</x:f>
        <x:v>0.014334649895825625</x:v>
      </x:c>
      <x:c r="Y138" s="21" t="n">
        <x:f>IF(C138="","",IF(AQ138&lt;&gt;"Ready","Unavailable",IF(C138="","",U138-W138+V138-X138+N138+AG138)))</x:f>
        <x:v>0.004427534118151036</x:v>
      </x:c>
      <x:c r="Z138" s="23" t="n">
        <x:f>IF(C138="","",IF(AQ138&lt;&gt;"Ready","Unavailable",IF(C138="","",(G138+O138+L138)/2*INDEX('Facilities'!$T$9:$T$108,MATCH(C138,'Facilities'!$C$9:$C$108,0))+AG138)))</x:f>
        <x:v>0.8726073</x:v>
      </x:c>
      <x:c r="AA138" s="23" t="n">
        <x:f>IF(C138="","",IF(AQ138&lt;&gt;"Ready","Unavailable",IF(C138="","",O138*(1-IF(INDEX('Facilities'!$AA$9:$AA$108,MATCH(C138,'Facilities'!$C$9:$C$108,0))=0,0,MIN(1,INDEX('Facilities'!$X$9:$X$108,MATCH(C138,'Facilities'!$C$9:$C$108,0))/INDEX('Facilities'!$AA$9:$AA$108,MATCH(C138,'Facilities'!$C$9:$C$108,0)))))*AF138+P138*(1-IF(INDEX('Facilities'!$AA$9:$AA$108,MATCH(C138,'Facilities'!$C$9:$C$108,0))=0,0,MIN(1,INDEX('Facilities'!$X$9:$X$108,MATCH(C138,'Facilities'!$C$9:$C$108,0))/INDEX('Facilities'!$AA$9:$AA$108,MATCH(C138,'Facilities'!$C$9:$C$108,0)))))*INDEX('Facilities'!$AJ$9:$AJ$108,MATCH(C138,'Facilities'!$C$9:$C$108,0))+Q138*INDEX('Facilities'!$AI$9:$AI$108,MATCH(C138,'Facilities'!$C$9:$C$108,0))*AF138)))</x:f>
        <x:v>9.505976840639999</x:v>
      </x:c>
      <x:c r="AB138" s="21" t="n">
        <x:f>IF(C138="","",O138+P138-AD138)</x:f>
        <x:v>-1.0513199999999987</x:v>
      </x:c>
      <x:c r="AC138" s="23" t="n">
        <x:f>IF(C138="","",IFERROR(IF(INDEX('Facilities'!$AD$9:$AD$108,MATCH(C138,'Facilities'!$C$9:$C$108,0))=3,0,IF(INDEX('Facilities'!$AN$9:$AN$108,MATCH(C138,'Facilities'!$C$9:$C$108,0))=0,-1,INDEX('Facilities'!$AN$9:$AN$108,MATCH(C138,'Facilities'!$C$9:$C$108,0)))),"Unavailable"))</x:f>
        <x:v>-1</x:v>
      </x:c>
      <x:c r="AD138" s="21" t="n">
        <x:f>IF(C138="","",IFERROR(G138+H138,"Unavailable"))</x:f>
        <x:v>9.710999999999999</x:v>
      </x:c>
      <x:c r="AE138" s="21" t="n">
        <x:f>IF(C138="","",IF(AQ138&lt;&gt;"Ready","Unavailable",IF(C138="","",O138+P138-AD138-J138+K138+M138+N138)))</x:f>
        <x:v>8.881784197001252e-16</x:v>
      </x:c>
      <x:c r="AF138" s="30" t="n">
        <x:f>IF(C138="","",IFERROR(INDEX('Facilities'!$S$9:$S$108,MATCH(C138,'Facilities'!$C$9:$C$108,0))*'Scenario Paths'!G75,"Unavailable"))</x:f>
        <x:v>1.05</x:v>
      </x:c>
      <x:c r="AG138" s="23" t="n">
        <x:f>IF(C138="","",IF(AQ138&lt;&gt;"Ready","Unavailable",IF(C138="","",IF(H138&gt;0,MAX(0,H138-AK138)*((1+INDEX('Facilities'!$K$9:$K$108,MATCH(C138,'Facilities'!$C$9:$C$108,0)))^MIN(1,MAX(0,AC138+INDEX('Facilities'!$AK$9:$AK$108,MATCH(C138,'Facilities'!$C$9:$C$108,0))-D138+1))-1),0))))</x:f>
        <x:v>0</x:v>
      </x:c>
      <x:c r="AH138" s="21" t="n">
        <x:f>IF(C138="","",IF(AQ138&lt;&gt;"Ready","Unavailable",IF(C138="","",O138+P138)))</x:f>
        <x:v>8.65968</x:v>
      </x:c>
      <x:c r="AI138" s="21" t="n">
        <x:f>IF(C138="","",IF(AQ138&lt;&gt;"Ready","Unavailable",IF(C138="","",Z138-Y138)))</x:f>
        <x:v>0.868179765881849</x:v>
      </x:c>
      <x:c r="AJ138" s="23" t="n">
        <x:f>IF(C138="","",IFERROR(MAX(0,INDEX('Facilities'!$J$9:$J$108,MATCH(C138,'Facilities'!$C$9:$C$108,0))-D138),"Unavailable"))</x:f>
        <x:v>5</x:v>
      </x:c>
      <x:c r="AK138" s="21" t="n">
        <x:f>IF(C138="","",IFERROR(AL38,"Unavailable"))</x:f>
        <x:v>0</x:v>
      </x:c>
      <x:c r="AL138" s="23" t="n">
        <x:f>IF(C138="","",IFERROR(IF(P138&gt;0,P138*(1-AM138/(1+INDEX('Facilities'!$K$9:$K$108,MATCH(C138,'Facilities'!$C$9:$C$108,0)))^MAX(0,AC138+INDEX('Facilities'!$AK$9:$AK$108,MATCH(C138,'Facilities'!$C$9:$C$108,0))-D138)),0),"Unavailable"))</x:f>
        <x:v>0</x:v>
      </x:c>
      <x:c r="AM138" s="30" t="n">
        <x:f>IF(C138="","",IFERROR(INDEX('Facilities'!$AL$9:$AL$108,MATCH(C138,'Facilities'!$C$9:$C$108,0)),"Unavailable"))</x:f>
        <x:v>0.55</x:v>
      </x:c>
      <x:c r="AN138" s="30" t="n">
        <x:f>IF(C138="","",IFERROR(INDEX(Credit!$T$109:$T$208,MATCH(F138,Credit!$C$109:$C$208,0)),"Unavailable"))</x:f>
        <x:v>0.002288</x:v>
      </x:c>
      <x:c r="AO138" s="23" t="n">
        <x:f>IF(C138="","",IF(AQ138&lt;&gt;"Ready","Unavailable",IF(C138="","",O138+P138+Q138*INDEX('Facilities'!$I$9:$I$108,MATCH(C138,'Facilities'!$C$9:$C$108,0)))))</x:f>
        <x:v>9.31518</x:v>
      </x:c>
      <x:c r="AP138" s="21" t="n">
        <x:f>IF(C138="","",IF(AQ138&lt;&gt;"Ready","Unavailable",IF(C138="","",AH138-U138)))</x:f>
        <x:v>8.460612615106117</x:v>
      </x:c>
      <x:c r="AQ138" s="23" t="str">
        <x:f>IFERROR(IF(C138="","",IF(AND(INDEX('Facilities'!$AF$9:$AF$108,MATCH(C138,'Facilities'!$C$9:$C$108,0))="Ready",INDEX(Credit!$U$109:$U$208,MATCH(F138,Credit!$C$109:$C$208,0))="Ready",ISNUMBER(W138)),"Ready","Review inputs")),"Review inputs")</x:f>
        <x:v>Ready</x:v>
      </x:c>
      <x:c r="AR138" s="23" t="n">
        <x:f>IF(C138="","",IF(AQ138&lt;&gt;"Ready","Unavailable",IF(C138="","",IF(O138=0,0,(IF(AJ138&lt;=1,O138,O138*INDEX('Facilities'!$R$9:$R$108,MATCH(C138,'Facilities'!$C$9:$C$108,0)))+O138*INDEX('Facilities'!$T$9:$T$108,MATCH(C138,'Facilities'!$C$9:$C$108,0)))/12))))</x:f>
        <x:v>0.1551526</x:v>
      </x:c>
    </x:row>
    <x:row r="139" ht="26" customHeight="1">
      <x:c r="A139" s="1"/>
      <x:c r="B139" s="1"/>
      <x:c r="C139" s="9" t="str">
        <x:f>IF(Facilities!C39="","",Facilities!C39)</x:f>
        <x:v>F031</x:v>
      </x:c>
      <x:c r="D139" s="3" t="n">
        <x:v>2</x:v>
      </x:c>
      <x:c r="E139" s="9" t="n">
        <x:f>Settings!$F$18+1</x:f>
        <x:v>2028</x:v>
      </x:c>
      <x:c r="F139" s="9" t="str">
        <x:f>IF(C139="","",IFERROR(INDEX('Facilities'!$D$9:$D$108,MATCH(C139,'Facilities'!$C$9:$C$108,0)),"Unavailable"))</x:f>
        <x:v>B019</x:v>
      </x:c>
      <x:c r="G139" s="21" t="n">
        <x:f>IF(C139="","",IFERROR(O39,"Unavailable"))</x:f>
        <x:v>10.019</x:v>
      </x:c>
      <x:c r="H139" s="21" t="n">
        <x:f>IF(C139="","",IFERROR(P39,"Unavailable"))</x:f>
        <x:v>0</x:v>
      </x:c>
      <x:c r="I139" s="21" t="n">
        <x:f>IF(C139="","",IFERROR(Q39,"Unavailable"))</x:f>
        <x:v>1.425</x:v>
      </x:c>
      <x:c r="J139" s="23" t="n">
        <x:f>IF(C139="","",IFERROR(IF(OR(H139&gt;0,AND(AC139&gt;=0,AC139&lt;D139),D139&gt;INDEX('Facilities'!$J$9:$J$108,MATCH(C139,'Facilities'!$C$9:$C$108,0))),0,I139*'Scenario Paths'!G81),"Unavailable"))</x:f>
        <x:v>0.114</x:v>
      </x:c>
      <x:c r="K139" s="23" t="n">
        <x:f>IF(C139="","",IFERROR(IF(OR(H139&gt;0,AND(AC139&gt;=0,AC139=D139)),0,IF(D139&gt;=INDEX('Facilities'!$J$9:$J$108,MATCH(C139,'Facilities'!$C$9:$C$108,0)),G139+J139,MIN(G139+J139,G139*INDEX('Facilities'!$R$9:$R$108,MATCH(C139,'Facilities'!$C$9:$C$108,0))))),"Unavailable"))</x:f>
        <x:v>1.20228</x:v>
      </x:c>
      <x:c r="L139" s="21" t="n">
        <x:f>IF(C139="","",IFERROR(IF(AND(AC139=D139,AC139&gt;0),MAX(0,G139+J139-K139),0),"Unavailable"))</x:f>
        <x:v>0</x:v>
      </x:c>
      <x:c r="M139" s="23" t="n">
        <x:f>IF(C139="","",IFERROR(IF(AND(AC139&gt;=0,D139&gt;=AC139+INDEX('Facilities'!$AK$9:$AK$108,MATCH(C139,'Facilities'!$C$9:$C$108,0))),(H139+L139)*AM139,0),"Unavailable"))</x:f>
        <x:v>0</x:v>
      </x:c>
      <x:c r="N139" s="23" t="n">
        <x:f>IF(C139="","",IFERROR(IF(AND(AC139&gt;=0,D139&gt;=AC139+INDEX('Facilities'!$AK$9:$AK$108,MATCH(C139,'Facilities'!$C$9:$C$108,0))),H139+L139-M139,0),"Unavailable"))</x:f>
        <x:v>0</x:v>
      </x:c>
      <x:c r="O139" s="21" t="n">
        <x:f>IF(C139="","",IFERROR(MAX(0,G139+J139-K139-L139),"Unavailable"))</x:f>
        <x:v>8.93072</x:v>
      </x:c>
      <x:c r="P139" s="21" t="n">
        <x:f>IF(C139="","",IFERROR(MAX(0,H139+L139-M139-N139),"Unavailable"))</x:f>
        <x:v>0</x:v>
      </x:c>
      <x:c r="Q139" s="23" t="n">
        <x:f>IF(C139="","",IFERROR(IF(OR(D139&gt;=INDEX('Facilities'!$J$9:$J$108,MATCH(C139,'Facilities'!$C$9:$C$108,0)),AND(AC139&gt;=0,AC139&lt;=D139)),0,MAX(0,I139-J139)),"Unavailable"))</x:f>
        <x:v>1.311</x:v>
      </x:c>
      <x:c r="R139" s="30" t="n">
        <x:f>IF(C139="","",IFERROR(INDEX(Credit!$Q$109:$Q$208,MATCH(F139,Credit!$C$109:$C$208,0)),"Unavailable"))</x:f>
        <x:v>0.015067362194533198</x:v>
      </x:c>
      <x:c r="S139" s="30" t="n">
        <x:f>IF(C139="","",IFERROR(INDEX(Credit!$R$109:$R$208,MATCH(F139,Credit!$C$109:$C$208,0)),"Unavailable"))</x:f>
        <x:v>0.40094080000000004</x:v>
      </x:c>
      <x:c r="T139" s="23" t="n">
        <x:f>IF(C139="","",IFERROR(IF(P139&gt;0,3,IF(OR(INDEX('Facilities'!$AD$9:$AD$108,MATCH(C139,'Facilities'!$C$9:$C$108,0))=2,AND(R139&gt;=INDEX('Facilities'!$L$9:$L$108,MATCH(C139,'Facilities'!$C$9:$C$108,0))*Settings!$F$19,R139-INDEX('Facilities'!$L$9:$L$108,MATCH(C139,'Facilities'!$C$9:$C$108,0))&gt;=Settings!$F$20)),2,1)),"Unavailable"))</x:f>
        <x:v>1</x:v>
      </x:c>
      <x:c r="U139" s="23" t="n">
        <x:f>IF(C139="","",IF(AQ139&lt;&gt;"Ready","Unavailable",IF(C139="","",O139*(1-(1-S139)/(1+INDEX('Facilities'!$K$9:$K$108,MATCH(C139,'Facilities'!$C$9:$C$108,0)))^INDEX('Facilities'!$AK$9:$AK$108,MATCH(C139,'Facilities'!$C$9:$C$108,0)))*R139/(1+INDEX('Facilities'!$K$9:$K$108,MATCH(C139,'Facilities'!$C$9:$C$108,0)))*IF(ABS(1-(1-R139)*(1-INDEX('Facilities'!$R$9:$R$108,MATCH(C139,'Facilities'!$C$9:$C$108,0)))/(1+INDEX('Facilities'!$K$9:$K$108,MATCH(C139,'Facilities'!$C$9:$C$108,0))))&lt;0.000000001,IF(T139=1,MIN(1,AJ139),AJ139),(1-((1-R139)*(1-INDEX('Facilities'!$R$9:$R$108,MATCH(C139,'Facilities'!$C$9:$C$108,0)))/(1+INDEX('Facilities'!$K$9:$K$108,MATCH(C139,'Facilities'!$C$9:$C$108,0))))^IF(T139=1,MIN(1,AJ139),AJ139))/(1-(1-R139)*(1-INDEX('Facilities'!$R$9:$R$108,MATCH(C139,'Facilities'!$C$9:$C$108,0)))/(1+INDEX('Facilities'!$K$9:$K$108,MATCH(C139,'Facilities'!$C$9:$C$108,0)))))+AL139)))</x:f>
        <x:v>0.060603324916047335</x:v>
      </x:c>
      <x:c r="V139" s="23" t="n">
        <x:f>IF(C139="","",IF(AQ139&lt;&gt;"Ready","Unavailable",IF(C139="","",Q139*INDEX('Facilities'!$I$9:$I$108,MATCH(C139,'Facilities'!$C$9:$C$108,0))*(1-(1-S139)/(1+INDEX('Facilities'!$K$9:$K$108,MATCH(C139,'Facilities'!$C$9:$C$108,0)))^INDEX('Facilities'!$AK$9:$AK$108,MATCH(C139,'Facilities'!$C$9:$C$108,0)))*R139/(1+INDEX('Facilities'!$K$9:$K$108,MATCH(C139,'Facilities'!$C$9:$C$108,0)))*IF(ABS(1-(1-R139)*(1-0)/(1+INDEX('Facilities'!$K$9:$K$108,MATCH(C139,'Facilities'!$C$9:$C$108,0))))&lt;0.000000001,IF(T139=1,MIN(1,AJ139),AJ139),(1-((1-R139)*(1-0)/(1+INDEX('Facilities'!$K$9:$K$108,MATCH(C139,'Facilities'!$C$9:$C$108,0))))^IF(T139=1,MIN(1,AJ139),AJ139))/(1-(1-R139)*(1-0)/(1+INDEX('Facilities'!$K$9:$K$108,MATCH(C139,'Facilities'!$C$9:$C$108,0))))))))</x:f>
        <x:v>0.004448183291209334</x:v>
      </x:c>
      <x:c r="W139" s="21" t="n">
        <x:f>IF(C139="","",IFERROR(U39,"Unavailable"))</x:f>
        <x:v>0.06068769812819593</x:v>
      </x:c>
      <x:c r="X139" s="21" t="n">
        <x:f>IF(C139="","",IFERROR(V39,"Unavailable"))</x:f>
        <x:v>0.0043157984745323475</x:v>
      </x:c>
      <x:c r="Y139" s="21" t="n">
        <x:f>IF(C139="","",IF(AQ139&lt;&gt;"Ready","Unavailable",IF(C139="","",U139-W139+V139-X139+N139+AG139)))</x:f>
        <x:v>0.0000480116045283906</x:v>
      </x:c>
      <x:c r="Z139" s="23" t="n">
        <x:f>IF(C139="","",IF(AQ139&lt;&gt;"Ready","Unavailable",IF(C139="","",(G139+O139+L139)/2*INDEX('Facilities'!$T$9:$T$108,MATCH(C139,'Facilities'!$C$9:$C$108,0))+AG139)))</x:f>
        <x:v>0.9001117</x:v>
      </x:c>
      <x:c r="AA139" s="23" t="n">
        <x:f>IF(C139="","",IF(AQ139&lt;&gt;"Ready","Unavailable",IF(C139="","",O139*(1-IF(INDEX('Facilities'!$AA$9:$AA$108,MATCH(C139,'Facilities'!$C$9:$C$108,0))=0,0,MIN(1,INDEX('Facilities'!$X$9:$X$108,MATCH(C139,'Facilities'!$C$9:$C$108,0))/INDEX('Facilities'!$AA$9:$AA$108,MATCH(C139,'Facilities'!$C$9:$C$108,0)))))*AF139+P139*(1-IF(INDEX('Facilities'!$AA$9:$AA$108,MATCH(C139,'Facilities'!$C$9:$C$108,0))=0,0,MIN(1,INDEX('Facilities'!$X$9:$X$108,MATCH(C139,'Facilities'!$C$9:$C$108,0))/INDEX('Facilities'!$AA$9:$AA$108,MATCH(C139,'Facilities'!$C$9:$C$108,0)))))*INDEX('Facilities'!$AJ$9:$AJ$108,MATCH(C139,'Facilities'!$C$9:$C$108,0))+Q139*INDEX('Facilities'!$AI$9:$AI$108,MATCH(C139,'Facilities'!$C$9:$C$108,0))*AF139)))</x:f>
        <x:v>9.975509342399999</x:v>
      </x:c>
      <x:c r="AB139" s="21" t="n">
        <x:f>IF(C139="","",O139+P139-AD139)</x:f>
        <x:v>-1.0882799999999992</x:v>
      </x:c>
      <x:c r="AC139" s="23" t="n">
        <x:f>IF(C139="","",IFERROR(IF(INDEX('Facilities'!$AD$9:$AD$108,MATCH(C139,'Facilities'!$C$9:$C$108,0))=3,0,IF(INDEX('Facilities'!$AN$9:$AN$108,MATCH(C139,'Facilities'!$C$9:$C$108,0))=0,-1,INDEX('Facilities'!$AN$9:$AN$108,MATCH(C139,'Facilities'!$C$9:$C$108,0)))),"Unavailable"))</x:f>
        <x:v>-1</x:v>
      </x:c>
      <x:c r="AD139" s="21" t="n">
        <x:f>IF(C139="","",IFERROR(G139+H139,"Unavailable"))</x:f>
        <x:v>10.019</x:v>
      </x:c>
      <x:c r="AE139" s="21" t="n">
        <x:f>IF(C139="","",IF(AQ139&lt;&gt;"Ready","Unavailable",IF(C139="","",O139+P139-AD139-J139+K139+M139+N139)))</x:f>
        <x:v>6.661338147750939e-16</x:v>
      </x:c>
      <x:c r="AF139" s="30" t="n">
        <x:f>IF(C139="","",IFERROR(INDEX('Facilities'!$S$9:$S$108,MATCH(C139,'Facilities'!$C$9:$C$108,0))*'Scenario Paths'!G75,"Unavailable"))</x:f>
        <x:v>1.05</x:v>
      </x:c>
      <x:c r="AG139" s="23" t="n">
        <x:f>IF(C139="","",IF(AQ139&lt;&gt;"Ready","Unavailable",IF(C139="","",IF(H139&gt;0,MAX(0,H139-AK139)*((1+INDEX('Facilities'!$K$9:$K$108,MATCH(C139,'Facilities'!$C$9:$C$108,0)))^MIN(1,MAX(0,AC139+INDEX('Facilities'!$AK$9:$AK$108,MATCH(C139,'Facilities'!$C$9:$C$108,0))-D139+1))-1),0))))</x:f>
        <x:v>0</x:v>
      </x:c>
      <x:c r="AH139" s="21" t="n">
        <x:f>IF(C139="","",IF(AQ139&lt;&gt;"Ready","Unavailable",IF(C139="","",O139+P139)))</x:f>
        <x:v>8.93072</x:v>
      </x:c>
      <x:c r="AI139" s="21" t="n">
        <x:f>IF(C139="","",IF(AQ139&lt;&gt;"Ready","Unavailable",IF(C139="","",Z139-Y139)))</x:f>
        <x:v>0.9000636883954716</x:v>
      </x:c>
      <x:c r="AJ139" s="23" t="n">
        <x:f>IF(C139="","",IFERROR(MAX(0,INDEX('Facilities'!$J$9:$J$108,MATCH(C139,'Facilities'!$C$9:$C$108,0))-D139),"Unavailable"))</x:f>
        <x:v>6</x:v>
      </x:c>
      <x:c r="AK139" s="21" t="n">
        <x:f>IF(C139="","",IFERROR(AL39,"Unavailable"))</x:f>
        <x:v>0</x:v>
      </x:c>
      <x:c r="AL139" s="23" t="n">
        <x:f>IF(C139="","",IFERROR(IF(P139&gt;0,P139*(1-AM139/(1+INDEX('Facilities'!$K$9:$K$108,MATCH(C139,'Facilities'!$C$9:$C$108,0)))^MAX(0,AC139+INDEX('Facilities'!$AK$9:$AK$108,MATCH(C139,'Facilities'!$C$9:$C$108,0))-D139)),0),"Unavailable"))</x:f>
        <x:v>0</x:v>
      </x:c>
      <x:c r="AM139" s="30" t="n">
        <x:f>IF(C139="","",IFERROR(INDEX('Facilities'!$AL$9:$AL$108,MATCH(C139,'Facilities'!$C$9:$C$108,0)),"Unavailable"))</x:f>
        <x:v>0.55</x:v>
      </x:c>
      <x:c r="AN139" s="30" t="n">
        <x:f>IF(C139="","",IFERROR(INDEX(Credit!$T$109:$T$208,MATCH(F139,Credit!$C$109:$C$208,0)),"Unavailable"))</x:f>
        <x:v>0.001568</x:v>
      </x:c>
      <x:c r="AO139" s="23" t="n">
        <x:f>IF(C139="","",IF(AQ139&lt;&gt;"Ready","Unavailable",IF(C139="","",O139+P139+Q139*INDEX('Facilities'!$I$9:$I$108,MATCH(C139,'Facilities'!$C$9:$C$108,0)))))</x:f>
        <x:v>9.58622</x:v>
      </x:c>
      <x:c r="AP139" s="21" t="n">
        <x:f>IF(C139="","",IF(AQ139&lt;&gt;"Ready","Unavailable",IF(C139="","",AH139-U139)))</x:f>
        <x:v>8.870116675083954</x:v>
      </x:c>
      <x:c r="AQ139" s="23" t="str">
        <x:f>IFERROR(IF(C139="","",IF(AND(INDEX('Facilities'!$AF$9:$AF$108,MATCH(C139,'Facilities'!$C$9:$C$108,0))="Ready",INDEX(Credit!$U$109:$U$208,MATCH(F139,Credit!$C$109:$C$208,0))="Ready",ISNUMBER(W139)),"Ready","Review inputs")),"Review inputs")</x:f>
        <x:v>Ready</x:v>
      </x:c>
      <x:c r="AR139" s="23" t="n">
        <x:f>IF(C139="","",IF(AQ139&lt;&gt;"Ready","Unavailable",IF(C139="","",IF(O139=0,0,(IF(AJ139&lt;=1,O139,O139*INDEX('Facilities'!$R$9:$R$108,MATCH(C139,'Facilities'!$C$9:$C$108,0)))+O139*INDEX('Facilities'!$T$9:$T$108,MATCH(C139,'Facilities'!$C$9:$C$108,0)))/12))))</x:f>
        <x:v>0.16000873333333335</x:v>
      </x:c>
    </x:row>
    <x:row r="140" ht="26" customHeight="1">
      <x:c r="A140" s="1"/>
      <x:c r="B140" s="1"/>
      <x:c r="C140" s="9" t="str">
        <x:f>IF(Facilities!C40="","",Facilities!C40)</x:f>
        <x:v>F032</x:v>
      </x:c>
      <x:c r="D140" s="3" t="n">
        <x:v>2</x:v>
      </x:c>
      <x:c r="E140" s="9" t="n">
        <x:f>Settings!$F$18+1</x:f>
        <x:v>2028</x:v>
      </x:c>
      <x:c r="F140" s="9" t="str">
        <x:f>IF(C140="","",IFERROR(INDEX('Facilities'!$D$9:$D$108,MATCH(C140,'Facilities'!$C$9:$C$108,0)),"Unavailable"))</x:f>
        <x:v>B020</x:v>
      </x:c>
      <x:c r="G140" s="21" t="n">
        <x:f>IF(C140="","",IFERROR(O40,"Unavailable"))</x:f>
        <x:v>10.326999999999998</x:v>
      </x:c>
      <x:c r="H140" s="21" t="n">
        <x:f>IF(C140="","",IFERROR(P40,"Unavailable"))</x:f>
        <x:v>0</x:v>
      </x:c>
      <x:c r="I140" s="21" t="n">
        <x:f>IF(C140="","",IFERROR(Q40,"Unavailable"))</x:f>
        <x:v>1.425</x:v>
      </x:c>
      <x:c r="J140" s="23" t="n">
        <x:f>IF(C140="","",IFERROR(IF(OR(H140&gt;0,AND(AC140&gt;=0,AC140&lt;D140),D140&gt;INDEX('Facilities'!$J$9:$J$108,MATCH(C140,'Facilities'!$C$9:$C$108,0))),0,I140*'Scenario Paths'!G81),"Unavailable"))</x:f>
        <x:v>0.114</x:v>
      </x:c>
      <x:c r="K140" s="23" t="n">
        <x:f>IF(C140="","",IFERROR(IF(OR(H140&gt;0,AND(AC140&gt;=0,AC140=D140)),0,IF(D140&gt;=INDEX('Facilities'!$J$9:$J$108,MATCH(C140,'Facilities'!$C$9:$C$108,0)),G140+J140,MIN(G140+J140,G140*INDEX('Facilities'!$R$9:$R$108,MATCH(C140,'Facilities'!$C$9:$C$108,0))))),"Unavailable"))</x:f>
        <x:v>1.2392399999999997</x:v>
      </x:c>
      <x:c r="L140" s="21" t="n">
        <x:f>IF(C140="","",IFERROR(IF(AND(AC140=D140,AC140&gt;0),MAX(0,G140+J140-K140),0),"Unavailable"))</x:f>
        <x:v>0</x:v>
      </x:c>
      <x:c r="M140" s="23" t="n">
        <x:f>IF(C140="","",IFERROR(IF(AND(AC140&gt;=0,D140&gt;=AC140+INDEX('Facilities'!$AK$9:$AK$108,MATCH(C140,'Facilities'!$C$9:$C$108,0))),(H140+L140)*AM140,0),"Unavailable"))</x:f>
        <x:v>0</x:v>
      </x:c>
      <x:c r="N140" s="23" t="n">
        <x:f>IF(C140="","",IFERROR(IF(AND(AC140&gt;=0,D140&gt;=AC140+INDEX('Facilities'!$AK$9:$AK$108,MATCH(C140,'Facilities'!$C$9:$C$108,0))),H140+L140-M140,0),"Unavailable"))</x:f>
        <x:v>0</x:v>
      </x:c>
      <x:c r="O140" s="21" t="n">
        <x:f>IF(C140="","",IFERROR(MAX(0,G140+J140-K140-L140),"Unavailable"))</x:f>
        <x:v>9.20176</x:v>
      </x:c>
      <x:c r="P140" s="21" t="n">
        <x:f>IF(C140="","",IFERROR(MAX(0,H140+L140-M140-N140),"Unavailable"))</x:f>
        <x:v>0</x:v>
      </x:c>
      <x:c r="Q140" s="23" t="n">
        <x:f>IF(C140="","",IFERROR(IF(OR(D140&gt;=INDEX('Facilities'!$J$9:$J$108,MATCH(C140,'Facilities'!$C$9:$C$108,0)),AND(AC140&gt;=0,AC140&lt;=D140)),0,MAX(0,I140-J140)),"Unavailable"))</x:f>
        <x:v>1.311</x:v>
      </x:c>
      <x:c r="R140" s="30" t="n">
        <x:f>IF(C140="","",IFERROR(INDEX(Credit!$Q$109:$Q$208,MATCH(F140,Credit!$C$109:$C$208,0)),"Unavailable"))</x:f>
        <x:v>0.023019834128471167</x:v>
      </x:c>
      <x:c r="S140" s="30" t="n">
        <x:f>IF(C140="","",IFERROR(INDEX(Credit!$R$109:$R$208,MATCH(F140,Credit!$C$109:$C$208,0)),"Unavailable"))</x:f>
        <x:v>0.44152320000000006</x:v>
      </x:c>
      <x:c r="T140" s="23" t="n">
        <x:f>IF(C140="","",IFERROR(IF(P140&gt;0,3,IF(OR(INDEX('Facilities'!$AD$9:$AD$108,MATCH(C140,'Facilities'!$C$9:$C$108,0))=2,AND(R140&gt;=INDEX('Facilities'!$L$9:$L$108,MATCH(C140,'Facilities'!$C$9:$C$108,0))*Settings!$F$19,R140-INDEX('Facilities'!$L$9:$L$108,MATCH(C140,'Facilities'!$C$9:$C$108,0))&gt;=Settings!$F$20)),2,1)),"Unavailable"))</x:f>
        <x:v>1</x:v>
      </x:c>
      <x:c r="U140" s="23" t="n">
        <x:f>IF(C140="","",IF(AQ140&lt;&gt;"Ready","Unavailable",IF(C140="","",O140*(1-(1-S140)/(1+INDEX('Facilities'!$K$9:$K$108,MATCH(C140,'Facilities'!$C$9:$C$108,0)))^INDEX('Facilities'!$AK$9:$AK$108,MATCH(C140,'Facilities'!$C$9:$C$108,0)))*R140/(1+INDEX('Facilities'!$K$9:$K$108,MATCH(C140,'Facilities'!$C$9:$C$108,0)))*IF(ABS(1-(1-R140)*(1-INDEX('Facilities'!$R$9:$R$108,MATCH(C140,'Facilities'!$C$9:$C$108,0)))/(1+INDEX('Facilities'!$K$9:$K$108,MATCH(C140,'Facilities'!$C$9:$C$108,0))))&lt;0.000000001,IF(T140=1,MIN(1,AJ140),AJ140),(1-((1-R140)*(1-INDEX('Facilities'!$R$9:$R$108,MATCH(C140,'Facilities'!$C$9:$C$108,0)))/(1+INDEX('Facilities'!$K$9:$K$108,MATCH(C140,'Facilities'!$C$9:$C$108,0))))^IF(T140=1,MIN(1,AJ140),AJ140))/(1-(1-R140)*(1-INDEX('Facilities'!$R$9:$R$108,MATCH(C140,'Facilities'!$C$9:$C$108,0)))/(1+INDEX('Facilities'!$K$9:$K$108,MATCH(C140,'Facilities'!$C$9:$C$108,0)))))+AL140)))</x:f>
        <x:v>0.10222345205854494</x:v>
      </x:c>
      <x:c r="V140" s="23" t="n">
        <x:f>IF(C140="","",IF(AQ140&lt;&gt;"Ready","Unavailable",IF(C140="","",Q140*INDEX('Facilities'!$I$9:$I$108,MATCH(C140,'Facilities'!$C$9:$C$108,0))*(1-(1-S140)/(1+INDEX('Facilities'!$K$9:$K$108,MATCH(C140,'Facilities'!$C$9:$C$108,0)))^INDEX('Facilities'!$AK$9:$AK$108,MATCH(C140,'Facilities'!$C$9:$C$108,0)))*R140/(1+INDEX('Facilities'!$K$9:$K$108,MATCH(C140,'Facilities'!$C$9:$C$108,0)))*IF(ABS(1-(1-R140)*(1-0)/(1+INDEX('Facilities'!$K$9:$K$108,MATCH(C140,'Facilities'!$C$9:$C$108,0))))&lt;0.000000001,IF(T140=1,MIN(1,AJ140),AJ140),(1-((1-R140)*(1-0)/(1+INDEX('Facilities'!$K$9:$K$108,MATCH(C140,'Facilities'!$C$9:$C$108,0))))^IF(T140=1,MIN(1,AJ140),AJ140))/(1-(1-R140)*(1-0)/(1+INDEX('Facilities'!$K$9:$K$108,MATCH(C140,'Facilities'!$C$9:$C$108,0))))))))</x:f>
        <x:v>0.007282027875577737</x:v>
      </x:c>
      <x:c r="W140" s="21" t="n">
        <x:f>IF(C140="","",IFERROR(U40,"Unavailable"))</x:f>
        <x:v>0.1014586623569463</x:v>
      </x:c>
      <x:c r="X140" s="21" t="n">
        <x:f>IF(C140="","",IFERROR(V40,"Unavailable"))</x:f>
        <x:v>0.007000028752718528</x:v>
      </x:c>
      <x:c r="Y140" s="21" t="n">
        <x:f>IF(C140="","",IF(AQ140&lt;&gt;"Ready","Unavailable",IF(C140="","",U140-W140+V140-X140+N140+AG140)))</x:f>
        <x:v>0.0010467888244578508</x:v>
      </x:c>
      <x:c r="Z140" s="23" t="n">
        <x:f>IF(C140="","",IF(AQ140&lt;&gt;"Ready","Unavailable",IF(C140="","",(G140+O140+L140)/2*INDEX('Facilities'!$T$9:$T$108,MATCH(C140,'Facilities'!$C$9:$C$108,0))+AG140)))</x:f>
        <x:v>0.9276160999999999</x:v>
      </x:c>
      <x:c r="AA140" s="23" t="n">
        <x:f>IF(C140="","",IF(AQ140&lt;&gt;"Ready","Unavailable",IF(C140="","",O140*(1-IF(INDEX('Facilities'!$AA$9:$AA$108,MATCH(C140,'Facilities'!$C$9:$C$108,0))=0,0,MIN(1,INDEX('Facilities'!$X$9:$X$108,MATCH(C140,'Facilities'!$C$9:$C$108,0))/INDEX('Facilities'!$AA$9:$AA$108,MATCH(C140,'Facilities'!$C$9:$C$108,0)))))*AF140+P140*(1-IF(INDEX('Facilities'!$AA$9:$AA$108,MATCH(C140,'Facilities'!$C$9:$C$108,0))=0,0,MIN(1,INDEX('Facilities'!$X$9:$X$108,MATCH(C140,'Facilities'!$C$9:$C$108,0))/INDEX('Facilities'!$AA$9:$AA$108,MATCH(C140,'Facilities'!$C$9:$C$108,0)))))*INDEX('Facilities'!$AJ$9:$AJ$108,MATCH(C140,'Facilities'!$C$9:$C$108,0))+Q140*INDEX('Facilities'!$AI$9:$AI$108,MATCH(C140,'Facilities'!$C$9:$C$108,0))*AF140)))</x:f>
        <x:v>10.197079327680001</x:v>
      </x:c>
      <x:c r="AB140" s="21" t="n">
        <x:f>IF(C140="","",O140+P140-AD140)</x:f>
        <x:v>-1.125239999999998</x:v>
      </x:c>
      <x:c r="AC140" s="23" t="n">
        <x:f>IF(C140="","",IFERROR(IF(INDEX('Facilities'!$AD$9:$AD$108,MATCH(C140,'Facilities'!$C$9:$C$108,0))=3,0,IF(INDEX('Facilities'!$AN$9:$AN$108,MATCH(C140,'Facilities'!$C$9:$C$108,0))=0,-1,INDEX('Facilities'!$AN$9:$AN$108,MATCH(C140,'Facilities'!$C$9:$C$108,0)))),"Unavailable"))</x:f>
        <x:v>-1</x:v>
      </x:c>
      <x:c r="AD140" s="21" t="n">
        <x:f>IF(C140="","",IFERROR(G140+H140,"Unavailable"))</x:f>
        <x:v>10.326999999999998</x:v>
      </x:c>
      <x:c r="AE140" s="21" t="n">
        <x:f>IF(C140="","",IF(AQ140&lt;&gt;"Ready","Unavailable",IF(C140="","",O140+P140-AD140-J140+K140+M140+N140)))</x:f>
        <x:v>1.5543122344752192e-15</x:v>
      </x:c>
      <x:c r="AF140" s="30" t="n">
        <x:f>IF(C140="","",IFERROR(INDEX('Facilities'!$S$9:$S$108,MATCH(C140,'Facilities'!$C$9:$C$108,0))*'Scenario Paths'!G75,"Unavailable"))</x:f>
        <x:v>1.05</x:v>
      </x:c>
      <x:c r="AG140" s="23" t="n">
        <x:f>IF(C140="","",IF(AQ140&lt;&gt;"Ready","Unavailable",IF(C140="","",IF(H140&gt;0,MAX(0,H140-AK140)*((1+INDEX('Facilities'!$K$9:$K$108,MATCH(C140,'Facilities'!$C$9:$C$108,0)))^MIN(1,MAX(0,AC140+INDEX('Facilities'!$AK$9:$AK$108,MATCH(C140,'Facilities'!$C$9:$C$108,0))-D140+1))-1),0))))</x:f>
        <x:v>0</x:v>
      </x:c>
      <x:c r="AH140" s="21" t="n">
        <x:f>IF(C140="","",IF(AQ140&lt;&gt;"Ready","Unavailable",IF(C140="","",O140+P140)))</x:f>
        <x:v>9.20176</x:v>
      </x:c>
      <x:c r="AI140" s="21" t="n">
        <x:f>IF(C140="","",IF(AQ140&lt;&gt;"Ready","Unavailable",IF(C140="","",Z140-Y140)))</x:f>
        <x:v>0.9265693111755421</x:v>
      </x:c>
      <x:c r="AJ140" s="23" t="n">
        <x:f>IF(C140="","",IFERROR(MAX(0,INDEX('Facilities'!$J$9:$J$108,MATCH(C140,'Facilities'!$C$9:$C$108,0))-D140),"Unavailable"))</x:f>
        <x:v>7</x:v>
      </x:c>
      <x:c r="AK140" s="21" t="n">
        <x:f>IF(C140="","",IFERROR(AL40,"Unavailable"))</x:f>
        <x:v>0</x:v>
      </x:c>
      <x:c r="AL140" s="23" t="n">
        <x:f>IF(C140="","",IFERROR(IF(P140&gt;0,P140*(1-AM140/(1+INDEX('Facilities'!$K$9:$K$108,MATCH(C140,'Facilities'!$C$9:$C$108,0)))^MAX(0,AC140+INDEX('Facilities'!$AK$9:$AK$108,MATCH(C140,'Facilities'!$C$9:$C$108,0))-D140)),0),"Unavailable"))</x:f>
        <x:v>0</x:v>
      </x:c>
      <x:c r="AM140" s="30" t="n">
        <x:f>IF(C140="","",IFERROR(INDEX('Facilities'!$AL$9:$AL$108,MATCH(C140,'Facilities'!$C$9:$C$108,0)),"Unavailable"))</x:f>
        <x:v>0.55</x:v>
      </x:c>
      <x:c r="AN140" s="30" t="n">
        <x:f>IF(C140="","",IFERROR(INDEX(Credit!$T$109:$T$208,MATCH(F140,Credit!$C$109:$C$208,0)),"Unavailable"))</x:f>
        <x:v>0.00272</x:v>
      </x:c>
      <x:c r="AO140" s="23" t="n">
        <x:f>IF(C140="","",IF(AQ140&lt;&gt;"Ready","Unavailable",IF(C140="","",O140+P140+Q140*INDEX('Facilities'!$I$9:$I$108,MATCH(C140,'Facilities'!$C$9:$C$108,0)))))</x:f>
        <x:v>9.85726</x:v>
      </x:c>
      <x:c r="AP140" s="21" t="n">
        <x:f>IF(C140="","",IF(AQ140&lt;&gt;"Ready","Unavailable",IF(C140="","",AH140-U140)))</x:f>
        <x:v>9.099536547941455</x:v>
      </x:c>
      <x:c r="AQ140" s="23" t="str">
        <x:f>IFERROR(IF(C140="","",IF(AND(INDEX('Facilities'!$AF$9:$AF$108,MATCH(C140,'Facilities'!$C$9:$C$108,0))="Ready",INDEX(Credit!$U$109:$U$208,MATCH(F140,Credit!$C$109:$C$208,0))="Ready",ISNUMBER(W140)),"Ready","Review inputs")),"Review inputs")</x:f>
        <x:v>Ready</x:v>
      </x:c>
      <x:c r="AR140" s="23" t="n">
        <x:f>IF(C140="","",IF(AQ140&lt;&gt;"Ready","Unavailable",IF(C140="","",IF(O140=0,0,(IF(AJ140&lt;=1,O140,O140*INDEX('Facilities'!$R$9:$R$108,MATCH(C140,'Facilities'!$C$9:$C$108,0)))+O140*INDEX('Facilities'!$T$9:$T$108,MATCH(C140,'Facilities'!$C$9:$C$108,0)))/12))))</x:f>
        <x:v>0.16486486666666667</x:v>
      </x:c>
    </x:row>
    <x:row r="141" ht="26" customHeight="1">
      <x:c r="A141" s="1"/>
      <x:c r="B141" s="1"/>
      <x:c r="C141" s="9" t="str">
        <x:f>IF(Facilities!C41="","",Facilities!C41)</x:f>
        <x:v>F033</x:v>
      </x:c>
      <x:c r="D141" s="3" t="n">
        <x:v>2</x:v>
      </x:c>
      <x:c r="E141" s="9" t="n">
        <x:f>Settings!$F$18+1</x:f>
        <x:v>2028</x:v>
      </x:c>
      <x:c r="F141" s="9" t="str">
        <x:f>IF(C141="","",IFERROR(INDEX('Facilities'!$D$9:$D$108,MATCH(C141,'Facilities'!$C$9:$C$108,0)),"Unavailable"))</x:f>
        <x:v>B021</x:v>
      </x:c>
      <x:c r="G141" s="21" t="n">
        <x:f>IF(C141="","",IFERROR(O41,"Unavailable"))</x:f>
        <x:v>10.635</x:v>
      </x:c>
      <x:c r="H141" s="21" t="n">
        <x:f>IF(C141="","",IFERROR(P41,"Unavailable"))</x:f>
        <x:v>0</x:v>
      </x:c>
      <x:c r="I141" s="21" t="n">
        <x:f>IF(C141="","",IFERROR(Q41,"Unavailable"))</x:f>
        <x:v>1.425</x:v>
      </x:c>
      <x:c r="J141" s="23" t="n">
        <x:f>IF(C141="","",IFERROR(IF(OR(H141&gt;0,AND(AC141&gt;=0,AC141&lt;D141),D141&gt;INDEX('Facilities'!$J$9:$J$108,MATCH(C141,'Facilities'!$C$9:$C$108,0))),0,I141*'Scenario Paths'!G81),"Unavailable"))</x:f>
        <x:v>0.114</x:v>
      </x:c>
      <x:c r="K141" s="23" t="n">
        <x:f>IF(C141="","",IFERROR(IF(OR(H141&gt;0,AND(AC141&gt;=0,AC141=D141)),0,IF(D141&gt;=INDEX('Facilities'!$J$9:$J$108,MATCH(C141,'Facilities'!$C$9:$C$108,0)),G141+J141,MIN(G141+J141,G141*INDEX('Facilities'!$R$9:$R$108,MATCH(C141,'Facilities'!$C$9:$C$108,0))))),"Unavailable"))</x:f>
        <x:v>1.2762</x:v>
      </x:c>
      <x:c r="L141" s="21" t="n">
        <x:f>IF(C141="","",IFERROR(IF(AND(AC141=D141,AC141&gt;0),MAX(0,G141+J141-K141),0),"Unavailable"))</x:f>
        <x:v>0</x:v>
      </x:c>
      <x:c r="M141" s="23" t="n">
        <x:f>IF(C141="","",IFERROR(IF(AND(AC141&gt;=0,D141&gt;=AC141+INDEX('Facilities'!$AK$9:$AK$108,MATCH(C141,'Facilities'!$C$9:$C$108,0))),(H141+L141)*AM141,0),"Unavailable"))</x:f>
        <x:v>0</x:v>
      </x:c>
      <x:c r="N141" s="23" t="n">
        <x:f>IF(C141="","",IFERROR(IF(AND(AC141&gt;=0,D141&gt;=AC141+INDEX('Facilities'!$AK$9:$AK$108,MATCH(C141,'Facilities'!$C$9:$C$108,0))),H141+L141-M141,0),"Unavailable"))</x:f>
        <x:v>0</x:v>
      </x:c>
      <x:c r="O141" s="21" t="n">
        <x:f>IF(C141="","",IFERROR(MAX(0,G141+J141-K141-L141),"Unavailable"))</x:f>
        <x:v>9.472800000000001</x:v>
      </x:c>
      <x:c r="P141" s="21" t="n">
        <x:f>IF(C141="","",IFERROR(MAX(0,H141+L141-M141-N141),"Unavailable"))</x:f>
        <x:v>0</x:v>
      </x:c>
      <x:c r="Q141" s="23" t="n">
        <x:f>IF(C141="","",IFERROR(IF(OR(D141&gt;=INDEX('Facilities'!$J$9:$J$108,MATCH(C141,'Facilities'!$C$9:$C$108,0)),AND(AC141&gt;=0,AC141&lt;=D141)),0,MAX(0,I141-J141)),"Unavailable"))</x:f>
        <x:v>1.311</x:v>
      </x:c>
      <x:c r="R141" s="30" t="n">
        <x:f>IF(C141="","",IFERROR(INDEX(Credit!$Q$109:$Q$208,MATCH(F141,Credit!$C$109:$C$208,0)),"Unavailable"))</x:f>
        <x:v>0.030976952243992745</x:v>
      </x:c>
      <x:c r="S141" s="30" t="n">
        <x:f>IF(C141="","",IFERROR(INDEX(Credit!$R$109:$R$208,MATCH(F141,Credit!$C$109:$C$208,0)),"Unavailable"))</x:f>
        <x:v>0.2807488</x:v>
      </x:c>
      <x:c r="T141" s="23" t="n">
        <x:f>IF(C141="","",IFERROR(IF(P141&gt;0,3,IF(OR(INDEX('Facilities'!$AD$9:$AD$108,MATCH(C141,'Facilities'!$C$9:$C$108,0))=2,AND(R141&gt;=INDEX('Facilities'!$L$9:$L$108,MATCH(C141,'Facilities'!$C$9:$C$108,0))*Settings!$F$19,R141-INDEX('Facilities'!$L$9:$L$108,MATCH(C141,'Facilities'!$C$9:$C$108,0))&gt;=Settings!$F$20)),2,1)),"Unavailable"))</x:f>
        <x:v>2</x:v>
      </x:c>
      <x:c r="U141" s="23" t="n">
        <x:f>IF(C141="","",IF(AQ141&lt;&gt;"Ready","Unavailable",IF(C141="","",O141*(1-(1-S141)/(1+INDEX('Facilities'!$K$9:$K$108,MATCH(C141,'Facilities'!$C$9:$C$108,0)))^INDEX('Facilities'!$AK$9:$AK$108,MATCH(C141,'Facilities'!$C$9:$C$108,0)))*R141/(1+INDEX('Facilities'!$K$9:$K$108,MATCH(C141,'Facilities'!$C$9:$C$108,0)))*IF(ABS(1-(1-R141)*(1-INDEX('Facilities'!$R$9:$R$108,MATCH(C141,'Facilities'!$C$9:$C$108,0)))/(1+INDEX('Facilities'!$K$9:$K$108,MATCH(C141,'Facilities'!$C$9:$C$108,0))))&lt;0.000000001,IF(T141=1,MIN(1,AJ141),AJ141),(1-((1-R141)*(1-INDEX('Facilities'!$R$9:$R$108,MATCH(C141,'Facilities'!$C$9:$C$108,0)))/(1+INDEX('Facilities'!$K$9:$K$108,MATCH(C141,'Facilities'!$C$9:$C$108,0))))^IF(T141=1,MIN(1,AJ141),AJ141))/(1-(1-R141)*(1-INDEX('Facilities'!$R$9:$R$108,MATCH(C141,'Facilities'!$C$9:$C$108,0)))/(1+INDEX('Facilities'!$K$9:$K$108,MATCH(C141,'Facilities'!$C$9:$C$108,0)))))+AL141)))</x:f>
        <x:v>0.25133648276257675</x:v>
      </x:c>
      <x:c r="V141" s="23" t="n">
        <x:f>IF(C141="","",IF(AQ141&lt;&gt;"Ready","Unavailable",IF(C141="","",Q141*INDEX('Facilities'!$I$9:$I$108,MATCH(C141,'Facilities'!$C$9:$C$108,0))*(1-(1-S141)/(1+INDEX('Facilities'!$K$9:$K$108,MATCH(C141,'Facilities'!$C$9:$C$108,0)))^INDEX('Facilities'!$AK$9:$AK$108,MATCH(C141,'Facilities'!$C$9:$C$108,0)))*R141/(1+INDEX('Facilities'!$K$9:$K$108,MATCH(C141,'Facilities'!$C$9:$C$108,0)))*IF(ABS(1-(1-R141)*(1-0)/(1+INDEX('Facilities'!$K$9:$K$108,MATCH(C141,'Facilities'!$C$9:$C$108,0))))&lt;0.000000001,IF(T141=1,MIN(1,AJ141),AJ141),(1-((1-R141)*(1-0)/(1+INDEX('Facilities'!$K$9:$K$108,MATCH(C141,'Facilities'!$C$9:$C$108,0))))^IF(T141=1,MIN(1,AJ141),AJ141))/(1-(1-R141)*(1-0)/(1+INDEX('Facilities'!$K$9:$K$108,MATCH(C141,'Facilities'!$C$9:$C$108,0))))))))</x:f>
        <x:v>0.019477089995126862</x:v>
      </x:c>
      <x:c r="W141" s="21" t="n">
        <x:f>IF(C141="","",IFERROR(U41,"Unavailable"))</x:f>
        <x:v>0.30054331602877854</x:v>
      </x:c>
      <x:c r="X141" s="21" t="n">
        <x:f>IF(C141="","",IFERROR(V41,"Unavailable"))</x:f>
        <x:v>0.023748667860243808</x:v>
      </x:c>
      <x:c r="Y141" s="21" t="n">
        <x:f>IF(C141="","",IF(AQ141&lt;&gt;"Ready","Unavailable",IF(C141="","",U141-W141+V141-X141+N141+AG141)))</x:f>
        <x:v>-0.05347841113131874</x:v>
      </x:c>
      <x:c r="Z141" s="23" t="n">
        <x:f>IF(C141="","",IF(AQ141&lt;&gt;"Ready","Unavailable",IF(C141="","",(G141+O141+L141)/2*INDEX('Facilities'!$T$9:$T$108,MATCH(C141,'Facilities'!$C$9:$C$108,0))+AG141)))</x:f>
        <x:v>0.9551205</x:v>
      </x:c>
      <x:c r="AA141" s="23" t="n">
        <x:f>IF(C141="","",IF(AQ141&lt;&gt;"Ready","Unavailable",IF(C141="","",O141*(1-IF(INDEX('Facilities'!$AA$9:$AA$108,MATCH(C141,'Facilities'!$C$9:$C$108,0))=0,0,MIN(1,INDEX('Facilities'!$X$9:$X$108,MATCH(C141,'Facilities'!$C$9:$C$108,0))/INDEX('Facilities'!$AA$9:$AA$108,MATCH(C141,'Facilities'!$C$9:$C$108,0)))))*AF141+P141*(1-IF(INDEX('Facilities'!$AA$9:$AA$108,MATCH(C141,'Facilities'!$C$9:$C$108,0))=0,0,MIN(1,INDEX('Facilities'!$X$9:$X$108,MATCH(C141,'Facilities'!$C$9:$C$108,0))/INDEX('Facilities'!$AA$9:$AA$108,MATCH(C141,'Facilities'!$C$9:$C$108,0)))))*INDEX('Facilities'!$AJ$9:$AJ$108,MATCH(C141,'Facilities'!$C$9:$C$108,0))+Q141*INDEX('Facilities'!$AI$9:$AI$108,MATCH(C141,'Facilities'!$C$9:$C$108,0))*AF141)))</x:f>
        <x:v>10.5010348464</x:v>
      </x:c>
      <x:c r="AB141" s="21" t="n">
        <x:f>IF(C141="","",O141+P141-AD141)</x:f>
        <x:v>-1.1621999999999986</x:v>
      </x:c>
      <x:c r="AC141" s="23" t="n">
        <x:f>IF(C141="","",IFERROR(IF(INDEX('Facilities'!$AD$9:$AD$108,MATCH(C141,'Facilities'!$C$9:$C$108,0))=3,0,IF(INDEX('Facilities'!$AN$9:$AN$108,MATCH(C141,'Facilities'!$C$9:$C$108,0))=0,-1,INDEX('Facilities'!$AN$9:$AN$108,MATCH(C141,'Facilities'!$C$9:$C$108,0)))),"Unavailable"))</x:f>
        <x:v>-1</x:v>
      </x:c>
      <x:c r="AD141" s="21" t="n">
        <x:f>IF(C141="","",IFERROR(G141+H141,"Unavailable"))</x:f>
        <x:v>10.635</x:v>
      </x:c>
      <x:c r="AE141" s="21" t="n">
        <x:f>IF(C141="","",IF(AQ141&lt;&gt;"Ready","Unavailable",IF(C141="","",O141+P141-AD141-J141+K141+M141+N141)))</x:f>
        <x:v>1.3322676295501878e-15</x:v>
      </x:c>
      <x:c r="AF141" s="30" t="n">
        <x:f>IF(C141="","",IFERROR(INDEX('Facilities'!$S$9:$S$108,MATCH(C141,'Facilities'!$C$9:$C$108,0))*'Scenario Paths'!G75,"Unavailable"))</x:f>
        <x:v>1.05</x:v>
      </x:c>
      <x:c r="AG141" s="23" t="n">
        <x:f>IF(C141="","",IF(AQ141&lt;&gt;"Ready","Unavailable",IF(C141="","",IF(H141&gt;0,MAX(0,H141-AK141)*((1+INDEX('Facilities'!$K$9:$K$108,MATCH(C141,'Facilities'!$C$9:$C$108,0)))^MIN(1,MAX(0,AC141+INDEX('Facilities'!$AK$9:$AK$108,MATCH(C141,'Facilities'!$C$9:$C$108,0))-D141+1))-1),0))))</x:f>
        <x:v>0</x:v>
      </x:c>
      <x:c r="AH141" s="21" t="n">
        <x:f>IF(C141="","",IF(AQ141&lt;&gt;"Ready","Unavailable",IF(C141="","",O141+P141)))</x:f>
        <x:v>9.472800000000001</x:v>
      </x:c>
      <x:c r="AI141" s="21" t="n">
        <x:f>IF(C141="","",IF(AQ141&lt;&gt;"Ready","Unavailable",IF(C141="","",Z141-Y141)))</x:f>
        <x:v>1.0085989111313187</x:v>
      </x:c>
      <x:c r="AJ141" s="23" t="n">
        <x:f>IF(C141="","",IFERROR(MAX(0,INDEX('Facilities'!$J$9:$J$108,MATCH(C141,'Facilities'!$C$9:$C$108,0))-D141),"Unavailable"))</x:f>
        <x:v>3</x:v>
      </x:c>
      <x:c r="AK141" s="21" t="n">
        <x:f>IF(C141="","",IFERROR(AL41,"Unavailable"))</x:f>
        <x:v>0</x:v>
      </x:c>
      <x:c r="AL141" s="23" t="n">
        <x:f>IF(C141="","",IFERROR(IF(P141&gt;0,P141*(1-AM141/(1+INDEX('Facilities'!$K$9:$K$108,MATCH(C141,'Facilities'!$C$9:$C$108,0)))^MAX(0,AC141+INDEX('Facilities'!$AK$9:$AK$108,MATCH(C141,'Facilities'!$C$9:$C$108,0))-D141)),0),"Unavailable"))</x:f>
        <x:v>0</x:v>
      </x:c>
      <x:c r="AM141" s="30" t="n">
        <x:f>IF(C141="","",IFERROR(INDEX('Facilities'!$AL$9:$AL$108,MATCH(C141,'Facilities'!$C$9:$C$108,0)),"Unavailable"))</x:f>
        <x:v>0.55</x:v>
      </x:c>
      <x:c r="AN141" s="30" t="n">
        <x:f>IF(C141="","",IFERROR(INDEX(Credit!$T$109:$T$208,MATCH(F141,Credit!$C$109:$C$208,0)),"Unavailable"))</x:f>
        <x:v>0.00104</x:v>
      </x:c>
      <x:c r="AO141" s="23" t="n">
        <x:f>IF(C141="","",IF(AQ141&lt;&gt;"Ready","Unavailable",IF(C141="","",O141+P141+Q141*INDEX('Facilities'!$I$9:$I$108,MATCH(C141,'Facilities'!$C$9:$C$108,0)))))</x:f>
        <x:v>10.128300000000001</x:v>
      </x:c>
      <x:c r="AP141" s="21" t="n">
        <x:f>IF(C141="","",IF(AQ141&lt;&gt;"Ready","Unavailable",IF(C141="","",AH141-U141)))</x:f>
        <x:v>9.221463517237424</x:v>
      </x:c>
      <x:c r="AQ141" s="23" t="str">
        <x:f>IFERROR(IF(C141="","",IF(AND(INDEX('Facilities'!$AF$9:$AF$108,MATCH(C141,'Facilities'!$C$9:$C$108,0))="Ready",INDEX(Credit!$U$109:$U$208,MATCH(F141,Credit!$C$109:$C$208,0))="Ready",ISNUMBER(W141)),"Ready","Review inputs")),"Review inputs")</x:f>
        <x:v>Ready</x:v>
      </x:c>
      <x:c r="AR141" s="23" t="n">
        <x:f>IF(C141="","",IF(AQ141&lt;&gt;"Ready","Unavailable",IF(C141="","",IF(O141=0,0,(IF(AJ141&lt;=1,O141,O141*INDEX('Facilities'!$R$9:$R$108,MATCH(C141,'Facilities'!$C$9:$C$108,0)))+O141*INDEX('Facilities'!$T$9:$T$108,MATCH(C141,'Facilities'!$C$9:$C$108,0)))/12))))</x:f>
        <x:v>0.169721</x:v>
      </x:c>
    </x:row>
    <x:row r="142" ht="26" customHeight="1">
      <x:c r="A142" s="1"/>
      <x:c r="B142" s="1"/>
      <x:c r="C142" s="9" t="str">
        <x:f>IF(Facilities!C42="","",Facilities!C42)</x:f>
        <x:v>F034</x:v>
      </x:c>
      <x:c r="D142" s="3" t="n">
        <x:v>2</x:v>
      </x:c>
      <x:c r="E142" s="9" t="n">
        <x:f>Settings!$F$18+1</x:f>
        <x:v>2028</x:v>
      </x:c>
      <x:c r="F142" s="9" t="str">
        <x:f>IF(C142="","",IFERROR(INDEX('Facilities'!$D$9:$D$108,MATCH(C142,'Facilities'!$C$9:$C$108,0)),"Unavailable"))</x:f>
        <x:v>B022</x:v>
      </x:c>
      <x:c r="G142" s="21" t="n">
        <x:f>IF(C142="","",IFERROR(O42,"Unavailable"))</x:f>
        <x:v>10.943</x:v>
      </x:c>
      <x:c r="H142" s="21" t="n">
        <x:f>IF(C142="","",IFERROR(P42,"Unavailable"))</x:f>
        <x:v>0</x:v>
      </x:c>
      <x:c r="I142" s="21" t="n">
        <x:f>IF(C142="","",IFERROR(Q42,"Unavailable"))</x:f>
        <x:v>1.425</x:v>
      </x:c>
      <x:c r="J142" s="23" t="n">
        <x:f>IF(C142="","",IFERROR(IF(OR(H142&gt;0,AND(AC142&gt;=0,AC142&lt;D142),D142&gt;INDEX('Facilities'!$J$9:$J$108,MATCH(C142,'Facilities'!$C$9:$C$108,0))),0,I142*'Scenario Paths'!G81),"Unavailable"))</x:f>
        <x:v>0.114</x:v>
      </x:c>
      <x:c r="K142" s="23" t="n">
        <x:f>IF(C142="","",IFERROR(IF(OR(H142&gt;0,AND(AC142&gt;=0,AC142=D142)),0,IF(D142&gt;=INDEX('Facilities'!$J$9:$J$108,MATCH(C142,'Facilities'!$C$9:$C$108,0)),G142+J142,MIN(G142+J142,G142*INDEX('Facilities'!$R$9:$R$108,MATCH(C142,'Facilities'!$C$9:$C$108,0))))),"Unavailable"))</x:f>
        <x:v>1.3131599999999999</x:v>
      </x:c>
      <x:c r="L142" s="21" t="n">
        <x:f>IF(C142="","",IFERROR(IF(AND(AC142=D142,AC142&gt;0),MAX(0,G142+J142-K142),0),"Unavailable"))</x:f>
        <x:v>0</x:v>
      </x:c>
      <x:c r="M142" s="23" t="n">
        <x:f>IF(C142="","",IFERROR(IF(AND(AC142&gt;=0,D142&gt;=AC142+INDEX('Facilities'!$AK$9:$AK$108,MATCH(C142,'Facilities'!$C$9:$C$108,0))),(H142+L142)*AM142,0),"Unavailable"))</x:f>
        <x:v>0</x:v>
      </x:c>
      <x:c r="N142" s="23" t="n">
        <x:f>IF(C142="","",IFERROR(IF(AND(AC142&gt;=0,D142&gt;=AC142+INDEX('Facilities'!$AK$9:$AK$108,MATCH(C142,'Facilities'!$C$9:$C$108,0))),H142+L142-M142,0),"Unavailable"))</x:f>
        <x:v>0</x:v>
      </x:c>
      <x:c r="O142" s="21" t="n">
        <x:f>IF(C142="","",IFERROR(MAX(0,G142+J142-K142-L142),"Unavailable"))</x:f>
        <x:v>9.74384</x:v>
      </x:c>
      <x:c r="P142" s="21" t="n">
        <x:f>IF(C142="","",IFERROR(MAX(0,H142+L142-M142-N142),"Unavailable"))</x:f>
        <x:v>0</x:v>
      </x:c>
      <x:c r="Q142" s="23" t="n">
        <x:f>IF(C142="","",IFERROR(IF(OR(D142&gt;=INDEX('Facilities'!$J$9:$J$108,MATCH(C142,'Facilities'!$C$9:$C$108,0)),AND(AC142&gt;=0,AC142&lt;=D142)),0,MAX(0,I142-J142)),"Unavailable"))</x:f>
        <x:v>1.311</x:v>
      </x:c>
      <x:c r="R142" s="30" t="n">
        <x:f>IF(C142="","",IFERROR(INDEX(Credit!$Q$109:$Q$208,MATCH(F142,Credit!$C$109:$C$208,0)),"Unavailable"))</x:f>
        <x:v>0.037532754183157706</x:v>
      </x:c>
      <x:c r="S142" s="30" t="n">
        <x:f>IF(C142="","",IFERROR(INDEX(Credit!$R$109:$R$208,MATCH(F142,Credit!$C$109:$C$208,0)),"Unavailable"))</x:f>
        <x:v>0.32060928</x:v>
      </x:c>
      <x:c r="T142" s="23" t="n">
        <x:f>IF(C142="","",IFERROR(IF(P142&gt;0,3,IF(OR(INDEX('Facilities'!$AD$9:$AD$108,MATCH(C142,'Facilities'!$C$9:$C$108,0))=2,AND(R142&gt;=INDEX('Facilities'!$L$9:$L$108,MATCH(C142,'Facilities'!$C$9:$C$108,0))*Settings!$F$19,R142-INDEX('Facilities'!$L$9:$L$108,MATCH(C142,'Facilities'!$C$9:$C$108,0))&gt;=Settings!$F$20)),2,1)),"Unavailable"))</x:f>
        <x:v>1</x:v>
      </x:c>
      <x:c r="U142" s="23" t="n">
        <x:f>IF(C142="","",IF(AQ142&lt;&gt;"Ready","Unavailable",IF(C142="","",O142*(1-(1-S142)/(1+INDEX('Facilities'!$K$9:$K$108,MATCH(C142,'Facilities'!$C$9:$C$108,0)))^INDEX('Facilities'!$AK$9:$AK$108,MATCH(C142,'Facilities'!$C$9:$C$108,0)))*R142/(1+INDEX('Facilities'!$K$9:$K$108,MATCH(C142,'Facilities'!$C$9:$C$108,0)))*IF(ABS(1-(1-R142)*(1-INDEX('Facilities'!$R$9:$R$108,MATCH(C142,'Facilities'!$C$9:$C$108,0)))/(1+INDEX('Facilities'!$K$9:$K$108,MATCH(C142,'Facilities'!$C$9:$C$108,0))))&lt;0.000000001,IF(T142=1,MIN(1,AJ142),AJ142),(1-((1-R142)*(1-INDEX('Facilities'!$R$9:$R$108,MATCH(C142,'Facilities'!$C$9:$C$108,0)))/(1+INDEX('Facilities'!$K$9:$K$108,MATCH(C142,'Facilities'!$C$9:$C$108,0))))^IF(T142=1,MIN(1,AJ142),AJ142))/(1-(1-R142)*(1-INDEX('Facilities'!$R$9:$R$108,MATCH(C142,'Facilities'!$C$9:$C$108,0)))/(1+INDEX('Facilities'!$K$9:$K$108,MATCH(C142,'Facilities'!$C$9:$C$108,0)))))+AL142)))</x:f>
        <x:v>0.14138604586468617</x:v>
      </x:c>
      <x:c r="V142" s="23" t="n">
        <x:f>IF(C142="","",IF(AQ142&lt;&gt;"Ready","Unavailable",IF(C142="","",Q142*INDEX('Facilities'!$I$9:$I$108,MATCH(C142,'Facilities'!$C$9:$C$108,0))*(1-(1-S142)/(1+INDEX('Facilities'!$K$9:$K$108,MATCH(C142,'Facilities'!$C$9:$C$108,0)))^INDEX('Facilities'!$AK$9:$AK$108,MATCH(C142,'Facilities'!$C$9:$C$108,0)))*R142/(1+INDEX('Facilities'!$K$9:$K$108,MATCH(C142,'Facilities'!$C$9:$C$108,0)))*IF(ABS(1-(1-R142)*(1-0)/(1+INDEX('Facilities'!$K$9:$K$108,MATCH(C142,'Facilities'!$C$9:$C$108,0))))&lt;0.000000001,IF(T142=1,MIN(1,AJ142),AJ142),(1-((1-R142)*(1-0)/(1+INDEX('Facilities'!$K$9:$K$108,MATCH(C142,'Facilities'!$C$9:$C$108,0))))^IF(T142=1,MIN(1,AJ142),AJ142))/(1-(1-R142)*(1-0)/(1+INDEX('Facilities'!$K$9:$K$108,MATCH(C142,'Facilities'!$C$9:$C$108,0))))))))</x:f>
        <x:v>0.009511501940128508</x:v>
      </x:c>
      <x:c r="W142" s="21" t="n">
        <x:f>IF(C142="","",IFERROR(U42,"Unavailable"))</x:f>
        <x:v>0.14201208144904442</x:v>
      </x:c>
      <x:c r="X142" s="21" t="n">
        <x:f>IF(C142="","",IFERROR(V42,"Unavailable"))</x:f>
        <x:v>0.009246423104490921</x:v>
      </x:c>
      <x:c r="Y142" s="21" t="n">
        <x:f>IF(C142="","",IF(AQ142&lt;&gt;"Ready","Unavailable",IF(C142="","",U142-W142+V142-X142+N142+AG142)))</x:f>
        <x:v>-0.00036095674872066615</x:v>
      </x:c>
      <x:c r="Z142" s="23" t="n">
        <x:f>IF(C142="","",IF(AQ142&lt;&gt;"Ready","Unavailable",IF(C142="","",(G142+O142+L142)/2*INDEX('Facilities'!$T$9:$T$108,MATCH(C142,'Facilities'!$C$9:$C$108,0))+AG142)))</x:f>
        <x:v>0.9826249</x:v>
      </x:c>
      <x:c r="AA142" s="23" t="n">
        <x:f>IF(C142="","",IF(AQ142&lt;&gt;"Ready","Unavailable",IF(C142="","",O142*(1-IF(INDEX('Facilities'!$AA$9:$AA$108,MATCH(C142,'Facilities'!$C$9:$C$108,0))=0,0,MIN(1,INDEX('Facilities'!$X$9:$X$108,MATCH(C142,'Facilities'!$C$9:$C$108,0))/INDEX('Facilities'!$AA$9:$AA$108,MATCH(C142,'Facilities'!$C$9:$C$108,0)))))*AF142+P142*(1-IF(INDEX('Facilities'!$AA$9:$AA$108,MATCH(C142,'Facilities'!$C$9:$C$108,0))=0,0,MIN(1,INDEX('Facilities'!$X$9:$X$108,MATCH(C142,'Facilities'!$C$9:$C$108,0))/INDEX('Facilities'!$AA$9:$AA$108,MATCH(C142,'Facilities'!$C$9:$C$108,0)))))*INDEX('Facilities'!$AJ$9:$AJ$108,MATCH(C142,'Facilities'!$C$9:$C$108,0))+Q142*INDEX('Facilities'!$AI$9:$AI$108,MATCH(C142,'Facilities'!$C$9:$C$108,0))*AF142)))</x:f>
        <x:v>10.722871185599999</x:v>
      </x:c>
      <x:c r="AB142" s="21" t="n">
        <x:f>IF(C142="","",O142+P142-AD142)</x:f>
        <x:v>-1.1991599999999991</x:v>
      </x:c>
      <x:c r="AC142" s="23" t="n">
        <x:f>IF(C142="","",IFERROR(IF(INDEX('Facilities'!$AD$9:$AD$108,MATCH(C142,'Facilities'!$C$9:$C$108,0))=3,0,IF(INDEX('Facilities'!$AN$9:$AN$108,MATCH(C142,'Facilities'!$C$9:$C$108,0))=0,-1,INDEX('Facilities'!$AN$9:$AN$108,MATCH(C142,'Facilities'!$C$9:$C$108,0)))),"Unavailable"))</x:f>
        <x:v>-1</x:v>
      </x:c>
      <x:c r="AD142" s="21" t="n">
        <x:f>IF(C142="","",IFERROR(G142+H142,"Unavailable"))</x:f>
        <x:v>10.943</x:v>
      </x:c>
      <x:c r="AE142" s="21" t="n">
        <x:f>IF(C142="","",IF(AQ142&lt;&gt;"Ready","Unavailable",IF(C142="","",O142+P142-AD142-J142+K142+M142+N142)))</x:f>
        <x:v>6.661338147750939e-16</x:v>
      </x:c>
      <x:c r="AF142" s="30" t="n">
        <x:f>IF(C142="","",IFERROR(INDEX('Facilities'!$S$9:$S$108,MATCH(C142,'Facilities'!$C$9:$C$108,0))*'Scenario Paths'!G75,"Unavailable"))</x:f>
        <x:v>1.05</x:v>
      </x:c>
      <x:c r="AG142" s="23" t="n">
        <x:f>IF(C142="","",IF(AQ142&lt;&gt;"Ready","Unavailable",IF(C142="","",IF(H142&gt;0,MAX(0,H142-AK142)*((1+INDEX('Facilities'!$K$9:$K$108,MATCH(C142,'Facilities'!$C$9:$C$108,0)))^MIN(1,MAX(0,AC142+INDEX('Facilities'!$AK$9:$AK$108,MATCH(C142,'Facilities'!$C$9:$C$108,0))-D142+1))-1),0))))</x:f>
        <x:v>0</x:v>
      </x:c>
      <x:c r="AH142" s="21" t="n">
        <x:f>IF(C142="","",IF(AQ142&lt;&gt;"Ready","Unavailable",IF(C142="","",O142+P142)))</x:f>
        <x:v>9.74384</x:v>
      </x:c>
      <x:c r="AI142" s="21" t="n">
        <x:f>IF(C142="","",IF(AQ142&lt;&gt;"Ready","Unavailable",IF(C142="","",Z142-Y142)))</x:f>
        <x:v>0.9829858567487207</x:v>
      </x:c>
      <x:c r="AJ142" s="23" t="n">
        <x:f>IF(C142="","",IFERROR(MAX(0,INDEX('Facilities'!$J$9:$J$108,MATCH(C142,'Facilities'!$C$9:$C$108,0))-D142),"Unavailable"))</x:f>
        <x:v>10</x:v>
      </x:c>
      <x:c r="AK142" s="21" t="n">
        <x:f>IF(C142="","",IFERROR(AL42,"Unavailable"))</x:f>
        <x:v>0</x:v>
      </x:c>
      <x:c r="AL142" s="23" t="n">
        <x:f>IF(C142="","",IFERROR(IF(P142&gt;0,P142*(1-AM142/(1+INDEX('Facilities'!$K$9:$K$108,MATCH(C142,'Facilities'!$C$9:$C$108,0)))^MAX(0,AC142+INDEX('Facilities'!$AK$9:$AK$108,MATCH(C142,'Facilities'!$C$9:$C$108,0))-D142)),0),"Unavailable"))</x:f>
        <x:v>0</x:v>
      </x:c>
      <x:c r="AM142" s="30" t="n">
        <x:f>IF(C142="","",IFERROR(INDEX('Facilities'!$AL$9:$AL$108,MATCH(C142,'Facilities'!$C$9:$C$108,0)),"Unavailable"))</x:f>
        <x:v>0.55</x:v>
      </x:c>
      <x:c r="AN142" s="30" t="n">
        <x:f>IF(C142="","",IFERROR(INDEX(Credit!$T$109:$T$208,MATCH(F142,Credit!$C$109:$C$208,0)),"Unavailable"))</x:f>
        <x:v>0.0008960000000000001</x:v>
      </x:c>
      <x:c r="AO142" s="23" t="n">
        <x:f>IF(C142="","",IF(AQ142&lt;&gt;"Ready","Unavailable",IF(C142="","",O142+P142+Q142*INDEX('Facilities'!$I$9:$I$108,MATCH(C142,'Facilities'!$C$9:$C$108,0)))))</x:f>
        <x:v>10.39934</x:v>
      </x:c>
      <x:c r="AP142" s="21" t="n">
        <x:f>IF(C142="","",IF(AQ142&lt;&gt;"Ready","Unavailable",IF(C142="","",AH142-U142)))</x:f>
        <x:v>9.602453954135314</x:v>
      </x:c>
      <x:c r="AQ142" s="23" t="str">
        <x:f>IFERROR(IF(C142="","",IF(AND(INDEX('Facilities'!$AF$9:$AF$108,MATCH(C142,'Facilities'!$C$9:$C$108,0))="Ready",INDEX(Credit!$U$109:$U$208,MATCH(F142,Credit!$C$109:$C$208,0))="Ready",ISNUMBER(W142)),"Ready","Review inputs")),"Review inputs")</x:f>
        <x:v>Ready</x:v>
      </x:c>
      <x:c r="AR142" s="23" t="n">
        <x:f>IF(C142="","",IF(AQ142&lt;&gt;"Ready","Unavailable",IF(C142="","",IF(O142=0,0,(IF(AJ142&lt;=1,O142,O142*INDEX('Facilities'!$R$9:$R$108,MATCH(C142,'Facilities'!$C$9:$C$108,0)))+O142*INDEX('Facilities'!$T$9:$T$108,MATCH(C142,'Facilities'!$C$9:$C$108,0)))/12))))</x:f>
        <x:v>0.17457713333333333</x:v>
      </x:c>
    </x:row>
    <x:row r="143" ht="26" customHeight="1">
      <x:c r="A143" s="1"/>
      <x:c r="B143" s="1"/>
      <x:c r="C143" s="9" t="str">
        <x:f>IF(Facilities!C43="","",Facilities!C43)</x:f>
        <x:v>F035</x:v>
      </x:c>
      <x:c r="D143" s="3" t="n">
        <x:v>2</x:v>
      </x:c>
      <x:c r="E143" s="9" t="n">
        <x:f>Settings!$F$18+1</x:f>
        <x:v>2028</x:v>
      </x:c>
      <x:c r="F143" s="9" t="str">
        <x:f>IF(C143="","",IFERROR(INDEX('Facilities'!$D$9:$D$108,MATCH(C143,'Facilities'!$C$9:$C$108,0)),"Unavailable"))</x:f>
        <x:v>B023</x:v>
      </x:c>
      <x:c r="G143" s="21" t="n">
        <x:f>IF(C143="","",IFERROR(O43,"Unavailable"))</x:f>
        <x:v>0</x:v>
      </x:c>
      <x:c r="H143" s="21" t="n">
        <x:f>IF(C143="","",IFERROR(P43,"Unavailable"))</x:f>
        <x:v>12.7</x:v>
      </x:c>
      <x:c r="I143" s="21" t="n">
        <x:f>IF(C143="","",IFERROR(Q43,"Unavailable"))</x:f>
        <x:v>0</x:v>
      </x:c>
      <x:c r="J143" s="23" t="n">
        <x:f>IF(C143="","",IFERROR(IF(OR(H143&gt;0,AND(AC143&gt;=0,AC143&lt;D143),D143&gt;INDEX('Facilities'!$J$9:$J$108,MATCH(C143,'Facilities'!$C$9:$C$108,0))),0,I143*'Scenario Paths'!G81),"Unavailable"))</x:f>
        <x:v>0</x:v>
      </x:c>
      <x:c r="K143" s="23" t="n">
        <x:f>IF(C143="","",IFERROR(IF(OR(H143&gt;0,AND(AC143&gt;=0,AC143=D143)),0,IF(D143&gt;=INDEX('Facilities'!$J$9:$J$108,MATCH(C143,'Facilities'!$C$9:$C$108,0)),G143+J143,MIN(G143+J143,G143*INDEX('Facilities'!$R$9:$R$108,MATCH(C143,'Facilities'!$C$9:$C$108,0))))),"Unavailable"))</x:f>
        <x:v>0</x:v>
      </x:c>
      <x:c r="L143" s="21" t="n">
        <x:f>IF(C143="","",IFERROR(IF(AND(AC143=D143,AC143&gt;0),MAX(0,G143+J143-K143),0),"Unavailable"))</x:f>
        <x:v>0</x:v>
      </x:c>
      <x:c r="M143" s="23" t="n">
        <x:f>IF(C143="","",IFERROR(IF(AND(AC143&gt;=0,D143&gt;=AC143+INDEX('Facilities'!$AK$9:$AK$108,MATCH(C143,'Facilities'!$C$9:$C$108,0))),(H143+L143)*AM143,0),"Unavailable"))</x:f>
        <x:v>6.985</x:v>
      </x:c>
      <x:c r="N143" s="23" t="n">
        <x:f>IF(C143="","",IFERROR(IF(AND(AC143&gt;=0,D143&gt;=AC143+INDEX('Facilities'!$AK$9:$AK$108,MATCH(C143,'Facilities'!$C$9:$C$108,0))),H143+L143-M143,0),"Unavailable"))</x:f>
        <x:v>5.714999999999999</x:v>
      </x:c>
      <x:c r="O143" s="21" t="n">
        <x:f>IF(C143="","",IFERROR(MAX(0,G143+J143-K143-L143),"Unavailable"))</x:f>
        <x:v>0</x:v>
      </x:c>
      <x:c r="P143" s="21" t="n">
        <x:f>IF(C143="","",IFERROR(MAX(0,H143+L143-M143-N143),"Unavailable"))</x:f>
        <x:v>0</x:v>
      </x:c>
      <x:c r="Q143" s="23" t="n">
        <x:f>IF(C143="","",IFERROR(IF(OR(D143&gt;=INDEX('Facilities'!$J$9:$J$108,MATCH(C143,'Facilities'!$C$9:$C$108,0)),AND(AC143&gt;=0,AC143&lt;=D143)),0,MAX(0,I143-J143)),"Unavailable"))</x:f>
        <x:v>0</x:v>
      </x:c>
      <x:c r="R143" s="30" t="n">
        <x:f>IF(C143="","",IFERROR(INDEX(Credit!$Q$109:$Q$208,MATCH(F143,Credit!$C$109:$C$208,0)),"Unavailable"))</x:f>
        <x:v>1</x:v>
      </x:c>
      <x:c r="S143" s="30" t="n">
        <x:f>IF(C143="","",IFERROR(INDEX(Credit!$R$109:$R$208,MATCH(F143,Credit!$C$109:$C$208,0)),"Unavailable"))</x:f>
        <x:v>0.36112640000000007</x:v>
      </x:c>
      <x:c r="T143" s="23" t="n">
        <x:f>IF(C143="","",IFERROR(IF(P143&gt;0,3,IF(OR(INDEX('Facilities'!$AD$9:$AD$108,MATCH(C143,'Facilities'!$C$9:$C$108,0))=2,AND(R143&gt;=INDEX('Facilities'!$L$9:$L$108,MATCH(C143,'Facilities'!$C$9:$C$108,0))*Settings!$F$19,R143-INDEX('Facilities'!$L$9:$L$108,MATCH(C143,'Facilities'!$C$9:$C$108,0))&gt;=Settings!$F$20)),2,1)),"Unavailable"))</x:f>
        <x:v>2</x:v>
      </x:c>
      <x:c r="U143" s="23" t="n">
        <x:f>IF(C143="","",IF(AQ143&lt;&gt;"Ready","Unavailable",IF(C143="","",O143*(1-(1-S143)/(1+INDEX('Facilities'!$K$9:$K$108,MATCH(C143,'Facilities'!$C$9:$C$108,0)))^INDEX('Facilities'!$AK$9:$AK$108,MATCH(C143,'Facilities'!$C$9:$C$108,0)))*R143/(1+INDEX('Facilities'!$K$9:$K$108,MATCH(C143,'Facilities'!$C$9:$C$108,0)))*IF(ABS(1-(1-R143)*(1-INDEX('Facilities'!$R$9:$R$108,MATCH(C143,'Facilities'!$C$9:$C$108,0)))/(1+INDEX('Facilities'!$K$9:$K$108,MATCH(C143,'Facilities'!$C$9:$C$108,0))))&lt;0.000000001,IF(T143=1,MIN(1,AJ143),AJ143),(1-((1-R143)*(1-INDEX('Facilities'!$R$9:$R$108,MATCH(C143,'Facilities'!$C$9:$C$108,0)))/(1+INDEX('Facilities'!$K$9:$K$108,MATCH(C143,'Facilities'!$C$9:$C$108,0))))^IF(T143=1,MIN(1,AJ143),AJ143))/(1-(1-R143)*(1-INDEX('Facilities'!$R$9:$R$108,MATCH(C143,'Facilities'!$C$9:$C$108,0)))/(1+INDEX('Facilities'!$K$9:$K$108,MATCH(C143,'Facilities'!$C$9:$C$108,0)))))+AL143)))</x:f>
        <x:v>0</x:v>
      </x:c>
      <x:c r="V143" s="23" t="n">
        <x:f>IF(C143="","",IF(AQ143&lt;&gt;"Ready","Unavailable",IF(C143="","",Q143*INDEX('Facilities'!$I$9:$I$108,MATCH(C143,'Facilities'!$C$9:$C$108,0))*(1-(1-S143)/(1+INDEX('Facilities'!$K$9:$K$108,MATCH(C143,'Facilities'!$C$9:$C$108,0)))^INDEX('Facilities'!$AK$9:$AK$108,MATCH(C143,'Facilities'!$C$9:$C$108,0)))*R143/(1+INDEX('Facilities'!$K$9:$K$108,MATCH(C143,'Facilities'!$C$9:$C$108,0)))*IF(ABS(1-(1-R143)*(1-0)/(1+INDEX('Facilities'!$K$9:$K$108,MATCH(C143,'Facilities'!$C$9:$C$108,0))))&lt;0.000000001,IF(T143=1,MIN(1,AJ143),AJ143),(1-((1-R143)*(1-0)/(1+INDEX('Facilities'!$K$9:$K$108,MATCH(C143,'Facilities'!$C$9:$C$108,0))))^IF(T143=1,MIN(1,AJ143),AJ143))/(1-(1-R143)*(1-0)/(1+INDEX('Facilities'!$K$9:$K$108,MATCH(C143,'Facilities'!$C$9:$C$108,0))))))))</x:f>
        <x:v>0</x:v>
      </x:c>
      <x:c r="W143" s="21" t="n">
        <x:f>IF(C143="","",IFERROR(U43,"Unavailable"))</x:f>
        <x:v>6.232407407407407</x:v>
      </x:c>
      <x:c r="X143" s="21" t="n">
        <x:f>IF(C143="","",IFERROR(V43,"Unavailable"))</x:f>
        <x:v>0</x:v>
      </x:c>
      <x:c r="Y143" s="21" t="n">
        <x:f>IF(C143="","",IF(AQ143&lt;&gt;"Ready","Unavailable",IF(C143="","",U143-W143+V143-X143+N143+AG143)))</x:f>
        <x:v>1.1102230246251565e-16</x:v>
      </x:c>
      <x:c r="Z143" s="23" t="n">
        <x:f>IF(C143="","",IF(AQ143&lt;&gt;"Ready","Unavailable",IF(C143="","",(G143+O143+L143)/2*INDEX('Facilities'!$T$9:$T$108,MATCH(C143,'Facilities'!$C$9:$C$108,0))+AG143)))</x:f>
        <x:v>0.5174074074074079</x:v>
      </x:c>
      <x:c r="AA143" s="23" t="n">
        <x:f>IF(C143="","",IF(AQ143&lt;&gt;"Ready","Unavailable",IF(C143="","",O143*(1-IF(INDEX('Facilities'!$AA$9:$AA$108,MATCH(C143,'Facilities'!$C$9:$C$108,0))=0,0,MIN(1,INDEX('Facilities'!$X$9:$X$108,MATCH(C143,'Facilities'!$C$9:$C$108,0))/INDEX('Facilities'!$AA$9:$AA$108,MATCH(C143,'Facilities'!$C$9:$C$108,0)))))*AF143+P143*(1-IF(INDEX('Facilities'!$AA$9:$AA$108,MATCH(C143,'Facilities'!$C$9:$C$108,0))=0,0,MIN(1,INDEX('Facilities'!$X$9:$X$108,MATCH(C143,'Facilities'!$C$9:$C$108,0))/INDEX('Facilities'!$AA$9:$AA$108,MATCH(C143,'Facilities'!$C$9:$C$108,0)))))*INDEX('Facilities'!$AJ$9:$AJ$108,MATCH(C143,'Facilities'!$C$9:$C$108,0))+Q143*INDEX('Facilities'!$AI$9:$AI$108,MATCH(C143,'Facilities'!$C$9:$C$108,0))*AF143)))</x:f>
        <x:v>0</x:v>
      </x:c>
      <x:c r="AB143" s="21" t="n">
        <x:f>IF(C143="","",O143+P143-AD143)</x:f>
        <x:v>-12.7</x:v>
      </x:c>
      <x:c r="AC143" s="23" t="n">
        <x:f>IF(C143="","",IFERROR(IF(INDEX('Facilities'!$AD$9:$AD$108,MATCH(C143,'Facilities'!$C$9:$C$108,0))=3,0,IF(INDEX('Facilities'!$AN$9:$AN$108,MATCH(C143,'Facilities'!$C$9:$C$108,0))=0,-1,INDEX('Facilities'!$AN$9:$AN$108,MATCH(C143,'Facilities'!$C$9:$C$108,0)))),"Unavailable"))</x:f>
        <x:v>0</x:v>
      </x:c>
      <x:c r="AD143" s="21" t="n">
        <x:f>IF(C143="","",IFERROR(G143+H143,"Unavailable"))</x:f>
        <x:v>12.7</x:v>
      </x:c>
      <x:c r="AE143" s="21" t="n">
        <x:f>IF(C143="","",IF(AQ143&lt;&gt;"Ready","Unavailable",IF(C143="","",O143+P143-AD143-J143+K143+M143+N143)))</x:f>
        <x:v>0</x:v>
      </x:c>
      <x:c r="AF143" s="30" t="n">
        <x:f>IF(C143="","",IFERROR(INDEX('Facilities'!$S$9:$S$108,MATCH(C143,'Facilities'!$C$9:$C$108,0))*'Scenario Paths'!G75,"Unavailable"))</x:f>
        <x:v>1.05</x:v>
      </x:c>
      <x:c r="AG143" s="23" t="n">
        <x:f>IF(C143="","",IF(AQ143&lt;&gt;"Ready","Unavailable",IF(C143="","",IF(H143&gt;0,MAX(0,H143-AK143)*((1+INDEX('Facilities'!$K$9:$K$108,MATCH(C143,'Facilities'!$C$9:$C$108,0)))^MIN(1,MAX(0,AC143+INDEX('Facilities'!$AK$9:$AK$108,MATCH(C143,'Facilities'!$C$9:$C$108,0))-D143+1))-1),0))))</x:f>
        <x:v>0.5174074074074079</x:v>
      </x:c>
      <x:c r="AH143" s="21" t="n">
        <x:f>IF(C143="","",IF(AQ143&lt;&gt;"Ready","Unavailable",IF(C143="","",O143+P143)))</x:f>
        <x:v>0</x:v>
      </x:c>
      <x:c r="AI143" s="21" t="n">
        <x:f>IF(C143="","",IF(AQ143&lt;&gt;"Ready","Unavailable",IF(C143="","",Z143-Y143)))</x:f>
        <x:v>0.5174074074074078</x:v>
      </x:c>
      <x:c r="AJ143" s="23" t="n">
        <x:f>IF(C143="","",IFERROR(MAX(0,INDEX('Facilities'!$J$9:$J$108,MATCH(C143,'Facilities'!$C$9:$C$108,0))-D143),"Unavailable"))</x:f>
        <x:v>5</x:v>
      </x:c>
      <x:c r="AK143" s="21" t="n">
        <x:f>IF(C143="","",IFERROR(AL43,"Unavailable"))</x:f>
        <x:v>6.232407407407407</x:v>
      </x:c>
      <x:c r="AL143" s="23" t="n">
        <x:f>IF(C143="","",IFERROR(IF(P143&gt;0,P143*(1-AM143/(1+INDEX('Facilities'!$K$9:$K$108,MATCH(C143,'Facilities'!$C$9:$C$108,0)))^MAX(0,AC143+INDEX('Facilities'!$AK$9:$AK$108,MATCH(C143,'Facilities'!$C$9:$C$108,0))-D143)),0),"Unavailable"))</x:f>
        <x:v>0</x:v>
      </x:c>
      <x:c r="AM143" s="30" t="n">
        <x:f>IF(C143="","",IFERROR(INDEX('Facilities'!$AL$9:$AL$108,MATCH(C143,'Facilities'!$C$9:$C$108,0)),"Unavailable"))</x:f>
        <x:v>0.55</x:v>
      </x:c>
      <x:c r="AN143" s="30" t="n">
        <x:f>IF(C143="","",IFERROR(INDEX(Credit!$T$109:$T$208,MATCH(F143,Credit!$C$109:$C$208,0)),"Unavailable"))</x:f>
        <x:v>0.0017600000000000003</x:v>
      </x:c>
      <x:c r="AO143" s="23" t="n">
        <x:f>IF(C143="","",IF(AQ143&lt;&gt;"Ready","Unavailable",IF(C143="","",O143+P143+Q143*INDEX('Facilities'!$I$9:$I$108,MATCH(C143,'Facilities'!$C$9:$C$108,0)))))</x:f>
        <x:v>0</x:v>
      </x:c>
      <x:c r="AP143" s="21" t="n">
        <x:f>IF(C143="","",IF(AQ143&lt;&gt;"Ready","Unavailable",IF(C143="","",AH143-U143)))</x:f>
        <x:v>0</x:v>
      </x:c>
      <x:c r="AQ143" s="23" t="str">
        <x:f>IFERROR(IF(C143="","",IF(AND(INDEX('Facilities'!$AF$9:$AF$108,MATCH(C143,'Facilities'!$C$9:$C$108,0))="Ready",INDEX(Credit!$U$109:$U$208,MATCH(F143,Credit!$C$109:$C$208,0))="Ready",ISNUMBER(W143)),"Ready","Review inputs")),"Review inputs")</x:f>
        <x:v>Ready</x:v>
      </x:c>
      <x:c r="AR143" s="23" t="n">
        <x:f>IF(C143="","",IF(AQ143&lt;&gt;"Ready","Unavailable",IF(C143="","",IF(O143=0,0,(IF(AJ143&lt;=1,O143,O143*INDEX('Facilities'!$R$9:$R$108,MATCH(C143,'Facilities'!$C$9:$C$108,0)))+O143*INDEX('Facilities'!$T$9:$T$108,MATCH(C143,'Facilities'!$C$9:$C$108,0)))/12))))</x:f>
        <x:v>0</x:v>
      </x:c>
    </x:row>
    <x:row r="144" ht="26" customHeight="1">
      <x:c r="A144" s="1"/>
      <x:c r="B144" s="1"/>
      <x:c r="C144" s="9" t="str">
        <x:f>IF(Facilities!C44="","",Facilities!C44)</x:f>
        <x:v>F036</x:v>
      </x:c>
      <x:c r="D144" s="3" t="n">
        <x:v>2</x:v>
      </x:c>
      <x:c r="E144" s="9" t="n">
        <x:f>Settings!$F$18+1</x:f>
        <x:v>2028</x:v>
      </x:c>
      <x:c r="F144" s="9" t="str">
        <x:f>IF(C144="","",IFERROR(INDEX('Facilities'!$D$9:$D$108,MATCH(C144,'Facilities'!$C$9:$C$108,0)),"Unavailable"))</x:f>
        <x:v>B024</x:v>
      </x:c>
      <x:c r="G144" s="21" t="n">
        <x:f>IF(C144="","",IFERROR(O44,"Unavailable"))</x:f>
        <x:v>11.558999999999997</x:v>
      </x:c>
      <x:c r="H144" s="21" t="n">
        <x:f>IF(C144="","",IFERROR(P44,"Unavailable"))</x:f>
        <x:v>0</x:v>
      </x:c>
      <x:c r="I144" s="21" t="n">
        <x:f>IF(C144="","",IFERROR(Q44,"Unavailable"))</x:f>
        <x:v>1.425</x:v>
      </x:c>
      <x:c r="J144" s="23" t="n">
        <x:f>IF(C144="","",IFERROR(IF(OR(H144&gt;0,AND(AC144&gt;=0,AC144&lt;D144),D144&gt;INDEX('Facilities'!$J$9:$J$108,MATCH(C144,'Facilities'!$C$9:$C$108,0))),0,I144*'Scenario Paths'!G81),"Unavailable"))</x:f>
        <x:v>0.114</x:v>
      </x:c>
      <x:c r="K144" s="23" t="n">
        <x:f>IF(C144="","",IFERROR(IF(OR(H144&gt;0,AND(AC144&gt;=0,AC144=D144)),0,IF(D144&gt;=INDEX('Facilities'!$J$9:$J$108,MATCH(C144,'Facilities'!$C$9:$C$108,0)),G144+J144,MIN(G144+J144,G144*INDEX('Facilities'!$R$9:$R$108,MATCH(C144,'Facilities'!$C$9:$C$108,0))))),"Unavailable"))</x:f>
        <x:v>1.3870799999999996</x:v>
      </x:c>
      <x:c r="L144" s="21" t="n">
        <x:f>IF(C144="","",IFERROR(IF(AND(AC144=D144,AC144&gt;0),MAX(0,G144+J144-K144),0),"Unavailable"))</x:f>
        <x:v>0</x:v>
      </x:c>
      <x:c r="M144" s="23" t="n">
        <x:f>IF(C144="","",IFERROR(IF(AND(AC144&gt;=0,D144&gt;=AC144+INDEX('Facilities'!$AK$9:$AK$108,MATCH(C144,'Facilities'!$C$9:$C$108,0))),(H144+L144)*AM144,0),"Unavailable"))</x:f>
        <x:v>0</x:v>
      </x:c>
      <x:c r="N144" s="23" t="n">
        <x:f>IF(C144="","",IFERROR(IF(AND(AC144&gt;=0,D144&gt;=AC144+INDEX('Facilities'!$AK$9:$AK$108,MATCH(C144,'Facilities'!$C$9:$C$108,0))),H144+L144-M144,0),"Unavailable"))</x:f>
        <x:v>0</x:v>
      </x:c>
      <x:c r="O144" s="21" t="n">
        <x:f>IF(C144="","",IFERROR(MAX(0,G144+J144-K144-L144),"Unavailable"))</x:f>
        <x:v>10.285919999999999</x:v>
      </x:c>
      <x:c r="P144" s="21" t="n">
        <x:f>IF(C144="","",IFERROR(MAX(0,H144+L144-M144-N144),"Unavailable"))</x:f>
        <x:v>0</x:v>
      </x:c>
      <x:c r="Q144" s="23" t="n">
        <x:f>IF(C144="","",IFERROR(IF(OR(D144&gt;=INDEX('Facilities'!$J$9:$J$108,MATCH(C144,'Facilities'!$C$9:$C$108,0)),AND(AC144&gt;=0,AC144&lt;=D144)),0,MAX(0,I144-J144)),"Unavailable"))</x:f>
        <x:v>1.311</x:v>
      </x:c>
      <x:c r="R144" s="30" t="n">
        <x:f>IF(C144="","",IFERROR(INDEX(Credit!$Q$109:$Q$208,MATCH(F144,Credit!$C$109:$C$208,0)),"Unavailable"))</x:f>
        <x:v>0.05461964819093488</x:v>
      </x:c>
      <x:c r="S144" s="30" t="n">
        <x:f>IF(C144="","",IFERROR(INDEX(Credit!$R$109:$R$208,MATCH(F144,Credit!$C$109:$C$208,0)),"Unavailable"))</x:f>
        <x:v>0.4017472</x:v>
      </x:c>
      <x:c r="T144" s="23" t="n">
        <x:f>IF(C144="","",IFERROR(IF(P144&gt;0,3,IF(OR(INDEX('Facilities'!$AD$9:$AD$108,MATCH(C144,'Facilities'!$C$9:$C$108,0))=2,AND(R144&gt;=INDEX('Facilities'!$L$9:$L$108,MATCH(C144,'Facilities'!$C$9:$C$108,0))*Settings!$F$19,R144-INDEX('Facilities'!$L$9:$L$108,MATCH(C144,'Facilities'!$C$9:$C$108,0))&gt;=Settings!$F$20)),2,1)),"Unavailable"))</x:f>
        <x:v>1</x:v>
      </x:c>
      <x:c r="U144" s="23" t="n">
        <x:f>IF(C144="","",IF(AQ144&lt;&gt;"Ready","Unavailable",IF(C144="","",O144*(1-(1-S144)/(1+INDEX('Facilities'!$K$9:$K$108,MATCH(C144,'Facilities'!$C$9:$C$108,0)))^INDEX('Facilities'!$AK$9:$AK$108,MATCH(C144,'Facilities'!$C$9:$C$108,0)))*R144/(1+INDEX('Facilities'!$K$9:$K$108,MATCH(C144,'Facilities'!$C$9:$C$108,0)))*IF(ABS(1-(1-R144)*(1-INDEX('Facilities'!$R$9:$R$108,MATCH(C144,'Facilities'!$C$9:$C$108,0)))/(1+INDEX('Facilities'!$K$9:$K$108,MATCH(C144,'Facilities'!$C$9:$C$108,0))))&lt;0.000000001,IF(T144=1,MIN(1,AJ144),AJ144),(1-((1-R144)*(1-INDEX('Facilities'!$R$9:$R$108,MATCH(C144,'Facilities'!$C$9:$C$108,0)))/(1+INDEX('Facilities'!$K$9:$K$108,MATCH(C144,'Facilities'!$C$9:$C$108,0))))^IF(T144=1,MIN(1,AJ144),AJ144))/(1-(1-R144)*(1-INDEX('Facilities'!$R$9:$R$108,MATCH(C144,'Facilities'!$C$9:$C$108,0)))/(1+INDEX('Facilities'!$K$9:$K$108,MATCH(C144,'Facilities'!$C$9:$C$108,0)))))+AL144)))</x:f>
        <x:v>0.2533854336066073</x:v>
      </x:c>
      <x:c r="V144" s="23" t="n">
        <x:f>IF(C144="","",IF(AQ144&lt;&gt;"Ready","Unavailable",IF(C144="","",Q144*INDEX('Facilities'!$I$9:$I$108,MATCH(C144,'Facilities'!$C$9:$C$108,0))*(1-(1-S144)/(1+INDEX('Facilities'!$K$9:$K$108,MATCH(C144,'Facilities'!$C$9:$C$108,0)))^INDEX('Facilities'!$AK$9:$AK$108,MATCH(C144,'Facilities'!$C$9:$C$108,0)))*R144/(1+INDEX('Facilities'!$K$9:$K$108,MATCH(C144,'Facilities'!$C$9:$C$108,0)))*IF(ABS(1-(1-R144)*(1-0)/(1+INDEX('Facilities'!$K$9:$K$108,MATCH(C144,'Facilities'!$C$9:$C$108,0))))&lt;0.000000001,IF(T144=1,MIN(1,AJ144),AJ144),(1-((1-R144)*(1-0)/(1+INDEX('Facilities'!$K$9:$K$108,MATCH(C144,'Facilities'!$C$9:$C$108,0))))^IF(T144=1,MIN(1,AJ144),AJ144))/(1-(1-R144)*(1-0)/(1+INDEX('Facilities'!$K$9:$K$108,MATCH(C144,'Facilities'!$C$9:$C$108,0))))))))</x:f>
        <x:v>0.01614771957482958</x:v>
      </x:c>
      <x:c r="W144" s="21" t="n">
        <x:f>IF(C144="","",IFERROR(U44,"Unavailable"))</x:f>
        <x:v>0.24970274627428082</x:v>
      </x:c>
      <x:c r="X144" s="21" t="n">
        <x:f>IF(C144="","",IFERROR(V44,"Unavailable"))</x:f>
        <x:v>0.015391747272292164</x:v>
      </x:c>
      <x:c r="Y144" s="21" t="n">
        <x:f>IF(C144="","",IF(AQ144&lt;&gt;"Ready","Unavailable",IF(C144="","",U144-W144+V144-X144+N144+AG144)))</x:f>
        <x:v>0.004438659634863907</x:v>
      </x:c>
      <x:c r="Z144" s="23" t="n">
        <x:f>IF(C144="","",IF(AQ144&lt;&gt;"Ready","Unavailable",IF(C144="","",(G144+O144+L144)/2*INDEX('Facilities'!$T$9:$T$108,MATCH(C144,'Facilities'!$C$9:$C$108,0))+AG144)))</x:f>
        <x:v>1.0376336999999998</x:v>
      </x:c>
      <x:c r="AA144" s="23" t="n">
        <x:f>IF(C144="","",IF(AQ144&lt;&gt;"Ready","Unavailable",IF(C144="","",O144*(1-IF(INDEX('Facilities'!$AA$9:$AA$108,MATCH(C144,'Facilities'!$C$9:$C$108,0))=0,0,MIN(1,INDEX('Facilities'!$X$9:$X$108,MATCH(C144,'Facilities'!$C$9:$C$108,0))/INDEX('Facilities'!$AA$9:$AA$108,MATCH(C144,'Facilities'!$C$9:$C$108,0)))))*AF144+P144*(1-IF(INDEX('Facilities'!$AA$9:$AA$108,MATCH(C144,'Facilities'!$C$9:$C$108,0))=0,0,MIN(1,INDEX('Facilities'!$X$9:$X$108,MATCH(C144,'Facilities'!$C$9:$C$108,0))/INDEX('Facilities'!$AA$9:$AA$108,MATCH(C144,'Facilities'!$C$9:$C$108,0)))))*INDEX('Facilities'!$AJ$9:$AJ$108,MATCH(C144,'Facilities'!$C$9:$C$108,0))+Q144*INDEX('Facilities'!$AI$9:$AI$108,MATCH(C144,'Facilities'!$C$9:$C$108,0))*AF144)))</x:f>
        <x:v>11.1256037424</x:v>
      </x:c>
      <x:c r="AB144" s="21" t="n">
        <x:f>IF(C144="","",O144+P144-AD144)</x:f>
        <x:v>-1.2730799999999984</x:v>
      </x:c>
      <x:c r="AC144" s="23" t="n">
        <x:f>IF(C144="","",IFERROR(IF(INDEX('Facilities'!$AD$9:$AD$108,MATCH(C144,'Facilities'!$C$9:$C$108,0))=3,0,IF(INDEX('Facilities'!$AN$9:$AN$108,MATCH(C144,'Facilities'!$C$9:$C$108,0))=0,-1,INDEX('Facilities'!$AN$9:$AN$108,MATCH(C144,'Facilities'!$C$9:$C$108,0)))),"Unavailable"))</x:f>
        <x:v>-1</x:v>
      </x:c>
      <x:c r="AD144" s="21" t="n">
        <x:f>IF(C144="","",IFERROR(G144+H144,"Unavailable"))</x:f>
        <x:v>11.558999999999997</x:v>
      </x:c>
      <x:c r="AE144" s="21" t="n">
        <x:f>IF(C144="","",IF(AQ144&lt;&gt;"Ready","Unavailable",IF(C144="","",O144+P144-AD144-J144+K144+M144+N144)))</x:f>
        <x:v>1.1102230246251565e-15</x:v>
      </x:c>
      <x:c r="AF144" s="30" t="n">
        <x:f>IF(C144="","",IFERROR(INDEX('Facilities'!$S$9:$S$108,MATCH(C144,'Facilities'!$C$9:$C$108,0))*'Scenario Paths'!G75,"Unavailable"))</x:f>
        <x:v>1.05</x:v>
      </x:c>
      <x:c r="AG144" s="23" t="n">
        <x:f>IF(C144="","",IF(AQ144&lt;&gt;"Ready","Unavailable",IF(C144="","",IF(H144&gt;0,MAX(0,H144-AK144)*((1+INDEX('Facilities'!$K$9:$K$108,MATCH(C144,'Facilities'!$C$9:$C$108,0)))^MIN(1,MAX(0,AC144+INDEX('Facilities'!$AK$9:$AK$108,MATCH(C144,'Facilities'!$C$9:$C$108,0))-D144+1))-1),0))))</x:f>
        <x:v>0</x:v>
      </x:c>
      <x:c r="AH144" s="21" t="n">
        <x:f>IF(C144="","",IF(AQ144&lt;&gt;"Ready","Unavailable",IF(C144="","",O144+P144)))</x:f>
        <x:v>10.285919999999999</x:v>
      </x:c>
      <x:c r="AI144" s="21" t="n">
        <x:f>IF(C144="","",IF(AQ144&lt;&gt;"Ready","Unavailable",IF(C144="","",Z144-Y144)))</x:f>
        <x:v>1.0331950403651358</x:v>
      </x:c>
      <x:c r="AJ144" s="23" t="n">
        <x:f>IF(C144="","",IFERROR(MAX(0,INDEX('Facilities'!$J$9:$J$108,MATCH(C144,'Facilities'!$C$9:$C$108,0))-D144),"Unavailable"))</x:f>
        <x:v>6</x:v>
      </x:c>
      <x:c r="AK144" s="21" t="n">
        <x:f>IF(C144="","",IFERROR(AL44,"Unavailable"))</x:f>
        <x:v>0</x:v>
      </x:c>
      <x:c r="AL144" s="23" t="n">
        <x:f>IF(C144="","",IFERROR(IF(P144&gt;0,P144*(1-AM144/(1+INDEX('Facilities'!$K$9:$K$108,MATCH(C144,'Facilities'!$C$9:$C$108,0)))^MAX(0,AC144+INDEX('Facilities'!$AK$9:$AK$108,MATCH(C144,'Facilities'!$C$9:$C$108,0))-D144)),0),"Unavailable"))</x:f>
        <x:v>0</x:v>
      </x:c>
      <x:c r="AM144" s="30" t="n">
        <x:f>IF(C144="","",IFERROR(INDEX('Facilities'!$AL$9:$AL$108,MATCH(C144,'Facilities'!$C$9:$C$108,0)),"Unavailable"))</x:f>
        <x:v>0.55</x:v>
      </x:c>
      <x:c r="AN144" s="30" t="n">
        <x:f>IF(C144="","",IFERROR(INDEX(Credit!$T$109:$T$208,MATCH(F144,Credit!$C$109:$C$208,0)),"Unavailable"))</x:f>
        <x:v>0.002912</x:v>
      </x:c>
      <x:c r="AO144" s="23" t="n">
        <x:f>IF(C144="","",IF(AQ144&lt;&gt;"Ready","Unavailable",IF(C144="","",O144+P144+Q144*INDEX('Facilities'!$I$9:$I$108,MATCH(C144,'Facilities'!$C$9:$C$108,0)))))</x:f>
        <x:v>10.941419999999999</x:v>
      </x:c>
      <x:c r="AP144" s="21" t="n">
        <x:f>IF(C144="","",IF(AQ144&lt;&gt;"Ready","Unavailable",IF(C144="","",AH144-U144)))</x:f>
        <x:v>10.032534566393391</x:v>
      </x:c>
      <x:c r="AQ144" s="23" t="str">
        <x:f>IFERROR(IF(C144="","",IF(AND(INDEX('Facilities'!$AF$9:$AF$108,MATCH(C144,'Facilities'!$C$9:$C$108,0))="Ready",INDEX(Credit!$U$109:$U$208,MATCH(F144,Credit!$C$109:$C$208,0))="Ready",ISNUMBER(W144)),"Ready","Review inputs")),"Review inputs")</x:f>
        <x:v>Ready</x:v>
      </x:c>
      <x:c r="AR144" s="23" t="n">
        <x:f>IF(C144="","",IF(AQ144&lt;&gt;"Ready","Unavailable",IF(C144="","",IF(O144=0,0,(IF(AJ144&lt;=1,O144,O144*INDEX('Facilities'!$R$9:$R$108,MATCH(C144,'Facilities'!$C$9:$C$108,0)))+O144*INDEX('Facilities'!$T$9:$T$108,MATCH(C144,'Facilities'!$C$9:$C$108,0)))/12))))</x:f>
        <x:v>0.18428939999999996</x:v>
      </x:c>
    </x:row>
    <x:row r="145" ht="26" customHeight="1">
      <x:c r="A145" s="1"/>
      <x:c r="B145" s="1"/>
      <x:c r="C145" s="9" t="str">
        <x:f>IF(Facilities!C45="","",Facilities!C45)</x:f>
      </x:c>
      <x:c r="D145" s="3" t="n">
        <x:v>2</x:v>
      </x:c>
      <x:c r="E145" s="9" t="n">
        <x:f>Settings!$F$18+1</x:f>
        <x:v>2028</x:v>
      </x:c>
      <x:c r="F145" s="9" t="str">
        <x:f>IF(C145="","",IFERROR(INDEX('Facilities'!$D$9:$D$108,MATCH(C145,'Facilities'!$C$9:$C$108,0)),"Unavailable"))</x:f>
      </x:c>
      <x:c r="G145" s="21" t="str">
        <x:f>IF(C145="","",IFERROR(O45,"Unavailable"))</x:f>
      </x:c>
      <x:c r="H145" s="21" t="str">
        <x:f>IF(C145="","",IFERROR(P45,"Unavailable"))</x:f>
      </x:c>
      <x:c r="I145" s="21" t="str">
        <x:f>IF(C145="","",IFERROR(Q45,"Unavailable"))</x:f>
      </x:c>
      <x:c r="J145" s="23" t="str">
        <x:f>IF(C145="","",IFERROR(IF(OR(H145&gt;0,AND(AC145&gt;=0,AC145&lt;D145),D145&gt;INDEX('Facilities'!$J$9:$J$108,MATCH(C145,'Facilities'!$C$9:$C$108,0))),0,I145*'Scenario Paths'!G81),"Unavailable"))</x:f>
      </x:c>
      <x:c r="K145" s="23" t="str">
        <x:f>IF(C145="","",IFERROR(IF(OR(H145&gt;0,AND(AC145&gt;=0,AC145=D145)),0,IF(D145&gt;=INDEX('Facilities'!$J$9:$J$108,MATCH(C145,'Facilities'!$C$9:$C$108,0)),G145+J145,MIN(G145+J145,G145*INDEX('Facilities'!$R$9:$R$108,MATCH(C145,'Facilities'!$C$9:$C$108,0))))),"Unavailable"))</x:f>
      </x:c>
      <x:c r="L145" s="21" t="str">
        <x:f>IF(C145="","",IFERROR(IF(AND(AC145=D145,AC145&gt;0),MAX(0,G145+J145-K145),0),"Unavailable"))</x:f>
      </x:c>
      <x:c r="M145" s="23" t="str">
        <x:f>IF(C145="","",IFERROR(IF(AND(AC145&gt;=0,D145&gt;=AC145+INDEX('Facilities'!$AK$9:$AK$108,MATCH(C145,'Facilities'!$C$9:$C$108,0))),(H145+L145)*AM145,0),"Unavailable"))</x:f>
      </x:c>
      <x:c r="N145" s="23" t="str">
        <x:f>IF(C145="","",IFERROR(IF(AND(AC145&gt;=0,D145&gt;=AC145+INDEX('Facilities'!$AK$9:$AK$108,MATCH(C145,'Facilities'!$C$9:$C$108,0))),H145+L145-M145,0),"Unavailable"))</x:f>
      </x:c>
      <x:c r="O145" s="21" t="str">
        <x:f>IF(C145="","",IFERROR(MAX(0,G145+J145-K145-L145),"Unavailable"))</x:f>
      </x:c>
      <x:c r="P145" s="21" t="str">
        <x:f>IF(C145="","",IFERROR(MAX(0,H145+L145-M145-N145),"Unavailable"))</x:f>
      </x:c>
      <x:c r="Q145" s="23" t="str">
        <x:f>IF(C145="","",IFERROR(IF(OR(D145&gt;=INDEX('Facilities'!$J$9:$J$108,MATCH(C145,'Facilities'!$C$9:$C$108,0)),AND(AC145&gt;=0,AC145&lt;=D145)),0,MAX(0,I145-J145)),"Unavailable"))</x:f>
      </x:c>
      <x:c r="R145" s="30" t="str">
        <x:f>IF(C145="","",IFERROR(INDEX(Credit!$Q$109:$Q$208,MATCH(F145,Credit!$C$109:$C$208,0)),"Unavailable"))</x:f>
      </x:c>
      <x:c r="S145" s="30" t="str">
        <x:f>IF(C145="","",IFERROR(INDEX(Credit!$R$109:$R$208,MATCH(F145,Credit!$C$109:$C$208,0)),"Unavailable"))</x:f>
      </x:c>
      <x:c r="T145" s="23" t="str">
        <x:f>IF(C145="","",IFERROR(IF(P145&gt;0,3,IF(OR(INDEX('Facilities'!$AD$9:$AD$108,MATCH(C145,'Facilities'!$C$9:$C$108,0))=2,AND(R145&gt;=INDEX('Facilities'!$L$9:$L$108,MATCH(C145,'Facilities'!$C$9:$C$108,0))*Settings!$F$19,R145-INDEX('Facilities'!$L$9:$L$108,MATCH(C145,'Facilities'!$C$9:$C$108,0))&gt;=Settings!$F$20)),2,1)),"Unavailable"))</x:f>
      </x:c>
      <x:c r="U145" s="23" t="str">
        <x:f>IF(C145="","",IF(AQ145&lt;&gt;"Ready","Unavailable",IF(C145="","",O145*(1-(1-S145)/(1+INDEX('Facilities'!$K$9:$K$108,MATCH(C145,'Facilities'!$C$9:$C$108,0)))^INDEX('Facilities'!$AK$9:$AK$108,MATCH(C145,'Facilities'!$C$9:$C$108,0)))*R145/(1+INDEX('Facilities'!$K$9:$K$108,MATCH(C145,'Facilities'!$C$9:$C$108,0)))*IF(ABS(1-(1-R145)*(1-INDEX('Facilities'!$R$9:$R$108,MATCH(C145,'Facilities'!$C$9:$C$108,0)))/(1+INDEX('Facilities'!$K$9:$K$108,MATCH(C145,'Facilities'!$C$9:$C$108,0))))&lt;0.000000001,IF(T145=1,MIN(1,AJ145),AJ145),(1-((1-R145)*(1-INDEX('Facilities'!$R$9:$R$108,MATCH(C145,'Facilities'!$C$9:$C$108,0)))/(1+INDEX('Facilities'!$K$9:$K$108,MATCH(C145,'Facilities'!$C$9:$C$108,0))))^IF(T145=1,MIN(1,AJ145),AJ145))/(1-(1-R145)*(1-INDEX('Facilities'!$R$9:$R$108,MATCH(C145,'Facilities'!$C$9:$C$108,0)))/(1+INDEX('Facilities'!$K$9:$K$108,MATCH(C145,'Facilities'!$C$9:$C$108,0)))))+AL145)))</x:f>
      </x:c>
      <x:c r="V145" s="23" t="str">
        <x:f>IF(C145="","",IF(AQ145&lt;&gt;"Ready","Unavailable",IF(C145="","",Q145*INDEX('Facilities'!$I$9:$I$108,MATCH(C145,'Facilities'!$C$9:$C$108,0))*(1-(1-S145)/(1+INDEX('Facilities'!$K$9:$K$108,MATCH(C145,'Facilities'!$C$9:$C$108,0)))^INDEX('Facilities'!$AK$9:$AK$108,MATCH(C145,'Facilities'!$C$9:$C$108,0)))*R145/(1+INDEX('Facilities'!$K$9:$K$108,MATCH(C145,'Facilities'!$C$9:$C$108,0)))*IF(ABS(1-(1-R145)*(1-0)/(1+INDEX('Facilities'!$K$9:$K$108,MATCH(C145,'Facilities'!$C$9:$C$108,0))))&lt;0.000000001,IF(T145=1,MIN(1,AJ145),AJ145),(1-((1-R145)*(1-0)/(1+INDEX('Facilities'!$K$9:$K$108,MATCH(C145,'Facilities'!$C$9:$C$108,0))))^IF(T145=1,MIN(1,AJ145),AJ145))/(1-(1-R145)*(1-0)/(1+INDEX('Facilities'!$K$9:$K$108,MATCH(C145,'Facilities'!$C$9:$C$108,0))))))))</x:f>
      </x:c>
      <x:c r="W145" s="21" t="str">
        <x:f>IF(C145="","",IFERROR(U45,"Unavailable"))</x:f>
      </x:c>
      <x:c r="X145" s="21" t="str">
        <x:f>IF(C145="","",IFERROR(V45,"Unavailable"))</x:f>
      </x:c>
      <x:c r="Y145" s="21" t="str">
        <x:f>IF(C145="","",IF(AQ145&lt;&gt;"Ready","Unavailable",IF(C145="","",U145-W145+V145-X145+N145+AG145)))</x:f>
      </x:c>
      <x:c r="Z145" s="23" t="str">
        <x:f>IF(C145="","",IF(AQ145&lt;&gt;"Ready","Unavailable",IF(C145="","",(G145+O145+L145)/2*INDEX('Facilities'!$T$9:$T$108,MATCH(C145,'Facilities'!$C$9:$C$108,0))+AG145)))</x:f>
      </x:c>
      <x:c r="AA145" s="23" t="str">
        <x:f>IF(C145="","",IF(AQ145&lt;&gt;"Ready","Unavailable",IF(C145="","",O145*(1-IF(INDEX('Facilities'!$AA$9:$AA$108,MATCH(C145,'Facilities'!$C$9:$C$108,0))=0,0,MIN(1,INDEX('Facilities'!$X$9:$X$108,MATCH(C145,'Facilities'!$C$9:$C$108,0))/INDEX('Facilities'!$AA$9:$AA$108,MATCH(C145,'Facilities'!$C$9:$C$108,0)))))*AF145+P145*(1-IF(INDEX('Facilities'!$AA$9:$AA$108,MATCH(C145,'Facilities'!$C$9:$C$108,0))=0,0,MIN(1,INDEX('Facilities'!$X$9:$X$108,MATCH(C145,'Facilities'!$C$9:$C$108,0))/INDEX('Facilities'!$AA$9:$AA$108,MATCH(C145,'Facilities'!$C$9:$C$108,0)))))*INDEX('Facilities'!$AJ$9:$AJ$108,MATCH(C145,'Facilities'!$C$9:$C$108,0))+Q145*INDEX('Facilities'!$AI$9:$AI$108,MATCH(C145,'Facilities'!$C$9:$C$108,0))*AF145)))</x:f>
      </x:c>
      <x:c r="AB145" s="21" t="str">
        <x:f>IF(C145="","",O145+P145-AD145)</x:f>
      </x:c>
      <x:c r="AC145" s="23" t="str">
        <x:f>IF(C145="","",IFERROR(IF(INDEX('Facilities'!$AD$9:$AD$108,MATCH(C145,'Facilities'!$C$9:$C$108,0))=3,0,IF(INDEX('Facilities'!$AN$9:$AN$108,MATCH(C145,'Facilities'!$C$9:$C$108,0))=0,-1,INDEX('Facilities'!$AN$9:$AN$108,MATCH(C145,'Facilities'!$C$9:$C$108,0)))),"Unavailable"))</x:f>
      </x:c>
      <x:c r="AD145" s="21" t="str">
        <x:f>IF(C145="","",IFERROR(G145+H145,"Unavailable"))</x:f>
      </x:c>
      <x:c r="AE145" s="21" t="str">
        <x:f>IF(C145="","",IF(AQ145&lt;&gt;"Ready","Unavailable",IF(C145="","",O145+P145-AD145-J145+K145+M145+N145)))</x:f>
      </x:c>
      <x:c r="AF145" s="30" t="str">
        <x:f>IF(C145="","",IFERROR(INDEX('Facilities'!$S$9:$S$108,MATCH(C145,'Facilities'!$C$9:$C$108,0))*'Scenario Paths'!G75,"Unavailable"))</x:f>
      </x:c>
      <x:c r="AG145" s="23" t="str">
        <x:f>IF(C145="","",IF(AQ145&lt;&gt;"Ready","Unavailable",IF(C145="","",IF(H145&gt;0,MAX(0,H145-AK145)*((1+INDEX('Facilities'!$K$9:$K$108,MATCH(C145,'Facilities'!$C$9:$C$108,0)))^MIN(1,MAX(0,AC145+INDEX('Facilities'!$AK$9:$AK$108,MATCH(C145,'Facilities'!$C$9:$C$108,0))-D145+1))-1),0))))</x:f>
      </x:c>
      <x:c r="AH145" s="21" t="str">
        <x:f>IF(C145="","",IF(AQ145&lt;&gt;"Ready","Unavailable",IF(C145="","",O145+P145)))</x:f>
      </x:c>
      <x:c r="AI145" s="21" t="str">
        <x:f>IF(C145="","",IF(AQ145&lt;&gt;"Ready","Unavailable",IF(C145="","",Z145-Y145)))</x:f>
      </x:c>
      <x:c r="AJ145" s="23" t="str">
        <x:f>IF(C145="","",IFERROR(MAX(0,INDEX('Facilities'!$J$9:$J$108,MATCH(C145,'Facilities'!$C$9:$C$108,0))-D145),"Unavailable"))</x:f>
      </x:c>
      <x:c r="AK145" s="21" t="str">
        <x:f>IF(C145="","",IFERROR(AL45,"Unavailable"))</x:f>
      </x:c>
      <x:c r="AL145" s="23" t="str">
        <x:f>IF(C145="","",IFERROR(IF(P145&gt;0,P145*(1-AM145/(1+INDEX('Facilities'!$K$9:$K$108,MATCH(C145,'Facilities'!$C$9:$C$108,0)))^MAX(0,AC145+INDEX('Facilities'!$AK$9:$AK$108,MATCH(C145,'Facilities'!$C$9:$C$108,0))-D145)),0),"Unavailable"))</x:f>
      </x:c>
      <x:c r="AM145" s="30" t="str">
        <x:f>IF(C145="","",IFERROR(INDEX('Facilities'!$AL$9:$AL$108,MATCH(C145,'Facilities'!$C$9:$C$108,0)),"Unavailable"))</x:f>
      </x:c>
      <x:c r="AN145" s="30" t="str">
        <x:f>IF(C145="","",IFERROR(INDEX(Credit!$T$109:$T$208,MATCH(F145,Credit!$C$109:$C$208,0)),"Unavailable"))</x:f>
      </x:c>
      <x:c r="AO145" s="23" t="str">
        <x:f>IF(C145="","",IF(AQ145&lt;&gt;"Ready","Unavailable",IF(C145="","",O145+P145+Q145*INDEX('Facilities'!$I$9:$I$108,MATCH(C145,'Facilities'!$C$9:$C$108,0)))))</x:f>
      </x:c>
      <x:c r="AP145" s="21" t="str">
        <x:f>IF(C145="","",IF(AQ145&lt;&gt;"Ready","Unavailable",IF(C145="","",AH145-U145)))</x:f>
      </x:c>
      <x:c r="AQ145" s="23" t="str">
        <x:f>IFERROR(IF(C145="","",IF(AND(INDEX('Facilities'!$AF$9:$AF$108,MATCH(C145,'Facilities'!$C$9:$C$108,0))="Ready",INDEX(Credit!$U$109:$U$208,MATCH(F145,Credit!$C$109:$C$208,0))="Ready",ISNUMBER(W145)),"Ready","Review inputs")),"Review inputs")</x:f>
      </x:c>
      <x:c r="AR145" s="23" t="str">
        <x:f>IF(C145="","",IF(AQ145&lt;&gt;"Ready","Unavailable",IF(C145="","",IF(O145=0,0,(IF(AJ145&lt;=1,O145,O145*INDEX('Facilities'!$R$9:$R$108,MATCH(C145,'Facilities'!$C$9:$C$108,0)))+O145*INDEX('Facilities'!$T$9:$T$108,MATCH(C145,'Facilities'!$C$9:$C$108,0)))/12))))</x:f>
      </x:c>
    </x:row>
    <x:row r="146" ht="26" customHeight="1">
      <x:c r="A146" s="1"/>
      <x:c r="B146" s="1"/>
      <x:c r="C146" s="9" t="str">
        <x:f>IF(Facilities!C46="","",Facilities!C46)</x:f>
      </x:c>
      <x:c r="D146" s="3" t="n">
        <x:v>2</x:v>
      </x:c>
      <x:c r="E146" s="9" t="n">
        <x:f>Settings!$F$18+1</x:f>
        <x:v>2028</x:v>
      </x:c>
      <x:c r="F146" s="9" t="str">
        <x:f>IF(C146="","",IFERROR(INDEX('Facilities'!$D$9:$D$108,MATCH(C146,'Facilities'!$C$9:$C$108,0)),"Unavailable"))</x:f>
      </x:c>
      <x:c r="G146" s="21" t="str">
        <x:f>IF(C146="","",IFERROR(O46,"Unavailable"))</x:f>
      </x:c>
      <x:c r="H146" s="21" t="str">
        <x:f>IF(C146="","",IFERROR(P46,"Unavailable"))</x:f>
      </x:c>
      <x:c r="I146" s="21" t="str">
        <x:f>IF(C146="","",IFERROR(Q46,"Unavailable"))</x:f>
      </x:c>
      <x:c r="J146" s="23" t="str">
        <x:f>IF(C146="","",IFERROR(IF(OR(H146&gt;0,AND(AC146&gt;=0,AC146&lt;D146),D146&gt;INDEX('Facilities'!$J$9:$J$108,MATCH(C146,'Facilities'!$C$9:$C$108,0))),0,I146*'Scenario Paths'!G81),"Unavailable"))</x:f>
      </x:c>
      <x:c r="K146" s="23" t="str">
        <x:f>IF(C146="","",IFERROR(IF(OR(H146&gt;0,AND(AC146&gt;=0,AC146=D146)),0,IF(D146&gt;=INDEX('Facilities'!$J$9:$J$108,MATCH(C146,'Facilities'!$C$9:$C$108,0)),G146+J146,MIN(G146+J146,G146*INDEX('Facilities'!$R$9:$R$108,MATCH(C146,'Facilities'!$C$9:$C$108,0))))),"Unavailable"))</x:f>
      </x:c>
      <x:c r="L146" s="21" t="str">
        <x:f>IF(C146="","",IFERROR(IF(AND(AC146=D146,AC146&gt;0),MAX(0,G146+J146-K146),0),"Unavailable"))</x:f>
      </x:c>
      <x:c r="M146" s="23" t="str">
        <x:f>IF(C146="","",IFERROR(IF(AND(AC146&gt;=0,D146&gt;=AC146+INDEX('Facilities'!$AK$9:$AK$108,MATCH(C146,'Facilities'!$C$9:$C$108,0))),(H146+L146)*AM146,0),"Unavailable"))</x:f>
      </x:c>
      <x:c r="N146" s="23" t="str">
        <x:f>IF(C146="","",IFERROR(IF(AND(AC146&gt;=0,D146&gt;=AC146+INDEX('Facilities'!$AK$9:$AK$108,MATCH(C146,'Facilities'!$C$9:$C$108,0))),H146+L146-M146,0),"Unavailable"))</x:f>
      </x:c>
      <x:c r="O146" s="21" t="str">
        <x:f>IF(C146="","",IFERROR(MAX(0,G146+J146-K146-L146),"Unavailable"))</x:f>
      </x:c>
      <x:c r="P146" s="21" t="str">
        <x:f>IF(C146="","",IFERROR(MAX(0,H146+L146-M146-N146),"Unavailable"))</x:f>
      </x:c>
      <x:c r="Q146" s="23" t="str">
        <x:f>IF(C146="","",IFERROR(IF(OR(D146&gt;=INDEX('Facilities'!$J$9:$J$108,MATCH(C146,'Facilities'!$C$9:$C$108,0)),AND(AC146&gt;=0,AC146&lt;=D146)),0,MAX(0,I146-J146)),"Unavailable"))</x:f>
      </x:c>
      <x:c r="R146" s="30" t="str">
        <x:f>IF(C146="","",IFERROR(INDEX(Credit!$Q$109:$Q$208,MATCH(F146,Credit!$C$109:$C$208,0)),"Unavailable"))</x:f>
      </x:c>
      <x:c r="S146" s="30" t="str">
        <x:f>IF(C146="","",IFERROR(INDEX(Credit!$R$109:$R$208,MATCH(F146,Credit!$C$109:$C$208,0)),"Unavailable"))</x:f>
      </x:c>
      <x:c r="T146" s="23" t="str">
        <x:f>IF(C146="","",IFERROR(IF(P146&gt;0,3,IF(OR(INDEX('Facilities'!$AD$9:$AD$108,MATCH(C146,'Facilities'!$C$9:$C$108,0))=2,AND(R146&gt;=INDEX('Facilities'!$L$9:$L$108,MATCH(C146,'Facilities'!$C$9:$C$108,0))*Settings!$F$19,R146-INDEX('Facilities'!$L$9:$L$108,MATCH(C146,'Facilities'!$C$9:$C$108,0))&gt;=Settings!$F$20)),2,1)),"Unavailable"))</x:f>
      </x:c>
      <x:c r="U146" s="23" t="str">
        <x:f>IF(C146="","",IF(AQ146&lt;&gt;"Ready","Unavailable",IF(C146="","",O146*(1-(1-S146)/(1+INDEX('Facilities'!$K$9:$K$108,MATCH(C146,'Facilities'!$C$9:$C$108,0)))^INDEX('Facilities'!$AK$9:$AK$108,MATCH(C146,'Facilities'!$C$9:$C$108,0)))*R146/(1+INDEX('Facilities'!$K$9:$K$108,MATCH(C146,'Facilities'!$C$9:$C$108,0)))*IF(ABS(1-(1-R146)*(1-INDEX('Facilities'!$R$9:$R$108,MATCH(C146,'Facilities'!$C$9:$C$108,0)))/(1+INDEX('Facilities'!$K$9:$K$108,MATCH(C146,'Facilities'!$C$9:$C$108,0))))&lt;0.000000001,IF(T146=1,MIN(1,AJ146),AJ146),(1-((1-R146)*(1-INDEX('Facilities'!$R$9:$R$108,MATCH(C146,'Facilities'!$C$9:$C$108,0)))/(1+INDEX('Facilities'!$K$9:$K$108,MATCH(C146,'Facilities'!$C$9:$C$108,0))))^IF(T146=1,MIN(1,AJ146),AJ146))/(1-(1-R146)*(1-INDEX('Facilities'!$R$9:$R$108,MATCH(C146,'Facilities'!$C$9:$C$108,0)))/(1+INDEX('Facilities'!$K$9:$K$108,MATCH(C146,'Facilities'!$C$9:$C$108,0)))))+AL146)))</x:f>
      </x:c>
      <x:c r="V146" s="23" t="str">
        <x:f>IF(C146="","",IF(AQ146&lt;&gt;"Ready","Unavailable",IF(C146="","",Q146*INDEX('Facilities'!$I$9:$I$108,MATCH(C146,'Facilities'!$C$9:$C$108,0))*(1-(1-S146)/(1+INDEX('Facilities'!$K$9:$K$108,MATCH(C146,'Facilities'!$C$9:$C$108,0)))^INDEX('Facilities'!$AK$9:$AK$108,MATCH(C146,'Facilities'!$C$9:$C$108,0)))*R146/(1+INDEX('Facilities'!$K$9:$K$108,MATCH(C146,'Facilities'!$C$9:$C$108,0)))*IF(ABS(1-(1-R146)*(1-0)/(1+INDEX('Facilities'!$K$9:$K$108,MATCH(C146,'Facilities'!$C$9:$C$108,0))))&lt;0.000000001,IF(T146=1,MIN(1,AJ146),AJ146),(1-((1-R146)*(1-0)/(1+INDEX('Facilities'!$K$9:$K$108,MATCH(C146,'Facilities'!$C$9:$C$108,0))))^IF(T146=1,MIN(1,AJ146),AJ146))/(1-(1-R146)*(1-0)/(1+INDEX('Facilities'!$K$9:$K$108,MATCH(C146,'Facilities'!$C$9:$C$108,0))))))))</x:f>
      </x:c>
      <x:c r="W146" s="21" t="str">
        <x:f>IF(C146="","",IFERROR(U46,"Unavailable"))</x:f>
      </x:c>
      <x:c r="X146" s="21" t="str">
        <x:f>IF(C146="","",IFERROR(V46,"Unavailable"))</x:f>
      </x:c>
      <x:c r="Y146" s="21" t="str">
        <x:f>IF(C146="","",IF(AQ146&lt;&gt;"Ready","Unavailable",IF(C146="","",U146-W146+V146-X146+N146+AG146)))</x:f>
      </x:c>
      <x:c r="Z146" s="23" t="str">
        <x:f>IF(C146="","",IF(AQ146&lt;&gt;"Ready","Unavailable",IF(C146="","",(G146+O146+L146)/2*INDEX('Facilities'!$T$9:$T$108,MATCH(C146,'Facilities'!$C$9:$C$108,0))+AG146)))</x:f>
      </x:c>
      <x:c r="AA146" s="23" t="str">
        <x:f>IF(C146="","",IF(AQ146&lt;&gt;"Ready","Unavailable",IF(C146="","",O146*(1-IF(INDEX('Facilities'!$AA$9:$AA$108,MATCH(C146,'Facilities'!$C$9:$C$108,0))=0,0,MIN(1,INDEX('Facilities'!$X$9:$X$108,MATCH(C146,'Facilities'!$C$9:$C$108,0))/INDEX('Facilities'!$AA$9:$AA$108,MATCH(C146,'Facilities'!$C$9:$C$108,0)))))*AF146+P146*(1-IF(INDEX('Facilities'!$AA$9:$AA$108,MATCH(C146,'Facilities'!$C$9:$C$108,0))=0,0,MIN(1,INDEX('Facilities'!$X$9:$X$108,MATCH(C146,'Facilities'!$C$9:$C$108,0))/INDEX('Facilities'!$AA$9:$AA$108,MATCH(C146,'Facilities'!$C$9:$C$108,0)))))*INDEX('Facilities'!$AJ$9:$AJ$108,MATCH(C146,'Facilities'!$C$9:$C$108,0))+Q146*INDEX('Facilities'!$AI$9:$AI$108,MATCH(C146,'Facilities'!$C$9:$C$108,0))*AF146)))</x:f>
      </x:c>
      <x:c r="AB146" s="21" t="str">
        <x:f>IF(C146="","",O146+P146-AD146)</x:f>
      </x:c>
      <x:c r="AC146" s="23" t="str">
        <x:f>IF(C146="","",IFERROR(IF(INDEX('Facilities'!$AD$9:$AD$108,MATCH(C146,'Facilities'!$C$9:$C$108,0))=3,0,IF(INDEX('Facilities'!$AN$9:$AN$108,MATCH(C146,'Facilities'!$C$9:$C$108,0))=0,-1,INDEX('Facilities'!$AN$9:$AN$108,MATCH(C146,'Facilities'!$C$9:$C$108,0)))),"Unavailable"))</x:f>
      </x:c>
      <x:c r="AD146" s="21" t="str">
        <x:f>IF(C146="","",IFERROR(G146+H146,"Unavailable"))</x:f>
      </x:c>
      <x:c r="AE146" s="21" t="str">
        <x:f>IF(C146="","",IF(AQ146&lt;&gt;"Ready","Unavailable",IF(C146="","",O146+P146-AD146-J146+K146+M146+N146)))</x:f>
      </x:c>
      <x:c r="AF146" s="30" t="str">
        <x:f>IF(C146="","",IFERROR(INDEX('Facilities'!$S$9:$S$108,MATCH(C146,'Facilities'!$C$9:$C$108,0))*'Scenario Paths'!G75,"Unavailable"))</x:f>
      </x:c>
      <x:c r="AG146" s="23" t="str">
        <x:f>IF(C146="","",IF(AQ146&lt;&gt;"Ready","Unavailable",IF(C146="","",IF(H146&gt;0,MAX(0,H146-AK146)*((1+INDEX('Facilities'!$K$9:$K$108,MATCH(C146,'Facilities'!$C$9:$C$108,0)))^MIN(1,MAX(0,AC146+INDEX('Facilities'!$AK$9:$AK$108,MATCH(C146,'Facilities'!$C$9:$C$108,0))-D146+1))-1),0))))</x:f>
      </x:c>
      <x:c r="AH146" s="21" t="str">
        <x:f>IF(C146="","",IF(AQ146&lt;&gt;"Ready","Unavailable",IF(C146="","",O146+P146)))</x:f>
      </x:c>
      <x:c r="AI146" s="21" t="str">
        <x:f>IF(C146="","",IF(AQ146&lt;&gt;"Ready","Unavailable",IF(C146="","",Z146-Y146)))</x:f>
      </x:c>
      <x:c r="AJ146" s="23" t="str">
        <x:f>IF(C146="","",IFERROR(MAX(0,INDEX('Facilities'!$J$9:$J$108,MATCH(C146,'Facilities'!$C$9:$C$108,0))-D146),"Unavailable"))</x:f>
      </x:c>
      <x:c r="AK146" s="21" t="str">
        <x:f>IF(C146="","",IFERROR(AL46,"Unavailable"))</x:f>
      </x:c>
      <x:c r="AL146" s="23" t="str">
        <x:f>IF(C146="","",IFERROR(IF(P146&gt;0,P146*(1-AM146/(1+INDEX('Facilities'!$K$9:$K$108,MATCH(C146,'Facilities'!$C$9:$C$108,0)))^MAX(0,AC146+INDEX('Facilities'!$AK$9:$AK$108,MATCH(C146,'Facilities'!$C$9:$C$108,0))-D146)),0),"Unavailable"))</x:f>
      </x:c>
      <x:c r="AM146" s="30" t="str">
        <x:f>IF(C146="","",IFERROR(INDEX('Facilities'!$AL$9:$AL$108,MATCH(C146,'Facilities'!$C$9:$C$108,0)),"Unavailable"))</x:f>
      </x:c>
      <x:c r="AN146" s="30" t="str">
        <x:f>IF(C146="","",IFERROR(INDEX(Credit!$T$109:$T$208,MATCH(F146,Credit!$C$109:$C$208,0)),"Unavailable"))</x:f>
      </x:c>
      <x:c r="AO146" s="23" t="str">
        <x:f>IF(C146="","",IF(AQ146&lt;&gt;"Ready","Unavailable",IF(C146="","",O146+P146+Q146*INDEX('Facilities'!$I$9:$I$108,MATCH(C146,'Facilities'!$C$9:$C$108,0)))))</x:f>
      </x:c>
      <x:c r="AP146" s="21" t="str">
        <x:f>IF(C146="","",IF(AQ146&lt;&gt;"Ready","Unavailable",IF(C146="","",AH146-U146)))</x:f>
      </x:c>
      <x:c r="AQ146" s="23" t="str">
        <x:f>IFERROR(IF(C146="","",IF(AND(INDEX('Facilities'!$AF$9:$AF$108,MATCH(C146,'Facilities'!$C$9:$C$108,0))="Ready",INDEX(Credit!$U$109:$U$208,MATCH(F146,Credit!$C$109:$C$208,0))="Ready",ISNUMBER(W146)),"Ready","Review inputs")),"Review inputs")</x:f>
      </x:c>
      <x:c r="AR146" s="23" t="str">
        <x:f>IF(C146="","",IF(AQ146&lt;&gt;"Ready","Unavailable",IF(C146="","",IF(O146=0,0,(IF(AJ146&lt;=1,O146,O146*INDEX('Facilities'!$R$9:$R$108,MATCH(C146,'Facilities'!$C$9:$C$108,0)))+O146*INDEX('Facilities'!$T$9:$T$108,MATCH(C146,'Facilities'!$C$9:$C$108,0)))/12))))</x:f>
      </x:c>
    </x:row>
    <x:row r="147" ht="26" customHeight="1">
      <x:c r="A147" s="1"/>
      <x:c r="B147" s="1"/>
      <x:c r="C147" s="9" t="str">
        <x:f>IF(Facilities!C47="","",Facilities!C47)</x:f>
      </x:c>
      <x:c r="D147" s="3" t="n">
        <x:v>2</x:v>
      </x:c>
      <x:c r="E147" s="9" t="n">
        <x:f>Settings!$F$18+1</x:f>
        <x:v>2028</x:v>
      </x:c>
      <x:c r="F147" s="9" t="str">
        <x:f>IF(C147="","",IFERROR(INDEX('Facilities'!$D$9:$D$108,MATCH(C147,'Facilities'!$C$9:$C$108,0)),"Unavailable"))</x:f>
      </x:c>
      <x:c r="G147" s="21" t="str">
        <x:f>IF(C147="","",IFERROR(O47,"Unavailable"))</x:f>
      </x:c>
      <x:c r="H147" s="21" t="str">
        <x:f>IF(C147="","",IFERROR(P47,"Unavailable"))</x:f>
      </x:c>
      <x:c r="I147" s="21" t="str">
        <x:f>IF(C147="","",IFERROR(Q47,"Unavailable"))</x:f>
      </x:c>
      <x:c r="J147" s="23" t="str">
        <x:f>IF(C147="","",IFERROR(IF(OR(H147&gt;0,AND(AC147&gt;=0,AC147&lt;D147),D147&gt;INDEX('Facilities'!$J$9:$J$108,MATCH(C147,'Facilities'!$C$9:$C$108,0))),0,I147*'Scenario Paths'!G81),"Unavailable"))</x:f>
      </x:c>
      <x:c r="K147" s="23" t="str">
        <x:f>IF(C147="","",IFERROR(IF(OR(H147&gt;0,AND(AC147&gt;=0,AC147=D147)),0,IF(D147&gt;=INDEX('Facilities'!$J$9:$J$108,MATCH(C147,'Facilities'!$C$9:$C$108,0)),G147+J147,MIN(G147+J147,G147*INDEX('Facilities'!$R$9:$R$108,MATCH(C147,'Facilities'!$C$9:$C$108,0))))),"Unavailable"))</x:f>
      </x:c>
      <x:c r="L147" s="21" t="str">
        <x:f>IF(C147="","",IFERROR(IF(AND(AC147=D147,AC147&gt;0),MAX(0,G147+J147-K147),0),"Unavailable"))</x:f>
      </x:c>
      <x:c r="M147" s="23" t="str">
        <x:f>IF(C147="","",IFERROR(IF(AND(AC147&gt;=0,D147&gt;=AC147+INDEX('Facilities'!$AK$9:$AK$108,MATCH(C147,'Facilities'!$C$9:$C$108,0))),(H147+L147)*AM147,0),"Unavailable"))</x:f>
      </x:c>
      <x:c r="N147" s="23" t="str">
        <x:f>IF(C147="","",IFERROR(IF(AND(AC147&gt;=0,D147&gt;=AC147+INDEX('Facilities'!$AK$9:$AK$108,MATCH(C147,'Facilities'!$C$9:$C$108,0))),H147+L147-M147,0),"Unavailable"))</x:f>
      </x:c>
      <x:c r="O147" s="21" t="str">
        <x:f>IF(C147="","",IFERROR(MAX(0,G147+J147-K147-L147),"Unavailable"))</x:f>
      </x:c>
      <x:c r="P147" s="21" t="str">
        <x:f>IF(C147="","",IFERROR(MAX(0,H147+L147-M147-N147),"Unavailable"))</x:f>
      </x:c>
      <x:c r="Q147" s="23" t="str">
        <x:f>IF(C147="","",IFERROR(IF(OR(D147&gt;=INDEX('Facilities'!$J$9:$J$108,MATCH(C147,'Facilities'!$C$9:$C$108,0)),AND(AC147&gt;=0,AC147&lt;=D147)),0,MAX(0,I147-J147)),"Unavailable"))</x:f>
      </x:c>
      <x:c r="R147" s="30" t="str">
        <x:f>IF(C147="","",IFERROR(INDEX(Credit!$Q$109:$Q$208,MATCH(F147,Credit!$C$109:$C$208,0)),"Unavailable"))</x:f>
      </x:c>
      <x:c r="S147" s="30" t="str">
        <x:f>IF(C147="","",IFERROR(INDEX(Credit!$R$109:$R$208,MATCH(F147,Credit!$C$109:$C$208,0)),"Unavailable"))</x:f>
      </x:c>
      <x:c r="T147" s="23" t="str">
        <x:f>IF(C147="","",IFERROR(IF(P147&gt;0,3,IF(OR(INDEX('Facilities'!$AD$9:$AD$108,MATCH(C147,'Facilities'!$C$9:$C$108,0))=2,AND(R147&gt;=INDEX('Facilities'!$L$9:$L$108,MATCH(C147,'Facilities'!$C$9:$C$108,0))*Settings!$F$19,R147-INDEX('Facilities'!$L$9:$L$108,MATCH(C147,'Facilities'!$C$9:$C$108,0))&gt;=Settings!$F$20)),2,1)),"Unavailable"))</x:f>
      </x:c>
      <x:c r="U147" s="23" t="str">
        <x:f>IF(C147="","",IF(AQ147&lt;&gt;"Ready","Unavailable",IF(C147="","",O147*(1-(1-S147)/(1+INDEX('Facilities'!$K$9:$K$108,MATCH(C147,'Facilities'!$C$9:$C$108,0)))^INDEX('Facilities'!$AK$9:$AK$108,MATCH(C147,'Facilities'!$C$9:$C$108,0)))*R147/(1+INDEX('Facilities'!$K$9:$K$108,MATCH(C147,'Facilities'!$C$9:$C$108,0)))*IF(ABS(1-(1-R147)*(1-INDEX('Facilities'!$R$9:$R$108,MATCH(C147,'Facilities'!$C$9:$C$108,0)))/(1+INDEX('Facilities'!$K$9:$K$108,MATCH(C147,'Facilities'!$C$9:$C$108,0))))&lt;0.000000001,IF(T147=1,MIN(1,AJ147),AJ147),(1-((1-R147)*(1-INDEX('Facilities'!$R$9:$R$108,MATCH(C147,'Facilities'!$C$9:$C$108,0)))/(1+INDEX('Facilities'!$K$9:$K$108,MATCH(C147,'Facilities'!$C$9:$C$108,0))))^IF(T147=1,MIN(1,AJ147),AJ147))/(1-(1-R147)*(1-INDEX('Facilities'!$R$9:$R$108,MATCH(C147,'Facilities'!$C$9:$C$108,0)))/(1+INDEX('Facilities'!$K$9:$K$108,MATCH(C147,'Facilities'!$C$9:$C$108,0)))))+AL147)))</x:f>
      </x:c>
      <x:c r="V147" s="23" t="str">
        <x:f>IF(C147="","",IF(AQ147&lt;&gt;"Ready","Unavailable",IF(C147="","",Q147*INDEX('Facilities'!$I$9:$I$108,MATCH(C147,'Facilities'!$C$9:$C$108,0))*(1-(1-S147)/(1+INDEX('Facilities'!$K$9:$K$108,MATCH(C147,'Facilities'!$C$9:$C$108,0)))^INDEX('Facilities'!$AK$9:$AK$108,MATCH(C147,'Facilities'!$C$9:$C$108,0)))*R147/(1+INDEX('Facilities'!$K$9:$K$108,MATCH(C147,'Facilities'!$C$9:$C$108,0)))*IF(ABS(1-(1-R147)*(1-0)/(1+INDEX('Facilities'!$K$9:$K$108,MATCH(C147,'Facilities'!$C$9:$C$108,0))))&lt;0.000000001,IF(T147=1,MIN(1,AJ147),AJ147),(1-((1-R147)*(1-0)/(1+INDEX('Facilities'!$K$9:$K$108,MATCH(C147,'Facilities'!$C$9:$C$108,0))))^IF(T147=1,MIN(1,AJ147),AJ147))/(1-(1-R147)*(1-0)/(1+INDEX('Facilities'!$K$9:$K$108,MATCH(C147,'Facilities'!$C$9:$C$108,0))))))))</x:f>
      </x:c>
      <x:c r="W147" s="21" t="str">
        <x:f>IF(C147="","",IFERROR(U47,"Unavailable"))</x:f>
      </x:c>
      <x:c r="X147" s="21" t="str">
        <x:f>IF(C147="","",IFERROR(V47,"Unavailable"))</x:f>
      </x:c>
      <x:c r="Y147" s="21" t="str">
        <x:f>IF(C147="","",IF(AQ147&lt;&gt;"Ready","Unavailable",IF(C147="","",U147-W147+V147-X147+N147+AG147)))</x:f>
      </x:c>
      <x:c r="Z147" s="23" t="str">
        <x:f>IF(C147="","",IF(AQ147&lt;&gt;"Ready","Unavailable",IF(C147="","",(G147+O147+L147)/2*INDEX('Facilities'!$T$9:$T$108,MATCH(C147,'Facilities'!$C$9:$C$108,0))+AG147)))</x:f>
      </x:c>
      <x:c r="AA147" s="23" t="str">
        <x:f>IF(C147="","",IF(AQ147&lt;&gt;"Ready","Unavailable",IF(C147="","",O147*(1-IF(INDEX('Facilities'!$AA$9:$AA$108,MATCH(C147,'Facilities'!$C$9:$C$108,0))=0,0,MIN(1,INDEX('Facilities'!$X$9:$X$108,MATCH(C147,'Facilities'!$C$9:$C$108,0))/INDEX('Facilities'!$AA$9:$AA$108,MATCH(C147,'Facilities'!$C$9:$C$108,0)))))*AF147+P147*(1-IF(INDEX('Facilities'!$AA$9:$AA$108,MATCH(C147,'Facilities'!$C$9:$C$108,0))=0,0,MIN(1,INDEX('Facilities'!$X$9:$X$108,MATCH(C147,'Facilities'!$C$9:$C$108,0))/INDEX('Facilities'!$AA$9:$AA$108,MATCH(C147,'Facilities'!$C$9:$C$108,0)))))*INDEX('Facilities'!$AJ$9:$AJ$108,MATCH(C147,'Facilities'!$C$9:$C$108,0))+Q147*INDEX('Facilities'!$AI$9:$AI$108,MATCH(C147,'Facilities'!$C$9:$C$108,0))*AF147)))</x:f>
      </x:c>
      <x:c r="AB147" s="21" t="str">
        <x:f>IF(C147="","",O147+P147-AD147)</x:f>
      </x:c>
      <x:c r="AC147" s="23" t="str">
        <x:f>IF(C147="","",IFERROR(IF(INDEX('Facilities'!$AD$9:$AD$108,MATCH(C147,'Facilities'!$C$9:$C$108,0))=3,0,IF(INDEX('Facilities'!$AN$9:$AN$108,MATCH(C147,'Facilities'!$C$9:$C$108,0))=0,-1,INDEX('Facilities'!$AN$9:$AN$108,MATCH(C147,'Facilities'!$C$9:$C$108,0)))),"Unavailable"))</x:f>
      </x:c>
      <x:c r="AD147" s="21" t="str">
        <x:f>IF(C147="","",IFERROR(G147+H147,"Unavailable"))</x:f>
      </x:c>
      <x:c r="AE147" s="21" t="str">
        <x:f>IF(C147="","",IF(AQ147&lt;&gt;"Ready","Unavailable",IF(C147="","",O147+P147-AD147-J147+K147+M147+N147)))</x:f>
      </x:c>
      <x:c r="AF147" s="30" t="str">
        <x:f>IF(C147="","",IFERROR(INDEX('Facilities'!$S$9:$S$108,MATCH(C147,'Facilities'!$C$9:$C$108,0))*'Scenario Paths'!G75,"Unavailable"))</x:f>
      </x:c>
      <x:c r="AG147" s="23" t="str">
        <x:f>IF(C147="","",IF(AQ147&lt;&gt;"Ready","Unavailable",IF(C147="","",IF(H147&gt;0,MAX(0,H147-AK147)*((1+INDEX('Facilities'!$K$9:$K$108,MATCH(C147,'Facilities'!$C$9:$C$108,0)))^MIN(1,MAX(0,AC147+INDEX('Facilities'!$AK$9:$AK$108,MATCH(C147,'Facilities'!$C$9:$C$108,0))-D147+1))-1),0))))</x:f>
      </x:c>
      <x:c r="AH147" s="21" t="str">
        <x:f>IF(C147="","",IF(AQ147&lt;&gt;"Ready","Unavailable",IF(C147="","",O147+P147)))</x:f>
      </x:c>
      <x:c r="AI147" s="21" t="str">
        <x:f>IF(C147="","",IF(AQ147&lt;&gt;"Ready","Unavailable",IF(C147="","",Z147-Y147)))</x:f>
      </x:c>
      <x:c r="AJ147" s="23" t="str">
        <x:f>IF(C147="","",IFERROR(MAX(0,INDEX('Facilities'!$J$9:$J$108,MATCH(C147,'Facilities'!$C$9:$C$108,0))-D147),"Unavailable"))</x:f>
      </x:c>
      <x:c r="AK147" s="21" t="str">
        <x:f>IF(C147="","",IFERROR(AL47,"Unavailable"))</x:f>
      </x:c>
      <x:c r="AL147" s="23" t="str">
        <x:f>IF(C147="","",IFERROR(IF(P147&gt;0,P147*(1-AM147/(1+INDEX('Facilities'!$K$9:$K$108,MATCH(C147,'Facilities'!$C$9:$C$108,0)))^MAX(0,AC147+INDEX('Facilities'!$AK$9:$AK$108,MATCH(C147,'Facilities'!$C$9:$C$108,0))-D147)),0),"Unavailable"))</x:f>
      </x:c>
      <x:c r="AM147" s="30" t="str">
        <x:f>IF(C147="","",IFERROR(INDEX('Facilities'!$AL$9:$AL$108,MATCH(C147,'Facilities'!$C$9:$C$108,0)),"Unavailable"))</x:f>
      </x:c>
      <x:c r="AN147" s="30" t="str">
        <x:f>IF(C147="","",IFERROR(INDEX(Credit!$T$109:$T$208,MATCH(F147,Credit!$C$109:$C$208,0)),"Unavailable"))</x:f>
      </x:c>
      <x:c r="AO147" s="23" t="str">
        <x:f>IF(C147="","",IF(AQ147&lt;&gt;"Ready","Unavailable",IF(C147="","",O147+P147+Q147*INDEX('Facilities'!$I$9:$I$108,MATCH(C147,'Facilities'!$C$9:$C$108,0)))))</x:f>
      </x:c>
      <x:c r="AP147" s="21" t="str">
        <x:f>IF(C147="","",IF(AQ147&lt;&gt;"Ready","Unavailable",IF(C147="","",AH147-U147)))</x:f>
      </x:c>
      <x:c r="AQ147" s="23" t="str">
        <x:f>IFERROR(IF(C147="","",IF(AND(INDEX('Facilities'!$AF$9:$AF$108,MATCH(C147,'Facilities'!$C$9:$C$108,0))="Ready",INDEX(Credit!$U$109:$U$208,MATCH(F147,Credit!$C$109:$C$208,0))="Ready",ISNUMBER(W147)),"Ready","Review inputs")),"Review inputs")</x:f>
      </x:c>
      <x:c r="AR147" s="23" t="str">
        <x:f>IF(C147="","",IF(AQ147&lt;&gt;"Ready","Unavailable",IF(C147="","",IF(O147=0,0,(IF(AJ147&lt;=1,O147,O147*INDEX('Facilities'!$R$9:$R$108,MATCH(C147,'Facilities'!$C$9:$C$108,0)))+O147*INDEX('Facilities'!$T$9:$T$108,MATCH(C147,'Facilities'!$C$9:$C$108,0)))/12))))</x:f>
      </x:c>
    </x:row>
    <x:row r="148" ht="26" customHeight="1">
      <x:c r="A148" s="1"/>
      <x:c r="B148" s="1"/>
      <x:c r="C148" s="9" t="str">
        <x:f>IF(Facilities!C48="","",Facilities!C48)</x:f>
      </x:c>
      <x:c r="D148" s="3" t="n">
        <x:v>2</x:v>
      </x:c>
      <x:c r="E148" s="9" t="n">
        <x:f>Settings!$F$18+1</x:f>
        <x:v>2028</x:v>
      </x:c>
      <x:c r="F148" s="9" t="str">
        <x:f>IF(C148="","",IFERROR(INDEX('Facilities'!$D$9:$D$108,MATCH(C148,'Facilities'!$C$9:$C$108,0)),"Unavailable"))</x:f>
      </x:c>
      <x:c r="G148" s="21" t="str">
        <x:f>IF(C148="","",IFERROR(O48,"Unavailable"))</x:f>
      </x:c>
      <x:c r="H148" s="21" t="str">
        <x:f>IF(C148="","",IFERROR(P48,"Unavailable"))</x:f>
      </x:c>
      <x:c r="I148" s="21" t="str">
        <x:f>IF(C148="","",IFERROR(Q48,"Unavailable"))</x:f>
      </x:c>
      <x:c r="J148" s="23" t="str">
        <x:f>IF(C148="","",IFERROR(IF(OR(H148&gt;0,AND(AC148&gt;=0,AC148&lt;D148),D148&gt;INDEX('Facilities'!$J$9:$J$108,MATCH(C148,'Facilities'!$C$9:$C$108,0))),0,I148*'Scenario Paths'!G81),"Unavailable"))</x:f>
      </x:c>
      <x:c r="K148" s="23" t="str">
        <x:f>IF(C148="","",IFERROR(IF(OR(H148&gt;0,AND(AC148&gt;=0,AC148=D148)),0,IF(D148&gt;=INDEX('Facilities'!$J$9:$J$108,MATCH(C148,'Facilities'!$C$9:$C$108,0)),G148+J148,MIN(G148+J148,G148*INDEX('Facilities'!$R$9:$R$108,MATCH(C148,'Facilities'!$C$9:$C$108,0))))),"Unavailable"))</x:f>
      </x:c>
      <x:c r="L148" s="21" t="str">
        <x:f>IF(C148="","",IFERROR(IF(AND(AC148=D148,AC148&gt;0),MAX(0,G148+J148-K148),0),"Unavailable"))</x:f>
      </x:c>
      <x:c r="M148" s="23" t="str">
        <x:f>IF(C148="","",IFERROR(IF(AND(AC148&gt;=0,D148&gt;=AC148+INDEX('Facilities'!$AK$9:$AK$108,MATCH(C148,'Facilities'!$C$9:$C$108,0))),(H148+L148)*AM148,0),"Unavailable"))</x:f>
      </x:c>
      <x:c r="N148" s="23" t="str">
        <x:f>IF(C148="","",IFERROR(IF(AND(AC148&gt;=0,D148&gt;=AC148+INDEX('Facilities'!$AK$9:$AK$108,MATCH(C148,'Facilities'!$C$9:$C$108,0))),H148+L148-M148,0),"Unavailable"))</x:f>
      </x:c>
      <x:c r="O148" s="21" t="str">
        <x:f>IF(C148="","",IFERROR(MAX(0,G148+J148-K148-L148),"Unavailable"))</x:f>
      </x:c>
      <x:c r="P148" s="21" t="str">
        <x:f>IF(C148="","",IFERROR(MAX(0,H148+L148-M148-N148),"Unavailable"))</x:f>
      </x:c>
      <x:c r="Q148" s="23" t="str">
        <x:f>IF(C148="","",IFERROR(IF(OR(D148&gt;=INDEX('Facilities'!$J$9:$J$108,MATCH(C148,'Facilities'!$C$9:$C$108,0)),AND(AC148&gt;=0,AC148&lt;=D148)),0,MAX(0,I148-J148)),"Unavailable"))</x:f>
      </x:c>
      <x:c r="R148" s="30" t="str">
        <x:f>IF(C148="","",IFERROR(INDEX(Credit!$Q$109:$Q$208,MATCH(F148,Credit!$C$109:$C$208,0)),"Unavailable"))</x:f>
      </x:c>
      <x:c r="S148" s="30" t="str">
        <x:f>IF(C148="","",IFERROR(INDEX(Credit!$R$109:$R$208,MATCH(F148,Credit!$C$109:$C$208,0)),"Unavailable"))</x:f>
      </x:c>
      <x:c r="T148" s="23" t="str">
        <x:f>IF(C148="","",IFERROR(IF(P148&gt;0,3,IF(OR(INDEX('Facilities'!$AD$9:$AD$108,MATCH(C148,'Facilities'!$C$9:$C$108,0))=2,AND(R148&gt;=INDEX('Facilities'!$L$9:$L$108,MATCH(C148,'Facilities'!$C$9:$C$108,0))*Settings!$F$19,R148-INDEX('Facilities'!$L$9:$L$108,MATCH(C148,'Facilities'!$C$9:$C$108,0))&gt;=Settings!$F$20)),2,1)),"Unavailable"))</x:f>
      </x:c>
      <x:c r="U148" s="23" t="str">
        <x:f>IF(C148="","",IF(AQ148&lt;&gt;"Ready","Unavailable",IF(C148="","",O148*(1-(1-S148)/(1+INDEX('Facilities'!$K$9:$K$108,MATCH(C148,'Facilities'!$C$9:$C$108,0)))^INDEX('Facilities'!$AK$9:$AK$108,MATCH(C148,'Facilities'!$C$9:$C$108,0)))*R148/(1+INDEX('Facilities'!$K$9:$K$108,MATCH(C148,'Facilities'!$C$9:$C$108,0)))*IF(ABS(1-(1-R148)*(1-INDEX('Facilities'!$R$9:$R$108,MATCH(C148,'Facilities'!$C$9:$C$108,0)))/(1+INDEX('Facilities'!$K$9:$K$108,MATCH(C148,'Facilities'!$C$9:$C$108,0))))&lt;0.000000001,IF(T148=1,MIN(1,AJ148),AJ148),(1-((1-R148)*(1-INDEX('Facilities'!$R$9:$R$108,MATCH(C148,'Facilities'!$C$9:$C$108,0)))/(1+INDEX('Facilities'!$K$9:$K$108,MATCH(C148,'Facilities'!$C$9:$C$108,0))))^IF(T148=1,MIN(1,AJ148),AJ148))/(1-(1-R148)*(1-INDEX('Facilities'!$R$9:$R$108,MATCH(C148,'Facilities'!$C$9:$C$108,0)))/(1+INDEX('Facilities'!$K$9:$K$108,MATCH(C148,'Facilities'!$C$9:$C$108,0)))))+AL148)))</x:f>
      </x:c>
      <x:c r="V148" s="23" t="str">
        <x:f>IF(C148="","",IF(AQ148&lt;&gt;"Ready","Unavailable",IF(C148="","",Q148*INDEX('Facilities'!$I$9:$I$108,MATCH(C148,'Facilities'!$C$9:$C$108,0))*(1-(1-S148)/(1+INDEX('Facilities'!$K$9:$K$108,MATCH(C148,'Facilities'!$C$9:$C$108,0)))^INDEX('Facilities'!$AK$9:$AK$108,MATCH(C148,'Facilities'!$C$9:$C$108,0)))*R148/(1+INDEX('Facilities'!$K$9:$K$108,MATCH(C148,'Facilities'!$C$9:$C$108,0)))*IF(ABS(1-(1-R148)*(1-0)/(1+INDEX('Facilities'!$K$9:$K$108,MATCH(C148,'Facilities'!$C$9:$C$108,0))))&lt;0.000000001,IF(T148=1,MIN(1,AJ148),AJ148),(1-((1-R148)*(1-0)/(1+INDEX('Facilities'!$K$9:$K$108,MATCH(C148,'Facilities'!$C$9:$C$108,0))))^IF(T148=1,MIN(1,AJ148),AJ148))/(1-(1-R148)*(1-0)/(1+INDEX('Facilities'!$K$9:$K$108,MATCH(C148,'Facilities'!$C$9:$C$108,0))))))))</x:f>
      </x:c>
      <x:c r="W148" s="21" t="str">
        <x:f>IF(C148="","",IFERROR(U48,"Unavailable"))</x:f>
      </x:c>
      <x:c r="X148" s="21" t="str">
        <x:f>IF(C148="","",IFERROR(V48,"Unavailable"))</x:f>
      </x:c>
      <x:c r="Y148" s="21" t="str">
        <x:f>IF(C148="","",IF(AQ148&lt;&gt;"Ready","Unavailable",IF(C148="","",U148-W148+V148-X148+N148+AG148)))</x:f>
      </x:c>
      <x:c r="Z148" s="23" t="str">
        <x:f>IF(C148="","",IF(AQ148&lt;&gt;"Ready","Unavailable",IF(C148="","",(G148+O148+L148)/2*INDEX('Facilities'!$T$9:$T$108,MATCH(C148,'Facilities'!$C$9:$C$108,0))+AG148)))</x:f>
      </x:c>
      <x:c r="AA148" s="23" t="str">
        <x:f>IF(C148="","",IF(AQ148&lt;&gt;"Ready","Unavailable",IF(C148="","",O148*(1-IF(INDEX('Facilities'!$AA$9:$AA$108,MATCH(C148,'Facilities'!$C$9:$C$108,0))=0,0,MIN(1,INDEX('Facilities'!$X$9:$X$108,MATCH(C148,'Facilities'!$C$9:$C$108,0))/INDEX('Facilities'!$AA$9:$AA$108,MATCH(C148,'Facilities'!$C$9:$C$108,0)))))*AF148+P148*(1-IF(INDEX('Facilities'!$AA$9:$AA$108,MATCH(C148,'Facilities'!$C$9:$C$108,0))=0,0,MIN(1,INDEX('Facilities'!$X$9:$X$108,MATCH(C148,'Facilities'!$C$9:$C$108,0))/INDEX('Facilities'!$AA$9:$AA$108,MATCH(C148,'Facilities'!$C$9:$C$108,0)))))*INDEX('Facilities'!$AJ$9:$AJ$108,MATCH(C148,'Facilities'!$C$9:$C$108,0))+Q148*INDEX('Facilities'!$AI$9:$AI$108,MATCH(C148,'Facilities'!$C$9:$C$108,0))*AF148)))</x:f>
      </x:c>
      <x:c r="AB148" s="21" t="str">
        <x:f>IF(C148="","",O148+P148-AD148)</x:f>
      </x:c>
      <x:c r="AC148" s="23" t="str">
        <x:f>IF(C148="","",IFERROR(IF(INDEX('Facilities'!$AD$9:$AD$108,MATCH(C148,'Facilities'!$C$9:$C$108,0))=3,0,IF(INDEX('Facilities'!$AN$9:$AN$108,MATCH(C148,'Facilities'!$C$9:$C$108,0))=0,-1,INDEX('Facilities'!$AN$9:$AN$108,MATCH(C148,'Facilities'!$C$9:$C$108,0)))),"Unavailable"))</x:f>
      </x:c>
      <x:c r="AD148" s="21" t="str">
        <x:f>IF(C148="","",IFERROR(G148+H148,"Unavailable"))</x:f>
      </x:c>
      <x:c r="AE148" s="21" t="str">
        <x:f>IF(C148="","",IF(AQ148&lt;&gt;"Ready","Unavailable",IF(C148="","",O148+P148-AD148-J148+K148+M148+N148)))</x:f>
      </x:c>
      <x:c r="AF148" s="30" t="str">
        <x:f>IF(C148="","",IFERROR(INDEX('Facilities'!$S$9:$S$108,MATCH(C148,'Facilities'!$C$9:$C$108,0))*'Scenario Paths'!G75,"Unavailable"))</x:f>
      </x:c>
      <x:c r="AG148" s="23" t="str">
        <x:f>IF(C148="","",IF(AQ148&lt;&gt;"Ready","Unavailable",IF(C148="","",IF(H148&gt;0,MAX(0,H148-AK148)*((1+INDEX('Facilities'!$K$9:$K$108,MATCH(C148,'Facilities'!$C$9:$C$108,0)))^MIN(1,MAX(0,AC148+INDEX('Facilities'!$AK$9:$AK$108,MATCH(C148,'Facilities'!$C$9:$C$108,0))-D148+1))-1),0))))</x:f>
      </x:c>
      <x:c r="AH148" s="21" t="str">
        <x:f>IF(C148="","",IF(AQ148&lt;&gt;"Ready","Unavailable",IF(C148="","",O148+P148)))</x:f>
      </x:c>
      <x:c r="AI148" s="21" t="str">
        <x:f>IF(C148="","",IF(AQ148&lt;&gt;"Ready","Unavailable",IF(C148="","",Z148-Y148)))</x:f>
      </x:c>
      <x:c r="AJ148" s="23" t="str">
        <x:f>IF(C148="","",IFERROR(MAX(0,INDEX('Facilities'!$J$9:$J$108,MATCH(C148,'Facilities'!$C$9:$C$108,0))-D148),"Unavailable"))</x:f>
      </x:c>
      <x:c r="AK148" s="21" t="str">
        <x:f>IF(C148="","",IFERROR(AL48,"Unavailable"))</x:f>
      </x:c>
      <x:c r="AL148" s="23" t="str">
        <x:f>IF(C148="","",IFERROR(IF(P148&gt;0,P148*(1-AM148/(1+INDEX('Facilities'!$K$9:$K$108,MATCH(C148,'Facilities'!$C$9:$C$108,0)))^MAX(0,AC148+INDEX('Facilities'!$AK$9:$AK$108,MATCH(C148,'Facilities'!$C$9:$C$108,0))-D148)),0),"Unavailable"))</x:f>
      </x:c>
      <x:c r="AM148" s="30" t="str">
        <x:f>IF(C148="","",IFERROR(INDEX('Facilities'!$AL$9:$AL$108,MATCH(C148,'Facilities'!$C$9:$C$108,0)),"Unavailable"))</x:f>
      </x:c>
      <x:c r="AN148" s="30" t="str">
        <x:f>IF(C148="","",IFERROR(INDEX(Credit!$T$109:$T$208,MATCH(F148,Credit!$C$109:$C$208,0)),"Unavailable"))</x:f>
      </x:c>
      <x:c r="AO148" s="23" t="str">
        <x:f>IF(C148="","",IF(AQ148&lt;&gt;"Ready","Unavailable",IF(C148="","",O148+P148+Q148*INDEX('Facilities'!$I$9:$I$108,MATCH(C148,'Facilities'!$C$9:$C$108,0)))))</x:f>
      </x:c>
      <x:c r="AP148" s="21" t="str">
        <x:f>IF(C148="","",IF(AQ148&lt;&gt;"Ready","Unavailable",IF(C148="","",AH148-U148)))</x:f>
      </x:c>
      <x:c r="AQ148" s="23" t="str">
        <x:f>IFERROR(IF(C148="","",IF(AND(INDEX('Facilities'!$AF$9:$AF$108,MATCH(C148,'Facilities'!$C$9:$C$108,0))="Ready",INDEX(Credit!$U$109:$U$208,MATCH(F148,Credit!$C$109:$C$208,0))="Ready",ISNUMBER(W148)),"Ready","Review inputs")),"Review inputs")</x:f>
      </x:c>
      <x:c r="AR148" s="23" t="str">
        <x:f>IF(C148="","",IF(AQ148&lt;&gt;"Ready","Unavailable",IF(C148="","",IF(O148=0,0,(IF(AJ148&lt;=1,O148,O148*INDEX('Facilities'!$R$9:$R$108,MATCH(C148,'Facilities'!$C$9:$C$108,0)))+O148*INDEX('Facilities'!$T$9:$T$108,MATCH(C148,'Facilities'!$C$9:$C$108,0)))/12))))</x:f>
      </x:c>
    </x:row>
    <x:row r="149" ht="26" customHeight="1">
      <x:c r="A149" s="1"/>
      <x:c r="B149" s="1"/>
      <x:c r="C149" s="9" t="str">
        <x:f>IF(Facilities!C49="","",Facilities!C49)</x:f>
      </x:c>
      <x:c r="D149" s="3" t="n">
        <x:v>2</x:v>
      </x:c>
      <x:c r="E149" s="9" t="n">
        <x:f>Settings!$F$18+1</x:f>
        <x:v>2028</x:v>
      </x:c>
      <x:c r="F149" s="9" t="str">
        <x:f>IF(C149="","",IFERROR(INDEX('Facilities'!$D$9:$D$108,MATCH(C149,'Facilities'!$C$9:$C$108,0)),"Unavailable"))</x:f>
      </x:c>
      <x:c r="G149" s="21" t="str">
        <x:f>IF(C149="","",IFERROR(O49,"Unavailable"))</x:f>
      </x:c>
      <x:c r="H149" s="21" t="str">
        <x:f>IF(C149="","",IFERROR(P49,"Unavailable"))</x:f>
      </x:c>
      <x:c r="I149" s="21" t="str">
        <x:f>IF(C149="","",IFERROR(Q49,"Unavailable"))</x:f>
      </x:c>
      <x:c r="J149" s="23" t="str">
        <x:f>IF(C149="","",IFERROR(IF(OR(H149&gt;0,AND(AC149&gt;=0,AC149&lt;D149),D149&gt;INDEX('Facilities'!$J$9:$J$108,MATCH(C149,'Facilities'!$C$9:$C$108,0))),0,I149*'Scenario Paths'!G81),"Unavailable"))</x:f>
      </x:c>
      <x:c r="K149" s="23" t="str">
        <x:f>IF(C149="","",IFERROR(IF(OR(H149&gt;0,AND(AC149&gt;=0,AC149=D149)),0,IF(D149&gt;=INDEX('Facilities'!$J$9:$J$108,MATCH(C149,'Facilities'!$C$9:$C$108,0)),G149+J149,MIN(G149+J149,G149*INDEX('Facilities'!$R$9:$R$108,MATCH(C149,'Facilities'!$C$9:$C$108,0))))),"Unavailable"))</x:f>
      </x:c>
      <x:c r="L149" s="21" t="str">
        <x:f>IF(C149="","",IFERROR(IF(AND(AC149=D149,AC149&gt;0),MAX(0,G149+J149-K149),0),"Unavailable"))</x:f>
      </x:c>
      <x:c r="M149" s="23" t="str">
        <x:f>IF(C149="","",IFERROR(IF(AND(AC149&gt;=0,D149&gt;=AC149+INDEX('Facilities'!$AK$9:$AK$108,MATCH(C149,'Facilities'!$C$9:$C$108,0))),(H149+L149)*AM149,0),"Unavailable"))</x:f>
      </x:c>
      <x:c r="N149" s="23" t="str">
        <x:f>IF(C149="","",IFERROR(IF(AND(AC149&gt;=0,D149&gt;=AC149+INDEX('Facilities'!$AK$9:$AK$108,MATCH(C149,'Facilities'!$C$9:$C$108,0))),H149+L149-M149,0),"Unavailable"))</x:f>
      </x:c>
      <x:c r="O149" s="21" t="str">
        <x:f>IF(C149="","",IFERROR(MAX(0,G149+J149-K149-L149),"Unavailable"))</x:f>
      </x:c>
      <x:c r="P149" s="21" t="str">
        <x:f>IF(C149="","",IFERROR(MAX(0,H149+L149-M149-N149),"Unavailable"))</x:f>
      </x:c>
      <x:c r="Q149" s="23" t="str">
        <x:f>IF(C149="","",IFERROR(IF(OR(D149&gt;=INDEX('Facilities'!$J$9:$J$108,MATCH(C149,'Facilities'!$C$9:$C$108,0)),AND(AC149&gt;=0,AC149&lt;=D149)),0,MAX(0,I149-J149)),"Unavailable"))</x:f>
      </x:c>
      <x:c r="R149" s="30" t="str">
        <x:f>IF(C149="","",IFERROR(INDEX(Credit!$Q$109:$Q$208,MATCH(F149,Credit!$C$109:$C$208,0)),"Unavailable"))</x:f>
      </x:c>
      <x:c r="S149" s="30" t="str">
        <x:f>IF(C149="","",IFERROR(INDEX(Credit!$R$109:$R$208,MATCH(F149,Credit!$C$109:$C$208,0)),"Unavailable"))</x:f>
      </x:c>
      <x:c r="T149" s="23" t="str">
        <x:f>IF(C149="","",IFERROR(IF(P149&gt;0,3,IF(OR(INDEX('Facilities'!$AD$9:$AD$108,MATCH(C149,'Facilities'!$C$9:$C$108,0))=2,AND(R149&gt;=INDEX('Facilities'!$L$9:$L$108,MATCH(C149,'Facilities'!$C$9:$C$108,0))*Settings!$F$19,R149-INDEX('Facilities'!$L$9:$L$108,MATCH(C149,'Facilities'!$C$9:$C$108,0))&gt;=Settings!$F$20)),2,1)),"Unavailable"))</x:f>
      </x:c>
      <x:c r="U149" s="23" t="str">
        <x:f>IF(C149="","",IF(AQ149&lt;&gt;"Ready","Unavailable",IF(C149="","",O149*(1-(1-S149)/(1+INDEX('Facilities'!$K$9:$K$108,MATCH(C149,'Facilities'!$C$9:$C$108,0)))^INDEX('Facilities'!$AK$9:$AK$108,MATCH(C149,'Facilities'!$C$9:$C$108,0)))*R149/(1+INDEX('Facilities'!$K$9:$K$108,MATCH(C149,'Facilities'!$C$9:$C$108,0)))*IF(ABS(1-(1-R149)*(1-INDEX('Facilities'!$R$9:$R$108,MATCH(C149,'Facilities'!$C$9:$C$108,0)))/(1+INDEX('Facilities'!$K$9:$K$108,MATCH(C149,'Facilities'!$C$9:$C$108,0))))&lt;0.000000001,IF(T149=1,MIN(1,AJ149),AJ149),(1-((1-R149)*(1-INDEX('Facilities'!$R$9:$R$108,MATCH(C149,'Facilities'!$C$9:$C$108,0)))/(1+INDEX('Facilities'!$K$9:$K$108,MATCH(C149,'Facilities'!$C$9:$C$108,0))))^IF(T149=1,MIN(1,AJ149),AJ149))/(1-(1-R149)*(1-INDEX('Facilities'!$R$9:$R$108,MATCH(C149,'Facilities'!$C$9:$C$108,0)))/(1+INDEX('Facilities'!$K$9:$K$108,MATCH(C149,'Facilities'!$C$9:$C$108,0)))))+AL149)))</x:f>
      </x:c>
      <x:c r="V149" s="23" t="str">
        <x:f>IF(C149="","",IF(AQ149&lt;&gt;"Ready","Unavailable",IF(C149="","",Q149*INDEX('Facilities'!$I$9:$I$108,MATCH(C149,'Facilities'!$C$9:$C$108,0))*(1-(1-S149)/(1+INDEX('Facilities'!$K$9:$K$108,MATCH(C149,'Facilities'!$C$9:$C$108,0)))^INDEX('Facilities'!$AK$9:$AK$108,MATCH(C149,'Facilities'!$C$9:$C$108,0)))*R149/(1+INDEX('Facilities'!$K$9:$K$108,MATCH(C149,'Facilities'!$C$9:$C$108,0)))*IF(ABS(1-(1-R149)*(1-0)/(1+INDEX('Facilities'!$K$9:$K$108,MATCH(C149,'Facilities'!$C$9:$C$108,0))))&lt;0.000000001,IF(T149=1,MIN(1,AJ149),AJ149),(1-((1-R149)*(1-0)/(1+INDEX('Facilities'!$K$9:$K$108,MATCH(C149,'Facilities'!$C$9:$C$108,0))))^IF(T149=1,MIN(1,AJ149),AJ149))/(1-(1-R149)*(1-0)/(1+INDEX('Facilities'!$K$9:$K$108,MATCH(C149,'Facilities'!$C$9:$C$108,0))))))))</x:f>
      </x:c>
      <x:c r="W149" s="21" t="str">
        <x:f>IF(C149="","",IFERROR(U49,"Unavailable"))</x:f>
      </x:c>
      <x:c r="X149" s="21" t="str">
        <x:f>IF(C149="","",IFERROR(V49,"Unavailable"))</x:f>
      </x:c>
      <x:c r="Y149" s="21" t="str">
        <x:f>IF(C149="","",IF(AQ149&lt;&gt;"Ready","Unavailable",IF(C149="","",U149-W149+V149-X149+N149+AG149)))</x:f>
      </x:c>
      <x:c r="Z149" s="23" t="str">
        <x:f>IF(C149="","",IF(AQ149&lt;&gt;"Ready","Unavailable",IF(C149="","",(G149+O149+L149)/2*INDEX('Facilities'!$T$9:$T$108,MATCH(C149,'Facilities'!$C$9:$C$108,0))+AG149)))</x:f>
      </x:c>
      <x:c r="AA149" s="23" t="str">
        <x:f>IF(C149="","",IF(AQ149&lt;&gt;"Ready","Unavailable",IF(C149="","",O149*(1-IF(INDEX('Facilities'!$AA$9:$AA$108,MATCH(C149,'Facilities'!$C$9:$C$108,0))=0,0,MIN(1,INDEX('Facilities'!$X$9:$X$108,MATCH(C149,'Facilities'!$C$9:$C$108,0))/INDEX('Facilities'!$AA$9:$AA$108,MATCH(C149,'Facilities'!$C$9:$C$108,0)))))*AF149+P149*(1-IF(INDEX('Facilities'!$AA$9:$AA$108,MATCH(C149,'Facilities'!$C$9:$C$108,0))=0,0,MIN(1,INDEX('Facilities'!$X$9:$X$108,MATCH(C149,'Facilities'!$C$9:$C$108,0))/INDEX('Facilities'!$AA$9:$AA$108,MATCH(C149,'Facilities'!$C$9:$C$108,0)))))*INDEX('Facilities'!$AJ$9:$AJ$108,MATCH(C149,'Facilities'!$C$9:$C$108,0))+Q149*INDEX('Facilities'!$AI$9:$AI$108,MATCH(C149,'Facilities'!$C$9:$C$108,0))*AF149)))</x:f>
      </x:c>
      <x:c r="AB149" s="21" t="str">
        <x:f>IF(C149="","",O149+P149-AD149)</x:f>
      </x:c>
      <x:c r="AC149" s="23" t="str">
        <x:f>IF(C149="","",IFERROR(IF(INDEX('Facilities'!$AD$9:$AD$108,MATCH(C149,'Facilities'!$C$9:$C$108,0))=3,0,IF(INDEX('Facilities'!$AN$9:$AN$108,MATCH(C149,'Facilities'!$C$9:$C$108,0))=0,-1,INDEX('Facilities'!$AN$9:$AN$108,MATCH(C149,'Facilities'!$C$9:$C$108,0)))),"Unavailable"))</x:f>
      </x:c>
      <x:c r="AD149" s="21" t="str">
        <x:f>IF(C149="","",IFERROR(G149+H149,"Unavailable"))</x:f>
      </x:c>
      <x:c r="AE149" s="21" t="str">
        <x:f>IF(C149="","",IF(AQ149&lt;&gt;"Ready","Unavailable",IF(C149="","",O149+P149-AD149-J149+K149+M149+N149)))</x:f>
      </x:c>
      <x:c r="AF149" s="30" t="str">
        <x:f>IF(C149="","",IFERROR(INDEX('Facilities'!$S$9:$S$108,MATCH(C149,'Facilities'!$C$9:$C$108,0))*'Scenario Paths'!G75,"Unavailable"))</x:f>
      </x:c>
      <x:c r="AG149" s="23" t="str">
        <x:f>IF(C149="","",IF(AQ149&lt;&gt;"Ready","Unavailable",IF(C149="","",IF(H149&gt;0,MAX(0,H149-AK149)*((1+INDEX('Facilities'!$K$9:$K$108,MATCH(C149,'Facilities'!$C$9:$C$108,0)))^MIN(1,MAX(0,AC149+INDEX('Facilities'!$AK$9:$AK$108,MATCH(C149,'Facilities'!$C$9:$C$108,0))-D149+1))-1),0))))</x:f>
      </x:c>
      <x:c r="AH149" s="21" t="str">
        <x:f>IF(C149="","",IF(AQ149&lt;&gt;"Ready","Unavailable",IF(C149="","",O149+P149)))</x:f>
      </x:c>
      <x:c r="AI149" s="21" t="str">
        <x:f>IF(C149="","",IF(AQ149&lt;&gt;"Ready","Unavailable",IF(C149="","",Z149-Y149)))</x:f>
      </x:c>
      <x:c r="AJ149" s="23" t="str">
        <x:f>IF(C149="","",IFERROR(MAX(0,INDEX('Facilities'!$J$9:$J$108,MATCH(C149,'Facilities'!$C$9:$C$108,0))-D149),"Unavailable"))</x:f>
      </x:c>
      <x:c r="AK149" s="21" t="str">
        <x:f>IF(C149="","",IFERROR(AL49,"Unavailable"))</x:f>
      </x:c>
      <x:c r="AL149" s="23" t="str">
        <x:f>IF(C149="","",IFERROR(IF(P149&gt;0,P149*(1-AM149/(1+INDEX('Facilities'!$K$9:$K$108,MATCH(C149,'Facilities'!$C$9:$C$108,0)))^MAX(0,AC149+INDEX('Facilities'!$AK$9:$AK$108,MATCH(C149,'Facilities'!$C$9:$C$108,0))-D149)),0),"Unavailable"))</x:f>
      </x:c>
      <x:c r="AM149" s="30" t="str">
        <x:f>IF(C149="","",IFERROR(INDEX('Facilities'!$AL$9:$AL$108,MATCH(C149,'Facilities'!$C$9:$C$108,0)),"Unavailable"))</x:f>
      </x:c>
      <x:c r="AN149" s="30" t="str">
        <x:f>IF(C149="","",IFERROR(INDEX(Credit!$T$109:$T$208,MATCH(F149,Credit!$C$109:$C$208,0)),"Unavailable"))</x:f>
      </x:c>
      <x:c r="AO149" s="23" t="str">
        <x:f>IF(C149="","",IF(AQ149&lt;&gt;"Ready","Unavailable",IF(C149="","",O149+P149+Q149*INDEX('Facilities'!$I$9:$I$108,MATCH(C149,'Facilities'!$C$9:$C$108,0)))))</x:f>
      </x:c>
      <x:c r="AP149" s="21" t="str">
        <x:f>IF(C149="","",IF(AQ149&lt;&gt;"Ready","Unavailable",IF(C149="","",AH149-U149)))</x:f>
      </x:c>
      <x:c r="AQ149" s="23" t="str">
        <x:f>IFERROR(IF(C149="","",IF(AND(INDEX('Facilities'!$AF$9:$AF$108,MATCH(C149,'Facilities'!$C$9:$C$108,0))="Ready",INDEX(Credit!$U$109:$U$208,MATCH(F149,Credit!$C$109:$C$208,0))="Ready",ISNUMBER(W149)),"Ready","Review inputs")),"Review inputs")</x:f>
      </x:c>
      <x:c r="AR149" s="23" t="str">
        <x:f>IF(C149="","",IF(AQ149&lt;&gt;"Ready","Unavailable",IF(C149="","",IF(O149=0,0,(IF(AJ149&lt;=1,O149,O149*INDEX('Facilities'!$R$9:$R$108,MATCH(C149,'Facilities'!$C$9:$C$108,0)))+O149*INDEX('Facilities'!$T$9:$T$108,MATCH(C149,'Facilities'!$C$9:$C$108,0)))/12))))</x:f>
      </x:c>
    </x:row>
    <x:row r="150" ht="26" customHeight="1">
      <x:c r="A150" s="1"/>
      <x:c r="B150" s="1"/>
      <x:c r="C150" s="9" t="str">
        <x:f>IF(Facilities!C50="","",Facilities!C50)</x:f>
      </x:c>
      <x:c r="D150" s="3" t="n">
        <x:v>2</x:v>
      </x:c>
      <x:c r="E150" s="9" t="n">
        <x:f>Settings!$F$18+1</x:f>
        <x:v>2028</x:v>
      </x:c>
      <x:c r="F150" s="9" t="str">
        <x:f>IF(C150="","",IFERROR(INDEX('Facilities'!$D$9:$D$108,MATCH(C150,'Facilities'!$C$9:$C$108,0)),"Unavailable"))</x:f>
      </x:c>
      <x:c r="G150" s="21" t="str">
        <x:f>IF(C150="","",IFERROR(O50,"Unavailable"))</x:f>
      </x:c>
      <x:c r="H150" s="21" t="str">
        <x:f>IF(C150="","",IFERROR(P50,"Unavailable"))</x:f>
      </x:c>
      <x:c r="I150" s="21" t="str">
        <x:f>IF(C150="","",IFERROR(Q50,"Unavailable"))</x:f>
      </x:c>
      <x:c r="J150" s="23" t="str">
        <x:f>IF(C150="","",IFERROR(IF(OR(H150&gt;0,AND(AC150&gt;=0,AC150&lt;D150),D150&gt;INDEX('Facilities'!$J$9:$J$108,MATCH(C150,'Facilities'!$C$9:$C$108,0))),0,I150*'Scenario Paths'!G81),"Unavailable"))</x:f>
      </x:c>
      <x:c r="K150" s="23" t="str">
        <x:f>IF(C150="","",IFERROR(IF(OR(H150&gt;0,AND(AC150&gt;=0,AC150=D150)),0,IF(D150&gt;=INDEX('Facilities'!$J$9:$J$108,MATCH(C150,'Facilities'!$C$9:$C$108,0)),G150+J150,MIN(G150+J150,G150*INDEX('Facilities'!$R$9:$R$108,MATCH(C150,'Facilities'!$C$9:$C$108,0))))),"Unavailable"))</x:f>
      </x:c>
      <x:c r="L150" s="21" t="str">
        <x:f>IF(C150="","",IFERROR(IF(AND(AC150=D150,AC150&gt;0),MAX(0,G150+J150-K150),0),"Unavailable"))</x:f>
      </x:c>
      <x:c r="M150" s="23" t="str">
        <x:f>IF(C150="","",IFERROR(IF(AND(AC150&gt;=0,D150&gt;=AC150+INDEX('Facilities'!$AK$9:$AK$108,MATCH(C150,'Facilities'!$C$9:$C$108,0))),(H150+L150)*AM150,0),"Unavailable"))</x:f>
      </x:c>
      <x:c r="N150" s="23" t="str">
        <x:f>IF(C150="","",IFERROR(IF(AND(AC150&gt;=0,D150&gt;=AC150+INDEX('Facilities'!$AK$9:$AK$108,MATCH(C150,'Facilities'!$C$9:$C$108,0))),H150+L150-M150,0),"Unavailable"))</x:f>
      </x:c>
      <x:c r="O150" s="21" t="str">
        <x:f>IF(C150="","",IFERROR(MAX(0,G150+J150-K150-L150),"Unavailable"))</x:f>
      </x:c>
      <x:c r="P150" s="21" t="str">
        <x:f>IF(C150="","",IFERROR(MAX(0,H150+L150-M150-N150),"Unavailable"))</x:f>
      </x:c>
      <x:c r="Q150" s="23" t="str">
        <x:f>IF(C150="","",IFERROR(IF(OR(D150&gt;=INDEX('Facilities'!$J$9:$J$108,MATCH(C150,'Facilities'!$C$9:$C$108,0)),AND(AC150&gt;=0,AC150&lt;=D150)),0,MAX(0,I150-J150)),"Unavailable"))</x:f>
      </x:c>
      <x:c r="R150" s="30" t="str">
        <x:f>IF(C150="","",IFERROR(INDEX(Credit!$Q$109:$Q$208,MATCH(F150,Credit!$C$109:$C$208,0)),"Unavailable"))</x:f>
      </x:c>
      <x:c r="S150" s="30" t="str">
        <x:f>IF(C150="","",IFERROR(INDEX(Credit!$R$109:$R$208,MATCH(F150,Credit!$C$109:$C$208,0)),"Unavailable"))</x:f>
      </x:c>
      <x:c r="T150" s="23" t="str">
        <x:f>IF(C150="","",IFERROR(IF(P150&gt;0,3,IF(OR(INDEX('Facilities'!$AD$9:$AD$108,MATCH(C150,'Facilities'!$C$9:$C$108,0))=2,AND(R150&gt;=INDEX('Facilities'!$L$9:$L$108,MATCH(C150,'Facilities'!$C$9:$C$108,0))*Settings!$F$19,R150-INDEX('Facilities'!$L$9:$L$108,MATCH(C150,'Facilities'!$C$9:$C$108,0))&gt;=Settings!$F$20)),2,1)),"Unavailable"))</x:f>
      </x:c>
      <x:c r="U150" s="23" t="str">
        <x:f>IF(C150="","",IF(AQ150&lt;&gt;"Ready","Unavailable",IF(C150="","",O150*(1-(1-S150)/(1+INDEX('Facilities'!$K$9:$K$108,MATCH(C150,'Facilities'!$C$9:$C$108,0)))^INDEX('Facilities'!$AK$9:$AK$108,MATCH(C150,'Facilities'!$C$9:$C$108,0)))*R150/(1+INDEX('Facilities'!$K$9:$K$108,MATCH(C150,'Facilities'!$C$9:$C$108,0)))*IF(ABS(1-(1-R150)*(1-INDEX('Facilities'!$R$9:$R$108,MATCH(C150,'Facilities'!$C$9:$C$108,0)))/(1+INDEX('Facilities'!$K$9:$K$108,MATCH(C150,'Facilities'!$C$9:$C$108,0))))&lt;0.000000001,IF(T150=1,MIN(1,AJ150),AJ150),(1-((1-R150)*(1-INDEX('Facilities'!$R$9:$R$108,MATCH(C150,'Facilities'!$C$9:$C$108,0)))/(1+INDEX('Facilities'!$K$9:$K$108,MATCH(C150,'Facilities'!$C$9:$C$108,0))))^IF(T150=1,MIN(1,AJ150),AJ150))/(1-(1-R150)*(1-INDEX('Facilities'!$R$9:$R$108,MATCH(C150,'Facilities'!$C$9:$C$108,0)))/(1+INDEX('Facilities'!$K$9:$K$108,MATCH(C150,'Facilities'!$C$9:$C$108,0)))))+AL150)))</x:f>
      </x:c>
      <x:c r="V150" s="23" t="str">
        <x:f>IF(C150="","",IF(AQ150&lt;&gt;"Ready","Unavailable",IF(C150="","",Q150*INDEX('Facilities'!$I$9:$I$108,MATCH(C150,'Facilities'!$C$9:$C$108,0))*(1-(1-S150)/(1+INDEX('Facilities'!$K$9:$K$108,MATCH(C150,'Facilities'!$C$9:$C$108,0)))^INDEX('Facilities'!$AK$9:$AK$108,MATCH(C150,'Facilities'!$C$9:$C$108,0)))*R150/(1+INDEX('Facilities'!$K$9:$K$108,MATCH(C150,'Facilities'!$C$9:$C$108,0)))*IF(ABS(1-(1-R150)*(1-0)/(1+INDEX('Facilities'!$K$9:$K$108,MATCH(C150,'Facilities'!$C$9:$C$108,0))))&lt;0.000000001,IF(T150=1,MIN(1,AJ150),AJ150),(1-((1-R150)*(1-0)/(1+INDEX('Facilities'!$K$9:$K$108,MATCH(C150,'Facilities'!$C$9:$C$108,0))))^IF(T150=1,MIN(1,AJ150),AJ150))/(1-(1-R150)*(1-0)/(1+INDEX('Facilities'!$K$9:$K$108,MATCH(C150,'Facilities'!$C$9:$C$108,0))))))))</x:f>
      </x:c>
      <x:c r="W150" s="21" t="str">
        <x:f>IF(C150="","",IFERROR(U50,"Unavailable"))</x:f>
      </x:c>
      <x:c r="X150" s="21" t="str">
        <x:f>IF(C150="","",IFERROR(V50,"Unavailable"))</x:f>
      </x:c>
      <x:c r="Y150" s="21" t="str">
        <x:f>IF(C150="","",IF(AQ150&lt;&gt;"Ready","Unavailable",IF(C150="","",U150-W150+V150-X150+N150+AG150)))</x:f>
      </x:c>
      <x:c r="Z150" s="23" t="str">
        <x:f>IF(C150="","",IF(AQ150&lt;&gt;"Ready","Unavailable",IF(C150="","",(G150+O150+L150)/2*INDEX('Facilities'!$T$9:$T$108,MATCH(C150,'Facilities'!$C$9:$C$108,0))+AG150)))</x:f>
      </x:c>
      <x:c r="AA150" s="23" t="str">
        <x:f>IF(C150="","",IF(AQ150&lt;&gt;"Ready","Unavailable",IF(C150="","",O150*(1-IF(INDEX('Facilities'!$AA$9:$AA$108,MATCH(C150,'Facilities'!$C$9:$C$108,0))=0,0,MIN(1,INDEX('Facilities'!$X$9:$X$108,MATCH(C150,'Facilities'!$C$9:$C$108,0))/INDEX('Facilities'!$AA$9:$AA$108,MATCH(C150,'Facilities'!$C$9:$C$108,0)))))*AF150+P150*(1-IF(INDEX('Facilities'!$AA$9:$AA$108,MATCH(C150,'Facilities'!$C$9:$C$108,0))=0,0,MIN(1,INDEX('Facilities'!$X$9:$X$108,MATCH(C150,'Facilities'!$C$9:$C$108,0))/INDEX('Facilities'!$AA$9:$AA$108,MATCH(C150,'Facilities'!$C$9:$C$108,0)))))*INDEX('Facilities'!$AJ$9:$AJ$108,MATCH(C150,'Facilities'!$C$9:$C$108,0))+Q150*INDEX('Facilities'!$AI$9:$AI$108,MATCH(C150,'Facilities'!$C$9:$C$108,0))*AF150)))</x:f>
      </x:c>
      <x:c r="AB150" s="21" t="str">
        <x:f>IF(C150="","",O150+P150-AD150)</x:f>
      </x:c>
      <x:c r="AC150" s="23" t="str">
        <x:f>IF(C150="","",IFERROR(IF(INDEX('Facilities'!$AD$9:$AD$108,MATCH(C150,'Facilities'!$C$9:$C$108,0))=3,0,IF(INDEX('Facilities'!$AN$9:$AN$108,MATCH(C150,'Facilities'!$C$9:$C$108,0))=0,-1,INDEX('Facilities'!$AN$9:$AN$108,MATCH(C150,'Facilities'!$C$9:$C$108,0)))),"Unavailable"))</x:f>
      </x:c>
      <x:c r="AD150" s="21" t="str">
        <x:f>IF(C150="","",IFERROR(G150+H150,"Unavailable"))</x:f>
      </x:c>
      <x:c r="AE150" s="21" t="str">
        <x:f>IF(C150="","",IF(AQ150&lt;&gt;"Ready","Unavailable",IF(C150="","",O150+P150-AD150-J150+K150+M150+N150)))</x:f>
      </x:c>
      <x:c r="AF150" s="30" t="str">
        <x:f>IF(C150="","",IFERROR(INDEX('Facilities'!$S$9:$S$108,MATCH(C150,'Facilities'!$C$9:$C$108,0))*'Scenario Paths'!G75,"Unavailable"))</x:f>
      </x:c>
      <x:c r="AG150" s="23" t="str">
        <x:f>IF(C150="","",IF(AQ150&lt;&gt;"Ready","Unavailable",IF(C150="","",IF(H150&gt;0,MAX(0,H150-AK150)*((1+INDEX('Facilities'!$K$9:$K$108,MATCH(C150,'Facilities'!$C$9:$C$108,0)))^MIN(1,MAX(0,AC150+INDEX('Facilities'!$AK$9:$AK$108,MATCH(C150,'Facilities'!$C$9:$C$108,0))-D150+1))-1),0))))</x:f>
      </x:c>
      <x:c r="AH150" s="21" t="str">
        <x:f>IF(C150="","",IF(AQ150&lt;&gt;"Ready","Unavailable",IF(C150="","",O150+P150)))</x:f>
      </x:c>
      <x:c r="AI150" s="21" t="str">
        <x:f>IF(C150="","",IF(AQ150&lt;&gt;"Ready","Unavailable",IF(C150="","",Z150-Y150)))</x:f>
      </x:c>
      <x:c r="AJ150" s="23" t="str">
        <x:f>IF(C150="","",IFERROR(MAX(0,INDEX('Facilities'!$J$9:$J$108,MATCH(C150,'Facilities'!$C$9:$C$108,0))-D150),"Unavailable"))</x:f>
      </x:c>
      <x:c r="AK150" s="21" t="str">
        <x:f>IF(C150="","",IFERROR(AL50,"Unavailable"))</x:f>
      </x:c>
      <x:c r="AL150" s="23" t="str">
        <x:f>IF(C150="","",IFERROR(IF(P150&gt;0,P150*(1-AM150/(1+INDEX('Facilities'!$K$9:$K$108,MATCH(C150,'Facilities'!$C$9:$C$108,0)))^MAX(0,AC150+INDEX('Facilities'!$AK$9:$AK$108,MATCH(C150,'Facilities'!$C$9:$C$108,0))-D150)),0),"Unavailable"))</x:f>
      </x:c>
      <x:c r="AM150" s="30" t="str">
        <x:f>IF(C150="","",IFERROR(INDEX('Facilities'!$AL$9:$AL$108,MATCH(C150,'Facilities'!$C$9:$C$108,0)),"Unavailable"))</x:f>
      </x:c>
      <x:c r="AN150" s="30" t="str">
        <x:f>IF(C150="","",IFERROR(INDEX(Credit!$T$109:$T$208,MATCH(F150,Credit!$C$109:$C$208,0)),"Unavailable"))</x:f>
      </x:c>
      <x:c r="AO150" s="23" t="str">
        <x:f>IF(C150="","",IF(AQ150&lt;&gt;"Ready","Unavailable",IF(C150="","",O150+P150+Q150*INDEX('Facilities'!$I$9:$I$108,MATCH(C150,'Facilities'!$C$9:$C$108,0)))))</x:f>
      </x:c>
      <x:c r="AP150" s="21" t="str">
        <x:f>IF(C150="","",IF(AQ150&lt;&gt;"Ready","Unavailable",IF(C150="","",AH150-U150)))</x:f>
      </x:c>
      <x:c r="AQ150" s="23" t="str">
        <x:f>IFERROR(IF(C150="","",IF(AND(INDEX('Facilities'!$AF$9:$AF$108,MATCH(C150,'Facilities'!$C$9:$C$108,0))="Ready",INDEX(Credit!$U$109:$U$208,MATCH(F150,Credit!$C$109:$C$208,0))="Ready",ISNUMBER(W150)),"Ready","Review inputs")),"Review inputs")</x:f>
      </x:c>
      <x:c r="AR150" s="23" t="str">
        <x:f>IF(C150="","",IF(AQ150&lt;&gt;"Ready","Unavailable",IF(C150="","",IF(O150=0,0,(IF(AJ150&lt;=1,O150,O150*INDEX('Facilities'!$R$9:$R$108,MATCH(C150,'Facilities'!$C$9:$C$108,0)))+O150*INDEX('Facilities'!$T$9:$T$108,MATCH(C150,'Facilities'!$C$9:$C$108,0)))/12))))</x:f>
      </x:c>
    </x:row>
    <x:row r="151" ht="26" customHeight="1">
      <x:c r="A151" s="1"/>
      <x:c r="B151" s="1"/>
      <x:c r="C151" s="9" t="str">
        <x:f>IF(Facilities!C51="","",Facilities!C51)</x:f>
      </x:c>
      <x:c r="D151" s="3" t="n">
        <x:v>2</x:v>
      </x:c>
      <x:c r="E151" s="9" t="n">
        <x:f>Settings!$F$18+1</x:f>
        <x:v>2028</x:v>
      </x:c>
      <x:c r="F151" s="9" t="str">
        <x:f>IF(C151="","",IFERROR(INDEX('Facilities'!$D$9:$D$108,MATCH(C151,'Facilities'!$C$9:$C$108,0)),"Unavailable"))</x:f>
      </x:c>
      <x:c r="G151" s="21" t="str">
        <x:f>IF(C151="","",IFERROR(O51,"Unavailable"))</x:f>
      </x:c>
      <x:c r="H151" s="21" t="str">
        <x:f>IF(C151="","",IFERROR(P51,"Unavailable"))</x:f>
      </x:c>
      <x:c r="I151" s="21" t="str">
        <x:f>IF(C151="","",IFERROR(Q51,"Unavailable"))</x:f>
      </x:c>
      <x:c r="J151" s="23" t="str">
        <x:f>IF(C151="","",IFERROR(IF(OR(H151&gt;0,AND(AC151&gt;=0,AC151&lt;D151),D151&gt;INDEX('Facilities'!$J$9:$J$108,MATCH(C151,'Facilities'!$C$9:$C$108,0))),0,I151*'Scenario Paths'!G81),"Unavailable"))</x:f>
      </x:c>
      <x:c r="K151" s="23" t="str">
        <x:f>IF(C151="","",IFERROR(IF(OR(H151&gt;0,AND(AC151&gt;=0,AC151=D151)),0,IF(D151&gt;=INDEX('Facilities'!$J$9:$J$108,MATCH(C151,'Facilities'!$C$9:$C$108,0)),G151+J151,MIN(G151+J151,G151*INDEX('Facilities'!$R$9:$R$108,MATCH(C151,'Facilities'!$C$9:$C$108,0))))),"Unavailable"))</x:f>
      </x:c>
      <x:c r="L151" s="21" t="str">
        <x:f>IF(C151="","",IFERROR(IF(AND(AC151=D151,AC151&gt;0),MAX(0,G151+J151-K151),0),"Unavailable"))</x:f>
      </x:c>
      <x:c r="M151" s="23" t="str">
        <x:f>IF(C151="","",IFERROR(IF(AND(AC151&gt;=0,D151&gt;=AC151+INDEX('Facilities'!$AK$9:$AK$108,MATCH(C151,'Facilities'!$C$9:$C$108,0))),(H151+L151)*AM151,0),"Unavailable"))</x:f>
      </x:c>
      <x:c r="N151" s="23" t="str">
        <x:f>IF(C151="","",IFERROR(IF(AND(AC151&gt;=0,D151&gt;=AC151+INDEX('Facilities'!$AK$9:$AK$108,MATCH(C151,'Facilities'!$C$9:$C$108,0))),H151+L151-M151,0),"Unavailable"))</x:f>
      </x:c>
      <x:c r="O151" s="21" t="str">
        <x:f>IF(C151="","",IFERROR(MAX(0,G151+J151-K151-L151),"Unavailable"))</x:f>
      </x:c>
      <x:c r="P151" s="21" t="str">
        <x:f>IF(C151="","",IFERROR(MAX(0,H151+L151-M151-N151),"Unavailable"))</x:f>
      </x:c>
      <x:c r="Q151" s="23" t="str">
        <x:f>IF(C151="","",IFERROR(IF(OR(D151&gt;=INDEX('Facilities'!$J$9:$J$108,MATCH(C151,'Facilities'!$C$9:$C$108,0)),AND(AC151&gt;=0,AC151&lt;=D151)),0,MAX(0,I151-J151)),"Unavailable"))</x:f>
      </x:c>
      <x:c r="R151" s="30" t="str">
        <x:f>IF(C151="","",IFERROR(INDEX(Credit!$Q$109:$Q$208,MATCH(F151,Credit!$C$109:$C$208,0)),"Unavailable"))</x:f>
      </x:c>
      <x:c r="S151" s="30" t="str">
        <x:f>IF(C151="","",IFERROR(INDEX(Credit!$R$109:$R$208,MATCH(F151,Credit!$C$109:$C$208,0)),"Unavailable"))</x:f>
      </x:c>
      <x:c r="T151" s="23" t="str">
        <x:f>IF(C151="","",IFERROR(IF(P151&gt;0,3,IF(OR(INDEX('Facilities'!$AD$9:$AD$108,MATCH(C151,'Facilities'!$C$9:$C$108,0))=2,AND(R151&gt;=INDEX('Facilities'!$L$9:$L$108,MATCH(C151,'Facilities'!$C$9:$C$108,0))*Settings!$F$19,R151-INDEX('Facilities'!$L$9:$L$108,MATCH(C151,'Facilities'!$C$9:$C$108,0))&gt;=Settings!$F$20)),2,1)),"Unavailable"))</x:f>
      </x:c>
      <x:c r="U151" s="23" t="str">
        <x:f>IF(C151="","",IF(AQ151&lt;&gt;"Ready","Unavailable",IF(C151="","",O151*(1-(1-S151)/(1+INDEX('Facilities'!$K$9:$K$108,MATCH(C151,'Facilities'!$C$9:$C$108,0)))^INDEX('Facilities'!$AK$9:$AK$108,MATCH(C151,'Facilities'!$C$9:$C$108,0)))*R151/(1+INDEX('Facilities'!$K$9:$K$108,MATCH(C151,'Facilities'!$C$9:$C$108,0)))*IF(ABS(1-(1-R151)*(1-INDEX('Facilities'!$R$9:$R$108,MATCH(C151,'Facilities'!$C$9:$C$108,0)))/(1+INDEX('Facilities'!$K$9:$K$108,MATCH(C151,'Facilities'!$C$9:$C$108,0))))&lt;0.000000001,IF(T151=1,MIN(1,AJ151),AJ151),(1-((1-R151)*(1-INDEX('Facilities'!$R$9:$R$108,MATCH(C151,'Facilities'!$C$9:$C$108,0)))/(1+INDEX('Facilities'!$K$9:$K$108,MATCH(C151,'Facilities'!$C$9:$C$108,0))))^IF(T151=1,MIN(1,AJ151),AJ151))/(1-(1-R151)*(1-INDEX('Facilities'!$R$9:$R$108,MATCH(C151,'Facilities'!$C$9:$C$108,0)))/(1+INDEX('Facilities'!$K$9:$K$108,MATCH(C151,'Facilities'!$C$9:$C$108,0)))))+AL151)))</x:f>
      </x:c>
      <x:c r="V151" s="23" t="str">
        <x:f>IF(C151="","",IF(AQ151&lt;&gt;"Ready","Unavailable",IF(C151="","",Q151*INDEX('Facilities'!$I$9:$I$108,MATCH(C151,'Facilities'!$C$9:$C$108,0))*(1-(1-S151)/(1+INDEX('Facilities'!$K$9:$K$108,MATCH(C151,'Facilities'!$C$9:$C$108,0)))^INDEX('Facilities'!$AK$9:$AK$108,MATCH(C151,'Facilities'!$C$9:$C$108,0)))*R151/(1+INDEX('Facilities'!$K$9:$K$108,MATCH(C151,'Facilities'!$C$9:$C$108,0)))*IF(ABS(1-(1-R151)*(1-0)/(1+INDEX('Facilities'!$K$9:$K$108,MATCH(C151,'Facilities'!$C$9:$C$108,0))))&lt;0.000000001,IF(T151=1,MIN(1,AJ151),AJ151),(1-((1-R151)*(1-0)/(1+INDEX('Facilities'!$K$9:$K$108,MATCH(C151,'Facilities'!$C$9:$C$108,0))))^IF(T151=1,MIN(1,AJ151),AJ151))/(1-(1-R151)*(1-0)/(1+INDEX('Facilities'!$K$9:$K$108,MATCH(C151,'Facilities'!$C$9:$C$108,0))))))))</x:f>
      </x:c>
      <x:c r="W151" s="21" t="str">
        <x:f>IF(C151="","",IFERROR(U51,"Unavailable"))</x:f>
      </x:c>
      <x:c r="X151" s="21" t="str">
        <x:f>IF(C151="","",IFERROR(V51,"Unavailable"))</x:f>
      </x:c>
      <x:c r="Y151" s="21" t="str">
        <x:f>IF(C151="","",IF(AQ151&lt;&gt;"Ready","Unavailable",IF(C151="","",U151-W151+V151-X151+N151+AG151)))</x:f>
      </x:c>
      <x:c r="Z151" s="23" t="str">
        <x:f>IF(C151="","",IF(AQ151&lt;&gt;"Ready","Unavailable",IF(C151="","",(G151+O151+L151)/2*INDEX('Facilities'!$T$9:$T$108,MATCH(C151,'Facilities'!$C$9:$C$108,0))+AG151)))</x:f>
      </x:c>
      <x:c r="AA151" s="23" t="str">
        <x:f>IF(C151="","",IF(AQ151&lt;&gt;"Ready","Unavailable",IF(C151="","",O151*(1-IF(INDEX('Facilities'!$AA$9:$AA$108,MATCH(C151,'Facilities'!$C$9:$C$108,0))=0,0,MIN(1,INDEX('Facilities'!$X$9:$X$108,MATCH(C151,'Facilities'!$C$9:$C$108,0))/INDEX('Facilities'!$AA$9:$AA$108,MATCH(C151,'Facilities'!$C$9:$C$108,0)))))*AF151+P151*(1-IF(INDEX('Facilities'!$AA$9:$AA$108,MATCH(C151,'Facilities'!$C$9:$C$108,0))=0,0,MIN(1,INDEX('Facilities'!$X$9:$X$108,MATCH(C151,'Facilities'!$C$9:$C$108,0))/INDEX('Facilities'!$AA$9:$AA$108,MATCH(C151,'Facilities'!$C$9:$C$108,0)))))*INDEX('Facilities'!$AJ$9:$AJ$108,MATCH(C151,'Facilities'!$C$9:$C$108,0))+Q151*INDEX('Facilities'!$AI$9:$AI$108,MATCH(C151,'Facilities'!$C$9:$C$108,0))*AF151)))</x:f>
      </x:c>
      <x:c r="AB151" s="21" t="str">
        <x:f>IF(C151="","",O151+P151-AD151)</x:f>
      </x:c>
      <x:c r="AC151" s="23" t="str">
        <x:f>IF(C151="","",IFERROR(IF(INDEX('Facilities'!$AD$9:$AD$108,MATCH(C151,'Facilities'!$C$9:$C$108,0))=3,0,IF(INDEX('Facilities'!$AN$9:$AN$108,MATCH(C151,'Facilities'!$C$9:$C$108,0))=0,-1,INDEX('Facilities'!$AN$9:$AN$108,MATCH(C151,'Facilities'!$C$9:$C$108,0)))),"Unavailable"))</x:f>
      </x:c>
      <x:c r="AD151" s="21" t="str">
        <x:f>IF(C151="","",IFERROR(G151+H151,"Unavailable"))</x:f>
      </x:c>
      <x:c r="AE151" s="21" t="str">
        <x:f>IF(C151="","",IF(AQ151&lt;&gt;"Ready","Unavailable",IF(C151="","",O151+P151-AD151-J151+K151+M151+N151)))</x:f>
      </x:c>
      <x:c r="AF151" s="30" t="str">
        <x:f>IF(C151="","",IFERROR(INDEX('Facilities'!$S$9:$S$108,MATCH(C151,'Facilities'!$C$9:$C$108,0))*'Scenario Paths'!G75,"Unavailable"))</x:f>
      </x:c>
      <x:c r="AG151" s="23" t="str">
        <x:f>IF(C151="","",IF(AQ151&lt;&gt;"Ready","Unavailable",IF(C151="","",IF(H151&gt;0,MAX(0,H151-AK151)*((1+INDEX('Facilities'!$K$9:$K$108,MATCH(C151,'Facilities'!$C$9:$C$108,0)))^MIN(1,MAX(0,AC151+INDEX('Facilities'!$AK$9:$AK$108,MATCH(C151,'Facilities'!$C$9:$C$108,0))-D151+1))-1),0))))</x:f>
      </x:c>
      <x:c r="AH151" s="21" t="str">
        <x:f>IF(C151="","",IF(AQ151&lt;&gt;"Ready","Unavailable",IF(C151="","",O151+P151)))</x:f>
      </x:c>
      <x:c r="AI151" s="21" t="str">
        <x:f>IF(C151="","",IF(AQ151&lt;&gt;"Ready","Unavailable",IF(C151="","",Z151-Y151)))</x:f>
      </x:c>
      <x:c r="AJ151" s="23" t="str">
        <x:f>IF(C151="","",IFERROR(MAX(0,INDEX('Facilities'!$J$9:$J$108,MATCH(C151,'Facilities'!$C$9:$C$108,0))-D151),"Unavailable"))</x:f>
      </x:c>
      <x:c r="AK151" s="21" t="str">
        <x:f>IF(C151="","",IFERROR(AL51,"Unavailable"))</x:f>
      </x:c>
      <x:c r="AL151" s="23" t="str">
        <x:f>IF(C151="","",IFERROR(IF(P151&gt;0,P151*(1-AM151/(1+INDEX('Facilities'!$K$9:$K$108,MATCH(C151,'Facilities'!$C$9:$C$108,0)))^MAX(0,AC151+INDEX('Facilities'!$AK$9:$AK$108,MATCH(C151,'Facilities'!$C$9:$C$108,0))-D151)),0),"Unavailable"))</x:f>
      </x:c>
      <x:c r="AM151" s="30" t="str">
        <x:f>IF(C151="","",IFERROR(INDEX('Facilities'!$AL$9:$AL$108,MATCH(C151,'Facilities'!$C$9:$C$108,0)),"Unavailable"))</x:f>
      </x:c>
      <x:c r="AN151" s="30" t="str">
        <x:f>IF(C151="","",IFERROR(INDEX(Credit!$T$109:$T$208,MATCH(F151,Credit!$C$109:$C$208,0)),"Unavailable"))</x:f>
      </x:c>
      <x:c r="AO151" s="23" t="str">
        <x:f>IF(C151="","",IF(AQ151&lt;&gt;"Ready","Unavailable",IF(C151="","",O151+P151+Q151*INDEX('Facilities'!$I$9:$I$108,MATCH(C151,'Facilities'!$C$9:$C$108,0)))))</x:f>
      </x:c>
      <x:c r="AP151" s="21" t="str">
        <x:f>IF(C151="","",IF(AQ151&lt;&gt;"Ready","Unavailable",IF(C151="","",AH151-U151)))</x:f>
      </x:c>
      <x:c r="AQ151" s="23" t="str">
        <x:f>IFERROR(IF(C151="","",IF(AND(INDEX('Facilities'!$AF$9:$AF$108,MATCH(C151,'Facilities'!$C$9:$C$108,0))="Ready",INDEX(Credit!$U$109:$U$208,MATCH(F151,Credit!$C$109:$C$208,0))="Ready",ISNUMBER(W151)),"Ready","Review inputs")),"Review inputs")</x:f>
      </x:c>
      <x:c r="AR151" s="23" t="str">
        <x:f>IF(C151="","",IF(AQ151&lt;&gt;"Ready","Unavailable",IF(C151="","",IF(O151=0,0,(IF(AJ151&lt;=1,O151,O151*INDEX('Facilities'!$R$9:$R$108,MATCH(C151,'Facilities'!$C$9:$C$108,0)))+O151*INDEX('Facilities'!$T$9:$T$108,MATCH(C151,'Facilities'!$C$9:$C$108,0)))/12))))</x:f>
      </x:c>
    </x:row>
    <x:row r="152" ht="26" customHeight="1">
      <x:c r="A152" s="1"/>
      <x:c r="B152" s="1"/>
      <x:c r="C152" s="9" t="str">
        <x:f>IF(Facilities!C52="","",Facilities!C52)</x:f>
      </x:c>
      <x:c r="D152" s="3" t="n">
        <x:v>2</x:v>
      </x:c>
      <x:c r="E152" s="9" t="n">
        <x:f>Settings!$F$18+1</x:f>
        <x:v>2028</x:v>
      </x:c>
      <x:c r="F152" s="9" t="str">
        <x:f>IF(C152="","",IFERROR(INDEX('Facilities'!$D$9:$D$108,MATCH(C152,'Facilities'!$C$9:$C$108,0)),"Unavailable"))</x:f>
      </x:c>
      <x:c r="G152" s="21" t="str">
        <x:f>IF(C152="","",IFERROR(O52,"Unavailable"))</x:f>
      </x:c>
      <x:c r="H152" s="21" t="str">
        <x:f>IF(C152="","",IFERROR(P52,"Unavailable"))</x:f>
      </x:c>
      <x:c r="I152" s="21" t="str">
        <x:f>IF(C152="","",IFERROR(Q52,"Unavailable"))</x:f>
      </x:c>
      <x:c r="J152" s="23" t="str">
        <x:f>IF(C152="","",IFERROR(IF(OR(H152&gt;0,AND(AC152&gt;=0,AC152&lt;D152),D152&gt;INDEX('Facilities'!$J$9:$J$108,MATCH(C152,'Facilities'!$C$9:$C$108,0))),0,I152*'Scenario Paths'!G81),"Unavailable"))</x:f>
      </x:c>
      <x:c r="K152" s="23" t="str">
        <x:f>IF(C152="","",IFERROR(IF(OR(H152&gt;0,AND(AC152&gt;=0,AC152=D152)),0,IF(D152&gt;=INDEX('Facilities'!$J$9:$J$108,MATCH(C152,'Facilities'!$C$9:$C$108,0)),G152+J152,MIN(G152+J152,G152*INDEX('Facilities'!$R$9:$R$108,MATCH(C152,'Facilities'!$C$9:$C$108,0))))),"Unavailable"))</x:f>
      </x:c>
      <x:c r="L152" s="21" t="str">
        <x:f>IF(C152="","",IFERROR(IF(AND(AC152=D152,AC152&gt;0),MAX(0,G152+J152-K152),0),"Unavailable"))</x:f>
      </x:c>
      <x:c r="M152" s="23" t="str">
        <x:f>IF(C152="","",IFERROR(IF(AND(AC152&gt;=0,D152&gt;=AC152+INDEX('Facilities'!$AK$9:$AK$108,MATCH(C152,'Facilities'!$C$9:$C$108,0))),(H152+L152)*AM152,0),"Unavailable"))</x:f>
      </x:c>
      <x:c r="N152" s="23" t="str">
        <x:f>IF(C152="","",IFERROR(IF(AND(AC152&gt;=0,D152&gt;=AC152+INDEX('Facilities'!$AK$9:$AK$108,MATCH(C152,'Facilities'!$C$9:$C$108,0))),H152+L152-M152,0),"Unavailable"))</x:f>
      </x:c>
      <x:c r="O152" s="21" t="str">
        <x:f>IF(C152="","",IFERROR(MAX(0,G152+J152-K152-L152),"Unavailable"))</x:f>
      </x:c>
      <x:c r="P152" s="21" t="str">
        <x:f>IF(C152="","",IFERROR(MAX(0,H152+L152-M152-N152),"Unavailable"))</x:f>
      </x:c>
      <x:c r="Q152" s="23" t="str">
        <x:f>IF(C152="","",IFERROR(IF(OR(D152&gt;=INDEX('Facilities'!$J$9:$J$108,MATCH(C152,'Facilities'!$C$9:$C$108,0)),AND(AC152&gt;=0,AC152&lt;=D152)),0,MAX(0,I152-J152)),"Unavailable"))</x:f>
      </x:c>
      <x:c r="R152" s="30" t="str">
        <x:f>IF(C152="","",IFERROR(INDEX(Credit!$Q$109:$Q$208,MATCH(F152,Credit!$C$109:$C$208,0)),"Unavailable"))</x:f>
      </x:c>
      <x:c r="S152" s="30" t="str">
        <x:f>IF(C152="","",IFERROR(INDEX(Credit!$R$109:$R$208,MATCH(F152,Credit!$C$109:$C$208,0)),"Unavailable"))</x:f>
      </x:c>
      <x:c r="T152" s="23" t="str">
        <x:f>IF(C152="","",IFERROR(IF(P152&gt;0,3,IF(OR(INDEX('Facilities'!$AD$9:$AD$108,MATCH(C152,'Facilities'!$C$9:$C$108,0))=2,AND(R152&gt;=INDEX('Facilities'!$L$9:$L$108,MATCH(C152,'Facilities'!$C$9:$C$108,0))*Settings!$F$19,R152-INDEX('Facilities'!$L$9:$L$108,MATCH(C152,'Facilities'!$C$9:$C$108,0))&gt;=Settings!$F$20)),2,1)),"Unavailable"))</x:f>
      </x:c>
      <x:c r="U152" s="23" t="str">
        <x:f>IF(C152="","",IF(AQ152&lt;&gt;"Ready","Unavailable",IF(C152="","",O152*(1-(1-S152)/(1+INDEX('Facilities'!$K$9:$K$108,MATCH(C152,'Facilities'!$C$9:$C$108,0)))^INDEX('Facilities'!$AK$9:$AK$108,MATCH(C152,'Facilities'!$C$9:$C$108,0)))*R152/(1+INDEX('Facilities'!$K$9:$K$108,MATCH(C152,'Facilities'!$C$9:$C$108,0)))*IF(ABS(1-(1-R152)*(1-INDEX('Facilities'!$R$9:$R$108,MATCH(C152,'Facilities'!$C$9:$C$108,0)))/(1+INDEX('Facilities'!$K$9:$K$108,MATCH(C152,'Facilities'!$C$9:$C$108,0))))&lt;0.000000001,IF(T152=1,MIN(1,AJ152),AJ152),(1-((1-R152)*(1-INDEX('Facilities'!$R$9:$R$108,MATCH(C152,'Facilities'!$C$9:$C$108,0)))/(1+INDEX('Facilities'!$K$9:$K$108,MATCH(C152,'Facilities'!$C$9:$C$108,0))))^IF(T152=1,MIN(1,AJ152),AJ152))/(1-(1-R152)*(1-INDEX('Facilities'!$R$9:$R$108,MATCH(C152,'Facilities'!$C$9:$C$108,0)))/(1+INDEX('Facilities'!$K$9:$K$108,MATCH(C152,'Facilities'!$C$9:$C$108,0)))))+AL152)))</x:f>
      </x:c>
      <x:c r="V152" s="23" t="str">
        <x:f>IF(C152="","",IF(AQ152&lt;&gt;"Ready","Unavailable",IF(C152="","",Q152*INDEX('Facilities'!$I$9:$I$108,MATCH(C152,'Facilities'!$C$9:$C$108,0))*(1-(1-S152)/(1+INDEX('Facilities'!$K$9:$K$108,MATCH(C152,'Facilities'!$C$9:$C$108,0)))^INDEX('Facilities'!$AK$9:$AK$108,MATCH(C152,'Facilities'!$C$9:$C$108,0)))*R152/(1+INDEX('Facilities'!$K$9:$K$108,MATCH(C152,'Facilities'!$C$9:$C$108,0)))*IF(ABS(1-(1-R152)*(1-0)/(1+INDEX('Facilities'!$K$9:$K$108,MATCH(C152,'Facilities'!$C$9:$C$108,0))))&lt;0.000000001,IF(T152=1,MIN(1,AJ152),AJ152),(1-((1-R152)*(1-0)/(1+INDEX('Facilities'!$K$9:$K$108,MATCH(C152,'Facilities'!$C$9:$C$108,0))))^IF(T152=1,MIN(1,AJ152),AJ152))/(1-(1-R152)*(1-0)/(1+INDEX('Facilities'!$K$9:$K$108,MATCH(C152,'Facilities'!$C$9:$C$108,0))))))))</x:f>
      </x:c>
      <x:c r="W152" s="21" t="str">
        <x:f>IF(C152="","",IFERROR(U52,"Unavailable"))</x:f>
      </x:c>
      <x:c r="X152" s="21" t="str">
        <x:f>IF(C152="","",IFERROR(V52,"Unavailable"))</x:f>
      </x:c>
      <x:c r="Y152" s="21" t="str">
        <x:f>IF(C152="","",IF(AQ152&lt;&gt;"Ready","Unavailable",IF(C152="","",U152-W152+V152-X152+N152+AG152)))</x:f>
      </x:c>
      <x:c r="Z152" s="23" t="str">
        <x:f>IF(C152="","",IF(AQ152&lt;&gt;"Ready","Unavailable",IF(C152="","",(G152+O152+L152)/2*INDEX('Facilities'!$T$9:$T$108,MATCH(C152,'Facilities'!$C$9:$C$108,0))+AG152)))</x:f>
      </x:c>
      <x:c r="AA152" s="23" t="str">
        <x:f>IF(C152="","",IF(AQ152&lt;&gt;"Ready","Unavailable",IF(C152="","",O152*(1-IF(INDEX('Facilities'!$AA$9:$AA$108,MATCH(C152,'Facilities'!$C$9:$C$108,0))=0,0,MIN(1,INDEX('Facilities'!$X$9:$X$108,MATCH(C152,'Facilities'!$C$9:$C$108,0))/INDEX('Facilities'!$AA$9:$AA$108,MATCH(C152,'Facilities'!$C$9:$C$108,0)))))*AF152+P152*(1-IF(INDEX('Facilities'!$AA$9:$AA$108,MATCH(C152,'Facilities'!$C$9:$C$108,0))=0,0,MIN(1,INDEX('Facilities'!$X$9:$X$108,MATCH(C152,'Facilities'!$C$9:$C$108,0))/INDEX('Facilities'!$AA$9:$AA$108,MATCH(C152,'Facilities'!$C$9:$C$108,0)))))*INDEX('Facilities'!$AJ$9:$AJ$108,MATCH(C152,'Facilities'!$C$9:$C$108,0))+Q152*INDEX('Facilities'!$AI$9:$AI$108,MATCH(C152,'Facilities'!$C$9:$C$108,0))*AF152)))</x:f>
      </x:c>
      <x:c r="AB152" s="21" t="str">
        <x:f>IF(C152="","",O152+P152-AD152)</x:f>
      </x:c>
      <x:c r="AC152" s="23" t="str">
        <x:f>IF(C152="","",IFERROR(IF(INDEX('Facilities'!$AD$9:$AD$108,MATCH(C152,'Facilities'!$C$9:$C$108,0))=3,0,IF(INDEX('Facilities'!$AN$9:$AN$108,MATCH(C152,'Facilities'!$C$9:$C$108,0))=0,-1,INDEX('Facilities'!$AN$9:$AN$108,MATCH(C152,'Facilities'!$C$9:$C$108,0)))),"Unavailable"))</x:f>
      </x:c>
      <x:c r="AD152" s="21" t="str">
        <x:f>IF(C152="","",IFERROR(G152+H152,"Unavailable"))</x:f>
      </x:c>
      <x:c r="AE152" s="21" t="str">
        <x:f>IF(C152="","",IF(AQ152&lt;&gt;"Ready","Unavailable",IF(C152="","",O152+P152-AD152-J152+K152+M152+N152)))</x:f>
      </x:c>
      <x:c r="AF152" s="30" t="str">
        <x:f>IF(C152="","",IFERROR(INDEX('Facilities'!$S$9:$S$108,MATCH(C152,'Facilities'!$C$9:$C$108,0))*'Scenario Paths'!G75,"Unavailable"))</x:f>
      </x:c>
      <x:c r="AG152" s="23" t="str">
        <x:f>IF(C152="","",IF(AQ152&lt;&gt;"Ready","Unavailable",IF(C152="","",IF(H152&gt;0,MAX(0,H152-AK152)*((1+INDEX('Facilities'!$K$9:$K$108,MATCH(C152,'Facilities'!$C$9:$C$108,0)))^MIN(1,MAX(0,AC152+INDEX('Facilities'!$AK$9:$AK$108,MATCH(C152,'Facilities'!$C$9:$C$108,0))-D152+1))-1),0))))</x:f>
      </x:c>
      <x:c r="AH152" s="21" t="str">
        <x:f>IF(C152="","",IF(AQ152&lt;&gt;"Ready","Unavailable",IF(C152="","",O152+P152)))</x:f>
      </x:c>
      <x:c r="AI152" s="21" t="str">
        <x:f>IF(C152="","",IF(AQ152&lt;&gt;"Ready","Unavailable",IF(C152="","",Z152-Y152)))</x:f>
      </x:c>
      <x:c r="AJ152" s="23" t="str">
        <x:f>IF(C152="","",IFERROR(MAX(0,INDEX('Facilities'!$J$9:$J$108,MATCH(C152,'Facilities'!$C$9:$C$108,0))-D152),"Unavailable"))</x:f>
      </x:c>
      <x:c r="AK152" s="21" t="str">
        <x:f>IF(C152="","",IFERROR(AL52,"Unavailable"))</x:f>
      </x:c>
      <x:c r="AL152" s="23" t="str">
        <x:f>IF(C152="","",IFERROR(IF(P152&gt;0,P152*(1-AM152/(1+INDEX('Facilities'!$K$9:$K$108,MATCH(C152,'Facilities'!$C$9:$C$108,0)))^MAX(0,AC152+INDEX('Facilities'!$AK$9:$AK$108,MATCH(C152,'Facilities'!$C$9:$C$108,0))-D152)),0),"Unavailable"))</x:f>
      </x:c>
      <x:c r="AM152" s="30" t="str">
        <x:f>IF(C152="","",IFERROR(INDEX('Facilities'!$AL$9:$AL$108,MATCH(C152,'Facilities'!$C$9:$C$108,0)),"Unavailable"))</x:f>
      </x:c>
      <x:c r="AN152" s="30" t="str">
        <x:f>IF(C152="","",IFERROR(INDEX(Credit!$T$109:$T$208,MATCH(F152,Credit!$C$109:$C$208,0)),"Unavailable"))</x:f>
      </x:c>
      <x:c r="AO152" s="23" t="str">
        <x:f>IF(C152="","",IF(AQ152&lt;&gt;"Ready","Unavailable",IF(C152="","",O152+P152+Q152*INDEX('Facilities'!$I$9:$I$108,MATCH(C152,'Facilities'!$C$9:$C$108,0)))))</x:f>
      </x:c>
      <x:c r="AP152" s="21" t="str">
        <x:f>IF(C152="","",IF(AQ152&lt;&gt;"Ready","Unavailable",IF(C152="","",AH152-U152)))</x:f>
      </x:c>
      <x:c r="AQ152" s="23" t="str">
        <x:f>IFERROR(IF(C152="","",IF(AND(INDEX('Facilities'!$AF$9:$AF$108,MATCH(C152,'Facilities'!$C$9:$C$108,0))="Ready",INDEX(Credit!$U$109:$U$208,MATCH(F152,Credit!$C$109:$C$208,0))="Ready",ISNUMBER(W152)),"Ready","Review inputs")),"Review inputs")</x:f>
      </x:c>
      <x:c r="AR152" s="23" t="str">
        <x:f>IF(C152="","",IF(AQ152&lt;&gt;"Ready","Unavailable",IF(C152="","",IF(O152=0,0,(IF(AJ152&lt;=1,O152,O152*INDEX('Facilities'!$R$9:$R$108,MATCH(C152,'Facilities'!$C$9:$C$108,0)))+O152*INDEX('Facilities'!$T$9:$T$108,MATCH(C152,'Facilities'!$C$9:$C$108,0)))/12))))</x:f>
      </x:c>
    </x:row>
    <x:row r="153" ht="26" customHeight="1">
      <x:c r="A153" s="1"/>
      <x:c r="B153" s="1"/>
      <x:c r="C153" s="9" t="str">
        <x:f>IF(Facilities!C53="","",Facilities!C53)</x:f>
      </x:c>
      <x:c r="D153" s="3" t="n">
        <x:v>2</x:v>
      </x:c>
      <x:c r="E153" s="9" t="n">
        <x:f>Settings!$F$18+1</x:f>
        <x:v>2028</x:v>
      </x:c>
      <x:c r="F153" s="9" t="str">
        <x:f>IF(C153="","",IFERROR(INDEX('Facilities'!$D$9:$D$108,MATCH(C153,'Facilities'!$C$9:$C$108,0)),"Unavailable"))</x:f>
      </x:c>
      <x:c r="G153" s="21" t="str">
        <x:f>IF(C153="","",IFERROR(O53,"Unavailable"))</x:f>
      </x:c>
      <x:c r="H153" s="21" t="str">
        <x:f>IF(C153="","",IFERROR(P53,"Unavailable"))</x:f>
      </x:c>
      <x:c r="I153" s="21" t="str">
        <x:f>IF(C153="","",IFERROR(Q53,"Unavailable"))</x:f>
      </x:c>
      <x:c r="J153" s="23" t="str">
        <x:f>IF(C153="","",IFERROR(IF(OR(H153&gt;0,AND(AC153&gt;=0,AC153&lt;D153),D153&gt;INDEX('Facilities'!$J$9:$J$108,MATCH(C153,'Facilities'!$C$9:$C$108,0))),0,I153*'Scenario Paths'!G81),"Unavailable"))</x:f>
      </x:c>
      <x:c r="K153" s="23" t="str">
        <x:f>IF(C153="","",IFERROR(IF(OR(H153&gt;0,AND(AC153&gt;=0,AC153=D153)),0,IF(D153&gt;=INDEX('Facilities'!$J$9:$J$108,MATCH(C153,'Facilities'!$C$9:$C$108,0)),G153+J153,MIN(G153+J153,G153*INDEX('Facilities'!$R$9:$R$108,MATCH(C153,'Facilities'!$C$9:$C$108,0))))),"Unavailable"))</x:f>
      </x:c>
      <x:c r="L153" s="21" t="str">
        <x:f>IF(C153="","",IFERROR(IF(AND(AC153=D153,AC153&gt;0),MAX(0,G153+J153-K153),0),"Unavailable"))</x:f>
      </x:c>
      <x:c r="M153" s="23" t="str">
        <x:f>IF(C153="","",IFERROR(IF(AND(AC153&gt;=0,D153&gt;=AC153+INDEX('Facilities'!$AK$9:$AK$108,MATCH(C153,'Facilities'!$C$9:$C$108,0))),(H153+L153)*AM153,0),"Unavailable"))</x:f>
      </x:c>
      <x:c r="N153" s="23" t="str">
        <x:f>IF(C153="","",IFERROR(IF(AND(AC153&gt;=0,D153&gt;=AC153+INDEX('Facilities'!$AK$9:$AK$108,MATCH(C153,'Facilities'!$C$9:$C$108,0))),H153+L153-M153,0),"Unavailable"))</x:f>
      </x:c>
      <x:c r="O153" s="21" t="str">
        <x:f>IF(C153="","",IFERROR(MAX(0,G153+J153-K153-L153),"Unavailable"))</x:f>
      </x:c>
      <x:c r="P153" s="21" t="str">
        <x:f>IF(C153="","",IFERROR(MAX(0,H153+L153-M153-N153),"Unavailable"))</x:f>
      </x:c>
      <x:c r="Q153" s="23" t="str">
        <x:f>IF(C153="","",IFERROR(IF(OR(D153&gt;=INDEX('Facilities'!$J$9:$J$108,MATCH(C153,'Facilities'!$C$9:$C$108,0)),AND(AC153&gt;=0,AC153&lt;=D153)),0,MAX(0,I153-J153)),"Unavailable"))</x:f>
      </x:c>
      <x:c r="R153" s="30" t="str">
        <x:f>IF(C153="","",IFERROR(INDEX(Credit!$Q$109:$Q$208,MATCH(F153,Credit!$C$109:$C$208,0)),"Unavailable"))</x:f>
      </x:c>
      <x:c r="S153" s="30" t="str">
        <x:f>IF(C153="","",IFERROR(INDEX(Credit!$R$109:$R$208,MATCH(F153,Credit!$C$109:$C$208,0)),"Unavailable"))</x:f>
      </x:c>
      <x:c r="T153" s="23" t="str">
        <x:f>IF(C153="","",IFERROR(IF(P153&gt;0,3,IF(OR(INDEX('Facilities'!$AD$9:$AD$108,MATCH(C153,'Facilities'!$C$9:$C$108,0))=2,AND(R153&gt;=INDEX('Facilities'!$L$9:$L$108,MATCH(C153,'Facilities'!$C$9:$C$108,0))*Settings!$F$19,R153-INDEX('Facilities'!$L$9:$L$108,MATCH(C153,'Facilities'!$C$9:$C$108,0))&gt;=Settings!$F$20)),2,1)),"Unavailable"))</x:f>
      </x:c>
      <x:c r="U153" s="23" t="str">
        <x:f>IF(C153="","",IF(AQ153&lt;&gt;"Ready","Unavailable",IF(C153="","",O153*(1-(1-S153)/(1+INDEX('Facilities'!$K$9:$K$108,MATCH(C153,'Facilities'!$C$9:$C$108,0)))^INDEX('Facilities'!$AK$9:$AK$108,MATCH(C153,'Facilities'!$C$9:$C$108,0)))*R153/(1+INDEX('Facilities'!$K$9:$K$108,MATCH(C153,'Facilities'!$C$9:$C$108,0)))*IF(ABS(1-(1-R153)*(1-INDEX('Facilities'!$R$9:$R$108,MATCH(C153,'Facilities'!$C$9:$C$108,0)))/(1+INDEX('Facilities'!$K$9:$K$108,MATCH(C153,'Facilities'!$C$9:$C$108,0))))&lt;0.000000001,IF(T153=1,MIN(1,AJ153),AJ153),(1-((1-R153)*(1-INDEX('Facilities'!$R$9:$R$108,MATCH(C153,'Facilities'!$C$9:$C$108,0)))/(1+INDEX('Facilities'!$K$9:$K$108,MATCH(C153,'Facilities'!$C$9:$C$108,0))))^IF(T153=1,MIN(1,AJ153),AJ153))/(1-(1-R153)*(1-INDEX('Facilities'!$R$9:$R$108,MATCH(C153,'Facilities'!$C$9:$C$108,0)))/(1+INDEX('Facilities'!$K$9:$K$108,MATCH(C153,'Facilities'!$C$9:$C$108,0)))))+AL153)))</x:f>
      </x:c>
      <x:c r="V153" s="23" t="str">
        <x:f>IF(C153="","",IF(AQ153&lt;&gt;"Ready","Unavailable",IF(C153="","",Q153*INDEX('Facilities'!$I$9:$I$108,MATCH(C153,'Facilities'!$C$9:$C$108,0))*(1-(1-S153)/(1+INDEX('Facilities'!$K$9:$K$108,MATCH(C153,'Facilities'!$C$9:$C$108,0)))^INDEX('Facilities'!$AK$9:$AK$108,MATCH(C153,'Facilities'!$C$9:$C$108,0)))*R153/(1+INDEX('Facilities'!$K$9:$K$108,MATCH(C153,'Facilities'!$C$9:$C$108,0)))*IF(ABS(1-(1-R153)*(1-0)/(1+INDEX('Facilities'!$K$9:$K$108,MATCH(C153,'Facilities'!$C$9:$C$108,0))))&lt;0.000000001,IF(T153=1,MIN(1,AJ153),AJ153),(1-((1-R153)*(1-0)/(1+INDEX('Facilities'!$K$9:$K$108,MATCH(C153,'Facilities'!$C$9:$C$108,0))))^IF(T153=1,MIN(1,AJ153),AJ153))/(1-(1-R153)*(1-0)/(1+INDEX('Facilities'!$K$9:$K$108,MATCH(C153,'Facilities'!$C$9:$C$108,0))))))))</x:f>
      </x:c>
      <x:c r="W153" s="21" t="str">
        <x:f>IF(C153="","",IFERROR(U53,"Unavailable"))</x:f>
      </x:c>
      <x:c r="X153" s="21" t="str">
        <x:f>IF(C153="","",IFERROR(V53,"Unavailable"))</x:f>
      </x:c>
      <x:c r="Y153" s="21" t="str">
        <x:f>IF(C153="","",IF(AQ153&lt;&gt;"Ready","Unavailable",IF(C153="","",U153-W153+V153-X153+N153+AG153)))</x:f>
      </x:c>
      <x:c r="Z153" s="23" t="str">
        <x:f>IF(C153="","",IF(AQ153&lt;&gt;"Ready","Unavailable",IF(C153="","",(G153+O153+L153)/2*INDEX('Facilities'!$T$9:$T$108,MATCH(C153,'Facilities'!$C$9:$C$108,0))+AG153)))</x:f>
      </x:c>
      <x:c r="AA153" s="23" t="str">
        <x:f>IF(C153="","",IF(AQ153&lt;&gt;"Ready","Unavailable",IF(C153="","",O153*(1-IF(INDEX('Facilities'!$AA$9:$AA$108,MATCH(C153,'Facilities'!$C$9:$C$108,0))=0,0,MIN(1,INDEX('Facilities'!$X$9:$X$108,MATCH(C153,'Facilities'!$C$9:$C$108,0))/INDEX('Facilities'!$AA$9:$AA$108,MATCH(C153,'Facilities'!$C$9:$C$108,0)))))*AF153+P153*(1-IF(INDEX('Facilities'!$AA$9:$AA$108,MATCH(C153,'Facilities'!$C$9:$C$108,0))=0,0,MIN(1,INDEX('Facilities'!$X$9:$X$108,MATCH(C153,'Facilities'!$C$9:$C$108,0))/INDEX('Facilities'!$AA$9:$AA$108,MATCH(C153,'Facilities'!$C$9:$C$108,0)))))*INDEX('Facilities'!$AJ$9:$AJ$108,MATCH(C153,'Facilities'!$C$9:$C$108,0))+Q153*INDEX('Facilities'!$AI$9:$AI$108,MATCH(C153,'Facilities'!$C$9:$C$108,0))*AF153)))</x:f>
      </x:c>
      <x:c r="AB153" s="21" t="str">
        <x:f>IF(C153="","",O153+P153-AD153)</x:f>
      </x:c>
      <x:c r="AC153" s="23" t="str">
        <x:f>IF(C153="","",IFERROR(IF(INDEX('Facilities'!$AD$9:$AD$108,MATCH(C153,'Facilities'!$C$9:$C$108,0))=3,0,IF(INDEX('Facilities'!$AN$9:$AN$108,MATCH(C153,'Facilities'!$C$9:$C$108,0))=0,-1,INDEX('Facilities'!$AN$9:$AN$108,MATCH(C153,'Facilities'!$C$9:$C$108,0)))),"Unavailable"))</x:f>
      </x:c>
      <x:c r="AD153" s="21" t="str">
        <x:f>IF(C153="","",IFERROR(G153+H153,"Unavailable"))</x:f>
      </x:c>
      <x:c r="AE153" s="21" t="str">
        <x:f>IF(C153="","",IF(AQ153&lt;&gt;"Ready","Unavailable",IF(C153="","",O153+P153-AD153-J153+K153+M153+N153)))</x:f>
      </x:c>
      <x:c r="AF153" s="30" t="str">
        <x:f>IF(C153="","",IFERROR(INDEX('Facilities'!$S$9:$S$108,MATCH(C153,'Facilities'!$C$9:$C$108,0))*'Scenario Paths'!G75,"Unavailable"))</x:f>
      </x:c>
      <x:c r="AG153" s="23" t="str">
        <x:f>IF(C153="","",IF(AQ153&lt;&gt;"Ready","Unavailable",IF(C153="","",IF(H153&gt;0,MAX(0,H153-AK153)*((1+INDEX('Facilities'!$K$9:$K$108,MATCH(C153,'Facilities'!$C$9:$C$108,0)))^MIN(1,MAX(0,AC153+INDEX('Facilities'!$AK$9:$AK$108,MATCH(C153,'Facilities'!$C$9:$C$108,0))-D153+1))-1),0))))</x:f>
      </x:c>
      <x:c r="AH153" s="21" t="str">
        <x:f>IF(C153="","",IF(AQ153&lt;&gt;"Ready","Unavailable",IF(C153="","",O153+P153)))</x:f>
      </x:c>
      <x:c r="AI153" s="21" t="str">
        <x:f>IF(C153="","",IF(AQ153&lt;&gt;"Ready","Unavailable",IF(C153="","",Z153-Y153)))</x:f>
      </x:c>
      <x:c r="AJ153" s="23" t="str">
        <x:f>IF(C153="","",IFERROR(MAX(0,INDEX('Facilities'!$J$9:$J$108,MATCH(C153,'Facilities'!$C$9:$C$108,0))-D153),"Unavailable"))</x:f>
      </x:c>
      <x:c r="AK153" s="21" t="str">
        <x:f>IF(C153="","",IFERROR(AL53,"Unavailable"))</x:f>
      </x:c>
      <x:c r="AL153" s="23" t="str">
        <x:f>IF(C153="","",IFERROR(IF(P153&gt;0,P153*(1-AM153/(1+INDEX('Facilities'!$K$9:$K$108,MATCH(C153,'Facilities'!$C$9:$C$108,0)))^MAX(0,AC153+INDEX('Facilities'!$AK$9:$AK$108,MATCH(C153,'Facilities'!$C$9:$C$108,0))-D153)),0),"Unavailable"))</x:f>
      </x:c>
      <x:c r="AM153" s="30" t="str">
        <x:f>IF(C153="","",IFERROR(INDEX('Facilities'!$AL$9:$AL$108,MATCH(C153,'Facilities'!$C$9:$C$108,0)),"Unavailable"))</x:f>
      </x:c>
      <x:c r="AN153" s="30" t="str">
        <x:f>IF(C153="","",IFERROR(INDEX(Credit!$T$109:$T$208,MATCH(F153,Credit!$C$109:$C$208,0)),"Unavailable"))</x:f>
      </x:c>
      <x:c r="AO153" s="23" t="str">
        <x:f>IF(C153="","",IF(AQ153&lt;&gt;"Ready","Unavailable",IF(C153="","",O153+P153+Q153*INDEX('Facilities'!$I$9:$I$108,MATCH(C153,'Facilities'!$C$9:$C$108,0)))))</x:f>
      </x:c>
      <x:c r="AP153" s="21" t="str">
        <x:f>IF(C153="","",IF(AQ153&lt;&gt;"Ready","Unavailable",IF(C153="","",AH153-U153)))</x:f>
      </x:c>
      <x:c r="AQ153" s="23" t="str">
        <x:f>IFERROR(IF(C153="","",IF(AND(INDEX('Facilities'!$AF$9:$AF$108,MATCH(C153,'Facilities'!$C$9:$C$108,0))="Ready",INDEX(Credit!$U$109:$U$208,MATCH(F153,Credit!$C$109:$C$208,0))="Ready",ISNUMBER(W153)),"Ready","Review inputs")),"Review inputs")</x:f>
      </x:c>
      <x:c r="AR153" s="23" t="str">
        <x:f>IF(C153="","",IF(AQ153&lt;&gt;"Ready","Unavailable",IF(C153="","",IF(O153=0,0,(IF(AJ153&lt;=1,O153,O153*INDEX('Facilities'!$R$9:$R$108,MATCH(C153,'Facilities'!$C$9:$C$108,0)))+O153*INDEX('Facilities'!$T$9:$T$108,MATCH(C153,'Facilities'!$C$9:$C$108,0)))/12))))</x:f>
      </x:c>
    </x:row>
    <x:row r="154" ht="26" customHeight="1">
      <x:c r="A154" s="1"/>
      <x:c r="B154" s="1"/>
      <x:c r="C154" s="9" t="str">
        <x:f>IF(Facilities!C54="","",Facilities!C54)</x:f>
      </x:c>
      <x:c r="D154" s="3" t="n">
        <x:v>2</x:v>
      </x:c>
      <x:c r="E154" s="9" t="n">
        <x:f>Settings!$F$18+1</x:f>
        <x:v>2028</x:v>
      </x:c>
      <x:c r="F154" s="9" t="str">
        <x:f>IF(C154="","",IFERROR(INDEX('Facilities'!$D$9:$D$108,MATCH(C154,'Facilities'!$C$9:$C$108,0)),"Unavailable"))</x:f>
      </x:c>
      <x:c r="G154" s="21" t="str">
        <x:f>IF(C154="","",IFERROR(O54,"Unavailable"))</x:f>
      </x:c>
      <x:c r="H154" s="21" t="str">
        <x:f>IF(C154="","",IFERROR(P54,"Unavailable"))</x:f>
      </x:c>
      <x:c r="I154" s="21" t="str">
        <x:f>IF(C154="","",IFERROR(Q54,"Unavailable"))</x:f>
      </x:c>
      <x:c r="J154" s="23" t="str">
        <x:f>IF(C154="","",IFERROR(IF(OR(H154&gt;0,AND(AC154&gt;=0,AC154&lt;D154),D154&gt;INDEX('Facilities'!$J$9:$J$108,MATCH(C154,'Facilities'!$C$9:$C$108,0))),0,I154*'Scenario Paths'!G81),"Unavailable"))</x:f>
      </x:c>
      <x:c r="K154" s="23" t="str">
        <x:f>IF(C154="","",IFERROR(IF(OR(H154&gt;0,AND(AC154&gt;=0,AC154=D154)),0,IF(D154&gt;=INDEX('Facilities'!$J$9:$J$108,MATCH(C154,'Facilities'!$C$9:$C$108,0)),G154+J154,MIN(G154+J154,G154*INDEX('Facilities'!$R$9:$R$108,MATCH(C154,'Facilities'!$C$9:$C$108,0))))),"Unavailable"))</x:f>
      </x:c>
      <x:c r="L154" s="21" t="str">
        <x:f>IF(C154="","",IFERROR(IF(AND(AC154=D154,AC154&gt;0),MAX(0,G154+J154-K154),0),"Unavailable"))</x:f>
      </x:c>
      <x:c r="M154" s="23" t="str">
        <x:f>IF(C154="","",IFERROR(IF(AND(AC154&gt;=0,D154&gt;=AC154+INDEX('Facilities'!$AK$9:$AK$108,MATCH(C154,'Facilities'!$C$9:$C$108,0))),(H154+L154)*AM154,0),"Unavailable"))</x:f>
      </x:c>
      <x:c r="N154" s="23" t="str">
        <x:f>IF(C154="","",IFERROR(IF(AND(AC154&gt;=0,D154&gt;=AC154+INDEX('Facilities'!$AK$9:$AK$108,MATCH(C154,'Facilities'!$C$9:$C$108,0))),H154+L154-M154,0),"Unavailable"))</x:f>
      </x:c>
      <x:c r="O154" s="21" t="str">
        <x:f>IF(C154="","",IFERROR(MAX(0,G154+J154-K154-L154),"Unavailable"))</x:f>
      </x:c>
      <x:c r="P154" s="21" t="str">
        <x:f>IF(C154="","",IFERROR(MAX(0,H154+L154-M154-N154),"Unavailable"))</x:f>
      </x:c>
      <x:c r="Q154" s="23" t="str">
        <x:f>IF(C154="","",IFERROR(IF(OR(D154&gt;=INDEX('Facilities'!$J$9:$J$108,MATCH(C154,'Facilities'!$C$9:$C$108,0)),AND(AC154&gt;=0,AC154&lt;=D154)),0,MAX(0,I154-J154)),"Unavailable"))</x:f>
      </x:c>
      <x:c r="R154" s="30" t="str">
        <x:f>IF(C154="","",IFERROR(INDEX(Credit!$Q$109:$Q$208,MATCH(F154,Credit!$C$109:$C$208,0)),"Unavailable"))</x:f>
      </x:c>
      <x:c r="S154" s="30" t="str">
        <x:f>IF(C154="","",IFERROR(INDEX(Credit!$R$109:$R$208,MATCH(F154,Credit!$C$109:$C$208,0)),"Unavailable"))</x:f>
      </x:c>
      <x:c r="T154" s="23" t="str">
        <x:f>IF(C154="","",IFERROR(IF(P154&gt;0,3,IF(OR(INDEX('Facilities'!$AD$9:$AD$108,MATCH(C154,'Facilities'!$C$9:$C$108,0))=2,AND(R154&gt;=INDEX('Facilities'!$L$9:$L$108,MATCH(C154,'Facilities'!$C$9:$C$108,0))*Settings!$F$19,R154-INDEX('Facilities'!$L$9:$L$108,MATCH(C154,'Facilities'!$C$9:$C$108,0))&gt;=Settings!$F$20)),2,1)),"Unavailable"))</x:f>
      </x:c>
      <x:c r="U154" s="23" t="str">
        <x:f>IF(C154="","",IF(AQ154&lt;&gt;"Ready","Unavailable",IF(C154="","",O154*(1-(1-S154)/(1+INDEX('Facilities'!$K$9:$K$108,MATCH(C154,'Facilities'!$C$9:$C$108,0)))^INDEX('Facilities'!$AK$9:$AK$108,MATCH(C154,'Facilities'!$C$9:$C$108,0)))*R154/(1+INDEX('Facilities'!$K$9:$K$108,MATCH(C154,'Facilities'!$C$9:$C$108,0)))*IF(ABS(1-(1-R154)*(1-INDEX('Facilities'!$R$9:$R$108,MATCH(C154,'Facilities'!$C$9:$C$108,0)))/(1+INDEX('Facilities'!$K$9:$K$108,MATCH(C154,'Facilities'!$C$9:$C$108,0))))&lt;0.000000001,IF(T154=1,MIN(1,AJ154),AJ154),(1-((1-R154)*(1-INDEX('Facilities'!$R$9:$R$108,MATCH(C154,'Facilities'!$C$9:$C$108,0)))/(1+INDEX('Facilities'!$K$9:$K$108,MATCH(C154,'Facilities'!$C$9:$C$108,0))))^IF(T154=1,MIN(1,AJ154),AJ154))/(1-(1-R154)*(1-INDEX('Facilities'!$R$9:$R$108,MATCH(C154,'Facilities'!$C$9:$C$108,0)))/(1+INDEX('Facilities'!$K$9:$K$108,MATCH(C154,'Facilities'!$C$9:$C$108,0)))))+AL154)))</x:f>
      </x:c>
      <x:c r="V154" s="23" t="str">
        <x:f>IF(C154="","",IF(AQ154&lt;&gt;"Ready","Unavailable",IF(C154="","",Q154*INDEX('Facilities'!$I$9:$I$108,MATCH(C154,'Facilities'!$C$9:$C$108,0))*(1-(1-S154)/(1+INDEX('Facilities'!$K$9:$K$108,MATCH(C154,'Facilities'!$C$9:$C$108,0)))^INDEX('Facilities'!$AK$9:$AK$108,MATCH(C154,'Facilities'!$C$9:$C$108,0)))*R154/(1+INDEX('Facilities'!$K$9:$K$108,MATCH(C154,'Facilities'!$C$9:$C$108,0)))*IF(ABS(1-(1-R154)*(1-0)/(1+INDEX('Facilities'!$K$9:$K$108,MATCH(C154,'Facilities'!$C$9:$C$108,0))))&lt;0.000000001,IF(T154=1,MIN(1,AJ154),AJ154),(1-((1-R154)*(1-0)/(1+INDEX('Facilities'!$K$9:$K$108,MATCH(C154,'Facilities'!$C$9:$C$108,0))))^IF(T154=1,MIN(1,AJ154),AJ154))/(1-(1-R154)*(1-0)/(1+INDEX('Facilities'!$K$9:$K$108,MATCH(C154,'Facilities'!$C$9:$C$108,0))))))))</x:f>
      </x:c>
      <x:c r="W154" s="21" t="str">
        <x:f>IF(C154="","",IFERROR(U54,"Unavailable"))</x:f>
      </x:c>
      <x:c r="X154" s="21" t="str">
        <x:f>IF(C154="","",IFERROR(V54,"Unavailable"))</x:f>
      </x:c>
      <x:c r="Y154" s="21" t="str">
        <x:f>IF(C154="","",IF(AQ154&lt;&gt;"Ready","Unavailable",IF(C154="","",U154-W154+V154-X154+N154+AG154)))</x:f>
      </x:c>
      <x:c r="Z154" s="23" t="str">
        <x:f>IF(C154="","",IF(AQ154&lt;&gt;"Ready","Unavailable",IF(C154="","",(G154+O154+L154)/2*INDEX('Facilities'!$T$9:$T$108,MATCH(C154,'Facilities'!$C$9:$C$108,0))+AG154)))</x:f>
      </x:c>
      <x:c r="AA154" s="23" t="str">
        <x:f>IF(C154="","",IF(AQ154&lt;&gt;"Ready","Unavailable",IF(C154="","",O154*(1-IF(INDEX('Facilities'!$AA$9:$AA$108,MATCH(C154,'Facilities'!$C$9:$C$108,0))=0,0,MIN(1,INDEX('Facilities'!$X$9:$X$108,MATCH(C154,'Facilities'!$C$9:$C$108,0))/INDEX('Facilities'!$AA$9:$AA$108,MATCH(C154,'Facilities'!$C$9:$C$108,0)))))*AF154+P154*(1-IF(INDEX('Facilities'!$AA$9:$AA$108,MATCH(C154,'Facilities'!$C$9:$C$108,0))=0,0,MIN(1,INDEX('Facilities'!$X$9:$X$108,MATCH(C154,'Facilities'!$C$9:$C$108,0))/INDEX('Facilities'!$AA$9:$AA$108,MATCH(C154,'Facilities'!$C$9:$C$108,0)))))*INDEX('Facilities'!$AJ$9:$AJ$108,MATCH(C154,'Facilities'!$C$9:$C$108,0))+Q154*INDEX('Facilities'!$AI$9:$AI$108,MATCH(C154,'Facilities'!$C$9:$C$108,0))*AF154)))</x:f>
      </x:c>
      <x:c r="AB154" s="21" t="str">
        <x:f>IF(C154="","",O154+P154-AD154)</x:f>
      </x:c>
      <x:c r="AC154" s="23" t="str">
        <x:f>IF(C154="","",IFERROR(IF(INDEX('Facilities'!$AD$9:$AD$108,MATCH(C154,'Facilities'!$C$9:$C$108,0))=3,0,IF(INDEX('Facilities'!$AN$9:$AN$108,MATCH(C154,'Facilities'!$C$9:$C$108,0))=0,-1,INDEX('Facilities'!$AN$9:$AN$108,MATCH(C154,'Facilities'!$C$9:$C$108,0)))),"Unavailable"))</x:f>
      </x:c>
      <x:c r="AD154" s="21" t="str">
        <x:f>IF(C154="","",IFERROR(G154+H154,"Unavailable"))</x:f>
      </x:c>
      <x:c r="AE154" s="21" t="str">
        <x:f>IF(C154="","",IF(AQ154&lt;&gt;"Ready","Unavailable",IF(C154="","",O154+P154-AD154-J154+K154+M154+N154)))</x:f>
      </x:c>
      <x:c r="AF154" s="30" t="str">
        <x:f>IF(C154="","",IFERROR(INDEX('Facilities'!$S$9:$S$108,MATCH(C154,'Facilities'!$C$9:$C$108,0))*'Scenario Paths'!G75,"Unavailable"))</x:f>
      </x:c>
      <x:c r="AG154" s="23" t="str">
        <x:f>IF(C154="","",IF(AQ154&lt;&gt;"Ready","Unavailable",IF(C154="","",IF(H154&gt;0,MAX(0,H154-AK154)*((1+INDEX('Facilities'!$K$9:$K$108,MATCH(C154,'Facilities'!$C$9:$C$108,0)))^MIN(1,MAX(0,AC154+INDEX('Facilities'!$AK$9:$AK$108,MATCH(C154,'Facilities'!$C$9:$C$108,0))-D154+1))-1),0))))</x:f>
      </x:c>
      <x:c r="AH154" s="21" t="str">
        <x:f>IF(C154="","",IF(AQ154&lt;&gt;"Ready","Unavailable",IF(C154="","",O154+P154)))</x:f>
      </x:c>
      <x:c r="AI154" s="21" t="str">
        <x:f>IF(C154="","",IF(AQ154&lt;&gt;"Ready","Unavailable",IF(C154="","",Z154-Y154)))</x:f>
      </x:c>
      <x:c r="AJ154" s="23" t="str">
        <x:f>IF(C154="","",IFERROR(MAX(0,INDEX('Facilities'!$J$9:$J$108,MATCH(C154,'Facilities'!$C$9:$C$108,0))-D154),"Unavailable"))</x:f>
      </x:c>
      <x:c r="AK154" s="21" t="str">
        <x:f>IF(C154="","",IFERROR(AL54,"Unavailable"))</x:f>
      </x:c>
      <x:c r="AL154" s="23" t="str">
        <x:f>IF(C154="","",IFERROR(IF(P154&gt;0,P154*(1-AM154/(1+INDEX('Facilities'!$K$9:$K$108,MATCH(C154,'Facilities'!$C$9:$C$108,0)))^MAX(0,AC154+INDEX('Facilities'!$AK$9:$AK$108,MATCH(C154,'Facilities'!$C$9:$C$108,0))-D154)),0),"Unavailable"))</x:f>
      </x:c>
      <x:c r="AM154" s="30" t="str">
        <x:f>IF(C154="","",IFERROR(INDEX('Facilities'!$AL$9:$AL$108,MATCH(C154,'Facilities'!$C$9:$C$108,0)),"Unavailable"))</x:f>
      </x:c>
      <x:c r="AN154" s="30" t="str">
        <x:f>IF(C154="","",IFERROR(INDEX(Credit!$T$109:$T$208,MATCH(F154,Credit!$C$109:$C$208,0)),"Unavailable"))</x:f>
      </x:c>
      <x:c r="AO154" s="23" t="str">
        <x:f>IF(C154="","",IF(AQ154&lt;&gt;"Ready","Unavailable",IF(C154="","",O154+P154+Q154*INDEX('Facilities'!$I$9:$I$108,MATCH(C154,'Facilities'!$C$9:$C$108,0)))))</x:f>
      </x:c>
      <x:c r="AP154" s="21" t="str">
        <x:f>IF(C154="","",IF(AQ154&lt;&gt;"Ready","Unavailable",IF(C154="","",AH154-U154)))</x:f>
      </x:c>
      <x:c r="AQ154" s="23" t="str">
        <x:f>IFERROR(IF(C154="","",IF(AND(INDEX('Facilities'!$AF$9:$AF$108,MATCH(C154,'Facilities'!$C$9:$C$108,0))="Ready",INDEX(Credit!$U$109:$U$208,MATCH(F154,Credit!$C$109:$C$208,0))="Ready",ISNUMBER(W154)),"Ready","Review inputs")),"Review inputs")</x:f>
      </x:c>
      <x:c r="AR154" s="23" t="str">
        <x:f>IF(C154="","",IF(AQ154&lt;&gt;"Ready","Unavailable",IF(C154="","",IF(O154=0,0,(IF(AJ154&lt;=1,O154,O154*INDEX('Facilities'!$R$9:$R$108,MATCH(C154,'Facilities'!$C$9:$C$108,0)))+O154*INDEX('Facilities'!$T$9:$T$108,MATCH(C154,'Facilities'!$C$9:$C$108,0)))/12))))</x:f>
      </x:c>
    </x:row>
    <x:row r="155" ht="26" customHeight="1">
      <x:c r="A155" s="1"/>
      <x:c r="B155" s="1"/>
      <x:c r="C155" s="9" t="str">
        <x:f>IF(Facilities!C55="","",Facilities!C55)</x:f>
      </x:c>
      <x:c r="D155" s="3" t="n">
        <x:v>2</x:v>
      </x:c>
      <x:c r="E155" s="9" t="n">
        <x:f>Settings!$F$18+1</x:f>
        <x:v>2028</x:v>
      </x:c>
      <x:c r="F155" s="9" t="str">
        <x:f>IF(C155="","",IFERROR(INDEX('Facilities'!$D$9:$D$108,MATCH(C155,'Facilities'!$C$9:$C$108,0)),"Unavailable"))</x:f>
      </x:c>
      <x:c r="G155" s="21" t="str">
        <x:f>IF(C155="","",IFERROR(O55,"Unavailable"))</x:f>
      </x:c>
      <x:c r="H155" s="21" t="str">
        <x:f>IF(C155="","",IFERROR(P55,"Unavailable"))</x:f>
      </x:c>
      <x:c r="I155" s="21" t="str">
        <x:f>IF(C155="","",IFERROR(Q55,"Unavailable"))</x:f>
      </x:c>
      <x:c r="J155" s="23" t="str">
        <x:f>IF(C155="","",IFERROR(IF(OR(H155&gt;0,AND(AC155&gt;=0,AC155&lt;D155),D155&gt;INDEX('Facilities'!$J$9:$J$108,MATCH(C155,'Facilities'!$C$9:$C$108,0))),0,I155*'Scenario Paths'!G81),"Unavailable"))</x:f>
      </x:c>
      <x:c r="K155" s="23" t="str">
        <x:f>IF(C155="","",IFERROR(IF(OR(H155&gt;0,AND(AC155&gt;=0,AC155=D155)),0,IF(D155&gt;=INDEX('Facilities'!$J$9:$J$108,MATCH(C155,'Facilities'!$C$9:$C$108,0)),G155+J155,MIN(G155+J155,G155*INDEX('Facilities'!$R$9:$R$108,MATCH(C155,'Facilities'!$C$9:$C$108,0))))),"Unavailable"))</x:f>
      </x:c>
      <x:c r="L155" s="21" t="str">
        <x:f>IF(C155="","",IFERROR(IF(AND(AC155=D155,AC155&gt;0),MAX(0,G155+J155-K155),0),"Unavailable"))</x:f>
      </x:c>
      <x:c r="M155" s="23" t="str">
        <x:f>IF(C155="","",IFERROR(IF(AND(AC155&gt;=0,D155&gt;=AC155+INDEX('Facilities'!$AK$9:$AK$108,MATCH(C155,'Facilities'!$C$9:$C$108,0))),(H155+L155)*AM155,0),"Unavailable"))</x:f>
      </x:c>
      <x:c r="N155" s="23" t="str">
        <x:f>IF(C155="","",IFERROR(IF(AND(AC155&gt;=0,D155&gt;=AC155+INDEX('Facilities'!$AK$9:$AK$108,MATCH(C155,'Facilities'!$C$9:$C$108,0))),H155+L155-M155,0),"Unavailable"))</x:f>
      </x:c>
      <x:c r="O155" s="21" t="str">
        <x:f>IF(C155="","",IFERROR(MAX(0,G155+J155-K155-L155),"Unavailable"))</x:f>
      </x:c>
      <x:c r="P155" s="21" t="str">
        <x:f>IF(C155="","",IFERROR(MAX(0,H155+L155-M155-N155),"Unavailable"))</x:f>
      </x:c>
      <x:c r="Q155" s="23" t="str">
        <x:f>IF(C155="","",IFERROR(IF(OR(D155&gt;=INDEX('Facilities'!$J$9:$J$108,MATCH(C155,'Facilities'!$C$9:$C$108,0)),AND(AC155&gt;=0,AC155&lt;=D155)),0,MAX(0,I155-J155)),"Unavailable"))</x:f>
      </x:c>
      <x:c r="R155" s="30" t="str">
        <x:f>IF(C155="","",IFERROR(INDEX(Credit!$Q$109:$Q$208,MATCH(F155,Credit!$C$109:$C$208,0)),"Unavailable"))</x:f>
      </x:c>
      <x:c r="S155" s="30" t="str">
        <x:f>IF(C155="","",IFERROR(INDEX(Credit!$R$109:$R$208,MATCH(F155,Credit!$C$109:$C$208,0)),"Unavailable"))</x:f>
      </x:c>
      <x:c r="T155" s="23" t="str">
        <x:f>IF(C155="","",IFERROR(IF(P155&gt;0,3,IF(OR(INDEX('Facilities'!$AD$9:$AD$108,MATCH(C155,'Facilities'!$C$9:$C$108,0))=2,AND(R155&gt;=INDEX('Facilities'!$L$9:$L$108,MATCH(C155,'Facilities'!$C$9:$C$108,0))*Settings!$F$19,R155-INDEX('Facilities'!$L$9:$L$108,MATCH(C155,'Facilities'!$C$9:$C$108,0))&gt;=Settings!$F$20)),2,1)),"Unavailable"))</x:f>
      </x:c>
      <x:c r="U155" s="23" t="str">
        <x:f>IF(C155="","",IF(AQ155&lt;&gt;"Ready","Unavailable",IF(C155="","",O155*(1-(1-S155)/(1+INDEX('Facilities'!$K$9:$K$108,MATCH(C155,'Facilities'!$C$9:$C$108,0)))^INDEX('Facilities'!$AK$9:$AK$108,MATCH(C155,'Facilities'!$C$9:$C$108,0)))*R155/(1+INDEX('Facilities'!$K$9:$K$108,MATCH(C155,'Facilities'!$C$9:$C$108,0)))*IF(ABS(1-(1-R155)*(1-INDEX('Facilities'!$R$9:$R$108,MATCH(C155,'Facilities'!$C$9:$C$108,0)))/(1+INDEX('Facilities'!$K$9:$K$108,MATCH(C155,'Facilities'!$C$9:$C$108,0))))&lt;0.000000001,IF(T155=1,MIN(1,AJ155),AJ155),(1-((1-R155)*(1-INDEX('Facilities'!$R$9:$R$108,MATCH(C155,'Facilities'!$C$9:$C$108,0)))/(1+INDEX('Facilities'!$K$9:$K$108,MATCH(C155,'Facilities'!$C$9:$C$108,0))))^IF(T155=1,MIN(1,AJ155),AJ155))/(1-(1-R155)*(1-INDEX('Facilities'!$R$9:$R$108,MATCH(C155,'Facilities'!$C$9:$C$108,0)))/(1+INDEX('Facilities'!$K$9:$K$108,MATCH(C155,'Facilities'!$C$9:$C$108,0)))))+AL155)))</x:f>
      </x:c>
      <x:c r="V155" s="23" t="str">
        <x:f>IF(C155="","",IF(AQ155&lt;&gt;"Ready","Unavailable",IF(C155="","",Q155*INDEX('Facilities'!$I$9:$I$108,MATCH(C155,'Facilities'!$C$9:$C$108,0))*(1-(1-S155)/(1+INDEX('Facilities'!$K$9:$K$108,MATCH(C155,'Facilities'!$C$9:$C$108,0)))^INDEX('Facilities'!$AK$9:$AK$108,MATCH(C155,'Facilities'!$C$9:$C$108,0)))*R155/(1+INDEX('Facilities'!$K$9:$K$108,MATCH(C155,'Facilities'!$C$9:$C$108,0)))*IF(ABS(1-(1-R155)*(1-0)/(1+INDEX('Facilities'!$K$9:$K$108,MATCH(C155,'Facilities'!$C$9:$C$108,0))))&lt;0.000000001,IF(T155=1,MIN(1,AJ155),AJ155),(1-((1-R155)*(1-0)/(1+INDEX('Facilities'!$K$9:$K$108,MATCH(C155,'Facilities'!$C$9:$C$108,0))))^IF(T155=1,MIN(1,AJ155),AJ155))/(1-(1-R155)*(1-0)/(1+INDEX('Facilities'!$K$9:$K$108,MATCH(C155,'Facilities'!$C$9:$C$108,0))))))))</x:f>
      </x:c>
      <x:c r="W155" s="21" t="str">
        <x:f>IF(C155="","",IFERROR(U55,"Unavailable"))</x:f>
      </x:c>
      <x:c r="X155" s="21" t="str">
        <x:f>IF(C155="","",IFERROR(V55,"Unavailable"))</x:f>
      </x:c>
      <x:c r="Y155" s="21" t="str">
        <x:f>IF(C155="","",IF(AQ155&lt;&gt;"Ready","Unavailable",IF(C155="","",U155-W155+V155-X155+N155+AG155)))</x:f>
      </x:c>
      <x:c r="Z155" s="23" t="str">
        <x:f>IF(C155="","",IF(AQ155&lt;&gt;"Ready","Unavailable",IF(C155="","",(G155+O155+L155)/2*INDEX('Facilities'!$T$9:$T$108,MATCH(C155,'Facilities'!$C$9:$C$108,0))+AG155)))</x:f>
      </x:c>
      <x:c r="AA155" s="23" t="str">
        <x:f>IF(C155="","",IF(AQ155&lt;&gt;"Ready","Unavailable",IF(C155="","",O155*(1-IF(INDEX('Facilities'!$AA$9:$AA$108,MATCH(C155,'Facilities'!$C$9:$C$108,0))=0,0,MIN(1,INDEX('Facilities'!$X$9:$X$108,MATCH(C155,'Facilities'!$C$9:$C$108,0))/INDEX('Facilities'!$AA$9:$AA$108,MATCH(C155,'Facilities'!$C$9:$C$108,0)))))*AF155+P155*(1-IF(INDEX('Facilities'!$AA$9:$AA$108,MATCH(C155,'Facilities'!$C$9:$C$108,0))=0,0,MIN(1,INDEX('Facilities'!$X$9:$X$108,MATCH(C155,'Facilities'!$C$9:$C$108,0))/INDEX('Facilities'!$AA$9:$AA$108,MATCH(C155,'Facilities'!$C$9:$C$108,0)))))*INDEX('Facilities'!$AJ$9:$AJ$108,MATCH(C155,'Facilities'!$C$9:$C$108,0))+Q155*INDEX('Facilities'!$AI$9:$AI$108,MATCH(C155,'Facilities'!$C$9:$C$108,0))*AF155)))</x:f>
      </x:c>
      <x:c r="AB155" s="21" t="str">
        <x:f>IF(C155="","",O155+P155-AD155)</x:f>
      </x:c>
      <x:c r="AC155" s="23" t="str">
        <x:f>IF(C155="","",IFERROR(IF(INDEX('Facilities'!$AD$9:$AD$108,MATCH(C155,'Facilities'!$C$9:$C$108,0))=3,0,IF(INDEX('Facilities'!$AN$9:$AN$108,MATCH(C155,'Facilities'!$C$9:$C$108,0))=0,-1,INDEX('Facilities'!$AN$9:$AN$108,MATCH(C155,'Facilities'!$C$9:$C$108,0)))),"Unavailable"))</x:f>
      </x:c>
      <x:c r="AD155" s="21" t="str">
        <x:f>IF(C155="","",IFERROR(G155+H155,"Unavailable"))</x:f>
      </x:c>
      <x:c r="AE155" s="21" t="str">
        <x:f>IF(C155="","",IF(AQ155&lt;&gt;"Ready","Unavailable",IF(C155="","",O155+P155-AD155-J155+K155+M155+N155)))</x:f>
      </x:c>
      <x:c r="AF155" s="30" t="str">
        <x:f>IF(C155="","",IFERROR(INDEX('Facilities'!$S$9:$S$108,MATCH(C155,'Facilities'!$C$9:$C$108,0))*'Scenario Paths'!G75,"Unavailable"))</x:f>
      </x:c>
      <x:c r="AG155" s="23" t="str">
        <x:f>IF(C155="","",IF(AQ155&lt;&gt;"Ready","Unavailable",IF(C155="","",IF(H155&gt;0,MAX(0,H155-AK155)*((1+INDEX('Facilities'!$K$9:$K$108,MATCH(C155,'Facilities'!$C$9:$C$108,0)))^MIN(1,MAX(0,AC155+INDEX('Facilities'!$AK$9:$AK$108,MATCH(C155,'Facilities'!$C$9:$C$108,0))-D155+1))-1),0))))</x:f>
      </x:c>
      <x:c r="AH155" s="21" t="str">
        <x:f>IF(C155="","",IF(AQ155&lt;&gt;"Ready","Unavailable",IF(C155="","",O155+P155)))</x:f>
      </x:c>
      <x:c r="AI155" s="21" t="str">
        <x:f>IF(C155="","",IF(AQ155&lt;&gt;"Ready","Unavailable",IF(C155="","",Z155-Y155)))</x:f>
      </x:c>
      <x:c r="AJ155" s="23" t="str">
        <x:f>IF(C155="","",IFERROR(MAX(0,INDEX('Facilities'!$J$9:$J$108,MATCH(C155,'Facilities'!$C$9:$C$108,0))-D155),"Unavailable"))</x:f>
      </x:c>
      <x:c r="AK155" s="21" t="str">
        <x:f>IF(C155="","",IFERROR(AL55,"Unavailable"))</x:f>
      </x:c>
      <x:c r="AL155" s="23" t="str">
        <x:f>IF(C155="","",IFERROR(IF(P155&gt;0,P155*(1-AM155/(1+INDEX('Facilities'!$K$9:$K$108,MATCH(C155,'Facilities'!$C$9:$C$108,0)))^MAX(0,AC155+INDEX('Facilities'!$AK$9:$AK$108,MATCH(C155,'Facilities'!$C$9:$C$108,0))-D155)),0),"Unavailable"))</x:f>
      </x:c>
      <x:c r="AM155" s="30" t="str">
        <x:f>IF(C155="","",IFERROR(INDEX('Facilities'!$AL$9:$AL$108,MATCH(C155,'Facilities'!$C$9:$C$108,0)),"Unavailable"))</x:f>
      </x:c>
      <x:c r="AN155" s="30" t="str">
        <x:f>IF(C155="","",IFERROR(INDEX(Credit!$T$109:$T$208,MATCH(F155,Credit!$C$109:$C$208,0)),"Unavailable"))</x:f>
      </x:c>
      <x:c r="AO155" s="23" t="str">
        <x:f>IF(C155="","",IF(AQ155&lt;&gt;"Ready","Unavailable",IF(C155="","",O155+P155+Q155*INDEX('Facilities'!$I$9:$I$108,MATCH(C155,'Facilities'!$C$9:$C$108,0)))))</x:f>
      </x:c>
      <x:c r="AP155" s="21" t="str">
        <x:f>IF(C155="","",IF(AQ155&lt;&gt;"Ready","Unavailable",IF(C155="","",AH155-U155)))</x:f>
      </x:c>
      <x:c r="AQ155" s="23" t="str">
        <x:f>IFERROR(IF(C155="","",IF(AND(INDEX('Facilities'!$AF$9:$AF$108,MATCH(C155,'Facilities'!$C$9:$C$108,0))="Ready",INDEX(Credit!$U$109:$U$208,MATCH(F155,Credit!$C$109:$C$208,0))="Ready",ISNUMBER(W155)),"Ready","Review inputs")),"Review inputs")</x:f>
      </x:c>
      <x:c r="AR155" s="23" t="str">
        <x:f>IF(C155="","",IF(AQ155&lt;&gt;"Ready","Unavailable",IF(C155="","",IF(O155=0,0,(IF(AJ155&lt;=1,O155,O155*INDEX('Facilities'!$R$9:$R$108,MATCH(C155,'Facilities'!$C$9:$C$108,0)))+O155*INDEX('Facilities'!$T$9:$T$108,MATCH(C155,'Facilities'!$C$9:$C$108,0)))/12))))</x:f>
      </x:c>
    </x:row>
    <x:row r="156" ht="26" customHeight="1">
      <x:c r="A156" s="1"/>
      <x:c r="B156" s="1"/>
      <x:c r="C156" s="9" t="str">
        <x:f>IF(Facilities!C56="","",Facilities!C56)</x:f>
      </x:c>
      <x:c r="D156" s="3" t="n">
        <x:v>2</x:v>
      </x:c>
      <x:c r="E156" s="9" t="n">
        <x:f>Settings!$F$18+1</x:f>
        <x:v>2028</x:v>
      </x:c>
      <x:c r="F156" s="9" t="str">
        <x:f>IF(C156="","",IFERROR(INDEX('Facilities'!$D$9:$D$108,MATCH(C156,'Facilities'!$C$9:$C$108,0)),"Unavailable"))</x:f>
      </x:c>
      <x:c r="G156" s="21" t="str">
        <x:f>IF(C156="","",IFERROR(O56,"Unavailable"))</x:f>
      </x:c>
      <x:c r="H156" s="21" t="str">
        <x:f>IF(C156="","",IFERROR(P56,"Unavailable"))</x:f>
      </x:c>
      <x:c r="I156" s="21" t="str">
        <x:f>IF(C156="","",IFERROR(Q56,"Unavailable"))</x:f>
      </x:c>
      <x:c r="J156" s="23" t="str">
        <x:f>IF(C156="","",IFERROR(IF(OR(H156&gt;0,AND(AC156&gt;=0,AC156&lt;D156),D156&gt;INDEX('Facilities'!$J$9:$J$108,MATCH(C156,'Facilities'!$C$9:$C$108,0))),0,I156*'Scenario Paths'!G81),"Unavailable"))</x:f>
      </x:c>
      <x:c r="K156" s="23" t="str">
        <x:f>IF(C156="","",IFERROR(IF(OR(H156&gt;0,AND(AC156&gt;=0,AC156=D156)),0,IF(D156&gt;=INDEX('Facilities'!$J$9:$J$108,MATCH(C156,'Facilities'!$C$9:$C$108,0)),G156+J156,MIN(G156+J156,G156*INDEX('Facilities'!$R$9:$R$108,MATCH(C156,'Facilities'!$C$9:$C$108,0))))),"Unavailable"))</x:f>
      </x:c>
      <x:c r="L156" s="21" t="str">
        <x:f>IF(C156="","",IFERROR(IF(AND(AC156=D156,AC156&gt;0),MAX(0,G156+J156-K156),0),"Unavailable"))</x:f>
      </x:c>
      <x:c r="M156" s="23" t="str">
        <x:f>IF(C156="","",IFERROR(IF(AND(AC156&gt;=0,D156&gt;=AC156+INDEX('Facilities'!$AK$9:$AK$108,MATCH(C156,'Facilities'!$C$9:$C$108,0))),(H156+L156)*AM156,0),"Unavailable"))</x:f>
      </x:c>
      <x:c r="N156" s="23" t="str">
        <x:f>IF(C156="","",IFERROR(IF(AND(AC156&gt;=0,D156&gt;=AC156+INDEX('Facilities'!$AK$9:$AK$108,MATCH(C156,'Facilities'!$C$9:$C$108,0))),H156+L156-M156,0),"Unavailable"))</x:f>
      </x:c>
      <x:c r="O156" s="21" t="str">
        <x:f>IF(C156="","",IFERROR(MAX(0,G156+J156-K156-L156),"Unavailable"))</x:f>
      </x:c>
      <x:c r="P156" s="21" t="str">
        <x:f>IF(C156="","",IFERROR(MAX(0,H156+L156-M156-N156),"Unavailable"))</x:f>
      </x:c>
      <x:c r="Q156" s="23" t="str">
        <x:f>IF(C156="","",IFERROR(IF(OR(D156&gt;=INDEX('Facilities'!$J$9:$J$108,MATCH(C156,'Facilities'!$C$9:$C$108,0)),AND(AC156&gt;=0,AC156&lt;=D156)),0,MAX(0,I156-J156)),"Unavailable"))</x:f>
      </x:c>
      <x:c r="R156" s="30" t="str">
        <x:f>IF(C156="","",IFERROR(INDEX(Credit!$Q$109:$Q$208,MATCH(F156,Credit!$C$109:$C$208,0)),"Unavailable"))</x:f>
      </x:c>
      <x:c r="S156" s="30" t="str">
        <x:f>IF(C156="","",IFERROR(INDEX(Credit!$R$109:$R$208,MATCH(F156,Credit!$C$109:$C$208,0)),"Unavailable"))</x:f>
      </x:c>
      <x:c r="T156" s="23" t="str">
        <x:f>IF(C156="","",IFERROR(IF(P156&gt;0,3,IF(OR(INDEX('Facilities'!$AD$9:$AD$108,MATCH(C156,'Facilities'!$C$9:$C$108,0))=2,AND(R156&gt;=INDEX('Facilities'!$L$9:$L$108,MATCH(C156,'Facilities'!$C$9:$C$108,0))*Settings!$F$19,R156-INDEX('Facilities'!$L$9:$L$108,MATCH(C156,'Facilities'!$C$9:$C$108,0))&gt;=Settings!$F$20)),2,1)),"Unavailable"))</x:f>
      </x:c>
      <x:c r="U156" s="23" t="str">
        <x:f>IF(C156="","",IF(AQ156&lt;&gt;"Ready","Unavailable",IF(C156="","",O156*(1-(1-S156)/(1+INDEX('Facilities'!$K$9:$K$108,MATCH(C156,'Facilities'!$C$9:$C$108,0)))^INDEX('Facilities'!$AK$9:$AK$108,MATCH(C156,'Facilities'!$C$9:$C$108,0)))*R156/(1+INDEX('Facilities'!$K$9:$K$108,MATCH(C156,'Facilities'!$C$9:$C$108,0)))*IF(ABS(1-(1-R156)*(1-INDEX('Facilities'!$R$9:$R$108,MATCH(C156,'Facilities'!$C$9:$C$108,0)))/(1+INDEX('Facilities'!$K$9:$K$108,MATCH(C156,'Facilities'!$C$9:$C$108,0))))&lt;0.000000001,IF(T156=1,MIN(1,AJ156),AJ156),(1-((1-R156)*(1-INDEX('Facilities'!$R$9:$R$108,MATCH(C156,'Facilities'!$C$9:$C$108,0)))/(1+INDEX('Facilities'!$K$9:$K$108,MATCH(C156,'Facilities'!$C$9:$C$108,0))))^IF(T156=1,MIN(1,AJ156),AJ156))/(1-(1-R156)*(1-INDEX('Facilities'!$R$9:$R$108,MATCH(C156,'Facilities'!$C$9:$C$108,0)))/(1+INDEX('Facilities'!$K$9:$K$108,MATCH(C156,'Facilities'!$C$9:$C$108,0)))))+AL156)))</x:f>
      </x:c>
      <x:c r="V156" s="23" t="str">
        <x:f>IF(C156="","",IF(AQ156&lt;&gt;"Ready","Unavailable",IF(C156="","",Q156*INDEX('Facilities'!$I$9:$I$108,MATCH(C156,'Facilities'!$C$9:$C$108,0))*(1-(1-S156)/(1+INDEX('Facilities'!$K$9:$K$108,MATCH(C156,'Facilities'!$C$9:$C$108,0)))^INDEX('Facilities'!$AK$9:$AK$108,MATCH(C156,'Facilities'!$C$9:$C$108,0)))*R156/(1+INDEX('Facilities'!$K$9:$K$108,MATCH(C156,'Facilities'!$C$9:$C$108,0)))*IF(ABS(1-(1-R156)*(1-0)/(1+INDEX('Facilities'!$K$9:$K$108,MATCH(C156,'Facilities'!$C$9:$C$108,0))))&lt;0.000000001,IF(T156=1,MIN(1,AJ156),AJ156),(1-((1-R156)*(1-0)/(1+INDEX('Facilities'!$K$9:$K$108,MATCH(C156,'Facilities'!$C$9:$C$108,0))))^IF(T156=1,MIN(1,AJ156),AJ156))/(1-(1-R156)*(1-0)/(1+INDEX('Facilities'!$K$9:$K$108,MATCH(C156,'Facilities'!$C$9:$C$108,0))))))))</x:f>
      </x:c>
      <x:c r="W156" s="21" t="str">
        <x:f>IF(C156="","",IFERROR(U56,"Unavailable"))</x:f>
      </x:c>
      <x:c r="X156" s="21" t="str">
        <x:f>IF(C156="","",IFERROR(V56,"Unavailable"))</x:f>
      </x:c>
      <x:c r="Y156" s="21" t="str">
        <x:f>IF(C156="","",IF(AQ156&lt;&gt;"Ready","Unavailable",IF(C156="","",U156-W156+V156-X156+N156+AG156)))</x:f>
      </x:c>
      <x:c r="Z156" s="23" t="str">
        <x:f>IF(C156="","",IF(AQ156&lt;&gt;"Ready","Unavailable",IF(C156="","",(G156+O156+L156)/2*INDEX('Facilities'!$T$9:$T$108,MATCH(C156,'Facilities'!$C$9:$C$108,0))+AG156)))</x:f>
      </x:c>
      <x:c r="AA156" s="23" t="str">
        <x:f>IF(C156="","",IF(AQ156&lt;&gt;"Ready","Unavailable",IF(C156="","",O156*(1-IF(INDEX('Facilities'!$AA$9:$AA$108,MATCH(C156,'Facilities'!$C$9:$C$108,0))=0,0,MIN(1,INDEX('Facilities'!$X$9:$X$108,MATCH(C156,'Facilities'!$C$9:$C$108,0))/INDEX('Facilities'!$AA$9:$AA$108,MATCH(C156,'Facilities'!$C$9:$C$108,0)))))*AF156+P156*(1-IF(INDEX('Facilities'!$AA$9:$AA$108,MATCH(C156,'Facilities'!$C$9:$C$108,0))=0,0,MIN(1,INDEX('Facilities'!$X$9:$X$108,MATCH(C156,'Facilities'!$C$9:$C$108,0))/INDEX('Facilities'!$AA$9:$AA$108,MATCH(C156,'Facilities'!$C$9:$C$108,0)))))*INDEX('Facilities'!$AJ$9:$AJ$108,MATCH(C156,'Facilities'!$C$9:$C$108,0))+Q156*INDEX('Facilities'!$AI$9:$AI$108,MATCH(C156,'Facilities'!$C$9:$C$108,0))*AF156)))</x:f>
      </x:c>
      <x:c r="AB156" s="21" t="str">
        <x:f>IF(C156="","",O156+P156-AD156)</x:f>
      </x:c>
      <x:c r="AC156" s="23" t="str">
        <x:f>IF(C156="","",IFERROR(IF(INDEX('Facilities'!$AD$9:$AD$108,MATCH(C156,'Facilities'!$C$9:$C$108,0))=3,0,IF(INDEX('Facilities'!$AN$9:$AN$108,MATCH(C156,'Facilities'!$C$9:$C$108,0))=0,-1,INDEX('Facilities'!$AN$9:$AN$108,MATCH(C156,'Facilities'!$C$9:$C$108,0)))),"Unavailable"))</x:f>
      </x:c>
      <x:c r="AD156" s="21" t="str">
        <x:f>IF(C156="","",IFERROR(G156+H156,"Unavailable"))</x:f>
      </x:c>
      <x:c r="AE156" s="21" t="str">
        <x:f>IF(C156="","",IF(AQ156&lt;&gt;"Ready","Unavailable",IF(C156="","",O156+P156-AD156-J156+K156+M156+N156)))</x:f>
      </x:c>
      <x:c r="AF156" s="30" t="str">
        <x:f>IF(C156="","",IFERROR(INDEX('Facilities'!$S$9:$S$108,MATCH(C156,'Facilities'!$C$9:$C$108,0))*'Scenario Paths'!G75,"Unavailable"))</x:f>
      </x:c>
      <x:c r="AG156" s="23" t="str">
        <x:f>IF(C156="","",IF(AQ156&lt;&gt;"Ready","Unavailable",IF(C156="","",IF(H156&gt;0,MAX(0,H156-AK156)*((1+INDEX('Facilities'!$K$9:$K$108,MATCH(C156,'Facilities'!$C$9:$C$108,0)))^MIN(1,MAX(0,AC156+INDEX('Facilities'!$AK$9:$AK$108,MATCH(C156,'Facilities'!$C$9:$C$108,0))-D156+1))-1),0))))</x:f>
      </x:c>
      <x:c r="AH156" s="21" t="str">
        <x:f>IF(C156="","",IF(AQ156&lt;&gt;"Ready","Unavailable",IF(C156="","",O156+P156)))</x:f>
      </x:c>
      <x:c r="AI156" s="21" t="str">
        <x:f>IF(C156="","",IF(AQ156&lt;&gt;"Ready","Unavailable",IF(C156="","",Z156-Y156)))</x:f>
      </x:c>
      <x:c r="AJ156" s="23" t="str">
        <x:f>IF(C156="","",IFERROR(MAX(0,INDEX('Facilities'!$J$9:$J$108,MATCH(C156,'Facilities'!$C$9:$C$108,0))-D156),"Unavailable"))</x:f>
      </x:c>
      <x:c r="AK156" s="21" t="str">
        <x:f>IF(C156="","",IFERROR(AL56,"Unavailable"))</x:f>
      </x:c>
      <x:c r="AL156" s="23" t="str">
        <x:f>IF(C156="","",IFERROR(IF(P156&gt;0,P156*(1-AM156/(1+INDEX('Facilities'!$K$9:$K$108,MATCH(C156,'Facilities'!$C$9:$C$108,0)))^MAX(0,AC156+INDEX('Facilities'!$AK$9:$AK$108,MATCH(C156,'Facilities'!$C$9:$C$108,0))-D156)),0),"Unavailable"))</x:f>
      </x:c>
      <x:c r="AM156" s="30" t="str">
        <x:f>IF(C156="","",IFERROR(INDEX('Facilities'!$AL$9:$AL$108,MATCH(C156,'Facilities'!$C$9:$C$108,0)),"Unavailable"))</x:f>
      </x:c>
      <x:c r="AN156" s="30" t="str">
        <x:f>IF(C156="","",IFERROR(INDEX(Credit!$T$109:$T$208,MATCH(F156,Credit!$C$109:$C$208,0)),"Unavailable"))</x:f>
      </x:c>
      <x:c r="AO156" s="23" t="str">
        <x:f>IF(C156="","",IF(AQ156&lt;&gt;"Ready","Unavailable",IF(C156="","",O156+P156+Q156*INDEX('Facilities'!$I$9:$I$108,MATCH(C156,'Facilities'!$C$9:$C$108,0)))))</x:f>
      </x:c>
      <x:c r="AP156" s="21" t="str">
        <x:f>IF(C156="","",IF(AQ156&lt;&gt;"Ready","Unavailable",IF(C156="","",AH156-U156)))</x:f>
      </x:c>
      <x:c r="AQ156" s="23" t="str">
        <x:f>IFERROR(IF(C156="","",IF(AND(INDEX('Facilities'!$AF$9:$AF$108,MATCH(C156,'Facilities'!$C$9:$C$108,0))="Ready",INDEX(Credit!$U$109:$U$208,MATCH(F156,Credit!$C$109:$C$208,0))="Ready",ISNUMBER(W156)),"Ready","Review inputs")),"Review inputs")</x:f>
      </x:c>
      <x:c r="AR156" s="23" t="str">
        <x:f>IF(C156="","",IF(AQ156&lt;&gt;"Ready","Unavailable",IF(C156="","",IF(O156=0,0,(IF(AJ156&lt;=1,O156,O156*INDEX('Facilities'!$R$9:$R$108,MATCH(C156,'Facilities'!$C$9:$C$108,0)))+O156*INDEX('Facilities'!$T$9:$T$108,MATCH(C156,'Facilities'!$C$9:$C$108,0)))/12))))</x:f>
      </x:c>
    </x:row>
    <x:row r="157" ht="26" customHeight="1">
      <x:c r="A157" s="1"/>
      <x:c r="B157" s="1"/>
      <x:c r="C157" s="9" t="str">
        <x:f>IF(Facilities!C57="","",Facilities!C57)</x:f>
      </x:c>
      <x:c r="D157" s="3" t="n">
        <x:v>2</x:v>
      </x:c>
      <x:c r="E157" s="9" t="n">
        <x:f>Settings!$F$18+1</x:f>
        <x:v>2028</x:v>
      </x:c>
      <x:c r="F157" s="9" t="str">
        <x:f>IF(C157="","",IFERROR(INDEX('Facilities'!$D$9:$D$108,MATCH(C157,'Facilities'!$C$9:$C$108,0)),"Unavailable"))</x:f>
      </x:c>
      <x:c r="G157" s="21" t="str">
        <x:f>IF(C157="","",IFERROR(O57,"Unavailable"))</x:f>
      </x:c>
      <x:c r="H157" s="21" t="str">
        <x:f>IF(C157="","",IFERROR(P57,"Unavailable"))</x:f>
      </x:c>
      <x:c r="I157" s="21" t="str">
        <x:f>IF(C157="","",IFERROR(Q57,"Unavailable"))</x:f>
      </x:c>
      <x:c r="J157" s="23" t="str">
        <x:f>IF(C157="","",IFERROR(IF(OR(H157&gt;0,AND(AC157&gt;=0,AC157&lt;D157),D157&gt;INDEX('Facilities'!$J$9:$J$108,MATCH(C157,'Facilities'!$C$9:$C$108,0))),0,I157*'Scenario Paths'!G81),"Unavailable"))</x:f>
      </x:c>
      <x:c r="K157" s="23" t="str">
        <x:f>IF(C157="","",IFERROR(IF(OR(H157&gt;0,AND(AC157&gt;=0,AC157=D157)),0,IF(D157&gt;=INDEX('Facilities'!$J$9:$J$108,MATCH(C157,'Facilities'!$C$9:$C$108,0)),G157+J157,MIN(G157+J157,G157*INDEX('Facilities'!$R$9:$R$108,MATCH(C157,'Facilities'!$C$9:$C$108,0))))),"Unavailable"))</x:f>
      </x:c>
      <x:c r="L157" s="21" t="str">
        <x:f>IF(C157="","",IFERROR(IF(AND(AC157=D157,AC157&gt;0),MAX(0,G157+J157-K157),0),"Unavailable"))</x:f>
      </x:c>
      <x:c r="M157" s="23" t="str">
        <x:f>IF(C157="","",IFERROR(IF(AND(AC157&gt;=0,D157&gt;=AC157+INDEX('Facilities'!$AK$9:$AK$108,MATCH(C157,'Facilities'!$C$9:$C$108,0))),(H157+L157)*AM157,0),"Unavailable"))</x:f>
      </x:c>
      <x:c r="N157" s="23" t="str">
        <x:f>IF(C157="","",IFERROR(IF(AND(AC157&gt;=0,D157&gt;=AC157+INDEX('Facilities'!$AK$9:$AK$108,MATCH(C157,'Facilities'!$C$9:$C$108,0))),H157+L157-M157,0),"Unavailable"))</x:f>
      </x:c>
      <x:c r="O157" s="21" t="str">
        <x:f>IF(C157="","",IFERROR(MAX(0,G157+J157-K157-L157),"Unavailable"))</x:f>
      </x:c>
      <x:c r="P157" s="21" t="str">
        <x:f>IF(C157="","",IFERROR(MAX(0,H157+L157-M157-N157),"Unavailable"))</x:f>
      </x:c>
      <x:c r="Q157" s="23" t="str">
        <x:f>IF(C157="","",IFERROR(IF(OR(D157&gt;=INDEX('Facilities'!$J$9:$J$108,MATCH(C157,'Facilities'!$C$9:$C$108,0)),AND(AC157&gt;=0,AC157&lt;=D157)),0,MAX(0,I157-J157)),"Unavailable"))</x:f>
      </x:c>
      <x:c r="R157" s="30" t="str">
        <x:f>IF(C157="","",IFERROR(INDEX(Credit!$Q$109:$Q$208,MATCH(F157,Credit!$C$109:$C$208,0)),"Unavailable"))</x:f>
      </x:c>
      <x:c r="S157" s="30" t="str">
        <x:f>IF(C157="","",IFERROR(INDEX(Credit!$R$109:$R$208,MATCH(F157,Credit!$C$109:$C$208,0)),"Unavailable"))</x:f>
      </x:c>
      <x:c r="T157" s="23" t="str">
        <x:f>IF(C157="","",IFERROR(IF(P157&gt;0,3,IF(OR(INDEX('Facilities'!$AD$9:$AD$108,MATCH(C157,'Facilities'!$C$9:$C$108,0))=2,AND(R157&gt;=INDEX('Facilities'!$L$9:$L$108,MATCH(C157,'Facilities'!$C$9:$C$108,0))*Settings!$F$19,R157-INDEX('Facilities'!$L$9:$L$108,MATCH(C157,'Facilities'!$C$9:$C$108,0))&gt;=Settings!$F$20)),2,1)),"Unavailable"))</x:f>
      </x:c>
      <x:c r="U157" s="23" t="str">
        <x:f>IF(C157="","",IF(AQ157&lt;&gt;"Ready","Unavailable",IF(C157="","",O157*(1-(1-S157)/(1+INDEX('Facilities'!$K$9:$K$108,MATCH(C157,'Facilities'!$C$9:$C$108,0)))^INDEX('Facilities'!$AK$9:$AK$108,MATCH(C157,'Facilities'!$C$9:$C$108,0)))*R157/(1+INDEX('Facilities'!$K$9:$K$108,MATCH(C157,'Facilities'!$C$9:$C$108,0)))*IF(ABS(1-(1-R157)*(1-INDEX('Facilities'!$R$9:$R$108,MATCH(C157,'Facilities'!$C$9:$C$108,0)))/(1+INDEX('Facilities'!$K$9:$K$108,MATCH(C157,'Facilities'!$C$9:$C$108,0))))&lt;0.000000001,IF(T157=1,MIN(1,AJ157),AJ157),(1-((1-R157)*(1-INDEX('Facilities'!$R$9:$R$108,MATCH(C157,'Facilities'!$C$9:$C$108,0)))/(1+INDEX('Facilities'!$K$9:$K$108,MATCH(C157,'Facilities'!$C$9:$C$108,0))))^IF(T157=1,MIN(1,AJ157),AJ157))/(1-(1-R157)*(1-INDEX('Facilities'!$R$9:$R$108,MATCH(C157,'Facilities'!$C$9:$C$108,0)))/(1+INDEX('Facilities'!$K$9:$K$108,MATCH(C157,'Facilities'!$C$9:$C$108,0)))))+AL157)))</x:f>
      </x:c>
      <x:c r="V157" s="23" t="str">
        <x:f>IF(C157="","",IF(AQ157&lt;&gt;"Ready","Unavailable",IF(C157="","",Q157*INDEX('Facilities'!$I$9:$I$108,MATCH(C157,'Facilities'!$C$9:$C$108,0))*(1-(1-S157)/(1+INDEX('Facilities'!$K$9:$K$108,MATCH(C157,'Facilities'!$C$9:$C$108,0)))^INDEX('Facilities'!$AK$9:$AK$108,MATCH(C157,'Facilities'!$C$9:$C$108,0)))*R157/(1+INDEX('Facilities'!$K$9:$K$108,MATCH(C157,'Facilities'!$C$9:$C$108,0)))*IF(ABS(1-(1-R157)*(1-0)/(1+INDEX('Facilities'!$K$9:$K$108,MATCH(C157,'Facilities'!$C$9:$C$108,0))))&lt;0.000000001,IF(T157=1,MIN(1,AJ157),AJ157),(1-((1-R157)*(1-0)/(1+INDEX('Facilities'!$K$9:$K$108,MATCH(C157,'Facilities'!$C$9:$C$108,0))))^IF(T157=1,MIN(1,AJ157),AJ157))/(1-(1-R157)*(1-0)/(1+INDEX('Facilities'!$K$9:$K$108,MATCH(C157,'Facilities'!$C$9:$C$108,0))))))))</x:f>
      </x:c>
      <x:c r="W157" s="21" t="str">
        <x:f>IF(C157="","",IFERROR(U57,"Unavailable"))</x:f>
      </x:c>
      <x:c r="X157" s="21" t="str">
        <x:f>IF(C157="","",IFERROR(V57,"Unavailable"))</x:f>
      </x:c>
      <x:c r="Y157" s="21" t="str">
        <x:f>IF(C157="","",IF(AQ157&lt;&gt;"Ready","Unavailable",IF(C157="","",U157-W157+V157-X157+N157+AG157)))</x:f>
      </x:c>
      <x:c r="Z157" s="23" t="str">
        <x:f>IF(C157="","",IF(AQ157&lt;&gt;"Ready","Unavailable",IF(C157="","",(G157+O157+L157)/2*INDEX('Facilities'!$T$9:$T$108,MATCH(C157,'Facilities'!$C$9:$C$108,0))+AG157)))</x:f>
      </x:c>
      <x:c r="AA157" s="23" t="str">
        <x:f>IF(C157="","",IF(AQ157&lt;&gt;"Ready","Unavailable",IF(C157="","",O157*(1-IF(INDEX('Facilities'!$AA$9:$AA$108,MATCH(C157,'Facilities'!$C$9:$C$108,0))=0,0,MIN(1,INDEX('Facilities'!$X$9:$X$108,MATCH(C157,'Facilities'!$C$9:$C$108,0))/INDEX('Facilities'!$AA$9:$AA$108,MATCH(C157,'Facilities'!$C$9:$C$108,0)))))*AF157+P157*(1-IF(INDEX('Facilities'!$AA$9:$AA$108,MATCH(C157,'Facilities'!$C$9:$C$108,0))=0,0,MIN(1,INDEX('Facilities'!$X$9:$X$108,MATCH(C157,'Facilities'!$C$9:$C$108,0))/INDEX('Facilities'!$AA$9:$AA$108,MATCH(C157,'Facilities'!$C$9:$C$108,0)))))*INDEX('Facilities'!$AJ$9:$AJ$108,MATCH(C157,'Facilities'!$C$9:$C$108,0))+Q157*INDEX('Facilities'!$AI$9:$AI$108,MATCH(C157,'Facilities'!$C$9:$C$108,0))*AF157)))</x:f>
      </x:c>
      <x:c r="AB157" s="21" t="str">
        <x:f>IF(C157="","",O157+P157-AD157)</x:f>
      </x:c>
      <x:c r="AC157" s="23" t="str">
        <x:f>IF(C157="","",IFERROR(IF(INDEX('Facilities'!$AD$9:$AD$108,MATCH(C157,'Facilities'!$C$9:$C$108,0))=3,0,IF(INDEX('Facilities'!$AN$9:$AN$108,MATCH(C157,'Facilities'!$C$9:$C$108,0))=0,-1,INDEX('Facilities'!$AN$9:$AN$108,MATCH(C157,'Facilities'!$C$9:$C$108,0)))),"Unavailable"))</x:f>
      </x:c>
      <x:c r="AD157" s="21" t="str">
        <x:f>IF(C157="","",IFERROR(G157+H157,"Unavailable"))</x:f>
      </x:c>
      <x:c r="AE157" s="21" t="str">
        <x:f>IF(C157="","",IF(AQ157&lt;&gt;"Ready","Unavailable",IF(C157="","",O157+P157-AD157-J157+K157+M157+N157)))</x:f>
      </x:c>
      <x:c r="AF157" s="30" t="str">
        <x:f>IF(C157="","",IFERROR(INDEX('Facilities'!$S$9:$S$108,MATCH(C157,'Facilities'!$C$9:$C$108,0))*'Scenario Paths'!G75,"Unavailable"))</x:f>
      </x:c>
      <x:c r="AG157" s="23" t="str">
        <x:f>IF(C157="","",IF(AQ157&lt;&gt;"Ready","Unavailable",IF(C157="","",IF(H157&gt;0,MAX(0,H157-AK157)*((1+INDEX('Facilities'!$K$9:$K$108,MATCH(C157,'Facilities'!$C$9:$C$108,0)))^MIN(1,MAX(0,AC157+INDEX('Facilities'!$AK$9:$AK$108,MATCH(C157,'Facilities'!$C$9:$C$108,0))-D157+1))-1),0))))</x:f>
      </x:c>
      <x:c r="AH157" s="21" t="str">
        <x:f>IF(C157="","",IF(AQ157&lt;&gt;"Ready","Unavailable",IF(C157="","",O157+P157)))</x:f>
      </x:c>
      <x:c r="AI157" s="21" t="str">
        <x:f>IF(C157="","",IF(AQ157&lt;&gt;"Ready","Unavailable",IF(C157="","",Z157-Y157)))</x:f>
      </x:c>
      <x:c r="AJ157" s="23" t="str">
        <x:f>IF(C157="","",IFERROR(MAX(0,INDEX('Facilities'!$J$9:$J$108,MATCH(C157,'Facilities'!$C$9:$C$108,0))-D157),"Unavailable"))</x:f>
      </x:c>
      <x:c r="AK157" s="21" t="str">
        <x:f>IF(C157="","",IFERROR(AL57,"Unavailable"))</x:f>
      </x:c>
      <x:c r="AL157" s="23" t="str">
        <x:f>IF(C157="","",IFERROR(IF(P157&gt;0,P157*(1-AM157/(1+INDEX('Facilities'!$K$9:$K$108,MATCH(C157,'Facilities'!$C$9:$C$108,0)))^MAX(0,AC157+INDEX('Facilities'!$AK$9:$AK$108,MATCH(C157,'Facilities'!$C$9:$C$108,0))-D157)),0),"Unavailable"))</x:f>
      </x:c>
      <x:c r="AM157" s="30" t="str">
        <x:f>IF(C157="","",IFERROR(INDEX('Facilities'!$AL$9:$AL$108,MATCH(C157,'Facilities'!$C$9:$C$108,0)),"Unavailable"))</x:f>
      </x:c>
      <x:c r="AN157" s="30" t="str">
        <x:f>IF(C157="","",IFERROR(INDEX(Credit!$T$109:$T$208,MATCH(F157,Credit!$C$109:$C$208,0)),"Unavailable"))</x:f>
      </x:c>
      <x:c r="AO157" s="23" t="str">
        <x:f>IF(C157="","",IF(AQ157&lt;&gt;"Ready","Unavailable",IF(C157="","",O157+P157+Q157*INDEX('Facilities'!$I$9:$I$108,MATCH(C157,'Facilities'!$C$9:$C$108,0)))))</x:f>
      </x:c>
      <x:c r="AP157" s="21" t="str">
        <x:f>IF(C157="","",IF(AQ157&lt;&gt;"Ready","Unavailable",IF(C157="","",AH157-U157)))</x:f>
      </x:c>
      <x:c r="AQ157" s="23" t="str">
        <x:f>IFERROR(IF(C157="","",IF(AND(INDEX('Facilities'!$AF$9:$AF$108,MATCH(C157,'Facilities'!$C$9:$C$108,0))="Ready",INDEX(Credit!$U$109:$U$208,MATCH(F157,Credit!$C$109:$C$208,0))="Ready",ISNUMBER(W157)),"Ready","Review inputs")),"Review inputs")</x:f>
      </x:c>
      <x:c r="AR157" s="23" t="str">
        <x:f>IF(C157="","",IF(AQ157&lt;&gt;"Ready","Unavailable",IF(C157="","",IF(O157=0,0,(IF(AJ157&lt;=1,O157,O157*INDEX('Facilities'!$R$9:$R$108,MATCH(C157,'Facilities'!$C$9:$C$108,0)))+O157*INDEX('Facilities'!$T$9:$T$108,MATCH(C157,'Facilities'!$C$9:$C$108,0)))/12))))</x:f>
      </x:c>
    </x:row>
    <x:row r="158" ht="26" customHeight="1">
      <x:c r="A158" s="1"/>
      <x:c r="B158" s="1"/>
      <x:c r="C158" s="9" t="str">
        <x:f>IF(Facilities!C58="","",Facilities!C58)</x:f>
      </x:c>
      <x:c r="D158" s="3" t="n">
        <x:v>2</x:v>
      </x:c>
      <x:c r="E158" s="9" t="n">
        <x:f>Settings!$F$18+1</x:f>
        <x:v>2028</x:v>
      </x:c>
      <x:c r="F158" s="9" t="str">
        <x:f>IF(C158="","",IFERROR(INDEX('Facilities'!$D$9:$D$108,MATCH(C158,'Facilities'!$C$9:$C$108,0)),"Unavailable"))</x:f>
      </x:c>
      <x:c r="G158" s="21" t="str">
        <x:f>IF(C158="","",IFERROR(O58,"Unavailable"))</x:f>
      </x:c>
      <x:c r="H158" s="21" t="str">
        <x:f>IF(C158="","",IFERROR(P58,"Unavailable"))</x:f>
      </x:c>
      <x:c r="I158" s="21" t="str">
        <x:f>IF(C158="","",IFERROR(Q58,"Unavailable"))</x:f>
      </x:c>
      <x:c r="J158" s="23" t="str">
        <x:f>IF(C158="","",IFERROR(IF(OR(H158&gt;0,AND(AC158&gt;=0,AC158&lt;D158),D158&gt;INDEX('Facilities'!$J$9:$J$108,MATCH(C158,'Facilities'!$C$9:$C$108,0))),0,I158*'Scenario Paths'!G81),"Unavailable"))</x:f>
      </x:c>
      <x:c r="K158" s="23" t="str">
        <x:f>IF(C158="","",IFERROR(IF(OR(H158&gt;0,AND(AC158&gt;=0,AC158=D158)),0,IF(D158&gt;=INDEX('Facilities'!$J$9:$J$108,MATCH(C158,'Facilities'!$C$9:$C$108,0)),G158+J158,MIN(G158+J158,G158*INDEX('Facilities'!$R$9:$R$108,MATCH(C158,'Facilities'!$C$9:$C$108,0))))),"Unavailable"))</x:f>
      </x:c>
      <x:c r="L158" s="21" t="str">
        <x:f>IF(C158="","",IFERROR(IF(AND(AC158=D158,AC158&gt;0),MAX(0,G158+J158-K158),0),"Unavailable"))</x:f>
      </x:c>
      <x:c r="M158" s="23" t="str">
        <x:f>IF(C158="","",IFERROR(IF(AND(AC158&gt;=0,D158&gt;=AC158+INDEX('Facilities'!$AK$9:$AK$108,MATCH(C158,'Facilities'!$C$9:$C$108,0))),(H158+L158)*AM158,0),"Unavailable"))</x:f>
      </x:c>
      <x:c r="N158" s="23" t="str">
        <x:f>IF(C158="","",IFERROR(IF(AND(AC158&gt;=0,D158&gt;=AC158+INDEX('Facilities'!$AK$9:$AK$108,MATCH(C158,'Facilities'!$C$9:$C$108,0))),H158+L158-M158,0),"Unavailable"))</x:f>
      </x:c>
      <x:c r="O158" s="21" t="str">
        <x:f>IF(C158="","",IFERROR(MAX(0,G158+J158-K158-L158),"Unavailable"))</x:f>
      </x:c>
      <x:c r="P158" s="21" t="str">
        <x:f>IF(C158="","",IFERROR(MAX(0,H158+L158-M158-N158),"Unavailable"))</x:f>
      </x:c>
      <x:c r="Q158" s="23" t="str">
        <x:f>IF(C158="","",IFERROR(IF(OR(D158&gt;=INDEX('Facilities'!$J$9:$J$108,MATCH(C158,'Facilities'!$C$9:$C$108,0)),AND(AC158&gt;=0,AC158&lt;=D158)),0,MAX(0,I158-J158)),"Unavailable"))</x:f>
      </x:c>
      <x:c r="R158" s="30" t="str">
        <x:f>IF(C158="","",IFERROR(INDEX(Credit!$Q$109:$Q$208,MATCH(F158,Credit!$C$109:$C$208,0)),"Unavailable"))</x:f>
      </x:c>
      <x:c r="S158" s="30" t="str">
        <x:f>IF(C158="","",IFERROR(INDEX(Credit!$R$109:$R$208,MATCH(F158,Credit!$C$109:$C$208,0)),"Unavailable"))</x:f>
      </x:c>
      <x:c r="T158" s="23" t="str">
        <x:f>IF(C158="","",IFERROR(IF(P158&gt;0,3,IF(OR(INDEX('Facilities'!$AD$9:$AD$108,MATCH(C158,'Facilities'!$C$9:$C$108,0))=2,AND(R158&gt;=INDEX('Facilities'!$L$9:$L$108,MATCH(C158,'Facilities'!$C$9:$C$108,0))*Settings!$F$19,R158-INDEX('Facilities'!$L$9:$L$108,MATCH(C158,'Facilities'!$C$9:$C$108,0))&gt;=Settings!$F$20)),2,1)),"Unavailable"))</x:f>
      </x:c>
      <x:c r="U158" s="23" t="str">
        <x:f>IF(C158="","",IF(AQ158&lt;&gt;"Ready","Unavailable",IF(C158="","",O158*(1-(1-S158)/(1+INDEX('Facilities'!$K$9:$K$108,MATCH(C158,'Facilities'!$C$9:$C$108,0)))^INDEX('Facilities'!$AK$9:$AK$108,MATCH(C158,'Facilities'!$C$9:$C$108,0)))*R158/(1+INDEX('Facilities'!$K$9:$K$108,MATCH(C158,'Facilities'!$C$9:$C$108,0)))*IF(ABS(1-(1-R158)*(1-INDEX('Facilities'!$R$9:$R$108,MATCH(C158,'Facilities'!$C$9:$C$108,0)))/(1+INDEX('Facilities'!$K$9:$K$108,MATCH(C158,'Facilities'!$C$9:$C$108,0))))&lt;0.000000001,IF(T158=1,MIN(1,AJ158),AJ158),(1-((1-R158)*(1-INDEX('Facilities'!$R$9:$R$108,MATCH(C158,'Facilities'!$C$9:$C$108,0)))/(1+INDEX('Facilities'!$K$9:$K$108,MATCH(C158,'Facilities'!$C$9:$C$108,0))))^IF(T158=1,MIN(1,AJ158),AJ158))/(1-(1-R158)*(1-INDEX('Facilities'!$R$9:$R$108,MATCH(C158,'Facilities'!$C$9:$C$108,0)))/(1+INDEX('Facilities'!$K$9:$K$108,MATCH(C158,'Facilities'!$C$9:$C$108,0)))))+AL158)))</x:f>
      </x:c>
      <x:c r="V158" s="23" t="str">
        <x:f>IF(C158="","",IF(AQ158&lt;&gt;"Ready","Unavailable",IF(C158="","",Q158*INDEX('Facilities'!$I$9:$I$108,MATCH(C158,'Facilities'!$C$9:$C$108,0))*(1-(1-S158)/(1+INDEX('Facilities'!$K$9:$K$108,MATCH(C158,'Facilities'!$C$9:$C$108,0)))^INDEX('Facilities'!$AK$9:$AK$108,MATCH(C158,'Facilities'!$C$9:$C$108,0)))*R158/(1+INDEX('Facilities'!$K$9:$K$108,MATCH(C158,'Facilities'!$C$9:$C$108,0)))*IF(ABS(1-(1-R158)*(1-0)/(1+INDEX('Facilities'!$K$9:$K$108,MATCH(C158,'Facilities'!$C$9:$C$108,0))))&lt;0.000000001,IF(T158=1,MIN(1,AJ158),AJ158),(1-((1-R158)*(1-0)/(1+INDEX('Facilities'!$K$9:$K$108,MATCH(C158,'Facilities'!$C$9:$C$108,0))))^IF(T158=1,MIN(1,AJ158),AJ158))/(1-(1-R158)*(1-0)/(1+INDEX('Facilities'!$K$9:$K$108,MATCH(C158,'Facilities'!$C$9:$C$108,0))))))))</x:f>
      </x:c>
      <x:c r="W158" s="21" t="str">
        <x:f>IF(C158="","",IFERROR(U58,"Unavailable"))</x:f>
      </x:c>
      <x:c r="X158" s="21" t="str">
        <x:f>IF(C158="","",IFERROR(V58,"Unavailable"))</x:f>
      </x:c>
      <x:c r="Y158" s="21" t="str">
        <x:f>IF(C158="","",IF(AQ158&lt;&gt;"Ready","Unavailable",IF(C158="","",U158-W158+V158-X158+N158+AG158)))</x:f>
      </x:c>
      <x:c r="Z158" s="23" t="str">
        <x:f>IF(C158="","",IF(AQ158&lt;&gt;"Ready","Unavailable",IF(C158="","",(G158+O158+L158)/2*INDEX('Facilities'!$T$9:$T$108,MATCH(C158,'Facilities'!$C$9:$C$108,0))+AG158)))</x:f>
      </x:c>
      <x:c r="AA158" s="23" t="str">
        <x:f>IF(C158="","",IF(AQ158&lt;&gt;"Ready","Unavailable",IF(C158="","",O158*(1-IF(INDEX('Facilities'!$AA$9:$AA$108,MATCH(C158,'Facilities'!$C$9:$C$108,0))=0,0,MIN(1,INDEX('Facilities'!$X$9:$X$108,MATCH(C158,'Facilities'!$C$9:$C$108,0))/INDEX('Facilities'!$AA$9:$AA$108,MATCH(C158,'Facilities'!$C$9:$C$108,0)))))*AF158+P158*(1-IF(INDEX('Facilities'!$AA$9:$AA$108,MATCH(C158,'Facilities'!$C$9:$C$108,0))=0,0,MIN(1,INDEX('Facilities'!$X$9:$X$108,MATCH(C158,'Facilities'!$C$9:$C$108,0))/INDEX('Facilities'!$AA$9:$AA$108,MATCH(C158,'Facilities'!$C$9:$C$108,0)))))*INDEX('Facilities'!$AJ$9:$AJ$108,MATCH(C158,'Facilities'!$C$9:$C$108,0))+Q158*INDEX('Facilities'!$AI$9:$AI$108,MATCH(C158,'Facilities'!$C$9:$C$108,0))*AF158)))</x:f>
      </x:c>
      <x:c r="AB158" s="21" t="str">
        <x:f>IF(C158="","",O158+P158-AD158)</x:f>
      </x:c>
      <x:c r="AC158" s="23" t="str">
        <x:f>IF(C158="","",IFERROR(IF(INDEX('Facilities'!$AD$9:$AD$108,MATCH(C158,'Facilities'!$C$9:$C$108,0))=3,0,IF(INDEX('Facilities'!$AN$9:$AN$108,MATCH(C158,'Facilities'!$C$9:$C$108,0))=0,-1,INDEX('Facilities'!$AN$9:$AN$108,MATCH(C158,'Facilities'!$C$9:$C$108,0)))),"Unavailable"))</x:f>
      </x:c>
      <x:c r="AD158" s="21" t="str">
        <x:f>IF(C158="","",IFERROR(G158+H158,"Unavailable"))</x:f>
      </x:c>
      <x:c r="AE158" s="21" t="str">
        <x:f>IF(C158="","",IF(AQ158&lt;&gt;"Ready","Unavailable",IF(C158="","",O158+P158-AD158-J158+K158+M158+N158)))</x:f>
      </x:c>
      <x:c r="AF158" s="30" t="str">
        <x:f>IF(C158="","",IFERROR(INDEX('Facilities'!$S$9:$S$108,MATCH(C158,'Facilities'!$C$9:$C$108,0))*'Scenario Paths'!G75,"Unavailable"))</x:f>
      </x:c>
      <x:c r="AG158" s="23" t="str">
        <x:f>IF(C158="","",IF(AQ158&lt;&gt;"Ready","Unavailable",IF(C158="","",IF(H158&gt;0,MAX(0,H158-AK158)*((1+INDEX('Facilities'!$K$9:$K$108,MATCH(C158,'Facilities'!$C$9:$C$108,0)))^MIN(1,MAX(0,AC158+INDEX('Facilities'!$AK$9:$AK$108,MATCH(C158,'Facilities'!$C$9:$C$108,0))-D158+1))-1),0))))</x:f>
      </x:c>
      <x:c r="AH158" s="21" t="str">
        <x:f>IF(C158="","",IF(AQ158&lt;&gt;"Ready","Unavailable",IF(C158="","",O158+P158)))</x:f>
      </x:c>
      <x:c r="AI158" s="21" t="str">
        <x:f>IF(C158="","",IF(AQ158&lt;&gt;"Ready","Unavailable",IF(C158="","",Z158-Y158)))</x:f>
      </x:c>
      <x:c r="AJ158" s="23" t="str">
        <x:f>IF(C158="","",IFERROR(MAX(0,INDEX('Facilities'!$J$9:$J$108,MATCH(C158,'Facilities'!$C$9:$C$108,0))-D158),"Unavailable"))</x:f>
      </x:c>
      <x:c r="AK158" s="21" t="str">
        <x:f>IF(C158="","",IFERROR(AL58,"Unavailable"))</x:f>
      </x:c>
      <x:c r="AL158" s="23" t="str">
        <x:f>IF(C158="","",IFERROR(IF(P158&gt;0,P158*(1-AM158/(1+INDEX('Facilities'!$K$9:$K$108,MATCH(C158,'Facilities'!$C$9:$C$108,0)))^MAX(0,AC158+INDEX('Facilities'!$AK$9:$AK$108,MATCH(C158,'Facilities'!$C$9:$C$108,0))-D158)),0),"Unavailable"))</x:f>
      </x:c>
      <x:c r="AM158" s="30" t="str">
        <x:f>IF(C158="","",IFERROR(INDEX('Facilities'!$AL$9:$AL$108,MATCH(C158,'Facilities'!$C$9:$C$108,0)),"Unavailable"))</x:f>
      </x:c>
      <x:c r="AN158" s="30" t="str">
        <x:f>IF(C158="","",IFERROR(INDEX(Credit!$T$109:$T$208,MATCH(F158,Credit!$C$109:$C$208,0)),"Unavailable"))</x:f>
      </x:c>
      <x:c r="AO158" s="23" t="str">
        <x:f>IF(C158="","",IF(AQ158&lt;&gt;"Ready","Unavailable",IF(C158="","",O158+P158+Q158*INDEX('Facilities'!$I$9:$I$108,MATCH(C158,'Facilities'!$C$9:$C$108,0)))))</x:f>
      </x:c>
      <x:c r="AP158" s="21" t="str">
        <x:f>IF(C158="","",IF(AQ158&lt;&gt;"Ready","Unavailable",IF(C158="","",AH158-U158)))</x:f>
      </x:c>
      <x:c r="AQ158" s="23" t="str">
        <x:f>IFERROR(IF(C158="","",IF(AND(INDEX('Facilities'!$AF$9:$AF$108,MATCH(C158,'Facilities'!$C$9:$C$108,0))="Ready",INDEX(Credit!$U$109:$U$208,MATCH(F158,Credit!$C$109:$C$208,0))="Ready",ISNUMBER(W158)),"Ready","Review inputs")),"Review inputs")</x:f>
      </x:c>
      <x:c r="AR158" s="23" t="str">
        <x:f>IF(C158="","",IF(AQ158&lt;&gt;"Ready","Unavailable",IF(C158="","",IF(O158=0,0,(IF(AJ158&lt;=1,O158,O158*INDEX('Facilities'!$R$9:$R$108,MATCH(C158,'Facilities'!$C$9:$C$108,0)))+O158*INDEX('Facilities'!$T$9:$T$108,MATCH(C158,'Facilities'!$C$9:$C$108,0)))/12))))</x:f>
      </x:c>
    </x:row>
    <x:row r="159" ht="26" customHeight="1">
      <x:c r="A159" s="1"/>
      <x:c r="B159" s="1"/>
      <x:c r="C159" s="9" t="str">
        <x:f>IF(Facilities!C59="","",Facilities!C59)</x:f>
      </x:c>
      <x:c r="D159" s="3" t="n">
        <x:v>2</x:v>
      </x:c>
      <x:c r="E159" s="9" t="n">
        <x:f>Settings!$F$18+1</x:f>
        <x:v>2028</x:v>
      </x:c>
      <x:c r="F159" s="9" t="str">
        <x:f>IF(C159="","",IFERROR(INDEX('Facilities'!$D$9:$D$108,MATCH(C159,'Facilities'!$C$9:$C$108,0)),"Unavailable"))</x:f>
      </x:c>
      <x:c r="G159" s="21" t="str">
        <x:f>IF(C159="","",IFERROR(O59,"Unavailable"))</x:f>
      </x:c>
      <x:c r="H159" s="21" t="str">
        <x:f>IF(C159="","",IFERROR(P59,"Unavailable"))</x:f>
      </x:c>
      <x:c r="I159" s="21" t="str">
        <x:f>IF(C159="","",IFERROR(Q59,"Unavailable"))</x:f>
      </x:c>
      <x:c r="J159" s="23" t="str">
        <x:f>IF(C159="","",IFERROR(IF(OR(H159&gt;0,AND(AC159&gt;=0,AC159&lt;D159),D159&gt;INDEX('Facilities'!$J$9:$J$108,MATCH(C159,'Facilities'!$C$9:$C$108,0))),0,I159*'Scenario Paths'!G81),"Unavailable"))</x:f>
      </x:c>
      <x:c r="K159" s="23" t="str">
        <x:f>IF(C159="","",IFERROR(IF(OR(H159&gt;0,AND(AC159&gt;=0,AC159=D159)),0,IF(D159&gt;=INDEX('Facilities'!$J$9:$J$108,MATCH(C159,'Facilities'!$C$9:$C$108,0)),G159+J159,MIN(G159+J159,G159*INDEX('Facilities'!$R$9:$R$108,MATCH(C159,'Facilities'!$C$9:$C$108,0))))),"Unavailable"))</x:f>
      </x:c>
      <x:c r="L159" s="21" t="str">
        <x:f>IF(C159="","",IFERROR(IF(AND(AC159=D159,AC159&gt;0),MAX(0,G159+J159-K159),0),"Unavailable"))</x:f>
      </x:c>
      <x:c r="M159" s="23" t="str">
        <x:f>IF(C159="","",IFERROR(IF(AND(AC159&gt;=0,D159&gt;=AC159+INDEX('Facilities'!$AK$9:$AK$108,MATCH(C159,'Facilities'!$C$9:$C$108,0))),(H159+L159)*AM159,0),"Unavailable"))</x:f>
      </x:c>
      <x:c r="N159" s="23" t="str">
        <x:f>IF(C159="","",IFERROR(IF(AND(AC159&gt;=0,D159&gt;=AC159+INDEX('Facilities'!$AK$9:$AK$108,MATCH(C159,'Facilities'!$C$9:$C$108,0))),H159+L159-M159,0),"Unavailable"))</x:f>
      </x:c>
      <x:c r="O159" s="21" t="str">
        <x:f>IF(C159="","",IFERROR(MAX(0,G159+J159-K159-L159),"Unavailable"))</x:f>
      </x:c>
      <x:c r="P159" s="21" t="str">
        <x:f>IF(C159="","",IFERROR(MAX(0,H159+L159-M159-N159),"Unavailable"))</x:f>
      </x:c>
      <x:c r="Q159" s="23" t="str">
        <x:f>IF(C159="","",IFERROR(IF(OR(D159&gt;=INDEX('Facilities'!$J$9:$J$108,MATCH(C159,'Facilities'!$C$9:$C$108,0)),AND(AC159&gt;=0,AC159&lt;=D159)),0,MAX(0,I159-J159)),"Unavailable"))</x:f>
      </x:c>
      <x:c r="R159" s="30" t="str">
        <x:f>IF(C159="","",IFERROR(INDEX(Credit!$Q$109:$Q$208,MATCH(F159,Credit!$C$109:$C$208,0)),"Unavailable"))</x:f>
      </x:c>
      <x:c r="S159" s="30" t="str">
        <x:f>IF(C159="","",IFERROR(INDEX(Credit!$R$109:$R$208,MATCH(F159,Credit!$C$109:$C$208,0)),"Unavailable"))</x:f>
      </x:c>
      <x:c r="T159" s="23" t="str">
        <x:f>IF(C159="","",IFERROR(IF(P159&gt;0,3,IF(OR(INDEX('Facilities'!$AD$9:$AD$108,MATCH(C159,'Facilities'!$C$9:$C$108,0))=2,AND(R159&gt;=INDEX('Facilities'!$L$9:$L$108,MATCH(C159,'Facilities'!$C$9:$C$108,0))*Settings!$F$19,R159-INDEX('Facilities'!$L$9:$L$108,MATCH(C159,'Facilities'!$C$9:$C$108,0))&gt;=Settings!$F$20)),2,1)),"Unavailable"))</x:f>
      </x:c>
      <x:c r="U159" s="23" t="str">
        <x:f>IF(C159="","",IF(AQ159&lt;&gt;"Ready","Unavailable",IF(C159="","",O159*(1-(1-S159)/(1+INDEX('Facilities'!$K$9:$K$108,MATCH(C159,'Facilities'!$C$9:$C$108,0)))^INDEX('Facilities'!$AK$9:$AK$108,MATCH(C159,'Facilities'!$C$9:$C$108,0)))*R159/(1+INDEX('Facilities'!$K$9:$K$108,MATCH(C159,'Facilities'!$C$9:$C$108,0)))*IF(ABS(1-(1-R159)*(1-INDEX('Facilities'!$R$9:$R$108,MATCH(C159,'Facilities'!$C$9:$C$108,0)))/(1+INDEX('Facilities'!$K$9:$K$108,MATCH(C159,'Facilities'!$C$9:$C$108,0))))&lt;0.000000001,IF(T159=1,MIN(1,AJ159),AJ159),(1-((1-R159)*(1-INDEX('Facilities'!$R$9:$R$108,MATCH(C159,'Facilities'!$C$9:$C$108,0)))/(1+INDEX('Facilities'!$K$9:$K$108,MATCH(C159,'Facilities'!$C$9:$C$108,0))))^IF(T159=1,MIN(1,AJ159),AJ159))/(1-(1-R159)*(1-INDEX('Facilities'!$R$9:$R$108,MATCH(C159,'Facilities'!$C$9:$C$108,0)))/(1+INDEX('Facilities'!$K$9:$K$108,MATCH(C159,'Facilities'!$C$9:$C$108,0)))))+AL159)))</x:f>
      </x:c>
      <x:c r="V159" s="23" t="str">
        <x:f>IF(C159="","",IF(AQ159&lt;&gt;"Ready","Unavailable",IF(C159="","",Q159*INDEX('Facilities'!$I$9:$I$108,MATCH(C159,'Facilities'!$C$9:$C$108,0))*(1-(1-S159)/(1+INDEX('Facilities'!$K$9:$K$108,MATCH(C159,'Facilities'!$C$9:$C$108,0)))^INDEX('Facilities'!$AK$9:$AK$108,MATCH(C159,'Facilities'!$C$9:$C$108,0)))*R159/(1+INDEX('Facilities'!$K$9:$K$108,MATCH(C159,'Facilities'!$C$9:$C$108,0)))*IF(ABS(1-(1-R159)*(1-0)/(1+INDEX('Facilities'!$K$9:$K$108,MATCH(C159,'Facilities'!$C$9:$C$108,0))))&lt;0.000000001,IF(T159=1,MIN(1,AJ159),AJ159),(1-((1-R159)*(1-0)/(1+INDEX('Facilities'!$K$9:$K$108,MATCH(C159,'Facilities'!$C$9:$C$108,0))))^IF(T159=1,MIN(1,AJ159),AJ159))/(1-(1-R159)*(1-0)/(1+INDEX('Facilities'!$K$9:$K$108,MATCH(C159,'Facilities'!$C$9:$C$108,0))))))))</x:f>
      </x:c>
      <x:c r="W159" s="21" t="str">
        <x:f>IF(C159="","",IFERROR(U59,"Unavailable"))</x:f>
      </x:c>
      <x:c r="X159" s="21" t="str">
        <x:f>IF(C159="","",IFERROR(V59,"Unavailable"))</x:f>
      </x:c>
      <x:c r="Y159" s="21" t="str">
        <x:f>IF(C159="","",IF(AQ159&lt;&gt;"Ready","Unavailable",IF(C159="","",U159-W159+V159-X159+N159+AG159)))</x:f>
      </x:c>
      <x:c r="Z159" s="23" t="str">
        <x:f>IF(C159="","",IF(AQ159&lt;&gt;"Ready","Unavailable",IF(C159="","",(G159+O159+L159)/2*INDEX('Facilities'!$T$9:$T$108,MATCH(C159,'Facilities'!$C$9:$C$108,0))+AG159)))</x:f>
      </x:c>
      <x:c r="AA159" s="23" t="str">
        <x:f>IF(C159="","",IF(AQ159&lt;&gt;"Ready","Unavailable",IF(C159="","",O159*(1-IF(INDEX('Facilities'!$AA$9:$AA$108,MATCH(C159,'Facilities'!$C$9:$C$108,0))=0,0,MIN(1,INDEX('Facilities'!$X$9:$X$108,MATCH(C159,'Facilities'!$C$9:$C$108,0))/INDEX('Facilities'!$AA$9:$AA$108,MATCH(C159,'Facilities'!$C$9:$C$108,0)))))*AF159+P159*(1-IF(INDEX('Facilities'!$AA$9:$AA$108,MATCH(C159,'Facilities'!$C$9:$C$108,0))=0,0,MIN(1,INDEX('Facilities'!$X$9:$X$108,MATCH(C159,'Facilities'!$C$9:$C$108,0))/INDEX('Facilities'!$AA$9:$AA$108,MATCH(C159,'Facilities'!$C$9:$C$108,0)))))*INDEX('Facilities'!$AJ$9:$AJ$108,MATCH(C159,'Facilities'!$C$9:$C$108,0))+Q159*INDEX('Facilities'!$AI$9:$AI$108,MATCH(C159,'Facilities'!$C$9:$C$108,0))*AF159)))</x:f>
      </x:c>
      <x:c r="AB159" s="21" t="str">
        <x:f>IF(C159="","",O159+P159-AD159)</x:f>
      </x:c>
      <x:c r="AC159" s="23" t="str">
        <x:f>IF(C159="","",IFERROR(IF(INDEX('Facilities'!$AD$9:$AD$108,MATCH(C159,'Facilities'!$C$9:$C$108,0))=3,0,IF(INDEX('Facilities'!$AN$9:$AN$108,MATCH(C159,'Facilities'!$C$9:$C$108,0))=0,-1,INDEX('Facilities'!$AN$9:$AN$108,MATCH(C159,'Facilities'!$C$9:$C$108,0)))),"Unavailable"))</x:f>
      </x:c>
      <x:c r="AD159" s="21" t="str">
        <x:f>IF(C159="","",IFERROR(G159+H159,"Unavailable"))</x:f>
      </x:c>
      <x:c r="AE159" s="21" t="str">
        <x:f>IF(C159="","",IF(AQ159&lt;&gt;"Ready","Unavailable",IF(C159="","",O159+P159-AD159-J159+K159+M159+N159)))</x:f>
      </x:c>
      <x:c r="AF159" s="30" t="str">
        <x:f>IF(C159="","",IFERROR(INDEX('Facilities'!$S$9:$S$108,MATCH(C159,'Facilities'!$C$9:$C$108,0))*'Scenario Paths'!G75,"Unavailable"))</x:f>
      </x:c>
      <x:c r="AG159" s="23" t="str">
        <x:f>IF(C159="","",IF(AQ159&lt;&gt;"Ready","Unavailable",IF(C159="","",IF(H159&gt;0,MAX(0,H159-AK159)*((1+INDEX('Facilities'!$K$9:$K$108,MATCH(C159,'Facilities'!$C$9:$C$108,0)))^MIN(1,MAX(0,AC159+INDEX('Facilities'!$AK$9:$AK$108,MATCH(C159,'Facilities'!$C$9:$C$108,0))-D159+1))-1),0))))</x:f>
      </x:c>
      <x:c r="AH159" s="21" t="str">
        <x:f>IF(C159="","",IF(AQ159&lt;&gt;"Ready","Unavailable",IF(C159="","",O159+P159)))</x:f>
      </x:c>
      <x:c r="AI159" s="21" t="str">
        <x:f>IF(C159="","",IF(AQ159&lt;&gt;"Ready","Unavailable",IF(C159="","",Z159-Y159)))</x:f>
      </x:c>
      <x:c r="AJ159" s="23" t="str">
        <x:f>IF(C159="","",IFERROR(MAX(0,INDEX('Facilities'!$J$9:$J$108,MATCH(C159,'Facilities'!$C$9:$C$108,0))-D159),"Unavailable"))</x:f>
      </x:c>
      <x:c r="AK159" s="21" t="str">
        <x:f>IF(C159="","",IFERROR(AL59,"Unavailable"))</x:f>
      </x:c>
      <x:c r="AL159" s="23" t="str">
        <x:f>IF(C159="","",IFERROR(IF(P159&gt;0,P159*(1-AM159/(1+INDEX('Facilities'!$K$9:$K$108,MATCH(C159,'Facilities'!$C$9:$C$108,0)))^MAX(0,AC159+INDEX('Facilities'!$AK$9:$AK$108,MATCH(C159,'Facilities'!$C$9:$C$108,0))-D159)),0),"Unavailable"))</x:f>
      </x:c>
      <x:c r="AM159" s="30" t="str">
        <x:f>IF(C159="","",IFERROR(INDEX('Facilities'!$AL$9:$AL$108,MATCH(C159,'Facilities'!$C$9:$C$108,0)),"Unavailable"))</x:f>
      </x:c>
      <x:c r="AN159" s="30" t="str">
        <x:f>IF(C159="","",IFERROR(INDEX(Credit!$T$109:$T$208,MATCH(F159,Credit!$C$109:$C$208,0)),"Unavailable"))</x:f>
      </x:c>
      <x:c r="AO159" s="23" t="str">
        <x:f>IF(C159="","",IF(AQ159&lt;&gt;"Ready","Unavailable",IF(C159="","",O159+P159+Q159*INDEX('Facilities'!$I$9:$I$108,MATCH(C159,'Facilities'!$C$9:$C$108,0)))))</x:f>
      </x:c>
      <x:c r="AP159" s="21" t="str">
        <x:f>IF(C159="","",IF(AQ159&lt;&gt;"Ready","Unavailable",IF(C159="","",AH159-U159)))</x:f>
      </x:c>
      <x:c r="AQ159" s="23" t="str">
        <x:f>IFERROR(IF(C159="","",IF(AND(INDEX('Facilities'!$AF$9:$AF$108,MATCH(C159,'Facilities'!$C$9:$C$108,0))="Ready",INDEX(Credit!$U$109:$U$208,MATCH(F159,Credit!$C$109:$C$208,0))="Ready",ISNUMBER(W159)),"Ready","Review inputs")),"Review inputs")</x:f>
      </x:c>
      <x:c r="AR159" s="23" t="str">
        <x:f>IF(C159="","",IF(AQ159&lt;&gt;"Ready","Unavailable",IF(C159="","",IF(O159=0,0,(IF(AJ159&lt;=1,O159,O159*INDEX('Facilities'!$R$9:$R$108,MATCH(C159,'Facilities'!$C$9:$C$108,0)))+O159*INDEX('Facilities'!$T$9:$T$108,MATCH(C159,'Facilities'!$C$9:$C$108,0)))/12))))</x:f>
      </x:c>
    </x:row>
    <x:row r="160" ht="26" customHeight="1">
      <x:c r="A160" s="1"/>
      <x:c r="B160" s="1"/>
      <x:c r="C160" s="9" t="str">
        <x:f>IF(Facilities!C60="","",Facilities!C60)</x:f>
      </x:c>
      <x:c r="D160" s="3" t="n">
        <x:v>2</x:v>
      </x:c>
      <x:c r="E160" s="9" t="n">
        <x:f>Settings!$F$18+1</x:f>
        <x:v>2028</x:v>
      </x:c>
      <x:c r="F160" s="9" t="str">
        <x:f>IF(C160="","",IFERROR(INDEX('Facilities'!$D$9:$D$108,MATCH(C160,'Facilities'!$C$9:$C$108,0)),"Unavailable"))</x:f>
      </x:c>
      <x:c r="G160" s="21" t="str">
        <x:f>IF(C160="","",IFERROR(O60,"Unavailable"))</x:f>
      </x:c>
      <x:c r="H160" s="21" t="str">
        <x:f>IF(C160="","",IFERROR(P60,"Unavailable"))</x:f>
      </x:c>
      <x:c r="I160" s="21" t="str">
        <x:f>IF(C160="","",IFERROR(Q60,"Unavailable"))</x:f>
      </x:c>
      <x:c r="J160" s="23" t="str">
        <x:f>IF(C160="","",IFERROR(IF(OR(H160&gt;0,AND(AC160&gt;=0,AC160&lt;D160),D160&gt;INDEX('Facilities'!$J$9:$J$108,MATCH(C160,'Facilities'!$C$9:$C$108,0))),0,I160*'Scenario Paths'!G81),"Unavailable"))</x:f>
      </x:c>
      <x:c r="K160" s="23" t="str">
        <x:f>IF(C160="","",IFERROR(IF(OR(H160&gt;0,AND(AC160&gt;=0,AC160=D160)),0,IF(D160&gt;=INDEX('Facilities'!$J$9:$J$108,MATCH(C160,'Facilities'!$C$9:$C$108,0)),G160+J160,MIN(G160+J160,G160*INDEX('Facilities'!$R$9:$R$108,MATCH(C160,'Facilities'!$C$9:$C$108,0))))),"Unavailable"))</x:f>
      </x:c>
      <x:c r="L160" s="21" t="str">
        <x:f>IF(C160="","",IFERROR(IF(AND(AC160=D160,AC160&gt;0),MAX(0,G160+J160-K160),0),"Unavailable"))</x:f>
      </x:c>
      <x:c r="M160" s="23" t="str">
        <x:f>IF(C160="","",IFERROR(IF(AND(AC160&gt;=0,D160&gt;=AC160+INDEX('Facilities'!$AK$9:$AK$108,MATCH(C160,'Facilities'!$C$9:$C$108,0))),(H160+L160)*AM160,0),"Unavailable"))</x:f>
      </x:c>
      <x:c r="N160" s="23" t="str">
        <x:f>IF(C160="","",IFERROR(IF(AND(AC160&gt;=0,D160&gt;=AC160+INDEX('Facilities'!$AK$9:$AK$108,MATCH(C160,'Facilities'!$C$9:$C$108,0))),H160+L160-M160,0),"Unavailable"))</x:f>
      </x:c>
      <x:c r="O160" s="21" t="str">
        <x:f>IF(C160="","",IFERROR(MAX(0,G160+J160-K160-L160),"Unavailable"))</x:f>
      </x:c>
      <x:c r="P160" s="21" t="str">
        <x:f>IF(C160="","",IFERROR(MAX(0,H160+L160-M160-N160),"Unavailable"))</x:f>
      </x:c>
      <x:c r="Q160" s="23" t="str">
        <x:f>IF(C160="","",IFERROR(IF(OR(D160&gt;=INDEX('Facilities'!$J$9:$J$108,MATCH(C160,'Facilities'!$C$9:$C$108,0)),AND(AC160&gt;=0,AC160&lt;=D160)),0,MAX(0,I160-J160)),"Unavailable"))</x:f>
      </x:c>
      <x:c r="R160" s="30" t="str">
        <x:f>IF(C160="","",IFERROR(INDEX(Credit!$Q$109:$Q$208,MATCH(F160,Credit!$C$109:$C$208,0)),"Unavailable"))</x:f>
      </x:c>
      <x:c r="S160" s="30" t="str">
        <x:f>IF(C160="","",IFERROR(INDEX(Credit!$R$109:$R$208,MATCH(F160,Credit!$C$109:$C$208,0)),"Unavailable"))</x:f>
      </x:c>
      <x:c r="T160" s="23" t="str">
        <x:f>IF(C160="","",IFERROR(IF(P160&gt;0,3,IF(OR(INDEX('Facilities'!$AD$9:$AD$108,MATCH(C160,'Facilities'!$C$9:$C$108,0))=2,AND(R160&gt;=INDEX('Facilities'!$L$9:$L$108,MATCH(C160,'Facilities'!$C$9:$C$108,0))*Settings!$F$19,R160-INDEX('Facilities'!$L$9:$L$108,MATCH(C160,'Facilities'!$C$9:$C$108,0))&gt;=Settings!$F$20)),2,1)),"Unavailable"))</x:f>
      </x:c>
      <x:c r="U160" s="23" t="str">
        <x:f>IF(C160="","",IF(AQ160&lt;&gt;"Ready","Unavailable",IF(C160="","",O160*(1-(1-S160)/(1+INDEX('Facilities'!$K$9:$K$108,MATCH(C160,'Facilities'!$C$9:$C$108,0)))^INDEX('Facilities'!$AK$9:$AK$108,MATCH(C160,'Facilities'!$C$9:$C$108,0)))*R160/(1+INDEX('Facilities'!$K$9:$K$108,MATCH(C160,'Facilities'!$C$9:$C$108,0)))*IF(ABS(1-(1-R160)*(1-INDEX('Facilities'!$R$9:$R$108,MATCH(C160,'Facilities'!$C$9:$C$108,0)))/(1+INDEX('Facilities'!$K$9:$K$108,MATCH(C160,'Facilities'!$C$9:$C$108,0))))&lt;0.000000001,IF(T160=1,MIN(1,AJ160),AJ160),(1-((1-R160)*(1-INDEX('Facilities'!$R$9:$R$108,MATCH(C160,'Facilities'!$C$9:$C$108,0)))/(1+INDEX('Facilities'!$K$9:$K$108,MATCH(C160,'Facilities'!$C$9:$C$108,0))))^IF(T160=1,MIN(1,AJ160),AJ160))/(1-(1-R160)*(1-INDEX('Facilities'!$R$9:$R$108,MATCH(C160,'Facilities'!$C$9:$C$108,0)))/(1+INDEX('Facilities'!$K$9:$K$108,MATCH(C160,'Facilities'!$C$9:$C$108,0)))))+AL160)))</x:f>
      </x:c>
      <x:c r="V160" s="23" t="str">
        <x:f>IF(C160="","",IF(AQ160&lt;&gt;"Ready","Unavailable",IF(C160="","",Q160*INDEX('Facilities'!$I$9:$I$108,MATCH(C160,'Facilities'!$C$9:$C$108,0))*(1-(1-S160)/(1+INDEX('Facilities'!$K$9:$K$108,MATCH(C160,'Facilities'!$C$9:$C$108,0)))^INDEX('Facilities'!$AK$9:$AK$108,MATCH(C160,'Facilities'!$C$9:$C$108,0)))*R160/(1+INDEX('Facilities'!$K$9:$K$108,MATCH(C160,'Facilities'!$C$9:$C$108,0)))*IF(ABS(1-(1-R160)*(1-0)/(1+INDEX('Facilities'!$K$9:$K$108,MATCH(C160,'Facilities'!$C$9:$C$108,0))))&lt;0.000000001,IF(T160=1,MIN(1,AJ160),AJ160),(1-((1-R160)*(1-0)/(1+INDEX('Facilities'!$K$9:$K$108,MATCH(C160,'Facilities'!$C$9:$C$108,0))))^IF(T160=1,MIN(1,AJ160),AJ160))/(1-(1-R160)*(1-0)/(1+INDEX('Facilities'!$K$9:$K$108,MATCH(C160,'Facilities'!$C$9:$C$108,0))))))))</x:f>
      </x:c>
      <x:c r="W160" s="21" t="str">
        <x:f>IF(C160="","",IFERROR(U60,"Unavailable"))</x:f>
      </x:c>
      <x:c r="X160" s="21" t="str">
        <x:f>IF(C160="","",IFERROR(V60,"Unavailable"))</x:f>
      </x:c>
      <x:c r="Y160" s="21" t="str">
        <x:f>IF(C160="","",IF(AQ160&lt;&gt;"Ready","Unavailable",IF(C160="","",U160-W160+V160-X160+N160+AG160)))</x:f>
      </x:c>
      <x:c r="Z160" s="23" t="str">
        <x:f>IF(C160="","",IF(AQ160&lt;&gt;"Ready","Unavailable",IF(C160="","",(G160+O160+L160)/2*INDEX('Facilities'!$T$9:$T$108,MATCH(C160,'Facilities'!$C$9:$C$108,0))+AG160)))</x:f>
      </x:c>
      <x:c r="AA160" s="23" t="str">
        <x:f>IF(C160="","",IF(AQ160&lt;&gt;"Ready","Unavailable",IF(C160="","",O160*(1-IF(INDEX('Facilities'!$AA$9:$AA$108,MATCH(C160,'Facilities'!$C$9:$C$108,0))=0,0,MIN(1,INDEX('Facilities'!$X$9:$X$108,MATCH(C160,'Facilities'!$C$9:$C$108,0))/INDEX('Facilities'!$AA$9:$AA$108,MATCH(C160,'Facilities'!$C$9:$C$108,0)))))*AF160+P160*(1-IF(INDEX('Facilities'!$AA$9:$AA$108,MATCH(C160,'Facilities'!$C$9:$C$108,0))=0,0,MIN(1,INDEX('Facilities'!$X$9:$X$108,MATCH(C160,'Facilities'!$C$9:$C$108,0))/INDEX('Facilities'!$AA$9:$AA$108,MATCH(C160,'Facilities'!$C$9:$C$108,0)))))*INDEX('Facilities'!$AJ$9:$AJ$108,MATCH(C160,'Facilities'!$C$9:$C$108,0))+Q160*INDEX('Facilities'!$AI$9:$AI$108,MATCH(C160,'Facilities'!$C$9:$C$108,0))*AF160)))</x:f>
      </x:c>
      <x:c r="AB160" s="21" t="str">
        <x:f>IF(C160="","",O160+P160-AD160)</x:f>
      </x:c>
      <x:c r="AC160" s="23" t="str">
        <x:f>IF(C160="","",IFERROR(IF(INDEX('Facilities'!$AD$9:$AD$108,MATCH(C160,'Facilities'!$C$9:$C$108,0))=3,0,IF(INDEX('Facilities'!$AN$9:$AN$108,MATCH(C160,'Facilities'!$C$9:$C$108,0))=0,-1,INDEX('Facilities'!$AN$9:$AN$108,MATCH(C160,'Facilities'!$C$9:$C$108,0)))),"Unavailable"))</x:f>
      </x:c>
      <x:c r="AD160" s="21" t="str">
        <x:f>IF(C160="","",IFERROR(G160+H160,"Unavailable"))</x:f>
      </x:c>
      <x:c r="AE160" s="21" t="str">
        <x:f>IF(C160="","",IF(AQ160&lt;&gt;"Ready","Unavailable",IF(C160="","",O160+P160-AD160-J160+K160+M160+N160)))</x:f>
      </x:c>
      <x:c r="AF160" s="30" t="str">
        <x:f>IF(C160="","",IFERROR(INDEX('Facilities'!$S$9:$S$108,MATCH(C160,'Facilities'!$C$9:$C$108,0))*'Scenario Paths'!G75,"Unavailable"))</x:f>
      </x:c>
      <x:c r="AG160" s="23" t="str">
        <x:f>IF(C160="","",IF(AQ160&lt;&gt;"Ready","Unavailable",IF(C160="","",IF(H160&gt;0,MAX(0,H160-AK160)*((1+INDEX('Facilities'!$K$9:$K$108,MATCH(C160,'Facilities'!$C$9:$C$108,0)))^MIN(1,MAX(0,AC160+INDEX('Facilities'!$AK$9:$AK$108,MATCH(C160,'Facilities'!$C$9:$C$108,0))-D160+1))-1),0))))</x:f>
      </x:c>
      <x:c r="AH160" s="21" t="str">
        <x:f>IF(C160="","",IF(AQ160&lt;&gt;"Ready","Unavailable",IF(C160="","",O160+P160)))</x:f>
      </x:c>
      <x:c r="AI160" s="21" t="str">
        <x:f>IF(C160="","",IF(AQ160&lt;&gt;"Ready","Unavailable",IF(C160="","",Z160-Y160)))</x:f>
      </x:c>
      <x:c r="AJ160" s="23" t="str">
        <x:f>IF(C160="","",IFERROR(MAX(0,INDEX('Facilities'!$J$9:$J$108,MATCH(C160,'Facilities'!$C$9:$C$108,0))-D160),"Unavailable"))</x:f>
      </x:c>
      <x:c r="AK160" s="21" t="str">
        <x:f>IF(C160="","",IFERROR(AL60,"Unavailable"))</x:f>
      </x:c>
      <x:c r="AL160" s="23" t="str">
        <x:f>IF(C160="","",IFERROR(IF(P160&gt;0,P160*(1-AM160/(1+INDEX('Facilities'!$K$9:$K$108,MATCH(C160,'Facilities'!$C$9:$C$108,0)))^MAX(0,AC160+INDEX('Facilities'!$AK$9:$AK$108,MATCH(C160,'Facilities'!$C$9:$C$108,0))-D160)),0),"Unavailable"))</x:f>
      </x:c>
      <x:c r="AM160" s="30" t="str">
        <x:f>IF(C160="","",IFERROR(INDEX('Facilities'!$AL$9:$AL$108,MATCH(C160,'Facilities'!$C$9:$C$108,0)),"Unavailable"))</x:f>
      </x:c>
      <x:c r="AN160" s="30" t="str">
        <x:f>IF(C160="","",IFERROR(INDEX(Credit!$T$109:$T$208,MATCH(F160,Credit!$C$109:$C$208,0)),"Unavailable"))</x:f>
      </x:c>
      <x:c r="AO160" s="23" t="str">
        <x:f>IF(C160="","",IF(AQ160&lt;&gt;"Ready","Unavailable",IF(C160="","",O160+P160+Q160*INDEX('Facilities'!$I$9:$I$108,MATCH(C160,'Facilities'!$C$9:$C$108,0)))))</x:f>
      </x:c>
      <x:c r="AP160" s="21" t="str">
        <x:f>IF(C160="","",IF(AQ160&lt;&gt;"Ready","Unavailable",IF(C160="","",AH160-U160)))</x:f>
      </x:c>
      <x:c r="AQ160" s="23" t="str">
        <x:f>IFERROR(IF(C160="","",IF(AND(INDEX('Facilities'!$AF$9:$AF$108,MATCH(C160,'Facilities'!$C$9:$C$108,0))="Ready",INDEX(Credit!$U$109:$U$208,MATCH(F160,Credit!$C$109:$C$208,0))="Ready",ISNUMBER(W160)),"Ready","Review inputs")),"Review inputs")</x:f>
      </x:c>
      <x:c r="AR160" s="23" t="str">
        <x:f>IF(C160="","",IF(AQ160&lt;&gt;"Ready","Unavailable",IF(C160="","",IF(O160=0,0,(IF(AJ160&lt;=1,O160,O160*INDEX('Facilities'!$R$9:$R$108,MATCH(C160,'Facilities'!$C$9:$C$108,0)))+O160*INDEX('Facilities'!$T$9:$T$108,MATCH(C160,'Facilities'!$C$9:$C$108,0)))/12))))</x:f>
      </x:c>
    </x:row>
    <x:row r="161" ht="26" customHeight="1">
      <x:c r="A161" s="1"/>
      <x:c r="B161" s="1"/>
      <x:c r="C161" s="9" t="str">
        <x:f>IF(Facilities!C61="","",Facilities!C61)</x:f>
      </x:c>
      <x:c r="D161" s="3" t="n">
        <x:v>2</x:v>
      </x:c>
      <x:c r="E161" s="9" t="n">
        <x:f>Settings!$F$18+1</x:f>
        <x:v>2028</x:v>
      </x:c>
      <x:c r="F161" s="9" t="str">
        <x:f>IF(C161="","",IFERROR(INDEX('Facilities'!$D$9:$D$108,MATCH(C161,'Facilities'!$C$9:$C$108,0)),"Unavailable"))</x:f>
      </x:c>
      <x:c r="G161" s="21" t="str">
        <x:f>IF(C161="","",IFERROR(O61,"Unavailable"))</x:f>
      </x:c>
      <x:c r="H161" s="21" t="str">
        <x:f>IF(C161="","",IFERROR(P61,"Unavailable"))</x:f>
      </x:c>
      <x:c r="I161" s="21" t="str">
        <x:f>IF(C161="","",IFERROR(Q61,"Unavailable"))</x:f>
      </x:c>
      <x:c r="J161" s="23" t="str">
        <x:f>IF(C161="","",IFERROR(IF(OR(H161&gt;0,AND(AC161&gt;=0,AC161&lt;D161),D161&gt;INDEX('Facilities'!$J$9:$J$108,MATCH(C161,'Facilities'!$C$9:$C$108,0))),0,I161*'Scenario Paths'!G81),"Unavailable"))</x:f>
      </x:c>
      <x:c r="K161" s="23" t="str">
        <x:f>IF(C161="","",IFERROR(IF(OR(H161&gt;0,AND(AC161&gt;=0,AC161=D161)),0,IF(D161&gt;=INDEX('Facilities'!$J$9:$J$108,MATCH(C161,'Facilities'!$C$9:$C$108,0)),G161+J161,MIN(G161+J161,G161*INDEX('Facilities'!$R$9:$R$108,MATCH(C161,'Facilities'!$C$9:$C$108,0))))),"Unavailable"))</x:f>
      </x:c>
      <x:c r="L161" s="21" t="str">
        <x:f>IF(C161="","",IFERROR(IF(AND(AC161=D161,AC161&gt;0),MAX(0,G161+J161-K161),0),"Unavailable"))</x:f>
      </x:c>
      <x:c r="M161" s="23" t="str">
        <x:f>IF(C161="","",IFERROR(IF(AND(AC161&gt;=0,D161&gt;=AC161+INDEX('Facilities'!$AK$9:$AK$108,MATCH(C161,'Facilities'!$C$9:$C$108,0))),(H161+L161)*AM161,0),"Unavailable"))</x:f>
      </x:c>
      <x:c r="N161" s="23" t="str">
        <x:f>IF(C161="","",IFERROR(IF(AND(AC161&gt;=0,D161&gt;=AC161+INDEX('Facilities'!$AK$9:$AK$108,MATCH(C161,'Facilities'!$C$9:$C$108,0))),H161+L161-M161,0),"Unavailable"))</x:f>
      </x:c>
      <x:c r="O161" s="21" t="str">
        <x:f>IF(C161="","",IFERROR(MAX(0,G161+J161-K161-L161),"Unavailable"))</x:f>
      </x:c>
      <x:c r="P161" s="21" t="str">
        <x:f>IF(C161="","",IFERROR(MAX(0,H161+L161-M161-N161),"Unavailable"))</x:f>
      </x:c>
      <x:c r="Q161" s="23" t="str">
        <x:f>IF(C161="","",IFERROR(IF(OR(D161&gt;=INDEX('Facilities'!$J$9:$J$108,MATCH(C161,'Facilities'!$C$9:$C$108,0)),AND(AC161&gt;=0,AC161&lt;=D161)),0,MAX(0,I161-J161)),"Unavailable"))</x:f>
      </x:c>
      <x:c r="R161" s="30" t="str">
        <x:f>IF(C161="","",IFERROR(INDEX(Credit!$Q$109:$Q$208,MATCH(F161,Credit!$C$109:$C$208,0)),"Unavailable"))</x:f>
      </x:c>
      <x:c r="S161" s="30" t="str">
        <x:f>IF(C161="","",IFERROR(INDEX(Credit!$R$109:$R$208,MATCH(F161,Credit!$C$109:$C$208,0)),"Unavailable"))</x:f>
      </x:c>
      <x:c r="T161" s="23" t="str">
        <x:f>IF(C161="","",IFERROR(IF(P161&gt;0,3,IF(OR(INDEX('Facilities'!$AD$9:$AD$108,MATCH(C161,'Facilities'!$C$9:$C$108,0))=2,AND(R161&gt;=INDEX('Facilities'!$L$9:$L$108,MATCH(C161,'Facilities'!$C$9:$C$108,0))*Settings!$F$19,R161-INDEX('Facilities'!$L$9:$L$108,MATCH(C161,'Facilities'!$C$9:$C$108,0))&gt;=Settings!$F$20)),2,1)),"Unavailable"))</x:f>
      </x:c>
      <x:c r="U161" s="23" t="str">
        <x:f>IF(C161="","",IF(AQ161&lt;&gt;"Ready","Unavailable",IF(C161="","",O161*(1-(1-S161)/(1+INDEX('Facilities'!$K$9:$K$108,MATCH(C161,'Facilities'!$C$9:$C$108,0)))^INDEX('Facilities'!$AK$9:$AK$108,MATCH(C161,'Facilities'!$C$9:$C$108,0)))*R161/(1+INDEX('Facilities'!$K$9:$K$108,MATCH(C161,'Facilities'!$C$9:$C$108,0)))*IF(ABS(1-(1-R161)*(1-INDEX('Facilities'!$R$9:$R$108,MATCH(C161,'Facilities'!$C$9:$C$108,0)))/(1+INDEX('Facilities'!$K$9:$K$108,MATCH(C161,'Facilities'!$C$9:$C$108,0))))&lt;0.000000001,IF(T161=1,MIN(1,AJ161),AJ161),(1-((1-R161)*(1-INDEX('Facilities'!$R$9:$R$108,MATCH(C161,'Facilities'!$C$9:$C$108,0)))/(1+INDEX('Facilities'!$K$9:$K$108,MATCH(C161,'Facilities'!$C$9:$C$108,0))))^IF(T161=1,MIN(1,AJ161),AJ161))/(1-(1-R161)*(1-INDEX('Facilities'!$R$9:$R$108,MATCH(C161,'Facilities'!$C$9:$C$108,0)))/(1+INDEX('Facilities'!$K$9:$K$108,MATCH(C161,'Facilities'!$C$9:$C$108,0)))))+AL161)))</x:f>
      </x:c>
      <x:c r="V161" s="23" t="str">
        <x:f>IF(C161="","",IF(AQ161&lt;&gt;"Ready","Unavailable",IF(C161="","",Q161*INDEX('Facilities'!$I$9:$I$108,MATCH(C161,'Facilities'!$C$9:$C$108,0))*(1-(1-S161)/(1+INDEX('Facilities'!$K$9:$K$108,MATCH(C161,'Facilities'!$C$9:$C$108,0)))^INDEX('Facilities'!$AK$9:$AK$108,MATCH(C161,'Facilities'!$C$9:$C$108,0)))*R161/(1+INDEX('Facilities'!$K$9:$K$108,MATCH(C161,'Facilities'!$C$9:$C$108,0)))*IF(ABS(1-(1-R161)*(1-0)/(1+INDEX('Facilities'!$K$9:$K$108,MATCH(C161,'Facilities'!$C$9:$C$108,0))))&lt;0.000000001,IF(T161=1,MIN(1,AJ161),AJ161),(1-((1-R161)*(1-0)/(1+INDEX('Facilities'!$K$9:$K$108,MATCH(C161,'Facilities'!$C$9:$C$108,0))))^IF(T161=1,MIN(1,AJ161),AJ161))/(1-(1-R161)*(1-0)/(1+INDEX('Facilities'!$K$9:$K$108,MATCH(C161,'Facilities'!$C$9:$C$108,0))))))))</x:f>
      </x:c>
      <x:c r="W161" s="21" t="str">
        <x:f>IF(C161="","",IFERROR(U61,"Unavailable"))</x:f>
      </x:c>
      <x:c r="X161" s="21" t="str">
        <x:f>IF(C161="","",IFERROR(V61,"Unavailable"))</x:f>
      </x:c>
      <x:c r="Y161" s="21" t="str">
        <x:f>IF(C161="","",IF(AQ161&lt;&gt;"Ready","Unavailable",IF(C161="","",U161-W161+V161-X161+N161+AG161)))</x:f>
      </x:c>
      <x:c r="Z161" s="23" t="str">
        <x:f>IF(C161="","",IF(AQ161&lt;&gt;"Ready","Unavailable",IF(C161="","",(G161+O161+L161)/2*INDEX('Facilities'!$T$9:$T$108,MATCH(C161,'Facilities'!$C$9:$C$108,0))+AG161)))</x:f>
      </x:c>
      <x:c r="AA161" s="23" t="str">
        <x:f>IF(C161="","",IF(AQ161&lt;&gt;"Ready","Unavailable",IF(C161="","",O161*(1-IF(INDEX('Facilities'!$AA$9:$AA$108,MATCH(C161,'Facilities'!$C$9:$C$108,0))=0,0,MIN(1,INDEX('Facilities'!$X$9:$X$108,MATCH(C161,'Facilities'!$C$9:$C$108,0))/INDEX('Facilities'!$AA$9:$AA$108,MATCH(C161,'Facilities'!$C$9:$C$108,0)))))*AF161+P161*(1-IF(INDEX('Facilities'!$AA$9:$AA$108,MATCH(C161,'Facilities'!$C$9:$C$108,0))=0,0,MIN(1,INDEX('Facilities'!$X$9:$X$108,MATCH(C161,'Facilities'!$C$9:$C$108,0))/INDEX('Facilities'!$AA$9:$AA$108,MATCH(C161,'Facilities'!$C$9:$C$108,0)))))*INDEX('Facilities'!$AJ$9:$AJ$108,MATCH(C161,'Facilities'!$C$9:$C$108,0))+Q161*INDEX('Facilities'!$AI$9:$AI$108,MATCH(C161,'Facilities'!$C$9:$C$108,0))*AF161)))</x:f>
      </x:c>
      <x:c r="AB161" s="21" t="str">
        <x:f>IF(C161="","",O161+P161-AD161)</x:f>
      </x:c>
      <x:c r="AC161" s="23" t="str">
        <x:f>IF(C161="","",IFERROR(IF(INDEX('Facilities'!$AD$9:$AD$108,MATCH(C161,'Facilities'!$C$9:$C$108,0))=3,0,IF(INDEX('Facilities'!$AN$9:$AN$108,MATCH(C161,'Facilities'!$C$9:$C$108,0))=0,-1,INDEX('Facilities'!$AN$9:$AN$108,MATCH(C161,'Facilities'!$C$9:$C$108,0)))),"Unavailable"))</x:f>
      </x:c>
      <x:c r="AD161" s="21" t="str">
        <x:f>IF(C161="","",IFERROR(G161+H161,"Unavailable"))</x:f>
      </x:c>
      <x:c r="AE161" s="21" t="str">
        <x:f>IF(C161="","",IF(AQ161&lt;&gt;"Ready","Unavailable",IF(C161="","",O161+P161-AD161-J161+K161+M161+N161)))</x:f>
      </x:c>
      <x:c r="AF161" s="30" t="str">
        <x:f>IF(C161="","",IFERROR(INDEX('Facilities'!$S$9:$S$108,MATCH(C161,'Facilities'!$C$9:$C$108,0))*'Scenario Paths'!G75,"Unavailable"))</x:f>
      </x:c>
      <x:c r="AG161" s="23" t="str">
        <x:f>IF(C161="","",IF(AQ161&lt;&gt;"Ready","Unavailable",IF(C161="","",IF(H161&gt;0,MAX(0,H161-AK161)*((1+INDEX('Facilities'!$K$9:$K$108,MATCH(C161,'Facilities'!$C$9:$C$108,0)))^MIN(1,MAX(0,AC161+INDEX('Facilities'!$AK$9:$AK$108,MATCH(C161,'Facilities'!$C$9:$C$108,0))-D161+1))-1),0))))</x:f>
      </x:c>
      <x:c r="AH161" s="21" t="str">
        <x:f>IF(C161="","",IF(AQ161&lt;&gt;"Ready","Unavailable",IF(C161="","",O161+P161)))</x:f>
      </x:c>
      <x:c r="AI161" s="21" t="str">
        <x:f>IF(C161="","",IF(AQ161&lt;&gt;"Ready","Unavailable",IF(C161="","",Z161-Y161)))</x:f>
      </x:c>
      <x:c r="AJ161" s="23" t="str">
        <x:f>IF(C161="","",IFERROR(MAX(0,INDEX('Facilities'!$J$9:$J$108,MATCH(C161,'Facilities'!$C$9:$C$108,0))-D161),"Unavailable"))</x:f>
      </x:c>
      <x:c r="AK161" s="21" t="str">
        <x:f>IF(C161="","",IFERROR(AL61,"Unavailable"))</x:f>
      </x:c>
      <x:c r="AL161" s="23" t="str">
        <x:f>IF(C161="","",IFERROR(IF(P161&gt;0,P161*(1-AM161/(1+INDEX('Facilities'!$K$9:$K$108,MATCH(C161,'Facilities'!$C$9:$C$108,0)))^MAX(0,AC161+INDEX('Facilities'!$AK$9:$AK$108,MATCH(C161,'Facilities'!$C$9:$C$108,0))-D161)),0),"Unavailable"))</x:f>
      </x:c>
      <x:c r="AM161" s="30" t="str">
        <x:f>IF(C161="","",IFERROR(INDEX('Facilities'!$AL$9:$AL$108,MATCH(C161,'Facilities'!$C$9:$C$108,0)),"Unavailable"))</x:f>
      </x:c>
      <x:c r="AN161" s="30" t="str">
        <x:f>IF(C161="","",IFERROR(INDEX(Credit!$T$109:$T$208,MATCH(F161,Credit!$C$109:$C$208,0)),"Unavailable"))</x:f>
      </x:c>
      <x:c r="AO161" s="23" t="str">
        <x:f>IF(C161="","",IF(AQ161&lt;&gt;"Ready","Unavailable",IF(C161="","",O161+P161+Q161*INDEX('Facilities'!$I$9:$I$108,MATCH(C161,'Facilities'!$C$9:$C$108,0)))))</x:f>
      </x:c>
      <x:c r="AP161" s="21" t="str">
        <x:f>IF(C161="","",IF(AQ161&lt;&gt;"Ready","Unavailable",IF(C161="","",AH161-U161)))</x:f>
      </x:c>
      <x:c r="AQ161" s="23" t="str">
        <x:f>IFERROR(IF(C161="","",IF(AND(INDEX('Facilities'!$AF$9:$AF$108,MATCH(C161,'Facilities'!$C$9:$C$108,0))="Ready",INDEX(Credit!$U$109:$U$208,MATCH(F161,Credit!$C$109:$C$208,0))="Ready",ISNUMBER(W161)),"Ready","Review inputs")),"Review inputs")</x:f>
      </x:c>
      <x:c r="AR161" s="23" t="str">
        <x:f>IF(C161="","",IF(AQ161&lt;&gt;"Ready","Unavailable",IF(C161="","",IF(O161=0,0,(IF(AJ161&lt;=1,O161,O161*INDEX('Facilities'!$R$9:$R$108,MATCH(C161,'Facilities'!$C$9:$C$108,0)))+O161*INDEX('Facilities'!$T$9:$T$108,MATCH(C161,'Facilities'!$C$9:$C$108,0)))/12))))</x:f>
      </x:c>
    </x:row>
    <x:row r="162" ht="26" customHeight="1">
      <x:c r="A162" s="1"/>
      <x:c r="B162" s="1"/>
      <x:c r="C162" s="9" t="str">
        <x:f>IF(Facilities!C62="","",Facilities!C62)</x:f>
      </x:c>
      <x:c r="D162" s="3" t="n">
        <x:v>2</x:v>
      </x:c>
      <x:c r="E162" s="9" t="n">
        <x:f>Settings!$F$18+1</x:f>
        <x:v>2028</x:v>
      </x:c>
      <x:c r="F162" s="9" t="str">
        <x:f>IF(C162="","",IFERROR(INDEX('Facilities'!$D$9:$D$108,MATCH(C162,'Facilities'!$C$9:$C$108,0)),"Unavailable"))</x:f>
      </x:c>
      <x:c r="G162" s="21" t="str">
        <x:f>IF(C162="","",IFERROR(O62,"Unavailable"))</x:f>
      </x:c>
      <x:c r="H162" s="21" t="str">
        <x:f>IF(C162="","",IFERROR(P62,"Unavailable"))</x:f>
      </x:c>
      <x:c r="I162" s="21" t="str">
        <x:f>IF(C162="","",IFERROR(Q62,"Unavailable"))</x:f>
      </x:c>
      <x:c r="J162" s="23" t="str">
        <x:f>IF(C162="","",IFERROR(IF(OR(H162&gt;0,AND(AC162&gt;=0,AC162&lt;D162),D162&gt;INDEX('Facilities'!$J$9:$J$108,MATCH(C162,'Facilities'!$C$9:$C$108,0))),0,I162*'Scenario Paths'!G81),"Unavailable"))</x:f>
      </x:c>
      <x:c r="K162" s="23" t="str">
        <x:f>IF(C162="","",IFERROR(IF(OR(H162&gt;0,AND(AC162&gt;=0,AC162=D162)),0,IF(D162&gt;=INDEX('Facilities'!$J$9:$J$108,MATCH(C162,'Facilities'!$C$9:$C$108,0)),G162+J162,MIN(G162+J162,G162*INDEX('Facilities'!$R$9:$R$108,MATCH(C162,'Facilities'!$C$9:$C$108,0))))),"Unavailable"))</x:f>
      </x:c>
      <x:c r="L162" s="21" t="str">
        <x:f>IF(C162="","",IFERROR(IF(AND(AC162=D162,AC162&gt;0),MAX(0,G162+J162-K162),0),"Unavailable"))</x:f>
      </x:c>
      <x:c r="M162" s="23" t="str">
        <x:f>IF(C162="","",IFERROR(IF(AND(AC162&gt;=0,D162&gt;=AC162+INDEX('Facilities'!$AK$9:$AK$108,MATCH(C162,'Facilities'!$C$9:$C$108,0))),(H162+L162)*AM162,0),"Unavailable"))</x:f>
      </x:c>
      <x:c r="N162" s="23" t="str">
        <x:f>IF(C162="","",IFERROR(IF(AND(AC162&gt;=0,D162&gt;=AC162+INDEX('Facilities'!$AK$9:$AK$108,MATCH(C162,'Facilities'!$C$9:$C$108,0))),H162+L162-M162,0),"Unavailable"))</x:f>
      </x:c>
      <x:c r="O162" s="21" t="str">
        <x:f>IF(C162="","",IFERROR(MAX(0,G162+J162-K162-L162),"Unavailable"))</x:f>
      </x:c>
      <x:c r="P162" s="21" t="str">
        <x:f>IF(C162="","",IFERROR(MAX(0,H162+L162-M162-N162),"Unavailable"))</x:f>
      </x:c>
      <x:c r="Q162" s="23" t="str">
        <x:f>IF(C162="","",IFERROR(IF(OR(D162&gt;=INDEX('Facilities'!$J$9:$J$108,MATCH(C162,'Facilities'!$C$9:$C$108,0)),AND(AC162&gt;=0,AC162&lt;=D162)),0,MAX(0,I162-J162)),"Unavailable"))</x:f>
      </x:c>
      <x:c r="R162" s="30" t="str">
        <x:f>IF(C162="","",IFERROR(INDEX(Credit!$Q$109:$Q$208,MATCH(F162,Credit!$C$109:$C$208,0)),"Unavailable"))</x:f>
      </x:c>
      <x:c r="S162" s="30" t="str">
        <x:f>IF(C162="","",IFERROR(INDEX(Credit!$R$109:$R$208,MATCH(F162,Credit!$C$109:$C$208,0)),"Unavailable"))</x:f>
      </x:c>
      <x:c r="T162" s="23" t="str">
        <x:f>IF(C162="","",IFERROR(IF(P162&gt;0,3,IF(OR(INDEX('Facilities'!$AD$9:$AD$108,MATCH(C162,'Facilities'!$C$9:$C$108,0))=2,AND(R162&gt;=INDEX('Facilities'!$L$9:$L$108,MATCH(C162,'Facilities'!$C$9:$C$108,0))*Settings!$F$19,R162-INDEX('Facilities'!$L$9:$L$108,MATCH(C162,'Facilities'!$C$9:$C$108,0))&gt;=Settings!$F$20)),2,1)),"Unavailable"))</x:f>
      </x:c>
      <x:c r="U162" s="23" t="str">
        <x:f>IF(C162="","",IF(AQ162&lt;&gt;"Ready","Unavailable",IF(C162="","",O162*(1-(1-S162)/(1+INDEX('Facilities'!$K$9:$K$108,MATCH(C162,'Facilities'!$C$9:$C$108,0)))^INDEX('Facilities'!$AK$9:$AK$108,MATCH(C162,'Facilities'!$C$9:$C$108,0)))*R162/(1+INDEX('Facilities'!$K$9:$K$108,MATCH(C162,'Facilities'!$C$9:$C$108,0)))*IF(ABS(1-(1-R162)*(1-INDEX('Facilities'!$R$9:$R$108,MATCH(C162,'Facilities'!$C$9:$C$108,0)))/(1+INDEX('Facilities'!$K$9:$K$108,MATCH(C162,'Facilities'!$C$9:$C$108,0))))&lt;0.000000001,IF(T162=1,MIN(1,AJ162),AJ162),(1-((1-R162)*(1-INDEX('Facilities'!$R$9:$R$108,MATCH(C162,'Facilities'!$C$9:$C$108,0)))/(1+INDEX('Facilities'!$K$9:$K$108,MATCH(C162,'Facilities'!$C$9:$C$108,0))))^IF(T162=1,MIN(1,AJ162),AJ162))/(1-(1-R162)*(1-INDEX('Facilities'!$R$9:$R$108,MATCH(C162,'Facilities'!$C$9:$C$108,0)))/(1+INDEX('Facilities'!$K$9:$K$108,MATCH(C162,'Facilities'!$C$9:$C$108,0)))))+AL162)))</x:f>
      </x:c>
      <x:c r="V162" s="23" t="str">
        <x:f>IF(C162="","",IF(AQ162&lt;&gt;"Ready","Unavailable",IF(C162="","",Q162*INDEX('Facilities'!$I$9:$I$108,MATCH(C162,'Facilities'!$C$9:$C$108,0))*(1-(1-S162)/(1+INDEX('Facilities'!$K$9:$K$108,MATCH(C162,'Facilities'!$C$9:$C$108,0)))^INDEX('Facilities'!$AK$9:$AK$108,MATCH(C162,'Facilities'!$C$9:$C$108,0)))*R162/(1+INDEX('Facilities'!$K$9:$K$108,MATCH(C162,'Facilities'!$C$9:$C$108,0)))*IF(ABS(1-(1-R162)*(1-0)/(1+INDEX('Facilities'!$K$9:$K$108,MATCH(C162,'Facilities'!$C$9:$C$108,0))))&lt;0.000000001,IF(T162=1,MIN(1,AJ162),AJ162),(1-((1-R162)*(1-0)/(1+INDEX('Facilities'!$K$9:$K$108,MATCH(C162,'Facilities'!$C$9:$C$108,0))))^IF(T162=1,MIN(1,AJ162),AJ162))/(1-(1-R162)*(1-0)/(1+INDEX('Facilities'!$K$9:$K$108,MATCH(C162,'Facilities'!$C$9:$C$108,0))))))))</x:f>
      </x:c>
      <x:c r="W162" s="21" t="str">
        <x:f>IF(C162="","",IFERROR(U62,"Unavailable"))</x:f>
      </x:c>
      <x:c r="X162" s="21" t="str">
        <x:f>IF(C162="","",IFERROR(V62,"Unavailable"))</x:f>
      </x:c>
      <x:c r="Y162" s="21" t="str">
        <x:f>IF(C162="","",IF(AQ162&lt;&gt;"Ready","Unavailable",IF(C162="","",U162-W162+V162-X162+N162+AG162)))</x:f>
      </x:c>
      <x:c r="Z162" s="23" t="str">
        <x:f>IF(C162="","",IF(AQ162&lt;&gt;"Ready","Unavailable",IF(C162="","",(G162+O162+L162)/2*INDEX('Facilities'!$T$9:$T$108,MATCH(C162,'Facilities'!$C$9:$C$108,0))+AG162)))</x:f>
      </x:c>
      <x:c r="AA162" s="23" t="str">
        <x:f>IF(C162="","",IF(AQ162&lt;&gt;"Ready","Unavailable",IF(C162="","",O162*(1-IF(INDEX('Facilities'!$AA$9:$AA$108,MATCH(C162,'Facilities'!$C$9:$C$108,0))=0,0,MIN(1,INDEX('Facilities'!$X$9:$X$108,MATCH(C162,'Facilities'!$C$9:$C$108,0))/INDEX('Facilities'!$AA$9:$AA$108,MATCH(C162,'Facilities'!$C$9:$C$108,0)))))*AF162+P162*(1-IF(INDEX('Facilities'!$AA$9:$AA$108,MATCH(C162,'Facilities'!$C$9:$C$108,0))=0,0,MIN(1,INDEX('Facilities'!$X$9:$X$108,MATCH(C162,'Facilities'!$C$9:$C$108,0))/INDEX('Facilities'!$AA$9:$AA$108,MATCH(C162,'Facilities'!$C$9:$C$108,0)))))*INDEX('Facilities'!$AJ$9:$AJ$108,MATCH(C162,'Facilities'!$C$9:$C$108,0))+Q162*INDEX('Facilities'!$AI$9:$AI$108,MATCH(C162,'Facilities'!$C$9:$C$108,0))*AF162)))</x:f>
      </x:c>
      <x:c r="AB162" s="21" t="str">
        <x:f>IF(C162="","",O162+P162-AD162)</x:f>
      </x:c>
      <x:c r="AC162" s="23" t="str">
        <x:f>IF(C162="","",IFERROR(IF(INDEX('Facilities'!$AD$9:$AD$108,MATCH(C162,'Facilities'!$C$9:$C$108,0))=3,0,IF(INDEX('Facilities'!$AN$9:$AN$108,MATCH(C162,'Facilities'!$C$9:$C$108,0))=0,-1,INDEX('Facilities'!$AN$9:$AN$108,MATCH(C162,'Facilities'!$C$9:$C$108,0)))),"Unavailable"))</x:f>
      </x:c>
      <x:c r="AD162" s="21" t="str">
        <x:f>IF(C162="","",IFERROR(G162+H162,"Unavailable"))</x:f>
      </x:c>
      <x:c r="AE162" s="21" t="str">
        <x:f>IF(C162="","",IF(AQ162&lt;&gt;"Ready","Unavailable",IF(C162="","",O162+P162-AD162-J162+K162+M162+N162)))</x:f>
      </x:c>
      <x:c r="AF162" s="30" t="str">
        <x:f>IF(C162="","",IFERROR(INDEX('Facilities'!$S$9:$S$108,MATCH(C162,'Facilities'!$C$9:$C$108,0))*'Scenario Paths'!G75,"Unavailable"))</x:f>
      </x:c>
      <x:c r="AG162" s="23" t="str">
        <x:f>IF(C162="","",IF(AQ162&lt;&gt;"Ready","Unavailable",IF(C162="","",IF(H162&gt;0,MAX(0,H162-AK162)*((1+INDEX('Facilities'!$K$9:$K$108,MATCH(C162,'Facilities'!$C$9:$C$108,0)))^MIN(1,MAX(0,AC162+INDEX('Facilities'!$AK$9:$AK$108,MATCH(C162,'Facilities'!$C$9:$C$108,0))-D162+1))-1),0))))</x:f>
      </x:c>
      <x:c r="AH162" s="21" t="str">
        <x:f>IF(C162="","",IF(AQ162&lt;&gt;"Ready","Unavailable",IF(C162="","",O162+P162)))</x:f>
      </x:c>
      <x:c r="AI162" s="21" t="str">
        <x:f>IF(C162="","",IF(AQ162&lt;&gt;"Ready","Unavailable",IF(C162="","",Z162-Y162)))</x:f>
      </x:c>
      <x:c r="AJ162" s="23" t="str">
        <x:f>IF(C162="","",IFERROR(MAX(0,INDEX('Facilities'!$J$9:$J$108,MATCH(C162,'Facilities'!$C$9:$C$108,0))-D162),"Unavailable"))</x:f>
      </x:c>
      <x:c r="AK162" s="21" t="str">
        <x:f>IF(C162="","",IFERROR(AL62,"Unavailable"))</x:f>
      </x:c>
      <x:c r="AL162" s="23" t="str">
        <x:f>IF(C162="","",IFERROR(IF(P162&gt;0,P162*(1-AM162/(1+INDEX('Facilities'!$K$9:$K$108,MATCH(C162,'Facilities'!$C$9:$C$108,0)))^MAX(0,AC162+INDEX('Facilities'!$AK$9:$AK$108,MATCH(C162,'Facilities'!$C$9:$C$108,0))-D162)),0),"Unavailable"))</x:f>
      </x:c>
      <x:c r="AM162" s="30" t="str">
        <x:f>IF(C162="","",IFERROR(INDEX('Facilities'!$AL$9:$AL$108,MATCH(C162,'Facilities'!$C$9:$C$108,0)),"Unavailable"))</x:f>
      </x:c>
      <x:c r="AN162" s="30" t="str">
        <x:f>IF(C162="","",IFERROR(INDEX(Credit!$T$109:$T$208,MATCH(F162,Credit!$C$109:$C$208,0)),"Unavailable"))</x:f>
      </x:c>
      <x:c r="AO162" s="23" t="str">
        <x:f>IF(C162="","",IF(AQ162&lt;&gt;"Ready","Unavailable",IF(C162="","",O162+P162+Q162*INDEX('Facilities'!$I$9:$I$108,MATCH(C162,'Facilities'!$C$9:$C$108,0)))))</x:f>
      </x:c>
      <x:c r="AP162" s="21" t="str">
        <x:f>IF(C162="","",IF(AQ162&lt;&gt;"Ready","Unavailable",IF(C162="","",AH162-U162)))</x:f>
      </x:c>
      <x:c r="AQ162" s="23" t="str">
        <x:f>IFERROR(IF(C162="","",IF(AND(INDEX('Facilities'!$AF$9:$AF$108,MATCH(C162,'Facilities'!$C$9:$C$108,0))="Ready",INDEX(Credit!$U$109:$U$208,MATCH(F162,Credit!$C$109:$C$208,0))="Ready",ISNUMBER(W162)),"Ready","Review inputs")),"Review inputs")</x:f>
      </x:c>
      <x:c r="AR162" s="23" t="str">
        <x:f>IF(C162="","",IF(AQ162&lt;&gt;"Ready","Unavailable",IF(C162="","",IF(O162=0,0,(IF(AJ162&lt;=1,O162,O162*INDEX('Facilities'!$R$9:$R$108,MATCH(C162,'Facilities'!$C$9:$C$108,0)))+O162*INDEX('Facilities'!$T$9:$T$108,MATCH(C162,'Facilities'!$C$9:$C$108,0)))/12))))</x:f>
      </x:c>
    </x:row>
    <x:row r="163" ht="26" customHeight="1">
      <x:c r="A163" s="1"/>
      <x:c r="B163" s="1"/>
      <x:c r="C163" s="9" t="str">
        <x:f>IF(Facilities!C63="","",Facilities!C63)</x:f>
      </x:c>
      <x:c r="D163" s="3" t="n">
        <x:v>2</x:v>
      </x:c>
      <x:c r="E163" s="9" t="n">
        <x:f>Settings!$F$18+1</x:f>
        <x:v>2028</x:v>
      </x:c>
      <x:c r="F163" s="9" t="str">
        <x:f>IF(C163="","",IFERROR(INDEX('Facilities'!$D$9:$D$108,MATCH(C163,'Facilities'!$C$9:$C$108,0)),"Unavailable"))</x:f>
      </x:c>
      <x:c r="G163" s="21" t="str">
        <x:f>IF(C163="","",IFERROR(O63,"Unavailable"))</x:f>
      </x:c>
      <x:c r="H163" s="21" t="str">
        <x:f>IF(C163="","",IFERROR(P63,"Unavailable"))</x:f>
      </x:c>
      <x:c r="I163" s="21" t="str">
        <x:f>IF(C163="","",IFERROR(Q63,"Unavailable"))</x:f>
      </x:c>
      <x:c r="J163" s="23" t="str">
        <x:f>IF(C163="","",IFERROR(IF(OR(H163&gt;0,AND(AC163&gt;=0,AC163&lt;D163),D163&gt;INDEX('Facilities'!$J$9:$J$108,MATCH(C163,'Facilities'!$C$9:$C$108,0))),0,I163*'Scenario Paths'!G81),"Unavailable"))</x:f>
      </x:c>
      <x:c r="K163" s="23" t="str">
        <x:f>IF(C163="","",IFERROR(IF(OR(H163&gt;0,AND(AC163&gt;=0,AC163=D163)),0,IF(D163&gt;=INDEX('Facilities'!$J$9:$J$108,MATCH(C163,'Facilities'!$C$9:$C$108,0)),G163+J163,MIN(G163+J163,G163*INDEX('Facilities'!$R$9:$R$108,MATCH(C163,'Facilities'!$C$9:$C$108,0))))),"Unavailable"))</x:f>
      </x:c>
      <x:c r="L163" s="21" t="str">
        <x:f>IF(C163="","",IFERROR(IF(AND(AC163=D163,AC163&gt;0),MAX(0,G163+J163-K163),0),"Unavailable"))</x:f>
      </x:c>
      <x:c r="M163" s="23" t="str">
        <x:f>IF(C163="","",IFERROR(IF(AND(AC163&gt;=0,D163&gt;=AC163+INDEX('Facilities'!$AK$9:$AK$108,MATCH(C163,'Facilities'!$C$9:$C$108,0))),(H163+L163)*AM163,0),"Unavailable"))</x:f>
      </x:c>
      <x:c r="N163" s="23" t="str">
        <x:f>IF(C163="","",IFERROR(IF(AND(AC163&gt;=0,D163&gt;=AC163+INDEX('Facilities'!$AK$9:$AK$108,MATCH(C163,'Facilities'!$C$9:$C$108,0))),H163+L163-M163,0),"Unavailable"))</x:f>
      </x:c>
      <x:c r="O163" s="21" t="str">
        <x:f>IF(C163="","",IFERROR(MAX(0,G163+J163-K163-L163),"Unavailable"))</x:f>
      </x:c>
      <x:c r="P163" s="21" t="str">
        <x:f>IF(C163="","",IFERROR(MAX(0,H163+L163-M163-N163),"Unavailable"))</x:f>
      </x:c>
      <x:c r="Q163" s="23" t="str">
        <x:f>IF(C163="","",IFERROR(IF(OR(D163&gt;=INDEX('Facilities'!$J$9:$J$108,MATCH(C163,'Facilities'!$C$9:$C$108,0)),AND(AC163&gt;=0,AC163&lt;=D163)),0,MAX(0,I163-J163)),"Unavailable"))</x:f>
      </x:c>
      <x:c r="R163" s="30" t="str">
        <x:f>IF(C163="","",IFERROR(INDEX(Credit!$Q$109:$Q$208,MATCH(F163,Credit!$C$109:$C$208,0)),"Unavailable"))</x:f>
      </x:c>
      <x:c r="S163" s="30" t="str">
        <x:f>IF(C163="","",IFERROR(INDEX(Credit!$R$109:$R$208,MATCH(F163,Credit!$C$109:$C$208,0)),"Unavailable"))</x:f>
      </x:c>
      <x:c r="T163" s="23" t="str">
        <x:f>IF(C163="","",IFERROR(IF(P163&gt;0,3,IF(OR(INDEX('Facilities'!$AD$9:$AD$108,MATCH(C163,'Facilities'!$C$9:$C$108,0))=2,AND(R163&gt;=INDEX('Facilities'!$L$9:$L$108,MATCH(C163,'Facilities'!$C$9:$C$108,0))*Settings!$F$19,R163-INDEX('Facilities'!$L$9:$L$108,MATCH(C163,'Facilities'!$C$9:$C$108,0))&gt;=Settings!$F$20)),2,1)),"Unavailable"))</x:f>
      </x:c>
      <x:c r="U163" s="23" t="str">
        <x:f>IF(C163="","",IF(AQ163&lt;&gt;"Ready","Unavailable",IF(C163="","",O163*(1-(1-S163)/(1+INDEX('Facilities'!$K$9:$K$108,MATCH(C163,'Facilities'!$C$9:$C$108,0)))^INDEX('Facilities'!$AK$9:$AK$108,MATCH(C163,'Facilities'!$C$9:$C$108,0)))*R163/(1+INDEX('Facilities'!$K$9:$K$108,MATCH(C163,'Facilities'!$C$9:$C$108,0)))*IF(ABS(1-(1-R163)*(1-INDEX('Facilities'!$R$9:$R$108,MATCH(C163,'Facilities'!$C$9:$C$108,0)))/(1+INDEX('Facilities'!$K$9:$K$108,MATCH(C163,'Facilities'!$C$9:$C$108,0))))&lt;0.000000001,IF(T163=1,MIN(1,AJ163),AJ163),(1-((1-R163)*(1-INDEX('Facilities'!$R$9:$R$108,MATCH(C163,'Facilities'!$C$9:$C$108,0)))/(1+INDEX('Facilities'!$K$9:$K$108,MATCH(C163,'Facilities'!$C$9:$C$108,0))))^IF(T163=1,MIN(1,AJ163),AJ163))/(1-(1-R163)*(1-INDEX('Facilities'!$R$9:$R$108,MATCH(C163,'Facilities'!$C$9:$C$108,0)))/(1+INDEX('Facilities'!$K$9:$K$108,MATCH(C163,'Facilities'!$C$9:$C$108,0)))))+AL163)))</x:f>
      </x:c>
      <x:c r="V163" s="23" t="str">
        <x:f>IF(C163="","",IF(AQ163&lt;&gt;"Ready","Unavailable",IF(C163="","",Q163*INDEX('Facilities'!$I$9:$I$108,MATCH(C163,'Facilities'!$C$9:$C$108,0))*(1-(1-S163)/(1+INDEX('Facilities'!$K$9:$K$108,MATCH(C163,'Facilities'!$C$9:$C$108,0)))^INDEX('Facilities'!$AK$9:$AK$108,MATCH(C163,'Facilities'!$C$9:$C$108,0)))*R163/(1+INDEX('Facilities'!$K$9:$K$108,MATCH(C163,'Facilities'!$C$9:$C$108,0)))*IF(ABS(1-(1-R163)*(1-0)/(1+INDEX('Facilities'!$K$9:$K$108,MATCH(C163,'Facilities'!$C$9:$C$108,0))))&lt;0.000000001,IF(T163=1,MIN(1,AJ163),AJ163),(1-((1-R163)*(1-0)/(1+INDEX('Facilities'!$K$9:$K$108,MATCH(C163,'Facilities'!$C$9:$C$108,0))))^IF(T163=1,MIN(1,AJ163),AJ163))/(1-(1-R163)*(1-0)/(1+INDEX('Facilities'!$K$9:$K$108,MATCH(C163,'Facilities'!$C$9:$C$108,0))))))))</x:f>
      </x:c>
      <x:c r="W163" s="21" t="str">
        <x:f>IF(C163="","",IFERROR(U63,"Unavailable"))</x:f>
      </x:c>
      <x:c r="X163" s="21" t="str">
        <x:f>IF(C163="","",IFERROR(V63,"Unavailable"))</x:f>
      </x:c>
      <x:c r="Y163" s="21" t="str">
        <x:f>IF(C163="","",IF(AQ163&lt;&gt;"Ready","Unavailable",IF(C163="","",U163-W163+V163-X163+N163+AG163)))</x:f>
      </x:c>
      <x:c r="Z163" s="23" t="str">
        <x:f>IF(C163="","",IF(AQ163&lt;&gt;"Ready","Unavailable",IF(C163="","",(G163+O163+L163)/2*INDEX('Facilities'!$T$9:$T$108,MATCH(C163,'Facilities'!$C$9:$C$108,0))+AG163)))</x:f>
      </x:c>
      <x:c r="AA163" s="23" t="str">
        <x:f>IF(C163="","",IF(AQ163&lt;&gt;"Ready","Unavailable",IF(C163="","",O163*(1-IF(INDEX('Facilities'!$AA$9:$AA$108,MATCH(C163,'Facilities'!$C$9:$C$108,0))=0,0,MIN(1,INDEX('Facilities'!$X$9:$X$108,MATCH(C163,'Facilities'!$C$9:$C$108,0))/INDEX('Facilities'!$AA$9:$AA$108,MATCH(C163,'Facilities'!$C$9:$C$108,0)))))*AF163+P163*(1-IF(INDEX('Facilities'!$AA$9:$AA$108,MATCH(C163,'Facilities'!$C$9:$C$108,0))=0,0,MIN(1,INDEX('Facilities'!$X$9:$X$108,MATCH(C163,'Facilities'!$C$9:$C$108,0))/INDEX('Facilities'!$AA$9:$AA$108,MATCH(C163,'Facilities'!$C$9:$C$108,0)))))*INDEX('Facilities'!$AJ$9:$AJ$108,MATCH(C163,'Facilities'!$C$9:$C$108,0))+Q163*INDEX('Facilities'!$AI$9:$AI$108,MATCH(C163,'Facilities'!$C$9:$C$108,0))*AF163)))</x:f>
      </x:c>
      <x:c r="AB163" s="21" t="str">
        <x:f>IF(C163="","",O163+P163-AD163)</x:f>
      </x:c>
      <x:c r="AC163" s="23" t="str">
        <x:f>IF(C163="","",IFERROR(IF(INDEX('Facilities'!$AD$9:$AD$108,MATCH(C163,'Facilities'!$C$9:$C$108,0))=3,0,IF(INDEX('Facilities'!$AN$9:$AN$108,MATCH(C163,'Facilities'!$C$9:$C$108,0))=0,-1,INDEX('Facilities'!$AN$9:$AN$108,MATCH(C163,'Facilities'!$C$9:$C$108,0)))),"Unavailable"))</x:f>
      </x:c>
      <x:c r="AD163" s="21" t="str">
        <x:f>IF(C163="","",IFERROR(G163+H163,"Unavailable"))</x:f>
      </x:c>
      <x:c r="AE163" s="21" t="str">
        <x:f>IF(C163="","",IF(AQ163&lt;&gt;"Ready","Unavailable",IF(C163="","",O163+P163-AD163-J163+K163+M163+N163)))</x:f>
      </x:c>
      <x:c r="AF163" s="30" t="str">
        <x:f>IF(C163="","",IFERROR(INDEX('Facilities'!$S$9:$S$108,MATCH(C163,'Facilities'!$C$9:$C$108,0))*'Scenario Paths'!G75,"Unavailable"))</x:f>
      </x:c>
      <x:c r="AG163" s="23" t="str">
        <x:f>IF(C163="","",IF(AQ163&lt;&gt;"Ready","Unavailable",IF(C163="","",IF(H163&gt;0,MAX(0,H163-AK163)*((1+INDEX('Facilities'!$K$9:$K$108,MATCH(C163,'Facilities'!$C$9:$C$108,0)))^MIN(1,MAX(0,AC163+INDEX('Facilities'!$AK$9:$AK$108,MATCH(C163,'Facilities'!$C$9:$C$108,0))-D163+1))-1),0))))</x:f>
      </x:c>
      <x:c r="AH163" s="21" t="str">
        <x:f>IF(C163="","",IF(AQ163&lt;&gt;"Ready","Unavailable",IF(C163="","",O163+P163)))</x:f>
      </x:c>
      <x:c r="AI163" s="21" t="str">
        <x:f>IF(C163="","",IF(AQ163&lt;&gt;"Ready","Unavailable",IF(C163="","",Z163-Y163)))</x:f>
      </x:c>
      <x:c r="AJ163" s="23" t="str">
        <x:f>IF(C163="","",IFERROR(MAX(0,INDEX('Facilities'!$J$9:$J$108,MATCH(C163,'Facilities'!$C$9:$C$108,0))-D163),"Unavailable"))</x:f>
      </x:c>
      <x:c r="AK163" s="21" t="str">
        <x:f>IF(C163="","",IFERROR(AL63,"Unavailable"))</x:f>
      </x:c>
      <x:c r="AL163" s="23" t="str">
        <x:f>IF(C163="","",IFERROR(IF(P163&gt;0,P163*(1-AM163/(1+INDEX('Facilities'!$K$9:$K$108,MATCH(C163,'Facilities'!$C$9:$C$108,0)))^MAX(0,AC163+INDEX('Facilities'!$AK$9:$AK$108,MATCH(C163,'Facilities'!$C$9:$C$108,0))-D163)),0),"Unavailable"))</x:f>
      </x:c>
      <x:c r="AM163" s="30" t="str">
        <x:f>IF(C163="","",IFERROR(INDEX('Facilities'!$AL$9:$AL$108,MATCH(C163,'Facilities'!$C$9:$C$108,0)),"Unavailable"))</x:f>
      </x:c>
      <x:c r="AN163" s="30" t="str">
        <x:f>IF(C163="","",IFERROR(INDEX(Credit!$T$109:$T$208,MATCH(F163,Credit!$C$109:$C$208,0)),"Unavailable"))</x:f>
      </x:c>
      <x:c r="AO163" s="23" t="str">
        <x:f>IF(C163="","",IF(AQ163&lt;&gt;"Ready","Unavailable",IF(C163="","",O163+P163+Q163*INDEX('Facilities'!$I$9:$I$108,MATCH(C163,'Facilities'!$C$9:$C$108,0)))))</x:f>
      </x:c>
      <x:c r="AP163" s="21" t="str">
        <x:f>IF(C163="","",IF(AQ163&lt;&gt;"Ready","Unavailable",IF(C163="","",AH163-U163)))</x:f>
      </x:c>
      <x:c r="AQ163" s="23" t="str">
        <x:f>IFERROR(IF(C163="","",IF(AND(INDEX('Facilities'!$AF$9:$AF$108,MATCH(C163,'Facilities'!$C$9:$C$108,0))="Ready",INDEX(Credit!$U$109:$U$208,MATCH(F163,Credit!$C$109:$C$208,0))="Ready",ISNUMBER(W163)),"Ready","Review inputs")),"Review inputs")</x:f>
      </x:c>
      <x:c r="AR163" s="23" t="str">
        <x:f>IF(C163="","",IF(AQ163&lt;&gt;"Ready","Unavailable",IF(C163="","",IF(O163=0,0,(IF(AJ163&lt;=1,O163,O163*INDEX('Facilities'!$R$9:$R$108,MATCH(C163,'Facilities'!$C$9:$C$108,0)))+O163*INDEX('Facilities'!$T$9:$T$108,MATCH(C163,'Facilities'!$C$9:$C$108,0)))/12))))</x:f>
      </x:c>
    </x:row>
    <x:row r="164" ht="26" customHeight="1">
      <x:c r="A164" s="1"/>
      <x:c r="B164" s="1"/>
      <x:c r="C164" s="9" t="str">
        <x:f>IF(Facilities!C64="","",Facilities!C64)</x:f>
      </x:c>
      <x:c r="D164" s="3" t="n">
        <x:v>2</x:v>
      </x:c>
      <x:c r="E164" s="9" t="n">
        <x:f>Settings!$F$18+1</x:f>
        <x:v>2028</x:v>
      </x:c>
      <x:c r="F164" s="9" t="str">
        <x:f>IF(C164="","",IFERROR(INDEX('Facilities'!$D$9:$D$108,MATCH(C164,'Facilities'!$C$9:$C$108,0)),"Unavailable"))</x:f>
      </x:c>
      <x:c r="G164" s="21" t="str">
        <x:f>IF(C164="","",IFERROR(O64,"Unavailable"))</x:f>
      </x:c>
      <x:c r="H164" s="21" t="str">
        <x:f>IF(C164="","",IFERROR(P64,"Unavailable"))</x:f>
      </x:c>
      <x:c r="I164" s="21" t="str">
        <x:f>IF(C164="","",IFERROR(Q64,"Unavailable"))</x:f>
      </x:c>
      <x:c r="J164" s="23" t="str">
        <x:f>IF(C164="","",IFERROR(IF(OR(H164&gt;0,AND(AC164&gt;=0,AC164&lt;D164),D164&gt;INDEX('Facilities'!$J$9:$J$108,MATCH(C164,'Facilities'!$C$9:$C$108,0))),0,I164*'Scenario Paths'!G81),"Unavailable"))</x:f>
      </x:c>
      <x:c r="K164" s="23" t="str">
        <x:f>IF(C164="","",IFERROR(IF(OR(H164&gt;0,AND(AC164&gt;=0,AC164=D164)),0,IF(D164&gt;=INDEX('Facilities'!$J$9:$J$108,MATCH(C164,'Facilities'!$C$9:$C$108,0)),G164+J164,MIN(G164+J164,G164*INDEX('Facilities'!$R$9:$R$108,MATCH(C164,'Facilities'!$C$9:$C$108,0))))),"Unavailable"))</x:f>
      </x:c>
      <x:c r="L164" s="21" t="str">
        <x:f>IF(C164="","",IFERROR(IF(AND(AC164=D164,AC164&gt;0),MAX(0,G164+J164-K164),0),"Unavailable"))</x:f>
      </x:c>
      <x:c r="M164" s="23" t="str">
        <x:f>IF(C164="","",IFERROR(IF(AND(AC164&gt;=0,D164&gt;=AC164+INDEX('Facilities'!$AK$9:$AK$108,MATCH(C164,'Facilities'!$C$9:$C$108,0))),(H164+L164)*AM164,0),"Unavailable"))</x:f>
      </x:c>
      <x:c r="N164" s="23" t="str">
        <x:f>IF(C164="","",IFERROR(IF(AND(AC164&gt;=0,D164&gt;=AC164+INDEX('Facilities'!$AK$9:$AK$108,MATCH(C164,'Facilities'!$C$9:$C$108,0))),H164+L164-M164,0),"Unavailable"))</x:f>
      </x:c>
      <x:c r="O164" s="21" t="str">
        <x:f>IF(C164="","",IFERROR(MAX(0,G164+J164-K164-L164),"Unavailable"))</x:f>
      </x:c>
      <x:c r="P164" s="21" t="str">
        <x:f>IF(C164="","",IFERROR(MAX(0,H164+L164-M164-N164),"Unavailable"))</x:f>
      </x:c>
      <x:c r="Q164" s="23" t="str">
        <x:f>IF(C164="","",IFERROR(IF(OR(D164&gt;=INDEX('Facilities'!$J$9:$J$108,MATCH(C164,'Facilities'!$C$9:$C$108,0)),AND(AC164&gt;=0,AC164&lt;=D164)),0,MAX(0,I164-J164)),"Unavailable"))</x:f>
      </x:c>
      <x:c r="R164" s="30" t="str">
        <x:f>IF(C164="","",IFERROR(INDEX(Credit!$Q$109:$Q$208,MATCH(F164,Credit!$C$109:$C$208,0)),"Unavailable"))</x:f>
      </x:c>
      <x:c r="S164" s="30" t="str">
        <x:f>IF(C164="","",IFERROR(INDEX(Credit!$R$109:$R$208,MATCH(F164,Credit!$C$109:$C$208,0)),"Unavailable"))</x:f>
      </x:c>
      <x:c r="T164" s="23" t="str">
        <x:f>IF(C164="","",IFERROR(IF(P164&gt;0,3,IF(OR(INDEX('Facilities'!$AD$9:$AD$108,MATCH(C164,'Facilities'!$C$9:$C$108,0))=2,AND(R164&gt;=INDEX('Facilities'!$L$9:$L$108,MATCH(C164,'Facilities'!$C$9:$C$108,0))*Settings!$F$19,R164-INDEX('Facilities'!$L$9:$L$108,MATCH(C164,'Facilities'!$C$9:$C$108,0))&gt;=Settings!$F$20)),2,1)),"Unavailable"))</x:f>
      </x:c>
      <x:c r="U164" s="23" t="str">
        <x:f>IF(C164="","",IF(AQ164&lt;&gt;"Ready","Unavailable",IF(C164="","",O164*(1-(1-S164)/(1+INDEX('Facilities'!$K$9:$K$108,MATCH(C164,'Facilities'!$C$9:$C$108,0)))^INDEX('Facilities'!$AK$9:$AK$108,MATCH(C164,'Facilities'!$C$9:$C$108,0)))*R164/(1+INDEX('Facilities'!$K$9:$K$108,MATCH(C164,'Facilities'!$C$9:$C$108,0)))*IF(ABS(1-(1-R164)*(1-INDEX('Facilities'!$R$9:$R$108,MATCH(C164,'Facilities'!$C$9:$C$108,0)))/(1+INDEX('Facilities'!$K$9:$K$108,MATCH(C164,'Facilities'!$C$9:$C$108,0))))&lt;0.000000001,IF(T164=1,MIN(1,AJ164),AJ164),(1-((1-R164)*(1-INDEX('Facilities'!$R$9:$R$108,MATCH(C164,'Facilities'!$C$9:$C$108,0)))/(1+INDEX('Facilities'!$K$9:$K$108,MATCH(C164,'Facilities'!$C$9:$C$108,0))))^IF(T164=1,MIN(1,AJ164),AJ164))/(1-(1-R164)*(1-INDEX('Facilities'!$R$9:$R$108,MATCH(C164,'Facilities'!$C$9:$C$108,0)))/(1+INDEX('Facilities'!$K$9:$K$108,MATCH(C164,'Facilities'!$C$9:$C$108,0)))))+AL164)))</x:f>
      </x:c>
      <x:c r="V164" s="23" t="str">
        <x:f>IF(C164="","",IF(AQ164&lt;&gt;"Ready","Unavailable",IF(C164="","",Q164*INDEX('Facilities'!$I$9:$I$108,MATCH(C164,'Facilities'!$C$9:$C$108,0))*(1-(1-S164)/(1+INDEX('Facilities'!$K$9:$K$108,MATCH(C164,'Facilities'!$C$9:$C$108,0)))^INDEX('Facilities'!$AK$9:$AK$108,MATCH(C164,'Facilities'!$C$9:$C$108,0)))*R164/(1+INDEX('Facilities'!$K$9:$K$108,MATCH(C164,'Facilities'!$C$9:$C$108,0)))*IF(ABS(1-(1-R164)*(1-0)/(1+INDEX('Facilities'!$K$9:$K$108,MATCH(C164,'Facilities'!$C$9:$C$108,0))))&lt;0.000000001,IF(T164=1,MIN(1,AJ164),AJ164),(1-((1-R164)*(1-0)/(1+INDEX('Facilities'!$K$9:$K$108,MATCH(C164,'Facilities'!$C$9:$C$108,0))))^IF(T164=1,MIN(1,AJ164),AJ164))/(1-(1-R164)*(1-0)/(1+INDEX('Facilities'!$K$9:$K$108,MATCH(C164,'Facilities'!$C$9:$C$108,0))))))))</x:f>
      </x:c>
      <x:c r="W164" s="21" t="str">
        <x:f>IF(C164="","",IFERROR(U64,"Unavailable"))</x:f>
      </x:c>
      <x:c r="X164" s="21" t="str">
        <x:f>IF(C164="","",IFERROR(V64,"Unavailable"))</x:f>
      </x:c>
      <x:c r="Y164" s="21" t="str">
        <x:f>IF(C164="","",IF(AQ164&lt;&gt;"Ready","Unavailable",IF(C164="","",U164-W164+V164-X164+N164+AG164)))</x:f>
      </x:c>
      <x:c r="Z164" s="23" t="str">
        <x:f>IF(C164="","",IF(AQ164&lt;&gt;"Ready","Unavailable",IF(C164="","",(G164+O164+L164)/2*INDEX('Facilities'!$T$9:$T$108,MATCH(C164,'Facilities'!$C$9:$C$108,0))+AG164)))</x:f>
      </x:c>
      <x:c r="AA164" s="23" t="str">
        <x:f>IF(C164="","",IF(AQ164&lt;&gt;"Ready","Unavailable",IF(C164="","",O164*(1-IF(INDEX('Facilities'!$AA$9:$AA$108,MATCH(C164,'Facilities'!$C$9:$C$108,0))=0,0,MIN(1,INDEX('Facilities'!$X$9:$X$108,MATCH(C164,'Facilities'!$C$9:$C$108,0))/INDEX('Facilities'!$AA$9:$AA$108,MATCH(C164,'Facilities'!$C$9:$C$108,0)))))*AF164+P164*(1-IF(INDEX('Facilities'!$AA$9:$AA$108,MATCH(C164,'Facilities'!$C$9:$C$108,0))=0,0,MIN(1,INDEX('Facilities'!$X$9:$X$108,MATCH(C164,'Facilities'!$C$9:$C$108,0))/INDEX('Facilities'!$AA$9:$AA$108,MATCH(C164,'Facilities'!$C$9:$C$108,0)))))*INDEX('Facilities'!$AJ$9:$AJ$108,MATCH(C164,'Facilities'!$C$9:$C$108,0))+Q164*INDEX('Facilities'!$AI$9:$AI$108,MATCH(C164,'Facilities'!$C$9:$C$108,0))*AF164)))</x:f>
      </x:c>
      <x:c r="AB164" s="21" t="str">
        <x:f>IF(C164="","",O164+P164-AD164)</x:f>
      </x:c>
      <x:c r="AC164" s="23" t="str">
        <x:f>IF(C164="","",IFERROR(IF(INDEX('Facilities'!$AD$9:$AD$108,MATCH(C164,'Facilities'!$C$9:$C$108,0))=3,0,IF(INDEX('Facilities'!$AN$9:$AN$108,MATCH(C164,'Facilities'!$C$9:$C$108,0))=0,-1,INDEX('Facilities'!$AN$9:$AN$108,MATCH(C164,'Facilities'!$C$9:$C$108,0)))),"Unavailable"))</x:f>
      </x:c>
      <x:c r="AD164" s="21" t="str">
        <x:f>IF(C164="","",IFERROR(G164+H164,"Unavailable"))</x:f>
      </x:c>
      <x:c r="AE164" s="21" t="str">
        <x:f>IF(C164="","",IF(AQ164&lt;&gt;"Ready","Unavailable",IF(C164="","",O164+P164-AD164-J164+K164+M164+N164)))</x:f>
      </x:c>
      <x:c r="AF164" s="30" t="str">
        <x:f>IF(C164="","",IFERROR(INDEX('Facilities'!$S$9:$S$108,MATCH(C164,'Facilities'!$C$9:$C$108,0))*'Scenario Paths'!G75,"Unavailable"))</x:f>
      </x:c>
      <x:c r="AG164" s="23" t="str">
        <x:f>IF(C164="","",IF(AQ164&lt;&gt;"Ready","Unavailable",IF(C164="","",IF(H164&gt;0,MAX(0,H164-AK164)*((1+INDEX('Facilities'!$K$9:$K$108,MATCH(C164,'Facilities'!$C$9:$C$108,0)))^MIN(1,MAX(0,AC164+INDEX('Facilities'!$AK$9:$AK$108,MATCH(C164,'Facilities'!$C$9:$C$108,0))-D164+1))-1),0))))</x:f>
      </x:c>
      <x:c r="AH164" s="21" t="str">
        <x:f>IF(C164="","",IF(AQ164&lt;&gt;"Ready","Unavailable",IF(C164="","",O164+P164)))</x:f>
      </x:c>
      <x:c r="AI164" s="21" t="str">
        <x:f>IF(C164="","",IF(AQ164&lt;&gt;"Ready","Unavailable",IF(C164="","",Z164-Y164)))</x:f>
      </x:c>
      <x:c r="AJ164" s="23" t="str">
        <x:f>IF(C164="","",IFERROR(MAX(0,INDEX('Facilities'!$J$9:$J$108,MATCH(C164,'Facilities'!$C$9:$C$108,0))-D164),"Unavailable"))</x:f>
      </x:c>
      <x:c r="AK164" s="21" t="str">
        <x:f>IF(C164="","",IFERROR(AL64,"Unavailable"))</x:f>
      </x:c>
      <x:c r="AL164" s="23" t="str">
        <x:f>IF(C164="","",IFERROR(IF(P164&gt;0,P164*(1-AM164/(1+INDEX('Facilities'!$K$9:$K$108,MATCH(C164,'Facilities'!$C$9:$C$108,0)))^MAX(0,AC164+INDEX('Facilities'!$AK$9:$AK$108,MATCH(C164,'Facilities'!$C$9:$C$108,0))-D164)),0),"Unavailable"))</x:f>
      </x:c>
      <x:c r="AM164" s="30" t="str">
        <x:f>IF(C164="","",IFERROR(INDEX('Facilities'!$AL$9:$AL$108,MATCH(C164,'Facilities'!$C$9:$C$108,0)),"Unavailable"))</x:f>
      </x:c>
      <x:c r="AN164" s="30" t="str">
        <x:f>IF(C164="","",IFERROR(INDEX(Credit!$T$109:$T$208,MATCH(F164,Credit!$C$109:$C$208,0)),"Unavailable"))</x:f>
      </x:c>
      <x:c r="AO164" s="23" t="str">
        <x:f>IF(C164="","",IF(AQ164&lt;&gt;"Ready","Unavailable",IF(C164="","",O164+P164+Q164*INDEX('Facilities'!$I$9:$I$108,MATCH(C164,'Facilities'!$C$9:$C$108,0)))))</x:f>
      </x:c>
      <x:c r="AP164" s="21" t="str">
        <x:f>IF(C164="","",IF(AQ164&lt;&gt;"Ready","Unavailable",IF(C164="","",AH164-U164)))</x:f>
      </x:c>
      <x:c r="AQ164" s="23" t="str">
        <x:f>IFERROR(IF(C164="","",IF(AND(INDEX('Facilities'!$AF$9:$AF$108,MATCH(C164,'Facilities'!$C$9:$C$108,0))="Ready",INDEX(Credit!$U$109:$U$208,MATCH(F164,Credit!$C$109:$C$208,0))="Ready",ISNUMBER(W164)),"Ready","Review inputs")),"Review inputs")</x:f>
      </x:c>
      <x:c r="AR164" s="23" t="str">
        <x:f>IF(C164="","",IF(AQ164&lt;&gt;"Ready","Unavailable",IF(C164="","",IF(O164=0,0,(IF(AJ164&lt;=1,O164,O164*INDEX('Facilities'!$R$9:$R$108,MATCH(C164,'Facilities'!$C$9:$C$108,0)))+O164*INDEX('Facilities'!$T$9:$T$108,MATCH(C164,'Facilities'!$C$9:$C$108,0)))/12))))</x:f>
      </x:c>
    </x:row>
    <x:row r="165" ht="26" customHeight="1">
      <x:c r="A165" s="1"/>
      <x:c r="B165" s="1"/>
      <x:c r="C165" s="9" t="str">
        <x:f>IF(Facilities!C65="","",Facilities!C65)</x:f>
      </x:c>
      <x:c r="D165" s="3" t="n">
        <x:v>2</x:v>
      </x:c>
      <x:c r="E165" s="9" t="n">
        <x:f>Settings!$F$18+1</x:f>
        <x:v>2028</x:v>
      </x:c>
      <x:c r="F165" s="9" t="str">
        <x:f>IF(C165="","",IFERROR(INDEX('Facilities'!$D$9:$D$108,MATCH(C165,'Facilities'!$C$9:$C$108,0)),"Unavailable"))</x:f>
      </x:c>
      <x:c r="G165" s="21" t="str">
        <x:f>IF(C165="","",IFERROR(O65,"Unavailable"))</x:f>
      </x:c>
      <x:c r="H165" s="21" t="str">
        <x:f>IF(C165="","",IFERROR(P65,"Unavailable"))</x:f>
      </x:c>
      <x:c r="I165" s="21" t="str">
        <x:f>IF(C165="","",IFERROR(Q65,"Unavailable"))</x:f>
      </x:c>
      <x:c r="J165" s="23" t="str">
        <x:f>IF(C165="","",IFERROR(IF(OR(H165&gt;0,AND(AC165&gt;=0,AC165&lt;D165),D165&gt;INDEX('Facilities'!$J$9:$J$108,MATCH(C165,'Facilities'!$C$9:$C$108,0))),0,I165*'Scenario Paths'!G81),"Unavailable"))</x:f>
      </x:c>
      <x:c r="K165" s="23" t="str">
        <x:f>IF(C165="","",IFERROR(IF(OR(H165&gt;0,AND(AC165&gt;=0,AC165=D165)),0,IF(D165&gt;=INDEX('Facilities'!$J$9:$J$108,MATCH(C165,'Facilities'!$C$9:$C$108,0)),G165+J165,MIN(G165+J165,G165*INDEX('Facilities'!$R$9:$R$108,MATCH(C165,'Facilities'!$C$9:$C$108,0))))),"Unavailable"))</x:f>
      </x:c>
      <x:c r="L165" s="21" t="str">
        <x:f>IF(C165="","",IFERROR(IF(AND(AC165=D165,AC165&gt;0),MAX(0,G165+J165-K165),0),"Unavailable"))</x:f>
      </x:c>
      <x:c r="M165" s="23" t="str">
        <x:f>IF(C165="","",IFERROR(IF(AND(AC165&gt;=0,D165&gt;=AC165+INDEX('Facilities'!$AK$9:$AK$108,MATCH(C165,'Facilities'!$C$9:$C$108,0))),(H165+L165)*AM165,0),"Unavailable"))</x:f>
      </x:c>
      <x:c r="N165" s="23" t="str">
        <x:f>IF(C165="","",IFERROR(IF(AND(AC165&gt;=0,D165&gt;=AC165+INDEX('Facilities'!$AK$9:$AK$108,MATCH(C165,'Facilities'!$C$9:$C$108,0))),H165+L165-M165,0),"Unavailable"))</x:f>
      </x:c>
      <x:c r="O165" s="21" t="str">
        <x:f>IF(C165="","",IFERROR(MAX(0,G165+J165-K165-L165),"Unavailable"))</x:f>
      </x:c>
      <x:c r="P165" s="21" t="str">
        <x:f>IF(C165="","",IFERROR(MAX(0,H165+L165-M165-N165),"Unavailable"))</x:f>
      </x:c>
      <x:c r="Q165" s="23" t="str">
        <x:f>IF(C165="","",IFERROR(IF(OR(D165&gt;=INDEX('Facilities'!$J$9:$J$108,MATCH(C165,'Facilities'!$C$9:$C$108,0)),AND(AC165&gt;=0,AC165&lt;=D165)),0,MAX(0,I165-J165)),"Unavailable"))</x:f>
      </x:c>
      <x:c r="R165" s="30" t="str">
        <x:f>IF(C165="","",IFERROR(INDEX(Credit!$Q$109:$Q$208,MATCH(F165,Credit!$C$109:$C$208,0)),"Unavailable"))</x:f>
      </x:c>
      <x:c r="S165" s="30" t="str">
        <x:f>IF(C165="","",IFERROR(INDEX(Credit!$R$109:$R$208,MATCH(F165,Credit!$C$109:$C$208,0)),"Unavailable"))</x:f>
      </x:c>
      <x:c r="T165" s="23" t="str">
        <x:f>IF(C165="","",IFERROR(IF(P165&gt;0,3,IF(OR(INDEX('Facilities'!$AD$9:$AD$108,MATCH(C165,'Facilities'!$C$9:$C$108,0))=2,AND(R165&gt;=INDEX('Facilities'!$L$9:$L$108,MATCH(C165,'Facilities'!$C$9:$C$108,0))*Settings!$F$19,R165-INDEX('Facilities'!$L$9:$L$108,MATCH(C165,'Facilities'!$C$9:$C$108,0))&gt;=Settings!$F$20)),2,1)),"Unavailable"))</x:f>
      </x:c>
      <x:c r="U165" s="23" t="str">
        <x:f>IF(C165="","",IF(AQ165&lt;&gt;"Ready","Unavailable",IF(C165="","",O165*(1-(1-S165)/(1+INDEX('Facilities'!$K$9:$K$108,MATCH(C165,'Facilities'!$C$9:$C$108,0)))^INDEX('Facilities'!$AK$9:$AK$108,MATCH(C165,'Facilities'!$C$9:$C$108,0)))*R165/(1+INDEX('Facilities'!$K$9:$K$108,MATCH(C165,'Facilities'!$C$9:$C$108,0)))*IF(ABS(1-(1-R165)*(1-INDEX('Facilities'!$R$9:$R$108,MATCH(C165,'Facilities'!$C$9:$C$108,0)))/(1+INDEX('Facilities'!$K$9:$K$108,MATCH(C165,'Facilities'!$C$9:$C$108,0))))&lt;0.000000001,IF(T165=1,MIN(1,AJ165),AJ165),(1-((1-R165)*(1-INDEX('Facilities'!$R$9:$R$108,MATCH(C165,'Facilities'!$C$9:$C$108,0)))/(1+INDEX('Facilities'!$K$9:$K$108,MATCH(C165,'Facilities'!$C$9:$C$108,0))))^IF(T165=1,MIN(1,AJ165),AJ165))/(1-(1-R165)*(1-INDEX('Facilities'!$R$9:$R$108,MATCH(C165,'Facilities'!$C$9:$C$108,0)))/(1+INDEX('Facilities'!$K$9:$K$108,MATCH(C165,'Facilities'!$C$9:$C$108,0)))))+AL165)))</x:f>
      </x:c>
      <x:c r="V165" s="23" t="str">
        <x:f>IF(C165="","",IF(AQ165&lt;&gt;"Ready","Unavailable",IF(C165="","",Q165*INDEX('Facilities'!$I$9:$I$108,MATCH(C165,'Facilities'!$C$9:$C$108,0))*(1-(1-S165)/(1+INDEX('Facilities'!$K$9:$K$108,MATCH(C165,'Facilities'!$C$9:$C$108,0)))^INDEX('Facilities'!$AK$9:$AK$108,MATCH(C165,'Facilities'!$C$9:$C$108,0)))*R165/(1+INDEX('Facilities'!$K$9:$K$108,MATCH(C165,'Facilities'!$C$9:$C$108,0)))*IF(ABS(1-(1-R165)*(1-0)/(1+INDEX('Facilities'!$K$9:$K$108,MATCH(C165,'Facilities'!$C$9:$C$108,0))))&lt;0.000000001,IF(T165=1,MIN(1,AJ165),AJ165),(1-((1-R165)*(1-0)/(1+INDEX('Facilities'!$K$9:$K$108,MATCH(C165,'Facilities'!$C$9:$C$108,0))))^IF(T165=1,MIN(1,AJ165),AJ165))/(1-(1-R165)*(1-0)/(1+INDEX('Facilities'!$K$9:$K$108,MATCH(C165,'Facilities'!$C$9:$C$108,0))))))))</x:f>
      </x:c>
      <x:c r="W165" s="21" t="str">
        <x:f>IF(C165="","",IFERROR(U65,"Unavailable"))</x:f>
      </x:c>
      <x:c r="X165" s="21" t="str">
        <x:f>IF(C165="","",IFERROR(V65,"Unavailable"))</x:f>
      </x:c>
      <x:c r="Y165" s="21" t="str">
        <x:f>IF(C165="","",IF(AQ165&lt;&gt;"Ready","Unavailable",IF(C165="","",U165-W165+V165-X165+N165+AG165)))</x:f>
      </x:c>
      <x:c r="Z165" s="23" t="str">
        <x:f>IF(C165="","",IF(AQ165&lt;&gt;"Ready","Unavailable",IF(C165="","",(G165+O165+L165)/2*INDEX('Facilities'!$T$9:$T$108,MATCH(C165,'Facilities'!$C$9:$C$108,0))+AG165)))</x:f>
      </x:c>
      <x:c r="AA165" s="23" t="str">
        <x:f>IF(C165="","",IF(AQ165&lt;&gt;"Ready","Unavailable",IF(C165="","",O165*(1-IF(INDEX('Facilities'!$AA$9:$AA$108,MATCH(C165,'Facilities'!$C$9:$C$108,0))=0,0,MIN(1,INDEX('Facilities'!$X$9:$X$108,MATCH(C165,'Facilities'!$C$9:$C$108,0))/INDEX('Facilities'!$AA$9:$AA$108,MATCH(C165,'Facilities'!$C$9:$C$108,0)))))*AF165+P165*(1-IF(INDEX('Facilities'!$AA$9:$AA$108,MATCH(C165,'Facilities'!$C$9:$C$108,0))=0,0,MIN(1,INDEX('Facilities'!$X$9:$X$108,MATCH(C165,'Facilities'!$C$9:$C$108,0))/INDEX('Facilities'!$AA$9:$AA$108,MATCH(C165,'Facilities'!$C$9:$C$108,0)))))*INDEX('Facilities'!$AJ$9:$AJ$108,MATCH(C165,'Facilities'!$C$9:$C$108,0))+Q165*INDEX('Facilities'!$AI$9:$AI$108,MATCH(C165,'Facilities'!$C$9:$C$108,0))*AF165)))</x:f>
      </x:c>
      <x:c r="AB165" s="21" t="str">
        <x:f>IF(C165="","",O165+P165-AD165)</x:f>
      </x:c>
      <x:c r="AC165" s="23" t="str">
        <x:f>IF(C165="","",IFERROR(IF(INDEX('Facilities'!$AD$9:$AD$108,MATCH(C165,'Facilities'!$C$9:$C$108,0))=3,0,IF(INDEX('Facilities'!$AN$9:$AN$108,MATCH(C165,'Facilities'!$C$9:$C$108,0))=0,-1,INDEX('Facilities'!$AN$9:$AN$108,MATCH(C165,'Facilities'!$C$9:$C$108,0)))),"Unavailable"))</x:f>
      </x:c>
      <x:c r="AD165" s="21" t="str">
        <x:f>IF(C165="","",IFERROR(G165+H165,"Unavailable"))</x:f>
      </x:c>
      <x:c r="AE165" s="21" t="str">
        <x:f>IF(C165="","",IF(AQ165&lt;&gt;"Ready","Unavailable",IF(C165="","",O165+P165-AD165-J165+K165+M165+N165)))</x:f>
      </x:c>
      <x:c r="AF165" s="30" t="str">
        <x:f>IF(C165="","",IFERROR(INDEX('Facilities'!$S$9:$S$108,MATCH(C165,'Facilities'!$C$9:$C$108,0))*'Scenario Paths'!G75,"Unavailable"))</x:f>
      </x:c>
      <x:c r="AG165" s="23" t="str">
        <x:f>IF(C165="","",IF(AQ165&lt;&gt;"Ready","Unavailable",IF(C165="","",IF(H165&gt;0,MAX(0,H165-AK165)*((1+INDEX('Facilities'!$K$9:$K$108,MATCH(C165,'Facilities'!$C$9:$C$108,0)))^MIN(1,MAX(0,AC165+INDEX('Facilities'!$AK$9:$AK$108,MATCH(C165,'Facilities'!$C$9:$C$108,0))-D165+1))-1),0))))</x:f>
      </x:c>
      <x:c r="AH165" s="21" t="str">
        <x:f>IF(C165="","",IF(AQ165&lt;&gt;"Ready","Unavailable",IF(C165="","",O165+P165)))</x:f>
      </x:c>
      <x:c r="AI165" s="21" t="str">
        <x:f>IF(C165="","",IF(AQ165&lt;&gt;"Ready","Unavailable",IF(C165="","",Z165-Y165)))</x:f>
      </x:c>
      <x:c r="AJ165" s="23" t="str">
        <x:f>IF(C165="","",IFERROR(MAX(0,INDEX('Facilities'!$J$9:$J$108,MATCH(C165,'Facilities'!$C$9:$C$108,0))-D165),"Unavailable"))</x:f>
      </x:c>
      <x:c r="AK165" s="21" t="str">
        <x:f>IF(C165="","",IFERROR(AL65,"Unavailable"))</x:f>
      </x:c>
      <x:c r="AL165" s="23" t="str">
        <x:f>IF(C165="","",IFERROR(IF(P165&gt;0,P165*(1-AM165/(1+INDEX('Facilities'!$K$9:$K$108,MATCH(C165,'Facilities'!$C$9:$C$108,0)))^MAX(0,AC165+INDEX('Facilities'!$AK$9:$AK$108,MATCH(C165,'Facilities'!$C$9:$C$108,0))-D165)),0),"Unavailable"))</x:f>
      </x:c>
      <x:c r="AM165" s="30" t="str">
        <x:f>IF(C165="","",IFERROR(INDEX('Facilities'!$AL$9:$AL$108,MATCH(C165,'Facilities'!$C$9:$C$108,0)),"Unavailable"))</x:f>
      </x:c>
      <x:c r="AN165" s="30" t="str">
        <x:f>IF(C165="","",IFERROR(INDEX(Credit!$T$109:$T$208,MATCH(F165,Credit!$C$109:$C$208,0)),"Unavailable"))</x:f>
      </x:c>
      <x:c r="AO165" s="23" t="str">
        <x:f>IF(C165="","",IF(AQ165&lt;&gt;"Ready","Unavailable",IF(C165="","",O165+P165+Q165*INDEX('Facilities'!$I$9:$I$108,MATCH(C165,'Facilities'!$C$9:$C$108,0)))))</x:f>
      </x:c>
      <x:c r="AP165" s="21" t="str">
        <x:f>IF(C165="","",IF(AQ165&lt;&gt;"Ready","Unavailable",IF(C165="","",AH165-U165)))</x:f>
      </x:c>
      <x:c r="AQ165" s="23" t="str">
        <x:f>IFERROR(IF(C165="","",IF(AND(INDEX('Facilities'!$AF$9:$AF$108,MATCH(C165,'Facilities'!$C$9:$C$108,0))="Ready",INDEX(Credit!$U$109:$U$208,MATCH(F165,Credit!$C$109:$C$208,0))="Ready",ISNUMBER(W165)),"Ready","Review inputs")),"Review inputs")</x:f>
      </x:c>
      <x:c r="AR165" s="23" t="str">
        <x:f>IF(C165="","",IF(AQ165&lt;&gt;"Ready","Unavailable",IF(C165="","",IF(O165=0,0,(IF(AJ165&lt;=1,O165,O165*INDEX('Facilities'!$R$9:$R$108,MATCH(C165,'Facilities'!$C$9:$C$108,0)))+O165*INDEX('Facilities'!$T$9:$T$108,MATCH(C165,'Facilities'!$C$9:$C$108,0)))/12))))</x:f>
      </x:c>
    </x:row>
    <x:row r="166" ht="26" customHeight="1">
      <x:c r="A166" s="1"/>
      <x:c r="B166" s="1"/>
      <x:c r="C166" s="9" t="str">
        <x:f>IF(Facilities!C66="","",Facilities!C66)</x:f>
      </x:c>
      <x:c r="D166" s="3" t="n">
        <x:v>2</x:v>
      </x:c>
      <x:c r="E166" s="9" t="n">
        <x:f>Settings!$F$18+1</x:f>
        <x:v>2028</x:v>
      </x:c>
      <x:c r="F166" s="9" t="str">
        <x:f>IF(C166="","",IFERROR(INDEX('Facilities'!$D$9:$D$108,MATCH(C166,'Facilities'!$C$9:$C$108,0)),"Unavailable"))</x:f>
      </x:c>
      <x:c r="G166" s="21" t="str">
        <x:f>IF(C166="","",IFERROR(O66,"Unavailable"))</x:f>
      </x:c>
      <x:c r="H166" s="21" t="str">
        <x:f>IF(C166="","",IFERROR(P66,"Unavailable"))</x:f>
      </x:c>
      <x:c r="I166" s="21" t="str">
        <x:f>IF(C166="","",IFERROR(Q66,"Unavailable"))</x:f>
      </x:c>
      <x:c r="J166" s="23" t="str">
        <x:f>IF(C166="","",IFERROR(IF(OR(H166&gt;0,AND(AC166&gt;=0,AC166&lt;D166),D166&gt;INDEX('Facilities'!$J$9:$J$108,MATCH(C166,'Facilities'!$C$9:$C$108,0))),0,I166*'Scenario Paths'!G81),"Unavailable"))</x:f>
      </x:c>
      <x:c r="K166" s="23" t="str">
        <x:f>IF(C166="","",IFERROR(IF(OR(H166&gt;0,AND(AC166&gt;=0,AC166=D166)),0,IF(D166&gt;=INDEX('Facilities'!$J$9:$J$108,MATCH(C166,'Facilities'!$C$9:$C$108,0)),G166+J166,MIN(G166+J166,G166*INDEX('Facilities'!$R$9:$R$108,MATCH(C166,'Facilities'!$C$9:$C$108,0))))),"Unavailable"))</x:f>
      </x:c>
      <x:c r="L166" s="21" t="str">
        <x:f>IF(C166="","",IFERROR(IF(AND(AC166=D166,AC166&gt;0),MAX(0,G166+J166-K166),0),"Unavailable"))</x:f>
      </x:c>
      <x:c r="M166" s="23" t="str">
        <x:f>IF(C166="","",IFERROR(IF(AND(AC166&gt;=0,D166&gt;=AC166+INDEX('Facilities'!$AK$9:$AK$108,MATCH(C166,'Facilities'!$C$9:$C$108,0))),(H166+L166)*AM166,0),"Unavailable"))</x:f>
      </x:c>
      <x:c r="N166" s="23" t="str">
        <x:f>IF(C166="","",IFERROR(IF(AND(AC166&gt;=0,D166&gt;=AC166+INDEX('Facilities'!$AK$9:$AK$108,MATCH(C166,'Facilities'!$C$9:$C$108,0))),H166+L166-M166,0),"Unavailable"))</x:f>
      </x:c>
      <x:c r="O166" s="21" t="str">
        <x:f>IF(C166="","",IFERROR(MAX(0,G166+J166-K166-L166),"Unavailable"))</x:f>
      </x:c>
      <x:c r="P166" s="21" t="str">
        <x:f>IF(C166="","",IFERROR(MAX(0,H166+L166-M166-N166),"Unavailable"))</x:f>
      </x:c>
      <x:c r="Q166" s="23" t="str">
        <x:f>IF(C166="","",IFERROR(IF(OR(D166&gt;=INDEX('Facilities'!$J$9:$J$108,MATCH(C166,'Facilities'!$C$9:$C$108,0)),AND(AC166&gt;=0,AC166&lt;=D166)),0,MAX(0,I166-J166)),"Unavailable"))</x:f>
      </x:c>
      <x:c r="R166" s="30" t="str">
        <x:f>IF(C166="","",IFERROR(INDEX(Credit!$Q$109:$Q$208,MATCH(F166,Credit!$C$109:$C$208,0)),"Unavailable"))</x:f>
      </x:c>
      <x:c r="S166" s="30" t="str">
        <x:f>IF(C166="","",IFERROR(INDEX(Credit!$R$109:$R$208,MATCH(F166,Credit!$C$109:$C$208,0)),"Unavailable"))</x:f>
      </x:c>
      <x:c r="T166" s="23" t="str">
        <x:f>IF(C166="","",IFERROR(IF(P166&gt;0,3,IF(OR(INDEX('Facilities'!$AD$9:$AD$108,MATCH(C166,'Facilities'!$C$9:$C$108,0))=2,AND(R166&gt;=INDEX('Facilities'!$L$9:$L$108,MATCH(C166,'Facilities'!$C$9:$C$108,0))*Settings!$F$19,R166-INDEX('Facilities'!$L$9:$L$108,MATCH(C166,'Facilities'!$C$9:$C$108,0))&gt;=Settings!$F$20)),2,1)),"Unavailable"))</x:f>
      </x:c>
      <x:c r="U166" s="23" t="str">
        <x:f>IF(C166="","",IF(AQ166&lt;&gt;"Ready","Unavailable",IF(C166="","",O166*(1-(1-S166)/(1+INDEX('Facilities'!$K$9:$K$108,MATCH(C166,'Facilities'!$C$9:$C$108,0)))^INDEX('Facilities'!$AK$9:$AK$108,MATCH(C166,'Facilities'!$C$9:$C$108,0)))*R166/(1+INDEX('Facilities'!$K$9:$K$108,MATCH(C166,'Facilities'!$C$9:$C$108,0)))*IF(ABS(1-(1-R166)*(1-INDEX('Facilities'!$R$9:$R$108,MATCH(C166,'Facilities'!$C$9:$C$108,0)))/(1+INDEX('Facilities'!$K$9:$K$108,MATCH(C166,'Facilities'!$C$9:$C$108,0))))&lt;0.000000001,IF(T166=1,MIN(1,AJ166),AJ166),(1-((1-R166)*(1-INDEX('Facilities'!$R$9:$R$108,MATCH(C166,'Facilities'!$C$9:$C$108,0)))/(1+INDEX('Facilities'!$K$9:$K$108,MATCH(C166,'Facilities'!$C$9:$C$108,0))))^IF(T166=1,MIN(1,AJ166),AJ166))/(1-(1-R166)*(1-INDEX('Facilities'!$R$9:$R$108,MATCH(C166,'Facilities'!$C$9:$C$108,0)))/(1+INDEX('Facilities'!$K$9:$K$108,MATCH(C166,'Facilities'!$C$9:$C$108,0)))))+AL166)))</x:f>
      </x:c>
      <x:c r="V166" s="23" t="str">
        <x:f>IF(C166="","",IF(AQ166&lt;&gt;"Ready","Unavailable",IF(C166="","",Q166*INDEX('Facilities'!$I$9:$I$108,MATCH(C166,'Facilities'!$C$9:$C$108,0))*(1-(1-S166)/(1+INDEX('Facilities'!$K$9:$K$108,MATCH(C166,'Facilities'!$C$9:$C$108,0)))^INDEX('Facilities'!$AK$9:$AK$108,MATCH(C166,'Facilities'!$C$9:$C$108,0)))*R166/(1+INDEX('Facilities'!$K$9:$K$108,MATCH(C166,'Facilities'!$C$9:$C$108,0)))*IF(ABS(1-(1-R166)*(1-0)/(1+INDEX('Facilities'!$K$9:$K$108,MATCH(C166,'Facilities'!$C$9:$C$108,0))))&lt;0.000000001,IF(T166=1,MIN(1,AJ166),AJ166),(1-((1-R166)*(1-0)/(1+INDEX('Facilities'!$K$9:$K$108,MATCH(C166,'Facilities'!$C$9:$C$108,0))))^IF(T166=1,MIN(1,AJ166),AJ166))/(1-(1-R166)*(1-0)/(1+INDEX('Facilities'!$K$9:$K$108,MATCH(C166,'Facilities'!$C$9:$C$108,0))))))))</x:f>
      </x:c>
      <x:c r="W166" s="21" t="str">
        <x:f>IF(C166="","",IFERROR(U66,"Unavailable"))</x:f>
      </x:c>
      <x:c r="X166" s="21" t="str">
        <x:f>IF(C166="","",IFERROR(V66,"Unavailable"))</x:f>
      </x:c>
      <x:c r="Y166" s="21" t="str">
        <x:f>IF(C166="","",IF(AQ166&lt;&gt;"Ready","Unavailable",IF(C166="","",U166-W166+V166-X166+N166+AG166)))</x:f>
      </x:c>
      <x:c r="Z166" s="23" t="str">
        <x:f>IF(C166="","",IF(AQ166&lt;&gt;"Ready","Unavailable",IF(C166="","",(G166+O166+L166)/2*INDEX('Facilities'!$T$9:$T$108,MATCH(C166,'Facilities'!$C$9:$C$108,0))+AG166)))</x:f>
      </x:c>
      <x:c r="AA166" s="23" t="str">
        <x:f>IF(C166="","",IF(AQ166&lt;&gt;"Ready","Unavailable",IF(C166="","",O166*(1-IF(INDEX('Facilities'!$AA$9:$AA$108,MATCH(C166,'Facilities'!$C$9:$C$108,0))=0,0,MIN(1,INDEX('Facilities'!$X$9:$X$108,MATCH(C166,'Facilities'!$C$9:$C$108,0))/INDEX('Facilities'!$AA$9:$AA$108,MATCH(C166,'Facilities'!$C$9:$C$108,0)))))*AF166+P166*(1-IF(INDEX('Facilities'!$AA$9:$AA$108,MATCH(C166,'Facilities'!$C$9:$C$108,0))=0,0,MIN(1,INDEX('Facilities'!$X$9:$X$108,MATCH(C166,'Facilities'!$C$9:$C$108,0))/INDEX('Facilities'!$AA$9:$AA$108,MATCH(C166,'Facilities'!$C$9:$C$108,0)))))*INDEX('Facilities'!$AJ$9:$AJ$108,MATCH(C166,'Facilities'!$C$9:$C$108,0))+Q166*INDEX('Facilities'!$AI$9:$AI$108,MATCH(C166,'Facilities'!$C$9:$C$108,0))*AF166)))</x:f>
      </x:c>
      <x:c r="AB166" s="21" t="str">
        <x:f>IF(C166="","",O166+P166-AD166)</x:f>
      </x:c>
      <x:c r="AC166" s="23" t="str">
        <x:f>IF(C166="","",IFERROR(IF(INDEX('Facilities'!$AD$9:$AD$108,MATCH(C166,'Facilities'!$C$9:$C$108,0))=3,0,IF(INDEX('Facilities'!$AN$9:$AN$108,MATCH(C166,'Facilities'!$C$9:$C$108,0))=0,-1,INDEX('Facilities'!$AN$9:$AN$108,MATCH(C166,'Facilities'!$C$9:$C$108,0)))),"Unavailable"))</x:f>
      </x:c>
      <x:c r="AD166" s="21" t="str">
        <x:f>IF(C166="","",IFERROR(G166+H166,"Unavailable"))</x:f>
      </x:c>
      <x:c r="AE166" s="21" t="str">
        <x:f>IF(C166="","",IF(AQ166&lt;&gt;"Ready","Unavailable",IF(C166="","",O166+P166-AD166-J166+K166+M166+N166)))</x:f>
      </x:c>
      <x:c r="AF166" s="30" t="str">
        <x:f>IF(C166="","",IFERROR(INDEX('Facilities'!$S$9:$S$108,MATCH(C166,'Facilities'!$C$9:$C$108,0))*'Scenario Paths'!G75,"Unavailable"))</x:f>
      </x:c>
      <x:c r="AG166" s="23" t="str">
        <x:f>IF(C166="","",IF(AQ166&lt;&gt;"Ready","Unavailable",IF(C166="","",IF(H166&gt;0,MAX(0,H166-AK166)*((1+INDEX('Facilities'!$K$9:$K$108,MATCH(C166,'Facilities'!$C$9:$C$108,0)))^MIN(1,MAX(0,AC166+INDEX('Facilities'!$AK$9:$AK$108,MATCH(C166,'Facilities'!$C$9:$C$108,0))-D166+1))-1),0))))</x:f>
      </x:c>
      <x:c r="AH166" s="21" t="str">
        <x:f>IF(C166="","",IF(AQ166&lt;&gt;"Ready","Unavailable",IF(C166="","",O166+P166)))</x:f>
      </x:c>
      <x:c r="AI166" s="21" t="str">
        <x:f>IF(C166="","",IF(AQ166&lt;&gt;"Ready","Unavailable",IF(C166="","",Z166-Y166)))</x:f>
      </x:c>
      <x:c r="AJ166" s="23" t="str">
        <x:f>IF(C166="","",IFERROR(MAX(0,INDEX('Facilities'!$J$9:$J$108,MATCH(C166,'Facilities'!$C$9:$C$108,0))-D166),"Unavailable"))</x:f>
      </x:c>
      <x:c r="AK166" s="21" t="str">
        <x:f>IF(C166="","",IFERROR(AL66,"Unavailable"))</x:f>
      </x:c>
      <x:c r="AL166" s="23" t="str">
        <x:f>IF(C166="","",IFERROR(IF(P166&gt;0,P166*(1-AM166/(1+INDEX('Facilities'!$K$9:$K$108,MATCH(C166,'Facilities'!$C$9:$C$108,0)))^MAX(0,AC166+INDEX('Facilities'!$AK$9:$AK$108,MATCH(C166,'Facilities'!$C$9:$C$108,0))-D166)),0),"Unavailable"))</x:f>
      </x:c>
      <x:c r="AM166" s="30" t="str">
        <x:f>IF(C166="","",IFERROR(INDEX('Facilities'!$AL$9:$AL$108,MATCH(C166,'Facilities'!$C$9:$C$108,0)),"Unavailable"))</x:f>
      </x:c>
      <x:c r="AN166" s="30" t="str">
        <x:f>IF(C166="","",IFERROR(INDEX(Credit!$T$109:$T$208,MATCH(F166,Credit!$C$109:$C$208,0)),"Unavailable"))</x:f>
      </x:c>
      <x:c r="AO166" s="23" t="str">
        <x:f>IF(C166="","",IF(AQ166&lt;&gt;"Ready","Unavailable",IF(C166="","",O166+P166+Q166*INDEX('Facilities'!$I$9:$I$108,MATCH(C166,'Facilities'!$C$9:$C$108,0)))))</x:f>
      </x:c>
      <x:c r="AP166" s="21" t="str">
        <x:f>IF(C166="","",IF(AQ166&lt;&gt;"Ready","Unavailable",IF(C166="","",AH166-U166)))</x:f>
      </x:c>
      <x:c r="AQ166" s="23" t="str">
        <x:f>IFERROR(IF(C166="","",IF(AND(INDEX('Facilities'!$AF$9:$AF$108,MATCH(C166,'Facilities'!$C$9:$C$108,0))="Ready",INDEX(Credit!$U$109:$U$208,MATCH(F166,Credit!$C$109:$C$208,0))="Ready",ISNUMBER(W166)),"Ready","Review inputs")),"Review inputs")</x:f>
      </x:c>
      <x:c r="AR166" s="23" t="str">
        <x:f>IF(C166="","",IF(AQ166&lt;&gt;"Ready","Unavailable",IF(C166="","",IF(O166=0,0,(IF(AJ166&lt;=1,O166,O166*INDEX('Facilities'!$R$9:$R$108,MATCH(C166,'Facilities'!$C$9:$C$108,0)))+O166*INDEX('Facilities'!$T$9:$T$108,MATCH(C166,'Facilities'!$C$9:$C$108,0)))/12))))</x:f>
      </x:c>
    </x:row>
    <x:row r="167" ht="26" customHeight="1">
      <x:c r="A167" s="1"/>
      <x:c r="B167" s="1"/>
      <x:c r="C167" s="9" t="str">
        <x:f>IF(Facilities!C67="","",Facilities!C67)</x:f>
      </x:c>
      <x:c r="D167" s="3" t="n">
        <x:v>2</x:v>
      </x:c>
      <x:c r="E167" s="9" t="n">
        <x:f>Settings!$F$18+1</x:f>
        <x:v>2028</x:v>
      </x:c>
      <x:c r="F167" s="9" t="str">
        <x:f>IF(C167="","",IFERROR(INDEX('Facilities'!$D$9:$D$108,MATCH(C167,'Facilities'!$C$9:$C$108,0)),"Unavailable"))</x:f>
      </x:c>
      <x:c r="G167" s="21" t="str">
        <x:f>IF(C167="","",IFERROR(O67,"Unavailable"))</x:f>
      </x:c>
      <x:c r="H167" s="21" t="str">
        <x:f>IF(C167="","",IFERROR(P67,"Unavailable"))</x:f>
      </x:c>
      <x:c r="I167" s="21" t="str">
        <x:f>IF(C167="","",IFERROR(Q67,"Unavailable"))</x:f>
      </x:c>
      <x:c r="J167" s="23" t="str">
        <x:f>IF(C167="","",IFERROR(IF(OR(H167&gt;0,AND(AC167&gt;=0,AC167&lt;D167),D167&gt;INDEX('Facilities'!$J$9:$J$108,MATCH(C167,'Facilities'!$C$9:$C$108,0))),0,I167*'Scenario Paths'!G81),"Unavailable"))</x:f>
      </x:c>
      <x:c r="K167" s="23" t="str">
        <x:f>IF(C167="","",IFERROR(IF(OR(H167&gt;0,AND(AC167&gt;=0,AC167=D167)),0,IF(D167&gt;=INDEX('Facilities'!$J$9:$J$108,MATCH(C167,'Facilities'!$C$9:$C$108,0)),G167+J167,MIN(G167+J167,G167*INDEX('Facilities'!$R$9:$R$108,MATCH(C167,'Facilities'!$C$9:$C$108,0))))),"Unavailable"))</x:f>
      </x:c>
      <x:c r="L167" s="21" t="str">
        <x:f>IF(C167="","",IFERROR(IF(AND(AC167=D167,AC167&gt;0),MAX(0,G167+J167-K167),0),"Unavailable"))</x:f>
      </x:c>
      <x:c r="M167" s="23" t="str">
        <x:f>IF(C167="","",IFERROR(IF(AND(AC167&gt;=0,D167&gt;=AC167+INDEX('Facilities'!$AK$9:$AK$108,MATCH(C167,'Facilities'!$C$9:$C$108,0))),(H167+L167)*AM167,0),"Unavailable"))</x:f>
      </x:c>
      <x:c r="N167" s="23" t="str">
        <x:f>IF(C167="","",IFERROR(IF(AND(AC167&gt;=0,D167&gt;=AC167+INDEX('Facilities'!$AK$9:$AK$108,MATCH(C167,'Facilities'!$C$9:$C$108,0))),H167+L167-M167,0),"Unavailable"))</x:f>
      </x:c>
      <x:c r="O167" s="21" t="str">
        <x:f>IF(C167="","",IFERROR(MAX(0,G167+J167-K167-L167),"Unavailable"))</x:f>
      </x:c>
      <x:c r="P167" s="21" t="str">
        <x:f>IF(C167="","",IFERROR(MAX(0,H167+L167-M167-N167),"Unavailable"))</x:f>
      </x:c>
      <x:c r="Q167" s="23" t="str">
        <x:f>IF(C167="","",IFERROR(IF(OR(D167&gt;=INDEX('Facilities'!$J$9:$J$108,MATCH(C167,'Facilities'!$C$9:$C$108,0)),AND(AC167&gt;=0,AC167&lt;=D167)),0,MAX(0,I167-J167)),"Unavailable"))</x:f>
      </x:c>
      <x:c r="R167" s="30" t="str">
        <x:f>IF(C167="","",IFERROR(INDEX(Credit!$Q$109:$Q$208,MATCH(F167,Credit!$C$109:$C$208,0)),"Unavailable"))</x:f>
      </x:c>
      <x:c r="S167" s="30" t="str">
        <x:f>IF(C167="","",IFERROR(INDEX(Credit!$R$109:$R$208,MATCH(F167,Credit!$C$109:$C$208,0)),"Unavailable"))</x:f>
      </x:c>
      <x:c r="T167" s="23" t="str">
        <x:f>IF(C167="","",IFERROR(IF(P167&gt;0,3,IF(OR(INDEX('Facilities'!$AD$9:$AD$108,MATCH(C167,'Facilities'!$C$9:$C$108,0))=2,AND(R167&gt;=INDEX('Facilities'!$L$9:$L$108,MATCH(C167,'Facilities'!$C$9:$C$108,0))*Settings!$F$19,R167-INDEX('Facilities'!$L$9:$L$108,MATCH(C167,'Facilities'!$C$9:$C$108,0))&gt;=Settings!$F$20)),2,1)),"Unavailable"))</x:f>
      </x:c>
      <x:c r="U167" s="23" t="str">
        <x:f>IF(C167="","",IF(AQ167&lt;&gt;"Ready","Unavailable",IF(C167="","",O167*(1-(1-S167)/(1+INDEX('Facilities'!$K$9:$K$108,MATCH(C167,'Facilities'!$C$9:$C$108,0)))^INDEX('Facilities'!$AK$9:$AK$108,MATCH(C167,'Facilities'!$C$9:$C$108,0)))*R167/(1+INDEX('Facilities'!$K$9:$K$108,MATCH(C167,'Facilities'!$C$9:$C$108,0)))*IF(ABS(1-(1-R167)*(1-INDEX('Facilities'!$R$9:$R$108,MATCH(C167,'Facilities'!$C$9:$C$108,0)))/(1+INDEX('Facilities'!$K$9:$K$108,MATCH(C167,'Facilities'!$C$9:$C$108,0))))&lt;0.000000001,IF(T167=1,MIN(1,AJ167),AJ167),(1-((1-R167)*(1-INDEX('Facilities'!$R$9:$R$108,MATCH(C167,'Facilities'!$C$9:$C$108,0)))/(1+INDEX('Facilities'!$K$9:$K$108,MATCH(C167,'Facilities'!$C$9:$C$108,0))))^IF(T167=1,MIN(1,AJ167),AJ167))/(1-(1-R167)*(1-INDEX('Facilities'!$R$9:$R$108,MATCH(C167,'Facilities'!$C$9:$C$108,0)))/(1+INDEX('Facilities'!$K$9:$K$108,MATCH(C167,'Facilities'!$C$9:$C$108,0)))))+AL167)))</x:f>
      </x:c>
      <x:c r="V167" s="23" t="str">
        <x:f>IF(C167="","",IF(AQ167&lt;&gt;"Ready","Unavailable",IF(C167="","",Q167*INDEX('Facilities'!$I$9:$I$108,MATCH(C167,'Facilities'!$C$9:$C$108,0))*(1-(1-S167)/(1+INDEX('Facilities'!$K$9:$K$108,MATCH(C167,'Facilities'!$C$9:$C$108,0)))^INDEX('Facilities'!$AK$9:$AK$108,MATCH(C167,'Facilities'!$C$9:$C$108,0)))*R167/(1+INDEX('Facilities'!$K$9:$K$108,MATCH(C167,'Facilities'!$C$9:$C$108,0)))*IF(ABS(1-(1-R167)*(1-0)/(1+INDEX('Facilities'!$K$9:$K$108,MATCH(C167,'Facilities'!$C$9:$C$108,0))))&lt;0.000000001,IF(T167=1,MIN(1,AJ167),AJ167),(1-((1-R167)*(1-0)/(1+INDEX('Facilities'!$K$9:$K$108,MATCH(C167,'Facilities'!$C$9:$C$108,0))))^IF(T167=1,MIN(1,AJ167),AJ167))/(1-(1-R167)*(1-0)/(1+INDEX('Facilities'!$K$9:$K$108,MATCH(C167,'Facilities'!$C$9:$C$108,0))))))))</x:f>
      </x:c>
      <x:c r="W167" s="21" t="str">
        <x:f>IF(C167="","",IFERROR(U67,"Unavailable"))</x:f>
      </x:c>
      <x:c r="X167" s="21" t="str">
        <x:f>IF(C167="","",IFERROR(V67,"Unavailable"))</x:f>
      </x:c>
      <x:c r="Y167" s="21" t="str">
        <x:f>IF(C167="","",IF(AQ167&lt;&gt;"Ready","Unavailable",IF(C167="","",U167-W167+V167-X167+N167+AG167)))</x:f>
      </x:c>
      <x:c r="Z167" s="23" t="str">
        <x:f>IF(C167="","",IF(AQ167&lt;&gt;"Ready","Unavailable",IF(C167="","",(G167+O167+L167)/2*INDEX('Facilities'!$T$9:$T$108,MATCH(C167,'Facilities'!$C$9:$C$108,0))+AG167)))</x:f>
      </x:c>
      <x:c r="AA167" s="23" t="str">
        <x:f>IF(C167="","",IF(AQ167&lt;&gt;"Ready","Unavailable",IF(C167="","",O167*(1-IF(INDEX('Facilities'!$AA$9:$AA$108,MATCH(C167,'Facilities'!$C$9:$C$108,0))=0,0,MIN(1,INDEX('Facilities'!$X$9:$X$108,MATCH(C167,'Facilities'!$C$9:$C$108,0))/INDEX('Facilities'!$AA$9:$AA$108,MATCH(C167,'Facilities'!$C$9:$C$108,0)))))*AF167+P167*(1-IF(INDEX('Facilities'!$AA$9:$AA$108,MATCH(C167,'Facilities'!$C$9:$C$108,0))=0,0,MIN(1,INDEX('Facilities'!$X$9:$X$108,MATCH(C167,'Facilities'!$C$9:$C$108,0))/INDEX('Facilities'!$AA$9:$AA$108,MATCH(C167,'Facilities'!$C$9:$C$108,0)))))*INDEX('Facilities'!$AJ$9:$AJ$108,MATCH(C167,'Facilities'!$C$9:$C$108,0))+Q167*INDEX('Facilities'!$AI$9:$AI$108,MATCH(C167,'Facilities'!$C$9:$C$108,0))*AF167)))</x:f>
      </x:c>
      <x:c r="AB167" s="21" t="str">
        <x:f>IF(C167="","",O167+P167-AD167)</x:f>
      </x:c>
      <x:c r="AC167" s="23" t="str">
        <x:f>IF(C167="","",IFERROR(IF(INDEX('Facilities'!$AD$9:$AD$108,MATCH(C167,'Facilities'!$C$9:$C$108,0))=3,0,IF(INDEX('Facilities'!$AN$9:$AN$108,MATCH(C167,'Facilities'!$C$9:$C$108,0))=0,-1,INDEX('Facilities'!$AN$9:$AN$108,MATCH(C167,'Facilities'!$C$9:$C$108,0)))),"Unavailable"))</x:f>
      </x:c>
      <x:c r="AD167" s="21" t="str">
        <x:f>IF(C167="","",IFERROR(G167+H167,"Unavailable"))</x:f>
      </x:c>
      <x:c r="AE167" s="21" t="str">
        <x:f>IF(C167="","",IF(AQ167&lt;&gt;"Ready","Unavailable",IF(C167="","",O167+P167-AD167-J167+K167+M167+N167)))</x:f>
      </x:c>
      <x:c r="AF167" s="30" t="str">
        <x:f>IF(C167="","",IFERROR(INDEX('Facilities'!$S$9:$S$108,MATCH(C167,'Facilities'!$C$9:$C$108,0))*'Scenario Paths'!G75,"Unavailable"))</x:f>
      </x:c>
      <x:c r="AG167" s="23" t="str">
        <x:f>IF(C167="","",IF(AQ167&lt;&gt;"Ready","Unavailable",IF(C167="","",IF(H167&gt;0,MAX(0,H167-AK167)*((1+INDEX('Facilities'!$K$9:$K$108,MATCH(C167,'Facilities'!$C$9:$C$108,0)))^MIN(1,MAX(0,AC167+INDEX('Facilities'!$AK$9:$AK$108,MATCH(C167,'Facilities'!$C$9:$C$108,0))-D167+1))-1),0))))</x:f>
      </x:c>
      <x:c r="AH167" s="21" t="str">
        <x:f>IF(C167="","",IF(AQ167&lt;&gt;"Ready","Unavailable",IF(C167="","",O167+P167)))</x:f>
      </x:c>
      <x:c r="AI167" s="21" t="str">
        <x:f>IF(C167="","",IF(AQ167&lt;&gt;"Ready","Unavailable",IF(C167="","",Z167-Y167)))</x:f>
      </x:c>
      <x:c r="AJ167" s="23" t="str">
        <x:f>IF(C167="","",IFERROR(MAX(0,INDEX('Facilities'!$J$9:$J$108,MATCH(C167,'Facilities'!$C$9:$C$108,0))-D167),"Unavailable"))</x:f>
      </x:c>
      <x:c r="AK167" s="21" t="str">
        <x:f>IF(C167="","",IFERROR(AL67,"Unavailable"))</x:f>
      </x:c>
      <x:c r="AL167" s="23" t="str">
        <x:f>IF(C167="","",IFERROR(IF(P167&gt;0,P167*(1-AM167/(1+INDEX('Facilities'!$K$9:$K$108,MATCH(C167,'Facilities'!$C$9:$C$108,0)))^MAX(0,AC167+INDEX('Facilities'!$AK$9:$AK$108,MATCH(C167,'Facilities'!$C$9:$C$108,0))-D167)),0),"Unavailable"))</x:f>
      </x:c>
      <x:c r="AM167" s="30" t="str">
        <x:f>IF(C167="","",IFERROR(INDEX('Facilities'!$AL$9:$AL$108,MATCH(C167,'Facilities'!$C$9:$C$108,0)),"Unavailable"))</x:f>
      </x:c>
      <x:c r="AN167" s="30" t="str">
        <x:f>IF(C167="","",IFERROR(INDEX(Credit!$T$109:$T$208,MATCH(F167,Credit!$C$109:$C$208,0)),"Unavailable"))</x:f>
      </x:c>
      <x:c r="AO167" s="23" t="str">
        <x:f>IF(C167="","",IF(AQ167&lt;&gt;"Ready","Unavailable",IF(C167="","",O167+P167+Q167*INDEX('Facilities'!$I$9:$I$108,MATCH(C167,'Facilities'!$C$9:$C$108,0)))))</x:f>
      </x:c>
      <x:c r="AP167" s="21" t="str">
        <x:f>IF(C167="","",IF(AQ167&lt;&gt;"Ready","Unavailable",IF(C167="","",AH167-U167)))</x:f>
      </x:c>
      <x:c r="AQ167" s="23" t="str">
        <x:f>IFERROR(IF(C167="","",IF(AND(INDEX('Facilities'!$AF$9:$AF$108,MATCH(C167,'Facilities'!$C$9:$C$108,0))="Ready",INDEX(Credit!$U$109:$U$208,MATCH(F167,Credit!$C$109:$C$208,0))="Ready",ISNUMBER(W167)),"Ready","Review inputs")),"Review inputs")</x:f>
      </x:c>
      <x:c r="AR167" s="23" t="str">
        <x:f>IF(C167="","",IF(AQ167&lt;&gt;"Ready","Unavailable",IF(C167="","",IF(O167=0,0,(IF(AJ167&lt;=1,O167,O167*INDEX('Facilities'!$R$9:$R$108,MATCH(C167,'Facilities'!$C$9:$C$108,0)))+O167*INDEX('Facilities'!$T$9:$T$108,MATCH(C167,'Facilities'!$C$9:$C$108,0)))/12))))</x:f>
      </x:c>
    </x:row>
    <x:row r="168" ht="26" customHeight="1">
      <x:c r="A168" s="1"/>
      <x:c r="B168" s="1"/>
      <x:c r="C168" s="9" t="str">
        <x:f>IF(Facilities!C68="","",Facilities!C68)</x:f>
      </x:c>
      <x:c r="D168" s="3" t="n">
        <x:v>2</x:v>
      </x:c>
      <x:c r="E168" s="9" t="n">
        <x:f>Settings!$F$18+1</x:f>
        <x:v>2028</x:v>
      </x:c>
      <x:c r="F168" s="9" t="str">
        <x:f>IF(C168="","",IFERROR(INDEX('Facilities'!$D$9:$D$108,MATCH(C168,'Facilities'!$C$9:$C$108,0)),"Unavailable"))</x:f>
      </x:c>
      <x:c r="G168" s="21" t="str">
        <x:f>IF(C168="","",IFERROR(O68,"Unavailable"))</x:f>
      </x:c>
      <x:c r="H168" s="21" t="str">
        <x:f>IF(C168="","",IFERROR(P68,"Unavailable"))</x:f>
      </x:c>
      <x:c r="I168" s="21" t="str">
        <x:f>IF(C168="","",IFERROR(Q68,"Unavailable"))</x:f>
      </x:c>
      <x:c r="J168" s="23" t="str">
        <x:f>IF(C168="","",IFERROR(IF(OR(H168&gt;0,AND(AC168&gt;=0,AC168&lt;D168),D168&gt;INDEX('Facilities'!$J$9:$J$108,MATCH(C168,'Facilities'!$C$9:$C$108,0))),0,I168*'Scenario Paths'!G81),"Unavailable"))</x:f>
      </x:c>
      <x:c r="K168" s="23" t="str">
        <x:f>IF(C168="","",IFERROR(IF(OR(H168&gt;0,AND(AC168&gt;=0,AC168=D168)),0,IF(D168&gt;=INDEX('Facilities'!$J$9:$J$108,MATCH(C168,'Facilities'!$C$9:$C$108,0)),G168+J168,MIN(G168+J168,G168*INDEX('Facilities'!$R$9:$R$108,MATCH(C168,'Facilities'!$C$9:$C$108,0))))),"Unavailable"))</x:f>
      </x:c>
      <x:c r="L168" s="21" t="str">
        <x:f>IF(C168="","",IFERROR(IF(AND(AC168=D168,AC168&gt;0),MAX(0,G168+J168-K168),0),"Unavailable"))</x:f>
      </x:c>
      <x:c r="M168" s="23" t="str">
        <x:f>IF(C168="","",IFERROR(IF(AND(AC168&gt;=0,D168&gt;=AC168+INDEX('Facilities'!$AK$9:$AK$108,MATCH(C168,'Facilities'!$C$9:$C$108,0))),(H168+L168)*AM168,0),"Unavailable"))</x:f>
      </x:c>
      <x:c r="N168" s="23" t="str">
        <x:f>IF(C168="","",IFERROR(IF(AND(AC168&gt;=0,D168&gt;=AC168+INDEX('Facilities'!$AK$9:$AK$108,MATCH(C168,'Facilities'!$C$9:$C$108,0))),H168+L168-M168,0),"Unavailable"))</x:f>
      </x:c>
      <x:c r="O168" s="21" t="str">
        <x:f>IF(C168="","",IFERROR(MAX(0,G168+J168-K168-L168),"Unavailable"))</x:f>
      </x:c>
      <x:c r="P168" s="21" t="str">
        <x:f>IF(C168="","",IFERROR(MAX(0,H168+L168-M168-N168),"Unavailable"))</x:f>
      </x:c>
      <x:c r="Q168" s="23" t="str">
        <x:f>IF(C168="","",IFERROR(IF(OR(D168&gt;=INDEX('Facilities'!$J$9:$J$108,MATCH(C168,'Facilities'!$C$9:$C$108,0)),AND(AC168&gt;=0,AC168&lt;=D168)),0,MAX(0,I168-J168)),"Unavailable"))</x:f>
      </x:c>
      <x:c r="R168" s="30" t="str">
        <x:f>IF(C168="","",IFERROR(INDEX(Credit!$Q$109:$Q$208,MATCH(F168,Credit!$C$109:$C$208,0)),"Unavailable"))</x:f>
      </x:c>
      <x:c r="S168" s="30" t="str">
        <x:f>IF(C168="","",IFERROR(INDEX(Credit!$R$109:$R$208,MATCH(F168,Credit!$C$109:$C$208,0)),"Unavailable"))</x:f>
      </x:c>
      <x:c r="T168" s="23" t="str">
        <x:f>IF(C168="","",IFERROR(IF(P168&gt;0,3,IF(OR(INDEX('Facilities'!$AD$9:$AD$108,MATCH(C168,'Facilities'!$C$9:$C$108,0))=2,AND(R168&gt;=INDEX('Facilities'!$L$9:$L$108,MATCH(C168,'Facilities'!$C$9:$C$108,0))*Settings!$F$19,R168-INDEX('Facilities'!$L$9:$L$108,MATCH(C168,'Facilities'!$C$9:$C$108,0))&gt;=Settings!$F$20)),2,1)),"Unavailable"))</x:f>
      </x:c>
      <x:c r="U168" s="23" t="str">
        <x:f>IF(C168="","",IF(AQ168&lt;&gt;"Ready","Unavailable",IF(C168="","",O168*(1-(1-S168)/(1+INDEX('Facilities'!$K$9:$K$108,MATCH(C168,'Facilities'!$C$9:$C$108,0)))^INDEX('Facilities'!$AK$9:$AK$108,MATCH(C168,'Facilities'!$C$9:$C$108,0)))*R168/(1+INDEX('Facilities'!$K$9:$K$108,MATCH(C168,'Facilities'!$C$9:$C$108,0)))*IF(ABS(1-(1-R168)*(1-INDEX('Facilities'!$R$9:$R$108,MATCH(C168,'Facilities'!$C$9:$C$108,0)))/(1+INDEX('Facilities'!$K$9:$K$108,MATCH(C168,'Facilities'!$C$9:$C$108,0))))&lt;0.000000001,IF(T168=1,MIN(1,AJ168),AJ168),(1-((1-R168)*(1-INDEX('Facilities'!$R$9:$R$108,MATCH(C168,'Facilities'!$C$9:$C$108,0)))/(1+INDEX('Facilities'!$K$9:$K$108,MATCH(C168,'Facilities'!$C$9:$C$108,0))))^IF(T168=1,MIN(1,AJ168),AJ168))/(1-(1-R168)*(1-INDEX('Facilities'!$R$9:$R$108,MATCH(C168,'Facilities'!$C$9:$C$108,0)))/(1+INDEX('Facilities'!$K$9:$K$108,MATCH(C168,'Facilities'!$C$9:$C$108,0)))))+AL168)))</x:f>
      </x:c>
      <x:c r="V168" s="23" t="str">
        <x:f>IF(C168="","",IF(AQ168&lt;&gt;"Ready","Unavailable",IF(C168="","",Q168*INDEX('Facilities'!$I$9:$I$108,MATCH(C168,'Facilities'!$C$9:$C$108,0))*(1-(1-S168)/(1+INDEX('Facilities'!$K$9:$K$108,MATCH(C168,'Facilities'!$C$9:$C$108,0)))^INDEX('Facilities'!$AK$9:$AK$108,MATCH(C168,'Facilities'!$C$9:$C$108,0)))*R168/(1+INDEX('Facilities'!$K$9:$K$108,MATCH(C168,'Facilities'!$C$9:$C$108,0)))*IF(ABS(1-(1-R168)*(1-0)/(1+INDEX('Facilities'!$K$9:$K$108,MATCH(C168,'Facilities'!$C$9:$C$108,0))))&lt;0.000000001,IF(T168=1,MIN(1,AJ168),AJ168),(1-((1-R168)*(1-0)/(1+INDEX('Facilities'!$K$9:$K$108,MATCH(C168,'Facilities'!$C$9:$C$108,0))))^IF(T168=1,MIN(1,AJ168),AJ168))/(1-(1-R168)*(1-0)/(1+INDEX('Facilities'!$K$9:$K$108,MATCH(C168,'Facilities'!$C$9:$C$108,0))))))))</x:f>
      </x:c>
      <x:c r="W168" s="21" t="str">
        <x:f>IF(C168="","",IFERROR(U68,"Unavailable"))</x:f>
      </x:c>
      <x:c r="X168" s="21" t="str">
        <x:f>IF(C168="","",IFERROR(V68,"Unavailable"))</x:f>
      </x:c>
      <x:c r="Y168" s="21" t="str">
        <x:f>IF(C168="","",IF(AQ168&lt;&gt;"Ready","Unavailable",IF(C168="","",U168-W168+V168-X168+N168+AG168)))</x:f>
      </x:c>
      <x:c r="Z168" s="23" t="str">
        <x:f>IF(C168="","",IF(AQ168&lt;&gt;"Ready","Unavailable",IF(C168="","",(G168+O168+L168)/2*INDEX('Facilities'!$T$9:$T$108,MATCH(C168,'Facilities'!$C$9:$C$108,0))+AG168)))</x:f>
      </x:c>
      <x:c r="AA168" s="23" t="str">
        <x:f>IF(C168="","",IF(AQ168&lt;&gt;"Ready","Unavailable",IF(C168="","",O168*(1-IF(INDEX('Facilities'!$AA$9:$AA$108,MATCH(C168,'Facilities'!$C$9:$C$108,0))=0,0,MIN(1,INDEX('Facilities'!$X$9:$X$108,MATCH(C168,'Facilities'!$C$9:$C$108,0))/INDEX('Facilities'!$AA$9:$AA$108,MATCH(C168,'Facilities'!$C$9:$C$108,0)))))*AF168+P168*(1-IF(INDEX('Facilities'!$AA$9:$AA$108,MATCH(C168,'Facilities'!$C$9:$C$108,0))=0,0,MIN(1,INDEX('Facilities'!$X$9:$X$108,MATCH(C168,'Facilities'!$C$9:$C$108,0))/INDEX('Facilities'!$AA$9:$AA$108,MATCH(C168,'Facilities'!$C$9:$C$108,0)))))*INDEX('Facilities'!$AJ$9:$AJ$108,MATCH(C168,'Facilities'!$C$9:$C$108,0))+Q168*INDEX('Facilities'!$AI$9:$AI$108,MATCH(C168,'Facilities'!$C$9:$C$108,0))*AF168)))</x:f>
      </x:c>
      <x:c r="AB168" s="21" t="str">
        <x:f>IF(C168="","",O168+P168-AD168)</x:f>
      </x:c>
      <x:c r="AC168" s="23" t="str">
        <x:f>IF(C168="","",IFERROR(IF(INDEX('Facilities'!$AD$9:$AD$108,MATCH(C168,'Facilities'!$C$9:$C$108,0))=3,0,IF(INDEX('Facilities'!$AN$9:$AN$108,MATCH(C168,'Facilities'!$C$9:$C$108,0))=0,-1,INDEX('Facilities'!$AN$9:$AN$108,MATCH(C168,'Facilities'!$C$9:$C$108,0)))),"Unavailable"))</x:f>
      </x:c>
      <x:c r="AD168" s="21" t="str">
        <x:f>IF(C168="","",IFERROR(G168+H168,"Unavailable"))</x:f>
      </x:c>
      <x:c r="AE168" s="21" t="str">
        <x:f>IF(C168="","",IF(AQ168&lt;&gt;"Ready","Unavailable",IF(C168="","",O168+P168-AD168-J168+K168+M168+N168)))</x:f>
      </x:c>
      <x:c r="AF168" s="30" t="str">
        <x:f>IF(C168="","",IFERROR(INDEX('Facilities'!$S$9:$S$108,MATCH(C168,'Facilities'!$C$9:$C$108,0))*'Scenario Paths'!G75,"Unavailable"))</x:f>
      </x:c>
      <x:c r="AG168" s="23" t="str">
        <x:f>IF(C168="","",IF(AQ168&lt;&gt;"Ready","Unavailable",IF(C168="","",IF(H168&gt;0,MAX(0,H168-AK168)*((1+INDEX('Facilities'!$K$9:$K$108,MATCH(C168,'Facilities'!$C$9:$C$108,0)))^MIN(1,MAX(0,AC168+INDEX('Facilities'!$AK$9:$AK$108,MATCH(C168,'Facilities'!$C$9:$C$108,0))-D168+1))-1),0))))</x:f>
      </x:c>
      <x:c r="AH168" s="21" t="str">
        <x:f>IF(C168="","",IF(AQ168&lt;&gt;"Ready","Unavailable",IF(C168="","",O168+P168)))</x:f>
      </x:c>
      <x:c r="AI168" s="21" t="str">
        <x:f>IF(C168="","",IF(AQ168&lt;&gt;"Ready","Unavailable",IF(C168="","",Z168-Y168)))</x:f>
      </x:c>
      <x:c r="AJ168" s="23" t="str">
        <x:f>IF(C168="","",IFERROR(MAX(0,INDEX('Facilities'!$J$9:$J$108,MATCH(C168,'Facilities'!$C$9:$C$108,0))-D168),"Unavailable"))</x:f>
      </x:c>
      <x:c r="AK168" s="21" t="str">
        <x:f>IF(C168="","",IFERROR(AL68,"Unavailable"))</x:f>
      </x:c>
      <x:c r="AL168" s="23" t="str">
        <x:f>IF(C168="","",IFERROR(IF(P168&gt;0,P168*(1-AM168/(1+INDEX('Facilities'!$K$9:$K$108,MATCH(C168,'Facilities'!$C$9:$C$108,0)))^MAX(0,AC168+INDEX('Facilities'!$AK$9:$AK$108,MATCH(C168,'Facilities'!$C$9:$C$108,0))-D168)),0),"Unavailable"))</x:f>
      </x:c>
      <x:c r="AM168" s="30" t="str">
        <x:f>IF(C168="","",IFERROR(INDEX('Facilities'!$AL$9:$AL$108,MATCH(C168,'Facilities'!$C$9:$C$108,0)),"Unavailable"))</x:f>
      </x:c>
      <x:c r="AN168" s="30" t="str">
        <x:f>IF(C168="","",IFERROR(INDEX(Credit!$T$109:$T$208,MATCH(F168,Credit!$C$109:$C$208,0)),"Unavailable"))</x:f>
      </x:c>
      <x:c r="AO168" s="23" t="str">
        <x:f>IF(C168="","",IF(AQ168&lt;&gt;"Ready","Unavailable",IF(C168="","",O168+P168+Q168*INDEX('Facilities'!$I$9:$I$108,MATCH(C168,'Facilities'!$C$9:$C$108,0)))))</x:f>
      </x:c>
      <x:c r="AP168" s="21" t="str">
        <x:f>IF(C168="","",IF(AQ168&lt;&gt;"Ready","Unavailable",IF(C168="","",AH168-U168)))</x:f>
      </x:c>
      <x:c r="AQ168" s="23" t="str">
        <x:f>IFERROR(IF(C168="","",IF(AND(INDEX('Facilities'!$AF$9:$AF$108,MATCH(C168,'Facilities'!$C$9:$C$108,0))="Ready",INDEX(Credit!$U$109:$U$208,MATCH(F168,Credit!$C$109:$C$208,0))="Ready",ISNUMBER(W168)),"Ready","Review inputs")),"Review inputs")</x:f>
      </x:c>
      <x:c r="AR168" s="23" t="str">
        <x:f>IF(C168="","",IF(AQ168&lt;&gt;"Ready","Unavailable",IF(C168="","",IF(O168=0,0,(IF(AJ168&lt;=1,O168,O168*INDEX('Facilities'!$R$9:$R$108,MATCH(C168,'Facilities'!$C$9:$C$108,0)))+O168*INDEX('Facilities'!$T$9:$T$108,MATCH(C168,'Facilities'!$C$9:$C$108,0)))/12))))</x:f>
      </x:c>
    </x:row>
    <x:row r="169" ht="26" customHeight="1">
      <x:c r="A169" s="1"/>
      <x:c r="B169" s="1"/>
      <x:c r="C169" s="9" t="str">
        <x:f>IF(Facilities!C69="","",Facilities!C69)</x:f>
      </x:c>
      <x:c r="D169" s="3" t="n">
        <x:v>2</x:v>
      </x:c>
      <x:c r="E169" s="9" t="n">
        <x:f>Settings!$F$18+1</x:f>
        <x:v>2028</x:v>
      </x:c>
      <x:c r="F169" s="9" t="str">
        <x:f>IF(C169="","",IFERROR(INDEX('Facilities'!$D$9:$D$108,MATCH(C169,'Facilities'!$C$9:$C$108,0)),"Unavailable"))</x:f>
      </x:c>
      <x:c r="G169" s="21" t="str">
        <x:f>IF(C169="","",IFERROR(O69,"Unavailable"))</x:f>
      </x:c>
      <x:c r="H169" s="21" t="str">
        <x:f>IF(C169="","",IFERROR(P69,"Unavailable"))</x:f>
      </x:c>
      <x:c r="I169" s="21" t="str">
        <x:f>IF(C169="","",IFERROR(Q69,"Unavailable"))</x:f>
      </x:c>
      <x:c r="J169" s="23" t="str">
        <x:f>IF(C169="","",IFERROR(IF(OR(H169&gt;0,AND(AC169&gt;=0,AC169&lt;D169),D169&gt;INDEX('Facilities'!$J$9:$J$108,MATCH(C169,'Facilities'!$C$9:$C$108,0))),0,I169*'Scenario Paths'!G81),"Unavailable"))</x:f>
      </x:c>
      <x:c r="K169" s="23" t="str">
        <x:f>IF(C169="","",IFERROR(IF(OR(H169&gt;0,AND(AC169&gt;=0,AC169=D169)),0,IF(D169&gt;=INDEX('Facilities'!$J$9:$J$108,MATCH(C169,'Facilities'!$C$9:$C$108,0)),G169+J169,MIN(G169+J169,G169*INDEX('Facilities'!$R$9:$R$108,MATCH(C169,'Facilities'!$C$9:$C$108,0))))),"Unavailable"))</x:f>
      </x:c>
      <x:c r="L169" s="21" t="str">
        <x:f>IF(C169="","",IFERROR(IF(AND(AC169=D169,AC169&gt;0),MAX(0,G169+J169-K169),0),"Unavailable"))</x:f>
      </x:c>
      <x:c r="M169" s="23" t="str">
        <x:f>IF(C169="","",IFERROR(IF(AND(AC169&gt;=0,D169&gt;=AC169+INDEX('Facilities'!$AK$9:$AK$108,MATCH(C169,'Facilities'!$C$9:$C$108,0))),(H169+L169)*AM169,0),"Unavailable"))</x:f>
      </x:c>
      <x:c r="N169" s="23" t="str">
        <x:f>IF(C169="","",IFERROR(IF(AND(AC169&gt;=0,D169&gt;=AC169+INDEX('Facilities'!$AK$9:$AK$108,MATCH(C169,'Facilities'!$C$9:$C$108,0))),H169+L169-M169,0),"Unavailable"))</x:f>
      </x:c>
      <x:c r="O169" s="21" t="str">
        <x:f>IF(C169="","",IFERROR(MAX(0,G169+J169-K169-L169),"Unavailable"))</x:f>
      </x:c>
      <x:c r="P169" s="21" t="str">
        <x:f>IF(C169="","",IFERROR(MAX(0,H169+L169-M169-N169),"Unavailable"))</x:f>
      </x:c>
      <x:c r="Q169" s="23" t="str">
        <x:f>IF(C169="","",IFERROR(IF(OR(D169&gt;=INDEX('Facilities'!$J$9:$J$108,MATCH(C169,'Facilities'!$C$9:$C$108,0)),AND(AC169&gt;=0,AC169&lt;=D169)),0,MAX(0,I169-J169)),"Unavailable"))</x:f>
      </x:c>
      <x:c r="R169" s="30" t="str">
        <x:f>IF(C169="","",IFERROR(INDEX(Credit!$Q$109:$Q$208,MATCH(F169,Credit!$C$109:$C$208,0)),"Unavailable"))</x:f>
      </x:c>
      <x:c r="S169" s="30" t="str">
        <x:f>IF(C169="","",IFERROR(INDEX(Credit!$R$109:$R$208,MATCH(F169,Credit!$C$109:$C$208,0)),"Unavailable"))</x:f>
      </x:c>
      <x:c r="T169" s="23" t="str">
        <x:f>IF(C169="","",IFERROR(IF(P169&gt;0,3,IF(OR(INDEX('Facilities'!$AD$9:$AD$108,MATCH(C169,'Facilities'!$C$9:$C$108,0))=2,AND(R169&gt;=INDEX('Facilities'!$L$9:$L$108,MATCH(C169,'Facilities'!$C$9:$C$108,0))*Settings!$F$19,R169-INDEX('Facilities'!$L$9:$L$108,MATCH(C169,'Facilities'!$C$9:$C$108,0))&gt;=Settings!$F$20)),2,1)),"Unavailable"))</x:f>
      </x:c>
      <x:c r="U169" s="23" t="str">
        <x:f>IF(C169="","",IF(AQ169&lt;&gt;"Ready","Unavailable",IF(C169="","",O169*(1-(1-S169)/(1+INDEX('Facilities'!$K$9:$K$108,MATCH(C169,'Facilities'!$C$9:$C$108,0)))^INDEX('Facilities'!$AK$9:$AK$108,MATCH(C169,'Facilities'!$C$9:$C$108,0)))*R169/(1+INDEX('Facilities'!$K$9:$K$108,MATCH(C169,'Facilities'!$C$9:$C$108,0)))*IF(ABS(1-(1-R169)*(1-INDEX('Facilities'!$R$9:$R$108,MATCH(C169,'Facilities'!$C$9:$C$108,0)))/(1+INDEX('Facilities'!$K$9:$K$108,MATCH(C169,'Facilities'!$C$9:$C$108,0))))&lt;0.000000001,IF(T169=1,MIN(1,AJ169),AJ169),(1-((1-R169)*(1-INDEX('Facilities'!$R$9:$R$108,MATCH(C169,'Facilities'!$C$9:$C$108,0)))/(1+INDEX('Facilities'!$K$9:$K$108,MATCH(C169,'Facilities'!$C$9:$C$108,0))))^IF(T169=1,MIN(1,AJ169),AJ169))/(1-(1-R169)*(1-INDEX('Facilities'!$R$9:$R$108,MATCH(C169,'Facilities'!$C$9:$C$108,0)))/(1+INDEX('Facilities'!$K$9:$K$108,MATCH(C169,'Facilities'!$C$9:$C$108,0)))))+AL169)))</x:f>
      </x:c>
      <x:c r="V169" s="23" t="str">
        <x:f>IF(C169="","",IF(AQ169&lt;&gt;"Ready","Unavailable",IF(C169="","",Q169*INDEX('Facilities'!$I$9:$I$108,MATCH(C169,'Facilities'!$C$9:$C$108,0))*(1-(1-S169)/(1+INDEX('Facilities'!$K$9:$K$108,MATCH(C169,'Facilities'!$C$9:$C$108,0)))^INDEX('Facilities'!$AK$9:$AK$108,MATCH(C169,'Facilities'!$C$9:$C$108,0)))*R169/(1+INDEX('Facilities'!$K$9:$K$108,MATCH(C169,'Facilities'!$C$9:$C$108,0)))*IF(ABS(1-(1-R169)*(1-0)/(1+INDEX('Facilities'!$K$9:$K$108,MATCH(C169,'Facilities'!$C$9:$C$108,0))))&lt;0.000000001,IF(T169=1,MIN(1,AJ169),AJ169),(1-((1-R169)*(1-0)/(1+INDEX('Facilities'!$K$9:$K$108,MATCH(C169,'Facilities'!$C$9:$C$108,0))))^IF(T169=1,MIN(1,AJ169),AJ169))/(1-(1-R169)*(1-0)/(1+INDEX('Facilities'!$K$9:$K$108,MATCH(C169,'Facilities'!$C$9:$C$108,0))))))))</x:f>
      </x:c>
      <x:c r="W169" s="21" t="str">
        <x:f>IF(C169="","",IFERROR(U69,"Unavailable"))</x:f>
      </x:c>
      <x:c r="X169" s="21" t="str">
        <x:f>IF(C169="","",IFERROR(V69,"Unavailable"))</x:f>
      </x:c>
      <x:c r="Y169" s="21" t="str">
        <x:f>IF(C169="","",IF(AQ169&lt;&gt;"Ready","Unavailable",IF(C169="","",U169-W169+V169-X169+N169+AG169)))</x:f>
      </x:c>
      <x:c r="Z169" s="23" t="str">
        <x:f>IF(C169="","",IF(AQ169&lt;&gt;"Ready","Unavailable",IF(C169="","",(G169+O169+L169)/2*INDEX('Facilities'!$T$9:$T$108,MATCH(C169,'Facilities'!$C$9:$C$108,0))+AG169)))</x:f>
      </x:c>
      <x:c r="AA169" s="23" t="str">
        <x:f>IF(C169="","",IF(AQ169&lt;&gt;"Ready","Unavailable",IF(C169="","",O169*(1-IF(INDEX('Facilities'!$AA$9:$AA$108,MATCH(C169,'Facilities'!$C$9:$C$108,0))=0,0,MIN(1,INDEX('Facilities'!$X$9:$X$108,MATCH(C169,'Facilities'!$C$9:$C$108,0))/INDEX('Facilities'!$AA$9:$AA$108,MATCH(C169,'Facilities'!$C$9:$C$108,0)))))*AF169+P169*(1-IF(INDEX('Facilities'!$AA$9:$AA$108,MATCH(C169,'Facilities'!$C$9:$C$108,0))=0,0,MIN(1,INDEX('Facilities'!$X$9:$X$108,MATCH(C169,'Facilities'!$C$9:$C$108,0))/INDEX('Facilities'!$AA$9:$AA$108,MATCH(C169,'Facilities'!$C$9:$C$108,0)))))*INDEX('Facilities'!$AJ$9:$AJ$108,MATCH(C169,'Facilities'!$C$9:$C$108,0))+Q169*INDEX('Facilities'!$AI$9:$AI$108,MATCH(C169,'Facilities'!$C$9:$C$108,0))*AF169)))</x:f>
      </x:c>
      <x:c r="AB169" s="21" t="str">
        <x:f>IF(C169="","",O169+P169-AD169)</x:f>
      </x:c>
      <x:c r="AC169" s="23" t="str">
        <x:f>IF(C169="","",IFERROR(IF(INDEX('Facilities'!$AD$9:$AD$108,MATCH(C169,'Facilities'!$C$9:$C$108,0))=3,0,IF(INDEX('Facilities'!$AN$9:$AN$108,MATCH(C169,'Facilities'!$C$9:$C$108,0))=0,-1,INDEX('Facilities'!$AN$9:$AN$108,MATCH(C169,'Facilities'!$C$9:$C$108,0)))),"Unavailable"))</x:f>
      </x:c>
      <x:c r="AD169" s="21" t="str">
        <x:f>IF(C169="","",IFERROR(G169+H169,"Unavailable"))</x:f>
      </x:c>
      <x:c r="AE169" s="21" t="str">
        <x:f>IF(C169="","",IF(AQ169&lt;&gt;"Ready","Unavailable",IF(C169="","",O169+P169-AD169-J169+K169+M169+N169)))</x:f>
      </x:c>
      <x:c r="AF169" s="30" t="str">
        <x:f>IF(C169="","",IFERROR(INDEX('Facilities'!$S$9:$S$108,MATCH(C169,'Facilities'!$C$9:$C$108,0))*'Scenario Paths'!G75,"Unavailable"))</x:f>
      </x:c>
      <x:c r="AG169" s="23" t="str">
        <x:f>IF(C169="","",IF(AQ169&lt;&gt;"Ready","Unavailable",IF(C169="","",IF(H169&gt;0,MAX(0,H169-AK169)*((1+INDEX('Facilities'!$K$9:$K$108,MATCH(C169,'Facilities'!$C$9:$C$108,0)))^MIN(1,MAX(0,AC169+INDEX('Facilities'!$AK$9:$AK$108,MATCH(C169,'Facilities'!$C$9:$C$108,0))-D169+1))-1),0))))</x:f>
      </x:c>
      <x:c r="AH169" s="21" t="str">
        <x:f>IF(C169="","",IF(AQ169&lt;&gt;"Ready","Unavailable",IF(C169="","",O169+P169)))</x:f>
      </x:c>
      <x:c r="AI169" s="21" t="str">
        <x:f>IF(C169="","",IF(AQ169&lt;&gt;"Ready","Unavailable",IF(C169="","",Z169-Y169)))</x:f>
      </x:c>
      <x:c r="AJ169" s="23" t="str">
        <x:f>IF(C169="","",IFERROR(MAX(0,INDEX('Facilities'!$J$9:$J$108,MATCH(C169,'Facilities'!$C$9:$C$108,0))-D169),"Unavailable"))</x:f>
      </x:c>
      <x:c r="AK169" s="21" t="str">
        <x:f>IF(C169="","",IFERROR(AL69,"Unavailable"))</x:f>
      </x:c>
      <x:c r="AL169" s="23" t="str">
        <x:f>IF(C169="","",IFERROR(IF(P169&gt;0,P169*(1-AM169/(1+INDEX('Facilities'!$K$9:$K$108,MATCH(C169,'Facilities'!$C$9:$C$108,0)))^MAX(0,AC169+INDEX('Facilities'!$AK$9:$AK$108,MATCH(C169,'Facilities'!$C$9:$C$108,0))-D169)),0),"Unavailable"))</x:f>
      </x:c>
      <x:c r="AM169" s="30" t="str">
        <x:f>IF(C169="","",IFERROR(INDEX('Facilities'!$AL$9:$AL$108,MATCH(C169,'Facilities'!$C$9:$C$108,0)),"Unavailable"))</x:f>
      </x:c>
      <x:c r="AN169" s="30" t="str">
        <x:f>IF(C169="","",IFERROR(INDEX(Credit!$T$109:$T$208,MATCH(F169,Credit!$C$109:$C$208,0)),"Unavailable"))</x:f>
      </x:c>
      <x:c r="AO169" s="23" t="str">
        <x:f>IF(C169="","",IF(AQ169&lt;&gt;"Ready","Unavailable",IF(C169="","",O169+P169+Q169*INDEX('Facilities'!$I$9:$I$108,MATCH(C169,'Facilities'!$C$9:$C$108,0)))))</x:f>
      </x:c>
      <x:c r="AP169" s="21" t="str">
        <x:f>IF(C169="","",IF(AQ169&lt;&gt;"Ready","Unavailable",IF(C169="","",AH169-U169)))</x:f>
      </x:c>
      <x:c r="AQ169" s="23" t="str">
        <x:f>IFERROR(IF(C169="","",IF(AND(INDEX('Facilities'!$AF$9:$AF$108,MATCH(C169,'Facilities'!$C$9:$C$108,0))="Ready",INDEX(Credit!$U$109:$U$208,MATCH(F169,Credit!$C$109:$C$208,0))="Ready",ISNUMBER(W169)),"Ready","Review inputs")),"Review inputs")</x:f>
      </x:c>
      <x:c r="AR169" s="23" t="str">
        <x:f>IF(C169="","",IF(AQ169&lt;&gt;"Ready","Unavailable",IF(C169="","",IF(O169=0,0,(IF(AJ169&lt;=1,O169,O169*INDEX('Facilities'!$R$9:$R$108,MATCH(C169,'Facilities'!$C$9:$C$108,0)))+O169*INDEX('Facilities'!$T$9:$T$108,MATCH(C169,'Facilities'!$C$9:$C$108,0)))/12))))</x:f>
      </x:c>
    </x:row>
    <x:row r="170" ht="26" customHeight="1">
      <x:c r="A170" s="1"/>
      <x:c r="B170" s="1"/>
      <x:c r="C170" s="9" t="str">
        <x:f>IF(Facilities!C70="","",Facilities!C70)</x:f>
      </x:c>
      <x:c r="D170" s="3" t="n">
        <x:v>2</x:v>
      </x:c>
      <x:c r="E170" s="9" t="n">
        <x:f>Settings!$F$18+1</x:f>
        <x:v>2028</x:v>
      </x:c>
      <x:c r="F170" s="9" t="str">
        <x:f>IF(C170="","",IFERROR(INDEX('Facilities'!$D$9:$D$108,MATCH(C170,'Facilities'!$C$9:$C$108,0)),"Unavailable"))</x:f>
      </x:c>
      <x:c r="G170" s="21" t="str">
        <x:f>IF(C170="","",IFERROR(O70,"Unavailable"))</x:f>
      </x:c>
      <x:c r="H170" s="21" t="str">
        <x:f>IF(C170="","",IFERROR(P70,"Unavailable"))</x:f>
      </x:c>
      <x:c r="I170" s="21" t="str">
        <x:f>IF(C170="","",IFERROR(Q70,"Unavailable"))</x:f>
      </x:c>
      <x:c r="J170" s="23" t="str">
        <x:f>IF(C170="","",IFERROR(IF(OR(H170&gt;0,AND(AC170&gt;=0,AC170&lt;D170),D170&gt;INDEX('Facilities'!$J$9:$J$108,MATCH(C170,'Facilities'!$C$9:$C$108,0))),0,I170*'Scenario Paths'!G81),"Unavailable"))</x:f>
      </x:c>
      <x:c r="K170" s="23" t="str">
        <x:f>IF(C170="","",IFERROR(IF(OR(H170&gt;0,AND(AC170&gt;=0,AC170=D170)),0,IF(D170&gt;=INDEX('Facilities'!$J$9:$J$108,MATCH(C170,'Facilities'!$C$9:$C$108,0)),G170+J170,MIN(G170+J170,G170*INDEX('Facilities'!$R$9:$R$108,MATCH(C170,'Facilities'!$C$9:$C$108,0))))),"Unavailable"))</x:f>
      </x:c>
      <x:c r="L170" s="21" t="str">
        <x:f>IF(C170="","",IFERROR(IF(AND(AC170=D170,AC170&gt;0),MAX(0,G170+J170-K170),0),"Unavailable"))</x:f>
      </x:c>
      <x:c r="M170" s="23" t="str">
        <x:f>IF(C170="","",IFERROR(IF(AND(AC170&gt;=0,D170&gt;=AC170+INDEX('Facilities'!$AK$9:$AK$108,MATCH(C170,'Facilities'!$C$9:$C$108,0))),(H170+L170)*AM170,0),"Unavailable"))</x:f>
      </x:c>
      <x:c r="N170" s="23" t="str">
        <x:f>IF(C170="","",IFERROR(IF(AND(AC170&gt;=0,D170&gt;=AC170+INDEX('Facilities'!$AK$9:$AK$108,MATCH(C170,'Facilities'!$C$9:$C$108,0))),H170+L170-M170,0),"Unavailable"))</x:f>
      </x:c>
      <x:c r="O170" s="21" t="str">
        <x:f>IF(C170="","",IFERROR(MAX(0,G170+J170-K170-L170),"Unavailable"))</x:f>
      </x:c>
      <x:c r="P170" s="21" t="str">
        <x:f>IF(C170="","",IFERROR(MAX(0,H170+L170-M170-N170),"Unavailable"))</x:f>
      </x:c>
      <x:c r="Q170" s="23" t="str">
        <x:f>IF(C170="","",IFERROR(IF(OR(D170&gt;=INDEX('Facilities'!$J$9:$J$108,MATCH(C170,'Facilities'!$C$9:$C$108,0)),AND(AC170&gt;=0,AC170&lt;=D170)),0,MAX(0,I170-J170)),"Unavailable"))</x:f>
      </x:c>
      <x:c r="R170" s="30" t="str">
        <x:f>IF(C170="","",IFERROR(INDEX(Credit!$Q$109:$Q$208,MATCH(F170,Credit!$C$109:$C$208,0)),"Unavailable"))</x:f>
      </x:c>
      <x:c r="S170" s="30" t="str">
        <x:f>IF(C170="","",IFERROR(INDEX(Credit!$R$109:$R$208,MATCH(F170,Credit!$C$109:$C$208,0)),"Unavailable"))</x:f>
      </x:c>
      <x:c r="T170" s="23" t="str">
        <x:f>IF(C170="","",IFERROR(IF(P170&gt;0,3,IF(OR(INDEX('Facilities'!$AD$9:$AD$108,MATCH(C170,'Facilities'!$C$9:$C$108,0))=2,AND(R170&gt;=INDEX('Facilities'!$L$9:$L$108,MATCH(C170,'Facilities'!$C$9:$C$108,0))*Settings!$F$19,R170-INDEX('Facilities'!$L$9:$L$108,MATCH(C170,'Facilities'!$C$9:$C$108,0))&gt;=Settings!$F$20)),2,1)),"Unavailable"))</x:f>
      </x:c>
      <x:c r="U170" s="23" t="str">
        <x:f>IF(C170="","",IF(AQ170&lt;&gt;"Ready","Unavailable",IF(C170="","",O170*(1-(1-S170)/(1+INDEX('Facilities'!$K$9:$K$108,MATCH(C170,'Facilities'!$C$9:$C$108,0)))^INDEX('Facilities'!$AK$9:$AK$108,MATCH(C170,'Facilities'!$C$9:$C$108,0)))*R170/(1+INDEX('Facilities'!$K$9:$K$108,MATCH(C170,'Facilities'!$C$9:$C$108,0)))*IF(ABS(1-(1-R170)*(1-INDEX('Facilities'!$R$9:$R$108,MATCH(C170,'Facilities'!$C$9:$C$108,0)))/(1+INDEX('Facilities'!$K$9:$K$108,MATCH(C170,'Facilities'!$C$9:$C$108,0))))&lt;0.000000001,IF(T170=1,MIN(1,AJ170),AJ170),(1-((1-R170)*(1-INDEX('Facilities'!$R$9:$R$108,MATCH(C170,'Facilities'!$C$9:$C$108,0)))/(1+INDEX('Facilities'!$K$9:$K$108,MATCH(C170,'Facilities'!$C$9:$C$108,0))))^IF(T170=1,MIN(1,AJ170),AJ170))/(1-(1-R170)*(1-INDEX('Facilities'!$R$9:$R$108,MATCH(C170,'Facilities'!$C$9:$C$108,0)))/(1+INDEX('Facilities'!$K$9:$K$108,MATCH(C170,'Facilities'!$C$9:$C$108,0)))))+AL170)))</x:f>
      </x:c>
      <x:c r="V170" s="23" t="str">
        <x:f>IF(C170="","",IF(AQ170&lt;&gt;"Ready","Unavailable",IF(C170="","",Q170*INDEX('Facilities'!$I$9:$I$108,MATCH(C170,'Facilities'!$C$9:$C$108,0))*(1-(1-S170)/(1+INDEX('Facilities'!$K$9:$K$108,MATCH(C170,'Facilities'!$C$9:$C$108,0)))^INDEX('Facilities'!$AK$9:$AK$108,MATCH(C170,'Facilities'!$C$9:$C$108,0)))*R170/(1+INDEX('Facilities'!$K$9:$K$108,MATCH(C170,'Facilities'!$C$9:$C$108,0)))*IF(ABS(1-(1-R170)*(1-0)/(1+INDEX('Facilities'!$K$9:$K$108,MATCH(C170,'Facilities'!$C$9:$C$108,0))))&lt;0.000000001,IF(T170=1,MIN(1,AJ170),AJ170),(1-((1-R170)*(1-0)/(1+INDEX('Facilities'!$K$9:$K$108,MATCH(C170,'Facilities'!$C$9:$C$108,0))))^IF(T170=1,MIN(1,AJ170),AJ170))/(1-(1-R170)*(1-0)/(1+INDEX('Facilities'!$K$9:$K$108,MATCH(C170,'Facilities'!$C$9:$C$108,0))))))))</x:f>
      </x:c>
      <x:c r="W170" s="21" t="str">
        <x:f>IF(C170="","",IFERROR(U70,"Unavailable"))</x:f>
      </x:c>
      <x:c r="X170" s="21" t="str">
        <x:f>IF(C170="","",IFERROR(V70,"Unavailable"))</x:f>
      </x:c>
      <x:c r="Y170" s="21" t="str">
        <x:f>IF(C170="","",IF(AQ170&lt;&gt;"Ready","Unavailable",IF(C170="","",U170-W170+V170-X170+N170+AG170)))</x:f>
      </x:c>
      <x:c r="Z170" s="23" t="str">
        <x:f>IF(C170="","",IF(AQ170&lt;&gt;"Ready","Unavailable",IF(C170="","",(G170+O170+L170)/2*INDEX('Facilities'!$T$9:$T$108,MATCH(C170,'Facilities'!$C$9:$C$108,0))+AG170)))</x:f>
      </x:c>
      <x:c r="AA170" s="23" t="str">
        <x:f>IF(C170="","",IF(AQ170&lt;&gt;"Ready","Unavailable",IF(C170="","",O170*(1-IF(INDEX('Facilities'!$AA$9:$AA$108,MATCH(C170,'Facilities'!$C$9:$C$108,0))=0,0,MIN(1,INDEX('Facilities'!$X$9:$X$108,MATCH(C170,'Facilities'!$C$9:$C$108,0))/INDEX('Facilities'!$AA$9:$AA$108,MATCH(C170,'Facilities'!$C$9:$C$108,0)))))*AF170+P170*(1-IF(INDEX('Facilities'!$AA$9:$AA$108,MATCH(C170,'Facilities'!$C$9:$C$108,0))=0,0,MIN(1,INDEX('Facilities'!$X$9:$X$108,MATCH(C170,'Facilities'!$C$9:$C$108,0))/INDEX('Facilities'!$AA$9:$AA$108,MATCH(C170,'Facilities'!$C$9:$C$108,0)))))*INDEX('Facilities'!$AJ$9:$AJ$108,MATCH(C170,'Facilities'!$C$9:$C$108,0))+Q170*INDEX('Facilities'!$AI$9:$AI$108,MATCH(C170,'Facilities'!$C$9:$C$108,0))*AF170)))</x:f>
      </x:c>
      <x:c r="AB170" s="21" t="str">
        <x:f>IF(C170="","",O170+P170-AD170)</x:f>
      </x:c>
      <x:c r="AC170" s="23" t="str">
        <x:f>IF(C170="","",IFERROR(IF(INDEX('Facilities'!$AD$9:$AD$108,MATCH(C170,'Facilities'!$C$9:$C$108,0))=3,0,IF(INDEX('Facilities'!$AN$9:$AN$108,MATCH(C170,'Facilities'!$C$9:$C$108,0))=0,-1,INDEX('Facilities'!$AN$9:$AN$108,MATCH(C170,'Facilities'!$C$9:$C$108,0)))),"Unavailable"))</x:f>
      </x:c>
      <x:c r="AD170" s="21" t="str">
        <x:f>IF(C170="","",IFERROR(G170+H170,"Unavailable"))</x:f>
      </x:c>
      <x:c r="AE170" s="21" t="str">
        <x:f>IF(C170="","",IF(AQ170&lt;&gt;"Ready","Unavailable",IF(C170="","",O170+P170-AD170-J170+K170+M170+N170)))</x:f>
      </x:c>
      <x:c r="AF170" s="30" t="str">
        <x:f>IF(C170="","",IFERROR(INDEX('Facilities'!$S$9:$S$108,MATCH(C170,'Facilities'!$C$9:$C$108,0))*'Scenario Paths'!G75,"Unavailable"))</x:f>
      </x:c>
      <x:c r="AG170" s="23" t="str">
        <x:f>IF(C170="","",IF(AQ170&lt;&gt;"Ready","Unavailable",IF(C170="","",IF(H170&gt;0,MAX(0,H170-AK170)*((1+INDEX('Facilities'!$K$9:$K$108,MATCH(C170,'Facilities'!$C$9:$C$108,0)))^MIN(1,MAX(0,AC170+INDEX('Facilities'!$AK$9:$AK$108,MATCH(C170,'Facilities'!$C$9:$C$108,0))-D170+1))-1),0))))</x:f>
      </x:c>
      <x:c r="AH170" s="21" t="str">
        <x:f>IF(C170="","",IF(AQ170&lt;&gt;"Ready","Unavailable",IF(C170="","",O170+P170)))</x:f>
      </x:c>
      <x:c r="AI170" s="21" t="str">
        <x:f>IF(C170="","",IF(AQ170&lt;&gt;"Ready","Unavailable",IF(C170="","",Z170-Y170)))</x:f>
      </x:c>
      <x:c r="AJ170" s="23" t="str">
        <x:f>IF(C170="","",IFERROR(MAX(0,INDEX('Facilities'!$J$9:$J$108,MATCH(C170,'Facilities'!$C$9:$C$108,0))-D170),"Unavailable"))</x:f>
      </x:c>
      <x:c r="AK170" s="21" t="str">
        <x:f>IF(C170="","",IFERROR(AL70,"Unavailable"))</x:f>
      </x:c>
      <x:c r="AL170" s="23" t="str">
        <x:f>IF(C170="","",IFERROR(IF(P170&gt;0,P170*(1-AM170/(1+INDEX('Facilities'!$K$9:$K$108,MATCH(C170,'Facilities'!$C$9:$C$108,0)))^MAX(0,AC170+INDEX('Facilities'!$AK$9:$AK$108,MATCH(C170,'Facilities'!$C$9:$C$108,0))-D170)),0),"Unavailable"))</x:f>
      </x:c>
      <x:c r="AM170" s="30" t="str">
        <x:f>IF(C170="","",IFERROR(INDEX('Facilities'!$AL$9:$AL$108,MATCH(C170,'Facilities'!$C$9:$C$108,0)),"Unavailable"))</x:f>
      </x:c>
      <x:c r="AN170" s="30" t="str">
        <x:f>IF(C170="","",IFERROR(INDEX(Credit!$T$109:$T$208,MATCH(F170,Credit!$C$109:$C$208,0)),"Unavailable"))</x:f>
      </x:c>
      <x:c r="AO170" s="23" t="str">
        <x:f>IF(C170="","",IF(AQ170&lt;&gt;"Ready","Unavailable",IF(C170="","",O170+P170+Q170*INDEX('Facilities'!$I$9:$I$108,MATCH(C170,'Facilities'!$C$9:$C$108,0)))))</x:f>
      </x:c>
      <x:c r="AP170" s="21" t="str">
        <x:f>IF(C170="","",IF(AQ170&lt;&gt;"Ready","Unavailable",IF(C170="","",AH170-U170)))</x:f>
      </x:c>
      <x:c r="AQ170" s="23" t="str">
        <x:f>IFERROR(IF(C170="","",IF(AND(INDEX('Facilities'!$AF$9:$AF$108,MATCH(C170,'Facilities'!$C$9:$C$108,0))="Ready",INDEX(Credit!$U$109:$U$208,MATCH(F170,Credit!$C$109:$C$208,0))="Ready",ISNUMBER(W170)),"Ready","Review inputs")),"Review inputs")</x:f>
      </x:c>
      <x:c r="AR170" s="23" t="str">
        <x:f>IF(C170="","",IF(AQ170&lt;&gt;"Ready","Unavailable",IF(C170="","",IF(O170=0,0,(IF(AJ170&lt;=1,O170,O170*INDEX('Facilities'!$R$9:$R$108,MATCH(C170,'Facilities'!$C$9:$C$108,0)))+O170*INDEX('Facilities'!$T$9:$T$108,MATCH(C170,'Facilities'!$C$9:$C$108,0)))/12))))</x:f>
      </x:c>
    </x:row>
    <x:row r="171" ht="26" customHeight="1">
      <x:c r="A171" s="1"/>
      <x:c r="B171" s="1"/>
      <x:c r="C171" s="9" t="str">
        <x:f>IF(Facilities!C71="","",Facilities!C71)</x:f>
      </x:c>
      <x:c r="D171" s="3" t="n">
        <x:v>2</x:v>
      </x:c>
      <x:c r="E171" s="9" t="n">
        <x:f>Settings!$F$18+1</x:f>
        <x:v>2028</x:v>
      </x:c>
      <x:c r="F171" s="9" t="str">
        <x:f>IF(C171="","",IFERROR(INDEX('Facilities'!$D$9:$D$108,MATCH(C171,'Facilities'!$C$9:$C$108,0)),"Unavailable"))</x:f>
      </x:c>
      <x:c r="G171" s="21" t="str">
        <x:f>IF(C171="","",IFERROR(O71,"Unavailable"))</x:f>
      </x:c>
      <x:c r="H171" s="21" t="str">
        <x:f>IF(C171="","",IFERROR(P71,"Unavailable"))</x:f>
      </x:c>
      <x:c r="I171" s="21" t="str">
        <x:f>IF(C171="","",IFERROR(Q71,"Unavailable"))</x:f>
      </x:c>
      <x:c r="J171" s="23" t="str">
        <x:f>IF(C171="","",IFERROR(IF(OR(H171&gt;0,AND(AC171&gt;=0,AC171&lt;D171),D171&gt;INDEX('Facilities'!$J$9:$J$108,MATCH(C171,'Facilities'!$C$9:$C$108,0))),0,I171*'Scenario Paths'!G81),"Unavailable"))</x:f>
      </x:c>
      <x:c r="K171" s="23" t="str">
        <x:f>IF(C171="","",IFERROR(IF(OR(H171&gt;0,AND(AC171&gt;=0,AC171=D171)),0,IF(D171&gt;=INDEX('Facilities'!$J$9:$J$108,MATCH(C171,'Facilities'!$C$9:$C$108,0)),G171+J171,MIN(G171+J171,G171*INDEX('Facilities'!$R$9:$R$108,MATCH(C171,'Facilities'!$C$9:$C$108,0))))),"Unavailable"))</x:f>
      </x:c>
      <x:c r="L171" s="21" t="str">
        <x:f>IF(C171="","",IFERROR(IF(AND(AC171=D171,AC171&gt;0),MAX(0,G171+J171-K171),0),"Unavailable"))</x:f>
      </x:c>
      <x:c r="M171" s="23" t="str">
        <x:f>IF(C171="","",IFERROR(IF(AND(AC171&gt;=0,D171&gt;=AC171+INDEX('Facilities'!$AK$9:$AK$108,MATCH(C171,'Facilities'!$C$9:$C$108,0))),(H171+L171)*AM171,0),"Unavailable"))</x:f>
      </x:c>
      <x:c r="N171" s="23" t="str">
        <x:f>IF(C171="","",IFERROR(IF(AND(AC171&gt;=0,D171&gt;=AC171+INDEX('Facilities'!$AK$9:$AK$108,MATCH(C171,'Facilities'!$C$9:$C$108,0))),H171+L171-M171,0),"Unavailable"))</x:f>
      </x:c>
      <x:c r="O171" s="21" t="str">
        <x:f>IF(C171="","",IFERROR(MAX(0,G171+J171-K171-L171),"Unavailable"))</x:f>
      </x:c>
      <x:c r="P171" s="21" t="str">
        <x:f>IF(C171="","",IFERROR(MAX(0,H171+L171-M171-N171),"Unavailable"))</x:f>
      </x:c>
      <x:c r="Q171" s="23" t="str">
        <x:f>IF(C171="","",IFERROR(IF(OR(D171&gt;=INDEX('Facilities'!$J$9:$J$108,MATCH(C171,'Facilities'!$C$9:$C$108,0)),AND(AC171&gt;=0,AC171&lt;=D171)),0,MAX(0,I171-J171)),"Unavailable"))</x:f>
      </x:c>
      <x:c r="R171" s="30" t="str">
        <x:f>IF(C171="","",IFERROR(INDEX(Credit!$Q$109:$Q$208,MATCH(F171,Credit!$C$109:$C$208,0)),"Unavailable"))</x:f>
      </x:c>
      <x:c r="S171" s="30" t="str">
        <x:f>IF(C171="","",IFERROR(INDEX(Credit!$R$109:$R$208,MATCH(F171,Credit!$C$109:$C$208,0)),"Unavailable"))</x:f>
      </x:c>
      <x:c r="T171" s="23" t="str">
        <x:f>IF(C171="","",IFERROR(IF(P171&gt;0,3,IF(OR(INDEX('Facilities'!$AD$9:$AD$108,MATCH(C171,'Facilities'!$C$9:$C$108,0))=2,AND(R171&gt;=INDEX('Facilities'!$L$9:$L$108,MATCH(C171,'Facilities'!$C$9:$C$108,0))*Settings!$F$19,R171-INDEX('Facilities'!$L$9:$L$108,MATCH(C171,'Facilities'!$C$9:$C$108,0))&gt;=Settings!$F$20)),2,1)),"Unavailable"))</x:f>
      </x:c>
      <x:c r="U171" s="23" t="str">
        <x:f>IF(C171="","",IF(AQ171&lt;&gt;"Ready","Unavailable",IF(C171="","",O171*(1-(1-S171)/(1+INDEX('Facilities'!$K$9:$K$108,MATCH(C171,'Facilities'!$C$9:$C$108,0)))^INDEX('Facilities'!$AK$9:$AK$108,MATCH(C171,'Facilities'!$C$9:$C$108,0)))*R171/(1+INDEX('Facilities'!$K$9:$K$108,MATCH(C171,'Facilities'!$C$9:$C$108,0)))*IF(ABS(1-(1-R171)*(1-INDEX('Facilities'!$R$9:$R$108,MATCH(C171,'Facilities'!$C$9:$C$108,0)))/(1+INDEX('Facilities'!$K$9:$K$108,MATCH(C171,'Facilities'!$C$9:$C$108,0))))&lt;0.000000001,IF(T171=1,MIN(1,AJ171),AJ171),(1-((1-R171)*(1-INDEX('Facilities'!$R$9:$R$108,MATCH(C171,'Facilities'!$C$9:$C$108,0)))/(1+INDEX('Facilities'!$K$9:$K$108,MATCH(C171,'Facilities'!$C$9:$C$108,0))))^IF(T171=1,MIN(1,AJ171),AJ171))/(1-(1-R171)*(1-INDEX('Facilities'!$R$9:$R$108,MATCH(C171,'Facilities'!$C$9:$C$108,0)))/(1+INDEX('Facilities'!$K$9:$K$108,MATCH(C171,'Facilities'!$C$9:$C$108,0)))))+AL171)))</x:f>
      </x:c>
      <x:c r="V171" s="23" t="str">
        <x:f>IF(C171="","",IF(AQ171&lt;&gt;"Ready","Unavailable",IF(C171="","",Q171*INDEX('Facilities'!$I$9:$I$108,MATCH(C171,'Facilities'!$C$9:$C$108,0))*(1-(1-S171)/(1+INDEX('Facilities'!$K$9:$K$108,MATCH(C171,'Facilities'!$C$9:$C$108,0)))^INDEX('Facilities'!$AK$9:$AK$108,MATCH(C171,'Facilities'!$C$9:$C$108,0)))*R171/(1+INDEX('Facilities'!$K$9:$K$108,MATCH(C171,'Facilities'!$C$9:$C$108,0)))*IF(ABS(1-(1-R171)*(1-0)/(1+INDEX('Facilities'!$K$9:$K$108,MATCH(C171,'Facilities'!$C$9:$C$108,0))))&lt;0.000000001,IF(T171=1,MIN(1,AJ171),AJ171),(1-((1-R171)*(1-0)/(1+INDEX('Facilities'!$K$9:$K$108,MATCH(C171,'Facilities'!$C$9:$C$108,0))))^IF(T171=1,MIN(1,AJ171),AJ171))/(1-(1-R171)*(1-0)/(1+INDEX('Facilities'!$K$9:$K$108,MATCH(C171,'Facilities'!$C$9:$C$108,0))))))))</x:f>
      </x:c>
      <x:c r="W171" s="21" t="str">
        <x:f>IF(C171="","",IFERROR(U71,"Unavailable"))</x:f>
      </x:c>
      <x:c r="X171" s="21" t="str">
        <x:f>IF(C171="","",IFERROR(V71,"Unavailable"))</x:f>
      </x:c>
      <x:c r="Y171" s="21" t="str">
        <x:f>IF(C171="","",IF(AQ171&lt;&gt;"Ready","Unavailable",IF(C171="","",U171-W171+V171-X171+N171+AG171)))</x:f>
      </x:c>
      <x:c r="Z171" s="23" t="str">
        <x:f>IF(C171="","",IF(AQ171&lt;&gt;"Ready","Unavailable",IF(C171="","",(G171+O171+L171)/2*INDEX('Facilities'!$T$9:$T$108,MATCH(C171,'Facilities'!$C$9:$C$108,0))+AG171)))</x:f>
      </x:c>
      <x:c r="AA171" s="23" t="str">
        <x:f>IF(C171="","",IF(AQ171&lt;&gt;"Ready","Unavailable",IF(C171="","",O171*(1-IF(INDEX('Facilities'!$AA$9:$AA$108,MATCH(C171,'Facilities'!$C$9:$C$108,0))=0,0,MIN(1,INDEX('Facilities'!$X$9:$X$108,MATCH(C171,'Facilities'!$C$9:$C$108,0))/INDEX('Facilities'!$AA$9:$AA$108,MATCH(C171,'Facilities'!$C$9:$C$108,0)))))*AF171+P171*(1-IF(INDEX('Facilities'!$AA$9:$AA$108,MATCH(C171,'Facilities'!$C$9:$C$108,0))=0,0,MIN(1,INDEX('Facilities'!$X$9:$X$108,MATCH(C171,'Facilities'!$C$9:$C$108,0))/INDEX('Facilities'!$AA$9:$AA$108,MATCH(C171,'Facilities'!$C$9:$C$108,0)))))*INDEX('Facilities'!$AJ$9:$AJ$108,MATCH(C171,'Facilities'!$C$9:$C$108,0))+Q171*INDEX('Facilities'!$AI$9:$AI$108,MATCH(C171,'Facilities'!$C$9:$C$108,0))*AF171)))</x:f>
      </x:c>
      <x:c r="AB171" s="21" t="str">
        <x:f>IF(C171="","",O171+P171-AD171)</x:f>
      </x:c>
      <x:c r="AC171" s="23" t="str">
        <x:f>IF(C171="","",IFERROR(IF(INDEX('Facilities'!$AD$9:$AD$108,MATCH(C171,'Facilities'!$C$9:$C$108,0))=3,0,IF(INDEX('Facilities'!$AN$9:$AN$108,MATCH(C171,'Facilities'!$C$9:$C$108,0))=0,-1,INDEX('Facilities'!$AN$9:$AN$108,MATCH(C171,'Facilities'!$C$9:$C$108,0)))),"Unavailable"))</x:f>
      </x:c>
      <x:c r="AD171" s="21" t="str">
        <x:f>IF(C171="","",IFERROR(G171+H171,"Unavailable"))</x:f>
      </x:c>
      <x:c r="AE171" s="21" t="str">
        <x:f>IF(C171="","",IF(AQ171&lt;&gt;"Ready","Unavailable",IF(C171="","",O171+P171-AD171-J171+K171+M171+N171)))</x:f>
      </x:c>
      <x:c r="AF171" s="30" t="str">
        <x:f>IF(C171="","",IFERROR(INDEX('Facilities'!$S$9:$S$108,MATCH(C171,'Facilities'!$C$9:$C$108,0))*'Scenario Paths'!G75,"Unavailable"))</x:f>
      </x:c>
      <x:c r="AG171" s="23" t="str">
        <x:f>IF(C171="","",IF(AQ171&lt;&gt;"Ready","Unavailable",IF(C171="","",IF(H171&gt;0,MAX(0,H171-AK171)*((1+INDEX('Facilities'!$K$9:$K$108,MATCH(C171,'Facilities'!$C$9:$C$108,0)))^MIN(1,MAX(0,AC171+INDEX('Facilities'!$AK$9:$AK$108,MATCH(C171,'Facilities'!$C$9:$C$108,0))-D171+1))-1),0))))</x:f>
      </x:c>
      <x:c r="AH171" s="21" t="str">
        <x:f>IF(C171="","",IF(AQ171&lt;&gt;"Ready","Unavailable",IF(C171="","",O171+P171)))</x:f>
      </x:c>
      <x:c r="AI171" s="21" t="str">
        <x:f>IF(C171="","",IF(AQ171&lt;&gt;"Ready","Unavailable",IF(C171="","",Z171-Y171)))</x:f>
      </x:c>
      <x:c r="AJ171" s="23" t="str">
        <x:f>IF(C171="","",IFERROR(MAX(0,INDEX('Facilities'!$J$9:$J$108,MATCH(C171,'Facilities'!$C$9:$C$108,0))-D171),"Unavailable"))</x:f>
      </x:c>
      <x:c r="AK171" s="21" t="str">
        <x:f>IF(C171="","",IFERROR(AL71,"Unavailable"))</x:f>
      </x:c>
      <x:c r="AL171" s="23" t="str">
        <x:f>IF(C171="","",IFERROR(IF(P171&gt;0,P171*(1-AM171/(1+INDEX('Facilities'!$K$9:$K$108,MATCH(C171,'Facilities'!$C$9:$C$108,0)))^MAX(0,AC171+INDEX('Facilities'!$AK$9:$AK$108,MATCH(C171,'Facilities'!$C$9:$C$108,0))-D171)),0),"Unavailable"))</x:f>
      </x:c>
      <x:c r="AM171" s="30" t="str">
        <x:f>IF(C171="","",IFERROR(INDEX('Facilities'!$AL$9:$AL$108,MATCH(C171,'Facilities'!$C$9:$C$108,0)),"Unavailable"))</x:f>
      </x:c>
      <x:c r="AN171" s="30" t="str">
        <x:f>IF(C171="","",IFERROR(INDEX(Credit!$T$109:$T$208,MATCH(F171,Credit!$C$109:$C$208,0)),"Unavailable"))</x:f>
      </x:c>
      <x:c r="AO171" s="23" t="str">
        <x:f>IF(C171="","",IF(AQ171&lt;&gt;"Ready","Unavailable",IF(C171="","",O171+P171+Q171*INDEX('Facilities'!$I$9:$I$108,MATCH(C171,'Facilities'!$C$9:$C$108,0)))))</x:f>
      </x:c>
      <x:c r="AP171" s="21" t="str">
        <x:f>IF(C171="","",IF(AQ171&lt;&gt;"Ready","Unavailable",IF(C171="","",AH171-U171)))</x:f>
      </x:c>
      <x:c r="AQ171" s="23" t="str">
        <x:f>IFERROR(IF(C171="","",IF(AND(INDEX('Facilities'!$AF$9:$AF$108,MATCH(C171,'Facilities'!$C$9:$C$108,0))="Ready",INDEX(Credit!$U$109:$U$208,MATCH(F171,Credit!$C$109:$C$208,0))="Ready",ISNUMBER(W171)),"Ready","Review inputs")),"Review inputs")</x:f>
      </x:c>
      <x:c r="AR171" s="23" t="str">
        <x:f>IF(C171="","",IF(AQ171&lt;&gt;"Ready","Unavailable",IF(C171="","",IF(O171=0,0,(IF(AJ171&lt;=1,O171,O171*INDEX('Facilities'!$R$9:$R$108,MATCH(C171,'Facilities'!$C$9:$C$108,0)))+O171*INDEX('Facilities'!$T$9:$T$108,MATCH(C171,'Facilities'!$C$9:$C$108,0)))/12))))</x:f>
      </x:c>
    </x:row>
    <x:row r="172" ht="26" customHeight="1">
      <x:c r="A172" s="1"/>
      <x:c r="B172" s="1"/>
      <x:c r="C172" s="9" t="str">
        <x:f>IF(Facilities!C72="","",Facilities!C72)</x:f>
      </x:c>
      <x:c r="D172" s="3" t="n">
        <x:v>2</x:v>
      </x:c>
      <x:c r="E172" s="9" t="n">
        <x:f>Settings!$F$18+1</x:f>
        <x:v>2028</x:v>
      </x:c>
      <x:c r="F172" s="9" t="str">
        <x:f>IF(C172="","",IFERROR(INDEX('Facilities'!$D$9:$D$108,MATCH(C172,'Facilities'!$C$9:$C$108,0)),"Unavailable"))</x:f>
      </x:c>
      <x:c r="G172" s="21" t="str">
        <x:f>IF(C172="","",IFERROR(O72,"Unavailable"))</x:f>
      </x:c>
      <x:c r="H172" s="21" t="str">
        <x:f>IF(C172="","",IFERROR(P72,"Unavailable"))</x:f>
      </x:c>
      <x:c r="I172" s="21" t="str">
        <x:f>IF(C172="","",IFERROR(Q72,"Unavailable"))</x:f>
      </x:c>
      <x:c r="J172" s="23" t="str">
        <x:f>IF(C172="","",IFERROR(IF(OR(H172&gt;0,AND(AC172&gt;=0,AC172&lt;D172),D172&gt;INDEX('Facilities'!$J$9:$J$108,MATCH(C172,'Facilities'!$C$9:$C$108,0))),0,I172*'Scenario Paths'!G81),"Unavailable"))</x:f>
      </x:c>
      <x:c r="K172" s="23" t="str">
        <x:f>IF(C172="","",IFERROR(IF(OR(H172&gt;0,AND(AC172&gt;=0,AC172=D172)),0,IF(D172&gt;=INDEX('Facilities'!$J$9:$J$108,MATCH(C172,'Facilities'!$C$9:$C$108,0)),G172+J172,MIN(G172+J172,G172*INDEX('Facilities'!$R$9:$R$108,MATCH(C172,'Facilities'!$C$9:$C$108,0))))),"Unavailable"))</x:f>
      </x:c>
      <x:c r="L172" s="21" t="str">
        <x:f>IF(C172="","",IFERROR(IF(AND(AC172=D172,AC172&gt;0),MAX(0,G172+J172-K172),0),"Unavailable"))</x:f>
      </x:c>
      <x:c r="M172" s="23" t="str">
        <x:f>IF(C172="","",IFERROR(IF(AND(AC172&gt;=0,D172&gt;=AC172+INDEX('Facilities'!$AK$9:$AK$108,MATCH(C172,'Facilities'!$C$9:$C$108,0))),(H172+L172)*AM172,0),"Unavailable"))</x:f>
      </x:c>
      <x:c r="N172" s="23" t="str">
        <x:f>IF(C172="","",IFERROR(IF(AND(AC172&gt;=0,D172&gt;=AC172+INDEX('Facilities'!$AK$9:$AK$108,MATCH(C172,'Facilities'!$C$9:$C$108,0))),H172+L172-M172,0),"Unavailable"))</x:f>
      </x:c>
      <x:c r="O172" s="21" t="str">
        <x:f>IF(C172="","",IFERROR(MAX(0,G172+J172-K172-L172),"Unavailable"))</x:f>
      </x:c>
      <x:c r="P172" s="21" t="str">
        <x:f>IF(C172="","",IFERROR(MAX(0,H172+L172-M172-N172),"Unavailable"))</x:f>
      </x:c>
      <x:c r="Q172" s="23" t="str">
        <x:f>IF(C172="","",IFERROR(IF(OR(D172&gt;=INDEX('Facilities'!$J$9:$J$108,MATCH(C172,'Facilities'!$C$9:$C$108,0)),AND(AC172&gt;=0,AC172&lt;=D172)),0,MAX(0,I172-J172)),"Unavailable"))</x:f>
      </x:c>
      <x:c r="R172" s="30" t="str">
        <x:f>IF(C172="","",IFERROR(INDEX(Credit!$Q$109:$Q$208,MATCH(F172,Credit!$C$109:$C$208,0)),"Unavailable"))</x:f>
      </x:c>
      <x:c r="S172" s="30" t="str">
        <x:f>IF(C172="","",IFERROR(INDEX(Credit!$R$109:$R$208,MATCH(F172,Credit!$C$109:$C$208,0)),"Unavailable"))</x:f>
      </x:c>
      <x:c r="T172" s="23" t="str">
        <x:f>IF(C172="","",IFERROR(IF(P172&gt;0,3,IF(OR(INDEX('Facilities'!$AD$9:$AD$108,MATCH(C172,'Facilities'!$C$9:$C$108,0))=2,AND(R172&gt;=INDEX('Facilities'!$L$9:$L$108,MATCH(C172,'Facilities'!$C$9:$C$108,0))*Settings!$F$19,R172-INDEX('Facilities'!$L$9:$L$108,MATCH(C172,'Facilities'!$C$9:$C$108,0))&gt;=Settings!$F$20)),2,1)),"Unavailable"))</x:f>
      </x:c>
      <x:c r="U172" s="23" t="str">
        <x:f>IF(C172="","",IF(AQ172&lt;&gt;"Ready","Unavailable",IF(C172="","",O172*(1-(1-S172)/(1+INDEX('Facilities'!$K$9:$K$108,MATCH(C172,'Facilities'!$C$9:$C$108,0)))^INDEX('Facilities'!$AK$9:$AK$108,MATCH(C172,'Facilities'!$C$9:$C$108,0)))*R172/(1+INDEX('Facilities'!$K$9:$K$108,MATCH(C172,'Facilities'!$C$9:$C$108,0)))*IF(ABS(1-(1-R172)*(1-INDEX('Facilities'!$R$9:$R$108,MATCH(C172,'Facilities'!$C$9:$C$108,0)))/(1+INDEX('Facilities'!$K$9:$K$108,MATCH(C172,'Facilities'!$C$9:$C$108,0))))&lt;0.000000001,IF(T172=1,MIN(1,AJ172),AJ172),(1-((1-R172)*(1-INDEX('Facilities'!$R$9:$R$108,MATCH(C172,'Facilities'!$C$9:$C$108,0)))/(1+INDEX('Facilities'!$K$9:$K$108,MATCH(C172,'Facilities'!$C$9:$C$108,0))))^IF(T172=1,MIN(1,AJ172),AJ172))/(1-(1-R172)*(1-INDEX('Facilities'!$R$9:$R$108,MATCH(C172,'Facilities'!$C$9:$C$108,0)))/(1+INDEX('Facilities'!$K$9:$K$108,MATCH(C172,'Facilities'!$C$9:$C$108,0)))))+AL172)))</x:f>
      </x:c>
      <x:c r="V172" s="23" t="str">
        <x:f>IF(C172="","",IF(AQ172&lt;&gt;"Ready","Unavailable",IF(C172="","",Q172*INDEX('Facilities'!$I$9:$I$108,MATCH(C172,'Facilities'!$C$9:$C$108,0))*(1-(1-S172)/(1+INDEX('Facilities'!$K$9:$K$108,MATCH(C172,'Facilities'!$C$9:$C$108,0)))^INDEX('Facilities'!$AK$9:$AK$108,MATCH(C172,'Facilities'!$C$9:$C$108,0)))*R172/(1+INDEX('Facilities'!$K$9:$K$108,MATCH(C172,'Facilities'!$C$9:$C$108,0)))*IF(ABS(1-(1-R172)*(1-0)/(1+INDEX('Facilities'!$K$9:$K$108,MATCH(C172,'Facilities'!$C$9:$C$108,0))))&lt;0.000000001,IF(T172=1,MIN(1,AJ172),AJ172),(1-((1-R172)*(1-0)/(1+INDEX('Facilities'!$K$9:$K$108,MATCH(C172,'Facilities'!$C$9:$C$108,0))))^IF(T172=1,MIN(1,AJ172),AJ172))/(1-(1-R172)*(1-0)/(1+INDEX('Facilities'!$K$9:$K$108,MATCH(C172,'Facilities'!$C$9:$C$108,0))))))))</x:f>
      </x:c>
      <x:c r="W172" s="21" t="str">
        <x:f>IF(C172="","",IFERROR(U72,"Unavailable"))</x:f>
      </x:c>
      <x:c r="X172" s="21" t="str">
        <x:f>IF(C172="","",IFERROR(V72,"Unavailable"))</x:f>
      </x:c>
      <x:c r="Y172" s="21" t="str">
        <x:f>IF(C172="","",IF(AQ172&lt;&gt;"Ready","Unavailable",IF(C172="","",U172-W172+V172-X172+N172+AG172)))</x:f>
      </x:c>
      <x:c r="Z172" s="23" t="str">
        <x:f>IF(C172="","",IF(AQ172&lt;&gt;"Ready","Unavailable",IF(C172="","",(G172+O172+L172)/2*INDEX('Facilities'!$T$9:$T$108,MATCH(C172,'Facilities'!$C$9:$C$108,0))+AG172)))</x:f>
      </x:c>
      <x:c r="AA172" s="23" t="str">
        <x:f>IF(C172="","",IF(AQ172&lt;&gt;"Ready","Unavailable",IF(C172="","",O172*(1-IF(INDEX('Facilities'!$AA$9:$AA$108,MATCH(C172,'Facilities'!$C$9:$C$108,0))=0,0,MIN(1,INDEX('Facilities'!$X$9:$X$108,MATCH(C172,'Facilities'!$C$9:$C$108,0))/INDEX('Facilities'!$AA$9:$AA$108,MATCH(C172,'Facilities'!$C$9:$C$108,0)))))*AF172+P172*(1-IF(INDEX('Facilities'!$AA$9:$AA$108,MATCH(C172,'Facilities'!$C$9:$C$108,0))=0,0,MIN(1,INDEX('Facilities'!$X$9:$X$108,MATCH(C172,'Facilities'!$C$9:$C$108,0))/INDEX('Facilities'!$AA$9:$AA$108,MATCH(C172,'Facilities'!$C$9:$C$108,0)))))*INDEX('Facilities'!$AJ$9:$AJ$108,MATCH(C172,'Facilities'!$C$9:$C$108,0))+Q172*INDEX('Facilities'!$AI$9:$AI$108,MATCH(C172,'Facilities'!$C$9:$C$108,0))*AF172)))</x:f>
      </x:c>
      <x:c r="AB172" s="21" t="str">
        <x:f>IF(C172="","",O172+P172-AD172)</x:f>
      </x:c>
      <x:c r="AC172" s="23" t="str">
        <x:f>IF(C172="","",IFERROR(IF(INDEX('Facilities'!$AD$9:$AD$108,MATCH(C172,'Facilities'!$C$9:$C$108,0))=3,0,IF(INDEX('Facilities'!$AN$9:$AN$108,MATCH(C172,'Facilities'!$C$9:$C$108,0))=0,-1,INDEX('Facilities'!$AN$9:$AN$108,MATCH(C172,'Facilities'!$C$9:$C$108,0)))),"Unavailable"))</x:f>
      </x:c>
      <x:c r="AD172" s="21" t="str">
        <x:f>IF(C172="","",IFERROR(G172+H172,"Unavailable"))</x:f>
      </x:c>
      <x:c r="AE172" s="21" t="str">
        <x:f>IF(C172="","",IF(AQ172&lt;&gt;"Ready","Unavailable",IF(C172="","",O172+P172-AD172-J172+K172+M172+N172)))</x:f>
      </x:c>
      <x:c r="AF172" s="30" t="str">
        <x:f>IF(C172="","",IFERROR(INDEX('Facilities'!$S$9:$S$108,MATCH(C172,'Facilities'!$C$9:$C$108,0))*'Scenario Paths'!G75,"Unavailable"))</x:f>
      </x:c>
      <x:c r="AG172" s="23" t="str">
        <x:f>IF(C172="","",IF(AQ172&lt;&gt;"Ready","Unavailable",IF(C172="","",IF(H172&gt;0,MAX(0,H172-AK172)*((1+INDEX('Facilities'!$K$9:$K$108,MATCH(C172,'Facilities'!$C$9:$C$108,0)))^MIN(1,MAX(0,AC172+INDEX('Facilities'!$AK$9:$AK$108,MATCH(C172,'Facilities'!$C$9:$C$108,0))-D172+1))-1),0))))</x:f>
      </x:c>
      <x:c r="AH172" s="21" t="str">
        <x:f>IF(C172="","",IF(AQ172&lt;&gt;"Ready","Unavailable",IF(C172="","",O172+P172)))</x:f>
      </x:c>
      <x:c r="AI172" s="21" t="str">
        <x:f>IF(C172="","",IF(AQ172&lt;&gt;"Ready","Unavailable",IF(C172="","",Z172-Y172)))</x:f>
      </x:c>
      <x:c r="AJ172" s="23" t="str">
        <x:f>IF(C172="","",IFERROR(MAX(0,INDEX('Facilities'!$J$9:$J$108,MATCH(C172,'Facilities'!$C$9:$C$108,0))-D172),"Unavailable"))</x:f>
      </x:c>
      <x:c r="AK172" s="21" t="str">
        <x:f>IF(C172="","",IFERROR(AL72,"Unavailable"))</x:f>
      </x:c>
      <x:c r="AL172" s="23" t="str">
        <x:f>IF(C172="","",IFERROR(IF(P172&gt;0,P172*(1-AM172/(1+INDEX('Facilities'!$K$9:$K$108,MATCH(C172,'Facilities'!$C$9:$C$108,0)))^MAX(0,AC172+INDEX('Facilities'!$AK$9:$AK$108,MATCH(C172,'Facilities'!$C$9:$C$108,0))-D172)),0),"Unavailable"))</x:f>
      </x:c>
      <x:c r="AM172" s="30" t="str">
        <x:f>IF(C172="","",IFERROR(INDEX('Facilities'!$AL$9:$AL$108,MATCH(C172,'Facilities'!$C$9:$C$108,0)),"Unavailable"))</x:f>
      </x:c>
      <x:c r="AN172" s="30" t="str">
        <x:f>IF(C172="","",IFERROR(INDEX(Credit!$T$109:$T$208,MATCH(F172,Credit!$C$109:$C$208,0)),"Unavailable"))</x:f>
      </x:c>
      <x:c r="AO172" s="23" t="str">
        <x:f>IF(C172="","",IF(AQ172&lt;&gt;"Ready","Unavailable",IF(C172="","",O172+P172+Q172*INDEX('Facilities'!$I$9:$I$108,MATCH(C172,'Facilities'!$C$9:$C$108,0)))))</x:f>
      </x:c>
      <x:c r="AP172" s="21" t="str">
        <x:f>IF(C172="","",IF(AQ172&lt;&gt;"Ready","Unavailable",IF(C172="","",AH172-U172)))</x:f>
      </x:c>
      <x:c r="AQ172" s="23" t="str">
        <x:f>IFERROR(IF(C172="","",IF(AND(INDEX('Facilities'!$AF$9:$AF$108,MATCH(C172,'Facilities'!$C$9:$C$108,0))="Ready",INDEX(Credit!$U$109:$U$208,MATCH(F172,Credit!$C$109:$C$208,0))="Ready",ISNUMBER(W172)),"Ready","Review inputs")),"Review inputs")</x:f>
      </x:c>
      <x:c r="AR172" s="23" t="str">
        <x:f>IF(C172="","",IF(AQ172&lt;&gt;"Ready","Unavailable",IF(C172="","",IF(O172=0,0,(IF(AJ172&lt;=1,O172,O172*INDEX('Facilities'!$R$9:$R$108,MATCH(C172,'Facilities'!$C$9:$C$108,0)))+O172*INDEX('Facilities'!$T$9:$T$108,MATCH(C172,'Facilities'!$C$9:$C$108,0)))/12))))</x:f>
      </x:c>
    </x:row>
    <x:row r="173" ht="26" customHeight="1">
      <x:c r="A173" s="1"/>
      <x:c r="B173" s="1"/>
      <x:c r="C173" s="9" t="str">
        <x:f>IF(Facilities!C73="","",Facilities!C73)</x:f>
      </x:c>
      <x:c r="D173" s="3" t="n">
        <x:v>2</x:v>
      </x:c>
      <x:c r="E173" s="9" t="n">
        <x:f>Settings!$F$18+1</x:f>
        <x:v>2028</x:v>
      </x:c>
      <x:c r="F173" s="9" t="str">
        <x:f>IF(C173="","",IFERROR(INDEX('Facilities'!$D$9:$D$108,MATCH(C173,'Facilities'!$C$9:$C$108,0)),"Unavailable"))</x:f>
      </x:c>
      <x:c r="G173" s="21" t="str">
        <x:f>IF(C173="","",IFERROR(O73,"Unavailable"))</x:f>
      </x:c>
      <x:c r="H173" s="21" t="str">
        <x:f>IF(C173="","",IFERROR(P73,"Unavailable"))</x:f>
      </x:c>
      <x:c r="I173" s="21" t="str">
        <x:f>IF(C173="","",IFERROR(Q73,"Unavailable"))</x:f>
      </x:c>
      <x:c r="J173" s="23" t="str">
        <x:f>IF(C173="","",IFERROR(IF(OR(H173&gt;0,AND(AC173&gt;=0,AC173&lt;D173),D173&gt;INDEX('Facilities'!$J$9:$J$108,MATCH(C173,'Facilities'!$C$9:$C$108,0))),0,I173*'Scenario Paths'!G81),"Unavailable"))</x:f>
      </x:c>
      <x:c r="K173" s="23" t="str">
        <x:f>IF(C173="","",IFERROR(IF(OR(H173&gt;0,AND(AC173&gt;=0,AC173=D173)),0,IF(D173&gt;=INDEX('Facilities'!$J$9:$J$108,MATCH(C173,'Facilities'!$C$9:$C$108,0)),G173+J173,MIN(G173+J173,G173*INDEX('Facilities'!$R$9:$R$108,MATCH(C173,'Facilities'!$C$9:$C$108,0))))),"Unavailable"))</x:f>
      </x:c>
      <x:c r="L173" s="21" t="str">
        <x:f>IF(C173="","",IFERROR(IF(AND(AC173=D173,AC173&gt;0),MAX(0,G173+J173-K173),0),"Unavailable"))</x:f>
      </x:c>
      <x:c r="M173" s="23" t="str">
        <x:f>IF(C173="","",IFERROR(IF(AND(AC173&gt;=0,D173&gt;=AC173+INDEX('Facilities'!$AK$9:$AK$108,MATCH(C173,'Facilities'!$C$9:$C$108,0))),(H173+L173)*AM173,0),"Unavailable"))</x:f>
      </x:c>
      <x:c r="N173" s="23" t="str">
        <x:f>IF(C173="","",IFERROR(IF(AND(AC173&gt;=0,D173&gt;=AC173+INDEX('Facilities'!$AK$9:$AK$108,MATCH(C173,'Facilities'!$C$9:$C$108,0))),H173+L173-M173,0),"Unavailable"))</x:f>
      </x:c>
      <x:c r="O173" s="21" t="str">
        <x:f>IF(C173="","",IFERROR(MAX(0,G173+J173-K173-L173),"Unavailable"))</x:f>
      </x:c>
      <x:c r="P173" s="21" t="str">
        <x:f>IF(C173="","",IFERROR(MAX(0,H173+L173-M173-N173),"Unavailable"))</x:f>
      </x:c>
      <x:c r="Q173" s="23" t="str">
        <x:f>IF(C173="","",IFERROR(IF(OR(D173&gt;=INDEX('Facilities'!$J$9:$J$108,MATCH(C173,'Facilities'!$C$9:$C$108,0)),AND(AC173&gt;=0,AC173&lt;=D173)),0,MAX(0,I173-J173)),"Unavailable"))</x:f>
      </x:c>
      <x:c r="R173" s="30" t="str">
        <x:f>IF(C173="","",IFERROR(INDEX(Credit!$Q$109:$Q$208,MATCH(F173,Credit!$C$109:$C$208,0)),"Unavailable"))</x:f>
      </x:c>
      <x:c r="S173" s="30" t="str">
        <x:f>IF(C173="","",IFERROR(INDEX(Credit!$R$109:$R$208,MATCH(F173,Credit!$C$109:$C$208,0)),"Unavailable"))</x:f>
      </x:c>
      <x:c r="T173" s="23" t="str">
        <x:f>IF(C173="","",IFERROR(IF(P173&gt;0,3,IF(OR(INDEX('Facilities'!$AD$9:$AD$108,MATCH(C173,'Facilities'!$C$9:$C$108,0))=2,AND(R173&gt;=INDEX('Facilities'!$L$9:$L$108,MATCH(C173,'Facilities'!$C$9:$C$108,0))*Settings!$F$19,R173-INDEX('Facilities'!$L$9:$L$108,MATCH(C173,'Facilities'!$C$9:$C$108,0))&gt;=Settings!$F$20)),2,1)),"Unavailable"))</x:f>
      </x:c>
      <x:c r="U173" s="23" t="str">
        <x:f>IF(C173="","",IF(AQ173&lt;&gt;"Ready","Unavailable",IF(C173="","",O173*(1-(1-S173)/(1+INDEX('Facilities'!$K$9:$K$108,MATCH(C173,'Facilities'!$C$9:$C$108,0)))^INDEX('Facilities'!$AK$9:$AK$108,MATCH(C173,'Facilities'!$C$9:$C$108,0)))*R173/(1+INDEX('Facilities'!$K$9:$K$108,MATCH(C173,'Facilities'!$C$9:$C$108,0)))*IF(ABS(1-(1-R173)*(1-INDEX('Facilities'!$R$9:$R$108,MATCH(C173,'Facilities'!$C$9:$C$108,0)))/(1+INDEX('Facilities'!$K$9:$K$108,MATCH(C173,'Facilities'!$C$9:$C$108,0))))&lt;0.000000001,IF(T173=1,MIN(1,AJ173),AJ173),(1-((1-R173)*(1-INDEX('Facilities'!$R$9:$R$108,MATCH(C173,'Facilities'!$C$9:$C$108,0)))/(1+INDEX('Facilities'!$K$9:$K$108,MATCH(C173,'Facilities'!$C$9:$C$108,0))))^IF(T173=1,MIN(1,AJ173),AJ173))/(1-(1-R173)*(1-INDEX('Facilities'!$R$9:$R$108,MATCH(C173,'Facilities'!$C$9:$C$108,0)))/(1+INDEX('Facilities'!$K$9:$K$108,MATCH(C173,'Facilities'!$C$9:$C$108,0)))))+AL173)))</x:f>
      </x:c>
      <x:c r="V173" s="23" t="str">
        <x:f>IF(C173="","",IF(AQ173&lt;&gt;"Ready","Unavailable",IF(C173="","",Q173*INDEX('Facilities'!$I$9:$I$108,MATCH(C173,'Facilities'!$C$9:$C$108,0))*(1-(1-S173)/(1+INDEX('Facilities'!$K$9:$K$108,MATCH(C173,'Facilities'!$C$9:$C$108,0)))^INDEX('Facilities'!$AK$9:$AK$108,MATCH(C173,'Facilities'!$C$9:$C$108,0)))*R173/(1+INDEX('Facilities'!$K$9:$K$108,MATCH(C173,'Facilities'!$C$9:$C$108,0)))*IF(ABS(1-(1-R173)*(1-0)/(1+INDEX('Facilities'!$K$9:$K$108,MATCH(C173,'Facilities'!$C$9:$C$108,0))))&lt;0.000000001,IF(T173=1,MIN(1,AJ173),AJ173),(1-((1-R173)*(1-0)/(1+INDEX('Facilities'!$K$9:$K$108,MATCH(C173,'Facilities'!$C$9:$C$108,0))))^IF(T173=1,MIN(1,AJ173),AJ173))/(1-(1-R173)*(1-0)/(1+INDEX('Facilities'!$K$9:$K$108,MATCH(C173,'Facilities'!$C$9:$C$108,0))))))))</x:f>
      </x:c>
      <x:c r="W173" s="21" t="str">
        <x:f>IF(C173="","",IFERROR(U73,"Unavailable"))</x:f>
      </x:c>
      <x:c r="X173" s="21" t="str">
        <x:f>IF(C173="","",IFERROR(V73,"Unavailable"))</x:f>
      </x:c>
      <x:c r="Y173" s="21" t="str">
        <x:f>IF(C173="","",IF(AQ173&lt;&gt;"Ready","Unavailable",IF(C173="","",U173-W173+V173-X173+N173+AG173)))</x:f>
      </x:c>
      <x:c r="Z173" s="23" t="str">
        <x:f>IF(C173="","",IF(AQ173&lt;&gt;"Ready","Unavailable",IF(C173="","",(G173+O173+L173)/2*INDEX('Facilities'!$T$9:$T$108,MATCH(C173,'Facilities'!$C$9:$C$108,0))+AG173)))</x:f>
      </x:c>
      <x:c r="AA173" s="23" t="str">
        <x:f>IF(C173="","",IF(AQ173&lt;&gt;"Ready","Unavailable",IF(C173="","",O173*(1-IF(INDEX('Facilities'!$AA$9:$AA$108,MATCH(C173,'Facilities'!$C$9:$C$108,0))=0,0,MIN(1,INDEX('Facilities'!$X$9:$X$108,MATCH(C173,'Facilities'!$C$9:$C$108,0))/INDEX('Facilities'!$AA$9:$AA$108,MATCH(C173,'Facilities'!$C$9:$C$108,0)))))*AF173+P173*(1-IF(INDEX('Facilities'!$AA$9:$AA$108,MATCH(C173,'Facilities'!$C$9:$C$108,0))=0,0,MIN(1,INDEX('Facilities'!$X$9:$X$108,MATCH(C173,'Facilities'!$C$9:$C$108,0))/INDEX('Facilities'!$AA$9:$AA$108,MATCH(C173,'Facilities'!$C$9:$C$108,0)))))*INDEX('Facilities'!$AJ$9:$AJ$108,MATCH(C173,'Facilities'!$C$9:$C$108,0))+Q173*INDEX('Facilities'!$AI$9:$AI$108,MATCH(C173,'Facilities'!$C$9:$C$108,0))*AF173)))</x:f>
      </x:c>
      <x:c r="AB173" s="21" t="str">
        <x:f>IF(C173="","",O173+P173-AD173)</x:f>
      </x:c>
      <x:c r="AC173" s="23" t="str">
        <x:f>IF(C173="","",IFERROR(IF(INDEX('Facilities'!$AD$9:$AD$108,MATCH(C173,'Facilities'!$C$9:$C$108,0))=3,0,IF(INDEX('Facilities'!$AN$9:$AN$108,MATCH(C173,'Facilities'!$C$9:$C$108,0))=0,-1,INDEX('Facilities'!$AN$9:$AN$108,MATCH(C173,'Facilities'!$C$9:$C$108,0)))),"Unavailable"))</x:f>
      </x:c>
      <x:c r="AD173" s="21" t="str">
        <x:f>IF(C173="","",IFERROR(G173+H173,"Unavailable"))</x:f>
      </x:c>
      <x:c r="AE173" s="21" t="str">
        <x:f>IF(C173="","",IF(AQ173&lt;&gt;"Ready","Unavailable",IF(C173="","",O173+P173-AD173-J173+K173+M173+N173)))</x:f>
      </x:c>
      <x:c r="AF173" s="30" t="str">
        <x:f>IF(C173="","",IFERROR(INDEX('Facilities'!$S$9:$S$108,MATCH(C173,'Facilities'!$C$9:$C$108,0))*'Scenario Paths'!G75,"Unavailable"))</x:f>
      </x:c>
      <x:c r="AG173" s="23" t="str">
        <x:f>IF(C173="","",IF(AQ173&lt;&gt;"Ready","Unavailable",IF(C173="","",IF(H173&gt;0,MAX(0,H173-AK173)*((1+INDEX('Facilities'!$K$9:$K$108,MATCH(C173,'Facilities'!$C$9:$C$108,0)))^MIN(1,MAX(0,AC173+INDEX('Facilities'!$AK$9:$AK$108,MATCH(C173,'Facilities'!$C$9:$C$108,0))-D173+1))-1),0))))</x:f>
      </x:c>
      <x:c r="AH173" s="21" t="str">
        <x:f>IF(C173="","",IF(AQ173&lt;&gt;"Ready","Unavailable",IF(C173="","",O173+P173)))</x:f>
      </x:c>
      <x:c r="AI173" s="21" t="str">
        <x:f>IF(C173="","",IF(AQ173&lt;&gt;"Ready","Unavailable",IF(C173="","",Z173-Y173)))</x:f>
      </x:c>
      <x:c r="AJ173" s="23" t="str">
        <x:f>IF(C173="","",IFERROR(MAX(0,INDEX('Facilities'!$J$9:$J$108,MATCH(C173,'Facilities'!$C$9:$C$108,0))-D173),"Unavailable"))</x:f>
      </x:c>
      <x:c r="AK173" s="21" t="str">
        <x:f>IF(C173="","",IFERROR(AL73,"Unavailable"))</x:f>
      </x:c>
      <x:c r="AL173" s="23" t="str">
        <x:f>IF(C173="","",IFERROR(IF(P173&gt;0,P173*(1-AM173/(1+INDEX('Facilities'!$K$9:$K$108,MATCH(C173,'Facilities'!$C$9:$C$108,0)))^MAX(0,AC173+INDEX('Facilities'!$AK$9:$AK$108,MATCH(C173,'Facilities'!$C$9:$C$108,0))-D173)),0),"Unavailable"))</x:f>
      </x:c>
      <x:c r="AM173" s="30" t="str">
        <x:f>IF(C173="","",IFERROR(INDEX('Facilities'!$AL$9:$AL$108,MATCH(C173,'Facilities'!$C$9:$C$108,0)),"Unavailable"))</x:f>
      </x:c>
      <x:c r="AN173" s="30" t="str">
        <x:f>IF(C173="","",IFERROR(INDEX(Credit!$T$109:$T$208,MATCH(F173,Credit!$C$109:$C$208,0)),"Unavailable"))</x:f>
      </x:c>
      <x:c r="AO173" s="23" t="str">
        <x:f>IF(C173="","",IF(AQ173&lt;&gt;"Ready","Unavailable",IF(C173="","",O173+P173+Q173*INDEX('Facilities'!$I$9:$I$108,MATCH(C173,'Facilities'!$C$9:$C$108,0)))))</x:f>
      </x:c>
      <x:c r="AP173" s="21" t="str">
        <x:f>IF(C173="","",IF(AQ173&lt;&gt;"Ready","Unavailable",IF(C173="","",AH173-U173)))</x:f>
      </x:c>
      <x:c r="AQ173" s="23" t="str">
        <x:f>IFERROR(IF(C173="","",IF(AND(INDEX('Facilities'!$AF$9:$AF$108,MATCH(C173,'Facilities'!$C$9:$C$108,0))="Ready",INDEX(Credit!$U$109:$U$208,MATCH(F173,Credit!$C$109:$C$208,0))="Ready",ISNUMBER(W173)),"Ready","Review inputs")),"Review inputs")</x:f>
      </x:c>
      <x:c r="AR173" s="23" t="str">
        <x:f>IF(C173="","",IF(AQ173&lt;&gt;"Ready","Unavailable",IF(C173="","",IF(O173=0,0,(IF(AJ173&lt;=1,O173,O173*INDEX('Facilities'!$R$9:$R$108,MATCH(C173,'Facilities'!$C$9:$C$108,0)))+O173*INDEX('Facilities'!$T$9:$T$108,MATCH(C173,'Facilities'!$C$9:$C$108,0)))/12))))</x:f>
      </x:c>
    </x:row>
    <x:row r="174" ht="26" customHeight="1">
      <x:c r="A174" s="1"/>
      <x:c r="B174" s="1"/>
      <x:c r="C174" s="9" t="str">
        <x:f>IF(Facilities!C74="","",Facilities!C74)</x:f>
      </x:c>
      <x:c r="D174" s="3" t="n">
        <x:v>2</x:v>
      </x:c>
      <x:c r="E174" s="9" t="n">
        <x:f>Settings!$F$18+1</x:f>
        <x:v>2028</x:v>
      </x:c>
      <x:c r="F174" s="9" t="str">
        <x:f>IF(C174="","",IFERROR(INDEX('Facilities'!$D$9:$D$108,MATCH(C174,'Facilities'!$C$9:$C$108,0)),"Unavailable"))</x:f>
      </x:c>
      <x:c r="G174" s="21" t="str">
        <x:f>IF(C174="","",IFERROR(O74,"Unavailable"))</x:f>
      </x:c>
      <x:c r="H174" s="21" t="str">
        <x:f>IF(C174="","",IFERROR(P74,"Unavailable"))</x:f>
      </x:c>
      <x:c r="I174" s="21" t="str">
        <x:f>IF(C174="","",IFERROR(Q74,"Unavailable"))</x:f>
      </x:c>
      <x:c r="J174" s="23" t="str">
        <x:f>IF(C174="","",IFERROR(IF(OR(H174&gt;0,AND(AC174&gt;=0,AC174&lt;D174),D174&gt;INDEX('Facilities'!$J$9:$J$108,MATCH(C174,'Facilities'!$C$9:$C$108,0))),0,I174*'Scenario Paths'!G81),"Unavailable"))</x:f>
      </x:c>
      <x:c r="K174" s="23" t="str">
        <x:f>IF(C174="","",IFERROR(IF(OR(H174&gt;0,AND(AC174&gt;=0,AC174=D174)),0,IF(D174&gt;=INDEX('Facilities'!$J$9:$J$108,MATCH(C174,'Facilities'!$C$9:$C$108,0)),G174+J174,MIN(G174+J174,G174*INDEX('Facilities'!$R$9:$R$108,MATCH(C174,'Facilities'!$C$9:$C$108,0))))),"Unavailable"))</x:f>
      </x:c>
      <x:c r="L174" s="21" t="str">
        <x:f>IF(C174="","",IFERROR(IF(AND(AC174=D174,AC174&gt;0),MAX(0,G174+J174-K174),0),"Unavailable"))</x:f>
      </x:c>
      <x:c r="M174" s="23" t="str">
        <x:f>IF(C174="","",IFERROR(IF(AND(AC174&gt;=0,D174&gt;=AC174+INDEX('Facilities'!$AK$9:$AK$108,MATCH(C174,'Facilities'!$C$9:$C$108,0))),(H174+L174)*AM174,0),"Unavailable"))</x:f>
      </x:c>
      <x:c r="N174" s="23" t="str">
        <x:f>IF(C174="","",IFERROR(IF(AND(AC174&gt;=0,D174&gt;=AC174+INDEX('Facilities'!$AK$9:$AK$108,MATCH(C174,'Facilities'!$C$9:$C$108,0))),H174+L174-M174,0),"Unavailable"))</x:f>
      </x:c>
      <x:c r="O174" s="21" t="str">
        <x:f>IF(C174="","",IFERROR(MAX(0,G174+J174-K174-L174),"Unavailable"))</x:f>
      </x:c>
      <x:c r="P174" s="21" t="str">
        <x:f>IF(C174="","",IFERROR(MAX(0,H174+L174-M174-N174),"Unavailable"))</x:f>
      </x:c>
      <x:c r="Q174" s="23" t="str">
        <x:f>IF(C174="","",IFERROR(IF(OR(D174&gt;=INDEX('Facilities'!$J$9:$J$108,MATCH(C174,'Facilities'!$C$9:$C$108,0)),AND(AC174&gt;=0,AC174&lt;=D174)),0,MAX(0,I174-J174)),"Unavailable"))</x:f>
      </x:c>
      <x:c r="R174" s="30" t="str">
        <x:f>IF(C174="","",IFERROR(INDEX(Credit!$Q$109:$Q$208,MATCH(F174,Credit!$C$109:$C$208,0)),"Unavailable"))</x:f>
      </x:c>
      <x:c r="S174" s="30" t="str">
        <x:f>IF(C174="","",IFERROR(INDEX(Credit!$R$109:$R$208,MATCH(F174,Credit!$C$109:$C$208,0)),"Unavailable"))</x:f>
      </x:c>
      <x:c r="T174" s="23" t="str">
        <x:f>IF(C174="","",IFERROR(IF(P174&gt;0,3,IF(OR(INDEX('Facilities'!$AD$9:$AD$108,MATCH(C174,'Facilities'!$C$9:$C$108,0))=2,AND(R174&gt;=INDEX('Facilities'!$L$9:$L$108,MATCH(C174,'Facilities'!$C$9:$C$108,0))*Settings!$F$19,R174-INDEX('Facilities'!$L$9:$L$108,MATCH(C174,'Facilities'!$C$9:$C$108,0))&gt;=Settings!$F$20)),2,1)),"Unavailable"))</x:f>
      </x:c>
      <x:c r="U174" s="23" t="str">
        <x:f>IF(C174="","",IF(AQ174&lt;&gt;"Ready","Unavailable",IF(C174="","",O174*(1-(1-S174)/(1+INDEX('Facilities'!$K$9:$K$108,MATCH(C174,'Facilities'!$C$9:$C$108,0)))^INDEX('Facilities'!$AK$9:$AK$108,MATCH(C174,'Facilities'!$C$9:$C$108,0)))*R174/(1+INDEX('Facilities'!$K$9:$K$108,MATCH(C174,'Facilities'!$C$9:$C$108,0)))*IF(ABS(1-(1-R174)*(1-INDEX('Facilities'!$R$9:$R$108,MATCH(C174,'Facilities'!$C$9:$C$108,0)))/(1+INDEX('Facilities'!$K$9:$K$108,MATCH(C174,'Facilities'!$C$9:$C$108,0))))&lt;0.000000001,IF(T174=1,MIN(1,AJ174),AJ174),(1-((1-R174)*(1-INDEX('Facilities'!$R$9:$R$108,MATCH(C174,'Facilities'!$C$9:$C$108,0)))/(1+INDEX('Facilities'!$K$9:$K$108,MATCH(C174,'Facilities'!$C$9:$C$108,0))))^IF(T174=1,MIN(1,AJ174),AJ174))/(1-(1-R174)*(1-INDEX('Facilities'!$R$9:$R$108,MATCH(C174,'Facilities'!$C$9:$C$108,0)))/(1+INDEX('Facilities'!$K$9:$K$108,MATCH(C174,'Facilities'!$C$9:$C$108,0)))))+AL174)))</x:f>
      </x:c>
      <x:c r="V174" s="23" t="str">
        <x:f>IF(C174="","",IF(AQ174&lt;&gt;"Ready","Unavailable",IF(C174="","",Q174*INDEX('Facilities'!$I$9:$I$108,MATCH(C174,'Facilities'!$C$9:$C$108,0))*(1-(1-S174)/(1+INDEX('Facilities'!$K$9:$K$108,MATCH(C174,'Facilities'!$C$9:$C$108,0)))^INDEX('Facilities'!$AK$9:$AK$108,MATCH(C174,'Facilities'!$C$9:$C$108,0)))*R174/(1+INDEX('Facilities'!$K$9:$K$108,MATCH(C174,'Facilities'!$C$9:$C$108,0)))*IF(ABS(1-(1-R174)*(1-0)/(1+INDEX('Facilities'!$K$9:$K$108,MATCH(C174,'Facilities'!$C$9:$C$108,0))))&lt;0.000000001,IF(T174=1,MIN(1,AJ174),AJ174),(1-((1-R174)*(1-0)/(1+INDEX('Facilities'!$K$9:$K$108,MATCH(C174,'Facilities'!$C$9:$C$108,0))))^IF(T174=1,MIN(1,AJ174),AJ174))/(1-(1-R174)*(1-0)/(1+INDEX('Facilities'!$K$9:$K$108,MATCH(C174,'Facilities'!$C$9:$C$108,0))))))))</x:f>
      </x:c>
      <x:c r="W174" s="21" t="str">
        <x:f>IF(C174="","",IFERROR(U74,"Unavailable"))</x:f>
      </x:c>
      <x:c r="X174" s="21" t="str">
        <x:f>IF(C174="","",IFERROR(V74,"Unavailable"))</x:f>
      </x:c>
      <x:c r="Y174" s="21" t="str">
        <x:f>IF(C174="","",IF(AQ174&lt;&gt;"Ready","Unavailable",IF(C174="","",U174-W174+V174-X174+N174+AG174)))</x:f>
      </x:c>
      <x:c r="Z174" s="23" t="str">
        <x:f>IF(C174="","",IF(AQ174&lt;&gt;"Ready","Unavailable",IF(C174="","",(G174+O174+L174)/2*INDEX('Facilities'!$T$9:$T$108,MATCH(C174,'Facilities'!$C$9:$C$108,0))+AG174)))</x:f>
      </x:c>
      <x:c r="AA174" s="23" t="str">
        <x:f>IF(C174="","",IF(AQ174&lt;&gt;"Ready","Unavailable",IF(C174="","",O174*(1-IF(INDEX('Facilities'!$AA$9:$AA$108,MATCH(C174,'Facilities'!$C$9:$C$108,0))=0,0,MIN(1,INDEX('Facilities'!$X$9:$X$108,MATCH(C174,'Facilities'!$C$9:$C$108,0))/INDEX('Facilities'!$AA$9:$AA$108,MATCH(C174,'Facilities'!$C$9:$C$108,0)))))*AF174+P174*(1-IF(INDEX('Facilities'!$AA$9:$AA$108,MATCH(C174,'Facilities'!$C$9:$C$108,0))=0,0,MIN(1,INDEX('Facilities'!$X$9:$X$108,MATCH(C174,'Facilities'!$C$9:$C$108,0))/INDEX('Facilities'!$AA$9:$AA$108,MATCH(C174,'Facilities'!$C$9:$C$108,0)))))*INDEX('Facilities'!$AJ$9:$AJ$108,MATCH(C174,'Facilities'!$C$9:$C$108,0))+Q174*INDEX('Facilities'!$AI$9:$AI$108,MATCH(C174,'Facilities'!$C$9:$C$108,0))*AF174)))</x:f>
      </x:c>
      <x:c r="AB174" s="21" t="str">
        <x:f>IF(C174="","",O174+P174-AD174)</x:f>
      </x:c>
      <x:c r="AC174" s="23" t="str">
        <x:f>IF(C174="","",IFERROR(IF(INDEX('Facilities'!$AD$9:$AD$108,MATCH(C174,'Facilities'!$C$9:$C$108,0))=3,0,IF(INDEX('Facilities'!$AN$9:$AN$108,MATCH(C174,'Facilities'!$C$9:$C$108,0))=0,-1,INDEX('Facilities'!$AN$9:$AN$108,MATCH(C174,'Facilities'!$C$9:$C$108,0)))),"Unavailable"))</x:f>
      </x:c>
      <x:c r="AD174" s="21" t="str">
        <x:f>IF(C174="","",IFERROR(G174+H174,"Unavailable"))</x:f>
      </x:c>
      <x:c r="AE174" s="21" t="str">
        <x:f>IF(C174="","",IF(AQ174&lt;&gt;"Ready","Unavailable",IF(C174="","",O174+P174-AD174-J174+K174+M174+N174)))</x:f>
      </x:c>
      <x:c r="AF174" s="30" t="str">
        <x:f>IF(C174="","",IFERROR(INDEX('Facilities'!$S$9:$S$108,MATCH(C174,'Facilities'!$C$9:$C$108,0))*'Scenario Paths'!G75,"Unavailable"))</x:f>
      </x:c>
      <x:c r="AG174" s="23" t="str">
        <x:f>IF(C174="","",IF(AQ174&lt;&gt;"Ready","Unavailable",IF(C174="","",IF(H174&gt;0,MAX(0,H174-AK174)*((1+INDEX('Facilities'!$K$9:$K$108,MATCH(C174,'Facilities'!$C$9:$C$108,0)))^MIN(1,MAX(0,AC174+INDEX('Facilities'!$AK$9:$AK$108,MATCH(C174,'Facilities'!$C$9:$C$108,0))-D174+1))-1),0))))</x:f>
      </x:c>
      <x:c r="AH174" s="21" t="str">
        <x:f>IF(C174="","",IF(AQ174&lt;&gt;"Ready","Unavailable",IF(C174="","",O174+P174)))</x:f>
      </x:c>
      <x:c r="AI174" s="21" t="str">
        <x:f>IF(C174="","",IF(AQ174&lt;&gt;"Ready","Unavailable",IF(C174="","",Z174-Y174)))</x:f>
      </x:c>
      <x:c r="AJ174" s="23" t="str">
        <x:f>IF(C174="","",IFERROR(MAX(0,INDEX('Facilities'!$J$9:$J$108,MATCH(C174,'Facilities'!$C$9:$C$108,0))-D174),"Unavailable"))</x:f>
      </x:c>
      <x:c r="AK174" s="21" t="str">
        <x:f>IF(C174="","",IFERROR(AL74,"Unavailable"))</x:f>
      </x:c>
      <x:c r="AL174" s="23" t="str">
        <x:f>IF(C174="","",IFERROR(IF(P174&gt;0,P174*(1-AM174/(1+INDEX('Facilities'!$K$9:$K$108,MATCH(C174,'Facilities'!$C$9:$C$108,0)))^MAX(0,AC174+INDEX('Facilities'!$AK$9:$AK$108,MATCH(C174,'Facilities'!$C$9:$C$108,0))-D174)),0),"Unavailable"))</x:f>
      </x:c>
      <x:c r="AM174" s="30" t="str">
        <x:f>IF(C174="","",IFERROR(INDEX('Facilities'!$AL$9:$AL$108,MATCH(C174,'Facilities'!$C$9:$C$108,0)),"Unavailable"))</x:f>
      </x:c>
      <x:c r="AN174" s="30" t="str">
        <x:f>IF(C174="","",IFERROR(INDEX(Credit!$T$109:$T$208,MATCH(F174,Credit!$C$109:$C$208,0)),"Unavailable"))</x:f>
      </x:c>
      <x:c r="AO174" s="23" t="str">
        <x:f>IF(C174="","",IF(AQ174&lt;&gt;"Ready","Unavailable",IF(C174="","",O174+P174+Q174*INDEX('Facilities'!$I$9:$I$108,MATCH(C174,'Facilities'!$C$9:$C$108,0)))))</x:f>
      </x:c>
      <x:c r="AP174" s="21" t="str">
        <x:f>IF(C174="","",IF(AQ174&lt;&gt;"Ready","Unavailable",IF(C174="","",AH174-U174)))</x:f>
      </x:c>
      <x:c r="AQ174" s="23" t="str">
        <x:f>IFERROR(IF(C174="","",IF(AND(INDEX('Facilities'!$AF$9:$AF$108,MATCH(C174,'Facilities'!$C$9:$C$108,0))="Ready",INDEX(Credit!$U$109:$U$208,MATCH(F174,Credit!$C$109:$C$208,0))="Ready",ISNUMBER(W174)),"Ready","Review inputs")),"Review inputs")</x:f>
      </x:c>
      <x:c r="AR174" s="23" t="str">
        <x:f>IF(C174="","",IF(AQ174&lt;&gt;"Ready","Unavailable",IF(C174="","",IF(O174=0,0,(IF(AJ174&lt;=1,O174,O174*INDEX('Facilities'!$R$9:$R$108,MATCH(C174,'Facilities'!$C$9:$C$108,0)))+O174*INDEX('Facilities'!$T$9:$T$108,MATCH(C174,'Facilities'!$C$9:$C$108,0)))/12))))</x:f>
      </x:c>
    </x:row>
    <x:row r="175" ht="26" customHeight="1">
      <x:c r="A175" s="1"/>
      <x:c r="B175" s="1"/>
      <x:c r="C175" s="9" t="str">
        <x:f>IF(Facilities!C75="","",Facilities!C75)</x:f>
      </x:c>
      <x:c r="D175" s="3" t="n">
        <x:v>2</x:v>
      </x:c>
      <x:c r="E175" s="9" t="n">
        <x:f>Settings!$F$18+1</x:f>
        <x:v>2028</x:v>
      </x:c>
      <x:c r="F175" s="9" t="str">
        <x:f>IF(C175="","",IFERROR(INDEX('Facilities'!$D$9:$D$108,MATCH(C175,'Facilities'!$C$9:$C$108,0)),"Unavailable"))</x:f>
      </x:c>
      <x:c r="G175" s="21" t="str">
        <x:f>IF(C175="","",IFERROR(O75,"Unavailable"))</x:f>
      </x:c>
      <x:c r="H175" s="21" t="str">
        <x:f>IF(C175="","",IFERROR(P75,"Unavailable"))</x:f>
      </x:c>
      <x:c r="I175" s="21" t="str">
        <x:f>IF(C175="","",IFERROR(Q75,"Unavailable"))</x:f>
      </x:c>
      <x:c r="J175" s="23" t="str">
        <x:f>IF(C175="","",IFERROR(IF(OR(H175&gt;0,AND(AC175&gt;=0,AC175&lt;D175),D175&gt;INDEX('Facilities'!$J$9:$J$108,MATCH(C175,'Facilities'!$C$9:$C$108,0))),0,I175*'Scenario Paths'!G81),"Unavailable"))</x:f>
      </x:c>
      <x:c r="K175" s="23" t="str">
        <x:f>IF(C175="","",IFERROR(IF(OR(H175&gt;0,AND(AC175&gt;=0,AC175=D175)),0,IF(D175&gt;=INDEX('Facilities'!$J$9:$J$108,MATCH(C175,'Facilities'!$C$9:$C$108,0)),G175+J175,MIN(G175+J175,G175*INDEX('Facilities'!$R$9:$R$108,MATCH(C175,'Facilities'!$C$9:$C$108,0))))),"Unavailable"))</x:f>
      </x:c>
      <x:c r="L175" s="21" t="str">
        <x:f>IF(C175="","",IFERROR(IF(AND(AC175=D175,AC175&gt;0),MAX(0,G175+J175-K175),0),"Unavailable"))</x:f>
      </x:c>
      <x:c r="M175" s="23" t="str">
        <x:f>IF(C175="","",IFERROR(IF(AND(AC175&gt;=0,D175&gt;=AC175+INDEX('Facilities'!$AK$9:$AK$108,MATCH(C175,'Facilities'!$C$9:$C$108,0))),(H175+L175)*AM175,0),"Unavailable"))</x:f>
      </x:c>
      <x:c r="N175" s="23" t="str">
        <x:f>IF(C175="","",IFERROR(IF(AND(AC175&gt;=0,D175&gt;=AC175+INDEX('Facilities'!$AK$9:$AK$108,MATCH(C175,'Facilities'!$C$9:$C$108,0))),H175+L175-M175,0),"Unavailable"))</x:f>
      </x:c>
      <x:c r="O175" s="21" t="str">
        <x:f>IF(C175="","",IFERROR(MAX(0,G175+J175-K175-L175),"Unavailable"))</x:f>
      </x:c>
      <x:c r="P175" s="21" t="str">
        <x:f>IF(C175="","",IFERROR(MAX(0,H175+L175-M175-N175),"Unavailable"))</x:f>
      </x:c>
      <x:c r="Q175" s="23" t="str">
        <x:f>IF(C175="","",IFERROR(IF(OR(D175&gt;=INDEX('Facilities'!$J$9:$J$108,MATCH(C175,'Facilities'!$C$9:$C$108,0)),AND(AC175&gt;=0,AC175&lt;=D175)),0,MAX(0,I175-J175)),"Unavailable"))</x:f>
      </x:c>
      <x:c r="R175" s="30" t="str">
        <x:f>IF(C175="","",IFERROR(INDEX(Credit!$Q$109:$Q$208,MATCH(F175,Credit!$C$109:$C$208,0)),"Unavailable"))</x:f>
      </x:c>
      <x:c r="S175" s="30" t="str">
        <x:f>IF(C175="","",IFERROR(INDEX(Credit!$R$109:$R$208,MATCH(F175,Credit!$C$109:$C$208,0)),"Unavailable"))</x:f>
      </x:c>
      <x:c r="T175" s="23" t="str">
        <x:f>IF(C175="","",IFERROR(IF(P175&gt;0,3,IF(OR(INDEX('Facilities'!$AD$9:$AD$108,MATCH(C175,'Facilities'!$C$9:$C$108,0))=2,AND(R175&gt;=INDEX('Facilities'!$L$9:$L$108,MATCH(C175,'Facilities'!$C$9:$C$108,0))*Settings!$F$19,R175-INDEX('Facilities'!$L$9:$L$108,MATCH(C175,'Facilities'!$C$9:$C$108,0))&gt;=Settings!$F$20)),2,1)),"Unavailable"))</x:f>
      </x:c>
      <x:c r="U175" s="23" t="str">
        <x:f>IF(C175="","",IF(AQ175&lt;&gt;"Ready","Unavailable",IF(C175="","",O175*(1-(1-S175)/(1+INDEX('Facilities'!$K$9:$K$108,MATCH(C175,'Facilities'!$C$9:$C$108,0)))^INDEX('Facilities'!$AK$9:$AK$108,MATCH(C175,'Facilities'!$C$9:$C$108,0)))*R175/(1+INDEX('Facilities'!$K$9:$K$108,MATCH(C175,'Facilities'!$C$9:$C$108,0)))*IF(ABS(1-(1-R175)*(1-INDEX('Facilities'!$R$9:$R$108,MATCH(C175,'Facilities'!$C$9:$C$108,0)))/(1+INDEX('Facilities'!$K$9:$K$108,MATCH(C175,'Facilities'!$C$9:$C$108,0))))&lt;0.000000001,IF(T175=1,MIN(1,AJ175),AJ175),(1-((1-R175)*(1-INDEX('Facilities'!$R$9:$R$108,MATCH(C175,'Facilities'!$C$9:$C$108,0)))/(1+INDEX('Facilities'!$K$9:$K$108,MATCH(C175,'Facilities'!$C$9:$C$108,0))))^IF(T175=1,MIN(1,AJ175),AJ175))/(1-(1-R175)*(1-INDEX('Facilities'!$R$9:$R$108,MATCH(C175,'Facilities'!$C$9:$C$108,0)))/(1+INDEX('Facilities'!$K$9:$K$108,MATCH(C175,'Facilities'!$C$9:$C$108,0)))))+AL175)))</x:f>
      </x:c>
      <x:c r="V175" s="23" t="str">
        <x:f>IF(C175="","",IF(AQ175&lt;&gt;"Ready","Unavailable",IF(C175="","",Q175*INDEX('Facilities'!$I$9:$I$108,MATCH(C175,'Facilities'!$C$9:$C$108,0))*(1-(1-S175)/(1+INDEX('Facilities'!$K$9:$K$108,MATCH(C175,'Facilities'!$C$9:$C$108,0)))^INDEX('Facilities'!$AK$9:$AK$108,MATCH(C175,'Facilities'!$C$9:$C$108,0)))*R175/(1+INDEX('Facilities'!$K$9:$K$108,MATCH(C175,'Facilities'!$C$9:$C$108,0)))*IF(ABS(1-(1-R175)*(1-0)/(1+INDEX('Facilities'!$K$9:$K$108,MATCH(C175,'Facilities'!$C$9:$C$108,0))))&lt;0.000000001,IF(T175=1,MIN(1,AJ175),AJ175),(1-((1-R175)*(1-0)/(1+INDEX('Facilities'!$K$9:$K$108,MATCH(C175,'Facilities'!$C$9:$C$108,0))))^IF(T175=1,MIN(1,AJ175),AJ175))/(1-(1-R175)*(1-0)/(1+INDEX('Facilities'!$K$9:$K$108,MATCH(C175,'Facilities'!$C$9:$C$108,0))))))))</x:f>
      </x:c>
      <x:c r="W175" s="21" t="str">
        <x:f>IF(C175="","",IFERROR(U75,"Unavailable"))</x:f>
      </x:c>
      <x:c r="X175" s="21" t="str">
        <x:f>IF(C175="","",IFERROR(V75,"Unavailable"))</x:f>
      </x:c>
      <x:c r="Y175" s="21" t="str">
        <x:f>IF(C175="","",IF(AQ175&lt;&gt;"Ready","Unavailable",IF(C175="","",U175-W175+V175-X175+N175+AG175)))</x:f>
      </x:c>
      <x:c r="Z175" s="23" t="str">
        <x:f>IF(C175="","",IF(AQ175&lt;&gt;"Ready","Unavailable",IF(C175="","",(G175+O175+L175)/2*INDEX('Facilities'!$T$9:$T$108,MATCH(C175,'Facilities'!$C$9:$C$108,0))+AG175)))</x:f>
      </x:c>
      <x:c r="AA175" s="23" t="str">
        <x:f>IF(C175="","",IF(AQ175&lt;&gt;"Ready","Unavailable",IF(C175="","",O175*(1-IF(INDEX('Facilities'!$AA$9:$AA$108,MATCH(C175,'Facilities'!$C$9:$C$108,0))=0,0,MIN(1,INDEX('Facilities'!$X$9:$X$108,MATCH(C175,'Facilities'!$C$9:$C$108,0))/INDEX('Facilities'!$AA$9:$AA$108,MATCH(C175,'Facilities'!$C$9:$C$108,0)))))*AF175+P175*(1-IF(INDEX('Facilities'!$AA$9:$AA$108,MATCH(C175,'Facilities'!$C$9:$C$108,0))=0,0,MIN(1,INDEX('Facilities'!$X$9:$X$108,MATCH(C175,'Facilities'!$C$9:$C$108,0))/INDEX('Facilities'!$AA$9:$AA$108,MATCH(C175,'Facilities'!$C$9:$C$108,0)))))*INDEX('Facilities'!$AJ$9:$AJ$108,MATCH(C175,'Facilities'!$C$9:$C$108,0))+Q175*INDEX('Facilities'!$AI$9:$AI$108,MATCH(C175,'Facilities'!$C$9:$C$108,0))*AF175)))</x:f>
      </x:c>
      <x:c r="AB175" s="21" t="str">
        <x:f>IF(C175="","",O175+P175-AD175)</x:f>
      </x:c>
      <x:c r="AC175" s="23" t="str">
        <x:f>IF(C175="","",IFERROR(IF(INDEX('Facilities'!$AD$9:$AD$108,MATCH(C175,'Facilities'!$C$9:$C$108,0))=3,0,IF(INDEX('Facilities'!$AN$9:$AN$108,MATCH(C175,'Facilities'!$C$9:$C$108,0))=0,-1,INDEX('Facilities'!$AN$9:$AN$108,MATCH(C175,'Facilities'!$C$9:$C$108,0)))),"Unavailable"))</x:f>
      </x:c>
      <x:c r="AD175" s="21" t="str">
        <x:f>IF(C175="","",IFERROR(G175+H175,"Unavailable"))</x:f>
      </x:c>
      <x:c r="AE175" s="21" t="str">
        <x:f>IF(C175="","",IF(AQ175&lt;&gt;"Ready","Unavailable",IF(C175="","",O175+P175-AD175-J175+K175+M175+N175)))</x:f>
      </x:c>
      <x:c r="AF175" s="30" t="str">
        <x:f>IF(C175="","",IFERROR(INDEX('Facilities'!$S$9:$S$108,MATCH(C175,'Facilities'!$C$9:$C$108,0))*'Scenario Paths'!G75,"Unavailable"))</x:f>
      </x:c>
      <x:c r="AG175" s="23" t="str">
        <x:f>IF(C175="","",IF(AQ175&lt;&gt;"Ready","Unavailable",IF(C175="","",IF(H175&gt;0,MAX(0,H175-AK175)*((1+INDEX('Facilities'!$K$9:$K$108,MATCH(C175,'Facilities'!$C$9:$C$108,0)))^MIN(1,MAX(0,AC175+INDEX('Facilities'!$AK$9:$AK$108,MATCH(C175,'Facilities'!$C$9:$C$108,0))-D175+1))-1),0))))</x:f>
      </x:c>
      <x:c r="AH175" s="21" t="str">
        <x:f>IF(C175="","",IF(AQ175&lt;&gt;"Ready","Unavailable",IF(C175="","",O175+P175)))</x:f>
      </x:c>
      <x:c r="AI175" s="21" t="str">
        <x:f>IF(C175="","",IF(AQ175&lt;&gt;"Ready","Unavailable",IF(C175="","",Z175-Y175)))</x:f>
      </x:c>
      <x:c r="AJ175" s="23" t="str">
        <x:f>IF(C175="","",IFERROR(MAX(0,INDEX('Facilities'!$J$9:$J$108,MATCH(C175,'Facilities'!$C$9:$C$108,0))-D175),"Unavailable"))</x:f>
      </x:c>
      <x:c r="AK175" s="21" t="str">
        <x:f>IF(C175="","",IFERROR(AL75,"Unavailable"))</x:f>
      </x:c>
      <x:c r="AL175" s="23" t="str">
        <x:f>IF(C175="","",IFERROR(IF(P175&gt;0,P175*(1-AM175/(1+INDEX('Facilities'!$K$9:$K$108,MATCH(C175,'Facilities'!$C$9:$C$108,0)))^MAX(0,AC175+INDEX('Facilities'!$AK$9:$AK$108,MATCH(C175,'Facilities'!$C$9:$C$108,0))-D175)),0),"Unavailable"))</x:f>
      </x:c>
      <x:c r="AM175" s="30" t="str">
        <x:f>IF(C175="","",IFERROR(INDEX('Facilities'!$AL$9:$AL$108,MATCH(C175,'Facilities'!$C$9:$C$108,0)),"Unavailable"))</x:f>
      </x:c>
      <x:c r="AN175" s="30" t="str">
        <x:f>IF(C175="","",IFERROR(INDEX(Credit!$T$109:$T$208,MATCH(F175,Credit!$C$109:$C$208,0)),"Unavailable"))</x:f>
      </x:c>
      <x:c r="AO175" s="23" t="str">
        <x:f>IF(C175="","",IF(AQ175&lt;&gt;"Ready","Unavailable",IF(C175="","",O175+P175+Q175*INDEX('Facilities'!$I$9:$I$108,MATCH(C175,'Facilities'!$C$9:$C$108,0)))))</x:f>
      </x:c>
      <x:c r="AP175" s="21" t="str">
        <x:f>IF(C175="","",IF(AQ175&lt;&gt;"Ready","Unavailable",IF(C175="","",AH175-U175)))</x:f>
      </x:c>
      <x:c r="AQ175" s="23" t="str">
        <x:f>IFERROR(IF(C175="","",IF(AND(INDEX('Facilities'!$AF$9:$AF$108,MATCH(C175,'Facilities'!$C$9:$C$108,0))="Ready",INDEX(Credit!$U$109:$U$208,MATCH(F175,Credit!$C$109:$C$208,0))="Ready",ISNUMBER(W175)),"Ready","Review inputs")),"Review inputs")</x:f>
      </x:c>
      <x:c r="AR175" s="23" t="str">
        <x:f>IF(C175="","",IF(AQ175&lt;&gt;"Ready","Unavailable",IF(C175="","",IF(O175=0,0,(IF(AJ175&lt;=1,O175,O175*INDEX('Facilities'!$R$9:$R$108,MATCH(C175,'Facilities'!$C$9:$C$108,0)))+O175*INDEX('Facilities'!$T$9:$T$108,MATCH(C175,'Facilities'!$C$9:$C$108,0)))/12))))</x:f>
      </x:c>
    </x:row>
    <x:row r="176" ht="26" customHeight="1">
      <x:c r="A176" s="1"/>
      <x:c r="B176" s="1"/>
      <x:c r="C176" s="9" t="str">
        <x:f>IF(Facilities!C76="","",Facilities!C76)</x:f>
      </x:c>
      <x:c r="D176" s="3" t="n">
        <x:v>2</x:v>
      </x:c>
      <x:c r="E176" s="9" t="n">
        <x:f>Settings!$F$18+1</x:f>
        <x:v>2028</x:v>
      </x:c>
      <x:c r="F176" s="9" t="str">
        <x:f>IF(C176="","",IFERROR(INDEX('Facilities'!$D$9:$D$108,MATCH(C176,'Facilities'!$C$9:$C$108,0)),"Unavailable"))</x:f>
      </x:c>
      <x:c r="G176" s="21" t="str">
        <x:f>IF(C176="","",IFERROR(O76,"Unavailable"))</x:f>
      </x:c>
      <x:c r="H176" s="21" t="str">
        <x:f>IF(C176="","",IFERROR(P76,"Unavailable"))</x:f>
      </x:c>
      <x:c r="I176" s="21" t="str">
        <x:f>IF(C176="","",IFERROR(Q76,"Unavailable"))</x:f>
      </x:c>
      <x:c r="J176" s="23" t="str">
        <x:f>IF(C176="","",IFERROR(IF(OR(H176&gt;0,AND(AC176&gt;=0,AC176&lt;D176),D176&gt;INDEX('Facilities'!$J$9:$J$108,MATCH(C176,'Facilities'!$C$9:$C$108,0))),0,I176*'Scenario Paths'!G81),"Unavailable"))</x:f>
      </x:c>
      <x:c r="K176" s="23" t="str">
        <x:f>IF(C176="","",IFERROR(IF(OR(H176&gt;0,AND(AC176&gt;=0,AC176=D176)),0,IF(D176&gt;=INDEX('Facilities'!$J$9:$J$108,MATCH(C176,'Facilities'!$C$9:$C$108,0)),G176+J176,MIN(G176+J176,G176*INDEX('Facilities'!$R$9:$R$108,MATCH(C176,'Facilities'!$C$9:$C$108,0))))),"Unavailable"))</x:f>
      </x:c>
      <x:c r="L176" s="21" t="str">
        <x:f>IF(C176="","",IFERROR(IF(AND(AC176=D176,AC176&gt;0),MAX(0,G176+J176-K176),0),"Unavailable"))</x:f>
      </x:c>
      <x:c r="M176" s="23" t="str">
        <x:f>IF(C176="","",IFERROR(IF(AND(AC176&gt;=0,D176&gt;=AC176+INDEX('Facilities'!$AK$9:$AK$108,MATCH(C176,'Facilities'!$C$9:$C$108,0))),(H176+L176)*AM176,0),"Unavailable"))</x:f>
      </x:c>
      <x:c r="N176" s="23" t="str">
        <x:f>IF(C176="","",IFERROR(IF(AND(AC176&gt;=0,D176&gt;=AC176+INDEX('Facilities'!$AK$9:$AK$108,MATCH(C176,'Facilities'!$C$9:$C$108,0))),H176+L176-M176,0),"Unavailable"))</x:f>
      </x:c>
      <x:c r="O176" s="21" t="str">
        <x:f>IF(C176="","",IFERROR(MAX(0,G176+J176-K176-L176),"Unavailable"))</x:f>
      </x:c>
      <x:c r="P176" s="21" t="str">
        <x:f>IF(C176="","",IFERROR(MAX(0,H176+L176-M176-N176),"Unavailable"))</x:f>
      </x:c>
      <x:c r="Q176" s="23" t="str">
        <x:f>IF(C176="","",IFERROR(IF(OR(D176&gt;=INDEX('Facilities'!$J$9:$J$108,MATCH(C176,'Facilities'!$C$9:$C$108,0)),AND(AC176&gt;=0,AC176&lt;=D176)),0,MAX(0,I176-J176)),"Unavailable"))</x:f>
      </x:c>
      <x:c r="R176" s="30" t="str">
        <x:f>IF(C176="","",IFERROR(INDEX(Credit!$Q$109:$Q$208,MATCH(F176,Credit!$C$109:$C$208,0)),"Unavailable"))</x:f>
      </x:c>
      <x:c r="S176" s="30" t="str">
        <x:f>IF(C176="","",IFERROR(INDEX(Credit!$R$109:$R$208,MATCH(F176,Credit!$C$109:$C$208,0)),"Unavailable"))</x:f>
      </x:c>
      <x:c r="T176" s="23" t="str">
        <x:f>IF(C176="","",IFERROR(IF(P176&gt;0,3,IF(OR(INDEX('Facilities'!$AD$9:$AD$108,MATCH(C176,'Facilities'!$C$9:$C$108,0))=2,AND(R176&gt;=INDEX('Facilities'!$L$9:$L$108,MATCH(C176,'Facilities'!$C$9:$C$108,0))*Settings!$F$19,R176-INDEX('Facilities'!$L$9:$L$108,MATCH(C176,'Facilities'!$C$9:$C$108,0))&gt;=Settings!$F$20)),2,1)),"Unavailable"))</x:f>
      </x:c>
      <x:c r="U176" s="23" t="str">
        <x:f>IF(C176="","",IF(AQ176&lt;&gt;"Ready","Unavailable",IF(C176="","",O176*(1-(1-S176)/(1+INDEX('Facilities'!$K$9:$K$108,MATCH(C176,'Facilities'!$C$9:$C$108,0)))^INDEX('Facilities'!$AK$9:$AK$108,MATCH(C176,'Facilities'!$C$9:$C$108,0)))*R176/(1+INDEX('Facilities'!$K$9:$K$108,MATCH(C176,'Facilities'!$C$9:$C$108,0)))*IF(ABS(1-(1-R176)*(1-INDEX('Facilities'!$R$9:$R$108,MATCH(C176,'Facilities'!$C$9:$C$108,0)))/(1+INDEX('Facilities'!$K$9:$K$108,MATCH(C176,'Facilities'!$C$9:$C$108,0))))&lt;0.000000001,IF(T176=1,MIN(1,AJ176),AJ176),(1-((1-R176)*(1-INDEX('Facilities'!$R$9:$R$108,MATCH(C176,'Facilities'!$C$9:$C$108,0)))/(1+INDEX('Facilities'!$K$9:$K$108,MATCH(C176,'Facilities'!$C$9:$C$108,0))))^IF(T176=1,MIN(1,AJ176),AJ176))/(1-(1-R176)*(1-INDEX('Facilities'!$R$9:$R$108,MATCH(C176,'Facilities'!$C$9:$C$108,0)))/(1+INDEX('Facilities'!$K$9:$K$108,MATCH(C176,'Facilities'!$C$9:$C$108,0)))))+AL176)))</x:f>
      </x:c>
      <x:c r="V176" s="23" t="str">
        <x:f>IF(C176="","",IF(AQ176&lt;&gt;"Ready","Unavailable",IF(C176="","",Q176*INDEX('Facilities'!$I$9:$I$108,MATCH(C176,'Facilities'!$C$9:$C$108,0))*(1-(1-S176)/(1+INDEX('Facilities'!$K$9:$K$108,MATCH(C176,'Facilities'!$C$9:$C$108,0)))^INDEX('Facilities'!$AK$9:$AK$108,MATCH(C176,'Facilities'!$C$9:$C$108,0)))*R176/(1+INDEX('Facilities'!$K$9:$K$108,MATCH(C176,'Facilities'!$C$9:$C$108,0)))*IF(ABS(1-(1-R176)*(1-0)/(1+INDEX('Facilities'!$K$9:$K$108,MATCH(C176,'Facilities'!$C$9:$C$108,0))))&lt;0.000000001,IF(T176=1,MIN(1,AJ176),AJ176),(1-((1-R176)*(1-0)/(1+INDEX('Facilities'!$K$9:$K$108,MATCH(C176,'Facilities'!$C$9:$C$108,0))))^IF(T176=1,MIN(1,AJ176),AJ176))/(1-(1-R176)*(1-0)/(1+INDEX('Facilities'!$K$9:$K$108,MATCH(C176,'Facilities'!$C$9:$C$108,0))))))))</x:f>
      </x:c>
      <x:c r="W176" s="21" t="str">
        <x:f>IF(C176="","",IFERROR(U76,"Unavailable"))</x:f>
      </x:c>
      <x:c r="X176" s="21" t="str">
        <x:f>IF(C176="","",IFERROR(V76,"Unavailable"))</x:f>
      </x:c>
      <x:c r="Y176" s="21" t="str">
        <x:f>IF(C176="","",IF(AQ176&lt;&gt;"Ready","Unavailable",IF(C176="","",U176-W176+V176-X176+N176+AG176)))</x:f>
      </x:c>
      <x:c r="Z176" s="23" t="str">
        <x:f>IF(C176="","",IF(AQ176&lt;&gt;"Ready","Unavailable",IF(C176="","",(G176+O176+L176)/2*INDEX('Facilities'!$T$9:$T$108,MATCH(C176,'Facilities'!$C$9:$C$108,0))+AG176)))</x:f>
      </x:c>
      <x:c r="AA176" s="23" t="str">
        <x:f>IF(C176="","",IF(AQ176&lt;&gt;"Ready","Unavailable",IF(C176="","",O176*(1-IF(INDEX('Facilities'!$AA$9:$AA$108,MATCH(C176,'Facilities'!$C$9:$C$108,0))=0,0,MIN(1,INDEX('Facilities'!$X$9:$X$108,MATCH(C176,'Facilities'!$C$9:$C$108,0))/INDEX('Facilities'!$AA$9:$AA$108,MATCH(C176,'Facilities'!$C$9:$C$108,0)))))*AF176+P176*(1-IF(INDEX('Facilities'!$AA$9:$AA$108,MATCH(C176,'Facilities'!$C$9:$C$108,0))=0,0,MIN(1,INDEX('Facilities'!$X$9:$X$108,MATCH(C176,'Facilities'!$C$9:$C$108,0))/INDEX('Facilities'!$AA$9:$AA$108,MATCH(C176,'Facilities'!$C$9:$C$108,0)))))*INDEX('Facilities'!$AJ$9:$AJ$108,MATCH(C176,'Facilities'!$C$9:$C$108,0))+Q176*INDEX('Facilities'!$AI$9:$AI$108,MATCH(C176,'Facilities'!$C$9:$C$108,0))*AF176)))</x:f>
      </x:c>
      <x:c r="AB176" s="21" t="str">
        <x:f>IF(C176="","",O176+P176-AD176)</x:f>
      </x:c>
      <x:c r="AC176" s="23" t="str">
        <x:f>IF(C176="","",IFERROR(IF(INDEX('Facilities'!$AD$9:$AD$108,MATCH(C176,'Facilities'!$C$9:$C$108,0))=3,0,IF(INDEX('Facilities'!$AN$9:$AN$108,MATCH(C176,'Facilities'!$C$9:$C$108,0))=0,-1,INDEX('Facilities'!$AN$9:$AN$108,MATCH(C176,'Facilities'!$C$9:$C$108,0)))),"Unavailable"))</x:f>
      </x:c>
      <x:c r="AD176" s="21" t="str">
        <x:f>IF(C176="","",IFERROR(G176+H176,"Unavailable"))</x:f>
      </x:c>
      <x:c r="AE176" s="21" t="str">
        <x:f>IF(C176="","",IF(AQ176&lt;&gt;"Ready","Unavailable",IF(C176="","",O176+P176-AD176-J176+K176+M176+N176)))</x:f>
      </x:c>
      <x:c r="AF176" s="30" t="str">
        <x:f>IF(C176="","",IFERROR(INDEX('Facilities'!$S$9:$S$108,MATCH(C176,'Facilities'!$C$9:$C$108,0))*'Scenario Paths'!G75,"Unavailable"))</x:f>
      </x:c>
      <x:c r="AG176" s="23" t="str">
        <x:f>IF(C176="","",IF(AQ176&lt;&gt;"Ready","Unavailable",IF(C176="","",IF(H176&gt;0,MAX(0,H176-AK176)*((1+INDEX('Facilities'!$K$9:$K$108,MATCH(C176,'Facilities'!$C$9:$C$108,0)))^MIN(1,MAX(0,AC176+INDEX('Facilities'!$AK$9:$AK$108,MATCH(C176,'Facilities'!$C$9:$C$108,0))-D176+1))-1),0))))</x:f>
      </x:c>
      <x:c r="AH176" s="21" t="str">
        <x:f>IF(C176="","",IF(AQ176&lt;&gt;"Ready","Unavailable",IF(C176="","",O176+P176)))</x:f>
      </x:c>
      <x:c r="AI176" s="21" t="str">
        <x:f>IF(C176="","",IF(AQ176&lt;&gt;"Ready","Unavailable",IF(C176="","",Z176-Y176)))</x:f>
      </x:c>
      <x:c r="AJ176" s="23" t="str">
        <x:f>IF(C176="","",IFERROR(MAX(0,INDEX('Facilities'!$J$9:$J$108,MATCH(C176,'Facilities'!$C$9:$C$108,0))-D176),"Unavailable"))</x:f>
      </x:c>
      <x:c r="AK176" s="21" t="str">
        <x:f>IF(C176="","",IFERROR(AL76,"Unavailable"))</x:f>
      </x:c>
      <x:c r="AL176" s="23" t="str">
        <x:f>IF(C176="","",IFERROR(IF(P176&gt;0,P176*(1-AM176/(1+INDEX('Facilities'!$K$9:$K$108,MATCH(C176,'Facilities'!$C$9:$C$108,0)))^MAX(0,AC176+INDEX('Facilities'!$AK$9:$AK$108,MATCH(C176,'Facilities'!$C$9:$C$108,0))-D176)),0),"Unavailable"))</x:f>
      </x:c>
      <x:c r="AM176" s="30" t="str">
        <x:f>IF(C176="","",IFERROR(INDEX('Facilities'!$AL$9:$AL$108,MATCH(C176,'Facilities'!$C$9:$C$108,0)),"Unavailable"))</x:f>
      </x:c>
      <x:c r="AN176" s="30" t="str">
        <x:f>IF(C176="","",IFERROR(INDEX(Credit!$T$109:$T$208,MATCH(F176,Credit!$C$109:$C$208,0)),"Unavailable"))</x:f>
      </x:c>
      <x:c r="AO176" s="23" t="str">
        <x:f>IF(C176="","",IF(AQ176&lt;&gt;"Ready","Unavailable",IF(C176="","",O176+P176+Q176*INDEX('Facilities'!$I$9:$I$108,MATCH(C176,'Facilities'!$C$9:$C$108,0)))))</x:f>
      </x:c>
      <x:c r="AP176" s="21" t="str">
        <x:f>IF(C176="","",IF(AQ176&lt;&gt;"Ready","Unavailable",IF(C176="","",AH176-U176)))</x:f>
      </x:c>
      <x:c r="AQ176" s="23" t="str">
        <x:f>IFERROR(IF(C176="","",IF(AND(INDEX('Facilities'!$AF$9:$AF$108,MATCH(C176,'Facilities'!$C$9:$C$108,0))="Ready",INDEX(Credit!$U$109:$U$208,MATCH(F176,Credit!$C$109:$C$208,0))="Ready",ISNUMBER(W176)),"Ready","Review inputs")),"Review inputs")</x:f>
      </x:c>
      <x:c r="AR176" s="23" t="str">
        <x:f>IF(C176="","",IF(AQ176&lt;&gt;"Ready","Unavailable",IF(C176="","",IF(O176=0,0,(IF(AJ176&lt;=1,O176,O176*INDEX('Facilities'!$R$9:$R$108,MATCH(C176,'Facilities'!$C$9:$C$108,0)))+O176*INDEX('Facilities'!$T$9:$T$108,MATCH(C176,'Facilities'!$C$9:$C$108,0)))/12))))</x:f>
      </x:c>
    </x:row>
    <x:row r="177" ht="26" customHeight="1">
      <x:c r="A177" s="1"/>
      <x:c r="B177" s="1"/>
      <x:c r="C177" s="9" t="str">
        <x:f>IF(Facilities!C77="","",Facilities!C77)</x:f>
      </x:c>
      <x:c r="D177" s="3" t="n">
        <x:v>2</x:v>
      </x:c>
      <x:c r="E177" s="9" t="n">
        <x:f>Settings!$F$18+1</x:f>
        <x:v>2028</x:v>
      </x:c>
      <x:c r="F177" s="9" t="str">
        <x:f>IF(C177="","",IFERROR(INDEX('Facilities'!$D$9:$D$108,MATCH(C177,'Facilities'!$C$9:$C$108,0)),"Unavailable"))</x:f>
      </x:c>
      <x:c r="G177" s="21" t="str">
        <x:f>IF(C177="","",IFERROR(O77,"Unavailable"))</x:f>
      </x:c>
      <x:c r="H177" s="21" t="str">
        <x:f>IF(C177="","",IFERROR(P77,"Unavailable"))</x:f>
      </x:c>
      <x:c r="I177" s="21" t="str">
        <x:f>IF(C177="","",IFERROR(Q77,"Unavailable"))</x:f>
      </x:c>
      <x:c r="J177" s="23" t="str">
        <x:f>IF(C177="","",IFERROR(IF(OR(H177&gt;0,AND(AC177&gt;=0,AC177&lt;D177),D177&gt;INDEX('Facilities'!$J$9:$J$108,MATCH(C177,'Facilities'!$C$9:$C$108,0))),0,I177*'Scenario Paths'!G81),"Unavailable"))</x:f>
      </x:c>
      <x:c r="K177" s="23" t="str">
        <x:f>IF(C177="","",IFERROR(IF(OR(H177&gt;0,AND(AC177&gt;=0,AC177=D177)),0,IF(D177&gt;=INDEX('Facilities'!$J$9:$J$108,MATCH(C177,'Facilities'!$C$9:$C$108,0)),G177+J177,MIN(G177+J177,G177*INDEX('Facilities'!$R$9:$R$108,MATCH(C177,'Facilities'!$C$9:$C$108,0))))),"Unavailable"))</x:f>
      </x:c>
      <x:c r="L177" s="21" t="str">
        <x:f>IF(C177="","",IFERROR(IF(AND(AC177=D177,AC177&gt;0),MAX(0,G177+J177-K177),0),"Unavailable"))</x:f>
      </x:c>
      <x:c r="M177" s="23" t="str">
        <x:f>IF(C177="","",IFERROR(IF(AND(AC177&gt;=0,D177&gt;=AC177+INDEX('Facilities'!$AK$9:$AK$108,MATCH(C177,'Facilities'!$C$9:$C$108,0))),(H177+L177)*AM177,0),"Unavailable"))</x:f>
      </x:c>
      <x:c r="N177" s="23" t="str">
        <x:f>IF(C177="","",IFERROR(IF(AND(AC177&gt;=0,D177&gt;=AC177+INDEX('Facilities'!$AK$9:$AK$108,MATCH(C177,'Facilities'!$C$9:$C$108,0))),H177+L177-M177,0),"Unavailable"))</x:f>
      </x:c>
      <x:c r="O177" s="21" t="str">
        <x:f>IF(C177="","",IFERROR(MAX(0,G177+J177-K177-L177),"Unavailable"))</x:f>
      </x:c>
      <x:c r="P177" s="21" t="str">
        <x:f>IF(C177="","",IFERROR(MAX(0,H177+L177-M177-N177),"Unavailable"))</x:f>
      </x:c>
      <x:c r="Q177" s="23" t="str">
        <x:f>IF(C177="","",IFERROR(IF(OR(D177&gt;=INDEX('Facilities'!$J$9:$J$108,MATCH(C177,'Facilities'!$C$9:$C$108,0)),AND(AC177&gt;=0,AC177&lt;=D177)),0,MAX(0,I177-J177)),"Unavailable"))</x:f>
      </x:c>
      <x:c r="R177" s="30" t="str">
        <x:f>IF(C177="","",IFERROR(INDEX(Credit!$Q$109:$Q$208,MATCH(F177,Credit!$C$109:$C$208,0)),"Unavailable"))</x:f>
      </x:c>
      <x:c r="S177" s="30" t="str">
        <x:f>IF(C177="","",IFERROR(INDEX(Credit!$R$109:$R$208,MATCH(F177,Credit!$C$109:$C$208,0)),"Unavailable"))</x:f>
      </x:c>
      <x:c r="T177" s="23" t="str">
        <x:f>IF(C177="","",IFERROR(IF(P177&gt;0,3,IF(OR(INDEX('Facilities'!$AD$9:$AD$108,MATCH(C177,'Facilities'!$C$9:$C$108,0))=2,AND(R177&gt;=INDEX('Facilities'!$L$9:$L$108,MATCH(C177,'Facilities'!$C$9:$C$108,0))*Settings!$F$19,R177-INDEX('Facilities'!$L$9:$L$108,MATCH(C177,'Facilities'!$C$9:$C$108,0))&gt;=Settings!$F$20)),2,1)),"Unavailable"))</x:f>
      </x:c>
      <x:c r="U177" s="23" t="str">
        <x:f>IF(C177="","",IF(AQ177&lt;&gt;"Ready","Unavailable",IF(C177="","",O177*(1-(1-S177)/(1+INDEX('Facilities'!$K$9:$K$108,MATCH(C177,'Facilities'!$C$9:$C$108,0)))^INDEX('Facilities'!$AK$9:$AK$108,MATCH(C177,'Facilities'!$C$9:$C$108,0)))*R177/(1+INDEX('Facilities'!$K$9:$K$108,MATCH(C177,'Facilities'!$C$9:$C$108,0)))*IF(ABS(1-(1-R177)*(1-INDEX('Facilities'!$R$9:$R$108,MATCH(C177,'Facilities'!$C$9:$C$108,0)))/(1+INDEX('Facilities'!$K$9:$K$108,MATCH(C177,'Facilities'!$C$9:$C$108,0))))&lt;0.000000001,IF(T177=1,MIN(1,AJ177),AJ177),(1-((1-R177)*(1-INDEX('Facilities'!$R$9:$R$108,MATCH(C177,'Facilities'!$C$9:$C$108,0)))/(1+INDEX('Facilities'!$K$9:$K$108,MATCH(C177,'Facilities'!$C$9:$C$108,0))))^IF(T177=1,MIN(1,AJ177),AJ177))/(1-(1-R177)*(1-INDEX('Facilities'!$R$9:$R$108,MATCH(C177,'Facilities'!$C$9:$C$108,0)))/(1+INDEX('Facilities'!$K$9:$K$108,MATCH(C177,'Facilities'!$C$9:$C$108,0)))))+AL177)))</x:f>
      </x:c>
      <x:c r="V177" s="23" t="str">
        <x:f>IF(C177="","",IF(AQ177&lt;&gt;"Ready","Unavailable",IF(C177="","",Q177*INDEX('Facilities'!$I$9:$I$108,MATCH(C177,'Facilities'!$C$9:$C$108,0))*(1-(1-S177)/(1+INDEX('Facilities'!$K$9:$K$108,MATCH(C177,'Facilities'!$C$9:$C$108,0)))^INDEX('Facilities'!$AK$9:$AK$108,MATCH(C177,'Facilities'!$C$9:$C$108,0)))*R177/(1+INDEX('Facilities'!$K$9:$K$108,MATCH(C177,'Facilities'!$C$9:$C$108,0)))*IF(ABS(1-(1-R177)*(1-0)/(1+INDEX('Facilities'!$K$9:$K$108,MATCH(C177,'Facilities'!$C$9:$C$108,0))))&lt;0.000000001,IF(T177=1,MIN(1,AJ177),AJ177),(1-((1-R177)*(1-0)/(1+INDEX('Facilities'!$K$9:$K$108,MATCH(C177,'Facilities'!$C$9:$C$108,0))))^IF(T177=1,MIN(1,AJ177),AJ177))/(1-(1-R177)*(1-0)/(1+INDEX('Facilities'!$K$9:$K$108,MATCH(C177,'Facilities'!$C$9:$C$108,0))))))))</x:f>
      </x:c>
      <x:c r="W177" s="21" t="str">
        <x:f>IF(C177="","",IFERROR(U77,"Unavailable"))</x:f>
      </x:c>
      <x:c r="X177" s="21" t="str">
        <x:f>IF(C177="","",IFERROR(V77,"Unavailable"))</x:f>
      </x:c>
      <x:c r="Y177" s="21" t="str">
        <x:f>IF(C177="","",IF(AQ177&lt;&gt;"Ready","Unavailable",IF(C177="","",U177-W177+V177-X177+N177+AG177)))</x:f>
      </x:c>
      <x:c r="Z177" s="23" t="str">
        <x:f>IF(C177="","",IF(AQ177&lt;&gt;"Ready","Unavailable",IF(C177="","",(G177+O177+L177)/2*INDEX('Facilities'!$T$9:$T$108,MATCH(C177,'Facilities'!$C$9:$C$108,0))+AG177)))</x:f>
      </x:c>
      <x:c r="AA177" s="23" t="str">
        <x:f>IF(C177="","",IF(AQ177&lt;&gt;"Ready","Unavailable",IF(C177="","",O177*(1-IF(INDEX('Facilities'!$AA$9:$AA$108,MATCH(C177,'Facilities'!$C$9:$C$108,0))=0,0,MIN(1,INDEX('Facilities'!$X$9:$X$108,MATCH(C177,'Facilities'!$C$9:$C$108,0))/INDEX('Facilities'!$AA$9:$AA$108,MATCH(C177,'Facilities'!$C$9:$C$108,0)))))*AF177+P177*(1-IF(INDEX('Facilities'!$AA$9:$AA$108,MATCH(C177,'Facilities'!$C$9:$C$108,0))=0,0,MIN(1,INDEX('Facilities'!$X$9:$X$108,MATCH(C177,'Facilities'!$C$9:$C$108,0))/INDEX('Facilities'!$AA$9:$AA$108,MATCH(C177,'Facilities'!$C$9:$C$108,0)))))*INDEX('Facilities'!$AJ$9:$AJ$108,MATCH(C177,'Facilities'!$C$9:$C$108,0))+Q177*INDEX('Facilities'!$AI$9:$AI$108,MATCH(C177,'Facilities'!$C$9:$C$108,0))*AF177)))</x:f>
      </x:c>
      <x:c r="AB177" s="21" t="str">
        <x:f>IF(C177="","",O177+P177-AD177)</x:f>
      </x:c>
      <x:c r="AC177" s="23" t="str">
        <x:f>IF(C177="","",IFERROR(IF(INDEX('Facilities'!$AD$9:$AD$108,MATCH(C177,'Facilities'!$C$9:$C$108,0))=3,0,IF(INDEX('Facilities'!$AN$9:$AN$108,MATCH(C177,'Facilities'!$C$9:$C$108,0))=0,-1,INDEX('Facilities'!$AN$9:$AN$108,MATCH(C177,'Facilities'!$C$9:$C$108,0)))),"Unavailable"))</x:f>
      </x:c>
      <x:c r="AD177" s="21" t="str">
        <x:f>IF(C177="","",IFERROR(G177+H177,"Unavailable"))</x:f>
      </x:c>
      <x:c r="AE177" s="21" t="str">
        <x:f>IF(C177="","",IF(AQ177&lt;&gt;"Ready","Unavailable",IF(C177="","",O177+P177-AD177-J177+K177+M177+N177)))</x:f>
      </x:c>
      <x:c r="AF177" s="30" t="str">
        <x:f>IF(C177="","",IFERROR(INDEX('Facilities'!$S$9:$S$108,MATCH(C177,'Facilities'!$C$9:$C$108,0))*'Scenario Paths'!G75,"Unavailable"))</x:f>
      </x:c>
      <x:c r="AG177" s="23" t="str">
        <x:f>IF(C177="","",IF(AQ177&lt;&gt;"Ready","Unavailable",IF(C177="","",IF(H177&gt;0,MAX(0,H177-AK177)*((1+INDEX('Facilities'!$K$9:$K$108,MATCH(C177,'Facilities'!$C$9:$C$108,0)))^MIN(1,MAX(0,AC177+INDEX('Facilities'!$AK$9:$AK$108,MATCH(C177,'Facilities'!$C$9:$C$108,0))-D177+1))-1),0))))</x:f>
      </x:c>
      <x:c r="AH177" s="21" t="str">
        <x:f>IF(C177="","",IF(AQ177&lt;&gt;"Ready","Unavailable",IF(C177="","",O177+P177)))</x:f>
      </x:c>
      <x:c r="AI177" s="21" t="str">
        <x:f>IF(C177="","",IF(AQ177&lt;&gt;"Ready","Unavailable",IF(C177="","",Z177-Y177)))</x:f>
      </x:c>
      <x:c r="AJ177" s="23" t="str">
        <x:f>IF(C177="","",IFERROR(MAX(0,INDEX('Facilities'!$J$9:$J$108,MATCH(C177,'Facilities'!$C$9:$C$108,0))-D177),"Unavailable"))</x:f>
      </x:c>
      <x:c r="AK177" s="21" t="str">
        <x:f>IF(C177="","",IFERROR(AL77,"Unavailable"))</x:f>
      </x:c>
      <x:c r="AL177" s="23" t="str">
        <x:f>IF(C177="","",IFERROR(IF(P177&gt;0,P177*(1-AM177/(1+INDEX('Facilities'!$K$9:$K$108,MATCH(C177,'Facilities'!$C$9:$C$108,0)))^MAX(0,AC177+INDEX('Facilities'!$AK$9:$AK$108,MATCH(C177,'Facilities'!$C$9:$C$108,0))-D177)),0),"Unavailable"))</x:f>
      </x:c>
      <x:c r="AM177" s="30" t="str">
        <x:f>IF(C177="","",IFERROR(INDEX('Facilities'!$AL$9:$AL$108,MATCH(C177,'Facilities'!$C$9:$C$108,0)),"Unavailable"))</x:f>
      </x:c>
      <x:c r="AN177" s="30" t="str">
        <x:f>IF(C177="","",IFERROR(INDEX(Credit!$T$109:$T$208,MATCH(F177,Credit!$C$109:$C$208,0)),"Unavailable"))</x:f>
      </x:c>
      <x:c r="AO177" s="23" t="str">
        <x:f>IF(C177="","",IF(AQ177&lt;&gt;"Ready","Unavailable",IF(C177="","",O177+P177+Q177*INDEX('Facilities'!$I$9:$I$108,MATCH(C177,'Facilities'!$C$9:$C$108,0)))))</x:f>
      </x:c>
      <x:c r="AP177" s="21" t="str">
        <x:f>IF(C177="","",IF(AQ177&lt;&gt;"Ready","Unavailable",IF(C177="","",AH177-U177)))</x:f>
      </x:c>
      <x:c r="AQ177" s="23" t="str">
        <x:f>IFERROR(IF(C177="","",IF(AND(INDEX('Facilities'!$AF$9:$AF$108,MATCH(C177,'Facilities'!$C$9:$C$108,0))="Ready",INDEX(Credit!$U$109:$U$208,MATCH(F177,Credit!$C$109:$C$208,0))="Ready",ISNUMBER(W177)),"Ready","Review inputs")),"Review inputs")</x:f>
      </x:c>
      <x:c r="AR177" s="23" t="str">
        <x:f>IF(C177="","",IF(AQ177&lt;&gt;"Ready","Unavailable",IF(C177="","",IF(O177=0,0,(IF(AJ177&lt;=1,O177,O177*INDEX('Facilities'!$R$9:$R$108,MATCH(C177,'Facilities'!$C$9:$C$108,0)))+O177*INDEX('Facilities'!$T$9:$T$108,MATCH(C177,'Facilities'!$C$9:$C$108,0)))/12))))</x:f>
      </x:c>
    </x:row>
    <x:row r="178" ht="26" customHeight="1">
      <x:c r="A178" s="1"/>
      <x:c r="B178" s="1"/>
      <x:c r="C178" s="9" t="str">
        <x:f>IF(Facilities!C78="","",Facilities!C78)</x:f>
      </x:c>
      <x:c r="D178" s="3" t="n">
        <x:v>2</x:v>
      </x:c>
      <x:c r="E178" s="9" t="n">
        <x:f>Settings!$F$18+1</x:f>
        <x:v>2028</x:v>
      </x:c>
      <x:c r="F178" s="9" t="str">
        <x:f>IF(C178="","",IFERROR(INDEX('Facilities'!$D$9:$D$108,MATCH(C178,'Facilities'!$C$9:$C$108,0)),"Unavailable"))</x:f>
      </x:c>
      <x:c r="G178" s="21" t="str">
        <x:f>IF(C178="","",IFERROR(O78,"Unavailable"))</x:f>
      </x:c>
      <x:c r="H178" s="21" t="str">
        <x:f>IF(C178="","",IFERROR(P78,"Unavailable"))</x:f>
      </x:c>
      <x:c r="I178" s="21" t="str">
        <x:f>IF(C178="","",IFERROR(Q78,"Unavailable"))</x:f>
      </x:c>
      <x:c r="J178" s="23" t="str">
        <x:f>IF(C178="","",IFERROR(IF(OR(H178&gt;0,AND(AC178&gt;=0,AC178&lt;D178),D178&gt;INDEX('Facilities'!$J$9:$J$108,MATCH(C178,'Facilities'!$C$9:$C$108,0))),0,I178*'Scenario Paths'!G81),"Unavailable"))</x:f>
      </x:c>
      <x:c r="K178" s="23" t="str">
        <x:f>IF(C178="","",IFERROR(IF(OR(H178&gt;0,AND(AC178&gt;=0,AC178=D178)),0,IF(D178&gt;=INDEX('Facilities'!$J$9:$J$108,MATCH(C178,'Facilities'!$C$9:$C$108,0)),G178+J178,MIN(G178+J178,G178*INDEX('Facilities'!$R$9:$R$108,MATCH(C178,'Facilities'!$C$9:$C$108,0))))),"Unavailable"))</x:f>
      </x:c>
      <x:c r="L178" s="21" t="str">
        <x:f>IF(C178="","",IFERROR(IF(AND(AC178=D178,AC178&gt;0),MAX(0,G178+J178-K178),0),"Unavailable"))</x:f>
      </x:c>
      <x:c r="M178" s="23" t="str">
        <x:f>IF(C178="","",IFERROR(IF(AND(AC178&gt;=0,D178&gt;=AC178+INDEX('Facilities'!$AK$9:$AK$108,MATCH(C178,'Facilities'!$C$9:$C$108,0))),(H178+L178)*AM178,0),"Unavailable"))</x:f>
      </x:c>
      <x:c r="N178" s="23" t="str">
        <x:f>IF(C178="","",IFERROR(IF(AND(AC178&gt;=0,D178&gt;=AC178+INDEX('Facilities'!$AK$9:$AK$108,MATCH(C178,'Facilities'!$C$9:$C$108,0))),H178+L178-M178,0),"Unavailable"))</x:f>
      </x:c>
      <x:c r="O178" s="21" t="str">
        <x:f>IF(C178="","",IFERROR(MAX(0,G178+J178-K178-L178),"Unavailable"))</x:f>
      </x:c>
      <x:c r="P178" s="21" t="str">
        <x:f>IF(C178="","",IFERROR(MAX(0,H178+L178-M178-N178),"Unavailable"))</x:f>
      </x:c>
      <x:c r="Q178" s="23" t="str">
        <x:f>IF(C178="","",IFERROR(IF(OR(D178&gt;=INDEX('Facilities'!$J$9:$J$108,MATCH(C178,'Facilities'!$C$9:$C$108,0)),AND(AC178&gt;=0,AC178&lt;=D178)),0,MAX(0,I178-J178)),"Unavailable"))</x:f>
      </x:c>
      <x:c r="R178" s="30" t="str">
        <x:f>IF(C178="","",IFERROR(INDEX(Credit!$Q$109:$Q$208,MATCH(F178,Credit!$C$109:$C$208,0)),"Unavailable"))</x:f>
      </x:c>
      <x:c r="S178" s="30" t="str">
        <x:f>IF(C178="","",IFERROR(INDEX(Credit!$R$109:$R$208,MATCH(F178,Credit!$C$109:$C$208,0)),"Unavailable"))</x:f>
      </x:c>
      <x:c r="T178" s="23" t="str">
        <x:f>IF(C178="","",IFERROR(IF(P178&gt;0,3,IF(OR(INDEX('Facilities'!$AD$9:$AD$108,MATCH(C178,'Facilities'!$C$9:$C$108,0))=2,AND(R178&gt;=INDEX('Facilities'!$L$9:$L$108,MATCH(C178,'Facilities'!$C$9:$C$108,0))*Settings!$F$19,R178-INDEX('Facilities'!$L$9:$L$108,MATCH(C178,'Facilities'!$C$9:$C$108,0))&gt;=Settings!$F$20)),2,1)),"Unavailable"))</x:f>
      </x:c>
      <x:c r="U178" s="23" t="str">
        <x:f>IF(C178="","",IF(AQ178&lt;&gt;"Ready","Unavailable",IF(C178="","",O178*(1-(1-S178)/(1+INDEX('Facilities'!$K$9:$K$108,MATCH(C178,'Facilities'!$C$9:$C$108,0)))^INDEX('Facilities'!$AK$9:$AK$108,MATCH(C178,'Facilities'!$C$9:$C$108,0)))*R178/(1+INDEX('Facilities'!$K$9:$K$108,MATCH(C178,'Facilities'!$C$9:$C$108,0)))*IF(ABS(1-(1-R178)*(1-INDEX('Facilities'!$R$9:$R$108,MATCH(C178,'Facilities'!$C$9:$C$108,0)))/(1+INDEX('Facilities'!$K$9:$K$108,MATCH(C178,'Facilities'!$C$9:$C$108,0))))&lt;0.000000001,IF(T178=1,MIN(1,AJ178),AJ178),(1-((1-R178)*(1-INDEX('Facilities'!$R$9:$R$108,MATCH(C178,'Facilities'!$C$9:$C$108,0)))/(1+INDEX('Facilities'!$K$9:$K$108,MATCH(C178,'Facilities'!$C$9:$C$108,0))))^IF(T178=1,MIN(1,AJ178),AJ178))/(1-(1-R178)*(1-INDEX('Facilities'!$R$9:$R$108,MATCH(C178,'Facilities'!$C$9:$C$108,0)))/(1+INDEX('Facilities'!$K$9:$K$108,MATCH(C178,'Facilities'!$C$9:$C$108,0)))))+AL178)))</x:f>
      </x:c>
      <x:c r="V178" s="23" t="str">
        <x:f>IF(C178="","",IF(AQ178&lt;&gt;"Ready","Unavailable",IF(C178="","",Q178*INDEX('Facilities'!$I$9:$I$108,MATCH(C178,'Facilities'!$C$9:$C$108,0))*(1-(1-S178)/(1+INDEX('Facilities'!$K$9:$K$108,MATCH(C178,'Facilities'!$C$9:$C$108,0)))^INDEX('Facilities'!$AK$9:$AK$108,MATCH(C178,'Facilities'!$C$9:$C$108,0)))*R178/(1+INDEX('Facilities'!$K$9:$K$108,MATCH(C178,'Facilities'!$C$9:$C$108,0)))*IF(ABS(1-(1-R178)*(1-0)/(1+INDEX('Facilities'!$K$9:$K$108,MATCH(C178,'Facilities'!$C$9:$C$108,0))))&lt;0.000000001,IF(T178=1,MIN(1,AJ178),AJ178),(1-((1-R178)*(1-0)/(1+INDEX('Facilities'!$K$9:$K$108,MATCH(C178,'Facilities'!$C$9:$C$108,0))))^IF(T178=1,MIN(1,AJ178),AJ178))/(1-(1-R178)*(1-0)/(1+INDEX('Facilities'!$K$9:$K$108,MATCH(C178,'Facilities'!$C$9:$C$108,0))))))))</x:f>
      </x:c>
      <x:c r="W178" s="21" t="str">
        <x:f>IF(C178="","",IFERROR(U78,"Unavailable"))</x:f>
      </x:c>
      <x:c r="X178" s="21" t="str">
        <x:f>IF(C178="","",IFERROR(V78,"Unavailable"))</x:f>
      </x:c>
      <x:c r="Y178" s="21" t="str">
        <x:f>IF(C178="","",IF(AQ178&lt;&gt;"Ready","Unavailable",IF(C178="","",U178-W178+V178-X178+N178+AG178)))</x:f>
      </x:c>
      <x:c r="Z178" s="23" t="str">
        <x:f>IF(C178="","",IF(AQ178&lt;&gt;"Ready","Unavailable",IF(C178="","",(G178+O178+L178)/2*INDEX('Facilities'!$T$9:$T$108,MATCH(C178,'Facilities'!$C$9:$C$108,0))+AG178)))</x:f>
      </x:c>
      <x:c r="AA178" s="23" t="str">
        <x:f>IF(C178="","",IF(AQ178&lt;&gt;"Ready","Unavailable",IF(C178="","",O178*(1-IF(INDEX('Facilities'!$AA$9:$AA$108,MATCH(C178,'Facilities'!$C$9:$C$108,0))=0,0,MIN(1,INDEX('Facilities'!$X$9:$X$108,MATCH(C178,'Facilities'!$C$9:$C$108,0))/INDEX('Facilities'!$AA$9:$AA$108,MATCH(C178,'Facilities'!$C$9:$C$108,0)))))*AF178+P178*(1-IF(INDEX('Facilities'!$AA$9:$AA$108,MATCH(C178,'Facilities'!$C$9:$C$108,0))=0,0,MIN(1,INDEX('Facilities'!$X$9:$X$108,MATCH(C178,'Facilities'!$C$9:$C$108,0))/INDEX('Facilities'!$AA$9:$AA$108,MATCH(C178,'Facilities'!$C$9:$C$108,0)))))*INDEX('Facilities'!$AJ$9:$AJ$108,MATCH(C178,'Facilities'!$C$9:$C$108,0))+Q178*INDEX('Facilities'!$AI$9:$AI$108,MATCH(C178,'Facilities'!$C$9:$C$108,0))*AF178)))</x:f>
      </x:c>
      <x:c r="AB178" s="21" t="str">
        <x:f>IF(C178="","",O178+P178-AD178)</x:f>
      </x:c>
      <x:c r="AC178" s="23" t="str">
        <x:f>IF(C178="","",IFERROR(IF(INDEX('Facilities'!$AD$9:$AD$108,MATCH(C178,'Facilities'!$C$9:$C$108,0))=3,0,IF(INDEX('Facilities'!$AN$9:$AN$108,MATCH(C178,'Facilities'!$C$9:$C$108,0))=0,-1,INDEX('Facilities'!$AN$9:$AN$108,MATCH(C178,'Facilities'!$C$9:$C$108,0)))),"Unavailable"))</x:f>
      </x:c>
      <x:c r="AD178" s="21" t="str">
        <x:f>IF(C178="","",IFERROR(G178+H178,"Unavailable"))</x:f>
      </x:c>
      <x:c r="AE178" s="21" t="str">
        <x:f>IF(C178="","",IF(AQ178&lt;&gt;"Ready","Unavailable",IF(C178="","",O178+P178-AD178-J178+K178+M178+N178)))</x:f>
      </x:c>
      <x:c r="AF178" s="30" t="str">
        <x:f>IF(C178="","",IFERROR(INDEX('Facilities'!$S$9:$S$108,MATCH(C178,'Facilities'!$C$9:$C$108,0))*'Scenario Paths'!G75,"Unavailable"))</x:f>
      </x:c>
      <x:c r="AG178" s="23" t="str">
        <x:f>IF(C178="","",IF(AQ178&lt;&gt;"Ready","Unavailable",IF(C178="","",IF(H178&gt;0,MAX(0,H178-AK178)*((1+INDEX('Facilities'!$K$9:$K$108,MATCH(C178,'Facilities'!$C$9:$C$108,0)))^MIN(1,MAX(0,AC178+INDEX('Facilities'!$AK$9:$AK$108,MATCH(C178,'Facilities'!$C$9:$C$108,0))-D178+1))-1),0))))</x:f>
      </x:c>
      <x:c r="AH178" s="21" t="str">
        <x:f>IF(C178="","",IF(AQ178&lt;&gt;"Ready","Unavailable",IF(C178="","",O178+P178)))</x:f>
      </x:c>
      <x:c r="AI178" s="21" t="str">
        <x:f>IF(C178="","",IF(AQ178&lt;&gt;"Ready","Unavailable",IF(C178="","",Z178-Y178)))</x:f>
      </x:c>
      <x:c r="AJ178" s="23" t="str">
        <x:f>IF(C178="","",IFERROR(MAX(0,INDEX('Facilities'!$J$9:$J$108,MATCH(C178,'Facilities'!$C$9:$C$108,0))-D178),"Unavailable"))</x:f>
      </x:c>
      <x:c r="AK178" s="21" t="str">
        <x:f>IF(C178="","",IFERROR(AL78,"Unavailable"))</x:f>
      </x:c>
      <x:c r="AL178" s="23" t="str">
        <x:f>IF(C178="","",IFERROR(IF(P178&gt;0,P178*(1-AM178/(1+INDEX('Facilities'!$K$9:$K$108,MATCH(C178,'Facilities'!$C$9:$C$108,0)))^MAX(0,AC178+INDEX('Facilities'!$AK$9:$AK$108,MATCH(C178,'Facilities'!$C$9:$C$108,0))-D178)),0),"Unavailable"))</x:f>
      </x:c>
      <x:c r="AM178" s="30" t="str">
        <x:f>IF(C178="","",IFERROR(INDEX('Facilities'!$AL$9:$AL$108,MATCH(C178,'Facilities'!$C$9:$C$108,0)),"Unavailable"))</x:f>
      </x:c>
      <x:c r="AN178" s="30" t="str">
        <x:f>IF(C178="","",IFERROR(INDEX(Credit!$T$109:$T$208,MATCH(F178,Credit!$C$109:$C$208,0)),"Unavailable"))</x:f>
      </x:c>
      <x:c r="AO178" s="23" t="str">
        <x:f>IF(C178="","",IF(AQ178&lt;&gt;"Ready","Unavailable",IF(C178="","",O178+P178+Q178*INDEX('Facilities'!$I$9:$I$108,MATCH(C178,'Facilities'!$C$9:$C$108,0)))))</x:f>
      </x:c>
      <x:c r="AP178" s="21" t="str">
        <x:f>IF(C178="","",IF(AQ178&lt;&gt;"Ready","Unavailable",IF(C178="","",AH178-U178)))</x:f>
      </x:c>
      <x:c r="AQ178" s="23" t="str">
        <x:f>IFERROR(IF(C178="","",IF(AND(INDEX('Facilities'!$AF$9:$AF$108,MATCH(C178,'Facilities'!$C$9:$C$108,0))="Ready",INDEX(Credit!$U$109:$U$208,MATCH(F178,Credit!$C$109:$C$208,0))="Ready",ISNUMBER(W178)),"Ready","Review inputs")),"Review inputs")</x:f>
      </x:c>
      <x:c r="AR178" s="23" t="str">
        <x:f>IF(C178="","",IF(AQ178&lt;&gt;"Ready","Unavailable",IF(C178="","",IF(O178=0,0,(IF(AJ178&lt;=1,O178,O178*INDEX('Facilities'!$R$9:$R$108,MATCH(C178,'Facilities'!$C$9:$C$108,0)))+O178*INDEX('Facilities'!$T$9:$T$108,MATCH(C178,'Facilities'!$C$9:$C$108,0)))/12))))</x:f>
      </x:c>
    </x:row>
    <x:row r="179" ht="26" customHeight="1">
      <x:c r="A179" s="1"/>
      <x:c r="B179" s="1"/>
      <x:c r="C179" s="9" t="str">
        <x:f>IF(Facilities!C79="","",Facilities!C79)</x:f>
      </x:c>
      <x:c r="D179" s="3" t="n">
        <x:v>2</x:v>
      </x:c>
      <x:c r="E179" s="9" t="n">
        <x:f>Settings!$F$18+1</x:f>
        <x:v>2028</x:v>
      </x:c>
      <x:c r="F179" s="9" t="str">
        <x:f>IF(C179="","",IFERROR(INDEX('Facilities'!$D$9:$D$108,MATCH(C179,'Facilities'!$C$9:$C$108,0)),"Unavailable"))</x:f>
      </x:c>
      <x:c r="G179" s="21" t="str">
        <x:f>IF(C179="","",IFERROR(O79,"Unavailable"))</x:f>
      </x:c>
      <x:c r="H179" s="21" t="str">
        <x:f>IF(C179="","",IFERROR(P79,"Unavailable"))</x:f>
      </x:c>
      <x:c r="I179" s="21" t="str">
        <x:f>IF(C179="","",IFERROR(Q79,"Unavailable"))</x:f>
      </x:c>
      <x:c r="J179" s="23" t="str">
        <x:f>IF(C179="","",IFERROR(IF(OR(H179&gt;0,AND(AC179&gt;=0,AC179&lt;D179),D179&gt;INDEX('Facilities'!$J$9:$J$108,MATCH(C179,'Facilities'!$C$9:$C$108,0))),0,I179*'Scenario Paths'!G81),"Unavailable"))</x:f>
      </x:c>
      <x:c r="K179" s="23" t="str">
        <x:f>IF(C179="","",IFERROR(IF(OR(H179&gt;0,AND(AC179&gt;=0,AC179=D179)),0,IF(D179&gt;=INDEX('Facilities'!$J$9:$J$108,MATCH(C179,'Facilities'!$C$9:$C$108,0)),G179+J179,MIN(G179+J179,G179*INDEX('Facilities'!$R$9:$R$108,MATCH(C179,'Facilities'!$C$9:$C$108,0))))),"Unavailable"))</x:f>
      </x:c>
      <x:c r="L179" s="21" t="str">
        <x:f>IF(C179="","",IFERROR(IF(AND(AC179=D179,AC179&gt;0),MAX(0,G179+J179-K179),0),"Unavailable"))</x:f>
      </x:c>
      <x:c r="M179" s="23" t="str">
        <x:f>IF(C179="","",IFERROR(IF(AND(AC179&gt;=0,D179&gt;=AC179+INDEX('Facilities'!$AK$9:$AK$108,MATCH(C179,'Facilities'!$C$9:$C$108,0))),(H179+L179)*AM179,0),"Unavailable"))</x:f>
      </x:c>
      <x:c r="N179" s="23" t="str">
        <x:f>IF(C179="","",IFERROR(IF(AND(AC179&gt;=0,D179&gt;=AC179+INDEX('Facilities'!$AK$9:$AK$108,MATCH(C179,'Facilities'!$C$9:$C$108,0))),H179+L179-M179,0),"Unavailable"))</x:f>
      </x:c>
      <x:c r="O179" s="21" t="str">
        <x:f>IF(C179="","",IFERROR(MAX(0,G179+J179-K179-L179),"Unavailable"))</x:f>
      </x:c>
      <x:c r="P179" s="21" t="str">
        <x:f>IF(C179="","",IFERROR(MAX(0,H179+L179-M179-N179),"Unavailable"))</x:f>
      </x:c>
      <x:c r="Q179" s="23" t="str">
        <x:f>IF(C179="","",IFERROR(IF(OR(D179&gt;=INDEX('Facilities'!$J$9:$J$108,MATCH(C179,'Facilities'!$C$9:$C$108,0)),AND(AC179&gt;=0,AC179&lt;=D179)),0,MAX(0,I179-J179)),"Unavailable"))</x:f>
      </x:c>
      <x:c r="R179" s="30" t="str">
        <x:f>IF(C179="","",IFERROR(INDEX(Credit!$Q$109:$Q$208,MATCH(F179,Credit!$C$109:$C$208,0)),"Unavailable"))</x:f>
      </x:c>
      <x:c r="S179" s="30" t="str">
        <x:f>IF(C179="","",IFERROR(INDEX(Credit!$R$109:$R$208,MATCH(F179,Credit!$C$109:$C$208,0)),"Unavailable"))</x:f>
      </x:c>
      <x:c r="T179" s="23" t="str">
        <x:f>IF(C179="","",IFERROR(IF(P179&gt;0,3,IF(OR(INDEX('Facilities'!$AD$9:$AD$108,MATCH(C179,'Facilities'!$C$9:$C$108,0))=2,AND(R179&gt;=INDEX('Facilities'!$L$9:$L$108,MATCH(C179,'Facilities'!$C$9:$C$108,0))*Settings!$F$19,R179-INDEX('Facilities'!$L$9:$L$108,MATCH(C179,'Facilities'!$C$9:$C$108,0))&gt;=Settings!$F$20)),2,1)),"Unavailable"))</x:f>
      </x:c>
      <x:c r="U179" s="23" t="str">
        <x:f>IF(C179="","",IF(AQ179&lt;&gt;"Ready","Unavailable",IF(C179="","",O179*(1-(1-S179)/(1+INDEX('Facilities'!$K$9:$K$108,MATCH(C179,'Facilities'!$C$9:$C$108,0)))^INDEX('Facilities'!$AK$9:$AK$108,MATCH(C179,'Facilities'!$C$9:$C$108,0)))*R179/(1+INDEX('Facilities'!$K$9:$K$108,MATCH(C179,'Facilities'!$C$9:$C$108,0)))*IF(ABS(1-(1-R179)*(1-INDEX('Facilities'!$R$9:$R$108,MATCH(C179,'Facilities'!$C$9:$C$108,0)))/(1+INDEX('Facilities'!$K$9:$K$108,MATCH(C179,'Facilities'!$C$9:$C$108,0))))&lt;0.000000001,IF(T179=1,MIN(1,AJ179),AJ179),(1-((1-R179)*(1-INDEX('Facilities'!$R$9:$R$108,MATCH(C179,'Facilities'!$C$9:$C$108,0)))/(1+INDEX('Facilities'!$K$9:$K$108,MATCH(C179,'Facilities'!$C$9:$C$108,0))))^IF(T179=1,MIN(1,AJ179),AJ179))/(1-(1-R179)*(1-INDEX('Facilities'!$R$9:$R$108,MATCH(C179,'Facilities'!$C$9:$C$108,0)))/(1+INDEX('Facilities'!$K$9:$K$108,MATCH(C179,'Facilities'!$C$9:$C$108,0)))))+AL179)))</x:f>
      </x:c>
      <x:c r="V179" s="23" t="str">
        <x:f>IF(C179="","",IF(AQ179&lt;&gt;"Ready","Unavailable",IF(C179="","",Q179*INDEX('Facilities'!$I$9:$I$108,MATCH(C179,'Facilities'!$C$9:$C$108,0))*(1-(1-S179)/(1+INDEX('Facilities'!$K$9:$K$108,MATCH(C179,'Facilities'!$C$9:$C$108,0)))^INDEX('Facilities'!$AK$9:$AK$108,MATCH(C179,'Facilities'!$C$9:$C$108,0)))*R179/(1+INDEX('Facilities'!$K$9:$K$108,MATCH(C179,'Facilities'!$C$9:$C$108,0)))*IF(ABS(1-(1-R179)*(1-0)/(1+INDEX('Facilities'!$K$9:$K$108,MATCH(C179,'Facilities'!$C$9:$C$108,0))))&lt;0.000000001,IF(T179=1,MIN(1,AJ179),AJ179),(1-((1-R179)*(1-0)/(1+INDEX('Facilities'!$K$9:$K$108,MATCH(C179,'Facilities'!$C$9:$C$108,0))))^IF(T179=1,MIN(1,AJ179),AJ179))/(1-(1-R179)*(1-0)/(1+INDEX('Facilities'!$K$9:$K$108,MATCH(C179,'Facilities'!$C$9:$C$108,0))))))))</x:f>
      </x:c>
      <x:c r="W179" s="21" t="str">
        <x:f>IF(C179="","",IFERROR(U79,"Unavailable"))</x:f>
      </x:c>
      <x:c r="X179" s="21" t="str">
        <x:f>IF(C179="","",IFERROR(V79,"Unavailable"))</x:f>
      </x:c>
      <x:c r="Y179" s="21" t="str">
        <x:f>IF(C179="","",IF(AQ179&lt;&gt;"Ready","Unavailable",IF(C179="","",U179-W179+V179-X179+N179+AG179)))</x:f>
      </x:c>
      <x:c r="Z179" s="23" t="str">
        <x:f>IF(C179="","",IF(AQ179&lt;&gt;"Ready","Unavailable",IF(C179="","",(G179+O179+L179)/2*INDEX('Facilities'!$T$9:$T$108,MATCH(C179,'Facilities'!$C$9:$C$108,0))+AG179)))</x:f>
      </x:c>
      <x:c r="AA179" s="23" t="str">
        <x:f>IF(C179="","",IF(AQ179&lt;&gt;"Ready","Unavailable",IF(C179="","",O179*(1-IF(INDEX('Facilities'!$AA$9:$AA$108,MATCH(C179,'Facilities'!$C$9:$C$108,0))=0,0,MIN(1,INDEX('Facilities'!$X$9:$X$108,MATCH(C179,'Facilities'!$C$9:$C$108,0))/INDEX('Facilities'!$AA$9:$AA$108,MATCH(C179,'Facilities'!$C$9:$C$108,0)))))*AF179+P179*(1-IF(INDEX('Facilities'!$AA$9:$AA$108,MATCH(C179,'Facilities'!$C$9:$C$108,0))=0,0,MIN(1,INDEX('Facilities'!$X$9:$X$108,MATCH(C179,'Facilities'!$C$9:$C$108,0))/INDEX('Facilities'!$AA$9:$AA$108,MATCH(C179,'Facilities'!$C$9:$C$108,0)))))*INDEX('Facilities'!$AJ$9:$AJ$108,MATCH(C179,'Facilities'!$C$9:$C$108,0))+Q179*INDEX('Facilities'!$AI$9:$AI$108,MATCH(C179,'Facilities'!$C$9:$C$108,0))*AF179)))</x:f>
      </x:c>
      <x:c r="AB179" s="21" t="str">
        <x:f>IF(C179="","",O179+P179-AD179)</x:f>
      </x:c>
      <x:c r="AC179" s="23" t="str">
        <x:f>IF(C179="","",IFERROR(IF(INDEX('Facilities'!$AD$9:$AD$108,MATCH(C179,'Facilities'!$C$9:$C$108,0))=3,0,IF(INDEX('Facilities'!$AN$9:$AN$108,MATCH(C179,'Facilities'!$C$9:$C$108,0))=0,-1,INDEX('Facilities'!$AN$9:$AN$108,MATCH(C179,'Facilities'!$C$9:$C$108,0)))),"Unavailable"))</x:f>
      </x:c>
      <x:c r="AD179" s="21" t="str">
        <x:f>IF(C179="","",IFERROR(G179+H179,"Unavailable"))</x:f>
      </x:c>
      <x:c r="AE179" s="21" t="str">
        <x:f>IF(C179="","",IF(AQ179&lt;&gt;"Ready","Unavailable",IF(C179="","",O179+P179-AD179-J179+K179+M179+N179)))</x:f>
      </x:c>
      <x:c r="AF179" s="30" t="str">
        <x:f>IF(C179="","",IFERROR(INDEX('Facilities'!$S$9:$S$108,MATCH(C179,'Facilities'!$C$9:$C$108,0))*'Scenario Paths'!G75,"Unavailable"))</x:f>
      </x:c>
      <x:c r="AG179" s="23" t="str">
        <x:f>IF(C179="","",IF(AQ179&lt;&gt;"Ready","Unavailable",IF(C179="","",IF(H179&gt;0,MAX(0,H179-AK179)*((1+INDEX('Facilities'!$K$9:$K$108,MATCH(C179,'Facilities'!$C$9:$C$108,0)))^MIN(1,MAX(0,AC179+INDEX('Facilities'!$AK$9:$AK$108,MATCH(C179,'Facilities'!$C$9:$C$108,0))-D179+1))-1),0))))</x:f>
      </x:c>
      <x:c r="AH179" s="21" t="str">
        <x:f>IF(C179="","",IF(AQ179&lt;&gt;"Ready","Unavailable",IF(C179="","",O179+P179)))</x:f>
      </x:c>
      <x:c r="AI179" s="21" t="str">
        <x:f>IF(C179="","",IF(AQ179&lt;&gt;"Ready","Unavailable",IF(C179="","",Z179-Y179)))</x:f>
      </x:c>
      <x:c r="AJ179" s="23" t="str">
        <x:f>IF(C179="","",IFERROR(MAX(0,INDEX('Facilities'!$J$9:$J$108,MATCH(C179,'Facilities'!$C$9:$C$108,0))-D179),"Unavailable"))</x:f>
      </x:c>
      <x:c r="AK179" s="21" t="str">
        <x:f>IF(C179="","",IFERROR(AL79,"Unavailable"))</x:f>
      </x:c>
      <x:c r="AL179" s="23" t="str">
        <x:f>IF(C179="","",IFERROR(IF(P179&gt;0,P179*(1-AM179/(1+INDEX('Facilities'!$K$9:$K$108,MATCH(C179,'Facilities'!$C$9:$C$108,0)))^MAX(0,AC179+INDEX('Facilities'!$AK$9:$AK$108,MATCH(C179,'Facilities'!$C$9:$C$108,0))-D179)),0),"Unavailable"))</x:f>
      </x:c>
      <x:c r="AM179" s="30" t="str">
        <x:f>IF(C179="","",IFERROR(INDEX('Facilities'!$AL$9:$AL$108,MATCH(C179,'Facilities'!$C$9:$C$108,0)),"Unavailable"))</x:f>
      </x:c>
      <x:c r="AN179" s="30" t="str">
        <x:f>IF(C179="","",IFERROR(INDEX(Credit!$T$109:$T$208,MATCH(F179,Credit!$C$109:$C$208,0)),"Unavailable"))</x:f>
      </x:c>
      <x:c r="AO179" s="23" t="str">
        <x:f>IF(C179="","",IF(AQ179&lt;&gt;"Ready","Unavailable",IF(C179="","",O179+P179+Q179*INDEX('Facilities'!$I$9:$I$108,MATCH(C179,'Facilities'!$C$9:$C$108,0)))))</x:f>
      </x:c>
      <x:c r="AP179" s="21" t="str">
        <x:f>IF(C179="","",IF(AQ179&lt;&gt;"Ready","Unavailable",IF(C179="","",AH179-U179)))</x:f>
      </x:c>
      <x:c r="AQ179" s="23" t="str">
        <x:f>IFERROR(IF(C179="","",IF(AND(INDEX('Facilities'!$AF$9:$AF$108,MATCH(C179,'Facilities'!$C$9:$C$108,0))="Ready",INDEX(Credit!$U$109:$U$208,MATCH(F179,Credit!$C$109:$C$208,0))="Ready",ISNUMBER(W179)),"Ready","Review inputs")),"Review inputs")</x:f>
      </x:c>
      <x:c r="AR179" s="23" t="str">
        <x:f>IF(C179="","",IF(AQ179&lt;&gt;"Ready","Unavailable",IF(C179="","",IF(O179=0,0,(IF(AJ179&lt;=1,O179,O179*INDEX('Facilities'!$R$9:$R$108,MATCH(C179,'Facilities'!$C$9:$C$108,0)))+O179*INDEX('Facilities'!$T$9:$T$108,MATCH(C179,'Facilities'!$C$9:$C$108,0)))/12))))</x:f>
      </x:c>
    </x:row>
    <x:row r="180" ht="26" customHeight="1">
      <x:c r="A180" s="1"/>
      <x:c r="B180" s="1"/>
      <x:c r="C180" s="9" t="str">
        <x:f>IF(Facilities!C80="","",Facilities!C80)</x:f>
      </x:c>
      <x:c r="D180" s="3" t="n">
        <x:v>2</x:v>
      </x:c>
      <x:c r="E180" s="9" t="n">
        <x:f>Settings!$F$18+1</x:f>
        <x:v>2028</x:v>
      </x:c>
      <x:c r="F180" s="9" t="str">
        <x:f>IF(C180="","",IFERROR(INDEX('Facilities'!$D$9:$D$108,MATCH(C180,'Facilities'!$C$9:$C$108,0)),"Unavailable"))</x:f>
      </x:c>
      <x:c r="G180" s="21" t="str">
        <x:f>IF(C180="","",IFERROR(O80,"Unavailable"))</x:f>
      </x:c>
      <x:c r="H180" s="21" t="str">
        <x:f>IF(C180="","",IFERROR(P80,"Unavailable"))</x:f>
      </x:c>
      <x:c r="I180" s="21" t="str">
        <x:f>IF(C180="","",IFERROR(Q80,"Unavailable"))</x:f>
      </x:c>
      <x:c r="J180" s="23" t="str">
        <x:f>IF(C180="","",IFERROR(IF(OR(H180&gt;0,AND(AC180&gt;=0,AC180&lt;D180),D180&gt;INDEX('Facilities'!$J$9:$J$108,MATCH(C180,'Facilities'!$C$9:$C$108,0))),0,I180*'Scenario Paths'!G81),"Unavailable"))</x:f>
      </x:c>
      <x:c r="K180" s="23" t="str">
        <x:f>IF(C180="","",IFERROR(IF(OR(H180&gt;0,AND(AC180&gt;=0,AC180=D180)),0,IF(D180&gt;=INDEX('Facilities'!$J$9:$J$108,MATCH(C180,'Facilities'!$C$9:$C$108,0)),G180+J180,MIN(G180+J180,G180*INDEX('Facilities'!$R$9:$R$108,MATCH(C180,'Facilities'!$C$9:$C$108,0))))),"Unavailable"))</x:f>
      </x:c>
      <x:c r="L180" s="21" t="str">
        <x:f>IF(C180="","",IFERROR(IF(AND(AC180=D180,AC180&gt;0),MAX(0,G180+J180-K180),0),"Unavailable"))</x:f>
      </x:c>
      <x:c r="M180" s="23" t="str">
        <x:f>IF(C180="","",IFERROR(IF(AND(AC180&gt;=0,D180&gt;=AC180+INDEX('Facilities'!$AK$9:$AK$108,MATCH(C180,'Facilities'!$C$9:$C$108,0))),(H180+L180)*AM180,0),"Unavailable"))</x:f>
      </x:c>
      <x:c r="N180" s="23" t="str">
        <x:f>IF(C180="","",IFERROR(IF(AND(AC180&gt;=0,D180&gt;=AC180+INDEX('Facilities'!$AK$9:$AK$108,MATCH(C180,'Facilities'!$C$9:$C$108,0))),H180+L180-M180,0),"Unavailable"))</x:f>
      </x:c>
      <x:c r="O180" s="21" t="str">
        <x:f>IF(C180="","",IFERROR(MAX(0,G180+J180-K180-L180),"Unavailable"))</x:f>
      </x:c>
      <x:c r="P180" s="21" t="str">
        <x:f>IF(C180="","",IFERROR(MAX(0,H180+L180-M180-N180),"Unavailable"))</x:f>
      </x:c>
      <x:c r="Q180" s="23" t="str">
        <x:f>IF(C180="","",IFERROR(IF(OR(D180&gt;=INDEX('Facilities'!$J$9:$J$108,MATCH(C180,'Facilities'!$C$9:$C$108,0)),AND(AC180&gt;=0,AC180&lt;=D180)),0,MAX(0,I180-J180)),"Unavailable"))</x:f>
      </x:c>
      <x:c r="R180" s="30" t="str">
        <x:f>IF(C180="","",IFERROR(INDEX(Credit!$Q$109:$Q$208,MATCH(F180,Credit!$C$109:$C$208,0)),"Unavailable"))</x:f>
      </x:c>
      <x:c r="S180" s="30" t="str">
        <x:f>IF(C180="","",IFERROR(INDEX(Credit!$R$109:$R$208,MATCH(F180,Credit!$C$109:$C$208,0)),"Unavailable"))</x:f>
      </x:c>
      <x:c r="T180" s="23" t="str">
        <x:f>IF(C180="","",IFERROR(IF(P180&gt;0,3,IF(OR(INDEX('Facilities'!$AD$9:$AD$108,MATCH(C180,'Facilities'!$C$9:$C$108,0))=2,AND(R180&gt;=INDEX('Facilities'!$L$9:$L$108,MATCH(C180,'Facilities'!$C$9:$C$108,0))*Settings!$F$19,R180-INDEX('Facilities'!$L$9:$L$108,MATCH(C180,'Facilities'!$C$9:$C$108,0))&gt;=Settings!$F$20)),2,1)),"Unavailable"))</x:f>
      </x:c>
      <x:c r="U180" s="23" t="str">
        <x:f>IF(C180="","",IF(AQ180&lt;&gt;"Ready","Unavailable",IF(C180="","",O180*(1-(1-S180)/(1+INDEX('Facilities'!$K$9:$K$108,MATCH(C180,'Facilities'!$C$9:$C$108,0)))^INDEX('Facilities'!$AK$9:$AK$108,MATCH(C180,'Facilities'!$C$9:$C$108,0)))*R180/(1+INDEX('Facilities'!$K$9:$K$108,MATCH(C180,'Facilities'!$C$9:$C$108,0)))*IF(ABS(1-(1-R180)*(1-INDEX('Facilities'!$R$9:$R$108,MATCH(C180,'Facilities'!$C$9:$C$108,0)))/(1+INDEX('Facilities'!$K$9:$K$108,MATCH(C180,'Facilities'!$C$9:$C$108,0))))&lt;0.000000001,IF(T180=1,MIN(1,AJ180),AJ180),(1-((1-R180)*(1-INDEX('Facilities'!$R$9:$R$108,MATCH(C180,'Facilities'!$C$9:$C$108,0)))/(1+INDEX('Facilities'!$K$9:$K$108,MATCH(C180,'Facilities'!$C$9:$C$108,0))))^IF(T180=1,MIN(1,AJ180),AJ180))/(1-(1-R180)*(1-INDEX('Facilities'!$R$9:$R$108,MATCH(C180,'Facilities'!$C$9:$C$108,0)))/(1+INDEX('Facilities'!$K$9:$K$108,MATCH(C180,'Facilities'!$C$9:$C$108,0)))))+AL180)))</x:f>
      </x:c>
      <x:c r="V180" s="23" t="str">
        <x:f>IF(C180="","",IF(AQ180&lt;&gt;"Ready","Unavailable",IF(C180="","",Q180*INDEX('Facilities'!$I$9:$I$108,MATCH(C180,'Facilities'!$C$9:$C$108,0))*(1-(1-S180)/(1+INDEX('Facilities'!$K$9:$K$108,MATCH(C180,'Facilities'!$C$9:$C$108,0)))^INDEX('Facilities'!$AK$9:$AK$108,MATCH(C180,'Facilities'!$C$9:$C$108,0)))*R180/(1+INDEX('Facilities'!$K$9:$K$108,MATCH(C180,'Facilities'!$C$9:$C$108,0)))*IF(ABS(1-(1-R180)*(1-0)/(1+INDEX('Facilities'!$K$9:$K$108,MATCH(C180,'Facilities'!$C$9:$C$108,0))))&lt;0.000000001,IF(T180=1,MIN(1,AJ180),AJ180),(1-((1-R180)*(1-0)/(1+INDEX('Facilities'!$K$9:$K$108,MATCH(C180,'Facilities'!$C$9:$C$108,0))))^IF(T180=1,MIN(1,AJ180),AJ180))/(1-(1-R180)*(1-0)/(1+INDEX('Facilities'!$K$9:$K$108,MATCH(C180,'Facilities'!$C$9:$C$108,0))))))))</x:f>
      </x:c>
      <x:c r="W180" s="21" t="str">
        <x:f>IF(C180="","",IFERROR(U80,"Unavailable"))</x:f>
      </x:c>
      <x:c r="X180" s="21" t="str">
        <x:f>IF(C180="","",IFERROR(V80,"Unavailable"))</x:f>
      </x:c>
      <x:c r="Y180" s="21" t="str">
        <x:f>IF(C180="","",IF(AQ180&lt;&gt;"Ready","Unavailable",IF(C180="","",U180-W180+V180-X180+N180+AG180)))</x:f>
      </x:c>
      <x:c r="Z180" s="23" t="str">
        <x:f>IF(C180="","",IF(AQ180&lt;&gt;"Ready","Unavailable",IF(C180="","",(G180+O180+L180)/2*INDEX('Facilities'!$T$9:$T$108,MATCH(C180,'Facilities'!$C$9:$C$108,0))+AG180)))</x:f>
      </x:c>
      <x:c r="AA180" s="23" t="str">
        <x:f>IF(C180="","",IF(AQ180&lt;&gt;"Ready","Unavailable",IF(C180="","",O180*(1-IF(INDEX('Facilities'!$AA$9:$AA$108,MATCH(C180,'Facilities'!$C$9:$C$108,0))=0,0,MIN(1,INDEX('Facilities'!$X$9:$X$108,MATCH(C180,'Facilities'!$C$9:$C$108,0))/INDEX('Facilities'!$AA$9:$AA$108,MATCH(C180,'Facilities'!$C$9:$C$108,0)))))*AF180+P180*(1-IF(INDEX('Facilities'!$AA$9:$AA$108,MATCH(C180,'Facilities'!$C$9:$C$108,0))=0,0,MIN(1,INDEX('Facilities'!$X$9:$X$108,MATCH(C180,'Facilities'!$C$9:$C$108,0))/INDEX('Facilities'!$AA$9:$AA$108,MATCH(C180,'Facilities'!$C$9:$C$108,0)))))*INDEX('Facilities'!$AJ$9:$AJ$108,MATCH(C180,'Facilities'!$C$9:$C$108,0))+Q180*INDEX('Facilities'!$AI$9:$AI$108,MATCH(C180,'Facilities'!$C$9:$C$108,0))*AF180)))</x:f>
      </x:c>
      <x:c r="AB180" s="21" t="str">
        <x:f>IF(C180="","",O180+P180-AD180)</x:f>
      </x:c>
      <x:c r="AC180" s="23" t="str">
        <x:f>IF(C180="","",IFERROR(IF(INDEX('Facilities'!$AD$9:$AD$108,MATCH(C180,'Facilities'!$C$9:$C$108,0))=3,0,IF(INDEX('Facilities'!$AN$9:$AN$108,MATCH(C180,'Facilities'!$C$9:$C$108,0))=0,-1,INDEX('Facilities'!$AN$9:$AN$108,MATCH(C180,'Facilities'!$C$9:$C$108,0)))),"Unavailable"))</x:f>
      </x:c>
      <x:c r="AD180" s="21" t="str">
        <x:f>IF(C180="","",IFERROR(G180+H180,"Unavailable"))</x:f>
      </x:c>
      <x:c r="AE180" s="21" t="str">
        <x:f>IF(C180="","",IF(AQ180&lt;&gt;"Ready","Unavailable",IF(C180="","",O180+P180-AD180-J180+K180+M180+N180)))</x:f>
      </x:c>
      <x:c r="AF180" s="30" t="str">
        <x:f>IF(C180="","",IFERROR(INDEX('Facilities'!$S$9:$S$108,MATCH(C180,'Facilities'!$C$9:$C$108,0))*'Scenario Paths'!G75,"Unavailable"))</x:f>
      </x:c>
      <x:c r="AG180" s="23" t="str">
        <x:f>IF(C180="","",IF(AQ180&lt;&gt;"Ready","Unavailable",IF(C180="","",IF(H180&gt;0,MAX(0,H180-AK180)*((1+INDEX('Facilities'!$K$9:$K$108,MATCH(C180,'Facilities'!$C$9:$C$108,0)))^MIN(1,MAX(0,AC180+INDEX('Facilities'!$AK$9:$AK$108,MATCH(C180,'Facilities'!$C$9:$C$108,0))-D180+1))-1),0))))</x:f>
      </x:c>
      <x:c r="AH180" s="21" t="str">
        <x:f>IF(C180="","",IF(AQ180&lt;&gt;"Ready","Unavailable",IF(C180="","",O180+P180)))</x:f>
      </x:c>
      <x:c r="AI180" s="21" t="str">
        <x:f>IF(C180="","",IF(AQ180&lt;&gt;"Ready","Unavailable",IF(C180="","",Z180-Y180)))</x:f>
      </x:c>
      <x:c r="AJ180" s="23" t="str">
        <x:f>IF(C180="","",IFERROR(MAX(0,INDEX('Facilities'!$J$9:$J$108,MATCH(C180,'Facilities'!$C$9:$C$108,0))-D180),"Unavailable"))</x:f>
      </x:c>
      <x:c r="AK180" s="21" t="str">
        <x:f>IF(C180="","",IFERROR(AL80,"Unavailable"))</x:f>
      </x:c>
      <x:c r="AL180" s="23" t="str">
        <x:f>IF(C180="","",IFERROR(IF(P180&gt;0,P180*(1-AM180/(1+INDEX('Facilities'!$K$9:$K$108,MATCH(C180,'Facilities'!$C$9:$C$108,0)))^MAX(0,AC180+INDEX('Facilities'!$AK$9:$AK$108,MATCH(C180,'Facilities'!$C$9:$C$108,0))-D180)),0),"Unavailable"))</x:f>
      </x:c>
      <x:c r="AM180" s="30" t="str">
        <x:f>IF(C180="","",IFERROR(INDEX('Facilities'!$AL$9:$AL$108,MATCH(C180,'Facilities'!$C$9:$C$108,0)),"Unavailable"))</x:f>
      </x:c>
      <x:c r="AN180" s="30" t="str">
        <x:f>IF(C180="","",IFERROR(INDEX(Credit!$T$109:$T$208,MATCH(F180,Credit!$C$109:$C$208,0)),"Unavailable"))</x:f>
      </x:c>
      <x:c r="AO180" s="23" t="str">
        <x:f>IF(C180="","",IF(AQ180&lt;&gt;"Ready","Unavailable",IF(C180="","",O180+P180+Q180*INDEX('Facilities'!$I$9:$I$108,MATCH(C180,'Facilities'!$C$9:$C$108,0)))))</x:f>
      </x:c>
      <x:c r="AP180" s="21" t="str">
        <x:f>IF(C180="","",IF(AQ180&lt;&gt;"Ready","Unavailable",IF(C180="","",AH180-U180)))</x:f>
      </x:c>
      <x:c r="AQ180" s="23" t="str">
        <x:f>IFERROR(IF(C180="","",IF(AND(INDEX('Facilities'!$AF$9:$AF$108,MATCH(C180,'Facilities'!$C$9:$C$108,0))="Ready",INDEX(Credit!$U$109:$U$208,MATCH(F180,Credit!$C$109:$C$208,0))="Ready",ISNUMBER(W180)),"Ready","Review inputs")),"Review inputs")</x:f>
      </x:c>
      <x:c r="AR180" s="23" t="str">
        <x:f>IF(C180="","",IF(AQ180&lt;&gt;"Ready","Unavailable",IF(C180="","",IF(O180=0,0,(IF(AJ180&lt;=1,O180,O180*INDEX('Facilities'!$R$9:$R$108,MATCH(C180,'Facilities'!$C$9:$C$108,0)))+O180*INDEX('Facilities'!$T$9:$T$108,MATCH(C180,'Facilities'!$C$9:$C$108,0)))/12))))</x:f>
      </x:c>
    </x:row>
    <x:row r="181" ht="26" customHeight="1">
      <x:c r="A181" s="1"/>
      <x:c r="B181" s="1"/>
      <x:c r="C181" s="9" t="str">
        <x:f>IF(Facilities!C81="","",Facilities!C81)</x:f>
      </x:c>
      <x:c r="D181" s="3" t="n">
        <x:v>2</x:v>
      </x:c>
      <x:c r="E181" s="9" t="n">
        <x:f>Settings!$F$18+1</x:f>
        <x:v>2028</x:v>
      </x:c>
      <x:c r="F181" s="9" t="str">
        <x:f>IF(C181="","",IFERROR(INDEX('Facilities'!$D$9:$D$108,MATCH(C181,'Facilities'!$C$9:$C$108,0)),"Unavailable"))</x:f>
      </x:c>
      <x:c r="G181" s="21" t="str">
        <x:f>IF(C181="","",IFERROR(O81,"Unavailable"))</x:f>
      </x:c>
      <x:c r="H181" s="21" t="str">
        <x:f>IF(C181="","",IFERROR(P81,"Unavailable"))</x:f>
      </x:c>
      <x:c r="I181" s="21" t="str">
        <x:f>IF(C181="","",IFERROR(Q81,"Unavailable"))</x:f>
      </x:c>
      <x:c r="J181" s="23" t="str">
        <x:f>IF(C181="","",IFERROR(IF(OR(H181&gt;0,AND(AC181&gt;=0,AC181&lt;D181),D181&gt;INDEX('Facilities'!$J$9:$J$108,MATCH(C181,'Facilities'!$C$9:$C$108,0))),0,I181*'Scenario Paths'!G81),"Unavailable"))</x:f>
      </x:c>
      <x:c r="K181" s="23" t="str">
        <x:f>IF(C181="","",IFERROR(IF(OR(H181&gt;0,AND(AC181&gt;=0,AC181=D181)),0,IF(D181&gt;=INDEX('Facilities'!$J$9:$J$108,MATCH(C181,'Facilities'!$C$9:$C$108,0)),G181+J181,MIN(G181+J181,G181*INDEX('Facilities'!$R$9:$R$108,MATCH(C181,'Facilities'!$C$9:$C$108,0))))),"Unavailable"))</x:f>
      </x:c>
      <x:c r="L181" s="21" t="str">
        <x:f>IF(C181="","",IFERROR(IF(AND(AC181=D181,AC181&gt;0),MAX(0,G181+J181-K181),0),"Unavailable"))</x:f>
      </x:c>
      <x:c r="M181" s="23" t="str">
        <x:f>IF(C181="","",IFERROR(IF(AND(AC181&gt;=0,D181&gt;=AC181+INDEX('Facilities'!$AK$9:$AK$108,MATCH(C181,'Facilities'!$C$9:$C$108,0))),(H181+L181)*AM181,0),"Unavailable"))</x:f>
      </x:c>
      <x:c r="N181" s="23" t="str">
        <x:f>IF(C181="","",IFERROR(IF(AND(AC181&gt;=0,D181&gt;=AC181+INDEX('Facilities'!$AK$9:$AK$108,MATCH(C181,'Facilities'!$C$9:$C$108,0))),H181+L181-M181,0),"Unavailable"))</x:f>
      </x:c>
      <x:c r="O181" s="21" t="str">
        <x:f>IF(C181="","",IFERROR(MAX(0,G181+J181-K181-L181),"Unavailable"))</x:f>
      </x:c>
      <x:c r="P181" s="21" t="str">
        <x:f>IF(C181="","",IFERROR(MAX(0,H181+L181-M181-N181),"Unavailable"))</x:f>
      </x:c>
      <x:c r="Q181" s="23" t="str">
        <x:f>IF(C181="","",IFERROR(IF(OR(D181&gt;=INDEX('Facilities'!$J$9:$J$108,MATCH(C181,'Facilities'!$C$9:$C$108,0)),AND(AC181&gt;=0,AC181&lt;=D181)),0,MAX(0,I181-J181)),"Unavailable"))</x:f>
      </x:c>
      <x:c r="R181" s="30" t="str">
        <x:f>IF(C181="","",IFERROR(INDEX(Credit!$Q$109:$Q$208,MATCH(F181,Credit!$C$109:$C$208,0)),"Unavailable"))</x:f>
      </x:c>
      <x:c r="S181" s="30" t="str">
        <x:f>IF(C181="","",IFERROR(INDEX(Credit!$R$109:$R$208,MATCH(F181,Credit!$C$109:$C$208,0)),"Unavailable"))</x:f>
      </x:c>
      <x:c r="T181" s="23" t="str">
        <x:f>IF(C181="","",IFERROR(IF(P181&gt;0,3,IF(OR(INDEX('Facilities'!$AD$9:$AD$108,MATCH(C181,'Facilities'!$C$9:$C$108,0))=2,AND(R181&gt;=INDEX('Facilities'!$L$9:$L$108,MATCH(C181,'Facilities'!$C$9:$C$108,0))*Settings!$F$19,R181-INDEX('Facilities'!$L$9:$L$108,MATCH(C181,'Facilities'!$C$9:$C$108,0))&gt;=Settings!$F$20)),2,1)),"Unavailable"))</x:f>
      </x:c>
      <x:c r="U181" s="23" t="str">
        <x:f>IF(C181="","",IF(AQ181&lt;&gt;"Ready","Unavailable",IF(C181="","",O181*(1-(1-S181)/(1+INDEX('Facilities'!$K$9:$K$108,MATCH(C181,'Facilities'!$C$9:$C$108,0)))^INDEX('Facilities'!$AK$9:$AK$108,MATCH(C181,'Facilities'!$C$9:$C$108,0)))*R181/(1+INDEX('Facilities'!$K$9:$K$108,MATCH(C181,'Facilities'!$C$9:$C$108,0)))*IF(ABS(1-(1-R181)*(1-INDEX('Facilities'!$R$9:$R$108,MATCH(C181,'Facilities'!$C$9:$C$108,0)))/(1+INDEX('Facilities'!$K$9:$K$108,MATCH(C181,'Facilities'!$C$9:$C$108,0))))&lt;0.000000001,IF(T181=1,MIN(1,AJ181),AJ181),(1-((1-R181)*(1-INDEX('Facilities'!$R$9:$R$108,MATCH(C181,'Facilities'!$C$9:$C$108,0)))/(1+INDEX('Facilities'!$K$9:$K$108,MATCH(C181,'Facilities'!$C$9:$C$108,0))))^IF(T181=1,MIN(1,AJ181),AJ181))/(1-(1-R181)*(1-INDEX('Facilities'!$R$9:$R$108,MATCH(C181,'Facilities'!$C$9:$C$108,0)))/(1+INDEX('Facilities'!$K$9:$K$108,MATCH(C181,'Facilities'!$C$9:$C$108,0)))))+AL181)))</x:f>
      </x:c>
      <x:c r="V181" s="23" t="str">
        <x:f>IF(C181="","",IF(AQ181&lt;&gt;"Ready","Unavailable",IF(C181="","",Q181*INDEX('Facilities'!$I$9:$I$108,MATCH(C181,'Facilities'!$C$9:$C$108,0))*(1-(1-S181)/(1+INDEX('Facilities'!$K$9:$K$108,MATCH(C181,'Facilities'!$C$9:$C$108,0)))^INDEX('Facilities'!$AK$9:$AK$108,MATCH(C181,'Facilities'!$C$9:$C$108,0)))*R181/(1+INDEX('Facilities'!$K$9:$K$108,MATCH(C181,'Facilities'!$C$9:$C$108,0)))*IF(ABS(1-(1-R181)*(1-0)/(1+INDEX('Facilities'!$K$9:$K$108,MATCH(C181,'Facilities'!$C$9:$C$108,0))))&lt;0.000000001,IF(T181=1,MIN(1,AJ181),AJ181),(1-((1-R181)*(1-0)/(1+INDEX('Facilities'!$K$9:$K$108,MATCH(C181,'Facilities'!$C$9:$C$108,0))))^IF(T181=1,MIN(1,AJ181),AJ181))/(1-(1-R181)*(1-0)/(1+INDEX('Facilities'!$K$9:$K$108,MATCH(C181,'Facilities'!$C$9:$C$108,0))))))))</x:f>
      </x:c>
      <x:c r="W181" s="21" t="str">
        <x:f>IF(C181="","",IFERROR(U81,"Unavailable"))</x:f>
      </x:c>
      <x:c r="X181" s="21" t="str">
        <x:f>IF(C181="","",IFERROR(V81,"Unavailable"))</x:f>
      </x:c>
      <x:c r="Y181" s="21" t="str">
        <x:f>IF(C181="","",IF(AQ181&lt;&gt;"Ready","Unavailable",IF(C181="","",U181-W181+V181-X181+N181+AG181)))</x:f>
      </x:c>
      <x:c r="Z181" s="23" t="str">
        <x:f>IF(C181="","",IF(AQ181&lt;&gt;"Ready","Unavailable",IF(C181="","",(G181+O181+L181)/2*INDEX('Facilities'!$T$9:$T$108,MATCH(C181,'Facilities'!$C$9:$C$108,0))+AG181)))</x:f>
      </x:c>
      <x:c r="AA181" s="23" t="str">
        <x:f>IF(C181="","",IF(AQ181&lt;&gt;"Ready","Unavailable",IF(C181="","",O181*(1-IF(INDEX('Facilities'!$AA$9:$AA$108,MATCH(C181,'Facilities'!$C$9:$C$108,0))=0,0,MIN(1,INDEX('Facilities'!$X$9:$X$108,MATCH(C181,'Facilities'!$C$9:$C$108,0))/INDEX('Facilities'!$AA$9:$AA$108,MATCH(C181,'Facilities'!$C$9:$C$108,0)))))*AF181+P181*(1-IF(INDEX('Facilities'!$AA$9:$AA$108,MATCH(C181,'Facilities'!$C$9:$C$108,0))=0,0,MIN(1,INDEX('Facilities'!$X$9:$X$108,MATCH(C181,'Facilities'!$C$9:$C$108,0))/INDEX('Facilities'!$AA$9:$AA$108,MATCH(C181,'Facilities'!$C$9:$C$108,0)))))*INDEX('Facilities'!$AJ$9:$AJ$108,MATCH(C181,'Facilities'!$C$9:$C$108,0))+Q181*INDEX('Facilities'!$AI$9:$AI$108,MATCH(C181,'Facilities'!$C$9:$C$108,0))*AF181)))</x:f>
      </x:c>
      <x:c r="AB181" s="21" t="str">
        <x:f>IF(C181="","",O181+P181-AD181)</x:f>
      </x:c>
      <x:c r="AC181" s="23" t="str">
        <x:f>IF(C181="","",IFERROR(IF(INDEX('Facilities'!$AD$9:$AD$108,MATCH(C181,'Facilities'!$C$9:$C$108,0))=3,0,IF(INDEX('Facilities'!$AN$9:$AN$108,MATCH(C181,'Facilities'!$C$9:$C$108,0))=0,-1,INDEX('Facilities'!$AN$9:$AN$108,MATCH(C181,'Facilities'!$C$9:$C$108,0)))),"Unavailable"))</x:f>
      </x:c>
      <x:c r="AD181" s="21" t="str">
        <x:f>IF(C181="","",IFERROR(G181+H181,"Unavailable"))</x:f>
      </x:c>
      <x:c r="AE181" s="21" t="str">
        <x:f>IF(C181="","",IF(AQ181&lt;&gt;"Ready","Unavailable",IF(C181="","",O181+P181-AD181-J181+K181+M181+N181)))</x:f>
      </x:c>
      <x:c r="AF181" s="30" t="str">
        <x:f>IF(C181="","",IFERROR(INDEX('Facilities'!$S$9:$S$108,MATCH(C181,'Facilities'!$C$9:$C$108,0))*'Scenario Paths'!G75,"Unavailable"))</x:f>
      </x:c>
      <x:c r="AG181" s="23" t="str">
        <x:f>IF(C181="","",IF(AQ181&lt;&gt;"Ready","Unavailable",IF(C181="","",IF(H181&gt;0,MAX(0,H181-AK181)*((1+INDEX('Facilities'!$K$9:$K$108,MATCH(C181,'Facilities'!$C$9:$C$108,0)))^MIN(1,MAX(0,AC181+INDEX('Facilities'!$AK$9:$AK$108,MATCH(C181,'Facilities'!$C$9:$C$108,0))-D181+1))-1),0))))</x:f>
      </x:c>
      <x:c r="AH181" s="21" t="str">
        <x:f>IF(C181="","",IF(AQ181&lt;&gt;"Ready","Unavailable",IF(C181="","",O181+P181)))</x:f>
      </x:c>
      <x:c r="AI181" s="21" t="str">
        <x:f>IF(C181="","",IF(AQ181&lt;&gt;"Ready","Unavailable",IF(C181="","",Z181-Y181)))</x:f>
      </x:c>
      <x:c r="AJ181" s="23" t="str">
        <x:f>IF(C181="","",IFERROR(MAX(0,INDEX('Facilities'!$J$9:$J$108,MATCH(C181,'Facilities'!$C$9:$C$108,0))-D181),"Unavailable"))</x:f>
      </x:c>
      <x:c r="AK181" s="21" t="str">
        <x:f>IF(C181="","",IFERROR(AL81,"Unavailable"))</x:f>
      </x:c>
      <x:c r="AL181" s="23" t="str">
        <x:f>IF(C181="","",IFERROR(IF(P181&gt;0,P181*(1-AM181/(1+INDEX('Facilities'!$K$9:$K$108,MATCH(C181,'Facilities'!$C$9:$C$108,0)))^MAX(0,AC181+INDEX('Facilities'!$AK$9:$AK$108,MATCH(C181,'Facilities'!$C$9:$C$108,0))-D181)),0),"Unavailable"))</x:f>
      </x:c>
      <x:c r="AM181" s="30" t="str">
        <x:f>IF(C181="","",IFERROR(INDEX('Facilities'!$AL$9:$AL$108,MATCH(C181,'Facilities'!$C$9:$C$108,0)),"Unavailable"))</x:f>
      </x:c>
      <x:c r="AN181" s="30" t="str">
        <x:f>IF(C181="","",IFERROR(INDEX(Credit!$T$109:$T$208,MATCH(F181,Credit!$C$109:$C$208,0)),"Unavailable"))</x:f>
      </x:c>
      <x:c r="AO181" s="23" t="str">
        <x:f>IF(C181="","",IF(AQ181&lt;&gt;"Ready","Unavailable",IF(C181="","",O181+P181+Q181*INDEX('Facilities'!$I$9:$I$108,MATCH(C181,'Facilities'!$C$9:$C$108,0)))))</x:f>
      </x:c>
      <x:c r="AP181" s="21" t="str">
        <x:f>IF(C181="","",IF(AQ181&lt;&gt;"Ready","Unavailable",IF(C181="","",AH181-U181)))</x:f>
      </x:c>
      <x:c r="AQ181" s="23" t="str">
        <x:f>IFERROR(IF(C181="","",IF(AND(INDEX('Facilities'!$AF$9:$AF$108,MATCH(C181,'Facilities'!$C$9:$C$108,0))="Ready",INDEX(Credit!$U$109:$U$208,MATCH(F181,Credit!$C$109:$C$208,0))="Ready",ISNUMBER(W181)),"Ready","Review inputs")),"Review inputs")</x:f>
      </x:c>
      <x:c r="AR181" s="23" t="str">
        <x:f>IF(C181="","",IF(AQ181&lt;&gt;"Ready","Unavailable",IF(C181="","",IF(O181=0,0,(IF(AJ181&lt;=1,O181,O181*INDEX('Facilities'!$R$9:$R$108,MATCH(C181,'Facilities'!$C$9:$C$108,0)))+O181*INDEX('Facilities'!$T$9:$T$108,MATCH(C181,'Facilities'!$C$9:$C$108,0)))/12))))</x:f>
      </x:c>
    </x:row>
    <x:row r="182" ht="26" customHeight="1">
      <x:c r="A182" s="1"/>
      <x:c r="B182" s="1"/>
      <x:c r="C182" s="9" t="str">
        <x:f>IF(Facilities!C82="","",Facilities!C82)</x:f>
      </x:c>
      <x:c r="D182" s="3" t="n">
        <x:v>2</x:v>
      </x:c>
      <x:c r="E182" s="9" t="n">
        <x:f>Settings!$F$18+1</x:f>
        <x:v>2028</x:v>
      </x:c>
      <x:c r="F182" s="9" t="str">
        <x:f>IF(C182="","",IFERROR(INDEX('Facilities'!$D$9:$D$108,MATCH(C182,'Facilities'!$C$9:$C$108,0)),"Unavailable"))</x:f>
      </x:c>
      <x:c r="G182" s="21" t="str">
        <x:f>IF(C182="","",IFERROR(O82,"Unavailable"))</x:f>
      </x:c>
      <x:c r="H182" s="21" t="str">
        <x:f>IF(C182="","",IFERROR(P82,"Unavailable"))</x:f>
      </x:c>
      <x:c r="I182" s="21" t="str">
        <x:f>IF(C182="","",IFERROR(Q82,"Unavailable"))</x:f>
      </x:c>
      <x:c r="J182" s="23" t="str">
        <x:f>IF(C182="","",IFERROR(IF(OR(H182&gt;0,AND(AC182&gt;=0,AC182&lt;D182),D182&gt;INDEX('Facilities'!$J$9:$J$108,MATCH(C182,'Facilities'!$C$9:$C$108,0))),0,I182*'Scenario Paths'!G81),"Unavailable"))</x:f>
      </x:c>
      <x:c r="K182" s="23" t="str">
        <x:f>IF(C182="","",IFERROR(IF(OR(H182&gt;0,AND(AC182&gt;=0,AC182=D182)),0,IF(D182&gt;=INDEX('Facilities'!$J$9:$J$108,MATCH(C182,'Facilities'!$C$9:$C$108,0)),G182+J182,MIN(G182+J182,G182*INDEX('Facilities'!$R$9:$R$108,MATCH(C182,'Facilities'!$C$9:$C$108,0))))),"Unavailable"))</x:f>
      </x:c>
      <x:c r="L182" s="21" t="str">
        <x:f>IF(C182="","",IFERROR(IF(AND(AC182=D182,AC182&gt;0),MAX(0,G182+J182-K182),0),"Unavailable"))</x:f>
      </x:c>
      <x:c r="M182" s="23" t="str">
        <x:f>IF(C182="","",IFERROR(IF(AND(AC182&gt;=0,D182&gt;=AC182+INDEX('Facilities'!$AK$9:$AK$108,MATCH(C182,'Facilities'!$C$9:$C$108,0))),(H182+L182)*AM182,0),"Unavailable"))</x:f>
      </x:c>
      <x:c r="N182" s="23" t="str">
        <x:f>IF(C182="","",IFERROR(IF(AND(AC182&gt;=0,D182&gt;=AC182+INDEX('Facilities'!$AK$9:$AK$108,MATCH(C182,'Facilities'!$C$9:$C$108,0))),H182+L182-M182,0),"Unavailable"))</x:f>
      </x:c>
      <x:c r="O182" s="21" t="str">
        <x:f>IF(C182="","",IFERROR(MAX(0,G182+J182-K182-L182),"Unavailable"))</x:f>
      </x:c>
      <x:c r="P182" s="21" t="str">
        <x:f>IF(C182="","",IFERROR(MAX(0,H182+L182-M182-N182),"Unavailable"))</x:f>
      </x:c>
      <x:c r="Q182" s="23" t="str">
        <x:f>IF(C182="","",IFERROR(IF(OR(D182&gt;=INDEX('Facilities'!$J$9:$J$108,MATCH(C182,'Facilities'!$C$9:$C$108,0)),AND(AC182&gt;=0,AC182&lt;=D182)),0,MAX(0,I182-J182)),"Unavailable"))</x:f>
      </x:c>
      <x:c r="R182" s="30" t="str">
        <x:f>IF(C182="","",IFERROR(INDEX(Credit!$Q$109:$Q$208,MATCH(F182,Credit!$C$109:$C$208,0)),"Unavailable"))</x:f>
      </x:c>
      <x:c r="S182" s="30" t="str">
        <x:f>IF(C182="","",IFERROR(INDEX(Credit!$R$109:$R$208,MATCH(F182,Credit!$C$109:$C$208,0)),"Unavailable"))</x:f>
      </x:c>
      <x:c r="T182" s="23" t="str">
        <x:f>IF(C182="","",IFERROR(IF(P182&gt;0,3,IF(OR(INDEX('Facilities'!$AD$9:$AD$108,MATCH(C182,'Facilities'!$C$9:$C$108,0))=2,AND(R182&gt;=INDEX('Facilities'!$L$9:$L$108,MATCH(C182,'Facilities'!$C$9:$C$108,0))*Settings!$F$19,R182-INDEX('Facilities'!$L$9:$L$108,MATCH(C182,'Facilities'!$C$9:$C$108,0))&gt;=Settings!$F$20)),2,1)),"Unavailable"))</x:f>
      </x:c>
      <x:c r="U182" s="23" t="str">
        <x:f>IF(C182="","",IF(AQ182&lt;&gt;"Ready","Unavailable",IF(C182="","",O182*(1-(1-S182)/(1+INDEX('Facilities'!$K$9:$K$108,MATCH(C182,'Facilities'!$C$9:$C$108,0)))^INDEX('Facilities'!$AK$9:$AK$108,MATCH(C182,'Facilities'!$C$9:$C$108,0)))*R182/(1+INDEX('Facilities'!$K$9:$K$108,MATCH(C182,'Facilities'!$C$9:$C$108,0)))*IF(ABS(1-(1-R182)*(1-INDEX('Facilities'!$R$9:$R$108,MATCH(C182,'Facilities'!$C$9:$C$108,0)))/(1+INDEX('Facilities'!$K$9:$K$108,MATCH(C182,'Facilities'!$C$9:$C$108,0))))&lt;0.000000001,IF(T182=1,MIN(1,AJ182),AJ182),(1-((1-R182)*(1-INDEX('Facilities'!$R$9:$R$108,MATCH(C182,'Facilities'!$C$9:$C$108,0)))/(1+INDEX('Facilities'!$K$9:$K$108,MATCH(C182,'Facilities'!$C$9:$C$108,0))))^IF(T182=1,MIN(1,AJ182),AJ182))/(1-(1-R182)*(1-INDEX('Facilities'!$R$9:$R$108,MATCH(C182,'Facilities'!$C$9:$C$108,0)))/(1+INDEX('Facilities'!$K$9:$K$108,MATCH(C182,'Facilities'!$C$9:$C$108,0)))))+AL182)))</x:f>
      </x:c>
      <x:c r="V182" s="23" t="str">
        <x:f>IF(C182="","",IF(AQ182&lt;&gt;"Ready","Unavailable",IF(C182="","",Q182*INDEX('Facilities'!$I$9:$I$108,MATCH(C182,'Facilities'!$C$9:$C$108,0))*(1-(1-S182)/(1+INDEX('Facilities'!$K$9:$K$108,MATCH(C182,'Facilities'!$C$9:$C$108,0)))^INDEX('Facilities'!$AK$9:$AK$108,MATCH(C182,'Facilities'!$C$9:$C$108,0)))*R182/(1+INDEX('Facilities'!$K$9:$K$108,MATCH(C182,'Facilities'!$C$9:$C$108,0)))*IF(ABS(1-(1-R182)*(1-0)/(1+INDEX('Facilities'!$K$9:$K$108,MATCH(C182,'Facilities'!$C$9:$C$108,0))))&lt;0.000000001,IF(T182=1,MIN(1,AJ182),AJ182),(1-((1-R182)*(1-0)/(1+INDEX('Facilities'!$K$9:$K$108,MATCH(C182,'Facilities'!$C$9:$C$108,0))))^IF(T182=1,MIN(1,AJ182),AJ182))/(1-(1-R182)*(1-0)/(1+INDEX('Facilities'!$K$9:$K$108,MATCH(C182,'Facilities'!$C$9:$C$108,0))))))))</x:f>
      </x:c>
      <x:c r="W182" s="21" t="str">
        <x:f>IF(C182="","",IFERROR(U82,"Unavailable"))</x:f>
      </x:c>
      <x:c r="X182" s="21" t="str">
        <x:f>IF(C182="","",IFERROR(V82,"Unavailable"))</x:f>
      </x:c>
      <x:c r="Y182" s="21" t="str">
        <x:f>IF(C182="","",IF(AQ182&lt;&gt;"Ready","Unavailable",IF(C182="","",U182-W182+V182-X182+N182+AG182)))</x:f>
      </x:c>
      <x:c r="Z182" s="23" t="str">
        <x:f>IF(C182="","",IF(AQ182&lt;&gt;"Ready","Unavailable",IF(C182="","",(G182+O182+L182)/2*INDEX('Facilities'!$T$9:$T$108,MATCH(C182,'Facilities'!$C$9:$C$108,0))+AG182)))</x:f>
      </x:c>
      <x:c r="AA182" s="23" t="str">
        <x:f>IF(C182="","",IF(AQ182&lt;&gt;"Ready","Unavailable",IF(C182="","",O182*(1-IF(INDEX('Facilities'!$AA$9:$AA$108,MATCH(C182,'Facilities'!$C$9:$C$108,0))=0,0,MIN(1,INDEX('Facilities'!$X$9:$X$108,MATCH(C182,'Facilities'!$C$9:$C$108,0))/INDEX('Facilities'!$AA$9:$AA$108,MATCH(C182,'Facilities'!$C$9:$C$108,0)))))*AF182+P182*(1-IF(INDEX('Facilities'!$AA$9:$AA$108,MATCH(C182,'Facilities'!$C$9:$C$108,0))=0,0,MIN(1,INDEX('Facilities'!$X$9:$X$108,MATCH(C182,'Facilities'!$C$9:$C$108,0))/INDEX('Facilities'!$AA$9:$AA$108,MATCH(C182,'Facilities'!$C$9:$C$108,0)))))*INDEX('Facilities'!$AJ$9:$AJ$108,MATCH(C182,'Facilities'!$C$9:$C$108,0))+Q182*INDEX('Facilities'!$AI$9:$AI$108,MATCH(C182,'Facilities'!$C$9:$C$108,0))*AF182)))</x:f>
      </x:c>
      <x:c r="AB182" s="21" t="str">
        <x:f>IF(C182="","",O182+P182-AD182)</x:f>
      </x:c>
      <x:c r="AC182" s="23" t="str">
        <x:f>IF(C182="","",IFERROR(IF(INDEX('Facilities'!$AD$9:$AD$108,MATCH(C182,'Facilities'!$C$9:$C$108,0))=3,0,IF(INDEX('Facilities'!$AN$9:$AN$108,MATCH(C182,'Facilities'!$C$9:$C$108,0))=0,-1,INDEX('Facilities'!$AN$9:$AN$108,MATCH(C182,'Facilities'!$C$9:$C$108,0)))),"Unavailable"))</x:f>
      </x:c>
      <x:c r="AD182" s="21" t="str">
        <x:f>IF(C182="","",IFERROR(G182+H182,"Unavailable"))</x:f>
      </x:c>
      <x:c r="AE182" s="21" t="str">
        <x:f>IF(C182="","",IF(AQ182&lt;&gt;"Ready","Unavailable",IF(C182="","",O182+P182-AD182-J182+K182+M182+N182)))</x:f>
      </x:c>
      <x:c r="AF182" s="30" t="str">
        <x:f>IF(C182="","",IFERROR(INDEX('Facilities'!$S$9:$S$108,MATCH(C182,'Facilities'!$C$9:$C$108,0))*'Scenario Paths'!G75,"Unavailable"))</x:f>
      </x:c>
      <x:c r="AG182" s="23" t="str">
        <x:f>IF(C182="","",IF(AQ182&lt;&gt;"Ready","Unavailable",IF(C182="","",IF(H182&gt;0,MAX(0,H182-AK182)*((1+INDEX('Facilities'!$K$9:$K$108,MATCH(C182,'Facilities'!$C$9:$C$108,0)))^MIN(1,MAX(0,AC182+INDEX('Facilities'!$AK$9:$AK$108,MATCH(C182,'Facilities'!$C$9:$C$108,0))-D182+1))-1),0))))</x:f>
      </x:c>
      <x:c r="AH182" s="21" t="str">
        <x:f>IF(C182="","",IF(AQ182&lt;&gt;"Ready","Unavailable",IF(C182="","",O182+P182)))</x:f>
      </x:c>
      <x:c r="AI182" s="21" t="str">
        <x:f>IF(C182="","",IF(AQ182&lt;&gt;"Ready","Unavailable",IF(C182="","",Z182-Y182)))</x:f>
      </x:c>
      <x:c r="AJ182" s="23" t="str">
        <x:f>IF(C182="","",IFERROR(MAX(0,INDEX('Facilities'!$J$9:$J$108,MATCH(C182,'Facilities'!$C$9:$C$108,0))-D182),"Unavailable"))</x:f>
      </x:c>
      <x:c r="AK182" s="21" t="str">
        <x:f>IF(C182="","",IFERROR(AL82,"Unavailable"))</x:f>
      </x:c>
      <x:c r="AL182" s="23" t="str">
        <x:f>IF(C182="","",IFERROR(IF(P182&gt;0,P182*(1-AM182/(1+INDEX('Facilities'!$K$9:$K$108,MATCH(C182,'Facilities'!$C$9:$C$108,0)))^MAX(0,AC182+INDEX('Facilities'!$AK$9:$AK$108,MATCH(C182,'Facilities'!$C$9:$C$108,0))-D182)),0),"Unavailable"))</x:f>
      </x:c>
      <x:c r="AM182" s="30" t="str">
        <x:f>IF(C182="","",IFERROR(INDEX('Facilities'!$AL$9:$AL$108,MATCH(C182,'Facilities'!$C$9:$C$108,0)),"Unavailable"))</x:f>
      </x:c>
      <x:c r="AN182" s="30" t="str">
        <x:f>IF(C182="","",IFERROR(INDEX(Credit!$T$109:$T$208,MATCH(F182,Credit!$C$109:$C$208,0)),"Unavailable"))</x:f>
      </x:c>
      <x:c r="AO182" s="23" t="str">
        <x:f>IF(C182="","",IF(AQ182&lt;&gt;"Ready","Unavailable",IF(C182="","",O182+P182+Q182*INDEX('Facilities'!$I$9:$I$108,MATCH(C182,'Facilities'!$C$9:$C$108,0)))))</x:f>
      </x:c>
      <x:c r="AP182" s="21" t="str">
        <x:f>IF(C182="","",IF(AQ182&lt;&gt;"Ready","Unavailable",IF(C182="","",AH182-U182)))</x:f>
      </x:c>
      <x:c r="AQ182" s="23" t="str">
        <x:f>IFERROR(IF(C182="","",IF(AND(INDEX('Facilities'!$AF$9:$AF$108,MATCH(C182,'Facilities'!$C$9:$C$108,0))="Ready",INDEX(Credit!$U$109:$U$208,MATCH(F182,Credit!$C$109:$C$208,0))="Ready",ISNUMBER(W182)),"Ready","Review inputs")),"Review inputs")</x:f>
      </x:c>
      <x:c r="AR182" s="23" t="str">
        <x:f>IF(C182="","",IF(AQ182&lt;&gt;"Ready","Unavailable",IF(C182="","",IF(O182=0,0,(IF(AJ182&lt;=1,O182,O182*INDEX('Facilities'!$R$9:$R$108,MATCH(C182,'Facilities'!$C$9:$C$108,0)))+O182*INDEX('Facilities'!$T$9:$T$108,MATCH(C182,'Facilities'!$C$9:$C$108,0)))/12))))</x:f>
      </x:c>
    </x:row>
    <x:row r="183" ht="26" customHeight="1">
      <x:c r="A183" s="1"/>
      <x:c r="B183" s="1"/>
      <x:c r="C183" s="9" t="str">
        <x:f>IF(Facilities!C83="","",Facilities!C83)</x:f>
      </x:c>
      <x:c r="D183" s="3" t="n">
        <x:v>2</x:v>
      </x:c>
      <x:c r="E183" s="9" t="n">
        <x:f>Settings!$F$18+1</x:f>
        <x:v>2028</x:v>
      </x:c>
      <x:c r="F183" s="9" t="str">
        <x:f>IF(C183="","",IFERROR(INDEX('Facilities'!$D$9:$D$108,MATCH(C183,'Facilities'!$C$9:$C$108,0)),"Unavailable"))</x:f>
      </x:c>
      <x:c r="G183" s="21" t="str">
        <x:f>IF(C183="","",IFERROR(O83,"Unavailable"))</x:f>
      </x:c>
      <x:c r="H183" s="21" t="str">
        <x:f>IF(C183="","",IFERROR(P83,"Unavailable"))</x:f>
      </x:c>
      <x:c r="I183" s="21" t="str">
        <x:f>IF(C183="","",IFERROR(Q83,"Unavailable"))</x:f>
      </x:c>
      <x:c r="J183" s="23" t="str">
        <x:f>IF(C183="","",IFERROR(IF(OR(H183&gt;0,AND(AC183&gt;=0,AC183&lt;D183),D183&gt;INDEX('Facilities'!$J$9:$J$108,MATCH(C183,'Facilities'!$C$9:$C$108,0))),0,I183*'Scenario Paths'!G81),"Unavailable"))</x:f>
      </x:c>
      <x:c r="K183" s="23" t="str">
        <x:f>IF(C183="","",IFERROR(IF(OR(H183&gt;0,AND(AC183&gt;=0,AC183=D183)),0,IF(D183&gt;=INDEX('Facilities'!$J$9:$J$108,MATCH(C183,'Facilities'!$C$9:$C$108,0)),G183+J183,MIN(G183+J183,G183*INDEX('Facilities'!$R$9:$R$108,MATCH(C183,'Facilities'!$C$9:$C$108,0))))),"Unavailable"))</x:f>
      </x:c>
      <x:c r="L183" s="21" t="str">
        <x:f>IF(C183="","",IFERROR(IF(AND(AC183=D183,AC183&gt;0),MAX(0,G183+J183-K183),0),"Unavailable"))</x:f>
      </x:c>
      <x:c r="M183" s="23" t="str">
        <x:f>IF(C183="","",IFERROR(IF(AND(AC183&gt;=0,D183&gt;=AC183+INDEX('Facilities'!$AK$9:$AK$108,MATCH(C183,'Facilities'!$C$9:$C$108,0))),(H183+L183)*AM183,0),"Unavailable"))</x:f>
      </x:c>
      <x:c r="N183" s="23" t="str">
        <x:f>IF(C183="","",IFERROR(IF(AND(AC183&gt;=0,D183&gt;=AC183+INDEX('Facilities'!$AK$9:$AK$108,MATCH(C183,'Facilities'!$C$9:$C$108,0))),H183+L183-M183,0),"Unavailable"))</x:f>
      </x:c>
      <x:c r="O183" s="21" t="str">
        <x:f>IF(C183="","",IFERROR(MAX(0,G183+J183-K183-L183),"Unavailable"))</x:f>
      </x:c>
      <x:c r="P183" s="21" t="str">
        <x:f>IF(C183="","",IFERROR(MAX(0,H183+L183-M183-N183),"Unavailable"))</x:f>
      </x:c>
      <x:c r="Q183" s="23" t="str">
        <x:f>IF(C183="","",IFERROR(IF(OR(D183&gt;=INDEX('Facilities'!$J$9:$J$108,MATCH(C183,'Facilities'!$C$9:$C$108,0)),AND(AC183&gt;=0,AC183&lt;=D183)),0,MAX(0,I183-J183)),"Unavailable"))</x:f>
      </x:c>
      <x:c r="R183" s="30" t="str">
        <x:f>IF(C183="","",IFERROR(INDEX(Credit!$Q$109:$Q$208,MATCH(F183,Credit!$C$109:$C$208,0)),"Unavailable"))</x:f>
      </x:c>
      <x:c r="S183" s="30" t="str">
        <x:f>IF(C183="","",IFERROR(INDEX(Credit!$R$109:$R$208,MATCH(F183,Credit!$C$109:$C$208,0)),"Unavailable"))</x:f>
      </x:c>
      <x:c r="T183" s="23" t="str">
        <x:f>IF(C183="","",IFERROR(IF(P183&gt;0,3,IF(OR(INDEX('Facilities'!$AD$9:$AD$108,MATCH(C183,'Facilities'!$C$9:$C$108,0))=2,AND(R183&gt;=INDEX('Facilities'!$L$9:$L$108,MATCH(C183,'Facilities'!$C$9:$C$108,0))*Settings!$F$19,R183-INDEX('Facilities'!$L$9:$L$108,MATCH(C183,'Facilities'!$C$9:$C$108,0))&gt;=Settings!$F$20)),2,1)),"Unavailable"))</x:f>
      </x:c>
      <x:c r="U183" s="23" t="str">
        <x:f>IF(C183="","",IF(AQ183&lt;&gt;"Ready","Unavailable",IF(C183="","",O183*(1-(1-S183)/(1+INDEX('Facilities'!$K$9:$K$108,MATCH(C183,'Facilities'!$C$9:$C$108,0)))^INDEX('Facilities'!$AK$9:$AK$108,MATCH(C183,'Facilities'!$C$9:$C$108,0)))*R183/(1+INDEX('Facilities'!$K$9:$K$108,MATCH(C183,'Facilities'!$C$9:$C$108,0)))*IF(ABS(1-(1-R183)*(1-INDEX('Facilities'!$R$9:$R$108,MATCH(C183,'Facilities'!$C$9:$C$108,0)))/(1+INDEX('Facilities'!$K$9:$K$108,MATCH(C183,'Facilities'!$C$9:$C$108,0))))&lt;0.000000001,IF(T183=1,MIN(1,AJ183),AJ183),(1-((1-R183)*(1-INDEX('Facilities'!$R$9:$R$108,MATCH(C183,'Facilities'!$C$9:$C$108,0)))/(1+INDEX('Facilities'!$K$9:$K$108,MATCH(C183,'Facilities'!$C$9:$C$108,0))))^IF(T183=1,MIN(1,AJ183),AJ183))/(1-(1-R183)*(1-INDEX('Facilities'!$R$9:$R$108,MATCH(C183,'Facilities'!$C$9:$C$108,0)))/(1+INDEX('Facilities'!$K$9:$K$108,MATCH(C183,'Facilities'!$C$9:$C$108,0)))))+AL183)))</x:f>
      </x:c>
      <x:c r="V183" s="23" t="str">
        <x:f>IF(C183="","",IF(AQ183&lt;&gt;"Ready","Unavailable",IF(C183="","",Q183*INDEX('Facilities'!$I$9:$I$108,MATCH(C183,'Facilities'!$C$9:$C$108,0))*(1-(1-S183)/(1+INDEX('Facilities'!$K$9:$K$108,MATCH(C183,'Facilities'!$C$9:$C$108,0)))^INDEX('Facilities'!$AK$9:$AK$108,MATCH(C183,'Facilities'!$C$9:$C$108,0)))*R183/(1+INDEX('Facilities'!$K$9:$K$108,MATCH(C183,'Facilities'!$C$9:$C$108,0)))*IF(ABS(1-(1-R183)*(1-0)/(1+INDEX('Facilities'!$K$9:$K$108,MATCH(C183,'Facilities'!$C$9:$C$108,0))))&lt;0.000000001,IF(T183=1,MIN(1,AJ183),AJ183),(1-((1-R183)*(1-0)/(1+INDEX('Facilities'!$K$9:$K$108,MATCH(C183,'Facilities'!$C$9:$C$108,0))))^IF(T183=1,MIN(1,AJ183),AJ183))/(1-(1-R183)*(1-0)/(1+INDEX('Facilities'!$K$9:$K$108,MATCH(C183,'Facilities'!$C$9:$C$108,0))))))))</x:f>
      </x:c>
      <x:c r="W183" s="21" t="str">
        <x:f>IF(C183="","",IFERROR(U83,"Unavailable"))</x:f>
      </x:c>
      <x:c r="X183" s="21" t="str">
        <x:f>IF(C183="","",IFERROR(V83,"Unavailable"))</x:f>
      </x:c>
      <x:c r="Y183" s="21" t="str">
        <x:f>IF(C183="","",IF(AQ183&lt;&gt;"Ready","Unavailable",IF(C183="","",U183-W183+V183-X183+N183+AG183)))</x:f>
      </x:c>
      <x:c r="Z183" s="23" t="str">
        <x:f>IF(C183="","",IF(AQ183&lt;&gt;"Ready","Unavailable",IF(C183="","",(G183+O183+L183)/2*INDEX('Facilities'!$T$9:$T$108,MATCH(C183,'Facilities'!$C$9:$C$108,0))+AG183)))</x:f>
      </x:c>
      <x:c r="AA183" s="23" t="str">
        <x:f>IF(C183="","",IF(AQ183&lt;&gt;"Ready","Unavailable",IF(C183="","",O183*(1-IF(INDEX('Facilities'!$AA$9:$AA$108,MATCH(C183,'Facilities'!$C$9:$C$108,0))=0,0,MIN(1,INDEX('Facilities'!$X$9:$X$108,MATCH(C183,'Facilities'!$C$9:$C$108,0))/INDEX('Facilities'!$AA$9:$AA$108,MATCH(C183,'Facilities'!$C$9:$C$108,0)))))*AF183+P183*(1-IF(INDEX('Facilities'!$AA$9:$AA$108,MATCH(C183,'Facilities'!$C$9:$C$108,0))=0,0,MIN(1,INDEX('Facilities'!$X$9:$X$108,MATCH(C183,'Facilities'!$C$9:$C$108,0))/INDEX('Facilities'!$AA$9:$AA$108,MATCH(C183,'Facilities'!$C$9:$C$108,0)))))*INDEX('Facilities'!$AJ$9:$AJ$108,MATCH(C183,'Facilities'!$C$9:$C$108,0))+Q183*INDEX('Facilities'!$AI$9:$AI$108,MATCH(C183,'Facilities'!$C$9:$C$108,0))*AF183)))</x:f>
      </x:c>
      <x:c r="AB183" s="21" t="str">
        <x:f>IF(C183="","",O183+P183-AD183)</x:f>
      </x:c>
      <x:c r="AC183" s="23" t="str">
        <x:f>IF(C183="","",IFERROR(IF(INDEX('Facilities'!$AD$9:$AD$108,MATCH(C183,'Facilities'!$C$9:$C$108,0))=3,0,IF(INDEX('Facilities'!$AN$9:$AN$108,MATCH(C183,'Facilities'!$C$9:$C$108,0))=0,-1,INDEX('Facilities'!$AN$9:$AN$108,MATCH(C183,'Facilities'!$C$9:$C$108,0)))),"Unavailable"))</x:f>
      </x:c>
      <x:c r="AD183" s="21" t="str">
        <x:f>IF(C183="","",IFERROR(G183+H183,"Unavailable"))</x:f>
      </x:c>
      <x:c r="AE183" s="21" t="str">
        <x:f>IF(C183="","",IF(AQ183&lt;&gt;"Ready","Unavailable",IF(C183="","",O183+P183-AD183-J183+K183+M183+N183)))</x:f>
      </x:c>
      <x:c r="AF183" s="30" t="str">
        <x:f>IF(C183="","",IFERROR(INDEX('Facilities'!$S$9:$S$108,MATCH(C183,'Facilities'!$C$9:$C$108,0))*'Scenario Paths'!G75,"Unavailable"))</x:f>
      </x:c>
      <x:c r="AG183" s="23" t="str">
        <x:f>IF(C183="","",IF(AQ183&lt;&gt;"Ready","Unavailable",IF(C183="","",IF(H183&gt;0,MAX(0,H183-AK183)*((1+INDEX('Facilities'!$K$9:$K$108,MATCH(C183,'Facilities'!$C$9:$C$108,0)))^MIN(1,MAX(0,AC183+INDEX('Facilities'!$AK$9:$AK$108,MATCH(C183,'Facilities'!$C$9:$C$108,0))-D183+1))-1),0))))</x:f>
      </x:c>
      <x:c r="AH183" s="21" t="str">
        <x:f>IF(C183="","",IF(AQ183&lt;&gt;"Ready","Unavailable",IF(C183="","",O183+P183)))</x:f>
      </x:c>
      <x:c r="AI183" s="21" t="str">
        <x:f>IF(C183="","",IF(AQ183&lt;&gt;"Ready","Unavailable",IF(C183="","",Z183-Y183)))</x:f>
      </x:c>
      <x:c r="AJ183" s="23" t="str">
        <x:f>IF(C183="","",IFERROR(MAX(0,INDEX('Facilities'!$J$9:$J$108,MATCH(C183,'Facilities'!$C$9:$C$108,0))-D183),"Unavailable"))</x:f>
      </x:c>
      <x:c r="AK183" s="21" t="str">
        <x:f>IF(C183="","",IFERROR(AL83,"Unavailable"))</x:f>
      </x:c>
      <x:c r="AL183" s="23" t="str">
        <x:f>IF(C183="","",IFERROR(IF(P183&gt;0,P183*(1-AM183/(1+INDEX('Facilities'!$K$9:$K$108,MATCH(C183,'Facilities'!$C$9:$C$108,0)))^MAX(0,AC183+INDEX('Facilities'!$AK$9:$AK$108,MATCH(C183,'Facilities'!$C$9:$C$108,0))-D183)),0),"Unavailable"))</x:f>
      </x:c>
      <x:c r="AM183" s="30" t="str">
        <x:f>IF(C183="","",IFERROR(INDEX('Facilities'!$AL$9:$AL$108,MATCH(C183,'Facilities'!$C$9:$C$108,0)),"Unavailable"))</x:f>
      </x:c>
      <x:c r="AN183" s="30" t="str">
        <x:f>IF(C183="","",IFERROR(INDEX(Credit!$T$109:$T$208,MATCH(F183,Credit!$C$109:$C$208,0)),"Unavailable"))</x:f>
      </x:c>
      <x:c r="AO183" s="23" t="str">
        <x:f>IF(C183="","",IF(AQ183&lt;&gt;"Ready","Unavailable",IF(C183="","",O183+P183+Q183*INDEX('Facilities'!$I$9:$I$108,MATCH(C183,'Facilities'!$C$9:$C$108,0)))))</x:f>
      </x:c>
      <x:c r="AP183" s="21" t="str">
        <x:f>IF(C183="","",IF(AQ183&lt;&gt;"Ready","Unavailable",IF(C183="","",AH183-U183)))</x:f>
      </x:c>
      <x:c r="AQ183" s="23" t="str">
        <x:f>IFERROR(IF(C183="","",IF(AND(INDEX('Facilities'!$AF$9:$AF$108,MATCH(C183,'Facilities'!$C$9:$C$108,0))="Ready",INDEX(Credit!$U$109:$U$208,MATCH(F183,Credit!$C$109:$C$208,0))="Ready",ISNUMBER(W183)),"Ready","Review inputs")),"Review inputs")</x:f>
      </x:c>
      <x:c r="AR183" s="23" t="str">
        <x:f>IF(C183="","",IF(AQ183&lt;&gt;"Ready","Unavailable",IF(C183="","",IF(O183=0,0,(IF(AJ183&lt;=1,O183,O183*INDEX('Facilities'!$R$9:$R$108,MATCH(C183,'Facilities'!$C$9:$C$108,0)))+O183*INDEX('Facilities'!$T$9:$T$108,MATCH(C183,'Facilities'!$C$9:$C$108,0)))/12))))</x:f>
      </x:c>
    </x:row>
    <x:row r="184" ht="26" customHeight="1">
      <x:c r="A184" s="1"/>
      <x:c r="B184" s="1"/>
      <x:c r="C184" s="9" t="str">
        <x:f>IF(Facilities!C84="","",Facilities!C84)</x:f>
      </x:c>
      <x:c r="D184" s="3" t="n">
        <x:v>2</x:v>
      </x:c>
      <x:c r="E184" s="9" t="n">
        <x:f>Settings!$F$18+1</x:f>
        <x:v>2028</x:v>
      </x:c>
      <x:c r="F184" s="9" t="str">
        <x:f>IF(C184="","",IFERROR(INDEX('Facilities'!$D$9:$D$108,MATCH(C184,'Facilities'!$C$9:$C$108,0)),"Unavailable"))</x:f>
      </x:c>
      <x:c r="G184" s="21" t="str">
        <x:f>IF(C184="","",IFERROR(O84,"Unavailable"))</x:f>
      </x:c>
      <x:c r="H184" s="21" t="str">
        <x:f>IF(C184="","",IFERROR(P84,"Unavailable"))</x:f>
      </x:c>
      <x:c r="I184" s="21" t="str">
        <x:f>IF(C184="","",IFERROR(Q84,"Unavailable"))</x:f>
      </x:c>
      <x:c r="J184" s="23" t="str">
        <x:f>IF(C184="","",IFERROR(IF(OR(H184&gt;0,AND(AC184&gt;=0,AC184&lt;D184),D184&gt;INDEX('Facilities'!$J$9:$J$108,MATCH(C184,'Facilities'!$C$9:$C$108,0))),0,I184*'Scenario Paths'!G81),"Unavailable"))</x:f>
      </x:c>
      <x:c r="K184" s="23" t="str">
        <x:f>IF(C184="","",IFERROR(IF(OR(H184&gt;0,AND(AC184&gt;=0,AC184=D184)),0,IF(D184&gt;=INDEX('Facilities'!$J$9:$J$108,MATCH(C184,'Facilities'!$C$9:$C$108,0)),G184+J184,MIN(G184+J184,G184*INDEX('Facilities'!$R$9:$R$108,MATCH(C184,'Facilities'!$C$9:$C$108,0))))),"Unavailable"))</x:f>
      </x:c>
      <x:c r="L184" s="21" t="str">
        <x:f>IF(C184="","",IFERROR(IF(AND(AC184=D184,AC184&gt;0),MAX(0,G184+J184-K184),0),"Unavailable"))</x:f>
      </x:c>
      <x:c r="M184" s="23" t="str">
        <x:f>IF(C184="","",IFERROR(IF(AND(AC184&gt;=0,D184&gt;=AC184+INDEX('Facilities'!$AK$9:$AK$108,MATCH(C184,'Facilities'!$C$9:$C$108,0))),(H184+L184)*AM184,0),"Unavailable"))</x:f>
      </x:c>
      <x:c r="N184" s="23" t="str">
        <x:f>IF(C184="","",IFERROR(IF(AND(AC184&gt;=0,D184&gt;=AC184+INDEX('Facilities'!$AK$9:$AK$108,MATCH(C184,'Facilities'!$C$9:$C$108,0))),H184+L184-M184,0),"Unavailable"))</x:f>
      </x:c>
      <x:c r="O184" s="21" t="str">
        <x:f>IF(C184="","",IFERROR(MAX(0,G184+J184-K184-L184),"Unavailable"))</x:f>
      </x:c>
      <x:c r="P184" s="21" t="str">
        <x:f>IF(C184="","",IFERROR(MAX(0,H184+L184-M184-N184),"Unavailable"))</x:f>
      </x:c>
      <x:c r="Q184" s="23" t="str">
        <x:f>IF(C184="","",IFERROR(IF(OR(D184&gt;=INDEX('Facilities'!$J$9:$J$108,MATCH(C184,'Facilities'!$C$9:$C$108,0)),AND(AC184&gt;=0,AC184&lt;=D184)),0,MAX(0,I184-J184)),"Unavailable"))</x:f>
      </x:c>
      <x:c r="R184" s="30" t="str">
        <x:f>IF(C184="","",IFERROR(INDEX(Credit!$Q$109:$Q$208,MATCH(F184,Credit!$C$109:$C$208,0)),"Unavailable"))</x:f>
      </x:c>
      <x:c r="S184" s="30" t="str">
        <x:f>IF(C184="","",IFERROR(INDEX(Credit!$R$109:$R$208,MATCH(F184,Credit!$C$109:$C$208,0)),"Unavailable"))</x:f>
      </x:c>
      <x:c r="T184" s="23" t="str">
        <x:f>IF(C184="","",IFERROR(IF(P184&gt;0,3,IF(OR(INDEX('Facilities'!$AD$9:$AD$108,MATCH(C184,'Facilities'!$C$9:$C$108,0))=2,AND(R184&gt;=INDEX('Facilities'!$L$9:$L$108,MATCH(C184,'Facilities'!$C$9:$C$108,0))*Settings!$F$19,R184-INDEX('Facilities'!$L$9:$L$108,MATCH(C184,'Facilities'!$C$9:$C$108,0))&gt;=Settings!$F$20)),2,1)),"Unavailable"))</x:f>
      </x:c>
      <x:c r="U184" s="23" t="str">
        <x:f>IF(C184="","",IF(AQ184&lt;&gt;"Ready","Unavailable",IF(C184="","",O184*(1-(1-S184)/(1+INDEX('Facilities'!$K$9:$K$108,MATCH(C184,'Facilities'!$C$9:$C$108,0)))^INDEX('Facilities'!$AK$9:$AK$108,MATCH(C184,'Facilities'!$C$9:$C$108,0)))*R184/(1+INDEX('Facilities'!$K$9:$K$108,MATCH(C184,'Facilities'!$C$9:$C$108,0)))*IF(ABS(1-(1-R184)*(1-INDEX('Facilities'!$R$9:$R$108,MATCH(C184,'Facilities'!$C$9:$C$108,0)))/(1+INDEX('Facilities'!$K$9:$K$108,MATCH(C184,'Facilities'!$C$9:$C$108,0))))&lt;0.000000001,IF(T184=1,MIN(1,AJ184),AJ184),(1-((1-R184)*(1-INDEX('Facilities'!$R$9:$R$108,MATCH(C184,'Facilities'!$C$9:$C$108,0)))/(1+INDEX('Facilities'!$K$9:$K$108,MATCH(C184,'Facilities'!$C$9:$C$108,0))))^IF(T184=1,MIN(1,AJ184),AJ184))/(1-(1-R184)*(1-INDEX('Facilities'!$R$9:$R$108,MATCH(C184,'Facilities'!$C$9:$C$108,0)))/(1+INDEX('Facilities'!$K$9:$K$108,MATCH(C184,'Facilities'!$C$9:$C$108,0)))))+AL184)))</x:f>
      </x:c>
      <x:c r="V184" s="23" t="str">
        <x:f>IF(C184="","",IF(AQ184&lt;&gt;"Ready","Unavailable",IF(C184="","",Q184*INDEX('Facilities'!$I$9:$I$108,MATCH(C184,'Facilities'!$C$9:$C$108,0))*(1-(1-S184)/(1+INDEX('Facilities'!$K$9:$K$108,MATCH(C184,'Facilities'!$C$9:$C$108,0)))^INDEX('Facilities'!$AK$9:$AK$108,MATCH(C184,'Facilities'!$C$9:$C$108,0)))*R184/(1+INDEX('Facilities'!$K$9:$K$108,MATCH(C184,'Facilities'!$C$9:$C$108,0)))*IF(ABS(1-(1-R184)*(1-0)/(1+INDEX('Facilities'!$K$9:$K$108,MATCH(C184,'Facilities'!$C$9:$C$108,0))))&lt;0.000000001,IF(T184=1,MIN(1,AJ184),AJ184),(1-((1-R184)*(1-0)/(1+INDEX('Facilities'!$K$9:$K$108,MATCH(C184,'Facilities'!$C$9:$C$108,0))))^IF(T184=1,MIN(1,AJ184),AJ184))/(1-(1-R184)*(1-0)/(1+INDEX('Facilities'!$K$9:$K$108,MATCH(C184,'Facilities'!$C$9:$C$108,0))))))))</x:f>
      </x:c>
      <x:c r="W184" s="21" t="str">
        <x:f>IF(C184="","",IFERROR(U84,"Unavailable"))</x:f>
      </x:c>
      <x:c r="X184" s="21" t="str">
        <x:f>IF(C184="","",IFERROR(V84,"Unavailable"))</x:f>
      </x:c>
      <x:c r="Y184" s="21" t="str">
        <x:f>IF(C184="","",IF(AQ184&lt;&gt;"Ready","Unavailable",IF(C184="","",U184-W184+V184-X184+N184+AG184)))</x:f>
      </x:c>
      <x:c r="Z184" s="23" t="str">
        <x:f>IF(C184="","",IF(AQ184&lt;&gt;"Ready","Unavailable",IF(C184="","",(G184+O184+L184)/2*INDEX('Facilities'!$T$9:$T$108,MATCH(C184,'Facilities'!$C$9:$C$108,0))+AG184)))</x:f>
      </x:c>
      <x:c r="AA184" s="23" t="str">
        <x:f>IF(C184="","",IF(AQ184&lt;&gt;"Ready","Unavailable",IF(C184="","",O184*(1-IF(INDEX('Facilities'!$AA$9:$AA$108,MATCH(C184,'Facilities'!$C$9:$C$108,0))=0,0,MIN(1,INDEX('Facilities'!$X$9:$X$108,MATCH(C184,'Facilities'!$C$9:$C$108,0))/INDEX('Facilities'!$AA$9:$AA$108,MATCH(C184,'Facilities'!$C$9:$C$108,0)))))*AF184+P184*(1-IF(INDEX('Facilities'!$AA$9:$AA$108,MATCH(C184,'Facilities'!$C$9:$C$108,0))=0,0,MIN(1,INDEX('Facilities'!$X$9:$X$108,MATCH(C184,'Facilities'!$C$9:$C$108,0))/INDEX('Facilities'!$AA$9:$AA$108,MATCH(C184,'Facilities'!$C$9:$C$108,0)))))*INDEX('Facilities'!$AJ$9:$AJ$108,MATCH(C184,'Facilities'!$C$9:$C$108,0))+Q184*INDEX('Facilities'!$AI$9:$AI$108,MATCH(C184,'Facilities'!$C$9:$C$108,0))*AF184)))</x:f>
      </x:c>
      <x:c r="AB184" s="21" t="str">
        <x:f>IF(C184="","",O184+P184-AD184)</x:f>
      </x:c>
      <x:c r="AC184" s="23" t="str">
        <x:f>IF(C184="","",IFERROR(IF(INDEX('Facilities'!$AD$9:$AD$108,MATCH(C184,'Facilities'!$C$9:$C$108,0))=3,0,IF(INDEX('Facilities'!$AN$9:$AN$108,MATCH(C184,'Facilities'!$C$9:$C$108,0))=0,-1,INDEX('Facilities'!$AN$9:$AN$108,MATCH(C184,'Facilities'!$C$9:$C$108,0)))),"Unavailable"))</x:f>
      </x:c>
      <x:c r="AD184" s="21" t="str">
        <x:f>IF(C184="","",IFERROR(G184+H184,"Unavailable"))</x:f>
      </x:c>
      <x:c r="AE184" s="21" t="str">
        <x:f>IF(C184="","",IF(AQ184&lt;&gt;"Ready","Unavailable",IF(C184="","",O184+P184-AD184-J184+K184+M184+N184)))</x:f>
      </x:c>
      <x:c r="AF184" s="30" t="str">
        <x:f>IF(C184="","",IFERROR(INDEX('Facilities'!$S$9:$S$108,MATCH(C184,'Facilities'!$C$9:$C$108,0))*'Scenario Paths'!G75,"Unavailable"))</x:f>
      </x:c>
      <x:c r="AG184" s="23" t="str">
        <x:f>IF(C184="","",IF(AQ184&lt;&gt;"Ready","Unavailable",IF(C184="","",IF(H184&gt;0,MAX(0,H184-AK184)*((1+INDEX('Facilities'!$K$9:$K$108,MATCH(C184,'Facilities'!$C$9:$C$108,0)))^MIN(1,MAX(0,AC184+INDEX('Facilities'!$AK$9:$AK$108,MATCH(C184,'Facilities'!$C$9:$C$108,0))-D184+1))-1),0))))</x:f>
      </x:c>
      <x:c r="AH184" s="21" t="str">
        <x:f>IF(C184="","",IF(AQ184&lt;&gt;"Ready","Unavailable",IF(C184="","",O184+P184)))</x:f>
      </x:c>
      <x:c r="AI184" s="21" t="str">
        <x:f>IF(C184="","",IF(AQ184&lt;&gt;"Ready","Unavailable",IF(C184="","",Z184-Y184)))</x:f>
      </x:c>
      <x:c r="AJ184" s="23" t="str">
        <x:f>IF(C184="","",IFERROR(MAX(0,INDEX('Facilities'!$J$9:$J$108,MATCH(C184,'Facilities'!$C$9:$C$108,0))-D184),"Unavailable"))</x:f>
      </x:c>
      <x:c r="AK184" s="21" t="str">
        <x:f>IF(C184="","",IFERROR(AL84,"Unavailable"))</x:f>
      </x:c>
      <x:c r="AL184" s="23" t="str">
        <x:f>IF(C184="","",IFERROR(IF(P184&gt;0,P184*(1-AM184/(1+INDEX('Facilities'!$K$9:$K$108,MATCH(C184,'Facilities'!$C$9:$C$108,0)))^MAX(0,AC184+INDEX('Facilities'!$AK$9:$AK$108,MATCH(C184,'Facilities'!$C$9:$C$108,0))-D184)),0),"Unavailable"))</x:f>
      </x:c>
      <x:c r="AM184" s="30" t="str">
        <x:f>IF(C184="","",IFERROR(INDEX('Facilities'!$AL$9:$AL$108,MATCH(C184,'Facilities'!$C$9:$C$108,0)),"Unavailable"))</x:f>
      </x:c>
      <x:c r="AN184" s="30" t="str">
        <x:f>IF(C184="","",IFERROR(INDEX(Credit!$T$109:$T$208,MATCH(F184,Credit!$C$109:$C$208,0)),"Unavailable"))</x:f>
      </x:c>
      <x:c r="AO184" s="23" t="str">
        <x:f>IF(C184="","",IF(AQ184&lt;&gt;"Ready","Unavailable",IF(C184="","",O184+P184+Q184*INDEX('Facilities'!$I$9:$I$108,MATCH(C184,'Facilities'!$C$9:$C$108,0)))))</x:f>
      </x:c>
      <x:c r="AP184" s="21" t="str">
        <x:f>IF(C184="","",IF(AQ184&lt;&gt;"Ready","Unavailable",IF(C184="","",AH184-U184)))</x:f>
      </x:c>
      <x:c r="AQ184" s="23" t="str">
        <x:f>IFERROR(IF(C184="","",IF(AND(INDEX('Facilities'!$AF$9:$AF$108,MATCH(C184,'Facilities'!$C$9:$C$108,0))="Ready",INDEX(Credit!$U$109:$U$208,MATCH(F184,Credit!$C$109:$C$208,0))="Ready",ISNUMBER(W184)),"Ready","Review inputs")),"Review inputs")</x:f>
      </x:c>
      <x:c r="AR184" s="23" t="str">
        <x:f>IF(C184="","",IF(AQ184&lt;&gt;"Ready","Unavailable",IF(C184="","",IF(O184=0,0,(IF(AJ184&lt;=1,O184,O184*INDEX('Facilities'!$R$9:$R$108,MATCH(C184,'Facilities'!$C$9:$C$108,0)))+O184*INDEX('Facilities'!$T$9:$T$108,MATCH(C184,'Facilities'!$C$9:$C$108,0)))/12))))</x:f>
      </x:c>
    </x:row>
    <x:row r="185" ht="26" customHeight="1">
      <x:c r="A185" s="1"/>
      <x:c r="B185" s="1"/>
      <x:c r="C185" s="9" t="str">
        <x:f>IF(Facilities!C85="","",Facilities!C85)</x:f>
      </x:c>
      <x:c r="D185" s="3" t="n">
        <x:v>2</x:v>
      </x:c>
      <x:c r="E185" s="9" t="n">
        <x:f>Settings!$F$18+1</x:f>
        <x:v>2028</x:v>
      </x:c>
      <x:c r="F185" s="9" t="str">
        <x:f>IF(C185="","",IFERROR(INDEX('Facilities'!$D$9:$D$108,MATCH(C185,'Facilities'!$C$9:$C$108,0)),"Unavailable"))</x:f>
      </x:c>
      <x:c r="G185" s="21" t="str">
        <x:f>IF(C185="","",IFERROR(O85,"Unavailable"))</x:f>
      </x:c>
      <x:c r="H185" s="21" t="str">
        <x:f>IF(C185="","",IFERROR(P85,"Unavailable"))</x:f>
      </x:c>
      <x:c r="I185" s="21" t="str">
        <x:f>IF(C185="","",IFERROR(Q85,"Unavailable"))</x:f>
      </x:c>
      <x:c r="J185" s="23" t="str">
        <x:f>IF(C185="","",IFERROR(IF(OR(H185&gt;0,AND(AC185&gt;=0,AC185&lt;D185),D185&gt;INDEX('Facilities'!$J$9:$J$108,MATCH(C185,'Facilities'!$C$9:$C$108,0))),0,I185*'Scenario Paths'!G81),"Unavailable"))</x:f>
      </x:c>
      <x:c r="K185" s="23" t="str">
        <x:f>IF(C185="","",IFERROR(IF(OR(H185&gt;0,AND(AC185&gt;=0,AC185=D185)),0,IF(D185&gt;=INDEX('Facilities'!$J$9:$J$108,MATCH(C185,'Facilities'!$C$9:$C$108,0)),G185+J185,MIN(G185+J185,G185*INDEX('Facilities'!$R$9:$R$108,MATCH(C185,'Facilities'!$C$9:$C$108,0))))),"Unavailable"))</x:f>
      </x:c>
      <x:c r="L185" s="21" t="str">
        <x:f>IF(C185="","",IFERROR(IF(AND(AC185=D185,AC185&gt;0),MAX(0,G185+J185-K185),0),"Unavailable"))</x:f>
      </x:c>
      <x:c r="M185" s="23" t="str">
        <x:f>IF(C185="","",IFERROR(IF(AND(AC185&gt;=0,D185&gt;=AC185+INDEX('Facilities'!$AK$9:$AK$108,MATCH(C185,'Facilities'!$C$9:$C$108,0))),(H185+L185)*AM185,0),"Unavailable"))</x:f>
      </x:c>
      <x:c r="N185" s="23" t="str">
        <x:f>IF(C185="","",IFERROR(IF(AND(AC185&gt;=0,D185&gt;=AC185+INDEX('Facilities'!$AK$9:$AK$108,MATCH(C185,'Facilities'!$C$9:$C$108,0))),H185+L185-M185,0),"Unavailable"))</x:f>
      </x:c>
      <x:c r="O185" s="21" t="str">
        <x:f>IF(C185="","",IFERROR(MAX(0,G185+J185-K185-L185),"Unavailable"))</x:f>
      </x:c>
      <x:c r="P185" s="21" t="str">
        <x:f>IF(C185="","",IFERROR(MAX(0,H185+L185-M185-N185),"Unavailable"))</x:f>
      </x:c>
      <x:c r="Q185" s="23" t="str">
        <x:f>IF(C185="","",IFERROR(IF(OR(D185&gt;=INDEX('Facilities'!$J$9:$J$108,MATCH(C185,'Facilities'!$C$9:$C$108,0)),AND(AC185&gt;=0,AC185&lt;=D185)),0,MAX(0,I185-J185)),"Unavailable"))</x:f>
      </x:c>
      <x:c r="R185" s="30" t="str">
        <x:f>IF(C185="","",IFERROR(INDEX(Credit!$Q$109:$Q$208,MATCH(F185,Credit!$C$109:$C$208,0)),"Unavailable"))</x:f>
      </x:c>
      <x:c r="S185" s="30" t="str">
        <x:f>IF(C185="","",IFERROR(INDEX(Credit!$R$109:$R$208,MATCH(F185,Credit!$C$109:$C$208,0)),"Unavailable"))</x:f>
      </x:c>
      <x:c r="T185" s="23" t="str">
        <x:f>IF(C185="","",IFERROR(IF(P185&gt;0,3,IF(OR(INDEX('Facilities'!$AD$9:$AD$108,MATCH(C185,'Facilities'!$C$9:$C$108,0))=2,AND(R185&gt;=INDEX('Facilities'!$L$9:$L$108,MATCH(C185,'Facilities'!$C$9:$C$108,0))*Settings!$F$19,R185-INDEX('Facilities'!$L$9:$L$108,MATCH(C185,'Facilities'!$C$9:$C$108,0))&gt;=Settings!$F$20)),2,1)),"Unavailable"))</x:f>
      </x:c>
      <x:c r="U185" s="23" t="str">
        <x:f>IF(C185="","",IF(AQ185&lt;&gt;"Ready","Unavailable",IF(C185="","",O185*(1-(1-S185)/(1+INDEX('Facilities'!$K$9:$K$108,MATCH(C185,'Facilities'!$C$9:$C$108,0)))^INDEX('Facilities'!$AK$9:$AK$108,MATCH(C185,'Facilities'!$C$9:$C$108,0)))*R185/(1+INDEX('Facilities'!$K$9:$K$108,MATCH(C185,'Facilities'!$C$9:$C$108,0)))*IF(ABS(1-(1-R185)*(1-INDEX('Facilities'!$R$9:$R$108,MATCH(C185,'Facilities'!$C$9:$C$108,0)))/(1+INDEX('Facilities'!$K$9:$K$108,MATCH(C185,'Facilities'!$C$9:$C$108,0))))&lt;0.000000001,IF(T185=1,MIN(1,AJ185),AJ185),(1-((1-R185)*(1-INDEX('Facilities'!$R$9:$R$108,MATCH(C185,'Facilities'!$C$9:$C$108,0)))/(1+INDEX('Facilities'!$K$9:$K$108,MATCH(C185,'Facilities'!$C$9:$C$108,0))))^IF(T185=1,MIN(1,AJ185),AJ185))/(1-(1-R185)*(1-INDEX('Facilities'!$R$9:$R$108,MATCH(C185,'Facilities'!$C$9:$C$108,0)))/(1+INDEX('Facilities'!$K$9:$K$108,MATCH(C185,'Facilities'!$C$9:$C$108,0)))))+AL185)))</x:f>
      </x:c>
      <x:c r="V185" s="23" t="str">
        <x:f>IF(C185="","",IF(AQ185&lt;&gt;"Ready","Unavailable",IF(C185="","",Q185*INDEX('Facilities'!$I$9:$I$108,MATCH(C185,'Facilities'!$C$9:$C$108,0))*(1-(1-S185)/(1+INDEX('Facilities'!$K$9:$K$108,MATCH(C185,'Facilities'!$C$9:$C$108,0)))^INDEX('Facilities'!$AK$9:$AK$108,MATCH(C185,'Facilities'!$C$9:$C$108,0)))*R185/(1+INDEX('Facilities'!$K$9:$K$108,MATCH(C185,'Facilities'!$C$9:$C$108,0)))*IF(ABS(1-(1-R185)*(1-0)/(1+INDEX('Facilities'!$K$9:$K$108,MATCH(C185,'Facilities'!$C$9:$C$108,0))))&lt;0.000000001,IF(T185=1,MIN(1,AJ185),AJ185),(1-((1-R185)*(1-0)/(1+INDEX('Facilities'!$K$9:$K$108,MATCH(C185,'Facilities'!$C$9:$C$108,0))))^IF(T185=1,MIN(1,AJ185),AJ185))/(1-(1-R185)*(1-0)/(1+INDEX('Facilities'!$K$9:$K$108,MATCH(C185,'Facilities'!$C$9:$C$108,0))))))))</x:f>
      </x:c>
      <x:c r="W185" s="21" t="str">
        <x:f>IF(C185="","",IFERROR(U85,"Unavailable"))</x:f>
      </x:c>
      <x:c r="X185" s="21" t="str">
        <x:f>IF(C185="","",IFERROR(V85,"Unavailable"))</x:f>
      </x:c>
      <x:c r="Y185" s="21" t="str">
        <x:f>IF(C185="","",IF(AQ185&lt;&gt;"Ready","Unavailable",IF(C185="","",U185-W185+V185-X185+N185+AG185)))</x:f>
      </x:c>
      <x:c r="Z185" s="23" t="str">
        <x:f>IF(C185="","",IF(AQ185&lt;&gt;"Ready","Unavailable",IF(C185="","",(G185+O185+L185)/2*INDEX('Facilities'!$T$9:$T$108,MATCH(C185,'Facilities'!$C$9:$C$108,0))+AG185)))</x:f>
      </x:c>
      <x:c r="AA185" s="23" t="str">
        <x:f>IF(C185="","",IF(AQ185&lt;&gt;"Ready","Unavailable",IF(C185="","",O185*(1-IF(INDEX('Facilities'!$AA$9:$AA$108,MATCH(C185,'Facilities'!$C$9:$C$108,0))=0,0,MIN(1,INDEX('Facilities'!$X$9:$X$108,MATCH(C185,'Facilities'!$C$9:$C$108,0))/INDEX('Facilities'!$AA$9:$AA$108,MATCH(C185,'Facilities'!$C$9:$C$108,0)))))*AF185+P185*(1-IF(INDEX('Facilities'!$AA$9:$AA$108,MATCH(C185,'Facilities'!$C$9:$C$108,0))=0,0,MIN(1,INDEX('Facilities'!$X$9:$X$108,MATCH(C185,'Facilities'!$C$9:$C$108,0))/INDEX('Facilities'!$AA$9:$AA$108,MATCH(C185,'Facilities'!$C$9:$C$108,0)))))*INDEX('Facilities'!$AJ$9:$AJ$108,MATCH(C185,'Facilities'!$C$9:$C$108,0))+Q185*INDEX('Facilities'!$AI$9:$AI$108,MATCH(C185,'Facilities'!$C$9:$C$108,0))*AF185)))</x:f>
      </x:c>
      <x:c r="AB185" s="21" t="str">
        <x:f>IF(C185="","",O185+P185-AD185)</x:f>
      </x:c>
      <x:c r="AC185" s="23" t="str">
        <x:f>IF(C185="","",IFERROR(IF(INDEX('Facilities'!$AD$9:$AD$108,MATCH(C185,'Facilities'!$C$9:$C$108,0))=3,0,IF(INDEX('Facilities'!$AN$9:$AN$108,MATCH(C185,'Facilities'!$C$9:$C$108,0))=0,-1,INDEX('Facilities'!$AN$9:$AN$108,MATCH(C185,'Facilities'!$C$9:$C$108,0)))),"Unavailable"))</x:f>
      </x:c>
      <x:c r="AD185" s="21" t="str">
        <x:f>IF(C185="","",IFERROR(G185+H185,"Unavailable"))</x:f>
      </x:c>
      <x:c r="AE185" s="21" t="str">
        <x:f>IF(C185="","",IF(AQ185&lt;&gt;"Ready","Unavailable",IF(C185="","",O185+P185-AD185-J185+K185+M185+N185)))</x:f>
      </x:c>
      <x:c r="AF185" s="30" t="str">
        <x:f>IF(C185="","",IFERROR(INDEX('Facilities'!$S$9:$S$108,MATCH(C185,'Facilities'!$C$9:$C$108,0))*'Scenario Paths'!G75,"Unavailable"))</x:f>
      </x:c>
      <x:c r="AG185" s="23" t="str">
        <x:f>IF(C185="","",IF(AQ185&lt;&gt;"Ready","Unavailable",IF(C185="","",IF(H185&gt;0,MAX(0,H185-AK185)*((1+INDEX('Facilities'!$K$9:$K$108,MATCH(C185,'Facilities'!$C$9:$C$108,0)))^MIN(1,MAX(0,AC185+INDEX('Facilities'!$AK$9:$AK$108,MATCH(C185,'Facilities'!$C$9:$C$108,0))-D185+1))-1),0))))</x:f>
      </x:c>
      <x:c r="AH185" s="21" t="str">
        <x:f>IF(C185="","",IF(AQ185&lt;&gt;"Ready","Unavailable",IF(C185="","",O185+P185)))</x:f>
      </x:c>
      <x:c r="AI185" s="21" t="str">
        <x:f>IF(C185="","",IF(AQ185&lt;&gt;"Ready","Unavailable",IF(C185="","",Z185-Y185)))</x:f>
      </x:c>
      <x:c r="AJ185" s="23" t="str">
        <x:f>IF(C185="","",IFERROR(MAX(0,INDEX('Facilities'!$J$9:$J$108,MATCH(C185,'Facilities'!$C$9:$C$108,0))-D185),"Unavailable"))</x:f>
      </x:c>
      <x:c r="AK185" s="21" t="str">
        <x:f>IF(C185="","",IFERROR(AL85,"Unavailable"))</x:f>
      </x:c>
      <x:c r="AL185" s="23" t="str">
        <x:f>IF(C185="","",IFERROR(IF(P185&gt;0,P185*(1-AM185/(1+INDEX('Facilities'!$K$9:$K$108,MATCH(C185,'Facilities'!$C$9:$C$108,0)))^MAX(0,AC185+INDEX('Facilities'!$AK$9:$AK$108,MATCH(C185,'Facilities'!$C$9:$C$108,0))-D185)),0),"Unavailable"))</x:f>
      </x:c>
      <x:c r="AM185" s="30" t="str">
        <x:f>IF(C185="","",IFERROR(INDEX('Facilities'!$AL$9:$AL$108,MATCH(C185,'Facilities'!$C$9:$C$108,0)),"Unavailable"))</x:f>
      </x:c>
      <x:c r="AN185" s="30" t="str">
        <x:f>IF(C185="","",IFERROR(INDEX(Credit!$T$109:$T$208,MATCH(F185,Credit!$C$109:$C$208,0)),"Unavailable"))</x:f>
      </x:c>
      <x:c r="AO185" s="23" t="str">
        <x:f>IF(C185="","",IF(AQ185&lt;&gt;"Ready","Unavailable",IF(C185="","",O185+P185+Q185*INDEX('Facilities'!$I$9:$I$108,MATCH(C185,'Facilities'!$C$9:$C$108,0)))))</x:f>
      </x:c>
      <x:c r="AP185" s="21" t="str">
        <x:f>IF(C185="","",IF(AQ185&lt;&gt;"Ready","Unavailable",IF(C185="","",AH185-U185)))</x:f>
      </x:c>
      <x:c r="AQ185" s="23" t="str">
        <x:f>IFERROR(IF(C185="","",IF(AND(INDEX('Facilities'!$AF$9:$AF$108,MATCH(C185,'Facilities'!$C$9:$C$108,0))="Ready",INDEX(Credit!$U$109:$U$208,MATCH(F185,Credit!$C$109:$C$208,0))="Ready",ISNUMBER(W185)),"Ready","Review inputs")),"Review inputs")</x:f>
      </x:c>
      <x:c r="AR185" s="23" t="str">
        <x:f>IF(C185="","",IF(AQ185&lt;&gt;"Ready","Unavailable",IF(C185="","",IF(O185=0,0,(IF(AJ185&lt;=1,O185,O185*INDEX('Facilities'!$R$9:$R$108,MATCH(C185,'Facilities'!$C$9:$C$108,0)))+O185*INDEX('Facilities'!$T$9:$T$108,MATCH(C185,'Facilities'!$C$9:$C$108,0)))/12))))</x:f>
      </x:c>
    </x:row>
    <x:row r="186" ht="26" customHeight="1">
      <x:c r="A186" s="1"/>
      <x:c r="B186" s="1"/>
      <x:c r="C186" s="9" t="str">
        <x:f>IF(Facilities!C86="","",Facilities!C86)</x:f>
      </x:c>
      <x:c r="D186" s="3" t="n">
        <x:v>2</x:v>
      </x:c>
      <x:c r="E186" s="9" t="n">
        <x:f>Settings!$F$18+1</x:f>
        <x:v>2028</x:v>
      </x:c>
      <x:c r="F186" s="9" t="str">
        <x:f>IF(C186="","",IFERROR(INDEX('Facilities'!$D$9:$D$108,MATCH(C186,'Facilities'!$C$9:$C$108,0)),"Unavailable"))</x:f>
      </x:c>
      <x:c r="G186" s="21" t="str">
        <x:f>IF(C186="","",IFERROR(O86,"Unavailable"))</x:f>
      </x:c>
      <x:c r="H186" s="21" t="str">
        <x:f>IF(C186="","",IFERROR(P86,"Unavailable"))</x:f>
      </x:c>
      <x:c r="I186" s="21" t="str">
        <x:f>IF(C186="","",IFERROR(Q86,"Unavailable"))</x:f>
      </x:c>
      <x:c r="J186" s="23" t="str">
        <x:f>IF(C186="","",IFERROR(IF(OR(H186&gt;0,AND(AC186&gt;=0,AC186&lt;D186),D186&gt;INDEX('Facilities'!$J$9:$J$108,MATCH(C186,'Facilities'!$C$9:$C$108,0))),0,I186*'Scenario Paths'!G81),"Unavailable"))</x:f>
      </x:c>
      <x:c r="K186" s="23" t="str">
        <x:f>IF(C186="","",IFERROR(IF(OR(H186&gt;0,AND(AC186&gt;=0,AC186=D186)),0,IF(D186&gt;=INDEX('Facilities'!$J$9:$J$108,MATCH(C186,'Facilities'!$C$9:$C$108,0)),G186+J186,MIN(G186+J186,G186*INDEX('Facilities'!$R$9:$R$108,MATCH(C186,'Facilities'!$C$9:$C$108,0))))),"Unavailable"))</x:f>
      </x:c>
      <x:c r="L186" s="21" t="str">
        <x:f>IF(C186="","",IFERROR(IF(AND(AC186=D186,AC186&gt;0),MAX(0,G186+J186-K186),0),"Unavailable"))</x:f>
      </x:c>
      <x:c r="M186" s="23" t="str">
        <x:f>IF(C186="","",IFERROR(IF(AND(AC186&gt;=0,D186&gt;=AC186+INDEX('Facilities'!$AK$9:$AK$108,MATCH(C186,'Facilities'!$C$9:$C$108,0))),(H186+L186)*AM186,0),"Unavailable"))</x:f>
      </x:c>
      <x:c r="N186" s="23" t="str">
        <x:f>IF(C186="","",IFERROR(IF(AND(AC186&gt;=0,D186&gt;=AC186+INDEX('Facilities'!$AK$9:$AK$108,MATCH(C186,'Facilities'!$C$9:$C$108,0))),H186+L186-M186,0),"Unavailable"))</x:f>
      </x:c>
      <x:c r="O186" s="21" t="str">
        <x:f>IF(C186="","",IFERROR(MAX(0,G186+J186-K186-L186),"Unavailable"))</x:f>
      </x:c>
      <x:c r="P186" s="21" t="str">
        <x:f>IF(C186="","",IFERROR(MAX(0,H186+L186-M186-N186),"Unavailable"))</x:f>
      </x:c>
      <x:c r="Q186" s="23" t="str">
        <x:f>IF(C186="","",IFERROR(IF(OR(D186&gt;=INDEX('Facilities'!$J$9:$J$108,MATCH(C186,'Facilities'!$C$9:$C$108,0)),AND(AC186&gt;=0,AC186&lt;=D186)),0,MAX(0,I186-J186)),"Unavailable"))</x:f>
      </x:c>
      <x:c r="R186" s="30" t="str">
        <x:f>IF(C186="","",IFERROR(INDEX(Credit!$Q$109:$Q$208,MATCH(F186,Credit!$C$109:$C$208,0)),"Unavailable"))</x:f>
      </x:c>
      <x:c r="S186" s="30" t="str">
        <x:f>IF(C186="","",IFERROR(INDEX(Credit!$R$109:$R$208,MATCH(F186,Credit!$C$109:$C$208,0)),"Unavailable"))</x:f>
      </x:c>
      <x:c r="T186" s="23" t="str">
        <x:f>IF(C186="","",IFERROR(IF(P186&gt;0,3,IF(OR(INDEX('Facilities'!$AD$9:$AD$108,MATCH(C186,'Facilities'!$C$9:$C$108,0))=2,AND(R186&gt;=INDEX('Facilities'!$L$9:$L$108,MATCH(C186,'Facilities'!$C$9:$C$108,0))*Settings!$F$19,R186-INDEX('Facilities'!$L$9:$L$108,MATCH(C186,'Facilities'!$C$9:$C$108,0))&gt;=Settings!$F$20)),2,1)),"Unavailable"))</x:f>
      </x:c>
      <x:c r="U186" s="23" t="str">
        <x:f>IF(C186="","",IF(AQ186&lt;&gt;"Ready","Unavailable",IF(C186="","",O186*(1-(1-S186)/(1+INDEX('Facilities'!$K$9:$K$108,MATCH(C186,'Facilities'!$C$9:$C$108,0)))^INDEX('Facilities'!$AK$9:$AK$108,MATCH(C186,'Facilities'!$C$9:$C$108,0)))*R186/(1+INDEX('Facilities'!$K$9:$K$108,MATCH(C186,'Facilities'!$C$9:$C$108,0)))*IF(ABS(1-(1-R186)*(1-INDEX('Facilities'!$R$9:$R$108,MATCH(C186,'Facilities'!$C$9:$C$108,0)))/(1+INDEX('Facilities'!$K$9:$K$108,MATCH(C186,'Facilities'!$C$9:$C$108,0))))&lt;0.000000001,IF(T186=1,MIN(1,AJ186),AJ186),(1-((1-R186)*(1-INDEX('Facilities'!$R$9:$R$108,MATCH(C186,'Facilities'!$C$9:$C$108,0)))/(1+INDEX('Facilities'!$K$9:$K$108,MATCH(C186,'Facilities'!$C$9:$C$108,0))))^IF(T186=1,MIN(1,AJ186),AJ186))/(1-(1-R186)*(1-INDEX('Facilities'!$R$9:$R$108,MATCH(C186,'Facilities'!$C$9:$C$108,0)))/(1+INDEX('Facilities'!$K$9:$K$108,MATCH(C186,'Facilities'!$C$9:$C$108,0)))))+AL186)))</x:f>
      </x:c>
      <x:c r="V186" s="23" t="str">
        <x:f>IF(C186="","",IF(AQ186&lt;&gt;"Ready","Unavailable",IF(C186="","",Q186*INDEX('Facilities'!$I$9:$I$108,MATCH(C186,'Facilities'!$C$9:$C$108,0))*(1-(1-S186)/(1+INDEX('Facilities'!$K$9:$K$108,MATCH(C186,'Facilities'!$C$9:$C$108,0)))^INDEX('Facilities'!$AK$9:$AK$108,MATCH(C186,'Facilities'!$C$9:$C$108,0)))*R186/(1+INDEX('Facilities'!$K$9:$K$108,MATCH(C186,'Facilities'!$C$9:$C$108,0)))*IF(ABS(1-(1-R186)*(1-0)/(1+INDEX('Facilities'!$K$9:$K$108,MATCH(C186,'Facilities'!$C$9:$C$108,0))))&lt;0.000000001,IF(T186=1,MIN(1,AJ186),AJ186),(1-((1-R186)*(1-0)/(1+INDEX('Facilities'!$K$9:$K$108,MATCH(C186,'Facilities'!$C$9:$C$108,0))))^IF(T186=1,MIN(1,AJ186),AJ186))/(1-(1-R186)*(1-0)/(1+INDEX('Facilities'!$K$9:$K$108,MATCH(C186,'Facilities'!$C$9:$C$108,0))))))))</x:f>
      </x:c>
      <x:c r="W186" s="21" t="str">
        <x:f>IF(C186="","",IFERROR(U86,"Unavailable"))</x:f>
      </x:c>
      <x:c r="X186" s="21" t="str">
        <x:f>IF(C186="","",IFERROR(V86,"Unavailable"))</x:f>
      </x:c>
      <x:c r="Y186" s="21" t="str">
        <x:f>IF(C186="","",IF(AQ186&lt;&gt;"Ready","Unavailable",IF(C186="","",U186-W186+V186-X186+N186+AG186)))</x:f>
      </x:c>
      <x:c r="Z186" s="23" t="str">
        <x:f>IF(C186="","",IF(AQ186&lt;&gt;"Ready","Unavailable",IF(C186="","",(G186+O186+L186)/2*INDEX('Facilities'!$T$9:$T$108,MATCH(C186,'Facilities'!$C$9:$C$108,0))+AG186)))</x:f>
      </x:c>
      <x:c r="AA186" s="23" t="str">
        <x:f>IF(C186="","",IF(AQ186&lt;&gt;"Ready","Unavailable",IF(C186="","",O186*(1-IF(INDEX('Facilities'!$AA$9:$AA$108,MATCH(C186,'Facilities'!$C$9:$C$108,0))=0,0,MIN(1,INDEX('Facilities'!$X$9:$X$108,MATCH(C186,'Facilities'!$C$9:$C$108,0))/INDEX('Facilities'!$AA$9:$AA$108,MATCH(C186,'Facilities'!$C$9:$C$108,0)))))*AF186+P186*(1-IF(INDEX('Facilities'!$AA$9:$AA$108,MATCH(C186,'Facilities'!$C$9:$C$108,0))=0,0,MIN(1,INDEX('Facilities'!$X$9:$X$108,MATCH(C186,'Facilities'!$C$9:$C$108,0))/INDEX('Facilities'!$AA$9:$AA$108,MATCH(C186,'Facilities'!$C$9:$C$108,0)))))*INDEX('Facilities'!$AJ$9:$AJ$108,MATCH(C186,'Facilities'!$C$9:$C$108,0))+Q186*INDEX('Facilities'!$AI$9:$AI$108,MATCH(C186,'Facilities'!$C$9:$C$108,0))*AF186)))</x:f>
      </x:c>
      <x:c r="AB186" s="21" t="str">
        <x:f>IF(C186="","",O186+P186-AD186)</x:f>
      </x:c>
      <x:c r="AC186" s="23" t="str">
        <x:f>IF(C186="","",IFERROR(IF(INDEX('Facilities'!$AD$9:$AD$108,MATCH(C186,'Facilities'!$C$9:$C$108,0))=3,0,IF(INDEX('Facilities'!$AN$9:$AN$108,MATCH(C186,'Facilities'!$C$9:$C$108,0))=0,-1,INDEX('Facilities'!$AN$9:$AN$108,MATCH(C186,'Facilities'!$C$9:$C$108,0)))),"Unavailable"))</x:f>
      </x:c>
      <x:c r="AD186" s="21" t="str">
        <x:f>IF(C186="","",IFERROR(G186+H186,"Unavailable"))</x:f>
      </x:c>
      <x:c r="AE186" s="21" t="str">
        <x:f>IF(C186="","",IF(AQ186&lt;&gt;"Ready","Unavailable",IF(C186="","",O186+P186-AD186-J186+K186+M186+N186)))</x:f>
      </x:c>
      <x:c r="AF186" s="30" t="str">
        <x:f>IF(C186="","",IFERROR(INDEX('Facilities'!$S$9:$S$108,MATCH(C186,'Facilities'!$C$9:$C$108,0))*'Scenario Paths'!G75,"Unavailable"))</x:f>
      </x:c>
      <x:c r="AG186" s="23" t="str">
        <x:f>IF(C186="","",IF(AQ186&lt;&gt;"Ready","Unavailable",IF(C186="","",IF(H186&gt;0,MAX(0,H186-AK186)*((1+INDEX('Facilities'!$K$9:$K$108,MATCH(C186,'Facilities'!$C$9:$C$108,0)))^MIN(1,MAX(0,AC186+INDEX('Facilities'!$AK$9:$AK$108,MATCH(C186,'Facilities'!$C$9:$C$108,0))-D186+1))-1),0))))</x:f>
      </x:c>
      <x:c r="AH186" s="21" t="str">
        <x:f>IF(C186="","",IF(AQ186&lt;&gt;"Ready","Unavailable",IF(C186="","",O186+P186)))</x:f>
      </x:c>
      <x:c r="AI186" s="21" t="str">
        <x:f>IF(C186="","",IF(AQ186&lt;&gt;"Ready","Unavailable",IF(C186="","",Z186-Y186)))</x:f>
      </x:c>
      <x:c r="AJ186" s="23" t="str">
        <x:f>IF(C186="","",IFERROR(MAX(0,INDEX('Facilities'!$J$9:$J$108,MATCH(C186,'Facilities'!$C$9:$C$108,0))-D186),"Unavailable"))</x:f>
      </x:c>
      <x:c r="AK186" s="21" t="str">
        <x:f>IF(C186="","",IFERROR(AL86,"Unavailable"))</x:f>
      </x:c>
      <x:c r="AL186" s="23" t="str">
        <x:f>IF(C186="","",IFERROR(IF(P186&gt;0,P186*(1-AM186/(1+INDEX('Facilities'!$K$9:$K$108,MATCH(C186,'Facilities'!$C$9:$C$108,0)))^MAX(0,AC186+INDEX('Facilities'!$AK$9:$AK$108,MATCH(C186,'Facilities'!$C$9:$C$108,0))-D186)),0),"Unavailable"))</x:f>
      </x:c>
      <x:c r="AM186" s="30" t="str">
        <x:f>IF(C186="","",IFERROR(INDEX('Facilities'!$AL$9:$AL$108,MATCH(C186,'Facilities'!$C$9:$C$108,0)),"Unavailable"))</x:f>
      </x:c>
      <x:c r="AN186" s="30" t="str">
        <x:f>IF(C186="","",IFERROR(INDEX(Credit!$T$109:$T$208,MATCH(F186,Credit!$C$109:$C$208,0)),"Unavailable"))</x:f>
      </x:c>
      <x:c r="AO186" s="23" t="str">
        <x:f>IF(C186="","",IF(AQ186&lt;&gt;"Ready","Unavailable",IF(C186="","",O186+P186+Q186*INDEX('Facilities'!$I$9:$I$108,MATCH(C186,'Facilities'!$C$9:$C$108,0)))))</x:f>
      </x:c>
      <x:c r="AP186" s="21" t="str">
        <x:f>IF(C186="","",IF(AQ186&lt;&gt;"Ready","Unavailable",IF(C186="","",AH186-U186)))</x:f>
      </x:c>
      <x:c r="AQ186" s="23" t="str">
        <x:f>IFERROR(IF(C186="","",IF(AND(INDEX('Facilities'!$AF$9:$AF$108,MATCH(C186,'Facilities'!$C$9:$C$108,0))="Ready",INDEX(Credit!$U$109:$U$208,MATCH(F186,Credit!$C$109:$C$208,0))="Ready",ISNUMBER(W186)),"Ready","Review inputs")),"Review inputs")</x:f>
      </x:c>
      <x:c r="AR186" s="23" t="str">
        <x:f>IF(C186="","",IF(AQ186&lt;&gt;"Ready","Unavailable",IF(C186="","",IF(O186=0,0,(IF(AJ186&lt;=1,O186,O186*INDEX('Facilities'!$R$9:$R$108,MATCH(C186,'Facilities'!$C$9:$C$108,0)))+O186*INDEX('Facilities'!$T$9:$T$108,MATCH(C186,'Facilities'!$C$9:$C$108,0)))/12))))</x:f>
      </x:c>
    </x:row>
    <x:row r="187" ht="26" customHeight="1">
      <x:c r="A187" s="1"/>
      <x:c r="B187" s="1"/>
      <x:c r="C187" s="9" t="str">
        <x:f>IF(Facilities!C87="","",Facilities!C87)</x:f>
      </x:c>
      <x:c r="D187" s="3" t="n">
        <x:v>2</x:v>
      </x:c>
      <x:c r="E187" s="9" t="n">
        <x:f>Settings!$F$18+1</x:f>
        <x:v>2028</x:v>
      </x:c>
      <x:c r="F187" s="9" t="str">
        <x:f>IF(C187="","",IFERROR(INDEX('Facilities'!$D$9:$D$108,MATCH(C187,'Facilities'!$C$9:$C$108,0)),"Unavailable"))</x:f>
      </x:c>
      <x:c r="G187" s="21" t="str">
        <x:f>IF(C187="","",IFERROR(O87,"Unavailable"))</x:f>
      </x:c>
      <x:c r="H187" s="21" t="str">
        <x:f>IF(C187="","",IFERROR(P87,"Unavailable"))</x:f>
      </x:c>
      <x:c r="I187" s="21" t="str">
        <x:f>IF(C187="","",IFERROR(Q87,"Unavailable"))</x:f>
      </x:c>
      <x:c r="J187" s="23" t="str">
        <x:f>IF(C187="","",IFERROR(IF(OR(H187&gt;0,AND(AC187&gt;=0,AC187&lt;D187),D187&gt;INDEX('Facilities'!$J$9:$J$108,MATCH(C187,'Facilities'!$C$9:$C$108,0))),0,I187*'Scenario Paths'!G81),"Unavailable"))</x:f>
      </x:c>
      <x:c r="K187" s="23" t="str">
        <x:f>IF(C187="","",IFERROR(IF(OR(H187&gt;0,AND(AC187&gt;=0,AC187=D187)),0,IF(D187&gt;=INDEX('Facilities'!$J$9:$J$108,MATCH(C187,'Facilities'!$C$9:$C$108,0)),G187+J187,MIN(G187+J187,G187*INDEX('Facilities'!$R$9:$R$108,MATCH(C187,'Facilities'!$C$9:$C$108,0))))),"Unavailable"))</x:f>
      </x:c>
      <x:c r="L187" s="21" t="str">
        <x:f>IF(C187="","",IFERROR(IF(AND(AC187=D187,AC187&gt;0),MAX(0,G187+J187-K187),0),"Unavailable"))</x:f>
      </x:c>
      <x:c r="M187" s="23" t="str">
        <x:f>IF(C187="","",IFERROR(IF(AND(AC187&gt;=0,D187&gt;=AC187+INDEX('Facilities'!$AK$9:$AK$108,MATCH(C187,'Facilities'!$C$9:$C$108,0))),(H187+L187)*AM187,0),"Unavailable"))</x:f>
      </x:c>
      <x:c r="N187" s="23" t="str">
        <x:f>IF(C187="","",IFERROR(IF(AND(AC187&gt;=0,D187&gt;=AC187+INDEX('Facilities'!$AK$9:$AK$108,MATCH(C187,'Facilities'!$C$9:$C$108,0))),H187+L187-M187,0),"Unavailable"))</x:f>
      </x:c>
      <x:c r="O187" s="21" t="str">
        <x:f>IF(C187="","",IFERROR(MAX(0,G187+J187-K187-L187),"Unavailable"))</x:f>
      </x:c>
      <x:c r="P187" s="21" t="str">
        <x:f>IF(C187="","",IFERROR(MAX(0,H187+L187-M187-N187),"Unavailable"))</x:f>
      </x:c>
      <x:c r="Q187" s="23" t="str">
        <x:f>IF(C187="","",IFERROR(IF(OR(D187&gt;=INDEX('Facilities'!$J$9:$J$108,MATCH(C187,'Facilities'!$C$9:$C$108,0)),AND(AC187&gt;=0,AC187&lt;=D187)),0,MAX(0,I187-J187)),"Unavailable"))</x:f>
      </x:c>
      <x:c r="R187" s="30" t="str">
        <x:f>IF(C187="","",IFERROR(INDEX(Credit!$Q$109:$Q$208,MATCH(F187,Credit!$C$109:$C$208,0)),"Unavailable"))</x:f>
      </x:c>
      <x:c r="S187" s="30" t="str">
        <x:f>IF(C187="","",IFERROR(INDEX(Credit!$R$109:$R$208,MATCH(F187,Credit!$C$109:$C$208,0)),"Unavailable"))</x:f>
      </x:c>
      <x:c r="T187" s="23" t="str">
        <x:f>IF(C187="","",IFERROR(IF(P187&gt;0,3,IF(OR(INDEX('Facilities'!$AD$9:$AD$108,MATCH(C187,'Facilities'!$C$9:$C$108,0))=2,AND(R187&gt;=INDEX('Facilities'!$L$9:$L$108,MATCH(C187,'Facilities'!$C$9:$C$108,0))*Settings!$F$19,R187-INDEX('Facilities'!$L$9:$L$108,MATCH(C187,'Facilities'!$C$9:$C$108,0))&gt;=Settings!$F$20)),2,1)),"Unavailable"))</x:f>
      </x:c>
      <x:c r="U187" s="23" t="str">
        <x:f>IF(C187="","",IF(AQ187&lt;&gt;"Ready","Unavailable",IF(C187="","",O187*(1-(1-S187)/(1+INDEX('Facilities'!$K$9:$K$108,MATCH(C187,'Facilities'!$C$9:$C$108,0)))^INDEX('Facilities'!$AK$9:$AK$108,MATCH(C187,'Facilities'!$C$9:$C$108,0)))*R187/(1+INDEX('Facilities'!$K$9:$K$108,MATCH(C187,'Facilities'!$C$9:$C$108,0)))*IF(ABS(1-(1-R187)*(1-INDEX('Facilities'!$R$9:$R$108,MATCH(C187,'Facilities'!$C$9:$C$108,0)))/(1+INDEX('Facilities'!$K$9:$K$108,MATCH(C187,'Facilities'!$C$9:$C$108,0))))&lt;0.000000001,IF(T187=1,MIN(1,AJ187),AJ187),(1-((1-R187)*(1-INDEX('Facilities'!$R$9:$R$108,MATCH(C187,'Facilities'!$C$9:$C$108,0)))/(1+INDEX('Facilities'!$K$9:$K$108,MATCH(C187,'Facilities'!$C$9:$C$108,0))))^IF(T187=1,MIN(1,AJ187),AJ187))/(1-(1-R187)*(1-INDEX('Facilities'!$R$9:$R$108,MATCH(C187,'Facilities'!$C$9:$C$108,0)))/(1+INDEX('Facilities'!$K$9:$K$108,MATCH(C187,'Facilities'!$C$9:$C$108,0)))))+AL187)))</x:f>
      </x:c>
      <x:c r="V187" s="23" t="str">
        <x:f>IF(C187="","",IF(AQ187&lt;&gt;"Ready","Unavailable",IF(C187="","",Q187*INDEX('Facilities'!$I$9:$I$108,MATCH(C187,'Facilities'!$C$9:$C$108,0))*(1-(1-S187)/(1+INDEX('Facilities'!$K$9:$K$108,MATCH(C187,'Facilities'!$C$9:$C$108,0)))^INDEX('Facilities'!$AK$9:$AK$108,MATCH(C187,'Facilities'!$C$9:$C$108,0)))*R187/(1+INDEX('Facilities'!$K$9:$K$108,MATCH(C187,'Facilities'!$C$9:$C$108,0)))*IF(ABS(1-(1-R187)*(1-0)/(1+INDEX('Facilities'!$K$9:$K$108,MATCH(C187,'Facilities'!$C$9:$C$108,0))))&lt;0.000000001,IF(T187=1,MIN(1,AJ187),AJ187),(1-((1-R187)*(1-0)/(1+INDEX('Facilities'!$K$9:$K$108,MATCH(C187,'Facilities'!$C$9:$C$108,0))))^IF(T187=1,MIN(1,AJ187),AJ187))/(1-(1-R187)*(1-0)/(1+INDEX('Facilities'!$K$9:$K$108,MATCH(C187,'Facilities'!$C$9:$C$108,0))))))))</x:f>
      </x:c>
      <x:c r="W187" s="21" t="str">
        <x:f>IF(C187="","",IFERROR(U87,"Unavailable"))</x:f>
      </x:c>
      <x:c r="X187" s="21" t="str">
        <x:f>IF(C187="","",IFERROR(V87,"Unavailable"))</x:f>
      </x:c>
      <x:c r="Y187" s="21" t="str">
        <x:f>IF(C187="","",IF(AQ187&lt;&gt;"Ready","Unavailable",IF(C187="","",U187-W187+V187-X187+N187+AG187)))</x:f>
      </x:c>
      <x:c r="Z187" s="23" t="str">
        <x:f>IF(C187="","",IF(AQ187&lt;&gt;"Ready","Unavailable",IF(C187="","",(G187+O187+L187)/2*INDEX('Facilities'!$T$9:$T$108,MATCH(C187,'Facilities'!$C$9:$C$108,0))+AG187)))</x:f>
      </x:c>
      <x:c r="AA187" s="23" t="str">
        <x:f>IF(C187="","",IF(AQ187&lt;&gt;"Ready","Unavailable",IF(C187="","",O187*(1-IF(INDEX('Facilities'!$AA$9:$AA$108,MATCH(C187,'Facilities'!$C$9:$C$108,0))=0,0,MIN(1,INDEX('Facilities'!$X$9:$X$108,MATCH(C187,'Facilities'!$C$9:$C$108,0))/INDEX('Facilities'!$AA$9:$AA$108,MATCH(C187,'Facilities'!$C$9:$C$108,0)))))*AF187+P187*(1-IF(INDEX('Facilities'!$AA$9:$AA$108,MATCH(C187,'Facilities'!$C$9:$C$108,0))=0,0,MIN(1,INDEX('Facilities'!$X$9:$X$108,MATCH(C187,'Facilities'!$C$9:$C$108,0))/INDEX('Facilities'!$AA$9:$AA$108,MATCH(C187,'Facilities'!$C$9:$C$108,0)))))*INDEX('Facilities'!$AJ$9:$AJ$108,MATCH(C187,'Facilities'!$C$9:$C$108,0))+Q187*INDEX('Facilities'!$AI$9:$AI$108,MATCH(C187,'Facilities'!$C$9:$C$108,0))*AF187)))</x:f>
      </x:c>
      <x:c r="AB187" s="21" t="str">
        <x:f>IF(C187="","",O187+P187-AD187)</x:f>
      </x:c>
      <x:c r="AC187" s="23" t="str">
        <x:f>IF(C187="","",IFERROR(IF(INDEX('Facilities'!$AD$9:$AD$108,MATCH(C187,'Facilities'!$C$9:$C$108,0))=3,0,IF(INDEX('Facilities'!$AN$9:$AN$108,MATCH(C187,'Facilities'!$C$9:$C$108,0))=0,-1,INDEX('Facilities'!$AN$9:$AN$108,MATCH(C187,'Facilities'!$C$9:$C$108,0)))),"Unavailable"))</x:f>
      </x:c>
      <x:c r="AD187" s="21" t="str">
        <x:f>IF(C187="","",IFERROR(G187+H187,"Unavailable"))</x:f>
      </x:c>
      <x:c r="AE187" s="21" t="str">
        <x:f>IF(C187="","",IF(AQ187&lt;&gt;"Ready","Unavailable",IF(C187="","",O187+P187-AD187-J187+K187+M187+N187)))</x:f>
      </x:c>
      <x:c r="AF187" s="30" t="str">
        <x:f>IF(C187="","",IFERROR(INDEX('Facilities'!$S$9:$S$108,MATCH(C187,'Facilities'!$C$9:$C$108,0))*'Scenario Paths'!G75,"Unavailable"))</x:f>
      </x:c>
      <x:c r="AG187" s="23" t="str">
        <x:f>IF(C187="","",IF(AQ187&lt;&gt;"Ready","Unavailable",IF(C187="","",IF(H187&gt;0,MAX(0,H187-AK187)*((1+INDEX('Facilities'!$K$9:$K$108,MATCH(C187,'Facilities'!$C$9:$C$108,0)))^MIN(1,MAX(0,AC187+INDEX('Facilities'!$AK$9:$AK$108,MATCH(C187,'Facilities'!$C$9:$C$108,0))-D187+1))-1),0))))</x:f>
      </x:c>
      <x:c r="AH187" s="21" t="str">
        <x:f>IF(C187="","",IF(AQ187&lt;&gt;"Ready","Unavailable",IF(C187="","",O187+P187)))</x:f>
      </x:c>
      <x:c r="AI187" s="21" t="str">
        <x:f>IF(C187="","",IF(AQ187&lt;&gt;"Ready","Unavailable",IF(C187="","",Z187-Y187)))</x:f>
      </x:c>
      <x:c r="AJ187" s="23" t="str">
        <x:f>IF(C187="","",IFERROR(MAX(0,INDEX('Facilities'!$J$9:$J$108,MATCH(C187,'Facilities'!$C$9:$C$108,0))-D187),"Unavailable"))</x:f>
      </x:c>
      <x:c r="AK187" s="21" t="str">
        <x:f>IF(C187="","",IFERROR(AL87,"Unavailable"))</x:f>
      </x:c>
      <x:c r="AL187" s="23" t="str">
        <x:f>IF(C187="","",IFERROR(IF(P187&gt;0,P187*(1-AM187/(1+INDEX('Facilities'!$K$9:$K$108,MATCH(C187,'Facilities'!$C$9:$C$108,0)))^MAX(0,AC187+INDEX('Facilities'!$AK$9:$AK$108,MATCH(C187,'Facilities'!$C$9:$C$108,0))-D187)),0),"Unavailable"))</x:f>
      </x:c>
      <x:c r="AM187" s="30" t="str">
        <x:f>IF(C187="","",IFERROR(INDEX('Facilities'!$AL$9:$AL$108,MATCH(C187,'Facilities'!$C$9:$C$108,0)),"Unavailable"))</x:f>
      </x:c>
      <x:c r="AN187" s="30" t="str">
        <x:f>IF(C187="","",IFERROR(INDEX(Credit!$T$109:$T$208,MATCH(F187,Credit!$C$109:$C$208,0)),"Unavailable"))</x:f>
      </x:c>
      <x:c r="AO187" s="23" t="str">
        <x:f>IF(C187="","",IF(AQ187&lt;&gt;"Ready","Unavailable",IF(C187="","",O187+P187+Q187*INDEX('Facilities'!$I$9:$I$108,MATCH(C187,'Facilities'!$C$9:$C$108,0)))))</x:f>
      </x:c>
      <x:c r="AP187" s="21" t="str">
        <x:f>IF(C187="","",IF(AQ187&lt;&gt;"Ready","Unavailable",IF(C187="","",AH187-U187)))</x:f>
      </x:c>
      <x:c r="AQ187" s="23" t="str">
        <x:f>IFERROR(IF(C187="","",IF(AND(INDEX('Facilities'!$AF$9:$AF$108,MATCH(C187,'Facilities'!$C$9:$C$108,0))="Ready",INDEX(Credit!$U$109:$U$208,MATCH(F187,Credit!$C$109:$C$208,0))="Ready",ISNUMBER(W187)),"Ready","Review inputs")),"Review inputs")</x:f>
      </x:c>
      <x:c r="AR187" s="23" t="str">
        <x:f>IF(C187="","",IF(AQ187&lt;&gt;"Ready","Unavailable",IF(C187="","",IF(O187=0,0,(IF(AJ187&lt;=1,O187,O187*INDEX('Facilities'!$R$9:$R$108,MATCH(C187,'Facilities'!$C$9:$C$108,0)))+O187*INDEX('Facilities'!$T$9:$T$108,MATCH(C187,'Facilities'!$C$9:$C$108,0)))/12))))</x:f>
      </x:c>
    </x:row>
    <x:row r="188" ht="26" customHeight="1">
      <x:c r="A188" s="1"/>
      <x:c r="B188" s="1"/>
      <x:c r="C188" s="9" t="str">
        <x:f>IF(Facilities!C88="","",Facilities!C88)</x:f>
      </x:c>
      <x:c r="D188" s="3" t="n">
        <x:v>2</x:v>
      </x:c>
      <x:c r="E188" s="9" t="n">
        <x:f>Settings!$F$18+1</x:f>
        <x:v>2028</x:v>
      </x:c>
      <x:c r="F188" s="9" t="str">
        <x:f>IF(C188="","",IFERROR(INDEX('Facilities'!$D$9:$D$108,MATCH(C188,'Facilities'!$C$9:$C$108,0)),"Unavailable"))</x:f>
      </x:c>
      <x:c r="G188" s="21" t="str">
        <x:f>IF(C188="","",IFERROR(O88,"Unavailable"))</x:f>
      </x:c>
      <x:c r="H188" s="21" t="str">
        <x:f>IF(C188="","",IFERROR(P88,"Unavailable"))</x:f>
      </x:c>
      <x:c r="I188" s="21" t="str">
        <x:f>IF(C188="","",IFERROR(Q88,"Unavailable"))</x:f>
      </x:c>
      <x:c r="J188" s="23" t="str">
        <x:f>IF(C188="","",IFERROR(IF(OR(H188&gt;0,AND(AC188&gt;=0,AC188&lt;D188),D188&gt;INDEX('Facilities'!$J$9:$J$108,MATCH(C188,'Facilities'!$C$9:$C$108,0))),0,I188*'Scenario Paths'!G81),"Unavailable"))</x:f>
      </x:c>
      <x:c r="K188" s="23" t="str">
        <x:f>IF(C188="","",IFERROR(IF(OR(H188&gt;0,AND(AC188&gt;=0,AC188=D188)),0,IF(D188&gt;=INDEX('Facilities'!$J$9:$J$108,MATCH(C188,'Facilities'!$C$9:$C$108,0)),G188+J188,MIN(G188+J188,G188*INDEX('Facilities'!$R$9:$R$108,MATCH(C188,'Facilities'!$C$9:$C$108,0))))),"Unavailable"))</x:f>
      </x:c>
      <x:c r="L188" s="21" t="str">
        <x:f>IF(C188="","",IFERROR(IF(AND(AC188=D188,AC188&gt;0),MAX(0,G188+J188-K188),0),"Unavailable"))</x:f>
      </x:c>
      <x:c r="M188" s="23" t="str">
        <x:f>IF(C188="","",IFERROR(IF(AND(AC188&gt;=0,D188&gt;=AC188+INDEX('Facilities'!$AK$9:$AK$108,MATCH(C188,'Facilities'!$C$9:$C$108,0))),(H188+L188)*AM188,0),"Unavailable"))</x:f>
      </x:c>
      <x:c r="N188" s="23" t="str">
        <x:f>IF(C188="","",IFERROR(IF(AND(AC188&gt;=0,D188&gt;=AC188+INDEX('Facilities'!$AK$9:$AK$108,MATCH(C188,'Facilities'!$C$9:$C$108,0))),H188+L188-M188,0),"Unavailable"))</x:f>
      </x:c>
      <x:c r="O188" s="21" t="str">
        <x:f>IF(C188="","",IFERROR(MAX(0,G188+J188-K188-L188),"Unavailable"))</x:f>
      </x:c>
      <x:c r="P188" s="21" t="str">
        <x:f>IF(C188="","",IFERROR(MAX(0,H188+L188-M188-N188),"Unavailable"))</x:f>
      </x:c>
      <x:c r="Q188" s="23" t="str">
        <x:f>IF(C188="","",IFERROR(IF(OR(D188&gt;=INDEX('Facilities'!$J$9:$J$108,MATCH(C188,'Facilities'!$C$9:$C$108,0)),AND(AC188&gt;=0,AC188&lt;=D188)),0,MAX(0,I188-J188)),"Unavailable"))</x:f>
      </x:c>
      <x:c r="R188" s="30" t="str">
        <x:f>IF(C188="","",IFERROR(INDEX(Credit!$Q$109:$Q$208,MATCH(F188,Credit!$C$109:$C$208,0)),"Unavailable"))</x:f>
      </x:c>
      <x:c r="S188" s="30" t="str">
        <x:f>IF(C188="","",IFERROR(INDEX(Credit!$R$109:$R$208,MATCH(F188,Credit!$C$109:$C$208,0)),"Unavailable"))</x:f>
      </x:c>
      <x:c r="T188" s="23" t="str">
        <x:f>IF(C188="","",IFERROR(IF(P188&gt;0,3,IF(OR(INDEX('Facilities'!$AD$9:$AD$108,MATCH(C188,'Facilities'!$C$9:$C$108,0))=2,AND(R188&gt;=INDEX('Facilities'!$L$9:$L$108,MATCH(C188,'Facilities'!$C$9:$C$108,0))*Settings!$F$19,R188-INDEX('Facilities'!$L$9:$L$108,MATCH(C188,'Facilities'!$C$9:$C$108,0))&gt;=Settings!$F$20)),2,1)),"Unavailable"))</x:f>
      </x:c>
      <x:c r="U188" s="23" t="str">
        <x:f>IF(C188="","",IF(AQ188&lt;&gt;"Ready","Unavailable",IF(C188="","",O188*(1-(1-S188)/(1+INDEX('Facilities'!$K$9:$K$108,MATCH(C188,'Facilities'!$C$9:$C$108,0)))^INDEX('Facilities'!$AK$9:$AK$108,MATCH(C188,'Facilities'!$C$9:$C$108,0)))*R188/(1+INDEX('Facilities'!$K$9:$K$108,MATCH(C188,'Facilities'!$C$9:$C$108,0)))*IF(ABS(1-(1-R188)*(1-INDEX('Facilities'!$R$9:$R$108,MATCH(C188,'Facilities'!$C$9:$C$108,0)))/(1+INDEX('Facilities'!$K$9:$K$108,MATCH(C188,'Facilities'!$C$9:$C$108,0))))&lt;0.000000001,IF(T188=1,MIN(1,AJ188),AJ188),(1-((1-R188)*(1-INDEX('Facilities'!$R$9:$R$108,MATCH(C188,'Facilities'!$C$9:$C$108,0)))/(1+INDEX('Facilities'!$K$9:$K$108,MATCH(C188,'Facilities'!$C$9:$C$108,0))))^IF(T188=1,MIN(1,AJ188),AJ188))/(1-(1-R188)*(1-INDEX('Facilities'!$R$9:$R$108,MATCH(C188,'Facilities'!$C$9:$C$108,0)))/(1+INDEX('Facilities'!$K$9:$K$108,MATCH(C188,'Facilities'!$C$9:$C$108,0)))))+AL188)))</x:f>
      </x:c>
      <x:c r="V188" s="23" t="str">
        <x:f>IF(C188="","",IF(AQ188&lt;&gt;"Ready","Unavailable",IF(C188="","",Q188*INDEX('Facilities'!$I$9:$I$108,MATCH(C188,'Facilities'!$C$9:$C$108,0))*(1-(1-S188)/(1+INDEX('Facilities'!$K$9:$K$108,MATCH(C188,'Facilities'!$C$9:$C$108,0)))^INDEX('Facilities'!$AK$9:$AK$108,MATCH(C188,'Facilities'!$C$9:$C$108,0)))*R188/(1+INDEX('Facilities'!$K$9:$K$108,MATCH(C188,'Facilities'!$C$9:$C$108,0)))*IF(ABS(1-(1-R188)*(1-0)/(1+INDEX('Facilities'!$K$9:$K$108,MATCH(C188,'Facilities'!$C$9:$C$108,0))))&lt;0.000000001,IF(T188=1,MIN(1,AJ188),AJ188),(1-((1-R188)*(1-0)/(1+INDEX('Facilities'!$K$9:$K$108,MATCH(C188,'Facilities'!$C$9:$C$108,0))))^IF(T188=1,MIN(1,AJ188),AJ188))/(1-(1-R188)*(1-0)/(1+INDEX('Facilities'!$K$9:$K$108,MATCH(C188,'Facilities'!$C$9:$C$108,0))))))))</x:f>
      </x:c>
      <x:c r="W188" s="21" t="str">
        <x:f>IF(C188="","",IFERROR(U88,"Unavailable"))</x:f>
      </x:c>
      <x:c r="X188" s="21" t="str">
        <x:f>IF(C188="","",IFERROR(V88,"Unavailable"))</x:f>
      </x:c>
      <x:c r="Y188" s="21" t="str">
        <x:f>IF(C188="","",IF(AQ188&lt;&gt;"Ready","Unavailable",IF(C188="","",U188-W188+V188-X188+N188+AG188)))</x:f>
      </x:c>
      <x:c r="Z188" s="23" t="str">
        <x:f>IF(C188="","",IF(AQ188&lt;&gt;"Ready","Unavailable",IF(C188="","",(G188+O188+L188)/2*INDEX('Facilities'!$T$9:$T$108,MATCH(C188,'Facilities'!$C$9:$C$108,0))+AG188)))</x:f>
      </x:c>
      <x:c r="AA188" s="23" t="str">
        <x:f>IF(C188="","",IF(AQ188&lt;&gt;"Ready","Unavailable",IF(C188="","",O188*(1-IF(INDEX('Facilities'!$AA$9:$AA$108,MATCH(C188,'Facilities'!$C$9:$C$108,0))=0,0,MIN(1,INDEX('Facilities'!$X$9:$X$108,MATCH(C188,'Facilities'!$C$9:$C$108,0))/INDEX('Facilities'!$AA$9:$AA$108,MATCH(C188,'Facilities'!$C$9:$C$108,0)))))*AF188+P188*(1-IF(INDEX('Facilities'!$AA$9:$AA$108,MATCH(C188,'Facilities'!$C$9:$C$108,0))=0,0,MIN(1,INDEX('Facilities'!$X$9:$X$108,MATCH(C188,'Facilities'!$C$9:$C$108,0))/INDEX('Facilities'!$AA$9:$AA$108,MATCH(C188,'Facilities'!$C$9:$C$108,0)))))*INDEX('Facilities'!$AJ$9:$AJ$108,MATCH(C188,'Facilities'!$C$9:$C$108,0))+Q188*INDEX('Facilities'!$AI$9:$AI$108,MATCH(C188,'Facilities'!$C$9:$C$108,0))*AF188)))</x:f>
      </x:c>
      <x:c r="AB188" s="21" t="str">
        <x:f>IF(C188="","",O188+P188-AD188)</x:f>
      </x:c>
      <x:c r="AC188" s="23" t="str">
        <x:f>IF(C188="","",IFERROR(IF(INDEX('Facilities'!$AD$9:$AD$108,MATCH(C188,'Facilities'!$C$9:$C$108,0))=3,0,IF(INDEX('Facilities'!$AN$9:$AN$108,MATCH(C188,'Facilities'!$C$9:$C$108,0))=0,-1,INDEX('Facilities'!$AN$9:$AN$108,MATCH(C188,'Facilities'!$C$9:$C$108,0)))),"Unavailable"))</x:f>
      </x:c>
      <x:c r="AD188" s="21" t="str">
        <x:f>IF(C188="","",IFERROR(G188+H188,"Unavailable"))</x:f>
      </x:c>
      <x:c r="AE188" s="21" t="str">
        <x:f>IF(C188="","",IF(AQ188&lt;&gt;"Ready","Unavailable",IF(C188="","",O188+P188-AD188-J188+K188+M188+N188)))</x:f>
      </x:c>
      <x:c r="AF188" s="30" t="str">
        <x:f>IF(C188="","",IFERROR(INDEX('Facilities'!$S$9:$S$108,MATCH(C188,'Facilities'!$C$9:$C$108,0))*'Scenario Paths'!G75,"Unavailable"))</x:f>
      </x:c>
      <x:c r="AG188" s="23" t="str">
        <x:f>IF(C188="","",IF(AQ188&lt;&gt;"Ready","Unavailable",IF(C188="","",IF(H188&gt;0,MAX(0,H188-AK188)*((1+INDEX('Facilities'!$K$9:$K$108,MATCH(C188,'Facilities'!$C$9:$C$108,0)))^MIN(1,MAX(0,AC188+INDEX('Facilities'!$AK$9:$AK$108,MATCH(C188,'Facilities'!$C$9:$C$108,0))-D188+1))-1),0))))</x:f>
      </x:c>
      <x:c r="AH188" s="21" t="str">
        <x:f>IF(C188="","",IF(AQ188&lt;&gt;"Ready","Unavailable",IF(C188="","",O188+P188)))</x:f>
      </x:c>
      <x:c r="AI188" s="21" t="str">
        <x:f>IF(C188="","",IF(AQ188&lt;&gt;"Ready","Unavailable",IF(C188="","",Z188-Y188)))</x:f>
      </x:c>
      <x:c r="AJ188" s="23" t="str">
        <x:f>IF(C188="","",IFERROR(MAX(0,INDEX('Facilities'!$J$9:$J$108,MATCH(C188,'Facilities'!$C$9:$C$108,0))-D188),"Unavailable"))</x:f>
      </x:c>
      <x:c r="AK188" s="21" t="str">
        <x:f>IF(C188="","",IFERROR(AL88,"Unavailable"))</x:f>
      </x:c>
      <x:c r="AL188" s="23" t="str">
        <x:f>IF(C188="","",IFERROR(IF(P188&gt;0,P188*(1-AM188/(1+INDEX('Facilities'!$K$9:$K$108,MATCH(C188,'Facilities'!$C$9:$C$108,0)))^MAX(0,AC188+INDEX('Facilities'!$AK$9:$AK$108,MATCH(C188,'Facilities'!$C$9:$C$108,0))-D188)),0),"Unavailable"))</x:f>
      </x:c>
      <x:c r="AM188" s="30" t="str">
        <x:f>IF(C188="","",IFERROR(INDEX('Facilities'!$AL$9:$AL$108,MATCH(C188,'Facilities'!$C$9:$C$108,0)),"Unavailable"))</x:f>
      </x:c>
      <x:c r="AN188" s="30" t="str">
        <x:f>IF(C188="","",IFERROR(INDEX(Credit!$T$109:$T$208,MATCH(F188,Credit!$C$109:$C$208,0)),"Unavailable"))</x:f>
      </x:c>
      <x:c r="AO188" s="23" t="str">
        <x:f>IF(C188="","",IF(AQ188&lt;&gt;"Ready","Unavailable",IF(C188="","",O188+P188+Q188*INDEX('Facilities'!$I$9:$I$108,MATCH(C188,'Facilities'!$C$9:$C$108,0)))))</x:f>
      </x:c>
      <x:c r="AP188" s="21" t="str">
        <x:f>IF(C188="","",IF(AQ188&lt;&gt;"Ready","Unavailable",IF(C188="","",AH188-U188)))</x:f>
      </x:c>
      <x:c r="AQ188" s="23" t="str">
        <x:f>IFERROR(IF(C188="","",IF(AND(INDEX('Facilities'!$AF$9:$AF$108,MATCH(C188,'Facilities'!$C$9:$C$108,0))="Ready",INDEX(Credit!$U$109:$U$208,MATCH(F188,Credit!$C$109:$C$208,0))="Ready",ISNUMBER(W188)),"Ready","Review inputs")),"Review inputs")</x:f>
      </x:c>
      <x:c r="AR188" s="23" t="str">
        <x:f>IF(C188="","",IF(AQ188&lt;&gt;"Ready","Unavailable",IF(C188="","",IF(O188=0,0,(IF(AJ188&lt;=1,O188,O188*INDEX('Facilities'!$R$9:$R$108,MATCH(C188,'Facilities'!$C$9:$C$108,0)))+O188*INDEX('Facilities'!$T$9:$T$108,MATCH(C188,'Facilities'!$C$9:$C$108,0)))/12))))</x:f>
      </x:c>
    </x:row>
    <x:row r="189" ht="26" customHeight="1">
      <x:c r="A189" s="1"/>
      <x:c r="B189" s="1"/>
      <x:c r="C189" s="9" t="str">
        <x:f>IF(Facilities!C89="","",Facilities!C89)</x:f>
      </x:c>
      <x:c r="D189" s="3" t="n">
        <x:v>2</x:v>
      </x:c>
      <x:c r="E189" s="9" t="n">
        <x:f>Settings!$F$18+1</x:f>
        <x:v>2028</x:v>
      </x:c>
      <x:c r="F189" s="9" t="str">
        <x:f>IF(C189="","",IFERROR(INDEX('Facilities'!$D$9:$D$108,MATCH(C189,'Facilities'!$C$9:$C$108,0)),"Unavailable"))</x:f>
      </x:c>
      <x:c r="G189" s="21" t="str">
        <x:f>IF(C189="","",IFERROR(O89,"Unavailable"))</x:f>
      </x:c>
      <x:c r="H189" s="21" t="str">
        <x:f>IF(C189="","",IFERROR(P89,"Unavailable"))</x:f>
      </x:c>
      <x:c r="I189" s="21" t="str">
        <x:f>IF(C189="","",IFERROR(Q89,"Unavailable"))</x:f>
      </x:c>
      <x:c r="J189" s="23" t="str">
        <x:f>IF(C189="","",IFERROR(IF(OR(H189&gt;0,AND(AC189&gt;=0,AC189&lt;D189),D189&gt;INDEX('Facilities'!$J$9:$J$108,MATCH(C189,'Facilities'!$C$9:$C$108,0))),0,I189*'Scenario Paths'!G81),"Unavailable"))</x:f>
      </x:c>
      <x:c r="K189" s="23" t="str">
        <x:f>IF(C189="","",IFERROR(IF(OR(H189&gt;0,AND(AC189&gt;=0,AC189=D189)),0,IF(D189&gt;=INDEX('Facilities'!$J$9:$J$108,MATCH(C189,'Facilities'!$C$9:$C$108,0)),G189+J189,MIN(G189+J189,G189*INDEX('Facilities'!$R$9:$R$108,MATCH(C189,'Facilities'!$C$9:$C$108,0))))),"Unavailable"))</x:f>
      </x:c>
      <x:c r="L189" s="21" t="str">
        <x:f>IF(C189="","",IFERROR(IF(AND(AC189=D189,AC189&gt;0),MAX(0,G189+J189-K189),0),"Unavailable"))</x:f>
      </x:c>
      <x:c r="M189" s="23" t="str">
        <x:f>IF(C189="","",IFERROR(IF(AND(AC189&gt;=0,D189&gt;=AC189+INDEX('Facilities'!$AK$9:$AK$108,MATCH(C189,'Facilities'!$C$9:$C$108,0))),(H189+L189)*AM189,0),"Unavailable"))</x:f>
      </x:c>
      <x:c r="N189" s="23" t="str">
        <x:f>IF(C189="","",IFERROR(IF(AND(AC189&gt;=0,D189&gt;=AC189+INDEX('Facilities'!$AK$9:$AK$108,MATCH(C189,'Facilities'!$C$9:$C$108,0))),H189+L189-M189,0),"Unavailable"))</x:f>
      </x:c>
      <x:c r="O189" s="21" t="str">
        <x:f>IF(C189="","",IFERROR(MAX(0,G189+J189-K189-L189),"Unavailable"))</x:f>
      </x:c>
      <x:c r="P189" s="21" t="str">
        <x:f>IF(C189="","",IFERROR(MAX(0,H189+L189-M189-N189),"Unavailable"))</x:f>
      </x:c>
      <x:c r="Q189" s="23" t="str">
        <x:f>IF(C189="","",IFERROR(IF(OR(D189&gt;=INDEX('Facilities'!$J$9:$J$108,MATCH(C189,'Facilities'!$C$9:$C$108,0)),AND(AC189&gt;=0,AC189&lt;=D189)),0,MAX(0,I189-J189)),"Unavailable"))</x:f>
      </x:c>
      <x:c r="R189" s="30" t="str">
        <x:f>IF(C189="","",IFERROR(INDEX(Credit!$Q$109:$Q$208,MATCH(F189,Credit!$C$109:$C$208,0)),"Unavailable"))</x:f>
      </x:c>
      <x:c r="S189" s="30" t="str">
        <x:f>IF(C189="","",IFERROR(INDEX(Credit!$R$109:$R$208,MATCH(F189,Credit!$C$109:$C$208,0)),"Unavailable"))</x:f>
      </x:c>
      <x:c r="T189" s="23" t="str">
        <x:f>IF(C189="","",IFERROR(IF(P189&gt;0,3,IF(OR(INDEX('Facilities'!$AD$9:$AD$108,MATCH(C189,'Facilities'!$C$9:$C$108,0))=2,AND(R189&gt;=INDEX('Facilities'!$L$9:$L$108,MATCH(C189,'Facilities'!$C$9:$C$108,0))*Settings!$F$19,R189-INDEX('Facilities'!$L$9:$L$108,MATCH(C189,'Facilities'!$C$9:$C$108,0))&gt;=Settings!$F$20)),2,1)),"Unavailable"))</x:f>
      </x:c>
      <x:c r="U189" s="23" t="str">
        <x:f>IF(C189="","",IF(AQ189&lt;&gt;"Ready","Unavailable",IF(C189="","",O189*(1-(1-S189)/(1+INDEX('Facilities'!$K$9:$K$108,MATCH(C189,'Facilities'!$C$9:$C$108,0)))^INDEX('Facilities'!$AK$9:$AK$108,MATCH(C189,'Facilities'!$C$9:$C$108,0)))*R189/(1+INDEX('Facilities'!$K$9:$K$108,MATCH(C189,'Facilities'!$C$9:$C$108,0)))*IF(ABS(1-(1-R189)*(1-INDEX('Facilities'!$R$9:$R$108,MATCH(C189,'Facilities'!$C$9:$C$108,0)))/(1+INDEX('Facilities'!$K$9:$K$108,MATCH(C189,'Facilities'!$C$9:$C$108,0))))&lt;0.000000001,IF(T189=1,MIN(1,AJ189),AJ189),(1-((1-R189)*(1-INDEX('Facilities'!$R$9:$R$108,MATCH(C189,'Facilities'!$C$9:$C$108,0)))/(1+INDEX('Facilities'!$K$9:$K$108,MATCH(C189,'Facilities'!$C$9:$C$108,0))))^IF(T189=1,MIN(1,AJ189),AJ189))/(1-(1-R189)*(1-INDEX('Facilities'!$R$9:$R$108,MATCH(C189,'Facilities'!$C$9:$C$108,0)))/(1+INDEX('Facilities'!$K$9:$K$108,MATCH(C189,'Facilities'!$C$9:$C$108,0)))))+AL189)))</x:f>
      </x:c>
      <x:c r="V189" s="23" t="str">
        <x:f>IF(C189="","",IF(AQ189&lt;&gt;"Ready","Unavailable",IF(C189="","",Q189*INDEX('Facilities'!$I$9:$I$108,MATCH(C189,'Facilities'!$C$9:$C$108,0))*(1-(1-S189)/(1+INDEX('Facilities'!$K$9:$K$108,MATCH(C189,'Facilities'!$C$9:$C$108,0)))^INDEX('Facilities'!$AK$9:$AK$108,MATCH(C189,'Facilities'!$C$9:$C$108,0)))*R189/(1+INDEX('Facilities'!$K$9:$K$108,MATCH(C189,'Facilities'!$C$9:$C$108,0)))*IF(ABS(1-(1-R189)*(1-0)/(1+INDEX('Facilities'!$K$9:$K$108,MATCH(C189,'Facilities'!$C$9:$C$108,0))))&lt;0.000000001,IF(T189=1,MIN(1,AJ189),AJ189),(1-((1-R189)*(1-0)/(1+INDEX('Facilities'!$K$9:$K$108,MATCH(C189,'Facilities'!$C$9:$C$108,0))))^IF(T189=1,MIN(1,AJ189),AJ189))/(1-(1-R189)*(1-0)/(1+INDEX('Facilities'!$K$9:$K$108,MATCH(C189,'Facilities'!$C$9:$C$108,0))))))))</x:f>
      </x:c>
      <x:c r="W189" s="21" t="str">
        <x:f>IF(C189="","",IFERROR(U89,"Unavailable"))</x:f>
      </x:c>
      <x:c r="X189" s="21" t="str">
        <x:f>IF(C189="","",IFERROR(V89,"Unavailable"))</x:f>
      </x:c>
      <x:c r="Y189" s="21" t="str">
        <x:f>IF(C189="","",IF(AQ189&lt;&gt;"Ready","Unavailable",IF(C189="","",U189-W189+V189-X189+N189+AG189)))</x:f>
      </x:c>
      <x:c r="Z189" s="23" t="str">
        <x:f>IF(C189="","",IF(AQ189&lt;&gt;"Ready","Unavailable",IF(C189="","",(G189+O189+L189)/2*INDEX('Facilities'!$T$9:$T$108,MATCH(C189,'Facilities'!$C$9:$C$108,0))+AG189)))</x:f>
      </x:c>
      <x:c r="AA189" s="23" t="str">
        <x:f>IF(C189="","",IF(AQ189&lt;&gt;"Ready","Unavailable",IF(C189="","",O189*(1-IF(INDEX('Facilities'!$AA$9:$AA$108,MATCH(C189,'Facilities'!$C$9:$C$108,0))=0,0,MIN(1,INDEX('Facilities'!$X$9:$X$108,MATCH(C189,'Facilities'!$C$9:$C$108,0))/INDEX('Facilities'!$AA$9:$AA$108,MATCH(C189,'Facilities'!$C$9:$C$108,0)))))*AF189+P189*(1-IF(INDEX('Facilities'!$AA$9:$AA$108,MATCH(C189,'Facilities'!$C$9:$C$108,0))=0,0,MIN(1,INDEX('Facilities'!$X$9:$X$108,MATCH(C189,'Facilities'!$C$9:$C$108,0))/INDEX('Facilities'!$AA$9:$AA$108,MATCH(C189,'Facilities'!$C$9:$C$108,0)))))*INDEX('Facilities'!$AJ$9:$AJ$108,MATCH(C189,'Facilities'!$C$9:$C$108,0))+Q189*INDEX('Facilities'!$AI$9:$AI$108,MATCH(C189,'Facilities'!$C$9:$C$108,0))*AF189)))</x:f>
      </x:c>
      <x:c r="AB189" s="21" t="str">
        <x:f>IF(C189="","",O189+P189-AD189)</x:f>
      </x:c>
      <x:c r="AC189" s="23" t="str">
        <x:f>IF(C189="","",IFERROR(IF(INDEX('Facilities'!$AD$9:$AD$108,MATCH(C189,'Facilities'!$C$9:$C$108,0))=3,0,IF(INDEX('Facilities'!$AN$9:$AN$108,MATCH(C189,'Facilities'!$C$9:$C$108,0))=0,-1,INDEX('Facilities'!$AN$9:$AN$108,MATCH(C189,'Facilities'!$C$9:$C$108,0)))),"Unavailable"))</x:f>
      </x:c>
      <x:c r="AD189" s="21" t="str">
        <x:f>IF(C189="","",IFERROR(G189+H189,"Unavailable"))</x:f>
      </x:c>
      <x:c r="AE189" s="21" t="str">
        <x:f>IF(C189="","",IF(AQ189&lt;&gt;"Ready","Unavailable",IF(C189="","",O189+P189-AD189-J189+K189+M189+N189)))</x:f>
      </x:c>
      <x:c r="AF189" s="30" t="str">
        <x:f>IF(C189="","",IFERROR(INDEX('Facilities'!$S$9:$S$108,MATCH(C189,'Facilities'!$C$9:$C$108,0))*'Scenario Paths'!G75,"Unavailable"))</x:f>
      </x:c>
      <x:c r="AG189" s="23" t="str">
        <x:f>IF(C189="","",IF(AQ189&lt;&gt;"Ready","Unavailable",IF(C189="","",IF(H189&gt;0,MAX(0,H189-AK189)*((1+INDEX('Facilities'!$K$9:$K$108,MATCH(C189,'Facilities'!$C$9:$C$108,0)))^MIN(1,MAX(0,AC189+INDEX('Facilities'!$AK$9:$AK$108,MATCH(C189,'Facilities'!$C$9:$C$108,0))-D189+1))-1),0))))</x:f>
      </x:c>
      <x:c r="AH189" s="21" t="str">
        <x:f>IF(C189="","",IF(AQ189&lt;&gt;"Ready","Unavailable",IF(C189="","",O189+P189)))</x:f>
      </x:c>
      <x:c r="AI189" s="21" t="str">
        <x:f>IF(C189="","",IF(AQ189&lt;&gt;"Ready","Unavailable",IF(C189="","",Z189-Y189)))</x:f>
      </x:c>
      <x:c r="AJ189" s="23" t="str">
        <x:f>IF(C189="","",IFERROR(MAX(0,INDEX('Facilities'!$J$9:$J$108,MATCH(C189,'Facilities'!$C$9:$C$108,0))-D189),"Unavailable"))</x:f>
      </x:c>
      <x:c r="AK189" s="21" t="str">
        <x:f>IF(C189="","",IFERROR(AL89,"Unavailable"))</x:f>
      </x:c>
      <x:c r="AL189" s="23" t="str">
        <x:f>IF(C189="","",IFERROR(IF(P189&gt;0,P189*(1-AM189/(1+INDEX('Facilities'!$K$9:$K$108,MATCH(C189,'Facilities'!$C$9:$C$108,0)))^MAX(0,AC189+INDEX('Facilities'!$AK$9:$AK$108,MATCH(C189,'Facilities'!$C$9:$C$108,0))-D189)),0),"Unavailable"))</x:f>
      </x:c>
      <x:c r="AM189" s="30" t="str">
        <x:f>IF(C189="","",IFERROR(INDEX('Facilities'!$AL$9:$AL$108,MATCH(C189,'Facilities'!$C$9:$C$108,0)),"Unavailable"))</x:f>
      </x:c>
      <x:c r="AN189" s="30" t="str">
        <x:f>IF(C189="","",IFERROR(INDEX(Credit!$T$109:$T$208,MATCH(F189,Credit!$C$109:$C$208,0)),"Unavailable"))</x:f>
      </x:c>
      <x:c r="AO189" s="23" t="str">
        <x:f>IF(C189="","",IF(AQ189&lt;&gt;"Ready","Unavailable",IF(C189="","",O189+P189+Q189*INDEX('Facilities'!$I$9:$I$108,MATCH(C189,'Facilities'!$C$9:$C$108,0)))))</x:f>
      </x:c>
      <x:c r="AP189" s="21" t="str">
        <x:f>IF(C189="","",IF(AQ189&lt;&gt;"Ready","Unavailable",IF(C189="","",AH189-U189)))</x:f>
      </x:c>
      <x:c r="AQ189" s="23" t="str">
        <x:f>IFERROR(IF(C189="","",IF(AND(INDEX('Facilities'!$AF$9:$AF$108,MATCH(C189,'Facilities'!$C$9:$C$108,0))="Ready",INDEX(Credit!$U$109:$U$208,MATCH(F189,Credit!$C$109:$C$208,0))="Ready",ISNUMBER(W189)),"Ready","Review inputs")),"Review inputs")</x:f>
      </x:c>
      <x:c r="AR189" s="23" t="str">
        <x:f>IF(C189="","",IF(AQ189&lt;&gt;"Ready","Unavailable",IF(C189="","",IF(O189=0,0,(IF(AJ189&lt;=1,O189,O189*INDEX('Facilities'!$R$9:$R$108,MATCH(C189,'Facilities'!$C$9:$C$108,0)))+O189*INDEX('Facilities'!$T$9:$T$108,MATCH(C189,'Facilities'!$C$9:$C$108,0)))/12))))</x:f>
      </x:c>
    </x:row>
    <x:row r="190" ht="26" customHeight="1">
      <x:c r="A190" s="1"/>
      <x:c r="B190" s="1"/>
      <x:c r="C190" s="9" t="str">
        <x:f>IF(Facilities!C90="","",Facilities!C90)</x:f>
      </x:c>
      <x:c r="D190" s="3" t="n">
        <x:v>2</x:v>
      </x:c>
      <x:c r="E190" s="9" t="n">
        <x:f>Settings!$F$18+1</x:f>
        <x:v>2028</x:v>
      </x:c>
      <x:c r="F190" s="9" t="str">
        <x:f>IF(C190="","",IFERROR(INDEX('Facilities'!$D$9:$D$108,MATCH(C190,'Facilities'!$C$9:$C$108,0)),"Unavailable"))</x:f>
      </x:c>
      <x:c r="G190" s="21" t="str">
        <x:f>IF(C190="","",IFERROR(O90,"Unavailable"))</x:f>
      </x:c>
      <x:c r="H190" s="21" t="str">
        <x:f>IF(C190="","",IFERROR(P90,"Unavailable"))</x:f>
      </x:c>
      <x:c r="I190" s="21" t="str">
        <x:f>IF(C190="","",IFERROR(Q90,"Unavailable"))</x:f>
      </x:c>
      <x:c r="J190" s="23" t="str">
        <x:f>IF(C190="","",IFERROR(IF(OR(H190&gt;0,AND(AC190&gt;=0,AC190&lt;D190),D190&gt;INDEX('Facilities'!$J$9:$J$108,MATCH(C190,'Facilities'!$C$9:$C$108,0))),0,I190*'Scenario Paths'!G81),"Unavailable"))</x:f>
      </x:c>
      <x:c r="K190" s="23" t="str">
        <x:f>IF(C190="","",IFERROR(IF(OR(H190&gt;0,AND(AC190&gt;=0,AC190=D190)),0,IF(D190&gt;=INDEX('Facilities'!$J$9:$J$108,MATCH(C190,'Facilities'!$C$9:$C$108,0)),G190+J190,MIN(G190+J190,G190*INDEX('Facilities'!$R$9:$R$108,MATCH(C190,'Facilities'!$C$9:$C$108,0))))),"Unavailable"))</x:f>
      </x:c>
      <x:c r="L190" s="21" t="str">
        <x:f>IF(C190="","",IFERROR(IF(AND(AC190=D190,AC190&gt;0),MAX(0,G190+J190-K190),0),"Unavailable"))</x:f>
      </x:c>
      <x:c r="M190" s="23" t="str">
        <x:f>IF(C190="","",IFERROR(IF(AND(AC190&gt;=0,D190&gt;=AC190+INDEX('Facilities'!$AK$9:$AK$108,MATCH(C190,'Facilities'!$C$9:$C$108,0))),(H190+L190)*AM190,0),"Unavailable"))</x:f>
      </x:c>
      <x:c r="N190" s="23" t="str">
        <x:f>IF(C190="","",IFERROR(IF(AND(AC190&gt;=0,D190&gt;=AC190+INDEX('Facilities'!$AK$9:$AK$108,MATCH(C190,'Facilities'!$C$9:$C$108,0))),H190+L190-M190,0),"Unavailable"))</x:f>
      </x:c>
      <x:c r="O190" s="21" t="str">
        <x:f>IF(C190="","",IFERROR(MAX(0,G190+J190-K190-L190),"Unavailable"))</x:f>
      </x:c>
      <x:c r="P190" s="21" t="str">
        <x:f>IF(C190="","",IFERROR(MAX(0,H190+L190-M190-N190),"Unavailable"))</x:f>
      </x:c>
      <x:c r="Q190" s="23" t="str">
        <x:f>IF(C190="","",IFERROR(IF(OR(D190&gt;=INDEX('Facilities'!$J$9:$J$108,MATCH(C190,'Facilities'!$C$9:$C$108,0)),AND(AC190&gt;=0,AC190&lt;=D190)),0,MAX(0,I190-J190)),"Unavailable"))</x:f>
      </x:c>
      <x:c r="R190" s="30" t="str">
        <x:f>IF(C190="","",IFERROR(INDEX(Credit!$Q$109:$Q$208,MATCH(F190,Credit!$C$109:$C$208,0)),"Unavailable"))</x:f>
      </x:c>
      <x:c r="S190" s="30" t="str">
        <x:f>IF(C190="","",IFERROR(INDEX(Credit!$R$109:$R$208,MATCH(F190,Credit!$C$109:$C$208,0)),"Unavailable"))</x:f>
      </x:c>
      <x:c r="T190" s="23" t="str">
        <x:f>IF(C190="","",IFERROR(IF(P190&gt;0,3,IF(OR(INDEX('Facilities'!$AD$9:$AD$108,MATCH(C190,'Facilities'!$C$9:$C$108,0))=2,AND(R190&gt;=INDEX('Facilities'!$L$9:$L$108,MATCH(C190,'Facilities'!$C$9:$C$108,0))*Settings!$F$19,R190-INDEX('Facilities'!$L$9:$L$108,MATCH(C190,'Facilities'!$C$9:$C$108,0))&gt;=Settings!$F$20)),2,1)),"Unavailable"))</x:f>
      </x:c>
      <x:c r="U190" s="23" t="str">
        <x:f>IF(C190="","",IF(AQ190&lt;&gt;"Ready","Unavailable",IF(C190="","",O190*(1-(1-S190)/(1+INDEX('Facilities'!$K$9:$K$108,MATCH(C190,'Facilities'!$C$9:$C$108,0)))^INDEX('Facilities'!$AK$9:$AK$108,MATCH(C190,'Facilities'!$C$9:$C$108,0)))*R190/(1+INDEX('Facilities'!$K$9:$K$108,MATCH(C190,'Facilities'!$C$9:$C$108,0)))*IF(ABS(1-(1-R190)*(1-INDEX('Facilities'!$R$9:$R$108,MATCH(C190,'Facilities'!$C$9:$C$108,0)))/(1+INDEX('Facilities'!$K$9:$K$108,MATCH(C190,'Facilities'!$C$9:$C$108,0))))&lt;0.000000001,IF(T190=1,MIN(1,AJ190),AJ190),(1-((1-R190)*(1-INDEX('Facilities'!$R$9:$R$108,MATCH(C190,'Facilities'!$C$9:$C$108,0)))/(1+INDEX('Facilities'!$K$9:$K$108,MATCH(C190,'Facilities'!$C$9:$C$108,0))))^IF(T190=1,MIN(1,AJ190),AJ190))/(1-(1-R190)*(1-INDEX('Facilities'!$R$9:$R$108,MATCH(C190,'Facilities'!$C$9:$C$108,0)))/(1+INDEX('Facilities'!$K$9:$K$108,MATCH(C190,'Facilities'!$C$9:$C$108,0)))))+AL190)))</x:f>
      </x:c>
      <x:c r="V190" s="23" t="str">
        <x:f>IF(C190="","",IF(AQ190&lt;&gt;"Ready","Unavailable",IF(C190="","",Q190*INDEX('Facilities'!$I$9:$I$108,MATCH(C190,'Facilities'!$C$9:$C$108,0))*(1-(1-S190)/(1+INDEX('Facilities'!$K$9:$K$108,MATCH(C190,'Facilities'!$C$9:$C$108,0)))^INDEX('Facilities'!$AK$9:$AK$108,MATCH(C190,'Facilities'!$C$9:$C$108,0)))*R190/(1+INDEX('Facilities'!$K$9:$K$108,MATCH(C190,'Facilities'!$C$9:$C$108,0)))*IF(ABS(1-(1-R190)*(1-0)/(1+INDEX('Facilities'!$K$9:$K$108,MATCH(C190,'Facilities'!$C$9:$C$108,0))))&lt;0.000000001,IF(T190=1,MIN(1,AJ190),AJ190),(1-((1-R190)*(1-0)/(1+INDEX('Facilities'!$K$9:$K$108,MATCH(C190,'Facilities'!$C$9:$C$108,0))))^IF(T190=1,MIN(1,AJ190),AJ190))/(1-(1-R190)*(1-0)/(1+INDEX('Facilities'!$K$9:$K$108,MATCH(C190,'Facilities'!$C$9:$C$108,0))))))))</x:f>
      </x:c>
      <x:c r="W190" s="21" t="str">
        <x:f>IF(C190="","",IFERROR(U90,"Unavailable"))</x:f>
      </x:c>
      <x:c r="X190" s="21" t="str">
        <x:f>IF(C190="","",IFERROR(V90,"Unavailable"))</x:f>
      </x:c>
      <x:c r="Y190" s="21" t="str">
        <x:f>IF(C190="","",IF(AQ190&lt;&gt;"Ready","Unavailable",IF(C190="","",U190-W190+V190-X190+N190+AG190)))</x:f>
      </x:c>
      <x:c r="Z190" s="23" t="str">
        <x:f>IF(C190="","",IF(AQ190&lt;&gt;"Ready","Unavailable",IF(C190="","",(G190+O190+L190)/2*INDEX('Facilities'!$T$9:$T$108,MATCH(C190,'Facilities'!$C$9:$C$108,0))+AG190)))</x:f>
      </x:c>
      <x:c r="AA190" s="23" t="str">
        <x:f>IF(C190="","",IF(AQ190&lt;&gt;"Ready","Unavailable",IF(C190="","",O190*(1-IF(INDEX('Facilities'!$AA$9:$AA$108,MATCH(C190,'Facilities'!$C$9:$C$108,0))=0,0,MIN(1,INDEX('Facilities'!$X$9:$X$108,MATCH(C190,'Facilities'!$C$9:$C$108,0))/INDEX('Facilities'!$AA$9:$AA$108,MATCH(C190,'Facilities'!$C$9:$C$108,0)))))*AF190+P190*(1-IF(INDEX('Facilities'!$AA$9:$AA$108,MATCH(C190,'Facilities'!$C$9:$C$108,0))=0,0,MIN(1,INDEX('Facilities'!$X$9:$X$108,MATCH(C190,'Facilities'!$C$9:$C$108,0))/INDEX('Facilities'!$AA$9:$AA$108,MATCH(C190,'Facilities'!$C$9:$C$108,0)))))*INDEX('Facilities'!$AJ$9:$AJ$108,MATCH(C190,'Facilities'!$C$9:$C$108,0))+Q190*INDEX('Facilities'!$AI$9:$AI$108,MATCH(C190,'Facilities'!$C$9:$C$108,0))*AF190)))</x:f>
      </x:c>
      <x:c r="AB190" s="21" t="str">
        <x:f>IF(C190="","",O190+P190-AD190)</x:f>
      </x:c>
      <x:c r="AC190" s="23" t="str">
        <x:f>IF(C190="","",IFERROR(IF(INDEX('Facilities'!$AD$9:$AD$108,MATCH(C190,'Facilities'!$C$9:$C$108,0))=3,0,IF(INDEX('Facilities'!$AN$9:$AN$108,MATCH(C190,'Facilities'!$C$9:$C$108,0))=0,-1,INDEX('Facilities'!$AN$9:$AN$108,MATCH(C190,'Facilities'!$C$9:$C$108,0)))),"Unavailable"))</x:f>
      </x:c>
      <x:c r="AD190" s="21" t="str">
        <x:f>IF(C190="","",IFERROR(G190+H190,"Unavailable"))</x:f>
      </x:c>
      <x:c r="AE190" s="21" t="str">
        <x:f>IF(C190="","",IF(AQ190&lt;&gt;"Ready","Unavailable",IF(C190="","",O190+P190-AD190-J190+K190+M190+N190)))</x:f>
      </x:c>
      <x:c r="AF190" s="30" t="str">
        <x:f>IF(C190="","",IFERROR(INDEX('Facilities'!$S$9:$S$108,MATCH(C190,'Facilities'!$C$9:$C$108,0))*'Scenario Paths'!G75,"Unavailable"))</x:f>
      </x:c>
      <x:c r="AG190" s="23" t="str">
        <x:f>IF(C190="","",IF(AQ190&lt;&gt;"Ready","Unavailable",IF(C190="","",IF(H190&gt;0,MAX(0,H190-AK190)*((1+INDEX('Facilities'!$K$9:$K$108,MATCH(C190,'Facilities'!$C$9:$C$108,0)))^MIN(1,MAX(0,AC190+INDEX('Facilities'!$AK$9:$AK$108,MATCH(C190,'Facilities'!$C$9:$C$108,0))-D190+1))-1),0))))</x:f>
      </x:c>
      <x:c r="AH190" s="21" t="str">
        <x:f>IF(C190="","",IF(AQ190&lt;&gt;"Ready","Unavailable",IF(C190="","",O190+P190)))</x:f>
      </x:c>
      <x:c r="AI190" s="21" t="str">
        <x:f>IF(C190="","",IF(AQ190&lt;&gt;"Ready","Unavailable",IF(C190="","",Z190-Y190)))</x:f>
      </x:c>
      <x:c r="AJ190" s="23" t="str">
        <x:f>IF(C190="","",IFERROR(MAX(0,INDEX('Facilities'!$J$9:$J$108,MATCH(C190,'Facilities'!$C$9:$C$108,0))-D190),"Unavailable"))</x:f>
      </x:c>
      <x:c r="AK190" s="21" t="str">
        <x:f>IF(C190="","",IFERROR(AL90,"Unavailable"))</x:f>
      </x:c>
      <x:c r="AL190" s="23" t="str">
        <x:f>IF(C190="","",IFERROR(IF(P190&gt;0,P190*(1-AM190/(1+INDEX('Facilities'!$K$9:$K$108,MATCH(C190,'Facilities'!$C$9:$C$108,0)))^MAX(0,AC190+INDEX('Facilities'!$AK$9:$AK$108,MATCH(C190,'Facilities'!$C$9:$C$108,0))-D190)),0),"Unavailable"))</x:f>
      </x:c>
      <x:c r="AM190" s="30" t="str">
        <x:f>IF(C190="","",IFERROR(INDEX('Facilities'!$AL$9:$AL$108,MATCH(C190,'Facilities'!$C$9:$C$108,0)),"Unavailable"))</x:f>
      </x:c>
      <x:c r="AN190" s="30" t="str">
        <x:f>IF(C190="","",IFERROR(INDEX(Credit!$T$109:$T$208,MATCH(F190,Credit!$C$109:$C$208,0)),"Unavailable"))</x:f>
      </x:c>
      <x:c r="AO190" s="23" t="str">
        <x:f>IF(C190="","",IF(AQ190&lt;&gt;"Ready","Unavailable",IF(C190="","",O190+P190+Q190*INDEX('Facilities'!$I$9:$I$108,MATCH(C190,'Facilities'!$C$9:$C$108,0)))))</x:f>
      </x:c>
      <x:c r="AP190" s="21" t="str">
        <x:f>IF(C190="","",IF(AQ190&lt;&gt;"Ready","Unavailable",IF(C190="","",AH190-U190)))</x:f>
      </x:c>
      <x:c r="AQ190" s="23" t="str">
        <x:f>IFERROR(IF(C190="","",IF(AND(INDEX('Facilities'!$AF$9:$AF$108,MATCH(C190,'Facilities'!$C$9:$C$108,0))="Ready",INDEX(Credit!$U$109:$U$208,MATCH(F190,Credit!$C$109:$C$208,0))="Ready",ISNUMBER(W190)),"Ready","Review inputs")),"Review inputs")</x:f>
      </x:c>
      <x:c r="AR190" s="23" t="str">
        <x:f>IF(C190="","",IF(AQ190&lt;&gt;"Ready","Unavailable",IF(C190="","",IF(O190=0,0,(IF(AJ190&lt;=1,O190,O190*INDEX('Facilities'!$R$9:$R$108,MATCH(C190,'Facilities'!$C$9:$C$108,0)))+O190*INDEX('Facilities'!$T$9:$T$108,MATCH(C190,'Facilities'!$C$9:$C$108,0)))/12))))</x:f>
      </x:c>
    </x:row>
    <x:row r="191" ht="26" customHeight="1">
      <x:c r="A191" s="1"/>
      <x:c r="B191" s="1"/>
      <x:c r="C191" s="9" t="str">
        <x:f>IF(Facilities!C91="","",Facilities!C91)</x:f>
      </x:c>
      <x:c r="D191" s="3" t="n">
        <x:v>2</x:v>
      </x:c>
      <x:c r="E191" s="9" t="n">
        <x:f>Settings!$F$18+1</x:f>
        <x:v>2028</x:v>
      </x:c>
      <x:c r="F191" s="9" t="str">
        <x:f>IF(C191="","",IFERROR(INDEX('Facilities'!$D$9:$D$108,MATCH(C191,'Facilities'!$C$9:$C$108,0)),"Unavailable"))</x:f>
      </x:c>
      <x:c r="G191" s="21" t="str">
        <x:f>IF(C191="","",IFERROR(O91,"Unavailable"))</x:f>
      </x:c>
      <x:c r="H191" s="21" t="str">
        <x:f>IF(C191="","",IFERROR(P91,"Unavailable"))</x:f>
      </x:c>
      <x:c r="I191" s="21" t="str">
        <x:f>IF(C191="","",IFERROR(Q91,"Unavailable"))</x:f>
      </x:c>
      <x:c r="J191" s="23" t="str">
        <x:f>IF(C191="","",IFERROR(IF(OR(H191&gt;0,AND(AC191&gt;=0,AC191&lt;D191),D191&gt;INDEX('Facilities'!$J$9:$J$108,MATCH(C191,'Facilities'!$C$9:$C$108,0))),0,I191*'Scenario Paths'!G81),"Unavailable"))</x:f>
      </x:c>
      <x:c r="K191" s="23" t="str">
        <x:f>IF(C191="","",IFERROR(IF(OR(H191&gt;0,AND(AC191&gt;=0,AC191=D191)),0,IF(D191&gt;=INDEX('Facilities'!$J$9:$J$108,MATCH(C191,'Facilities'!$C$9:$C$108,0)),G191+J191,MIN(G191+J191,G191*INDEX('Facilities'!$R$9:$R$108,MATCH(C191,'Facilities'!$C$9:$C$108,0))))),"Unavailable"))</x:f>
      </x:c>
      <x:c r="L191" s="21" t="str">
        <x:f>IF(C191="","",IFERROR(IF(AND(AC191=D191,AC191&gt;0),MAX(0,G191+J191-K191),0),"Unavailable"))</x:f>
      </x:c>
      <x:c r="M191" s="23" t="str">
        <x:f>IF(C191="","",IFERROR(IF(AND(AC191&gt;=0,D191&gt;=AC191+INDEX('Facilities'!$AK$9:$AK$108,MATCH(C191,'Facilities'!$C$9:$C$108,0))),(H191+L191)*AM191,0),"Unavailable"))</x:f>
      </x:c>
      <x:c r="N191" s="23" t="str">
        <x:f>IF(C191="","",IFERROR(IF(AND(AC191&gt;=0,D191&gt;=AC191+INDEX('Facilities'!$AK$9:$AK$108,MATCH(C191,'Facilities'!$C$9:$C$108,0))),H191+L191-M191,0),"Unavailable"))</x:f>
      </x:c>
      <x:c r="O191" s="21" t="str">
        <x:f>IF(C191="","",IFERROR(MAX(0,G191+J191-K191-L191),"Unavailable"))</x:f>
      </x:c>
      <x:c r="P191" s="21" t="str">
        <x:f>IF(C191="","",IFERROR(MAX(0,H191+L191-M191-N191),"Unavailable"))</x:f>
      </x:c>
      <x:c r="Q191" s="23" t="str">
        <x:f>IF(C191="","",IFERROR(IF(OR(D191&gt;=INDEX('Facilities'!$J$9:$J$108,MATCH(C191,'Facilities'!$C$9:$C$108,0)),AND(AC191&gt;=0,AC191&lt;=D191)),0,MAX(0,I191-J191)),"Unavailable"))</x:f>
      </x:c>
      <x:c r="R191" s="30" t="str">
        <x:f>IF(C191="","",IFERROR(INDEX(Credit!$Q$109:$Q$208,MATCH(F191,Credit!$C$109:$C$208,0)),"Unavailable"))</x:f>
      </x:c>
      <x:c r="S191" s="30" t="str">
        <x:f>IF(C191="","",IFERROR(INDEX(Credit!$R$109:$R$208,MATCH(F191,Credit!$C$109:$C$208,0)),"Unavailable"))</x:f>
      </x:c>
      <x:c r="T191" s="23" t="str">
        <x:f>IF(C191="","",IFERROR(IF(P191&gt;0,3,IF(OR(INDEX('Facilities'!$AD$9:$AD$108,MATCH(C191,'Facilities'!$C$9:$C$108,0))=2,AND(R191&gt;=INDEX('Facilities'!$L$9:$L$108,MATCH(C191,'Facilities'!$C$9:$C$108,0))*Settings!$F$19,R191-INDEX('Facilities'!$L$9:$L$108,MATCH(C191,'Facilities'!$C$9:$C$108,0))&gt;=Settings!$F$20)),2,1)),"Unavailable"))</x:f>
      </x:c>
      <x:c r="U191" s="23" t="str">
        <x:f>IF(C191="","",IF(AQ191&lt;&gt;"Ready","Unavailable",IF(C191="","",O191*(1-(1-S191)/(1+INDEX('Facilities'!$K$9:$K$108,MATCH(C191,'Facilities'!$C$9:$C$108,0)))^INDEX('Facilities'!$AK$9:$AK$108,MATCH(C191,'Facilities'!$C$9:$C$108,0)))*R191/(1+INDEX('Facilities'!$K$9:$K$108,MATCH(C191,'Facilities'!$C$9:$C$108,0)))*IF(ABS(1-(1-R191)*(1-INDEX('Facilities'!$R$9:$R$108,MATCH(C191,'Facilities'!$C$9:$C$108,0)))/(1+INDEX('Facilities'!$K$9:$K$108,MATCH(C191,'Facilities'!$C$9:$C$108,0))))&lt;0.000000001,IF(T191=1,MIN(1,AJ191),AJ191),(1-((1-R191)*(1-INDEX('Facilities'!$R$9:$R$108,MATCH(C191,'Facilities'!$C$9:$C$108,0)))/(1+INDEX('Facilities'!$K$9:$K$108,MATCH(C191,'Facilities'!$C$9:$C$108,0))))^IF(T191=1,MIN(1,AJ191),AJ191))/(1-(1-R191)*(1-INDEX('Facilities'!$R$9:$R$108,MATCH(C191,'Facilities'!$C$9:$C$108,0)))/(1+INDEX('Facilities'!$K$9:$K$108,MATCH(C191,'Facilities'!$C$9:$C$108,0)))))+AL191)))</x:f>
      </x:c>
      <x:c r="V191" s="23" t="str">
        <x:f>IF(C191="","",IF(AQ191&lt;&gt;"Ready","Unavailable",IF(C191="","",Q191*INDEX('Facilities'!$I$9:$I$108,MATCH(C191,'Facilities'!$C$9:$C$108,0))*(1-(1-S191)/(1+INDEX('Facilities'!$K$9:$K$108,MATCH(C191,'Facilities'!$C$9:$C$108,0)))^INDEX('Facilities'!$AK$9:$AK$108,MATCH(C191,'Facilities'!$C$9:$C$108,0)))*R191/(1+INDEX('Facilities'!$K$9:$K$108,MATCH(C191,'Facilities'!$C$9:$C$108,0)))*IF(ABS(1-(1-R191)*(1-0)/(1+INDEX('Facilities'!$K$9:$K$108,MATCH(C191,'Facilities'!$C$9:$C$108,0))))&lt;0.000000001,IF(T191=1,MIN(1,AJ191),AJ191),(1-((1-R191)*(1-0)/(1+INDEX('Facilities'!$K$9:$K$108,MATCH(C191,'Facilities'!$C$9:$C$108,0))))^IF(T191=1,MIN(1,AJ191),AJ191))/(1-(1-R191)*(1-0)/(1+INDEX('Facilities'!$K$9:$K$108,MATCH(C191,'Facilities'!$C$9:$C$108,0))))))))</x:f>
      </x:c>
      <x:c r="W191" s="21" t="str">
        <x:f>IF(C191="","",IFERROR(U91,"Unavailable"))</x:f>
      </x:c>
      <x:c r="X191" s="21" t="str">
        <x:f>IF(C191="","",IFERROR(V91,"Unavailable"))</x:f>
      </x:c>
      <x:c r="Y191" s="21" t="str">
        <x:f>IF(C191="","",IF(AQ191&lt;&gt;"Ready","Unavailable",IF(C191="","",U191-W191+V191-X191+N191+AG191)))</x:f>
      </x:c>
      <x:c r="Z191" s="23" t="str">
        <x:f>IF(C191="","",IF(AQ191&lt;&gt;"Ready","Unavailable",IF(C191="","",(G191+O191+L191)/2*INDEX('Facilities'!$T$9:$T$108,MATCH(C191,'Facilities'!$C$9:$C$108,0))+AG191)))</x:f>
      </x:c>
      <x:c r="AA191" s="23" t="str">
        <x:f>IF(C191="","",IF(AQ191&lt;&gt;"Ready","Unavailable",IF(C191="","",O191*(1-IF(INDEX('Facilities'!$AA$9:$AA$108,MATCH(C191,'Facilities'!$C$9:$C$108,0))=0,0,MIN(1,INDEX('Facilities'!$X$9:$X$108,MATCH(C191,'Facilities'!$C$9:$C$108,0))/INDEX('Facilities'!$AA$9:$AA$108,MATCH(C191,'Facilities'!$C$9:$C$108,0)))))*AF191+P191*(1-IF(INDEX('Facilities'!$AA$9:$AA$108,MATCH(C191,'Facilities'!$C$9:$C$108,0))=0,0,MIN(1,INDEX('Facilities'!$X$9:$X$108,MATCH(C191,'Facilities'!$C$9:$C$108,0))/INDEX('Facilities'!$AA$9:$AA$108,MATCH(C191,'Facilities'!$C$9:$C$108,0)))))*INDEX('Facilities'!$AJ$9:$AJ$108,MATCH(C191,'Facilities'!$C$9:$C$108,0))+Q191*INDEX('Facilities'!$AI$9:$AI$108,MATCH(C191,'Facilities'!$C$9:$C$108,0))*AF191)))</x:f>
      </x:c>
      <x:c r="AB191" s="21" t="str">
        <x:f>IF(C191="","",O191+P191-AD191)</x:f>
      </x:c>
      <x:c r="AC191" s="23" t="str">
        <x:f>IF(C191="","",IFERROR(IF(INDEX('Facilities'!$AD$9:$AD$108,MATCH(C191,'Facilities'!$C$9:$C$108,0))=3,0,IF(INDEX('Facilities'!$AN$9:$AN$108,MATCH(C191,'Facilities'!$C$9:$C$108,0))=0,-1,INDEX('Facilities'!$AN$9:$AN$108,MATCH(C191,'Facilities'!$C$9:$C$108,0)))),"Unavailable"))</x:f>
      </x:c>
      <x:c r="AD191" s="21" t="str">
        <x:f>IF(C191="","",IFERROR(G191+H191,"Unavailable"))</x:f>
      </x:c>
      <x:c r="AE191" s="21" t="str">
        <x:f>IF(C191="","",IF(AQ191&lt;&gt;"Ready","Unavailable",IF(C191="","",O191+P191-AD191-J191+K191+M191+N191)))</x:f>
      </x:c>
      <x:c r="AF191" s="30" t="str">
        <x:f>IF(C191="","",IFERROR(INDEX('Facilities'!$S$9:$S$108,MATCH(C191,'Facilities'!$C$9:$C$108,0))*'Scenario Paths'!G75,"Unavailable"))</x:f>
      </x:c>
      <x:c r="AG191" s="23" t="str">
        <x:f>IF(C191="","",IF(AQ191&lt;&gt;"Ready","Unavailable",IF(C191="","",IF(H191&gt;0,MAX(0,H191-AK191)*((1+INDEX('Facilities'!$K$9:$K$108,MATCH(C191,'Facilities'!$C$9:$C$108,0)))^MIN(1,MAX(0,AC191+INDEX('Facilities'!$AK$9:$AK$108,MATCH(C191,'Facilities'!$C$9:$C$108,0))-D191+1))-1),0))))</x:f>
      </x:c>
      <x:c r="AH191" s="21" t="str">
        <x:f>IF(C191="","",IF(AQ191&lt;&gt;"Ready","Unavailable",IF(C191="","",O191+P191)))</x:f>
      </x:c>
      <x:c r="AI191" s="21" t="str">
        <x:f>IF(C191="","",IF(AQ191&lt;&gt;"Ready","Unavailable",IF(C191="","",Z191-Y191)))</x:f>
      </x:c>
      <x:c r="AJ191" s="23" t="str">
        <x:f>IF(C191="","",IFERROR(MAX(0,INDEX('Facilities'!$J$9:$J$108,MATCH(C191,'Facilities'!$C$9:$C$108,0))-D191),"Unavailable"))</x:f>
      </x:c>
      <x:c r="AK191" s="21" t="str">
        <x:f>IF(C191="","",IFERROR(AL91,"Unavailable"))</x:f>
      </x:c>
      <x:c r="AL191" s="23" t="str">
        <x:f>IF(C191="","",IFERROR(IF(P191&gt;0,P191*(1-AM191/(1+INDEX('Facilities'!$K$9:$K$108,MATCH(C191,'Facilities'!$C$9:$C$108,0)))^MAX(0,AC191+INDEX('Facilities'!$AK$9:$AK$108,MATCH(C191,'Facilities'!$C$9:$C$108,0))-D191)),0),"Unavailable"))</x:f>
      </x:c>
      <x:c r="AM191" s="30" t="str">
        <x:f>IF(C191="","",IFERROR(INDEX('Facilities'!$AL$9:$AL$108,MATCH(C191,'Facilities'!$C$9:$C$108,0)),"Unavailable"))</x:f>
      </x:c>
      <x:c r="AN191" s="30" t="str">
        <x:f>IF(C191="","",IFERROR(INDEX(Credit!$T$109:$T$208,MATCH(F191,Credit!$C$109:$C$208,0)),"Unavailable"))</x:f>
      </x:c>
      <x:c r="AO191" s="23" t="str">
        <x:f>IF(C191="","",IF(AQ191&lt;&gt;"Ready","Unavailable",IF(C191="","",O191+P191+Q191*INDEX('Facilities'!$I$9:$I$108,MATCH(C191,'Facilities'!$C$9:$C$108,0)))))</x:f>
      </x:c>
      <x:c r="AP191" s="21" t="str">
        <x:f>IF(C191="","",IF(AQ191&lt;&gt;"Ready","Unavailable",IF(C191="","",AH191-U191)))</x:f>
      </x:c>
      <x:c r="AQ191" s="23" t="str">
        <x:f>IFERROR(IF(C191="","",IF(AND(INDEX('Facilities'!$AF$9:$AF$108,MATCH(C191,'Facilities'!$C$9:$C$108,0))="Ready",INDEX(Credit!$U$109:$U$208,MATCH(F191,Credit!$C$109:$C$208,0))="Ready",ISNUMBER(W191)),"Ready","Review inputs")),"Review inputs")</x:f>
      </x:c>
      <x:c r="AR191" s="23" t="str">
        <x:f>IF(C191="","",IF(AQ191&lt;&gt;"Ready","Unavailable",IF(C191="","",IF(O191=0,0,(IF(AJ191&lt;=1,O191,O191*INDEX('Facilities'!$R$9:$R$108,MATCH(C191,'Facilities'!$C$9:$C$108,0)))+O191*INDEX('Facilities'!$T$9:$T$108,MATCH(C191,'Facilities'!$C$9:$C$108,0)))/12))))</x:f>
      </x:c>
    </x:row>
    <x:row r="192" ht="26" customHeight="1">
      <x:c r="A192" s="1"/>
      <x:c r="B192" s="1"/>
      <x:c r="C192" s="9" t="str">
        <x:f>IF(Facilities!C92="","",Facilities!C92)</x:f>
      </x:c>
      <x:c r="D192" s="3" t="n">
        <x:v>2</x:v>
      </x:c>
      <x:c r="E192" s="9" t="n">
        <x:f>Settings!$F$18+1</x:f>
        <x:v>2028</x:v>
      </x:c>
      <x:c r="F192" s="9" t="str">
        <x:f>IF(C192="","",IFERROR(INDEX('Facilities'!$D$9:$D$108,MATCH(C192,'Facilities'!$C$9:$C$108,0)),"Unavailable"))</x:f>
      </x:c>
      <x:c r="G192" s="21" t="str">
        <x:f>IF(C192="","",IFERROR(O92,"Unavailable"))</x:f>
      </x:c>
      <x:c r="H192" s="21" t="str">
        <x:f>IF(C192="","",IFERROR(P92,"Unavailable"))</x:f>
      </x:c>
      <x:c r="I192" s="21" t="str">
        <x:f>IF(C192="","",IFERROR(Q92,"Unavailable"))</x:f>
      </x:c>
      <x:c r="J192" s="23" t="str">
        <x:f>IF(C192="","",IFERROR(IF(OR(H192&gt;0,AND(AC192&gt;=0,AC192&lt;D192),D192&gt;INDEX('Facilities'!$J$9:$J$108,MATCH(C192,'Facilities'!$C$9:$C$108,0))),0,I192*'Scenario Paths'!G81),"Unavailable"))</x:f>
      </x:c>
      <x:c r="K192" s="23" t="str">
        <x:f>IF(C192="","",IFERROR(IF(OR(H192&gt;0,AND(AC192&gt;=0,AC192=D192)),0,IF(D192&gt;=INDEX('Facilities'!$J$9:$J$108,MATCH(C192,'Facilities'!$C$9:$C$108,0)),G192+J192,MIN(G192+J192,G192*INDEX('Facilities'!$R$9:$R$108,MATCH(C192,'Facilities'!$C$9:$C$108,0))))),"Unavailable"))</x:f>
      </x:c>
      <x:c r="L192" s="21" t="str">
        <x:f>IF(C192="","",IFERROR(IF(AND(AC192=D192,AC192&gt;0),MAX(0,G192+J192-K192),0),"Unavailable"))</x:f>
      </x:c>
      <x:c r="M192" s="23" t="str">
        <x:f>IF(C192="","",IFERROR(IF(AND(AC192&gt;=0,D192&gt;=AC192+INDEX('Facilities'!$AK$9:$AK$108,MATCH(C192,'Facilities'!$C$9:$C$108,0))),(H192+L192)*AM192,0),"Unavailable"))</x:f>
      </x:c>
      <x:c r="N192" s="23" t="str">
        <x:f>IF(C192="","",IFERROR(IF(AND(AC192&gt;=0,D192&gt;=AC192+INDEX('Facilities'!$AK$9:$AK$108,MATCH(C192,'Facilities'!$C$9:$C$108,0))),H192+L192-M192,0),"Unavailable"))</x:f>
      </x:c>
      <x:c r="O192" s="21" t="str">
        <x:f>IF(C192="","",IFERROR(MAX(0,G192+J192-K192-L192),"Unavailable"))</x:f>
      </x:c>
      <x:c r="P192" s="21" t="str">
        <x:f>IF(C192="","",IFERROR(MAX(0,H192+L192-M192-N192),"Unavailable"))</x:f>
      </x:c>
      <x:c r="Q192" s="23" t="str">
        <x:f>IF(C192="","",IFERROR(IF(OR(D192&gt;=INDEX('Facilities'!$J$9:$J$108,MATCH(C192,'Facilities'!$C$9:$C$108,0)),AND(AC192&gt;=0,AC192&lt;=D192)),0,MAX(0,I192-J192)),"Unavailable"))</x:f>
      </x:c>
      <x:c r="R192" s="30" t="str">
        <x:f>IF(C192="","",IFERROR(INDEX(Credit!$Q$109:$Q$208,MATCH(F192,Credit!$C$109:$C$208,0)),"Unavailable"))</x:f>
      </x:c>
      <x:c r="S192" s="30" t="str">
        <x:f>IF(C192="","",IFERROR(INDEX(Credit!$R$109:$R$208,MATCH(F192,Credit!$C$109:$C$208,0)),"Unavailable"))</x:f>
      </x:c>
      <x:c r="T192" s="23" t="str">
        <x:f>IF(C192="","",IFERROR(IF(P192&gt;0,3,IF(OR(INDEX('Facilities'!$AD$9:$AD$108,MATCH(C192,'Facilities'!$C$9:$C$108,0))=2,AND(R192&gt;=INDEX('Facilities'!$L$9:$L$108,MATCH(C192,'Facilities'!$C$9:$C$108,0))*Settings!$F$19,R192-INDEX('Facilities'!$L$9:$L$108,MATCH(C192,'Facilities'!$C$9:$C$108,0))&gt;=Settings!$F$20)),2,1)),"Unavailable"))</x:f>
      </x:c>
      <x:c r="U192" s="23" t="str">
        <x:f>IF(C192="","",IF(AQ192&lt;&gt;"Ready","Unavailable",IF(C192="","",O192*(1-(1-S192)/(1+INDEX('Facilities'!$K$9:$K$108,MATCH(C192,'Facilities'!$C$9:$C$108,0)))^INDEX('Facilities'!$AK$9:$AK$108,MATCH(C192,'Facilities'!$C$9:$C$108,0)))*R192/(1+INDEX('Facilities'!$K$9:$K$108,MATCH(C192,'Facilities'!$C$9:$C$108,0)))*IF(ABS(1-(1-R192)*(1-INDEX('Facilities'!$R$9:$R$108,MATCH(C192,'Facilities'!$C$9:$C$108,0)))/(1+INDEX('Facilities'!$K$9:$K$108,MATCH(C192,'Facilities'!$C$9:$C$108,0))))&lt;0.000000001,IF(T192=1,MIN(1,AJ192),AJ192),(1-((1-R192)*(1-INDEX('Facilities'!$R$9:$R$108,MATCH(C192,'Facilities'!$C$9:$C$108,0)))/(1+INDEX('Facilities'!$K$9:$K$108,MATCH(C192,'Facilities'!$C$9:$C$108,0))))^IF(T192=1,MIN(1,AJ192),AJ192))/(1-(1-R192)*(1-INDEX('Facilities'!$R$9:$R$108,MATCH(C192,'Facilities'!$C$9:$C$108,0)))/(1+INDEX('Facilities'!$K$9:$K$108,MATCH(C192,'Facilities'!$C$9:$C$108,0)))))+AL192)))</x:f>
      </x:c>
      <x:c r="V192" s="23" t="str">
        <x:f>IF(C192="","",IF(AQ192&lt;&gt;"Ready","Unavailable",IF(C192="","",Q192*INDEX('Facilities'!$I$9:$I$108,MATCH(C192,'Facilities'!$C$9:$C$108,0))*(1-(1-S192)/(1+INDEX('Facilities'!$K$9:$K$108,MATCH(C192,'Facilities'!$C$9:$C$108,0)))^INDEX('Facilities'!$AK$9:$AK$108,MATCH(C192,'Facilities'!$C$9:$C$108,0)))*R192/(1+INDEX('Facilities'!$K$9:$K$108,MATCH(C192,'Facilities'!$C$9:$C$108,0)))*IF(ABS(1-(1-R192)*(1-0)/(1+INDEX('Facilities'!$K$9:$K$108,MATCH(C192,'Facilities'!$C$9:$C$108,0))))&lt;0.000000001,IF(T192=1,MIN(1,AJ192),AJ192),(1-((1-R192)*(1-0)/(1+INDEX('Facilities'!$K$9:$K$108,MATCH(C192,'Facilities'!$C$9:$C$108,0))))^IF(T192=1,MIN(1,AJ192),AJ192))/(1-(1-R192)*(1-0)/(1+INDEX('Facilities'!$K$9:$K$108,MATCH(C192,'Facilities'!$C$9:$C$108,0))))))))</x:f>
      </x:c>
      <x:c r="W192" s="21" t="str">
        <x:f>IF(C192="","",IFERROR(U92,"Unavailable"))</x:f>
      </x:c>
      <x:c r="X192" s="21" t="str">
        <x:f>IF(C192="","",IFERROR(V92,"Unavailable"))</x:f>
      </x:c>
      <x:c r="Y192" s="21" t="str">
        <x:f>IF(C192="","",IF(AQ192&lt;&gt;"Ready","Unavailable",IF(C192="","",U192-W192+V192-X192+N192+AG192)))</x:f>
      </x:c>
      <x:c r="Z192" s="23" t="str">
        <x:f>IF(C192="","",IF(AQ192&lt;&gt;"Ready","Unavailable",IF(C192="","",(G192+O192+L192)/2*INDEX('Facilities'!$T$9:$T$108,MATCH(C192,'Facilities'!$C$9:$C$108,0))+AG192)))</x:f>
      </x:c>
      <x:c r="AA192" s="23" t="str">
        <x:f>IF(C192="","",IF(AQ192&lt;&gt;"Ready","Unavailable",IF(C192="","",O192*(1-IF(INDEX('Facilities'!$AA$9:$AA$108,MATCH(C192,'Facilities'!$C$9:$C$108,0))=0,0,MIN(1,INDEX('Facilities'!$X$9:$X$108,MATCH(C192,'Facilities'!$C$9:$C$108,0))/INDEX('Facilities'!$AA$9:$AA$108,MATCH(C192,'Facilities'!$C$9:$C$108,0)))))*AF192+P192*(1-IF(INDEX('Facilities'!$AA$9:$AA$108,MATCH(C192,'Facilities'!$C$9:$C$108,0))=0,0,MIN(1,INDEX('Facilities'!$X$9:$X$108,MATCH(C192,'Facilities'!$C$9:$C$108,0))/INDEX('Facilities'!$AA$9:$AA$108,MATCH(C192,'Facilities'!$C$9:$C$108,0)))))*INDEX('Facilities'!$AJ$9:$AJ$108,MATCH(C192,'Facilities'!$C$9:$C$108,0))+Q192*INDEX('Facilities'!$AI$9:$AI$108,MATCH(C192,'Facilities'!$C$9:$C$108,0))*AF192)))</x:f>
      </x:c>
      <x:c r="AB192" s="21" t="str">
        <x:f>IF(C192="","",O192+P192-AD192)</x:f>
      </x:c>
      <x:c r="AC192" s="23" t="str">
        <x:f>IF(C192="","",IFERROR(IF(INDEX('Facilities'!$AD$9:$AD$108,MATCH(C192,'Facilities'!$C$9:$C$108,0))=3,0,IF(INDEX('Facilities'!$AN$9:$AN$108,MATCH(C192,'Facilities'!$C$9:$C$108,0))=0,-1,INDEX('Facilities'!$AN$9:$AN$108,MATCH(C192,'Facilities'!$C$9:$C$108,0)))),"Unavailable"))</x:f>
      </x:c>
      <x:c r="AD192" s="21" t="str">
        <x:f>IF(C192="","",IFERROR(G192+H192,"Unavailable"))</x:f>
      </x:c>
      <x:c r="AE192" s="21" t="str">
        <x:f>IF(C192="","",IF(AQ192&lt;&gt;"Ready","Unavailable",IF(C192="","",O192+P192-AD192-J192+K192+M192+N192)))</x:f>
      </x:c>
      <x:c r="AF192" s="30" t="str">
        <x:f>IF(C192="","",IFERROR(INDEX('Facilities'!$S$9:$S$108,MATCH(C192,'Facilities'!$C$9:$C$108,0))*'Scenario Paths'!G75,"Unavailable"))</x:f>
      </x:c>
      <x:c r="AG192" s="23" t="str">
        <x:f>IF(C192="","",IF(AQ192&lt;&gt;"Ready","Unavailable",IF(C192="","",IF(H192&gt;0,MAX(0,H192-AK192)*((1+INDEX('Facilities'!$K$9:$K$108,MATCH(C192,'Facilities'!$C$9:$C$108,0)))^MIN(1,MAX(0,AC192+INDEX('Facilities'!$AK$9:$AK$108,MATCH(C192,'Facilities'!$C$9:$C$108,0))-D192+1))-1),0))))</x:f>
      </x:c>
      <x:c r="AH192" s="21" t="str">
        <x:f>IF(C192="","",IF(AQ192&lt;&gt;"Ready","Unavailable",IF(C192="","",O192+P192)))</x:f>
      </x:c>
      <x:c r="AI192" s="21" t="str">
        <x:f>IF(C192="","",IF(AQ192&lt;&gt;"Ready","Unavailable",IF(C192="","",Z192-Y192)))</x:f>
      </x:c>
      <x:c r="AJ192" s="23" t="str">
        <x:f>IF(C192="","",IFERROR(MAX(0,INDEX('Facilities'!$J$9:$J$108,MATCH(C192,'Facilities'!$C$9:$C$108,0))-D192),"Unavailable"))</x:f>
      </x:c>
      <x:c r="AK192" s="21" t="str">
        <x:f>IF(C192="","",IFERROR(AL92,"Unavailable"))</x:f>
      </x:c>
      <x:c r="AL192" s="23" t="str">
        <x:f>IF(C192="","",IFERROR(IF(P192&gt;0,P192*(1-AM192/(1+INDEX('Facilities'!$K$9:$K$108,MATCH(C192,'Facilities'!$C$9:$C$108,0)))^MAX(0,AC192+INDEX('Facilities'!$AK$9:$AK$108,MATCH(C192,'Facilities'!$C$9:$C$108,0))-D192)),0),"Unavailable"))</x:f>
      </x:c>
      <x:c r="AM192" s="30" t="str">
        <x:f>IF(C192="","",IFERROR(INDEX('Facilities'!$AL$9:$AL$108,MATCH(C192,'Facilities'!$C$9:$C$108,0)),"Unavailable"))</x:f>
      </x:c>
      <x:c r="AN192" s="30" t="str">
        <x:f>IF(C192="","",IFERROR(INDEX(Credit!$T$109:$T$208,MATCH(F192,Credit!$C$109:$C$208,0)),"Unavailable"))</x:f>
      </x:c>
      <x:c r="AO192" s="23" t="str">
        <x:f>IF(C192="","",IF(AQ192&lt;&gt;"Ready","Unavailable",IF(C192="","",O192+P192+Q192*INDEX('Facilities'!$I$9:$I$108,MATCH(C192,'Facilities'!$C$9:$C$108,0)))))</x:f>
      </x:c>
      <x:c r="AP192" s="21" t="str">
        <x:f>IF(C192="","",IF(AQ192&lt;&gt;"Ready","Unavailable",IF(C192="","",AH192-U192)))</x:f>
      </x:c>
      <x:c r="AQ192" s="23" t="str">
        <x:f>IFERROR(IF(C192="","",IF(AND(INDEX('Facilities'!$AF$9:$AF$108,MATCH(C192,'Facilities'!$C$9:$C$108,0))="Ready",INDEX(Credit!$U$109:$U$208,MATCH(F192,Credit!$C$109:$C$208,0))="Ready",ISNUMBER(W192)),"Ready","Review inputs")),"Review inputs")</x:f>
      </x:c>
      <x:c r="AR192" s="23" t="str">
        <x:f>IF(C192="","",IF(AQ192&lt;&gt;"Ready","Unavailable",IF(C192="","",IF(O192=0,0,(IF(AJ192&lt;=1,O192,O192*INDEX('Facilities'!$R$9:$R$108,MATCH(C192,'Facilities'!$C$9:$C$108,0)))+O192*INDEX('Facilities'!$T$9:$T$108,MATCH(C192,'Facilities'!$C$9:$C$108,0)))/12))))</x:f>
      </x:c>
    </x:row>
    <x:row r="193" ht="26" customHeight="1">
      <x:c r="A193" s="1"/>
      <x:c r="B193" s="1"/>
      <x:c r="C193" s="9" t="str">
        <x:f>IF(Facilities!C93="","",Facilities!C93)</x:f>
      </x:c>
      <x:c r="D193" s="3" t="n">
        <x:v>2</x:v>
      </x:c>
      <x:c r="E193" s="9" t="n">
        <x:f>Settings!$F$18+1</x:f>
        <x:v>2028</x:v>
      </x:c>
      <x:c r="F193" s="9" t="str">
        <x:f>IF(C193="","",IFERROR(INDEX('Facilities'!$D$9:$D$108,MATCH(C193,'Facilities'!$C$9:$C$108,0)),"Unavailable"))</x:f>
      </x:c>
      <x:c r="G193" s="21" t="str">
        <x:f>IF(C193="","",IFERROR(O93,"Unavailable"))</x:f>
      </x:c>
      <x:c r="H193" s="21" t="str">
        <x:f>IF(C193="","",IFERROR(P93,"Unavailable"))</x:f>
      </x:c>
      <x:c r="I193" s="21" t="str">
        <x:f>IF(C193="","",IFERROR(Q93,"Unavailable"))</x:f>
      </x:c>
      <x:c r="J193" s="23" t="str">
        <x:f>IF(C193="","",IFERROR(IF(OR(H193&gt;0,AND(AC193&gt;=0,AC193&lt;D193),D193&gt;INDEX('Facilities'!$J$9:$J$108,MATCH(C193,'Facilities'!$C$9:$C$108,0))),0,I193*'Scenario Paths'!G81),"Unavailable"))</x:f>
      </x:c>
      <x:c r="K193" s="23" t="str">
        <x:f>IF(C193="","",IFERROR(IF(OR(H193&gt;0,AND(AC193&gt;=0,AC193=D193)),0,IF(D193&gt;=INDEX('Facilities'!$J$9:$J$108,MATCH(C193,'Facilities'!$C$9:$C$108,0)),G193+J193,MIN(G193+J193,G193*INDEX('Facilities'!$R$9:$R$108,MATCH(C193,'Facilities'!$C$9:$C$108,0))))),"Unavailable"))</x:f>
      </x:c>
      <x:c r="L193" s="21" t="str">
        <x:f>IF(C193="","",IFERROR(IF(AND(AC193=D193,AC193&gt;0),MAX(0,G193+J193-K193),0),"Unavailable"))</x:f>
      </x:c>
      <x:c r="M193" s="23" t="str">
        <x:f>IF(C193="","",IFERROR(IF(AND(AC193&gt;=0,D193&gt;=AC193+INDEX('Facilities'!$AK$9:$AK$108,MATCH(C193,'Facilities'!$C$9:$C$108,0))),(H193+L193)*AM193,0),"Unavailable"))</x:f>
      </x:c>
      <x:c r="N193" s="23" t="str">
        <x:f>IF(C193="","",IFERROR(IF(AND(AC193&gt;=0,D193&gt;=AC193+INDEX('Facilities'!$AK$9:$AK$108,MATCH(C193,'Facilities'!$C$9:$C$108,0))),H193+L193-M193,0),"Unavailable"))</x:f>
      </x:c>
      <x:c r="O193" s="21" t="str">
        <x:f>IF(C193="","",IFERROR(MAX(0,G193+J193-K193-L193),"Unavailable"))</x:f>
      </x:c>
      <x:c r="P193" s="21" t="str">
        <x:f>IF(C193="","",IFERROR(MAX(0,H193+L193-M193-N193),"Unavailable"))</x:f>
      </x:c>
      <x:c r="Q193" s="23" t="str">
        <x:f>IF(C193="","",IFERROR(IF(OR(D193&gt;=INDEX('Facilities'!$J$9:$J$108,MATCH(C193,'Facilities'!$C$9:$C$108,0)),AND(AC193&gt;=0,AC193&lt;=D193)),0,MAX(0,I193-J193)),"Unavailable"))</x:f>
      </x:c>
      <x:c r="R193" s="30" t="str">
        <x:f>IF(C193="","",IFERROR(INDEX(Credit!$Q$109:$Q$208,MATCH(F193,Credit!$C$109:$C$208,0)),"Unavailable"))</x:f>
      </x:c>
      <x:c r="S193" s="30" t="str">
        <x:f>IF(C193="","",IFERROR(INDEX(Credit!$R$109:$R$208,MATCH(F193,Credit!$C$109:$C$208,0)),"Unavailable"))</x:f>
      </x:c>
      <x:c r="T193" s="23" t="str">
        <x:f>IF(C193="","",IFERROR(IF(P193&gt;0,3,IF(OR(INDEX('Facilities'!$AD$9:$AD$108,MATCH(C193,'Facilities'!$C$9:$C$108,0))=2,AND(R193&gt;=INDEX('Facilities'!$L$9:$L$108,MATCH(C193,'Facilities'!$C$9:$C$108,0))*Settings!$F$19,R193-INDEX('Facilities'!$L$9:$L$108,MATCH(C193,'Facilities'!$C$9:$C$108,0))&gt;=Settings!$F$20)),2,1)),"Unavailable"))</x:f>
      </x:c>
      <x:c r="U193" s="23" t="str">
        <x:f>IF(C193="","",IF(AQ193&lt;&gt;"Ready","Unavailable",IF(C193="","",O193*(1-(1-S193)/(1+INDEX('Facilities'!$K$9:$K$108,MATCH(C193,'Facilities'!$C$9:$C$108,0)))^INDEX('Facilities'!$AK$9:$AK$108,MATCH(C193,'Facilities'!$C$9:$C$108,0)))*R193/(1+INDEX('Facilities'!$K$9:$K$108,MATCH(C193,'Facilities'!$C$9:$C$108,0)))*IF(ABS(1-(1-R193)*(1-INDEX('Facilities'!$R$9:$R$108,MATCH(C193,'Facilities'!$C$9:$C$108,0)))/(1+INDEX('Facilities'!$K$9:$K$108,MATCH(C193,'Facilities'!$C$9:$C$108,0))))&lt;0.000000001,IF(T193=1,MIN(1,AJ193),AJ193),(1-((1-R193)*(1-INDEX('Facilities'!$R$9:$R$108,MATCH(C193,'Facilities'!$C$9:$C$108,0)))/(1+INDEX('Facilities'!$K$9:$K$108,MATCH(C193,'Facilities'!$C$9:$C$108,0))))^IF(T193=1,MIN(1,AJ193),AJ193))/(1-(1-R193)*(1-INDEX('Facilities'!$R$9:$R$108,MATCH(C193,'Facilities'!$C$9:$C$108,0)))/(1+INDEX('Facilities'!$K$9:$K$108,MATCH(C193,'Facilities'!$C$9:$C$108,0)))))+AL193)))</x:f>
      </x:c>
      <x:c r="V193" s="23" t="str">
        <x:f>IF(C193="","",IF(AQ193&lt;&gt;"Ready","Unavailable",IF(C193="","",Q193*INDEX('Facilities'!$I$9:$I$108,MATCH(C193,'Facilities'!$C$9:$C$108,0))*(1-(1-S193)/(1+INDEX('Facilities'!$K$9:$K$108,MATCH(C193,'Facilities'!$C$9:$C$108,0)))^INDEX('Facilities'!$AK$9:$AK$108,MATCH(C193,'Facilities'!$C$9:$C$108,0)))*R193/(1+INDEX('Facilities'!$K$9:$K$108,MATCH(C193,'Facilities'!$C$9:$C$108,0)))*IF(ABS(1-(1-R193)*(1-0)/(1+INDEX('Facilities'!$K$9:$K$108,MATCH(C193,'Facilities'!$C$9:$C$108,0))))&lt;0.000000001,IF(T193=1,MIN(1,AJ193),AJ193),(1-((1-R193)*(1-0)/(1+INDEX('Facilities'!$K$9:$K$108,MATCH(C193,'Facilities'!$C$9:$C$108,0))))^IF(T193=1,MIN(1,AJ193),AJ193))/(1-(1-R193)*(1-0)/(1+INDEX('Facilities'!$K$9:$K$108,MATCH(C193,'Facilities'!$C$9:$C$108,0))))))))</x:f>
      </x:c>
      <x:c r="W193" s="21" t="str">
        <x:f>IF(C193="","",IFERROR(U93,"Unavailable"))</x:f>
      </x:c>
      <x:c r="X193" s="21" t="str">
        <x:f>IF(C193="","",IFERROR(V93,"Unavailable"))</x:f>
      </x:c>
      <x:c r="Y193" s="21" t="str">
        <x:f>IF(C193="","",IF(AQ193&lt;&gt;"Ready","Unavailable",IF(C193="","",U193-W193+V193-X193+N193+AG193)))</x:f>
      </x:c>
      <x:c r="Z193" s="23" t="str">
        <x:f>IF(C193="","",IF(AQ193&lt;&gt;"Ready","Unavailable",IF(C193="","",(G193+O193+L193)/2*INDEX('Facilities'!$T$9:$T$108,MATCH(C193,'Facilities'!$C$9:$C$108,0))+AG193)))</x:f>
      </x:c>
      <x:c r="AA193" s="23" t="str">
        <x:f>IF(C193="","",IF(AQ193&lt;&gt;"Ready","Unavailable",IF(C193="","",O193*(1-IF(INDEX('Facilities'!$AA$9:$AA$108,MATCH(C193,'Facilities'!$C$9:$C$108,0))=0,0,MIN(1,INDEX('Facilities'!$X$9:$X$108,MATCH(C193,'Facilities'!$C$9:$C$108,0))/INDEX('Facilities'!$AA$9:$AA$108,MATCH(C193,'Facilities'!$C$9:$C$108,0)))))*AF193+P193*(1-IF(INDEX('Facilities'!$AA$9:$AA$108,MATCH(C193,'Facilities'!$C$9:$C$108,0))=0,0,MIN(1,INDEX('Facilities'!$X$9:$X$108,MATCH(C193,'Facilities'!$C$9:$C$108,0))/INDEX('Facilities'!$AA$9:$AA$108,MATCH(C193,'Facilities'!$C$9:$C$108,0)))))*INDEX('Facilities'!$AJ$9:$AJ$108,MATCH(C193,'Facilities'!$C$9:$C$108,0))+Q193*INDEX('Facilities'!$AI$9:$AI$108,MATCH(C193,'Facilities'!$C$9:$C$108,0))*AF193)))</x:f>
      </x:c>
      <x:c r="AB193" s="21" t="str">
        <x:f>IF(C193="","",O193+P193-AD193)</x:f>
      </x:c>
      <x:c r="AC193" s="23" t="str">
        <x:f>IF(C193="","",IFERROR(IF(INDEX('Facilities'!$AD$9:$AD$108,MATCH(C193,'Facilities'!$C$9:$C$108,0))=3,0,IF(INDEX('Facilities'!$AN$9:$AN$108,MATCH(C193,'Facilities'!$C$9:$C$108,0))=0,-1,INDEX('Facilities'!$AN$9:$AN$108,MATCH(C193,'Facilities'!$C$9:$C$108,0)))),"Unavailable"))</x:f>
      </x:c>
      <x:c r="AD193" s="21" t="str">
        <x:f>IF(C193="","",IFERROR(G193+H193,"Unavailable"))</x:f>
      </x:c>
      <x:c r="AE193" s="21" t="str">
        <x:f>IF(C193="","",IF(AQ193&lt;&gt;"Ready","Unavailable",IF(C193="","",O193+P193-AD193-J193+K193+M193+N193)))</x:f>
      </x:c>
      <x:c r="AF193" s="30" t="str">
        <x:f>IF(C193="","",IFERROR(INDEX('Facilities'!$S$9:$S$108,MATCH(C193,'Facilities'!$C$9:$C$108,0))*'Scenario Paths'!G75,"Unavailable"))</x:f>
      </x:c>
      <x:c r="AG193" s="23" t="str">
        <x:f>IF(C193="","",IF(AQ193&lt;&gt;"Ready","Unavailable",IF(C193="","",IF(H193&gt;0,MAX(0,H193-AK193)*((1+INDEX('Facilities'!$K$9:$K$108,MATCH(C193,'Facilities'!$C$9:$C$108,0)))^MIN(1,MAX(0,AC193+INDEX('Facilities'!$AK$9:$AK$108,MATCH(C193,'Facilities'!$C$9:$C$108,0))-D193+1))-1),0))))</x:f>
      </x:c>
      <x:c r="AH193" s="21" t="str">
        <x:f>IF(C193="","",IF(AQ193&lt;&gt;"Ready","Unavailable",IF(C193="","",O193+P193)))</x:f>
      </x:c>
      <x:c r="AI193" s="21" t="str">
        <x:f>IF(C193="","",IF(AQ193&lt;&gt;"Ready","Unavailable",IF(C193="","",Z193-Y193)))</x:f>
      </x:c>
      <x:c r="AJ193" s="23" t="str">
        <x:f>IF(C193="","",IFERROR(MAX(0,INDEX('Facilities'!$J$9:$J$108,MATCH(C193,'Facilities'!$C$9:$C$108,0))-D193),"Unavailable"))</x:f>
      </x:c>
      <x:c r="AK193" s="21" t="str">
        <x:f>IF(C193="","",IFERROR(AL93,"Unavailable"))</x:f>
      </x:c>
      <x:c r="AL193" s="23" t="str">
        <x:f>IF(C193="","",IFERROR(IF(P193&gt;0,P193*(1-AM193/(1+INDEX('Facilities'!$K$9:$K$108,MATCH(C193,'Facilities'!$C$9:$C$108,0)))^MAX(0,AC193+INDEX('Facilities'!$AK$9:$AK$108,MATCH(C193,'Facilities'!$C$9:$C$108,0))-D193)),0),"Unavailable"))</x:f>
      </x:c>
      <x:c r="AM193" s="30" t="str">
        <x:f>IF(C193="","",IFERROR(INDEX('Facilities'!$AL$9:$AL$108,MATCH(C193,'Facilities'!$C$9:$C$108,0)),"Unavailable"))</x:f>
      </x:c>
      <x:c r="AN193" s="30" t="str">
        <x:f>IF(C193="","",IFERROR(INDEX(Credit!$T$109:$T$208,MATCH(F193,Credit!$C$109:$C$208,0)),"Unavailable"))</x:f>
      </x:c>
      <x:c r="AO193" s="23" t="str">
        <x:f>IF(C193="","",IF(AQ193&lt;&gt;"Ready","Unavailable",IF(C193="","",O193+P193+Q193*INDEX('Facilities'!$I$9:$I$108,MATCH(C193,'Facilities'!$C$9:$C$108,0)))))</x:f>
      </x:c>
      <x:c r="AP193" s="21" t="str">
        <x:f>IF(C193="","",IF(AQ193&lt;&gt;"Ready","Unavailable",IF(C193="","",AH193-U193)))</x:f>
      </x:c>
      <x:c r="AQ193" s="23" t="str">
        <x:f>IFERROR(IF(C193="","",IF(AND(INDEX('Facilities'!$AF$9:$AF$108,MATCH(C193,'Facilities'!$C$9:$C$108,0))="Ready",INDEX(Credit!$U$109:$U$208,MATCH(F193,Credit!$C$109:$C$208,0))="Ready",ISNUMBER(W193)),"Ready","Review inputs")),"Review inputs")</x:f>
      </x:c>
      <x:c r="AR193" s="23" t="str">
        <x:f>IF(C193="","",IF(AQ193&lt;&gt;"Ready","Unavailable",IF(C193="","",IF(O193=0,0,(IF(AJ193&lt;=1,O193,O193*INDEX('Facilities'!$R$9:$R$108,MATCH(C193,'Facilities'!$C$9:$C$108,0)))+O193*INDEX('Facilities'!$T$9:$T$108,MATCH(C193,'Facilities'!$C$9:$C$108,0)))/12))))</x:f>
      </x:c>
    </x:row>
    <x:row r="194" ht="26" customHeight="1">
      <x:c r="A194" s="1"/>
      <x:c r="B194" s="1"/>
      <x:c r="C194" s="9" t="str">
        <x:f>IF(Facilities!C94="","",Facilities!C94)</x:f>
      </x:c>
      <x:c r="D194" s="3" t="n">
        <x:v>2</x:v>
      </x:c>
      <x:c r="E194" s="9" t="n">
        <x:f>Settings!$F$18+1</x:f>
        <x:v>2028</x:v>
      </x:c>
      <x:c r="F194" s="9" t="str">
        <x:f>IF(C194="","",IFERROR(INDEX('Facilities'!$D$9:$D$108,MATCH(C194,'Facilities'!$C$9:$C$108,0)),"Unavailable"))</x:f>
      </x:c>
      <x:c r="G194" s="21" t="str">
        <x:f>IF(C194="","",IFERROR(O94,"Unavailable"))</x:f>
      </x:c>
      <x:c r="H194" s="21" t="str">
        <x:f>IF(C194="","",IFERROR(P94,"Unavailable"))</x:f>
      </x:c>
      <x:c r="I194" s="21" t="str">
        <x:f>IF(C194="","",IFERROR(Q94,"Unavailable"))</x:f>
      </x:c>
      <x:c r="J194" s="23" t="str">
        <x:f>IF(C194="","",IFERROR(IF(OR(H194&gt;0,AND(AC194&gt;=0,AC194&lt;D194),D194&gt;INDEX('Facilities'!$J$9:$J$108,MATCH(C194,'Facilities'!$C$9:$C$108,0))),0,I194*'Scenario Paths'!G81),"Unavailable"))</x:f>
      </x:c>
      <x:c r="K194" s="23" t="str">
        <x:f>IF(C194="","",IFERROR(IF(OR(H194&gt;0,AND(AC194&gt;=0,AC194=D194)),0,IF(D194&gt;=INDEX('Facilities'!$J$9:$J$108,MATCH(C194,'Facilities'!$C$9:$C$108,0)),G194+J194,MIN(G194+J194,G194*INDEX('Facilities'!$R$9:$R$108,MATCH(C194,'Facilities'!$C$9:$C$108,0))))),"Unavailable"))</x:f>
      </x:c>
      <x:c r="L194" s="21" t="str">
        <x:f>IF(C194="","",IFERROR(IF(AND(AC194=D194,AC194&gt;0),MAX(0,G194+J194-K194),0),"Unavailable"))</x:f>
      </x:c>
      <x:c r="M194" s="23" t="str">
        <x:f>IF(C194="","",IFERROR(IF(AND(AC194&gt;=0,D194&gt;=AC194+INDEX('Facilities'!$AK$9:$AK$108,MATCH(C194,'Facilities'!$C$9:$C$108,0))),(H194+L194)*AM194,0),"Unavailable"))</x:f>
      </x:c>
      <x:c r="N194" s="23" t="str">
        <x:f>IF(C194="","",IFERROR(IF(AND(AC194&gt;=0,D194&gt;=AC194+INDEX('Facilities'!$AK$9:$AK$108,MATCH(C194,'Facilities'!$C$9:$C$108,0))),H194+L194-M194,0),"Unavailable"))</x:f>
      </x:c>
      <x:c r="O194" s="21" t="str">
        <x:f>IF(C194="","",IFERROR(MAX(0,G194+J194-K194-L194),"Unavailable"))</x:f>
      </x:c>
      <x:c r="P194" s="21" t="str">
        <x:f>IF(C194="","",IFERROR(MAX(0,H194+L194-M194-N194),"Unavailable"))</x:f>
      </x:c>
      <x:c r="Q194" s="23" t="str">
        <x:f>IF(C194="","",IFERROR(IF(OR(D194&gt;=INDEX('Facilities'!$J$9:$J$108,MATCH(C194,'Facilities'!$C$9:$C$108,0)),AND(AC194&gt;=0,AC194&lt;=D194)),0,MAX(0,I194-J194)),"Unavailable"))</x:f>
      </x:c>
      <x:c r="R194" s="30" t="str">
        <x:f>IF(C194="","",IFERROR(INDEX(Credit!$Q$109:$Q$208,MATCH(F194,Credit!$C$109:$C$208,0)),"Unavailable"))</x:f>
      </x:c>
      <x:c r="S194" s="30" t="str">
        <x:f>IF(C194="","",IFERROR(INDEX(Credit!$R$109:$R$208,MATCH(F194,Credit!$C$109:$C$208,0)),"Unavailable"))</x:f>
      </x:c>
      <x:c r="T194" s="23" t="str">
        <x:f>IF(C194="","",IFERROR(IF(P194&gt;0,3,IF(OR(INDEX('Facilities'!$AD$9:$AD$108,MATCH(C194,'Facilities'!$C$9:$C$108,0))=2,AND(R194&gt;=INDEX('Facilities'!$L$9:$L$108,MATCH(C194,'Facilities'!$C$9:$C$108,0))*Settings!$F$19,R194-INDEX('Facilities'!$L$9:$L$108,MATCH(C194,'Facilities'!$C$9:$C$108,0))&gt;=Settings!$F$20)),2,1)),"Unavailable"))</x:f>
      </x:c>
      <x:c r="U194" s="23" t="str">
        <x:f>IF(C194="","",IF(AQ194&lt;&gt;"Ready","Unavailable",IF(C194="","",O194*(1-(1-S194)/(1+INDEX('Facilities'!$K$9:$K$108,MATCH(C194,'Facilities'!$C$9:$C$108,0)))^INDEX('Facilities'!$AK$9:$AK$108,MATCH(C194,'Facilities'!$C$9:$C$108,0)))*R194/(1+INDEX('Facilities'!$K$9:$K$108,MATCH(C194,'Facilities'!$C$9:$C$108,0)))*IF(ABS(1-(1-R194)*(1-INDEX('Facilities'!$R$9:$R$108,MATCH(C194,'Facilities'!$C$9:$C$108,0)))/(1+INDEX('Facilities'!$K$9:$K$108,MATCH(C194,'Facilities'!$C$9:$C$108,0))))&lt;0.000000001,IF(T194=1,MIN(1,AJ194),AJ194),(1-((1-R194)*(1-INDEX('Facilities'!$R$9:$R$108,MATCH(C194,'Facilities'!$C$9:$C$108,0)))/(1+INDEX('Facilities'!$K$9:$K$108,MATCH(C194,'Facilities'!$C$9:$C$108,0))))^IF(T194=1,MIN(1,AJ194),AJ194))/(1-(1-R194)*(1-INDEX('Facilities'!$R$9:$R$108,MATCH(C194,'Facilities'!$C$9:$C$108,0)))/(1+INDEX('Facilities'!$K$9:$K$108,MATCH(C194,'Facilities'!$C$9:$C$108,0)))))+AL194)))</x:f>
      </x:c>
      <x:c r="V194" s="23" t="str">
        <x:f>IF(C194="","",IF(AQ194&lt;&gt;"Ready","Unavailable",IF(C194="","",Q194*INDEX('Facilities'!$I$9:$I$108,MATCH(C194,'Facilities'!$C$9:$C$108,0))*(1-(1-S194)/(1+INDEX('Facilities'!$K$9:$K$108,MATCH(C194,'Facilities'!$C$9:$C$108,0)))^INDEX('Facilities'!$AK$9:$AK$108,MATCH(C194,'Facilities'!$C$9:$C$108,0)))*R194/(1+INDEX('Facilities'!$K$9:$K$108,MATCH(C194,'Facilities'!$C$9:$C$108,0)))*IF(ABS(1-(1-R194)*(1-0)/(1+INDEX('Facilities'!$K$9:$K$108,MATCH(C194,'Facilities'!$C$9:$C$108,0))))&lt;0.000000001,IF(T194=1,MIN(1,AJ194),AJ194),(1-((1-R194)*(1-0)/(1+INDEX('Facilities'!$K$9:$K$108,MATCH(C194,'Facilities'!$C$9:$C$108,0))))^IF(T194=1,MIN(1,AJ194),AJ194))/(1-(1-R194)*(1-0)/(1+INDEX('Facilities'!$K$9:$K$108,MATCH(C194,'Facilities'!$C$9:$C$108,0))))))))</x:f>
      </x:c>
      <x:c r="W194" s="21" t="str">
        <x:f>IF(C194="","",IFERROR(U94,"Unavailable"))</x:f>
      </x:c>
      <x:c r="X194" s="21" t="str">
        <x:f>IF(C194="","",IFERROR(V94,"Unavailable"))</x:f>
      </x:c>
      <x:c r="Y194" s="21" t="str">
        <x:f>IF(C194="","",IF(AQ194&lt;&gt;"Ready","Unavailable",IF(C194="","",U194-W194+V194-X194+N194+AG194)))</x:f>
      </x:c>
      <x:c r="Z194" s="23" t="str">
        <x:f>IF(C194="","",IF(AQ194&lt;&gt;"Ready","Unavailable",IF(C194="","",(G194+O194+L194)/2*INDEX('Facilities'!$T$9:$T$108,MATCH(C194,'Facilities'!$C$9:$C$108,0))+AG194)))</x:f>
      </x:c>
      <x:c r="AA194" s="23" t="str">
        <x:f>IF(C194="","",IF(AQ194&lt;&gt;"Ready","Unavailable",IF(C194="","",O194*(1-IF(INDEX('Facilities'!$AA$9:$AA$108,MATCH(C194,'Facilities'!$C$9:$C$108,0))=0,0,MIN(1,INDEX('Facilities'!$X$9:$X$108,MATCH(C194,'Facilities'!$C$9:$C$108,0))/INDEX('Facilities'!$AA$9:$AA$108,MATCH(C194,'Facilities'!$C$9:$C$108,0)))))*AF194+P194*(1-IF(INDEX('Facilities'!$AA$9:$AA$108,MATCH(C194,'Facilities'!$C$9:$C$108,0))=0,0,MIN(1,INDEX('Facilities'!$X$9:$X$108,MATCH(C194,'Facilities'!$C$9:$C$108,0))/INDEX('Facilities'!$AA$9:$AA$108,MATCH(C194,'Facilities'!$C$9:$C$108,0)))))*INDEX('Facilities'!$AJ$9:$AJ$108,MATCH(C194,'Facilities'!$C$9:$C$108,0))+Q194*INDEX('Facilities'!$AI$9:$AI$108,MATCH(C194,'Facilities'!$C$9:$C$108,0))*AF194)))</x:f>
      </x:c>
      <x:c r="AB194" s="21" t="str">
        <x:f>IF(C194="","",O194+P194-AD194)</x:f>
      </x:c>
      <x:c r="AC194" s="23" t="str">
        <x:f>IF(C194="","",IFERROR(IF(INDEX('Facilities'!$AD$9:$AD$108,MATCH(C194,'Facilities'!$C$9:$C$108,0))=3,0,IF(INDEX('Facilities'!$AN$9:$AN$108,MATCH(C194,'Facilities'!$C$9:$C$108,0))=0,-1,INDEX('Facilities'!$AN$9:$AN$108,MATCH(C194,'Facilities'!$C$9:$C$108,0)))),"Unavailable"))</x:f>
      </x:c>
      <x:c r="AD194" s="21" t="str">
        <x:f>IF(C194="","",IFERROR(G194+H194,"Unavailable"))</x:f>
      </x:c>
      <x:c r="AE194" s="21" t="str">
        <x:f>IF(C194="","",IF(AQ194&lt;&gt;"Ready","Unavailable",IF(C194="","",O194+P194-AD194-J194+K194+M194+N194)))</x:f>
      </x:c>
      <x:c r="AF194" s="30" t="str">
        <x:f>IF(C194="","",IFERROR(INDEX('Facilities'!$S$9:$S$108,MATCH(C194,'Facilities'!$C$9:$C$108,0))*'Scenario Paths'!G75,"Unavailable"))</x:f>
      </x:c>
      <x:c r="AG194" s="23" t="str">
        <x:f>IF(C194="","",IF(AQ194&lt;&gt;"Ready","Unavailable",IF(C194="","",IF(H194&gt;0,MAX(0,H194-AK194)*((1+INDEX('Facilities'!$K$9:$K$108,MATCH(C194,'Facilities'!$C$9:$C$108,0)))^MIN(1,MAX(0,AC194+INDEX('Facilities'!$AK$9:$AK$108,MATCH(C194,'Facilities'!$C$9:$C$108,0))-D194+1))-1),0))))</x:f>
      </x:c>
      <x:c r="AH194" s="21" t="str">
        <x:f>IF(C194="","",IF(AQ194&lt;&gt;"Ready","Unavailable",IF(C194="","",O194+P194)))</x:f>
      </x:c>
      <x:c r="AI194" s="21" t="str">
        <x:f>IF(C194="","",IF(AQ194&lt;&gt;"Ready","Unavailable",IF(C194="","",Z194-Y194)))</x:f>
      </x:c>
      <x:c r="AJ194" s="23" t="str">
        <x:f>IF(C194="","",IFERROR(MAX(0,INDEX('Facilities'!$J$9:$J$108,MATCH(C194,'Facilities'!$C$9:$C$108,0))-D194),"Unavailable"))</x:f>
      </x:c>
      <x:c r="AK194" s="21" t="str">
        <x:f>IF(C194="","",IFERROR(AL94,"Unavailable"))</x:f>
      </x:c>
      <x:c r="AL194" s="23" t="str">
        <x:f>IF(C194="","",IFERROR(IF(P194&gt;0,P194*(1-AM194/(1+INDEX('Facilities'!$K$9:$K$108,MATCH(C194,'Facilities'!$C$9:$C$108,0)))^MAX(0,AC194+INDEX('Facilities'!$AK$9:$AK$108,MATCH(C194,'Facilities'!$C$9:$C$108,0))-D194)),0),"Unavailable"))</x:f>
      </x:c>
      <x:c r="AM194" s="30" t="str">
        <x:f>IF(C194="","",IFERROR(INDEX('Facilities'!$AL$9:$AL$108,MATCH(C194,'Facilities'!$C$9:$C$108,0)),"Unavailable"))</x:f>
      </x:c>
      <x:c r="AN194" s="30" t="str">
        <x:f>IF(C194="","",IFERROR(INDEX(Credit!$T$109:$T$208,MATCH(F194,Credit!$C$109:$C$208,0)),"Unavailable"))</x:f>
      </x:c>
      <x:c r="AO194" s="23" t="str">
        <x:f>IF(C194="","",IF(AQ194&lt;&gt;"Ready","Unavailable",IF(C194="","",O194+P194+Q194*INDEX('Facilities'!$I$9:$I$108,MATCH(C194,'Facilities'!$C$9:$C$108,0)))))</x:f>
      </x:c>
      <x:c r="AP194" s="21" t="str">
        <x:f>IF(C194="","",IF(AQ194&lt;&gt;"Ready","Unavailable",IF(C194="","",AH194-U194)))</x:f>
      </x:c>
      <x:c r="AQ194" s="23" t="str">
        <x:f>IFERROR(IF(C194="","",IF(AND(INDEX('Facilities'!$AF$9:$AF$108,MATCH(C194,'Facilities'!$C$9:$C$108,0))="Ready",INDEX(Credit!$U$109:$U$208,MATCH(F194,Credit!$C$109:$C$208,0))="Ready",ISNUMBER(W194)),"Ready","Review inputs")),"Review inputs")</x:f>
      </x:c>
      <x:c r="AR194" s="23" t="str">
        <x:f>IF(C194="","",IF(AQ194&lt;&gt;"Ready","Unavailable",IF(C194="","",IF(O194=0,0,(IF(AJ194&lt;=1,O194,O194*INDEX('Facilities'!$R$9:$R$108,MATCH(C194,'Facilities'!$C$9:$C$108,0)))+O194*INDEX('Facilities'!$T$9:$T$108,MATCH(C194,'Facilities'!$C$9:$C$108,0)))/12))))</x:f>
      </x:c>
    </x:row>
    <x:row r="195" ht="26" customHeight="1">
      <x:c r="A195" s="1"/>
      <x:c r="B195" s="1"/>
      <x:c r="C195" s="9" t="str">
        <x:f>IF(Facilities!C95="","",Facilities!C95)</x:f>
      </x:c>
      <x:c r="D195" s="3" t="n">
        <x:v>2</x:v>
      </x:c>
      <x:c r="E195" s="9" t="n">
        <x:f>Settings!$F$18+1</x:f>
        <x:v>2028</x:v>
      </x:c>
      <x:c r="F195" s="9" t="str">
        <x:f>IF(C195="","",IFERROR(INDEX('Facilities'!$D$9:$D$108,MATCH(C195,'Facilities'!$C$9:$C$108,0)),"Unavailable"))</x:f>
      </x:c>
      <x:c r="G195" s="21" t="str">
        <x:f>IF(C195="","",IFERROR(O95,"Unavailable"))</x:f>
      </x:c>
      <x:c r="H195" s="21" t="str">
        <x:f>IF(C195="","",IFERROR(P95,"Unavailable"))</x:f>
      </x:c>
      <x:c r="I195" s="21" t="str">
        <x:f>IF(C195="","",IFERROR(Q95,"Unavailable"))</x:f>
      </x:c>
      <x:c r="J195" s="23" t="str">
        <x:f>IF(C195="","",IFERROR(IF(OR(H195&gt;0,AND(AC195&gt;=0,AC195&lt;D195),D195&gt;INDEX('Facilities'!$J$9:$J$108,MATCH(C195,'Facilities'!$C$9:$C$108,0))),0,I195*'Scenario Paths'!G81),"Unavailable"))</x:f>
      </x:c>
      <x:c r="K195" s="23" t="str">
        <x:f>IF(C195="","",IFERROR(IF(OR(H195&gt;0,AND(AC195&gt;=0,AC195=D195)),0,IF(D195&gt;=INDEX('Facilities'!$J$9:$J$108,MATCH(C195,'Facilities'!$C$9:$C$108,0)),G195+J195,MIN(G195+J195,G195*INDEX('Facilities'!$R$9:$R$108,MATCH(C195,'Facilities'!$C$9:$C$108,0))))),"Unavailable"))</x:f>
      </x:c>
      <x:c r="L195" s="21" t="str">
        <x:f>IF(C195="","",IFERROR(IF(AND(AC195=D195,AC195&gt;0),MAX(0,G195+J195-K195),0),"Unavailable"))</x:f>
      </x:c>
      <x:c r="M195" s="23" t="str">
        <x:f>IF(C195="","",IFERROR(IF(AND(AC195&gt;=0,D195&gt;=AC195+INDEX('Facilities'!$AK$9:$AK$108,MATCH(C195,'Facilities'!$C$9:$C$108,0))),(H195+L195)*AM195,0),"Unavailable"))</x:f>
      </x:c>
      <x:c r="N195" s="23" t="str">
        <x:f>IF(C195="","",IFERROR(IF(AND(AC195&gt;=0,D195&gt;=AC195+INDEX('Facilities'!$AK$9:$AK$108,MATCH(C195,'Facilities'!$C$9:$C$108,0))),H195+L195-M195,0),"Unavailable"))</x:f>
      </x:c>
      <x:c r="O195" s="21" t="str">
        <x:f>IF(C195="","",IFERROR(MAX(0,G195+J195-K195-L195),"Unavailable"))</x:f>
      </x:c>
      <x:c r="P195" s="21" t="str">
        <x:f>IF(C195="","",IFERROR(MAX(0,H195+L195-M195-N195),"Unavailable"))</x:f>
      </x:c>
      <x:c r="Q195" s="23" t="str">
        <x:f>IF(C195="","",IFERROR(IF(OR(D195&gt;=INDEX('Facilities'!$J$9:$J$108,MATCH(C195,'Facilities'!$C$9:$C$108,0)),AND(AC195&gt;=0,AC195&lt;=D195)),0,MAX(0,I195-J195)),"Unavailable"))</x:f>
      </x:c>
      <x:c r="R195" s="30" t="str">
        <x:f>IF(C195="","",IFERROR(INDEX(Credit!$Q$109:$Q$208,MATCH(F195,Credit!$C$109:$C$208,0)),"Unavailable"))</x:f>
      </x:c>
      <x:c r="S195" s="30" t="str">
        <x:f>IF(C195="","",IFERROR(INDEX(Credit!$R$109:$R$208,MATCH(F195,Credit!$C$109:$C$208,0)),"Unavailable"))</x:f>
      </x:c>
      <x:c r="T195" s="23" t="str">
        <x:f>IF(C195="","",IFERROR(IF(P195&gt;0,3,IF(OR(INDEX('Facilities'!$AD$9:$AD$108,MATCH(C195,'Facilities'!$C$9:$C$108,0))=2,AND(R195&gt;=INDEX('Facilities'!$L$9:$L$108,MATCH(C195,'Facilities'!$C$9:$C$108,0))*Settings!$F$19,R195-INDEX('Facilities'!$L$9:$L$108,MATCH(C195,'Facilities'!$C$9:$C$108,0))&gt;=Settings!$F$20)),2,1)),"Unavailable"))</x:f>
      </x:c>
      <x:c r="U195" s="23" t="str">
        <x:f>IF(C195="","",IF(AQ195&lt;&gt;"Ready","Unavailable",IF(C195="","",O195*(1-(1-S195)/(1+INDEX('Facilities'!$K$9:$K$108,MATCH(C195,'Facilities'!$C$9:$C$108,0)))^INDEX('Facilities'!$AK$9:$AK$108,MATCH(C195,'Facilities'!$C$9:$C$108,0)))*R195/(1+INDEX('Facilities'!$K$9:$K$108,MATCH(C195,'Facilities'!$C$9:$C$108,0)))*IF(ABS(1-(1-R195)*(1-INDEX('Facilities'!$R$9:$R$108,MATCH(C195,'Facilities'!$C$9:$C$108,0)))/(1+INDEX('Facilities'!$K$9:$K$108,MATCH(C195,'Facilities'!$C$9:$C$108,0))))&lt;0.000000001,IF(T195=1,MIN(1,AJ195),AJ195),(1-((1-R195)*(1-INDEX('Facilities'!$R$9:$R$108,MATCH(C195,'Facilities'!$C$9:$C$108,0)))/(1+INDEX('Facilities'!$K$9:$K$108,MATCH(C195,'Facilities'!$C$9:$C$108,0))))^IF(T195=1,MIN(1,AJ195),AJ195))/(1-(1-R195)*(1-INDEX('Facilities'!$R$9:$R$108,MATCH(C195,'Facilities'!$C$9:$C$108,0)))/(1+INDEX('Facilities'!$K$9:$K$108,MATCH(C195,'Facilities'!$C$9:$C$108,0)))))+AL195)))</x:f>
      </x:c>
      <x:c r="V195" s="23" t="str">
        <x:f>IF(C195="","",IF(AQ195&lt;&gt;"Ready","Unavailable",IF(C195="","",Q195*INDEX('Facilities'!$I$9:$I$108,MATCH(C195,'Facilities'!$C$9:$C$108,0))*(1-(1-S195)/(1+INDEX('Facilities'!$K$9:$K$108,MATCH(C195,'Facilities'!$C$9:$C$108,0)))^INDEX('Facilities'!$AK$9:$AK$108,MATCH(C195,'Facilities'!$C$9:$C$108,0)))*R195/(1+INDEX('Facilities'!$K$9:$K$108,MATCH(C195,'Facilities'!$C$9:$C$108,0)))*IF(ABS(1-(1-R195)*(1-0)/(1+INDEX('Facilities'!$K$9:$K$108,MATCH(C195,'Facilities'!$C$9:$C$108,0))))&lt;0.000000001,IF(T195=1,MIN(1,AJ195),AJ195),(1-((1-R195)*(1-0)/(1+INDEX('Facilities'!$K$9:$K$108,MATCH(C195,'Facilities'!$C$9:$C$108,0))))^IF(T195=1,MIN(1,AJ195),AJ195))/(1-(1-R195)*(1-0)/(1+INDEX('Facilities'!$K$9:$K$108,MATCH(C195,'Facilities'!$C$9:$C$108,0))))))))</x:f>
      </x:c>
      <x:c r="W195" s="21" t="str">
        <x:f>IF(C195="","",IFERROR(U95,"Unavailable"))</x:f>
      </x:c>
      <x:c r="X195" s="21" t="str">
        <x:f>IF(C195="","",IFERROR(V95,"Unavailable"))</x:f>
      </x:c>
      <x:c r="Y195" s="21" t="str">
        <x:f>IF(C195="","",IF(AQ195&lt;&gt;"Ready","Unavailable",IF(C195="","",U195-W195+V195-X195+N195+AG195)))</x:f>
      </x:c>
      <x:c r="Z195" s="23" t="str">
        <x:f>IF(C195="","",IF(AQ195&lt;&gt;"Ready","Unavailable",IF(C195="","",(G195+O195+L195)/2*INDEX('Facilities'!$T$9:$T$108,MATCH(C195,'Facilities'!$C$9:$C$108,0))+AG195)))</x:f>
      </x:c>
      <x:c r="AA195" s="23" t="str">
        <x:f>IF(C195="","",IF(AQ195&lt;&gt;"Ready","Unavailable",IF(C195="","",O195*(1-IF(INDEX('Facilities'!$AA$9:$AA$108,MATCH(C195,'Facilities'!$C$9:$C$108,0))=0,0,MIN(1,INDEX('Facilities'!$X$9:$X$108,MATCH(C195,'Facilities'!$C$9:$C$108,0))/INDEX('Facilities'!$AA$9:$AA$108,MATCH(C195,'Facilities'!$C$9:$C$108,0)))))*AF195+P195*(1-IF(INDEX('Facilities'!$AA$9:$AA$108,MATCH(C195,'Facilities'!$C$9:$C$108,0))=0,0,MIN(1,INDEX('Facilities'!$X$9:$X$108,MATCH(C195,'Facilities'!$C$9:$C$108,0))/INDEX('Facilities'!$AA$9:$AA$108,MATCH(C195,'Facilities'!$C$9:$C$108,0)))))*INDEX('Facilities'!$AJ$9:$AJ$108,MATCH(C195,'Facilities'!$C$9:$C$108,0))+Q195*INDEX('Facilities'!$AI$9:$AI$108,MATCH(C195,'Facilities'!$C$9:$C$108,0))*AF195)))</x:f>
      </x:c>
      <x:c r="AB195" s="21" t="str">
        <x:f>IF(C195="","",O195+P195-AD195)</x:f>
      </x:c>
      <x:c r="AC195" s="23" t="str">
        <x:f>IF(C195="","",IFERROR(IF(INDEX('Facilities'!$AD$9:$AD$108,MATCH(C195,'Facilities'!$C$9:$C$108,0))=3,0,IF(INDEX('Facilities'!$AN$9:$AN$108,MATCH(C195,'Facilities'!$C$9:$C$108,0))=0,-1,INDEX('Facilities'!$AN$9:$AN$108,MATCH(C195,'Facilities'!$C$9:$C$108,0)))),"Unavailable"))</x:f>
      </x:c>
      <x:c r="AD195" s="21" t="str">
        <x:f>IF(C195="","",IFERROR(G195+H195,"Unavailable"))</x:f>
      </x:c>
      <x:c r="AE195" s="21" t="str">
        <x:f>IF(C195="","",IF(AQ195&lt;&gt;"Ready","Unavailable",IF(C195="","",O195+P195-AD195-J195+K195+M195+N195)))</x:f>
      </x:c>
      <x:c r="AF195" s="30" t="str">
        <x:f>IF(C195="","",IFERROR(INDEX('Facilities'!$S$9:$S$108,MATCH(C195,'Facilities'!$C$9:$C$108,0))*'Scenario Paths'!G75,"Unavailable"))</x:f>
      </x:c>
      <x:c r="AG195" s="23" t="str">
        <x:f>IF(C195="","",IF(AQ195&lt;&gt;"Ready","Unavailable",IF(C195="","",IF(H195&gt;0,MAX(0,H195-AK195)*((1+INDEX('Facilities'!$K$9:$K$108,MATCH(C195,'Facilities'!$C$9:$C$108,0)))^MIN(1,MAX(0,AC195+INDEX('Facilities'!$AK$9:$AK$108,MATCH(C195,'Facilities'!$C$9:$C$108,0))-D195+1))-1),0))))</x:f>
      </x:c>
      <x:c r="AH195" s="21" t="str">
        <x:f>IF(C195="","",IF(AQ195&lt;&gt;"Ready","Unavailable",IF(C195="","",O195+P195)))</x:f>
      </x:c>
      <x:c r="AI195" s="21" t="str">
        <x:f>IF(C195="","",IF(AQ195&lt;&gt;"Ready","Unavailable",IF(C195="","",Z195-Y195)))</x:f>
      </x:c>
      <x:c r="AJ195" s="23" t="str">
        <x:f>IF(C195="","",IFERROR(MAX(0,INDEX('Facilities'!$J$9:$J$108,MATCH(C195,'Facilities'!$C$9:$C$108,0))-D195),"Unavailable"))</x:f>
      </x:c>
      <x:c r="AK195" s="21" t="str">
        <x:f>IF(C195="","",IFERROR(AL95,"Unavailable"))</x:f>
      </x:c>
      <x:c r="AL195" s="23" t="str">
        <x:f>IF(C195="","",IFERROR(IF(P195&gt;0,P195*(1-AM195/(1+INDEX('Facilities'!$K$9:$K$108,MATCH(C195,'Facilities'!$C$9:$C$108,0)))^MAX(0,AC195+INDEX('Facilities'!$AK$9:$AK$108,MATCH(C195,'Facilities'!$C$9:$C$108,0))-D195)),0),"Unavailable"))</x:f>
      </x:c>
      <x:c r="AM195" s="30" t="str">
        <x:f>IF(C195="","",IFERROR(INDEX('Facilities'!$AL$9:$AL$108,MATCH(C195,'Facilities'!$C$9:$C$108,0)),"Unavailable"))</x:f>
      </x:c>
      <x:c r="AN195" s="30" t="str">
        <x:f>IF(C195="","",IFERROR(INDEX(Credit!$T$109:$T$208,MATCH(F195,Credit!$C$109:$C$208,0)),"Unavailable"))</x:f>
      </x:c>
      <x:c r="AO195" s="23" t="str">
        <x:f>IF(C195="","",IF(AQ195&lt;&gt;"Ready","Unavailable",IF(C195="","",O195+P195+Q195*INDEX('Facilities'!$I$9:$I$108,MATCH(C195,'Facilities'!$C$9:$C$108,0)))))</x:f>
      </x:c>
      <x:c r="AP195" s="21" t="str">
        <x:f>IF(C195="","",IF(AQ195&lt;&gt;"Ready","Unavailable",IF(C195="","",AH195-U195)))</x:f>
      </x:c>
      <x:c r="AQ195" s="23" t="str">
        <x:f>IFERROR(IF(C195="","",IF(AND(INDEX('Facilities'!$AF$9:$AF$108,MATCH(C195,'Facilities'!$C$9:$C$108,0))="Ready",INDEX(Credit!$U$109:$U$208,MATCH(F195,Credit!$C$109:$C$208,0))="Ready",ISNUMBER(W195)),"Ready","Review inputs")),"Review inputs")</x:f>
      </x:c>
      <x:c r="AR195" s="23" t="str">
        <x:f>IF(C195="","",IF(AQ195&lt;&gt;"Ready","Unavailable",IF(C195="","",IF(O195=0,0,(IF(AJ195&lt;=1,O195,O195*INDEX('Facilities'!$R$9:$R$108,MATCH(C195,'Facilities'!$C$9:$C$108,0)))+O195*INDEX('Facilities'!$T$9:$T$108,MATCH(C195,'Facilities'!$C$9:$C$108,0)))/12))))</x:f>
      </x:c>
    </x:row>
    <x:row r="196" ht="26" customHeight="1">
      <x:c r="A196" s="1"/>
      <x:c r="B196" s="1"/>
      <x:c r="C196" s="9" t="str">
        <x:f>IF(Facilities!C96="","",Facilities!C96)</x:f>
      </x:c>
      <x:c r="D196" s="3" t="n">
        <x:v>2</x:v>
      </x:c>
      <x:c r="E196" s="9" t="n">
        <x:f>Settings!$F$18+1</x:f>
        <x:v>2028</x:v>
      </x:c>
      <x:c r="F196" s="9" t="str">
        <x:f>IF(C196="","",IFERROR(INDEX('Facilities'!$D$9:$D$108,MATCH(C196,'Facilities'!$C$9:$C$108,0)),"Unavailable"))</x:f>
      </x:c>
      <x:c r="G196" s="21" t="str">
        <x:f>IF(C196="","",IFERROR(O96,"Unavailable"))</x:f>
      </x:c>
      <x:c r="H196" s="21" t="str">
        <x:f>IF(C196="","",IFERROR(P96,"Unavailable"))</x:f>
      </x:c>
      <x:c r="I196" s="21" t="str">
        <x:f>IF(C196="","",IFERROR(Q96,"Unavailable"))</x:f>
      </x:c>
      <x:c r="J196" s="23" t="str">
        <x:f>IF(C196="","",IFERROR(IF(OR(H196&gt;0,AND(AC196&gt;=0,AC196&lt;D196),D196&gt;INDEX('Facilities'!$J$9:$J$108,MATCH(C196,'Facilities'!$C$9:$C$108,0))),0,I196*'Scenario Paths'!G81),"Unavailable"))</x:f>
      </x:c>
      <x:c r="K196" s="23" t="str">
        <x:f>IF(C196="","",IFERROR(IF(OR(H196&gt;0,AND(AC196&gt;=0,AC196=D196)),0,IF(D196&gt;=INDEX('Facilities'!$J$9:$J$108,MATCH(C196,'Facilities'!$C$9:$C$108,0)),G196+J196,MIN(G196+J196,G196*INDEX('Facilities'!$R$9:$R$108,MATCH(C196,'Facilities'!$C$9:$C$108,0))))),"Unavailable"))</x:f>
      </x:c>
      <x:c r="L196" s="21" t="str">
        <x:f>IF(C196="","",IFERROR(IF(AND(AC196=D196,AC196&gt;0),MAX(0,G196+J196-K196),0),"Unavailable"))</x:f>
      </x:c>
      <x:c r="M196" s="23" t="str">
        <x:f>IF(C196="","",IFERROR(IF(AND(AC196&gt;=0,D196&gt;=AC196+INDEX('Facilities'!$AK$9:$AK$108,MATCH(C196,'Facilities'!$C$9:$C$108,0))),(H196+L196)*AM196,0),"Unavailable"))</x:f>
      </x:c>
      <x:c r="N196" s="23" t="str">
        <x:f>IF(C196="","",IFERROR(IF(AND(AC196&gt;=0,D196&gt;=AC196+INDEX('Facilities'!$AK$9:$AK$108,MATCH(C196,'Facilities'!$C$9:$C$108,0))),H196+L196-M196,0),"Unavailable"))</x:f>
      </x:c>
      <x:c r="O196" s="21" t="str">
        <x:f>IF(C196="","",IFERROR(MAX(0,G196+J196-K196-L196),"Unavailable"))</x:f>
      </x:c>
      <x:c r="P196" s="21" t="str">
        <x:f>IF(C196="","",IFERROR(MAX(0,H196+L196-M196-N196),"Unavailable"))</x:f>
      </x:c>
      <x:c r="Q196" s="23" t="str">
        <x:f>IF(C196="","",IFERROR(IF(OR(D196&gt;=INDEX('Facilities'!$J$9:$J$108,MATCH(C196,'Facilities'!$C$9:$C$108,0)),AND(AC196&gt;=0,AC196&lt;=D196)),0,MAX(0,I196-J196)),"Unavailable"))</x:f>
      </x:c>
      <x:c r="R196" s="30" t="str">
        <x:f>IF(C196="","",IFERROR(INDEX(Credit!$Q$109:$Q$208,MATCH(F196,Credit!$C$109:$C$208,0)),"Unavailable"))</x:f>
      </x:c>
      <x:c r="S196" s="30" t="str">
        <x:f>IF(C196="","",IFERROR(INDEX(Credit!$R$109:$R$208,MATCH(F196,Credit!$C$109:$C$208,0)),"Unavailable"))</x:f>
      </x:c>
      <x:c r="T196" s="23" t="str">
        <x:f>IF(C196="","",IFERROR(IF(P196&gt;0,3,IF(OR(INDEX('Facilities'!$AD$9:$AD$108,MATCH(C196,'Facilities'!$C$9:$C$108,0))=2,AND(R196&gt;=INDEX('Facilities'!$L$9:$L$108,MATCH(C196,'Facilities'!$C$9:$C$108,0))*Settings!$F$19,R196-INDEX('Facilities'!$L$9:$L$108,MATCH(C196,'Facilities'!$C$9:$C$108,0))&gt;=Settings!$F$20)),2,1)),"Unavailable"))</x:f>
      </x:c>
      <x:c r="U196" s="23" t="str">
        <x:f>IF(C196="","",IF(AQ196&lt;&gt;"Ready","Unavailable",IF(C196="","",O196*(1-(1-S196)/(1+INDEX('Facilities'!$K$9:$K$108,MATCH(C196,'Facilities'!$C$9:$C$108,0)))^INDEX('Facilities'!$AK$9:$AK$108,MATCH(C196,'Facilities'!$C$9:$C$108,0)))*R196/(1+INDEX('Facilities'!$K$9:$K$108,MATCH(C196,'Facilities'!$C$9:$C$108,0)))*IF(ABS(1-(1-R196)*(1-INDEX('Facilities'!$R$9:$R$108,MATCH(C196,'Facilities'!$C$9:$C$108,0)))/(1+INDEX('Facilities'!$K$9:$K$108,MATCH(C196,'Facilities'!$C$9:$C$108,0))))&lt;0.000000001,IF(T196=1,MIN(1,AJ196),AJ196),(1-((1-R196)*(1-INDEX('Facilities'!$R$9:$R$108,MATCH(C196,'Facilities'!$C$9:$C$108,0)))/(1+INDEX('Facilities'!$K$9:$K$108,MATCH(C196,'Facilities'!$C$9:$C$108,0))))^IF(T196=1,MIN(1,AJ196),AJ196))/(1-(1-R196)*(1-INDEX('Facilities'!$R$9:$R$108,MATCH(C196,'Facilities'!$C$9:$C$108,0)))/(1+INDEX('Facilities'!$K$9:$K$108,MATCH(C196,'Facilities'!$C$9:$C$108,0)))))+AL196)))</x:f>
      </x:c>
      <x:c r="V196" s="23" t="str">
        <x:f>IF(C196="","",IF(AQ196&lt;&gt;"Ready","Unavailable",IF(C196="","",Q196*INDEX('Facilities'!$I$9:$I$108,MATCH(C196,'Facilities'!$C$9:$C$108,0))*(1-(1-S196)/(1+INDEX('Facilities'!$K$9:$K$108,MATCH(C196,'Facilities'!$C$9:$C$108,0)))^INDEX('Facilities'!$AK$9:$AK$108,MATCH(C196,'Facilities'!$C$9:$C$108,0)))*R196/(1+INDEX('Facilities'!$K$9:$K$108,MATCH(C196,'Facilities'!$C$9:$C$108,0)))*IF(ABS(1-(1-R196)*(1-0)/(1+INDEX('Facilities'!$K$9:$K$108,MATCH(C196,'Facilities'!$C$9:$C$108,0))))&lt;0.000000001,IF(T196=1,MIN(1,AJ196),AJ196),(1-((1-R196)*(1-0)/(1+INDEX('Facilities'!$K$9:$K$108,MATCH(C196,'Facilities'!$C$9:$C$108,0))))^IF(T196=1,MIN(1,AJ196),AJ196))/(1-(1-R196)*(1-0)/(1+INDEX('Facilities'!$K$9:$K$108,MATCH(C196,'Facilities'!$C$9:$C$108,0))))))))</x:f>
      </x:c>
      <x:c r="W196" s="21" t="str">
        <x:f>IF(C196="","",IFERROR(U96,"Unavailable"))</x:f>
      </x:c>
      <x:c r="X196" s="21" t="str">
        <x:f>IF(C196="","",IFERROR(V96,"Unavailable"))</x:f>
      </x:c>
      <x:c r="Y196" s="21" t="str">
        <x:f>IF(C196="","",IF(AQ196&lt;&gt;"Ready","Unavailable",IF(C196="","",U196-W196+V196-X196+N196+AG196)))</x:f>
      </x:c>
      <x:c r="Z196" s="23" t="str">
        <x:f>IF(C196="","",IF(AQ196&lt;&gt;"Ready","Unavailable",IF(C196="","",(G196+O196+L196)/2*INDEX('Facilities'!$T$9:$T$108,MATCH(C196,'Facilities'!$C$9:$C$108,0))+AG196)))</x:f>
      </x:c>
      <x:c r="AA196" s="23" t="str">
        <x:f>IF(C196="","",IF(AQ196&lt;&gt;"Ready","Unavailable",IF(C196="","",O196*(1-IF(INDEX('Facilities'!$AA$9:$AA$108,MATCH(C196,'Facilities'!$C$9:$C$108,0))=0,0,MIN(1,INDEX('Facilities'!$X$9:$X$108,MATCH(C196,'Facilities'!$C$9:$C$108,0))/INDEX('Facilities'!$AA$9:$AA$108,MATCH(C196,'Facilities'!$C$9:$C$108,0)))))*AF196+P196*(1-IF(INDEX('Facilities'!$AA$9:$AA$108,MATCH(C196,'Facilities'!$C$9:$C$108,0))=0,0,MIN(1,INDEX('Facilities'!$X$9:$X$108,MATCH(C196,'Facilities'!$C$9:$C$108,0))/INDEX('Facilities'!$AA$9:$AA$108,MATCH(C196,'Facilities'!$C$9:$C$108,0)))))*INDEX('Facilities'!$AJ$9:$AJ$108,MATCH(C196,'Facilities'!$C$9:$C$108,0))+Q196*INDEX('Facilities'!$AI$9:$AI$108,MATCH(C196,'Facilities'!$C$9:$C$108,0))*AF196)))</x:f>
      </x:c>
      <x:c r="AB196" s="21" t="str">
        <x:f>IF(C196="","",O196+P196-AD196)</x:f>
      </x:c>
      <x:c r="AC196" s="23" t="str">
        <x:f>IF(C196="","",IFERROR(IF(INDEX('Facilities'!$AD$9:$AD$108,MATCH(C196,'Facilities'!$C$9:$C$108,0))=3,0,IF(INDEX('Facilities'!$AN$9:$AN$108,MATCH(C196,'Facilities'!$C$9:$C$108,0))=0,-1,INDEX('Facilities'!$AN$9:$AN$108,MATCH(C196,'Facilities'!$C$9:$C$108,0)))),"Unavailable"))</x:f>
      </x:c>
      <x:c r="AD196" s="21" t="str">
        <x:f>IF(C196="","",IFERROR(G196+H196,"Unavailable"))</x:f>
      </x:c>
      <x:c r="AE196" s="21" t="str">
        <x:f>IF(C196="","",IF(AQ196&lt;&gt;"Ready","Unavailable",IF(C196="","",O196+P196-AD196-J196+K196+M196+N196)))</x:f>
      </x:c>
      <x:c r="AF196" s="30" t="str">
        <x:f>IF(C196="","",IFERROR(INDEX('Facilities'!$S$9:$S$108,MATCH(C196,'Facilities'!$C$9:$C$108,0))*'Scenario Paths'!G75,"Unavailable"))</x:f>
      </x:c>
      <x:c r="AG196" s="23" t="str">
        <x:f>IF(C196="","",IF(AQ196&lt;&gt;"Ready","Unavailable",IF(C196="","",IF(H196&gt;0,MAX(0,H196-AK196)*((1+INDEX('Facilities'!$K$9:$K$108,MATCH(C196,'Facilities'!$C$9:$C$108,0)))^MIN(1,MAX(0,AC196+INDEX('Facilities'!$AK$9:$AK$108,MATCH(C196,'Facilities'!$C$9:$C$108,0))-D196+1))-1),0))))</x:f>
      </x:c>
      <x:c r="AH196" s="21" t="str">
        <x:f>IF(C196="","",IF(AQ196&lt;&gt;"Ready","Unavailable",IF(C196="","",O196+P196)))</x:f>
      </x:c>
      <x:c r="AI196" s="21" t="str">
        <x:f>IF(C196="","",IF(AQ196&lt;&gt;"Ready","Unavailable",IF(C196="","",Z196-Y196)))</x:f>
      </x:c>
      <x:c r="AJ196" s="23" t="str">
        <x:f>IF(C196="","",IFERROR(MAX(0,INDEX('Facilities'!$J$9:$J$108,MATCH(C196,'Facilities'!$C$9:$C$108,0))-D196),"Unavailable"))</x:f>
      </x:c>
      <x:c r="AK196" s="21" t="str">
        <x:f>IF(C196="","",IFERROR(AL96,"Unavailable"))</x:f>
      </x:c>
      <x:c r="AL196" s="23" t="str">
        <x:f>IF(C196="","",IFERROR(IF(P196&gt;0,P196*(1-AM196/(1+INDEX('Facilities'!$K$9:$K$108,MATCH(C196,'Facilities'!$C$9:$C$108,0)))^MAX(0,AC196+INDEX('Facilities'!$AK$9:$AK$108,MATCH(C196,'Facilities'!$C$9:$C$108,0))-D196)),0),"Unavailable"))</x:f>
      </x:c>
      <x:c r="AM196" s="30" t="str">
        <x:f>IF(C196="","",IFERROR(INDEX('Facilities'!$AL$9:$AL$108,MATCH(C196,'Facilities'!$C$9:$C$108,0)),"Unavailable"))</x:f>
      </x:c>
      <x:c r="AN196" s="30" t="str">
        <x:f>IF(C196="","",IFERROR(INDEX(Credit!$T$109:$T$208,MATCH(F196,Credit!$C$109:$C$208,0)),"Unavailable"))</x:f>
      </x:c>
      <x:c r="AO196" s="23" t="str">
        <x:f>IF(C196="","",IF(AQ196&lt;&gt;"Ready","Unavailable",IF(C196="","",O196+P196+Q196*INDEX('Facilities'!$I$9:$I$108,MATCH(C196,'Facilities'!$C$9:$C$108,0)))))</x:f>
      </x:c>
      <x:c r="AP196" s="21" t="str">
        <x:f>IF(C196="","",IF(AQ196&lt;&gt;"Ready","Unavailable",IF(C196="","",AH196-U196)))</x:f>
      </x:c>
      <x:c r="AQ196" s="23" t="str">
        <x:f>IFERROR(IF(C196="","",IF(AND(INDEX('Facilities'!$AF$9:$AF$108,MATCH(C196,'Facilities'!$C$9:$C$108,0))="Ready",INDEX(Credit!$U$109:$U$208,MATCH(F196,Credit!$C$109:$C$208,0))="Ready",ISNUMBER(W196)),"Ready","Review inputs")),"Review inputs")</x:f>
      </x:c>
      <x:c r="AR196" s="23" t="str">
        <x:f>IF(C196="","",IF(AQ196&lt;&gt;"Ready","Unavailable",IF(C196="","",IF(O196=0,0,(IF(AJ196&lt;=1,O196,O196*INDEX('Facilities'!$R$9:$R$108,MATCH(C196,'Facilities'!$C$9:$C$108,0)))+O196*INDEX('Facilities'!$T$9:$T$108,MATCH(C196,'Facilities'!$C$9:$C$108,0)))/12))))</x:f>
      </x:c>
    </x:row>
    <x:row r="197" ht="26" customHeight="1">
      <x:c r="A197" s="1"/>
      <x:c r="B197" s="1"/>
      <x:c r="C197" s="9" t="str">
        <x:f>IF(Facilities!C97="","",Facilities!C97)</x:f>
      </x:c>
      <x:c r="D197" s="3" t="n">
        <x:v>2</x:v>
      </x:c>
      <x:c r="E197" s="9" t="n">
        <x:f>Settings!$F$18+1</x:f>
        <x:v>2028</x:v>
      </x:c>
      <x:c r="F197" s="9" t="str">
        <x:f>IF(C197="","",IFERROR(INDEX('Facilities'!$D$9:$D$108,MATCH(C197,'Facilities'!$C$9:$C$108,0)),"Unavailable"))</x:f>
      </x:c>
      <x:c r="G197" s="21" t="str">
        <x:f>IF(C197="","",IFERROR(O97,"Unavailable"))</x:f>
      </x:c>
      <x:c r="H197" s="21" t="str">
        <x:f>IF(C197="","",IFERROR(P97,"Unavailable"))</x:f>
      </x:c>
      <x:c r="I197" s="21" t="str">
        <x:f>IF(C197="","",IFERROR(Q97,"Unavailable"))</x:f>
      </x:c>
      <x:c r="J197" s="23" t="str">
        <x:f>IF(C197="","",IFERROR(IF(OR(H197&gt;0,AND(AC197&gt;=0,AC197&lt;D197),D197&gt;INDEX('Facilities'!$J$9:$J$108,MATCH(C197,'Facilities'!$C$9:$C$108,0))),0,I197*'Scenario Paths'!G81),"Unavailable"))</x:f>
      </x:c>
      <x:c r="K197" s="23" t="str">
        <x:f>IF(C197="","",IFERROR(IF(OR(H197&gt;0,AND(AC197&gt;=0,AC197=D197)),0,IF(D197&gt;=INDEX('Facilities'!$J$9:$J$108,MATCH(C197,'Facilities'!$C$9:$C$108,0)),G197+J197,MIN(G197+J197,G197*INDEX('Facilities'!$R$9:$R$108,MATCH(C197,'Facilities'!$C$9:$C$108,0))))),"Unavailable"))</x:f>
      </x:c>
      <x:c r="L197" s="21" t="str">
        <x:f>IF(C197="","",IFERROR(IF(AND(AC197=D197,AC197&gt;0),MAX(0,G197+J197-K197),0),"Unavailable"))</x:f>
      </x:c>
      <x:c r="M197" s="23" t="str">
        <x:f>IF(C197="","",IFERROR(IF(AND(AC197&gt;=0,D197&gt;=AC197+INDEX('Facilities'!$AK$9:$AK$108,MATCH(C197,'Facilities'!$C$9:$C$108,0))),(H197+L197)*AM197,0),"Unavailable"))</x:f>
      </x:c>
      <x:c r="N197" s="23" t="str">
        <x:f>IF(C197="","",IFERROR(IF(AND(AC197&gt;=0,D197&gt;=AC197+INDEX('Facilities'!$AK$9:$AK$108,MATCH(C197,'Facilities'!$C$9:$C$108,0))),H197+L197-M197,0),"Unavailable"))</x:f>
      </x:c>
      <x:c r="O197" s="21" t="str">
        <x:f>IF(C197="","",IFERROR(MAX(0,G197+J197-K197-L197),"Unavailable"))</x:f>
      </x:c>
      <x:c r="P197" s="21" t="str">
        <x:f>IF(C197="","",IFERROR(MAX(0,H197+L197-M197-N197),"Unavailable"))</x:f>
      </x:c>
      <x:c r="Q197" s="23" t="str">
        <x:f>IF(C197="","",IFERROR(IF(OR(D197&gt;=INDEX('Facilities'!$J$9:$J$108,MATCH(C197,'Facilities'!$C$9:$C$108,0)),AND(AC197&gt;=0,AC197&lt;=D197)),0,MAX(0,I197-J197)),"Unavailable"))</x:f>
      </x:c>
      <x:c r="R197" s="30" t="str">
        <x:f>IF(C197="","",IFERROR(INDEX(Credit!$Q$109:$Q$208,MATCH(F197,Credit!$C$109:$C$208,0)),"Unavailable"))</x:f>
      </x:c>
      <x:c r="S197" s="30" t="str">
        <x:f>IF(C197="","",IFERROR(INDEX(Credit!$R$109:$R$208,MATCH(F197,Credit!$C$109:$C$208,0)),"Unavailable"))</x:f>
      </x:c>
      <x:c r="T197" s="23" t="str">
        <x:f>IF(C197="","",IFERROR(IF(P197&gt;0,3,IF(OR(INDEX('Facilities'!$AD$9:$AD$108,MATCH(C197,'Facilities'!$C$9:$C$108,0))=2,AND(R197&gt;=INDEX('Facilities'!$L$9:$L$108,MATCH(C197,'Facilities'!$C$9:$C$108,0))*Settings!$F$19,R197-INDEX('Facilities'!$L$9:$L$108,MATCH(C197,'Facilities'!$C$9:$C$108,0))&gt;=Settings!$F$20)),2,1)),"Unavailable"))</x:f>
      </x:c>
      <x:c r="U197" s="23" t="str">
        <x:f>IF(C197="","",IF(AQ197&lt;&gt;"Ready","Unavailable",IF(C197="","",O197*(1-(1-S197)/(1+INDEX('Facilities'!$K$9:$K$108,MATCH(C197,'Facilities'!$C$9:$C$108,0)))^INDEX('Facilities'!$AK$9:$AK$108,MATCH(C197,'Facilities'!$C$9:$C$108,0)))*R197/(1+INDEX('Facilities'!$K$9:$K$108,MATCH(C197,'Facilities'!$C$9:$C$108,0)))*IF(ABS(1-(1-R197)*(1-INDEX('Facilities'!$R$9:$R$108,MATCH(C197,'Facilities'!$C$9:$C$108,0)))/(1+INDEX('Facilities'!$K$9:$K$108,MATCH(C197,'Facilities'!$C$9:$C$108,0))))&lt;0.000000001,IF(T197=1,MIN(1,AJ197),AJ197),(1-((1-R197)*(1-INDEX('Facilities'!$R$9:$R$108,MATCH(C197,'Facilities'!$C$9:$C$108,0)))/(1+INDEX('Facilities'!$K$9:$K$108,MATCH(C197,'Facilities'!$C$9:$C$108,0))))^IF(T197=1,MIN(1,AJ197),AJ197))/(1-(1-R197)*(1-INDEX('Facilities'!$R$9:$R$108,MATCH(C197,'Facilities'!$C$9:$C$108,0)))/(1+INDEX('Facilities'!$K$9:$K$108,MATCH(C197,'Facilities'!$C$9:$C$108,0)))))+AL197)))</x:f>
      </x:c>
      <x:c r="V197" s="23" t="str">
        <x:f>IF(C197="","",IF(AQ197&lt;&gt;"Ready","Unavailable",IF(C197="","",Q197*INDEX('Facilities'!$I$9:$I$108,MATCH(C197,'Facilities'!$C$9:$C$108,0))*(1-(1-S197)/(1+INDEX('Facilities'!$K$9:$K$108,MATCH(C197,'Facilities'!$C$9:$C$108,0)))^INDEX('Facilities'!$AK$9:$AK$108,MATCH(C197,'Facilities'!$C$9:$C$108,0)))*R197/(1+INDEX('Facilities'!$K$9:$K$108,MATCH(C197,'Facilities'!$C$9:$C$108,0)))*IF(ABS(1-(1-R197)*(1-0)/(1+INDEX('Facilities'!$K$9:$K$108,MATCH(C197,'Facilities'!$C$9:$C$108,0))))&lt;0.000000001,IF(T197=1,MIN(1,AJ197),AJ197),(1-((1-R197)*(1-0)/(1+INDEX('Facilities'!$K$9:$K$108,MATCH(C197,'Facilities'!$C$9:$C$108,0))))^IF(T197=1,MIN(1,AJ197),AJ197))/(1-(1-R197)*(1-0)/(1+INDEX('Facilities'!$K$9:$K$108,MATCH(C197,'Facilities'!$C$9:$C$108,0))))))))</x:f>
      </x:c>
      <x:c r="W197" s="21" t="str">
        <x:f>IF(C197="","",IFERROR(U97,"Unavailable"))</x:f>
      </x:c>
      <x:c r="X197" s="21" t="str">
        <x:f>IF(C197="","",IFERROR(V97,"Unavailable"))</x:f>
      </x:c>
      <x:c r="Y197" s="21" t="str">
        <x:f>IF(C197="","",IF(AQ197&lt;&gt;"Ready","Unavailable",IF(C197="","",U197-W197+V197-X197+N197+AG197)))</x:f>
      </x:c>
      <x:c r="Z197" s="23" t="str">
        <x:f>IF(C197="","",IF(AQ197&lt;&gt;"Ready","Unavailable",IF(C197="","",(G197+O197+L197)/2*INDEX('Facilities'!$T$9:$T$108,MATCH(C197,'Facilities'!$C$9:$C$108,0))+AG197)))</x:f>
      </x:c>
      <x:c r="AA197" s="23" t="str">
        <x:f>IF(C197="","",IF(AQ197&lt;&gt;"Ready","Unavailable",IF(C197="","",O197*(1-IF(INDEX('Facilities'!$AA$9:$AA$108,MATCH(C197,'Facilities'!$C$9:$C$108,0))=0,0,MIN(1,INDEX('Facilities'!$X$9:$X$108,MATCH(C197,'Facilities'!$C$9:$C$108,0))/INDEX('Facilities'!$AA$9:$AA$108,MATCH(C197,'Facilities'!$C$9:$C$108,0)))))*AF197+P197*(1-IF(INDEX('Facilities'!$AA$9:$AA$108,MATCH(C197,'Facilities'!$C$9:$C$108,0))=0,0,MIN(1,INDEX('Facilities'!$X$9:$X$108,MATCH(C197,'Facilities'!$C$9:$C$108,0))/INDEX('Facilities'!$AA$9:$AA$108,MATCH(C197,'Facilities'!$C$9:$C$108,0)))))*INDEX('Facilities'!$AJ$9:$AJ$108,MATCH(C197,'Facilities'!$C$9:$C$108,0))+Q197*INDEX('Facilities'!$AI$9:$AI$108,MATCH(C197,'Facilities'!$C$9:$C$108,0))*AF197)))</x:f>
      </x:c>
      <x:c r="AB197" s="21" t="str">
        <x:f>IF(C197="","",O197+P197-AD197)</x:f>
      </x:c>
      <x:c r="AC197" s="23" t="str">
        <x:f>IF(C197="","",IFERROR(IF(INDEX('Facilities'!$AD$9:$AD$108,MATCH(C197,'Facilities'!$C$9:$C$108,0))=3,0,IF(INDEX('Facilities'!$AN$9:$AN$108,MATCH(C197,'Facilities'!$C$9:$C$108,0))=0,-1,INDEX('Facilities'!$AN$9:$AN$108,MATCH(C197,'Facilities'!$C$9:$C$108,0)))),"Unavailable"))</x:f>
      </x:c>
      <x:c r="AD197" s="21" t="str">
        <x:f>IF(C197="","",IFERROR(G197+H197,"Unavailable"))</x:f>
      </x:c>
      <x:c r="AE197" s="21" t="str">
        <x:f>IF(C197="","",IF(AQ197&lt;&gt;"Ready","Unavailable",IF(C197="","",O197+P197-AD197-J197+K197+M197+N197)))</x:f>
      </x:c>
      <x:c r="AF197" s="30" t="str">
        <x:f>IF(C197="","",IFERROR(INDEX('Facilities'!$S$9:$S$108,MATCH(C197,'Facilities'!$C$9:$C$108,0))*'Scenario Paths'!G75,"Unavailable"))</x:f>
      </x:c>
      <x:c r="AG197" s="23" t="str">
        <x:f>IF(C197="","",IF(AQ197&lt;&gt;"Ready","Unavailable",IF(C197="","",IF(H197&gt;0,MAX(0,H197-AK197)*((1+INDEX('Facilities'!$K$9:$K$108,MATCH(C197,'Facilities'!$C$9:$C$108,0)))^MIN(1,MAX(0,AC197+INDEX('Facilities'!$AK$9:$AK$108,MATCH(C197,'Facilities'!$C$9:$C$108,0))-D197+1))-1),0))))</x:f>
      </x:c>
      <x:c r="AH197" s="21" t="str">
        <x:f>IF(C197="","",IF(AQ197&lt;&gt;"Ready","Unavailable",IF(C197="","",O197+P197)))</x:f>
      </x:c>
      <x:c r="AI197" s="21" t="str">
        <x:f>IF(C197="","",IF(AQ197&lt;&gt;"Ready","Unavailable",IF(C197="","",Z197-Y197)))</x:f>
      </x:c>
      <x:c r="AJ197" s="23" t="str">
        <x:f>IF(C197="","",IFERROR(MAX(0,INDEX('Facilities'!$J$9:$J$108,MATCH(C197,'Facilities'!$C$9:$C$108,0))-D197),"Unavailable"))</x:f>
      </x:c>
      <x:c r="AK197" s="21" t="str">
        <x:f>IF(C197="","",IFERROR(AL97,"Unavailable"))</x:f>
      </x:c>
      <x:c r="AL197" s="23" t="str">
        <x:f>IF(C197="","",IFERROR(IF(P197&gt;0,P197*(1-AM197/(1+INDEX('Facilities'!$K$9:$K$108,MATCH(C197,'Facilities'!$C$9:$C$108,0)))^MAX(0,AC197+INDEX('Facilities'!$AK$9:$AK$108,MATCH(C197,'Facilities'!$C$9:$C$108,0))-D197)),0),"Unavailable"))</x:f>
      </x:c>
      <x:c r="AM197" s="30" t="str">
        <x:f>IF(C197="","",IFERROR(INDEX('Facilities'!$AL$9:$AL$108,MATCH(C197,'Facilities'!$C$9:$C$108,0)),"Unavailable"))</x:f>
      </x:c>
      <x:c r="AN197" s="30" t="str">
        <x:f>IF(C197="","",IFERROR(INDEX(Credit!$T$109:$T$208,MATCH(F197,Credit!$C$109:$C$208,0)),"Unavailable"))</x:f>
      </x:c>
      <x:c r="AO197" s="23" t="str">
        <x:f>IF(C197="","",IF(AQ197&lt;&gt;"Ready","Unavailable",IF(C197="","",O197+P197+Q197*INDEX('Facilities'!$I$9:$I$108,MATCH(C197,'Facilities'!$C$9:$C$108,0)))))</x:f>
      </x:c>
      <x:c r="AP197" s="21" t="str">
        <x:f>IF(C197="","",IF(AQ197&lt;&gt;"Ready","Unavailable",IF(C197="","",AH197-U197)))</x:f>
      </x:c>
      <x:c r="AQ197" s="23" t="str">
        <x:f>IFERROR(IF(C197="","",IF(AND(INDEX('Facilities'!$AF$9:$AF$108,MATCH(C197,'Facilities'!$C$9:$C$108,0))="Ready",INDEX(Credit!$U$109:$U$208,MATCH(F197,Credit!$C$109:$C$208,0))="Ready",ISNUMBER(W197)),"Ready","Review inputs")),"Review inputs")</x:f>
      </x:c>
      <x:c r="AR197" s="23" t="str">
        <x:f>IF(C197="","",IF(AQ197&lt;&gt;"Ready","Unavailable",IF(C197="","",IF(O197=0,0,(IF(AJ197&lt;=1,O197,O197*INDEX('Facilities'!$R$9:$R$108,MATCH(C197,'Facilities'!$C$9:$C$108,0)))+O197*INDEX('Facilities'!$T$9:$T$108,MATCH(C197,'Facilities'!$C$9:$C$108,0)))/12))))</x:f>
      </x:c>
    </x:row>
    <x:row r="198" ht="26" customHeight="1">
      <x:c r="A198" s="1"/>
      <x:c r="B198" s="1"/>
      <x:c r="C198" s="9" t="str">
        <x:f>IF(Facilities!C98="","",Facilities!C98)</x:f>
      </x:c>
      <x:c r="D198" s="3" t="n">
        <x:v>2</x:v>
      </x:c>
      <x:c r="E198" s="9" t="n">
        <x:f>Settings!$F$18+1</x:f>
        <x:v>2028</x:v>
      </x:c>
      <x:c r="F198" s="9" t="str">
        <x:f>IF(C198="","",IFERROR(INDEX('Facilities'!$D$9:$D$108,MATCH(C198,'Facilities'!$C$9:$C$108,0)),"Unavailable"))</x:f>
      </x:c>
      <x:c r="G198" s="21" t="str">
        <x:f>IF(C198="","",IFERROR(O98,"Unavailable"))</x:f>
      </x:c>
      <x:c r="H198" s="21" t="str">
        <x:f>IF(C198="","",IFERROR(P98,"Unavailable"))</x:f>
      </x:c>
      <x:c r="I198" s="21" t="str">
        <x:f>IF(C198="","",IFERROR(Q98,"Unavailable"))</x:f>
      </x:c>
      <x:c r="J198" s="23" t="str">
        <x:f>IF(C198="","",IFERROR(IF(OR(H198&gt;0,AND(AC198&gt;=0,AC198&lt;D198),D198&gt;INDEX('Facilities'!$J$9:$J$108,MATCH(C198,'Facilities'!$C$9:$C$108,0))),0,I198*'Scenario Paths'!G81),"Unavailable"))</x:f>
      </x:c>
      <x:c r="K198" s="23" t="str">
        <x:f>IF(C198="","",IFERROR(IF(OR(H198&gt;0,AND(AC198&gt;=0,AC198=D198)),0,IF(D198&gt;=INDEX('Facilities'!$J$9:$J$108,MATCH(C198,'Facilities'!$C$9:$C$108,0)),G198+J198,MIN(G198+J198,G198*INDEX('Facilities'!$R$9:$R$108,MATCH(C198,'Facilities'!$C$9:$C$108,0))))),"Unavailable"))</x:f>
      </x:c>
      <x:c r="L198" s="21" t="str">
        <x:f>IF(C198="","",IFERROR(IF(AND(AC198=D198,AC198&gt;0),MAX(0,G198+J198-K198),0),"Unavailable"))</x:f>
      </x:c>
      <x:c r="M198" s="23" t="str">
        <x:f>IF(C198="","",IFERROR(IF(AND(AC198&gt;=0,D198&gt;=AC198+INDEX('Facilities'!$AK$9:$AK$108,MATCH(C198,'Facilities'!$C$9:$C$108,0))),(H198+L198)*AM198,0),"Unavailable"))</x:f>
      </x:c>
      <x:c r="N198" s="23" t="str">
        <x:f>IF(C198="","",IFERROR(IF(AND(AC198&gt;=0,D198&gt;=AC198+INDEX('Facilities'!$AK$9:$AK$108,MATCH(C198,'Facilities'!$C$9:$C$108,0))),H198+L198-M198,0),"Unavailable"))</x:f>
      </x:c>
      <x:c r="O198" s="21" t="str">
        <x:f>IF(C198="","",IFERROR(MAX(0,G198+J198-K198-L198),"Unavailable"))</x:f>
      </x:c>
      <x:c r="P198" s="21" t="str">
        <x:f>IF(C198="","",IFERROR(MAX(0,H198+L198-M198-N198),"Unavailable"))</x:f>
      </x:c>
      <x:c r="Q198" s="23" t="str">
        <x:f>IF(C198="","",IFERROR(IF(OR(D198&gt;=INDEX('Facilities'!$J$9:$J$108,MATCH(C198,'Facilities'!$C$9:$C$108,0)),AND(AC198&gt;=0,AC198&lt;=D198)),0,MAX(0,I198-J198)),"Unavailable"))</x:f>
      </x:c>
      <x:c r="R198" s="30" t="str">
        <x:f>IF(C198="","",IFERROR(INDEX(Credit!$Q$109:$Q$208,MATCH(F198,Credit!$C$109:$C$208,0)),"Unavailable"))</x:f>
      </x:c>
      <x:c r="S198" s="30" t="str">
        <x:f>IF(C198="","",IFERROR(INDEX(Credit!$R$109:$R$208,MATCH(F198,Credit!$C$109:$C$208,0)),"Unavailable"))</x:f>
      </x:c>
      <x:c r="T198" s="23" t="str">
        <x:f>IF(C198="","",IFERROR(IF(P198&gt;0,3,IF(OR(INDEX('Facilities'!$AD$9:$AD$108,MATCH(C198,'Facilities'!$C$9:$C$108,0))=2,AND(R198&gt;=INDEX('Facilities'!$L$9:$L$108,MATCH(C198,'Facilities'!$C$9:$C$108,0))*Settings!$F$19,R198-INDEX('Facilities'!$L$9:$L$108,MATCH(C198,'Facilities'!$C$9:$C$108,0))&gt;=Settings!$F$20)),2,1)),"Unavailable"))</x:f>
      </x:c>
      <x:c r="U198" s="23" t="str">
        <x:f>IF(C198="","",IF(AQ198&lt;&gt;"Ready","Unavailable",IF(C198="","",O198*(1-(1-S198)/(1+INDEX('Facilities'!$K$9:$K$108,MATCH(C198,'Facilities'!$C$9:$C$108,0)))^INDEX('Facilities'!$AK$9:$AK$108,MATCH(C198,'Facilities'!$C$9:$C$108,0)))*R198/(1+INDEX('Facilities'!$K$9:$K$108,MATCH(C198,'Facilities'!$C$9:$C$108,0)))*IF(ABS(1-(1-R198)*(1-INDEX('Facilities'!$R$9:$R$108,MATCH(C198,'Facilities'!$C$9:$C$108,0)))/(1+INDEX('Facilities'!$K$9:$K$108,MATCH(C198,'Facilities'!$C$9:$C$108,0))))&lt;0.000000001,IF(T198=1,MIN(1,AJ198),AJ198),(1-((1-R198)*(1-INDEX('Facilities'!$R$9:$R$108,MATCH(C198,'Facilities'!$C$9:$C$108,0)))/(1+INDEX('Facilities'!$K$9:$K$108,MATCH(C198,'Facilities'!$C$9:$C$108,0))))^IF(T198=1,MIN(1,AJ198),AJ198))/(1-(1-R198)*(1-INDEX('Facilities'!$R$9:$R$108,MATCH(C198,'Facilities'!$C$9:$C$108,0)))/(1+INDEX('Facilities'!$K$9:$K$108,MATCH(C198,'Facilities'!$C$9:$C$108,0)))))+AL198)))</x:f>
      </x:c>
      <x:c r="V198" s="23" t="str">
        <x:f>IF(C198="","",IF(AQ198&lt;&gt;"Ready","Unavailable",IF(C198="","",Q198*INDEX('Facilities'!$I$9:$I$108,MATCH(C198,'Facilities'!$C$9:$C$108,0))*(1-(1-S198)/(1+INDEX('Facilities'!$K$9:$K$108,MATCH(C198,'Facilities'!$C$9:$C$108,0)))^INDEX('Facilities'!$AK$9:$AK$108,MATCH(C198,'Facilities'!$C$9:$C$108,0)))*R198/(1+INDEX('Facilities'!$K$9:$K$108,MATCH(C198,'Facilities'!$C$9:$C$108,0)))*IF(ABS(1-(1-R198)*(1-0)/(1+INDEX('Facilities'!$K$9:$K$108,MATCH(C198,'Facilities'!$C$9:$C$108,0))))&lt;0.000000001,IF(T198=1,MIN(1,AJ198),AJ198),(1-((1-R198)*(1-0)/(1+INDEX('Facilities'!$K$9:$K$108,MATCH(C198,'Facilities'!$C$9:$C$108,0))))^IF(T198=1,MIN(1,AJ198),AJ198))/(1-(1-R198)*(1-0)/(1+INDEX('Facilities'!$K$9:$K$108,MATCH(C198,'Facilities'!$C$9:$C$108,0))))))))</x:f>
      </x:c>
      <x:c r="W198" s="21" t="str">
        <x:f>IF(C198="","",IFERROR(U98,"Unavailable"))</x:f>
      </x:c>
      <x:c r="X198" s="21" t="str">
        <x:f>IF(C198="","",IFERROR(V98,"Unavailable"))</x:f>
      </x:c>
      <x:c r="Y198" s="21" t="str">
        <x:f>IF(C198="","",IF(AQ198&lt;&gt;"Ready","Unavailable",IF(C198="","",U198-W198+V198-X198+N198+AG198)))</x:f>
      </x:c>
      <x:c r="Z198" s="23" t="str">
        <x:f>IF(C198="","",IF(AQ198&lt;&gt;"Ready","Unavailable",IF(C198="","",(G198+O198+L198)/2*INDEX('Facilities'!$T$9:$T$108,MATCH(C198,'Facilities'!$C$9:$C$108,0))+AG198)))</x:f>
      </x:c>
      <x:c r="AA198" s="23" t="str">
        <x:f>IF(C198="","",IF(AQ198&lt;&gt;"Ready","Unavailable",IF(C198="","",O198*(1-IF(INDEX('Facilities'!$AA$9:$AA$108,MATCH(C198,'Facilities'!$C$9:$C$108,0))=0,0,MIN(1,INDEX('Facilities'!$X$9:$X$108,MATCH(C198,'Facilities'!$C$9:$C$108,0))/INDEX('Facilities'!$AA$9:$AA$108,MATCH(C198,'Facilities'!$C$9:$C$108,0)))))*AF198+P198*(1-IF(INDEX('Facilities'!$AA$9:$AA$108,MATCH(C198,'Facilities'!$C$9:$C$108,0))=0,0,MIN(1,INDEX('Facilities'!$X$9:$X$108,MATCH(C198,'Facilities'!$C$9:$C$108,0))/INDEX('Facilities'!$AA$9:$AA$108,MATCH(C198,'Facilities'!$C$9:$C$108,0)))))*INDEX('Facilities'!$AJ$9:$AJ$108,MATCH(C198,'Facilities'!$C$9:$C$108,0))+Q198*INDEX('Facilities'!$AI$9:$AI$108,MATCH(C198,'Facilities'!$C$9:$C$108,0))*AF198)))</x:f>
      </x:c>
      <x:c r="AB198" s="21" t="str">
        <x:f>IF(C198="","",O198+P198-AD198)</x:f>
      </x:c>
      <x:c r="AC198" s="23" t="str">
        <x:f>IF(C198="","",IFERROR(IF(INDEX('Facilities'!$AD$9:$AD$108,MATCH(C198,'Facilities'!$C$9:$C$108,0))=3,0,IF(INDEX('Facilities'!$AN$9:$AN$108,MATCH(C198,'Facilities'!$C$9:$C$108,0))=0,-1,INDEX('Facilities'!$AN$9:$AN$108,MATCH(C198,'Facilities'!$C$9:$C$108,0)))),"Unavailable"))</x:f>
      </x:c>
      <x:c r="AD198" s="21" t="str">
        <x:f>IF(C198="","",IFERROR(G198+H198,"Unavailable"))</x:f>
      </x:c>
      <x:c r="AE198" s="21" t="str">
        <x:f>IF(C198="","",IF(AQ198&lt;&gt;"Ready","Unavailable",IF(C198="","",O198+P198-AD198-J198+K198+M198+N198)))</x:f>
      </x:c>
      <x:c r="AF198" s="30" t="str">
        <x:f>IF(C198="","",IFERROR(INDEX('Facilities'!$S$9:$S$108,MATCH(C198,'Facilities'!$C$9:$C$108,0))*'Scenario Paths'!G75,"Unavailable"))</x:f>
      </x:c>
      <x:c r="AG198" s="23" t="str">
        <x:f>IF(C198="","",IF(AQ198&lt;&gt;"Ready","Unavailable",IF(C198="","",IF(H198&gt;0,MAX(0,H198-AK198)*((1+INDEX('Facilities'!$K$9:$K$108,MATCH(C198,'Facilities'!$C$9:$C$108,0)))^MIN(1,MAX(0,AC198+INDEX('Facilities'!$AK$9:$AK$108,MATCH(C198,'Facilities'!$C$9:$C$108,0))-D198+1))-1),0))))</x:f>
      </x:c>
      <x:c r="AH198" s="21" t="str">
        <x:f>IF(C198="","",IF(AQ198&lt;&gt;"Ready","Unavailable",IF(C198="","",O198+P198)))</x:f>
      </x:c>
      <x:c r="AI198" s="21" t="str">
        <x:f>IF(C198="","",IF(AQ198&lt;&gt;"Ready","Unavailable",IF(C198="","",Z198-Y198)))</x:f>
      </x:c>
      <x:c r="AJ198" s="23" t="str">
        <x:f>IF(C198="","",IFERROR(MAX(0,INDEX('Facilities'!$J$9:$J$108,MATCH(C198,'Facilities'!$C$9:$C$108,0))-D198),"Unavailable"))</x:f>
      </x:c>
      <x:c r="AK198" s="21" t="str">
        <x:f>IF(C198="","",IFERROR(AL98,"Unavailable"))</x:f>
      </x:c>
      <x:c r="AL198" s="23" t="str">
        <x:f>IF(C198="","",IFERROR(IF(P198&gt;0,P198*(1-AM198/(1+INDEX('Facilities'!$K$9:$K$108,MATCH(C198,'Facilities'!$C$9:$C$108,0)))^MAX(0,AC198+INDEX('Facilities'!$AK$9:$AK$108,MATCH(C198,'Facilities'!$C$9:$C$108,0))-D198)),0),"Unavailable"))</x:f>
      </x:c>
      <x:c r="AM198" s="30" t="str">
        <x:f>IF(C198="","",IFERROR(INDEX('Facilities'!$AL$9:$AL$108,MATCH(C198,'Facilities'!$C$9:$C$108,0)),"Unavailable"))</x:f>
      </x:c>
      <x:c r="AN198" s="30" t="str">
        <x:f>IF(C198="","",IFERROR(INDEX(Credit!$T$109:$T$208,MATCH(F198,Credit!$C$109:$C$208,0)),"Unavailable"))</x:f>
      </x:c>
      <x:c r="AO198" s="23" t="str">
        <x:f>IF(C198="","",IF(AQ198&lt;&gt;"Ready","Unavailable",IF(C198="","",O198+P198+Q198*INDEX('Facilities'!$I$9:$I$108,MATCH(C198,'Facilities'!$C$9:$C$108,0)))))</x:f>
      </x:c>
      <x:c r="AP198" s="21" t="str">
        <x:f>IF(C198="","",IF(AQ198&lt;&gt;"Ready","Unavailable",IF(C198="","",AH198-U198)))</x:f>
      </x:c>
      <x:c r="AQ198" s="23" t="str">
        <x:f>IFERROR(IF(C198="","",IF(AND(INDEX('Facilities'!$AF$9:$AF$108,MATCH(C198,'Facilities'!$C$9:$C$108,0))="Ready",INDEX(Credit!$U$109:$U$208,MATCH(F198,Credit!$C$109:$C$208,0))="Ready",ISNUMBER(W198)),"Ready","Review inputs")),"Review inputs")</x:f>
      </x:c>
      <x:c r="AR198" s="23" t="str">
        <x:f>IF(C198="","",IF(AQ198&lt;&gt;"Ready","Unavailable",IF(C198="","",IF(O198=0,0,(IF(AJ198&lt;=1,O198,O198*INDEX('Facilities'!$R$9:$R$108,MATCH(C198,'Facilities'!$C$9:$C$108,0)))+O198*INDEX('Facilities'!$T$9:$T$108,MATCH(C198,'Facilities'!$C$9:$C$108,0)))/12))))</x:f>
      </x:c>
    </x:row>
    <x:row r="199" ht="26" customHeight="1">
      <x:c r="A199" s="1"/>
      <x:c r="B199" s="1"/>
      <x:c r="C199" s="9" t="str">
        <x:f>IF(Facilities!C99="","",Facilities!C99)</x:f>
      </x:c>
      <x:c r="D199" s="3" t="n">
        <x:v>2</x:v>
      </x:c>
      <x:c r="E199" s="9" t="n">
        <x:f>Settings!$F$18+1</x:f>
        <x:v>2028</x:v>
      </x:c>
      <x:c r="F199" s="9" t="str">
        <x:f>IF(C199="","",IFERROR(INDEX('Facilities'!$D$9:$D$108,MATCH(C199,'Facilities'!$C$9:$C$108,0)),"Unavailable"))</x:f>
      </x:c>
      <x:c r="G199" s="21" t="str">
        <x:f>IF(C199="","",IFERROR(O99,"Unavailable"))</x:f>
      </x:c>
      <x:c r="H199" s="21" t="str">
        <x:f>IF(C199="","",IFERROR(P99,"Unavailable"))</x:f>
      </x:c>
      <x:c r="I199" s="21" t="str">
        <x:f>IF(C199="","",IFERROR(Q99,"Unavailable"))</x:f>
      </x:c>
      <x:c r="J199" s="23" t="str">
        <x:f>IF(C199="","",IFERROR(IF(OR(H199&gt;0,AND(AC199&gt;=0,AC199&lt;D199),D199&gt;INDEX('Facilities'!$J$9:$J$108,MATCH(C199,'Facilities'!$C$9:$C$108,0))),0,I199*'Scenario Paths'!G81),"Unavailable"))</x:f>
      </x:c>
      <x:c r="K199" s="23" t="str">
        <x:f>IF(C199="","",IFERROR(IF(OR(H199&gt;0,AND(AC199&gt;=0,AC199=D199)),0,IF(D199&gt;=INDEX('Facilities'!$J$9:$J$108,MATCH(C199,'Facilities'!$C$9:$C$108,0)),G199+J199,MIN(G199+J199,G199*INDEX('Facilities'!$R$9:$R$108,MATCH(C199,'Facilities'!$C$9:$C$108,0))))),"Unavailable"))</x:f>
      </x:c>
      <x:c r="L199" s="21" t="str">
        <x:f>IF(C199="","",IFERROR(IF(AND(AC199=D199,AC199&gt;0),MAX(0,G199+J199-K199),0),"Unavailable"))</x:f>
      </x:c>
      <x:c r="M199" s="23" t="str">
        <x:f>IF(C199="","",IFERROR(IF(AND(AC199&gt;=0,D199&gt;=AC199+INDEX('Facilities'!$AK$9:$AK$108,MATCH(C199,'Facilities'!$C$9:$C$108,0))),(H199+L199)*AM199,0),"Unavailable"))</x:f>
      </x:c>
      <x:c r="N199" s="23" t="str">
        <x:f>IF(C199="","",IFERROR(IF(AND(AC199&gt;=0,D199&gt;=AC199+INDEX('Facilities'!$AK$9:$AK$108,MATCH(C199,'Facilities'!$C$9:$C$108,0))),H199+L199-M199,0),"Unavailable"))</x:f>
      </x:c>
      <x:c r="O199" s="21" t="str">
        <x:f>IF(C199="","",IFERROR(MAX(0,G199+J199-K199-L199),"Unavailable"))</x:f>
      </x:c>
      <x:c r="P199" s="21" t="str">
        <x:f>IF(C199="","",IFERROR(MAX(0,H199+L199-M199-N199),"Unavailable"))</x:f>
      </x:c>
      <x:c r="Q199" s="23" t="str">
        <x:f>IF(C199="","",IFERROR(IF(OR(D199&gt;=INDEX('Facilities'!$J$9:$J$108,MATCH(C199,'Facilities'!$C$9:$C$108,0)),AND(AC199&gt;=0,AC199&lt;=D199)),0,MAX(0,I199-J199)),"Unavailable"))</x:f>
      </x:c>
      <x:c r="R199" s="30" t="str">
        <x:f>IF(C199="","",IFERROR(INDEX(Credit!$Q$109:$Q$208,MATCH(F199,Credit!$C$109:$C$208,0)),"Unavailable"))</x:f>
      </x:c>
      <x:c r="S199" s="30" t="str">
        <x:f>IF(C199="","",IFERROR(INDEX(Credit!$R$109:$R$208,MATCH(F199,Credit!$C$109:$C$208,0)),"Unavailable"))</x:f>
      </x:c>
      <x:c r="T199" s="23" t="str">
        <x:f>IF(C199="","",IFERROR(IF(P199&gt;0,3,IF(OR(INDEX('Facilities'!$AD$9:$AD$108,MATCH(C199,'Facilities'!$C$9:$C$108,0))=2,AND(R199&gt;=INDEX('Facilities'!$L$9:$L$108,MATCH(C199,'Facilities'!$C$9:$C$108,0))*Settings!$F$19,R199-INDEX('Facilities'!$L$9:$L$108,MATCH(C199,'Facilities'!$C$9:$C$108,0))&gt;=Settings!$F$20)),2,1)),"Unavailable"))</x:f>
      </x:c>
      <x:c r="U199" s="23" t="str">
        <x:f>IF(C199="","",IF(AQ199&lt;&gt;"Ready","Unavailable",IF(C199="","",O199*(1-(1-S199)/(1+INDEX('Facilities'!$K$9:$K$108,MATCH(C199,'Facilities'!$C$9:$C$108,0)))^INDEX('Facilities'!$AK$9:$AK$108,MATCH(C199,'Facilities'!$C$9:$C$108,0)))*R199/(1+INDEX('Facilities'!$K$9:$K$108,MATCH(C199,'Facilities'!$C$9:$C$108,0)))*IF(ABS(1-(1-R199)*(1-INDEX('Facilities'!$R$9:$R$108,MATCH(C199,'Facilities'!$C$9:$C$108,0)))/(1+INDEX('Facilities'!$K$9:$K$108,MATCH(C199,'Facilities'!$C$9:$C$108,0))))&lt;0.000000001,IF(T199=1,MIN(1,AJ199),AJ199),(1-((1-R199)*(1-INDEX('Facilities'!$R$9:$R$108,MATCH(C199,'Facilities'!$C$9:$C$108,0)))/(1+INDEX('Facilities'!$K$9:$K$108,MATCH(C199,'Facilities'!$C$9:$C$108,0))))^IF(T199=1,MIN(1,AJ199),AJ199))/(1-(1-R199)*(1-INDEX('Facilities'!$R$9:$R$108,MATCH(C199,'Facilities'!$C$9:$C$108,0)))/(1+INDEX('Facilities'!$K$9:$K$108,MATCH(C199,'Facilities'!$C$9:$C$108,0)))))+AL199)))</x:f>
      </x:c>
      <x:c r="V199" s="23" t="str">
        <x:f>IF(C199="","",IF(AQ199&lt;&gt;"Ready","Unavailable",IF(C199="","",Q199*INDEX('Facilities'!$I$9:$I$108,MATCH(C199,'Facilities'!$C$9:$C$108,0))*(1-(1-S199)/(1+INDEX('Facilities'!$K$9:$K$108,MATCH(C199,'Facilities'!$C$9:$C$108,0)))^INDEX('Facilities'!$AK$9:$AK$108,MATCH(C199,'Facilities'!$C$9:$C$108,0)))*R199/(1+INDEX('Facilities'!$K$9:$K$108,MATCH(C199,'Facilities'!$C$9:$C$108,0)))*IF(ABS(1-(1-R199)*(1-0)/(1+INDEX('Facilities'!$K$9:$K$108,MATCH(C199,'Facilities'!$C$9:$C$108,0))))&lt;0.000000001,IF(T199=1,MIN(1,AJ199),AJ199),(1-((1-R199)*(1-0)/(1+INDEX('Facilities'!$K$9:$K$108,MATCH(C199,'Facilities'!$C$9:$C$108,0))))^IF(T199=1,MIN(1,AJ199),AJ199))/(1-(1-R199)*(1-0)/(1+INDEX('Facilities'!$K$9:$K$108,MATCH(C199,'Facilities'!$C$9:$C$108,0))))))))</x:f>
      </x:c>
      <x:c r="W199" s="21" t="str">
        <x:f>IF(C199="","",IFERROR(U99,"Unavailable"))</x:f>
      </x:c>
      <x:c r="X199" s="21" t="str">
        <x:f>IF(C199="","",IFERROR(V99,"Unavailable"))</x:f>
      </x:c>
      <x:c r="Y199" s="21" t="str">
        <x:f>IF(C199="","",IF(AQ199&lt;&gt;"Ready","Unavailable",IF(C199="","",U199-W199+V199-X199+N199+AG199)))</x:f>
      </x:c>
      <x:c r="Z199" s="23" t="str">
        <x:f>IF(C199="","",IF(AQ199&lt;&gt;"Ready","Unavailable",IF(C199="","",(G199+O199+L199)/2*INDEX('Facilities'!$T$9:$T$108,MATCH(C199,'Facilities'!$C$9:$C$108,0))+AG199)))</x:f>
      </x:c>
      <x:c r="AA199" s="23" t="str">
        <x:f>IF(C199="","",IF(AQ199&lt;&gt;"Ready","Unavailable",IF(C199="","",O199*(1-IF(INDEX('Facilities'!$AA$9:$AA$108,MATCH(C199,'Facilities'!$C$9:$C$108,0))=0,0,MIN(1,INDEX('Facilities'!$X$9:$X$108,MATCH(C199,'Facilities'!$C$9:$C$108,0))/INDEX('Facilities'!$AA$9:$AA$108,MATCH(C199,'Facilities'!$C$9:$C$108,0)))))*AF199+P199*(1-IF(INDEX('Facilities'!$AA$9:$AA$108,MATCH(C199,'Facilities'!$C$9:$C$108,0))=0,0,MIN(1,INDEX('Facilities'!$X$9:$X$108,MATCH(C199,'Facilities'!$C$9:$C$108,0))/INDEX('Facilities'!$AA$9:$AA$108,MATCH(C199,'Facilities'!$C$9:$C$108,0)))))*INDEX('Facilities'!$AJ$9:$AJ$108,MATCH(C199,'Facilities'!$C$9:$C$108,0))+Q199*INDEX('Facilities'!$AI$9:$AI$108,MATCH(C199,'Facilities'!$C$9:$C$108,0))*AF199)))</x:f>
      </x:c>
      <x:c r="AB199" s="21" t="str">
        <x:f>IF(C199="","",O199+P199-AD199)</x:f>
      </x:c>
      <x:c r="AC199" s="23" t="str">
        <x:f>IF(C199="","",IFERROR(IF(INDEX('Facilities'!$AD$9:$AD$108,MATCH(C199,'Facilities'!$C$9:$C$108,0))=3,0,IF(INDEX('Facilities'!$AN$9:$AN$108,MATCH(C199,'Facilities'!$C$9:$C$108,0))=0,-1,INDEX('Facilities'!$AN$9:$AN$108,MATCH(C199,'Facilities'!$C$9:$C$108,0)))),"Unavailable"))</x:f>
      </x:c>
      <x:c r="AD199" s="21" t="str">
        <x:f>IF(C199="","",IFERROR(G199+H199,"Unavailable"))</x:f>
      </x:c>
      <x:c r="AE199" s="21" t="str">
        <x:f>IF(C199="","",IF(AQ199&lt;&gt;"Ready","Unavailable",IF(C199="","",O199+P199-AD199-J199+K199+M199+N199)))</x:f>
      </x:c>
      <x:c r="AF199" s="30" t="str">
        <x:f>IF(C199="","",IFERROR(INDEX('Facilities'!$S$9:$S$108,MATCH(C199,'Facilities'!$C$9:$C$108,0))*'Scenario Paths'!G75,"Unavailable"))</x:f>
      </x:c>
      <x:c r="AG199" s="23" t="str">
        <x:f>IF(C199="","",IF(AQ199&lt;&gt;"Ready","Unavailable",IF(C199="","",IF(H199&gt;0,MAX(0,H199-AK199)*((1+INDEX('Facilities'!$K$9:$K$108,MATCH(C199,'Facilities'!$C$9:$C$108,0)))^MIN(1,MAX(0,AC199+INDEX('Facilities'!$AK$9:$AK$108,MATCH(C199,'Facilities'!$C$9:$C$108,0))-D199+1))-1),0))))</x:f>
      </x:c>
      <x:c r="AH199" s="21" t="str">
        <x:f>IF(C199="","",IF(AQ199&lt;&gt;"Ready","Unavailable",IF(C199="","",O199+P199)))</x:f>
      </x:c>
      <x:c r="AI199" s="21" t="str">
        <x:f>IF(C199="","",IF(AQ199&lt;&gt;"Ready","Unavailable",IF(C199="","",Z199-Y199)))</x:f>
      </x:c>
      <x:c r="AJ199" s="23" t="str">
        <x:f>IF(C199="","",IFERROR(MAX(0,INDEX('Facilities'!$J$9:$J$108,MATCH(C199,'Facilities'!$C$9:$C$108,0))-D199),"Unavailable"))</x:f>
      </x:c>
      <x:c r="AK199" s="21" t="str">
        <x:f>IF(C199="","",IFERROR(AL99,"Unavailable"))</x:f>
      </x:c>
      <x:c r="AL199" s="23" t="str">
        <x:f>IF(C199="","",IFERROR(IF(P199&gt;0,P199*(1-AM199/(1+INDEX('Facilities'!$K$9:$K$108,MATCH(C199,'Facilities'!$C$9:$C$108,0)))^MAX(0,AC199+INDEX('Facilities'!$AK$9:$AK$108,MATCH(C199,'Facilities'!$C$9:$C$108,0))-D199)),0),"Unavailable"))</x:f>
      </x:c>
      <x:c r="AM199" s="30" t="str">
        <x:f>IF(C199="","",IFERROR(INDEX('Facilities'!$AL$9:$AL$108,MATCH(C199,'Facilities'!$C$9:$C$108,0)),"Unavailable"))</x:f>
      </x:c>
      <x:c r="AN199" s="30" t="str">
        <x:f>IF(C199="","",IFERROR(INDEX(Credit!$T$109:$T$208,MATCH(F199,Credit!$C$109:$C$208,0)),"Unavailable"))</x:f>
      </x:c>
      <x:c r="AO199" s="23" t="str">
        <x:f>IF(C199="","",IF(AQ199&lt;&gt;"Ready","Unavailable",IF(C199="","",O199+P199+Q199*INDEX('Facilities'!$I$9:$I$108,MATCH(C199,'Facilities'!$C$9:$C$108,0)))))</x:f>
      </x:c>
      <x:c r="AP199" s="21" t="str">
        <x:f>IF(C199="","",IF(AQ199&lt;&gt;"Ready","Unavailable",IF(C199="","",AH199-U199)))</x:f>
      </x:c>
      <x:c r="AQ199" s="23" t="str">
        <x:f>IFERROR(IF(C199="","",IF(AND(INDEX('Facilities'!$AF$9:$AF$108,MATCH(C199,'Facilities'!$C$9:$C$108,0))="Ready",INDEX(Credit!$U$109:$U$208,MATCH(F199,Credit!$C$109:$C$208,0))="Ready",ISNUMBER(W199)),"Ready","Review inputs")),"Review inputs")</x:f>
      </x:c>
      <x:c r="AR199" s="23" t="str">
        <x:f>IF(C199="","",IF(AQ199&lt;&gt;"Ready","Unavailable",IF(C199="","",IF(O199=0,0,(IF(AJ199&lt;=1,O199,O199*INDEX('Facilities'!$R$9:$R$108,MATCH(C199,'Facilities'!$C$9:$C$108,0)))+O199*INDEX('Facilities'!$T$9:$T$108,MATCH(C199,'Facilities'!$C$9:$C$108,0)))/12))))</x:f>
      </x:c>
    </x:row>
    <x:row r="200" ht="26" customHeight="1">
      <x:c r="A200" s="1"/>
      <x:c r="B200" s="1"/>
      <x:c r="C200" s="9" t="str">
        <x:f>IF(Facilities!C100="","",Facilities!C100)</x:f>
      </x:c>
      <x:c r="D200" s="3" t="n">
        <x:v>2</x:v>
      </x:c>
      <x:c r="E200" s="9" t="n">
        <x:f>Settings!$F$18+1</x:f>
        <x:v>2028</x:v>
      </x:c>
      <x:c r="F200" s="9" t="str">
        <x:f>IF(C200="","",IFERROR(INDEX('Facilities'!$D$9:$D$108,MATCH(C200,'Facilities'!$C$9:$C$108,0)),"Unavailable"))</x:f>
      </x:c>
      <x:c r="G200" s="21" t="str">
        <x:f>IF(C200="","",IFERROR(O100,"Unavailable"))</x:f>
      </x:c>
      <x:c r="H200" s="21" t="str">
        <x:f>IF(C200="","",IFERROR(P100,"Unavailable"))</x:f>
      </x:c>
      <x:c r="I200" s="21" t="str">
        <x:f>IF(C200="","",IFERROR(Q100,"Unavailable"))</x:f>
      </x:c>
      <x:c r="J200" s="23" t="str">
        <x:f>IF(C200="","",IFERROR(IF(OR(H200&gt;0,AND(AC200&gt;=0,AC200&lt;D200),D200&gt;INDEX('Facilities'!$J$9:$J$108,MATCH(C200,'Facilities'!$C$9:$C$108,0))),0,I200*'Scenario Paths'!G81),"Unavailable"))</x:f>
      </x:c>
      <x:c r="K200" s="23" t="str">
        <x:f>IF(C200="","",IFERROR(IF(OR(H200&gt;0,AND(AC200&gt;=0,AC200=D200)),0,IF(D200&gt;=INDEX('Facilities'!$J$9:$J$108,MATCH(C200,'Facilities'!$C$9:$C$108,0)),G200+J200,MIN(G200+J200,G200*INDEX('Facilities'!$R$9:$R$108,MATCH(C200,'Facilities'!$C$9:$C$108,0))))),"Unavailable"))</x:f>
      </x:c>
      <x:c r="L200" s="21" t="str">
        <x:f>IF(C200="","",IFERROR(IF(AND(AC200=D200,AC200&gt;0),MAX(0,G200+J200-K200),0),"Unavailable"))</x:f>
      </x:c>
      <x:c r="M200" s="23" t="str">
        <x:f>IF(C200="","",IFERROR(IF(AND(AC200&gt;=0,D200&gt;=AC200+INDEX('Facilities'!$AK$9:$AK$108,MATCH(C200,'Facilities'!$C$9:$C$108,0))),(H200+L200)*AM200,0),"Unavailable"))</x:f>
      </x:c>
      <x:c r="N200" s="23" t="str">
        <x:f>IF(C200="","",IFERROR(IF(AND(AC200&gt;=0,D200&gt;=AC200+INDEX('Facilities'!$AK$9:$AK$108,MATCH(C200,'Facilities'!$C$9:$C$108,0))),H200+L200-M200,0),"Unavailable"))</x:f>
      </x:c>
      <x:c r="O200" s="21" t="str">
        <x:f>IF(C200="","",IFERROR(MAX(0,G200+J200-K200-L200),"Unavailable"))</x:f>
      </x:c>
      <x:c r="P200" s="21" t="str">
        <x:f>IF(C200="","",IFERROR(MAX(0,H200+L200-M200-N200),"Unavailable"))</x:f>
      </x:c>
      <x:c r="Q200" s="23" t="str">
        <x:f>IF(C200="","",IFERROR(IF(OR(D200&gt;=INDEX('Facilities'!$J$9:$J$108,MATCH(C200,'Facilities'!$C$9:$C$108,0)),AND(AC200&gt;=0,AC200&lt;=D200)),0,MAX(0,I200-J200)),"Unavailable"))</x:f>
      </x:c>
      <x:c r="R200" s="30" t="str">
        <x:f>IF(C200="","",IFERROR(INDEX(Credit!$Q$109:$Q$208,MATCH(F200,Credit!$C$109:$C$208,0)),"Unavailable"))</x:f>
      </x:c>
      <x:c r="S200" s="30" t="str">
        <x:f>IF(C200="","",IFERROR(INDEX(Credit!$R$109:$R$208,MATCH(F200,Credit!$C$109:$C$208,0)),"Unavailable"))</x:f>
      </x:c>
      <x:c r="T200" s="23" t="str">
        <x:f>IF(C200="","",IFERROR(IF(P200&gt;0,3,IF(OR(INDEX('Facilities'!$AD$9:$AD$108,MATCH(C200,'Facilities'!$C$9:$C$108,0))=2,AND(R200&gt;=INDEX('Facilities'!$L$9:$L$108,MATCH(C200,'Facilities'!$C$9:$C$108,0))*Settings!$F$19,R200-INDEX('Facilities'!$L$9:$L$108,MATCH(C200,'Facilities'!$C$9:$C$108,0))&gt;=Settings!$F$20)),2,1)),"Unavailable"))</x:f>
      </x:c>
      <x:c r="U200" s="23" t="str">
        <x:f>IF(C200="","",IF(AQ200&lt;&gt;"Ready","Unavailable",IF(C200="","",O200*(1-(1-S200)/(1+INDEX('Facilities'!$K$9:$K$108,MATCH(C200,'Facilities'!$C$9:$C$108,0)))^INDEX('Facilities'!$AK$9:$AK$108,MATCH(C200,'Facilities'!$C$9:$C$108,0)))*R200/(1+INDEX('Facilities'!$K$9:$K$108,MATCH(C200,'Facilities'!$C$9:$C$108,0)))*IF(ABS(1-(1-R200)*(1-INDEX('Facilities'!$R$9:$R$108,MATCH(C200,'Facilities'!$C$9:$C$108,0)))/(1+INDEX('Facilities'!$K$9:$K$108,MATCH(C200,'Facilities'!$C$9:$C$108,0))))&lt;0.000000001,IF(T200=1,MIN(1,AJ200),AJ200),(1-((1-R200)*(1-INDEX('Facilities'!$R$9:$R$108,MATCH(C200,'Facilities'!$C$9:$C$108,0)))/(1+INDEX('Facilities'!$K$9:$K$108,MATCH(C200,'Facilities'!$C$9:$C$108,0))))^IF(T200=1,MIN(1,AJ200),AJ200))/(1-(1-R200)*(1-INDEX('Facilities'!$R$9:$R$108,MATCH(C200,'Facilities'!$C$9:$C$108,0)))/(1+INDEX('Facilities'!$K$9:$K$108,MATCH(C200,'Facilities'!$C$9:$C$108,0)))))+AL200)))</x:f>
      </x:c>
      <x:c r="V200" s="23" t="str">
        <x:f>IF(C200="","",IF(AQ200&lt;&gt;"Ready","Unavailable",IF(C200="","",Q200*INDEX('Facilities'!$I$9:$I$108,MATCH(C200,'Facilities'!$C$9:$C$108,0))*(1-(1-S200)/(1+INDEX('Facilities'!$K$9:$K$108,MATCH(C200,'Facilities'!$C$9:$C$108,0)))^INDEX('Facilities'!$AK$9:$AK$108,MATCH(C200,'Facilities'!$C$9:$C$108,0)))*R200/(1+INDEX('Facilities'!$K$9:$K$108,MATCH(C200,'Facilities'!$C$9:$C$108,0)))*IF(ABS(1-(1-R200)*(1-0)/(1+INDEX('Facilities'!$K$9:$K$108,MATCH(C200,'Facilities'!$C$9:$C$108,0))))&lt;0.000000001,IF(T200=1,MIN(1,AJ200),AJ200),(1-((1-R200)*(1-0)/(1+INDEX('Facilities'!$K$9:$K$108,MATCH(C200,'Facilities'!$C$9:$C$108,0))))^IF(T200=1,MIN(1,AJ200),AJ200))/(1-(1-R200)*(1-0)/(1+INDEX('Facilities'!$K$9:$K$108,MATCH(C200,'Facilities'!$C$9:$C$108,0))))))))</x:f>
      </x:c>
      <x:c r="W200" s="21" t="str">
        <x:f>IF(C200="","",IFERROR(U100,"Unavailable"))</x:f>
      </x:c>
      <x:c r="X200" s="21" t="str">
        <x:f>IF(C200="","",IFERROR(V100,"Unavailable"))</x:f>
      </x:c>
      <x:c r="Y200" s="21" t="str">
        <x:f>IF(C200="","",IF(AQ200&lt;&gt;"Ready","Unavailable",IF(C200="","",U200-W200+V200-X200+N200+AG200)))</x:f>
      </x:c>
      <x:c r="Z200" s="23" t="str">
        <x:f>IF(C200="","",IF(AQ200&lt;&gt;"Ready","Unavailable",IF(C200="","",(G200+O200+L200)/2*INDEX('Facilities'!$T$9:$T$108,MATCH(C200,'Facilities'!$C$9:$C$108,0))+AG200)))</x:f>
      </x:c>
      <x:c r="AA200" s="23" t="str">
        <x:f>IF(C200="","",IF(AQ200&lt;&gt;"Ready","Unavailable",IF(C200="","",O200*(1-IF(INDEX('Facilities'!$AA$9:$AA$108,MATCH(C200,'Facilities'!$C$9:$C$108,0))=0,0,MIN(1,INDEX('Facilities'!$X$9:$X$108,MATCH(C200,'Facilities'!$C$9:$C$108,0))/INDEX('Facilities'!$AA$9:$AA$108,MATCH(C200,'Facilities'!$C$9:$C$108,0)))))*AF200+P200*(1-IF(INDEX('Facilities'!$AA$9:$AA$108,MATCH(C200,'Facilities'!$C$9:$C$108,0))=0,0,MIN(1,INDEX('Facilities'!$X$9:$X$108,MATCH(C200,'Facilities'!$C$9:$C$108,0))/INDEX('Facilities'!$AA$9:$AA$108,MATCH(C200,'Facilities'!$C$9:$C$108,0)))))*INDEX('Facilities'!$AJ$9:$AJ$108,MATCH(C200,'Facilities'!$C$9:$C$108,0))+Q200*INDEX('Facilities'!$AI$9:$AI$108,MATCH(C200,'Facilities'!$C$9:$C$108,0))*AF200)))</x:f>
      </x:c>
      <x:c r="AB200" s="21" t="str">
        <x:f>IF(C200="","",O200+P200-AD200)</x:f>
      </x:c>
      <x:c r="AC200" s="23" t="str">
        <x:f>IF(C200="","",IFERROR(IF(INDEX('Facilities'!$AD$9:$AD$108,MATCH(C200,'Facilities'!$C$9:$C$108,0))=3,0,IF(INDEX('Facilities'!$AN$9:$AN$108,MATCH(C200,'Facilities'!$C$9:$C$108,0))=0,-1,INDEX('Facilities'!$AN$9:$AN$108,MATCH(C200,'Facilities'!$C$9:$C$108,0)))),"Unavailable"))</x:f>
      </x:c>
      <x:c r="AD200" s="21" t="str">
        <x:f>IF(C200="","",IFERROR(G200+H200,"Unavailable"))</x:f>
      </x:c>
      <x:c r="AE200" s="21" t="str">
        <x:f>IF(C200="","",IF(AQ200&lt;&gt;"Ready","Unavailable",IF(C200="","",O200+P200-AD200-J200+K200+M200+N200)))</x:f>
      </x:c>
      <x:c r="AF200" s="30" t="str">
        <x:f>IF(C200="","",IFERROR(INDEX('Facilities'!$S$9:$S$108,MATCH(C200,'Facilities'!$C$9:$C$108,0))*'Scenario Paths'!G75,"Unavailable"))</x:f>
      </x:c>
      <x:c r="AG200" s="23" t="str">
        <x:f>IF(C200="","",IF(AQ200&lt;&gt;"Ready","Unavailable",IF(C200="","",IF(H200&gt;0,MAX(0,H200-AK200)*((1+INDEX('Facilities'!$K$9:$K$108,MATCH(C200,'Facilities'!$C$9:$C$108,0)))^MIN(1,MAX(0,AC200+INDEX('Facilities'!$AK$9:$AK$108,MATCH(C200,'Facilities'!$C$9:$C$108,0))-D200+1))-1),0))))</x:f>
      </x:c>
      <x:c r="AH200" s="21" t="str">
        <x:f>IF(C200="","",IF(AQ200&lt;&gt;"Ready","Unavailable",IF(C200="","",O200+P200)))</x:f>
      </x:c>
      <x:c r="AI200" s="21" t="str">
        <x:f>IF(C200="","",IF(AQ200&lt;&gt;"Ready","Unavailable",IF(C200="","",Z200-Y200)))</x:f>
      </x:c>
      <x:c r="AJ200" s="23" t="str">
        <x:f>IF(C200="","",IFERROR(MAX(0,INDEX('Facilities'!$J$9:$J$108,MATCH(C200,'Facilities'!$C$9:$C$108,0))-D200),"Unavailable"))</x:f>
      </x:c>
      <x:c r="AK200" s="21" t="str">
        <x:f>IF(C200="","",IFERROR(AL100,"Unavailable"))</x:f>
      </x:c>
      <x:c r="AL200" s="23" t="str">
        <x:f>IF(C200="","",IFERROR(IF(P200&gt;0,P200*(1-AM200/(1+INDEX('Facilities'!$K$9:$K$108,MATCH(C200,'Facilities'!$C$9:$C$108,0)))^MAX(0,AC200+INDEX('Facilities'!$AK$9:$AK$108,MATCH(C200,'Facilities'!$C$9:$C$108,0))-D200)),0),"Unavailable"))</x:f>
      </x:c>
      <x:c r="AM200" s="30" t="str">
        <x:f>IF(C200="","",IFERROR(INDEX('Facilities'!$AL$9:$AL$108,MATCH(C200,'Facilities'!$C$9:$C$108,0)),"Unavailable"))</x:f>
      </x:c>
      <x:c r="AN200" s="30" t="str">
        <x:f>IF(C200="","",IFERROR(INDEX(Credit!$T$109:$T$208,MATCH(F200,Credit!$C$109:$C$208,0)),"Unavailable"))</x:f>
      </x:c>
      <x:c r="AO200" s="23" t="str">
        <x:f>IF(C200="","",IF(AQ200&lt;&gt;"Ready","Unavailable",IF(C200="","",O200+P200+Q200*INDEX('Facilities'!$I$9:$I$108,MATCH(C200,'Facilities'!$C$9:$C$108,0)))))</x:f>
      </x:c>
      <x:c r="AP200" s="21" t="str">
        <x:f>IF(C200="","",IF(AQ200&lt;&gt;"Ready","Unavailable",IF(C200="","",AH200-U200)))</x:f>
      </x:c>
      <x:c r="AQ200" s="23" t="str">
        <x:f>IFERROR(IF(C200="","",IF(AND(INDEX('Facilities'!$AF$9:$AF$108,MATCH(C200,'Facilities'!$C$9:$C$108,0))="Ready",INDEX(Credit!$U$109:$U$208,MATCH(F200,Credit!$C$109:$C$208,0))="Ready",ISNUMBER(W200)),"Ready","Review inputs")),"Review inputs")</x:f>
      </x:c>
      <x:c r="AR200" s="23" t="str">
        <x:f>IF(C200="","",IF(AQ200&lt;&gt;"Ready","Unavailable",IF(C200="","",IF(O200=0,0,(IF(AJ200&lt;=1,O200,O200*INDEX('Facilities'!$R$9:$R$108,MATCH(C200,'Facilities'!$C$9:$C$108,0)))+O200*INDEX('Facilities'!$T$9:$T$108,MATCH(C200,'Facilities'!$C$9:$C$108,0)))/12))))</x:f>
      </x:c>
    </x:row>
    <x:row r="201" ht="26" customHeight="1">
      <x:c r="A201" s="1"/>
      <x:c r="B201" s="1"/>
      <x:c r="C201" s="9" t="str">
        <x:f>IF(Facilities!C101="","",Facilities!C101)</x:f>
      </x:c>
      <x:c r="D201" s="3" t="n">
        <x:v>2</x:v>
      </x:c>
      <x:c r="E201" s="9" t="n">
        <x:f>Settings!$F$18+1</x:f>
        <x:v>2028</x:v>
      </x:c>
      <x:c r="F201" s="9" t="str">
        <x:f>IF(C201="","",IFERROR(INDEX('Facilities'!$D$9:$D$108,MATCH(C201,'Facilities'!$C$9:$C$108,0)),"Unavailable"))</x:f>
      </x:c>
      <x:c r="G201" s="21" t="str">
        <x:f>IF(C201="","",IFERROR(O101,"Unavailable"))</x:f>
      </x:c>
      <x:c r="H201" s="21" t="str">
        <x:f>IF(C201="","",IFERROR(P101,"Unavailable"))</x:f>
      </x:c>
      <x:c r="I201" s="21" t="str">
        <x:f>IF(C201="","",IFERROR(Q101,"Unavailable"))</x:f>
      </x:c>
      <x:c r="J201" s="23" t="str">
        <x:f>IF(C201="","",IFERROR(IF(OR(H201&gt;0,AND(AC201&gt;=0,AC201&lt;D201),D201&gt;INDEX('Facilities'!$J$9:$J$108,MATCH(C201,'Facilities'!$C$9:$C$108,0))),0,I201*'Scenario Paths'!G81),"Unavailable"))</x:f>
      </x:c>
      <x:c r="K201" s="23" t="str">
        <x:f>IF(C201="","",IFERROR(IF(OR(H201&gt;0,AND(AC201&gt;=0,AC201=D201)),0,IF(D201&gt;=INDEX('Facilities'!$J$9:$J$108,MATCH(C201,'Facilities'!$C$9:$C$108,0)),G201+J201,MIN(G201+J201,G201*INDEX('Facilities'!$R$9:$R$108,MATCH(C201,'Facilities'!$C$9:$C$108,0))))),"Unavailable"))</x:f>
      </x:c>
      <x:c r="L201" s="21" t="str">
        <x:f>IF(C201="","",IFERROR(IF(AND(AC201=D201,AC201&gt;0),MAX(0,G201+J201-K201),0),"Unavailable"))</x:f>
      </x:c>
      <x:c r="M201" s="23" t="str">
        <x:f>IF(C201="","",IFERROR(IF(AND(AC201&gt;=0,D201&gt;=AC201+INDEX('Facilities'!$AK$9:$AK$108,MATCH(C201,'Facilities'!$C$9:$C$108,0))),(H201+L201)*AM201,0),"Unavailable"))</x:f>
      </x:c>
      <x:c r="N201" s="23" t="str">
        <x:f>IF(C201="","",IFERROR(IF(AND(AC201&gt;=0,D201&gt;=AC201+INDEX('Facilities'!$AK$9:$AK$108,MATCH(C201,'Facilities'!$C$9:$C$108,0))),H201+L201-M201,0),"Unavailable"))</x:f>
      </x:c>
      <x:c r="O201" s="21" t="str">
        <x:f>IF(C201="","",IFERROR(MAX(0,G201+J201-K201-L201),"Unavailable"))</x:f>
      </x:c>
      <x:c r="P201" s="21" t="str">
        <x:f>IF(C201="","",IFERROR(MAX(0,H201+L201-M201-N201),"Unavailable"))</x:f>
      </x:c>
      <x:c r="Q201" s="23" t="str">
        <x:f>IF(C201="","",IFERROR(IF(OR(D201&gt;=INDEX('Facilities'!$J$9:$J$108,MATCH(C201,'Facilities'!$C$9:$C$108,0)),AND(AC201&gt;=0,AC201&lt;=D201)),0,MAX(0,I201-J201)),"Unavailable"))</x:f>
      </x:c>
      <x:c r="R201" s="30" t="str">
        <x:f>IF(C201="","",IFERROR(INDEX(Credit!$Q$109:$Q$208,MATCH(F201,Credit!$C$109:$C$208,0)),"Unavailable"))</x:f>
      </x:c>
      <x:c r="S201" s="30" t="str">
        <x:f>IF(C201="","",IFERROR(INDEX(Credit!$R$109:$R$208,MATCH(F201,Credit!$C$109:$C$208,0)),"Unavailable"))</x:f>
      </x:c>
      <x:c r="T201" s="23" t="str">
        <x:f>IF(C201="","",IFERROR(IF(P201&gt;0,3,IF(OR(INDEX('Facilities'!$AD$9:$AD$108,MATCH(C201,'Facilities'!$C$9:$C$108,0))=2,AND(R201&gt;=INDEX('Facilities'!$L$9:$L$108,MATCH(C201,'Facilities'!$C$9:$C$108,0))*Settings!$F$19,R201-INDEX('Facilities'!$L$9:$L$108,MATCH(C201,'Facilities'!$C$9:$C$108,0))&gt;=Settings!$F$20)),2,1)),"Unavailable"))</x:f>
      </x:c>
      <x:c r="U201" s="23" t="str">
        <x:f>IF(C201="","",IF(AQ201&lt;&gt;"Ready","Unavailable",IF(C201="","",O201*(1-(1-S201)/(1+INDEX('Facilities'!$K$9:$K$108,MATCH(C201,'Facilities'!$C$9:$C$108,0)))^INDEX('Facilities'!$AK$9:$AK$108,MATCH(C201,'Facilities'!$C$9:$C$108,0)))*R201/(1+INDEX('Facilities'!$K$9:$K$108,MATCH(C201,'Facilities'!$C$9:$C$108,0)))*IF(ABS(1-(1-R201)*(1-INDEX('Facilities'!$R$9:$R$108,MATCH(C201,'Facilities'!$C$9:$C$108,0)))/(1+INDEX('Facilities'!$K$9:$K$108,MATCH(C201,'Facilities'!$C$9:$C$108,0))))&lt;0.000000001,IF(T201=1,MIN(1,AJ201),AJ201),(1-((1-R201)*(1-INDEX('Facilities'!$R$9:$R$108,MATCH(C201,'Facilities'!$C$9:$C$108,0)))/(1+INDEX('Facilities'!$K$9:$K$108,MATCH(C201,'Facilities'!$C$9:$C$108,0))))^IF(T201=1,MIN(1,AJ201),AJ201))/(1-(1-R201)*(1-INDEX('Facilities'!$R$9:$R$108,MATCH(C201,'Facilities'!$C$9:$C$108,0)))/(1+INDEX('Facilities'!$K$9:$K$108,MATCH(C201,'Facilities'!$C$9:$C$108,0)))))+AL201)))</x:f>
      </x:c>
      <x:c r="V201" s="23" t="str">
        <x:f>IF(C201="","",IF(AQ201&lt;&gt;"Ready","Unavailable",IF(C201="","",Q201*INDEX('Facilities'!$I$9:$I$108,MATCH(C201,'Facilities'!$C$9:$C$108,0))*(1-(1-S201)/(1+INDEX('Facilities'!$K$9:$K$108,MATCH(C201,'Facilities'!$C$9:$C$108,0)))^INDEX('Facilities'!$AK$9:$AK$108,MATCH(C201,'Facilities'!$C$9:$C$108,0)))*R201/(1+INDEX('Facilities'!$K$9:$K$108,MATCH(C201,'Facilities'!$C$9:$C$108,0)))*IF(ABS(1-(1-R201)*(1-0)/(1+INDEX('Facilities'!$K$9:$K$108,MATCH(C201,'Facilities'!$C$9:$C$108,0))))&lt;0.000000001,IF(T201=1,MIN(1,AJ201),AJ201),(1-((1-R201)*(1-0)/(1+INDEX('Facilities'!$K$9:$K$108,MATCH(C201,'Facilities'!$C$9:$C$108,0))))^IF(T201=1,MIN(1,AJ201),AJ201))/(1-(1-R201)*(1-0)/(1+INDEX('Facilities'!$K$9:$K$108,MATCH(C201,'Facilities'!$C$9:$C$108,0))))))))</x:f>
      </x:c>
      <x:c r="W201" s="21" t="str">
        <x:f>IF(C201="","",IFERROR(U101,"Unavailable"))</x:f>
      </x:c>
      <x:c r="X201" s="21" t="str">
        <x:f>IF(C201="","",IFERROR(V101,"Unavailable"))</x:f>
      </x:c>
      <x:c r="Y201" s="21" t="str">
        <x:f>IF(C201="","",IF(AQ201&lt;&gt;"Ready","Unavailable",IF(C201="","",U201-W201+V201-X201+N201+AG201)))</x:f>
      </x:c>
      <x:c r="Z201" s="23" t="str">
        <x:f>IF(C201="","",IF(AQ201&lt;&gt;"Ready","Unavailable",IF(C201="","",(G201+O201+L201)/2*INDEX('Facilities'!$T$9:$T$108,MATCH(C201,'Facilities'!$C$9:$C$108,0))+AG201)))</x:f>
      </x:c>
      <x:c r="AA201" s="23" t="str">
        <x:f>IF(C201="","",IF(AQ201&lt;&gt;"Ready","Unavailable",IF(C201="","",O201*(1-IF(INDEX('Facilities'!$AA$9:$AA$108,MATCH(C201,'Facilities'!$C$9:$C$108,0))=0,0,MIN(1,INDEX('Facilities'!$X$9:$X$108,MATCH(C201,'Facilities'!$C$9:$C$108,0))/INDEX('Facilities'!$AA$9:$AA$108,MATCH(C201,'Facilities'!$C$9:$C$108,0)))))*AF201+P201*(1-IF(INDEX('Facilities'!$AA$9:$AA$108,MATCH(C201,'Facilities'!$C$9:$C$108,0))=0,0,MIN(1,INDEX('Facilities'!$X$9:$X$108,MATCH(C201,'Facilities'!$C$9:$C$108,0))/INDEX('Facilities'!$AA$9:$AA$108,MATCH(C201,'Facilities'!$C$9:$C$108,0)))))*INDEX('Facilities'!$AJ$9:$AJ$108,MATCH(C201,'Facilities'!$C$9:$C$108,0))+Q201*INDEX('Facilities'!$AI$9:$AI$108,MATCH(C201,'Facilities'!$C$9:$C$108,0))*AF201)))</x:f>
      </x:c>
      <x:c r="AB201" s="21" t="str">
        <x:f>IF(C201="","",O201+P201-AD201)</x:f>
      </x:c>
      <x:c r="AC201" s="23" t="str">
        <x:f>IF(C201="","",IFERROR(IF(INDEX('Facilities'!$AD$9:$AD$108,MATCH(C201,'Facilities'!$C$9:$C$108,0))=3,0,IF(INDEX('Facilities'!$AN$9:$AN$108,MATCH(C201,'Facilities'!$C$9:$C$108,0))=0,-1,INDEX('Facilities'!$AN$9:$AN$108,MATCH(C201,'Facilities'!$C$9:$C$108,0)))),"Unavailable"))</x:f>
      </x:c>
      <x:c r="AD201" s="21" t="str">
        <x:f>IF(C201="","",IFERROR(G201+H201,"Unavailable"))</x:f>
      </x:c>
      <x:c r="AE201" s="21" t="str">
        <x:f>IF(C201="","",IF(AQ201&lt;&gt;"Ready","Unavailable",IF(C201="","",O201+P201-AD201-J201+K201+M201+N201)))</x:f>
      </x:c>
      <x:c r="AF201" s="30" t="str">
        <x:f>IF(C201="","",IFERROR(INDEX('Facilities'!$S$9:$S$108,MATCH(C201,'Facilities'!$C$9:$C$108,0))*'Scenario Paths'!G75,"Unavailable"))</x:f>
      </x:c>
      <x:c r="AG201" s="23" t="str">
        <x:f>IF(C201="","",IF(AQ201&lt;&gt;"Ready","Unavailable",IF(C201="","",IF(H201&gt;0,MAX(0,H201-AK201)*((1+INDEX('Facilities'!$K$9:$K$108,MATCH(C201,'Facilities'!$C$9:$C$108,0)))^MIN(1,MAX(0,AC201+INDEX('Facilities'!$AK$9:$AK$108,MATCH(C201,'Facilities'!$C$9:$C$108,0))-D201+1))-1),0))))</x:f>
      </x:c>
      <x:c r="AH201" s="21" t="str">
        <x:f>IF(C201="","",IF(AQ201&lt;&gt;"Ready","Unavailable",IF(C201="","",O201+P201)))</x:f>
      </x:c>
      <x:c r="AI201" s="21" t="str">
        <x:f>IF(C201="","",IF(AQ201&lt;&gt;"Ready","Unavailable",IF(C201="","",Z201-Y201)))</x:f>
      </x:c>
      <x:c r="AJ201" s="23" t="str">
        <x:f>IF(C201="","",IFERROR(MAX(0,INDEX('Facilities'!$J$9:$J$108,MATCH(C201,'Facilities'!$C$9:$C$108,0))-D201),"Unavailable"))</x:f>
      </x:c>
      <x:c r="AK201" s="21" t="str">
        <x:f>IF(C201="","",IFERROR(AL101,"Unavailable"))</x:f>
      </x:c>
      <x:c r="AL201" s="23" t="str">
        <x:f>IF(C201="","",IFERROR(IF(P201&gt;0,P201*(1-AM201/(1+INDEX('Facilities'!$K$9:$K$108,MATCH(C201,'Facilities'!$C$9:$C$108,0)))^MAX(0,AC201+INDEX('Facilities'!$AK$9:$AK$108,MATCH(C201,'Facilities'!$C$9:$C$108,0))-D201)),0),"Unavailable"))</x:f>
      </x:c>
      <x:c r="AM201" s="30" t="str">
        <x:f>IF(C201="","",IFERROR(INDEX('Facilities'!$AL$9:$AL$108,MATCH(C201,'Facilities'!$C$9:$C$108,0)),"Unavailable"))</x:f>
      </x:c>
      <x:c r="AN201" s="30" t="str">
        <x:f>IF(C201="","",IFERROR(INDEX(Credit!$T$109:$T$208,MATCH(F201,Credit!$C$109:$C$208,0)),"Unavailable"))</x:f>
      </x:c>
      <x:c r="AO201" s="23" t="str">
        <x:f>IF(C201="","",IF(AQ201&lt;&gt;"Ready","Unavailable",IF(C201="","",O201+P201+Q201*INDEX('Facilities'!$I$9:$I$108,MATCH(C201,'Facilities'!$C$9:$C$108,0)))))</x:f>
      </x:c>
      <x:c r="AP201" s="21" t="str">
        <x:f>IF(C201="","",IF(AQ201&lt;&gt;"Ready","Unavailable",IF(C201="","",AH201-U201)))</x:f>
      </x:c>
      <x:c r="AQ201" s="23" t="str">
        <x:f>IFERROR(IF(C201="","",IF(AND(INDEX('Facilities'!$AF$9:$AF$108,MATCH(C201,'Facilities'!$C$9:$C$108,0))="Ready",INDEX(Credit!$U$109:$U$208,MATCH(F201,Credit!$C$109:$C$208,0))="Ready",ISNUMBER(W201)),"Ready","Review inputs")),"Review inputs")</x:f>
      </x:c>
      <x:c r="AR201" s="23" t="str">
        <x:f>IF(C201="","",IF(AQ201&lt;&gt;"Ready","Unavailable",IF(C201="","",IF(O201=0,0,(IF(AJ201&lt;=1,O201,O201*INDEX('Facilities'!$R$9:$R$108,MATCH(C201,'Facilities'!$C$9:$C$108,0)))+O201*INDEX('Facilities'!$T$9:$T$108,MATCH(C201,'Facilities'!$C$9:$C$108,0)))/12))))</x:f>
      </x:c>
    </x:row>
    <x:row r="202" ht="26" customHeight="1">
      <x:c r="A202" s="1"/>
      <x:c r="B202" s="1"/>
      <x:c r="C202" s="9" t="str">
        <x:f>IF(Facilities!C102="","",Facilities!C102)</x:f>
      </x:c>
      <x:c r="D202" s="3" t="n">
        <x:v>2</x:v>
      </x:c>
      <x:c r="E202" s="9" t="n">
        <x:f>Settings!$F$18+1</x:f>
        <x:v>2028</x:v>
      </x:c>
      <x:c r="F202" s="9" t="str">
        <x:f>IF(C202="","",IFERROR(INDEX('Facilities'!$D$9:$D$108,MATCH(C202,'Facilities'!$C$9:$C$108,0)),"Unavailable"))</x:f>
      </x:c>
      <x:c r="G202" s="21" t="str">
        <x:f>IF(C202="","",IFERROR(O102,"Unavailable"))</x:f>
      </x:c>
      <x:c r="H202" s="21" t="str">
        <x:f>IF(C202="","",IFERROR(P102,"Unavailable"))</x:f>
      </x:c>
      <x:c r="I202" s="21" t="str">
        <x:f>IF(C202="","",IFERROR(Q102,"Unavailable"))</x:f>
      </x:c>
      <x:c r="J202" s="23" t="str">
        <x:f>IF(C202="","",IFERROR(IF(OR(H202&gt;0,AND(AC202&gt;=0,AC202&lt;D202),D202&gt;INDEX('Facilities'!$J$9:$J$108,MATCH(C202,'Facilities'!$C$9:$C$108,0))),0,I202*'Scenario Paths'!G81),"Unavailable"))</x:f>
      </x:c>
      <x:c r="K202" s="23" t="str">
        <x:f>IF(C202="","",IFERROR(IF(OR(H202&gt;0,AND(AC202&gt;=0,AC202=D202)),0,IF(D202&gt;=INDEX('Facilities'!$J$9:$J$108,MATCH(C202,'Facilities'!$C$9:$C$108,0)),G202+J202,MIN(G202+J202,G202*INDEX('Facilities'!$R$9:$R$108,MATCH(C202,'Facilities'!$C$9:$C$108,0))))),"Unavailable"))</x:f>
      </x:c>
      <x:c r="L202" s="21" t="str">
        <x:f>IF(C202="","",IFERROR(IF(AND(AC202=D202,AC202&gt;0),MAX(0,G202+J202-K202),0),"Unavailable"))</x:f>
      </x:c>
      <x:c r="M202" s="23" t="str">
        <x:f>IF(C202="","",IFERROR(IF(AND(AC202&gt;=0,D202&gt;=AC202+INDEX('Facilities'!$AK$9:$AK$108,MATCH(C202,'Facilities'!$C$9:$C$108,0))),(H202+L202)*AM202,0),"Unavailable"))</x:f>
      </x:c>
      <x:c r="N202" s="23" t="str">
        <x:f>IF(C202="","",IFERROR(IF(AND(AC202&gt;=0,D202&gt;=AC202+INDEX('Facilities'!$AK$9:$AK$108,MATCH(C202,'Facilities'!$C$9:$C$108,0))),H202+L202-M202,0),"Unavailable"))</x:f>
      </x:c>
      <x:c r="O202" s="21" t="str">
        <x:f>IF(C202="","",IFERROR(MAX(0,G202+J202-K202-L202),"Unavailable"))</x:f>
      </x:c>
      <x:c r="P202" s="21" t="str">
        <x:f>IF(C202="","",IFERROR(MAX(0,H202+L202-M202-N202),"Unavailable"))</x:f>
      </x:c>
      <x:c r="Q202" s="23" t="str">
        <x:f>IF(C202="","",IFERROR(IF(OR(D202&gt;=INDEX('Facilities'!$J$9:$J$108,MATCH(C202,'Facilities'!$C$9:$C$108,0)),AND(AC202&gt;=0,AC202&lt;=D202)),0,MAX(0,I202-J202)),"Unavailable"))</x:f>
      </x:c>
      <x:c r="R202" s="30" t="str">
        <x:f>IF(C202="","",IFERROR(INDEX(Credit!$Q$109:$Q$208,MATCH(F202,Credit!$C$109:$C$208,0)),"Unavailable"))</x:f>
      </x:c>
      <x:c r="S202" s="30" t="str">
        <x:f>IF(C202="","",IFERROR(INDEX(Credit!$R$109:$R$208,MATCH(F202,Credit!$C$109:$C$208,0)),"Unavailable"))</x:f>
      </x:c>
      <x:c r="T202" s="23" t="str">
        <x:f>IF(C202="","",IFERROR(IF(P202&gt;0,3,IF(OR(INDEX('Facilities'!$AD$9:$AD$108,MATCH(C202,'Facilities'!$C$9:$C$108,0))=2,AND(R202&gt;=INDEX('Facilities'!$L$9:$L$108,MATCH(C202,'Facilities'!$C$9:$C$108,0))*Settings!$F$19,R202-INDEX('Facilities'!$L$9:$L$108,MATCH(C202,'Facilities'!$C$9:$C$108,0))&gt;=Settings!$F$20)),2,1)),"Unavailable"))</x:f>
      </x:c>
      <x:c r="U202" s="23" t="str">
        <x:f>IF(C202="","",IF(AQ202&lt;&gt;"Ready","Unavailable",IF(C202="","",O202*(1-(1-S202)/(1+INDEX('Facilities'!$K$9:$K$108,MATCH(C202,'Facilities'!$C$9:$C$108,0)))^INDEX('Facilities'!$AK$9:$AK$108,MATCH(C202,'Facilities'!$C$9:$C$108,0)))*R202/(1+INDEX('Facilities'!$K$9:$K$108,MATCH(C202,'Facilities'!$C$9:$C$108,0)))*IF(ABS(1-(1-R202)*(1-INDEX('Facilities'!$R$9:$R$108,MATCH(C202,'Facilities'!$C$9:$C$108,0)))/(1+INDEX('Facilities'!$K$9:$K$108,MATCH(C202,'Facilities'!$C$9:$C$108,0))))&lt;0.000000001,IF(T202=1,MIN(1,AJ202),AJ202),(1-((1-R202)*(1-INDEX('Facilities'!$R$9:$R$108,MATCH(C202,'Facilities'!$C$9:$C$108,0)))/(1+INDEX('Facilities'!$K$9:$K$108,MATCH(C202,'Facilities'!$C$9:$C$108,0))))^IF(T202=1,MIN(1,AJ202),AJ202))/(1-(1-R202)*(1-INDEX('Facilities'!$R$9:$R$108,MATCH(C202,'Facilities'!$C$9:$C$108,0)))/(1+INDEX('Facilities'!$K$9:$K$108,MATCH(C202,'Facilities'!$C$9:$C$108,0)))))+AL202)))</x:f>
      </x:c>
      <x:c r="V202" s="23" t="str">
        <x:f>IF(C202="","",IF(AQ202&lt;&gt;"Ready","Unavailable",IF(C202="","",Q202*INDEX('Facilities'!$I$9:$I$108,MATCH(C202,'Facilities'!$C$9:$C$108,0))*(1-(1-S202)/(1+INDEX('Facilities'!$K$9:$K$108,MATCH(C202,'Facilities'!$C$9:$C$108,0)))^INDEX('Facilities'!$AK$9:$AK$108,MATCH(C202,'Facilities'!$C$9:$C$108,0)))*R202/(1+INDEX('Facilities'!$K$9:$K$108,MATCH(C202,'Facilities'!$C$9:$C$108,0)))*IF(ABS(1-(1-R202)*(1-0)/(1+INDEX('Facilities'!$K$9:$K$108,MATCH(C202,'Facilities'!$C$9:$C$108,0))))&lt;0.000000001,IF(T202=1,MIN(1,AJ202),AJ202),(1-((1-R202)*(1-0)/(1+INDEX('Facilities'!$K$9:$K$108,MATCH(C202,'Facilities'!$C$9:$C$108,0))))^IF(T202=1,MIN(1,AJ202),AJ202))/(1-(1-R202)*(1-0)/(1+INDEX('Facilities'!$K$9:$K$108,MATCH(C202,'Facilities'!$C$9:$C$108,0))))))))</x:f>
      </x:c>
      <x:c r="W202" s="21" t="str">
        <x:f>IF(C202="","",IFERROR(U102,"Unavailable"))</x:f>
      </x:c>
      <x:c r="X202" s="21" t="str">
        <x:f>IF(C202="","",IFERROR(V102,"Unavailable"))</x:f>
      </x:c>
      <x:c r="Y202" s="21" t="str">
        <x:f>IF(C202="","",IF(AQ202&lt;&gt;"Ready","Unavailable",IF(C202="","",U202-W202+V202-X202+N202+AG202)))</x:f>
      </x:c>
      <x:c r="Z202" s="23" t="str">
        <x:f>IF(C202="","",IF(AQ202&lt;&gt;"Ready","Unavailable",IF(C202="","",(G202+O202+L202)/2*INDEX('Facilities'!$T$9:$T$108,MATCH(C202,'Facilities'!$C$9:$C$108,0))+AG202)))</x:f>
      </x:c>
      <x:c r="AA202" s="23" t="str">
        <x:f>IF(C202="","",IF(AQ202&lt;&gt;"Ready","Unavailable",IF(C202="","",O202*(1-IF(INDEX('Facilities'!$AA$9:$AA$108,MATCH(C202,'Facilities'!$C$9:$C$108,0))=0,0,MIN(1,INDEX('Facilities'!$X$9:$X$108,MATCH(C202,'Facilities'!$C$9:$C$108,0))/INDEX('Facilities'!$AA$9:$AA$108,MATCH(C202,'Facilities'!$C$9:$C$108,0)))))*AF202+P202*(1-IF(INDEX('Facilities'!$AA$9:$AA$108,MATCH(C202,'Facilities'!$C$9:$C$108,0))=0,0,MIN(1,INDEX('Facilities'!$X$9:$X$108,MATCH(C202,'Facilities'!$C$9:$C$108,0))/INDEX('Facilities'!$AA$9:$AA$108,MATCH(C202,'Facilities'!$C$9:$C$108,0)))))*INDEX('Facilities'!$AJ$9:$AJ$108,MATCH(C202,'Facilities'!$C$9:$C$108,0))+Q202*INDEX('Facilities'!$AI$9:$AI$108,MATCH(C202,'Facilities'!$C$9:$C$108,0))*AF202)))</x:f>
      </x:c>
      <x:c r="AB202" s="21" t="str">
        <x:f>IF(C202="","",O202+P202-AD202)</x:f>
      </x:c>
      <x:c r="AC202" s="23" t="str">
        <x:f>IF(C202="","",IFERROR(IF(INDEX('Facilities'!$AD$9:$AD$108,MATCH(C202,'Facilities'!$C$9:$C$108,0))=3,0,IF(INDEX('Facilities'!$AN$9:$AN$108,MATCH(C202,'Facilities'!$C$9:$C$108,0))=0,-1,INDEX('Facilities'!$AN$9:$AN$108,MATCH(C202,'Facilities'!$C$9:$C$108,0)))),"Unavailable"))</x:f>
      </x:c>
      <x:c r="AD202" s="21" t="str">
        <x:f>IF(C202="","",IFERROR(G202+H202,"Unavailable"))</x:f>
      </x:c>
      <x:c r="AE202" s="21" t="str">
        <x:f>IF(C202="","",IF(AQ202&lt;&gt;"Ready","Unavailable",IF(C202="","",O202+P202-AD202-J202+K202+M202+N202)))</x:f>
      </x:c>
      <x:c r="AF202" s="30" t="str">
        <x:f>IF(C202="","",IFERROR(INDEX('Facilities'!$S$9:$S$108,MATCH(C202,'Facilities'!$C$9:$C$108,0))*'Scenario Paths'!G75,"Unavailable"))</x:f>
      </x:c>
      <x:c r="AG202" s="23" t="str">
        <x:f>IF(C202="","",IF(AQ202&lt;&gt;"Ready","Unavailable",IF(C202="","",IF(H202&gt;0,MAX(0,H202-AK202)*((1+INDEX('Facilities'!$K$9:$K$108,MATCH(C202,'Facilities'!$C$9:$C$108,0)))^MIN(1,MAX(0,AC202+INDEX('Facilities'!$AK$9:$AK$108,MATCH(C202,'Facilities'!$C$9:$C$108,0))-D202+1))-1),0))))</x:f>
      </x:c>
      <x:c r="AH202" s="21" t="str">
        <x:f>IF(C202="","",IF(AQ202&lt;&gt;"Ready","Unavailable",IF(C202="","",O202+P202)))</x:f>
      </x:c>
      <x:c r="AI202" s="21" t="str">
        <x:f>IF(C202="","",IF(AQ202&lt;&gt;"Ready","Unavailable",IF(C202="","",Z202-Y202)))</x:f>
      </x:c>
      <x:c r="AJ202" s="23" t="str">
        <x:f>IF(C202="","",IFERROR(MAX(0,INDEX('Facilities'!$J$9:$J$108,MATCH(C202,'Facilities'!$C$9:$C$108,0))-D202),"Unavailable"))</x:f>
      </x:c>
      <x:c r="AK202" s="21" t="str">
        <x:f>IF(C202="","",IFERROR(AL102,"Unavailable"))</x:f>
      </x:c>
      <x:c r="AL202" s="23" t="str">
        <x:f>IF(C202="","",IFERROR(IF(P202&gt;0,P202*(1-AM202/(1+INDEX('Facilities'!$K$9:$K$108,MATCH(C202,'Facilities'!$C$9:$C$108,0)))^MAX(0,AC202+INDEX('Facilities'!$AK$9:$AK$108,MATCH(C202,'Facilities'!$C$9:$C$108,0))-D202)),0),"Unavailable"))</x:f>
      </x:c>
      <x:c r="AM202" s="30" t="str">
        <x:f>IF(C202="","",IFERROR(INDEX('Facilities'!$AL$9:$AL$108,MATCH(C202,'Facilities'!$C$9:$C$108,0)),"Unavailable"))</x:f>
      </x:c>
      <x:c r="AN202" s="30" t="str">
        <x:f>IF(C202="","",IFERROR(INDEX(Credit!$T$109:$T$208,MATCH(F202,Credit!$C$109:$C$208,0)),"Unavailable"))</x:f>
      </x:c>
      <x:c r="AO202" s="23" t="str">
        <x:f>IF(C202="","",IF(AQ202&lt;&gt;"Ready","Unavailable",IF(C202="","",O202+P202+Q202*INDEX('Facilities'!$I$9:$I$108,MATCH(C202,'Facilities'!$C$9:$C$108,0)))))</x:f>
      </x:c>
      <x:c r="AP202" s="21" t="str">
        <x:f>IF(C202="","",IF(AQ202&lt;&gt;"Ready","Unavailable",IF(C202="","",AH202-U202)))</x:f>
      </x:c>
      <x:c r="AQ202" s="23" t="str">
        <x:f>IFERROR(IF(C202="","",IF(AND(INDEX('Facilities'!$AF$9:$AF$108,MATCH(C202,'Facilities'!$C$9:$C$108,0))="Ready",INDEX(Credit!$U$109:$U$208,MATCH(F202,Credit!$C$109:$C$208,0))="Ready",ISNUMBER(W202)),"Ready","Review inputs")),"Review inputs")</x:f>
      </x:c>
      <x:c r="AR202" s="23" t="str">
        <x:f>IF(C202="","",IF(AQ202&lt;&gt;"Ready","Unavailable",IF(C202="","",IF(O202=0,0,(IF(AJ202&lt;=1,O202,O202*INDEX('Facilities'!$R$9:$R$108,MATCH(C202,'Facilities'!$C$9:$C$108,0)))+O202*INDEX('Facilities'!$T$9:$T$108,MATCH(C202,'Facilities'!$C$9:$C$108,0)))/12))))</x:f>
      </x:c>
    </x:row>
    <x:row r="203" ht="26" customHeight="1">
      <x:c r="A203" s="1"/>
      <x:c r="B203" s="1"/>
      <x:c r="C203" s="9" t="str">
        <x:f>IF(Facilities!C103="","",Facilities!C103)</x:f>
      </x:c>
      <x:c r="D203" s="3" t="n">
        <x:v>2</x:v>
      </x:c>
      <x:c r="E203" s="9" t="n">
        <x:f>Settings!$F$18+1</x:f>
        <x:v>2028</x:v>
      </x:c>
      <x:c r="F203" s="9" t="str">
        <x:f>IF(C203="","",IFERROR(INDEX('Facilities'!$D$9:$D$108,MATCH(C203,'Facilities'!$C$9:$C$108,0)),"Unavailable"))</x:f>
      </x:c>
      <x:c r="G203" s="21" t="str">
        <x:f>IF(C203="","",IFERROR(O103,"Unavailable"))</x:f>
      </x:c>
      <x:c r="H203" s="21" t="str">
        <x:f>IF(C203="","",IFERROR(P103,"Unavailable"))</x:f>
      </x:c>
      <x:c r="I203" s="21" t="str">
        <x:f>IF(C203="","",IFERROR(Q103,"Unavailable"))</x:f>
      </x:c>
      <x:c r="J203" s="23" t="str">
        <x:f>IF(C203="","",IFERROR(IF(OR(H203&gt;0,AND(AC203&gt;=0,AC203&lt;D203),D203&gt;INDEX('Facilities'!$J$9:$J$108,MATCH(C203,'Facilities'!$C$9:$C$108,0))),0,I203*'Scenario Paths'!G81),"Unavailable"))</x:f>
      </x:c>
      <x:c r="K203" s="23" t="str">
        <x:f>IF(C203="","",IFERROR(IF(OR(H203&gt;0,AND(AC203&gt;=0,AC203=D203)),0,IF(D203&gt;=INDEX('Facilities'!$J$9:$J$108,MATCH(C203,'Facilities'!$C$9:$C$108,0)),G203+J203,MIN(G203+J203,G203*INDEX('Facilities'!$R$9:$R$108,MATCH(C203,'Facilities'!$C$9:$C$108,0))))),"Unavailable"))</x:f>
      </x:c>
      <x:c r="L203" s="21" t="str">
        <x:f>IF(C203="","",IFERROR(IF(AND(AC203=D203,AC203&gt;0),MAX(0,G203+J203-K203),0),"Unavailable"))</x:f>
      </x:c>
      <x:c r="M203" s="23" t="str">
        <x:f>IF(C203="","",IFERROR(IF(AND(AC203&gt;=0,D203&gt;=AC203+INDEX('Facilities'!$AK$9:$AK$108,MATCH(C203,'Facilities'!$C$9:$C$108,0))),(H203+L203)*AM203,0),"Unavailable"))</x:f>
      </x:c>
      <x:c r="N203" s="23" t="str">
        <x:f>IF(C203="","",IFERROR(IF(AND(AC203&gt;=0,D203&gt;=AC203+INDEX('Facilities'!$AK$9:$AK$108,MATCH(C203,'Facilities'!$C$9:$C$108,0))),H203+L203-M203,0),"Unavailable"))</x:f>
      </x:c>
      <x:c r="O203" s="21" t="str">
        <x:f>IF(C203="","",IFERROR(MAX(0,G203+J203-K203-L203),"Unavailable"))</x:f>
      </x:c>
      <x:c r="P203" s="21" t="str">
        <x:f>IF(C203="","",IFERROR(MAX(0,H203+L203-M203-N203),"Unavailable"))</x:f>
      </x:c>
      <x:c r="Q203" s="23" t="str">
        <x:f>IF(C203="","",IFERROR(IF(OR(D203&gt;=INDEX('Facilities'!$J$9:$J$108,MATCH(C203,'Facilities'!$C$9:$C$108,0)),AND(AC203&gt;=0,AC203&lt;=D203)),0,MAX(0,I203-J203)),"Unavailable"))</x:f>
      </x:c>
      <x:c r="R203" s="30" t="str">
        <x:f>IF(C203="","",IFERROR(INDEX(Credit!$Q$109:$Q$208,MATCH(F203,Credit!$C$109:$C$208,0)),"Unavailable"))</x:f>
      </x:c>
      <x:c r="S203" s="30" t="str">
        <x:f>IF(C203="","",IFERROR(INDEX(Credit!$R$109:$R$208,MATCH(F203,Credit!$C$109:$C$208,0)),"Unavailable"))</x:f>
      </x:c>
      <x:c r="T203" s="23" t="str">
        <x:f>IF(C203="","",IFERROR(IF(P203&gt;0,3,IF(OR(INDEX('Facilities'!$AD$9:$AD$108,MATCH(C203,'Facilities'!$C$9:$C$108,0))=2,AND(R203&gt;=INDEX('Facilities'!$L$9:$L$108,MATCH(C203,'Facilities'!$C$9:$C$108,0))*Settings!$F$19,R203-INDEX('Facilities'!$L$9:$L$108,MATCH(C203,'Facilities'!$C$9:$C$108,0))&gt;=Settings!$F$20)),2,1)),"Unavailable"))</x:f>
      </x:c>
      <x:c r="U203" s="23" t="str">
        <x:f>IF(C203="","",IF(AQ203&lt;&gt;"Ready","Unavailable",IF(C203="","",O203*(1-(1-S203)/(1+INDEX('Facilities'!$K$9:$K$108,MATCH(C203,'Facilities'!$C$9:$C$108,0)))^INDEX('Facilities'!$AK$9:$AK$108,MATCH(C203,'Facilities'!$C$9:$C$108,0)))*R203/(1+INDEX('Facilities'!$K$9:$K$108,MATCH(C203,'Facilities'!$C$9:$C$108,0)))*IF(ABS(1-(1-R203)*(1-INDEX('Facilities'!$R$9:$R$108,MATCH(C203,'Facilities'!$C$9:$C$108,0)))/(1+INDEX('Facilities'!$K$9:$K$108,MATCH(C203,'Facilities'!$C$9:$C$108,0))))&lt;0.000000001,IF(T203=1,MIN(1,AJ203),AJ203),(1-((1-R203)*(1-INDEX('Facilities'!$R$9:$R$108,MATCH(C203,'Facilities'!$C$9:$C$108,0)))/(1+INDEX('Facilities'!$K$9:$K$108,MATCH(C203,'Facilities'!$C$9:$C$108,0))))^IF(T203=1,MIN(1,AJ203),AJ203))/(1-(1-R203)*(1-INDEX('Facilities'!$R$9:$R$108,MATCH(C203,'Facilities'!$C$9:$C$108,0)))/(1+INDEX('Facilities'!$K$9:$K$108,MATCH(C203,'Facilities'!$C$9:$C$108,0)))))+AL203)))</x:f>
      </x:c>
      <x:c r="V203" s="23" t="str">
        <x:f>IF(C203="","",IF(AQ203&lt;&gt;"Ready","Unavailable",IF(C203="","",Q203*INDEX('Facilities'!$I$9:$I$108,MATCH(C203,'Facilities'!$C$9:$C$108,0))*(1-(1-S203)/(1+INDEX('Facilities'!$K$9:$K$108,MATCH(C203,'Facilities'!$C$9:$C$108,0)))^INDEX('Facilities'!$AK$9:$AK$108,MATCH(C203,'Facilities'!$C$9:$C$108,0)))*R203/(1+INDEX('Facilities'!$K$9:$K$108,MATCH(C203,'Facilities'!$C$9:$C$108,0)))*IF(ABS(1-(1-R203)*(1-0)/(1+INDEX('Facilities'!$K$9:$K$108,MATCH(C203,'Facilities'!$C$9:$C$108,0))))&lt;0.000000001,IF(T203=1,MIN(1,AJ203),AJ203),(1-((1-R203)*(1-0)/(1+INDEX('Facilities'!$K$9:$K$108,MATCH(C203,'Facilities'!$C$9:$C$108,0))))^IF(T203=1,MIN(1,AJ203),AJ203))/(1-(1-R203)*(1-0)/(1+INDEX('Facilities'!$K$9:$K$108,MATCH(C203,'Facilities'!$C$9:$C$108,0))))))))</x:f>
      </x:c>
      <x:c r="W203" s="21" t="str">
        <x:f>IF(C203="","",IFERROR(U103,"Unavailable"))</x:f>
      </x:c>
      <x:c r="X203" s="21" t="str">
        <x:f>IF(C203="","",IFERROR(V103,"Unavailable"))</x:f>
      </x:c>
      <x:c r="Y203" s="21" t="str">
        <x:f>IF(C203="","",IF(AQ203&lt;&gt;"Ready","Unavailable",IF(C203="","",U203-W203+V203-X203+N203+AG203)))</x:f>
      </x:c>
      <x:c r="Z203" s="23" t="str">
        <x:f>IF(C203="","",IF(AQ203&lt;&gt;"Ready","Unavailable",IF(C203="","",(G203+O203+L203)/2*INDEX('Facilities'!$T$9:$T$108,MATCH(C203,'Facilities'!$C$9:$C$108,0))+AG203)))</x:f>
      </x:c>
      <x:c r="AA203" s="23" t="str">
        <x:f>IF(C203="","",IF(AQ203&lt;&gt;"Ready","Unavailable",IF(C203="","",O203*(1-IF(INDEX('Facilities'!$AA$9:$AA$108,MATCH(C203,'Facilities'!$C$9:$C$108,0))=0,0,MIN(1,INDEX('Facilities'!$X$9:$X$108,MATCH(C203,'Facilities'!$C$9:$C$108,0))/INDEX('Facilities'!$AA$9:$AA$108,MATCH(C203,'Facilities'!$C$9:$C$108,0)))))*AF203+P203*(1-IF(INDEX('Facilities'!$AA$9:$AA$108,MATCH(C203,'Facilities'!$C$9:$C$108,0))=0,0,MIN(1,INDEX('Facilities'!$X$9:$X$108,MATCH(C203,'Facilities'!$C$9:$C$108,0))/INDEX('Facilities'!$AA$9:$AA$108,MATCH(C203,'Facilities'!$C$9:$C$108,0)))))*INDEX('Facilities'!$AJ$9:$AJ$108,MATCH(C203,'Facilities'!$C$9:$C$108,0))+Q203*INDEX('Facilities'!$AI$9:$AI$108,MATCH(C203,'Facilities'!$C$9:$C$108,0))*AF203)))</x:f>
      </x:c>
      <x:c r="AB203" s="21" t="str">
        <x:f>IF(C203="","",O203+P203-AD203)</x:f>
      </x:c>
      <x:c r="AC203" s="23" t="str">
        <x:f>IF(C203="","",IFERROR(IF(INDEX('Facilities'!$AD$9:$AD$108,MATCH(C203,'Facilities'!$C$9:$C$108,0))=3,0,IF(INDEX('Facilities'!$AN$9:$AN$108,MATCH(C203,'Facilities'!$C$9:$C$108,0))=0,-1,INDEX('Facilities'!$AN$9:$AN$108,MATCH(C203,'Facilities'!$C$9:$C$108,0)))),"Unavailable"))</x:f>
      </x:c>
      <x:c r="AD203" s="21" t="str">
        <x:f>IF(C203="","",IFERROR(G203+H203,"Unavailable"))</x:f>
      </x:c>
      <x:c r="AE203" s="21" t="str">
        <x:f>IF(C203="","",IF(AQ203&lt;&gt;"Ready","Unavailable",IF(C203="","",O203+P203-AD203-J203+K203+M203+N203)))</x:f>
      </x:c>
      <x:c r="AF203" s="30" t="str">
        <x:f>IF(C203="","",IFERROR(INDEX('Facilities'!$S$9:$S$108,MATCH(C203,'Facilities'!$C$9:$C$108,0))*'Scenario Paths'!G75,"Unavailable"))</x:f>
      </x:c>
      <x:c r="AG203" s="23" t="str">
        <x:f>IF(C203="","",IF(AQ203&lt;&gt;"Ready","Unavailable",IF(C203="","",IF(H203&gt;0,MAX(0,H203-AK203)*((1+INDEX('Facilities'!$K$9:$K$108,MATCH(C203,'Facilities'!$C$9:$C$108,0)))^MIN(1,MAX(0,AC203+INDEX('Facilities'!$AK$9:$AK$108,MATCH(C203,'Facilities'!$C$9:$C$108,0))-D203+1))-1),0))))</x:f>
      </x:c>
      <x:c r="AH203" s="21" t="str">
        <x:f>IF(C203="","",IF(AQ203&lt;&gt;"Ready","Unavailable",IF(C203="","",O203+P203)))</x:f>
      </x:c>
      <x:c r="AI203" s="21" t="str">
        <x:f>IF(C203="","",IF(AQ203&lt;&gt;"Ready","Unavailable",IF(C203="","",Z203-Y203)))</x:f>
      </x:c>
      <x:c r="AJ203" s="23" t="str">
        <x:f>IF(C203="","",IFERROR(MAX(0,INDEX('Facilities'!$J$9:$J$108,MATCH(C203,'Facilities'!$C$9:$C$108,0))-D203),"Unavailable"))</x:f>
      </x:c>
      <x:c r="AK203" s="21" t="str">
        <x:f>IF(C203="","",IFERROR(AL103,"Unavailable"))</x:f>
      </x:c>
      <x:c r="AL203" s="23" t="str">
        <x:f>IF(C203="","",IFERROR(IF(P203&gt;0,P203*(1-AM203/(1+INDEX('Facilities'!$K$9:$K$108,MATCH(C203,'Facilities'!$C$9:$C$108,0)))^MAX(0,AC203+INDEX('Facilities'!$AK$9:$AK$108,MATCH(C203,'Facilities'!$C$9:$C$108,0))-D203)),0),"Unavailable"))</x:f>
      </x:c>
      <x:c r="AM203" s="30" t="str">
        <x:f>IF(C203="","",IFERROR(INDEX('Facilities'!$AL$9:$AL$108,MATCH(C203,'Facilities'!$C$9:$C$108,0)),"Unavailable"))</x:f>
      </x:c>
      <x:c r="AN203" s="30" t="str">
        <x:f>IF(C203="","",IFERROR(INDEX(Credit!$T$109:$T$208,MATCH(F203,Credit!$C$109:$C$208,0)),"Unavailable"))</x:f>
      </x:c>
      <x:c r="AO203" s="23" t="str">
        <x:f>IF(C203="","",IF(AQ203&lt;&gt;"Ready","Unavailable",IF(C203="","",O203+P203+Q203*INDEX('Facilities'!$I$9:$I$108,MATCH(C203,'Facilities'!$C$9:$C$108,0)))))</x:f>
      </x:c>
      <x:c r="AP203" s="21" t="str">
        <x:f>IF(C203="","",IF(AQ203&lt;&gt;"Ready","Unavailable",IF(C203="","",AH203-U203)))</x:f>
      </x:c>
      <x:c r="AQ203" s="23" t="str">
        <x:f>IFERROR(IF(C203="","",IF(AND(INDEX('Facilities'!$AF$9:$AF$108,MATCH(C203,'Facilities'!$C$9:$C$108,0))="Ready",INDEX(Credit!$U$109:$U$208,MATCH(F203,Credit!$C$109:$C$208,0))="Ready",ISNUMBER(W203)),"Ready","Review inputs")),"Review inputs")</x:f>
      </x:c>
      <x:c r="AR203" s="23" t="str">
        <x:f>IF(C203="","",IF(AQ203&lt;&gt;"Ready","Unavailable",IF(C203="","",IF(O203=0,0,(IF(AJ203&lt;=1,O203,O203*INDEX('Facilities'!$R$9:$R$108,MATCH(C203,'Facilities'!$C$9:$C$108,0)))+O203*INDEX('Facilities'!$T$9:$T$108,MATCH(C203,'Facilities'!$C$9:$C$108,0)))/12))))</x:f>
      </x:c>
    </x:row>
    <x:row r="204" ht="26" customHeight="1">
      <x:c r="A204" s="1"/>
      <x:c r="B204" s="1"/>
      <x:c r="C204" s="9" t="str">
        <x:f>IF(Facilities!C104="","",Facilities!C104)</x:f>
      </x:c>
      <x:c r="D204" s="3" t="n">
        <x:v>2</x:v>
      </x:c>
      <x:c r="E204" s="9" t="n">
        <x:f>Settings!$F$18+1</x:f>
        <x:v>2028</x:v>
      </x:c>
      <x:c r="F204" s="9" t="str">
        <x:f>IF(C204="","",IFERROR(INDEX('Facilities'!$D$9:$D$108,MATCH(C204,'Facilities'!$C$9:$C$108,0)),"Unavailable"))</x:f>
      </x:c>
      <x:c r="G204" s="21" t="str">
        <x:f>IF(C204="","",IFERROR(O104,"Unavailable"))</x:f>
      </x:c>
      <x:c r="H204" s="21" t="str">
        <x:f>IF(C204="","",IFERROR(P104,"Unavailable"))</x:f>
      </x:c>
      <x:c r="I204" s="21" t="str">
        <x:f>IF(C204="","",IFERROR(Q104,"Unavailable"))</x:f>
      </x:c>
      <x:c r="J204" s="23" t="str">
        <x:f>IF(C204="","",IFERROR(IF(OR(H204&gt;0,AND(AC204&gt;=0,AC204&lt;D204),D204&gt;INDEX('Facilities'!$J$9:$J$108,MATCH(C204,'Facilities'!$C$9:$C$108,0))),0,I204*'Scenario Paths'!G81),"Unavailable"))</x:f>
      </x:c>
      <x:c r="K204" s="23" t="str">
        <x:f>IF(C204="","",IFERROR(IF(OR(H204&gt;0,AND(AC204&gt;=0,AC204=D204)),0,IF(D204&gt;=INDEX('Facilities'!$J$9:$J$108,MATCH(C204,'Facilities'!$C$9:$C$108,0)),G204+J204,MIN(G204+J204,G204*INDEX('Facilities'!$R$9:$R$108,MATCH(C204,'Facilities'!$C$9:$C$108,0))))),"Unavailable"))</x:f>
      </x:c>
      <x:c r="L204" s="21" t="str">
        <x:f>IF(C204="","",IFERROR(IF(AND(AC204=D204,AC204&gt;0),MAX(0,G204+J204-K204),0),"Unavailable"))</x:f>
      </x:c>
      <x:c r="M204" s="23" t="str">
        <x:f>IF(C204="","",IFERROR(IF(AND(AC204&gt;=0,D204&gt;=AC204+INDEX('Facilities'!$AK$9:$AK$108,MATCH(C204,'Facilities'!$C$9:$C$108,0))),(H204+L204)*AM204,0),"Unavailable"))</x:f>
      </x:c>
      <x:c r="N204" s="23" t="str">
        <x:f>IF(C204="","",IFERROR(IF(AND(AC204&gt;=0,D204&gt;=AC204+INDEX('Facilities'!$AK$9:$AK$108,MATCH(C204,'Facilities'!$C$9:$C$108,0))),H204+L204-M204,0),"Unavailable"))</x:f>
      </x:c>
      <x:c r="O204" s="21" t="str">
        <x:f>IF(C204="","",IFERROR(MAX(0,G204+J204-K204-L204),"Unavailable"))</x:f>
      </x:c>
      <x:c r="P204" s="21" t="str">
        <x:f>IF(C204="","",IFERROR(MAX(0,H204+L204-M204-N204),"Unavailable"))</x:f>
      </x:c>
      <x:c r="Q204" s="23" t="str">
        <x:f>IF(C204="","",IFERROR(IF(OR(D204&gt;=INDEX('Facilities'!$J$9:$J$108,MATCH(C204,'Facilities'!$C$9:$C$108,0)),AND(AC204&gt;=0,AC204&lt;=D204)),0,MAX(0,I204-J204)),"Unavailable"))</x:f>
      </x:c>
      <x:c r="R204" s="30" t="str">
        <x:f>IF(C204="","",IFERROR(INDEX(Credit!$Q$109:$Q$208,MATCH(F204,Credit!$C$109:$C$208,0)),"Unavailable"))</x:f>
      </x:c>
      <x:c r="S204" s="30" t="str">
        <x:f>IF(C204="","",IFERROR(INDEX(Credit!$R$109:$R$208,MATCH(F204,Credit!$C$109:$C$208,0)),"Unavailable"))</x:f>
      </x:c>
      <x:c r="T204" s="23" t="str">
        <x:f>IF(C204="","",IFERROR(IF(P204&gt;0,3,IF(OR(INDEX('Facilities'!$AD$9:$AD$108,MATCH(C204,'Facilities'!$C$9:$C$108,0))=2,AND(R204&gt;=INDEX('Facilities'!$L$9:$L$108,MATCH(C204,'Facilities'!$C$9:$C$108,0))*Settings!$F$19,R204-INDEX('Facilities'!$L$9:$L$108,MATCH(C204,'Facilities'!$C$9:$C$108,0))&gt;=Settings!$F$20)),2,1)),"Unavailable"))</x:f>
      </x:c>
      <x:c r="U204" s="23" t="str">
        <x:f>IF(C204="","",IF(AQ204&lt;&gt;"Ready","Unavailable",IF(C204="","",O204*(1-(1-S204)/(1+INDEX('Facilities'!$K$9:$K$108,MATCH(C204,'Facilities'!$C$9:$C$108,0)))^INDEX('Facilities'!$AK$9:$AK$108,MATCH(C204,'Facilities'!$C$9:$C$108,0)))*R204/(1+INDEX('Facilities'!$K$9:$K$108,MATCH(C204,'Facilities'!$C$9:$C$108,0)))*IF(ABS(1-(1-R204)*(1-INDEX('Facilities'!$R$9:$R$108,MATCH(C204,'Facilities'!$C$9:$C$108,0)))/(1+INDEX('Facilities'!$K$9:$K$108,MATCH(C204,'Facilities'!$C$9:$C$108,0))))&lt;0.000000001,IF(T204=1,MIN(1,AJ204),AJ204),(1-((1-R204)*(1-INDEX('Facilities'!$R$9:$R$108,MATCH(C204,'Facilities'!$C$9:$C$108,0)))/(1+INDEX('Facilities'!$K$9:$K$108,MATCH(C204,'Facilities'!$C$9:$C$108,0))))^IF(T204=1,MIN(1,AJ204),AJ204))/(1-(1-R204)*(1-INDEX('Facilities'!$R$9:$R$108,MATCH(C204,'Facilities'!$C$9:$C$108,0)))/(1+INDEX('Facilities'!$K$9:$K$108,MATCH(C204,'Facilities'!$C$9:$C$108,0)))))+AL204)))</x:f>
      </x:c>
      <x:c r="V204" s="23" t="str">
        <x:f>IF(C204="","",IF(AQ204&lt;&gt;"Ready","Unavailable",IF(C204="","",Q204*INDEX('Facilities'!$I$9:$I$108,MATCH(C204,'Facilities'!$C$9:$C$108,0))*(1-(1-S204)/(1+INDEX('Facilities'!$K$9:$K$108,MATCH(C204,'Facilities'!$C$9:$C$108,0)))^INDEX('Facilities'!$AK$9:$AK$108,MATCH(C204,'Facilities'!$C$9:$C$108,0)))*R204/(1+INDEX('Facilities'!$K$9:$K$108,MATCH(C204,'Facilities'!$C$9:$C$108,0)))*IF(ABS(1-(1-R204)*(1-0)/(1+INDEX('Facilities'!$K$9:$K$108,MATCH(C204,'Facilities'!$C$9:$C$108,0))))&lt;0.000000001,IF(T204=1,MIN(1,AJ204),AJ204),(1-((1-R204)*(1-0)/(1+INDEX('Facilities'!$K$9:$K$108,MATCH(C204,'Facilities'!$C$9:$C$108,0))))^IF(T204=1,MIN(1,AJ204),AJ204))/(1-(1-R204)*(1-0)/(1+INDEX('Facilities'!$K$9:$K$108,MATCH(C204,'Facilities'!$C$9:$C$108,0))))))))</x:f>
      </x:c>
      <x:c r="W204" s="21" t="str">
        <x:f>IF(C204="","",IFERROR(U104,"Unavailable"))</x:f>
      </x:c>
      <x:c r="X204" s="21" t="str">
        <x:f>IF(C204="","",IFERROR(V104,"Unavailable"))</x:f>
      </x:c>
      <x:c r="Y204" s="21" t="str">
        <x:f>IF(C204="","",IF(AQ204&lt;&gt;"Ready","Unavailable",IF(C204="","",U204-W204+V204-X204+N204+AG204)))</x:f>
      </x:c>
      <x:c r="Z204" s="23" t="str">
        <x:f>IF(C204="","",IF(AQ204&lt;&gt;"Ready","Unavailable",IF(C204="","",(G204+O204+L204)/2*INDEX('Facilities'!$T$9:$T$108,MATCH(C204,'Facilities'!$C$9:$C$108,0))+AG204)))</x:f>
      </x:c>
      <x:c r="AA204" s="23" t="str">
        <x:f>IF(C204="","",IF(AQ204&lt;&gt;"Ready","Unavailable",IF(C204="","",O204*(1-IF(INDEX('Facilities'!$AA$9:$AA$108,MATCH(C204,'Facilities'!$C$9:$C$108,0))=0,0,MIN(1,INDEX('Facilities'!$X$9:$X$108,MATCH(C204,'Facilities'!$C$9:$C$108,0))/INDEX('Facilities'!$AA$9:$AA$108,MATCH(C204,'Facilities'!$C$9:$C$108,0)))))*AF204+P204*(1-IF(INDEX('Facilities'!$AA$9:$AA$108,MATCH(C204,'Facilities'!$C$9:$C$108,0))=0,0,MIN(1,INDEX('Facilities'!$X$9:$X$108,MATCH(C204,'Facilities'!$C$9:$C$108,0))/INDEX('Facilities'!$AA$9:$AA$108,MATCH(C204,'Facilities'!$C$9:$C$108,0)))))*INDEX('Facilities'!$AJ$9:$AJ$108,MATCH(C204,'Facilities'!$C$9:$C$108,0))+Q204*INDEX('Facilities'!$AI$9:$AI$108,MATCH(C204,'Facilities'!$C$9:$C$108,0))*AF204)))</x:f>
      </x:c>
      <x:c r="AB204" s="21" t="str">
        <x:f>IF(C204="","",O204+P204-AD204)</x:f>
      </x:c>
      <x:c r="AC204" s="23" t="str">
        <x:f>IF(C204="","",IFERROR(IF(INDEX('Facilities'!$AD$9:$AD$108,MATCH(C204,'Facilities'!$C$9:$C$108,0))=3,0,IF(INDEX('Facilities'!$AN$9:$AN$108,MATCH(C204,'Facilities'!$C$9:$C$108,0))=0,-1,INDEX('Facilities'!$AN$9:$AN$108,MATCH(C204,'Facilities'!$C$9:$C$108,0)))),"Unavailable"))</x:f>
      </x:c>
      <x:c r="AD204" s="21" t="str">
        <x:f>IF(C204="","",IFERROR(G204+H204,"Unavailable"))</x:f>
      </x:c>
      <x:c r="AE204" s="21" t="str">
        <x:f>IF(C204="","",IF(AQ204&lt;&gt;"Ready","Unavailable",IF(C204="","",O204+P204-AD204-J204+K204+M204+N204)))</x:f>
      </x:c>
      <x:c r="AF204" s="30" t="str">
        <x:f>IF(C204="","",IFERROR(INDEX('Facilities'!$S$9:$S$108,MATCH(C204,'Facilities'!$C$9:$C$108,0))*'Scenario Paths'!G75,"Unavailable"))</x:f>
      </x:c>
      <x:c r="AG204" s="23" t="str">
        <x:f>IF(C204="","",IF(AQ204&lt;&gt;"Ready","Unavailable",IF(C204="","",IF(H204&gt;0,MAX(0,H204-AK204)*((1+INDEX('Facilities'!$K$9:$K$108,MATCH(C204,'Facilities'!$C$9:$C$108,0)))^MIN(1,MAX(0,AC204+INDEX('Facilities'!$AK$9:$AK$108,MATCH(C204,'Facilities'!$C$9:$C$108,0))-D204+1))-1),0))))</x:f>
      </x:c>
      <x:c r="AH204" s="21" t="str">
        <x:f>IF(C204="","",IF(AQ204&lt;&gt;"Ready","Unavailable",IF(C204="","",O204+P204)))</x:f>
      </x:c>
      <x:c r="AI204" s="21" t="str">
        <x:f>IF(C204="","",IF(AQ204&lt;&gt;"Ready","Unavailable",IF(C204="","",Z204-Y204)))</x:f>
      </x:c>
      <x:c r="AJ204" s="23" t="str">
        <x:f>IF(C204="","",IFERROR(MAX(0,INDEX('Facilities'!$J$9:$J$108,MATCH(C204,'Facilities'!$C$9:$C$108,0))-D204),"Unavailable"))</x:f>
      </x:c>
      <x:c r="AK204" s="21" t="str">
        <x:f>IF(C204="","",IFERROR(AL104,"Unavailable"))</x:f>
      </x:c>
      <x:c r="AL204" s="23" t="str">
        <x:f>IF(C204="","",IFERROR(IF(P204&gt;0,P204*(1-AM204/(1+INDEX('Facilities'!$K$9:$K$108,MATCH(C204,'Facilities'!$C$9:$C$108,0)))^MAX(0,AC204+INDEX('Facilities'!$AK$9:$AK$108,MATCH(C204,'Facilities'!$C$9:$C$108,0))-D204)),0),"Unavailable"))</x:f>
      </x:c>
      <x:c r="AM204" s="30" t="str">
        <x:f>IF(C204="","",IFERROR(INDEX('Facilities'!$AL$9:$AL$108,MATCH(C204,'Facilities'!$C$9:$C$108,0)),"Unavailable"))</x:f>
      </x:c>
      <x:c r="AN204" s="30" t="str">
        <x:f>IF(C204="","",IFERROR(INDEX(Credit!$T$109:$T$208,MATCH(F204,Credit!$C$109:$C$208,0)),"Unavailable"))</x:f>
      </x:c>
      <x:c r="AO204" s="23" t="str">
        <x:f>IF(C204="","",IF(AQ204&lt;&gt;"Ready","Unavailable",IF(C204="","",O204+P204+Q204*INDEX('Facilities'!$I$9:$I$108,MATCH(C204,'Facilities'!$C$9:$C$108,0)))))</x:f>
      </x:c>
      <x:c r="AP204" s="21" t="str">
        <x:f>IF(C204="","",IF(AQ204&lt;&gt;"Ready","Unavailable",IF(C204="","",AH204-U204)))</x:f>
      </x:c>
      <x:c r="AQ204" s="23" t="str">
        <x:f>IFERROR(IF(C204="","",IF(AND(INDEX('Facilities'!$AF$9:$AF$108,MATCH(C204,'Facilities'!$C$9:$C$108,0))="Ready",INDEX(Credit!$U$109:$U$208,MATCH(F204,Credit!$C$109:$C$208,0))="Ready",ISNUMBER(W204)),"Ready","Review inputs")),"Review inputs")</x:f>
      </x:c>
      <x:c r="AR204" s="23" t="str">
        <x:f>IF(C204="","",IF(AQ204&lt;&gt;"Ready","Unavailable",IF(C204="","",IF(O204=0,0,(IF(AJ204&lt;=1,O204,O204*INDEX('Facilities'!$R$9:$R$108,MATCH(C204,'Facilities'!$C$9:$C$108,0)))+O204*INDEX('Facilities'!$T$9:$T$108,MATCH(C204,'Facilities'!$C$9:$C$108,0)))/12))))</x:f>
      </x:c>
    </x:row>
    <x:row r="205" ht="26" customHeight="1">
      <x:c r="A205" s="1"/>
      <x:c r="B205" s="1"/>
      <x:c r="C205" s="9" t="str">
        <x:f>IF(Facilities!C105="","",Facilities!C105)</x:f>
      </x:c>
      <x:c r="D205" s="3" t="n">
        <x:v>2</x:v>
      </x:c>
      <x:c r="E205" s="9" t="n">
        <x:f>Settings!$F$18+1</x:f>
        <x:v>2028</x:v>
      </x:c>
      <x:c r="F205" s="9" t="str">
        <x:f>IF(C205="","",IFERROR(INDEX('Facilities'!$D$9:$D$108,MATCH(C205,'Facilities'!$C$9:$C$108,0)),"Unavailable"))</x:f>
      </x:c>
      <x:c r="G205" s="21" t="str">
        <x:f>IF(C205="","",IFERROR(O105,"Unavailable"))</x:f>
      </x:c>
      <x:c r="H205" s="21" t="str">
        <x:f>IF(C205="","",IFERROR(P105,"Unavailable"))</x:f>
      </x:c>
      <x:c r="I205" s="21" t="str">
        <x:f>IF(C205="","",IFERROR(Q105,"Unavailable"))</x:f>
      </x:c>
      <x:c r="J205" s="23" t="str">
        <x:f>IF(C205="","",IFERROR(IF(OR(H205&gt;0,AND(AC205&gt;=0,AC205&lt;D205),D205&gt;INDEX('Facilities'!$J$9:$J$108,MATCH(C205,'Facilities'!$C$9:$C$108,0))),0,I205*'Scenario Paths'!G81),"Unavailable"))</x:f>
      </x:c>
      <x:c r="K205" s="23" t="str">
        <x:f>IF(C205="","",IFERROR(IF(OR(H205&gt;0,AND(AC205&gt;=0,AC205=D205)),0,IF(D205&gt;=INDEX('Facilities'!$J$9:$J$108,MATCH(C205,'Facilities'!$C$9:$C$108,0)),G205+J205,MIN(G205+J205,G205*INDEX('Facilities'!$R$9:$R$108,MATCH(C205,'Facilities'!$C$9:$C$108,0))))),"Unavailable"))</x:f>
      </x:c>
      <x:c r="L205" s="21" t="str">
        <x:f>IF(C205="","",IFERROR(IF(AND(AC205=D205,AC205&gt;0),MAX(0,G205+J205-K205),0),"Unavailable"))</x:f>
      </x:c>
      <x:c r="M205" s="23" t="str">
        <x:f>IF(C205="","",IFERROR(IF(AND(AC205&gt;=0,D205&gt;=AC205+INDEX('Facilities'!$AK$9:$AK$108,MATCH(C205,'Facilities'!$C$9:$C$108,0))),(H205+L205)*AM205,0),"Unavailable"))</x:f>
      </x:c>
      <x:c r="N205" s="23" t="str">
        <x:f>IF(C205="","",IFERROR(IF(AND(AC205&gt;=0,D205&gt;=AC205+INDEX('Facilities'!$AK$9:$AK$108,MATCH(C205,'Facilities'!$C$9:$C$108,0))),H205+L205-M205,0),"Unavailable"))</x:f>
      </x:c>
      <x:c r="O205" s="21" t="str">
        <x:f>IF(C205="","",IFERROR(MAX(0,G205+J205-K205-L205),"Unavailable"))</x:f>
      </x:c>
      <x:c r="P205" s="21" t="str">
        <x:f>IF(C205="","",IFERROR(MAX(0,H205+L205-M205-N205),"Unavailable"))</x:f>
      </x:c>
      <x:c r="Q205" s="23" t="str">
        <x:f>IF(C205="","",IFERROR(IF(OR(D205&gt;=INDEX('Facilities'!$J$9:$J$108,MATCH(C205,'Facilities'!$C$9:$C$108,0)),AND(AC205&gt;=0,AC205&lt;=D205)),0,MAX(0,I205-J205)),"Unavailable"))</x:f>
      </x:c>
      <x:c r="R205" s="30" t="str">
        <x:f>IF(C205="","",IFERROR(INDEX(Credit!$Q$109:$Q$208,MATCH(F205,Credit!$C$109:$C$208,0)),"Unavailable"))</x:f>
      </x:c>
      <x:c r="S205" s="30" t="str">
        <x:f>IF(C205="","",IFERROR(INDEX(Credit!$R$109:$R$208,MATCH(F205,Credit!$C$109:$C$208,0)),"Unavailable"))</x:f>
      </x:c>
      <x:c r="T205" s="23" t="str">
        <x:f>IF(C205="","",IFERROR(IF(P205&gt;0,3,IF(OR(INDEX('Facilities'!$AD$9:$AD$108,MATCH(C205,'Facilities'!$C$9:$C$108,0))=2,AND(R205&gt;=INDEX('Facilities'!$L$9:$L$108,MATCH(C205,'Facilities'!$C$9:$C$108,0))*Settings!$F$19,R205-INDEX('Facilities'!$L$9:$L$108,MATCH(C205,'Facilities'!$C$9:$C$108,0))&gt;=Settings!$F$20)),2,1)),"Unavailable"))</x:f>
      </x:c>
      <x:c r="U205" s="23" t="str">
        <x:f>IF(C205="","",IF(AQ205&lt;&gt;"Ready","Unavailable",IF(C205="","",O205*(1-(1-S205)/(1+INDEX('Facilities'!$K$9:$K$108,MATCH(C205,'Facilities'!$C$9:$C$108,0)))^INDEX('Facilities'!$AK$9:$AK$108,MATCH(C205,'Facilities'!$C$9:$C$108,0)))*R205/(1+INDEX('Facilities'!$K$9:$K$108,MATCH(C205,'Facilities'!$C$9:$C$108,0)))*IF(ABS(1-(1-R205)*(1-INDEX('Facilities'!$R$9:$R$108,MATCH(C205,'Facilities'!$C$9:$C$108,0)))/(1+INDEX('Facilities'!$K$9:$K$108,MATCH(C205,'Facilities'!$C$9:$C$108,0))))&lt;0.000000001,IF(T205=1,MIN(1,AJ205),AJ205),(1-((1-R205)*(1-INDEX('Facilities'!$R$9:$R$108,MATCH(C205,'Facilities'!$C$9:$C$108,0)))/(1+INDEX('Facilities'!$K$9:$K$108,MATCH(C205,'Facilities'!$C$9:$C$108,0))))^IF(T205=1,MIN(1,AJ205),AJ205))/(1-(1-R205)*(1-INDEX('Facilities'!$R$9:$R$108,MATCH(C205,'Facilities'!$C$9:$C$108,0)))/(1+INDEX('Facilities'!$K$9:$K$108,MATCH(C205,'Facilities'!$C$9:$C$108,0)))))+AL205)))</x:f>
      </x:c>
      <x:c r="V205" s="23" t="str">
        <x:f>IF(C205="","",IF(AQ205&lt;&gt;"Ready","Unavailable",IF(C205="","",Q205*INDEX('Facilities'!$I$9:$I$108,MATCH(C205,'Facilities'!$C$9:$C$108,0))*(1-(1-S205)/(1+INDEX('Facilities'!$K$9:$K$108,MATCH(C205,'Facilities'!$C$9:$C$108,0)))^INDEX('Facilities'!$AK$9:$AK$108,MATCH(C205,'Facilities'!$C$9:$C$108,0)))*R205/(1+INDEX('Facilities'!$K$9:$K$108,MATCH(C205,'Facilities'!$C$9:$C$108,0)))*IF(ABS(1-(1-R205)*(1-0)/(1+INDEX('Facilities'!$K$9:$K$108,MATCH(C205,'Facilities'!$C$9:$C$108,0))))&lt;0.000000001,IF(T205=1,MIN(1,AJ205),AJ205),(1-((1-R205)*(1-0)/(1+INDEX('Facilities'!$K$9:$K$108,MATCH(C205,'Facilities'!$C$9:$C$108,0))))^IF(T205=1,MIN(1,AJ205),AJ205))/(1-(1-R205)*(1-0)/(1+INDEX('Facilities'!$K$9:$K$108,MATCH(C205,'Facilities'!$C$9:$C$108,0))))))))</x:f>
      </x:c>
      <x:c r="W205" s="21" t="str">
        <x:f>IF(C205="","",IFERROR(U105,"Unavailable"))</x:f>
      </x:c>
      <x:c r="X205" s="21" t="str">
        <x:f>IF(C205="","",IFERROR(V105,"Unavailable"))</x:f>
      </x:c>
      <x:c r="Y205" s="21" t="str">
        <x:f>IF(C205="","",IF(AQ205&lt;&gt;"Ready","Unavailable",IF(C205="","",U205-W205+V205-X205+N205+AG205)))</x:f>
      </x:c>
      <x:c r="Z205" s="23" t="str">
        <x:f>IF(C205="","",IF(AQ205&lt;&gt;"Ready","Unavailable",IF(C205="","",(G205+O205+L205)/2*INDEX('Facilities'!$T$9:$T$108,MATCH(C205,'Facilities'!$C$9:$C$108,0))+AG205)))</x:f>
      </x:c>
      <x:c r="AA205" s="23" t="str">
        <x:f>IF(C205="","",IF(AQ205&lt;&gt;"Ready","Unavailable",IF(C205="","",O205*(1-IF(INDEX('Facilities'!$AA$9:$AA$108,MATCH(C205,'Facilities'!$C$9:$C$108,0))=0,0,MIN(1,INDEX('Facilities'!$X$9:$X$108,MATCH(C205,'Facilities'!$C$9:$C$108,0))/INDEX('Facilities'!$AA$9:$AA$108,MATCH(C205,'Facilities'!$C$9:$C$108,0)))))*AF205+P205*(1-IF(INDEX('Facilities'!$AA$9:$AA$108,MATCH(C205,'Facilities'!$C$9:$C$108,0))=0,0,MIN(1,INDEX('Facilities'!$X$9:$X$108,MATCH(C205,'Facilities'!$C$9:$C$108,0))/INDEX('Facilities'!$AA$9:$AA$108,MATCH(C205,'Facilities'!$C$9:$C$108,0)))))*INDEX('Facilities'!$AJ$9:$AJ$108,MATCH(C205,'Facilities'!$C$9:$C$108,0))+Q205*INDEX('Facilities'!$AI$9:$AI$108,MATCH(C205,'Facilities'!$C$9:$C$108,0))*AF205)))</x:f>
      </x:c>
      <x:c r="AB205" s="21" t="str">
        <x:f>IF(C205="","",O205+P205-AD205)</x:f>
      </x:c>
      <x:c r="AC205" s="23" t="str">
        <x:f>IF(C205="","",IFERROR(IF(INDEX('Facilities'!$AD$9:$AD$108,MATCH(C205,'Facilities'!$C$9:$C$108,0))=3,0,IF(INDEX('Facilities'!$AN$9:$AN$108,MATCH(C205,'Facilities'!$C$9:$C$108,0))=0,-1,INDEX('Facilities'!$AN$9:$AN$108,MATCH(C205,'Facilities'!$C$9:$C$108,0)))),"Unavailable"))</x:f>
      </x:c>
      <x:c r="AD205" s="21" t="str">
        <x:f>IF(C205="","",IFERROR(G205+H205,"Unavailable"))</x:f>
      </x:c>
      <x:c r="AE205" s="21" t="str">
        <x:f>IF(C205="","",IF(AQ205&lt;&gt;"Ready","Unavailable",IF(C205="","",O205+P205-AD205-J205+K205+M205+N205)))</x:f>
      </x:c>
      <x:c r="AF205" s="30" t="str">
        <x:f>IF(C205="","",IFERROR(INDEX('Facilities'!$S$9:$S$108,MATCH(C205,'Facilities'!$C$9:$C$108,0))*'Scenario Paths'!G75,"Unavailable"))</x:f>
      </x:c>
      <x:c r="AG205" s="23" t="str">
        <x:f>IF(C205="","",IF(AQ205&lt;&gt;"Ready","Unavailable",IF(C205="","",IF(H205&gt;0,MAX(0,H205-AK205)*((1+INDEX('Facilities'!$K$9:$K$108,MATCH(C205,'Facilities'!$C$9:$C$108,0)))^MIN(1,MAX(0,AC205+INDEX('Facilities'!$AK$9:$AK$108,MATCH(C205,'Facilities'!$C$9:$C$108,0))-D205+1))-1),0))))</x:f>
      </x:c>
      <x:c r="AH205" s="21" t="str">
        <x:f>IF(C205="","",IF(AQ205&lt;&gt;"Ready","Unavailable",IF(C205="","",O205+P205)))</x:f>
      </x:c>
      <x:c r="AI205" s="21" t="str">
        <x:f>IF(C205="","",IF(AQ205&lt;&gt;"Ready","Unavailable",IF(C205="","",Z205-Y205)))</x:f>
      </x:c>
      <x:c r="AJ205" s="23" t="str">
        <x:f>IF(C205="","",IFERROR(MAX(0,INDEX('Facilities'!$J$9:$J$108,MATCH(C205,'Facilities'!$C$9:$C$108,0))-D205),"Unavailable"))</x:f>
      </x:c>
      <x:c r="AK205" s="21" t="str">
        <x:f>IF(C205="","",IFERROR(AL105,"Unavailable"))</x:f>
      </x:c>
      <x:c r="AL205" s="23" t="str">
        <x:f>IF(C205="","",IFERROR(IF(P205&gt;0,P205*(1-AM205/(1+INDEX('Facilities'!$K$9:$K$108,MATCH(C205,'Facilities'!$C$9:$C$108,0)))^MAX(0,AC205+INDEX('Facilities'!$AK$9:$AK$108,MATCH(C205,'Facilities'!$C$9:$C$108,0))-D205)),0),"Unavailable"))</x:f>
      </x:c>
      <x:c r="AM205" s="30" t="str">
        <x:f>IF(C205="","",IFERROR(INDEX('Facilities'!$AL$9:$AL$108,MATCH(C205,'Facilities'!$C$9:$C$108,0)),"Unavailable"))</x:f>
      </x:c>
      <x:c r="AN205" s="30" t="str">
        <x:f>IF(C205="","",IFERROR(INDEX(Credit!$T$109:$T$208,MATCH(F205,Credit!$C$109:$C$208,0)),"Unavailable"))</x:f>
      </x:c>
      <x:c r="AO205" s="23" t="str">
        <x:f>IF(C205="","",IF(AQ205&lt;&gt;"Ready","Unavailable",IF(C205="","",O205+P205+Q205*INDEX('Facilities'!$I$9:$I$108,MATCH(C205,'Facilities'!$C$9:$C$108,0)))))</x:f>
      </x:c>
      <x:c r="AP205" s="21" t="str">
        <x:f>IF(C205="","",IF(AQ205&lt;&gt;"Ready","Unavailable",IF(C205="","",AH205-U205)))</x:f>
      </x:c>
      <x:c r="AQ205" s="23" t="str">
        <x:f>IFERROR(IF(C205="","",IF(AND(INDEX('Facilities'!$AF$9:$AF$108,MATCH(C205,'Facilities'!$C$9:$C$108,0))="Ready",INDEX(Credit!$U$109:$U$208,MATCH(F205,Credit!$C$109:$C$208,0))="Ready",ISNUMBER(W205)),"Ready","Review inputs")),"Review inputs")</x:f>
      </x:c>
      <x:c r="AR205" s="23" t="str">
        <x:f>IF(C205="","",IF(AQ205&lt;&gt;"Ready","Unavailable",IF(C205="","",IF(O205=0,0,(IF(AJ205&lt;=1,O205,O205*INDEX('Facilities'!$R$9:$R$108,MATCH(C205,'Facilities'!$C$9:$C$108,0)))+O205*INDEX('Facilities'!$T$9:$T$108,MATCH(C205,'Facilities'!$C$9:$C$108,0)))/12))))</x:f>
      </x:c>
    </x:row>
    <x:row r="206" ht="26" customHeight="1">
      <x:c r="A206" s="1"/>
      <x:c r="B206" s="1"/>
      <x:c r="C206" s="9" t="str">
        <x:f>IF(Facilities!C106="","",Facilities!C106)</x:f>
      </x:c>
      <x:c r="D206" s="3" t="n">
        <x:v>2</x:v>
      </x:c>
      <x:c r="E206" s="9" t="n">
        <x:f>Settings!$F$18+1</x:f>
        <x:v>2028</x:v>
      </x:c>
      <x:c r="F206" s="9" t="str">
        <x:f>IF(C206="","",IFERROR(INDEX('Facilities'!$D$9:$D$108,MATCH(C206,'Facilities'!$C$9:$C$108,0)),"Unavailable"))</x:f>
      </x:c>
      <x:c r="G206" s="21" t="str">
        <x:f>IF(C206="","",IFERROR(O106,"Unavailable"))</x:f>
      </x:c>
      <x:c r="H206" s="21" t="str">
        <x:f>IF(C206="","",IFERROR(P106,"Unavailable"))</x:f>
      </x:c>
      <x:c r="I206" s="21" t="str">
        <x:f>IF(C206="","",IFERROR(Q106,"Unavailable"))</x:f>
      </x:c>
      <x:c r="J206" s="23" t="str">
        <x:f>IF(C206="","",IFERROR(IF(OR(H206&gt;0,AND(AC206&gt;=0,AC206&lt;D206),D206&gt;INDEX('Facilities'!$J$9:$J$108,MATCH(C206,'Facilities'!$C$9:$C$108,0))),0,I206*'Scenario Paths'!G81),"Unavailable"))</x:f>
      </x:c>
      <x:c r="K206" s="23" t="str">
        <x:f>IF(C206="","",IFERROR(IF(OR(H206&gt;0,AND(AC206&gt;=0,AC206=D206)),0,IF(D206&gt;=INDEX('Facilities'!$J$9:$J$108,MATCH(C206,'Facilities'!$C$9:$C$108,0)),G206+J206,MIN(G206+J206,G206*INDEX('Facilities'!$R$9:$R$108,MATCH(C206,'Facilities'!$C$9:$C$108,0))))),"Unavailable"))</x:f>
      </x:c>
      <x:c r="L206" s="21" t="str">
        <x:f>IF(C206="","",IFERROR(IF(AND(AC206=D206,AC206&gt;0),MAX(0,G206+J206-K206),0),"Unavailable"))</x:f>
      </x:c>
      <x:c r="M206" s="23" t="str">
        <x:f>IF(C206="","",IFERROR(IF(AND(AC206&gt;=0,D206&gt;=AC206+INDEX('Facilities'!$AK$9:$AK$108,MATCH(C206,'Facilities'!$C$9:$C$108,0))),(H206+L206)*AM206,0),"Unavailable"))</x:f>
      </x:c>
      <x:c r="N206" s="23" t="str">
        <x:f>IF(C206="","",IFERROR(IF(AND(AC206&gt;=0,D206&gt;=AC206+INDEX('Facilities'!$AK$9:$AK$108,MATCH(C206,'Facilities'!$C$9:$C$108,0))),H206+L206-M206,0),"Unavailable"))</x:f>
      </x:c>
      <x:c r="O206" s="21" t="str">
        <x:f>IF(C206="","",IFERROR(MAX(0,G206+J206-K206-L206),"Unavailable"))</x:f>
      </x:c>
      <x:c r="P206" s="21" t="str">
        <x:f>IF(C206="","",IFERROR(MAX(0,H206+L206-M206-N206),"Unavailable"))</x:f>
      </x:c>
      <x:c r="Q206" s="23" t="str">
        <x:f>IF(C206="","",IFERROR(IF(OR(D206&gt;=INDEX('Facilities'!$J$9:$J$108,MATCH(C206,'Facilities'!$C$9:$C$108,0)),AND(AC206&gt;=0,AC206&lt;=D206)),0,MAX(0,I206-J206)),"Unavailable"))</x:f>
      </x:c>
      <x:c r="R206" s="30" t="str">
        <x:f>IF(C206="","",IFERROR(INDEX(Credit!$Q$109:$Q$208,MATCH(F206,Credit!$C$109:$C$208,0)),"Unavailable"))</x:f>
      </x:c>
      <x:c r="S206" s="30" t="str">
        <x:f>IF(C206="","",IFERROR(INDEX(Credit!$R$109:$R$208,MATCH(F206,Credit!$C$109:$C$208,0)),"Unavailable"))</x:f>
      </x:c>
      <x:c r="T206" s="23" t="str">
        <x:f>IF(C206="","",IFERROR(IF(P206&gt;0,3,IF(OR(INDEX('Facilities'!$AD$9:$AD$108,MATCH(C206,'Facilities'!$C$9:$C$108,0))=2,AND(R206&gt;=INDEX('Facilities'!$L$9:$L$108,MATCH(C206,'Facilities'!$C$9:$C$108,0))*Settings!$F$19,R206-INDEX('Facilities'!$L$9:$L$108,MATCH(C206,'Facilities'!$C$9:$C$108,0))&gt;=Settings!$F$20)),2,1)),"Unavailable"))</x:f>
      </x:c>
      <x:c r="U206" s="23" t="str">
        <x:f>IF(C206="","",IF(AQ206&lt;&gt;"Ready","Unavailable",IF(C206="","",O206*(1-(1-S206)/(1+INDEX('Facilities'!$K$9:$K$108,MATCH(C206,'Facilities'!$C$9:$C$108,0)))^INDEX('Facilities'!$AK$9:$AK$108,MATCH(C206,'Facilities'!$C$9:$C$108,0)))*R206/(1+INDEX('Facilities'!$K$9:$K$108,MATCH(C206,'Facilities'!$C$9:$C$108,0)))*IF(ABS(1-(1-R206)*(1-INDEX('Facilities'!$R$9:$R$108,MATCH(C206,'Facilities'!$C$9:$C$108,0)))/(1+INDEX('Facilities'!$K$9:$K$108,MATCH(C206,'Facilities'!$C$9:$C$108,0))))&lt;0.000000001,IF(T206=1,MIN(1,AJ206),AJ206),(1-((1-R206)*(1-INDEX('Facilities'!$R$9:$R$108,MATCH(C206,'Facilities'!$C$9:$C$108,0)))/(1+INDEX('Facilities'!$K$9:$K$108,MATCH(C206,'Facilities'!$C$9:$C$108,0))))^IF(T206=1,MIN(1,AJ206),AJ206))/(1-(1-R206)*(1-INDEX('Facilities'!$R$9:$R$108,MATCH(C206,'Facilities'!$C$9:$C$108,0)))/(1+INDEX('Facilities'!$K$9:$K$108,MATCH(C206,'Facilities'!$C$9:$C$108,0)))))+AL206)))</x:f>
      </x:c>
      <x:c r="V206" s="23" t="str">
        <x:f>IF(C206="","",IF(AQ206&lt;&gt;"Ready","Unavailable",IF(C206="","",Q206*INDEX('Facilities'!$I$9:$I$108,MATCH(C206,'Facilities'!$C$9:$C$108,0))*(1-(1-S206)/(1+INDEX('Facilities'!$K$9:$K$108,MATCH(C206,'Facilities'!$C$9:$C$108,0)))^INDEX('Facilities'!$AK$9:$AK$108,MATCH(C206,'Facilities'!$C$9:$C$108,0)))*R206/(1+INDEX('Facilities'!$K$9:$K$108,MATCH(C206,'Facilities'!$C$9:$C$108,0)))*IF(ABS(1-(1-R206)*(1-0)/(1+INDEX('Facilities'!$K$9:$K$108,MATCH(C206,'Facilities'!$C$9:$C$108,0))))&lt;0.000000001,IF(T206=1,MIN(1,AJ206),AJ206),(1-((1-R206)*(1-0)/(1+INDEX('Facilities'!$K$9:$K$108,MATCH(C206,'Facilities'!$C$9:$C$108,0))))^IF(T206=1,MIN(1,AJ206),AJ206))/(1-(1-R206)*(1-0)/(1+INDEX('Facilities'!$K$9:$K$108,MATCH(C206,'Facilities'!$C$9:$C$108,0))))))))</x:f>
      </x:c>
      <x:c r="W206" s="21" t="str">
        <x:f>IF(C206="","",IFERROR(U106,"Unavailable"))</x:f>
      </x:c>
      <x:c r="X206" s="21" t="str">
        <x:f>IF(C206="","",IFERROR(V106,"Unavailable"))</x:f>
      </x:c>
      <x:c r="Y206" s="21" t="str">
        <x:f>IF(C206="","",IF(AQ206&lt;&gt;"Ready","Unavailable",IF(C206="","",U206-W206+V206-X206+N206+AG206)))</x:f>
      </x:c>
      <x:c r="Z206" s="23" t="str">
        <x:f>IF(C206="","",IF(AQ206&lt;&gt;"Ready","Unavailable",IF(C206="","",(G206+O206+L206)/2*INDEX('Facilities'!$T$9:$T$108,MATCH(C206,'Facilities'!$C$9:$C$108,0))+AG206)))</x:f>
      </x:c>
      <x:c r="AA206" s="23" t="str">
        <x:f>IF(C206="","",IF(AQ206&lt;&gt;"Ready","Unavailable",IF(C206="","",O206*(1-IF(INDEX('Facilities'!$AA$9:$AA$108,MATCH(C206,'Facilities'!$C$9:$C$108,0))=0,0,MIN(1,INDEX('Facilities'!$X$9:$X$108,MATCH(C206,'Facilities'!$C$9:$C$108,0))/INDEX('Facilities'!$AA$9:$AA$108,MATCH(C206,'Facilities'!$C$9:$C$108,0)))))*AF206+P206*(1-IF(INDEX('Facilities'!$AA$9:$AA$108,MATCH(C206,'Facilities'!$C$9:$C$108,0))=0,0,MIN(1,INDEX('Facilities'!$X$9:$X$108,MATCH(C206,'Facilities'!$C$9:$C$108,0))/INDEX('Facilities'!$AA$9:$AA$108,MATCH(C206,'Facilities'!$C$9:$C$108,0)))))*INDEX('Facilities'!$AJ$9:$AJ$108,MATCH(C206,'Facilities'!$C$9:$C$108,0))+Q206*INDEX('Facilities'!$AI$9:$AI$108,MATCH(C206,'Facilities'!$C$9:$C$108,0))*AF206)))</x:f>
      </x:c>
      <x:c r="AB206" s="21" t="str">
        <x:f>IF(C206="","",O206+P206-AD206)</x:f>
      </x:c>
      <x:c r="AC206" s="23" t="str">
        <x:f>IF(C206="","",IFERROR(IF(INDEX('Facilities'!$AD$9:$AD$108,MATCH(C206,'Facilities'!$C$9:$C$108,0))=3,0,IF(INDEX('Facilities'!$AN$9:$AN$108,MATCH(C206,'Facilities'!$C$9:$C$108,0))=0,-1,INDEX('Facilities'!$AN$9:$AN$108,MATCH(C206,'Facilities'!$C$9:$C$108,0)))),"Unavailable"))</x:f>
      </x:c>
      <x:c r="AD206" s="21" t="str">
        <x:f>IF(C206="","",IFERROR(G206+H206,"Unavailable"))</x:f>
      </x:c>
      <x:c r="AE206" s="21" t="str">
        <x:f>IF(C206="","",IF(AQ206&lt;&gt;"Ready","Unavailable",IF(C206="","",O206+P206-AD206-J206+K206+M206+N206)))</x:f>
      </x:c>
      <x:c r="AF206" s="30" t="str">
        <x:f>IF(C206="","",IFERROR(INDEX('Facilities'!$S$9:$S$108,MATCH(C206,'Facilities'!$C$9:$C$108,0))*'Scenario Paths'!G75,"Unavailable"))</x:f>
      </x:c>
      <x:c r="AG206" s="23" t="str">
        <x:f>IF(C206="","",IF(AQ206&lt;&gt;"Ready","Unavailable",IF(C206="","",IF(H206&gt;0,MAX(0,H206-AK206)*((1+INDEX('Facilities'!$K$9:$K$108,MATCH(C206,'Facilities'!$C$9:$C$108,0)))^MIN(1,MAX(0,AC206+INDEX('Facilities'!$AK$9:$AK$108,MATCH(C206,'Facilities'!$C$9:$C$108,0))-D206+1))-1),0))))</x:f>
      </x:c>
      <x:c r="AH206" s="21" t="str">
        <x:f>IF(C206="","",IF(AQ206&lt;&gt;"Ready","Unavailable",IF(C206="","",O206+P206)))</x:f>
      </x:c>
      <x:c r="AI206" s="21" t="str">
        <x:f>IF(C206="","",IF(AQ206&lt;&gt;"Ready","Unavailable",IF(C206="","",Z206-Y206)))</x:f>
      </x:c>
      <x:c r="AJ206" s="23" t="str">
        <x:f>IF(C206="","",IFERROR(MAX(0,INDEX('Facilities'!$J$9:$J$108,MATCH(C206,'Facilities'!$C$9:$C$108,0))-D206),"Unavailable"))</x:f>
      </x:c>
      <x:c r="AK206" s="21" t="str">
        <x:f>IF(C206="","",IFERROR(AL106,"Unavailable"))</x:f>
      </x:c>
      <x:c r="AL206" s="23" t="str">
        <x:f>IF(C206="","",IFERROR(IF(P206&gt;0,P206*(1-AM206/(1+INDEX('Facilities'!$K$9:$K$108,MATCH(C206,'Facilities'!$C$9:$C$108,0)))^MAX(0,AC206+INDEX('Facilities'!$AK$9:$AK$108,MATCH(C206,'Facilities'!$C$9:$C$108,0))-D206)),0),"Unavailable"))</x:f>
      </x:c>
      <x:c r="AM206" s="30" t="str">
        <x:f>IF(C206="","",IFERROR(INDEX('Facilities'!$AL$9:$AL$108,MATCH(C206,'Facilities'!$C$9:$C$108,0)),"Unavailable"))</x:f>
      </x:c>
      <x:c r="AN206" s="30" t="str">
        <x:f>IF(C206="","",IFERROR(INDEX(Credit!$T$109:$T$208,MATCH(F206,Credit!$C$109:$C$208,0)),"Unavailable"))</x:f>
      </x:c>
      <x:c r="AO206" s="23" t="str">
        <x:f>IF(C206="","",IF(AQ206&lt;&gt;"Ready","Unavailable",IF(C206="","",O206+P206+Q206*INDEX('Facilities'!$I$9:$I$108,MATCH(C206,'Facilities'!$C$9:$C$108,0)))))</x:f>
      </x:c>
      <x:c r="AP206" s="21" t="str">
        <x:f>IF(C206="","",IF(AQ206&lt;&gt;"Ready","Unavailable",IF(C206="","",AH206-U206)))</x:f>
      </x:c>
      <x:c r="AQ206" s="23" t="str">
        <x:f>IFERROR(IF(C206="","",IF(AND(INDEX('Facilities'!$AF$9:$AF$108,MATCH(C206,'Facilities'!$C$9:$C$108,0))="Ready",INDEX(Credit!$U$109:$U$208,MATCH(F206,Credit!$C$109:$C$208,0))="Ready",ISNUMBER(W206)),"Ready","Review inputs")),"Review inputs")</x:f>
      </x:c>
      <x:c r="AR206" s="23" t="str">
        <x:f>IF(C206="","",IF(AQ206&lt;&gt;"Ready","Unavailable",IF(C206="","",IF(O206=0,0,(IF(AJ206&lt;=1,O206,O206*INDEX('Facilities'!$R$9:$R$108,MATCH(C206,'Facilities'!$C$9:$C$108,0)))+O206*INDEX('Facilities'!$T$9:$T$108,MATCH(C206,'Facilities'!$C$9:$C$108,0)))/12))))</x:f>
      </x:c>
    </x:row>
    <x:row r="207" ht="26" customHeight="1">
      <x:c r="A207" s="1"/>
      <x:c r="B207" s="1"/>
      <x:c r="C207" s="9" t="str">
        <x:f>IF(Facilities!C107="","",Facilities!C107)</x:f>
      </x:c>
      <x:c r="D207" s="3" t="n">
        <x:v>2</x:v>
      </x:c>
      <x:c r="E207" s="9" t="n">
        <x:f>Settings!$F$18+1</x:f>
        <x:v>2028</x:v>
      </x:c>
      <x:c r="F207" s="9" t="str">
        <x:f>IF(C207="","",IFERROR(INDEX('Facilities'!$D$9:$D$108,MATCH(C207,'Facilities'!$C$9:$C$108,0)),"Unavailable"))</x:f>
      </x:c>
      <x:c r="G207" s="21" t="str">
        <x:f>IF(C207="","",IFERROR(O107,"Unavailable"))</x:f>
      </x:c>
      <x:c r="H207" s="21" t="str">
        <x:f>IF(C207="","",IFERROR(P107,"Unavailable"))</x:f>
      </x:c>
      <x:c r="I207" s="21" t="str">
        <x:f>IF(C207="","",IFERROR(Q107,"Unavailable"))</x:f>
      </x:c>
      <x:c r="J207" s="23" t="str">
        <x:f>IF(C207="","",IFERROR(IF(OR(H207&gt;0,AND(AC207&gt;=0,AC207&lt;D207),D207&gt;INDEX('Facilities'!$J$9:$J$108,MATCH(C207,'Facilities'!$C$9:$C$108,0))),0,I207*'Scenario Paths'!G81),"Unavailable"))</x:f>
      </x:c>
      <x:c r="K207" s="23" t="str">
        <x:f>IF(C207="","",IFERROR(IF(OR(H207&gt;0,AND(AC207&gt;=0,AC207=D207)),0,IF(D207&gt;=INDEX('Facilities'!$J$9:$J$108,MATCH(C207,'Facilities'!$C$9:$C$108,0)),G207+J207,MIN(G207+J207,G207*INDEX('Facilities'!$R$9:$R$108,MATCH(C207,'Facilities'!$C$9:$C$108,0))))),"Unavailable"))</x:f>
      </x:c>
      <x:c r="L207" s="21" t="str">
        <x:f>IF(C207="","",IFERROR(IF(AND(AC207=D207,AC207&gt;0),MAX(0,G207+J207-K207),0),"Unavailable"))</x:f>
      </x:c>
      <x:c r="M207" s="23" t="str">
        <x:f>IF(C207="","",IFERROR(IF(AND(AC207&gt;=0,D207&gt;=AC207+INDEX('Facilities'!$AK$9:$AK$108,MATCH(C207,'Facilities'!$C$9:$C$108,0))),(H207+L207)*AM207,0),"Unavailable"))</x:f>
      </x:c>
      <x:c r="N207" s="23" t="str">
        <x:f>IF(C207="","",IFERROR(IF(AND(AC207&gt;=0,D207&gt;=AC207+INDEX('Facilities'!$AK$9:$AK$108,MATCH(C207,'Facilities'!$C$9:$C$108,0))),H207+L207-M207,0),"Unavailable"))</x:f>
      </x:c>
      <x:c r="O207" s="21" t="str">
        <x:f>IF(C207="","",IFERROR(MAX(0,G207+J207-K207-L207),"Unavailable"))</x:f>
      </x:c>
      <x:c r="P207" s="21" t="str">
        <x:f>IF(C207="","",IFERROR(MAX(0,H207+L207-M207-N207),"Unavailable"))</x:f>
      </x:c>
      <x:c r="Q207" s="23" t="str">
        <x:f>IF(C207="","",IFERROR(IF(OR(D207&gt;=INDEX('Facilities'!$J$9:$J$108,MATCH(C207,'Facilities'!$C$9:$C$108,0)),AND(AC207&gt;=0,AC207&lt;=D207)),0,MAX(0,I207-J207)),"Unavailable"))</x:f>
      </x:c>
      <x:c r="R207" s="30" t="str">
        <x:f>IF(C207="","",IFERROR(INDEX(Credit!$Q$109:$Q$208,MATCH(F207,Credit!$C$109:$C$208,0)),"Unavailable"))</x:f>
      </x:c>
      <x:c r="S207" s="30" t="str">
        <x:f>IF(C207="","",IFERROR(INDEX(Credit!$R$109:$R$208,MATCH(F207,Credit!$C$109:$C$208,0)),"Unavailable"))</x:f>
      </x:c>
      <x:c r="T207" s="23" t="str">
        <x:f>IF(C207="","",IFERROR(IF(P207&gt;0,3,IF(OR(INDEX('Facilities'!$AD$9:$AD$108,MATCH(C207,'Facilities'!$C$9:$C$108,0))=2,AND(R207&gt;=INDEX('Facilities'!$L$9:$L$108,MATCH(C207,'Facilities'!$C$9:$C$108,0))*Settings!$F$19,R207-INDEX('Facilities'!$L$9:$L$108,MATCH(C207,'Facilities'!$C$9:$C$108,0))&gt;=Settings!$F$20)),2,1)),"Unavailable"))</x:f>
      </x:c>
      <x:c r="U207" s="23" t="str">
        <x:f>IF(C207="","",IF(AQ207&lt;&gt;"Ready","Unavailable",IF(C207="","",O207*(1-(1-S207)/(1+INDEX('Facilities'!$K$9:$K$108,MATCH(C207,'Facilities'!$C$9:$C$108,0)))^INDEX('Facilities'!$AK$9:$AK$108,MATCH(C207,'Facilities'!$C$9:$C$108,0)))*R207/(1+INDEX('Facilities'!$K$9:$K$108,MATCH(C207,'Facilities'!$C$9:$C$108,0)))*IF(ABS(1-(1-R207)*(1-INDEX('Facilities'!$R$9:$R$108,MATCH(C207,'Facilities'!$C$9:$C$108,0)))/(1+INDEX('Facilities'!$K$9:$K$108,MATCH(C207,'Facilities'!$C$9:$C$108,0))))&lt;0.000000001,IF(T207=1,MIN(1,AJ207),AJ207),(1-((1-R207)*(1-INDEX('Facilities'!$R$9:$R$108,MATCH(C207,'Facilities'!$C$9:$C$108,0)))/(1+INDEX('Facilities'!$K$9:$K$108,MATCH(C207,'Facilities'!$C$9:$C$108,0))))^IF(T207=1,MIN(1,AJ207),AJ207))/(1-(1-R207)*(1-INDEX('Facilities'!$R$9:$R$108,MATCH(C207,'Facilities'!$C$9:$C$108,0)))/(1+INDEX('Facilities'!$K$9:$K$108,MATCH(C207,'Facilities'!$C$9:$C$108,0)))))+AL207)))</x:f>
      </x:c>
      <x:c r="V207" s="23" t="str">
        <x:f>IF(C207="","",IF(AQ207&lt;&gt;"Ready","Unavailable",IF(C207="","",Q207*INDEX('Facilities'!$I$9:$I$108,MATCH(C207,'Facilities'!$C$9:$C$108,0))*(1-(1-S207)/(1+INDEX('Facilities'!$K$9:$K$108,MATCH(C207,'Facilities'!$C$9:$C$108,0)))^INDEX('Facilities'!$AK$9:$AK$108,MATCH(C207,'Facilities'!$C$9:$C$108,0)))*R207/(1+INDEX('Facilities'!$K$9:$K$108,MATCH(C207,'Facilities'!$C$9:$C$108,0)))*IF(ABS(1-(1-R207)*(1-0)/(1+INDEX('Facilities'!$K$9:$K$108,MATCH(C207,'Facilities'!$C$9:$C$108,0))))&lt;0.000000001,IF(T207=1,MIN(1,AJ207),AJ207),(1-((1-R207)*(1-0)/(1+INDEX('Facilities'!$K$9:$K$108,MATCH(C207,'Facilities'!$C$9:$C$108,0))))^IF(T207=1,MIN(1,AJ207),AJ207))/(1-(1-R207)*(1-0)/(1+INDEX('Facilities'!$K$9:$K$108,MATCH(C207,'Facilities'!$C$9:$C$108,0))))))))</x:f>
      </x:c>
      <x:c r="W207" s="21" t="str">
        <x:f>IF(C207="","",IFERROR(U107,"Unavailable"))</x:f>
      </x:c>
      <x:c r="X207" s="21" t="str">
        <x:f>IF(C207="","",IFERROR(V107,"Unavailable"))</x:f>
      </x:c>
      <x:c r="Y207" s="21" t="str">
        <x:f>IF(C207="","",IF(AQ207&lt;&gt;"Ready","Unavailable",IF(C207="","",U207-W207+V207-X207+N207+AG207)))</x:f>
      </x:c>
      <x:c r="Z207" s="23" t="str">
        <x:f>IF(C207="","",IF(AQ207&lt;&gt;"Ready","Unavailable",IF(C207="","",(G207+O207+L207)/2*INDEX('Facilities'!$T$9:$T$108,MATCH(C207,'Facilities'!$C$9:$C$108,0))+AG207)))</x:f>
      </x:c>
      <x:c r="AA207" s="23" t="str">
        <x:f>IF(C207="","",IF(AQ207&lt;&gt;"Ready","Unavailable",IF(C207="","",O207*(1-IF(INDEX('Facilities'!$AA$9:$AA$108,MATCH(C207,'Facilities'!$C$9:$C$108,0))=0,0,MIN(1,INDEX('Facilities'!$X$9:$X$108,MATCH(C207,'Facilities'!$C$9:$C$108,0))/INDEX('Facilities'!$AA$9:$AA$108,MATCH(C207,'Facilities'!$C$9:$C$108,0)))))*AF207+P207*(1-IF(INDEX('Facilities'!$AA$9:$AA$108,MATCH(C207,'Facilities'!$C$9:$C$108,0))=0,0,MIN(1,INDEX('Facilities'!$X$9:$X$108,MATCH(C207,'Facilities'!$C$9:$C$108,0))/INDEX('Facilities'!$AA$9:$AA$108,MATCH(C207,'Facilities'!$C$9:$C$108,0)))))*INDEX('Facilities'!$AJ$9:$AJ$108,MATCH(C207,'Facilities'!$C$9:$C$108,0))+Q207*INDEX('Facilities'!$AI$9:$AI$108,MATCH(C207,'Facilities'!$C$9:$C$108,0))*AF207)))</x:f>
      </x:c>
      <x:c r="AB207" s="21" t="str">
        <x:f>IF(C207="","",O207+P207-AD207)</x:f>
      </x:c>
      <x:c r="AC207" s="23" t="str">
        <x:f>IF(C207="","",IFERROR(IF(INDEX('Facilities'!$AD$9:$AD$108,MATCH(C207,'Facilities'!$C$9:$C$108,0))=3,0,IF(INDEX('Facilities'!$AN$9:$AN$108,MATCH(C207,'Facilities'!$C$9:$C$108,0))=0,-1,INDEX('Facilities'!$AN$9:$AN$108,MATCH(C207,'Facilities'!$C$9:$C$108,0)))),"Unavailable"))</x:f>
      </x:c>
      <x:c r="AD207" s="21" t="str">
        <x:f>IF(C207="","",IFERROR(G207+H207,"Unavailable"))</x:f>
      </x:c>
      <x:c r="AE207" s="21" t="str">
        <x:f>IF(C207="","",IF(AQ207&lt;&gt;"Ready","Unavailable",IF(C207="","",O207+P207-AD207-J207+K207+M207+N207)))</x:f>
      </x:c>
      <x:c r="AF207" s="30" t="str">
        <x:f>IF(C207="","",IFERROR(INDEX('Facilities'!$S$9:$S$108,MATCH(C207,'Facilities'!$C$9:$C$108,0))*'Scenario Paths'!G75,"Unavailable"))</x:f>
      </x:c>
      <x:c r="AG207" s="23" t="str">
        <x:f>IF(C207="","",IF(AQ207&lt;&gt;"Ready","Unavailable",IF(C207="","",IF(H207&gt;0,MAX(0,H207-AK207)*((1+INDEX('Facilities'!$K$9:$K$108,MATCH(C207,'Facilities'!$C$9:$C$108,0)))^MIN(1,MAX(0,AC207+INDEX('Facilities'!$AK$9:$AK$108,MATCH(C207,'Facilities'!$C$9:$C$108,0))-D207+1))-1),0))))</x:f>
      </x:c>
      <x:c r="AH207" s="21" t="str">
        <x:f>IF(C207="","",IF(AQ207&lt;&gt;"Ready","Unavailable",IF(C207="","",O207+P207)))</x:f>
      </x:c>
      <x:c r="AI207" s="21" t="str">
        <x:f>IF(C207="","",IF(AQ207&lt;&gt;"Ready","Unavailable",IF(C207="","",Z207-Y207)))</x:f>
      </x:c>
      <x:c r="AJ207" s="23" t="str">
        <x:f>IF(C207="","",IFERROR(MAX(0,INDEX('Facilities'!$J$9:$J$108,MATCH(C207,'Facilities'!$C$9:$C$108,0))-D207),"Unavailable"))</x:f>
      </x:c>
      <x:c r="AK207" s="21" t="str">
        <x:f>IF(C207="","",IFERROR(AL107,"Unavailable"))</x:f>
      </x:c>
      <x:c r="AL207" s="23" t="str">
        <x:f>IF(C207="","",IFERROR(IF(P207&gt;0,P207*(1-AM207/(1+INDEX('Facilities'!$K$9:$K$108,MATCH(C207,'Facilities'!$C$9:$C$108,0)))^MAX(0,AC207+INDEX('Facilities'!$AK$9:$AK$108,MATCH(C207,'Facilities'!$C$9:$C$108,0))-D207)),0),"Unavailable"))</x:f>
      </x:c>
      <x:c r="AM207" s="30" t="str">
        <x:f>IF(C207="","",IFERROR(INDEX('Facilities'!$AL$9:$AL$108,MATCH(C207,'Facilities'!$C$9:$C$108,0)),"Unavailable"))</x:f>
      </x:c>
      <x:c r="AN207" s="30" t="str">
        <x:f>IF(C207="","",IFERROR(INDEX(Credit!$T$109:$T$208,MATCH(F207,Credit!$C$109:$C$208,0)),"Unavailable"))</x:f>
      </x:c>
      <x:c r="AO207" s="23" t="str">
        <x:f>IF(C207="","",IF(AQ207&lt;&gt;"Ready","Unavailable",IF(C207="","",O207+P207+Q207*INDEX('Facilities'!$I$9:$I$108,MATCH(C207,'Facilities'!$C$9:$C$108,0)))))</x:f>
      </x:c>
      <x:c r="AP207" s="21" t="str">
        <x:f>IF(C207="","",IF(AQ207&lt;&gt;"Ready","Unavailable",IF(C207="","",AH207-U207)))</x:f>
      </x:c>
      <x:c r="AQ207" s="23" t="str">
        <x:f>IFERROR(IF(C207="","",IF(AND(INDEX('Facilities'!$AF$9:$AF$108,MATCH(C207,'Facilities'!$C$9:$C$108,0))="Ready",INDEX(Credit!$U$109:$U$208,MATCH(F207,Credit!$C$109:$C$208,0))="Ready",ISNUMBER(W207)),"Ready","Review inputs")),"Review inputs")</x:f>
      </x:c>
      <x:c r="AR207" s="23" t="str">
        <x:f>IF(C207="","",IF(AQ207&lt;&gt;"Ready","Unavailable",IF(C207="","",IF(O207=0,0,(IF(AJ207&lt;=1,O207,O207*INDEX('Facilities'!$R$9:$R$108,MATCH(C207,'Facilities'!$C$9:$C$108,0)))+O207*INDEX('Facilities'!$T$9:$T$108,MATCH(C207,'Facilities'!$C$9:$C$108,0)))/12))))</x:f>
      </x:c>
    </x:row>
    <x:row r="208" ht="26" customHeight="1">
      <x:c r="A208" s="1"/>
      <x:c r="B208" s="1"/>
      <x:c r="C208" s="9" t="str">
        <x:f>IF(Facilities!C108="","",Facilities!C108)</x:f>
      </x:c>
      <x:c r="D208" s="3" t="n">
        <x:v>2</x:v>
      </x:c>
      <x:c r="E208" s="9" t="n">
        <x:f>Settings!$F$18+1</x:f>
        <x:v>2028</x:v>
      </x:c>
      <x:c r="F208" s="9" t="str">
        <x:f>IF(C208="","",IFERROR(INDEX('Facilities'!$D$9:$D$108,MATCH(C208,'Facilities'!$C$9:$C$108,0)),"Unavailable"))</x:f>
      </x:c>
      <x:c r="G208" s="21" t="str">
        <x:f>IF(C208="","",IFERROR(O108,"Unavailable"))</x:f>
      </x:c>
      <x:c r="H208" s="21" t="str">
        <x:f>IF(C208="","",IFERROR(P108,"Unavailable"))</x:f>
      </x:c>
      <x:c r="I208" s="21" t="str">
        <x:f>IF(C208="","",IFERROR(Q108,"Unavailable"))</x:f>
      </x:c>
      <x:c r="J208" s="23" t="str">
        <x:f>IF(C208="","",IFERROR(IF(OR(H208&gt;0,AND(AC208&gt;=0,AC208&lt;D208),D208&gt;INDEX('Facilities'!$J$9:$J$108,MATCH(C208,'Facilities'!$C$9:$C$108,0))),0,I208*'Scenario Paths'!G81),"Unavailable"))</x:f>
      </x:c>
      <x:c r="K208" s="23" t="str">
        <x:f>IF(C208="","",IFERROR(IF(OR(H208&gt;0,AND(AC208&gt;=0,AC208=D208)),0,IF(D208&gt;=INDEX('Facilities'!$J$9:$J$108,MATCH(C208,'Facilities'!$C$9:$C$108,0)),G208+J208,MIN(G208+J208,G208*INDEX('Facilities'!$R$9:$R$108,MATCH(C208,'Facilities'!$C$9:$C$108,0))))),"Unavailable"))</x:f>
      </x:c>
      <x:c r="L208" s="21" t="str">
        <x:f>IF(C208="","",IFERROR(IF(AND(AC208=D208,AC208&gt;0),MAX(0,G208+J208-K208),0),"Unavailable"))</x:f>
      </x:c>
      <x:c r="M208" s="23" t="str">
        <x:f>IF(C208="","",IFERROR(IF(AND(AC208&gt;=0,D208&gt;=AC208+INDEX('Facilities'!$AK$9:$AK$108,MATCH(C208,'Facilities'!$C$9:$C$108,0))),(H208+L208)*AM208,0),"Unavailable"))</x:f>
      </x:c>
      <x:c r="N208" s="23" t="str">
        <x:f>IF(C208="","",IFERROR(IF(AND(AC208&gt;=0,D208&gt;=AC208+INDEX('Facilities'!$AK$9:$AK$108,MATCH(C208,'Facilities'!$C$9:$C$108,0))),H208+L208-M208,0),"Unavailable"))</x:f>
      </x:c>
      <x:c r="O208" s="21" t="str">
        <x:f>IF(C208="","",IFERROR(MAX(0,G208+J208-K208-L208),"Unavailable"))</x:f>
      </x:c>
      <x:c r="P208" s="21" t="str">
        <x:f>IF(C208="","",IFERROR(MAX(0,H208+L208-M208-N208),"Unavailable"))</x:f>
      </x:c>
      <x:c r="Q208" s="23" t="str">
        <x:f>IF(C208="","",IFERROR(IF(OR(D208&gt;=INDEX('Facilities'!$J$9:$J$108,MATCH(C208,'Facilities'!$C$9:$C$108,0)),AND(AC208&gt;=0,AC208&lt;=D208)),0,MAX(0,I208-J208)),"Unavailable"))</x:f>
      </x:c>
      <x:c r="R208" s="30" t="str">
        <x:f>IF(C208="","",IFERROR(INDEX(Credit!$Q$109:$Q$208,MATCH(F208,Credit!$C$109:$C$208,0)),"Unavailable"))</x:f>
      </x:c>
      <x:c r="S208" s="30" t="str">
        <x:f>IF(C208="","",IFERROR(INDEX(Credit!$R$109:$R$208,MATCH(F208,Credit!$C$109:$C$208,0)),"Unavailable"))</x:f>
      </x:c>
      <x:c r="T208" s="23" t="str">
        <x:f>IF(C208="","",IFERROR(IF(P208&gt;0,3,IF(OR(INDEX('Facilities'!$AD$9:$AD$108,MATCH(C208,'Facilities'!$C$9:$C$108,0))=2,AND(R208&gt;=INDEX('Facilities'!$L$9:$L$108,MATCH(C208,'Facilities'!$C$9:$C$108,0))*Settings!$F$19,R208-INDEX('Facilities'!$L$9:$L$108,MATCH(C208,'Facilities'!$C$9:$C$108,0))&gt;=Settings!$F$20)),2,1)),"Unavailable"))</x:f>
      </x:c>
      <x:c r="U208" s="23" t="str">
        <x:f>IF(C208="","",IF(AQ208&lt;&gt;"Ready","Unavailable",IF(C208="","",O208*(1-(1-S208)/(1+INDEX('Facilities'!$K$9:$K$108,MATCH(C208,'Facilities'!$C$9:$C$108,0)))^INDEX('Facilities'!$AK$9:$AK$108,MATCH(C208,'Facilities'!$C$9:$C$108,0)))*R208/(1+INDEX('Facilities'!$K$9:$K$108,MATCH(C208,'Facilities'!$C$9:$C$108,0)))*IF(ABS(1-(1-R208)*(1-INDEX('Facilities'!$R$9:$R$108,MATCH(C208,'Facilities'!$C$9:$C$108,0)))/(1+INDEX('Facilities'!$K$9:$K$108,MATCH(C208,'Facilities'!$C$9:$C$108,0))))&lt;0.000000001,IF(T208=1,MIN(1,AJ208),AJ208),(1-((1-R208)*(1-INDEX('Facilities'!$R$9:$R$108,MATCH(C208,'Facilities'!$C$9:$C$108,0)))/(1+INDEX('Facilities'!$K$9:$K$108,MATCH(C208,'Facilities'!$C$9:$C$108,0))))^IF(T208=1,MIN(1,AJ208),AJ208))/(1-(1-R208)*(1-INDEX('Facilities'!$R$9:$R$108,MATCH(C208,'Facilities'!$C$9:$C$108,0)))/(1+INDEX('Facilities'!$K$9:$K$108,MATCH(C208,'Facilities'!$C$9:$C$108,0)))))+AL208)))</x:f>
      </x:c>
      <x:c r="V208" s="23" t="str">
        <x:f>IF(C208="","",IF(AQ208&lt;&gt;"Ready","Unavailable",IF(C208="","",Q208*INDEX('Facilities'!$I$9:$I$108,MATCH(C208,'Facilities'!$C$9:$C$108,0))*(1-(1-S208)/(1+INDEX('Facilities'!$K$9:$K$108,MATCH(C208,'Facilities'!$C$9:$C$108,0)))^INDEX('Facilities'!$AK$9:$AK$108,MATCH(C208,'Facilities'!$C$9:$C$108,0)))*R208/(1+INDEX('Facilities'!$K$9:$K$108,MATCH(C208,'Facilities'!$C$9:$C$108,0)))*IF(ABS(1-(1-R208)*(1-0)/(1+INDEX('Facilities'!$K$9:$K$108,MATCH(C208,'Facilities'!$C$9:$C$108,0))))&lt;0.000000001,IF(T208=1,MIN(1,AJ208),AJ208),(1-((1-R208)*(1-0)/(1+INDEX('Facilities'!$K$9:$K$108,MATCH(C208,'Facilities'!$C$9:$C$108,0))))^IF(T208=1,MIN(1,AJ208),AJ208))/(1-(1-R208)*(1-0)/(1+INDEX('Facilities'!$K$9:$K$108,MATCH(C208,'Facilities'!$C$9:$C$108,0))))))))</x:f>
      </x:c>
      <x:c r="W208" s="21" t="str">
        <x:f>IF(C208="","",IFERROR(U108,"Unavailable"))</x:f>
      </x:c>
      <x:c r="X208" s="21" t="str">
        <x:f>IF(C208="","",IFERROR(V108,"Unavailable"))</x:f>
      </x:c>
      <x:c r="Y208" s="21" t="str">
        <x:f>IF(C208="","",IF(AQ208&lt;&gt;"Ready","Unavailable",IF(C208="","",U208-W208+V208-X208+N208+AG208)))</x:f>
      </x:c>
      <x:c r="Z208" s="23" t="str">
        <x:f>IF(C208="","",IF(AQ208&lt;&gt;"Ready","Unavailable",IF(C208="","",(G208+O208+L208)/2*INDEX('Facilities'!$T$9:$T$108,MATCH(C208,'Facilities'!$C$9:$C$108,0))+AG208)))</x:f>
      </x:c>
      <x:c r="AA208" s="23" t="str">
        <x:f>IF(C208="","",IF(AQ208&lt;&gt;"Ready","Unavailable",IF(C208="","",O208*(1-IF(INDEX('Facilities'!$AA$9:$AA$108,MATCH(C208,'Facilities'!$C$9:$C$108,0))=0,0,MIN(1,INDEX('Facilities'!$X$9:$X$108,MATCH(C208,'Facilities'!$C$9:$C$108,0))/INDEX('Facilities'!$AA$9:$AA$108,MATCH(C208,'Facilities'!$C$9:$C$108,0)))))*AF208+P208*(1-IF(INDEX('Facilities'!$AA$9:$AA$108,MATCH(C208,'Facilities'!$C$9:$C$108,0))=0,0,MIN(1,INDEX('Facilities'!$X$9:$X$108,MATCH(C208,'Facilities'!$C$9:$C$108,0))/INDEX('Facilities'!$AA$9:$AA$108,MATCH(C208,'Facilities'!$C$9:$C$108,0)))))*INDEX('Facilities'!$AJ$9:$AJ$108,MATCH(C208,'Facilities'!$C$9:$C$108,0))+Q208*INDEX('Facilities'!$AI$9:$AI$108,MATCH(C208,'Facilities'!$C$9:$C$108,0))*AF208)))</x:f>
      </x:c>
      <x:c r="AB208" s="21" t="str">
        <x:f>IF(C208="","",O208+P208-AD208)</x:f>
      </x:c>
      <x:c r="AC208" s="23" t="str">
        <x:f>IF(C208="","",IFERROR(IF(INDEX('Facilities'!$AD$9:$AD$108,MATCH(C208,'Facilities'!$C$9:$C$108,0))=3,0,IF(INDEX('Facilities'!$AN$9:$AN$108,MATCH(C208,'Facilities'!$C$9:$C$108,0))=0,-1,INDEX('Facilities'!$AN$9:$AN$108,MATCH(C208,'Facilities'!$C$9:$C$108,0)))),"Unavailable"))</x:f>
      </x:c>
      <x:c r="AD208" s="21" t="str">
        <x:f>IF(C208="","",IFERROR(G208+H208,"Unavailable"))</x:f>
      </x:c>
      <x:c r="AE208" s="21" t="str">
        <x:f>IF(C208="","",IF(AQ208&lt;&gt;"Ready","Unavailable",IF(C208="","",O208+P208-AD208-J208+K208+M208+N208)))</x:f>
      </x:c>
      <x:c r="AF208" s="30" t="str">
        <x:f>IF(C208="","",IFERROR(INDEX('Facilities'!$S$9:$S$108,MATCH(C208,'Facilities'!$C$9:$C$108,0))*'Scenario Paths'!G75,"Unavailable"))</x:f>
      </x:c>
      <x:c r="AG208" s="23" t="str">
        <x:f>IF(C208="","",IF(AQ208&lt;&gt;"Ready","Unavailable",IF(C208="","",IF(H208&gt;0,MAX(0,H208-AK208)*((1+INDEX('Facilities'!$K$9:$K$108,MATCH(C208,'Facilities'!$C$9:$C$108,0)))^MIN(1,MAX(0,AC208+INDEX('Facilities'!$AK$9:$AK$108,MATCH(C208,'Facilities'!$C$9:$C$108,0))-D208+1))-1),0))))</x:f>
      </x:c>
      <x:c r="AH208" s="21" t="str">
        <x:f>IF(C208="","",IF(AQ208&lt;&gt;"Ready","Unavailable",IF(C208="","",O208+P208)))</x:f>
      </x:c>
      <x:c r="AI208" s="21" t="str">
        <x:f>IF(C208="","",IF(AQ208&lt;&gt;"Ready","Unavailable",IF(C208="","",Z208-Y208)))</x:f>
      </x:c>
      <x:c r="AJ208" s="23" t="str">
        <x:f>IF(C208="","",IFERROR(MAX(0,INDEX('Facilities'!$J$9:$J$108,MATCH(C208,'Facilities'!$C$9:$C$108,0))-D208),"Unavailable"))</x:f>
      </x:c>
      <x:c r="AK208" s="21" t="str">
        <x:f>IF(C208="","",IFERROR(AL108,"Unavailable"))</x:f>
      </x:c>
      <x:c r="AL208" s="23" t="str">
        <x:f>IF(C208="","",IFERROR(IF(P208&gt;0,P208*(1-AM208/(1+INDEX('Facilities'!$K$9:$K$108,MATCH(C208,'Facilities'!$C$9:$C$108,0)))^MAX(0,AC208+INDEX('Facilities'!$AK$9:$AK$108,MATCH(C208,'Facilities'!$C$9:$C$108,0))-D208)),0),"Unavailable"))</x:f>
      </x:c>
      <x:c r="AM208" s="30" t="str">
        <x:f>IF(C208="","",IFERROR(INDEX('Facilities'!$AL$9:$AL$108,MATCH(C208,'Facilities'!$C$9:$C$108,0)),"Unavailable"))</x:f>
      </x:c>
      <x:c r="AN208" s="30" t="str">
        <x:f>IF(C208="","",IFERROR(INDEX(Credit!$T$109:$T$208,MATCH(F208,Credit!$C$109:$C$208,0)),"Unavailable"))</x:f>
      </x:c>
      <x:c r="AO208" s="23" t="str">
        <x:f>IF(C208="","",IF(AQ208&lt;&gt;"Ready","Unavailable",IF(C208="","",O208+P208+Q208*INDEX('Facilities'!$I$9:$I$108,MATCH(C208,'Facilities'!$C$9:$C$108,0)))))</x:f>
      </x:c>
      <x:c r="AP208" s="21" t="str">
        <x:f>IF(C208="","",IF(AQ208&lt;&gt;"Ready","Unavailable",IF(C208="","",AH208-U208)))</x:f>
      </x:c>
      <x:c r="AQ208" s="23" t="str">
        <x:f>IFERROR(IF(C208="","",IF(AND(INDEX('Facilities'!$AF$9:$AF$108,MATCH(C208,'Facilities'!$C$9:$C$108,0))="Ready",INDEX(Credit!$U$109:$U$208,MATCH(F208,Credit!$C$109:$C$208,0))="Ready",ISNUMBER(W208)),"Ready","Review inputs")),"Review inputs")</x:f>
      </x:c>
      <x:c r="AR208" s="23" t="str">
        <x:f>IF(C208="","",IF(AQ208&lt;&gt;"Ready","Unavailable",IF(C208="","",IF(O208=0,0,(IF(AJ208&lt;=1,O208,O208*INDEX('Facilities'!$R$9:$R$108,MATCH(C208,'Facilities'!$C$9:$C$108,0)))+O208*INDEX('Facilities'!$T$9:$T$108,MATCH(C208,'Facilities'!$C$9:$C$108,0)))/12))))</x:f>
      </x:c>
    </x:row>
    <x:row r="209" ht="26" customHeight="1">
      <x:c r="A209" s="1"/>
      <x:c r="B209" s="1"/>
      <x:c r="C209" s="9" t="str">
        <x:f>IF(Facilities!C9="","",Facilities!C9)</x:f>
        <x:v>F001</x:v>
      </x:c>
      <x:c r="D209" s="3" t="n">
        <x:v>3</x:v>
      </x:c>
      <x:c r="E209" s="9" t="n">
        <x:f>Settings!$F$18+2</x:f>
        <x:v>2029</x:v>
      </x:c>
      <x:c r="F209" s="9" t="str">
        <x:f>IF(C209="","",IFERROR(INDEX('Facilities'!$D$9:$D$108,MATCH(C209,'Facilities'!$C$9:$C$108,0)),"Unavailable"))</x:f>
        <x:v>B001</x:v>
      </x:c>
      <x:c r="G209" s="21" t="n">
        <x:f>IF(C209="","",IFERROR(O109,"Unavailable"))</x:f>
        <x:v>4.0520000000000005</x:v>
      </x:c>
      <x:c r="H209" s="21" t="n">
        <x:f>IF(C209="","",IFERROR(P109,"Unavailable"))</x:f>
        <x:v>0</x:v>
      </x:c>
      <x:c r="I209" s="21" t="n">
        <x:f>IF(C209="","",IFERROR(Q109,"Unavailable"))</x:f>
        <x:v>1.311</x:v>
      </x:c>
      <x:c r="J209" s="23" t="n">
        <x:f>IF(C209="","",IFERROR(IF(OR(H209&gt;0,AND(AC209&gt;=0,AC209&lt;D209),D209&gt;INDEX('Facilities'!$J$9:$J$108,MATCH(C209,'Facilities'!$C$9:$C$108,0))),0,I209*'Scenario Paths'!H81),"Unavailable"))</x:f>
        <x:v>0.19665</x:v>
      </x:c>
      <x:c r="K209" s="23" t="n">
        <x:f>IF(C209="","",IFERROR(IF(OR(H209&gt;0,AND(AC209&gt;=0,AC209=D209)),0,IF(D209&gt;=INDEX('Facilities'!$J$9:$J$108,MATCH(C209,'Facilities'!$C$9:$C$108,0)),G209+J209,MIN(G209+J209,G209*INDEX('Facilities'!$R$9:$R$108,MATCH(C209,'Facilities'!$C$9:$C$108,0))))),"Unavailable"))</x:f>
        <x:v>0.48624000000000006</x:v>
      </x:c>
      <x:c r="L209" s="21" t="n">
        <x:f>IF(C209="","",IFERROR(IF(AND(AC209=D209,AC209&gt;0),MAX(0,G209+J209-K209),0),"Unavailable"))</x:f>
        <x:v>0</x:v>
      </x:c>
      <x:c r="M209" s="23" t="n">
        <x:f>IF(C209="","",IFERROR(IF(AND(AC209&gt;=0,D209&gt;=AC209+INDEX('Facilities'!$AK$9:$AK$108,MATCH(C209,'Facilities'!$C$9:$C$108,0))),(H209+L209)*AM209,0),"Unavailable"))</x:f>
        <x:v>0</x:v>
      </x:c>
      <x:c r="N209" s="23" t="n">
        <x:f>IF(C209="","",IFERROR(IF(AND(AC209&gt;=0,D209&gt;=AC209+INDEX('Facilities'!$AK$9:$AK$108,MATCH(C209,'Facilities'!$C$9:$C$108,0))),H209+L209-M209,0),"Unavailable"))</x:f>
        <x:v>0</x:v>
      </x:c>
      <x:c r="O209" s="21" t="n">
        <x:f>IF(C209="","",IFERROR(MAX(0,G209+J209-K209-L209),"Unavailable"))</x:f>
        <x:v>3.7624100000000005</x:v>
      </x:c>
      <x:c r="P209" s="21" t="n">
        <x:f>IF(C209="","",IFERROR(MAX(0,H209+L209-M209-N209),"Unavailable"))</x:f>
        <x:v>0</x:v>
      </x:c>
      <x:c r="Q209" s="23" t="n">
        <x:f>IF(C209="","",IFERROR(IF(OR(D209&gt;=INDEX('Facilities'!$J$9:$J$108,MATCH(C209,'Facilities'!$C$9:$C$108,0)),AND(AC209&gt;=0,AC209&lt;=D209)),0,MAX(0,I209-J209)),"Unavailable"))</x:f>
        <x:v>1.11435</x:v>
      </x:c>
      <x:c r="R209" s="30" t="n">
        <x:f>IF(C209="","",IFERROR(INDEX(Credit!$Q$209:$Q$308,MATCH(F209,Credit!$C$209:$C$308,0)),"Unavailable"))</x:f>
        <x:v>0.10625752467718225</x:v>
      </x:c>
      <x:c r="S209" s="30" t="n">
        <x:f>IF(C209="","",IFERROR(INDEX(Credit!$R$209:$R$308,MATCH(F209,Credit!$C$209:$C$308,0)),"Unavailable"))</x:f>
        <x:v>0.2808064</x:v>
      </x:c>
      <x:c r="T209" s="23" t="n">
        <x:f>IF(C209="","",IFERROR(IF(P209&gt;0,3,IF(OR(INDEX('Facilities'!$AD$9:$AD$108,MATCH(C209,'Facilities'!$C$9:$C$108,0))=2,AND(R209&gt;=INDEX('Facilities'!$L$9:$L$108,MATCH(C209,'Facilities'!$C$9:$C$108,0))*Settings!$F$19,R209-INDEX('Facilities'!$L$9:$L$108,MATCH(C209,'Facilities'!$C$9:$C$108,0))&gt;=Settings!$F$20)),2,1)),"Unavailable"))</x:f>
        <x:v>2</x:v>
      </x:c>
      <x:c r="U209" s="23" t="n">
        <x:f>IF(C209="","",IF(AQ209&lt;&gt;"Ready","Unavailable",IF(C209="","",O209*(1-(1-S209)/(1+INDEX('Facilities'!$K$9:$K$108,MATCH(C209,'Facilities'!$C$9:$C$108,0)))^INDEX('Facilities'!$AK$9:$AK$108,MATCH(C209,'Facilities'!$C$9:$C$108,0)))*R209/(1+INDEX('Facilities'!$K$9:$K$108,MATCH(C209,'Facilities'!$C$9:$C$108,0)))*IF(ABS(1-(1-R209)*(1-INDEX('Facilities'!$R$9:$R$108,MATCH(C209,'Facilities'!$C$9:$C$108,0)))/(1+INDEX('Facilities'!$K$9:$K$108,MATCH(C209,'Facilities'!$C$9:$C$108,0))))&lt;0.000000001,IF(T209=1,MIN(1,AJ209),AJ209),(1-((1-R209)*(1-INDEX('Facilities'!$R$9:$R$108,MATCH(C209,'Facilities'!$C$9:$C$108,0)))/(1+INDEX('Facilities'!$K$9:$K$108,MATCH(C209,'Facilities'!$C$9:$C$108,0))))^IF(T209=1,MIN(1,AJ209),AJ209))/(1-(1-R209)*(1-INDEX('Facilities'!$R$9:$R$108,MATCH(C209,'Facilities'!$C$9:$C$108,0)))/(1+INDEX('Facilities'!$K$9:$K$108,MATCH(C209,'Facilities'!$C$9:$C$108,0)))))+AL209)))</x:f>
        <x:v>0.49215568343094107</x:v>
      </x:c>
      <x:c r="V209" s="23" t="n">
        <x:f>IF(C209="","",IF(AQ209&lt;&gt;"Ready","Unavailable",IF(C209="","",Q209*INDEX('Facilities'!$I$9:$I$108,MATCH(C209,'Facilities'!$C$9:$C$108,0))*(1-(1-S209)/(1+INDEX('Facilities'!$K$9:$K$108,MATCH(C209,'Facilities'!$C$9:$C$108,0)))^INDEX('Facilities'!$AK$9:$AK$108,MATCH(C209,'Facilities'!$C$9:$C$108,0)))*R209/(1+INDEX('Facilities'!$K$9:$K$108,MATCH(C209,'Facilities'!$C$9:$C$108,0)))*IF(ABS(1-(1-R209)*(1-0)/(1+INDEX('Facilities'!$K$9:$K$108,MATCH(C209,'Facilities'!$C$9:$C$108,0))))&lt;0.000000001,IF(T209=1,MIN(1,AJ209),AJ209),(1-((1-R209)*(1-0)/(1+INDEX('Facilities'!$K$9:$K$108,MATCH(C209,'Facilities'!$C$9:$C$108,0))))^IF(T209=1,MIN(1,AJ209),AJ209))/(1-(1-R209)*(1-0)/(1+INDEX('Facilities'!$K$9:$K$108,MATCH(C209,'Facilities'!$C$9:$C$108,0))))))))</x:f>
        <x:v>0.0996885820147661</x:v>
      </x:c>
      <x:c r="W209" s="21" t="n">
        <x:f>IF(C209="","",IFERROR(U109,"Unavailable"))</x:f>
        <x:v>0.14424450813324763</x:v>
      </x:c>
      <x:c r="X209" s="21" t="n">
        <x:f>IF(C209="","",IFERROR(V109,"Unavailable"))</x:f>
        <x:v>0.03518515774166511</x:v>
      </x:c>
      <x:c r="Y209" s="21" t="n">
        <x:f>IF(C209="","",IF(AQ209&lt;&gt;"Ready","Unavailable",IF(C209="","",U209-W209+V209-X209+N209+AG209)))</x:f>
        <x:v>0.4124145995707944</x:v>
      </x:c>
      <x:c r="Z209" s="23" t="n">
        <x:f>IF(C209="","",IF(AQ209&lt;&gt;"Ready","Unavailable",IF(C209="","",(G209+O209+L209)/2*INDEX('Facilities'!$T$9:$T$108,MATCH(C209,'Facilities'!$C$9:$C$108,0))+AG209)))</x:f>
        <x:v>0.371184475</x:v>
      </x:c>
      <x:c r="AA209" s="23" t="n">
        <x:f>IF(C209="","",IF(AQ209&lt;&gt;"Ready","Unavailable",IF(C209="","",O209*(1-IF(INDEX('Facilities'!$AA$9:$AA$108,MATCH(C209,'Facilities'!$C$9:$C$108,0))=0,0,MIN(1,INDEX('Facilities'!$X$9:$X$108,MATCH(C209,'Facilities'!$C$9:$C$108,0))/INDEX('Facilities'!$AA$9:$AA$108,MATCH(C209,'Facilities'!$C$9:$C$108,0)))))*AF209+P209*(1-IF(INDEX('Facilities'!$AA$9:$AA$108,MATCH(C209,'Facilities'!$C$9:$C$108,0))=0,0,MIN(1,INDEX('Facilities'!$X$9:$X$108,MATCH(C209,'Facilities'!$C$9:$C$108,0))/INDEX('Facilities'!$AA$9:$AA$108,MATCH(C209,'Facilities'!$C$9:$C$108,0)))))*INDEX('Facilities'!$AJ$9:$AJ$108,MATCH(C209,'Facilities'!$C$9:$C$108,0))+Q209*INDEX('Facilities'!$AI$9:$AI$108,MATCH(C209,'Facilities'!$C$9:$C$108,0))*AF209)))</x:f>
        <x:v>5.153161925760001</x:v>
      </x:c>
      <x:c r="AB209" s="21" t="n">
        <x:f>IF(C209="","",O209+P209-AD209)</x:f>
        <x:v>-0.28959</x:v>
      </x:c>
      <x:c r="AC209" s="23" t="n">
        <x:f>IF(C209="","",IFERROR(IF(INDEX('Facilities'!$AD$9:$AD$108,MATCH(C209,'Facilities'!$C$9:$C$108,0))=3,0,IF(INDEX('Facilities'!$AN$9:$AN$108,MATCH(C209,'Facilities'!$C$9:$C$108,0))=0,-1,INDEX('Facilities'!$AN$9:$AN$108,MATCH(C209,'Facilities'!$C$9:$C$108,0)))),"Unavailable"))</x:f>
        <x:v>-1</x:v>
      </x:c>
      <x:c r="AD209" s="21" t="n">
        <x:f>IF(C209="","",IFERROR(G209+H209,"Unavailable"))</x:f>
        <x:v>4.0520000000000005</x:v>
      </x:c>
      <x:c r="AE209" s="21" t="n">
        <x:f>IF(C209="","",IF(AQ209&lt;&gt;"Ready","Unavailable",IF(C209="","",O209+P209-AD209-J209+K209+M209+N209)))</x:f>
        <x:v>5.551115123125783e-17</x:v>
      </x:c>
      <x:c r="AF209" s="30" t="n">
        <x:f>IF(C209="","",IFERROR(INDEX('Facilities'!$S$9:$S$108,MATCH(C209,'Facilities'!$C$9:$C$108,0))*'Scenario Paths'!H75,"Unavailable"))</x:f>
        <x:v>1.2</x:v>
      </x:c>
      <x:c r="AG209" s="23" t="n">
        <x:f>IF(C209="","",IF(AQ209&lt;&gt;"Ready","Unavailable",IF(C209="","",IF(H209&gt;0,MAX(0,H209-AK209)*((1+INDEX('Facilities'!$K$9:$K$108,MATCH(C209,'Facilities'!$C$9:$C$108,0)))^MIN(1,MAX(0,AC209+INDEX('Facilities'!$AK$9:$AK$108,MATCH(C209,'Facilities'!$C$9:$C$108,0))-D209+1))-1),0))))</x:f>
        <x:v>0</x:v>
      </x:c>
      <x:c r="AH209" s="21" t="n">
        <x:f>IF(C209="","",IF(AQ209&lt;&gt;"Ready","Unavailable",IF(C209="","",O209+P209)))</x:f>
        <x:v>3.7624100000000005</x:v>
      </x:c>
      <x:c r="AI209" s="21" t="n">
        <x:f>IF(C209="","",IF(AQ209&lt;&gt;"Ready","Unavailable",IF(C209="","",Z209-Y209)))</x:f>
        <x:v>-0.04123012457079439</x:v>
      </x:c>
      <x:c r="AJ209" s="23" t="n">
        <x:f>IF(C209="","",IFERROR(MAX(0,INDEX('Facilities'!$J$9:$J$108,MATCH(C209,'Facilities'!$C$9:$C$108,0))-D209),"Unavailable"))</x:f>
        <x:v>9</x:v>
      </x:c>
      <x:c r="AK209" s="21" t="n">
        <x:f>IF(C209="","",IFERROR(AL109,"Unavailable"))</x:f>
        <x:v>0</x:v>
      </x:c>
      <x:c r="AL209" s="23" t="n">
        <x:f>IF(C209="","",IFERROR(IF(P209&gt;0,P209*(1-AM209/(1+INDEX('Facilities'!$K$9:$K$108,MATCH(C209,'Facilities'!$C$9:$C$108,0)))^MAX(0,AC209+INDEX('Facilities'!$AK$9:$AK$108,MATCH(C209,'Facilities'!$C$9:$C$108,0))-D209)),0),"Unavailable"))</x:f>
        <x:v>0</x:v>
      </x:c>
      <x:c r="AM209" s="30" t="n">
        <x:f>IF(C209="","",IFERROR(INDEX('Facilities'!$AL$9:$AL$108,MATCH(C209,'Facilities'!$C$9:$C$108,0)),"Unavailable"))</x:f>
        <x:v>0.55</x:v>
      </x:c>
      <x:c r="AN209" s="30" t="n">
        <x:f>IF(C209="","",IFERROR(INDEX(Credit!$T$209:$T$308,MATCH(F209,Credit!$C$209:$C$308,0)),"Unavailable"))</x:f>
        <x:v>0.0011200000000000001</x:v>
      </x:c>
      <x:c r="AO209" s="23" t="n">
        <x:f>IF(C209="","",IF(AQ209&lt;&gt;"Ready","Unavailable",IF(C209="","",O209+P209+Q209*INDEX('Facilities'!$I$9:$I$108,MATCH(C209,'Facilities'!$C$9:$C$108,0)))))</x:f>
        <x:v>4.319585</x:v>
      </x:c>
      <x:c r="AP209" s="21" t="n">
        <x:f>IF(C209="","",IF(AQ209&lt;&gt;"Ready","Unavailable",IF(C209="","",AH209-U209)))</x:f>
        <x:v>3.2702543165690594</x:v>
      </x:c>
      <x:c r="AQ209" s="23" t="str">
        <x:f>IFERROR(IF(C209="","",IF(AND(INDEX('Facilities'!$AF$9:$AF$108,MATCH(C209,'Facilities'!$C$9:$C$108,0))="Ready",INDEX(Credit!$U$209:$U$308,MATCH(F209,Credit!$C$209:$C$308,0))="Ready",ISNUMBER(W209)),"Ready","Review inputs")),"Review inputs")</x:f>
        <x:v>Ready</x:v>
      </x:c>
      <x:c r="AR209" s="23" t="n">
        <x:f>IF(C209="","",IF(AQ209&lt;&gt;"Ready","Unavailable",IF(C209="","",IF(O209=0,0,(IF(AJ209&lt;=1,O209,O209*INDEX('Facilities'!$R$9:$R$108,MATCH(C209,'Facilities'!$C$9:$C$108,0)))+O209*INDEX('Facilities'!$T$9:$T$108,MATCH(C209,'Facilities'!$C$9:$C$108,0)))/12))))</x:f>
        <x:v>0.06740984583333333</x:v>
      </x:c>
    </x:row>
    <x:row r="210" ht="26" customHeight="1">
      <x:c r="A210" s="1"/>
      <x:c r="B210" s="1"/>
      <x:c r="C210" s="9" t="str">
        <x:f>IF(Facilities!C10="","",Facilities!C10)</x:f>
        <x:v>F002</x:v>
      </x:c>
      <x:c r="D210" s="3" t="n">
        <x:v>3</x:v>
      </x:c>
      <x:c r="E210" s="9" t="n">
        <x:f>Settings!$F$18+2</x:f>
        <x:v>2029</x:v>
      </x:c>
      <x:c r="F210" s="9" t="str">
        <x:f>IF(C210="","",IFERROR(INDEX('Facilities'!$D$9:$D$108,MATCH(C210,'Facilities'!$C$9:$C$108,0)),"Unavailable"))</x:f>
        <x:v>B001</x:v>
      </x:c>
      <x:c r="G210" s="21" t="n">
        <x:f>IF(C210="","",IFERROR(O110,"Unavailable"))</x:f>
        <x:v>1.996</x:v>
      </x:c>
      <x:c r="H210" s="21" t="n">
        <x:f>IF(C210="","",IFERROR(P110,"Unavailable"))</x:f>
        <x:v>0</x:v>
      </x:c>
      <x:c r="I210" s="21" t="n">
        <x:f>IF(C210="","",IFERROR(Q110,"Unavailable"))</x:f>
        <x:v>0.437</x:v>
      </x:c>
      <x:c r="J210" s="23" t="n">
        <x:f>IF(C210="","",IFERROR(IF(OR(H210&gt;0,AND(AC210&gt;=0,AC210&lt;D210),D210&gt;INDEX('Facilities'!$J$9:$J$108,MATCH(C210,'Facilities'!$C$9:$C$108,0))),0,I210*'Scenario Paths'!H81),"Unavailable"))</x:f>
        <x:v>0.06555</x:v>
      </x:c>
      <x:c r="K210" s="23" t="n">
        <x:f>IF(C210="","",IFERROR(IF(OR(H210&gt;0,AND(AC210&gt;=0,AC210=D210)),0,IF(D210&gt;=INDEX('Facilities'!$J$9:$J$108,MATCH(C210,'Facilities'!$C$9:$C$108,0)),G210+J210,MIN(G210+J210,G210*INDEX('Facilities'!$R$9:$R$108,MATCH(C210,'Facilities'!$C$9:$C$108,0))))),"Unavailable"))</x:f>
        <x:v>0.23951999999999998</x:v>
      </x:c>
      <x:c r="L210" s="21" t="n">
        <x:f>IF(C210="","",IFERROR(IF(AND(AC210=D210,AC210&gt;0),MAX(0,G210+J210-K210),0),"Unavailable"))</x:f>
        <x:v>0</x:v>
      </x:c>
      <x:c r="M210" s="23" t="n">
        <x:f>IF(C210="","",IFERROR(IF(AND(AC210&gt;=0,D210&gt;=AC210+INDEX('Facilities'!$AK$9:$AK$108,MATCH(C210,'Facilities'!$C$9:$C$108,0))),(H210+L210)*AM210,0),"Unavailable"))</x:f>
        <x:v>0</x:v>
      </x:c>
      <x:c r="N210" s="23" t="n">
        <x:f>IF(C210="","",IFERROR(IF(AND(AC210&gt;=0,D210&gt;=AC210+INDEX('Facilities'!$AK$9:$AK$108,MATCH(C210,'Facilities'!$C$9:$C$108,0))),H210+L210-M210,0),"Unavailable"))</x:f>
        <x:v>0</x:v>
      </x:c>
      <x:c r="O210" s="21" t="n">
        <x:f>IF(C210="","",IFERROR(MAX(0,G210+J210-K210-L210),"Unavailable"))</x:f>
        <x:v>1.82203</x:v>
      </x:c>
      <x:c r="P210" s="21" t="n">
        <x:f>IF(C210="","",IFERROR(MAX(0,H210+L210-M210-N210),"Unavailable"))</x:f>
        <x:v>0</x:v>
      </x:c>
      <x:c r="Q210" s="23" t="n">
        <x:f>IF(C210="","",IFERROR(IF(OR(D210&gt;=INDEX('Facilities'!$J$9:$J$108,MATCH(C210,'Facilities'!$C$9:$C$108,0)),AND(AC210&gt;=0,AC210&lt;=D210)),0,MAX(0,I210-J210)),"Unavailable"))</x:f>
        <x:v>0.37145</x:v>
      </x:c>
      <x:c r="R210" s="30" t="n">
        <x:f>IF(C210="","",IFERROR(INDEX(Credit!$Q$209:$Q$308,MATCH(F210,Credit!$C$209:$C$308,0)),"Unavailable"))</x:f>
        <x:v>0.10625752467718225</x:v>
      </x:c>
      <x:c r="S210" s="30" t="n">
        <x:f>IF(C210="","",IFERROR(INDEX(Credit!$R$209:$R$308,MATCH(F210,Credit!$C$209:$C$308,0)),"Unavailable"))</x:f>
        <x:v>0.2808064</x:v>
      </x:c>
      <x:c r="T210" s="23" t="n">
        <x:f>IF(C210="","",IFERROR(IF(P210&gt;0,3,IF(OR(INDEX('Facilities'!$AD$9:$AD$108,MATCH(C210,'Facilities'!$C$9:$C$108,0))=2,AND(R210&gt;=INDEX('Facilities'!$L$9:$L$108,MATCH(C210,'Facilities'!$C$9:$C$108,0))*Settings!$F$19,R210-INDEX('Facilities'!$L$9:$L$108,MATCH(C210,'Facilities'!$C$9:$C$108,0))&gt;=Settings!$F$20)),2,1)),"Unavailable"))</x:f>
        <x:v>2</x:v>
      </x:c>
      <x:c r="U210" s="23" t="n">
        <x:f>IF(C210="","",IF(AQ210&lt;&gt;"Ready","Unavailable",IF(C210="","",O210*(1-(1-S210)/(1+INDEX('Facilities'!$K$9:$K$108,MATCH(C210,'Facilities'!$C$9:$C$108,0)))^INDEX('Facilities'!$AK$9:$AK$108,MATCH(C210,'Facilities'!$C$9:$C$108,0)))*R210/(1+INDEX('Facilities'!$K$9:$K$108,MATCH(C210,'Facilities'!$C$9:$C$108,0)))*IF(ABS(1-(1-R210)*(1-INDEX('Facilities'!$R$9:$R$108,MATCH(C210,'Facilities'!$C$9:$C$108,0)))/(1+INDEX('Facilities'!$K$9:$K$108,MATCH(C210,'Facilities'!$C$9:$C$108,0))))&lt;0.000000001,IF(T210=1,MIN(1,AJ210),AJ210),(1-((1-R210)*(1-INDEX('Facilities'!$R$9:$R$108,MATCH(C210,'Facilities'!$C$9:$C$108,0)))/(1+INDEX('Facilities'!$K$9:$K$108,MATCH(C210,'Facilities'!$C$9:$C$108,0))))^IF(T210=1,MIN(1,AJ210),AJ210))/(1-(1-R210)*(1-INDEX('Facilities'!$R$9:$R$108,MATCH(C210,'Facilities'!$C$9:$C$108,0)))/(1+INDEX('Facilities'!$K$9:$K$108,MATCH(C210,'Facilities'!$C$9:$C$108,0)))))+AL210)))</x:f>
        <x:v>0.238337241258044</x:v>
      </x:c>
      <x:c r="V210" s="23" t="n">
        <x:f>IF(C210="","",IF(AQ210&lt;&gt;"Ready","Unavailable",IF(C210="","",Q210*INDEX('Facilities'!$I$9:$I$108,MATCH(C210,'Facilities'!$C$9:$C$108,0))*(1-(1-S210)/(1+INDEX('Facilities'!$K$9:$K$108,MATCH(C210,'Facilities'!$C$9:$C$108,0)))^INDEX('Facilities'!$AK$9:$AK$108,MATCH(C210,'Facilities'!$C$9:$C$108,0)))*R210/(1+INDEX('Facilities'!$K$9:$K$108,MATCH(C210,'Facilities'!$C$9:$C$108,0)))*IF(ABS(1-(1-R210)*(1-0)/(1+INDEX('Facilities'!$K$9:$K$108,MATCH(C210,'Facilities'!$C$9:$C$108,0))))&lt;0.000000001,IF(T210=1,MIN(1,AJ210),AJ210),(1-((1-R210)*(1-0)/(1+INDEX('Facilities'!$K$9:$K$108,MATCH(C210,'Facilities'!$C$9:$C$108,0))))^IF(T210=1,MIN(1,AJ210),AJ210))/(1-(1-R210)*(1-0)/(1+INDEX('Facilities'!$K$9:$K$108,MATCH(C210,'Facilities'!$C$9:$C$108,0))))))))</x:f>
        <x:v>0.03322952733825537</x:v>
      </x:c>
      <x:c r="W210" s="21" t="n">
        <x:f>IF(C210="","",IFERROR(U110,"Unavailable"))</x:f>
        <x:v>0.07105430361154054</x:v>
      </x:c>
      <x:c r="X210" s="21" t="n">
        <x:f>IF(C210="","",IFERROR(V110,"Unavailable"))</x:f>
        <x:v>0.01172838591388837</x:v>
      </x:c>
      <x:c r="Y210" s="21" t="n">
        <x:f>IF(C210="","",IF(AQ210&lt;&gt;"Ready","Unavailable",IF(C210="","",U210-W210+V210-X210+N210+AG210)))</x:f>
        <x:v>0.1887840790708705</x:v>
      </x:c>
      <x:c r="Z210" s="23" t="n">
        <x:f>IF(C210="","",IF(AQ210&lt;&gt;"Ready","Unavailable",IF(C210="","",(G210+O210+L210)/2*INDEX('Facilities'!$T$9:$T$108,MATCH(C210,'Facilities'!$C$9:$C$108,0))+AG210)))</x:f>
        <x:v>0.18135642500000002</x:v>
      </x:c>
      <x:c r="AA210" s="23" t="n">
        <x:f>IF(C210="","",IF(AQ210&lt;&gt;"Ready","Unavailable",IF(C210="","",O210*(1-IF(INDEX('Facilities'!$AA$9:$AA$108,MATCH(C210,'Facilities'!$C$9:$C$108,0))=0,0,MIN(1,INDEX('Facilities'!$X$9:$X$108,MATCH(C210,'Facilities'!$C$9:$C$108,0))/INDEX('Facilities'!$AA$9:$AA$108,MATCH(C210,'Facilities'!$C$9:$C$108,0)))))*AF210+P210*(1-IF(INDEX('Facilities'!$AA$9:$AA$108,MATCH(C210,'Facilities'!$C$9:$C$108,0))=0,0,MIN(1,INDEX('Facilities'!$X$9:$X$108,MATCH(C210,'Facilities'!$C$9:$C$108,0))/INDEX('Facilities'!$AA$9:$AA$108,MATCH(C210,'Facilities'!$C$9:$C$108,0)))))*INDEX('Facilities'!$AJ$9:$AJ$108,MATCH(C210,'Facilities'!$C$9:$C$108,0))+Q210*INDEX('Facilities'!$AI$9:$AI$108,MATCH(C210,'Facilities'!$C$9:$C$108,0))*AF210)))</x:f>
        <x:v>2.39461315008</x:v>
      </x:c>
      <x:c r="AB210" s="21" t="n">
        <x:f>IF(C210="","",O210+P210-AD210)</x:f>
        <x:v>-0.17396999999999996</x:v>
      </x:c>
      <x:c r="AC210" s="23" t="n">
        <x:f>IF(C210="","",IFERROR(IF(INDEX('Facilities'!$AD$9:$AD$108,MATCH(C210,'Facilities'!$C$9:$C$108,0))=3,0,IF(INDEX('Facilities'!$AN$9:$AN$108,MATCH(C210,'Facilities'!$C$9:$C$108,0))=0,-1,INDEX('Facilities'!$AN$9:$AN$108,MATCH(C210,'Facilities'!$C$9:$C$108,0)))),"Unavailable"))</x:f>
        <x:v>-1</x:v>
      </x:c>
      <x:c r="AD210" s="21" t="n">
        <x:f>IF(C210="","",IFERROR(G210+H210,"Unavailable"))</x:f>
        <x:v>1.996</x:v>
      </x:c>
      <x:c r="AE210" s="21" t="n">
        <x:f>IF(C210="","",IF(AQ210&lt;&gt;"Ready","Unavailable",IF(C210="","",O210+P210-AD210-J210+K210+M210+N210)))</x:f>
        <x:v>2.7755575615628914e-17</x:v>
      </x:c>
      <x:c r="AF210" s="30" t="n">
        <x:f>IF(C210="","",IFERROR(INDEX('Facilities'!$S$9:$S$108,MATCH(C210,'Facilities'!$C$9:$C$108,0))*'Scenario Paths'!H75,"Unavailable"))</x:f>
        <x:v>1.2</x:v>
      </x:c>
      <x:c r="AG210" s="23" t="n">
        <x:f>IF(C210="","",IF(AQ210&lt;&gt;"Ready","Unavailable",IF(C210="","",IF(H210&gt;0,MAX(0,H210-AK210)*((1+INDEX('Facilities'!$K$9:$K$108,MATCH(C210,'Facilities'!$C$9:$C$108,0)))^MIN(1,MAX(0,AC210+INDEX('Facilities'!$AK$9:$AK$108,MATCH(C210,'Facilities'!$C$9:$C$108,0))-D210+1))-1),0))))</x:f>
        <x:v>0</x:v>
      </x:c>
      <x:c r="AH210" s="21" t="n">
        <x:f>IF(C210="","",IF(AQ210&lt;&gt;"Ready","Unavailable",IF(C210="","",O210+P210)))</x:f>
        <x:v>1.82203</x:v>
      </x:c>
      <x:c r="AI210" s="21" t="n">
        <x:f>IF(C210="","",IF(AQ210&lt;&gt;"Ready","Unavailable",IF(C210="","",Z210-Y210)))</x:f>
        <x:v>-0.007427654070870482</x:v>
      </x:c>
      <x:c r="AJ210" s="23" t="n">
        <x:f>IF(C210="","",IFERROR(MAX(0,INDEX('Facilities'!$J$9:$J$108,MATCH(C210,'Facilities'!$C$9:$C$108,0))-D210),"Unavailable"))</x:f>
        <x:v>9</x:v>
      </x:c>
      <x:c r="AK210" s="21" t="n">
        <x:f>IF(C210="","",IFERROR(AL110,"Unavailable"))</x:f>
        <x:v>0</x:v>
      </x:c>
      <x:c r="AL210" s="23" t="n">
        <x:f>IF(C210="","",IFERROR(IF(P210&gt;0,P210*(1-AM210/(1+INDEX('Facilities'!$K$9:$K$108,MATCH(C210,'Facilities'!$C$9:$C$108,0)))^MAX(0,AC210+INDEX('Facilities'!$AK$9:$AK$108,MATCH(C210,'Facilities'!$C$9:$C$108,0))-D210)),0),"Unavailable"))</x:f>
        <x:v>0</x:v>
      </x:c>
      <x:c r="AM210" s="30" t="n">
        <x:f>IF(C210="","",IFERROR(INDEX('Facilities'!$AL$9:$AL$108,MATCH(C210,'Facilities'!$C$9:$C$108,0)),"Unavailable"))</x:f>
        <x:v>0.55</x:v>
      </x:c>
      <x:c r="AN210" s="30" t="n">
        <x:f>IF(C210="","",IFERROR(INDEX(Credit!$T$209:$T$308,MATCH(F210,Credit!$C$209:$C$308,0)),"Unavailable"))</x:f>
        <x:v>0.0011200000000000001</x:v>
      </x:c>
      <x:c r="AO210" s="23" t="n">
        <x:f>IF(C210="","",IF(AQ210&lt;&gt;"Ready","Unavailable",IF(C210="","",O210+P210+Q210*INDEX('Facilities'!$I$9:$I$108,MATCH(C210,'Facilities'!$C$9:$C$108,0)))))</x:f>
        <x:v>2.007755</x:v>
      </x:c>
      <x:c r="AP210" s="21" t="n">
        <x:f>IF(C210="","",IF(AQ210&lt;&gt;"Ready","Unavailable",IF(C210="","",AH210-U210)))</x:f>
        <x:v>1.583692758741956</x:v>
      </x:c>
      <x:c r="AQ210" s="23" t="str">
        <x:f>IFERROR(IF(C210="","",IF(AND(INDEX('Facilities'!$AF$9:$AF$108,MATCH(C210,'Facilities'!$C$9:$C$108,0))="Ready",INDEX(Credit!$U$209:$U$308,MATCH(F210,Credit!$C$209:$C$308,0))="Ready",ISNUMBER(W210)),"Ready","Review inputs")),"Review inputs")</x:f>
        <x:v>Ready</x:v>
      </x:c>
      <x:c r="AR210" s="23" t="n">
        <x:f>IF(C210="","",IF(AQ210&lt;&gt;"Ready","Unavailable",IF(C210="","",IF(O210=0,0,(IF(AJ210&lt;=1,O210,O210*INDEX('Facilities'!$R$9:$R$108,MATCH(C210,'Facilities'!$C$9:$C$108,0)))+O210*INDEX('Facilities'!$T$9:$T$108,MATCH(C210,'Facilities'!$C$9:$C$108,0)))/12))))</x:f>
        <x:v>0.03264470416666667</x:v>
      </x:c>
    </x:row>
    <x:row r="211" ht="26" customHeight="1">
      <x:c r="A211" s="1"/>
      <x:c r="B211" s="1"/>
      <x:c r="C211" s="9" t="str">
        <x:f>IF(Facilities!C11="","",Facilities!C11)</x:f>
        <x:v>F003</x:v>
      </x:c>
      <x:c r="D211" s="3" t="n">
        <x:v>3</x:v>
      </x:c>
      <x:c r="E211" s="9" t="n">
        <x:f>Settings!$F$18+2</x:f>
        <x:v>2029</x:v>
      </x:c>
      <x:c r="F211" s="9" t="str">
        <x:f>IF(C211="","",IFERROR(INDEX('Facilities'!$D$9:$D$108,MATCH(C211,'Facilities'!$C$9:$C$108,0)),"Unavailable"))</x:f>
        <x:v>B002</x:v>
      </x:c>
      <x:c r="G211" s="21" t="n">
        <x:f>IF(C211="","",IFERROR(O111,"Unavailable"))</x:f>
        <x:v>4.32304</x:v>
      </x:c>
      <x:c r="H211" s="21" t="n">
        <x:f>IF(C211="","",IFERROR(P111,"Unavailable"))</x:f>
        <x:v>0</x:v>
      </x:c>
      <x:c r="I211" s="21" t="n">
        <x:f>IF(C211="","",IFERROR(Q111,"Unavailable"))</x:f>
        <x:v>1.311</x:v>
      </x:c>
      <x:c r="J211" s="23" t="n">
        <x:f>IF(C211="","",IFERROR(IF(OR(H211&gt;0,AND(AC211&gt;=0,AC211&lt;D211),D211&gt;INDEX('Facilities'!$J$9:$J$108,MATCH(C211,'Facilities'!$C$9:$C$108,0))),0,I211*'Scenario Paths'!H81),"Unavailable"))</x:f>
        <x:v>0.19665</x:v>
      </x:c>
      <x:c r="K211" s="23" t="n">
        <x:f>IF(C211="","",IFERROR(IF(OR(H211&gt;0,AND(AC211&gt;=0,AC211=D211)),0,IF(D211&gt;=INDEX('Facilities'!$J$9:$J$108,MATCH(C211,'Facilities'!$C$9:$C$108,0)),G211+J211,MIN(G211+J211,G211*INDEX('Facilities'!$R$9:$R$108,MATCH(C211,'Facilities'!$C$9:$C$108,0))))),"Unavailable"))</x:f>
        <x:v>0.5187647999999999</x:v>
      </x:c>
      <x:c r="L211" s="21" t="n">
        <x:f>IF(C211="","",IFERROR(IF(AND(AC211=D211,AC211&gt;0),MAX(0,G211+J211-K211),0),"Unavailable"))</x:f>
        <x:v>0</x:v>
      </x:c>
      <x:c r="M211" s="23" t="n">
        <x:f>IF(C211="","",IFERROR(IF(AND(AC211&gt;=0,D211&gt;=AC211+INDEX('Facilities'!$AK$9:$AK$108,MATCH(C211,'Facilities'!$C$9:$C$108,0))),(H211+L211)*AM211,0),"Unavailable"))</x:f>
        <x:v>0</x:v>
      </x:c>
      <x:c r="N211" s="23" t="n">
        <x:f>IF(C211="","",IFERROR(IF(AND(AC211&gt;=0,D211&gt;=AC211+INDEX('Facilities'!$AK$9:$AK$108,MATCH(C211,'Facilities'!$C$9:$C$108,0))),H211+L211-M211,0),"Unavailable"))</x:f>
        <x:v>0</x:v>
      </x:c>
      <x:c r="O211" s="21" t="n">
        <x:f>IF(C211="","",IFERROR(MAX(0,G211+J211-K211-L211),"Unavailable"))</x:f>
        <x:v>4.0009252</x:v>
      </x:c>
      <x:c r="P211" s="21" t="n">
        <x:f>IF(C211="","",IFERROR(MAX(0,H211+L211-M211-N211),"Unavailable"))</x:f>
        <x:v>0</x:v>
      </x:c>
      <x:c r="Q211" s="23" t="n">
        <x:f>IF(C211="","",IFERROR(IF(OR(D211&gt;=INDEX('Facilities'!$J$9:$J$108,MATCH(C211,'Facilities'!$C$9:$C$108,0)),AND(AC211&gt;=0,AC211&lt;=D211)),0,MAX(0,I211-J211)),"Unavailable"))</x:f>
        <x:v>1.11435</x:v>
      </x:c>
      <x:c r="R211" s="30" t="n">
        <x:f>IF(C211="","",IFERROR(INDEX(Credit!$Q$209:$Q$308,MATCH(F211,Credit!$C$209:$C$308,0)),"Unavailable"))</x:f>
        <x:v>0.027456497808652478</x:v>
      </x:c>
      <x:c r="S211" s="30" t="n">
        <x:f>IF(C211="","",IFERROR(INDEX(Credit!$R$209:$R$308,MATCH(F211,Credit!$C$209:$C$308,0)),"Unavailable"))</x:f>
        <x:v>0.3217408</x:v>
      </x:c>
      <x:c r="T211" s="23" t="n">
        <x:f>IF(C211="","",IFERROR(IF(P211&gt;0,3,IF(OR(INDEX('Facilities'!$AD$9:$AD$108,MATCH(C211,'Facilities'!$C$9:$C$108,0))=2,AND(R211&gt;=INDEX('Facilities'!$L$9:$L$108,MATCH(C211,'Facilities'!$C$9:$C$108,0))*Settings!$F$19,R211-INDEX('Facilities'!$L$9:$L$108,MATCH(C211,'Facilities'!$C$9:$C$108,0))&gt;=Settings!$F$20)),2,1)),"Unavailable"))</x:f>
        <x:v>1</x:v>
      </x:c>
      <x:c r="U211" s="23" t="n">
        <x:f>IF(C211="","",IF(AQ211&lt;&gt;"Ready","Unavailable",IF(C211="","",O211*(1-(1-S211)/(1+INDEX('Facilities'!$K$9:$K$108,MATCH(C211,'Facilities'!$C$9:$C$108,0)))^INDEX('Facilities'!$AK$9:$AK$108,MATCH(C211,'Facilities'!$C$9:$C$108,0)))*R211/(1+INDEX('Facilities'!$K$9:$K$108,MATCH(C211,'Facilities'!$C$9:$C$108,0)))*IF(ABS(1-(1-R211)*(1-INDEX('Facilities'!$R$9:$R$108,MATCH(C211,'Facilities'!$C$9:$C$108,0)))/(1+INDEX('Facilities'!$K$9:$K$108,MATCH(C211,'Facilities'!$C$9:$C$108,0))))&lt;0.000000001,IF(T211=1,MIN(1,AJ211),AJ211),(1-((1-R211)*(1-INDEX('Facilities'!$R$9:$R$108,MATCH(C211,'Facilities'!$C$9:$C$108,0)))/(1+INDEX('Facilities'!$K$9:$K$108,MATCH(C211,'Facilities'!$C$9:$C$108,0))))^IF(T211=1,MIN(1,AJ211),AJ211))/(1-(1-R211)*(1-INDEX('Facilities'!$R$9:$R$108,MATCH(C211,'Facilities'!$C$9:$C$108,0)))/(1+INDEX('Facilities'!$K$9:$K$108,MATCH(C211,'Facilities'!$C$9:$C$108,0)))))+AL211)))</x:f>
        <x:v>0.042567624458311054</x:v>
      </x:c>
      <x:c r="V211" s="23" t="n">
        <x:f>IF(C211="","",IF(AQ211&lt;&gt;"Ready","Unavailable",IF(C211="","",Q211*INDEX('Facilities'!$I$9:$I$108,MATCH(C211,'Facilities'!$C$9:$C$108,0))*(1-(1-S211)/(1+INDEX('Facilities'!$K$9:$K$108,MATCH(C211,'Facilities'!$C$9:$C$108,0)))^INDEX('Facilities'!$AK$9:$AK$108,MATCH(C211,'Facilities'!$C$9:$C$108,0)))*R211/(1+INDEX('Facilities'!$K$9:$K$108,MATCH(C211,'Facilities'!$C$9:$C$108,0)))*IF(ABS(1-(1-R211)*(1-0)/(1+INDEX('Facilities'!$K$9:$K$108,MATCH(C211,'Facilities'!$C$9:$C$108,0))))&lt;0.000000001,IF(T211=1,MIN(1,AJ211),AJ211),(1-((1-R211)*(1-0)/(1+INDEX('Facilities'!$K$9:$K$108,MATCH(C211,'Facilities'!$C$9:$C$108,0))))^IF(T211=1,MIN(1,AJ211),AJ211))/(1-(1-R211)*(1-0)/(1+INDEX('Facilities'!$K$9:$K$108,MATCH(C211,'Facilities'!$C$9:$C$108,0))))))))</x:f>
        <x:v>0.0059280328853834755</x:v>
      </x:c>
      <x:c r="W211" s="21" t="n">
        <x:f>IF(C211="","",IFERROR(U111,"Unavailable"))</x:f>
        <x:v>0.03141801715438</x:v>
      </x:c>
      <x:c r="X211" s="21" t="n">
        <x:f>IF(C211="","",IFERROR(V111,"Unavailable"))</x:f>
        <x:v>0.004763895371011162</x:v>
      </x:c>
      <x:c r="Y211" s="21" t="n">
        <x:f>IF(C211="","",IF(AQ211&lt;&gt;"Ready","Unavailable",IF(C211="","",U211-W211+V211-X211+N211+AG211)))</x:f>
        <x:v>0.012313744818303366</x:v>
      </x:c>
      <x:c r="Z211" s="23" t="n">
        <x:f>IF(C211="","",IF(AQ211&lt;&gt;"Ready","Unavailable",IF(C211="","",(G211+O211+L211)/2*INDEX('Facilities'!$T$9:$T$108,MATCH(C211,'Facilities'!$C$9:$C$108,0))+AG211)))</x:f>
        <x:v>0.39538834700000003</x:v>
      </x:c>
      <x:c r="AA211" s="23" t="n">
        <x:f>IF(C211="","",IF(AQ211&lt;&gt;"Ready","Unavailable",IF(C211="","",O211*(1-IF(INDEX('Facilities'!$AA$9:$AA$108,MATCH(C211,'Facilities'!$C$9:$C$108,0))=0,0,MIN(1,INDEX('Facilities'!$X$9:$X$108,MATCH(C211,'Facilities'!$C$9:$C$108,0))/INDEX('Facilities'!$AA$9:$AA$108,MATCH(C211,'Facilities'!$C$9:$C$108,0)))))*AF211+P211*(1-IF(INDEX('Facilities'!$AA$9:$AA$108,MATCH(C211,'Facilities'!$C$9:$C$108,0))=0,0,MIN(1,INDEX('Facilities'!$X$9:$X$108,MATCH(C211,'Facilities'!$C$9:$C$108,0))/INDEX('Facilities'!$AA$9:$AA$108,MATCH(C211,'Facilities'!$C$9:$C$108,0)))))*INDEX('Facilities'!$AJ$9:$AJ$108,MATCH(C211,'Facilities'!$C$9:$C$108,0))+Q211*INDEX('Facilities'!$AI$9:$AI$108,MATCH(C211,'Facilities'!$C$9:$C$108,0))*AF211)))</x:f>
        <x:v>5.4144114500352005</x:v>
      </x:c>
      <x:c r="AB211" s="21" t="n">
        <x:f>IF(C211="","",O211+P211-AD211)</x:f>
        <x:v>-0.3221147999999996</x:v>
      </x:c>
      <x:c r="AC211" s="23" t="n">
        <x:f>IF(C211="","",IFERROR(IF(INDEX('Facilities'!$AD$9:$AD$108,MATCH(C211,'Facilities'!$C$9:$C$108,0))=3,0,IF(INDEX('Facilities'!$AN$9:$AN$108,MATCH(C211,'Facilities'!$C$9:$C$108,0))=0,-1,INDEX('Facilities'!$AN$9:$AN$108,MATCH(C211,'Facilities'!$C$9:$C$108,0)))),"Unavailable"))</x:f>
        <x:v>-1</x:v>
      </x:c>
      <x:c r="AD211" s="21" t="n">
        <x:f>IF(C211="","",IFERROR(G211+H211,"Unavailable"))</x:f>
        <x:v>4.32304</x:v>
      </x:c>
      <x:c r="AE211" s="21" t="n">
        <x:f>IF(C211="","",IF(AQ211&lt;&gt;"Ready","Unavailable",IF(C211="","",O211+P211-AD211-J211+K211+M211+N211)))</x:f>
        <x:v>3.3306690738754696e-16</x:v>
      </x:c>
      <x:c r="AF211" s="30" t="n">
        <x:f>IF(C211="","",IFERROR(INDEX('Facilities'!$S$9:$S$108,MATCH(C211,'Facilities'!$C$9:$C$108,0))*'Scenario Paths'!H75,"Unavailable"))</x:f>
        <x:v>1.2</x:v>
      </x:c>
      <x:c r="AG211" s="23" t="n">
        <x:f>IF(C211="","",IF(AQ211&lt;&gt;"Ready","Unavailable",IF(C211="","",IF(H211&gt;0,MAX(0,H211-AK211)*((1+INDEX('Facilities'!$K$9:$K$108,MATCH(C211,'Facilities'!$C$9:$C$108,0)))^MIN(1,MAX(0,AC211+INDEX('Facilities'!$AK$9:$AK$108,MATCH(C211,'Facilities'!$C$9:$C$108,0))-D211+1))-1),0))))</x:f>
        <x:v>0</x:v>
      </x:c>
      <x:c r="AH211" s="21" t="n">
        <x:f>IF(C211="","",IF(AQ211&lt;&gt;"Ready","Unavailable",IF(C211="","",O211+P211)))</x:f>
        <x:v>4.0009252</x:v>
      </x:c>
      <x:c r="AI211" s="21" t="n">
        <x:f>IF(C211="","",IF(AQ211&lt;&gt;"Ready","Unavailable",IF(C211="","",Z211-Y211)))</x:f>
        <x:v>0.38307460218169664</x:v>
      </x:c>
      <x:c r="AJ211" s="23" t="n">
        <x:f>IF(C211="","",IFERROR(MAX(0,INDEX('Facilities'!$J$9:$J$108,MATCH(C211,'Facilities'!$C$9:$C$108,0))-D211),"Unavailable"))</x:f>
        <x:v>3</x:v>
      </x:c>
      <x:c r="AK211" s="21" t="n">
        <x:f>IF(C211="","",IFERROR(AL111,"Unavailable"))</x:f>
        <x:v>0</x:v>
      </x:c>
      <x:c r="AL211" s="23" t="n">
        <x:f>IF(C211="","",IFERROR(IF(P211&gt;0,P211*(1-AM211/(1+INDEX('Facilities'!$K$9:$K$108,MATCH(C211,'Facilities'!$C$9:$C$108,0)))^MAX(0,AC211+INDEX('Facilities'!$AK$9:$AK$108,MATCH(C211,'Facilities'!$C$9:$C$108,0))-D211)),0),"Unavailable"))</x:f>
        <x:v>0</x:v>
      </x:c>
      <x:c r="AM211" s="30" t="n">
        <x:f>IF(C211="","",IFERROR(INDEX('Facilities'!$AL$9:$AL$108,MATCH(C211,'Facilities'!$C$9:$C$108,0)),"Unavailable"))</x:f>
        <x:v>0.55</x:v>
      </x:c>
      <x:c r="AN211" s="30" t="n">
        <x:f>IF(C211="","",IFERROR(INDEX(Credit!$T$209:$T$308,MATCH(F211,Credit!$C$209:$C$308,0)),"Unavailable"))</x:f>
        <x:v>0.00256</x:v>
      </x:c>
      <x:c r="AO211" s="23" t="n">
        <x:f>IF(C211="","",IF(AQ211&lt;&gt;"Ready","Unavailable",IF(C211="","",O211+P211+Q211*INDEX('Facilities'!$I$9:$I$108,MATCH(C211,'Facilities'!$C$9:$C$108,0)))))</x:f>
        <x:v>4.5581002</x:v>
      </x:c>
      <x:c r="AP211" s="21" t="n">
        <x:f>IF(C211="","",IF(AQ211&lt;&gt;"Ready","Unavailable",IF(C211="","",AH211-U211)))</x:f>
        <x:v>3.9583575755416893</x:v>
      </x:c>
      <x:c r="AQ211" s="23" t="str">
        <x:f>IFERROR(IF(C211="","",IF(AND(INDEX('Facilities'!$AF$9:$AF$108,MATCH(C211,'Facilities'!$C$9:$C$108,0))="Ready",INDEX(Credit!$U$209:$U$308,MATCH(F211,Credit!$C$209:$C$308,0))="Ready",ISNUMBER(W211)),"Ready","Review inputs")),"Review inputs")</x:f>
        <x:v>Ready</x:v>
      </x:c>
      <x:c r="AR211" s="23" t="n">
        <x:f>IF(C211="","",IF(AQ211&lt;&gt;"Ready","Unavailable",IF(C211="","",IF(O211=0,0,(IF(AJ211&lt;=1,O211,O211*INDEX('Facilities'!$R$9:$R$108,MATCH(C211,'Facilities'!$C$9:$C$108,0)))+O211*INDEX('Facilities'!$T$9:$T$108,MATCH(C211,'Facilities'!$C$9:$C$108,0)))/12))))</x:f>
        <x:v>0.07168324316666667</x:v>
      </x:c>
    </x:row>
    <x:row r="212" ht="26" customHeight="1">
      <x:c r="A212" s="1"/>
      <x:c r="B212" s="1"/>
      <x:c r="C212" s="9" t="str">
        <x:f>IF(Facilities!C12="","",Facilities!C12)</x:f>
        <x:v>F004</x:v>
      </x:c>
      <x:c r="D212" s="3" t="n">
        <x:v>3</x:v>
      </x:c>
      <x:c r="E212" s="9" t="n">
        <x:f>Settings!$F$18+2</x:f>
        <x:v>2029</x:v>
      </x:c>
      <x:c r="F212" s="9" t="str">
        <x:f>IF(C212="","",IFERROR(INDEX('Facilities'!$D$9:$D$108,MATCH(C212,'Facilities'!$C$9:$C$108,0)),"Unavailable"))</x:f>
        <x:v>B002</x:v>
      </x:c>
      <x:c r="G212" s="21" t="n">
        <x:f>IF(C212="","",IFERROR(O112,"Unavailable"))</x:f>
        <x:v>2.2670399999999997</x:v>
      </x:c>
      <x:c r="H212" s="21" t="n">
        <x:f>IF(C212="","",IFERROR(P112,"Unavailable"))</x:f>
        <x:v>0</x:v>
      </x:c>
      <x:c r="I212" s="21" t="n">
        <x:f>IF(C212="","",IFERROR(Q112,"Unavailable"))</x:f>
        <x:v>0.437</x:v>
      </x:c>
      <x:c r="J212" s="23" t="n">
        <x:f>IF(C212="","",IFERROR(IF(OR(H212&gt;0,AND(AC212&gt;=0,AC212&lt;D212),D212&gt;INDEX('Facilities'!$J$9:$J$108,MATCH(C212,'Facilities'!$C$9:$C$108,0))),0,I212*'Scenario Paths'!H81),"Unavailable"))</x:f>
        <x:v>0.06555</x:v>
      </x:c>
      <x:c r="K212" s="23" t="n">
        <x:f>IF(C212="","",IFERROR(IF(OR(H212&gt;0,AND(AC212&gt;=0,AC212=D212)),0,IF(D212&gt;=INDEX('Facilities'!$J$9:$J$108,MATCH(C212,'Facilities'!$C$9:$C$108,0)),G212+J212,MIN(G212+J212,G212*INDEX('Facilities'!$R$9:$R$108,MATCH(C212,'Facilities'!$C$9:$C$108,0))))),"Unavailable"))</x:f>
        <x:v>0.2720448</x:v>
      </x:c>
      <x:c r="L212" s="21" t="n">
        <x:f>IF(C212="","",IFERROR(IF(AND(AC212=D212,AC212&gt;0),MAX(0,G212+J212-K212),0),"Unavailable"))</x:f>
        <x:v>0</x:v>
      </x:c>
      <x:c r="M212" s="23" t="n">
        <x:f>IF(C212="","",IFERROR(IF(AND(AC212&gt;=0,D212&gt;=AC212+INDEX('Facilities'!$AK$9:$AK$108,MATCH(C212,'Facilities'!$C$9:$C$108,0))),(H212+L212)*AM212,0),"Unavailable"))</x:f>
        <x:v>0</x:v>
      </x:c>
      <x:c r="N212" s="23" t="n">
        <x:f>IF(C212="","",IFERROR(IF(AND(AC212&gt;=0,D212&gt;=AC212+INDEX('Facilities'!$AK$9:$AK$108,MATCH(C212,'Facilities'!$C$9:$C$108,0))),H212+L212-M212,0),"Unavailable"))</x:f>
        <x:v>0</x:v>
      </x:c>
      <x:c r="O212" s="21" t="n">
        <x:f>IF(C212="","",IFERROR(MAX(0,G212+J212-K212-L212),"Unavailable"))</x:f>
        <x:v>2.0605452</x:v>
      </x:c>
      <x:c r="P212" s="21" t="n">
        <x:f>IF(C212="","",IFERROR(MAX(0,H212+L212-M212-N212),"Unavailable"))</x:f>
        <x:v>0</x:v>
      </x:c>
      <x:c r="Q212" s="23" t="n">
        <x:f>IF(C212="","",IFERROR(IF(OR(D212&gt;=INDEX('Facilities'!$J$9:$J$108,MATCH(C212,'Facilities'!$C$9:$C$108,0)),AND(AC212&gt;=0,AC212&lt;=D212)),0,MAX(0,I212-J212)),"Unavailable"))</x:f>
        <x:v>0.37145</x:v>
      </x:c>
      <x:c r="R212" s="30" t="n">
        <x:f>IF(C212="","",IFERROR(INDEX(Credit!$Q$209:$Q$308,MATCH(F212,Credit!$C$209:$C$308,0)),"Unavailable"))</x:f>
        <x:v>0.027456497808652478</x:v>
      </x:c>
      <x:c r="S212" s="30" t="n">
        <x:f>IF(C212="","",IFERROR(INDEX(Credit!$R$209:$R$308,MATCH(F212,Credit!$C$209:$C$308,0)),"Unavailable"))</x:f>
        <x:v>0.3217408</x:v>
      </x:c>
      <x:c r="T212" s="23" t="n">
        <x:f>IF(C212="","",IFERROR(IF(P212&gt;0,3,IF(OR(INDEX('Facilities'!$AD$9:$AD$108,MATCH(C212,'Facilities'!$C$9:$C$108,0))=2,AND(R212&gt;=INDEX('Facilities'!$L$9:$L$108,MATCH(C212,'Facilities'!$C$9:$C$108,0))*Settings!$F$19,R212-INDEX('Facilities'!$L$9:$L$108,MATCH(C212,'Facilities'!$C$9:$C$108,0))&gt;=Settings!$F$20)),2,1)),"Unavailable"))</x:f>
        <x:v>1</x:v>
      </x:c>
      <x:c r="U212" s="23" t="n">
        <x:f>IF(C212="","",IF(AQ212&lt;&gt;"Ready","Unavailable",IF(C212="","",O212*(1-(1-S212)/(1+INDEX('Facilities'!$K$9:$K$108,MATCH(C212,'Facilities'!$C$9:$C$108,0)))^INDEX('Facilities'!$AK$9:$AK$108,MATCH(C212,'Facilities'!$C$9:$C$108,0)))*R212/(1+INDEX('Facilities'!$K$9:$K$108,MATCH(C212,'Facilities'!$C$9:$C$108,0)))*IF(ABS(1-(1-R212)*(1-INDEX('Facilities'!$R$9:$R$108,MATCH(C212,'Facilities'!$C$9:$C$108,0)))/(1+INDEX('Facilities'!$K$9:$K$108,MATCH(C212,'Facilities'!$C$9:$C$108,0))))&lt;0.000000001,IF(T212=1,MIN(1,AJ212),AJ212),(1-((1-R212)*(1-INDEX('Facilities'!$R$9:$R$108,MATCH(C212,'Facilities'!$C$9:$C$108,0)))/(1+INDEX('Facilities'!$K$9:$K$108,MATCH(C212,'Facilities'!$C$9:$C$108,0))))^IF(T212=1,MIN(1,AJ212),AJ212))/(1-(1-R212)*(1-INDEX('Facilities'!$R$9:$R$108,MATCH(C212,'Facilities'!$C$9:$C$108,0)))/(1+INDEX('Facilities'!$K$9:$K$108,MATCH(C212,'Facilities'!$C$9:$C$108,0)))))+AL212)))</x:f>
        <x:v>0.021923057759983974</x:v>
      </x:c>
      <x:c r="V212" s="23" t="n">
        <x:f>IF(C212="","",IF(AQ212&lt;&gt;"Ready","Unavailable",IF(C212="","",Q212*INDEX('Facilities'!$I$9:$I$108,MATCH(C212,'Facilities'!$C$9:$C$108,0))*(1-(1-S212)/(1+INDEX('Facilities'!$K$9:$K$108,MATCH(C212,'Facilities'!$C$9:$C$108,0)))^INDEX('Facilities'!$AK$9:$AK$108,MATCH(C212,'Facilities'!$C$9:$C$108,0)))*R212/(1+INDEX('Facilities'!$K$9:$K$108,MATCH(C212,'Facilities'!$C$9:$C$108,0)))*IF(ABS(1-(1-R212)*(1-0)/(1+INDEX('Facilities'!$K$9:$K$108,MATCH(C212,'Facilities'!$C$9:$C$108,0))))&lt;0.000000001,IF(T212=1,MIN(1,AJ212),AJ212),(1-((1-R212)*(1-0)/(1+INDEX('Facilities'!$K$9:$K$108,MATCH(C212,'Facilities'!$C$9:$C$108,0))))^IF(T212=1,MIN(1,AJ212),AJ212))/(1-(1-R212)*(1-0)/(1+INDEX('Facilities'!$K$9:$K$108,MATCH(C212,'Facilities'!$C$9:$C$108,0))))))))</x:f>
        <x:v>0.001976010961794492</x:v>
      </x:c>
      <x:c r="W212" s="21" t="n">
        <x:f>IF(C212="","",IFERROR(U112,"Unavailable"))</x:f>
        <x:v>0.01647588308451128</x:v>
      </x:c>
      <x:c r="X212" s="21" t="n">
        <x:f>IF(C212="","",IFERROR(V112,"Unavailable"))</x:f>
        <x:v>0.001587965123670387</x:v>
      </x:c>
      <x:c r="Y212" s="21" t="n">
        <x:f>IF(C212="","",IF(AQ212&lt;&gt;"Ready","Unavailable",IF(C212="","",U212-W212+V212-X212+N212+AG212)))</x:f>
        <x:v>0.005835220513596799</x:v>
      </x:c>
      <x:c r="Z212" s="23" t="n">
        <x:f>IF(C212="","",IF(AQ212&lt;&gt;"Ready","Unavailable",IF(C212="","",(G212+O212+L212)/2*INDEX('Facilities'!$T$9:$T$108,MATCH(C212,'Facilities'!$C$9:$C$108,0))+AG212)))</x:f>
        <x:v>0.20556029699999998</x:v>
      </x:c>
      <x:c r="AA212" s="23" t="n">
        <x:f>IF(C212="","",IF(AQ212&lt;&gt;"Ready","Unavailable",IF(C212="","",O212*(1-IF(INDEX('Facilities'!$AA$9:$AA$108,MATCH(C212,'Facilities'!$C$9:$C$108,0))=0,0,MIN(1,INDEX('Facilities'!$X$9:$X$108,MATCH(C212,'Facilities'!$C$9:$C$108,0))/INDEX('Facilities'!$AA$9:$AA$108,MATCH(C212,'Facilities'!$C$9:$C$108,0)))))*AF212+P212*(1-IF(INDEX('Facilities'!$AA$9:$AA$108,MATCH(C212,'Facilities'!$C$9:$C$108,0))=0,0,MIN(1,INDEX('Facilities'!$X$9:$X$108,MATCH(C212,'Facilities'!$C$9:$C$108,0))/INDEX('Facilities'!$AA$9:$AA$108,MATCH(C212,'Facilities'!$C$9:$C$108,0)))))*INDEX('Facilities'!$AJ$9:$AJ$108,MATCH(C212,'Facilities'!$C$9:$C$108,0))+Q212*INDEX('Facilities'!$AI$9:$AI$108,MATCH(C212,'Facilities'!$C$9:$C$108,0))*AF212)))</x:f>
        <x:v>2.6670392631552</x:v>
      </x:c>
      <x:c r="AB212" s="21" t="n">
        <x:f>IF(C212="","",O212+P212-AD212)</x:f>
        <x:v>-0.20649479999999976</x:v>
      </x:c>
      <x:c r="AC212" s="23" t="n">
        <x:f>IF(C212="","",IFERROR(IF(INDEX('Facilities'!$AD$9:$AD$108,MATCH(C212,'Facilities'!$C$9:$C$108,0))=3,0,IF(INDEX('Facilities'!$AN$9:$AN$108,MATCH(C212,'Facilities'!$C$9:$C$108,0))=0,-1,INDEX('Facilities'!$AN$9:$AN$108,MATCH(C212,'Facilities'!$C$9:$C$108,0)))),"Unavailable"))</x:f>
        <x:v>-1</x:v>
      </x:c>
      <x:c r="AD212" s="21" t="n">
        <x:f>IF(C212="","",IFERROR(G212+H212,"Unavailable"))</x:f>
        <x:v>2.2670399999999997</x:v>
      </x:c>
      <x:c r="AE212" s="21" t="n">
        <x:f>IF(C212="","",IF(AQ212&lt;&gt;"Ready","Unavailable",IF(C212="","",O212+P212-AD212-J212+K212+M212+N212)))</x:f>
        <x:v>2.220446049250313e-16</x:v>
      </x:c>
      <x:c r="AF212" s="30" t="n">
        <x:f>IF(C212="","",IFERROR(INDEX('Facilities'!$S$9:$S$108,MATCH(C212,'Facilities'!$C$9:$C$108,0))*'Scenario Paths'!H75,"Unavailable"))</x:f>
        <x:v>1.2</x:v>
      </x:c>
      <x:c r="AG212" s="23" t="n">
        <x:f>IF(C212="","",IF(AQ212&lt;&gt;"Ready","Unavailable",IF(C212="","",IF(H212&gt;0,MAX(0,H212-AK212)*((1+INDEX('Facilities'!$K$9:$K$108,MATCH(C212,'Facilities'!$C$9:$C$108,0)))^MIN(1,MAX(0,AC212+INDEX('Facilities'!$AK$9:$AK$108,MATCH(C212,'Facilities'!$C$9:$C$108,0))-D212+1))-1),0))))</x:f>
        <x:v>0</x:v>
      </x:c>
      <x:c r="AH212" s="21" t="n">
        <x:f>IF(C212="","",IF(AQ212&lt;&gt;"Ready","Unavailable",IF(C212="","",O212+P212)))</x:f>
        <x:v>2.0605452</x:v>
      </x:c>
      <x:c r="AI212" s="21" t="n">
        <x:f>IF(C212="","",IF(AQ212&lt;&gt;"Ready","Unavailable",IF(C212="","",Z212-Y212)))</x:f>
        <x:v>0.19972507648640317</x:v>
      </x:c>
      <x:c r="AJ212" s="23" t="n">
        <x:f>IF(C212="","",IFERROR(MAX(0,INDEX('Facilities'!$J$9:$J$108,MATCH(C212,'Facilities'!$C$9:$C$108,0))-D212),"Unavailable"))</x:f>
        <x:v>3</x:v>
      </x:c>
      <x:c r="AK212" s="21" t="n">
        <x:f>IF(C212="","",IFERROR(AL112,"Unavailable"))</x:f>
        <x:v>0</x:v>
      </x:c>
      <x:c r="AL212" s="23" t="n">
        <x:f>IF(C212="","",IFERROR(IF(P212&gt;0,P212*(1-AM212/(1+INDEX('Facilities'!$K$9:$K$108,MATCH(C212,'Facilities'!$C$9:$C$108,0)))^MAX(0,AC212+INDEX('Facilities'!$AK$9:$AK$108,MATCH(C212,'Facilities'!$C$9:$C$108,0))-D212)),0),"Unavailable"))</x:f>
        <x:v>0</x:v>
      </x:c>
      <x:c r="AM212" s="30" t="n">
        <x:f>IF(C212="","",IFERROR(INDEX('Facilities'!$AL$9:$AL$108,MATCH(C212,'Facilities'!$C$9:$C$108,0)),"Unavailable"))</x:f>
        <x:v>0.55</x:v>
      </x:c>
      <x:c r="AN212" s="30" t="n">
        <x:f>IF(C212="","",IFERROR(INDEX(Credit!$T$209:$T$308,MATCH(F212,Credit!$C$209:$C$308,0)),"Unavailable"))</x:f>
        <x:v>0.00256</x:v>
      </x:c>
      <x:c r="AO212" s="23" t="n">
        <x:f>IF(C212="","",IF(AQ212&lt;&gt;"Ready","Unavailable",IF(C212="","",O212+P212+Q212*INDEX('Facilities'!$I$9:$I$108,MATCH(C212,'Facilities'!$C$9:$C$108,0)))))</x:f>
        <x:v>2.2462702</x:v>
      </x:c>
      <x:c r="AP212" s="21" t="n">
        <x:f>IF(C212="","",IF(AQ212&lt;&gt;"Ready","Unavailable",IF(C212="","",AH212-U212)))</x:f>
        <x:v>2.038622142240016</x:v>
      </x:c>
      <x:c r="AQ212" s="23" t="str">
        <x:f>IFERROR(IF(C212="","",IF(AND(INDEX('Facilities'!$AF$9:$AF$108,MATCH(C212,'Facilities'!$C$9:$C$108,0))="Ready",INDEX(Credit!$U$209:$U$308,MATCH(F212,Credit!$C$209:$C$308,0))="Ready",ISNUMBER(W212)),"Ready","Review inputs")),"Review inputs")</x:f>
        <x:v>Ready</x:v>
      </x:c>
      <x:c r="AR212" s="23" t="n">
        <x:f>IF(C212="","",IF(AQ212&lt;&gt;"Ready","Unavailable",IF(C212="","",IF(O212=0,0,(IF(AJ212&lt;=1,O212,O212*INDEX('Facilities'!$R$9:$R$108,MATCH(C212,'Facilities'!$C$9:$C$108,0)))+O212*INDEX('Facilities'!$T$9:$T$108,MATCH(C212,'Facilities'!$C$9:$C$108,0)))/12))))</x:f>
        <x:v>0.0369181015</x:v>
      </x:c>
    </x:row>
    <x:row r="213" ht="26" customHeight="1">
      <x:c r="A213" s="1"/>
      <x:c r="B213" s="1"/>
      <x:c r="C213" s="9" t="str">
        <x:f>IF(Facilities!C13="","",Facilities!C13)</x:f>
        <x:v>F005</x:v>
      </x:c>
      <x:c r="D213" s="3" t="n">
        <x:v>3</x:v>
      </x:c>
      <x:c r="E213" s="9" t="n">
        <x:f>Settings!$F$18+2</x:f>
        <x:v>2029</x:v>
      </x:c>
      <x:c r="F213" s="9" t="str">
        <x:f>IF(C213="","",IFERROR(INDEX('Facilities'!$D$9:$D$108,MATCH(C213,'Facilities'!$C$9:$C$108,0)),"Unavailable"))</x:f>
        <x:v>B003</x:v>
      </x:c>
      <x:c r="G213" s="21" t="n">
        <x:f>IF(C213="","",IFERROR(O113,"Unavailable"))</x:f>
        <x:v>4.59408</x:v>
      </x:c>
      <x:c r="H213" s="21" t="n">
        <x:f>IF(C213="","",IFERROR(P113,"Unavailable"))</x:f>
        <x:v>0</x:v>
      </x:c>
      <x:c r="I213" s="21" t="n">
        <x:f>IF(C213="","",IFERROR(Q113,"Unavailable"))</x:f>
        <x:v>1.311</x:v>
      </x:c>
      <x:c r="J213" s="23" t="n">
        <x:f>IF(C213="","",IFERROR(IF(OR(H213&gt;0,AND(AC213&gt;=0,AC213&lt;D213),D213&gt;INDEX('Facilities'!$J$9:$J$108,MATCH(C213,'Facilities'!$C$9:$C$108,0))),0,I213*'Scenario Paths'!H81),"Unavailable"))</x:f>
        <x:v>0.19665</x:v>
      </x:c>
      <x:c r="K213" s="23" t="n">
        <x:f>IF(C213="","",IFERROR(IF(OR(H213&gt;0,AND(AC213&gt;=0,AC213=D213)),0,IF(D213&gt;=INDEX('Facilities'!$J$9:$J$108,MATCH(C213,'Facilities'!$C$9:$C$108,0)),G213+J213,MIN(G213+J213,G213*INDEX('Facilities'!$R$9:$R$108,MATCH(C213,'Facilities'!$C$9:$C$108,0))))),"Unavailable"))</x:f>
        <x:v>0.5512895999999999</x:v>
      </x:c>
      <x:c r="L213" s="21" t="n">
        <x:f>IF(C213="","",IFERROR(IF(AND(AC213=D213,AC213&gt;0),MAX(0,G213+J213-K213),0),"Unavailable"))</x:f>
        <x:v>0</x:v>
      </x:c>
      <x:c r="M213" s="23" t="n">
        <x:f>IF(C213="","",IFERROR(IF(AND(AC213&gt;=0,D213&gt;=AC213+INDEX('Facilities'!$AK$9:$AK$108,MATCH(C213,'Facilities'!$C$9:$C$108,0))),(H213+L213)*AM213,0),"Unavailable"))</x:f>
        <x:v>0</x:v>
      </x:c>
      <x:c r="N213" s="23" t="n">
        <x:f>IF(C213="","",IFERROR(IF(AND(AC213&gt;=0,D213&gt;=AC213+INDEX('Facilities'!$AK$9:$AK$108,MATCH(C213,'Facilities'!$C$9:$C$108,0))),H213+L213-M213,0),"Unavailable"))</x:f>
        <x:v>0</x:v>
      </x:c>
      <x:c r="O213" s="21" t="n">
        <x:f>IF(C213="","",IFERROR(MAX(0,G213+J213-K213-L213),"Unavailable"))</x:f>
        <x:v>4.2394404</x:v>
      </x:c>
      <x:c r="P213" s="21" t="n">
        <x:f>IF(C213="","",IFERROR(MAX(0,H213+L213-M213-N213),"Unavailable"))</x:f>
        <x:v>0</x:v>
      </x:c>
      <x:c r="Q213" s="23" t="n">
        <x:f>IF(C213="","",IFERROR(IF(OR(D213&gt;=INDEX('Facilities'!$J$9:$J$108,MATCH(C213,'Facilities'!$C$9:$C$108,0)),AND(AC213&gt;=0,AC213&lt;=D213)),0,MAX(0,I213-J213)),"Unavailable"))</x:f>
        <x:v>1.11435</x:v>
      </x:c>
      <x:c r="R213" s="30" t="n">
        <x:f>IF(C213="","",IFERROR(INDEX(Credit!$Q$209:$Q$308,MATCH(F213,Credit!$C$209:$C$308,0)),"Unavailable"))</x:f>
        <x:v>0.05342672172834817</x:v>
      </x:c>
      <x:c r="S213" s="30" t="n">
        <x:f>IF(C213="","",IFERROR(INDEX(Credit!$R$209:$R$308,MATCH(F213,Credit!$C$209:$C$308,0)),"Unavailable"))</x:f>
        <x:v>0.36292864</x:v>
      </x:c>
      <x:c r="T213" s="23" t="n">
        <x:f>IF(C213="","",IFERROR(IF(P213&gt;0,3,IF(OR(INDEX('Facilities'!$AD$9:$AD$108,MATCH(C213,'Facilities'!$C$9:$C$108,0))=2,AND(R213&gt;=INDEX('Facilities'!$L$9:$L$108,MATCH(C213,'Facilities'!$C$9:$C$108,0))*Settings!$F$19,R213-INDEX('Facilities'!$L$9:$L$108,MATCH(C213,'Facilities'!$C$9:$C$108,0))&gt;=Settings!$F$20)),2,1)),"Unavailable"))</x:f>
        <x:v>2</x:v>
      </x:c>
      <x:c r="U213" s="23" t="n">
        <x:f>IF(C213="","",IF(AQ213&lt;&gt;"Ready","Unavailable",IF(C213="","",O213*(1-(1-S213)/(1+INDEX('Facilities'!$K$9:$K$108,MATCH(C213,'Facilities'!$C$9:$C$108,0)))^INDEX('Facilities'!$AK$9:$AK$108,MATCH(C213,'Facilities'!$C$9:$C$108,0)))*R213/(1+INDEX('Facilities'!$K$9:$K$108,MATCH(C213,'Facilities'!$C$9:$C$108,0)))*IF(ABS(1-(1-R213)*(1-INDEX('Facilities'!$R$9:$R$108,MATCH(C213,'Facilities'!$C$9:$C$108,0)))/(1+INDEX('Facilities'!$K$9:$K$108,MATCH(C213,'Facilities'!$C$9:$C$108,0))))&lt;0.000000001,IF(T213=1,MIN(1,AJ213),AJ213),(1-((1-R213)*(1-INDEX('Facilities'!$R$9:$R$108,MATCH(C213,'Facilities'!$C$9:$C$108,0)))/(1+INDEX('Facilities'!$K$9:$K$108,MATCH(C213,'Facilities'!$C$9:$C$108,0))))^IF(T213=1,MIN(1,AJ213),AJ213))/(1-(1-R213)*(1-INDEX('Facilities'!$R$9:$R$108,MATCH(C213,'Facilities'!$C$9:$C$108,0)))/(1+INDEX('Facilities'!$K$9:$K$108,MATCH(C213,'Facilities'!$C$9:$C$108,0)))))+AL213)))</x:f>
        <x:v>0.26886591693647033</x:v>
      </x:c>
      <x:c r="V213" s="23" t="n">
        <x:f>IF(C213="","",IF(AQ213&lt;&gt;"Ready","Unavailable",IF(C213="","",Q213*INDEX('Facilities'!$I$9:$I$108,MATCH(C213,'Facilities'!$C$9:$C$108,0))*(1-(1-S213)/(1+INDEX('Facilities'!$K$9:$K$108,MATCH(C213,'Facilities'!$C$9:$C$108,0)))^INDEX('Facilities'!$AK$9:$AK$108,MATCH(C213,'Facilities'!$C$9:$C$108,0)))*R213/(1+INDEX('Facilities'!$K$9:$K$108,MATCH(C213,'Facilities'!$C$9:$C$108,0)))*IF(ABS(1-(1-R213)*(1-0)/(1+INDEX('Facilities'!$K$9:$K$108,MATCH(C213,'Facilities'!$C$9:$C$108,0))))&lt;0.000000001,IF(T213=1,MIN(1,AJ213),AJ213),(1-((1-R213)*(1-0)/(1+INDEX('Facilities'!$K$9:$K$108,MATCH(C213,'Facilities'!$C$9:$C$108,0))))^IF(T213=1,MIN(1,AJ213),AJ213))/(1-(1-R213)*(1-0)/(1+INDEX('Facilities'!$K$9:$K$108,MATCH(C213,'Facilities'!$C$9:$C$108,0))))))))</x:f>
        <x:v>0.041501942516034</x:v>
      </x:c>
      <x:c r="W213" s="21" t="n">
        <x:f>IF(C213="","",IFERROR(U113,"Unavailable"))</x:f>
        <x:v>0.061505305847284204</x:v>
      </x:c>
      <x:c r="X213" s="21" t="n">
        <x:f>IF(C213="","",IFERROR(V113,"Unavailable"))</x:f>
        <x:v>0.008775800156482863</x:v>
      </x:c>
      <x:c r="Y213" s="21" t="n">
        <x:f>IF(C213="","",IF(AQ213&lt;&gt;"Ready","Unavailable",IF(C213="","",U213-W213+V213-X213+N213+AG213)))</x:f>
        <x:v>0.24008675344873728</x:v>
      </x:c>
      <x:c r="Z213" s="23" t="n">
        <x:f>IF(C213="","",IF(AQ213&lt;&gt;"Ready","Unavailable",IF(C213="","",(G213+O213+L213)/2*INDEX('Facilities'!$T$9:$T$108,MATCH(C213,'Facilities'!$C$9:$C$108,0))+AG213)))</x:f>
        <x:v>0.41959221900000004</x:v>
      </x:c>
      <x:c r="AA213" s="23" t="n">
        <x:f>IF(C213="","",IF(AQ213&lt;&gt;"Ready","Unavailable",IF(C213="","",O213*(1-IF(INDEX('Facilities'!$AA$9:$AA$108,MATCH(C213,'Facilities'!$C$9:$C$108,0))=0,0,MIN(1,INDEX('Facilities'!$X$9:$X$108,MATCH(C213,'Facilities'!$C$9:$C$108,0))/INDEX('Facilities'!$AA$9:$AA$108,MATCH(C213,'Facilities'!$C$9:$C$108,0)))))*AF213+P213*(1-IF(INDEX('Facilities'!$AA$9:$AA$108,MATCH(C213,'Facilities'!$C$9:$C$108,0))=0,0,MIN(1,INDEX('Facilities'!$X$9:$X$108,MATCH(C213,'Facilities'!$C$9:$C$108,0))/INDEX('Facilities'!$AA$9:$AA$108,MATCH(C213,'Facilities'!$C$9:$C$108,0)))))*INDEX('Facilities'!$AJ$9:$AJ$108,MATCH(C213,'Facilities'!$C$9:$C$108,0))+Q213*INDEX('Facilities'!$AI$9:$AI$108,MATCH(C213,'Facilities'!$C$9:$C$108,0))*AF213)))</x:f>
        <x:v>5.668029443865601</x:v>
      </x:c>
      <x:c r="AB213" s="21" t="n">
        <x:f>IF(C213="","",O213+P213-AD213)</x:f>
        <x:v>-0.3546395999999996</x:v>
      </x:c>
      <x:c r="AC213" s="23" t="n">
        <x:f>IF(C213="","",IFERROR(IF(INDEX('Facilities'!$AD$9:$AD$108,MATCH(C213,'Facilities'!$C$9:$C$108,0))=3,0,IF(INDEX('Facilities'!$AN$9:$AN$108,MATCH(C213,'Facilities'!$C$9:$C$108,0))=0,-1,INDEX('Facilities'!$AN$9:$AN$108,MATCH(C213,'Facilities'!$C$9:$C$108,0)))),"Unavailable"))</x:f>
        <x:v>-1</x:v>
      </x:c>
      <x:c r="AD213" s="21" t="n">
        <x:f>IF(C213="","",IFERROR(G213+H213,"Unavailable"))</x:f>
        <x:v>4.59408</x:v>
      </x:c>
      <x:c r="AE213" s="21" t="n">
        <x:f>IF(C213="","",IF(AQ213&lt;&gt;"Ready","Unavailable",IF(C213="","",O213+P213-AD213-J213+K213+M213+N213)))</x:f>
        <x:v>3.3306690738754696e-16</x:v>
      </x:c>
      <x:c r="AF213" s="30" t="n">
        <x:f>IF(C213="","",IFERROR(INDEX('Facilities'!$S$9:$S$108,MATCH(C213,'Facilities'!$C$9:$C$108,0))*'Scenario Paths'!H75,"Unavailable"))</x:f>
        <x:v>1.2</x:v>
      </x:c>
      <x:c r="AG213" s="23" t="n">
        <x:f>IF(C213="","",IF(AQ213&lt;&gt;"Ready","Unavailable",IF(C213="","",IF(H213&gt;0,MAX(0,H213-AK213)*((1+INDEX('Facilities'!$K$9:$K$108,MATCH(C213,'Facilities'!$C$9:$C$108,0)))^MIN(1,MAX(0,AC213+INDEX('Facilities'!$AK$9:$AK$108,MATCH(C213,'Facilities'!$C$9:$C$108,0))-D213+1))-1),0))))</x:f>
        <x:v>0</x:v>
      </x:c>
      <x:c r="AH213" s="21" t="n">
        <x:f>IF(C213="","",IF(AQ213&lt;&gt;"Ready","Unavailable",IF(C213="","",O213+P213)))</x:f>
        <x:v>4.2394404</x:v>
      </x:c>
      <x:c r="AI213" s="21" t="n">
        <x:f>IF(C213="","",IF(AQ213&lt;&gt;"Ready","Unavailable",IF(C213="","",Z213-Y213)))</x:f>
        <x:v>0.17950546555126276</x:v>
      </x:c>
      <x:c r="AJ213" s="23" t="n">
        <x:f>IF(C213="","",IFERROR(MAX(0,INDEX('Facilities'!$J$9:$J$108,MATCH(C213,'Facilities'!$C$9:$C$108,0))-D213),"Unavailable"))</x:f>
        <x:v>4</x:v>
      </x:c>
      <x:c r="AK213" s="21" t="n">
        <x:f>IF(C213="","",IFERROR(AL113,"Unavailable"))</x:f>
        <x:v>0</x:v>
      </x:c>
      <x:c r="AL213" s="23" t="n">
        <x:f>IF(C213="","",IFERROR(IF(P213&gt;0,P213*(1-AM213/(1+INDEX('Facilities'!$K$9:$K$108,MATCH(C213,'Facilities'!$C$9:$C$108,0)))^MAX(0,AC213+INDEX('Facilities'!$AK$9:$AK$108,MATCH(C213,'Facilities'!$C$9:$C$108,0))-D213)),0),"Unavailable"))</x:f>
        <x:v>0</x:v>
      </x:c>
      <x:c r="AM213" s="30" t="n">
        <x:f>IF(C213="","",IFERROR(INDEX('Facilities'!$AL$9:$AL$108,MATCH(C213,'Facilities'!$C$9:$C$108,0)),"Unavailable"))</x:f>
        <x:v>0.55</x:v>
      </x:c>
      <x:c r="AN213" s="30" t="n">
        <x:f>IF(C213="","",IFERROR(INDEX(Credit!$T$209:$T$308,MATCH(F213,Credit!$C$209:$C$308,0)),"Unavailable"))</x:f>
        <x:v>0.004576</x:v>
      </x:c>
      <x:c r="AO213" s="23" t="n">
        <x:f>IF(C213="","",IF(AQ213&lt;&gt;"Ready","Unavailable",IF(C213="","",O213+P213+Q213*INDEX('Facilities'!$I$9:$I$108,MATCH(C213,'Facilities'!$C$9:$C$108,0)))))</x:f>
        <x:v>4.7966154</x:v>
      </x:c>
      <x:c r="AP213" s="21" t="n">
        <x:f>IF(C213="","",IF(AQ213&lt;&gt;"Ready","Unavailable",IF(C213="","",AH213-U213)))</x:f>
        <x:v>3.97057448306353</x:v>
      </x:c>
      <x:c r="AQ213" s="23" t="str">
        <x:f>IFERROR(IF(C213="","",IF(AND(INDEX('Facilities'!$AF$9:$AF$108,MATCH(C213,'Facilities'!$C$9:$C$108,0))="Ready",INDEX(Credit!$U$209:$U$308,MATCH(F213,Credit!$C$209:$C$308,0))="Ready",ISNUMBER(W213)),"Ready","Review inputs")),"Review inputs")</x:f>
        <x:v>Ready</x:v>
      </x:c>
      <x:c r="AR213" s="23" t="n">
        <x:f>IF(C213="","",IF(AQ213&lt;&gt;"Ready","Unavailable",IF(C213="","",IF(O213=0,0,(IF(AJ213&lt;=1,O213,O213*INDEX('Facilities'!$R$9:$R$108,MATCH(C213,'Facilities'!$C$9:$C$108,0)))+O213*INDEX('Facilities'!$T$9:$T$108,MATCH(C213,'Facilities'!$C$9:$C$108,0)))/12))))</x:f>
        <x:v>0.0759566405</x:v>
      </x:c>
    </x:row>
    <x:row r="214" ht="26" customHeight="1">
      <x:c r="A214" s="1"/>
      <x:c r="B214" s="1"/>
      <x:c r="C214" s="9" t="str">
        <x:f>IF(Facilities!C14="","",Facilities!C14)</x:f>
        <x:v>F006</x:v>
      </x:c>
      <x:c r="D214" s="3" t="n">
        <x:v>3</x:v>
      </x:c>
      <x:c r="E214" s="9" t="n">
        <x:f>Settings!$F$18+2</x:f>
        <x:v>2029</x:v>
      </x:c>
      <x:c r="F214" s="9" t="str">
        <x:f>IF(C214="","",IFERROR(INDEX('Facilities'!$D$9:$D$108,MATCH(C214,'Facilities'!$C$9:$C$108,0)),"Unavailable"))</x:f>
        <x:v>B003</x:v>
      </x:c>
      <x:c r="G214" s="21" t="n">
        <x:f>IF(C214="","",IFERROR(O114,"Unavailable"))</x:f>
        <x:v>2.53808</x:v>
      </x:c>
      <x:c r="H214" s="21" t="n">
        <x:f>IF(C214="","",IFERROR(P114,"Unavailable"))</x:f>
        <x:v>0</x:v>
      </x:c>
      <x:c r="I214" s="21" t="n">
        <x:f>IF(C214="","",IFERROR(Q114,"Unavailable"))</x:f>
        <x:v>0.437</x:v>
      </x:c>
      <x:c r="J214" s="23" t="n">
        <x:f>IF(C214="","",IFERROR(IF(OR(H214&gt;0,AND(AC214&gt;=0,AC214&lt;D214),D214&gt;INDEX('Facilities'!$J$9:$J$108,MATCH(C214,'Facilities'!$C$9:$C$108,0))),0,I214*'Scenario Paths'!H81),"Unavailable"))</x:f>
        <x:v>0.06555</x:v>
      </x:c>
      <x:c r="K214" s="23" t="n">
        <x:f>IF(C214="","",IFERROR(IF(OR(H214&gt;0,AND(AC214&gt;=0,AC214=D214)),0,IF(D214&gt;=INDEX('Facilities'!$J$9:$J$108,MATCH(C214,'Facilities'!$C$9:$C$108,0)),G214+J214,MIN(G214+J214,G214*INDEX('Facilities'!$R$9:$R$108,MATCH(C214,'Facilities'!$C$9:$C$108,0))))),"Unavailable"))</x:f>
        <x:v>0.3045696</x:v>
      </x:c>
      <x:c r="L214" s="21" t="n">
        <x:f>IF(C214="","",IFERROR(IF(AND(AC214=D214,AC214&gt;0),MAX(0,G214+J214-K214),0),"Unavailable"))</x:f>
        <x:v>0</x:v>
      </x:c>
      <x:c r="M214" s="23" t="n">
        <x:f>IF(C214="","",IFERROR(IF(AND(AC214&gt;=0,D214&gt;=AC214+INDEX('Facilities'!$AK$9:$AK$108,MATCH(C214,'Facilities'!$C$9:$C$108,0))),(H214+L214)*AM214,0),"Unavailable"))</x:f>
        <x:v>0</x:v>
      </x:c>
      <x:c r="N214" s="23" t="n">
        <x:f>IF(C214="","",IFERROR(IF(AND(AC214&gt;=0,D214&gt;=AC214+INDEX('Facilities'!$AK$9:$AK$108,MATCH(C214,'Facilities'!$C$9:$C$108,0))),H214+L214-M214,0),"Unavailable"))</x:f>
        <x:v>0</x:v>
      </x:c>
      <x:c r="O214" s="21" t="n">
        <x:f>IF(C214="","",IFERROR(MAX(0,G214+J214-K214-L214),"Unavailable"))</x:f>
        <x:v>2.2990604</x:v>
      </x:c>
      <x:c r="P214" s="21" t="n">
        <x:f>IF(C214="","",IFERROR(MAX(0,H214+L214-M214-N214),"Unavailable"))</x:f>
        <x:v>0</x:v>
      </x:c>
      <x:c r="Q214" s="23" t="n">
        <x:f>IF(C214="","",IFERROR(IF(OR(D214&gt;=INDEX('Facilities'!$J$9:$J$108,MATCH(C214,'Facilities'!$C$9:$C$108,0)),AND(AC214&gt;=0,AC214&lt;=D214)),0,MAX(0,I214-J214)),"Unavailable"))</x:f>
        <x:v>0.37145</x:v>
      </x:c>
      <x:c r="R214" s="30" t="n">
        <x:f>IF(C214="","",IFERROR(INDEX(Credit!$Q$209:$Q$308,MATCH(F214,Credit!$C$209:$C$308,0)),"Unavailable"))</x:f>
        <x:v>0.05342672172834817</x:v>
      </x:c>
      <x:c r="S214" s="30" t="n">
        <x:f>IF(C214="","",IFERROR(INDEX(Credit!$R$209:$R$308,MATCH(F214,Credit!$C$209:$C$308,0)),"Unavailable"))</x:f>
        <x:v>0.36292864</x:v>
      </x:c>
      <x:c r="T214" s="23" t="n">
        <x:f>IF(C214="","",IFERROR(IF(P214&gt;0,3,IF(OR(INDEX('Facilities'!$AD$9:$AD$108,MATCH(C214,'Facilities'!$C$9:$C$108,0))=2,AND(R214&gt;=INDEX('Facilities'!$L$9:$L$108,MATCH(C214,'Facilities'!$C$9:$C$108,0))*Settings!$F$19,R214-INDEX('Facilities'!$L$9:$L$108,MATCH(C214,'Facilities'!$C$9:$C$108,0))&gt;=Settings!$F$20)),2,1)),"Unavailable"))</x:f>
        <x:v>2</x:v>
      </x:c>
      <x:c r="U214" s="23" t="n">
        <x:f>IF(C214="","",IF(AQ214&lt;&gt;"Ready","Unavailable",IF(C214="","",O214*(1-(1-S214)/(1+INDEX('Facilities'!$K$9:$K$108,MATCH(C214,'Facilities'!$C$9:$C$108,0)))^INDEX('Facilities'!$AK$9:$AK$108,MATCH(C214,'Facilities'!$C$9:$C$108,0)))*R214/(1+INDEX('Facilities'!$K$9:$K$108,MATCH(C214,'Facilities'!$C$9:$C$108,0)))*IF(ABS(1-(1-R214)*(1-INDEX('Facilities'!$R$9:$R$108,MATCH(C214,'Facilities'!$C$9:$C$108,0)))/(1+INDEX('Facilities'!$K$9:$K$108,MATCH(C214,'Facilities'!$C$9:$C$108,0))))&lt;0.000000001,IF(T214=1,MIN(1,AJ214),AJ214),(1-((1-R214)*(1-INDEX('Facilities'!$R$9:$R$108,MATCH(C214,'Facilities'!$C$9:$C$108,0)))/(1+INDEX('Facilities'!$K$9:$K$108,MATCH(C214,'Facilities'!$C$9:$C$108,0))))^IF(T214=1,MIN(1,AJ214),AJ214))/(1-(1-R214)*(1-INDEX('Facilities'!$R$9:$R$108,MATCH(C214,'Facilities'!$C$9:$C$108,0)))/(1+INDEX('Facilities'!$K$9:$K$108,MATCH(C214,'Facilities'!$C$9:$C$108,0)))))+AL214)))</x:f>
        <x:v>0.1458067396202405</x:v>
      </x:c>
      <x:c r="V214" s="23" t="n">
        <x:f>IF(C214="","",IF(AQ214&lt;&gt;"Ready","Unavailable",IF(C214="","",Q214*INDEX('Facilities'!$I$9:$I$108,MATCH(C214,'Facilities'!$C$9:$C$108,0))*(1-(1-S214)/(1+INDEX('Facilities'!$K$9:$K$108,MATCH(C214,'Facilities'!$C$9:$C$108,0)))^INDEX('Facilities'!$AK$9:$AK$108,MATCH(C214,'Facilities'!$C$9:$C$108,0)))*R214/(1+INDEX('Facilities'!$K$9:$K$108,MATCH(C214,'Facilities'!$C$9:$C$108,0)))*IF(ABS(1-(1-R214)*(1-0)/(1+INDEX('Facilities'!$K$9:$K$108,MATCH(C214,'Facilities'!$C$9:$C$108,0))))&lt;0.000000001,IF(T214=1,MIN(1,AJ214),AJ214),(1-((1-R214)*(1-0)/(1+INDEX('Facilities'!$K$9:$K$108,MATCH(C214,'Facilities'!$C$9:$C$108,0))))^IF(T214=1,MIN(1,AJ214),AJ214))/(1-(1-R214)*(1-0)/(1+INDEX('Facilities'!$K$9:$K$108,MATCH(C214,'Facilities'!$C$9:$C$108,0))))))))</x:f>
        <x:v>0.013833980838678</x:v>
      </x:c>
      <x:c r="W214" s="21" t="n">
        <x:f>IF(C214="","",IFERROR(U114,"Unavailable"))</x:f>
        <x:v>0.03397968399872773</x:v>
      </x:c>
      <x:c r="X214" s="21" t="n">
        <x:f>IF(C214="","",IFERROR(V114,"Unavailable"))</x:f>
        <x:v>0.0029252667188276213</x:v>
      </x:c>
      <x:c r="Y214" s="21" t="n">
        <x:f>IF(C214="","",IF(AQ214&lt;&gt;"Ready","Unavailable",IF(C214="","",U214-W214+V214-X214+N214+AG214)))</x:f>
        <x:v>0.12273576974136316</x:v>
      </x:c>
      <x:c r="Z214" s="23" t="n">
        <x:f>IF(C214="","",IF(AQ214&lt;&gt;"Ready","Unavailable",IF(C214="","",(G214+O214+L214)/2*INDEX('Facilities'!$T$9:$T$108,MATCH(C214,'Facilities'!$C$9:$C$108,0))+AG214)))</x:f>
        <x:v>0.229764169</x:v>
      </x:c>
      <x:c r="AA214" s="23" t="n">
        <x:f>IF(C214="","",IF(AQ214&lt;&gt;"Ready","Unavailable",IF(C214="","",O214*(1-IF(INDEX('Facilities'!$AA$9:$AA$108,MATCH(C214,'Facilities'!$C$9:$C$108,0))=0,0,MIN(1,INDEX('Facilities'!$X$9:$X$108,MATCH(C214,'Facilities'!$C$9:$C$108,0))/INDEX('Facilities'!$AA$9:$AA$108,MATCH(C214,'Facilities'!$C$9:$C$108,0)))))*AF214+P214*(1-IF(INDEX('Facilities'!$AA$9:$AA$108,MATCH(C214,'Facilities'!$C$9:$C$108,0))=0,0,MIN(1,INDEX('Facilities'!$X$9:$X$108,MATCH(C214,'Facilities'!$C$9:$C$108,0))/INDEX('Facilities'!$AA$9:$AA$108,MATCH(C214,'Facilities'!$C$9:$C$108,0)))))*INDEX('Facilities'!$AJ$9:$AJ$108,MATCH(C214,'Facilities'!$C$9:$C$108,0))+Q214*INDEX('Facilities'!$AI$9:$AI$108,MATCH(C214,'Facilities'!$C$9:$C$108,0))*AF214)))</x:f>
        <x:v>2.9340691635456</x:v>
      </x:c>
      <x:c r="AB214" s="21" t="n">
        <x:f>IF(C214="","",O214+P214-AD214)</x:f>
        <x:v>-0.23901959999999978</x:v>
      </x:c>
      <x:c r="AC214" s="23" t="n">
        <x:f>IF(C214="","",IFERROR(IF(INDEX('Facilities'!$AD$9:$AD$108,MATCH(C214,'Facilities'!$C$9:$C$108,0))=3,0,IF(INDEX('Facilities'!$AN$9:$AN$108,MATCH(C214,'Facilities'!$C$9:$C$108,0))=0,-1,INDEX('Facilities'!$AN$9:$AN$108,MATCH(C214,'Facilities'!$C$9:$C$108,0)))),"Unavailable"))</x:f>
        <x:v>-1</x:v>
      </x:c>
      <x:c r="AD214" s="21" t="n">
        <x:f>IF(C214="","",IFERROR(G214+H214,"Unavailable"))</x:f>
        <x:v>2.53808</x:v>
      </x:c>
      <x:c r="AE214" s="21" t="n">
        <x:f>IF(C214="","",IF(AQ214&lt;&gt;"Ready","Unavailable",IF(C214="","",O214+P214-AD214-J214+K214+M214+N214)))</x:f>
        <x:v>2.220446049250313e-16</x:v>
      </x:c>
      <x:c r="AF214" s="30" t="n">
        <x:f>IF(C214="","",IFERROR(INDEX('Facilities'!$S$9:$S$108,MATCH(C214,'Facilities'!$C$9:$C$108,0))*'Scenario Paths'!H75,"Unavailable"))</x:f>
        <x:v>1.2</x:v>
      </x:c>
      <x:c r="AG214" s="23" t="n">
        <x:f>IF(C214="","",IF(AQ214&lt;&gt;"Ready","Unavailable",IF(C214="","",IF(H214&gt;0,MAX(0,H214-AK214)*((1+INDEX('Facilities'!$K$9:$K$108,MATCH(C214,'Facilities'!$C$9:$C$108,0)))^MIN(1,MAX(0,AC214+INDEX('Facilities'!$AK$9:$AK$108,MATCH(C214,'Facilities'!$C$9:$C$108,0))-D214+1))-1),0))))</x:f>
        <x:v>0</x:v>
      </x:c>
      <x:c r="AH214" s="21" t="n">
        <x:f>IF(C214="","",IF(AQ214&lt;&gt;"Ready","Unavailable",IF(C214="","",O214+P214)))</x:f>
        <x:v>2.2990604</x:v>
      </x:c>
      <x:c r="AI214" s="21" t="n">
        <x:f>IF(C214="","",IF(AQ214&lt;&gt;"Ready","Unavailable",IF(C214="","",Z214-Y214)))</x:f>
        <x:v>0.10702839925863683</x:v>
      </x:c>
      <x:c r="AJ214" s="23" t="n">
        <x:f>IF(C214="","",IFERROR(MAX(0,INDEX('Facilities'!$J$9:$J$108,MATCH(C214,'Facilities'!$C$9:$C$108,0))-D214),"Unavailable"))</x:f>
        <x:v>4</x:v>
      </x:c>
      <x:c r="AK214" s="21" t="n">
        <x:f>IF(C214="","",IFERROR(AL114,"Unavailable"))</x:f>
        <x:v>0</x:v>
      </x:c>
      <x:c r="AL214" s="23" t="n">
        <x:f>IF(C214="","",IFERROR(IF(P214&gt;0,P214*(1-AM214/(1+INDEX('Facilities'!$K$9:$K$108,MATCH(C214,'Facilities'!$C$9:$C$108,0)))^MAX(0,AC214+INDEX('Facilities'!$AK$9:$AK$108,MATCH(C214,'Facilities'!$C$9:$C$108,0))-D214)),0),"Unavailable"))</x:f>
        <x:v>0</x:v>
      </x:c>
      <x:c r="AM214" s="30" t="n">
        <x:f>IF(C214="","",IFERROR(INDEX('Facilities'!$AL$9:$AL$108,MATCH(C214,'Facilities'!$C$9:$C$108,0)),"Unavailable"))</x:f>
        <x:v>0.55</x:v>
      </x:c>
      <x:c r="AN214" s="30" t="n">
        <x:f>IF(C214="","",IFERROR(INDEX(Credit!$T$209:$T$308,MATCH(F214,Credit!$C$209:$C$308,0)),"Unavailable"))</x:f>
        <x:v>0.004576</x:v>
      </x:c>
      <x:c r="AO214" s="23" t="n">
        <x:f>IF(C214="","",IF(AQ214&lt;&gt;"Ready","Unavailable",IF(C214="","",O214+P214+Q214*INDEX('Facilities'!$I$9:$I$108,MATCH(C214,'Facilities'!$C$9:$C$108,0)))))</x:f>
        <x:v>2.4847854000000003</x:v>
      </x:c>
      <x:c r="AP214" s="21" t="n">
        <x:f>IF(C214="","",IF(AQ214&lt;&gt;"Ready","Unavailable",IF(C214="","",AH214-U214)))</x:f>
        <x:v>2.1532536603797596</x:v>
      </x:c>
      <x:c r="AQ214" s="23" t="str">
        <x:f>IFERROR(IF(C214="","",IF(AND(INDEX('Facilities'!$AF$9:$AF$108,MATCH(C214,'Facilities'!$C$9:$C$108,0))="Ready",INDEX(Credit!$U$209:$U$308,MATCH(F214,Credit!$C$209:$C$308,0))="Ready",ISNUMBER(W214)),"Ready","Review inputs")),"Review inputs")</x:f>
        <x:v>Ready</x:v>
      </x:c>
      <x:c r="AR214" s="23" t="n">
        <x:f>IF(C214="","",IF(AQ214&lt;&gt;"Ready","Unavailable",IF(C214="","",IF(O214=0,0,(IF(AJ214&lt;=1,O214,O214*INDEX('Facilities'!$R$9:$R$108,MATCH(C214,'Facilities'!$C$9:$C$108,0)))+O214*INDEX('Facilities'!$T$9:$T$108,MATCH(C214,'Facilities'!$C$9:$C$108,0)))/12))))</x:f>
        <x:v>0.04119149883333334</x:v>
      </x:c>
    </x:row>
    <x:row r="215" ht="26" customHeight="1">
      <x:c r="A215" s="1"/>
      <x:c r="B215" s="1"/>
      <x:c r="C215" s="9" t="str">
        <x:f>IF(Facilities!C15="","",Facilities!C15)</x:f>
        <x:v>F007</x:v>
      </x:c>
      <x:c r="D215" s="3" t="n">
        <x:v>3</x:v>
      </x:c>
      <x:c r="E215" s="9" t="n">
        <x:f>Settings!$F$18+2</x:f>
        <x:v>2029</x:v>
      </x:c>
      <x:c r="F215" s="9" t="str">
        <x:f>IF(C215="","",IFERROR(INDEX('Facilities'!$D$9:$D$108,MATCH(C215,'Facilities'!$C$9:$C$108,0)),"Unavailable"))</x:f>
        <x:v>B004</x:v>
      </x:c>
      <x:c r="G215" s="21" t="n">
        <x:f>IF(C215="","",IFERROR(O115,"Unavailable"))</x:f>
        <x:v>4.86512</x:v>
      </x:c>
      <x:c r="H215" s="21" t="n">
        <x:f>IF(C215="","",IFERROR(P115,"Unavailable"))</x:f>
        <x:v>0</x:v>
      </x:c>
      <x:c r="I215" s="21" t="n">
        <x:f>IF(C215="","",IFERROR(Q115,"Unavailable"))</x:f>
        <x:v>1.311</x:v>
      </x:c>
      <x:c r="J215" s="23" t="n">
        <x:f>IF(C215="","",IFERROR(IF(OR(H215&gt;0,AND(AC215&gt;=0,AC215&lt;D215),D215&gt;INDEX('Facilities'!$J$9:$J$108,MATCH(C215,'Facilities'!$C$9:$C$108,0))),0,I215*'Scenario Paths'!H81),"Unavailable"))</x:f>
        <x:v>0.19665</x:v>
      </x:c>
      <x:c r="K215" s="23" t="n">
        <x:f>IF(C215="","",IFERROR(IF(OR(H215&gt;0,AND(AC215&gt;=0,AC215=D215)),0,IF(D215&gt;=INDEX('Facilities'!$J$9:$J$108,MATCH(C215,'Facilities'!$C$9:$C$108,0)),G215+J215,MIN(G215+J215,G215*INDEX('Facilities'!$R$9:$R$108,MATCH(C215,'Facilities'!$C$9:$C$108,0))))),"Unavailable"))</x:f>
        <x:v>0</x:v>
      </x:c>
      <x:c r="L215" s="21" t="n">
        <x:f>IF(C215="","",IFERROR(IF(AND(AC215=D215,AC215&gt;0),MAX(0,G215+J215-K215),0),"Unavailable"))</x:f>
        <x:v>5.06177</x:v>
      </x:c>
      <x:c r="M215" s="23" t="n">
        <x:f>IF(C215="","",IFERROR(IF(AND(AC215&gt;=0,D215&gt;=AC215+INDEX('Facilities'!$AK$9:$AK$108,MATCH(C215,'Facilities'!$C$9:$C$108,0))),(H215+L215)*AM215,0),"Unavailable"))</x:f>
        <x:v>0</x:v>
      </x:c>
      <x:c r="N215" s="23" t="n">
        <x:f>IF(C215="","",IFERROR(IF(AND(AC215&gt;=0,D215&gt;=AC215+INDEX('Facilities'!$AK$9:$AK$108,MATCH(C215,'Facilities'!$C$9:$C$108,0))),H215+L215-M215,0),"Unavailable"))</x:f>
        <x:v>0</x:v>
      </x:c>
      <x:c r="O215" s="21" t="n">
        <x:f>IF(C215="","",IFERROR(MAX(0,G215+J215-K215-L215),"Unavailable"))</x:f>
        <x:v>0</x:v>
      </x:c>
      <x:c r="P215" s="21" t="n">
        <x:f>IF(C215="","",IFERROR(MAX(0,H215+L215-M215-N215),"Unavailable"))</x:f>
        <x:v>5.06177</x:v>
      </x:c>
      <x:c r="Q215" s="23" t="n">
        <x:f>IF(C215="","",IFERROR(IF(OR(D215&gt;=INDEX('Facilities'!$J$9:$J$108,MATCH(C215,'Facilities'!$C$9:$C$108,0)),AND(AC215&gt;=0,AC215&lt;=D215)),0,MAX(0,I215-J215)),"Unavailable"))</x:f>
        <x:v>0</x:v>
      </x:c>
      <x:c r="R215" s="30" t="n">
        <x:f>IF(C215="","",IFERROR(INDEX(Credit!$Q$209:$Q$308,MATCH(F215,Credit!$C$209:$C$308,0)),"Unavailable"))</x:f>
        <x:v>0.06113303086739033</x:v>
      </x:c>
      <x:c r="S215" s="30" t="n">
        <x:f>IF(C215="","",IFERROR(INDEX(Credit!$R$209:$R$308,MATCH(F215,Credit!$C$209:$C$308,0)),"Unavailable"))</x:f>
        <x:v>0.4018816</x:v>
      </x:c>
      <x:c r="T215" s="23" t="n">
        <x:f>IF(C215="","",IFERROR(IF(P215&gt;0,3,IF(OR(INDEX('Facilities'!$AD$9:$AD$108,MATCH(C215,'Facilities'!$C$9:$C$108,0))=2,AND(R215&gt;=INDEX('Facilities'!$L$9:$L$108,MATCH(C215,'Facilities'!$C$9:$C$108,0))*Settings!$F$19,R215-INDEX('Facilities'!$L$9:$L$108,MATCH(C215,'Facilities'!$C$9:$C$108,0))&gt;=Settings!$F$20)),2,1)),"Unavailable"))</x:f>
        <x:v>3</x:v>
      </x:c>
      <x:c r="U215" s="23" t="n">
        <x:f>IF(C215="","",IF(AQ215&lt;&gt;"Ready","Unavailable",IF(C215="","",O215*(1-(1-S215)/(1+INDEX('Facilities'!$K$9:$K$108,MATCH(C215,'Facilities'!$C$9:$C$108,0)))^INDEX('Facilities'!$AK$9:$AK$108,MATCH(C215,'Facilities'!$C$9:$C$108,0)))*R215/(1+INDEX('Facilities'!$K$9:$K$108,MATCH(C215,'Facilities'!$C$9:$C$108,0)))*IF(ABS(1-(1-R215)*(1-INDEX('Facilities'!$R$9:$R$108,MATCH(C215,'Facilities'!$C$9:$C$108,0)))/(1+INDEX('Facilities'!$K$9:$K$108,MATCH(C215,'Facilities'!$C$9:$C$108,0))))&lt;0.000000001,IF(T215=1,MIN(1,AJ215),AJ215),(1-((1-R215)*(1-INDEX('Facilities'!$R$9:$R$108,MATCH(C215,'Facilities'!$C$9:$C$108,0)))/(1+INDEX('Facilities'!$K$9:$K$108,MATCH(C215,'Facilities'!$C$9:$C$108,0))))^IF(T215=1,MIN(1,AJ215),AJ215))/(1-(1-R215)*(1-INDEX('Facilities'!$R$9:$R$108,MATCH(C215,'Facilities'!$C$9:$C$108,0)))/(1+INDEX('Facilities'!$K$9:$K$108,MATCH(C215,'Facilities'!$C$9:$C$108,0)))))+AL215)))</x:f>
        <x:v>2.6749614437585736</x:v>
      </x:c>
      <x:c r="V215" s="23" t="n">
        <x:f>IF(C215="","",IF(AQ215&lt;&gt;"Ready","Unavailable",IF(C215="","",Q215*INDEX('Facilities'!$I$9:$I$108,MATCH(C215,'Facilities'!$C$9:$C$108,0))*(1-(1-S215)/(1+INDEX('Facilities'!$K$9:$K$108,MATCH(C215,'Facilities'!$C$9:$C$108,0)))^INDEX('Facilities'!$AK$9:$AK$108,MATCH(C215,'Facilities'!$C$9:$C$108,0)))*R215/(1+INDEX('Facilities'!$K$9:$K$108,MATCH(C215,'Facilities'!$C$9:$C$108,0)))*IF(ABS(1-(1-R215)*(1-0)/(1+INDEX('Facilities'!$K$9:$K$108,MATCH(C215,'Facilities'!$C$9:$C$108,0))))&lt;0.000000001,IF(T215=1,MIN(1,AJ215),AJ215),(1-((1-R215)*(1-0)/(1+INDEX('Facilities'!$K$9:$K$108,MATCH(C215,'Facilities'!$C$9:$C$108,0))))^IF(T215=1,MIN(1,AJ215),AJ215))/(1-(1-R215)*(1-0)/(1+INDEX('Facilities'!$K$9:$K$108,MATCH(C215,'Facilities'!$C$9:$C$108,0))))))))</x:f>
        <x:v>0</x:v>
      </x:c>
      <x:c r="W215" s="21" t="n">
        <x:f>IF(C215="","",IFERROR(U115,"Unavailable"))</x:f>
        <x:v>0.08336162194306805</x:v>
      </x:c>
      <x:c r="X215" s="21" t="n">
        <x:f>IF(C215="","",IFERROR(V115,"Unavailable"))</x:f>
        <x:v>0.01123169483664968</x:v>
      </x:c>
      <x:c r="Y215" s="21" t="n">
        <x:f>IF(C215="","",IF(AQ215&lt;&gt;"Ready","Unavailable",IF(C215="","",U215-W215+V215-X215+N215+AG215)))</x:f>
        <x:v>2.580368126978856</x:v>
      </x:c>
      <x:c r="Z215" s="23" t="n">
        <x:f>IF(C215="","",IF(AQ215&lt;&gt;"Ready","Unavailable",IF(C215="","",(G215+O215+L215)/2*INDEX('Facilities'!$T$9:$T$108,MATCH(C215,'Facilities'!$C$9:$C$108,0))+AG215)))</x:f>
        <x:v>0.471527275</x:v>
      </x:c>
      <x:c r="AA215" s="23" t="n">
        <x:f>IF(C215="","",IF(AQ215&lt;&gt;"Ready","Unavailable",IF(C215="","",O215*(1-IF(INDEX('Facilities'!$AA$9:$AA$108,MATCH(C215,'Facilities'!$C$9:$C$108,0))=0,0,MIN(1,INDEX('Facilities'!$X$9:$X$108,MATCH(C215,'Facilities'!$C$9:$C$108,0))/INDEX('Facilities'!$AA$9:$AA$108,MATCH(C215,'Facilities'!$C$9:$C$108,0)))))*AF215+P215*(1-IF(INDEX('Facilities'!$AA$9:$AA$108,MATCH(C215,'Facilities'!$C$9:$C$108,0))=0,0,MIN(1,INDEX('Facilities'!$X$9:$X$108,MATCH(C215,'Facilities'!$C$9:$C$108,0))/INDEX('Facilities'!$AA$9:$AA$108,MATCH(C215,'Facilities'!$C$9:$C$108,0)))))*INDEX('Facilities'!$AJ$9:$AJ$108,MATCH(C215,'Facilities'!$C$9:$C$108,0))+Q215*INDEX('Facilities'!$AI$9:$AI$108,MATCH(C215,'Facilities'!$C$9:$C$108,0))*AF215)))</x:f>
        <x:v>7.41043128</x:v>
      </x:c>
      <x:c r="AB215" s="21" t="n">
        <x:f>IF(C215="","",O215+P215-AD215)</x:f>
        <x:v>0.19665</x:v>
      </x:c>
      <x:c r="AC215" s="23" t="n">
        <x:f>IF(C215="","",IFERROR(IF(INDEX('Facilities'!$AD$9:$AD$108,MATCH(C215,'Facilities'!$C$9:$C$108,0))=3,0,IF(INDEX('Facilities'!$AN$9:$AN$108,MATCH(C215,'Facilities'!$C$9:$C$108,0))=0,-1,INDEX('Facilities'!$AN$9:$AN$108,MATCH(C215,'Facilities'!$C$9:$C$108,0)))),"Unavailable"))</x:f>
        <x:v>3</x:v>
      </x:c>
      <x:c r="AD215" s="21" t="n">
        <x:f>IF(C215="","",IFERROR(G215+H215,"Unavailable"))</x:f>
        <x:v>4.86512</x:v>
      </x:c>
      <x:c r="AE215" s="21" t="n">
        <x:f>IF(C215="","",IF(AQ215&lt;&gt;"Ready","Unavailable",IF(C215="","",O215+P215-AD215-J215+K215+M215+N215)))</x:f>
        <x:v>0</x:v>
      </x:c>
      <x:c r="AF215" s="30" t="n">
        <x:f>IF(C215="","",IFERROR(INDEX('Facilities'!$S$9:$S$108,MATCH(C215,'Facilities'!$C$9:$C$108,0))*'Scenario Paths'!H75,"Unavailable"))</x:f>
        <x:v>1.2</x:v>
      </x:c>
      <x:c r="AG215" s="23" t="n">
        <x:f>IF(C215="","",IF(AQ215&lt;&gt;"Ready","Unavailable",IF(C215="","",IF(H215&gt;0,MAX(0,H215-AK215)*((1+INDEX('Facilities'!$K$9:$K$108,MATCH(C215,'Facilities'!$C$9:$C$108,0)))^MIN(1,MAX(0,AC215+INDEX('Facilities'!$AK$9:$AK$108,MATCH(C215,'Facilities'!$C$9:$C$108,0))-D215+1))-1),0))))</x:f>
        <x:v>0</x:v>
      </x:c>
      <x:c r="AH215" s="21" t="n">
        <x:f>IF(C215="","",IF(AQ215&lt;&gt;"Ready","Unavailable",IF(C215="","",O215+P215)))</x:f>
        <x:v>5.06177</x:v>
      </x:c>
      <x:c r="AI215" s="21" t="n">
        <x:f>IF(C215="","",IF(AQ215&lt;&gt;"Ready","Unavailable",IF(C215="","",Z215-Y215)))</x:f>
        <x:v>-2.1088408519788557</x:v>
      </x:c>
      <x:c r="AJ215" s="23" t="n">
        <x:f>IF(C215="","",IFERROR(MAX(0,INDEX('Facilities'!$J$9:$J$108,MATCH(C215,'Facilities'!$C$9:$C$108,0))-D215),"Unavailable"))</x:f>
        <x:v>5</x:v>
      </x:c>
      <x:c r="AK215" s="21" t="n">
        <x:f>IF(C215="","",IFERROR(AL115,"Unavailable"))</x:f>
        <x:v>0</x:v>
      </x:c>
      <x:c r="AL215" s="23" t="n">
        <x:f>IF(C215="","",IFERROR(IF(P215&gt;0,P215*(1-AM215/(1+INDEX('Facilities'!$K$9:$K$108,MATCH(C215,'Facilities'!$C$9:$C$108,0)))^MAX(0,AC215+INDEX('Facilities'!$AK$9:$AK$108,MATCH(C215,'Facilities'!$C$9:$C$108,0))-D215)),0),"Unavailable"))</x:f>
        <x:v>2.6749614437585736</x:v>
      </x:c>
      <x:c r="AM215" s="30" t="n">
        <x:f>IF(C215="","",IFERROR(INDEX('Facilities'!$AL$9:$AL$108,MATCH(C215,'Facilities'!$C$9:$C$108,0)),"Unavailable"))</x:f>
        <x:v>0.55</x:v>
      </x:c>
      <x:c r="AN215" s="30" t="n">
        <x:f>IF(C215="","",IFERROR(INDEX(Credit!$T$209:$T$308,MATCH(F215,Credit!$C$209:$C$308,0)),"Unavailable"))</x:f>
        <x:v>0.003136</x:v>
      </x:c>
      <x:c r="AO215" s="23" t="n">
        <x:f>IF(C215="","",IF(AQ215&lt;&gt;"Ready","Unavailable",IF(C215="","",O215+P215+Q215*INDEX('Facilities'!$I$9:$I$108,MATCH(C215,'Facilities'!$C$9:$C$108,0)))))</x:f>
        <x:v>5.06177</x:v>
      </x:c>
      <x:c r="AP215" s="21" t="n">
        <x:f>IF(C215="","",IF(AQ215&lt;&gt;"Ready","Unavailable",IF(C215="","",AH215-U215)))</x:f>
        <x:v>2.3868085562414265</x:v>
      </x:c>
      <x:c r="AQ215" s="23" t="str">
        <x:f>IFERROR(IF(C215="","",IF(AND(INDEX('Facilities'!$AF$9:$AF$108,MATCH(C215,'Facilities'!$C$9:$C$108,0))="Ready",INDEX(Credit!$U$209:$U$308,MATCH(F215,Credit!$C$209:$C$308,0))="Ready",ISNUMBER(W215)),"Ready","Review inputs")),"Review inputs")</x:f>
        <x:v>Ready</x:v>
      </x:c>
      <x:c r="AR215" s="23" t="n">
        <x:f>IF(C215="","",IF(AQ215&lt;&gt;"Ready","Unavailable",IF(C215="","",IF(O215=0,0,(IF(AJ215&lt;=1,O215,O215*INDEX('Facilities'!$R$9:$R$108,MATCH(C215,'Facilities'!$C$9:$C$108,0)))+O215*INDEX('Facilities'!$T$9:$T$108,MATCH(C215,'Facilities'!$C$9:$C$108,0)))/12))))</x:f>
        <x:v>0</x:v>
      </x:c>
    </x:row>
    <x:row r="216" ht="26" customHeight="1">
      <x:c r="A216" s="1"/>
      <x:c r="B216" s="1"/>
      <x:c r="C216" s="9" t="str">
        <x:f>IF(Facilities!C16="","",Facilities!C16)</x:f>
        <x:v>F008</x:v>
      </x:c>
      <x:c r="D216" s="3" t="n">
        <x:v>3</x:v>
      </x:c>
      <x:c r="E216" s="9" t="n">
        <x:f>Settings!$F$18+2</x:f>
        <x:v>2029</x:v>
      </x:c>
      <x:c r="F216" s="9" t="str">
        <x:f>IF(C216="","",IFERROR(INDEX('Facilities'!$D$9:$D$108,MATCH(C216,'Facilities'!$C$9:$C$108,0)),"Unavailable"))</x:f>
        <x:v>B004</x:v>
      </x:c>
      <x:c r="G216" s="21" t="n">
        <x:f>IF(C216="","",IFERROR(O116,"Unavailable"))</x:f>
        <x:v>2.8091199999999996</x:v>
      </x:c>
      <x:c r="H216" s="21" t="n">
        <x:f>IF(C216="","",IFERROR(P116,"Unavailable"))</x:f>
        <x:v>0</x:v>
      </x:c>
      <x:c r="I216" s="21" t="n">
        <x:f>IF(C216="","",IFERROR(Q116,"Unavailable"))</x:f>
        <x:v>0.437</x:v>
      </x:c>
      <x:c r="J216" s="23" t="n">
        <x:f>IF(C216="","",IFERROR(IF(OR(H216&gt;0,AND(AC216&gt;=0,AC216&lt;D216),D216&gt;INDEX('Facilities'!$J$9:$J$108,MATCH(C216,'Facilities'!$C$9:$C$108,0))),0,I216*'Scenario Paths'!H81),"Unavailable"))</x:f>
        <x:v>0.06555</x:v>
      </x:c>
      <x:c r="K216" s="23" t="n">
        <x:f>IF(C216="","",IFERROR(IF(OR(H216&gt;0,AND(AC216&gt;=0,AC216=D216)),0,IF(D216&gt;=INDEX('Facilities'!$J$9:$J$108,MATCH(C216,'Facilities'!$C$9:$C$108,0)),G216+J216,MIN(G216+J216,G216*INDEX('Facilities'!$R$9:$R$108,MATCH(C216,'Facilities'!$C$9:$C$108,0))))),"Unavailable"))</x:f>
        <x:v>0.33709439999999996</x:v>
      </x:c>
      <x:c r="L216" s="21" t="n">
        <x:f>IF(C216="","",IFERROR(IF(AND(AC216=D216,AC216&gt;0),MAX(0,G216+J216-K216),0),"Unavailable"))</x:f>
        <x:v>0</x:v>
      </x:c>
      <x:c r="M216" s="23" t="n">
        <x:f>IF(C216="","",IFERROR(IF(AND(AC216&gt;=0,D216&gt;=AC216+INDEX('Facilities'!$AK$9:$AK$108,MATCH(C216,'Facilities'!$C$9:$C$108,0))),(H216+L216)*AM216,0),"Unavailable"))</x:f>
        <x:v>0</x:v>
      </x:c>
      <x:c r="N216" s="23" t="n">
        <x:f>IF(C216="","",IFERROR(IF(AND(AC216&gt;=0,D216&gt;=AC216+INDEX('Facilities'!$AK$9:$AK$108,MATCH(C216,'Facilities'!$C$9:$C$108,0))),H216+L216-M216,0),"Unavailable"))</x:f>
        <x:v>0</x:v>
      </x:c>
      <x:c r="O216" s="21" t="n">
        <x:f>IF(C216="","",IFERROR(MAX(0,G216+J216-K216-L216),"Unavailable"))</x:f>
        <x:v>2.5375756</x:v>
      </x:c>
      <x:c r="P216" s="21" t="n">
        <x:f>IF(C216="","",IFERROR(MAX(0,H216+L216-M216-N216),"Unavailable"))</x:f>
        <x:v>0</x:v>
      </x:c>
      <x:c r="Q216" s="23" t="n">
        <x:f>IF(C216="","",IFERROR(IF(OR(D216&gt;=INDEX('Facilities'!$J$9:$J$108,MATCH(C216,'Facilities'!$C$9:$C$108,0)),AND(AC216&gt;=0,AC216&lt;=D216)),0,MAX(0,I216-J216)),"Unavailable"))</x:f>
        <x:v>0.37145</x:v>
      </x:c>
      <x:c r="R216" s="30" t="n">
        <x:f>IF(C216="","",IFERROR(INDEX(Credit!$Q$209:$Q$308,MATCH(F216,Credit!$C$209:$C$308,0)),"Unavailable"))</x:f>
        <x:v>0.06113303086739033</x:v>
      </x:c>
      <x:c r="S216" s="30" t="n">
        <x:f>IF(C216="","",IFERROR(INDEX(Credit!$R$209:$R$308,MATCH(F216,Credit!$C$209:$C$308,0)),"Unavailable"))</x:f>
        <x:v>0.4018816</x:v>
      </x:c>
      <x:c r="T216" s="23" t="n">
        <x:f>IF(C216="","",IFERROR(IF(P216&gt;0,3,IF(OR(INDEX('Facilities'!$AD$9:$AD$108,MATCH(C216,'Facilities'!$C$9:$C$108,0))=2,AND(R216&gt;=INDEX('Facilities'!$L$9:$L$108,MATCH(C216,'Facilities'!$C$9:$C$108,0))*Settings!$F$19,R216-INDEX('Facilities'!$L$9:$L$108,MATCH(C216,'Facilities'!$C$9:$C$108,0))&gt;=Settings!$F$20)),2,1)),"Unavailable"))</x:f>
        <x:v>2</x:v>
      </x:c>
      <x:c r="U216" s="23" t="n">
        <x:f>IF(C216="","",IF(AQ216&lt;&gt;"Ready","Unavailable",IF(C216="","",O216*(1-(1-S216)/(1+INDEX('Facilities'!$K$9:$K$108,MATCH(C216,'Facilities'!$C$9:$C$108,0)))^INDEX('Facilities'!$AK$9:$AK$108,MATCH(C216,'Facilities'!$C$9:$C$108,0)))*R216/(1+INDEX('Facilities'!$K$9:$K$108,MATCH(C216,'Facilities'!$C$9:$C$108,0)))*IF(ABS(1-(1-R216)*(1-INDEX('Facilities'!$R$9:$R$108,MATCH(C216,'Facilities'!$C$9:$C$108,0)))/(1+INDEX('Facilities'!$K$9:$K$108,MATCH(C216,'Facilities'!$C$9:$C$108,0))))&lt;0.000000001,IF(T216=1,MIN(1,AJ216),AJ216),(1-((1-R216)*(1-INDEX('Facilities'!$R$9:$R$108,MATCH(C216,'Facilities'!$C$9:$C$108,0)))/(1+INDEX('Facilities'!$K$9:$K$108,MATCH(C216,'Facilities'!$C$9:$C$108,0))))^IF(T216=1,MIN(1,AJ216),AJ216))/(1-(1-R216)*(1-INDEX('Facilities'!$R$9:$R$108,MATCH(C216,'Facilities'!$C$9:$C$108,0)))/(1+INDEX('Facilities'!$K$9:$K$108,MATCH(C216,'Facilities'!$C$9:$C$108,0)))))+AL216)))</x:f>
        <x:v>0.2197738104834203</x:v>
      </x:c>
      <x:c r="V216" s="23" t="n">
        <x:f>IF(C216="","",IF(AQ216&lt;&gt;"Ready","Unavailable",IF(C216="","",Q216*INDEX('Facilities'!$I$9:$I$108,MATCH(C216,'Facilities'!$C$9:$C$108,0))*(1-(1-S216)/(1+INDEX('Facilities'!$K$9:$K$108,MATCH(C216,'Facilities'!$C$9:$C$108,0)))^INDEX('Facilities'!$AK$9:$AK$108,MATCH(C216,'Facilities'!$C$9:$C$108,0)))*R216/(1+INDEX('Facilities'!$K$9:$K$108,MATCH(C216,'Facilities'!$C$9:$C$108,0)))*IF(ABS(1-(1-R216)*(1-0)/(1+INDEX('Facilities'!$K$9:$K$108,MATCH(C216,'Facilities'!$C$9:$C$108,0))))&lt;0.000000001,IF(T216=1,MIN(1,AJ216),AJ216),(1-((1-R216)*(1-0)/(1+INDEX('Facilities'!$K$9:$K$108,MATCH(C216,'Facilities'!$C$9:$C$108,0))))^IF(T216=1,MIN(1,AJ216),AJ216))/(1-(1-R216)*(1-0)/(1+INDEX('Facilities'!$K$9:$K$108,MATCH(C216,'Facilities'!$C$9:$C$108,0))))))))</x:f>
        <x:v>0.01973561514101478</x:v>
      </x:c>
      <x:c r="W216" s="21" t="n">
        <x:f>IF(C216="","",IFERROR(U116,"Unavailable"))</x:f>
        <x:v>0.04813299557517826</x:v>
      </x:c>
      <x:c r="X216" s="21" t="n">
        <x:f>IF(C216="","",IFERROR(V116,"Unavailable"))</x:f>
        <x:v>0.003743898278883227</x:v>
      </x:c>
      <x:c r="Y216" s="21" t="n">
        <x:f>IF(C216="","",IF(AQ216&lt;&gt;"Ready","Unavailable",IF(C216="","",U216-W216+V216-X216+N216+AG216)))</x:f>
        <x:v>0.1876325317703736</x:v>
      </x:c>
      <x:c r="Z216" s="23" t="n">
        <x:f>IF(C216="","",IF(AQ216&lt;&gt;"Ready","Unavailable",IF(C216="","",(G216+O216+L216)/2*INDEX('Facilities'!$T$9:$T$108,MATCH(C216,'Facilities'!$C$9:$C$108,0))+AG216)))</x:f>
        <x:v>0.253968041</x:v>
      </x:c>
      <x:c r="AA216" s="23" t="n">
        <x:f>IF(C216="","",IF(AQ216&lt;&gt;"Ready","Unavailable",IF(C216="","",O216*(1-IF(INDEX('Facilities'!$AA$9:$AA$108,MATCH(C216,'Facilities'!$C$9:$C$108,0))=0,0,MIN(1,INDEX('Facilities'!$X$9:$X$108,MATCH(C216,'Facilities'!$C$9:$C$108,0))/INDEX('Facilities'!$AA$9:$AA$108,MATCH(C216,'Facilities'!$C$9:$C$108,0)))))*AF216+P216*(1-IF(INDEX('Facilities'!$AA$9:$AA$108,MATCH(C216,'Facilities'!$C$9:$C$108,0))=0,0,MIN(1,INDEX('Facilities'!$X$9:$X$108,MATCH(C216,'Facilities'!$C$9:$C$108,0))/INDEX('Facilities'!$AA$9:$AA$108,MATCH(C216,'Facilities'!$C$9:$C$108,0)))))*INDEX('Facilities'!$AJ$9:$AJ$108,MATCH(C216,'Facilities'!$C$9:$C$108,0))+Q216*INDEX('Facilities'!$AI$9:$AI$108,MATCH(C216,'Facilities'!$C$9:$C$108,0))*AF216)))</x:f>
        <x:v>3.1948785427199993</x:v>
      </x:c>
      <x:c r="AB216" s="21" t="n">
        <x:f>IF(C216="","",O216+P216-AD216)</x:f>
        <x:v>-0.2715443999999998</x:v>
      </x:c>
      <x:c r="AC216" s="23" t="n">
        <x:f>IF(C216="","",IFERROR(IF(INDEX('Facilities'!$AD$9:$AD$108,MATCH(C216,'Facilities'!$C$9:$C$108,0))=3,0,IF(INDEX('Facilities'!$AN$9:$AN$108,MATCH(C216,'Facilities'!$C$9:$C$108,0))=0,-1,INDEX('Facilities'!$AN$9:$AN$108,MATCH(C216,'Facilities'!$C$9:$C$108,0)))),"Unavailable"))</x:f>
        <x:v>-1</x:v>
      </x:c>
      <x:c r="AD216" s="21" t="n">
        <x:f>IF(C216="","",IFERROR(G216+H216,"Unavailable"))</x:f>
        <x:v>2.8091199999999996</x:v>
      </x:c>
      <x:c r="AE216" s="21" t="n">
        <x:f>IF(C216="","",IF(AQ216&lt;&gt;"Ready","Unavailable",IF(C216="","",O216+P216-AD216-J216+K216+M216+N216)))</x:f>
        <x:v>1.6653345369377348e-16</x:v>
      </x:c>
      <x:c r="AF216" s="30" t="n">
        <x:f>IF(C216="","",IFERROR(INDEX('Facilities'!$S$9:$S$108,MATCH(C216,'Facilities'!$C$9:$C$108,0))*'Scenario Paths'!H75,"Unavailable"))</x:f>
        <x:v>1.2</x:v>
      </x:c>
      <x:c r="AG216" s="23" t="n">
        <x:f>IF(C216="","",IF(AQ216&lt;&gt;"Ready","Unavailable",IF(C216="","",IF(H216&gt;0,MAX(0,H216-AK216)*((1+INDEX('Facilities'!$K$9:$K$108,MATCH(C216,'Facilities'!$C$9:$C$108,0)))^MIN(1,MAX(0,AC216+INDEX('Facilities'!$AK$9:$AK$108,MATCH(C216,'Facilities'!$C$9:$C$108,0))-D216+1))-1),0))))</x:f>
        <x:v>0</x:v>
      </x:c>
      <x:c r="AH216" s="21" t="n">
        <x:f>IF(C216="","",IF(AQ216&lt;&gt;"Ready","Unavailable",IF(C216="","",O216+P216)))</x:f>
        <x:v>2.5375756</x:v>
      </x:c>
      <x:c r="AI216" s="21" t="n">
        <x:f>IF(C216="","",IF(AQ216&lt;&gt;"Ready","Unavailable",IF(C216="","",Z216-Y216)))</x:f>
        <x:v>0.06633550922962639</x:v>
      </x:c>
      <x:c r="AJ216" s="23" t="n">
        <x:f>IF(C216="","",IFERROR(MAX(0,INDEX('Facilities'!$J$9:$J$108,MATCH(C216,'Facilities'!$C$9:$C$108,0))-D216),"Unavailable"))</x:f>
        <x:v>5</x:v>
      </x:c>
      <x:c r="AK216" s="21" t="n">
        <x:f>IF(C216="","",IFERROR(AL116,"Unavailable"))</x:f>
        <x:v>0</x:v>
      </x:c>
      <x:c r="AL216" s="23" t="n">
        <x:f>IF(C216="","",IFERROR(IF(P216&gt;0,P216*(1-AM216/(1+INDEX('Facilities'!$K$9:$K$108,MATCH(C216,'Facilities'!$C$9:$C$108,0)))^MAX(0,AC216+INDEX('Facilities'!$AK$9:$AK$108,MATCH(C216,'Facilities'!$C$9:$C$108,0))-D216)),0),"Unavailable"))</x:f>
        <x:v>0</x:v>
      </x:c>
      <x:c r="AM216" s="30" t="n">
        <x:f>IF(C216="","",IFERROR(INDEX('Facilities'!$AL$9:$AL$108,MATCH(C216,'Facilities'!$C$9:$C$108,0)),"Unavailable"))</x:f>
        <x:v>0.55</x:v>
      </x:c>
      <x:c r="AN216" s="30" t="n">
        <x:f>IF(C216="","",IFERROR(INDEX(Credit!$T$209:$T$308,MATCH(F216,Credit!$C$209:$C$308,0)),"Unavailable"))</x:f>
        <x:v>0.003136</x:v>
      </x:c>
      <x:c r="AO216" s="23" t="n">
        <x:f>IF(C216="","",IF(AQ216&lt;&gt;"Ready","Unavailable",IF(C216="","",O216+P216+Q216*INDEX('Facilities'!$I$9:$I$108,MATCH(C216,'Facilities'!$C$9:$C$108,0)))))</x:f>
        <x:v>2.7233006</x:v>
      </x:c>
      <x:c r="AP216" s="21" t="n">
        <x:f>IF(C216="","",IF(AQ216&lt;&gt;"Ready","Unavailable",IF(C216="","",AH216-U216)))</x:f>
        <x:v>2.3178017895165794</x:v>
      </x:c>
      <x:c r="AQ216" s="23" t="str">
        <x:f>IFERROR(IF(C216="","",IF(AND(INDEX('Facilities'!$AF$9:$AF$108,MATCH(C216,'Facilities'!$C$9:$C$108,0))="Ready",INDEX(Credit!$U$209:$U$308,MATCH(F216,Credit!$C$209:$C$308,0))="Ready",ISNUMBER(W216)),"Ready","Review inputs")),"Review inputs")</x:f>
        <x:v>Ready</x:v>
      </x:c>
      <x:c r="AR216" s="23" t="n">
        <x:f>IF(C216="","",IF(AQ216&lt;&gt;"Ready","Unavailable",IF(C216="","",IF(O216=0,0,(IF(AJ216&lt;=1,O216,O216*INDEX('Facilities'!$R$9:$R$108,MATCH(C216,'Facilities'!$C$9:$C$108,0)))+O216*INDEX('Facilities'!$T$9:$T$108,MATCH(C216,'Facilities'!$C$9:$C$108,0)))/12))))</x:f>
        <x:v>0.045464896166666664</x:v>
      </x:c>
    </x:row>
    <x:row r="217" ht="26" customHeight="1">
      <x:c r="A217" s="1"/>
      <x:c r="B217" s="1"/>
      <x:c r="C217" s="9" t="str">
        <x:f>IF(Facilities!C17="","",Facilities!C17)</x:f>
        <x:v>F009</x:v>
      </x:c>
      <x:c r="D217" s="3" t="n">
        <x:v>3</x:v>
      </x:c>
      <x:c r="E217" s="9" t="n">
        <x:f>Settings!$F$18+2</x:f>
        <x:v>2029</x:v>
      </x:c>
      <x:c r="F217" s="9" t="str">
        <x:f>IF(C217="","",IFERROR(INDEX('Facilities'!$D$9:$D$108,MATCH(C217,'Facilities'!$C$9:$C$108,0)),"Unavailable"))</x:f>
        <x:v>B005</x:v>
      </x:c>
      <x:c r="G217" s="21" t="n">
        <x:f>IF(C217="","",IFERROR(O117,"Unavailable"))</x:f>
        <x:v>5.13616</x:v>
      </x:c>
      <x:c r="H217" s="21" t="n">
        <x:f>IF(C217="","",IFERROR(P117,"Unavailable"))</x:f>
        <x:v>0</x:v>
      </x:c>
      <x:c r="I217" s="21" t="n">
        <x:f>IF(C217="","",IFERROR(Q117,"Unavailable"))</x:f>
        <x:v>1.311</x:v>
      </x:c>
      <x:c r="J217" s="23" t="n">
        <x:f>IF(C217="","",IFERROR(IF(OR(H217&gt;0,AND(AC217&gt;=0,AC217&lt;D217),D217&gt;INDEX('Facilities'!$J$9:$J$108,MATCH(C217,'Facilities'!$C$9:$C$108,0))),0,I217*'Scenario Paths'!H81),"Unavailable"))</x:f>
        <x:v>0.19665</x:v>
      </x:c>
      <x:c r="K217" s="23" t="n">
        <x:f>IF(C217="","",IFERROR(IF(OR(H217&gt;0,AND(AC217&gt;=0,AC217=D217)),0,IF(D217&gt;=INDEX('Facilities'!$J$9:$J$108,MATCH(C217,'Facilities'!$C$9:$C$108,0)),G217+J217,MIN(G217+J217,G217*INDEX('Facilities'!$R$9:$R$108,MATCH(C217,'Facilities'!$C$9:$C$108,0))))),"Unavailable"))</x:f>
        <x:v>0.6163392</x:v>
      </x:c>
      <x:c r="L217" s="21" t="n">
        <x:f>IF(C217="","",IFERROR(IF(AND(AC217=D217,AC217&gt;0),MAX(0,G217+J217-K217),0),"Unavailable"))</x:f>
        <x:v>0</x:v>
      </x:c>
      <x:c r="M217" s="23" t="n">
        <x:f>IF(C217="","",IFERROR(IF(AND(AC217&gt;=0,D217&gt;=AC217+INDEX('Facilities'!$AK$9:$AK$108,MATCH(C217,'Facilities'!$C$9:$C$108,0))),(H217+L217)*AM217,0),"Unavailable"))</x:f>
        <x:v>0</x:v>
      </x:c>
      <x:c r="N217" s="23" t="n">
        <x:f>IF(C217="","",IFERROR(IF(AND(AC217&gt;=0,D217&gt;=AC217+INDEX('Facilities'!$AK$9:$AK$108,MATCH(C217,'Facilities'!$C$9:$C$108,0))),H217+L217-M217,0),"Unavailable"))</x:f>
        <x:v>0</x:v>
      </x:c>
      <x:c r="O217" s="21" t="n">
        <x:f>IF(C217="","",IFERROR(MAX(0,G217+J217-K217-L217),"Unavailable"))</x:f>
        <x:v>4.716470800000001</x:v>
      </x:c>
      <x:c r="P217" s="21" t="n">
        <x:f>IF(C217="","",IFERROR(MAX(0,H217+L217-M217-N217),"Unavailable"))</x:f>
        <x:v>0</x:v>
      </x:c>
      <x:c r="Q217" s="23" t="n">
        <x:f>IF(C217="","",IFERROR(IF(OR(D217&gt;=INDEX('Facilities'!$J$9:$J$108,MATCH(C217,'Facilities'!$C$9:$C$108,0)),AND(AC217&gt;=0,AC217&lt;=D217)),0,MAX(0,I217-J217)),"Unavailable"))</x:f>
        <x:v>1.11435</x:v>
      </x:c>
      <x:c r="R217" s="30" t="n">
        <x:f>IF(C217="","",IFERROR(INDEX(Credit!$Q$209:$Q$308,MATCH(F217,Credit!$C$209:$C$308,0)),"Unavailable"))</x:f>
        <x:v>0.0771736101220639</x:v>
      </x:c>
      <x:c r="S217" s="30" t="n">
        <x:f>IF(C217="","",IFERROR(INDEX(Credit!$R$209:$R$308,MATCH(F217,Credit!$C$209:$C$308,0)),"Unavailable"))</x:f>
        <x:v>0.44304640000000006</x:v>
      </x:c>
      <x:c r="T217" s="23" t="n">
        <x:f>IF(C217="","",IFERROR(IF(P217&gt;0,3,IF(OR(INDEX('Facilities'!$AD$9:$AD$108,MATCH(C217,'Facilities'!$C$9:$C$108,0))=2,AND(R217&gt;=INDEX('Facilities'!$L$9:$L$108,MATCH(C217,'Facilities'!$C$9:$C$108,0))*Settings!$F$19,R217-INDEX('Facilities'!$L$9:$L$108,MATCH(C217,'Facilities'!$C$9:$C$108,0))&gt;=Settings!$F$20)),2,1)),"Unavailable"))</x:f>
        <x:v>2</x:v>
      </x:c>
      <x:c r="U217" s="23" t="n">
        <x:f>IF(C217="","",IF(AQ217&lt;&gt;"Ready","Unavailable",IF(C217="","",O217*(1-(1-S217)/(1+INDEX('Facilities'!$K$9:$K$108,MATCH(C217,'Facilities'!$C$9:$C$108,0)))^INDEX('Facilities'!$AK$9:$AK$108,MATCH(C217,'Facilities'!$C$9:$C$108,0)))*R217/(1+INDEX('Facilities'!$K$9:$K$108,MATCH(C217,'Facilities'!$C$9:$C$108,0)))*IF(ABS(1-(1-R217)*(1-INDEX('Facilities'!$R$9:$R$108,MATCH(C217,'Facilities'!$C$9:$C$108,0)))/(1+INDEX('Facilities'!$K$9:$K$108,MATCH(C217,'Facilities'!$C$9:$C$108,0))))&lt;0.000000001,IF(T217=1,MIN(1,AJ217),AJ217),(1-((1-R217)*(1-INDEX('Facilities'!$R$9:$R$108,MATCH(C217,'Facilities'!$C$9:$C$108,0)))/(1+INDEX('Facilities'!$K$9:$K$108,MATCH(C217,'Facilities'!$C$9:$C$108,0))))^IF(T217=1,MIN(1,AJ217),AJ217))/(1-(1-R217)*(1-INDEX('Facilities'!$R$9:$R$108,MATCH(C217,'Facilities'!$C$9:$C$108,0)))/(1+INDEX('Facilities'!$K$9:$K$108,MATCH(C217,'Facilities'!$C$9:$C$108,0)))))+AL217)))</x:f>
        <x:v>0.5815647152279998</x:v>
      </x:c>
      <x:c r="V217" s="23" t="n">
        <x:f>IF(C217="","",IF(AQ217&lt;&gt;"Ready","Unavailable",IF(C217="","",Q217*INDEX('Facilities'!$I$9:$I$108,MATCH(C217,'Facilities'!$C$9:$C$108,0))*(1-(1-S217)/(1+INDEX('Facilities'!$K$9:$K$108,MATCH(C217,'Facilities'!$C$9:$C$108,0)))^INDEX('Facilities'!$AK$9:$AK$108,MATCH(C217,'Facilities'!$C$9:$C$108,0)))*R217/(1+INDEX('Facilities'!$K$9:$K$108,MATCH(C217,'Facilities'!$C$9:$C$108,0)))*IF(ABS(1-(1-R217)*(1-0)/(1+INDEX('Facilities'!$K$9:$K$108,MATCH(C217,'Facilities'!$C$9:$C$108,0))))&lt;0.000000001,IF(T217=1,MIN(1,AJ217),AJ217),(1-((1-R217)*(1-0)/(1+INDEX('Facilities'!$K$9:$K$108,MATCH(C217,'Facilities'!$C$9:$C$108,0))))^IF(T217=1,MIN(1,AJ217),AJ217))/(1-(1-R217)*(1-0)/(1+INDEX('Facilities'!$K$9:$K$108,MATCH(C217,'Facilities'!$C$9:$C$108,0))))))))</x:f>
        <x:v>0.08731017700017646</x:v>
      </x:c>
      <x:c r="W217" s="21" t="n">
        <x:f>IF(C217="","",IFERROR(U117,"Unavailable"))</x:f>
        <x:v>0.4317794595154476</x:v>
      </x:c>
      <x:c r="X217" s="21" t="n">
        <x:f>IF(C217="","",IFERROR(V117,"Unavailable"))</x:f>
        <x:v>0.07364047169607887</x:v>
      </x:c>
      <x:c r="Y217" s="21" t="n">
        <x:f>IF(C217="","",IF(AQ217&lt;&gt;"Ready","Unavailable",IF(C217="","",U217-W217+V217-X217+N217+AG217)))</x:f>
        <x:v>0.16345496101664977</x:v>
      </x:c>
      <x:c r="Z217" s="23" t="n">
        <x:f>IF(C217="","",IF(AQ217&lt;&gt;"Ready","Unavailable",IF(C217="","",(G217+O217+L217)/2*INDEX('Facilities'!$T$9:$T$108,MATCH(C217,'Facilities'!$C$9:$C$108,0))+AG217)))</x:f>
        <x:v>0.467999963</x:v>
      </x:c>
      <x:c r="AA217" s="23" t="n">
        <x:f>IF(C217="","",IF(AQ217&lt;&gt;"Ready","Unavailable",IF(C217="","",O217*(1-IF(INDEX('Facilities'!$AA$9:$AA$108,MATCH(C217,'Facilities'!$C$9:$C$108,0))=0,0,MIN(1,INDEX('Facilities'!$X$9:$X$108,MATCH(C217,'Facilities'!$C$9:$C$108,0))/INDEX('Facilities'!$AA$9:$AA$108,MATCH(C217,'Facilities'!$C$9:$C$108,0)))))*AF217+P217*(1-IF(INDEX('Facilities'!$AA$9:$AA$108,MATCH(C217,'Facilities'!$C$9:$C$108,0))=0,0,MIN(1,INDEX('Facilities'!$X$9:$X$108,MATCH(C217,'Facilities'!$C$9:$C$108,0))/INDEX('Facilities'!$AA$9:$AA$108,MATCH(C217,'Facilities'!$C$9:$C$108,0)))))*INDEX('Facilities'!$AJ$9:$AJ$108,MATCH(C217,'Facilities'!$C$9:$C$108,0))+Q217*INDEX('Facilities'!$AI$9:$AI$108,MATCH(C217,'Facilities'!$C$9:$C$108,0))*AF217)))</x:f>
        <x:v>6.1490736060672</x:v>
      </x:c>
      <x:c r="AB217" s="21" t="n">
        <x:f>IF(C217="","",O217+P217-AD217)</x:f>
        <x:v>-0.41968919999999965</x:v>
      </x:c>
      <x:c r="AC217" s="23" t="n">
        <x:f>IF(C217="","",IFERROR(IF(INDEX('Facilities'!$AD$9:$AD$108,MATCH(C217,'Facilities'!$C$9:$C$108,0))=3,0,IF(INDEX('Facilities'!$AN$9:$AN$108,MATCH(C217,'Facilities'!$C$9:$C$108,0))=0,-1,INDEX('Facilities'!$AN$9:$AN$108,MATCH(C217,'Facilities'!$C$9:$C$108,0)))),"Unavailable"))</x:f>
        <x:v>-1</x:v>
      </x:c>
      <x:c r="AD217" s="21" t="n">
        <x:f>IF(C217="","",IFERROR(G217+H217,"Unavailable"))</x:f>
        <x:v>5.13616</x:v>
      </x:c>
      <x:c r="AE217" s="21" t="n">
        <x:f>IF(C217="","",IF(AQ217&lt;&gt;"Ready","Unavailable",IF(C217="","",O217+P217-AD217-J217+K217+M217+N217)))</x:f>
        <x:v>3.3306690738754696e-16</x:v>
      </x:c>
      <x:c r="AF217" s="30" t="n">
        <x:f>IF(C217="","",IFERROR(INDEX('Facilities'!$S$9:$S$108,MATCH(C217,'Facilities'!$C$9:$C$108,0))*'Scenario Paths'!H75,"Unavailable"))</x:f>
        <x:v>1.2</x:v>
      </x:c>
      <x:c r="AG217" s="23" t="n">
        <x:f>IF(C217="","",IF(AQ217&lt;&gt;"Ready","Unavailable",IF(C217="","",IF(H217&gt;0,MAX(0,H217-AK217)*((1+INDEX('Facilities'!$K$9:$K$108,MATCH(C217,'Facilities'!$C$9:$C$108,0)))^MIN(1,MAX(0,AC217+INDEX('Facilities'!$AK$9:$AK$108,MATCH(C217,'Facilities'!$C$9:$C$108,0))-D217+1))-1),0))))</x:f>
        <x:v>0</x:v>
      </x:c>
      <x:c r="AH217" s="21" t="n">
        <x:f>IF(C217="","",IF(AQ217&lt;&gt;"Ready","Unavailable",IF(C217="","",O217+P217)))</x:f>
        <x:v>4.716470800000001</x:v>
      </x:c>
      <x:c r="AI217" s="21" t="n">
        <x:f>IF(C217="","",IF(AQ217&lt;&gt;"Ready","Unavailable",IF(C217="","",Z217-Y217)))</x:f>
        <x:v>0.3045450019833502</x:v>
      </x:c>
      <x:c r="AJ217" s="23" t="n">
        <x:f>IF(C217="","",IFERROR(MAX(0,INDEX('Facilities'!$J$9:$J$108,MATCH(C217,'Facilities'!$C$9:$C$108,0))-D217),"Unavailable"))</x:f>
        <x:v>6</x:v>
      </x:c>
      <x:c r="AK217" s="21" t="n">
        <x:f>IF(C217="","",IFERROR(AL117,"Unavailable"))</x:f>
        <x:v>0</x:v>
      </x:c>
      <x:c r="AL217" s="23" t="n">
        <x:f>IF(C217="","",IFERROR(IF(P217&gt;0,P217*(1-AM217/(1+INDEX('Facilities'!$K$9:$K$108,MATCH(C217,'Facilities'!$C$9:$C$108,0)))^MAX(0,AC217+INDEX('Facilities'!$AK$9:$AK$108,MATCH(C217,'Facilities'!$C$9:$C$108,0))-D217)),0),"Unavailable"))</x:f>
        <x:v>0</x:v>
      </x:c>
      <x:c r="AM217" s="30" t="n">
        <x:f>IF(C217="","",IFERROR(INDEX('Facilities'!$AL$9:$AL$108,MATCH(C217,'Facilities'!$C$9:$C$108,0)),"Unavailable"))</x:f>
        <x:v>0.55</x:v>
      </x:c>
      <x:c r="AN217" s="30" t="n">
        <x:f>IF(C217="","",IFERROR(INDEX(Credit!$T$209:$T$308,MATCH(F217,Credit!$C$209:$C$308,0)),"Unavailable"))</x:f>
        <x:v>0.00544</x:v>
      </x:c>
      <x:c r="AO217" s="23" t="n">
        <x:f>IF(C217="","",IF(AQ217&lt;&gt;"Ready","Unavailable",IF(C217="","",O217+P217+Q217*INDEX('Facilities'!$I$9:$I$108,MATCH(C217,'Facilities'!$C$9:$C$108,0)))))</x:f>
        <x:v>5.273645800000001</x:v>
      </x:c>
      <x:c r="AP217" s="21" t="n">
        <x:f>IF(C217="","",IF(AQ217&lt;&gt;"Ready","Unavailable",IF(C217="","",AH217-U217)))</x:f>
        <x:v>4.134906084772001</x:v>
      </x:c>
      <x:c r="AQ217" s="23" t="str">
        <x:f>IFERROR(IF(C217="","",IF(AND(INDEX('Facilities'!$AF$9:$AF$108,MATCH(C217,'Facilities'!$C$9:$C$108,0))="Ready",INDEX(Credit!$U$209:$U$308,MATCH(F217,Credit!$C$209:$C$308,0))="Ready",ISNUMBER(W217)),"Ready","Review inputs")),"Review inputs")</x:f>
        <x:v>Ready</x:v>
      </x:c>
      <x:c r="AR217" s="23" t="n">
        <x:f>IF(C217="","",IF(AQ217&lt;&gt;"Ready","Unavailable",IF(C217="","",IF(O217=0,0,(IF(AJ217&lt;=1,O217,O217*INDEX('Facilities'!$R$9:$R$108,MATCH(C217,'Facilities'!$C$9:$C$108,0)))+O217*INDEX('Facilities'!$T$9:$T$108,MATCH(C217,'Facilities'!$C$9:$C$108,0)))/12))))</x:f>
        <x:v>0.08450343516666668</x:v>
      </x:c>
    </x:row>
    <x:row r="218" ht="26" customHeight="1">
      <x:c r="A218" s="1"/>
      <x:c r="B218" s="1"/>
      <x:c r="C218" s="9" t="str">
        <x:f>IF(Facilities!C18="","",Facilities!C18)</x:f>
        <x:v>F010</x:v>
      </x:c>
      <x:c r="D218" s="3" t="n">
        <x:v>3</x:v>
      </x:c>
      <x:c r="E218" s="9" t="n">
        <x:f>Settings!$F$18+2</x:f>
        <x:v>2029</x:v>
      </x:c>
      <x:c r="F218" s="9" t="str">
        <x:f>IF(C218="","",IFERROR(INDEX('Facilities'!$D$9:$D$108,MATCH(C218,'Facilities'!$C$9:$C$108,0)),"Unavailable"))</x:f>
        <x:v>B005</x:v>
      </x:c>
      <x:c r="G218" s="21" t="n">
        <x:f>IF(C218="","",IFERROR(O118,"Unavailable"))</x:f>
        <x:v>3.08016</x:v>
      </x:c>
      <x:c r="H218" s="21" t="n">
        <x:f>IF(C218="","",IFERROR(P118,"Unavailable"))</x:f>
        <x:v>0</x:v>
      </x:c>
      <x:c r="I218" s="21" t="n">
        <x:f>IF(C218="","",IFERROR(Q118,"Unavailable"))</x:f>
        <x:v>0.437</x:v>
      </x:c>
      <x:c r="J218" s="23" t="n">
        <x:f>IF(C218="","",IFERROR(IF(OR(H218&gt;0,AND(AC218&gt;=0,AC218&lt;D218),D218&gt;INDEX('Facilities'!$J$9:$J$108,MATCH(C218,'Facilities'!$C$9:$C$108,0))),0,I218*'Scenario Paths'!H81),"Unavailable"))</x:f>
        <x:v>0.06555</x:v>
      </x:c>
      <x:c r="K218" s="23" t="n">
        <x:f>IF(C218="","",IFERROR(IF(OR(H218&gt;0,AND(AC218&gt;=0,AC218=D218)),0,IF(D218&gt;=INDEX('Facilities'!$J$9:$J$108,MATCH(C218,'Facilities'!$C$9:$C$108,0)),G218+J218,MIN(G218+J218,G218*INDEX('Facilities'!$R$9:$R$108,MATCH(C218,'Facilities'!$C$9:$C$108,0))))),"Unavailable"))</x:f>
        <x:v>0.3696192</x:v>
      </x:c>
      <x:c r="L218" s="21" t="n">
        <x:f>IF(C218="","",IFERROR(IF(AND(AC218=D218,AC218&gt;0),MAX(0,G218+J218-K218),0),"Unavailable"))</x:f>
        <x:v>0</x:v>
      </x:c>
      <x:c r="M218" s="23" t="n">
        <x:f>IF(C218="","",IFERROR(IF(AND(AC218&gt;=0,D218&gt;=AC218+INDEX('Facilities'!$AK$9:$AK$108,MATCH(C218,'Facilities'!$C$9:$C$108,0))),(H218+L218)*AM218,0),"Unavailable"))</x:f>
        <x:v>0</x:v>
      </x:c>
      <x:c r="N218" s="23" t="n">
        <x:f>IF(C218="","",IFERROR(IF(AND(AC218&gt;=0,D218&gt;=AC218+INDEX('Facilities'!$AK$9:$AK$108,MATCH(C218,'Facilities'!$C$9:$C$108,0))),H218+L218-M218,0),"Unavailable"))</x:f>
        <x:v>0</x:v>
      </x:c>
      <x:c r="O218" s="21" t="n">
        <x:f>IF(C218="","",IFERROR(MAX(0,G218+J218-K218-L218),"Unavailable"))</x:f>
        <x:v>2.7760908</x:v>
      </x:c>
      <x:c r="P218" s="21" t="n">
        <x:f>IF(C218="","",IFERROR(MAX(0,H218+L218-M218-N218),"Unavailable"))</x:f>
        <x:v>0</x:v>
      </x:c>
      <x:c r="Q218" s="23" t="n">
        <x:f>IF(C218="","",IFERROR(IF(OR(D218&gt;=INDEX('Facilities'!$J$9:$J$108,MATCH(C218,'Facilities'!$C$9:$C$108,0)),AND(AC218&gt;=0,AC218&lt;=D218)),0,MAX(0,I218-J218)),"Unavailable"))</x:f>
        <x:v>0.37145</x:v>
      </x:c>
      <x:c r="R218" s="30" t="n">
        <x:f>IF(C218="","",IFERROR(INDEX(Credit!$Q$209:$Q$308,MATCH(F218,Credit!$C$209:$C$308,0)),"Unavailable"))</x:f>
        <x:v>0.0771736101220639</x:v>
      </x:c>
      <x:c r="S218" s="30" t="n">
        <x:f>IF(C218="","",IFERROR(INDEX(Credit!$R$209:$R$308,MATCH(F218,Credit!$C$209:$C$308,0)),"Unavailable"))</x:f>
        <x:v>0.44304640000000006</x:v>
      </x:c>
      <x:c r="T218" s="23" t="n">
        <x:f>IF(C218="","",IFERROR(IF(P218&gt;0,3,IF(OR(INDEX('Facilities'!$AD$9:$AD$108,MATCH(C218,'Facilities'!$C$9:$C$108,0))=2,AND(R218&gt;=INDEX('Facilities'!$L$9:$L$108,MATCH(C218,'Facilities'!$C$9:$C$108,0))*Settings!$F$19,R218-INDEX('Facilities'!$L$9:$L$108,MATCH(C218,'Facilities'!$C$9:$C$108,0))&gt;=Settings!$F$20)),2,1)),"Unavailable"))</x:f>
        <x:v>2</x:v>
      </x:c>
      <x:c r="U218" s="23" t="n">
        <x:f>IF(C218="","",IF(AQ218&lt;&gt;"Ready","Unavailable",IF(C218="","",O218*(1-(1-S218)/(1+INDEX('Facilities'!$K$9:$K$108,MATCH(C218,'Facilities'!$C$9:$C$108,0)))^INDEX('Facilities'!$AK$9:$AK$108,MATCH(C218,'Facilities'!$C$9:$C$108,0)))*R218/(1+INDEX('Facilities'!$K$9:$K$108,MATCH(C218,'Facilities'!$C$9:$C$108,0)))*IF(ABS(1-(1-R218)*(1-INDEX('Facilities'!$R$9:$R$108,MATCH(C218,'Facilities'!$C$9:$C$108,0)))/(1+INDEX('Facilities'!$K$9:$K$108,MATCH(C218,'Facilities'!$C$9:$C$108,0))))&lt;0.000000001,IF(T218=1,MIN(1,AJ218),AJ218),(1-((1-R218)*(1-INDEX('Facilities'!$R$9:$R$108,MATCH(C218,'Facilities'!$C$9:$C$108,0)))/(1+INDEX('Facilities'!$K$9:$K$108,MATCH(C218,'Facilities'!$C$9:$C$108,0))))^IF(T218=1,MIN(1,AJ218),AJ218))/(1-(1-R218)*(1-INDEX('Facilities'!$R$9:$R$108,MATCH(C218,'Facilities'!$C$9:$C$108,0)))/(1+INDEX('Facilities'!$K$9:$K$108,MATCH(C218,'Facilities'!$C$9:$C$108,0)))))+AL218)))</x:f>
        <x:v>0.34230604280409627</x:v>
      </x:c>
      <x:c r="V218" s="23" t="n">
        <x:f>IF(C218="","",IF(AQ218&lt;&gt;"Ready","Unavailable",IF(C218="","",Q218*INDEX('Facilities'!$I$9:$I$108,MATCH(C218,'Facilities'!$C$9:$C$108,0))*(1-(1-S218)/(1+INDEX('Facilities'!$K$9:$K$108,MATCH(C218,'Facilities'!$C$9:$C$108,0)))^INDEX('Facilities'!$AK$9:$AK$108,MATCH(C218,'Facilities'!$C$9:$C$108,0)))*R218/(1+INDEX('Facilities'!$K$9:$K$108,MATCH(C218,'Facilities'!$C$9:$C$108,0)))*IF(ABS(1-(1-R218)*(1-0)/(1+INDEX('Facilities'!$K$9:$K$108,MATCH(C218,'Facilities'!$C$9:$C$108,0))))&lt;0.000000001,IF(T218=1,MIN(1,AJ218),AJ218),(1-((1-R218)*(1-0)/(1+INDEX('Facilities'!$K$9:$K$108,MATCH(C218,'Facilities'!$C$9:$C$108,0))))^IF(T218=1,MIN(1,AJ218),AJ218))/(1-(1-R218)*(1-0)/(1+INDEX('Facilities'!$K$9:$K$108,MATCH(C218,'Facilities'!$C$9:$C$108,0))))))))</x:f>
        <x:v>0.029103392333392153</x:v>
      </x:c>
      <x:c r="W218" s="21" t="n">
        <x:f>IF(C218="","",IFERROR(U118,"Unavailable"))</x:f>
        <x:v>0.25893854942624467</x:v>
      </x:c>
      <x:c r="X218" s="21" t="n">
        <x:f>IF(C218="","",IFERROR(V118,"Unavailable"))</x:f>
        <x:v>0.024546823898692956</x:v>
      </x:c>
      <x:c r="Y218" s="21" t="n">
        <x:f>IF(C218="","",IF(AQ218&lt;&gt;"Ready","Unavailable",IF(C218="","",U218-W218+V218-X218+N218+AG218)))</x:f>
        <x:v>0.0879240618125508</x:v>
      </x:c>
      <x:c r="Z218" s="23" t="n">
        <x:f>IF(C218="","",IF(AQ218&lt;&gt;"Ready","Unavailable",IF(C218="","",(G218+O218+L218)/2*INDEX('Facilities'!$T$9:$T$108,MATCH(C218,'Facilities'!$C$9:$C$108,0))+AG218)))</x:f>
        <x:v>0.278171913</x:v>
      </x:c>
      <x:c r="AA218" s="23" t="n">
        <x:f>IF(C218="","",IF(AQ218&lt;&gt;"Ready","Unavailable",IF(C218="","",O218*(1-IF(INDEX('Facilities'!$AA$9:$AA$108,MATCH(C218,'Facilities'!$C$9:$C$108,0))=0,0,MIN(1,INDEX('Facilities'!$X$9:$X$108,MATCH(C218,'Facilities'!$C$9:$C$108,0))/INDEX('Facilities'!$AA$9:$AA$108,MATCH(C218,'Facilities'!$C$9:$C$108,0)))))*AF218+P218*(1-IF(INDEX('Facilities'!$AA$9:$AA$108,MATCH(C218,'Facilities'!$C$9:$C$108,0))=0,0,MIN(1,INDEX('Facilities'!$X$9:$X$108,MATCH(C218,'Facilities'!$C$9:$C$108,0))/INDEX('Facilities'!$AA$9:$AA$108,MATCH(C218,'Facilities'!$C$9:$C$108,0)))))*INDEX('Facilities'!$AJ$9:$AJ$108,MATCH(C218,'Facilities'!$C$9:$C$108,0))+Q218*INDEX('Facilities'!$AI$9:$AI$108,MATCH(C218,'Facilities'!$C$9:$C$108,0))*AF218)))</x:f>
        <x:v>3.4486430921471993</x:v>
      </x:c>
      <x:c r="AB218" s="21" t="n">
        <x:f>IF(C218="","",O218+P218-AD218)</x:f>
        <x:v>-0.3040691999999998</x:v>
      </x:c>
      <x:c r="AC218" s="23" t="n">
        <x:f>IF(C218="","",IFERROR(IF(INDEX('Facilities'!$AD$9:$AD$108,MATCH(C218,'Facilities'!$C$9:$C$108,0))=3,0,IF(INDEX('Facilities'!$AN$9:$AN$108,MATCH(C218,'Facilities'!$C$9:$C$108,0))=0,-1,INDEX('Facilities'!$AN$9:$AN$108,MATCH(C218,'Facilities'!$C$9:$C$108,0)))),"Unavailable"))</x:f>
        <x:v>-1</x:v>
      </x:c>
      <x:c r="AD218" s="21" t="n">
        <x:f>IF(C218="","",IFERROR(G218+H218,"Unavailable"))</x:f>
        <x:v>3.08016</x:v>
      </x:c>
      <x:c r="AE218" s="21" t="n">
        <x:f>IF(C218="","",IF(AQ218&lt;&gt;"Ready","Unavailable",IF(C218="","",O218+P218-AD218-J218+K218+M218+N218)))</x:f>
        <x:v>1.6653345369377348e-16</x:v>
      </x:c>
      <x:c r="AF218" s="30" t="n">
        <x:f>IF(C218="","",IFERROR(INDEX('Facilities'!$S$9:$S$108,MATCH(C218,'Facilities'!$C$9:$C$108,0))*'Scenario Paths'!H75,"Unavailable"))</x:f>
        <x:v>1.2</x:v>
      </x:c>
      <x:c r="AG218" s="23" t="n">
        <x:f>IF(C218="","",IF(AQ218&lt;&gt;"Ready","Unavailable",IF(C218="","",IF(H218&gt;0,MAX(0,H218-AK218)*((1+INDEX('Facilities'!$K$9:$K$108,MATCH(C218,'Facilities'!$C$9:$C$108,0)))^MIN(1,MAX(0,AC218+INDEX('Facilities'!$AK$9:$AK$108,MATCH(C218,'Facilities'!$C$9:$C$108,0))-D218+1))-1),0))))</x:f>
        <x:v>0</x:v>
      </x:c>
      <x:c r="AH218" s="21" t="n">
        <x:f>IF(C218="","",IF(AQ218&lt;&gt;"Ready","Unavailable",IF(C218="","",O218+P218)))</x:f>
        <x:v>2.7760908</x:v>
      </x:c>
      <x:c r="AI218" s="21" t="n">
        <x:f>IF(C218="","",IF(AQ218&lt;&gt;"Ready","Unavailable",IF(C218="","",Z218-Y218)))</x:f>
        <x:v>0.1902478511874492</x:v>
      </x:c>
      <x:c r="AJ218" s="23" t="n">
        <x:f>IF(C218="","",IFERROR(MAX(0,INDEX('Facilities'!$J$9:$J$108,MATCH(C218,'Facilities'!$C$9:$C$108,0))-D218),"Unavailable"))</x:f>
        <x:v>6</x:v>
      </x:c>
      <x:c r="AK218" s="21" t="n">
        <x:f>IF(C218="","",IFERROR(AL118,"Unavailable"))</x:f>
        <x:v>0</x:v>
      </x:c>
      <x:c r="AL218" s="23" t="n">
        <x:f>IF(C218="","",IFERROR(IF(P218&gt;0,P218*(1-AM218/(1+INDEX('Facilities'!$K$9:$K$108,MATCH(C218,'Facilities'!$C$9:$C$108,0)))^MAX(0,AC218+INDEX('Facilities'!$AK$9:$AK$108,MATCH(C218,'Facilities'!$C$9:$C$108,0))-D218)),0),"Unavailable"))</x:f>
        <x:v>0</x:v>
      </x:c>
      <x:c r="AM218" s="30" t="n">
        <x:f>IF(C218="","",IFERROR(INDEX('Facilities'!$AL$9:$AL$108,MATCH(C218,'Facilities'!$C$9:$C$108,0)),"Unavailable"))</x:f>
        <x:v>0.55</x:v>
      </x:c>
      <x:c r="AN218" s="30" t="n">
        <x:f>IF(C218="","",IFERROR(INDEX(Credit!$T$209:$T$308,MATCH(F218,Credit!$C$209:$C$308,0)),"Unavailable"))</x:f>
        <x:v>0.00544</x:v>
      </x:c>
      <x:c r="AO218" s="23" t="n">
        <x:f>IF(C218="","",IF(AQ218&lt;&gt;"Ready","Unavailable",IF(C218="","",O218+P218+Q218*INDEX('Facilities'!$I$9:$I$108,MATCH(C218,'Facilities'!$C$9:$C$108,0)))))</x:f>
        <x:v>2.9618158</x:v>
      </x:c>
      <x:c r="AP218" s="21" t="n">
        <x:f>IF(C218="","",IF(AQ218&lt;&gt;"Ready","Unavailable",IF(C218="","",AH218-U218)))</x:f>
        <x:v>2.4337847571959035</x:v>
      </x:c>
      <x:c r="AQ218" s="23" t="str">
        <x:f>IFERROR(IF(C218="","",IF(AND(INDEX('Facilities'!$AF$9:$AF$108,MATCH(C218,'Facilities'!$C$9:$C$108,0))="Ready",INDEX(Credit!$U$209:$U$308,MATCH(F218,Credit!$C$209:$C$308,0))="Ready",ISNUMBER(W218)),"Ready","Review inputs")),"Review inputs")</x:f>
        <x:v>Ready</x:v>
      </x:c>
      <x:c r="AR218" s="23" t="n">
        <x:f>IF(C218="","",IF(AQ218&lt;&gt;"Ready","Unavailable",IF(C218="","",IF(O218=0,0,(IF(AJ218&lt;=1,O218,O218*INDEX('Facilities'!$R$9:$R$108,MATCH(C218,'Facilities'!$C$9:$C$108,0)))+O218*INDEX('Facilities'!$T$9:$T$108,MATCH(C218,'Facilities'!$C$9:$C$108,0)))/12))))</x:f>
        <x:v>0.0497382935</x:v>
      </x:c>
    </x:row>
    <x:row r="219" ht="26" customHeight="1">
      <x:c r="A219" s="1"/>
      <x:c r="B219" s="1"/>
      <x:c r="C219" s="9" t="str">
        <x:f>IF(Facilities!C19="","",Facilities!C19)</x:f>
        <x:v>F011</x:v>
      </x:c>
      <x:c r="D219" s="3" t="n">
        <x:v>3</x:v>
      </x:c>
      <x:c r="E219" s="9" t="n">
        <x:f>Settings!$F$18+2</x:f>
        <x:v>2029</x:v>
      </x:c>
      <x:c r="F219" s="9" t="str">
        <x:f>IF(C219="","",IFERROR(INDEX('Facilities'!$D$9:$D$108,MATCH(C219,'Facilities'!$C$9:$C$108,0)),"Unavailable"))</x:f>
        <x:v>B006</x:v>
      </x:c>
      <x:c r="G219" s="21" t="n">
        <x:f>IF(C219="","",IFERROR(O119,"Unavailable"))</x:f>
        <x:v>5.4072000000000005</x:v>
      </x:c>
      <x:c r="H219" s="21" t="n">
        <x:f>IF(C219="","",IFERROR(P119,"Unavailable"))</x:f>
        <x:v>0</x:v>
      </x:c>
      <x:c r="I219" s="21" t="n">
        <x:f>IF(C219="","",IFERROR(Q119,"Unavailable"))</x:f>
        <x:v>1.311</x:v>
      </x:c>
      <x:c r="J219" s="23" t="n">
        <x:f>IF(C219="","",IFERROR(IF(OR(H219&gt;0,AND(AC219&gt;=0,AC219&lt;D219),D219&gt;INDEX('Facilities'!$J$9:$J$108,MATCH(C219,'Facilities'!$C$9:$C$108,0))),0,I219*'Scenario Paths'!H81),"Unavailable"))</x:f>
        <x:v>0.19665</x:v>
      </x:c>
      <x:c r="K219" s="23" t="n">
        <x:f>IF(C219="","",IFERROR(IF(OR(H219&gt;0,AND(AC219&gt;=0,AC219=D219)),0,IF(D219&gt;=INDEX('Facilities'!$J$9:$J$108,MATCH(C219,'Facilities'!$C$9:$C$108,0)),G219+J219,MIN(G219+J219,G219*INDEX('Facilities'!$R$9:$R$108,MATCH(C219,'Facilities'!$C$9:$C$108,0))))),"Unavailable"))</x:f>
        <x:v>0.648864</x:v>
      </x:c>
      <x:c r="L219" s="21" t="n">
        <x:f>IF(C219="","",IFERROR(IF(AND(AC219=D219,AC219&gt;0),MAX(0,G219+J219-K219),0),"Unavailable"))</x:f>
        <x:v>0</x:v>
      </x:c>
      <x:c r="M219" s="23" t="n">
        <x:f>IF(C219="","",IFERROR(IF(AND(AC219&gt;=0,D219&gt;=AC219+INDEX('Facilities'!$AK$9:$AK$108,MATCH(C219,'Facilities'!$C$9:$C$108,0))),(H219+L219)*AM219,0),"Unavailable"))</x:f>
        <x:v>0</x:v>
      </x:c>
      <x:c r="N219" s="23" t="n">
        <x:f>IF(C219="","",IFERROR(IF(AND(AC219&gt;=0,D219&gt;=AC219+INDEX('Facilities'!$AK$9:$AK$108,MATCH(C219,'Facilities'!$C$9:$C$108,0))),H219+L219-M219,0),"Unavailable"))</x:f>
        <x:v>0</x:v>
      </x:c>
      <x:c r="O219" s="21" t="n">
        <x:f>IF(C219="","",IFERROR(MAX(0,G219+J219-K219-L219),"Unavailable"))</x:f>
        <x:v>4.954986000000001</x:v>
      </x:c>
      <x:c r="P219" s="21" t="n">
        <x:f>IF(C219="","",IFERROR(MAX(0,H219+L219-M219-N219),"Unavailable"))</x:f>
        <x:v>0</x:v>
      </x:c>
      <x:c r="Q219" s="23" t="n">
        <x:f>IF(C219="","",IFERROR(IF(OR(D219&gt;=INDEX('Facilities'!$J$9:$J$108,MATCH(C219,'Facilities'!$C$9:$C$108,0)),AND(AC219&gt;=0,AC219&lt;=D219)),0,MAX(0,I219-J219)),"Unavailable"))</x:f>
        <x:v>1.11435</x:v>
      </x:c>
      <x:c r="R219" s="30" t="n">
        <x:f>IF(C219="","",IFERROR(INDEX(Credit!$Q$209:$Q$308,MATCH(F219,Credit!$C$209:$C$308,0)),"Unavailable"))</x:f>
        <x:v>0.09038930368088093</x:v>
      </x:c>
      <x:c r="S219" s="30" t="n">
        <x:f>IF(C219="","",IFERROR(INDEX(Credit!$R$209:$R$308,MATCH(F219,Credit!$C$209:$C$308,0)),"Unavailable"))</x:f>
        <x:v>0.2814976</x:v>
      </x:c>
      <x:c r="T219" s="23" t="n">
        <x:f>IF(C219="","",IFERROR(IF(P219&gt;0,3,IF(OR(INDEX('Facilities'!$AD$9:$AD$108,MATCH(C219,'Facilities'!$C$9:$C$108,0))=2,AND(R219&gt;=INDEX('Facilities'!$L$9:$L$108,MATCH(C219,'Facilities'!$C$9:$C$108,0))*Settings!$F$19,R219-INDEX('Facilities'!$L$9:$L$108,MATCH(C219,'Facilities'!$C$9:$C$108,0))&gt;=Settings!$F$20)),2,1)),"Unavailable"))</x:f>
        <x:v>2</x:v>
      </x:c>
      <x:c r="U219" s="23" t="n">
        <x:f>IF(C219="","",IF(AQ219&lt;&gt;"Ready","Unavailable",IF(C219="","",O219*(1-(1-S219)/(1+INDEX('Facilities'!$K$9:$K$108,MATCH(C219,'Facilities'!$C$9:$C$108,0)))^INDEX('Facilities'!$AK$9:$AK$108,MATCH(C219,'Facilities'!$C$9:$C$108,0)))*R219/(1+INDEX('Facilities'!$K$9:$K$108,MATCH(C219,'Facilities'!$C$9:$C$108,0)))*IF(ABS(1-(1-R219)*(1-INDEX('Facilities'!$R$9:$R$108,MATCH(C219,'Facilities'!$C$9:$C$108,0)))/(1+INDEX('Facilities'!$K$9:$K$108,MATCH(C219,'Facilities'!$C$9:$C$108,0))))&lt;0.000000001,IF(T219=1,MIN(1,AJ219),AJ219),(1-((1-R219)*(1-INDEX('Facilities'!$R$9:$R$108,MATCH(C219,'Facilities'!$C$9:$C$108,0)))/(1+INDEX('Facilities'!$K$9:$K$108,MATCH(C219,'Facilities'!$C$9:$C$108,0))))^IF(T219=1,MIN(1,AJ219),AJ219))/(1-(1-R219)*(1-INDEX('Facilities'!$R$9:$R$108,MATCH(C219,'Facilities'!$C$9:$C$108,0)))/(1+INDEX('Facilities'!$K$9:$K$108,MATCH(C219,'Facilities'!$C$9:$C$108,0)))))+AL219)))</x:f>
        <x:v>0.27727242977888344</x:v>
      </x:c>
      <x:c r="V219" s="23" t="n">
        <x:f>IF(C219="","",IF(AQ219&lt;&gt;"Ready","Unavailable",IF(C219="","",Q219*INDEX('Facilities'!$I$9:$I$108,MATCH(C219,'Facilities'!$C$9:$C$108,0))*(1-(1-S219)/(1+INDEX('Facilities'!$K$9:$K$108,MATCH(C219,'Facilities'!$C$9:$C$108,0)))^INDEX('Facilities'!$AK$9:$AK$108,MATCH(C219,'Facilities'!$C$9:$C$108,0)))*R219/(1+INDEX('Facilities'!$K$9:$K$108,MATCH(C219,'Facilities'!$C$9:$C$108,0)))*IF(ABS(1-(1-R219)*(1-0)/(1+INDEX('Facilities'!$K$9:$K$108,MATCH(C219,'Facilities'!$C$9:$C$108,0))))&lt;0.000000001,IF(T219=1,MIN(1,AJ219),AJ219),(1-((1-R219)*(1-0)/(1+INDEX('Facilities'!$K$9:$K$108,MATCH(C219,'Facilities'!$C$9:$C$108,0))))^IF(T219=1,MIN(1,AJ219),AJ219))/(1-(1-R219)*(1-0)/(1+INDEX('Facilities'!$K$9:$K$108,MATCH(C219,'Facilities'!$C$9:$C$108,0))))))))</x:f>
        <x:v>0.03298834159176309</x:v>
      </x:c>
      <x:c r="W219" s="21" t="n">
        <x:f>IF(C219="","",IFERROR(U119,"Unavailable"))</x:f>
        <x:v>0.10566340833395449</x:v>
      </x:c>
      <x:c r="X219" s="21" t="n">
        <x:f>IF(C219="","",IFERROR(V119,"Unavailable"))</x:f>
        <x:v>0.012809284687621535</x:v>
      </x:c>
      <x:c r="Y219" s="21" t="n">
        <x:f>IF(C219="","",IF(AQ219&lt;&gt;"Ready","Unavailable",IF(C219="","",U219-W219+V219-X219+N219+AG219)))</x:f>
        <x:v>0.1917880783490705</x:v>
      </x:c>
      <x:c r="Z219" s="23" t="n">
        <x:f>IF(C219="","",IF(AQ219&lt;&gt;"Ready","Unavailable",IF(C219="","",(G219+O219+L219)/2*INDEX('Facilities'!$T$9:$T$108,MATCH(C219,'Facilities'!$C$9:$C$108,0))+AG219)))</x:f>
        <x:v>0.4922038350000001</x:v>
      </x:c>
      <x:c r="AA219" s="23" t="n">
        <x:f>IF(C219="","",IF(AQ219&lt;&gt;"Ready","Unavailable",IF(C219="","",O219*(1-IF(INDEX('Facilities'!$AA$9:$AA$108,MATCH(C219,'Facilities'!$C$9:$C$108,0))=0,0,MIN(1,INDEX('Facilities'!$X$9:$X$108,MATCH(C219,'Facilities'!$C$9:$C$108,0))/INDEX('Facilities'!$AA$9:$AA$108,MATCH(C219,'Facilities'!$C$9:$C$108,0)))))*AF219+P219*(1-IF(INDEX('Facilities'!$AA$9:$AA$108,MATCH(C219,'Facilities'!$C$9:$C$108,0))=0,0,MIN(1,INDEX('Facilities'!$X$9:$X$108,MATCH(C219,'Facilities'!$C$9:$C$108,0))/INDEX('Facilities'!$AA$9:$AA$108,MATCH(C219,'Facilities'!$C$9:$C$108,0)))))*INDEX('Facilities'!$AJ$9:$AJ$108,MATCH(C219,'Facilities'!$C$9:$C$108,0))+Q219*INDEX('Facilities'!$AI$9:$AI$108,MATCH(C219,'Facilities'!$C$9:$C$108,0))*AF219)))</x:f>
        <x:v>6.474743675136001</x:v>
      </x:c>
      <x:c r="AB219" s="21" t="n">
        <x:f>IF(C219="","",O219+P219-AD219)</x:f>
        <x:v>-0.45221399999999967</x:v>
      </x:c>
      <x:c r="AC219" s="23" t="n">
        <x:f>IF(C219="","",IFERROR(IF(INDEX('Facilities'!$AD$9:$AD$108,MATCH(C219,'Facilities'!$C$9:$C$108,0))=3,0,IF(INDEX('Facilities'!$AN$9:$AN$108,MATCH(C219,'Facilities'!$C$9:$C$108,0))=0,-1,INDEX('Facilities'!$AN$9:$AN$108,MATCH(C219,'Facilities'!$C$9:$C$108,0)))),"Unavailable"))</x:f>
        <x:v>-1</x:v>
      </x:c>
      <x:c r="AD219" s="21" t="n">
        <x:f>IF(C219="","",IFERROR(G219+H219,"Unavailable"))</x:f>
        <x:v>5.4072000000000005</x:v>
      </x:c>
      <x:c r="AE219" s="21" t="n">
        <x:f>IF(C219="","",IF(AQ219&lt;&gt;"Ready","Unavailable",IF(C219="","",O219+P219-AD219-J219+K219+M219+N219)))</x:f>
        <x:v>3.3306690738754696e-16</x:v>
      </x:c>
      <x:c r="AF219" s="30" t="n">
        <x:f>IF(C219="","",IFERROR(INDEX('Facilities'!$S$9:$S$108,MATCH(C219,'Facilities'!$C$9:$C$108,0))*'Scenario Paths'!H75,"Unavailable"))</x:f>
        <x:v>1.2</x:v>
      </x:c>
      <x:c r="AG219" s="23" t="n">
        <x:f>IF(C219="","",IF(AQ219&lt;&gt;"Ready","Unavailable",IF(C219="","",IF(H219&gt;0,MAX(0,H219-AK219)*((1+INDEX('Facilities'!$K$9:$K$108,MATCH(C219,'Facilities'!$C$9:$C$108,0)))^MIN(1,MAX(0,AC219+INDEX('Facilities'!$AK$9:$AK$108,MATCH(C219,'Facilities'!$C$9:$C$108,0))-D219+1))-1),0))))</x:f>
        <x:v>0</x:v>
      </x:c>
      <x:c r="AH219" s="21" t="n">
        <x:f>IF(C219="","",IF(AQ219&lt;&gt;"Ready","Unavailable",IF(C219="","",O219+P219)))</x:f>
        <x:v>4.954986000000001</x:v>
      </x:c>
      <x:c r="AI219" s="21" t="n">
        <x:f>IF(C219="","",IF(AQ219&lt;&gt;"Ready","Unavailable",IF(C219="","",Z219-Y219)))</x:f>
        <x:v>0.30041575665092957</x:v>
      </x:c>
      <x:c r="AJ219" s="23" t="n">
        <x:f>IF(C219="","",IFERROR(MAX(0,INDEX('Facilities'!$J$9:$J$108,MATCH(C219,'Facilities'!$C$9:$C$108,0))-D219),"Unavailable"))</x:f>
        <x:v>2</x:v>
      </x:c>
      <x:c r="AK219" s="21" t="n">
        <x:f>IF(C219="","",IFERROR(AL119,"Unavailable"))</x:f>
        <x:v>0</x:v>
      </x:c>
      <x:c r="AL219" s="23" t="n">
        <x:f>IF(C219="","",IFERROR(IF(P219&gt;0,P219*(1-AM219/(1+INDEX('Facilities'!$K$9:$K$108,MATCH(C219,'Facilities'!$C$9:$C$108,0)))^MAX(0,AC219+INDEX('Facilities'!$AK$9:$AK$108,MATCH(C219,'Facilities'!$C$9:$C$108,0))-D219)),0),"Unavailable"))</x:f>
        <x:v>0</x:v>
      </x:c>
      <x:c r="AM219" s="30" t="n">
        <x:f>IF(C219="","",IFERROR(INDEX('Facilities'!$AL$9:$AL$108,MATCH(C219,'Facilities'!$C$9:$C$108,0)),"Unavailable"))</x:f>
        <x:v>0.55</x:v>
      </x:c>
      <x:c r="AN219" s="30" t="n">
        <x:f>IF(C219="","",IFERROR(INDEX(Credit!$T$209:$T$308,MATCH(F219,Credit!$C$209:$C$308,0)),"Unavailable"))</x:f>
        <x:v>0.00208</x:v>
      </x:c>
      <x:c r="AO219" s="23" t="n">
        <x:f>IF(C219="","",IF(AQ219&lt;&gt;"Ready","Unavailable",IF(C219="","",O219+P219+Q219*INDEX('Facilities'!$I$9:$I$108,MATCH(C219,'Facilities'!$C$9:$C$108,0)))))</x:f>
        <x:v>5.512161000000001</x:v>
      </x:c>
      <x:c r="AP219" s="21" t="n">
        <x:f>IF(C219="","",IF(AQ219&lt;&gt;"Ready","Unavailable",IF(C219="","",AH219-U219)))</x:f>
        <x:v>4.677713570221117</x:v>
      </x:c>
      <x:c r="AQ219" s="23" t="str">
        <x:f>IFERROR(IF(C219="","",IF(AND(INDEX('Facilities'!$AF$9:$AF$108,MATCH(C219,'Facilities'!$C$9:$C$108,0))="Ready",INDEX(Credit!$U$209:$U$308,MATCH(F219,Credit!$C$209:$C$308,0))="Ready",ISNUMBER(W219)),"Ready","Review inputs")),"Review inputs")</x:f>
        <x:v>Ready</x:v>
      </x:c>
      <x:c r="AR219" s="23" t="n">
        <x:f>IF(C219="","",IF(AQ219&lt;&gt;"Ready","Unavailable",IF(C219="","",IF(O219=0,0,(IF(AJ219&lt;=1,O219,O219*INDEX('Facilities'!$R$9:$R$108,MATCH(C219,'Facilities'!$C$9:$C$108,0)))+O219*INDEX('Facilities'!$T$9:$T$108,MATCH(C219,'Facilities'!$C$9:$C$108,0)))/12))))</x:f>
        <x:v>0.08877683250000001</x:v>
      </x:c>
    </x:row>
    <x:row r="220" ht="26" customHeight="1">
      <x:c r="A220" s="1"/>
      <x:c r="B220" s="1"/>
      <x:c r="C220" s="9" t="str">
        <x:f>IF(Facilities!C20="","",Facilities!C20)</x:f>
        <x:v>F012</x:v>
      </x:c>
      <x:c r="D220" s="3" t="n">
        <x:v>3</x:v>
      </x:c>
      <x:c r="E220" s="9" t="n">
        <x:f>Settings!$F$18+2</x:f>
        <x:v>2029</x:v>
      </x:c>
      <x:c r="F220" s="9" t="str">
        <x:f>IF(C220="","",IFERROR(INDEX('Facilities'!$D$9:$D$108,MATCH(C220,'Facilities'!$C$9:$C$108,0)),"Unavailable"))</x:f>
        <x:v>B006</x:v>
      </x:c>
      <x:c r="G220" s="21" t="n">
        <x:f>IF(C220="","",IFERROR(O120,"Unavailable"))</x:f>
        <x:v>3.3512000000000004</x:v>
      </x:c>
      <x:c r="H220" s="21" t="n">
        <x:f>IF(C220="","",IFERROR(P120,"Unavailable"))</x:f>
        <x:v>0</x:v>
      </x:c>
      <x:c r="I220" s="21" t="n">
        <x:f>IF(C220="","",IFERROR(Q120,"Unavailable"))</x:f>
        <x:v>0.437</x:v>
      </x:c>
      <x:c r="J220" s="23" t="n">
        <x:f>IF(C220="","",IFERROR(IF(OR(H220&gt;0,AND(AC220&gt;=0,AC220&lt;D220),D220&gt;INDEX('Facilities'!$J$9:$J$108,MATCH(C220,'Facilities'!$C$9:$C$108,0))),0,I220*'Scenario Paths'!H81),"Unavailable"))</x:f>
        <x:v>0.06555</x:v>
      </x:c>
      <x:c r="K220" s="23" t="n">
        <x:f>IF(C220="","",IFERROR(IF(OR(H220&gt;0,AND(AC220&gt;=0,AC220=D220)),0,IF(D220&gt;=INDEX('Facilities'!$J$9:$J$108,MATCH(C220,'Facilities'!$C$9:$C$108,0)),G220+J220,MIN(G220+J220,G220*INDEX('Facilities'!$R$9:$R$108,MATCH(C220,'Facilities'!$C$9:$C$108,0))))),"Unavailable"))</x:f>
        <x:v>0.40214400000000006</x:v>
      </x:c>
      <x:c r="L220" s="21" t="n">
        <x:f>IF(C220="","",IFERROR(IF(AND(AC220=D220,AC220&gt;0),MAX(0,G220+J220-K220),0),"Unavailable"))</x:f>
        <x:v>0</x:v>
      </x:c>
      <x:c r="M220" s="23" t="n">
        <x:f>IF(C220="","",IFERROR(IF(AND(AC220&gt;=0,D220&gt;=AC220+INDEX('Facilities'!$AK$9:$AK$108,MATCH(C220,'Facilities'!$C$9:$C$108,0))),(H220+L220)*AM220,0),"Unavailable"))</x:f>
        <x:v>0</x:v>
      </x:c>
      <x:c r="N220" s="23" t="n">
        <x:f>IF(C220="","",IFERROR(IF(AND(AC220&gt;=0,D220&gt;=AC220+INDEX('Facilities'!$AK$9:$AK$108,MATCH(C220,'Facilities'!$C$9:$C$108,0))),H220+L220-M220,0),"Unavailable"))</x:f>
        <x:v>0</x:v>
      </x:c>
      <x:c r="O220" s="21" t="n">
        <x:f>IF(C220="","",IFERROR(MAX(0,G220+J220-K220-L220),"Unavailable"))</x:f>
        <x:v>3.0146060000000006</x:v>
      </x:c>
      <x:c r="P220" s="21" t="n">
        <x:f>IF(C220="","",IFERROR(MAX(0,H220+L220-M220-N220),"Unavailable"))</x:f>
        <x:v>0</x:v>
      </x:c>
      <x:c r="Q220" s="23" t="n">
        <x:f>IF(C220="","",IFERROR(IF(OR(D220&gt;=INDEX('Facilities'!$J$9:$J$108,MATCH(C220,'Facilities'!$C$9:$C$108,0)),AND(AC220&gt;=0,AC220&lt;=D220)),0,MAX(0,I220-J220)),"Unavailable"))</x:f>
        <x:v>0.37145</x:v>
      </x:c>
      <x:c r="R220" s="30" t="n">
        <x:f>IF(C220="","",IFERROR(INDEX(Credit!$Q$209:$Q$308,MATCH(F220,Credit!$C$209:$C$308,0)),"Unavailable"))</x:f>
        <x:v>0.09038930368088093</x:v>
      </x:c>
      <x:c r="S220" s="30" t="n">
        <x:f>IF(C220="","",IFERROR(INDEX(Credit!$R$209:$R$308,MATCH(F220,Credit!$C$209:$C$308,0)),"Unavailable"))</x:f>
        <x:v>0.2814976</x:v>
      </x:c>
      <x:c r="T220" s="23" t="n">
        <x:f>IF(C220="","",IFERROR(IF(P220&gt;0,3,IF(OR(INDEX('Facilities'!$AD$9:$AD$108,MATCH(C220,'Facilities'!$C$9:$C$108,0))=2,AND(R220&gt;=INDEX('Facilities'!$L$9:$L$108,MATCH(C220,'Facilities'!$C$9:$C$108,0))*Settings!$F$19,R220-INDEX('Facilities'!$L$9:$L$108,MATCH(C220,'Facilities'!$C$9:$C$108,0))&gt;=Settings!$F$20)),2,1)),"Unavailable"))</x:f>
        <x:v>2</x:v>
      </x:c>
      <x:c r="U220" s="23" t="n">
        <x:f>IF(C220="","",IF(AQ220&lt;&gt;"Ready","Unavailable",IF(C220="","",O220*(1-(1-S220)/(1+INDEX('Facilities'!$K$9:$K$108,MATCH(C220,'Facilities'!$C$9:$C$108,0)))^INDEX('Facilities'!$AK$9:$AK$108,MATCH(C220,'Facilities'!$C$9:$C$108,0)))*R220/(1+INDEX('Facilities'!$K$9:$K$108,MATCH(C220,'Facilities'!$C$9:$C$108,0)))*IF(ABS(1-(1-R220)*(1-INDEX('Facilities'!$R$9:$R$108,MATCH(C220,'Facilities'!$C$9:$C$108,0)))/(1+INDEX('Facilities'!$K$9:$K$108,MATCH(C220,'Facilities'!$C$9:$C$108,0))))&lt;0.000000001,IF(T220=1,MIN(1,AJ220),AJ220),(1-((1-R220)*(1-INDEX('Facilities'!$R$9:$R$108,MATCH(C220,'Facilities'!$C$9:$C$108,0)))/(1+INDEX('Facilities'!$K$9:$K$108,MATCH(C220,'Facilities'!$C$9:$C$108,0))))^IF(T220=1,MIN(1,AJ220),AJ220))/(1-(1-R220)*(1-INDEX('Facilities'!$R$9:$R$108,MATCH(C220,'Facilities'!$C$9:$C$108,0)))/(1+INDEX('Facilities'!$K$9:$K$108,MATCH(C220,'Facilities'!$C$9:$C$108,0)))))+AL220)))</x:f>
        <x:v>0.1686921275753354</x:v>
      </x:c>
      <x:c r="V220" s="23" t="n">
        <x:f>IF(C220="","",IF(AQ220&lt;&gt;"Ready","Unavailable",IF(C220="","",Q220*INDEX('Facilities'!$I$9:$I$108,MATCH(C220,'Facilities'!$C$9:$C$108,0))*(1-(1-S220)/(1+INDEX('Facilities'!$K$9:$K$108,MATCH(C220,'Facilities'!$C$9:$C$108,0)))^INDEX('Facilities'!$AK$9:$AK$108,MATCH(C220,'Facilities'!$C$9:$C$108,0)))*R220/(1+INDEX('Facilities'!$K$9:$K$108,MATCH(C220,'Facilities'!$C$9:$C$108,0)))*IF(ABS(1-(1-R220)*(1-0)/(1+INDEX('Facilities'!$K$9:$K$108,MATCH(C220,'Facilities'!$C$9:$C$108,0))))&lt;0.000000001,IF(T220=1,MIN(1,AJ220),AJ220),(1-((1-R220)*(1-0)/(1+INDEX('Facilities'!$K$9:$K$108,MATCH(C220,'Facilities'!$C$9:$C$108,0))))^IF(T220=1,MIN(1,AJ220),AJ220))/(1-(1-R220)*(1-0)/(1+INDEX('Facilities'!$K$9:$K$108,MATCH(C220,'Facilities'!$C$9:$C$108,0))))))))</x:f>
        <x:v>0.010996113863921029</x:v>
      </x:c>
      <x:c r="W220" s="21" t="n">
        <x:f>IF(C220="","",IFERROR(U120,"Unavailable"))</x:f>
        <x:v>0.06548661303609046</x:v>
      </x:c>
      <x:c r="X220" s="21" t="n">
        <x:f>IF(C220="","",IFERROR(V120,"Unavailable"))</x:f>
        <x:v>0.004269761562540512</x:v>
      </x:c>
      <x:c r="Y220" s="21" t="n">
        <x:f>IF(C220="","",IF(AQ220&lt;&gt;"Ready","Unavailable",IF(C220="","",U220-W220+V220-X220+N220+AG220)))</x:f>
        <x:v>0.10993186684062545</x:v>
      </x:c>
      <x:c r="Z220" s="23" t="n">
        <x:f>IF(C220="","",IF(AQ220&lt;&gt;"Ready","Unavailable",IF(C220="","",(G220+O220+L220)/2*INDEX('Facilities'!$T$9:$T$108,MATCH(C220,'Facilities'!$C$9:$C$108,0))+AG220)))</x:f>
        <x:v>0.30237578500000006</x:v>
      </x:c>
      <x:c r="AA220" s="23" t="n">
        <x:f>IF(C220="","",IF(AQ220&lt;&gt;"Ready","Unavailable",IF(C220="","",O220*(1-IF(INDEX('Facilities'!$AA$9:$AA$108,MATCH(C220,'Facilities'!$C$9:$C$108,0))=0,0,MIN(1,INDEX('Facilities'!$X$9:$X$108,MATCH(C220,'Facilities'!$C$9:$C$108,0))/INDEX('Facilities'!$AA$9:$AA$108,MATCH(C220,'Facilities'!$C$9:$C$108,0)))))*AF220+P220*(1-IF(INDEX('Facilities'!$AA$9:$AA$108,MATCH(C220,'Facilities'!$C$9:$C$108,0))=0,0,MIN(1,INDEX('Facilities'!$X$9:$X$108,MATCH(C220,'Facilities'!$C$9:$C$108,0))/INDEX('Facilities'!$AA$9:$AA$108,MATCH(C220,'Facilities'!$C$9:$C$108,0)))))*INDEX('Facilities'!$AJ$9:$AJ$108,MATCH(C220,'Facilities'!$C$9:$C$108,0))+Q220*INDEX('Facilities'!$AI$9:$AI$108,MATCH(C220,'Facilities'!$C$9:$C$108,0))*AF220)))</x:f>
        <x:v>3.7553129602560005</x:v>
      </x:c>
      <x:c r="AB220" s="21" t="n">
        <x:f>IF(C220="","",O220+P220-AD220)</x:f>
        <x:v>-0.33659399999999984</x:v>
      </x:c>
      <x:c r="AC220" s="23" t="n">
        <x:f>IF(C220="","",IFERROR(IF(INDEX('Facilities'!$AD$9:$AD$108,MATCH(C220,'Facilities'!$C$9:$C$108,0))=3,0,IF(INDEX('Facilities'!$AN$9:$AN$108,MATCH(C220,'Facilities'!$C$9:$C$108,0))=0,-1,INDEX('Facilities'!$AN$9:$AN$108,MATCH(C220,'Facilities'!$C$9:$C$108,0)))),"Unavailable"))</x:f>
        <x:v>-1</x:v>
      </x:c>
      <x:c r="AD220" s="21" t="n">
        <x:f>IF(C220="","",IFERROR(G220+H220,"Unavailable"))</x:f>
        <x:v>3.3512000000000004</x:v>
      </x:c>
      <x:c r="AE220" s="21" t="n">
        <x:f>IF(C220="","",IF(AQ220&lt;&gt;"Ready","Unavailable",IF(C220="","",O220+P220-AD220-J220+K220+M220+N220)))</x:f>
        <x:v>2.220446049250313e-16</x:v>
      </x:c>
      <x:c r="AF220" s="30" t="n">
        <x:f>IF(C220="","",IFERROR(INDEX('Facilities'!$S$9:$S$108,MATCH(C220,'Facilities'!$C$9:$C$108,0))*'Scenario Paths'!H75,"Unavailable"))</x:f>
        <x:v>1.2</x:v>
      </x:c>
      <x:c r="AG220" s="23" t="n">
        <x:f>IF(C220="","",IF(AQ220&lt;&gt;"Ready","Unavailable",IF(C220="","",IF(H220&gt;0,MAX(0,H220-AK220)*((1+INDEX('Facilities'!$K$9:$K$108,MATCH(C220,'Facilities'!$C$9:$C$108,0)))^MIN(1,MAX(0,AC220+INDEX('Facilities'!$AK$9:$AK$108,MATCH(C220,'Facilities'!$C$9:$C$108,0))-D220+1))-1),0))))</x:f>
        <x:v>0</x:v>
      </x:c>
      <x:c r="AH220" s="21" t="n">
        <x:f>IF(C220="","",IF(AQ220&lt;&gt;"Ready","Unavailable",IF(C220="","",O220+P220)))</x:f>
        <x:v>3.0146060000000006</x:v>
      </x:c>
      <x:c r="AI220" s="21" t="n">
        <x:f>IF(C220="","",IF(AQ220&lt;&gt;"Ready","Unavailable",IF(C220="","",Z220-Y220)))</x:f>
        <x:v>0.19244391815937462</x:v>
      </x:c>
      <x:c r="AJ220" s="23" t="n">
        <x:f>IF(C220="","",IFERROR(MAX(0,INDEX('Facilities'!$J$9:$J$108,MATCH(C220,'Facilities'!$C$9:$C$108,0))-D220),"Unavailable"))</x:f>
        <x:v>2</x:v>
      </x:c>
      <x:c r="AK220" s="21" t="n">
        <x:f>IF(C220="","",IFERROR(AL120,"Unavailable"))</x:f>
        <x:v>0</x:v>
      </x:c>
      <x:c r="AL220" s="23" t="n">
        <x:f>IF(C220="","",IFERROR(IF(P220&gt;0,P220*(1-AM220/(1+INDEX('Facilities'!$K$9:$K$108,MATCH(C220,'Facilities'!$C$9:$C$108,0)))^MAX(0,AC220+INDEX('Facilities'!$AK$9:$AK$108,MATCH(C220,'Facilities'!$C$9:$C$108,0))-D220)),0),"Unavailable"))</x:f>
        <x:v>0</x:v>
      </x:c>
      <x:c r="AM220" s="30" t="n">
        <x:f>IF(C220="","",IFERROR(INDEX('Facilities'!$AL$9:$AL$108,MATCH(C220,'Facilities'!$C$9:$C$108,0)),"Unavailable"))</x:f>
        <x:v>0.55</x:v>
      </x:c>
      <x:c r="AN220" s="30" t="n">
        <x:f>IF(C220="","",IFERROR(INDEX(Credit!$T$209:$T$308,MATCH(F220,Credit!$C$209:$C$308,0)),"Unavailable"))</x:f>
        <x:v>0.00208</x:v>
      </x:c>
      <x:c r="AO220" s="23" t="n">
        <x:f>IF(C220="","",IF(AQ220&lt;&gt;"Ready","Unavailable",IF(C220="","",O220+P220+Q220*INDEX('Facilities'!$I$9:$I$108,MATCH(C220,'Facilities'!$C$9:$C$108,0)))))</x:f>
        <x:v>3.2003310000000007</x:v>
      </x:c>
      <x:c r="AP220" s="21" t="n">
        <x:f>IF(C220="","",IF(AQ220&lt;&gt;"Ready","Unavailable",IF(C220="","",AH220-U220)))</x:f>
        <x:v>2.8459138724246653</x:v>
      </x:c>
      <x:c r="AQ220" s="23" t="str">
        <x:f>IFERROR(IF(C220="","",IF(AND(INDEX('Facilities'!$AF$9:$AF$108,MATCH(C220,'Facilities'!$C$9:$C$108,0))="Ready",INDEX(Credit!$U$209:$U$308,MATCH(F220,Credit!$C$209:$C$308,0))="Ready",ISNUMBER(W220)),"Ready","Review inputs")),"Review inputs")</x:f>
        <x:v>Ready</x:v>
      </x:c>
      <x:c r="AR220" s="23" t="n">
        <x:f>IF(C220="","",IF(AQ220&lt;&gt;"Ready","Unavailable",IF(C220="","",IF(O220=0,0,(IF(AJ220&lt;=1,O220,O220*INDEX('Facilities'!$R$9:$R$108,MATCH(C220,'Facilities'!$C$9:$C$108,0)))+O220*INDEX('Facilities'!$T$9:$T$108,MATCH(C220,'Facilities'!$C$9:$C$108,0)))/12))))</x:f>
        <x:v>0.05401169083333334</x:v>
      </x:c>
    </x:row>
    <x:row r="221" ht="26" customHeight="1">
      <x:c r="A221" s="1"/>
      <x:c r="B221" s="1"/>
      <x:c r="C221" s="9" t="str">
        <x:f>IF(Facilities!C21="","",Facilities!C21)</x:f>
        <x:v>F013</x:v>
      </x:c>
      <x:c r="D221" s="3" t="n">
        <x:v>3</x:v>
      </x:c>
      <x:c r="E221" s="9" t="n">
        <x:f>Settings!$F$18+2</x:f>
        <x:v>2029</x:v>
      </x:c>
      <x:c r="F221" s="9" t="str">
        <x:f>IF(C221="","",IFERROR(INDEX('Facilities'!$D$9:$D$108,MATCH(C221,'Facilities'!$C$9:$C$108,0)),"Unavailable"))</x:f>
        <x:v>B007</x:v>
      </x:c>
      <x:c r="G221" s="21" t="n">
        <x:f>IF(C221="","",IFERROR(O121,"Unavailable"))</x:f>
        <x:v>5.67824</x:v>
      </x:c>
      <x:c r="H221" s="21" t="n">
        <x:f>IF(C221="","",IFERROR(P121,"Unavailable"))</x:f>
        <x:v>0</x:v>
      </x:c>
      <x:c r="I221" s="21" t="n">
        <x:f>IF(C221="","",IFERROR(Q121,"Unavailable"))</x:f>
        <x:v>1.311</x:v>
      </x:c>
      <x:c r="J221" s="23" t="n">
        <x:f>IF(C221="","",IFERROR(IF(OR(H221&gt;0,AND(AC221&gt;=0,AC221&lt;D221),D221&gt;INDEX('Facilities'!$J$9:$J$108,MATCH(C221,'Facilities'!$C$9:$C$108,0))),0,I221*'Scenario Paths'!H81),"Unavailable"))</x:f>
        <x:v>0.19665</x:v>
      </x:c>
      <x:c r="K221" s="23" t="n">
        <x:f>IF(C221="","",IFERROR(IF(OR(H221&gt;0,AND(AC221&gt;=0,AC221=D221)),0,IF(D221&gt;=INDEX('Facilities'!$J$9:$J$108,MATCH(C221,'Facilities'!$C$9:$C$108,0)),G221+J221,MIN(G221+J221,G221*INDEX('Facilities'!$R$9:$R$108,MATCH(C221,'Facilities'!$C$9:$C$108,0))))),"Unavailable"))</x:f>
        <x:v>0.6813887999999999</x:v>
      </x:c>
      <x:c r="L221" s="21" t="n">
        <x:f>IF(C221="","",IFERROR(IF(AND(AC221=D221,AC221&gt;0),MAX(0,G221+J221-K221),0),"Unavailable"))</x:f>
        <x:v>0</x:v>
      </x:c>
      <x:c r="M221" s="23" t="n">
        <x:f>IF(C221="","",IFERROR(IF(AND(AC221&gt;=0,D221&gt;=AC221+INDEX('Facilities'!$AK$9:$AK$108,MATCH(C221,'Facilities'!$C$9:$C$108,0))),(H221+L221)*AM221,0),"Unavailable"))</x:f>
        <x:v>0</x:v>
      </x:c>
      <x:c r="N221" s="23" t="n">
        <x:f>IF(C221="","",IFERROR(IF(AND(AC221&gt;=0,D221&gt;=AC221+INDEX('Facilities'!$AK$9:$AK$108,MATCH(C221,'Facilities'!$C$9:$C$108,0))),H221+L221-M221,0),"Unavailable"))</x:f>
        <x:v>0</x:v>
      </x:c>
      <x:c r="O221" s="21" t="n">
        <x:f>IF(C221="","",IFERROR(MAX(0,G221+J221-K221-L221),"Unavailable"))</x:f>
        <x:v>5.1935012</x:v>
      </x:c>
      <x:c r="P221" s="21" t="n">
        <x:f>IF(C221="","",IFERROR(MAX(0,H221+L221-M221-N221),"Unavailable"))</x:f>
        <x:v>0</x:v>
      </x:c>
      <x:c r="Q221" s="23" t="n">
        <x:f>IF(C221="","",IFERROR(IF(OR(D221&gt;=INDEX('Facilities'!$J$9:$J$108,MATCH(C221,'Facilities'!$C$9:$C$108,0)),AND(AC221&gt;=0,AC221&lt;=D221)),0,MAX(0,I221-J221)),"Unavailable"))</x:f>
        <x:v>1.11435</x:v>
      </x:c>
      <x:c r="R221" s="30" t="n">
        <x:f>IF(C221="","",IFERROR(INDEX(Credit!$Q$209:$Q$308,MATCH(F221,Credit!$C$209:$C$308,0)),"Unavailable"))</x:f>
        <x:v>0.04389620069192069</x:v>
      </x:c>
      <x:c r="S221" s="30" t="n">
        <x:f>IF(C221="","",IFERROR(INDEX(Credit!$R$209:$R$308,MATCH(F221,Credit!$C$209:$C$308,0)),"Unavailable"))</x:f>
        <x:v>0.32121856</x:v>
      </x:c>
      <x:c r="T221" s="23" t="n">
        <x:f>IF(C221="","",IFERROR(IF(P221&gt;0,3,IF(OR(INDEX('Facilities'!$AD$9:$AD$108,MATCH(C221,'Facilities'!$C$9:$C$108,0))=2,AND(R221&gt;=INDEX('Facilities'!$L$9:$L$108,MATCH(C221,'Facilities'!$C$9:$C$108,0))*Settings!$F$19,R221-INDEX('Facilities'!$L$9:$L$108,MATCH(C221,'Facilities'!$C$9:$C$108,0))&gt;=Settings!$F$20)),2,1)),"Unavailable"))</x:f>
        <x:v>2</x:v>
      </x:c>
      <x:c r="U221" s="23" t="n">
        <x:f>IF(C221="","",IF(AQ221&lt;&gt;"Ready","Unavailable",IF(C221="","",O221*(1-(1-S221)/(1+INDEX('Facilities'!$K$9:$K$108,MATCH(C221,'Facilities'!$C$9:$C$108,0)))^INDEX('Facilities'!$AK$9:$AK$108,MATCH(C221,'Facilities'!$C$9:$C$108,0)))*R221/(1+INDEX('Facilities'!$K$9:$K$108,MATCH(C221,'Facilities'!$C$9:$C$108,0)))*IF(ABS(1-(1-R221)*(1-INDEX('Facilities'!$R$9:$R$108,MATCH(C221,'Facilities'!$C$9:$C$108,0)))/(1+INDEX('Facilities'!$K$9:$K$108,MATCH(C221,'Facilities'!$C$9:$C$108,0))))&lt;0.000000001,IF(T221=1,MIN(1,AJ221),AJ221),(1-((1-R221)*(1-INDEX('Facilities'!$R$9:$R$108,MATCH(C221,'Facilities'!$C$9:$C$108,0)))/(1+INDEX('Facilities'!$K$9:$K$108,MATCH(C221,'Facilities'!$C$9:$C$108,0))))^IF(T221=1,MIN(1,AJ221),AJ221))/(1-(1-R221)*(1-INDEX('Facilities'!$R$9:$R$108,MATCH(C221,'Facilities'!$C$9:$C$108,0)))/(1+INDEX('Facilities'!$K$9:$K$108,MATCH(C221,'Facilities'!$C$9:$C$108,0)))))+AL221)))</x:f>
        <x:v>0.21055219043376808</x:v>
      </x:c>
      <x:c r="V221" s="23" t="n">
        <x:f>IF(C221="","",IF(AQ221&lt;&gt;"Ready","Unavailable",IF(C221="","",Q221*INDEX('Facilities'!$I$9:$I$108,MATCH(C221,'Facilities'!$C$9:$C$108,0))*(1-(1-S221)/(1+INDEX('Facilities'!$K$9:$K$108,MATCH(C221,'Facilities'!$C$9:$C$108,0)))^INDEX('Facilities'!$AK$9:$AK$108,MATCH(C221,'Facilities'!$C$9:$C$108,0)))*R221/(1+INDEX('Facilities'!$K$9:$K$108,MATCH(C221,'Facilities'!$C$9:$C$108,0)))*IF(ABS(1-(1-R221)*(1-0)/(1+INDEX('Facilities'!$K$9:$K$108,MATCH(C221,'Facilities'!$C$9:$C$108,0))))&lt;0.000000001,IF(T221=1,MIN(1,AJ221),AJ221),(1-((1-R221)*(1-0)/(1+INDEX('Facilities'!$K$9:$K$108,MATCH(C221,'Facilities'!$C$9:$C$108,0))))^IF(T221=1,MIN(1,AJ221),AJ221))/(1-(1-R221)*(1-0)/(1+INDEX('Facilities'!$K$9:$K$108,MATCH(C221,'Facilities'!$C$9:$C$108,0))))))))</x:f>
        <x:v>0.025268344189295914</x:v>
      </x:c>
      <x:c r="W221" s="21" t="n">
        <x:f>IF(C221="","",IFERROR(U121,"Unavailable"))</x:f>
        <x:v>0.0392287610506716</x:v>
      </x:c>
      <x:c r="X221" s="21" t="n">
        <x:f>IF(C221="","",IFERROR(V121,"Unavailable"))</x:f>
        <x:v>0.004528595633279895</x:v>
      </x:c>
      <x:c r="Y221" s="21" t="n">
        <x:f>IF(C221="","",IF(AQ221&lt;&gt;"Ready","Unavailable",IF(C221="","",U221-W221+V221-X221+N221+AG221)))</x:f>
        <x:v>0.19206317793911248</x:v>
      </x:c>
      <x:c r="Z221" s="23" t="n">
        <x:f>IF(C221="","",IF(AQ221&lt;&gt;"Ready","Unavailable",IF(C221="","",(G221+O221+L221)/2*INDEX('Facilities'!$T$9:$T$108,MATCH(C221,'Facilities'!$C$9:$C$108,0))+AG221)))</x:f>
        <x:v>0.5164077069999999</x:v>
      </x:c>
      <x:c r="AA221" s="23" t="n">
        <x:f>IF(C221="","",IF(AQ221&lt;&gt;"Ready","Unavailable",IF(C221="","",O221*(1-IF(INDEX('Facilities'!$AA$9:$AA$108,MATCH(C221,'Facilities'!$C$9:$C$108,0))=0,0,MIN(1,INDEX('Facilities'!$X$9:$X$108,MATCH(C221,'Facilities'!$C$9:$C$108,0))/INDEX('Facilities'!$AA$9:$AA$108,MATCH(C221,'Facilities'!$C$9:$C$108,0)))))*AF221+P221*(1-IF(INDEX('Facilities'!$AA$9:$AA$108,MATCH(C221,'Facilities'!$C$9:$C$108,0))=0,0,MIN(1,INDEX('Facilities'!$X$9:$X$108,MATCH(C221,'Facilities'!$C$9:$C$108,0))/INDEX('Facilities'!$AA$9:$AA$108,MATCH(C221,'Facilities'!$C$9:$C$108,0)))))*INDEX('Facilities'!$AJ$9:$AJ$108,MATCH(C221,'Facilities'!$C$9:$C$108,0))+Q221*INDEX('Facilities'!$AI$9:$AI$108,MATCH(C221,'Facilities'!$C$9:$C$108,0))*AF221)))</x:f>
        <x:v>6.8529481329408</x:v>
      </x:c>
      <x:c r="AB221" s="21" t="n">
        <x:f>IF(C221="","",O221+P221-AD221)</x:f>
        <x:v>-0.4847387999999997</x:v>
      </x:c>
      <x:c r="AC221" s="23" t="n">
        <x:f>IF(C221="","",IFERROR(IF(INDEX('Facilities'!$AD$9:$AD$108,MATCH(C221,'Facilities'!$C$9:$C$108,0))=3,0,IF(INDEX('Facilities'!$AN$9:$AN$108,MATCH(C221,'Facilities'!$C$9:$C$108,0))=0,-1,INDEX('Facilities'!$AN$9:$AN$108,MATCH(C221,'Facilities'!$C$9:$C$108,0)))),"Unavailable"))</x:f>
        <x:v>-1</x:v>
      </x:c>
      <x:c r="AD221" s="21" t="n">
        <x:f>IF(C221="","",IFERROR(G221+H221,"Unavailable"))</x:f>
        <x:v>5.67824</x:v>
      </x:c>
      <x:c r="AE221" s="21" t="n">
        <x:f>IF(C221="","",IF(AQ221&lt;&gt;"Ready","Unavailable",IF(C221="","",O221+P221-AD221-J221+K221+M221+N221)))</x:f>
        <x:v>2.220446049250313e-16</x:v>
      </x:c>
      <x:c r="AF221" s="30" t="n">
        <x:f>IF(C221="","",IFERROR(INDEX('Facilities'!$S$9:$S$108,MATCH(C221,'Facilities'!$C$9:$C$108,0))*'Scenario Paths'!H75,"Unavailable"))</x:f>
        <x:v>1.2</x:v>
      </x:c>
      <x:c r="AG221" s="23" t="n">
        <x:f>IF(C221="","",IF(AQ221&lt;&gt;"Ready","Unavailable",IF(C221="","",IF(H221&gt;0,MAX(0,H221-AK221)*((1+INDEX('Facilities'!$K$9:$K$108,MATCH(C221,'Facilities'!$C$9:$C$108,0)))^MIN(1,MAX(0,AC221+INDEX('Facilities'!$AK$9:$AK$108,MATCH(C221,'Facilities'!$C$9:$C$108,0))-D221+1))-1),0))))</x:f>
        <x:v>0</x:v>
      </x:c>
      <x:c r="AH221" s="21" t="n">
        <x:f>IF(C221="","",IF(AQ221&lt;&gt;"Ready","Unavailable",IF(C221="","",O221+P221)))</x:f>
        <x:v>5.1935012</x:v>
      </x:c>
      <x:c r="AI221" s="21" t="n">
        <x:f>IF(C221="","",IF(AQ221&lt;&gt;"Ready","Unavailable",IF(C221="","",Z221-Y221)))</x:f>
        <x:v>0.32434452906088745</x:v>
      </x:c>
      <x:c r="AJ221" s="23" t="n">
        <x:f>IF(C221="","",IFERROR(MAX(0,INDEX('Facilities'!$J$9:$J$108,MATCH(C221,'Facilities'!$C$9:$C$108,0))-D221),"Unavailable"))</x:f>
        <x:v>3</x:v>
      </x:c>
      <x:c r="AK221" s="21" t="n">
        <x:f>IF(C221="","",IFERROR(AL121,"Unavailable"))</x:f>
        <x:v>0</x:v>
      </x:c>
      <x:c r="AL221" s="23" t="n">
        <x:f>IF(C221="","",IFERROR(IF(P221&gt;0,P221*(1-AM221/(1+INDEX('Facilities'!$K$9:$K$108,MATCH(C221,'Facilities'!$C$9:$C$108,0)))^MAX(0,AC221+INDEX('Facilities'!$AK$9:$AK$108,MATCH(C221,'Facilities'!$C$9:$C$108,0))-D221)),0),"Unavailable"))</x:f>
        <x:v>0</x:v>
      </x:c>
      <x:c r="AM221" s="30" t="n">
        <x:f>IF(C221="","",IFERROR(INDEX('Facilities'!$AL$9:$AL$108,MATCH(C221,'Facilities'!$C$9:$C$108,0)),"Unavailable"))</x:f>
        <x:v>0.55</x:v>
      </x:c>
      <x:c r="AN221" s="30" t="n">
        <x:f>IF(C221="","",IFERROR(INDEX(Credit!$T$209:$T$308,MATCH(F221,Credit!$C$209:$C$308,0)),"Unavailable"))</x:f>
        <x:v>0.0017920000000000002</x:v>
      </x:c>
      <x:c r="AO221" s="23" t="n">
        <x:f>IF(C221="","",IF(AQ221&lt;&gt;"Ready","Unavailable",IF(C221="","",O221+P221+Q221*INDEX('Facilities'!$I$9:$I$108,MATCH(C221,'Facilities'!$C$9:$C$108,0)))))</x:f>
        <x:v>5.7506762</x:v>
      </x:c>
      <x:c r="AP221" s="21" t="n">
        <x:f>IF(C221="","",IF(AQ221&lt;&gt;"Ready","Unavailable",IF(C221="","",AH221-U221)))</x:f>
        <x:v>4.982949009566232</x:v>
      </x:c>
      <x:c r="AQ221" s="23" t="str">
        <x:f>IFERROR(IF(C221="","",IF(AND(INDEX('Facilities'!$AF$9:$AF$108,MATCH(C221,'Facilities'!$C$9:$C$108,0))="Ready",INDEX(Credit!$U$209:$U$308,MATCH(F221,Credit!$C$209:$C$308,0))="Ready",ISNUMBER(W221)),"Ready","Review inputs")),"Review inputs")</x:f>
        <x:v>Ready</x:v>
      </x:c>
      <x:c r="AR221" s="23" t="n">
        <x:f>IF(C221="","",IF(AQ221&lt;&gt;"Ready","Unavailable",IF(C221="","",IF(O221=0,0,(IF(AJ221&lt;=1,O221,O221*INDEX('Facilities'!$R$9:$R$108,MATCH(C221,'Facilities'!$C$9:$C$108,0)))+O221*INDEX('Facilities'!$T$9:$T$108,MATCH(C221,'Facilities'!$C$9:$C$108,0)))/12))))</x:f>
        <x:v>0.09305022983333333</x:v>
      </x:c>
    </x:row>
    <x:row r="222" ht="26" customHeight="1">
      <x:c r="A222" s="1"/>
      <x:c r="B222" s="1"/>
      <x:c r="C222" s="9" t="str">
        <x:f>IF(Facilities!C22="","",Facilities!C22)</x:f>
        <x:v>F014</x:v>
      </x:c>
      <x:c r="D222" s="3" t="n">
        <x:v>3</x:v>
      </x:c>
      <x:c r="E222" s="9" t="n">
        <x:f>Settings!$F$18+2</x:f>
        <x:v>2029</x:v>
      </x:c>
      <x:c r="F222" s="9" t="str">
        <x:f>IF(C222="","",IFERROR(INDEX('Facilities'!$D$9:$D$108,MATCH(C222,'Facilities'!$C$9:$C$108,0)),"Unavailable"))</x:f>
        <x:v>B007</x:v>
      </x:c>
      <x:c r="G222" s="21" t="n">
        <x:f>IF(C222="","",IFERROR(O122,"Unavailable"))</x:f>
        <x:v>3.6222400000000006</x:v>
      </x:c>
      <x:c r="H222" s="21" t="n">
        <x:f>IF(C222="","",IFERROR(P122,"Unavailable"))</x:f>
        <x:v>0</x:v>
      </x:c>
      <x:c r="I222" s="21" t="n">
        <x:f>IF(C222="","",IFERROR(Q122,"Unavailable"))</x:f>
        <x:v>0.437</x:v>
      </x:c>
      <x:c r="J222" s="23" t="n">
        <x:f>IF(C222="","",IFERROR(IF(OR(H222&gt;0,AND(AC222&gt;=0,AC222&lt;D222),D222&gt;INDEX('Facilities'!$J$9:$J$108,MATCH(C222,'Facilities'!$C$9:$C$108,0))),0,I222*'Scenario Paths'!H81),"Unavailable"))</x:f>
        <x:v>0.06555</x:v>
      </x:c>
      <x:c r="K222" s="23" t="n">
        <x:f>IF(C222="","",IFERROR(IF(OR(H222&gt;0,AND(AC222&gt;=0,AC222=D222)),0,IF(D222&gt;=INDEX('Facilities'!$J$9:$J$108,MATCH(C222,'Facilities'!$C$9:$C$108,0)),G222+J222,MIN(G222+J222,G222*INDEX('Facilities'!$R$9:$R$108,MATCH(C222,'Facilities'!$C$9:$C$108,0))))),"Unavailable"))</x:f>
        <x:v>0.4346688000000001</x:v>
      </x:c>
      <x:c r="L222" s="21" t="n">
        <x:f>IF(C222="","",IFERROR(IF(AND(AC222=D222,AC222&gt;0),MAX(0,G222+J222-K222),0),"Unavailable"))</x:f>
        <x:v>0</x:v>
      </x:c>
      <x:c r="M222" s="23" t="n">
        <x:f>IF(C222="","",IFERROR(IF(AND(AC222&gt;=0,D222&gt;=AC222+INDEX('Facilities'!$AK$9:$AK$108,MATCH(C222,'Facilities'!$C$9:$C$108,0))),(H222+L222)*AM222,0),"Unavailable"))</x:f>
        <x:v>0</x:v>
      </x:c>
      <x:c r="N222" s="23" t="n">
        <x:f>IF(C222="","",IFERROR(IF(AND(AC222&gt;=0,D222&gt;=AC222+INDEX('Facilities'!$AK$9:$AK$108,MATCH(C222,'Facilities'!$C$9:$C$108,0))),H222+L222-M222,0),"Unavailable"))</x:f>
        <x:v>0</x:v>
      </x:c>
      <x:c r="O222" s="21" t="n">
        <x:f>IF(C222="","",IFERROR(MAX(0,G222+J222-K222-L222),"Unavailable"))</x:f>
        <x:v>3.2531212000000007</x:v>
      </x:c>
      <x:c r="P222" s="21" t="n">
        <x:f>IF(C222="","",IFERROR(MAX(0,H222+L222-M222-N222),"Unavailable"))</x:f>
        <x:v>0</x:v>
      </x:c>
      <x:c r="Q222" s="23" t="n">
        <x:f>IF(C222="","",IFERROR(IF(OR(D222&gt;=INDEX('Facilities'!$J$9:$J$108,MATCH(C222,'Facilities'!$C$9:$C$108,0)),AND(AC222&gt;=0,AC222&lt;=D222)),0,MAX(0,I222-J222)),"Unavailable"))</x:f>
        <x:v>0.37145</x:v>
      </x:c>
      <x:c r="R222" s="30" t="n">
        <x:f>IF(C222="","",IFERROR(INDEX(Credit!$Q$209:$Q$308,MATCH(F222,Credit!$C$209:$C$308,0)),"Unavailable"))</x:f>
        <x:v>0.04389620069192069</x:v>
      </x:c>
      <x:c r="S222" s="30" t="n">
        <x:f>IF(C222="","",IFERROR(INDEX(Credit!$R$209:$R$308,MATCH(F222,Credit!$C$209:$C$308,0)),"Unavailable"))</x:f>
        <x:v>0.32121856</x:v>
      </x:c>
      <x:c r="T222" s="23" t="n">
        <x:f>IF(C222="","",IFERROR(IF(P222&gt;0,3,IF(OR(INDEX('Facilities'!$AD$9:$AD$108,MATCH(C222,'Facilities'!$C$9:$C$108,0))=2,AND(R222&gt;=INDEX('Facilities'!$L$9:$L$108,MATCH(C222,'Facilities'!$C$9:$C$108,0))*Settings!$F$19,R222-INDEX('Facilities'!$L$9:$L$108,MATCH(C222,'Facilities'!$C$9:$C$108,0))&gt;=Settings!$F$20)),2,1)),"Unavailable"))</x:f>
        <x:v>2</x:v>
      </x:c>
      <x:c r="U222" s="23" t="n">
        <x:f>IF(C222="","",IF(AQ222&lt;&gt;"Ready","Unavailable",IF(C222="","",O222*(1-(1-S222)/(1+INDEX('Facilities'!$K$9:$K$108,MATCH(C222,'Facilities'!$C$9:$C$108,0)))^INDEX('Facilities'!$AK$9:$AK$108,MATCH(C222,'Facilities'!$C$9:$C$108,0)))*R222/(1+INDEX('Facilities'!$K$9:$K$108,MATCH(C222,'Facilities'!$C$9:$C$108,0)))*IF(ABS(1-(1-R222)*(1-INDEX('Facilities'!$R$9:$R$108,MATCH(C222,'Facilities'!$C$9:$C$108,0)))/(1+INDEX('Facilities'!$K$9:$K$108,MATCH(C222,'Facilities'!$C$9:$C$108,0))))&lt;0.000000001,IF(T222=1,MIN(1,AJ222),AJ222),(1-((1-R222)*(1-INDEX('Facilities'!$R$9:$R$108,MATCH(C222,'Facilities'!$C$9:$C$108,0)))/(1+INDEX('Facilities'!$K$9:$K$108,MATCH(C222,'Facilities'!$C$9:$C$108,0))))^IF(T222=1,MIN(1,AJ222),AJ222))/(1-(1-R222)*(1-INDEX('Facilities'!$R$9:$R$108,MATCH(C222,'Facilities'!$C$9:$C$108,0)))/(1+INDEX('Facilities'!$K$9:$K$108,MATCH(C222,'Facilities'!$C$9:$C$108,0)))))+AL222)))</x:f>
        <x:v>0.13188632639702252</x:v>
      </x:c>
      <x:c r="V222" s="23" t="n">
        <x:f>IF(C222="","",IF(AQ222&lt;&gt;"Ready","Unavailable",IF(C222="","",Q222*INDEX('Facilities'!$I$9:$I$108,MATCH(C222,'Facilities'!$C$9:$C$108,0))*(1-(1-S222)/(1+INDEX('Facilities'!$K$9:$K$108,MATCH(C222,'Facilities'!$C$9:$C$108,0)))^INDEX('Facilities'!$AK$9:$AK$108,MATCH(C222,'Facilities'!$C$9:$C$108,0)))*R222/(1+INDEX('Facilities'!$K$9:$K$108,MATCH(C222,'Facilities'!$C$9:$C$108,0)))*IF(ABS(1-(1-R222)*(1-0)/(1+INDEX('Facilities'!$K$9:$K$108,MATCH(C222,'Facilities'!$C$9:$C$108,0))))&lt;0.000000001,IF(T222=1,MIN(1,AJ222),AJ222),(1-((1-R222)*(1-0)/(1+INDEX('Facilities'!$K$9:$K$108,MATCH(C222,'Facilities'!$C$9:$C$108,0))))^IF(T222=1,MIN(1,AJ222),AJ222))/(1-(1-R222)*(1-0)/(1+INDEX('Facilities'!$K$9:$K$108,MATCH(C222,'Facilities'!$C$9:$C$108,0))))))))</x:f>
        <x:v>0.008422781396431973</x:v>
      </x:c>
      <x:c r="W222" s="21" t="n">
        <x:f>IF(C222="","",IFERROR(U122,"Unavailable"))</x:f>
        <x:v>0.02502465331303093</x:v>
      </x:c>
      <x:c r="X222" s="21" t="n">
        <x:f>IF(C222="","",IFERROR(V122,"Unavailable"))</x:f>
        <x:v>0.0015095318777599656</x:v>
      </x:c>
      <x:c r="Y222" s="21" t="n">
        <x:f>IF(C222="","",IF(AQ222&lt;&gt;"Ready","Unavailable",IF(C222="","",U222-W222+V222-X222+N222+AG222)))</x:f>
        <x:v>0.1137749226026636</x:v>
      </x:c>
      <x:c r="Z222" s="23" t="n">
        <x:f>IF(C222="","",IF(AQ222&lt;&gt;"Ready","Unavailable",IF(C222="","",(G222+O222+L222)/2*INDEX('Facilities'!$T$9:$T$108,MATCH(C222,'Facilities'!$C$9:$C$108,0))+AG222)))</x:f>
        <x:v>0.3265796570000001</x:v>
      </x:c>
      <x:c r="AA222" s="23" t="n">
        <x:f>IF(C222="","",IF(AQ222&lt;&gt;"Ready","Unavailable",IF(C222="","",O222*(1-IF(INDEX('Facilities'!$AA$9:$AA$108,MATCH(C222,'Facilities'!$C$9:$C$108,0))=0,0,MIN(1,INDEX('Facilities'!$X$9:$X$108,MATCH(C222,'Facilities'!$C$9:$C$108,0))/INDEX('Facilities'!$AA$9:$AA$108,MATCH(C222,'Facilities'!$C$9:$C$108,0)))))*AF222+P222*(1-IF(INDEX('Facilities'!$AA$9:$AA$108,MATCH(C222,'Facilities'!$C$9:$C$108,0))=0,0,MIN(1,INDEX('Facilities'!$X$9:$X$108,MATCH(C222,'Facilities'!$C$9:$C$108,0))/INDEX('Facilities'!$AA$9:$AA$108,MATCH(C222,'Facilities'!$C$9:$C$108,0)))))*INDEX('Facilities'!$AJ$9:$AJ$108,MATCH(C222,'Facilities'!$C$9:$C$108,0))+Q222*INDEX('Facilities'!$AI$9:$AI$108,MATCH(C222,'Facilities'!$C$9:$C$108,0))*AF222)))</x:f>
        <x:v>4.096634675020801</x:v>
      </x:c>
      <x:c r="AB222" s="21" t="n">
        <x:f>IF(C222="","",O222+P222-AD222)</x:f>
        <x:v>-0.36911879999999986</x:v>
      </x:c>
      <x:c r="AC222" s="23" t="n">
        <x:f>IF(C222="","",IFERROR(IF(INDEX('Facilities'!$AD$9:$AD$108,MATCH(C222,'Facilities'!$C$9:$C$108,0))=3,0,IF(INDEX('Facilities'!$AN$9:$AN$108,MATCH(C222,'Facilities'!$C$9:$C$108,0))=0,-1,INDEX('Facilities'!$AN$9:$AN$108,MATCH(C222,'Facilities'!$C$9:$C$108,0)))),"Unavailable"))</x:f>
        <x:v>-1</x:v>
      </x:c>
      <x:c r="AD222" s="21" t="n">
        <x:f>IF(C222="","",IFERROR(G222+H222,"Unavailable"))</x:f>
        <x:v>3.6222400000000006</x:v>
      </x:c>
      <x:c r="AE222" s="21" t="n">
        <x:f>IF(C222="","",IF(AQ222&lt;&gt;"Ready","Unavailable",IF(C222="","",O222+P222-AD222-J222+K222+M222+N222)))</x:f>
        <x:v>2.220446049250313e-16</x:v>
      </x:c>
      <x:c r="AF222" s="30" t="n">
        <x:f>IF(C222="","",IFERROR(INDEX('Facilities'!$S$9:$S$108,MATCH(C222,'Facilities'!$C$9:$C$108,0))*'Scenario Paths'!H75,"Unavailable"))</x:f>
        <x:v>1.2</x:v>
      </x:c>
      <x:c r="AG222" s="23" t="n">
        <x:f>IF(C222="","",IF(AQ222&lt;&gt;"Ready","Unavailable",IF(C222="","",IF(H222&gt;0,MAX(0,H222-AK222)*((1+INDEX('Facilities'!$K$9:$K$108,MATCH(C222,'Facilities'!$C$9:$C$108,0)))^MIN(1,MAX(0,AC222+INDEX('Facilities'!$AK$9:$AK$108,MATCH(C222,'Facilities'!$C$9:$C$108,0))-D222+1))-1),0))))</x:f>
        <x:v>0</x:v>
      </x:c>
      <x:c r="AH222" s="21" t="n">
        <x:f>IF(C222="","",IF(AQ222&lt;&gt;"Ready","Unavailable",IF(C222="","",O222+P222)))</x:f>
        <x:v>3.2531212000000007</x:v>
      </x:c>
      <x:c r="AI222" s="21" t="n">
        <x:f>IF(C222="","",IF(AQ222&lt;&gt;"Ready","Unavailable",IF(C222="","",Z222-Y222)))</x:f>
        <x:v>0.2128047343973365</x:v>
      </x:c>
      <x:c r="AJ222" s="23" t="n">
        <x:f>IF(C222="","",IFERROR(MAX(0,INDEX('Facilities'!$J$9:$J$108,MATCH(C222,'Facilities'!$C$9:$C$108,0))-D222),"Unavailable"))</x:f>
        <x:v>3</x:v>
      </x:c>
      <x:c r="AK222" s="21" t="n">
        <x:f>IF(C222="","",IFERROR(AL122,"Unavailable"))</x:f>
        <x:v>0</x:v>
      </x:c>
      <x:c r="AL222" s="23" t="n">
        <x:f>IF(C222="","",IFERROR(IF(P222&gt;0,P222*(1-AM222/(1+INDEX('Facilities'!$K$9:$K$108,MATCH(C222,'Facilities'!$C$9:$C$108,0)))^MAX(0,AC222+INDEX('Facilities'!$AK$9:$AK$108,MATCH(C222,'Facilities'!$C$9:$C$108,0))-D222)),0),"Unavailable"))</x:f>
        <x:v>0</x:v>
      </x:c>
      <x:c r="AM222" s="30" t="n">
        <x:f>IF(C222="","",IFERROR(INDEX('Facilities'!$AL$9:$AL$108,MATCH(C222,'Facilities'!$C$9:$C$108,0)),"Unavailable"))</x:f>
        <x:v>0.55</x:v>
      </x:c>
      <x:c r="AN222" s="30" t="n">
        <x:f>IF(C222="","",IFERROR(INDEX(Credit!$T$209:$T$308,MATCH(F222,Credit!$C$209:$C$308,0)),"Unavailable"))</x:f>
        <x:v>0.0017920000000000002</x:v>
      </x:c>
      <x:c r="AO222" s="23" t="n">
        <x:f>IF(C222="","",IF(AQ222&lt;&gt;"Ready","Unavailable",IF(C222="","",O222+P222+Q222*INDEX('Facilities'!$I$9:$I$108,MATCH(C222,'Facilities'!$C$9:$C$108,0)))))</x:f>
        <x:v>3.438846200000001</x:v>
      </x:c>
      <x:c r="AP222" s="21" t="n">
        <x:f>IF(C222="","",IF(AQ222&lt;&gt;"Ready","Unavailable",IF(C222="","",AH222-U222)))</x:f>
        <x:v>3.1212348736029782</x:v>
      </x:c>
      <x:c r="AQ222" s="23" t="str">
        <x:f>IFERROR(IF(C222="","",IF(AND(INDEX('Facilities'!$AF$9:$AF$108,MATCH(C222,'Facilities'!$C$9:$C$108,0))="Ready",INDEX(Credit!$U$209:$U$308,MATCH(F222,Credit!$C$209:$C$308,0))="Ready",ISNUMBER(W222)),"Ready","Review inputs")),"Review inputs")</x:f>
        <x:v>Ready</x:v>
      </x:c>
      <x:c r="AR222" s="23" t="n">
        <x:f>IF(C222="","",IF(AQ222&lt;&gt;"Ready","Unavailable",IF(C222="","",IF(O222=0,0,(IF(AJ222&lt;=1,O222,O222*INDEX('Facilities'!$R$9:$R$108,MATCH(C222,'Facilities'!$C$9:$C$108,0)))+O222*INDEX('Facilities'!$T$9:$T$108,MATCH(C222,'Facilities'!$C$9:$C$108,0)))/12))))</x:f>
        <x:v>0.05828508816666667</x:v>
      </x:c>
    </x:row>
    <x:row r="223" ht="26" customHeight="1">
      <x:c r="A223" s="1"/>
      <x:c r="B223" s="1"/>
      <x:c r="C223" s="9" t="str">
        <x:f>IF(Facilities!C23="","",Facilities!C23)</x:f>
        <x:v>F015</x:v>
      </x:c>
      <x:c r="D223" s="3" t="n">
        <x:v>3</x:v>
      </x:c>
      <x:c r="E223" s="9" t="n">
        <x:f>Settings!$F$18+2</x:f>
        <x:v>2029</x:v>
      </x:c>
      <x:c r="F223" s="9" t="str">
        <x:f>IF(C223="","",IFERROR(INDEX('Facilities'!$D$9:$D$108,MATCH(C223,'Facilities'!$C$9:$C$108,0)),"Unavailable"))</x:f>
        <x:v>B008</x:v>
      </x:c>
      <x:c r="G223" s="21" t="n">
        <x:f>IF(C223="","",IFERROR(O123,"Unavailable"))</x:f>
        <x:v>5.949279999999999</x:v>
      </x:c>
      <x:c r="H223" s="21" t="n">
        <x:f>IF(C223="","",IFERROR(P123,"Unavailable"))</x:f>
        <x:v>0</x:v>
      </x:c>
      <x:c r="I223" s="21" t="n">
        <x:f>IF(C223="","",IFERROR(Q123,"Unavailable"))</x:f>
        <x:v>1.311</x:v>
      </x:c>
      <x:c r="J223" s="23" t="n">
        <x:f>IF(C223="","",IFERROR(IF(OR(H223&gt;0,AND(AC223&gt;=0,AC223&lt;D223),D223&gt;INDEX('Facilities'!$J$9:$J$108,MATCH(C223,'Facilities'!$C$9:$C$108,0))),0,I223*'Scenario Paths'!H81),"Unavailable"))</x:f>
        <x:v>0.19665</x:v>
      </x:c>
      <x:c r="K223" s="23" t="n">
        <x:f>IF(C223="","",IFERROR(IF(OR(H223&gt;0,AND(AC223&gt;=0,AC223=D223)),0,IF(D223&gt;=INDEX('Facilities'!$J$9:$J$108,MATCH(C223,'Facilities'!$C$9:$C$108,0)),G223+J223,MIN(G223+J223,G223*INDEX('Facilities'!$R$9:$R$108,MATCH(C223,'Facilities'!$C$9:$C$108,0))))),"Unavailable"))</x:f>
        <x:v>0.7139135999999998</x:v>
      </x:c>
      <x:c r="L223" s="21" t="n">
        <x:f>IF(C223="","",IFERROR(IF(AND(AC223=D223,AC223&gt;0),MAX(0,G223+J223-K223),0),"Unavailable"))</x:f>
        <x:v>0</x:v>
      </x:c>
      <x:c r="M223" s="23" t="n">
        <x:f>IF(C223="","",IFERROR(IF(AND(AC223&gt;=0,D223&gt;=AC223+INDEX('Facilities'!$AK$9:$AK$108,MATCH(C223,'Facilities'!$C$9:$C$108,0))),(H223+L223)*AM223,0),"Unavailable"))</x:f>
        <x:v>0</x:v>
      </x:c>
      <x:c r="N223" s="23" t="n">
        <x:f>IF(C223="","",IFERROR(IF(AND(AC223&gt;=0,D223&gt;=AC223+INDEX('Facilities'!$AK$9:$AK$108,MATCH(C223,'Facilities'!$C$9:$C$108,0))),H223+L223-M223,0),"Unavailable"))</x:f>
        <x:v>0</x:v>
      </x:c>
      <x:c r="O223" s="21" t="n">
        <x:f>IF(C223="","",IFERROR(MAX(0,G223+J223-K223-L223),"Unavailable"))</x:f>
        <x:v>5.432016399999999</x:v>
      </x:c>
      <x:c r="P223" s="21" t="n">
        <x:f>IF(C223="","",IFERROR(MAX(0,H223+L223-M223-N223),"Unavailable"))</x:f>
        <x:v>0</x:v>
      </x:c>
      <x:c r="Q223" s="23" t="n">
        <x:f>IF(C223="","",IFERROR(IF(OR(D223&gt;=INDEX('Facilities'!$J$9:$J$108,MATCH(C223,'Facilities'!$C$9:$C$108,0)),AND(AC223&gt;=0,AC223&lt;=D223)),0,MAX(0,I223-J223)),"Unavailable"))</x:f>
        <x:v>1.11435</x:v>
      </x:c>
      <x:c r="R223" s="30" t="n">
        <x:f>IF(C223="","",IFERROR(INDEX(Credit!$Q$209:$Q$308,MATCH(F223,Credit!$C$209:$C$308,0)),"Unavailable"))</x:f>
        <x:v>0.026711614403329198</x:v>
      </x:c>
      <x:c r="S223" s="30" t="n">
        <x:f>IF(C223="","",IFERROR(INDEX(Credit!$R$209:$R$308,MATCH(F223,Credit!$C$209:$C$308,0)),"Unavailable"))</x:f>
        <x:v>0.36225280000000004</x:v>
      </x:c>
      <x:c r="T223" s="23" t="n">
        <x:f>IF(C223="","",IFERROR(IF(P223&gt;0,3,IF(OR(INDEX('Facilities'!$AD$9:$AD$108,MATCH(C223,'Facilities'!$C$9:$C$108,0))=2,AND(R223&gt;=INDEX('Facilities'!$L$9:$L$108,MATCH(C223,'Facilities'!$C$9:$C$108,0))*Settings!$F$19,R223-INDEX('Facilities'!$L$9:$L$108,MATCH(C223,'Facilities'!$C$9:$C$108,0))&gt;=Settings!$F$20)),2,1)),"Unavailable"))</x:f>
        <x:v>1</x:v>
      </x:c>
      <x:c r="U223" s="23" t="n">
        <x:f>IF(C223="","",IF(AQ223&lt;&gt;"Ready","Unavailable",IF(C223="","",O223*(1-(1-S223)/(1+INDEX('Facilities'!$K$9:$K$108,MATCH(C223,'Facilities'!$C$9:$C$108,0)))^INDEX('Facilities'!$AK$9:$AK$108,MATCH(C223,'Facilities'!$C$9:$C$108,0)))*R223/(1+INDEX('Facilities'!$K$9:$K$108,MATCH(C223,'Facilities'!$C$9:$C$108,0)))*IF(ABS(1-(1-R223)*(1-INDEX('Facilities'!$R$9:$R$108,MATCH(C223,'Facilities'!$C$9:$C$108,0)))/(1+INDEX('Facilities'!$K$9:$K$108,MATCH(C223,'Facilities'!$C$9:$C$108,0))))&lt;0.000000001,IF(T223=1,MIN(1,AJ223),AJ223),(1-((1-R223)*(1-INDEX('Facilities'!$R$9:$R$108,MATCH(C223,'Facilities'!$C$9:$C$108,0)))/(1+INDEX('Facilities'!$K$9:$K$108,MATCH(C223,'Facilities'!$C$9:$C$108,0))))^IF(T223=1,MIN(1,AJ223),AJ223))/(1-(1-R223)*(1-INDEX('Facilities'!$R$9:$R$108,MATCH(C223,'Facilities'!$C$9:$C$108,0)))/(1+INDEX('Facilities'!$K$9:$K$108,MATCH(C223,'Facilities'!$C$9:$C$108,0)))))+AL223)))</x:f>
        <x:v>0.06089203377599039</x:v>
      </x:c>
      <x:c r="V223" s="23" t="n">
        <x:f>IF(C223="","",IF(AQ223&lt;&gt;"Ready","Unavailable",IF(C223="","",Q223*INDEX('Facilities'!$I$9:$I$108,MATCH(C223,'Facilities'!$C$9:$C$108,0))*(1-(1-S223)/(1+INDEX('Facilities'!$K$9:$K$108,MATCH(C223,'Facilities'!$C$9:$C$108,0)))^INDEX('Facilities'!$AK$9:$AK$108,MATCH(C223,'Facilities'!$C$9:$C$108,0)))*R223/(1+INDEX('Facilities'!$K$9:$K$108,MATCH(C223,'Facilities'!$C$9:$C$108,0)))*IF(ABS(1-(1-R223)*(1-0)/(1+INDEX('Facilities'!$K$9:$K$108,MATCH(C223,'Facilities'!$C$9:$C$108,0))))&lt;0.000000001,IF(T223=1,MIN(1,AJ223),AJ223),(1-((1-R223)*(1-0)/(1+INDEX('Facilities'!$K$9:$K$108,MATCH(C223,'Facilities'!$C$9:$C$108,0))))^IF(T223=1,MIN(1,AJ223),AJ223))/(1-(1-R223)*(1-0)/(1+INDEX('Facilities'!$K$9:$K$108,MATCH(C223,'Facilities'!$C$9:$C$108,0))))))))</x:f>
        <x:v>0.006245842505029522</x:v>
      </x:c>
      <x:c r="W223" s="21" t="n">
        <x:f>IF(C223="","",IFERROR(U123,"Unavailable"))</x:f>
        <x:v>0.04666525846418487</x:v>
      </x:c>
      <x:c r="X223" s="21" t="n">
        <x:f>IF(C223="","",IFERROR(V123,"Unavailable"))</x:f>
        <x:v>0.0051416435137148</x:v>
      </x:c>
      <x:c r="Y223" s="21" t="n">
        <x:f>IF(C223="","",IF(AQ223&lt;&gt;"Ready","Unavailable",IF(C223="","",U223-W223+V223-X223+N223+AG223)))</x:f>
        <x:v>0.015330974303120238</x:v>
      </x:c>
      <x:c r="Z223" s="23" t="n">
        <x:f>IF(C223="","",IF(AQ223&lt;&gt;"Ready","Unavailable",IF(C223="","",(G223+O223+L223)/2*INDEX('Facilities'!$T$9:$T$108,MATCH(C223,'Facilities'!$C$9:$C$108,0))+AG223)))</x:f>
        <x:v>0.5406115789999999</x:v>
      </x:c>
      <x:c r="AA223" s="23" t="n">
        <x:f>IF(C223="","",IF(AQ223&lt;&gt;"Ready","Unavailable",IF(C223="","",O223*(1-IF(INDEX('Facilities'!$AA$9:$AA$108,MATCH(C223,'Facilities'!$C$9:$C$108,0))=0,0,MIN(1,INDEX('Facilities'!$X$9:$X$108,MATCH(C223,'Facilities'!$C$9:$C$108,0))/INDEX('Facilities'!$AA$9:$AA$108,MATCH(C223,'Facilities'!$C$9:$C$108,0)))))*AF223+P223*(1-IF(INDEX('Facilities'!$AA$9:$AA$108,MATCH(C223,'Facilities'!$C$9:$C$108,0))=0,0,MIN(1,INDEX('Facilities'!$X$9:$X$108,MATCH(C223,'Facilities'!$C$9:$C$108,0))/INDEX('Facilities'!$AA$9:$AA$108,MATCH(C223,'Facilities'!$C$9:$C$108,0)))))*INDEX('Facilities'!$AJ$9:$AJ$108,MATCH(C223,'Facilities'!$C$9:$C$108,0))+Q223*INDEX('Facilities'!$AI$9:$AI$108,MATCH(C223,'Facilities'!$C$9:$C$108,0))*AF223)))</x:f>
        <x:v>7.102550960947199</x:v>
      </x:c>
      <x:c r="AB223" s="21" t="n">
        <x:f>IF(C223="","",O223+P223-AD223)</x:f>
        <x:v>-0.5172635999999997</x:v>
      </x:c>
      <x:c r="AC223" s="23" t="n">
        <x:f>IF(C223="","",IFERROR(IF(INDEX('Facilities'!$AD$9:$AD$108,MATCH(C223,'Facilities'!$C$9:$C$108,0))=3,0,IF(INDEX('Facilities'!$AN$9:$AN$108,MATCH(C223,'Facilities'!$C$9:$C$108,0))=0,-1,INDEX('Facilities'!$AN$9:$AN$108,MATCH(C223,'Facilities'!$C$9:$C$108,0)))),"Unavailable"))</x:f>
        <x:v>-1</x:v>
      </x:c>
      <x:c r="AD223" s="21" t="n">
        <x:f>IF(C223="","",IFERROR(G223+H223,"Unavailable"))</x:f>
        <x:v>5.949279999999999</x:v>
      </x:c>
      <x:c r="AE223" s="21" t="n">
        <x:f>IF(C223="","",IF(AQ223&lt;&gt;"Ready","Unavailable",IF(C223="","",O223+P223-AD223-J223+K223+M223+N223)))</x:f>
        <x:v>1.1102230246251565e-16</x:v>
      </x:c>
      <x:c r="AF223" s="30" t="n">
        <x:f>IF(C223="","",IFERROR(INDEX('Facilities'!$S$9:$S$108,MATCH(C223,'Facilities'!$C$9:$C$108,0))*'Scenario Paths'!H75,"Unavailable"))</x:f>
        <x:v>1.2</x:v>
      </x:c>
      <x:c r="AG223" s="23" t="n">
        <x:f>IF(C223="","",IF(AQ223&lt;&gt;"Ready","Unavailable",IF(C223="","",IF(H223&gt;0,MAX(0,H223-AK223)*((1+INDEX('Facilities'!$K$9:$K$108,MATCH(C223,'Facilities'!$C$9:$C$108,0)))^MIN(1,MAX(0,AC223+INDEX('Facilities'!$AK$9:$AK$108,MATCH(C223,'Facilities'!$C$9:$C$108,0))-D223+1))-1),0))))</x:f>
        <x:v>0</x:v>
      </x:c>
      <x:c r="AH223" s="21" t="n">
        <x:f>IF(C223="","",IF(AQ223&lt;&gt;"Ready","Unavailable",IF(C223="","",O223+P223)))</x:f>
        <x:v>5.432016399999999</x:v>
      </x:c>
      <x:c r="AI223" s="21" t="n">
        <x:f>IF(C223="","",IF(AQ223&lt;&gt;"Ready","Unavailable",IF(C223="","",Z223-Y223)))</x:f>
        <x:v>0.5252806046968796</x:v>
      </x:c>
      <x:c r="AJ223" s="23" t="n">
        <x:f>IF(C223="","",IFERROR(MAX(0,INDEX('Facilities'!$J$9:$J$108,MATCH(C223,'Facilities'!$C$9:$C$108,0))-D223),"Unavailable"))</x:f>
        <x:v>9</x:v>
      </x:c>
      <x:c r="AK223" s="21" t="n">
        <x:f>IF(C223="","",IFERROR(AL123,"Unavailable"))</x:f>
        <x:v>0</x:v>
      </x:c>
      <x:c r="AL223" s="23" t="n">
        <x:f>IF(C223="","",IFERROR(IF(P223&gt;0,P223*(1-AM223/(1+INDEX('Facilities'!$K$9:$K$108,MATCH(C223,'Facilities'!$C$9:$C$108,0)))^MAX(0,AC223+INDEX('Facilities'!$AK$9:$AK$108,MATCH(C223,'Facilities'!$C$9:$C$108,0))-D223)),0),"Unavailable"))</x:f>
        <x:v>0</x:v>
      </x:c>
      <x:c r="AM223" s="30" t="n">
        <x:f>IF(C223="","",IFERROR(INDEX('Facilities'!$AL$9:$AL$108,MATCH(C223,'Facilities'!$C$9:$C$108,0)),"Unavailable"))</x:f>
        <x:v>0.55</x:v>
      </x:c>
      <x:c r="AN223" s="30" t="n">
        <x:f>IF(C223="","",IFERROR(INDEX(Credit!$T$209:$T$308,MATCH(F223,Credit!$C$209:$C$308,0)),"Unavailable"))</x:f>
        <x:v>0.0035200000000000006</x:v>
      </x:c>
      <x:c r="AO223" s="23" t="n">
        <x:f>IF(C223="","",IF(AQ223&lt;&gt;"Ready","Unavailable",IF(C223="","",O223+P223+Q223*INDEX('Facilities'!$I$9:$I$108,MATCH(C223,'Facilities'!$C$9:$C$108,0)))))</x:f>
        <x:v>5.989191399999999</x:v>
      </x:c>
      <x:c r="AP223" s="21" t="n">
        <x:f>IF(C223="","",IF(AQ223&lt;&gt;"Ready","Unavailable",IF(C223="","",AH223-U223)))</x:f>
        <x:v>5.371124366224009</x:v>
      </x:c>
      <x:c r="AQ223" s="23" t="str">
        <x:f>IFERROR(IF(C223="","",IF(AND(INDEX('Facilities'!$AF$9:$AF$108,MATCH(C223,'Facilities'!$C$9:$C$108,0))="Ready",INDEX(Credit!$U$209:$U$308,MATCH(F223,Credit!$C$209:$C$308,0))="Ready",ISNUMBER(W223)),"Ready","Review inputs")),"Review inputs")</x:f>
        <x:v>Ready</x:v>
      </x:c>
      <x:c r="AR223" s="23" t="n">
        <x:f>IF(C223="","",IF(AQ223&lt;&gt;"Ready","Unavailable",IF(C223="","",IF(O223=0,0,(IF(AJ223&lt;=1,O223,O223*INDEX('Facilities'!$R$9:$R$108,MATCH(C223,'Facilities'!$C$9:$C$108,0)))+O223*INDEX('Facilities'!$T$9:$T$108,MATCH(C223,'Facilities'!$C$9:$C$108,0)))/12))))</x:f>
        <x:v>0.09732362716666665</x:v>
      </x:c>
    </x:row>
    <x:row r="224" ht="26" customHeight="1">
      <x:c r="A224" s="1"/>
      <x:c r="B224" s="1"/>
      <x:c r="C224" s="9" t="str">
        <x:f>IF(Facilities!C24="","",Facilities!C24)</x:f>
        <x:v>F016</x:v>
      </x:c>
      <x:c r="D224" s="3" t="n">
        <x:v>3</x:v>
      </x:c>
      <x:c r="E224" s="9" t="n">
        <x:f>Settings!$F$18+2</x:f>
        <x:v>2029</x:v>
      </x:c>
      <x:c r="F224" s="9" t="str">
        <x:f>IF(C224="","",IFERROR(INDEX('Facilities'!$D$9:$D$108,MATCH(C224,'Facilities'!$C$9:$C$108,0)),"Unavailable"))</x:f>
        <x:v>B008</x:v>
      </x:c>
      <x:c r="G224" s="21" t="n">
        <x:f>IF(C224="","",IFERROR(O124,"Unavailable"))</x:f>
        <x:v>3.8932800000000007</x:v>
      </x:c>
      <x:c r="H224" s="21" t="n">
        <x:f>IF(C224="","",IFERROR(P124,"Unavailable"))</x:f>
        <x:v>0</x:v>
      </x:c>
      <x:c r="I224" s="21" t="n">
        <x:f>IF(C224="","",IFERROR(Q124,"Unavailable"))</x:f>
        <x:v>0.437</x:v>
      </x:c>
      <x:c r="J224" s="23" t="n">
        <x:f>IF(C224="","",IFERROR(IF(OR(H224&gt;0,AND(AC224&gt;=0,AC224&lt;D224),D224&gt;INDEX('Facilities'!$J$9:$J$108,MATCH(C224,'Facilities'!$C$9:$C$108,0))),0,I224*'Scenario Paths'!H81),"Unavailable"))</x:f>
        <x:v>0.06555</x:v>
      </x:c>
      <x:c r="K224" s="23" t="n">
        <x:f>IF(C224="","",IFERROR(IF(OR(H224&gt;0,AND(AC224&gt;=0,AC224=D224)),0,IF(D224&gt;=INDEX('Facilities'!$J$9:$J$108,MATCH(C224,'Facilities'!$C$9:$C$108,0)),G224+J224,MIN(G224+J224,G224*INDEX('Facilities'!$R$9:$R$108,MATCH(C224,'Facilities'!$C$9:$C$108,0))))),"Unavailable"))</x:f>
        <x:v>0.4671936000000001</x:v>
      </x:c>
      <x:c r="L224" s="21" t="n">
        <x:f>IF(C224="","",IFERROR(IF(AND(AC224=D224,AC224&gt;0),MAX(0,G224+J224-K224),0),"Unavailable"))</x:f>
        <x:v>0</x:v>
      </x:c>
      <x:c r="M224" s="23" t="n">
        <x:f>IF(C224="","",IFERROR(IF(AND(AC224&gt;=0,D224&gt;=AC224+INDEX('Facilities'!$AK$9:$AK$108,MATCH(C224,'Facilities'!$C$9:$C$108,0))),(H224+L224)*AM224,0),"Unavailable"))</x:f>
        <x:v>0</x:v>
      </x:c>
      <x:c r="N224" s="23" t="n">
        <x:f>IF(C224="","",IFERROR(IF(AND(AC224&gt;=0,D224&gt;=AC224+INDEX('Facilities'!$AK$9:$AK$108,MATCH(C224,'Facilities'!$C$9:$C$108,0))),H224+L224-M224,0),"Unavailable"))</x:f>
        <x:v>0</x:v>
      </x:c>
      <x:c r="O224" s="21" t="n">
        <x:f>IF(C224="","",IFERROR(MAX(0,G224+J224-K224-L224),"Unavailable"))</x:f>
        <x:v>3.491636400000001</x:v>
      </x:c>
      <x:c r="P224" s="21" t="n">
        <x:f>IF(C224="","",IFERROR(MAX(0,H224+L224-M224-N224),"Unavailable"))</x:f>
        <x:v>0</x:v>
      </x:c>
      <x:c r="Q224" s="23" t="n">
        <x:f>IF(C224="","",IFERROR(IF(OR(D224&gt;=INDEX('Facilities'!$J$9:$J$108,MATCH(C224,'Facilities'!$C$9:$C$108,0)),AND(AC224&gt;=0,AC224&lt;=D224)),0,MAX(0,I224-J224)),"Unavailable"))</x:f>
        <x:v>0.37145</x:v>
      </x:c>
      <x:c r="R224" s="30" t="n">
        <x:f>IF(C224="","",IFERROR(INDEX(Credit!$Q$209:$Q$308,MATCH(F224,Credit!$C$209:$C$308,0)),"Unavailable"))</x:f>
        <x:v>0.026711614403329198</x:v>
      </x:c>
      <x:c r="S224" s="30" t="n">
        <x:f>IF(C224="","",IFERROR(INDEX(Credit!$R$209:$R$308,MATCH(F224,Credit!$C$209:$C$308,0)),"Unavailable"))</x:f>
        <x:v>0.36225280000000004</x:v>
      </x:c>
      <x:c r="T224" s="23" t="n">
        <x:f>IF(C224="","",IFERROR(IF(P224&gt;0,3,IF(OR(INDEX('Facilities'!$AD$9:$AD$108,MATCH(C224,'Facilities'!$C$9:$C$108,0))=2,AND(R224&gt;=INDEX('Facilities'!$L$9:$L$108,MATCH(C224,'Facilities'!$C$9:$C$108,0))*Settings!$F$19,R224-INDEX('Facilities'!$L$9:$L$108,MATCH(C224,'Facilities'!$C$9:$C$108,0))&gt;=Settings!$F$20)),2,1)),"Unavailable"))</x:f>
        <x:v>1</x:v>
      </x:c>
      <x:c r="U224" s="23" t="n">
        <x:f>IF(C224="","",IF(AQ224&lt;&gt;"Ready","Unavailable",IF(C224="","",O224*(1-(1-S224)/(1+INDEX('Facilities'!$K$9:$K$108,MATCH(C224,'Facilities'!$C$9:$C$108,0)))^INDEX('Facilities'!$AK$9:$AK$108,MATCH(C224,'Facilities'!$C$9:$C$108,0)))*R224/(1+INDEX('Facilities'!$K$9:$K$108,MATCH(C224,'Facilities'!$C$9:$C$108,0)))*IF(ABS(1-(1-R224)*(1-INDEX('Facilities'!$R$9:$R$108,MATCH(C224,'Facilities'!$C$9:$C$108,0)))/(1+INDEX('Facilities'!$K$9:$K$108,MATCH(C224,'Facilities'!$C$9:$C$108,0))))&lt;0.000000001,IF(T224=1,MIN(1,AJ224),AJ224),(1-((1-R224)*(1-INDEX('Facilities'!$R$9:$R$108,MATCH(C224,'Facilities'!$C$9:$C$108,0)))/(1+INDEX('Facilities'!$K$9:$K$108,MATCH(C224,'Facilities'!$C$9:$C$108,0))))^IF(T224=1,MIN(1,AJ224),AJ224))/(1-(1-R224)*(1-INDEX('Facilities'!$R$9:$R$108,MATCH(C224,'Facilities'!$C$9:$C$108,0)))/(1+INDEX('Facilities'!$K$9:$K$108,MATCH(C224,'Facilities'!$C$9:$C$108,0)))))+AL224)))</x:f>
        <x:v>0.039140684774493235</x:v>
      </x:c>
      <x:c r="V224" s="23" t="n">
        <x:f>IF(C224="","",IF(AQ224&lt;&gt;"Ready","Unavailable",IF(C224="","",Q224*INDEX('Facilities'!$I$9:$I$108,MATCH(C224,'Facilities'!$C$9:$C$108,0))*(1-(1-S224)/(1+INDEX('Facilities'!$K$9:$K$108,MATCH(C224,'Facilities'!$C$9:$C$108,0)))^INDEX('Facilities'!$AK$9:$AK$108,MATCH(C224,'Facilities'!$C$9:$C$108,0)))*R224/(1+INDEX('Facilities'!$K$9:$K$108,MATCH(C224,'Facilities'!$C$9:$C$108,0)))*IF(ABS(1-(1-R224)*(1-0)/(1+INDEX('Facilities'!$K$9:$K$108,MATCH(C224,'Facilities'!$C$9:$C$108,0))))&lt;0.000000001,IF(T224=1,MIN(1,AJ224),AJ224),(1-((1-R224)*(1-0)/(1+INDEX('Facilities'!$K$9:$K$108,MATCH(C224,'Facilities'!$C$9:$C$108,0))))^IF(T224=1,MIN(1,AJ224),AJ224))/(1-(1-R224)*(1-0)/(1+INDEX('Facilities'!$K$9:$K$108,MATCH(C224,'Facilities'!$C$9:$C$108,0))))))))</x:f>
        <x:v>0.002081947501676507</x:v>
      </x:c>
      <x:c r="W224" s="21" t="n">
        <x:f>IF(C224="","",IFERROR(U124,"Unavailable"))</x:f>
        <x:v>0.03053830337006188</x:v>
      </x:c>
      <x:c r="X224" s="21" t="n">
        <x:f>IF(C224="","",IFERROR(V124,"Unavailable"))</x:f>
        <x:v>0.0017138811712382668</x:v>
      </x:c>
      <x:c r="Y224" s="21" t="n">
        <x:f>IF(C224="","",IF(AQ224&lt;&gt;"Ready","Unavailable",IF(C224="","",U224-W224+V224-X224+N224+AG224)))</x:f>
        <x:v>0.008970447734869595</x:v>
      </x:c>
      <x:c r="Z224" s="23" t="n">
        <x:f>IF(C224="","",IF(AQ224&lt;&gt;"Ready","Unavailable",IF(C224="","",(G224+O224+L224)/2*INDEX('Facilities'!$T$9:$T$108,MATCH(C224,'Facilities'!$C$9:$C$108,0))+AG224)))</x:f>
        <x:v>0.3507835290000001</x:v>
      </x:c>
      <x:c r="AA224" s="23" t="n">
        <x:f>IF(C224="","",IF(AQ224&lt;&gt;"Ready","Unavailable",IF(C224="","",O224*(1-IF(INDEX('Facilities'!$AA$9:$AA$108,MATCH(C224,'Facilities'!$C$9:$C$108,0))=0,0,MIN(1,INDEX('Facilities'!$X$9:$X$108,MATCH(C224,'Facilities'!$C$9:$C$108,0))/INDEX('Facilities'!$AA$9:$AA$108,MATCH(C224,'Facilities'!$C$9:$C$108,0)))))*AF224+P224*(1-IF(INDEX('Facilities'!$AA$9:$AA$108,MATCH(C224,'Facilities'!$C$9:$C$108,0))=0,0,MIN(1,INDEX('Facilities'!$X$9:$X$108,MATCH(C224,'Facilities'!$C$9:$C$108,0))/INDEX('Facilities'!$AA$9:$AA$108,MATCH(C224,'Facilities'!$C$9:$C$108,0)))))*INDEX('Facilities'!$AJ$9:$AJ$108,MATCH(C224,'Facilities'!$C$9:$C$108,0))+Q224*INDEX('Facilities'!$AI$9:$AI$108,MATCH(C224,'Facilities'!$C$9:$C$108,0))*AF224)))</x:f>
        <x:v>4.3585317507072014</x:v>
      </x:c>
      <x:c r="AB224" s="21" t="n">
        <x:f>IF(C224="","",O224+P224-AD224)</x:f>
        <x:v>-0.4016435999999999</x:v>
      </x:c>
      <x:c r="AC224" s="23" t="n">
        <x:f>IF(C224="","",IFERROR(IF(INDEX('Facilities'!$AD$9:$AD$108,MATCH(C224,'Facilities'!$C$9:$C$108,0))=3,0,IF(INDEX('Facilities'!$AN$9:$AN$108,MATCH(C224,'Facilities'!$C$9:$C$108,0))=0,-1,INDEX('Facilities'!$AN$9:$AN$108,MATCH(C224,'Facilities'!$C$9:$C$108,0)))),"Unavailable"))</x:f>
        <x:v>-1</x:v>
      </x:c>
      <x:c r="AD224" s="21" t="n">
        <x:f>IF(C224="","",IFERROR(G224+H224,"Unavailable"))</x:f>
        <x:v>3.8932800000000007</x:v>
      </x:c>
      <x:c r="AE224" s="21" t="n">
        <x:f>IF(C224="","",IF(AQ224&lt;&gt;"Ready","Unavailable",IF(C224="","",O224+P224-AD224-J224+K224+M224+N224)))</x:f>
        <x:v>2.220446049250313e-16</x:v>
      </x:c>
      <x:c r="AF224" s="30" t="n">
        <x:f>IF(C224="","",IFERROR(INDEX('Facilities'!$S$9:$S$108,MATCH(C224,'Facilities'!$C$9:$C$108,0))*'Scenario Paths'!H75,"Unavailable"))</x:f>
        <x:v>1.2</x:v>
      </x:c>
      <x:c r="AG224" s="23" t="n">
        <x:f>IF(C224="","",IF(AQ224&lt;&gt;"Ready","Unavailable",IF(C224="","",IF(H224&gt;0,MAX(0,H224-AK224)*((1+INDEX('Facilities'!$K$9:$K$108,MATCH(C224,'Facilities'!$C$9:$C$108,0)))^MIN(1,MAX(0,AC224+INDEX('Facilities'!$AK$9:$AK$108,MATCH(C224,'Facilities'!$C$9:$C$108,0))-D224+1))-1),0))))</x:f>
        <x:v>0</x:v>
      </x:c>
      <x:c r="AH224" s="21" t="n">
        <x:f>IF(C224="","",IF(AQ224&lt;&gt;"Ready","Unavailable",IF(C224="","",O224+P224)))</x:f>
        <x:v>3.491636400000001</x:v>
      </x:c>
      <x:c r="AI224" s="21" t="n">
        <x:f>IF(C224="","",IF(AQ224&lt;&gt;"Ready","Unavailable",IF(C224="","",Z224-Y224)))</x:f>
        <x:v>0.3418130812651305</x:v>
      </x:c>
      <x:c r="AJ224" s="23" t="n">
        <x:f>IF(C224="","",IFERROR(MAX(0,INDEX('Facilities'!$J$9:$J$108,MATCH(C224,'Facilities'!$C$9:$C$108,0))-D224),"Unavailable"))</x:f>
        <x:v>9</x:v>
      </x:c>
      <x:c r="AK224" s="21" t="n">
        <x:f>IF(C224="","",IFERROR(AL124,"Unavailable"))</x:f>
        <x:v>0</x:v>
      </x:c>
      <x:c r="AL224" s="23" t="n">
        <x:f>IF(C224="","",IFERROR(IF(P224&gt;0,P224*(1-AM224/(1+INDEX('Facilities'!$K$9:$K$108,MATCH(C224,'Facilities'!$C$9:$C$108,0)))^MAX(0,AC224+INDEX('Facilities'!$AK$9:$AK$108,MATCH(C224,'Facilities'!$C$9:$C$108,0))-D224)),0),"Unavailable"))</x:f>
        <x:v>0</x:v>
      </x:c>
      <x:c r="AM224" s="30" t="n">
        <x:f>IF(C224="","",IFERROR(INDEX('Facilities'!$AL$9:$AL$108,MATCH(C224,'Facilities'!$C$9:$C$108,0)),"Unavailable"))</x:f>
        <x:v>0.55</x:v>
      </x:c>
      <x:c r="AN224" s="30" t="n">
        <x:f>IF(C224="","",IFERROR(INDEX(Credit!$T$209:$T$308,MATCH(F224,Credit!$C$209:$C$308,0)),"Unavailable"))</x:f>
        <x:v>0.0035200000000000006</x:v>
      </x:c>
      <x:c r="AO224" s="23" t="n">
        <x:f>IF(C224="","",IF(AQ224&lt;&gt;"Ready","Unavailable",IF(C224="","",O224+P224+Q224*INDEX('Facilities'!$I$9:$I$108,MATCH(C224,'Facilities'!$C$9:$C$108,0)))))</x:f>
        <x:v>3.677361400000001</x:v>
      </x:c>
      <x:c r="AP224" s="21" t="n">
        <x:f>IF(C224="","",IF(AQ224&lt;&gt;"Ready","Unavailable",IF(C224="","",AH224-U224)))</x:f>
        <x:v>3.4524957152255076</x:v>
      </x:c>
      <x:c r="AQ224" s="23" t="str">
        <x:f>IFERROR(IF(C224="","",IF(AND(INDEX('Facilities'!$AF$9:$AF$108,MATCH(C224,'Facilities'!$C$9:$C$108,0))="Ready",INDEX(Credit!$U$209:$U$308,MATCH(F224,Credit!$C$209:$C$308,0))="Ready",ISNUMBER(W224)),"Ready","Review inputs")),"Review inputs")</x:f>
        <x:v>Ready</x:v>
      </x:c>
      <x:c r="AR224" s="23" t="n">
        <x:f>IF(C224="","",IF(AQ224&lt;&gt;"Ready","Unavailable",IF(C224="","",IF(O224=0,0,(IF(AJ224&lt;=1,O224,O224*INDEX('Facilities'!$R$9:$R$108,MATCH(C224,'Facilities'!$C$9:$C$108,0)))+O224*INDEX('Facilities'!$T$9:$T$108,MATCH(C224,'Facilities'!$C$9:$C$108,0)))/12))))</x:f>
        <x:v>0.06255848550000001</x:v>
      </x:c>
    </x:row>
    <x:row r="225" ht="26" customHeight="1">
      <x:c r="A225" s="1"/>
      <x:c r="B225" s="1"/>
      <x:c r="C225" s="9" t="str">
        <x:f>IF(Facilities!C25="","",Facilities!C25)</x:f>
        <x:v>F017</x:v>
      </x:c>
      <x:c r="D225" s="3" t="n">
        <x:v>3</x:v>
      </x:c>
      <x:c r="E225" s="9" t="n">
        <x:f>Settings!$F$18+2</x:f>
        <x:v>2029</x:v>
      </x:c>
      <x:c r="F225" s="9" t="str">
        <x:f>IF(C225="","",IFERROR(INDEX('Facilities'!$D$9:$D$108,MATCH(C225,'Facilities'!$C$9:$C$108,0)),"Unavailable"))</x:f>
        <x:v>B009</x:v>
      </x:c>
      <x:c r="G225" s="21" t="n">
        <x:f>IF(C225="","",IFERROR(O125,"Unavailable"))</x:f>
        <x:v>6.22032</x:v>
      </x:c>
      <x:c r="H225" s="21" t="n">
        <x:f>IF(C225="","",IFERROR(P125,"Unavailable"))</x:f>
        <x:v>0</x:v>
      </x:c>
      <x:c r="I225" s="21" t="n">
        <x:f>IF(C225="","",IFERROR(Q125,"Unavailable"))</x:f>
        <x:v>1.311</x:v>
      </x:c>
      <x:c r="J225" s="23" t="n">
        <x:f>IF(C225="","",IFERROR(IF(OR(H225&gt;0,AND(AC225&gt;=0,AC225&lt;D225),D225&gt;INDEX('Facilities'!$J$9:$J$108,MATCH(C225,'Facilities'!$C$9:$C$108,0))),0,I225*'Scenario Paths'!H81),"Unavailable"))</x:f>
        <x:v>0.19665</x:v>
      </x:c>
      <x:c r="K225" s="23" t="n">
        <x:f>IF(C225="","",IFERROR(IF(OR(H225&gt;0,AND(AC225&gt;=0,AC225=D225)),0,IF(D225&gt;=INDEX('Facilities'!$J$9:$J$108,MATCH(C225,'Facilities'!$C$9:$C$108,0)),G225+J225,MIN(G225+J225,G225*INDEX('Facilities'!$R$9:$R$108,MATCH(C225,'Facilities'!$C$9:$C$108,0))))),"Unavailable"))</x:f>
        <x:v>0.7464384</x:v>
      </x:c>
      <x:c r="L225" s="21" t="n">
        <x:f>IF(C225="","",IFERROR(IF(AND(AC225=D225,AC225&gt;0),MAX(0,G225+J225-K225),0),"Unavailable"))</x:f>
        <x:v>0</x:v>
      </x:c>
      <x:c r="M225" s="23" t="n">
        <x:f>IF(C225="","",IFERROR(IF(AND(AC225&gt;=0,D225&gt;=AC225+INDEX('Facilities'!$AK$9:$AK$108,MATCH(C225,'Facilities'!$C$9:$C$108,0))),(H225+L225)*AM225,0),"Unavailable"))</x:f>
        <x:v>0</x:v>
      </x:c>
      <x:c r="N225" s="23" t="n">
        <x:f>IF(C225="","",IFERROR(IF(AND(AC225&gt;=0,D225&gt;=AC225+INDEX('Facilities'!$AK$9:$AK$108,MATCH(C225,'Facilities'!$C$9:$C$108,0))),H225+L225-M225,0),"Unavailable"))</x:f>
        <x:v>0</x:v>
      </x:c>
      <x:c r="O225" s="21" t="n">
        <x:f>IF(C225="","",IFERROR(MAX(0,G225+J225-K225-L225),"Unavailable"))</x:f>
        <x:v>5.6705316</x:v>
      </x:c>
      <x:c r="P225" s="21" t="n">
        <x:f>IF(C225="","",IFERROR(MAX(0,H225+L225-M225-N225),"Unavailable"))</x:f>
        <x:v>0</x:v>
      </x:c>
      <x:c r="Q225" s="23" t="n">
        <x:f>IF(C225="","",IFERROR(IF(OR(D225&gt;=INDEX('Facilities'!$J$9:$J$108,MATCH(C225,'Facilities'!$C$9:$C$108,0)),AND(AC225&gt;=0,AC225&lt;=D225)),0,MAX(0,I225-J225)),"Unavailable"))</x:f>
        <x:v>1.11435</x:v>
      </x:c>
      <x:c r="R225" s="30" t="n">
        <x:f>IF(C225="","",IFERROR(INDEX(Credit!$Q$209:$Q$308,MATCH(F225,Credit!$C$209:$C$308,0)),"Unavailable"))</x:f>
        <x:v>0.051947279211720675</x:v>
      </x:c>
      <x:c r="S225" s="30" t="n">
        <x:f>IF(C225="","",IFERROR(INDEX(Credit!$R$209:$R$308,MATCH(F225,Credit!$C$209:$C$308,0)),"Unavailable"))</x:f>
        <x:v>0.40349440000000003</x:v>
      </x:c>
      <x:c r="T225" s="23" t="n">
        <x:f>IF(C225="","",IFERROR(IF(P225&gt;0,3,IF(OR(INDEX('Facilities'!$AD$9:$AD$108,MATCH(C225,'Facilities'!$C$9:$C$108,0))=2,AND(R225&gt;=INDEX('Facilities'!$L$9:$L$108,MATCH(C225,'Facilities'!$C$9:$C$108,0))*Settings!$F$19,R225-INDEX('Facilities'!$L$9:$L$108,MATCH(C225,'Facilities'!$C$9:$C$108,0))&gt;=Settings!$F$20)),2,1)),"Unavailable"))</x:f>
        <x:v>2</x:v>
      </x:c>
      <x:c r="U225" s="23" t="n">
        <x:f>IF(C225="","",IF(AQ225&lt;&gt;"Ready","Unavailable",IF(C225="","",O225*(1-(1-S225)/(1+INDEX('Facilities'!$K$9:$K$108,MATCH(C225,'Facilities'!$C$9:$C$108,0)))^INDEX('Facilities'!$AK$9:$AK$108,MATCH(C225,'Facilities'!$C$9:$C$108,0)))*R225/(1+INDEX('Facilities'!$K$9:$K$108,MATCH(C225,'Facilities'!$C$9:$C$108,0)))*IF(ABS(1-(1-R225)*(1-INDEX('Facilities'!$R$9:$R$108,MATCH(C225,'Facilities'!$C$9:$C$108,0)))/(1+INDEX('Facilities'!$K$9:$K$108,MATCH(C225,'Facilities'!$C$9:$C$108,0))))&lt;0.000000001,IF(T225=1,MIN(1,AJ225),AJ225),(1-((1-R225)*(1-INDEX('Facilities'!$R$9:$R$108,MATCH(C225,'Facilities'!$C$9:$C$108,0)))/(1+INDEX('Facilities'!$K$9:$K$108,MATCH(C225,'Facilities'!$C$9:$C$108,0))))^IF(T225=1,MIN(1,AJ225),AJ225))/(1-(1-R225)*(1-INDEX('Facilities'!$R$9:$R$108,MATCH(C225,'Facilities'!$C$9:$C$108,0)))/(1+INDEX('Facilities'!$K$9:$K$108,MATCH(C225,'Facilities'!$C$9:$C$108,0)))))+AL225)))</x:f>
        <x:v>0.42461476372743223</x:v>
      </x:c>
      <x:c r="V225" s="23" t="n">
        <x:f>IF(C225="","",IF(AQ225&lt;&gt;"Ready","Unavailable",IF(C225="","",Q225*INDEX('Facilities'!$I$9:$I$108,MATCH(C225,'Facilities'!$C$9:$C$108,0))*(1-(1-S225)/(1+INDEX('Facilities'!$K$9:$K$108,MATCH(C225,'Facilities'!$C$9:$C$108,0)))^INDEX('Facilities'!$AK$9:$AK$108,MATCH(C225,'Facilities'!$C$9:$C$108,0)))*R225/(1+INDEX('Facilities'!$K$9:$K$108,MATCH(C225,'Facilities'!$C$9:$C$108,0)))*IF(ABS(1-(1-R225)*(1-0)/(1+INDEX('Facilities'!$K$9:$K$108,MATCH(C225,'Facilities'!$C$9:$C$108,0))))&lt;0.000000001,IF(T225=1,MIN(1,AJ225),AJ225),(1-((1-R225)*(1-0)/(1+INDEX('Facilities'!$K$9:$K$108,MATCH(C225,'Facilities'!$C$9:$C$108,0))))^IF(T225=1,MIN(1,AJ225),AJ225))/(1-(1-R225)*(1-0)/(1+INDEX('Facilities'!$K$9:$K$108,MATCH(C225,'Facilities'!$C$9:$C$108,0))))))))</x:f>
        <x:v>0.05131121135277524</x:v>
      </x:c>
      <x:c r="W225" s="21" t="n">
        <x:f>IF(C225="","",IFERROR(U125,"Unavailable"))</x:f>
        <x:v>0.3193319265222986</x:v>
      </x:c>
      <x:c r="X225" s="21" t="n">
        <x:f>IF(C225="","",IFERROR(V125,"Unavailable"))</x:f>
        <x:v>0.043485548769760796</x:v>
      </x:c>
      <x:c r="Y225" s="21" t="n">
        <x:f>IF(C225="","",IF(AQ225&lt;&gt;"Ready","Unavailable",IF(C225="","",U225-W225+V225-X225+N225+AG225)))</x:f>
        <x:v>0.1131084997881481</x:v>
      </x:c>
      <x:c r="Z225" s="23" t="n">
        <x:f>IF(C225="","",IF(AQ225&lt;&gt;"Ready","Unavailable",IF(C225="","",(G225+O225+L225)/2*INDEX('Facilities'!$T$9:$T$108,MATCH(C225,'Facilities'!$C$9:$C$108,0))+AG225)))</x:f>
        <x:v>0.5648154510000001</x:v>
      </x:c>
      <x:c r="AA225" s="23" t="n">
        <x:f>IF(C225="","",IF(AQ225&lt;&gt;"Ready","Unavailable",IF(C225="","",O225*(1-IF(INDEX('Facilities'!$AA$9:$AA$108,MATCH(C225,'Facilities'!$C$9:$C$108,0))=0,0,MIN(1,INDEX('Facilities'!$X$9:$X$108,MATCH(C225,'Facilities'!$C$9:$C$108,0))/INDEX('Facilities'!$AA$9:$AA$108,MATCH(C225,'Facilities'!$C$9:$C$108,0)))))*AF225+P225*(1-IF(INDEX('Facilities'!$AA$9:$AA$108,MATCH(C225,'Facilities'!$C$9:$C$108,0))=0,0,MIN(1,INDEX('Facilities'!$X$9:$X$108,MATCH(C225,'Facilities'!$C$9:$C$108,0))/INDEX('Facilities'!$AA$9:$AA$108,MATCH(C225,'Facilities'!$C$9:$C$108,0)))))*INDEX('Facilities'!$AJ$9:$AJ$108,MATCH(C225,'Facilities'!$C$9:$C$108,0))+Q225*INDEX('Facilities'!$AI$9:$AI$108,MATCH(C225,'Facilities'!$C$9:$C$108,0))*AF225)))</x:f>
        <x:v>7.342598871936</x:v>
      </x:c>
      <x:c r="AB225" s="21" t="n">
        <x:f>IF(C225="","",O225+P225-AD225)</x:f>
        <x:v>-0.5497883999999997</x:v>
      </x:c>
      <x:c r="AC225" s="23" t="n">
        <x:f>IF(C225="","",IFERROR(IF(INDEX('Facilities'!$AD$9:$AD$108,MATCH(C225,'Facilities'!$C$9:$C$108,0))=3,0,IF(INDEX('Facilities'!$AN$9:$AN$108,MATCH(C225,'Facilities'!$C$9:$C$108,0))=0,-1,INDEX('Facilities'!$AN$9:$AN$108,MATCH(C225,'Facilities'!$C$9:$C$108,0)))),"Unavailable"))</x:f>
        <x:v>-1</x:v>
      </x:c>
      <x:c r="AD225" s="21" t="n">
        <x:f>IF(C225="","",IFERROR(G225+H225,"Unavailable"))</x:f>
        <x:v>6.22032</x:v>
      </x:c>
      <x:c r="AE225" s="21" t="n">
        <x:f>IF(C225="","",IF(AQ225&lt;&gt;"Ready","Unavailable",IF(C225="","",O225+P225-AD225-J225+K225+M225+N225)))</x:f>
        <x:v>2.220446049250313e-16</x:v>
      </x:c>
      <x:c r="AF225" s="30" t="n">
        <x:f>IF(C225="","",IFERROR(INDEX('Facilities'!$S$9:$S$108,MATCH(C225,'Facilities'!$C$9:$C$108,0))*'Scenario Paths'!H75,"Unavailable"))</x:f>
        <x:v>1.2</x:v>
      </x:c>
      <x:c r="AG225" s="23" t="n">
        <x:f>IF(C225="","",IF(AQ225&lt;&gt;"Ready","Unavailable",IF(C225="","",IF(H225&gt;0,MAX(0,H225-AK225)*((1+INDEX('Facilities'!$K$9:$K$108,MATCH(C225,'Facilities'!$C$9:$C$108,0)))^MIN(1,MAX(0,AC225+INDEX('Facilities'!$AK$9:$AK$108,MATCH(C225,'Facilities'!$C$9:$C$108,0))-D225+1))-1),0))))</x:f>
        <x:v>0</x:v>
      </x:c>
      <x:c r="AH225" s="21" t="n">
        <x:f>IF(C225="","",IF(AQ225&lt;&gt;"Ready","Unavailable",IF(C225="","",O225+P225)))</x:f>
        <x:v>5.6705316</x:v>
      </x:c>
      <x:c r="AI225" s="21" t="n">
        <x:f>IF(C225="","",IF(AQ225&lt;&gt;"Ready","Unavailable",IF(C225="","",Z225-Y225)))</x:f>
        <x:v>0.451706951211852</x:v>
      </x:c>
      <x:c r="AJ225" s="23" t="n">
        <x:f>IF(C225="","",IFERROR(MAX(0,INDEX('Facilities'!$J$9:$J$108,MATCH(C225,'Facilities'!$C$9:$C$108,0))-D225),"Unavailable"))</x:f>
        <x:v>5</x:v>
      </x:c>
      <x:c r="AK225" s="21" t="n">
        <x:f>IF(C225="","",IFERROR(AL125,"Unavailable"))</x:f>
        <x:v>0</x:v>
      </x:c>
      <x:c r="AL225" s="23" t="n">
        <x:f>IF(C225="","",IFERROR(IF(P225&gt;0,P225*(1-AM225/(1+INDEX('Facilities'!$K$9:$K$108,MATCH(C225,'Facilities'!$C$9:$C$108,0)))^MAX(0,AC225+INDEX('Facilities'!$AK$9:$AK$108,MATCH(C225,'Facilities'!$C$9:$C$108,0))-D225)),0),"Unavailable"))</x:f>
        <x:v>0</x:v>
      </x:c>
      <x:c r="AM225" s="30" t="n">
        <x:f>IF(C225="","",IFERROR(INDEX('Facilities'!$AL$9:$AL$108,MATCH(C225,'Facilities'!$C$9:$C$108,0)),"Unavailable"))</x:f>
        <x:v>0.55</x:v>
      </x:c>
      <x:c r="AN225" s="30" t="n">
        <x:f>IF(C225="","",IFERROR(INDEX(Credit!$T$209:$T$308,MATCH(F225,Credit!$C$209:$C$308,0)),"Unavailable"))</x:f>
        <x:v>0.005824</x:v>
      </x:c>
      <x:c r="AO225" s="23" t="n">
        <x:f>IF(C225="","",IF(AQ225&lt;&gt;"Ready","Unavailable",IF(C225="","",O225+P225+Q225*INDEX('Facilities'!$I$9:$I$108,MATCH(C225,'Facilities'!$C$9:$C$108,0)))))</x:f>
        <x:v>6.2277066</x:v>
      </x:c>
      <x:c r="AP225" s="21" t="n">
        <x:f>IF(C225="","",IF(AQ225&lt;&gt;"Ready","Unavailable",IF(C225="","",AH225-U225)))</x:f>
        <x:v>5.245916836272568</x:v>
      </x:c>
      <x:c r="AQ225" s="23" t="str">
        <x:f>IFERROR(IF(C225="","",IF(AND(INDEX('Facilities'!$AF$9:$AF$108,MATCH(C225,'Facilities'!$C$9:$C$108,0))="Ready",INDEX(Credit!$U$209:$U$308,MATCH(F225,Credit!$C$209:$C$308,0))="Ready",ISNUMBER(W225)),"Ready","Review inputs")),"Review inputs")</x:f>
        <x:v>Ready</x:v>
      </x:c>
      <x:c r="AR225" s="23" t="n">
        <x:f>IF(C225="","",IF(AQ225&lt;&gt;"Ready","Unavailable",IF(C225="","",IF(O225=0,0,(IF(AJ225&lt;=1,O225,O225*INDEX('Facilities'!$R$9:$R$108,MATCH(C225,'Facilities'!$C$9:$C$108,0)))+O225*INDEX('Facilities'!$T$9:$T$108,MATCH(C225,'Facilities'!$C$9:$C$108,0)))/12))))</x:f>
        <x:v>0.10159702450000001</x:v>
      </x:c>
    </x:row>
    <x:row r="226" ht="26" customHeight="1">
      <x:c r="A226" s="1"/>
      <x:c r="B226" s="1"/>
      <x:c r="C226" s="9" t="str">
        <x:f>IF(Facilities!C26="","",Facilities!C26)</x:f>
        <x:v>F018</x:v>
      </x:c>
      <x:c r="D226" s="3" t="n">
        <x:v>3</x:v>
      </x:c>
      <x:c r="E226" s="9" t="n">
        <x:f>Settings!$F$18+2</x:f>
        <x:v>2029</x:v>
      </x:c>
      <x:c r="F226" s="9" t="str">
        <x:f>IF(C226="","",IFERROR(INDEX('Facilities'!$D$9:$D$108,MATCH(C226,'Facilities'!$C$9:$C$108,0)),"Unavailable"))</x:f>
        <x:v>B009</x:v>
      </x:c>
      <x:c r="G226" s="21" t="n">
        <x:f>IF(C226="","",IFERROR(O126,"Unavailable"))</x:f>
        <x:v>4.16432</x:v>
      </x:c>
      <x:c r="H226" s="21" t="n">
        <x:f>IF(C226="","",IFERROR(P126,"Unavailable"))</x:f>
        <x:v>0</x:v>
      </x:c>
      <x:c r="I226" s="21" t="n">
        <x:f>IF(C226="","",IFERROR(Q126,"Unavailable"))</x:f>
        <x:v>0.437</x:v>
      </x:c>
      <x:c r="J226" s="23" t="n">
        <x:f>IF(C226="","",IFERROR(IF(OR(H226&gt;0,AND(AC226&gt;=0,AC226&lt;D226),D226&gt;INDEX('Facilities'!$J$9:$J$108,MATCH(C226,'Facilities'!$C$9:$C$108,0))),0,I226*'Scenario Paths'!H81),"Unavailable"))</x:f>
        <x:v>0.06555</x:v>
      </x:c>
      <x:c r="K226" s="23" t="n">
        <x:f>IF(C226="","",IFERROR(IF(OR(H226&gt;0,AND(AC226&gt;=0,AC226=D226)),0,IF(D226&gt;=INDEX('Facilities'!$J$9:$J$108,MATCH(C226,'Facilities'!$C$9:$C$108,0)),G226+J226,MIN(G226+J226,G226*INDEX('Facilities'!$R$9:$R$108,MATCH(C226,'Facilities'!$C$9:$C$108,0))))),"Unavailable"))</x:f>
        <x:v>0.4997184</x:v>
      </x:c>
      <x:c r="L226" s="21" t="n">
        <x:f>IF(C226="","",IFERROR(IF(AND(AC226=D226,AC226&gt;0),MAX(0,G226+J226-K226),0),"Unavailable"))</x:f>
        <x:v>0</x:v>
      </x:c>
      <x:c r="M226" s="23" t="n">
        <x:f>IF(C226="","",IFERROR(IF(AND(AC226&gt;=0,D226&gt;=AC226+INDEX('Facilities'!$AK$9:$AK$108,MATCH(C226,'Facilities'!$C$9:$C$108,0))),(H226+L226)*AM226,0),"Unavailable"))</x:f>
        <x:v>0</x:v>
      </x:c>
      <x:c r="N226" s="23" t="n">
        <x:f>IF(C226="","",IFERROR(IF(AND(AC226&gt;=0,D226&gt;=AC226+INDEX('Facilities'!$AK$9:$AK$108,MATCH(C226,'Facilities'!$C$9:$C$108,0))),H226+L226-M226,0),"Unavailable"))</x:f>
        <x:v>0</x:v>
      </x:c>
      <x:c r="O226" s="21" t="n">
        <x:f>IF(C226="","",IFERROR(MAX(0,G226+J226-K226-L226),"Unavailable"))</x:f>
        <x:v>3.7301516</x:v>
      </x:c>
      <x:c r="P226" s="21" t="n">
        <x:f>IF(C226="","",IFERROR(MAX(0,H226+L226-M226-N226),"Unavailable"))</x:f>
        <x:v>0</x:v>
      </x:c>
      <x:c r="Q226" s="23" t="n">
        <x:f>IF(C226="","",IFERROR(IF(OR(D226&gt;=INDEX('Facilities'!$J$9:$J$108,MATCH(C226,'Facilities'!$C$9:$C$108,0)),AND(AC226&gt;=0,AC226&lt;=D226)),0,MAX(0,I226-J226)),"Unavailable"))</x:f>
        <x:v>0.37145</x:v>
      </x:c>
      <x:c r="R226" s="30" t="n">
        <x:f>IF(C226="","",IFERROR(INDEX(Credit!$Q$209:$Q$308,MATCH(F226,Credit!$C$209:$C$308,0)),"Unavailable"))</x:f>
        <x:v>0.051947279211720675</x:v>
      </x:c>
      <x:c r="S226" s="30" t="n">
        <x:f>IF(C226="","",IFERROR(INDEX(Credit!$R$209:$R$308,MATCH(F226,Credit!$C$209:$C$308,0)),"Unavailable"))</x:f>
        <x:v>0.40349440000000003</x:v>
      </x:c>
      <x:c r="T226" s="23" t="n">
        <x:f>IF(C226="","",IFERROR(IF(P226&gt;0,3,IF(OR(INDEX('Facilities'!$AD$9:$AD$108,MATCH(C226,'Facilities'!$C$9:$C$108,0))=2,AND(R226&gt;=INDEX('Facilities'!$L$9:$L$108,MATCH(C226,'Facilities'!$C$9:$C$108,0))*Settings!$F$19,R226-INDEX('Facilities'!$L$9:$L$108,MATCH(C226,'Facilities'!$C$9:$C$108,0))&gt;=Settings!$F$20)),2,1)),"Unavailable"))</x:f>
        <x:v>2</x:v>
      </x:c>
      <x:c r="U226" s="23" t="n">
        <x:f>IF(C226="","",IF(AQ226&lt;&gt;"Ready","Unavailable",IF(C226="","",O226*(1-(1-S226)/(1+INDEX('Facilities'!$K$9:$K$108,MATCH(C226,'Facilities'!$C$9:$C$108,0)))^INDEX('Facilities'!$AK$9:$AK$108,MATCH(C226,'Facilities'!$C$9:$C$108,0)))*R226/(1+INDEX('Facilities'!$K$9:$K$108,MATCH(C226,'Facilities'!$C$9:$C$108,0)))*IF(ABS(1-(1-R226)*(1-INDEX('Facilities'!$R$9:$R$108,MATCH(C226,'Facilities'!$C$9:$C$108,0)))/(1+INDEX('Facilities'!$K$9:$K$108,MATCH(C226,'Facilities'!$C$9:$C$108,0))))&lt;0.000000001,IF(T226=1,MIN(1,AJ226),AJ226),(1-((1-R226)*(1-INDEX('Facilities'!$R$9:$R$108,MATCH(C226,'Facilities'!$C$9:$C$108,0)))/(1+INDEX('Facilities'!$K$9:$K$108,MATCH(C226,'Facilities'!$C$9:$C$108,0))))^IF(T226=1,MIN(1,AJ226),AJ226))/(1-(1-R226)*(1-INDEX('Facilities'!$R$9:$R$108,MATCH(C226,'Facilities'!$C$9:$C$108,0)))/(1+INDEX('Facilities'!$K$9:$K$108,MATCH(C226,'Facilities'!$C$9:$C$108,0)))))+AL226)))</x:f>
        <x:v>0.27931727605600565</x:v>
      </x:c>
      <x:c r="V226" s="23" t="n">
        <x:f>IF(C226="","",IF(AQ226&lt;&gt;"Ready","Unavailable",IF(C226="","",Q226*INDEX('Facilities'!$I$9:$I$108,MATCH(C226,'Facilities'!$C$9:$C$108,0))*(1-(1-S226)/(1+INDEX('Facilities'!$K$9:$K$108,MATCH(C226,'Facilities'!$C$9:$C$108,0)))^INDEX('Facilities'!$AK$9:$AK$108,MATCH(C226,'Facilities'!$C$9:$C$108,0)))*R226/(1+INDEX('Facilities'!$K$9:$K$108,MATCH(C226,'Facilities'!$C$9:$C$108,0)))*IF(ABS(1-(1-R226)*(1-0)/(1+INDEX('Facilities'!$K$9:$K$108,MATCH(C226,'Facilities'!$C$9:$C$108,0))))&lt;0.000000001,IF(T226=1,MIN(1,AJ226),AJ226),(1-((1-R226)*(1-0)/(1+INDEX('Facilities'!$K$9:$K$108,MATCH(C226,'Facilities'!$C$9:$C$108,0))))^IF(T226=1,MIN(1,AJ226),AJ226))/(1-(1-R226)*(1-0)/(1+INDEX('Facilities'!$K$9:$K$108,MATCH(C226,'Facilities'!$C$9:$C$108,0))))))))</x:f>
        <x:v>0.017103737117591746</x:v>
      </x:c>
      <x:c r="W226" s="21" t="n">
        <x:f>IF(C226="","",IFERROR(U126,"Unavailable"))</x:f>
        <x:v>0.21378326649679413</x:v>
      </x:c>
      <x:c r="X226" s="21" t="n">
        <x:f>IF(C226="","",IFERROR(V126,"Unavailable"))</x:f>
        <x:v>0.0144951829232536</x:v>
      </x:c>
      <x:c r="Y226" s="21" t="n">
        <x:f>IF(C226="","",IF(AQ226&lt;&gt;"Ready","Unavailable",IF(C226="","",U226-W226+V226-X226+N226+AG226)))</x:f>
        <x:v>0.06814256375354966</x:v>
      </x:c>
      <x:c r="Z226" s="23" t="n">
        <x:f>IF(C226="","",IF(AQ226&lt;&gt;"Ready","Unavailable",IF(C226="","",(G226+O226+L226)/2*INDEX('Facilities'!$T$9:$T$108,MATCH(C226,'Facilities'!$C$9:$C$108,0))+AG226)))</x:f>
        <x:v>0.374987401</x:v>
      </x:c>
      <x:c r="AA226" s="23" t="n">
        <x:f>IF(C226="","",IF(AQ226&lt;&gt;"Ready","Unavailable",IF(C226="","",O226*(1-IF(INDEX('Facilities'!$AA$9:$AA$108,MATCH(C226,'Facilities'!$C$9:$C$108,0))=0,0,MIN(1,INDEX('Facilities'!$X$9:$X$108,MATCH(C226,'Facilities'!$C$9:$C$108,0))/INDEX('Facilities'!$AA$9:$AA$108,MATCH(C226,'Facilities'!$C$9:$C$108,0)))))*AF226+P226*(1-IF(INDEX('Facilities'!$AA$9:$AA$108,MATCH(C226,'Facilities'!$C$9:$C$108,0))=0,0,MIN(1,INDEX('Facilities'!$X$9:$X$108,MATCH(C226,'Facilities'!$C$9:$C$108,0))/INDEX('Facilities'!$AA$9:$AA$108,MATCH(C226,'Facilities'!$C$9:$C$108,0)))))*INDEX('Facilities'!$AJ$9:$AJ$108,MATCH(C226,'Facilities'!$C$9:$C$108,0))+Q226*INDEX('Facilities'!$AI$9:$AI$108,MATCH(C226,'Facilities'!$C$9:$C$108,0))*AF226)))</x:f>
        <x:v>4.613109227136</x:v>
      </x:c>
      <x:c r="AB226" s="21" t="n">
        <x:f>IF(C226="","",O226+P226-AD226)</x:f>
        <x:v>-0.4341683999999999</x:v>
      </x:c>
      <x:c r="AC226" s="23" t="n">
        <x:f>IF(C226="","",IFERROR(IF(INDEX('Facilities'!$AD$9:$AD$108,MATCH(C226,'Facilities'!$C$9:$C$108,0))=3,0,IF(INDEX('Facilities'!$AN$9:$AN$108,MATCH(C226,'Facilities'!$C$9:$C$108,0))=0,-1,INDEX('Facilities'!$AN$9:$AN$108,MATCH(C226,'Facilities'!$C$9:$C$108,0)))),"Unavailable"))</x:f>
        <x:v>-1</x:v>
      </x:c>
      <x:c r="AD226" s="21" t="n">
        <x:f>IF(C226="","",IFERROR(G226+H226,"Unavailable"))</x:f>
        <x:v>4.16432</x:v>
      </x:c>
      <x:c r="AE226" s="21" t="n">
        <x:f>IF(C226="","",IF(AQ226&lt;&gt;"Ready","Unavailable",IF(C226="","",O226+P226-AD226-J226+K226+M226+N226)))</x:f>
        <x:v>1.1102230246251565e-16</x:v>
      </x:c>
      <x:c r="AF226" s="30" t="n">
        <x:f>IF(C226="","",IFERROR(INDEX('Facilities'!$S$9:$S$108,MATCH(C226,'Facilities'!$C$9:$C$108,0))*'Scenario Paths'!H75,"Unavailable"))</x:f>
        <x:v>1.2</x:v>
      </x:c>
      <x:c r="AG226" s="23" t="n">
        <x:f>IF(C226="","",IF(AQ226&lt;&gt;"Ready","Unavailable",IF(C226="","",IF(H226&gt;0,MAX(0,H226-AK226)*((1+INDEX('Facilities'!$K$9:$K$108,MATCH(C226,'Facilities'!$C$9:$C$108,0)))^MIN(1,MAX(0,AC226+INDEX('Facilities'!$AK$9:$AK$108,MATCH(C226,'Facilities'!$C$9:$C$108,0))-D226+1))-1),0))))</x:f>
        <x:v>0</x:v>
      </x:c>
      <x:c r="AH226" s="21" t="n">
        <x:f>IF(C226="","",IF(AQ226&lt;&gt;"Ready","Unavailable",IF(C226="","",O226+P226)))</x:f>
        <x:v>3.7301516</x:v>
      </x:c>
      <x:c r="AI226" s="21" t="n">
        <x:f>IF(C226="","",IF(AQ226&lt;&gt;"Ready","Unavailable",IF(C226="","",Z226-Y226)))</x:f>
        <x:v>0.30684483724645034</x:v>
      </x:c>
      <x:c r="AJ226" s="23" t="n">
        <x:f>IF(C226="","",IFERROR(MAX(0,INDEX('Facilities'!$J$9:$J$108,MATCH(C226,'Facilities'!$C$9:$C$108,0))-D226),"Unavailable"))</x:f>
        <x:v>5</x:v>
      </x:c>
      <x:c r="AK226" s="21" t="n">
        <x:f>IF(C226="","",IFERROR(AL126,"Unavailable"))</x:f>
        <x:v>0</x:v>
      </x:c>
      <x:c r="AL226" s="23" t="n">
        <x:f>IF(C226="","",IFERROR(IF(P226&gt;0,P226*(1-AM226/(1+INDEX('Facilities'!$K$9:$K$108,MATCH(C226,'Facilities'!$C$9:$C$108,0)))^MAX(0,AC226+INDEX('Facilities'!$AK$9:$AK$108,MATCH(C226,'Facilities'!$C$9:$C$108,0))-D226)),0),"Unavailable"))</x:f>
        <x:v>0</x:v>
      </x:c>
      <x:c r="AM226" s="30" t="n">
        <x:f>IF(C226="","",IFERROR(INDEX('Facilities'!$AL$9:$AL$108,MATCH(C226,'Facilities'!$C$9:$C$108,0)),"Unavailable"))</x:f>
        <x:v>0.55</x:v>
      </x:c>
      <x:c r="AN226" s="30" t="n">
        <x:f>IF(C226="","",IFERROR(INDEX(Credit!$T$209:$T$308,MATCH(F226,Credit!$C$209:$C$308,0)),"Unavailable"))</x:f>
        <x:v>0.005824</x:v>
      </x:c>
      <x:c r="AO226" s="23" t="n">
        <x:f>IF(C226="","",IF(AQ226&lt;&gt;"Ready","Unavailable",IF(C226="","",O226+P226+Q226*INDEX('Facilities'!$I$9:$I$108,MATCH(C226,'Facilities'!$C$9:$C$108,0)))))</x:f>
        <x:v>3.9158766000000003</x:v>
      </x:c>
      <x:c r="AP226" s="21" t="n">
        <x:f>IF(C226="","",IF(AQ226&lt;&gt;"Ready","Unavailable",IF(C226="","",AH226-U226)))</x:f>
        <x:v>3.4508343239439947</x:v>
      </x:c>
      <x:c r="AQ226" s="23" t="str">
        <x:f>IFERROR(IF(C226="","",IF(AND(INDEX('Facilities'!$AF$9:$AF$108,MATCH(C226,'Facilities'!$C$9:$C$108,0))="Ready",INDEX(Credit!$U$209:$U$308,MATCH(F226,Credit!$C$209:$C$308,0))="Ready",ISNUMBER(W226)),"Ready","Review inputs")),"Review inputs")</x:f>
        <x:v>Ready</x:v>
      </x:c>
      <x:c r="AR226" s="23" t="n">
        <x:f>IF(C226="","",IF(AQ226&lt;&gt;"Ready","Unavailable",IF(C226="","",IF(O226=0,0,(IF(AJ226&lt;=1,O226,O226*INDEX('Facilities'!$R$9:$R$108,MATCH(C226,'Facilities'!$C$9:$C$108,0)))+O226*INDEX('Facilities'!$T$9:$T$108,MATCH(C226,'Facilities'!$C$9:$C$108,0)))/12))))</x:f>
        <x:v>0.06683188283333334</x:v>
      </x:c>
    </x:row>
    <x:row r="227" ht="26" customHeight="1">
      <x:c r="A227" s="1"/>
      <x:c r="B227" s="1"/>
      <x:c r="C227" s="9" t="str">
        <x:f>IF(Facilities!C27="","",Facilities!C27)</x:f>
        <x:v>F019</x:v>
      </x:c>
      <x:c r="D227" s="3" t="n">
        <x:v>3</x:v>
      </x:c>
      <x:c r="E227" s="9" t="n">
        <x:f>Settings!$F$18+2</x:f>
        <x:v>2029</x:v>
      </x:c>
      <x:c r="F227" s="9" t="str">
        <x:f>IF(C227="","",IFERROR(INDEX('Facilities'!$D$9:$D$108,MATCH(C227,'Facilities'!$C$9:$C$108,0)),"Unavailable"))</x:f>
        <x:v>B010</x:v>
      </x:c>
      <x:c r="G227" s="21" t="n">
        <x:f>IF(C227="","",IFERROR(O127,"Unavailable"))</x:f>
        <x:v>6.49136</x:v>
      </x:c>
      <x:c r="H227" s="21" t="n">
        <x:f>IF(C227="","",IFERROR(P127,"Unavailable"))</x:f>
        <x:v>0</x:v>
      </x:c>
      <x:c r="I227" s="21" t="n">
        <x:f>IF(C227="","",IFERROR(Q127,"Unavailable"))</x:f>
        <x:v>1.311</x:v>
      </x:c>
      <x:c r="J227" s="23" t="n">
        <x:f>IF(C227="","",IFERROR(IF(OR(H227&gt;0,AND(AC227&gt;=0,AC227&lt;D227),D227&gt;INDEX('Facilities'!$J$9:$J$108,MATCH(C227,'Facilities'!$C$9:$C$108,0))),0,I227*'Scenario Paths'!H81),"Unavailable"))</x:f>
        <x:v>0.19665</x:v>
      </x:c>
      <x:c r="K227" s="23" t="n">
        <x:f>IF(C227="","",IFERROR(IF(OR(H227&gt;0,AND(AC227&gt;=0,AC227=D227)),0,IF(D227&gt;=INDEX('Facilities'!$J$9:$J$108,MATCH(C227,'Facilities'!$C$9:$C$108,0)),G227+J227,MIN(G227+J227,G227*INDEX('Facilities'!$R$9:$R$108,MATCH(C227,'Facilities'!$C$9:$C$108,0))))),"Unavailable"))</x:f>
        <x:v>0.7789632</x:v>
      </x:c>
      <x:c r="L227" s="21" t="n">
        <x:f>IF(C227="","",IFERROR(IF(AND(AC227=D227,AC227&gt;0),MAX(0,G227+J227-K227),0),"Unavailable"))</x:f>
        <x:v>0</x:v>
      </x:c>
      <x:c r="M227" s="23" t="n">
        <x:f>IF(C227="","",IFERROR(IF(AND(AC227&gt;=0,D227&gt;=AC227+INDEX('Facilities'!$AK$9:$AK$108,MATCH(C227,'Facilities'!$C$9:$C$108,0))),(H227+L227)*AM227,0),"Unavailable"))</x:f>
        <x:v>0</x:v>
      </x:c>
      <x:c r="N227" s="23" t="n">
        <x:f>IF(C227="","",IFERROR(IF(AND(AC227&gt;=0,D227&gt;=AC227+INDEX('Facilities'!$AK$9:$AK$108,MATCH(C227,'Facilities'!$C$9:$C$108,0))),H227+L227-M227,0),"Unavailable"))</x:f>
        <x:v>0</x:v>
      </x:c>
      <x:c r="O227" s="21" t="n">
        <x:f>IF(C227="","",IFERROR(MAX(0,G227+J227-K227-L227),"Unavailable"))</x:f>
        <x:v>5.9090468000000005</x:v>
      </x:c>
      <x:c r="P227" s="21" t="n">
        <x:f>IF(C227="","",IFERROR(MAX(0,H227+L227-M227-N227),"Unavailable"))</x:f>
        <x:v>0</x:v>
      </x:c>
      <x:c r="Q227" s="23" t="n">
        <x:f>IF(C227="","",IFERROR(IF(OR(D227&gt;=INDEX('Facilities'!$J$9:$J$108,MATCH(C227,'Facilities'!$C$9:$C$108,0)),AND(AC227&gt;=0,AC227&lt;=D227)),0,MAX(0,I227-J227)),"Unavailable"))</x:f>
        <x:v>1.11435</x:v>
      </x:c>
      <x:c r="R227" s="30" t="n">
        <x:f>IF(C227="","",IFERROR(INDEX(Credit!$Q$209:$Q$308,MATCH(F227,Credit!$C$209:$C$308,0)),"Unavailable"))</x:f>
        <x:v>0.06097865593704146</x:v>
      </x:c>
      <x:c r="S227" s="30" t="n">
        <x:f>IF(C227="","",IFERROR(INDEX(Credit!$R$209:$R$308,MATCH(F227,Credit!$C$209:$C$308,0)),"Unavailable"))</x:f>
        <x:v>0.44213248000000005</x:v>
      </x:c>
      <x:c r="T227" s="23" t="n">
        <x:f>IF(C227="","",IFERROR(IF(P227&gt;0,3,IF(OR(INDEX('Facilities'!$AD$9:$AD$108,MATCH(C227,'Facilities'!$C$9:$C$108,0))=2,AND(R227&gt;=INDEX('Facilities'!$L$9:$L$108,MATCH(C227,'Facilities'!$C$9:$C$108,0))*Settings!$F$19,R227-INDEX('Facilities'!$L$9:$L$108,MATCH(C227,'Facilities'!$C$9:$C$108,0))&gt;=Settings!$F$20)),2,1)),"Unavailable"))</x:f>
        <x:v>2</x:v>
      </x:c>
      <x:c r="U227" s="23" t="n">
        <x:f>IF(C227="","",IF(AQ227&lt;&gt;"Ready","Unavailable",IF(C227="","",O227*(1-(1-S227)/(1+INDEX('Facilities'!$K$9:$K$108,MATCH(C227,'Facilities'!$C$9:$C$108,0)))^INDEX('Facilities'!$AK$9:$AK$108,MATCH(C227,'Facilities'!$C$9:$C$108,0)))*R227/(1+INDEX('Facilities'!$K$9:$K$108,MATCH(C227,'Facilities'!$C$9:$C$108,0)))*IF(ABS(1-(1-R227)*(1-INDEX('Facilities'!$R$9:$R$108,MATCH(C227,'Facilities'!$C$9:$C$108,0)))/(1+INDEX('Facilities'!$K$9:$K$108,MATCH(C227,'Facilities'!$C$9:$C$108,0))))&lt;0.000000001,IF(T227=1,MIN(1,AJ227),AJ227),(1-((1-R227)*(1-INDEX('Facilities'!$R$9:$R$108,MATCH(C227,'Facilities'!$C$9:$C$108,0)))/(1+INDEX('Facilities'!$K$9:$K$108,MATCH(C227,'Facilities'!$C$9:$C$108,0))))^IF(T227=1,MIN(1,AJ227),AJ227))/(1-(1-R227)*(1-INDEX('Facilities'!$R$9:$R$108,MATCH(C227,'Facilities'!$C$9:$C$108,0)))/(1+INDEX('Facilities'!$K$9:$K$108,MATCH(C227,'Facilities'!$C$9:$C$108,0)))))+AL227)))</x:f>
        <x:v>0.5924104215527286</x:v>
      </x:c>
      <x:c r="V227" s="23" t="n">
        <x:f>IF(C227="","",IF(AQ227&lt;&gt;"Ready","Unavailable",IF(C227="","",Q227*INDEX('Facilities'!$I$9:$I$108,MATCH(C227,'Facilities'!$C$9:$C$108,0))*(1-(1-S227)/(1+INDEX('Facilities'!$K$9:$K$108,MATCH(C227,'Facilities'!$C$9:$C$108,0)))^INDEX('Facilities'!$AK$9:$AK$108,MATCH(C227,'Facilities'!$C$9:$C$108,0)))*R227/(1+INDEX('Facilities'!$K$9:$K$108,MATCH(C227,'Facilities'!$C$9:$C$108,0)))*IF(ABS(1-(1-R227)*(1-0)/(1+INDEX('Facilities'!$K$9:$K$108,MATCH(C227,'Facilities'!$C$9:$C$108,0))))&lt;0.000000001,IF(T227=1,MIN(1,AJ227),AJ227),(1-((1-R227)*(1-0)/(1+INDEX('Facilities'!$K$9:$K$108,MATCH(C227,'Facilities'!$C$9:$C$108,0))))^IF(T227=1,MIN(1,AJ227),AJ227))/(1-(1-R227)*(1-0)/(1+INDEX('Facilities'!$K$9:$K$108,MATCH(C227,'Facilities'!$C$9:$C$108,0))))))))</x:f>
        <x:v>0.07141353521716855</x:v>
      </x:c>
      <x:c r="W227" s="21" t="n">
        <x:f>IF(C227="","",IFERROR(U127,"Unavailable"))</x:f>
        <x:v>0.4503870630673732</x:v>
      </x:c>
      <x:c r="X227" s="21" t="n">
        <x:f>IF(C227="","",IFERROR(V127,"Unavailable"))</x:f>
        <x:v>0.061043283534485106</x:v>
      </x:c>
      <x:c r="Y227" s="21" t="n">
        <x:f>IF(C227="","",IF(AQ227&lt;&gt;"Ready","Unavailable",IF(C227="","",U227-W227+V227-X227+N227+AG227)))</x:f>
        <x:v>0.15239361016803885</x:v>
      </x:c>
      <x:c r="Z227" s="23" t="n">
        <x:f>IF(C227="","",IF(AQ227&lt;&gt;"Ready","Unavailable",IF(C227="","",(G227+O227+L227)/2*INDEX('Facilities'!$T$9:$T$108,MATCH(C227,'Facilities'!$C$9:$C$108,0))+AG227)))</x:f>
        <x:v>0.589019323</x:v>
      </x:c>
      <x:c r="AA227" s="23" t="n">
        <x:f>IF(C227="","",IF(AQ227&lt;&gt;"Ready","Unavailable",IF(C227="","",O227*(1-IF(INDEX('Facilities'!$AA$9:$AA$108,MATCH(C227,'Facilities'!$C$9:$C$108,0))=0,0,MIN(1,INDEX('Facilities'!$X$9:$X$108,MATCH(C227,'Facilities'!$C$9:$C$108,0))/INDEX('Facilities'!$AA$9:$AA$108,MATCH(C227,'Facilities'!$C$9:$C$108,0)))))*AF227+P227*(1-IF(INDEX('Facilities'!$AA$9:$AA$108,MATCH(C227,'Facilities'!$C$9:$C$108,0))=0,0,MIN(1,INDEX('Facilities'!$X$9:$X$108,MATCH(C227,'Facilities'!$C$9:$C$108,0))/INDEX('Facilities'!$AA$9:$AA$108,MATCH(C227,'Facilities'!$C$9:$C$108,0)))))*INDEX('Facilities'!$AJ$9:$AJ$108,MATCH(C227,'Facilities'!$C$9:$C$108,0))+Q227*INDEX('Facilities'!$AI$9:$AI$108,MATCH(C227,'Facilities'!$C$9:$C$108,0))*AF227)))</x:f>
        <x:v>7.5722675573760005</x:v>
      </x:c>
      <x:c r="AB227" s="21" t="n">
        <x:f>IF(C227="","",O227+P227-AD227)</x:f>
        <x:v>-0.5823131999999998</x:v>
      </x:c>
      <x:c r="AC227" s="23" t="n">
        <x:f>IF(C227="","",IFERROR(IF(INDEX('Facilities'!$AD$9:$AD$108,MATCH(C227,'Facilities'!$C$9:$C$108,0))=3,0,IF(INDEX('Facilities'!$AN$9:$AN$108,MATCH(C227,'Facilities'!$C$9:$C$108,0))=0,-1,INDEX('Facilities'!$AN$9:$AN$108,MATCH(C227,'Facilities'!$C$9:$C$108,0)))),"Unavailable"))</x:f>
        <x:v>-1</x:v>
      </x:c>
      <x:c r="AD227" s="21" t="n">
        <x:f>IF(C227="","",IFERROR(G227+H227,"Unavailable"))</x:f>
        <x:v>6.49136</x:v>
      </x:c>
      <x:c r="AE227" s="21" t="n">
        <x:f>IF(C227="","",IF(AQ227&lt;&gt;"Ready","Unavailable",IF(C227="","",O227+P227-AD227-J227+K227+M227+N227)))</x:f>
        <x:v>2.220446049250313e-16</x:v>
      </x:c>
      <x:c r="AF227" s="30" t="n">
        <x:f>IF(C227="","",IFERROR(INDEX('Facilities'!$S$9:$S$108,MATCH(C227,'Facilities'!$C$9:$C$108,0))*'Scenario Paths'!H75,"Unavailable"))</x:f>
        <x:v>1.2</x:v>
      </x:c>
      <x:c r="AG227" s="23" t="n">
        <x:f>IF(C227="","",IF(AQ227&lt;&gt;"Ready","Unavailable",IF(C227="","",IF(H227&gt;0,MAX(0,H227-AK227)*((1+INDEX('Facilities'!$K$9:$K$108,MATCH(C227,'Facilities'!$C$9:$C$108,0)))^MIN(1,MAX(0,AC227+INDEX('Facilities'!$AK$9:$AK$108,MATCH(C227,'Facilities'!$C$9:$C$108,0))-D227+1))-1),0))))</x:f>
        <x:v>0</x:v>
      </x:c>
      <x:c r="AH227" s="21" t="n">
        <x:f>IF(C227="","",IF(AQ227&lt;&gt;"Ready","Unavailable",IF(C227="","",O227+P227)))</x:f>
        <x:v>5.9090468000000005</x:v>
      </x:c>
      <x:c r="AI227" s="21" t="n">
        <x:f>IF(C227="","",IF(AQ227&lt;&gt;"Ready","Unavailable",IF(C227="","",Z227-Y227)))</x:f>
        <x:v>0.43662571283196117</x:v>
      </x:c>
      <x:c r="AJ227" s="23" t="n">
        <x:f>IF(C227="","",IFERROR(MAX(0,INDEX('Facilities'!$J$9:$J$108,MATCH(C227,'Facilities'!$C$9:$C$108,0))-D227),"Unavailable"))</x:f>
        <x:v>6</x:v>
      </x:c>
      <x:c r="AK227" s="21" t="n">
        <x:f>IF(C227="","",IFERROR(AL127,"Unavailable"))</x:f>
        <x:v>0</x:v>
      </x:c>
      <x:c r="AL227" s="23" t="n">
        <x:f>IF(C227="","",IFERROR(IF(P227&gt;0,P227*(1-AM227/(1+INDEX('Facilities'!$K$9:$K$108,MATCH(C227,'Facilities'!$C$9:$C$108,0)))^MAX(0,AC227+INDEX('Facilities'!$AK$9:$AK$108,MATCH(C227,'Facilities'!$C$9:$C$108,0))-D227)),0),"Unavailable"))</x:f>
        <x:v>0</x:v>
      </x:c>
      <x:c r="AM227" s="30" t="n">
        <x:f>IF(C227="","",IFERROR(INDEX('Facilities'!$AL$9:$AL$108,MATCH(C227,'Facilities'!$C$9:$C$108,0)),"Unavailable"))</x:f>
        <x:v>0.55</x:v>
      </x:c>
      <x:c r="AN227" s="30" t="n">
        <x:f>IF(C227="","",IFERROR(INDEX(Credit!$T$209:$T$308,MATCH(F227,Credit!$C$209:$C$308,0)),"Unavailable"))</x:f>
        <x:v>0.0038079999999999998</x:v>
      </x:c>
      <x:c r="AO227" s="23" t="n">
        <x:f>IF(C227="","",IF(AQ227&lt;&gt;"Ready","Unavailable",IF(C227="","",O227+P227+Q227*INDEX('Facilities'!$I$9:$I$108,MATCH(C227,'Facilities'!$C$9:$C$108,0)))))</x:f>
        <x:v>6.4662218000000005</x:v>
      </x:c>
      <x:c r="AP227" s="21" t="n">
        <x:f>IF(C227="","",IF(AQ227&lt;&gt;"Ready","Unavailable",IF(C227="","",AH227-U227)))</x:f>
        <x:v>5.316636378447272</x:v>
      </x:c>
      <x:c r="AQ227" s="23" t="str">
        <x:f>IFERROR(IF(C227="","",IF(AND(INDEX('Facilities'!$AF$9:$AF$108,MATCH(C227,'Facilities'!$C$9:$C$108,0))="Ready",INDEX(Credit!$U$209:$U$308,MATCH(F227,Credit!$C$209:$C$308,0))="Ready",ISNUMBER(W227)),"Ready","Review inputs")),"Review inputs")</x:f>
        <x:v>Ready</x:v>
      </x:c>
      <x:c r="AR227" s="23" t="n">
        <x:f>IF(C227="","",IF(AQ227&lt;&gt;"Ready","Unavailable",IF(C227="","",IF(O227=0,0,(IF(AJ227&lt;=1,O227,O227*INDEX('Facilities'!$R$9:$R$108,MATCH(C227,'Facilities'!$C$9:$C$108,0)))+O227*INDEX('Facilities'!$T$9:$T$108,MATCH(C227,'Facilities'!$C$9:$C$108,0)))/12))))</x:f>
        <x:v>0.10587042183333335</x:v>
      </x:c>
    </x:row>
    <x:row r="228" ht="26" customHeight="1">
      <x:c r="A228" s="1"/>
      <x:c r="B228" s="1"/>
      <x:c r="C228" s="9" t="str">
        <x:f>IF(Facilities!C28="","",Facilities!C28)</x:f>
        <x:v>F020</x:v>
      </x:c>
      <x:c r="D228" s="3" t="n">
        <x:v>3</x:v>
      </x:c>
      <x:c r="E228" s="9" t="n">
        <x:f>Settings!$F$18+2</x:f>
        <x:v>2029</x:v>
      </x:c>
      <x:c r="F228" s="9" t="str">
        <x:f>IF(C228="","",IFERROR(INDEX('Facilities'!$D$9:$D$108,MATCH(C228,'Facilities'!$C$9:$C$108,0)),"Unavailable"))</x:f>
        <x:v>B010</x:v>
      </x:c>
      <x:c r="G228" s="21" t="n">
        <x:f>IF(C228="","",IFERROR(O128,"Unavailable"))</x:f>
        <x:v>4.435360000000001</x:v>
      </x:c>
      <x:c r="H228" s="21" t="n">
        <x:f>IF(C228="","",IFERROR(P128,"Unavailable"))</x:f>
        <x:v>0</x:v>
      </x:c>
      <x:c r="I228" s="21" t="n">
        <x:f>IF(C228="","",IFERROR(Q128,"Unavailable"))</x:f>
        <x:v>0.437</x:v>
      </x:c>
      <x:c r="J228" s="23" t="n">
        <x:f>IF(C228="","",IFERROR(IF(OR(H228&gt;0,AND(AC228&gt;=0,AC228&lt;D228),D228&gt;INDEX('Facilities'!$J$9:$J$108,MATCH(C228,'Facilities'!$C$9:$C$108,0))),0,I228*'Scenario Paths'!H81),"Unavailable"))</x:f>
        <x:v>0.06555</x:v>
      </x:c>
      <x:c r="K228" s="23" t="n">
        <x:f>IF(C228="","",IFERROR(IF(OR(H228&gt;0,AND(AC228&gt;=0,AC228=D228)),0,IF(D228&gt;=INDEX('Facilities'!$J$9:$J$108,MATCH(C228,'Facilities'!$C$9:$C$108,0)),G228+J228,MIN(G228+J228,G228*INDEX('Facilities'!$R$9:$R$108,MATCH(C228,'Facilities'!$C$9:$C$108,0))))),"Unavailable"))</x:f>
        <x:v>0.5322432000000001</x:v>
      </x:c>
      <x:c r="L228" s="21" t="n">
        <x:f>IF(C228="","",IFERROR(IF(AND(AC228=D228,AC228&gt;0),MAX(0,G228+J228-K228),0),"Unavailable"))</x:f>
        <x:v>0</x:v>
      </x:c>
      <x:c r="M228" s="23" t="n">
        <x:f>IF(C228="","",IFERROR(IF(AND(AC228&gt;=0,D228&gt;=AC228+INDEX('Facilities'!$AK$9:$AK$108,MATCH(C228,'Facilities'!$C$9:$C$108,0))),(H228+L228)*AM228,0),"Unavailable"))</x:f>
        <x:v>0</x:v>
      </x:c>
      <x:c r="N228" s="23" t="n">
        <x:f>IF(C228="","",IFERROR(IF(AND(AC228&gt;=0,D228&gt;=AC228+INDEX('Facilities'!$AK$9:$AK$108,MATCH(C228,'Facilities'!$C$9:$C$108,0))),H228+L228-M228,0),"Unavailable"))</x:f>
        <x:v>0</x:v>
      </x:c>
      <x:c r="O228" s="21" t="n">
        <x:f>IF(C228="","",IFERROR(MAX(0,G228+J228-K228-L228),"Unavailable"))</x:f>
        <x:v>3.968666800000001</x:v>
      </x:c>
      <x:c r="P228" s="21" t="n">
        <x:f>IF(C228="","",IFERROR(MAX(0,H228+L228-M228-N228),"Unavailable"))</x:f>
        <x:v>0</x:v>
      </x:c>
      <x:c r="Q228" s="23" t="n">
        <x:f>IF(C228="","",IFERROR(IF(OR(D228&gt;=INDEX('Facilities'!$J$9:$J$108,MATCH(C228,'Facilities'!$C$9:$C$108,0)),AND(AC228&gt;=0,AC228&lt;=D228)),0,MAX(0,I228-J228)),"Unavailable"))</x:f>
        <x:v>0.37145</x:v>
      </x:c>
      <x:c r="R228" s="30" t="n">
        <x:f>IF(C228="","",IFERROR(INDEX(Credit!$Q$209:$Q$308,MATCH(F228,Credit!$C$209:$C$308,0)),"Unavailable"))</x:f>
        <x:v>0.06097865593704146</x:v>
      </x:c>
      <x:c r="S228" s="30" t="n">
        <x:f>IF(C228="","",IFERROR(INDEX(Credit!$R$209:$R$308,MATCH(F228,Credit!$C$209:$C$308,0)),"Unavailable"))</x:f>
        <x:v>0.44213248000000005</x:v>
      </x:c>
      <x:c r="T228" s="23" t="n">
        <x:f>IF(C228="","",IFERROR(IF(P228&gt;0,3,IF(OR(INDEX('Facilities'!$AD$9:$AD$108,MATCH(C228,'Facilities'!$C$9:$C$108,0))=2,AND(R228&gt;=INDEX('Facilities'!$L$9:$L$108,MATCH(C228,'Facilities'!$C$9:$C$108,0))*Settings!$F$19,R228-INDEX('Facilities'!$L$9:$L$108,MATCH(C228,'Facilities'!$C$9:$C$108,0))&gt;=Settings!$F$20)),2,1)),"Unavailable"))</x:f>
        <x:v>2</x:v>
      </x:c>
      <x:c r="U228" s="23" t="n">
        <x:f>IF(C228="","",IF(AQ228&lt;&gt;"Ready","Unavailable",IF(C228="","",O228*(1-(1-S228)/(1+INDEX('Facilities'!$K$9:$K$108,MATCH(C228,'Facilities'!$C$9:$C$108,0)))^INDEX('Facilities'!$AK$9:$AK$108,MATCH(C228,'Facilities'!$C$9:$C$108,0)))*R228/(1+INDEX('Facilities'!$K$9:$K$108,MATCH(C228,'Facilities'!$C$9:$C$108,0)))*IF(ABS(1-(1-R228)*(1-INDEX('Facilities'!$R$9:$R$108,MATCH(C228,'Facilities'!$C$9:$C$108,0)))/(1+INDEX('Facilities'!$K$9:$K$108,MATCH(C228,'Facilities'!$C$9:$C$108,0))))&lt;0.000000001,IF(T228=1,MIN(1,AJ228),AJ228),(1-((1-R228)*(1-INDEX('Facilities'!$R$9:$R$108,MATCH(C228,'Facilities'!$C$9:$C$108,0)))/(1+INDEX('Facilities'!$K$9:$K$108,MATCH(C228,'Facilities'!$C$9:$C$108,0))))^IF(T228=1,MIN(1,AJ228),AJ228))/(1-(1-R228)*(1-INDEX('Facilities'!$R$9:$R$108,MATCH(C228,'Facilities'!$C$9:$C$108,0)))/(1+INDEX('Facilities'!$K$9:$K$108,MATCH(C228,'Facilities'!$C$9:$C$108,0)))))+AL228)))</x:f>
        <x:v>0.3978779744967189</x:v>
      </x:c>
      <x:c r="V228" s="23" t="n">
        <x:f>IF(C228="","",IF(AQ228&lt;&gt;"Ready","Unavailable",IF(C228="","",Q228*INDEX('Facilities'!$I$9:$I$108,MATCH(C228,'Facilities'!$C$9:$C$108,0))*(1-(1-S228)/(1+INDEX('Facilities'!$K$9:$K$108,MATCH(C228,'Facilities'!$C$9:$C$108,0)))^INDEX('Facilities'!$AK$9:$AK$108,MATCH(C228,'Facilities'!$C$9:$C$108,0)))*R228/(1+INDEX('Facilities'!$K$9:$K$108,MATCH(C228,'Facilities'!$C$9:$C$108,0)))*IF(ABS(1-(1-R228)*(1-0)/(1+INDEX('Facilities'!$K$9:$K$108,MATCH(C228,'Facilities'!$C$9:$C$108,0))))&lt;0.000000001,IF(T228=1,MIN(1,AJ228),AJ228),(1-((1-R228)*(1-0)/(1+INDEX('Facilities'!$K$9:$K$108,MATCH(C228,'Facilities'!$C$9:$C$108,0))))^IF(T228=1,MIN(1,AJ228),AJ228))/(1-(1-R228)*(1-0)/(1+INDEX('Facilities'!$K$9:$K$108,MATCH(C228,'Facilities'!$C$9:$C$108,0))))))))</x:f>
        <x:v>0.023804511739056188</x:v>
      </x:c>
      <x:c r="W228" s="21" t="n">
        <x:f>IF(C228="","",IFERROR(U128,"Unavailable"))</x:f>
        <x:v>0.307736555058802</x:v>
      </x:c>
      <x:c r="X228" s="21" t="n">
        <x:f>IF(C228="","",IFERROR(V128,"Unavailable"))</x:f>
        <x:v>0.020347761178161703</x:v>
      </x:c>
      <x:c r="Y228" s="21" t="n">
        <x:f>IF(C228="","",IF(AQ228&lt;&gt;"Ready","Unavailable",IF(C228="","",U228-W228+V228-X228+N228+AG228)))</x:f>
        <x:v>0.09359816999881142</x:v>
      </x:c>
      <x:c r="Z228" s="23" t="n">
        <x:f>IF(C228="","",IF(AQ228&lt;&gt;"Ready","Unavailable",IF(C228="","",(G228+O228+L228)/2*INDEX('Facilities'!$T$9:$T$108,MATCH(C228,'Facilities'!$C$9:$C$108,0))+AG228)))</x:f>
        <x:v>0.3991912730000001</x:v>
      </x:c>
      <x:c r="AA228" s="23" t="n">
        <x:f>IF(C228="","",IF(AQ228&lt;&gt;"Ready","Unavailable",IF(C228="","",O228*(1-IF(INDEX('Facilities'!$AA$9:$AA$108,MATCH(C228,'Facilities'!$C$9:$C$108,0))=0,0,MIN(1,INDEX('Facilities'!$X$9:$X$108,MATCH(C228,'Facilities'!$C$9:$C$108,0))/INDEX('Facilities'!$AA$9:$AA$108,MATCH(C228,'Facilities'!$C$9:$C$108,0)))))*AF228+P228*(1-IF(INDEX('Facilities'!$AA$9:$AA$108,MATCH(C228,'Facilities'!$C$9:$C$108,0))=0,0,MIN(1,INDEX('Facilities'!$X$9:$X$108,MATCH(C228,'Facilities'!$C$9:$C$108,0))/INDEX('Facilities'!$AA$9:$AA$108,MATCH(C228,'Facilities'!$C$9:$C$108,0)))))*INDEX('Facilities'!$AJ$9:$AJ$108,MATCH(C228,'Facilities'!$C$9:$C$108,0))+Q228*INDEX('Facilities'!$AI$9:$AI$108,MATCH(C228,'Facilities'!$C$9:$C$108,0))*AF228)))</x:f>
        <x:v>4.859542795776002</x:v>
      </x:c>
      <x:c r="AB228" s="21" t="n">
        <x:f>IF(C228="","",O228+P228-AD228)</x:f>
        <x:v>-0.4666931999999999</x:v>
      </x:c>
      <x:c r="AC228" s="23" t="n">
        <x:f>IF(C228="","",IFERROR(IF(INDEX('Facilities'!$AD$9:$AD$108,MATCH(C228,'Facilities'!$C$9:$C$108,0))=3,0,IF(INDEX('Facilities'!$AN$9:$AN$108,MATCH(C228,'Facilities'!$C$9:$C$108,0))=0,-1,INDEX('Facilities'!$AN$9:$AN$108,MATCH(C228,'Facilities'!$C$9:$C$108,0)))),"Unavailable"))</x:f>
        <x:v>-1</x:v>
      </x:c>
      <x:c r="AD228" s="21" t="n">
        <x:f>IF(C228="","",IFERROR(G228+H228,"Unavailable"))</x:f>
        <x:v>4.435360000000001</x:v>
      </x:c>
      <x:c r="AE228" s="21" t="n">
        <x:f>IF(C228="","",IF(AQ228&lt;&gt;"Ready","Unavailable",IF(C228="","",O228+P228-AD228-J228+K228+M228+N228)))</x:f>
        <x:v>2.220446049250313e-16</x:v>
      </x:c>
      <x:c r="AF228" s="30" t="n">
        <x:f>IF(C228="","",IFERROR(INDEX('Facilities'!$S$9:$S$108,MATCH(C228,'Facilities'!$C$9:$C$108,0))*'Scenario Paths'!H75,"Unavailable"))</x:f>
        <x:v>1.2</x:v>
      </x:c>
      <x:c r="AG228" s="23" t="n">
        <x:f>IF(C228="","",IF(AQ228&lt;&gt;"Ready","Unavailable",IF(C228="","",IF(H228&gt;0,MAX(0,H228-AK228)*((1+INDEX('Facilities'!$K$9:$K$108,MATCH(C228,'Facilities'!$C$9:$C$108,0)))^MIN(1,MAX(0,AC228+INDEX('Facilities'!$AK$9:$AK$108,MATCH(C228,'Facilities'!$C$9:$C$108,0))-D228+1))-1),0))))</x:f>
        <x:v>0</x:v>
      </x:c>
      <x:c r="AH228" s="21" t="n">
        <x:f>IF(C228="","",IF(AQ228&lt;&gt;"Ready","Unavailable",IF(C228="","",O228+P228)))</x:f>
        <x:v>3.968666800000001</x:v>
      </x:c>
      <x:c r="AI228" s="21" t="n">
        <x:f>IF(C228="","",IF(AQ228&lt;&gt;"Ready","Unavailable",IF(C228="","",Z228-Y228)))</x:f>
        <x:v>0.3055931030011887</x:v>
      </x:c>
      <x:c r="AJ228" s="23" t="n">
        <x:f>IF(C228="","",IFERROR(MAX(0,INDEX('Facilities'!$J$9:$J$108,MATCH(C228,'Facilities'!$C$9:$C$108,0))-D228),"Unavailable"))</x:f>
        <x:v>6</x:v>
      </x:c>
      <x:c r="AK228" s="21" t="n">
        <x:f>IF(C228="","",IFERROR(AL128,"Unavailable"))</x:f>
        <x:v>0</x:v>
      </x:c>
      <x:c r="AL228" s="23" t="n">
        <x:f>IF(C228="","",IFERROR(IF(P228&gt;0,P228*(1-AM228/(1+INDEX('Facilities'!$K$9:$K$108,MATCH(C228,'Facilities'!$C$9:$C$108,0)))^MAX(0,AC228+INDEX('Facilities'!$AK$9:$AK$108,MATCH(C228,'Facilities'!$C$9:$C$108,0))-D228)),0),"Unavailable"))</x:f>
        <x:v>0</x:v>
      </x:c>
      <x:c r="AM228" s="30" t="n">
        <x:f>IF(C228="","",IFERROR(INDEX('Facilities'!$AL$9:$AL$108,MATCH(C228,'Facilities'!$C$9:$C$108,0)),"Unavailable"))</x:f>
        <x:v>0.55</x:v>
      </x:c>
      <x:c r="AN228" s="30" t="n">
        <x:f>IF(C228="","",IFERROR(INDEX(Credit!$T$209:$T$308,MATCH(F228,Credit!$C$209:$C$308,0)),"Unavailable"))</x:f>
        <x:v>0.0038079999999999998</x:v>
      </x:c>
      <x:c r="AO228" s="23" t="n">
        <x:f>IF(C228="","",IF(AQ228&lt;&gt;"Ready","Unavailable",IF(C228="","",O228+P228+Q228*INDEX('Facilities'!$I$9:$I$108,MATCH(C228,'Facilities'!$C$9:$C$108,0)))))</x:f>
        <x:v>4.154391800000001</x:v>
      </x:c>
      <x:c r="AP228" s="21" t="n">
        <x:f>IF(C228="","",IF(AQ228&lt;&gt;"Ready","Unavailable",IF(C228="","",AH228-U228)))</x:f>
        <x:v>3.570788825503282</x:v>
      </x:c>
      <x:c r="AQ228" s="23" t="str">
        <x:f>IFERROR(IF(C228="","",IF(AND(INDEX('Facilities'!$AF$9:$AF$108,MATCH(C228,'Facilities'!$C$9:$C$108,0))="Ready",INDEX(Credit!$U$209:$U$308,MATCH(F228,Credit!$C$209:$C$308,0))="Ready",ISNUMBER(W228)),"Ready","Review inputs")),"Review inputs")</x:f>
        <x:v>Ready</x:v>
      </x:c>
      <x:c r="AR228" s="23" t="n">
        <x:f>IF(C228="","",IF(AQ228&lt;&gt;"Ready","Unavailable",IF(C228="","",IF(O228=0,0,(IF(AJ228&lt;=1,O228,O228*INDEX('Facilities'!$R$9:$R$108,MATCH(C228,'Facilities'!$C$9:$C$108,0)))+O228*INDEX('Facilities'!$T$9:$T$108,MATCH(C228,'Facilities'!$C$9:$C$108,0)))/12))))</x:f>
        <x:v>0.07110528016666669</x:v>
      </x:c>
    </x:row>
    <x:row r="229" ht="26" customHeight="1">
      <x:c r="A229" s="1"/>
      <x:c r="B229" s="1"/>
      <x:c r="C229" s="9" t="str">
        <x:f>IF(Facilities!C29="","",Facilities!C29)</x:f>
        <x:v>F021</x:v>
      </x:c>
      <x:c r="D229" s="3" t="n">
        <x:v>3</x:v>
      </x:c>
      <x:c r="E229" s="9" t="n">
        <x:f>Settings!$F$18+2</x:f>
        <x:v>2029</x:v>
      </x:c>
      <x:c r="F229" s="9" t="str">
        <x:f>IF(C229="","",IFERROR(INDEX('Facilities'!$D$9:$D$108,MATCH(C229,'Facilities'!$C$9:$C$108,0)),"Unavailable"))</x:f>
        <x:v>B011</x:v>
      </x:c>
      <x:c r="G229" s="21" t="n">
        <x:f>IF(C229="","",IFERROR(O129,"Unavailable"))</x:f>
        <x:v>6.7623999999999995</x:v>
      </x:c>
      <x:c r="H229" s="21" t="n">
        <x:f>IF(C229="","",IFERROR(P129,"Unavailable"))</x:f>
        <x:v>0</x:v>
      </x:c>
      <x:c r="I229" s="21" t="n">
        <x:f>IF(C229="","",IFERROR(Q129,"Unavailable"))</x:f>
        <x:v>1.311</x:v>
      </x:c>
      <x:c r="J229" s="23" t="n">
        <x:f>IF(C229="","",IFERROR(IF(OR(H229&gt;0,AND(AC229&gt;=0,AC229&lt;D229),D229&gt;INDEX('Facilities'!$J$9:$J$108,MATCH(C229,'Facilities'!$C$9:$C$108,0))),0,I229*'Scenario Paths'!H81),"Unavailable"))</x:f>
        <x:v>0.19665</x:v>
      </x:c>
      <x:c r="K229" s="23" t="n">
        <x:f>IF(C229="","",IFERROR(IF(OR(H229&gt;0,AND(AC229&gt;=0,AC229=D229)),0,IF(D229&gt;=INDEX('Facilities'!$J$9:$J$108,MATCH(C229,'Facilities'!$C$9:$C$108,0)),G229+J229,MIN(G229+J229,G229*INDEX('Facilities'!$R$9:$R$108,MATCH(C229,'Facilities'!$C$9:$C$108,0))))),"Unavailable"))</x:f>
        <x:v>0.8114879999999999</x:v>
      </x:c>
      <x:c r="L229" s="21" t="n">
        <x:f>IF(C229="","",IFERROR(IF(AND(AC229=D229,AC229&gt;0),MAX(0,G229+J229-K229),0),"Unavailable"))</x:f>
        <x:v>0</x:v>
      </x:c>
      <x:c r="M229" s="23" t="n">
        <x:f>IF(C229="","",IFERROR(IF(AND(AC229&gt;=0,D229&gt;=AC229+INDEX('Facilities'!$AK$9:$AK$108,MATCH(C229,'Facilities'!$C$9:$C$108,0))),(H229+L229)*AM229,0),"Unavailable"))</x:f>
        <x:v>0</x:v>
      </x:c>
      <x:c r="N229" s="23" t="n">
        <x:f>IF(C229="","",IFERROR(IF(AND(AC229&gt;=0,D229&gt;=AC229+INDEX('Facilities'!$AK$9:$AK$108,MATCH(C229,'Facilities'!$C$9:$C$108,0))),H229+L229-M229,0),"Unavailable"))</x:f>
        <x:v>0</x:v>
      </x:c>
      <x:c r="O229" s="21" t="n">
        <x:f>IF(C229="","",IFERROR(MAX(0,G229+J229-K229-L229),"Unavailable"))</x:f>
        <x:v>6.147562</x:v>
      </x:c>
      <x:c r="P229" s="21" t="n">
        <x:f>IF(C229="","",IFERROR(MAX(0,H229+L229-M229-N229),"Unavailable"))</x:f>
        <x:v>0</x:v>
      </x:c>
      <x:c r="Q229" s="23" t="n">
        <x:f>IF(C229="","",IFERROR(IF(OR(D229&gt;=INDEX('Facilities'!$J$9:$J$108,MATCH(C229,'Facilities'!$C$9:$C$108,0)),AND(AC229&gt;=0,AC229&lt;=D229)),0,MAX(0,I229-J229)),"Unavailable"))</x:f>
        <x:v>1.11435</x:v>
      </x:c>
      <x:c r="R229" s="30" t="n">
        <x:f>IF(C229="","",IFERROR(INDEX(Credit!$Q$209:$Q$308,MATCH(F229,Credit!$C$209:$C$308,0)),"Unavailable"))</x:f>
        <x:v>0.07349995498541419</x:v>
      </x:c>
      <x:c r="S229" s="30" t="n">
        <x:f>IF(C229="","",IFERROR(INDEX(Credit!$R$209:$R$308,MATCH(F229,Credit!$C$209:$C$308,0)),"Unavailable"))</x:f>
        <x:v>0.281152</x:v>
      </x:c>
      <x:c r="T229" s="23" t="n">
        <x:f>IF(C229="","",IFERROR(IF(P229&gt;0,3,IF(OR(INDEX('Facilities'!$AD$9:$AD$108,MATCH(C229,'Facilities'!$C$9:$C$108,0))=2,AND(R229&gt;=INDEX('Facilities'!$L$9:$L$108,MATCH(C229,'Facilities'!$C$9:$C$108,0))*Settings!$F$19,R229-INDEX('Facilities'!$L$9:$L$108,MATCH(C229,'Facilities'!$C$9:$C$108,0))&gt;=Settings!$F$20)),2,1)),"Unavailable"))</x:f>
        <x:v>2</x:v>
      </x:c>
      <x:c r="U229" s="23" t="n">
        <x:f>IF(C229="","",IF(AQ229&lt;&gt;"Ready","Unavailable",IF(C229="","",O229*(1-(1-S229)/(1+INDEX('Facilities'!$K$9:$K$108,MATCH(C229,'Facilities'!$C$9:$C$108,0)))^INDEX('Facilities'!$AK$9:$AK$108,MATCH(C229,'Facilities'!$C$9:$C$108,0)))*R229/(1+INDEX('Facilities'!$K$9:$K$108,MATCH(C229,'Facilities'!$C$9:$C$108,0)))*IF(ABS(1-(1-R229)*(1-INDEX('Facilities'!$R$9:$R$108,MATCH(C229,'Facilities'!$C$9:$C$108,0)))/(1+INDEX('Facilities'!$K$9:$K$108,MATCH(C229,'Facilities'!$C$9:$C$108,0))))&lt;0.000000001,IF(T229=1,MIN(1,AJ229),AJ229),(1-((1-R229)*(1-INDEX('Facilities'!$R$9:$R$108,MATCH(C229,'Facilities'!$C$9:$C$108,0)))/(1+INDEX('Facilities'!$K$9:$K$108,MATCH(C229,'Facilities'!$C$9:$C$108,0))))^IF(T229=1,MIN(1,AJ229),AJ229))/(1-(1-R229)*(1-INDEX('Facilities'!$R$9:$R$108,MATCH(C229,'Facilities'!$C$9:$C$108,0)))/(1+INDEX('Facilities'!$K$9:$K$108,MATCH(C229,'Facilities'!$C$9:$C$108,0)))))+AL229)))</x:f>
        <x:v>0.28172217024532303</x:v>
      </x:c>
      <x:c r="V229" s="23" t="n">
        <x:f>IF(C229="","",IF(AQ229&lt;&gt;"Ready","Unavailable",IF(C229="","",Q229*INDEX('Facilities'!$I$9:$I$108,MATCH(C229,'Facilities'!$C$9:$C$108,0))*(1-(1-S229)/(1+INDEX('Facilities'!$K$9:$K$108,MATCH(C229,'Facilities'!$C$9:$C$108,0)))^INDEX('Facilities'!$AK$9:$AK$108,MATCH(C229,'Facilities'!$C$9:$C$108,0)))*R229/(1+INDEX('Facilities'!$K$9:$K$108,MATCH(C229,'Facilities'!$C$9:$C$108,0)))*IF(ABS(1-(1-R229)*(1-0)/(1+INDEX('Facilities'!$K$9:$K$108,MATCH(C229,'Facilities'!$C$9:$C$108,0))))&lt;0.000000001,IF(T229=1,MIN(1,AJ229),AJ229),(1-((1-R229)*(1-0)/(1+INDEX('Facilities'!$K$9:$K$108,MATCH(C229,'Facilities'!$C$9:$C$108,0))))^IF(T229=1,MIN(1,AJ229),AJ229))/(1-(1-R229)*(1-0)/(1+INDEX('Facilities'!$K$9:$K$108,MATCH(C229,'Facilities'!$C$9:$C$108,0))))))))</x:f>
        <x:v>0.0270312636800032</x:v>
      </x:c>
      <x:c r="W229" s="21" t="n">
        <x:f>IF(C229="","",IFERROR(U129,"Unavailable"))</x:f>
        <x:v>0.11028646986372544</x:v>
      </x:c>
      <x:c r="X229" s="21" t="n">
        <x:f>IF(C229="","",IFERROR(V129,"Unavailable"))</x:f>
        <x:v>0.010690402962804926</x:v>
      </x:c>
      <x:c r="Y229" s="21" t="n">
        <x:f>IF(C229="","",IF(AQ229&lt;&gt;"Ready","Unavailable",IF(C229="","",U229-W229+V229-X229+N229+AG229)))</x:f>
        <x:v>0.18777656109879587</x:v>
      </x:c>
      <x:c r="Z229" s="23" t="n">
        <x:f>IF(C229="","",IF(AQ229&lt;&gt;"Ready","Unavailable",IF(C229="","",(G229+O229+L229)/2*INDEX('Facilities'!$T$9:$T$108,MATCH(C229,'Facilities'!$C$9:$C$108,0))+AG229)))</x:f>
        <x:v>0.613223195</x:v>
      </x:c>
      <x:c r="AA229" s="23" t="n">
        <x:f>IF(C229="","",IF(AQ229&lt;&gt;"Ready","Unavailable",IF(C229="","",O229*(1-IF(INDEX('Facilities'!$AA$9:$AA$108,MATCH(C229,'Facilities'!$C$9:$C$108,0))=0,0,MIN(1,INDEX('Facilities'!$X$9:$X$108,MATCH(C229,'Facilities'!$C$9:$C$108,0))/INDEX('Facilities'!$AA$9:$AA$108,MATCH(C229,'Facilities'!$C$9:$C$108,0)))))*AF229+P229*(1-IF(INDEX('Facilities'!$AA$9:$AA$108,MATCH(C229,'Facilities'!$C$9:$C$108,0))=0,0,MIN(1,INDEX('Facilities'!$X$9:$X$108,MATCH(C229,'Facilities'!$C$9:$C$108,0))/INDEX('Facilities'!$AA$9:$AA$108,MATCH(C229,'Facilities'!$C$9:$C$108,0)))))*INDEX('Facilities'!$AJ$9:$AJ$108,MATCH(C229,'Facilities'!$C$9:$C$108,0))+Q229*INDEX('Facilities'!$AI$9:$AI$108,MATCH(C229,'Facilities'!$C$9:$C$108,0))*AF229)))</x:f>
        <x:v>7.896962580096</x:v>
      </x:c>
      <x:c r="AB229" s="21" t="n">
        <x:f>IF(C229="","",O229+P229-AD229)</x:f>
        <x:v>-0.6148379999999998</x:v>
      </x:c>
      <x:c r="AC229" s="23" t="n">
        <x:f>IF(C229="","",IFERROR(IF(INDEX('Facilities'!$AD$9:$AD$108,MATCH(C229,'Facilities'!$C$9:$C$108,0))=3,0,IF(INDEX('Facilities'!$AN$9:$AN$108,MATCH(C229,'Facilities'!$C$9:$C$108,0))=0,-1,INDEX('Facilities'!$AN$9:$AN$108,MATCH(C229,'Facilities'!$C$9:$C$108,0)))),"Unavailable"))</x:f>
        <x:v>-1</x:v>
      </x:c>
      <x:c r="AD229" s="21" t="n">
        <x:f>IF(C229="","",IFERROR(G229+H229,"Unavailable"))</x:f>
        <x:v>6.7623999999999995</x:v>
      </x:c>
      <x:c r="AE229" s="21" t="n">
        <x:f>IF(C229="","",IF(AQ229&lt;&gt;"Ready","Unavailable",IF(C229="","",O229+P229-AD229-J229+K229+M229+N229)))</x:f>
        <x:v>1.1102230246251565e-16</x:v>
      </x:c>
      <x:c r="AF229" s="30" t="n">
        <x:f>IF(C229="","",IFERROR(INDEX('Facilities'!$S$9:$S$108,MATCH(C229,'Facilities'!$C$9:$C$108,0))*'Scenario Paths'!H75,"Unavailable"))</x:f>
        <x:v>1.2</x:v>
      </x:c>
      <x:c r="AG229" s="23" t="n">
        <x:f>IF(C229="","",IF(AQ229&lt;&gt;"Ready","Unavailable",IF(C229="","",IF(H229&gt;0,MAX(0,H229-AK229)*((1+INDEX('Facilities'!$K$9:$K$108,MATCH(C229,'Facilities'!$C$9:$C$108,0)))^MIN(1,MAX(0,AC229+INDEX('Facilities'!$AK$9:$AK$108,MATCH(C229,'Facilities'!$C$9:$C$108,0))-D229+1))-1),0))))</x:f>
        <x:v>0</x:v>
      </x:c>
      <x:c r="AH229" s="21" t="n">
        <x:f>IF(C229="","",IF(AQ229&lt;&gt;"Ready","Unavailable",IF(C229="","",O229+P229)))</x:f>
        <x:v>6.147562</x:v>
      </x:c>
      <x:c r="AI229" s="21" t="n">
        <x:f>IF(C229="","",IF(AQ229&lt;&gt;"Ready","Unavailable",IF(C229="","",Z229-Y229)))</x:f>
        <x:v>0.42544663390120413</x:v>
      </x:c>
      <x:c r="AJ229" s="23" t="n">
        <x:f>IF(C229="","",IFERROR(MAX(0,INDEX('Facilities'!$J$9:$J$108,MATCH(C229,'Facilities'!$C$9:$C$108,0))-D229),"Unavailable"))</x:f>
        <x:v>2</x:v>
      </x:c>
      <x:c r="AK229" s="21" t="n">
        <x:f>IF(C229="","",IFERROR(AL129,"Unavailable"))</x:f>
        <x:v>0</x:v>
      </x:c>
      <x:c r="AL229" s="23" t="n">
        <x:f>IF(C229="","",IFERROR(IF(P229&gt;0,P229*(1-AM229/(1+INDEX('Facilities'!$K$9:$K$108,MATCH(C229,'Facilities'!$C$9:$C$108,0)))^MAX(0,AC229+INDEX('Facilities'!$AK$9:$AK$108,MATCH(C229,'Facilities'!$C$9:$C$108,0))-D229)),0),"Unavailable"))</x:f>
        <x:v>0</x:v>
      </x:c>
      <x:c r="AM229" s="30" t="n">
        <x:f>IF(C229="","",IFERROR(INDEX('Facilities'!$AL$9:$AL$108,MATCH(C229,'Facilities'!$C$9:$C$108,0)),"Unavailable"))</x:f>
        <x:v>0.55</x:v>
      </x:c>
      <x:c r="AN229" s="30" t="n">
        <x:f>IF(C229="","",IFERROR(INDEX(Credit!$T$209:$T$308,MATCH(F229,Credit!$C$209:$C$308,0)),"Unavailable"))</x:f>
        <x:v>0.0016000000000000003</x:v>
      </x:c>
      <x:c r="AO229" s="23" t="n">
        <x:f>IF(C229="","",IF(AQ229&lt;&gt;"Ready","Unavailable",IF(C229="","",O229+P229+Q229*INDEX('Facilities'!$I$9:$I$108,MATCH(C229,'Facilities'!$C$9:$C$108,0)))))</x:f>
        <x:v>6.704737</x:v>
      </x:c>
      <x:c r="AP229" s="21" t="n">
        <x:f>IF(C229="","",IF(AQ229&lt;&gt;"Ready","Unavailable",IF(C229="","",AH229-U229)))</x:f>
        <x:v>5.865839829754677</x:v>
      </x:c>
      <x:c r="AQ229" s="23" t="str">
        <x:f>IFERROR(IF(C229="","",IF(AND(INDEX('Facilities'!$AF$9:$AF$108,MATCH(C229,'Facilities'!$C$9:$C$108,0))="Ready",INDEX(Credit!$U$209:$U$308,MATCH(F229,Credit!$C$209:$C$308,0))="Ready",ISNUMBER(W229)),"Ready","Review inputs")),"Review inputs")</x:f>
        <x:v>Ready</x:v>
      </x:c>
      <x:c r="AR229" s="23" t="n">
        <x:f>IF(C229="","",IF(AQ229&lt;&gt;"Ready","Unavailable",IF(C229="","",IF(O229=0,0,(IF(AJ229&lt;=1,O229,O229*INDEX('Facilities'!$R$9:$R$108,MATCH(C229,'Facilities'!$C$9:$C$108,0)))+O229*INDEX('Facilities'!$T$9:$T$108,MATCH(C229,'Facilities'!$C$9:$C$108,0)))/12))))</x:f>
        <x:v>0.11014381916666667</x:v>
      </x:c>
    </x:row>
    <x:row r="230" ht="26" customHeight="1">
      <x:c r="A230" s="1"/>
      <x:c r="B230" s="1"/>
      <x:c r="C230" s="9" t="str">
        <x:f>IF(Facilities!C30="","",Facilities!C30)</x:f>
        <x:v>F022</x:v>
      </x:c>
      <x:c r="D230" s="3" t="n">
        <x:v>3</x:v>
      </x:c>
      <x:c r="E230" s="9" t="n">
        <x:f>Settings!$F$18+2</x:f>
        <x:v>2029</x:v>
      </x:c>
      <x:c r="F230" s="9" t="str">
        <x:f>IF(C230="","",IFERROR(INDEX('Facilities'!$D$9:$D$108,MATCH(C230,'Facilities'!$C$9:$C$108,0)),"Unavailable"))</x:f>
        <x:v>B011</x:v>
      </x:c>
      <x:c r="G230" s="21" t="n">
        <x:f>IF(C230="","",IFERROR(O130,"Unavailable"))</x:f>
        <x:v>4.7064</x:v>
      </x:c>
      <x:c r="H230" s="21" t="n">
        <x:f>IF(C230="","",IFERROR(P130,"Unavailable"))</x:f>
        <x:v>0</x:v>
      </x:c>
      <x:c r="I230" s="21" t="n">
        <x:f>IF(C230="","",IFERROR(Q130,"Unavailable"))</x:f>
        <x:v>0.437</x:v>
      </x:c>
      <x:c r="J230" s="23" t="n">
        <x:f>IF(C230="","",IFERROR(IF(OR(H230&gt;0,AND(AC230&gt;=0,AC230&lt;D230),D230&gt;INDEX('Facilities'!$J$9:$J$108,MATCH(C230,'Facilities'!$C$9:$C$108,0))),0,I230*'Scenario Paths'!H81),"Unavailable"))</x:f>
        <x:v>0.06555</x:v>
      </x:c>
      <x:c r="K230" s="23" t="n">
        <x:f>IF(C230="","",IFERROR(IF(OR(H230&gt;0,AND(AC230&gt;=0,AC230=D230)),0,IF(D230&gt;=INDEX('Facilities'!$J$9:$J$108,MATCH(C230,'Facilities'!$C$9:$C$108,0)),G230+J230,MIN(G230+J230,G230*INDEX('Facilities'!$R$9:$R$108,MATCH(C230,'Facilities'!$C$9:$C$108,0))))),"Unavailable"))</x:f>
        <x:v>0.564768</x:v>
      </x:c>
      <x:c r="L230" s="21" t="n">
        <x:f>IF(C230="","",IFERROR(IF(AND(AC230=D230,AC230&gt;0),MAX(0,G230+J230-K230),0),"Unavailable"))</x:f>
        <x:v>0</x:v>
      </x:c>
      <x:c r="M230" s="23" t="n">
        <x:f>IF(C230="","",IFERROR(IF(AND(AC230&gt;=0,D230&gt;=AC230+INDEX('Facilities'!$AK$9:$AK$108,MATCH(C230,'Facilities'!$C$9:$C$108,0))),(H230+L230)*AM230,0),"Unavailable"))</x:f>
        <x:v>0</x:v>
      </x:c>
      <x:c r="N230" s="23" t="n">
        <x:f>IF(C230="","",IFERROR(IF(AND(AC230&gt;=0,D230&gt;=AC230+INDEX('Facilities'!$AK$9:$AK$108,MATCH(C230,'Facilities'!$C$9:$C$108,0))),H230+L230-M230,0),"Unavailable"))</x:f>
        <x:v>0</x:v>
      </x:c>
      <x:c r="O230" s="21" t="n">
        <x:f>IF(C230="","",IFERROR(MAX(0,G230+J230-K230-L230),"Unavailable"))</x:f>
        <x:v>4.207182</x:v>
      </x:c>
      <x:c r="P230" s="21" t="n">
        <x:f>IF(C230="","",IFERROR(MAX(0,H230+L230-M230-N230),"Unavailable"))</x:f>
        <x:v>0</x:v>
      </x:c>
      <x:c r="Q230" s="23" t="n">
        <x:f>IF(C230="","",IFERROR(IF(OR(D230&gt;=INDEX('Facilities'!$J$9:$J$108,MATCH(C230,'Facilities'!$C$9:$C$108,0)),AND(AC230&gt;=0,AC230&lt;=D230)),0,MAX(0,I230-J230)),"Unavailable"))</x:f>
        <x:v>0.37145</x:v>
      </x:c>
      <x:c r="R230" s="30" t="n">
        <x:f>IF(C230="","",IFERROR(INDEX(Credit!$Q$209:$Q$308,MATCH(F230,Credit!$C$209:$C$308,0)),"Unavailable"))</x:f>
        <x:v>0.07349995498541419</x:v>
      </x:c>
      <x:c r="S230" s="30" t="n">
        <x:f>IF(C230="","",IFERROR(INDEX(Credit!$R$209:$R$308,MATCH(F230,Credit!$C$209:$C$308,0)),"Unavailable"))</x:f>
        <x:v>0.281152</x:v>
      </x:c>
      <x:c r="T230" s="23" t="n">
        <x:f>IF(C230="","",IFERROR(IF(P230&gt;0,3,IF(OR(INDEX('Facilities'!$AD$9:$AD$108,MATCH(C230,'Facilities'!$C$9:$C$108,0))=2,AND(R230&gt;=INDEX('Facilities'!$L$9:$L$108,MATCH(C230,'Facilities'!$C$9:$C$108,0))*Settings!$F$19,R230-INDEX('Facilities'!$L$9:$L$108,MATCH(C230,'Facilities'!$C$9:$C$108,0))&gt;=Settings!$F$20)),2,1)),"Unavailable"))</x:f>
        <x:v>2</x:v>
      </x:c>
      <x:c r="U230" s="23" t="n">
        <x:f>IF(C230="","",IF(AQ230&lt;&gt;"Ready","Unavailable",IF(C230="","",O230*(1-(1-S230)/(1+INDEX('Facilities'!$K$9:$K$108,MATCH(C230,'Facilities'!$C$9:$C$108,0)))^INDEX('Facilities'!$AK$9:$AK$108,MATCH(C230,'Facilities'!$C$9:$C$108,0)))*R230/(1+INDEX('Facilities'!$K$9:$K$108,MATCH(C230,'Facilities'!$C$9:$C$108,0)))*IF(ABS(1-(1-R230)*(1-INDEX('Facilities'!$R$9:$R$108,MATCH(C230,'Facilities'!$C$9:$C$108,0)))/(1+INDEX('Facilities'!$K$9:$K$108,MATCH(C230,'Facilities'!$C$9:$C$108,0))))&lt;0.000000001,IF(T230=1,MIN(1,AJ230),AJ230),(1-((1-R230)*(1-INDEX('Facilities'!$R$9:$R$108,MATCH(C230,'Facilities'!$C$9:$C$108,0)))/(1+INDEX('Facilities'!$K$9:$K$108,MATCH(C230,'Facilities'!$C$9:$C$108,0))))^IF(T230=1,MIN(1,AJ230),AJ230))/(1-(1-R230)*(1-INDEX('Facilities'!$R$9:$R$108,MATCH(C230,'Facilities'!$C$9:$C$108,0)))/(1+INDEX('Facilities'!$K$9:$K$108,MATCH(C230,'Facilities'!$C$9:$C$108,0)))))+AL230)))</x:f>
        <x:v>0.19280105571233913</x:v>
      </x:c>
      <x:c r="V230" s="23" t="n">
        <x:f>IF(C230="","",IF(AQ230&lt;&gt;"Ready","Unavailable",IF(C230="","",Q230*INDEX('Facilities'!$I$9:$I$108,MATCH(C230,'Facilities'!$C$9:$C$108,0))*(1-(1-S230)/(1+INDEX('Facilities'!$K$9:$K$108,MATCH(C230,'Facilities'!$C$9:$C$108,0)))^INDEX('Facilities'!$AK$9:$AK$108,MATCH(C230,'Facilities'!$C$9:$C$108,0)))*R230/(1+INDEX('Facilities'!$K$9:$K$108,MATCH(C230,'Facilities'!$C$9:$C$108,0)))*IF(ABS(1-(1-R230)*(1-0)/(1+INDEX('Facilities'!$K$9:$K$108,MATCH(C230,'Facilities'!$C$9:$C$108,0))))&lt;0.000000001,IF(T230=1,MIN(1,AJ230),AJ230),(1-((1-R230)*(1-0)/(1+INDEX('Facilities'!$K$9:$K$108,MATCH(C230,'Facilities'!$C$9:$C$108,0))))^IF(T230=1,MIN(1,AJ230),AJ230))/(1-(1-R230)*(1-0)/(1+INDEX('Facilities'!$K$9:$K$108,MATCH(C230,'Facilities'!$C$9:$C$108,0))))))))</x:f>
        <x:v>0.009010421226667734</x:v>
      </x:c>
      <x:c r="W230" s="21" t="n">
        <x:f>IF(C230="","",IFERROR(U130,"Unavailable"))</x:f>
        <x:v>0.07675562548305889</x:v>
      </x:c>
      <x:c r="X230" s="21" t="n">
        <x:f>IF(C230="","",IFERROR(V130,"Unavailable"))</x:f>
        <x:v>0.0035634676542683087</x:v>
      </x:c>
      <x:c r="Y230" s="21" t="n">
        <x:f>IF(C230="","",IF(AQ230&lt;&gt;"Ready","Unavailable",IF(C230="","",U230-W230+V230-X230+N230+AG230)))</x:f>
        <x:v>0.12149238380167966</x:v>
      </x:c>
      <x:c r="Z230" s="23" t="n">
        <x:f>IF(C230="","",IF(AQ230&lt;&gt;"Ready","Unavailable",IF(C230="","",(G230+O230+L230)/2*INDEX('Facilities'!$T$9:$T$108,MATCH(C230,'Facilities'!$C$9:$C$108,0))+AG230)))</x:f>
        <x:v>0.4233951450000001</x:v>
      </x:c>
      <x:c r="AA230" s="23" t="n">
        <x:f>IF(C230="","",IF(AQ230&lt;&gt;"Ready","Unavailable",IF(C230="","",O230*(1-IF(INDEX('Facilities'!$AA$9:$AA$108,MATCH(C230,'Facilities'!$C$9:$C$108,0))=0,0,MIN(1,INDEX('Facilities'!$X$9:$X$108,MATCH(C230,'Facilities'!$C$9:$C$108,0))/INDEX('Facilities'!$AA$9:$AA$108,MATCH(C230,'Facilities'!$C$9:$C$108,0)))))*AF230+P230*(1-IF(INDEX('Facilities'!$AA$9:$AA$108,MATCH(C230,'Facilities'!$C$9:$C$108,0))=0,0,MIN(1,INDEX('Facilities'!$X$9:$X$108,MATCH(C230,'Facilities'!$C$9:$C$108,0))/INDEX('Facilities'!$AA$9:$AA$108,MATCH(C230,'Facilities'!$C$9:$C$108,0)))))*INDEX('Facilities'!$AJ$9:$AJ$108,MATCH(C230,'Facilities'!$C$9:$C$108,0))+Q230*INDEX('Facilities'!$AI$9:$AI$108,MATCH(C230,'Facilities'!$C$9:$C$108,0))*AF230)))</x:f>
        <x:v>5.169708253056001</x:v>
      </x:c>
      <x:c r="AB230" s="21" t="n">
        <x:f>IF(C230="","",O230+P230-AD230)</x:f>
        <x:v>-0.49921799999999994</x:v>
      </x:c>
      <x:c r="AC230" s="23" t="n">
        <x:f>IF(C230="","",IFERROR(IF(INDEX('Facilities'!$AD$9:$AD$108,MATCH(C230,'Facilities'!$C$9:$C$108,0))=3,0,IF(INDEX('Facilities'!$AN$9:$AN$108,MATCH(C230,'Facilities'!$C$9:$C$108,0))=0,-1,INDEX('Facilities'!$AN$9:$AN$108,MATCH(C230,'Facilities'!$C$9:$C$108,0)))),"Unavailable"))</x:f>
        <x:v>-1</x:v>
      </x:c>
      <x:c r="AD230" s="21" t="n">
        <x:f>IF(C230="","",IFERROR(G230+H230,"Unavailable"))</x:f>
        <x:v>4.7064</x:v>
      </x:c>
      <x:c r="AE230" s="21" t="n">
        <x:f>IF(C230="","",IF(AQ230&lt;&gt;"Ready","Unavailable",IF(C230="","",O230+P230-AD230-J230+K230+M230+N230)))</x:f>
        <x:v>1.1102230246251565e-16</x:v>
      </x:c>
      <x:c r="AF230" s="30" t="n">
        <x:f>IF(C230="","",IFERROR(INDEX('Facilities'!$S$9:$S$108,MATCH(C230,'Facilities'!$C$9:$C$108,0))*'Scenario Paths'!H75,"Unavailable"))</x:f>
        <x:v>1.2</x:v>
      </x:c>
      <x:c r="AG230" s="23" t="n">
        <x:f>IF(C230="","",IF(AQ230&lt;&gt;"Ready","Unavailable",IF(C230="","",IF(H230&gt;0,MAX(0,H230-AK230)*((1+INDEX('Facilities'!$K$9:$K$108,MATCH(C230,'Facilities'!$C$9:$C$108,0)))^MIN(1,MAX(0,AC230+INDEX('Facilities'!$AK$9:$AK$108,MATCH(C230,'Facilities'!$C$9:$C$108,0))-D230+1))-1),0))))</x:f>
        <x:v>0</x:v>
      </x:c>
      <x:c r="AH230" s="21" t="n">
        <x:f>IF(C230="","",IF(AQ230&lt;&gt;"Ready","Unavailable",IF(C230="","",O230+P230)))</x:f>
        <x:v>4.207182</x:v>
      </x:c>
      <x:c r="AI230" s="21" t="n">
        <x:f>IF(C230="","",IF(AQ230&lt;&gt;"Ready","Unavailable",IF(C230="","",Z230-Y230)))</x:f>
        <x:v>0.30190276119832044</x:v>
      </x:c>
      <x:c r="AJ230" s="23" t="n">
        <x:f>IF(C230="","",IFERROR(MAX(0,INDEX('Facilities'!$J$9:$J$108,MATCH(C230,'Facilities'!$C$9:$C$108,0))-D230),"Unavailable"))</x:f>
        <x:v>2</x:v>
      </x:c>
      <x:c r="AK230" s="21" t="n">
        <x:f>IF(C230="","",IFERROR(AL130,"Unavailable"))</x:f>
        <x:v>0</x:v>
      </x:c>
      <x:c r="AL230" s="23" t="n">
        <x:f>IF(C230="","",IFERROR(IF(P230&gt;0,P230*(1-AM230/(1+INDEX('Facilities'!$K$9:$K$108,MATCH(C230,'Facilities'!$C$9:$C$108,0)))^MAX(0,AC230+INDEX('Facilities'!$AK$9:$AK$108,MATCH(C230,'Facilities'!$C$9:$C$108,0))-D230)),0),"Unavailable"))</x:f>
        <x:v>0</x:v>
      </x:c>
      <x:c r="AM230" s="30" t="n">
        <x:f>IF(C230="","",IFERROR(INDEX('Facilities'!$AL$9:$AL$108,MATCH(C230,'Facilities'!$C$9:$C$108,0)),"Unavailable"))</x:f>
        <x:v>0.55</x:v>
      </x:c>
      <x:c r="AN230" s="30" t="n">
        <x:f>IF(C230="","",IFERROR(INDEX(Credit!$T$209:$T$308,MATCH(F230,Credit!$C$209:$C$308,0)),"Unavailable"))</x:f>
        <x:v>0.0016000000000000003</x:v>
      </x:c>
      <x:c r="AO230" s="23" t="n">
        <x:f>IF(C230="","",IF(AQ230&lt;&gt;"Ready","Unavailable",IF(C230="","",O230+P230+Q230*INDEX('Facilities'!$I$9:$I$108,MATCH(C230,'Facilities'!$C$9:$C$108,0)))))</x:f>
        <x:v>4.392907</x:v>
      </x:c>
      <x:c r="AP230" s="21" t="n">
        <x:f>IF(C230="","",IF(AQ230&lt;&gt;"Ready","Unavailable",IF(C230="","",AH230-U230)))</x:f>
        <x:v>4.0143809442876615</x:v>
      </x:c>
      <x:c r="AQ230" s="23" t="str">
        <x:f>IFERROR(IF(C230="","",IF(AND(INDEX('Facilities'!$AF$9:$AF$108,MATCH(C230,'Facilities'!$C$9:$C$108,0))="Ready",INDEX(Credit!$U$209:$U$308,MATCH(F230,Credit!$C$209:$C$308,0))="Ready",ISNUMBER(W230)),"Ready","Review inputs")),"Review inputs")</x:f>
        <x:v>Ready</x:v>
      </x:c>
      <x:c r="AR230" s="23" t="n">
        <x:f>IF(C230="","",IF(AQ230&lt;&gt;"Ready","Unavailable",IF(C230="","",IF(O230=0,0,(IF(AJ230&lt;=1,O230,O230*INDEX('Facilities'!$R$9:$R$108,MATCH(C230,'Facilities'!$C$9:$C$108,0)))+O230*INDEX('Facilities'!$T$9:$T$108,MATCH(C230,'Facilities'!$C$9:$C$108,0)))/12))))</x:f>
        <x:v>0.0753786775</x:v>
      </x:c>
    </x:row>
    <x:row r="231" ht="26" customHeight="1">
      <x:c r="A231" s="1"/>
      <x:c r="B231" s="1"/>
      <x:c r="C231" s="9" t="str">
        <x:f>IF(Facilities!C31="","",Facilities!C31)</x:f>
        <x:v>F023</x:v>
      </x:c>
      <x:c r="D231" s="3" t="n">
        <x:v>3</x:v>
      </x:c>
      <x:c r="E231" s="9" t="n">
        <x:f>Settings!$F$18+2</x:f>
        <x:v>2029</x:v>
      </x:c>
      <x:c r="F231" s="9" t="str">
        <x:f>IF(C231="","",IFERROR(INDEX('Facilities'!$D$9:$D$108,MATCH(C231,'Facilities'!$C$9:$C$108,0)),"Unavailable"))</x:f>
        <x:v>B012</x:v>
      </x:c>
      <x:c r="G231" s="21" t="n">
        <x:f>IF(C231="","",IFERROR(O131,"Unavailable"))</x:f>
        <x:v>7.03344</x:v>
      </x:c>
      <x:c r="H231" s="21" t="n">
        <x:f>IF(C231="","",IFERROR(P131,"Unavailable"))</x:f>
        <x:v>0</x:v>
      </x:c>
      <x:c r="I231" s="21" t="n">
        <x:f>IF(C231="","",IFERROR(Q131,"Unavailable"))</x:f>
        <x:v>1.311</x:v>
      </x:c>
      <x:c r="J231" s="23" t="n">
        <x:f>IF(C231="","",IFERROR(IF(OR(H231&gt;0,AND(AC231&gt;=0,AC231&lt;D231),D231&gt;INDEX('Facilities'!$J$9:$J$108,MATCH(C231,'Facilities'!$C$9:$C$108,0))),0,I231*'Scenario Paths'!H81),"Unavailable"))</x:f>
        <x:v>0.19665</x:v>
      </x:c>
      <x:c r="K231" s="23" t="n">
        <x:f>IF(C231="","",IFERROR(IF(OR(H231&gt;0,AND(AC231&gt;=0,AC231=D231)),0,IF(D231&gt;=INDEX('Facilities'!$J$9:$J$108,MATCH(C231,'Facilities'!$C$9:$C$108,0)),G231+J231,MIN(G231+J231,G231*INDEX('Facilities'!$R$9:$R$108,MATCH(C231,'Facilities'!$C$9:$C$108,0))))),"Unavailable"))</x:f>
        <x:v>0.8440127999999999</x:v>
      </x:c>
      <x:c r="L231" s="21" t="n">
        <x:f>IF(C231="","",IFERROR(IF(AND(AC231=D231,AC231&gt;0),MAX(0,G231+J231-K231),0),"Unavailable"))</x:f>
        <x:v>0</x:v>
      </x:c>
      <x:c r="M231" s="23" t="n">
        <x:f>IF(C231="","",IFERROR(IF(AND(AC231&gt;=0,D231&gt;=AC231+INDEX('Facilities'!$AK$9:$AK$108,MATCH(C231,'Facilities'!$C$9:$C$108,0))),(H231+L231)*AM231,0),"Unavailable"))</x:f>
        <x:v>0</x:v>
      </x:c>
      <x:c r="N231" s="23" t="n">
        <x:f>IF(C231="","",IFERROR(IF(AND(AC231&gt;=0,D231&gt;=AC231+INDEX('Facilities'!$AK$9:$AK$108,MATCH(C231,'Facilities'!$C$9:$C$108,0))),H231+L231-M231,0),"Unavailable"))</x:f>
        <x:v>0</x:v>
      </x:c>
      <x:c r="O231" s="21" t="n">
        <x:f>IF(C231="","",IFERROR(MAX(0,G231+J231-K231-L231),"Unavailable"))</x:f>
        <x:v>6.3860772</x:v>
      </x:c>
      <x:c r="P231" s="21" t="n">
        <x:f>IF(C231="","",IFERROR(MAX(0,H231+L231-M231-N231),"Unavailable"))</x:f>
        <x:v>0</x:v>
      </x:c>
      <x:c r="Q231" s="23" t="n">
        <x:f>IF(C231="","",IFERROR(IF(OR(D231&gt;=INDEX('Facilities'!$J$9:$J$108,MATCH(C231,'Facilities'!$C$9:$C$108,0)),AND(AC231&gt;=0,AC231&lt;=D231)),0,MAX(0,I231-J231)),"Unavailable"))</x:f>
        <x:v>1.11435</x:v>
      </x:c>
      <x:c r="R231" s="30" t="n">
        <x:f>IF(C231="","",IFERROR(INDEX(Credit!$Q$209:$Q$308,MATCH(F231,Credit!$C$209:$C$308,0)),"Unavailable"))</x:f>
        <x:v>0.08726850679581367</x:v>
      </x:c>
      <x:c r="S231" s="30" t="n">
        <x:f>IF(C231="","",IFERROR(INDEX(Credit!$R$209:$R$308,MATCH(F231,Credit!$C$209:$C$308,0)),"Unavailable"))</x:f>
        <x:v>0.32226304</x:v>
      </x:c>
      <x:c r="T231" s="23" t="n">
        <x:f>IF(C231="","",IFERROR(IF(P231&gt;0,3,IF(OR(INDEX('Facilities'!$AD$9:$AD$108,MATCH(C231,'Facilities'!$C$9:$C$108,0))=2,AND(R231&gt;=INDEX('Facilities'!$L$9:$L$108,MATCH(C231,'Facilities'!$C$9:$C$108,0))*Settings!$F$19,R231-INDEX('Facilities'!$L$9:$L$108,MATCH(C231,'Facilities'!$C$9:$C$108,0))&gt;=Settings!$F$20)),2,1)),"Unavailable"))</x:f>
        <x:v>2</x:v>
      </x:c>
      <x:c r="U231" s="23" t="n">
        <x:f>IF(C231="","",IF(AQ231&lt;&gt;"Ready","Unavailable",IF(C231="","",O231*(1-(1-S231)/(1+INDEX('Facilities'!$K$9:$K$108,MATCH(C231,'Facilities'!$C$9:$C$108,0)))^INDEX('Facilities'!$AK$9:$AK$108,MATCH(C231,'Facilities'!$C$9:$C$108,0)))*R231/(1+INDEX('Facilities'!$K$9:$K$108,MATCH(C231,'Facilities'!$C$9:$C$108,0)))*IF(ABS(1-(1-R231)*(1-INDEX('Facilities'!$R$9:$R$108,MATCH(C231,'Facilities'!$C$9:$C$108,0)))/(1+INDEX('Facilities'!$K$9:$K$108,MATCH(C231,'Facilities'!$C$9:$C$108,0))))&lt;0.000000001,IF(T231=1,MIN(1,AJ231),AJ231),(1-((1-R231)*(1-INDEX('Facilities'!$R$9:$R$108,MATCH(C231,'Facilities'!$C$9:$C$108,0)))/(1+INDEX('Facilities'!$K$9:$K$108,MATCH(C231,'Facilities'!$C$9:$C$108,0))))^IF(T231=1,MIN(1,AJ231),AJ231))/(1-(1-R231)*(1-INDEX('Facilities'!$R$9:$R$108,MATCH(C231,'Facilities'!$C$9:$C$108,0)))/(1+INDEX('Facilities'!$K$9:$K$108,MATCH(C231,'Facilities'!$C$9:$C$108,0)))))+AL231)))</x:f>
        <x:v>0.4965403257166841</x:v>
      </x:c>
      <x:c r="V231" s="23" t="n">
        <x:f>IF(C231="","",IF(AQ231&lt;&gt;"Ready","Unavailable",IF(C231="","",Q231*INDEX('Facilities'!$I$9:$I$108,MATCH(C231,'Facilities'!$C$9:$C$108,0))*(1-(1-S231)/(1+INDEX('Facilities'!$K$9:$K$108,MATCH(C231,'Facilities'!$C$9:$C$108,0)))^INDEX('Facilities'!$AK$9:$AK$108,MATCH(C231,'Facilities'!$C$9:$C$108,0)))*R231/(1+INDEX('Facilities'!$K$9:$K$108,MATCH(C231,'Facilities'!$C$9:$C$108,0)))*IF(ABS(1-(1-R231)*(1-0)/(1+INDEX('Facilities'!$K$9:$K$108,MATCH(C231,'Facilities'!$C$9:$C$108,0))))&lt;0.000000001,IF(T231=1,MIN(1,AJ231),AJ231),(1-((1-R231)*(1-0)/(1+INDEX('Facilities'!$K$9:$K$108,MATCH(C231,'Facilities'!$C$9:$C$108,0))))^IF(T231=1,MIN(1,AJ231),AJ231))/(1-(1-R231)*(1-0)/(1+INDEX('Facilities'!$K$9:$K$108,MATCH(C231,'Facilities'!$C$9:$C$108,0))))))))</x:f>
        <x:v>0.04827446877178224</x:v>
      </x:c>
      <x:c r="W231" s="21" t="n">
        <x:f>IF(C231="","",IFERROR(U131,"Unavailable"))</x:f>
        <x:v>0.14839663447670093</x:v>
      </x:c>
      <x:c r="X231" s="21" t="n">
        <x:f>IF(C231="","",IFERROR(V131,"Unavailable"))</x:f>
        <x:v>0.013830215925560958</x:v>
      </x:c>
      <x:c r="Y231" s="21" t="n">
        <x:f>IF(C231="","",IF(AQ231&lt;&gt;"Ready","Unavailable",IF(C231="","",U231-W231+V231-X231+N231+AG231)))</x:f>
        <x:v>0.3825879440862045</x:v>
      </x:c>
      <x:c r="Z231" s="23" t="n">
        <x:f>IF(C231="","",IF(AQ231&lt;&gt;"Ready","Unavailable",IF(C231="","",(G231+O231+L231)/2*INDEX('Facilities'!$T$9:$T$108,MATCH(C231,'Facilities'!$C$9:$C$108,0))+AG231)))</x:f>
        <x:v>0.637427067</x:v>
      </x:c>
      <x:c r="AA231" s="23" t="n">
        <x:f>IF(C231="","",IF(AQ231&lt;&gt;"Ready","Unavailable",IF(C231="","",O231*(1-IF(INDEX('Facilities'!$AA$9:$AA$108,MATCH(C231,'Facilities'!$C$9:$C$108,0))=0,0,MIN(1,INDEX('Facilities'!$X$9:$X$108,MATCH(C231,'Facilities'!$C$9:$C$108,0))/INDEX('Facilities'!$AA$9:$AA$108,MATCH(C231,'Facilities'!$C$9:$C$108,0)))))*AF231+P231*(1-IF(INDEX('Facilities'!$AA$9:$AA$108,MATCH(C231,'Facilities'!$C$9:$C$108,0))=0,0,MIN(1,INDEX('Facilities'!$X$9:$X$108,MATCH(C231,'Facilities'!$C$9:$C$108,0))/INDEX('Facilities'!$AA$9:$AA$108,MATCH(C231,'Facilities'!$C$9:$C$108,0)))))*INDEX('Facilities'!$AJ$9:$AJ$108,MATCH(C231,'Facilities'!$C$9:$C$108,0))+Q231*INDEX('Facilities'!$AI$9:$AI$108,MATCH(C231,'Facilities'!$C$9:$C$108,0))*AF231)))</x:f>
        <x:v>8.125913333836799</x:v>
      </x:c>
      <x:c r="AB231" s="21" t="n">
        <x:f>IF(C231="","",O231+P231-AD231)</x:f>
        <x:v>-0.6473627999999998</x:v>
      </x:c>
      <x:c r="AC231" s="23" t="n">
        <x:f>IF(C231="","",IFERROR(IF(INDEX('Facilities'!$AD$9:$AD$108,MATCH(C231,'Facilities'!$C$9:$C$108,0))=3,0,IF(INDEX('Facilities'!$AN$9:$AN$108,MATCH(C231,'Facilities'!$C$9:$C$108,0))=0,-1,INDEX('Facilities'!$AN$9:$AN$108,MATCH(C231,'Facilities'!$C$9:$C$108,0)))),"Unavailable"))</x:f>
        <x:v>-1</x:v>
      </x:c>
      <x:c r="AD231" s="21" t="n">
        <x:f>IF(C231="","",IFERROR(G231+H231,"Unavailable"))</x:f>
        <x:v>7.03344</x:v>
      </x:c>
      <x:c r="AE231" s="21" t="n">
        <x:f>IF(C231="","",IF(AQ231&lt;&gt;"Ready","Unavailable",IF(C231="","",O231+P231-AD231-J231+K231+M231+N231)))</x:f>
        <x:v>1.1102230246251565e-16</x:v>
      </x:c>
      <x:c r="AF231" s="30" t="n">
        <x:f>IF(C231="","",IFERROR(INDEX('Facilities'!$S$9:$S$108,MATCH(C231,'Facilities'!$C$9:$C$108,0))*'Scenario Paths'!H75,"Unavailable"))</x:f>
        <x:v>1.2</x:v>
      </x:c>
      <x:c r="AG231" s="23" t="n">
        <x:f>IF(C231="","",IF(AQ231&lt;&gt;"Ready","Unavailable",IF(C231="","",IF(H231&gt;0,MAX(0,H231-AK231)*((1+INDEX('Facilities'!$K$9:$K$108,MATCH(C231,'Facilities'!$C$9:$C$108,0)))^MIN(1,MAX(0,AC231+INDEX('Facilities'!$AK$9:$AK$108,MATCH(C231,'Facilities'!$C$9:$C$108,0))-D231+1))-1),0))))</x:f>
        <x:v>0</x:v>
      </x:c>
      <x:c r="AH231" s="21" t="n">
        <x:f>IF(C231="","",IF(AQ231&lt;&gt;"Ready","Unavailable",IF(C231="","",O231+P231)))</x:f>
        <x:v>6.3860772</x:v>
      </x:c>
      <x:c r="AI231" s="21" t="n">
        <x:f>IF(C231="","",IF(AQ231&lt;&gt;"Ready","Unavailable",IF(C231="","",Z231-Y231)))</x:f>
        <x:v>0.25483912291379546</x:v>
      </x:c>
      <x:c r="AJ231" s="23" t="n">
        <x:f>IF(C231="","",IFERROR(MAX(0,INDEX('Facilities'!$J$9:$J$108,MATCH(C231,'Facilities'!$C$9:$C$108,0))-D231),"Unavailable"))</x:f>
        <x:v>3</x:v>
      </x:c>
      <x:c r="AK231" s="21" t="n">
        <x:f>IF(C231="","",IFERROR(AL131,"Unavailable"))</x:f>
        <x:v>0</x:v>
      </x:c>
      <x:c r="AL231" s="23" t="n">
        <x:f>IF(C231="","",IFERROR(IF(P231&gt;0,P231*(1-AM231/(1+INDEX('Facilities'!$K$9:$K$108,MATCH(C231,'Facilities'!$C$9:$C$108,0)))^MAX(0,AC231+INDEX('Facilities'!$AK$9:$AK$108,MATCH(C231,'Facilities'!$C$9:$C$108,0))-D231)),0),"Unavailable"))</x:f>
        <x:v>0</x:v>
      </x:c>
      <x:c r="AM231" s="30" t="n">
        <x:f>IF(C231="","",IFERROR(INDEX('Facilities'!$AL$9:$AL$108,MATCH(C231,'Facilities'!$C$9:$C$108,0)),"Unavailable"))</x:f>
        <x:v>0.55</x:v>
      </x:c>
      <x:c r="AN231" s="30" t="n">
        <x:f>IF(C231="","",IFERROR(INDEX(Credit!$T$209:$T$308,MATCH(F231,Credit!$C$209:$C$308,0)),"Unavailable"))</x:f>
        <x:v>0.003328</x:v>
      </x:c>
      <x:c r="AO231" s="23" t="n">
        <x:f>IF(C231="","",IF(AQ231&lt;&gt;"Ready","Unavailable",IF(C231="","",O231+P231+Q231*INDEX('Facilities'!$I$9:$I$108,MATCH(C231,'Facilities'!$C$9:$C$108,0)))))</x:f>
        <x:v>6.9432522</x:v>
      </x:c>
      <x:c r="AP231" s="21" t="n">
        <x:f>IF(C231="","",IF(AQ231&lt;&gt;"Ready","Unavailable",IF(C231="","",AH231-U231)))</x:f>
        <x:v>5.889536874283316</x:v>
      </x:c>
      <x:c r="AQ231" s="23" t="str">
        <x:f>IFERROR(IF(C231="","",IF(AND(INDEX('Facilities'!$AF$9:$AF$108,MATCH(C231,'Facilities'!$C$9:$C$108,0))="Ready",INDEX(Credit!$U$209:$U$308,MATCH(F231,Credit!$C$209:$C$308,0))="Ready",ISNUMBER(W231)),"Ready","Review inputs")),"Review inputs")</x:f>
        <x:v>Ready</x:v>
      </x:c>
      <x:c r="AR231" s="23" t="n">
        <x:f>IF(C231="","",IF(AQ231&lt;&gt;"Ready","Unavailable",IF(C231="","",IF(O231=0,0,(IF(AJ231&lt;=1,O231,O231*INDEX('Facilities'!$R$9:$R$108,MATCH(C231,'Facilities'!$C$9:$C$108,0)))+O231*INDEX('Facilities'!$T$9:$T$108,MATCH(C231,'Facilities'!$C$9:$C$108,0)))/12))))</x:f>
        <x:v>0.11441721649999999</x:v>
      </x:c>
    </x:row>
    <x:row r="232" ht="26" customHeight="1">
      <x:c r="A232" s="1"/>
      <x:c r="B232" s="1"/>
      <x:c r="C232" s="9" t="str">
        <x:f>IF(Facilities!C32="","",Facilities!C32)</x:f>
        <x:v>F024</x:v>
      </x:c>
      <x:c r="D232" s="3" t="n">
        <x:v>3</x:v>
      </x:c>
      <x:c r="E232" s="9" t="n">
        <x:f>Settings!$F$18+2</x:f>
        <x:v>2029</x:v>
      </x:c>
      <x:c r="F232" s="9" t="str">
        <x:f>IF(C232="","",IFERROR(INDEX('Facilities'!$D$9:$D$108,MATCH(C232,'Facilities'!$C$9:$C$108,0)),"Unavailable"))</x:f>
        <x:v>B012</x:v>
      </x:c>
      <x:c r="G232" s="21" t="n">
        <x:f>IF(C232="","",IFERROR(O132,"Unavailable"))</x:f>
        <x:v>4.9774400000000005</x:v>
      </x:c>
      <x:c r="H232" s="21" t="n">
        <x:f>IF(C232="","",IFERROR(P132,"Unavailable"))</x:f>
        <x:v>0</x:v>
      </x:c>
      <x:c r="I232" s="21" t="n">
        <x:f>IF(C232="","",IFERROR(Q132,"Unavailable"))</x:f>
        <x:v>0.437</x:v>
      </x:c>
      <x:c r="J232" s="23" t="n">
        <x:f>IF(C232="","",IFERROR(IF(OR(H232&gt;0,AND(AC232&gt;=0,AC232&lt;D232),D232&gt;INDEX('Facilities'!$J$9:$J$108,MATCH(C232,'Facilities'!$C$9:$C$108,0))),0,I232*'Scenario Paths'!H81),"Unavailable"))</x:f>
        <x:v>0.06555</x:v>
      </x:c>
      <x:c r="K232" s="23" t="n">
        <x:f>IF(C232="","",IFERROR(IF(OR(H232&gt;0,AND(AC232&gt;=0,AC232=D232)),0,IF(D232&gt;=INDEX('Facilities'!$J$9:$J$108,MATCH(C232,'Facilities'!$C$9:$C$108,0)),G232+J232,MIN(G232+J232,G232*INDEX('Facilities'!$R$9:$R$108,MATCH(C232,'Facilities'!$C$9:$C$108,0))))),"Unavailable"))</x:f>
        <x:v>0.5972928000000001</x:v>
      </x:c>
      <x:c r="L232" s="21" t="n">
        <x:f>IF(C232="","",IFERROR(IF(AND(AC232=D232,AC232&gt;0),MAX(0,G232+J232-K232),0),"Unavailable"))</x:f>
        <x:v>0</x:v>
      </x:c>
      <x:c r="M232" s="23" t="n">
        <x:f>IF(C232="","",IFERROR(IF(AND(AC232&gt;=0,D232&gt;=AC232+INDEX('Facilities'!$AK$9:$AK$108,MATCH(C232,'Facilities'!$C$9:$C$108,0))),(H232+L232)*AM232,0),"Unavailable"))</x:f>
        <x:v>0</x:v>
      </x:c>
      <x:c r="N232" s="23" t="n">
        <x:f>IF(C232="","",IFERROR(IF(AND(AC232&gt;=0,D232&gt;=AC232+INDEX('Facilities'!$AK$9:$AK$108,MATCH(C232,'Facilities'!$C$9:$C$108,0))),H232+L232-M232,0),"Unavailable"))</x:f>
        <x:v>0</x:v>
      </x:c>
      <x:c r="O232" s="21" t="n">
        <x:f>IF(C232="","",IFERROR(MAX(0,G232+J232-K232-L232),"Unavailable"))</x:f>
        <x:v>4.445697200000001</x:v>
      </x:c>
      <x:c r="P232" s="21" t="n">
        <x:f>IF(C232="","",IFERROR(MAX(0,H232+L232-M232-N232),"Unavailable"))</x:f>
        <x:v>0</x:v>
      </x:c>
      <x:c r="Q232" s="23" t="n">
        <x:f>IF(C232="","",IFERROR(IF(OR(D232&gt;=INDEX('Facilities'!$J$9:$J$108,MATCH(C232,'Facilities'!$C$9:$C$108,0)),AND(AC232&gt;=0,AC232&lt;=D232)),0,MAX(0,I232-J232)),"Unavailable"))</x:f>
        <x:v>0.37145</x:v>
      </x:c>
      <x:c r="R232" s="30" t="n">
        <x:f>IF(C232="","",IFERROR(INDEX(Credit!$Q$209:$Q$308,MATCH(F232,Credit!$C$209:$C$308,0)),"Unavailable"))</x:f>
        <x:v>0.08726850679581367</x:v>
      </x:c>
      <x:c r="S232" s="30" t="n">
        <x:f>IF(C232="","",IFERROR(INDEX(Credit!$R$209:$R$308,MATCH(F232,Credit!$C$209:$C$308,0)),"Unavailable"))</x:f>
        <x:v>0.32226304</x:v>
      </x:c>
      <x:c r="T232" s="23" t="n">
        <x:f>IF(C232="","",IFERROR(IF(P232&gt;0,3,IF(OR(INDEX('Facilities'!$AD$9:$AD$108,MATCH(C232,'Facilities'!$C$9:$C$108,0))=2,AND(R232&gt;=INDEX('Facilities'!$L$9:$L$108,MATCH(C232,'Facilities'!$C$9:$C$108,0))*Settings!$F$19,R232-INDEX('Facilities'!$L$9:$L$108,MATCH(C232,'Facilities'!$C$9:$C$108,0))&gt;=Settings!$F$20)),2,1)),"Unavailable"))</x:f>
        <x:v>2</x:v>
      </x:c>
      <x:c r="U232" s="23" t="n">
        <x:f>IF(C232="","",IF(AQ232&lt;&gt;"Ready","Unavailable",IF(C232="","",O232*(1-(1-S232)/(1+INDEX('Facilities'!$K$9:$K$108,MATCH(C232,'Facilities'!$C$9:$C$108,0)))^INDEX('Facilities'!$AK$9:$AK$108,MATCH(C232,'Facilities'!$C$9:$C$108,0)))*R232/(1+INDEX('Facilities'!$K$9:$K$108,MATCH(C232,'Facilities'!$C$9:$C$108,0)))*IF(ABS(1-(1-R232)*(1-INDEX('Facilities'!$R$9:$R$108,MATCH(C232,'Facilities'!$C$9:$C$108,0)))/(1+INDEX('Facilities'!$K$9:$K$108,MATCH(C232,'Facilities'!$C$9:$C$108,0))))&lt;0.000000001,IF(T232=1,MIN(1,AJ232),AJ232),(1-((1-R232)*(1-INDEX('Facilities'!$R$9:$R$108,MATCH(C232,'Facilities'!$C$9:$C$108,0)))/(1+INDEX('Facilities'!$K$9:$K$108,MATCH(C232,'Facilities'!$C$9:$C$108,0))))^IF(T232=1,MIN(1,AJ232),AJ232))/(1-(1-R232)*(1-INDEX('Facilities'!$R$9:$R$108,MATCH(C232,'Facilities'!$C$9:$C$108,0)))/(1+INDEX('Facilities'!$K$9:$K$108,MATCH(C232,'Facilities'!$C$9:$C$108,0)))))+AL232)))</x:f>
        <x:v>0.34566884592716024</x:v>
      </x:c>
      <x:c r="V232" s="23" t="n">
        <x:f>IF(C232="","",IF(AQ232&lt;&gt;"Ready","Unavailable",IF(C232="","",Q232*INDEX('Facilities'!$I$9:$I$108,MATCH(C232,'Facilities'!$C$9:$C$108,0))*(1-(1-S232)/(1+INDEX('Facilities'!$K$9:$K$108,MATCH(C232,'Facilities'!$C$9:$C$108,0)))^INDEX('Facilities'!$AK$9:$AK$108,MATCH(C232,'Facilities'!$C$9:$C$108,0)))*R232/(1+INDEX('Facilities'!$K$9:$K$108,MATCH(C232,'Facilities'!$C$9:$C$108,0)))*IF(ABS(1-(1-R232)*(1-0)/(1+INDEX('Facilities'!$K$9:$K$108,MATCH(C232,'Facilities'!$C$9:$C$108,0))))&lt;0.000000001,IF(T232=1,MIN(1,AJ232),AJ232),(1-((1-R232)*(1-0)/(1+INDEX('Facilities'!$K$9:$K$108,MATCH(C232,'Facilities'!$C$9:$C$108,0))))^IF(T232=1,MIN(1,AJ232),AJ232))/(1-(1-R232)*(1-0)/(1+INDEX('Facilities'!$K$9:$K$108,MATCH(C232,'Facilities'!$C$9:$C$108,0))))))))</x:f>
        <x:v>0.01609148959059408</x:v>
      </x:c>
      <x:c r="W232" s="21" t="n">
        <x:f>IF(C232="","",IFERROR(U132,"Unavailable"))</x:f>
        <x:v>0.10501765058203529</x:v>
      </x:c>
      <x:c r="X232" s="21" t="n">
        <x:f>IF(C232="","",IFERROR(V132,"Unavailable"))</x:f>
        <x:v>0.004610071975186986</x:v>
      </x:c>
      <x:c r="Y232" s="21" t="n">
        <x:f>IF(C232="","",IF(AQ232&lt;&gt;"Ready","Unavailable",IF(C232="","",U232-W232+V232-X232+N232+AG232)))</x:f>
        <x:v>0.2521326129605321</x:v>
      </x:c>
      <x:c r="Z232" s="23" t="n">
        <x:f>IF(C232="","",IF(AQ232&lt;&gt;"Ready","Unavailable",IF(C232="","",(G232+O232+L232)/2*INDEX('Facilities'!$T$9:$T$108,MATCH(C232,'Facilities'!$C$9:$C$108,0))+AG232)))</x:f>
        <x:v>0.44759901700000004</x:v>
      </x:c>
      <x:c r="AA232" s="23" t="n">
        <x:f>IF(C232="","",IF(AQ232&lt;&gt;"Ready","Unavailable",IF(C232="","",O232*(1-IF(INDEX('Facilities'!$AA$9:$AA$108,MATCH(C232,'Facilities'!$C$9:$C$108,0))=0,0,MIN(1,INDEX('Facilities'!$X$9:$X$108,MATCH(C232,'Facilities'!$C$9:$C$108,0))/INDEX('Facilities'!$AA$9:$AA$108,MATCH(C232,'Facilities'!$C$9:$C$108,0)))))*AF232+P232*(1-IF(INDEX('Facilities'!$AA$9:$AA$108,MATCH(C232,'Facilities'!$C$9:$C$108,0))=0,0,MIN(1,INDEX('Facilities'!$X$9:$X$108,MATCH(C232,'Facilities'!$C$9:$C$108,0))/INDEX('Facilities'!$AA$9:$AA$108,MATCH(C232,'Facilities'!$C$9:$C$108,0)))))*INDEX('Facilities'!$AJ$9:$AJ$108,MATCH(C232,'Facilities'!$C$9:$C$108,0))+Q232*INDEX('Facilities'!$AI$9:$AI$108,MATCH(C232,'Facilities'!$C$9:$C$108,0))*AF232)))</x:f>
        <x:v>5.414306231116801</x:v>
      </x:c>
      <x:c r="AB232" s="21" t="n">
        <x:f>IF(C232="","",O232+P232-AD232)</x:f>
        <x:v>-0.5317428</x:v>
      </x:c>
      <x:c r="AC232" s="23" t="n">
        <x:f>IF(C232="","",IFERROR(IF(INDEX('Facilities'!$AD$9:$AD$108,MATCH(C232,'Facilities'!$C$9:$C$108,0))=3,0,IF(INDEX('Facilities'!$AN$9:$AN$108,MATCH(C232,'Facilities'!$C$9:$C$108,0))=0,-1,INDEX('Facilities'!$AN$9:$AN$108,MATCH(C232,'Facilities'!$C$9:$C$108,0)))),"Unavailable"))</x:f>
        <x:v>-1</x:v>
      </x:c>
      <x:c r="AD232" s="21" t="n">
        <x:f>IF(C232="","",IFERROR(G232+H232,"Unavailable"))</x:f>
        <x:v>4.9774400000000005</x:v>
      </x:c>
      <x:c r="AE232" s="21" t="n">
        <x:f>IF(C232="","",IF(AQ232&lt;&gt;"Ready","Unavailable",IF(C232="","",O232+P232-AD232-J232+K232+M232+N232)))</x:f>
        <x:v>1.1102230246251565e-16</x:v>
      </x:c>
      <x:c r="AF232" s="30" t="n">
        <x:f>IF(C232="","",IFERROR(INDEX('Facilities'!$S$9:$S$108,MATCH(C232,'Facilities'!$C$9:$C$108,0))*'Scenario Paths'!H75,"Unavailable"))</x:f>
        <x:v>1.2</x:v>
      </x:c>
      <x:c r="AG232" s="23" t="n">
        <x:f>IF(C232="","",IF(AQ232&lt;&gt;"Ready","Unavailable",IF(C232="","",IF(H232&gt;0,MAX(0,H232-AK232)*((1+INDEX('Facilities'!$K$9:$K$108,MATCH(C232,'Facilities'!$C$9:$C$108,0)))^MIN(1,MAX(0,AC232+INDEX('Facilities'!$AK$9:$AK$108,MATCH(C232,'Facilities'!$C$9:$C$108,0))-D232+1))-1),0))))</x:f>
        <x:v>0</x:v>
      </x:c>
      <x:c r="AH232" s="21" t="n">
        <x:f>IF(C232="","",IF(AQ232&lt;&gt;"Ready","Unavailable",IF(C232="","",O232+P232)))</x:f>
        <x:v>4.445697200000001</x:v>
      </x:c>
      <x:c r="AI232" s="21" t="n">
        <x:f>IF(C232="","",IF(AQ232&lt;&gt;"Ready","Unavailable",IF(C232="","",Z232-Y232)))</x:f>
        <x:v>0.19546640403946797</x:v>
      </x:c>
      <x:c r="AJ232" s="23" t="n">
        <x:f>IF(C232="","",IFERROR(MAX(0,INDEX('Facilities'!$J$9:$J$108,MATCH(C232,'Facilities'!$C$9:$C$108,0))-D232),"Unavailable"))</x:f>
        <x:v>3</x:v>
      </x:c>
      <x:c r="AK232" s="21" t="n">
        <x:f>IF(C232="","",IFERROR(AL132,"Unavailable"))</x:f>
        <x:v>0</x:v>
      </x:c>
      <x:c r="AL232" s="23" t="n">
        <x:f>IF(C232="","",IFERROR(IF(P232&gt;0,P232*(1-AM232/(1+INDEX('Facilities'!$K$9:$K$108,MATCH(C232,'Facilities'!$C$9:$C$108,0)))^MAX(0,AC232+INDEX('Facilities'!$AK$9:$AK$108,MATCH(C232,'Facilities'!$C$9:$C$108,0))-D232)),0),"Unavailable"))</x:f>
        <x:v>0</x:v>
      </x:c>
      <x:c r="AM232" s="30" t="n">
        <x:f>IF(C232="","",IFERROR(INDEX('Facilities'!$AL$9:$AL$108,MATCH(C232,'Facilities'!$C$9:$C$108,0)),"Unavailable"))</x:f>
        <x:v>0.55</x:v>
      </x:c>
      <x:c r="AN232" s="30" t="n">
        <x:f>IF(C232="","",IFERROR(INDEX(Credit!$T$209:$T$308,MATCH(F232,Credit!$C$209:$C$308,0)),"Unavailable"))</x:f>
        <x:v>0.003328</x:v>
      </x:c>
      <x:c r="AO232" s="23" t="n">
        <x:f>IF(C232="","",IF(AQ232&lt;&gt;"Ready","Unavailable",IF(C232="","",O232+P232+Q232*INDEX('Facilities'!$I$9:$I$108,MATCH(C232,'Facilities'!$C$9:$C$108,0)))))</x:f>
        <x:v>4.6314222</x:v>
      </x:c>
      <x:c r="AP232" s="21" t="n">
        <x:f>IF(C232="","",IF(AQ232&lt;&gt;"Ready","Unavailable",IF(C232="","",AH232-U232)))</x:f>
        <x:v>4.10002835407284</x:v>
      </x:c>
      <x:c r="AQ232" s="23" t="str">
        <x:f>IFERROR(IF(C232="","",IF(AND(INDEX('Facilities'!$AF$9:$AF$108,MATCH(C232,'Facilities'!$C$9:$C$108,0))="Ready",INDEX(Credit!$U$209:$U$308,MATCH(F232,Credit!$C$209:$C$308,0))="Ready",ISNUMBER(W232)),"Ready","Review inputs")),"Review inputs")</x:f>
        <x:v>Ready</x:v>
      </x:c>
      <x:c r="AR232" s="23" t="n">
        <x:f>IF(C232="","",IF(AQ232&lt;&gt;"Ready","Unavailable",IF(C232="","",IF(O232=0,0,(IF(AJ232&lt;=1,O232,O232*INDEX('Facilities'!$R$9:$R$108,MATCH(C232,'Facilities'!$C$9:$C$108,0)))+O232*INDEX('Facilities'!$T$9:$T$108,MATCH(C232,'Facilities'!$C$9:$C$108,0)))/12))))</x:f>
        <x:v>0.07965207483333335</x:v>
      </x:c>
    </x:row>
    <x:row r="233" ht="26" customHeight="1">
      <x:c r="A233" s="1"/>
      <x:c r="B233" s="1"/>
      <x:c r="C233" s="9" t="str">
        <x:f>IF(Facilities!C33="","",Facilities!C33)</x:f>
        <x:v>F025</x:v>
      </x:c>
      <x:c r="D233" s="3" t="n">
        <x:v>3</x:v>
      </x:c>
      <x:c r="E233" s="9" t="n">
        <x:f>Settings!$F$18+2</x:f>
        <x:v>2029</x:v>
      </x:c>
      <x:c r="F233" s="9" t="str">
        <x:f>IF(C233="","",IFERROR(INDEX('Facilities'!$D$9:$D$108,MATCH(C233,'Facilities'!$C$9:$C$108,0)),"Unavailable"))</x:f>
        <x:v>B013</x:v>
      </x:c>
      <x:c r="G233" s="21" t="n">
        <x:f>IF(C233="","",IFERROR(O133,"Unavailable"))</x:f>
        <x:v>7.30448</x:v>
      </x:c>
      <x:c r="H233" s="21" t="n">
        <x:f>IF(C233="","",IFERROR(P133,"Unavailable"))</x:f>
        <x:v>0</x:v>
      </x:c>
      <x:c r="I233" s="21" t="n">
        <x:f>IF(C233="","",IFERROR(Q133,"Unavailable"))</x:f>
        <x:v>1.311</x:v>
      </x:c>
      <x:c r="J233" s="23" t="n">
        <x:f>IF(C233="","",IFERROR(IF(OR(H233&gt;0,AND(AC233&gt;=0,AC233&lt;D233),D233&gt;INDEX('Facilities'!$J$9:$J$108,MATCH(C233,'Facilities'!$C$9:$C$108,0))),0,I233*'Scenario Paths'!H81),"Unavailable"))</x:f>
        <x:v>0.19665</x:v>
      </x:c>
      <x:c r="K233" s="23" t="n">
        <x:f>IF(C233="","",IFERROR(IF(OR(H233&gt;0,AND(AC233&gt;=0,AC233=D233)),0,IF(D233&gt;=INDEX('Facilities'!$J$9:$J$108,MATCH(C233,'Facilities'!$C$9:$C$108,0)),G233+J233,MIN(G233+J233,G233*INDEX('Facilities'!$R$9:$R$108,MATCH(C233,'Facilities'!$C$9:$C$108,0))))),"Unavailable"))</x:f>
        <x:v>0.8765375999999999</x:v>
      </x:c>
      <x:c r="L233" s="21" t="n">
        <x:f>IF(C233="","",IFERROR(IF(AND(AC233=D233,AC233&gt;0),MAX(0,G233+J233-K233),0),"Unavailable"))</x:f>
        <x:v>0</x:v>
      </x:c>
      <x:c r="M233" s="23" t="n">
        <x:f>IF(C233="","",IFERROR(IF(AND(AC233&gt;=0,D233&gt;=AC233+INDEX('Facilities'!$AK$9:$AK$108,MATCH(C233,'Facilities'!$C$9:$C$108,0))),(H233+L233)*AM233,0),"Unavailable"))</x:f>
        <x:v>0</x:v>
      </x:c>
      <x:c r="N233" s="23" t="n">
        <x:f>IF(C233="","",IFERROR(IF(AND(AC233&gt;=0,D233&gt;=AC233+INDEX('Facilities'!$AK$9:$AK$108,MATCH(C233,'Facilities'!$C$9:$C$108,0))),H233+L233-M233,0),"Unavailable"))</x:f>
        <x:v>0</x:v>
      </x:c>
      <x:c r="O233" s="21" t="n">
        <x:f>IF(C233="","",IFERROR(MAX(0,G233+J233-K233-L233),"Unavailable"))</x:f>
        <x:v>6.6245924</x:v>
      </x:c>
      <x:c r="P233" s="21" t="n">
        <x:f>IF(C233="","",IFERROR(MAX(0,H233+L233-M233-N233),"Unavailable"))</x:f>
        <x:v>0</x:v>
      </x:c>
      <x:c r="Q233" s="23" t="n">
        <x:f>IF(C233="","",IFERROR(IF(OR(D233&gt;=INDEX('Facilities'!$J$9:$J$108,MATCH(C233,'Facilities'!$C$9:$C$108,0)),AND(AC233&gt;=0,AC233&lt;=D233)),0,MAX(0,I233-J233)),"Unavailable"))</x:f>
        <x:v>1.11435</x:v>
      </x:c>
      <x:c r="R233" s="30" t="n">
        <x:f>IF(C233="","",IFERROR(INDEX(Credit!$Q$209:$Q$308,MATCH(F233,Credit!$C$209:$C$308,0)),"Unavailable"))</x:f>
        <x:v>0.049785543021706916</x:v>
      </x:c>
      <x:c r="S233" s="30" t="n">
        <x:f>IF(C233="","",IFERROR(INDEX(Credit!$R$209:$R$308,MATCH(F233,Credit!$C$209:$C$308,0)),"Unavailable"))</x:f>
        <x:v>0.36157696000000006</x:v>
      </x:c>
      <x:c r="T233" s="23" t="n">
        <x:f>IF(C233="","",IFERROR(IF(P233&gt;0,3,IF(OR(INDEX('Facilities'!$AD$9:$AD$108,MATCH(C233,'Facilities'!$C$9:$C$108,0))=2,AND(R233&gt;=INDEX('Facilities'!$L$9:$L$108,MATCH(C233,'Facilities'!$C$9:$C$108,0))*Settings!$F$19,R233-INDEX('Facilities'!$L$9:$L$108,MATCH(C233,'Facilities'!$C$9:$C$108,0))&gt;=Settings!$F$20)),2,1)),"Unavailable"))</x:f>
        <x:v>2</x:v>
      </x:c>
      <x:c r="U233" s="23" t="n">
        <x:f>IF(C233="","",IF(AQ233&lt;&gt;"Ready","Unavailable",IF(C233="","",O233*(1-(1-S233)/(1+INDEX('Facilities'!$K$9:$K$108,MATCH(C233,'Facilities'!$C$9:$C$108,0)))^INDEX('Facilities'!$AK$9:$AK$108,MATCH(C233,'Facilities'!$C$9:$C$108,0)))*R233/(1+INDEX('Facilities'!$K$9:$K$108,MATCH(C233,'Facilities'!$C$9:$C$108,0)))*IF(ABS(1-(1-R233)*(1-INDEX('Facilities'!$R$9:$R$108,MATCH(C233,'Facilities'!$C$9:$C$108,0)))/(1+INDEX('Facilities'!$K$9:$K$108,MATCH(C233,'Facilities'!$C$9:$C$108,0))))&lt;0.000000001,IF(T233=1,MIN(1,AJ233),AJ233),(1-((1-R233)*(1-INDEX('Facilities'!$R$9:$R$108,MATCH(C233,'Facilities'!$C$9:$C$108,0)))/(1+INDEX('Facilities'!$K$9:$K$108,MATCH(C233,'Facilities'!$C$9:$C$108,0))))^IF(T233=1,MIN(1,AJ233),AJ233))/(1-(1-R233)*(1-INDEX('Facilities'!$R$9:$R$108,MATCH(C233,'Facilities'!$C$9:$C$108,0)))/(1+INDEX('Facilities'!$K$9:$K$108,MATCH(C233,'Facilities'!$C$9:$C$108,0)))))+AL233)))</x:f>
        <x:v>0.3922783654021228</x:v>
      </x:c>
      <x:c r="V233" s="23" t="n">
        <x:f>IF(C233="","",IF(AQ233&lt;&gt;"Ready","Unavailable",IF(C233="","",Q233*INDEX('Facilities'!$I$9:$I$108,MATCH(C233,'Facilities'!$C$9:$C$108,0))*(1-(1-S233)/(1+INDEX('Facilities'!$K$9:$K$108,MATCH(C233,'Facilities'!$C$9:$C$108,0)))^INDEX('Facilities'!$AK$9:$AK$108,MATCH(C233,'Facilities'!$C$9:$C$108,0)))*R233/(1+INDEX('Facilities'!$K$9:$K$108,MATCH(C233,'Facilities'!$C$9:$C$108,0)))*IF(ABS(1-(1-R233)*(1-0)/(1+INDEX('Facilities'!$K$9:$K$108,MATCH(C233,'Facilities'!$C$9:$C$108,0))))&lt;0.000000001,IF(T233=1,MIN(1,AJ233),AJ233),(1-((1-R233)*(1-0)/(1+INDEX('Facilities'!$K$9:$K$108,MATCH(C233,'Facilities'!$C$9:$C$108,0))))^IF(T233=1,MIN(1,AJ233),AJ233))/(1-(1-R233)*(1-0)/(1+INDEX('Facilities'!$K$9:$K$108,MATCH(C233,'Facilities'!$C$9:$C$108,0))))))))</x:f>
        <x:v>0.03877343335896215</x:v>
      </x:c>
      <x:c r="W233" s="21" t="n">
        <x:f>IF(C233="","",IFERROR(U133,"Unavailable"))</x:f>
        <x:v>0.19120462685565087</x:v>
      </x:c>
      <x:c r="X233" s="21" t="n">
        <x:f>IF(C233="","",IFERROR(V133,"Unavailable"))</x:f>
        <x:v>0.021281877686061858</x:v>
      </x:c>
      <x:c r="Y233" s="21" t="n">
        <x:f>IF(C233="","",IF(AQ233&lt;&gt;"Ready","Unavailable",IF(C233="","",U233-W233+V233-X233+N233+AG233)))</x:f>
        <x:v>0.21856529421937224</x:v>
      </x:c>
      <x:c r="Z233" s="23" t="n">
        <x:f>IF(C233="","",IF(AQ233&lt;&gt;"Ready","Unavailable",IF(C233="","",(G233+O233+L233)/2*INDEX('Facilities'!$T$9:$T$108,MATCH(C233,'Facilities'!$C$9:$C$108,0))+AG233)))</x:f>
        <x:v>0.6616309389999999</x:v>
      </x:c>
      <x:c r="AA233" s="23" t="n">
        <x:f>IF(C233="","",IF(AQ233&lt;&gt;"Ready","Unavailable",IF(C233="","",O233*(1-IF(INDEX('Facilities'!$AA$9:$AA$108,MATCH(C233,'Facilities'!$C$9:$C$108,0))=0,0,MIN(1,INDEX('Facilities'!$X$9:$X$108,MATCH(C233,'Facilities'!$C$9:$C$108,0))/INDEX('Facilities'!$AA$9:$AA$108,MATCH(C233,'Facilities'!$C$9:$C$108,0)))))*AF233+P233*(1-IF(INDEX('Facilities'!$AA$9:$AA$108,MATCH(C233,'Facilities'!$C$9:$C$108,0))=0,0,MIN(1,INDEX('Facilities'!$X$9:$X$108,MATCH(C233,'Facilities'!$C$9:$C$108,0))/INDEX('Facilities'!$AA$9:$AA$108,MATCH(C233,'Facilities'!$C$9:$C$108,0)))))*INDEX('Facilities'!$AJ$9:$AJ$108,MATCH(C233,'Facilities'!$C$9:$C$108,0))+Q233*INDEX('Facilities'!$AI$9:$AI$108,MATCH(C233,'Facilities'!$C$9:$C$108,0))*AF233)))</x:f>
        <x:v>8.5494371059968</x:v>
      </x:c>
      <x:c r="AB233" s="21" t="n">
        <x:f>IF(C233="","",O233+P233-AD233)</x:f>
        <x:v>-0.6798875999999998</x:v>
      </x:c>
      <x:c r="AC233" s="23" t="n">
        <x:f>IF(C233="","",IFERROR(IF(INDEX('Facilities'!$AD$9:$AD$108,MATCH(C233,'Facilities'!$C$9:$C$108,0))=3,0,IF(INDEX('Facilities'!$AN$9:$AN$108,MATCH(C233,'Facilities'!$C$9:$C$108,0))=0,-1,INDEX('Facilities'!$AN$9:$AN$108,MATCH(C233,'Facilities'!$C$9:$C$108,0)))),"Unavailable"))</x:f>
        <x:v>-1</x:v>
      </x:c>
      <x:c r="AD233" s="21" t="n">
        <x:f>IF(C233="","",IFERROR(G233+H233,"Unavailable"))</x:f>
        <x:v>7.30448</x:v>
      </x:c>
      <x:c r="AE233" s="21" t="n">
        <x:f>IF(C233="","",IF(AQ233&lt;&gt;"Ready","Unavailable",IF(C233="","",O233+P233-AD233-J233+K233+M233+N233)))</x:f>
        <x:v>1.1102230246251565e-16</x:v>
      </x:c>
      <x:c r="AF233" s="30" t="n">
        <x:f>IF(C233="","",IFERROR(INDEX('Facilities'!$S$9:$S$108,MATCH(C233,'Facilities'!$C$9:$C$108,0))*'Scenario Paths'!H75,"Unavailable"))</x:f>
        <x:v>1.2</x:v>
      </x:c>
      <x:c r="AG233" s="23" t="n">
        <x:f>IF(C233="","",IF(AQ233&lt;&gt;"Ready","Unavailable",IF(C233="","",IF(H233&gt;0,MAX(0,H233-AK233)*((1+INDEX('Facilities'!$K$9:$K$108,MATCH(C233,'Facilities'!$C$9:$C$108,0)))^MIN(1,MAX(0,AC233+INDEX('Facilities'!$AK$9:$AK$108,MATCH(C233,'Facilities'!$C$9:$C$108,0))-D233+1))-1),0))))</x:f>
        <x:v>0</x:v>
      </x:c>
      <x:c r="AH233" s="21" t="n">
        <x:f>IF(C233="","",IF(AQ233&lt;&gt;"Ready","Unavailable",IF(C233="","",O233+P233)))</x:f>
        <x:v>6.6245924</x:v>
      </x:c>
      <x:c r="AI233" s="21" t="n">
        <x:f>IF(C233="","",IF(AQ233&lt;&gt;"Ready","Unavailable",IF(C233="","",Z233-Y233)))</x:f>
        <x:v>0.4430656447806277</x:v>
      </x:c>
      <x:c r="AJ233" s="23" t="n">
        <x:f>IF(C233="","",IFERROR(MAX(0,INDEX('Facilities'!$J$9:$J$108,MATCH(C233,'Facilities'!$C$9:$C$108,0))-D233),"Unavailable"))</x:f>
        <x:v>4</x:v>
      </x:c>
      <x:c r="AK233" s="21" t="n">
        <x:f>IF(C233="","",IFERROR(AL133,"Unavailable"))</x:f>
        <x:v>0</x:v>
      </x:c>
      <x:c r="AL233" s="23" t="n">
        <x:f>IF(C233="","",IFERROR(IF(P233&gt;0,P233*(1-AM233/(1+INDEX('Facilities'!$K$9:$K$108,MATCH(C233,'Facilities'!$C$9:$C$108,0)))^MAX(0,AC233+INDEX('Facilities'!$AK$9:$AK$108,MATCH(C233,'Facilities'!$C$9:$C$108,0))-D233)),0),"Unavailable"))</x:f>
        <x:v>0</x:v>
      </x:c>
      <x:c r="AM233" s="30" t="n">
        <x:f>IF(C233="","",IFERROR(INDEX('Facilities'!$AL$9:$AL$108,MATCH(C233,'Facilities'!$C$9:$C$108,0)),"Unavailable"))</x:f>
        <x:v>0.55</x:v>
      </x:c>
      <x:c r="AN233" s="30" t="n">
        <x:f>IF(C233="","",IFERROR(INDEX(Credit!$T$209:$T$308,MATCH(F233,Credit!$C$209:$C$308,0)),"Unavailable"))</x:f>
        <x:v>0.002464</x:v>
      </x:c>
      <x:c r="AO233" s="23" t="n">
        <x:f>IF(C233="","",IF(AQ233&lt;&gt;"Ready","Unavailable",IF(C233="","",O233+P233+Q233*INDEX('Facilities'!$I$9:$I$108,MATCH(C233,'Facilities'!$C$9:$C$108,0)))))</x:f>
        <x:v>7.1817674</x:v>
      </x:c>
      <x:c r="AP233" s="21" t="n">
        <x:f>IF(C233="","",IF(AQ233&lt;&gt;"Ready","Unavailable",IF(C233="","",AH233-U233)))</x:f>
        <x:v>6.232314034597877</x:v>
      </x:c>
      <x:c r="AQ233" s="23" t="str">
        <x:f>IFERROR(IF(C233="","",IF(AND(INDEX('Facilities'!$AF$9:$AF$108,MATCH(C233,'Facilities'!$C$9:$C$108,0))="Ready",INDEX(Credit!$U$209:$U$308,MATCH(F233,Credit!$C$209:$C$308,0))="Ready",ISNUMBER(W233)),"Ready","Review inputs")),"Review inputs")</x:f>
        <x:v>Ready</x:v>
      </x:c>
      <x:c r="AR233" s="23" t="n">
        <x:f>IF(C233="","",IF(AQ233&lt;&gt;"Ready","Unavailable",IF(C233="","",IF(O233=0,0,(IF(AJ233&lt;=1,O233,O233*INDEX('Facilities'!$R$9:$R$108,MATCH(C233,'Facilities'!$C$9:$C$108,0)))+O233*INDEX('Facilities'!$T$9:$T$108,MATCH(C233,'Facilities'!$C$9:$C$108,0)))/12))))</x:f>
        <x:v>0.11869061383333335</x:v>
      </x:c>
    </x:row>
    <x:row r="234" ht="26" customHeight="1">
      <x:c r="A234" s="1"/>
      <x:c r="B234" s="1"/>
      <x:c r="C234" s="9" t="str">
        <x:f>IF(Facilities!C34="","",Facilities!C34)</x:f>
        <x:v>F026</x:v>
      </x:c>
      <x:c r="D234" s="3" t="n">
        <x:v>3</x:v>
      </x:c>
      <x:c r="E234" s="9" t="n">
        <x:f>Settings!$F$18+2</x:f>
        <x:v>2029</x:v>
      </x:c>
      <x:c r="F234" s="9" t="str">
        <x:f>IF(C234="","",IFERROR(INDEX('Facilities'!$D$9:$D$108,MATCH(C234,'Facilities'!$C$9:$C$108,0)),"Unavailable"))</x:f>
        <x:v>B014</x:v>
      </x:c>
      <x:c r="G234" s="21" t="n">
        <x:f>IF(C234="","",IFERROR(O134,"Unavailable"))</x:f>
        <x:v>7.57552</x:v>
      </x:c>
      <x:c r="H234" s="21" t="n">
        <x:f>IF(C234="","",IFERROR(P134,"Unavailable"))</x:f>
        <x:v>0</x:v>
      </x:c>
      <x:c r="I234" s="21" t="n">
        <x:f>IF(C234="","",IFERROR(Q134,"Unavailable"))</x:f>
        <x:v>1.311</x:v>
      </x:c>
      <x:c r="J234" s="23" t="n">
        <x:f>IF(C234="","",IFERROR(IF(OR(H234&gt;0,AND(AC234&gt;=0,AC234&lt;D234),D234&gt;INDEX('Facilities'!$J$9:$J$108,MATCH(C234,'Facilities'!$C$9:$C$108,0))),0,I234*'Scenario Paths'!H81),"Unavailable"))</x:f>
        <x:v>0.19665</x:v>
      </x:c>
      <x:c r="K234" s="23" t="n">
        <x:f>IF(C234="","",IFERROR(IF(OR(H234&gt;0,AND(AC234&gt;=0,AC234=D234)),0,IF(D234&gt;=INDEX('Facilities'!$J$9:$J$108,MATCH(C234,'Facilities'!$C$9:$C$108,0)),G234+J234,MIN(G234+J234,G234*INDEX('Facilities'!$R$9:$R$108,MATCH(C234,'Facilities'!$C$9:$C$108,0))))),"Unavailable"))</x:f>
        <x:v>0.9090623999999999</x:v>
      </x:c>
      <x:c r="L234" s="21" t="n">
        <x:f>IF(C234="","",IFERROR(IF(AND(AC234=D234,AC234&gt;0),MAX(0,G234+J234-K234),0),"Unavailable"))</x:f>
        <x:v>0</x:v>
      </x:c>
      <x:c r="M234" s="23" t="n">
        <x:f>IF(C234="","",IFERROR(IF(AND(AC234&gt;=0,D234&gt;=AC234+INDEX('Facilities'!$AK$9:$AK$108,MATCH(C234,'Facilities'!$C$9:$C$108,0))),(H234+L234)*AM234,0),"Unavailable"))</x:f>
        <x:v>0</x:v>
      </x:c>
      <x:c r="N234" s="23" t="n">
        <x:f>IF(C234="","",IFERROR(IF(AND(AC234&gt;=0,D234&gt;=AC234+INDEX('Facilities'!$AK$9:$AK$108,MATCH(C234,'Facilities'!$C$9:$C$108,0))),H234+L234-M234,0),"Unavailable"))</x:f>
        <x:v>0</x:v>
      </x:c>
      <x:c r="O234" s="21" t="n">
        <x:f>IF(C234="","",IFERROR(MAX(0,G234+J234-K234-L234),"Unavailable"))</x:f>
        <x:v>6.8631076</x:v>
      </x:c>
      <x:c r="P234" s="21" t="n">
        <x:f>IF(C234="","",IFERROR(MAX(0,H234+L234-M234-N234),"Unavailable"))</x:f>
        <x:v>0</x:v>
      </x:c>
      <x:c r="Q234" s="23" t="n">
        <x:f>IF(C234="","",IFERROR(IF(OR(D234&gt;=INDEX('Facilities'!$J$9:$J$108,MATCH(C234,'Facilities'!$C$9:$C$108,0)),AND(AC234&gt;=0,AC234&lt;=D234)),0,MAX(0,I234-J234)),"Unavailable"))</x:f>
        <x:v>1.11435</x:v>
      </x:c>
      <x:c r="R234" s="30" t="n">
        <x:f>IF(C234="","",IFERROR(INDEX(Credit!$Q$209:$Q$308,MATCH(F234,Credit!$C$209:$C$308,0)),"Unavailable"))</x:f>
        <x:v>0.026909255377377553</x:v>
      </x:c>
      <x:c r="S234" s="30" t="n">
        <x:f>IF(C234="","",IFERROR(INDEX(Credit!$R$209:$R$308,MATCH(F234,Credit!$C$209:$C$308,0)),"Unavailable"))</x:f>
        <x:v>0.40268800000000005</x:v>
      </x:c>
      <x:c r="T234" s="23" t="n">
        <x:f>IF(C234="","",IFERROR(IF(P234&gt;0,3,IF(OR(INDEX('Facilities'!$AD$9:$AD$108,MATCH(C234,'Facilities'!$C$9:$C$108,0))=2,AND(R234&gt;=INDEX('Facilities'!$L$9:$L$108,MATCH(C234,'Facilities'!$C$9:$C$108,0))*Settings!$F$19,R234-INDEX('Facilities'!$L$9:$L$108,MATCH(C234,'Facilities'!$C$9:$C$108,0))&gt;=Settings!$F$20)),2,1)),"Unavailable"))</x:f>
        <x:v>1</x:v>
      </x:c>
      <x:c r="U234" s="23" t="n">
        <x:f>IF(C234="","",IF(AQ234&lt;&gt;"Ready","Unavailable",IF(C234="","",O234*(1-(1-S234)/(1+INDEX('Facilities'!$K$9:$K$108,MATCH(C234,'Facilities'!$C$9:$C$108,0)))^INDEX('Facilities'!$AK$9:$AK$108,MATCH(C234,'Facilities'!$C$9:$C$108,0)))*R234/(1+INDEX('Facilities'!$K$9:$K$108,MATCH(C234,'Facilities'!$C$9:$C$108,0)))*IF(ABS(1-(1-R234)*(1-INDEX('Facilities'!$R$9:$R$108,MATCH(C234,'Facilities'!$C$9:$C$108,0)))/(1+INDEX('Facilities'!$K$9:$K$108,MATCH(C234,'Facilities'!$C$9:$C$108,0))))&lt;0.000000001,IF(T234=1,MIN(1,AJ234),AJ234),(1-((1-R234)*(1-INDEX('Facilities'!$R$9:$R$108,MATCH(C234,'Facilities'!$C$9:$C$108,0)))/(1+INDEX('Facilities'!$K$9:$K$108,MATCH(C234,'Facilities'!$C$9:$C$108,0))))^IF(T234=1,MIN(1,AJ234),AJ234))/(1-(1-R234)*(1-INDEX('Facilities'!$R$9:$R$108,MATCH(C234,'Facilities'!$C$9:$C$108,0)))/(1+INDEX('Facilities'!$K$9:$K$108,MATCH(C234,'Facilities'!$C$9:$C$108,0)))))+AL234)))</x:f>
        <x:v>0.083431614864989</x:v>
      </x:c>
      <x:c r="V234" s="23" t="n">
        <x:f>IF(C234="","",IF(AQ234&lt;&gt;"Ready","Unavailable",IF(C234="","",Q234*INDEX('Facilities'!$I$9:$I$108,MATCH(C234,'Facilities'!$C$9:$C$108,0))*(1-(1-S234)/(1+INDEX('Facilities'!$K$9:$K$108,MATCH(C234,'Facilities'!$C$9:$C$108,0)))^INDEX('Facilities'!$AK$9:$AK$108,MATCH(C234,'Facilities'!$C$9:$C$108,0)))*R234/(1+INDEX('Facilities'!$K$9:$K$108,MATCH(C234,'Facilities'!$C$9:$C$108,0)))*IF(ABS(1-(1-R234)*(1-0)/(1+INDEX('Facilities'!$K$9:$K$108,MATCH(C234,'Facilities'!$C$9:$C$108,0))))&lt;0.000000001,IF(T234=1,MIN(1,AJ234),AJ234),(1-((1-R234)*(1-0)/(1+INDEX('Facilities'!$K$9:$K$108,MATCH(C234,'Facilities'!$C$9:$C$108,0))))^IF(T234=1,MIN(1,AJ234),AJ234))/(1-(1-R234)*(1-0)/(1+INDEX('Facilities'!$K$9:$K$108,MATCH(C234,'Facilities'!$C$9:$C$108,0))))))))</x:f>
        <x:v>0.006773317966397647</x:v>
      </x:c>
      <x:c r="W234" s="21" t="n">
        <x:f>IF(C234="","",IFERROR(U134,"Unavailable"))</x:f>
        <x:v>0.06430654655384137</x:v>
      </x:c>
      <x:c r="X234" s="21" t="n">
        <x:f>IF(C234="","",IFERROR(V134,"Unavailable"))</x:f>
        <x:v>0.005564362745533378</x:v>
      </x:c>
      <x:c r="Y234" s="21" t="n">
        <x:f>IF(C234="","",IF(AQ234&lt;&gt;"Ready","Unavailable",IF(C234="","",U234-W234+V234-X234+N234+AG234)))</x:f>
        <x:v>0.0203340235320119</x:v>
      </x:c>
      <x:c r="Z234" s="23" t="n">
        <x:f>IF(C234="","",IF(AQ234&lt;&gt;"Ready","Unavailable",IF(C234="","",(G234+O234+L234)/2*INDEX('Facilities'!$T$9:$T$108,MATCH(C234,'Facilities'!$C$9:$C$108,0))+AG234)))</x:f>
        <x:v>0.685834811</x:v>
      </x:c>
      <x:c r="AA234" s="23" t="n">
        <x:f>IF(C234="","",IF(AQ234&lt;&gt;"Ready","Unavailable",IF(C234="","",O234*(1-IF(INDEX('Facilities'!$AA$9:$AA$108,MATCH(C234,'Facilities'!$C$9:$C$108,0))=0,0,MIN(1,INDEX('Facilities'!$X$9:$X$108,MATCH(C234,'Facilities'!$C$9:$C$108,0))/INDEX('Facilities'!$AA$9:$AA$108,MATCH(C234,'Facilities'!$C$9:$C$108,0)))))*AF234+P234*(1-IF(INDEX('Facilities'!$AA$9:$AA$108,MATCH(C234,'Facilities'!$C$9:$C$108,0))=0,0,MIN(1,INDEX('Facilities'!$X$9:$X$108,MATCH(C234,'Facilities'!$C$9:$C$108,0))/INDEX('Facilities'!$AA$9:$AA$108,MATCH(C234,'Facilities'!$C$9:$C$108,0)))))*INDEX('Facilities'!$AJ$9:$AJ$108,MATCH(C234,'Facilities'!$C$9:$C$108,0))+Q234*INDEX('Facilities'!$AI$9:$AI$108,MATCH(C234,'Facilities'!$C$9:$C$108,0))*AF234)))</x:f>
        <x:v>8.785744620671998</x:v>
      </x:c>
      <x:c r="AB234" s="21" t="n">
        <x:f>IF(C234="","",O234+P234-AD234)</x:f>
        <x:v>-0.7124123999999998</x:v>
      </x:c>
      <x:c r="AC234" s="23" t="n">
        <x:f>IF(C234="","",IFERROR(IF(INDEX('Facilities'!$AD$9:$AD$108,MATCH(C234,'Facilities'!$C$9:$C$108,0))=3,0,IF(INDEX('Facilities'!$AN$9:$AN$108,MATCH(C234,'Facilities'!$C$9:$C$108,0))=0,-1,INDEX('Facilities'!$AN$9:$AN$108,MATCH(C234,'Facilities'!$C$9:$C$108,0)))),"Unavailable"))</x:f>
        <x:v>-1</x:v>
      </x:c>
      <x:c r="AD234" s="21" t="n">
        <x:f>IF(C234="","",IFERROR(G234+H234,"Unavailable"))</x:f>
        <x:v>7.57552</x:v>
      </x:c>
      <x:c r="AE234" s="21" t="n">
        <x:f>IF(C234="","",IF(AQ234&lt;&gt;"Ready","Unavailable",IF(C234="","",O234+P234-AD234-J234+K234+M234+N234)))</x:f>
        <x:v>1.1102230246251565e-16</x:v>
      </x:c>
      <x:c r="AF234" s="30" t="n">
        <x:f>IF(C234="","",IFERROR(INDEX('Facilities'!$S$9:$S$108,MATCH(C234,'Facilities'!$C$9:$C$108,0))*'Scenario Paths'!H75,"Unavailable"))</x:f>
        <x:v>1.2</x:v>
      </x:c>
      <x:c r="AG234" s="23" t="n">
        <x:f>IF(C234="","",IF(AQ234&lt;&gt;"Ready","Unavailable",IF(C234="","",IF(H234&gt;0,MAX(0,H234-AK234)*((1+INDEX('Facilities'!$K$9:$K$108,MATCH(C234,'Facilities'!$C$9:$C$108,0)))^MIN(1,MAX(0,AC234+INDEX('Facilities'!$AK$9:$AK$108,MATCH(C234,'Facilities'!$C$9:$C$108,0))-D234+1))-1),0))))</x:f>
        <x:v>0</x:v>
      </x:c>
      <x:c r="AH234" s="21" t="n">
        <x:f>IF(C234="","",IF(AQ234&lt;&gt;"Ready","Unavailable",IF(C234="","",O234+P234)))</x:f>
        <x:v>6.8631076</x:v>
      </x:c>
      <x:c r="AI234" s="21" t="n">
        <x:f>IF(C234="","",IF(AQ234&lt;&gt;"Ready","Unavailable",IF(C234="","",Z234-Y234)))</x:f>
        <x:v>0.6655007874679881</x:v>
      </x:c>
      <x:c r="AJ234" s="23" t="n">
        <x:f>IF(C234="","",IFERROR(MAX(0,INDEX('Facilities'!$J$9:$J$108,MATCH(C234,'Facilities'!$C$9:$C$108,0))-D234),"Unavailable"))</x:f>
        <x:v>5</x:v>
      </x:c>
      <x:c r="AK234" s="21" t="n">
        <x:f>IF(C234="","",IFERROR(AL134,"Unavailable"))</x:f>
        <x:v>0</x:v>
      </x:c>
      <x:c r="AL234" s="23" t="n">
        <x:f>IF(C234="","",IFERROR(IF(P234&gt;0,P234*(1-AM234/(1+INDEX('Facilities'!$K$9:$K$108,MATCH(C234,'Facilities'!$C$9:$C$108,0)))^MAX(0,AC234+INDEX('Facilities'!$AK$9:$AK$108,MATCH(C234,'Facilities'!$C$9:$C$108,0))-D234)),0),"Unavailable"))</x:f>
        <x:v>0</x:v>
      </x:c>
      <x:c r="AM234" s="30" t="n">
        <x:f>IF(C234="","",IFERROR(INDEX('Facilities'!$AL$9:$AL$108,MATCH(C234,'Facilities'!$C$9:$C$108,0)),"Unavailable"))</x:f>
        <x:v>0.55</x:v>
      </x:c>
      <x:c r="AN234" s="30" t="n">
        <x:f>IF(C234="","",IFERROR(INDEX(Credit!$T$209:$T$308,MATCH(F234,Credit!$C$209:$C$308,0)),"Unavailable"))</x:f>
        <x:v>0.0044800000000000005</x:v>
      </x:c>
      <x:c r="AO234" s="23" t="n">
        <x:f>IF(C234="","",IF(AQ234&lt;&gt;"Ready","Unavailable",IF(C234="","",O234+P234+Q234*INDEX('Facilities'!$I$9:$I$108,MATCH(C234,'Facilities'!$C$9:$C$108,0)))))</x:f>
        <x:v>7.4202826</x:v>
      </x:c>
      <x:c r="AP234" s="21" t="n">
        <x:f>IF(C234="","",IF(AQ234&lt;&gt;"Ready","Unavailable",IF(C234="","",AH234-U234)))</x:f>
        <x:v>6.779675985135011</x:v>
      </x:c>
      <x:c r="AQ234" s="23" t="str">
        <x:f>IFERROR(IF(C234="","",IF(AND(INDEX('Facilities'!$AF$9:$AF$108,MATCH(C234,'Facilities'!$C$9:$C$108,0))="Ready",INDEX(Credit!$U$209:$U$308,MATCH(F234,Credit!$C$209:$C$308,0))="Ready",ISNUMBER(W234)),"Ready","Review inputs")),"Review inputs")</x:f>
        <x:v>Ready</x:v>
      </x:c>
      <x:c r="AR234" s="23" t="n">
        <x:f>IF(C234="","",IF(AQ234&lt;&gt;"Ready","Unavailable",IF(C234="","",IF(O234=0,0,(IF(AJ234&lt;=1,O234,O234*INDEX('Facilities'!$R$9:$R$108,MATCH(C234,'Facilities'!$C$9:$C$108,0)))+O234*INDEX('Facilities'!$T$9:$T$108,MATCH(C234,'Facilities'!$C$9:$C$108,0)))/12))))</x:f>
        <x:v>0.12296401116666666</x:v>
      </x:c>
    </x:row>
    <x:row r="235" ht="26" customHeight="1">
      <x:c r="A235" s="1"/>
      <x:c r="B235" s="1"/>
      <x:c r="C235" s="9" t="str">
        <x:f>IF(Facilities!C35="","",Facilities!C35)</x:f>
        <x:v>F027</x:v>
      </x:c>
      <x:c r="D235" s="3" t="n">
        <x:v>3</x:v>
      </x:c>
      <x:c r="E235" s="9" t="n">
        <x:f>Settings!$F$18+2</x:f>
        <x:v>2029</x:v>
      </x:c>
      <x:c r="F235" s="9" t="str">
        <x:f>IF(C235="","",IFERROR(INDEX('Facilities'!$D$9:$D$108,MATCH(C235,'Facilities'!$C$9:$C$108,0)),"Unavailable"))</x:f>
        <x:v>B015</x:v>
      </x:c>
      <x:c r="G235" s="21" t="n">
        <x:f>IF(C235="","",IFERROR(O135,"Unavailable"))</x:f>
        <x:v>7.84656</x:v>
      </x:c>
      <x:c r="H235" s="21" t="n">
        <x:f>IF(C235="","",IFERROR(P135,"Unavailable"))</x:f>
        <x:v>0</x:v>
      </x:c>
      <x:c r="I235" s="21" t="n">
        <x:f>IF(C235="","",IFERROR(Q135,"Unavailable"))</x:f>
        <x:v>1.311</x:v>
      </x:c>
      <x:c r="J235" s="23" t="n">
        <x:f>IF(C235="","",IFERROR(IF(OR(H235&gt;0,AND(AC235&gt;=0,AC235&lt;D235),D235&gt;INDEX('Facilities'!$J$9:$J$108,MATCH(C235,'Facilities'!$C$9:$C$108,0))),0,I235*'Scenario Paths'!H81),"Unavailable"))</x:f>
        <x:v>0.19665</x:v>
      </x:c>
      <x:c r="K235" s="23" t="n">
        <x:f>IF(C235="","",IFERROR(IF(OR(H235&gt;0,AND(AC235&gt;=0,AC235=D235)),0,IF(D235&gt;=INDEX('Facilities'!$J$9:$J$108,MATCH(C235,'Facilities'!$C$9:$C$108,0)),G235+J235,MIN(G235+J235,G235*INDEX('Facilities'!$R$9:$R$108,MATCH(C235,'Facilities'!$C$9:$C$108,0))))),"Unavailable"))</x:f>
        <x:v>0.9415872</x:v>
      </x:c>
      <x:c r="L235" s="21" t="n">
        <x:f>IF(C235="","",IFERROR(IF(AND(AC235=D235,AC235&gt;0),MAX(0,G235+J235-K235),0),"Unavailable"))</x:f>
        <x:v>0</x:v>
      </x:c>
      <x:c r="M235" s="23" t="n">
        <x:f>IF(C235="","",IFERROR(IF(AND(AC235&gt;=0,D235&gt;=AC235+INDEX('Facilities'!$AK$9:$AK$108,MATCH(C235,'Facilities'!$C$9:$C$108,0))),(H235+L235)*AM235,0),"Unavailable"))</x:f>
        <x:v>0</x:v>
      </x:c>
      <x:c r="N235" s="23" t="n">
        <x:f>IF(C235="","",IFERROR(IF(AND(AC235&gt;=0,D235&gt;=AC235+INDEX('Facilities'!$AK$9:$AK$108,MATCH(C235,'Facilities'!$C$9:$C$108,0))),H235+L235-M235,0),"Unavailable"))</x:f>
        <x:v>0</x:v>
      </x:c>
      <x:c r="O235" s="21" t="n">
        <x:f>IF(C235="","",IFERROR(MAX(0,G235+J235-K235-L235),"Unavailable"))</x:f>
        <x:v>7.1016228</x:v>
      </x:c>
      <x:c r="P235" s="21" t="n">
        <x:f>IF(C235="","",IFERROR(MAX(0,H235+L235-M235-N235),"Unavailable"))</x:f>
        <x:v>0</x:v>
      </x:c>
      <x:c r="Q235" s="23" t="n">
        <x:f>IF(C235="","",IFERROR(IF(OR(D235&gt;=INDEX('Facilities'!$J$9:$J$108,MATCH(C235,'Facilities'!$C$9:$C$108,0)),AND(AC235&gt;=0,AC235&lt;=D235)),0,MAX(0,I235-J235)),"Unavailable"))</x:f>
        <x:v>1.11435</x:v>
      </x:c>
      <x:c r="R235" s="30" t="n">
        <x:f>IF(C235="","",IFERROR(INDEX(Credit!$Q$209:$Q$308,MATCH(F235,Credit!$C$209:$C$308,0)),"Unavailable"))</x:f>
        <x:v>0.051544036970054906</x:v>
      </x:c>
      <x:c r="S235" s="30" t="n">
        <x:f>IF(C235="","",IFERROR(INDEX(Credit!$R$209:$R$308,MATCH(F235,Credit!$C$209:$C$308,0)),"Unavailable"))</x:f>
        <x:v>0.4439603200000001</x:v>
      </x:c>
      <x:c r="T235" s="23" t="n">
        <x:f>IF(C235="","",IFERROR(IF(P235&gt;0,3,IF(OR(INDEX('Facilities'!$AD$9:$AD$108,MATCH(C235,'Facilities'!$C$9:$C$108,0))=2,AND(R235&gt;=INDEX('Facilities'!$L$9:$L$108,MATCH(C235,'Facilities'!$C$9:$C$108,0))*Settings!$F$19,R235-INDEX('Facilities'!$L$9:$L$108,MATCH(C235,'Facilities'!$C$9:$C$108,0))&gt;=Settings!$F$20)),2,1)),"Unavailable"))</x:f>
        <x:v>2</x:v>
      </x:c>
      <x:c r="U235" s="23" t="n">
        <x:f>IF(C235="","",IF(AQ235&lt;&gt;"Ready","Unavailable",IF(C235="","",O235*(1-(1-S235)/(1+INDEX('Facilities'!$K$9:$K$108,MATCH(C235,'Facilities'!$C$9:$C$108,0)))^INDEX('Facilities'!$AK$9:$AK$108,MATCH(C235,'Facilities'!$C$9:$C$108,0)))*R235/(1+INDEX('Facilities'!$K$9:$K$108,MATCH(C235,'Facilities'!$C$9:$C$108,0)))*IF(ABS(1-(1-R235)*(1-INDEX('Facilities'!$R$9:$R$108,MATCH(C235,'Facilities'!$C$9:$C$108,0)))/(1+INDEX('Facilities'!$K$9:$K$108,MATCH(C235,'Facilities'!$C$9:$C$108,0))))&lt;0.000000001,IF(T235=1,MIN(1,AJ235),AJ235),(1-((1-R235)*(1-INDEX('Facilities'!$R$9:$R$108,MATCH(C235,'Facilities'!$C$9:$C$108,0)))/(1+INDEX('Facilities'!$K$9:$K$108,MATCH(C235,'Facilities'!$C$9:$C$108,0))))^IF(T235=1,MIN(1,AJ235),AJ235))/(1-(1-R235)*(1-INDEX('Facilities'!$R$9:$R$108,MATCH(C235,'Facilities'!$C$9:$C$108,0)))/(1+INDEX('Facilities'!$K$9:$K$108,MATCH(C235,'Facilities'!$C$9:$C$108,0)))))+AL235)))</x:f>
        <x:v>0.7039162862689279</x:v>
      </x:c>
      <x:c r="V235" s="23" t="n">
        <x:f>IF(C235="","",IF(AQ235&lt;&gt;"Ready","Unavailable",IF(C235="","",Q235*INDEX('Facilities'!$I$9:$I$108,MATCH(C235,'Facilities'!$C$9:$C$108,0))*(1-(1-S235)/(1+INDEX('Facilities'!$K$9:$K$108,MATCH(C235,'Facilities'!$C$9:$C$108,0)))^INDEX('Facilities'!$AK$9:$AK$108,MATCH(C235,'Facilities'!$C$9:$C$108,0)))*R235/(1+INDEX('Facilities'!$K$9:$K$108,MATCH(C235,'Facilities'!$C$9:$C$108,0)))*IF(ABS(1-(1-R235)*(1-0)/(1+INDEX('Facilities'!$K$9:$K$108,MATCH(C235,'Facilities'!$C$9:$C$108,0))))&lt;0.000000001,IF(T235=1,MIN(1,AJ235),AJ235),(1-((1-R235)*(1-0)/(1+INDEX('Facilities'!$K$9:$K$108,MATCH(C235,'Facilities'!$C$9:$C$108,0))))^IF(T235=1,MIN(1,AJ235),AJ235))/(1-(1-R235)*(1-0)/(1+INDEX('Facilities'!$K$9:$K$108,MATCH(C235,'Facilities'!$C$9:$C$108,0))))))))</x:f>
        <x:v>0.07874920452122587</x:v>
      </x:c>
      <x:c r="W235" s="21" t="n">
        <x:f>IF(C235="","",IFERROR(U135,"Unavailable"))</x:f>
        <x:v>0.11986134735554721</x:v>
      </x:c>
      <x:c r="X235" s="21" t="n">
        <x:f>IF(C235="","",IFERROR(V135,"Unavailable"))</x:f>
        <x:v>0.010013192174858944</x:v>
      </x:c>
      <x:c r="Y235" s="21" t="n">
        <x:f>IF(C235="","",IF(AQ235&lt;&gt;"Ready","Unavailable",IF(C235="","",U235-W235+V235-X235+N235+AG235)))</x:f>
        <x:v>0.6527909512597476</x:v>
      </x:c>
      <x:c r="Z235" s="23" t="n">
        <x:f>IF(C235="","",IF(AQ235&lt;&gt;"Ready","Unavailable",IF(C235="","",(G235+O235+L235)/2*INDEX('Facilities'!$T$9:$T$108,MATCH(C235,'Facilities'!$C$9:$C$108,0))+AG235)))</x:f>
        <x:v>0.7100386830000001</x:v>
      </x:c>
      <x:c r="AA235" s="23" t="n">
        <x:f>IF(C235="","",IF(AQ235&lt;&gt;"Ready","Unavailable",IF(C235="","",O235*(1-IF(INDEX('Facilities'!$AA$9:$AA$108,MATCH(C235,'Facilities'!$C$9:$C$108,0))=0,0,MIN(1,INDEX('Facilities'!$X$9:$X$108,MATCH(C235,'Facilities'!$C$9:$C$108,0))/INDEX('Facilities'!$AA$9:$AA$108,MATCH(C235,'Facilities'!$C$9:$C$108,0)))))*AF235+P235*(1-IF(INDEX('Facilities'!$AA$9:$AA$108,MATCH(C235,'Facilities'!$C$9:$C$108,0))=0,0,MIN(1,INDEX('Facilities'!$X$9:$X$108,MATCH(C235,'Facilities'!$C$9:$C$108,0))/INDEX('Facilities'!$AA$9:$AA$108,MATCH(C235,'Facilities'!$C$9:$C$108,0)))))*INDEX('Facilities'!$AJ$9:$AJ$108,MATCH(C235,'Facilities'!$C$9:$C$108,0))+Q235*INDEX('Facilities'!$AI$9:$AI$108,MATCH(C235,'Facilities'!$C$9:$C$108,0))*AF235)))</x:f>
        <x:v>9.0105738317568</x:v>
      </x:c>
      <x:c r="AB235" s="21" t="n">
        <x:f>IF(C235="","",O235+P235-AD235)</x:f>
        <x:v>-0.7449371999999999</x:v>
      </x:c>
      <x:c r="AC235" s="23" t="n">
        <x:f>IF(C235="","",IFERROR(IF(INDEX('Facilities'!$AD$9:$AD$108,MATCH(C235,'Facilities'!$C$9:$C$108,0))=3,0,IF(INDEX('Facilities'!$AN$9:$AN$108,MATCH(C235,'Facilities'!$C$9:$C$108,0))=0,-1,INDEX('Facilities'!$AN$9:$AN$108,MATCH(C235,'Facilities'!$C$9:$C$108,0)))),"Unavailable"))</x:f>
        <x:v>-1</x:v>
      </x:c>
      <x:c r="AD235" s="21" t="n">
        <x:f>IF(C235="","",IFERROR(G235+H235,"Unavailable"))</x:f>
        <x:v>7.84656</x:v>
      </x:c>
      <x:c r="AE235" s="21" t="n">
        <x:f>IF(C235="","",IF(AQ235&lt;&gt;"Ready","Unavailable",IF(C235="","",O235+P235-AD235-J235+K235+M235+N235)))</x:f>
        <x:v>1.1102230246251565e-16</x:v>
      </x:c>
      <x:c r="AF235" s="30" t="n">
        <x:f>IF(C235="","",IFERROR(INDEX('Facilities'!$S$9:$S$108,MATCH(C235,'Facilities'!$C$9:$C$108,0))*'Scenario Paths'!H75,"Unavailable"))</x:f>
        <x:v>1.2</x:v>
      </x:c>
      <x:c r="AG235" s="23" t="n">
        <x:f>IF(C235="","",IF(AQ235&lt;&gt;"Ready","Unavailable",IF(C235="","",IF(H235&gt;0,MAX(0,H235-AK235)*((1+INDEX('Facilities'!$K$9:$K$108,MATCH(C235,'Facilities'!$C$9:$C$108,0)))^MIN(1,MAX(0,AC235+INDEX('Facilities'!$AK$9:$AK$108,MATCH(C235,'Facilities'!$C$9:$C$108,0))-D235+1))-1),0))))</x:f>
        <x:v>0</x:v>
      </x:c>
      <x:c r="AH235" s="21" t="n">
        <x:f>IF(C235="","",IF(AQ235&lt;&gt;"Ready","Unavailable",IF(C235="","",O235+P235)))</x:f>
        <x:v>7.1016228</x:v>
      </x:c>
      <x:c r="AI235" s="21" t="n">
        <x:f>IF(C235="","",IF(AQ235&lt;&gt;"Ready","Unavailable",IF(C235="","",Z235-Y235)))</x:f>
        <x:v>0.05724773174025244</x:v>
      </x:c>
      <x:c r="AJ235" s="23" t="n">
        <x:f>IF(C235="","",IFERROR(MAX(0,INDEX('Facilities'!$J$9:$J$108,MATCH(C235,'Facilities'!$C$9:$C$108,0))-D235),"Unavailable"))</x:f>
        <x:v>9</x:v>
      </x:c>
      <x:c r="AK235" s="21" t="n">
        <x:f>IF(C235="","",IFERROR(AL135,"Unavailable"))</x:f>
        <x:v>0</x:v>
      </x:c>
      <x:c r="AL235" s="23" t="n">
        <x:f>IF(C235="","",IFERROR(IF(P235&gt;0,P235*(1-AM235/(1+INDEX('Facilities'!$K$9:$K$108,MATCH(C235,'Facilities'!$C$9:$C$108,0)))^MAX(0,AC235+INDEX('Facilities'!$AK$9:$AK$108,MATCH(C235,'Facilities'!$C$9:$C$108,0))-D235)),0),"Unavailable"))</x:f>
        <x:v>0</x:v>
      </x:c>
      <x:c r="AM235" s="30" t="n">
        <x:f>IF(C235="","",IFERROR(INDEX('Facilities'!$AL$9:$AL$108,MATCH(C235,'Facilities'!$C$9:$C$108,0)),"Unavailable"))</x:f>
        <x:v>0.55</x:v>
      </x:c>
      <x:c r="AN235" s="30" t="n">
        <x:f>IF(C235="","",IFERROR(INDEX(Credit!$T$209:$T$308,MATCH(F235,Credit!$C$209:$C$308,0)),"Unavailable"))</x:f>
        <x:v>0.007071999999999998</x:v>
      </x:c>
      <x:c r="AO235" s="23" t="n">
        <x:f>IF(C235="","",IF(AQ235&lt;&gt;"Ready","Unavailable",IF(C235="","",O235+P235+Q235*INDEX('Facilities'!$I$9:$I$108,MATCH(C235,'Facilities'!$C$9:$C$108,0)))))</x:f>
        <x:v>7.6587978</x:v>
      </x:c>
      <x:c r="AP235" s="21" t="n">
        <x:f>IF(C235="","",IF(AQ235&lt;&gt;"Ready","Unavailable",IF(C235="","",AH235-U235)))</x:f>
        <x:v>6.397706513731072</x:v>
      </x:c>
      <x:c r="AQ235" s="23" t="str">
        <x:f>IFERROR(IF(C235="","",IF(AND(INDEX('Facilities'!$AF$9:$AF$108,MATCH(C235,'Facilities'!$C$9:$C$108,0))="Ready",INDEX(Credit!$U$209:$U$308,MATCH(F235,Credit!$C$209:$C$308,0))="Ready",ISNUMBER(W235)),"Ready","Review inputs")),"Review inputs")</x:f>
        <x:v>Ready</x:v>
      </x:c>
      <x:c r="AR235" s="23" t="n">
        <x:f>IF(C235="","",IF(AQ235&lt;&gt;"Ready","Unavailable",IF(C235="","",IF(O235=0,0,(IF(AJ235&lt;=1,O235,O235*INDEX('Facilities'!$R$9:$R$108,MATCH(C235,'Facilities'!$C$9:$C$108,0)))+O235*INDEX('Facilities'!$T$9:$T$108,MATCH(C235,'Facilities'!$C$9:$C$108,0)))/12))))</x:f>
        <x:v>0.1272374085</x:v>
      </x:c>
    </x:row>
    <x:row r="236" ht="26" customHeight="1">
      <x:c r="A236" s="1"/>
      <x:c r="B236" s="1"/>
      <x:c r="C236" s="9" t="str">
        <x:f>IF(Facilities!C36="","",Facilities!C36)</x:f>
        <x:v>F028</x:v>
      </x:c>
      <x:c r="D236" s="3" t="n">
        <x:v>3</x:v>
      </x:c>
      <x:c r="E236" s="9" t="n">
        <x:f>Settings!$F$18+2</x:f>
        <x:v>2029</x:v>
      </x:c>
      <x:c r="F236" s="9" t="str">
        <x:f>IF(C236="","",IFERROR(INDEX('Facilities'!$D$9:$D$108,MATCH(C236,'Facilities'!$C$9:$C$108,0)),"Unavailable"))</x:f>
        <x:v>B016</x:v>
      </x:c>
      <x:c r="G236" s="21" t="n">
        <x:f>IF(C236="","",IFERROR(O136,"Unavailable"))</x:f>
        <x:v>8.1176</x:v>
      </x:c>
      <x:c r="H236" s="21" t="n">
        <x:f>IF(C236="","",IFERROR(P136,"Unavailable"))</x:f>
        <x:v>0</x:v>
      </x:c>
      <x:c r="I236" s="21" t="n">
        <x:f>IF(C236="","",IFERROR(Q136,"Unavailable"))</x:f>
        <x:v>1.311</x:v>
      </x:c>
      <x:c r="J236" s="23" t="n">
        <x:f>IF(C236="","",IFERROR(IF(OR(H236&gt;0,AND(AC236&gt;=0,AC236&lt;D236),D236&gt;INDEX('Facilities'!$J$9:$J$108,MATCH(C236,'Facilities'!$C$9:$C$108,0))),0,I236*'Scenario Paths'!H81),"Unavailable"))</x:f>
        <x:v>0.19665</x:v>
      </x:c>
      <x:c r="K236" s="23" t="n">
        <x:f>IF(C236="","",IFERROR(IF(OR(H236&gt;0,AND(AC236&gt;=0,AC236=D236)),0,IF(D236&gt;=INDEX('Facilities'!$J$9:$J$108,MATCH(C236,'Facilities'!$C$9:$C$108,0)),G236+J236,MIN(G236+J236,G236*INDEX('Facilities'!$R$9:$R$108,MATCH(C236,'Facilities'!$C$9:$C$108,0))))),"Unavailable"))</x:f>
        <x:v>0.9741119999999999</x:v>
      </x:c>
      <x:c r="L236" s="21" t="n">
        <x:f>IF(C236="","",IFERROR(IF(AND(AC236=D236,AC236&gt;0),MAX(0,G236+J236-K236),0),"Unavailable"))</x:f>
        <x:v>0</x:v>
      </x:c>
      <x:c r="M236" s="23" t="n">
        <x:f>IF(C236="","",IFERROR(IF(AND(AC236&gt;=0,D236&gt;=AC236+INDEX('Facilities'!$AK$9:$AK$108,MATCH(C236,'Facilities'!$C$9:$C$108,0))),(H236+L236)*AM236,0),"Unavailable"))</x:f>
        <x:v>0</x:v>
      </x:c>
      <x:c r="N236" s="23" t="n">
        <x:f>IF(C236="","",IFERROR(IF(AND(AC236&gt;=0,D236&gt;=AC236+INDEX('Facilities'!$AK$9:$AK$108,MATCH(C236,'Facilities'!$C$9:$C$108,0))),H236+L236-M236,0),"Unavailable"))</x:f>
        <x:v>0</x:v>
      </x:c>
      <x:c r="O236" s="21" t="n">
        <x:f>IF(C236="","",IFERROR(MAX(0,G236+J236-K236-L236),"Unavailable"))</x:f>
        <x:v>7.340138</x:v>
      </x:c>
      <x:c r="P236" s="21" t="n">
        <x:f>IF(C236="","",IFERROR(MAX(0,H236+L236-M236-N236),"Unavailable"))</x:f>
        <x:v>0</x:v>
      </x:c>
      <x:c r="Q236" s="23" t="n">
        <x:f>IF(C236="","",IFERROR(IF(OR(D236&gt;=INDEX('Facilities'!$J$9:$J$108,MATCH(C236,'Facilities'!$C$9:$C$108,0)),AND(AC236&gt;=0,AC236&lt;=D236)),0,MAX(0,I236-J236)),"Unavailable"))</x:f>
        <x:v>1.11435</x:v>
      </x:c>
      <x:c r="R236" s="30" t="n">
        <x:f>IF(C236="","",IFERROR(INDEX(Credit!$Q$209:$Q$308,MATCH(F236,Credit!$C$209:$C$308,0)),"Unavailable"))</x:f>
        <x:v>0.05810196929413358</x:v>
      </x:c>
      <x:c r="S236" s="30" t="n">
        <x:f>IF(C236="","",IFERROR(INDEX(Credit!$R$209:$R$308,MATCH(F236,Credit!$C$209:$C$308,0)),"Unavailable"))</x:f>
        <x:v>0.2808064</x:v>
      </x:c>
      <x:c r="T236" s="23" t="n">
        <x:f>IF(C236="","",IFERROR(IF(P236&gt;0,3,IF(OR(INDEX('Facilities'!$AD$9:$AD$108,MATCH(C236,'Facilities'!$C$9:$C$108,0))=2,AND(R236&gt;=INDEX('Facilities'!$L$9:$L$108,MATCH(C236,'Facilities'!$C$9:$C$108,0))*Settings!$F$19,R236-INDEX('Facilities'!$L$9:$L$108,MATCH(C236,'Facilities'!$C$9:$C$108,0))&gt;=Settings!$F$20)),2,1)),"Unavailable"))</x:f>
        <x:v>1</x:v>
      </x:c>
      <x:c r="U236" s="23" t="n">
        <x:f>IF(C236="","",IF(AQ236&lt;&gt;"Ready","Unavailable",IF(C236="","",O236*(1-(1-S236)/(1+INDEX('Facilities'!$K$9:$K$108,MATCH(C236,'Facilities'!$C$9:$C$108,0)))^INDEX('Facilities'!$AK$9:$AK$108,MATCH(C236,'Facilities'!$C$9:$C$108,0)))*R236/(1+INDEX('Facilities'!$K$9:$K$108,MATCH(C236,'Facilities'!$C$9:$C$108,0)))*IF(ABS(1-(1-R236)*(1-INDEX('Facilities'!$R$9:$R$108,MATCH(C236,'Facilities'!$C$9:$C$108,0)))/(1+INDEX('Facilities'!$K$9:$K$108,MATCH(C236,'Facilities'!$C$9:$C$108,0))))&lt;0.000000001,IF(T236=1,MIN(1,AJ236),AJ236),(1-((1-R236)*(1-INDEX('Facilities'!$R$9:$R$108,MATCH(C236,'Facilities'!$C$9:$C$108,0)))/(1+INDEX('Facilities'!$K$9:$K$108,MATCH(C236,'Facilities'!$C$9:$C$108,0))))^IF(T236=1,MIN(1,AJ236),AJ236))/(1-(1-R236)*(1-INDEX('Facilities'!$R$9:$R$108,MATCH(C236,'Facilities'!$C$9:$C$108,0)))/(1+INDEX('Facilities'!$K$9:$K$108,MATCH(C236,'Facilities'!$C$9:$C$108,0)))))+AL236)))</x:f>
        <x:v>0.15140207288388746</x:v>
      </x:c>
      <x:c r="V236" s="23" t="n">
        <x:f>IF(C236="","",IF(AQ236&lt;&gt;"Ready","Unavailable",IF(C236="","",Q236*INDEX('Facilities'!$I$9:$I$108,MATCH(C236,'Facilities'!$C$9:$C$108,0))*(1-(1-S236)/(1+INDEX('Facilities'!$K$9:$K$108,MATCH(C236,'Facilities'!$C$9:$C$108,0)))^INDEX('Facilities'!$AK$9:$AK$108,MATCH(C236,'Facilities'!$C$9:$C$108,0)))*R236/(1+INDEX('Facilities'!$K$9:$K$108,MATCH(C236,'Facilities'!$C$9:$C$108,0)))*IF(ABS(1-(1-R236)*(1-0)/(1+INDEX('Facilities'!$K$9:$K$108,MATCH(C236,'Facilities'!$C$9:$C$108,0))))&lt;0.000000001,IF(T236=1,MIN(1,AJ236),AJ236),(1-((1-R236)*(1-0)/(1+INDEX('Facilities'!$K$9:$K$108,MATCH(C236,'Facilities'!$C$9:$C$108,0))))^IF(T236=1,MIN(1,AJ236),AJ236))/(1-(1-R236)*(1-0)/(1+INDEX('Facilities'!$K$9:$K$108,MATCH(C236,'Facilities'!$C$9:$C$108,0))))))))</x:f>
        <x:v>0.011492624520013109</x:v>
      </x:c>
      <x:c r="W236" s="21" t="n">
        <x:f>IF(C236="","",IFERROR(U136,"Unavailable"))</x:f>
        <x:v>0.10746916231195251</x:v>
      </x:c>
      <x:c r="X236" s="21" t="n">
        <x:f>IF(C236="","",IFERROR(V136,"Unavailable"))</x:f>
        <x:v>0.008678185165009962</x:v>
      </x:c>
      <x:c r="Y236" s="21" t="n">
        <x:f>IF(C236="","",IF(AQ236&lt;&gt;"Ready","Unavailable",IF(C236="","",U236-W236+V236-X236+N236+AG236)))</x:f>
        <x:v>0.046747349926938096</x:v>
      </x:c>
      <x:c r="Z236" s="23" t="n">
        <x:f>IF(C236="","",IF(AQ236&lt;&gt;"Ready","Unavailable",IF(C236="","",(G236+O236+L236)/2*INDEX('Facilities'!$T$9:$T$108,MATCH(C236,'Facilities'!$C$9:$C$108,0))+AG236)))</x:f>
        <x:v>0.734242555</x:v>
      </x:c>
      <x:c r="AA236" s="23" t="n">
        <x:f>IF(C236="","",IF(AQ236&lt;&gt;"Ready","Unavailable",IF(C236="","",O236*(1-IF(INDEX('Facilities'!$AA$9:$AA$108,MATCH(C236,'Facilities'!$C$9:$C$108,0))=0,0,MIN(1,INDEX('Facilities'!$X$9:$X$108,MATCH(C236,'Facilities'!$C$9:$C$108,0))/INDEX('Facilities'!$AA$9:$AA$108,MATCH(C236,'Facilities'!$C$9:$C$108,0)))))*AF236+P236*(1-IF(INDEX('Facilities'!$AA$9:$AA$108,MATCH(C236,'Facilities'!$C$9:$C$108,0))=0,0,MIN(1,INDEX('Facilities'!$X$9:$X$108,MATCH(C236,'Facilities'!$C$9:$C$108,0))/INDEX('Facilities'!$AA$9:$AA$108,MATCH(C236,'Facilities'!$C$9:$C$108,0)))))*INDEX('Facilities'!$AJ$9:$AJ$108,MATCH(C236,'Facilities'!$C$9:$C$108,0))+Q236*INDEX('Facilities'!$AI$9:$AI$108,MATCH(C236,'Facilities'!$C$9:$C$108,0))*AF236)))</x:f>
        <x:v>9.328798417919998</x:v>
      </x:c>
      <x:c r="AB236" s="21" t="n">
        <x:f>IF(C236="","",O236+P236-AD236)</x:f>
        <x:v>-0.7774619999999999</x:v>
      </x:c>
      <x:c r="AC236" s="23" t="n">
        <x:f>IF(C236="","",IFERROR(IF(INDEX('Facilities'!$AD$9:$AD$108,MATCH(C236,'Facilities'!$C$9:$C$108,0))=3,0,IF(INDEX('Facilities'!$AN$9:$AN$108,MATCH(C236,'Facilities'!$C$9:$C$108,0))=0,-1,INDEX('Facilities'!$AN$9:$AN$108,MATCH(C236,'Facilities'!$C$9:$C$108,0)))),"Unavailable"))</x:f>
        <x:v>-1</x:v>
      </x:c>
      <x:c r="AD236" s="21" t="n">
        <x:f>IF(C236="","",IFERROR(G236+H236,"Unavailable"))</x:f>
        <x:v>8.1176</x:v>
      </x:c>
      <x:c r="AE236" s="21" t="n">
        <x:f>IF(C236="","",IF(AQ236&lt;&gt;"Ready","Unavailable",IF(C236="","",O236+P236-AD236-J236+K236+M236+N236)))</x:f>
        <x:v>0</x:v>
      </x:c>
      <x:c r="AF236" s="30" t="n">
        <x:f>IF(C236="","",IFERROR(INDEX('Facilities'!$S$9:$S$108,MATCH(C236,'Facilities'!$C$9:$C$108,0))*'Scenario Paths'!H75,"Unavailable"))</x:f>
        <x:v>1.2</x:v>
      </x:c>
      <x:c r="AG236" s="23" t="n">
        <x:f>IF(C236="","",IF(AQ236&lt;&gt;"Ready","Unavailable",IF(C236="","",IF(H236&gt;0,MAX(0,H236-AK236)*((1+INDEX('Facilities'!$K$9:$K$108,MATCH(C236,'Facilities'!$C$9:$C$108,0)))^MIN(1,MAX(0,AC236+INDEX('Facilities'!$AK$9:$AK$108,MATCH(C236,'Facilities'!$C$9:$C$108,0))-D236+1))-1),0))))</x:f>
        <x:v>0</x:v>
      </x:c>
      <x:c r="AH236" s="21" t="n">
        <x:f>IF(C236="","",IF(AQ236&lt;&gt;"Ready","Unavailable",IF(C236="","",O236+P236)))</x:f>
        <x:v>7.340138</x:v>
      </x:c>
      <x:c r="AI236" s="21" t="n">
        <x:f>IF(C236="","",IF(AQ236&lt;&gt;"Ready","Unavailable",IF(C236="","",Z236-Y236)))</x:f>
        <x:v>0.6874952050730619</x:v>
      </x:c>
      <x:c r="AJ236" s="23" t="n">
        <x:f>IF(C236="","",IFERROR(MAX(0,INDEX('Facilities'!$J$9:$J$108,MATCH(C236,'Facilities'!$C$9:$C$108,0))-D236),"Unavailable"))</x:f>
        <x:v>2</x:v>
      </x:c>
      <x:c r="AK236" s="21" t="n">
        <x:f>IF(C236="","",IFERROR(AL136,"Unavailable"))</x:f>
        <x:v>0</x:v>
      </x:c>
      <x:c r="AL236" s="23" t="n">
        <x:f>IF(C236="","",IFERROR(IF(P236&gt;0,P236*(1-AM236/(1+INDEX('Facilities'!$K$9:$K$108,MATCH(C236,'Facilities'!$C$9:$C$108,0)))^MAX(0,AC236+INDEX('Facilities'!$AK$9:$AK$108,MATCH(C236,'Facilities'!$C$9:$C$108,0))-D236)),0),"Unavailable"))</x:f>
        <x:v>0</x:v>
      </x:c>
      <x:c r="AM236" s="30" t="n">
        <x:f>IF(C236="","",IFERROR(INDEX('Facilities'!$AL$9:$AL$108,MATCH(C236,'Facilities'!$C$9:$C$108,0)),"Unavailable"))</x:f>
        <x:v>0.55</x:v>
      </x:c>
      <x:c r="AN236" s="30" t="n">
        <x:f>IF(C236="","",IFERROR(INDEX(Credit!$T$209:$T$308,MATCH(F236,Credit!$C$209:$C$308,0)),"Unavailable"))</x:f>
        <x:v>0.0011200000000000001</x:v>
      </x:c>
      <x:c r="AO236" s="23" t="n">
        <x:f>IF(C236="","",IF(AQ236&lt;&gt;"Ready","Unavailable",IF(C236="","",O236+P236+Q236*INDEX('Facilities'!$I$9:$I$108,MATCH(C236,'Facilities'!$C$9:$C$108,0)))))</x:f>
        <x:v>7.897313</x:v>
      </x:c>
      <x:c r="AP236" s="21" t="n">
        <x:f>IF(C236="","",IF(AQ236&lt;&gt;"Ready","Unavailable",IF(C236="","",AH236-U236)))</x:f>
        <x:v>7.188735927116112</x:v>
      </x:c>
      <x:c r="AQ236" s="23" t="str">
        <x:f>IFERROR(IF(C236="","",IF(AND(INDEX('Facilities'!$AF$9:$AF$108,MATCH(C236,'Facilities'!$C$9:$C$108,0))="Ready",INDEX(Credit!$U$209:$U$308,MATCH(F236,Credit!$C$209:$C$308,0))="Ready",ISNUMBER(W236)),"Ready","Review inputs")),"Review inputs")</x:f>
        <x:v>Ready</x:v>
      </x:c>
      <x:c r="AR236" s="23" t="n">
        <x:f>IF(C236="","",IF(AQ236&lt;&gt;"Ready","Unavailable",IF(C236="","",IF(O236=0,0,(IF(AJ236&lt;=1,O236,O236*INDEX('Facilities'!$R$9:$R$108,MATCH(C236,'Facilities'!$C$9:$C$108,0)))+O236*INDEX('Facilities'!$T$9:$T$108,MATCH(C236,'Facilities'!$C$9:$C$108,0)))/12))))</x:f>
        <x:v>0.13151080583333333</x:v>
      </x:c>
    </x:row>
    <x:row r="237" ht="26" customHeight="1">
      <x:c r="A237" s="1"/>
      <x:c r="B237" s="1"/>
      <x:c r="C237" s="9" t="str">
        <x:f>IF(Facilities!C37="","",Facilities!C37)</x:f>
        <x:v>F029</x:v>
      </x:c>
      <x:c r="D237" s="3" t="n">
        <x:v>3</x:v>
      </x:c>
      <x:c r="E237" s="9" t="n">
        <x:f>Settings!$F$18+2</x:f>
        <x:v>2029</x:v>
      </x:c>
      <x:c r="F237" s="9" t="str">
        <x:f>IF(C237="","",IFERROR(INDEX('Facilities'!$D$9:$D$108,MATCH(C237,'Facilities'!$C$9:$C$108,0)),"Unavailable"))</x:f>
        <x:v>B017</x:v>
      </x:c>
      <x:c r="G237" s="21" t="n">
        <x:f>IF(C237="","",IFERROR(O137,"Unavailable"))</x:f>
        <x:v>8.388639999999999</x:v>
      </x:c>
      <x:c r="H237" s="21" t="n">
        <x:f>IF(C237="","",IFERROR(P137,"Unavailable"))</x:f>
        <x:v>0</x:v>
      </x:c>
      <x:c r="I237" s="21" t="n">
        <x:f>IF(C237="","",IFERROR(Q137,"Unavailable"))</x:f>
        <x:v>1.311</x:v>
      </x:c>
      <x:c r="J237" s="23" t="n">
        <x:f>IF(C237="","",IFERROR(IF(OR(H237&gt;0,AND(AC237&gt;=0,AC237&lt;D237),D237&gt;INDEX('Facilities'!$J$9:$J$108,MATCH(C237,'Facilities'!$C$9:$C$108,0))),0,I237*'Scenario Paths'!H81),"Unavailable"))</x:f>
        <x:v>0.19665</x:v>
      </x:c>
      <x:c r="K237" s="23" t="n">
        <x:f>IF(C237="","",IFERROR(IF(OR(H237&gt;0,AND(AC237&gt;=0,AC237=D237)),0,IF(D237&gt;=INDEX('Facilities'!$J$9:$J$108,MATCH(C237,'Facilities'!$C$9:$C$108,0)),G237+J237,MIN(G237+J237,G237*INDEX('Facilities'!$R$9:$R$108,MATCH(C237,'Facilities'!$C$9:$C$108,0))))),"Unavailable"))</x:f>
        <x:v>1.0066367999999999</x:v>
      </x:c>
      <x:c r="L237" s="21" t="n">
        <x:f>IF(C237="","",IFERROR(IF(AND(AC237=D237,AC237&gt;0),MAX(0,G237+J237-K237),0),"Unavailable"))</x:f>
        <x:v>0</x:v>
      </x:c>
      <x:c r="M237" s="23" t="n">
        <x:f>IF(C237="","",IFERROR(IF(AND(AC237&gt;=0,D237&gt;=AC237+INDEX('Facilities'!$AK$9:$AK$108,MATCH(C237,'Facilities'!$C$9:$C$108,0))),(H237+L237)*AM237,0),"Unavailable"))</x:f>
        <x:v>0</x:v>
      </x:c>
      <x:c r="N237" s="23" t="n">
        <x:f>IF(C237="","",IFERROR(IF(AND(AC237&gt;=0,D237&gt;=AC237+INDEX('Facilities'!$AK$9:$AK$108,MATCH(C237,'Facilities'!$C$9:$C$108,0))),H237+L237-M237,0),"Unavailable"))</x:f>
        <x:v>0</x:v>
      </x:c>
      <x:c r="O237" s="21" t="n">
        <x:f>IF(C237="","",IFERROR(MAX(0,G237+J237-K237-L237),"Unavailable"))</x:f>
        <x:v>7.578653199999999</x:v>
      </x:c>
      <x:c r="P237" s="21" t="n">
        <x:f>IF(C237="","",IFERROR(MAX(0,H237+L237-M237-N237),"Unavailable"))</x:f>
        <x:v>0</x:v>
      </x:c>
      <x:c r="Q237" s="23" t="n">
        <x:f>IF(C237="","",IFERROR(IF(OR(D237&gt;=INDEX('Facilities'!$J$9:$J$108,MATCH(C237,'Facilities'!$C$9:$C$108,0)),AND(AC237&gt;=0,AC237&lt;=D237)),0,MAX(0,I237-J237)),"Unavailable"))</x:f>
        <x:v>1.11435</x:v>
      </x:c>
      <x:c r="R237" s="30" t="n">
        <x:f>IF(C237="","",IFERROR(INDEX(Credit!$Q$209:$Q$308,MATCH(F237,Credit!$C$209:$C$308,0)),"Unavailable"))</x:f>
        <x:v>0.07299773245868166</x:v>
      </x:c>
      <x:c r="S237" s="30" t="n">
        <x:f>IF(C237="","",IFERROR(INDEX(Credit!$R$209:$R$308,MATCH(F237,Credit!$C$209:$C$308,0)),"Unavailable"))</x:f>
        <x:v>0.3217408</x:v>
      </x:c>
      <x:c r="T237" s="23" t="n">
        <x:f>IF(C237="","",IFERROR(IF(P237&gt;0,3,IF(OR(INDEX('Facilities'!$AD$9:$AD$108,MATCH(C237,'Facilities'!$C$9:$C$108,0))=2,AND(R237&gt;=INDEX('Facilities'!$L$9:$L$108,MATCH(C237,'Facilities'!$C$9:$C$108,0))*Settings!$F$19,R237-INDEX('Facilities'!$L$9:$L$108,MATCH(C237,'Facilities'!$C$9:$C$108,0))&gt;=Settings!$F$20)),2,1)),"Unavailable"))</x:f>
        <x:v>2</x:v>
      </x:c>
      <x:c r="U237" s="23" t="n">
        <x:f>IF(C237="","",IF(AQ237&lt;&gt;"Ready","Unavailable",IF(C237="","",O237*(1-(1-S237)/(1+INDEX('Facilities'!$K$9:$K$108,MATCH(C237,'Facilities'!$C$9:$C$108,0)))^INDEX('Facilities'!$AK$9:$AK$108,MATCH(C237,'Facilities'!$C$9:$C$108,0)))*R237/(1+INDEX('Facilities'!$K$9:$K$108,MATCH(C237,'Facilities'!$C$9:$C$108,0)))*IF(ABS(1-(1-R237)*(1-INDEX('Facilities'!$R$9:$R$108,MATCH(C237,'Facilities'!$C$9:$C$108,0)))/(1+INDEX('Facilities'!$K$9:$K$108,MATCH(C237,'Facilities'!$C$9:$C$108,0))))&lt;0.000000001,IF(T237=1,MIN(1,AJ237),AJ237),(1-((1-R237)*(1-INDEX('Facilities'!$R$9:$R$108,MATCH(C237,'Facilities'!$C$9:$C$108,0)))/(1+INDEX('Facilities'!$K$9:$K$108,MATCH(C237,'Facilities'!$C$9:$C$108,0))))^IF(T237=1,MIN(1,AJ237),AJ237))/(1-(1-R237)*(1-INDEX('Facilities'!$R$9:$R$108,MATCH(C237,'Facilities'!$C$9:$C$108,0)))/(1+INDEX('Facilities'!$K$9:$K$108,MATCH(C237,'Facilities'!$C$9:$C$108,0)))))+AL237)))</x:f>
        <x:v>0.4986088858666044</x:v>
      </x:c>
      <x:c r="V237" s="23" t="n">
        <x:f>IF(C237="","",IF(AQ237&lt;&gt;"Ready","Unavailable",IF(C237="","",Q237*INDEX('Facilities'!$I$9:$I$108,MATCH(C237,'Facilities'!$C$9:$C$108,0))*(1-(1-S237)/(1+INDEX('Facilities'!$K$9:$K$108,MATCH(C237,'Facilities'!$C$9:$C$108,0)))^INDEX('Facilities'!$AK$9:$AK$108,MATCH(C237,'Facilities'!$C$9:$C$108,0)))*R237/(1+INDEX('Facilities'!$K$9:$K$108,MATCH(C237,'Facilities'!$C$9:$C$108,0)))*IF(ABS(1-(1-R237)*(1-0)/(1+INDEX('Facilities'!$K$9:$K$108,MATCH(C237,'Facilities'!$C$9:$C$108,0))))&lt;0.000000001,IF(T237=1,MIN(1,AJ237),AJ237),(1-((1-R237)*(1-0)/(1+INDEX('Facilities'!$K$9:$K$108,MATCH(C237,'Facilities'!$C$9:$C$108,0))))^IF(T237=1,MIN(1,AJ237),AJ237))/(1-(1-R237)*(1-0)/(1+INDEX('Facilities'!$K$9:$K$108,MATCH(C237,'Facilities'!$C$9:$C$108,0))))))))</x:f>
        <x:v>0.04090013790063113</x:v>
      </x:c>
      <x:c r="W237" s="21" t="n">
        <x:f>IF(C237="","",IFERROR(U137,"Unavailable"))</x:f>
        <x:v>0.42446568061856704</x:v>
      </x:c>
      <x:c r="X237" s="21" t="n">
        <x:f>IF(C237="","",IFERROR(V137,"Unavailable"))</x:f>
        <x:v>0.03900386098585246</x:v>
      </x:c>
      <x:c r="Y237" s="21" t="n">
        <x:f>IF(C237="","",IF(AQ237&lt;&gt;"Ready","Unavailable",IF(C237="","",U237-W237+V237-X237+N237+AG237)))</x:f>
        <x:v>0.07603948216281603</x:v>
      </x:c>
      <x:c r="Z237" s="23" t="n">
        <x:f>IF(C237="","",IF(AQ237&lt;&gt;"Ready","Unavailable",IF(C237="","",(G237+O237+L237)/2*INDEX('Facilities'!$T$9:$T$108,MATCH(C237,'Facilities'!$C$9:$C$108,0))+AG237)))</x:f>
        <x:v>0.7584464269999999</x:v>
      </x:c>
      <x:c r="AA237" s="23" t="n">
        <x:f>IF(C237="","",IF(AQ237&lt;&gt;"Ready","Unavailable",IF(C237="","",O237*(1-IF(INDEX('Facilities'!$AA$9:$AA$108,MATCH(C237,'Facilities'!$C$9:$C$108,0))=0,0,MIN(1,INDEX('Facilities'!$X$9:$X$108,MATCH(C237,'Facilities'!$C$9:$C$108,0))/INDEX('Facilities'!$AA$9:$AA$108,MATCH(C237,'Facilities'!$C$9:$C$108,0)))))*AF237+P237*(1-IF(INDEX('Facilities'!$AA$9:$AA$108,MATCH(C237,'Facilities'!$C$9:$C$108,0))=0,0,MIN(1,INDEX('Facilities'!$X$9:$X$108,MATCH(C237,'Facilities'!$C$9:$C$108,0))/INDEX('Facilities'!$AA$9:$AA$108,MATCH(C237,'Facilities'!$C$9:$C$108,0)))))*INDEX('Facilities'!$AJ$9:$AJ$108,MATCH(C237,'Facilities'!$C$9:$C$108,0))+Q237*INDEX('Facilities'!$AI$9:$AI$108,MATCH(C237,'Facilities'!$C$9:$C$108,0))*AF237)))</x:f>
        <x:v>9.553459236326399</x:v>
      </x:c>
      <x:c r="AB237" s="21" t="n">
        <x:f>IF(C237="","",O237+P237-AD237)</x:f>
        <x:v>-0.8099867999999999</x:v>
      </x:c>
      <x:c r="AC237" s="23" t="n">
        <x:f>IF(C237="","",IFERROR(IF(INDEX('Facilities'!$AD$9:$AD$108,MATCH(C237,'Facilities'!$C$9:$C$108,0))=3,0,IF(INDEX('Facilities'!$AN$9:$AN$108,MATCH(C237,'Facilities'!$C$9:$C$108,0))=0,-1,INDEX('Facilities'!$AN$9:$AN$108,MATCH(C237,'Facilities'!$C$9:$C$108,0)))),"Unavailable"))</x:f>
        <x:v>-1</x:v>
      </x:c>
      <x:c r="AD237" s="21" t="n">
        <x:f>IF(C237="","",IFERROR(G237+H237,"Unavailable"))</x:f>
        <x:v>8.388639999999999</x:v>
      </x:c>
      <x:c r="AE237" s="21" t="n">
        <x:f>IF(C237="","",IF(AQ237&lt;&gt;"Ready","Unavailable",IF(C237="","",O237+P237-AD237-J237+K237+M237+N237)))</x:f>
        <x:v>0</x:v>
      </x:c>
      <x:c r="AF237" s="30" t="n">
        <x:f>IF(C237="","",IFERROR(INDEX('Facilities'!$S$9:$S$108,MATCH(C237,'Facilities'!$C$9:$C$108,0))*'Scenario Paths'!H75,"Unavailable"))</x:f>
        <x:v>1.2</x:v>
      </x:c>
      <x:c r="AG237" s="23" t="n">
        <x:f>IF(C237="","",IF(AQ237&lt;&gt;"Ready","Unavailable",IF(C237="","",IF(H237&gt;0,MAX(0,H237-AK237)*((1+INDEX('Facilities'!$K$9:$K$108,MATCH(C237,'Facilities'!$C$9:$C$108,0)))^MIN(1,MAX(0,AC237+INDEX('Facilities'!$AK$9:$AK$108,MATCH(C237,'Facilities'!$C$9:$C$108,0))-D237+1))-1),0))))</x:f>
        <x:v>0</x:v>
      </x:c>
      <x:c r="AH237" s="21" t="n">
        <x:f>IF(C237="","",IF(AQ237&lt;&gt;"Ready","Unavailable",IF(C237="","",O237+P237)))</x:f>
        <x:v>7.578653199999999</x:v>
      </x:c>
      <x:c r="AI237" s="21" t="n">
        <x:f>IF(C237="","",IF(AQ237&lt;&gt;"Ready","Unavailable",IF(C237="","",Z237-Y237)))</x:f>
        <x:v>0.6824069448371839</x:v>
      </x:c>
      <x:c r="AJ237" s="23" t="n">
        <x:f>IF(C237="","",IFERROR(MAX(0,INDEX('Facilities'!$J$9:$J$108,MATCH(C237,'Facilities'!$C$9:$C$108,0))-D237),"Unavailable"))</x:f>
        <x:v>3</x:v>
      </x:c>
      <x:c r="AK237" s="21" t="n">
        <x:f>IF(C237="","",IFERROR(AL137,"Unavailable"))</x:f>
        <x:v>0</x:v>
      </x:c>
      <x:c r="AL237" s="23" t="n">
        <x:f>IF(C237="","",IFERROR(IF(P237&gt;0,P237*(1-AM237/(1+INDEX('Facilities'!$K$9:$K$108,MATCH(C237,'Facilities'!$C$9:$C$108,0)))^MAX(0,AC237+INDEX('Facilities'!$AK$9:$AK$108,MATCH(C237,'Facilities'!$C$9:$C$108,0))-D237)),0),"Unavailable"))</x:f>
        <x:v>0</x:v>
      </x:c>
      <x:c r="AM237" s="30" t="n">
        <x:f>IF(C237="","",IFERROR(INDEX('Facilities'!$AL$9:$AL$108,MATCH(C237,'Facilities'!$C$9:$C$108,0)),"Unavailable"))</x:f>
        <x:v>0.55</x:v>
      </x:c>
      <x:c r="AN237" s="30" t="n">
        <x:f>IF(C237="","",IFERROR(INDEX(Credit!$T$209:$T$308,MATCH(F237,Credit!$C$209:$C$308,0)),"Unavailable"))</x:f>
        <x:v>0.00256</x:v>
      </x:c>
      <x:c r="AO237" s="23" t="n">
        <x:f>IF(C237="","",IF(AQ237&lt;&gt;"Ready","Unavailable",IF(C237="","",O237+P237+Q237*INDEX('Facilities'!$I$9:$I$108,MATCH(C237,'Facilities'!$C$9:$C$108,0)))))</x:f>
        <x:v>8.135828199999999</x:v>
      </x:c>
      <x:c r="AP237" s="21" t="n">
        <x:f>IF(C237="","",IF(AQ237&lt;&gt;"Ready","Unavailable",IF(C237="","",AH237-U237)))</x:f>
        <x:v>7.080044314133395</x:v>
      </x:c>
      <x:c r="AQ237" s="23" t="str">
        <x:f>IFERROR(IF(C237="","",IF(AND(INDEX('Facilities'!$AF$9:$AF$108,MATCH(C237,'Facilities'!$C$9:$C$108,0))="Ready",INDEX(Credit!$U$209:$U$308,MATCH(F237,Credit!$C$209:$C$308,0))="Ready",ISNUMBER(W237)),"Ready","Review inputs")),"Review inputs")</x:f>
        <x:v>Ready</x:v>
      </x:c>
      <x:c r="AR237" s="23" t="n">
        <x:f>IF(C237="","",IF(AQ237&lt;&gt;"Ready","Unavailable",IF(C237="","",IF(O237=0,0,(IF(AJ237&lt;=1,O237,O237*INDEX('Facilities'!$R$9:$R$108,MATCH(C237,'Facilities'!$C$9:$C$108,0)))+O237*INDEX('Facilities'!$T$9:$T$108,MATCH(C237,'Facilities'!$C$9:$C$108,0)))/12))))</x:f>
        <x:v>0.13578420316666664</x:v>
      </x:c>
    </x:row>
    <x:row r="238" ht="26" customHeight="1">
      <x:c r="A238" s="1"/>
      <x:c r="B238" s="1"/>
      <x:c r="C238" s="9" t="str">
        <x:f>IF(Facilities!C38="","",Facilities!C38)</x:f>
        <x:v>F030</x:v>
      </x:c>
      <x:c r="D238" s="3" t="n">
        <x:v>3</x:v>
      </x:c>
      <x:c r="E238" s="9" t="n">
        <x:f>Settings!$F$18+2</x:f>
        <x:v>2029</x:v>
      </x:c>
      <x:c r="F238" s="9" t="str">
        <x:f>IF(C238="","",IFERROR(INDEX('Facilities'!$D$9:$D$108,MATCH(C238,'Facilities'!$C$9:$C$108,0)),"Unavailable"))</x:f>
        <x:v>B018</x:v>
      </x:c>
      <x:c r="G238" s="21" t="n">
        <x:f>IF(C238="","",IFERROR(O138,"Unavailable"))</x:f>
        <x:v>8.65968</x:v>
      </x:c>
      <x:c r="H238" s="21" t="n">
        <x:f>IF(C238="","",IFERROR(P138,"Unavailable"))</x:f>
        <x:v>0</x:v>
      </x:c>
      <x:c r="I238" s="21" t="n">
        <x:f>IF(C238="","",IFERROR(Q138,"Unavailable"))</x:f>
        <x:v>1.311</x:v>
      </x:c>
      <x:c r="J238" s="23" t="n">
        <x:f>IF(C238="","",IFERROR(IF(OR(H238&gt;0,AND(AC238&gt;=0,AC238&lt;D238),D238&gt;INDEX('Facilities'!$J$9:$J$108,MATCH(C238,'Facilities'!$C$9:$C$108,0))),0,I238*'Scenario Paths'!H81),"Unavailable"))</x:f>
        <x:v>0.19665</x:v>
      </x:c>
      <x:c r="K238" s="23" t="n">
        <x:f>IF(C238="","",IFERROR(IF(OR(H238&gt;0,AND(AC238&gt;=0,AC238=D238)),0,IF(D238&gt;=INDEX('Facilities'!$J$9:$J$108,MATCH(C238,'Facilities'!$C$9:$C$108,0)),G238+J238,MIN(G238+J238,G238*INDEX('Facilities'!$R$9:$R$108,MATCH(C238,'Facilities'!$C$9:$C$108,0))))),"Unavailable"))</x:f>
        <x:v>1.0391616</x:v>
      </x:c>
      <x:c r="L238" s="21" t="n">
        <x:f>IF(C238="","",IFERROR(IF(AND(AC238=D238,AC238&gt;0),MAX(0,G238+J238-K238),0),"Unavailable"))</x:f>
        <x:v>0</x:v>
      </x:c>
      <x:c r="M238" s="23" t="n">
        <x:f>IF(C238="","",IFERROR(IF(AND(AC238&gt;=0,D238&gt;=AC238+INDEX('Facilities'!$AK$9:$AK$108,MATCH(C238,'Facilities'!$C$9:$C$108,0))),(H238+L238)*AM238,0),"Unavailable"))</x:f>
        <x:v>0</x:v>
      </x:c>
      <x:c r="N238" s="23" t="n">
        <x:f>IF(C238="","",IFERROR(IF(AND(AC238&gt;=0,D238&gt;=AC238+INDEX('Facilities'!$AK$9:$AK$108,MATCH(C238,'Facilities'!$C$9:$C$108,0))),H238+L238-M238,0),"Unavailable"))</x:f>
        <x:v>0</x:v>
      </x:c>
      <x:c r="O238" s="21" t="n">
        <x:f>IF(C238="","",IFERROR(MAX(0,G238+J238-K238-L238),"Unavailable"))</x:f>
        <x:v>7.8171684</x:v>
      </x:c>
      <x:c r="P238" s="21" t="n">
        <x:f>IF(C238="","",IFERROR(MAX(0,H238+L238-M238-N238),"Unavailable"))</x:f>
        <x:v>0</x:v>
      </x:c>
      <x:c r="Q238" s="23" t="n">
        <x:f>IF(C238="","",IFERROR(IF(OR(D238&gt;=INDEX('Facilities'!$J$9:$J$108,MATCH(C238,'Facilities'!$C$9:$C$108,0)),AND(AC238&gt;=0,AC238&lt;=D238)),0,MAX(0,I238-J238)),"Unavailable"))</x:f>
        <x:v>1.11435</x:v>
      </x:c>
      <x:c r="R238" s="30" t="n">
        <x:f>IF(C238="","",IFERROR(INDEX(Credit!$Q$209:$Q$308,MATCH(F238,Credit!$C$209:$C$308,0)),"Unavailable"))</x:f>
        <x:v>0.08876981350760933</x:v>
      </x:c>
      <x:c r="S238" s="30" t="n">
        <x:f>IF(C238="","",IFERROR(INDEX(Credit!$R$209:$R$308,MATCH(F238,Credit!$C$209:$C$308,0)),"Unavailable"))</x:f>
        <x:v>0.36292864</x:v>
      </x:c>
      <x:c r="T238" s="23" t="n">
        <x:f>IF(C238="","",IFERROR(IF(P238&gt;0,3,IF(OR(INDEX('Facilities'!$AD$9:$AD$108,MATCH(C238,'Facilities'!$C$9:$C$108,0))=2,AND(R238&gt;=INDEX('Facilities'!$L$9:$L$108,MATCH(C238,'Facilities'!$C$9:$C$108,0))*Settings!$F$19,R238-INDEX('Facilities'!$L$9:$L$108,MATCH(C238,'Facilities'!$C$9:$C$108,0))&gt;=Settings!$F$20)),2,1)),"Unavailable"))</x:f>
        <x:v>2</x:v>
      </x:c>
      <x:c r="U238" s="23" t="n">
        <x:f>IF(C238="","",IF(AQ238&lt;&gt;"Ready","Unavailable",IF(C238="","",O238*(1-(1-S238)/(1+INDEX('Facilities'!$K$9:$K$108,MATCH(C238,'Facilities'!$C$9:$C$108,0)))^INDEX('Facilities'!$AK$9:$AK$108,MATCH(C238,'Facilities'!$C$9:$C$108,0)))*R238/(1+INDEX('Facilities'!$K$9:$K$108,MATCH(C238,'Facilities'!$C$9:$C$108,0)))*IF(ABS(1-(1-R238)*(1-INDEX('Facilities'!$R$9:$R$108,MATCH(C238,'Facilities'!$C$9:$C$108,0)))/(1+INDEX('Facilities'!$K$9:$K$108,MATCH(C238,'Facilities'!$C$9:$C$108,0))))&lt;0.000000001,IF(T238=1,MIN(1,AJ238),AJ238),(1-((1-R238)*(1-INDEX('Facilities'!$R$9:$R$108,MATCH(C238,'Facilities'!$C$9:$C$108,0)))/(1+INDEX('Facilities'!$K$9:$K$108,MATCH(C238,'Facilities'!$C$9:$C$108,0))))^IF(T238=1,MIN(1,AJ238),AJ238))/(1-(1-R238)*(1-INDEX('Facilities'!$R$9:$R$108,MATCH(C238,'Facilities'!$C$9:$C$108,0)))/(1+INDEX('Facilities'!$K$9:$K$108,MATCH(C238,'Facilities'!$C$9:$C$108,0)))))+AL238)))</x:f>
        <x:v>0.788185597947224</x:v>
      </x:c>
      <x:c r="V238" s="23" t="n">
        <x:f>IF(C238="","",IF(AQ238&lt;&gt;"Ready","Unavailable",IF(C238="","",Q238*INDEX('Facilities'!$I$9:$I$108,MATCH(C238,'Facilities'!$C$9:$C$108,0))*(1-(1-S238)/(1+INDEX('Facilities'!$K$9:$K$108,MATCH(C238,'Facilities'!$C$9:$C$108,0)))^INDEX('Facilities'!$AK$9:$AK$108,MATCH(C238,'Facilities'!$C$9:$C$108,0)))*R238/(1+INDEX('Facilities'!$K$9:$K$108,MATCH(C238,'Facilities'!$C$9:$C$108,0)))*IF(ABS(1-(1-R238)*(1-0)/(1+INDEX('Facilities'!$K$9:$K$108,MATCH(C238,'Facilities'!$C$9:$C$108,0))))&lt;0.000000001,IF(T238=1,MIN(1,AJ238),AJ238),(1-((1-R238)*(1-0)/(1+INDEX('Facilities'!$K$9:$K$108,MATCH(C238,'Facilities'!$C$9:$C$108,0))))^IF(T238=1,MIN(1,AJ238),AJ238))/(1-(1-R238)*(1-0)/(1+INDEX('Facilities'!$K$9:$K$108,MATCH(C238,'Facilities'!$C$9:$C$108,0))))))))</x:f>
        <x:v>0.06559683311393812</x:v>
      </x:c>
      <x:c r="W238" s="21" t="n">
        <x:f>IF(C238="","",IFERROR(U138,"Unavailable"))</x:f>
        <x:v>0.19906738489388331</x:v>
      </x:c>
      <x:c r="X238" s="21" t="n">
        <x:f>IF(C238="","",IFERROR(V138,"Unavailable"))</x:f>
        <x:v>0.015068532647619834</x:v>
      </x:c>
      <x:c r="Y238" s="21" t="n">
        <x:f>IF(C238="","",IF(AQ238&lt;&gt;"Ready","Unavailable",IF(C238="","",U238-W238+V238-X238+N238+AG238)))</x:f>
        <x:v>0.639646513519659</x:v>
      </x:c>
      <x:c r="Z238" s="23" t="n">
        <x:f>IF(C238="","",IF(AQ238&lt;&gt;"Ready","Unavailable",IF(C238="","",(G238+O238+L238)/2*INDEX('Facilities'!$T$9:$T$108,MATCH(C238,'Facilities'!$C$9:$C$108,0))+AG238)))</x:f>
        <x:v>0.782650299</x:v>
      </x:c>
      <x:c r="AA238" s="23" t="n">
        <x:f>IF(C238="","",IF(AQ238&lt;&gt;"Ready","Unavailable",IF(C238="","",O238*(1-IF(INDEX('Facilities'!$AA$9:$AA$108,MATCH(C238,'Facilities'!$C$9:$C$108,0))=0,0,MIN(1,INDEX('Facilities'!$X$9:$X$108,MATCH(C238,'Facilities'!$C$9:$C$108,0))/INDEX('Facilities'!$AA$9:$AA$108,MATCH(C238,'Facilities'!$C$9:$C$108,0)))))*AF238+P238*(1-IF(INDEX('Facilities'!$AA$9:$AA$108,MATCH(C238,'Facilities'!$C$9:$C$108,0))=0,0,MIN(1,INDEX('Facilities'!$X$9:$X$108,MATCH(C238,'Facilities'!$C$9:$C$108,0))/INDEX('Facilities'!$AA$9:$AA$108,MATCH(C238,'Facilities'!$C$9:$C$108,0)))))*INDEX('Facilities'!$AJ$9:$AJ$108,MATCH(C238,'Facilities'!$C$9:$C$108,0))+Q238*INDEX('Facilities'!$AI$9:$AI$108,MATCH(C238,'Facilities'!$C$9:$C$108,0))*AF238)))</x:f>
        <x:v>9.765542673100798</x:v>
      </x:c>
      <x:c r="AB238" s="21" t="n">
        <x:f>IF(C238="","",O238+P238-AD238)</x:f>
        <x:v>-0.8425115999999999</x:v>
      </x:c>
      <x:c r="AC238" s="23" t="n">
        <x:f>IF(C238="","",IFERROR(IF(INDEX('Facilities'!$AD$9:$AD$108,MATCH(C238,'Facilities'!$C$9:$C$108,0))=3,0,IF(INDEX('Facilities'!$AN$9:$AN$108,MATCH(C238,'Facilities'!$C$9:$C$108,0))=0,-1,INDEX('Facilities'!$AN$9:$AN$108,MATCH(C238,'Facilities'!$C$9:$C$108,0)))),"Unavailable"))</x:f>
        <x:v>-1</x:v>
      </x:c>
      <x:c r="AD238" s="21" t="n">
        <x:f>IF(C238="","",IFERROR(G238+H238,"Unavailable"))</x:f>
        <x:v>8.65968</x:v>
      </x:c>
      <x:c r="AE238" s="21" t="n">
        <x:f>IF(C238="","",IF(AQ238&lt;&gt;"Ready","Unavailable",IF(C238="","",O238+P238-AD238-J238+K238+M238+N238)))</x:f>
        <x:v>0</x:v>
      </x:c>
      <x:c r="AF238" s="30" t="n">
        <x:f>IF(C238="","",IFERROR(INDEX('Facilities'!$S$9:$S$108,MATCH(C238,'Facilities'!$C$9:$C$108,0))*'Scenario Paths'!H75,"Unavailable"))</x:f>
        <x:v>1.2</x:v>
      </x:c>
      <x:c r="AG238" s="23" t="n">
        <x:f>IF(C238="","",IF(AQ238&lt;&gt;"Ready","Unavailable",IF(C238="","",IF(H238&gt;0,MAX(0,H238-AK238)*((1+INDEX('Facilities'!$K$9:$K$108,MATCH(C238,'Facilities'!$C$9:$C$108,0)))^MIN(1,MAX(0,AC238+INDEX('Facilities'!$AK$9:$AK$108,MATCH(C238,'Facilities'!$C$9:$C$108,0))-D238+1))-1),0))))</x:f>
        <x:v>0</x:v>
      </x:c>
      <x:c r="AH238" s="21" t="n">
        <x:f>IF(C238="","",IF(AQ238&lt;&gt;"Ready","Unavailable",IF(C238="","",O238+P238)))</x:f>
        <x:v>7.8171684</x:v>
      </x:c>
      <x:c r="AI238" s="21" t="n">
        <x:f>IF(C238="","",IF(AQ238&lt;&gt;"Ready","Unavailable",IF(C238="","",Z238-Y238)))</x:f>
        <x:v>0.1430037854803411</x:v>
      </x:c>
      <x:c r="AJ238" s="23" t="n">
        <x:f>IF(C238="","",IFERROR(MAX(0,INDEX('Facilities'!$J$9:$J$108,MATCH(C238,'Facilities'!$C$9:$C$108,0))-D238),"Unavailable"))</x:f>
        <x:v>4</x:v>
      </x:c>
      <x:c r="AK238" s="21" t="n">
        <x:f>IF(C238="","",IFERROR(AL138,"Unavailable"))</x:f>
        <x:v>0</x:v>
      </x:c>
      <x:c r="AL238" s="23" t="n">
        <x:f>IF(C238="","",IFERROR(IF(P238&gt;0,P238*(1-AM238/(1+INDEX('Facilities'!$K$9:$K$108,MATCH(C238,'Facilities'!$C$9:$C$108,0)))^MAX(0,AC238+INDEX('Facilities'!$AK$9:$AK$108,MATCH(C238,'Facilities'!$C$9:$C$108,0))-D238)),0),"Unavailable"))</x:f>
        <x:v>0</x:v>
      </x:c>
      <x:c r="AM238" s="30" t="n">
        <x:f>IF(C238="","",IFERROR(INDEX('Facilities'!$AL$9:$AL$108,MATCH(C238,'Facilities'!$C$9:$C$108,0)),"Unavailable"))</x:f>
        <x:v>0.55</x:v>
      </x:c>
      <x:c r="AN238" s="30" t="n">
        <x:f>IF(C238="","",IFERROR(INDEX(Credit!$T$209:$T$308,MATCH(F238,Credit!$C$209:$C$308,0)),"Unavailable"))</x:f>
        <x:v>0.004576</x:v>
      </x:c>
      <x:c r="AO238" s="23" t="n">
        <x:f>IF(C238="","",IF(AQ238&lt;&gt;"Ready","Unavailable",IF(C238="","",O238+P238+Q238*INDEX('Facilities'!$I$9:$I$108,MATCH(C238,'Facilities'!$C$9:$C$108,0)))))</x:f>
        <x:v>8.3743434</x:v>
      </x:c>
      <x:c r="AP238" s="21" t="n">
        <x:f>IF(C238="","",IF(AQ238&lt;&gt;"Ready","Unavailable",IF(C238="","",AH238-U238)))</x:f>
        <x:v>7.028982802052776</x:v>
      </x:c>
      <x:c r="AQ238" s="23" t="str">
        <x:f>IFERROR(IF(C238="","",IF(AND(INDEX('Facilities'!$AF$9:$AF$108,MATCH(C238,'Facilities'!$C$9:$C$108,0))="Ready",INDEX(Credit!$U$209:$U$308,MATCH(F238,Credit!$C$209:$C$308,0))="Ready",ISNUMBER(W238)),"Ready","Review inputs")),"Review inputs")</x:f>
        <x:v>Ready</x:v>
      </x:c>
      <x:c r="AR238" s="23" t="n">
        <x:f>IF(C238="","",IF(AQ238&lt;&gt;"Ready","Unavailable",IF(C238="","",IF(O238=0,0,(IF(AJ238&lt;=1,O238,O238*INDEX('Facilities'!$R$9:$R$108,MATCH(C238,'Facilities'!$C$9:$C$108,0)))+O238*INDEX('Facilities'!$T$9:$T$108,MATCH(C238,'Facilities'!$C$9:$C$108,0)))/12))))</x:f>
        <x:v>0.14005760050000002</x:v>
      </x:c>
    </x:row>
    <x:row r="239" ht="26" customHeight="1">
      <x:c r="A239" s="1"/>
      <x:c r="B239" s="1"/>
      <x:c r="C239" s="9" t="str">
        <x:f>IF(Facilities!C39="","",Facilities!C39)</x:f>
        <x:v>F031</x:v>
      </x:c>
      <x:c r="D239" s="3" t="n">
        <x:v>3</x:v>
      </x:c>
      <x:c r="E239" s="9" t="n">
        <x:f>Settings!$F$18+2</x:f>
        <x:v>2029</x:v>
      </x:c>
      <x:c r="F239" s="9" t="str">
        <x:f>IF(C239="","",IFERROR(INDEX('Facilities'!$D$9:$D$108,MATCH(C239,'Facilities'!$C$9:$C$108,0)),"Unavailable"))</x:f>
        <x:v>B019</x:v>
      </x:c>
      <x:c r="G239" s="21" t="n">
        <x:f>IF(C239="","",IFERROR(O139,"Unavailable"))</x:f>
        <x:v>8.93072</x:v>
      </x:c>
      <x:c r="H239" s="21" t="n">
        <x:f>IF(C239="","",IFERROR(P139,"Unavailable"))</x:f>
        <x:v>0</x:v>
      </x:c>
      <x:c r="I239" s="21" t="n">
        <x:f>IF(C239="","",IFERROR(Q139,"Unavailable"))</x:f>
        <x:v>1.311</x:v>
      </x:c>
      <x:c r="J239" s="23" t="n">
        <x:f>IF(C239="","",IFERROR(IF(OR(H239&gt;0,AND(AC239&gt;=0,AC239&lt;D239),D239&gt;INDEX('Facilities'!$J$9:$J$108,MATCH(C239,'Facilities'!$C$9:$C$108,0))),0,I239*'Scenario Paths'!H81),"Unavailable"))</x:f>
        <x:v>0.19665</x:v>
      </x:c>
      <x:c r="K239" s="23" t="n">
        <x:f>IF(C239="","",IFERROR(IF(OR(H239&gt;0,AND(AC239&gt;=0,AC239=D239)),0,IF(D239&gt;=INDEX('Facilities'!$J$9:$J$108,MATCH(C239,'Facilities'!$C$9:$C$108,0)),G239+J239,MIN(G239+J239,G239*INDEX('Facilities'!$R$9:$R$108,MATCH(C239,'Facilities'!$C$9:$C$108,0))))),"Unavailable"))</x:f>
        <x:v>1.0716864000000002</x:v>
      </x:c>
      <x:c r="L239" s="21" t="n">
        <x:f>IF(C239="","",IFERROR(IF(AND(AC239=D239,AC239&gt;0),MAX(0,G239+J239-K239),0),"Unavailable"))</x:f>
        <x:v>0</x:v>
      </x:c>
      <x:c r="M239" s="23" t="n">
        <x:f>IF(C239="","",IFERROR(IF(AND(AC239&gt;=0,D239&gt;=AC239+INDEX('Facilities'!$AK$9:$AK$108,MATCH(C239,'Facilities'!$C$9:$C$108,0))),(H239+L239)*AM239,0),"Unavailable"))</x:f>
        <x:v>0</x:v>
      </x:c>
      <x:c r="N239" s="23" t="n">
        <x:f>IF(C239="","",IFERROR(IF(AND(AC239&gt;=0,D239&gt;=AC239+INDEX('Facilities'!$AK$9:$AK$108,MATCH(C239,'Facilities'!$C$9:$C$108,0))),H239+L239-M239,0),"Unavailable"))</x:f>
        <x:v>0</x:v>
      </x:c>
      <x:c r="O239" s="21" t="n">
        <x:f>IF(C239="","",IFERROR(MAX(0,G239+J239-K239-L239),"Unavailable"))</x:f>
        <x:v>8.0556836</x:v>
      </x:c>
      <x:c r="P239" s="21" t="n">
        <x:f>IF(C239="","",IFERROR(MAX(0,H239+L239-M239-N239),"Unavailable"))</x:f>
        <x:v>0</x:v>
      </x:c>
      <x:c r="Q239" s="23" t="n">
        <x:f>IF(C239="","",IFERROR(IF(OR(D239&gt;=INDEX('Facilities'!$J$9:$J$108,MATCH(C239,'Facilities'!$C$9:$C$108,0)),AND(AC239&gt;=0,AC239&lt;=D239)),0,MAX(0,I239-J239)),"Unavailable"))</x:f>
        <x:v>1.11435</x:v>
      </x:c>
      <x:c r="R239" s="30" t="n">
        <x:f>IF(C239="","",IFERROR(INDEX(Credit!$Q$209:$Q$308,MATCH(F239,Credit!$C$209:$C$308,0)),"Unavailable"))</x:f>
        <x:v>0.023761704950872303</x:v>
      </x:c>
      <x:c r="S239" s="30" t="n">
        <x:f>IF(C239="","",IFERROR(INDEX(Credit!$R$209:$R$308,MATCH(F239,Credit!$C$209:$C$308,0)),"Unavailable"))</x:f>
        <x:v>0.4018816</x:v>
      </x:c>
      <x:c r="T239" s="23" t="n">
        <x:f>IF(C239="","",IFERROR(IF(P239&gt;0,3,IF(OR(INDEX('Facilities'!$AD$9:$AD$108,MATCH(C239,'Facilities'!$C$9:$C$108,0))=2,AND(R239&gt;=INDEX('Facilities'!$L$9:$L$108,MATCH(C239,'Facilities'!$C$9:$C$108,0))*Settings!$F$19,R239-INDEX('Facilities'!$L$9:$L$108,MATCH(C239,'Facilities'!$C$9:$C$108,0))&gt;=Settings!$F$20)),2,1)),"Unavailable"))</x:f>
        <x:v>1</x:v>
      </x:c>
      <x:c r="U239" s="23" t="n">
        <x:f>IF(C239="","",IF(AQ239&lt;&gt;"Ready","Unavailable",IF(C239="","",O239*(1-(1-S239)/(1+INDEX('Facilities'!$K$9:$K$108,MATCH(C239,'Facilities'!$C$9:$C$108,0)))^INDEX('Facilities'!$AK$9:$AK$108,MATCH(C239,'Facilities'!$C$9:$C$108,0)))*R239/(1+INDEX('Facilities'!$K$9:$K$108,MATCH(C239,'Facilities'!$C$9:$C$108,0)))*IF(ABS(1-(1-R239)*(1-INDEX('Facilities'!$R$9:$R$108,MATCH(C239,'Facilities'!$C$9:$C$108,0)))/(1+INDEX('Facilities'!$K$9:$K$108,MATCH(C239,'Facilities'!$C$9:$C$108,0))))&lt;0.000000001,IF(T239=1,MIN(1,AJ239),AJ239),(1-((1-R239)*(1-INDEX('Facilities'!$R$9:$R$108,MATCH(C239,'Facilities'!$C$9:$C$108,0)))/(1+INDEX('Facilities'!$K$9:$K$108,MATCH(C239,'Facilities'!$C$9:$C$108,0))))^IF(T239=1,MIN(1,AJ239),AJ239))/(1-(1-R239)*(1-INDEX('Facilities'!$R$9:$R$108,MATCH(C239,'Facilities'!$C$9:$C$108,0)))/(1+INDEX('Facilities'!$K$9:$K$108,MATCH(C239,'Facilities'!$C$9:$C$108,0)))))+AL239)))</x:f>
        <x:v>0.08635198540035591</x:v>
      </x:c>
      <x:c r="V239" s="23" t="n">
        <x:f>IF(C239="","",IF(AQ239&lt;&gt;"Ready","Unavailable",IF(C239="","",Q239*INDEX('Facilities'!$I$9:$I$108,MATCH(C239,'Facilities'!$C$9:$C$108,0))*(1-(1-S239)/(1+INDEX('Facilities'!$K$9:$K$108,MATCH(C239,'Facilities'!$C$9:$C$108,0)))^INDEX('Facilities'!$AK$9:$AK$108,MATCH(C239,'Facilities'!$C$9:$C$108,0)))*R239/(1+INDEX('Facilities'!$K$9:$K$108,MATCH(C239,'Facilities'!$C$9:$C$108,0)))*IF(ABS(1-(1-R239)*(1-0)/(1+INDEX('Facilities'!$K$9:$K$108,MATCH(C239,'Facilities'!$C$9:$C$108,0))))&lt;0.000000001,IF(T239=1,MIN(1,AJ239),AJ239),(1-((1-R239)*(1-0)/(1+INDEX('Facilities'!$K$9:$K$108,MATCH(C239,'Facilities'!$C$9:$C$108,0))))^IF(T239=1,MIN(1,AJ239),AJ239))/(1-(1-R239)*(1-0)/(1+INDEX('Facilities'!$K$9:$K$108,MATCH(C239,'Facilities'!$C$9:$C$108,0))))))))</x:f>
        <x:v>0.005972574129580177</x:v>
      </x:c>
      <x:c r="W239" s="21" t="n">
        <x:f>IF(C239="","",IFERROR(U139,"Unavailable"))</x:f>
        <x:v>0.060603324916047335</x:v>
      </x:c>
      <x:c r="X239" s="21" t="n">
        <x:f>IF(C239="","",IFERROR(V139,"Unavailable"))</x:f>
        <x:v>0.004448183291209334</x:v>
      </x:c>
      <x:c r="Y239" s="21" t="n">
        <x:f>IF(C239="","",IF(AQ239&lt;&gt;"Ready","Unavailable",IF(C239="","",U239-W239+V239-X239+N239+AG239)))</x:f>
        <x:v>0.02727305132267941</x:v>
      </x:c>
      <x:c r="Z239" s="23" t="n">
        <x:f>IF(C239="","",IF(AQ239&lt;&gt;"Ready","Unavailable",IF(C239="","",(G239+O239+L239)/2*INDEX('Facilities'!$T$9:$T$108,MATCH(C239,'Facilities'!$C$9:$C$108,0))+AG239)))</x:f>
        <x:v>0.8068541710000001</x:v>
      </x:c>
      <x:c r="AA239" s="23" t="n">
        <x:f>IF(C239="","",IF(AQ239&lt;&gt;"Ready","Unavailable",IF(C239="","",O239*(1-IF(INDEX('Facilities'!$AA$9:$AA$108,MATCH(C239,'Facilities'!$C$9:$C$108,0))=0,0,MIN(1,INDEX('Facilities'!$X$9:$X$108,MATCH(C239,'Facilities'!$C$9:$C$108,0))/INDEX('Facilities'!$AA$9:$AA$108,MATCH(C239,'Facilities'!$C$9:$C$108,0)))))*AF239+P239*(1-IF(INDEX('Facilities'!$AA$9:$AA$108,MATCH(C239,'Facilities'!$C$9:$C$108,0))=0,0,MIN(1,INDEX('Facilities'!$X$9:$X$108,MATCH(C239,'Facilities'!$C$9:$C$108,0))/INDEX('Facilities'!$AA$9:$AA$108,MATCH(C239,'Facilities'!$C$9:$C$108,0)))))*INDEX('Facilities'!$AJ$9:$AJ$108,MATCH(C239,'Facilities'!$C$9:$C$108,0))+Q239*INDEX('Facilities'!$AI$9:$AI$108,MATCH(C239,'Facilities'!$C$9:$C$108,0))*AF239)))</x:f>
        <x:v>10.242628844927998</x:v>
      </x:c>
      <x:c r="AB239" s="21" t="n">
        <x:f>IF(C239="","",O239+P239-AD239)</x:f>
        <x:v>-0.8750364000000008</x:v>
      </x:c>
      <x:c r="AC239" s="23" t="n">
        <x:f>IF(C239="","",IFERROR(IF(INDEX('Facilities'!$AD$9:$AD$108,MATCH(C239,'Facilities'!$C$9:$C$108,0))=3,0,IF(INDEX('Facilities'!$AN$9:$AN$108,MATCH(C239,'Facilities'!$C$9:$C$108,0))=0,-1,INDEX('Facilities'!$AN$9:$AN$108,MATCH(C239,'Facilities'!$C$9:$C$108,0)))),"Unavailable"))</x:f>
        <x:v>-1</x:v>
      </x:c>
      <x:c r="AD239" s="21" t="n">
        <x:f>IF(C239="","",IFERROR(G239+H239,"Unavailable"))</x:f>
        <x:v>8.93072</x:v>
      </x:c>
      <x:c r="AE239" s="21" t="n">
        <x:f>IF(C239="","",IF(AQ239&lt;&gt;"Ready","Unavailable",IF(C239="","",O239+P239-AD239-J239+K239+M239+N239)))</x:f>
        <x:v>-6.661338147750939e-16</x:v>
      </x:c>
      <x:c r="AF239" s="30" t="n">
        <x:f>IF(C239="","",IFERROR(INDEX('Facilities'!$S$9:$S$108,MATCH(C239,'Facilities'!$C$9:$C$108,0))*'Scenario Paths'!H75,"Unavailable"))</x:f>
        <x:v>1.2</x:v>
      </x:c>
      <x:c r="AG239" s="23" t="n">
        <x:f>IF(C239="","",IF(AQ239&lt;&gt;"Ready","Unavailable",IF(C239="","",IF(H239&gt;0,MAX(0,H239-AK239)*((1+INDEX('Facilities'!$K$9:$K$108,MATCH(C239,'Facilities'!$C$9:$C$108,0)))^MIN(1,MAX(0,AC239+INDEX('Facilities'!$AK$9:$AK$108,MATCH(C239,'Facilities'!$C$9:$C$108,0))-D239+1))-1),0))))</x:f>
        <x:v>0</x:v>
      </x:c>
      <x:c r="AH239" s="21" t="n">
        <x:f>IF(C239="","",IF(AQ239&lt;&gt;"Ready","Unavailable",IF(C239="","",O239+P239)))</x:f>
        <x:v>8.0556836</x:v>
      </x:c>
      <x:c r="AI239" s="21" t="n">
        <x:f>IF(C239="","",IF(AQ239&lt;&gt;"Ready","Unavailable",IF(C239="","",Z239-Y239)))</x:f>
        <x:v>0.7795811196773207</x:v>
      </x:c>
      <x:c r="AJ239" s="23" t="n">
        <x:f>IF(C239="","",IFERROR(MAX(0,INDEX('Facilities'!$J$9:$J$108,MATCH(C239,'Facilities'!$C$9:$C$108,0))-D239),"Unavailable"))</x:f>
        <x:v>5</x:v>
      </x:c>
      <x:c r="AK239" s="21" t="n">
        <x:f>IF(C239="","",IFERROR(AL139,"Unavailable"))</x:f>
        <x:v>0</x:v>
      </x:c>
      <x:c r="AL239" s="23" t="n">
        <x:f>IF(C239="","",IFERROR(IF(P239&gt;0,P239*(1-AM239/(1+INDEX('Facilities'!$K$9:$K$108,MATCH(C239,'Facilities'!$C$9:$C$108,0)))^MAX(0,AC239+INDEX('Facilities'!$AK$9:$AK$108,MATCH(C239,'Facilities'!$C$9:$C$108,0))-D239)),0),"Unavailable"))</x:f>
        <x:v>0</x:v>
      </x:c>
      <x:c r="AM239" s="30" t="n">
        <x:f>IF(C239="","",IFERROR(INDEX('Facilities'!$AL$9:$AL$108,MATCH(C239,'Facilities'!$C$9:$C$108,0)),"Unavailable"))</x:f>
        <x:v>0.55</x:v>
      </x:c>
      <x:c r="AN239" s="30" t="n">
        <x:f>IF(C239="","",IFERROR(INDEX(Credit!$T$209:$T$308,MATCH(F239,Credit!$C$209:$C$308,0)),"Unavailable"))</x:f>
        <x:v>0.003136</x:v>
      </x:c>
      <x:c r="AO239" s="23" t="n">
        <x:f>IF(C239="","",IF(AQ239&lt;&gt;"Ready","Unavailable",IF(C239="","",O239+P239+Q239*INDEX('Facilities'!$I$9:$I$108,MATCH(C239,'Facilities'!$C$9:$C$108,0)))))</x:f>
        <x:v>8.6128586</x:v>
      </x:c>
      <x:c r="AP239" s="21" t="n">
        <x:f>IF(C239="","",IF(AQ239&lt;&gt;"Ready","Unavailable",IF(C239="","",AH239-U239)))</x:f>
        <x:v>7.9693316145996445</x:v>
      </x:c>
      <x:c r="AQ239" s="23" t="str">
        <x:f>IFERROR(IF(C239="","",IF(AND(INDEX('Facilities'!$AF$9:$AF$108,MATCH(C239,'Facilities'!$C$9:$C$108,0))="Ready",INDEX(Credit!$U$209:$U$308,MATCH(F239,Credit!$C$209:$C$308,0))="Ready",ISNUMBER(W239)),"Ready","Review inputs")),"Review inputs")</x:f>
        <x:v>Ready</x:v>
      </x:c>
      <x:c r="AR239" s="23" t="n">
        <x:f>IF(C239="","",IF(AQ239&lt;&gt;"Ready","Unavailable",IF(C239="","",IF(O239=0,0,(IF(AJ239&lt;=1,O239,O239*INDEX('Facilities'!$R$9:$R$108,MATCH(C239,'Facilities'!$C$9:$C$108,0)))+O239*INDEX('Facilities'!$T$9:$T$108,MATCH(C239,'Facilities'!$C$9:$C$108,0)))/12))))</x:f>
        <x:v>0.14433099783333334</x:v>
      </x:c>
    </x:row>
    <x:row r="240" ht="26" customHeight="1">
      <x:c r="A240" s="1"/>
      <x:c r="B240" s="1"/>
      <x:c r="C240" s="9" t="str">
        <x:f>IF(Facilities!C40="","",Facilities!C40)</x:f>
        <x:v>F032</x:v>
      </x:c>
      <x:c r="D240" s="3" t="n">
        <x:v>3</x:v>
      </x:c>
      <x:c r="E240" s="9" t="n">
        <x:f>Settings!$F$18+2</x:f>
        <x:v>2029</x:v>
      </x:c>
      <x:c r="F240" s="9" t="str">
        <x:f>IF(C240="","",IFERROR(INDEX('Facilities'!$D$9:$D$108,MATCH(C240,'Facilities'!$C$9:$C$108,0)),"Unavailable"))</x:f>
        <x:v>B020</x:v>
      </x:c>
      <x:c r="G240" s="21" t="n">
        <x:f>IF(C240="","",IFERROR(O140,"Unavailable"))</x:f>
        <x:v>9.20176</x:v>
      </x:c>
      <x:c r="H240" s="21" t="n">
        <x:f>IF(C240="","",IFERROR(P140,"Unavailable"))</x:f>
        <x:v>0</x:v>
      </x:c>
      <x:c r="I240" s="21" t="n">
        <x:f>IF(C240="","",IFERROR(Q140,"Unavailable"))</x:f>
        <x:v>1.311</x:v>
      </x:c>
      <x:c r="J240" s="23" t="n">
        <x:f>IF(C240="","",IFERROR(IF(OR(H240&gt;0,AND(AC240&gt;=0,AC240&lt;D240),D240&gt;INDEX('Facilities'!$J$9:$J$108,MATCH(C240,'Facilities'!$C$9:$C$108,0))),0,I240*'Scenario Paths'!H81),"Unavailable"))</x:f>
        <x:v>0.19665</x:v>
      </x:c>
      <x:c r="K240" s="23" t="n">
        <x:f>IF(C240="","",IFERROR(IF(OR(H240&gt;0,AND(AC240&gt;=0,AC240=D240)),0,IF(D240&gt;=INDEX('Facilities'!$J$9:$J$108,MATCH(C240,'Facilities'!$C$9:$C$108,0)),G240+J240,MIN(G240+J240,G240*INDEX('Facilities'!$R$9:$R$108,MATCH(C240,'Facilities'!$C$9:$C$108,0))))),"Unavailable"))</x:f>
        <x:v>1.1042112</x:v>
      </x:c>
      <x:c r="L240" s="21" t="n">
        <x:f>IF(C240="","",IFERROR(IF(AND(AC240=D240,AC240&gt;0),MAX(0,G240+J240-K240),0),"Unavailable"))</x:f>
        <x:v>0</x:v>
      </x:c>
      <x:c r="M240" s="23" t="n">
        <x:f>IF(C240="","",IFERROR(IF(AND(AC240&gt;=0,D240&gt;=AC240+INDEX('Facilities'!$AK$9:$AK$108,MATCH(C240,'Facilities'!$C$9:$C$108,0))),(H240+L240)*AM240,0),"Unavailable"))</x:f>
        <x:v>0</x:v>
      </x:c>
      <x:c r="N240" s="23" t="n">
        <x:f>IF(C240="","",IFERROR(IF(AND(AC240&gt;=0,D240&gt;=AC240+INDEX('Facilities'!$AK$9:$AK$108,MATCH(C240,'Facilities'!$C$9:$C$108,0))),H240+L240-M240,0),"Unavailable"))</x:f>
        <x:v>0</x:v>
      </x:c>
      <x:c r="O240" s="21" t="n">
        <x:f>IF(C240="","",IFERROR(MAX(0,G240+J240-K240-L240),"Unavailable"))</x:f>
        <x:v>8.2941988</x:v>
      </x:c>
      <x:c r="P240" s="21" t="n">
        <x:f>IF(C240="","",IFERROR(MAX(0,H240+L240-M240-N240),"Unavailable"))</x:f>
        <x:v>0</x:v>
      </x:c>
      <x:c r="Q240" s="23" t="n">
        <x:f>IF(C240="","",IFERROR(IF(OR(D240&gt;=INDEX('Facilities'!$J$9:$J$108,MATCH(C240,'Facilities'!$C$9:$C$108,0)),AND(AC240&gt;=0,AC240&lt;=D240)),0,MAX(0,I240-J240)),"Unavailable"))</x:f>
        <x:v>1.11435</x:v>
      </x:c>
      <x:c r="R240" s="30" t="n">
        <x:f>IF(C240="","",IFERROR(INDEX(Credit!$Q$209:$Q$308,MATCH(F240,Credit!$C$209:$C$308,0)),"Unavailable"))</x:f>
        <x:v>0.03642801966192341</x:v>
      </x:c>
      <x:c r="S240" s="30" t="n">
        <x:f>IF(C240="","",IFERROR(INDEX(Credit!$R$209:$R$308,MATCH(F240,Credit!$C$209:$C$308,0)),"Unavailable"))</x:f>
        <x:v>0.44304640000000006</x:v>
      </x:c>
      <x:c r="T240" s="23" t="n">
        <x:f>IF(C240="","",IFERROR(IF(P240&gt;0,3,IF(OR(INDEX('Facilities'!$AD$9:$AD$108,MATCH(C240,'Facilities'!$C$9:$C$108,0))=2,AND(R240&gt;=INDEX('Facilities'!$L$9:$L$108,MATCH(C240,'Facilities'!$C$9:$C$108,0))*Settings!$F$19,R240-INDEX('Facilities'!$L$9:$L$108,MATCH(C240,'Facilities'!$C$9:$C$108,0))&gt;=Settings!$F$20)),2,1)),"Unavailable"))</x:f>
        <x:v>2</x:v>
      </x:c>
      <x:c r="U240" s="23" t="n">
        <x:f>IF(C240="","",IF(AQ240&lt;&gt;"Ready","Unavailable",IF(C240="","",O240*(1-(1-S240)/(1+INDEX('Facilities'!$K$9:$K$108,MATCH(C240,'Facilities'!$C$9:$C$108,0)))^INDEX('Facilities'!$AK$9:$AK$108,MATCH(C240,'Facilities'!$C$9:$C$108,0)))*R240/(1+INDEX('Facilities'!$K$9:$K$108,MATCH(C240,'Facilities'!$C$9:$C$108,0)))*IF(ABS(1-(1-R240)*(1-INDEX('Facilities'!$R$9:$R$108,MATCH(C240,'Facilities'!$C$9:$C$108,0)))/(1+INDEX('Facilities'!$K$9:$K$108,MATCH(C240,'Facilities'!$C$9:$C$108,0))))&lt;0.000000001,IF(T240=1,MIN(1,AJ240),AJ240),(1-((1-R240)*(1-INDEX('Facilities'!$R$9:$R$108,MATCH(C240,'Facilities'!$C$9:$C$108,0)))/(1+INDEX('Facilities'!$K$9:$K$108,MATCH(C240,'Facilities'!$C$9:$C$108,0))))^IF(T240=1,MIN(1,AJ240),AJ240))/(1-(1-R240)*(1-INDEX('Facilities'!$R$9:$R$108,MATCH(C240,'Facilities'!$C$9:$C$108,0)))/(1+INDEX('Facilities'!$K$9:$K$108,MATCH(C240,'Facilities'!$C$9:$C$108,0)))))+AL240)))</x:f>
        <x:v>0.5209516800740335</x:v>
      </x:c>
      <x:c r="V240" s="23" t="n">
        <x:f>IF(C240="","",IF(AQ240&lt;&gt;"Ready","Unavailable",IF(C240="","",Q240*INDEX('Facilities'!$I$9:$I$108,MATCH(C240,'Facilities'!$C$9:$C$108,0))*(1-(1-S240)/(1+INDEX('Facilities'!$K$9:$K$108,MATCH(C240,'Facilities'!$C$9:$C$108,0)))^INDEX('Facilities'!$AK$9:$AK$108,MATCH(C240,'Facilities'!$C$9:$C$108,0)))*R240/(1+INDEX('Facilities'!$K$9:$K$108,MATCH(C240,'Facilities'!$C$9:$C$108,0)))*IF(ABS(1-(1-R240)*(1-0)/(1+INDEX('Facilities'!$K$9:$K$108,MATCH(C240,'Facilities'!$C$9:$C$108,0))))&lt;0.000000001,IF(T240=1,MIN(1,AJ240),AJ240),(1-((1-R240)*(1-0)/(1+INDEX('Facilities'!$K$9:$K$108,MATCH(C240,'Facilities'!$C$9:$C$108,0))))^IF(T240=1,MIN(1,AJ240),AJ240))/(1-(1-R240)*(1-0)/(1+INDEX('Facilities'!$K$9:$K$108,MATCH(C240,'Facilities'!$C$9:$C$108,0))))))))</x:f>
        <x:v>0.04514418686499873</x:v>
      </x:c>
      <x:c r="W240" s="21" t="n">
        <x:f>IF(C240="","",IFERROR(U140,"Unavailable"))</x:f>
        <x:v>0.10222345205854494</x:v>
      </x:c>
      <x:c r="X240" s="21" t="n">
        <x:f>IF(C240="","",IFERROR(V140,"Unavailable"))</x:f>
        <x:v>0.007282027875577737</x:v>
      </x:c>
      <x:c r="Y240" s="21" t="n">
        <x:f>IF(C240="","",IF(AQ240&lt;&gt;"Ready","Unavailable",IF(C240="","",U240-W240+V240-X240+N240+AG240)))</x:f>
        <x:v>0.4565903870049095</x:v>
      </x:c>
      <x:c r="Z240" s="23" t="n">
        <x:f>IF(C240="","",IF(AQ240&lt;&gt;"Ready","Unavailable",IF(C240="","",(G240+O240+L240)/2*INDEX('Facilities'!$T$9:$T$108,MATCH(C240,'Facilities'!$C$9:$C$108,0))+AG240)))</x:f>
        <x:v>0.8310580430000001</x:v>
      </x:c>
      <x:c r="AA240" s="23" t="n">
        <x:f>IF(C240="","",IF(AQ240&lt;&gt;"Ready","Unavailable",IF(C240="","",O240*(1-IF(INDEX('Facilities'!$AA$9:$AA$108,MATCH(C240,'Facilities'!$C$9:$C$108,0))=0,0,MIN(1,INDEX('Facilities'!$X$9:$X$108,MATCH(C240,'Facilities'!$C$9:$C$108,0))/INDEX('Facilities'!$AA$9:$AA$108,MATCH(C240,'Facilities'!$C$9:$C$108,0)))))*AF240+P240*(1-IF(INDEX('Facilities'!$AA$9:$AA$108,MATCH(C240,'Facilities'!$C$9:$C$108,0))=0,0,MIN(1,INDEX('Facilities'!$X$9:$X$108,MATCH(C240,'Facilities'!$C$9:$C$108,0))/INDEX('Facilities'!$AA$9:$AA$108,MATCH(C240,'Facilities'!$C$9:$C$108,0)))))*INDEX('Facilities'!$AJ$9:$AJ$108,MATCH(C240,'Facilities'!$C$9:$C$108,0))+Q240*INDEX('Facilities'!$AI$9:$AI$108,MATCH(C240,'Facilities'!$C$9:$C$108,0))*AF240)))</x:f>
        <x:v>10.4639924292096</x:v>
      </x:c>
      <x:c r="AB240" s="21" t="n">
        <x:f>IF(C240="","",O240+P240-AD240)</x:f>
        <x:v>-0.9075612</x:v>
      </x:c>
      <x:c r="AC240" s="23" t="n">
        <x:f>IF(C240="","",IFERROR(IF(INDEX('Facilities'!$AD$9:$AD$108,MATCH(C240,'Facilities'!$C$9:$C$108,0))=3,0,IF(INDEX('Facilities'!$AN$9:$AN$108,MATCH(C240,'Facilities'!$C$9:$C$108,0))=0,-1,INDEX('Facilities'!$AN$9:$AN$108,MATCH(C240,'Facilities'!$C$9:$C$108,0)))),"Unavailable"))</x:f>
        <x:v>-1</x:v>
      </x:c>
      <x:c r="AD240" s="21" t="n">
        <x:f>IF(C240="","",IFERROR(G240+H240,"Unavailable"))</x:f>
        <x:v>9.20176</x:v>
      </x:c>
      <x:c r="AE240" s="21" t="n">
        <x:f>IF(C240="","",IF(AQ240&lt;&gt;"Ready","Unavailable",IF(C240="","",O240+P240-AD240-J240+K240+M240+N240)))</x:f>
        <x:v>0</x:v>
      </x:c>
      <x:c r="AF240" s="30" t="n">
        <x:f>IF(C240="","",IFERROR(INDEX('Facilities'!$S$9:$S$108,MATCH(C240,'Facilities'!$C$9:$C$108,0))*'Scenario Paths'!H75,"Unavailable"))</x:f>
        <x:v>1.2</x:v>
      </x:c>
      <x:c r="AG240" s="23" t="n">
        <x:f>IF(C240="","",IF(AQ240&lt;&gt;"Ready","Unavailable",IF(C240="","",IF(H240&gt;0,MAX(0,H240-AK240)*((1+INDEX('Facilities'!$K$9:$K$108,MATCH(C240,'Facilities'!$C$9:$C$108,0)))^MIN(1,MAX(0,AC240+INDEX('Facilities'!$AK$9:$AK$108,MATCH(C240,'Facilities'!$C$9:$C$108,0))-D240+1))-1),0))))</x:f>
        <x:v>0</x:v>
      </x:c>
      <x:c r="AH240" s="21" t="n">
        <x:f>IF(C240="","",IF(AQ240&lt;&gt;"Ready","Unavailable",IF(C240="","",O240+P240)))</x:f>
        <x:v>8.2941988</x:v>
      </x:c>
      <x:c r="AI240" s="21" t="n">
        <x:f>IF(C240="","",IF(AQ240&lt;&gt;"Ready","Unavailable",IF(C240="","",Z240-Y240)))</x:f>
        <x:v>0.3744676559950906</x:v>
      </x:c>
      <x:c r="AJ240" s="23" t="n">
        <x:f>IF(C240="","",IFERROR(MAX(0,INDEX('Facilities'!$J$9:$J$108,MATCH(C240,'Facilities'!$C$9:$C$108,0))-D240),"Unavailable"))</x:f>
        <x:v>6</x:v>
      </x:c>
      <x:c r="AK240" s="21" t="n">
        <x:f>IF(C240="","",IFERROR(AL140,"Unavailable"))</x:f>
        <x:v>0</x:v>
      </x:c>
      <x:c r="AL240" s="23" t="n">
        <x:f>IF(C240="","",IFERROR(IF(P240&gt;0,P240*(1-AM240/(1+INDEX('Facilities'!$K$9:$K$108,MATCH(C240,'Facilities'!$C$9:$C$108,0)))^MAX(0,AC240+INDEX('Facilities'!$AK$9:$AK$108,MATCH(C240,'Facilities'!$C$9:$C$108,0))-D240)),0),"Unavailable"))</x:f>
        <x:v>0</x:v>
      </x:c>
      <x:c r="AM240" s="30" t="n">
        <x:f>IF(C240="","",IFERROR(INDEX('Facilities'!$AL$9:$AL$108,MATCH(C240,'Facilities'!$C$9:$C$108,0)),"Unavailable"))</x:f>
        <x:v>0.55</x:v>
      </x:c>
      <x:c r="AN240" s="30" t="n">
        <x:f>IF(C240="","",IFERROR(INDEX(Credit!$T$209:$T$308,MATCH(F240,Credit!$C$209:$C$308,0)),"Unavailable"))</x:f>
        <x:v>0.00544</x:v>
      </x:c>
      <x:c r="AO240" s="23" t="n">
        <x:f>IF(C240="","",IF(AQ240&lt;&gt;"Ready","Unavailable",IF(C240="","",O240+P240+Q240*INDEX('Facilities'!$I$9:$I$108,MATCH(C240,'Facilities'!$C$9:$C$108,0)))))</x:f>
        <x:v>8.851373800000001</x:v>
      </x:c>
      <x:c r="AP240" s="21" t="n">
        <x:f>IF(C240="","",IF(AQ240&lt;&gt;"Ready","Unavailable",IF(C240="","",AH240-U240)))</x:f>
        <x:v>7.7732471199259665</x:v>
      </x:c>
      <x:c r="AQ240" s="23" t="str">
        <x:f>IFERROR(IF(C240="","",IF(AND(INDEX('Facilities'!$AF$9:$AF$108,MATCH(C240,'Facilities'!$C$9:$C$108,0))="Ready",INDEX(Credit!$U$209:$U$308,MATCH(F240,Credit!$C$209:$C$308,0))="Ready",ISNUMBER(W240)),"Ready","Review inputs")),"Review inputs")</x:f>
        <x:v>Ready</x:v>
      </x:c>
      <x:c r="AR240" s="23" t="n">
        <x:f>IF(C240="","",IF(AQ240&lt;&gt;"Ready","Unavailable",IF(C240="","",IF(O240=0,0,(IF(AJ240&lt;=1,O240,O240*INDEX('Facilities'!$R$9:$R$108,MATCH(C240,'Facilities'!$C$9:$C$108,0)))+O240*INDEX('Facilities'!$T$9:$T$108,MATCH(C240,'Facilities'!$C$9:$C$108,0)))/12))))</x:f>
        <x:v>0.14860439516666668</x:v>
      </x:c>
    </x:row>
    <x:row r="241" ht="26" customHeight="1">
      <x:c r="A241" s="1"/>
      <x:c r="B241" s="1"/>
      <x:c r="C241" s="9" t="str">
        <x:f>IF(Facilities!C41="","",Facilities!C41)</x:f>
        <x:v>F033</x:v>
      </x:c>
      <x:c r="D241" s="3" t="n">
        <x:v>3</x:v>
      </x:c>
      <x:c r="E241" s="9" t="n">
        <x:f>Settings!$F$18+2</x:f>
        <x:v>2029</x:v>
      </x:c>
      <x:c r="F241" s="9" t="str">
        <x:f>IF(C241="","",IFERROR(INDEX('Facilities'!$D$9:$D$108,MATCH(C241,'Facilities'!$C$9:$C$108,0)),"Unavailable"))</x:f>
        <x:v>B021</x:v>
      </x:c>
      <x:c r="G241" s="21" t="n">
        <x:f>IF(C241="","",IFERROR(O141,"Unavailable"))</x:f>
        <x:v>9.472800000000001</x:v>
      </x:c>
      <x:c r="H241" s="21" t="n">
        <x:f>IF(C241="","",IFERROR(P141,"Unavailable"))</x:f>
        <x:v>0</x:v>
      </x:c>
      <x:c r="I241" s="21" t="n">
        <x:f>IF(C241="","",IFERROR(Q141,"Unavailable"))</x:f>
        <x:v>1.311</x:v>
      </x:c>
      <x:c r="J241" s="23" t="n">
        <x:f>IF(C241="","",IFERROR(IF(OR(H241&gt;0,AND(AC241&gt;=0,AC241&lt;D241),D241&gt;INDEX('Facilities'!$J$9:$J$108,MATCH(C241,'Facilities'!$C$9:$C$108,0))),0,I241*'Scenario Paths'!H81),"Unavailable"))</x:f>
        <x:v>0.19665</x:v>
      </x:c>
      <x:c r="K241" s="23" t="n">
        <x:f>IF(C241="","",IFERROR(IF(OR(H241&gt;0,AND(AC241&gt;=0,AC241=D241)),0,IF(D241&gt;=INDEX('Facilities'!$J$9:$J$108,MATCH(C241,'Facilities'!$C$9:$C$108,0)),G241+J241,MIN(G241+J241,G241*INDEX('Facilities'!$R$9:$R$108,MATCH(C241,'Facilities'!$C$9:$C$108,0))))),"Unavailable"))</x:f>
        <x:v>1.1367360000000002</x:v>
      </x:c>
      <x:c r="L241" s="21" t="n">
        <x:f>IF(C241="","",IFERROR(IF(AND(AC241=D241,AC241&gt;0),MAX(0,G241+J241-K241),0),"Unavailable"))</x:f>
        <x:v>0</x:v>
      </x:c>
      <x:c r="M241" s="23" t="n">
        <x:f>IF(C241="","",IFERROR(IF(AND(AC241&gt;=0,D241&gt;=AC241+INDEX('Facilities'!$AK$9:$AK$108,MATCH(C241,'Facilities'!$C$9:$C$108,0))),(H241+L241)*AM241,0),"Unavailable"))</x:f>
        <x:v>0</x:v>
      </x:c>
      <x:c r="N241" s="23" t="n">
        <x:f>IF(C241="","",IFERROR(IF(AND(AC241&gt;=0,D241&gt;=AC241+INDEX('Facilities'!$AK$9:$AK$108,MATCH(C241,'Facilities'!$C$9:$C$108,0))),H241+L241-M241,0),"Unavailable"))</x:f>
        <x:v>0</x:v>
      </x:c>
      <x:c r="O241" s="21" t="n">
        <x:f>IF(C241="","",IFERROR(MAX(0,G241+J241-K241-L241),"Unavailable"))</x:f>
        <x:v>8.532714</x:v>
      </x:c>
      <x:c r="P241" s="21" t="n">
        <x:f>IF(C241="","",IFERROR(MAX(0,H241+L241-M241-N241),"Unavailable"))</x:f>
        <x:v>0</x:v>
      </x:c>
      <x:c r="Q241" s="23" t="n">
        <x:f>IF(C241="","",IFERROR(IF(OR(D241&gt;=INDEX('Facilities'!$J$9:$J$108,MATCH(C241,'Facilities'!$C$9:$C$108,0)),AND(AC241&gt;=0,AC241&lt;=D241)),0,MAX(0,I241-J241)),"Unavailable"))</x:f>
        <x:v>1.11435</x:v>
      </x:c>
      <x:c r="R241" s="30" t="n">
        <x:f>IF(C241="","",IFERROR(INDEX(Credit!$Q$209:$Q$308,MATCH(F241,Credit!$C$209:$C$308,0)),"Unavailable"))</x:f>
        <x:v>0.04946703133956999</x:v>
      </x:c>
      <x:c r="S241" s="30" t="n">
        <x:f>IF(C241="","",IFERROR(INDEX(Credit!$R$209:$R$308,MATCH(F241,Credit!$C$209:$C$308,0)),"Unavailable"))</x:f>
        <x:v>0.2814976</x:v>
      </x:c>
      <x:c r="T241" s="23" t="n">
        <x:f>IF(C241="","",IFERROR(IF(P241&gt;0,3,IF(OR(INDEX('Facilities'!$AD$9:$AD$108,MATCH(C241,'Facilities'!$C$9:$C$108,0))=2,AND(R241&gt;=INDEX('Facilities'!$L$9:$L$108,MATCH(C241,'Facilities'!$C$9:$C$108,0))*Settings!$F$19,R241-INDEX('Facilities'!$L$9:$L$108,MATCH(C241,'Facilities'!$C$9:$C$108,0))&gt;=Settings!$F$20)),2,1)),"Unavailable"))</x:f>
        <x:v>2</x:v>
      </x:c>
      <x:c r="U241" s="23" t="n">
        <x:f>IF(C241="","",IF(AQ241&lt;&gt;"Ready","Unavailable",IF(C241="","",O241*(1-(1-S241)/(1+INDEX('Facilities'!$K$9:$K$108,MATCH(C241,'Facilities'!$C$9:$C$108,0)))^INDEX('Facilities'!$AK$9:$AK$108,MATCH(C241,'Facilities'!$C$9:$C$108,0)))*R241/(1+INDEX('Facilities'!$K$9:$K$108,MATCH(C241,'Facilities'!$C$9:$C$108,0)))*IF(ABS(1-(1-R241)*(1-INDEX('Facilities'!$R$9:$R$108,MATCH(C241,'Facilities'!$C$9:$C$108,0)))/(1+INDEX('Facilities'!$K$9:$K$108,MATCH(C241,'Facilities'!$C$9:$C$108,0))))&lt;0.000000001,IF(T241=1,MIN(1,AJ241),AJ241),(1-((1-R241)*(1-INDEX('Facilities'!$R$9:$R$108,MATCH(C241,'Facilities'!$C$9:$C$108,0)))/(1+INDEX('Facilities'!$K$9:$K$108,MATCH(C241,'Facilities'!$C$9:$C$108,0))))^IF(T241=1,MIN(1,AJ241),AJ241))/(1-(1-R241)*(1-INDEX('Facilities'!$R$9:$R$108,MATCH(C241,'Facilities'!$C$9:$C$108,0)))/(1+INDEX('Facilities'!$K$9:$K$108,MATCH(C241,'Facilities'!$C$9:$C$108,0)))))+AL241)))</x:f>
        <x:v>0.26631066062127057</x:v>
      </x:c>
      <x:c r="V241" s="23" t="n">
        <x:f>IF(C241="","",IF(AQ241&lt;&gt;"Ready","Unavailable",IF(C241="","",Q241*INDEX('Facilities'!$I$9:$I$108,MATCH(C241,'Facilities'!$C$9:$C$108,0))*(1-(1-S241)/(1+INDEX('Facilities'!$K$9:$K$108,MATCH(C241,'Facilities'!$C$9:$C$108,0)))^INDEX('Facilities'!$AK$9:$AK$108,MATCH(C241,'Facilities'!$C$9:$C$108,0)))*R241/(1+INDEX('Facilities'!$K$9:$K$108,MATCH(C241,'Facilities'!$C$9:$C$108,0)))*IF(ABS(1-(1-R241)*(1-0)/(1+INDEX('Facilities'!$K$9:$K$108,MATCH(C241,'Facilities'!$C$9:$C$108,0))))&lt;0.000000001,IF(T241=1,MIN(1,AJ241),AJ241),(1-((1-R241)*(1-0)/(1+INDEX('Facilities'!$K$9:$K$108,MATCH(C241,'Facilities'!$C$9:$C$108,0))))^IF(T241=1,MIN(1,AJ241),AJ241))/(1-(1-R241)*(1-0)/(1+INDEX('Facilities'!$K$9:$K$108,MATCH(C241,'Facilities'!$C$9:$C$108,0))))))))</x:f>
        <x:v>0.018424734071059195</x:v>
      </x:c>
      <x:c r="W241" s="21" t="n">
        <x:f>IF(C241="","",IFERROR(U141,"Unavailable"))</x:f>
        <x:v>0.25133648276257675</x:v>
      </x:c>
      <x:c r="X241" s="21" t="n">
        <x:f>IF(C241="","",IFERROR(V141,"Unavailable"))</x:f>
        <x:v>0.019477089995126862</x:v>
      </x:c>
      <x:c r="Y241" s="21" t="n">
        <x:f>IF(C241="","",IF(AQ241&lt;&gt;"Ready","Unavailable",IF(C241="","",U241-W241+V241-X241+N241+AG241)))</x:f>
        <x:v>0.013921821934626152</x:v>
      </x:c>
      <x:c r="Z241" s="23" t="n">
        <x:f>IF(C241="","",IF(AQ241&lt;&gt;"Ready","Unavailable",IF(C241="","",(G241+O241+L241)/2*INDEX('Facilities'!$T$9:$T$108,MATCH(C241,'Facilities'!$C$9:$C$108,0))+AG241)))</x:f>
        <x:v>0.855261915</x:v>
      </x:c>
      <x:c r="AA241" s="23" t="n">
        <x:f>IF(C241="","",IF(AQ241&lt;&gt;"Ready","Unavailable",IF(C241="","",O241*(1-IF(INDEX('Facilities'!$AA$9:$AA$108,MATCH(C241,'Facilities'!$C$9:$C$108,0))=0,0,MIN(1,INDEX('Facilities'!$X$9:$X$108,MATCH(C241,'Facilities'!$C$9:$C$108,0))/INDEX('Facilities'!$AA$9:$AA$108,MATCH(C241,'Facilities'!$C$9:$C$108,0)))))*AF241+P241*(1-IF(INDEX('Facilities'!$AA$9:$AA$108,MATCH(C241,'Facilities'!$C$9:$C$108,0))=0,0,MIN(1,INDEX('Facilities'!$X$9:$X$108,MATCH(C241,'Facilities'!$C$9:$C$108,0))/INDEX('Facilities'!$AA$9:$AA$108,MATCH(C241,'Facilities'!$C$9:$C$108,0)))))*INDEX('Facilities'!$AJ$9:$AJ$108,MATCH(C241,'Facilities'!$C$9:$C$108,0))+Q241*INDEX('Facilities'!$AI$9:$AI$108,MATCH(C241,'Facilities'!$C$9:$C$108,0))*AF241)))</x:f>
        <x:v>10.770251188608</x:v>
      </x:c>
      <x:c r="AB241" s="21" t="n">
        <x:f>IF(C241="","",O241+P241-AD241)</x:f>
        <x:v>-0.9400860000000009</x:v>
      </x:c>
      <x:c r="AC241" s="23" t="n">
        <x:f>IF(C241="","",IFERROR(IF(INDEX('Facilities'!$AD$9:$AD$108,MATCH(C241,'Facilities'!$C$9:$C$108,0))=3,0,IF(INDEX('Facilities'!$AN$9:$AN$108,MATCH(C241,'Facilities'!$C$9:$C$108,0))=0,-1,INDEX('Facilities'!$AN$9:$AN$108,MATCH(C241,'Facilities'!$C$9:$C$108,0)))),"Unavailable"))</x:f>
        <x:v>-1</x:v>
      </x:c>
      <x:c r="AD241" s="21" t="n">
        <x:f>IF(C241="","",IFERROR(G241+H241,"Unavailable"))</x:f>
        <x:v>9.472800000000001</x:v>
      </x:c>
      <x:c r="AE241" s="21" t="n">
        <x:f>IF(C241="","",IF(AQ241&lt;&gt;"Ready","Unavailable",IF(C241="","",O241+P241-AD241-J241+K241+M241+N241)))</x:f>
        <x:v>-6.661338147750939e-16</x:v>
      </x:c>
      <x:c r="AF241" s="30" t="n">
        <x:f>IF(C241="","",IFERROR(INDEX('Facilities'!$S$9:$S$108,MATCH(C241,'Facilities'!$C$9:$C$108,0))*'Scenario Paths'!H75,"Unavailable"))</x:f>
        <x:v>1.2</x:v>
      </x:c>
      <x:c r="AG241" s="23" t="n">
        <x:f>IF(C241="","",IF(AQ241&lt;&gt;"Ready","Unavailable",IF(C241="","",IF(H241&gt;0,MAX(0,H241-AK241)*((1+INDEX('Facilities'!$K$9:$K$108,MATCH(C241,'Facilities'!$C$9:$C$108,0)))^MIN(1,MAX(0,AC241+INDEX('Facilities'!$AK$9:$AK$108,MATCH(C241,'Facilities'!$C$9:$C$108,0))-D241+1))-1),0))))</x:f>
        <x:v>0</x:v>
      </x:c>
      <x:c r="AH241" s="21" t="n">
        <x:f>IF(C241="","",IF(AQ241&lt;&gt;"Ready","Unavailable",IF(C241="","",O241+P241)))</x:f>
        <x:v>8.532714</x:v>
      </x:c>
      <x:c r="AI241" s="21" t="n">
        <x:f>IF(C241="","",IF(AQ241&lt;&gt;"Ready","Unavailable",IF(C241="","",Z241-Y241)))</x:f>
        <x:v>0.8413400930653739</x:v>
      </x:c>
      <x:c r="AJ241" s="23" t="n">
        <x:f>IF(C241="","",IFERROR(MAX(0,INDEX('Facilities'!$J$9:$J$108,MATCH(C241,'Facilities'!$C$9:$C$108,0))-D241),"Unavailable"))</x:f>
        <x:v>2</x:v>
      </x:c>
      <x:c r="AK241" s="21" t="n">
        <x:f>IF(C241="","",IFERROR(AL141,"Unavailable"))</x:f>
        <x:v>0</x:v>
      </x:c>
      <x:c r="AL241" s="23" t="n">
        <x:f>IF(C241="","",IFERROR(IF(P241&gt;0,P241*(1-AM241/(1+INDEX('Facilities'!$K$9:$K$108,MATCH(C241,'Facilities'!$C$9:$C$108,0)))^MAX(0,AC241+INDEX('Facilities'!$AK$9:$AK$108,MATCH(C241,'Facilities'!$C$9:$C$108,0))-D241)),0),"Unavailable"))</x:f>
        <x:v>0</x:v>
      </x:c>
      <x:c r="AM241" s="30" t="n">
        <x:f>IF(C241="","",IFERROR(INDEX('Facilities'!$AL$9:$AL$108,MATCH(C241,'Facilities'!$C$9:$C$108,0)),"Unavailable"))</x:f>
        <x:v>0.55</x:v>
      </x:c>
      <x:c r="AN241" s="30" t="n">
        <x:f>IF(C241="","",IFERROR(INDEX(Credit!$T$209:$T$308,MATCH(F241,Credit!$C$209:$C$308,0)),"Unavailable"))</x:f>
        <x:v>0.00208</x:v>
      </x:c>
      <x:c r="AO241" s="23" t="n">
        <x:f>IF(C241="","",IF(AQ241&lt;&gt;"Ready","Unavailable",IF(C241="","",O241+P241+Q241*INDEX('Facilities'!$I$9:$I$108,MATCH(C241,'Facilities'!$C$9:$C$108,0)))))</x:f>
        <x:v>9.089889</x:v>
      </x:c>
      <x:c r="AP241" s="21" t="n">
        <x:f>IF(C241="","",IF(AQ241&lt;&gt;"Ready","Unavailable",IF(C241="","",AH241-U241)))</x:f>
        <x:v>8.26640333937873</x:v>
      </x:c>
      <x:c r="AQ241" s="23" t="str">
        <x:f>IFERROR(IF(C241="","",IF(AND(INDEX('Facilities'!$AF$9:$AF$108,MATCH(C241,'Facilities'!$C$9:$C$108,0))="Ready",INDEX(Credit!$U$209:$U$308,MATCH(F241,Credit!$C$209:$C$308,0))="Ready",ISNUMBER(W241)),"Ready","Review inputs")),"Review inputs")</x:f>
        <x:v>Ready</x:v>
      </x:c>
      <x:c r="AR241" s="23" t="n">
        <x:f>IF(C241="","",IF(AQ241&lt;&gt;"Ready","Unavailable",IF(C241="","",IF(O241=0,0,(IF(AJ241&lt;=1,O241,O241*INDEX('Facilities'!$R$9:$R$108,MATCH(C241,'Facilities'!$C$9:$C$108,0)))+O241*INDEX('Facilities'!$T$9:$T$108,MATCH(C241,'Facilities'!$C$9:$C$108,0)))/12))))</x:f>
        <x:v>0.1528777925</x:v>
      </x:c>
    </x:row>
    <x:row r="242" ht="26" customHeight="1">
      <x:c r="A242" s="1"/>
      <x:c r="B242" s="1"/>
      <x:c r="C242" s="9" t="str">
        <x:f>IF(Facilities!C42="","",Facilities!C42)</x:f>
        <x:v>F034</x:v>
      </x:c>
      <x:c r="D242" s="3" t="n">
        <x:v>3</x:v>
      </x:c>
      <x:c r="E242" s="9" t="n">
        <x:f>Settings!$F$18+2</x:f>
        <x:v>2029</x:v>
      </x:c>
      <x:c r="F242" s="9" t="str">
        <x:f>IF(C242="","",IFERROR(INDEX('Facilities'!$D$9:$D$108,MATCH(C242,'Facilities'!$C$9:$C$108,0)),"Unavailable"))</x:f>
        <x:v>B022</x:v>
      </x:c>
      <x:c r="G242" s="21" t="n">
        <x:f>IF(C242="","",IFERROR(O142,"Unavailable"))</x:f>
        <x:v>9.74384</x:v>
      </x:c>
      <x:c r="H242" s="21" t="n">
        <x:f>IF(C242="","",IFERROR(P142,"Unavailable"))</x:f>
        <x:v>0</x:v>
      </x:c>
      <x:c r="I242" s="21" t="n">
        <x:f>IF(C242="","",IFERROR(Q142,"Unavailable"))</x:f>
        <x:v>1.311</x:v>
      </x:c>
      <x:c r="J242" s="23" t="n">
        <x:f>IF(C242="","",IFERROR(IF(OR(H242&gt;0,AND(AC242&gt;=0,AC242&lt;D242),D242&gt;INDEX('Facilities'!$J$9:$J$108,MATCH(C242,'Facilities'!$C$9:$C$108,0))),0,I242*'Scenario Paths'!H81),"Unavailable"))</x:f>
        <x:v>0.19665</x:v>
      </x:c>
      <x:c r="K242" s="23" t="n">
        <x:f>IF(C242="","",IFERROR(IF(OR(H242&gt;0,AND(AC242&gt;=0,AC242=D242)),0,IF(D242&gt;=INDEX('Facilities'!$J$9:$J$108,MATCH(C242,'Facilities'!$C$9:$C$108,0)),G242+J242,MIN(G242+J242,G242*INDEX('Facilities'!$R$9:$R$108,MATCH(C242,'Facilities'!$C$9:$C$108,0))))),"Unavailable"))</x:f>
        <x:v>1.1692608</x:v>
      </x:c>
      <x:c r="L242" s="21" t="n">
        <x:f>IF(C242="","",IFERROR(IF(AND(AC242=D242,AC242&gt;0),MAX(0,G242+J242-K242),0),"Unavailable"))</x:f>
        <x:v>0</x:v>
      </x:c>
      <x:c r="M242" s="23" t="n">
        <x:f>IF(C242="","",IFERROR(IF(AND(AC242&gt;=0,D242&gt;=AC242+INDEX('Facilities'!$AK$9:$AK$108,MATCH(C242,'Facilities'!$C$9:$C$108,0))),(H242+L242)*AM242,0),"Unavailable"))</x:f>
        <x:v>0</x:v>
      </x:c>
      <x:c r="N242" s="23" t="n">
        <x:f>IF(C242="","",IFERROR(IF(AND(AC242&gt;=0,D242&gt;=AC242+INDEX('Facilities'!$AK$9:$AK$108,MATCH(C242,'Facilities'!$C$9:$C$108,0))),H242+L242-M242,0),"Unavailable"))</x:f>
        <x:v>0</x:v>
      </x:c>
      <x:c r="O242" s="21" t="n">
        <x:f>IF(C242="","",IFERROR(MAX(0,G242+J242-K242-L242),"Unavailable"))</x:f>
        <x:v>8.7712292</x:v>
      </x:c>
      <x:c r="P242" s="21" t="n">
        <x:f>IF(C242="","",IFERROR(MAX(0,H242+L242-M242-N242),"Unavailable"))</x:f>
        <x:v>0</x:v>
      </x:c>
      <x:c r="Q242" s="23" t="n">
        <x:f>IF(C242="","",IFERROR(IF(OR(D242&gt;=INDEX('Facilities'!$J$9:$J$108,MATCH(C242,'Facilities'!$C$9:$C$108,0)),AND(AC242&gt;=0,AC242&lt;=D242)),0,MAX(0,I242-J242)),"Unavailable"))</x:f>
        <x:v>1.11435</x:v>
      </x:c>
      <x:c r="R242" s="30" t="n">
        <x:f>IF(C242="","",IFERROR(INDEX(Credit!$Q$209:$Q$308,MATCH(F242,Credit!$C$209:$C$308,0)),"Unavailable"))</x:f>
        <x:v>0.059071059138991945</x:v>
      </x:c>
      <x:c r="S242" s="30" t="n">
        <x:f>IF(C242="","",IFERROR(INDEX(Credit!$R$209:$R$308,MATCH(F242,Credit!$C$209:$C$308,0)),"Unavailable"))</x:f>
        <x:v>0.32121856</x:v>
      </x:c>
      <x:c r="T242" s="23" t="n">
        <x:f>IF(C242="","",IFERROR(IF(P242&gt;0,3,IF(OR(INDEX('Facilities'!$AD$9:$AD$108,MATCH(C242,'Facilities'!$C$9:$C$108,0))=2,AND(R242&gt;=INDEX('Facilities'!$L$9:$L$108,MATCH(C242,'Facilities'!$C$9:$C$108,0))*Settings!$F$19,R242-INDEX('Facilities'!$L$9:$L$108,MATCH(C242,'Facilities'!$C$9:$C$108,0))&gt;=Settings!$F$20)),2,1)),"Unavailable"))</x:f>
        <x:v>1</x:v>
      </x:c>
      <x:c r="U242" s="23" t="n">
        <x:f>IF(C242="","",IF(AQ242&lt;&gt;"Ready","Unavailable",IF(C242="","",O242*(1-(1-S242)/(1+INDEX('Facilities'!$K$9:$K$108,MATCH(C242,'Facilities'!$C$9:$C$108,0)))^INDEX('Facilities'!$AK$9:$AK$108,MATCH(C242,'Facilities'!$C$9:$C$108,0)))*R242/(1+INDEX('Facilities'!$K$9:$K$108,MATCH(C242,'Facilities'!$C$9:$C$108,0)))*IF(ABS(1-(1-R242)*(1-INDEX('Facilities'!$R$9:$R$108,MATCH(C242,'Facilities'!$C$9:$C$108,0)))/(1+INDEX('Facilities'!$K$9:$K$108,MATCH(C242,'Facilities'!$C$9:$C$108,0))))&lt;0.000000001,IF(T242=1,MIN(1,AJ242),AJ242),(1-((1-R242)*(1-INDEX('Facilities'!$R$9:$R$108,MATCH(C242,'Facilities'!$C$9:$C$108,0)))/(1+INDEX('Facilities'!$K$9:$K$108,MATCH(C242,'Facilities'!$C$9:$C$108,0))))^IF(T242=1,MIN(1,AJ242),AJ242))/(1-(1-R242)*(1-INDEX('Facilities'!$R$9:$R$108,MATCH(C242,'Facilities'!$C$9:$C$108,0)))/(1+INDEX('Facilities'!$K$9:$K$108,MATCH(C242,'Facilities'!$C$9:$C$108,0)))))+AL242)))</x:f>
        <x:v>0.20055993426052615</x:v>
      </x:c>
      <x:c r="V242" s="23" t="n">
        <x:f>IF(C242="","",IF(AQ242&lt;&gt;"Ready","Unavailable",IF(C242="","",Q242*INDEX('Facilities'!$I$9:$I$108,MATCH(C242,'Facilities'!$C$9:$C$108,0))*(1-(1-S242)/(1+INDEX('Facilities'!$K$9:$K$108,MATCH(C242,'Facilities'!$C$9:$C$108,0)))^INDEX('Facilities'!$AK$9:$AK$108,MATCH(C242,'Facilities'!$C$9:$C$108,0)))*R242/(1+INDEX('Facilities'!$K$9:$K$108,MATCH(C242,'Facilities'!$C$9:$C$108,0)))*IF(ABS(1-(1-R242)*(1-0)/(1+INDEX('Facilities'!$K$9:$K$108,MATCH(C242,'Facilities'!$C$9:$C$108,0))))&lt;0.000000001,IF(T242=1,MIN(1,AJ242),AJ242),(1-((1-R242)*(1-0)/(1+INDEX('Facilities'!$K$9:$K$108,MATCH(C242,'Facilities'!$C$9:$C$108,0))))^IF(T242=1,MIN(1,AJ242),AJ242))/(1-(1-R242)*(1-0)/(1+INDEX('Facilities'!$K$9:$K$108,MATCH(C242,'Facilities'!$C$9:$C$108,0))))))))</x:f>
        <x:v>0.012740173449304991</x:v>
      </x:c>
      <x:c r="W242" s="21" t="n">
        <x:f>IF(C242="","",IFERROR(U142,"Unavailable"))</x:f>
        <x:v>0.14138604586468617</x:v>
      </x:c>
      <x:c r="X242" s="21" t="n">
        <x:f>IF(C242="","",IFERROR(V142,"Unavailable"))</x:f>
        <x:v>0.009511501940128508</x:v>
      </x:c>
      <x:c r="Y242" s="21" t="n">
        <x:f>IF(C242="","",IF(AQ242&lt;&gt;"Ready","Unavailable",IF(C242="","",U242-W242+V242-X242+N242+AG242)))</x:f>
        <x:v>0.06240255990501646</x:v>
      </x:c>
      <x:c r="Z242" s="23" t="n">
        <x:f>IF(C242="","",IF(AQ242&lt;&gt;"Ready","Unavailable",IF(C242="","",(G242+O242+L242)/2*INDEX('Facilities'!$T$9:$T$108,MATCH(C242,'Facilities'!$C$9:$C$108,0))+AG242)))</x:f>
        <x:v>0.879465787</x:v>
      </x:c>
      <x:c r="AA242" s="23" t="n">
        <x:f>IF(C242="","",IF(AQ242&lt;&gt;"Ready","Unavailable",IF(C242="","",O242*(1-IF(INDEX('Facilities'!$AA$9:$AA$108,MATCH(C242,'Facilities'!$C$9:$C$108,0))=0,0,MIN(1,INDEX('Facilities'!$X$9:$X$108,MATCH(C242,'Facilities'!$C$9:$C$108,0))/INDEX('Facilities'!$AA$9:$AA$108,MATCH(C242,'Facilities'!$C$9:$C$108,0)))))*AF242+P242*(1-IF(INDEX('Facilities'!$AA$9:$AA$108,MATCH(C242,'Facilities'!$C$9:$C$108,0))=0,0,MIN(1,INDEX('Facilities'!$X$9:$X$108,MATCH(C242,'Facilities'!$C$9:$C$108,0))/INDEX('Facilities'!$AA$9:$AA$108,MATCH(C242,'Facilities'!$C$9:$C$108,0)))))*INDEX('Facilities'!$AJ$9:$AJ$108,MATCH(C242,'Facilities'!$C$9:$C$108,0))+Q242*INDEX('Facilities'!$AI$9:$AI$108,MATCH(C242,'Facilities'!$C$9:$C$108,0))*AF242)))</x:f>
        <x:v>10.991995919232</x:v>
      </x:c>
      <x:c r="AB242" s="21" t="n">
        <x:f>IF(C242="","",O242+P242-AD242)</x:f>
        <x:v>-0.9726108</x:v>
      </x:c>
      <x:c r="AC242" s="23" t="n">
        <x:f>IF(C242="","",IFERROR(IF(INDEX('Facilities'!$AD$9:$AD$108,MATCH(C242,'Facilities'!$C$9:$C$108,0))=3,0,IF(INDEX('Facilities'!$AN$9:$AN$108,MATCH(C242,'Facilities'!$C$9:$C$108,0))=0,-1,INDEX('Facilities'!$AN$9:$AN$108,MATCH(C242,'Facilities'!$C$9:$C$108,0)))),"Unavailable"))</x:f>
        <x:v>-1</x:v>
      </x:c>
      <x:c r="AD242" s="21" t="n">
        <x:f>IF(C242="","",IFERROR(G242+H242,"Unavailable"))</x:f>
        <x:v>9.74384</x:v>
      </x:c>
      <x:c r="AE242" s="21" t="n">
        <x:f>IF(C242="","",IF(AQ242&lt;&gt;"Ready","Unavailable",IF(C242="","",O242+P242-AD242-J242+K242+M242+N242)))</x:f>
        <x:v>0</x:v>
      </x:c>
      <x:c r="AF242" s="30" t="n">
        <x:f>IF(C242="","",IFERROR(INDEX('Facilities'!$S$9:$S$108,MATCH(C242,'Facilities'!$C$9:$C$108,0))*'Scenario Paths'!H75,"Unavailable"))</x:f>
        <x:v>1.2</x:v>
      </x:c>
      <x:c r="AG242" s="23" t="n">
        <x:f>IF(C242="","",IF(AQ242&lt;&gt;"Ready","Unavailable",IF(C242="","",IF(H242&gt;0,MAX(0,H242-AK242)*((1+INDEX('Facilities'!$K$9:$K$108,MATCH(C242,'Facilities'!$C$9:$C$108,0)))^MIN(1,MAX(0,AC242+INDEX('Facilities'!$AK$9:$AK$108,MATCH(C242,'Facilities'!$C$9:$C$108,0))-D242+1))-1),0))))</x:f>
        <x:v>0</x:v>
      </x:c>
      <x:c r="AH242" s="21" t="n">
        <x:f>IF(C242="","",IF(AQ242&lt;&gt;"Ready","Unavailable",IF(C242="","",O242+P242)))</x:f>
        <x:v>8.7712292</x:v>
      </x:c>
      <x:c r="AI242" s="21" t="n">
        <x:f>IF(C242="","",IF(AQ242&lt;&gt;"Ready","Unavailable",IF(C242="","",Z242-Y242)))</x:f>
        <x:v>0.8170632270949836</x:v>
      </x:c>
      <x:c r="AJ242" s="23" t="n">
        <x:f>IF(C242="","",IFERROR(MAX(0,INDEX('Facilities'!$J$9:$J$108,MATCH(C242,'Facilities'!$C$9:$C$108,0))-D242),"Unavailable"))</x:f>
        <x:v>9</x:v>
      </x:c>
      <x:c r="AK242" s="21" t="n">
        <x:f>IF(C242="","",IFERROR(AL142,"Unavailable"))</x:f>
        <x:v>0</x:v>
      </x:c>
      <x:c r="AL242" s="23" t="n">
        <x:f>IF(C242="","",IFERROR(IF(P242&gt;0,P242*(1-AM242/(1+INDEX('Facilities'!$K$9:$K$108,MATCH(C242,'Facilities'!$C$9:$C$108,0)))^MAX(0,AC242+INDEX('Facilities'!$AK$9:$AK$108,MATCH(C242,'Facilities'!$C$9:$C$108,0))-D242)),0),"Unavailable"))</x:f>
        <x:v>0</x:v>
      </x:c>
      <x:c r="AM242" s="30" t="n">
        <x:f>IF(C242="","",IFERROR(INDEX('Facilities'!$AL$9:$AL$108,MATCH(C242,'Facilities'!$C$9:$C$108,0)),"Unavailable"))</x:f>
        <x:v>0.55</x:v>
      </x:c>
      <x:c r="AN242" s="30" t="n">
        <x:f>IF(C242="","",IFERROR(INDEX(Credit!$T$209:$T$308,MATCH(F242,Credit!$C$209:$C$308,0)),"Unavailable"))</x:f>
        <x:v>0.0017920000000000002</x:v>
      </x:c>
      <x:c r="AO242" s="23" t="n">
        <x:f>IF(C242="","",IF(AQ242&lt;&gt;"Ready","Unavailable",IF(C242="","",O242+P242+Q242*INDEX('Facilities'!$I$9:$I$108,MATCH(C242,'Facilities'!$C$9:$C$108,0)))))</x:f>
        <x:v>9.328404200000001</x:v>
      </x:c>
      <x:c r="AP242" s="21" t="n">
        <x:f>IF(C242="","",IF(AQ242&lt;&gt;"Ready","Unavailable",IF(C242="","",AH242-U242)))</x:f>
        <x:v>8.570669265739474</x:v>
      </x:c>
      <x:c r="AQ242" s="23" t="str">
        <x:f>IFERROR(IF(C242="","",IF(AND(INDEX('Facilities'!$AF$9:$AF$108,MATCH(C242,'Facilities'!$C$9:$C$108,0))="Ready",INDEX(Credit!$U$209:$U$308,MATCH(F242,Credit!$C$209:$C$308,0))="Ready",ISNUMBER(W242)),"Ready","Review inputs")),"Review inputs")</x:f>
        <x:v>Ready</x:v>
      </x:c>
      <x:c r="AR242" s="23" t="n">
        <x:f>IF(C242="","",IF(AQ242&lt;&gt;"Ready","Unavailable",IF(C242="","",IF(O242=0,0,(IF(AJ242&lt;=1,O242,O242*INDEX('Facilities'!$R$9:$R$108,MATCH(C242,'Facilities'!$C$9:$C$108,0)))+O242*INDEX('Facilities'!$T$9:$T$108,MATCH(C242,'Facilities'!$C$9:$C$108,0)))/12))))</x:f>
        <x:v>0.15715118983333334</x:v>
      </x:c>
    </x:row>
    <x:row r="243" ht="26" customHeight="1">
      <x:c r="A243" s="1"/>
      <x:c r="B243" s="1"/>
      <x:c r="C243" s="9" t="str">
        <x:f>IF(Facilities!C43="","",Facilities!C43)</x:f>
        <x:v>F035</x:v>
      </x:c>
      <x:c r="D243" s="3" t="n">
        <x:v>3</x:v>
      </x:c>
      <x:c r="E243" s="9" t="n">
        <x:f>Settings!$F$18+2</x:f>
        <x:v>2029</x:v>
      </x:c>
      <x:c r="F243" s="9" t="str">
        <x:f>IF(C243="","",IFERROR(INDEX('Facilities'!$D$9:$D$108,MATCH(C243,'Facilities'!$C$9:$C$108,0)),"Unavailable"))</x:f>
        <x:v>B023</x:v>
      </x:c>
      <x:c r="G243" s="21" t="n">
        <x:f>IF(C243="","",IFERROR(O143,"Unavailable"))</x:f>
        <x:v>0</x:v>
      </x:c>
      <x:c r="H243" s="21" t="n">
        <x:f>IF(C243="","",IFERROR(P143,"Unavailable"))</x:f>
        <x:v>0</x:v>
      </x:c>
      <x:c r="I243" s="21" t="n">
        <x:f>IF(C243="","",IFERROR(Q143,"Unavailable"))</x:f>
        <x:v>0</x:v>
      </x:c>
      <x:c r="J243" s="23" t="n">
        <x:f>IF(C243="","",IFERROR(IF(OR(H243&gt;0,AND(AC243&gt;=0,AC243&lt;D243),D243&gt;INDEX('Facilities'!$J$9:$J$108,MATCH(C243,'Facilities'!$C$9:$C$108,0))),0,I243*'Scenario Paths'!H81),"Unavailable"))</x:f>
        <x:v>0</x:v>
      </x:c>
      <x:c r="K243" s="23" t="n">
        <x:f>IF(C243="","",IFERROR(IF(OR(H243&gt;0,AND(AC243&gt;=0,AC243=D243)),0,IF(D243&gt;=INDEX('Facilities'!$J$9:$J$108,MATCH(C243,'Facilities'!$C$9:$C$108,0)),G243+J243,MIN(G243+J243,G243*INDEX('Facilities'!$R$9:$R$108,MATCH(C243,'Facilities'!$C$9:$C$108,0))))),"Unavailable"))</x:f>
        <x:v>0</x:v>
      </x:c>
      <x:c r="L243" s="21" t="n">
        <x:f>IF(C243="","",IFERROR(IF(AND(AC243=D243,AC243&gt;0),MAX(0,G243+J243-K243),0),"Unavailable"))</x:f>
        <x:v>0</x:v>
      </x:c>
      <x:c r="M243" s="23" t="n">
        <x:f>IF(C243="","",IFERROR(IF(AND(AC243&gt;=0,D243&gt;=AC243+INDEX('Facilities'!$AK$9:$AK$108,MATCH(C243,'Facilities'!$C$9:$C$108,0))),(H243+L243)*AM243,0),"Unavailable"))</x:f>
        <x:v>0</x:v>
      </x:c>
      <x:c r="N243" s="23" t="n">
        <x:f>IF(C243="","",IFERROR(IF(AND(AC243&gt;=0,D243&gt;=AC243+INDEX('Facilities'!$AK$9:$AK$108,MATCH(C243,'Facilities'!$C$9:$C$108,0))),H243+L243-M243,0),"Unavailable"))</x:f>
        <x:v>0</x:v>
      </x:c>
      <x:c r="O243" s="21" t="n">
        <x:f>IF(C243="","",IFERROR(MAX(0,G243+J243-K243-L243),"Unavailable"))</x:f>
        <x:v>0</x:v>
      </x:c>
      <x:c r="P243" s="21" t="n">
        <x:f>IF(C243="","",IFERROR(MAX(0,H243+L243-M243-N243),"Unavailable"))</x:f>
        <x:v>0</x:v>
      </x:c>
      <x:c r="Q243" s="23" t="n">
        <x:f>IF(C243="","",IFERROR(IF(OR(D243&gt;=INDEX('Facilities'!$J$9:$J$108,MATCH(C243,'Facilities'!$C$9:$C$108,0)),AND(AC243&gt;=0,AC243&lt;=D243)),0,MAX(0,I243-J243)),"Unavailable"))</x:f>
        <x:v>0</x:v>
      </x:c>
      <x:c r="R243" s="30" t="n">
        <x:f>IF(C243="","",IFERROR(INDEX(Credit!$Q$209:$Q$308,MATCH(F243,Credit!$C$209:$C$308,0)),"Unavailable"))</x:f>
        <x:v>1</x:v>
      </x:c>
      <x:c r="S243" s="30" t="n">
        <x:f>IF(C243="","",IFERROR(INDEX(Credit!$R$209:$R$308,MATCH(F243,Credit!$C$209:$C$308,0)),"Unavailable"))</x:f>
        <x:v>0.36225280000000004</x:v>
      </x:c>
      <x:c r="T243" s="23" t="n">
        <x:f>IF(C243="","",IFERROR(IF(P243&gt;0,3,IF(OR(INDEX('Facilities'!$AD$9:$AD$108,MATCH(C243,'Facilities'!$C$9:$C$108,0))=2,AND(R243&gt;=INDEX('Facilities'!$L$9:$L$108,MATCH(C243,'Facilities'!$C$9:$C$108,0))*Settings!$F$19,R243-INDEX('Facilities'!$L$9:$L$108,MATCH(C243,'Facilities'!$C$9:$C$108,0))&gt;=Settings!$F$20)),2,1)),"Unavailable"))</x:f>
        <x:v>2</x:v>
      </x:c>
      <x:c r="U243" s="23" t="n">
        <x:f>IF(C243="","",IF(AQ243&lt;&gt;"Ready","Unavailable",IF(C243="","",O243*(1-(1-S243)/(1+INDEX('Facilities'!$K$9:$K$108,MATCH(C243,'Facilities'!$C$9:$C$108,0)))^INDEX('Facilities'!$AK$9:$AK$108,MATCH(C243,'Facilities'!$C$9:$C$108,0)))*R243/(1+INDEX('Facilities'!$K$9:$K$108,MATCH(C243,'Facilities'!$C$9:$C$108,0)))*IF(ABS(1-(1-R243)*(1-INDEX('Facilities'!$R$9:$R$108,MATCH(C243,'Facilities'!$C$9:$C$108,0)))/(1+INDEX('Facilities'!$K$9:$K$108,MATCH(C243,'Facilities'!$C$9:$C$108,0))))&lt;0.000000001,IF(T243=1,MIN(1,AJ243),AJ243),(1-((1-R243)*(1-INDEX('Facilities'!$R$9:$R$108,MATCH(C243,'Facilities'!$C$9:$C$108,0)))/(1+INDEX('Facilities'!$K$9:$K$108,MATCH(C243,'Facilities'!$C$9:$C$108,0))))^IF(T243=1,MIN(1,AJ243),AJ243))/(1-(1-R243)*(1-INDEX('Facilities'!$R$9:$R$108,MATCH(C243,'Facilities'!$C$9:$C$108,0)))/(1+INDEX('Facilities'!$K$9:$K$108,MATCH(C243,'Facilities'!$C$9:$C$108,0)))))+AL243)))</x:f>
        <x:v>0</x:v>
      </x:c>
      <x:c r="V243" s="23" t="n">
        <x:f>IF(C243="","",IF(AQ243&lt;&gt;"Ready","Unavailable",IF(C243="","",Q243*INDEX('Facilities'!$I$9:$I$108,MATCH(C243,'Facilities'!$C$9:$C$108,0))*(1-(1-S243)/(1+INDEX('Facilities'!$K$9:$K$108,MATCH(C243,'Facilities'!$C$9:$C$108,0)))^INDEX('Facilities'!$AK$9:$AK$108,MATCH(C243,'Facilities'!$C$9:$C$108,0)))*R243/(1+INDEX('Facilities'!$K$9:$K$108,MATCH(C243,'Facilities'!$C$9:$C$108,0)))*IF(ABS(1-(1-R243)*(1-0)/(1+INDEX('Facilities'!$K$9:$K$108,MATCH(C243,'Facilities'!$C$9:$C$108,0))))&lt;0.000000001,IF(T243=1,MIN(1,AJ243),AJ243),(1-((1-R243)*(1-0)/(1+INDEX('Facilities'!$K$9:$K$108,MATCH(C243,'Facilities'!$C$9:$C$108,0))))^IF(T243=1,MIN(1,AJ243),AJ243))/(1-(1-R243)*(1-0)/(1+INDEX('Facilities'!$K$9:$K$108,MATCH(C243,'Facilities'!$C$9:$C$108,0))))))))</x:f>
        <x:v>0</x:v>
      </x:c>
      <x:c r="W243" s="21" t="n">
        <x:f>IF(C243="","",IFERROR(U143,"Unavailable"))</x:f>
        <x:v>0</x:v>
      </x:c>
      <x:c r="X243" s="21" t="n">
        <x:f>IF(C243="","",IFERROR(V143,"Unavailable"))</x:f>
        <x:v>0</x:v>
      </x:c>
      <x:c r="Y243" s="21" t="n">
        <x:f>IF(C243="","",IF(AQ243&lt;&gt;"Ready","Unavailable",IF(C243="","",U243-W243+V243-X243+N243+AG243)))</x:f>
        <x:v>0</x:v>
      </x:c>
      <x:c r="Z243" s="23" t="n">
        <x:f>IF(C243="","",IF(AQ243&lt;&gt;"Ready","Unavailable",IF(C243="","",(G243+O243+L243)/2*INDEX('Facilities'!$T$9:$T$108,MATCH(C243,'Facilities'!$C$9:$C$108,0))+AG243)))</x:f>
        <x:v>0</x:v>
      </x:c>
      <x:c r="AA243" s="23" t="n">
        <x:f>IF(C243="","",IF(AQ243&lt;&gt;"Ready","Unavailable",IF(C243="","",O243*(1-IF(INDEX('Facilities'!$AA$9:$AA$108,MATCH(C243,'Facilities'!$C$9:$C$108,0))=0,0,MIN(1,INDEX('Facilities'!$X$9:$X$108,MATCH(C243,'Facilities'!$C$9:$C$108,0))/INDEX('Facilities'!$AA$9:$AA$108,MATCH(C243,'Facilities'!$C$9:$C$108,0)))))*AF243+P243*(1-IF(INDEX('Facilities'!$AA$9:$AA$108,MATCH(C243,'Facilities'!$C$9:$C$108,0))=0,0,MIN(1,INDEX('Facilities'!$X$9:$X$108,MATCH(C243,'Facilities'!$C$9:$C$108,0))/INDEX('Facilities'!$AA$9:$AA$108,MATCH(C243,'Facilities'!$C$9:$C$108,0)))))*INDEX('Facilities'!$AJ$9:$AJ$108,MATCH(C243,'Facilities'!$C$9:$C$108,0))+Q243*INDEX('Facilities'!$AI$9:$AI$108,MATCH(C243,'Facilities'!$C$9:$C$108,0))*AF243)))</x:f>
        <x:v>0</x:v>
      </x:c>
      <x:c r="AB243" s="21" t="n">
        <x:f>IF(C243="","",O243+P243-AD243)</x:f>
        <x:v>0</x:v>
      </x:c>
      <x:c r="AC243" s="23" t="n">
        <x:f>IF(C243="","",IFERROR(IF(INDEX('Facilities'!$AD$9:$AD$108,MATCH(C243,'Facilities'!$C$9:$C$108,0))=3,0,IF(INDEX('Facilities'!$AN$9:$AN$108,MATCH(C243,'Facilities'!$C$9:$C$108,0))=0,-1,INDEX('Facilities'!$AN$9:$AN$108,MATCH(C243,'Facilities'!$C$9:$C$108,0)))),"Unavailable"))</x:f>
        <x:v>0</x:v>
      </x:c>
      <x:c r="AD243" s="21" t="n">
        <x:f>IF(C243="","",IFERROR(G243+H243,"Unavailable"))</x:f>
        <x:v>0</x:v>
      </x:c>
      <x:c r="AE243" s="21" t="n">
        <x:f>IF(C243="","",IF(AQ243&lt;&gt;"Ready","Unavailable",IF(C243="","",O243+P243-AD243-J243+K243+M243+N243)))</x:f>
        <x:v>0</x:v>
      </x:c>
      <x:c r="AF243" s="30" t="n">
        <x:f>IF(C243="","",IFERROR(INDEX('Facilities'!$S$9:$S$108,MATCH(C243,'Facilities'!$C$9:$C$108,0))*'Scenario Paths'!H75,"Unavailable"))</x:f>
        <x:v>1.2</x:v>
      </x:c>
      <x:c r="AG243" s="23" t="n">
        <x:f>IF(C243="","",IF(AQ243&lt;&gt;"Ready","Unavailable",IF(C243="","",IF(H243&gt;0,MAX(0,H243-AK243)*((1+INDEX('Facilities'!$K$9:$K$108,MATCH(C243,'Facilities'!$C$9:$C$108,0)))^MIN(1,MAX(0,AC243+INDEX('Facilities'!$AK$9:$AK$108,MATCH(C243,'Facilities'!$C$9:$C$108,0))-D243+1))-1),0))))</x:f>
        <x:v>0</x:v>
      </x:c>
      <x:c r="AH243" s="21" t="n">
        <x:f>IF(C243="","",IF(AQ243&lt;&gt;"Ready","Unavailable",IF(C243="","",O243+P243)))</x:f>
        <x:v>0</x:v>
      </x:c>
      <x:c r="AI243" s="21" t="n">
        <x:f>IF(C243="","",IF(AQ243&lt;&gt;"Ready","Unavailable",IF(C243="","",Z243-Y243)))</x:f>
        <x:v>0</x:v>
      </x:c>
      <x:c r="AJ243" s="23" t="n">
        <x:f>IF(C243="","",IFERROR(MAX(0,INDEX('Facilities'!$J$9:$J$108,MATCH(C243,'Facilities'!$C$9:$C$108,0))-D243),"Unavailable"))</x:f>
        <x:v>4</x:v>
      </x:c>
      <x:c r="AK243" s="21" t="n">
        <x:f>IF(C243="","",IFERROR(AL143,"Unavailable"))</x:f>
        <x:v>0</x:v>
      </x:c>
      <x:c r="AL243" s="23" t="n">
        <x:f>IF(C243="","",IFERROR(IF(P243&gt;0,P243*(1-AM243/(1+INDEX('Facilities'!$K$9:$K$108,MATCH(C243,'Facilities'!$C$9:$C$108,0)))^MAX(0,AC243+INDEX('Facilities'!$AK$9:$AK$108,MATCH(C243,'Facilities'!$C$9:$C$108,0))-D243)),0),"Unavailable"))</x:f>
        <x:v>0</x:v>
      </x:c>
      <x:c r="AM243" s="30" t="n">
        <x:f>IF(C243="","",IFERROR(INDEX('Facilities'!$AL$9:$AL$108,MATCH(C243,'Facilities'!$C$9:$C$108,0)),"Unavailable"))</x:f>
        <x:v>0.55</x:v>
      </x:c>
      <x:c r="AN243" s="30" t="n">
        <x:f>IF(C243="","",IFERROR(INDEX(Credit!$T$209:$T$308,MATCH(F243,Credit!$C$209:$C$308,0)),"Unavailable"))</x:f>
        <x:v>0.0035200000000000006</x:v>
      </x:c>
      <x:c r="AO243" s="23" t="n">
        <x:f>IF(C243="","",IF(AQ243&lt;&gt;"Ready","Unavailable",IF(C243="","",O243+P243+Q243*INDEX('Facilities'!$I$9:$I$108,MATCH(C243,'Facilities'!$C$9:$C$108,0)))))</x:f>
        <x:v>0</x:v>
      </x:c>
      <x:c r="AP243" s="21" t="n">
        <x:f>IF(C243="","",IF(AQ243&lt;&gt;"Ready","Unavailable",IF(C243="","",AH243-U243)))</x:f>
        <x:v>0</x:v>
      </x:c>
      <x:c r="AQ243" s="23" t="str">
        <x:f>IFERROR(IF(C243="","",IF(AND(INDEX('Facilities'!$AF$9:$AF$108,MATCH(C243,'Facilities'!$C$9:$C$108,0))="Ready",INDEX(Credit!$U$209:$U$308,MATCH(F243,Credit!$C$209:$C$308,0))="Ready",ISNUMBER(W243)),"Ready","Review inputs")),"Review inputs")</x:f>
        <x:v>Ready</x:v>
      </x:c>
      <x:c r="AR243" s="23" t="n">
        <x:f>IF(C243="","",IF(AQ243&lt;&gt;"Ready","Unavailable",IF(C243="","",IF(O243=0,0,(IF(AJ243&lt;=1,O243,O243*INDEX('Facilities'!$R$9:$R$108,MATCH(C243,'Facilities'!$C$9:$C$108,0)))+O243*INDEX('Facilities'!$T$9:$T$108,MATCH(C243,'Facilities'!$C$9:$C$108,0)))/12))))</x:f>
        <x:v>0</x:v>
      </x:c>
    </x:row>
    <x:row r="244" ht="26" customHeight="1">
      <x:c r="A244" s="1"/>
      <x:c r="B244" s="1"/>
      <x:c r="C244" s="9" t="str">
        <x:f>IF(Facilities!C44="","",Facilities!C44)</x:f>
        <x:v>F036</x:v>
      </x:c>
      <x:c r="D244" s="3" t="n">
        <x:v>3</x:v>
      </x:c>
      <x:c r="E244" s="9" t="n">
        <x:f>Settings!$F$18+2</x:f>
        <x:v>2029</x:v>
      </x:c>
      <x:c r="F244" s="9" t="str">
        <x:f>IF(C244="","",IFERROR(INDEX('Facilities'!$D$9:$D$108,MATCH(C244,'Facilities'!$C$9:$C$108,0)),"Unavailable"))</x:f>
        <x:v>B024</x:v>
      </x:c>
      <x:c r="G244" s="21" t="n">
        <x:f>IF(C244="","",IFERROR(O144,"Unavailable"))</x:f>
        <x:v>10.285919999999999</x:v>
      </x:c>
      <x:c r="H244" s="21" t="n">
        <x:f>IF(C244="","",IFERROR(P144,"Unavailable"))</x:f>
        <x:v>0</x:v>
      </x:c>
      <x:c r="I244" s="21" t="n">
        <x:f>IF(C244="","",IFERROR(Q144,"Unavailable"))</x:f>
        <x:v>1.311</x:v>
      </x:c>
      <x:c r="J244" s="23" t="n">
        <x:f>IF(C244="","",IFERROR(IF(OR(H244&gt;0,AND(AC244&gt;=0,AC244&lt;D244),D244&gt;INDEX('Facilities'!$J$9:$J$108,MATCH(C244,'Facilities'!$C$9:$C$108,0))),0,I244*'Scenario Paths'!H81),"Unavailable"))</x:f>
        <x:v>0.19665</x:v>
      </x:c>
      <x:c r="K244" s="23" t="n">
        <x:f>IF(C244="","",IFERROR(IF(OR(H244&gt;0,AND(AC244&gt;=0,AC244=D244)),0,IF(D244&gt;=INDEX('Facilities'!$J$9:$J$108,MATCH(C244,'Facilities'!$C$9:$C$108,0)),G244+J244,MIN(G244+J244,G244*INDEX('Facilities'!$R$9:$R$108,MATCH(C244,'Facilities'!$C$9:$C$108,0))))),"Unavailable"))</x:f>
        <x:v>1.2343103999999998</x:v>
      </x:c>
      <x:c r="L244" s="21" t="n">
        <x:f>IF(C244="","",IFERROR(IF(AND(AC244=D244,AC244&gt;0),MAX(0,G244+J244-K244),0),"Unavailable"))</x:f>
        <x:v>0</x:v>
      </x:c>
      <x:c r="M244" s="23" t="n">
        <x:f>IF(C244="","",IFERROR(IF(AND(AC244&gt;=0,D244&gt;=AC244+INDEX('Facilities'!$AK$9:$AK$108,MATCH(C244,'Facilities'!$C$9:$C$108,0))),(H244+L244)*AM244,0),"Unavailable"))</x:f>
        <x:v>0</x:v>
      </x:c>
      <x:c r="N244" s="23" t="n">
        <x:f>IF(C244="","",IFERROR(IF(AND(AC244&gt;=0,D244&gt;=AC244+INDEX('Facilities'!$AK$9:$AK$108,MATCH(C244,'Facilities'!$C$9:$C$108,0))),H244+L244-M244,0),"Unavailable"))</x:f>
        <x:v>0</x:v>
      </x:c>
      <x:c r="O244" s="21" t="n">
        <x:f>IF(C244="","",IFERROR(MAX(0,G244+J244-K244-L244),"Unavailable"))</x:f>
        <x:v>9.248259599999999</x:v>
      </x:c>
      <x:c r="P244" s="21" t="n">
        <x:f>IF(C244="","",IFERROR(MAX(0,H244+L244-M244-N244),"Unavailable"))</x:f>
        <x:v>0</x:v>
      </x:c>
      <x:c r="Q244" s="23" t="n">
        <x:f>IF(C244="","",IFERROR(IF(OR(D244&gt;=INDEX('Facilities'!$J$9:$J$108,MATCH(C244,'Facilities'!$C$9:$C$108,0)),AND(AC244&gt;=0,AC244&lt;=D244)),0,MAX(0,I244-J244)),"Unavailable"))</x:f>
        <x:v>1.11435</x:v>
      </x:c>
      <x:c r="R244" s="30" t="n">
        <x:f>IF(C244="","",IFERROR(INDEX(Credit!$Q$209:$Q$308,MATCH(F244,Credit!$C$209:$C$308,0)),"Unavailable"))</x:f>
        <x:v>0.08706912408408475</x:v>
      </x:c>
      <x:c r="S244" s="30" t="n">
        <x:f>IF(C244="","",IFERROR(INDEX(Credit!$R$209:$R$308,MATCH(F244,Credit!$C$209:$C$308,0)),"Unavailable"))</x:f>
        <x:v>0.40349440000000003</x:v>
      </x:c>
      <x:c r="T244" s="23" t="n">
        <x:f>IF(C244="","",IFERROR(IF(P244&gt;0,3,IF(OR(INDEX('Facilities'!$AD$9:$AD$108,MATCH(C244,'Facilities'!$C$9:$C$108,0))=2,AND(R244&gt;=INDEX('Facilities'!$L$9:$L$108,MATCH(C244,'Facilities'!$C$9:$C$108,0))*Settings!$F$19,R244-INDEX('Facilities'!$L$9:$L$108,MATCH(C244,'Facilities'!$C$9:$C$108,0))&gt;=Settings!$F$20)),2,1)),"Unavailable"))</x:f>
        <x:v>2</x:v>
      </x:c>
      <x:c r="U244" s="23" t="n">
        <x:f>IF(C244="","",IF(AQ244&lt;&gt;"Ready","Unavailable",IF(C244="","",O244*(1-(1-S244)/(1+INDEX('Facilities'!$K$9:$K$108,MATCH(C244,'Facilities'!$C$9:$C$108,0)))^INDEX('Facilities'!$AK$9:$AK$108,MATCH(C244,'Facilities'!$C$9:$C$108,0)))*R244/(1+INDEX('Facilities'!$K$9:$K$108,MATCH(C244,'Facilities'!$C$9:$C$108,0)))*IF(ABS(1-(1-R244)*(1-INDEX('Facilities'!$R$9:$R$108,MATCH(C244,'Facilities'!$C$9:$C$108,0)))/(1+INDEX('Facilities'!$K$9:$K$108,MATCH(C244,'Facilities'!$C$9:$C$108,0))))&lt;0.000000001,IF(T244=1,MIN(1,AJ244),AJ244),(1-((1-R244)*(1-INDEX('Facilities'!$R$9:$R$108,MATCH(C244,'Facilities'!$C$9:$C$108,0)))/(1+INDEX('Facilities'!$K$9:$K$108,MATCH(C244,'Facilities'!$C$9:$C$108,0))))^IF(T244=1,MIN(1,AJ244),AJ244))/(1-(1-R244)*(1-INDEX('Facilities'!$R$9:$R$108,MATCH(C244,'Facilities'!$C$9:$C$108,0)))/(1+INDEX('Facilities'!$K$9:$K$108,MATCH(C244,'Facilities'!$C$9:$C$108,0)))))+AL244)))</x:f>
        <x:v>1.0983393209797883</x:v>
      </x:c>
      <x:c r="V244" s="23" t="n">
        <x:f>IF(C244="","",IF(AQ244&lt;&gt;"Ready","Unavailable",IF(C244="","",Q244*INDEX('Facilities'!$I$9:$I$108,MATCH(C244,'Facilities'!$C$9:$C$108,0))*(1-(1-S244)/(1+INDEX('Facilities'!$K$9:$K$108,MATCH(C244,'Facilities'!$C$9:$C$108,0)))^INDEX('Facilities'!$AK$9:$AK$108,MATCH(C244,'Facilities'!$C$9:$C$108,0)))*R244/(1+INDEX('Facilities'!$K$9:$K$108,MATCH(C244,'Facilities'!$C$9:$C$108,0)))*IF(ABS(1-(1-R244)*(1-0)/(1+INDEX('Facilities'!$K$9:$K$108,MATCH(C244,'Facilities'!$C$9:$C$108,0))))&lt;0.000000001,IF(T244=1,MIN(1,AJ244),AJ244),(1-((1-R244)*(1-0)/(1+INDEX('Facilities'!$K$9:$K$108,MATCH(C244,'Facilities'!$C$9:$C$108,0))))^IF(T244=1,MIN(1,AJ244),AJ244))/(1-(1-R244)*(1-0)/(1+INDEX('Facilities'!$K$9:$K$108,MATCH(C244,'Facilities'!$C$9:$C$108,0))))))))</x:f>
        <x:v>0.08064337615981758</x:v>
      </x:c>
      <x:c r="W244" s="21" t="n">
        <x:f>IF(C244="","",IFERROR(U144,"Unavailable"))</x:f>
        <x:v>0.2533854336066073</x:v>
      </x:c>
      <x:c r="X244" s="21" t="n">
        <x:f>IF(C244="","",IFERROR(V144,"Unavailable"))</x:f>
        <x:v>0.01614771957482958</x:v>
      </x:c>
      <x:c r="Y244" s="21" t="n">
        <x:f>IF(C244="","",IF(AQ244&lt;&gt;"Ready","Unavailable",IF(C244="","",U244-W244+V244-X244+N244+AG244)))</x:f>
        <x:v>0.9094495439581689</x:v>
      </x:c>
      <x:c r="Z244" s="23" t="n">
        <x:f>IF(C244="","",IF(AQ244&lt;&gt;"Ready","Unavailable",IF(C244="","",(G244+O244+L244)/2*INDEX('Facilities'!$T$9:$T$108,MATCH(C244,'Facilities'!$C$9:$C$108,0))+AG244)))</x:f>
        <x:v>0.9278735309999999</x:v>
      </x:c>
      <x:c r="AA244" s="23" t="n">
        <x:f>IF(C244="","",IF(AQ244&lt;&gt;"Ready","Unavailable",IF(C244="","",O244*(1-IF(INDEX('Facilities'!$AA$9:$AA$108,MATCH(C244,'Facilities'!$C$9:$C$108,0))=0,0,MIN(1,INDEX('Facilities'!$X$9:$X$108,MATCH(C244,'Facilities'!$C$9:$C$108,0))/INDEX('Facilities'!$AA$9:$AA$108,MATCH(C244,'Facilities'!$C$9:$C$108,0)))))*AF244+P244*(1-IF(INDEX('Facilities'!$AA$9:$AA$108,MATCH(C244,'Facilities'!$C$9:$C$108,0))=0,0,MIN(1,INDEX('Facilities'!$X$9:$X$108,MATCH(C244,'Facilities'!$C$9:$C$108,0))/INDEX('Facilities'!$AA$9:$AA$108,MATCH(C244,'Facilities'!$C$9:$C$108,0)))))*INDEX('Facilities'!$AJ$9:$AJ$108,MATCH(C244,'Facilities'!$C$9:$C$108,0))+Q244*INDEX('Facilities'!$AI$9:$AI$108,MATCH(C244,'Facilities'!$C$9:$C$108,0))*AF244)))</x:f>
        <x:v>11.393631692927999</x:v>
      </x:c>
      <x:c r="AB244" s="21" t="n">
        <x:f>IF(C244="","",O244+P244-AD244)</x:f>
        <x:v>-1.0376604</x:v>
      </x:c>
      <x:c r="AC244" s="23" t="n">
        <x:f>IF(C244="","",IFERROR(IF(INDEX('Facilities'!$AD$9:$AD$108,MATCH(C244,'Facilities'!$C$9:$C$108,0))=3,0,IF(INDEX('Facilities'!$AN$9:$AN$108,MATCH(C244,'Facilities'!$C$9:$C$108,0))=0,-1,INDEX('Facilities'!$AN$9:$AN$108,MATCH(C244,'Facilities'!$C$9:$C$108,0)))),"Unavailable"))</x:f>
        <x:v>-1</x:v>
      </x:c>
      <x:c r="AD244" s="21" t="n">
        <x:f>IF(C244="","",IFERROR(G244+H244,"Unavailable"))</x:f>
        <x:v>10.285919999999999</x:v>
      </x:c>
      <x:c r="AE244" s="21" t="n">
        <x:f>IF(C244="","",IF(AQ244&lt;&gt;"Ready","Unavailable",IF(C244="","",O244+P244-AD244-J244+K244+M244+N244)))</x:f>
        <x:v>-2.220446049250313e-16</x:v>
      </x:c>
      <x:c r="AF244" s="30" t="n">
        <x:f>IF(C244="","",IFERROR(INDEX('Facilities'!$S$9:$S$108,MATCH(C244,'Facilities'!$C$9:$C$108,0))*'Scenario Paths'!H75,"Unavailable"))</x:f>
        <x:v>1.2</x:v>
      </x:c>
      <x:c r="AG244" s="23" t="n">
        <x:f>IF(C244="","",IF(AQ244&lt;&gt;"Ready","Unavailable",IF(C244="","",IF(H244&gt;0,MAX(0,H244-AK244)*((1+INDEX('Facilities'!$K$9:$K$108,MATCH(C244,'Facilities'!$C$9:$C$108,0)))^MIN(1,MAX(0,AC244+INDEX('Facilities'!$AK$9:$AK$108,MATCH(C244,'Facilities'!$C$9:$C$108,0))-D244+1))-1),0))))</x:f>
        <x:v>0</x:v>
      </x:c>
      <x:c r="AH244" s="21" t="n">
        <x:f>IF(C244="","",IF(AQ244&lt;&gt;"Ready","Unavailable",IF(C244="","",O244+P244)))</x:f>
        <x:v>9.248259599999999</x:v>
      </x:c>
      <x:c r="AI244" s="21" t="n">
        <x:f>IF(C244="","",IF(AQ244&lt;&gt;"Ready","Unavailable",IF(C244="","",Z244-Y244)))</x:f>
        <x:v>0.018423987041831014</x:v>
      </x:c>
      <x:c r="AJ244" s="23" t="n">
        <x:f>IF(C244="","",IFERROR(MAX(0,INDEX('Facilities'!$J$9:$J$108,MATCH(C244,'Facilities'!$C$9:$C$108,0))-D244),"Unavailable"))</x:f>
        <x:v>5</x:v>
      </x:c>
      <x:c r="AK244" s="21" t="n">
        <x:f>IF(C244="","",IFERROR(AL144,"Unavailable"))</x:f>
        <x:v>0</x:v>
      </x:c>
      <x:c r="AL244" s="23" t="n">
        <x:f>IF(C244="","",IFERROR(IF(P244&gt;0,P244*(1-AM244/(1+INDEX('Facilities'!$K$9:$K$108,MATCH(C244,'Facilities'!$C$9:$C$108,0)))^MAX(0,AC244+INDEX('Facilities'!$AK$9:$AK$108,MATCH(C244,'Facilities'!$C$9:$C$108,0))-D244)),0),"Unavailable"))</x:f>
        <x:v>0</x:v>
      </x:c>
      <x:c r="AM244" s="30" t="n">
        <x:f>IF(C244="","",IFERROR(INDEX('Facilities'!$AL$9:$AL$108,MATCH(C244,'Facilities'!$C$9:$C$108,0)),"Unavailable"))</x:f>
        <x:v>0.55</x:v>
      </x:c>
      <x:c r="AN244" s="30" t="n">
        <x:f>IF(C244="","",IFERROR(INDEX(Credit!$T$209:$T$308,MATCH(F244,Credit!$C$209:$C$308,0)),"Unavailable"))</x:f>
        <x:v>0.005824</x:v>
      </x:c>
      <x:c r="AO244" s="23" t="n">
        <x:f>IF(C244="","",IF(AQ244&lt;&gt;"Ready","Unavailable",IF(C244="","",O244+P244+Q244*INDEX('Facilities'!$I$9:$I$108,MATCH(C244,'Facilities'!$C$9:$C$108,0)))))</x:f>
        <x:v>9.805434599999998</x:v>
      </x:c>
      <x:c r="AP244" s="21" t="n">
        <x:f>IF(C244="","",IF(AQ244&lt;&gt;"Ready","Unavailable",IF(C244="","",AH244-U244)))</x:f>
        <x:v>8.149920279020211</x:v>
      </x:c>
      <x:c r="AQ244" s="23" t="str">
        <x:f>IFERROR(IF(C244="","",IF(AND(INDEX('Facilities'!$AF$9:$AF$108,MATCH(C244,'Facilities'!$C$9:$C$108,0))="Ready",INDEX(Credit!$U$209:$U$308,MATCH(F244,Credit!$C$209:$C$308,0))="Ready",ISNUMBER(W244)),"Ready","Review inputs")),"Review inputs")</x:f>
        <x:v>Ready</x:v>
      </x:c>
      <x:c r="AR244" s="23" t="n">
        <x:f>IF(C244="","",IF(AQ244&lt;&gt;"Ready","Unavailable",IF(C244="","",IF(O244=0,0,(IF(AJ244&lt;=1,O244,O244*INDEX('Facilities'!$R$9:$R$108,MATCH(C244,'Facilities'!$C$9:$C$108,0)))+O244*INDEX('Facilities'!$T$9:$T$108,MATCH(C244,'Facilities'!$C$9:$C$108,0)))/12))))</x:f>
        <x:v>0.16569798449999998</x:v>
      </x:c>
    </x:row>
    <x:row r="245" ht="26" customHeight="1">
      <x:c r="A245" s="1"/>
      <x:c r="B245" s="1"/>
      <x:c r="C245" s="9" t="str">
        <x:f>IF(Facilities!C45="","",Facilities!C45)</x:f>
      </x:c>
      <x:c r="D245" s="3" t="n">
        <x:v>3</x:v>
      </x:c>
      <x:c r="E245" s="9" t="n">
        <x:f>Settings!$F$18+2</x:f>
        <x:v>2029</x:v>
      </x:c>
      <x:c r="F245" s="9" t="str">
        <x:f>IF(C245="","",IFERROR(INDEX('Facilities'!$D$9:$D$108,MATCH(C245,'Facilities'!$C$9:$C$108,0)),"Unavailable"))</x:f>
      </x:c>
      <x:c r="G245" s="21" t="str">
        <x:f>IF(C245="","",IFERROR(O145,"Unavailable"))</x:f>
      </x:c>
      <x:c r="H245" s="21" t="str">
        <x:f>IF(C245="","",IFERROR(P145,"Unavailable"))</x:f>
      </x:c>
      <x:c r="I245" s="21" t="str">
        <x:f>IF(C245="","",IFERROR(Q145,"Unavailable"))</x:f>
      </x:c>
      <x:c r="J245" s="23" t="str">
        <x:f>IF(C245="","",IFERROR(IF(OR(H245&gt;0,AND(AC245&gt;=0,AC245&lt;D245),D245&gt;INDEX('Facilities'!$J$9:$J$108,MATCH(C245,'Facilities'!$C$9:$C$108,0))),0,I245*'Scenario Paths'!H81),"Unavailable"))</x:f>
      </x:c>
      <x:c r="K245" s="23" t="str">
        <x:f>IF(C245="","",IFERROR(IF(OR(H245&gt;0,AND(AC245&gt;=0,AC245=D245)),0,IF(D245&gt;=INDEX('Facilities'!$J$9:$J$108,MATCH(C245,'Facilities'!$C$9:$C$108,0)),G245+J245,MIN(G245+J245,G245*INDEX('Facilities'!$R$9:$R$108,MATCH(C245,'Facilities'!$C$9:$C$108,0))))),"Unavailable"))</x:f>
      </x:c>
      <x:c r="L245" s="21" t="str">
        <x:f>IF(C245="","",IFERROR(IF(AND(AC245=D245,AC245&gt;0),MAX(0,G245+J245-K245),0),"Unavailable"))</x:f>
      </x:c>
      <x:c r="M245" s="23" t="str">
        <x:f>IF(C245="","",IFERROR(IF(AND(AC245&gt;=0,D245&gt;=AC245+INDEX('Facilities'!$AK$9:$AK$108,MATCH(C245,'Facilities'!$C$9:$C$108,0))),(H245+L245)*AM245,0),"Unavailable"))</x:f>
      </x:c>
      <x:c r="N245" s="23" t="str">
        <x:f>IF(C245="","",IFERROR(IF(AND(AC245&gt;=0,D245&gt;=AC245+INDEX('Facilities'!$AK$9:$AK$108,MATCH(C245,'Facilities'!$C$9:$C$108,0))),H245+L245-M245,0),"Unavailable"))</x:f>
      </x:c>
      <x:c r="O245" s="21" t="str">
        <x:f>IF(C245="","",IFERROR(MAX(0,G245+J245-K245-L245),"Unavailable"))</x:f>
      </x:c>
      <x:c r="P245" s="21" t="str">
        <x:f>IF(C245="","",IFERROR(MAX(0,H245+L245-M245-N245),"Unavailable"))</x:f>
      </x:c>
      <x:c r="Q245" s="23" t="str">
        <x:f>IF(C245="","",IFERROR(IF(OR(D245&gt;=INDEX('Facilities'!$J$9:$J$108,MATCH(C245,'Facilities'!$C$9:$C$108,0)),AND(AC245&gt;=0,AC245&lt;=D245)),0,MAX(0,I245-J245)),"Unavailable"))</x:f>
      </x:c>
      <x:c r="R245" s="30" t="str">
        <x:f>IF(C245="","",IFERROR(INDEX(Credit!$Q$209:$Q$308,MATCH(F245,Credit!$C$209:$C$308,0)),"Unavailable"))</x:f>
      </x:c>
      <x:c r="S245" s="30" t="str">
        <x:f>IF(C245="","",IFERROR(INDEX(Credit!$R$209:$R$308,MATCH(F245,Credit!$C$209:$C$308,0)),"Unavailable"))</x:f>
      </x:c>
      <x:c r="T245" s="23" t="str">
        <x:f>IF(C245="","",IFERROR(IF(P245&gt;0,3,IF(OR(INDEX('Facilities'!$AD$9:$AD$108,MATCH(C245,'Facilities'!$C$9:$C$108,0))=2,AND(R245&gt;=INDEX('Facilities'!$L$9:$L$108,MATCH(C245,'Facilities'!$C$9:$C$108,0))*Settings!$F$19,R245-INDEX('Facilities'!$L$9:$L$108,MATCH(C245,'Facilities'!$C$9:$C$108,0))&gt;=Settings!$F$20)),2,1)),"Unavailable"))</x:f>
      </x:c>
      <x:c r="U245" s="23" t="str">
        <x:f>IF(C245="","",IF(AQ245&lt;&gt;"Ready","Unavailable",IF(C245="","",O245*(1-(1-S245)/(1+INDEX('Facilities'!$K$9:$K$108,MATCH(C245,'Facilities'!$C$9:$C$108,0)))^INDEX('Facilities'!$AK$9:$AK$108,MATCH(C245,'Facilities'!$C$9:$C$108,0)))*R245/(1+INDEX('Facilities'!$K$9:$K$108,MATCH(C245,'Facilities'!$C$9:$C$108,0)))*IF(ABS(1-(1-R245)*(1-INDEX('Facilities'!$R$9:$R$108,MATCH(C245,'Facilities'!$C$9:$C$108,0)))/(1+INDEX('Facilities'!$K$9:$K$108,MATCH(C245,'Facilities'!$C$9:$C$108,0))))&lt;0.000000001,IF(T245=1,MIN(1,AJ245),AJ245),(1-((1-R245)*(1-INDEX('Facilities'!$R$9:$R$108,MATCH(C245,'Facilities'!$C$9:$C$108,0)))/(1+INDEX('Facilities'!$K$9:$K$108,MATCH(C245,'Facilities'!$C$9:$C$108,0))))^IF(T245=1,MIN(1,AJ245),AJ245))/(1-(1-R245)*(1-INDEX('Facilities'!$R$9:$R$108,MATCH(C245,'Facilities'!$C$9:$C$108,0)))/(1+INDEX('Facilities'!$K$9:$K$108,MATCH(C245,'Facilities'!$C$9:$C$108,0)))))+AL245)))</x:f>
      </x:c>
      <x:c r="V245" s="23" t="str">
        <x:f>IF(C245="","",IF(AQ245&lt;&gt;"Ready","Unavailable",IF(C245="","",Q245*INDEX('Facilities'!$I$9:$I$108,MATCH(C245,'Facilities'!$C$9:$C$108,0))*(1-(1-S245)/(1+INDEX('Facilities'!$K$9:$K$108,MATCH(C245,'Facilities'!$C$9:$C$108,0)))^INDEX('Facilities'!$AK$9:$AK$108,MATCH(C245,'Facilities'!$C$9:$C$108,0)))*R245/(1+INDEX('Facilities'!$K$9:$K$108,MATCH(C245,'Facilities'!$C$9:$C$108,0)))*IF(ABS(1-(1-R245)*(1-0)/(1+INDEX('Facilities'!$K$9:$K$108,MATCH(C245,'Facilities'!$C$9:$C$108,0))))&lt;0.000000001,IF(T245=1,MIN(1,AJ245),AJ245),(1-((1-R245)*(1-0)/(1+INDEX('Facilities'!$K$9:$K$108,MATCH(C245,'Facilities'!$C$9:$C$108,0))))^IF(T245=1,MIN(1,AJ245),AJ245))/(1-(1-R245)*(1-0)/(1+INDEX('Facilities'!$K$9:$K$108,MATCH(C245,'Facilities'!$C$9:$C$108,0))))))))</x:f>
      </x:c>
      <x:c r="W245" s="21" t="str">
        <x:f>IF(C245="","",IFERROR(U145,"Unavailable"))</x:f>
      </x:c>
      <x:c r="X245" s="21" t="str">
        <x:f>IF(C245="","",IFERROR(V145,"Unavailable"))</x:f>
      </x:c>
      <x:c r="Y245" s="21" t="str">
        <x:f>IF(C245="","",IF(AQ245&lt;&gt;"Ready","Unavailable",IF(C245="","",U245-W245+V245-X245+N245+AG245)))</x:f>
      </x:c>
      <x:c r="Z245" s="23" t="str">
        <x:f>IF(C245="","",IF(AQ245&lt;&gt;"Ready","Unavailable",IF(C245="","",(G245+O245+L245)/2*INDEX('Facilities'!$T$9:$T$108,MATCH(C245,'Facilities'!$C$9:$C$108,0))+AG245)))</x:f>
      </x:c>
      <x:c r="AA245" s="23" t="str">
        <x:f>IF(C245="","",IF(AQ245&lt;&gt;"Ready","Unavailable",IF(C245="","",O245*(1-IF(INDEX('Facilities'!$AA$9:$AA$108,MATCH(C245,'Facilities'!$C$9:$C$108,0))=0,0,MIN(1,INDEX('Facilities'!$X$9:$X$108,MATCH(C245,'Facilities'!$C$9:$C$108,0))/INDEX('Facilities'!$AA$9:$AA$108,MATCH(C245,'Facilities'!$C$9:$C$108,0)))))*AF245+P245*(1-IF(INDEX('Facilities'!$AA$9:$AA$108,MATCH(C245,'Facilities'!$C$9:$C$108,0))=0,0,MIN(1,INDEX('Facilities'!$X$9:$X$108,MATCH(C245,'Facilities'!$C$9:$C$108,0))/INDEX('Facilities'!$AA$9:$AA$108,MATCH(C245,'Facilities'!$C$9:$C$108,0)))))*INDEX('Facilities'!$AJ$9:$AJ$108,MATCH(C245,'Facilities'!$C$9:$C$108,0))+Q245*INDEX('Facilities'!$AI$9:$AI$108,MATCH(C245,'Facilities'!$C$9:$C$108,0))*AF245)))</x:f>
      </x:c>
      <x:c r="AB245" s="21" t="str">
        <x:f>IF(C245="","",O245+P245-AD245)</x:f>
      </x:c>
      <x:c r="AC245" s="23" t="str">
        <x:f>IF(C245="","",IFERROR(IF(INDEX('Facilities'!$AD$9:$AD$108,MATCH(C245,'Facilities'!$C$9:$C$108,0))=3,0,IF(INDEX('Facilities'!$AN$9:$AN$108,MATCH(C245,'Facilities'!$C$9:$C$108,0))=0,-1,INDEX('Facilities'!$AN$9:$AN$108,MATCH(C245,'Facilities'!$C$9:$C$108,0)))),"Unavailable"))</x:f>
      </x:c>
      <x:c r="AD245" s="21" t="str">
        <x:f>IF(C245="","",IFERROR(G245+H245,"Unavailable"))</x:f>
      </x:c>
      <x:c r="AE245" s="21" t="str">
        <x:f>IF(C245="","",IF(AQ245&lt;&gt;"Ready","Unavailable",IF(C245="","",O245+P245-AD245-J245+K245+M245+N245)))</x:f>
      </x:c>
      <x:c r="AF245" s="30" t="str">
        <x:f>IF(C245="","",IFERROR(INDEX('Facilities'!$S$9:$S$108,MATCH(C245,'Facilities'!$C$9:$C$108,0))*'Scenario Paths'!H75,"Unavailable"))</x:f>
      </x:c>
      <x:c r="AG245" s="23" t="str">
        <x:f>IF(C245="","",IF(AQ245&lt;&gt;"Ready","Unavailable",IF(C245="","",IF(H245&gt;0,MAX(0,H245-AK245)*((1+INDEX('Facilities'!$K$9:$K$108,MATCH(C245,'Facilities'!$C$9:$C$108,0)))^MIN(1,MAX(0,AC245+INDEX('Facilities'!$AK$9:$AK$108,MATCH(C245,'Facilities'!$C$9:$C$108,0))-D245+1))-1),0))))</x:f>
      </x:c>
      <x:c r="AH245" s="21" t="str">
        <x:f>IF(C245="","",IF(AQ245&lt;&gt;"Ready","Unavailable",IF(C245="","",O245+P245)))</x:f>
      </x:c>
      <x:c r="AI245" s="21" t="str">
        <x:f>IF(C245="","",IF(AQ245&lt;&gt;"Ready","Unavailable",IF(C245="","",Z245-Y245)))</x:f>
      </x:c>
      <x:c r="AJ245" s="23" t="str">
        <x:f>IF(C245="","",IFERROR(MAX(0,INDEX('Facilities'!$J$9:$J$108,MATCH(C245,'Facilities'!$C$9:$C$108,0))-D245),"Unavailable"))</x:f>
      </x:c>
      <x:c r="AK245" s="21" t="str">
        <x:f>IF(C245="","",IFERROR(AL145,"Unavailable"))</x:f>
      </x:c>
      <x:c r="AL245" s="23" t="str">
        <x:f>IF(C245="","",IFERROR(IF(P245&gt;0,P245*(1-AM245/(1+INDEX('Facilities'!$K$9:$K$108,MATCH(C245,'Facilities'!$C$9:$C$108,0)))^MAX(0,AC245+INDEX('Facilities'!$AK$9:$AK$108,MATCH(C245,'Facilities'!$C$9:$C$108,0))-D245)),0),"Unavailable"))</x:f>
      </x:c>
      <x:c r="AM245" s="30" t="str">
        <x:f>IF(C245="","",IFERROR(INDEX('Facilities'!$AL$9:$AL$108,MATCH(C245,'Facilities'!$C$9:$C$108,0)),"Unavailable"))</x:f>
      </x:c>
      <x:c r="AN245" s="30" t="str">
        <x:f>IF(C245="","",IFERROR(INDEX(Credit!$T$209:$T$308,MATCH(F245,Credit!$C$209:$C$308,0)),"Unavailable"))</x:f>
      </x:c>
      <x:c r="AO245" s="23" t="str">
        <x:f>IF(C245="","",IF(AQ245&lt;&gt;"Ready","Unavailable",IF(C245="","",O245+P245+Q245*INDEX('Facilities'!$I$9:$I$108,MATCH(C245,'Facilities'!$C$9:$C$108,0)))))</x:f>
      </x:c>
      <x:c r="AP245" s="21" t="str">
        <x:f>IF(C245="","",IF(AQ245&lt;&gt;"Ready","Unavailable",IF(C245="","",AH245-U245)))</x:f>
      </x:c>
      <x:c r="AQ245" s="23" t="str">
        <x:f>IFERROR(IF(C245="","",IF(AND(INDEX('Facilities'!$AF$9:$AF$108,MATCH(C245,'Facilities'!$C$9:$C$108,0))="Ready",INDEX(Credit!$U$209:$U$308,MATCH(F245,Credit!$C$209:$C$308,0))="Ready",ISNUMBER(W245)),"Ready","Review inputs")),"Review inputs")</x:f>
      </x:c>
      <x:c r="AR245" s="23" t="str">
        <x:f>IF(C245="","",IF(AQ245&lt;&gt;"Ready","Unavailable",IF(C245="","",IF(O245=0,0,(IF(AJ245&lt;=1,O245,O245*INDEX('Facilities'!$R$9:$R$108,MATCH(C245,'Facilities'!$C$9:$C$108,0)))+O245*INDEX('Facilities'!$T$9:$T$108,MATCH(C245,'Facilities'!$C$9:$C$108,0)))/12))))</x:f>
      </x:c>
    </x:row>
    <x:row r="246" ht="26" customHeight="1">
      <x:c r="A246" s="1"/>
      <x:c r="B246" s="1"/>
      <x:c r="C246" s="9" t="str">
        <x:f>IF(Facilities!C46="","",Facilities!C46)</x:f>
      </x:c>
      <x:c r="D246" s="3" t="n">
        <x:v>3</x:v>
      </x:c>
      <x:c r="E246" s="9" t="n">
        <x:f>Settings!$F$18+2</x:f>
        <x:v>2029</x:v>
      </x:c>
      <x:c r="F246" s="9" t="str">
        <x:f>IF(C246="","",IFERROR(INDEX('Facilities'!$D$9:$D$108,MATCH(C246,'Facilities'!$C$9:$C$108,0)),"Unavailable"))</x:f>
      </x:c>
      <x:c r="G246" s="21" t="str">
        <x:f>IF(C246="","",IFERROR(O146,"Unavailable"))</x:f>
      </x:c>
      <x:c r="H246" s="21" t="str">
        <x:f>IF(C246="","",IFERROR(P146,"Unavailable"))</x:f>
      </x:c>
      <x:c r="I246" s="21" t="str">
        <x:f>IF(C246="","",IFERROR(Q146,"Unavailable"))</x:f>
      </x:c>
      <x:c r="J246" s="23" t="str">
        <x:f>IF(C246="","",IFERROR(IF(OR(H246&gt;0,AND(AC246&gt;=0,AC246&lt;D246),D246&gt;INDEX('Facilities'!$J$9:$J$108,MATCH(C246,'Facilities'!$C$9:$C$108,0))),0,I246*'Scenario Paths'!H81),"Unavailable"))</x:f>
      </x:c>
      <x:c r="K246" s="23" t="str">
        <x:f>IF(C246="","",IFERROR(IF(OR(H246&gt;0,AND(AC246&gt;=0,AC246=D246)),0,IF(D246&gt;=INDEX('Facilities'!$J$9:$J$108,MATCH(C246,'Facilities'!$C$9:$C$108,0)),G246+J246,MIN(G246+J246,G246*INDEX('Facilities'!$R$9:$R$108,MATCH(C246,'Facilities'!$C$9:$C$108,0))))),"Unavailable"))</x:f>
      </x:c>
      <x:c r="L246" s="21" t="str">
        <x:f>IF(C246="","",IFERROR(IF(AND(AC246=D246,AC246&gt;0),MAX(0,G246+J246-K246),0),"Unavailable"))</x:f>
      </x:c>
      <x:c r="M246" s="23" t="str">
        <x:f>IF(C246="","",IFERROR(IF(AND(AC246&gt;=0,D246&gt;=AC246+INDEX('Facilities'!$AK$9:$AK$108,MATCH(C246,'Facilities'!$C$9:$C$108,0))),(H246+L246)*AM246,0),"Unavailable"))</x:f>
      </x:c>
      <x:c r="N246" s="23" t="str">
        <x:f>IF(C246="","",IFERROR(IF(AND(AC246&gt;=0,D246&gt;=AC246+INDEX('Facilities'!$AK$9:$AK$108,MATCH(C246,'Facilities'!$C$9:$C$108,0))),H246+L246-M246,0),"Unavailable"))</x:f>
      </x:c>
      <x:c r="O246" s="21" t="str">
        <x:f>IF(C246="","",IFERROR(MAX(0,G246+J246-K246-L246),"Unavailable"))</x:f>
      </x:c>
      <x:c r="P246" s="21" t="str">
        <x:f>IF(C246="","",IFERROR(MAX(0,H246+L246-M246-N246),"Unavailable"))</x:f>
      </x:c>
      <x:c r="Q246" s="23" t="str">
        <x:f>IF(C246="","",IFERROR(IF(OR(D246&gt;=INDEX('Facilities'!$J$9:$J$108,MATCH(C246,'Facilities'!$C$9:$C$108,0)),AND(AC246&gt;=0,AC246&lt;=D246)),0,MAX(0,I246-J246)),"Unavailable"))</x:f>
      </x:c>
      <x:c r="R246" s="30" t="str">
        <x:f>IF(C246="","",IFERROR(INDEX(Credit!$Q$209:$Q$308,MATCH(F246,Credit!$C$209:$C$308,0)),"Unavailable"))</x:f>
      </x:c>
      <x:c r="S246" s="30" t="str">
        <x:f>IF(C246="","",IFERROR(INDEX(Credit!$R$209:$R$308,MATCH(F246,Credit!$C$209:$C$308,0)),"Unavailable"))</x:f>
      </x:c>
      <x:c r="T246" s="23" t="str">
        <x:f>IF(C246="","",IFERROR(IF(P246&gt;0,3,IF(OR(INDEX('Facilities'!$AD$9:$AD$108,MATCH(C246,'Facilities'!$C$9:$C$108,0))=2,AND(R246&gt;=INDEX('Facilities'!$L$9:$L$108,MATCH(C246,'Facilities'!$C$9:$C$108,0))*Settings!$F$19,R246-INDEX('Facilities'!$L$9:$L$108,MATCH(C246,'Facilities'!$C$9:$C$108,0))&gt;=Settings!$F$20)),2,1)),"Unavailable"))</x:f>
      </x:c>
      <x:c r="U246" s="23" t="str">
        <x:f>IF(C246="","",IF(AQ246&lt;&gt;"Ready","Unavailable",IF(C246="","",O246*(1-(1-S246)/(1+INDEX('Facilities'!$K$9:$K$108,MATCH(C246,'Facilities'!$C$9:$C$108,0)))^INDEX('Facilities'!$AK$9:$AK$108,MATCH(C246,'Facilities'!$C$9:$C$108,0)))*R246/(1+INDEX('Facilities'!$K$9:$K$108,MATCH(C246,'Facilities'!$C$9:$C$108,0)))*IF(ABS(1-(1-R246)*(1-INDEX('Facilities'!$R$9:$R$108,MATCH(C246,'Facilities'!$C$9:$C$108,0)))/(1+INDEX('Facilities'!$K$9:$K$108,MATCH(C246,'Facilities'!$C$9:$C$108,0))))&lt;0.000000001,IF(T246=1,MIN(1,AJ246),AJ246),(1-((1-R246)*(1-INDEX('Facilities'!$R$9:$R$108,MATCH(C246,'Facilities'!$C$9:$C$108,0)))/(1+INDEX('Facilities'!$K$9:$K$108,MATCH(C246,'Facilities'!$C$9:$C$108,0))))^IF(T246=1,MIN(1,AJ246),AJ246))/(1-(1-R246)*(1-INDEX('Facilities'!$R$9:$R$108,MATCH(C246,'Facilities'!$C$9:$C$108,0)))/(1+INDEX('Facilities'!$K$9:$K$108,MATCH(C246,'Facilities'!$C$9:$C$108,0)))))+AL246)))</x:f>
      </x:c>
      <x:c r="V246" s="23" t="str">
        <x:f>IF(C246="","",IF(AQ246&lt;&gt;"Ready","Unavailable",IF(C246="","",Q246*INDEX('Facilities'!$I$9:$I$108,MATCH(C246,'Facilities'!$C$9:$C$108,0))*(1-(1-S246)/(1+INDEX('Facilities'!$K$9:$K$108,MATCH(C246,'Facilities'!$C$9:$C$108,0)))^INDEX('Facilities'!$AK$9:$AK$108,MATCH(C246,'Facilities'!$C$9:$C$108,0)))*R246/(1+INDEX('Facilities'!$K$9:$K$108,MATCH(C246,'Facilities'!$C$9:$C$108,0)))*IF(ABS(1-(1-R246)*(1-0)/(1+INDEX('Facilities'!$K$9:$K$108,MATCH(C246,'Facilities'!$C$9:$C$108,0))))&lt;0.000000001,IF(T246=1,MIN(1,AJ246),AJ246),(1-((1-R246)*(1-0)/(1+INDEX('Facilities'!$K$9:$K$108,MATCH(C246,'Facilities'!$C$9:$C$108,0))))^IF(T246=1,MIN(1,AJ246),AJ246))/(1-(1-R246)*(1-0)/(1+INDEX('Facilities'!$K$9:$K$108,MATCH(C246,'Facilities'!$C$9:$C$108,0))))))))</x:f>
      </x:c>
      <x:c r="W246" s="21" t="str">
        <x:f>IF(C246="","",IFERROR(U146,"Unavailable"))</x:f>
      </x:c>
      <x:c r="X246" s="21" t="str">
        <x:f>IF(C246="","",IFERROR(V146,"Unavailable"))</x:f>
      </x:c>
      <x:c r="Y246" s="21" t="str">
        <x:f>IF(C246="","",IF(AQ246&lt;&gt;"Ready","Unavailable",IF(C246="","",U246-W246+V246-X246+N246+AG246)))</x:f>
      </x:c>
      <x:c r="Z246" s="23" t="str">
        <x:f>IF(C246="","",IF(AQ246&lt;&gt;"Ready","Unavailable",IF(C246="","",(G246+O246+L246)/2*INDEX('Facilities'!$T$9:$T$108,MATCH(C246,'Facilities'!$C$9:$C$108,0))+AG246)))</x:f>
      </x:c>
      <x:c r="AA246" s="23" t="str">
        <x:f>IF(C246="","",IF(AQ246&lt;&gt;"Ready","Unavailable",IF(C246="","",O246*(1-IF(INDEX('Facilities'!$AA$9:$AA$108,MATCH(C246,'Facilities'!$C$9:$C$108,0))=0,0,MIN(1,INDEX('Facilities'!$X$9:$X$108,MATCH(C246,'Facilities'!$C$9:$C$108,0))/INDEX('Facilities'!$AA$9:$AA$108,MATCH(C246,'Facilities'!$C$9:$C$108,0)))))*AF246+P246*(1-IF(INDEX('Facilities'!$AA$9:$AA$108,MATCH(C246,'Facilities'!$C$9:$C$108,0))=0,0,MIN(1,INDEX('Facilities'!$X$9:$X$108,MATCH(C246,'Facilities'!$C$9:$C$108,0))/INDEX('Facilities'!$AA$9:$AA$108,MATCH(C246,'Facilities'!$C$9:$C$108,0)))))*INDEX('Facilities'!$AJ$9:$AJ$108,MATCH(C246,'Facilities'!$C$9:$C$108,0))+Q246*INDEX('Facilities'!$AI$9:$AI$108,MATCH(C246,'Facilities'!$C$9:$C$108,0))*AF246)))</x:f>
      </x:c>
      <x:c r="AB246" s="21" t="str">
        <x:f>IF(C246="","",O246+P246-AD246)</x:f>
      </x:c>
      <x:c r="AC246" s="23" t="str">
        <x:f>IF(C246="","",IFERROR(IF(INDEX('Facilities'!$AD$9:$AD$108,MATCH(C246,'Facilities'!$C$9:$C$108,0))=3,0,IF(INDEX('Facilities'!$AN$9:$AN$108,MATCH(C246,'Facilities'!$C$9:$C$108,0))=0,-1,INDEX('Facilities'!$AN$9:$AN$108,MATCH(C246,'Facilities'!$C$9:$C$108,0)))),"Unavailable"))</x:f>
      </x:c>
      <x:c r="AD246" s="21" t="str">
        <x:f>IF(C246="","",IFERROR(G246+H246,"Unavailable"))</x:f>
      </x:c>
      <x:c r="AE246" s="21" t="str">
        <x:f>IF(C246="","",IF(AQ246&lt;&gt;"Ready","Unavailable",IF(C246="","",O246+P246-AD246-J246+K246+M246+N246)))</x:f>
      </x:c>
      <x:c r="AF246" s="30" t="str">
        <x:f>IF(C246="","",IFERROR(INDEX('Facilities'!$S$9:$S$108,MATCH(C246,'Facilities'!$C$9:$C$108,0))*'Scenario Paths'!H75,"Unavailable"))</x:f>
      </x:c>
      <x:c r="AG246" s="23" t="str">
        <x:f>IF(C246="","",IF(AQ246&lt;&gt;"Ready","Unavailable",IF(C246="","",IF(H246&gt;0,MAX(0,H246-AK246)*((1+INDEX('Facilities'!$K$9:$K$108,MATCH(C246,'Facilities'!$C$9:$C$108,0)))^MIN(1,MAX(0,AC246+INDEX('Facilities'!$AK$9:$AK$108,MATCH(C246,'Facilities'!$C$9:$C$108,0))-D246+1))-1),0))))</x:f>
      </x:c>
      <x:c r="AH246" s="21" t="str">
        <x:f>IF(C246="","",IF(AQ246&lt;&gt;"Ready","Unavailable",IF(C246="","",O246+P246)))</x:f>
      </x:c>
      <x:c r="AI246" s="21" t="str">
        <x:f>IF(C246="","",IF(AQ246&lt;&gt;"Ready","Unavailable",IF(C246="","",Z246-Y246)))</x:f>
      </x:c>
      <x:c r="AJ246" s="23" t="str">
        <x:f>IF(C246="","",IFERROR(MAX(0,INDEX('Facilities'!$J$9:$J$108,MATCH(C246,'Facilities'!$C$9:$C$108,0))-D246),"Unavailable"))</x:f>
      </x:c>
      <x:c r="AK246" s="21" t="str">
        <x:f>IF(C246="","",IFERROR(AL146,"Unavailable"))</x:f>
      </x:c>
      <x:c r="AL246" s="23" t="str">
        <x:f>IF(C246="","",IFERROR(IF(P246&gt;0,P246*(1-AM246/(1+INDEX('Facilities'!$K$9:$K$108,MATCH(C246,'Facilities'!$C$9:$C$108,0)))^MAX(0,AC246+INDEX('Facilities'!$AK$9:$AK$108,MATCH(C246,'Facilities'!$C$9:$C$108,0))-D246)),0),"Unavailable"))</x:f>
      </x:c>
      <x:c r="AM246" s="30" t="str">
        <x:f>IF(C246="","",IFERROR(INDEX('Facilities'!$AL$9:$AL$108,MATCH(C246,'Facilities'!$C$9:$C$108,0)),"Unavailable"))</x:f>
      </x:c>
      <x:c r="AN246" s="30" t="str">
        <x:f>IF(C246="","",IFERROR(INDEX(Credit!$T$209:$T$308,MATCH(F246,Credit!$C$209:$C$308,0)),"Unavailable"))</x:f>
      </x:c>
      <x:c r="AO246" s="23" t="str">
        <x:f>IF(C246="","",IF(AQ246&lt;&gt;"Ready","Unavailable",IF(C246="","",O246+P246+Q246*INDEX('Facilities'!$I$9:$I$108,MATCH(C246,'Facilities'!$C$9:$C$108,0)))))</x:f>
      </x:c>
      <x:c r="AP246" s="21" t="str">
        <x:f>IF(C246="","",IF(AQ246&lt;&gt;"Ready","Unavailable",IF(C246="","",AH246-U246)))</x:f>
      </x:c>
      <x:c r="AQ246" s="23" t="str">
        <x:f>IFERROR(IF(C246="","",IF(AND(INDEX('Facilities'!$AF$9:$AF$108,MATCH(C246,'Facilities'!$C$9:$C$108,0))="Ready",INDEX(Credit!$U$209:$U$308,MATCH(F246,Credit!$C$209:$C$308,0))="Ready",ISNUMBER(W246)),"Ready","Review inputs")),"Review inputs")</x:f>
      </x:c>
      <x:c r="AR246" s="23" t="str">
        <x:f>IF(C246="","",IF(AQ246&lt;&gt;"Ready","Unavailable",IF(C246="","",IF(O246=0,0,(IF(AJ246&lt;=1,O246,O246*INDEX('Facilities'!$R$9:$R$108,MATCH(C246,'Facilities'!$C$9:$C$108,0)))+O246*INDEX('Facilities'!$T$9:$T$108,MATCH(C246,'Facilities'!$C$9:$C$108,0)))/12))))</x:f>
      </x:c>
    </x:row>
    <x:row r="247" ht="26" customHeight="1">
      <x:c r="A247" s="1"/>
      <x:c r="B247" s="1"/>
      <x:c r="C247" s="9" t="str">
        <x:f>IF(Facilities!C47="","",Facilities!C47)</x:f>
      </x:c>
      <x:c r="D247" s="3" t="n">
        <x:v>3</x:v>
      </x:c>
      <x:c r="E247" s="9" t="n">
        <x:f>Settings!$F$18+2</x:f>
        <x:v>2029</x:v>
      </x:c>
      <x:c r="F247" s="9" t="str">
        <x:f>IF(C247="","",IFERROR(INDEX('Facilities'!$D$9:$D$108,MATCH(C247,'Facilities'!$C$9:$C$108,0)),"Unavailable"))</x:f>
      </x:c>
      <x:c r="G247" s="21" t="str">
        <x:f>IF(C247="","",IFERROR(O147,"Unavailable"))</x:f>
      </x:c>
      <x:c r="H247" s="21" t="str">
        <x:f>IF(C247="","",IFERROR(P147,"Unavailable"))</x:f>
      </x:c>
      <x:c r="I247" s="21" t="str">
        <x:f>IF(C247="","",IFERROR(Q147,"Unavailable"))</x:f>
      </x:c>
      <x:c r="J247" s="23" t="str">
        <x:f>IF(C247="","",IFERROR(IF(OR(H247&gt;0,AND(AC247&gt;=0,AC247&lt;D247),D247&gt;INDEX('Facilities'!$J$9:$J$108,MATCH(C247,'Facilities'!$C$9:$C$108,0))),0,I247*'Scenario Paths'!H81),"Unavailable"))</x:f>
      </x:c>
      <x:c r="K247" s="23" t="str">
        <x:f>IF(C247="","",IFERROR(IF(OR(H247&gt;0,AND(AC247&gt;=0,AC247=D247)),0,IF(D247&gt;=INDEX('Facilities'!$J$9:$J$108,MATCH(C247,'Facilities'!$C$9:$C$108,0)),G247+J247,MIN(G247+J247,G247*INDEX('Facilities'!$R$9:$R$108,MATCH(C247,'Facilities'!$C$9:$C$108,0))))),"Unavailable"))</x:f>
      </x:c>
      <x:c r="L247" s="21" t="str">
        <x:f>IF(C247="","",IFERROR(IF(AND(AC247=D247,AC247&gt;0),MAX(0,G247+J247-K247),0),"Unavailable"))</x:f>
      </x:c>
      <x:c r="M247" s="23" t="str">
        <x:f>IF(C247="","",IFERROR(IF(AND(AC247&gt;=0,D247&gt;=AC247+INDEX('Facilities'!$AK$9:$AK$108,MATCH(C247,'Facilities'!$C$9:$C$108,0))),(H247+L247)*AM247,0),"Unavailable"))</x:f>
      </x:c>
      <x:c r="N247" s="23" t="str">
        <x:f>IF(C247="","",IFERROR(IF(AND(AC247&gt;=0,D247&gt;=AC247+INDEX('Facilities'!$AK$9:$AK$108,MATCH(C247,'Facilities'!$C$9:$C$108,0))),H247+L247-M247,0),"Unavailable"))</x:f>
      </x:c>
      <x:c r="O247" s="21" t="str">
        <x:f>IF(C247="","",IFERROR(MAX(0,G247+J247-K247-L247),"Unavailable"))</x:f>
      </x:c>
      <x:c r="P247" s="21" t="str">
        <x:f>IF(C247="","",IFERROR(MAX(0,H247+L247-M247-N247),"Unavailable"))</x:f>
      </x:c>
      <x:c r="Q247" s="23" t="str">
        <x:f>IF(C247="","",IFERROR(IF(OR(D247&gt;=INDEX('Facilities'!$J$9:$J$108,MATCH(C247,'Facilities'!$C$9:$C$108,0)),AND(AC247&gt;=0,AC247&lt;=D247)),0,MAX(0,I247-J247)),"Unavailable"))</x:f>
      </x:c>
      <x:c r="R247" s="30" t="str">
        <x:f>IF(C247="","",IFERROR(INDEX(Credit!$Q$209:$Q$308,MATCH(F247,Credit!$C$209:$C$308,0)),"Unavailable"))</x:f>
      </x:c>
      <x:c r="S247" s="30" t="str">
        <x:f>IF(C247="","",IFERROR(INDEX(Credit!$R$209:$R$308,MATCH(F247,Credit!$C$209:$C$308,0)),"Unavailable"))</x:f>
      </x:c>
      <x:c r="T247" s="23" t="str">
        <x:f>IF(C247="","",IFERROR(IF(P247&gt;0,3,IF(OR(INDEX('Facilities'!$AD$9:$AD$108,MATCH(C247,'Facilities'!$C$9:$C$108,0))=2,AND(R247&gt;=INDEX('Facilities'!$L$9:$L$108,MATCH(C247,'Facilities'!$C$9:$C$108,0))*Settings!$F$19,R247-INDEX('Facilities'!$L$9:$L$108,MATCH(C247,'Facilities'!$C$9:$C$108,0))&gt;=Settings!$F$20)),2,1)),"Unavailable"))</x:f>
      </x:c>
      <x:c r="U247" s="23" t="str">
        <x:f>IF(C247="","",IF(AQ247&lt;&gt;"Ready","Unavailable",IF(C247="","",O247*(1-(1-S247)/(1+INDEX('Facilities'!$K$9:$K$108,MATCH(C247,'Facilities'!$C$9:$C$108,0)))^INDEX('Facilities'!$AK$9:$AK$108,MATCH(C247,'Facilities'!$C$9:$C$108,0)))*R247/(1+INDEX('Facilities'!$K$9:$K$108,MATCH(C247,'Facilities'!$C$9:$C$108,0)))*IF(ABS(1-(1-R247)*(1-INDEX('Facilities'!$R$9:$R$108,MATCH(C247,'Facilities'!$C$9:$C$108,0)))/(1+INDEX('Facilities'!$K$9:$K$108,MATCH(C247,'Facilities'!$C$9:$C$108,0))))&lt;0.000000001,IF(T247=1,MIN(1,AJ247),AJ247),(1-((1-R247)*(1-INDEX('Facilities'!$R$9:$R$108,MATCH(C247,'Facilities'!$C$9:$C$108,0)))/(1+INDEX('Facilities'!$K$9:$K$108,MATCH(C247,'Facilities'!$C$9:$C$108,0))))^IF(T247=1,MIN(1,AJ247),AJ247))/(1-(1-R247)*(1-INDEX('Facilities'!$R$9:$R$108,MATCH(C247,'Facilities'!$C$9:$C$108,0)))/(1+INDEX('Facilities'!$K$9:$K$108,MATCH(C247,'Facilities'!$C$9:$C$108,0)))))+AL247)))</x:f>
      </x:c>
      <x:c r="V247" s="23" t="str">
        <x:f>IF(C247="","",IF(AQ247&lt;&gt;"Ready","Unavailable",IF(C247="","",Q247*INDEX('Facilities'!$I$9:$I$108,MATCH(C247,'Facilities'!$C$9:$C$108,0))*(1-(1-S247)/(1+INDEX('Facilities'!$K$9:$K$108,MATCH(C247,'Facilities'!$C$9:$C$108,0)))^INDEX('Facilities'!$AK$9:$AK$108,MATCH(C247,'Facilities'!$C$9:$C$108,0)))*R247/(1+INDEX('Facilities'!$K$9:$K$108,MATCH(C247,'Facilities'!$C$9:$C$108,0)))*IF(ABS(1-(1-R247)*(1-0)/(1+INDEX('Facilities'!$K$9:$K$108,MATCH(C247,'Facilities'!$C$9:$C$108,0))))&lt;0.000000001,IF(T247=1,MIN(1,AJ247),AJ247),(1-((1-R247)*(1-0)/(1+INDEX('Facilities'!$K$9:$K$108,MATCH(C247,'Facilities'!$C$9:$C$108,0))))^IF(T247=1,MIN(1,AJ247),AJ247))/(1-(1-R247)*(1-0)/(1+INDEX('Facilities'!$K$9:$K$108,MATCH(C247,'Facilities'!$C$9:$C$108,0))))))))</x:f>
      </x:c>
      <x:c r="W247" s="21" t="str">
        <x:f>IF(C247="","",IFERROR(U147,"Unavailable"))</x:f>
      </x:c>
      <x:c r="X247" s="21" t="str">
        <x:f>IF(C247="","",IFERROR(V147,"Unavailable"))</x:f>
      </x:c>
      <x:c r="Y247" s="21" t="str">
        <x:f>IF(C247="","",IF(AQ247&lt;&gt;"Ready","Unavailable",IF(C247="","",U247-W247+V247-X247+N247+AG247)))</x:f>
      </x:c>
      <x:c r="Z247" s="23" t="str">
        <x:f>IF(C247="","",IF(AQ247&lt;&gt;"Ready","Unavailable",IF(C247="","",(G247+O247+L247)/2*INDEX('Facilities'!$T$9:$T$108,MATCH(C247,'Facilities'!$C$9:$C$108,0))+AG247)))</x:f>
      </x:c>
      <x:c r="AA247" s="23" t="str">
        <x:f>IF(C247="","",IF(AQ247&lt;&gt;"Ready","Unavailable",IF(C247="","",O247*(1-IF(INDEX('Facilities'!$AA$9:$AA$108,MATCH(C247,'Facilities'!$C$9:$C$108,0))=0,0,MIN(1,INDEX('Facilities'!$X$9:$X$108,MATCH(C247,'Facilities'!$C$9:$C$108,0))/INDEX('Facilities'!$AA$9:$AA$108,MATCH(C247,'Facilities'!$C$9:$C$108,0)))))*AF247+P247*(1-IF(INDEX('Facilities'!$AA$9:$AA$108,MATCH(C247,'Facilities'!$C$9:$C$108,0))=0,0,MIN(1,INDEX('Facilities'!$X$9:$X$108,MATCH(C247,'Facilities'!$C$9:$C$108,0))/INDEX('Facilities'!$AA$9:$AA$108,MATCH(C247,'Facilities'!$C$9:$C$108,0)))))*INDEX('Facilities'!$AJ$9:$AJ$108,MATCH(C247,'Facilities'!$C$9:$C$108,0))+Q247*INDEX('Facilities'!$AI$9:$AI$108,MATCH(C247,'Facilities'!$C$9:$C$108,0))*AF247)))</x:f>
      </x:c>
      <x:c r="AB247" s="21" t="str">
        <x:f>IF(C247="","",O247+P247-AD247)</x:f>
      </x:c>
      <x:c r="AC247" s="23" t="str">
        <x:f>IF(C247="","",IFERROR(IF(INDEX('Facilities'!$AD$9:$AD$108,MATCH(C247,'Facilities'!$C$9:$C$108,0))=3,0,IF(INDEX('Facilities'!$AN$9:$AN$108,MATCH(C247,'Facilities'!$C$9:$C$108,0))=0,-1,INDEX('Facilities'!$AN$9:$AN$108,MATCH(C247,'Facilities'!$C$9:$C$108,0)))),"Unavailable"))</x:f>
      </x:c>
      <x:c r="AD247" s="21" t="str">
        <x:f>IF(C247="","",IFERROR(G247+H247,"Unavailable"))</x:f>
      </x:c>
      <x:c r="AE247" s="21" t="str">
        <x:f>IF(C247="","",IF(AQ247&lt;&gt;"Ready","Unavailable",IF(C247="","",O247+P247-AD247-J247+K247+M247+N247)))</x:f>
      </x:c>
      <x:c r="AF247" s="30" t="str">
        <x:f>IF(C247="","",IFERROR(INDEX('Facilities'!$S$9:$S$108,MATCH(C247,'Facilities'!$C$9:$C$108,0))*'Scenario Paths'!H75,"Unavailable"))</x:f>
      </x:c>
      <x:c r="AG247" s="23" t="str">
        <x:f>IF(C247="","",IF(AQ247&lt;&gt;"Ready","Unavailable",IF(C247="","",IF(H247&gt;0,MAX(0,H247-AK247)*((1+INDEX('Facilities'!$K$9:$K$108,MATCH(C247,'Facilities'!$C$9:$C$108,0)))^MIN(1,MAX(0,AC247+INDEX('Facilities'!$AK$9:$AK$108,MATCH(C247,'Facilities'!$C$9:$C$108,0))-D247+1))-1),0))))</x:f>
      </x:c>
      <x:c r="AH247" s="21" t="str">
        <x:f>IF(C247="","",IF(AQ247&lt;&gt;"Ready","Unavailable",IF(C247="","",O247+P247)))</x:f>
      </x:c>
      <x:c r="AI247" s="21" t="str">
        <x:f>IF(C247="","",IF(AQ247&lt;&gt;"Ready","Unavailable",IF(C247="","",Z247-Y247)))</x:f>
      </x:c>
      <x:c r="AJ247" s="23" t="str">
        <x:f>IF(C247="","",IFERROR(MAX(0,INDEX('Facilities'!$J$9:$J$108,MATCH(C247,'Facilities'!$C$9:$C$108,0))-D247),"Unavailable"))</x:f>
      </x:c>
      <x:c r="AK247" s="21" t="str">
        <x:f>IF(C247="","",IFERROR(AL147,"Unavailable"))</x:f>
      </x:c>
      <x:c r="AL247" s="23" t="str">
        <x:f>IF(C247="","",IFERROR(IF(P247&gt;0,P247*(1-AM247/(1+INDEX('Facilities'!$K$9:$K$108,MATCH(C247,'Facilities'!$C$9:$C$108,0)))^MAX(0,AC247+INDEX('Facilities'!$AK$9:$AK$108,MATCH(C247,'Facilities'!$C$9:$C$108,0))-D247)),0),"Unavailable"))</x:f>
      </x:c>
      <x:c r="AM247" s="30" t="str">
        <x:f>IF(C247="","",IFERROR(INDEX('Facilities'!$AL$9:$AL$108,MATCH(C247,'Facilities'!$C$9:$C$108,0)),"Unavailable"))</x:f>
      </x:c>
      <x:c r="AN247" s="30" t="str">
        <x:f>IF(C247="","",IFERROR(INDEX(Credit!$T$209:$T$308,MATCH(F247,Credit!$C$209:$C$308,0)),"Unavailable"))</x:f>
      </x:c>
      <x:c r="AO247" s="23" t="str">
        <x:f>IF(C247="","",IF(AQ247&lt;&gt;"Ready","Unavailable",IF(C247="","",O247+P247+Q247*INDEX('Facilities'!$I$9:$I$108,MATCH(C247,'Facilities'!$C$9:$C$108,0)))))</x:f>
      </x:c>
      <x:c r="AP247" s="21" t="str">
        <x:f>IF(C247="","",IF(AQ247&lt;&gt;"Ready","Unavailable",IF(C247="","",AH247-U247)))</x:f>
      </x:c>
      <x:c r="AQ247" s="23" t="str">
        <x:f>IFERROR(IF(C247="","",IF(AND(INDEX('Facilities'!$AF$9:$AF$108,MATCH(C247,'Facilities'!$C$9:$C$108,0))="Ready",INDEX(Credit!$U$209:$U$308,MATCH(F247,Credit!$C$209:$C$308,0))="Ready",ISNUMBER(W247)),"Ready","Review inputs")),"Review inputs")</x:f>
      </x:c>
      <x:c r="AR247" s="23" t="str">
        <x:f>IF(C247="","",IF(AQ247&lt;&gt;"Ready","Unavailable",IF(C247="","",IF(O247=0,0,(IF(AJ247&lt;=1,O247,O247*INDEX('Facilities'!$R$9:$R$108,MATCH(C247,'Facilities'!$C$9:$C$108,0)))+O247*INDEX('Facilities'!$T$9:$T$108,MATCH(C247,'Facilities'!$C$9:$C$108,0)))/12))))</x:f>
      </x:c>
    </x:row>
    <x:row r="248" ht="26" customHeight="1">
      <x:c r="A248" s="1"/>
      <x:c r="B248" s="1"/>
      <x:c r="C248" s="9" t="str">
        <x:f>IF(Facilities!C48="","",Facilities!C48)</x:f>
      </x:c>
      <x:c r="D248" s="3" t="n">
        <x:v>3</x:v>
      </x:c>
      <x:c r="E248" s="9" t="n">
        <x:f>Settings!$F$18+2</x:f>
        <x:v>2029</x:v>
      </x:c>
      <x:c r="F248" s="9" t="str">
        <x:f>IF(C248="","",IFERROR(INDEX('Facilities'!$D$9:$D$108,MATCH(C248,'Facilities'!$C$9:$C$108,0)),"Unavailable"))</x:f>
      </x:c>
      <x:c r="G248" s="21" t="str">
        <x:f>IF(C248="","",IFERROR(O148,"Unavailable"))</x:f>
      </x:c>
      <x:c r="H248" s="21" t="str">
        <x:f>IF(C248="","",IFERROR(P148,"Unavailable"))</x:f>
      </x:c>
      <x:c r="I248" s="21" t="str">
        <x:f>IF(C248="","",IFERROR(Q148,"Unavailable"))</x:f>
      </x:c>
      <x:c r="J248" s="23" t="str">
        <x:f>IF(C248="","",IFERROR(IF(OR(H248&gt;0,AND(AC248&gt;=0,AC248&lt;D248),D248&gt;INDEX('Facilities'!$J$9:$J$108,MATCH(C248,'Facilities'!$C$9:$C$108,0))),0,I248*'Scenario Paths'!H81),"Unavailable"))</x:f>
      </x:c>
      <x:c r="K248" s="23" t="str">
        <x:f>IF(C248="","",IFERROR(IF(OR(H248&gt;0,AND(AC248&gt;=0,AC248=D248)),0,IF(D248&gt;=INDEX('Facilities'!$J$9:$J$108,MATCH(C248,'Facilities'!$C$9:$C$108,0)),G248+J248,MIN(G248+J248,G248*INDEX('Facilities'!$R$9:$R$108,MATCH(C248,'Facilities'!$C$9:$C$108,0))))),"Unavailable"))</x:f>
      </x:c>
      <x:c r="L248" s="21" t="str">
        <x:f>IF(C248="","",IFERROR(IF(AND(AC248=D248,AC248&gt;0),MAX(0,G248+J248-K248),0),"Unavailable"))</x:f>
      </x:c>
      <x:c r="M248" s="23" t="str">
        <x:f>IF(C248="","",IFERROR(IF(AND(AC248&gt;=0,D248&gt;=AC248+INDEX('Facilities'!$AK$9:$AK$108,MATCH(C248,'Facilities'!$C$9:$C$108,0))),(H248+L248)*AM248,0),"Unavailable"))</x:f>
      </x:c>
      <x:c r="N248" s="23" t="str">
        <x:f>IF(C248="","",IFERROR(IF(AND(AC248&gt;=0,D248&gt;=AC248+INDEX('Facilities'!$AK$9:$AK$108,MATCH(C248,'Facilities'!$C$9:$C$108,0))),H248+L248-M248,0),"Unavailable"))</x:f>
      </x:c>
      <x:c r="O248" s="21" t="str">
        <x:f>IF(C248="","",IFERROR(MAX(0,G248+J248-K248-L248),"Unavailable"))</x:f>
      </x:c>
      <x:c r="P248" s="21" t="str">
        <x:f>IF(C248="","",IFERROR(MAX(0,H248+L248-M248-N248),"Unavailable"))</x:f>
      </x:c>
      <x:c r="Q248" s="23" t="str">
        <x:f>IF(C248="","",IFERROR(IF(OR(D248&gt;=INDEX('Facilities'!$J$9:$J$108,MATCH(C248,'Facilities'!$C$9:$C$108,0)),AND(AC248&gt;=0,AC248&lt;=D248)),0,MAX(0,I248-J248)),"Unavailable"))</x:f>
      </x:c>
      <x:c r="R248" s="30" t="str">
        <x:f>IF(C248="","",IFERROR(INDEX(Credit!$Q$209:$Q$308,MATCH(F248,Credit!$C$209:$C$308,0)),"Unavailable"))</x:f>
      </x:c>
      <x:c r="S248" s="30" t="str">
        <x:f>IF(C248="","",IFERROR(INDEX(Credit!$R$209:$R$308,MATCH(F248,Credit!$C$209:$C$308,0)),"Unavailable"))</x:f>
      </x:c>
      <x:c r="T248" s="23" t="str">
        <x:f>IF(C248="","",IFERROR(IF(P248&gt;0,3,IF(OR(INDEX('Facilities'!$AD$9:$AD$108,MATCH(C248,'Facilities'!$C$9:$C$108,0))=2,AND(R248&gt;=INDEX('Facilities'!$L$9:$L$108,MATCH(C248,'Facilities'!$C$9:$C$108,0))*Settings!$F$19,R248-INDEX('Facilities'!$L$9:$L$108,MATCH(C248,'Facilities'!$C$9:$C$108,0))&gt;=Settings!$F$20)),2,1)),"Unavailable"))</x:f>
      </x:c>
      <x:c r="U248" s="23" t="str">
        <x:f>IF(C248="","",IF(AQ248&lt;&gt;"Ready","Unavailable",IF(C248="","",O248*(1-(1-S248)/(1+INDEX('Facilities'!$K$9:$K$108,MATCH(C248,'Facilities'!$C$9:$C$108,0)))^INDEX('Facilities'!$AK$9:$AK$108,MATCH(C248,'Facilities'!$C$9:$C$108,0)))*R248/(1+INDEX('Facilities'!$K$9:$K$108,MATCH(C248,'Facilities'!$C$9:$C$108,0)))*IF(ABS(1-(1-R248)*(1-INDEX('Facilities'!$R$9:$R$108,MATCH(C248,'Facilities'!$C$9:$C$108,0)))/(1+INDEX('Facilities'!$K$9:$K$108,MATCH(C248,'Facilities'!$C$9:$C$108,0))))&lt;0.000000001,IF(T248=1,MIN(1,AJ248),AJ248),(1-((1-R248)*(1-INDEX('Facilities'!$R$9:$R$108,MATCH(C248,'Facilities'!$C$9:$C$108,0)))/(1+INDEX('Facilities'!$K$9:$K$108,MATCH(C248,'Facilities'!$C$9:$C$108,0))))^IF(T248=1,MIN(1,AJ248),AJ248))/(1-(1-R248)*(1-INDEX('Facilities'!$R$9:$R$108,MATCH(C248,'Facilities'!$C$9:$C$108,0)))/(1+INDEX('Facilities'!$K$9:$K$108,MATCH(C248,'Facilities'!$C$9:$C$108,0)))))+AL248)))</x:f>
      </x:c>
      <x:c r="V248" s="23" t="str">
        <x:f>IF(C248="","",IF(AQ248&lt;&gt;"Ready","Unavailable",IF(C248="","",Q248*INDEX('Facilities'!$I$9:$I$108,MATCH(C248,'Facilities'!$C$9:$C$108,0))*(1-(1-S248)/(1+INDEX('Facilities'!$K$9:$K$108,MATCH(C248,'Facilities'!$C$9:$C$108,0)))^INDEX('Facilities'!$AK$9:$AK$108,MATCH(C248,'Facilities'!$C$9:$C$108,0)))*R248/(1+INDEX('Facilities'!$K$9:$K$108,MATCH(C248,'Facilities'!$C$9:$C$108,0)))*IF(ABS(1-(1-R248)*(1-0)/(1+INDEX('Facilities'!$K$9:$K$108,MATCH(C248,'Facilities'!$C$9:$C$108,0))))&lt;0.000000001,IF(T248=1,MIN(1,AJ248),AJ248),(1-((1-R248)*(1-0)/(1+INDEX('Facilities'!$K$9:$K$108,MATCH(C248,'Facilities'!$C$9:$C$108,0))))^IF(T248=1,MIN(1,AJ248),AJ248))/(1-(1-R248)*(1-0)/(1+INDEX('Facilities'!$K$9:$K$108,MATCH(C248,'Facilities'!$C$9:$C$108,0))))))))</x:f>
      </x:c>
      <x:c r="W248" s="21" t="str">
        <x:f>IF(C248="","",IFERROR(U148,"Unavailable"))</x:f>
      </x:c>
      <x:c r="X248" s="21" t="str">
        <x:f>IF(C248="","",IFERROR(V148,"Unavailable"))</x:f>
      </x:c>
      <x:c r="Y248" s="21" t="str">
        <x:f>IF(C248="","",IF(AQ248&lt;&gt;"Ready","Unavailable",IF(C248="","",U248-W248+V248-X248+N248+AG248)))</x:f>
      </x:c>
      <x:c r="Z248" s="23" t="str">
        <x:f>IF(C248="","",IF(AQ248&lt;&gt;"Ready","Unavailable",IF(C248="","",(G248+O248+L248)/2*INDEX('Facilities'!$T$9:$T$108,MATCH(C248,'Facilities'!$C$9:$C$108,0))+AG248)))</x:f>
      </x:c>
      <x:c r="AA248" s="23" t="str">
        <x:f>IF(C248="","",IF(AQ248&lt;&gt;"Ready","Unavailable",IF(C248="","",O248*(1-IF(INDEX('Facilities'!$AA$9:$AA$108,MATCH(C248,'Facilities'!$C$9:$C$108,0))=0,0,MIN(1,INDEX('Facilities'!$X$9:$X$108,MATCH(C248,'Facilities'!$C$9:$C$108,0))/INDEX('Facilities'!$AA$9:$AA$108,MATCH(C248,'Facilities'!$C$9:$C$108,0)))))*AF248+P248*(1-IF(INDEX('Facilities'!$AA$9:$AA$108,MATCH(C248,'Facilities'!$C$9:$C$108,0))=0,0,MIN(1,INDEX('Facilities'!$X$9:$X$108,MATCH(C248,'Facilities'!$C$9:$C$108,0))/INDEX('Facilities'!$AA$9:$AA$108,MATCH(C248,'Facilities'!$C$9:$C$108,0)))))*INDEX('Facilities'!$AJ$9:$AJ$108,MATCH(C248,'Facilities'!$C$9:$C$108,0))+Q248*INDEX('Facilities'!$AI$9:$AI$108,MATCH(C248,'Facilities'!$C$9:$C$108,0))*AF248)))</x:f>
      </x:c>
      <x:c r="AB248" s="21" t="str">
        <x:f>IF(C248="","",O248+P248-AD248)</x:f>
      </x:c>
      <x:c r="AC248" s="23" t="str">
        <x:f>IF(C248="","",IFERROR(IF(INDEX('Facilities'!$AD$9:$AD$108,MATCH(C248,'Facilities'!$C$9:$C$108,0))=3,0,IF(INDEX('Facilities'!$AN$9:$AN$108,MATCH(C248,'Facilities'!$C$9:$C$108,0))=0,-1,INDEX('Facilities'!$AN$9:$AN$108,MATCH(C248,'Facilities'!$C$9:$C$108,0)))),"Unavailable"))</x:f>
      </x:c>
      <x:c r="AD248" s="21" t="str">
        <x:f>IF(C248="","",IFERROR(G248+H248,"Unavailable"))</x:f>
      </x:c>
      <x:c r="AE248" s="21" t="str">
        <x:f>IF(C248="","",IF(AQ248&lt;&gt;"Ready","Unavailable",IF(C248="","",O248+P248-AD248-J248+K248+M248+N248)))</x:f>
      </x:c>
      <x:c r="AF248" s="30" t="str">
        <x:f>IF(C248="","",IFERROR(INDEX('Facilities'!$S$9:$S$108,MATCH(C248,'Facilities'!$C$9:$C$108,0))*'Scenario Paths'!H75,"Unavailable"))</x:f>
      </x:c>
      <x:c r="AG248" s="23" t="str">
        <x:f>IF(C248="","",IF(AQ248&lt;&gt;"Ready","Unavailable",IF(C248="","",IF(H248&gt;0,MAX(0,H248-AK248)*((1+INDEX('Facilities'!$K$9:$K$108,MATCH(C248,'Facilities'!$C$9:$C$108,0)))^MIN(1,MAX(0,AC248+INDEX('Facilities'!$AK$9:$AK$108,MATCH(C248,'Facilities'!$C$9:$C$108,0))-D248+1))-1),0))))</x:f>
      </x:c>
      <x:c r="AH248" s="21" t="str">
        <x:f>IF(C248="","",IF(AQ248&lt;&gt;"Ready","Unavailable",IF(C248="","",O248+P248)))</x:f>
      </x:c>
      <x:c r="AI248" s="21" t="str">
        <x:f>IF(C248="","",IF(AQ248&lt;&gt;"Ready","Unavailable",IF(C248="","",Z248-Y248)))</x:f>
      </x:c>
      <x:c r="AJ248" s="23" t="str">
        <x:f>IF(C248="","",IFERROR(MAX(0,INDEX('Facilities'!$J$9:$J$108,MATCH(C248,'Facilities'!$C$9:$C$108,0))-D248),"Unavailable"))</x:f>
      </x:c>
      <x:c r="AK248" s="21" t="str">
        <x:f>IF(C248="","",IFERROR(AL148,"Unavailable"))</x:f>
      </x:c>
      <x:c r="AL248" s="23" t="str">
        <x:f>IF(C248="","",IFERROR(IF(P248&gt;0,P248*(1-AM248/(1+INDEX('Facilities'!$K$9:$K$108,MATCH(C248,'Facilities'!$C$9:$C$108,0)))^MAX(0,AC248+INDEX('Facilities'!$AK$9:$AK$108,MATCH(C248,'Facilities'!$C$9:$C$108,0))-D248)),0),"Unavailable"))</x:f>
      </x:c>
      <x:c r="AM248" s="30" t="str">
        <x:f>IF(C248="","",IFERROR(INDEX('Facilities'!$AL$9:$AL$108,MATCH(C248,'Facilities'!$C$9:$C$108,0)),"Unavailable"))</x:f>
      </x:c>
      <x:c r="AN248" s="30" t="str">
        <x:f>IF(C248="","",IFERROR(INDEX(Credit!$T$209:$T$308,MATCH(F248,Credit!$C$209:$C$308,0)),"Unavailable"))</x:f>
      </x:c>
      <x:c r="AO248" s="23" t="str">
        <x:f>IF(C248="","",IF(AQ248&lt;&gt;"Ready","Unavailable",IF(C248="","",O248+P248+Q248*INDEX('Facilities'!$I$9:$I$108,MATCH(C248,'Facilities'!$C$9:$C$108,0)))))</x:f>
      </x:c>
      <x:c r="AP248" s="21" t="str">
        <x:f>IF(C248="","",IF(AQ248&lt;&gt;"Ready","Unavailable",IF(C248="","",AH248-U248)))</x:f>
      </x:c>
      <x:c r="AQ248" s="23" t="str">
        <x:f>IFERROR(IF(C248="","",IF(AND(INDEX('Facilities'!$AF$9:$AF$108,MATCH(C248,'Facilities'!$C$9:$C$108,0))="Ready",INDEX(Credit!$U$209:$U$308,MATCH(F248,Credit!$C$209:$C$308,0))="Ready",ISNUMBER(W248)),"Ready","Review inputs")),"Review inputs")</x:f>
      </x:c>
      <x:c r="AR248" s="23" t="str">
        <x:f>IF(C248="","",IF(AQ248&lt;&gt;"Ready","Unavailable",IF(C248="","",IF(O248=0,0,(IF(AJ248&lt;=1,O248,O248*INDEX('Facilities'!$R$9:$R$108,MATCH(C248,'Facilities'!$C$9:$C$108,0)))+O248*INDEX('Facilities'!$T$9:$T$108,MATCH(C248,'Facilities'!$C$9:$C$108,0)))/12))))</x:f>
      </x:c>
    </x:row>
    <x:row r="249" ht="26" customHeight="1">
      <x:c r="A249" s="1"/>
      <x:c r="B249" s="1"/>
      <x:c r="C249" s="9" t="str">
        <x:f>IF(Facilities!C49="","",Facilities!C49)</x:f>
      </x:c>
      <x:c r="D249" s="3" t="n">
        <x:v>3</x:v>
      </x:c>
      <x:c r="E249" s="9" t="n">
        <x:f>Settings!$F$18+2</x:f>
        <x:v>2029</x:v>
      </x:c>
      <x:c r="F249" s="9" t="str">
        <x:f>IF(C249="","",IFERROR(INDEX('Facilities'!$D$9:$D$108,MATCH(C249,'Facilities'!$C$9:$C$108,0)),"Unavailable"))</x:f>
      </x:c>
      <x:c r="G249" s="21" t="str">
        <x:f>IF(C249="","",IFERROR(O149,"Unavailable"))</x:f>
      </x:c>
      <x:c r="H249" s="21" t="str">
        <x:f>IF(C249="","",IFERROR(P149,"Unavailable"))</x:f>
      </x:c>
      <x:c r="I249" s="21" t="str">
        <x:f>IF(C249="","",IFERROR(Q149,"Unavailable"))</x:f>
      </x:c>
      <x:c r="J249" s="23" t="str">
        <x:f>IF(C249="","",IFERROR(IF(OR(H249&gt;0,AND(AC249&gt;=0,AC249&lt;D249),D249&gt;INDEX('Facilities'!$J$9:$J$108,MATCH(C249,'Facilities'!$C$9:$C$108,0))),0,I249*'Scenario Paths'!H81),"Unavailable"))</x:f>
      </x:c>
      <x:c r="K249" s="23" t="str">
        <x:f>IF(C249="","",IFERROR(IF(OR(H249&gt;0,AND(AC249&gt;=0,AC249=D249)),0,IF(D249&gt;=INDEX('Facilities'!$J$9:$J$108,MATCH(C249,'Facilities'!$C$9:$C$108,0)),G249+J249,MIN(G249+J249,G249*INDEX('Facilities'!$R$9:$R$108,MATCH(C249,'Facilities'!$C$9:$C$108,0))))),"Unavailable"))</x:f>
      </x:c>
      <x:c r="L249" s="21" t="str">
        <x:f>IF(C249="","",IFERROR(IF(AND(AC249=D249,AC249&gt;0),MAX(0,G249+J249-K249),0),"Unavailable"))</x:f>
      </x:c>
      <x:c r="M249" s="23" t="str">
        <x:f>IF(C249="","",IFERROR(IF(AND(AC249&gt;=0,D249&gt;=AC249+INDEX('Facilities'!$AK$9:$AK$108,MATCH(C249,'Facilities'!$C$9:$C$108,0))),(H249+L249)*AM249,0),"Unavailable"))</x:f>
      </x:c>
      <x:c r="N249" s="23" t="str">
        <x:f>IF(C249="","",IFERROR(IF(AND(AC249&gt;=0,D249&gt;=AC249+INDEX('Facilities'!$AK$9:$AK$108,MATCH(C249,'Facilities'!$C$9:$C$108,0))),H249+L249-M249,0),"Unavailable"))</x:f>
      </x:c>
      <x:c r="O249" s="21" t="str">
        <x:f>IF(C249="","",IFERROR(MAX(0,G249+J249-K249-L249),"Unavailable"))</x:f>
      </x:c>
      <x:c r="P249" s="21" t="str">
        <x:f>IF(C249="","",IFERROR(MAX(0,H249+L249-M249-N249),"Unavailable"))</x:f>
      </x:c>
      <x:c r="Q249" s="23" t="str">
        <x:f>IF(C249="","",IFERROR(IF(OR(D249&gt;=INDEX('Facilities'!$J$9:$J$108,MATCH(C249,'Facilities'!$C$9:$C$108,0)),AND(AC249&gt;=0,AC249&lt;=D249)),0,MAX(0,I249-J249)),"Unavailable"))</x:f>
      </x:c>
      <x:c r="R249" s="30" t="str">
        <x:f>IF(C249="","",IFERROR(INDEX(Credit!$Q$209:$Q$308,MATCH(F249,Credit!$C$209:$C$308,0)),"Unavailable"))</x:f>
      </x:c>
      <x:c r="S249" s="30" t="str">
        <x:f>IF(C249="","",IFERROR(INDEX(Credit!$R$209:$R$308,MATCH(F249,Credit!$C$209:$C$308,0)),"Unavailable"))</x:f>
      </x:c>
      <x:c r="T249" s="23" t="str">
        <x:f>IF(C249="","",IFERROR(IF(P249&gt;0,3,IF(OR(INDEX('Facilities'!$AD$9:$AD$108,MATCH(C249,'Facilities'!$C$9:$C$108,0))=2,AND(R249&gt;=INDEX('Facilities'!$L$9:$L$108,MATCH(C249,'Facilities'!$C$9:$C$108,0))*Settings!$F$19,R249-INDEX('Facilities'!$L$9:$L$108,MATCH(C249,'Facilities'!$C$9:$C$108,0))&gt;=Settings!$F$20)),2,1)),"Unavailable"))</x:f>
      </x:c>
      <x:c r="U249" s="23" t="str">
        <x:f>IF(C249="","",IF(AQ249&lt;&gt;"Ready","Unavailable",IF(C249="","",O249*(1-(1-S249)/(1+INDEX('Facilities'!$K$9:$K$108,MATCH(C249,'Facilities'!$C$9:$C$108,0)))^INDEX('Facilities'!$AK$9:$AK$108,MATCH(C249,'Facilities'!$C$9:$C$108,0)))*R249/(1+INDEX('Facilities'!$K$9:$K$108,MATCH(C249,'Facilities'!$C$9:$C$108,0)))*IF(ABS(1-(1-R249)*(1-INDEX('Facilities'!$R$9:$R$108,MATCH(C249,'Facilities'!$C$9:$C$108,0)))/(1+INDEX('Facilities'!$K$9:$K$108,MATCH(C249,'Facilities'!$C$9:$C$108,0))))&lt;0.000000001,IF(T249=1,MIN(1,AJ249),AJ249),(1-((1-R249)*(1-INDEX('Facilities'!$R$9:$R$108,MATCH(C249,'Facilities'!$C$9:$C$108,0)))/(1+INDEX('Facilities'!$K$9:$K$108,MATCH(C249,'Facilities'!$C$9:$C$108,0))))^IF(T249=1,MIN(1,AJ249),AJ249))/(1-(1-R249)*(1-INDEX('Facilities'!$R$9:$R$108,MATCH(C249,'Facilities'!$C$9:$C$108,0)))/(1+INDEX('Facilities'!$K$9:$K$108,MATCH(C249,'Facilities'!$C$9:$C$108,0)))))+AL249)))</x:f>
      </x:c>
      <x:c r="V249" s="23" t="str">
        <x:f>IF(C249="","",IF(AQ249&lt;&gt;"Ready","Unavailable",IF(C249="","",Q249*INDEX('Facilities'!$I$9:$I$108,MATCH(C249,'Facilities'!$C$9:$C$108,0))*(1-(1-S249)/(1+INDEX('Facilities'!$K$9:$K$108,MATCH(C249,'Facilities'!$C$9:$C$108,0)))^INDEX('Facilities'!$AK$9:$AK$108,MATCH(C249,'Facilities'!$C$9:$C$108,0)))*R249/(1+INDEX('Facilities'!$K$9:$K$108,MATCH(C249,'Facilities'!$C$9:$C$108,0)))*IF(ABS(1-(1-R249)*(1-0)/(1+INDEX('Facilities'!$K$9:$K$108,MATCH(C249,'Facilities'!$C$9:$C$108,0))))&lt;0.000000001,IF(T249=1,MIN(1,AJ249),AJ249),(1-((1-R249)*(1-0)/(1+INDEX('Facilities'!$K$9:$K$108,MATCH(C249,'Facilities'!$C$9:$C$108,0))))^IF(T249=1,MIN(1,AJ249),AJ249))/(1-(1-R249)*(1-0)/(1+INDEX('Facilities'!$K$9:$K$108,MATCH(C249,'Facilities'!$C$9:$C$108,0))))))))</x:f>
      </x:c>
      <x:c r="W249" s="21" t="str">
        <x:f>IF(C249="","",IFERROR(U149,"Unavailable"))</x:f>
      </x:c>
      <x:c r="X249" s="21" t="str">
        <x:f>IF(C249="","",IFERROR(V149,"Unavailable"))</x:f>
      </x:c>
      <x:c r="Y249" s="21" t="str">
        <x:f>IF(C249="","",IF(AQ249&lt;&gt;"Ready","Unavailable",IF(C249="","",U249-W249+V249-X249+N249+AG249)))</x:f>
      </x:c>
      <x:c r="Z249" s="23" t="str">
        <x:f>IF(C249="","",IF(AQ249&lt;&gt;"Ready","Unavailable",IF(C249="","",(G249+O249+L249)/2*INDEX('Facilities'!$T$9:$T$108,MATCH(C249,'Facilities'!$C$9:$C$108,0))+AG249)))</x:f>
      </x:c>
      <x:c r="AA249" s="23" t="str">
        <x:f>IF(C249="","",IF(AQ249&lt;&gt;"Ready","Unavailable",IF(C249="","",O249*(1-IF(INDEX('Facilities'!$AA$9:$AA$108,MATCH(C249,'Facilities'!$C$9:$C$108,0))=0,0,MIN(1,INDEX('Facilities'!$X$9:$X$108,MATCH(C249,'Facilities'!$C$9:$C$108,0))/INDEX('Facilities'!$AA$9:$AA$108,MATCH(C249,'Facilities'!$C$9:$C$108,0)))))*AF249+P249*(1-IF(INDEX('Facilities'!$AA$9:$AA$108,MATCH(C249,'Facilities'!$C$9:$C$108,0))=0,0,MIN(1,INDEX('Facilities'!$X$9:$X$108,MATCH(C249,'Facilities'!$C$9:$C$108,0))/INDEX('Facilities'!$AA$9:$AA$108,MATCH(C249,'Facilities'!$C$9:$C$108,0)))))*INDEX('Facilities'!$AJ$9:$AJ$108,MATCH(C249,'Facilities'!$C$9:$C$108,0))+Q249*INDEX('Facilities'!$AI$9:$AI$108,MATCH(C249,'Facilities'!$C$9:$C$108,0))*AF249)))</x:f>
      </x:c>
      <x:c r="AB249" s="21" t="str">
        <x:f>IF(C249="","",O249+P249-AD249)</x:f>
      </x:c>
      <x:c r="AC249" s="23" t="str">
        <x:f>IF(C249="","",IFERROR(IF(INDEX('Facilities'!$AD$9:$AD$108,MATCH(C249,'Facilities'!$C$9:$C$108,0))=3,0,IF(INDEX('Facilities'!$AN$9:$AN$108,MATCH(C249,'Facilities'!$C$9:$C$108,0))=0,-1,INDEX('Facilities'!$AN$9:$AN$108,MATCH(C249,'Facilities'!$C$9:$C$108,0)))),"Unavailable"))</x:f>
      </x:c>
      <x:c r="AD249" s="21" t="str">
        <x:f>IF(C249="","",IFERROR(G249+H249,"Unavailable"))</x:f>
      </x:c>
      <x:c r="AE249" s="21" t="str">
        <x:f>IF(C249="","",IF(AQ249&lt;&gt;"Ready","Unavailable",IF(C249="","",O249+P249-AD249-J249+K249+M249+N249)))</x:f>
      </x:c>
      <x:c r="AF249" s="30" t="str">
        <x:f>IF(C249="","",IFERROR(INDEX('Facilities'!$S$9:$S$108,MATCH(C249,'Facilities'!$C$9:$C$108,0))*'Scenario Paths'!H75,"Unavailable"))</x:f>
      </x:c>
      <x:c r="AG249" s="23" t="str">
        <x:f>IF(C249="","",IF(AQ249&lt;&gt;"Ready","Unavailable",IF(C249="","",IF(H249&gt;0,MAX(0,H249-AK249)*((1+INDEX('Facilities'!$K$9:$K$108,MATCH(C249,'Facilities'!$C$9:$C$108,0)))^MIN(1,MAX(0,AC249+INDEX('Facilities'!$AK$9:$AK$108,MATCH(C249,'Facilities'!$C$9:$C$108,0))-D249+1))-1),0))))</x:f>
      </x:c>
      <x:c r="AH249" s="21" t="str">
        <x:f>IF(C249="","",IF(AQ249&lt;&gt;"Ready","Unavailable",IF(C249="","",O249+P249)))</x:f>
      </x:c>
      <x:c r="AI249" s="21" t="str">
        <x:f>IF(C249="","",IF(AQ249&lt;&gt;"Ready","Unavailable",IF(C249="","",Z249-Y249)))</x:f>
      </x:c>
      <x:c r="AJ249" s="23" t="str">
        <x:f>IF(C249="","",IFERROR(MAX(0,INDEX('Facilities'!$J$9:$J$108,MATCH(C249,'Facilities'!$C$9:$C$108,0))-D249),"Unavailable"))</x:f>
      </x:c>
      <x:c r="AK249" s="21" t="str">
        <x:f>IF(C249="","",IFERROR(AL149,"Unavailable"))</x:f>
      </x:c>
      <x:c r="AL249" s="23" t="str">
        <x:f>IF(C249="","",IFERROR(IF(P249&gt;0,P249*(1-AM249/(1+INDEX('Facilities'!$K$9:$K$108,MATCH(C249,'Facilities'!$C$9:$C$108,0)))^MAX(0,AC249+INDEX('Facilities'!$AK$9:$AK$108,MATCH(C249,'Facilities'!$C$9:$C$108,0))-D249)),0),"Unavailable"))</x:f>
      </x:c>
      <x:c r="AM249" s="30" t="str">
        <x:f>IF(C249="","",IFERROR(INDEX('Facilities'!$AL$9:$AL$108,MATCH(C249,'Facilities'!$C$9:$C$108,0)),"Unavailable"))</x:f>
      </x:c>
      <x:c r="AN249" s="30" t="str">
        <x:f>IF(C249="","",IFERROR(INDEX(Credit!$T$209:$T$308,MATCH(F249,Credit!$C$209:$C$308,0)),"Unavailable"))</x:f>
      </x:c>
      <x:c r="AO249" s="23" t="str">
        <x:f>IF(C249="","",IF(AQ249&lt;&gt;"Ready","Unavailable",IF(C249="","",O249+P249+Q249*INDEX('Facilities'!$I$9:$I$108,MATCH(C249,'Facilities'!$C$9:$C$108,0)))))</x:f>
      </x:c>
      <x:c r="AP249" s="21" t="str">
        <x:f>IF(C249="","",IF(AQ249&lt;&gt;"Ready","Unavailable",IF(C249="","",AH249-U249)))</x:f>
      </x:c>
      <x:c r="AQ249" s="23" t="str">
        <x:f>IFERROR(IF(C249="","",IF(AND(INDEX('Facilities'!$AF$9:$AF$108,MATCH(C249,'Facilities'!$C$9:$C$108,0))="Ready",INDEX(Credit!$U$209:$U$308,MATCH(F249,Credit!$C$209:$C$308,0))="Ready",ISNUMBER(W249)),"Ready","Review inputs")),"Review inputs")</x:f>
      </x:c>
      <x:c r="AR249" s="23" t="str">
        <x:f>IF(C249="","",IF(AQ249&lt;&gt;"Ready","Unavailable",IF(C249="","",IF(O249=0,0,(IF(AJ249&lt;=1,O249,O249*INDEX('Facilities'!$R$9:$R$108,MATCH(C249,'Facilities'!$C$9:$C$108,0)))+O249*INDEX('Facilities'!$T$9:$T$108,MATCH(C249,'Facilities'!$C$9:$C$108,0)))/12))))</x:f>
      </x:c>
    </x:row>
    <x:row r="250" ht="26" customHeight="1">
      <x:c r="A250" s="1"/>
      <x:c r="B250" s="1"/>
      <x:c r="C250" s="9" t="str">
        <x:f>IF(Facilities!C50="","",Facilities!C50)</x:f>
      </x:c>
      <x:c r="D250" s="3" t="n">
        <x:v>3</x:v>
      </x:c>
      <x:c r="E250" s="9" t="n">
        <x:f>Settings!$F$18+2</x:f>
        <x:v>2029</x:v>
      </x:c>
      <x:c r="F250" s="9" t="str">
        <x:f>IF(C250="","",IFERROR(INDEX('Facilities'!$D$9:$D$108,MATCH(C250,'Facilities'!$C$9:$C$108,0)),"Unavailable"))</x:f>
      </x:c>
      <x:c r="G250" s="21" t="str">
        <x:f>IF(C250="","",IFERROR(O150,"Unavailable"))</x:f>
      </x:c>
      <x:c r="H250" s="21" t="str">
        <x:f>IF(C250="","",IFERROR(P150,"Unavailable"))</x:f>
      </x:c>
      <x:c r="I250" s="21" t="str">
        <x:f>IF(C250="","",IFERROR(Q150,"Unavailable"))</x:f>
      </x:c>
      <x:c r="J250" s="23" t="str">
        <x:f>IF(C250="","",IFERROR(IF(OR(H250&gt;0,AND(AC250&gt;=0,AC250&lt;D250),D250&gt;INDEX('Facilities'!$J$9:$J$108,MATCH(C250,'Facilities'!$C$9:$C$108,0))),0,I250*'Scenario Paths'!H81),"Unavailable"))</x:f>
      </x:c>
      <x:c r="K250" s="23" t="str">
        <x:f>IF(C250="","",IFERROR(IF(OR(H250&gt;0,AND(AC250&gt;=0,AC250=D250)),0,IF(D250&gt;=INDEX('Facilities'!$J$9:$J$108,MATCH(C250,'Facilities'!$C$9:$C$108,0)),G250+J250,MIN(G250+J250,G250*INDEX('Facilities'!$R$9:$R$108,MATCH(C250,'Facilities'!$C$9:$C$108,0))))),"Unavailable"))</x:f>
      </x:c>
      <x:c r="L250" s="21" t="str">
        <x:f>IF(C250="","",IFERROR(IF(AND(AC250=D250,AC250&gt;0),MAX(0,G250+J250-K250),0),"Unavailable"))</x:f>
      </x:c>
      <x:c r="M250" s="23" t="str">
        <x:f>IF(C250="","",IFERROR(IF(AND(AC250&gt;=0,D250&gt;=AC250+INDEX('Facilities'!$AK$9:$AK$108,MATCH(C250,'Facilities'!$C$9:$C$108,0))),(H250+L250)*AM250,0),"Unavailable"))</x:f>
      </x:c>
      <x:c r="N250" s="23" t="str">
        <x:f>IF(C250="","",IFERROR(IF(AND(AC250&gt;=0,D250&gt;=AC250+INDEX('Facilities'!$AK$9:$AK$108,MATCH(C250,'Facilities'!$C$9:$C$108,0))),H250+L250-M250,0),"Unavailable"))</x:f>
      </x:c>
      <x:c r="O250" s="21" t="str">
        <x:f>IF(C250="","",IFERROR(MAX(0,G250+J250-K250-L250),"Unavailable"))</x:f>
      </x:c>
      <x:c r="P250" s="21" t="str">
        <x:f>IF(C250="","",IFERROR(MAX(0,H250+L250-M250-N250),"Unavailable"))</x:f>
      </x:c>
      <x:c r="Q250" s="23" t="str">
        <x:f>IF(C250="","",IFERROR(IF(OR(D250&gt;=INDEX('Facilities'!$J$9:$J$108,MATCH(C250,'Facilities'!$C$9:$C$108,0)),AND(AC250&gt;=0,AC250&lt;=D250)),0,MAX(0,I250-J250)),"Unavailable"))</x:f>
      </x:c>
      <x:c r="R250" s="30" t="str">
        <x:f>IF(C250="","",IFERROR(INDEX(Credit!$Q$209:$Q$308,MATCH(F250,Credit!$C$209:$C$308,0)),"Unavailable"))</x:f>
      </x:c>
      <x:c r="S250" s="30" t="str">
        <x:f>IF(C250="","",IFERROR(INDEX(Credit!$R$209:$R$308,MATCH(F250,Credit!$C$209:$C$308,0)),"Unavailable"))</x:f>
      </x:c>
      <x:c r="T250" s="23" t="str">
        <x:f>IF(C250="","",IFERROR(IF(P250&gt;0,3,IF(OR(INDEX('Facilities'!$AD$9:$AD$108,MATCH(C250,'Facilities'!$C$9:$C$108,0))=2,AND(R250&gt;=INDEX('Facilities'!$L$9:$L$108,MATCH(C250,'Facilities'!$C$9:$C$108,0))*Settings!$F$19,R250-INDEX('Facilities'!$L$9:$L$108,MATCH(C250,'Facilities'!$C$9:$C$108,0))&gt;=Settings!$F$20)),2,1)),"Unavailable"))</x:f>
      </x:c>
      <x:c r="U250" s="23" t="str">
        <x:f>IF(C250="","",IF(AQ250&lt;&gt;"Ready","Unavailable",IF(C250="","",O250*(1-(1-S250)/(1+INDEX('Facilities'!$K$9:$K$108,MATCH(C250,'Facilities'!$C$9:$C$108,0)))^INDEX('Facilities'!$AK$9:$AK$108,MATCH(C250,'Facilities'!$C$9:$C$108,0)))*R250/(1+INDEX('Facilities'!$K$9:$K$108,MATCH(C250,'Facilities'!$C$9:$C$108,0)))*IF(ABS(1-(1-R250)*(1-INDEX('Facilities'!$R$9:$R$108,MATCH(C250,'Facilities'!$C$9:$C$108,0)))/(1+INDEX('Facilities'!$K$9:$K$108,MATCH(C250,'Facilities'!$C$9:$C$108,0))))&lt;0.000000001,IF(T250=1,MIN(1,AJ250),AJ250),(1-((1-R250)*(1-INDEX('Facilities'!$R$9:$R$108,MATCH(C250,'Facilities'!$C$9:$C$108,0)))/(1+INDEX('Facilities'!$K$9:$K$108,MATCH(C250,'Facilities'!$C$9:$C$108,0))))^IF(T250=1,MIN(1,AJ250),AJ250))/(1-(1-R250)*(1-INDEX('Facilities'!$R$9:$R$108,MATCH(C250,'Facilities'!$C$9:$C$108,0)))/(1+INDEX('Facilities'!$K$9:$K$108,MATCH(C250,'Facilities'!$C$9:$C$108,0)))))+AL250)))</x:f>
      </x:c>
      <x:c r="V250" s="23" t="str">
        <x:f>IF(C250="","",IF(AQ250&lt;&gt;"Ready","Unavailable",IF(C250="","",Q250*INDEX('Facilities'!$I$9:$I$108,MATCH(C250,'Facilities'!$C$9:$C$108,0))*(1-(1-S250)/(1+INDEX('Facilities'!$K$9:$K$108,MATCH(C250,'Facilities'!$C$9:$C$108,0)))^INDEX('Facilities'!$AK$9:$AK$108,MATCH(C250,'Facilities'!$C$9:$C$108,0)))*R250/(1+INDEX('Facilities'!$K$9:$K$108,MATCH(C250,'Facilities'!$C$9:$C$108,0)))*IF(ABS(1-(1-R250)*(1-0)/(1+INDEX('Facilities'!$K$9:$K$108,MATCH(C250,'Facilities'!$C$9:$C$108,0))))&lt;0.000000001,IF(T250=1,MIN(1,AJ250),AJ250),(1-((1-R250)*(1-0)/(1+INDEX('Facilities'!$K$9:$K$108,MATCH(C250,'Facilities'!$C$9:$C$108,0))))^IF(T250=1,MIN(1,AJ250),AJ250))/(1-(1-R250)*(1-0)/(1+INDEX('Facilities'!$K$9:$K$108,MATCH(C250,'Facilities'!$C$9:$C$108,0))))))))</x:f>
      </x:c>
      <x:c r="W250" s="21" t="str">
        <x:f>IF(C250="","",IFERROR(U150,"Unavailable"))</x:f>
      </x:c>
      <x:c r="X250" s="21" t="str">
        <x:f>IF(C250="","",IFERROR(V150,"Unavailable"))</x:f>
      </x:c>
      <x:c r="Y250" s="21" t="str">
        <x:f>IF(C250="","",IF(AQ250&lt;&gt;"Ready","Unavailable",IF(C250="","",U250-W250+V250-X250+N250+AG250)))</x:f>
      </x:c>
      <x:c r="Z250" s="23" t="str">
        <x:f>IF(C250="","",IF(AQ250&lt;&gt;"Ready","Unavailable",IF(C250="","",(G250+O250+L250)/2*INDEX('Facilities'!$T$9:$T$108,MATCH(C250,'Facilities'!$C$9:$C$108,0))+AG250)))</x:f>
      </x:c>
      <x:c r="AA250" s="23" t="str">
        <x:f>IF(C250="","",IF(AQ250&lt;&gt;"Ready","Unavailable",IF(C250="","",O250*(1-IF(INDEX('Facilities'!$AA$9:$AA$108,MATCH(C250,'Facilities'!$C$9:$C$108,0))=0,0,MIN(1,INDEX('Facilities'!$X$9:$X$108,MATCH(C250,'Facilities'!$C$9:$C$108,0))/INDEX('Facilities'!$AA$9:$AA$108,MATCH(C250,'Facilities'!$C$9:$C$108,0)))))*AF250+P250*(1-IF(INDEX('Facilities'!$AA$9:$AA$108,MATCH(C250,'Facilities'!$C$9:$C$108,0))=0,0,MIN(1,INDEX('Facilities'!$X$9:$X$108,MATCH(C250,'Facilities'!$C$9:$C$108,0))/INDEX('Facilities'!$AA$9:$AA$108,MATCH(C250,'Facilities'!$C$9:$C$108,0)))))*INDEX('Facilities'!$AJ$9:$AJ$108,MATCH(C250,'Facilities'!$C$9:$C$108,0))+Q250*INDEX('Facilities'!$AI$9:$AI$108,MATCH(C250,'Facilities'!$C$9:$C$108,0))*AF250)))</x:f>
      </x:c>
      <x:c r="AB250" s="21" t="str">
        <x:f>IF(C250="","",O250+P250-AD250)</x:f>
      </x:c>
      <x:c r="AC250" s="23" t="str">
        <x:f>IF(C250="","",IFERROR(IF(INDEX('Facilities'!$AD$9:$AD$108,MATCH(C250,'Facilities'!$C$9:$C$108,0))=3,0,IF(INDEX('Facilities'!$AN$9:$AN$108,MATCH(C250,'Facilities'!$C$9:$C$108,0))=0,-1,INDEX('Facilities'!$AN$9:$AN$108,MATCH(C250,'Facilities'!$C$9:$C$108,0)))),"Unavailable"))</x:f>
      </x:c>
      <x:c r="AD250" s="21" t="str">
        <x:f>IF(C250="","",IFERROR(G250+H250,"Unavailable"))</x:f>
      </x:c>
      <x:c r="AE250" s="21" t="str">
        <x:f>IF(C250="","",IF(AQ250&lt;&gt;"Ready","Unavailable",IF(C250="","",O250+P250-AD250-J250+K250+M250+N250)))</x:f>
      </x:c>
      <x:c r="AF250" s="30" t="str">
        <x:f>IF(C250="","",IFERROR(INDEX('Facilities'!$S$9:$S$108,MATCH(C250,'Facilities'!$C$9:$C$108,0))*'Scenario Paths'!H75,"Unavailable"))</x:f>
      </x:c>
      <x:c r="AG250" s="23" t="str">
        <x:f>IF(C250="","",IF(AQ250&lt;&gt;"Ready","Unavailable",IF(C250="","",IF(H250&gt;0,MAX(0,H250-AK250)*((1+INDEX('Facilities'!$K$9:$K$108,MATCH(C250,'Facilities'!$C$9:$C$108,0)))^MIN(1,MAX(0,AC250+INDEX('Facilities'!$AK$9:$AK$108,MATCH(C250,'Facilities'!$C$9:$C$108,0))-D250+1))-1),0))))</x:f>
      </x:c>
      <x:c r="AH250" s="21" t="str">
        <x:f>IF(C250="","",IF(AQ250&lt;&gt;"Ready","Unavailable",IF(C250="","",O250+P250)))</x:f>
      </x:c>
      <x:c r="AI250" s="21" t="str">
        <x:f>IF(C250="","",IF(AQ250&lt;&gt;"Ready","Unavailable",IF(C250="","",Z250-Y250)))</x:f>
      </x:c>
      <x:c r="AJ250" s="23" t="str">
        <x:f>IF(C250="","",IFERROR(MAX(0,INDEX('Facilities'!$J$9:$J$108,MATCH(C250,'Facilities'!$C$9:$C$108,0))-D250),"Unavailable"))</x:f>
      </x:c>
      <x:c r="AK250" s="21" t="str">
        <x:f>IF(C250="","",IFERROR(AL150,"Unavailable"))</x:f>
      </x:c>
      <x:c r="AL250" s="23" t="str">
        <x:f>IF(C250="","",IFERROR(IF(P250&gt;0,P250*(1-AM250/(1+INDEX('Facilities'!$K$9:$K$108,MATCH(C250,'Facilities'!$C$9:$C$108,0)))^MAX(0,AC250+INDEX('Facilities'!$AK$9:$AK$108,MATCH(C250,'Facilities'!$C$9:$C$108,0))-D250)),0),"Unavailable"))</x:f>
      </x:c>
      <x:c r="AM250" s="30" t="str">
        <x:f>IF(C250="","",IFERROR(INDEX('Facilities'!$AL$9:$AL$108,MATCH(C250,'Facilities'!$C$9:$C$108,0)),"Unavailable"))</x:f>
      </x:c>
      <x:c r="AN250" s="30" t="str">
        <x:f>IF(C250="","",IFERROR(INDEX(Credit!$T$209:$T$308,MATCH(F250,Credit!$C$209:$C$308,0)),"Unavailable"))</x:f>
      </x:c>
      <x:c r="AO250" s="23" t="str">
        <x:f>IF(C250="","",IF(AQ250&lt;&gt;"Ready","Unavailable",IF(C250="","",O250+P250+Q250*INDEX('Facilities'!$I$9:$I$108,MATCH(C250,'Facilities'!$C$9:$C$108,0)))))</x:f>
      </x:c>
      <x:c r="AP250" s="21" t="str">
        <x:f>IF(C250="","",IF(AQ250&lt;&gt;"Ready","Unavailable",IF(C250="","",AH250-U250)))</x:f>
      </x:c>
      <x:c r="AQ250" s="23" t="str">
        <x:f>IFERROR(IF(C250="","",IF(AND(INDEX('Facilities'!$AF$9:$AF$108,MATCH(C250,'Facilities'!$C$9:$C$108,0))="Ready",INDEX(Credit!$U$209:$U$308,MATCH(F250,Credit!$C$209:$C$308,0))="Ready",ISNUMBER(W250)),"Ready","Review inputs")),"Review inputs")</x:f>
      </x:c>
      <x:c r="AR250" s="23" t="str">
        <x:f>IF(C250="","",IF(AQ250&lt;&gt;"Ready","Unavailable",IF(C250="","",IF(O250=0,0,(IF(AJ250&lt;=1,O250,O250*INDEX('Facilities'!$R$9:$R$108,MATCH(C250,'Facilities'!$C$9:$C$108,0)))+O250*INDEX('Facilities'!$T$9:$T$108,MATCH(C250,'Facilities'!$C$9:$C$108,0)))/12))))</x:f>
      </x:c>
    </x:row>
    <x:row r="251" ht="26" customHeight="1">
      <x:c r="A251" s="1"/>
      <x:c r="B251" s="1"/>
      <x:c r="C251" s="9" t="str">
        <x:f>IF(Facilities!C51="","",Facilities!C51)</x:f>
      </x:c>
      <x:c r="D251" s="3" t="n">
        <x:v>3</x:v>
      </x:c>
      <x:c r="E251" s="9" t="n">
        <x:f>Settings!$F$18+2</x:f>
        <x:v>2029</x:v>
      </x:c>
      <x:c r="F251" s="9" t="str">
        <x:f>IF(C251="","",IFERROR(INDEX('Facilities'!$D$9:$D$108,MATCH(C251,'Facilities'!$C$9:$C$108,0)),"Unavailable"))</x:f>
      </x:c>
      <x:c r="G251" s="21" t="str">
        <x:f>IF(C251="","",IFERROR(O151,"Unavailable"))</x:f>
      </x:c>
      <x:c r="H251" s="21" t="str">
        <x:f>IF(C251="","",IFERROR(P151,"Unavailable"))</x:f>
      </x:c>
      <x:c r="I251" s="21" t="str">
        <x:f>IF(C251="","",IFERROR(Q151,"Unavailable"))</x:f>
      </x:c>
      <x:c r="J251" s="23" t="str">
        <x:f>IF(C251="","",IFERROR(IF(OR(H251&gt;0,AND(AC251&gt;=0,AC251&lt;D251),D251&gt;INDEX('Facilities'!$J$9:$J$108,MATCH(C251,'Facilities'!$C$9:$C$108,0))),0,I251*'Scenario Paths'!H81),"Unavailable"))</x:f>
      </x:c>
      <x:c r="K251" s="23" t="str">
        <x:f>IF(C251="","",IFERROR(IF(OR(H251&gt;0,AND(AC251&gt;=0,AC251=D251)),0,IF(D251&gt;=INDEX('Facilities'!$J$9:$J$108,MATCH(C251,'Facilities'!$C$9:$C$108,0)),G251+J251,MIN(G251+J251,G251*INDEX('Facilities'!$R$9:$R$108,MATCH(C251,'Facilities'!$C$9:$C$108,0))))),"Unavailable"))</x:f>
      </x:c>
      <x:c r="L251" s="21" t="str">
        <x:f>IF(C251="","",IFERROR(IF(AND(AC251=D251,AC251&gt;0),MAX(0,G251+J251-K251),0),"Unavailable"))</x:f>
      </x:c>
      <x:c r="M251" s="23" t="str">
        <x:f>IF(C251="","",IFERROR(IF(AND(AC251&gt;=0,D251&gt;=AC251+INDEX('Facilities'!$AK$9:$AK$108,MATCH(C251,'Facilities'!$C$9:$C$108,0))),(H251+L251)*AM251,0),"Unavailable"))</x:f>
      </x:c>
      <x:c r="N251" s="23" t="str">
        <x:f>IF(C251="","",IFERROR(IF(AND(AC251&gt;=0,D251&gt;=AC251+INDEX('Facilities'!$AK$9:$AK$108,MATCH(C251,'Facilities'!$C$9:$C$108,0))),H251+L251-M251,0),"Unavailable"))</x:f>
      </x:c>
      <x:c r="O251" s="21" t="str">
        <x:f>IF(C251="","",IFERROR(MAX(0,G251+J251-K251-L251),"Unavailable"))</x:f>
      </x:c>
      <x:c r="P251" s="21" t="str">
        <x:f>IF(C251="","",IFERROR(MAX(0,H251+L251-M251-N251),"Unavailable"))</x:f>
      </x:c>
      <x:c r="Q251" s="23" t="str">
        <x:f>IF(C251="","",IFERROR(IF(OR(D251&gt;=INDEX('Facilities'!$J$9:$J$108,MATCH(C251,'Facilities'!$C$9:$C$108,0)),AND(AC251&gt;=0,AC251&lt;=D251)),0,MAX(0,I251-J251)),"Unavailable"))</x:f>
      </x:c>
      <x:c r="R251" s="30" t="str">
        <x:f>IF(C251="","",IFERROR(INDEX(Credit!$Q$209:$Q$308,MATCH(F251,Credit!$C$209:$C$308,0)),"Unavailable"))</x:f>
      </x:c>
      <x:c r="S251" s="30" t="str">
        <x:f>IF(C251="","",IFERROR(INDEX(Credit!$R$209:$R$308,MATCH(F251,Credit!$C$209:$C$308,0)),"Unavailable"))</x:f>
      </x:c>
      <x:c r="T251" s="23" t="str">
        <x:f>IF(C251="","",IFERROR(IF(P251&gt;0,3,IF(OR(INDEX('Facilities'!$AD$9:$AD$108,MATCH(C251,'Facilities'!$C$9:$C$108,0))=2,AND(R251&gt;=INDEX('Facilities'!$L$9:$L$108,MATCH(C251,'Facilities'!$C$9:$C$108,0))*Settings!$F$19,R251-INDEX('Facilities'!$L$9:$L$108,MATCH(C251,'Facilities'!$C$9:$C$108,0))&gt;=Settings!$F$20)),2,1)),"Unavailable"))</x:f>
      </x:c>
      <x:c r="U251" s="23" t="str">
        <x:f>IF(C251="","",IF(AQ251&lt;&gt;"Ready","Unavailable",IF(C251="","",O251*(1-(1-S251)/(1+INDEX('Facilities'!$K$9:$K$108,MATCH(C251,'Facilities'!$C$9:$C$108,0)))^INDEX('Facilities'!$AK$9:$AK$108,MATCH(C251,'Facilities'!$C$9:$C$108,0)))*R251/(1+INDEX('Facilities'!$K$9:$K$108,MATCH(C251,'Facilities'!$C$9:$C$108,0)))*IF(ABS(1-(1-R251)*(1-INDEX('Facilities'!$R$9:$R$108,MATCH(C251,'Facilities'!$C$9:$C$108,0)))/(1+INDEX('Facilities'!$K$9:$K$108,MATCH(C251,'Facilities'!$C$9:$C$108,0))))&lt;0.000000001,IF(T251=1,MIN(1,AJ251),AJ251),(1-((1-R251)*(1-INDEX('Facilities'!$R$9:$R$108,MATCH(C251,'Facilities'!$C$9:$C$108,0)))/(1+INDEX('Facilities'!$K$9:$K$108,MATCH(C251,'Facilities'!$C$9:$C$108,0))))^IF(T251=1,MIN(1,AJ251),AJ251))/(1-(1-R251)*(1-INDEX('Facilities'!$R$9:$R$108,MATCH(C251,'Facilities'!$C$9:$C$108,0)))/(1+INDEX('Facilities'!$K$9:$K$108,MATCH(C251,'Facilities'!$C$9:$C$108,0)))))+AL251)))</x:f>
      </x:c>
      <x:c r="V251" s="23" t="str">
        <x:f>IF(C251="","",IF(AQ251&lt;&gt;"Ready","Unavailable",IF(C251="","",Q251*INDEX('Facilities'!$I$9:$I$108,MATCH(C251,'Facilities'!$C$9:$C$108,0))*(1-(1-S251)/(1+INDEX('Facilities'!$K$9:$K$108,MATCH(C251,'Facilities'!$C$9:$C$108,0)))^INDEX('Facilities'!$AK$9:$AK$108,MATCH(C251,'Facilities'!$C$9:$C$108,0)))*R251/(1+INDEX('Facilities'!$K$9:$K$108,MATCH(C251,'Facilities'!$C$9:$C$108,0)))*IF(ABS(1-(1-R251)*(1-0)/(1+INDEX('Facilities'!$K$9:$K$108,MATCH(C251,'Facilities'!$C$9:$C$108,0))))&lt;0.000000001,IF(T251=1,MIN(1,AJ251),AJ251),(1-((1-R251)*(1-0)/(1+INDEX('Facilities'!$K$9:$K$108,MATCH(C251,'Facilities'!$C$9:$C$108,0))))^IF(T251=1,MIN(1,AJ251),AJ251))/(1-(1-R251)*(1-0)/(1+INDEX('Facilities'!$K$9:$K$108,MATCH(C251,'Facilities'!$C$9:$C$108,0))))))))</x:f>
      </x:c>
      <x:c r="W251" s="21" t="str">
        <x:f>IF(C251="","",IFERROR(U151,"Unavailable"))</x:f>
      </x:c>
      <x:c r="X251" s="21" t="str">
        <x:f>IF(C251="","",IFERROR(V151,"Unavailable"))</x:f>
      </x:c>
      <x:c r="Y251" s="21" t="str">
        <x:f>IF(C251="","",IF(AQ251&lt;&gt;"Ready","Unavailable",IF(C251="","",U251-W251+V251-X251+N251+AG251)))</x:f>
      </x:c>
      <x:c r="Z251" s="23" t="str">
        <x:f>IF(C251="","",IF(AQ251&lt;&gt;"Ready","Unavailable",IF(C251="","",(G251+O251+L251)/2*INDEX('Facilities'!$T$9:$T$108,MATCH(C251,'Facilities'!$C$9:$C$108,0))+AG251)))</x:f>
      </x:c>
      <x:c r="AA251" s="23" t="str">
        <x:f>IF(C251="","",IF(AQ251&lt;&gt;"Ready","Unavailable",IF(C251="","",O251*(1-IF(INDEX('Facilities'!$AA$9:$AA$108,MATCH(C251,'Facilities'!$C$9:$C$108,0))=0,0,MIN(1,INDEX('Facilities'!$X$9:$X$108,MATCH(C251,'Facilities'!$C$9:$C$108,0))/INDEX('Facilities'!$AA$9:$AA$108,MATCH(C251,'Facilities'!$C$9:$C$108,0)))))*AF251+P251*(1-IF(INDEX('Facilities'!$AA$9:$AA$108,MATCH(C251,'Facilities'!$C$9:$C$108,0))=0,0,MIN(1,INDEX('Facilities'!$X$9:$X$108,MATCH(C251,'Facilities'!$C$9:$C$108,0))/INDEX('Facilities'!$AA$9:$AA$108,MATCH(C251,'Facilities'!$C$9:$C$108,0)))))*INDEX('Facilities'!$AJ$9:$AJ$108,MATCH(C251,'Facilities'!$C$9:$C$108,0))+Q251*INDEX('Facilities'!$AI$9:$AI$108,MATCH(C251,'Facilities'!$C$9:$C$108,0))*AF251)))</x:f>
      </x:c>
      <x:c r="AB251" s="21" t="str">
        <x:f>IF(C251="","",O251+P251-AD251)</x:f>
      </x:c>
      <x:c r="AC251" s="23" t="str">
        <x:f>IF(C251="","",IFERROR(IF(INDEX('Facilities'!$AD$9:$AD$108,MATCH(C251,'Facilities'!$C$9:$C$108,0))=3,0,IF(INDEX('Facilities'!$AN$9:$AN$108,MATCH(C251,'Facilities'!$C$9:$C$108,0))=0,-1,INDEX('Facilities'!$AN$9:$AN$108,MATCH(C251,'Facilities'!$C$9:$C$108,0)))),"Unavailable"))</x:f>
      </x:c>
      <x:c r="AD251" s="21" t="str">
        <x:f>IF(C251="","",IFERROR(G251+H251,"Unavailable"))</x:f>
      </x:c>
      <x:c r="AE251" s="21" t="str">
        <x:f>IF(C251="","",IF(AQ251&lt;&gt;"Ready","Unavailable",IF(C251="","",O251+P251-AD251-J251+K251+M251+N251)))</x:f>
      </x:c>
      <x:c r="AF251" s="30" t="str">
        <x:f>IF(C251="","",IFERROR(INDEX('Facilities'!$S$9:$S$108,MATCH(C251,'Facilities'!$C$9:$C$108,0))*'Scenario Paths'!H75,"Unavailable"))</x:f>
      </x:c>
      <x:c r="AG251" s="23" t="str">
        <x:f>IF(C251="","",IF(AQ251&lt;&gt;"Ready","Unavailable",IF(C251="","",IF(H251&gt;0,MAX(0,H251-AK251)*((1+INDEX('Facilities'!$K$9:$K$108,MATCH(C251,'Facilities'!$C$9:$C$108,0)))^MIN(1,MAX(0,AC251+INDEX('Facilities'!$AK$9:$AK$108,MATCH(C251,'Facilities'!$C$9:$C$108,0))-D251+1))-1),0))))</x:f>
      </x:c>
      <x:c r="AH251" s="21" t="str">
        <x:f>IF(C251="","",IF(AQ251&lt;&gt;"Ready","Unavailable",IF(C251="","",O251+P251)))</x:f>
      </x:c>
      <x:c r="AI251" s="21" t="str">
        <x:f>IF(C251="","",IF(AQ251&lt;&gt;"Ready","Unavailable",IF(C251="","",Z251-Y251)))</x:f>
      </x:c>
      <x:c r="AJ251" s="23" t="str">
        <x:f>IF(C251="","",IFERROR(MAX(0,INDEX('Facilities'!$J$9:$J$108,MATCH(C251,'Facilities'!$C$9:$C$108,0))-D251),"Unavailable"))</x:f>
      </x:c>
      <x:c r="AK251" s="21" t="str">
        <x:f>IF(C251="","",IFERROR(AL151,"Unavailable"))</x:f>
      </x:c>
      <x:c r="AL251" s="23" t="str">
        <x:f>IF(C251="","",IFERROR(IF(P251&gt;0,P251*(1-AM251/(1+INDEX('Facilities'!$K$9:$K$108,MATCH(C251,'Facilities'!$C$9:$C$108,0)))^MAX(0,AC251+INDEX('Facilities'!$AK$9:$AK$108,MATCH(C251,'Facilities'!$C$9:$C$108,0))-D251)),0),"Unavailable"))</x:f>
      </x:c>
      <x:c r="AM251" s="30" t="str">
        <x:f>IF(C251="","",IFERROR(INDEX('Facilities'!$AL$9:$AL$108,MATCH(C251,'Facilities'!$C$9:$C$108,0)),"Unavailable"))</x:f>
      </x:c>
      <x:c r="AN251" s="30" t="str">
        <x:f>IF(C251="","",IFERROR(INDEX(Credit!$T$209:$T$308,MATCH(F251,Credit!$C$209:$C$308,0)),"Unavailable"))</x:f>
      </x:c>
      <x:c r="AO251" s="23" t="str">
        <x:f>IF(C251="","",IF(AQ251&lt;&gt;"Ready","Unavailable",IF(C251="","",O251+P251+Q251*INDEX('Facilities'!$I$9:$I$108,MATCH(C251,'Facilities'!$C$9:$C$108,0)))))</x:f>
      </x:c>
      <x:c r="AP251" s="21" t="str">
        <x:f>IF(C251="","",IF(AQ251&lt;&gt;"Ready","Unavailable",IF(C251="","",AH251-U251)))</x:f>
      </x:c>
      <x:c r="AQ251" s="23" t="str">
        <x:f>IFERROR(IF(C251="","",IF(AND(INDEX('Facilities'!$AF$9:$AF$108,MATCH(C251,'Facilities'!$C$9:$C$108,0))="Ready",INDEX(Credit!$U$209:$U$308,MATCH(F251,Credit!$C$209:$C$308,0))="Ready",ISNUMBER(W251)),"Ready","Review inputs")),"Review inputs")</x:f>
      </x:c>
      <x:c r="AR251" s="23" t="str">
        <x:f>IF(C251="","",IF(AQ251&lt;&gt;"Ready","Unavailable",IF(C251="","",IF(O251=0,0,(IF(AJ251&lt;=1,O251,O251*INDEX('Facilities'!$R$9:$R$108,MATCH(C251,'Facilities'!$C$9:$C$108,0)))+O251*INDEX('Facilities'!$T$9:$T$108,MATCH(C251,'Facilities'!$C$9:$C$108,0)))/12))))</x:f>
      </x:c>
    </x:row>
    <x:row r="252" ht="26" customHeight="1">
      <x:c r="A252" s="1"/>
      <x:c r="B252" s="1"/>
      <x:c r="C252" s="9" t="str">
        <x:f>IF(Facilities!C52="","",Facilities!C52)</x:f>
      </x:c>
      <x:c r="D252" s="3" t="n">
        <x:v>3</x:v>
      </x:c>
      <x:c r="E252" s="9" t="n">
        <x:f>Settings!$F$18+2</x:f>
        <x:v>2029</x:v>
      </x:c>
      <x:c r="F252" s="9" t="str">
        <x:f>IF(C252="","",IFERROR(INDEX('Facilities'!$D$9:$D$108,MATCH(C252,'Facilities'!$C$9:$C$108,0)),"Unavailable"))</x:f>
      </x:c>
      <x:c r="G252" s="21" t="str">
        <x:f>IF(C252="","",IFERROR(O152,"Unavailable"))</x:f>
      </x:c>
      <x:c r="H252" s="21" t="str">
        <x:f>IF(C252="","",IFERROR(P152,"Unavailable"))</x:f>
      </x:c>
      <x:c r="I252" s="21" t="str">
        <x:f>IF(C252="","",IFERROR(Q152,"Unavailable"))</x:f>
      </x:c>
      <x:c r="J252" s="23" t="str">
        <x:f>IF(C252="","",IFERROR(IF(OR(H252&gt;0,AND(AC252&gt;=0,AC252&lt;D252),D252&gt;INDEX('Facilities'!$J$9:$J$108,MATCH(C252,'Facilities'!$C$9:$C$108,0))),0,I252*'Scenario Paths'!H81),"Unavailable"))</x:f>
      </x:c>
      <x:c r="K252" s="23" t="str">
        <x:f>IF(C252="","",IFERROR(IF(OR(H252&gt;0,AND(AC252&gt;=0,AC252=D252)),0,IF(D252&gt;=INDEX('Facilities'!$J$9:$J$108,MATCH(C252,'Facilities'!$C$9:$C$108,0)),G252+J252,MIN(G252+J252,G252*INDEX('Facilities'!$R$9:$R$108,MATCH(C252,'Facilities'!$C$9:$C$108,0))))),"Unavailable"))</x:f>
      </x:c>
      <x:c r="L252" s="21" t="str">
        <x:f>IF(C252="","",IFERROR(IF(AND(AC252=D252,AC252&gt;0),MAX(0,G252+J252-K252),0),"Unavailable"))</x:f>
      </x:c>
      <x:c r="M252" s="23" t="str">
        <x:f>IF(C252="","",IFERROR(IF(AND(AC252&gt;=0,D252&gt;=AC252+INDEX('Facilities'!$AK$9:$AK$108,MATCH(C252,'Facilities'!$C$9:$C$108,0))),(H252+L252)*AM252,0),"Unavailable"))</x:f>
      </x:c>
      <x:c r="N252" s="23" t="str">
        <x:f>IF(C252="","",IFERROR(IF(AND(AC252&gt;=0,D252&gt;=AC252+INDEX('Facilities'!$AK$9:$AK$108,MATCH(C252,'Facilities'!$C$9:$C$108,0))),H252+L252-M252,0),"Unavailable"))</x:f>
      </x:c>
      <x:c r="O252" s="21" t="str">
        <x:f>IF(C252="","",IFERROR(MAX(0,G252+J252-K252-L252),"Unavailable"))</x:f>
      </x:c>
      <x:c r="P252" s="21" t="str">
        <x:f>IF(C252="","",IFERROR(MAX(0,H252+L252-M252-N252),"Unavailable"))</x:f>
      </x:c>
      <x:c r="Q252" s="23" t="str">
        <x:f>IF(C252="","",IFERROR(IF(OR(D252&gt;=INDEX('Facilities'!$J$9:$J$108,MATCH(C252,'Facilities'!$C$9:$C$108,0)),AND(AC252&gt;=0,AC252&lt;=D252)),0,MAX(0,I252-J252)),"Unavailable"))</x:f>
      </x:c>
      <x:c r="R252" s="30" t="str">
        <x:f>IF(C252="","",IFERROR(INDEX(Credit!$Q$209:$Q$308,MATCH(F252,Credit!$C$209:$C$308,0)),"Unavailable"))</x:f>
      </x:c>
      <x:c r="S252" s="30" t="str">
        <x:f>IF(C252="","",IFERROR(INDEX(Credit!$R$209:$R$308,MATCH(F252,Credit!$C$209:$C$308,0)),"Unavailable"))</x:f>
      </x:c>
      <x:c r="T252" s="23" t="str">
        <x:f>IF(C252="","",IFERROR(IF(P252&gt;0,3,IF(OR(INDEX('Facilities'!$AD$9:$AD$108,MATCH(C252,'Facilities'!$C$9:$C$108,0))=2,AND(R252&gt;=INDEX('Facilities'!$L$9:$L$108,MATCH(C252,'Facilities'!$C$9:$C$108,0))*Settings!$F$19,R252-INDEX('Facilities'!$L$9:$L$108,MATCH(C252,'Facilities'!$C$9:$C$108,0))&gt;=Settings!$F$20)),2,1)),"Unavailable"))</x:f>
      </x:c>
      <x:c r="U252" s="23" t="str">
        <x:f>IF(C252="","",IF(AQ252&lt;&gt;"Ready","Unavailable",IF(C252="","",O252*(1-(1-S252)/(1+INDEX('Facilities'!$K$9:$K$108,MATCH(C252,'Facilities'!$C$9:$C$108,0)))^INDEX('Facilities'!$AK$9:$AK$108,MATCH(C252,'Facilities'!$C$9:$C$108,0)))*R252/(1+INDEX('Facilities'!$K$9:$K$108,MATCH(C252,'Facilities'!$C$9:$C$108,0)))*IF(ABS(1-(1-R252)*(1-INDEX('Facilities'!$R$9:$R$108,MATCH(C252,'Facilities'!$C$9:$C$108,0)))/(1+INDEX('Facilities'!$K$9:$K$108,MATCH(C252,'Facilities'!$C$9:$C$108,0))))&lt;0.000000001,IF(T252=1,MIN(1,AJ252),AJ252),(1-((1-R252)*(1-INDEX('Facilities'!$R$9:$R$108,MATCH(C252,'Facilities'!$C$9:$C$108,0)))/(1+INDEX('Facilities'!$K$9:$K$108,MATCH(C252,'Facilities'!$C$9:$C$108,0))))^IF(T252=1,MIN(1,AJ252),AJ252))/(1-(1-R252)*(1-INDEX('Facilities'!$R$9:$R$108,MATCH(C252,'Facilities'!$C$9:$C$108,0)))/(1+INDEX('Facilities'!$K$9:$K$108,MATCH(C252,'Facilities'!$C$9:$C$108,0)))))+AL252)))</x:f>
      </x:c>
      <x:c r="V252" s="23" t="str">
        <x:f>IF(C252="","",IF(AQ252&lt;&gt;"Ready","Unavailable",IF(C252="","",Q252*INDEX('Facilities'!$I$9:$I$108,MATCH(C252,'Facilities'!$C$9:$C$108,0))*(1-(1-S252)/(1+INDEX('Facilities'!$K$9:$K$108,MATCH(C252,'Facilities'!$C$9:$C$108,0)))^INDEX('Facilities'!$AK$9:$AK$108,MATCH(C252,'Facilities'!$C$9:$C$108,0)))*R252/(1+INDEX('Facilities'!$K$9:$K$108,MATCH(C252,'Facilities'!$C$9:$C$108,0)))*IF(ABS(1-(1-R252)*(1-0)/(1+INDEX('Facilities'!$K$9:$K$108,MATCH(C252,'Facilities'!$C$9:$C$108,0))))&lt;0.000000001,IF(T252=1,MIN(1,AJ252),AJ252),(1-((1-R252)*(1-0)/(1+INDEX('Facilities'!$K$9:$K$108,MATCH(C252,'Facilities'!$C$9:$C$108,0))))^IF(T252=1,MIN(1,AJ252),AJ252))/(1-(1-R252)*(1-0)/(1+INDEX('Facilities'!$K$9:$K$108,MATCH(C252,'Facilities'!$C$9:$C$108,0))))))))</x:f>
      </x:c>
      <x:c r="W252" s="21" t="str">
        <x:f>IF(C252="","",IFERROR(U152,"Unavailable"))</x:f>
      </x:c>
      <x:c r="X252" s="21" t="str">
        <x:f>IF(C252="","",IFERROR(V152,"Unavailable"))</x:f>
      </x:c>
      <x:c r="Y252" s="21" t="str">
        <x:f>IF(C252="","",IF(AQ252&lt;&gt;"Ready","Unavailable",IF(C252="","",U252-W252+V252-X252+N252+AG252)))</x:f>
      </x:c>
      <x:c r="Z252" s="23" t="str">
        <x:f>IF(C252="","",IF(AQ252&lt;&gt;"Ready","Unavailable",IF(C252="","",(G252+O252+L252)/2*INDEX('Facilities'!$T$9:$T$108,MATCH(C252,'Facilities'!$C$9:$C$108,0))+AG252)))</x:f>
      </x:c>
      <x:c r="AA252" s="23" t="str">
        <x:f>IF(C252="","",IF(AQ252&lt;&gt;"Ready","Unavailable",IF(C252="","",O252*(1-IF(INDEX('Facilities'!$AA$9:$AA$108,MATCH(C252,'Facilities'!$C$9:$C$108,0))=0,0,MIN(1,INDEX('Facilities'!$X$9:$X$108,MATCH(C252,'Facilities'!$C$9:$C$108,0))/INDEX('Facilities'!$AA$9:$AA$108,MATCH(C252,'Facilities'!$C$9:$C$108,0)))))*AF252+P252*(1-IF(INDEX('Facilities'!$AA$9:$AA$108,MATCH(C252,'Facilities'!$C$9:$C$108,0))=0,0,MIN(1,INDEX('Facilities'!$X$9:$X$108,MATCH(C252,'Facilities'!$C$9:$C$108,0))/INDEX('Facilities'!$AA$9:$AA$108,MATCH(C252,'Facilities'!$C$9:$C$108,0)))))*INDEX('Facilities'!$AJ$9:$AJ$108,MATCH(C252,'Facilities'!$C$9:$C$108,0))+Q252*INDEX('Facilities'!$AI$9:$AI$108,MATCH(C252,'Facilities'!$C$9:$C$108,0))*AF252)))</x:f>
      </x:c>
      <x:c r="AB252" s="21" t="str">
        <x:f>IF(C252="","",O252+P252-AD252)</x:f>
      </x:c>
      <x:c r="AC252" s="23" t="str">
        <x:f>IF(C252="","",IFERROR(IF(INDEX('Facilities'!$AD$9:$AD$108,MATCH(C252,'Facilities'!$C$9:$C$108,0))=3,0,IF(INDEX('Facilities'!$AN$9:$AN$108,MATCH(C252,'Facilities'!$C$9:$C$108,0))=0,-1,INDEX('Facilities'!$AN$9:$AN$108,MATCH(C252,'Facilities'!$C$9:$C$108,0)))),"Unavailable"))</x:f>
      </x:c>
      <x:c r="AD252" s="21" t="str">
        <x:f>IF(C252="","",IFERROR(G252+H252,"Unavailable"))</x:f>
      </x:c>
      <x:c r="AE252" s="21" t="str">
        <x:f>IF(C252="","",IF(AQ252&lt;&gt;"Ready","Unavailable",IF(C252="","",O252+P252-AD252-J252+K252+M252+N252)))</x:f>
      </x:c>
      <x:c r="AF252" s="30" t="str">
        <x:f>IF(C252="","",IFERROR(INDEX('Facilities'!$S$9:$S$108,MATCH(C252,'Facilities'!$C$9:$C$108,0))*'Scenario Paths'!H75,"Unavailable"))</x:f>
      </x:c>
      <x:c r="AG252" s="23" t="str">
        <x:f>IF(C252="","",IF(AQ252&lt;&gt;"Ready","Unavailable",IF(C252="","",IF(H252&gt;0,MAX(0,H252-AK252)*((1+INDEX('Facilities'!$K$9:$K$108,MATCH(C252,'Facilities'!$C$9:$C$108,0)))^MIN(1,MAX(0,AC252+INDEX('Facilities'!$AK$9:$AK$108,MATCH(C252,'Facilities'!$C$9:$C$108,0))-D252+1))-1),0))))</x:f>
      </x:c>
      <x:c r="AH252" s="21" t="str">
        <x:f>IF(C252="","",IF(AQ252&lt;&gt;"Ready","Unavailable",IF(C252="","",O252+P252)))</x:f>
      </x:c>
      <x:c r="AI252" s="21" t="str">
        <x:f>IF(C252="","",IF(AQ252&lt;&gt;"Ready","Unavailable",IF(C252="","",Z252-Y252)))</x:f>
      </x:c>
      <x:c r="AJ252" s="23" t="str">
        <x:f>IF(C252="","",IFERROR(MAX(0,INDEX('Facilities'!$J$9:$J$108,MATCH(C252,'Facilities'!$C$9:$C$108,0))-D252),"Unavailable"))</x:f>
      </x:c>
      <x:c r="AK252" s="21" t="str">
        <x:f>IF(C252="","",IFERROR(AL152,"Unavailable"))</x:f>
      </x:c>
      <x:c r="AL252" s="23" t="str">
        <x:f>IF(C252="","",IFERROR(IF(P252&gt;0,P252*(1-AM252/(1+INDEX('Facilities'!$K$9:$K$108,MATCH(C252,'Facilities'!$C$9:$C$108,0)))^MAX(0,AC252+INDEX('Facilities'!$AK$9:$AK$108,MATCH(C252,'Facilities'!$C$9:$C$108,0))-D252)),0),"Unavailable"))</x:f>
      </x:c>
      <x:c r="AM252" s="30" t="str">
        <x:f>IF(C252="","",IFERROR(INDEX('Facilities'!$AL$9:$AL$108,MATCH(C252,'Facilities'!$C$9:$C$108,0)),"Unavailable"))</x:f>
      </x:c>
      <x:c r="AN252" s="30" t="str">
        <x:f>IF(C252="","",IFERROR(INDEX(Credit!$T$209:$T$308,MATCH(F252,Credit!$C$209:$C$308,0)),"Unavailable"))</x:f>
      </x:c>
      <x:c r="AO252" s="23" t="str">
        <x:f>IF(C252="","",IF(AQ252&lt;&gt;"Ready","Unavailable",IF(C252="","",O252+P252+Q252*INDEX('Facilities'!$I$9:$I$108,MATCH(C252,'Facilities'!$C$9:$C$108,0)))))</x:f>
      </x:c>
      <x:c r="AP252" s="21" t="str">
        <x:f>IF(C252="","",IF(AQ252&lt;&gt;"Ready","Unavailable",IF(C252="","",AH252-U252)))</x:f>
      </x:c>
      <x:c r="AQ252" s="23" t="str">
        <x:f>IFERROR(IF(C252="","",IF(AND(INDEX('Facilities'!$AF$9:$AF$108,MATCH(C252,'Facilities'!$C$9:$C$108,0))="Ready",INDEX(Credit!$U$209:$U$308,MATCH(F252,Credit!$C$209:$C$308,0))="Ready",ISNUMBER(W252)),"Ready","Review inputs")),"Review inputs")</x:f>
      </x:c>
      <x:c r="AR252" s="23" t="str">
        <x:f>IF(C252="","",IF(AQ252&lt;&gt;"Ready","Unavailable",IF(C252="","",IF(O252=0,0,(IF(AJ252&lt;=1,O252,O252*INDEX('Facilities'!$R$9:$R$108,MATCH(C252,'Facilities'!$C$9:$C$108,0)))+O252*INDEX('Facilities'!$T$9:$T$108,MATCH(C252,'Facilities'!$C$9:$C$108,0)))/12))))</x:f>
      </x:c>
    </x:row>
    <x:row r="253" ht="26" customHeight="1">
      <x:c r="A253" s="1"/>
      <x:c r="B253" s="1"/>
      <x:c r="C253" s="9" t="str">
        <x:f>IF(Facilities!C53="","",Facilities!C53)</x:f>
      </x:c>
      <x:c r="D253" s="3" t="n">
        <x:v>3</x:v>
      </x:c>
      <x:c r="E253" s="9" t="n">
        <x:f>Settings!$F$18+2</x:f>
        <x:v>2029</x:v>
      </x:c>
      <x:c r="F253" s="9" t="str">
        <x:f>IF(C253="","",IFERROR(INDEX('Facilities'!$D$9:$D$108,MATCH(C253,'Facilities'!$C$9:$C$108,0)),"Unavailable"))</x:f>
      </x:c>
      <x:c r="G253" s="21" t="str">
        <x:f>IF(C253="","",IFERROR(O153,"Unavailable"))</x:f>
      </x:c>
      <x:c r="H253" s="21" t="str">
        <x:f>IF(C253="","",IFERROR(P153,"Unavailable"))</x:f>
      </x:c>
      <x:c r="I253" s="21" t="str">
        <x:f>IF(C253="","",IFERROR(Q153,"Unavailable"))</x:f>
      </x:c>
      <x:c r="J253" s="23" t="str">
        <x:f>IF(C253="","",IFERROR(IF(OR(H253&gt;0,AND(AC253&gt;=0,AC253&lt;D253),D253&gt;INDEX('Facilities'!$J$9:$J$108,MATCH(C253,'Facilities'!$C$9:$C$108,0))),0,I253*'Scenario Paths'!H81),"Unavailable"))</x:f>
      </x:c>
      <x:c r="K253" s="23" t="str">
        <x:f>IF(C253="","",IFERROR(IF(OR(H253&gt;0,AND(AC253&gt;=0,AC253=D253)),0,IF(D253&gt;=INDEX('Facilities'!$J$9:$J$108,MATCH(C253,'Facilities'!$C$9:$C$108,0)),G253+J253,MIN(G253+J253,G253*INDEX('Facilities'!$R$9:$R$108,MATCH(C253,'Facilities'!$C$9:$C$108,0))))),"Unavailable"))</x:f>
      </x:c>
      <x:c r="L253" s="21" t="str">
        <x:f>IF(C253="","",IFERROR(IF(AND(AC253=D253,AC253&gt;0),MAX(0,G253+J253-K253),0),"Unavailable"))</x:f>
      </x:c>
      <x:c r="M253" s="23" t="str">
        <x:f>IF(C253="","",IFERROR(IF(AND(AC253&gt;=0,D253&gt;=AC253+INDEX('Facilities'!$AK$9:$AK$108,MATCH(C253,'Facilities'!$C$9:$C$108,0))),(H253+L253)*AM253,0),"Unavailable"))</x:f>
      </x:c>
      <x:c r="N253" s="23" t="str">
        <x:f>IF(C253="","",IFERROR(IF(AND(AC253&gt;=0,D253&gt;=AC253+INDEX('Facilities'!$AK$9:$AK$108,MATCH(C253,'Facilities'!$C$9:$C$108,0))),H253+L253-M253,0),"Unavailable"))</x:f>
      </x:c>
      <x:c r="O253" s="21" t="str">
        <x:f>IF(C253="","",IFERROR(MAX(0,G253+J253-K253-L253),"Unavailable"))</x:f>
      </x:c>
      <x:c r="P253" s="21" t="str">
        <x:f>IF(C253="","",IFERROR(MAX(0,H253+L253-M253-N253),"Unavailable"))</x:f>
      </x:c>
      <x:c r="Q253" s="23" t="str">
        <x:f>IF(C253="","",IFERROR(IF(OR(D253&gt;=INDEX('Facilities'!$J$9:$J$108,MATCH(C253,'Facilities'!$C$9:$C$108,0)),AND(AC253&gt;=0,AC253&lt;=D253)),0,MAX(0,I253-J253)),"Unavailable"))</x:f>
      </x:c>
      <x:c r="R253" s="30" t="str">
        <x:f>IF(C253="","",IFERROR(INDEX(Credit!$Q$209:$Q$308,MATCH(F253,Credit!$C$209:$C$308,0)),"Unavailable"))</x:f>
      </x:c>
      <x:c r="S253" s="30" t="str">
        <x:f>IF(C253="","",IFERROR(INDEX(Credit!$R$209:$R$308,MATCH(F253,Credit!$C$209:$C$308,0)),"Unavailable"))</x:f>
      </x:c>
      <x:c r="T253" s="23" t="str">
        <x:f>IF(C253="","",IFERROR(IF(P253&gt;0,3,IF(OR(INDEX('Facilities'!$AD$9:$AD$108,MATCH(C253,'Facilities'!$C$9:$C$108,0))=2,AND(R253&gt;=INDEX('Facilities'!$L$9:$L$108,MATCH(C253,'Facilities'!$C$9:$C$108,0))*Settings!$F$19,R253-INDEX('Facilities'!$L$9:$L$108,MATCH(C253,'Facilities'!$C$9:$C$108,0))&gt;=Settings!$F$20)),2,1)),"Unavailable"))</x:f>
      </x:c>
      <x:c r="U253" s="23" t="str">
        <x:f>IF(C253="","",IF(AQ253&lt;&gt;"Ready","Unavailable",IF(C253="","",O253*(1-(1-S253)/(1+INDEX('Facilities'!$K$9:$K$108,MATCH(C253,'Facilities'!$C$9:$C$108,0)))^INDEX('Facilities'!$AK$9:$AK$108,MATCH(C253,'Facilities'!$C$9:$C$108,0)))*R253/(1+INDEX('Facilities'!$K$9:$K$108,MATCH(C253,'Facilities'!$C$9:$C$108,0)))*IF(ABS(1-(1-R253)*(1-INDEX('Facilities'!$R$9:$R$108,MATCH(C253,'Facilities'!$C$9:$C$108,0)))/(1+INDEX('Facilities'!$K$9:$K$108,MATCH(C253,'Facilities'!$C$9:$C$108,0))))&lt;0.000000001,IF(T253=1,MIN(1,AJ253),AJ253),(1-((1-R253)*(1-INDEX('Facilities'!$R$9:$R$108,MATCH(C253,'Facilities'!$C$9:$C$108,0)))/(1+INDEX('Facilities'!$K$9:$K$108,MATCH(C253,'Facilities'!$C$9:$C$108,0))))^IF(T253=1,MIN(1,AJ253),AJ253))/(1-(1-R253)*(1-INDEX('Facilities'!$R$9:$R$108,MATCH(C253,'Facilities'!$C$9:$C$108,0)))/(1+INDEX('Facilities'!$K$9:$K$108,MATCH(C253,'Facilities'!$C$9:$C$108,0)))))+AL253)))</x:f>
      </x:c>
      <x:c r="V253" s="23" t="str">
        <x:f>IF(C253="","",IF(AQ253&lt;&gt;"Ready","Unavailable",IF(C253="","",Q253*INDEX('Facilities'!$I$9:$I$108,MATCH(C253,'Facilities'!$C$9:$C$108,0))*(1-(1-S253)/(1+INDEX('Facilities'!$K$9:$K$108,MATCH(C253,'Facilities'!$C$9:$C$108,0)))^INDEX('Facilities'!$AK$9:$AK$108,MATCH(C253,'Facilities'!$C$9:$C$108,0)))*R253/(1+INDEX('Facilities'!$K$9:$K$108,MATCH(C253,'Facilities'!$C$9:$C$108,0)))*IF(ABS(1-(1-R253)*(1-0)/(1+INDEX('Facilities'!$K$9:$K$108,MATCH(C253,'Facilities'!$C$9:$C$108,0))))&lt;0.000000001,IF(T253=1,MIN(1,AJ253),AJ253),(1-((1-R253)*(1-0)/(1+INDEX('Facilities'!$K$9:$K$108,MATCH(C253,'Facilities'!$C$9:$C$108,0))))^IF(T253=1,MIN(1,AJ253),AJ253))/(1-(1-R253)*(1-0)/(1+INDEX('Facilities'!$K$9:$K$108,MATCH(C253,'Facilities'!$C$9:$C$108,0))))))))</x:f>
      </x:c>
      <x:c r="W253" s="21" t="str">
        <x:f>IF(C253="","",IFERROR(U153,"Unavailable"))</x:f>
      </x:c>
      <x:c r="X253" s="21" t="str">
        <x:f>IF(C253="","",IFERROR(V153,"Unavailable"))</x:f>
      </x:c>
      <x:c r="Y253" s="21" t="str">
        <x:f>IF(C253="","",IF(AQ253&lt;&gt;"Ready","Unavailable",IF(C253="","",U253-W253+V253-X253+N253+AG253)))</x:f>
      </x:c>
      <x:c r="Z253" s="23" t="str">
        <x:f>IF(C253="","",IF(AQ253&lt;&gt;"Ready","Unavailable",IF(C253="","",(G253+O253+L253)/2*INDEX('Facilities'!$T$9:$T$108,MATCH(C253,'Facilities'!$C$9:$C$108,0))+AG253)))</x:f>
      </x:c>
      <x:c r="AA253" s="23" t="str">
        <x:f>IF(C253="","",IF(AQ253&lt;&gt;"Ready","Unavailable",IF(C253="","",O253*(1-IF(INDEX('Facilities'!$AA$9:$AA$108,MATCH(C253,'Facilities'!$C$9:$C$108,0))=0,0,MIN(1,INDEX('Facilities'!$X$9:$X$108,MATCH(C253,'Facilities'!$C$9:$C$108,0))/INDEX('Facilities'!$AA$9:$AA$108,MATCH(C253,'Facilities'!$C$9:$C$108,0)))))*AF253+P253*(1-IF(INDEX('Facilities'!$AA$9:$AA$108,MATCH(C253,'Facilities'!$C$9:$C$108,0))=0,0,MIN(1,INDEX('Facilities'!$X$9:$X$108,MATCH(C253,'Facilities'!$C$9:$C$108,0))/INDEX('Facilities'!$AA$9:$AA$108,MATCH(C253,'Facilities'!$C$9:$C$108,0)))))*INDEX('Facilities'!$AJ$9:$AJ$108,MATCH(C253,'Facilities'!$C$9:$C$108,0))+Q253*INDEX('Facilities'!$AI$9:$AI$108,MATCH(C253,'Facilities'!$C$9:$C$108,0))*AF253)))</x:f>
      </x:c>
      <x:c r="AB253" s="21" t="str">
        <x:f>IF(C253="","",O253+P253-AD253)</x:f>
      </x:c>
      <x:c r="AC253" s="23" t="str">
        <x:f>IF(C253="","",IFERROR(IF(INDEX('Facilities'!$AD$9:$AD$108,MATCH(C253,'Facilities'!$C$9:$C$108,0))=3,0,IF(INDEX('Facilities'!$AN$9:$AN$108,MATCH(C253,'Facilities'!$C$9:$C$108,0))=0,-1,INDEX('Facilities'!$AN$9:$AN$108,MATCH(C253,'Facilities'!$C$9:$C$108,0)))),"Unavailable"))</x:f>
      </x:c>
      <x:c r="AD253" s="21" t="str">
        <x:f>IF(C253="","",IFERROR(G253+H253,"Unavailable"))</x:f>
      </x:c>
      <x:c r="AE253" s="21" t="str">
        <x:f>IF(C253="","",IF(AQ253&lt;&gt;"Ready","Unavailable",IF(C253="","",O253+P253-AD253-J253+K253+M253+N253)))</x:f>
      </x:c>
      <x:c r="AF253" s="30" t="str">
        <x:f>IF(C253="","",IFERROR(INDEX('Facilities'!$S$9:$S$108,MATCH(C253,'Facilities'!$C$9:$C$108,0))*'Scenario Paths'!H75,"Unavailable"))</x:f>
      </x:c>
      <x:c r="AG253" s="23" t="str">
        <x:f>IF(C253="","",IF(AQ253&lt;&gt;"Ready","Unavailable",IF(C253="","",IF(H253&gt;0,MAX(0,H253-AK253)*((1+INDEX('Facilities'!$K$9:$K$108,MATCH(C253,'Facilities'!$C$9:$C$108,0)))^MIN(1,MAX(0,AC253+INDEX('Facilities'!$AK$9:$AK$108,MATCH(C253,'Facilities'!$C$9:$C$108,0))-D253+1))-1),0))))</x:f>
      </x:c>
      <x:c r="AH253" s="21" t="str">
        <x:f>IF(C253="","",IF(AQ253&lt;&gt;"Ready","Unavailable",IF(C253="","",O253+P253)))</x:f>
      </x:c>
      <x:c r="AI253" s="21" t="str">
        <x:f>IF(C253="","",IF(AQ253&lt;&gt;"Ready","Unavailable",IF(C253="","",Z253-Y253)))</x:f>
      </x:c>
      <x:c r="AJ253" s="23" t="str">
        <x:f>IF(C253="","",IFERROR(MAX(0,INDEX('Facilities'!$J$9:$J$108,MATCH(C253,'Facilities'!$C$9:$C$108,0))-D253),"Unavailable"))</x:f>
      </x:c>
      <x:c r="AK253" s="21" t="str">
        <x:f>IF(C253="","",IFERROR(AL153,"Unavailable"))</x:f>
      </x:c>
      <x:c r="AL253" s="23" t="str">
        <x:f>IF(C253="","",IFERROR(IF(P253&gt;0,P253*(1-AM253/(1+INDEX('Facilities'!$K$9:$K$108,MATCH(C253,'Facilities'!$C$9:$C$108,0)))^MAX(0,AC253+INDEX('Facilities'!$AK$9:$AK$108,MATCH(C253,'Facilities'!$C$9:$C$108,0))-D253)),0),"Unavailable"))</x:f>
      </x:c>
      <x:c r="AM253" s="30" t="str">
        <x:f>IF(C253="","",IFERROR(INDEX('Facilities'!$AL$9:$AL$108,MATCH(C253,'Facilities'!$C$9:$C$108,0)),"Unavailable"))</x:f>
      </x:c>
      <x:c r="AN253" s="30" t="str">
        <x:f>IF(C253="","",IFERROR(INDEX(Credit!$T$209:$T$308,MATCH(F253,Credit!$C$209:$C$308,0)),"Unavailable"))</x:f>
      </x:c>
      <x:c r="AO253" s="23" t="str">
        <x:f>IF(C253="","",IF(AQ253&lt;&gt;"Ready","Unavailable",IF(C253="","",O253+P253+Q253*INDEX('Facilities'!$I$9:$I$108,MATCH(C253,'Facilities'!$C$9:$C$108,0)))))</x:f>
      </x:c>
      <x:c r="AP253" s="21" t="str">
        <x:f>IF(C253="","",IF(AQ253&lt;&gt;"Ready","Unavailable",IF(C253="","",AH253-U253)))</x:f>
      </x:c>
      <x:c r="AQ253" s="23" t="str">
        <x:f>IFERROR(IF(C253="","",IF(AND(INDEX('Facilities'!$AF$9:$AF$108,MATCH(C253,'Facilities'!$C$9:$C$108,0))="Ready",INDEX(Credit!$U$209:$U$308,MATCH(F253,Credit!$C$209:$C$308,0))="Ready",ISNUMBER(W253)),"Ready","Review inputs")),"Review inputs")</x:f>
      </x:c>
      <x:c r="AR253" s="23" t="str">
        <x:f>IF(C253="","",IF(AQ253&lt;&gt;"Ready","Unavailable",IF(C253="","",IF(O253=0,0,(IF(AJ253&lt;=1,O253,O253*INDEX('Facilities'!$R$9:$R$108,MATCH(C253,'Facilities'!$C$9:$C$108,0)))+O253*INDEX('Facilities'!$T$9:$T$108,MATCH(C253,'Facilities'!$C$9:$C$108,0)))/12))))</x:f>
      </x:c>
    </x:row>
    <x:row r="254" ht="26" customHeight="1">
      <x:c r="A254" s="1"/>
      <x:c r="B254" s="1"/>
      <x:c r="C254" s="9" t="str">
        <x:f>IF(Facilities!C54="","",Facilities!C54)</x:f>
      </x:c>
      <x:c r="D254" s="3" t="n">
        <x:v>3</x:v>
      </x:c>
      <x:c r="E254" s="9" t="n">
        <x:f>Settings!$F$18+2</x:f>
        <x:v>2029</x:v>
      </x:c>
      <x:c r="F254" s="9" t="str">
        <x:f>IF(C254="","",IFERROR(INDEX('Facilities'!$D$9:$D$108,MATCH(C254,'Facilities'!$C$9:$C$108,0)),"Unavailable"))</x:f>
      </x:c>
      <x:c r="G254" s="21" t="str">
        <x:f>IF(C254="","",IFERROR(O154,"Unavailable"))</x:f>
      </x:c>
      <x:c r="H254" s="21" t="str">
        <x:f>IF(C254="","",IFERROR(P154,"Unavailable"))</x:f>
      </x:c>
      <x:c r="I254" s="21" t="str">
        <x:f>IF(C254="","",IFERROR(Q154,"Unavailable"))</x:f>
      </x:c>
      <x:c r="J254" s="23" t="str">
        <x:f>IF(C254="","",IFERROR(IF(OR(H254&gt;0,AND(AC254&gt;=0,AC254&lt;D254),D254&gt;INDEX('Facilities'!$J$9:$J$108,MATCH(C254,'Facilities'!$C$9:$C$108,0))),0,I254*'Scenario Paths'!H81),"Unavailable"))</x:f>
      </x:c>
      <x:c r="K254" s="23" t="str">
        <x:f>IF(C254="","",IFERROR(IF(OR(H254&gt;0,AND(AC254&gt;=0,AC254=D254)),0,IF(D254&gt;=INDEX('Facilities'!$J$9:$J$108,MATCH(C254,'Facilities'!$C$9:$C$108,0)),G254+J254,MIN(G254+J254,G254*INDEX('Facilities'!$R$9:$R$108,MATCH(C254,'Facilities'!$C$9:$C$108,0))))),"Unavailable"))</x:f>
      </x:c>
      <x:c r="L254" s="21" t="str">
        <x:f>IF(C254="","",IFERROR(IF(AND(AC254=D254,AC254&gt;0),MAX(0,G254+J254-K254),0),"Unavailable"))</x:f>
      </x:c>
      <x:c r="M254" s="23" t="str">
        <x:f>IF(C254="","",IFERROR(IF(AND(AC254&gt;=0,D254&gt;=AC254+INDEX('Facilities'!$AK$9:$AK$108,MATCH(C254,'Facilities'!$C$9:$C$108,0))),(H254+L254)*AM254,0),"Unavailable"))</x:f>
      </x:c>
      <x:c r="N254" s="23" t="str">
        <x:f>IF(C254="","",IFERROR(IF(AND(AC254&gt;=0,D254&gt;=AC254+INDEX('Facilities'!$AK$9:$AK$108,MATCH(C254,'Facilities'!$C$9:$C$108,0))),H254+L254-M254,0),"Unavailable"))</x:f>
      </x:c>
      <x:c r="O254" s="21" t="str">
        <x:f>IF(C254="","",IFERROR(MAX(0,G254+J254-K254-L254),"Unavailable"))</x:f>
      </x:c>
      <x:c r="P254" s="21" t="str">
        <x:f>IF(C254="","",IFERROR(MAX(0,H254+L254-M254-N254),"Unavailable"))</x:f>
      </x:c>
      <x:c r="Q254" s="23" t="str">
        <x:f>IF(C254="","",IFERROR(IF(OR(D254&gt;=INDEX('Facilities'!$J$9:$J$108,MATCH(C254,'Facilities'!$C$9:$C$108,0)),AND(AC254&gt;=0,AC254&lt;=D254)),0,MAX(0,I254-J254)),"Unavailable"))</x:f>
      </x:c>
      <x:c r="R254" s="30" t="str">
        <x:f>IF(C254="","",IFERROR(INDEX(Credit!$Q$209:$Q$308,MATCH(F254,Credit!$C$209:$C$308,0)),"Unavailable"))</x:f>
      </x:c>
      <x:c r="S254" s="30" t="str">
        <x:f>IF(C254="","",IFERROR(INDEX(Credit!$R$209:$R$308,MATCH(F254,Credit!$C$209:$C$308,0)),"Unavailable"))</x:f>
      </x:c>
      <x:c r="T254" s="23" t="str">
        <x:f>IF(C254="","",IFERROR(IF(P254&gt;0,3,IF(OR(INDEX('Facilities'!$AD$9:$AD$108,MATCH(C254,'Facilities'!$C$9:$C$108,0))=2,AND(R254&gt;=INDEX('Facilities'!$L$9:$L$108,MATCH(C254,'Facilities'!$C$9:$C$108,0))*Settings!$F$19,R254-INDEX('Facilities'!$L$9:$L$108,MATCH(C254,'Facilities'!$C$9:$C$108,0))&gt;=Settings!$F$20)),2,1)),"Unavailable"))</x:f>
      </x:c>
      <x:c r="U254" s="23" t="str">
        <x:f>IF(C254="","",IF(AQ254&lt;&gt;"Ready","Unavailable",IF(C254="","",O254*(1-(1-S254)/(1+INDEX('Facilities'!$K$9:$K$108,MATCH(C254,'Facilities'!$C$9:$C$108,0)))^INDEX('Facilities'!$AK$9:$AK$108,MATCH(C254,'Facilities'!$C$9:$C$108,0)))*R254/(1+INDEX('Facilities'!$K$9:$K$108,MATCH(C254,'Facilities'!$C$9:$C$108,0)))*IF(ABS(1-(1-R254)*(1-INDEX('Facilities'!$R$9:$R$108,MATCH(C254,'Facilities'!$C$9:$C$108,0)))/(1+INDEX('Facilities'!$K$9:$K$108,MATCH(C254,'Facilities'!$C$9:$C$108,0))))&lt;0.000000001,IF(T254=1,MIN(1,AJ254),AJ254),(1-((1-R254)*(1-INDEX('Facilities'!$R$9:$R$108,MATCH(C254,'Facilities'!$C$9:$C$108,0)))/(1+INDEX('Facilities'!$K$9:$K$108,MATCH(C254,'Facilities'!$C$9:$C$108,0))))^IF(T254=1,MIN(1,AJ254),AJ254))/(1-(1-R254)*(1-INDEX('Facilities'!$R$9:$R$108,MATCH(C254,'Facilities'!$C$9:$C$108,0)))/(1+INDEX('Facilities'!$K$9:$K$108,MATCH(C254,'Facilities'!$C$9:$C$108,0)))))+AL254)))</x:f>
      </x:c>
      <x:c r="V254" s="23" t="str">
        <x:f>IF(C254="","",IF(AQ254&lt;&gt;"Ready","Unavailable",IF(C254="","",Q254*INDEX('Facilities'!$I$9:$I$108,MATCH(C254,'Facilities'!$C$9:$C$108,0))*(1-(1-S254)/(1+INDEX('Facilities'!$K$9:$K$108,MATCH(C254,'Facilities'!$C$9:$C$108,0)))^INDEX('Facilities'!$AK$9:$AK$108,MATCH(C254,'Facilities'!$C$9:$C$108,0)))*R254/(1+INDEX('Facilities'!$K$9:$K$108,MATCH(C254,'Facilities'!$C$9:$C$108,0)))*IF(ABS(1-(1-R254)*(1-0)/(1+INDEX('Facilities'!$K$9:$K$108,MATCH(C254,'Facilities'!$C$9:$C$108,0))))&lt;0.000000001,IF(T254=1,MIN(1,AJ254),AJ254),(1-((1-R254)*(1-0)/(1+INDEX('Facilities'!$K$9:$K$108,MATCH(C254,'Facilities'!$C$9:$C$108,0))))^IF(T254=1,MIN(1,AJ254),AJ254))/(1-(1-R254)*(1-0)/(1+INDEX('Facilities'!$K$9:$K$108,MATCH(C254,'Facilities'!$C$9:$C$108,0))))))))</x:f>
      </x:c>
      <x:c r="W254" s="21" t="str">
        <x:f>IF(C254="","",IFERROR(U154,"Unavailable"))</x:f>
      </x:c>
      <x:c r="X254" s="21" t="str">
        <x:f>IF(C254="","",IFERROR(V154,"Unavailable"))</x:f>
      </x:c>
      <x:c r="Y254" s="21" t="str">
        <x:f>IF(C254="","",IF(AQ254&lt;&gt;"Ready","Unavailable",IF(C254="","",U254-W254+V254-X254+N254+AG254)))</x:f>
      </x:c>
      <x:c r="Z254" s="23" t="str">
        <x:f>IF(C254="","",IF(AQ254&lt;&gt;"Ready","Unavailable",IF(C254="","",(G254+O254+L254)/2*INDEX('Facilities'!$T$9:$T$108,MATCH(C254,'Facilities'!$C$9:$C$108,0))+AG254)))</x:f>
      </x:c>
      <x:c r="AA254" s="23" t="str">
        <x:f>IF(C254="","",IF(AQ254&lt;&gt;"Ready","Unavailable",IF(C254="","",O254*(1-IF(INDEX('Facilities'!$AA$9:$AA$108,MATCH(C254,'Facilities'!$C$9:$C$108,0))=0,0,MIN(1,INDEX('Facilities'!$X$9:$X$108,MATCH(C254,'Facilities'!$C$9:$C$108,0))/INDEX('Facilities'!$AA$9:$AA$108,MATCH(C254,'Facilities'!$C$9:$C$108,0)))))*AF254+P254*(1-IF(INDEX('Facilities'!$AA$9:$AA$108,MATCH(C254,'Facilities'!$C$9:$C$108,0))=0,0,MIN(1,INDEX('Facilities'!$X$9:$X$108,MATCH(C254,'Facilities'!$C$9:$C$108,0))/INDEX('Facilities'!$AA$9:$AA$108,MATCH(C254,'Facilities'!$C$9:$C$108,0)))))*INDEX('Facilities'!$AJ$9:$AJ$108,MATCH(C254,'Facilities'!$C$9:$C$108,0))+Q254*INDEX('Facilities'!$AI$9:$AI$108,MATCH(C254,'Facilities'!$C$9:$C$108,0))*AF254)))</x:f>
      </x:c>
      <x:c r="AB254" s="21" t="str">
        <x:f>IF(C254="","",O254+P254-AD254)</x:f>
      </x:c>
      <x:c r="AC254" s="23" t="str">
        <x:f>IF(C254="","",IFERROR(IF(INDEX('Facilities'!$AD$9:$AD$108,MATCH(C254,'Facilities'!$C$9:$C$108,0))=3,0,IF(INDEX('Facilities'!$AN$9:$AN$108,MATCH(C254,'Facilities'!$C$9:$C$108,0))=0,-1,INDEX('Facilities'!$AN$9:$AN$108,MATCH(C254,'Facilities'!$C$9:$C$108,0)))),"Unavailable"))</x:f>
      </x:c>
      <x:c r="AD254" s="21" t="str">
        <x:f>IF(C254="","",IFERROR(G254+H254,"Unavailable"))</x:f>
      </x:c>
      <x:c r="AE254" s="21" t="str">
        <x:f>IF(C254="","",IF(AQ254&lt;&gt;"Ready","Unavailable",IF(C254="","",O254+P254-AD254-J254+K254+M254+N254)))</x:f>
      </x:c>
      <x:c r="AF254" s="30" t="str">
        <x:f>IF(C254="","",IFERROR(INDEX('Facilities'!$S$9:$S$108,MATCH(C254,'Facilities'!$C$9:$C$108,0))*'Scenario Paths'!H75,"Unavailable"))</x:f>
      </x:c>
      <x:c r="AG254" s="23" t="str">
        <x:f>IF(C254="","",IF(AQ254&lt;&gt;"Ready","Unavailable",IF(C254="","",IF(H254&gt;0,MAX(0,H254-AK254)*((1+INDEX('Facilities'!$K$9:$K$108,MATCH(C254,'Facilities'!$C$9:$C$108,0)))^MIN(1,MAX(0,AC254+INDEX('Facilities'!$AK$9:$AK$108,MATCH(C254,'Facilities'!$C$9:$C$108,0))-D254+1))-1),0))))</x:f>
      </x:c>
      <x:c r="AH254" s="21" t="str">
        <x:f>IF(C254="","",IF(AQ254&lt;&gt;"Ready","Unavailable",IF(C254="","",O254+P254)))</x:f>
      </x:c>
      <x:c r="AI254" s="21" t="str">
        <x:f>IF(C254="","",IF(AQ254&lt;&gt;"Ready","Unavailable",IF(C254="","",Z254-Y254)))</x:f>
      </x:c>
      <x:c r="AJ254" s="23" t="str">
        <x:f>IF(C254="","",IFERROR(MAX(0,INDEX('Facilities'!$J$9:$J$108,MATCH(C254,'Facilities'!$C$9:$C$108,0))-D254),"Unavailable"))</x:f>
      </x:c>
      <x:c r="AK254" s="21" t="str">
        <x:f>IF(C254="","",IFERROR(AL154,"Unavailable"))</x:f>
      </x:c>
      <x:c r="AL254" s="23" t="str">
        <x:f>IF(C254="","",IFERROR(IF(P254&gt;0,P254*(1-AM254/(1+INDEX('Facilities'!$K$9:$K$108,MATCH(C254,'Facilities'!$C$9:$C$108,0)))^MAX(0,AC254+INDEX('Facilities'!$AK$9:$AK$108,MATCH(C254,'Facilities'!$C$9:$C$108,0))-D254)),0),"Unavailable"))</x:f>
      </x:c>
      <x:c r="AM254" s="30" t="str">
        <x:f>IF(C254="","",IFERROR(INDEX('Facilities'!$AL$9:$AL$108,MATCH(C254,'Facilities'!$C$9:$C$108,0)),"Unavailable"))</x:f>
      </x:c>
      <x:c r="AN254" s="30" t="str">
        <x:f>IF(C254="","",IFERROR(INDEX(Credit!$T$209:$T$308,MATCH(F254,Credit!$C$209:$C$308,0)),"Unavailable"))</x:f>
      </x:c>
      <x:c r="AO254" s="23" t="str">
        <x:f>IF(C254="","",IF(AQ254&lt;&gt;"Ready","Unavailable",IF(C254="","",O254+P254+Q254*INDEX('Facilities'!$I$9:$I$108,MATCH(C254,'Facilities'!$C$9:$C$108,0)))))</x:f>
      </x:c>
      <x:c r="AP254" s="21" t="str">
        <x:f>IF(C254="","",IF(AQ254&lt;&gt;"Ready","Unavailable",IF(C254="","",AH254-U254)))</x:f>
      </x:c>
      <x:c r="AQ254" s="23" t="str">
        <x:f>IFERROR(IF(C254="","",IF(AND(INDEX('Facilities'!$AF$9:$AF$108,MATCH(C254,'Facilities'!$C$9:$C$108,0))="Ready",INDEX(Credit!$U$209:$U$308,MATCH(F254,Credit!$C$209:$C$308,0))="Ready",ISNUMBER(W254)),"Ready","Review inputs")),"Review inputs")</x:f>
      </x:c>
      <x:c r="AR254" s="23" t="str">
        <x:f>IF(C254="","",IF(AQ254&lt;&gt;"Ready","Unavailable",IF(C254="","",IF(O254=0,0,(IF(AJ254&lt;=1,O254,O254*INDEX('Facilities'!$R$9:$R$108,MATCH(C254,'Facilities'!$C$9:$C$108,0)))+O254*INDEX('Facilities'!$T$9:$T$108,MATCH(C254,'Facilities'!$C$9:$C$108,0)))/12))))</x:f>
      </x:c>
    </x:row>
    <x:row r="255" ht="26" customHeight="1">
      <x:c r="A255" s="1"/>
      <x:c r="B255" s="1"/>
      <x:c r="C255" s="9" t="str">
        <x:f>IF(Facilities!C55="","",Facilities!C55)</x:f>
      </x:c>
      <x:c r="D255" s="3" t="n">
        <x:v>3</x:v>
      </x:c>
      <x:c r="E255" s="9" t="n">
        <x:f>Settings!$F$18+2</x:f>
        <x:v>2029</x:v>
      </x:c>
      <x:c r="F255" s="9" t="str">
        <x:f>IF(C255="","",IFERROR(INDEX('Facilities'!$D$9:$D$108,MATCH(C255,'Facilities'!$C$9:$C$108,0)),"Unavailable"))</x:f>
      </x:c>
      <x:c r="G255" s="21" t="str">
        <x:f>IF(C255="","",IFERROR(O155,"Unavailable"))</x:f>
      </x:c>
      <x:c r="H255" s="21" t="str">
        <x:f>IF(C255="","",IFERROR(P155,"Unavailable"))</x:f>
      </x:c>
      <x:c r="I255" s="21" t="str">
        <x:f>IF(C255="","",IFERROR(Q155,"Unavailable"))</x:f>
      </x:c>
      <x:c r="J255" s="23" t="str">
        <x:f>IF(C255="","",IFERROR(IF(OR(H255&gt;0,AND(AC255&gt;=0,AC255&lt;D255),D255&gt;INDEX('Facilities'!$J$9:$J$108,MATCH(C255,'Facilities'!$C$9:$C$108,0))),0,I255*'Scenario Paths'!H81),"Unavailable"))</x:f>
      </x:c>
      <x:c r="K255" s="23" t="str">
        <x:f>IF(C255="","",IFERROR(IF(OR(H255&gt;0,AND(AC255&gt;=0,AC255=D255)),0,IF(D255&gt;=INDEX('Facilities'!$J$9:$J$108,MATCH(C255,'Facilities'!$C$9:$C$108,0)),G255+J255,MIN(G255+J255,G255*INDEX('Facilities'!$R$9:$R$108,MATCH(C255,'Facilities'!$C$9:$C$108,0))))),"Unavailable"))</x:f>
      </x:c>
      <x:c r="L255" s="21" t="str">
        <x:f>IF(C255="","",IFERROR(IF(AND(AC255=D255,AC255&gt;0),MAX(0,G255+J255-K255),0),"Unavailable"))</x:f>
      </x:c>
      <x:c r="M255" s="23" t="str">
        <x:f>IF(C255="","",IFERROR(IF(AND(AC255&gt;=0,D255&gt;=AC255+INDEX('Facilities'!$AK$9:$AK$108,MATCH(C255,'Facilities'!$C$9:$C$108,0))),(H255+L255)*AM255,0),"Unavailable"))</x:f>
      </x:c>
      <x:c r="N255" s="23" t="str">
        <x:f>IF(C255="","",IFERROR(IF(AND(AC255&gt;=0,D255&gt;=AC255+INDEX('Facilities'!$AK$9:$AK$108,MATCH(C255,'Facilities'!$C$9:$C$108,0))),H255+L255-M255,0),"Unavailable"))</x:f>
      </x:c>
      <x:c r="O255" s="21" t="str">
        <x:f>IF(C255="","",IFERROR(MAX(0,G255+J255-K255-L255),"Unavailable"))</x:f>
      </x:c>
      <x:c r="P255" s="21" t="str">
        <x:f>IF(C255="","",IFERROR(MAX(0,H255+L255-M255-N255),"Unavailable"))</x:f>
      </x:c>
      <x:c r="Q255" s="23" t="str">
        <x:f>IF(C255="","",IFERROR(IF(OR(D255&gt;=INDEX('Facilities'!$J$9:$J$108,MATCH(C255,'Facilities'!$C$9:$C$108,0)),AND(AC255&gt;=0,AC255&lt;=D255)),0,MAX(0,I255-J255)),"Unavailable"))</x:f>
      </x:c>
      <x:c r="R255" s="30" t="str">
        <x:f>IF(C255="","",IFERROR(INDEX(Credit!$Q$209:$Q$308,MATCH(F255,Credit!$C$209:$C$308,0)),"Unavailable"))</x:f>
      </x:c>
      <x:c r="S255" s="30" t="str">
        <x:f>IF(C255="","",IFERROR(INDEX(Credit!$R$209:$R$308,MATCH(F255,Credit!$C$209:$C$308,0)),"Unavailable"))</x:f>
      </x:c>
      <x:c r="T255" s="23" t="str">
        <x:f>IF(C255="","",IFERROR(IF(P255&gt;0,3,IF(OR(INDEX('Facilities'!$AD$9:$AD$108,MATCH(C255,'Facilities'!$C$9:$C$108,0))=2,AND(R255&gt;=INDEX('Facilities'!$L$9:$L$108,MATCH(C255,'Facilities'!$C$9:$C$108,0))*Settings!$F$19,R255-INDEX('Facilities'!$L$9:$L$108,MATCH(C255,'Facilities'!$C$9:$C$108,0))&gt;=Settings!$F$20)),2,1)),"Unavailable"))</x:f>
      </x:c>
      <x:c r="U255" s="23" t="str">
        <x:f>IF(C255="","",IF(AQ255&lt;&gt;"Ready","Unavailable",IF(C255="","",O255*(1-(1-S255)/(1+INDEX('Facilities'!$K$9:$K$108,MATCH(C255,'Facilities'!$C$9:$C$108,0)))^INDEX('Facilities'!$AK$9:$AK$108,MATCH(C255,'Facilities'!$C$9:$C$108,0)))*R255/(1+INDEX('Facilities'!$K$9:$K$108,MATCH(C255,'Facilities'!$C$9:$C$108,0)))*IF(ABS(1-(1-R255)*(1-INDEX('Facilities'!$R$9:$R$108,MATCH(C255,'Facilities'!$C$9:$C$108,0)))/(1+INDEX('Facilities'!$K$9:$K$108,MATCH(C255,'Facilities'!$C$9:$C$108,0))))&lt;0.000000001,IF(T255=1,MIN(1,AJ255),AJ255),(1-((1-R255)*(1-INDEX('Facilities'!$R$9:$R$108,MATCH(C255,'Facilities'!$C$9:$C$108,0)))/(1+INDEX('Facilities'!$K$9:$K$108,MATCH(C255,'Facilities'!$C$9:$C$108,0))))^IF(T255=1,MIN(1,AJ255),AJ255))/(1-(1-R255)*(1-INDEX('Facilities'!$R$9:$R$108,MATCH(C255,'Facilities'!$C$9:$C$108,0)))/(1+INDEX('Facilities'!$K$9:$K$108,MATCH(C255,'Facilities'!$C$9:$C$108,0)))))+AL255)))</x:f>
      </x:c>
      <x:c r="V255" s="23" t="str">
        <x:f>IF(C255="","",IF(AQ255&lt;&gt;"Ready","Unavailable",IF(C255="","",Q255*INDEX('Facilities'!$I$9:$I$108,MATCH(C255,'Facilities'!$C$9:$C$108,0))*(1-(1-S255)/(1+INDEX('Facilities'!$K$9:$K$108,MATCH(C255,'Facilities'!$C$9:$C$108,0)))^INDEX('Facilities'!$AK$9:$AK$108,MATCH(C255,'Facilities'!$C$9:$C$108,0)))*R255/(1+INDEX('Facilities'!$K$9:$K$108,MATCH(C255,'Facilities'!$C$9:$C$108,0)))*IF(ABS(1-(1-R255)*(1-0)/(1+INDEX('Facilities'!$K$9:$K$108,MATCH(C255,'Facilities'!$C$9:$C$108,0))))&lt;0.000000001,IF(T255=1,MIN(1,AJ255),AJ255),(1-((1-R255)*(1-0)/(1+INDEX('Facilities'!$K$9:$K$108,MATCH(C255,'Facilities'!$C$9:$C$108,0))))^IF(T255=1,MIN(1,AJ255),AJ255))/(1-(1-R255)*(1-0)/(1+INDEX('Facilities'!$K$9:$K$108,MATCH(C255,'Facilities'!$C$9:$C$108,0))))))))</x:f>
      </x:c>
      <x:c r="W255" s="21" t="str">
        <x:f>IF(C255="","",IFERROR(U155,"Unavailable"))</x:f>
      </x:c>
      <x:c r="X255" s="21" t="str">
        <x:f>IF(C255="","",IFERROR(V155,"Unavailable"))</x:f>
      </x:c>
      <x:c r="Y255" s="21" t="str">
        <x:f>IF(C255="","",IF(AQ255&lt;&gt;"Ready","Unavailable",IF(C255="","",U255-W255+V255-X255+N255+AG255)))</x:f>
      </x:c>
      <x:c r="Z255" s="23" t="str">
        <x:f>IF(C255="","",IF(AQ255&lt;&gt;"Ready","Unavailable",IF(C255="","",(G255+O255+L255)/2*INDEX('Facilities'!$T$9:$T$108,MATCH(C255,'Facilities'!$C$9:$C$108,0))+AG255)))</x:f>
      </x:c>
      <x:c r="AA255" s="23" t="str">
        <x:f>IF(C255="","",IF(AQ255&lt;&gt;"Ready","Unavailable",IF(C255="","",O255*(1-IF(INDEX('Facilities'!$AA$9:$AA$108,MATCH(C255,'Facilities'!$C$9:$C$108,0))=0,0,MIN(1,INDEX('Facilities'!$X$9:$X$108,MATCH(C255,'Facilities'!$C$9:$C$108,0))/INDEX('Facilities'!$AA$9:$AA$108,MATCH(C255,'Facilities'!$C$9:$C$108,0)))))*AF255+P255*(1-IF(INDEX('Facilities'!$AA$9:$AA$108,MATCH(C255,'Facilities'!$C$9:$C$108,0))=0,0,MIN(1,INDEX('Facilities'!$X$9:$X$108,MATCH(C255,'Facilities'!$C$9:$C$108,0))/INDEX('Facilities'!$AA$9:$AA$108,MATCH(C255,'Facilities'!$C$9:$C$108,0)))))*INDEX('Facilities'!$AJ$9:$AJ$108,MATCH(C255,'Facilities'!$C$9:$C$108,0))+Q255*INDEX('Facilities'!$AI$9:$AI$108,MATCH(C255,'Facilities'!$C$9:$C$108,0))*AF255)))</x:f>
      </x:c>
      <x:c r="AB255" s="21" t="str">
        <x:f>IF(C255="","",O255+P255-AD255)</x:f>
      </x:c>
      <x:c r="AC255" s="23" t="str">
        <x:f>IF(C255="","",IFERROR(IF(INDEX('Facilities'!$AD$9:$AD$108,MATCH(C255,'Facilities'!$C$9:$C$108,0))=3,0,IF(INDEX('Facilities'!$AN$9:$AN$108,MATCH(C255,'Facilities'!$C$9:$C$108,0))=0,-1,INDEX('Facilities'!$AN$9:$AN$108,MATCH(C255,'Facilities'!$C$9:$C$108,0)))),"Unavailable"))</x:f>
      </x:c>
      <x:c r="AD255" s="21" t="str">
        <x:f>IF(C255="","",IFERROR(G255+H255,"Unavailable"))</x:f>
      </x:c>
      <x:c r="AE255" s="21" t="str">
        <x:f>IF(C255="","",IF(AQ255&lt;&gt;"Ready","Unavailable",IF(C255="","",O255+P255-AD255-J255+K255+M255+N255)))</x:f>
      </x:c>
      <x:c r="AF255" s="30" t="str">
        <x:f>IF(C255="","",IFERROR(INDEX('Facilities'!$S$9:$S$108,MATCH(C255,'Facilities'!$C$9:$C$108,0))*'Scenario Paths'!H75,"Unavailable"))</x:f>
      </x:c>
      <x:c r="AG255" s="23" t="str">
        <x:f>IF(C255="","",IF(AQ255&lt;&gt;"Ready","Unavailable",IF(C255="","",IF(H255&gt;0,MAX(0,H255-AK255)*((1+INDEX('Facilities'!$K$9:$K$108,MATCH(C255,'Facilities'!$C$9:$C$108,0)))^MIN(1,MAX(0,AC255+INDEX('Facilities'!$AK$9:$AK$108,MATCH(C255,'Facilities'!$C$9:$C$108,0))-D255+1))-1),0))))</x:f>
      </x:c>
      <x:c r="AH255" s="21" t="str">
        <x:f>IF(C255="","",IF(AQ255&lt;&gt;"Ready","Unavailable",IF(C255="","",O255+P255)))</x:f>
      </x:c>
      <x:c r="AI255" s="21" t="str">
        <x:f>IF(C255="","",IF(AQ255&lt;&gt;"Ready","Unavailable",IF(C255="","",Z255-Y255)))</x:f>
      </x:c>
      <x:c r="AJ255" s="23" t="str">
        <x:f>IF(C255="","",IFERROR(MAX(0,INDEX('Facilities'!$J$9:$J$108,MATCH(C255,'Facilities'!$C$9:$C$108,0))-D255),"Unavailable"))</x:f>
      </x:c>
      <x:c r="AK255" s="21" t="str">
        <x:f>IF(C255="","",IFERROR(AL155,"Unavailable"))</x:f>
      </x:c>
      <x:c r="AL255" s="23" t="str">
        <x:f>IF(C255="","",IFERROR(IF(P255&gt;0,P255*(1-AM255/(1+INDEX('Facilities'!$K$9:$K$108,MATCH(C255,'Facilities'!$C$9:$C$108,0)))^MAX(0,AC255+INDEX('Facilities'!$AK$9:$AK$108,MATCH(C255,'Facilities'!$C$9:$C$108,0))-D255)),0),"Unavailable"))</x:f>
      </x:c>
      <x:c r="AM255" s="30" t="str">
        <x:f>IF(C255="","",IFERROR(INDEX('Facilities'!$AL$9:$AL$108,MATCH(C255,'Facilities'!$C$9:$C$108,0)),"Unavailable"))</x:f>
      </x:c>
      <x:c r="AN255" s="30" t="str">
        <x:f>IF(C255="","",IFERROR(INDEX(Credit!$T$209:$T$308,MATCH(F255,Credit!$C$209:$C$308,0)),"Unavailable"))</x:f>
      </x:c>
      <x:c r="AO255" s="23" t="str">
        <x:f>IF(C255="","",IF(AQ255&lt;&gt;"Ready","Unavailable",IF(C255="","",O255+P255+Q255*INDEX('Facilities'!$I$9:$I$108,MATCH(C255,'Facilities'!$C$9:$C$108,0)))))</x:f>
      </x:c>
      <x:c r="AP255" s="21" t="str">
        <x:f>IF(C255="","",IF(AQ255&lt;&gt;"Ready","Unavailable",IF(C255="","",AH255-U255)))</x:f>
      </x:c>
      <x:c r="AQ255" s="23" t="str">
        <x:f>IFERROR(IF(C255="","",IF(AND(INDEX('Facilities'!$AF$9:$AF$108,MATCH(C255,'Facilities'!$C$9:$C$108,0))="Ready",INDEX(Credit!$U$209:$U$308,MATCH(F255,Credit!$C$209:$C$308,0))="Ready",ISNUMBER(W255)),"Ready","Review inputs")),"Review inputs")</x:f>
      </x:c>
      <x:c r="AR255" s="23" t="str">
        <x:f>IF(C255="","",IF(AQ255&lt;&gt;"Ready","Unavailable",IF(C255="","",IF(O255=0,0,(IF(AJ255&lt;=1,O255,O255*INDEX('Facilities'!$R$9:$R$108,MATCH(C255,'Facilities'!$C$9:$C$108,0)))+O255*INDEX('Facilities'!$T$9:$T$108,MATCH(C255,'Facilities'!$C$9:$C$108,0)))/12))))</x:f>
      </x:c>
    </x:row>
    <x:row r="256" ht="26" customHeight="1">
      <x:c r="A256" s="1"/>
      <x:c r="B256" s="1"/>
      <x:c r="C256" s="9" t="str">
        <x:f>IF(Facilities!C56="","",Facilities!C56)</x:f>
      </x:c>
      <x:c r="D256" s="3" t="n">
        <x:v>3</x:v>
      </x:c>
      <x:c r="E256" s="9" t="n">
        <x:f>Settings!$F$18+2</x:f>
        <x:v>2029</x:v>
      </x:c>
      <x:c r="F256" s="9" t="str">
        <x:f>IF(C256="","",IFERROR(INDEX('Facilities'!$D$9:$D$108,MATCH(C256,'Facilities'!$C$9:$C$108,0)),"Unavailable"))</x:f>
      </x:c>
      <x:c r="G256" s="21" t="str">
        <x:f>IF(C256="","",IFERROR(O156,"Unavailable"))</x:f>
      </x:c>
      <x:c r="H256" s="21" t="str">
        <x:f>IF(C256="","",IFERROR(P156,"Unavailable"))</x:f>
      </x:c>
      <x:c r="I256" s="21" t="str">
        <x:f>IF(C256="","",IFERROR(Q156,"Unavailable"))</x:f>
      </x:c>
      <x:c r="J256" s="23" t="str">
        <x:f>IF(C256="","",IFERROR(IF(OR(H256&gt;0,AND(AC256&gt;=0,AC256&lt;D256),D256&gt;INDEX('Facilities'!$J$9:$J$108,MATCH(C256,'Facilities'!$C$9:$C$108,0))),0,I256*'Scenario Paths'!H81),"Unavailable"))</x:f>
      </x:c>
      <x:c r="K256" s="23" t="str">
        <x:f>IF(C256="","",IFERROR(IF(OR(H256&gt;0,AND(AC256&gt;=0,AC256=D256)),0,IF(D256&gt;=INDEX('Facilities'!$J$9:$J$108,MATCH(C256,'Facilities'!$C$9:$C$108,0)),G256+J256,MIN(G256+J256,G256*INDEX('Facilities'!$R$9:$R$108,MATCH(C256,'Facilities'!$C$9:$C$108,0))))),"Unavailable"))</x:f>
      </x:c>
      <x:c r="L256" s="21" t="str">
        <x:f>IF(C256="","",IFERROR(IF(AND(AC256=D256,AC256&gt;0),MAX(0,G256+J256-K256),0),"Unavailable"))</x:f>
      </x:c>
      <x:c r="M256" s="23" t="str">
        <x:f>IF(C256="","",IFERROR(IF(AND(AC256&gt;=0,D256&gt;=AC256+INDEX('Facilities'!$AK$9:$AK$108,MATCH(C256,'Facilities'!$C$9:$C$108,0))),(H256+L256)*AM256,0),"Unavailable"))</x:f>
      </x:c>
      <x:c r="N256" s="23" t="str">
        <x:f>IF(C256="","",IFERROR(IF(AND(AC256&gt;=0,D256&gt;=AC256+INDEX('Facilities'!$AK$9:$AK$108,MATCH(C256,'Facilities'!$C$9:$C$108,0))),H256+L256-M256,0),"Unavailable"))</x:f>
      </x:c>
      <x:c r="O256" s="21" t="str">
        <x:f>IF(C256="","",IFERROR(MAX(0,G256+J256-K256-L256),"Unavailable"))</x:f>
      </x:c>
      <x:c r="P256" s="21" t="str">
        <x:f>IF(C256="","",IFERROR(MAX(0,H256+L256-M256-N256),"Unavailable"))</x:f>
      </x:c>
      <x:c r="Q256" s="23" t="str">
        <x:f>IF(C256="","",IFERROR(IF(OR(D256&gt;=INDEX('Facilities'!$J$9:$J$108,MATCH(C256,'Facilities'!$C$9:$C$108,0)),AND(AC256&gt;=0,AC256&lt;=D256)),0,MAX(0,I256-J256)),"Unavailable"))</x:f>
      </x:c>
      <x:c r="R256" s="30" t="str">
        <x:f>IF(C256="","",IFERROR(INDEX(Credit!$Q$209:$Q$308,MATCH(F256,Credit!$C$209:$C$308,0)),"Unavailable"))</x:f>
      </x:c>
      <x:c r="S256" s="30" t="str">
        <x:f>IF(C256="","",IFERROR(INDEX(Credit!$R$209:$R$308,MATCH(F256,Credit!$C$209:$C$308,0)),"Unavailable"))</x:f>
      </x:c>
      <x:c r="T256" s="23" t="str">
        <x:f>IF(C256="","",IFERROR(IF(P256&gt;0,3,IF(OR(INDEX('Facilities'!$AD$9:$AD$108,MATCH(C256,'Facilities'!$C$9:$C$108,0))=2,AND(R256&gt;=INDEX('Facilities'!$L$9:$L$108,MATCH(C256,'Facilities'!$C$9:$C$108,0))*Settings!$F$19,R256-INDEX('Facilities'!$L$9:$L$108,MATCH(C256,'Facilities'!$C$9:$C$108,0))&gt;=Settings!$F$20)),2,1)),"Unavailable"))</x:f>
      </x:c>
      <x:c r="U256" s="23" t="str">
        <x:f>IF(C256="","",IF(AQ256&lt;&gt;"Ready","Unavailable",IF(C256="","",O256*(1-(1-S256)/(1+INDEX('Facilities'!$K$9:$K$108,MATCH(C256,'Facilities'!$C$9:$C$108,0)))^INDEX('Facilities'!$AK$9:$AK$108,MATCH(C256,'Facilities'!$C$9:$C$108,0)))*R256/(1+INDEX('Facilities'!$K$9:$K$108,MATCH(C256,'Facilities'!$C$9:$C$108,0)))*IF(ABS(1-(1-R256)*(1-INDEX('Facilities'!$R$9:$R$108,MATCH(C256,'Facilities'!$C$9:$C$108,0)))/(1+INDEX('Facilities'!$K$9:$K$108,MATCH(C256,'Facilities'!$C$9:$C$108,0))))&lt;0.000000001,IF(T256=1,MIN(1,AJ256),AJ256),(1-((1-R256)*(1-INDEX('Facilities'!$R$9:$R$108,MATCH(C256,'Facilities'!$C$9:$C$108,0)))/(1+INDEX('Facilities'!$K$9:$K$108,MATCH(C256,'Facilities'!$C$9:$C$108,0))))^IF(T256=1,MIN(1,AJ256),AJ256))/(1-(1-R256)*(1-INDEX('Facilities'!$R$9:$R$108,MATCH(C256,'Facilities'!$C$9:$C$108,0)))/(1+INDEX('Facilities'!$K$9:$K$108,MATCH(C256,'Facilities'!$C$9:$C$108,0)))))+AL256)))</x:f>
      </x:c>
      <x:c r="V256" s="23" t="str">
        <x:f>IF(C256="","",IF(AQ256&lt;&gt;"Ready","Unavailable",IF(C256="","",Q256*INDEX('Facilities'!$I$9:$I$108,MATCH(C256,'Facilities'!$C$9:$C$108,0))*(1-(1-S256)/(1+INDEX('Facilities'!$K$9:$K$108,MATCH(C256,'Facilities'!$C$9:$C$108,0)))^INDEX('Facilities'!$AK$9:$AK$108,MATCH(C256,'Facilities'!$C$9:$C$108,0)))*R256/(1+INDEX('Facilities'!$K$9:$K$108,MATCH(C256,'Facilities'!$C$9:$C$108,0)))*IF(ABS(1-(1-R256)*(1-0)/(1+INDEX('Facilities'!$K$9:$K$108,MATCH(C256,'Facilities'!$C$9:$C$108,0))))&lt;0.000000001,IF(T256=1,MIN(1,AJ256),AJ256),(1-((1-R256)*(1-0)/(1+INDEX('Facilities'!$K$9:$K$108,MATCH(C256,'Facilities'!$C$9:$C$108,0))))^IF(T256=1,MIN(1,AJ256),AJ256))/(1-(1-R256)*(1-0)/(1+INDEX('Facilities'!$K$9:$K$108,MATCH(C256,'Facilities'!$C$9:$C$108,0))))))))</x:f>
      </x:c>
      <x:c r="W256" s="21" t="str">
        <x:f>IF(C256="","",IFERROR(U156,"Unavailable"))</x:f>
      </x:c>
      <x:c r="X256" s="21" t="str">
        <x:f>IF(C256="","",IFERROR(V156,"Unavailable"))</x:f>
      </x:c>
      <x:c r="Y256" s="21" t="str">
        <x:f>IF(C256="","",IF(AQ256&lt;&gt;"Ready","Unavailable",IF(C256="","",U256-W256+V256-X256+N256+AG256)))</x:f>
      </x:c>
      <x:c r="Z256" s="23" t="str">
        <x:f>IF(C256="","",IF(AQ256&lt;&gt;"Ready","Unavailable",IF(C256="","",(G256+O256+L256)/2*INDEX('Facilities'!$T$9:$T$108,MATCH(C256,'Facilities'!$C$9:$C$108,0))+AG256)))</x:f>
      </x:c>
      <x:c r="AA256" s="23" t="str">
        <x:f>IF(C256="","",IF(AQ256&lt;&gt;"Ready","Unavailable",IF(C256="","",O256*(1-IF(INDEX('Facilities'!$AA$9:$AA$108,MATCH(C256,'Facilities'!$C$9:$C$108,0))=0,0,MIN(1,INDEX('Facilities'!$X$9:$X$108,MATCH(C256,'Facilities'!$C$9:$C$108,0))/INDEX('Facilities'!$AA$9:$AA$108,MATCH(C256,'Facilities'!$C$9:$C$108,0)))))*AF256+P256*(1-IF(INDEX('Facilities'!$AA$9:$AA$108,MATCH(C256,'Facilities'!$C$9:$C$108,0))=0,0,MIN(1,INDEX('Facilities'!$X$9:$X$108,MATCH(C256,'Facilities'!$C$9:$C$108,0))/INDEX('Facilities'!$AA$9:$AA$108,MATCH(C256,'Facilities'!$C$9:$C$108,0)))))*INDEX('Facilities'!$AJ$9:$AJ$108,MATCH(C256,'Facilities'!$C$9:$C$108,0))+Q256*INDEX('Facilities'!$AI$9:$AI$108,MATCH(C256,'Facilities'!$C$9:$C$108,0))*AF256)))</x:f>
      </x:c>
      <x:c r="AB256" s="21" t="str">
        <x:f>IF(C256="","",O256+P256-AD256)</x:f>
      </x:c>
      <x:c r="AC256" s="23" t="str">
        <x:f>IF(C256="","",IFERROR(IF(INDEX('Facilities'!$AD$9:$AD$108,MATCH(C256,'Facilities'!$C$9:$C$108,0))=3,0,IF(INDEX('Facilities'!$AN$9:$AN$108,MATCH(C256,'Facilities'!$C$9:$C$108,0))=0,-1,INDEX('Facilities'!$AN$9:$AN$108,MATCH(C256,'Facilities'!$C$9:$C$108,0)))),"Unavailable"))</x:f>
      </x:c>
      <x:c r="AD256" s="21" t="str">
        <x:f>IF(C256="","",IFERROR(G256+H256,"Unavailable"))</x:f>
      </x:c>
      <x:c r="AE256" s="21" t="str">
        <x:f>IF(C256="","",IF(AQ256&lt;&gt;"Ready","Unavailable",IF(C256="","",O256+P256-AD256-J256+K256+M256+N256)))</x:f>
      </x:c>
      <x:c r="AF256" s="30" t="str">
        <x:f>IF(C256="","",IFERROR(INDEX('Facilities'!$S$9:$S$108,MATCH(C256,'Facilities'!$C$9:$C$108,0))*'Scenario Paths'!H75,"Unavailable"))</x:f>
      </x:c>
      <x:c r="AG256" s="23" t="str">
        <x:f>IF(C256="","",IF(AQ256&lt;&gt;"Ready","Unavailable",IF(C256="","",IF(H256&gt;0,MAX(0,H256-AK256)*((1+INDEX('Facilities'!$K$9:$K$108,MATCH(C256,'Facilities'!$C$9:$C$108,0)))^MIN(1,MAX(0,AC256+INDEX('Facilities'!$AK$9:$AK$108,MATCH(C256,'Facilities'!$C$9:$C$108,0))-D256+1))-1),0))))</x:f>
      </x:c>
      <x:c r="AH256" s="21" t="str">
        <x:f>IF(C256="","",IF(AQ256&lt;&gt;"Ready","Unavailable",IF(C256="","",O256+P256)))</x:f>
      </x:c>
      <x:c r="AI256" s="21" t="str">
        <x:f>IF(C256="","",IF(AQ256&lt;&gt;"Ready","Unavailable",IF(C256="","",Z256-Y256)))</x:f>
      </x:c>
      <x:c r="AJ256" s="23" t="str">
        <x:f>IF(C256="","",IFERROR(MAX(0,INDEX('Facilities'!$J$9:$J$108,MATCH(C256,'Facilities'!$C$9:$C$108,0))-D256),"Unavailable"))</x:f>
      </x:c>
      <x:c r="AK256" s="21" t="str">
        <x:f>IF(C256="","",IFERROR(AL156,"Unavailable"))</x:f>
      </x:c>
      <x:c r="AL256" s="23" t="str">
        <x:f>IF(C256="","",IFERROR(IF(P256&gt;0,P256*(1-AM256/(1+INDEX('Facilities'!$K$9:$K$108,MATCH(C256,'Facilities'!$C$9:$C$108,0)))^MAX(0,AC256+INDEX('Facilities'!$AK$9:$AK$108,MATCH(C256,'Facilities'!$C$9:$C$108,0))-D256)),0),"Unavailable"))</x:f>
      </x:c>
      <x:c r="AM256" s="30" t="str">
        <x:f>IF(C256="","",IFERROR(INDEX('Facilities'!$AL$9:$AL$108,MATCH(C256,'Facilities'!$C$9:$C$108,0)),"Unavailable"))</x:f>
      </x:c>
      <x:c r="AN256" s="30" t="str">
        <x:f>IF(C256="","",IFERROR(INDEX(Credit!$T$209:$T$308,MATCH(F256,Credit!$C$209:$C$308,0)),"Unavailable"))</x:f>
      </x:c>
      <x:c r="AO256" s="23" t="str">
        <x:f>IF(C256="","",IF(AQ256&lt;&gt;"Ready","Unavailable",IF(C256="","",O256+P256+Q256*INDEX('Facilities'!$I$9:$I$108,MATCH(C256,'Facilities'!$C$9:$C$108,0)))))</x:f>
      </x:c>
      <x:c r="AP256" s="21" t="str">
        <x:f>IF(C256="","",IF(AQ256&lt;&gt;"Ready","Unavailable",IF(C256="","",AH256-U256)))</x:f>
      </x:c>
      <x:c r="AQ256" s="23" t="str">
        <x:f>IFERROR(IF(C256="","",IF(AND(INDEX('Facilities'!$AF$9:$AF$108,MATCH(C256,'Facilities'!$C$9:$C$108,0))="Ready",INDEX(Credit!$U$209:$U$308,MATCH(F256,Credit!$C$209:$C$308,0))="Ready",ISNUMBER(W256)),"Ready","Review inputs")),"Review inputs")</x:f>
      </x:c>
      <x:c r="AR256" s="23" t="str">
        <x:f>IF(C256="","",IF(AQ256&lt;&gt;"Ready","Unavailable",IF(C256="","",IF(O256=0,0,(IF(AJ256&lt;=1,O256,O256*INDEX('Facilities'!$R$9:$R$108,MATCH(C256,'Facilities'!$C$9:$C$108,0)))+O256*INDEX('Facilities'!$T$9:$T$108,MATCH(C256,'Facilities'!$C$9:$C$108,0)))/12))))</x:f>
      </x:c>
    </x:row>
    <x:row r="257" ht="26" customHeight="1">
      <x:c r="A257" s="1"/>
      <x:c r="B257" s="1"/>
      <x:c r="C257" s="9" t="str">
        <x:f>IF(Facilities!C57="","",Facilities!C57)</x:f>
      </x:c>
      <x:c r="D257" s="3" t="n">
        <x:v>3</x:v>
      </x:c>
      <x:c r="E257" s="9" t="n">
        <x:f>Settings!$F$18+2</x:f>
        <x:v>2029</x:v>
      </x:c>
      <x:c r="F257" s="9" t="str">
        <x:f>IF(C257="","",IFERROR(INDEX('Facilities'!$D$9:$D$108,MATCH(C257,'Facilities'!$C$9:$C$108,0)),"Unavailable"))</x:f>
      </x:c>
      <x:c r="G257" s="21" t="str">
        <x:f>IF(C257="","",IFERROR(O157,"Unavailable"))</x:f>
      </x:c>
      <x:c r="H257" s="21" t="str">
        <x:f>IF(C257="","",IFERROR(P157,"Unavailable"))</x:f>
      </x:c>
      <x:c r="I257" s="21" t="str">
        <x:f>IF(C257="","",IFERROR(Q157,"Unavailable"))</x:f>
      </x:c>
      <x:c r="J257" s="23" t="str">
        <x:f>IF(C257="","",IFERROR(IF(OR(H257&gt;0,AND(AC257&gt;=0,AC257&lt;D257),D257&gt;INDEX('Facilities'!$J$9:$J$108,MATCH(C257,'Facilities'!$C$9:$C$108,0))),0,I257*'Scenario Paths'!H81),"Unavailable"))</x:f>
      </x:c>
      <x:c r="K257" s="23" t="str">
        <x:f>IF(C257="","",IFERROR(IF(OR(H257&gt;0,AND(AC257&gt;=0,AC257=D257)),0,IF(D257&gt;=INDEX('Facilities'!$J$9:$J$108,MATCH(C257,'Facilities'!$C$9:$C$108,0)),G257+J257,MIN(G257+J257,G257*INDEX('Facilities'!$R$9:$R$108,MATCH(C257,'Facilities'!$C$9:$C$108,0))))),"Unavailable"))</x:f>
      </x:c>
      <x:c r="L257" s="21" t="str">
        <x:f>IF(C257="","",IFERROR(IF(AND(AC257=D257,AC257&gt;0),MAX(0,G257+J257-K257),0),"Unavailable"))</x:f>
      </x:c>
      <x:c r="M257" s="23" t="str">
        <x:f>IF(C257="","",IFERROR(IF(AND(AC257&gt;=0,D257&gt;=AC257+INDEX('Facilities'!$AK$9:$AK$108,MATCH(C257,'Facilities'!$C$9:$C$108,0))),(H257+L257)*AM257,0),"Unavailable"))</x:f>
      </x:c>
      <x:c r="N257" s="23" t="str">
        <x:f>IF(C257="","",IFERROR(IF(AND(AC257&gt;=0,D257&gt;=AC257+INDEX('Facilities'!$AK$9:$AK$108,MATCH(C257,'Facilities'!$C$9:$C$108,0))),H257+L257-M257,0),"Unavailable"))</x:f>
      </x:c>
      <x:c r="O257" s="21" t="str">
        <x:f>IF(C257="","",IFERROR(MAX(0,G257+J257-K257-L257),"Unavailable"))</x:f>
      </x:c>
      <x:c r="P257" s="21" t="str">
        <x:f>IF(C257="","",IFERROR(MAX(0,H257+L257-M257-N257),"Unavailable"))</x:f>
      </x:c>
      <x:c r="Q257" s="23" t="str">
        <x:f>IF(C257="","",IFERROR(IF(OR(D257&gt;=INDEX('Facilities'!$J$9:$J$108,MATCH(C257,'Facilities'!$C$9:$C$108,0)),AND(AC257&gt;=0,AC257&lt;=D257)),0,MAX(0,I257-J257)),"Unavailable"))</x:f>
      </x:c>
      <x:c r="R257" s="30" t="str">
        <x:f>IF(C257="","",IFERROR(INDEX(Credit!$Q$209:$Q$308,MATCH(F257,Credit!$C$209:$C$308,0)),"Unavailable"))</x:f>
      </x:c>
      <x:c r="S257" s="30" t="str">
        <x:f>IF(C257="","",IFERROR(INDEX(Credit!$R$209:$R$308,MATCH(F257,Credit!$C$209:$C$308,0)),"Unavailable"))</x:f>
      </x:c>
      <x:c r="T257" s="23" t="str">
        <x:f>IF(C257="","",IFERROR(IF(P257&gt;0,3,IF(OR(INDEX('Facilities'!$AD$9:$AD$108,MATCH(C257,'Facilities'!$C$9:$C$108,0))=2,AND(R257&gt;=INDEX('Facilities'!$L$9:$L$108,MATCH(C257,'Facilities'!$C$9:$C$108,0))*Settings!$F$19,R257-INDEX('Facilities'!$L$9:$L$108,MATCH(C257,'Facilities'!$C$9:$C$108,0))&gt;=Settings!$F$20)),2,1)),"Unavailable"))</x:f>
      </x:c>
      <x:c r="U257" s="23" t="str">
        <x:f>IF(C257="","",IF(AQ257&lt;&gt;"Ready","Unavailable",IF(C257="","",O257*(1-(1-S257)/(1+INDEX('Facilities'!$K$9:$K$108,MATCH(C257,'Facilities'!$C$9:$C$108,0)))^INDEX('Facilities'!$AK$9:$AK$108,MATCH(C257,'Facilities'!$C$9:$C$108,0)))*R257/(1+INDEX('Facilities'!$K$9:$K$108,MATCH(C257,'Facilities'!$C$9:$C$108,0)))*IF(ABS(1-(1-R257)*(1-INDEX('Facilities'!$R$9:$R$108,MATCH(C257,'Facilities'!$C$9:$C$108,0)))/(1+INDEX('Facilities'!$K$9:$K$108,MATCH(C257,'Facilities'!$C$9:$C$108,0))))&lt;0.000000001,IF(T257=1,MIN(1,AJ257),AJ257),(1-((1-R257)*(1-INDEX('Facilities'!$R$9:$R$108,MATCH(C257,'Facilities'!$C$9:$C$108,0)))/(1+INDEX('Facilities'!$K$9:$K$108,MATCH(C257,'Facilities'!$C$9:$C$108,0))))^IF(T257=1,MIN(1,AJ257),AJ257))/(1-(1-R257)*(1-INDEX('Facilities'!$R$9:$R$108,MATCH(C257,'Facilities'!$C$9:$C$108,0)))/(1+INDEX('Facilities'!$K$9:$K$108,MATCH(C257,'Facilities'!$C$9:$C$108,0)))))+AL257)))</x:f>
      </x:c>
      <x:c r="V257" s="23" t="str">
        <x:f>IF(C257="","",IF(AQ257&lt;&gt;"Ready","Unavailable",IF(C257="","",Q257*INDEX('Facilities'!$I$9:$I$108,MATCH(C257,'Facilities'!$C$9:$C$108,0))*(1-(1-S257)/(1+INDEX('Facilities'!$K$9:$K$108,MATCH(C257,'Facilities'!$C$9:$C$108,0)))^INDEX('Facilities'!$AK$9:$AK$108,MATCH(C257,'Facilities'!$C$9:$C$108,0)))*R257/(1+INDEX('Facilities'!$K$9:$K$108,MATCH(C257,'Facilities'!$C$9:$C$108,0)))*IF(ABS(1-(1-R257)*(1-0)/(1+INDEX('Facilities'!$K$9:$K$108,MATCH(C257,'Facilities'!$C$9:$C$108,0))))&lt;0.000000001,IF(T257=1,MIN(1,AJ257),AJ257),(1-((1-R257)*(1-0)/(1+INDEX('Facilities'!$K$9:$K$108,MATCH(C257,'Facilities'!$C$9:$C$108,0))))^IF(T257=1,MIN(1,AJ257),AJ257))/(1-(1-R257)*(1-0)/(1+INDEX('Facilities'!$K$9:$K$108,MATCH(C257,'Facilities'!$C$9:$C$108,0))))))))</x:f>
      </x:c>
      <x:c r="W257" s="21" t="str">
        <x:f>IF(C257="","",IFERROR(U157,"Unavailable"))</x:f>
      </x:c>
      <x:c r="X257" s="21" t="str">
        <x:f>IF(C257="","",IFERROR(V157,"Unavailable"))</x:f>
      </x:c>
      <x:c r="Y257" s="21" t="str">
        <x:f>IF(C257="","",IF(AQ257&lt;&gt;"Ready","Unavailable",IF(C257="","",U257-W257+V257-X257+N257+AG257)))</x:f>
      </x:c>
      <x:c r="Z257" s="23" t="str">
        <x:f>IF(C257="","",IF(AQ257&lt;&gt;"Ready","Unavailable",IF(C257="","",(G257+O257+L257)/2*INDEX('Facilities'!$T$9:$T$108,MATCH(C257,'Facilities'!$C$9:$C$108,0))+AG257)))</x:f>
      </x:c>
      <x:c r="AA257" s="23" t="str">
        <x:f>IF(C257="","",IF(AQ257&lt;&gt;"Ready","Unavailable",IF(C257="","",O257*(1-IF(INDEX('Facilities'!$AA$9:$AA$108,MATCH(C257,'Facilities'!$C$9:$C$108,0))=0,0,MIN(1,INDEX('Facilities'!$X$9:$X$108,MATCH(C257,'Facilities'!$C$9:$C$108,0))/INDEX('Facilities'!$AA$9:$AA$108,MATCH(C257,'Facilities'!$C$9:$C$108,0)))))*AF257+P257*(1-IF(INDEX('Facilities'!$AA$9:$AA$108,MATCH(C257,'Facilities'!$C$9:$C$108,0))=0,0,MIN(1,INDEX('Facilities'!$X$9:$X$108,MATCH(C257,'Facilities'!$C$9:$C$108,0))/INDEX('Facilities'!$AA$9:$AA$108,MATCH(C257,'Facilities'!$C$9:$C$108,0)))))*INDEX('Facilities'!$AJ$9:$AJ$108,MATCH(C257,'Facilities'!$C$9:$C$108,0))+Q257*INDEX('Facilities'!$AI$9:$AI$108,MATCH(C257,'Facilities'!$C$9:$C$108,0))*AF257)))</x:f>
      </x:c>
      <x:c r="AB257" s="21" t="str">
        <x:f>IF(C257="","",O257+P257-AD257)</x:f>
      </x:c>
      <x:c r="AC257" s="23" t="str">
        <x:f>IF(C257="","",IFERROR(IF(INDEX('Facilities'!$AD$9:$AD$108,MATCH(C257,'Facilities'!$C$9:$C$108,0))=3,0,IF(INDEX('Facilities'!$AN$9:$AN$108,MATCH(C257,'Facilities'!$C$9:$C$108,0))=0,-1,INDEX('Facilities'!$AN$9:$AN$108,MATCH(C257,'Facilities'!$C$9:$C$108,0)))),"Unavailable"))</x:f>
      </x:c>
      <x:c r="AD257" s="21" t="str">
        <x:f>IF(C257="","",IFERROR(G257+H257,"Unavailable"))</x:f>
      </x:c>
      <x:c r="AE257" s="21" t="str">
        <x:f>IF(C257="","",IF(AQ257&lt;&gt;"Ready","Unavailable",IF(C257="","",O257+P257-AD257-J257+K257+M257+N257)))</x:f>
      </x:c>
      <x:c r="AF257" s="30" t="str">
        <x:f>IF(C257="","",IFERROR(INDEX('Facilities'!$S$9:$S$108,MATCH(C257,'Facilities'!$C$9:$C$108,0))*'Scenario Paths'!H75,"Unavailable"))</x:f>
      </x:c>
      <x:c r="AG257" s="23" t="str">
        <x:f>IF(C257="","",IF(AQ257&lt;&gt;"Ready","Unavailable",IF(C257="","",IF(H257&gt;0,MAX(0,H257-AK257)*((1+INDEX('Facilities'!$K$9:$K$108,MATCH(C257,'Facilities'!$C$9:$C$108,0)))^MIN(1,MAX(0,AC257+INDEX('Facilities'!$AK$9:$AK$108,MATCH(C257,'Facilities'!$C$9:$C$108,0))-D257+1))-1),0))))</x:f>
      </x:c>
      <x:c r="AH257" s="21" t="str">
        <x:f>IF(C257="","",IF(AQ257&lt;&gt;"Ready","Unavailable",IF(C257="","",O257+P257)))</x:f>
      </x:c>
      <x:c r="AI257" s="21" t="str">
        <x:f>IF(C257="","",IF(AQ257&lt;&gt;"Ready","Unavailable",IF(C257="","",Z257-Y257)))</x:f>
      </x:c>
      <x:c r="AJ257" s="23" t="str">
        <x:f>IF(C257="","",IFERROR(MAX(0,INDEX('Facilities'!$J$9:$J$108,MATCH(C257,'Facilities'!$C$9:$C$108,0))-D257),"Unavailable"))</x:f>
      </x:c>
      <x:c r="AK257" s="21" t="str">
        <x:f>IF(C257="","",IFERROR(AL157,"Unavailable"))</x:f>
      </x:c>
      <x:c r="AL257" s="23" t="str">
        <x:f>IF(C257="","",IFERROR(IF(P257&gt;0,P257*(1-AM257/(1+INDEX('Facilities'!$K$9:$K$108,MATCH(C257,'Facilities'!$C$9:$C$108,0)))^MAX(0,AC257+INDEX('Facilities'!$AK$9:$AK$108,MATCH(C257,'Facilities'!$C$9:$C$108,0))-D257)),0),"Unavailable"))</x:f>
      </x:c>
      <x:c r="AM257" s="30" t="str">
        <x:f>IF(C257="","",IFERROR(INDEX('Facilities'!$AL$9:$AL$108,MATCH(C257,'Facilities'!$C$9:$C$108,0)),"Unavailable"))</x:f>
      </x:c>
      <x:c r="AN257" s="30" t="str">
        <x:f>IF(C257="","",IFERROR(INDEX(Credit!$T$209:$T$308,MATCH(F257,Credit!$C$209:$C$308,0)),"Unavailable"))</x:f>
      </x:c>
      <x:c r="AO257" s="23" t="str">
        <x:f>IF(C257="","",IF(AQ257&lt;&gt;"Ready","Unavailable",IF(C257="","",O257+P257+Q257*INDEX('Facilities'!$I$9:$I$108,MATCH(C257,'Facilities'!$C$9:$C$108,0)))))</x:f>
      </x:c>
      <x:c r="AP257" s="21" t="str">
        <x:f>IF(C257="","",IF(AQ257&lt;&gt;"Ready","Unavailable",IF(C257="","",AH257-U257)))</x:f>
      </x:c>
      <x:c r="AQ257" s="23" t="str">
        <x:f>IFERROR(IF(C257="","",IF(AND(INDEX('Facilities'!$AF$9:$AF$108,MATCH(C257,'Facilities'!$C$9:$C$108,0))="Ready",INDEX(Credit!$U$209:$U$308,MATCH(F257,Credit!$C$209:$C$308,0))="Ready",ISNUMBER(W257)),"Ready","Review inputs")),"Review inputs")</x:f>
      </x:c>
      <x:c r="AR257" s="23" t="str">
        <x:f>IF(C257="","",IF(AQ257&lt;&gt;"Ready","Unavailable",IF(C257="","",IF(O257=0,0,(IF(AJ257&lt;=1,O257,O257*INDEX('Facilities'!$R$9:$R$108,MATCH(C257,'Facilities'!$C$9:$C$108,0)))+O257*INDEX('Facilities'!$T$9:$T$108,MATCH(C257,'Facilities'!$C$9:$C$108,0)))/12))))</x:f>
      </x:c>
    </x:row>
    <x:row r="258" ht="26" customHeight="1">
      <x:c r="A258" s="1"/>
      <x:c r="B258" s="1"/>
      <x:c r="C258" s="9" t="str">
        <x:f>IF(Facilities!C58="","",Facilities!C58)</x:f>
      </x:c>
      <x:c r="D258" s="3" t="n">
        <x:v>3</x:v>
      </x:c>
      <x:c r="E258" s="9" t="n">
        <x:f>Settings!$F$18+2</x:f>
        <x:v>2029</x:v>
      </x:c>
      <x:c r="F258" s="9" t="str">
        <x:f>IF(C258="","",IFERROR(INDEX('Facilities'!$D$9:$D$108,MATCH(C258,'Facilities'!$C$9:$C$108,0)),"Unavailable"))</x:f>
      </x:c>
      <x:c r="G258" s="21" t="str">
        <x:f>IF(C258="","",IFERROR(O158,"Unavailable"))</x:f>
      </x:c>
      <x:c r="H258" s="21" t="str">
        <x:f>IF(C258="","",IFERROR(P158,"Unavailable"))</x:f>
      </x:c>
      <x:c r="I258" s="21" t="str">
        <x:f>IF(C258="","",IFERROR(Q158,"Unavailable"))</x:f>
      </x:c>
      <x:c r="J258" s="23" t="str">
        <x:f>IF(C258="","",IFERROR(IF(OR(H258&gt;0,AND(AC258&gt;=0,AC258&lt;D258),D258&gt;INDEX('Facilities'!$J$9:$J$108,MATCH(C258,'Facilities'!$C$9:$C$108,0))),0,I258*'Scenario Paths'!H81),"Unavailable"))</x:f>
      </x:c>
      <x:c r="K258" s="23" t="str">
        <x:f>IF(C258="","",IFERROR(IF(OR(H258&gt;0,AND(AC258&gt;=0,AC258=D258)),0,IF(D258&gt;=INDEX('Facilities'!$J$9:$J$108,MATCH(C258,'Facilities'!$C$9:$C$108,0)),G258+J258,MIN(G258+J258,G258*INDEX('Facilities'!$R$9:$R$108,MATCH(C258,'Facilities'!$C$9:$C$108,0))))),"Unavailable"))</x:f>
      </x:c>
      <x:c r="L258" s="21" t="str">
        <x:f>IF(C258="","",IFERROR(IF(AND(AC258=D258,AC258&gt;0),MAX(0,G258+J258-K258),0),"Unavailable"))</x:f>
      </x:c>
      <x:c r="M258" s="23" t="str">
        <x:f>IF(C258="","",IFERROR(IF(AND(AC258&gt;=0,D258&gt;=AC258+INDEX('Facilities'!$AK$9:$AK$108,MATCH(C258,'Facilities'!$C$9:$C$108,0))),(H258+L258)*AM258,0),"Unavailable"))</x:f>
      </x:c>
      <x:c r="N258" s="23" t="str">
        <x:f>IF(C258="","",IFERROR(IF(AND(AC258&gt;=0,D258&gt;=AC258+INDEX('Facilities'!$AK$9:$AK$108,MATCH(C258,'Facilities'!$C$9:$C$108,0))),H258+L258-M258,0),"Unavailable"))</x:f>
      </x:c>
      <x:c r="O258" s="21" t="str">
        <x:f>IF(C258="","",IFERROR(MAX(0,G258+J258-K258-L258),"Unavailable"))</x:f>
      </x:c>
      <x:c r="P258" s="21" t="str">
        <x:f>IF(C258="","",IFERROR(MAX(0,H258+L258-M258-N258),"Unavailable"))</x:f>
      </x:c>
      <x:c r="Q258" s="23" t="str">
        <x:f>IF(C258="","",IFERROR(IF(OR(D258&gt;=INDEX('Facilities'!$J$9:$J$108,MATCH(C258,'Facilities'!$C$9:$C$108,0)),AND(AC258&gt;=0,AC258&lt;=D258)),0,MAX(0,I258-J258)),"Unavailable"))</x:f>
      </x:c>
      <x:c r="R258" s="30" t="str">
        <x:f>IF(C258="","",IFERROR(INDEX(Credit!$Q$209:$Q$308,MATCH(F258,Credit!$C$209:$C$308,0)),"Unavailable"))</x:f>
      </x:c>
      <x:c r="S258" s="30" t="str">
        <x:f>IF(C258="","",IFERROR(INDEX(Credit!$R$209:$R$308,MATCH(F258,Credit!$C$209:$C$308,0)),"Unavailable"))</x:f>
      </x:c>
      <x:c r="T258" s="23" t="str">
        <x:f>IF(C258="","",IFERROR(IF(P258&gt;0,3,IF(OR(INDEX('Facilities'!$AD$9:$AD$108,MATCH(C258,'Facilities'!$C$9:$C$108,0))=2,AND(R258&gt;=INDEX('Facilities'!$L$9:$L$108,MATCH(C258,'Facilities'!$C$9:$C$108,0))*Settings!$F$19,R258-INDEX('Facilities'!$L$9:$L$108,MATCH(C258,'Facilities'!$C$9:$C$108,0))&gt;=Settings!$F$20)),2,1)),"Unavailable"))</x:f>
      </x:c>
      <x:c r="U258" s="23" t="str">
        <x:f>IF(C258="","",IF(AQ258&lt;&gt;"Ready","Unavailable",IF(C258="","",O258*(1-(1-S258)/(1+INDEX('Facilities'!$K$9:$K$108,MATCH(C258,'Facilities'!$C$9:$C$108,0)))^INDEX('Facilities'!$AK$9:$AK$108,MATCH(C258,'Facilities'!$C$9:$C$108,0)))*R258/(1+INDEX('Facilities'!$K$9:$K$108,MATCH(C258,'Facilities'!$C$9:$C$108,0)))*IF(ABS(1-(1-R258)*(1-INDEX('Facilities'!$R$9:$R$108,MATCH(C258,'Facilities'!$C$9:$C$108,0)))/(1+INDEX('Facilities'!$K$9:$K$108,MATCH(C258,'Facilities'!$C$9:$C$108,0))))&lt;0.000000001,IF(T258=1,MIN(1,AJ258),AJ258),(1-((1-R258)*(1-INDEX('Facilities'!$R$9:$R$108,MATCH(C258,'Facilities'!$C$9:$C$108,0)))/(1+INDEX('Facilities'!$K$9:$K$108,MATCH(C258,'Facilities'!$C$9:$C$108,0))))^IF(T258=1,MIN(1,AJ258),AJ258))/(1-(1-R258)*(1-INDEX('Facilities'!$R$9:$R$108,MATCH(C258,'Facilities'!$C$9:$C$108,0)))/(1+INDEX('Facilities'!$K$9:$K$108,MATCH(C258,'Facilities'!$C$9:$C$108,0)))))+AL258)))</x:f>
      </x:c>
      <x:c r="V258" s="23" t="str">
        <x:f>IF(C258="","",IF(AQ258&lt;&gt;"Ready","Unavailable",IF(C258="","",Q258*INDEX('Facilities'!$I$9:$I$108,MATCH(C258,'Facilities'!$C$9:$C$108,0))*(1-(1-S258)/(1+INDEX('Facilities'!$K$9:$K$108,MATCH(C258,'Facilities'!$C$9:$C$108,0)))^INDEX('Facilities'!$AK$9:$AK$108,MATCH(C258,'Facilities'!$C$9:$C$108,0)))*R258/(1+INDEX('Facilities'!$K$9:$K$108,MATCH(C258,'Facilities'!$C$9:$C$108,0)))*IF(ABS(1-(1-R258)*(1-0)/(1+INDEX('Facilities'!$K$9:$K$108,MATCH(C258,'Facilities'!$C$9:$C$108,0))))&lt;0.000000001,IF(T258=1,MIN(1,AJ258),AJ258),(1-((1-R258)*(1-0)/(1+INDEX('Facilities'!$K$9:$K$108,MATCH(C258,'Facilities'!$C$9:$C$108,0))))^IF(T258=1,MIN(1,AJ258),AJ258))/(1-(1-R258)*(1-0)/(1+INDEX('Facilities'!$K$9:$K$108,MATCH(C258,'Facilities'!$C$9:$C$108,0))))))))</x:f>
      </x:c>
      <x:c r="W258" s="21" t="str">
        <x:f>IF(C258="","",IFERROR(U158,"Unavailable"))</x:f>
      </x:c>
      <x:c r="X258" s="21" t="str">
        <x:f>IF(C258="","",IFERROR(V158,"Unavailable"))</x:f>
      </x:c>
      <x:c r="Y258" s="21" t="str">
        <x:f>IF(C258="","",IF(AQ258&lt;&gt;"Ready","Unavailable",IF(C258="","",U258-W258+V258-X258+N258+AG258)))</x:f>
      </x:c>
      <x:c r="Z258" s="23" t="str">
        <x:f>IF(C258="","",IF(AQ258&lt;&gt;"Ready","Unavailable",IF(C258="","",(G258+O258+L258)/2*INDEX('Facilities'!$T$9:$T$108,MATCH(C258,'Facilities'!$C$9:$C$108,0))+AG258)))</x:f>
      </x:c>
      <x:c r="AA258" s="23" t="str">
        <x:f>IF(C258="","",IF(AQ258&lt;&gt;"Ready","Unavailable",IF(C258="","",O258*(1-IF(INDEX('Facilities'!$AA$9:$AA$108,MATCH(C258,'Facilities'!$C$9:$C$108,0))=0,0,MIN(1,INDEX('Facilities'!$X$9:$X$108,MATCH(C258,'Facilities'!$C$9:$C$108,0))/INDEX('Facilities'!$AA$9:$AA$108,MATCH(C258,'Facilities'!$C$9:$C$108,0)))))*AF258+P258*(1-IF(INDEX('Facilities'!$AA$9:$AA$108,MATCH(C258,'Facilities'!$C$9:$C$108,0))=0,0,MIN(1,INDEX('Facilities'!$X$9:$X$108,MATCH(C258,'Facilities'!$C$9:$C$108,0))/INDEX('Facilities'!$AA$9:$AA$108,MATCH(C258,'Facilities'!$C$9:$C$108,0)))))*INDEX('Facilities'!$AJ$9:$AJ$108,MATCH(C258,'Facilities'!$C$9:$C$108,0))+Q258*INDEX('Facilities'!$AI$9:$AI$108,MATCH(C258,'Facilities'!$C$9:$C$108,0))*AF258)))</x:f>
      </x:c>
      <x:c r="AB258" s="21" t="str">
        <x:f>IF(C258="","",O258+P258-AD258)</x:f>
      </x:c>
      <x:c r="AC258" s="23" t="str">
        <x:f>IF(C258="","",IFERROR(IF(INDEX('Facilities'!$AD$9:$AD$108,MATCH(C258,'Facilities'!$C$9:$C$108,0))=3,0,IF(INDEX('Facilities'!$AN$9:$AN$108,MATCH(C258,'Facilities'!$C$9:$C$108,0))=0,-1,INDEX('Facilities'!$AN$9:$AN$108,MATCH(C258,'Facilities'!$C$9:$C$108,0)))),"Unavailable"))</x:f>
      </x:c>
      <x:c r="AD258" s="21" t="str">
        <x:f>IF(C258="","",IFERROR(G258+H258,"Unavailable"))</x:f>
      </x:c>
      <x:c r="AE258" s="21" t="str">
        <x:f>IF(C258="","",IF(AQ258&lt;&gt;"Ready","Unavailable",IF(C258="","",O258+P258-AD258-J258+K258+M258+N258)))</x:f>
      </x:c>
      <x:c r="AF258" s="30" t="str">
        <x:f>IF(C258="","",IFERROR(INDEX('Facilities'!$S$9:$S$108,MATCH(C258,'Facilities'!$C$9:$C$108,0))*'Scenario Paths'!H75,"Unavailable"))</x:f>
      </x:c>
      <x:c r="AG258" s="23" t="str">
        <x:f>IF(C258="","",IF(AQ258&lt;&gt;"Ready","Unavailable",IF(C258="","",IF(H258&gt;0,MAX(0,H258-AK258)*((1+INDEX('Facilities'!$K$9:$K$108,MATCH(C258,'Facilities'!$C$9:$C$108,0)))^MIN(1,MAX(0,AC258+INDEX('Facilities'!$AK$9:$AK$108,MATCH(C258,'Facilities'!$C$9:$C$108,0))-D258+1))-1),0))))</x:f>
      </x:c>
      <x:c r="AH258" s="21" t="str">
        <x:f>IF(C258="","",IF(AQ258&lt;&gt;"Ready","Unavailable",IF(C258="","",O258+P258)))</x:f>
      </x:c>
      <x:c r="AI258" s="21" t="str">
        <x:f>IF(C258="","",IF(AQ258&lt;&gt;"Ready","Unavailable",IF(C258="","",Z258-Y258)))</x:f>
      </x:c>
      <x:c r="AJ258" s="23" t="str">
        <x:f>IF(C258="","",IFERROR(MAX(0,INDEX('Facilities'!$J$9:$J$108,MATCH(C258,'Facilities'!$C$9:$C$108,0))-D258),"Unavailable"))</x:f>
      </x:c>
      <x:c r="AK258" s="21" t="str">
        <x:f>IF(C258="","",IFERROR(AL158,"Unavailable"))</x:f>
      </x:c>
      <x:c r="AL258" s="23" t="str">
        <x:f>IF(C258="","",IFERROR(IF(P258&gt;0,P258*(1-AM258/(1+INDEX('Facilities'!$K$9:$K$108,MATCH(C258,'Facilities'!$C$9:$C$108,0)))^MAX(0,AC258+INDEX('Facilities'!$AK$9:$AK$108,MATCH(C258,'Facilities'!$C$9:$C$108,0))-D258)),0),"Unavailable"))</x:f>
      </x:c>
      <x:c r="AM258" s="30" t="str">
        <x:f>IF(C258="","",IFERROR(INDEX('Facilities'!$AL$9:$AL$108,MATCH(C258,'Facilities'!$C$9:$C$108,0)),"Unavailable"))</x:f>
      </x:c>
      <x:c r="AN258" s="30" t="str">
        <x:f>IF(C258="","",IFERROR(INDEX(Credit!$T$209:$T$308,MATCH(F258,Credit!$C$209:$C$308,0)),"Unavailable"))</x:f>
      </x:c>
      <x:c r="AO258" s="23" t="str">
        <x:f>IF(C258="","",IF(AQ258&lt;&gt;"Ready","Unavailable",IF(C258="","",O258+P258+Q258*INDEX('Facilities'!$I$9:$I$108,MATCH(C258,'Facilities'!$C$9:$C$108,0)))))</x:f>
      </x:c>
      <x:c r="AP258" s="21" t="str">
        <x:f>IF(C258="","",IF(AQ258&lt;&gt;"Ready","Unavailable",IF(C258="","",AH258-U258)))</x:f>
      </x:c>
      <x:c r="AQ258" s="23" t="str">
        <x:f>IFERROR(IF(C258="","",IF(AND(INDEX('Facilities'!$AF$9:$AF$108,MATCH(C258,'Facilities'!$C$9:$C$108,0))="Ready",INDEX(Credit!$U$209:$U$308,MATCH(F258,Credit!$C$209:$C$308,0))="Ready",ISNUMBER(W258)),"Ready","Review inputs")),"Review inputs")</x:f>
      </x:c>
      <x:c r="AR258" s="23" t="str">
        <x:f>IF(C258="","",IF(AQ258&lt;&gt;"Ready","Unavailable",IF(C258="","",IF(O258=0,0,(IF(AJ258&lt;=1,O258,O258*INDEX('Facilities'!$R$9:$R$108,MATCH(C258,'Facilities'!$C$9:$C$108,0)))+O258*INDEX('Facilities'!$T$9:$T$108,MATCH(C258,'Facilities'!$C$9:$C$108,0)))/12))))</x:f>
      </x:c>
    </x:row>
    <x:row r="259" ht="26" customHeight="1">
      <x:c r="A259" s="1"/>
      <x:c r="B259" s="1"/>
      <x:c r="C259" s="9" t="str">
        <x:f>IF(Facilities!C59="","",Facilities!C59)</x:f>
      </x:c>
      <x:c r="D259" s="3" t="n">
        <x:v>3</x:v>
      </x:c>
      <x:c r="E259" s="9" t="n">
        <x:f>Settings!$F$18+2</x:f>
        <x:v>2029</x:v>
      </x:c>
      <x:c r="F259" s="9" t="str">
        <x:f>IF(C259="","",IFERROR(INDEX('Facilities'!$D$9:$D$108,MATCH(C259,'Facilities'!$C$9:$C$108,0)),"Unavailable"))</x:f>
      </x:c>
      <x:c r="G259" s="21" t="str">
        <x:f>IF(C259="","",IFERROR(O159,"Unavailable"))</x:f>
      </x:c>
      <x:c r="H259" s="21" t="str">
        <x:f>IF(C259="","",IFERROR(P159,"Unavailable"))</x:f>
      </x:c>
      <x:c r="I259" s="21" t="str">
        <x:f>IF(C259="","",IFERROR(Q159,"Unavailable"))</x:f>
      </x:c>
      <x:c r="J259" s="23" t="str">
        <x:f>IF(C259="","",IFERROR(IF(OR(H259&gt;0,AND(AC259&gt;=0,AC259&lt;D259),D259&gt;INDEX('Facilities'!$J$9:$J$108,MATCH(C259,'Facilities'!$C$9:$C$108,0))),0,I259*'Scenario Paths'!H81),"Unavailable"))</x:f>
      </x:c>
      <x:c r="K259" s="23" t="str">
        <x:f>IF(C259="","",IFERROR(IF(OR(H259&gt;0,AND(AC259&gt;=0,AC259=D259)),0,IF(D259&gt;=INDEX('Facilities'!$J$9:$J$108,MATCH(C259,'Facilities'!$C$9:$C$108,0)),G259+J259,MIN(G259+J259,G259*INDEX('Facilities'!$R$9:$R$108,MATCH(C259,'Facilities'!$C$9:$C$108,0))))),"Unavailable"))</x:f>
      </x:c>
      <x:c r="L259" s="21" t="str">
        <x:f>IF(C259="","",IFERROR(IF(AND(AC259=D259,AC259&gt;0),MAX(0,G259+J259-K259),0),"Unavailable"))</x:f>
      </x:c>
      <x:c r="M259" s="23" t="str">
        <x:f>IF(C259="","",IFERROR(IF(AND(AC259&gt;=0,D259&gt;=AC259+INDEX('Facilities'!$AK$9:$AK$108,MATCH(C259,'Facilities'!$C$9:$C$108,0))),(H259+L259)*AM259,0),"Unavailable"))</x:f>
      </x:c>
      <x:c r="N259" s="23" t="str">
        <x:f>IF(C259="","",IFERROR(IF(AND(AC259&gt;=0,D259&gt;=AC259+INDEX('Facilities'!$AK$9:$AK$108,MATCH(C259,'Facilities'!$C$9:$C$108,0))),H259+L259-M259,0),"Unavailable"))</x:f>
      </x:c>
      <x:c r="O259" s="21" t="str">
        <x:f>IF(C259="","",IFERROR(MAX(0,G259+J259-K259-L259),"Unavailable"))</x:f>
      </x:c>
      <x:c r="P259" s="21" t="str">
        <x:f>IF(C259="","",IFERROR(MAX(0,H259+L259-M259-N259),"Unavailable"))</x:f>
      </x:c>
      <x:c r="Q259" s="23" t="str">
        <x:f>IF(C259="","",IFERROR(IF(OR(D259&gt;=INDEX('Facilities'!$J$9:$J$108,MATCH(C259,'Facilities'!$C$9:$C$108,0)),AND(AC259&gt;=0,AC259&lt;=D259)),0,MAX(0,I259-J259)),"Unavailable"))</x:f>
      </x:c>
      <x:c r="R259" s="30" t="str">
        <x:f>IF(C259="","",IFERROR(INDEX(Credit!$Q$209:$Q$308,MATCH(F259,Credit!$C$209:$C$308,0)),"Unavailable"))</x:f>
      </x:c>
      <x:c r="S259" s="30" t="str">
        <x:f>IF(C259="","",IFERROR(INDEX(Credit!$R$209:$R$308,MATCH(F259,Credit!$C$209:$C$308,0)),"Unavailable"))</x:f>
      </x:c>
      <x:c r="T259" s="23" t="str">
        <x:f>IF(C259="","",IFERROR(IF(P259&gt;0,3,IF(OR(INDEX('Facilities'!$AD$9:$AD$108,MATCH(C259,'Facilities'!$C$9:$C$108,0))=2,AND(R259&gt;=INDEX('Facilities'!$L$9:$L$108,MATCH(C259,'Facilities'!$C$9:$C$108,0))*Settings!$F$19,R259-INDEX('Facilities'!$L$9:$L$108,MATCH(C259,'Facilities'!$C$9:$C$108,0))&gt;=Settings!$F$20)),2,1)),"Unavailable"))</x:f>
      </x:c>
      <x:c r="U259" s="23" t="str">
        <x:f>IF(C259="","",IF(AQ259&lt;&gt;"Ready","Unavailable",IF(C259="","",O259*(1-(1-S259)/(1+INDEX('Facilities'!$K$9:$K$108,MATCH(C259,'Facilities'!$C$9:$C$108,0)))^INDEX('Facilities'!$AK$9:$AK$108,MATCH(C259,'Facilities'!$C$9:$C$108,0)))*R259/(1+INDEX('Facilities'!$K$9:$K$108,MATCH(C259,'Facilities'!$C$9:$C$108,0)))*IF(ABS(1-(1-R259)*(1-INDEX('Facilities'!$R$9:$R$108,MATCH(C259,'Facilities'!$C$9:$C$108,0)))/(1+INDEX('Facilities'!$K$9:$K$108,MATCH(C259,'Facilities'!$C$9:$C$108,0))))&lt;0.000000001,IF(T259=1,MIN(1,AJ259),AJ259),(1-((1-R259)*(1-INDEX('Facilities'!$R$9:$R$108,MATCH(C259,'Facilities'!$C$9:$C$108,0)))/(1+INDEX('Facilities'!$K$9:$K$108,MATCH(C259,'Facilities'!$C$9:$C$108,0))))^IF(T259=1,MIN(1,AJ259),AJ259))/(1-(1-R259)*(1-INDEX('Facilities'!$R$9:$R$108,MATCH(C259,'Facilities'!$C$9:$C$108,0)))/(1+INDEX('Facilities'!$K$9:$K$108,MATCH(C259,'Facilities'!$C$9:$C$108,0)))))+AL259)))</x:f>
      </x:c>
      <x:c r="V259" s="23" t="str">
        <x:f>IF(C259="","",IF(AQ259&lt;&gt;"Ready","Unavailable",IF(C259="","",Q259*INDEX('Facilities'!$I$9:$I$108,MATCH(C259,'Facilities'!$C$9:$C$108,0))*(1-(1-S259)/(1+INDEX('Facilities'!$K$9:$K$108,MATCH(C259,'Facilities'!$C$9:$C$108,0)))^INDEX('Facilities'!$AK$9:$AK$108,MATCH(C259,'Facilities'!$C$9:$C$108,0)))*R259/(1+INDEX('Facilities'!$K$9:$K$108,MATCH(C259,'Facilities'!$C$9:$C$108,0)))*IF(ABS(1-(1-R259)*(1-0)/(1+INDEX('Facilities'!$K$9:$K$108,MATCH(C259,'Facilities'!$C$9:$C$108,0))))&lt;0.000000001,IF(T259=1,MIN(1,AJ259),AJ259),(1-((1-R259)*(1-0)/(1+INDEX('Facilities'!$K$9:$K$108,MATCH(C259,'Facilities'!$C$9:$C$108,0))))^IF(T259=1,MIN(1,AJ259),AJ259))/(1-(1-R259)*(1-0)/(1+INDEX('Facilities'!$K$9:$K$108,MATCH(C259,'Facilities'!$C$9:$C$108,0))))))))</x:f>
      </x:c>
      <x:c r="W259" s="21" t="str">
        <x:f>IF(C259="","",IFERROR(U159,"Unavailable"))</x:f>
      </x:c>
      <x:c r="X259" s="21" t="str">
        <x:f>IF(C259="","",IFERROR(V159,"Unavailable"))</x:f>
      </x:c>
      <x:c r="Y259" s="21" t="str">
        <x:f>IF(C259="","",IF(AQ259&lt;&gt;"Ready","Unavailable",IF(C259="","",U259-W259+V259-X259+N259+AG259)))</x:f>
      </x:c>
      <x:c r="Z259" s="23" t="str">
        <x:f>IF(C259="","",IF(AQ259&lt;&gt;"Ready","Unavailable",IF(C259="","",(G259+O259+L259)/2*INDEX('Facilities'!$T$9:$T$108,MATCH(C259,'Facilities'!$C$9:$C$108,0))+AG259)))</x:f>
      </x:c>
      <x:c r="AA259" s="23" t="str">
        <x:f>IF(C259="","",IF(AQ259&lt;&gt;"Ready","Unavailable",IF(C259="","",O259*(1-IF(INDEX('Facilities'!$AA$9:$AA$108,MATCH(C259,'Facilities'!$C$9:$C$108,0))=0,0,MIN(1,INDEX('Facilities'!$X$9:$X$108,MATCH(C259,'Facilities'!$C$9:$C$108,0))/INDEX('Facilities'!$AA$9:$AA$108,MATCH(C259,'Facilities'!$C$9:$C$108,0)))))*AF259+P259*(1-IF(INDEX('Facilities'!$AA$9:$AA$108,MATCH(C259,'Facilities'!$C$9:$C$108,0))=0,0,MIN(1,INDEX('Facilities'!$X$9:$X$108,MATCH(C259,'Facilities'!$C$9:$C$108,0))/INDEX('Facilities'!$AA$9:$AA$108,MATCH(C259,'Facilities'!$C$9:$C$108,0)))))*INDEX('Facilities'!$AJ$9:$AJ$108,MATCH(C259,'Facilities'!$C$9:$C$108,0))+Q259*INDEX('Facilities'!$AI$9:$AI$108,MATCH(C259,'Facilities'!$C$9:$C$108,0))*AF259)))</x:f>
      </x:c>
      <x:c r="AB259" s="21" t="str">
        <x:f>IF(C259="","",O259+P259-AD259)</x:f>
      </x:c>
      <x:c r="AC259" s="23" t="str">
        <x:f>IF(C259="","",IFERROR(IF(INDEX('Facilities'!$AD$9:$AD$108,MATCH(C259,'Facilities'!$C$9:$C$108,0))=3,0,IF(INDEX('Facilities'!$AN$9:$AN$108,MATCH(C259,'Facilities'!$C$9:$C$108,0))=0,-1,INDEX('Facilities'!$AN$9:$AN$108,MATCH(C259,'Facilities'!$C$9:$C$108,0)))),"Unavailable"))</x:f>
      </x:c>
      <x:c r="AD259" s="21" t="str">
        <x:f>IF(C259="","",IFERROR(G259+H259,"Unavailable"))</x:f>
      </x:c>
      <x:c r="AE259" s="21" t="str">
        <x:f>IF(C259="","",IF(AQ259&lt;&gt;"Ready","Unavailable",IF(C259="","",O259+P259-AD259-J259+K259+M259+N259)))</x:f>
      </x:c>
      <x:c r="AF259" s="30" t="str">
        <x:f>IF(C259="","",IFERROR(INDEX('Facilities'!$S$9:$S$108,MATCH(C259,'Facilities'!$C$9:$C$108,0))*'Scenario Paths'!H75,"Unavailable"))</x:f>
      </x:c>
      <x:c r="AG259" s="23" t="str">
        <x:f>IF(C259="","",IF(AQ259&lt;&gt;"Ready","Unavailable",IF(C259="","",IF(H259&gt;0,MAX(0,H259-AK259)*((1+INDEX('Facilities'!$K$9:$K$108,MATCH(C259,'Facilities'!$C$9:$C$108,0)))^MIN(1,MAX(0,AC259+INDEX('Facilities'!$AK$9:$AK$108,MATCH(C259,'Facilities'!$C$9:$C$108,0))-D259+1))-1),0))))</x:f>
      </x:c>
      <x:c r="AH259" s="21" t="str">
        <x:f>IF(C259="","",IF(AQ259&lt;&gt;"Ready","Unavailable",IF(C259="","",O259+P259)))</x:f>
      </x:c>
      <x:c r="AI259" s="21" t="str">
        <x:f>IF(C259="","",IF(AQ259&lt;&gt;"Ready","Unavailable",IF(C259="","",Z259-Y259)))</x:f>
      </x:c>
      <x:c r="AJ259" s="23" t="str">
        <x:f>IF(C259="","",IFERROR(MAX(0,INDEX('Facilities'!$J$9:$J$108,MATCH(C259,'Facilities'!$C$9:$C$108,0))-D259),"Unavailable"))</x:f>
      </x:c>
      <x:c r="AK259" s="21" t="str">
        <x:f>IF(C259="","",IFERROR(AL159,"Unavailable"))</x:f>
      </x:c>
      <x:c r="AL259" s="23" t="str">
        <x:f>IF(C259="","",IFERROR(IF(P259&gt;0,P259*(1-AM259/(1+INDEX('Facilities'!$K$9:$K$108,MATCH(C259,'Facilities'!$C$9:$C$108,0)))^MAX(0,AC259+INDEX('Facilities'!$AK$9:$AK$108,MATCH(C259,'Facilities'!$C$9:$C$108,0))-D259)),0),"Unavailable"))</x:f>
      </x:c>
      <x:c r="AM259" s="30" t="str">
        <x:f>IF(C259="","",IFERROR(INDEX('Facilities'!$AL$9:$AL$108,MATCH(C259,'Facilities'!$C$9:$C$108,0)),"Unavailable"))</x:f>
      </x:c>
      <x:c r="AN259" s="30" t="str">
        <x:f>IF(C259="","",IFERROR(INDEX(Credit!$T$209:$T$308,MATCH(F259,Credit!$C$209:$C$308,0)),"Unavailable"))</x:f>
      </x:c>
      <x:c r="AO259" s="23" t="str">
        <x:f>IF(C259="","",IF(AQ259&lt;&gt;"Ready","Unavailable",IF(C259="","",O259+P259+Q259*INDEX('Facilities'!$I$9:$I$108,MATCH(C259,'Facilities'!$C$9:$C$108,0)))))</x:f>
      </x:c>
      <x:c r="AP259" s="21" t="str">
        <x:f>IF(C259="","",IF(AQ259&lt;&gt;"Ready","Unavailable",IF(C259="","",AH259-U259)))</x:f>
      </x:c>
      <x:c r="AQ259" s="23" t="str">
        <x:f>IFERROR(IF(C259="","",IF(AND(INDEX('Facilities'!$AF$9:$AF$108,MATCH(C259,'Facilities'!$C$9:$C$108,0))="Ready",INDEX(Credit!$U$209:$U$308,MATCH(F259,Credit!$C$209:$C$308,0))="Ready",ISNUMBER(W259)),"Ready","Review inputs")),"Review inputs")</x:f>
      </x:c>
      <x:c r="AR259" s="23" t="str">
        <x:f>IF(C259="","",IF(AQ259&lt;&gt;"Ready","Unavailable",IF(C259="","",IF(O259=0,0,(IF(AJ259&lt;=1,O259,O259*INDEX('Facilities'!$R$9:$R$108,MATCH(C259,'Facilities'!$C$9:$C$108,0)))+O259*INDEX('Facilities'!$T$9:$T$108,MATCH(C259,'Facilities'!$C$9:$C$108,0)))/12))))</x:f>
      </x:c>
    </x:row>
    <x:row r="260" ht="26" customHeight="1">
      <x:c r="A260" s="1"/>
      <x:c r="B260" s="1"/>
      <x:c r="C260" s="9" t="str">
        <x:f>IF(Facilities!C60="","",Facilities!C60)</x:f>
      </x:c>
      <x:c r="D260" s="3" t="n">
        <x:v>3</x:v>
      </x:c>
      <x:c r="E260" s="9" t="n">
        <x:f>Settings!$F$18+2</x:f>
        <x:v>2029</x:v>
      </x:c>
      <x:c r="F260" s="9" t="str">
        <x:f>IF(C260="","",IFERROR(INDEX('Facilities'!$D$9:$D$108,MATCH(C260,'Facilities'!$C$9:$C$108,0)),"Unavailable"))</x:f>
      </x:c>
      <x:c r="G260" s="21" t="str">
        <x:f>IF(C260="","",IFERROR(O160,"Unavailable"))</x:f>
      </x:c>
      <x:c r="H260" s="21" t="str">
        <x:f>IF(C260="","",IFERROR(P160,"Unavailable"))</x:f>
      </x:c>
      <x:c r="I260" s="21" t="str">
        <x:f>IF(C260="","",IFERROR(Q160,"Unavailable"))</x:f>
      </x:c>
      <x:c r="J260" s="23" t="str">
        <x:f>IF(C260="","",IFERROR(IF(OR(H260&gt;0,AND(AC260&gt;=0,AC260&lt;D260),D260&gt;INDEX('Facilities'!$J$9:$J$108,MATCH(C260,'Facilities'!$C$9:$C$108,0))),0,I260*'Scenario Paths'!H81),"Unavailable"))</x:f>
      </x:c>
      <x:c r="K260" s="23" t="str">
        <x:f>IF(C260="","",IFERROR(IF(OR(H260&gt;0,AND(AC260&gt;=0,AC260=D260)),0,IF(D260&gt;=INDEX('Facilities'!$J$9:$J$108,MATCH(C260,'Facilities'!$C$9:$C$108,0)),G260+J260,MIN(G260+J260,G260*INDEX('Facilities'!$R$9:$R$108,MATCH(C260,'Facilities'!$C$9:$C$108,0))))),"Unavailable"))</x:f>
      </x:c>
      <x:c r="L260" s="21" t="str">
        <x:f>IF(C260="","",IFERROR(IF(AND(AC260=D260,AC260&gt;0),MAX(0,G260+J260-K260),0),"Unavailable"))</x:f>
      </x:c>
      <x:c r="M260" s="23" t="str">
        <x:f>IF(C260="","",IFERROR(IF(AND(AC260&gt;=0,D260&gt;=AC260+INDEX('Facilities'!$AK$9:$AK$108,MATCH(C260,'Facilities'!$C$9:$C$108,0))),(H260+L260)*AM260,0),"Unavailable"))</x:f>
      </x:c>
      <x:c r="N260" s="23" t="str">
        <x:f>IF(C260="","",IFERROR(IF(AND(AC260&gt;=0,D260&gt;=AC260+INDEX('Facilities'!$AK$9:$AK$108,MATCH(C260,'Facilities'!$C$9:$C$108,0))),H260+L260-M260,0),"Unavailable"))</x:f>
      </x:c>
      <x:c r="O260" s="21" t="str">
        <x:f>IF(C260="","",IFERROR(MAX(0,G260+J260-K260-L260),"Unavailable"))</x:f>
      </x:c>
      <x:c r="P260" s="21" t="str">
        <x:f>IF(C260="","",IFERROR(MAX(0,H260+L260-M260-N260),"Unavailable"))</x:f>
      </x:c>
      <x:c r="Q260" s="23" t="str">
        <x:f>IF(C260="","",IFERROR(IF(OR(D260&gt;=INDEX('Facilities'!$J$9:$J$108,MATCH(C260,'Facilities'!$C$9:$C$108,0)),AND(AC260&gt;=0,AC260&lt;=D260)),0,MAX(0,I260-J260)),"Unavailable"))</x:f>
      </x:c>
      <x:c r="R260" s="30" t="str">
        <x:f>IF(C260="","",IFERROR(INDEX(Credit!$Q$209:$Q$308,MATCH(F260,Credit!$C$209:$C$308,0)),"Unavailable"))</x:f>
      </x:c>
      <x:c r="S260" s="30" t="str">
        <x:f>IF(C260="","",IFERROR(INDEX(Credit!$R$209:$R$308,MATCH(F260,Credit!$C$209:$C$308,0)),"Unavailable"))</x:f>
      </x:c>
      <x:c r="T260" s="23" t="str">
        <x:f>IF(C260="","",IFERROR(IF(P260&gt;0,3,IF(OR(INDEX('Facilities'!$AD$9:$AD$108,MATCH(C260,'Facilities'!$C$9:$C$108,0))=2,AND(R260&gt;=INDEX('Facilities'!$L$9:$L$108,MATCH(C260,'Facilities'!$C$9:$C$108,0))*Settings!$F$19,R260-INDEX('Facilities'!$L$9:$L$108,MATCH(C260,'Facilities'!$C$9:$C$108,0))&gt;=Settings!$F$20)),2,1)),"Unavailable"))</x:f>
      </x:c>
      <x:c r="U260" s="23" t="str">
        <x:f>IF(C260="","",IF(AQ260&lt;&gt;"Ready","Unavailable",IF(C260="","",O260*(1-(1-S260)/(1+INDEX('Facilities'!$K$9:$K$108,MATCH(C260,'Facilities'!$C$9:$C$108,0)))^INDEX('Facilities'!$AK$9:$AK$108,MATCH(C260,'Facilities'!$C$9:$C$108,0)))*R260/(1+INDEX('Facilities'!$K$9:$K$108,MATCH(C260,'Facilities'!$C$9:$C$108,0)))*IF(ABS(1-(1-R260)*(1-INDEX('Facilities'!$R$9:$R$108,MATCH(C260,'Facilities'!$C$9:$C$108,0)))/(1+INDEX('Facilities'!$K$9:$K$108,MATCH(C260,'Facilities'!$C$9:$C$108,0))))&lt;0.000000001,IF(T260=1,MIN(1,AJ260),AJ260),(1-((1-R260)*(1-INDEX('Facilities'!$R$9:$R$108,MATCH(C260,'Facilities'!$C$9:$C$108,0)))/(1+INDEX('Facilities'!$K$9:$K$108,MATCH(C260,'Facilities'!$C$9:$C$108,0))))^IF(T260=1,MIN(1,AJ260),AJ260))/(1-(1-R260)*(1-INDEX('Facilities'!$R$9:$R$108,MATCH(C260,'Facilities'!$C$9:$C$108,0)))/(1+INDEX('Facilities'!$K$9:$K$108,MATCH(C260,'Facilities'!$C$9:$C$108,0)))))+AL260)))</x:f>
      </x:c>
      <x:c r="V260" s="23" t="str">
        <x:f>IF(C260="","",IF(AQ260&lt;&gt;"Ready","Unavailable",IF(C260="","",Q260*INDEX('Facilities'!$I$9:$I$108,MATCH(C260,'Facilities'!$C$9:$C$108,0))*(1-(1-S260)/(1+INDEX('Facilities'!$K$9:$K$108,MATCH(C260,'Facilities'!$C$9:$C$108,0)))^INDEX('Facilities'!$AK$9:$AK$108,MATCH(C260,'Facilities'!$C$9:$C$108,0)))*R260/(1+INDEX('Facilities'!$K$9:$K$108,MATCH(C260,'Facilities'!$C$9:$C$108,0)))*IF(ABS(1-(1-R260)*(1-0)/(1+INDEX('Facilities'!$K$9:$K$108,MATCH(C260,'Facilities'!$C$9:$C$108,0))))&lt;0.000000001,IF(T260=1,MIN(1,AJ260),AJ260),(1-((1-R260)*(1-0)/(1+INDEX('Facilities'!$K$9:$K$108,MATCH(C260,'Facilities'!$C$9:$C$108,0))))^IF(T260=1,MIN(1,AJ260),AJ260))/(1-(1-R260)*(1-0)/(1+INDEX('Facilities'!$K$9:$K$108,MATCH(C260,'Facilities'!$C$9:$C$108,0))))))))</x:f>
      </x:c>
      <x:c r="W260" s="21" t="str">
        <x:f>IF(C260="","",IFERROR(U160,"Unavailable"))</x:f>
      </x:c>
      <x:c r="X260" s="21" t="str">
        <x:f>IF(C260="","",IFERROR(V160,"Unavailable"))</x:f>
      </x:c>
      <x:c r="Y260" s="21" t="str">
        <x:f>IF(C260="","",IF(AQ260&lt;&gt;"Ready","Unavailable",IF(C260="","",U260-W260+V260-X260+N260+AG260)))</x:f>
      </x:c>
      <x:c r="Z260" s="23" t="str">
        <x:f>IF(C260="","",IF(AQ260&lt;&gt;"Ready","Unavailable",IF(C260="","",(G260+O260+L260)/2*INDEX('Facilities'!$T$9:$T$108,MATCH(C260,'Facilities'!$C$9:$C$108,0))+AG260)))</x:f>
      </x:c>
      <x:c r="AA260" s="23" t="str">
        <x:f>IF(C260="","",IF(AQ260&lt;&gt;"Ready","Unavailable",IF(C260="","",O260*(1-IF(INDEX('Facilities'!$AA$9:$AA$108,MATCH(C260,'Facilities'!$C$9:$C$108,0))=0,0,MIN(1,INDEX('Facilities'!$X$9:$X$108,MATCH(C260,'Facilities'!$C$9:$C$108,0))/INDEX('Facilities'!$AA$9:$AA$108,MATCH(C260,'Facilities'!$C$9:$C$108,0)))))*AF260+P260*(1-IF(INDEX('Facilities'!$AA$9:$AA$108,MATCH(C260,'Facilities'!$C$9:$C$108,0))=0,0,MIN(1,INDEX('Facilities'!$X$9:$X$108,MATCH(C260,'Facilities'!$C$9:$C$108,0))/INDEX('Facilities'!$AA$9:$AA$108,MATCH(C260,'Facilities'!$C$9:$C$108,0)))))*INDEX('Facilities'!$AJ$9:$AJ$108,MATCH(C260,'Facilities'!$C$9:$C$108,0))+Q260*INDEX('Facilities'!$AI$9:$AI$108,MATCH(C260,'Facilities'!$C$9:$C$108,0))*AF260)))</x:f>
      </x:c>
      <x:c r="AB260" s="21" t="str">
        <x:f>IF(C260="","",O260+P260-AD260)</x:f>
      </x:c>
      <x:c r="AC260" s="23" t="str">
        <x:f>IF(C260="","",IFERROR(IF(INDEX('Facilities'!$AD$9:$AD$108,MATCH(C260,'Facilities'!$C$9:$C$108,0))=3,0,IF(INDEX('Facilities'!$AN$9:$AN$108,MATCH(C260,'Facilities'!$C$9:$C$108,0))=0,-1,INDEX('Facilities'!$AN$9:$AN$108,MATCH(C260,'Facilities'!$C$9:$C$108,0)))),"Unavailable"))</x:f>
      </x:c>
      <x:c r="AD260" s="21" t="str">
        <x:f>IF(C260="","",IFERROR(G260+H260,"Unavailable"))</x:f>
      </x:c>
      <x:c r="AE260" s="21" t="str">
        <x:f>IF(C260="","",IF(AQ260&lt;&gt;"Ready","Unavailable",IF(C260="","",O260+P260-AD260-J260+K260+M260+N260)))</x:f>
      </x:c>
      <x:c r="AF260" s="30" t="str">
        <x:f>IF(C260="","",IFERROR(INDEX('Facilities'!$S$9:$S$108,MATCH(C260,'Facilities'!$C$9:$C$108,0))*'Scenario Paths'!H75,"Unavailable"))</x:f>
      </x:c>
      <x:c r="AG260" s="23" t="str">
        <x:f>IF(C260="","",IF(AQ260&lt;&gt;"Ready","Unavailable",IF(C260="","",IF(H260&gt;0,MAX(0,H260-AK260)*((1+INDEX('Facilities'!$K$9:$K$108,MATCH(C260,'Facilities'!$C$9:$C$108,0)))^MIN(1,MAX(0,AC260+INDEX('Facilities'!$AK$9:$AK$108,MATCH(C260,'Facilities'!$C$9:$C$108,0))-D260+1))-1),0))))</x:f>
      </x:c>
      <x:c r="AH260" s="21" t="str">
        <x:f>IF(C260="","",IF(AQ260&lt;&gt;"Ready","Unavailable",IF(C260="","",O260+P260)))</x:f>
      </x:c>
      <x:c r="AI260" s="21" t="str">
        <x:f>IF(C260="","",IF(AQ260&lt;&gt;"Ready","Unavailable",IF(C260="","",Z260-Y260)))</x:f>
      </x:c>
      <x:c r="AJ260" s="23" t="str">
        <x:f>IF(C260="","",IFERROR(MAX(0,INDEX('Facilities'!$J$9:$J$108,MATCH(C260,'Facilities'!$C$9:$C$108,0))-D260),"Unavailable"))</x:f>
      </x:c>
      <x:c r="AK260" s="21" t="str">
        <x:f>IF(C260="","",IFERROR(AL160,"Unavailable"))</x:f>
      </x:c>
      <x:c r="AL260" s="23" t="str">
        <x:f>IF(C260="","",IFERROR(IF(P260&gt;0,P260*(1-AM260/(1+INDEX('Facilities'!$K$9:$K$108,MATCH(C260,'Facilities'!$C$9:$C$108,0)))^MAX(0,AC260+INDEX('Facilities'!$AK$9:$AK$108,MATCH(C260,'Facilities'!$C$9:$C$108,0))-D260)),0),"Unavailable"))</x:f>
      </x:c>
      <x:c r="AM260" s="30" t="str">
        <x:f>IF(C260="","",IFERROR(INDEX('Facilities'!$AL$9:$AL$108,MATCH(C260,'Facilities'!$C$9:$C$108,0)),"Unavailable"))</x:f>
      </x:c>
      <x:c r="AN260" s="30" t="str">
        <x:f>IF(C260="","",IFERROR(INDEX(Credit!$T$209:$T$308,MATCH(F260,Credit!$C$209:$C$308,0)),"Unavailable"))</x:f>
      </x:c>
      <x:c r="AO260" s="23" t="str">
        <x:f>IF(C260="","",IF(AQ260&lt;&gt;"Ready","Unavailable",IF(C260="","",O260+P260+Q260*INDEX('Facilities'!$I$9:$I$108,MATCH(C260,'Facilities'!$C$9:$C$108,0)))))</x:f>
      </x:c>
      <x:c r="AP260" s="21" t="str">
        <x:f>IF(C260="","",IF(AQ260&lt;&gt;"Ready","Unavailable",IF(C260="","",AH260-U260)))</x:f>
      </x:c>
      <x:c r="AQ260" s="23" t="str">
        <x:f>IFERROR(IF(C260="","",IF(AND(INDEX('Facilities'!$AF$9:$AF$108,MATCH(C260,'Facilities'!$C$9:$C$108,0))="Ready",INDEX(Credit!$U$209:$U$308,MATCH(F260,Credit!$C$209:$C$308,0))="Ready",ISNUMBER(W260)),"Ready","Review inputs")),"Review inputs")</x:f>
      </x:c>
      <x:c r="AR260" s="23" t="str">
        <x:f>IF(C260="","",IF(AQ260&lt;&gt;"Ready","Unavailable",IF(C260="","",IF(O260=0,0,(IF(AJ260&lt;=1,O260,O260*INDEX('Facilities'!$R$9:$R$108,MATCH(C260,'Facilities'!$C$9:$C$108,0)))+O260*INDEX('Facilities'!$T$9:$T$108,MATCH(C260,'Facilities'!$C$9:$C$108,0)))/12))))</x:f>
      </x:c>
    </x:row>
    <x:row r="261" ht="26" customHeight="1">
      <x:c r="A261" s="1"/>
      <x:c r="B261" s="1"/>
      <x:c r="C261" s="9" t="str">
        <x:f>IF(Facilities!C61="","",Facilities!C61)</x:f>
      </x:c>
      <x:c r="D261" s="3" t="n">
        <x:v>3</x:v>
      </x:c>
      <x:c r="E261" s="9" t="n">
        <x:f>Settings!$F$18+2</x:f>
        <x:v>2029</x:v>
      </x:c>
      <x:c r="F261" s="9" t="str">
        <x:f>IF(C261="","",IFERROR(INDEX('Facilities'!$D$9:$D$108,MATCH(C261,'Facilities'!$C$9:$C$108,0)),"Unavailable"))</x:f>
      </x:c>
      <x:c r="G261" s="21" t="str">
        <x:f>IF(C261="","",IFERROR(O161,"Unavailable"))</x:f>
      </x:c>
      <x:c r="H261" s="21" t="str">
        <x:f>IF(C261="","",IFERROR(P161,"Unavailable"))</x:f>
      </x:c>
      <x:c r="I261" s="21" t="str">
        <x:f>IF(C261="","",IFERROR(Q161,"Unavailable"))</x:f>
      </x:c>
      <x:c r="J261" s="23" t="str">
        <x:f>IF(C261="","",IFERROR(IF(OR(H261&gt;0,AND(AC261&gt;=0,AC261&lt;D261),D261&gt;INDEX('Facilities'!$J$9:$J$108,MATCH(C261,'Facilities'!$C$9:$C$108,0))),0,I261*'Scenario Paths'!H81),"Unavailable"))</x:f>
      </x:c>
      <x:c r="K261" s="23" t="str">
        <x:f>IF(C261="","",IFERROR(IF(OR(H261&gt;0,AND(AC261&gt;=0,AC261=D261)),0,IF(D261&gt;=INDEX('Facilities'!$J$9:$J$108,MATCH(C261,'Facilities'!$C$9:$C$108,0)),G261+J261,MIN(G261+J261,G261*INDEX('Facilities'!$R$9:$R$108,MATCH(C261,'Facilities'!$C$9:$C$108,0))))),"Unavailable"))</x:f>
      </x:c>
      <x:c r="L261" s="21" t="str">
        <x:f>IF(C261="","",IFERROR(IF(AND(AC261=D261,AC261&gt;0),MAX(0,G261+J261-K261),0),"Unavailable"))</x:f>
      </x:c>
      <x:c r="M261" s="23" t="str">
        <x:f>IF(C261="","",IFERROR(IF(AND(AC261&gt;=0,D261&gt;=AC261+INDEX('Facilities'!$AK$9:$AK$108,MATCH(C261,'Facilities'!$C$9:$C$108,0))),(H261+L261)*AM261,0),"Unavailable"))</x:f>
      </x:c>
      <x:c r="N261" s="23" t="str">
        <x:f>IF(C261="","",IFERROR(IF(AND(AC261&gt;=0,D261&gt;=AC261+INDEX('Facilities'!$AK$9:$AK$108,MATCH(C261,'Facilities'!$C$9:$C$108,0))),H261+L261-M261,0),"Unavailable"))</x:f>
      </x:c>
      <x:c r="O261" s="21" t="str">
        <x:f>IF(C261="","",IFERROR(MAX(0,G261+J261-K261-L261),"Unavailable"))</x:f>
      </x:c>
      <x:c r="P261" s="21" t="str">
        <x:f>IF(C261="","",IFERROR(MAX(0,H261+L261-M261-N261),"Unavailable"))</x:f>
      </x:c>
      <x:c r="Q261" s="23" t="str">
        <x:f>IF(C261="","",IFERROR(IF(OR(D261&gt;=INDEX('Facilities'!$J$9:$J$108,MATCH(C261,'Facilities'!$C$9:$C$108,0)),AND(AC261&gt;=0,AC261&lt;=D261)),0,MAX(0,I261-J261)),"Unavailable"))</x:f>
      </x:c>
      <x:c r="R261" s="30" t="str">
        <x:f>IF(C261="","",IFERROR(INDEX(Credit!$Q$209:$Q$308,MATCH(F261,Credit!$C$209:$C$308,0)),"Unavailable"))</x:f>
      </x:c>
      <x:c r="S261" s="30" t="str">
        <x:f>IF(C261="","",IFERROR(INDEX(Credit!$R$209:$R$308,MATCH(F261,Credit!$C$209:$C$308,0)),"Unavailable"))</x:f>
      </x:c>
      <x:c r="T261" s="23" t="str">
        <x:f>IF(C261="","",IFERROR(IF(P261&gt;0,3,IF(OR(INDEX('Facilities'!$AD$9:$AD$108,MATCH(C261,'Facilities'!$C$9:$C$108,0))=2,AND(R261&gt;=INDEX('Facilities'!$L$9:$L$108,MATCH(C261,'Facilities'!$C$9:$C$108,0))*Settings!$F$19,R261-INDEX('Facilities'!$L$9:$L$108,MATCH(C261,'Facilities'!$C$9:$C$108,0))&gt;=Settings!$F$20)),2,1)),"Unavailable"))</x:f>
      </x:c>
      <x:c r="U261" s="23" t="str">
        <x:f>IF(C261="","",IF(AQ261&lt;&gt;"Ready","Unavailable",IF(C261="","",O261*(1-(1-S261)/(1+INDEX('Facilities'!$K$9:$K$108,MATCH(C261,'Facilities'!$C$9:$C$108,0)))^INDEX('Facilities'!$AK$9:$AK$108,MATCH(C261,'Facilities'!$C$9:$C$108,0)))*R261/(1+INDEX('Facilities'!$K$9:$K$108,MATCH(C261,'Facilities'!$C$9:$C$108,0)))*IF(ABS(1-(1-R261)*(1-INDEX('Facilities'!$R$9:$R$108,MATCH(C261,'Facilities'!$C$9:$C$108,0)))/(1+INDEX('Facilities'!$K$9:$K$108,MATCH(C261,'Facilities'!$C$9:$C$108,0))))&lt;0.000000001,IF(T261=1,MIN(1,AJ261),AJ261),(1-((1-R261)*(1-INDEX('Facilities'!$R$9:$R$108,MATCH(C261,'Facilities'!$C$9:$C$108,0)))/(1+INDEX('Facilities'!$K$9:$K$108,MATCH(C261,'Facilities'!$C$9:$C$108,0))))^IF(T261=1,MIN(1,AJ261),AJ261))/(1-(1-R261)*(1-INDEX('Facilities'!$R$9:$R$108,MATCH(C261,'Facilities'!$C$9:$C$108,0)))/(1+INDEX('Facilities'!$K$9:$K$108,MATCH(C261,'Facilities'!$C$9:$C$108,0)))))+AL261)))</x:f>
      </x:c>
      <x:c r="V261" s="23" t="str">
        <x:f>IF(C261="","",IF(AQ261&lt;&gt;"Ready","Unavailable",IF(C261="","",Q261*INDEX('Facilities'!$I$9:$I$108,MATCH(C261,'Facilities'!$C$9:$C$108,0))*(1-(1-S261)/(1+INDEX('Facilities'!$K$9:$K$108,MATCH(C261,'Facilities'!$C$9:$C$108,0)))^INDEX('Facilities'!$AK$9:$AK$108,MATCH(C261,'Facilities'!$C$9:$C$108,0)))*R261/(1+INDEX('Facilities'!$K$9:$K$108,MATCH(C261,'Facilities'!$C$9:$C$108,0)))*IF(ABS(1-(1-R261)*(1-0)/(1+INDEX('Facilities'!$K$9:$K$108,MATCH(C261,'Facilities'!$C$9:$C$108,0))))&lt;0.000000001,IF(T261=1,MIN(1,AJ261),AJ261),(1-((1-R261)*(1-0)/(1+INDEX('Facilities'!$K$9:$K$108,MATCH(C261,'Facilities'!$C$9:$C$108,0))))^IF(T261=1,MIN(1,AJ261),AJ261))/(1-(1-R261)*(1-0)/(1+INDEX('Facilities'!$K$9:$K$108,MATCH(C261,'Facilities'!$C$9:$C$108,0))))))))</x:f>
      </x:c>
      <x:c r="W261" s="21" t="str">
        <x:f>IF(C261="","",IFERROR(U161,"Unavailable"))</x:f>
      </x:c>
      <x:c r="X261" s="21" t="str">
        <x:f>IF(C261="","",IFERROR(V161,"Unavailable"))</x:f>
      </x:c>
      <x:c r="Y261" s="21" t="str">
        <x:f>IF(C261="","",IF(AQ261&lt;&gt;"Ready","Unavailable",IF(C261="","",U261-W261+V261-X261+N261+AG261)))</x:f>
      </x:c>
      <x:c r="Z261" s="23" t="str">
        <x:f>IF(C261="","",IF(AQ261&lt;&gt;"Ready","Unavailable",IF(C261="","",(G261+O261+L261)/2*INDEX('Facilities'!$T$9:$T$108,MATCH(C261,'Facilities'!$C$9:$C$108,0))+AG261)))</x:f>
      </x:c>
      <x:c r="AA261" s="23" t="str">
        <x:f>IF(C261="","",IF(AQ261&lt;&gt;"Ready","Unavailable",IF(C261="","",O261*(1-IF(INDEX('Facilities'!$AA$9:$AA$108,MATCH(C261,'Facilities'!$C$9:$C$108,0))=0,0,MIN(1,INDEX('Facilities'!$X$9:$X$108,MATCH(C261,'Facilities'!$C$9:$C$108,0))/INDEX('Facilities'!$AA$9:$AA$108,MATCH(C261,'Facilities'!$C$9:$C$108,0)))))*AF261+P261*(1-IF(INDEX('Facilities'!$AA$9:$AA$108,MATCH(C261,'Facilities'!$C$9:$C$108,0))=0,0,MIN(1,INDEX('Facilities'!$X$9:$X$108,MATCH(C261,'Facilities'!$C$9:$C$108,0))/INDEX('Facilities'!$AA$9:$AA$108,MATCH(C261,'Facilities'!$C$9:$C$108,0)))))*INDEX('Facilities'!$AJ$9:$AJ$108,MATCH(C261,'Facilities'!$C$9:$C$108,0))+Q261*INDEX('Facilities'!$AI$9:$AI$108,MATCH(C261,'Facilities'!$C$9:$C$108,0))*AF261)))</x:f>
      </x:c>
      <x:c r="AB261" s="21" t="str">
        <x:f>IF(C261="","",O261+P261-AD261)</x:f>
      </x:c>
      <x:c r="AC261" s="23" t="str">
        <x:f>IF(C261="","",IFERROR(IF(INDEX('Facilities'!$AD$9:$AD$108,MATCH(C261,'Facilities'!$C$9:$C$108,0))=3,0,IF(INDEX('Facilities'!$AN$9:$AN$108,MATCH(C261,'Facilities'!$C$9:$C$108,0))=0,-1,INDEX('Facilities'!$AN$9:$AN$108,MATCH(C261,'Facilities'!$C$9:$C$108,0)))),"Unavailable"))</x:f>
      </x:c>
      <x:c r="AD261" s="21" t="str">
        <x:f>IF(C261="","",IFERROR(G261+H261,"Unavailable"))</x:f>
      </x:c>
      <x:c r="AE261" s="21" t="str">
        <x:f>IF(C261="","",IF(AQ261&lt;&gt;"Ready","Unavailable",IF(C261="","",O261+P261-AD261-J261+K261+M261+N261)))</x:f>
      </x:c>
      <x:c r="AF261" s="30" t="str">
        <x:f>IF(C261="","",IFERROR(INDEX('Facilities'!$S$9:$S$108,MATCH(C261,'Facilities'!$C$9:$C$108,0))*'Scenario Paths'!H75,"Unavailable"))</x:f>
      </x:c>
      <x:c r="AG261" s="23" t="str">
        <x:f>IF(C261="","",IF(AQ261&lt;&gt;"Ready","Unavailable",IF(C261="","",IF(H261&gt;0,MAX(0,H261-AK261)*((1+INDEX('Facilities'!$K$9:$K$108,MATCH(C261,'Facilities'!$C$9:$C$108,0)))^MIN(1,MAX(0,AC261+INDEX('Facilities'!$AK$9:$AK$108,MATCH(C261,'Facilities'!$C$9:$C$108,0))-D261+1))-1),0))))</x:f>
      </x:c>
      <x:c r="AH261" s="21" t="str">
        <x:f>IF(C261="","",IF(AQ261&lt;&gt;"Ready","Unavailable",IF(C261="","",O261+P261)))</x:f>
      </x:c>
      <x:c r="AI261" s="21" t="str">
        <x:f>IF(C261="","",IF(AQ261&lt;&gt;"Ready","Unavailable",IF(C261="","",Z261-Y261)))</x:f>
      </x:c>
      <x:c r="AJ261" s="23" t="str">
        <x:f>IF(C261="","",IFERROR(MAX(0,INDEX('Facilities'!$J$9:$J$108,MATCH(C261,'Facilities'!$C$9:$C$108,0))-D261),"Unavailable"))</x:f>
      </x:c>
      <x:c r="AK261" s="21" t="str">
        <x:f>IF(C261="","",IFERROR(AL161,"Unavailable"))</x:f>
      </x:c>
      <x:c r="AL261" s="23" t="str">
        <x:f>IF(C261="","",IFERROR(IF(P261&gt;0,P261*(1-AM261/(1+INDEX('Facilities'!$K$9:$K$108,MATCH(C261,'Facilities'!$C$9:$C$108,0)))^MAX(0,AC261+INDEX('Facilities'!$AK$9:$AK$108,MATCH(C261,'Facilities'!$C$9:$C$108,0))-D261)),0),"Unavailable"))</x:f>
      </x:c>
      <x:c r="AM261" s="30" t="str">
        <x:f>IF(C261="","",IFERROR(INDEX('Facilities'!$AL$9:$AL$108,MATCH(C261,'Facilities'!$C$9:$C$108,0)),"Unavailable"))</x:f>
      </x:c>
      <x:c r="AN261" s="30" t="str">
        <x:f>IF(C261="","",IFERROR(INDEX(Credit!$T$209:$T$308,MATCH(F261,Credit!$C$209:$C$308,0)),"Unavailable"))</x:f>
      </x:c>
      <x:c r="AO261" s="23" t="str">
        <x:f>IF(C261="","",IF(AQ261&lt;&gt;"Ready","Unavailable",IF(C261="","",O261+P261+Q261*INDEX('Facilities'!$I$9:$I$108,MATCH(C261,'Facilities'!$C$9:$C$108,0)))))</x:f>
      </x:c>
      <x:c r="AP261" s="21" t="str">
        <x:f>IF(C261="","",IF(AQ261&lt;&gt;"Ready","Unavailable",IF(C261="","",AH261-U261)))</x:f>
      </x:c>
      <x:c r="AQ261" s="23" t="str">
        <x:f>IFERROR(IF(C261="","",IF(AND(INDEX('Facilities'!$AF$9:$AF$108,MATCH(C261,'Facilities'!$C$9:$C$108,0))="Ready",INDEX(Credit!$U$209:$U$308,MATCH(F261,Credit!$C$209:$C$308,0))="Ready",ISNUMBER(W261)),"Ready","Review inputs")),"Review inputs")</x:f>
      </x:c>
      <x:c r="AR261" s="23" t="str">
        <x:f>IF(C261="","",IF(AQ261&lt;&gt;"Ready","Unavailable",IF(C261="","",IF(O261=0,0,(IF(AJ261&lt;=1,O261,O261*INDEX('Facilities'!$R$9:$R$108,MATCH(C261,'Facilities'!$C$9:$C$108,0)))+O261*INDEX('Facilities'!$T$9:$T$108,MATCH(C261,'Facilities'!$C$9:$C$108,0)))/12))))</x:f>
      </x:c>
    </x:row>
    <x:row r="262" ht="26" customHeight="1">
      <x:c r="A262" s="1"/>
      <x:c r="B262" s="1"/>
      <x:c r="C262" s="9" t="str">
        <x:f>IF(Facilities!C62="","",Facilities!C62)</x:f>
      </x:c>
      <x:c r="D262" s="3" t="n">
        <x:v>3</x:v>
      </x:c>
      <x:c r="E262" s="9" t="n">
        <x:f>Settings!$F$18+2</x:f>
        <x:v>2029</x:v>
      </x:c>
      <x:c r="F262" s="9" t="str">
        <x:f>IF(C262="","",IFERROR(INDEX('Facilities'!$D$9:$D$108,MATCH(C262,'Facilities'!$C$9:$C$108,0)),"Unavailable"))</x:f>
      </x:c>
      <x:c r="G262" s="21" t="str">
        <x:f>IF(C262="","",IFERROR(O162,"Unavailable"))</x:f>
      </x:c>
      <x:c r="H262" s="21" t="str">
        <x:f>IF(C262="","",IFERROR(P162,"Unavailable"))</x:f>
      </x:c>
      <x:c r="I262" s="21" t="str">
        <x:f>IF(C262="","",IFERROR(Q162,"Unavailable"))</x:f>
      </x:c>
      <x:c r="J262" s="23" t="str">
        <x:f>IF(C262="","",IFERROR(IF(OR(H262&gt;0,AND(AC262&gt;=0,AC262&lt;D262),D262&gt;INDEX('Facilities'!$J$9:$J$108,MATCH(C262,'Facilities'!$C$9:$C$108,0))),0,I262*'Scenario Paths'!H81),"Unavailable"))</x:f>
      </x:c>
      <x:c r="K262" s="23" t="str">
        <x:f>IF(C262="","",IFERROR(IF(OR(H262&gt;0,AND(AC262&gt;=0,AC262=D262)),0,IF(D262&gt;=INDEX('Facilities'!$J$9:$J$108,MATCH(C262,'Facilities'!$C$9:$C$108,0)),G262+J262,MIN(G262+J262,G262*INDEX('Facilities'!$R$9:$R$108,MATCH(C262,'Facilities'!$C$9:$C$108,0))))),"Unavailable"))</x:f>
      </x:c>
      <x:c r="L262" s="21" t="str">
        <x:f>IF(C262="","",IFERROR(IF(AND(AC262=D262,AC262&gt;0),MAX(0,G262+J262-K262),0),"Unavailable"))</x:f>
      </x:c>
      <x:c r="M262" s="23" t="str">
        <x:f>IF(C262="","",IFERROR(IF(AND(AC262&gt;=0,D262&gt;=AC262+INDEX('Facilities'!$AK$9:$AK$108,MATCH(C262,'Facilities'!$C$9:$C$108,0))),(H262+L262)*AM262,0),"Unavailable"))</x:f>
      </x:c>
      <x:c r="N262" s="23" t="str">
        <x:f>IF(C262="","",IFERROR(IF(AND(AC262&gt;=0,D262&gt;=AC262+INDEX('Facilities'!$AK$9:$AK$108,MATCH(C262,'Facilities'!$C$9:$C$108,0))),H262+L262-M262,0),"Unavailable"))</x:f>
      </x:c>
      <x:c r="O262" s="21" t="str">
        <x:f>IF(C262="","",IFERROR(MAX(0,G262+J262-K262-L262),"Unavailable"))</x:f>
      </x:c>
      <x:c r="P262" s="21" t="str">
        <x:f>IF(C262="","",IFERROR(MAX(0,H262+L262-M262-N262),"Unavailable"))</x:f>
      </x:c>
      <x:c r="Q262" s="23" t="str">
        <x:f>IF(C262="","",IFERROR(IF(OR(D262&gt;=INDEX('Facilities'!$J$9:$J$108,MATCH(C262,'Facilities'!$C$9:$C$108,0)),AND(AC262&gt;=0,AC262&lt;=D262)),0,MAX(0,I262-J262)),"Unavailable"))</x:f>
      </x:c>
      <x:c r="R262" s="30" t="str">
        <x:f>IF(C262="","",IFERROR(INDEX(Credit!$Q$209:$Q$308,MATCH(F262,Credit!$C$209:$C$308,0)),"Unavailable"))</x:f>
      </x:c>
      <x:c r="S262" s="30" t="str">
        <x:f>IF(C262="","",IFERROR(INDEX(Credit!$R$209:$R$308,MATCH(F262,Credit!$C$209:$C$308,0)),"Unavailable"))</x:f>
      </x:c>
      <x:c r="T262" s="23" t="str">
        <x:f>IF(C262="","",IFERROR(IF(P262&gt;0,3,IF(OR(INDEX('Facilities'!$AD$9:$AD$108,MATCH(C262,'Facilities'!$C$9:$C$108,0))=2,AND(R262&gt;=INDEX('Facilities'!$L$9:$L$108,MATCH(C262,'Facilities'!$C$9:$C$108,0))*Settings!$F$19,R262-INDEX('Facilities'!$L$9:$L$108,MATCH(C262,'Facilities'!$C$9:$C$108,0))&gt;=Settings!$F$20)),2,1)),"Unavailable"))</x:f>
      </x:c>
      <x:c r="U262" s="23" t="str">
        <x:f>IF(C262="","",IF(AQ262&lt;&gt;"Ready","Unavailable",IF(C262="","",O262*(1-(1-S262)/(1+INDEX('Facilities'!$K$9:$K$108,MATCH(C262,'Facilities'!$C$9:$C$108,0)))^INDEX('Facilities'!$AK$9:$AK$108,MATCH(C262,'Facilities'!$C$9:$C$108,0)))*R262/(1+INDEX('Facilities'!$K$9:$K$108,MATCH(C262,'Facilities'!$C$9:$C$108,0)))*IF(ABS(1-(1-R262)*(1-INDEX('Facilities'!$R$9:$R$108,MATCH(C262,'Facilities'!$C$9:$C$108,0)))/(1+INDEX('Facilities'!$K$9:$K$108,MATCH(C262,'Facilities'!$C$9:$C$108,0))))&lt;0.000000001,IF(T262=1,MIN(1,AJ262),AJ262),(1-((1-R262)*(1-INDEX('Facilities'!$R$9:$R$108,MATCH(C262,'Facilities'!$C$9:$C$108,0)))/(1+INDEX('Facilities'!$K$9:$K$108,MATCH(C262,'Facilities'!$C$9:$C$108,0))))^IF(T262=1,MIN(1,AJ262),AJ262))/(1-(1-R262)*(1-INDEX('Facilities'!$R$9:$R$108,MATCH(C262,'Facilities'!$C$9:$C$108,0)))/(1+INDEX('Facilities'!$K$9:$K$108,MATCH(C262,'Facilities'!$C$9:$C$108,0)))))+AL262)))</x:f>
      </x:c>
      <x:c r="V262" s="23" t="str">
        <x:f>IF(C262="","",IF(AQ262&lt;&gt;"Ready","Unavailable",IF(C262="","",Q262*INDEX('Facilities'!$I$9:$I$108,MATCH(C262,'Facilities'!$C$9:$C$108,0))*(1-(1-S262)/(1+INDEX('Facilities'!$K$9:$K$108,MATCH(C262,'Facilities'!$C$9:$C$108,0)))^INDEX('Facilities'!$AK$9:$AK$108,MATCH(C262,'Facilities'!$C$9:$C$108,0)))*R262/(1+INDEX('Facilities'!$K$9:$K$108,MATCH(C262,'Facilities'!$C$9:$C$108,0)))*IF(ABS(1-(1-R262)*(1-0)/(1+INDEX('Facilities'!$K$9:$K$108,MATCH(C262,'Facilities'!$C$9:$C$108,0))))&lt;0.000000001,IF(T262=1,MIN(1,AJ262),AJ262),(1-((1-R262)*(1-0)/(1+INDEX('Facilities'!$K$9:$K$108,MATCH(C262,'Facilities'!$C$9:$C$108,0))))^IF(T262=1,MIN(1,AJ262),AJ262))/(1-(1-R262)*(1-0)/(1+INDEX('Facilities'!$K$9:$K$108,MATCH(C262,'Facilities'!$C$9:$C$108,0))))))))</x:f>
      </x:c>
      <x:c r="W262" s="21" t="str">
        <x:f>IF(C262="","",IFERROR(U162,"Unavailable"))</x:f>
      </x:c>
      <x:c r="X262" s="21" t="str">
        <x:f>IF(C262="","",IFERROR(V162,"Unavailable"))</x:f>
      </x:c>
      <x:c r="Y262" s="21" t="str">
        <x:f>IF(C262="","",IF(AQ262&lt;&gt;"Ready","Unavailable",IF(C262="","",U262-W262+V262-X262+N262+AG262)))</x:f>
      </x:c>
      <x:c r="Z262" s="23" t="str">
        <x:f>IF(C262="","",IF(AQ262&lt;&gt;"Ready","Unavailable",IF(C262="","",(G262+O262+L262)/2*INDEX('Facilities'!$T$9:$T$108,MATCH(C262,'Facilities'!$C$9:$C$108,0))+AG262)))</x:f>
      </x:c>
      <x:c r="AA262" s="23" t="str">
        <x:f>IF(C262="","",IF(AQ262&lt;&gt;"Ready","Unavailable",IF(C262="","",O262*(1-IF(INDEX('Facilities'!$AA$9:$AA$108,MATCH(C262,'Facilities'!$C$9:$C$108,0))=0,0,MIN(1,INDEX('Facilities'!$X$9:$X$108,MATCH(C262,'Facilities'!$C$9:$C$108,0))/INDEX('Facilities'!$AA$9:$AA$108,MATCH(C262,'Facilities'!$C$9:$C$108,0)))))*AF262+P262*(1-IF(INDEX('Facilities'!$AA$9:$AA$108,MATCH(C262,'Facilities'!$C$9:$C$108,0))=0,0,MIN(1,INDEX('Facilities'!$X$9:$X$108,MATCH(C262,'Facilities'!$C$9:$C$108,0))/INDEX('Facilities'!$AA$9:$AA$108,MATCH(C262,'Facilities'!$C$9:$C$108,0)))))*INDEX('Facilities'!$AJ$9:$AJ$108,MATCH(C262,'Facilities'!$C$9:$C$108,0))+Q262*INDEX('Facilities'!$AI$9:$AI$108,MATCH(C262,'Facilities'!$C$9:$C$108,0))*AF262)))</x:f>
      </x:c>
      <x:c r="AB262" s="21" t="str">
        <x:f>IF(C262="","",O262+P262-AD262)</x:f>
      </x:c>
      <x:c r="AC262" s="23" t="str">
        <x:f>IF(C262="","",IFERROR(IF(INDEX('Facilities'!$AD$9:$AD$108,MATCH(C262,'Facilities'!$C$9:$C$108,0))=3,0,IF(INDEX('Facilities'!$AN$9:$AN$108,MATCH(C262,'Facilities'!$C$9:$C$108,0))=0,-1,INDEX('Facilities'!$AN$9:$AN$108,MATCH(C262,'Facilities'!$C$9:$C$108,0)))),"Unavailable"))</x:f>
      </x:c>
      <x:c r="AD262" s="21" t="str">
        <x:f>IF(C262="","",IFERROR(G262+H262,"Unavailable"))</x:f>
      </x:c>
      <x:c r="AE262" s="21" t="str">
        <x:f>IF(C262="","",IF(AQ262&lt;&gt;"Ready","Unavailable",IF(C262="","",O262+P262-AD262-J262+K262+M262+N262)))</x:f>
      </x:c>
      <x:c r="AF262" s="30" t="str">
        <x:f>IF(C262="","",IFERROR(INDEX('Facilities'!$S$9:$S$108,MATCH(C262,'Facilities'!$C$9:$C$108,0))*'Scenario Paths'!H75,"Unavailable"))</x:f>
      </x:c>
      <x:c r="AG262" s="23" t="str">
        <x:f>IF(C262="","",IF(AQ262&lt;&gt;"Ready","Unavailable",IF(C262="","",IF(H262&gt;0,MAX(0,H262-AK262)*((1+INDEX('Facilities'!$K$9:$K$108,MATCH(C262,'Facilities'!$C$9:$C$108,0)))^MIN(1,MAX(0,AC262+INDEX('Facilities'!$AK$9:$AK$108,MATCH(C262,'Facilities'!$C$9:$C$108,0))-D262+1))-1),0))))</x:f>
      </x:c>
      <x:c r="AH262" s="21" t="str">
        <x:f>IF(C262="","",IF(AQ262&lt;&gt;"Ready","Unavailable",IF(C262="","",O262+P262)))</x:f>
      </x:c>
      <x:c r="AI262" s="21" t="str">
        <x:f>IF(C262="","",IF(AQ262&lt;&gt;"Ready","Unavailable",IF(C262="","",Z262-Y262)))</x:f>
      </x:c>
      <x:c r="AJ262" s="23" t="str">
        <x:f>IF(C262="","",IFERROR(MAX(0,INDEX('Facilities'!$J$9:$J$108,MATCH(C262,'Facilities'!$C$9:$C$108,0))-D262),"Unavailable"))</x:f>
      </x:c>
      <x:c r="AK262" s="21" t="str">
        <x:f>IF(C262="","",IFERROR(AL162,"Unavailable"))</x:f>
      </x:c>
      <x:c r="AL262" s="23" t="str">
        <x:f>IF(C262="","",IFERROR(IF(P262&gt;0,P262*(1-AM262/(1+INDEX('Facilities'!$K$9:$K$108,MATCH(C262,'Facilities'!$C$9:$C$108,0)))^MAX(0,AC262+INDEX('Facilities'!$AK$9:$AK$108,MATCH(C262,'Facilities'!$C$9:$C$108,0))-D262)),0),"Unavailable"))</x:f>
      </x:c>
      <x:c r="AM262" s="30" t="str">
        <x:f>IF(C262="","",IFERROR(INDEX('Facilities'!$AL$9:$AL$108,MATCH(C262,'Facilities'!$C$9:$C$108,0)),"Unavailable"))</x:f>
      </x:c>
      <x:c r="AN262" s="30" t="str">
        <x:f>IF(C262="","",IFERROR(INDEX(Credit!$T$209:$T$308,MATCH(F262,Credit!$C$209:$C$308,0)),"Unavailable"))</x:f>
      </x:c>
      <x:c r="AO262" s="23" t="str">
        <x:f>IF(C262="","",IF(AQ262&lt;&gt;"Ready","Unavailable",IF(C262="","",O262+P262+Q262*INDEX('Facilities'!$I$9:$I$108,MATCH(C262,'Facilities'!$C$9:$C$108,0)))))</x:f>
      </x:c>
      <x:c r="AP262" s="21" t="str">
        <x:f>IF(C262="","",IF(AQ262&lt;&gt;"Ready","Unavailable",IF(C262="","",AH262-U262)))</x:f>
      </x:c>
      <x:c r="AQ262" s="23" t="str">
        <x:f>IFERROR(IF(C262="","",IF(AND(INDEX('Facilities'!$AF$9:$AF$108,MATCH(C262,'Facilities'!$C$9:$C$108,0))="Ready",INDEX(Credit!$U$209:$U$308,MATCH(F262,Credit!$C$209:$C$308,0))="Ready",ISNUMBER(W262)),"Ready","Review inputs")),"Review inputs")</x:f>
      </x:c>
      <x:c r="AR262" s="23" t="str">
        <x:f>IF(C262="","",IF(AQ262&lt;&gt;"Ready","Unavailable",IF(C262="","",IF(O262=0,0,(IF(AJ262&lt;=1,O262,O262*INDEX('Facilities'!$R$9:$R$108,MATCH(C262,'Facilities'!$C$9:$C$108,0)))+O262*INDEX('Facilities'!$T$9:$T$108,MATCH(C262,'Facilities'!$C$9:$C$108,0)))/12))))</x:f>
      </x:c>
    </x:row>
    <x:row r="263" ht="26" customHeight="1">
      <x:c r="A263" s="1"/>
      <x:c r="B263" s="1"/>
      <x:c r="C263" s="9" t="str">
        <x:f>IF(Facilities!C63="","",Facilities!C63)</x:f>
      </x:c>
      <x:c r="D263" s="3" t="n">
        <x:v>3</x:v>
      </x:c>
      <x:c r="E263" s="9" t="n">
        <x:f>Settings!$F$18+2</x:f>
        <x:v>2029</x:v>
      </x:c>
      <x:c r="F263" s="9" t="str">
        <x:f>IF(C263="","",IFERROR(INDEX('Facilities'!$D$9:$D$108,MATCH(C263,'Facilities'!$C$9:$C$108,0)),"Unavailable"))</x:f>
      </x:c>
      <x:c r="G263" s="21" t="str">
        <x:f>IF(C263="","",IFERROR(O163,"Unavailable"))</x:f>
      </x:c>
      <x:c r="H263" s="21" t="str">
        <x:f>IF(C263="","",IFERROR(P163,"Unavailable"))</x:f>
      </x:c>
      <x:c r="I263" s="21" t="str">
        <x:f>IF(C263="","",IFERROR(Q163,"Unavailable"))</x:f>
      </x:c>
      <x:c r="J263" s="23" t="str">
        <x:f>IF(C263="","",IFERROR(IF(OR(H263&gt;0,AND(AC263&gt;=0,AC263&lt;D263),D263&gt;INDEX('Facilities'!$J$9:$J$108,MATCH(C263,'Facilities'!$C$9:$C$108,0))),0,I263*'Scenario Paths'!H81),"Unavailable"))</x:f>
      </x:c>
      <x:c r="K263" s="23" t="str">
        <x:f>IF(C263="","",IFERROR(IF(OR(H263&gt;0,AND(AC263&gt;=0,AC263=D263)),0,IF(D263&gt;=INDEX('Facilities'!$J$9:$J$108,MATCH(C263,'Facilities'!$C$9:$C$108,0)),G263+J263,MIN(G263+J263,G263*INDEX('Facilities'!$R$9:$R$108,MATCH(C263,'Facilities'!$C$9:$C$108,0))))),"Unavailable"))</x:f>
      </x:c>
      <x:c r="L263" s="21" t="str">
        <x:f>IF(C263="","",IFERROR(IF(AND(AC263=D263,AC263&gt;0),MAX(0,G263+J263-K263),0),"Unavailable"))</x:f>
      </x:c>
      <x:c r="M263" s="23" t="str">
        <x:f>IF(C263="","",IFERROR(IF(AND(AC263&gt;=0,D263&gt;=AC263+INDEX('Facilities'!$AK$9:$AK$108,MATCH(C263,'Facilities'!$C$9:$C$108,0))),(H263+L263)*AM263,0),"Unavailable"))</x:f>
      </x:c>
      <x:c r="N263" s="23" t="str">
        <x:f>IF(C263="","",IFERROR(IF(AND(AC263&gt;=0,D263&gt;=AC263+INDEX('Facilities'!$AK$9:$AK$108,MATCH(C263,'Facilities'!$C$9:$C$108,0))),H263+L263-M263,0),"Unavailable"))</x:f>
      </x:c>
      <x:c r="O263" s="21" t="str">
        <x:f>IF(C263="","",IFERROR(MAX(0,G263+J263-K263-L263),"Unavailable"))</x:f>
      </x:c>
      <x:c r="P263" s="21" t="str">
        <x:f>IF(C263="","",IFERROR(MAX(0,H263+L263-M263-N263),"Unavailable"))</x:f>
      </x:c>
      <x:c r="Q263" s="23" t="str">
        <x:f>IF(C263="","",IFERROR(IF(OR(D263&gt;=INDEX('Facilities'!$J$9:$J$108,MATCH(C263,'Facilities'!$C$9:$C$108,0)),AND(AC263&gt;=0,AC263&lt;=D263)),0,MAX(0,I263-J263)),"Unavailable"))</x:f>
      </x:c>
      <x:c r="R263" s="30" t="str">
        <x:f>IF(C263="","",IFERROR(INDEX(Credit!$Q$209:$Q$308,MATCH(F263,Credit!$C$209:$C$308,0)),"Unavailable"))</x:f>
      </x:c>
      <x:c r="S263" s="30" t="str">
        <x:f>IF(C263="","",IFERROR(INDEX(Credit!$R$209:$R$308,MATCH(F263,Credit!$C$209:$C$308,0)),"Unavailable"))</x:f>
      </x:c>
      <x:c r="T263" s="23" t="str">
        <x:f>IF(C263="","",IFERROR(IF(P263&gt;0,3,IF(OR(INDEX('Facilities'!$AD$9:$AD$108,MATCH(C263,'Facilities'!$C$9:$C$108,0))=2,AND(R263&gt;=INDEX('Facilities'!$L$9:$L$108,MATCH(C263,'Facilities'!$C$9:$C$108,0))*Settings!$F$19,R263-INDEX('Facilities'!$L$9:$L$108,MATCH(C263,'Facilities'!$C$9:$C$108,0))&gt;=Settings!$F$20)),2,1)),"Unavailable"))</x:f>
      </x:c>
      <x:c r="U263" s="23" t="str">
        <x:f>IF(C263="","",IF(AQ263&lt;&gt;"Ready","Unavailable",IF(C263="","",O263*(1-(1-S263)/(1+INDEX('Facilities'!$K$9:$K$108,MATCH(C263,'Facilities'!$C$9:$C$108,0)))^INDEX('Facilities'!$AK$9:$AK$108,MATCH(C263,'Facilities'!$C$9:$C$108,0)))*R263/(1+INDEX('Facilities'!$K$9:$K$108,MATCH(C263,'Facilities'!$C$9:$C$108,0)))*IF(ABS(1-(1-R263)*(1-INDEX('Facilities'!$R$9:$R$108,MATCH(C263,'Facilities'!$C$9:$C$108,0)))/(1+INDEX('Facilities'!$K$9:$K$108,MATCH(C263,'Facilities'!$C$9:$C$108,0))))&lt;0.000000001,IF(T263=1,MIN(1,AJ263),AJ263),(1-((1-R263)*(1-INDEX('Facilities'!$R$9:$R$108,MATCH(C263,'Facilities'!$C$9:$C$108,0)))/(1+INDEX('Facilities'!$K$9:$K$108,MATCH(C263,'Facilities'!$C$9:$C$108,0))))^IF(T263=1,MIN(1,AJ263),AJ263))/(1-(1-R263)*(1-INDEX('Facilities'!$R$9:$R$108,MATCH(C263,'Facilities'!$C$9:$C$108,0)))/(1+INDEX('Facilities'!$K$9:$K$108,MATCH(C263,'Facilities'!$C$9:$C$108,0)))))+AL263)))</x:f>
      </x:c>
      <x:c r="V263" s="23" t="str">
        <x:f>IF(C263="","",IF(AQ263&lt;&gt;"Ready","Unavailable",IF(C263="","",Q263*INDEX('Facilities'!$I$9:$I$108,MATCH(C263,'Facilities'!$C$9:$C$108,0))*(1-(1-S263)/(1+INDEX('Facilities'!$K$9:$K$108,MATCH(C263,'Facilities'!$C$9:$C$108,0)))^INDEX('Facilities'!$AK$9:$AK$108,MATCH(C263,'Facilities'!$C$9:$C$108,0)))*R263/(1+INDEX('Facilities'!$K$9:$K$108,MATCH(C263,'Facilities'!$C$9:$C$108,0)))*IF(ABS(1-(1-R263)*(1-0)/(1+INDEX('Facilities'!$K$9:$K$108,MATCH(C263,'Facilities'!$C$9:$C$108,0))))&lt;0.000000001,IF(T263=1,MIN(1,AJ263),AJ263),(1-((1-R263)*(1-0)/(1+INDEX('Facilities'!$K$9:$K$108,MATCH(C263,'Facilities'!$C$9:$C$108,0))))^IF(T263=1,MIN(1,AJ263),AJ263))/(1-(1-R263)*(1-0)/(1+INDEX('Facilities'!$K$9:$K$108,MATCH(C263,'Facilities'!$C$9:$C$108,0))))))))</x:f>
      </x:c>
      <x:c r="W263" s="21" t="str">
        <x:f>IF(C263="","",IFERROR(U163,"Unavailable"))</x:f>
      </x:c>
      <x:c r="X263" s="21" t="str">
        <x:f>IF(C263="","",IFERROR(V163,"Unavailable"))</x:f>
      </x:c>
      <x:c r="Y263" s="21" t="str">
        <x:f>IF(C263="","",IF(AQ263&lt;&gt;"Ready","Unavailable",IF(C263="","",U263-W263+V263-X263+N263+AG263)))</x:f>
      </x:c>
      <x:c r="Z263" s="23" t="str">
        <x:f>IF(C263="","",IF(AQ263&lt;&gt;"Ready","Unavailable",IF(C263="","",(G263+O263+L263)/2*INDEX('Facilities'!$T$9:$T$108,MATCH(C263,'Facilities'!$C$9:$C$108,0))+AG263)))</x:f>
      </x:c>
      <x:c r="AA263" s="23" t="str">
        <x:f>IF(C263="","",IF(AQ263&lt;&gt;"Ready","Unavailable",IF(C263="","",O263*(1-IF(INDEX('Facilities'!$AA$9:$AA$108,MATCH(C263,'Facilities'!$C$9:$C$108,0))=0,0,MIN(1,INDEX('Facilities'!$X$9:$X$108,MATCH(C263,'Facilities'!$C$9:$C$108,0))/INDEX('Facilities'!$AA$9:$AA$108,MATCH(C263,'Facilities'!$C$9:$C$108,0)))))*AF263+P263*(1-IF(INDEX('Facilities'!$AA$9:$AA$108,MATCH(C263,'Facilities'!$C$9:$C$108,0))=0,0,MIN(1,INDEX('Facilities'!$X$9:$X$108,MATCH(C263,'Facilities'!$C$9:$C$108,0))/INDEX('Facilities'!$AA$9:$AA$108,MATCH(C263,'Facilities'!$C$9:$C$108,0)))))*INDEX('Facilities'!$AJ$9:$AJ$108,MATCH(C263,'Facilities'!$C$9:$C$108,0))+Q263*INDEX('Facilities'!$AI$9:$AI$108,MATCH(C263,'Facilities'!$C$9:$C$108,0))*AF263)))</x:f>
      </x:c>
      <x:c r="AB263" s="21" t="str">
        <x:f>IF(C263="","",O263+P263-AD263)</x:f>
      </x:c>
      <x:c r="AC263" s="23" t="str">
        <x:f>IF(C263="","",IFERROR(IF(INDEX('Facilities'!$AD$9:$AD$108,MATCH(C263,'Facilities'!$C$9:$C$108,0))=3,0,IF(INDEX('Facilities'!$AN$9:$AN$108,MATCH(C263,'Facilities'!$C$9:$C$108,0))=0,-1,INDEX('Facilities'!$AN$9:$AN$108,MATCH(C263,'Facilities'!$C$9:$C$108,0)))),"Unavailable"))</x:f>
      </x:c>
      <x:c r="AD263" s="21" t="str">
        <x:f>IF(C263="","",IFERROR(G263+H263,"Unavailable"))</x:f>
      </x:c>
      <x:c r="AE263" s="21" t="str">
        <x:f>IF(C263="","",IF(AQ263&lt;&gt;"Ready","Unavailable",IF(C263="","",O263+P263-AD263-J263+K263+M263+N263)))</x:f>
      </x:c>
      <x:c r="AF263" s="30" t="str">
        <x:f>IF(C263="","",IFERROR(INDEX('Facilities'!$S$9:$S$108,MATCH(C263,'Facilities'!$C$9:$C$108,0))*'Scenario Paths'!H75,"Unavailable"))</x:f>
      </x:c>
      <x:c r="AG263" s="23" t="str">
        <x:f>IF(C263="","",IF(AQ263&lt;&gt;"Ready","Unavailable",IF(C263="","",IF(H263&gt;0,MAX(0,H263-AK263)*((1+INDEX('Facilities'!$K$9:$K$108,MATCH(C263,'Facilities'!$C$9:$C$108,0)))^MIN(1,MAX(0,AC263+INDEX('Facilities'!$AK$9:$AK$108,MATCH(C263,'Facilities'!$C$9:$C$108,0))-D263+1))-1),0))))</x:f>
      </x:c>
      <x:c r="AH263" s="21" t="str">
        <x:f>IF(C263="","",IF(AQ263&lt;&gt;"Ready","Unavailable",IF(C263="","",O263+P263)))</x:f>
      </x:c>
      <x:c r="AI263" s="21" t="str">
        <x:f>IF(C263="","",IF(AQ263&lt;&gt;"Ready","Unavailable",IF(C263="","",Z263-Y263)))</x:f>
      </x:c>
      <x:c r="AJ263" s="23" t="str">
        <x:f>IF(C263="","",IFERROR(MAX(0,INDEX('Facilities'!$J$9:$J$108,MATCH(C263,'Facilities'!$C$9:$C$108,0))-D263),"Unavailable"))</x:f>
      </x:c>
      <x:c r="AK263" s="21" t="str">
        <x:f>IF(C263="","",IFERROR(AL163,"Unavailable"))</x:f>
      </x:c>
      <x:c r="AL263" s="23" t="str">
        <x:f>IF(C263="","",IFERROR(IF(P263&gt;0,P263*(1-AM263/(1+INDEX('Facilities'!$K$9:$K$108,MATCH(C263,'Facilities'!$C$9:$C$108,0)))^MAX(0,AC263+INDEX('Facilities'!$AK$9:$AK$108,MATCH(C263,'Facilities'!$C$9:$C$108,0))-D263)),0),"Unavailable"))</x:f>
      </x:c>
      <x:c r="AM263" s="30" t="str">
        <x:f>IF(C263="","",IFERROR(INDEX('Facilities'!$AL$9:$AL$108,MATCH(C263,'Facilities'!$C$9:$C$108,0)),"Unavailable"))</x:f>
      </x:c>
      <x:c r="AN263" s="30" t="str">
        <x:f>IF(C263="","",IFERROR(INDEX(Credit!$T$209:$T$308,MATCH(F263,Credit!$C$209:$C$308,0)),"Unavailable"))</x:f>
      </x:c>
      <x:c r="AO263" s="23" t="str">
        <x:f>IF(C263="","",IF(AQ263&lt;&gt;"Ready","Unavailable",IF(C263="","",O263+P263+Q263*INDEX('Facilities'!$I$9:$I$108,MATCH(C263,'Facilities'!$C$9:$C$108,0)))))</x:f>
      </x:c>
      <x:c r="AP263" s="21" t="str">
        <x:f>IF(C263="","",IF(AQ263&lt;&gt;"Ready","Unavailable",IF(C263="","",AH263-U263)))</x:f>
      </x:c>
      <x:c r="AQ263" s="23" t="str">
        <x:f>IFERROR(IF(C263="","",IF(AND(INDEX('Facilities'!$AF$9:$AF$108,MATCH(C263,'Facilities'!$C$9:$C$108,0))="Ready",INDEX(Credit!$U$209:$U$308,MATCH(F263,Credit!$C$209:$C$308,0))="Ready",ISNUMBER(W263)),"Ready","Review inputs")),"Review inputs")</x:f>
      </x:c>
      <x:c r="AR263" s="23" t="str">
        <x:f>IF(C263="","",IF(AQ263&lt;&gt;"Ready","Unavailable",IF(C263="","",IF(O263=0,0,(IF(AJ263&lt;=1,O263,O263*INDEX('Facilities'!$R$9:$R$108,MATCH(C263,'Facilities'!$C$9:$C$108,0)))+O263*INDEX('Facilities'!$T$9:$T$108,MATCH(C263,'Facilities'!$C$9:$C$108,0)))/12))))</x:f>
      </x:c>
    </x:row>
    <x:row r="264" ht="26" customHeight="1">
      <x:c r="A264" s="1"/>
      <x:c r="B264" s="1"/>
      <x:c r="C264" s="9" t="str">
        <x:f>IF(Facilities!C64="","",Facilities!C64)</x:f>
      </x:c>
      <x:c r="D264" s="3" t="n">
        <x:v>3</x:v>
      </x:c>
      <x:c r="E264" s="9" t="n">
        <x:f>Settings!$F$18+2</x:f>
        <x:v>2029</x:v>
      </x:c>
      <x:c r="F264" s="9" t="str">
        <x:f>IF(C264="","",IFERROR(INDEX('Facilities'!$D$9:$D$108,MATCH(C264,'Facilities'!$C$9:$C$108,0)),"Unavailable"))</x:f>
      </x:c>
      <x:c r="G264" s="21" t="str">
        <x:f>IF(C264="","",IFERROR(O164,"Unavailable"))</x:f>
      </x:c>
      <x:c r="H264" s="21" t="str">
        <x:f>IF(C264="","",IFERROR(P164,"Unavailable"))</x:f>
      </x:c>
      <x:c r="I264" s="21" t="str">
        <x:f>IF(C264="","",IFERROR(Q164,"Unavailable"))</x:f>
      </x:c>
      <x:c r="J264" s="23" t="str">
        <x:f>IF(C264="","",IFERROR(IF(OR(H264&gt;0,AND(AC264&gt;=0,AC264&lt;D264),D264&gt;INDEX('Facilities'!$J$9:$J$108,MATCH(C264,'Facilities'!$C$9:$C$108,0))),0,I264*'Scenario Paths'!H81),"Unavailable"))</x:f>
      </x:c>
      <x:c r="K264" s="23" t="str">
        <x:f>IF(C264="","",IFERROR(IF(OR(H264&gt;0,AND(AC264&gt;=0,AC264=D264)),0,IF(D264&gt;=INDEX('Facilities'!$J$9:$J$108,MATCH(C264,'Facilities'!$C$9:$C$108,0)),G264+J264,MIN(G264+J264,G264*INDEX('Facilities'!$R$9:$R$108,MATCH(C264,'Facilities'!$C$9:$C$108,0))))),"Unavailable"))</x:f>
      </x:c>
      <x:c r="L264" s="21" t="str">
        <x:f>IF(C264="","",IFERROR(IF(AND(AC264=D264,AC264&gt;0),MAX(0,G264+J264-K264),0),"Unavailable"))</x:f>
      </x:c>
      <x:c r="M264" s="23" t="str">
        <x:f>IF(C264="","",IFERROR(IF(AND(AC264&gt;=0,D264&gt;=AC264+INDEX('Facilities'!$AK$9:$AK$108,MATCH(C264,'Facilities'!$C$9:$C$108,0))),(H264+L264)*AM264,0),"Unavailable"))</x:f>
      </x:c>
      <x:c r="N264" s="23" t="str">
        <x:f>IF(C264="","",IFERROR(IF(AND(AC264&gt;=0,D264&gt;=AC264+INDEX('Facilities'!$AK$9:$AK$108,MATCH(C264,'Facilities'!$C$9:$C$108,0))),H264+L264-M264,0),"Unavailable"))</x:f>
      </x:c>
      <x:c r="O264" s="21" t="str">
        <x:f>IF(C264="","",IFERROR(MAX(0,G264+J264-K264-L264),"Unavailable"))</x:f>
      </x:c>
      <x:c r="P264" s="21" t="str">
        <x:f>IF(C264="","",IFERROR(MAX(0,H264+L264-M264-N264),"Unavailable"))</x:f>
      </x:c>
      <x:c r="Q264" s="23" t="str">
        <x:f>IF(C264="","",IFERROR(IF(OR(D264&gt;=INDEX('Facilities'!$J$9:$J$108,MATCH(C264,'Facilities'!$C$9:$C$108,0)),AND(AC264&gt;=0,AC264&lt;=D264)),0,MAX(0,I264-J264)),"Unavailable"))</x:f>
      </x:c>
      <x:c r="R264" s="30" t="str">
        <x:f>IF(C264="","",IFERROR(INDEX(Credit!$Q$209:$Q$308,MATCH(F264,Credit!$C$209:$C$308,0)),"Unavailable"))</x:f>
      </x:c>
      <x:c r="S264" s="30" t="str">
        <x:f>IF(C264="","",IFERROR(INDEX(Credit!$R$209:$R$308,MATCH(F264,Credit!$C$209:$C$308,0)),"Unavailable"))</x:f>
      </x:c>
      <x:c r="T264" s="23" t="str">
        <x:f>IF(C264="","",IFERROR(IF(P264&gt;0,3,IF(OR(INDEX('Facilities'!$AD$9:$AD$108,MATCH(C264,'Facilities'!$C$9:$C$108,0))=2,AND(R264&gt;=INDEX('Facilities'!$L$9:$L$108,MATCH(C264,'Facilities'!$C$9:$C$108,0))*Settings!$F$19,R264-INDEX('Facilities'!$L$9:$L$108,MATCH(C264,'Facilities'!$C$9:$C$108,0))&gt;=Settings!$F$20)),2,1)),"Unavailable"))</x:f>
      </x:c>
      <x:c r="U264" s="23" t="str">
        <x:f>IF(C264="","",IF(AQ264&lt;&gt;"Ready","Unavailable",IF(C264="","",O264*(1-(1-S264)/(1+INDEX('Facilities'!$K$9:$K$108,MATCH(C264,'Facilities'!$C$9:$C$108,0)))^INDEX('Facilities'!$AK$9:$AK$108,MATCH(C264,'Facilities'!$C$9:$C$108,0)))*R264/(1+INDEX('Facilities'!$K$9:$K$108,MATCH(C264,'Facilities'!$C$9:$C$108,0)))*IF(ABS(1-(1-R264)*(1-INDEX('Facilities'!$R$9:$R$108,MATCH(C264,'Facilities'!$C$9:$C$108,0)))/(1+INDEX('Facilities'!$K$9:$K$108,MATCH(C264,'Facilities'!$C$9:$C$108,0))))&lt;0.000000001,IF(T264=1,MIN(1,AJ264),AJ264),(1-((1-R264)*(1-INDEX('Facilities'!$R$9:$R$108,MATCH(C264,'Facilities'!$C$9:$C$108,0)))/(1+INDEX('Facilities'!$K$9:$K$108,MATCH(C264,'Facilities'!$C$9:$C$108,0))))^IF(T264=1,MIN(1,AJ264),AJ264))/(1-(1-R264)*(1-INDEX('Facilities'!$R$9:$R$108,MATCH(C264,'Facilities'!$C$9:$C$108,0)))/(1+INDEX('Facilities'!$K$9:$K$108,MATCH(C264,'Facilities'!$C$9:$C$108,0)))))+AL264)))</x:f>
      </x:c>
      <x:c r="V264" s="23" t="str">
        <x:f>IF(C264="","",IF(AQ264&lt;&gt;"Ready","Unavailable",IF(C264="","",Q264*INDEX('Facilities'!$I$9:$I$108,MATCH(C264,'Facilities'!$C$9:$C$108,0))*(1-(1-S264)/(1+INDEX('Facilities'!$K$9:$K$108,MATCH(C264,'Facilities'!$C$9:$C$108,0)))^INDEX('Facilities'!$AK$9:$AK$108,MATCH(C264,'Facilities'!$C$9:$C$108,0)))*R264/(1+INDEX('Facilities'!$K$9:$K$108,MATCH(C264,'Facilities'!$C$9:$C$108,0)))*IF(ABS(1-(1-R264)*(1-0)/(1+INDEX('Facilities'!$K$9:$K$108,MATCH(C264,'Facilities'!$C$9:$C$108,0))))&lt;0.000000001,IF(T264=1,MIN(1,AJ264),AJ264),(1-((1-R264)*(1-0)/(1+INDEX('Facilities'!$K$9:$K$108,MATCH(C264,'Facilities'!$C$9:$C$108,0))))^IF(T264=1,MIN(1,AJ264),AJ264))/(1-(1-R264)*(1-0)/(1+INDEX('Facilities'!$K$9:$K$108,MATCH(C264,'Facilities'!$C$9:$C$108,0))))))))</x:f>
      </x:c>
      <x:c r="W264" s="21" t="str">
        <x:f>IF(C264="","",IFERROR(U164,"Unavailable"))</x:f>
      </x:c>
      <x:c r="X264" s="21" t="str">
        <x:f>IF(C264="","",IFERROR(V164,"Unavailable"))</x:f>
      </x:c>
      <x:c r="Y264" s="21" t="str">
        <x:f>IF(C264="","",IF(AQ264&lt;&gt;"Ready","Unavailable",IF(C264="","",U264-W264+V264-X264+N264+AG264)))</x:f>
      </x:c>
      <x:c r="Z264" s="23" t="str">
        <x:f>IF(C264="","",IF(AQ264&lt;&gt;"Ready","Unavailable",IF(C264="","",(G264+O264+L264)/2*INDEX('Facilities'!$T$9:$T$108,MATCH(C264,'Facilities'!$C$9:$C$108,0))+AG264)))</x:f>
      </x:c>
      <x:c r="AA264" s="23" t="str">
        <x:f>IF(C264="","",IF(AQ264&lt;&gt;"Ready","Unavailable",IF(C264="","",O264*(1-IF(INDEX('Facilities'!$AA$9:$AA$108,MATCH(C264,'Facilities'!$C$9:$C$108,0))=0,0,MIN(1,INDEX('Facilities'!$X$9:$X$108,MATCH(C264,'Facilities'!$C$9:$C$108,0))/INDEX('Facilities'!$AA$9:$AA$108,MATCH(C264,'Facilities'!$C$9:$C$108,0)))))*AF264+P264*(1-IF(INDEX('Facilities'!$AA$9:$AA$108,MATCH(C264,'Facilities'!$C$9:$C$108,0))=0,0,MIN(1,INDEX('Facilities'!$X$9:$X$108,MATCH(C264,'Facilities'!$C$9:$C$108,0))/INDEX('Facilities'!$AA$9:$AA$108,MATCH(C264,'Facilities'!$C$9:$C$108,0)))))*INDEX('Facilities'!$AJ$9:$AJ$108,MATCH(C264,'Facilities'!$C$9:$C$108,0))+Q264*INDEX('Facilities'!$AI$9:$AI$108,MATCH(C264,'Facilities'!$C$9:$C$108,0))*AF264)))</x:f>
      </x:c>
      <x:c r="AB264" s="21" t="str">
        <x:f>IF(C264="","",O264+P264-AD264)</x:f>
      </x:c>
      <x:c r="AC264" s="23" t="str">
        <x:f>IF(C264="","",IFERROR(IF(INDEX('Facilities'!$AD$9:$AD$108,MATCH(C264,'Facilities'!$C$9:$C$108,0))=3,0,IF(INDEX('Facilities'!$AN$9:$AN$108,MATCH(C264,'Facilities'!$C$9:$C$108,0))=0,-1,INDEX('Facilities'!$AN$9:$AN$108,MATCH(C264,'Facilities'!$C$9:$C$108,0)))),"Unavailable"))</x:f>
      </x:c>
      <x:c r="AD264" s="21" t="str">
        <x:f>IF(C264="","",IFERROR(G264+H264,"Unavailable"))</x:f>
      </x:c>
      <x:c r="AE264" s="21" t="str">
        <x:f>IF(C264="","",IF(AQ264&lt;&gt;"Ready","Unavailable",IF(C264="","",O264+P264-AD264-J264+K264+M264+N264)))</x:f>
      </x:c>
      <x:c r="AF264" s="30" t="str">
        <x:f>IF(C264="","",IFERROR(INDEX('Facilities'!$S$9:$S$108,MATCH(C264,'Facilities'!$C$9:$C$108,0))*'Scenario Paths'!H75,"Unavailable"))</x:f>
      </x:c>
      <x:c r="AG264" s="23" t="str">
        <x:f>IF(C264="","",IF(AQ264&lt;&gt;"Ready","Unavailable",IF(C264="","",IF(H264&gt;0,MAX(0,H264-AK264)*((1+INDEX('Facilities'!$K$9:$K$108,MATCH(C264,'Facilities'!$C$9:$C$108,0)))^MIN(1,MAX(0,AC264+INDEX('Facilities'!$AK$9:$AK$108,MATCH(C264,'Facilities'!$C$9:$C$108,0))-D264+1))-1),0))))</x:f>
      </x:c>
      <x:c r="AH264" s="21" t="str">
        <x:f>IF(C264="","",IF(AQ264&lt;&gt;"Ready","Unavailable",IF(C264="","",O264+P264)))</x:f>
      </x:c>
      <x:c r="AI264" s="21" t="str">
        <x:f>IF(C264="","",IF(AQ264&lt;&gt;"Ready","Unavailable",IF(C264="","",Z264-Y264)))</x:f>
      </x:c>
      <x:c r="AJ264" s="23" t="str">
        <x:f>IF(C264="","",IFERROR(MAX(0,INDEX('Facilities'!$J$9:$J$108,MATCH(C264,'Facilities'!$C$9:$C$108,0))-D264),"Unavailable"))</x:f>
      </x:c>
      <x:c r="AK264" s="21" t="str">
        <x:f>IF(C264="","",IFERROR(AL164,"Unavailable"))</x:f>
      </x:c>
      <x:c r="AL264" s="23" t="str">
        <x:f>IF(C264="","",IFERROR(IF(P264&gt;0,P264*(1-AM264/(1+INDEX('Facilities'!$K$9:$K$108,MATCH(C264,'Facilities'!$C$9:$C$108,0)))^MAX(0,AC264+INDEX('Facilities'!$AK$9:$AK$108,MATCH(C264,'Facilities'!$C$9:$C$108,0))-D264)),0),"Unavailable"))</x:f>
      </x:c>
      <x:c r="AM264" s="30" t="str">
        <x:f>IF(C264="","",IFERROR(INDEX('Facilities'!$AL$9:$AL$108,MATCH(C264,'Facilities'!$C$9:$C$108,0)),"Unavailable"))</x:f>
      </x:c>
      <x:c r="AN264" s="30" t="str">
        <x:f>IF(C264="","",IFERROR(INDEX(Credit!$T$209:$T$308,MATCH(F264,Credit!$C$209:$C$308,0)),"Unavailable"))</x:f>
      </x:c>
      <x:c r="AO264" s="23" t="str">
        <x:f>IF(C264="","",IF(AQ264&lt;&gt;"Ready","Unavailable",IF(C264="","",O264+P264+Q264*INDEX('Facilities'!$I$9:$I$108,MATCH(C264,'Facilities'!$C$9:$C$108,0)))))</x:f>
      </x:c>
      <x:c r="AP264" s="21" t="str">
        <x:f>IF(C264="","",IF(AQ264&lt;&gt;"Ready","Unavailable",IF(C264="","",AH264-U264)))</x:f>
      </x:c>
      <x:c r="AQ264" s="23" t="str">
        <x:f>IFERROR(IF(C264="","",IF(AND(INDEX('Facilities'!$AF$9:$AF$108,MATCH(C264,'Facilities'!$C$9:$C$108,0))="Ready",INDEX(Credit!$U$209:$U$308,MATCH(F264,Credit!$C$209:$C$308,0))="Ready",ISNUMBER(W264)),"Ready","Review inputs")),"Review inputs")</x:f>
      </x:c>
      <x:c r="AR264" s="23" t="str">
        <x:f>IF(C264="","",IF(AQ264&lt;&gt;"Ready","Unavailable",IF(C264="","",IF(O264=0,0,(IF(AJ264&lt;=1,O264,O264*INDEX('Facilities'!$R$9:$R$108,MATCH(C264,'Facilities'!$C$9:$C$108,0)))+O264*INDEX('Facilities'!$T$9:$T$108,MATCH(C264,'Facilities'!$C$9:$C$108,0)))/12))))</x:f>
      </x:c>
    </x:row>
    <x:row r="265" ht="26" customHeight="1">
      <x:c r="A265" s="1"/>
      <x:c r="B265" s="1"/>
      <x:c r="C265" s="9" t="str">
        <x:f>IF(Facilities!C65="","",Facilities!C65)</x:f>
      </x:c>
      <x:c r="D265" s="3" t="n">
        <x:v>3</x:v>
      </x:c>
      <x:c r="E265" s="9" t="n">
        <x:f>Settings!$F$18+2</x:f>
        <x:v>2029</x:v>
      </x:c>
      <x:c r="F265" s="9" t="str">
        <x:f>IF(C265="","",IFERROR(INDEX('Facilities'!$D$9:$D$108,MATCH(C265,'Facilities'!$C$9:$C$108,0)),"Unavailable"))</x:f>
      </x:c>
      <x:c r="G265" s="21" t="str">
        <x:f>IF(C265="","",IFERROR(O165,"Unavailable"))</x:f>
      </x:c>
      <x:c r="H265" s="21" t="str">
        <x:f>IF(C265="","",IFERROR(P165,"Unavailable"))</x:f>
      </x:c>
      <x:c r="I265" s="21" t="str">
        <x:f>IF(C265="","",IFERROR(Q165,"Unavailable"))</x:f>
      </x:c>
      <x:c r="J265" s="23" t="str">
        <x:f>IF(C265="","",IFERROR(IF(OR(H265&gt;0,AND(AC265&gt;=0,AC265&lt;D265),D265&gt;INDEX('Facilities'!$J$9:$J$108,MATCH(C265,'Facilities'!$C$9:$C$108,0))),0,I265*'Scenario Paths'!H81),"Unavailable"))</x:f>
      </x:c>
      <x:c r="K265" s="23" t="str">
        <x:f>IF(C265="","",IFERROR(IF(OR(H265&gt;0,AND(AC265&gt;=0,AC265=D265)),0,IF(D265&gt;=INDEX('Facilities'!$J$9:$J$108,MATCH(C265,'Facilities'!$C$9:$C$108,0)),G265+J265,MIN(G265+J265,G265*INDEX('Facilities'!$R$9:$R$108,MATCH(C265,'Facilities'!$C$9:$C$108,0))))),"Unavailable"))</x:f>
      </x:c>
      <x:c r="L265" s="21" t="str">
        <x:f>IF(C265="","",IFERROR(IF(AND(AC265=D265,AC265&gt;0),MAX(0,G265+J265-K265),0),"Unavailable"))</x:f>
      </x:c>
      <x:c r="M265" s="23" t="str">
        <x:f>IF(C265="","",IFERROR(IF(AND(AC265&gt;=0,D265&gt;=AC265+INDEX('Facilities'!$AK$9:$AK$108,MATCH(C265,'Facilities'!$C$9:$C$108,0))),(H265+L265)*AM265,0),"Unavailable"))</x:f>
      </x:c>
      <x:c r="N265" s="23" t="str">
        <x:f>IF(C265="","",IFERROR(IF(AND(AC265&gt;=0,D265&gt;=AC265+INDEX('Facilities'!$AK$9:$AK$108,MATCH(C265,'Facilities'!$C$9:$C$108,0))),H265+L265-M265,0),"Unavailable"))</x:f>
      </x:c>
      <x:c r="O265" s="21" t="str">
        <x:f>IF(C265="","",IFERROR(MAX(0,G265+J265-K265-L265),"Unavailable"))</x:f>
      </x:c>
      <x:c r="P265" s="21" t="str">
        <x:f>IF(C265="","",IFERROR(MAX(0,H265+L265-M265-N265),"Unavailable"))</x:f>
      </x:c>
      <x:c r="Q265" s="23" t="str">
        <x:f>IF(C265="","",IFERROR(IF(OR(D265&gt;=INDEX('Facilities'!$J$9:$J$108,MATCH(C265,'Facilities'!$C$9:$C$108,0)),AND(AC265&gt;=0,AC265&lt;=D265)),0,MAX(0,I265-J265)),"Unavailable"))</x:f>
      </x:c>
      <x:c r="R265" s="30" t="str">
        <x:f>IF(C265="","",IFERROR(INDEX(Credit!$Q$209:$Q$308,MATCH(F265,Credit!$C$209:$C$308,0)),"Unavailable"))</x:f>
      </x:c>
      <x:c r="S265" s="30" t="str">
        <x:f>IF(C265="","",IFERROR(INDEX(Credit!$R$209:$R$308,MATCH(F265,Credit!$C$209:$C$308,0)),"Unavailable"))</x:f>
      </x:c>
      <x:c r="T265" s="23" t="str">
        <x:f>IF(C265="","",IFERROR(IF(P265&gt;0,3,IF(OR(INDEX('Facilities'!$AD$9:$AD$108,MATCH(C265,'Facilities'!$C$9:$C$108,0))=2,AND(R265&gt;=INDEX('Facilities'!$L$9:$L$108,MATCH(C265,'Facilities'!$C$9:$C$108,0))*Settings!$F$19,R265-INDEX('Facilities'!$L$9:$L$108,MATCH(C265,'Facilities'!$C$9:$C$108,0))&gt;=Settings!$F$20)),2,1)),"Unavailable"))</x:f>
      </x:c>
      <x:c r="U265" s="23" t="str">
        <x:f>IF(C265="","",IF(AQ265&lt;&gt;"Ready","Unavailable",IF(C265="","",O265*(1-(1-S265)/(1+INDEX('Facilities'!$K$9:$K$108,MATCH(C265,'Facilities'!$C$9:$C$108,0)))^INDEX('Facilities'!$AK$9:$AK$108,MATCH(C265,'Facilities'!$C$9:$C$108,0)))*R265/(1+INDEX('Facilities'!$K$9:$K$108,MATCH(C265,'Facilities'!$C$9:$C$108,0)))*IF(ABS(1-(1-R265)*(1-INDEX('Facilities'!$R$9:$R$108,MATCH(C265,'Facilities'!$C$9:$C$108,0)))/(1+INDEX('Facilities'!$K$9:$K$108,MATCH(C265,'Facilities'!$C$9:$C$108,0))))&lt;0.000000001,IF(T265=1,MIN(1,AJ265),AJ265),(1-((1-R265)*(1-INDEX('Facilities'!$R$9:$R$108,MATCH(C265,'Facilities'!$C$9:$C$108,0)))/(1+INDEX('Facilities'!$K$9:$K$108,MATCH(C265,'Facilities'!$C$9:$C$108,0))))^IF(T265=1,MIN(1,AJ265),AJ265))/(1-(1-R265)*(1-INDEX('Facilities'!$R$9:$R$108,MATCH(C265,'Facilities'!$C$9:$C$108,0)))/(1+INDEX('Facilities'!$K$9:$K$108,MATCH(C265,'Facilities'!$C$9:$C$108,0)))))+AL265)))</x:f>
      </x:c>
      <x:c r="V265" s="23" t="str">
        <x:f>IF(C265="","",IF(AQ265&lt;&gt;"Ready","Unavailable",IF(C265="","",Q265*INDEX('Facilities'!$I$9:$I$108,MATCH(C265,'Facilities'!$C$9:$C$108,0))*(1-(1-S265)/(1+INDEX('Facilities'!$K$9:$K$108,MATCH(C265,'Facilities'!$C$9:$C$108,0)))^INDEX('Facilities'!$AK$9:$AK$108,MATCH(C265,'Facilities'!$C$9:$C$108,0)))*R265/(1+INDEX('Facilities'!$K$9:$K$108,MATCH(C265,'Facilities'!$C$9:$C$108,0)))*IF(ABS(1-(1-R265)*(1-0)/(1+INDEX('Facilities'!$K$9:$K$108,MATCH(C265,'Facilities'!$C$9:$C$108,0))))&lt;0.000000001,IF(T265=1,MIN(1,AJ265),AJ265),(1-((1-R265)*(1-0)/(1+INDEX('Facilities'!$K$9:$K$108,MATCH(C265,'Facilities'!$C$9:$C$108,0))))^IF(T265=1,MIN(1,AJ265),AJ265))/(1-(1-R265)*(1-0)/(1+INDEX('Facilities'!$K$9:$K$108,MATCH(C265,'Facilities'!$C$9:$C$108,0))))))))</x:f>
      </x:c>
      <x:c r="W265" s="21" t="str">
        <x:f>IF(C265="","",IFERROR(U165,"Unavailable"))</x:f>
      </x:c>
      <x:c r="X265" s="21" t="str">
        <x:f>IF(C265="","",IFERROR(V165,"Unavailable"))</x:f>
      </x:c>
      <x:c r="Y265" s="21" t="str">
        <x:f>IF(C265="","",IF(AQ265&lt;&gt;"Ready","Unavailable",IF(C265="","",U265-W265+V265-X265+N265+AG265)))</x:f>
      </x:c>
      <x:c r="Z265" s="23" t="str">
        <x:f>IF(C265="","",IF(AQ265&lt;&gt;"Ready","Unavailable",IF(C265="","",(G265+O265+L265)/2*INDEX('Facilities'!$T$9:$T$108,MATCH(C265,'Facilities'!$C$9:$C$108,0))+AG265)))</x:f>
      </x:c>
      <x:c r="AA265" s="23" t="str">
        <x:f>IF(C265="","",IF(AQ265&lt;&gt;"Ready","Unavailable",IF(C265="","",O265*(1-IF(INDEX('Facilities'!$AA$9:$AA$108,MATCH(C265,'Facilities'!$C$9:$C$108,0))=0,0,MIN(1,INDEX('Facilities'!$X$9:$X$108,MATCH(C265,'Facilities'!$C$9:$C$108,0))/INDEX('Facilities'!$AA$9:$AA$108,MATCH(C265,'Facilities'!$C$9:$C$108,0)))))*AF265+P265*(1-IF(INDEX('Facilities'!$AA$9:$AA$108,MATCH(C265,'Facilities'!$C$9:$C$108,0))=0,0,MIN(1,INDEX('Facilities'!$X$9:$X$108,MATCH(C265,'Facilities'!$C$9:$C$108,0))/INDEX('Facilities'!$AA$9:$AA$108,MATCH(C265,'Facilities'!$C$9:$C$108,0)))))*INDEX('Facilities'!$AJ$9:$AJ$108,MATCH(C265,'Facilities'!$C$9:$C$108,0))+Q265*INDEX('Facilities'!$AI$9:$AI$108,MATCH(C265,'Facilities'!$C$9:$C$108,0))*AF265)))</x:f>
      </x:c>
      <x:c r="AB265" s="21" t="str">
        <x:f>IF(C265="","",O265+P265-AD265)</x:f>
      </x:c>
      <x:c r="AC265" s="23" t="str">
        <x:f>IF(C265="","",IFERROR(IF(INDEX('Facilities'!$AD$9:$AD$108,MATCH(C265,'Facilities'!$C$9:$C$108,0))=3,0,IF(INDEX('Facilities'!$AN$9:$AN$108,MATCH(C265,'Facilities'!$C$9:$C$108,0))=0,-1,INDEX('Facilities'!$AN$9:$AN$108,MATCH(C265,'Facilities'!$C$9:$C$108,0)))),"Unavailable"))</x:f>
      </x:c>
      <x:c r="AD265" s="21" t="str">
        <x:f>IF(C265="","",IFERROR(G265+H265,"Unavailable"))</x:f>
      </x:c>
      <x:c r="AE265" s="21" t="str">
        <x:f>IF(C265="","",IF(AQ265&lt;&gt;"Ready","Unavailable",IF(C265="","",O265+P265-AD265-J265+K265+M265+N265)))</x:f>
      </x:c>
      <x:c r="AF265" s="30" t="str">
        <x:f>IF(C265="","",IFERROR(INDEX('Facilities'!$S$9:$S$108,MATCH(C265,'Facilities'!$C$9:$C$108,0))*'Scenario Paths'!H75,"Unavailable"))</x:f>
      </x:c>
      <x:c r="AG265" s="23" t="str">
        <x:f>IF(C265="","",IF(AQ265&lt;&gt;"Ready","Unavailable",IF(C265="","",IF(H265&gt;0,MAX(0,H265-AK265)*((1+INDEX('Facilities'!$K$9:$K$108,MATCH(C265,'Facilities'!$C$9:$C$108,0)))^MIN(1,MAX(0,AC265+INDEX('Facilities'!$AK$9:$AK$108,MATCH(C265,'Facilities'!$C$9:$C$108,0))-D265+1))-1),0))))</x:f>
      </x:c>
      <x:c r="AH265" s="21" t="str">
        <x:f>IF(C265="","",IF(AQ265&lt;&gt;"Ready","Unavailable",IF(C265="","",O265+P265)))</x:f>
      </x:c>
      <x:c r="AI265" s="21" t="str">
        <x:f>IF(C265="","",IF(AQ265&lt;&gt;"Ready","Unavailable",IF(C265="","",Z265-Y265)))</x:f>
      </x:c>
      <x:c r="AJ265" s="23" t="str">
        <x:f>IF(C265="","",IFERROR(MAX(0,INDEX('Facilities'!$J$9:$J$108,MATCH(C265,'Facilities'!$C$9:$C$108,0))-D265),"Unavailable"))</x:f>
      </x:c>
      <x:c r="AK265" s="21" t="str">
        <x:f>IF(C265="","",IFERROR(AL165,"Unavailable"))</x:f>
      </x:c>
      <x:c r="AL265" s="23" t="str">
        <x:f>IF(C265="","",IFERROR(IF(P265&gt;0,P265*(1-AM265/(1+INDEX('Facilities'!$K$9:$K$108,MATCH(C265,'Facilities'!$C$9:$C$108,0)))^MAX(0,AC265+INDEX('Facilities'!$AK$9:$AK$108,MATCH(C265,'Facilities'!$C$9:$C$108,0))-D265)),0),"Unavailable"))</x:f>
      </x:c>
      <x:c r="AM265" s="30" t="str">
        <x:f>IF(C265="","",IFERROR(INDEX('Facilities'!$AL$9:$AL$108,MATCH(C265,'Facilities'!$C$9:$C$108,0)),"Unavailable"))</x:f>
      </x:c>
      <x:c r="AN265" s="30" t="str">
        <x:f>IF(C265="","",IFERROR(INDEX(Credit!$T$209:$T$308,MATCH(F265,Credit!$C$209:$C$308,0)),"Unavailable"))</x:f>
      </x:c>
      <x:c r="AO265" s="23" t="str">
        <x:f>IF(C265="","",IF(AQ265&lt;&gt;"Ready","Unavailable",IF(C265="","",O265+P265+Q265*INDEX('Facilities'!$I$9:$I$108,MATCH(C265,'Facilities'!$C$9:$C$108,0)))))</x:f>
      </x:c>
      <x:c r="AP265" s="21" t="str">
        <x:f>IF(C265="","",IF(AQ265&lt;&gt;"Ready","Unavailable",IF(C265="","",AH265-U265)))</x:f>
      </x:c>
      <x:c r="AQ265" s="23" t="str">
        <x:f>IFERROR(IF(C265="","",IF(AND(INDEX('Facilities'!$AF$9:$AF$108,MATCH(C265,'Facilities'!$C$9:$C$108,0))="Ready",INDEX(Credit!$U$209:$U$308,MATCH(F265,Credit!$C$209:$C$308,0))="Ready",ISNUMBER(W265)),"Ready","Review inputs")),"Review inputs")</x:f>
      </x:c>
      <x:c r="AR265" s="23" t="str">
        <x:f>IF(C265="","",IF(AQ265&lt;&gt;"Ready","Unavailable",IF(C265="","",IF(O265=0,0,(IF(AJ265&lt;=1,O265,O265*INDEX('Facilities'!$R$9:$R$108,MATCH(C265,'Facilities'!$C$9:$C$108,0)))+O265*INDEX('Facilities'!$T$9:$T$108,MATCH(C265,'Facilities'!$C$9:$C$108,0)))/12))))</x:f>
      </x:c>
    </x:row>
    <x:row r="266" ht="26" customHeight="1">
      <x:c r="A266" s="1"/>
      <x:c r="B266" s="1"/>
      <x:c r="C266" s="9" t="str">
        <x:f>IF(Facilities!C66="","",Facilities!C66)</x:f>
      </x:c>
      <x:c r="D266" s="3" t="n">
        <x:v>3</x:v>
      </x:c>
      <x:c r="E266" s="9" t="n">
        <x:f>Settings!$F$18+2</x:f>
        <x:v>2029</x:v>
      </x:c>
      <x:c r="F266" s="9" t="str">
        <x:f>IF(C266="","",IFERROR(INDEX('Facilities'!$D$9:$D$108,MATCH(C266,'Facilities'!$C$9:$C$108,0)),"Unavailable"))</x:f>
      </x:c>
      <x:c r="G266" s="21" t="str">
        <x:f>IF(C266="","",IFERROR(O166,"Unavailable"))</x:f>
      </x:c>
      <x:c r="H266" s="21" t="str">
        <x:f>IF(C266="","",IFERROR(P166,"Unavailable"))</x:f>
      </x:c>
      <x:c r="I266" s="21" t="str">
        <x:f>IF(C266="","",IFERROR(Q166,"Unavailable"))</x:f>
      </x:c>
      <x:c r="J266" s="23" t="str">
        <x:f>IF(C266="","",IFERROR(IF(OR(H266&gt;0,AND(AC266&gt;=0,AC266&lt;D266),D266&gt;INDEX('Facilities'!$J$9:$J$108,MATCH(C266,'Facilities'!$C$9:$C$108,0))),0,I266*'Scenario Paths'!H81),"Unavailable"))</x:f>
      </x:c>
      <x:c r="K266" s="23" t="str">
        <x:f>IF(C266="","",IFERROR(IF(OR(H266&gt;0,AND(AC266&gt;=0,AC266=D266)),0,IF(D266&gt;=INDEX('Facilities'!$J$9:$J$108,MATCH(C266,'Facilities'!$C$9:$C$108,0)),G266+J266,MIN(G266+J266,G266*INDEX('Facilities'!$R$9:$R$108,MATCH(C266,'Facilities'!$C$9:$C$108,0))))),"Unavailable"))</x:f>
      </x:c>
      <x:c r="L266" s="21" t="str">
        <x:f>IF(C266="","",IFERROR(IF(AND(AC266=D266,AC266&gt;0),MAX(0,G266+J266-K266),0),"Unavailable"))</x:f>
      </x:c>
      <x:c r="M266" s="23" t="str">
        <x:f>IF(C266="","",IFERROR(IF(AND(AC266&gt;=0,D266&gt;=AC266+INDEX('Facilities'!$AK$9:$AK$108,MATCH(C266,'Facilities'!$C$9:$C$108,0))),(H266+L266)*AM266,0),"Unavailable"))</x:f>
      </x:c>
      <x:c r="N266" s="23" t="str">
        <x:f>IF(C266="","",IFERROR(IF(AND(AC266&gt;=0,D266&gt;=AC266+INDEX('Facilities'!$AK$9:$AK$108,MATCH(C266,'Facilities'!$C$9:$C$108,0))),H266+L266-M266,0),"Unavailable"))</x:f>
      </x:c>
      <x:c r="O266" s="21" t="str">
        <x:f>IF(C266="","",IFERROR(MAX(0,G266+J266-K266-L266),"Unavailable"))</x:f>
      </x:c>
      <x:c r="P266" s="21" t="str">
        <x:f>IF(C266="","",IFERROR(MAX(0,H266+L266-M266-N266),"Unavailable"))</x:f>
      </x:c>
      <x:c r="Q266" s="23" t="str">
        <x:f>IF(C266="","",IFERROR(IF(OR(D266&gt;=INDEX('Facilities'!$J$9:$J$108,MATCH(C266,'Facilities'!$C$9:$C$108,0)),AND(AC266&gt;=0,AC266&lt;=D266)),0,MAX(0,I266-J266)),"Unavailable"))</x:f>
      </x:c>
      <x:c r="R266" s="30" t="str">
        <x:f>IF(C266="","",IFERROR(INDEX(Credit!$Q$209:$Q$308,MATCH(F266,Credit!$C$209:$C$308,0)),"Unavailable"))</x:f>
      </x:c>
      <x:c r="S266" s="30" t="str">
        <x:f>IF(C266="","",IFERROR(INDEX(Credit!$R$209:$R$308,MATCH(F266,Credit!$C$209:$C$308,0)),"Unavailable"))</x:f>
      </x:c>
      <x:c r="T266" s="23" t="str">
        <x:f>IF(C266="","",IFERROR(IF(P266&gt;0,3,IF(OR(INDEX('Facilities'!$AD$9:$AD$108,MATCH(C266,'Facilities'!$C$9:$C$108,0))=2,AND(R266&gt;=INDEX('Facilities'!$L$9:$L$108,MATCH(C266,'Facilities'!$C$9:$C$108,0))*Settings!$F$19,R266-INDEX('Facilities'!$L$9:$L$108,MATCH(C266,'Facilities'!$C$9:$C$108,0))&gt;=Settings!$F$20)),2,1)),"Unavailable"))</x:f>
      </x:c>
      <x:c r="U266" s="23" t="str">
        <x:f>IF(C266="","",IF(AQ266&lt;&gt;"Ready","Unavailable",IF(C266="","",O266*(1-(1-S266)/(1+INDEX('Facilities'!$K$9:$K$108,MATCH(C266,'Facilities'!$C$9:$C$108,0)))^INDEX('Facilities'!$AK$9:$AK$108,MATCH(C266,'Facilities'!$C$9:$C$108,0)))*R266/(1+INDEX('Facilities'!$K$9:$K$108,MATCH(C266,'Facilities'!$C$9:$C$108,0)))*IF(ABS(1-(1-R266)*(1-INDEX('Facilities'!$R$9:$R$108,MATCH(C266,'Facilities'!$C$9:$C$108,0)))/(1+INDEX('Facilities'!$K$9:$K$108,MATCH(C266,'Facilities'!$C$9:$C$108,0))))&lt;0.000000001,IF(T266=1,MIN(1,AJ266),AJ266),(1-((1-R266)*(1-INDEX('Facilities'!$R$9:$R$108,MATCH(C266,'Facilities'!$C$9:$C$108,0)))/(1+INDEX('Facilities'!$K$9:$K$108,MATCH(C266,'Facilities'!$C$9:$C$108,0))))^IF(T266=1,MIN(1,AJ266),AJ266))/(1-(1-R266)*(1-INDEX('Facilities'!$R$9:$R$108,MATCH(C266,'Facilities'!$C$9:$C$108,0)))/(1+INDEX('Facilities'!$K$9:$K$108,MATCH(C266,'Facilities'!$C$9:$C$108,0)))))+AL266)))</x:f>
      </x:c>
      <x:c r="V266" s="23" t="str">
        <x:f>IF(C266="","",IF(AQ266&lt;&gt;"Ready","Unavailable",IF(C266="","",Q266*INDEX('Facilities'!$I$9:$I$108,MATCH(C266,'Facilities'!$C$9:$C$108,0))*(1-(1-S266)/(1+INDEX('Facilities'!$K$9:$K$108,MATCH(C266,'Facilities'!$C$9:$C$108,0)))^INDEX('Facilities'!$AK$9:$AK$108,MATCH(C266,'Facilities'!$C$9:$C$108,0)))*R266/(1+INDEX('Facilities'!$K$9:$K$108,MATCH(C266,'Facilities'!$C$9:$C$108,0)))*IF(ABS(1-(1-R266)*(1-0)/(1+INDEX('Facilities'!$K$9:$K$108,MATCH(C266,'Facilities'!$C$9:$C$108,0))))&lt;0.000000001,IF(T266=1,MIN(1,AJ266),AJ266),(1-((1-R266)*(1-0)/(1+INDEX('Facilities'!$K$9:$K$108,MATCH(C266,'Facilities'!$C$9:$C$108,0))))^IF(T266=1,MIN(1,AJ266),AJ266))/(1-(1-R266)*(1-0)/(1+INDEX('Facilities'!$K$9:$K$108,MATCH(C266,'Facilities'!$C$9:$C$108,0))))))))</x:f>
      </x:c>
      <x:c r="W266" s="21" t="str">
        <x:f>IF(C266="","",IFERROR(U166,"Unavailable"))</x:f>
      </x:c>
      <x:c r="X266" s="21" t="str">
        <x:f>IF(C266="","",IFERROR(V166,"Unavailable"))</x:f>
      </x:c>
      <x:c r="Y266" s="21" t="str">
        <x:f>IF(C266="","",IF(AQ266&lt;&gt;"Ready","Unavailable",IF(C266="","",U266-W266+V266-X266+N266+AG266)))</x:f>
      </x:c>
      <x:c r="Z266" s="23" t="str">
        <x:f>IF(C266="","",IF(AQ266&lt;&gt;"Ready","Unavailable",IF(C266="","",(G266+O266+L266)/2*INDEX('Facilities'!$T$9:$T$108,MATCH(C266,'Facilities'!$C$9:$C$108,0))+AG266)))</x:f>
      </x:c>
      <x:c r="AA266" s="23" t="str">
        <x:f>IF(C266="","",IF(AQ266&lt;&gt;"Ready","Unavailable",IF(C266="","",O266*(1-IF(INDEX('Facilities'!$AA$9:$AA$108,MATCH(C266,'Facilities'!$C$9:$C$108,0))=0,0,MIN(1,INDEX('Facilities'!$X$9:$X$108,MATCH(C266,'Facilities'!$C$9:$C$108,0))/INDEX('Facilities'!$AA$9:$AA$108,MATCH(C266,'Facilities'!$C$9:$C$108,0)))))*AF266+P266*(1-IF(INDEX('Facilities'!$AA$9:$AA$108,MATCH(C266,'Facilities'!$C$9:$C$108,0))=0,0,MIN(1,INDEX('Facilities'!$X$9:$X$108,MATCH(C266,'Facilities'!$C$9:$C$108,0))/INDEX('Facilities'!$AA$9:$AA$108,MATCH(C266,'Facilities'!$C$9:$C$108,0)))))*INDEX('Facilities'!$AJ$9:$AJ$108,MATCH(C266,'Facilities'!$C$9:$C$108,0))+Q266*INDEX('Facilities'!$AI$9:$AI$108,MATCH(C266,'Facilities'!$C$9:$C$108,0))*AF266)))</x:f>
      </x:c>
      <x:c r="AB266" s="21" t="str">
        <x:f>IF(C266="","",O266+P266-AD266)</x:f>
      </x:c>
      <x:c r="AC266" s="23" t="str">
        <x:f>IF(C266="","",IFERROR(IF(INDEX('Facilities'!$AD$9:$AD$108,MATCH(C266,'Facilities'!$C$9:$C$108,0))=3,0,IF(INDEX('Facilities'!$AN$9:$AN$108,MATCH(C266,'Facilities'!$C$9:$C$108,0))=0,-1,INDEX('Facilities'!$AN$9:$AN$108,MATCH(C266,'Facilities'!$C$9:$C$108,0)))),"Unavailable"))</x:f>
      </x:c>
      <x:c r="AD266" s="21" t="str">
        <x:f>IF(C266="","",IFERROR(G266+H266,"Unavailable"))</x:f>
      </x:c>
      <x:c r="AE266" s="21" t="str">
        <x:f>IF(C266="","",IF(AQ266&lt;&gt;"Ready","Unavailable",IF(C266="","",O266+P266-AD266-J266+K266+M266+N266)))</x:f>
      </x:c>
      <x:c r="AF266" s="30" t="str">
        <x:f>IF(C266="","",IFERROR(INDEX('Facilities'!$S$9:$S$108,MATCH(C266,'Facilities'!$C$9:$C$108,0))*'Scenario Paths'!H75,"Unavailable"))</x:f>
      </x:c>
      <x:c r="AG266" s="23" t="str">
        <x:f>IF(C266="","",IF(AQ266&lt;&gt;"Ready","Unavailable",IF(C266="","",IF(H266&gt;0,MAX(0,H266-AK266)*((1+INDEX('Facilities'!$K$9:$K$108,MATCH(C266,'Facilities'!$C$9:$C$108,0)))^MIN(1,MAX(0,AC266+INDEX('Facilities'!$AK$9:$AK$108,MATCH(C266,'Facilities'!$C$9:$C$108,0))-D266+1))-1),0))))</x:f>
      </x:c>
      <x:c r="AH266" s="21" t="str">
        <x:f>IF(C266="","",IF(AQ266&lt;&gt;"Ready","Unavailable",IF(C266="","",O266+P266)))</x:f>
      </x:c>
      <x:c r="AI266" s="21" t="str">
        <x:f>IF(C266="","",IF(AQ266&lt;&gt;"Ready","Unavailable",IF(C266="","",Z266-Y266)))</x:f>
      </x:c>
      <x:c r="AJ266" s="23" t="str">
        <x:f>IF(C266="","",IFERROR(MAX(0,INDEX('Facilities'!$J$9:$J$108,MATCH(C266,'Facilities'!$C$9:$C$108,0))-D266),"Unavailable"))</x:f>
      </x:c>
      <x:c r="AK266" s="21" t="str">
        <x:f>IF(C266="","",IFERROR(AL166,"Unavailable"))</x:f>
      </x:c>
      <x:c r="AL266" s="23" t="str">
        <x:f>IF(C266="","",IFERROR(IF(P266&gt;0,P266*(1-AM266/(1+INDEX('Facilities'!$K$9:$K$108,MATCH(C266,'Facilities'!$C$9:$C$108,0)))^MAX(0,AC266+INDEX('Facilities'!$AK$9:$AK$108,MATCH(C266,'Facilities'!$C$9:$C$108,0))-D266)),0),"Unavailable"))</x:f>
      </x:c>
      <x:c r="AM266" s="30" t="str">
        <x:f>IF(C266="","",IFERROR(INDEX('Facilities'!$AL$9:$AL$108,MATCH(C266,'Facilities'!$C$9:$C$108,0)),"Unavailable"))</x:f>
      </x:c>
      <x:c r="AN266" s="30" t="str">
        <x:f>IF(C266="","",IFERROR(INDEX(Credit!$T$209:$T$308,MATCH(F266,Credit!$C$209:$C$308,0)),"Unavailable"))</x:f>
      </x:c>
      <x:c r="AO266" s="23" t="str">
        <x:f>IF(C266="","",IF(AQ266&lt;&gt;"Ready","Unavailable",IF(C266="","",O266+P266+Q266*INDEX('Facilities'!$I$9:$I$108,MATCH(C266,'Facilities'!$C$9:$C$108,0)))))</x:f>
      </x:c>
      <x:c r="AP266" s="21" t="str">
        <x:f>IF(C266="","",IF(AQ266&lt;&gt;"Ready","Unavailable",IF(C266="","",AH266-U266)))</x:f>
      </x:c>
      <x:c r="AQ266" s="23" t="str">
        <x:f>IFERROR(IF(C266="","",IF(AND(INDEX('Facilities'!$AF$9:$AF$108,MATCH(C266,'Facilities'!$C$9:$C$108,0))="Ready",INDEX(Credit!$U$209:$U$308,MATCH(F266,Credit!$C$209:$C$308,0))="Ready",ISNUMBER(W266)),"Ready","Review inputs")),"Review inputs")</x:f>
      </x:c>
      <x:c r="AR266" s="23" t="str">
        <x:f>IF(C266="","",IF(AQ266&lt;&gt;"Ready","Unavailable",IF(C266="","",IF(O266=0,0,(IF(AJ266&lt;=1,O266,O266*INDEX('Facilities'!$R$9:$R$108,MATCH(C266,'Facilities'!$C$9:$C$108,0)))+O266*INDEX('Facilities'!$T$9:$T$108,MATCH(C266,'Facilities'!$C$9:$C$108,0)))/12))))</x:f>
      </x:c>
    </x:row>
    <x:row r="267" ht="26" customHeight="1">
      <x:c r="A267" s="1"/>
      <x:c r="B267" s="1"/>
      <x:c r="C267" s="9" t="str">
        <x:f>IF(Facilities!C67="","",Facilities!C67)</x:f>
      </x:c>
      <x:c r="D267" s="3" t="n">
        <x:v>3</x:v>
      </x:c>
      <x:c r="E267" s="9" t="n">
        <x:f>Settings!$F$18+2</x:f>
        <x:v>2029</x:v>
      </x:c>
      <x:c r="F267" s="9" t="str">
        <x:f>IF(C267="","",IFERROR(INDEX('Facilities'!$D$9:$D$108,MATCH(C267,'Facilities'!$C$9:$C$108,0)),"Unavailable"))</x:f>
      </x:c>
      <x:c r="G267" s="21" t="str">
        <x:f>IF(C267="","",IFERROR(O167,"Unavailable"))</x:f>
      </x:c>
      <x:c r="H267" s="21" t="str">
        <x:f>IF(C267="","",IFERROR(P167,"Unavailable"))</x:f>
      </x:c>
      <x:c r="I267" s="21" t="str">
        <x:f>IF(C267="","",IFERROR(Q167,"Unavailable"))</x:f>
      </x:c>
      <x:c r="J267" s="23" t="str">
        <x:f>IF(C267="","",IFERROR(IF(OR(H267&gt;0,AND(AC267&gt;=0,AC267&lt;D267),D267&gt;INDEX('Facilities'!$J$9:$J$108,MATCH(C267,'Facilities'!$C$9:$C$108,0))),0,I267*'Scenario Paths'!H81),"Unavailable"))</x:f>
      </x:c>
      <x:c r="K267" s="23" t="str">
        <x:f>IF(C267="","",IFERROR(IF(OR(H267&gt;0,AND(AC267&gt;=0,AC267=D267)),0,IF(D267&gt;=INDEX('Facilities'!$J$9:$J$108,MATCH(C267,'Facilities'!$C$9:$C$108,0)),G267+J267,MIN(G267+J267,G267*INDEX('Facilities'!$R$9:$R$108,MATCH(C267,'Facilities'!$C$9:$C$108,0))))),"Unavailable"))</x:f>
      </x:c>
      <x:c r="L267" s="21" t="str">
        <x:f>IF(C267="","",IFERROR(IF(AND(AC267=D267,AC267&gt;0),MAX(0,G267+J267-K267),0),"Unavailable"))</x:f>
      </x:c>
      <x:c r="M267" s="23" t="str">
        <x:f>IF(C267="","",IFERROR(IF(AND(AC267&gt;=0,D267&gt;=AC267+INDEX('Facilities'!$AK$9:$AK$108,MATCH(C267,'Facilities'!$C$9:$C$108,0))),(H267+L267)*AM267,0),"Unavailable"))</x:f>
      </x:c>
      <x:c r="N267" s="23" t="str">
        <x:f>IF(C267="","",IFERROR(IF(AND(AC267&gt;=0,D267&gt;=AC267+INDEX('Facilities'!$AK$9:$AK$108,MATCH(C267,'Facilities'!$C$9:$C$108,0))),H267+L267-M267,0),"Unavailable"))</x:f>
      </x:c>
      <x:c r="O267" s="21" t="str">
        <x:f>IF(C267="","",IFERROR(MAX(0,G267+J267-K267-L267),"Unavailable"))</x:f>
      </x:c>
      <x:c r="P267" s="21" t="str">
        <x:f>IF(C267="","",IFERROR(MAX(0,H267+L267-M267-N267),"Unavailable"))</x:f>
      </x:c>
      <x:c r="Q267" s="23" t="str">
        <x:f>IF(C267="","",IFERROR(IF(OR(D267&gt;=INDEX('Facilities'!$J$9:$J$108,MATCH(C267,'Facilities'!$C$9:$C$108,0)),AND(AC267&gt;=0,AC267&lt;=D267)),0,MAX(0,I267-J267)),"Unavailable"))</x:f>
      </x:c>
      <x:c r="R267" s="30" t="str">
        <x:f>IF(C267="","",IFERROR(INDEX(Credit!$Q$209:$Q$308,MATCH(F267,Credit!$C$209:$C$308,0)),"Unavailable"))</x:f>
      </x:c>
      <x:c r="S267" s="30" t="str">
        <x:f>IF(C267="","",IFERROR(INDEX(Credit!$R$209:$R$308,MATCH(F267,Credit!$C$209:$C$308,0)),"Unavailable"))</x:f>
      </x:c>
      <x:c r="T267" s="23" t="str">
        <x:f>IF(C267="","",IFERROR(IF(P267&gt;0,3,IF(OR(INDEX('Facilities'!$AD$9:$AD$108,MATCH(C267,'Facilities'!$C$9:$C$108,0))=2,AND(R267&gt;=INDEX('Facilities'!$L$9:$L$108,MATCH(C267,'Facilities'!$C$9:$C$108,0))*Settings!$F$19,R267-INDEX('Facilities'!$L$9:$L$108,MATCH(C267,'Facilities'!$C$9:$C$108,0))&gt;=Settings!$F$20)),2,1)),"Unavailable"))</x:f>
      </x:c>
      <x:c r="U267" s="23" t="str">
        <x:f>IF(C267="","",IF(AQ267&lt;&gt;"Ready","Unavailable",IF(C267="","",O267*(1-(1-S267)/(1+INDEX('Facilities'!$K$9:$K$108,MATCH(C267,'Facilities'!$C$9:$C$108,0)))^INDEX('Facilities'!$AK$9:$AK$108,MATCH(C267,'Facilities'!$C$9:$C$108,0)))*R267/(1+INDEX('Facilities'!$K$9:$K$108,MATCH(C267,'Facilities'!$C$9:$C$108,0)))*IF(ABS(1-(1-R267)*(1-INDEX('Facilities'!$R$9:$R$108,MATCH(C267,'Facilities'!$C$9:$C$108,0)))/(1+INDEX('Facilities'!$K$9:$K$108,MATCH(C267,'Facilities'!$C$9:$C$108,0))))&lt;0.000000001,IF(T267=1,MIN(1,AJ267),AJ267),(1-((1-R267)*(1-INDEX('Facilities'!$R$9:$R$108,MATCH(C267,'Facilities'!$C$9:$C$108,0)))/(1+INDEX('Facilities'!$K$9:$K$108,MATCH(C267,'Facilities'!$C$9:$C$108,0))))^IF(T267=1,MIN(1,AJ267),AJ267))/(1-(1-R267)*(1-INDEX('Facilities'!$R$9:$R$108,MATCH(C267,'Facilities'!$C$9:$C$108,0)))/(1+INDEX('Facilities'!$K$9:$K$108,MATCH(C267,'Facilities'!$C$9:$C$108,0)))))+AL267)))</x:f>
      </x:c>
      <x:c r="V267" s="23" t="str">
        <x:f>IF(C267="","",IF(AQ267&lt;&gt;"Ready","Unavailable",IF(C267="","",Q267*INDEX('Facilities'!$I$9:$I$108,MATCH(C267,'Facilities'!$C$9:$C$108,0))*(1-(1-S267)/(1+INDEX('Facilities'!$K$9:$K$108,MATCH(C267,'Facilities'!$C$9:$C$108,0)))^INDEX('Facilities'!$AK$9:$AK$108,MATCH(C267,'Facilities'!$C$9:$C$108,0)))*R267/(1+INDEX('Facilities'!$K$9:$K$108,MATCH(C267,'Facilities'!$C$9:$C$108,0)))*IF(ABS(1-(1-R267)*(1-0)/(1+INDEX('Facilities'!$K$9:$K$108,MATCH(C267,'Facilities'!$C$9:$C$108,0))))&lt;0.000000001,IF(T267=1,MIN(1,AJ267),AJ267),(1-((1-R267)*(1-0)/(1+INDEX('Facilities'!$K$9:$K$108,MATCH(C267,'Facilities'!$C$9:$C$108,0))))^IF(T267=1,MIN(1,AJ267),AJ267))/(1-(1-R267)*(1-0)/(1+INDEX('Facilities'!$K$9:$K$108,MATCH(C267,'Facilities'!$C$9:$C$108,0))))))))</x:f>
      </x:c>
      <x:c r="W267" s="21" t="str">
        <x:f>IF(C267="","",IFERROR(U167,"Unavailable"))</x:f>
      </x:c>
      <x:c r="X267" s="21" t="str">
        <x:f>IF(C267="","",IFERROR(V167,"Unavailable"))</x:f>
      </x:c>
      <x:c r="Y267" s="21" t="str">
        <x:f>IF(C267="","",IF(AQ267&lt;&gt;"Ready","Unavailable",IF(C267="","",U267-W267+V267-X267+N267+AG267)))</x:f>
      </x:c>
      <x:c r="Z267" s="23" t="str">
        <x:f>IF(C267="","",IF(AQ267&lt;&gt;"Ready","Unavailable",IF(C267="","",(G267+O267+L267)/2*INDEX('Facilities'!$T$9:$T$108,MATCH(C267,'Facilities'!$C$9:$C$108,0))+AG267)))</x:f>
      </x:c>
      <x:c r="AA267" s="23" t="str">
        <x:f>IF(C267="","",IF(AQ267&lt;&gt;"Ready","Unavailable",IF(C267="","",O267*(1-IF(INDEX('Facilities'!$AA$9:$AA$108,MATCH(C267,'Facilities'!$C$9:$C$108,0))=0,0,MIN(1,INDEX('Facilities'!$X$9:$X$108,MATCH(C267,'Facilities'!$C$9:$C$108,0))/INDEX('Facilities'!$AA$9:$AA$108,MATCH(C267,'Facilities'!$C$9:$C$108,0)))))*AF267+P267*(1-IF(INDEX('Facilities'!$AA$9:$AA$108,MATCH(C267,'Facilities'!$C$9:$C$108,0))=0,0,MIN(1,INDEX('Facilities'!$X$9:$X$108,MATCH(C267,'Facilities'!$C$9:$C$108,0))/INDEX('Facilities'!$AA$9:$AA$108,MATCH(C267,'Facilities'!$C$9:$C$108,0)))))*INDEX('Facilities'!$AJ$9:$AJ$108,MATCH(C267,'Facilities'!$C$9:$C$108,0))+Q267*INDEX('Facilities'!$AI$9:$AI$108,MATCH(C267,'Facilities'!$C$9:$C$108,0))*AF267)))</x:f>
      </x:c>
      <x:c r="AB267" s="21" t="str">
        <x:f>IF(C267="","",O267+P267-AD267)</x:f>
      </x:c>
      <x:c r="AC267" s="23" t="str">
        <x:f>IF(C267="","",IFERROR(IF(INDEX('Facilities'!$AD$9:$AD$108,MATCH(C267,'Facilities'!$C$9:$C$108,0))=3,0,IF(INDEX('Facilities'!$AN$9:$AN$108,MATCH(C267,'Facilities'!$C$9:$C$108,0))=0,-1,INDEX('Facilities'!$AN$9:$AN$108,MATCH(C267,'Facilities'!$C$9:$C$108,0)))),"Unavailable"))</x:f>
      </x:c>
      <x:c r="AD267" s="21" t="str">
        <x:f>IF(C267="","",IFERROR(G267+H267,"Unavailable"))</x:f>
      </x:c>
      <x:c r="AE267" s="21" t="str">
        <x:f>IF(C267="","",IF(AQ267&lt;&gt;"Ready","Unavailable",IF(C267="","",O267+P267-AD267-J267+K267+M267+N267)))</x:f>
      </x:c>
      <x:c r="AF267" s="30" t="str">
        <x:f>IF(C267="","",IFERROR(INDEX('Facilities'!$S$9:$S$108,MATCH(C267,'Facilities'!$C$9:$C$108,0))*'Scenario Paths'!H75,"Unavailable"))</x:f>
      </x:c>
      <x:c r="AG267" s="23" t="str">
        <x:f>IF(C267="","",IF(AQ267&lt;&gt;"Ready","Unavailable",IF(C267="","",IF(H267&gt;0,MAX(0,H267-AK267)*((1+INDEX('Facilities'!$K$9:$K$108,MATCH(C267,'Facilities'!$C$9:$C$108,0)))^MIN(1,MAX(0,AC267+INDEX('Facilities'!$AK$9:$AK$108,MATCH(C267,'Facilities'!$C$9:$C$108,0))-D267+1))-1),0))))</x:f>
      </x:c>
      <x:c r="AH267" s="21" t="str">
        <x:f>IF(C267="","",IF(AQ267&lt;&gt;"Ready","Unavailable",IF(C267="","",O267+P267)))</x:f>
      </x:c>
      <x:c r="AI267" s="21" t="str">
        <x:f>IF(C267="","",IF(AQ267&lt;&gt;"Ready","Unavailable",IF(C267="","",Z267-Y267)))</x:f>
      </x:c>
      <x:c r="AJ267" s="23" t="str">
        <x:f>IF(C267="","",IFERROR(MAX(0,INDEX('Facilities'!$J$9:$J$108,MATCH(C267,'Facilities'!$C$9:$C$108,0))-D267),"Unavailable"))</x:f>
      </x:c>
      <x:c r="AK267" s="21" t="str">
        <x:f>IF(C267="","",IFERROR(AL167,"Unavailable"))</x:f>
      </x:c>
      <x:c r="AL267" s="23" t="str">
        <x:f>IF(C267="","",IFERROR(IF(P267&gt;0,P267*(1-AM267/(1+INDEX('Facilities'!$K$9:$K$108,MATCH(C267,'Facilities'!$C$9:$C$108,0)))^MAX(0,AC267+INDEX('Facilities'!$AK$9:$AK$108,MATCH(C267,'Facilities'!$C$9:$C$108,0))-D267)),0),"Unavailable"))</x:f>
      </x:c>
      <x:c r="AM267" s="30" t="str">
        <x:f>IF(C267="","",IFERROR(INDEX('Facilities'!$AL$9:$AL$108,MATCH(C267,'Facilities'!$C$9:$C$108,0)),"Unavailable"))</x:f>
      </x:c>
      <x:c r="AN267" s="30" t="str">
        <x:f>IF(C267="","",IFERROR(INDEX(Credit!$T$209:$T$308,MATCH(F267,Credit!$C$209:$C$308,0)),"Unavailable"))</x:f>
      </x:c>
      <x:c r="AO267" s="23" t="str">
        <x:f>IF(C267="","",IF(AQ267&lt;&gt;"Ready","Unavailable",IF(C267="","",O267+P267+Q267*INDEX('Facilities'!$I$9:$I$108,MATCH(C267,'Facilities'!$C$9:$C$108,0)))))</x:f>
      </x:c>
      <x:c r="AP267" s="21" t="str">
        <x:f>IF(C267="","",IF(AQ267&lt;&gt;"Ready","Unavailable",IF(C267="","",AH267-U267)))</x:f>
      </x:c>
      <x:c r="AQ267" s="23" t="str">
        <x:f>IFERROR(IF(C267="","",IF(AND(INDEX('Facilities'!$AF$9:$AF$108,MATCH(C267,'Facilities'!$C$9:$C$108,0))="Ready",INDEX(Credit!$U$209:$U$308,MATCH(F267,Credit!$C$209:$C$308,0))="Ready",ISNUMBER(W267)),"Ready","Review inputs")),"Review inputs")</x:f>
      </x:c>
      <x:c r="AR267" s="23" t="str">
        <x:f>IF(C267="","",IF(AQ267&lt;&gt;"Ready","Unavailable",IF(C267="","",IF(O267=0,0,(IF(AJ267&lt;=1,O267,O267*INDEX('Facilities'!$R$9:$R$108,MATCH(C267,'Facilities'!$C$9:$C$108,0)))+O267*INDEX('Facilities'!$T$9:$T$108,MATCH(C267,'Facilities'!$C$9:$C$108,0)))/12))))</x:f>
      </x:c>
    </x:row>
    <x:row r="268" ht="26" customHeight="1">
      <x:c r="A268" s="1"/>
      <x:c r="B268" s="1"/>
      <x:c r="C268" s="9" t="str">
        <x:f>IF(Facilities!C68="","",Facilities!C68)</x:f>
      </x:c>
      <x:c r="D268" s="3" t="n">
        <x:v>3</x:v>
      </x:c>
      <x:c r="E268" s="9" t="n">
        <x:f>Settings!$F$18+2</x:f>
        <x:v>2029</x:v>
      </x:c>
      <x:c r="F268" s="9" t="str">
        <x:f>IF(C268="","",IFERROR(INDEX('Facilities'!$D$9:$D$108,MATCH(C268,'Facilities'!$C$9:$C$108,0)),"Unavailable"))</x:f>
      </x:c>
      <x:c r="G268" s="21" t="str">
        <x:f>IF(C268="","",IFERROR(O168,"Unavailable"))</x:f>
      </x:c>
      <x:c r="H268" s="21" t="str">
        <x:f>IF(C268="","",IFERROR(P168,"Unavailable"))</x:f>
      </x:c>
      <x:c r="I268" s="21" t="str">
        <x:f>IF(C268="","",IFERROR(Q168,"Unavailable"))</x:f>
      </x:c>
      <x:c r="J268" s="23" t="str">
        <x:f>IF(C268="","",IFERROR(IF(OR(H268&gt;0,AND(AC268&gt;=0,AC268&lt;D268),D268&gt;INDEX('Facilities'!$J$9:$J$108,MATCH(C268,'Facilities'!$C$9:$C$108,0))),0,I268*'Scenario Paths'!H81),"Unavailable"))</x:f>
      </x:c>
      <x:c r="K268" s="23" t="str">
        <x:f>IF(C268="","",IFERROR(IF(OR(H268&gt;0,AND(AC268&gt;=0,AC268=D268)),0,IF(D268&gt;=INDEX('Facilities'!$J$9:$J$108,MATCH(C268,'Facilities'!$C$9:$C$108,0)),G268+J268,MIN(G268+J268,G268*INDEX('Facilities'!$R$9:$R$108,MATCH(C268,'Facilities'!$C$9:$C$108,0))))),"Unavailable"))</x:f>
      </x:c>
      <x:c r="L268" s="21" t="str">
        <x:f>IF(C268="","",IFERROR(IF(AND(AC268=D268,AC268&gt;0),MAX(0,G268+J268-K268),0),"Unavailable"))</x:f>
      </x:c>
      <x:c r="M268" s="23" t="str">
        <x:f>IF(C268="","",IFERROR(IF(AND(AC268&gt;=0,D268&gt;=AC268+INDEX('Facilities'!$AK$9:$AK$108,MATCH(C268,'Facilities'!$C$9:$C$108,0))),(H268+L268)*AM268,0),"Unavailable"))</x:f>
      </x:c>
      <x:c r="N268" s="23" t="str">
        <x:f>IF(C268="","",IFERROR(IF(AND(AC268&gt;=0,D268&gt;=AC268+INDEX('Facilities'!$AK$9:$AK$108,MATCH(C268,'Facilities'!$C$9:$C$108,0))),H268+L268-M268,0),"Unavailable"))</x:f>
      </x:c>
      <x:c r="O268" s="21" t="str">
        <x:f>IF(C268="","",IFERROR(MAX(0,G268+J268-K268-L268),"Unavailable"))</x:f>
      </x:c>
      <x:c r="P268" s="21" t="str">
        <x:f>IF(C268="","",IFERROR(MAX(0,H268+L268-M268-N268),"Unavailable"))</x:f>
      </x:c>
      <x:c r="Q268" s="23" t="str">
        <x:f>IF(C268="","",IFERROR(IF(OR(D268&gt;=INDEX('Facilities'!$J$9:$J$108,MATCH(C268,'Facilities'!$C$9:$C$108,0)),AND(AC268&gt;=0,AC268&lt;=D268)),0,MAX(0,I268-J268)),"Unavailable"))</x:f>
      </x:c>
      <x:c r="R268" s="30" t="str">
        <x:f>IF(C268="","",IFERROR(INDEX(Credit!$Q$209:$Q$308,MATCH(F268,Credit!$C$209:$C$308,0)),"Unavailable"))</x:f>
      </x:c>
      <x:c r="S268" s="30" t="str">
        <x:f>IF(C268="","",IFERROR(INDEX(Credit!$R$209:$R$308,MATCH(F268,Credit!$C$209:$C$308,0)),"Unavailable"))</x:f>
      </x:c>
      <x:c r="T268" s="23" t="str">
        <x:f>IF(C268="","",IFERROR(IF(P268&gt;0,3,IF(OR(INDEX('Facilities'!$AD$9:$AD$108,MATCH(C268,'Facilities'!$C$9:$C$108,0))=2,AND(R268&gt;=INDEX('Facilities'!$L$9:$L$108,MATCH(C268,'Facilities'!$C$9:$C$108,0))*Settings!$F$19,R268-INDEX('Facilities'!$L$9:$L$108,MATCH(C268,'Facilities'!$C$9:$C$108,0))&gt;=Settings!$F$20)),2,1)),"Unavailable"))</x:f>
      </x:c>
      <x:c r="U268" s="23" t="str">
        <x:f>IF(C268="","",IF(AQ268&lt;&gt;"Ready","Unavailable",IF(C268="","",O268*(1-(1-S268)/(1+INDEX('Facilities'!$K$9:$K$108,MATCH(C268,'Facilities'!$C$9:$C$108,0)))^INDEX('Facilities'!$AK$9:$AK$108,MATCH(C268,'Facilities'!$C$9:$C$108,0)))*R268/(1+INDEX('Facilities'!$K$9:$K$108,MATCH(C268,'Facilities'!$C$9:$C$108,0)))*IF(ABS(1-(1-R268)*(1-INDEX('Facilities'!$R$9:$R$108,MATCH(C268,'Facilities'!$C$9:$C$108,0)))/(1+INDEX('Facilities'!$K$9:$K$108,MATCH(C268,'Facilities'!$C$9:$C$108,0))))&lt;0.000000001,IF(T268=1,MIN(1,AJ268),AJ268),(1-((1-R268)*(1-INDEX('Facilities'!$R$9:$R$108,MATCH(C268,'Facilities'!$C$9:$C$108,0)))/(1+INDEX('Facilities'!$K$9:$K$108,MATCH(C268,'Facilities'!$C$9:$C$108,0))))^IF(T268=1,MIN(1,AJ268),AJ268))/(1-(1-R268)*(1-INDEX('Facilities'!$R$9:$R$108,MATCH(C268,'Facilities'!$C$9:$C$108,0)))/(1+INDEX('Facilities'!$K$9:$K$108,MATCH(C268,'Facilities'!$C$9:$C$108,0)))))+AL268)))</x:f>
      </x:c>
      <x:c r="V268" s="23" t="str">
        <x:f>IF(C268="","",IF(AQ268&lt;&gt;"Ready","Unavailable",IF(C268="","",Q268*INDEX('Facilities'!$I$9:$I$108,MATCH(C268,'Facilities'!$C$9:$C$108,0))*(1-(1-S268)/(1+INDEX('Facilities'!$K$9:$K$108,MATCH(C268,'Facilities'!$C$9:$C$108,0)))^INDEX('Facilities'!$AK$9:$AK$108,MATCH(C268,'Facilities'!$C$9:$C$108,0)))*R268/(1+INDEX('Facilities'!$K$9:$K$108,MATCH(C268,'Facilities'!$C$9:$C$108,0)))*IF(ABS(1-(1-R268)*(1-0)/(1+INDEX('Facilities'!$K$9:$K$108,MATCH(C268,'Facilities'!$C$9:$C$108,0))))&lt;0.000000001,IF(T268=1,MIN(1,AJ268),AJ268),(1-((1-R268)*(1-0)/(1+INDEX('Facilities'!$K$9:$K$108,MATCH(C268,'Facilities'!$C$9:$C$108,0))))^IF(T268=1,MIN(1,AJ268),AJ268))/(1-(1-R268)*(1-0)/(1+INDEX('Facilities'!$K$9:$K$108,MATCH(C268,'Facilities'!$C$9:$C$108,0))))))))</x:f>
      </x:c>
      <x:c r="W268" s="21" t="str">
        <x:f>IF(C268="","",IFERROR(U168,"Unavailable"))</x:f>
      </x:c>
      <x:c r="X268" s="21" t="str">
        <x:f>IF(C268="","",IFERROR(V168,"Unavailable"))</x:f>
      </x:c>
      <x:c r="Y268" s="21" t="str">
        <x:f>IF(C268="","",IF(AQ268&lt;&gt;"Ready","Unavailable",IF(C268="","",U268-W268+V268-X268+N268+AG268)))</x:f>
      </x:c>
      <x:c r="Z268" s="23" t="str">
        <x:f>IF(C268="","",IF(AQ268&lt;&gt;"Ready","Unavailable",IF(C268="","",(G268+O268+L268)/2*INDEX('Facilities'!$T$9:$T$108,MATCH(C268,'Facilities'!$C$9:$C$108,0))+AG268)))</x:f>
      </x:c>
      <x:c r="AA268" s="23" t="str">
        <x:f>IF(C268="","",IF(AQ268&lt;&gt;"Ready","Unavailable",IF(C268="","",O268*(1-IF(INDEX('Facilities'!$AA$9:$AA$108,MATCH(C268,'Facilities'!$C$9:$C$108,0))=0,0,MIN(1,INDEX('Facilities'!$X$9:$X$108,MATCH(C268,'Facilities'!$C$9:$C$108,0))/INDEX('Facilities'!$AA$9:$AA$108,MATCH(C268,'Facilities'!$C$9:$C$108,0)))))*AF268+P268*(1-IF(INDEX('Facilities'!$AA$9:$AA$108,MATCH(C268,'Facilities'!$C$9:$C$108,0))=0,0,MIN(1,INDEX('Facilities'!$X$9:$X$108,MATCH(C268,'Facilities'!$C$9:$C$108,0))/INDEX('Facilities'!$AA$9:$AA$108,MATCH(C268,'Facilities'!$C$9:$C$108,0)))))*INDEX('Facilities'!$AJ$9:$AJ$108,MATCH(C268,'Facilities'!$C$9:$C$108,0))+Q268*INDEX('Facilities'!$AI$9:$AI$108,MATCH(C268,'Facilities'!$C$9:$C$108,0))*AF268)))</x:f>
      </x:c>
      <x:c r="AB268" s="21" t="str">
        <x:f>IF(C268="","",O268+P268-AD268)</x:f>
      </x:c>
      <x:c r="AC268" s="23" t="str">
        <x:f>IF(C268="","",IFERROR(IF(INDEX('Facilities'!$AD$9:$AD$108,MATCH(C268,'Facilities'!$C$9:$C$108,0))=3,0,IF(INDEX('Facilities'!$AN$9:$AN$108,MATCH(C268,'Facilities'!$C$9:$C$108,0))=0,-1,INDEX('Facilities'!$AN$9:$AN$108,MATCH(C268,'Facilities'!$C$9:$C$108,0)))),"Unavailable"))</x:f>
      </x:c>
      <x:c r="AD268" s="21" t="str">
        <x:f>IF(C268="","",IFERROR(G268+H268,"Unavailable"))</x:f>
      </x:c>
      <x:c r="AE268" s="21" t="str">
        <x:f>IF(C268="","",IF(AQ268&lt;&gt;"Ready","Unavailable",IF(C268="","",O268+P268-AD268-J268+K268+M268+N268)))</x:f>
      </x:c>
      <x:c r="AF268" s="30" t="str">
        <x:f>IF(C268="","",IFERROR(INDEX('Facilities'!$S$9:$S$108,MATCH(C268,'Facilities'!$C$9:$C$108,0))*'Scenario Paths'!H75,"Unavailable"))</x:f>
      </x:c>
      <x:c r="AG268" s="23" t="str">
        <x:f>IF(C268="","",IF(AQ268&lt;&gt;"Ready","Unavailable",IF(C268="","",IF(H268&gt;0,MAX(0,H268-AK268)*((1+INDEX('Facilities'!$K$9:$K$108,MATCH(C268,'Facilities'!$C$9:$C$108,0)))^MIN(1,MAX(0,AC268+INDEX('Facilities'!$AK$9:$AK$108,MATCH(C268,'Facilities'!$C$9:$C$108,0))-D268+1))-1),0))))</x:f>
      </x:c>
      <x:c r="AH268" s="21" t="str">
        <x:f>IF(C268="","",IF(AQ268&lt;&gt;"Ready","Unavailable",IF(C268="","",O268+P268)))</x:f>
      </x:c>
      <x:c r="AI268" s="21" t="str">
        <x:f>IF(C268="","",IF(AQ268&lt;&gt;"Ready","Unavailable",IF(C268="","",Z268-Y268)))</x:f>
      </x:c>
      <x:c r="AJ268" s="23" t="str">
        <x:f>IF(C268="","",IFERROR(MAX(0,INDEX('Facilities'!$J$9:$J$108,MATCH(C268,'Facilities'!$C$9:$C$108,0))-D268),"Unavailable"))</x:f>
      </x:c>
      <x:c r="AK268" s="21" t="str">
        <x:f>IF(C268="","",IFERROR(AL168,"Unavailable"))</x:f>
      </x:c>
      <x:c r="AL268" s="23" t="str">
        <x:f>IF(C268="","",IFERROR(IF(P268&gt;0,P268*(1-AM268/(1+INDEX('Facilities'!$K$9:$K$108,MATCH(C268,'Facilities'!$C$9:$C$108,0)))^MAX(0,AC268+INDEX('Facilities'!$AK$9:$AK$108,MATCH(C268,'Facilities'!$C$9:$C$108,0))-D268)),0),"Unavailable"))</x:f>
      </x:c>
      <x:c r="AM268" s="30" t="str">
        <x:f>IF(C268="","",IFERROR(INDEX('Facilities'!$AL$9:$AL$108,MATCH(C268,'Facilities'!$C$9:$C$108,0)),"Unavailable"))</x:f>
      </x:c>
      <x:c r="AN268" s="30" t="str">
        <x:f>IF(C268="","",IFERROR(INDEX(Credit!$T$209:$T$308,MATCH(F268,Credit!$C$209:$C$308,0)),"Unavailable"))</x:f>
      </x:c>
      <x:c r="AO268" s="23" t="str">
        <x:f>IF(C268="","",IF(AQ268&lt;&gt;"Ready","Unavailable",IF(C268="","",O268+P268+Q268*INDEX('Facilities'!$I$9:$I$108,MATCH(C268,'Facilities'!$C$9:$C$108,0)))))</x:f>
      </x:c>
      <x:c r="AP268" s="21" t="str">
        <x:f>IF(C268="","",IF(AQ268&lt;&gt;"Ready","Unavailable",IF(C268="","",AH268-U268)))</x:f>
      </x:c>
      <x:c r="AQ268" s="23" t="str">
        <x:f>IFERROR(IF(C268="","",IF(AND(INDEX('Facilities'!$AF$9:$AF$108,MATCH(C268,'Facilities'!$C$9:$C$108,0))="Ready",INDEX(Credit!$U$209:$U$308,MATCH(F268,Credit!$C$209:$C$308,0))="Ready",ISNUMBER(W268)),"Ready","Review inputs")),"Review inputs")</x:f>
      </x:c>
      <x:c r="AR268" s="23" t="str">
        <x:f>IF(C268="","",IF(AQ268&lt;&gt;"Ready","Unavailable",IF(C268="","",IF(O268=0,0,(IF(AJ268&lt;=1,O268,O268*INDEX('Facilities'!$R$9:$R$108,MATCH(C268,'Facilities'!$C$9:$C$108,0)))+O268*INDEX('Facilities'!$T$9:$T$108,MATCH(C268,'Facilities'!$C$9:$C$108,0)))/12))))</x:f>
      </x:c>
    </x:row>
    <x:row r="269" ht="26" customHeight="1">
      <x:c r="A269" s="1"/>
      <x:c r="B269" s="1"/>
      <x:c r="C269" s="9" t="str">
        <x:f>IF(Facilities!C69="","",Facilities!C69)</x:f>
      </x:c>
      <x:c r="D269" s="3" t="n">
        <x:v>3</x:v>
      </x:c>
      <x:c r="E269" s="9" t="n">
        <x:f>Settings!$F$18+2</x:f>
        <x:v>2029</x:v>
      </x:c>
      <x:c r="F269" s="9" t="str">
        <x:f>IF(C269="","",IFERROR(INDEX('Facilities'!$D$9:$D$108,MATCH(C269,'Facilities'!$C$9:$C$108,0)),"Unavailable"))</x:f>
      </x:c>
      <x:c r="G269" s="21" t="str">
        <x:f>IF(C269="","",IFERROR(O169,"Unavailable"))</x:f>
      </x:c>
      <x:c r="H269" s="21" t="str">
        <x:f>IF(C269="","",IFERROR(P169,"Unavailable"))</x:f>
      </x:c>
      <x:c r="I269" s="21" t="str">
        <x:f>IF(C269="","",IFERROR(Q169,"Unavailable"))</x:f>
      </x:c>
      <x:c r="J269" s="23" t="str">
        <x:f>IF(C269="","",IFERROR(IF(OR(H269&gt;0,AND(AC269&gt;=0,AC269&lt;D269),D269&gt;INDEX('Facilities'!$J$9:$J$108,MATCH(C269,'Facilities'!$C$9:$C$108,0))),0,I269*'Scenario Paths'!H81),"Unavailable"))</x:f>
      </x:c>
      <x:c r="K269" s="23" t="str">
        <x:f>IF(C269="","",IFERROR(IF(OR(H269&gt;0,AND(AC269&gt;=0,AC269=D269)),0,IF(D269&gt;=INDEX('Facilities'!$J$9:$J$108,MATCH(C269,'Facilities'!$C$9:$C$108,0)),G269+J269,MIN(G269+J269,G269*INDEX('Facilities'!$R$9:$R$108,MATCH(C269,'Facilities'!$C$9:$C$108,0))))),"Unavailable"))</x:f>
      </x:c>
      <x:c r="L269" s="21" t="str">
        <x:f>IF(C269="","",IFERROR(IF(AND(AC269=D269,AC269&gt;0),MAX(0,G269+J269-K269),0),"Unavailable"))</x:f>
      </x:c>
      <x:c r="M269" s="23" t="str">
        <x:f>IF(C269="","",IFERROR(IF(AND(AC269&gt;=0,D269&gt;=AC269+INDEX('Facilities'!$AK$9:$AK$108,MATCH(C269,'Facilities'!$C$9:$C$108,0))),(H269+L269)*AM269,0),"Unavailable"))</x:f>
      </x:c>
      <x:c r="N269" s="23" t="str">
        <x:f>IF(C269="","",IFERROR(IF(AND(AC269&gt;=0,D269&gt;=AC269+INDEX('Facilities'!$AK$9:$AK$108,MATCH(C269,'Facilities'!$C$9:$C$108,0))),H269+L269-M269,0),"Unavailable"))</x:f>
      </x:c>
      <x:c r="O269" s="21" t="str">
        <x:f>IF(C269="","",IFERROR(MAX(0,G269+J269-K269-L269),"Unavailable"))</x:f>
      </x:c>
      <x:c r="P269" s="21" t="str">
        <x:f>IF(C269="","",IFERROR(MAX(0,H269+L269-M269-N269),"Unavailable"))</x:f>
      </x:c>
      <x:c r="Q269" s="23" t="str">
        <x:f>IF(C269="","",IFERROR(IF(OR(D269&gt;=INDEX('Facilities'!$J$9:$J$108,MATCH(C269,'Facilities'!$C$9:$C$108,0)),AND(AC269&gt;=0,AC269&lt;=D269)),0,MAX(0,I269-J269)),"Unavailable"))</x:f>
      </x:c>
      <x:c r="R269" s="30" t="str">
        <x:f>IF(C269="","",IFERROR(INDEX(Credit!$Q$209:$Q$308,MATCH(F269,Credit!$C$209:$C$308,0)),"Unavailable"))</x:f>
      </x:c>
      <x:c r="S269" s="30" t="str">
        <x:f>IF(C269="","",IFERROR(INDEX(Credit!$R$209:$R$308,MATCH(F269,Credit!$C$209:$C$308,0)),"Unavailable"))</x:f>
      </x:c>
      <x:c r="T269" s="23" t="str">
        <x:f>IF(C269="","",IFERROR(IF(P269&gt;0,3,IF(OR(INDEX('Facilities'!$AD$9:$AD$108,MATCH(C269,'Facilities'!$C$9:$C$108,0))=2,AND(R269&gt;=INDEX('Facilities'!$L$9:$L$108,MATCH(C269,'Facilities'!$C$9:$C$108,0))*Settings!$F$19,R269-INDEX('Facilities'!$L$9:$L$108,MATCH(C269,'Facilities'!$C$9:$C$108,0))&gt;=Settings!$F$20)),2,1)),"Unavailable"))</x:f>
      </x:c>
      <x:c r="U269" s="23" t="str">
        <x:f>IF(C269="","",IF(AQ269&lt;&gt;"Ready","Unavailable",IF(C269="","",O269*(1-(1-S269)/(1+INDEX('Facilities'!$K$9:$K$108,MATCH(C269,'Facilities'!$C$9:$C$108,0)))^INDEX('Facilities'!$AK$9:$AK$108,MATCH(C269,'Facilities'!$C$9:$C$108,0)))*R269/(1+INDEX('Facilities'!$K$9:$K$108,MATCH(C269,'Facilities'!$C$9:$C$108,0)))*IF(ABS(1-(1-R269)*(1-INDEX('Facilities'!$R$9:$R$108,MATCH(C269,'Facilities'!$C$9:$C$108,0)))/(1+INDEX('Facilities'!$K$9:$K$108,MATCH(C269,'Facilities'!$C$9:$C$108,0))))&lt;0.000000001,IF(T269=1,MIN(1,AJ269),AJ269),(1-((1-R269)*(1-INDEX('Facilities'!$R$9:$R$108,MATCH(C269,'Facilities'!$C$9:$C$108,0)))/(1+INDEX('Facilities'!$K$9:$K$108,MATCH(C269,'Facilities'!$C$9:$C$108,0))))^IF(T269=1,MIN(1,AJ269),AJ269))/(1-(1-R269)*(1-INDEX('Facilities'!$R$9:$R$108,MATCH(C269,'Facilities'!$C$9:$C$108,0)))/(1+INDEX('Facilities'!$K$9:$K$108,MATCH(C269,'Facilities'!$C$9:$C$108,0)))))+AL269)))</x:f>
      </x:c>
      <x:c r="V269" s="23" t="str">
        <x:f>IF(C269="","",IF(AQ269&lt;&gt;"Ready","Unavailable",IF(C269="","",Q269*INDEX('Facilities'!$I$9:$I$108,MATCH(C269,'Facilities'!$C$9:$C$108,0))*(1-(1-S269)/(1+INDEX('Facilities'!$K$9:$K$108,MATCH(C269,'Facilities'!$C$9:$C$108,0)))^INDEX('Facilities'!$AK$9:$AK$108,MATCH(C269,'Facilities'!$C$9:$C$108,0)))*R269/(1+INDEX('Facilities'!$K$9:$K$108,MATCH(C269,'Facilities'!$C$9:$C$108,0)))*IF(ABS(1-(1-R269)*(1-0)/(1+INDEX('Facilities'!$K$9:$K$108,MATCH(C269,'Facilities'!$C$9:$C$108,0))))&lt;0.000000001,IF(T269=1,MIN(1,AJ269),AJ269),(1-((1-R269)*(1-0)/(1+INDEX('Facilities'!$K$9:$K$108,MATCH(C269,'Facilities'!$C$9:$C$108,0))))^IF(T269=1,MIN(1,AJ269),AJ269))/(1-(1-R269)*(1-0)/(1+INDEX('Facilities'!$K$9:$K$108,MATCH(C269,'Facilities'!$C$9:$C$108,0))))))))</x:f>
      </x:c>
      <x:c r="W269" s="21" t="str">
        <x:f>IF(C269="","",IFERROR(U169,"Unavailable"))</x:f>
      </x:c>
      <x:c r="X269" s="21" t="str">
        <x:f>IF(C269="","",IFERROR(V169,"Unavailable"))</x:f>
      </x:c>
      <x:c r="Y269" s="21" t="str">
        <x:f>IF(C269="","",IF(AQ269&lt;&gt;"Ready","Unavailable",IF(C269="","",U269-W269+V269-X269+N269+AG269)))</x:f>
      </x:c>
      <x:c r="Z269" s="23" t="str">
        <x:f>IF(C269="","",IF(AQ269&lt;&gt;"Ready","Unavailable",IF(C269="","",(G269+O269+L269)/2*INDEX('Facilities'!$T$9:$T$108,MATCH(C269,'Facilities'!$C$9:$C$108,0))+AG269)))</x:f>
      </x:c>
      <x:c r="AA269" s="23" t="str">
        <x:f>IF(C269="","",IF(AQ269&lt;&gt;"Ready","Unavailable",IF(C269="","",O269*(1-IF(INDEX('Facilities'!$AA$9:$AA$108,MATCH(C269,'Facilities'!$C$9:$C$108,0))=0,0,MIN(1,INDEX('Facilities'!$X$9:$X$108,MATCH(C269,'Facilities'!$C$9:$C$108,0))/INDEX('Facilities'!$AA$9:$AA$108,MATCH(C269,'Facilities'!$C$9:$C$108,0)))))*AF269+P269*(1-IF(INDEX('Facilities'!$AA$9:$AA$108,MATCH(C269,'Facilities'!$C$9:$C$108,0))=0,0,MIN(1,INDEX('Facilities'!$X$9:$X$108,MATCH(C269,'Facilities'!$C$9:$C$108,0))/INDEX('Facilities'!$AA$9:$AA$108,MATCH(C269,'Facilities'!$C$9:$C$108,0)))))*INDEX('Facilities'!$AJ$9:$AJ$108,MATCH(C269,'Facilities'!$C$9:$C$108,0))+Q269*INDEX('Facilities'!$AI$9:$AI$108,MATCH(C269,'Facilities'!$C$9:$C$108,0))*AF269)))</x:f>
      </x:c>
      <x:c r="AB269" s="21" t="str">
        <x:f>IF(C269="","",O269+P269-AD269)</x:f>
      </x:c>
      <x:c r="AC269" s="23" t="str">
        <x:f>IF(C269="","",IFERROR(IF(INDEX('Facilities'!$AD$9:$AD$108,MATCH(C269,'Facilities'!$C$9:$C$108,0))=3,0,IF(INDEX('Facilities'!$AN$9:$AN$108,MATCH(C269,'Facilities'!$C$9:$C$108,0))=0,-1,INDEX('Facilities'!$AN$9:$AN$108,MATCH(C269,'Facilities'!$C$9:$C$108,0)))),"Unavailable"))</x:f>
      </x:c>
      <x:c r="AD269" s="21" t="str">
        <x:f>IF(C269="","",IFERROR(G269+H269,"Unavailable"))</x:f>
      </x:c>
      <x:c r="AE269" s="21" t="str">
        <x:f>IF(C269="","",IF(AQ269&lt;&gt;"Ready","Unavailable",IF(C269="","",O269+P269-AD269-J269+K269+M269+N269)))</x:f>
      </x:c>
      <x:c r="AF269" s="30" t="str">
        <x:f>IF(C269="","",IFERROR(INDEX('Facilities'!$S$9:$S$108,MATCH(C269,'Facilities'!$C$9:$C$108,0))*'Scenario Paths'!H75,"Unavailable"))</x:f>
      </x:c>
      <x:c r="AG269" s="23" t="str">
        <x:f>IF(C269="","",IF(AQ269&lt;&gt;"Ready","Unavailable",IF(C269="","",IF(H269&gt;0,MAX(0,H269-AK269)*((1+INDEX('Facilities'!$K$9:$K$108,MATCH(C269,'Facilities'!$C$9:$C$108,0)))^MIN(1,MAX(0,AC269+INDEX('Facilities'!$AK$9:$AK$108,MATCH(C269,'Facilities'!$C$9:$C$108,0))-D269+1))-1),0))))</x:f>
      </x:c>
      <x:c r="AH269" s="21" t="str">
        <x:f>IF(C269="","",IF(AQ269&lt;&gt;"Ready","Unavailable",IF(C269="","",O269+P269)))</x:f>
      </x:c>
      <x:c r="AI269" s="21" t="str">
        <x:f>IF(C269="","",IF(AQ269&lt;&gt;"Ready","Unavailable",IF(C269="","",Z269-Y269)))</x:f>
      </x:c>
      <x:c r="AJ269" s="23" t="str">
        <x:f>IF(C269="","",IFERROR(MAX(0,INDEX('Facilities'!$J$9:$J$108,MATCH(C269,'Facilities'!$C$9:$C$108,0))-D269),"Unavailable"))</x:f>
      </x:c>
      <x:c r="AK269" s="21" t="str">
        <x:f>IF(C269="","",IFERROR(AL169,"Unavailable"))</x:f>
      </x:c>
      <x:c r="AL269" s="23" t="str">
        <x:f>IF(C269="","",IFERROR(IF(P269&gt;0,P269*(1-AM269/(1+INDEX('Facilities'!$K$9:$K$108,MATCH(C269,'Facilities'!$C$9:$C$108,0)))^MAX(0,AC269+INDEX('Facilities'!$AK$9:$AK$108,MATCH(C269,'Facilities'!$C$9:$C$108,0))-D269)),0),"Unavailable"))</x:f>
      </x:c>
      <x:c r="AM269" s="30" t="str">
        <x:f>IF(C269="","",IFERROR(INDEX('Facilities'!$AL$9:$AL$108,MATCH(C269,'Facilities'!$C$9:$C$108,0)),"Unavailable"))</x:f>
      </x:c>
      <x:c r="AN269" s="30" t="str">
        <x:f>IF(C269="","",IFERROR(INDEX(Credit!$T$209:$T$308,MATCH(F269,Credit!$C$209:$C$308,0)),"Unavailable"))</x:f>
      </x:c>
      <x:c r="AO269" s="23" t="str">
        <x:f>IF(C269="","",IF(AQ269&lt;&gt;"Ready","Unavailable",IF(C269="","",O269+P269+Q269*INDEX('Facilities'!$I$9:$I$108,MATCH(C269,'Facilities'!$C$9:$C$108,0)))))</x:f>
      </x:c>
      <x:c r="AP269" s="21" t="str">
        <x:f>IF(C269="","",IF(AQ269&lt;&gt;"Ready","Unavailable",IF(C269="","",AH269-U269)))</x:f>
      </x:c>
      <x:c r="AQ269" s="23" t="str">
        <x:f>IFERROR(IF(C269="","",IF(AND(INDEX('Facilities'!$AF$9:$AF$108,MATCH(C269,'Facilities'!$C$9:$C$108,0))="Ready",INDEX(Credit!$U$209:$U$308,MATCH(F269,Credit!$C$209:$C$308,0))="Ready",ISNUMBER(W269)),"Ready","Review inputs")),"Review inputs")</x:f>
      </x:c>
      <x:c r="AR269" s="23" t="str">
        <x:f>IF(C269="","",IF(AQ269&lt;&gt;"Ready","Unavailable",IF(C269="","",IF(O269=0,0,(IF(AJ269&lt;=1,O269,O269*INDEX('Facilities'!$R$9:$R$108,MATCH(C269,'Facilities'!$C$9:$C$108,0)))+O269*INDEX('Facilities'!$T$9:$T$108,MATCH(C269,'Facilities'!$C$9:$C$108,0)))/12))))</x:f>
      </x:c>
    </x:row>
    <x:row r="270" ht="26" customHeight="1">
      <x:c r="A270" s="1"/>
      <x:c r="B270" s="1"/>
      <x:c r="C270" s="9" t="str">
        <x:f>IF(Facilities!C70="","",Facilities!C70)</x:f>
      </x:c>
      <x:c r="D270" s="3" t="n">
        <x:v>3</x:v>
      </x:c>
      <x:c r="E270" s="9" t="n">
        <x:f>Settings!$F$18+2</x:f>
        <x:v>2029</x:v>
      </x:c>
      <x:c r="F270" s="9" t="str">
        <x:f>IF(C270="","",IFERROR(INDEX('Facilities'!$D$9:$D$108,MATCH(C270,'Facilities'!$C$9:$C$108,0)),"Unavailable"))</x:f>
      </x:c>
      <x:c r="G270" s="21" t="str">
        <x:f>IF(C270="","",IFERROR(O170,"Unavailable"))</x:f>
      </x:c>
      <x:c r="H270" s="21" t="str">
        <x:f>IF(C270="","",IFERROR(P170,"Unavailable"))</x:f>
      </x:c>
      <x:c r="I270" s="21" t="str">
        <x:f>IF(C270="","",IFERROR(Q170,"Unavailable"))</x:f>
      </x:c>
      <x:c r="J270" s="23" t="str">
        <x:f>IF(C270="","",IFERROR(IF(OR(H270&gt;0,AND(AC270&gt;=0,AC270&lt;D270),D270&gt;INDEX('Facilities'!$J$9:$J$108,MATCH(C270,'Facilities'!$C$9:$C$108,0))),0,I270*'Scenario Paths'!H81),"Unavailable"))</x:f>
      </x:c>
      <x:c r="K270" s="23" t="str">
        <x:f>IF(C270="","",IFERROR(IF(OR(H270&gt;0,AND(AC270&gt;=0,AC270=D270)),0,IF(D270&gt;=INDEX('Facilities'!$J$9:$J$108,MATCH(C270,'Facilities'!$C$9:$C$108,0)),G270+J270,MIN(G270+J270,G270*INDEX('Facilities'!$R$9:$R$108,MATCH(C270,'Facilities'!$C$9:$C$108,0))))),"Unavailable"))</x:f>
      </x:c>
      <x:c r="L270" s="21" t="str">
        <x:f>IF(C270="","",IFERROR(IF(AND(AC270=D270,AC270&gt;0),MAX(0,G270+J270-K270),0),"Unavailable"))</x:f>
      </x:c>
      <x:c r="M270" s="23" t="str">
        <x:f>IF(C270="","",IFERROR(IF(AND(AC270&gt;=0,D270&gt;=AC270+INDEX('Facilities'!$AK$9:$AK$108,MATCH(C270,'Facilities'!$C$9:$C$108,0))),(H270+L270)*AM270,0),"Unavailable"))</x:f>
      </x:c>
      <x:c r="N270" s="23" t="str">
        <x:f>IF(C270="","",IFERROR(IF(AND(AC270&gt;=0,D270&gt;=AC270+INDEX('Facilities'!$AK$9:$AK$108,MATCH(C270,'Facilities'!$C$9:$C$108,0))),H270+L270-M270,0),"Unavailable"))</x:f>
      </x:c>
      <x:c r="O270" s="21" t="str">
        <x:f>IF(C270="","",IFERROR(MAX(0,G270+J270-K270-L270),"Unavailable"))</x:f>
      </x:c>
      <x:c r="P270" s="21" t="str">
        <x:f>IF(C270="","",IFERROR(MAX(0,H270+L270-M270-N270),"Unavailable"))</x:f>
      </x:c>
      <x:c r="Q270" s="23" t="str">
        <x:f>IF(C270="","",IFERROR(IF(OR(D270&gt;=INDEX('Facilities'!$J$9:$J$108,MATCH(C270,'Facilities'!$C$9:$C$108,0)),AND(AC270&gt;=0,AC270&lt;=D270)),0,MAX(0,I270-J270)),"Unavailable"))</x:f>
      </x:c>
      <x:c r="R270" s="30" t="str">
        <x:f>IF(C270="","",IFERROR(INDEX(Credit!$Q$209:$Q$308,MATCH(F270,Credit!$C$209:$C$308,0)),"Unavailable"))</x:f>
      </x:c>
      <x:c r="S270" s="30" t="str">
        <x:f>IF(C270="","",IFERROR(INDEX(Credit!$R$209:$R$308,MATCH(F270,Credit!$C$209:$C$308,0)),"Unavailable"))</x:f>
      </x:c>
      <x:c r="T270" s="23" t="str">
        <x:f>IF(C270="","",IFERROR(IF(P270&gt;0,3,IF(OR(INDEX('Facilities'!$AD$9:$AD$108,MATCH(C270,'Facilities'!$C$9:$C$108,0))=2,AND(R270&gt;=INDEX('Facilities'!$L$9:$L$108,MATCH(C270,'Facilities'!$C$9:$C$108,0))*Settings!$F$19,R270-INDEX('Facilities'!$L$9:$L$108,MATCH(C270,'Facilities'!$C$9:$C$108,0))&gt;=Settings!$F$20)),2,1)),"Unavailable"))</x:f>
      </x:c>
      <x:c r="U270" s="23" t="str">
        <x:f>IF(C270="","",IF(AQ270&lt;&gt;"Ready","Unavailable",IF(C270="","",O270*(1-(1-S270)/(1+INDEX('Facilities'!$K$9:$K$108,MATCH(C270,'Facilities'!$C$9:$C$108,0)))^INDEX('Facilities'!$AK$9:$AK$108,MATCH(C270,'Facilities'!$C$9:$C$108,0)))*R270/(1+INDEX('Facilities'!$K$9:$K$108,MATCH(C270,'Facilities'!$C$9:$C$108,0)))*IF(ABS(1-(1-R270)*(1-INDEX('Facilities'!$R$9:$R$108,MATCH(C270,'Facilities'!$C$9:$C$108,0)))/(1+INDEX('Facilities'!$K$9:$K$108,MATCH(C270,'Facilities'!$C$9:$C$108,0))))&lt;0.000000001,IF(T270=1,MIN(1,AJ270),AJ270),(1-((1-R270)*(1-INDEX('Facilities'!$R$9:$R$108,MATCH(C270,'Facilities'!$C$9:$C$108,0)))/(1+INDEX('Facilities'!$K$9:$K$108,MATCH(C270,'Facilities'!$C$9:$C$108,0))))^IF(T270=1,MIN(1,AJ270),AJ270))/(1-(1-R270)*(1-INDEX('Facilities'!$R$9:$R$108,MATCH(C270,'Facilities'!$C$9:$C$108,0)))/(1+INDEX('Facilities'!$K$9:$K$108,MATCH(C270,'Facilities'!$C$9:$C$108,0)))))+AL270)))</x:f>
      </x:c>
      <x:c r="V270" s="23" t="str">
        <x:f>IF(C270="","",IF(AQ270&lt;&gt;"Ready","Unavailable",IF(C270="","",Q270*INDEX('Facilities'!$I$9:$I$108,MATCH(C270,'Facilities'!$C$9:$C$108,0))*(1-(1-S270)/(1+INDEX('Facilities'!$K$9:$K$108,MATCH(C270,'Facilities'!$C$9:$C$108,0)))^INDEX('Facilities'!$AK$9:$AK$108,MATCH(C270,'Facilities'!$C$9:$C$108,0)))*R270/(1+INDEX('Facilities'!$K$9:$K$108,MATCH(C270,'Facilities'!$C$9:$C$108,0)))*IF(ABS(1-(1-R270)*(1-0)/(1+INDEX('Facilities'!$K$9:$K$108,MATCH(C270,'Facilities'!$C$9:$C$108,0))))&lt;0.000000001,IF(T270=1,MIN(1,AJ270),AJ270),(1-((1-R270)*(1-0)/(1+INDEX('Facilities'!$K$9:$K$108,MATCH(C270,'Facilities'!$C$9:$C$108,0))))^IF(T270=1,MIN(1,AJ270),AJ270))/(1-(1-R270)*(1-0)/(1+INDEX('Facilities'!$K$9:$K$108,MATCH(C270,'Facilities'!$C$9:$C$108,0))))))))</x:f>
      </x:c>
      <x:c r="W270" s="21" t="str">
        <x:f>IF(C270="","",IFERROR(U170,"Unavailable"))</x:f>
      </x:c>
      <x:c r="X270" s="21" t="str">
        <x:f>IF(C270="","",IFERROR(V170,"Unavailable"))</x:f>
      </x:c>
      <x:c r="Y270" s="21" t="str">
        <x:f>IF(C270="","",IF(AQ270&lt;&gt;"Ready","Unavailable",IF(C270="","",U270-W270+V270-X270+N270+AG270)))</x:f>
      </x:c>
      <x:c r="Z270" s="23" t="str">
        <x:f>IF(C270="","",IF(AQ270&lt;&gt;"Ready","Unavailable",IF(C270="","",(G270+O270+L270)/2*INDEX('Facilities'!$T$9:$T$108,MATCH(C270,'Facilities'!$C$9:$C$108,0))+AG270)))</x:f>
      </x:c>
      <x:c r="AA270" s="23" t="str">
        <x:f>IF(C270="","",IF(AQ270&lt;&gt;"Ready","Unavailable",IF(C270="","",O270*(1-IF(INDEX('Facilities'!$AA$9:$AA$108,MATCH(C270,'Facilities'!$C$9:$C$108,0))=0,0,MIN(1,INDEX('Facilities'!$X$9:$X$108,MATCH(C270,'Facilities'!$C$9:$C$108,0))/INDEX('Facilities'!$AA$9:$AA$108,MATCH(C270,'Facilities'!$C$9:$C$108,0)))))*AF270+P270*(1-IF(INDEX('Facilities'!$AA$9:$AA$108,MATCH(C270,'Facilities'!$C$9:$C$108,0))=0,0,MIN(1,INDEX('Facilities'!$X$9:$X$108,MATCH(C270,'Facilities'!$C$9:$C$108,0))/INDEX('Facilities'!$AA$9:$AA$108,MATCH(C270,'Facilities'!$C$9:$C$108,0)))))*INDEX('Facilities'!$AJ$9:$AJ$108,MATCH(C270,'Facilities'!$C$9:$C$108,0))+Q270*INDEX('Facilities'!$AI$9:$AI$108,MATCH(C270,'Facilities'!$C$9:$C$108,0))*AF270)))</x:f>
      </x:c>
      <x:c r="AB270" s="21" t="str">
        <x:f>IF(C270="","",O270+P270-AD270)</x:f>
      </x:c>
      <x:c r="AC270" s="23" t="str">
        <x:f>IF(C270="","",IFERROR(IF(INDEX('Facilities'!$AD$9:$AD$108,MATCH(C270,'Facilities'!$C$9:$C$108,0))=3,0,IF(INDEX('Facilities'!$AN$9:$AN$108,MATCH(C270,'Facilities'!$C$9:$C$108,0))=0,-1,INDEX('Facilities'!$AN$9:$AN$108,MATCH(C270,'Facilities'!$C$9:$C$108,0)))),"Unavailable"))</x:f>
      </x:c>
      <x:c r="AD270" s="21" t="str">
        <x:f>IF(C270="","",IFERROR(G270+H270,"Unavailable"))</x:f>
      </x:c>
      <x:c r="AE270" s="21" t="str">
        <x:f>IF(C270="","",IF(AQ270&lt;&gt;"Ready","Unavailable",IF(C270="","",O270+P270-AD270-J270+K270+M270+N270)))</x:f>
      </x:c>
      <x:c r="AF270" s="30" t="str">
        <x:f>IF(C270="","",IFERROR(INDEX('Facilities'!$S$9:$S$108,MATCH(C270,'Facilities'!$C$9:$C$108,0))*'Scenario Paths'!H75,"Unavailable"))</x:f>
      </x:c>
      <x:c r="AG270" s="23" t="str">
        <x:f>IF(C270="","",IF(AQ270&lt;&gt;"Ready","Unavailable",IF(C270="","",IF(H270&gt;0,MAX(0,H270-AK270)*((1+INDEX('Facilities'!$K$9:$K$108,MATCH(C270,'Facilities'!$C$9:$C$108,0)))^MIN(1,MAX(0,AC270+INDEX('Facilities'!$AK$9:$AK$108,MATCH(C270,'Facilities'!$C$9:$C$108,0))-D270+1))-1),0))))</x:f>
      </x:c>
      <x:c r="AH270" s="21" t="str">
        <x:f>IF(C270="","",IF(AQ270&lt;&gt;"Ready","Unavailable",IF(C270="","",O270+P270)))</x:f>
      </x:c>
      <x:c r="AI270" s="21" t="str">
        <x:f>IF(C270="","",IF(AQ270&lt;&gt;"Ready","Unavailable",IF(C270="","",Z270-Y270)))</x:f>
      </x:c>
      <x:c r="AJ270" s="23" t="str">
        <x:f>IF(C270="","",IFERROR(MAX(0,INDEX('Facilities'!$J$9:$J$108,MATCH(C270,'Facilities'!$C$9:$C$108,0))-D270),"Unavailable"))</x:f>
      </x:c>
      <x:c r="AK270" s="21" t="str">
        <x:f>IF(C270="","",IFERROR(AL170,"Unavailable"))</x:f>
      </x:c>
      <x:c r="AL270" s="23" t="str">
        <x:f>IF(C270="","",IFERROR(IF(P270&gt;0,P270*(1-AM270/(1+INDEX('Facilities'!$K$9:$K$108,MATCH(C270,'Facilities'!$C$9:$C$108,0)))^MAX(0,AC270+INDEX('Facilities'!$AK$9:$AK$108,MATCH(C270,'Facilities'!$C$9:$C$108,0))-D270)),0),"Unavailable"))</x:f>
      </x:c>
      <x:c r="AM270" s="30" t="str">
        <x:f>IF(C270="","",IFERROR(INDEX('Facilities'!$AL$9:$AL$108,MATCH(C270,'Facilities'!$C$9:$C$108,0)),"Unavailable"))</x:f>
      </x:c>
      <x:c r="AN270" s="30" t="str">
        <x:f>IF(C270="","",IFERROR(INDEX(Credit!$T$209:$T$308,MATCH(F270,Credit!$C$209:$C$308,0)),"Unavailable"))</x:f>
      </x:c>
      <x:c r="AO270" s="23" t="str">
        <x:f>IF(C270="","",IF(AQ270&lt;&gt;"Ready","Unavailable",IF(C270="","",O270+P270+Q270*INDEX('Facilities'!$I$9:$I$108,MATCH(C270,'Facilities'!$C$9:$C$108,0)))))</x:f>
      </x:c>
      <x:c r="AP270" s="21" t="str">
        <x:f>IF(C270="","",IF(AQ270&lt;&gt;"Ready","Unavailable",IF(C270="","",AH270-U270)))</x:f>
      </x:c>
      <x:c r="AQ270" s="23" t="str">
        <x:f>IFERROR(IF(C270="","",IF(AND(INDEX('Facilities'!$AF$9:$AF$108,MATCH(C270,'Facilities'!$C$9:$C$108,0))="Ready",INDEX(Credit!$U$209:$U$308,MATCH(F270,Credit!$C$209:$C$308,0))="Ready",ISNUMBER(W270)),"Ready","Review inputs")),"Review inputs")</x:f>
      </x:c>
      <x:c r="AR270" s="23" t="str">
        <x:f>IF(C270="","",IF(AQ270&lt;&gt;"Ready","Unavailable",IF(C270="","",IF(O270=0,0,(IF(AJ270&lt;=1,O270,O270*INDEX('Facilities'!$R$9:$R$108,MATCH(C270,'Facilities'!$C$9:$C$108,0)))+O270*INDEX('Facilities'!$T$9:$T$108,MATCH(C270,'Facilities'!$C$9:$C$108,0)))/12))))</x:f>
      </x:c>
    </x:row>
    <x:row r="271" ht="26" customHeight="1">
      <x:c r="A271" s="1"/>
      <x:c r="B271" s="1"/>
      <x:c r="C271" s="9" t="str">
        <x:f>IF(Facilities!C71="","",Facilities!C71)</x:f>
      </x:c>
      <x:c r="D271" s="3" t="n">
        <x:v>3</x:v>
      </x:c>
      <x:c r="E271" s="9" t="n">
        <x:f>Settings!$F$18+2</x:f>
        <x:v>2029</x:v>
      </x:c>
      <x:c r="F271" s="9" t="str">
        <x:f>IF(C271="","",IFERROR(INDEX('Facilities'!$D$9:$D$108,MATCH(C271,'Facilities'!$C$9:$C$108,0)),"Unavailable"))</x:f>
      </x:c>
      <x:c r="G271" s="21" t="str">
        <x:f>IF(C271="","",IFERROR(O171,"Unavailable"))</x:f>
      </x:c>
      <x:c r="H271" s="21" t="str">
        <x:f>IF(C271="","",IFERROR(P171,"Unavailable"))</x:f>
      </x:c>
      <x:c r="I271" s="21" t="str">
        <x:f>IF(C271="","",IFERROR(Q171,"Unavailable"))</x:f>
      </x:c>
      <x:c r="J271" s="23" t="str">
        <x:f>IF(C271="","",IFERROR(IF(OR(H271&gt;0,AND(AC271&gt;=0,AC271&lt;D271),D271&gt;INDEX('Facilities'!$J$9:$J$108,MATCH(C271,'Facilities'!$C$9:$C$108,0))),0,I271*'Scenario Paths'!H81),"Unavailable"))</x:f>
      </x:c>
      <x:c r="K271" s="23" t="str">
        <x:f>IF(C271="","",IFERROR(IF(OR(H271&gt;0,AND(AC271&gt;=0,AC271=D271)),0,IF(D271&gt;=INDEX('Facilities'!$J$9:$J$108,MATCH(C271,'Facilities'!$C$9:$C$108,0)),G271+J271,MIN(G271+J271,G271*INDEX('Facilities'!$R$9:$R$108,MATCH(C271,'Facilities'!$C$9:$C$108,0))))),"Unavailable"))</x:f>
      </x:c>
      <x:c r="L271" s="21" t="str">
        <x:f>IF(C271="","",IFERROR(IF(AND(AC271=D271,AC271&gt;0),MAX(0,G271+J271-K271),0),"Unavailable"))</x:f>
      </x:c>
      <x:c r="M271" s="23" t="str">
        <x:f>IF(C271="","",IFERROR(IF(AND(AC271&gt;=0,D271&gt;=AC271+INDEX('Facilities'!$AK$9:$AK$108,MATCH(C271,'Facilities'!$C$9:$C$108,0))),(H271+L271)*AM271,0),"Unavailable"))</x:f>
      </x:c>
      <x:c r="N271" s="23" t="str">
        <x:f>IF(C271="","",IFERROR(IF(AND(AC271&gt;=0,D271&gt;=AC271+INDEX('Facilities'!$AK$9:$AK$108,MATCH(C271,'Facilities'!$C$9:$C$108,0))),H271+L271-M271,0),"Unavailable"))</x:f>
      </x:c>
      <x:c r="O271" s="21" t="str">
        <x:f>IF(C271="","",IFERROR(MAX(0,G271+J271-K271-L271),"Unavailable"))</x:f>
      </x:c>
      <x:c r="P271" s="21" t="str">
        <x:f>IF(C271="","",IFERROR(MAX(0,H271+L271-M271-N271),"Unavailable"))</x:f>
      </x:c>
      <x:c r="Q271" s="23" t="str">
        <x:f>IF(C271="","",IFERROR(IF(OR(D271&gt;=INDEX('Facilities'!$J$9:$J$108,MATCH(C271,'Facilities'!$C$9:$C$108,0)),AND(AC271&gt;=0,AC271&lt;=D271)),0,MAX(0,I271-J271)),"Unavailable"))</x:f>
      </x:c>
      <x:c r="R271" s="30" t="str">
        <x:f>IF(C271="","",IFERROR(INDEX(Credit!$Q$209:$Q$308,MATCH(F271,Credit!$C$209:$C$308,0)),"Unavailable"))</x:f>
      </x:c>
      <x:c r="S271" s="30" t="str">
        <x:f>IF(C271="","",IFERROR(INDEX(Credit!$R$209:$R$308,MATCH(F271,Credit!$C$209:$C$308,0)),"Unavailable"))</x:f>
      </x:c>
      <x:c r="T271" s="23" t="str">
        <x:f>IF(C271="","",IFERROR(IF(P271&gt;0,3,IF(OR(INDEX('Facilities'!$AD$9:$AD$108,MATCH(C271,'Facilities'!$C$9:$C$108,0))=2,AND(R271&gt;=INDEX('Facilities'!$L$9:$L$108,MATCH(C271,'Facilities'!$C$9:$C$108,0))*Settings!$F$19,R271-INDEX('Facilities'!$L$9:$L$108,MATCH(C271,'Facilities'!$C$9:$C$108,0))&gt;=Settings!$F$20)),2,1)),"Unavailable"))</x:f>
      </x:c>
      <x:c r="U271" s="23" t="str">
        <x:f>IF(C271="","",IF(AQ271&lt;&gt;"Ready","Unavailable",IF(C271="","",O271*(1-(1-S271)/(1+INDEX('Facilities'!$K$9:$K$108,MATCH(C271,'Facilities'!$C$9:$C$108,0)))^INDEX('Facilities'!$AK$9:$AK$108,MATCH(C271,'Facilities'!$C$9:$C$108,0)))*R271/(1+INDEX('Facilities'!$K$9:$K$108,MATCH(C271,'Facilities'!$C$9:$C$108,0)))*IF(ABS(1-(1-R271)*(1-INDEX('Facilities'!$R$9:$R$108,MATCH(C271,'Facilities'!$C$9:$C$108,0)))/(1+INDEX('Facilities'!$K$9:$K$108,MATCH(C271,'Facilities'!$C$9:$C$108,0))))&lt;0.000000001,IF(T271=1,MIN(1,AJ271),AJ271),(1-((1-R271)*(1-INDEX('Facilities'!$R$9:$R$108,MATCH(C271,'Facilities'!$C$9:$C$108,0)))/(1+INDEX('Facilities'!$K$9:$K$108,MATCH(C271,'Facilities'!$C$9:$C$108,0))))^IF(T271=1,MIN(1,AJ271),AJ271))/(1-(1-R271)*(1-INDEX('Facilities'!$R$9:$R$108,MATCH(C271,'Facilities'!$C$9:$C$108,0)))/(1+INDEX('Facilities'!$K$9:$K$108,MATCH(C271,'Facilities'!$C$9:$C$108,0)))))+AL271)))</x:f>
      </x:c>
      <x:c r="V271" s="23" t="str">
        <x:f>IF(C271="","",IF(AQ271&lt;&gt;"Ready","Unavailable",IF(C271="","",Q271*INDEX('Facilities'!$I$9:$I$108,MATCH(C271,'Facilities'!$C$9:$C$108,0))*(1-(1-S271)/(1+INDEX('Facilities'!$K$9:$K$108,MATCH(C271,'Facilities'!$C$9:$C$108,0)))^INDEX('Facilities'!$AK$9:$AK$108,MATCH(C271,'Facilities'!$C$9:$C$108,0)))*R271/(1+INDEX('Facilities'!$K$9:$K$108,MATCH(C271,'Facilities'!$C$9:$C$108,0)))*IF(ABS(1-(1-R271)*(1-0)/(1+INDEX('Facilities'!$K$9:$K$108,MATCH(C271,'Facilities'!$C$9:$C$108,0))))&lt;0.000000001,IF(T271=1,MIN(1,AJ271),AJ271),(1-((1-R271)*(1-0)/(1+INDEX('Facilities'!$K$9:$K$108,MATCH(C271,'Facilities'!$C$9:$C$108,0))))^IF(T271=1,MIN(1,AJ271),AJ271))/(1-(1-R271)*(1-0)/(1+INDEX('Facilities'!$K$9:$K$108,MATCH(C271,'Facilities'!$C$9:$C$108,0))))))))</x:f>
      </x:c>
      <x:c r="W271" s="21" t="str">
        <x:f>IF(C271="","",IFERROR(U171,"Unavailable"))</x:f>
      </x:c>
      <x:c r="X271" s="21" t="str">
        <x:f>IF(C271="","",IFERROR(V171,"Unavailable"))</x:f>
      </x:c>
      <x:c r="Y271" s="21" t="str">
        <x:f>IF(C271="","",IF(AQ271&lt;&gt;"Ready","Unavailable",IF(C271="","",U271-W271+V271-X271+N271+AG271)))</x:f>
      </x:c>
      <x:c r="Z271" s="23" t="str">
        <x:f>IF(C271="","",IF(AQ271&lt;&gt;"Ready","Unavailable",IF(C271="","",(G271+O271+L271)/2*INDEX('Facilities'!$T$9:$T$108,MATCH(C271,'Facilities'!$C$9:$C$108,0))+AG271)))</x:f>
      </x:c>
      <x:c r="AA271" s="23" t="str">
        <x:f>IF(C271="","",IF(AQ271&lt;&gt;"Ready","Unavailable",IF(C271="","",O271*(1-IF(INDEX('Facilities'!$AA$9:$AA$108,MATCH(C271,'Facilities'!$C$9:$C$108,0))=0,0,MIN(1,INDEX('Facilities'!$X$9:$X$108,MATCH(C271,'Facilities'!$C$9:$C$108,0))/INDEX('Facilities'!$AA$9:$AA$108,MATCH(C271,'Facilities'!$C$9:$C$108,0)))))*AF271+P271*(1-IF(INDEX('Facilities'!$AA$9:$AA$108,MATCH(C271,'Facilities'!$C$9:$C$108,0))=0,0,MIN(1,INDEX('Facilities'!$X$9:$X$108,MATCH(C271,'Facilities'!$C$9:$C$108,0))/INDEX('Facilities'!$AA$9:$AA$108,MATCH(C271,'Facilities'!$C$9:$C$108,0)))))*INDEX('Facilities'!$AJ$9:$AJ$108,MATCH(C271,'Facilities'!$C$9:$C$108,0))+Q271*INDEX('Facilities'!$AI$9:$AI$108,MATCH(C271,'Facilities'!$C$9:$C$108,0))*AF271)))</x:f>
      </x:c>
      <x:c r="AB271" s="21" t="str">
        <x:f>IF(C271="","",O271+P271-AD271)</x:f>
      </x:c>
      <x:c r="AC271" s="23" t="str">
        <x:f>IF(C271="","",IFERROR(IF(INDEX('Facilities'!$AD$9:$AD$108,MATCH(C271,'Facilities'!$C$9:$C$108,0))=3,0,IF(INDEX('Facilities'!$AN$9:$AN$108,MATCH(C271,'Facilities'!$C$9:$C$108,0))=0,-1,INDEX('Facilities'!$AN$9:$AN$108,MATCH(C271,'Facilities'!$C$9:$C$108,0)))),"Unavailable"))</x:f>
      </x:c>
      <x:c r="AD271" s="21" t="str">
        <x:f>IF(C271="","",IFERROR(G271+H271,"Unavailable"))</x:f>
      </x:c>
      <x:c r="AE271" s="21" t="str">
        <x:f>IF(C271="","",IF(AQ271&lt;&gt;"Ready","Unavailable",IF(C271="","",O271+P271-AD271-J271+K271+M271+N271)))</x:f>
      </x:c>
      <x:c r="AF271" s="30" t="str">
        <x:f>IF(C271="","",IFERROR(INDEX('Facilities'!$S$9:$S$108,MATCH(C271,'Facilities'!$C$9:$C$108,0))*'Scenario Paths'!H75,"Unavailable"))</x:f>
      </x:c>
      <x:c r="AG271" s="23" t="str">
        <x:f>IF(C271="","",IF(AQ271&lt;&gt;"Ready","Unavailable",IF(C271="","",IF(H271&gt;0,MAX(0,H271-AK271)*((1+INDEX('Facilities'!$K$9:$K$108,MATCH(C271,'Facilities'!$C$9:$C$108,0)))^MIN(1,MAX(0,AC271+INDEX('Facilities'!$AK$9:$AK$108,MATCH(C271,'Facilities'!$C$9:$C$108,0))-D271+1))-1),0))))</x:f>
      </x:c>
      <x:c r="AH271" s="21" t="str">
        <x:f>IF(C271="","",IF(AQ271&lt;&gt;"Ready","Unavailable",IF(C271="","",O271+P271)))</x:f>
      </x:c>
      <x:c r="AI271" s="21" t="str">
        <x:f>IF(C271="","",IF(AQ271&lt;&gt;"Ready","Unavailable",IF(C271="","",Z271-Y271)))</x:f>
      </x:c>
      <x:c r="AJ271" s="23" t="str">
        <x:f>IF(C271="","",IFERROR(MAX(0,INDEX('Facilities'!$J$9:$J$108,MATCH(C271,'Facilities'!$C$9:$C$108,0))-D271),"Unavailable"))</x:f>
      </x:c>
      <x:c r="AK271" s="21" t="str">
        <x:f>IF(C271="","",IFERROR(AL171,"Unavailable"))</x:f>
      </x:c>
      <x:c r="AL271" s="23" t="str">
        <x:f>IF(C271="","",IFERROR(IF(P271&gt;0,P271*(1-AM271/(1+INDEX('Facilities'!$K$9:$K$108,MATCH(C271,'Facilities'!$C$9:$C$108,0)))^MAX(0,AC271+INDEX('Facilities'!$AK$9:$AK$108,MATCH(C271,'Facilities'!$C$9:$C$108,0))-D271)),0),"Unavailable"))</x:f>
      </x:c>
      <x:c r="AM271" s="30" t="str">
        <x:f>IF(C271="","",IFERROR(INDEX('Facilities'!$AL$9:$AL$108,MATCH(C271,'Facilities'!$C$9:$C$108,0)),"Unavailable"))</x:f>
      </x:c>
      <x:c r="AN271" s="30" t="str">
        <x:f>IF(C271="","",IFERROR(INDEX(Credit!$T$209:$T$308,MATCH(F271,Credit!$C$209:$C$308,0)),"Unavailable"))</x:f>
      </x:c>
      <x:c r="AO271" s="23" t="str">
        <x:f>IF(C271="","",IF(AQ271&lt;&gt;"Ready","Unavailable",IF(C271="","",O271+P271+Q271*INDEX('Facilities'!$I$9:$I$108,MATCH(C271,'Facilities'!$C$9:$C$108,0)))))</x:f>
      </x:c>
      <x:c r="AP271" s="21" t="str">
        <x:f>IF(C271="","",IF(AQ271&lt;&gt;"Ready","Unavailable",IF(C271="","",AH271-U271)))</x:f>
      </x:c>
      <x:c r="AQ271" s="23" t="str">
        <x:f>IFERROR(IF(C271="","",IF(AND(INDEX('Facilities'!$AF$9:$AF$108,MATCH(C271,'Facilities'!$C$9:$C$108,0))="Ready",INDEX(Credit!$U$209:$U$308,MATCH(F271,Credit!$C$209:$C$308,0))="Ready",ISNUMBER(W271)),"Ready","Review inputs")),"Review inputs")</x:f>
      </x:c>
      <x:c r="AR271" s="23" t="str">
        <x:f>IF(C271="","",IF(AQ271&lt;&gt;"Ready","Unavailable",IF(C271="","",IF(O271=0,0,(IF(AJ271&lt;=1,O271,O271*INDEX('Facilities'!$R$9:$R$108,MATCH(C271,'Facilities'!$C$9:$C$108,0)))+O271*INDEX('Facilities'!$T$9:$T$108,MATCH(C271,'Facilities'!$C$9:$C$108,0)))/12))))</x:f>
      </x:c>
    </x:row>
    <x:row r="272" ht="26" customHeight="1">
      <x:c r="A272" s="1"/>
      <x:c r="B272" s="1"/>
      <x:c r="C272" s="9" t="str">
        <x:f>IF(Facilities!C72="","",Facilities!C72)</x:f>
      </x:c>
      <x:c r="D272" s="3" t="n">
        <x:v>3</x:v>
      </x:c>
      <x:c r="E272" s="9" t="n">
        <x:f>Settings!$F$18+2</x:f>
        <x:v>2029</x:v>
      </x:c>
      <x:c r="F272" s="9" t="str">
        <x:f>IF(C272="","",IFERROR(INDEX('Facilities'!$D$9:$D$108,MATCH(C272,'Facilities'!$C$9:$C$108,0)),"Unavailable"))</x:f>
      </x:c>
      <x:c r="G272" s="21" t="str">
        <x:f>IF(C272="","",IFERROR(O172,"Unavailable"))</x:f>
      </x:c>
      <x:c r="H272" s="21" t="str">
        <x:f>IF(C272="","",IFERROR(P172,"Unavailable"))</x:f>
      </x:c>
      <x:c r="I272" s="21" t="str">
        <x:f>IF(C272="","",IFERROR(Q172,"Unavailable"))</x:f>
      </x:c>
      <x:c r="J272" s="23" t="str">
        <x:f>IF(C272="","",IFERROR(IF(OR(H272&gt;0,AND(AC272&gt;=0,AC272&lt;D272),D272&gt;INDEX('Facilities'!$J$9:$J$108,MATCH(C272,'Facilities'!$C$9:$C$108,0))),0,I272*'Scenario Paths'!H81),"Unavailable"))</x:f>
      </x:c>
      <x:c r="K272" s="23" t="str">
        <x:f>IF(C272="","",IFERROR(IF(OR(H272&gt;0,AND(AC272&gt;=0,AC272=D272)),0,IF(D272&gt;=INDEX('Facilities'!$J$9:$J$108,MATCH(C272,'Facilities'!$C$9:$C$108,0)),G272+J272,MIN(G272+J272,G272*INDEX('Facilities'!$R$9:$R$108,MATCH(C272,'Facilities'!$C$9:$C$108,0))))),"Unavailable"))</x:f>
      </x:c>
      <x:c r="L272" s="21" t="str">
        <x:f>IF(C272="","",IFERROR(IF(AND(AC272=D272,AC272&gt;0),MAX(0,G272+J272-K272),0),"Unavailable"))</x:f>
      </x:c>
      <x:c r="M272" s="23" t="str">
        <x:f>IF(C272="","",IFERROR(IF(AND(AC272&gt;=0,D272&gt;=AC272+INDEX('Facilities'!$AK$9:$AK$108,MATCH(C272,'Facilities'!$C$9:$C$108,0))),(H272+L272)*AM272,0),"Unavailable"))</x:f>
      </x:c>
      <x:c r="N272" s="23" t="str">
        <x:f>IF(C272="","",IFERROR(IF(AND(AC272&gt;=0,D272&gt;=AC272+INDEX('Facilities'!$AK$9:$AK$108,MATCH(C272,'Facilities'!$C$9:$C$108,0))),H272+L272-M272,0),"Unavailable"))</x:f>
      </x:c>
      <x:c r="O272" s="21" t="str">
        <x:f>IF(C272="","",IFERROR(MAX(0,G272+J272-K272-L272),"Unavailable"))</x:f>
      </x:c>
      <x:c r="P272" s="21" t="str">
        <x:f>IF(C272="","",IFERROR(MAX(0,H272+L272-M272-N272),"Unavailable"))</x:f>
      </x:c>
      <x:c r="Q272" s="23" t="str">
        <x:f>IF(C272="","",IFERROR(IF(OR(D272&gt;=INDEX('Facilities'!$J$9:$J$108,MATCH(C272,'Facilities'!$C$9:$C$108,0)),AND(AC272&gt;=0,AC272&lt;=D272)),0,MAX(0,I272-J272)),"Unavailable"))</x:f>
      </x:c>
      <x:c r="R272" s="30" t="str">
        <x:f>IF(C272="","",IFERROR(INDEX(Credit!$Q$209:$Q$308,MATCH(F272,Credit!$C$209:$C$308,0)),"Unavailable"))</x:f>
      </x:c>
      <x:c r="S272" s="30" t="str">
        <x:f>IF(C272="","",IFERROR(INDEX(Credit!$R$209:$R$308,MATCH(F272,Credit!$C$209:$C$308,0)),"Unavailable"))</x:f>
      </x:c>
      <x:c r="T272" s="23" t="str">
        <x:f>IF(C272="","",IFERROR(IF(P272&gt;0,3,IF(OR(INDEX('Facilities'!$AD$9:$AD$108,MATCH(C272,'Facilities'!$C$9:$C$108,0))=2,AND(R272&gt;=INDEX('Facilities'!$L$9:$L$108,MATCH(C272,'Facilities'!$C$9:$C$108,0))*Settings!$F$19,R272-INDEX('Facilities'!$L$9:$L$108,MATCH(C272,'Facilities'!$C$9:$C$108,0))&gt;=Settings!$F$20)),2,1)),"Unavailable"))</x:f>
      </x:c>
      <x:c r="U272" s="23" t="str">
        <x:f>IF(C272="","",IF(AQ272&lt;&gt;"Ready","Unavailable",IF(C272="","",O272*(1-(1-S272)/(1+INDEX('Facilities'!$K$9:$K$108,MATCH(C272,'Facilities'!$C$9:$C$108,0)))^INDEX('Facilities'!$AK$9:$AK$108,MATCH(C272,'Facilities'!$C$9:$C$108,0)))*R272/(1+INDEX('Facilities'!$K$9:$K$108,MATCH(C272,'Facilities'!$C$9:$C$108,0)))*IF(ABS(1-(1-R272)*(1-INDEX('Facilities'!$R$9:$R$108,MATCH(C272,'Facilities'!$C$9:$C$108,0)))/(1+INDEX('Facilities'!$K$9:$K$108,MATCH(C272,'Facilities'!$C$9:$C$108,0))))&lt;0.000000001,IF(T272=1,MIN(1,AJ272),AJ272),(1-((1-R272)*(1-INDEX('Facilities'!$R$9:$R$108,MATCH(C272,'Facilities'!$C$9:$C$108,0)))/(1+INDEX('Facilities'!$K$9:$K$108,MATCH(C272,'Facilities'!$C$9:$C$108,0))))^IF(T272=1,MIN(1,AJ272),AJ272))/(1-(1-R272)*(1-INDEX('Facilities'!$R$9:$R$108,MATCH(C272,'Facilities'!$C$9:$C$108,0)))/(1+INDEX('Facilities'!$K$9:$K$108,MATCH(C272,'Facilities'!$C$9:$C$108,0)))))+AL272)))</x:f>
      </x:c>
      <x:c r="V272" s="23" t="str">
        <x:f>IF(C272="","",IF(AQ272&lt;&gt;"Ready","Unavailable",IF(C272="","",Q272*INDEX('Facilities'!$I$9:$I$108,MATCH(C272,'Facilities'!$C$9:$C$108,0))*(1-(1-S272)/(1+INDEX('Facilities'!$K$9:$K$108,MATCH(C272,'Facilities'!$C$9:$C$108,0)))^INDEX('Facilities'!$AK$9:$AK$108,MATCH(C272,'Facilities'!$C$9:$C$108,0)))*R272/(1+INDEX('Facilities'!$K$9:$K$108,MATCH(C272,'Facilities'!$C$9:$C$108,0)))*IF(ABS(1-(1-R272)*(1-0)/(1+INDEX('Facilities'!$K$9:$K$108,MATCH(C272,'Facilities'!$C$9:$C$108,0))))&lt;0.000000001,IF(T272=1,MIN(1,AJ272),AJ272),(1-((1-R272)*(1-0)/(1+INDEX('Facilities'!$K$9:$K$108,MATCH(C272,'Facilities'!$C$9:$C$108,0))))^IF(T272=1,MIN(1,AJ272),AJ272))/(1-(1-R272)*(1-0)/(1+INDEX('Facilities'!$K$9:$K$108,MATCH(C272,'Facilities'!$C$9:$C$108,0))))))))</x:f>
      </x:c>
      <x:c r="W272" s="21" t="str">
        <x:f>IF(C272="","",IFERROR(U172,"Unavailable"))</x:f>
      </x:c>
      <x:c r="X272" s="21" t="str">
        <x:f>IF(C272="","",IFERROR(V172,"Unavailable"))</x:f>
      </x:c>
      <x:c r="Y272" s="21" t="str">
        <x:f>IF(C272="","",IF(AQ272&lt;&gt;"Ready","Unavailable",IF(C272="","",U272-W272+V272-X272+N272+AG272)))</x:f>
      </x:c>
      <x:c r="Z272" s="23" t="str">
        <x:f>IF(C272="","",IF(AQ272&lt;&gt;"Ready","Unavailable",IF(C272="","",(G272+O272+L272)/2*INDEX('Facilities'!$T$9:$T$108,MATCH(C272,'Facilities'!$C$9:$C$108,0))+AG272)))</x:f>
      </x:c>
      <x:c r="AA272" s="23" t="str">
        <x:f>IF(C272="","",IF(AQ272&lt;&gt;"Ready","Unavailable",IF(C272="","",O272*(1-IF(INDEX('Facilities'!$AA$9:$AA$108,MATCH(C272,'Facilities'!$C$9:$C$108,0))=0,0,MIN(1,INDEX('Facilities'!$X$9:$X$108,MATCH(C272,'Facilities'!$C$9:$C$108,0))/INDEX('Facilities'!$AA$9:$AA$108,MATCH(C272,'Facilities'!$C$9:$C$108,0)))))*AF272+P272*(1-IF(INDEX('Facilities'!$AA$9:$AA$108,MATCH(C272,'Facilities'!$C$9:$C$108,0))=0,0,MIN(1,INDEX('Facilities'!$X$9:$X$108,MATCH(C272,'Facilities'!$C$9:$C$108,0))/INDEX('Facilities'!$AA$9:$AA$108,MATCH(C272,'Facilities'!$C$9:$C$108,0)))))*INDEX('Facilities'!$AJ$9:$AJ$108,MATCH(C272,'Facilities'!$C$9:$C$108,0))+Q272*INDEX('Facilities'!$AI$9:$AI$108,MATCH(C272,'Facilities'!$C$9:$C$108,0))*AF272)))</x:f>
      </x:c>
      <x:c r="AB272" s="21" t="str">
        <x:f>IF(C272="","",O272+P272-AD272)</x:f>
      </x:c>
      <x:c r="AC272" s="23" t="str">
        <x:f>IF(C272="","",IFERROR(IF(INDEX('Facilities'!$AD$9:$AD$108,MATCH(C272,'Facilities'!$C$9:$C$108,0))=3,0,IF(INDEX('Facilities'!$AN$9:$AN$108,MATCH(C272,'Facilities'!$C$9:$C$108,0))=0,-1,INDEX('Facilities'!$AN$9:$AN$108,MATCH(C272,'Facilities'!$C$9:$C$108,0)))),"Unavailable"))</x:f>
      </x:c>
      <x:c r="AD272" s="21" t="str">
        <x:f>IF(C272="","",IFERROR(G272+H272,"Unavailable"))</x:f>
      </x:c>
      <x:c r="AE272" s="21" t="str">
        <x:f>IF(C272="","",IF(AQ272&lt;&gt;"Ready","Unavailable",IF(C272="","",O272+P272-AD272-J272+K272+M272+N272)))</x:f>
      </x:c>
      <x:c r="AF272" s="30" t="str">
        <x:f>IF(C272="","",IFERROR(INDEX('Facilities'!$S$9:$S$108,MATCH(C272,'Facilities'!$C$9:$C$108,0))*'Scenario Paths'!H75,"Unavailable"))</x:f>
      </x:c>
      <x:c r="AG272" s="23" t="str">
        <x:f>IF(C272="","",IF(AQ272&lt;&gt;"Ready","Unavailable",IF(C272="","",IF(H272&gt;0,MAX(0,H272-AK272)*((1+INDEX('Facilities'!$K$9:$K$108,MATCH(C272,'Facilities'!$C$9:$C$108,0)))^MIN(1,MAX(0,AC272+INDEX('Facilities'!$AK$9:$AK$108,MATCH(C272,'Facilities'!$C$9:$C$108,0))-D272+1))-1),0))))</x:f>
      </x:c>
      <x:c r="AH272" s="21" t="str">
        <x:f>IF(C272="","",IF(AQ272&lt;&gt;"Ready","Unavailable",IF(C272="","",O272+P272)))</x:f>
      </x:c>
      <x:c r="AI272" s="21" t="str">
        <x:f>IF(C272="","",IF(AQ272&lt;&gt;"Ready","Unavailable",IF(C272="","",Z272-Y272)))</x:f>
      </x:c>
      <x:c r="AJ272" s="23" t="str">
        <x:f>IF(C272="","",IFERROR(MAX(0,INDEX('Facilities'!$J$9:$J$108,MATCH(C272,'Facilities'!$C$9:$C$108,0))-D272),"Unavailable"))</x:f>
      </x:c>
      <x:c r="AK272" s="21" t="str">
        <x:f>IF(C272="","",IFERROR(AL172,"Unavailable"))</x:f>
      </x:c>
      <x:c r="AL272" s="23" t="str">
        <x:f>IF(C272="","",IFERROR(IF(P272&gt;0,P272*(1-AM272/(1+INDEX('Facilities'!$K$9:$K$108,MATCH(C272,'Facilities'!$C$9:$C$108,0)))^MAX(0,AC272+INDEX('Facilities'!$AK$9:$AK$108,MATCH(C272,'Facilities'!$C$9:$C$108,0))-D272)),0),"Unavailable"))</x:f>
      </x:c>
      <x:c r="AM272" s="30" t="str">
        <x:f>IF(C272="","",IFERROR(INDEX('Facilities'!$AL$9:$AL$108,MATCH(C272,'Facilities'!$C$9:$C$108,0)),"Unavailable"))</x:f>
      </x:c>
      <x:c r="AN272" s="30" t="str">
        <x:f>IF(C272="","",IFERROR(INDEX(Credit!$T$209:$T$308,MATCH(F272,Credit!$C$209:$C$308,0)),"Unavailable"))</x:f>
      </x:c>
      <x:c r="AO272" s="23" t="str">
        <x:f>IF(C272="","",IF(AQ272&lt;&gt;"Ready","Unavailable",IF(C272="","",O272+P272+Q272*INDEX('Facilities'!$I$9:$I$108,MATCH(C272,'Facilities'!$C$9:$C$108,0)))))</x:f>
      </x:c>
      <x:c r="AP272" s="21" t="str">
        <x:f>IF(C272="","",IF(AQ272&lt;&gt;"Ready","Unavailable",IF(C272="","",AH272-U272)))</x:f>
      </x:c>
      <x:c r="AQ272" s="23" t="str">
        <x:f>IFERROR(IF(C272="","",IF(AND(INDEX('Facilities'!$AF$9:$AF$108,MATCH(C272,'Facilities'!$C$9:$C$108,0))="Ready",INDEX(Credit!$U$209:$U$308,MATCH(F272,Credit!$C$209:$C$308,0))="Ready",ISNUMBER(W272)),"Ready","Review inputs")),"Review inputs")</x:f>
      </x:c>
      <x:c r="AR272" s="23" t="str">
        <x:f>IF(C272="","",IF(AQ272&lt;&gt;"Ready","Unavailable",IF(C272="","",IF(O272=0,0,(IF(AJ272&lt;=1,O272,O272*INDEX('Facilities'!$R$9:$R$108,MATCH(C272,'Facilities'!$C$9:$C$108,0)))+O272*INDEX('Facilities'!$T$9:$T$108,MATCH(C272,'Facilities'!$C$9:$C$108,0)))/12))))</x:f>
      </x:c>
    </x:row>
    <x:row r="273" ht="26" customHeight="1">
      <x:c r="A273" s="1"/>
      <x:c r="B273" s="1"/>
      <x:c r="C273" s="9" t="str">
        <x:f>IF(Facilities!C73="","",Facilities!C73)</x:f>
      </x:c>
      <x:c r="D273" s="3" t="n">
        <x:v>3</x:v>
      </x:c>
      <x:c r="E273" s="9" t="n">
        <x:f>Settings!$F$18+2</x:f>
        <x:v>2029</x:v>
      </x:c>
      <x:c r="F273" s="9" t="str">
        <x:f>IF(C273="","",IFERROR(INDEX('Facilities'!$D$9:$D$108,MATCH(C273,'Facilities'!$C$9:$C$108,0)),"Unavailable"))</x:f>
      </x:c>
      <x:c r="G273" s="21" t="str">
        <x:f>IF(C273="","",IFERROR(O173,"Unavailable"))</x:f>
      </x:c>
      <x:c r="H273" s="21" t="str">
        <x:f>IF(C273="","",IFERROR(P173,"Unavailable"))</x:f>
      </x:c>
      <x:c r="I273" s="21" t="str">
        <x:f>IF(C273="","",IFERROR(Q173,"Unavailable"))</x:f>
      </x:c>
      <x:c r="J273" s="23" t="str">
        <x:f>IF(C273="","",IFERROR(IF(OR(H273&gt;0,AND(AC273&gt;=0,AC273&lt;D273),D273&gt;INDEX('Facilities'!$J$9:$J$108,MATCH(C273,'Facilities'!$C$9:$C$108,0))),0,I273*'Scenario Paths'!H81),"Unavailable"))</x:f>
      </x:c>
      <x:c r="K273" s="23" t="str">
        <x:f>IF(C273="","",IFERROR(IF(OR(H273&gt;0,AND(AC273&gt;=0,AC273=D273)),0,IF(D273&gt;=INDEX('Facilities'!$J$9:$J$108,MATCH(C273,'Facilities'!$C$9:$C$108,0)),G273+J273,MIN(G273+J273,G273*INDEX('Facilities'!$R$9:$R$108,MATCH(C273,'Facilities'!$C$9:$C$108,0))))),"Unavailable"))</x:f>
      </x:c>
      <x:c r="L273" s="21" t="str">
        <x:f>IF(C273="","",IFERROR(IF(AND(AC273=D273,AC273&gt;0),MAX(0,G273+J273-K273),0),"Unavailable"))</x:f>
      </x:c>
      <x:c r="M273" s="23" t="str">
        <x:f>IF(C273="","",IFERROR(IF(AND(AC273&gt;=0,D273&gt;=AC273+INDEX('Facilities'!$AK$9:$AK$108,MATCH(C273,'Facilities'!$C$9:$C$108,0))),(H273+L273)*AM273,0),"Unavailable"))</x:f>
      </x:c>
      <x:c r="N273" s="23" t="str">
        <x:f>IF(C273="","",IFERROR(IF(AND(AC273&gt;=0,D273&gt;=AC273+INDEX('Facilities'!$AK$9:$AK$108,MATCH(C273,'Facilities'!$C$9:$C$108,0))),H273+L273-M273,0),"Unavailable"))</x:f>
      </x:c>
      <x:c r="O273" s="21" t="str">
        <x:f>IF(C273="","",IFERROR(MAX(0,G273+J273-K273-L273),"Unavailable"))</x:f>
      </x:c>
      <x:c r="P273" s="21" t="str">
        <x:f>IF(C273="","",IFERROR(MAX(0,H273+L273-M273-N273),"Unavailable"))</x:f>
      </x:c>
      <x:c r="Q273" s="23" t="str">
        <x:f>IF(C273="","",IFERROR(IF(OR(D273&gt;=INDEX('Facilities'!$J$9:$J$108,MATCH(C273,'Facilities'!$C$9:$C$108,0)),AND(AC273&gt;=0,AC273&lt;=D273)),0,MAX(0,I273-J273)),"Unavailable"))</x:f>
      </x:c>
      <x:c r="R273" s="30" t="str">
        <x:f>IF(C273="","",IFERROR(INDEX(Credit!$Q$209:$Q$308,MATCH(F273,Credit!$C$209:$C$308,0)),"Unavailable"))</x:f>
      </x:c>
      <x:c r="S273" s="30" t="str">
        <x:f>IF(C273="","",IFERROR(INDEX(Credit!$R$209:$R$308,MATCH(F273,Credit!$C$209:$C$308,0)),"Unavailable"))</x:f>
      </x:c>
      <x:c r="T273" s="23" t="str">
        <x:f>IF(C273="","",IFERROR(IF(P273&gt;0,3,IF(OR(INDEX('Facilities'!$AD$9:$AD$108,MATCH(C273,'Facilities'!$C$9:$C$108,0))=2,AND(R273&gt;=INDEX('Facilities'!$L$9:$L$108,MATCH(C273,'Facilities'!$C$9:$C$108,0))*Settings!$F$19,R273-INDEX('Facilities'!$L$9:$L$108,MATCH(C273,'Facilities'!$C$9:$C$108,0))&gt;=Settings!$F$20)),2,1)),"Unavailable"))</x:f>
      </x:c>
      <x:c r="U273" s="23" t="str">
        <x:f>IF(C273="","",IF(AQ273&lt;&gt;"Ready","Unavailable",IF(C273="","",O273*(1-(1-S273)/(1+INDEX('Facilities'!$K$9:$K$108,MATCH(C273,'Facilities'!$C$9:$C$108,0)))^INDEX('Facilities'!$AK$9:$AK$108,MATCH(C273,'Facilities'!$C$9:$C$108,0)))*R273/(1+INDEX('Facilities'!$K$9:$K$108,MATCH(C273,'Facilities'!$C$9:$C$108,0)))*IF(ABS(1-(1-R273)*(1-INDEX('Facilities'!$R$9:$R$108,MATCH(C273,'Facilities'!$C$9:$C$108,0)))/(1+INDEX('Facilities'!$K$9:$K$108,MATCH(C273,'Facilities'!$C$9:$C$108,0))))&lt;0.000000001,IF(T273=1,MIN(1,AJ273),AJ273),(1-((1-R273)*(1-INDEX('Facilities'!$R$9:$R$108,MATCH(C273,'Facilities'!$C$9:$C$108,0)))/(1+INDEX('Facilities'!$K$9:$K$108,MATCH(C273,'Facilities'!$C$9:$C$108,0))))^IF(T273=1,MIN(1,AJ273),AJ273))/(1-(1-R273)*(1-INDEX('Facilities'!$R$9:$R$108,MATCH(C273,'Facilities'!$C$9:$C$108,0)))/(1+INDEX('Facilities'!$K$9:$K$108,MATCH(C273,'Facilities'!$C$9:$C$108,0)))))+AL273)))</x:f>
      </x:c>
      <x:c r="V273" s="23" t="str">
        <x:f>IF(C273="","",IF(AQ273&lt;&gt;"Ready","Unavailable",IF(C273="","",Q273*INDEX('Facilities'!$I$9:$I$108,MATCH(C273,'Facilities'!$C$9:$C$108,0))*(1-(1-S273)/(1+INDEX('Facilities'!$K$9:$K$108,MATCH(C273,'Facilities'!$C$9:$C$108,0)))^INDEX('Facilities'!$AK$9:$AK$108,MATCH(C273,'Facilities'!$C$9:$C$108,0)))*R273/(1+INDEX('Facilities'!$K$9:$K$108,MATCH(C273,'Facilities'!$C$9:$C$108,0)))*IF(ABS(1-(1-R273)*(1-0)/(1+INDEX('Facilities'!$K$9:$K$108,MATCH(C273,'Facilities'!$C$9:$C$108,0))))&lt;0.000000001,IF(T273=1,MIN(1,AJ273),AJ273),(1-((1-R273)*(1-0)/(1+INDEX('Facilities'!$K$9:$K$108,MATCH(C273,'Facilities'!$C$9:$C$108,0))))^IF(T273=1,MIN(1,AJ273),AJ273))/(1-(1-R273)*(1-0)/(1+INDEX('Facilities'!$K$9:$K$108,MATCH(C273,'Facilities'!$C$9:$C$108,0))))))))</x:f>
      </x:c>
      <x:c r="W273" s="21" t="str">
        <x:f>IF(C273="","",IFERROR(U173,"Unavailable"))</x:f>
      </x:c>
      <x:c r="X273" s="21" t="str">
        <x:f>IF(C273="","",IFERROR(V173,"Unavailable"))</x:f>
      </x:c>
      <x:c r="Y273" s="21" t="str">
        <x:f>IF(C273="","",IF(AQ273&lt;&gt;"Ready","Unavailable",IF(C273="","",U273-W273+V273-X273+N273+AG273)))</x:f>
      </x:c>
      <x:c r="Z273" s="23" t="str">
        <x:f>IF(C273="","",IF(AQ273&lt;&gt;"Ready","Unavailable",IF(C273="","",(G273+O273+L273)/2*INDEX('Facilities'!$T$9:$T$108,MATCH(C273,'Facilities'!$C$9:$C$108,0))+AG273)))</x:f>
      </x:c>
      <x:c r="AA273" s="23" t="str">
        <x:f>IF(C273="","",IF(AQ273&lt;&gt;"Ready","Unavailable",IF(C273="","",O273*(1-IF(INDEX('Facilities'!$AA$9:$AA$108,MATCH(C273,'Facilities'!$C$9:$C$108,0))=0,0,MIN(1,INDEX('Facilities'!$X$9:$X$108,MATCH(C273,'Facilities'!$C$9:$C$108,0))/INDEX('Facilities'!$AA$9:$AA$108,MATCH(C273,'Facilities'!$C$9:$C$108,0)))))*AF273+P273*(1-IF(INDEX('Facilities'!$AA$9:$AA$108,MATCH(C273,'Facilities'!$C$9:$C$108,0))=0,0,MIN(1,INDEX('Facilities'!$X$9:$X$108,MATCH(C273,'Facilities'!$C$9:$C$108,0))/INDEX('Facilities'!$AA$9:$AA$108,MATCH(C273,'Facilities'!$C$9:$C$108,0)))))*INDEX('Facilities'!$AJ$9:$AJ$108,MATCH(C273,'Facilities'!$C$9:$C$108,0))+Q273*INDEX('Facilities'!$AI$9:$AI$108,MATCH(C273,'Facilities'!$C$9:$C$108,0))*AF273)))</x:f>
      </x:c>
      <x:c r="AB273" s="21" t="str">
        <x:f>IF(C273="","",O273+P273-AD273)</x:f>
      </x:c>
      <x:c r="AC273" s="23" t="str">
        <x:f>IF(C273="","",IFERROR(IF(INDEX('Facilities'!$AD$9:$AD$108,MATCH(C273,'Facilities'!$C$9:$C$108,0))=3,0,IF(INDEX('Facilities'!$AN$9:$AN$108,MATCH(C273,'Facilities'!$C$9:$C$108,0))=0,-1,INDEX('Facilities'!$AN$9:$AN$108,MATCH(C273,'Facilities'!$C$9:$C$108,0)))),"Unavailable"))</x:f>
      </x:c>
      <x:c r="AD273" s="21" t="str">
        <x:f>IF(C273="","",IFERROR(G273+H273,"Unavailable"))</x:f>
      </x:c>
      <x:c r="AE273" s="21" t="str">
        <x:f>IF(C273="","",IF(AQ273&lt;&gt;"Ready","Unavailable",IF(C273="","",O273+P273-AD273-J273+K273+M273+N273)))</x:f>
      </x:c>
      <x:c r="AF273" s="30" t="str">
        <x:f>IF(C273="","",IFERROR(INDEX('Facilities'!$S$9:$S$108,MATCH(C273,'Facilities'!$C$9:$C$108,0))*'Scenario Paths'!H75,"Unavailable"))</x:f>
      </x:c>
      <x:c r="AG273" s="23" t="str">
        <x:f>IF(C273="","",IF(AQ273&lt;&gt;"Ready","Unavailable",IF(C273="","",IF(H273&gt;0,MAX(0,H273-AK273)*((1+INDEX('Facilities'!$K$9:$K$108,MATCH(C273,'Facilities'!$C$9:$C$108,0)))^MIN(1,MAX(0,AC273+INDEX('Facilities'!$AK$9:$AK$108,MATCH(C273,'Facilities'!$C$9:$C$108,0))-D273+1))-1),0))))</x:f>
      </x:c>
      <x:c r="AH273" s="21" t="str">
        <x:f>IF(C273="","",IF(AQ273&lt;&gt;"Ready","Unavailable",IF(C273="","",O273+P273)))</x:f>
      </x:c>
      <x:c r="AI273" s="21" t="str">
        <x:f>IF(C273="","",IF(AQ273&lt;&gt;"Ready","Unavailable",IF(C273="","",Z273-Y273)))</x:f>
      </x:c>
      <x:c r="AJ273" s="23" t="str">
        <x:f>IF(C273="","",IFERROR(MAX(0,INDEX('Facilities'!$J$9:$J$108,MATCH(C273,'Facilities'!$C$9:$C$108,0))-D273),"Unavailable"))</x:f>
      </x:c>
      <x:c r="AK273" s="21" t="str">
        <x:f>IF(C273="","",IFERROR(AL173,"Unavailable"))</x:f>
      </x:c>
      <x:c r="AL273" s="23" t="str">
        <x:f>IF(C273="","",IFERROR(IF(P273&gt;0,P273*(1-AM273/(1+INDEX('Facilities'!$K$9:$K$108,MATCH(C273,'Facilities'!$C$9:$C$108,0)))^MAX(0,AC273+INDEX('Facilities'!$AK$9:$AK$108,MATCH(C273,'Facilities'!$C$9:$C$108,0))-D273)),0),"Unavailable"))</x:f>
      </x:c>
      <x:c r="AM273" s="30" t="str">
        <x:f>IF(C273="","",IFERROR(INDEX('Facilities'!$AL$9:$AL$108,MATCH(C273,'Facilities'!$C$9:$C$108,0)),"Unavailable"))</x:f>
      </x:c>
      <x:c r="AN273" s="30" t="str">
        <x:f>IF(C273="","",IFERROR(INDEX(Credit!$T$209:$T$308,MATCH(F273,Credit!$C$209:$C$308,0)),"Unavailable"))</x:f>
      </x:c>
      <x:c r="AO273" s="23" t="str">
        <x:f>IF(C273="","",IF(AQ273&lt;&gt;"Ready","Unavailable",IF(C273="","",O273+P273+Q273*INDEX('Facilities'!$I$9:$I$108,MATCH(C273,'Facilities'!$C$9:$C$108,0)))))</x:f>
      </x:c>
      <x:c r="AP273" s="21" t="str">
        <x:f>IF(C273="","",IF(AQ273&lt;&gt;"Ready","Unavailable",IF(C273="","",AH273-U273)))</x:f>
      </x:c>
      <x:c r="AQ273" s="23" t="str">
        <x:f>IFERROR(IF(C273="","",IF(AND(INDEX('Facilities'!$AF$9:$AF$108,MATCH(C273,'Facilities'!$C$9:$C$108,0))="Ready",INDEX(Credit!$U$209:$U$308,MATCH(F273,Credit!$C$209:$C$308,0))="Ready",ISNUMBER(W273)),"Ready","Review inputs")),"Review inputs")</x:f>
      </x:c>
      <x:c r="AR273" s="23" t="str">
        <x:f>IF(C273="","",IF(AQ273&lt;&gt;"Ready","Unavailable",IF(C273="","",IF(O273=0,0,(IF(AJ273&lt;=1,O273,O273*INDEX('Facilities'!$R$9:$R$108,MATCH(C273,'Facilities'!$C$9:$C$108,0)))+O273*INDEX('Facilities'!$T$9:$T$108,MATCH(C273,'Facilities'!$C$9:$C$108,0)))/12))))</x:f>
      </x:c>
    </x:row>
    <x:row r="274" ht="26" customHeight="1">
      <x:c r="A274" s="1"/>
      <x:c r="B274" s="1"/>
      <x:c r="C274" s="9" t="str">
        <x:f>IF(Facilities!C74="","",Facilities!C74)</x:f>
      </x:c>
      <x:c r="D274" s="3" t="n">
        <x:v>3</x:v>
      </x:c>
      <x:c r="E274" s="9" t="n">
        <x:f>Settings!$F$18+2</x:f>
        <x:v>2029</x:v>
      </x:c>
      <x:c r="F274" s="9" t="str">
        <x:f>IF(C274="","",IFERROR(INDEX('Facilities'!$D$9:$D$108,MATCH(C274,'Facilities'!$C$9:$C$108,0)),"Unavailable"))</x:f>
      </x:c>
      <x:c r="G274" s="21" t="str">
        <x:f>IF(C274="","",IFERROR(O174,"Unavailable"))</x:f>
      </x:c>
      <x:c r="H274" s="21" t="str">
        <x:f>IF(C274="","",IFERROR(P174,"Unavailable"))</x:f>
      </x:c>
      <x:c r="I274" s="21" t="str">
        <x:f>IF(C274="","",IFERROR(Q174,"Unavailable"))</x:f>
      </x:c>
      <x:c r="J274" s="23" t="str">
        <x:f>IF(C274="","",IFERROR(IF(OR(H274&gt;0,AND(AC274&gt;=0,AC274&lt;D274),D274&gt;INDEX('Facilities'!$J$9:$J$108,MATCH(C274,'Facilities'!$C$9:$C$108,0))),0,I274*'Scenario Paths'!H81),"Unavailable"))</x:f>
      </x:c>
      <x:c r="K274" s="23" t="str">
        <x:f>IF(C274="","",IFERROR(IF(OR(H274&gt;0,AND(AC274&gt;=0,AC274=D274)),0,IF(D274&gt;=INDEX('Facilities'!$J$9:$J$108,MATCH(C274,'Facilities'!$C$9:$C$108,0)),G274+J274,MIN(G274+J274,G274*INDEX('Facilities'!$R$9:$R$108,MATCH(C274,'Facilities'!$C$9:$C$108,0))))),"Unavailable"))</x:f>
      </x:c>
      <x:c r="L274" s="21" t="str">
        <x:f>IF(C274="","",IFERROR(IF(AND(AC274=D274,AC274&gt;0),MAX(0,G274+J274-K274),0),"Unavailable"))</x:f>
      </x:c>
      <x:c r="M274" s="23" t="str">
        <x:f>IF(C274="","",IFERROR(IF(AND(AC274&gt;=0,D274&gt;=AC274+INDEX('Facilities'!$AK$9:$AK$108,MATCH(C274,'Facilities'!$C$9:$C$108,0))),(H274+L274)*AM274,0),"Unavailable"))</x:f>
      </x:c>
      <x:c r="N274" s="23" t="str">
        <x:f>IF(C274="","",IFERROR(IF(AND(AC274&gt;=0,D274&gt;=AC274+INDEX('Facilities'!$AK$9:$AK$108,MATCH(C274,'Facilities'!$C$9:$C$108,0))),H274+L274-M274,0),"Unavailable"))</x:f>
      </x:c>
      <x:c r="O274" s="21" t="str">
        <x:f>IF(C274="","",IFERROR(MAX(0,G274+J274-K274-L274),"Unavailable"))</x:f>
      </x:c>
      <x:c r="P274" s="21" t="str">
        <x:f>IF(C274="","",IFERROR(MAX(0,H274+L274-M274-N274),"Unavailable"))</x:f>
      </x:c>
      <x:c r="Q274" s="23" t="str">
        <x:f>IF(C274="","",IFERROR(IF(OR(D274&gt;=INDEX('Facilities'!$J$9:$J$108,MATCH(C274,'Facilities'!$C$9:$C$108,0)),AND(AC274&gt;=0,AC274&lt;=D274)),0,MAX(0,I274-J274)),"Unavailable"))</x:f>
      </x:c>
      <x:c r="R274" s="30" t="str">
        <x:f>IF(C274="","",IFERROR(INDEX(Credit!$Q$209:$Q$308,MATCH(F274,Credit!$C$209:$C$308,0)),"Unavailable"))</x:f>
      </x:c>
      <x:c r="S274" s="30" t="str">
        <x:f>IF(C274="","",IFERROR(INDEX(Credit!$R$209:$R$308,MATCH(F274,Credit!$C$209:$C$308,0)),"Unavailable"))</x:f>
      </x:c>
      <x:c r="T274" s="23" t="str">
        <x:f>IF(C274="","",IFERROR(IF(P274&gt;0,3,IF(OR(INDEX('Facilities'!$AD$9:$AD$108,MATCH(C274,'Facilities'!$C$9:$C$108,0))=2,AND(R274&gt;=INDEX('Facilities'!$L$9:$L$108,MATCH(C274,'Facilities'!$C$9:$C$108,0))*Settings!$F$19,R274-INDEX('Facilities'!$L$9:$L$108,MATCH(C274,'Facilities'!$C$9:$C$108,0))&gt;=Settings!$F$20)),2,1)),"Unavailable"))</x:f>
      </x:c>
      <x:c r="U274" s="23" t="str">
        <x:f>IF(C274="","",IF(AQ274&lt;&gt;"Ready","Unavailable",IF(C274="","",O274*(1-(1-S274)/(1+INDEX('Facilities'!$K$9:$K$108,MATCH(C274,'Facilities'!$C$9:$C$108,0)))^INDEX('Facilities'!$AK$9:$AK$108,MATCH(C274,'Facilities'!$C$9:$C$108,0)))*R274/(1+INDEX('Facilities'!$K$9:$K$108,MATCH(C274,'Facilities'!$C$9:$C$108,0)))*IF(ABS(1-(1-R274)*(1-INDEX('Facilities'!$R$9:$R$108,MATCH(C274,'Facilities'!$C$9:$C$108,0)))/(1+INDEX('Facilities'!$K$9:$K$108,MATCH(C274,'Facilities'!$C$9:$C$108,0))))&lt;0.000000001,IF(T274=1,MIN(1,AJ274),AJ274),(1-((1-R274)*(1-INDEX('Facilities'!$R$9:$R$108,MATCH(C274,'Facilities'!$C$9:$C$108,0)))/(1+INDEX('Facilities'!$K$9:$K$108,MATCH(C274,'Facilities'!$C$9:$C$108,0))))^IF(T274=1,MIN(1,AJ274),AJ274))/(1-(1-R274)*(1-INDEX('Facilities'!$R$9:$R$108,MATCH(C274,'Facilities'!$C$9:$C$108,0)))/(1+INDEX('Facilities'!$K$9:$K$108,MATCH(C274,'Facilities'!$C$9:$C$108,0)))))+AL274)))</x:f>
      </x:c>
      <x:c r="V274" s="23" t="str">
        <x:f>IF(C274="","",IF(AQ274&lt;&gt;"Ready","Unavailable",IF(C274="","",Q274*INDEX('Facilities'!$I$9:$I$108,MATCH(C274,'Facilities'!$C$9:$C$108,0))*(1-(1-S274)/(1+INDEX('Facilities'!$K$9:$K$108,MATCH(C274,'Facilities'!$C$9:$C$108,0)))^INDEX('Facilities'!$AK$9:$AK$108,MATCH(C274,'Facilities'!$C$9:$C$108,0)))*R274/(1+INDEX('Facilities'!$K$9:$K$108,MATCH(C274,'Facilities'!$C$9:$C$108,0)))*IF(ABS(1-(1-R274)*(1-0)/(1+INDEX('Facilities'!$K$9:$K$108,MATCH(C274,'Facilities'!$C$9:$C$108,0))))&lt;0.000000001,IF(T274=1,MIN(1,AJ274),AJ274),(1-((1-R274)*(1-0)/(1+INDEX('Facilities'!$K$9:$K$108,MATCH(C274,'Facilities'!$C$9:$C$108,0))))^IF(T274=1,MIN(1,AJ274),AJ274))/(1-(1-R274)*(1-0)/(1+INDEX('Facilities'!$K$9:$K$108,MATCH(C274,'Facilities'!$C$9:$C$108,0))))))))</x:f>
      </x:c>
      <x:c r="W274" s="21" t="str">
        <x:f>IF(C274="","",IFERROR(U174,"Unavailable"))</x:f>
      </x:c>
      <x:c r="X274" s="21" t="str">
        <x:f>IF(C274="","",IFERROR(V174,"Unavailable"))</x:f>
      </x:c>
      <x:c r="Y274" s="21" t="str">
        <x:f>IF(C274="","",IF(AQ274&lt;&gt;"Ready","Unavailable",IF(C274="","",U274-W274+V274-X274+N274+AG274)))</x:f>
      </x:c>
      <x:c r="Z274" s="23" t="str">
        <x:f>IF(C274="","",IF(AQ274&lt;&gt;"Ready","Unavailable",IF(C274="","",(G274+O274+L274)/2*INDEX('Facilities'!$T$9:$T$108,MATCH(C274,'Facilities'!$C$9:$C$108,0))+AG274)))</x:f>
      </x:c>
      <x:c r="AA274" s="23" t="str">
        <x:f>IF(C274="","",IF(AQ274&lt;&gt;"Ready","Unavailable",IF(C274="","",O274*(1-IF(INDEX('Facilities'!$AA$9:$AA$108,MATCH(C274,'Facilities'!$C$9:$C$108,0))=0,0,MIN(1,INDEX('Facilities'!$X$9:$X$108,MATCH(C274,'Facilities'!$C$9:$C$108,0))/INDEX('Facilities'!$AA$9:$AA$108,MATCH(C274,'Facilities'!$C$9:$C$108,0)))))*AF274+P274*(1-IF(INDEX('Facilities'!$AA$9:$AA$108,MATCH(C274,'Facilities'!$C$9:$C$108,0))=0,0,MIN(1,INDEX('Facilities'!$X$9:$X$108,MATCH(C274,'Facilities'!$C$9:$C$108,0))/INDEX('Facilities'!$AA$9:$AA$108,MATCH(C274,'Facilities'!$C$9:$C$108,0)))))*INDEX('Facilities'!$AJ$9:$AJ$108,MATCH(C274,'Facilities'!$C$9:$C$108,0))+Q274*INDEX('Facilities'!$AI$9:$AI$108,MATCH(C274,'Facilities'!$C$9:$C$108,0))*AF274)))</x:f>
      </x:c>
      <x:c r="AB274" s="21" t="str">
        <x:f>IF(C274="","",O274+P274-AD274)</x:f>
      </x:c>
      <x:c r="AC274" s="23" t="str">
        <x:f>IF(C274="","",IFERROR(IF(INDEX('Facilities'!$AD$9:$AD$108,MATCH(C274,'Facilities'!$C$9:$C$108,0))=3,0,IF(INDEX('Facilities'!$AN$9:$AN$108,MATCH(C274,'Facilities'!$C$9:$C$108,0))=0,-1,INDEX('Facilities'!$AN$9:$AN$108,MATCH(C274,'Facilities'!$C$9:$C$108,0)))),"Unavailable"))</x:f>
      </x:c>
      <x:c r="AD274" s="21" t="str">
        <x:f>IF(C274="","",IFERROR(G274+H274,"Unavailable"))</x:f>
      </x:c>
      <x:c r="AE274" s="21" t="str">
        <x:f>IF(C274="","",IF(AQ274&lt;&gt;"Ready","Unavailable",IF(C274="","",O274+P274-AD274-J274+K274+M274+N274)))</x:f>
      </x:c>
      <x:c r="AF274" s="30" t="str">
        <x:f>IF(C274="","",IFERROR(INDEX('Facilities'!$S$9:$S$108,MATCH(C274,'Facilities'!$C$9:$C$108,0))*'Scenario Paths'!H75,"Unavailable"))</x:f>
      </x:c>
      <x:c r="AG274" s="23" t="str">
        <x:f>IF(C274="","",IF(AQ274&lt;&gt;"Ready","Unavailable",IF(C274="","",IF(H274&gt;0,MAX(0,H274-AK274)*((1+INDEX('Facilities'!$K$9:$K$108,MATCH(C274,'Facilities'!$C$9:$C$108,0)))^MIN(1,MAX(0,AC274+INDEX('Facilities'!$AK$9:$AK$108,MATCH(C274,'Facilities'!$C$9:$C$108,0))-D274+1))-1),0))))</x:f>
      </x:c>
      <x:c r="AH274" s="21" t="str">
        <x:f>IF(C274="","",IF(AQ274&lt;&gt;"Ready","Unavailable",IF(C274="","",O274+P274)))</x:f>
      </x:c>
      <x:c r="AI274" s="21" t="str">
        <x:f>IF(C274="","",IF(AQ274&lt;&gt;"Ready","Unavailable",IF(C274="","",Z274-Y274)))</x:f>
      </x:c>
      <x:c r="AJ274" s="23" t="str">
        <x:f>IF(C274="","",IFERROR(MAX(0,INDEX('Facilities'!$J$9:$J$108,MATCH(C274,'Facilities'!$C$9:$C$108,0))-D274),"Unavailable"))</x:f>
      </x:c>
      <x:c r="AK274" s="21" t="str">
        <x:f>IF(C274="","",IFERROR(AL174,"Unavailable"))</x:f>
      </x:c>
      <x:c r="AL274" s="23" t="str">
        <x:f>IF(C274="","",IFERROR(IF(P274&gt;0,P274*(1-AM274/(1+INDEX('Facilities'!$K$9:$K$108,MATCH(C274,'Facilities'!$C$9:$C$108,0)))^MAX(0,AC274+INDEX('Facilities'!$AK$9:$AK$108,MATCH(C274,'Facilities'!$C$9:$C$108,0))-D274)),0),"Unavailable"))</x:f>
      </x:c>
      <x:c r="AM274" s="30" t="str">
        <x:f>IF(C274="","",IFERROR(INDEX('Facilities'!$AL$9:$AL$108,MATCH(C274,'Facilities'!$C$9:$C$108,0)),"Unavailable"))</x:f>
      </x:c>
      <x:c r="AN274" s="30" t="str">
        <x:f>IF(C274="","",IFERROR(INDEX(Credit!$T$209:$T$308,MATCH(F274,Credit!$C$209:$C$308,0)),"Unavailable"))</x:f>
      </x:c>
      <x:c r="AO274" s="23" t="str">
        <x:f>IF(C274="","",IF(AQ274&lt;&gt;"Ready","Unavailable",IF(C274="","",O274+P274+Q274*INDEX('Facilities'!$I$9:$I$108,MATCH(C274,'Facilities'!$C$9:$C$108,0)))))</x:f>
      </x:c>
      <x:c r="AP274" s="21" t="str">
        <x:f>IF(C274="","",IF(AQ274&lt;&gt;"Ready","Unavailable",IF(C274="","",AH274-U274)))</x:f>
      </x:c>
      <x:c r="AQ274" s="23" t="str">
        <x:f>IFERROR(IF(C274="","",IF(AND(INDEX('Facilities'!$AF$9:$AF$108,MATCH(C274,'Facilities'!$C$9:$C$108,0))="Ready",INDEX(Credit!$U$209:$U$308,MATCH(F274,Credit!$C$209:$C$308,0))="Ready",ISNUMBER(W274)),"Ready","Review inputs")),"Review inputs")</x:f>
      </x:c>
      <x:c r="AR274" s="23" t="str">
        <x:f>IF(C274="","",IF(AQ274&lt;&gt;"Ready","Unavailable",IF(C274="","",IF(O274=0,0,(IF(AJ274&lt;=1,O274,O274*INDEX('Facilities'!$R$9:$R$108,MATCH(C274,'Facilities'!$C$9:$C$108,0)))+O274*INDEX('Facilities'!$T$9:$T$108,MATCH(C274,'Facilities'!$C$9:$C$108,0)))/12))))</x:f>
      </x:c>
    </x:row>
    <x:row r="275" ht="26" customHeight="1">
      <x:c r="A275" s="1"/>
      <x:c r="B275" s="1"/>
      <x:c r="C275" s="9" t="str">
        <x:f>IF(Facilities!C75="","",Facilities!C75)</x:f>
      </x:c>
      <x:c r="D275" s="3" t="n">
        <x:v>3</x:v>
      </x:c>
      <x:c r="E275" s="9" t="n">
        <x:f>Settings!$F$18+2</x:f>
        <x:v>2029</x:v>
      </x:c>
      <x:c r="F275" s="9" t="str">
        <x:f>IF(C275="","",IFERROR(INDEX('Facilities'!$D$9:$D$108,MATCH(C275,'Facilities'!$C$9:$C$108,0)),"Unavailable"))</x:f>
      </x:c>
      <x:c r="G275" s="21" t="str">
        <x:f>IF(C275="","",IFERROR(O175,"Unavailable"))</x:f>
      </x:c>
      <x:c r="H275" s="21" t="str">
        <x:f>IF(C275="","",IFERROR(P175,"Unavailable"))</x:f>
      </x:c>
      <x:c r="I275" s="21" t="str">
        <x:f>IF(C275="","",IFERROR(Q175,"Unavailable"))</x:f>
      </x:c>
      <x:c r="J275" s="23" t="str">
        <x:f>IF(C275="","",IFERROR(IF(OR(H275&gt;0,AND(AC275&gt;=0,AC275&lt;D275),D275&gt;INDEX('Facilities'!$J$9:$J$108,MATCH(C275,'Facilities'!$C$9:$C$108,0))),0,I275*'Scenario Paths'!H81),"Unavailable"))</x:f>
      </x:c>
      <x:c r="K275" s="23" t="str">
        <x:f>IF(C275="","",IFERROR(IF(OR(H275&gt;0,AND(AC275&gt;=0,AC275=D275)),0,IF(D275&gt;=INDEX('Facilities'!$J$9:$J$108,MATCH(C275,'Facilities'!$C$9:$C$108,0)),G275+J275,MIN(G275+J275,G275*INDEX('Facilities'!$R$9:$R$108,MATCH(C275,'Facilities'!$C$9:$C$108,0))))),"Unavailable"))</x:f>
      </x:c>
      <x:c r="L275" s="21" t="str">
        <x:f>IF(C275="","",IFERROR(IF(AND(AC275=D275,AC275&gt;0),MAX(0,G275+J275-K275),0),"Unavailable"))</x:f>
      </x:c>
      <x:c r="M275" s="23" t="str">
        <x:f>IF(C275="","",IFERROR(IF(AND(AC275&gt;=0,D275&gt;=AC275+INDEX('Facilities'!$AK$9:$AK$108,MATCH(C275,'Facilities'!$C$9:$C$108,0))),(H275+L275)*AM275,0),"Unavailable"))</x:f>
      </x:c>
      <x:c r="N275" s="23" t="str">
        <x:f>IF(C275="","",IFERROR(IF(AND(AC275&gt;=0,D275&gt;=AC275+INDEX('Facilities'!$AK$9:$AK$108,MATCH(C275,'Facilities'!$C$9:$C$108,0))),H275+L275-M275,0),"Unavailable"))</x:f>
      </x:c>
      <x:c r="O275" s="21" t="str">
        <x:f>IF(C275="","",IFERROR(MAX(0,G275+J275-K275-L275),"Unavailable"))</x:f>
      </x:c>
      <x:c r="P275" s="21" t="str">
        <x:f>IF(C275="","",IFERROR(MAX(0,H275+L275-M275-N275),"Unavailable"))</x:f>
      </x:c>
      <x:c r="Q275" s="23" t="str">
        <x:f>IF(C275="","",IFERROR(IF(OR(D275&gt;=INDEX('Facilities'!$J$9:$J$108,MATCH(C275,'Facilities'!$C$9:$C$108,0)),AND(AC275&gt;=0,AC275&lt;=D275)),0,MAX(0,I275-J275)),"Unavailable"))</x:f>
      </x:c>
      <x:c r="R275" s="30" t="str">
        <x:f>IF(C275="","",IFERROR(INDEX(Credit!$Q$209:$Q$308,MATCH(F275,Credit!$C$209:$C$308,0)),"Unavailable"))</x:f>
      </x:c>
      <x:c r="S275" s="30" t="str">
        <x:f>IF(C275="","",IFERROR(INDEX(Credit!$R$209:$R$308,MATCH(F275,Credit!$C$209:$C$308,0)),"Unavailable"))</x:f>
      </x:c>
      <x:c r="T275" s="23" t="str">
        <x:f>IF(C275="","",IFERROR(IF(P275&gt;0,3,IF(OR(INDEX('Facilities'!$AD$9:$AD$108,MATCH(C275,'Facilities'!$C$9:$C$108,0))=2,AND(R275&gt;=INDEX('Facilities'!$L$9:$L$108,MATCH(C275,'Facilities'!$C$9:$C$108,0))*Settings!$F$19,R275-INDEX('Facilities'!$L$9:$L$108,MATCH(C275,'Facilities'!$C$9:$C$108,0))&gt;=Settings!$F$20)),2,1)),"Unavailable"))</x:f>
      </x:c>
      <x:c r="U275" s="23" t="str">
        <x:f>IF(C275="","",IF(AQ275&lt;&gt;"Ready","Unavailable",IF(C275="","",O275*(1-(1-S275)/(1+INDEX('Facilities'!$K$9:$K$108,MATCH(C275,'Facilities'!$C$9:$C$108,0)))^INDEX('Facilities'!$AK$9:$AK$108,MATCH(C275,'Facilities'!$C$9:$C$108,0)))*R275/(1+INDEX('Facilities'!$K$9:$K$108,MATCH(C275,'Facilities'!$C$9:$C$108,0)))*IF(ABS(1-(1-R275)*(1-INDEX('Facilities'!$R$9:$R$108,MATCH(C275,'Facilities'!$C$9:$C$108,0)))/(1+INDEX('Facilities'!$K$9:$K$108,MATCH(C275,'Facilities'!$C$9:$C$108,0))))&lt;0.000000001,IF(T275=1,MIN(1,AJ275),AJ275),(1-((1-R275)*(1-INDEX('Facilities'!$R$9:$R$108,MATCH(C275,'Facilities'!$C$9:$C$108,0)))/(1+INDEX('Facilities'!$K$9:$K$108,MATCH(C275,'Facilities'!$C$9:$C$108,0))))^IF(T275=1,MIN(1,AJ275),AJ275))/(1-(1-R275)*(1-INDEX('Facilities'!$R$9:$R$108,MATCH(C275,'Facilities'!$C$9:$C$108,0)))/(1+INDEX('Facilities'!$K$9:$K$108,MATCH(C275,'Facilities'!$C$9:$C$108,0)))))+AL275)))</x:f>
      </x:c>
      <x:c r="V275" s="23" t="str">
        <x:f>IF(C275="","",IF(AQ275&lt;&gt;"Ready","Unavailable",IF(C275="","",Q275*INDEX('Facilities'!$I$9:$I$108,MATCH(C275,'Facilities'!$C$9:$C$108,0))*(1-(1-S275)/(1+INDEX('Facilities'!$K$9:$K$108,MATCH(C275,'Facilities'!$C$9:$C$108,0)))^INDEX('Facilities'!$AK$9:$AK$108,MATCH(C275,'Facilities'!$C$9:$C$108,0)))*R275/(1+INDEX('Facilities'!$K$9:$K$108,MATCH(C275,'Facilities'!$C$9:$C$108,0)))*IF(ABS(1-(1-R275)*(1-0)/(1+INDEX('Facilities'!$K$9:$K$108,MATCH(C275,'Facilities'!$C$9:$C$108,0))))&lt;0.000000001,IF(T275=1,MIN(1,AJ275),AJ275),(1-((1-R275)*(1-0)/(1+INDEX('Facilities'!$K$9:$K$108,MATCH(C275,'Facilities'!$C$9:$C$108,0))))^IF(T275=1,MIN(1,AJ275),AJ275))/(1-(1-R275)*(1-0)/(1+INDEX('Facilities'!$K$9:$K$108,MATCH(C275,'Facilities'!$C$9:$C$108,0))))))))</x:f>
      </x:c>
      <x:c r="W275" s="21" t="str">
        <x:f>IF(C275="","",IFERROR(U175,"Unavailable"))</x:f>
      </x:c>
      <x:c r="X275" s="21" t="str">
        <x:f>IF(C275="","",IFERROR(V175,"Unavailable"))</x:f>
      </x:c>
      <x:c r="Y275" s="21" t="str">
        <x:f>IF(C275="","",IF(AQ275&lt;&gt;"Ready","Unavailable",IF(C275="","",U275-W275+V275-X275+N275+AG275)))</x:f>
      </x:c>
      <x:c r="Z275" s="23" t="str">
        <x:f>IF(C275="","",IF(AQ275&lt;&gt;"Ready","Unavailable",IF(C275="","",(G275+O275+L275)/2*INDEX('Facilities'!$T$9:$T$108,MATCH(C275,'Facilities'!$C$9:$C$108,0))+AG275)))</x:f>
      </x:c>
      <x:c r="AA275" s="23" t="str">
        <x:f>IF(C275="","",IF(AQ275&lt;&gt;"Ready","Unavailable",IF(C275="","",O275*(1-IF(INDEX('Facilities'!$AA$9:$AA$108,MATCH(C275,'Facilities'!$C$9:$C$108,0))=0,0,MIN(1,INDEX('Facilities'!$X$9:$X$108,MATCH(C275,'Facilities'!$C$9:$C$108,0))/INDEX('Facilities'!$AA$9:$AA$108,MATCH(C275,'Facilities'!$C$9:$C$108,0)))))*AF275+P275*(1-IF(INDEX('Facilities'!$AA$9:$AA$108,MATCH(C275,'Facilities'!$C$9:$C$108,0))=0,0,MIN(1,INDEX('Facilities'!$X$9:$X$108,MATCH(C275,'Facilities'!$C$9:$C$108,0))/INDEX('Facilities'!$AA$9:$AA$108,MATCH(C275,'Facilities'!$C$9:$C$108,0)))))*INDEX('Facilities'!$AJ$9:$AJ$108,MATCH(C275,'Facilities'!$C$9:$C$108,0))+Q275*INDEX('Facilities'!$AI$9:$AI$108,MATCH(C275,'Facilities'!$C$9:$C$108,0))*AF275)))</x:f>
      </x:c>
      <x:c r="AB275" s="21" t="str">
        <x:f>IF(C275="","",O275+P275-AD275)</x:f>
      </x:c>
      <x:c r="AC275" s="23" t="str">
        <x:f>IF(C275="","",IFERROR(IF(INDEX('Facilities'!$AD$9:$AD$108,MATCH(C275,'Facilities'!$C$9:$C$108,0))=3,0,IF(INDEX('Facilities'!$AN$9:$AN$108,MATCH(C275,'Facilities'!$C$9:$C$108,0))=0,-1,INDEX('Facilities'!$AN$9:$AN$108,MATCH(C275,'Facilities'!$C$9:$C$108,0)))),"Unavailable"))</x:f>
      </x:c>
      <x:c r="AD275" s="21" t="str">
        <x:f>IF(C275="","",IFERROR(G275+H275,"Unavailable"))</x:f>
      </x:c>
      <x:c r="AE275" s="21" t="str">
        <x:f>IF(C275="","",IF(AQ275&lt;&gt;"Ready","Unavailable",IF(C275="","",O275+P275-AD275-J275+K275+M275+N275)))</x:f>
      </x:c>
      <x:c r="AF275" s="30" t="str">
        <x:f>IF(C275="","",IFERROR(INDEX('Facilities'!$S$9:$S$108,MATCH(C275,'Facilities'!$C$9:$C$108,0))*'Scenario Paths'!H75,"Unavailable"))</x:f>
      </x:c>
      <x:c r="AG275" s="23" t="str">
        <x:f>IF(C275="","",IF(AQ275&lt;&gt;"Ready","Unavailable",IF(C275="","",IF(H275&gt;0,MAX(0,H275-AK275)*((1+INDEX('Facilities'!$K$9:$K$108,MATCH(C275,'Facilities'!$C$9:$C$108,0)))^MIN(1,MAX(0,AC275+INDEX('Facilities'!$AK$9:$AK$108,MATCH(C275,'Facilities'!$C$9:$C$108,0))-D275+1))-1),0))))</x:f>
      </x:c>
      <x:c r="AH275" s="21" t="str">
        <x:f>IF(C275="","",IF(AQ275&lt;&gt;"Ready","Unavailable",IF(C275="","",O275+P275)))</x:f>
      </x:c>
      <x:c r="AI275" s="21" t="str">
        <x:f>IF(C275="","",IF(AQ275&lt;&gt;"Ready","Unavailable",IF(C275="","",Z275-Y275)))</x:f>
      </x:c>
      <x:c r="AJ275" s="23" t="str">
        <x:f>IF(C275="","",IFERROR(MAX(0,INDEX('Facilities'!$J$9:$J$108,MATCH(C275,'Facilities'!$C$9:$C$108,0))-D275),"Unavailable"))</x:f>
      </x:c>
      <x:c r="AK275" s="21" t="str">
        <x:f>IF(C275="","",IFERROR(AL175,"Unavailable"))</x:f>
      </x:c>
      <x:c r="AL275" s="23" t="str">
        <x:f>IF(C275="","",IFERROR(IF(P275&gt;0,P275*(1-AM275/(1+INDEX('Facilities'!$K$9:$K$108,MATCH(C275,'Facilities'!$C$9:$C$108,0)))^MAX(0,AC275+INDEX('Facilities'!$AK$9:$AK$108,MATCH(C275,'Facilities'!$C$9:$C$108,0))-D275)),0),"Unavailable"))</x:f>
      </x:c>
      <x:c r="AM275" s="30" t="str">
        <x:f>IF(C275="","",IFERROR(INDEX('Facilities'!$AL$9:$AL$108,MATCH(C275,'Facilities'!$C$9:$C$108,0)),"Unavailable"))</x:f>
      </x:c>
      <x:c r="AN275" s="30" t="str">
        <x:f>IF(C275="","",IFERROR(INDEX(Credit!$T$209:$T$308,MATCH(F275,Credit!$C$209:$C$308,0)),"Unavailable"))</x:f>
      </x:c>
      <x:c r="AO275" s="23" t="str">
        <x:f>IF(C275="","",IF(AQ275&lt;&gt;"Ready","Unavailable",IF(C275="","",O275+P275+Q275*INDEX('Facilities'!$I$9:$I$108,MATCH(C275,'Facilities'!$C$9:$C$108,0)))))</x:f>
      </x:c>
      <x:c r="AP275" s="21" t="str">
        <x:f>IF(C275="","",IF(AQ275&lt;&gt;"Ready","Unavailable",IF(C275="","",AH275-U275)))</x:f>
      </x:c>
      <x:c r="AQ275" s="23" t="str">
        <x:f>IFERROR(IF(C275="","",IF(AND(INDEX('Facilities'!$AF$9:$AF$108,MATCH(C275,'Facilities'!$C$9:$C$108,0))="Ready",INDEX(Credit!$U$209:$U$308,MATCH(F275,Credit!$C$209:$C$308,0))="Ready",ISNUMBER(W275)),"Ready","Review inputs")),"Review inputs")</x:f>
      </x:c>
      <x:c r="AR275" s="23" t="str">
        <x:f>IF(C275="","",IF(AQ275&lt;&gt;"Ready","Unavailable",IF(C275="","",IF(O275=0,0,(IF(AJ275&lt;=1,O275,O275*INDEX('Facilities'!$R$9:$R$108,MATCH(C275,'Facilities'!$C$9:$C$108,0)))+O275*INDEX('Facilities'!$T$9:$T$108,MATCH(C275,'Facilities'!$C$9:$C$108,0)))/12))))</x:f>
      </x:c>
    </x:row>
    <x:row r="276" ht="26" customHeight="1">
      <x:c r="A276" s="1"/>
      <x:c r="B276" s="1"/>
      <x:c r="C276" s="9" t="str">
        <x:f>IF(Facilities!C76="","",Facilities!C76)</x:f>
      </x:c>
      <x:c r="D276" s="3" t="n">
        <x:v>3</x:v>
      </x:c>
      <x:c r="E276" s="9" t="n">
        <x:f>Settings!$F$18+2</x:f>
        <x:v>2029</x:v>
      </x:c>
      <x:c r="F276" s="9" t="str">
        <x:f>IF(C276="","",IFERROR(INDEX('Facilities'!$D$9:$D$108,MATCH(C276,'Facilities'!$C$9:$C$108,0)),"Unavailable"))</x:f>
      </x:c>
      <x:c r="G276" s="21" t="str">
        <x:f>IF(C276="","",IFERROR(O176,"Unavailable"))</x:f>
      </x:c>
      <x:c r="H276" s="21" t="str">
        <x:f>IF(C276="","",IFERROR(P176,"Unavailable"))</x:f>
      </x:c>
      <x:c r="I276" s="21" t="str">
        <x:f>IF(C276="","",IFERROR(Q176,"Unavailable"))</x:f>
      </x:c>
      <x:c r="J276" s="23" t="str">
        <x:f>IF(C276="","",IFERROR(IF(OR(H276&gt;0,AND(AC276&gt;=0,AC276&lt;D276),D276&gt;INDEX('Facilities'!$J$9:$J$108,MATCH(C276,'Facilities'!$C$9:$C$108,0))),0,I276*'Scenario Paths'!H81),"Unavailable"))</x:f>
      </x:c>
      <x:c r="K276" s="23" t="str">
        <x:f>IF(C276="","",IFERROR(IF(OR(H276&gt;0,AND(AC276&gt;=0,AC276=D276)),0,IF(D276&gt;=INDEX('Facilities'!$J$9:$J$108,MATCH(C276,'Facilities'!$C$9:$C$108,0)),G276+J276,MIN(G276+J276,G276*INDEX('Facilities'!$R$9:$R$108,MATCH(C276,'Facilities'!$C$9:$C$108,0))))),"Unavailable"))</x:f>
      </x:c>
      <x:c r="L276" s="21" t="str">
        <x:f>IF(C276="","",IFERROR(IF(AND(AC276=D276,AC276&gt;0),MAX(0,G276+J276-K276),0),"Unavailable"))</x:f>
      </x:c>
      <x:c r="M276" s="23" t="str">
        <x:f>IF(C276="","",IFERROR(IF(AND(AC276&gt;=0,D276&gt;=AC276+INDEX('Facilities'!$AK$9:$AK$108,MATCH(C276,'Facilities'!$C$9:$C$108,0))),(H276+L276)*AM276,0),"Unavailable"))</x:f>
      </x:c>
      <x:c r="N276" s="23" t="str">
        <x:f>IF(C276="","",IFERROR(IF(AND(AC276&gt;=0,D276&gt;=AC276+INDEX('Facilities'!$AK$9:$AK$108,MATCH(C276,'Facilities'!$C$9:$C$108,0))),H276+L276-M276,0),"Unavailable"))</x:f>
      </x:c>
      <x:c r="O276" s="21" t="str">
        <x:f>IF(C276="","",IFERROR(MAX(0,G276+J276-K276-L276),"Unavailable"))</x:f>
      </x:c>
      <x:c r="P276" s="21" t="str">
        <x:f>IF(C276="","",IFERROR(MAX(0,H276+L276-M276-N276),"Unavailable"))</x:f>
      </x:c>
      <x:c r="Q276" s="23" t="str">
        <x:f>IF(C276="","",IFERROR(IF(OR(D276&gt;=INDEX('Facilities'!$J$9:$J$108,MATCH(C276,'Facilities'!$C$9:$C$108,0)),AND(AC276&gt;=0,AC276&lt;=D276)),0,MAX(0,I276-J276)),"Unavailable"))</x:f>
      </x:c>
      <x:c r="R276" s="30" t="str">
        <x:f>IF(C276="","",IFERROR(INDEX(Credit!$Q$209:$Q$308,MATCH(F276,Credit!$C$209:$C$308,0)),"Unavailable"))</x:f>
      </x:c>
      <x:c r="S276" s="30" t="str">
        <x:f>IF(C276="","",IFERROR(INDEX(Credit!$R$209:$R$308,MATCH(F276,Credit!$C$209:$C$308,0)),"Unavailable"))</x:f>
      </x:c>
      <x:c r="T276" s="23" t="str">
        <x:f>IF(C276="","",IFERROR(IF(P276&gt;0,3,IF(OR(INDEX('Facilities'!$AD$9:$AD$108,MATCH(C276,'Facilities'!$C$9:$C$108,0))=2,AND(R276&gt;=INDEX('Facilities'!$L$9:$L$108,MATCH(C276,'Facilities'!$C$9:$C$108,0))*Settings!$F$19,R276-INDEX('Facilities'!$L$9:$L$108,MATCH(C276,'Facilities'!$C$9:$C$108,0))&gt;=Settings!$F$20)),2,1)),"Unavailable"))</x:f>
      </x:c>
      <x:c r="U276" s="23" t="str">
        <x:f>IF(C276="","",IF(AQ276&lt;&gt;"Ready","Unavailable",IF(C276="","",O276*(1-(1-S276)/(1+INDEX('Facilities'!$K$9:$K$108,MATCH(C276,'Facilities'!$C$9:$C$108,0)))^INDEX('Facilities'!$AK$9:$AK$108,MATCH(C276,'Facilities'!$C$9:$C$108,0)))*R276/(1+INDEX('Facilities'!$K$9:$K$108,MATCH(C276,'Facilities'!$C$9:$C$108,0)))*IF(ABS(1-(1-R276)*(1-INDEX('Facilities'!$R$9:$R$108,MATCH(C276,'Facilities'!$C$9:$C$108,0)))/(1+INDEX('Facilities'!$K$9:$K$108,MATCH(C276,'Facilities'!$C$9:$C$108,0))))&lt;0.000000001,IF(T276=1,MIN(1,AJ276),AJ276),(1-((1-R276)*(1-INDEX('Facilities'!$R$9:$R$108,MATCH(C276,'Facilities'!$C$9:$C$108,0)))/(1+INDEX('Facilities'!$K$9:$K$108,MATCH(C276,'Facilities'!$C$9:$C$108,0))))^IF(T276=1,MIN(1,AJ276),AJ276))/(1-(1-R276)*(1-INDEX('Facilities'!$R$9:$R$108,MATCH(C276,'Facilities'!$C$9:$C$108,0)))/(1+INDEX('Facilities'!$K$9:$K$108,MATCH(C276,'Facilities'!$C$9:$C$108,0)))))+AL276)))</x:f>
      </x:c>
      <x:c r="V276" s="23" t="str">
        <x:f>IF(C276="","",IF(AQ276&lt;&gt;"Ready","Unavailable",IF(C276="","",Q276*INDEX('Facilities'!$I$9:$I$108,MATCH(C276,'Facilities'!$C$9:$C$108,0))*(1-(1-S276)/(1+INDEX('Facilities'!$K$9:$K$108,MATCH(C276,'Facilities'!$C$9:$C$108,0)))^INDEX('Facilities'!$AK$9:$AK$108,MATCH(C276,'Facilities'!$C$9:$C$108,0)))*R276/(1+INDEX('Facilities'!$K$9:$K$108,MATCH(C276,'Facilities'!$C$9:$C$108,0)))*IF(ABS(1-(1-R276)*(1-0)/(1+INDEX('Facilities'!$K$9:$K$108,MATCH(C276,'Facilities'!$C$9:$C$108,0))))&lt;0.000000001,IF(T276=1,MIN(1,AJ276),AJ276),(1-((1-R276)*(1-0)/(1+INDEX('Facilities'!$K$9:$K$108,MATCH(C276,'Facilities'!$C$9:$C$108,0))))^IF(T276=1,MIN(1,AJ276),AJ276))/(1-(1-R276)*(1-0)/(1+INDEX('Facilities'!$K$9:$K$108,MATCH(C276,'Facilities'!$C$9:$C$108,0))))))))</x:f>
      </x:c>
      <x:c r="W276" s="21" t="str">
        <x:f>IF(C276="","",IFERROR(U176,"Unavailable"))</x:f>
      </x:c>
      <x:c r="X276" s="21" t="str">
        <x:f>IF(C276="","",IFERROR(V176,"Unavailable"))</x:f>
      </x:c>
      <x:c r="Y276" s="21" t="str">
        <x:f>IF(C276="","",IF(AQ276&lt;&gt;"Ready","Unavailable",IF(C276="","",U276-W276+V276-X276+N276+AG276)))</x:f>
      </x:c>
      <x:c r="Z276" s="23" t="str">
        <x:f>IF(C276="","",IF(AQ276&lt;&gt;"Ready","Unavailable",IF(C276="","",(G276+O276+L276)/2*INDEX('Facilities'!$T$9:$T$108,MATCH(C276,'Facilities'!$C$9:$C$108,0))+AG276)))</x:f>
      </x:c>
      <x:c r="AA276" s="23" t="str">
        <x:f>IF(C276="","",IF(AQ276&lt;&gt;"Ready","Unavailable",IF(C276="","",O276*(1-IF(INDEX('Facilities'!$AA$9:$AA$108,MATCH(C276,'Facilities'!$C$9:$C$108,0))=0,0,MIN(1,INDEX('Facilities'!$X$9:$X$108,MATCH(C276,'Facilities'!$C$9:$C$108,0))/INDEX('Facilities'!$AA$9:$AA$108,MATCH(C276,'Facilities'!$C$9:$C$108,0)))))*AF276+P276*(1-IF(INDEX('Facilities'!$AA$9:$AA$108,MATCH(C276,'Facilities'!$C$9:$C$108,0))=0,0,MIN(1,INDEX('Facilities'!$X$9:$X$108,MATCH(C276,'Facilities'!$C$9:$C$108,0))/INDEX('Facilities'!$AA$9:$AA$108,MATCH(C276,'Facilities'!$C$9:$C$108,0)))))*INDEX('Facilities'!$AJ$9:$AJ$108,MATCH(C276,'Facilities'!$C$9:$C$108,0))+Q276*INDEX('Facilities'!$AI$9:$AI$108,MATCH(C276,'Facilities'!$C$9:$C$108,0))*AF276)))</x:f>
      </x:c>
      <x:c r="AB276" s="21" t="str">
        <x:f>IF(C276="","",O276+P276-AD276)</x:f>
      </x:c>
      <x:c r="AC276" s="23" t="str">
        <x:f>IF(C276="","",IFERROR(IF(INDEX('Facilities'!$AD$9:$AD$108,MATCH(C276,'Facilities'!$C$9:$C$108,0))=3,0,IF(INDEX('Facilities'!$AN$9:$AN$108,MATCH(C276,'Facilities'!$C$9:$C$108,0))=0,-1,INDEX('Facilities'!$AN$9:$AN$108,MATCH(C276,'Facilities'!$C$9:$C$108,0)))),"Unavailable"))</x:f>
      </x:c>
      <x:c r="AD276" s="21" t="str">
        <x:f>IF(C276="","",IFERROR(G276+H276,"Unavailable"))</x:f>
      </x:c>
      <x:c r="AE276" s="21" t="str">
        <x:f>IF(C276="","",IF(AQ276&lt;&gt;"Ready","Unavailable",IF(C276="","",O276+P276-AD276-J276+K276+M276+N276)))</x:f>
      </x:c>
      <x:c r="AF276" s="30" t="str">
        <x:f>IF(C276="","",IFERROR(INDEX('Facilities'!$S$9:$S$108,MATCH(C276,'Facilities'!$C$9:$C$108,0))*'Scenario Paths'!H75,"Unavailable"))</x:f>
      </x:c>
      <x:c r="AG276" s="23" t="str">
        <x:f>IF(C276="","",IF(AQ276&lt;&gt;"Ready","Unavailable",IF(C276="","",IF(H276&gt;0,MAX(0,H276-AK276)*((1+INDEX('Facilities'!$K$9:$K$108,MATCH(C276,'Facilities'!$C$9:$C$108,0)))^MIN(1,MAX(0,AC276+INDEX('Facilities'!$AK$9:$AK$108,MATCH(C276,'Facilities'!$C$9:$C$108,0))-D276+1))-1),0))))</x:f>
      </x:c>
      <x:c r="AH276" s="21" t="str">
        <x:f>IF(C276="","",IF(AQ276&lt;&gt;"Ready","Unavailable",IF(C276="","",O276+P276)))</x:f>
      </x:c>
      <x:c r="AI276" s="21" t="str">
        <x:f>IF(C276="","",IF(AQ276&lt;&gt;"Ready","Unavailable",IF(C276="","",Z276-Y276)))</x:f>
      </x:c>
      <x:c r="AJ276" s="23" t="str">
        <x:f>IF(C276="","",IFERROR(MAX(0,INDEX('Facilities'!$J$9:$J$108,MATCH(C276,'Facilities'!$C$9:$C$108,0))-D276),"Unavailable"))</x:f>
      </x:c>
      <x:c r="AK276" s="21" t="str">
        <x:f>IF(C276="","",IFERROR(AL176,"Unavailable"))</x:f>
      </x:c>
      <x:c r="AL276" s="23" t="str">
        <x:f>IF(C276="","",IFERROR(IF(P276&gt;0,P276*(1-AM276/(1+INDEX('Facilities'!$K$9:$K$108,MATCH(C276,'Facilities'!$C$9:$C$108,0)))^MAX(0,AC276+INDEX('Facilities'!$AK$9:$AK$108,MATCH(C276,'Facilities'!$C$9:$C$108,0))-D276)),0),"Unavailable"))</x:f>
      </x:c>
      <x:c r="AM276" s="30" t="str">
        <x:f>IF(C276="","",IFERROR(INDEX('Facilities'!$AL$9:$AL$108,MATCH(C276,'Facilities'!$C$9:$C$108,0)),"Unavailable"))</x:f>
      </x:c>
      <x:c r="AN276" s="30" t="str">
        <x:f>IF(C276="","",IFERROR(INDEX(Credit!$T$209:$T$308,MATCH(F276,Credit!$C$209:$C$308,0)),"Unavailable"))</x:f>
      </x:c>
      <x:c r="AO276" s="23" t="str">
        <x:f>IF(C276="","",IF(AQ276&lt;&gt;"Ready","Unavailable",IF(C276="","",O276+P276+Q276*INDEX('Facilities'!$I$9:$I$108,MATCH(C276,'Facilities'!$C$9:$C$108,0)))))</x:f>
      </x:c>
      <x:c r="AP276" s="21" t="str">
        <x:f>IF(C276="","",IF(AQ276&lt;&gt;"Ready","Unavailable",IF(C276="","",AH276-U276)))</x:f>
      </x:c>
      <x:c r="AQ276" s="23" t="str">
        <x:f>IFERROR(IF(C276="","",IF(AND(INDEX('Facilities'!$AF$9:$AF$108,MATCH(C276,'Facilities'!$C$9:$C$108,0))="Ready",INDEX(Credit!$U$209:$U$308,MATCH(F276,Credit!$C$209:$C$308,0))="Ready",ISNUMBER(W276)),"Ready","Review inputs")),"Review inputs")</x:f>
      </x:c>
      <x:c r="AR276" s="23" t="str">
        <x:f>IF(C276="","",IF(AQ276&lt;&gt;"Ready","Unavailable",IF(C276="","",IF(O276=0,0,(IF(AJ276&lt;=1,O276,O276*INDEX('Facilities'!$R$9:$R$108,MATCH(C276,'Facilities'!$C$9:$C$108,0)))+O276*INDEX('Facilities'!$T$9:$T$108,MATCH(C276,'Facilities'!$C$9:$C$108,0)))/12))))</x:f>
      </x:c>
    </x:row>
    <x:row r="277" ht="26" customHeight="1">
      <x:c r="A277" s="1"/>
      <x:c r="B277" s="1"/>
      <x:c r="C277" s="9" t="str">
        <x:f>IF(Facilities!C77="","",Facilities!C77)</x:f>
      </x:c>
      <x:c r="D277" s="3" t="n">
        <x:v>3</x:v>
      </x:c>
      <x:c r="E277" s="9" t="n">
        <x:f>Settings!$F$18+2</x:f>
        <x:v>2029</x:v>
      </x:c>
      <x:c r="F277" s="9" t="str">
        <x:f>IF(C277="","",IFERROR(INDEX('Facilities'!$D$9:$D$108,MATCH(C277,'Facilities'!$C$9:$C$108,0)),"Unavailable"))</x:f>
      </x:c>
      <x:c r="G277" s="21" t="str">
        <x:f>IF(C277="","",IFERROR(O177,"Unavailable"))</x:f>
      </x:c>
      <x:c r="H277" s="21" t="str">
        <x:f>IF(C277="","",IFERROR(P177,"Unavailable"))</x:f>
      </x:c>
      <x:c r="I277" s="21" t="str">
        <x:f>IF(C277="","",IFERROR(Q177,"Unavailable"))</x:f>
      </x:c>
      <x:c r="J277" s="23" t="str">
        <x:f>IF(C277="","",IFERROR(IF(OR(H277&gt;0,AND(AC277&gt;=0,AC277&lt;D277),D277&gt;INDEX('Facilities'!$J$9:$J$108,MATCH(C277,'Facilities'!$C$9:$C$108,0))),0,I277*'Scenario Paths'!H81),"Unavailable"))</x:f>
      </x:c>
      <x:c r="K277" s="23" t="str">
        <x:f>IF(C277="","",IFERROR(IF(OR(H277&gt;0,AND(AC277&gt;=0,AC277=D277)),0,IF(D277&gt;=INDEX('Facilities'!$J$9:$J$108,MATCH(C277,'Facilities'!$C$9:$C$108,0)),G277+J277,MIN(G277+J277,G277*INDEX('Facilities'!$R$9:$R$108,MATCH(C277,'Facilities'!$C$9:$C$108,0))))),"Unavailable"))</x:f>
      </x:c>
      <x:c r="L277" s="21" t="str">
        <x:f>IF(C277="","",IFERROR(IF(AND(AC277=D277,AC277&gt;0),MAX(0,G277+J277-K277),0),"Unavailable"))</x:f>
      </x:c>
      <x:c r="M277" s="23" t="str">
        <x:f>IF(C277="","",IFERROR(IF(AND(AC277&gt;=0,D277&gt;=AC277+INDEX('Facilities'!$AK$9:$AK$108,MATCH(C277,'Facilities'!$C$9:$C$108,0))),(H277+L277)*AM277,0),"Unavailable"))</x:f>
      </x:c>
      <x:c r="N277" s="23" t="str">
        <x:f>IF(C277="","",IFERROR(IF(AND(AC277&gt;=0,D277&gt;=AC277+INDEX('Facilities'!$AK$9:$AK$108,MATCH(C277,'Facilities'!$C$9:$C$108,0))),H277+L277-M277,0),"Unavailable"))</x:f>
      </x:c>
      <x:c r="O277" s="21" t="str">
        <x:f>IF(C277="","",IFERROR(MAX(0,G277+J277-K277-L277),"Unavailable"))</x:f>
      </x:c>
      <x:c r="P277" s="21" t="str">
        <x:f>IF(C277="","",IFERROR(MAX(0,H277+L277-M277-N277),"Unavailable"))</x:f>
      </x:c>
      <x:c r="Q277" s="23" t="str">
        <x:f>IF(C277="","",IFERROR(IF(OR(D277&gt;=INDEX('Facilities'!$J$9:$J$108,MATCH(C277,'Facilities'!$C$9:$C$108,0)),AND(AC277&gt;=0,AC277&lt;=D277)),0,MAX(0,I277-J277)),"Unavailable"))</x:f>
      </x:c>
      <x:c r="R277" s="30" t="str">
        <x:f>IF(C277="","",IFERROR(INDEX(Credit!$Q$209:$Q$308,MATCH(F277,Credit!$C$209:$C$308,0)),"Unavailable"))</x:f>
      </x:c>
      <x:c r="S277" s="30" t="str">
        <x:f>IF(C277="","",IFERROR(INDEX(Credit!$R$209:$R$308,MATCH(F277,Credit!$C$209:$C$308,0)),"Unavailable"))</x:f>
      </x:c>
      <x:c r="T277" s="23" t="str">
        <x:f>IF(C277="","",IFERROR(IF(P277&gt;0,3,IF(OR(INDEX('Facilities'!$AD$9:$AD$108,MATCH(C277,'Facilities'!$C$9:$C$108,0))=2,AND(R277&gt;=INDEX('Facilities'!$L$9:$L$108,MATCH(C277,'Facilities'!$C$9:$C$108,0))*Settings!$F$19,R277-INDEX('Facilities'!$L$9:$L$108,MATCH(C277,'Facilities'!$C$9:$C$108,0))&gt;=Settings!$F$20)),2,1)),"Unavailable"))</x:f>
      </x:c>
      <x:c r="U277" s="23" t="str">
        <x:f>IF(C277="","",IF(AQ277&lt;&gt;"Ready","Unavailable",IF(C277="","",O277*(1-(1-S277)/(1+INDEX('Facilities'!$K$9:$K$108,MATCH(C277,'Facilities'!$C$9:$C$108,0)))^INDEX('Facilities'!$AK$9:$AK$108,MATCH(C277,'Facilities'!$C$9:$C$108,0)))*R277/(1+INDEX('Facilities'!$K$9:$K$108,MATCH(C277,'Facilities'!$C$9:$C$108,0)))*IF(ABS(1-(1-R277)*(1-INDEX('Facilities'!$R$9:$R$108,MATCH(C277,'Facilities'!$C$9:$C$108,0)))/(1+INDEX('Facilities'!$K$9:$K$108,MATCH(C277,'Facilities'!$C$9:$C$108,0))))&lt;0.000000001,IF(T277=1,MIN(1,AJ277),AJ277),(1-((1-R277)*(1-INDEX('Facilities'!$R$9:$R$108,MATCH(C277,'Facilities'!$C$9:$C$108,0)))/(1+INDEX('Facilities'!$K$9:$K$108,MATCH(C277,'Facilities'!$C$9:$C$108,0))))^IF(T277=1,MIN(1,AJ277),AJ277))/(1-(1-R277)*(1-INDEX('Facilities'!$R$9:$R$108,MATCH(C277,'Facilities'!$C$9:$C$108,0)))/(1+INDEX('Facilities'!$K$9:$K$108,MATCH(C277,'Facilities'!$C$9:$C$108,0)))))+AL277)))</x:f>
      </x:c>
      <x:c r="V277" s="23" t="str">
        <x:f>IF(C277="","",IF(AQ277&lt;&gt;"Ready","Unavailable",IF(C277="","",Q277*INDEX('Facilities'!$I$9:$I$108,MATCH(C277,'Facilities'!$C$9:$C$108,0))*(1-(1-S277)/(1+INDEX('Facilities'!$K$9:$K$108,MATCH(C277,'Facilities'!$C$9:$C$108,0)))^INDEX('Facilities'!$AK$9:$AK$108,MATCH(C277,'Facilities'!$C$9:$C$108,0)))*R277/(1+INDEX('Facilities'!$K$9:$K$108,MATCH(C277,'Facilities'!$C$9:$C$108,0)))*IF(ABS(1-(1-R277)*(1-0)/(1+INDEX('Facilities'!$K$9:$K$108,MATCH(C277,'Facilities'!$C$9:$C$108,0))))&lt;0.000000001,IF(T277=1,MIN(1,AJ277),AJ277),(1-((1-R277)*(1-0)/(1+INDEX('Facilities'!$K$9:$K$108,MATCH(C277,'Facilities'!$C$9:$C$108,0))))^IF(T277=1,MIN(1,AJ277),AJ277))/(1-(1-R277)*(1-0)/(1+INDEX('Facilities'!$K$9:$K$108,MATCH(C277,'Facilities'!$C$9:$C$108,0))))))))</x:f>
      </x:c>
      <x:c r="W277" s="21" t="str">
        <x:f>IF(C277="","",IFERROR(U177,"Unavailable"))</x:f>
      </x:c>
      <x:c r="X277" s="21" t="str">
        <x:f>IF(C277="","",IFERROR(V177,"Unavailable"))</x:f>
      </x:c>
      <x:c r="Y277" s="21" t="str">
        <x:f>IF(C277="","",IF(AQ277&lt;&gt;"Ready","Unavailable",IF(C277="","",U277-W277+V277-X277+N277+AG277)))</x:f>
      </x:c>
      <x:c r="Z277" s="23" t="str">
        <x:f>IF(C277="","",IF(AQ277&lt;&gt;"Ready","Unavailable",IF(C277="","",(G277+O277+L277)/2*INDEX('Facilities'!$T$9:$T$108,MATCH(C277,'Facilities'!$C$9:$C$108,0))+AG277)))</x:f>
      </x:c>
      <x:c r="AA277" s="23" t="str">
        <x:f>IF(C277="","",IF(AQ277&lt;&gt;"Ready","Unavailable",IF(C277="","",O277*(1-IF(INDEX('Facilities'!$AA$9:$AA$108,MATCH(C277,'Facilities'!$C$9:$C$108,0))=0,0,MIN(1,INDEX('Facilities'!$X$9:$X$108,MATCH(C277,'Facilities'!$C$9:$C$108,0))/INDEX('Facilities'!$AA$9:$AA$108,MATCH(C277,'Facilities'!$C$9:$C$108,0)))))*AF277+P277*(1-IF(INDEX('Facilities'!$AA$9:$AA$108,MATCH(C277,'Facilities'!$C$9:$C$108,0))=0,0,MIN(1,INDEX('Facilities'!$X$9:$X$108,MATCH(C277,'Facilities'!$C$9:$C$108,0))/INDEX('Facilities'!$AA$9:$AA$108,MATCH(C277,'Facilities'!$C$9:$C$108,0)))))*INDEX('Facilities'!$AJ$9:$AJ$108,MATCH(C277,'Facilities'!$C$9:$C$108,0))+Q277*INDEX('Facilities'!$AI$9:$AI$108,MATCH(C277,'Facilities'!$C$9:$C$108,0))*AF277)))</x:f>
      </x:c>
      <x:c r="AB277" s="21" t="str">
        <x:f>IF(C277="","",O277+P277-AD277)</x:f>
      </x:c>
      <x:c r="AC277" s="23" t="str">
        <x:f>IF(C277="","",IFERROR(IF(INDEX('Facilities'!$AD$9:$AD$108,MATCH(C277,'Facilities'!$C$9:$C$108,0))=3,0,IF(INDEX('Facilities'!$AN$9:$AN$108,MATCH(C277,'Facilities'!$C$9:$C$108,0))=0,-1,INDEX('Facilities'!$AN$9:$AN$108,MATCH(C277,'Facilities'!$C$9:$C$108,0)))),"Unavailable"))</x:f>
      </x:c>
      <x:c r="AD277" s="21" t="str">
        <x:f>IF(C277="","",IFERROR(G277+H277,"Unavailable"))</x:f>
      </x:c>
      <x:c r="AE277" s="21" t="str">
        <x:f>IF(C277="","",IF(AQ277&lt;&gt;"Ready","Unavailable",IF(C277="","",O277+P277-AD277-J277+K277+M277+N277)))</x:f>
      </x:c>
      <x:c r="AF277" s="30" t="str">
        <x:f>IF(C277="","",IFERROR(INDEX('Facilities'!$S$9:$S$108,MATCH(C277,'Facilities'!$C$9:$C$108,0))*'Scenario Paths'!H75,"Unavailable"))</x:f>
      </x:c>
      <x:c r="AG277" s="23" t="str">
        <x:f>IF(C277="","",IF(AQ277&lt;&gt;"Ready","Unavailable",IF(C277="","",IF(H277&gt;0,MAX(0,H277-AK277)*((1+INDEX('Facilities'!$K$9:$K$108,MATCH(C277,'Facilities'!$C$9:$C$108,0)))^MIN(1,MAX(0,AC277+INDEX('Facilities'!$AK$9:$AK$108,MATCH(C277,'Facilities'!$C$9:$C$108,0))-D277+1))-1),0))))</x:f>
      </x:c>
      <x:c r="AH277" s="21" t="str">
        <x:f>IF(C277="","",IF(AQ277&lt;&gt;"Ready","Unavailable",IF(C277="","",O277+P277)))</x:f>
      </x:c>
      <x:c r="AI277" s="21" t="str">
        <x:f>IF(C277="","",IF(AQ277&lt;&gt;"Ready","Unavailable",IF(C277="","",Z277-Y277)))</x:f>
      </x:c>
      <x:c r="AJ277" s="23" t="str">
        <x:f>IF(C277="","",IFERROR(MAX(0,INDEX('Facilities'!$J$9:$J$108,MATCH(C277,'Facilities'!$C$9:$C$108,0))-D277),"Unavailable"))</x:f>
      </x:c>
      <x:c r="AK277" s="21" t="str">
        <x:f>IF(C277="","",IFERROR(AL177,"Unavailable"))</x:f>
      </x:c>
      <x:c r="AL277" s="23" t="str">
        <x:f>IF(C277="","",IFERROR(IF(P277&gt;0,P277*(1-AM277/(1+INDEX('Facilities'!$K$9:$K$108,MATCH(C277,'Facilities'!$C$9:$C$108,0)))^MAX(0,AC277+INDEX('Facilities'!$AK$9:$AK$108,MATCH(C277,'Facilities'!$C$9:$C$108,0))-D277)),0),"Unavailable"))</x:f>
      </x:c>
      <x:c r="AM277" s="30" t="str">
        <x:f>IF(C277="","",IFERROR(INDEX('Facilities'!$AL$9:$AL$108,MATCH(C277,'Facilities'!$C$9:$C$108,0)),"Unavailable"))</x:f>
      </x:c>
      <x:c r="AN277" s="30" t="str">
        <x:f>IF(C277="","",IFERROR(INDEX(Credit!$T$209:$T$308,MATCH(F277,Credit!$C$209:$C$308,0)),"Unavailable"))</x:f>
      </x:c>
      <x:c r="AO277" s="23" t="str">
        <x:f>IF(C277="","",IF(AQ277&lt;&gt;"Ready","Unavailable",IF(C277="","",O277+P277+Q277*INDEX('Facilities'!$I$9:$I$108,MATCH(C277,'Facilities'!$C$9:$C$108,0)))))</x:f>
      </x:c>
      <x:c r="AP277" s="21" t="str">
        <x:f>IF(C277="","",IF(AQ277&lt;&gt;"Ready","Unavailable",IF(C277="","",AH277-U277)))</x:f>
      </x:c>
      <x:c r="AQ277" s="23" t="str">
        <x:f>IFERROR(IF(C277="","",IF(AND(INDEX('Facilities'!$AF$9:$AF$108,MATCH(C277,'Facilities'!$C$9:$C$108,0))="Ready",INDEX(Credit!$U$209:$U$308,MATCH(F277,Credit!$C$209:$C$308,0))="Ready",ISNUMBER(W277)),"Ready","Review inputs")),"Review inputs")</x:f>
      </x:c>
      <x:c r="AR277" s="23" t="str">
        <x:f>IF(C277="","",IF(AQ277&lt;&gt;"Ready","Unavailable",IF(C277="","",IF(O277=0,0,(IF(AJ277&lt;=1,O277,O277*INDEX('Facilities'!$R$9:$R$108,MATCH(C277,'Facilities'!$C$9:$C$108,0)))+O277*INDEX('Facilities'!$T$9:$T$108,MATCH(C277,'Facilities'!$C$9:$C$108,0)))/12))))</x:f>
      </x:c>
    </x:row>
    <x:row r="278" ht="26" customHeight="1">
      <x:c r="A278" s="1"/>
      <x:c r="B278" s="1"/>
      <x:c r="C278" s="9" t="str">
        <x:f>IF(Facilities!C78="","",Facilities!C78)</x:f>
      </x:c>
      <x:c r="D278" s="3" t="n">
        <x:v>3</x:v>
      </x:c>
      <x:c r="E278" s="9" t="n">
        <x:f>Settings!$F$18+2</x:f>
        <x:v>2029</x:v>
      </x:c>
      <x:c r="F278" s="9" t="str">
        <x:f>IF(C278="","",IFERROR(INDEX('Facilities'!$D$9:$D$108,MATCH(C278,'Facilities'!$C$9:$C$108,0)),"Unavailable"))</x:f>
      </x:c>
      <x:c r="G278" s="21" t="str">
        <x:f>IF(C278="","",IFERROR(O178,"Unavailable"))</x:f>
      </x:c>
      <x:c r="H278" s="21" t="str">
        <x:f>IF(C278="","",IFERROR(P178,"Unavailable"))</x:f>
      </x:c>
      <x:c r="I278" s="21" t="str">
        <x:f>IF(C278="","",IFERROR(Q178,"Unavailable"))</x:f>
      </x:c>
      <x:c r="J278" s="23" t="str">
        <x:f>IF(C278="","",IFERROR(IF(OR(H278&gt;0,AND(AC278&gt;=0,AC278&lt;D278),D278&gt;INDEX('Facilities'!$J$9:$J$108,MATCH(C278,'Facilities'!$C$9:$C$108,0))),0,I278*'Scenario Paths'!H81),"Unavailable"))</x:f>
      </x:c>
      <x:c r="K278" s="23" t="str">
        <x:f>IF(C278="","",IFERROR(IF(OR(H278&gt;0,AND(AC278&gt;=0,AC278=D278)),0,IF(D278&gt;=INDEX('Facilities'!$J$9:$J$108,MATCH(C278,'Facilities'!$C$9:$C$108,0)),G278+J278,MIN(G278+J278,G278*INDEX('Facilities'!$R$9:$R$108,MATCH(C278,'Facilities'!$C$9:$C$108,0))))),"Unavailable"))</x:f>
      </x:c>
      <x:c r="L278" s="21" t="str">
        <x:f>IF(C278="","",IFERROR(IF(AND(AC278=D278,AC278&gt;0),MAX(0,G278+J278-K278),0),"Unavailable"))</x:f>
      </x:c>
      <x:c r="M278" s="23" t="str">
        <x:f>IF(C278="","",IFERROR(IF(AND(AC278&gt;=0,D278&gt;=AC278+INDEX('Facilities'!$AK$9:$AK$108,MATCH(C278,'Facilities'!$C$9:$C$108,0))),(H278+L278)*AM278,0),"Unavailable"))</x:f>
      </x:c>
      <x:c r="N278" s="23" t="str">
        <x:f>IF(C278="","",IFERROR(IF(AND(AC278&gt;=0,D278&gt;=AC278+INDEX('Facilities'!$AK$9:$AK$108,MATCH(C278,'Facilities'!$C$9:$C$108,0))),H278+L278-M278,0),"Unavailable"))</x:f>
      </x:c>
      <x:c r="O278" s="21" t="str">
        <x:f>IF(C278="","",IFERROR(MAX(0,G278+J278-K278-L278),"Unavailable"))</x:f>
      </x:c>
      <x:c r="P278" s="21" t="str">
        <x:f>IF(C278="","",IFERROR(MAX(0,H278+L278-M278-N278),"Unavailable"))</x:f>
      </x:c>
      <x:c r="Q278" s="23" t="str">
        <x:f>IF(C278="","",IFERROR(IF(OR(D278&gt;=INDEX('Facilities'!$J$9:$J$108,MATCH(C278,'Facilities'!$C$9:$C$108,0)),AND(AC278&gt;=0,AC278&lt;=D278)),0,MAX(0,I278-J278)),"Unavailable"))</x:f>
      </x:c>
      <x:c r="R278" s="30" t="str">
        <x:f>IF(C278="","",IFERROR(INDEX(Credit!$Q$209:$Q$308,MATCH(F278,Credit!$C$209:$C$308,0)),"Unavailable"))</x:f>
      </x:c>
      <x:c r="S278" s="30" t="str">
        <x:f>IF(C278="","",IFERROR(INDEX(Credit!$R$209:$R$308,MATCH(F278,Credit!$C$209:$C$308,0)),"Unavailable"))</x:f>
      </x:c>
      <x:c r="T278" s="23" t="str">
        <x:f>IF(C278="","",IFERROR(IF(P278&gt;0,3,IF(OR(INDEX('Facilities'!$AD$9:$AD$108,MATCH(C278,'Facilities'!$C$9:$C$108,0))=2,AND(R278&gt;=INDEX('Facilities'!$L$9:$L$108,MATCH(C278,'Facilities'!$C$9:$C$108,0))*Settings!$F$19,R278-INDEX('Facilities'!$L$9:$L$108,MATCH(C278,'Facilities'!$C$9:$C$108,0))&gt;=Settings!$F$20)),2,1)),"Unavailable"))</x:f>
      </x:c>
      <x:c r="U278" s="23" t="str">
        <x:f>IF(C278="","",IF(AQ278&lt;&gt;"Ready","Unavailable",IF(C278="","",O278*(1-(1-S278)/(1+INDEX('Facilities'!$K$9:$K$108,MATCH(C278,'Facilities'!$C$9:$C$108,0)))^INDEX('Facilities'!$AK$9:$AK$108,MATCH(C278,'Facilities'!$C$9:$C$108,0)))*R278/(1+INDEX('Facilities'!$K$9:$K$108,MATCH(C278,'Facilities'!$C$9:$C$108,0)))*IF(ABS(1-(1-R278)*(1-INDEX('Facilities'!$R$9:$R$108,MATCH(C278,'Facilities'!$C$9:$C$108,0)))/(1+INDEX('Facilities'!$K$9:$K$108,MATCH(C278,'Facilities'!$C$9:$C$108,0))))&lt;0.000000001,IF(T278=1,MIN(1,AJ278),AJ278),(1-((1-R278)*(1-INDEX('Facilities'!$R$9:$R$108,MATCH(C278,'Facilities'!$C$9:$C$108,0)))/(1+INDEX('Facilities'!$K$9:$K$108,MATCH(C278,'Facilities'!$C$9:$C$108,0))))^IF(T278=1,MIN(1,AJ278),AJ278))/(1-(1-R278)*(1-INDEX('Facilities'!$R$9:$R$108,MATCH(C278,'Facilities'!$C$9:$C$108,0)))/(1+INDEX('Facilities'!$K$9:$K$108,MATCH(C278,'Facilities'!$C$9:$C$108,0)))))+AL278)))</x:f>
      </x:c>
      <x:c r="V278" s="23" t="str">
        <x:f>IF(C278="","",IF(AQ278&lt;&gt;"Ready","Unavailable",IF(C278="","",Q278*INDEX('Facilities'!$I$9:$I$108,MATCH(C278,'Facilities'!$C$9:$C$108,0))*(1-(1-S278)/(1+INDEX('Facilities'!$K$9:$K$108,MATCH(C278,'Facilities'!$C$9:$C$108,0)))^INDEX('Facilities'!$AK$9:$AK$108,MATCH(C278,'Facilities'!$C$9:$C$108,0)))*R278/(1+INDEX('Facilities'!$K$9:$K$108,MATCH(C278,'Facilities'!$C$9:$C$108,0)))*IF(ABS(1-(1-R278)*(1-0)/(1+INDEX('Facilities'!$K$9:$K$108,MATCH(C278,'Facilities'!$C$9:$C$108,0))))&lt;0.000000001,IF(T278=1,MIN(1,AJ278),AJ278),(1-((1-R278)*(1-0)/(1+INDEX('Facilities'!$K$9:$K$108,MATCH(C278,'Facilities'!$C$9:$C$108,0))))^IF(T278=1,MIN(1,AJ278),AJ278))/(1-(1-R278)*(1-0)/(1+INDEX('Facilities'!$K$9:$K$108,MATCH(C278,'Facilities'!$C$9:$C$108,0))))))))</x:f>
      </x:c>
      <x:c r="W278" s="21" t="str">
        <x:f>IF(C278="","",IFERROR(U178,"Unavailable"))</x:f>
      </x:c>
      <x:c r="X278" s="21" t="str">
        <x:f>IF(C278="","",IFERROR(V178,"Unavailable"))</x:f>
      </x:c>
      <x:c r="Y278" s="21" t="str">
        <x:f>IF(C278="","",IF(AQ278&lt;&gt;"Ready","Unavailable",IF(C278="","",U278-W278+V278-X278+N278+AG278)))</x:f>
      </x:c>
      <x:c r="Z278" s="23" t="str">
        <x:f>IF(C278="","",IF(AQ278&lt;&gt;"Ready","Unavailable",IF(C278="","",(G278+O278+L278)/2*INDEX('Facilities'!$T$9:$T$108,MATCH(C278,'Facilities'!$C$9:$C$108,0))+AG278)))</x:f>
      </x:c>
      <x:c r="AA278" s="23" t="str">
        <x:f>IF(C278="","",IF(AQ278&lt;&gt;"Ready","Unavailable",IF(C278="","",O278*(1-IF(INDEX('Facilities'!$AA$9:$AA$108,MATCH(C278,'Facilities'!$C$9:$C$108,0))=0,0,MIN(1,INDEX('Facilities'!$X$9:$X$108,MATCH(C278,'Facilities'!$C$9:$C$108,0))/INDEX('Facilities'!$AA$9:$AA$108,MATCH(C278,'Facilities'!$C$9:$C$108,0)))))*AF278+P278*(1-IF(INDEX('Facilities'!$AA$9:$AA$108,MATCH(C278,'Facilities'!$C$9:$C$108,0))=0,0,MIN(1,INDEX('Facilities'!$X$9:$X$108,MATCH(C278,'Facilities'!$C$9:$C$108,0))/INDEX('Facilities'!$AA$9:$AA$108,MATCH(C278,'Facilities'!$C$9:$C$108,0)))))*INDEX('Facilities'!$AJ$9:$AJ$108,MATCH(C278,'Facilities'!$C$9:$C$108,0))+Q278*INDEX('Facilities'!$AI$9:$AI$108,MATCH(C278,'Facilities'!$C$9:$C$108,0))*AF278)))</x:f>
      </x:c>
      <x:c r="AB278" s="21" t="str">
        <x:f>IF(C278="","",O278+P278-AD278)</x:f>
      </x:c>
      <x:c r="AC278" s="23" t="str">
        <x:f>IF(C278="","",IFERROR(IF(INDEX('Facilities'!$AD$9:$AD$108,MATCH(C278,'Facilities'!$C$9:$C$108,0))=3,0,IF(INDEX('Facilities'!$AN$9:$AN$108,MATCH(C278,'Facilities'!$C$9:$C$108,0))=0,-1,INDEX('Facilities'!$AN$9:$AN$108,MATCH(C278,'Facilities'!$C$9:$C$108,0)))),"Unavailable"))</x:f>
      </x:c>
      <x:c r="AD278" s="21" t="str">
        <x:f>IF(C278="","",IFERROR(G278+H278,"Unavailable"))</x:f>
      </x:c>
      <x:c r="AE278" s="21" t="str">
        <x:f>IF(C278="","",IF(AQ278&lt;&gt;"Ready","Unavailable",IF(C278="","",O278+P278-AD278-J278+K278+M278+N278)))</x:f>
      </x:c>
      <x:c r="AF278" s="30" t="str">
        <x:f>IF(C278="","",IFERROR(INDEX('Facilities'!$S$9:$S$108,MATCH(C278,'Facilities'!$C$9:$C$108,0))*'Scenario Paths'!H75,"Unavailable"))</x:f>
      </x:c>
      <x:c r="AG278" s="23" t="str">
        <x:f>IF(C278="","",IF(AQ278&lt;&gt;"Ready","Unavailable",IF(C278="","",IF(H278&gt;0,MAX(0,H278-AK278)*((1+INDEX('Facilities'!$K$9:$K$108,MATCH(C278,'Facilities'!$C$9:$C$108,0)))^MIN(1,MAX(0,AC278+INDEX('Facilities'!$AK$9:$AK$108,MATCH(C278,'Facilities'!$C$9:$C$108,0))-D278+1))-1),0))))</x:f>
      </x:c>
      <x:c r="AH278" s="21" t="str">
        <x:f>IF(C278="","",IF(AQ278&lt;&gt;"Ready","Unavailable",IF(C278="","",O278+P278)))</x:f>
      </x:c>
      <x:c r="AI278" s="21" t="str">
        <x:f>IF(C278="","",IF(AQ278&lt;&gt;"Ready","Unavailable",IF(C278="","",Z278-Y278)))</x:f>
      </x:c>
      <x:c r="AJ278" s="23" t="str">
        <x:f>IF(C278="","",IFERROR(MAX(0,INDEX('Facilities'!$J$9:$J$108,MATCH(C278,'Facilities'!$C$9:$C$108,0))-D278),"Unavailable"))</x:f>
      </x:c>
      <x:c r="AK278" s="21" t="str">
        <x:f>IF(C278="","",IFERROR(AL178,"Unavailable"))</x:f>
      </x:c>
      <x:c r="AL278" s="23" t="str">
        <x:f>IF(C278="","",IFERROR(IF(P278&gt;0,P278*(1-AM278/(1+INDEX('Facilities'!$K$9:$K$108,MATCH(C278,'Facilities'!$C$9:$C$108,0)))^MAX(0,AC278+INDEX('Facilities'!$AK$9:$AK$108,MATCH(C278,'Facilities'!$C$9:$C$108,0))-D278)),0),"Unavailable"))</x:f>
      </x:c>
      <x:c r="AM278" s="30" t="str">
        <x:f>IF(C278="","",IFERROR(INDEX('Facilities'!$AL$9:$AL$108,MATCH(C278,'Facilities'!$C$9:$C$108,0)),"Unavailable"))</x:f>
      </x:c>
      <x:c r="AN278" s="30" t="str">
        <x:f>IF(C278="","",IFERROR(INDEX(Credit!$T$209:$T$308,MATCH(F278,Credit!$C$209:$C$308,0)),"Unavailable"))</x:f>
      </x:c>
      <x:c r="AO278" s="23" t="str">
        <x:f>IF(C278="","",IF(AQ278&lt;&gt;"Ready","Unavailable",IF(C278="","",O278+P278+Q278*INDEX('Facilities'!$I$9:$I$108,MATCH(C278,'Facilities'!$C$9:$C$108,0)))))</x:f>
      </x:c>
      <x:c r="AP278" s="21" t="str">
        <x:f>IF(C278="","",IF(AQ278&lt;&gt;"Ready","Unavailable",IF(C278="","",AH278-U278)))</x:f>
      </x:c>
      <x:c r="AQ278" s="23" t="str">
        <x:f>IFERROR(IF(C278="","",IF(AND(INDEX('Facilities'!$AF$9:$AF$108,MATCH(C278,'Facilities'!$C$9:$C$108,0))="Ready",INDEX(Credit!$U$209:$U$308,MATCH(F278,Credit!$C$209:$C$308,0))="Ready",ISNUMBER(W278)),"Ready","Review inputs")),"Review inputs")</x:f>
      </x:c>
      <x:c r="AR278" s="23" t="str">
        <x:f>IF(C278="","",IF(AQ278&lt;&gt;"Ready","Unavailable",IF(C278="","",IF(O278=0,0,(IF(AJ278&lt;=1,O278,O278*INDEX('Facilities'!$R$9:$R$108,MATCH(C278,'Facilities'!$C$9:$C$108,0)))+O278*INDEX('Facilities'!$T$9:$T$108,MATCH(C278,'Facilities'!$C$9:$C$108,0)))/12))))</x:f>
      </x:c>
    </x:row>
    <x:row r="279" ht="26" customHeight="1">
      <x:c r="A279" s="1"/>
      <x:c r="B279" s="1"/>
      <x:c r="C279" s="9" t="str">
        <x:f>IF(Facilities!C79="","",Facilities!C79)</x:f>
      </x:c>
      <x:c r="D279" s="3" t="n">
        <x:v>3</x:v>
      </x:c>
      <x:c r="E279" s="9" t="n">
        <x:f>Settings!$F$18+2</x:f>
        <x:v>2029</x:v>
      </x:c>
      <x:c r="F279" s="9" t="str">
        <x:f>IF(C279="","",IFERROR(INDEX('Facilities'!$D$9:$D$108,MATCH(C279,'Facilities'!$C$9:$C$108,0)),"Unavailable"))</x:f>
      </x:c>
      <x:c r="G279" s="21" t="str">
        <x:f>IF(C279="","",IFERROR(O179,"Unavailable"))</x:f>
      </x:c>
      <x:c r="H279" s="21" t="str">
        <x:f>IF(C279="","",IFERROR(P179,"Unavailable"))</x:f>
      </x:c>
      <x:c r="I279" s="21" t="str">
        <x:f>IF(C279="","",IFERROR(Q179,"Unavailable"))</x:f>
      </x:c>
      <x:c r="J279" s="23" t="str">
        <x:f>IF(C279="","",IFERROR(IF(OR(H279&gt;0,AND(AC279&gt;=0,AC279&lt;D279),D279&gt;INDEX('Facilities'!$J$9:$J$108,MATCH(C279,'Facilities'!$C$9:$C$108,0))),0,I279*'Scenario Paths'!H81),"Unavailable"))</x:f>
      </x:c>
      <x:c r="K279" s="23" t="str">
        <x:f>IF(C279="","",IFERROR(IF(OR(H279&gt;0,AND(AC279&gt;=0,AC279=D279)),0,IF(D279&gt;=INDEX('Facilities'!$J$9:$J$108,MATCH(C279,'Facilities'!$C$9:$C$108,0)),G279+J279,MIN(G279+J279,G279*INDEX('Facilities'!$R$9:$R$108,MATCH(C279,'Facilities'!$C$9:$C$108,0))))),"Unavailable"))</x:f>
      </x:c>
      <x:c r="L279" s="21" t="str">
        <x:f>IF(C279="","",IFERROR(IF(AND(AC279=D279,AC279&gt;0),MAX(0,G279+J279-K279),0),"Unavailable"))</x:f>
      </x:c>
      <x:c r="M279" s="23" t="str">
        <x:f>IF(C279="","",IFERROR(IF(AND(AC279&gt;=0,D279&gt;=AC279+INDEX('Facilities'!$AK$9:$AK$108,MATCH(C279,'Facilities'!$C$9:$C$108,0))),(H279+L279)*AM279,0),"Unavailable"))</x:f>
      </x:c>
      <x:c r="N279" s="23" t="str">
        <x:f>IF(C279="","",IFERROR(IF(AND(AC279&gt;=0,D279&gt;=AC279+INDEX('Facilities'!$AK$9:$AK$108,MATCH(C279,'Facilities'!$C$9:$C$108,0))),H279+L279-M279,0),"Unavailable"))</x:f>
      </x:c>
      <x:c r="O279" s="21" t="str">
        <x:f>IF(C279="","",IFERROR(MAX(0,G279+J279-K279-L279),"Unavailable"))</x:f>
      </x:c>
      <x:c r="P279" s="21" t="str">
        <x:f>IF(C279="","",IFERROR(MAX(0,H279+L279-M279-N279),"Unavailable"))</x:f>
      </x:c>
      <x:c r="Q279" s="23" t="str">
        <x:f>IF(C279="","",IFERROR(IF(OR(D279&gt;=INDEX('Facilities'!$J$9:$J$108,MATCH(C279,'Facilities'!$C$9:$C$108,0)),AND(AC279&gt;=0,AC279&lt;=D279)),0,MAX(0,I279-J279)),"Unavailable"))</x:f>
      </x:c>
      <x:c r="R279" s="30" t="str">
        <x:f>IF(C279="","",IFERROR(INDEX(Credit!$Q$209:$Q$308,MATCH(F279,Credit!$C$209:$C$308,0)),"Unavailable"))</x:f>
      </x:c>
      <x:c r="S279" s="30" t="str">
        <x:f>IF(C279="","",IFERROR(INDEX(Credit!$R$209:$R$308,MATCH(F279,Credit!$C$209:$C$308,0)),"Unavailable"))</x:f>
      </x:c>
      <x:c r="T279" s="23" t="str">
        <x:f>IF(C279="","",IFERROR(IF(P279&gt;0,3,IF(OR(INDEX('Facilities'!$AD$9:$AD$108,MATCH(C279,'Facilities'!$C$9:$C$108,0))=2,AND(R279&gt;=INDEX('Facilities'!$L$9:$L$108,MATCH(C279,'Facilities'!$C$9:$C$108,0))*Settings!$F$19,R279-INDEX('Facilities'!$L$9:$L$108,MATCH(C279,'Facilities'!$C$9:$C$108,0))&gt;=Settings!$F$20)),2,1)),"Unavailable"))</x:f>
      </x:c>
      <x:c r="U279" s="23" t="str">
        <x:f>IF(C279="","",IF(AQ279&lt;&gt;"Ready","Unavailable",IF(C279="","",O279*(1-(1-S279)/(1+INDEX('Facilities'!$K$9:$K$108,MATCH(C279,'Facilities'!$C$9:$C$108,0)))^INDEX('Facilities'!$AK$9:$AK$108,MATCH(C279,'Facilities'!$C$9:$C$108,0)))*R279/(1+INDEX('Facilities'!$K$9:$K$108,MATCH(C279,'Facilities'!$C$9:$C$108,0)))*IF(ABS(1-(1-R279)*(1-INDEX('Facilities'!$R$9:$R$108,MATCH(C279,'Facilities'!$C$9:$C$108,0)))/(1+INDEX('Facilities'!$K$9:$K$108,MATCH(C279,'Facilities'!$C$9:$C$108,0))))&lt;0.000000001,IF(T279=1,MIN(1,AJ279),AJ279),(1-((1-R279)*(1-INDEX('Facilities'!$R$9:$R$108,MATCH(C279,'Facilities'!$C$9:$C$108,0)))/(1+INDEX('Facilities'!$K$9:$K$108,MATCH(C279,'Facilities'!$C$9:$C$108,0))))^IF(T279=1,MIN(1,AJ279),AJ279))/(1-(1-R279)*(1-INDEX('Facilities'!$R$9:$R$108,MATCH(C279,'Facilities'!$C$9:$C$108,0)))/(1+INDEX('Facilities'!$K$9:$K$108,MATCH(C279,'Facilities'!$C$9:$C$108,0)))))+AL279)))</x:f>
      </x:c>
      <x:c r="V279" s="23" t="str">
        <x:f>IF(C279="","",IF(AQ279&lt;&gt;"Ready","Unavailable",IF(C279="","",Q279*INDEX('Facilities'!$I$9:$I$108,MATCH(C279,'Facilities'!$C$9:$C$108,0))*(1-(1-S279)/(1+INDEX('Facilities'!$K$9:$K$108,MATCH(C279,'Facilities'!$C$9:$C$108,0)))^INDEX('Facilities'!$AK$9:$AK$108,MATCH(C279,'Facilities'!$C$9:$C$108,0)))*R279/(1+INDEX('Facilities'!$K$9:$K$108,MATCH(C279,'Facilities'!$C$9:$C$108,0)))*IF(ABS(1-(1-R279)*(1-0)/(1+INDEX('Facilities'!$K$9:$K$108,MATCH(C279,'Facilities'!$C$9:$C$108,0))))&lt;0.000000001,IF(T279=1,MIN(1,AJ279),AJ279),(1-((1-R279)*(1-0)/(1+INDEX('Facilities'!$K$9:$K$108,MATCH(C279,'Facilities'!$C$9:$C$108,0))))^IF(T279=1,MIN(1,AJ279),AJ279))/(1-(1-R279)*(1-0)/(1+INDEX('Facilities'!$K$9:$K$108,MATCH(C279,'Facilities'!$C$9:$C$108,0))))))))</x:f>
      </x:c>
      <x:c r="W279" s="21" t="str">
        <x:f>IF(C279="","",IFERROR(U179,"Unavailable"))</x:f>
      </x:c>
      <x:c r="X279" s="21" t="str">
        <x:f>IF(C279="","",IFERROR(V179,"Unavailable"))</x:f>
      </x:c>
      <x:c r="Y279" s="21" t="str">
        <x:f>IF(C279="","",IF(AQ279&lt;&gt;"Ready","Unavailable",IF(C279="","",U279-W279+V279-X279+N279+AG279)))</x:f>
      </x:c>
      <x:c r="Z279" s="23" t="str">
        <x:f>IF(C279="","",IF(AQ279&lt;&gt;"Ready","Unavailable",IF(C279="","",(G279+O279+L279)/2*INDEX('Facilities'!$T$9:$T$108,MATCH(C279,'Facilities'!$C$9:$C$108,0))+AG279)))</x:f>
      </x:c>
      <x:c r="AA279" s="23" t="str">
        <x:f>IF(C279="","",IF(AQ279&lt;&gt;"Ready","Unavailable",IF(C279="","",O279*(1-IF(INDEX('Facilities'!$AA$9:$AA$108,MATCH(C279,'Facilities'!$C$9:$C$108,0))=0,0,MIN(1,INDEX('Facilities'!$X$9:$X$108,MATCH(C279,'Facilities'!$C$9:$C$108,0))/INDEX('Facilities'!$AA$9:$AA$108,MATCH(C279,'Facilities'!$C$9:$C$108,0)))))*AF279+P279*(1-IF(INDEX('Facilities'!$AA$9:$AA$108,MATCH(C279,'Facilities'!$C$9:$C$108,0))=0,0,MIN(1,INDEX('Facilities'!$X$9:$X$108,MATCH(C279,'Facilities'!$C$9:$C$108,0))/INDEX('Facilities'!$AA$9:$AA$108,MATCH(C279,'Facilities'!$C$9:$C$108,0)))))*INDEX('Facilities'!$AJ$9:$AJ$108,MATCH(C279,'Facilities'!$C$9:$C$108,0))+Q279*INDEX('Facilities'!$AI$9:$AI$108,MATCH(C279,'Facilities'!$C$9:$C$108,0))*AF279)))</x:f>
      </x:c>
      <x:c r="AB279" s="21" t="str">
        <x:f>IF(C279="","",O279+P279-AD279)</x:f>
      </x:c>
      <x:c r="AC279" s="23" t="str">
        <x:f>IF(C279="","",IFERROR(IF(INDEX('Facilities'!$AD$9:$AD$108,MATCH(C279,'Facilities'!$C$9:$C$108,0))=3,0,IF(INDEX('Facilities'!$AN$9:$AN$108,MATCH(C279,'Facilities'!$C$9:$C$108,0))=0,-1,INDEX('Facilities'!$AN$9:$AN$108,MATCH(C279,'Facilities'!$C$9:$C$108,0)))),"Unavailable"))</x:f>
      </x:c>
      <x:c r="AD279" s="21" t="str">
        <x:f>IF(C279="","",IFERROR(G279+H279,"Unavailable"))</x:f>
      </x:c>
      <x:c r="AE279" s="21" t="str">
        <x:f>IF(C279="","",IF(AQ279&lt;&gt;"Ready","Unavailable",IF(C279="","",O279+P279-AD279-J279+K279+M279+N279)))</x:f>
      </x:c>
      <x:c r="AF279" s="30" t="str">
        <x:f>IF(C279="","",IFERROR(INDEX('Facilities'!$S$9:$S$108,MATCH(C279,'Facilities'!$C$9:$C$108,0))*'Scenario Paths'!H75,"Unavailable"))</x:f>
      </x:c>
      <x:c r="AG279" s="23" t="str">
        <x:f>IF(C279="","",IF(AQ279&lt;&gt;"Ready","Unavailable",IF(C279="","",IF(H279&gt;0,MAX(0,H279-AK279)*((1+INDEX('Facilities'!$K$9:$K$108,MATCH(C279,'Facilities'!$C$9:$C$108,0)))^MIN(1,MAX(0,AC279+INDEX('Facilities'!$AK$9:$AK$108,MATCH(C279,'Facilities'!$C$9:$C$108,0))-D279+1))-1),0))))</x:f>
      </x:c>
      <x:c r="AH279" s="21" t="str">
        <x:f>IF(C279="","",IF(AQ279&lt;&gt;"Ready","Unavailable",IF(C279="","",O279+P279)))</x:f>
      </x:c>
      <x:c r="AI279" s="21" t="str">
        <x:f>IF(C279="","",IF(AQ279&lt;&gt;"Ready","Unavailable",IF(C279="","",Z279-Y279)))</x:f>
      </x:c>
      <x:c r="AJ279" s="23" t="str">
        <x:f>IF(C279="","",IFERROR(MAX(0,INDEX('Facilities'!$J$9:$J$108,MATCH(C279,'Facilities'!$C$9:$C$108,0))-D279),"Unavailable"))</x:f>
      </x:c>
      <x:c r="AK279" s="21" t="str">
        <x:f>IF(C279="","",IFERROR(AL179,"Unavailable"))</x:f>
      </x:c>
      <x:c r="AL279" s="23" t="str">
        <x:f>IF(C279="","",IFERROR(IF(P279&gt;0,P279*(1-AM279/(1+INDEX('Facilities'!$K$9:$K$108,MATCH(C279,'Facilities'!$C$9:$C$108,0)))^MAX(0,AC279+INDEX('Facilities'!$AK$9:$AK$108,MATCH(C279,'Facilities'!$C$9:$C$108,0))-D279)),0),"Unavailable"))</x:f>
      </x:c>
      <x:c r="AM279" s="30" t="str">
        <x:f>IF(C279="","",IFERROR(INDEX('Facilities'!$AL$9:$AL$108,MATCH(C279,'Facilities'!$C$9:$C$108,0)),"Unavailable"))</x:f>
      </x:c>
      <x:c r="AN279" s="30" t="str">
        <x:f>IF(C279="","",IFERROR(INDEX(Credit!$T$209:$T$308,MATCH(F279,Credit!$C$209:$C$308,0)),"Unavailable"))</x:f>
      </x:c>
      <x:c r="AO279" s="23" t="str">
        <x:f>IF(C279="","",IF(AQ279&lt;&gt;"Ready","Unavailable",IF(C279="","",O279+P279+Q279*INDEX('Facilities'!$I$9:$I$108,MATCH(C279,'Facilities'!$C$9:$C$108,0)))))</x:f>
      </x:c>
      <x:c r="AP279" s="21" t="str">
        <x:f>IF(C279="","",IF(AQ279&lt;&gt;"Ready","Unavailable",IF(C279="","",AH279-U279)))</x:f>
      </x:c>
      <x:c r="AQ279" s="23" t="str">
        <x:f>IFERROR(IF(C279="","",IF(AND(INDEX('Facilities'!$AF$9:$AF$108,MATCH(C279,'Facilities'!$C$9:$C$108,0))="Ready",INDEX(Credit!$U$209:$U$308,MATCH(F279,Credit!$C$209:$C$308,0))="Ready",ISNUMBER(W279)),"Ready","Review inputs")),"Review inputs")</x:f>
      </x:c>
      <x:c r="AR279" s="23" t="str">
        <x:f>IF(C279="","",IF(AQ279&lt;&gt;"Ready","Unavailable",IF(C279="","",IF(O279=0,0,(IF(AJ279&lt;=1,O279,O279*INDEX('Facilities'!$R$9:$R$108,MATCH(C279,'Facilities'!$C$9:$C$108,0)))+O279*INDEX('Facilities'!$T$9:$T$108,MATCH(C279,'Facilities'!$C$9:$C$108,0)))/12))))</x:f>
      </x:c>
    </x:row>
    <x:row r="280" ht="26" customHeight="1">
      <x:c r="A280" s="1"/>
      <x:c r="B280" s="1"/>
      <x:c r="C280" s="9" t="str">
        <x:f>IF(Facilities!C80="","",Facilities!C80)</x:f>
      </x:c>
      <x:c r="D280" s="3" t="n">
        <x:v>3</x:v>
      </x:c>
      <x:c r="E280" s="9" t="n">
        <x:f>Settings!$F$18+2</x:f>
        <x:v>2029</x:v>
      </x:c>
      <x:c r="F280" s="9" t="str">
        <x:f>IF(C280="","",IFERROR(INDEX('Facilities'!$D$9:$D$108,MATCH(C280,'Facilities'!$C$9:$C$108,0)),"Unavailable"))</x:f>
      </x:c>
      <x:c r="G280" s="21" t="str">
        <x:f>IF(C280="","",IFERROR(O180,"Unavailable"))</x:f>
      </x:c>
      <x:c r="H280" s="21" t="str">
        <x:f>IF(C280="","",IFERROR(P180,"Unavailable"))</x:f>
      </x:c>
      <x:c r="I280" s="21" t="str">
        <x:f>IF(C280="","",IFERROR(Q180,"Unavailable"))</x:f>
      </x:c>
      <x:c r="J280" s="23" t="str">
        <x:f>IF(C280="","",IFERROR(IF(OR(H280&gt;0,AND(AC280&gt;=0,AC280&lt;D280),D280&gt;INDEX('Facilities'!$J$9:$J$108,MATCH(C280,'Facilities'!$C$9:$C$108,0))),0,I280*'Scenario Paths'!H81),"Unavailable"))</x:f>
      </x:c>
      <x:c r="K280" s="23" t="str">
        <x:f>IF(C280="","",IFERROR(IF(OR(H280&gt;0,AND(AC280&gt;=0,AC280=D280)),0,IF(D280&gt;=INDEX('Facilities'!$J$9:$J$108,MATCH(C280,'Facilities'!$C$9:$C$108,0)),G280+J280,MIN(G280+J280,G280*INDEX('Facilities'!$R$9:$R$108,MATCH(C280,'Facilities'!$C$9:$C$108,0))))),"Unavailable"))</x:f>
      </x:c>
      <x:c r="L280" s="21" t="str">
        <x:f>IF(C280="","",IFERROR(IF(AND(AC280=D280,AC280&gt;0),MAX(0,G280+J280-K280),0),"Unavailable"))</x:f>
      </x:c>
      <x:c r="M280" s="23" t="str">
        <x:f>IF(C280="","",IFERROR(IF(AND(AC280&gt;=0,D280&gt;=AC280+INDEX('Facilities'!$AK$9:$AK$108,MATCH(C280,'Facilities'!$C$9:$C$108,0))),(H280+L280)*AM280,0),"Unavailable"))</x:f>
      </x:c>
      <x:c r="N280" s="23" t="str">
        <x:f>IF(C280="","",IFERROR(IF(AND(AC280&gt;=0,D280&gt;=AC280+INDEX('Facilities'!$AK$9:$AK$108,MATCH(C280,'Facilities'!$C$9:$C$108,0))),H280+L280-M280,0),"Unavailable"))</x:f>
      </x:c>
      <x:c r="O280" s="21" t="str">
        <x:f>IF(C280="","",IFERROR(MAX(0,G280+J280-K280-L280),"Unavailable"))</x:f>
      </x:c>
      <x:c r="P280" s="21" t="str">
        <x:f>IF(C280="","",IFERROR(MAX(0,H280+L280-M280-N280),"Unavailable"))</x:f>
      </x:c>
      <x:c r="Q280" s="23" t="str">
        <x:f>IF(C280="","",IFERROR(IF(OR(D280&gt;=INDEX('Facilities'!$J$9:$J$108,MATCH(C280,'Facilities'!$C$9:$C$108,0)),AND(AC280&gt;=0,AC280&lt;=D280)),0,MAX(0,I280-J280)),"Unavailable"))</x:f>
      </x:c>
      <x:c r="R280" s="30" t="str">
        <x:f>IF(C280="","",IFERROR(INDEX(Credit!$Q$209:$Q$308,MATCH(F280,Credit!$C$209:$C$308,0)),"Unavailable"))</x:f>
      </x:c>
      <x:c r="S280" s="30" t="str">
        <x:f>IF(C280="","",IFERROR(INDEX(Credit!$R$209:$R$308,MATCH(F280,Credit!$C$209:$C$308,0)),"Unavailable"))</x:f>
      </x:c>
      <x:c r="T280" s="23" t="str">
        <x:f>IF(C280="","",IFERROR(IF(P280&gt;0,3,IF(OR(INDEX('Facilities'!$AD$9:$AD$108,MATCH(C280,'Facilities'!$C$9:$C$108,0))=2,AND(R280&gt;=INDEX('Facilities'!$L$9:$L$108,MATCH(C280,'Facilities'!$C$9:$C$108,0))*Settings!$F$19,R280-INDEX('Facilities'!$L$9:$L$108,MATCH(C280,'Facilities'!$C$9:$C$108,0))&gt;=Settings!$F$20)),2,1)),"Unavailable"))</x:f>
      </x:c>
      <x:c r="U280" s="23" t="str">
        <x:f>IF(C280="","",IF(AQ280&lt;&gt;"Ready","Unavailable",IF(C280="","",O280*(1-(1-S280)/(1+INDEX('Facilities'!$K$9:$K$108,MATCH(C280,'Facilities'!$C$9:$C$108,0)))^INDEX('Facilities'!$AK$9:$AK$108,MATCH(C280,'Facilities'!$C$9:$C$108,0)))*R280/(1+INDEX('Facilities'!$K$9:$K$108,MATCH(C280,'Facilities'!$C$9:$C$108,0)))*IF(ABS(1-(1-R280)*(1-INDEX('Facilities'!$R$9:$R$108,MATCH(C280,'Facilities'!$C$9:$C$108,0)))/(1+INDEX('Facilities'!$K$9:$K$108,MATCH(C280,'Facilities'!$C$9:$C$108,0))))&lt;0.000000001,IF(T280=1,MIN(1,AJ280),AJ280),(1-((1-R280)*(1-INDEX('Facilities'!$R$9:$R$108,MATCH(C280,'Facilities'!$C$9:$C$108,0)))/(1+INDEX('Facilities'!$K$9:$K$108,MATCH(C280,'Facilities'!$C$9:$C$108,0))))^IF(T280=1,MIN(1,AJ280),AJ280))/(1-(1-R280)*(1-INDEX('Facilities'!$R$9:$R$108,MATCH(C280,'Facilities'!$C$9:$C$108,0)))/(1+INDEX('Facilities'!$K$9:$K$108,MATCH(C280,'Facilities'!$C$9:$C$108,0)))))+AL280)))</x:f>
      </x:c>
      <x:c r="V280" s="23" t="str">
        <x:f>IF(C280="","",IF(AQ280&lt;&gt;"Ready","Unavailable",IF(C280="","",Q280*INDEX('Facilities'!$I$9:$I$108,MATCH(C280,'Facilities'!$C$9:$C$108,0))*(1-(1-S280)/(1+INDEX('Facilities'!$K$9:$K$108,MATCH(C280,'Facilities'!$C$9:$C$108,0)))^INDEX('Facilities'!$AK$9:$AK$108,MATCH(C280,'Facilities'!$C$9:$C$108,0)))*R280/(1+INDEX('Facilities'!$K$9:$K$108,MATCH(C280,'Facilities'!$C$9:$C$108,0)))*IF(ABS(1-(1-R280)*(1-0)/(1+INDEX('Facilities'!$K$9:$K$108,MATCH(C280,'Facilities'!$C$9:$C$108,0))))&lt;0.000000001,IF(T280=1,MIN(1,AJ280),AJ280),(1-((1-R280)*(1-0)/(1+INDEX('Facilities'!$K$9:$K$108,MATCH(C280,'Facilities'!$C$9:$C$108,0))))^IF(T280=1,MIN(1,AJ280),AJ280))/(1-(1-R280)*(1-0)/(1+INDEX('Facilities'!$K$9:$K$108,MATCH(C280,'Facilities'!$C$9:$C$108,0))))))))</x:f>
      </x:c>
      <x:c r="W280" s="21" t="str">
        <x:f>IF(C280="","",IFERROR(U180,"Unavailable"))</x:f>
      </x:c>
      <x:c r="X280" s="21" t="str">
        <x:f>IF(C280="","",IFERROR(V180,"Unavailable"))</x:f>
      </x:c>
      <x:c r="Y280" s="21" t="str">
        <x:f>IF(C280="","",IF(AQ280&lt;&gt;"Ready","Unavailable",IF(C280="","",U280-W280+V280-X280+N280+AG280)))</x:f>
      </x:c>
      <x:c r="Z280" s="23" t="str">
        <x:f>IF(C280="","",IF(AQ280&lt;&gt;"Ready","Unavailable",IF(C280="","",(G280+O280+L280)/2*INDEX('Facilities'!$T$9:$T$108,MATCH(C280,'Facilities'!$C$9:$C$108,0))+AG280)))</x:f>
      </x:c>
      <x:c r="AA280" s="23" t="str">
        <x:f>IF(C280="","",IF(AQ280&lt;&gt;"Ready","Unavailable",IF(C280="","",O280*(1-IF(INDEX('Facilities'!$AA$9:$AA$108,MATCH(C280,'Facilities'!$C$9:$C$108,0))=0,0,MIN(1,INDEX('Facilities'!$X$9:$X$108,MATCH(C280,'Facilities'!$C$9:$C$108,0))/INDEX('Facilities'!$AA$9:$AA$108,MATCH(C280,'Facilities'!$C$9:$C$108,0)))))*AF280+P280*(1-IF(INDEX('Facilities'!$AA$9:$AA$108,MATCH(C280,'Facilities'!$C$9:$C$108,0))=0,0,MIN(1,INDEX('Facilities'!$X$9:$X$108,MATCH(C280,'Facilities'!$C$9:$C$108,0))/INDEX('Facilities'!$AA$9:$AA$108,MATCH(C280,'Facilities'!$C$9:$C$108,0)))))*INDEX('Facilities'!$AJ$9:$AJ$108,MATCH(C280,'Facilities'!$C$9:$C$108,0))+Q280*INDEX('Facilities'!$AI$9:$AI$108,MATCH(C280,'Facilities'!$C$9:$C$108,0))*AF280)))</x:f>
      </x:c>
      <x:c r="AB280" s="21" t="str">
        <x:f>IF(C280="","",O280+P280-AD280)</x:f>
      </x:c>
      <x:c r="AC280" s="23" t="str">
        <x:f>IF(C280="","",IFERROR(IF(INDEX('Facilities'!$AD$9:$AD$108,MATCH(C280,'Facilities'!$C$9:$C$108,0))=3,0,IF(INDEX('Facilities'!$AN$9:$AN$108,MATCH(C280,'Facilities'!$C$9:$C$108,0))=0,-1,INDEX('Facilities'!$AN$9:$AN$108,MATCH(C280,'Facilities'!$C$9:$C$108,0)))),"Unavailable"))</x:f>
      </x:c>
      <x:c r="AD280" s="21" t="str">
        <x:f>IF(C280="","",IFERROR(G280+H280,"Unavailable"))</x:f>
      </x:c>
      <x:c r="AE280" s="21" t="str">
        <x:f>IF(C280="","",IF(AQ280&lt;&gt;"Ready","Unavailable",IF(C280="","",O280+P280-AD280-J280+K280+M280+N280)))</x:f>
      </x:c>
      <x:c r="AF280" s="30" t="str">
        <x:f>IF(C280="","",IFERROR(INDEX('Facilities'!$S$9:$S$108,MATCH(C280,'Facilities'!$C$9:$C$108,0))*'Scenario Paths'!H75,"Unavailable"))</x:f>
      </x:c>
      <x:c r="AG280" s="23" t="str">
        <x:f>IF(C280="","",IF(AQ280&lt;&gt;"Ready","Unavailable",IF(C280="","",IF(H280&gt;0,MAX(0,H280-AK280)*((1+INDEX('Facilities'!$K$9:$K$108,MATCH(C280,'Facilities'!$C$9:$C$108,0)))^MIN(1,MAX(0,AC280+INDEX('Facilities'!$AK$9:$AK$108,MATCH(C280,'Facilities'!$C$9:$C$108,0))-D280+1))-1),0))))</x:f>
      </x:c>
      <x:c r="AH280" s="21" t="str">
        <x:f>IF(C280="","",IF(AQ280&lt;&gt;"Ready","Unavailable",IF(C280="","",O280+P280)))</x:f>
      </x:c>
      <x:c r="AI280" s="21" t="str">
        <x:f>IF(C280="","",IF(AQ280&lt;&gt;"Ready","Unavailable",IF(C280="","",Z280-Y280)))</x:f>
      </x:c>
      <x:c r="AJ280" s="23" t="str">
        <x:f>IF(C280="","",IFERROR(MAX(0,INDEX('Facilities'!$J$9:$J$108,MATCH(C280,'Facilities'!$C$9:$C$108,0))-D280),"Unavailable"))</x:f>
      </x:c>
      <x:c r="AK280" s="21" t="str">
        <x:f>IF(C280="","",IFERROR(AL180,"Unavailable"))</x:f>
      </x:c>
      <x:c r="AL280" s="23" t="str">
        <x:f>IF(C280="","",IFERROR(IF(P280&gt;0,P280*(1-AM280/(1+INDEX('Facilities'!$K$9:$K$108,MATCH(C280,'Facilities'!$C$9:$C$108,0)))^MAX(0,AC280+INDEX('Facilities'!$AK$9:$AK$108,MATCH(C280,'Facilities'!$C$9:$C$108,0))-D280)),0),"Unavailable"))</x:f>
      </x:c>
      <x:c r="AM280" s="30" t="str">
        <x:f>IF(C280="","",IFERROR(INDEX('Facilities'!$AL$9:$AL$108,MATCH(C280,'Facilities'!$C$9:$C$108,0)),"Unavailable"))</x:f>
      </x:c>
      <x:c r="AN280" s="30" t="str">
        <x:f>IF(C280="","",IFERROR(INDEX(Credit!$T$209:$T$308,MATCH(F280,Credit!$C$209:$C$308,0)),"Unavailable"))</x:f>
      </x:c>
      <x:c r="AO280" s="23" t="str">
        <x:f>IF(C280="","",IF(AQ280&lt;&gt;"Ready","Unavailable",IF(C280="","",O280+P280+Q280*INDEX('Facilities'!$I$9:$I$108,MATCH(C280,'Facilities'!$C$9:$C$108,0)))))</x:f>
      </x:c>
      <x:c r="AP280" s="21" t="str">
        <x:f>IF(C280="","",IF(AQ280&lt;&gt;"Ready","Unavailable",IF(C280="","",AH280-U280)))</x:f>
      </x:c>
      <x:c r="AQ280" s="23" t="str">
        <x:f>IFERROR(IF(C280="","",IF(AND(INDEX('Facilities'!$AF$9:$AF$108,MATCH(C280,'Facilities'!$C$9:$C$108,0))="Ready",INDEX(Credit!$U$209:$U$308,MATCH(F280,Credit!$C$209:$C$308,0))="Ready",ISNUMBER(W280)),"Ready","Review inputs")),"Review inputs")</x:f>
      </x:c>
      <x:c r="AR280" s="23" t="str">
        <x:f>IF(C280="","",IF(AQ280&lt;&gt;"Ready","Unavailable",IF(C280="","",IF(O280=0,0,(IF(AJ280&lt;=1,O280,O280*INDEX('Facilities'!$R$9:$R$108,MATCH(C280,'Facilities'!$C$9:$C$108,0)))+O280*INDEX('Facilities'!$T$9:$T$108,MATCH(C280,'Facilities'!$C$9:$C$108,0)))/12))))</x:f>
      </x:c>
    </x:row>
    <x:row r="281" ht="26" customHeight="1">
      <x:c r="A281" s="1"/>
      <x:c r="B281" s="1"/>
      <x:c r="C281" s="9" t="str">
        <x:f>IF(Facilities!C81="","",Facilities!C81)</x:f>
      </x:c>
      <x:c r="D281" s="3" t="n">
        <x:v>3</x:v>
      </x:c>
      <x:c r="E281" s="9" t="n">
        <x:f>Settings!$F$18+2</x:f>
        <x:v>2029</x:v>
      </x:c>
      <x:c r="F281" s="9" t="str">
        <x:f>IF(C281="","",IFERROR(INDEX('Facilities'!$D$9:$D$108,MATCH(C281,'Facilities'!$C$9:$C$108,0)),"Unavailable"))</x:f>
      </x:c>
      <x:c r="G281" s="21" t="str">
        <x:f>IF(C281="","",IFERROR(O181,"Unavailable"))</x:f>
      </x:c>
      <x:c r="H281" s="21" t="str">
        <x:f>IF(C281="","",IFERROR(P181,"Unavailable"))</x:f>
      </x:c>
      <x:c r="I281" s="21" t="str">
        <x:f>IF(C281="","",IFERROR(Q181,"Unavailable"))</x:f>
      </x:c>
      <x:c r="J281" s="23" t="str">
        <x:f>IF(C281="","",IFERROR(IF(OR(H281&gt;0,AND(AC281&gt;=0,AC281&lt;D281),D281&gt;INDEX('Facilities'!$J$9:$J$108,MATCH(C281,'Facilities'!$C$9:$C$108,0))),0,I281*'Scenario Paths'!H81),"Unavailable"))</x:f>
      </x:c>
      <x:c r="K281" s="23" t="str">
        <x:f>IF(C281="","",IFERROR(IF(OR(H281&gt;0,AND(AC281&gt;=0,AC281=D281)),0,IF(D281&gt;=INDEX('Facilities'!$J$9:$J$108,MATCH(C281,'Facilities'!$C$9:$C$108,0)),G281+J281,MIN(G281+J281,G281*INDEX('Facilities'!$R$9:$R$108,MATCH(C281,'Facilities'!$C$9:$C$108,0))))),"Unavailable"))</x:f>
      </x:c>
      <x:c r="L281" s="21" t="str">
        <x:f>IF(C281="","",IFERROR(IF(AND(AC281=D281,AC281&gt;0),MAX(0,G281+J281-K281),0),"Unavailable"))</x:f>
      </x:c>
      <x:c r="M281" s="23" t="str">
        <x:f>IF(C281="","",IFERROR(IF(AND(AC281&gt;=0,D281&gt;=AC281+INDEX('Facilities'!$AK$9:$AK$108,MATCH(C281,'Facilities'!$C$9:$C$108,0))),(H281+L281)*AM281,0),"Unavailable"))</x:f>
      </x:c>
      <x:c r="N281" s="23" t="str">
        <x:f>IF(C281="","",IFERROR(IF(AND(AC281&gt;=0,D281&gt;=AC281+INDEX('Facilities'!$AK$9:$AK$108,MATCH(C281,'Facilities'!$C$9:$C$108,0))),H281+L281-M281,0),"Unavailable"))</x:f>
      </x:c>
      <x:c r="O281" s="21" t="str">
        <x:f>IF(C281="","",IFERROR(MAX(0,G281+J281-K281-L281),"Unavailable"))</x:f>
      </x:c>
      <x:c r="P281" s="21" t="str">
        <x:f>IF(C281="","",IFERROR(MAX(0,H281+L281-M281-N281),"Unavailable"))</x:f>
      </x:c>
      <x:c r="Q281" s="23" t="str">
        <x:f>IF(C281="","",IFERROR(IF(OR(D281&gt;=INDEX('Facilities'!$J$9:$J$108,MATCH(C281,'Facilities'!$C$9:$C$108,0)),AND(AC281&gt;=0,AC281&lt;=D281)),0,MAX(0,I281-J281)),"Unavailable"))</x:f>
      </x:c>
      <x:c r="R281" s="30" t="str">
        <x:f>IF(C281="","",IFERROR(INDEX(Credit!$Q$209:$Q$308,MATCH(F281,Credit!$C$209:$C$308,0)),"Unavailable"))</x:f>
      </x:c>
      <x:c r="S281" s="30" t="str">
        <x:f>IF(C281="","",IFERROR(INDEX(Credit!$R$209:$R$308,MATCH(F281,Credit!$C$209:$C$308,0)),"Unavailable"))</x:f>
      </x:c>
      <x:c r="T281" s="23" t="str">
        <x:f>IF(C281="","",IFERROR(IF(P281&gt;0,3,IF(OR(INDEX('Facilities'!$AD$9:$AD$108,MATCH(C281,'Facilities'!$C$9:$C$108,0))=2,AND(R281&gt;=INDEX('Facilities'!$L$9:$L$108,MATCH(C281,'Facilities'!$C$9:$C$108,0))*Settings!$F$19,R281-INDEX('Facilities'!$L$9:$L$108,MATCH(C281,'Facilities'!$C$9:$C$108,0))&gt;=Settings!$F$20)),2,1)),"Unavailable"))</x:f>
      </x:c>
      <x:c r="U281" s="23" t="str">
        <x:f>IF(C281="","",IF(AQ281&lt;&gt;"Ready","Unavailable",IF(C281="","",O281*(1-(1-S281)/(1+INDEX('Facilities'!$K$9:$K$108,MATCH(C281,'Facilities'!$C$9:$C$108,0)))^INDEX('Facilities'!$AK$9:$AK$108,MATCH(C281,'Facilities'!$C$9:$C$108,0)))*R281/(1+INDEX('Facilities'!$K$9:$K$108,MATCH(C281,'Facilities'!$C$9:$C$108,0)))*IF(ABS(1-(1-R281)*(1-INDEX('Facilities'!$R$9:$R$108,MATCH(C281,'Facilities'!$C$9:$C$108,0)))/(1+INDEX('Facilities'!$K$9:$K$108,MATCH(C281,'Facilities'!$C$9:$C$108,0))))&lt;0.000000001,IF(T281=1,MIN(1,AJ281),AJ281),(1-((1-R281)*(1-INDEX('Facilities'!$R$9:$R$108,MATCH(C281,'Facilities'!$C$9:$C$108,0)))/(1+INDEX('Facilities'!$K$9:$K$108,MATCH(C281,'Facilities'!$C$9:$C$108,0))))^IF(T281=1,MIN(1,AJ281),AJ281))/(1-(1-R281)*(1-INDEX('Facilities'!$R$9:$R$108,MATCH(C281,'Facilities'!$C$9:$C$108,0)))/(1+INDEX('Facilities'!$K$9:$K$108,MATCH(C281,'Facilities'!$C$9:$C$108,0)))))+AL281)))</x:f>
      </x:c>
      <x:c r="V281" s="23" t="str">
        <x:f>IF(C281="","",IF(AQ281&lt;&gt;"Ready","Unavailable",IF(C281="","",Q281*INDEX('Facilities'!$I$9:$I$108,MATCH(C281,'Facilities'!$C$9:$C$108,0))*(1-(1-S281)/(1+INDEX('Facilities'!$K$9:$K$108,MATCH(C281,'Facilities'!$C$9:$C$108,0)))^INDEX('Facilities'!$AK$9:$AK$108,MATCH(C281,'Facilities'!$C$9:$C$108,0)))*R281/(1+INDEX('Facilities'!$K$9:$K$108,MATCH(C281,'Facilities'!$C$9:$C$108,0)))*IF(ABS(1-(1-R281)*(1-0)/(1+INDEX('Facilities'!$K$9:$K$108,MATCH(C281,'Facilities'!$C$9:$C$108,0))))&lt;0.000000001,IF(T281=1,MIN(1,AJ281),AJ281),(1-((1-R281)*(1-0)/(1+INDEX('Facilities'!$K$9:$K$108,MATCH(C281,'Facilities'!$C$9:$C$108,0))))^IF(T281=1,MIN(1,AJ281),AJ281))/(1-(1-R281)*(1-0)/(1+INDEX('Facilities'!$K$9:$K$108,MATCH(C281,'Facilities'!$C$9:$C$108,0))))))))</x:f>
      </x:c>
      <x:c r="W281" s="21" t="str">
        <x:f>IF(C281="","",IFERROR(U181,"Unavailable"))</x:f>
      </x:c>
      <x:c r="X281" s="21" t="str">
        <x:f>IF(C281="","",IFERROR(V181,"Unavailable"))</x:f>
      </x:c>
      <x:c r="Y281" s="21" t="str">
        <x:f>IF(C281="","",IF(AQ281&lt;&gt;"Ready","Unavailable",IF(C281="","",U281-W281+V281-X281+N281+AG281)))</x:f>
      </x:c>
      <x:c r="Z281" s="23" t="str">
        <x:f>IF(C281="","",IF(AQ281&lt;&gt;"Ready","Unavailable",IF(C281="","",(G281+O281+L281)/2*INDEX('Facilities'!$T$9:$T$108,MATCH(C281,'Facilities'!$C$9:$C$108,0))+AG281)))</x:f>
      </x:c>
      <x:c r="AA281" s="23" t="str">
        <x:f>IF(C281="","",IF(AQ281&lt;&gt;"Ready","Unavailable",IF(C281="","",O281*(1-IF(INDEX('Facilities'!$AA$9:$AA$108,MATCH(C281,'Facilities'!$C$9:$C$108,0))=0,0,MIN(1,INDEX('Facilities'!$X$9:$X$108,MATCH(C281,'Facilities'!$C$9:$C$108,0))/INDEX('Facilities'!$AA$9:$AA$108,MATCH(C281,'Facilities'!$C$9:$C$108,0)))))*AF281+P281*(1-IF(INDEX('Facilities'!$AA$9:$AA$108,MATCH(C281,'Facilities'!$C$9:$C$108,0))=0,0,MIN(1,INDEX('Facilities'!$X$9:$X$108,MATCH(C281,'Facilities'!$C$9:$C$108,0))/INDEX('Facilities'!$AA$9:$AA$108,MATCH(C281,'Facilities'!$C$9:$C$108,0)))))*INDEX('Facilities'!$AJ$9:$AJ$108,MATCH(C281,'Facilities'!$C$9:$C$108,0))+Q281*INDEX('Facilities'!$AI$9:$AI$108,MATCH(C281,'Facilities'!$C$9:$C$108,0))*AF281)))</x:f>
      </x:c>
      <x:c r="AB281" s="21" t="str">
        <x:f>IF(C281="","",O281+P281-AD281)</x:f>
      </x:c>
      <x:c r="AC281" s="23" t="str">
        <x:f>IF(C281="","",IFERROR(IF(INDEX('Facilities'!$AD$9:$AD$108,MATCH(C281,'Facilities'!$C$9:$C$108,0))=3,0,IF(INDEX('Facilities'!$AN$9:$AN$108,MATCH(C281,'Facilities'!$C$9:$C$108,0))=0,-1,INDEX('Facilities'!$AN$9:$AN$108,MATCH(C281,'Facilities'!$C$9:$C$108,0)))),"Unavailable"))</x:f>
      </x:c>
      <x:c r="AD281" s="21" t="str">
        <x:f>IF(C281="","",IFERROR(G281+H281,"Unavailable"))</x:f>
      </x:c>
      <x:c r="AE281" s="21" t="str">
        <x:f>IF(C281="","",IF(AQ281&lt;&gt;"Ready","Unavailable",IF(C281="","",O281+P281-AD281-J281+K281+M281+N281)))</x:f>
      </x:c>
      <x:c r="AF281" s="30" t="str">
        <x:f>IF(C281="","",IFERROR(INDEX('Facilities'!$S$9:$S$108,MATCH(C281,'Facilities'!$C$9:$C$108,0))*'Scenario Paths'!H75,"Unavailable"))</x:f>
      </x:c>
      <x:c r="AG281" s="23" t="str">
        <x:f>IF(C281="","",IF(AQ281&lt;&gt;"Ready","Unavailable",IF(C281="","",IF(H281&gt;0,MAX(0,H281-AK281)*((1+INDEX('Facilities'!$K$9:$K$108,MATCH(C281,'Facilities'!$C$9:$C$108,0)))^MIN(1,MAX(0,AC281+INDEX('Facilities'!$AK$9:$AK$108,MATCH(C281,'Facilities'!$C$9:$C$108,0))-D281+1))-1),0))))</x:f>
      </x:c>
      <x:c r="AH281" s="21" t="str">
        <x:f>IF(C281="","",IF(AQ281&lt;&gt;"Ready","Unavailable",IF(C281="","",O281+P281)))</x:f>
      </x:c>
      <x:c r="AI281" s="21" t="str">
        <x:f>IF(C281="","",IF(AQ281&lt;&gt;"Ready","Unavailable",IF(C281="","",Z281-Y281)))</x:f>
      </x:c>
      <x:c r="AJ281" s="23" t="str">
        <x:f>IF(C281="","",IFERROR(MAX(0,INDEX('Facilities'!$J$9:$J$108,MATCH(C281,'Facilities'!$C$9:$C$108,0))-D281),"Unavailable"))</x:f>
      </x:c>
      <x:c r="AK281" s="21" t="str">
        <x:f>IF(C281="","",IFERROR(AL181,"Unavailable"))</x:f>
      </x:c>
      <x:c r="AL281" s="23" t="str">
        <x:f>IF(C281="","",IFERROR(IF(P281&gt;0,P281*(1-AM281/(1+INDEX('Facilities'!$K$9:$K$108,MATCH(C281,'Facilities'!$C$9:$C$108,0)))^MAX(0,AC281+INDEX('Facilities'!$AK$9:$AK$108,MATCH(C281,'Facilities'!$C$9:$C$108,0))-D281)),0),"Unavailable"))</x:f>
      </x:c>
      <x:c r="AM281" s="30" t="str">
        <x:f>IF(C281="","",IFERROR(INDEX('Facilities'!$AL$9:$AL$108,MATCH(C281,'Facilities'!$C$9:$C$108,0)),"Unavailable"))</x:f>
      </x:c>
      <x:c r="AN281" s="30" t="str">
        <x:f>IF(C281="","",IFERROR(INDEX(Credit!$T$209:$T$308,MATCH(F281,Credit!$C$209:$C$308,0)),"Unavailable"))</x:f>
      </x:c>
      <x:c r="AO281" s="23" t="str">
        <x:f>IF(C281="","",IF(AQ281&lt;&gt;"Ready","Unavailable",IF(C281="","",O281+P281+Q281*INDEX('Facilities'!$I$9:$I$108,MATCH(C281,'Facilities'!$C$9:$C$108,0)))))</x:f>
      </x:c>
      <x:c r="AP281" s="21" t="str">
        <x:f>IF(C281="","",IF(AQ281&lt;&gt;"Ready","Unavailable",IF(C281="","",AH281-U281)))</x:f>
      </x:c>
      <x:c r="AQ281" s="23" t="str">
        <x:f>IFERROR(IF(C281="","",IF(AND(INDEX('Facilities'!$AF$9:$AF$108,MATCH(C281,'Facilities'!$C$9:$C$108,0))="Ready",INDEX(Credit!$U$209:$U$308,MATCH(F281,Credit!$C$209:$C$308,0))="Ready",ISNUMBER(W281)),"Ready","Review inputs")),"Review inputs")</x:f>
      </x:c>
      <x:c r="AR281" s="23" t="str">
        <x:f>IF(C281="","",IF(AQ281&lt;&gt;"Ready","Unavailable",IF(C281="","",IF(O281=0,0,(IF(AJ281&lt;=1,O281,O281*INDEX('Facilities'!$R$9:$R$108,MATCH(C281,'Facilities'!$C$9:$C$108,0)))+O281*INDEX('Facilities'!$T$9:$T$108,MATCH(C281,'Facilities'!$C$9:$C$108,0)))/12))))</x:f>
      </x:c>
    </x:row>
    <x:row r="282" ht="26" customHeight="1">
      <x:c r="A282" s="1"/>
      <x:c r="B282" s="1"/>
      <x:c r="C282" s="9" t="str">
        <x:f>IF(Facilities!C82="","",Facilities!C82)</x:f>
      </x:c>
      <x:c r="D282" s="3" t="n">
        <x:v>3</x:v>
      </x:c>
      <x:c r="E282" s="9" t="n">
        <x:f>Settings!$F$18+2</x:f>
        <x:v>2029</x:v>
      </x:c>
      <x:c r="F282" s="9" t="str">
        <x:f>IF(C282="","",IFERROR(INDEX('Facilities'!$D$9:$D$108,MATCH(C282,'Facilities'!$C$9:$C$108,0)),"Unavailable"))</x:f>
      </x:c>
      <x:c r="G282" s="21" t="str">
        <x:f>IF(C282="","",IFERROR(O182,"Unavailable"))</x:f>
      </x:c>
      <x:c r="H282" s="21" t="str">
        <x:f>IF(C282="","",IFERROR(P182,"Unavailable"))</x:f>
      </x:c>
      <x:c r="I282" s="21" t="str">
        <x:f>IF(C282="","",IFERROR(Q182,"Unavailable"))</x:f>
      </x:c>
      <x:c r="J282" s="23" t="str">
        <x:f>IF(C282="","",IFERROR(IF(OR(H282&gt;0,AND(AC282&gt;=0,AC282&lt;D282),D282&gt;INDEX('Facilities'!$J$9:$J$108,MATCH(C282,'Facilities'!$C$9:$C$108,0))),0,I282*'Scenario Paths'!H81),"Unavailable"))</x:f>
      </x:c>
      <x:c r="K282" s="23" t="str">
        <x:f>IF(C282="","",IFERROR(IF(OR(H282&gt;0,AND(AC282&gt;=0,AC282=D282)),0,IF(D282&gt;=INDEX('Facilities'!$J$9:$J$108,MATCH(C282,'Facilities'!$C$9:$C$108,0)),G282+J282,MIN(G282+J282,G282*INDEX('Facilities'!$R$9:$R$108,MATCH(C282,'Facilities'!$C$9:$C$108,0))))),"Unavailable"))</x:f>
      </x:c>
      <x:c r="L282" s="21" t="str">
        <x:f>IF(C282="","",IFERROR(IF(AND(AC282=D282,AC282&gt;0),MAX(0,G282+J282-K282),0),"Unavailable"))</x:f>
      </x:c>
      <x:c r="M282" s="23" t="str">
        <x:f>IF(C282="","",IFERROR(IF(AND(AC282&gt;=0,D282&gt;=AC282+INDEX('Facilities'!$AK$9:$AK$108,MATCH(C282,'Facilities'!$C$9:$C$108,0))),(H282+L282)*AM282,0),"Unavailable"))</x:f>
      </x:c>
      <x:c r="N282" s="23" t="str">
        <x:f>IF(C282="","",IFERROR(IF(AND(AC282&gt;=0,D282&gt;=AC282+INDEX('Facilities'!$AK$9:$AK$108,MATCH(C282,'Facilities'!$C$9:$C$108,0))),H282+L282-M282,0),"Unavailable"))</x:f>
      </x:c>
      <x:c r="O282" s="21" t="str">
        <x:f>IF(C282="","",IFERROR(MAX(0,G282+J282-K282-L282),"Unavailable"))</x:f>
      </x:c>
      <x:c r="P282" s="21" t="str">
        <x:f>IF(C282="","",IFERROR(MAX(0,H282+L282-M282-N282),"Unavailable"))</x:f>
      </x:c>
      <x:c r="Q282" s="23" t="str">
        <x:f>IF(C282="","",IFERROR(IF(OR(D282&gt;=INDEX('Facilities'!$J$9:$J$108,MATCH(C282,'Facilities'!$C$9:$C$108,0)),AND(AC282&gt;=0,AC282&lt;=D282)),0,MAX(0,I282-J282)),"Unavailable"))</x:f>
      </x:c>
      <x:c r="R282" s="30" t="str">
        <x:f>IF(C282="","",IFERROR(INDEX(Credit!$Q$209:$Q$308,MATCH(F282,Credit!$C$209:$C$308,0)),"Unavailable"))</x:f>
      </x:c>
      <x:c r="S282" s="30" t="str">
        <x:f>IF(C282="","",IFERROR(INDEX(Credit!$R$209:$R$308,MATCH(F282,Credit!$C$209:$C$308,0)),"Unavailable"))</x:f>
      </x:c>
      <x:c r="T282" s="23" t="str">
        <x:f>IF(C282="","",IFERROR(IF(P282&gt;0,3,IF(OR(INDEX('Facilities'!$AD$9:$AD$108,MATCH(C282,'Facilities'!$C$9:$C$108,0))=2,AND(R282&gt;=INDEX('Facilities'!$L$9:$L$108,MATCH(C282,'Facilities'!$C$9:$C$108,0))*Settings!$F$19,R282-INDEX('Facilities'!$L$9:$L$108,MATCH(C282,'Facilities'!$C$9:$C$108,0))&gt;=Settings!$F$20)),2,1)),"Unavailable"))</x:f>
      </x:c>
      <x:c r="U282" s="23" t="str">
        <x:f>IF(C282="","",IF(AQ282&lt;&gt;"Ready","Unavailable",IF(C282="","",O282*(1-(1-S282)/(1+INDEX('Facilities'!$K$9:$K$108,MATCH(C282,'Facilities'!$C$9:$C$108,0)))^INDEX('Facilities'!$AK$9:$AK$108,MATCH(C282,'Facilities'!$C$9:$C$108,0)))*R282/(1+INDEX('Facilities'!$K$9:$K$108,MATCH(C282,'Facilities'!$C$9:$C$108,0)))*IF(ABS(1-(1-R282)*(1-INDEX('Facilities'!$R$9:$R$108,MATCH(C282,'Facilities'!$C$9:$C$108,0)))/(1+INDEX('Facilities'!$K$9:$K$108,MATCH(C282,'Facilities'!$C$9:$C$108,0))))&lt;0.000000001,IF(T282=1,MIN(1,AJ282),AJ282),(1-((1-R282)*(1-INDEX('Facilities'!$R$9:$R$108,MATCH(C282,'Facilities'!$C$9:$C$108,0)))/(1+INDEX('Facilities'!$K$9:$K$108,MATCH(C282,'Facilities'!$C$9:$C$108,0))))^IF(T282=1,MIN(1,AJ282),AJ282))/(1-(1-R282)*(1-INDEX('Facilities'!$R$9:$R$108,MATCH(C282,'Facilities'!$C$9:$C$108,0)))/(1+INDEX('Facilities'!$K$9:$K$108,MATCH(C282,'Facilities'!$C$9:$C$108,0)))))+AL282)))</x:f>
      </x:c>
      <x:c r="V282" s="23" t="str">
        <x:f>IF(C282="","",IF(AQ282&lt;&gt;"Ready","Unavailable",IF(C282="","",Q282*INDEX('Facilities'!$I$9:$I$108,MATCH(C282,'Facilities'!$C$9:$C$108,0))*(1-(1-S282)/(1+INDEX('Facilities'!$K$9:$K$108,MATCH(C282,'Facilities'!$C$9:$C$108,0)))^INDEX('Facilities'!$AK$9:$AK$108,MATCH(C282,'Facilities'!$C$9:$C$108,0)))*R282/(1+INDEX('Facilities'!$K$9:$K$108,MATCH(C282,'Facilities'!$C$9:$C$108,0)))*IF(ABS(1-(1-R282)*(1-0)/(1+INDEX('Facilities'!$K$9:$K$108,MATCH(C282,'Facilities'!$C$9:$C$108,0))))&lt;0.000000001,IF(T282=1,MIN(1,AJ282),AJ282),(1-((1-R282)*(1-0)/(1+INDEX('Facilities'!$K$9:$K$108,MATCH(C282,'Facilities'!$C$9:$C$108,0))))^IF(T282=1,MIN(1,AJ282),AJ282))/(1-(1-R282)*(1-0)/(1+INDEX('Facilities'!$K$9:$K$108,MATCH(C282,'Facilities'!$C$9:$C$108,0))))))))</x:f>
      </x:c>
      <x:c r="W282" s="21" t="str">
        <x:f>IF(C282="","",IFERROR(U182,"Unavailable"))</x:f>
      </x:c>
      <x:c r="X282" s="21" t="str">
        <x:f>IF(C282="","",IFERROR(V182,"Unavailable"))</x:f>
      </x:c>
      <x:c r="Y282" s="21" t="str">
        <x:f>IF(C282="","",IF(AQ282&lt;&gt;"Ready","Unavailable",IF(C282="","",U282-W282+V282-X282+N282+AG282)))</x:f>
      </x:c>
      <x:c r="Z282" s="23" t="str">
        <x:f>IF(C282="","",IF(AQ282&lt;&gt;"Ready","Unavailable",IF(C282="","",(G282+O282+L282)/2*INDEX('Facilities'!$T$9:$T$108,MATCH(C282,'Facilities'!$C$9:$C$108,0))+AG282)))</x:f>
      </x:c>
      <x:c r="AA282" s="23" t="str">
        <x:f>IF(C282="","",IF(AQ282&lt;&gt;"Ready","Unavailable",IF(C282="","",O282*(1-IF(INDEX('Facilities'!$AA$9:$AA$108,MATCH(C282,'Facilities'!$C$9:$C$108,0))=0,0,MIN(1,INDEX('Facilities'!$X$9:$X$108,MATCH(C282,'Facilities'!$C$9:$C$108,0))/INDEX('Facilities'!$AA$9:$AA$108,MATCH(C282,'Facilities'!$C$9:$C$108,0)))))*AF282+P282*(1-IF(INDEX('Facilities'!$AA$9:$AA$108,MATCH(C282,'Facilities'!$C$9:$C$108,0))=0,0,MIN(1,INDEX('Facilities'!$X$9:$X$108,MATCH(C282,'Facilities'!$C$9:$C$108,0))/INDEX('Facilities'!$AA$9:$AA$108,MATCH(C282,'Facilities'!$C$9:$C$108,0)))))*INDEX('Facilities'!$AJ$9:$AJ$108,MATCH(C282,'Facilities'!$C$9:$C$108,0))+Q282*INDEX('Facilities'!$AI$9:$AI$108,MATCH(C282,'Facilities'!$C$9:$C$108,0))*AF282)))</x:f>
      </x:c>
      <x:c r="AB282" s="21" t="str">
        <x:f>IF(C282="","",O282+P282-AD282)</x:f>
      </x:c>
      <x:c r="AC282" s="23" t="str">
        <x:f>IF(C282="","",IFERROR(IF(INDEX('Facilities'!$AD$9:$AD$108,MATCH(C282,'Facilities'!$C$9:$C$108,0))=3,0,IF(INDEX('Facilities'!$AN$9:$AN$108,MATCH(C282,'Facilities'!$C$9:$C$108,0))=0,-1,INDEX('Facilities'!$AN$9:$AN$108,MATCH(C282,'Facilities'!$C$9:$C$108,0)))),"Unavailable"))</x:f>
      </x:c>
      <x:c r="AD282" s="21" t="str">
        <x:f>IF(C282="","",IFERROR(G282+H282,"Unavailable"))</x:f>
      </x:c>
      <x:c r="AE282" s="21" t="str">
        <x:f>IF(C282="","",IF(AQ282&lt;&gt;"Ready","Unavailable",IF(C282="","",O282+P282-AD282-J282+K282+M282+N282)))</x:f>
      </x:c>
      <x:c r="AF282" s="30" t="str">
        <x:f>IF(C282="","",IFERROR(INDEX('Facilities'!$S$9:$S$108,MATCH(C282,'Facilities'!$C$9:$C$108,0))*'Scenario Paths'!H75,"Unavailable"))</x:f>
      </x:c>
      <x:c r="AG282" s="23" t="str">
        <x:f>IF(C282="","",IF(AQ282&lt;&gt;"Ready","Unavailable",IF(C282="","",IF(H282&gt;0,MAX(0,H282-AK282)*((1+INDEX('Facilities'!$K$9:$K$108,MATCH(C282,'Facilities'!$C$9:$C$108,0)))^MIN(1,MAX(0,AC282+INDEX('Facilities'!$AK$9:$AK$108,MATCH(C282,'Facilities'!$C$9:$C$108,0))-D282+1))-1),0))))</x:f>
      </x:c>
      <x:c r="AH282" s="21" t="str">
        <x:f>IF(C282="","",IF(AQ282&lt;&gt;"Ready","Unavailable",IF(C282="","",O282+P282)))</x:f>
      </x:c>
      <x:c r="AI282" s="21" t="str">
        <x:f>IF(C282="","",IF(AQ282&lt;&gt;"Ready","Unavailable",IF(C282="","",Z282-Y282)))</x:f>
      </x:c>
      <x:c r="AJ282" s="23" t="str">
        <x:f>IF(C282="","",IFERROR(MAX(0,INDEX('Facilities'!$J$9:$J$108,MATCH(C282,'Facilities'!$C$9:$C$108,0))-D282),"Unavailable"))</x:f>
      </x:c>
      <x:c r="AK282" s="21" t="str">
        <x:f>IF(C282="","",IFERROR(AL182,"Unavailable"))</x:f>
      </x:c>
      <x:c r="AL282" s="23" t="str">
        <x:f>IF(C282="","",IFERROR(IF(P282&gt;0,P282*(1-AM282/(1+INDEX('Facilities'!$K$9:$K$108,MATCH(C282,'Facilities'!$C$9:$C$108,0)))^MAX(0,AC282+INDEX('Facilities'!$AK$9:$AK$108,MATCH(C282,'Facilities'!$C$9:$C$108,0))-D282)),0),"Unavailable"))</x:f>
      </x:c>
      <x:c r="AM282" s="30" t="str">
        <x:f>IF(C282="","",IFERROR(INDEX('Facilities'!$AL$9:$AL$108,MATCH(C282,'Facilities'!$C$9:$C$108,0)),"Unavailable"))</x:f>
      </x:c>
      <x:c r="AN282" s="30" t="str">
        <x:f>IF(C282="","",IFERROR(INDEX(Credit!$T$209:$T$308,MATCH(F282,Credit!$C$209:$C$308,0)),"Unavailable"))</x:f>
      </x:c>
      <x:c r="AO282" s="23" t="str">
        <x:f>IF(C282="","",IF(AQ282&lt;&gt;"Ready","Unavailable",IF(C282="","",O282+P282+Q282*INDEX('Facilities'!$I$9:$I$108,MATCH(C282,'Facilities'!$C$9:$C$108,0)))))</x:f>
      </x:c>
      <x:c r="AP282" s="21" t="str">
        <x:f>IF(C282="","",IF(AQ282&lt;&gt;"Ready","Unavailable",IF(C282="","",AH282-U282)))</x:f>
      </x:c>
      <x:c r="AQ282" s="23" t="str">
        <x:f>IFERROR(IF(C282="","",IF(AND(INDEX('Facilities'!$AF$9:$AF$108,MATCH(C282,'Facilities'!$C$9:$C$108,0))="Ready",INDEX(Credit!$U$209:$U$308,MATCH(F282,Credit!$C$209:$C$308,0))="Ready",ISNUMBER(W282)),"Ready","Review inputs")),"Review inputs")</x:f>
      </x:c>
      <x:c r="AR282" s="23" t="str">
        <x:f>IF(C282="","",IF(AQ282&lt;&gt;"Ready","Unavailable",IF(C282="","",IF(O282=0,0,(IF(AJ282&lt;=1,O282,O282*INDEX('Facilities'!$R$9:$R$108,MATCH(C282,'Facilities'!$C$9:$C$108,0)))+O282*INDEX('Facilities'!$T$9:$T$108,MATCH(C282,'Facilities'!$C$9:$C$108,0)))/12))))</x:f>
      </x:c>
    </x:row>
    <x:row r="283" ht="26" customHeight="1">
      <x:c r="A283" s="1"/>
      <x:c r="B283" s="1"/>
      <x:c r="C283" s="9" t="str">
        <x:f>IF(Facilities!C83="","",Facilities!C83)</x:f>
      </x:c>
      <x:c r="D283" s="3" t="n">
        <x:v>3</x:v>
      </x:c>
      <x:c r="E283" s="9" t="n">
        <x:f>Settings!$F$18+2</x:f>
        <x:v>2029</x:v>
      </x:c>
      <x:c r="F283" s="9" t="str">
        <x:f>IF(C283="","",IFERROR(INDEX('Facilities'!$D$9:$D$108,MATCH(C283,'Facilities'!$C$9:$C$108,0)),"Unavailable"))</x:f>
      </x:c>
      <x:c r="G283" s="21" t="str">
        <x:f>IF(C283="","",IFERROR(O183,"Unavailable"))</x:f>
      </x:c>
      <x:c r="H283" s="21" t="str">
        <x:f>IF(C283="","",IFERROR(P183,"Unavailable"))</x:f>
      </x:c>
      <x:c r="I283" s="21" t="str">
        <x:f>IF(C283="","",IFERROR(Q183,"Unavailable"))</x:f>
      </x:c>
      <x:c r="J283" s="23" t="str">
        <x:f>IF(C283="","",IFERROR(IF(OR(H283&gt;0,AND(AC283&gt;=0,AC283&lt;D283),D283&gt;INDEX('Facilities'!$J$9:$J$108,MATCH(C283,'Facilities'!$C$9:$C$108,0))),0,I283*'Scenario Paths'!H81),"Unavailable"))</x:f>
      </x:c>
      <x:c r="K283" s="23" t="str">
        <x:f>IF(C283="","",IFERROR(IF(OR(H283&gt;0,AND(AC283&gt;=0,AC283=D283)),0,IF(D283&gt;=INDEX('Facilities'!$J$9:$J$108,MATCH(C283,'Facilities'!$C$9:$C$108,0)),G283+J283,MIN(G283+J283,G283*INDEX('Facilities'!$R$9:$R$108,MATCH(C283,'Facilities'!$C$9:$C$108,0))))),"Unavailable"))</x:f>
      </x:c>
      <x:c r="L283" s="21" t="str">
        <x:f>IF(C283="","",IFERROR(IF(AND(AC283=D283,AC283&gt;0),MAX(0,G283+J283-K283),0),"Unavailable"))</x:f>
      </x:c>
      <x:c r="M283" s="23" t="str">
        <x:f>IF(C283="","",IFERROR(IF(AND(AC283&gt;=0,D283&gt;=AC283+INDEX('Facilities'!$AK$9:$AK$108,MATCH(C283,'Facilities'!$C$9:$C$108,0))),(H283+L283)*AM283,0),"Unavailable"))</x:f>
      </x:c>
      <x:c r="N283" s="23" t="str">
        <x:f>IF(C283="","",IFERROR(IF(AND(AC283&gt;=0,D283&gt;=AC283+INDEX('Facilities'!$AK$9:$AK$108,MATCH(C283,'Facilities'!$C$9:$C$108,0))),H283+L283-M283,0),"Unavailable"))</x:f>
      </x:c>
      <x:c r="O283" s="21" t="str">
        <x:f>IF(C283="","",IFERROR(MAX(0,G283+J283-K283-L283),"Unavailable"))</x:f>
      </x:c>
      <x:c r="P283" s="21" t="str">
        <x:f>IF(C283="","",IFERROR(MAX(0,H283+L283-M283-N283),"Unavailable"))</x:f>
      </x:c>
      <x:c r="Q283" s="23" t="str">
        <x:f>IF(C283="","",IFERROR(IF(OR(D283&gt;=INDEX('Facilities'!$J$9:$J$108,MATCH(C283,'Facilities'!$C$9:$C$108,0)),AND(AC283&gt;=0,AC283&lt;=D283)),0,MAX(0,I283-J283)),"Unavailable"))</x:f>
      </x:c>
      <x:c r="R283" s="30" t="str">
        <x:f>IF(C283="","",IFERROR(INDEX(Credit!$Q$209:$Q$308,MATCH(F283,Credit!$C$209:$C$308,0)),"Unavailable"))</x:f>
      </x:c>
      <x:c r="S283" s="30" t="str">
        <x:f>IF(C283="","",IFERROR(INDEX(Credit!$R$209:$R$308,MATCH(F283,Credit!$C$209:$C$308,0)),"Unavailable"))</x:f>
      </x:c>
      <x:c r="T283" s="23" t="str">
        <x:f>IF(C283="","",IFERROR(IF(P283&gt;0,3,IF(OR(INDEX('Facilities'!$AD$9:$AD$108,MATCH(C283,'Facilities'!$C$9:$C$108,0))=2,AND(R283&gt;=INDEX('Facilities'!$L$9:$L$108,MATCH(C283,'Facilities'!$C$9:$C$108,0))*Settings!$F$19,R283-INDEX('Facilities'!$L$9:$L$108,MATCH(C283,'Facilities'!$C$9:$C$108,0))&gt;=Settings!$F$20)),2,1)),"Unavailable"))</x:f>
      </x:c>
      <x:c r="U283" s="23" t="str">
        <x:f>IF(C283="","",IF(AQ283&lt;&gt;"Ready","Unavailable",IF(C283="","",O283*(1-(1-S283)/(1+INDEX('Facilities'!$K$9:$K$108,MATCH(C283,'Facilities'!$C$9:$C$108,0)))^INDEX('Facilities'!$AK$9:$AK$108,MATCH(C283,'Facilities'!$C$9:$C$108,0)))*R283/(1+INDEX('Facilities'!$K$9:$K$108,MATCH(C283,'Facilities'!$C$9:$C$108,0)))*IF(ABS(1-(1-R283)*(1-INDEX('Facilities'!$R$9:$R$108,MATCH(C283,'Facilities'!$C$9:$C$108,0)))/(1+INDEX('Facilities'!$K$9:$K$108,MATCH(C283,'Facilities'!$C$9:$C$108,0))))&lt;0.000000001,IF(T283=1,MIN(1,AJ283),AJ283),(1-((1-R283)*(1-INDEX('Facilities'!$R$9:$R$108,MATCH(C283,'Facilities'!$C$9:$C$108,0)))/(1+INDEX('Facilities'!$K$9:$K$108,MATCH(C283,'Facilities'!$C$9:$C$108,0))))^IF(T283=1,MIN(1,AJ283),AJ283))/(1-(1-R283)*(1-INDEX('Facilities'!$R$9:$R$108,MATCH(C283,'Facilities'!$C$9:$C$108,0)))/(1+INDEX('Facilities'!$K$9:$K$108,MATCH(C283,'Facilities'!$C$9:$C$108,0)))))+AL283)))</x:f>
      </x:c>
      <x:c r="V283" s="23" t="str">
        <x:f>IF(C283="","",IF(AQ283&lt;&gt;"Ready","Unavailable",IF(C283="","",Q283*INDEX('Facilities'!$I$9:$I$108,MATCH(C283,'Facilities'!$C$9:$C$108,0))*(1-(1-S283)/(1+INDEX('Facilities'!$K$9:$K$108,MATCH(C283,'Facilities'!$C$9:$C$108,0)))^INDEX('Facilities'!$AK$9:$AK$108,MATCH(C283,'Facilities'!$C$9:$C$108,0)))*R283/(1+INDEX('Facilities'!$K$9:$K$108,MATCH(C283,'Facilities'!$C$9:$C$108,0)))*IF(ABS(1-(1-R283)*(1-0)/(1+INDEX('Facilities'!$K$9:$K$108,MATCH(C283,'Facilities'!$C$9:$C$108,0))))&lt;0.000000001,IF(T283=1,MIN(1,AJ283),AJ283),(1-((1-R283)*(1-0)/(1+INDEX('Facilities'!$K$9:$K$108,MATCH(C283,'Facilities'!$C$9:$C$108,0))))^IF(T283=1,MIN(1,AJ283),AJ283))/(1-(1-R283)*(1-0)/(1+INDEX('Facilities'!$K$9:$K$108,MATCH(C283,'Facilities'!$C$9:$C$108,0))))))))</x:f>
      </x:c>
      <x:c r="W283" s="21" t="str">
        <x:f>IF(C283="","",IFERROR(U183,"Unavailable"))</x:f>
      </x:c>
      <x:c r="X283" s="21" t="str">
        <x:f>IF(C283="","",IFERROR(V183,"Unavailable"))</x:f>
      </x:c>
      <x:c r="Y283" s="21" t="str">
        <x:f>IF(C283="","",IF(AQ283&lt;&gt;"Ready","Unavailable",IF(C283="","",U283-W283+V283-X283+N283+AG283)))</x:f>
      </x:c>
      <x:c r="Z283" s="23" t="str">
        <x:f>IF(C283="","",IF(AQ283&lt;&gt;"Ready","Unavailable",IF(C283="","",(G283+O283+L283)/2*INDEX('Facilities'!$T$9:$T$108,MATCH(C283,'Facilities'!$C$9:$C$108,0))+AG283)))</x:f>
      </x:c>
      <x:c r="AA283" s="23" t="str">
        <x:f>IF(C283="","",IF(AQ283&lt;&gt;"Ready","Unavailable",IF(C283="","",O283*(1-IF(INDEX('Facilities'!$AA$9:$AA$108,MATCH(C283,'Facilities'!$C$9:$C$108,0))=0,0,MIN(1,INDEX('Facilities'!$X$9:$X$108,MATCH(C283,'Facilities'!$C$9:$C$108,0))/INDEX('Facilities'!$AA$9:$AA$108,MATCH(C283,'Facilities'!$C$9:$C$108,0)))))*AF283+P283*(1-IF(INDEX('Facilities'!$AA$9:$AA$108,MATCH(C283,'Facilities'!$C$9:$C$108,0))=0,0,MIN(1,INDEX('Facilities'!$X$9:$X$108,MATCH(C283,'Facilities'!$C$9:$C$108,0))/INDEX('Facilities'!$AA$9:$AA$108,MATCH(C283,'Facilities'!$C$9:$C$108,0)))))*INDEX('Facilities'!$AJ$9:$AJ$108,MATCH(C283,'Facilities'!$C$9:$C$108,0))+Q283*INDEX('Facilities'!$AI$9:$AI$108,MATCH(C283,'Facilities'!$C$9:$C$108,0))*AF283)))</x:f>
      </x:c>
      <x:c r="AB283" s="21" t="str">
        <x:f>IF(C283="","",O283+P283-AD283)</x:f>
      </x:c>
      <x:c r="AC283" s="23" t="str">
        <x:f>IF(C283="","",IFERROR(IF(INDEX('Facilities'!$AD$9:$AD$108,MATCH(C283,'Facilities'!$C$9:$C$108,0))=3,0,IF(INDEX('Facilities'!$AN$9:$AN$108,MATCH(C283,'Facilities'!$C$9:$C$108,0))=0,-1,INDEX('Facilities'!$AN$9:$AN$108,MATCH(C283,'Facilities'!$C$9:$C$108,0)))),"Unavailable"))</x:f>
      </x:c>
      <x:c r="AD283" s="21" t="str">
        <x:f>IF(C283="","",IFERROR(G283+H283,"Unavailable"))</x:f>
      </x:c>
      <x:c r="AE283" s="21" t="str">
        <x:f>IF(C283="","",IF(AQ283&lt;&gt;"Ready","Unavailable",IF(C283="","",O283+P283-AD283-J283+K283+M283+N283)))</x:f>
      </x:c>
      <x:c r="AF283" s="30" t="str">
        <x:f>IF(C283="","",IFERROR(INDEX('Facilities'!$S$9:$S$108,MATCH(C283,'Facilities'!$C$9:$C$108,0))*'Scenario Paths'!H75,"Unavailable"))</x:f>
      </x:c>
      <x:c r="AG283" s="23" t="str">
        <x:f>IF(C283="","",IF(AQ283&lt;&gt;"Ready","Unavailable",IF(C283="","",IF(H283&gt;0,MAX(0,H283-AK283)*((1+INDEX('Facilities'!$K$9:$K$108,MATCH(C283,'Facilities'!$C$9:$C$108,0)))^MIN(1,MAX(0,AC283+INDEX('Facilities'!$AK$9:$AK$108,MATCH(C283,'Facilities'!$C$9:$C$108,0))-D283+1))-1),0))))</x:f>
      </x:c>
      <x:c r="AH283" s="21" t="str">
        <x:f>IF(C283="","",IF(AQ283&lt;&gt;"Ready","Unavailable",IF(C283="","",O283+P283)))</x:f>
      </x:c>
      <x:c r="AI283" s="21" t="str">
        <x:f>IF(C283="","",IF(AQ283&lt;&gt;"Ready","Unavailable",IF(C283="","",Z283-Y283)))</x:f>
      </x:c>
      <x:c r="AJ283" s="23" t="str">
        <x:f>IF(C283="","",IFERROR(MAX(0,INDEX('Facilities'!$J$9:$J$108,MATCH(C283,'Facilities'!$C$9:$C$108,0))-D283),"Unavailable"))</x:f>
      </x:c>
      <x:c r="AK283" s="21" t="str">
        <x:f>IF(C283="","",IFERROR(AL183,"Unavailable"))</x:f>
      </x:c>
      <x:c r="AL283" s="23" t="str">
        <x:f>IF(C283="","",IFERROR(IF(P283&gt;0,P283*(1-AM283/(1+INDEX('Facilities'!$K$9:$K$108,MATCH(C283,'Facilities'!$C$9:$C$108,0)))^MAX(0,AC283+INDEX('Facilities'!$AK$9:$AK$108,MATCH(C283,'Facilities'!$C$9:$C$108,0))-D283)),0),"Unavailable"))</x:f>
      </x:c>
      <x:c r="AM283" s="30" t="str">
        <x:f>IF(C283="","",IFERROR(INDEX('Facilities'!$AL$9:$AL$108,MATCH(C283,'Facilities'!$C$9:$C$108,0)),"Unavailable"))</x:f>
      </x:c>
      <x:c r="AN283" s="30" t="str">
        <x:f>IF(C283="","",IFERROR(INDEX(Credit!$T$209:$T$308,MATCH(F283,Credit!$C$209:$C$308,0)),"Unavailable"))</x:f>
      </x:c>
      <x:c r="AO283" s="23" t="str">
        <x:f>IF(C283="","",IF(AQ283&lt;&gt;"Ready","Unavailable",IF(C283="","",O283+P283+Q283*INDEX('Facilities'!$I$9:$I$108,MATCH(C283,'Facilities'!$C$9:$C$108,0)))))</x:f>
      </x:c>
      <x:c r="AP283" s="21" t="str">
        <x:f>IF(C283="","",IF(AQ283&lt;&gt;"Ready","Unavailable",IF(C283="","",AH283-U283)))</x:f>
      </x:c>
      <x:c r="AQ283" s="23" t="str">
        <x:f>IFERROR(IF(C283="","",IF(AND(INDEX('Facilities'!$AF$9:$AF$108,MATCH(C283,'Facilities'!$C$9:$C$108,0))="Ready",INDEX(Credit!$U$209:$U$308,MATCH(F283,Credit!$C$209:$C$308,0))="Ready",ISNUMBER(W283)),"Ready","Review inputs")),"Review inputs")</x:f>
      </x:c>
      <x:c r="AR283" s="23" t="str">
        <x:f>IF(C283="","",IF(AQ283&lt;&gt;"Ready","Unavailable",IF(C283="","",IF(O283=0,0,(IF(AJ283&lt;=1,O283,O283*INDEX('Facilities'!$R$9:$R$108,MATCH(C283,'Facilities'!$C$9:$C$108,0)))+O283*INDEX('Facilities'!$T$9:$T$108,MATCH(C283,'Facilities'!$C$9:$C$108,0)))/12))))</x:f>
      </x:c>
    </x:row>
    <x:row r="284" ht="26" customHeight="1">
      <x:c r="A284" s="1"/>
      <x:c r="B284" s="1"/>
      <x:c r="C284" s="9" t="str">
        <x:f>IF(Facilities!C84="","",Facilities!C84)</x:f>
      </x:c>
      <x:c r="D284" s="3" t="n">
        <x:v>3</x:v>
      </x:c>
      <x:c r="E284" s="9" t="n">
        <x:f>Settings!$F$18+2</x:f>
        <x:v>2029</x:v>
      </x:c>
      <x:c r="F284" s="9" t="str">
        <x:f>IF(C284="","",IFERROR(INDEX('Facilities'!$D$9:$D$108,MATCH(C284,'Facilities'!$C$9:$C$108,0)),"Unavailable"))</x:f>
      </x:c>
      <x:c r="G284" s="21" t="str">
        <x:f>IF(C284="","",IFERROR(O184,"Unavailable"))</x:f>
      </x:c>
      <x:c r="H284" s="21" t="str">
        <x:f>IF(C284="","",IFERROR(P184,"Unavailable"))</x:f>
      </x:c>
      <x:c r="I284" s="21" t="str">
        <x:f>IF(C284="","",IFERROR(Q184,"Unavailable"))</x:f>
      </x:c>
      <x:c r="J284" s="23" t="str">
        <x:f>IF(C284="","",IFERROR(IF(OR(H284&gt;0,AND(AC284&gt;=0,AC284&lt;D284),D284&gt;INDEX('Facilities'!$J$9:$J$108,MATCH(C284,'Facilities'!$C$9:$C$108,0))),0,I284*'Scenario Paths'!H81),"Unavailable"))</x:f>
      </x:c>
      <x:c r="K284" s="23" t="str">
        <x:f>IF(C284="","",IFERROR(IF(OR(H284&gt;0,AND(AC284&gt;=0,AC284=D284)),0,IF(D284&gt;=INDEX('Facilities'!$J$9:$J$108,MATCH(C284,'Facilities'!$C$9:$C$108,0)),G284+J284,MIN(G284+J284,G284*INDEX('Facilities'!$R$9:$R$108,MATCH(C284,'Facilities'!$C$9:$C$108,0))))),"Unavailable"))</x:f>
      </x:c>
      <x:c r="L284" s="21" t="str">
        <x:f>IF(C284="","",IFERROR(IF(AND(AC284=D284,AC284&gt;0),MAX(0,G284+J284-K284),0),"Unavailable"))</x:f>
      </x:c>
      <x:c r="M284" s="23" t="str">
        <x:f>IF(C284="","",IFERROR(IF(AND(AC284&gt;=0,D284&gt;=AC284+INDEX('Facilities'!$AK$9:$AK$108,MATCH(C284,'Facilities'!$C$9:$C$108,0))),(H284+L284)*AM284,0),"Unavailable"))</x:f>
      </x:c>
      <x:c r="N284" s="23" t="str">
        <x:f>IF(C284="","",IFERROR(IF(AND(AC284&gt;=0,D284&gt;=AC284+INDEX('Facilities'!$AK$9:$AK$108,MATCH(C284,'Facilities'!$C$9:$C$108,0))),H284+L284-M284,0),"Unavailable"))</x:f>
      </x:c>
      <x:c r="O284" s="21" t="str">
        <x:f>IF(C284="","",IFERROR(MAX(0,G284+J284-K284-L284),"Unavailable"))</x:f>
      </x:c>
      <x:c r="P284" s="21" t="str">
        <x:f>IF(C284="","",IFERROR(MAX(0,H284+L284-M284-N284),"Unavailable"))</x:f>
      </x:c>
      <x:c r="Q284" s="23" t="str">
        <x:f>IF(C284="","",IFERROR(IF(OR(D284&gt;=INDEX('Facilities'!$J$9:$J$108,MATCH(C284,'Facilities'!$C$9:$C$108,0)),AND(AC284&gt;=0,AC284&lt;=D284)),0,MAX(0,I284-J284)),"Unavailable"))</x:f>
      </x:c>
      <x:c r="R284" s="30" t="str">
        <x:f>IF(C284="","",IFERROR(INDEX(Credit!$Q$209:$Q$308,MATCH(F284,Credit!$C$209:$C$308,0)),"Unavailable"))</x:f>
      </x:c>
      <x:c r="S284" s="30" t="str">
        <x:f>IF(C284="","",IFERROR(INDEX(Credit!$R$209:$R$308,MATCH(F284,Credit!$C$209:$C$308,0)),"Unavailable"))</x:f>
      </x:c>
      <x:c r="T284" s="23" t="str">
        <x:f>IF(C284="","",IFERROR(IF(P284&gt;0,3,IF(OR(INDEX('Facilities'!$AD$9:$AD$108,MATCH(C284,'Facilities'!$C$9:$C$108,0))=2,AND(R284&gt;=INDEX('Facilities'!$L$9:$L$108,MATCH(C284,'Facilities'!$C$9:$C$108,0))*Settings!$F$19,R284-INDEX('Facilities'!$L$9:$L$108,MATCH(C284,'Facilities'!$C$9:$C$108,0))&gt;=Settings!$F$20)),2,1)),"Unavailable"))</x:f>
      </x:c>
      <x:c r="U284" s="23" t="str">
        <x:f>IF(C284="","",IF(AQ284&lt;&gt;"Ready","Unavailable",IF(C284="","",O284*(1-(1-S284)/(1+INDEX('Facilities'!$K$9:$K$108,MATCH(C284,'Facilities'!$C$9:$C$108,0)))^INDEX('Facilities'!$AK$9:$AK$108,MATCH(C284,'Facilities'!$C$9:$C$108,0)))*R284/(1+INDEX('Facilities'!$K$9:$K$108,MATCH(C284,'Facilities'!$C$9:$C$108,0)))*IF(ABS(1-(1-R284)*(1-INDEX('Facilities'!$R$9:$R$108,MATCH(C284,'Facilities'!$C$9:$C$108,0)))/(1+INDEX('Facilities'!$K$9:$K$108,MATCH(C284,'Facilities'!$C$9:$C$108,0))))&lt;0.000000001,IF(T284=1,MIN(1,AJ284),AJ284),(1-((1-R284)*(1-INDEX('Facilities'!$R$9:$R$108,MATCH(C284,'Facilities'!$C$9:$C$108,0)))/(1+INDEX('Facilities'!$K$9:$K$108,MATCH(C284,'Facilities'!$C$9:$C$108,0))))^IF(T284=1,MIN(1,AJ284),AJ284))/(1-(1-R284)*(1-INDEX('Facilities'!$R$9:$R$108,MATCH(C284,'Facilities'!$C$9:$C$108,0)))/(1+INDEX('Facilities'!$K$9:$K$108,MATCH(C284,'Facilities'!$C$9:$C$108,0)))))+AL284)))</x:f>
      </x:c>
      <x:c r="V284" s="23" t="str">
        <x:f>IF(C284="","",IF(AQ284&lt;&gt;"Ready","Unavailable",IF(C284="","",Q284*INDEX('Facilities'!$I$9:$I$108,MATCH(C284,'Facilities'!$C$9:$C$108,0))*(1-(1-S284)/(1+INDEX('Facilities'!$K$9:$K$108,MATCH(C284,'Facilities'!$C$9:$C$108,0)))^INDEX('Facilities'!$AK$9:$AK$108,MATCH(C284,'Facilities'!$C$9:$C$108,0)))*R284/(1+INDEX('Facilities'!$K$9:$K$108,MATCH(C284,'Facilities'!$C$9:$C$108,0)))*IF(ABS(1-(1-R284)*(1-0)/(1+INDEX('Facilities'!$K$9:$K$108,MATCH(C284,'Facilities'!$C$9:$C$108,0))))&lt;0.000000001,IF(T284=1,MIN(1,AJ284),AJ284),(1-((1-R284)*(1-0)/(1+INDEX('Facilities'!$K$9:$K$108,MATCH(C284,'Facilities'!$C$9:$C$108,0))))^IF(T284=1,MIN(1,AJ284),AJ284))/(1-(1-R284)*(1-0)/(1+INDEX('Facilities'!$K$9:$K$108,MATCH(C284,'Facilities'!$C$9:$C$108,0))))))))</x:f>
      </x:c>
      <x:c r="W284" s="21" t="str">
        <x:f>IF(C284="","",IFERROR(U184,"Unavailable"))</x:f>
      </x:c>
      <x:c r="X284" s="21" t="str">
        <x:f>IF(C284="","",IFERROR(V184,"Unavailable"))</x:f>
      </x:c>
      <x:c r="Y284" s="21" t="str">
        <x:f>IF(C284="","",IF(AQ284&lt;&gt;"Ready","Unavailable",IF(C284="","",U284-W284+V284-X284+N284+AG284)))</x:f>
      </x:c>
      <x:c r="Z284" s="23" t="str">
        <x:f>IF(C284="","",IF(AQ284&lt;&gt;"Ready","Unavailable",IF(C284="","",(G284+O284+L284)/2*INDEX('Facilities'!$T$9:$T$108,MATCH(C284,'Facilities'!$C$9:$C$108,0))+AG284)))</x:f>
      </x:c>
      <x:c r="AA284" s="23" t="str">
        <x:f>IF(C284="","",IF(AQ284&lt;&gt;"Ready","Unavailable",IF(C284="","",O284*(1-IF(INDEX('Facilities'!$AA$9:$AA$108,MATCH(C284,'Facilities'!$C$9:$C$108,0))=0,0,MIN(1,INDEX('Facilities'!$X$9:$X$108,MATCH(C284,'Facilities'!$C$9:$C$108,0))/INDEX('Facilities'!$AA$9:$AA$108,MATCH(C284,'Facilities'!$C$9:$C$108,0)))))*AF284+P284*(1-IF(INDEX('Facilities'!$AA$9:$AA$108,MATCH(C284,'Facilities'!$C$9:$C$108,0))=0,0,MIN(1,INDEX('Facilities'!$X$9:$X$108,MATCH(C284,'Facilities'!$C$9:$C$108,0))/INDEX('Facilities'!$AA$9:$AA$108,MATCH(C284,'Facilities'!$C$9:$C$108,0)))))*INDEX('Facilities'!$AJ$9:$AJ$108,MATCH(C284,'Facilities'!$C$9:$C$108,0))+Q284*INDEX('Facilities'!$AI$9:$AI$108,MATCH(C284,'Facilities'!$C$9:$C$108,0))*AF284)))</x:f>
      </x:c>
      <x:c r="AB284" s="21" t="str">
        <x:f>IF(C284="","",O284+P284-AD284)</x:f>
      </x:c>
      <x:c r="AC284" s="23" t="str">
        <x:f>IF(C284="","",IFERROR(IF(INDEX('Facilities'!$AD$9:$AD$108,MATCH(C284,'Facilities'!$C$9:$C$108,0))=3,0,IF(INDEX('Facilities'!$AN$9:$AN$108,MATCH(C284,'Facilities'!$C$9:$C$108,0))=0,-1,INDEX('Facilities'!$AN$9:$AN$108,MATCH(C284,'Facilities'!$C$9:$C$108,0)))),"Unavailable"))</x:f>
      </x:c>
      <x:c r="AD284" s="21" t="str">
        <x:f>IF(C284="","",IFERROR(G284+H284,"Unavailable"))</x:f>
      </x:c>
      <x:c r="AE284" s="21" t="str">
        <x:f>IF(C284="","",IF(AQ284&lt;&gt;"Ready","Unavailable",IF(C284="","",O284+P284-AD284-J284+K284+M284+N284)))</x:f>
      </x:c>
      <x:c r="AF284" s="30" t="str">
        <x:f>IF(C284="","",IFERROR(INDEX('Facilities'!$S$9:$S$108,MATCH(C284,'Facilities'!$C$9:$C$108,0))*'Scenario Paths'!H75,"Unavailable"))</x:f>
      </x:c>
      <x:c r="AG284" s="23" t="str">
        <x:f>IF(C284="","",IF(AQ284&lt;&gt;"Ready","Unavailable",IF(C284="","",IF(H284&gt;0,MAX(0,H284-AK284)*((1+INDEX('Facilities'!$K$9:$K$108,MATCH(C284,'Facilities'!$C$9:$C$108,0)))^MIN(1,MAX(0,AC284+INDEX('Facilities'!$AK$9:$AK$108,MATCH(C284,'Facilities'!$C$9:$C$108,0))-D284+1))-1),0))))</x:f>
      </x:c>
      <x:c r="AH284" s="21" t="str">
        <x:f>IF(C284="","",IF(AQ284&lt;&gt;"Ready","Unavailable",IF(C284="","",O284+P284)))</x:f>
      </x:c>
      <x:c r="AI284" s="21" t="str">
        <x:f>IF(C284="","",IF(AQ284&lt;&gt;"Ready","Unavailable",IF(C284="","",Z284-Y284)))</x:f>
      </x:c>
      <x:c r="AJ284" s="23" t="str">
        <x:f>IF(C284="","",IFERROR(MAX(0,INDEX('Facilities'!$J$9:$J$108,MATCH(C284,'Facilities'!$C$9:$C$108,0))-D284),"Unavailable"))</x:f>
      </x:c>
      <x:c r="AK284" s="21" t="str">
        <x:f>IF(C284="","",IFERROR(AL184,"Unavailable"))</x:f>
      </x:c>
      <x:c r="AL284" s="23" t="str">
        <x:f>IF(C284="","",IFERROR(IF(P284&gt;0,P284*(1-AM284/(1+INDEX('Facilities'!$K$9:$K$108,MATCH(C284,'Facilities'!$C$9:$C$108,0)))^MAX(0,AC284+INDEX('Facilities'!$AK$9:$AK$108,MATCH(C284,'Facilities'!$C$9:$C$108,0))-D284)),0),"Unavailable"))</x:f>
      </x:c>
      <x:c r="AM284" s="30" t="str">
        <x:f>IF(C284="","",IFERROR(INDEX('Facilities'!$AL$9:$AL$108,MATCH(C284,'Facilities'!$C$9:$C$108,0)),"Unavailable"))</x:f>
      </x:c>
      <x:c r="AN284" s="30" t="str">
        <x:f>IF(C284="","",IFERROR(INDEX(Credit!$T$209:$T$308,MATCH(F284,Credit!$C$209:$C$308,0)),"Unavailable"))</x:f>
      </x:c>
      <x:c r="AO284" s="23" t="str">
        <x:f>IF(C284="","",IF(AQ284&lt;&gt;"Ready","Unavailable",IF(C284="","",O284+P284+Q284*INDEX('Facilities'!$I$9:$I$108,MATCH(C284,'Facilities'!$C$9:$C$108,0)))))</x:f>
      </x:c>
      <x:c r="AP284" s="21" t="str">
        <x:f>IF(C284="","",IF(AQ284&lt;&gt;"Ready","Unavailable",IF(C284="","",AH284-U284)))</x:f>
      </x:c>
      <x:c r="AQ284" s="23" t="str">
        <x:f>IFERROR(IF(C284="","",IF(AND(INDEX('Facilities'!$AF$9:$AF$108,MATCH(C284,'Facilities'!$C$9:$C$108,0))="Ready",INDEX(Credit!$U$209:$U$308,MATCH(F284,Credit!$C$209:$C$308,0))="Ready",ISNUMBER(W284)),"Ready","Review inputs")),"Review inputs")</x:f>
      </x:c>
      <x:c r="AR284" s="23" t="str">
        <x:f>IF(C284="","",IF(AQ284&lt;&gt;"Ready","Unavailable",IF(C284="","",IF(O284=0,0,(IF(AJ284&lt;=1,O284,O284*INDEX('Facilities'!$R$9:$R$108,MATCH(C284,'Facilities'!$C$9:$C$108,0)))+O284*INDEX('Facilities'!$T$9:$T$108,MATCH(C284,'Facilities'!$C$9:$C$108,0)))/12))))</x:f>
      </x:c>
    </x:row>
    <x:row r="285" ht="26" customHeight="1">
      <x:c r="A285" s="1"/>
      <x:c r="B285" s="1"/>
      <x:c r="C285" s="9" t="str">
        <x:f>IF(Facilities!C85="","",Facilities!C85)</x:f>
      </x:c>
      <x:c r="D285" s="3" t="n">
        <x:v>3</x:v>
      </x:c>
      <x:c r="E285" s="9" t="n">
        <x:f>Settings!$F$18+2</x:f>
        <x:v>2029</x:v>
      </x:c>
      <x:c r="F285" s="9" t="str">
        <x:f>IF(C285="","",IFERROR(INDEX('Facilities'!$D$9:$D$108,MATCH(C285,'Facilities'!$C$9:$C$108,0)),"Unavailable"))</x:f>
      </x:c>
      <x:c r="G285" s="21" t="str">
        <x:f>IF(C285="","",IFERROR(O185,"Unavailable"))</x:f>
      </x:c>
      <x:c r="H285" s="21" t="str">
        <x:f>IF(C285="","",IFERROR(P185,"Unavailable"))</x:f>
      </x:c>
      <x:c r="I285" s="21" t="str">
        <x:f>IF(C285="","",IFERROR(Q185,"Unavailable"))</x:f>
      </x:c>
      <x:c r="J285" s="23" t="str">
        <x:f>IF(C285="","",IFERROR(IF(OR(H285&gt;0,AND(AC285&gt;=0,AC285&lt;D285),D285&gt;INDEX('Facilities'!$J$9:$J$108,MATCH(C285,'Facilities'!$C$9:$C$108,0))),0,I285*'Scenario Paths'!H81),"Unavailable"))</x:f>
      </x:c>
      <x:c r="K285" s="23" t="str">
        <x:f>IF(C285="","",IFERROR(IF(OR(H285&gt;0,AND(AC285&gt;=0,AC285=D285)),0,IF(D285&gt;=INDEX('Facilities'!$J$9:$J$108,MATCH(C285,'Facilities'!$C$9:$C$108,0)),G285+J285,MIN(G285+J285,G285*INDEX('Facilities'!$R$9:$R$108,MATCH(C285,'Facilities'!$C$9:$C$108,0))))),"Unavailable"))</x:f>
      </x:c>
      <x:c r="L285" s="21" t="str">
        <x:f>IF(C285="","",IFERROR(IF(AND(AC285=D285,AC285&gt;0),MAX(0,G285+J285-K285),0),"Unavailable"))</x:f>
      </x:c>
      <x:c r="M285" s="23" t="str">
        <x:f>IF(C285="","",IFERROR(IF(AND(AC285&gt;=0,D285&gt;=AC285+INDEX('Facilities'!$AK$9:$AK$108,MATCH(C285,'Facilities'!$C$9:$C$108,0))),(H285+L285)*AM285,0),"Unavailable"))</x:f>
      </x:c>
      <x:c r="N285" s="23" t="str">
        <x:f>IF(C285="","",IFERROR(IF(AND(AC285&gt;=0,D285&gt;=AC285+INDEX('Facilities'!$AK$9:$AK$108,MATCH(C285,'Facilities'!$C$9:$C$108,0))),H285+L285-M285,0),"Unavailable"))</x:f>
      </x:c>
      <x:c r="O285" s="21" t="str">
        <x:f>IF(C285="","",IFERROR(MAX(0,G285+J285-K285-L285),"Unavailable"))</x:f>
      </x:c>
      <x:c r="P285" s="21" t="str">
        <x:f>IF(C285="","",IFERROR(MAX(0,H285+L285-M285-N285),"Unavailable"))</x:f>
      </x:c>
      <x:c r="Q285" s="23" t="str">
        <x:f>IF(C285="","",IFERROR(IF(OR(D285&gt;=INDEX('Facilities'!$J$9:$J$108,MATCH(C285,'Facilities'!$C$9:$C$108,0)),AND(AC285&gt;=0,AC285&lt;=D285)),0,MAX(0,I285-J285)),"Unavailable"))</x:f>
      </x:c>
      <x:c r="R285" s="30" t="str">
        <x:f>IF(C285="","",IFERROR(INDEX(Credit!$Q$209:$Q$308,MATCH(F285,Credit!$C$209:$C$308,0)),"Unavailable"))</x:f>
      </x:c>
      <x:c r="S285" s="30" t="str">
        <x:f>IF(C285="","",IFERROR(INDEX(Credit!$R$209:$R$308,MATCH(F285,Credit!$C$209:$C$308,0)),"Unavailable"))</x:f>
      </x:c>
      <x:c r="T285" s="23" t="str">
        <x:f>IF(C285="","",IFERROR(IF(P285&gt;0,3,IF(OR(INDEX('Facilities'!$AD$9:$AD$108,MATCH(C285,'Facilities'!$C$9:$C$108,0))=2,AND(R285&gt;=INDEX('Facilities'!$L$9:$L$108,MATCH(C285,'Facilities'!$C$9:$C$108,0))*Settings!$F$19,R285-INDEX('Facilities'!$L$9:$L$108,MATCH(C285,'Facilities'!$C$9:$C$108,0))&gt;=Settings!$F$20)),2,1)),"Unavailable"))</x:f>
      </x:c>
      <x:c r="U285" s="23" t="str">
        <x:f>IF(C285="","",IF(AQ285&lt;&gt;"Ready","Unavailable",IF(C285="","",O285*(1-(1-S285)/(1+INDEX('Facilities'!$K$9:$K$108,MATCH(C285,'Facilities'!$C$9:$C$108,0)))^INDEX('Facilities'!$AK$9:$AK$108,MATCH(C285,'Facilities'!$C$9:$C$108,0)))*R285/(1+INDEX('Facilities'!$K$9:$K$108,MATCH(C285,'Facilities'!$C$9:$C$108,0)))*IF(ABS(1-(1-R285)*(1-INDEX('Facilities'!$R$9:$R$108,MATCH(C285,'Facilities'!$C$9:$C$108,0)))/(1+INDEX('Facilities'!$K$9:$K$108,MATCH(C285,'Facilities'!$C$9:$C$108,0))))&lt;0.000000001,IF(T285=1,MIN(1,AJ285),AJ285),(1-((1-R285)*(1-INDEX('Facilities'!$R$9:$R$108,MATCH(C285,'Facilities'!$C$9:$C$108,0)))/(1+INDEX('Facilities'!$K$9:$K$108,MATCH(C285,'Facilities'!$C$9:$C$108,0))))^IF(T285=1,MIN(1,AJ285),AJ285))/(1-(1-R285)*(1-INDEX('Facilities'!$R$9:$R$108,MATCH(C285,'Facilities'!$C$9:$C$108,0)))/(1+INDEX('Facilities'!$K$9:$K$108,MATCH(C285,'Facilities'!$C$9:$C$108,0)))))+AL285)))</x:f>
      </x:c>
      <x:c r="V285" s="23" t="str">
        <x:f>IF(C285="","",IF(AQ285&lt;&gt;"Ready","Unavailable",IF(C285="","",Q285*INDEX('Facilities'!$I$9:$I$108,MATCH(C285,'Facilities'!$C$9:$C$108,0))*(1-(1-S285)/(1+INDEX('Facilities'!$K$9:$K$108,MATCH(C285,'Facilities'!$C$9:$C$108,0)))^INDEX('Facilities'!$AK$9:$AK$108,MATCH(C285,'Facilities'!$C$9:$C$108,0)))*R285/(1+INDEX('Facilities'!$K$9:$K$108,MATCH(C285,'Facilities'!$C$9:$C$108,0)))*IF(ABS(1-(1-R285)*(1-0)/(1+INDEX('Facilities'!$K$9:$K$108,MATCH(C285,'Facilities'!$C$9:$C$108,0))))&lt;0.000000001,IF(T285=1,MIN(1,AJ285),AJ285),(1-((1-R285)*(1-0)/(1+INDEX('Facilities'!$K$9:$K$108,MATCH(C285,'Facilities'!$C$9:$C$108,0))))^IF(T285=1,MIN(1,AJ285),AJ285))/(1-(1-R285)*(1-0)/(1+INDEX('Facilities'!$K$9:$K$108,MATCH(C285,'Facilities'!$C$9:$C$108,0))))))))</x:f>
      </x:c>
      <x:c r="W285" s="21" t="str">
        <x:f>IF(C285="","",IFERROR(U185,"Unavailable"))</x:f>
      </x:c>
      <x:c r="X285" s="21" t="str">
        <x:f>IF(C285="","",IFERROR(V185,"Unavailable"))</x:f>
      </x:c>
      <x:c r="Y285" s="21" t="str">
        <x:f>IF(C285="","",IF(AQ285&lt;&gt;"Ready","Unavailable",IF(C285="","",U285-W285+V285-X285+N285+AG285)))</x:f>
      </x:c>
      <x:c r="Z285" s="23" t="str">
        <x:f>IF(C285="","",IF(AQ285&lt;&gt;"Ready","Unavailable",IF(C285="","",(G285+O285+L285)/2*INDEX('Facilities'!$T$9:$T$108,MATCH(C285,'Facilities'!$C$9:$C$108,0))+AG285)))</x:f>
      </x:c>
      <x:c r="AA285" s="23" t="str">
        <x:f>IF(C285="","",IF(AQ285&lt;&gt;"Ready","Unavailable",IF(C285="","",O285*(1-IF(INDEX('Facilities'!$AA$9:$AA$108,MATCH(C285,'Facilities'!$C$9:$C$108,0))=0,0,MIN(1,INDEX('Facilities'!$X$9:$X$108,MATCH(C285,'Facilities'!$C$9:$C$108,0))/INDEX('Facilities'!$AA$9:$AA$108,MATCH(C285,'Facilities'!$C$9:$C$108,0)))))*AF285+P285*(1-IF(INDEX('Facilities'!$AA$9:$AA$108,MATCH(C285,'Facilities'!$C$9:$C$108,0))=0,0,MIN(1,INDEX('Facilities'!$X$9:$X$108,MATCH(C285,'Facilities'!$C$9:$C$108,0))/INDEX('Facilities'!$AA$9:$AA$108,MATCH(C285,'Facilities'!$C$9:$C$108,0)))))*INDEX('Facilities'!$AJ$9:$AJ$108,MATCH(C285,'Facilities'!$C$9:$C$108,0))+Q285*INDEX('Facilities'!$AI$9:$AI$108,MATCH(C285,'Facilities'!$C$9:$C$108,0))*AF285)))</x:f>
      </x:c>
      <x:c r="AB285" s="21" t="str">
        <x:f>IF(C285="","",O285+P285-AD285)</x:f>
      </x:c>
      <x:c r="AC285" s="23" t="str">
        <x:f>IF(C285="","",IFERROR(IF(INDEX('Facilities'!$AD$9:$AD$108,MATCH(C285,'Facilities'!$C$9:$C$108,0))=3,0,IF(INDEX('Facilities'!$AN$9:$AN$108,MATCH(C285,'Facilities'!$C$9:$C$108,0))=0,-1,INDEX('Facilities'!$AN$9:$AN$108,MATCH(C285,'Facilities'!$C$9:$C$108,0)))),"Unavailable"))</x:f>
      </x:c>
      <x:c r="AD285" s="21" t="str">
        <x:f>IF(C285="","",IFERROR(G285+H285,"Unavailable"))</x:f>
      </x:c>
      <x:c r="AE285" s="21" t="str">
        <x:f>IF(C285="","",IF(AQ285&lt;&gt;"Ready","Unavailable",IF(C285="","",O285+P285-AD285-J285+K285+M285+N285)))</x:f>
      </x:c>
      <x:c r="AF285" s="30" t="str">
        <x:f>IF(C285="","",IFERROR(INDEX('Facilities'!$S$9:$S$108,MATCH(C285,'Facilities'!$C$9:$C$108,0))*'Scenario Paths'!H75,"Unavailable"))</x:f>
      </x:c>
      <x:c r="AG285" s="23" t="str">
        <x:f>IF(C285="","",IF(AQ285&lt;&gt;"Ready","Unavailable",IF(C285="","",IF(H285&gt;0,MAX(0,H285-AK285)*((1+INDEX('Facilities'!$K$9:$K$108,MATCH(C285,'Facilities'!$C$9:$C$108,0)))^MIN(1,MAX(0,AC285+INDEX('Facilities'!$AK$9:$AK$108,MATCH(C285,'Facilities'!$C$9:$C$108,0))-D285+1))-1),0))))</x:f>
      </x:c>
      <x:c r="AH285" s="21" t="str">
        <x:f>IF(C285="","",IF(AQ285&lt;&gt;"Ready","Unavailable",IF(C285="","",O285+P285)))</x:f>
      </x:c>
      <x:c r="AI285" s="21" t="str">
        <x:f>IF(C285="","",IF(AQ285&lt;&gt;"Ready","Unavailable",IF(C285="","",Z285-Y285)))</x:f>
      </x:c>
      <x:c r="AJ285" s="23" t="str">
        <x:f>IF(C285="","",IFERROR(MAX(0,INDEX('Facilities'!$J$9:$J$108,MATCH(C285,'Facilities'!$C$9:$C$108,0))-D285),"Unavailable"))</x:f>
      </x:c>
      <x:c r="AK285" s="21" t="str">
        <x:f>IF(C285="","",IFERROR(AL185,"Unavailable"))</x:f>
      </x:c>
      <x:c r="AL285" s="23" t="str">
        <x:f>IF(C285="","",IFERROR(IF(P285&gt;0,P285*(1-AM285/(1+INDEX('Facilities'!$K$9:$K$108,MATCH(C285,'Facilities'!$C$9:$C$108,0)))^MAX(0,AC285+INDEX('Facilities'!$AK$9:$AK$108,MATCH(C285,'Facilities'!$C$9:$C$108,0))-D285)),0),"Unavailable"))</x:f>
      </x:c>
      <x:c r="AM285" s="30" t="str">
        <x:f>IF(C285="","",IFERROR(INDEX('Facilities'!$AL$9:$AL$108,MATCH(C285,'Facilities'!$C$9:$C$108,0)),"Unavailable"))</x:f>
      </x:c>
      <x:c r="AN285" s="30" t="str">
        <x:f>IF(C285="","",IFERROR(INDEX(Credit!$T$209:$T$308,MATCH(F285,Credit!$C$209:$C$308,0)),"Unavailable"))</x:f>
      </x:c>
      <x:c r="AO285" s="23" t="str">
        <x:f>IF(C285="","",IF(AQ285&lt;&gt;"Ready","Unavailable",IF(C285="","",O285+P285+Q285*INDEX('Facilities'!$I$9:$I$108,MATCH(C285,'Facilities'!$C$9:$C$108,0)))))</x:f>
      </x:c>
      <x:c r="AP285" s="21" t="str">
        <x:f>IF(C285="","",IF(AQ285&lt;&gt;"Ready","Unavailable",IF(C285="","",AH285-U285)))</x:f>
      </x:c>
      <x:c r="AQ285" s="23" t="str">
        <x:f>IFERROR(IF(C285="","",IF(AND(INDEX('Facilities'!$AF$9:$AF$108,MATCH(C285,'Facilities'!$C$9:$C$108,0))="Ready",INDEX(Credit!$U$209:$U$308,MATCH(F285,Credit!$C$209:$C$308,0))="Ready",ISNUMBER(W285)),"Ready","Review inputs")),"Review inputs")</x:f>
      </x:c>
      <x:c r="AR285" s="23" t="str">
        <x:f>IF(C285="","",IF(AQ285&lt;&gt;"Ready","Unavailable",IF(C285="","",IF(O285=0,0,(IF(AJ285&lt;=1,O285,O285*INDEX('Facilities'!$R$9:$R$108,MATCH(C285,'Facilities'!$C$9:$C$108,0)))+O285*INDEX('Facilities'!$T$9:$T$108,MATCH(C285,'Facilities'!$C$9:$C$108,0)))/12))))</x:f>
      </x:c>
    </x:row>
    <x:row r="286" ht="26" customHeight="1">
      <x:c r="A286" s="1"/>
      <x:c r="B286" s="1"/>
      <x:c r="C286" s="9" t="str">
        <x:f>IF(Facilities!C86="","",Facilities!C86)</x:f>
      </x:c>
      <x:c r="D286" s="3" t="n">
        <x:v>3</x:v>
      </x:c>
      <x:c r="E286" s="9" t="n">
        <x:f>Settings!$F$18+2</x:f>
        <x:v>2029</x:v>
      </x:c>
      <x:c r="F286" s="9" t="str">
        <x:f>IF(C286="","",IFERROR(INDEX('Facilities'!$D$9:$D$108,MATCH(C286,'Facilities'!$C$9:$C$108,0)),"Unavailable"))</x:f>
      </x:c>
      <x:c r="G286" s="21" t="str">
        <x:f>IF(C286="","",IFERROR(O186,"Unavailable"))</x:f>
      </x:c>
      <x:c r="H286" s="21" t="str">
        <x:f>IF(C286="","",IFERROR(P186,"Unavailable"))</x:f>
      </x:c>
      <x:c r="I286" s="21" t="str">
        <x:f>IF(C286="","",IFERROR(Q186,"Unavailable"))</x:f>
      </x:c>
      <x:c r="J286" s="23" t="str">
        <x:f>IF(C286="","",IFERROR(IF(OR(H286&gt;0,AND(AC286&gt;=0,AC286&lt;D286),D286&gt;INDEX('Facilities'!$J$9:$J$108,MATCH(C286,'Facilities'!$C$9:$C$108,0))),0,I286*'Scenario Paths'!H81),"Unavailable"))</x:f>
      </x:c>
      <x:c r="K286" s="23" t="str">
        <x:f>IF(C286="","",IFERROR(IF(OR(H286&gt;0,AND(AC286&gt;=0,AC286=D286)),0,IF(D286&gt;=INDEX('Facilities'!$J$9:$J$108,MATCH(C286,'Facilities'!$C$9:$C$108,0)),G286+J286,MIN(G286+J286,G286*INDEX('Facilities'!$R$9:$R$108,MATCH(C286,'Facilities'!$C$9:$C$108,0))))),"Unavailable"))</x:f>
      </x:c>
      <x:c r="L286" s="21" t="str">
        <x:f>IF(C286="","",IFERROR(IF(AND(AC286=D286,AC286&gt;0),MAX(0,G286+J286-K286),0),"Unavailable"))</x:f>
      </x:c>
      <x:c r="M286" s="23" t="str">
        <x:f>IF(C286="","",IFERROR(IF(AND(AC286&gt;=0,D286&gt;=AC286+INDEX('Facilities'!$AK$9:$AK$108,MATCH(C286,'Facilities'!$C$9:$C$108,0))),(H286+L286)*AM286,0),"Unavailable"))</x:f>
      </x:c>
      <x:c r="N286" s="23" t="str">
        <x:f>IF(C286="","",IFERROR(IF(AND(AC286&gt;=0,D286&gt;=AC286+INDEX('Facilities'!$AK$9:$AK$108,MATCH(C286,'Facilities'!$C$9:$C$108,0))),H286+L286-M286,0),"Unavailable"))</x:f>
      </x:c>
      <x:c r="O286" s="21" t="str">
        <x:f>IF(C286="","",IFERROR(MAX(0,G286+J286-K286-L286),"Unavailable"))</x:f>
      </x:c>
      <x:c r="P286" s="21" t="str">
        <x:f>IF(C286="","",IFERROR(MAX(0,H286+L286-M286-N286),"Unavailable"))</x:f>
      </x:c>
      <x:c r="Q286" s="23" t="str">
        <x:f>IF(C286="","",IFERROR(IF(OR(D286&gt;=INDEX('Facilities'!$J$9:$J$108,MATCH(C286,'Facilities'!$C$9:$C$108,0)),AND(AC286&gt;=0,AC286&lt;=D286)),0,MAX(0,I286-J286)),"Unavailable"))</x:f>
      </x:c>
      <x:c r="R286" s="30" t="str">
        <x:f>IF(C286="","",IFERROR(INDEX(Credit!$Q$209:$Q$308,MATCH(F286,Credit!$C$209:$C$308,0)),"Unavailable"))</x:f>
      </x:c>
      <x:c r="S286" s="30" t="str">
        <x:f>IF(C286="","",IFERROR(INDEX(Credit!$R$209:$R$308,MATCH(F286,Credit!$C$209:$C$308,0)),"Unavailable"))</x:f>
      </x:c>
      <x:c r="T286" s="23" t="str">
        <x:f>IF(C286="","",IFERROR(IF(P286&gt;0,3,IF(OR(INDEX('Facilities'!$AD$9:$AD$108,MATCH(C286,'Facilities'!$C$9:$C$108,0))=2,AND(R286&gt;=INDEX('Facilities'!$L$9:$L$108,MATCH(C286,'Facilities'!$C$9:$C$108,0))*Settings!$F$19,R286-INDEX('Facilities'!$L$9:$L$108,MATCH(C286,'Facilities'!$C$9:$C$108,0))&gt;=Settings!$F$20)),2,1)),"Unavailable"))</x:f>
      </x:c>
      <x:c r="U286" s="23" t="str">
        <x:f>IF(C286="","",IF(AQ286&lt;&gt;"Ready","Unavailable",IF(C286="","",O286*(1-(1-S286)/(1+INDEX('Facilities'!$K$9:$K$108,MATCH(C286,'Facilities'!$C$9:$C$108,0)))^INDEX('Facilities'!$AK$9:$AK$108,MATCH(C286,'Facilities'!$C$9:$C$108,0)))*R286/(1+INDEX('Facilities'!$K$9:$K$108,MATCH(C286,'Facilities'!$C$9:$C$108,0)))*IF(ABS(1-(1-R286)*(1-INDEX('Facilities'!$R$9:$R$108,MATCH(C286,'Facilities'!$C$9:$C$108,0)))/(1+INDEX('Facilities'!$K$9:$K$108,MATCH(C286,'Facilities'!$C$9:$C$108,0))))&lt;0.000000001,IF(T286=1,MIN(1,AJ286),AJ286),(1-((1-R286)*(1-INDEX('Facilities'!$R$9:$R$108,MATCH(C286,'Facilities'!$C$9:$C$108,0)))/(1+INDEX('Facilities'!$K$9:$K$108,MATCH(C286,'Facilities'!$C$9:$C$108,0))))^IF(T286=1,MIN(1,AJ286),AJ286))/(1-(1-R286)*(1-INDEX('Facilities'!$R$9:$R$108,MATCH(C286,'Facilities'!$C$9:$C$108,0)))/(1+INDEX('Facilities'!$K$9:$K$108,MATCH(C286,'Facilities'!$C$9:$C$108,0)))))+AL286)))</x:f>
      </x:c>
      <x:c r="V286" s="23" t="str">
        <x:f>IF(C286="","",IF(AQ286&lt;&gt;"Ready","Unavailable",IF(C286="","",Q286*INDEX('Facilities'!$I$9:$I$108,MATCH(C286,'Facilities'!$C$9:$C$108,0))*(1-(1-S286)/(1+INDEX('Facilities'!$K$9:$K$108,MATCH(C286,'Facilities'!$C$9:$C$108,0)))^INDEX('Facilities'!$AK$9:$AK$108,MATCH(C286,'Facilities'!$C$9:$C$108,0)))*R286/(1+INDEX('Facilities'!$K$9:$K$108,MATCH(C286,'Facilities'!$C$9:$C$108,0)))*IF(ABS(1-(1-R286)*(1-0)/(1+INDEX('Facilities'!$K$9:$K$108,MATCH(C286,'Facilities'!$C$9:$C$108,0))))&lt;0.000000001,IF(T286=1,MIN(1,AJ286),AJ286),(1-((1-R286)*(1-0)/(1+INDEX('Facilities'!$K$9:$K$108,MATCH(C286,'Facilities'!$C$9:$C$108,0))))^IF(T286=1,MIN(1,AJ286),AJ286))/(1-(1-R286)*(1-0)/(1+INDEX('Facilities'!$K$9:$K$108,MATCH(C286,'Facilities'!$C$9:$C$108,0))))))))</x:f>
      </x:c>
      <x:c r="W286" s="21" t="str">
        <x:f>IF(C286="","",IFERROR(U186,"Unavailable"))</x:f>
      </x:c>
      <x:c r="X286" s="21" t="str">
        <x:f>IF(C286="","",IFERROR(V186,"Unavailable"))</x:f>
      </x:c>
      <x:c r="Y286" s="21" t="str">
        <x:f>IF(C286="","",IF(AQ286&lt;&gt;"Ready","Unavailable",IF(C286="","",U286-W286+V286-X286+N286+AG286)))</x:f>
      </x:c>
      <x:c r="Z286" s="23" t="str">
        <x:f>IF(C286="","",IF(AQ286&lt;&gt;"Ready","Unavailable",IF(C286="","",(G286+O286+L286)/2*INDEX('Facilities'!$T$9:$T$108,MATCH(C286,'Facilities'!$C$9:$C$108,0))+AG286)))</x:f>
      </x:c>
      <x:c r="AA286" s="23" t="str">
        <x:f>IF(C286="","",IF(AQ286&lt;&gt;"Ready","Unavailable",IF(C286="","",O286*(1-IF(INDEX('Facilities'!$AA$9:$AA$108,MATCH(C286,'Facilities'!$C$9:$C$108,0))=0,0,MIN(1,INDEX('Facilities'!$X$9:$X$108,MATCH(C286,'Facilities'!$C$9:$C$108,0))/INDEX('Facilities'!$AA$9:$AA$108,MATCH(C286,'Facilities'!$C$9:$C$108,0)))))*AF286+P286*(1-IF(INDEX('Facilities'!$AA$9:$AA$108,MATCH(C286,'Facilities'!$C$9:$C$108,0))=0,0,MIN(1,INDEX('Facilities'!$X$9:$X$108,MATCH(C286,'Facilities'!$C$9:$C$108,0))/INDEX('Facilities'!$AA$9:$AA$108,MATCH(C286,'Facilities'!$C$9:$C$108,0)))))*INDEX('Facilities'!$AJ$9:$AJ$108,MATCH(C286,'Facilities'!$C$9:$C$108,0))+Q286*INDEX('Facilities'!$AI$9:$AI$108,MATCH(C286,'Facilities'!$C$9:$C$108,0))*AF286)))</x:f>
      </x:c>
      <x:c r="AB286" s="21" t="str">
        <x:f>IF(C286="","",O286+P286-AD286)</x:f>
      </x:c>
      <x:c r="AC286" s="23" t="str">
        <x:f>IF(C286="","",IFERROR(IF(INDEX('Facilities'!$AD$9:$AD$108,MATCH(C286,'Facilities'!$C$9:$C$108,0))=3,0,IF(INDEX('Facilities'!$AN$9:$AN$108,MATCH(C286,'Facilities'!$C$9:$C$108,0))=0,-1,INDEX('Facilities'!$AN$9:$AN$108,MATCH(C286,'Facilities'!$C$9:$C$108,0)))),"Unavailable"))</x:f>
      </x:c>
      <x:c r="AD286" s="21" t="str">
        <x:f>IF(C286="","",IFERROR(G286+H286,"Unavailable"))</x:f>
      </x:c>
      <x:c r="AE286" s="21" t="str">
        <x:f>IF(C286="","",IF(AQ286&lt;&gt;"Ready","Unavailable",IF(C286="","",O286+P286-AD286-J286+K286+M286+N286)))</x:f>
      </x:c>
      <x:c r="AF286" s="30" t="str">
        <x:f>IF(C286="","",IFERROR(INDEX('Facilities'!$S$9:$S$108,MATCH(C286,'Facilities'!$C$9:$C$108,0))*'Scenario Paths'!H75,"Unavailable"))</x:f>
      </x:c>
      <x:c r="AG286" s="23" t="str">
        <x:f>IF(C286="","",IF(AQ286&lt;&gt;"Ready","Unavailable",IF(C286="","",IF(H286&gt;0,MAX(0,H286-AK286)*((1+INDEX('Facilities'!$K$9:$K$108,MATCH(C286,'Facilities'!$C$9:$C$108,0)))^MIN(1,MAX(0,AC286+INDEX('Facilities'!$AK$9:$AK$108,MATCH(C286,'Facilities'!$C$9:$C$108,0))-D286+1))-1),0))))</x:f>
      </x:c>
      <x:c r="AH286" s="21" t="str">
        <x:f>IF(C286="","",IF(AQ286&lt;&gt;"Ready","Unavailable",IF(C286="","",O286+P286)))</x:f>
      </x:c>
      <x:c r="AI286" s="21" t="str">
        <x:f>IF(C286="","",IF(AQ286&lt;&gt;"Ready","Unavailable",IF(C286="","",Z286-Y286)))</x:f>
      </x:c>
      <x:c r="AJ286" s="23" t="str">
        <x:f>IF(C286="","",IFERROR(MAX(0,INDEX('Facilities'!$J$9:$J$108,MATCH(C286,'Facilities'!$C$9:$C$108,0))-D286),"Unavailable"))</x:f>
      </x:c>
      <x:c r="AK286" s="21" t="str">
        <x:f>IF(C286="","",IFERROR(AL186,"Unavailable"))</x:f>
      </x:c>
      <x:c r="AL286" s="23" t="str">
        <x:f>IF(C286="","",IFERROR(IF(P286&gt;0,P286*(1-AM286/(1+INDEX('Facilities'!$K$9:$K$108,MATCH(C286,'Facilities'!$C$9:$C$108,0)))^MAX(0,AC286+INDEX('Facilities'!$AK$9:$AK$108,MATCH(C286,'Facilities'!$C$9:$C$108,0))-D286)),0),"Unavailable"))</x:f>
      </x:c>
      <x:c r="AM286" s="30" t="str">
        <x:f>IF(C286="","",IFERROR(INDEX('Facilities'!$AL$9:$AL$108,MATCH(C286,'Facilities'!$C$9:$C$108,0)),"Unavailable"))</x:f>
      </x:c>
      <x:c r="AN286" s="30" t="str">
        <x:f>IF(C286="","",IFERROR(INDEX(Credit!$T$209:$T$308,MATCH(F286,Credit!$C$209:$C$308,0)),"Unavailable"))</x:f>
      </x:c>
      <x:c r="AO286" s="23" t="str">
        <x:f>IF(C286="","",IF(AQ286&lt;&gt;"Ready","Unavailable",IF(C286="","",O286+P286+Q286*INDEX('Facilities'!$I$9:$I$108,MATCH(C286,'Facilities'!$C$9:$C$108,0)))))</x:f>
      </x:c>
      <x:c r="AP286" s="21" t="str">
        <x:f>IF(C286="","",IF(AQ286&lt;&gt;"Ready","Unavailable",IF(C286="","",AH286-U286)))</x:f>
      </x:c>
      <x:c r="AQ286" s="23" t="str">
        <x:f>IFERROR(IF(C286="","",IF(AND(INDEX('Facilities'!$AF$9:$AF$108,MATCH(C286,'Facilities'!$C$9:$C$108,0))="Ready",INDEX(Credit!$U$209:$U$308,MATCH(F286,Credit!$C$209:$C$308,0))="Ready",ISNUMBER(W286)),"Ready","Review inputs")),"Review inputs")</x:f>
      </x:c>
      <x:c r="AR286" s="23" t="str">
        <x:f>IF(C286="","",IF(AQ286&lt;&gt;"Ready","Unavailable",IF(C286="","",IF(O286=0,0,(IF(AJ286&lt;=1,O286,O286*INDEX('Facilities'!$R$9:$R$108,MATCH(C286,'Facilities'!$C$9:$C$108,0)))+O286*INDEX('Facilities'!$T$9:$T$108,MATCH(C286,'Facilities'!$C$9:$C$108,0)))/12))))</x:f>
      </x:c>
    </x:row>
    <x:row r="287" ht="26" customHeight="1">
      <x:c r="A287" s="1"/>
      <x:c r="B287" s="1"/>
      <x:c r="C287" s="9" t="str">
        <x:f>IF(Facilities!C87="","",Facilities!C87)</x:f>
      </x:c>
      <x:c r="D287" s="3" t="n">
        <x:v>3</x:v>
      </x:c>
      <x:c r="E287" s="9" t="n">
        <x:f>Settings!$F$18+2</x:f>
        <x:v>2029</x:v>
      </x:c>
      <x:c r="F287" s="9" t="str">
        <x:f>IF(C287="","",IFERROR(INDEX('Facilities'!$D$9:$D$108,MATCH(C287,'Facilities'!$C$9:$C$108,0)),"Unavailable"))</x:f>
      </x:c>
      <x:c r="G287" s="21" t="str">
        <x:f>IF(C287="","",IFERROR(O187,"Unavailable"))</x:f>
      </x:c>
      <x:c r="H287" s="21" t="str">
        <x:f>IF(C287="","",IFERROR(P187,"Unavailable"))</x:f>
      </x:c>
      <x:c r="I287" s="21" t="str">
        <x:f>IF(C287="","",IFERROR(Q187,"Unavailable"))</x:f>
      </x:c>
      <x:c r="J287" s="23" t="str">
        <x:f>IF(C287="","",IFERROR(IF(OR(H287&gt;0,AND(AC287&gt;=0,AC287&lt;D287),D287&gt;INDEX('Facilities'!$J$9:$J$108,MATCH(C287,'Facilities'!$C$9:$C$108,0))),0,I287*'Scenario Paths'!H81),"Unavailable"))</x:f>
      </x:c>
      <x:c r="K287" s="23" t="str">
        <x:f>IF(C287="","",IFERROR(IF(OR(H287&gt;0,AND(AC287&gt;=0,AC287=D287)),0,IF(D287&gt;=INDEX('Facilities'!$J$9:$J$108,MATCH(C287,'Facilities'!$C$9:$C$108,0)),G287+J287,MIN(G287+J287,G287*INDEX('Facilities'!$R$9:$R$108,MATCH(C287,'Facilities'!$C$9:$C$108,0))))),"Unavailable"))</x:f>
      </x:c>
      <x:c r="L287" s="21" t="str">
        <x:f>IF(C287="","",IFERROR(IF(AND(AC287=D287,AC287&gt;0),MAX(0,G287+J287-K287),0),"Unavailable"))</x:f>
      </x:c>
      <x:c r="M287" s="23" t="str">
        <x:f>IF(C287="","",IFERROR(IF(AND(AC287&gt;=0,D287&gt;=AC287+INDEX('Facilities'!$AK$9:$AK$108,MATCH(C287,'Facilities'!$C$9:$C$108,0))),(H287+L287)*AM287,0),"Unavailable"))</x:f>
      </x:c>
      <x:c r="N287" s="23" t="str">
        <x:f>IF(C287="","",IFERROR(IF(AND(AC287&gt;=0,D287&gt;=AC287+INDEX('Facilities'!$AK$9:$AK$108,MATCH(C287,'Facilities'!$C$9:$C$108,0))),H287+L287-M287,0),"Unavailable"))</x:f>
      </x:c>
      <x:c r="O287" s="21" t="str">
        <x:f>IF(C287="","",IFERROR(MAX(0,G287+J287-K287-L287),"Unavailable"))</x:f>
      </x:c>
      <x:c r="P287" s="21" t="str">
        <x:f>IF(C287="","",IFERROR(MAX(0,H287+L287-M287-N287),"Unavailable"))</x:f>
      </x:c>
      <x:c r="Q287" s="23" t="str">
        <x:f>IF(C287="","",IFERROR(IF(OR(D287&gt;=INDEX('Facilities'!$J$9:$J$108,MATCH(C287,'Facilities'!$C$9:$C$108,0)),AND(AC287&gt;=0,AC287&lt;=D287)),0,MAX(0,I287-J287)),"Unavailable"))</x:f>
      </x:c>
      <x:c r="R287" s="30" t="str">
        <x:f>IF(C287="","",IFERROR(INDEX(Credit!$Q$209:$Q$308,MATCH(F287,Credit!$C$209:$C$308,0)),"Unavailable"))</x:f>
      </x:c>
      <x:c r="S287" s="30" t="str">
        <x:f>IF(C287="","",IFERROR(INDEX(Credit!$R$209:$R$308,MATCH(F287,Credit!$C$209:$C$308,0)),"Unavailable"))</x:f>
      </x:c>
      <x:c r="T287" s="23" t="str">
        <x:f>IF(C287="","",IFERROR(IF(P287&gt;0,3,IF(OR(INDEX('Facilities'!$AD$9:$AD$108,MATCH(C287,'Facilities'!$C$9:$C$108,0))=2,AND(R287&gt;=INDEX('Facilities'!$L$9:$L$108,MATCH(C287,'Facilities'!$C$9:$C$108,0))*Settings!$F$19,R287-INDEX('Facilities'!$L$9:$L$108,MATCH(C287,'Facilities'!$C$9:$C$108,0))&gt;=Settings!$F$20)),2,1)),"Unavailable"))</x:f>
      </x:c>
      <x:c r="U287" s="23" t="str">
        <x:f>IF(C287="","",IF(AQ287&lt;&gt;"Ready","Unavailable",IF(C287="","",O287*(1-(1-S287)/(1+INDEX('Facilities'!$K$9:$K$108,MATCH(C287,'Facilities'!$C$9:$C$108,0)))^INDEX('Facilities'!$AK$9:$AK$108,MATCH(C287,'Facilities'!$C$9:$C$108,0)))*R287/(1+INDEX('Facilities'!$K$9:$K$108,MATCH(C287,'Facilities'!$C$9:$C$108,0)))*IF(ABS(1-(1-R287)*(1-INDEX('Facilities'!$R$9:$R$108,MATCH(C287,'Facilities'!$C$9:$C$108,0)))/(1+INDEX('Facilities'!$K$9:$K$108,MATCH(C287,'Facilities'!$C$9:$C$108,0))))&lt;0.000000001,IF(T287=1,MIN(1,AJ287),AJ287),(1-((1-R287)*(1-INDEX('Facilities'!$R$9:$R$108,MATCH(C287,'Facilities'!$C$9:$C$108,0)))/(1+INDEX('Facilities'!$K$9:$K$108,MATCH(C287,'Facilities'!$C$9:$C$108,0))))^IF(T287=1,MIN(1,AJ287),AJ287))/(1-(1-R287)*(1-INDEX('Facilities'!$R$9:$R$108,MATCH(C287,'Facilities'!$C$9:$C$108,0)))/(1+INDEX('Facilities'!$K$9:$K$108,MATCH(C287,'Facilities'!$C$9:$C$108,0)))))+AL287)))</x:f>
      </x:c>
      <x:c r="V287" s="23" t="str">
        <x:f>IF(C287="","",IF(AQ287&lt;&gt;"Ready","Unavailable",IF(C287="","",Q287*INDEX('Facilities'!$I$9:$I$108,MATCH(C287,'Facilities'!$C$9:$C$108,0))*(1-(1-S287)/(1+INDEX('Facilities'!$K$9:$K$108,MATCH(C287,'Facilities'!$C$9:$C$108,0)))^INDEX('Facilities'!$AK$9:$AK$108,MATCH(C287,'Facilities'!$C$9:$C$108,0)))*R287/(1+INDEX('Facilities'!$K$9:$K$108,MATCH(C287,'Facilities'!$C$9:$C$108,0)))*IF(ABS(1-(1-R287)*(1-0)/(1+INDEX('Facilities'!$K$9:$K$108,MATCH(C287,'Facilities'!$C$9:$C$108,0))))&lt;0.000000001,IF(T287=1,MIN(1,AJ287),AJ287),(1-((1-R287)*(1-0)/(1+INDEX('Facilities'!$K$9:$K$108,MATCH(C287,'Facilities'!$C$9:$C$108,0))))^IF(T287=1,MIN(1,AJ287),AJ287))/(1-(1-R287)*(1-0)/(1+INDEX('Facilities'!$K$9:$K$108,MATCH(C287,'Facilities'!$C$9:$C$108,0))))))))</x:f>
      </x:c>
      <x:c r="W287" s="21" t="str">
        <x:f>IF(C287="","",IFERROR(U187,"Unavailable"))</x:f>
      </x:c>
      <x:c r="X287" s="21" t="str">
        <x:f>IF(C287="","",IFERROR(V187,"Unavailable"))</x:f>
      </x:c>
      <x:c r="Y287" s="21" t="str">
        <x:f>IF(C287="","",IF(AQ287&lt;&gt;"Ready","Unavailable",IF(C287="","",U287-W287+V287-X287+N287+AG287)))</x:f>
      </x:c>
      <x:c r="Z287" s="23" t="str">
        <x:f>IF(C287="","",IF(AQ287&lt;&gt;"Ready","Unavailable",IF(C287="","",(G287+O287+L287)/2*INDEX('Facilities'!$T$9:$T$108,MATCH(C287,'Facilities'!$C$9:$C$108,0))+AG287)))</x:f>
      </x:c>
      <x:c r="AA287" s="23" t="str">
        <x:f>IF(C287="","",IF(AQ287&lt;&gt;"Ready","Unavailable",IF(C287="","",O287*(1-IF(INDEX('Facilities'!$AA$9:$AA$108,MATCH(C287,'Facilities'!$C$9:$C$108,0))=0,0,MIN(1,INDEX('Facilities'!$X$9:$X$108,MATCH(C287,'Facilities'!$C$9:$C$108,0))/INDEX('Facilities'!$AA$9:$AA$108,MATCH(C287,'Facilities'!$C$9:$C$108,0)))))*AF287+P287*(1-IF(INDEX('Facilities'!$AA$9:$AA$108,MATCH(C287,'Facilities'!$C$9:$C$108,0))=0,0,MIN(1,INDEX('Facilities'!$X$9:$X$108,MATCH(C287,'Facilities'!$C$9:$C$108,0))/INDEX('Facilities'!$AA$9:$AA$108,MATCH(C287,'Facilities'!$C$9:$C$108,0)))))*INDEX('Facilities'!$AJ$9:$AJ$108,MATCH(C287,'Facilities'!$C$9:$C$108,0))+Q287*INDEX('Facilities'!$AI$9:$AI$108,MATCH(C287,'Facilities'!$C$9:$C$108,0))*AF287)))</x:f>
      </x:c>
      <x:c r="AB287" s="21" t="str">
        <x:f>IF(C287="","",O287+P287-AD287)</x:f>
      </x:c>
      <x:c r="AC287" s="23" t="str">
        <x:f>IF(C287="","",IFERROR(IF(INDEX('Facilities'!$AD$9:$AD$108,MATCH(C287,'Facilities'!$C$9:$C$108,0))=3,0,IF(INDEX('Facilities'!$AN$9:$AN$108,MATCH(C287,'Facilities'!$C$9:$C$108,0))=0,-1,INDEX('Facilities'!$AN$9:$AN$108,MATCH(C287,'Facilities'!$C$9:$C$108,0)))),"Unavailable"))</x:f>
      </x:c>
      <x:c r="AD287" s="21" t="str">
        <x:f>IF(C287="","",IFERROR(G287+H287,"Unavailable"))</x:f>
      </x:c>
      <x:c r="AE287" s="21" t="str">
        <x:f>IF(C287="","",IF(AQ287&lt;&gt;"Ready","Unavailable",IF(C287="","",O287+P287-AD287-J287+K287+M287+N287)))</x:f>
      </x:c>
      <x:c r="AF287" s="30" t="str">
        <x:f>IF(C287="","",IFERROR(INDEX('Facilities'!$S$9:$S$108,MATCH(C287,'Facilities'!$C$9:$C$108,0))*'Scenario Paths'!H75,"Unavailable"))</x:f>
      </x:c>
      <x:c r="AG287" s="23" t="str">
        <x:f>IF(C287="","",IF(AQ287&lt;&gt;"Ready","Unavailable",IF(C287="","",IF(H287&gt;0,MAX(0,H287-AK287)*((1+INDEX('Facilities'!$K$9:$K$108,MATCH(C287,'Facilities'!$C$9:$C$108,0)))^MIN(1,MAX(0,AC287+INDEX('Facilities'!$AK$9:$AK$108,MATCH(C287,'Facilities'!$C$9:$C$108,0))-D287+1))-1),0))))</x:f>
      </x:c>
      <x:c r="AH287" s="21" t="str">
        <x:f>IF(C287="","",IF(AQ287&lt;&gt;"Ready","Unavailable",IF(C287="","",O287+P287)))</x:f>
      </x:c>
      <x:c r="AI287" s="21" t="str">
        <x:f>IF(C287="","",IF(AQ287&lt;&gt;"Ready","Unavailable",IF(C287="","",Z287-Y287)))</x:f>
      </x:c>
      <x:c r="AJ287" s="23" t="str">
        <x:f>IF(C287="","",IFERROR(MAX(0,INDEX('Facilities'!$J$9:$J$108,MATCH(C287,'Facilities'!$C$9:$C$108,0))-D287),"Unavailable"))</x:f>
      </x:c>
      <x:c r="AK287" s="21" t="str">
        <x:f>IF(C287="","",IFERROR(AL187,"Unavailable"))</x:f>
      </x:c>
      <x:c r="AL287" s="23" t="str">
        <x:f>IF(C287="","",IFERROR(IF(P287&gt;0,P287*(1-AM287/(1+INDEX('Facilities'!$K$9:$K$108,MATCH(C287,'Facilities'!$C$9:$C$108,0)))^MAX(0,AC287+INDEX('Facilities'!$AK$9:$AK$108,MATCH(C287,'Facilities'!$C$9:$C$108,0))-D287)),0),"Unavailable"))</x:f>
      </x:c>
      <x:c r="AM287" s="30" t="str">
        <x:f>IF(C287="","",IFERROR(INDEX('Facilities'!$AL$9:$AL$108,MATCH(C287,'Facilities'!$C$9:$C$108,0)),"Unavailable"))</x:f>
      </x:c>
      <x:c r="AN287" s="30" t="str">
        <x:f>IF(C287="","",IFERROR(INDEX(Credit!$T$209:$T$308,MATCH(F287,Credit!$C$209:$C$308,0)),"Unavailable"))</x:f>
      </x:c>
      <x:c r="AO287" s="23" t="str">
        <x:f>IF(C287="","",IF(AQ287&lt;&gt;"Ready","Unavailable",IF(C287="","",O287+P287+Q287*INDEX('Facilities'!$I$9:$I$108,MATCH(C287,'Facilities'!$C$9:$C$108,0)))))</x:f>
      </x:c>
      <x:c r="AP287" s="21" t="str">
        <x:f>IF(C287="","",IF(AQ287&lt;&gt;"Ready","Unavailable",IF(C287="","",AH287-U287)))</x:f>
      </x:c>
      <x:c r="AQ287" s="23" t="str">
        <x:f>IFERROR(IF(C287="","",IF(AND(INDEX('Facilities'!$AF$9:$AF$108,MATCH(C287,'Facilities'!$C$9:$C$108,0))="Ready",INDEX(Credit!$U$209:$U$308,MATCH(F287,Credit!$C$209:$C$308,0))="Ready",ISNUMBER(W287)),"Ready","Review inputs")),"Review inputs")</x:f>
      </x:c>
      <x:c r="AR287" s="23" t="str">
        <x:f>IF(C287="","",IF(AQ287&lt;&gt;"Ready","Unavailable",IF(C287="","",IF(O287=0,0,(IF(AJ287&lt;=1,O287,O287*INDEX('Facilities'!$R$9:$R$108,MATCH(C287,'Facilities'!$C$9:$C$108,0)))+O287*INDEX('Facilities'!$T$9:$T$108,MATCH(C287,'Facilities'!$C$9:$C$108,0)))/12))))</x:f>
      </x:c>
    </x:row>
    <x:row r="288" ht="26" customHeight="1">
      <x:c r="A288" s="1"/>
      <x:c r="B288" s="1"/>
      <x:c r="C288" s="9" t="str">
        <x:f>IF(Facilities!C88="","",Facilities!C88)</x:f>
      </x:c>
      <x:c r="D288" s="3" t="n">
        <x:v>3</x:v>
      </x:c>
      <x:c r="E288" s="9" t="n">
        <x:f>Settings!$F$18+2</x:f>
        <x:v>2029</x:v>
      </x:c>
      <x:c r="F288" s="9" t="str">
        <x:f>IF(C288="","",IFERROR(INDEX('Facilities'!$D$9:$D$108,MATCH(C288,'Facilities'!$C$9:$C$108,0)),"Unavailable"))</x:f>
      </x:c>
      <x:c r="G288" s="21" t="str">
        <x:f>IF(C288="","",IFERROR(O188,"Unavailable"))</x:f>
      </x:c>
      <x:c r="H288" s="21" t="str">
        <x:f>IF(C288="","",IFERROR(P188,"Unavailable"))</x:f>
      </x:c>
      <x:c r="I288" s="21" t="str">
        <x:f>IF(C288="","",IFERROR(Q188,"Unavailable"))</x:f>
      </x:c>
      <x:c r="J288" s="23" t="str">
        <x:f>IF(C288="","",IFERROR(IF(OR(H288&gt;0,AND(AC288&gt;=0,AC288&lt;D288),D288&gt;INDEX('Facilities'!$J$9:$J$108,MATCH(C288,'Facilities'!$C$9:$C$108,0))),0,I288*'Scenario Paths'!H81),"Unavailable"))</x:f>
      </x:c>
      <x:c r="K288" s="23" t="str">
        <x:f>IF(C288="","",IFERROR(IF(OR(H288&gt;0,AND(AC288&gt;=0,AC288=D288)),0,IF(D288&gt;=INDEX('Facilities'!$J$9:$J$108,MATCH(C288,'Facilities'!$C$9:$C$108,0)),G288+J288,MIN(G288+J288,G288*INDEX('Facilities'!$R$9:$R$108,MATCH(C288,'Facilities'!$C$9:$C$108,0))))),"Unavailable"))</x:f>
      </x:c>
      <x:c r="L288" s="21" t="str">
        <x:f>IF(C288="","",IFERROR(IF(AND(AC288=D288,AC288&gt;0),MAX(0,G288+J288-K288),0),"Unavailable"))</x:f>
      </x:c>
      <x:c r="M288" s="23" t="str">
        <x:f>IF(C288="","",IFERROR(IF(AND(AC288&gt;=0,D288&gt;=AC288+INDEX('Facilities'!$AK$9:$AK$108,MATCH(C288,'Facilities'!$C$9:$C$108,0))),(H288+L288)*AM288,0),"Unavailable"))</x:f>
      </x:c>
      <x:c r="N288" s="23" t="str">
        <x:f>IF(C288="","",IFERROR(IF(AND(AC288&gt;=0,D288&gt;=AC288+INDEX('Facilities'!$AK$9:$AK$108,MATCH(C288,'Facilities'!$C$9:$C$108,0))),H288+L288-M288,0),"Unavailable"))</x:f>
      </x:c>
      <x:c r="O288" s="21" t="str">
        <x:f>IF(C288="","",IFERROR(MAX(0,G288+J288-K288-L288),"Unavailable"))</x:f>
      </x:c>
      <x:c r="P288" s="21" t="str">
        <x:f>IF(C288="","",IFERROR(MAX(0,H288+L288-M288-N288),"Unavailable"))</x:f>
      </x:c>
      <x:c r="Q288" s="23" t="str">
        <x:f>IF(C288="","",IFERROR(IF(OR(D288&gt;=INDEX('Facilities'!$J$9:$J$108,MATCH(C288,'Facilities'!$C$9:$C$108,0)),AND(AC288&gt;=0,AC288&lt;=D288)),0,MAX(0,I288-J288)),"Unavailable"))</x:f>
      </x:c>
      <x:c r="R288" s="30" t="str">
        <x:f>IF(C288="","",IFERROR(INDEX(Credit!$Q$209:$Q$308,MATCH(F288,Credit!$C$209:$C$308,0)),"Unavailable"))</x:f>
      </x:c>
      <x:c r="S288" s="30" t="str">
        <x:f>IF(C288="","",IFERROR(INDEX(Credit!$R$209:$R$308,MATCH(F288,Credit!$C$209:$C$308,0)),"Unavailable"))</x:f>
      </x:c>
      <x:c r="T288" s="23" t="str">
        <x:f>IF(C288="","",IFERROR(IF(P288&gt;0,3,IF(OR(INDEX('Facilities'!$AD$9:$AD$108,MATCH(C288,'Facilities'!$C$9:$C$108,0))=2,AND(R288&gt;=INDEX('Facilities'!$L$9:$L$108,MATCH(C288,'Facilities'!$C$9:$C$108,0))*Settings!$F$19,R288-INDEX('Facilities'!$L$9:$L$108,MATCH(C288,'Facilities'!$C$9:$C$108,0))&gt;=Settings!$F$20)),2,1)),"Unavailable"))</x:f>
      </x:c>
      <x:c r="U288" s="23" t="str">
        <x:f>IF(C288="","",IF(AQ288&lt;&gt;"Ready","Unavailable",IF(C288="","",O288*(1-(1-S288)/(1+INDEX('Facilities'!$K$9:$K$108,MATCH(C288,'Facilities'!$C$9:$C$108,0)))^INDEX('Facilities'!$AK$9:$AK$108,MATCH(C288,'Facilities'!$C$9:$C$108,0)))*R288/(1+INDEX('Facilities'!$K$9:$K$108,MATCH(C288,'Facilities'!$C$9:$C$108,0)))*IF(ABS(1-(1-R288)*(1-INDEX('Facilities'!$R$9:$R$108,MATCH(C288,'Facilities'!$C$9:$C$108,0)))/(1+INDEX('Facilities'!$K$9:$K$108,MATCH(C288,'Facilities'!$C$9:$C$108,0))))&lt;0.000000001,IF(T288=1,MIN(1,AJ288),AJ288),(1-((1-R288)*(1-INDEX('Facilities'!$R$9:$R$108,MATCH(C288,'Facilities'!$C$9:$C$108,0)))/(1+INDEX('Facilities'!$K$9:$K$108,MATCH(C288,'Facilities'!$C$9:$C$108,0))))^IF(T288=1,MIN(1,AJ288),AJ288))/(1-(1-R288)*(1-INDEX('Facilities'!$R$9:$R$108,MATCH(C288,'Facilities'!$C$9:$C$108,0)))/(1+INDEX('Facilities'!$K$9:$K$108,MATCH(C288,'Facilities'!$C$9:$C$108,0)))))+AL288)))</x:f>
      </x:c>
      <x:c r="V288" s="23" t="str">
        <x:f>IF(C288="","",IF(AQ288&lt;&gt;"Ready","Unavailable",IF(C288="","",Q288*INDEX('Facilities'!$I$9:$I$108,MATCH(C288,'Facilities'!$C$9:$C$108,0))*(1-(1-S288)/(1+INDEX('Facilities'!$K$9:$K$108,MATCH(C288,'Facilities'!$C$9:$C$108,0)))^INDEX('Facilities'!$AK$9:$AK$108,MATCH(C288,'Facilities'!$C$9:$C$108,0)))*R288/(1+INDEX('Facilities'!$K$9:$K$108,MATCH(C288,'Facilities'!$C$9:$C$108,0)))*IF(ABS(1-(1-R288)*(1-0)/(1+INDEX('Facilities'!$K$9:$K$108,MATCH(C288,'Facilities'!$C$9:$C$108,0))))&lt;0.000000001,IF(T288=1,MIN(1,AJ288),AJ288),(1-((1-R288)*(1-0)/(1+INDEX('Facilities'!$K$9:$K$108,MATCH(C288,'Facilities'!$C$9:$C$108,0))))^IF(T288=1,MIN(1,AJ288),AJ288))/(1-(1-R288)*(1-0)/(1+INDEX('Facilities'!$K$9:$K$108,MATCH(C288,'Facilities'!$C$9:$C$108,0))))))))</x:f>
      </x:c>
      <x:c r="W288" s="21" t="str">
        <x:f>IF(C288="","",IFERROR(U188,"Unavailable"))</x:f>
      </x:c>
      <x:c r="X288" s="21" t="str">
        <x:f>IF(C288="","",IFERROR(V188,"Unavailable"))</x:f>
      </x:c>
      <x:c r="Y288" s="21" t="str">
        <x:f>IF(C288="","",IF(AQ288&lt;&gt;"Ready","Unavailable",IF(C288="","",U288-W288+V288-X288+N288+AG288)))</x:f>
      </x:c>
      <x:c r="Z288" s="23" t="str">
        <x:f>IF(C288="","",IF(AQ288&lt;&gt;"Ready","Unavailable",IF(C288="","",(G288+O288+L288)/2*INDEX('Facilities'!$T$9:$T$108,MATCH(C288,'Facilities'!$C$9:$C$108,0))+AG288)))</x:f>
      </x:c>
      <x:c r="AA288" s="23" t="str">
        <x:f>IF(C288="","",IF(AQ288&lt;&gt;"Ready","Unavailable",IF(C288="","",O288*(1-IF(INDEX('Facilities'!$AA$9:$AA$108,MATCH(C288,'Facilities'!$C$9:$C$108,0))=0,0,MIN(1,INDEX('Facilities'!$X$9:$X$108,MATCH(C288,'Facilities'!$C$9:$C$108,0))/INDEX('Facilities'!$AA$9:$AA$108,MATCH(C288,'Facilities'!$C$9:$C$108,0)))))*AF288+P288*(1-IF(INDEX('Facilities'!$AA$9:$AA$108,MATCH(C288,'Facilities'!$C$9:$C$108,0))=0,0,MIN(1,INDEX('Facilities'!$X$9:$X$108,MATCH(C288,'Facilities'!$C$9:$C$108,0))/INDEX('Facilities'!$AA$9:$AA$108,MATCH(C288,'Facilities'!$C$9:$C$108,0)))))*INDEX('Facilities'!$AJ$9:$AJ$108,MATCH(C288,'Facilities'!$C$9:$C$108,0))+Q288*INDEX('Facilities'!$AI$9:$AI$108,MATCH(C288,'Facilities'!$C$9:$C$108,0))*AF288)))</x:f>
      </x:c>
      <x:c r="AB288" s="21" t="str">
        <x:f>IF(C288="","",O288+P288-AD288)</x:f>
      </x:c>
      <x:c r="AC288" s="23" t="str">
        <x:f>IF(C288="","",IFERROR(IF(INDEX('Facilities'!$AD$9:$AD$108,MATCH(C288,'Facilities'!$C$9:$C$108,0))=3,0,IF(INDEX('Facilities'!$AN$9:$AN$108,MATCH(C288,'Facilities'!$C$9:$C$108,0))=0,-1,INDEX('Facilities'!$AN$9:$AN$108,MATCH(C288,'Facilities'!$C$9:$C$108,0)))),"Unavailable"))</x:f>
      </x:c>
      <x:c r="AD288" s="21" t="str">
        <x:f>IF(C288="","",IFERROR(G288+H288,"Unavailable"))</x:f>
      </x:c>
      <x:c r="AE288" s="21" t="str">
        <x:f>IF(C288="","",IF(AQ288&lt;&gt;"Ready","Unavailable",IF(C288="","",O288+P288-AD288-J288+K288+M288+N288)))</x:f>
      </x:c>
      <x:c r="AF288" s="30" t="str">
        <x:f>IF(C288="","",IFERROR(INDEX('Facilities'!$S$9:$S$108,MATCH(C288,'Facilities'!$C$9:$C$108,0))*'Scenario Paths'!H75,"Unavailable"))</x:f>
      </x:c>
      <x:c r="AG288" s="23" t="str">
        <x:f>IF(C288="","",IF(AQ288&lt;&gt;"Ready","Unavailable",IF(C288="","",IF(H288&gt;0,MAX(0,H288-AK288)*((1+INDEX('Facilities'!$K$9:$K$108,MATCH(C288,'Facilities'!$C$9:$C$108,0)))^MIN(1,MAX(0,AC288+INDEX('Facilities'!$AK$9:$AK$108,MATCH(C288,'Facilities'!$C$9:$C$108,0))-D288+1))-1),0))))</x:f>
      </x:c>
      <x:c r="AH288" s="21" t="str">
        <x:f>IF(C288="","",IF(AQ288&lt;&gt;"Ready","Unavailable",IF(C288="","",O288+P288)))</x:f>
      </x:c>
      <x:c r="AI288" s="21" t="str">
        <x:f>IF(C288="","",IF(AQ288&lt;&gt;"Ready","Unavailable",IF(C288="","",Z288-Y288)))</x:f>
      </x:c>
      <x:c r="AJ288" s="23" t="str">
        <x:f>IF(C288="","",IFERROR(MAX(0,INDEX('Facilities'!$J$9:$J$108,MATCH(C288,'Facilities'!$C$9:$C$108,0))-D288),"Unavailable"))</x:f>
      </x:c>
      <x:c r="AK288" s="21" t="str">
        <x:f>IF(C288="","",IFERROR(AL188,"Unavailable"))</x:f>
      </x:c>
      <x:c r="AL288" s="23" t="str">
        <x:f>IF(C288="","",IFERROR(IF(P288&gt;0,P288*(1-AM288/(1+INDEX('Facilities'!$K$9:$K$108,MATCH(C288,'Facilities'!$C$9:$C$108,0)))^MAX(0,AC288+INDEX('Facilities'!$AK$9:$AK$108,MATCH(C288,'Facilities'!$C$9:$C$108,0))-D288)),0),"Unavailable"))</x:f>
      </x:c>
      <x:c r="AM288" s="30" t="str">
        <x:f>IF(C288="","",IFERROR(INDEX('Facilities'!$AL$9:$AL$108,MATCH(C288,'Facilities'!$C$9:$C$108,0)),"Unavailable"))</x:f>
      </x:c>
      <x:c r="AN288" s="30" t="str">
        <x:f>IF(C288="","",IFERROR(INDEX(Credit!$T$209:$T$308,MATCH(F288,Credit!$C$209:$C$308,0)),"Unavailable"))</x:f>
      </x:c>
      <x:c r="AO288" s="23" t="str">
        <x:f>IF(C288="","",IF(AQ288&lt;&gt;"Ready","Unavailable",IF(C288="","",O288+P288+Q288*INDEX('Facilities'!$I$9:$I$108,MATCH(C288,'Facilities'!$C$9:$C$108,0)))))</x:f>
      </x:c>
      <x:c r="AP288" s="21" t="str">
        <x:f>IF(C288="","",IF(AQ288&lt;&gt;"Ready","Unavailable",IF(C288="","",AH288-U288)))</x:f>
      </x:c>
      <x:c r="AQ288" s="23" t="str">
        <x:f>IFERROR(IF(C288="","",IF(AND(INDEX('Facilities'!$AF$9:$AF$108,MATCH(C288,'Facilities'!$C$9:$C$108,0))="Ready",INDEX(Credit!$U$209:$U$308,MATCH(F288,Credit!$C$209:$C$308,0))="Ready",ISNUMBER(W288)),"Ready","Review inputs")),"Review inputs")</x:f>
      </x:c>
      <x:c r="AR288" s="23" t="str">
        <x:f>IF(C288="","",IF(AQ288&lt;&gt;"Ready","Unavailable",IF(C288="","",IF(O288=0,0,(IF(AJ288&lt;=1,O288,O288*INDEX('Facilities'!$R$9:$R$108,MATCH(C288,'Facilities'!$C$9:$C$108,0)))+O288*INDEX('Facilities'!$T$9:$T$108,MATCH(C288,'Facilities'!$C$9:$C$108,0)))/12))))</x:f>
      </x:c>
    </x:row>
    <x:row r="289" ht="26" customHeight="1">
      <x:c r="A289" s="1"/>
      <x:c r="B289" s="1"/>
      <x:c r="C289" s="9" t="str">
        <x:f>IF(Facilities!C89="","",Facilities!C89)</x:f>
      </x:c>
      <x:c r="D289" s="3" t="n">
        <x:v>3</x:v>
      </x:c>
      <x:c r="E289" s="9" t="n">
        <x:f>Settings!$F$18+2</x:f>
        <x:v>2029</x:v>
      </x:c>
      <x:c r="F289" s="9" t="str">
        <x:f>IF(C289="","",IFERROR(INDEX('Facilities'!$D$9:$D$108,MATCH(C289,'Facilities'!$C$9:$C$108,0)),"Unavailable"))</x:f>
      </x:c>
      <x:c r="G289" s="21" t="str">
        <x:f>IF(C289="","",IFERROR(O189,"Unavailable"))</x:f>
      </x:c>
      <x:c r="H289" s="21" t="str">
        <x:f>IF(C289="","",IFERROR(P189,"Unavailable"))</x:f>
      </x:c>
      <x:c r="I289" s="21" t="str">
        <x:f>IF(C289="","",IFERROR(Q189,"Unavailable"))</x:f>
      </x:c>
      <x:c r="J289" s="23" t="str">
        <x:f>IF(C289="","",IFERROR(IF(OR(H289&gt;0,AND(AC289&gt;=0,AC289&lt;D289),D289&gt;INDEX('Facilities'!$J$9:$J$108,MATCH(C289,'Facilities'!$C$9:$C$108,0))),0,I289*'Scenario Paths'!H81),"Unavailable"))</x:f>
      </x:c>
      <x:c r="K289" s="23" t="str">
        <x:f>IF(C289="","",IFERROR(IF(OR(H289&gt;0,AND(AC289&gt;=0,AC289=D289)),0,IF(D289&gt;=INDEX('Facilities'!$J$9:$J$108,MATCH(C289,'Facilities'!$C$9:$C$108,0)),G289+J289,MIN(G289+J289,G289*INDEX('Facilities'!$R$9:$R$108,MATCH(C289,'Facilities'!$C$9:$C$108,0))))),"Unavailable"))</x:f>
      </x:c>
      <x:c r="L289" s="21" t="str">
        <x:f>IF(C289="","",IFERROR(IF(AND(AC289=D289,AC289&gt;0),MAX(0,G289+J289-K289),0),"Unavailable"))</x:f>
      </x:c>
      <x:c r="M289" s="23" t="str">
        <x:f>IF(C289="","",IFERROR(IF(AND(AC289&gt;=0,D289&gt;=AC289+INDEX('Facilities'!$AK$9:$AK$108,MATCH(C289,'Facilities'!$C$9:$C$108,0))),(H289+L289)*AM289,0),"Unavailable"))</x:f>
      </x:c>
      <x:c r="N289" s="23" t="str">
        <x:f>IF(C289="","",IFERROR(IF(AND(AC289&gt;=0,D289&gt;=AC289+INDEX('Facilities'!$AK$9:$AK$108,MATCH(C289,'Facilities'!$C$9:$C$108,0))),H289+L289-M289,0),"Unavailable"))</x:f>
      </x:c>
      <x:c r="O289" s="21" t="str">
        <x:f>IF(C289="","",IFERROR(MAX(0,G289+J289-K289-L289),"Unavailable"))</x:f>
      </x:c>
      <x:c r="P289" s="21" t="str">
        <x:f>IF(C289="","",IFERROR(MAX(0,H289+L289-M289-N289),"Unavailable"))</x:f>
      </x:c>
      <x:c r="Q289" s="23" t="str">
        <x:f>IF(C289="","",IFERROR(IF(OR(D289&gt;=INDEX('Facilities'!$J$9:$J$108,MATCH(C289,'Facilities'!$C$9:$C$108,0)),AND(AC289&gt;=0,AC289&lt;=D289)),0,MAX(0,I289-J289)),"Unavailable"))</x:f>
      </x:c>
      <x:c r="R289" s="30" t="str">
        <x:f>IF(C289="","",IFERROR(INDEX(Credit!$Q$209:$Q$308,MATCH(F289,Credit!$C$209:$C$308,0)),"Unavailable"))</x:f>
      </x:c>
      <x:c r="S289" s="30" t="str">
        <x:f>IF(C289="","",IFERROR(INDEX(Credit!$R$209:$R$308,MATCH(F289,Credit!$C$209:$C$308,0)),"Unavailable"))</x:f>
      </x:c>
      <x:c r="T289" s="23" t="str">
        <x:f>IF(C289="","",IFERROR(IF(P289&gt;0,3,IF(OR(INDEX('Facilities'!$AD$9:$AD$108,MATCH(C289,'Facilities'!$C$9:$C$108,0))=2,AND(R289&gt;=INDEX('Facilities'!$L$9:$L$108,MATCH(C289,'Facilities'!$C$9:$C$108,0))*Settings!$F$19,R289-INDEX('Facilities'!$L$9:$L$108,MATCH(C289,'Facilities'!$C$9:$C$108,0))&gt;=Settings!$F$20)),2,1)),"Unavailable"))</x:f>
      </x:c>
      <x:c r="U289" s="23" t="str">
        <x:f>IF(C289="","",IF(AQ289&lt;&gt;"Ready","Unavailable",IF(C289="","",O289*(1-(1-S289)/(1+INDEX('Facilities'!$K$9:$K$108,MATCH(C289,'Facilities'!$C$9:$C$108,0)))^INDEX('Facilities'!$AK$9:$AK$108,MATCH(C289,'Facilities'!$C$9:$C$108,0)))*R289/(1+INDEX('Facilities'!$K$9:$K$108,MATCH(C289,'Facilities'!$C$9:$C$108,0)))*IF(ABS(1-(1-R289)*(1-INDEX('Facilities'!$R$9:$R$108,MATCH(C289,'Facilities'!$C$9:$C$108,0)))/(1+INDEX('Facilities'!$K$9:$K$108,MATCH(C289,'Facilities'!$C$9:$C$108,0))))&lt;0.000000001,IF(T289=1,MIN(1,AJ289),AJ289),(1-((1-R289)*(1-INDEX('Facilities'!$R$9:$R$108,MATCH(C289,'Facilities'!$C$9:$C$108,0)))/(1+INDEX('Facilities'!$K$9:$K$108,MATCH(C289,'Facilities'!$C$9:$C$108,0))))^IF(T289=1,MIN(1,AJ289),AJ289))/(1-(1-R289)*(1-INDEX('Facilities'!$R$9:$R$108,MATCH(C289,'Facilities'!$C$9:$C$108,0)))/(1+INDEX('Facilities'!$K$9:$K$108,MATCH(C289,'Facilities'!$C$9:$C$108,0)))))+AL289)))</x:f>
      </x:c>
      <x:c r="V289" s="23" t="str">
        <x:f>IF(C289="","",IF(AQ289&lt;&gt;"Ready","Unavailable",IF(C289="","",Q289*INDEX('Facilities'!$I$9:$I$108,MATCH(C289,'Facilities'!$C$9:$C$108,0))*(1-(1-S289)/(1+INDEX('Facilities'!$K$9:$K$108,MATCH(C289,'Facilities'!$C$9:$C$108,0)))^INDEX('Facilities'!$AK$9:$AK$108,MATCH(C289,'Facilities'!$C$9:$C$108,0)))*R289/(1+INDEX('Facilities'!$K$9:$K$108,MATCH(C289,'Facilities'!$C$9:$C$108,0)))*IF(ABS(1-(1-R289)*(1-0)/(1+INDEX('Facilities'!$K$9:$K$108,MATCH(C289,'Facilities'!$C$9:$C$108,0))))&lt;0.000000001,IF(T289=1,MIN(1,AJ289),AJ289),(1-((1-R289)*(1-0)/(1+INDEX('Facilities'!$K$9:$K$108,MATCH(C289,'Facilities'!$C$9:$C$108,0))))^IF(T289=1,MIN(1,AJ289),AJ289))/(1-(1-R289)*(1-0)/(1+INDEX('Facilities'!$K$9:$K$108,MATCH(C289,'Facilities'!$C$9:$C$108,0))))))))</x:f>
      </x:c>
      <x:c r="W289" s="21" t="str">
        <x:f>IF(C289="","",IFERROR(U189,"Unavailable"))</x:f>
      </x:c>
      <x:c r="X289" s="21" t="str">
        <x:f>IF(C289="","",IFERROR(V189,"Unavailable"))</x:f>
      </x:c>
      <x:c r="Y289" s="21" t="str">
        <x:f>IF(C289="","",IF(AQ289&lt;&gt;"Ready","Unavailable",IF(C289="","",U289-W289+V289-X289+N289+AG289)))</x:f>
      </x:c>
      <x:c r="Z289" s="23" t="str">
        <x:f>IF(C289="","",IF(AQ289&lt;&gt;"Ready","Unavailable",IF(C289="","",(G289+O289+L289)/2*INDEX('Facilities'!$T$9:$T$108,MATCH(C289,'Facilities'!$C$9:$C$108,0))+AG289)))</x:f>
      </x:c>
      <x:c r="AA289" s="23" t="str">
        <x:f>IF(C289="","",IF(AQ289&lt;&gt;"Ready","Unavailable",IF(C289="","",O289*(1-IF(INDEX('Facilities'!$AA$9:$AA$108,MATCH(C289,'Facilities'!$C$9:$C$108,0))=0,0,MIN(1,INDEX('Facilities'!$X$9:$X$108,MATCH(C289,'Facilities'!$C$9:$C$108,0))/INDEX('Facilities'!$AA$9:$AA$108,MATCH(C289,'Facilities'!$C$9:$C$108,0)))))*AF289+P289*(1-IF(INDEX('Facilities'!$AA$9:$AA$108,MATCH(C289,'Facilities'!$C$9:$C$108,0))=0,0,MIN(1,INDEX('Facilities'!$X$9:$X$108,MATCH(C289,'Facilities'!$C$9:$C$108,0))/INDEX('Facilities'!$AA$9:$AA$108,MATCH(C289,'Facilities'!$C$9:$C$108,0)))))*INDEX('Facilities'!$AJ$9:$AJ$108,MATCH(C289,'Facilities'!$C$9:$C$108,0))+Q289*INDEX('Facilities'!$AI$9:$AI$108,MATCH(C289,'Facilities'!$C$9:$C$108,0))*AF289)))</x:f>
      </x:c>
      <x:c r="AB289" s="21" t="str">
        <x:f>IF(C289="","",O289+P289-AD289)</x:f>
      </x:c>
      <x:c r="AC289" s="23" t="str">
        <x:f>IF(C289="","",IFERROR(IF(INDEX('Facilities'!$AD$9:$AD$108,MATCH(C289,'Facilities'!$C$9:$C$108,0))=3,0,IF(INDEX('Facilities'!$AN$9:$AN$108,MATCH(C289,'Facilities'!$C$9:$C$108,0))=0,-1,INDEX('Facilities'!$AN$9:$AN$108,MATCH(C289,'Facilities'!$C$9:$C$108,0)))),"Unavailable"))</x:f>
      </x:c>
      <x:c r="AD289" s="21" t="str">
        <x:f>IF(C289="","",IFERROR(G289+H289,"Unavailable"))</x:f>
      </x:c>
      <x:c r="AE289" s="21" t="str">
        <x:f>IF(C289="","",IF(AQ289&lt;&gt;"Ready","Unavailable",IF(C289="","",O289+P289-AD289-J289+K289+M289+N289)))</x:f>
      </x:c>
      <x:c r="AF289" s="30" t="str">
        <x:f>IF(C289="","",IFERROR(INDEX('Facilities'!$S$9:$S$108,MATCH(C289,'Facilities'!$C$9:$C$108,0))*'Scenario Paths'!H75,"Unavailable"))</x:f>
      </x:c>
      <x:c r="AG289" s="23" t="str">
        <x:f>IF(C289="","",IF(AQ289&lt;&gt;"Ready","Unavailable",IF(C289="","",IF(H289&gt;0,MAX(0,H289-AK289)*((1+INDEX('Facilities'!$K$9:$K$108,MATCH(C289,'Facilities'!$C$9:$C$108,0)))^MIN(1,MAX(0,AC289+INDEX('Facilities'!$AK$9:$AK$108,MATCH(C289,'Facilities'!$C$9:$C$108,0))-D289+1))-1),0))))</x:f>
      </x:c>
      <x:c r="AH289" s="21" t="str">
        <x:f>IF(C289="","",IF(AQ289&lt;&gt;"Ready","Unavailable",IF(C289="","",O289+P289)))</x:f>
      </x:c>
      <x:c r="AI289" s="21" t="str">
        <x:f>IF(C289="","",IF(AQ289&lt;&gt;"Ready","Unavailable",IF(C289="","",Z289-Y289)))</x:f>
      </x:c>
      <x:c r="AJ289" s="23" t="str">
        <x:f>IF(C289="","",IFERROR(MAX(0,INDEX('Facilities'!$J$9:$J$108,MATCH(C289,'Facilities'!$C$9:$C$108,0))-D289),"Unavailable"))</x:f>
      </x:c>
      <x:c r="AK289" s="21" t="str">
        <x:f>IF(C289="","",IFERROR(AL189,"Unavailable"))</x:f>
      </x:c>
      <x:c r="AL289" s="23" t="str">
        <x:f>IF(C289="","",IFERROR(IF(P289&gt;0,P289*(1-AM289/(1+INDEX('Facilities'!$K$9:$K$108,MATCH(C289,'Facilities'!$C$9:$C$108,0)))^MAX(0,AC289+INDEX('Facilities'!$AK$9:$AK$108,MATCH(C289,'Facilities'!$C$9:$C$108,0))-D289)),0),"Unavailable"))</x:f>
      </x:c>
      <x:c r="AM289" s="30" t="str">
        <x:f>IF(C289="","",IFERROR(INDEX('Facilities'!$AL$9:$AL$108,MATCH(C289,'Facilities'!$C$9:$C$108,0)),"Unavailable"))</x:f>
      </x:c>
      <x:c r="AN289" s="30" t="str">
        <x:f>IF(C289="","",IFERROR(INDEX(Credit!$T$209:$T$308,MATCH(F289,Credit!$C$209:$C$308,0)),"Unavailable"))</x:f>
      </x:c>
      <x:c r="AO289" s="23" t="str">
        <x:f>IF(C289="","",IF(AQ289&lt;&gt;"Ready","Unavailable",IF(C289="","",O289+P289+Q289*INDEX('Facilities'!$I$9:$I$108,MATCH(C289,'Facilities'!$C$9:$C$108,0)))))</x:f>
      </x:c>
      <x:c r="AP289" s="21" t="str">
        <x:f>IF(C289="","",IF(AQ289&lt;&gt;"Ready","Unavailable",IF(C289="","",AH289-U289)))</x:f>
      </x:c>
      <x:c r="AQ289" s="23" t="str">
        <x:f>IFERROR(IF(C289="","",IF(AND(INDEX('Facilities'!$AF$9:$AF$108,MATCH(C289,'Facilities'!$C$9:$C$108,0))="Ready",INDEX(Credit!$U$209:$U$308,MATCH(F289,Credit!$C$209:$C$308,0))="Ready",ISNUMBER(W289)),"Ready","Review inputs")),"Review inputs")</x:f>
      </x:c>
      <x:c r="AR289" s="23" t="str">
        <x:f>IF(C289="","",IF(AQ289&lt;&gt;"Ready","Unavailable",IF(C289="","",IF(O289=0,0,(IF(AJ289&lt;=1,O289,O289*INDEX('Facilities'!$R$9:$R$108,MATCH(C289,'Facilities'!$C$9:$C$108,0)))+O289*INDEX('Facilities'!$T$9:$T$108,MATCH(C289,'Facilities'!$C$9:$C$108,0)))/12))))</x:f>
      </x:c>
    </x:row>
    <x:row r="290" ht="26" customHeight="1">
      <x:c r="A290" s="1"/>
      <x:c r="B290" s="1"/>
      <x:c r="C290" s="9" t="str">
        <x:f>IF(Facilities!C90="","",Facilities!C90)</x:f>
      </x:c>
      <x:c r="D290" s="3" t="n">
        <x:v>3</x:v>
      </x:c>
      <x:c r="E290" s="9" t="n">
        <x:f>Settings!$F$18+2</x:f>
        <x:v>2029</x:v>
      </x:c>
      <x:c r="F290" s="9" t="str">
        <x:f>IF(C290="","",IFERROR(INDEX('Facilities'!$D$9:$D$108,MATCH(C290,'Facilities'!$C$9:$C$108,0)),"Unavailable"))</x:f>
      </x:c>
      <x:c r="G290" s="21" t="str">
        <x:f>IF(C290="","",IFERROR(O190,"Unavailable"))</x:f>
      </x:c>
      <x:c r="H290" s="21" t="str">
        <x:f>IF(C290="","",IFERROR(P190,"Unavailable"))</x:f>
      </x:c>
      <x:c r="I290" s="21" t="str">
        <x:f>IF(C290="","",IFERROR(Q190,"Unavailable"))</x:f>
      </x:c>
      <x:c r="J290" s="23" t="str">
        <x:f>IF(C290="","",IFERROR(IF(OR(H290&gt;0,AND(AC290&gt;=0,AC290&lt;D290),D290&gt;INDEX('Facilities'!$J$9:$J$108,MATCH(C290,'Facilities'!$C$9:$C$108,0))),0,I290*'Scenario Paths'!H81),"Unavailable"))</x:f>
      </x:c>
      <x:c r="K290" s="23" t="str">
        <x:f>IF(C290="","",IFERROR(IF(OR(H290&gt;0,AND(AC290&gt;=0,AC290=D290)),0,IF(D290&gt;=INDEX('Facilities'!$J$9:$J$108,MATCH(C290,'Facilities'!$C$9:$C$108,0)),G290+J290,MIN(G290+J290,G290*INDEX('Facilities'!$R$9:$R$108,MATCH(C290,'Facilities'!$C$9:$C$108,0))))),"Unavailable"))</x:f>
      </x:c>
      <x:c r="L290" s="21" t="str">
        <x:f>IF(C290="","",IFERROR(IF(AND(AC290=D290,AC290&gt;0),MAX(0,G290+J290-K290),0),"Unavailable"))</x:f>
      </x:c>
      <x:c r="M290" s="23" t="str">
        <x:f>IF(C290="","",IFERROR(IF(AND(AC290&gt;=0,D290&gt;=AC290+INDEX('Facilities'!$AK$9:$AK$108,MATCH(C290,'Facilities'!$C$9:$C$108,0))),(H290+L290)*AM290,0),"Unavailable"))</x:f>
      </x:c>
      <x:c r="N290" s="23" t="str">
        <x:f>IF(C290="","",IFERROR(IF(AND(AC290&gt;=0,D290&gt;=AC290+INDEX('Facilities'!$AK$9:$AK$108,MATCH(C290,'Facilities'!$C$9:$C$108,0))),H290+L290-M290,0),"Unavailable"))</x:f>
      </x:c>
      <x:c r="O290" s="21" t="str">
        <x:f>IF(C290="","",IFERROR(MAX(0,G290+J290-K290-L290),"Unavailable"))</x:f>
      </x:c>
      <x:c r="P290" s="21" t="str">
        <x:f>IF(C290="","",IFERROR(MAX(0,H290+L290-M290-N290),"Unavailable"))</x:f>
      </x:c>
      <x:c r="Q290" s="23" t="str">
        <x:f>IF(C290="","",IFERROR(IF(OR(D290&gt;=INDEX('Facilities'!$J$9:$J$108,MATCH(C290,'Facilities'!$C$9:$C$108,0)),AND(AC290&gt;=0,AC290&lt;=D290)),0,MAX(0,I290-J290)),"Unavailable"))</x:f>
      </x:c>
      <x:c r="R290" s="30" t="str">
        <x:f>IF(C290="","",IFERROR(INDEX(Credit!$Q$209:$Q$308,MATCH(F290,Credit!$C$209:$C$308,0)),"Unavailable"))</x:f>
      </x:c>
      <x:c r="S290" s="30" t="str">
        <x:f>IF(C290="","",IFERROR(INDEX(Credit!$R$209:$R$308,MATCH(F290,Credit!$C$209:$C$308,0)),"Unavailable"))</x:f>
      </x:c>
      <x:c r="T290" s="23" t="str">
        <x:f>IF(C290="","",IFERROR(IF(P290&gt;0,3,IF(OR(INDEX('Facilities'!$AD$9:$AD$108,MATCH(C290,'Facilities'!$C$9:$C$108,0))=2,AND(R290&gt;=INDEX('Facilities'!$L$9:$L$108,MATCH(C290,'Facilities'!$C$9:$C$108,0))*Settings!$F$19,R290-INDEX('Facilities'!$L$9:$L$108,MATCH(C290,'Facilities'!$C$9:$C$108,0))&gt;=Settings!$F$20)),2,1)),"Unavailable"))</x:f>
      </x:c>
      <x:c r="U290" s="23" t="str">
        <x:f>IF(C290="","",IF(AQ290&lt;&gt;"Ready","Unavailable",IF(C290="","",O290*(1-(1-S290)/(1+INDEX('Facilities'!$K$9:$K$108,MATCH(C290,'Facilities'!$C$9:$C$108,0)))^INDEX('Facilities'!$AK$9:$AK$108,MATCH(C290,'Facilities'!$C$9:$C$108,0)))*R290/(1+INDEX('Facilities'!$K$9:$K$108,MATCH(C290,'Facilities'!$C$9:$C$108,0)))*IF(ABS(1-(1-R290)*(1-INDEX('Facilities'!$R$9:$R$108,MATCH(C290,'Facilities'!$C$9:$C$108,0)))/(1+INDEX('Facilities'!$K$9:$K$108,MATCH(C290,'Facilities'!$C$9:$C$108,0))))&lt;0.000000001,IF(T290=1,MIN(1,AJ290),AJ290),(1-((1-R290)*(1-INDEX('Facilities'!$R$9:$R$108,MATCH(C290,'Facilities'!$C$9:$C$108,0)))/(1+INDEX('Facilities'!$K$9:$K$108,MATCH(C290,'Facilities'!$C$9:$C$108,0))))^IF(T290=1,MIN(1,AJ290),AJ290))/(1-(1-R290)*(1-INDEX('Facilities'!$R$9:$R$108,MATCH(C290,'Facilities'!$C$9:$C$108,0)))/(1+INDEX('Facilities'!$K$9:$K$108,MATCH(C290,'Facilities'!$C$9:$C$108,0)))))+AL290)))</x:f>
      </x:c>
      <x:c r="V290" s="23" t="str">
        <x:f>IF(C290="","",IF(AQ290&lt;&gt;"Ready","Unavailable",IF(C290="","",Q290*INDEX('Facilities'!$I$9:$I$108,MATCH(C290,'Facilities'!$C$9:$C$108,0))*(1-(1-S290)/(1+INDEX('Facilities'!$K$9:$K$108,MATCH(C290,'Facilities'!$C$9:$C$108,0)))^INDEX('Facilities'!$AK$9:$AK$108,MATCH(C290,'Facilities'!$C$9:$C$108,0)))*R290/(1+INDEX('Facilities'!$K$9:$K$108,MATCH(C290,'Facilities'!$C$9:$C$108,0)))*IF(ABS(1-(1-R290)*(1-0)/(1+INDEX('Facilities'!$K$9:$K$108,MATCH(C290,'Facilities'!$C$9:$C$108,0))))&lt;0.000000001,IF(T290=1,MIN(1,AJ290),AJ290),(1-((1-R290)*(1-0)/(1+INDEX('Facilities'!$K$9:$K$108,MATCH(C290,'Facilities'!$C$9:$C$108,0))))^IF(T290=1,MIN(1,AJ290),AJ290))/(1-(1-R290)*(1-0)/(1+INDEX('Facilities'!$K$9:$K$108,MATCH(C290,'Facilities'!$C$9:$C$108,0))))))))</x:f>
      </x:c>
      <x:c r="W290" s="21" t="str">
        <x:f>IF(C290="","",IFERROR(U190,"Unavailable"))</x:f>
      </x:c>
      <x:c r="X290" s="21" t="str">
        <x:f>IF(C290="","",IFERROR(V190,"Unavailable"))</x:f>
      </x:c>
      <x:c r="Y290" s="21" t="str">
        <x:f>IF(C290="","",IF(AQ290&lt;&gt;"Ready","Unavailable",IF(C290="","",U290-W290+V290-X290+N290+AG290)))</x:f>
      </x:c>
      <x:c r="Z290" s="23" t="str">
        <x:f>IF(C290="","",IF(AQ290&lt;&gt;"Ready","Unavailable",IF(C290="","",(G290+O290+L290)/2*INDEX('Facilities'!$T$9:$T$108,MATCH(C290,'Facilities'!$C$9:$C$108,0))+AG290)))</x:f>
      </x:c>
      <x:c r="AA290" s="23" t="str">
        <x:f>IF(C290="","",IF(AQ290&lt;&gt;"Ready","Unavailable",IF(C290="","",O290*(1-IF(INDEX('Facilities'!$AA$9:$AA$108,MATCH(C290,'Facilities'!$C$9:$C$108,0))=0,0,MIN(1,INDEX('Facilities'!$X$9:$X$108,MATCH(C290,'Facilities'!$C$9:$C$108,0))/INDEX('Facilities'!$AA$9:$AA$108,MATCH(C290,'Facilities'!$C$9:$C$108,0)))))*AF290+P290*(1-IF(INDEX('Facilities'!$AA$9:$AA$108,MATCH(C290,'Facilities'!$C$9:$C$108,0))=0,0,MIN(1,INDEX('Facilities'!$X$9:$X$108,MATCH(C290,'Facilities'!$C$9:$C$108,0))/INDEX('Facilities'!$AA$9:$AA$108,MATCH(C290,'Facilities'!$C$9:$C$108,0)))))*INDEX('Facilities'!$AJ$9:$AJ$108,MATCH(C290,'Facilities'!$C$9:$C$108,0))+Q290*INDEX('Facilities'!$AI$9:$AI$108,MATCH(C290,'Facilities'!$C$9:$C$108,0))*AF290)))</x:f>
      </x:c>
      <x:c r="AB290" s="21" t="str">
        <x:f>IF(C290="","",O290+P290-AD290)</x:f>
      </x:c>
      <x:c r="AC290" s="23" t="str">
        <x:f>IF(C290="","",IFERROR(IF(INDEX('Facilities'!$AD$9:$AD$108,MATCH(C290,'Facilities'!$C$9:$C$108,0))=3,0,IF(INDEX('Facilities'!$AN$9:$AN$108,MATCH(C290,'Facilities'!$C$9:$C$108,0))=0,-1,INDEX('Facilities'!$AN$9:$AN$108,MATCH(C290,'Facilities'!$C$9:$C$108,0)))),"Unavailable"))</x:f>
      </x:c>
      <x:c r="AD290" s="21" t="str">
        <x:f>IF(C290="","",IFERROR(G290+H290,"Unavailable"))</x:f>
      </x:c>
      <x:c r="AE290" s="21" t="str">
        <x:f>IF(C290="","",IF(AQ290&lt;&gt;"Ready","Unavailable",IF(C290="","",O290+P290-AD290-J290+K290+M290+N290)))</x:f>
      </x:c>
      <x:c r="AF290" s="30" t="str">
        <x:f>IF(C290="","",IFERROR(INDEX('Facilities'!$S$9:$S$108,MATCH(C290,'Facilities'!$C$9:$C$108,0))*'Scenario Paths'!H75,"Unavailable"))</x:f>
      </x:c>
      <x:c r="AG290" s="23" t="str">
        <x:f>IF(C290="","",IF(AQ290&lt;&gt;"Ready","Unavailable",IF(C290="","",IF(H290&gt;0,MAX(0,H290-AK290)*((1+INDEX('Facilities'!$K$9:$K$108,MATCH(C290,'Facilities'!$C$9:$C$108,0)))^MIN(1,MAX(0,AC290+INDEX('Facilities'!$AK$9:$AK$108,MATCH(C290,'Facilities'!$C$9:$C$108,0))-D290+1))-1),0))))</x:f>
      </x:c>
      <x:c r="AH290" s="21" t="str">
        <x:f>IF(C290="","",IF(AQ290&lt;&gt;"Ready","Unavailable",IF(C290="","",O290+P290)))</x:f>
      </x:c>
      <x:c r="AI290" s="21" t="str">
        <x:f>IF(C290="","",IF(AQ290&lt;&gt;"Ready","Unavailable",IF(C290="","",Z290-Y290)))</x:f>
      </x:c>
      <x:c r="AJ290" s="23" t="str">
        <x:f>IF(C290="","",IFERROR(MAX(0,INDEX('Facilities'!$J$9:$J$108,MATCH(C290,'Facilities'!$C$9:$C$108,0))-D290),"Unavailable"))</x:f>
      </x:c>
      <x:c r="AK290" s="21" t="str">
        <x:f>IF(C290="","",IFERROR(AL190,"Unavailable"))</x:f>
      </x:c>
      <x:c r="AL290" s="23" t="str">
        <x:f>IF(C290="","",IFERROR(IF(P290&gt;0,P290*(1-AM290/(1+INDEX('Facilities'!$K$9:$K$108,MATCH(C290,'Facilities'!$C$9:$C$108,0)))^MAX(0,AC290+INDEX('Facilities'!$AK$9:$AK$108,MATCH(C290,'Facilities'!$C$9:$C$108,0))-D290)),0),"Unavailable"))</x:f>
      </x:c>
      <x:c r="AM290" s="30" t="str">
        <x:f>IF(C290="","",IFERROR(INDEX('Facilities'!$AL$9:$AL$108,MATCH(C290,'Facilities'!$C$9:$C$108,0)),"Unavailable"))</x:f>
      </x:c>
      <x:c r="AN290" s="30" t="str">
        <x:f>IF(C290="","",IFERROR(INDEX(Credit!$T$209:$T$308,MATCH(F290,Credit!$C$209:$C$308,0)),"Unavailable"))</x:f>
      </x:c>
      <x:c r="AO290" s="23" t="str">
        <x:f>IF(C290="","",IF(AQ290&lt;&gt;"Ready","Unavailable",IF(C290="","",O290+P290+Q290*INDEX('Facilities'!$I$9:$I$108,MATCH(C290,'Facilities'!$C$9:$C$108,0)))))</x:f>
      </x:c>
      <x:c r="AP290" s="21" t="str">
        <x:f>IF(C290="","",IF(AQ290&lt;&gt;"Ready","Unavailable",IF(C290="","",AH290-U290)))</x:f>
      </x:c>
      <x:c r="AQ290" s="23" t="str">
        <x:f>IFERROR(IF(C290="","",IF(AND(INDEX('Facilities'!$AF$9:$AF$108,MATCH(C290,'Facilities'!$C$9:$C$108,0))="Ready",INDEX(Credit!$U$209:$U$308,MATCH(F290,Credit!$C$209:$C$308,0))="Ready",ISNUMBER(W290)),"Ready","Review inputs")),"Review inputs")</x:f>
      </x:c>
      <x:c r="AR290" s="23" t="str">
        <x:f>IF(C290="","",IF(AQ290&lt;&gt;"Ready","Unavailable",IF(C290="","",IF(O290=0,0,(IF(AJ290&lt;=1,O290,O290*INDEX('Facilities'!$R$9:$R$108,MATCH(C290,'Facilities'!$C$9:$C$108,0)))+O290*INDEX('Facilities'!$T$9:$T$108,MATCH(C290,'Facilities'!$C$9:$C$108,0)))/12))))</x:f>
      </x:c>
    </x:row>
    <x:row r="291" ht="26" customHeight="1">
      <x:c r="A291" s="1"/>
      <x:c r="B291" s="1"/>
      <x:c r="C291" s="9" t="str">
        <x:f>IF(Facilities!C91="","",Facilities!C91)</x:f>
      </x:c>
      <x:c r="D291" s="3" t="n">
        <x:v>3</x:v>
      </x:c>
      <x:c r="E291" s="9" t="n">
        <x:f>Settings!$F$18+2</x:f>
        <x:v>2029</x:v>
      </x:c>
      <x:c r="F291" s="9" t="str">
        <x:f>IF(C291="","",IFERROR(INDEX('Facilities'!$D$9:$D$108,MATCH(C291,'Facilities'!$C$9:$C$108,0)),"Unavailable"))</x:f>
      </x:c>
      <x:c r="G291" s="21" t="str">
        <x:f>IF(C291="","",IFERROR(O191,"Unavailable"))</x:f>
      </x:c>
      <x:c r="H291" s="21" t="str">
        <x:f>IF(C291="","",IFERROR(P191,"Unavailable"))</x:f>
      </x:c>
      <x:c r="I291" s="21" t="str">
        <x:f>IF(C291="","",IFERROR(Q191,"Unavailable"))</x:f>
      </x:c>
      <x:c r="J291" s="23" t="str">
        <x:f>IF(C291="","",IFERROR(IF(OR(H291&gt;0,AND(AC291&gt;=0,AC291&lt;D291),D291&gt;INDEX('Facilities'!$J$9:$J$108,MATCH(C291,'Facilities'!$C$9:$C$108,0))),0,I291*'Scenario Paths'!H81),"Unavailable"))</x:f>
      </x:c>
      <x:c r="K291" s="23" t="str">
        <x:f>IF(C291="","",IFERROR(IF(OR(H291&gt;0,AND(AC291&gt;=0,AC291=D291)),0,IF(D291&gt;=INDEX('Facilities'!$J$9:$J$108,MATCH(C291,'Facilities'!$C$9:$C$108,0)),G291+J291,MIN(G291+J291,G291*INDEX('Facilities'!$R$9:$R$108,MATCH(C291,'Facilities'!$C$9:$C$108,0))))),"Unavailable"))</x:f>
      </x:c>
      <x:c r="L291" s="21" t="str">
        <x:f>IF(C291="","",IFERROR(IF(AND(AC291=D291,AC291&gt;0),MAX(0,G291+J291-K291),0),"Unavailable"))</x:f>
      </x:c>
      <x:c r="M291" s="23" t="str">
        <x:f>IF(C291="","",IFERROR(IF(AND(AC291&gt;=0,D291&gt;=AC291+INDEX('Facilities'!$AK$9:$AK$108,MATCH(C291,'Facilities'!$C$9:$C$108,0))),(H291+L291)*AM291,0),"Unavailable"))</x:f>
      </x:c>
      <x:c r="N291" s="23" t="str">
        <x:f>IF(C291="","",IFERROR(IF(AND(AC291&gt;=0,D291&gt;=AC291+INDEX('Facilities'!$AK$9:$AK$108,MATCH(C291,'Facilities'!$C$9:$C$108,0))),H291+L291-M291,0),"Unavailable"))</x:f>
      </x:c>
      <x:c r="O291" s="21" t="str">
        <x:f>IF(C291="","",IFERROR(MAX(0,G291+J291-K291-L291),"Unavailable"))</x:f>
      </x:c>
      <x:c r="P291" s="21" t="str">
        <x:f>IF(C291="","",IFERROR(MAX(0,H291+L291-M291-N291),"Unavailable"))</x:f>
      </x:c>
      <x:c r="Q291" s="23" t="str">
        <x:f>IF(C291="","",IFERROR(IF(OR(D291&gt;=INDEX('Facilities'!$J$9:$J$108,MATCH(C291,'Facilities'!$C$9:$C$108,0)),AND(AC291&gt;=0,AC291&lt;=D291)),0,MAX(0,I291-J291)),"Unavailable"))</x:f>
      </x:c>
      <x:c r="R291" s="30" t="str">
        <x:f>IF(C291="","",IFERROR(INDEX(Credit!$Q$209:$Q$308,MATCH(F291,Credit!$C$209:$C$308,0)),"Unavailable"))</x:f>
      </x:c>
      <x:c r="S291" s="30" t="str">
        <x:f>IF(C291="","",IFERROR(INDEX(Credit!$R$209:$R$308,MATCH(F291,Credit!$C$209:$C$308,0)),"Unavailable"))</x:f>
      </x:c>
      <x:c r="T291" s="23" t="str">
        <x:f>IF(C291="","",IFERROR(IF(P291&gt;0,3,IF(OR(INDEX('Facilities'!$AD$9:$AD$108,MATCH(C291,'Facilities'!$C$9:$C$108,0))=2,AND(R291&gt;=INDEX('Facilities'!$L$9:$L$108,MATCH(C291,'Facilities'!$C$9:$C$108,0))*Settings!$F$19,R291-INDEX('Facilities'!$L$9:$L$108,MATCH(C291,'Facilities'!$C$9:$C$108,0))&gt;=Settings!$F$20)),2,1)),"Unavailable"))</x:f>
      </x:c>
      <x:c r="U291" s="23" t="str">
        <x:f>IF(C291="","",IF(AQ291&lt;&gt;"Ready","Unavailable",IF(C291="","",O291*(1-(1-S291)/(1+INDEX('Facilities'!$K$9:$K$108,MATCH(C291,'Facilities'!$C$9:$C$108,0)))^INDEX('Facilities'!$AK$9:$AK$108,MATCH(C291,'Facilities'!$C$9:$C$108,0)))*R291/(1+INDEX('Facilities'!$K$9:$K$108,MATCH(C291,'Facilities'!$C$9:$C$108,0)))*IF(ABS(1-(1-R291)*(1-INDEX('Facilities'!$R$9:$R$108,MATCH(C291,'Facilities'!$C$9:$C$108,0)))/(1+INDEX('Facilities'!$K$9:$K$108,MATCH(C291,'Facilities'!$C$9:$C$108,0))))&lt;0.000000001,IF(T291=1,MIN(1,AJ291),AJ291),(1-((1-R291)*(1-INDEX('Facilities'!$R$9:$R$108,MATCH(C291,'Facilities'!$C$9:$C$108,0)))/(1+INDEX('Facilities'!$K$9:$K$108,MATCH(C291,'Facilities'!$C$9:$C$108,0))))^IF(T291=1,MIN(1,AJ291),AJ291))/(1-(1-R291)*(1-INDEX('Facilities'!$R$9:$R$108,MATCH(C291,'Facilities'!$C$9:$C$108,0)))/(1+INDEX('Facilities'!$K$9:$K$108,MATCH(C291,'Facilities'!$C$9:$C$108,0)))))+AL291)))</x:f>
      </x:c>
      <x:c r="V291" s="23" t="str">
        <x:f>IF(C291="","",IF(AQ291&lt;&gt;"Ready","Unavailable",IF(C291="","",Q291*INDEX('Facilities'!$I$9:$I$108,MATCH(C291,'Facilities'!$C$9:$C$108,0))*(1-(1-S291)/(1+INDEX('Facilities'!$K$9:$K$108,MATCH(C291,'Facilities'!$C$9:$C$108,0)))^INDEX('Facilities'!$AK$9:$AK$108,MATCH(C291,'Facilities'!$C$9:$C$108,0)))*R291/(1+INDEX('Facilities'!$K$9:$K$108,MATCH(C291,'Facilities'!$C$9:$C$108,0)))*IF(ABS(1-(1-R291)*(1-0)/(1+INDEX('Facilities'!$K$9:$K$108,MATCH(C291,'Facilities'!$C$9:$C$108,0))))&lt;0.000000001,IF(T291=1,MIN(1,AJ291),AJ291),(1-((1-R291)*(1-0)/(1+INDEX('Facilities'!$K$9:$K$108,MATCH(C291,'Facilities'!$C$9:$C$108,0))))^IF(T291=1,MIN(1,AJ291),AJ291))/(1-(1-R291)*(1-0)/(1+INDEX('Facilities'!$K$9:$K$108,MATCH(C291,'Facilities'!$C$9:$C$108,0))))))))</x:f>
      </x:c>
      <x:c r="W291" s="21" t="str">
        <x:f>IF(C291="","",IFERROR(U191,"Unavailable"))</x:f>
      </x:c>
      <x:c r="X291" s="21" t="str">
        <x:f>IF(C291="","",IFERROR(V191,"Unavailable"))</x:f>
      </x:c>
      <x:c r="Y291" s="21" t="str">
        <x:f>IF(C291="","",IF(AQ291&lt;&gt;"Ready","Unavailable",IF(C291="","",U291-W291+V291-X291+N291+AG291)))</x:f>
      </x:c>
      <x:c r="Z291" s="23" t="str">
        <x:f>IF(C291="","",IF(AQ291&lt;&gt;"Ready","Unavailable",IF(C291="","",(G291+O291+L291)/2*INDEX('Facilities'!$T$9:$T$108,MATCH(C291,'Facilities'!$C$9:$C$108,0))+AG291)))</x:f>
      </x:c>
      <x:c r="AA291" s="23" t="str">
        <x:f>IF(C291="","",IF(AQ291&lt;&gt;"Ready","Unavailable",IF(C291="","",O291*(1-IF(INDEX('Facilities'!$AA$9:$AA$108,MATCH(C291,'Facilities'!$C$9:$C$108,0))=0,0,MIN(1,INDEX('Facilities'!$X$9:$X$108,MATCH(C291,'Facilities'!$C$9:$C$108,0))/INDEX('Facilities'!$AA$9:$AA$108,MATCH(C291,'Facilities'!$C$9:$C$108,0)))))*AF291+P291*(1-IF(INDEX('Facilities'!$AA$9:$AA$108,MATCH(C291,'Facilities'!$C$9:$C$108,0))=0,0,MIN(1,INDEX('Facilities'!$X$9:$X$108,MATCH(C291,'Facilities'!$C$9:$C$108,0))/INDEX('Facilities'!$AA$9:$AA$108,MATCH(C291,'Facilities'!$C$9:$C$108,0)))))*INDEX('Facilities'!$AJ$9:$AJ$108,MATCH(C291,'Facilities'!$C$9:$C$108,0))+Q291*INDEX('Facilities'!$AI$9:$AI$108,MATCH(C291,'Facilities'!$C$9:$C$108,0))*AF291)))</x:f>
      </x:c>
      <x:c r="AB291" s="21" t="str">
        <x:f>IF(C291="","",O291+P291-AD291)</x:f>
      </x:c>
      <x:c r="AC291" s="23" t="str">
        <x:f>IF(C291="","",IFERROR(IF(INDEX('Facilities'!$AD$9:$AD$108,MATCH(C291,'Facilities'!$C$9:$C$108,0))=3,0,IF(INDEX('Facilities'!$AN$9:$AN$108,MATCH(C291,'Facilities'!$C$9:$C$108,0))=0,-1,INDEX('Facilities'!$AN$9:$AN$108,MATCH(C291,'Facilities'!$C$9:$C$108,0)))),"Unavailable"))</x:f>
      </x:c>
      <x:c r="AD291" s="21" t="str">
        <x:f>IF(C291="","",IFERROR(G291+H291,"Unavailable"))</x:f>
      </x:c>
      <x:c r="AE291" s="21" t="str">
        <x:f>IF(C291="","",IF(AQ291&lt;&gt;"Ready","Unavailable",IF(C291="","",O291+P291-AD291-J291+K291+M291+N291)))</x:f>
      </x:c>
      <x:c r="AF291" s="30" t="str">
        <x:f>IF(C291="","",IFERROR(INDEX('Facilities'!$S$9:$S$108,MATCH(C291,'Facilities'!$C$9:$C$108,0))*'Scenario Paths'!H75,"Unavailable"))</x:f>
      </x:c>
      <x:c r="AG291" s="23" t="str">
        <x:f>IF(C291="","",IF(AQ291&lt;&gt;"Ready","Unavailable",IF(C291="","",IF(H291&gt;0,MAX(0,H291-AK291)*((1+INDEX('Facilities'!$K$9:$K$108,MATCH(C291,'Facilities'!$C$9:$C$108,0)))^MIN(1,MAX(0,AC291+INDEX('Facilities'!$AK$9:$AK$108,MATCH(C291,'Facilities'!$C$9:$C$108,0))-D291+1))-1),0))))</x:f>
      </x:c>
      <x:c r="AH291" s="21" t="str">
        <x:f>IF(C291="","",IF(AQ291&lt;&gt;"Ready","Unavailable",IF(C291="","",O291+P291)))</x:f>
      </x:c>
      <x:c r="AI291" s="21" t="str">
        <x:f>IF(C291="","",IF(AQ291&lt;&gt;"Ready","Unavailable",IF(C291="","",Z291-Y291)))</x:f>
      </x:c>
      <x:c r="AJ291" s="23" t="str">
        <x:f>IF(C291="","",IFERROR(MAX(0,INDEX('Facilities'!$J$9:$J$108,MATCH(C291,'Facilities'!$C$9:$C$108,0))-D291),"Unavailable"))</x:f>
      </x:c>
      <x:c r="AK291" s="21" t="str">
        <x:f>IF(C291="","",IFERROR(AL191,"Unavailable"))</x:f>
      </x:c>
      <x:c r="AL291" s="23" t="str">
        <x:f>IF(C291="","",IFERROR(IF(P291&gt;0,P291*(1-AM291/(1+INDEX('Facilities'!$K$9:$K$108,MATCH(C291,'Facilities'!$C$9:$C$108,0)))^MAX(0,AC291+INDEX('Facilities'!$AK$9:$AK$108,MATCH(C291,'Facilities'!$C$9:$C$108,0))-D291)),0),"Unavailable"))</x:f>
      </x:c>
      <x:c r="AM291" s="30" t="str">
        <x:f>IF(C291="","",IFERROR(INDEX('Facilities'!$AL$9:$AL$108,MATCH(C291,'Facilities'!$C$9:$C$108,0)),"Unavailable"))</x:f>
      </x:c>
      <x:c r="AN291" s="30" t="str">
        <x:f>IF(C291="","",IFERROR(INDEX(Credit!$T$209:$T$308,MATCH(F291,Credit!$C$209:$C$308,0)),"Unavailable"))</x:f>
      </x:c>
      <x:c r="AO291" s="23" t="str">
        <x:f>IF(C291="","",IF(AQ291&lt;&gt;"Ready","Unavailable",IF(C291="","",O291+P291+Q291*INDEX('Facilities'!$I$9:$I$108,MATCH(C291,'Facilities'!$C$9:$C$108,0)))))</x:f>
      </x:c>
      <x:c r="AP291" s="21" t="str">
        <x:f>IF(C291="","",IF(AQ291&lt;&gt;"Ready","Unavailable",IF(C291="","",AH291-U291)))</x:f>
      </x:c>
      <x:c r="AQ291" s="23" t="str">
        <x:f>IFERROR(IF(C291="","",IF(AND(INDEX('Facilities'!$AF$9:$AF$108,MATCH(C291,'Facilities'!$C$9:$C$108,0))="Ready",INDEX(Credit!$U$209:$U$308,MATCH(F291,Credit!$C$209:$C$308,0))="Ready",ISNUMBER(W291)),"Ready","Review inputs")),"Review inputs")</x:f>
      </x:c>
      <x:c r="AR291" s="23" t="str">
        <x:f>IF(C291="","",IF(AQ291&lt;&gt;"Ready","Unavailable",IF(C291="","",IF(O291=0,0,(IF(AJ291&lt;=1,O291,O291*INDEX('Facilities'!$R$9:$R$108,MATCH(C291,'Facilities'!$C$9:$C$108,0)))+O291*INDEX('Facilities'!$T$9:$T$108,MATCH(C291,'Facilities'!$C$9:$C$108,0)))/12))))</x:f>
      </x:c>
    </x:row>
    <x:row r="292" ht="26" customHeight="1">
      <x:c r="A292" s="1"/>
      <x:c r="B292" s="1"/>
      <x:c r="C292" s="9" t="str">
        <x:f>IF(Facilities!C92="","",Facilities!C92)</x:f>
      </x:c>
      <x:c r="D292" s="3" t="n">
        <x:v>3</x:v>
      </x:c>
      <x:c r="E292" s="9" t="n">
        <x:f>Settings!$F$18+2</x:f>
        <x:v>2029</x:v>
      </x:c>
      <x:c r="F292" s="9" t="str">
        <x:f>IF(C292="","",IFERROR(INDEX('Facilities'!$D$9:$D$108,MATCH(C292,'Facilities'!$C$9:$C$108,0)),"Unavailable"))</x:f>
      </x:c>
      <x:c r="G292" s="21" t="str">
        <x:f>IF(C292="","",IFERROR(O192,"Unavailable"))</x:f>
      </x:c>
      <x:c r="H292" s="21" t="str">
        <x:f>IF(C292="","",IFERROR(P192,"Unavailable"))</x:f>
      </x:c>
      <x:c r="I292" s="21" t="str">
        <x:f>IF(C292="","",IFERROR(Q192,"Unavailable"))</x:f>
      </x:c>
      <x:c r="J292" s="23" t="str">
        <x:f>IF(C292="","",IFERROR(IF(OR(H292&gt;0,AND(AC292&gt;=0,AC292&lt;D292),D292&gt;INDEX('Facilities'!$J$9:$J$108,MATCH(C292,'Facilities'!$C$9:$C$108,0))),0,I292*'Scenario Paths'!H81),"Unavailable"))</x:f>
      </x:c>
      <x:c r="K292" s="23" t="str">
        <x:f>IF(C292="","",IFERROR(IF(OR(H292&gt;0,AND(AC292&gt;=0,AC292=D292)),0,IF(D292&gt;=INDEX('Facilities'!$J$9:$J$108,MATCH(C292,'Facilities'!$C$9:$C$108,0)),G292+J292,MIN(G292+J292,G292*INDEX('Facilities'!$R$9:$R$108,MATCH(C292,'Facilities'!$C$9:$C$108,0))))),"Unavailable"))</x:f>
      </x:c>
      <x:c r="L292" s="21" t="str">
        <x:f>IF(C292="","",IFERROR(IF(AND(AC292=D292,AC292&gt;0),MAX(0,G292+J292-K292),0),"Unavailable"))</x:f>
      </x:c>
      <x:c r="M292" s="23" t="str">
        <x:f>IF(C292="","",IFERROR(IF(AND(AC292&gt;=0,D292&gt;=AC292+INDEX('Facilities'!$AK$9:$AK$108,MATCH(C292,'Facilities'!$C$9:$C$108,0))),(H292+L292)*AM292,0),"Unavailable"))</x:f>
      </x:c>
      <x:c r="N292" s="23" t="str">
        <x:f>IF(C292="","",IFERROR(IF(AND(AC292&gt;=0,D292&gt;=AC292+INDEX('Facilities'!$AK$9:$AK$108,MATCH(C292,'Facilities'!$C$9:$C$108,0))),H292+L292-M292,0),"Unavailable"))</x:f>
      </x:c>
      <x:c r="O292" s="21" t="str">
        <x:f>IF(C292="","",IFERROR(MAX(0,G292+J292-K292-L292),"Unavailable"))</x:f>
      </x:c>
      <x:c r="P292" s="21" t="str">
        <x:f>IF(C292="","",IFERROR(MAX(0,H292+L292-M292-N292),"Unavailable"))</x:f>
      </x:c>
      <x:c r="Q292" s="23" t="str">
        <x:f>IF(C292="","",IFERROR(IF(OR(D292&gt;=INDEX('Facilities'!$J$9:$J$108,MATCH(C292,'Facilities'!$C$9:$C$108,0)),AND(AC292&gt;=0,AC292&lt;=D292)),0,MAX(0,I292-J292)),"Unavailable"))</x:f>
      </x:c>
      <x:c r="R292" s="30" t="str">
        <x:f>IF(C292="","",IFERROR(INDEX(Credit!$Q$209:$Q$308,MATCH(F292,Credit!$C$209:$C$308,0)),"Unavailable"))</x:f>
      </x:c>
      <x:c r="S292" s="30" t="str">
        <x:f>IF(C292="","",IFERROR(INDEX(Credit!$R$209:$R$308,MATCH(F292,Credit!$C$209:$C$308,0)),"Unavailable"))</x:f>
      </x:c>
      <x:c r="T292" s="23" t="str">
        <x:f>IF(C292="","",IFERROR(IF(P292&gt;0,3,IF(OR(INDEX('Facilities'!$AD$9:$AD$108,MATCH(C292,'Facilities'!$C$9:$C$108,0))=2,AND(R292&gt;=INDEX('Facilities'!$L$9:$L$108,MATCH(C292,'Facilities'!$C$9:$C$108,0))*Settings!$F$19,R292-INDEX('Facilities'!$L$9:$L$108,MATCH(C292,'Facilities'!$C$9:$C$108,0))&gt;=Settings!$F$20)),2,1)),"Unavailable"))</x:f>
      </x:c>
      <x:c r="U292" s="23" t="str">
        <x:f>IF(C292="","",IF(AQ292&lt;&gt;"Ready","Unavailable",IF(C292="","",O292*(1-(1-S292)/(1+INDEX('Facilities'!$K$9:$K$108,MATCH(C292,'Facilities'!$C$9:$C$108,0)))^INDEX('Facilities'!$AK$9:$AK$108,MATCH(C292,'Facilities'!$C$9:$C$108,0)))*R292/(1+INDEX('Facilities'!$K$9:$K$108,MATCH(C292,'Facilities'!$C$9:$C$108,0)))*IF(ABS(1-(1-R292)*(1-INDEX('Facilities'!$R$9:$R$108,MATCH(C292,'Facilities'!$C$9:$C$108,0)))/(1+INDEX('Facilities'!$K$9:$K$108,MATCH(C292,'Facilities'!$C$9:$C$108,0))))&lt;0.000000001,IF(T292=1,MIN(1,AJ292),AJ292),(1-((1-R292)*(1-INDEX('Facilities'!$R$9:$R$108,MATCH(C292,'Facilities'!$C$9:$C$108,0)))/(1+INDEX('Facilities'!$K$9:$K$108,MATCH(C292,'Facilities'!$C$9:$C$108,0))))^IF(T292=1,MIN(1,AJ292),AJ292))/(1-(1-R292)*(1-INDEX('Facilities'!$R$9:$R$108,MATCH(C292,'Facilities'!$C$9:$C$108,0)))/(1+INDEX('Facilities'!$K$9:$K$108,MATCH(C292,'Facilities'!$C$9:$C$108,0)))))+AL292)))</x:f>
      </x:c>
      <x:c r="V292" s="23" t="str">
        <x:f>IF(C292="","",IF(AQ292&lt;&gt;"Ready","Unavailable",IF(C292="","",Q292*INDEX('Facilities'!$I$9:$I$108,MATCH(C292,'Facilities'!$C$9:$C$108,0))*(1-(1-S292)/(1+INDEX('Facilities'!$K$9:$K$108,MATCH(C292,'Facilities'!$C$9:$C$108,0)))^INDEX('Facilities'!$AK$9:$AK$108,MATCH(C292,'Facilities'!$C$9:$C$108,0)))*R292/(1+INDEX('Facilities'!$K$9:$K$108,MATCH(C292,'Facilities'!$C$9:$C$108,0)))*IF(ABS(1-(1-R292)*(1-0)/(1+INDEX('Facilities'!$K$9:$K$108,MATCH(C292,'Facilities'!$C$9:$C$108,0))))&lt;0.000000001,IF(T292=1,MIN(1,AJ292),AJ292),(1-((1-R292)*(1-0)/(1+INDEX('Facilities'!$K$9:$K$108,MATCH(C292,'Facilities'!$C$9:$C$108,0))))^IF(T292=1,MIN(1,AJ292),AJ292))/(1-(1-R292)*(1-0)/(1+INDEX('Facilities'!$K$9:$K$108,MATCH(C292,'Facilities'!$C$9:$C$108,0))))))))</x:f>
      </x:c>
      <x:c r="W292" s="21" t="str">
        <x:f>IF(C292="","",IFERROR(U192,"Unavailable"))</x:f>
      </x:c>
      <x:c r="X292" s="21" t="str">
        <x:f>IF(C292="","",IFERROR(V192,"Unavailable"))</x:f>
      </x:c>
      <x:c r="Y292" s="21" t="str">
        <x:f>IF(C292="","",IF(AQ292&lt;&gt;"Ready","Unavailable",IF(C292="","",U292-W292+V292-X292+N292+AG292)))</x:f>
      </x:c>
      <x:c r="Z292" s="23" t="str">
        <x:f>IF(C292="","",IF(AQ292&lt;&gt;"Ready","Unavailable",IF(C292="","",(G292+O292+L292)/2*INDEX('Facilities'!$T$9:$T$108,MATCH(C292,'Facilities'!$C$9:$C$108,0))+AG292)))</x:f>
      </x:c>
      <x:c r="AA292" s="23" t="str">
        <x:f>IF(C292="","",IF(AQ292&lt;&gt;"Ready","Unavailable",IF(C292="","",O292*(1-IF(INDEX('Facilities'!$AA$9:$AA$108,MATCH(C292,'Facilities'!$C$9:$C$108,0))=0,0,MIN(1,INDEX('Facilities'!$X$9:$X$108,MATCH(C292,'Facilities'!$C$9:$C$108,0))/INDEX('Facilities'!$AA$9:$AA$108,MATCH(C292,'Facilities'!$C$9:$C$108,0)))))*AF292+P292*(1-IF(INDEX('Facilities'!$AA$9:$AA$108,MATCH(C292,'Facilities'!$C$9:$C$108,0))=0,0,MIN(1,INDEX('Facilities'!$X$9:$X$108,MATCH(C292,'Facilities'!$C$9:$C$108,0))/INDEX('Facilities'!$AA$9:$AA$108,MATCH(C292,'Facilities'!$C$9:$C$108,0)))))*INDEX('Facilities'!$AJ$9:$AJ$108,MATCH(C292,'Facilities'!$C$9:$C$108,0))+Q292*INDEX('Facilities'!$AI$9:$AI$108,MATCH(C292,'Facilities'!$C$9:$C$108,0))*AF292)))</x:f>
      </x:c>
      <x:c r="AB292" s="21" t="str">
        <x:f>IF(C292="","",O292+P292-AD292)</x:f>
      </x:c>
      <x:c r="AC292" s="23" t="str">
        <x:f>IF(C292="","",IFERROR(IF(INDEX('Facilities'!$AD$9:$AD$108,MATCH(C292,'Facilities'!$C$9:$C$108,0))=3,0,IF(INDEX('Facilities'!$AN$9:$AN$108,MATCH(C292,'Facilities'!$C$9:$C$108,0))=0,-1,INDEX('Facilities'!$AN$9:$AN$108,MATCH(C292,'Facilities'!$C$9:$C$108,0)))),"Unavailable"))</x:f>
      </x:c>
      <x:c r="AD292" s="21" t="str">
        <x:f>IF(C292="","",IFERROR(G292+H292,"Unavailable"))</x:f>
      </x:c>
      <x:c r="AE292" s="21" t="str">
        <x:f>IF(C292="","",IF(AQ292&lt;&gt;"Ready","Unavailable",IF(C292="","",O292+P292-AD292-J292+K292+M292+N292)))</x:f>
      </x:c>
      <x:c r="AF292" s="30" t="str">
        <x:f>IF(C292="","",IFERROR(INDEX('Facilities'!$S$9:$S$108,MATCH(C292,'Facilities'!$C$9:$C$108,0))*'Scenario Paths'!H75,"Unavailable"))</x:f>
      </x:c>
      <x:c r="AG292" s="23" t="str">
        <x:f>IF(C292="","",IF(AQ292&lt;&gt;"Ready","Unavailable",IF(C292="","",IF(H292&gt;0,MAX(0,H292-AK292)*((1+INDEX('Facilities'!$K$9:$K$108,MATCH(C292,'Facilities'!$C$9:$C$108,0)))^MIN(1,MAX(0,AC292+INDEX('Facilities'!$AK$9:$AK$108,MATCH(C292,'Facilities'!$C$9:$C$108,0))-D292+1))-1),0))))</x:f>
      </x:c>
      <x:c r="AH292" s="21" t="str">
        <x:f>IF(C292="","",IF(AQ292&lt;&gt;"Ready","Unavailable",IF(C292="","",O292+P292)))</x:f>
      </x:c>
      <x:c r="AI292" s="21" t="str">
        <x:f>IF(C292="","",IF(AQ292&lt;&gt;"Ready","Unavailable",IF(C292="","",Z292-Y292)))</x:f>
      </x:c>
      <x:c r="AJ292" s="23" t="str">
        <x:f>IF(C292="","",IFERROR(MAX(0,INDEX('Facilities'!$J$9:$J$108,MATCH(C292,'Facilities'!$C$9:$C$108,0))-D292),"Unavailable"))</x:f>
      </x:c>
      <x:c r="AK292" s="21" t="str">
        <x:f>IF(C292="","",IFERROR(AL192,"Unavailable"))</x:f>
      </x:c>
      <x:c r="AL292" s="23" t="str">
        <x:f>IF(C292="","",IFERROR(IF(P292&gt;0,P292*(1-AM292/(1+INDEX('Facilities'!$K$9:$K$108,MATCH(C292,'Facilities'!$C$9:$C$108,0)))^MAX(0,AC292+INDEX('Facilities'!$AK$9:$AK$108,MATCH(C292,'Facilities'!$C$9:$C$108,0))-D292)),0),"Unavailable"))</x:f>
      </x:c>
      <x:c r="AM292" s="30" t="str">
        <x:f>IF(C292="","",IFERROR(INDEX('Facilities'!$AL$9:$AL$108,MATCH(C292,'Facilities'!$C$9:$C$108,0)),"Unavailable"))</x:f>
      </x:c>
      <x:c r="AN292" s="30" t="str">
        <x:f>IF(C292="","",IFERROR(INDEX(Credit!$T$209:$T$308,MATCH(F292,Credit!$C$209:$C$308,0)),"Unavailable"))</x:f>
      </x:c>
      <x:c r="AO292" s="23" t="str">
        <x:f>IF(C292="","",IF(AQ292&lt;&gt;"Ready","Unavailable",IF(C292="","",O292+P292+Q292*INDEX('Facilities'!$I$9:$I$108,MATCH(C292,'Facilities'!$C$9:$C$108,0)))))</x:f>
      </x:c>
      <x:c r="AP292" s="21" t="str">
        <x:f>IF(C292="","",IF(AQ292&lt;&gt;"Ready","Unavailable",IF(C292="","",AH292-U292)))</x:f>
      </x:c>
      <x:c r="AQ292" s="23" t="str">
        <x:f>IFERROR(IF(C292="","",IF(AND(INDEX('Facilities'!$AF$9:$AF$108,MATCH(C292,'Facilities'!$C$9:$C$108,0))="Ready",INDEX(Credit!$U$209:$U$308,MATCH(F292,Credit!$C$209:$C$308,0))="Ready",ISNUMBER(W292)),"Ready","Review inputs")),"Review inputs")</x:f>
      </x:c>
      <x:c r="AR292" s="23" t="str">
        <x:f>IF(C292="","",IF(AQ292&lt;&gt;"Ready","Unavailable",IF(C292="","",IF(O292=0,0,(IF(AJ292&lt;=1,O292,O292*INDEX('Facilities'!$R$9:$R$108,MATCH(C292,'Facilities'!$C$9:$C$108,0)))+O292*INDEX('Facilities'!$T$9:$T$108,MATCH(C292,'Facilities'!$C$9:$C$108,0)))/12))))</x:f>
      </x:c>
    </x:row>
    <x:row r="293" ht="26" customHeight="1">
      <x:c r="A293" s="1"/>
      <x:c r="B293" s="1"/>
      <x:c r="C293" s="9" t="str">
        <x:f>IF(Facilities!C93="","",Facilities!C93)</x:f>
      </x:c>
      <x:c r="D293" s="3" t="n">
        <x:v>3</x:v>
      </x:c>
      <x:c r="E293" s="9" t="n">
        <x:f>Settings!$F$18+2</x:f>
        <x:v>2029</x:v>
      </x:c>
      <x:c r="F293" s="9" t="str">
        <x:f>IF(C293="","",IFERROR(INDEX('Facilities'!$D$9:$D$108,MATCH(C293,'Facilities'!$C$9:$C$108,0)),"Unavailable"))</x:f>
      </x:c>
      <x:c r="G293" s="21" t="str">
        <x:f>IF(C293="","",IFERROR(O193,"Unavailable"))</x:f>
      </x:c>
      <x:c r="H293" s="21" t="str">
        <x:f>IF(C293="","",IFERROR(P193,"Unavailable"))</x:f>
      </x:c>
      <x:c r="I293" s="21" t="str">
        <x:f>IF(C293="","",IFERROR(Q193,"Unavailable"))</x:f>
      </x:c>
      <x:c r="J293" s="23" t="str">
        <x:f>IF(C293="","",IFERROR(IF(OR(H293&gt;0,AND(AC293&gt;=0,AC293&lt;D293),D293&gt;INDEX('Facilities'!$J$9:$J$108,MATCH(C293,'Facilities'!$C$9:$C$108,0))),0,I293*'Scenario Paths'!H81),"Unavailable"))</x:f>
      </x:c>
      <x:c r="K293" s="23" t="str">
        <x:f>IF(C293="","",IFERROR(IF(OR(H293&gt;0,AND(AC293&gt;=0,AC293=D293)),0,IF(D293&gt;=INDEX('Facilities'!$J$9:$J$108,MATCH(C293,'Facilities'!$C$9:$C$108,0)),G293+J293,MIN(G293+J293,G293*INDEX('Facilities'!$R$9:$R$108,MATCH(C293,'Facilities'!$C$9:$C$108,0))))),"Unavailable"))</x:f>
      </x:c>
      <x:c r="L293" s="21" t="str">
        <x:f>IF(C293="","",IFERROR(IF(AND(AC293=D293,AC293&gt;0),MAX(0,G293+J293-K293),0),"Unavailable"))</x:f>
      </x:c>
      <x:c r="M293" s="23" t="str">
        <x:f>IF(C293="","",IFERROR(IF(AND(AC293&gt;=0,D293&gt;=AC293+INDEX('Facilities'!$AK$9:$AK$108,MATCH(C293,'Facilities'!$C$9:$C$108,0))),(H293+L293)*AM293,0),"Unavailable"))</x:f>
      </x:c>
      <x:c r="N293" s="23" t="str">
        <x:f>IF(C293="","",IFERROR(IF(AND(AC293&gt;=0,D293&gt;=AC293+INDEX('Facilities'!$AK$9:$AK$108,MATCH(C293,'Facilities'!$C$9:$C$108,0))),H293+L293-M293,0),"Unavailable"))</x:f>
      </x:c>
      <x:c r="O293" s="21" t="str">
        <x:f>IF(C293="","",IFERROR(MAX(0,G293+J293-K293-L293),"Unavailable"))</x:f>
      </x:c>
      <x:c r="P293" s="21" t="str">
        <x:f>IF(C293="","",IFERROR(MAX(0,H293+L293-M293-N293),"Unavailable"))</x:f>
      </x:c>
      <x:c r="Q293" s="23" t="str">
        <x:f>IF(C293="","",IFERROR(IF(OR(D293&gt;=INDEX('Facilities'!$J$9:$J$108,MATCH(C293,'Facilities'!$C$9:$C$108,0)),AND(AC293&gt;=0,AC293&lt;=D293)),0,MAX(0,I293-J293)),"Unavailable"))</x:f>
      </x:c>
      <x:c r="R293" s="30" t="str">
        <x:f>IF(C293="","",IFERROR(INDEX(Credit!$Q$209:$Q$308,MATCH(F293,Credit!$C$209:$C$308,0)),"Unavailable"))</x:f>
      </x:c>
      <x:c r="S293" s="30" t="str">
        <x:f>IF(C293="","",IFERROR(INDEX(Credit!$R$209:$R$308,MATCH(F293,Credit!$C$209:$C$308,0)),"Unavailable"))</x:f>
      </x:c>
      <x:c r="T293" s="23" t="str">
        <x:f>IF(C293="","",IFERROR(IF(P293&gt;0,3,IF(OR(INDEX('Facilities'!$AD$9:$AD$108,MATCH(C293,'Facilities'!$C$9:$C$108,0))=2,AND(R293&gt;=INDEX('Facilities'!$L$9:$L$108,MATCH(C293,'Facilities'!$C$9:$C$108,0))*Settings!$F$19,R293-INDEX('Facilities'!$L$9:$L$108,MATCH(C293,'Facilities'!$C$9:$C$108,0))&gt;=Settings!$F$20)),2,1)),"Unavailable"))</x:f>
      </x:c>
      <x:c r="U293" s="23" t="str">
        <x:f>IF(C293="","",IF(AQ293&lt;&gt;"Ready","Unavailable",IF(C293="","",O293*(1-(1-S293)/(1+INDEX('Facilities'!$K$9:$K$108,MATCH(C293,'Facilities'!$C$9:$C$108,0)))^INDEX('Facilities'!$AK$9:$AK$108,MATCH(C293,'Facilities'!$C$9:$C$108,0)))*R293/(1+INDEX('Facilities'!$K$9:$K$108,MATCH(C293,'Facilities'!$C$9:$C$108,0)))*IF(ABS(1-(1-R293)*(1-INDEX('Facilities'!$R$9:$R$108,MATCH(C293,'Facilities'!$C$9:$C$108,0)))/(1+INDEX('Facilities'!$K$9:$K$108,MATCH(C293,'Facilities'!$C$9:$C$108,0))))&lt;0.000000001,IF(T293=1,MIN(1,AJ293),AJ293),(1-((1-R293)*(1-INDEX('Facilities'!$R$9:$R$108,MATCH(C293,'Facilities'!$C$9:$C$108,0)))/(1+INDEX('Facilities'!$K$9:$K$108,MATCH(C293,'Facilities'!$C$9:$C$108,0))))^IF(T293=1,MIN(1,AJ293),AJ293))/(1-(1-R293)*(1-INDEX('Facilities'!$R$9:$R$108,MATCH(C293,'Facilities'!$C$9:$C$108,0)))/(1+INDEX('Facilities'!$K$9:$K$108,MATCH(C293,'Facilities'!$C$9:$C$108,0)))))+AL293)))</x:f>
      </x:c>
      <x:c r="V293" s="23" t="str">
        <x:f>IF(C293="","",IF(AQ293&lt;&gt;"Ready","Unavailable",IF(C293="","",Q293*INDEX('Facilities'!$I$9:$I$108,MATCH(C293,'Facilities'!$C$9:$C$108,0))*(1-(1-S293)/(1+INDEX('Facilities'!$K$9:$K$108,MATCH(C293,'Facilities'!$C$9:$C$108,0)))^INDEX('Facilities'!$AK$9:$AK$108,MATCH(C293,'Facilities'!$C$9:$C$108,0)))*R293/(1+INDEX('Facilities'!$K$9:$K$108,MATCH(C293,'Facilities'!$C$9:$C$108,0)))*IF(ABS(1-(1-R293)*(1-0)/(1+INDEX('Facilities'!$K$9:$K$108,MATCH(C293,'Facilities'!$C$9:$C$108,0))))&lt;0.000000001,IF(T293=1,MIN(1,AJ293),AJ293),(1-((1-R293)*(1-0)/(1+INDEX('Facilities'!$K$9:$K$108,MATCH(C293,'Facilities'!$C$9:$C$108,0))))^IF(T293=1,MIN(1,AJ293),AJ293))/(1-(1-R293)*(1-0)/(1+INDEX('Facilities'!$K$9:$K$108,MATCH(C293,'Facilities'!$C$9:$C$108,0))))))))</x:f>
      </x:c>
      <x:c r="W293" s="21" t="str">
        <x:f>IF(C293="","",IFERROR(U193,"Unavailable"))</x:f>
      </x:c>
      <x:c r="X293" s="21" t="str">
        <x:f>IF(C293="","",IFERROR(V193,"Unavailable"))</x:f>
      </x:c>
      <x:c r="Y293" s="21" t="str">
        <x:f>IF(C293="","",IF(AQ293&lt;&gt;"Ready","Unavailable",IF(C293="","",U293-W293+V293-X293+N293+AG293)))</x:f>
      </x:c>
      <x:c r="Z293" s="23" t="str">
        <x:f>IF(C293="","",IF(AQ293&lt;&gt;"Ready","Unavailable",IF(C293="","",(G293+O293+L293)/2*INDEX('Facilities'!$T$9:$T$108,MATCH(C293,'Facilities'!$C$9:$C$108,0))+AG293)))</x:f>
      </x:c>
      <x:c r="AA293" s="23" t="str">
        <x:f>IF(C293="","",IF(AQ293&lt;&gt;"Ready","Unavailable",IF(C293="","",O293*(1-IF(INDEX('Facilities'!$AA$9:$AA$108,MATCH(C293,'Facilities'!$C$9:$C$108,0))=0,0,MIN(1,INDEX('Facilities'!$X$9:$X$108,MATCH(C293,'Facilities'!$C$9:$C$108,0))/INDEX('Facilities'!$AA$9:$AA$108,MATCH(C293,'Facilities'!$C$9:$C$108,0)))))*AF293+P293*(1-IF(INDEX('Facilities'!$AA$9:$AA$108,MATCH(C293,'Facilities'!$C$9:$C$108,0))=0,0,MIN(1,INDEX('Facilities'!$X$9:$X$108,MATCH(C293,'Facilities'!$C$9:$C$108,0))/INDEX('Facilities'!$AA$9:$AA$108,MATCH(C293,'Facilities'!$C$9:$C$108,0)))))*INDEX('Facilities'!$AJ$9:$AJ$108,MATCH(C293,'Facilities'!$C$9:$C$108,0))+Q293*INDEX('Facilities'!$AI$9:$AI$108,MATCH(C293,'Facilities'!$C$9:$C$108,0))*AF293)))</x:f>
      </x:c>
      <x:c r="AB293" s="21" t="str">
        <x:f>IF(C293="","",O293+P293-AD293)</x:f>
      </x:c>
      <x:c r="AC293" s="23" t="str">
        <x:f>IF(C293="","",IFERROR(IF(INDEX('Facilities'!$AD$9:$AD$108,MATCH(C293,'Facilities'!$C$9:$C$108,0))=3,0,IF(INDEX('Facilities'!$AN$9:$AN$108,MATCH(C293,'Facilities'!$C$9:$C$108,0))=0,-1,INDEX('Facilities'!$AN$9:$AN$108,MATCH(C293,'Facilities'!$C$9:$C$108,0)))),"Unavailable"))</x:f>
      </x:c>
      <x:c r="AD293" s="21" t="str">
        <x:f>IF(C293="","",IFERROR(G293+H293,"Unavailable"))</x:f>
      </x:c>
      <x:c r="AE293" s="21" t="str">
        <x:f>IF(C293="","",IF(AQ293&lt;&gt;"Ready","Unavailable",IF(C293="","",O293+P293-AD293-J293+K293+M293+N293)))</x:f>
      </x:c>
      <x:c r="AF293" s="30" t="str">
        <x:f>IF(C293="","",IFERROR(INDEX('Facilities'!$S$9:$S$108,MATCH(C293,'Facilities'!$C$9:$C$108,0))*'Scenario Paths'!H75,"Unavailable"))</x:f>
      </x:c>
      <x:c r="AG293" s="23" t="str">
        <x:f>IF(C293="","",IF(AQ293&lt;&gt;"Ready","Unavailable",IF(C293="","",IF(H293&gt;0,MAX(0,H293-AK293)*((1+INDEX('Facilities'!$K$9:$K$108,MATCH(C293,'Facilities'!$C$9:$C$108,0)))^MIN(1,MAX(0,AC293+INDEX('Facilities'!$AK$9:$AK$108,MATCH(C293,'Facilities'!$C$9:$C$108,0))-D293+1))-1),0))))</x:f>
      </x:c>
      <x:c r="AH293" s="21" t="str">
        <x:f>IF(C293="","",IF(AQ293&lt;&gt;"Ready","Unavailable",IF(C293="","",O293+P293)))</x:f>
      </x:c>
      <x:c r="AI293" s="21" t="str">
        <x:f>IF(C293="","",IF(AQ293&lt;&gt;"Ready","Unavailable",IF(C293="","",Z293-Y293)))</x:f>
      </x:c>
      <x:c r="AJ293" s="23" t="str">
        <x:f>IF(C293="","",IFERROR(MAX(0,INDEX('Facilities'!$J$9:$J$108,MATCH(C293,'Facilities'!$C$9:$C$108,0))-D293),"Unavailable"))</x:f>
      </x:c>
      <x:c r="AK293" s="21" t="str">
        <x:f>IF(C293="","",IFERROR(AL193,"Unavailable"))</x:f>
      </x:c>
      <x:c r="AL293" s="23" t="str">
        <x:f>IF(C293="","",IFERROR(IF(P293&gt;0,P293*(1-AM293/(1+INDEX('Facilities'!$K$9:$K$108,MATCH(C293,'Facilities'!$C$9:$C$108,0)))^MAX(0,AC293+INDEX('Facilities'!$AK$9:$AK$108,MATCH(C293,'Facilities'!$C$9:$C$108,0))-D293)),0),"Unavailable"))</x:f>
      </x:c>
      <x:c r="AM293" s="30" t="str">
        <x:f>IF(C293="","",IFERROR(INDEX('Facilities'!$AL$9:$AL$108,MATCH(C293,'Facilities'!$C$9:$C$108,0)),"Unavailable"))</x:f>
      </x:c>
      <x:c r="AN293" s="30" t="str">
        <x:f>IF(C293="","",IFERROR(INDEX(Credit!$T$209:$T$308,MATCH(F293,Credit!$C$209:$C$308,0)),"Unavailable"))</x:f>
      </x:c>
      <x:c r="AO293" s="23" t="str">
        <x:f>IF(C293="","",IF(AQ293&lt;&gt;"Ready","Unavailable",IF(C293="","",O293+P293+Q293*INDEX('Facilities'!$I$9:$I$108,MATCH(C293,'Facilities'!$C$9:$C$108,0)))))</x:f>
      </x:c>
      <x:c r="AP293" s="21" t="str">
        <x:f>IF(C293="","",IF(AQ293&lt;&gt;"Ready","Unavailable",IF(C293="","",AH293-U293)))</x:f>
      </x:c>
      <x:c r="AQ293" s="23" t="str">
        <x:f>IFERROR(IF(C293="","",IF(AND(INDEX('Facilities'!$AF$9:$AF$108,MATCH(C293,'Facilities'!$C$9:$C$108,0))="Ready",INDEX(Credit!$U$209:$U$308,MATCH(F293,Credit!$C$209:$C$308,0))="Ready",ISNUMBER(W293)),"Ready","Review inputs")),"Review inputs")</x:f>
      </x:c>
      <x:c r="AR293" s="23" t="str">
        <x:f>IF(C293="","",IF(AQ293&lt;&gt;"Ready","Unavailable",IF(C293="","",IF(O293=0,0,(IF(AJ293&lt;=1,O293,O293*INDEX('Facilities'!$R$9:$R$108,MATCH(C293,'Facilities'!$C$9:$C$108,0)))+O293*INDEX('Facilities'!$T$9:$T$108,MATCH(C293,'Facilities'!$C$9:$C$108,0)))/12))))</x:f>
      </x:c>
    </x:row>
    <x:row r="294" ht="26" customHeight="1">
      <x:c r="A294" s="1"/>
      <x:c r="B294" s="1"/>
      <x:c r="C294" s="9" t="str">
        <x:f>IF(Facilities!C94="","",Facilities!C94)</x:f>
      </x:c>
      <x:c r="D294" s="3" t="n">
        <x:v>3</x:v>
      </x:c>
      <x:c r="E294" s="9" t="n">
        <x:f>Settings!$F$18+2</x:f>
        <x:v>2029</x:v>
      </x:c>
      <x:c r="F294" s="9" t="str">
        <x:f>IF(C294="","",IFERROR(INDEX('Facilities'!$D$9:$D$108,MATCH(C294,'Facilities'!$C$9:$C$108,0)),"Unavailable"))</x:f>
      </x:c>
      <x:c r="G294" s="21" t="str">
        <x:f>IF(C294="","",IFERROR(O194,"Unavailable"))</x:f>
      </x:c>
      <x:c r="H294" s="21" t="str">
        <x:f>IF(C294="","",IFERROR(P194,"Unavailable"))</x:f>
      </x:c>
      <x:c r="I294" s="21" t="str">
        <x:f>IF(C294="","",IFERROR(Q194,"Unavailable"))</x:f>
      </x:c>
      <x:c r="J294" s="23" t="str">
        <x:f>IF(C294="","",IFERROR(IF(OR(H294&gt;0,AND(AC294&gt;=0,AC294&lt;D294),D294&gt;INDEX('Facilities'!$J$9:$J$108,MATCH(C294,'Facilities'!$C$9:$C$108,0))),0,I294*'Scenario Paths'!H81),"Unavailable"))</x:f>
      </x:c>
      <x:c r="K294" s="23" t="str">
        <x:f>IF(C294="","",IFERROR(IF(OR(H294&gt;0,AND(AC294&gt;=0,AC294=D294)),0,IF(D294&gt;=INDEX('Facilities'!$J$9:$J$108,MATCH(C294,'Facilities'!$C$9:$C$108,0)),G294+J294,MIN(G294+J294,G294*INDEX('Facilities'!$R$9:$R$108,MATCH(C294,'Facilities'!$C$9:$C$108,0))))),"Unavailable"))</x:f>
      </x:c>
      <x:c r="L294" s="21" t="str">
        <x:f>IF(C294="","",IFERROR(IF(AND(AC294=D294,AC294&gt;0),MAX(0,G294+J294-K294),0),"Unavailable"))</x:f>
      </x:c>
      <x:c r="M294" s="23" t="str">
        <x:f>IF(C294="","",IFERROR(IF(AND(AC294&gt;=0,D294&gt;=AC294+INDEX('Facilities'!$AK$9:$AK$108,MATCH(C294,'Facilities'!$C$9:$C$108,0))),(H294+L294)*AM294,0),"Unavailable"))</x:f>
      </x:c>
      <x:c r="N294" s="23" t="str">
        <x:f>IF(C294="","",IFERROR(IF(AND(AC294&gt;=0,D294&gt;=AC294+INDEX('Facilities'!$AK$9:$AK$108,MATCH(C294,'Facilities'!$C$9:$C$108,0))),H294+L294-M294,0),"Unavailable"))</x:f>
      </x:c>
      <x:c r="O294" s="21" t="str">
        <x:f>IF(C294="","",IFERROR(MAX(0,G294+J294-K294-L294),"Unavailable"))</x:f>
      </x:c>
      <x:c r="P294" s="21" t="str">
        <x:f>IF(C294="","",IFERROR(MAX(0,H294+L294-M294-N294),"Unavailable"))</x:f>
      </x:c>
      <x:c r="Q294" s="23" t="str">
        <x:f>IF(C294="","",IFERROR(IF(OR(D294&gt;=INDEX('Facilities'!$J$9:$J$108,MATCH(C294,'Facilities'!$C$9:$C$108,0)),AND(AC294&gt;=0,AC294&lt;=D294)),0,MAX(0,I294-J294)),"Unavailable"))</x:f>
      </x:c>
      <x:c r="R294" s="30" t="str">
        <x:f>IF(C294="","",IFERROR(INDEX(Credit!$Q$209:$Q$308,MATCH(F294,Credit!$C$209:$C$308,0)),"Unavailable"))</x:f>
      </x:c>
      <x:c r="S294" s="30" t="str">
        <x:f>IF(C294="","",IFERROR(INDEX(Credit!$R$209:$R$308,MATCH(F294,Credit!$C$209:$C$308,0)),"Unavailable"))</x:f>
      </x:c>
      <x:c r="T294" s="23" t="str">
        <x:f>IF(C294="","",IFERROR(IF(P294&gt;0,3,IF(OR(INDEX('Facilities'!$AD$9:$AD$108,MATCH(C294,'Facilities'!$C$9:$C$108,0))=2,AND(R294&gt;=INDEX('Facilities'!$L$9:$L$108,MATCH(C294,'Facilities'!$C$9:$C$108,0))*Settings!$F$19,R294-INDEX('Facilities'!$L$9:$L$108,MATCH(C294,'Facilities'!$C$9:$C$108,0))&gt;=Settings!$F$20)),2,1)),"Unavailable"))</x:f>
      </x:c>
      <x:c r="U294" s="23" t="str">
        <x:f>IF(C294="","",IF(AQ294&lt;&gt;"Ready","Unavailable",IF(C294="","",O294*(1-(1-S294)/(1+INDEX('Facilities'!$K$9:$K$108,MATCH(C294,'Facilities'!$C$9:$C$108,0)))^INDEX('Facilities'!$AK$9:$AK$108,MATCH(C294,'Facilities'!$C$9:$C$108,0)))*R294/(1+INDEX('Facilities'!$K$9:$K$108,MATCH(C294,'Facilities'!$C$9:$C$108,0)))*IF(ABS(1-(1-R294)*(1-INDEX('Facilities'!$R$9:$R$108,MATCH(C294,'Facilities'!$C$9:$C$108,0)))/(1+INDEX('Facilities'!$K$9:$K$108,MATCH(C294,'Facilities'!$C$9:$C$108,0))))&lt;0.000000001,IF(T294=1,MIN(1,AJ294),AJ294),(1-((1-R294)*(1-INDEX('Facilities'!$R$9:$R$108,MATCH(C294,'Facilities'!$C$9:$C$108,0)))/(1+INDEX('Facilities'!$K$9:$K$108,MATCH(C294,'Facilities'!$C$9:$C$108,0))))^IF(T294=1,MIN(1,AJ294),AJ294))/(1-(1-R294)*(1-INDEX('Facilities'!$R$9:$R$108,MATCH(C294,'Facilities'!$C$9:$C$108,0)))/(1+INDEX('Facilities'!$K$9:$K$108,MATCH(C294,'Facilities'!$C$9:$C$108,0)))))+AL294)))</x:f>
      </x:c>
      <x:c r="V294" s="23" t="str">
        <x:f>IF(C294="","",IF(AQ294&lt;&gt;"Ready","Unavailable",IF(C294="","",Q294*INDEX('Facilities'!$I$9:$I$108,MATCH(C294,'Facilities'!$C$9:$C$108,0))*(1-(1-S294)/(1+INDEX('Facilities'!$K$9:$K$108,MATCH(C294,'Facilities'!$C$9:$C$108,0)))^INDEX('Facilities'!$AK$9:$AK$108,MATCH(C294,'Facilities'!$C$9:$C$108,0)))*R294/(1+INDEX('Facilities'!$K$9:$K$108,MATCH(C294,'Facilities'!$C$9:$C$108,0)))*IF(ABS(1-(1-R294)*(1-0)/(1+INDEX('Facilities'!$K$9:$K$108,MATCH(C294,'Facilities'!$C$9:$C$108,0))))&lt;0.000000001,IF(T294=1,MIN(1,AJ294),AJ294),(1-((1-R294)*(1-0)/(1+INDEX('Facilities'!$K$9:$K$108,MATCH(C294,'Facilities'!$C$9:$C$108,0))))^IF(T294=1,MIN(1,AJ294),AJ294))/(1-(1-R294)*(1-0)/(1+INDEX('Facilities'!$K$9:$K$108,MATCH(C294,'Facilities'!$C$9:$C$108,0))))))))</x:f>
      </x:c>
      <x:c r="W294" s="21" t="str">
        <x:f>IF(C294="","",IFERROR(U194,"Unavailable"))</x:f>
      </x:c>
      <x:c r="X294" s="21" t="str">
        <x:f>IF(C294="","",IFERROR(V194,"Unavailable"))</x:f>
      </x:c>
      <x:c r="Y294" s="21" t="str">
        <x:f>IF(C294="","",IF(AQ294&lt;&gt;"Ready","Unavailable",IF(C294="","",U294-W294+V294-X294+N294+AG294)))</x:f>
      </x:c>
      <x:c r="Z294" s="23" t="str">
        <x:f>IF(C294="","",IF(AQ294&lt;&gt;"Ready","Unavailable",IF(C294="","",(G294+O294+L294)/2*INDEX('Facilities'!$T$9:$T$108,MATCH(C294,'Facilities'!$C$9:$C$108,0))+AG294)))</x:f>
      </x:c>
      <x:c r="AA294" s="23" t="str">
        <x:f>IF(C294="","",IF(AQ294&lt;&gt;"Ready","Unavailable",IF(C294="","",O294*(1-IF(INDEX('Facilities'!$AA$9:$AA$108,MATCH(C294,'Facilities'!$C$9:$C$108,0))=0,0,MIN(1,INDEX('Facilities'!$X$9:$X$108,MATCH(C294,'Facilities'!$C$9:$C$108,0))/INDEX('Facilities'!$AA$9:$AA$108,MATCH(C294,'Facilities'!$C$9:$C$108,0)))))*AF294+P294*(1-IF(INDEX('Facilities'!$AA$9:$AA$108,MATCH(C294,'Facilities'!$C$9:$C$108,0))=0,0,MIN(1,INDEX('Facilities'!$X$9:$X$108,MATCH(C294,'Facilities'!$C$9:$C$108,0))/INDEX('Facilities'!$AA$9:$AA$108,MATCH(C294,'Facilities'!$C$9:$C$108,0)))))*INDEX('Facilities'!$AJ$9:$AJ$108,MATCH(C294,'Facilities'!$C$9:$C$108,0))+Q294*INDEX('Facilities'!$AI$9:$AI$108,MATCH(C294,'Facilities'!$C$9:$C$108,0))*AF294)))</x:f>
      </x:c>
      <x:c r="AB294" s="21" t="str">
        <x:f>IF(C294="","",O294+P294-AD294)</x:f>
      </x:c>
      <x:c r="AC294" s="23" t="str">
        <x:f>IF(C294="","",IFERROR(IF(INDEX('Facilities'!$AD$9:$AD$108,MATCH(C294,'Facilities'!$C$9:$C$108,0))=3,0,IF(INDEX('Facilities'!$AN$9:$AN$108,MATCH(C294,'Facilities'!$C$9:$C$108,0))=0,-1,INDEX('Facilities'!$AN$9:$AN$108,MATCH(C294,'Facilities'!$C$9:$C$108,0)))),"Unavailable"))</x:f>
      </x:c>
      <x:c r="AD294" s="21" t="str">
        <x:f>IF(C294="","",IFERROR(G294+H294,"Unavailable"))</x:f>
      </x:c>
      <x:c r="AE294" s="21" t="str">
        <x:f>IF(C294="","",IF(AQ294&lt;&gt;"Ready","Unavailable",IF(C294="","",O294+P294-AD294-J294+K294+M294+N294)))</x:f>
      </x:c>
      <x:c r="AF294" s="30" t="str">
        <x:f>IF(C294="","",IFERROR(INDEX('Facilities'!$S$9:$S$108,MATCH(C294,'Facilities'!$C$9:$C$108,0))*'Scenario Paths'!H75,"Unavailable"))</x:f>
      </x:c>
      <x:c r="AG294" s="23" t="str">
        <x:f>IF(C294="","",IF(AQ294&lt;&gt;"Ready","Unavailable",IF(C294="","",IF(H294&gt;0,MAX(0,H294-AK294)*((1+INDEX('Facilities'!$K$9:$K$108,MATCH(C294,'Facilities'!$C$9:$C$108,0)))^MIN(1,MAX(0,AC294+INDEX('Facilities'!$AK$9:$AK$108,MATCH(C294,'Facilities'!$C$9:$C$108,0))-D294+1))-1),0))))</x:f>
      </x:c>
      <x:c r="AH294" s="21" t="str">
        <x:f>IF(C294="","",IF(AQ294&lt;&gt;"Ready","Unavailable",IF(C294="","",O294+P294)))</x:f>
      </x:c>
      <x:c r="AI294" s="21" t="str">
        <x:f>IF(C294="","",IF(AQ294&lt;&gt;"Ready","Unavailable",IF(C294="","",Z294-Y294)))</x:f>
      </x:c>
      <x:c r="AJ294" s="23" t="str">
        <x:f>IF(C294="","",IFERROR(MAX(0,INDEX('Facilities'!$J$9:$J$108,MATCH(C294,'Facilities'!$C$9:$C$108,0))-D294),"Unavailable"))</x:f>
      </x:c>
      <x:c r="AK294" s="21" t="str">
        <x:f>IF(C294="","",IFERROR(AL194,"Unavailable"))</x:f>
      </x:c>
      <x:c r="AL294" s="23" t="str">
        <x:f>IF(C294="","",IFERROR(IF(P294&gt;0,P294*(1-AM294/(1+INDEX('Facilities'!$K$9:$K$108,MATCH(C294,'Facilities'!$C$9:$C$108,0)))^MAX(0,AC294+INDEX('Facilities'!$AK$9:$AK$108,MATCH(C294,'Facilities'!$C$9:$C$108,0))-D294)),0),"Unavailable"))</x:f>
      </x:c>
      <x:c r="AM294" s="30" t="str">
        <x:f>IF(C294="","",IFERROR(INDEX('Facilities'!$AL$9:$AL$108,MATCH(C294,'Facilities'!$C$9:$C$108,0)),"Unavailable"))</x:f>
      </x:c>
      <x:c r="AN294" s="30" t="str">
        <x:f>IF(C294="","",IFERROR(INDEX(Credit!$T$209:$T$308,MATCH(F294,Credit!$C$209:$C$308,0)),"Unavailable"))</x:f>
      </x:c>
      <x:c r="AO294" s="23" t="str">
        <x:f>IF(C294="","",IF(AQ294&lt;&gt;"Ready","Unavailable",IF(C294="","",O294+P294+Q294*INDEX('Facilities'!$I$9:$I$108,MATCH(C294,'Facilities'!$C$9:$C$108,0)))))</x:f>
      </x:c>
      <x:c r="AP294" s="21" t="str">
        <x:f>IF(C294="","",IF(AQ294&lt;&gt;"Ready","Unavailable",IF(C294="","",AH294-U294)))</x:f>
      </x:c>
      <x:c r="AQ294" s="23" t="str">
        <x:f>IFERROR(IF(C294="","",IF(AND(INDEX('Facilities'!$AF$9:$AF$108,MATCH(C294,'Facilities'!$C$9:$C$108,0))="Ready",INDEX(Credit!$U$209:$U$308,MATCH(F294,Credit!$C$209:$C$308,0))="Ready",ISNUMBER(W294)),"Ready","Review inputs")),"Review inputs")</x:f>
      </x:c>
      <x:c r="AR294" s="23" t="str">
        <x:f>IF(C294="","",IF(AQ294&lt;&gt;"Ready","Unavailable",IF(C294="","",IF(O294=0,0,(IF(AJ294&lt;=1,O294,O294*INDEX('Facilities'!$R$9:$R$108,MATCH(C294,'Facilities'!$C$9:$C$108,0)))+O294*INDEX('Facilities'!$T$9:$T$108,MATCH(C294,'Facilities'!$C$9:$C$108,0)))/12))))</x:f>
      </x:c>
    </x:row>
    <x:row r="295" ht="26" customHeight="1">
      <x:c r="A295" s="1"/>
      <x:c r="B295" s="1"/>
      <x:c r="C295" s="9" t="str">
        <x:f>IF(Facilities!C95="","",Facilities!C95)</x:f>
      </x:c>
      <x:c r="D295" s="3" t="n">
        <x:v>3</x:v>
      </x:c>
      <x:c r="E295" s="9" t="n">
        <x:f>Settings!$F$18+2</x:f>
        <x:v>2029</x:v>
      </x:c>
      <x:c r="F295" s="9" t="str">
        <x:f>IF(C295="","",IFERROR(INDEX('Facilities'!$D$9:$D$108,MATCH(C295,'Facilities'!$C$9:$C$108,0)),"Unavailable"))</x:f>
      </x:c>
      <x:c r="G295" s="21" t="str">
        <x:f>IF(C295="","",IFERROR(O195,"Unavailable"))</x:f>
      </x:c>
      <x:c r="H295" s="21" t="str">
        <x:f>IF(C295="","",IFERROR(P195,"Unavailable"))</x:f>
      </x:c>
      <x:c r="I295" s="21" t="str">
        <x:f>IF(C295="","",IFERROR(Q195,"Unavailable"))</x:f>
      </x:c>
      <x:c r="J295" s="23" t="str">
        <x:f>IF(C295="","",IFERROR(IF(OR(H295&gt;0,AND(AC295&gt;=0,AC295&lt;D295),D295&gt;INDEX('Facilities'!$J$9:$J$108,MATCH(C295,'Facilities'!$C$9:$C$108,0))),0,I295*'Scenario Paths'!H81),"Unavailable"))</x:f>
      </x:c>
      <x:c r="K295" s="23" t="str">
        <x:f>IF(C295="","",IFERROR(IF(OR(H295&gt;0,AND(AC295&gt;=0,AC295=D295)),0,IF(D295&gt;=INDEX('Facilities'!$J$9:$J$108,MATCH(C295,'Facilities'!$C$9:$C$108,0)),G295+J295,MIN(G295+J295,G295*INDEX('Facilities'!$R$9:$R$108,MATCH(C295,'Facilities'!$C$9:$C$108,0))))),"Unavailable"))</x:f>
      </x:c>
      <x:c r="L295" s="21" t="str">
        <x:f>IF(C295="","",IFERROR(IF(AND(AC295=D295,AC295&gt;0),MAX(0,G295+J295-K295),0),"Unavailable"))</x:f>
      </x:c>
      <x:c r="M295" s="23" t="str">
        <x:f>IF(C295="","",IFERROR(IF(AND(AC295&gt;=0,D295&gt;=AC295+INDEX('Facilities'!$AK$9:$AK$108,MATCH(C295,'Facilities'!$C$9:$C$108,0))),(H295+L295)*AM295,0),"Unavailable"))</x:f>
      </x:c>
      <x:c r="N295" s="23" t="str">
        <x:f>IF(C295="","",IFERROR(IF(AND(AC295&gt;=0,D295&gt;=AC295+INDEX('Facilities'!$AK$9:$AK$108,MATCH(C295,'Facilities'!$C$9:$C$108,0))),H295+L295-M295,0),"Unavailable"))</x:f>
      </x:c>
      <x:c r="O295" s="21" t="str">
        <x:f>IF(C295="","",IFERROR(MAX(0,G295+J295-K295-L295),"Unavailable"))</x:f>
      </x:c>
      <x:c r="P295" s="21" t="str">
        <x:f>IF(C295="","",IFERROR(MAX(0,H295+L295-M295-N295),"Unavailable"))</x:f>
      </x:c>
      <x:c r="Q295" s="23" t="str">
        <x:f>IF(C295="","",IFERROR(IF(OR(D295&gt;=INDEX('Facilities'!$J$9:$J$108,MATCH(C295,'Facilities'!$C$9:$C$108,0)),AND(AC295&gt;=0,AC295&lt;=D295)),0,MAX(0,I295-J295)),"Unavailable"))</x:f>
      </x:c>
      <x:c r="R295" s="30" t="str">
        <x:f>IF(C295="","",IFERROR(INDEX(Credit!$Q$209:$Q$308,MATCH(F295,Credit!$C$209:$C$308,0)),"Unavailable"))</x:f>
      </x:c>
      <x:c r="S295" s="30" t="str">
        <x:f>IF(C295="","",IFERROR(INDEX(Credit!$R$209:$R$308,MATCH(F295,Credit!$C$209:$C$308,0)),"Unavailable"))</x:f>
      </x:c>
      <x:c r="T295" s="23" t="str">
        <x:f>IF(C295="","",IFERROR(IF(P295&gt;0,3,IF(OR(INDEX('Facilities'!$AD$9:$AD$108,MATCH(C295,'Facilities'!$C$9:$C$108,0))=2,AND(R295&gt;=INDEX('Facilities'!$L$9:$L$108,MATCH(C295,'Facilities'!$C$9:$C$108,0))*Settings!$F$19,R295-INDEX('Facilities'!$L$9:$L$108,MATCH(C295,'Facilities'!$C$9:$C$108,0))&gt;=Settings!$F$20)),2,1)),"Unavailable"))</x:f>
      </x:c>
      <x:c r="U295" s="23" t="str">
        <x:f>IF(C295="","",IF(AQ295&lt;&gt;"Ready","Unavailable",IF(C295="","",O295*(1-(1-S295)/(1+INDEX('Facilities'!$K$9:$K$108,MATCH(C295,'Facilities'!$C$9:$C$108,0)))^INDEX('Facilities'!$AK$9:$AK$108,MATCH(C295,'Facilities'!$C$9:$C$108,0)))*R295/(1+INDEX('Facilities'!$K$9:$K$108,MATCH(C295,'Facilities'!$C$9:$C$108,0)))*IF(ABS(1-(1-R295)*(1-INDEX('Facilities'!$R$9:$R$108,MATCH(C295,'Facilities'!$C$9:$C$108,0)))/(1+INDEX('Facilities'!$K$9:$K$108,MATCH(C295,'Facilities'!$C$9:$C$108,0))))&lt;0.000000001,IF(T295=1,MIN(1,AJ295),AJ295),(1-((1-R295)*(1-INDEX('Facilities'!$R$9:$R$108,MATCH(C295,'Facilities'!$C$9:$C$108,0)))/(1+INDEX('Facilities'!$K$9:$K$108,MATCH(C295,'Facilities'!$C$9:$C$108,0))))^IF(T295=1,MIN(1,AJ295),AJ295))/(1-(1-R295)*(1-INDEX('Facilities'!$R$9:$R$108,MATCH(C295,'Facilities'!$C$9:$C$108,0)))/(1+INDEX('Facilities'!$K$9:$K$108,MATCH(C295,'Facilities'!$C$9:$C$108,0)))))+AL295)))</x:f>
      </x:c>
      <x:c r="V295" s="23" t="str">
        <x:f>IF(C295="","",IF(AQ295&lt;&gt;"Ready","Unavailable",IF(C295="","",Q295*INDEX('Facilities'!$I$9:$I$108,MATCH(C295,'Facilities'!$C$9:$C$108,0))*(1-(1-S295)/(1+INDEX('Facilities'!$K$9:$K$108,MATCH(C295,'Facilities'!$C$9:$C$108,0)))^INDEX('Facilities'!$AK$9:$AK$108,MATCH(C295,'Facilities'!$C$9:$C$108,0)))*R295/(1+INDEX('Facilities'!$K$9:$K$108,MATCH(C295,'Facilities'!$C$9:$C$108,0)))*IF(ABS(1-(1-R295)*(1-0)/(1+INDEX('Facilities'!$K$9:$K$108,MATCH(C295,'Facilities'!$C$9:$C$108,0))))&lt;0.000000001,IF(T295=1,MIN(1,AJ295),AJ295),(1-((1-R295)*(1-0)/(1+INDEX('Facilities'!$K$9:$K$108,MATCH(C295,'Facilities'!$C$9:$C$108,0))))^IF(T295=1,MIN(1,AJ295),AJ295))/(1-(1-R295)*(1-0)/(1+INDEX('Facilities'!$K$9:$K$108,MATCH(C295,'Facilities'!$C$9:$C$108,0))))))))</x:f>
      </x:c>
      <x:c r="W295" s="21" t="str">
        <x:f>IF(C295="","",IFERROR(U195,"Unavailable"))</x:f>
      </x:c>
      <x:c r="X295" s="21" t="str">
        <x:f>IF(C295="","",IFERROR(V195,"Unavailable"))</x:f>
      </x:c>
      <x:c r="Y295" s="21" t="str">
        <x:f>IF(C295="","",IF(AQ295&lt;&gt;"Ready","Unavailable",IF(C295="","",U295-W295+V295-X295+N295+AG295)))</x:f>
      </x:c>
      <x:c r="Z295" s="23" t="str">
        <x:f>IF(C295="","",IF(AQ295&lt;&gt;"Ready","Unavailable",IF(C295="","",(G295+O295+L295)/2*INDEX('Facilities'!$T$9:$T$108,MATCH(C295,'Facilities'!$C$9:$C$108,0))+AG295)))</x:f>
      </x:c>
      <x:c r="AA295" s="23" t="str">
        <x:f>IF(C295="","",IF(AQ295&lt;&gt;"Ready","Unavailable",IF(C295="","",O295*(1-IF(INDEX('Facilities'!$AA$9:$AA$108,MATCH(C295,'Facilities'!$C$9:$C$108,0))=0,0,MIN(1,INDEX('Facilities'!$X$9:$X$108,MATCH(C295,'Facilities'!$C$9:$C$108,0))/INDEX('Facilities'!$AA$9:$AA$108,MATCH(C295,'Facilities'!$C$9:$C$108,0)))))*AF295+P295*(1-IF(INDEX('Facilities'!$AA$9:$AA$108,MATCH(C295,'Facilities'!$C$9:$C$108,0))=0,0,MIN(1,INDEX('Facilities'!$X$9:$X$108,MATCH(C295,'Facilities'!$C$9:$C$108,0))/INDEX('Facilities'!$AA$9:$AA$108,MATCH(C295,'Facilities'!$C$9:$C$108,0)))))*INDEX('Facilities'!$AJ$9:$AJ$108,MATCH(C295,'Facilities'!$C$9:$C$108,0))+Q295*INDEX('Facilities'!$AI$9:$AI$108,MATCH(C295,'Facilities'!$C$9:$C$108,0))*AF295)))</x:f>
      </x:c>
      <x:c r="AB295" s="21" t="str">
        <x:f>IF(C295="","",O295+P295-AD295)</x:f>
      </x:c>
      <x:c r="AC295" s="23" t="str">
        <x:f>IF(C295="","",IFERROR(IF(INDEX('Facilities'!$AD$9:$AD$108,MATCH(C295,'Facilities'!$C$9:$C$108,0))=3,0,IF(INDEX('Facilities'!$AN$9:$AN$108,MATCH(C295,'Facilities'!$C$9:$C$108,0))=0,-1,INDEX('Facilities'!$AN$9:$AN$108,MATCH(C295,'Facilities'!$C$9:$C$108,0)))),"Unavailable"))</x:f>
      </x:c>
      <x:c r="AD295" s="21" t="str">
        <x:f>IF(C295="","",IFERROR(G295+H295,"Unavailable"))</x:f>
      </x:c>
      <x:c r="AE295" s="21" t="str">
        <x:f>IF(C295="","",IF(AQ295&lt;&gt;"Ready","Unavailable",IF(C295="","",O295+P295-AD295-J295+K295+M295+N295)))</x:f>
      </x:c>
      <x:c r="AF295" s="30" t="str">
        <x:f>IF(C295="","",IFERROR(INDEX('Facilities'!$S$9:$S$108,MATCH(C295,'Facilities'!$C$9:$C$108,0))*'Scenario Paths'!H75,"Unavailable"))</x:f>
      </x:c>
      <x:c r="AG295" s="23" t="str">
        <x:f>IF(C295="","",IF(AQ295&lt;&gt;"Ready","Unavailable",IF(C295="","",IF(H295&gt;0,MAX(0,H295-AK295)*((1+INDEX('Facilities'!$K$9:$K$108,MATCH(C295,'Facilities'!$C$9:$C$108,0)))^MIN(1,MAX(0,AC295+INDEX('Facilities'!$AK$9:$AK$108,MATCH(C295,'Facilities'!$C$9:$C$108,0))-D295+1))-1),0))))</x:f>
      </x:c>
      <x:c r="AH295" s="21" t="str">
        <x:f>IF(C295="","",IF(AQ295&lt;&gt;"Ready","Unavailable",IF(C295="","",O295+P295)))</x:f>
      </x:c>
      <x:c r="AI295" s="21" t="str">
        <x:f>IF(C295="","",IF(AQ295&lt;&gt;"Ready","Unavailable",IF(C295="","",Z295-Y295)))</x:f>
      </x:c>
      <x:c r="AJ295" s="23" t="str">
        <x:f>IF(C295="","",IFERROR(MAX(0,INDEX('Facilities'!$J$9:$J$108,MATCH(C295,'Facilities'!$C$9:$C$108,0))-D295),"Unavailable"))</x:f>
      </x:c>
      <x:c r="AK295" s="21" t="str">
        <x:f>IF(C295="","",IFERROR(AL195,"Unavailable"))</x:f>
      </x:c>
      <x:c r="AL295" s="23" t="str">
        <x:f>IF(C295="","",IFERROR(IF(P295&gt;0,P295*(1-AM295/(1+INDEX('Facilities'!$K$9:$K$108,MATCH(C295,'Facilities'!$C$9:$C$108,0)))^MAX(0,AC295+INDEX('Facilities'!$AK$9:$AK$108,MATCH(C295,'Facilities'!$C$9:$C$108,0))-D295)),0),"Unavailable"))</x:f>
      </x:c>
      <x:c r="AM295" s="30" t="str">
        <x:f>IF(C295="","",IFERROR(INDEX('Facilities'!$AL$9:$AL$108,MATCH(C295,'Facilities'!$C$9:$C$108,0)),"Unavailable"))</x:f>
      </x:c>
      <x:c r="AN295" s="30" t="str">
        <x:f>IF(C295="","",IFERROR(INDEX(Credit!$T$209:$T$308,MATCH(F295,Credit!$C$209:$C$308,0)),"Unavailable"))</x:f>
      </x:c>
      <x:c r="AO295" s="23" t="str">
        <x:f>IF(C295="","",IF(AQ295&lt;&gt;"Ready","Unavailable",IF(C295="","",O295+P295+Q295*INDEX('Facilities'!$I$9:$I$108,MATCH(C295,'Facilities'!$C$9:$C$108,0)))))</x:f>
      </x:c>
      <x:c r="AP295" s="21" t="str">
        <x:f>IF(C295="","",IF(AQ295&lt;&gt;"Ready","Unavailable",IF(C295="","",AH295-U295)))</x:f>
      </x:c>
      <x:c r="AQ295" s="23" t="str">
        <x:f>IFERROR(IF(C295="","",IF(AND(INDEX('Facilities'!$AF$9:$AF$108,MATCH(C295,'Facilities'!$C$9:$C$108,0))="Ready",INDEX(Credit!$U$209:$U$308,MATCH(F295,Credit!$C$209:$C$308,0))="Ready",ISNUMBER(W295)),"Ready","Review inputs")),"Review inputs")</x:f>
      </x:c>
      <x:c r="AR295" s="23" t="str">
        <x:f>IF(C295="","",IF(AQ295&lt;&gt;"Ready","Unavailable",IF(C295="","",IF(O295=0,0,(IF(AJ295&lt;=1,O295,O295*INDEX('Facilities'!$R$9:$R$108,MATCH(C295,'Facilities'!$C$9:$C$108,0)))+O295*INDEX('Facilities'!$T$9:$T$108,MATCH(C295,'Facilities'!$C$9:$C$108,0)))/12))))</x:f>
      </x:c>
    </x:row>
    <x:row r="296" ht="26" customHeight="1">
      <x:c r="A296" s="1"/>
      <x:c r="B296" s="1"/>
      <x:c r="C296" s="9" t="str">
        <x:f>IF(Facilities!C96="","",Facilities!C96)</x:f>
      </x:c>
      <x:c r="D296" s="3" t="n">
        <x:v>3</x:v>
      </x:c>
      <x:c r="E296" s="9" t="n">
        <x:f>Settings!$F$18+2</x:f>
        <x:v>2029</x:v>
      </x:c>
      <x:c r="F296" s="9" t="str">
        <x:f>IF(C296="","",IFERROR(INDEX('Facilities'!$D$9:$D$108,MATCH(C296,'Facilities'!$C$9:$C$108,0)),"Unavailable"))</x:f>
      </x:c>
      <x:c r="G296" s="21" t="str">
        <x:f>IF(C296="","",IFERROR(O196,"Unavailable"))</x:f>
      </x:c>
      <x:c r="H296" s="21" t="str">
        <x:f>IF(C296="","",IFERROR(P196,"Unavailable"))</x:f>
      </x:c>
      <x:c r="I296" s="21" t="str">
        <x:f>IF(C296="","",IFERROR(Q196,"Unavailable"))</x:f>
      </x:c>
      <x:c r="J296" s="23" t="str">
        <x:f>IF(C296="","",IFERROR(IF(OR(H296&gt;0,AND(AC296&gt;=0,AC296&lt;D296),D296&gt;INDEX('Facilities'!$J$9:$J$108,MATCH(C296,'Facilities'!$C$9:$C$108,0))),0,I296*'Scenario Paths'!H81),"Unavailable"))</x:f>
      </x:c>
      <x:c r="K296" s="23" t="str">
        <x:f>IF(C296="","",IFERROR(IF(OR(H296&gt;0,AND(AC296&gt;=0,AC296=D296)),0,IF(D296&gt;=INDEX('Facilities'!$J$9:$J$108,MATCH(C296,'Facilities'!$C$9:$C$108,0)),G296+J296,MIN(G296+J296,G296*INDEX('Facilities'!$R$9:$R$108,MATCH(C296,'Facilities'!$C$9:$C$108,0))))),"Unavailable"))</x:f>
      </x:c>
      <x:c r="L296" s="21" t="str">
        <x:f>IF(C296="","",IFERROR(IF(AND(AC296=D296,AC296&gt;0),MAX(0,G296+J296-K296),0),"Unavailable"))</x:f>
      </x:c>
      <x:c r="M296" s="23" t="str">
        <x:f>IF(C296="","",IFERROR(IF(AND(AC296&gt;=0,D296&gt;=AC296+INDEX('Facilities'!$AK$9:$AK$108,MATCH(C296,'Facilities'!$C$9:$C$108,0))),(H296+L296)*AM296,0),"Unavailable"))</x:f>
      </x:c>
      <x:c r="N296" s="23" t="str">
        <x:f>IF(C296="","",IFERROR(IF(AND(AC296&gt;=0,D296&gt;=AC296+INDEX('Facilities'!$AK$9:$AK$108,MATCH(C296,'Facilities'!$C$9:$C$108,0))),H296+L296-M296,0),"Unavailable"))</x:f>
      </x:c>
      <x:c r="O296" s="21" t="str">
        <x:f>IF(C296="","",IFERROR(MAX(0,G296+J296-K296-L296),"Unavailable"))</x:f>
      </x:c>
      <x:c r="P296" s="21" t="str">
        <x:f>IF(C296="","",IFERROR(MAX(0,H296+L296-M296-N296),"Unavailable"))</x:f>
      </x:c>
      <x:c r="Q296" s="23" t="str">
        <x:f>IF(C296="","",IFERROR(IF(OR(D296&gt;=INDEX('Facilities'!$J$9:$J$108,MATCH(C296,'Facilities'!$C$9:$C$108,0)),AND(AC296&gt;=0,AC296&lt;=D296)),0,MAX(0,I296-J296)),"Unavailable"))</x:f>
      </x:c>
      <x:c r="R296" s="30" t="str">
        <x:f>IF(C296="","",IFERROR(INDEX(Credit!$Q$209:$Q$308,MATCH(F296,Credit!$C$209:$C$308,0)),"Unavailable"))</x:f>
      </x:c>
      <x:c r="S296" s="30" t="str">
        <x:f>IF(C296="","",IFERROR(INDEX(Credit!$R$209:$R$308,MATCH(F296,Credit!$C$209:$C$308,0)),"Unavailable"))</x:f>
      </x:c>
      <x:c r="T296" s="23" t="str">
        <x:f>IF(C296="","",IFERROR(IF(P296&gt;0,3,IF(OR(INDEX('Facilities'!$AD$9:$AD$108,MATCH(C296,'Facilities'!$C$9:$C$108,0))=2,AND(R296&gt;=INDEX('Facilities'!$L$9:$L$108,MATCH(C296,'Facilities'!$C$9:$C$108,0))*Settings!$F$19,R296-INDEX('Facilities'!$L$9:$L$108,MATCH(C296,'Facilities'!$C$9:$C$108,0))&gt;=Settings!$F$20)),2,1)),"Unavailable"))</x:f>
      </x:c>
      <x:c r="U296" s="23" t="str">
        <x:f>IF(C296="","",IF(AQ296&lt;&gt;"Ready","Unavailable",IF(C296="","",O296*(1-(1-S296)/(1+INDEX('Facilities'!$K$9:$K$108,MATCH(C296,'Facilities'!$C$9:$C$108,0)))^INDEX('Facilities'!$AK$9:$AK$108,MATCH(C296,'Facilities'!$C$9:$C$108,0)))*R296/(1+INDEX('Facilities'!$K$9:$K$108,MATCH(C296,'Facilities'!$C$9:$C$108,0)))*IF(ABS(1-(1-R296)*(1-INDEX('Facilities'!$R$9:$R$108,MATCH(C296,'Facilities'!$C$9:$C$108,0)))/(1+INDEX('Facilities'!$K$9:$K$108,MATCH(C296,'Facilities'!$C$9:$C$108,0))))&lt;0.000000001,IF(T296=1,MIN(1,AJ296),AJ296),(1-((1-R296)*(1-INDEX('Facilities'!$R$9:$R$108,MATCH(C296,'Facilities'!$C$9:$C$108,0)))/(1+INDEX('Facilities'!$K$9:$K$108,MATCH(C296,'Facilities'!$C$9:$C$108,0))))^IF(T296=1,MIN(1,AJ296),AJ296))/(1-(1-R296)*(1-INDEX('Facilities'!$R$9:$R$108,MATCH(C296,'Facilities'!$C$9:$C$108,0)))/(1+INDEX('Facilities'!$K$9:$K$108,MATCH(C296,'Facilities'!$C$9:$C$108,0)))))+AL296)))</x:f>
      </x:c>
      <x:c r="V296" s="23" t="str">
        <x:f>IF(C296="","",IF(AQ296&lt;&gt;"Ready","Unavailable",IF(C296="","",Q296*INDEX('Facilities'!$I$9:$I$108,MATCH(C296,'Facilities'!$C$9:$C$108,0))*(1-(1-S296)/(1+INDEX('Facilities'!$K$9:$K$108,MATCH(C296,'Facilities'!$C$9:$C$108,0)))^INDEX('Facilities'!$AK$9:$AK$108,MATCH(C296,'Facilities'!$C$9:$C$108,0)))*R296/(1+INDEX('Facilities'!$K$9:$K$108,MATCH(C296,'Facilities'!$C$9:$C$108,0)))*IF(ABS(1-(1-R296)*(1-0)/(1+INDEX('Facilities'!$K$9:$K$108,MATCH(C296,'Facilities'!$C$9:$C$108,0))))&lt;0.000000001,IF(T296=1,MIN(1,AJ296),AJ296),(1-((1-R296)*(1-0)/(1+INDEX('Facilities'!$K$9:$K$108,MATCH(C296,'Facilities'!$C$9:$C$108,0))))^IF(T296=1,MIN(1,AJ296),AJ296))/(1-(1-R296)*(1-0)/(1+INDEX('Facilities'!$K$9:$K$108,MATCH(C296,'Facilities'!$C$9:$C$108,0))))))))</x:f>
      </x:c>
      <x:c r="W296" s="21" t="str">
        <x:f>IF(C296="","",IFERROR(U196,"Unavailable"))</x:f>
      </x:c>
      <x:c r="X296" s="21" t="str">
        <x:f>IF(C296="","",IFERROR(V196,"Unavailable"))</x:f>
      </x:c>
      <x:c r="Y296" s="21" t="str">
        <x:f>IF(C296="","",IF(AQ296&lt;&gt;"Ready","Unavailable",IF(C296="","",U296-W296+V296-X296+N296+AG296)))</x:f>
      </x:c>
      <x:c r="Z296" s="23" t="str">
        <x:f>IF(C296="","",IF(AQ296&lt;&gt;"Ready","Unavailable",IF(C296="","",(G296+O296+L296)/2*INDEX('Facilities'!$T$9:$T$108,MATCH(C296,'Facilities'!$C$9:$C$108,0))+AG296)))</x:f>
      </x:c>
      <x:c r="AA296" s="23" t="str">
        <x:f>IF(C296="","",IF(AQ296&lt;&gt;"Ready","Unavailable",IF(C296="","",O296*(1-IF(INDEX('Facilities'!$AA$9:$AA$108,MATCH(C296,'Facilities'!$C$9:$C$108,0))=0,0,MIN(1,INDEX('Facilities'!$X$9:$X$108,MATCH(C296,'Facilities'!$C$9:$C$108,0))/INDEX('Facilities'!$AA$9:$AA$108,MATCH(C296,'Facilities'!$C$9:$C$108,0)))))*AF296+P296*(1-IF(INDEX('Facilities'!$AA$9:$AA$108,MATCH(C296,'Facilities'!$C$9:$C$108,0))=0,0,MIN(1,INDEX('Facilities'!$X$9:$X$108,MATCH(C296,'Facilities'!$C$9:$C$108,0))/INDEX('Facilities'!$AA$9:$AA$108,MATCH(C296,'Facilities'!$C$9:$C$108,0)))))*INDEX('Facilities'!$AJ$9:$AJ$108,MATCH(C296,'Facilities'!$C$9:$C$108,0))+Q296*INDEX('Facilities'!$AI$9:$AI$108,MATCH(C296,'Facilities'!$C$9:$C$108,0))*AF296)))</x:f>
      </x:c>
      <x:c r="AB296" s="21" t="str">
        <x:f>IF(C296="","",O296+P296-AD296)</x:f>
      </x:c>
      <x:c r="AC296" s="23" t="str">
        <x:f>IF(C296="","",IFERROR(IF(INDEX('Facilities'!$AD$9:$AD$108,MATCH(C296,'Facilities'!$C$9:$C$108,0))=3,0,IF(INDEX('Facilities'!$AN$9:$AN$108,MATCH(C296,'Facilities'!$C$9:$C$108,0))=0,-1,INDEX('Facilities'!$AN$9:$AN$108,MATCH(C296,'Facilities'!$C$9:$C$108,0)))),"Unavailable"))</x:f>
      </x:c>
      <x:c r="AD296" s="21" t="str">
        <x:f>IF(C296="","",IFERROR(G296+H296,"Unavailable"))</x:f>
      </x:c>
      <x:c r="AE296" s="21" t="str">
        <x:f>IF(C296="","",IF(AQ296&lt;&gt;"Ready","Unavailable",IF(C296="","",O296+P296-AD296-J296+K296+M296+N296)))</x:f>
      </x:c>
      <x:c r="AF296" s="30" t="str">
        <x:f>IF(C296="","",IFERROR(INDEX('Facilities'!$S$9:$S$108,MATCH(C296,'Facilities'!$C$9:$C$108,0))*'Scenario Paths'!H75,"Unavailable"))</x:f>
      </x:c>
      <x:c r="AG296" s="23" t="str">
        <x:f>IF(C296="","",IF(AQ296&lt;&gt;"Ready","Unavailable",IF(C296="","",IF(H296&gt;0,MAX(0,H296-AK296)*((1+INDEX('Facilities'!$K$9:$K$108,MATCH(C296,'Facilities'!$C$9:$C$108,0)))^MIN(1,MAX(0,AC296+INDEX('Facilities'!$AK$9:$AK$108,MATCH(C296,'Facilities'!$C$9:$C$108,0))-D296+1))-1),0))))</x:f>
      </x:c>
      <x:c r="AH296" s="21" t="str">
        <x:f>IF(C296="","",IF(AQ296&lt;&gt;"Ready","Unavailable",IF(C296="","",O296+P296)))</x:f>
      </x:c>
      <x:c r="AI296" s="21" t="str">
        <x:f>IF(C296="","",IF(AQ296&lt;&gt;"Ready","Unavailable",IF(C296="","",Z296-Y296)))</x:f>
      </x:c>
      <x:c r="AJ296" s="23" t="str">
        <x:f>IF(C296="","",IFERROR(MAX(0,INDEX('Facilities'!$J$9:$J$108,MATCH(C296,'Facilities'!$C$9:$C$108,0))-D296),"Unavailable"))</x:f>
      </x:c>
      <x:c r="AK296" s="21" t="str">
        <x:f>IF(C296="","",IFERROR(AL196,"Unavailable"))</x:f>
      </x:c>
      <x:c r="AL296" s="23" t="str">
        <x:f>IF(C296="","",IFERROR(IF(P296&gt;0,P296*(1-AM296/(1+INDEX('Facilities'!$K$9:$K$108,MATCH(C296,'Facilities'!$C$9:$C$108,0)))^MAX(0,AC296+INDEX('Facilities'!$AK$9:$AK$108,MATCH(C296,'Facilities'!$C$9:$C$108,0))-D296)),0),"Unavailable"))</x:f>
      </x:c>
      <x:c r="AM296" s="30" t="str">
        <x:f>IF(C296="","",IFERROR(INDEX('Facilities'!$AL$9:$AL$108,MATCH(C296,'Facilities'!$C$9:$C$108,0)),"Unavailable"))</x:f>
      </x:c>
      <x:c r="AN296" s="30" t="str">
        <x:f>IF(C296="","",IFERROR(INDEX(Credit!$T$209:$T$308,MATCH(F296,Credit!$C$209:$C$308,0)),"Unavailable"))</x:f>
      </x:c>
      <x:c r="AO296" s="23" t="str">
        <x:f>IF(C296="","",IF(AQ296&lt;&gt;"Ready","Unavailable",IF(C296="","",O296+P296+Q296*INDEX('Facilities'!$I$9:$I$108,MATCH(C296,'Facilities'!$C$9:$C$108,0)))))</x:f>
      </x:c>
      <x:c r="AP296" s="21" t="str">
        <x:f>IF(C296="","",IF(AQ296&lt;&gt;"Ready","Unavailable",IF(C296="","",AH296-U296)))</x:f>
      </x:c>
      <x:c r="AQ296" s="23" t="str">
        <x:f>IFERROR(IF(C296="","",IF(AND(INDEX('Facilities'!$AF$9:$AF$108,MATCH(C296,'Facilities'!$C$9:$C$108,0))="Ready",INDEX(Credit!$U$209:$U$308,MATCH(F296,Credit!$C$209:$C$308,0))="Ready",ISNUMBER(W296)),"Ready","Review inputs")),"Review inputs")</x:f>
      </x:c>
      <x:c r="AR296" s="23" t="str">
        <x:f>IF(C296="","",IF(AQ296&lt;&gt;"Ready","Unavailable",IF(C296="","",IF(O296=0,0,(IF(AJ296&lt;=1,O296,O296*INDEX('Facilities'!$R$9:$R$108,MATCH(C296,'Facilities'!$C$9:$C$108,0)))+O296*INDEX('Facilities'!$T$9:$T$108,MATCH(C296,'Facilities'!$C$9:$C$108,0)))/12))))</x:f>
      </x:c>
    </x:row>
    <x:row r="297" ht="26" customHeight="1">
      <x:c r="A297" s="1"/>
      <x:c r="B297" s="1"/>
      <x:c r="C297" s="9" t="str">
        <x:f>IF(Facilities!C97="","",Facilities!C97)</x:f>
      </x:c>
      <x:c r="D297" s="3" t="n">
        <x:v>3</x:v>
      </x:c>
      <x:c r="E297" s="9" t="n">
        <x:f>Settings!$F$18+2</x:f>
        <x:v>2029</x:v>
      </x:c>
      <x:c r="F297" s="9" t="str">
        <x:f>IF(C297="","",IFERROR(INDEX('Facilities'!$D$9:$D$108,MATCH(C297,'Facilities'!$C$9:$C$108,0)),"Unavailable"))</x:f>
      </x:c>
      <x:c r="G297" s="21" t="str">
        <x:f>IF(C297="","",IFERROR(O197,"Unavailable"))</x:f>
      </x:c>
      <x:c r="H297" s="21" t="str">
        <x:f>IF(C297="","",IFERROR(P197,"Unavailable"))</x:f>
      </x:c>
      <x:c r="I297" s="21" t="str">
        <x:f>IF(C297="","",IFERROR(Q197,"Unavailable"))</x:f>
      </x:c>
      <x:c r="J297" s="23" t="str">
        <x:f>IF(C297="","",IFERROR(IF(OR(H297&gt;0,AND(AC297&gt;=0,AC297&lt;D297),D297&gt;INDEX('Facilities'!$J$9:$J$108,MATCH(C297,'Facilities'!$C$9:$C$108,0))),0,I297*'Scenario Paths'!H81),"Unavailable"))</x:f>
      </x:c>
      <x:c r="K297" s="23" t="str">
        <x:f>IF(C297="","",IFERROR(IF(OR(H297&gt;0,AND(AC297&gt;=0,AC297=D297)),0,IF(D297&gt;=INDEX('Facilities'!$J$9:$J$108,MATCH(C297,'Facilities'!$C$9:$C$108,0)),G297+J297,MIN(G297+J297,G297*INDEX('Facilities'!$R$9:$R$108,MATCH(C297,'Facilities'!$C$9:$C$108,0))))),"Unavailable"))</x:f>
      </x:c>
      <x:c r="L297" s="21" t="str">
        <x:f>IF(C297="","",IFERROR(IF(AND(AC297=D297,AC297&gt;0),MAX(0,G297+J297-K297),0),"Unavailable"))</x:f>
      </x:c>
      <x:c r="M297" s="23" t="str">
        <x:f>IF(C297="","",IFERROR(IF(AND(AC297&gt;=0,D297&gt;=AC297+INDEX('Facilities'!$AK$9:$AK$108,MATCH(C297,'Facilities'!$C$9:$C$108,0))),(H297+L297)*AM297,0),"Unavailable"))</x:f>
      </x:c>
      <x:c r="N297" s="23" t="str">
        <x:f>IF(C297="","",IFERROR(IF(AND(AC297&gt;=0,D297&gt;=AC297+INDEX('Facilities'!$AK$9:$AK$108,MATCH(C297,'Facilities'!$C$9:$C$108,0))),H297+L297-M297,0),"Unavailable"))</x:f>
      </x:c>
      <x:c r="O297" s="21" t="str">
        <x:f>IF(C297="","",IFERROR(MAX(0,G297+J297-K297-L297),"Unavailable"))</x:f>
      </x:c>
      <x:c r="P297" s="21" t="str">
        <x:f>IF(C297="","",IFERROR(MAX(0,H297+L297-M297-N297),"Unavailable"))</x:f>
      </x:c>
      <x:c r="Q297" s="23" t="str">
        <x:f>IF(C297="","",IFERROR(IF(OR(D297&gt;=INDEX('Facilities'!$J$9:$J$108,MATCH(C297,'Facilities'!$C$9:$C$108,0)),AND(AC297&gt;=0,AC297&lt;=D297)),0,MAX(0,I297-J297)),"Unavailable"))</x:f>
      </x:c>
      <x:c r="R297" s="30" t="str">
        <x:f>IF(C297="","",IFERROR(INDEX(Credit!$Q$209:$Q$308,MATCH(F297,Credit!$C$209:$C$308,0)),"Unavailable"))</x:f>
      </x:c>
      <x:c r="S297" s="30" t="str">
        <x:f>IF(C297="","",IFERROR(INDEX(Credit!$R$209:$R$308,MATCH(F297,Credit!$C$209:$C$308,0)),"Unavailable"))</x:f>
      </x:c>
      <x:c r="T297" s="23" t="str">
        <x:f>IF(C297="","",IFERROR(IF(P297&gt;0,3,IF(OR(INDEX('Facilities'!$AD$9:$AD$108,MATCH(C297,'Facilities'!$C$9:$C$108,0))=2,AND(R297&gt;=INDEX('Facilities'!$L$9:$L$108,MATCH(C297,'Facilities'!$C$9:$C$108,0))*Settings!$F$19,R297-INDEX('Facilities'!$L$9:$L$108,MATCH(C297,'Facilities'!$C$9:$C$108,0))&gt;=Settings!$F$20)),2,1)),"Unavailable"))</x:f>
      </x:c>
      <x:c r="U297" s="23" t="str">
        <x:f>IF(C297="","",IF(AQ297&lt;&gt;"Ready","Unavailable",IF(C297="","",O297*(1-(1-S297)/(1+INDEX('Facilities'!$K$9:$K$108,MATCH(C297,'Facilities'!$C$9:$C$108,0)))^INDEX('Facilities'!$AK$9:$AK$108,MATCH(C297,'Facilities'!$C$9:$C$108,0)))*R297/(1+INDEX('Facilities'!$K$9:$K$108,MATCH(C297,'Facilities'!$C$9:$C$108,0)))*IF(ABS(1-(1-R297)*(1-INDEX('Facilities'!$R$9:$R$108,MATCH(C297,'Facilities'!$C$9:$C$108,0)))/(1+INDEX('Facilities'!$K$9:$K$108,MATCH(C297,'Facilities'!$C$9:$C$108,0))))&lt;0.000000001,IF(T297=1,MIN(1,AJ297),AJ297),(1-((1-R297)*(1-INDEX('Facilities'!$R$9:$R$108,MATCH(C297,'Facilities'!$C$9:$C$108,0)))/(1+INDEX('Facilities'!$K$9:$K$108,MATCH(C297,'Facilities'!$C$9:$C$108,0))))^IF(T297=1,MIN(1,AJ297),AJ297))/(1-(1-R297)*(1-INDEX('Facilities'!$R$9:$R$108,MATCH(C297,'Facilities'!$C$9:$C$108,0)))/(1+INDEX('Facilities'!$K$9:$K$108,MATCH(C297,'Facilities'!$C$9:$C$108,0)))))+AL297)))</x:f>
      </x:c>
      <x:c r="V297" s="23" t="str">
        <x:f>IF(C297="","",IF(AQ297&lt;&gt;"Ready","Unavailable",IF(C297="","",Q297*INDEX('Facilities'!$I$9:$I$108,MATCH(C297,'Facilities'!$C$9:$C$108,0))*(1-(1-S297)/(1+INDEX('Facilities'!$K$9:$K$108,MATCH(C297,'Facilities'!$C$9:$C$108,0)))^INDEX('Facilities'!$AK$9:$AK$108,MATCH(C297,'Facilities'!$C$9:$C$108,0)))*R297/(1+INDEX('Facilities'!$K$9:$K$108,MATCH(C297,'Facilities'!$C$9:$C$108,0)))*IF(ABS(1-(1-R297)*(1-0)/(1+INDEX('Facilities'!$K$9:$K$108,MATCH(C297,'Facilities'!$C$9:$C$108,0))))&lt;0.000000001,IF(T297=1,MIN(1,AJ297),AJ297),(1-((1-R297)*(1-0)/(1+INDEX('Facilities'!$K$9:$K$108,MATCH(C297,'Facilities'!$C$9:$C$108,0))))^IF(T297=1,MIN(1,AJ297),AJ297))/(1-(1-R297)*(1-0)/(1+INDEX('Facilities'!$K$9:$K$108,MATCH(C297,'Facilities'!$C$9:$C$108,0))))))))</x:f>
      </x:c>
      <x:c r="W297" s="21" t="str">
        <x:f>IF(C297="","",IFERROR(U197,"Unavailable"))</x:f>
      </x:c>
      <x:c r="X297" s="21" t="str">
        <x:f>IF(C297="","",IFERROR(V197,"Unavailable"))</x:f>
      </x:c>
      <x:c r="Y297" s="21" t="str">
        <x:f>IF(C297="","",IF(AQ297&lt;&gt;"Ready","Unavailable",IF(C297="","",U297-W297+V297-X297+N297+AG297)))</x:f>
      </x:c>
      <x:c r="Z297" s="23" t="str">
        <x:f>IF(C297="","",IF(AQ297&lt;&gt;"Ready","Unavailable",IF(C297="","",(G297+O297+L297)/2*INDEX('Facilities'!$T$9:$T$108,MATCH(C297,'Facilities'!$C$9:$C$108,0))+AG297)))</x:f>
      </x:c>
      <x:c r="AA297" s="23" t="str">
        <x:f>IF(C297="","",IF(AQ297&lt;&gt;"Ready","Unavailable",IF(C297="","",O297*(1-IF(INDEX('Facilities'!$AA$9:$AA$108,MATCH(C297,'Facilities'!$C$9:$C$108,0))=0,0,MIN(1,INDEX('Facilities'!$X$9:$X$108,MATCH(C297,'Facilities'!$C$9:$C$108,0))/INDEX('Facilities'!$AA$9:$AA$108,MATCH(C297,'Facilities'!$C$9:$C$108,0)))))*AF297+P297*(1-IF(INDEX('Facilities'!$AA$9:$AA$108,MATCH(C297,'Facilities'!$C$9:$C$108,0))=0,0,MIN(1,INDEX('Facilities'!$X$9:$X$108,MATCH(C297,'Facilities'!$C$9:$C$108,0))/INDEX('Facilities'!$AA$9:$AA$108,MATCH(C297,'Facilities'!$C$9:$C$108,0)))))*INDEX('Facilities'!$AJ$9:$AJ$108,MATCH(C297,'Facilities'!$C$9:$C$108,0))+Q297*INDEX('Facilities'!$AI$9:$AI$108,MATCH(C297,'Facilities'!$C$9:$C$108,0))*AF297)))</x:f>
      </x:c>
      <x:c r="AB297" s="21" t="str">
        <x:f>IF(C297="","",O297+P297-AD297)</x:f>
      </x:c>
      <x:c r="AC297" s="23" t="str">
        <x:f>IF(C297="","",IFERROR(IF(INDEX('Facilities'!$AD$9:$AD$108,MATCH(C297,'Facilities'!$C$9:$C$108,0))=3,0,IF(INDEX('Facilities'!$AN$9:$AN$108,MATCH(C297,'Facilities'!$C$9:$C$108,0))=0,-1,INDEX('Facilities'!$AN$9:$AN$108,MATCH(C297,'Facilities'!$C$9:$C$108,0)))),"Unavailable"))</x:f>
      </x:c>
      <x:c r="AD297" s="21" t="str">
        <x:f>IF(C297="","",IFERROR(G297+H297,"Unavailable"))</x:f>
      </x:c>
      <x:c r="AE297" s="21" t="str">
        <x:f>IF(C297="","",IF(AQ297&lt;&gt;"Ready","Unavailable",IF(C297="","",O297+P297-AD297-J297+K297+M297+N297)))</x:f>
      </x:c>
      <x:c r="AF297" s="30" t="str">
        <x:f>IF(C297="","",IFERROR(INDEX('Facilities'!$S$9:$S$108,MATCH(C297,'Facilities'!$C$9:$C$108,0))*'Scenario Paths'!H75,"Unavailable"))</x:f>
      </x:c>
      <x:c r="AG297" s="23" t="str">
        <x:f>IF(C297="","",IF(AQ297&lt;&gt;"Ready","Unavailable",IF(C297="","",IF(H297&gt;0,MAX(0,H297-AK297)*((1+INDEX('Facilities'!$K$9:$K$108,MATCH(C297,'Facilities'!$C$9:$C$108,0)))^MIN(1,MAX(0,AC297+INDEX('Facilities'!$AK$9:$AK$108,MATCH(C297,'Facilities'!$C$9:$C$108,0))-D297+1))-1),0))))</x:f>
      </x:c>
      <x:c r="AH297" s="21" t="str">
        <x:f>IF(C297="","",IF(AQ297&lt;&gt;"Ready","Unavailable",IF(C297="","",O297+P297)))</x:f>
      </x:c>
      <x:c r="AI297" s="21" t="str">
        <x:f>IF(C297="","",IF(AQ297&lt;&gt;"Ready","Unavailable",IF(C297="","",Z297-Y297)))</x:f>
      </x:c>
      <x:c r="AJ297" s="23" t="str">
        <x:f>IF(C297="","",IFERROR(MAX(0,INDEX('Facilities'!$J$9:$J$108,MATCH(C297,'Facilities'!$C$9:$C$108,0))-D297),"Unavailable"))</x:f>
      </x:c>
      <x:c r="AK297" s="21" t="str">
        <x:f>IF(C297="","",IFERROR(AL197,"Unavailable"))</x:f>
      </x:c>
      <x:c r="AL297" s="23" t="str">
        <x:f>IF(C297="","",IFERROR(IF(P297&gt;0,P297*(1-AM297/(1+INDEX('Facilities'!$K$9:$K$108,MATCH(C297,'Facilities'!$C$9:$C$108,0)))^MAX(0,AC297+INDEX('Facilities'!$AK$9:$AK$108,MATCH(C297,'Facilities'!$C$9:$C$108,0))-D297)),0),"Unavailable"))</x:f>
      </x:c>
      <x:c r="AM297" s="30" t="str">
        <x:f>IF(C297="","",IFERROR(INDEX('Facilities'!$AL$9:$AL$108,MATCH(C297,'Facilities'!$C$9:$C$108,0)),"Unavailable"))</x:f>
      </x:c>
      <x:c r="AN297" s="30" t="str">
        <x:f>IF(C297="","",IFERROR(INDEX(Credit!$T$209:$T$308,MATCH(F297,Credit!$C$209:$C$308,0)),"Unavailable"))</x:f>
      </x:c>
      <x:c r="AO297" s="23" t="str">
        <x:f>IF(C297="","",IF(AQ297&lt;&gt;"Ready","Unavailable",IF(C297="","",O297+P297+Q297*INDEX('Facilities'!$I$9:$I$108,MATCH(C297,'Facilities'!$C$9:$C$108,0)))))</x:f>
      </x:c>
      <x:c r="AP297" s="21" t="str">
        <x:f>IF(C297="","",IF(AQ297&lt;&gt;"Ready","Unavailable",IF(C297="","",AH297-U297)))</x:f>
      </x:c>
      <x:c r="AQ297" s="23" t="str">
        <x:f>IFERROR(IF(C297="","",IF(AND(INDEX('Facilities'!$AF$9:$AF$108,MATCH(C297,'Facilities'!$C$9:$C$108,0))="Ready",INDEX(Credit!$U$209:$U$308,MATCH(F297,Credit!$C$209:$C$308,0))="Ready",ISNUMBER(W297)),"Ready","Review inputs")),"Review inputs")</x:f>
      </x:c>
      <x:c r="AR297" s="23" t="str">
        <x:f>IF(C297="","",IF(AQ297&lt;&gt;"Ready","Unavailable",IF(C297="","",IF(O297=0,0,(IF(AJ297&lt;=1,O297,O297*INDEX('Facilities'!$R$9:$R$108,MATCH(C297,'Facilities'!$C$9:$C$108,0)))+O297*INDEX('Facilities'!$T$9:$T$108,MATCH(C297,'Facilities'!$C$9:$C$108,0)))/12))))</x:f>
      </x:c>
    </x:row>
    <x:row r="298" ht="26" customHeight="1">
      <x:c r="A298" s="1"/>
      <x:c r="B298" s="1"/>
      <x:c r="C298" s="9" t="str">
        <x:f>IF(Facilities!C98="","",Facilities!C98)</x:f>
      </x:c>
      <x:c r="D298" s="3" t="n">
        <x:v>3</x:v>
      </x:c>
      <x:c r="E298" s="9" t="n">
        <x:f>Settings!$F$18+2</x:f>
        <x:v>2029</x:v>
      </x:c>
      <x:c r="F298" s="9" t="str">
        <x:f>IF(C298="","",IFERROR(INDEX('Facilities'!$D$9:$D$108,MATCH(C298,'Facilities'!$C$9:$C$108,0)),"Unavailable"))</x:f>
      </x:c>
      <x:c r="G298" s="21" t="str">
        <x:f>IF(C298="","",IFERROR(O198,"Unavailable"))</x:f>
      </x:c>
      <x:c r="H298" s="21" t="str">
        <x:f>IF(C298="","",IFERROR(P198,"Unavailable"))</x:f>
      </x:c>
      <x:c r="I298" s="21" t="str">
        <x:f>IF(C298="","",IFERROR(Q198,"Unavailable"))</x:f>
      </x:c>
      <x:c r="J298" s="23" t="str">
        <x:f>IF(C298="","",IFERROR(IF(OR(H298&gt;0,AND(AC298&gt;=0,AC298&lt;D298),D298&gt;INDEX('Facilities'!$J$9:$J$108,MATCH(C298,'Facilities'!$C$9:$C$108,0))),0,I298*'Scenario Paths'!H81),"Unavailable"))</x:f>
      </x:c>
      <x:c r="K298" s="23" t="str">
        <x:f>IF(C298="","",IFERROR(IF(OR(H298&gt;0,AND(AC298&gt;=0,AC298=D298)),0,IF(D298&gt;=INDEX('Facilities'!$J$9:$J$108,MATCH(C298,'Facilities'!$C$9:$C$108,0)),G298+J298,MIN(G298+J298,G298*INDEX('Facilities'!$R$9:$R$108,MATCH(C298,'Facilities'!$C$9:$C$108,0))))),"Unavailable"))</x:f>
      </x:c>
      <x:c r="L298" s="21" t="str">
        <x:f>IF(C298="","",IFERROR(IF(AND(AC298=D298,AC298&gt;0),MAX(0,G298+J298-K298),0),"Unavailable"))</x:f>
      </x:c>
      <x:c r="M298" s="23" t="str">
        <x:f>IF(C298="","",IFERROR(IF(AND(AC298&gt;=0,D298&gt;=AC298+INDEX('Facilities'!$AK$9:$AK$108,MATCH(C298,'Facilities'!$C$9:$C$108,0))),(H298+L298)*AM298,0),"Unavailable"))</x:f>
      </x:c>
      <x:c r="N298" s="23" t="str">
        <x:f>IF(C298="","",IFERROR(IF(AND(AC298&gt;=0,D298&gt;=AC298+INDEX('Facilities'!$AK$9:$AK$108,MATCH(C298,'Facilities'!$C$9:$C$108,0))),H298+L298-M298,0),"Unavailable"))</x:f>
      </x:c>
      <x:c r="O298" s="21" t="str">
        <x:f>IF(C298="","",IFERROR(MAX(0,G298+J298-K298-L298),"Unavailable"))</x:f>
      </x:c>
      <x:c r="P298" s="21" t="str">
        <x:f>IF(C298="","",IFERROR(MAX(0,H298+L298-M298-N298),"Unavailable"))</x:f>
      </x:c>
      <x:c r="Q298" s="23" t="str">
        <x:f>IF(C298="","",IFERROR(IF(OR(D298&gt;=INDEX('Facilities'!$J$9:$J$108,MATCH(C298,'Facilities'!$C$9:$C$108,0)),AND(AC298&gt;=0,AC298&lt;=D298)),0,MAX(0,I298-J298)),"Unavailable"))</x:f>
      </x:c>
      <x:c r="R298" s="30" t="str">
        <x:f>IF(C298="","",IFERROR(INDEX(Credit!$Q$209:$Q$308,MATCH(F298,Credit!$C$209:$C$308,0)),"Unavailable"))</x:f>
      </x:c>
      <x:c r="S298" s="30" t="str">
        <x:f>IF(C298="","",IFERROR(INDEX(Credit!$R$209:$R$308,MATCH(F298,Credit!$C$209:$C$308,0)),"Unavailable"))</x:f>
      </x:c>
      <x:c r="T298" s="23" t="str">
        <x:f>IF(C298="","",IFERROR(IF(P298&gt;0,3,IF(OR(INDEX('Facilities'!$AD$9:$AD$108,MATCH(C298,'Facilities'!$C$9:$C$108,0))=2,AND(R298&gt;=INDEX('Facilities'!$L$9:$L$108,MATCH(C298,'Facilities'!$C$9:$C$108,0))*Settings!$F$19,R298-INDEX('Facilities'!$L$9:$L$108,MATCH(C298,'Facilities'!$C$9:$C$108,0))&gt;=Settings!$F$20)),2,1)),"Unavailable"))</x:f>
      </x:c>
      <x:c r="U298" s="23" t="str">
        <x:f>IF(C298="","",IF(AQ298&lt;&gt;"Ready","Unavailable",IF(C298="","",O298*(1-(1-S298)/(1+INDEX('Facilities'!$K$9:$K$108,MATCH(C298,'Facilities'!$C$9:$C$108,0)))^INDEX('Facilities'!$AK$9:$AK$108,MATCH(C298,'Facilities'!$C$9:$C$108,0)))*R298/(1+INDEX('Facilities'!$K$9:$K$108,MATCH(C298,'Facilities'!$C$9:$C$108,0)))*IF(ABS(1-(1-R298)*(1-INDEX('Facilities'!$R$9:$R$108,MATCH(C298,'Facilities'!$C$9:$C$108,0)))/(1+INDEX('Facilities'!$K$9:$K$108,MATCH(C298,'Facilities'!$C$9:$C$108,0))))&lt;0.000000001,IF(T298=1,MIN(1,AJ298),AJ298),(1-((1-R298)*(1-INDEX('Facilities'!$R$9:$R$108,MATCH(C298,'Facilities'!$C$9:$C$108,0)))/(1+INDEX('Facilities'!$K$9:$K$108,MATCH(C298,'Facilities'!$C$9:$C$108,0))))^IF(T298=1,MIN(1,AJ298),AJ298))/(1-(1-R298)*(1-INDEX('Facilities'!$R$9:$R$108,MATCH(C298,'Facilities'!$C$9:$C$108,0)))/(1+INDEX('Facilities'!$K$9:$K$108,MATCH(C298,'Facilities'!$C$9:$C$108,0)))))+AL298)))</x:f>
      </x:c>
      <x:c r="V298" s="23" t="str">
        <x:f>IF(C298="","",IF(AQ298&lt;&gt;"Ready","Unavailable",IF(C298="","",Q298*INDEX('Facilities'!$I$9:$I$108,MATCH(C298,'Facilities'!$C$9:$C$108,0))*(1-(1-S298)/(1+INDEX('Facilities'!$K$9:$K$108,MATCH(C298,'Facilities'!$C$9:$C$108,0)))^INDEX('Facilities'!$AK$9:$AK$108,MATCH(C298,'Facilities'!$C$9:$C$108,0)))*R298/(1+INDEX('Facilities'!$K$9:$K$108,MATCH(C298,'Facilities'!$C$9:$C$108,0)))*IF(ABS(1-(1-R298)*(1-0)/(1+INDEX('Facilities'!$K$9:$K$108,MATCH(C298,'Facilities'!$C$9:$C$108,0))))&lt;0.000000001,IF(T298=1,MIN(1,AJ298),AJ298),(1-((1-R298)*(1-0)/(1+INDEX('Facilities'!$K$9:$K$108,MATCH(C298,'Facilities'!$C$9:$C$108,0))))^IF(T298=1,MIN(1,AJ298),AJ298))/(1-(1-R298)*(1-0)/(1+INDEX('Facilities'!$K$9:$K$108,MATCH(C298,'Facilities'!$C$9:$C$108,0))))))))</x:f>
      </x:c>
      <x:c r="W298" s="21" t="str">
        <x:f>IF(C298="","",IFERROR(U198,"Unavailable"))</x:f>
      </x:c>
      <x:c r="X298" s="21" t="str">
        <x:f>IF(C298="","",IFERROR(V198,"Unavailable"))</x:f>
      </x:c>
      <x:c r="Y298" s="21" t="str">
        <x:f>IF(C298="","",IF(AQ298&lt;&gt;"Ready","Unavailable",IF(C298="","",U298-W298+V298-X298+N298+AG298)))</x:f>
      </x:c>
      <x:c r="Z298" s="23" t="str">
        <x:f>IF(C298="","",IF(AQ298&lt;&gt;"Ready","Unavailable",IF(C298="","",(G298+O298+L298)/2*INDEX('Facilities'!$T$9:$T$108,MATCH(C298,'Facilities'!$C$9:$C$108,0))+AG298)))</x:f>
      </x:c>
      <x:c r="AA298" s="23" t="str">
        <x:f>IF(C298="","",IF(AQ298&lt;&gt;"Ready","Unavailable",IF(C298="","",O298*(1-IF(INDEX('Facilities'!$AA$9:$AA$108,MATCH(C298,'Facilities'!$C$9:$C$108,0))=0,0,MIN(1,INDEX('Facilities'!$X$9:$X$108,MATCH(C298,'Facilities'!$C$9:$C$108,0))/INDEX('Facilities'!$AA$9:$AA$108,MATCH(C298,'Facilities'!$C$9:$C$108,0)))))*AF298+P298*(1-IF(INDEX('Facilities'!$AA$9:$AA$108,MATCH(C298,'Facilities'!$C$9:$C$108,0))=0,0,MIN(1,INDEX('Facilities'!$X$9:$X$108,MATCH(C298,'Facilities'!$C$9:$C$108,0))/INDEX('Facilities'!$AA$9:$AA$108,MATCH(C298,'Facilities'!$C$9:$C$108,0)))))*INDEX('Facilities'!$AJ$9:$AJ$108,MATCH(C298,'Facilities'!$C$9:$C$108,0))+Q298*INDEX('Facilities'!$AI$9:$AI$108,MATCH(C298,'Facilities'!$C$9:$C$108,0))*AF298)))</x:f>
      </x:c>
      <x:c r="AB298" s="21" t="str">
        <x:f>IF(C298="","",O298+P298-AD298)</x:f>
      </x:c>
      <x:c r="AC298" s="23" t="str">
        <x:f>IF(C298="","",IFERROR(IF(INDEX('Facilities'!$AD$9:$AD$108,MATCH(C298,'Facilities'!$C$9:$C$108,0))=3,0,IF(INDEX('Facilities'!$AN$9:$AN$108,MATCH(C298,'Facilities'!$C$9:$C$108,0))=0,-1,INDEX('Facilities'!$AN$9:$AN$108,MATCH(C298,'Facilities'!$C$9:$C$108,0)))),"Unavailable"))</x:f>
      </x:c>
      <x:c r="AD298" s="21" t="str">
        <x:f>IF(C298="","",IFERROR(G298+H298,"Unavailable"))</x:f>
      </x:c>
      <x:c r="AE298" s="21" t="str">
        <x:f>IF(C298="","",IF(AQ298&lt;&gt;"Ready","Unavailable",IF(C298="","",O298+P298-AD298-J298+K298+M298+N298)))</x:f>
      </x:c>
      <x:c r="AF298" s="30" t="str">
        <x:f>IF(C298="","",IFERROR(INDEX('Facilities'!$S$9:$S$108,MATCH(C298,'Facilities'!$C$9:$C$108,0))*'Scenario Paths'!H75,"Unavailable"))</x:f>
      </x:c>
      <x:c r="AG298" s="23" t="str">
        <x:f>IF(C298="","",IF(AQ298&lt;&gt;"Ready","Unavailable",IF(C298="","",IF(H298&gt;0,MAX(0,H298-AK298)*((1+INDEX('Facilities'!$K$9:$K$108,MATCH(C298,'Facilities'!$C$9:$C$108,0)))^MIN(1,MAX(0,AC298+INDEX('Facilities'!$AK$9:$AK$108,MATCH(C298,'Facilities'!$C$9:$C$108,0))-D298+1))-1),0))))</x:f>
      </x:c>
      <x:c r="AH298" s="21" t="str">
        <x:f>IF(C298="","",IF(AQ298&lt;&gt;"Ready","Unavailable",IF(C298="","",O298+P298)))</x:f>
      </x:c>
      <x:c r="AI298" s="21" t="str">
        <x:f>IF(C298="","",IF(AQ298&lt;&gt;"Ready","Unavailable",IF(C298="","",Z298-Y298)))</x:f>
      </x:c>
      <x:c r="AJ298" s="23" t="str">
        <x:f>IF(C298="","",IFERROR(MAX(0,INDEX('Facilities'!$J$9:$J$108,MATCH(C298,'Facilities'!$C$9:$C$108,0))-D298),"Unavailable"))</x:f>
      </x:c>
      <x:c r="AK298" s="21" t="str">
        <x:f>IF(C298="","",IFERROR(AL198,"Unavailable"))</x:f>
      </x:c>
      <x:c r="AL298" s="23" t="str">
        <x:f>IF(C298="","",IFERROR(IF(P298&gt;0,P298*(1-AM298/(1+INDEX('Facilities'!$K$9:$K$108,MATCH(C298,'Facilities'!$C$9:$C$108,0)))^MAX(0,AC298+INDEX('Facilities'!$AK$9:$AK$108,MATCH(C298,'Facilities'!$C$9:$C$108,0))-D298)),0),"Unavailable"))</x:f>
      </x:c>
      <x:c r="AM298" s="30" t="str">
        <x:f>IF(C298="","",IFERROR(INDEX('Facilities'!$AL$9:$AL$108,MATCH(C298,'Facilities'!$C$9:$C$108,0)),"Unavailable"))</x:f>
      </x:c>
      <x:c r="AN298" s="30" t="str">
        <x:f>IF(C298="","",IFERROR(INDEX(Credit!$T$209:$T$308,MATCH(F298,Credit!$C$209:$C$308,0)),"Unavailable"))</x:f>
      </x:c>
      <x:c r="AO298" s="23" t="str">
        <x:f>IF(C298="","",IF(AQ298&lt;&gt;"Ready","Unavailable",IF(C298="","",O298+P298+Q298*INDEX('Facilities'!$I$9:$I$108,MATCH(C298,'Facilities'!$C$9:$C$108,0)))))</x:f>
      </x:c>
      <x:c r="AP298" s="21" t="str">
        <x:f>IF(C298="","",IF(AQ298&lt;&gt;"Ready","Unavailable",IF(C298="","",AH298-U298)))</x:f>
      </x:c>
      <x:c r="AQ298" s="23" t="str">
        <x:f>IFERROR(IF(C298="","",IF(AND(INDEX('Facilities'!$AF$9:$AF$108,MATCH(C298,'Facilities'!$C$9:$C$108,0))="Ready",INDEX(Credit!$U$209:$U$308,MATCH(F298,Credit!$C$209:$C$308,0))="Ready",ISNUMBER(W298)),"Ready","Review inputs")),"Review inputs")</x:f>
      </x:c>
      <x:c r="AR298" s="23" t="str">
        <x:f>IF(C298="","",IF(AQ298&lt;&gt;"Ready","Unavailable",IF(C298="","",IF(O298=0,0,(IF(AJ298&lt;=1,O298,O298*INDEX('Facilities'!$R$9:$R$108,MATCH(C298,'Facilities'!$C$9:$C$108,0)))+O298*INDEX('Facilities'!$T$9:$T$108,MATCH(C298,'Facilities'!$C$9:$C$108,0)))/12))))</x:f>
      </x:c>
    </x:row>
    <x:row r="299" ht="26" customHeight="1">
      <x:c r="A299" s="1"/>
      <x:c r="B299" s="1"/>
      <x:c r="C299" s="9" t="str">
        <x:f>IF(Facilities!C99="","",Facilities!C99)</x:f>
      </x:c>
      <x:c r="D299" s="3" t="n">
        <x:v>3</x:v>
      </x:c>
      <x:c r="E299" s="9" t="n">
        <x:f>Settings!$F$18+2</x:f>
        <x:v>2029</x:v>
      </x:c>
      <x:c r="F299" s="9" t="str">
        <x:f>IF(C299="","",IFERROR(INDEX('Facilities'!$D$9:$D$108,MATCH(C299,'Facilities'!$C$9:$C$108,0)),"Unavailable"))</x:f>
      </x:c>
      <x:c r="G299" s="21" t="str">
        <x:f>IF(C299="","",IFERROR(O199,"Unavailable"))</x:f>
      </x:c>
      <x:c r="H299" s="21" t="str">
        <x:f>IF(C299="","",IFERROR(P199,"Unavailable"))</x:f>
      </x:c>
      <x:c r="I299" s="21" t="str">
        <x:f>IF(C299="","",IFERROR(Q199,"Unavailable"))</x:f>
      </x:c>
      <x:c r="J299" s="23" t="str">
        <x:f>IF(C299="","",IFERROR(IF(OR(H299&gt;0,AND(AC299&gt;=0,AC299&lt;D299),D299&gt;INDEX('Facilities'!$J$9:$J$108,MATCH(C299,'Facilities'!$C$9:$C$108,0))),0,I299*'Scenario Paths'!H81),"Unavailable"))</x:f>
      </x:c>
      <x:c r="K299" s="23" t="str">
        <x:f>IF(C299="","",IFERROR(IF(OR(H299&gt;0,AND(AC299&gt;=0,AC299=D299)),0,IF(D299&gt;=INDEX('Facilities'!$J$9:$J$108,MATCH(C299,'Facilities'!$C$9:$C$108,0)),G299+J299,MIN(G299+J299,G299*INDEX('Facilities'!$R$9:$R$108,MATCH(C299,'Facilities'!$C$9:$C$108,0))))),"Unavailable"))</x:f>
      </x:c>
      <x:c r="L299" s="21" t="str">
        <x:f>IF(C299="","",IFERROR(IF(AND(AC299=D299,AC299&gt;0),MAX(0,G299+J299-K299),0),"Unavailable"))</x:f>
      </x:c>
      <x:c r="M299" s="23" t="str">
        <x:f>IF(C299="","",IFERROR(IF(AND(AC299&gt;=0,D299&gt;=AC299+INDEX('Facilities'!$AK$9:$AK$108,MATCH(C299,'Facilities'!$C$9:$C$108,0))),(H299+L299)*AM299,0),"Unavailable"))</x:f>
      </x:c>
      <x:c r="N299" s="23" t="str">
        <x:f>IF(C299="","",IFERROR(IF(AND(AC299&gt;=0,D299&gt;=AC299+INDEX('Facilities'!$AK$9:$AK$108,MATCH(C299,'Facilities'!$C$9:$C$108,0))),H299+L299-M299,0),"Unavailable"))</x:f>
      </x:c>
      <x:c r="O299" s="21" t="str">
        <x:f>IF(C299="","",IFERROR(MAX(0,G299+J299-K299-L299),"Unavailable"))</x:f>
      </x:c>
      <x:c r="P299" s="21" t="str">
        <x:f>IF(C299="","",IFERROR(MAX(0,H299+L299-M299-N299),"Unavailable"))</x:f>
      </x:c>
      <x:c r="Q299" s="23" t="str">
        <x:f>IF(C299="","",IFERROR(IF(OR(D299&gt;=INDEX('Facilities'!$J$9:$J$108,MATCH(C299,'Facilities'!$C$9:$C$108,0)),AND(AC299&gt;=0,AC299&lt;=D299)),0,MAX(0,I299-J299)),"Unavailable"))</x:f>
      </x:c>
      <x:c r="R299" s="30" t="str">
        <x:f>IF(C299="","",IFERROR(INDEX(Credit!$Q$209:$Q$308,MATCH(F299,Credit!$C$209:$C$308,0)),"Unavailable"))</x:f>
      </x:c>
      <x:c r="S299" s="30" t="str">
        <x:f>IF(C299="","",IFERROR(INDEX(Credit!$R$209:$R$308,MATCH(F299,Credit!$C$209:$C$308,0)),"Unavailable"))</x:f>
      </x:c>
      <x:c r="T299" s="23" t="str">
        <x:f>IF(C299="","",IFERROR(IF(P299&gt;0,3,IF(OR(INDEX('Facilities'!$AD$9:$AD$108,MATCH(C299,'Facilities'!$C$9:$C$108,0))=2,AND(R299&gt;=INDEX('Facilities'!$L$9:$L$108,MATCH(C299,'Facilities'!$C$9:$C$108,0))*Settings!$F$19,R299-INDEX('Facilities'!$L$9:$L$108,MATCH(C299,'Facilities'!$C$9:$C$108,0))&gt;=Settings!$F$20)),2,1)),"Unavailable"))</x:f>
      </x:c>
      <x:c r="U299" s="23" t="str">
        <x:f>IF(C299="","",IF(AQ299&lt;&gt;"Ready","Unavailable",IF(C299="","",O299*(1-(1-S299)/(1+INDEX('Facilities'!$K$9:$K$108,MATCH(C299,'Facilities'!$C$9:$C$108,0)))^INDEX('Facilities'!$AK$9:$AK$108,MATCH(C299,'Facilities'!$C$9:$C$108,0)))*R299/(1+INDEX('Facilities'!$K$9:$K$108,MATCH(C299,'Facilities'!$C$9:$C$108,0)))*IF(ABS(1-(1-R299)*(1-INDEX('Facilities'!$R$9:$R$108,MATCH(C299,'Facilities'!$C$9:$C$108,0)))/(1+INDEX('Facilities'!$K$9:$K$108,MATCH(C299,'Facilities'!$C$9:$C$108,0))))&lt;0.000000001,IF(T299=1,MIN(1,AJ299),AJ299),(1-((1-R299)*(1-INDEX('Facilities'!$R$9:$R$108,MATCH(C299,'Facilities'!$C$9:$C$108,0)))/(1+INDEX('Facilities'!$K$9:$K$108,MATCH(C299,'Facilities'!$C$9:$C$108,0))))^IF(T299=1,MIN(1,AJ299),AJ299))/(1-(1-R299)*(1-INDEX('Facilities'!$R$9:$R$108,MATCH(C299,'Facilities'!$C$9:$C$108,0)))/(1+INDEX('Facilities'!$K$9:$K$108,MATCH(C299,'Facilities'!$C$9:$C$108,0)))))+AL299)))</x:f>
      </x:c>
      <x:c r="V299" s="23" t="str">
        <x:f>IF(C299="","",IF(AQ299&lt;&gt;"Ready","Unavailable",IF(C299="","",Q299*INDEX('Facilities'!$I$9:$I$108,MATCH(C299,'Facilities'!$C$9:$C$108,0))*(1-(1-S299)/(1+INDEX('Facilities'!$K$9:$K$108,MATCH(C299,'Facilities'!$C$9:$C$108,0)))^INDEX('Facilities'!$AK$9:$AK$108,MATCH(C299,'Facilities'!$C$9:$C$108,0)))*R299/(1+INDEX('Facilities'!$K$9:$K$108,MATCH(C299,'Facilities'!$C$9:$C$108,0)))*IF(ABS(1-(1-R299)*(1-0)/(1+INDEX('Facilities'!$K$9:$K$108,MATCH(C299,'Facilities'!$C$9:$C$108,0))))&lt;0.000000001,IF(T299=1,MIN(1,AJ299),AJ299),(1-((1-R299)*(1-0)/(1+INDEX('Facilities'!$K$9:$K$108,MATCH(C299,'Facilities'!$C$9:$C$108,0))))^IF(T299=1,MIN(1,AJ299),AJ299))/(1-(1-R299)*(1-0)/(1+INDEX('Facilities'!$K$9:$K$108,MATCH(C299,'Facilities'!$C$9:$C$108,0))))))))</x:f>
      </x:c>
      <x:c r="W299" s="21" t="str">
        <x:f>IF(C299="","",IFERROR(U199,"Unavailable"))</x:f>
      </x:c>
      <x:c r="X299" s="21" t="str">
        <x:f>IF(C299="","",IFERROR(V199,"Unavailable"))</x:f>
      </x:c>
      <x:c r="Y299" s="21" t="str">
        <x:f>IF(C299="","",IF(AQ299&lt;&gt;"Ready","Unavailable",IF(C299="","",U299-W299+V299-X299+N299+AG299)))</x:f>
      </x:c>
      <x:c r="Z299" s="23" t="str">
        <x:f>IF(C299="","",IF(AQ299&lt;&gt;"Ready","Unavailable",IF(C299="","",(G299+O299+L299)/2*INDEX('Facilities'!$T$9:$T$108,MATCH(C299,'Facilities'!$C$9:$C$108,0))+AG299)))</x:f>
      </x:c>
      <x:c r="AA299" s="23" t="str">
        <x:f>IF(C299="","",IF(AQ299&lt;&gt;"Ready","Unavailable",IF(C299="","",O299*(1-IF(INDEX('Facilities'!$AA$9:$AA$108,MATCH(C299,'Facilities'!$C$9:$C$108,0))=0,0,MIN(1,INDEX('Facilities'!$X$9:$X$108,MATCH(C299,'Facilities'!$C$9:$C$108,0))/INDEX('Facilities'!$AA$9:$AA$108,MATCH(C299,'Facilities'!$C$9:$C$108,0)))))*AF299+P299*(1-IF(INDEX('Facilities'!$AA$9:$AA$108,MATCH(C299,'Facilities'!$C$9:$C$108,0))=0,0,MIN(1,INDEX('Facilities'!$X$9:$X$108,MATCH(C299,'Facilities'!$C$9:$C$108,0))/INDEX('Facilities'!$AA$9:$AA$108,MATCH(C299,'Facilities'!$C$9:$C$108,0)))))*INDEX('Facilities'!$AJ$9:$AJ$108,MATCH(C299,'Facilities'!$C$9:$C$108,0))+Q299*INDEX('Facilities'!$AI$9:$AI$108,MATCH(C299,'Facilities'!$C$9:$C$108,0))*AF299)))</x:f>
      </x:c>
      <x:c r="AB299" s="21" t="str">
        <x:f>IF(C299="","",O299+P299-AD299)</x:f>
      </x:c>
      <x:c r="AC299" s="23" t="str">
        <x:f>IF(C299="","",IFERROR(IF(INDEX('Facilities'!$AD$9:$AD$108,MATCH(C299,'Facilities'!$C$9:$C$108,0))=3,0,IF(INDEX('Facilities'!$AN$9:$AN$108,MATCH(C299,'Facilities'!$C$9:$C$108,0))=0,-1,INDEX('Facilities'!$AN$9:$AN$108,MATCH(C299,'Facilities'!$C$9:$C$108,0)))),"Unavailable"))</x:f>
      </x:c>
      <x:c r="AD299" s="21" t="str">
        <x:f>IF(C299="","",IFERROR(G299+H299,"Unavailable"))</x:f>
      </x:c>
      <x:c r="AE299" s="21" t="str">
        <x:f>IF(C299="","",IF(AQ299&lt;&gt;"Ready","Unavailable",IF(C299="","",O299+P299-AD299-J299+K299+M299+N299)))</x:f>
      </x:c>
      <x:c r="AF299" s="30" t="str">
        <x:f>IF(C299="","",IFERROR(INDEX('Facilities'!$S$9:$S$108,MATCH(C299,'Facilities'!$C$9:$C$108,0))*'Scenario Paths'!H75,"Unavailable"))</x:f>
      </x:c>
      <x:c r="AG299" s="23" t="str">
        <x:f>IF(C299="","",IF(AQ299&lt;&gt;"Ready","Unavailable",IF(C299="","",IF(H299&gt;0,MAX(0,H299-AK299)*((1+INDEX('Facilities'!$K$9:$K$108,MATCH(C299,'Facilities'!$C$9:$C$108,0)))^MIN(1,MAX(0,AC299+INDEX('Facilities'!$AK$9:$AK$108,MATCH(C299,'Facilities'!$C$9:$C$108,0))-D299+1))-1),0))))</x:f>
      </x:c>
      <x:c r="AH299" s="21" t="str">
        <x:f>IF(C299="","",IF(AQ299&lt;&gt;"Ready","Unavailable",IF(C299="","",O299+P299)))</x:f>
      </x:c>
      <x:c r="AI299" s="21" t="str">
        <x:f>IF(C299="","",IF(AQ299&lt;&gt;"Ready","Unavailable",IF(C299="","",Z299-Y299)))</x:f>
      </x:c>
      <x:c r="AJ299" s="23" t="str">
        <x:f>IF(C299="","",IFERROR(MAX(0,INDEX('Facilities'!$J$9:$J$108,MATCH(C299,'Facilities'!$C$9:$C$108,0))-D299),"Unavailable"))</x:f>
      </x:c>
      <x:c r="AK299" s="21" t="str">
        <x:f>IF(C299="","",IFERROR(AL199,"Unavailable"))</x:f>
      </x:c>
      <x:c r="AL299" s="23" t="str">
        <x:f>IF(C299="","",IFERROR(IF(P299&gt;0,P299*(1-AM299/(1+INDEX('Facilities'!$K$9:$K$108,MATCH(C299,'Facilities'!$C$9:$C$108,0)))^MAX(0,AC299+INDEX('Facilities'!$AK$9:$AK$108,MATCH(C299,'Facilities'!$C$9:$C$108,0))-D299)),0),"Unavailable"))</x:f>
      </x:c>
      <x:c r="AM299" s="30" t="str">
        <x:f>IF(C299="","",IFERROR(INDEX('Facilities'!$AL$9:$AL$108,MATCH(C299,'Facilities'!$C$9:$C$108,0)),"Unavailable"))</x:f>
      </x:c>
      <x:c r="AN299" s="30" t="str">
        <x:f>IF(C299="","",IFERROR(INDEX(Credit!$T$209:$T$308,MATCH(F299,Credit!$C$209:$C$308,0)),"Unavailable"))</x:f>
      </x:c>
      <x:c r="AO299" s="23" t="str">
        <x:f>IF(C299="","",IF(AQ299&lt;&gt;"Ready","Unavailable",IF(C299="","",O299+P299+Q299*INDEX('Facilities'!$I$9:$I$108,MATCH(C299,'Facilities'!$C$9:$C$108,0)))))</x:f>
      </x:c>
      <x:c r="AP299" s="21" t="str">
        <x:f>IF(C299="","",IF(AQ299&lt;&gt;"Ready","Unavailable",IF(C299="","",AH299-U299)))</x:f>
      </x:c>
      <x:c r="AQ299" s="23" t="str">
        <x:f>IFERROR(IF(C299="","",IF(AND(INDEX('Facilities'!$AF$9:$AF$108,MATCH(C299,'Facilities'!$C$9:$C$108,0))="Ready",INDEX(Credit!$U$209:$U$308,MATCH(F299,Credit!$C$209:$C$308,0))="Ready",ISNUMBER(W299)),"Ready","Review inputs")),"Review inputs")</x:f>
      </x:c>
      <x:c r="AR299" s="23" t="str">
        <x:f>IF(C299="","",IF(AQ299&lt;&gt;"Ready","Unavailable",IF(C299="","",IF(O299=0,0,(IF(AJ299&lt;=1,O299,O299*INDEX('Facilities'!$R$9:$R$108,MATCH(C299,'Facilities'!$C$9:$C$108,0)))+O299*INDEX('Facilities'!$T$9:$T$108,MATCH(C299,'Facilities'!$C$9:$C$108,0)))/12))))</x:f>
      </x:c>
    </x:row>
    <x:row r="300" ht="26" customHeight="1">
      <x:c r="A300" s="1"/>
      <x:c r="B300" s="1"/>
      <x:c r="C300" s="9" t="str">
        <x:f>IF(Facilities!C100="","",Facilities!C100)</x:f>
      </x:c>
      <x:c r="D300" s="3" t="n">
        <x:v>3</x:v>
      </x:c>
      <x:c r="E300" s="9" t="n">
        <x:f>Settings!$F$18+2</x:f>
        <x:v>2029</x:v>
      </x:c>
      <x:c r="F300" s="9" t="str">
        <x:f>IF(C300="","",IFERROR(INDEX('Facilities'!$D$9:$D$108,MATCH(C300,'Facilities'!$C$9:$C$108,0)),"Unavailable"))</x:f>
      </x:c>
      <x:c r="G300" s="21" t="str">
        <x:f>IF(C300="","",IFERROR(O200,"Unavailable"))</x:f>
      </x:c>
      <x:c r="H300" s="21" t="str">
        <x:f>IF(C300="","",IFERROR(P200,"Unavailable"))</x:f>
      </x:c>
      <x:c r="I300" s="21" t="str">
        <x:f>IF(C300="","",IFERROR(Q200,"Unavailable"))</x:f>
      </x:c>
      <x:c r="J300" s="23" t="str">
        <x:f>IF(C300="","",IFERROR(IF(OR(H300&gt;0,AND(AC300&gt;=0,AC300&lt;D300),D300&gt;INDEX('Facilities'!$J$9:$J$108,MATCH(C300,'Facilities'!$C$9:$C$108,0))),0,I300*'Scenario Paths'!H81),"Unavailable"))</x:f>
      </x:c>
      <x:c r="K300" s="23" t="str">
        <x:f>IF(C300="","",IFERROR(IF(OR(H300&gt;0,AND(AC300&gt;=0,AC300=D300)),0,IF(D300&gt;=INDEX('Facilities'!$J$9:$J$108,MATCH(C300,'Facilities'!$C$9:$C$108,0)),G300+J300,MIN(G300+J300,G300*INDEX('Facilities'!$R$9:$R$108,MATCH(C300,'Facilities'!$C$9:$C$108,0))))),"Unavailable"))</x:f>
      </x:c>
      <x:c r="L300" s="21" t="str">
        <x:f>IF(C300="","",IFERROR(IF(AND(AC300=D300,AC300&gt;0),MAX(0,G300+J300-K300),0),"Unavailable"))</x:f>
      </x:c>
      <x:c r="M300" s="23" t="str">
        <x:f>IF(C300="","",IFERROR(IF(AND(AC300&gt;=0,D300&gt;=AC300+INDEX('Facilities'!$AK$9:$AK$108,MATCH(C300,'Facilities'!$C$9:$C$108,0))),(H300+L300)*AM300,0),"Unavailable"))</x:f>
      </x:c>
      <x:c r="N300" s="23" t="str">
        <x:f>IF(C300="","",IFERROR(IF(AND(AC300&gt;=0,D300&gt;=AC300+INDEX('Facilities'!$AK$9:$AK$108,MATCH(C300,'Facilities'!$C$9:$C$108,0))),H300+L300-M300,0),"Unavailable"))</x:f>
      </x:c>
      <x:c r="O300" s="21" t="str">
        <x:f>IF(C300="","",IFERROR(MAX(0,G300+J300-K300-L300),"Unavailable"))</x:f>
      </x:c>
      <x:c r="P300" s="21" t="str">
        <x:f>IF(C300="","",IFERROR(MAX(0,H300+L300-M300-N300),"Unavailable"))</x:f>
      </x:c>
      <x:c r="Q300" s="23" t="str">
        <x:f>IF(C300="","",IFERROR(IF(OR(D300&gt;=INDEX('Facilities'!$J$9:$J$108,MATCH(C300,'Facilities'!$C$9:$C$108,0)),AND(AC300&gt;=0,AC300&lt;=D300)),0,MAX(0,I300-J300)),"Unavailable"))</x:f>
      </x:c>
      <x:c r="R300" s="30" t="str">
        <x:f>IF(C300="","",IFERROR(INDEX(Credit!$Q$209:$Q$308,MATCH(F300,Credit!$C$209:$C$308,0)),"Unavailable"))</x:f>
      </x:c>
      <x:c r="S300" s="30" t="str">
        <x:f>IF(C300="","",IFERROR(INDEX(Credit!$R$209:$R$308,MATCH(F300,Credit!$C$209:$C$308,0)),"Unavailable"))</x:f>
      </x:c>
      <x:c r="T300" s="23" t="str">
        <x:f>IF(C300="","",IFERROR(IF(P300&gt;0,3,IF(OR(INDEX('Facilities'!$AD$9:$AD$108,MATCH(C300,'Facilities'!$C$9:$C$108,0))=2,AND(R300&gt;=INDEX('Facilities'!$L$9:$L$108,MATCH(C300,'Facilities'!$C$9:$C$108,0))*Settings!$F$19,R300-INDEX('Facilities'!$L$9:$L$108,MATCH(C300,'Facilities'!$C$9:$C$108,0))&gt;=Settings!$F$20)),2,1)),"Unavailable"))</x:f>
      </x:c>
      <x:c r="U300" s="23" t="str">
        <x:f>IF(C300="","",IF(AQ300&lt;&gt;"Ready","Unavailable",IF(C300="","",O300*(1-(1-S300)/(1+INDEX('Facilities'!$K$9:$K$108,MATCH(C300,'Facilities'!$C$9:$C$108,0)))^INDEX('Facilities'!$AK$9:$AK$108,MATCH(C300,'Facilities'!$C$9:$C$108,0)))*R300/(1+INDEX('Facilities'!$K$9:$K$108,MATCH(C300,'Facilities'!$C$9:$C$108,0)))*IF(ABS(1-(1-R300)*(1-INDEX('Facilities'!$R$9:$R$108,MATCH(C300,'Facilities'!$C$9:$C$108,0)))/(1+INDEX('Facilities'!$K$9:$K$108,MATCH(C300,'Facilities'!$C$9:$C$108,0))))&lt;0.000000001,IF(T300=1,MIN(1,AJ300),AJ300),(1-((1-R300)*(1-INDEX('Facilities'!$R$9:$R$108,MATCH(C300,'Facilities'!$C$9:$C$108,0)))/(1+INDEX('Facilities'!$K$9:$K$108,MATCH(C300,'Facilities'!$C$9:$C$108,0))))^IF(T300=1,MIN(1,AJ300),AJ300))/(1-(1-R300)*(1-INDEX('Facilities'!$R$9:$R$108,MATCH(C300,'Facilities'!$C$9:$C$108,0)))/(1+INDEX('Facilities'!$K$9:$K$108,MATCH(C300,'Facilities'!$C$9:$C$108,0)))))+AL300)))</x:f>
      </x:c>
      <x:c r="V300" s="23" t="str">
        <x:f>IF(C300="","",IF(AQ300&lt;&gt;"Ready","Unavailable",IF(C300="","",Q300*INDEX('Facilities'!$I$9:$I$108,MATCH(C300,'Facilities'!$C$9:$C$108,0))*(1-(1-S300)/(1+INDEX('Facilities'!$K$9:$K$108,MATCH(C300,'Facilities'!$C$9:$C$108,0)))^INDEX('Facilities'!$AK$9:$AK$108,MATCH(C300,'Facilities'!$C$9:$C$108,0)))*R300/(1+INDEX('Facilities'!$K$9:$K$108,MATCH(C300,'Facilities'!$C$9:$C$108,0)))*IF(ABS(1-(1-R300)*(1-0)/(1+INDEX('Facilities'!$K$9:$K$108,MATCH(C300,'Facilities'!$C$9:$C$108,0))))&lt;0.000000001,IF(T300=1,MIN(1,AJ300),AJ300),(1-((1-R300)*(1-0)/(1+INDEX('Facilities'!$K$9:$K$108,MATCH(C300,'Facilities'!$C$9:$C$108,0))))^IF(T300=1,MIN(1,AJ300),AJ300))/(1-(1-R300)*(1-0)/(1+INDEX('Facilities'!$K$9:$K$108,MATCH(C300,'Facilities'!$C$9:$C$108,0))))))))</x:f>
      </x:c>
      <x:c r="W300" s="21" t="str">
        <x:f>IF(C300="","",IFERROR(U200,"Unavailable"))</x:f>
      </x:c>
      <x:c r="X300" s="21" t="str">
        <x:f>IF(C300="","",IFERROR(V200,"Unavailable"))</x:f>
      </x:c>
      <x:c r="Y300" s="21" t="str">
        <x:f>IF(C300="","",IF(AQ300&lt;&gt;"Ready","Unavailable",IF(C300="","",U300-W300+V300-X300+N300+AG300)))</x:f>
      </x:c>
      <x:c r="Z300" s="23" t="str">
        <x:f>IF(C300="","",IF(AQ300&lt;&gt;"Ready","Unavailable",IF(C300="","",(G300+O300+L300)/2*INDEX('Facilities'!$T$9:$T$108,MATCH(C300,'Facilities'!$C$9:$C$108,0))+AG300)))</x:f>
      </x:c>
      <x:c r="AA300" s="23" t="str">
        <x:f>IF(C300="","",IF(AQ300&lt;&gt;"Ready","Unavailable",IF(C300="","",O300*(1-IF(INDEX('Facilities'!$AA$9:$AA$108,MATCH(C300,'Facilities'!$C$9:$C$108,0))=0,0,MIN(1,INDEX('Facilities'!$X$9:$X$108,MATCH(C300,'Facilities'!$C$9:$C$108,0))/INDEX('Facilities'!$AA$9:$AA$108,MATCH(C300,'Facilities'!$C$9:$C$108,0)))))*AF300+P300*(1-IF(INDEX('Facilities'!$AA$9:$AA$108,MATCH(C300,'Facilities'!$C$9:$C$108,0))=0,0,MIN(1,INDEX('Facilities'!$X$9:$X$108,MATCH(C300,'Facilities'!$C$9:$C$108,0))/INDEX('Facilities'!$AA$9:$AA$108,MATCH(C300,'Facilities'!$C$9:$C$108,0)))))*INDEX('Facilities'!$AJ$9:$AJ$108,MATCH(C300,'Facilities'!$C$9:$C$108,0))+Q300*INDEX('Facilities'!$AI$9:$AI$108,MATCH(C300,'Facilities'!$C$9:$C$108,0))*AF300)))</x:f>
      </x:c>
      <x:c r="AB300" s="21" t="str">
        <x:f>IF(C300="","",O300+P300-AD300)</x:f>
      </x:c>
      <x:c r="AC300" s="23" t="str">
        <x:f>IF(C300="","",IFERROR(IF(INDEX('Facilities'!$AD$9:$AD$108,MATCH(C300,'Facilities'!$C$9:$C$108,0))=3,0,IF(INDEX('Facilities'!$AN$9:$AN$108,MATCH(C300,'Facilities'!$C$9:$C$108,0))=0,-1,INDEX('Facilities'!$AN$9:$AN$108,MATCH(C300,'Facilities'!$C$9:$C$108,0)))),"Unavailable"))</x:f>
      </x:c>
      <x:c r="AD300" s="21" t="str">
        <x:f>IF(C300="","",IFERROR(G300+H300,"Unavailable"))</x:f>
      </x:c>
      <x:c r="AE300" s="21" t="str">
        <x:f>IF(C300="","",IF(AQ300&lt;&gt;"Ready","Unavailable",IF(C300="","",O300+P300-AD300-J300+K300+M300+N300)))</x:f>
      </x:c>
      <x:c r="AF300" s="30" t="str">
        <x:f>IF(C300="","",IFERROR(INDEX('Facilities'!$S$9:$S$108,MATCH(C300,'Facilities'!$C$9:$C$108,0))*'Scenario Paths'!H75,"Unavailable"))</x:f>
      </x:c>
      <x:c r="AG300" s="23" t="str">
        <x:f>IF(C300="","",IF(AQ300&lt;&gt;"Ready","Unavailable",IF(C300="","",IF(H300&gt;0,MAX(0,H300-AK300)*((1+INDEX('Facilities'!$K$9:$K$108,MATCH(C300,'Facilities'!$C$9:$C$108,0)))^MIN(1,MAX(0,AC300+INDEX('Facilities'!$AK$9:$AK$108,MATCH(C300,'Facilities'!$C$9:$C$108,0))-D300+1))-1),0))))</x:f>
      </x:c>
      <x:c r="AH300" s="21" t="str">
        <x:f>IF(C300="","",IF(AQ300&lt;&gt;"Ready","Unavailable",IF(C300="","",O300+P300)))</x:f>
      </x:c>
      <x:c r="AI300" s="21" t="str">
        <x:f>IF(C300="","",IF(AQ300&lt;&gt;"Ready","Unavailable",IF(C300="","",Z300-Y300)))</x:f>
      </x:c>
      <x:c r="AJ300" s="23" t="str">
        <x:f>IF(C300="","",IFERROR(MAX(0,INDEX('Facilities'!$J$9:$J$108,MATCH(C300,'Facilities'!$C$9:$C$108,0))-D300),"Unavailable"))</x:f>
      </x:c>
      <x:c r="AK300" s="21" t="str">
        <x:f>IF(C300="","",IFERROR(AL200,"Unavailable"))</x:f>
      </x:c>
      <x:c r="AL300" s="23" t="str">
        <x:f>IF(C300="","",IFERROR(IF(P300&gt;0,P300*(1-AM300/(1+INDEX('Facilities'!$K$9:$K$108,MATCH(C300,'Facilities'!$C$9:$C$108,0)))^MAX(0,AC300+INDEX('Facilities'!$AK$9:$AK$108,MATCH(C300,'Facilities'!$C$9:$C$108,0))-D300)),0),"Unavailable"))</x:f>
      </x:c>
      <x:c r="AM300" s="30" t="str">
        <x:f>IF(C300="","",IFERROR(INDEX('Facilities'!$AL$9:$AL$108,MATCH(C300,'Facilities'!$C$9:$C$108,0)),"Unavailable"))</x:f>
      </x:c>
      <x:c r="AN300" s="30" t="str">
        <x:f>IF(C300="","",IFERROR(INDEX(Credit!$T$209:$T$308,MATCH(F300,Credit!$C$209:$C$308,0)),"Unavailable"))</x:f>
      </x:c>
      <x:c r="AO300" s="23" t="str">
        <x:f>IF(C300="","",IF(AQ300&lt;&gt;"Ready","Unavailable",IF(C300="","",O300+P300+Q300*INDEX('Facilities'!$I$9:$I$108,MATCH(C300,'Facilities'!$C$9:$C$108,0)))))</x:f>
      </x:c>
      <x:c r="AP300" s="21" t="str">
        <x:f>IF(C300="","",IF(AQ300&lt;&gt;"Ready","Unavailable",IF(C300="","",AH300-U300)))</x:f>
      </x:c>
      <x:c r="AQ300" s="23" t="str">
        <x:f>IFERROR(IF(C300="","",IF(AND(INDEX('Facilities'!$AF$9:$AF$108,MATCH(C300,'Facilities'!$C$9:$C$108,0))="Ready",INDEX(Credit!$U$209:$U$308,MATCH(F300,Credit!$C$209:$C$308,0))="Ready",ISNUMBER(W300)),"Ready","Review inputs")),"Review inputs")</x:f>
      </x:c>
      <x:c r="AR300" s="23" t="str">
        <x:f>IF(C300="","",IF(AQ300&lt;&gt;"Ready","Unavailable",IF(C300="","",IF(O300=0,0,(IF(AJ300&lt;=1,O300,O300*INDEX('Facilities'!$R$9:$R$108,MATCH(C300,'Facilities'!$C$9:$C$108,0)))+O300*INDEX('Facilities'!$T$9:$T$108,MATCH(C300,'Facilities'!$C$9:$C$108,0)))/12))))</x:f>
      </x:c>
    </x:row>
    <x:row r="301" ht="26" customHeight="1">
      <x:c r="A301" s="1"/>
      <x:c r="B301" s="1"/>
      <x:c r="C301" s="9" t="str">
        <x:f>IF(Facilities!C101="","",Facilities!C101)</x:f>
      </x:c>
      <x:c r="D301" s="3" t="n">
        <x:v>3</x:v>
      </x:c>
      <x:c r="E301" s="9" t="n">
        <x:f>Settings!$F$18+2</x:f>
        <x:v>2029</x:v>
      </x:c>
      <x:c r="F301" s="9" t="str">
        <x:f>IF(C301="","",IFERROR(INDEX('Facilities'!$D$9:$D$108,MATCH(C301,'Facilities'!$C$9:$C$108,0)),"Unavailable"))</x:f>
      </x:c>
      <x:c r="G301" s="21" t="str">
        <x:f>IF(C301="","",IFERROR(O201,"Unavailable"))</x:f>
      </x:c>
      <x:c r="H301" s="21" t="str">
        <x:f>IF(C301="","",IFERROR(P201,"Unavailable"))</x:f>
      </x:c>
      <x:c r="I301" s="21" t="str">
        <x:f>IF(C301="","",IFERROR(Q201,"Unavailable"))</x:f>
      </x:c>
      <x:c r="J301" s="23" t="str">
        <x:f>IF(C301="","",IFERROR(IF(OR(H301&gt;0,AND(AC301&gt;=0,AC301&lt;D301),D301&gt;INDEX('Facilities'!$J$9:$J$108,MATCH(C301,'Facilities'!$C$9:$C$108,0))),0,I301*'Scenario Paths'!H81),"Unavailable"))</x:f>
      </x:c>
      <x:c r="K301" s="23" t="str">
        <x:f>IF(C301="","",IFERROR(IF(OR(H301&gt;0,AND(AC301&gt;=0,AC301=D301)),0,IF(D301&gt;=INDEX('Facilities'!$J$9:$J$108,MATCH(C301,'Facilities'!$C$9:$C$108,0)),G301+J301,MIN(G301+J301,G301*INDEX('Facilities'!$R$9:$R$108,MATCH(C301,'Facilities'!$C$9:$C$108,0))))),"Unavailable"))</x:f>
      </x:c>
      <x:c r="L301" s="21" t="str">
        <x:f>IF(C301="","",IFERROR(IF(AND(AC301=D301,AC301&gt;0),MAX(0,G301+J301-K301),0),"Unavailable"))</x:f>
      </x:c>
      <x:c r="M301" s="23" t="str">
        <x:f>IF(C301="","",IFERROR(IF(AND(AC301&gt;=0,D301&gt;=AC301+INDEX('Facilities'!$AK$9:$AK$108,MATCH(C301,'Facilities'!$C$9:$C$108,0))),(H301+L301)*AM301,0),"Unavailable"))</x:f>
      </x:c>
      <x:c r="N301" s="23" t="str">
        <x:f>IF(C301="","",IFERROR(IF(AND(AC301&gt;=0,D301&gt;=AC301+INDEX('Facilities'!$AK$9:$AK$108,MATCH(C301,'Facilities'!$C$9:$C$108,0))),H301+L301-M301,0),"Unavailable"))</x:f>
      </x:c>
      <x:c r="O301" s="21" t="str">
        <x:f>IF(C301="","",IFERROR(MAX(0,G301+J301-K301-L301),"Unavailable"))</x:f>
      </x:c>
      <x:c r="P301" s="21" t="str">
        <x:f>IF(C301="","",IFERROR(MAX(0,H301+L301-M301-N301),"Unavailable"))</x:f>
      </x:c>
      <x:c r="Q301" s="23" t="str">
        <x:f>IF(C301="","",IFERROR(IF(OR(D301&gt;=INDEX('Facilities'!$J$9:$J$108,MATCH(C301,'Facilities'!$C$9:$C$108,0)),AND(AC301&gt;=0,AC301&lt;=D301)),0,MAX(0,I301-J301)),"Unavailable"))</x:f>
      </x:c>
      <x:c r="R301" s="30" t="str">
        <x:f>IF(C301="","",IFERROR(INDEX(Credit!$Q$209:$Q$308,MATCH(F301,Credit!$C$209:$C$308,0)),"Unavailable"))</x:f>
      </x:c>
      <x:c r="S301" s="30" t="str">
        <x:f>IF(C301="","",IFERROR(INDEX(Credit!$R$209:$R$308,MATCH(F301,Credit!$C$209:$C$308,0)),"Unavailable"))</x:f>
      </x:c>
      <x:c r="T301" s="23" t="str">
        <x:f>IF(C301="","",IFERROR(IF(P301&gt;0,3,IF(OR(INDEX('Facilities'!$AD$9:$AD$108,MATCH(C301,'Facilities'!$C$9:$C$108,0))=2,AND(R301&gt;=INDEX('Facilities'!$L$9:$L$108,MATCH(C301,'Facilities'!$C$9:$C$108,0))*Settings!$F$19,R301-INDEX('Facilities'!$L$9:$L$108,MATCH(C301,'Facilities'!$C$9:$C$108,0))&gt;=Settings!$F$20)),2,1)),"Unavailable"))</x:f>
      </x:c>
      <x:c r="U301" s="23" t="str">
        <x:f>IF(C301="","",IF(AQ301&lt;&gt;"Ready","Unavailable",IF(C301="","",O301*(1-(1-S301)/(1+INDEX('Facilities'!$K$9:$K$108,MATCH(C301,'Facilities'!$C$9:$C$108,0)))^INDEX('Facilities'!$AK$9:$AK$108,MATCH(C301,'Facilities'!$C$9:$C$108,0)))*R301/(1+INDEX('Facilities'!$K$9:$K$108,MATCH(C301,'Facilities'!$C$9:$C$108,0)))*IF(ABS(1-(1-R301)*(1-INDEX('Facilities'!$R$9:$R$108,MATCH(C301,'Facilities'!$C$9:$C$108,0)))/(1+INDEX('Facilities'!$K$9:$K$108,MATCH(C301,'Facilities'!$C$9:$C$108,0))))&lt;0.000000001,IF(T301=1,MIN(1,AJ301),AJ301),(1-((1-R301)*(1-INDEX('Facilities'!$R$9:$R$108,MATCH(C301,'Facilities'!$C$9:$C$108,0)))/(1+INDEX('Facilities'!$K$9:$K$108,MATCH(C301,'Facilities'!$C$9:$C$108,0))))^IF(T301=1,MIN(1,AJ301),AJ301))/(1-(1-R301)*(1-INDEX('Facilities'!$R$9:$R$108,MATCH(C301,'Facilities'!$C$9:$C$108,0)))/(1+INDEX('Facilities'!$K$9:$K$108,MATCH(C301,'Facilities'!$C$9:$C$108,0)))))+AL301)))</x:f>
      </x:c>
      <x:c r="V301" s="23" t="str">
        <x:f>IF(C301="","",IF(AQ301&lt;&gt;"Ready","Unavailable",IF(C301="","",Q301*INDEX('Facilities'!$I$9:$I$108,MATCH(C301,'Facilities'!$C$9:$C$108,0))*(1-(1-S301)/(1+INDEX('Facilities'!$K$9:$K$108,MATCH(C301,'Facilities'!$C$9:$C$108,0)))^INDEX('Facilities'!$AK$9:$AK$108,MATCH(C301,'Facilities'!$C$9:$C$108,0)))*R301/(1+INDEX('Facilities'!$K$9:$K$108,MATCH(C301,'Facilities'!$C$9:$C$108,0)))*IF(ABS(1-(1-R301)*(1-0)/(1+INDEX('Facilities'!$K$9:$K$108,MATCH(C301,'Facilities'!$C$9:$C$108,0))))&lt;0.000000001,IF(T301=1,MIN(1,AJ301),AJ301),(1-((1-R301)*(1-0)/(1+INDEX('Facilities'!$K$9:$K$108,MATCH(C301,'Facilities'!$C$9:$C$108,0))))^IF(T301=1,MIN(1,AJ301),AJ301))/(1-(1-R301)*(1-0)/(1+INDEX('Facilities'!$K$9:$K$108,MATCH(C301,'Facilities'!$C$9:$C$108,0))))))))</x:f>
      </x:c>
      <x:c r="W301" s="21" t="str">
        <x:f>IF(C301="","",IFERROR(U201,"Unavailable"))</x:f>
      </x:c>
      <x:c r="X301" s="21" t="str">
        <x:f>IF(C301="","",IFERROR(V201,"Unavailable"))</x:f>
      </x:c>
      <x:c r="Y301" s="21" t="str">
        <x:f>IF(C301="","",IF(AQ301&lt;&gt;"Ready","Unavailable",IF(C301="","",U301-W301+V301-X301+N301+AG301)))</x:f>
      </x:c>
      <x:c r="Z301" s="23" t="str">
        <x:f>IF(C301="","",IF(AQ301&lt;&gt;"Ready","Unavailable",IF(C301="","",(G301+O301+L301)/2*INDEX('Facilities'!$T$9:$T$108,MATCH(C301,'Facilities'!$C$9:$C$108,0))+AG301)))</x:f>
      </x:c>
      <x:c r="AA301" s="23" t="str">
        <x:f>IF(C301="","",IF(AQ301&lt;&gt;"Ready","Unavailable",IF(C301="","",O301*(1-IF(INDEX('Facilities'!$AA$9:$AA$108,MATCH(C301,'Facilities'!$C$9:$C$108,0))=0,0,MIN(1,INDEX('Facilities'!$X$9:$X$108,MATCH(C301,'Facilities'!$C$9:$C$108,0))/INDEX('Facilities'!$AA$9:$AA$108,MATCH(C301,'Facilities'!$C$9:$C$108,0)))))*AF301+P301*(1-IF(INDEX('Facilities'!$AA$9:$AA$108,MATCH(C301,'Facilities'!$C$9:$C$108,0))=0,0,MIN(1,INDEX('Facilities'!$X$9:$X$108,MATCH(C301,'Facilities'!$C$9:$C$108,0))/INDEX('Facilities'!$AA$9:$AA$108,MATCH(C301,'Facilities'!$C$9:$C$108,0)))))*INDEX('Facilities'!$AJ$9:$AJ$108,MATCH(C301,'Facilities'!$C$9:$C$108,0))+Q301*INDEX('Facilities'!$AI$9:$AI$108,MATCH(C301,'Facilities'!$C$9:$C$108,0))*AF301)))</x:f>
      </x:c>
      <x:c r="AB301" s="21" t="str">
        <x:f>IF(C301="","",O301+P301-AD301)</x:f>
      </x:c>
      <x:c r="AC301" s="23" t="str">
        <x:f>IF(C301="","",IFERROR(IF(INDEX('Facilities'!$AD$9:$AD$108,MATCH(C301,'Facilities'!$C$9:$C$108,0))=3,0,IF(INDEX('Facilities'!$AN$9:$AN$108,MATCH(C301,'Facilities'!$C$9:$C$108,0))=0,-1,INDEX('Facilities'!$AN$9:$AN$108,MATCH(C301,'Facilities'!$C$9:$C$108,0)))),"Unavailable"))</x:f>
      </x:c>
      <x:c r="AD301" s="21" t="str">
        <x:f>IF(C301="","",IFERROR(G301+H301,"Unavailable"))</x:f>
      </x:c>
      <x:c r="AE301" s="21" t="str">
        <x:f>IF(C301="","",IF(AQ301&lt;&gt;"Ready","Unavailable",IF(C301="","",O301+P301-AD301-J301+K301+M301+N301)))</x:f>
      </x:c>
      <x:c r="AF301" s="30" t="str">
        <x:f>IF(C301="","",IFERROR(INDEX('Facilities'!$S$9:$S$108,MATCH(C301,'Facilities'!$C$9:$C$108,0))*'Scenario Paths'!H75,"Unavailable"))</x:f>
      </x:c>
      <x:c r="AG301" s="23" t="str">
        <x:f>IF(C301="","",IF(AQ301&lt;&gt;"Ready","Unavailable",IF(C301="","",IF(H301&gt;0,MAX(0,H301-AK301)*((1+INDEX('Facilities'!$K$9:$K$108,MATCH(C301,'Facilities'!$C$9:$C$108,0)))^MIN(1,MAX(0,AC301+INDEX('Facilities'!$AK$9:$AK$108,MATCH(C301,'Facilities'!$C$9:$C$108,0))-D301+1))-1),0))))</x:f>
      </x:c>
      <x:c r="AH301" s="21" t="str">
        <x:f>IF(C301="","",IF(AQ301&lt;&gt;"Ready","Unavailable",IF(C301="","",O301+P301)))</x:f>
      </x:c>
      <x:c r="AI301" s="21" t="str">
        <x:f>IF(C301="","",IF(AQ301&lt;&gt;"Ready","Unavailable",IF(C301="","",Z301-Y301)))</x:f>
      </x:c>
      <x:c r="AJ301" s="23" t="str">
        <x:f>IF(C301="","",IFERROR(MAX(0,INDEX('Facilities'!$J$9:$J$108,MATCH(C301,'Facilities'!$C$9:$C$108,0))-D301),"Unavailable"))</x:f>
      </x:c>
      <x:c r="AK301" s="21" t="str">
        <x:f>IF(C301="","",IFERROR(AL201,"Unavailable"))</x:f>
      </x:c>
      <x:c r="AL301" s="23" t="str">
        <x:f>IF(C301="","",IFERROR(IF(P301&gt;0,P301*(1-AM301/(1+INDEX('Facilities'!$K$9:$K$108,MATCH(C301,'Facilities'!$C$9:$C$108,0)))^MAX(0,AC301+INDEX('Facilities'!$AK$9:$AK$108,MATCH(C301,'Facilities'!$C$9:$C$108,0))-D301)),0),"Unavailable"))</x:f>
      </x:c>
      <x:c r="AM301" s="30" t="str">
        <x:f>IF(C301="","",IFERROR(INDEX('Facilities'!$AL$9:$AL$108,MATCH(C301,'Facilities'!$C$9:$C$108,0)),"Unavailable"))</x:f>
      </x:c>
      <x:c r="AN301" s="30" t="str">
        <x:f>IF(C301="","",IFERROR(INDEX(Credit!$T$209:$T$308,MATCH(F301,Credit!$C$209:$C$308,0)),"Unavailable"))</x:f>
      </x:c>
      <x:c r="AO301" s="23" t="str">
        <x:f>IF(C301="","",IF(AQ301&lt;&gt;"Ready","Unavailable",IF(C301="","",O301+P301+Q301*INDEX('Facilities'!$I$9:$I$108,MATCH(C301,'Facilities'!$C$9:$C$108,0)))))</x:f>
      </x:c>
      <x:c r="AP301" s="21" t="str">
        <x:f>IF(C301="","",IF(AQ301&lt;&gt;"Ready","Unavailable",IF(C301="","",AH301-U301)))</x:f>
      </x:c>
      <x:c r="AQ301" s="23" t="str">
        <x:f>IFERROR(IF(C301="","",IF(AND(INDEX('Facilities'!$AF$9:$AF$108,MATCH(C301,'Facilities'!$C$9:$C$108,0))="Ready",INDEX(Credit!$U$209:$U$308,MATCH(F301,Credit!$C$209:$C$308,0))="Ready",ISNUMBER(W301)),"Ready","Review inputs")),"Review inputs")</x:f>
      </x:c>
      <x:c r="AR301" s="23" t="str">
        <x:f>IF(C301="","",IF(AQ301&lt;&gt;"Ready","Unavailable",IF(C301="","",IF(O301=0,0,(IF(AJ301&lt;=1,O301,O301*INDEX('Facilities'!$R$9:$R$108,MATCH(C301,'Facilities'!$C$9:$C$108,0)))+O301*INDEX('Facilities'!$T$9:$T$108,MATCH(C301,'Facilities'!$C$9:$C$108,0)))/12))))</x:f>
      </x:c>
    </x:row>
    <x:row r="302" ht="26" customHeight="1">
      <x:c r="A302" s="1"/>
      <x:c r="B302" s="1"/>
      <x:c r="C302" s="9" t="str">
        <x:f>IF(Facilities!C102="","",Facilities!C102)</x:f>
      </x:c>
      <x:c r="D302" s="3" t="n">
        <x:v>3</x:v>
      </x:c>
      <x:c r="E302" s="9" t="n">
        <x:f>Settings!$F$18+2</x:f>
        <x:v>2029</x:v>
      </x:c>
      <x:c r="F302" s="9" t="str">
        <x:f>IF(C302="","",IFERROR(INDEX('Facilities'!$D$9:$D$108,MATCH(C302,'Facilities'!$C$9:$C$108,0)),"Unavailable"))</x:f>
      </x:c>
      <x:c r="G302" s="21" t="str">
        <x:f>IF(C302="","",IFERROR(O202,"Unavailable"))</x:f>
      </x:c>
      <x:c r="H302" s="21" t="str">
        <x:f>IF(C302="","",IFERROR(P202,"Unavailable"))</x:f>
      </x:c>
      <x:c r="I302" s="21" t="str">
        <x:f>IF(C302="","",IFERROR(Q202,"Unavailable"))</x:f>
      </x:c>
      <x:c r="J302" s="23" t="str">
        <x:f>IF(C302="","",IFERROR(IF(OR(H302&gt;0,AND(AC302&gt;=0,AC302&lt;D302),D302&gt;INDEX('Facilities'!$J$9:$J$108,MATCH(C302,'Facilities'!$C$9:$C$108,0))),0,I302*'Scenario Paths'!H81),"Unavailable"))</x:f>
      </x:c>
      <x:c r="K302" s="23" t="str">
        <x:f>IF(C302="","",IFERROR(IF(OR(H302&gt;0,AND(AC302&gt;=0,AC302=D302)),0,IF(D302&gt;=INDEX('Facilities'!$J$9:$J$108,MATCH(C302,'Facilities'!$C$9:$C$108,0)),G302+J302,MIN(G302+J302,G302*INDEX('Facilities'!$R$9:$R$108,MATCH(C302,'Facilities'!$C$9:$C$108,0))))),"Unavailable"))</x:f>
      </x:c>
      <x:c r="L302" s="21" t="str">
        <x:f>IF(C302="","",IFERROR(IF(AND(AC302=D302,AC302&gt;0),MAX(0,G302+J302-K302),0),"Unavailable"))</x:f>
      </x:c>
      <x:c r="M302" s="23" t="str">
        <x:f>IF(C302="","",IFERROR(IF(AND(AC302&gt;=0,D302&gt;=AC302+INDEX('Facilities'!$AK$9:$AK$108,MATCH(C302,'Facilities'!$C$9:$C$108,0))),(H302+L302)*AM302,0),"Unavailable"))</x:f>
      </x:c>
      <x:c r="N302" s="23" t="str">
        <x:f>IF(C302="","",IFERROR(IF(AND(AC302&gt;=0,D302&gt;=AC302+INDEX('Facilities'!$AK$9:$AK$108,MATCH(C302,'Facilities'!$C$9:$C$108,0))),H302+L302-M302,0),"Unavailable"))</x:f>
      </x:c>
      <x:c r="O302" s="21" t="str">
        <x:f>IF(C302="","",IFERROR(MAX(0,G302+J302-K302-L302),"Unavailable"))</x:f>
      </x:c>
      <x:c r="P302" s="21" t="str">
        <x:f>IF(C302="","",IFERROR(MAX(0,H302+L302-M302-N302),"Unavailable"))</x:f>
      </x:c>
      <x:c r="Q302" s="23" t="str">
        <x:f>IF(C302="","",IFERROR(IF(OR(D302&gt;=INDEX('Facilities'!$J$9:$J$108,MATCH(C302,'Facilities'!$C$9:$C$108,0)),AND(AC302&gt;=0,AC302&lt;=D302)),0,MAX(0,I302-J302)),"Unavailable"))</x:f>
      </x:c>
      <x:c r="R302" s="30" t="str">
        <x:f>IF(C302="","",IFERROR(INDEX(Credit!$Q$209:$Q$308,MATCH(F302,Credit!$C$209:$C$308,0)),"Unavailable"))</x:f>
      </x:c>
      <x:c r="S302" s="30" t="str">
        <x:f>IF(C302="","",IFERROR(INDEX(Credit!$R$209:$R$308,MATCH(F302,Credit!$C$209:$C$308,0)),"Unavailable"))</x:f>
      </x:c>
      <x:c r="T302" s="23" t="str">
        <x:f>IF(C302="","",IFERROR(IF(P302&gt;0,3,IF(OR(INDEX('Facilities'!$AD$9:$AD$108,MATCH(C302,'Facilities'!$C$9:$C$108,0))=2,AND(R302&gt;=INDEX('Facilities'!$L$9:$L$108,MATCH(C302,'Facilities'!$C$9:$C$108,0))*Settings!$F$19,R302-INDEX('Facilities'!$L$9:$L$108,MATCH(C302,'Facilities'!$C$9:$C$108,0))&gt;=Settings!$F$20)),2,1)),"Unavailable"))</x:f>
      </x:c>
      <x:c r="U302" s="23" t="str">
        <x:f>IF(C302="","",IF(AQ302&lt;&gt;"Ready","Unavailable",IF(C302="","",O302*(1-(1-S302)/(1+INDEX('Facilities'!$K$9:$K$108,MATCH(C302,'Facilities'!$C$9:$C$108,0)))^INDEX('Facilities'!$AK$9:$AK$108,MATCH(C302,'Facilities'!$C$9:$C$108,0)))*R302/(1+INDEX('Facilities'!$K$9:$K$108,MATCH(C302,'Facilities'!$C$9:$C$108,0)))*IF(ABS(1-(1-R302)*(1-INDEX('Facilities'!$R$9:$R$108,MATCH(C302,'Facilities'!$C$9:$C$108,0)))/(1+INDEX('Facilities'!$K$9:$K$108,MATCH(C302,'Facilities'!$C$9:$C$108,0))))&lt;0.000000001,IF(T302=1,MIN(1,AJ302),AJ302),(1-((1-R302)*(1-INDEX('Facilities'!$R$9:$R$108,MATCH(C302,'Facilities'!$C$9:$C$108,0)))/(1+INDEX('Facilities'!$K$9:$K$108,MATCH(C302,'Facilities'!$C$9:$C$108,0))))^IF(T302=1,MIN(1,AJ302),AJ302))/(1-(1-R302)*(1-INDEX('Facilities'!$R$9:$R$108,MATCH(C302,'Facilities'!$C$9:$C$108,0)))/(1+INDEX('Facilities'!$K$9:$K$108,MATCH(C302,'Facilities'!$C$9:$C$108,0)))))+AL302)))</x:f>
      </x:c>
      <x:c r="V302" s="23" t="str">
        <x:f>IF(C302="","",IF(AQ302&lt;&gt;"Ready","Unavailable",IF(C302="","",Q302*INDEX('Facilities'!$I$9:$I$108,MATCH(C302,'Facilities'!$C$9:$C$108,0))*(1-(1-S302)/(1+INDEX('Facilities'!$K$9:$K$108,MATCH(C302,'Facilities'!$C$9:$C$108,0)))^INDEX('Facilities'!$AK$9:$AK$108,MATCH(C302,'Facilities'!$C$9:$C$108,0)))*R302/(1+INDEX('Facilities'!$K$9:$K$108,MATCH(C302,'Facilities'!$C$9:$C$108,0)))*IF(ABS(1-(1-R302)*(1-0)/(1+INDEX('Facilities'!$K$9:$K$108,MATCH(C302,'Facilities'!$C$9:$C$108,0))))&lt;0.000000001,IF(T302=1,MIN(1,AJ302),AJ302),(1-((1-R302)*(1-0)/(1+INDEX('Facilities'!$K$9:$K$108,MATCH(C302,'Facilities'!$C$9:$C$108,0))))^IF(T302=1,MIN(1,AJ302),AJ302))/(1-(1-R302)*(1-0)/(1+INDEX('Facilities'!$K$9:$K$108,MATCH(C302,'Facilities'!$C$9:$C$108,0))))))))</x:f>
      </x:c>
      <x:c r="W302" s="21" t="str">
        <x:f>IF(C302="","",IFERROR(U202,"Unavailable"))</x:f>
      </x:c>
      <x:c r="X302" s="21" t="str">
        <x:f>IF(C302="","",IFERROR(V202,"Unavailable"))</x:f>
      </x:c>
      <x:c r="Y302" s="21" t="str">
        <x:f>IF(C302="","",IF(AQ302&lt;&gt;"Ready","Unavailable",IF(C302="","",U302-W302+V302-X302+N302+AG302)))</x:f>
      </x:c>
      <x:c r="Z302" s="23" t="str">
        <x:f>IF(C302="","",IF(AQ302&lt;&gt;"Ready","Unavailable",IF(C302="","",(G302+O302+L302)/2*INDEX('Facilities'!$T$9:$T$108,MATCH(C302,'Facilities'!$C$9:$C$108,0))+AG302)))</x:f>
      </x:c>
      <x:c r="AA302" s="23" t="str">
        <x:f>IF(C302="","",IF(AQ302&lt;&gt;"Ready","Unavailable",IF(C302="","",O302*(1-IF(INDEX('Facilities'!$AA$9:$AA$108,MATCH(C302,'Facilities'!$C$9:$C$108,0))=0,0,MIN(1,INDEX('Facilities'!$X$9:$X$108,MATCH(C302,'Facilities'!$C$9:$C$108,0))/INDEX('Facilities'!$AA$9:$AA$108,MATCH(C302,'Facilities'!$C$9:$C$108,0)))))*AF302+P302*(1-IF(INDEX('Facilities'!$AA$9:$AA$108,MATCH(C302,'Facilities'!$C$9:$C$108,0))=0,0,MIN(1,INDEX('Facilities'!$X$9:$X$108,MATCH(C302,'Facilities'!$C$9:$C$108,0))/INDEX('Facilities'!$AA$9:$AA$108,MATCH(C302,'Facilities'!$C$9:$C$108,0)))))*INDEX('Facilities'!$AJ$9:$AJ$108,MATCH(C302,'Facilities'!$C$9:$C$108,0))+Q302*INDEX('Facilities'!$AI$9:$AI$108,MATCH(C302,'Facilities'!$C$9:$C$108,0))*AF302)))</x:f>
      </x:c>
      <x:c r="AB302" s="21" t="str">
        <x:f>IF(C302="","",O302+P302-AD302)</x:f>
      </x:c>
      <x:c r="AC302" s="23" t="str">
        <x:f>IF(C302="","",IFERROR(IF(INDEX('Facilities'!$AD$9:$AD$108,MATCH(C302,'Facilities'!$C$9:$C$108,0))=3,0,IF(INDEX('Facilities'!$AN$9:$AN$108,MATCH(C302,'Facilities'!$C$9:$C$108,0))=0,-1,INDEX('Facilities'!$AN$9:$AN$108,MATCH(C302,'Facilities'!$C$9:$C$108,0)))),"Unavailable"))</x:f>
      </x:c>
      <x:c r="AD302" s="21" t="str">
        <x:f>IF(C302="","",IFERROR(G302+H302,"Unavailable"))</x:f>
      </x:c>
      <x:c r="AE302" s="21" t="str">
        <x:f>IF(C302="","",IF(AQ302&lt;&gt;"Ready","Unavailable",IF(C302="","",O302+P302-AD302-J302+K302+M302+N302)))</x:f>
      </x:c>
      <x:c r="AF302" s="30" t="str">
        <x:f>IF(C302="","",IFERROR(INDEX('Facilities'!$S$9:$S$108,MATCH(C302,'Facilities'!$C$9:$C$108,0))*'Scenario Paths'!H75,"Unavailable"))</x:f>
      </x:c>
      <x:c r="AG302" s="23" t="str">
        <x:f>IF(C302="","",IF(AQ302&lt;&gt;"Ready","Unavailable",IF(C302="","",IF(H302&gt;0,MAX(0,H302-AK302)*((1+INDEX('Facilities'!$K$9:$K$108,MATCH(C302,'Facilities'!$C$9:$C$108,0)))^MIN(1,MAX(0,AC302+INDEX('Facilities'!$AK$9:$AK$108,MATCH(C302,'Facilities'!$C$9:$C$108,0))-D302+1))-1),0))))</x:f>
      </x:c>
      <x:c r="AH302" s="21" t="str">
        <x:f>IF(C302="","",IF(AQ302&lt;&gt;"Ready","Unavailable",IF(C302="","",O302+P302)))</x:f>
      </x:c>
      <x:c r="AI302" s="21" t="str">
        <x:f>IF(C302="","",IF(AQ302&lt;&gt;"Ready","Unavailable",IF(C302="","",Z302-Y302)))</x:f>
      </x:c>
      <x:c r="AJ302" s="23" t="str">
        <x:f>IF(C302="","",IFERROR(MAX(0,INDEX('Facilities'!$J$9:$J$108,MATCH(C302,'Facilities'!$C$9:$C$108,0))-D302),"Unavailable"))</x:f>
      </x:c>
      <x:c r="AK302" s="21" t="str">
        <x:f>IF(C302="","",IFERROR(AL202,"Unavailable"))</x:f>
      </x:c>
      <x:c r="AL302" s="23" t="str">
        <x:f>IF(C302="","",IFERROR(IF(P302&gt;0,P302*(1-AM302/(1+INDEX('Facilities'!$K$9:$K$108,MATCH(C302,'Facilities'!$C$9:$C$108,0)))^MAX(0,AC302+INDEX('Facilities'!$AK$9:$AK$108,MATCH(C302,'Facilities'!$C$9:$C$108,0))-D302)),0),"Unavailable"))</x:f>
      </x:c>
      <x:c r="AM302" s="30" t="str">
        <x:f>IF(C302="","",IFERROR(INDEX('Facilities'!$AL$9:$AL$108,MATCH(C302,'Facilities'!$C$9:$C$108,0)),"Unavailable"))</x:f>
      </x:c>
      <x:c r="AN302" s="30" t="str">
        <x:f>IF(C302="","",IFERROR(INDEX(Credit!$T$209:$T$308,MATCH(F302,Credit!$C$209:$C$308,0)),"Unavailable"))</x:f>
      </x:c>
      <x:c r="AO302" s="23" t="str">
        <x:f>IF(C302="","",IF(AQ302&lt;&gt;"Ready","Unavailable",IF(C302="","",O302+P302+Q302*INDEX('Facilities'!$I$9:$I$108,MATCH(C302,'Facilities'!$C$9:$C$108,0)))))</x:f>
      </x:c>
      <x:c r="AP302" s="21" t="str">
        <x:f>IF(C302="","",IF(AQ302&lt;&gt;"Ready","Unavailable",IF(C302="","",AH302-U302)))</x:f>
      </x:c>
      <x:c r="AQ302" s="23" t="str">
        <x:f>IFERROR(IF(C302="","",IF(AND(INDEX('Facilities'!$AF$9:$AF$108,MATCH(C302,'Facilities'!$C$9:$C$108,0))="Ready",INDEX(Credit!$U$209:$U$308,MATCH(F302,Credit!$C$209:$C$308,0))="Ready",ISNUMBER(W302)),"Ready","Review inputs")),"Review inputs")</x:f>
      </x:c>
      <x:c r="AR302" s="23" t="str">
        <x:f>IF(C302="","",IF(AQ302&lt;&gt;"Ready","Unavailable",IF(C302="","",IF(O302=0,0,(IF(AJ302&lt;=1,O302,O302*INDEX('Facilities'!$R$9:$R$108,MATCH(C302,'Facilities'!$C$9:$C$108,0)))+O302*INDEX('Facilities'!$T$9:$T$108,MATCH(C302,'Facilities'!$C$9:$C$108,0)))/12))))</x:f>
      </x:c>
    </x:row>
    <x:row r="303" ht="26" customHeight="1">
      <x:c r="A303" s="1"/>
      <x:c r="B303" s="1"/>
      <x:c r="C303" s="9" t="str">
        <x:f>IF(Facilities!C103="","",Facilities!C103)</x:f>
      </x:c>
      <x:c r="D303" s="3" t="n">
        <x:v>3</x:v>
      </x:c>
      <x:c r="E303" s="9" t="n">
        <x:f>Settings!$F$18+2</x:f>
        <x:v>2029</x:v>
      </x:c>
      <x:c r="F303" s="9" t="str">
        <x:f>IF(C303="","",IFERROR(INDEX('Facilities'!$D$9:$D$108,MATCH(C303,'Facilities'!$C$9:$C$108,0)),"Unavailable"))</x:f>
      </x:c>
      <x:c r="G303" s="21" t="str">
        <x:f>IF(C303="","",IFERROR(O203,"Unavailable"))</x:f>
      </x:c>
      <x:c r="H303" s="21" t="str">
        <x:f>IF(C303="","",IFERROR(P203,"Unavailable"))</x:f>
      </x:c>
      <x:c r="I303" s="21" t="str">
        <x:f>IF(C303="","",IFERROR(Q203,"Unavailable"))</x:f>
      </x:c>
      <x:c r="J303" s="23" t="str">
        <x:f>IF(C303="","",IFERROR(IF(OR(H303&gt;0,AND(AC303&gt;=0,AC303&lt;D303),D303&gt;INDEX('Facilities'!$J$9:$J$108,MATCH(C303,'Facilities'!$C$9:$C$108,0))),0,I303*'Scenario Paths'!H81),"Unavailable"))</x:f>
      </x:c>
      <x:c r="K303" s="23" t="str">
        <x:f>IF(C303="","",IFERROR(IF(OR(H303&gt;0,AND(AC303&gt;=0,AC303=D303)),0,IF(D303&gt;=INDEX('Facilities'!$J$9:$J$108,MATCH(C303,'Facilities'!$C$9:$C$108,0)),G303+J303,MIN(G303+J303,G303*INDEX('Facilities'!$R$9:$R$108,MATCH(C303,'Facilities'!$C$9:$C$108,0))))),"Unavailable"))</x:f>
      </x:c>
      <x:c r="L303" s="21" t="str">
        <x:f>IF(C303="","",IFERROR(IF(AND(AC303=D303,AC303&gt;0),MAX(0,G303+J303-K303),0),"Unavailable"))</x:f>
      </x:c>
      <x:c r="M303" s="23" t="str">
        <x:f>IF(C303="","",IFERROR(IF(AND(AC303&gt;=0,D303&gt;=AC303+INDEX('Facilities'!$AK$9:$AK$108,MATCH(C303,'Facilities'!$C$9:$C$108,0))),(H303+L303)*AM303,0),"Unavailable"))</x:f>
      </x:c>
      <x:c r="N303" s="23" t="str">
        <x:f>IF(C303="","",IFERROR(IF(AND(AC303&gt;=0,D303&gt;=AC303+INDEX('Facilities'!$AK$9:$AK$108,MATCH(C303,'Facilities'!$C$9:$C$108,0))),H303+L303-M303,0),"Unavailable"))</x:f>
      </x:c>
      <x:c r="O303" s="21" t="str">
        <x:f>IF(C303="","",IFERROR(MAX(0,G303+J303-K303-L303),"Unavailable"))</x:f>
      </x:c>
      <x:c r="P303" s="21" t="str">
        <x:f>IF(C303="","",IFERROR(MAX(0,H303+L303-M303-N303),"Unavailable"))</x:f>
      </x:c>
      <x:c r="Q303" s="23" t="str">
        <x:f>IF(C303="","",IFERROR(IF(OR(D303&gt;=INDEX('Facilities'!$J$9:$J$108,MATCH(C303,'Facilities'!$C$9:$C$108,0)),AND(AC303&gt;=0,AC303&lt;=D303)),0,MAX(0,I303-J303)),"Unavailable"))</x:f>
      </x:c>
      <x:c r="R303" s="30" t="str">
        <x:f>IF(C303="","",IFERROR(INDEX(Credit!$Q$209:$Q$308,MATCH(F303,Credit!$C$209:$C$308,0)),"Unavailable"))</x:f>
      </x:c>
      <x:c r="S303" s="30" t="str">
        <x:f>IF(C303="","",IFERROR(INDEX(Credit!$R$209:$R$308,MATCH(F303,Credit!$C$209:$C$308,0)),"Unavailable"))</x:f>
      </x:c>
      <x:c r="T303" s="23" t="str">
        <x:f>IF(C303="","",IFERROR(IF(P303&gt;0,3,IF(OR(INDEX('Facilities'!$AD$9:$AD$108,MATCH(C303,'Facilities'!$C$9:$C$108,0))=2,AND(R303&gt;=INDEX('Facilities'!$L$9:$L$108,MATCH(C303,'Facilities'!$C$9:$C$108,0))*Settings!$F$19,R303-INDEX('Facilities'!$L$9:$L$108,MATCH(C303,'Facilities'!$C$9:$C$108,0))&gt;=Settings!$F$20)),2,1)),"Unavailable"))</x:f>
      </x:c>
      <x:c r="U303" s="23" t="str">
        <x:f>IF(C303="","",IF(AQ303&lt;&gt;"Ready","Unavailable",IF(C303="","",O303*(1-(1-S303)/(1+INDEX('Facilities'!$K$9:$K$108,MATCH(C303,'Facilities'!$C$9:$C$108,0)))^INDEX('Facilities'!$AK$9:$AK$108,MATCH(C303,'Facilities'!$C$9:$C$108,0)))*R303/(1+INDEX('Facilities'!$K$9:$K$108,MATCH(C303,'Facilities'!$C$9:$C$108,0)))*IF(ABS(1-(1-R303)*(1-INDEX('Facilities'!$R$9:$R$108,MATCH(C303,'Facilities'!$C$9:$C$108,0)))/(1+INDEX('Facilities'!$K$9:$K$108,MATCH(C303,'Facilities'!$C$9:$C$108,0))))&lt;0.000000001,IF(T303=1,MIN(1,AJ303),AJ303),(1-((1-R303)*(1-INDEX('Facilities'!$R$9:$R$108,MATCH(C303,'Facilities'!$C$9:$C$108,0)))/(1+INDEX('Facilities'!$K$9:$K$108,MATCH(C303,'Facilities'!$C$9:$C$108,0))))^IF(T303=1,MIN(1,AJ303),AJ303))/(1-(1-R303)*(1-INDEX('Facilities'!$R$9:$R$108,MATCH(C303,'Facilities'!$C$9:$C$108,0)))/(1+INDEX('Facilities'!$K$9:$K$108,MATCH(C303,'Facilities'!$C$9:$C$108,0)))))+AL303)))</x:f>
      </x:c>
      <x:c r="V303" s="23" t="str">
        <x:f>IF(C303="","",IF(AQ303&lt;&gt;"Ready","Unavailable",IF(C303="","",Q303*INDEX('Facilities'!$I$9:$I$108,MATCH(C303,'Facilities'!$C$9:$C$108,0))*(1-(1-S303)/(1+INDEX('Facilities'!$K$9:$K$108,MATCH(C303,'Facilities'!$C$9:$C$108,0)))^INDEX('Facilities'!$AK$9:$AK$108,MATCH(C303,'Facilities'!$C$9:$C$108,0)))*R303/(1+INDEX('Facilities'!$K$9:$K$108,MATCH(C303,'Facilities'!$C$9:$C$108,0)))*IF(ABS(1-(1-R303)*(1-0)/(1+INDEX('Facilities'!$K$9:$K$108,MATCH(C303,'Facilities'!$C$9:$C$108,0))))&lt;0.000000001,IF(T303=1,MIN(1,AJ303),AJ303),(1-((1-R303)*(1-0)/(1+INDEX('Facilities'!$K$9:$K$108,MATCH(C303,'Facilities'!$C$9:$C$108,0))))^IF(T303=1,MIN(1,AJ303),AJ303))/(1-(1-R303)*(1-0)/(1+INDEX('Facilities'!$K$9:$K$108,MATCH(C303,'Facilities'!$C$9:$C$108,0))))))))</x:f>
      </x:c>
      <x:c r="W303" s="21" t="str">
        <x:f>IF(C303="","",IFERROR(U203,"Unavailable"))</x:f>
      </x:c>
      <x:c r="X303" s="21" t="str">
        <x:f>IF(C303="","",IFERROR(V203,"Unavailable"))</x:f>
      </x:c>
      <x:c r="Y303" s="21" t="str">
        <x:f>IF(C303="","",IF(AQ303&lt;&gt;"Ready","Unavailable",IF(C303="","",U303-W303+V303-X303+N303+AG303)))</x:f>
      </x:c>
      <x:c r="Z303" s="23" t="str">
        <x:f>IF(C303="","",IF(AQ303&lt;&gt;"Ready","Unavailable",IF(C303="","",(G303+O303+L303)/2*INDEX('Facilities'!$T$9:$T$108,MATCH(C303,'Facilities'!$C$9:$C$108,0))+AG303)))</x:f>
      </x:c>
      <x:c r="AA303" s="23" t="str">
        <x:f>IF(C303="","",IF(AQ303&lt;&gt;"Ready","Unavailable",IF(C303="","",O303*(1-IF(INDEX('Facilities'!$AA$9:$AA$108,MATCH(C303,'Facilities'!$C$9:$C$108,0))=0,0,MIN(1,INDEX('Facilities'!$X$9:$X$108,MATCH(C303,'Facilities'!$C$9:$C$108,0))/INDEX('Facilities'!$AA$9:$AA$108,MATCH(C303,'Facilities'!$C$9:$C$108,0)))))*AF303+P303*(1-IF(INDEX('Facilities'!$AA$9:$AA$108,MATCH(C303,'Facilities'!$C$9:$C$108,0))=0,0,MIN(1,INDEX('Facilities'!$X$9:$X$108,MATCH(C303,'Facilities'!$C$9:$C$108,0))/INDEX('Facilities'!$AA$9:$AA$108,MATCH(C303,'Facilities'!$C$9:$C$108,0)))))*INDEX('Facilities'!$AJ$9:$AJ$108,MATCH(C303,'Facilities'!$C$9:$C$108,0))+Q303*INDEX('Facilities'!$AI$9:$AI$108,MATCH(C303,'Facilities'!$C$9:$C$108,0))*AF303)))</x:f>
      </x:c>
      <x:c r="AB303" s="21" t="str">
        <x:f>IF(C303="","",O303+P303-AD303)</x:f>
      </x:c>
      <x:c r="AC303" s="23" t="str">
        <x:f>IF(C303="","",IFERROR(IF(INDEX('Facilities'!$AD$9:$AD$108,MATCH(C303,'Facilities'!$C$9:$C$108,0))=3,0,IF(INDEX('Facilities'!$AN$9:$AN$108,MATCH(C303,'Facilities'!$C$9:$C$108,0))=0,-1,INDEX('Facilities'!$AN$9:$AN$108,MATCH(C303,'Facilities'!$C$9:$C$108,0)))),"Unavailable"))</x:f>
      </x:c>
      <x:c r="AD303" s="21" t="str">
        <x:f>IF(C303="","",IFERROR(G303+H303,"Unavailable"))</x:f>
      </x:c>
      <x:c r="AE303" s="21" t="str">
        <x:f>IF(C303="","",IF(AQ303&lt;&gt;"Ready","Unavailable",IF(C303="","",O303+P303-AD303-J303+K303+M303+N303)))</x:f>
      </x:c>
      <x:c r="AF303" s="30" t="str">
        <x:f>IF(C303="","",IFERROR(INDEX('Facilities'!$S$9:$S$108,MATCH(C303,'Facilities'!$C$9:$C$108,0))*'Scenario Paths'!H75,"Unavailable"))</x:f>
      </x:c>
      <x:c r="AG303" s="23" t="str">
        <x:f>IF(C303="","",IF(AQ303&lt;&gt;"Ready","Unavailable",IF(C303="","",IF(H303&gt;0,MAX(0,H303-AK303)*((1+INDEX('Facilities'!$K$9:$K$108,MATCH(C303,'Facilities'!$C$9:$C$108,0)))^MIN(1,MAX(0,AC303+INDEX('Facilities'!$AK$9:$AK$108,MATCH(C303,'Facilities'!$C$9:$C$108,0))-D303+1))-1),0))))</x:f>
      </x:c>
      <x:c r="AH303" s="21" t="str">
        <x:f>IF(C303="","",IF(AQ303&lt;&gt;"Ready","Unavailable",IF(C303="","",O303+P303)))</x:f>
      </x:c>
      <x:c r="AI303" s="21" t="str">
        <x:f>IF(C303="","",IF(AQ303&lt;&gt;"Ready","Unavailable",IF(C303="","",Z303-Y303)))</x:f>
      </x:c>
      <x:c r="AJ303" s="23" t="str">
        <x:f>IF(C303="","",IFERROR(MAX(0,INDEX('Facilities'!$J$9:$J$108,MATCH(C303,'Facilities'!$C$9:$C$108,0))-D303),"Unavailable"))</x:f>
      </x:c>
      <x:c r="AK303" s="21" t="str">
        <x:f>IF(C303="","",IFERROR(AL203,"Unavailable"))</x:f>
      </x:c>
      <x:c r="AL303" s="23" t="str">
        <x:f>IF(C303="","",IFERROR(IF(P303&gt;0,P303*(1-AM303/(1+INDEX('Facilities'!$K$9:$K$108,MATCH(C303,'Facilities'!$C$9:$C$108,0)))^MAX(0,AC303+INDEX('Facilities'!$AK$9:$AK$108,MATCH(C303,'Facilities'!$C$9:$C$108,0))-D303)),0),"Unavailable"))</x:f>
      </x:c>
      <x:c r="AM303" s="30" t="str">
        <x:f>IF(C303="","",IFERROR(INDEX('Facilities'!$AL$9:$AL$108,MATCH(C303,'Facilities'!$C$9:$C$108,0)),"Unavailable"))</x:f>
      </x:c>
      <x:c r="AN303" s="30" t="str">
        <x:f>IF(C303="","",IFERROR(INDEX(Credit!$T$209:$T$308,MATCH(F303,Credit!$C$209:$C$308,0)),"Unavailable"))</x:f>
      </x:c>
      <x:c r="AO303" s="23" t="str">
        <x:f>IF(C303="","",IF(AQ303&lt;&gt;"Ready","Unavailable",IF(C303="","",O303+P303+Q303*INDEX('Facilities'!$I$9:$I$108,MATCH(C303,'Facilities'!$C$9:$C$108,0)))))</x:f>
      </x:c>
      <x:c r="AP303" s="21" t="str">
        <x:f>IF(C303="","",IF(AQ303&lt;&gt;"Ready","Unavailable",IF(C303="","",AH303-U303)))</x:f>
      </x:c>
      <x:c r="AQ303" s="23" t="str">
        <x:f>IFERROR(IF(C303="","",IF(AND(INDEX('Facilities'!$AF$9:$AF$108,MATCH(C303,'Facilities'!$C$9:$C$108,0))="Ready",INDEX(Credit!$U$209:$U$308,MATCH(F303,Credit!$C$209:$C$308,0))="Ready",ISNUMBER(W303)),"Ready","Review inputs")),"Review inputs")</x:f>
      </x:c>
      <x:c r="AR303" s="23" t="str">
        <x:f>IF(C303="","",IF(AQ303&lt;&gt;"Ready","Unavailable",IF(C303="","",IF(O303=0,0,(IF(AJ303&lt;=1,O303,O303*INDEX('Facilities'!$R$9:$R$108,MATCH(C303,'Facilities'!$C$9:$C$108,0)))+O303*INDEX('Facilities'!$T$9:$T$108,MATCH(C303,'Facilities'!$C$9:$C$108,0)))/12))))</x:f>
      </x:c>
    </x:row>
    <x:row r="304" ht="26" customHeight="1">
      <x:c r="A304" s="1"/>
      <x:c r="B304" s="1"/>
      <x:c r="C304" s="9" t="str">
        <x:f>IF(Facilities!C104="","",Facilities!C104)</x:f>
      </x:c>
      <x:c r="D304" s="3" t="n">
        <x:v>3</x:v>
      </x:c>
      <x:c r="E304" s="9" t="n">
        <x:f>Settings!$F$18+2</x:f>
        <x:v>2029</x:v>
      </x:c>
      <x:c r="F304" s="9" t="str">
        <x:f>IF(C304="","",IFERROR(INDEX('Facilities'!$D$9:$D$108,MATCH(C304,'Facilities'!$C$9:$C$108,0)),"Unavailable"))</x:f>
      </x:c>
      <x:c r="G304" s="21" t="str">
        <x:f>IF(C304="","",IFERROR(O204,"Unavailable"))</x:f>
      </x:c>
      <x:c r="H304" s="21" t="str">
        <x:f>IF(C304="","",IFERROR(P204,"Unavailable"))</x:f>
      </x:c>
      <x:c r="I304" s="21" t="str">
        <x:f>IF(C304="","",IFERROR(Q204,"Unavailable"))</x:f>
      </x:c>
      <x:c r="J304" s="23" t="str">
        <x:f>IF(C304="","",IFERROR(IF(OR(H304&gt;0,AND(AC304&gt;=0,AC304&lt;D304),D304&gt;INDEX('Facilities'!$J$9:$J$108,MATCH(C304,'Facilities'!$C$9:$C$108,0))),0,I304*'Scenario Paths'!H81),"Unavailable"))</x:f>
      </x:c>
      <x:c r="K304" s="23" t="str">
        <x:f>IF(C304="","",IFERROR(IF(OR(H304&gt;0,AND(AC304&gt;=0,AC304=D304)),0,IF(D304&gt;=INDEX('Facilities'!$J$9:$J$108,MATCH(C304,'Facilities'!$C$9:$C$108,0)),G304+J304,MIN(G304+J304,G304*INDEX('Facilities'!$R$9:$R$108,MATCH(C304,'Facilities'!$C$9:$C$108,0))))),"Unavailable"))</x:f>
      </x:c>
      <x:c r="L304" s="21" t="str">
        <x:f>IF(C304="","",IFERROR(IF(AND(AC304=D304,AC304&gt;0),MAX(0,G304+J304-K304),0),"Unavailable"))</x:f>
      </x:c>
      <x:c r="M304" s="23" t="str">
        <x:f>IF(C304="","",IFERROR(IF(AND(AC304&gt;=0,D304&gt;=AC304+INDEX('Facilities'!$AK$9:$AK$108,MATCH(C304,'Facilities'!$C$9:$C$108,0))),(H304+L304)*AM304,0),"Unavailable"))</x:f>
      </x:c>
      <x:c r="N304" s="23" t="str">
        <x:f>IF(C304="","",IFERROR(IF(AND(AC304&gt;=0,D304&gt;=AC304+INDEX('Facilities'!$AK$9:$AK$108,MATCH(C304,'Facilities'!$C$9:$C$108,0))),H304+L304-M304,0),"Unavailable"))</x:f>
      </x:c>
      <x:c r="O304" s="21" t="str">
        <x:f>IF(C304="","",IFERROR(MAX(0,G304+J304-K304-L304),"Unavailable"))</x:f>
      </x:c>
      <x:c r="P304" s="21" t="str">
        <x:f>IF(C304="","",IFERROR(MAX(0,H304+L304-M304-N304),"Unavailable"))</x:f>
      </x:c>
      <x:c r="Q304" s="23" t="str">
        <x:f>IF(C304="","",IFERROR(IF(OR(D304&gt;=INDEX('Facilities'!$J$9:$J$108,MATCH(C304,'Facilities'!$C$9:$C$108,0)),AND(AC304&gt;=0,AC304&lt;=D304)),0,MAX(0,I304-J304)),"Unavailable"))</x:f>
      </x:c>
      <x:c r="R304" s="30" t="str">
        <x:f>IF(C304="","",IFERROR(INDEX(Credit!$Q$209:$Q$308,MATCH(F304,Credit!$C$209:$C$308,0)),"Unavailable"))</x:f>
      </x:c>
      <x:c r="S304" s="30" t="str">
        <x:f>IF(C304="","",IFERROR(INDEX(Credit!$R$209:$R$308,MATCH(F304,Credit!$C$209:$C$308,0)),"Unavailable"))</x:f>
      </x:c>
      <x:c r="T304" s="23" t="str">
        <x:f>IF(C304="","",IFERROR(IF(P304&gt;0,3,IF(OR(INDEX('Facilities'!$AD$9:$AD$108,MATCH(C304,'Facilities'!$C$9:$C$108,0))=2,AND(R304&gt;=INDEX('Facilities'!$L$9:$L$108,MATCH(C304,'Facilities'!$C$9:$C$108,0))*Settings!$F$19,R304-INDEX('Facilities'!$L$9:$L$108,MATCH(C304,'Facilities'!$C$9:$C$108,0))&gt;=Settings!$F$20)),2,1)),"Unavailable"))</x:f>
      </x:c>
      <x:c r="U304" s="23" t="str">
        <x:f>IF(C304="","",IF(AQ304&lt;&gt;"Ready","Unavailable",IF(C304="","",O304*(1-(1-S304)/(1+INDEX('Facilities'!$K$9:$K$108,MATCH(C304,'Facilities'!$C$9:$C$108,0)))^INDEX('Facilities'!$AK$9:$AK$108,MATCH(C304,'Facilities'!$C$9:$C$108,0)))*R304/(1+INDEX('Facilities'!$K$9:$K$108,MATCH(C304,'Facilities'!$C$9:$C$108,0)))*IF(ABS(1-(1-R304)*(1-INDEX('Facilities'!$R$9:$R$108,MATCH(C304,'Facilities'!$C$9:$C$108,0)))/(1+INDEX('Facilities'!$K$9:$K$108,MATCH(C304,'Facilities'!$C$9:$C$108,0))))&lt;0.000000001,IF(T304=1,MIN(1,AJ304),AJ304),(1-((1-R304)*(1-INDEX('Facilities'!$R$9:$R$108,MATCH(C304,'Facilities'!$C$9:$C$108,0)))/(1+INDEX('Facilities'!$K$9:$K$108,MATCH(C304,'Facilities'!$C$9:$C$108,0))))^IF(T304=1,MIN(1,AJ304),AJ304))/(1-(1-R304)*(1-INDEX('Facilities'!$R$9:$R$108,MATCH(C304,'Facilities'!$C$9:$C$108,0)))/(1+INDEX('Facilities'!$K$9:$K$108,MATCH(C304,'Facilities'!$C$9:$C$108,0)))))+AL304)))</x:f>
      </x:c>
      <x:c r="V304" s="23" t="str">
        <x:f>IF(C304="","",IF(AQ304&lt;&gt;"Ready","Unavailable",IF(C304="","",Q304*INDEX('Facilities'!$I$9:$I$108,MATCH(C304,'Facilities'!$C$9:$C$108,0))*(1-(1-S304)/(1+INDEX('Facilities'!$K$9:$K$108,MATCH(C304,'Facilities'!$C$9:$C$108,0)))^INDEX('Facilities'!$AK$9:$AK$108,MATCH(C304,'Facilities'!$C$9:$C$108,0)))*R304/(1+INDEX('Facilities'!$K$9:$K$108,MATCH(C304,'Facilities'!$C$9:$C$108,0)))*IF(ABS(1-(1-R304)*(1-0)/(1+INDEX('Facilities'!$K$9:$K$108,MATCH(C304,'Facilities'!$C$9:$C$108,0))))&lt;0.000000001,IF(T304=1,MIN(1,AJ304),AJ304),(1-((1-R304)*(1-0)/(1+INDEX('Facilities'!$K$9:$K$108,MATCH(C304,'Facilities'!$C$9:$C$108,0))))^IF(T304=1,MIN(1,AJ304),AJ304))/(1-(1-R304)*(1-0)/(1+INDEX('Facilities'!$K$9:$K$108,MATCH(C304,'Facilities'!$C$9:$C$108,0))))))))</x:f>
      </x:c>
      <x:c r="W304" s="21" t="str">
        <x:f>IF(C304="","",IFERROR(U204,"Unavailable"))</x:f>
      </x:c>
      <x:c r="X304" s="21" t="str">
        <x:f>IF(C304="","",IFERROR(V204,"Unavailable"))</x:f>
      </x:c>
      <x:c r="Y304" s="21" t="str">
        <x:f>IF(C304="","",IF(AQ304&lt;&gt;"Ready","Unavailable",IF(C304="","",U304-W304+V304-X304+N304+AG304)))</x:f>
      </x:c>
      <x:c r="Z304" s="23" t="str">
        <x:f>IF(C304="","",IF(AQ304&lt;&gt;"Ready","Unavailable",IF(C304="","",(G304+O304+L304)/2*INDEX('Facilities'!$T$9:$T$108,MATCH(C304,'Facilities'!$C$9:$C$108,0))+AG304)))</x:f>
      </x:c>
      <x:c r="AA304" s="23" t="str">
        <x:f>IF(C304="","",IF(AQ304&lt;&gt;"Ready","Unavailable",IF(C304="","",O304*(1-IF(INDEX('Facilities'!$AA$9:$AA$108,MATCH(C304,'Facilities'!$C$9:$C$108,0))=0,0,MIN(1,INDEX('Facilities'!$X$9:$X$108,MATCH(C304,'Facilities'!$C$9:$C$108,0))/INDEX('Facilities'!$AA$9:$AA$108,MATCH(C304,'Facilities'!$C$9:$C$108,0)))))*AF304+P304*(1-IF(INDEX('Facilities'!$AA$9:$AA$108,MATCH(C304,'Facilities'!$C$9:$C$108,0))=0,0,MIN(1,INDEX('Facilities'!$X$9:$X$108,MATCH(C304,'Facilities'!$C$9:$C$108,0))/INDEX('Facilities'!$AA$9:$AA$108,MATCH(C304,'Facilities'!$C$9:$C$108,0)))))*INDEX('Facilities'!$AJ$9:$AJ$108,MATCH(C304,'Facilities'!$C$9:$C$108,0))+Q304*INDEX('Facilities'!$AI$9:$AI$108,MATCH(C304,'Facilities'!$C$9:$C$108,0))*AF304)))</x:f>
      </x:c>
      <x:c r="AB304" s="21" t="str">
        <x:f>IF(C304="","",O304+P304-AD304)</x:f>
      </x:c>
      <x:c r="AC304" s="23" t="str">
        <x:f>IF(C304="","",IFERROR(IF(INDEX('Facilities'!$AD$9:$AD$108,MATCH(C304,'Facilities'!$C$9:$C$108,0))=3,0,IF(INDEX('Facilities'!$AN$9:$AN$108,MATCH(C304,'Facilities'!$C$9:$C$108,0))=0,-1,INDEX('Facilities'!$AN$9:$AN$108,MATCH(C304,'Facilities'!$C$9:$C$108,0)))),"Unavailable"))</x:f>
      </x:c>
      <x:c r="AD304" s="21" t="str">
        <x:f>IF(C304="","",IFERROR(G304+H304,"Unavailable"))</x:f>
      </x:c>
      <x:c r="AE304" s="21" t="str">
        <x:f>IF(C304="","",IF(AQ304&lt;&gt;"Ready","Unavailable",IF(C304="","",O304+P304-AD304-J304+K304+M304+N304)))</x:f>
      </x:c>
      <x:c r="AF304" s="30" t="str">
        <x:f>IF(C304="","",IFERROR(INDEX('Facilities'!$S$9:$S$108,MATCH(C304,'Facilities'!$C$9:$C$108,0))*'Scenario Paths'!H75,"Unavailable"))</x:f>
      </x:c>
      <x:c r="AG304" s="23" t="str">
        <x:f>IF(C304="","",IF(AQ304&lt;&gt;"Ready","Unavailable",IF(C304="","",IF(H304&gt;0,MAX(0,H304-AK304)*((1+INDEX('Facilities'!$K$9:$K$108,MATCH(C304,'Facilities'!$C$9:$C$108,0)))^MIN(1,MAX(0,AC304+INDEX('Facilities'!$AK$9:$AK$108,MATCH(C304,'Facilities'!$C$9:$C$108,0))-D304+1))-1),0))))</x:f>
      </x:c>
      <x:c r="AH304" s="21" t="str">
        <x:f>IF(C304="","",IF(AQ304&lt;&gt;"Ready","Unavailable",IF(C304="","",O304+P304)))</x:f>
      </x:c>
      <x:c r="AI304" s="21" t="str">
        <x:f>IF(C304="","",IF(AQ304&lt;&gt;"Ready","Unavailable",IF(C304="","",Z304-Y304)))</x:f>
      </x:c>
      <x:c r="AJ304" s="23" t="str">
        <x:f>IF(C304="","",IFERROR(MAX(0,INDEX('Facilities'!$J$9:$J$108,MATCH(C304,'Facilities'!$C$9:$C$108,0))-D304),"Unavailable"))</x:f>
      </x:c>
      <x:c r="AK304" s="21" t="str">
        <x:f>IF(C304="","",IFERROR(AL204,"Unavailable"))</x:f>
      </x:c>
      <x:c r="AL304" s="23" t="str">
        <x:f>IF(C304="","",IFERROR(IF(P304&gt;0,P304*(1-AM304/(1+INDEX('Facilities'!$K$9:$K$108,MATCH(C304,'Facilities'!$C$9:$C$108,0)))^MAX(0,AC304+INDEX('Facilities'!$AK$9:$AK$108,MATCH(C304,'Facilities'!$C$9:$C$108,0))-D304)),0),"Unavailable"))</x:f>
      </x:c>
      <x:c r="AM304" s="30" t="str">
        <x:f>IF(C304="","",IFERROR(INDEX('Facilities'!$AL$9:$AL$108,MATCH(C304,'Facilities'!$C$9:$C$108,0)),"Unavailable"))</x:f>
      </x:c>
      <x:c r="AN304" s="30" t="str">
        <x:f>IF(C304="","",IFERROR(INDEX(Credit!$T$209:$T$308,MATCH(F304,Credit!$C$209:$C$308,0)),"Unavailable"))</x:f>
      </x:c>
      <x:c r="AO304" s="23" t="str">
        <x:f>IF(C304="","",IF(AQ304&lt;&gt;"Ready","Unavailable",IF(C304="","",O304+P304+Q304*INDEX('Facilities'!$I$9:$I$108,MATCH(C304,'Facilities'!$C$9:$C$108,0)))))</x:f>
      </x:c>
      <x:c r="AP304" s="21" t="str">
        <x:f>IF(C304="","",IF(AQ304&lt;&gt;"Ready","Unavailable",IF(C304="","",AH304-U304)))</x:f>
      </x:c>
      <x:c r="AQ304" s="23" t="str">
        <x:f>IFERROR(IF(C304="","",IF(AND(INDEX('Facilities'!$AF$9:$AF$108,MATCH(C304,'Facilities'!$C$9:$C$108,0))="Ready",INDEX(Credit!$U$209:$U$308,MATCH(F304,Credit!$C$209:$C$308,0))="Ready",ISNUMBER(W304)),"Ready","Review inputs")),"Review inputs")</x:f>
      </x:c>
      <x:c r="AR304" s="23" t="str">
        <x:f>IF(C304="","",IF(AQ304&lt;&gt;"Ready","Unavailable",IF(C304="","",IF(O304=0,0,(IF(AJ304&lt;=1,O304,O304*INDEX('Facilities'!$R$9:$R$108,MATCH(C304,'Facilities'!$C$9:$C$108,0)))+O304*INDEX('Facilities'!$T$9:$T$108,MATCH(C304,'Facilities'!$C$9:$C$108,0)))/12))))</x:f>
      </x:c>
    </x:row>
    <x:row r="305" ht="26" customHeight="1">
      <x:c r="A305" s="1"/>
      <x:c r="B305" s="1"/>
      <x:c r="C305" s="9" t="str">
        <x:f>IF(Facilities!C105="","",Facilities!C105)</x:f>
      </x:c>
      <x:c r="D305" s="3" t="n">
        <x:v>3</x:v>
      </x:c>
      <x:c r="E305" s="9" t="n">
        <x:f>Settings!$F$18+2</x:f>
        <x:v>2029</x:v>
      </x:c>
      <x:c r="F305" s="9" t="str">
        <x:f>IF(C305="","",IFERROR(INDEX('Facilities'!$D$9:$D$108,MATCH(C305,'Facilities'!$C$9:$C$108,0)),"Unavailable"))</x:f>
      </x:c>
      <x:c r="G305" s="21" t="str">
        <x:f>IF(C305="","",IFERROR(O205,"Unavailable"))</x:f>
      </x:c>
      <x:c r="H305" s="21" t="str">
        <x:f>IF(C305="","",IFERROR(P205,"Unavailable"))</x:f>
      </x:c>
      <x:c r="I305" s="21" t="str">
        <x:f>IF(C305="","",IFERROR(Q205,"Unavailable"))</x:f>
      </x:c>
      <x:c r="J305" s="23" t="str">
        <x:f>IF(C305="","",IFERROR(IF(OR(H305&gt;0,AND(AC305&gt;=0,AC305&lt;D305),D305&gt;INDEX('Facilities'!$J$9:$J$108,MATCH(C305,'Facilities'!$C$9:$C$108,0))),0,I305*'Scenario Paths'!H81),"Unavailable"))</x:f>
      </x:c>
      <x:c r="K305" s="23" t="str">
        <x:f>IF(C305="","",IFERROR(IF(OR(H305&gt;0,AND(AC305&gt;=0,AC305=D305)),0,IF(D305&gt;=INDEX('Facilities'!$J$9:$J$108,MATCH(C305,'Facilities'!$C$9:$C$108,0)),G305+J305,MIN(G305+J305,G305*INDEX('Facilities'!$R$9:$R$108,MATCH(C305,'Facilities'!$C$9:$C$108,0))))),"Unavailable"))</x:f>
      </x:c>
      <x:c r="L305" s="21" t="str">
        <x:f>IF(C305="","",IFERROR(IF(AND(AC305=D305,AC305&gt;0),MAX(0,G305+J305-K305),0),"Unavailable"))</x:f>
      </x:c>
      <x:c r="M305" s="23" t="str">
        <x:f>IF(C305="","",IFERROR(IF(AND(AC305&gt;=0,D305&gt;=AC305+INDEX('Facilities'!$AK$9:$AK$108,MATCH(C305,'Facilities'!$C$9:$C$108,0))),(H305+L305)*AM305,0),"Unavailable"))</x:f>
      </x:c>
      <x:c r="N305" s="23" t="str">
        <x:f>IF(C305="","",IFERROR(IF(AND(AC305&gt;=0,D305&gt;=AC305+INDEX('Facilities'!$AK$9:$AK$108,MATCH(C305,'Facilities'!$C$9:$C$108,0))),H305+L305-M305,0),"Unavailable"))</x:f>
      </x:c>
      <x:c r="O305" s="21" t="str">
        <x:f>IF(C305="","",IFERROR(MAX(0,G305+J305-K305-L305),"Unavailable"))</x:f>
      </x:c>
      <x:c r="P305" s="21" t="str">
        <x:f>IF(C305="","",IFERROR(MAX(0,H305+L305-M305-N305),"Unavailable"))</x:f>
      </x:c>
      <x:c r="Q305" s="23" t="str">
        <x:f>IF(C305="","",IFERROR(IF(OR(D305&gt;=INDEX('Facilities'!$J$9:$J$108,MATCH(C305,'Facilities'!$C$9:$C$108,0)),AND(AC305&gt;=0,AC305&lt;=D305)),0,MAX(0,I305-J305)),"Unavailable"))</x:f>
      </x:c>
      <x:c r="R305" s="30" t="str">
        <x:f>IF(C305="","",IFERROR(INDEX(Credit!$Q$209:$Q$308,MATCH(F305,Credit!$C$209:$C$308,0)),"Unavailable"))</x:f>
      </x:c>
      <x:c r="S305" s="30" t="str">
        <x:f>IF(C305="","",IFERROR(INDEX(Credit!$R$209:$R$308,MATCH(F305,Credit!$C$209:$C$308,0)),"Unavailable"))</x:f>
      </x:c>
      <x:c r="T305" s="23" t="str">
        <x:f>IF(C305="","",IFERROR(IF(P305&gt;0,3,IF(OR(INDEX('Facilities'!$AD$9:$AD$108,MATCH(C305,'Facilities'!$C$9:$C$108,0))=2,AND(R305&gt;=INDEX('Facilities'!$L$9:$L$108,MATCH(C305,'Facilities'!$C$9:$C$108,0))*Settings!$F$19,R305-INDEX('Facilities'!$L$9:$L$108,MATCH(C305,'Facilities'!$C$9:$C$108,0))&gt;=Settings!$F$20)),2,1)),"Unavailable"))</x:f>
      </x:c>
      <x:c r="U305" s="23" t="str">
        <x:f>IF(C305="","",IF(AQ305&lt;&gt;"Ready","Unavailable",IF(C305="","",O305*(1-(1-S305)/(1+INDEX('Facilities'!$K$9:$K$108,MATCH(C305,'Facilities'!$C$9:$C$108,0)))^INDEX('Facilities'!$AK$9:$AK$108,MATCH(C305,'Facilities'!$C$9:$C$108,0)))*R305/(1+INDEX('Facilities'!$K$9:$K$108,MATCH(C305,'Facilities'!$C$9:$C$108,0)))*IF(ABS(1-(1-R305)*(1-INDEX('Facilities'!$R$9:$R$108,MATCH(C305,'Facilities'!$C$9:$C$108,0)))/(1+INDEX('Facilities'!$K$9:$K$108,MATCH(C305,'Facilities'!$C$9:$C$108,0))))&lt;0.000000001,IF(T305=1,MIN(1,AJ305),AJ305),(1-((1-R305)*(1-INDEX('Facilities'!$R$9:$R$108,MATCH(C305,'Facilities'!$C$9:$C$108,0)))/(1+INDEX('Facilities'!$K$9:$K$108,MATCH(C305,'Facilities'!$C$9:$C$108,0))))^IF(T305=1,MIN(1,AJ305),AJ305))/(1-(1-R305)*(1-INDEX('Facilities'!$R$9:$R$108,MATCH(C305,'Facilities'!$C$9:$C$108,0)))/(1+INDEX('Facilities'!$K$9:$K$108,MATCH(C305,'Facilities'!$C$9:$C$108,0)))))+AL305)))</x:f>
      </x:c>
      <x:c r="V305" s="23" t="str">
        <x:f>IF(C305="","",IF(AQ305&lt;&gt;"Ready","Unavailable",IF(C305="","",Q305*INDEX('Facilities'!$I$9:$I$108,MATCH(C305,'Facilities'!$C$9:$C$108,0))*(1-(1-S305)/(1+INDEX('Facilities'!$K$9:$K$108,MATCH(C305,'Facilities'!$C$9:$C$108,0)))^INDEX('Facilities'!$AK$9:$AK$108,MATCH(C305,'Facilities'!$C$9:$C$108,0)))*R305/(1+INDEX('Facilities'!$K$9:$K$108,MATCH(C305,'Facilities'!$C$9:$C$108,0)))*IF(ABS(1-(1-R305)*(1-0)/(1+INDEX('Facilities'!$K$9:$K$108,MATCH(C305,'Facilities'!$C$9:$C$108,0))))&lt;0.000000001,IF(T305=1,MIN(1,AJ305),AJ305),(1-((1-R305)*(1-0)/(1+INDEX('Facilities'!$K$9:$K$108,MATCH(C305,'Facilities'!$C$9:$C$108,0))))^IF(T305=1,MIN(1,AJ305),AJ305))/(1-(1-R305)*(1-0)/(1+INDEX('Facilities'!$K$9:$K$108,MATCH(C305,'Facilities'!$C$9:$C$108,0))))))))</x:f>
      </x:c>
      <x:c r="W305" s="21" t="str">
        <x:f>IF(C305="","",IFERROR(U205,"Unavailable"))</x:f>
      </x:c>
      <x:c r="X305" s="21" t="str">
        <x:f>IF(C305="","",IFERROR(V205,"Unavailable"))</x:f>
      </x:c>
      <x:c r="Y305" s="21" t="str">
        <x:f>IF(C305="","",IF(AQ305&lt;&gt;"Ready","Unavailable",IF(C305="","",U305-W305+V305-X305+N305+AG305)))</x:f>
      </x:c>
      <x:c r="Z305" s="23" t="str">
        <x:f>IF(C305="","",IF(AQ305&lt;&gt;"Ready","Unavailable",IF(C305="","",(G305+O305+L305)/2*INDEX('Facilities'!$T$9:$T$108,MATCH(C305,'Facilities'!$C$9:$C$108,0))+AG305)))</x:f>
      </x:c>
      <x:c r="AA305" s="23" t="str">
        <x:f>IF(C305="","",IF(AQ305&lt;&gt;"Ready","Unavailable",IF(C305="","",O305*(1-IF(INDEX('Facilities'!$AA$9:$AA$108,MATCH(C305,'Facilities'!$C$9:$C$108,0))=0,0,MIN(1,INDEX('Facilities'!$X$9:$X$108,MATCH(C305,'Facilities'!$C$9:$C$108,0))/INDEX('Facilities'!$AA$9:$AA$108,MATCH(C305,'Facilities'!$C$9:$C$108,0)))))*AF305+P305*(1-IF(INDEX('Facilities'!$AA$9:$AA$108,MATCH(C305,'Facilities'!$C$9:$C$108,0))=0,0,MIN(1,INDEX('Facilities'!$X$9:$X$108,MATCH(C305,'Facilities'!$C$9:$C$108,0))/INDEX('Facilities'!$AA$9:$AA$108,MATCH(C305,'Facilities'!$C$9:$C$108,0)))))*INDEX('Facilities'!$AJ$9:$AJ$108,MATCH(C305,'Facilities'!$C$9:$C$108,0))+Q305*INDEX('Facilities'!$AI$9:$AI$108,MATCH(C305,'Facilities'!$C$9:$C$108,0))*AF305)))</x:f>
      </x:c>
      <x:c r="AB305" s="21" t="str">
        <x:f>IF(C305="","",O305+P305-AD305)</x:f>
      </x:c>
      <x:c r="AC305" s="23" t="str">
        <x:f>IF(C305="","",IFERROR(IF(INDEX('Facilities'!$AD$9:$AD$108,MATCH(C305,'Facilities'!$C$9:$C$108,0))=3,0,IF(INDEX('Facilities'!$AN$9:$AN$108,MATCH(C305,'Facilities'!$C$9:$C$108,0))=0,-1,INDEX('Facilities'!$AN$9:$AN$108,MATCH(C305,'Facilities'!$C$9:$C$108,0)))),"Unavailable"))</x:f>
      </x:c>
      <x:c r="AD305" s="21" t="str">
        <x:f>IF(C305="","",IFERROR(G305+H305,"Unavailable"))</x:f>
      </x:c>
      <x:c r="AE305" s="21" t="str">
        <x:f>IF(C305="","",IF(AQ305&lt;&gt;"Ready","Unavailable",IF(C305="","",O305+P305-AD305-J305+K305+M305+N305)))</x:f>
      </x:c>
      <x:c r="AF305" s="30" t="str">
        <x:f>IF(C305="","",IFERROR(INDEX('Facilities'!$S$9:$S$108,MATCH(C305,'Facilities'!$C$9:$C$108,0))*'Scenario Paths'!H75,"Unavailable"))</x:f>
      </x:c>
      <x:c r="AG305" s="23" t="str">
        <x:f>IF(C305="","",IF(AQ305&lt;&gt;"Ready","Unavailable",IF(C305="","",IF(H305&gt;0,MAX(0,H305-AK305)*((1+INDEX('Facilities'!$K$9:$K$108,MATCH(C305,'Facilities'!$C$9:$C$108,0)))^MIN(1,MAX(0,AC305+INDEX('Facilities'!$AK$9:$AK$108,MATCH(C305,'Facilities'!$C$9:$C$108,0))-D305+1))-1),0))))</x:f>
      </x:c>
      <x:c r="AH305" s="21" t="str">
        <x:f>IF(C305="","",IF(AQ305&lt;&gt;"Ready","Unavailable",IF(C305="","",O305+P305)))</x:f>
      </x:c>
      <x:c r="AI305" s="21" t="str">
        <x:f>IF(C305="","",IF(AQ305&lt;&gt;"Ready","Unavailable",IF(C305="","",Z305-Y305)))</x:f>
      </x:c>
      <x:c r="AJ305" s="23" t="str">
        <x:f>IF(C305="","",IFERROR(MAX(0,INDEX('Facilities'!$J$9:$J$108,MATCH(C305,'Facilities'!$C$9:$C$108,0))-D305),"Unavailable"))</x:f>
      </x:c>
      <x:c r="AK305" s="21" t="str">
        <x:f>IF(C305="","",IFERROR(AL205,"Unavailable"))</x:f>
      </x:c>
      <x:c r="AL305" s="23" t="str">
        <x:f>IF(C305="","",IFERROR(IF(P305&gt;0,P305*(1-AM305/(1+INDEX('Facilities'!$K$9:$K$108,MATCH(C305,'Facilities'!$C$9:$C$108,0)))^MAX(0,AC305+INDEX('Facilities'!$AK$9:$AK$108,MATCH(C305,'Facilities'!$C$9:$C$108,0))-D305)),0),"Unavailable"))</x:f>
      </x:c>
      <x:c r="AM305" s="30" t="str">
        <x:f>IF(C305="","",IFERROR(INDEX('Facilities'!$AL$9:$AL$108,MATCH(C305,'Facilities'!$C$9:$C$108,0)),"Unavailable"))</x:f>
      </x:c>
      <x:c r="AN305" s="30" t="str">
        <x:f>IF(C305="","",IFERROR(INDEX(Credit!$T$209:$T$308,MATCH(F305,Credit!$C$209:$C$308,0)),"Unavailable"))</x:f>
      </x:c>
      <x:c r="AO305" s="23" t="str">
        <x:f>IF(C305="","",IF(AQ305&lt;&gt;"Ready","Unavailable",IF(C305="","",O305+P305+Q305*INDEX('Facilities'!$I$9:$I$108,MATCH(C305,'Facilities'!$C$9:$C$108,0)))))</x:f>
      </x:c>
      <x:c r="AP305" s="21" t="str">
        <x:f>IF(C305="","",IF(AQ305&lt;&gt;"Ready","Unavailable",IF(C305="","",AH305-U305)))</x:f>
      </x:c>
      <x:c r="AQ305" s="23" t="str">
        <x:f>IFERROR(IF(C305="","",IF(AND(INDEX('Facilities'!$AF$9:$AF$108,MATCH(C305,'Facilities'!$C$9:$C$108,0))="Ready",INDEX(Credit!$U$209:$U$308,MATCH(F305,Credit!$C$209:$C$308,0))="Ready",ISNUMBER(W305)),"Ready","Review inputs")),"Review inputs")</x:f>
      </x:c>
      <x:c r="AR305" s="23" t="str">
        <x:f>IF(C305="","",IF(AQ305&lt;&gt;"Ready","Unavailable",IF(C305="","",IF(O305=0,0,(IF(AJ305&lt;=1,O305,O305*INDEX('Facilities'!$R$9:$R$108,MATCH(C305,'Facilities'!$C$9:$C$108,0)))+O305*INDEX('Facilities'!$T$9:$T$108,MATCH(C305,'Facilities'!$C$9:$C$108,0)))/12))))</x:f>
      </x:c>
    </x:row>
    <x:row r="306" ht="26" customHeight="1">
      <x:c r="A306" s="1"/>
      <x:c r="B306" s="1"/>
      <x:c r="C306" s="9" t="str">
        <x:f>IF(Facilities!C106="","",Facilities!C106)</x:f>
      </x:c>
      <x:c r="D306" s="3" t="n">
        <x:v>3</x:v>
      </x:c>
      <x:c r="E306" s="9" t="n">
        <x:f>Settings!$F$18+2</x:f>
        <x:v>2029</x:v>
      </x:c>
      <x:c r="F306" s="9" t="str">
        <x:f>IF(C306="","",IFERROR(INDEX('Facilities'!$D$9:$D$108,MATCH(C306,'Facilities'!$C$9:$C$108,0)),"Unavailable"))</x:f>
      </x:c>
      <x:c r="G306" s="21" t="str">
        <x:f>IF(C306="","",IFERROR(O206,"Unavailable"))</x:f>
      </x:c>
      <x:c r="H306" s="21" t="str">
        <x:f>IF(C306="","",IFERROR(P206,"Unavailable"))</x:f>
      </x:c>
      <x:c r="I306" s="21" t="str">
        <x:f>IF(C306="","",IFERROR(Q206,"Unavailable"))</x:f>
      </x:c>
      <x:c r="J306" s="23" t="str">
        <x:f>IF(C306="","",IFERROR(IF(OR(H306&gt;0,AND(AC306&gt;=0,AC306&lt;D306),D306&gt;INDEX('Facilities'!$J$9:$J$108,MATCH(C306,'Facilities'!$C$9:$C$108,0))),0,I306*'Scenario Paths'!H81),"Unavailable"))</x:f>
      </x:c>
      <x:c r="K306" s="23" t="str">
        <x:f>IF(C306="","",IFERROR(IF(OR(H306&gt;0,AND(AC306&gt;=0,AC306=D306)),0,IF(D306&gt;=INDEX('Facilities'!$J$9:$J$108,MATCH(C306,'Facilities'!$C$9:$C$108,0)),G306+J306,MIN(G306+J306,G306*INDEX('Facilities'!$R$9:$R$108,MATCH(C306,'Facilities'!$C$9:$C$108,0))))),"Unavailable"))</x:f>
      </x:c>
      <x:c r="L306" s="21" t="str">
        <x:f>IF(C306="","",IFERROR(IF(AND(AC306=D306,AC306&gt;0),MAX(0,G306+J306-K306),0),"Unavailable"))</x:f>
      </x:c>
      <x:c r="M306" s="23" t="str">
        <x:f>IF(C306="","",IFERROR(IF(AND(AC306&gt;=0,D306&gt;=AC306+INDEX('Facilities'!$AK$9:$AK$108,MATCH(C306,'Facilities'!$C$9:$C$108,0))),(H306+L306)*AM306,0),"Unavailable"))</x:f>
      </x:c>
      <x:c r="N306" s="23" t="str">
        <x:f>IF(C306="","",IFERROR(IF(AND(AC306&gt;=0,D306&gt;=AC306+INDEX('Facilities'!$AK$9:$AK$108,MATCH(C306,'Facilities'!$C$9:$C$108,0))),H306+L306-M306,0),"Unavailable"))</x:f>
      </x:c>
      <x:c r="O306" s="21" t="str">
        <x:f>IF(C306="","",IFERROR(MAX(0,G306+J306-K306-L306),"Unavailable"))</x:f>
      </x:c>
      <x:c r="P306" s="21" t="str">
        <x:f>IF(C306="","",IFERROR(MAX(0,H306+L306-M306-N306),"Unavailable"))</x:f>
      </x:c>
      <x:c r="Q306" s="23" t="str">
        <x:f>IF(C306="","",IFERROR(IF(OR(D306&gt;=INDEX('Facilities'!$J$9:$J$108,MATCH(C306,'Facilities'!$C$9:$C$108,0)),AND(AC306&gt;=0,AC306&lt;=D306)),0,MAX(0,I306-J306)),"Unavailable"))</x:f>
      </x:c>
      <x:c r="R306" s="30" t="str">
        <x:f>IF(C306="","",IFERROR(INDEX(Credit!$Q$209:$Q$308,MATCH(F306,Credit!$C$209:$C$308,0)),"Unavailable"))</x:f>
      </x:c>
      <x:c r="S306" s="30" t="str">
        <x:f>IF(C306="","",IFERROR(INDEX(Credit!$R$209:$R$308,MATCH(F306,Credit!$C$209:$C$308,0)),"Unavailable"))</x:f>
      </x:c>
      <x:c r="T306" s="23" t="str">
        <x:f>IF(C306="","",IFERROR(IF(P306&gt;0,3,IF(OR(INDEX('Facilities'!$AD$9:$AD$108,MATCH(C306,'Facilities'!$C$9:$C$108,0))=2,AND(R306&gt;=INDEX('Facilities'!$L$9:$L$108,MATCH(C306,'Facilities'!$C$9:$C$108,0))*Settings!$F$19,R306-INDEX('Facilities'!$L$9:$L$108,MATCH(C306,'Facilities'!$C$9:$C$108,0))&gt;=Settings!$F$20)),2,1)),"Unavailable"))</x:f>
      </x:c>
      <x:c r="U306" s="23" t="str">
        <x:f>IF(C306="","",IF(AQ306&lt;&gt;"Ready","Unavailable",IF(C306="","",O306*(1-(1-S306)/(1+INDEX('Facilities'!$K$9:$K$108,MATCH(C306,'Facilities'!$C$9:$C$108,0)))^INDEX('Facilities'!$AK$9:$AK$108,MATCH(C306,'Facilities'!$C$9:$C$108,0)))*R306/(1+INDEX('Facilities'!$K$9:$K$108,MATCH(C306,'Facilities'!$C$9:$C$108,0)))*IF(ABS(1-(1-R306)*(1-INDEX('Facilities'!$R$9:$R$108,MATCH(C306,'Facilities'!$C$9:$C$108,0)))/(1+INDEX('Facilities'!$K$9:$K$108,MATCH(C306,'Facilities'!$C$9:$C$108,0))))&lt;0.000000001,IF(T306=1,MIN(1,AJ306),AJ306),(1-((1-R306)*(1-INDEX('Facilities'!$R$9:$R$108,MATCH(C306,'Facilities'!$C$9:$C$108,0)))/(1+INDEX('Facilities'!$K$9:$K$108,MATCH(C306,'Facilities'!$C$9:$C$108,0))))^IF(T306=1,MIN(1,AJ306),AJ306))/(1-(1-R306)*(1-INDEX('Facilities'!$R$9:$R$108,MATCH(C306,'Facilities'!$C$9:$C$108,0)))/(1+INDEX('Facilities'!$K$9:$K$108,MATCH(C306,'Facilities'!$C$9:$C$108,0)))))+AL306)))</x:f>
      </x:c>
      <x:c r="V306" s="23" t="str">
        <x:f>IF(C306="","",IF(AQ306&lt;&gt;"Ready","Unavailable",IF(C306="","",Q306*INDEX('Facilities'!$I$9:$I$108,MATCH(C306,'Facilities'!$C$9:$C$108,0))*(1-(1-S306)/(1+INDEX('Facilities'!$K$9:$K$108,MATCH(C306,'Facilities'!$C$9:$C$108,0)))^INDEX('Facilities'!$AK$9:$AK$108,MATCH(C306,'Facilities'!$C$9:$C$108,0)))*R306/(1+INDEX('Facilities'!$K$9:$K$108,MATCH(C306,'Facilities'!$C$9:$C$108,0)))*IF(ABS(1-(1-R306)*(1-0)/(1+INDEX('Facilities'!$K$9:$K$108,MATCH(C306,'Facilities'!$C$9:$C$108,0))))&lt;0.000000001,IF(T306=1,MIN(1,AJ306),AJ306),(1-((1-R306)*(1-0)/(1+INDEX('Facilities'!$K$9:$K$108,MATCH(C306,'Facilities'!$C$9:$C$108,0))))^IF(T306=1,MIN(1,AJ306),AJ306))/(1-(1-R306)*(1-0)/(1+INDEX('Facilities'!$K$9:$K$108,MATCH(C306,'Facilities'!$C$9:$C$108,0))))))))</x:f>
      </x:c>
      <x:c r="W306" s="21" t="str">
        <x:f>IF(C306="","",IFERROR(U206,"Unavailable"))</x:f>
      </x:c>
      <x:c r="X306" s="21" t="str">
        <x:f>IF(C306="","",IFERROR(V206,"Unavailable"))</x:f>
      </x:c>
      <x:c r="Y306" s="21" t="str">
        <x:f>IF(C306="","",IF(AQ306&lt;&gt;"Ready","Unavailable",IF(C306="","",U306-W306+V306-X306+N306+AG306)))</x:f>
      </x:c>
      <x:c r="Z306" s="23" t="str">
        <x:f>IF(C306="","",IF(AQ306&lt;&gt;"Ready","Unavailable",IF(C306="","",(G306+O306+L306)/2*INDEX('Facilities'!$T$9:$T$108,MATCH(C306,'Facilities'!$C$9:$C$108,0))+AG306)))</x:f>
      </x:c>
      <x:c r="AA306" s="23" t="str">
        <x:f>IF(C306="","",IF(AQ306&lt;&gt;"Ready","Unavailable",IF(C306="","",O306*(1-IF(INDEX('Facilities'!$AA$9:$AA$108,MATCH(C306,'Facilities'!$C$9:$C$108,0))=0,0,MIN(1,INDEX('Facilities'!$X$9:$X$108,MATCH(C306,'Facilities'!$C$9:$C$108,0))/INDEX('Facilities'!$AA$9:$AA$108,MATCH(C306,'Facilities'!$C$9:$C$108,0)))))*AF306+P306*(1-IF(INDEX('Facilities'!$AA$9:$AA$108,MATCH(C306,'Facilities'!$C$9:$C$108,0))=0,0,MIN(1,INDEX('Facilities'!$X$9:$X$108,MATCH(C306,'Facilities'!$C$9:$C$108,0))/INDEX('Facilities'!$AA$9:$AA$108,MATCH(C306,'Facilities'!$C$9:$C$108,0)))))*INDEX('Facilities'!$AJ$9:$AJ$108,MATCH(C306,'Facilities'!$C$9:$C$108,0))+Q306*INDEX('Facilities'!$AI$9:$AI$108,MATCH(C306,'Facilities'!$C$9:$C$108,0))*AF306)))</x:f>
      </x:c>
      <x:c r="AB306" s="21" t="str">
        <x:f>IF(C306="","",O306+P306-AD306)</x:f>
      </x:c>
      <x:c r="AC306" s="23" t="str">
        <x:f>IF(C306="","",IFERROR(IF(INDEX('Facilities'!$AD$9:$AD$108,MATCH(C306,'Facilities'!$C$9:$C$108,0))=3,0,IF(INDEX('Facilities'!$AN$9:$AN$108,MATCH(C306,'Facilities'!$C$9:$C$108,0))=0,-1,INDEX('Facilities'!$AN$9:$AN$108,MATCH(C306,'Facilities'!$C$9:$C$108,0)))),"Unavailable"))</x:f>
      </x:c>
      <x:c r="AD306" s="21" t="str">
        <x:f>IF(C306="","",IFERROR(G306+H306,"Unavailable"))</x:f>
      </x:c>
      <x:c r="AE306" s="21" t="str">
        <x:f>IF(C306="","",IF(AQ306&lt;&gt;"Ready","Unavailable",IF(C306="","",O306+P306-AD306-J306+K306+M306+N306)))</x:f>
      </x:c>
      <x:c r="AF306" s="30" t="str">
        <x:f>IF(C306="","",IFERROR(INDEX('Facilities'!$S$9:$S$108,MATCH(C306,'Facilities'!$C$9:$C$108,0))*'Scenario Paths'!H75,"Unavailable"))</x:f>
      </x:c>
      <x:c r="AG306" s="23" t="str">
        <x:f>IF(C306="","",IF(AQ306&lt;&gt;"Ready","Unavailable",IF(C306="","",IF(H306&gt;0,MAX(0,H306-AK306)*((1+INDEX('Facilities'!$K$9:$K$108,MATCH(C306,'Facilities'!$C$9:$C$108,0)))^MIN(1,MAX(0,AC306+INDEX('Facilities'!$AK$9:$AK$108,MATCH(C306,'Facilities'!$C$9:$C$108,0))-D306+1))-1),0))))</x:f>
      </x:c>
      <x:c r="AH306" s="21" t="str">
        <x:f>IF(C306="","",IF(AQ306&lt;&gt;"Ready","Unavailable",IF(C306="","",O306+P306)))</x:f>
      </x:c>
      <x:c r="AI306" s="21" t="str">
        <x:f>IF(C306="","",IF(AQ306&lt;&gt;"Ready","Unavailable",IF(C306="","",Z306-Y306)))</x:f>
      </x:c>
      <x:c r="AJ306" s="23" t="str">
        <x:f>IF(C306="","",IFERROR(MAX(0,INDEX('Facilities'!$J$9:$J$108,MATCH(C306,'Facilities'!$C$9:$C$108,0))-D306),"Unavailable"))</x:f>
      </x:c>
      <x:c r="AK306" s="21" t="str">
        <x:f>IF(C306="","",IFERROR(AL206,"Unavailable"))</x:f>
      </x:c>
      <x:c r="AL306" s="23" t="str">
        <x:f>IF(C306="","",IFERROR(IF(P306&gt;0,P306*(1-AM306/(1+INDEX('Facilities'!$K$9:$K$108,MATCH(C306,'Facilities'!$C$9:$C$108,0)))^MAX(0,AC306+INDEX('Facilities'!$AK$9:$AK$108,MATCH(C306,'Facilities'!$C$9:$C$108,0))-D306)),0),"Unavailable"))</x:f>
      </x:c>
      <x:c r="AM306" s="30" t="str">
        <x:f>IF(C306="","",IFERROR(INDEX('Facilities'!$AL$9:$AL$108,MATCH(C306,'Facilities'!$C$9:$C$108,0)),"Unavailable"))</x:f>
      </x:c>
      <x:c r="AN306" s="30" t="str">
        <x:f>IF(C306="","",IFERROR(INDEX(Credit!$T$209:$T$308,MATCH(F306,Credit!$C$209:$C$308,0)),"Unavailable"))</x:f>
      </x:c>
      <x:c r="AO306" s="23" t="str">
        <x:f>IF(C306="","",IF(AQ306&lt;&gt;"Ready","Unavailable",IF(C306="","",O306+P306+Q306*INDEX('Facilities'!$I$9:$I$108,MATCH(C306,'Facilities'!$C$9:$C$108,0)))))</x:f>
      </x:c>
      <x:c r="AP306" s="21" t="str">
        <x:f>IF(C306="","",IF(AQ306&lt;&gt;"Ready","Unavailable",IF(C306="","",AH306-U306)))</x:f>
      </x:c>
      <x:c r="AQ306" s="23" t="str">
        <x:f>IFERROR(IF(C306="","",IF(AND(INDEX('Facilities'!$AF$9:$AF$108,MATCH(C306,'Facilities'!$C$9:$C$108,0))="Ready",INDEX(Credit!$U$209:$U$308,MATCH(F306,Credit!$C$209:$C$308,0))="Ready",ISNUMBER(W306)),"Ready","Review inputs")),"Review inputs")</x:f>
      </x:c>
      <x:c r="AR306" s="23" t="str">
        <x:f>IF(C306="","",IF(AQ306&lt;&gt;"Ready","Unavailable",IF(C306="","",IF(O306=0,0,(IF(AJ306&lt;=1,O306,O306*INDEX('Facilities'!$R$9:$R$108,MATCH(C306,'Facilities'!$C$9:$C$108,0)))+O306*INDEX('Facilities'!$T$9:$T$108,MATCH(C306,'Facilities'!$C$9:$C$108,0)))/12))))</x:f>
      </x:c>
    </x:row>
    <x:row r="307" ht="26" customHeight="1">
      <x:c r="A307" s="1"/>
      <x:c r="B307" s="1"/>
      <x:c r="C307" s="9" t="str">
        <x:f>IF(Facilities!C107="","",Facilities!C107)</x:f>
      </x:c>
      <x:c r="D307" s="3" t="n">
        <x:v>3</x:v>
      </x:c>
      <x:c r="E307" s="9" t="n">
        <x:f>Settings!$F$18+2</x:f>
        <x:v>2029</x:v>
      </x:c>
      <x:c r="F307" s="9" t="str">
        <x:f>IF(C307="","",IFERROR(INDEX('Facilities'!$D$9:$D$108,MATCH(C307,'Facilities'!$C$9:$C$108,0)),"Unavailable"))</x:f>
      </x:c>
      <x:c r="G307" s="21" t="str">
        <x:f>IF(C307="","",IFERROR(O207,"Unavailable"))</x:f>
      </x:c>
      <x:c r="H307" s="21" t="str">
        <x:f>IF(C307="","",IFERROR(P207,"Unavailable"))</x:f>
      </x:c>
      <x:c r="I307" s="21" t="str">
        <x:f>IF(C307="","",IFERROR(Q207,"Unavailable"))</x:f>
      </x:c>
      <x:c r="J307" s="23" t="str">
        <x:f>IF(C307="","",IFERROR(IF(OR(H307&gt;0,AND(AC307&gt;=0,AC307&lt;D307),D307&gt;INDEX('Facilities'!$J$9:$J$108,MATCH(C307,'Facilities'!$C$9:$C$108,0))),0,I307*'Scenario Paths'!H81),"Unavailable"))</x:f>
      </x:c>
      <x:c r="K307" s="23" t="str">
        <x:f>IF(C307="","",IFERROR(IF(OR(H307&gt;0,AND(AC307&gt;=0,AC307=D307)),0,IF(D307&gt;=INDEX('Facilities'!$J$9:$J$108,MATCH(C307,'Facilities'!$C$9:$C$108,0)),G307+J307,MIN(G307+J307,G307*INDEX('Facilities'!$R$9:$R$108,MATCH(C307,'Facilities'!$C$9:$C$108,0))))),"Unavailable"))</x:f>
      </x:c>
      <x:c r="L307" s="21" t="str">
        <x:f>IF(C307="","",IFERROR(IF(AND(AC307=D307,AC307&gt;0),MAX(0,G307+J307-K307),0),"Unavailable"))</x:f>
      </x:c>
      <x:c r="M307" s="23" t="str">
        <x:f>IF(C307="","",IFERROR(IF(AND(AC307&gt;=0,D307&gt;=AC307+INDEX('Facilities'!$AK$9:$AK$108,MATCH(C307,'Facilities'!$C$9:$C$108,0))),(H307+L307)*AM307,0),"Unavailable"))</x:f>
      </x:c>
      <x:c r="N307" s="23" t="str">
        <x:f>IF(C307="","",IFERROR(IF(AND(AC307&gt;=0,D307&gt;=AC307+INDEX('Facilities'!$AK$9:$AK$108,MATCH(C307,'Facilities'!$C$9:$C$108,0))),H307+L307-M307,0),"Unavailable"))</x:f>
      </x:c>
      <x:c r="O307" s="21" t="str">
        <x:f>IF(C307="","",IFERROR(MAX(0,G307+J307-K307-L307),"Unavailable"))</x:f>
      </x:c>
      <x:c r="P307" s="21" t="str">
        <x:f>IF(C307="","",IFERROR(MAX(0,H307+L307-M307-N307),"Unavailable"))</x:f>
      </x:c>
      <x:c r="Q307" s="23" t="str">
        <x:f>IF(C307="","",IFERROR(IF(OR(D307&gt;=INDEX('Facilities'!$J$9:$J$108,MATCH(C307,'Facilities'!$C$9:$C$108,0)),AND(AC307&gt;=0,AC307&lt;=D307)),0,MAX(0,I307-J307)),"Unavailable"))</x:f>
      </x:c>
      <x:c r="R307" s="30" t="str">
        <x:f>IF(C307="","",IFERROR(INDEX(Credit!$Q$209:$Q$308,MATCH(F307,Credit!$C$209:$C$308,0)),"Unavailable"))</x:f>
      </x:c>
      <x:c r="S307" s="30" t="str">
        <x:f>IF(C307="","",IFERROR(INDEX(Credit!$R$209:$R$308,MATCH(F307,Credit!$C$209:$C$308,0)),"Unavailable"))</x:f>
      </x:c>
      <x:c r="T307" s="23" t="str">
        <x:f>IF(C307="","",IFERROR(IF(P307&gt;0,3,IF(OR(INDEX('Facilities'!$AD$9:$AD$108,MATCH(C307,'Facilities'!$C$9:$C$108,0))=2,AND(R307&gt;=INDEX('Facilities'!$L$9:$L$108,MATCH(C307,'Facilities'!$C$9:$C$108,0))*Settings!$F$19,R307-INDEX('Facilities'!$L$9:$L$108,MATCH(C307,'Facilities'!$C$9:$C$108,0))&gt;=Settings!$F$20)),2,1)),"Unavailable"))</x:f>
      </x:c>
      <x:c r="U307" s="23" t="str">
        <x:f>IF(C307="","",IF(AQ307&lt;&gt;"Ready","Unavailable",IF(C307="","",O307*(1-(1-S307)/(1+INDEX('Facilities'!$K$9:$K$108,MATCH(C307,'Facilities'!$C$9:$C$108,0)))^INDEX('Facilities'!$AK$9:$AK$108,MATCH(C307,'Facilities'!$C$9:$C$108,0)))*R307/(1+INDEX('Facilities'!$K$9:$K$108,MATCH(C307,'Facilities'!$C$9:$C$108,0)))*IF(ABS(1-(1-R307)*(1-INDEX('Facilities'!$R$9:$R$108,MATCH(C307,'Facilities'!$C$9:$C$108,0)))/(1+INDEX('Facilities'!$K$9:$K$108,MATCH(C307,'Facilities'!$C$9:$C$108,0))))&lt;0.000000001,IF(T307=1,MIN(1,AJ307),AJ307),(1-((1-R307)*(1-INDEX('Facilities'!$R$9:$R$108,MATCH(C307,'Facilities'!$C$9:$C$108,0)))/(1+INDEX('Facilities'!$K$9:$K$108,MATCH(C307,'Facilities'!$C$9:$C$108,0))))^IF(T307=1,MIN(1,AJ307),AJ307))/(1-(1-R307)*(1-INDEX('Facilities'!$R$9:$R$108,MATCH(C307,'Facilities'!$C$9:$C$108,0)))/(1+INDEX('Facilities'!$K$9:$K$108,MATCH(C307,'Facilities'!$C$9:$C$108,0)))))+AL307)))</x:f>
      </x:c>
      <x:c r="V307" s="23" t="str">
        <x:f>IF(C307="","",IF(AQ307&lt;&gt;"Ready","Unavailable",IF(C307="","",Q307*INDEX('Facilities'!$I$9:$I$108,MATCH(C307,'Facilities'!$C$9:$C$108,0))*(1-(1-S307)/(1+INDEX('Facilities'!$K$9:$K$108,MATCH(C307,'Facilities'!$C$9:$C$108,0)))^INDEX('Facilities'!$AK$9:$AK$108,MATCH(C307,'Facilities'!$C$9:$C$108,0)))*R307/(1+INDEX('Facilities'!$K$9:$K$108,MATCH(C307,'Facilities'!$C$9:$C$108,0)))*IF(ABS(1-(1-R307)*(1-0)/(1+INDEX('Facilities'!$K$9:$K$108,MATCH(C307,'Facilities'!$C$9:$C$108,0))))&lt;0.000000001,IF(T307=1,MIN(1,AJ307),AJ307),(1-((1-R307)*(1-0)/(1+INDEX('Facilities'!$K$9:$K$108,MATCH(C307,'Facilities'!$C$9:$C$108,0))))^IF(T307=1,MIN(1,AJ307),AJ307))/(1-(1-R307)*(1-0)/(1+INDEX('Facilities'!$K$9:$K$108,MATCH(C307,'Facilities'!$C$9:$C$108,0))))))))</x:f>
      </x:c>
      <x:c r="W307" s="21" t="str">
        <x:f>IF(C307="","",IFERROR(U207,"Unavailable"))</x:f>
      </x:c>
      <x:c r="X307" s="21" t="str">
        <x:f>IF(C307="","",IFERROR(V207,"Unavailable"))</x:f>
      </x:c>
      <x:c r="Y307" s="21" t="str">
        <x:f>IF(C307="","",IF(AQ307&lt;&gt;"Ready","Unavailable",IF(C307="","",U307-W307+V307-X307+N307+AG307)))</x:f>
      </x:c>
      <x:c r="Z307" s="23" t="str">
        <x:f>IF(C307="","",IF(AQ307&lt;&gt;"Ready","Unavailable",IF(C307="","",(G307+O307+L307)/2*INDEX('Facilities'!$T$9:$T$108,MATCH(C307,'Facilities'!$C$9:$C$108,0))+AG307)))</x:f>
      </x:c>
      <x:c r="AA307" s="23" t="str">
        <x:f>IF(C307="","",IF(AQ307&lt;&gt;"Ready","Unavailable",IF(C307="","",O307*(1-IF(INDEX('Facilities'!$AA$9:$AA$108,MATCH(C307,'Facilities'!$C$9:$C$108,0))=0,0,MIN(1,INDEX('Facilities'!$X$9:$X$108,MATCH(C307,'Facilities'!$C$9:$C$108,0))/INDEX('Facilities'!$AA$9:$AA$108,MATCH(C307,'Facilities'!$C$9:$C$108,0)))))*AF307+P307*(1-IF(INDEX('Facilities'!$AA$9:$AA$108,MATCH(C307,'Facilities'!$C$9:$C$108,0))=0,0,MIN(1,INDEX('Facilities'!$X$9:$X$108,MATCH(C307,'Facilities'!$C$9:$C$108,0))/INDEX('Facilities'!$AA$9:$AA$108,MATCH(C307,'Facilities'!$C$9:$C$108,0)))))*INDEX('Facilities'!$AJ$9:$AJ$108,MATCH(C307,'Facilities'!$C$9:$C$108,0))+Q307*INDEX('Facilities'!$AI$9:$AI$108,MATCH(C307,'Facilities'!$C$9:$C$108,0))*AF307)))</x:f>
      </x:c>
      <x:c r="AB307" s="21" t="str">
        <x:f>IF(C307="","",O307+P307-AD307)</x:f>
      </x:c>
      <x:c r="AC307" s="23" t="str">
        <x:f>IF(C307="","",IFERROR(IF(INDEX('Facilities'!$AD$9:$AD$108,MATCH(C307,'Facilities'!$C$9:$C$108,0))=3,0,IF(INDEX('Facilities'!$AN$9:$AN$108,MATCH(C307,'Facilities'!$C$9:$C$108,0))=0,-1,INDEX('Facilities'!$AN$9:$AN$108,MATCH(C307,'Facilities'!$C$9:$C$108,0)))),"Unavailable"))</x:f>
      </x:c>
      <x:c r="AD307" s="21" t="str">
        <x:f>IF(C307="","",IFERROR(G307+H307,"Unavailable"))</x:f>
      </x:c>
      <x:c r="AE307" s="21" t="str">
        <x:f>IF(C307="","",IF(AQ307&lt;&gt;"Ready","Unavailable",IF(C307="","",O307+P307-AD307-J307+K307+M307+N307)))</x:f>
      </x:c>
      <x:c r="AF307" s="30" t="str">
        <x:f>IF(C307="","",IFERROR(INDEX('Facilities'!$S$9:$S$108,MATCH(C307,'Facilities'!$C$9:$C$108,0))*'Scenario Paths'!H75,"Unavailable"))</x:f>
      </x:c>
      <x:c r="AG307" s="23" t="str">
        <x:f>IF(C307="","",IF(AQ307&lt;&gt;"Ready","Unavailable",IF(C307="","",IF(H307&gt;0,MAX(0,H307-AK307)*((1+INDEX('Facilities'!$K$9:$K$108,MATCH(C307,'Facilities'!$C$9:$C$108,0)))^MIN(1,MAX(0,AC307+INDEX('Facilities'!$AK$9:$AK$108,MATCH(C307,'Facilities'!$C$9:$C$108,0))-D307+1))-1),0))))</x:f>
      </x:c>
      <x:c r="AH307" s="21" t="str">
        <x:f>IF(C307="","",IF(AQ307&lt;&gt;"Ready","Unavailable",IF(C307="","",O307+P307)))</x:f>
      </x:c>
      <x:c r="AI307" s="21" t="str">
        <x:f>IF(C307="","",IF(AQ307&lt;&gt;"Ready","Unavailable",IF(C307="","",Z307-Y307)))</x:f>
      </x:c>
      <x:c r="AJ307" s="23" t="str">
        <x:f>IF(C307="","",IFERROR(MAX(0,INDEX('Facilities'!$J$9:$J$108,MATCH(C307,'Facilities'!$C$9:$C$108,0))-D307),"Unavailable"))</x:f>
      </x:c>
      <x:c r="AK307" s="21" t="str">
        <x:f>IF(C307="","",IFERROR(AL207,"Unavailable"))</x:f>
      </x:c>
      <x:c r="AL307" s="23" t="str">
        <x:f>IF(C307="","",IFERROR(IF(P307&gt;0,P307*(1-AM307/(1+INDEX('Facilities'!$K$9:$K$108,MATCH(C307,'Facilities'!$C$9:$C$108,0)))^MAX(0,AC307+INDEX('Facilities'!$AK$9:$AK$108,MATCH(C307,'Facilities'!$C$9:$C$108,0))-D307)),0),"Unavailable"))</x:f>
      </x:c>
      <x:c r="AM307" s="30" t="str">
        <x:f>IF(C307="","",IFERROR(INDEX('Facilities'!$AL$9:$AL$108,MATCH(C307,'Facilities'!$C$9:$C$108,0)),"Unavailable"))</x:f>
      </x:c>
      <x:c r="AN307" s="30" t="str">
        <x:f>IF(C307="","",IFERROR(INDEX(Credit!$T$209:$T$308,MATCH(F307,Credit!$C$209:$C$308,0)),"Unavailable"))</x:f>
      </x:c>
      <x:c r="AO307" s="23" t="str">
        <x:f>IF(C307="","",IF(AQ307&lt;&gt;"Ready","Unavailable",IF(C307="","",O307+P307+Q307*INDEX('Facilities'!$I$9:$I$108,MATCH(C307,'Facilities'!$C$9:$C$108,0)))))</x:f>
      </x:c>
      <x:c r="AP307" s="21" t="str">
        <x:f>IF(C307="","",IF(AQ307&lt;&gt;"Ready","Unavailable",IF(C307="","",AH307-U307)))</x:f>
      </x:c>
      <x:c r="AQ307" s="23" t="str">
        <x:f>IFERROR(IF(C307="","",IF(AND(INDEX('Facilities'!$AF$9:$AF$108,MATCH(C307,'Facilities'!$C$9:$C$108,0))="Ready",INDEX(Credit!$U$209:$U$308,MATCH(F307,Credit!$C$209:$C$308,0))="Ready",ISNUMBER(W307)),"Ready","Review inputs")),"Review inputs")</x:f>
      </x:c>
      <x:c r="AR307" s="23" t="str">
        <x:f>IF(C307="","",IF(AQ307&lt;&gt;"Ready","Unavailable",IF(C307="","",IF(O307=0,0,(IF(AJ307&lt;=1,O307,O307*INDEX('Facilities'!$R$9:$R$108,MATCH(C307,'Facilities'!$C$9:$C$108,0)))+O307*INDEX('Facilities'!$T$9:$T$108,MATCH(C307,'Facilities'!$C$9:$C$108,0)))/12))))</x:f>
      </x:c>
    </x:row>
    <x:row r="308" ht="26" customHeight="1">
      <x:c r="A308" s="1"/>
      <x:c r="B308" s="1"/>
      <x:c r="C308" s="9" t="str">
        <x:f>IF(Facilities!C108="","",Facilities!C108)</x:f>
      </x:c>
      <x:c r="D308" s="3" t="n">
        <x:v>3</x:v>
      </x:c>
      <x:c r="E308" s="9" t="n">
        <x:f>Settings!$F$18+2</x:f>
        <x:v>2029</x:v>
      </x:c>
      <x:c r="F308" s="9" t="str">
        <x:f>IF(C308="","",IFERROR(INDEX('Facilities'!$D$9:$D$108,MATCH(C308,'Facilities'!$C$9:$C$108,0)),"Unavailable"))</x:f>
      </x:c>
      <x:c r="G308" s="21" t="str">
        <x:f>IF(C308="","",IFERROR(O208,"Unavailable"))</x:f>
      </x:c>
      <x:c r="H308" s="21" t="str">
        <x:f>IF(C308="","",IFERROR(P208,"Unavailable"))</x:f>
      </x:c>
      <x:c r="I308" s="21" t="str">
        <x:f>IF(C308="","",IFERROR(Q208,"Unavailable"))</x:f>
      </x:c>
      <x:c r="J308" s="23" t="str">
        <x:f>IF(C308="","",IFERROR(IF(OR(H308&gt;0,AND(AC308&gt;=0,AC308&lt;D308),D308&gt;INDEX('Facilities'!$J$9:$J$108,MATCH(C308,'Facilities'!$C$9:$C$108,0))),0,I308*'Scenario Paths'!H81),"Unavailable"))</x:f>
      </x:c>
      <x:c r="K308" s="23" t="str">
        <x:f>IF(C308="","",IFERROR(IF(OR(H308&gt;0,AND(AC308&gt;=0,AC308=D308)),0,IF(D308&gt;=INDEX('Facilities'!$J$9:$J$108,MATCH(C308,'Facilities'!$C$9:$C$108,0)),G308+J308,MIN(G308+J308,G308*INDEX('Facilities'!$R$9:$R$108,MATCH(C308,'Facilities'!$C$9:$C$108,0))))),"Unavailable"))</x:f>
      </x:c>
      <x:c r="L308" s="21" t="str">
        <x:f>IF(C308="","",IFERROR(IF(AND(AC308=D308,AC308&gt;0),MAX(0,G308+J308-K308),0),"Unavailable"))</x:f>
      </x:c>
      <x:c r="M308" s="23" t="str">
        <x:f>IF(C308="","",IFERROR(IF(AND(AC308&gt;=0,D308&gt;=AC308+INDEX('Facilities'!$AK$9:$AK$108,MATCH(C308,'Facilities'!$C$9:$C$108,0))),(H308+L308)*AM308,0),"Unavailable"))</x:f>
      </x:c>
      <x:c r="N308" s="23" t="str">
        <x:f>IF(C308="","",IFERROR(IF(AND(AC308&gt;=0,D308&gt;=AC308+INDEX('Facilities'!$AK$9:$AK$108,MATCH(C308,'Facilities'!$C$9:$C$108,0))),H308+L308-M308,0),"Unavailable"))</x:f>
      </x:c>
      <x:c r="O308" s="21" t="str">
        <x:f>IF(C308="","",IFERROR(MAX(0,G308+J308-K308-L308),"Unavailable"))</x:f>
      </x:c>
      <x:c r="P308" s="21" t="str">
        <x:f>IF(C308="","",IFERROR(MAX(0,H308+L308-M308-N308),"Unavailable"))</x:f>
      </x:c>
      <x:c r="Q308" s="23" t="str">
        <x:f>IF(C308="","",IFERROR(IF(OR(D308&gt;=INDEX('Facilities'!$J$9:$J$108,MATCH(C308,'Facilities'!$C$9:$C$108,0)),AND(AC308&gt;=0,AC308&lt;=D308)),0,MAX(0,I308-J308)),"Unavailable"))</x:f>
      </x:c>
      <x:c r="R308" s="30" t="str">
        <x:f>IF(C308="","",IFERROR(INDEX(Credit!$Q$209:$Q$308,MATCH(F308,Credit!$C$209:$C$308,0)),"Unavailable"))</x:f>
      </x:c>
      <x:c r="S308" s="30" t="str">
        <x:f>IF(C308="","",IFERROR(INDEX(Credit!$R$209:$R$308,MATCH(F308,Credit!$C$209:$C$308,0)),"Unavailable"))</x:f>
      </x:c>
      <x:c r="T308" s="23" t="str">
        <x:f>IF(C308="","",IFERROR(IF(P308&gt;0,3,IF(OR(INDEX('Facilities'!$AD$9:$AD$108,MATCH(C308,'Facilities'!$C$9:$C$108,0))=2,AND(R308&gt;=INDEX('Facilities'!$L$9:$L$108,MATCH(C308,'Facilities'!$C$9:$C$108,0))*Settings!$F$19,R308-INDEX('Facilities'!$L$9:$L$108,MATCH(C308,'Facilities'!$C$9:$C$108,0))&gt;=Settings!$F$20)),2,1)),"Unavailable"))</x:f>
      </x:c>
      <x:c r="U308" s="23" t="str">
        <x:f>IF(C308="","",IF(AQ308&lt;&gt;"Ready","Unavailable",IF(C308="","",O308*(1-(1-S308)/(1+INDEX('Facilities'!$K$9:$K$108,MATCH(C308,'Facilities'!$C$9:$C$108,0)))^INDEX('Facilities'!$AK$9:$AK$108,MATCH(C308,'Facilities'!$C$9:$C$108,0)))*R308/(1+INDEX('Facilities'!$K$9:$K$108,MATCH(C308,'Facilities'!$C$9:$C$108,0)))*IF(ABS(1-(1-R308)*(1-INDEX('Facilities'!$R$9:$R$108,MATCH(C308,'Facilities'!$C$9:$C$108,0)))/(1+INDEX('Facilities'!$K$9:$K$108,MATCH(C308,'Facilities'!$C$9:$C$108,0))))&lt;0.000000001,IF(T308=1,MIN(1,AJ308),AJ308),(1-((1-R308)*(1-INDEX('Facilities'!$R$9:$R$108,MATCH(C308,'Facilities'!$C$9:$C$108,0)))/(1+INDEX('Facilities'!$K$9:$K$108,MATCH(C308,'Facilities'!$C$9:$C$108,0))))^IF(T308=1,MIN(1,AJ308),AJ308))/(1-(1-R308)*(1-INDEX('Facilities'!$R$9:$R$108,MATCH(C308,'Facilities'!$C$9:$C$108,0)))/(1+INDEX('Facilities'!$K$9:$K$108,MATCH(C308,'Facilities'!$C$9:$C$108,0)))))+AL308)))</x:f>
      </x:c>
      <x:c r="V308" s="23" t="str">
        <x:f>IF(C308="","",IF(AQ308&lt;&gt;"Ready","Unavailable",IF(C308="","",Q308*INDEX('Facilities'!$I$9:$I$108,MATCH(C308,'Facilities'!$C$9:$C$108,0))*(1-(1-S308)/(1+INDEX('Facilities'!$K$9:$K$108,MATCH(C308,'Facilities'!$C$9:$C$108,0)))^INDEX('Facilities'!$AK$9:$AK$108,MATCH(C308,'Facilities'!$C$9:$C$108,0)))*R308/(1+INDEX('Facilities'!$K$9:$K$108,MATCH(C308,'Facilities'!$C$9:$C$108,0)))*IF(ABS(1-(1-R308)*(1-0)/(1+INDEX('Facilities'!$K$9:$K$108,MATCH(C308,'Facilities'!$C$9:$C$108,0))))&lt;0.000000001,IF(T308=1,MIN(1,AJ308),AJ308),(1-((1-R308)*(1-0)/(1+INDEX('Facilities'!$K$9:$K$108,MATCH(C308,'Facilities'!$C$9:$C$108,0))))^IF(T308=1,MIN(1,AJ308),AJ308))/(1-(1-R308)*(1-0)/(1+INDEX('Facilities'!$K$9:$K$108,MATCH(C308,'Facilities'!$C$9:$C$108,0))))))))</x:f>
      </x:c>
      <x:c r="W308" s="21" t="str">
        <x:f>IF(C308="","",IFERROR(U208,"Unavailable"))</x:f>
      </x:c>
      <x:c r="X308" s="21" t="str">
        <x:f>IF(C308="","",IFERROR(V208,"Unavailable"))</x:f>
      </x:c>
      <x:c r="Y308" s="21" t="str">
        <x:f>IF(C308="","",IF(AQ308&lt;&gt;"Ready","Unavailable",IF(C308="","",U308-W308+V308-X308+N308+AG308)))</x:f>
      </x:c>
      <x:c r="Z308" s="23" t="str">
        <x:f>IF(C308="","",IF(AQ308&lt;&gt;"Ready","Unavailable",IF(C308="","",(G308+O308+L308)/2*INDEX('Facilities'!$T$9:$T$108,MATCH(C308,'Facilities'!$C$9:$C$108,0))+AG308)))</x:f>
      </x:c>
      <x:c r="AA308" s="23" t="str">
        <x:f>IF(C308="","",IF(AQ308&lt;&gt;"Ready","Unavailable",IF(C308="","",O308*(1-IF(INDEX('Facilities'!$AA$9:$AA$108,MATCH(C308,'Facilities'!$C$9:$C$108,0))=0,0,MIN(1,INDEX('Facilities'!$X$9:$X$108,MATCH(C308,'Facilities'!$C$9:$C$108,0))/INDEX('Facilities'!$AA$9:$AA$108,MATCH(C308,'Facilities'!$C$9:$C$108,0)))))*AF308+P308*(1-IF(INDEX('Facilities'!$AA$9:$AA$108,MATCH(C308,'Facilities'!$C$9:$C$108,0))=0,0,MIN(1,INDEX('Facilities'!$X$9:$X$108,MATCH(C308,'Facilities'!$C$9:$C$108,0))/INDEX('Facilities'!$AA$9:$AA$108,MATCH(C308,'Facilities'!$C$9:$C$108,0)))))*INDEX('Facilities'!$AJ$9:$AJ$108,MATCH(C308,'Facilities'!$C$9:$C$108,0))+Q308*INDEX('Facilities'!$AI$9:$AI$108,MATCH(C308,'Facilities'!$C$9:$C$108,0))*AF308)))</x:f>
      </x:c>
      <x:c r="AB308" s="21" t="str">
        <x:f>IF(C308="","",O308+P308-AD308)</x:f>
      </x:c>
      <x:c r="AC308" s="23" t="str">
        <x:f>IF(C308="","",IFERROR(IF(INDEX('Facilities'!$AD$9:$AD$108,MATCH(C308,'Facilities'!$C$9:$C$108,0))=3,0,IF(INDEX('Facilities'!$AN$9:$AN$108,MATCH(C308,'Facilities'!$C$9:$C$108,0))=0,-1,INDEX('Facilities'!$AN$9:$AN$108,MATCH(C308,'Facilities'!$C$9:$C$108,0)))),"Unavailable"))</x:f>
      </x:c>
      <x:c r="AD308" s="21" t="str">
        <x:f>IF(C308="","",IFERROR(G308+H308,"Unavailable"))</x:f>
      </x:c>
      <x:c r="AE308" s="21" t="str">
        <x:f>IF(C308="","",IF(AQ308&lt;&gt;"Ready","Unavailable",IF(C308="","",O308+P308-AD308-J308+K308+M308+N308)))</x:f>
      </x:c>
      <x:c r="AF308" s="30" t="str">
        <x:f>IF(C308="","",IFERROR(INDEX('Facilities'!$S$9:$S$108,MATCH(C308,'Facilities'!$C$9:$C$108,0))*'Scenario Paths'!H75,"Unavailable"))</x:f>
      </x:c>
      <x:c r="AG308" s="23" t="str">
        <x:f>IF(C308="","",IF(AQ308&lt;&gt;"Ready","Unavailable",IF(C308="","",IF(H308&gt;0,MAX(0,H308-AK308)*((1+INDEX('Facilities'!$K$9:$K$108,MATCH(C308,'Facilities'!$C$9:$C$108,0)))^MIN(1,MAX(0,AC308+INDEX('Facilities'!$AK$9:$AK$108,MATCH(C308,'Facilities'!$C$9:$C$108,0))-D308+1))-1),0))))</x:f>
      </x:c>
      <x:c r="AH308" s="21" t="str">
        <x:f>IF(C308="","",IF(AQ308&lt;&gt;"Ready","Unavailable",IF(C308="","",O308+P308)))</x:f>
      </x:c>
      <x:c r="AI308" s="21" t="str">
        <x:f>IF(C308="","",IF(AQ308&lt;&gt;"Ready","Unavailable",IF(C308="","",Z308-Y308)))</x:f>
      </x:c>
      <x:c r="AJ308" s="23" t="str">
        <x:f>IF(C308="","",IFERROR(MAX(0,INDEX('Facilities'!$J$9:$J$108,MATCH(C308,'Facilities'!$C$9:$C$108,0))-D308),"Unavailable"))</x:f>
      </x:c>
      <x:c r="AK308" s="21" t="str">
        <x:f>IF(C308="","",IFERROR(AL208,"Unavailable"))</x:f>
      </x:c>
      <x:c r="AL308" s="23" t="str">
        <x:f>IF(C308="","",IFERROR(IF(P308&gt;0,P308*(1-AM308/(1+INDEX('Facilities'!$K$9:$K$108,MATCH(C308,'Facilities'!$C$9:$C$108,0)))^MAX(0,AC308+INDEX('Facilities'!$AK$9:$AK$108,MATCH(C308,'Facilities'!$C$9:$C$108,0))-D308)),0),"Unavailable"))</x:f>
      </x:c>
      <x:c r="AM308" s="30" t="str">
        <x:f>IF(C308="","",IFERROR(INDEX('Facilities'!$AL$9:$AL$108,MATCH(C308,'Facilities'!$C$9:$C$108,0)),"Unavailable"))</x:f>
      </x:c>
      <x:c r="AN308" s="30" t="str">
        <x:f>IF(C308="","",IFERROR(INDEX(Credit!$T$209:$T$308,MATCH(F308,Credit!$C$209:$C$308,0)),"Unavailable"))</x:f>
      </x:c>
      <x:c r="AO308" s="23" t="str">
        <x:f>IF(C308="","",IF(AQ308&lt;&gt;"Ready","Unavailable",IF(C308="","",O308+P308+Q308*INDEX('Facilities'!$I$9:$I$108,MATCH(C308,'Facilities'!$C$9:$C$108,0)))))</x:f>
      </x:c>
      <x:c r="AP308" s="21" t="str">
        <x:f>IF(C308="","",IF(AQ308&lt;&gt;"Ready","Unavailable",IF(C308="","",AH308-U308)))</x:f>
      </x:c>
      <x:c r="AQ308" s="23" t="str">
        <x:f>IFERROR(IF(C308="","",IF(AND(INDEX('Facilities'!$AF$9:$AF$108,MATCH(C308,'Facilities'!$C$9:$C$108,0))="Ready",INDEX(Credit!$U$209:$U$308,MATCH(F308,Credit!$C$209:$C$308,0))="Ready",ISNUMBER(W308)),"Ready","Review inputs")),"Review inputs")</x:f>
      </x:c>
      <x:c r="AR308" s="23" t="str">
        <x:f>IF(C308="","",IF(AQ308&lt;&gt;"Ready","Unavailable",IF(C308="","",IF(O308=0,0,(IF(AJ308&lt;=1,O308,O308*INDEX('Facilities'!$R$9:$R$108,MATCH(C308,'Facilities'!$C$9:$C$108,0)))+O308*INDEX('Facilities'!$T$9:$T$108,MATCH(C308,'Facilities'!$C$9:$C$108,0)))/12))))</x:f>
      </x:c>
    </x:row>
    <x:row r="309" ht="26" customHeight="1">
      <x:c r="A309" s="1"/>
      <x:c r="B309" s="1"/>
      <x:c r="C309" s="9" t="str">
        <x:f>IF(Facilities!C9="","",Facilities!C9)</x:f>
        <x:v>F001</x:v>
      </x:c>
      <x:c r="D309" s="3" t="n">
        <x:v>4</x:v>
      </x:c>
      <x:c r="E309" s="9" t="n">
        <x:f>Settings!$F$18+3</x:f>
        <x:v>2030</x:v>
      </x:c>
      <x:c r="F309" s="9" t="str">
        <x:f>IF(C309="","",IFERROR(INDEX('Facilities'!$D$9:$D$108,MATCH(C309,'Facilities'!$C$9:$C$108,0)),"Unavailable"))</x:f>
        <x:v>B001</x:v>
      </x:c>
      <x:c r="G309" s="21" t="n">
        <x:f>IF(C309="","",IFERROR(O209,"Unavailable"))</x:f>
        <x:v>3.7624100000000005</x:v>
      </x:c>
      <x:c r="H309" s="21" t="n">
        <x:f>IF(C309="","",IFERROR(P209,"Unavailable"))</x:f>
        <x:v>0</x:v>
      </x:c>
      <x:c r="I309" s="21" t="n">
        <x:f>IF(C309="","",IFERROR(Q209,"Unavailable"))</x:f>
        <x:v>1.11435</x:v>
      </x:c>
      <x:c r="J309" s="23" t="n">
        <x:f>IF(C309="","",IFERROR(IF(OR(H309&gt;0,AND(AC309&gt;=0,AC309&lt;D309),D309&gt;INDEX('Facilities'!$J$9:$J$108,MATCH(C309,'Facilities'!$C$9:$C$108,0))),0,I309*'Scenario Paths'!I81),"Unavailable"))</x:f>
        <x:v>0.111435</x:v>
      </x:c>
      <x:c r="K309" s="23" t="n">
        <x:f>IF(C309="","",IFERROR(IF(OR(H309&gt;0,AND(AC309&gt;=0,AC309=D309)),0,IF(D309&gt;=INDEX('Facilities'!$J$9:$J$108,MATCH(C309,'Facilities'!$C$9:$C$108,0)),G309+J309,MIN(G309+J309,G309*INDEX('Facilities'!$R$9:$R$108,MATCH(C309,'Facilities'!$C$9:$C$108,0))))),"Unavailable"))</x:f>
        <x:v>0.45148920000000003</x:v>
      </x:c>
      <x:c r="L309" s="21" t="n">
        <x:f>IF(C309="","",IFERROR(IF(AND(AC309=D309,AC309&gt;0),MAX(0,G309+J309-K309),0),"Unavailable"))</x:f>
        <x:v>0</x:v>
      </x:c>
      <x:c r="M309" s="23" t="n">
        <x:f>IF(C309="","",IFERROR(IF(AND(AC309&gt;=0,D309&gt;=AC309+INDEX('Facilities'!$AK$9:$AK$108,MATCH(C309,'Facilities'!$C$9:$C$108,0))),(H309+L309)*AM309,0),"Unavailable"))</x:f>
        <x:v>0</x:v>
      </x:c>
      <x:c r="N309" s="23" t="n">
        <x:f>IF(C309="","",IFERROR(IF(AND(AC309&gt;=0,D309&gt;=AC309+INDEX('Facilities'!$AK$9:$AK$108,MATCH(C309,'Facilities'!$C$9:$C$108,0))),H309+L309-M309,0),"Unavailable"))</x:f>
        <x:v>0</x:v>
      </x:c>
      <x:c r="O309" s="21" t="n">
        <x:f>IF(C309="","",IFERROR(MAX(0,G309+J309-K309-L309),"Unavailable"))</x:f>
        <x:v>3.4223558000000005</x:v>
      </x:c>
      <x:c r="P309" s="21" t="n">
        <x:f>IF(C309="","",IFERROR(MAX(0,H309+L309-M309-N309),"Unavailable"))</x:f>
        <x:v>0</x:v>
      </x:c>
      <x:c r="Q309" s="23" t="n">
        <x:f>IF(C309="","",IFERROR(IF(OR(D309&gt;=INDEX('Facilities'!$J$9:$J$108,MATCH(C309,'Facilities'!$C$9:$C$108,0)),AND(AC309&gt;=0,AC309&lt;=D309)),0,MAX(0,I309-J309)),"Unavailable"))</x:f>
        <x:v>1.002915</x:v>
      </x:c>
      <x:c r="R309" s="30" t="n">
        <x:f>IF(C309="","",IFERROR(INDEX(Credit!$Q$309:$Q$408,MATCH(F309,Credit!$C$309:$C$408,0)),"Unavailable"))</x:f>
        <x:v>0.12363292459733351</x:v>
      </x:c>
      <x:c r="S309" s="30" t="n">
        <x:f>IF(C309="","",IFERROR(INDEX(Credit!$R$309:$R$408,MATCH(F309,Credit!$C$309:$C$408,0)),"Unavailable"))</x:f>
        <x:v>0.2812096</x:v>
      </x:c>
      <x:c r="T309" s="23" t="n">
        <x:f>IF(C309="","",IFERROR(IF(P309&gt;0,3,IF(OR(INDEX('Facilities'!$AD$9:$AD$108,MATCH(C309,'Facilities'!$C$9:$C$108,0))=2,AND(R309&gt;=INDEX('Facilities'!$L$9:$L$108,MATCH(C309,'Facilities'!$C$9:$C$108,0))*Settings!$F$19,R309-INDEX('Facilities'!$L$9:$L$108,MATCH(C309,'Facilities'!$C$9:$C$108,0))&gt;=Settings!$F$20)),2,1)),"Unavailable"))</x:f>
        <x:v>2</x:v>
      </x:c>
      <x:c r="U309" s="23" t="n">
        <x:f>IF(C309="","",IF(AQ309&lt;&gt;"Ready","Unavailable",IF(C309="","",O309*(1-(1-S309)/(1+INDEX('Facilities'!$K$9:$K$108,MATCH(C309,'Facilities'!$C$9:$C$108,0)))^INDEX('Facilities'!$AK$9:$AK$108,MATCH(C309,'Facilities'!$C$9:$C$108,0)))*R309/(1+INDEX('Facilities'!$K$9:$K$108,MATCH(C309,'Facilities'!$C$9:$C$108,0)))*IF(ABS(1-(1-R309)*(1-INDEX('Facilities'!$R$9:$R$108,MATCH(C309,'Facilities'!$C$9:$C$108,0)))/(1+INDEX('Facilities'!$K$9:$K$108,MATCH(C309,'Facilities'!$C$9:$C$108,0))))&lt;0.000000001,IF(T309=1,MIN(1,AJ309),AJ309),(1-((1-R309)*(1-INDEX('Facilities'!$R$9:$R$108,MATCH(C309,'Facilities'!$C$9:$C$108,0)))/(1+INDEX('Facilities'!$K$9:$K$108,MATCH(C309,'Facilities'!$C$9:$C$108,0))))^IF(T309=1,MIN(1,AJ309),AJ309))/(1-(1-R309)*(1-INDEX('Facilities'!$R$9:$R$108,MATCH(C309,'Facilities'!$C$9:$C$108,0)))/(1+INDEX('Facilities'!$K$9:$K$108,MATCH(C309,'Facilities'!$C$9:$C$108,0)))))+AL309)))</x:f>
        <x:v>0.49027468012907854</x:v>
      </x:c>
      <x:c r="V309" s="23" t="n">
        <x:f>IF(C309="","",IF(AQ309&lt;&gt;"Ready","Unavailable",IF(C309="","",Q309*INDEX('Facilities'!$I$9:$I$108,MATCH(C309,'Facilities'!$C$9:$C$108,0))*(1-(1-S309)/(1+INDEX('Facilities'!$K$9:$K$108,MATCH(C309,'Facilities'!$C$9:$C$108,0)))^INDEX('Facilities'!$AK$9:$AK$108,MATCH(C309,'Facilities'!$C$9:$C$108,0)))*R309/(1+INDEX('Facilities'!$K$9:$K$108,MATCH(C309,'Facilities'!$C$9:$C$108,0)))*IF(ABS(1-(1-R309)*(1-0)/(1+INDEX('Facilities'!$K$9:$K$108,MATCH(C309,'Facilities'!$C$9:$C$108,0))))&lt;0.000000001,IF(T309=1,MIN(1,AJ309),AJ309),(1-((1-R309)*(1-0)/(1+INDEX('Facilities'!$K$9:$K$108,MATCH(C309,'Facilities'!$C$9:$C$108,0))))^IF(T309=1,MIN(1,AJ309),AJ309))/(1-(1-R309)*(1-0)/(1+INDEX('Facilities'!$K$9:$K$108,MATCH(C309,'Facilities'!$C$9:$C$108,0))))))))</x:f>
        <x:v>0.09487285140527184</x:v>
      </x:c>
      <x:c r="W309" s="21" t="n">
        <x:f>IF(C309="","",IFERROR(U209,"Unavailable"))</x:f>
        <x:v>0.49215568343094107</x:v>
      </x:c>
      <x:c r="X309" s="21" t="n">
        <x:f>IF(C309="","",IFERROR(V209,"Unavailable"))</x:f>
        <x:v>0.0996885820147661</x:v>
      </x:c>
      <x:c r="Y309" s="21" t="n">
        <x:f>IF(C309="","",IF(AQ309&lt;&gt;"Ready","Unavailable",IF(C309="","",U309-W309+V309-X309+N309+AG309)))</x:f>
        <x:v>-0.006696733911356792</x:v>
      </x:c>
      <x:c r="Z309" s="23" t="n">
        <x:f>IF(C309="","",IF(AQ309&lt;&gt;"Ready","Unavailable",IF(C309="","",(G309+O309+L309)/2*INDEX('Facilities'!$T$9:$T$108,MATCH(C309,'Facilities'!$C$9:$C$108,0))+AG309)))</x:f>
        <x:v>0.34127637550000006</x:v>
      </x:c>
      <x:c r="AA309" s="23" t="n">
        <x:f>IF(C309="","",IF(AQ309&lt;&gt;"Ready","Unavailable",IF(C309="","",O309*(1-IF(INDEX('Facilities'!$AA$9:$AA$108,MATCH(C309,'Facilities'!$C$9:$C$108,0))=0,0,MIN(1,INDEX('Facilities'!$X$9:$X$108,MATCH(C309,'Facilities'!$C$9:$C$108,0))/INDEX('Facilities'!$AA$9:$AA$108,MATCH(C309,'Facilities'!$C$9:$C$108,0)))))*AF309+P309*(1-IF(INDEX('Facilities'!$AA$9:$AA$108,MATCH(C309,'Facilities'!$C$9:$C$108,0))=0,0,MIN(1,INDEX('Facilities'!$X$9:$X$108,MATCH(C309,'Facilities'!$C$9:$C$108,0))/INDEX('Facilities'!$AA$9:$AA$108,MATCH(C309,'Facilities'!$C$9:$C$108,0)))))*INDEX('Facilities'!$AJ$9:$AJ$108,MATCH(C309,'Facilities'!$C$9:$C$108,0))+Q309*INDEX('Facilities'!$AI$9:$AI$108,MATCH(C309,'Facilities'!$C$9:$C$108,0))*AF309)))</x:f>
        <x:v>4.876018836280001</x:v>
      </x:c>
      <x:c r="AB309" s="21" t="n">
        <x:f>IF(C309="","",O309+P309-AD309)</x:f>
        <x:v>-0.3400542</x:v>
      </x:c>
      <x:c r="AC309" s="23" t="n">
        <x:f>IF(C309="","",IFERROR(IF(INDEX('Facilities'!$AD$9:$AD$108,MATCH(C309,'Facilities'!$C$9:$C$108,0))=3,0,IF(INDEX('Facilities'!$AN$9:$AN$108,MATCH(C309,'Facilities'!$C$9:$C$108,0))=0,-1,INDEX('Facilities'!$AN$9:$AN$108,MATCH(C309,'Facilities'!$C$9:$C$108,0)))),"Unavailable"))</x:f>
        <x:v>-1</x:v>
      </x:c>
      <x:c r="AD309" s="21" t="n">
        <x:f>IF(C309="","",IFERROR(G309+H309,"Unavailable"))</x:f>
        <x:v>3.7624100000000005</x:v>
      </x:c>
      <x:c r="AE309" s="21" t="n">
        <x:f>IF(C309="","",IF(AQ309&lt;&gt;"Ready","Unavailable",IF(C309="","",O309+P309-AD309-J309+K309+M309+N309)))</x:f>
        <x:v>5.551115123125783e-17</x:v>
      </x:c>
      <x:c r="AF309" s="30" t="n">
        <x:f>IF(C309="","",IFERROR(INDEX('Facilities'!$S$9:$S$108,MATCH(C309,'Facilities'!$C$9:$C$108,0))*'Scenario Paths'!I75,"Unavailable"))</x:f>
        <x:v>1.25</x:v>
      </x:c>
      <x:c r="AG309" s="23" t="n">
        <x:f>IF(C309="","",IF(AQ309&lt;&gt;"Ready","Unavailable",IF(C309="","",IF(H309&gt;0,MAX(0,H309-AK309)*((1+INDEX('Facilities'!$K$9:$K$108,MATCH(C309,'Facilities'!$C$9:$C$108,0)))^MIN(1,MAX(0,AC309+INDEX('Facilities'!$AK$9:$AK$108,MATCH(C309,'Facilities'!$C$9:$C$108,0))-D309+1))-1),0))))</x:f>
        <x:v>0</x:v>
      </x:c>
      <x:c r="AH309" s="21" t="n">
        <x:f>IF(C309="","",IF(AQ309&lt;&gt;"Ready","Unavailable",IF(C309="","",O309+P309)))</x:f>
        <x:v>3.4223558000000005</x:v>
      </x:c>
      <x:c r="AI309" s="21" t="n">
        <x:f>IF(C309="","",IF(AQ309&lt;&gt;"Ready","Unavailable",IF(C309="","",Z309-Y309)))</x:f>
        <x:v>0.34797310941135684</x:v>
      </x:c>
      <x:c r="AJ309" s="23" t="n">
        <x:f>IF(C309="","",IFERROR(MAX(0,INDEX('Facilities'!$J$9:$J$108,MATCH(C309,'Facilities'!$C$9:$C$108,0))-D309),"Unavailable"))</x:f>
        <x:v>8</x:v>
      </x:c>
      <x:c r="AK309" s="21" t="n">
        <x:f>IF(C309="","",IFERROR(AL209,"Unavailable"))</x:f>
        <x:v>0</x:v>
      </x:c>
      <x:c r="AL309" s="23" t="n">
        <x:f>IF(C309="","",IFERROR(IF(P309&gt;0,P309*(1-AM309/(1+INDEX('Facilities'!$K$9:$K$108,MATCH(C309,'Facilities'!$C$9:$C$108,0)))^MAX(0,AC309+INDEX('Facilities'!$AK$9:$AK$108,MATCH(C309,'Facilities'!$C$9:$C$108,0))-D309)),0),"Unavailable"))</x:f>
        <x:v>0</x:v>
      </x:c>
      <x:c r="AM309" s="30" t="n">
        <x:f>IF(C309="","",IFERROR(INDEX('Facilities'!$AL$9:$AL$108,MATCH(C309,'Facilities'!$C$9:$C$108,0)),"Unavailable"))</x:f>
        <x:v>0.55</x:v>
      </x:c>
      <x:c r="AN309" s="30" t="n">
        <x:f>IF(C309="","",IFERROR(INDEX(Credit!$T$309:$T$408,MATCH(F309,Credit!$C$309:$C$408,0)),"Unavailable"))</x:f>
        <x:v>0.00168</x:v>
      </x:c>
      <x:c r="AO309" s="23" t="n">
        <x:f>IF(C309="","",IF(AQ309&lt;&gt;"Ready","Unavailable",IF(C309="","",O309+P309+Q309*INDEX('Facilities'!$I$9:$I$108,MATCH(C309,'Facilities'!$C$9:$C$108,0)))))</x:f>
        <x:v>3.9238133000000004</x:v>
      </x:c>
      <x:c r="AP309" s="21" t="n">
        <x:f>IF(C309="","",IF(AQ309&lt;&gt;"Ready","Unavailable",IF(C309="","",AH309-U309)))</x:f>
        <x:v>2.932081119870922</x:v>
      </x:c>
      <x:c r="AQ309" s="23" t="str">
        <x:f>IFERROR(IF(C309="","",IF(AND(INDEX('Facilities'!$AF$9:$AF$108,MATCH(C309,'Facilities'!$C$9:$C$108,0))="Ready",INDEX(Credit!$U$309:$U$408,MATCH(F309,Credit!$C$309:$C$408,0))="Ready",ISNUMBER(W309)),"Ready","Review inputs")),"Review inputs")</x:f>
        <x:v>Ready</x:v>
      </x:c>
      <x:c r="AR309" s="23" t="n">
        <x:f>IF(C309="","",IF(AQ309&lt;&gt;"Ready","Unavailable",IF(C309="","",IF(O309=0,0,(IF(AJ309&lt;=1,O309,O309*INDEX('Facilities'!$R$9:$R$108,MATCH(C309,'Facilities'!$C$9:$C$108,0)))+O309*INDEX('Facilities'!$T$9:$T$108,MATCH(C309,'Facilities'!$C$9:$C$108,0)))/12))))</x:f>
        <x:v>0.061317208083333345</x:v>
      </x:c>
    </x:row>
    <x:row r="310" ht="26" customHeight="1">
      <x:c r="A310" s="1"/>
      <x:c r="B310" s="1"/>
      <x:c r="C310" s="9" t="str">
        <x:f>IF(Facilities!C10="","",Facilities!C10)</x:f>
        <x:v>F002</x:v>
      </x:c>
      <x:c r="D310" s="3" t="n">
        <x:v>4</x:v>
      </x:c>
      <x:c r="E310" s="9" t="n">
        <x:f>Settings!$F$18+3</x:f>
        <x:v>2030</x:v>
      </x:c>
      <x:c r="F310" s="9" t="str">
        <x:f>IF(C310="","",IFERROR(INDEX('Facilities'!$D$9:$D$108,MATCH(C310,'Facilities'!$C$9:$C$108,0)),"Unavailable"))</x:f>
        <x:v>B001</x:v>
      </x:c>
      <x:c r="G310" s="21" t="n">
        <x:f>IF(C310="","",IFERROR(O210,"Unavailable"))</x:f>
        <x:v>1.82203</x:v>
      </x:c>
      <x:c r="H310" s="21" t="n">
        <x:f>IF(C310="","",IFERROR(P210,"Unavailable"))</x:f>
        <x:v>0</x:v>
      </x:c>
      <x:c r="I310" s="21" t="n">
        <x:f>IF(C310="","",IFERROR(Q210,"Unavailable"))</x:f>
        <x:v>0.37145</x:v>
      </x:c>
      <x:c r="J310" s="23" t="n">
        <x:f>IF(C310="","",IFERROR(IF(OR(H310&gt;0,AND(AC310&gt;=0,AC310&lt;D310),D310&gt;INDEX('Facilities'!$J$9:$J$108,MATCH(C310,'Facilities'!$C$9:$C$108,0))),0,I310*'Scenario Paths'!I81),"Unavailable"))</x:f>
        <x:v>0.037145000000000004</x:v>
      </x:c>
      <x:c r="K310" s="23" t="n">
        <x:f>IF(C310="","",IFERROR(IF(OR(H310&gt;0,AND(AC310&gt;=0,AC310=D310)),0,IF(D310&gt;=INDEX('Facilities'!$J$9:$J$108,MATCH(C310,'Facilities'!$C$9:$C$108,0)),G310+J310,MIN(G310+J310,G310*INDEX('Facilities'!$R$9:$R$108,MATCH(C310,'Facilities'!$C$9:$C$108,0))))),"Unavailable"))</x:f>
        <x:v>0.2186436</x:v>
      </x:c>
      <x:c r="L310" s="21" t="n">
        <x:f>IF(C310="","",IFERROR(IF(AND(AC310=D310,AC310&gt;0),MAX(0,G310+J310-K310),0),"Unavailable"))</x:f>
        <x:v>0</x:v>
      </x:c>
      <x:c r="M310" s="23" t="n">
        <x:f>IF(C310="","",IFERROR(IF(AND(AC310&gt;=0,D310&gt;=AC310+INDEX('Facilities'!$AK$9:$AK$108,MATCH(C310,'Facilities'!$C$9:$C$108,0))),(H310+L310)*AM310,0),"Unavailable"))</x:f>
        <x:v>0</x:v>
      </x:c>
      <x:c r="N310" s="23" t="n">
        <x:f>IF(C310="","",IFERROR(IF(AND(AC310&gt;=0,D310&gt;=AC310+INDEX('Facilities'!$AK$9:$AK$108,MATCH(C310,'Facilities'!$C$9:$C$108,0))),H310+L310-M310,0),"Unavailable"))</x:f>
        <x:v>0</x:v>
      </x:c>
      <x:c r="O310" s="21" t="n">
        <x:f>IF(C310="","",IFERROR(MAX(0,G310+J310-K310-L310),"Unavailable"))</x:f>
        <x:v>1.6405314</x:v>
      </x:c>
      <x:c r="P310" s="21" t="n">
        <x:f>IF(C310="","",IFERROR(MAX(0,H310+L310-M310-N310),"Unavailable"))</x:f>
        <x:v>0</x:v>
      </x:c>
      <x:c r="Q310" s="23" t="n">
        <x:f>IF(C310="","",IFERROR(IF(OR(D310&gt;=INDEX('Facilities'!$J$9:$J$108,MATCH(C310,'Facilities'!$C$9:$C$108,0)),AND(AC310&gt;=0,AC310&lt;=D310)),0,MAX(0,I310-J310)),"Unavailable"))</x:f>
        <x:v>0.334305</x:v>
      </x:c>
      <x:c r="R310" s="30" t="n">
        <x:f>IF(C310="","",IFERROR(INDEX(Credit!$Q$309:$Q$408,MATCH(F310,Credit!$C$309:$C$408,0)),"Unavailable"))</x:f>
        <x:v>0.12363292459733351</x:v>
      </x:c>
      <x:c r="S310" s="30" t="n">
        <x:f>IF(C310="","",IFERROR(INDEX(Credit!$R$309:$R$408,MATCH(F310,Credit!$C$309:$C$408,0)),"Unavailable"))</x:f>
        <x:v>0.2812096</x:v>
      </x:c>
      <x:c r="T310" s="23" t="n">
        <x:f>IF(C310="","",IFERROR(IF(P310&gt;0,3,IF(OR(INDEX('Facilities'!$AD$9:$AD$108,MATCH(C310,'Facilities'!$C$9:$C$108,0))=2,AND(R310&gt;=INDEX('Facilities'!$L$9:$L$108,MATCH(C310,'Facilities'!$C$9:$C$108,0))*Settings!$F$19,R310-INDEX('Facilities'!$L$9:$L$108,MATCH(C310,'Facilities'!$C$9:$C$108,0))&gt;=Settings!$F$20)),2,1)),"Unavailable"))</x:f>
        <x:v>2</x:v>
      </x:c>
      <x:c r="U310" s="23" t="n">
        <x:f>IF(C310="","",IF(AQ310&lt;&gt;"Ready","Unavailable",IF(C310="","",O310*(1-(1-S310)/(1+INDEX('Facilities'!$K$9:$K$108,MATCH(C310,'Facilities'!$C$9:$C$108,0)))^INDEX('Facilities'!$AK$9:$AK$108,MATCH(C310,'Facilities'!$C$9:$C$108,0)))*R310/(1+INDEX('Facilities'!$K$9:$K$108,MATCH(C310,'Facilities'!$C$9:$C$108,0)))*IF(ABS(1-(1-R310)*(1-INDEX('Facilities'!$R$9:$R$108,MATCH(C310,'Facilities'!$C$9:$C$108,0)))/(1+INDEX('Facilities'!$K$9:$K$108,MATCH(C310,'Facilities'!$C$9:$C$108,0))))&lt;0.000000001,IF(T310=1,MIN(1,AJ310),AJ310),(1-((1-R310)*(1-INDEX('Facilities'!$R$9:$R$108,MATCH(C310,'Facilities'!$C$9:$C$108,0)))/(1+INDEX('Facilities'!$K$9:$K$108,MATCH(C310,'Facilities'!$C$9:$C$108,0))))^IF(T310=1,MIN(1,AJ310),AJ310))/(1-(1-R310)*(1-INDEX('Facilities'!$R$9:$R$108,MATCH(C310,'Facilities'!$C$9:$C$108,0)))/(1+INDEX('Facilities'!$K$9:$K$108,MATCH(C310,'Facilities'!$C$9:$C$108,0)))))+AL310)))</x:f>
        <x:v>0.23501677042951213</x:v>
      </x:c>
      <x:c r="V310" s="23" t="n">
        <x:f>IF(C310="","",IF(AQ310&lt;&gt;"Ready","Unavailable",IF(C310="","",Q310*INDEX('Facilities'!$I$9:$I$108,MATCH(C310,'Facilities'!$C$9:$C$108,0))*(1-(1-S310)/(1+INDEX('Facilities'!$K$9:$K$108,MATCH(C310,'Facilities'!$C$9:$C$108,0)))^INDEX('Facilities'!$AK$9:$AK$108,MATCH(C310,'Facilities'!$C$9:$C$108,0)))*R310/(1+INDEX('Facilities'!$K$9:$K$108,MATCH(C310,'Facilities'!$C$9:$C$108,0)))*IF(ABS(1-(1-R310)*(1-0)/(1+INDEX('Facilities'!$K$9:$K$108,MATCH(C310,'Facilities'!$C$9:$C$108,0))))&lt;0.000000001,IF(T310=1,MIN(1,AJ310),AJ310),(1-((1-R310)*(1-0)/(1+INDEX('Facilities'!$K$9:$K$108,MATCH(C310,'Facilities'!$C$9:$C$108,0))))^IF(T310=1,MIN(1,AJ310),AJ310))/(1-(1-R310)*(1-0)/(1+INDEX('Facilities'!$K$9:$K$108,MATCH(C310,'Facilities'!$C$9:$C$108,0))))))))</x:f>
        <x:v>0.03162428380175728</x:v>
      </x:c>
      <x:c r="W310" s="21" t="n">
        <x:f>IF(C310="","",IFERROR(U210,"Unavailable"))</x:f>
        <x:v>0.238337241258044</x:v>
      </x:c>
      <x:c r="X310" s="21" t="n">
        <x:f>IF(C310="","",IFERROR(V210,"Unavailable"))</x:f>
        <x:v>0.03322952733825537</x:v>
      </x:c>
      <x:c r="Y310" s="21" t="n">
        <x:f>IF(C310="","",IF(AQ310&lt;&gt;"Ready","Unavailable",IF(C310="","",U310-W310+V310-X310+N310+AG310)))</x:f>
        <x:v>-0.004925714365029962</x:v>
      </x:c>
      <x:c r="Z310" s="23" t="n">
        <x:f>IF(C310="","",IF(AQ310&lt;&gt;"Ready","Unavailable",IF(C310="","",(G310+O310+L310)/2*INDEX('Facilities'!$T$9:$T$108,MATCH(C310,'Facilities'!$C$9:$C$108,0))+AG310)))</x:f>
        <x:v>0.1644716665</x:v>
      </x:c>
      <x:c r="AA310" s="23" t="n">
        <x:f>IF(C310="","",IF(AQ310&lt;&gt;"Ready","Unavailable",IF(C310="","",O310*(1-IF(INDEX('Facilities'!$AA$9:$AA$108,MATCH(C310,'Facilities'!$C$9:$C$108,0))=0,0,MIN(1,INDEX('Facilities'!$X$9:$X$108,MATCH(C310,'Facilities'!$C$9:$C$108,0))/INDEX('Facilities'!$AA$9:$AA$108,MATCH(C310,'Facilities'!$C$9:$C$108,0)))))*AF310+P310*(1-IF(INDEX('Facilities'!$AA$9:$AA$108,MATCH(C310,'Facilities'!$C$9:$C$108,0))=0,0,MIN(1,INDEX('Facilities'!$X$9:$X$108,MATCH(C310,'Facilities'!$C$9:$C$108,0))/INDEX('Facilities'!$AA$9:$AA$108,MATCH(C310,'Facilities'!$C$9:$C$108,0)))))*INDEX('Facilities'!$AJ$9:$AJ$108,MATCH(C310,'Facilities'!$C$9:$C$108,0))+Q310*INDEX('Facilities'!$AI$9:$AI$108,MATCH(C310,'Facilities'!$C$9:$C$108,0))*AF310)))</x:f>
        <x:v>2.2458244112399997</x:v>
      </x:c>
      <x:c r="AB310" s="21" t="n">
        <x:f>IF(C310="","",O310+P310-AD310)</x:f>
        <x:v>-0.18149860000000007</x:v>
      </x:c>
      <x:c r="AC310" s="23" t="n">
        <x:f>IF(C310="","",IFERROR(IF(INDEX('Facilities'!$AD$9:$AD$108,MATCH(C310,'Facilities'!$C$9:$C$108,0))=3,0,IF(INDEX('Facilities'!$AN$9:$AN$108,MATCH(C310,'Facilities'!$C$9:$C$108,0))=0,-1,INDEX('Facilities'!$AN$9:$AN$108,MATCH(C310,'Facilities'!$C$9:$C$108,0)))),"Unavailable"))</x:f>
        <x:v>-1</x:v>
      </x:c>
      <x:c r="AD310" s="21" t="n">
        <x:f>IF(C310="","",IFERROR(G310+H310,"Unavailable"))</x:f>
        <x:v>1.82203</x:v>
      </x:c>
      <x:c r="AE310" s="21" t="n">
        <x:f>IF(C310="","",IF(AQ310&lt;&gt;"Ready","Unavailable",IF(C310="","",O310+P310-AD310-J310+K310+M310+N310)))</x:f>
        <x:v>-8.326672684688674e-17</x:v>
      </x:c>
      <x:c r="AF310" s="30" t="n">
        <x:f>IF(C310="","",IFERROR(INDEX('Facilities'!$S$9:$S$108,MATCH(C310,'Facilities'!$C$9:$C$108,0))*'Scenario Paths'!I75,"Unavailable"))</x:f>
        <x:v>1.25</x:v>
      </x:c>
      <x:c r="AG310" s="23" t="n">
        <x:f>IF(C310="","",IF(AQ310&lt;&gt;"Ready","Unavailable",IF(C310="","",IF(H310&gt;0,MAX(0,H310-AK310)*((1+INDEX('Facilities'!$K$9:$K$108,MATCH(C310,'Facilities'!$C$9:$C$108,0)))^MIN(1,MAX(0,AC310+INDEX('Facilities'!$AK$9:$AK$108,MATCH(C310,'Facilities'!$C$9:$C$108,0))-D310+1))-1),0))))</x:f>
        <x:v>0</x:v>
      </x:c>
      <x:c r="AH310" s="21" t="n">
        <x:f>IF(C310="","",IF(AQ310&lt;&gt;"Ready","Unavailable",IF(C310="","",O310+P310)))</x:f>
        <x:v>1.6405314</x:v>
      </x:c>
      <x:c r="AI310" s="21" t="n">
        <x:f>IF(C310="","",IF(AQ310&lt;&gt;"Ready","Unavailable",IF(C310="","",Z310-Y310)))</x:f>
        <x:v>0.16939738086502998</x:v>
      </x:c>
      <x:c r="AJ310" s="23" t="n">
        <x:f>IF(C310="","",IFERROR(MAX(0,INDEX('Facilities'!$J$9:$J$108,MATCH(C310,'Facilities'!$C$9:$C$108,0))-D310),"Unavailable"))</x:f>
        <x:v>8</x:v>
      </x:c>
      <x:c r="AK310" s="21" t="n">
        <x:f>IF(C310="","",IFERROR(AL210,"Unavailable"))</x:f>
        <x:v>0</x:v>
      </x:c>
      <x:c r="AL310" s="23" t="n">
        <x:f>IF(C310="","",IFERROR(IF(P310&gt;0,P310*(1-AM310/(1+INDEX('Facilities'!$K$9:$K$108,MATCH(C310,'Facilities'!$C$9:$C$108,0)))^MAX(0,AC310+INDEX('Facilities'!$AK$9:$AK$108,MATCH(C310,'Facilities'!$C$9:$C$108,0))-D310)),0),"Unavailable"))</x:f>
        <x:v>0</x:v>
      </x:c>
      <x:c r="AM310" s="30" t="n">
        <x:f>IF(C310="","",IFERROR(INDEX('Facilities'!$AL$9:$AL$108,MATCH(C310,'Facilities'!$C$9:$C$108,0)),"Unavailable"))</x:f>
        <x:v>0.55</x:v>
      </x:c>
      <x:c r="AN310" s="30" t="n">
        <x:f>IF(C310="","",IFERROR(INDEX(Credit!$T$309:$T$408,MATCH(F310,Credit!$C$309:$C$408,0)),"Unavailable"))</x:f>
        <x:v>0.00168</x:v>
      </x:c>
      <x:c r="AO310" s="23" t="n">
        <x:f>IF(C310="","",IF(AQ310&lt;&gt;"Ready","Unavailable",IF(C310="","",O310+P310+Q310*INDEX('Facilities'!$I$9:$I$108,MATCH(C310,'Facilities'!$C$9:$C$108,0)))))</x:f>
        <x:v>1.8076839</x:v>
      </x:c>
      <x:c r="AP310" s="21" t="n">
        <x:f>IF(C310="","",IF(AQ310&lt;&gt;"Ready","Unavailable",IF(C310="","",AH310-U310)))</x:f>
        <x:v>1.405514629570488</x:v>
      </x:c>
      <x:c r="AQ310" s="23" t="str">
        <x:f>IFERROR(IF(C310="","",IF(AND(INDEX('Facilities'!$AF$9:$AF$108,MATCH(C310,'Facilities'!$C$9:$C$108,0))="Ready",INDEX(Credit!$U$309:$U$408,MATCH(F310,Credit!$C$309:$C$408,0))="Ready",ISNUMBER(W310)),"Ready","Review inputs")),"Review inputs")</x:f>
        <x:v>Ready</x:v>
      </x:c>
      <x:c r="AR310" s="23" t="n">
        <x:f>IF(C310="","",IF(AQ310&lt;&gt;"Ready","Unavailable",IF(C310="","",IF(O310=0,0,(IF(AJ310&lt;=1,O310,O310*INDEX('Facilities'!$R$9:$R$108,MATCH(C310,'Facilities'!$C$9:$C$108,0)))+O310*INDEX('Facilities'!$T$9:$T$108,MATCH(C310,'Facilities'!$C$9:$C$108,0)))/12))))</x:f>
        <x:v>0.02939285425</x:v>
      </x:c>
    </x:row>
    <x:row r="311" ht="26" customHeight="1">
      <x:c r="A311" s="1"/>
      <x:c r="B311" s="1"/>
      <x:c r="C311" s="9" t="str">
        <x:f>IF(Facilities!C11="","",Facilities!C11)</x:f>
        <x:v>F003</x:v>
      </x:c>
      <x:c r="D311" s="3" t="n">
        <x:v>4</x:v>
      </x:c>
      <x:c r="E311" s="9" t="n">
        <x:f>Settings!$F$18+3</x:f>
        <x:v>2030</x:v>
      </x:c>
      <x:c r="F311" s="9" t="str">
        <x:f>IF(C311="","",IFERROR(INDEX('Facilities'!$D$9:$D$108,MATCH(C311,'Facilities'!$C$9:$C$108,0)),"Unavailable"))</x:f>
        <x:v>B002</x:v>
      </x:c>
      <x:c r="G311" s="21" t="n">
        <x:f>IF(C311="","",IFERROR(O211,"Unavailable"))</x:f>
        <x:v>4.0009252</x:v>
      </x:c>
      <x:c r="H311" s="21" t="n">
        <x:f>IF(C311="","",IFERROR(P211,"Unavailable"))</x:f>
        <x:v>0</x:v>
      </x:c>
      <x:c r="I311" s="21" t="n">
        <x:f>IF(C311="","",IFERROR(Q211,"Unavailable"))</x:f>
        <x:v>1.11435</x:v>
      </x:c>
      <x:c r="J311" s="23" t="n">
        <x:f>IF(C311="","",IFERROR(IF(OR(H311&gt;0,AND(AC311&gt;=0,AC311&lt;D311),D311&gt;INDEX('Facilities'!$J$9:$J$108,MATCH(C311,'Facilities'!$C$9:$C$108,0))),0,I311*'Scenario Paths'!I81),"Unavailable"))</x:f>
        <x:v>0.111435</x:v>
      </x:c>
      <x:c r="K311" s="23" t="n">
        <x:f>IF(C311="","",IFERROR(IF(OR(H311&gt;0,AND(AC311&gt;=0,AC311=D311)),0,IF(D311&gt;=INDEX('Facilities'!$J$9:$J$108,MATCH(C311,'Facilities'!$C$9:$C$108,0)),G311+J311,MIN(G311+J311,G311*INDEX('Facilities'!$R$9:$R$108,MATCH(C311,'Facilities'!$C$9:$C$108,0))))),"Unavailable"))</x:f>
        <x:v>0.480111024</x:v>
      </x:c>
      <x:c r="L311" s="21" t="n">
        <x:f>IF(C311="","",IFERROR(IF(AND(AC311=D311,AC311&gt;0),MAX(0,G311+J311-K311),0),"Unavailable"))</x:f>
        <x:v>0</x:v>
      </x:c>
      <x:c r="M311" s="23" t="n">
        <x:f>IF(C311="","",IFERROR(IF(AND(AC311&gt;=0,D311&gt;=AC311+INDEX('Facilities'!$AK$9:$AK$108,MATCH(C311,'Facilities'!$C$9:$C$108,0))),(H311+L311)*AM311,0),"Unavailable"))</x:f>
        <x:v>0</x:v>
      </x:c>
      <x:c r="N311" s="23" t="n">
        <x:f>IF(C311="","",IFERROR(IF(AND(AC311&gt;=0,D311&gt;=AC311+INDEX('Facilities'!$AK$9:$AK$108,MATCH(C311,'Facilities'!$C$9:$C$108,0))),H311+L311-M311,0),"Unavailable"))</x:f>
        <x:v>0</x:v>
      </x:c>
      <x:c r="O311" s="21" t="n">
        <x:f>IF(C311="","",IFERROR(MAX(0,G311+J311-K311-L311),"Unavailable"))</x:f>
        <x:v>3.632249176</x:v>
      </x:c>
      <x:c r="P311" s="21" t="n">
        <x:f>IF(C311="","",IFERROR(MAX(0,H311+L311-M311-N311),"Unavailable"))</x:f>
        <x:v>0</x:v>
      </x:c>
      <x:c r="Q311" s="23" t="n">
        <x:f>IF(C311="","",IFERROR(IF(OR(D311&gt;=INDEX('Facilities'!$J$9:$J$108,MATCH(C311,'Facilities'!$C$9:$C$108,0)),AND(AC311&gt;=0,AC311&lt;=D311)),0,MAX(0,I311-J311)),"Unavailable"))</x:f>
        <x:v>1.002915</x:v>
      </x:c>
      <x:c r="R311" s="30" t="n">
        <x:f>IF(C311="","",IFERROR(INDEX(Credit!$Q$309:$Q$408,MATCH(F311,Credit!$C$309:$C$408,0)),"Unavailable"))</x:f>
        <x:v>0.023255999404071356</x:v>
      </x:c>
      <x:c r="S311" s="30" t="n">
        <x:f>IF(C311="","",IFERROR(INDEX(Credit!$R$309:$R$408,MATCH(F311,Credit!$C$309:$C$408,0)),"Unavailable"))</x:f>
        <x:v>0.3226112</x:v>
      </x:c>
      <x:c r="T311" s="23" t="n">
        <x:f>IF(C311="","",IFERROR(IF(P311&gt;0,3,IF(OR(INDEX('Facilities'!$AD$9:$AD$108,MATCH(C311,'Facilities'!$C$9:$C$108,0))=2,AND(R311&gt;=INDEX('Facilities'!$L$9:$L$108,MATCH(C311,'Facilities'!$C$9:$C$108,0))*Settings!$F$19,R311-INDEX('Facilities'!$L$9:$L$108,MATCH(C311,'Facilities'!$C$9:$C$108,0))&gt;=Settings!$F$20)),2,1)),"Unavailable"))</x:f>
        <x:v>1</x:v>
      </x:c>
      <x:c r="U311" s="23" t="n">
        <x:f>IF(C311="","",IF(AQ311&lt;&gt;"Ready","Unavailable",IF(C311="","",O311*(1-(1-S311)/(1+INDEX('Facilities'!$K$9:$K$108,MATCH(C311,'Facilities'!$C$9:$C$108,0)))^INDEX('Facilities'!$AK$9:$AK$108,MATCH(C311,'Facilities'!$C$9:$C$108,0)))*R311/(1+INDEX('Facilities'!$K$9:$K$108,MATCH(C311,'Facilities'!$C$9:$C$108,0)))*IF(ABS(1-(1-R311)*(1-INDEX('Facilities'!$R$9:$R$108,MATCH(C311,'Facilities'!$C$9:$C$108,0)))/(1+INDEX('Facilities'!$K$9:$K$108,MATCH(C311,'Facilities'!$C$9:$C$108,0))))&lt;0.000000001,IF(T311=1,MIN(1,AJ311),AJ311),(1-((1-R311)*(1-INDEX('Facilities'!$R$9:$R$108,MATCH(C311,'Facilities'!$C$9:$C$108,0)))/(1+INDEX('Facilities'!$K$9:$K$108,MATCH(C311,'Facilities'!$C$9:$C$108,0))))^IF(T311=1,MIN(1,AJ311),AJ311))/(1-(1-R311)*(1-INDEX('Facilities'!$R$9:$R$108,MATCH(C311,'Facilities'!$C$9:$C$108,0)))/(1+INDEX('Facilities'!$K$9:$K$108,MATCH(C311,'Facilities'!$C$9:$C$108,0)))))+AL311)))</x:f>
        <x:v>0.032791265770746196</x:v>
      </x:c>
      <x:c r="V311" s="23" t="n">
        <x:f>IF(C311="","",IF(AQ311&lt;&gt;"Ready","Unavailable",IF(C311="","",Q311*INDEX('Facilities'!$I$9:$I$108,MATCH(C311,'Facilities'!$C$9:$C$108,0))*(1-(1-S311)/(1+INDEX('Facilities'!$K$9:$K$108,MATCH(C311,'Facilities'!$C$9:$C$108,0)))^INDEX('Facilities'!$AK$9:$AK$108,MATCH(C311,'Facilities'!$C$9:$C$108,0)))*R311/(1+INDEX('Facilities'!$K$9:$K$108,MATCH(C311,'Facilities'!$C$9:$C$108,0)))*IF(ABS(1-(1-R311)*(1-0)/(1+INDEX('Facilities'!$K$9:$K$108,MATCH(C311,'Facilities'!$C$9:$C$108,0))))&lt;0.000000001,IF(T311=1,MIN(1,AJ311),AJ311),(1-((1-R311)*(1-0)/(1+INDEX('Facilities'!$K$9:$K$108,MATCH(C311,'Facilities'!$C$9:$C$108,0))))^IF(T311=1,MIN(1,AJ311),AJ311))/(1-(1-R311)*(1-0)/(1+INDEX('Facilities'!$K$9:$K$108,MATCH(C311,'Facilities'!$C$9:$C$108,0))))))))</x:f>
        <x:v>0.004527064460192739</x:v>
      </x:c>
      <x:c r="W311" s="21" t="n">
        <x:f>IF(C311="","",IFERROR(U211,"Unavailable"))</x:f>
        <x:v>0.042567624458311054</x:v>
      </x:c>
      <x:c r="X311" s="21" t="n">
        <x:f>IF(C311="","",IFERROR(V211,"Unavailable"))</x:f>
        <x:v>0.0059280328853834755</x:v>
      </x:c>
      <x:c r="Y311" s="21" t="n">
        <x:f>IF(C311="","",IF(AQ311&lt;&gt;"Ready","Unavailable",IF(C311="","",U311-W311+V311-X311+N311+AG311)))</x:f>
        <x:v>-0.011177327112755594</x:v>
      </x:c>
      <x:c r="Z311" s="23" t="n">
        <x:f>IF(C311="","",IF(AQ311&lt;&gt;"Ready","Unavailable",IF(C311="","",(G311+O311+L311)/2*INDEX('Facilities'!$T$9:$T$108,MATCH(C311,'Facilities'!$C$9:$C$108,0))+AG311)))</x:f>
        <x:v>0.36257578286000003</x:v>
      </x:c>
      <x:c r="AA311" s="23" t="n">
        <x:f>IF(C311="","",IF(AQ311&lt;&gt;"Ready","Unavailable",IF(C311="","",O311*(1-IF(INDEX('Facilities'!$AA$9:$AA$108,MATCH(C311,'Facilities'!$C$9:$C$108,0))=0,0,MIN(1,INDEX('Facilities'!$X$9:$X$108,MATCH(C311,'Facilities'!$C$9:$C$108,0))/INDEX('Facilities'!$AA$9:$AA$108,MATCH(C311,'Facilities'!$C$9:$C$108,0)))))*AF311+P311*(1-IF(INDEX('Facilities'!$AA$9:$AA$108,MATCH(C311,'Facilities'!$C$9:$C$108,0))=0,0,MIN(1,INDEX('Facilities'!$X$9:$X$108,MATCH(C311,'Facilities'!$C$9:$C$108,0))/INDEX('Facilities'!$AA$9:$AA$108,MATCH(C311,'Facilities'!$C$9:$C$108,0)))))*INDEX('Facilities'!$AJ$9:$AJ$108,MATCH(C311,'Facilities'!$C$9:$C$108,0))+Q311*INDEX('Facilities'!$AI$9:$AI$108,MATCH(C311,'Facilities'!$C$9:$C$108,0))*AF311)))</x:f>
        <x:v>5.1148289568656</x:v>
      </x:c>
      <x:c r="AB311" s="21" t="n">
        <x:f>IF(C311="","",O311+P311-AD311)</x:f>
        <x:v>-0.368676024</x:v>
      </x:c>
      <x:c r="AC311" s="23" t="n">
        <x:f>IF(C311="","",IFERROR(IF(INDEX('Facilities'!$AD$9:$AD$108,MATCH(C311,'Facilities'!$C$9:$C$108,0))=3,0,IF(INDEX('Facilities'!$AN$9:$AN$108,MATCH(C311,'Facilities'!$C$9:$C$108,0))=0,-1,INDEX('Facilities'!$AN$9:$AN$108,MATCH(C311,'Facilities'!$C$9:$C$108,0)))),"Unavailable"))</x:f>
        <x:v>-1</x:v>
      </x:c>
      <x:c r="AD311" s="21" t="n">
        <x:f>IF(C311="","",IFERROR(G311+H311,"Unavailable"))</x:f>
        <x:v>4.0009252</x:v>
      </x:c>
      <x:c r="AE311" s="21" t="n">
        <x:f>IF(C311="","",IF(AQ311&lt;&gt;"Ready","Unavailable",IF(C311="","",O311+P311-AD311-J311+K311+M311+N311)))</x:f>
        <x:v>0</x:v>
      </x:c>
      <x:c r="AF311" s="30" t="n">
        <x:f>IF(C311="","",IFERROR(INDEX('Facilities'!$S$9:$S$108,MATCH(C311,'Facilities'!$C$9:$C$108,0))*'Scenario Paths'!I75,"Unavailable"))</x:f>
        <x:v>1.25</x:v>
      </x:c>
      <x:c r="AG311" s="23" t="n">
        <x:f>IF(C311="","",IF(AQ311&lt;&gt;"Ready","Unavailable",IF(C311="","",IF(H311&gt;0,MAX(0,H311-AK311)*((1+INDEX('Facilities'!$K$9:$K$108,MATCH(C311,'Facilities'!$C$9:$C$108,0)))^MIN(1,MAX(0,AC311+INDEX('Facilities'!$AK$9:$AK$108,MATCH(C311,'Facilities'!$C$9:$C$108,0))-D311+1))-1),0))))</x:f>
        <x:v>0</x:v>
      </x:c>
      <x:c r="AH311" s="21" t="n">
        <x:f>IF(C311="","",IF(AQ311&lt;&gt;"Ready","Unavailable",IF(C311="","",O311+P311)))</x:f>
        <x:v>3.632249176</x:v>
      </x:c>
      <x:c r="AI311" s="21" t="n">
        <x:f>IF(C311="","",IF(AQ311&lt;&gt;"Ready","Unavailable",IF(C311="","",Z311-Y311)))</x:f>
        <x:v>0.3737531099727556</x:v>
      </x:c>
      <x:c r="AJ311" s="23" t="n">
        <x:f>IF(C311="","",IFERROR(MAX(0,INDEX('Facilities'!$J$9:$J$108,MATCH(C311,'Facilities'!$C$9:$C$108,0))-D311),"Unavailable"))</x:f>
        <x:v>2</x:v>
      </x:c>
      <x:c r="AK311" s="21" t="n">
        <x:f>IF(C311="","",IFERROR(AL211,"Unavailable"))</x:f>
        <x:v>0</x:v>
      </x:c>
      <x:c r="AL311" s="23" t="n">
        <x:f>IF(C311="","",IFERROR(IF(P311&gt;0,P311*(1-AM311/(1+INDEX('Facilities'!$K$9:$K$108,MATCH(C311,'Facilities'!$C$9:$C$108,0)))^MAX(0,AC311+INDEX('Facilities'!$AK$9:$AK$108,MATCH(C311,'Facilities'!$C$9:$C$108,0))-D311)),0),"Unavailable"))</x:f>
        <x:v>0</x:v>
      </x:c>
      <x:c r="AM311" s="30" t="n">
        <x:f>IF(C311="","",IFERROR(INDEX('Facilities'!$AL$9:$AL$108,MATCH(C311,'Facilities'!$C$9:$C$108,0)),"Unavailable"))</x:f>
        <x:v>0.55</x:v>
      </x:c>
      <x:c r="AN311" s="30" t="n">
        <x:f>IF(C311="","",IFERROR(INDEX(Credit!$T$309:$T$408,MATCH(F311,Credit!$C$309:$C$408,0)),"Unavailable"))</x:f>
        <x:v>0.00384</x:v>
      </x:c>
      <x:c r="AO311" s="23" t="n">
        <x:f>IF(C311="","",IF(AQ311&lt;&gt;"Ready","Unavailable",IF(C311="","",O311+P311+Q311*INDEX('Facilities'!$I$9:$I$108,MATCH(C311,'Facilities'!$C$9:$C$108,0)))))</x:f>
        <x:v>4.133706676</x:v>
      </x:c>
      <x:c r="AP311" s="21" t="n">
        <x:f>IF(C311="","",IF(AQ311&lt;&gt;"Ready","Unavailable",IF(C311="","",AH311-U311)))</x:f>
        <x:v>3.599457910229254</x:v>
      </x:c>
      <x:c r="AQ311" s="23" t="str">
        <x:f>IFERROR(IF(C311="","",IF(AND(INDEX('Facilities'!$AF$9:$AF$108,MATCH(C311,'Facilities'!$C$9:$C$108,0))="Ready",INDEX(Credit!$U$309:$U$408,MATCH(F311,Credit!$C$309:$C$408,0))="Ready",ISNUMBER(W311)),"Ready","Review inputs")),"Review inputs")</x:f>
        <x:v>Ready</x:v>
      </x:c>
      <x:c r="AR311" s="23" t="n">
        <x:f>IF(C311="","",IF(AQ311&lt;&gt;"Ready","Unavailable",IF(C311="","",IF(O311=0,0,(IF(AJ311&lt;=1,O311,O311*INDEX('Facilities'!$R$9:$R$108,MATCH(C311,'Facilities'!$C$9:$C$108,0)))+O311*INDEX('Facilities'!$T$9:$T$108,MATCH(C311,'Facilities'!$C$9:$C$108,0)))/12))))</x:f>
        <x:v>0.06507779773666666</x:v>
      </x:c>
    </x:row>
    <x:row r="312" ht="26" customHeight="1">
      <x:c r="A312" s="1"/>
      <x:c r="B312" s="1"/>
      <x:c r="C312" s="9" t="str">
        <x:f>IF(Facilities!C12="","",Facilities!C12)</x:f>
        <x:v>F004</x:v>
      </x:c>
      <x:c r="D312" s="3" t="n">
        <x:v>4</x:v>
      </x:c>
      <x:c r="E312" s="9" t="n">
        <x:f>Settings!$F$18+3</x:f>
        <x:v>2030</x:v>
      </x:c>
      <x:c r="F312" s="9" t="str">
        <x:f>IF(C312="","",IFERROR(INDEX('Facilities'!$D$9:$D$108,MATCH(C312,'Facilities'!$C$9:$C$108,0)),"Unavailable"))</x:f>
        <x:v>B002</x:v>
      </x:c>
      <x:c r="G312" s="21" t="n">
        <x:f>IF(C312="","",IFERROR(O212,"Unavailable"))</x:f>
        <x:v>2.0605452</x:v>
      </x:c>
      <x:c r="H312" s="21" t="n">
        <x:f>IF(C312="","",IFERROR(P212,"Unavailable"))</x:f>
        <x:v>0</x:v>
      </x:c>
      <x:c r="I312" s="21" t="n">
        <x:f>IF(C312="","",IFERROR(Q212,"Unavailable"))</x:f>
        <x:v>0.37145</x:v>
      </x:c>
      <x:c r="J312" s="23" t="n">
        <x:f>IF(C312="","",IFERROR(IF(OR(H312&gt;0,AND(AC312&gt;=0,AC312&lt;D312),D312&gt;INDEX('Facilities'!$J$9:$J$108,MATCH(C312,'Facilities'!$C$9:$C$108,0))),0,I312*'Scenario Paths'!I81),"Unavailable"))</x:f>
        <x:v>0.037145000000000004</x:v>
      </x:c>
      <x:c r="K312" s="23" t="n">
        <x:f>IF(C312="","",IFERROR(IF(OR(H312&gt;0,AND(AC312&gt;=0,AC312=D312)),0,IF(D312&gt;=INDEX('Facilities'!$J$9:$J$108,MATCH(C312,'Facilities'!$C$9:$C$108,0)),G312+J312,MIN(G312+J312,G312*INDEX('Facilities'!$R$9:$R$108,MATCH(C312,'Facilities'!$C$9:$C$108,0))))),"Unavailable"))</x:f>
        <x:v>0.24726542399999998</x:v>
      </x:c>
      <x:c r="L312" s="21" t="n">
        <x:f>IF(C312="","",IFERROR(IF(AND(AC312=D312,AC312&gt;0),MAX(0,G312+J312-K312),0),"Unavailable"))</x:f>
        <x:v>0</x:v>
      </x:c>
      <x:c r="M312" s="23" t="n">
        <x:f>IF(C312="","",IFERROR(IF(AND(AC312&gt;=0,D312&gt;=AC312+INDEX('Facilities'!$AK$9:$AK$108,MATCH(C312,'Facilities'!$C$9:$C$108,0))),(H312+L312)*AM312,0),"Unavailable"))</x:f>
        <x:v>0</x:v>
      </x:c>
      <x:c r="N312" s="23" t="n">
        <x:f>IF(C312="","",IFERROR(IF(AND(AC312&gt;=0,D312&gt;=AC312+INDEX('Facilities'!$AK$9:$AK$108,MATCH(C312,'Facilities'!$C$9:$C$108,0))),H312+L312-M312,0),"Unavailable"))</x:f>
        <x:v>0</x:v>
      </x:c>
      <x:c r="O312" s="21" t="n">
        <x:f>IF(C312="","",IFERROR(MAX(0,G312+J312-K312-L312),"Unavailable"))</x:f>
        <x:v>1.850424776</x:v>
      </x:c>
      <x:c r="P312" s="21" t="n">
        <x:f>IF(C312="","",IFERROR(MAX(0,H312+L312-M312-N312),"Unavailable"))</x:f>
        <x:v>0</x:v>
      </x:c>
      <x:c r="Q312" s="23" t="n">
        <x:f>IF(C312="","",IFERROR(IF(OR(D312&gt;=INDEX('Facilities'!$J$9:$J$108,MATCH(C312,'Facilities'!$C$9:$C$108,0)),AND(AC312&gt;=0,AC312&lt;=D312)),0,MAX(0,I312-J312)),"Unavailable"))</x:f>
        <x:v>0.334305</x:v>
      </x:c>
      <x:c r="R312" s="30" t="n">
        <x:f>IF(C312="","",IFERROR(INDEX(Credit!$Q$309:$Q$408,MATCH(F312,Credit!$C$309:$C$408,0)),"Unavailable"))</x:f>
        <x:v>0.023255999404071356</x:v>
      </x:c>
      <x:c r="S312" s="30" t="n">
        <x:f>IF(C312="","",IFERROR(INDEX(Credit!$R$309:$R$408,MATCH(F312,Credit!$C$309:$C$408,0)),"Unavailable"))</x:f>
        <x:v>0.3226112</x:v>
      </x:c>
      <x:c r="T312" s="23" t="n">
        <x:f>IF(C312="","",IFERROR(IF(P312&gt;0,3,IF(OR(INDEX('Facilities'!$AD$9:$AD$108,MATCH(C312,'Facilities'!$C$9:$C$108,0))=2,AND(R312&gt;=INDEX('Facilities'!$L$9:$L$108,MATCH(C312,'Facilities'!$C$9:$C$108,0))*Settings!$F$19,R312-INDEX('Facilities'!$L$9:$L$108,MATCH(C312,'Facilities'!$C$9:$C$108,0))&gt;=Settings!$F$20)),2,1)),"Unavailable"))</x:f>
        <x:v>1</x:v>
      </x:c>
      <x:c r="U312" s="23" t="n">
        <x:f>IF(C312="","",IF(AQ312&lt;&gt;"Ready","Unavailable",IF(C312="","",O312*(1-(1-S312)/(1+INDEX('Facilities'!$K$9:$K$108,MATCH(C312,'Facilities'!$C$9:$C$108,0)))^INDEX('Facilities'!$AK$9:$AK$108,MATCH(C312,'Facilities'!$C$9:$C$108,0)))*R312/(1+INDEX('Facilities'!$K$9:$K$108,MATCH(C312,'Facilities'!$C$9:$C$108,0)))*IF(ABS(1-(1-R312)*(1-INDEX('Facilities'!$R$9:$R$108,MATCH(C312,'Facilities'!$C$9:$C$108,0)))/(1+INDEX('Facilities'!$K$9:$K$108,MATCH(C312,'Facilities'!$C$9:$C$108,0))))&lt;0.000000001,IF(T312=1,MIN(1,AJ312),AJ312),(1-((1-R312)*(1-INDEX('Facilities'!$R$9:$R$108,MATCH(C312,'Facilities'!$C$9:$C$108,0)))/(1+INDEX('Facilities'!$K$9:$K$108,MATCH(C312,'Facilities'!$C$9:$C$108,0))))^IF(T312=1,MIN(1,AJ312),AJ312))/(1-(1-R312)*(1-INDEX('Facilities'!$R$9:$R$108,MATCH(C312,'Facilities'!$C$9:$C$108,0)))/(1+INDEX('Facilities'!$K$9:$K$108,MATCH(C312,'Facilities'!$C$9:$C$108,0)))))+AL312)))</x:f>
        <x:v>0.01670528856321764</x:v>
      </x:c>
      <x:c r="V312" s="23" t="n">
        <x:f>IF(C312="","",IF(AQ312&lt;&gt;"Ready","Unavailable",IF(C312="","",Q312*INDEX('Facilities'!$I$9:$I$108,MATCH(C312,'Facilities'!$C$9:$C$108,0))*(1-(1-S312)/(1+INDEX('Facilities'!$K$9:$K$108,MATCH(C312,'Facilities'!$C$9:$C$108,0)))^INDEX('Facilities'!$AK$9:$AK$108,MATCH(C312,'Facilities'!$C$9:$C$108,0)))*R312/(1+INDEX('Facilities'!$K$9:$K$108,MATCH(C312,'Facilities'!$C$9:$C$108,0)))*IF(ABS(1-(1-R312)*(1-0)/(1+INDEX('Facilities'!$K$9:$K$108,MATCH(C312,'Facilities'!$C$9:$C$108,0))))&lt;0.000000001,IF(T312=1,MIN(1,AJ312),AJ312),(1-((1-R312)*(1-0)/(1+INDEX('Facilities'!$K$9:$K$108,MATCH(C312,'Facilities'!$C$9:$C$108,0))))^IF(T312=1,MIN(1,AJ312),AJ312))/(1-(1-R312)*(1-0)/(1+INDEX('Facilities'!$K$9:$K$108,MATCH(C312,'Facilities'!$C$9:$C$108,0))))))))</x:f>
        <x:v>0.001509021486730913</x:v>
      </x:c>
      <x:c r="W312" s="21" t="n">
        <x:f>IF(C312="","",IFERROR(U212,"Unavailable"))</x:f>
        <x:v>0.021923057759983974</x:v>
      </x:c>
      <x:c r="X312" s="21" t="n">
        <x:f>IF(C312="","",IFERROR(V212,"Unavailable"))</x:f>
        <x:v>0.001976010961794492</x:v>
      </x:c>
      <x:c r="Y312" s="21" t="n">
        <x:f>IF(C312="","",IF(AQ312&lt;&gt;"Ready","Unavailable",IF(C312="","",U312-W312+V312-X312+N312+AG312)))</x:f>
        <x:v>-0.005684758671829912</x:v>
      </x:c>
      <x:c r="Z312" s="23" t="n">
        <x:f>IF(C312="","",IF(AQ312&lt;&gt;"Ready","Unavailable",IF(C312="","",(G312+O312+L312)/2*INDEX('Facilities'!$T$9:$T$108,MATCH(C312,'Facilities'!$C$9:$C$108,0))+AG312)))</x:f>
        <x:v>0.18577107386</x:v>
      </x:c>
      <x:c r="AA312" s="23" t="n">
        <x:f>IF(C312="","",IF(AQ312&lt;&gt;"Ready","Unavailable",IF(C312="","",O312*(1-IF(INDEX('Facilities'!$AA$9:$AA$108,MATCH(C312,'Facilities'!$C$9:$C$108,0))=0,0,MIN(1,INDEX('Facilities'!$X$9:$X$108,MATCH(C312,'Facilities'!$C$9:$C$108,0))/INDEX('Facilities'!$AA$9:$AA$108,MATCH(C312,'Facilities'!$C$9:$C$108,0)))))*AF312+P312*(1-IF(INDEX('Facilities'!$AA$9:$AA$108,MATCH(C312,'Facilities'!$C$9:$C$108,0))=0,0,MIN(1,INDEX('Facilities'!$X$9:$X$108,MATCH(C312,'Facilities'!$C$9:$C$108,0))/INDEX('Facilities'!$AA$9:$AA$108,MATCH(C312,'Facilities'!$C$9:$C$108,0)))))*INDEX('Facilities'!$AJ$9:$AJ$108,MATCH(C312,'Facilities'!$C$9:$C$108,0))+Q312*INDEX('Facilities'!$AI$9:$AI$108,MATCH(C312,'Facilities'!$C$9:$C$108,0))*AF312)))</x:f>
        <x:v>2.4953254782256</x:v>
      </x:c>
      <x:c r="AB312" s="21" t="n">
        <x:f>IF(C312="","",O312+P312-AD312)</x:f>
        <x:v>-0.21012042399999986</x:v>
      </x:c>
      <x:c r="AC312" s="23" t="n">
        <x:f>IF(C312="","",IFERROR(IF(INDEX('Facilities'!$AD$9:$AD$108,MATCH(C312,'Facilities'!$C$9:$C$108,0))=3,0,IF(INDEX('Facilities'!$AN$9:$AN$108,MATCH(C312,'Facilities'!$C$9:$C$108,0))=0,-1,INDEX('Facilities'!$AN$9:$AN$108,MATCH(C312,'Facilities'!$C$9:$C$108,0)))),"Unavailable"))</x:f>
        <x:v>-1</x:v>
      </x:c>
      <x:c r="AD312" s="21" t="n">
        <x:f>IF(C312="","",IFERROR(G312+H312,"Unavailable"))</x:f>
        <x:v>2.0605452</x:v>
      </x:c>
      <x:c r="AE312" s="21" t="n">
        <x:f>IF(C312="","",IF(AQ312&lt;&gt;"Ready","Unavailable",IF(C312="","",O312+P312-AD312-J312+K312+M312+N312)))</x:f>
        <x:v>1.1102230246251565e-16</x:v>
      </x:c>
      <x:c r="AF312" s="30" t="n">
        <x:f>IF(C312="","",IFERROR(INDEX('Facilities'!$S$9:$S$108,MATCH(C312,'Facilities'!$C$9:$C$108,0))*'Scenario Paths'!I75,"Unavailable"))</x:f>
        <x:v>1.25</x:v>
      </x:c>
      <x:c r="AG312" s="23" t="n">
        <x:f>IF(C312="","",IF(AQ312&lt;&gt;"Ready","Unavailable",IF(C312="","",IF(H312&gt;0,MAX(0,H312-AK312)*((1+INDEX('Facilities'!$K$9:$K$108,MATCH(C312,'Facilities'!$C$9:$C$108,0)))^MIN(1,MAX(0,AC312+INDEX('Facilities'!$AK$9:$AK$108,MATCH(C312,'Facilities'!$C$9:$C$108,0))-D312+1))-1),0))))</x:f>
        <x:v>0</x:v>
      </x:c>
      <x:c r="AH312" s="21" t="n">
        <x:f>IF(C312="","",IF(AQ312&lt;&gt;"Ready","Unavailable",IF(C312="","",O312+P312)))</x:f>
        <x:v>1.850424776</x:v>
      </x:c>
      <x:c r="AI312" s="21" t="n">
        <x:f>IF(C312="","",IF(AQ312&lt;&gt;"Ready","Unavailable",IF(C312="","",Z312-Y312)))</x:f>
        <x:v>0.1914558325318299</x:v>
      </x:c>
      <x:c r="AJ312" s="23" t="n">
        <x:f>IF(C312="","",IFERROR(MAX(0,INDEX('Facilities'!$J$9:$J$108,MATCH(C312,'Facilities'!$C$9:$C$108,0))-D312),"Unavailable"))</x:f>
        <x:v>2</x:v>
      </x:c>
      <x:c r="AK312" s="21" t="n">
        <x:f>IF(C312="","",IFERROR(AL212,"Unavailable"))</x:f>
        <x:v>0</x:v>
      </x:c>
      <x:c r="AL312" s="23" t="n">
        <x:f>IF(C312="","",IFERROR(IF(P312&gt;0,P312*(1-AM312/(1+INDEX('Facilities'!$K$9:$K$108,MATCH(C312,'Facilities'!$C$9:$C$108,0)))^MAX(0,AC312+INDEX('Facilities'!$AK$9:$AK$108,MATCH(C312,'Facilities'!$C$9:$C$108,0))-D312)),0),"Unavailable"))</x:f>
        <x:v>0</x:v>
      </x:c>
      <x:c r="AM312" s="30" t="n">
        <x:f>IF(C312="","",IFERROR(INDEX('Facilities'!$AL$9:$AL$108,MATCH(C312,'Facilities'!$C$9:$C$108,0)),"Unavailable"))</x:f>
        <x:v>0.55</x:v>
      </x:c>
      <x:c r="AN312" s="30" t="n">
        <x:f>IF(C312="","",IFERROR(INDEX(Credit!$T$309:$T$408,MATCH(F312,Credit!$C$309:$C$408,0)),"Unavailable"))</x:f>
        <x:v>0.00384</x:v>
      </x:c>
      <x:c r="AO312" s="23" t="n">
        <x:f>IF(C312="","",IF(AQ312&lt;&gt;"Ready","Unavailable",IF(C312="","",O312+P312+Q312*INDEX('Facilities'!$I$9:$I$108,MATCH(C312,'Facilities'!$C$9:$C$108,0)))))</x:f>
        <x:v>2.017577276</x:v>
      </x:c>
      <x:c r="AP312" s="21" t="n">
        <x:f>IF(C312="","",IF(AQ312&lt;&gt;"Ready","Unavailable",IF(C312="","",AH312-U312)))</x:f>
        <x:v>1.8337194874367824</x:v>
      </x:c>
      <x:c r="AQ312" s="23" t="str">
        <x:f>IFERROR(IF(C312="","",IF(AND(INDEX('Facilities'!$AF$9:$AF$108,MATCH(C312,'Facilities'!$C$9:$C$108,0))="Ready",INDEX(Credit!$U$309:$U$408,MATCH(F312,Credit!$C$309:$C$408,0))="Ready",ISNUMBER(W312)),"Ready","Review inputs")),"Review inputs")</x:f>
        <x:v>Ready</x:v>
      </x:c>
      <x:c r="AR312" s="23" t="n">
        <x:f>IF(C312="","",IF(AQ312&lt;&gt;"Ready","Unavailable",IF(C312="","",IF(O312=0,0,(IF(AJ312&lt;=1,O312,O312*INDEX('Facilities'!$R$9:$R$108,MATCH(C312,'Facilities'!$C$9:$C$108,0)))+O312*INDEX('Facilities'!$T$9:$T$108,MATCH(C312,'Facilities'!$C$9:$C$108,0)))/12))))</x:f>
        <x:v>0.033153443903333336</x:v>
      </x:c>
    </x:row>
    <x:row r="313" ht="26" customHeight="1">
      <x:c r="A313" s="1"/>
      <x:c r="B313" s="1"/>
      <x:c r="C313" s="9" t="str">
        <x:f>IF(Facilities!C13="","",Facilities!C13)</x:f>
        <x:v>F005</x:v>
      </x:c>
      <x:c r="D313" s="3" t="n">
        <x:v>4</x:v>
      </x:c>
      <x:c r="E313" s="9" t="n">
        <x:f>Settings!$F$18+3</x:f>
        <x:v>2030</x:v>
      </x:c>
      <x:c r="F313" s="9" t="str">
        <x:f>IF(C313="","",IFERROR(INDEX('Facilities'!$D$9:$D$108,MATCH(C313,'Facilities'!$C$9:$C$108,0)),"Unavailable"))</x:f>
        <x:v>B003</x:v>
      </x:c>
      <x:c r="G313" s="21" t="n">
        <x:f>IF(C313="","",IFERROR(O213,"Unavailable"))</x:f>
        <x:v>4.2394404</x:v>
      </x:c>
      <x:c r="H313" s="21" t="n">
        <x:f>IF(C313="","",IFERROR(P213,"Unavailable"))</x:f>
        <x:v>0</x:v>
      </x:c>
      <x:c r="I313" s="21" t="n">
        <x:f>IF(C313="","",IFERROR(Q213,"Unavailable"))</x:f>
        <x:v>1.11435</x:v>
      </x:c>
      <x:c r="J313" s="23" t="n">
        <x:f>IF(C313="","",IFERROR(IF(OR(H313&gt;0,AND(AC313&gt;=0,AC313&lt;D313),D313&gt;INDEX('Facilities'!$J$9:$J$108,MATCH(C313,'Facilities'!$C$9:$C$108,0))),0,I313*'Scenario Paths'!I81),"Unavailable"))</x:f>
        <x:v>0.111435</x:v>
      </x:c>
      <x:c r="K313" s="23" t="n">
        <x:f>IF(C313="","",IFERROR(IF(OR(H313&gt;0,AND(AC313&gt;=0,AC313=D313)),0,IF(D313&gt;=INDEX('Facilities'!$J$9:$J$108,MATCH(C313,'Facilities'!$C$9:$C$108,0)),G313+J313,MIN(G313+J313,G313*INDEX('Facilities'!$R$9:$R$108,MATCH(C313,'Facilities'!$C$9:$C$108,0))))),"Unavailable"))</x:f>
        <x:v>0.5087328480000001</x:v>
      </x:c>
      <x:c r="L313" s="21" t="n">
        <x:f>IF(C313="","",IFERROR(IF(AND(AC313=D313,AC313&gt;0),MAX(0,G313+J313-K313),0),"Unavailable"))</x:f>
        <x:v>0</x:v>
      </x:c>
      <x:c r="M313" s="23" t="n">
        <x:f>IF(C313="","",IFERROR(IF(AND(AC313&gt;=0,D313&gt;=AC313+INDEX('Facilities'!$AK$9:$AK$108,MATCH(C313,'Facilities'!$C$9:$C$108,0))),(H313+L313)*AM313,0),"Unavailable"))</x:f>
        <x:v>0</x:v>
      </x:c>
      <x:c r="N313" s="23" t="n">
        <x:f>IF(C313="","",IFERROR(IF(AND(AC313&gt;=0,D313&gt;=AC313+INDEX('Facilities'!$AK$9:$AK$108,MATCH(C313,'Facilities'!$C$9:$C$108,0))),H313+L313-M313,0),"Unavailable"))</x:f>
        <x:v>0</x:v>
      </x:c>
      <x:c r="O313" s="21" t="n">
        <x:f>IF(C313="","",IFERROR(MAX(0,G313+J313-K313-L313),"Unavailable"))</x:f>
        <x:v>3.8421425520000003</x:v>
      </x:c>
      <x:c r="P313" s="21" t="n">
        <x:f>IF(C313="","",IFERROR(MAX(0,H313+L313-M313-N313),"Unavailable"))</x:f>
        <x:v>0</x:v>
      </x:c>
      <x:c r="Q313" s="23" t="n">
        <x:f>IF(C313="","",IFERROR(IF(OR(D313&gt;=INDEX('Facilities'!$J$9:$J$108,MATCH(C313,'Facilities'!$C$9:$C$108,0)),AND(AC313&gt;=0,AC313&lt;=D313)),0,MAX(0,I313-J313)),"Unavailable"))</x:f>
        <x:v>1.002915</x:v>
      </x:c>
      <x:c r="R313" s="30" t="n">
        <x:f>IF(C313="","",IFERROR(INDEX(Credit!$Q$309:$Q$408,MATCH(F313,Credit!$C$309:$C$408,0)),"Unavailable"))</x:f>
        <x:v>0.051363687648022065</x:v>
      </x:c>
      <x:c r="S313" s="30" t="n">
        <x:f>IF(C313="","",IFERROR(INDEX(Credit!$R$309:$R$408,MATCH(F313,Credit!$C$309:$C$408,0)),"Unavailable"))</x:f>
        <x:v>0.36439296000000004</x:v>
      </x:c>
      <x:c r="T313" s="23" t="n">
        <x:f>IF(C313="","",IFERROR(IF(P313&gt;0,3,IF(OR(INDEX('Facilities'!$AD$9:$AD$108,MATCH(C313,'Facilities'!$C$9:$C$108,0))=2,AND(R313&gt;=INDEX('Facilities'!$L$9:$L$108,MATCH(C313,'Facilities'!$C$9:$C$108,0))*Settings!$F$19,R313-INDEX('Facilities'!$L$9:$L$108,MATCH(C313,'Facilities'!$C$9:$C$108,0))&gt;=Settings!$F$20)),2,1)),"Unavailable"))</x:f>
        <x:v>2</x:v>
      </x:c>
      <x:c r="U313" s="23" t="n">
        <x:f>IF(C313="","",IF(AQ313&lt;&gt;"Ready","Unavailable",IF(C313="","",O313*(1-(1-S313)/(1+INDEX('Facilities'!$K$9:$K$108,MATCH(C313,'Facilities'!$C$9:$C$108,0)))^INDEX('Facilities'!$AK$9:$AK$108,MATCH(C313,'Facilities'!$C$9:$C$108,0)))*R313/(1+INDEX('Facilities'!$K$9:$K$108,MATCH(C313,'Facilities'!$C$9:$C$108,0)))*IF(ABS(1-(1-R313)*(1-INDEX('Facilities'!$R$9:$R$108,MATCH(C313,'Facilities'!$C$9:$C$108,0)))/(1+INDEX('Facilities'!$K$9:$K$108,MATCH(C313,'Facilities'!$C$9:$C$108,0))))&lt;0.000000001,IF(T313=1,MIN(1,AJ313),AJ313),(1-((1-R313)*(1-INDEX('Facilities'!$R$9:$R$108,MATCH(C313,'Facilities'!$C$9:$C$108,0)))/(1+INDEX('Facilities'!$K$9:$K$108,MATCH(C313,'Facilities'!$C$9:$C$108,0))))^IF(T313=1,MIN(1,AJ313),AJ313))/(1-(1-R313)*(1-INDEX('Facilities'!$R$9:$R$108,MATCH(C313,'Facilities'!$C$9:$C$108,0)))/(1+INDEX('Facilities'!$K$9:$K$108,MATCH(C313,'Facilities'!$C$9:$C$108,0)))))+AL313)))</x:f>
        <x:v>0.19711130601691862</x:v>
      </x:c>
      <x:c r="V313" s="23" t="n">
        <x:f>IF(C313="","",IF(AQ313&lt;&gt;"Ready","Unavailable",IF(C313="","",Q313*INDEX('Facilities'!$I$9:$I$108,MATCH(C313,'Facilities'!$C$9:$C$108,0))*(1-(1-S313)/(1+INDEX('Facilities'!$K$9:$K$108,MATCH(C313,'Facilities'!$C$9:$C$108,0)))^INDEX('Facilities'!$AK$9:$AK$108,MATCH(C313,'Facilities'!$C$9:$C$108,0)))*R313/(1+INDEX('Facilities'!$K$9:$K$108,MATCH(C313,'Facilities'!$C$9:$C$108,0)))*IF(ABS(1-(1-R313)*(1-0)/(1+INDEX('Facilities'!$K$9:$K$108,MATCH(C313,'Facilities'!$C$9:$C$108,0))))&lt;0.000000001,IF(T313=1,MIN(1,AJ313),AJ313),(1-((1-R313)*(1-0)/(1+INDEX('Facilities'!$K$9:$K$108,MATCH(C313,'Facilities'!$C$9:$C$108,0))))^IF(T313=1,MIN(1,AJ313),AJ313))/(1-(1-R313)*(1-0)/(1+INDEX('Facilities'!$K$9:$K$108,MATCH(C313,'Facilities'!$C$9:$C$108,0))))))))</x:f>
        <x:v>0.028758945449761635</x:v>
      </x:c>
      <x:c r="W313" s="21" t="n">
        <x:f>IF(C313="","",IFERROR(U213,"Unavailable"))</x:f>
        <x:v>0.26886591693647033</x:v>
      </x:c>
      <x:c r="X313" s="21" t="n">
        <x:f>IF(C313="","",IFERROR(V213,"Unavailable"))</x:f>
        <x:v>0.041501942516034</x:v>
      </x:c>
      <x:c r="Y313" s="21" t="n">
        <x:f>IF(C313="","",IF(AQ313&lt;&gt;"Ready","Unavailable",IF(C313="","",U313-W313+V313-X313+N313+AG313)))</x:f>
        <x:v>-0.08449760798582406</x:v>
      </x:c>
      <x:c r="Z313" s="23" t="n">
        <x:f>IF(C313="","",IF(AQ313&lt;&gt;"Ready","Unavailable",IF(C313="","",(G313+O313+L313)/2*INDEX('Facilities'!$T$9:$T$108,MATCH(C313,'Facilities'!$C$9:$C$108,0))+AG313)))</x:f>
        <x:v>0.38387519022000005</x:v>
      </x:c>
      <x:c r="AA313" s="23" t="n">
        <x:f>IF(C313="","",IF(AQ313&lt;&gt;"Ready","Unavailable",IF(C313="","",O313*(1-IF(INDEX('Facilities'!$AA$9:$AA$108,MATCH(C313,'Facilities'!$C$9:$C$108,0))=0,0,MIN(1,INDEX('Facilities'!$X$9:$X$108,MATCH(C313,'Facilities'!$C$9:$C$108,0))/INDEX('Facilities'!$AA$9:$AA$108,MATCH(C313,'Facilities'!$C$9:$C$108,0)))))*AF313+P313*(1-IF(INDEX('Facilities'!$AA$9:$AA$108,MATCH(C313,'Facilities'!$C$9:$C$108,0))=0,0,MIN(1,INDEX('Facilities'!$X$9:$X$108,MATCH(C313,'Facilities'!$C$9:$C$108,0))/INDEX('Facilities'!$AA$9:$AA$108,MATCH(C313,'Facilities'!$C$9:$C$108,0)))))*INDEX('Facilities'!$AJ$9:$AJ$108,MATCH(C313,'Facilities'!$C$9:$C$108,0))+Q313*INDEX('Facilities'!$AI$9:$AI$108,MATCH(C313,'Facilities'!$C$9:$C$108,0))*AF313)))</x:f>
        <x:v>5.346509785876801</x:v>
      </x:c>
      <x:c r="AB313" s="21" t="n">
        <x:f>IF(C313="","",O313+P313-AD313)</x:f>
        <x:v>-0.397297848</x:v>
      </x:c>
      <x:c r="AC313" s="23" t="n">
        <x:f>IF(C313="","",IFERROR(IF(INDEX('Facilities'!$AD$9:$AD$108,MATCH(C313,'Facilities'!$C$9:$C$108,0))=3,0,IF(INDEX('Facilities'!$AN$9:$AN$108,MATCH(C313,'Facilities'!$C$9:$C$108,0))=0,-1,INDEX('Facilities'!$AN$9:$AN$108,MATCH(C313,'Facilities'!$C$9:$C$108,0)))),"Unavailable"))</x:f>
        <x:v>-1</x:v>
      </x:c>
      <x:c r="AD313" s="21" t="n">
        <x:f>IF(C313="","",IFERROR(G313+H313,"Unavailable"))</x:f>
        <x:v>4.2394404</x:v>
      </x:c>
      <x:c r="AE313" s="21" t="n">
        <x:f>IF(C313="","",IF(AQ313&lt;&gt;"Ready","Unavailable",IF(C313="","",O313+P313-AD313-J313+K313+M313+N313)))</x:f>
        <x:v>1.1102230246251565e-16</x:v>
      </x:c>
      <x:c r="AF313" s="30" t="n">
        <x:f>IF(C313="","",IFERROR(INDEX('Facilities'!$S$9:$S$108,MATCH(C313,'Facilities'!$C$9:$C$108,0))*'Scenario Paths'!I75,"Unavailable"))</x:f>
        <x:v>1.25</x:v>
      </x:c>
      <x:c r="AG313" s="23" t="n">
        <x:f>IF(C313="","",IF(AQ313&lt;&gt;"Ready","Unavailable",IF(C313="","",IF(H313&gt;0,MAX(0,H313-AK313)*((1+INDEX('Facilities'!$K$9:$K$108,MATCH(C313,'Facilities'!$C$9:$C$108,0)))^MIN(1,MAX(0,AC313+INDEX('Facilities'!$AK$9:$AK$108,MATCH(C313,'Facilities'!$C$9:$C$108,0))-D313+1))-1),0))))</x:f>
        <x:v>0</x:v>
      </x:c>
      <x:c r="AH313" s="21" t="n">
        <x:f>IF(C313="","",IF(AQ313&lt;&gt;"Ready","Unavailable",IF(C313="","",O313+P313)))</x:f>
        <x:v>3.8421425520000003</x:v>
      </x:c>
      <x:c r="AI313" s="21" t="n">
        <x:f>IF(C313="","",IF(AQ313&lt;&gt;"Ready","Unavailable",IF(C313="","",Z313-Y313)))</x:f>
        <x:v>0.4683727982058241</x:v>
      </x:c>
      <x:c r="AJ313" s="23" t="n">
        <x:f>IF(C313="","",IFERROR(MAX(0,INDEX('Facilities'!$J$9:$J$108,MATCH(C313,'Facilities'!$C$9:$C$108,0))-D313),"Unavailable"))</x:f>
        <x:v>3</x:v>
      </x:c>
      <x:c r="AK313" s="21" t="n">
        <x:f>IF(C313="","",IFERROR(AL213,"Unavailable"))</x:f>
        <x:v>0</x:v>
      </x:c>
      <x:c r="AL313" s="23" t="n">
        <x:f>IF(C313="","",IFERROR(IF(P313&gt;0,P313*(1-AM313/(1+INDEX('Facilities'!$K$9:$K$108,MATCH(C313,'Facilities'!$C$9:$C$108,0)))^MAX(0,AC313+INDEX('Facilities'!$AK$9:$AK$108,MATCH(C313,'Facilities'!$C$9:$C$108,0))-D313)),0),"Unavailable"))</x:f>
        <x:v>0</x:v>
      </x:c>
      <x:c r="AM313" s="30" t="n">
        <x:f>IF(C313="","",IFERROR(INDEX('Facilities'!$AL$9:$AL$108,MATCH(C313,'Facilities'!$C$9:$C$108,0)),"Unavailable"))</x:f>
        <x:v>0.55</x:v>
      </x:c>
      <x:c r="AN313" s="30" t="n">
        <x:f>IF(C313="","",IFERROR(INDEX(Credit!$T$309:$T$408,MATCH(F313,Credit!$C$309:$C$408,0)),"Unavailable"))</x:f>
        <x:v>0.0068639999999999994</x:v>
      </x:c>
      <x:c r="AO313" s="23" t="n">
        <x:f>IF(C313="","",IF(AQ313&lt;&gt;"Ready","Unavailable",IF(C313="","",O313+P313+Q313*INDEX('Facilities'!$I$9:$I$108,MATCH(C313,'Facilities'!$C$9:$C$108,0)))))</x:f>
        <x:v>4.343600052</x:v>
      </x:c>
      <x:c r="AP313" s="21" t="n">
        <x:f>IF(C313="","",IF(AQ313&lt;&gt;"Ready","Unavailable",IF(C313="","",AH313-U313)))</x:f>
        <x:v>3.645031245983082</x:v>
      </x:c>
      <x:c r="AQ313" s="23" t="str">
        <x:f>IFERROR(IF(C313="","",IF(AND(INDEX('Facilities'!$AF$9:$AF$108,MATCH(C313,'Facilities'!$C$9:$C$108,0))="Ready",INDEX(Credit!$U$309:$U$408,MATCH(F313,Credit!$C$309:$C$408,0))="Ready",ISNUMBER(W313)),"Ready","Review inputs")),"Review inputs")</x:f>
        <x:v>Ready</x:v>
      </x:c>
      <x:c r="AR313" s="23" t="n">
        <x:f>IF(C313="","",IF(AQ313&lt;&gt;"Ready","Unavailable",IF(C313="","",IF(O313=0,0,(IF(AJ313&lt;=1,O313,O313*INDEX('Facilities'!$R$9:$R$108,MATCH(C313,'Facilities'!$C$9:$C$108,0)))+O313*INDEX('Facilities'!$T$9:$T$108,MATCH(C313,'Facilities'!$C$9:$C$108,0)))/12))))</x:f>
        <x:v>0.06883838739</x:v>
      </x:c>
    </x:row>
    <x:row r="314" ht="26" customHeight="1">
      <x:c r="A314" s="1"/>
      <x:c r="B314" s="1"/>
      <x:c r="C314" s="9" t="str">
        <x:f>IF(Facilities!C14="","",Facilities!C14)</x:f>
        <x:v>F006</x:v>
      </x:c>
      <x:c r="D314" s="3" t="n">
        <x:v>4</x:v>
      </x:c>
      <x:c r="E314" s="9" t="n">
        <x:f>Settings!$F$18+3</x:f>
        <x:v>2030</x:v>
      </x:c>
      <x:c r="F314" s="9" t="str">
        <x:f>IF(C314="","",IFERROR(INDEX('Facilities'!$D$9:$D$108,MATCH(C314,'Facilities'!$C$9:$C$108,0)),"Unavailable"))</x:f>
        <x:v>B003</x:v>
      </x:c>
      <x:c r="G314" s="21" t="n">
        <x:f>IF(C314="","",IFERROR(O214,"Unavailable"))</x:f>
        <x:v>2.2990604</x:v>
      </x:c>
      <x:c r="H314" s="21" t="n">
        <x:f>IF(C314="","",IFERROR(P214,"Unavailable"))</x:f>
        <x:v>0</x:v>
      </x:c>
      <x:c r="I314" s="21" t="n">
        <x:f>IF(C314="","",IFERROR(Q214,"Unavailable"))</x:f>
        <x:v>0.37145</x:v>
      </x:c>
      <x:c r="J314" s="23" t="n">
        <x:f>IF(C314="","",IFERROR(IF(OR(H314&gt;0,AND(AC314&gt;=0,AC314&lt;D314),D314&gt;INDEX('Facilities'!$J$9:$J$108,MATCH(C314,'Facilities'!$C$9:$C$108,0))),0,I314*'Scenario Paths'!I81),"Unavailable"))</x:f>
        <x:v>0.037145000000000004</x:v>
      </x:c>
      <x:c r="K314" s="23" t="n">
        <x:f>IF(C314="","",IFERROR(IF(OR(H314&gt;0,AND(AC314&gt;=0,AC314=D314)),0,IF(D314&gt;=INDEX('Facilities'!$J$9:$J$108,MATCH(C314,'Facilities'!$C$9:$C$108,0)),G314+J314,MIN(G314+J314,G314*INDEX('Facilities'!$R$9:$R$108,MATCH(C314,'Facilities'!$C$9:$C$108,0))))),"Unavailable"))</x:f>
        <x:v>0.27588724800000003</x:v>
      </x:c>
      <x:c r="L314" s="21" t="n">
        <x:f>IF(C314="","",IFERROR(IF(AND(AC314=D314,AC314&gt;0),MAX(0,G314+J314-K314),0),"Unavailable"))</x:f>
        <x:v>0</x:v>
      </x:c>
      <x:c r="M314" s="23" t="n">
        <x:f>IF(C314="","",IFERROR(IF(AND(AC314&gt;=0,D314&gt;=AC314+INDEX('Facilities'!$AK$9:$AK$108,MATCH(C314,'Facilities'!$C$9:$C$108,0))),(H314+L314)*AM314,0),"Unavailable"))</x:f>
        <x:v>0</x:v>
      </x:c>
      <x:c r="N314" s="23" t="n">
        <x:f>IF(C314="","",IFERROR(IF(AND(AC314&gt;=0,D314&gt;=AC314+INDEX('Facilities'!$AK$9:$AK$108,MATCH(C314,'Facilities'!$C$9:$C$108,0))),H314+L314-M314,0),"Unavailable"))</x:f>
        <x:v>0</x:v>
      </x:c>
      <x:c r="O314" s="21" t="n">
        <x:f>IF(C314="","",IFERROR(MAX(0,G314+J314-K314-L314),"Unavailable"))</x:f>
        <x:v>2.0603181520000002</x:v>
      </x:c>
      <x:c r="P314" s="21" t="n">
        <x:f>IF(C314="","",IFERROR(MAX(0,H314+L314-M314-N314),"Unavailable"))</x:f>
        <x:v>0</x:v>
      </x:c>
      <x:c r="Q314" s="23" t="n">
        <x:f>IF(C314="","",IFERROR(IF(OR(D314&gt;=INDEX('Facilities'!$J$9:$J$108,MATCH(C314,'Facilities'!$C$9:$C$108,0)),AND(AC314&gt;=0,AC314&lt;=D314)),0,MAX(0,I314-J314)),"Unavailable"))</x:f>
        <x:v>0.334305</x:v>
      </x:c>
      <x:c r="R314" s="30" t="n">
        <x:f>IF(C314="","",IFERROR(INDEX(Credit!$Q$309:$Q$408,MATCH(F314,Credit!$C$309:$C$408,0)),"Unavailable"))</x:f>
        <x:v>0.051363687648022065</x:v>
      </x:c>
      <x:c r="S314" s="30" t="n">
        <x:f>IF(C314="","",IFERROR(INDEX(Credit!$R$309:$R$408,MATCH(F314,Credit!$C$309:$C$408,0)),"Unavailable"))</x:f>
        <x:v>0.36439296000000004</x:v>
      </x:c>
      <x:c r="T314" s="23" t="n">
        <x:f>IF(C314="","",IFERROR(IF(P314&gt;0,3,IF(OR(INDEX('Facilities'!$AD$9:$AD$108,MATCH(C314,'Facilities'!$C$9:$C$108,0))=2,AND(R314&gt;=INDEX('Facilities'!$L$9:$L$108,MATCH(C314,'Facilities'!$C$9:$C$108,0))*Settings!$F$19,R314-INDEX('Facilities'!$L$9:$L$108,MATCH(C314,'Facilities'!$C$9:$C$108,0))&gt;=Settings!$F$20)),2,1)),"Unavailable"))</x:f>
        <x:v>2</x:v>
      </x:c>
      <x:c r="U314" s="23" t="n">
        <x:f>IF(C314="","",IF(AQ314&lt;&gt;"Ready","Unavailable",IF(C314="","",O314*(1-(1-S314)/(1+INDEX('Facilities'!$K$9:$K$108,MATCH(C314,'Facilities'!$C$9:$C$108,0)))^INDEX('Facilities'!$AK$9:$AK$108,MATCH(C314,'Facilities'!$C$9:$C$108,0)))*R314/(1+INDEX('Facilities'!$K$9:$K$108,MATCH(C314,'Facilities'!$C$9:$C$108,0)))*IF(ABS(1-(1-R314)*(1-INDEX('Facilities'!$R$9:$R$108,MATCH(C314,'Facilities'!$C$9:$C$108,0)))/(1+INDEX('Facilities'!$K$9:$K$108,MATCH(C314,'Facilities'!$C$9:$C$108,0))))&lt;0.000000001,IF(T314=1,MIN(1,AJ314),AJ314),(1-((1-R314)*(1-INDEX('Facilities'!$R$9:$R$108,MATCH(C314,'Facilities'!$C$9:$C$108,0)))/(1+INDEX('Facilities'!$K$9:$K$108,MATCH(C314,'Facilities'!$C$9:$C$108,0))))^IF(T314=1,MIN(1,AJ314),AJ314))/(1-(1-R314)*(1-INDEX('Facilities'!$R$9:$R$108,MATCH(C314,'Facilities'!$C$9:$C$108,0)))/(1+INDEX('Facilities'!$K$9:$K$108,MATCH(C314,'Facilities'!$C$9:$C$108,0)))))+AL314)))</x:f>
        <x:v>0.1056993581718319</x:v>
      </x:c>
      <x:c r="V314" s="23" t="n">
        <x:f>IF(C314="","",IF(AQ314&lt;&gt;"Ready","Unavailable",IF(C314="","",Q314*INDEX('Facilities'!$I$9:$I$108,MATCH(C314,'Facilities'!$C$9:$C$108,0))*(1-(1-S314)/(1+INDEX('Facilities'!$K$9:$K$108,MATCH(C314,'Facilities'!$C$9:$C$108,0)))^INDEX('Facilities'!$AK$9:$AK$108,MATCH(C314,'Facilities'!$C$9:$C$108,0)))*R314/(1+INDEX('Facilities'!$K$9:$K$108,MATCH(C314,'Facilities'!$C$9:$C$108,0)))*IF(ABS(1-(1-R314)*(1-0)/(1+INDEX('Facilities'!$K$9:$K$108,MATCH(C314,'Facilities'!$C$9:$C$108,0))))&lt;0.000000001,IF(T314=1,MIN(1,AJ314),AJ314),(1-((1-R314)*(1-0)/(1+INDEX('Facilities'!$K$9:$K$108,MATCH(C314,'Facilities'!$C$9:$C$108,0))))^IF(T314=1,MIN(1,AJ314),AJ314))/(1-(1-R314)*(1-0)/(1+INDEX('Facilities'!$K$9:$K$108,MATCH(C314,'Facilities'!$C$9:$C$108,0))))))))</x:f>
        <x:v>0.009586315149920546</x:v>
      </x:c>
      <x:c r="W314" s="21" t="n">
        <x:f>IF(C314="","",IFERROR(U214,"Unavailable"))</x:f>
        <x:v>0.1458067396202405</x:v>
      </x:c>
      <x:c r="X314" s="21" t="n">
        <x:f>IF(C314="","",IFERROR(V214,"Unavailable"))</x:f>
        <x:v>0.013833980838678</x:v>
      </x:c>
      <x:c r="Y314" s="21" t="n">
        <x:f>IF(C314="","",IF(AQ314&lt;&gt;"Ready","Unavailable",IF(C314="","",U314-W314+V314-X314+N314+AG314)))</x:f>
        <x:v>-0.04435504713716604</x:v>
      </x:c>
      <x:c r="Z314" s="23" t="n">
        <x:f>IF(C314="","",IF(AQ314&lt;&gt;"Ready","Unavailable",IF(C314="","",(G314+O314+L314)/2*INDEX('Facilities'!$T$9:$T$108,MATCH(C314,'Facilities'!$C$9:$C$108,0))+AG314)))</x:f>
        <x:v>0.20707048122000005</x:v>
      </x:c>
      <x:c r="AA314" s="23" t="n">
        <x:f>IF(C314="","",IF(AQ314&lt;&gt;"Ready","Unavailable",IF(C314="","",O314*(1-IF(INDEX('Facilities'!$AA$9:$AA$108,MATCH(C314,'Facilities'!$C$9:$C$108,0))=0,0,MIN(1,INDEX('Facilities'!$X$9:$X$108,MATCH(C314,'Facilities'!$C$9:$C$108,0))/INDEX('Facilities'!$AA$9:$AA$108,MATCH(C314,'Facilities'!$C$9:$C$108,0)))))*AF314+P314*(1-IF(INDEX('Facilities'!$AA$9:$AA$108,MATCH(C314,'Facilities'!$C$9:$C$108,0))=0,0,MIN(1,INDEX('Facilities'!$X$9:$X$108,MATCH(C314,'Facilities'!$C$9:$C$108,0))/INDEX('Facilities'!$AA$9:$AA$108,MATCH(C314,'Facilities'!$C$9:$C$108,0)))))*INDEX('Facilities'!$AJ$9:$AJ$108,MATCH(C314,'Facilities'!$C$9:$C$108,0))+Q314*INDEX('Facilities'!$AI$9:$AI$108,MATCH(C314,'Facilities'!$C$9:$C$108,0))*AF314)))</x:f>
        <x:v>2.7398354429168004</x:v>
      </x:c>
      <x:c r="AB314" s="21" t="n">
        <x:f>IF(C314="","",O314+P314-AD314)</x:f>
        <x:v>-0.23874224799999988</x:v>
      </x:c>
      <x:c r="AC314" s="23" t="n">
        <x:f>IF(C314="","",IFERROR(IF(INDEX('Facilities'!$AD$9:$AD$108,MATCH(C314,'Facilities'!$C$9:$C$108,0))=3,0,IF(INDEX('Facilities'!$AN$9:$AN$108,MATCH(C314,'Facilities'!$C$9:$C$108,0))=0,-1,INDEX('Facilities'!$AN$9:$AN$108,MATCH(C314,'Facilities'!$C$9:$C$108,0)))),"Unavailable"))</x:f>
        <x:v>-1</x:v>
      </x:c>
      <x:c r="AD314" s="21" t="n">
        <x:f>IF(C314="","",IFERROR(G314+H314,"Unavailable"))</x:f>
        <x:v>2.2990604</x:v>
      </x:c>
      <x:c r="AE314" s="21" t="n">
        <x:f>IF(C314="","",IF(AQ314&lt;&gt;"Ready","Unavailable",IF(C314="","",O314+P314-AD314-J314+K314+M314+N314)))</x:f>
        <x:v>1.6653345369377348e-16</x:v>
      </x:c>
      <x:c r="AF314" s="30" t="n">
        <x:f>IF(C314="","",IFERROR(INDEX('Facilities'!$S$9:$S$108,MATCH(C314,'Facilities'!$C$9:$C$108,0))*'Scenario Paths'!I75,"Unavailable"))</x:f>
        <x:v>1.25</x:v>
      </x:c>
      <x:c r="AG314" s="23" t="n">
        <x:f>IF(C314="","",IF(AQ314&lt;&gt;"Ready","Unavailable",IF(C314="","",IF(H314&gt;0,MAX(0,H314-AK314)*((1+INDEX('Facilities'!$K$9:$K$108,MATCH(C314,'Facilities'!$C$9:$C$108,0)))^MIN(1,MAX(0,AC314+INDEX('Facilities'!$AK$9:$AK$108,MATCH(C314,'Facilities'!$C$9:$C$108,0))-D314+1))-1),0))))</x:f>
        <x:v>0</x:v>
      </x:c>
      <x:c r="AH314" s="21" t="n">
        <x:f>IF(C314="","",IF(AQ314&lt;&gt;"Ready","Unavailable",IF(C314="","",O314+P314)))</x:f>
        <x:v>2.0603181520000002</x:v>
      </x:c>
      <x:c r="AI314" s="21" t="n">
        <x:f>IF(C314="","",IF(AQ314&lt;&gt;"Ready","Unavailable",IF(C314="","",Z314-Y314)))</x:f>
        <x:v>0.2514255283571661</x:v>
      </x:c>
      <x:c r="AJ314" s="23" t="n">
        <x:f>IF(C314="","",IFERROR(MAX(0,INDEX('Facilities'!$J$9:$J$108,MATCH(C314,'Facilities'!$C$9:$C$108,0))-D314),"Unavailable"))</x:f>
        <x:v>3</x:v>
      </x:c>
      <x:c r="AK314" s="21" t="n">
        <x:f>IF(C314="","",IFERROR(AL214,"Unavailable"))</x:f>
        <x:v>0</x:v>
      </x:c>
      <x:c r="AL314" s="23" t="n">
        <x:f>IF(C314="","",IFERROR(IF(P314&gt;0,P314*(1-AM314/(1+INDEX('Facilities'!$K$9:$K$108,MATCH(C314,'Facilities'!$C$9:$C$108,0)))^MAX(0,AC314+INDEX('Facilities'!$AK$9:$AK$108,MATCH(C314,'Facilities'!$C$9:$C$108,0))-D314)),0),"Unavailable"))</x:f>
        <x:v>0</x:v>
      </x:c>
      <x:c r="AM314" s="30" t="n">
        <x:f>IF(C314="","",IFERROR(INDEX('Facilities'!$AL$9:$AL$108,MATCH(C314,'Facilities'!$C$9:$C$108,0)),"Unavailable"))</x:f>
        <x:v>0.55</x:v>
      </x:c>
      <x:c r="AN314" s="30" t="n">
        <x:f>IF(C314="","",IFERROR(INDEX(Credit!$T$309:$T$408,MATCH(F314,Credit!$C$309:$C$408,0)),"Unavailable"))</x:f>
        <x:v>0.0068639999999999994</x:v>
      </x:c>
      <x:c r="AO314" s="23" t="n">
        <x:f>IF(C314="","",IF(AQ314&lt;&gt;"Ready","Unavailable",IF(C314="","",O314+P314+Q314*INDEX('Facilities'!$I$9:$I$108,MATCH(C314,'Facilities'!$C$9:$C$108,0)))))</x:f>
        <x:v>2.227470652</x:v>
      </x:c>
      <x:c r="AP314" s="21" t="n">
        <x:f>IF(C314="","",IF(AQ314&lt;&gt;"Ready","Unavailable",IF(C314="","",AH314-U314)))</x:f>
        <x:v>1.9546187938281683</x:v>
      </x:c>
      <x:c r="AQ314" s="23" t="str">
        <x:f>IFERROR(IF(C314="","",IF(AND(INDEX('Facilities'!$AF$9:$AF$108,MATCH(C314,'Facilities'!$C$9:$C$108,0))="Ready",INDEX(Credit!$U$309:$U$408,MATCH(F314,Credit!$C$309:$C$408,0))="Ready",ISNUMBER(W314)),"Ready","Review inputs")),"Review inputs")</x:f>
        <x:v>Ready</x:v>
      </x:c>
      <x:c r="AR314" s="23" t="n">
        <x:f>IF(C314="","",IF(AQ314&lt;&gt;"Ready","Unavailable",IF(C314="","",IF(O314=0,0,(IF(AJ314&lt;=1,O314,O314*INDEX('Facilities'!$R$9:$R$108,MATCH(C314,'Facilities'!$C$9:$C$108,0)))+O314*INDEX('Facilities'!$T$9:$T$108,MATCH(C314,'Facilities'!$C$9:$C$108,0)))/12))))</x:f>
        <x:v>0.03691403355666667</x:v>
      </x:c>
    </x:row>
    <x:row r="315" ht="26" customHeight="1">
      <x:c r="A315" s="1"/>
      <x:c r="B315" s="1"/>
      <x:c r="C315" s="9" t="str">
        <x:f>IF(Facilities!C15="","",Facilities!C15)</x:f>
        <x:v>F007</x:v>
      </x:c>
      <x:c r="D315" s="3" t="n">
        <x:v>4</x:v>
      </x:c>
      <x:c r="E315" s="9" t="n">
        <x:f>Settings!$F$18+3</x:f>
        <x:v>2030</x:v>
      </x:c>
      <x:c r="F315" s="9" t="str">
        <x:f>IF(C315="","",IFERROR(INDEX('Facilities'!$D$9:$D$108,MATCH(C315,'Facilities'!$C$9:$C$108,0)),"Unavailable"))</x:f>
        <x:v>B004</x:v>
      </x:c>
      <x:c r="G315" s="21" t="n">
        <x:f>IF(C315="","",IFERROR(O215,"Unavailable"))</x:f>
        <x:v>0</x:v>
      </x:c>
      <x:c r="H315" s="21" t="n">
        <x:f>IF(C315="","",IFERROR(P215,"Unavailable"))</x:f>
        <x:v>5.06177</x:v>
      </x:c>
      <x:c r="I315" s="21" t="n">
        <x:f>IF(C315="","",IFERROR(Q215,"Unavailable"))</x:f>
        <x:v>0</x:v>
      </x:c>
      <x:c r="J315" s="23" t="n">
        <x:f>IF(C315="","",IFERROR(IF(OR(H315&gt;0,AND(AC315&gt;=0,AC315&lt;D315),D315&gt;INDEX('Facilities'!$J$9:$J$108,MATCH(C315,'Facilities'!$C$9:$C$108,0))),0,I315*'Scenario Paths'!I81),"Unavailable"))</x:f>
        <x:v>0</x:v>
      </x:c>
      <x:c r="K315" s="23" t="n">
        <x:f>IF(C315="","",IFERROR(IF(OR(H315&gt;0,AND(AC315&gt;=0,AC315=D315)),0,IF(D315&gt;=INDEX('Facilities'!$J$9:$J$108,MATCH(C315,'Facilities'!$C$9:$C$108,0)),G315+J315,MIN(G315+J315,G315*INDEX('Facilities'!$R$9:$R$108,MATCH(C315,'Facilities'!$C$9:$C$108,0))))),"Unavailable"))</x:f>
        <x:v>0</x:v>
      </x:c>
      <x:c r="L315" s="21" t="n">
        <x:f>IF(C315="","",IFERROR(IF(AND(AC315=D315,AC315&gt;0),MAX(0,G315+J315-K315),0),"Unavailable"))</x:f>
        <x:v>0</x:v>
      </x:c>
      <x:c r="M315" s="23" t="n">
        <x:f>IF(C315="","",IFERROR(IF(AND(AC315&gt;=0,D315&gt;=AC315+INDEX('Facilities'!$AK$9:$AK$108,MATCH(C315,'Facilities'!$C$9:$C$108,0))),(H315+L315)*AM315,0),"Unavailable"))</x:f>
        <x:v>0</x:v>
      </x:c>
      <x:c r="N315" s="23" t="n">
        <x:f>IF(C315="","",IFERROR(IF(AND(AC315&gt;=0,D315&gt;=AC315+INDEX('Facilities'!$AK$9:$AK$108,MATCH(C315,'Facilities'!$C$9:$C$108,0))),H315+L315-M315,0),"Unavailable"))</x:f>
        <x:v>0</x:v>
      </x:c>
      <x:c r="O315" s="21" t="n">
        <x:f>IF(C315="","",IFERROR(MAX(0,G315+J315-K315-L315),"Unavailable"))</x:f>
        <x:v>0</x:v>
      </x:c>
      <x:c r="P315" s="21" t="n">
        <x:f>IF(C315="","",IFERROR(MAX(0,H315+L315-M315-N315),"Unavailable"))</x:f>
        <x:v>5.06177</x:v>
      </x:c>
      <x:c r="Q315" s="23" t="n">
        <x:f>IF(C315="","",IFERROR(IF(OR(D315&gt;=INDEX('Facilities'!$J$9:$J$108,MATCH(C315,'Facilities'!$C$9:$C$108,0)),AND(AC315&gt;=0,AC315&lt;=D315)),0,MAX(0,I315-J315)),"Unavailable"))</x:f>
        <x:v>0</x:v>
      </x:c>
      <x:c r="R315" s="30" t="n">
        <x:f>IF(C315="","",IFERROR(INDEX(Credit!$Q$309:$Q$408,MATCH(F315,Credit!$C$309:$C$408,0)),"Unavailable"))</x:f>
        <x:v>0.05766391103519484</x:v>
      </x:c>
      <x:c r="S315" s="30" t="n">
        <x:f>IF(C315="","",IFERROR(INDEX(Credit!$R$309:$R$408,MATCH(F315,Credit!$C$309:$C$408,0)),"Unavailable"))</x:f>
        <x:v>0.4028224</x:v>
      </x:c>
      <x:c r="T315" s="23" t="n">
        <x:f>IF(C315="","",IFERROR(IF(P315&gt;0,3,IF(OR(INDEX('Facilities'!$AD$9:$AD$108,MATCH(C315,'Facilities'!$C$9:$C$108,0))=2,AND(R315&gt;=INDEX('Facilities'!$L$9:$L$108,MATCH(C315,'Facilities'!$C$9:$C$108,0))*Settings!$F$19,R315-INDEX('Facilities'!$L$9:$L$108,MATCH(C315,'Facilities'!$C$9:$C$108,0))&gt;=Settings!$F$20)),2,1)),"Unavailable"))</x:f>
        <x:v>3</x:v>
      </x:c>
      <x:c r="U315" s="23" t="n">
        <x:f>IF(C315="","",IF(AQ315&lt;&gt;"Ready","Unavailable",IF(C315="","",O315*(1-(1-S315)/(1+INDEX('Facilities'!$K$9:$K$108,MATCH(C315,'Facilities'!$C$9:$C$108,0)))^INDEX('Facilities'!$AK$9:$AK$108,MATCH(C315,'Facilities'!$C$9:$C$108,0)))*R315/(1+INDEX('Facilities'!$K$9:$K$108,MATCH(C315,'Facilities'!$C$9:$C$108,0)))*IF(ABS(1-(1-R315)*(1-INDEX('Facilities'!$R$9:$R$108,MATCH(C315,'Facilities'!$C$9:$C$108,0)))/(1+INDEX('Facilities'!$K$9:$K$108,MATCH(C315,'Facilities'!$C$9:$C$108,0))))&lt;0.000000001,IF(T315=1,MIN(1,AJ315),AJ315),(1-((1-R315)*(1-INDEX('Facilities'!$R$9:$R$108,MATCH(C315,'Facilities'!$C$9:$C$108,0)))/(1+INDEX('Facilities'!$K$9:$K$108,MATCH(C315,'Facilities'!$C$9:$C$108,0))))^IF(T315=1,MIN(1,AJ315),AJ315))/(1-(1-R315)*(1-INDEX('Facilities'!$R$9:$R$108,MATCH(C315,'Facilities'!$C$9:$C$108,0)))/(1+INDEX('Facilities'!$K$9:$K$108,MATCH(C315,'Facilities'!$C$9:$C$108,0)))))+AL315)))</x:f>
        <x:v>2.484016759259259</x:v>
      </x:c>
      <x:c r="V315" s="23" t="n">
        <x:f>IF(C315="","",IF(AQ315&lt;&gt;"Ready","Unavailable",IF(C315="","",Q315*INDEX('Facilities'!$I$9:$I$108,MATCH(C315,'Facilities'!$C$9:$C$108,0))*(1-(1-S315)/(1+INDEX('Facilities'!$K$9:$K$108,MATCH(C315,'Facilities'!$C$9:$C$108,0)))^INDEX('Facilities'!$AK$9:$AK$108,MATCH(C315,'Facilities'!$C$9:$C$108,0)))*R315/(1+INDEX('Facilities'!$K$9:$K$108,MATCH(C315,'Facilities'!$C$9:$C$108,0)))*IF(ABS(1-(1-R315)*(1-0)/(1+INDEX('Facilities'!$K$9:$K$108,MATCH(C315,'Facilities'!$C$9:$C$108,0))))&lt;0.000000001,IF(T315=1,MIN(1,AJ315),AJ315),(1-((1-R315)*(1-0)/(1+INDEX('Facilities'!$K$9:$K$108,MATCH(C315,'Facilities'!$C$9:$C$108,0))))^IF(T315=1,MIN(1,AJ315),AJ315))/(1-(1-R315)*(1-0)/(1+INDEX('Facilities'!$K$9:$K$108,MATCH(C315,'Facilities'!$C$9:$C$108,0))))))))</x:f>
        <x:v>0</x:v>
      </x:c>
      <x:c r="W315" s="21" t="n">
        <x:f>IF(C315="","",IFERROR(U215,"Unavailable"))</x:f>
        <x:v>2.6749614437585736</x:v>
      </x:c>
      <x:c r="X315" s="21" t="n">
        <x:f>IF(C315="","",IFERROR(V215,"Unavailable"))</x:f>
        <x:v>0</x:v>
      </x:c>
      <x:c r="Y315" s="21" t="n">
        <x:f>IF(C315="","",IF(AQ315&lt;&gt;"Ready","Unavailable",IF(C315="","",U315-W315+V315-X315+N315+AG315)))</x:f>
        <x:v>-2.7755575615628914e-16</x:v>
      </x:c>
      <x:c r="Z315" s="23" t="n">
        <x:f>IF(C315="","",IF(AQ315&lt;&gt;"Ready","Unavailable",IF(C315="","",(G315+O315+L315)/2*INDEX('Facilities'!$T$9:$T$108,MATCH(C315,'Facilities'!$C$9:$C$108,0))+AG315)))</x:f>
        <x:v>0.1909446844993143</x:v>
      </x:c>
      <x:c r="AA315" s="23" t="n">
        <x:f>IF(C315="","",IF(AQ315&lt;&gt;"Ready","Unavailable",IF(C315="","",O315*(1-IF(INDEX('Facilities'!$AA$9:$AA$108,MATCH(C315,'Facilities'!$C$9:$C$108,0))=0,0,MIN(1,INDEX('Facilities'!$X$9:$X$108,MATCH(C315,'Facilities'!$C$9:$C$108,0))/INDEX('Facilities'!$AA$9:$AA$108,MATCH(C315,'Facilities'!$C$9:$C$108,0)))))*AF315+P315*(1-IF(INDEX('Facilities'!$AA$9:$AA$108,MATCH(C315,'Facilities'!$C$9:$C$108,0))=0,0,MIN(1,INDEX('Facilities'!$X$9:$X$108,MATCH(C315,'Facilities'!$C$9:$C$108,0))/INDEX('Facilities'!$AA$9:$AA$108,MATCH(C315,'Facilities'!$C$9:$C$108,0)))))*INDEX('Facilities'!$AJ$9:$AJ$108,MATCH(C315,'Facilities'!$C$9:$C$108,0))+Q315*INDEX('Facilities'!$AI$9:$AI$108,MATCH(C315,'Facilities'!$C$9:$C$108,0))*AF315)))</x:f>
        <x:v>7.41043128</x:v>
      </x:c>
      <x:c r="AB315" s="21" t="n">
        <x:f>IF(C315="","",O315+P315-AD315)</x:f>
        <x:v>0</x:v>
      </x:c>
      <x:c r="AC315" s="23" t="n">
        <x:f>IF(C315="","",IFERROR(IF(INDEX('Facilities'!$AD$9:$AD$108,MATCH(C315,'Facilities'!$C$9:$C$108,0))=3,0,IF(INDEX('Facilities'!$AN$9:$AN$108,MATCH(C315,'Facilities'!$C$9:$C$108,0))=0,-1,INDEX('Facilities'!$AN$9:$AN$108,MATCH(C315,'Facilities'!$C$9:$C$108,0)))),"Unavailable"))</x:f>
        <x:v>3</x:v>
      </x:c>
      <x:c r="AD315" s="21" t="n">
        <x:f>IF(C315="","",IFERROR(G315+H315,"Unavailable"))</x:f>
        <x:v>5.06177</x:v>
      </x:c>
      <x:c r="AE315" s="21" t="n">
        <x:f>IF(C315="","",IF(AQ315&lt;&gt;"Ready","Unavailable",IF(C315="","",O315+P315-AD315-J315+K315+M315+N315)))</x:f>
        <x:v>0</x:v>
      </x:c>
      <x:c r="AF315" s="30" t="n">
        <x:f>IF(C315="","",IFERROR(INDEX('Facilities'!$S$9:$S$108,MATCH(C315,'Facilities'!$C$9:$C$108,0))*'Scenario Paths'!I75,"Unavailable"))</x:f>
        <x:v>1.25</x:v>
      </x:c>
      <x:c r="AG315" s="23" t="n">
        <x:f>IF(C315="","",IF(AQ315&lt;&gt;"Ready","Unavailable",IF(C315="","",IF(H315&gt;0,MAX(0,H315-AK315)*((1+INDEX('Facilities'!$K$9:$K$108,MATCH(C315,'Facilities'!$C$9:$C$108,0)))^MIN(1,MAX(0,AC315+INDEX('Facilities'!$AK$9:$AK$108,MATCH(C315,'Facilities'!$C$9:$C$108,0))-D315+1))-1),0))))</x:f>
        <x:v>0.1909446844993143</x:v>
      </x:c>
      <x:c r="AH315" s="21" t="n">
        <x:f>IF(C315="","",IF(AQ315&lt;&gt;"Ready","Unavailable",IF(C315="","",O315+P315)))</x:f>
        <x:v>5.06177</x:v>
      </x:c>
      <x:c r="AI315" s="21" t="n">
        <x:f>IF(C315="","",IF(AQ315&lt;&gt;"Ready","Unavailable",IF(C315="","",Z315-Y315)))</x:f>
        <x:v>0.19094468449931457</x:v>
      </x:c>
      <x:c r="AJ315" s="23" t="n">
        <x:f>IF(C315="","",IFERROR(MAX(0,INDEX('Facilities'!$J$9:$J$108,MATCH(C315,'Facilities'!$C$9:$C$108,0))-D315),"Unavailable"))</x:f>
        <x:v>4</x:v>
      </x:c>
      <x:c r="AK315" s="21" t="n">
        <x:f>IF(C315="","",IFERROR(AL215,"Unavailable"))</x:f>
        <x:v>2.6749614437585736</x:v>
      </x:c>
      <x:c r="AL315" s="23" t="n">
        <x:f>IF(C315="","",IFERROR(IF(P315&gt;0,P315*(1-AM315/(1+INDEX('Facilities'!$K$9:$K$108,MATCH(C315,'Facilities'!$C$9:$C$108,0)))^MAX(0,AC315+INDEX('Facilities'!$AK$9:$AK$108,MATCH(C315,'Facilities'!$C$9:$C$108,0))-D315)),0),"Unavailable"))</x:f>
        <x:v>2.484016759259259</x:v>
      </x:c>
      <x:c r="AM315" s="30" t="n">
        <x:f>IF(C315="","",IFERROR(INDEX('Facilities'!$AL$9:$AL$108,MATCH(C315,'Facilities'!$C$9:$C$108,0)),"Unavailable"))</x:f>
        <x:v>0.55</x:v>
      </x:c>
      <x:c r="AN315" s="30" t="n">
        <x:f>IF(C315="","",IFERROR(INDEX(Credit!$T$309:$T$408,MATCH(F315,Credit!$C$309:$C$408,0)),"Unavailable"))</x:f>
        <x:v>0.004704</x:v>
      </x:c>
      <x:c r="AO315" s="23" t="n">
        <x:f>IF(C315="","",IF(AQ315&lt;&gt;"Ready","Unavailable",IF(C315="","",O315+P315+Q315*INDEX('Facilities'!$I$9:$I$108,MATCH(C315,'Facilities'!$C$9:$C$108,0)))))</x:f>
        <x:v>5.06177</x:v>
      </x:c>
      <x:c r="AP315" s="21" t="n">
        <x:f>IF(C315="","",IF(AQ315&lt;&gt;"Ready","Unavailable",IF(C315="","",AH315-U315)))</x:f>
        <x:v>2.577753240740741</x:v>
      </x:c>
      <x:c r="AQ315" s="23" t="str">
        <x:f>IFERROR(IF(C315="","",IF(AND(INDEX('Facilities'!$AF$9:$AF$108,MATCH(C315,'Facilities'!$C$9:$C$108,0))="Ready",INDEX(Credit!$U$309:$U$408,MATCH(F315,Credit!$C$309:$C$408,0))="Ready",ISNUMBER(W315)),"Ready","Review inputs")),"Review inputs")</x:f>
        <x:v>Ready</x:v>
      </x:c>
      <x:c r="AR315" s="23" t="n">
        <x:f>IF(C315="","",IF(AQ315&lt;&gt;"Ready","Unavailable",IF(C315="","",IF(O315=0,0,(IF(AJ315&lt;=1,O315,O315*INDEX('Facilities'!$R$9:$R$108,MATCH(C315,'Facilities'!$C$9:$C$108,0)))+O315*INDEX('Facilities'!$T$9:$T$108,MATCH(C315,'Facilities'!$C$9:$C$108,0)))/12))))</x:f>
        <x:v>0</x:v>
      </x:c>
    </x:row>
    <x:row r="316" ht="26" customHeight="1">
      <x:c r="A316" s="1"/>
      <x:c r="B316" s="1"/>
      <x:c r="C316" s="9" t="str">
        <x:f>IF(Facilities!C16="","",Facilities!C16)</x:f>
        <x:v>F008</x:v>
      </x:c>
      <x:c r="D316" s="3" t="n">
        <x:v>4</x:v>
      </x:c>
      <x:c r="E316" s="9" t="n">
        <x:f>Settings!$F$18+3</x:f>
        <x:v>2030</x:v>
      </x:c>
      <x:c r="F316" s="9" t="str">
        <x:f>IF(C316="","",IFERROR(INDEX('Facilities'!$D$9:$D$108,MATCH(C316,'Facilities'!$C$9:$C$108,0)),"Unavailable"))</x:f>
        <x:v>B004</x:v>
      </x:c>
      <x:c r="G316" s="21" t="n">
        <x:f>IF(C316="","",IFERROR(O216,"Unavailable"))</x:f>
        <x:v>2.5375756</x:v>
      </x:c>
      <x:c r="H316" s="21" t="n">
        <x:f>IF(C316="","",IFERROR(P216,"Unavailable"))</x:f>
        <x:v>0</x:v>
      </x:c>
      <x:c r="I316" s="21" t="n">
        <x:f>IF(C316="","",IFERROR(Q216,"Unavailable"))</x:f>
        <x:v>0.37145</x:v>
      </x:c>
      <x:c r="J316" s="23" t="n">
        <x:f>IF(C316="","",IFERROR(IF(OR(H316&gt;0,AND(AC316&gt;=0,AC316&lt;D316),D316&gt;INDEX('Facilities'!$J$9:$J$108,MATCH(C316,'Facilities'!$C$9:$C$108,0))),0,I316*'Scenario Paths'!I81),"Unavailable"))</x:f>
        <x:v>0.037145000000000004</x:v>
      </x:c>
      <x:c r="K316" s="23" t="n">
        <x:f>IF(C316="","",IFERROR(IF(OR(H316&gt;0,AND(AC316&gt;=0,AC316=D316)),0,IF(D316&gt;=INDEX('Facilities'!$J$9:$J$108,MATCH(C316,'Facilities'!$C$9:$C$108,0)),G316+J316,MIN(G316+J316,G316*INDEX('Facilities'!$R$9:$R$108,MATCH(C316,'Facilities'!$C$9:$C$108,0))))),"Unavailable"))</x:f>
        <x:v>0.304509072</x:v>
      </x:c>
      <x:c r="L316" s="21" t="n">
        <x:f>IF(C316="","",IFERROR(IF(AND(AC316=D316,AC316&gt;0),MAX(0,G316+J316-K316),0),"Unavailable"))</x:f>
        <x:v>0</x:v>
      </x:c>
      <x:c r="M316" s="23" t="n">
        <x:f>IF(C316="","",IFERROR(IF(AND(AC316&gt;=0,D316&gt;=AC316+INDEX('Facilities'!$AK$9:$AK$108,MATCH(C316,'Facilities'!$C$9:$C$108,0))),(H316+L316)*AM316,0),"Unavailable"))</x:f>
        <x:v>0</x:v>
      </x:c>
      <x:c r="N316" s="23" t="n">
        <x:f>IF(C316="","",IFERROR(IF(AND(AC316&gt;=0,D316&gt;=AC316+INDEX('Facilities'!$AK$9:$AK$108,MATCH(C316,'Facilities'!$C$9:$C$108,0))),H316+L316-M316,0),"Unavailable"))</x:f>
        <x:v>0</x:v>
      </x:c>
      <x:c r="O316" s="21" t="n">
        <x:f>IF(C316="","",IFERROR(MAX(0,G316+J316-K316-L316),"Unavailable"))</x:f>
        <x:v>2.270211528</x:v>
      </x:c>
      <x:c r="P316" s="21" t="n">
        <x:f>IF(C316="","",IFERROR(MAX(0,H316+L316-M316-N316),"Unavailable"))</x:f>
        <x:v>0</x:v>
      </x:c>
      <x:c r="Q316" s="23" t="n">
        <x:f>IF(C316="","",IFERROR(IF(OR(D316&gt;=INDEX('Facilities'!$J$9:$J$108,MATCH(C316,'Facilities'!$C$9:$C$108,0)),AND(AC316&gt;=0,AC316&lt;=D316)),0,MAX(0,I316-J316)),"Unavailable"))</x:f>
        <x:v>0.334305</x:v>
      </x:c>
      <x:c r="R316" s="30" t="n">
        <x:f>IF(C316="","",IFERROR(INDEX(Credit!$Q$309:$Q$408,MATCH(F316,Credit!$C$309:$C$408,0)),"Unavailable"))</x:f>
        <x:v>0.05766391103519484</x:v>
      </x:c>
      <x:c r="S316" s="30" t="n">
        <x:f>IF(C316="","",IFERROR(INDEX(Credit!$R$309:$R$408,MATCH(F316,Credit!$C$309:$C$408,0)),"Unavailable"))</x:f>
        <x:v>0.4028224</x:v>
      </x:c>
      <x:c r="T316" s="23" t="n">
        <x:f>IF(C316="","",IFERROR(IF(P316&gt;0,3,IF(OR(INDEX('Facilities'!$AD$9:$AD$108,MATCH(C316,'Facilities'!$C$9:$C$108,0))=2,AND(R316&gt;=INDEX('Facilities'!$L$9:$L$108,MATCH(C316,'Facilities'!$C$9:$C$108,0))*Settings!$F$19,R316-INDEX('Facilities'!$L$9:$L$108,MATCH(C316,'Facilities'!$C$9:$C$108,0))&gt;=Settings!$F$20)),2,1)),"Unavailable"))</x:f>
        <x:v>1</x:v>
      </x:c>
      <x:c r="U316" s="23" t="n">
        <x:f>IF(C316="","",IF(AQ316&lt;&gt;"Ready","Unavailable",IF(C316="","",O316*(1-(1-S316)/(1+INDEX('Facilities'!$K$9:$K$108,MATCH(C316,'Facilities'!$C$9:$C$108,0)))^INDEX('Facilities'!$AK$9:$AK$108,MATCH(C316,'Facilities'!$C$9:$C$108,0)))*R316/(1+INDEX('Facilities'!$K$9:$K$108,MATCH(C316,'Facilities'!$C$9:$C$108,0)))*IF(ABS(1-(1-R316)*(1-INDEX('Facilities'!$R$9:$R$108,MATCH(C316,'Facilities'!$C$9:$C$108,0)))/(1+INDEX('Facilities'!$K$9:$K$108,MATCH(C316,'Facilities'!$C$9:$C$108,0))))&lt;0.000000001,IF(T316=1,MIN(1,AJ316),AJ316),(1-((1-R316)*(1-INDEX('Facilities'!$R$9:$R$108,MATCH(C316,'Facilities'!$C$9:$C$108,0)))/(1+INDEX('Facilities'!$K$9:$K$108,MATCH(C316,'Facilities'!$C$9:$C$108,0))))^IF(T316=1,MIN(1,AJ316),AJ316))/(1-(1-R316)*(1-INDEX('Facilities'!$R$9:$R$108,MATCH(C316,'Facilities'!$C$9:$C$108,0)))/(1+INDEX('Facilities'!$K$9:$K$108,MATCH(C316,'Facilities'!$C$9:$C$108,0)))))+AL316)))</x:f>
        <x:v>0.059153593860229295</x:v>
      </x:c>
      <x:c r="V316" s="23" t="n">
        <x:f>IF(C316="","",IF(AQ316&lt;&gt;"Ready","Unavailable",IF(C316="","",Q316*INDEX('Facilities'!$I$9:$I$108,MATCH(C316,'Facilities'!$C$9:$C$108,0))*(1-(1-S316)/(1+INDEX('Facilities'!$K$9:$K$108,MATCH(C316,'Facilities'!$C$9:$C$108,0)))^INDEX('Facilities'!$AK$9:$AK$108,MATCH(C316,'Facilities'!$C$9:$C$108,0)))*R316/(1+INDEX('Facilities'!$K$9:$K$108,MATCH(C316,'Facilities'!$C$9:$C$108,0)))*IF(ABS(1-(1-R316)*(1-0)/(1+INDEX('Facilities'!$K$9:$K$108,MATCH(C316,'Facilities'!$C$9:$C$108,0))))&lt;0.000000001,IF(T316=1,MIN(1,AJ316),AJ316),(1-((1-R316)*(1-0)/(1+INDEX('Facilities'!$K$9:$K$108,MATCH(C316,'Facilities'!$C$9:$C$108,0))))^IF(T316=1,MIN(1,AJ316),AJ316))/(1-(1-R316)*(1-0)/(1+INDEX('Facilities'!$K$9:$K$108,MATCH(C316,'Facilities'!$C$9:$C$108,0))))))))</x:f>
        <x:v>0.00435539639182115</x:v>
      </x:c>
      <x:c r="W316" s="21" t="n">
        <x:f>IF(C316="","",IFERROR(U216,"Unavailable"))</x:f>
        <x:v>0.2197738104834203</x:v>
      </x:c>
      <x:c r="X316" s="21" t="n">
        <x:f>IF(C316="","",IFERROR(V216,"Unavailable"))</x:f>
        <x:v>0.01973561514101478</x:v>
      </x:c>
      <x:c r="Y316" s="21" t="n">
        <x:f>IF(C316="","",IF(AQ316&lt;&gt;"Ready","Unavailable",IF(C316="","",U316-W316+V316-X316+N316+AG316)))</x:f>
        <x:v>-0.17600043537238463</x:v>
      </x:c>
      <x:c r="Z316" s="23" t="n">
        <x:f>IF(C316="","",IF(AQ316&lt;&gt;"Ready","Unavailable",IF(C316="","",(G316+O316+L316)/2*INDEX('Facilities'!$T$9:$T$108,MATCH(C316,'Facilities'!$C$9:$C$108,0))+AG316)))</x:f>
        <x:v>0.22836988857999996</x:v>
      </x:c>
      <x:c r="AA316" s="23" t="n">
        <x:f>IF(C316="","",IF(AQ316&lt;&gt;"Ready","Unavailable",IF(C316="","",O316*(1-IF(INDEX('Facilities'!$AA$9:$AA$108,MATCH(C316,'Facilities'!$C$9:$C$108,0))=0,0,MIN(1,INDEX('Facilities'!$X$9:$X$108,MATCH(C316,'Facilities'!$C$9:$C$108,0))/INDEX('Facilities'!$AA$9:$AA$108,MATCH(C316,'Facilities'!$C$9:$C$108,0)))))*AF316+P316*(1-IF(INDEX('Facilities'!$AA$9:$AA$108,MATCH(C316,'Facilities'!$C$9:$C$108,0))=0,0,MIN(1,INDEX('Facilities'!$X$9:$X$108,MATCH(C316,'Facilities'!$C$9:$C$108,0))/INDEX('Facilities'!$AA$9:$AA$108,MATCH(C316,'Facilities'!$C$9:$C$108,0)))))*INDEX('Facilities'!$AJ$9:$AJ$108,MATCH(C316,'Facilities'!$C$9:$C$108,0))+Q316*INDEX('Facilities'!$AI$9:$AI$108,MATCH(C316,'Facilities'!$C$9:$C$108,0))*AF316)))</x:f>
        <x:v>2.9785986891599996</x:v>
      </x:c>
      <x:c r="AB316" s="21" t="n">
        <x:f>IF(C316="","",O316+P316-AD316)</x:f>
        <x:v>-0.2673640719999999</x:v>
      </x:c>
      <x:c r="AC316" s="23" t="n">
        <x:f>IF(C316="","",IFERROR(IF(INDEX('Facilities'!$AD$9:$AD$108,MATCH(C316,'Facilities'!$C$9:$C$108,0))=3,0,IF(INDEX('Facilities'!$AN$9:$AN$108,MATCH(C316,'Facilities'!$C$9:$C$108,0))=0,-1,INDEX('Facilities'!$AN$9:$AN$108,MATCH(C316,'Facilities'!$C$9:$C$108,0)))),"Unavailable"))</x:f>
        <x:v>-1</x:v>
      </x:c>
      <x:c r="AD316" s="21" t="n">
        <x:f>IF(C316="","",IFERROR(G316+H316,"Unavailable"))</x:f>
        <x:v>2.5375756</x:v>
      </x:c>
      <x:c r="AE316" s="21" t="n">
        <x:f>IF(C316="","",IF(AQ316&lt;&gt;"Ready","Unavailable",IF(C316="","",O316+P316-AD316-J316+K316+M316+N316)))</x:f>
        <x:v>1.1102230246251565e-16</x:v>
      </x:c>
      <x:c r="AF316" s="30" t="n">
        <x:f>IF(C316="","",IFERROR(INDEX('Facilities'!$S$9:$S$108,MATCH(C316,'Facilities'!$C$9:$C$108,0))*'Scenario Paths'!I75,"Unavailable"))</x:f>
        <x:v>1.25</x:v>
      </x:c>
      <x:c r="AG316" s="23" t="n">
        <x:f>IF(C316="","",IF(AQ316&lt;&gt;"Ready","Unavailable",IF(C316="","",IF(H316&gt;0,MAX(0,H316-AK316)*((1+INDEX('Facilities'!$K$9:$K$108,MATCH(C316,'Facilities'!$C$9:$C$108,0)))^MIN(1,MAX(0,AC316+INDEX('Facilities'!$AK$9:$AK$108,MATCH(C316,'Facilities'!$C$9:$C$108,0))-D316+1))-1),0))))</x:f>
        <x:v>0</x:v>
      </x:c>
      <x:c r="AH316" s="21" t="n">
        <x:f>IF(C316="","",IF(AQ316&lt;&gt;"Ready","Unavailable",IF(C316="","",O316+P316)))</x:f>
        <x:v>2.270211528</x:v>
      </x:c>
      <x:c r="AI316" s="21" t="n">
        <x:f>IF(C316="","",IF(AQ316&lt;&gt;"Ready","Unavailable",IF(C316="","",Z316-Y316)))</x:f>
        <x:v>0.4043703239523846</x:v>
      </x:c>
      <x:c r="AJ316" s="23" t="n">
        <x:f>IF(C316="","",IFERROR(MAX(0,INDEX('Facilities'!$J$9:$J$108,MATCH(C316,'Facilities'!$C$9:$C$108,0))-D316),"Unavailable"))</x:f>
        <x:v>4</x:v>
      </x:c>
      <x:c r="AK316" s="21" t="n">
        <x:f>IF(C316="","",IFERROR(AL216,"Unavailable"))</x:f>
        <x:v>0</x:v>
      </x:c>
      <x:c r="AL316" s="23" t="n">
        <x:f>IF(C316="","",IFERROR(IF(P316&gt;0,P316*(1-AM316/(1+INDEX('Facilities'!$K$9:$K$108,MATCH(C316,'Facilities'!$C$9:$C$108,0)))^MAX(0,AC316+INDEX('Facilities'!$AK$9:$AK$108,MATCH(C316,'Facilities'!$C$9:$C$108,0))-D316)),0),"Unavailable"))</x:f>
        <x:v>0</x:v>
      </x:c>
      <x:c r="AM316" s="30" t="n">
        <x:f>IF(C316="","",IFERROR(INDEX('Facilities'!$AL$9:$AL$108,MATCH(C316,'Facilities'!$C$9:$C$108,0)),"Unavailable"))</x:f>
        <x:v>0.55</x:v>
      </x:c>
      <x:c r="AN316" s="30" t="n">
        <x:f>IF(C316="","",IFERROR(INDEX(Credit!$T$309:$T$408,MATCH(F316,Credit!$C$309:$C$408,0)),"Unavailable"))</x:f>
        <x:v>0.004704</x:v>
      </x:c>
      <x:c r="AO316" s="23" t="n">
        <x:f>IF(C316="","",IF(AQ316&lt;&gt;"Ready","Unavailable",IF(C316="","",O316+P316+Q316*INDEX('Facilities'!$I$9:$I$108,MATCH(C316,'Facilities'!$C$9:$C$108,0)))))</x:f>
        <x:v>2.4373640279999997</x:v>
      </x:c>
      <x:c r="AP316" s="21" t="n">
        <x:f>IF(C316="","",IF(AQ316&lt;&gt;"Ready","Unavailable",IF(C316="","",AH316-U316)))</x:f>
        <x:v>2.2110579341397707</x:v>
      </x:c>
      <x:c r="AQ316" s="23" t="str">
        <x:f>IFERROR(IF(C316="","",IF(AND(INDEX('Facilities'!$AF$9:$AF$108,MATCH(C316,'Facilities'!$C$9:$C$108,0))="Ready",INDEX(Credit!$U$309:$U$408,MATCH(F316,Credit!$C$309:$C$408,0))="Ready",ISNUMBER(W316)),"Ready","Review inputs")),"Review inputs")</x:f>
        <x:v>Ready</x:v>
      </x:c>
      <x:c r="AR316" s="23" t="n">
        <x:f>IF(C316="","",IF(AQ316&lt;&gt;"Ready","Unavailable",IF(C316="","",IF(O316=0,0,(IF(AJ316&lt;=1,O316,O316*INDEX('Facilities'!$R$9:$R$108,MATCH(C316,'Facilities'!$C$9:$C$108,0)))+O316*INDEX('Facilities'!$T$9:$T$108,MATCH(C316,'Facilities'!$C$9:$C$108,0)))/12))))</x:f>
        <x:v>0.040674623210000004</x:v>
      </x:c>
    </x:row>
    <x:row r="317" ht="26" customHeight="1">
      <x:c r="A317" s="1"/>
      <x:c r="B317" s="1"/>
      <x:c r="C317" s="9" t="str">
        <x:f>IF(Facilities!C17="","",Facilities!C17)</x:f>
        <x:v>F009</x:v>
      </x:c>
      <x:c r="D317" s="3" t="n">
        <x:v>4</x:v>
      </x:c>
      <x:c r="E317" s="9" t="n">
        <x:f>Settings!$F$18+3</x:f>
        <x:v>2030</x:v>
      </x:c>
      <x:c r="F317" s="9" t="str">
        <x:f>IF(C317="","",IFERROR(INDEX('Facilities'!$D$9:$D$108,MATCH(C317,'Facilities'!$C$9:$C$108,0)),"Unavailable"))</x:f>
        <x:v>B005</x:v>
      </x:c>
      <x:c r="G317" s="21" t="n">
        <x:f>IF(C317="","",IFERROR(O217,"Unavailable"))</x:f>
        <x:v>4.716470800000001</x:v>
      </x:c>
      <x:c r="H317" s="21" t="n">
        <x:f>IF(C317="","",IFERROR(P217,"Unavailable"))</x:f>
        <x:v>0</x:v>
      </x:c>
      <x:c r="I317" s="21" t="n">
        <x:f>IF(C317="","",IFERROR(Q217,"Unavailable"))</x:f>
        <x:v>1.11435</x:v>
      </x:c>
      <x:c r="J317" s="23" t="n">
        <x:f>IF(C317="","",IFERROR(IF(OR(H317&gt;0,AND(AC317&gt;=0,AC317&lt;D317),D317&gt;INDEX('Facilities'!$J$9:$J$108,MATCH(C317,'Facilities'!$C$9:$C$108,0))),0,I317*'Scenario Paths'!I81),"Unavailable"))</x:f>
        <x:v>0.111435</x:v>
      </x:c>
      <x:c r="K317" s="23" t="n">
        <x:f>IF(C317="","",IFERROR(IF(OR(H317&gt;0,AND(AC317&gt;=0,AC317=D317)),0,IF(D317&gt;=INDEX('Facilities'!$J$9:$J$108,MATCH(C317,'Facilities'!$C$9:$C$108,0)),G317+J317,MIN(G317+J317,G317*INDEX('Facilities'!$R$9:$R$108,MATCH(C317,'Facilities'!$C$9:$C$108,0))))),"Unavailable"))</x:f>
        <x:v>0.5659764960000001</x:v>
      </x:c>
      <x:c r="L317" s="21" t="n">
        <x:f>IF(C317="","",IFERROR(IF(AND(AC317=D317,AC317&gt;0),MAX(0,G317+J317-K317),0),"Unavailable"))</x:f>
        <x:v>0</x:v>
      </x:c>
      <x:c r="M317" s="23" t="n">
        <x:f>IF(C317="","",IFERROR(IF(AND(AC317&gt;=0,D317&gt;=AC317+INDEX('Facilities'!$AK$9:$AK$108,MATCH(C317,'Facilities'!$C$9:$C$108,0))),(H317+L317)*AM317,0),"Unavailable"))</x:f>
        <x:v>0</x:v>
      </x:c>
      <x:c r="N317" s="23" t="n">
        <x:f>IF(C317="","",IFERROR(IF(AND(AC317&gt;=0,D317&gt;=AC317+INDEX('Facilities'!$AK$9:$AK$108,MATCH(C317,'Facilities'!$C$9:$C$108,0))),H317+L317-M317,0),"Unavailable"))</x:f>
        <x:v>0</x:v>
      </x:c>
      <x:c r="O317" s="21" t="n">
        <x:f>IF(C317="","",IFERROR(MAX(0,G317+J317-K317-L317),"Unavailable"))</x:f>
        <x:v>4.261929304000001</x:v>
      </x:c>
      <x:c r="P317" s="21" t="n">
        <x:f>IF(C317="","",IFERROR(MAX(0,H317+L317-M317-N317),"Unavailable"))</x:f>
        <x:v>0</x:v>
      </x:c>
      <x:c r="Q317" s="23" t="n">
        <x:f>IF(C317="","",IFERROR(IF(OR(D317&gt;=INDEX('Facilities'!$J$9:$J$108,MATCH(C317,'Facilities'!$C$9:$C$108,0)),AND(AC317&gt;=0,AC317&lt;=D317)),0,MAX(0,I317-J317)),"Unavailable"))</x:f>
        <x:v>1.002915</x:v>
      </x:c>
      <x:c r="R317" s="30" t="n">
        <x:f>IF(C317="","",IFERROR(INDEX(Credit!$Q$309:$Q$408,MATCH(F317,Credit!$C$309:$C$408,0)),"Unavailable"))</x:f>
        <x:v>0.0740502437173744</x:v>
      </x:c>
      <x:c r="S317" s="30" t="n">
        <x:f>IF(C317="","",IFERROR(INDEX(Credit!$R$309:$R$408,MATCH(F317,Credit!$C$309:$C$408,0)),"Unavailable"))</x:f>
        <x:v>0.44456960000000006</x:v>
      </x:c>
      <x:c r="T317" s="23" t="n">
        <x:f>IF(C317="","",IFERROR(IF(P317&gt;0,3,IF(OR(INDEX('Facilities'!$AD$9:$AD$108,MATCH(C317,'Facilities'!$C$9:$C$108,0))=2,AND(R317&gt;=INDEX('Facilities'!$L$9:$L$108,MATCH(C317,'Facilities'!$C$9:$C$108,0))*Settings!$F$19,R317-INDEX('Facilities'!$L$9:$L$108,MATCH(C317,'Facilities'!$C$9:$C$108,0))&gt;=Settings!$F$20)),2,1)),"Unavailable"))</x:f>
        <x:v>2</x:v>
      </x:c>
      <x:c r="U317" s="23" t="n">
        <x:f>IF(C317="","",IF(AQ317&lt;&gt;"Ready","Unavailable",IF(C317="","",O317*(1-(1-S317)/(1+INDEX('Facilities'!$K$9:$K$108,MATCH(C317,'Facilities'!$C$9:$C$108,0)))^INDEX('Facilities'!$AK$9:$AK$108,MATCH(C317,'Facilities'!$C$9:$C$108,0)))*R317/(1+INDEX('Facilities'!$K$9:$K$108,MATCH(C317,'Facilities'!$C$9:$C$108,0)))*IF(ABS(1-(1-R317)*(1-INDEX('Facilities'!$R$9:$R$108,MATCH(C317,'Facilities'!$C$9:$C$108,0)))/(1+INDEX('Facilities'!$K$9:$K$108,MATCH(C317,'Facilities'!$C$9:$C$108,0))))&lt;0.000000001,IF(T317=1,MIN(1,AJ317),AJ317),(1-((1-R317)*(1-INDEX('Facilities'!$R$9:$R$108,MATCH(C317,'Facilities'!$C$9:$C$108,0)))/(1+INDEX('Facilities'!$K$9:$K$108,MATCH(C317,'Facilities'!$C$9:$C$108,0))))^IF(T317=1,MIN(1,AJ317),AJ317))/(1-(1-R317)*(1-INDEX('Facilities'!$R$9:$R$108,MATCH(C317,'Facilities'!$C$9:$C$108,0)))/(1+INDEX('Facilities'!$K$9:$K$108,MATCH(C317,'Facilities'!$C$9:$C$108,0)))))+AL317)))</x:f>
        <x:v>0.4710203218481612</x:v>
      </x:c>
      <x:c r="V317" s="23" t="n">
        <x:f>IF(C317="","",IF(AQ317&lt;&gt;"Ready","Unavailable",IF(C317="","",Q317*INDEX('Facilities'!$I$9:$I$108,MATCH(C317,'Facilities'!$C$9:$C$108,0))*(1-(1-S317)/(1+INDEX('Facilities'!$K$9:$K$108,MATCH(C317,'Facilities'!$C$9:$C$108,0)))^INDEX('Facilities'!$AK$9:$AK$108,MATCH(C317,'Facilities'!$C$9:$C$108,0)))*R317/(1+INDEX('Facilities'!$K$9:$K$108,MATCH(C317,'Facilities'!$C$9:$C$108,0)))*IF(ABS(1-(1-R317)*(1-0)/(1+INDEX('Facilities'!$K$9:$K$108,MATCH(C317,'Facilities'!$C$9:$C$108,0))))&lt;0.000000001,IF(T317=1,MIN(1,AJ317),AJ317),(1-((1-R317)*(1-0)/(1+INDEX('Facilities'!$K$9:$K$108,MATCH(C317,'Facilities'!$C$9:$C$108,0))))^IF(T317=1,MIN(1,AJ317),AJ317))/(1-(1-R317)*(1-0)/(1+INDEX('Facilities'!$K$9:$K$108,MATCH(C317,'Facilities'!$C$9:$C$108,0))))))))</x:f>
        <x:v>0.06777037235129439</x:v>
      </x:c>
      <x:c r="W317" s="21" t="n">
        <x:f>IF(C317="","",IFERROR(U217,"Unavailable"))</x:f>
        <x:v>0.5815647152279998</x:v>
      </x:c>
      <x:c r="X317" s="21" t="n">
        <x:f>IF(C317="","",IFERROR(V217,"Unavailable"))</x:f>
        <x:v>0.08731017700017646</x:v>
      </x:c>
      <x:c r="Y317" s="21" t="n">
        <x:f>IF(C317="","",IF(AQ317&lt;&gt;"Ready","Unavailable",IF(C317="","",U317-W317+V317-X317+N317+AG317)))</x:f>
        <x:v>-0.13008419802872062</x:v>
      </x:c>
      <x:c r="Z317" s="23" t="n">
        <x:f>IF(C317="","",IF(AQ317&lt;&gt;"Ready","Unavailable",IF(C317="","",(G317+O317+L317)/2*INDEX('Facilities'!$T$9:$T$108,MATCH(C317,'Facilities'!$C$9:$C$108,0))+AG317)))</x:f>
        <x:v>0.4264740049400001</x:v>
      </x:c>
      <x:c r="AA317" s="23" t="n">
        <x:f>IF(C317="","",IF(AQ317&lt;&gt;"Ready","Unavailable",IF(C317="","",O317*(1-IF(INDEX('Facilities'!$AA$9:$AA$108,MATCH(C317,'Facilities'!$C$9:$C$108,0))=0,0,MIN(1,INDEX('Facilities'!$X$9:$X$108,MATCH(C317,'Facilities'!$C$9:$C$108,0))/INDEX('Facilities'!$AA$9:$AA$108,MATCH(C317,'Facilities'!$C$9:$C$108,0)))))*AF317+P317*(1-IF(INDEX('Facilities'!$AA$9:$AA$108,MATCH(C317,'Facilities'!$C$9:$C$108,0))=0,0,MIN(1,INDEX('Facilities'!$X$9:$X$108,MATCH(C317,'Facilities'!$C$9:$C$108,0))/INDEX('Facilities'!$AA$9:$AA$108,MATCH(C317,'Facilities'!$C$9:$C$108,0)))))*INDEX('Facilities'!$AJ$9:$AJ$108,MATCH(C317,'Facilities'!$C$9:$C$108,0))+Q317*INDEX('Facilities'!$AI$9:$AI$108,MATCH(C317,'Facilities'!$C$9:$C$108,0))*AF317)))</x:f>
        <x:v>5.7854611045616</x:v>
      </x:c>
      <x:c r="AB317" s="21" t="n">
        <x:f>IF(C317="","",O317+P317-AD317)</x:f>
        <x:v>-0.45454149600000004</x:v>
      </x:c>
      <x:c r="AC317" s="23" t="n">
        <x:f>IF(C317="","",IFERROR(IF(INDEX('Facilities'!$AD$9:$AD$108,MATCH(C317,'Facilities'!$C$9:$C$108,0))=3,0,IF(INDEX('Facilities'!$AN$9:$AN$108,MATCH(C317,'Facilities'!$C$9:$C$108,0))=0,-1,INDEX('Facilities'!$AN$9:$AN$108,MATCH(C317,'Facilities'!$C$9:$C$108,0)))),"Unavailable"))</x:f>
        <x:v>-1</x:v>
      </x:c>
      <x:c r="AD317" s="21" t="n">
        <x:f>IF(C317="","",IFERROR(G317+H317,"Unavailable"))</x:f>
        <x:v>4.716470800000001</x:v>
      </x:c>
      <x:c r="AE317" s="21" t="n">
        <x:f>IF(C317="","",IF(AQ317&lt;&gt;"Ready","Unavailable",IF(C317="","",O317+P317-AD317-J317+K317+M317+N317)))</x:f>
        <x:v>1.1102230246251565e-16</x:v>
      </x:c>
      <x:c r="AF317" s="30" t="n">
        <x:f>IF(C317="","",IFERROR(INDEX('Facilities'!$S$9:$S$108,MATCH(C317,'Facilities'!$C$9:$C$108,0))*'Scenario Paths'!I75,"Unavailable"))</x:f>
        <x:v>1.25</x:v>
      </x:c>
      <x:c r="AG317" s="23" t="n">
        <x:f>IF(C317="","",IF(AQ317&lt;&gt;"Ready","Unavailable",IF(C317="","",IF(H317&gt;0,MAX(0,H317-AK317)*((1+INDEX('Facilities'!$K$9:$K$108,MATCH(C317,'Facilities'!$C$9:$C$108,0)))^MIN(1,MAX(0,AC317+INDEX('Facilities'!$AK$9:$AK$108,MATCH(C317,'Facilities'!$C$9:$C$108,0))-D317+1))-1),0))))</x:f>
        <x:v>0</x:v>
      </x:c>
      <x:c r="AH317" s="21" t="n">
        <x:f>IF(C317="","",IF(AQ317&lt;&gt;"Ready","Unavailable",IF(C317="","",O317+P317)))</x:f>
        <x:v>4.261929304000001</x:v>
      </x:c>
      <x:c r="AI317" s="21" t="n">
        <x:f>IF(C317="","",IF(AQ317&lt;&gt;"Ready","Unavailable",IF(C317="","",Z317-Y317)))</x:f>
        <x:v>0.5565582029687207</x:v>
      </x:c>
      <x:c r="AJ317" s="23" t="n">
        <x:f>IF(C317="","",IFERROR(MAX(0,INDEX('Facilities'!$J$9:$J$108,MATCH(C317,'Facilities'!$C$9:$C$108,0))-D317),"Unavailable"))</x:f>
        <x:v>5</x:v>
      </x:c>
      <x:c r="AK317" s="21" t="n">
        <x:f>IF(C317="","",IFERROR(AL217,"Unavailable"))</x:f>
        <x:v>0</x:v>
      </x:c>
      <x:c r="AL317" s="23" t="n">
        <x:f>IF(C317="","",IFERROR(IF(P317&gt;0,P317*(1-AM317/(1+INDEX('Facilities'!$K$9:$K$108,MATCH(C317,'Facilities'!$C$9:$C$108,0)))^MAX(0,AC317+INDEX('Facilities'!$AK$9:$AK$108,MATCH(C317,'Facilities'!$C$9:$C$108,0))-D317)),0),"Unavailable"))</x:f>
        <x:v>0</x:v>
      </x:c>
      <x:c r="AM317" s="30" t="n">
        <x:f>IF(C317="","",IFERROR(INDEX('Facilities'!$AL$9:$AL$108,MATCH(C317,'Facilities'!$C$9:$C$108,0)),"Unavailable"))</x:f>
        <x:v>0.55</x:v>
      </x:c>
      <x:c r="AN317" s="30" t="n">
        <x:f>IF(C317="","",IFERROR(INDEX(Credit!$T$309:$T$408,MATCH(F317,Credit!$C$309:$C$408,0)),"Unavailable"))</x:f>
        <x:v>0.00816</x:v>
      </x:c>
      <x:c r="AO317" s="23" t="n">
        <x:f>IF(C317="","",IF(AQ317&lt;&gt;"Ready","Unavailable",IF(C317="","",O317+P317+Q317*INDEX('Facilities'!$I$9:$I$108,MATCH(C317,'Facilities'!$C$9:$C$108,0)))))</x:f>
        <x:v>4.7633868040000005</x:v>
      </x:c>
      <x:c r="AP317" s="21" t="n">
        <x:f>IF(C317="","",IF(AQ317&lt;&gt;"Ready","Unavailable",IF(C317="","",AH317-U317)))</x:f>
        <x:v>3.7909089821518394</x:v>
      </x:c>
      <x:c r="AQ317" s="23" t="str">
        <x:f>IFERROR(IF(C317="","",IF(AND(INDEX('Facilities'!$AF$9:$AF$108,MATCH(C317,'Facilities'!$C$9:$C$108,0))="Ready",INDEX(Credit!$U$309:$U$408,MATCH(F317,Credit!$C$309:$C$408,0))="Ready",ISNUMBER(W317)),"Ready","Review inputs")),"Review inputs")</x:f>
        <x:v>Ready</x:v>
      </x:c>
      <x:c r="AR317" s="23" t="n">
        <x:f>IF(C317="","",IF(AQ317&lt;&gt;"Ready","Unavailable",IF(C317="","",IF(O317=0,0,(IF(AJ317&lt;=1,O317,O317*INDEX('Facilities'!$R$9:$R$108,MATCH(C317,'Facilities'!$C$9:$C$108,0)))+O317*INDEX('Facilities'!$T$9:$T$108,MATCH(C317,'Facilities'!$C$9:$C$108,0)))/12))))</x:f>
        <x:v>0.07635956669666667</x:v>
      </x:c>
    </x:row>
    <x:row r="318" ht="26" customHeight="1">
      <x:c r="A318" s="1"/>
      <x:c r="B318" s="1"/>
      <x:c r="C318" s="9" t="str">
        <x:f>IF(Facilities!C18="","",Facilities!C18)</x:f>
        <x:v>F010</x:v>
      </x:c>
      <x:c r="D318" s="3" t="n">
        <x:v>4</x:v>
      </x:c>
      <x:c r="E318" s="9" t="n">
        <x:f>Settings!$F$18+3</x:f>
        <x:v>2030</x:v>
      </x:c>
      <x:c r="F318" s="9" t="str">
        <x:f>IF(C318="","",IFERROR(INDEX('Facilities'!$D$9:$D$108,MATCH(C318,'Facilities'!$C$9:$C$108,0)),"Unavailable"))</x:f>
        <x:v>B005</x:v>
      </x:c>
      <x:c r="G318" s="21" t="n">
        <x:f>IF(C318="","",IFERROR(O218,"Unavailable"))</x:f>
        <x:v>2.7760908</x:v>
      </x:c>
      <x:c r="H318" s="21" t="n">
        <x:f>IF(C318="","",IFERROR(P218,"Unavailable"))</x:f>
        <x:v>0</x:v>
      </x:c>
      <x:c r="I318" s="21" t="n">
        <x:f>IF(C318="","",IFERROR(Q218,"Unavailable"))</x:f>
        <x:v>0.37145</x:v>
      </x:c>
      <x:c r="J318" s="23" t="n">
        <x:f>IF(C318="","",IFERROR(IF(OR(H318&gt;0,AND(AC318&gt;=0,AC318&lt;D318),D318&gt;INDEX('Facilities'!$J$9:$J$108,MATCH(C318,'Facilities'!$C$9:$C$108,0))),0,I318*'Scenario Paths'!I81),"Unavailable"))</x:f>
        <x:v>0.037145000000000004</x:v>
      </x:c>
      <x:c r="K318" s="23" t="n">
        <x:f>IF(C318="","",IFERROR(IF(OR(H318&gt;0,AND(AC318&gt;=0,AC318=D318)),0,IF(D318&gt;=INDEX('Facilities'!$J$9:$J$108,MATCH(C318,'Facilities'!$C$9:$C$108,0)),G318+J318,MIN(G318+J318,G318*INDEX('Facilities'!$R$9:$R$108,MATCH(C318,'Facilities'!$C$9:$C$108,0))))),"Unavailable"))</x:f>
        <x:v>0.333130896</x:v>
      </x:c>
      <x:c r="L318" s="21" t="n">
        <x:f>IF(C318="","",IFERROR(IF(AND(AC318=D318,AC318&gt;0),MAX(0,G318+J318-K318),0),"Unavailable"))</x:f>
        <x:v>0</x:v>
      </x:c>
      <x:c r="M318" s="23" t="n">
        <x:f>IF(C318="","",IFERROR(IF(AND(AC318&gt;=0,D318&gt;=AC318+INDEX('Facilities'!$AK$9:$AK$108,MATCH(C318,'Facilities'!$C$9:$C$108,0))),(H318+L318)*AM318,0),"Unavailable"))</x:f>
        <x:v>0</x:v>
      </x:c>
      <x:c r="N318" s="23" t="n">
        <x:f>IF(C318="","",IFERROR(IF(AND(AC318&gt;=0,D318&gt;=AC318+INDEX('Facilities'!$AK$9:$AK$108,MATCH(C318,'Facilities'!$C$9:$C$108,0))),H318+L318-M318,0),"Unavailable"))</x:f>
        <x:v>0</x:v>
      </x:c>
      <x:c r="O318" s="21" t="n">
        <x:f>IF(C318="","",IFERROR(MAX(0,G318+J318-K318-L318),"Unavailable"))</x:f>
        <x:v>2.480104904</x:v>
      </x:c>
      <x:c r="P318" s="21" t="n">
        <x:f>IF(C318="","",IFERROR(MAX(0,H318+L318-M318-N318),"Unavailable"))</x:f>
        <x:v>0</x:v>
      </x:c>
      <x:c r="Q318" s="23" t="n">
        <x:f>IF(C318="","",IFERROR(IF(OR(D318&gt;=INDEX('Facilities'!$J$9:$J$108,MATCH(C318,'Facilities'!$C$9:$C$108,0)),AND(AC318&gt;=0,AC318&lt;=D318)),0,MAX(0,I318-J318)),"Unavailable"))</x:f>
        <x:v>0.334305</x:v>
      </x:c>
      <x:c r="R318" s="30" t="n">
        <x:f>IF(C318="","",IFERROR(INDEX(Credit!$Q$309:$Q$408,MATCH(F318,Credit!$C$309:$C$408,0)),"Unavailable"))</x:f>
        <x:v>0.0740502437173744</x:v>
      </x:c>
      <x:c r="S318" s="30" t="n">
        <x:f>IF(C318="","",IFERROR(INDEX(Credit!$R$309:$R$408,MATCH(F318,Credit!$C$309:$C$408,0)),"Unavailable"))</x:f>
        <x:v>0.44456960000000006</x:v>
      </x:c>
      <x:c r="T318" s="23" t="n">
        <x:f>IF(C318="","",IFERROR(IF(P318&gt;0,3,IF(OR(INDEX('Facilities'!$AD$9:$AD$108,MATCH(C318,'Facilities'!$C$9:$C$108,0))=2,AND(R318&gt;=INDEX('Facilities'!$L$9:$L$108,MATCH(C318,'Facilities'!$C$9:$C$108,0))*Settings!$F$19,R318-INDEX('Facilities'!$L$9:$L$108,MATCH(C318,'Facilities'!$C$9:$C$108,0))&gt;=Settings!$F$20)),2,1)),"Unavailable"))</x:f>
        <x:v>2</x:v>
      </x:c>
      <x:c r="U318" s="23" t="n">
        <x:f>IF(C318="","",IF(AQ318&lt;&gt;"Ready","Unavailable",IF(C318="","",O318*(1-(1-S318)/(1+INDEX('Facilities'!$K$9:$K$108,MATCH(C318,'Facilities'!$C$9:$C$108,0)))^INDEX('Facilities'!$AK$9:$AK$108,MATCH(C318,'Facilities'!$C$9:$C$108,0)))*R318/(1+INDEX('Facilities'!$K$9:$K$108,MATCH(C318,'Facilities'!$C$9:$C$108,0)))*IF(ABS(1-(1-R318)*(1-INDEX('Facilities'!$R$9:$R$108,MATCH(C318,'Facilities'!$C$9:$C$108,0)))/(1+INDEX('Facilities'!$K$9:$K$108,MATCH(C318,'Facilities'!$C$9:$C$108,0))))&lt;0.000000001,IF(T318=1,MIN(1,AJ318),AJ318),(1-((1-R318)*(1-INDEX('Facilities'!$R$9:$R$108,MATCH(C318,'Facilities'!$C$9:$C$108,0)))/(1+INDEX('Facilities'!$K$9:$K$108,MATCH(C318,'Facilities'!$C$9:$C$108,0))))^IF(T318=1,MIN(1,AJ318),AJ318))/(1-(1-R318)*(1-INDEX('Facilities'!$R$9:$R$108,MATCH(C318,'Facilities'!$C$9:$C$108,0)))/(1+INDEX('Facilities'!$K$9:$K$108,MATCH(C318,'Facilities'!$C$9:$C$108,0)))))+AL318)))</x:f>
        <x:v>0.2740964776217421</x:v>
      </x:c>
      <x:c r="V318" s="23" t="n">
        <x:f>IF(C318="","",IF(AQ318&lt;&gt;"Ready","Unavailable",IF(C318="","",Q318*INDEX('Facilities'!$I$9:$I$108,MATCH(C318,'Facilities'!$C$9:$C$108,0))*(1-(1-S318)/(1+INDEX('Facilities'!$K$9:$K$108,MATCH(C318,'Facilities'!$C$9:$C$108,0)))^INDEX('Facilities'!$AK$9:$AK$108,MATCH(C318,'Facilities'!$C$9:$C$108,0)))*R318/(1+INDEX('Facilities'!$K$9:$K$108,MATCH(C318,'Facilities'!$C$9:$C$108,0)))*IF(ABS(1-(1-R318)*(1-0)/(1+INDEX('Facilities'!$K$9:$K$108,MATCH(C318,'Facilities'!$C$9:$C$108,0))))&lt;0.000000001,IF(T318=1,MIN(1,AJ318),AJ318),(1-((1-R318)*(1-0)/(1+INDEX('Facilities'!$K$9:$K$108,MATCH(C318,'Facilities'!$C$9:$C$108,0))))^IF(T318=1,MIN(1,AJ318),AJ318))/(1-(1-R318)*(1-0)/(1+INDEX('Facilities'!$K$9:$K$108,MATCH(C318,'Facilities'!$C$9:$C$108,0))))))))</x:f>
        <x:v>0.02259012411709813</x:v>
      </x:c>
      <x:c r="W318" s="21" t="n">
        <x:f>IF(C318="","",IFERROR(U218,"Unavailable"))</x:f>
        <x:v>0.34230604280409627</x:v>
      </x:c>
      <x:c r="X318" s="21" t="n">
        <x:f>IF(C318="","",IFERROR(V218,"Unavailable"))</x:f>
        <x:v>0.029103392333392153</x:v>
      </x:c>
      <x:c r="Y318" s="21" t="n">
        <x:f>IF(C318="","",IF(AQ318&lt;&gt;"Ready","Unavailable",IF(C318="","",U318-W318+V318-X318+N318+AG318)))</x:f>
        <x:v>-0.07472283339864819</x:v>
      </x:c>
      <x:c r="Z318" s="23" t="n">
        <x:f>IF(C318="","",IF(AQ318&lt;&gt;"Ready","Unavailable",IF(C318="","",(G318+O318+L318)/2*INDEX('Facilities'!$T$9:$T$108,MATCH(C318,'Facilities'!$C$9:$C$108,0))+AG318)))</x:f>
        <x:v>0.24966929593999998</x:v>
      </x:c>
      <x:c r="AA318" s="23" t="n">
        <x:f>IF(C318="","",IF(AQ318&lt;&gt;"Ready","Unavailable",IF(C318="","",O318*(1-IF(INDEX('Facilities'!$AA$9:$AA$108,MATCH(C318,'Facilities'!$C$9:$C$108,0))=0,0,MIN(1,INDEX('Facilities'!$X$9:$X$108,MATCH(C318,'Facilities'!$C$9:$C$108,0))/INDEX('Facilities'!$AA$9:$AA$108,MATCH(C318,'Facilities'!$C$9:$C$108,0)))))*AF318+P318*(1-IF(INDEX('Facilities'!$AA$9:$AA$108,MATCH(C318,'Facilities'!$C$9:$C$108,0))=0,0,MIN(1,INDEX('Facilities'!$X$9:$X$108,MATCH(C318,'Facilities'!$C$9:$C$108,0))/INDEX('Facilities'!$AA$9:$AA$108,MATCH(C318,'Facilities'!$C$9:$C$108,0)))))*INDEX('Facilities'!$AJ$9:$AJ$108,MATCH(C318,'Facilities'!$C$9:$C$108,0))+Q318*INDEX('Facilities'!$AI$9:$AI$108,MATCH(C318,'Facilities'!$C$9:$C$108,0))*AF318)))</x:f>
        <x:v>3.2108596008016</x:v>
      </x:c>
      <x:c r="AB318" s="21" t="n">
        <x:f>IF(C318="","",O318+P318-AD318)</x:f>
        <x:v>-0.2959858959999999</x:v>
      </x:c>
      <x:c r="AC318" s="23" t="n">
        <x:f>IF(C318="","",IFERROR(IF(INDEX('Facilities'!$AD$9:$AD$108,MATCH(C318,'Facilities'!$C$9:$C$108,0))=3,0,IF(INDEX('Facilities'!$AN$9:$AN$108,MATCH(C318,'Facilities'!$C$9:$C$108,0))=0,-1,INDEX('Facilities'!$AN$9:$AN$108,MATCH(C318,'Facilities'!$C$9:$C$108,0)))),"Unavailable"))</x:f>
        <x:v>-1</x:v>
      </x:c>
      <x:c r="AD318" s="21" t="n">
        <x:f>IF(C318="","",IFERROR(G318+H318,"Unavailable"))</x:f>
        <x:v>2.7760908</x:v>
      </x:c>
      <x:c r="AE318" s="21" t="n">
        <x:f>IF(C318="","",IF(AQ318&lt;&gt;"Ready","Unavailable",IF(C318="","",O318+P318-AD318-J318+K318+M318+N318)))</x:f>
        <x:v>1.1102230246251565e-16</x:v>
      </x:c>
      <x:c r="AF318" s="30" t="n">
        <x:f>IF(C318="","",IFERROR(INDEX('Facilities'!$S$9:$S$108,MATCH(C318,'Facilities'!$C$9:$C$108,0))*'Scenario Paths'!I75,"Unavailable"))</x:f>
        <x:v>1.25</x:v>
      </x:c>
      <x:c r="AG318" s="23" t="n">
        <x:f>IF(C318="","",IF(AQ318&lt;&gt;"Ready","Unavailable",IF(C318="","",IF(H318&gt;0,MAX(0,H318-AK318)*((1+INDEX('Facilities'!$K$9:$K$108,MATCH(C318,'Facilities'!$C$9:$C$108,0)))^MIN(1,MAX(0,AC318+INDEX('Facilities'!$AK$9:$AK$108,MATCH(C318,'Facilities'!$C$9:$C$108,0))-D318+1))-1),0))))</x:f>
        <x:v>0</x:v>
      </x:c>
      <x:c r="AH318" s="21" t="n">
        <x:f>IF(C318="","",IF(AQ318&lt;&gt;"Ready","Unavailable",IF(C318="","",O318+P318)))</x:f>
        <x:v>2.480104904</x:v>
      </x:c>
      <x:c r="AI318" s="21" t="n">
        <x:f>IF(C318="","",IF(AQ318&lt;&gt;"Ready","Unavailable",IF(C318="","",Z318-Y318)))</x:f>
        <x:v>0.32439212933864814</x:v>
      </x:c>
      <x:c r="AJ318" s="23" t="n">
        <x:f>IF(C318="","",IFERROR(MAX(0,INDEX('Facilities'!$J$9:$J$108,MATCH(C318,'Facilities'!$C$9:$C$108,0))-D318),"Unavailable"))</x:f>
        <x:v>5</x:v>
      </x:c>
      <x:c r="AK318" s="21" t="n">
        <x:f>IF(C318="","",IFERROR(AL218,"Unavailable"))</x:f>
        <x:v>0</x:v>
      </x:c>
      <x:c r="AL318" s="23" t="n">
        <x:f>IF(C318="","",IFERROR(IF(P318&gt;0,P318*(1-AM318/(1+INDEX('Facilities'!$K$9:$K$108,MATCH(C318,'Facilities'!$C$9:$C$108,0)))^MAX(0,AC318+INDEX('Facilities'!$AK$9:$AK$108,MATCH(C318,'Facilities'!$C$9:$C$108,0))-D318)),0),"Unavailable"))</x:f>
        <x:v>0</x:v>
      </x:c>
      <x:c r="AM318" s="30" t="n">
        <x:f>IF(C318="","",IFERROR(INDEX('Facilities'!$AL$9:$AL$108,MATCH(C318,'Facilities'!$C$9:$C$108,0)),"Unavailable"))</x:f>
        <x:v>0.55</x:v>
      </x:c>
      <x:c r="AN318" s="30" t="n">
        <x:f>IF(C318="","",IFERROR(INDEX(Credit!$T$309:$T$408,MATCH(F318,Credit!$C$309:$C$408,0)),"Unavailable"))</x:f>
        <x:v>0.00816</x:v>
      </x:c>
      <x:c r="AO318" s="23" t="n">
        <x:f>IF(C318="","",IF(AQ318&lt;&gt;"Ready","Unavailable",IF(C318="","",O318+P318+Q318*INDEX('Facilities'!$I$9:$I$108,MATCH(C318,'Facilities'!$C$9:$C$108,0)))))</x:f>
        <x:v>2.647257404</x:v>
      </x:c>
      <x:c r="AP318" s="21" t="n">
        <x:f>IF(C318="","",IF(AQ318&lt;&gt;"Ready","Unavailable",IF(C318="","",AH318-U318)))</x:f>
        <x:v>2.206008426378258</x:v>
      </x:c>
      <x:c r="AQ318" s="23" t="str">
        <x:f>IFERROR(IF(C318="","",IF(AND(INDEX('Facilities'!$AF$9:$AF$108,MATCH(C318,'Facilities'!$C$9:$C$108,0))="Ready",INDEX(Credit!$U$309:$U$408,MATCH(F318,Credit!$C$309:$C$408,0))="Ready",ISNUMBER(W318)),"Ready","Review inputs")),"Review inputs")</x:f>
        <x:v>Ready</x:v>
      </x:c>
      <x:c r="AR318" s="23" t="n">
        <x:f>IF(C318="","",IF(AQ318&lt;&gt;"Ready","Unavailable",IF(C318="","",IF(O318=0,0,(IF(AJ318&lt;=1,O318,O318*INDEX('Facilities'!$R$9:$R$108,MATCH(C318,'Facilities'!$C$9:$C$108,0)))+O318*INDEX('Facilities'!$T$9:$T$108,MATCH(C318,'Facilities'!$C$9:$C$108,0)))/12))))</x:f>
        <x:v>0.04443521286333333</x:v>
      </x:c>
    </x:row>
    <x:row r="319" ht="26" customHeight="1">
      <x:c r="A319" s="1"/>
      <x:c r="B319" s="1"/>
      <x:c r="C319" s="9" t="str">
        <x:f>IF(Facilities!C19="","",Facilities!C19)</x:f>
        <x:v>F011</x:v>
      </x:c>
      <x:c r="D319" s="3" t="n">
        <x:v>4</x:v>
      </x:c>
      <x:c r="E319" s="9" t="n">
        <x:f>Settings!$F$18+3</x:f>
        <x:v>2030</x:v>
      </x:c>
      <x:c r="F319" s="9" t="str">
        <x:f>IF(C319="","",IFERROR(INDEX('Facilities'!$D$9:$D$108,MATCH(C319,'Facilities'!$C$9:$C$108,0)),"Unavailable"))</x:f>
        <x:v>B006</x:v>
      </x:c>
      <x:c r="G319" s="21" t="n">
        <x:f>IF(C319="","",IFERROR(O219,"Unavailable"))</x:f>
        <x:v>4.954986000000001</x:v>
      </x:c>
      <x:c r="H319" s="21" t="n">
        <x:f>IF(C319="","",IFERROR(P219,"Unavailable"))</x:f>
        <x:v>0</x:v>
      </x:c>
      <x:c r="I319" s="21" t="n">
        <x:f>IF(C319="","",IFERROR(Q219,"Unavailable"))</x:f>
        <x:v>1.11435</x:v>
      </x:c>
      <x:c r="J319" s="23" t="n">
        <x:f>IF(C319="","",IFERROR(IF(OR(H319&gt;0,AND(AC319&gt;=0,AC319&lt;D319),D319&gt;INDEX('Facilities'!$J$9:$J$108,MATCH(C319,'Facilities'!$C$9:$C$108,0))),0,I319*'Scenario Paths'!I81),"Unavailable"))</x:f>
        <x:v>0.111435</x:v>
      </x:c>
      <x:c r="K319" s="23" t="n">
        <x:f>IF(C319="","",IFERROR(IF(OR(H319&gt;0,AND(AC319&gt;=0,AC319=D319)),0,IF(D319&gt;=INDEX('Facilities'!$J$9:$J$108,MATCH(C319,'Facilities'!$C$9:$C$108,0)),G319+J319,MIN(G319+J319,G319*INDEX('Facilities'!$R$9:$R$108,MATCH(C319,'Facilities'!$C$9:$C$108,0))))),"Unavailable"))</x:f>
        <x:v>0.5945983200000001</x:v>
      </x:c>
      <x:c r="L319" s="21" t="n">
        <x:f>IF(C319="","",IFERROR(IF(AND(AC319=D319,AC319&gt;0),MAX(0,G319+J319-K319),0),"Unavailable"))</x:f>
        <x:v>0</x:v>
      </x:c>
      <x:c r="M319" s="23" t="n">
        <x:f>IF(C319="","",IFERROR(IF(AND(AC319&gt;=0,D319&gt;=AC319+INDEX('Facilities'!$AK$9:$AK$108,MATCH(C319,'Facilities'!$C$9:$C$108,0))),(H319+L319)*AM319,0),"Unavailable"))</x:f>
        <x:v>0</x:v>
      </x:c>
      <x:c r="N319" s="23" t="n">
        <x:f>IF(C319="","",IFERROR(IF(AND(AC319&gt;=0,D319&gt;=AC319+INDEX('Facilities'!$AK$9:$AK$108,MATCH(C319,'Facilities'!$C$9:$C$108,0))),H319+L319-M319,0),"Unavailable"))</x:f>
        <x:v>0</x:v>
      </x:c>
      <x:c r="O319" s="21" t="n">
        <x:f>IF(C319="","",IFERROR(MAX(0,G319+J319-K319-L319),"Unavailable"))</x:f>
        <x:v>4.471822680000001</x:v>
      </x:c>
      <x:c r="P319" s="21" t="n">
        <x:f>IF(C319="","",IFERROR(MAX(0,H319+L319-M319-N319),"Unavailable"))</x:f>
        <x:v>0</x:v>
      </x:c>
      <x:c r="Q319" s="23" t="n">
        <x:f>IF(C319="","",IFERROR(IF(OR(D319&gt;=INDEX('Facilities'!$J$9:$J$108,MATCH(C319,'Facilities'!$C$9:$C$108,0)),AND(AC319&gt;=0,AC319&lt;=D319)),0,MAX(0,I319-J319)),"Unavailable"))</x:f>
        <x:v>1.002915</x:v>
      </x:c>
      <x:c r="R319" s="30" t="n">
        <x:f>IF(C319="","",IFERROR(INDEX(Credit!$Q$309:$Q$408,MATCH(F319,Credit!$C$309:$C$408,0)),"Unavailable"))</x:f>
        <x:v>0.08664000859232511</x:v>
      </x:c>
      <x:c r="S319" s="30" t="n">
        <x:f>IF(C319="","",IFERROR(INDEX(Credit!$R$309:$R$408,MATCH(F319,Credit!$C$309:$C$408,0)),"Unavailable"))</x:f>
        <x:v>0.2822464</x:v>
      </x:c>
      <x:c r="T319" s="23" t="n">
        <x:f>IF(C319="","",IFERROR(IF(P319&gt;0,3,IF(OR(INDEX('Facilities'!$AD$9:$AD$108,MATCH(C319,'Facilities'!$C$9:$C$108,0))=2,AND(R319&gt;=INDEX('Facilities'!$L$9:$L$108,MATCH(C319,'Facilities'!$C$9:$C$108,0))*Settings!$F$19,R319-INDEX('Facilities'!$L$9:$L$108,MATCH(C319,'Facilities'!$C$9:$C$108,0))&gt;=Settings!$F$20)),2,1)),"Unavailable"))</x:f>
        <x:v>2</x:v>
      </x:c>
      <x:c r="U319" s="23" t="n">
        <x:f>IF(C319="","",IF(AQ319&lt;&gt;"Ready","Unavailable",IF(C319="","",O319*(1-(1-S319)/(1+INDEX('Facilities'!$K$9:$K$108,MATCH(C319,'Facilities'!$C$9:$C$108,0)))^INDEX('Facilities'!$AK$9:$AK$108,MATCH(C319,'Facilities'!$C$9:$C$108,0)))*R319/(1+INDEX('Facilities'!$K$9:$K$108,MATCH(C319,'Facilities'!$C$9:$C$108,0)))*IF(ABS(1-(1-R319)*(1-INDEX('Facilities'!$R$9:$R$108,MATCH(C319,'Facilities'!$C$9:$C$108,0)))/(1+INDEX('Facilities'!$K$9:$K$108,MATCH(C319,'Facilities'!$C$9:$C$108,0))))&lt;0.000000001,IF(T319=1,MIN(1,AJ319),AJ319),(1-((1-R319)*(1-INDEX('Facilities'!$R$9:$R$108,MATCH(C319,'Facilities'!$C$9:$C$108,0)))/(1+INDEX('Facilities'!$K$9:$K$108,MATCH(C319,'Facilities'!$C$9:$C$108,0))))^IF(T319=1,MIN(1,AJ319),AJ319))/(1-(1-R319)*(1-INDEX('Facilities'!$R$9:$R$108,MATCH(C319,'Facilities'!$C$9:$C$108,0)))/(1+INDEX('Facilities'!$K$9:$K$108,MATCH(C319,'Facilities'!$C$9:$C$108,0)))))+AL319)))</x:f>
        <x:v>0.13798630388455058</x:v>
      </x:c>
      <x:c r="V319" s="23" t="n">
        <x:f>IF(C319="","",IF(AQ319&lt;&gt;"Ready","Unavailable",IF(C319="","",Q319*INDEX('Facilities'!$I$9:$I$108,MATCH(C319,'Facilities'!$C$9:$C$108,0))*(1-(1-S319)/(1+INDEX('Facilities'!$K$9:$K$108,MATCH(C319,'Facilities'!$C$9:$C$108,0)))^INDEX('Facilities'!$AK$9:$AK$108,MATCH(C319,'Facilities'!$C$9:$C$108,0)))*R319/(1+INDEX('Facilities'!$K$9:$K$108,MATCH(C319,'Facilities'!$C$9:$C$108,0)))*IF(ABS(1-(1-R319)*(1-0)/(1+INDEX('Facilities'!$K$9:$K$108,MATCH(C319,'Facilities'!$C$9:$C$108,0))))&lt;0.000000001,IF(T319=1,MIN(1,AJ319),AJ319),(1-((1-R319)*(1-0)/(1+INDEX('Facilities'!$K$9:$K$108,MATCH(C319,'Facilities'!$C$9:$C$108,0))))^IF(T319=1,MIN(1,AJ319),AJ319))/(1-(1-R319)*(1-0)/(1+INDEX('Facilities'!$K$9:$K$108,MATCH(C319,'Facilities'!$C$9:$C$108,0))))))))</x:f>
        <x:v>0.015473392379723562</x:v>
      </x:c>
      <x:c r="W319" s="21" t="n">
        <x:f>IF(C319="","",IFERROR(U219,"Unavailable"))</x:f>
        <x:v>0.27727242977888344</x:v>
      </x:c>
      <x:c r="X319" s="21" t="n">
        <x:f>IF(C319="","",IFERROR(V219,"Unavailable"))</x:f>
        <x:v>0.03298834159176309</x:v>
      </x:c>
      <x:c r="Y319" s="21" t="n">
        <x:f>IF(C319="","",IF(AQ319&lt;&gt;"Ready","Unavailable",IF(C319="","",U319-W319+V319-X319+N319+AG319)))</x:f>
        <x:v>-0.1568010751063724</x:v>
      </x:c>
      <x:c r="Z319" s="23" t="n">
        <x:f>IF(C319="","",IF(AQ319&lt;&gt;"Ready","Unavailable",IF(C319="","",(G319+O319+L319)/2*INDEX('Facilities'!$T$9:$T$108,MATCH(C319,'Facilities'!$C$9:$C$108,0))+AG319)))</x:f>
        <x:v>0.4477734123</x:v>
      </x:c>
      <x:c r="AA319" s="23" t="n">
        <x:f>IF(C319="","",IF(AQ319&lt;&gt;"Ready","Unavailable",IF(C319="","",O319*(1-IF(INDEX('Facilities'!$AA$9:$AA$108,MATCH(C319,'Facilities'!$C$9:$C$108,0))=0,0,MIN(1,INDEX('Facilities'!$X$9:$X$108,MATCH(C319,'Facilities'!$C$9:$C$108,0))/INDEX('Facilities'!$AA$9:$AA$108,MATCH(C319,'Facilities'!$C$9:$C$108,0)))))*AF319+P319*(1-IF(INDEX('Facilities'!$AA$9:$AA$108,MATCH(C319,'Facilities'!$C$9:$C$108,0))=0,0,MIN(1,INDEX('Facilities'!$X$9:$X$108,MATCH(C319,'Facilities'!$C$9:$C$108,0))/INDEX('Facilities'!$AA$9:$AA$108,MATCH(C319,'Facilities'!$C$9:$C$108,0)))))*INDEX('Facilities'!$AJ$9:$AJ$108,MATCH(C319,'Facilities'!$C$9:$C$108,0))+Q319*INDEX('Facilities'!$AI$9:$AI$108,MATCH(C319,'Facilities'!$C$9:$C$108,0))*AF319)))</x:f>
        <x:v>6.085128638208</x:v>
      </x:c>
      <x:c r="AB319" s="21" t="n">
        <x:f>IF(C319="","",O319+P319-AD319)</x:f>
        <x:v>-0.48316332000000006</x:v>
      </x:c>
      <x:c r="AC319" s="23" t="n">
        <x:f>IF(C319="","",IFERROR(IF(INDEX('Facilities'!$AD$9:$AD$108,MATCH(C319,'Facilities'!$C$9:$C$108,0))=3,0,IF(INDEX('Facilities'!$AN$9:$AN$108,MATCH(C319,'Facilities'!$C$9:$C$108,0))=0,-1,INDEX('Facilities'!$AN$9:$AN$108,MATCH(C319,'Facilities'!$C$9:$C$108,0)))),"Unavailable"))</x:f>
        <x:v>-1</x:v>
      </x:c>
      <x:c r="AD319" s="21" t="n">
        <x:f>IF(C319="","",IFERROR(G319+H319,"Unavailable"))</x:f>
        <x:v>4.954986000000001</x:v>
      </x:c>
      <x:c r="AE319" s="21" t="n">
        <x:f>IF(C319="","",IF(AQ319&lt;&gt;"Ready","Unavailable",IF(C319="","",O319+P319-AD319-J319+K319+M319+N319)))</x:f>
        <x:v>1.1102230246251565e-16</x:v>
      </x:c>
      <x:c r="AF319" s="30" t="n">
        <x:f>IF(C319="","",IFERROR(INDEX('Facilities'!$S$9:$S$108,MATCH(C319,'Facilities'!$C$9:$C$108,0))*'Scenario Paths'!I75,"Unavailable"))</x:f>
        <x:v>1.25</x:v>
      </x:c>
      <x:c r="AG319" s="23" t="n">
        <x:f>IF(C319="","",IF(AQ319&lt;&gt;"Ready","Unavailable",IF(C319="","",IF(H319&gt;0,MAX(0,H319-AK319)*((1+INDEX('Facilities'!$K$9:$K$108,MATCH(C319,'Facilities'!$C$9:$C$108,0)))^MIN(1,MAX(0,AC319+INDEX('Facilities'!$AK$9:$AK$108,MATCH(C319,'Facilities'!$C$9:$C$108,0))-D319+1))-1),0))))</x:f>
        <x:v>0</x:v>
      </x:c>
      <x:c r="AH319" s="21" t="n">
        <x:f>IF(C319="","",IF(AQ319&lt;&gt;"Ready","Unavailable",IF(C319="","",O319+P319)))</x:f>
        <x:v>4.471822680000001</x:v>
      </x:c>
      <x:c r="AI319" s="21" t="n">
        <x:f>IF(C319="","",IF(AQ319&lt;&gt;"Ready","Unavailable",IF(C319="","",Z319-Y319)))</x:f>
        <x:v>0.6045744874063724</x:v>
      </x:c>
      <x:c r="AJ319" s="23" t="n">
        <x:f>IF(C319="","",IFERROR(MAX(0,INDEX('Facilities'!$J$9:$J$108,MATCH(C319,'Facilities'!$C$9:$C$108,0))-D319),"Unavailable"))</x:f>
        <x:v>1</x:v>
      </x:c>
      <x:c r="AK319" s="21" t="n">
        <x:f>IF(C319="","",IFERROR(AL219,"Unavailable"))</x:f>
        <x:v>0</x:v>
      </x:c>
      <x:c r="AL319" s="23" t="n">
        <x:f>IF(C319="","",IFERROR(IF(P319&gt;0,P319*(1-AM319/(1+INDEX('Facilities'!$K$9:$K$108,MATCH(C319,'Facilities'!$C$9:$C$108,0)))^MAX(0,AC319+INDEX('Facilities'!$AK$9:$AK$108,MATCH(C319,'Facilities'!$C$9:$C$108,0))-D319)),0),"Unavailable"))</x:f>
        <x:v>0</x:v>
      </x:c>
      <x:c r="AM319" s="30" t="n">
        <x:f>IF(C319="","",IFERROR(INDEX('Facilities'!$AL$9:$AL$108,MATCH(C319,'Facilities'!$C$9:$C$108,0)),"Unavailable"))</x:f>
        <x:v>0.55</x:v>
      </x:c>
      <x:c r="AN319" s="30" t="n">
        <x:f>IF(C319="","",IFERROR(INDEX(Credit!$T$309:$T$408,MATCH(F319,Credit!$C$309:$C$408,0)),"Unavailable"))</x:f>
        <x:v>0.00312</x:v>
      </x:c>
      <x:c r="AO319" s="23" t="n">
        <x:f>IF(C319="","",IF(AQ319&lt;&gt;"Ready","Unavailable",IF(C319="","",O319+P319+Q319*INDEX('Facilities'!$I$9:$I$108,MATCH(C319,'Facilities'!$C$9:$C$108,0)))))</x:f>
        <x:v>4.973280180000001</x:v>
      </x:c>
      <x:c r="AP319" s="21" t="n">
        <x:f>IF(C319="","",IF(AQ319&lt;&gt;"Ready","Unavailable",IF(C319="","",AH319-U319)))</x:f>
        <x:v>4.33383637611545</x:v>
      </x:c>
      <x:c r="AQ319" s="23" t="str">
        <x:f>IFERROR(IF(C319="","",IF(AND(INDEX('Facilities'!$AF$9:$AF$108,MATCH(C319,'Facilities'!$C$9:$C$108,0))="Ready",INDEX(Credit!$U$309:$U$408,MATCH(F319,Credit!$C$309:$C$408,0))="Ready",ISNUMBER(W319)),"Ready","Review inputs")),"Review inputs")</x:f>
        <x:v>Ready</x:v>
      </x:c>
      <x:c r="AR319" s="23" t="n">
        <x:f>IF(C319="","",IF(AQ319&lt;&gt;"Ready","Unavailable",IF(C319="","",IF(O319=0,0,(IF(AJ319&lt;=1,O319,O319*INDEX('Facilities'!$R$9:$R$108,MATCH(C319,'Facilities'!$C$9:$C$108,0)))+O319*INDEX('Facilities'!$T$9:$T$108,MATCH(C319,'Facilities'!$C$9:$C$108,0)))/12))))</x:f>
        <x:v>0.4080538195500001</x:v>
      </x:c>
    </x:row>
    <x:row r="320" ht="26" customHeight="1">
      <x:c r="A320" s="1"/>
      <x:c r="B320" s="1"/>
      <x:c r="C320" s="9" t="str">
        <x:f>IF(Facilities!C20="","",Facilities!C20)</x:f>
        <x:v>F012</x:v>
      </x:c>
      <x:c r="D320" s="3" t="n">
        <x:v>4</x:v>
      </x:c>
      <x:c r="E320" s="9" t="n">
        <x:f>Settings!$F$18+3</x:f>
        <x:v>2030</x:v>
      </x:c>
      <x:c r="F320" s="9" t="str">
        <x:f>IF(C320="","",IFERROR(INDEX('Facilities'!$D$9:$D$108,MATCH(C320,'Facilities'!$C$9:$C$108,0)),"Unavailable"))</x:f>
        <x:v>B006</x:v>
      </x:c>
      <x:c r="G320" s="21" t="n">
        <x:f>IF(C320="","",IFERROR(O220,"Unavailable"))</x:f>
        <x:v>3.0146060000000006</x:v>
      </x:c>
      <x:c r="H320" s="21" t="n">
        <x:f>IF(C320="","",IFERROR(P220,"Unavailable"))</x:f>
        <x:v>0</x:v>
      </x:c>
      <x:c r="I320" s="21" t="n">
        <x:f>IF(C320="","",IFERROR(Q220,"Unavailable"))</x:f>
        <x:v>0.37145</x:v>
      </x:c>
      <x:c r="J320" s="23" t="n">
        <x:f>IF(C320="","",IFERROR(IF(OR(H320&gt;0,AND(AC320&gt;=0,AC320&lt;D320),D320&gt;INDEX('Facilities'!$J$9:$J$108,MATCH(C320,'Facilities'!$C$9:$C$108,0))),0,I320*'Scenario Paths'!I81),"Unavailable"))</x:f>
        <x:v>0.037145000000000004</x:v>
      </x:c>
      <x:c r="K320" s="23" t="n">
        <x:f>IF(C320="","",IFERROR(IF(OR(H320&gt;0,AND(AC320&gt;=0,AC320=D320)),0,IF(D320&gt;=INDEX('Facilities'!$J$9:$J$108,MATCH(C320,'Facilities'!$C$9:$C$108,0)),G320+J320,MIN(G320+J320,G320*INDEX('Facilities'!$R$9:$R$108,MATCH(C320,'Facilities'!$C$9:$C$108,0))))),"Unavailable"))</x:f>
        <x:v>0.36175272</x:v>
      </x:c>
      <x:c r="L320" s="21" t="n">
        <x:f>IF(C320="","",IFERROR(IF(AND(AC320=D320,AC320&gt;0),MAX(0,G320+J320-K320),0),"Unavailable"))</x:f>
        <x:v>0</x:v>
      </x:c>
      <x:c r="M320" s="23" t="n">
        <x:f>IF(C320="","",IFERROR(IF(AND(AC320&gt;=0,D320&gt;=AC320+INDEX('Facilities'!$AK$9:$AK$108,MATCH(C320,'Facilities'!$C$9:$C$108,0))),(H320+L320)*AM320,0),"Unavailable"))</x:f>
        <x:v>0</x:v>
      </x:c>
      <x:c r="N320" s="23" t="n">
        <x:f>IF(C320="","",IFERROR(IF(AND(AC320&gt;=0,D320&gt;=AC320+INDEX('Facilities'!$AK$9:$AK$108,MATCH(C320,'Facilities'!$C$9:$C$108,0))),H320+L320-M320,0),"Unavailable"))</x:f>
        <x:v>0</x:v>
      </x:c>
      <x:c r="O320" s="21" t="n">
        <x:f>IF(C320="","",IFERROR(MAX(0,G320+J320-K320-L320),"Unavailable"))</x:f>
        <x:v>2.6899982800000006</x:v>
      </x:c>
      <x:c r="P320" s="21" t="n">
        <x:f>IF(C320="","",IFERROR(MAX(0,H320+L320-M320-N320),"Unavailable"))</x:f>
        <x:v>0</x:v>
      </x:c>
      <x:c r="Q320" s="23" t="n">
        <x:f>IF(C320="","",IFERROR(IF(OR(D320&gt;=INDEX('Facilities'!$J$9:$J$108,MATCH(C320,'Facilities'!$C$9:$C$108,0)),AND(AC320&gt;=0,AC320&lt;=D320)),0,MAX(0,I320-J320)),"Unavailable"))</x:f>
        <x:v>0.334305</x:v>
      </x:c>
      <x:c r="R320" s="30" t="n">
        <x:f>IF(C320="","",IFERROR(INDEX(Credit!$Q$309:$Q$408,MATCH(F320,Credit!$C$309:$C$408,0)),"Unavailable"))</x:f>
        <x:v>0.08664000859232511</x:v>
      </x:c>
      <x:c r="S320" s="30" t="n">
        <x:f>IF(C320="","",IFERROR(INDEX(Credit!$R$309:$R$408,MATCH(F320,Credit!$C$309:$C$408,0)),"Unavailable"))</x:f>
        <x:v>0.2822464</x:v>
      </x:c>
      <x:c r="T320" s="23" t="n">
        <x:f>IF(C320="","",IFERROR(IF(P320&gt;0,3,IF(OR(INDEX('Facilities'!$AD$9:$AD$108,MATCH(C320,'Facilities'!$C$9:$C$108,0))=2,AND(R320&gt;=INDEX('Facilities'!$L$9:$L$108,MATCH(C320,'Facilities'!$C$9:$C$108,0))*Settings!$F$19,R320-INDEX('Facilities'!$L$9:$L$108,MATCH(C320,'Facilities'!$C$9:$C$108,0))&gt;=Settings!$F$20)),2,1)),"Unavailable"))</x:f>
        <x:v>2</x:v>
      </x:c>
      <x:c r="U320" s="23" t="n">
        <x:f>IF(C320="","",IF(AQ320&lt;&gt;"Ready","Unavailable",IF(C320="","",O320*(1-(1-S320)/(1+INDEX('Facilities'!$K$9:$K$108,MATCH(C320,'Facilities'!$C$9:$C$108,0)))^INDEX('Facilities'!$AK$9:$AK$108,MATCH(C320,'Facilities'!$C$9:$C$108,0)))*R320/(1+INDEX('Facilities'!$K$9:$K$108,MATCH(C320,'Facilities'!$C$9:$C$108,0)))*IF(ABS(1-(1-R320)*(1-INDEX('Facilities'!$R$9:$R$108,MATCH(C320,'Facilities'!$C$9:$C$108,0)))/(1+INDEX('Facilities'!$K$9:$K$108,MATCH(C320,'Facilities'!$C$9:$C$108,0))))&lt;0.000000001,IF(T320=1,MIN(1,AJ320),AJ320),(1-((1-R320)*(1-INDEX('Facilities'!$R$9:$R$108,MATCH(C320,'Facilities'!$C$9:$C$108,0)))/(1+INDEX('Facilities'!$K$9:$K$108,MATCH(C320,'Facilities'!$C$9:$C$108,0))))^IF(T320=1,MIN(1,AJ320),AJ320))/(1-(1-R320)*(1-INDEX('Facilities'!$R$9:$R$108,MATCH(C320,'Facilities'!$C$9:$C$108,0)))/(1+INDEX('Facilities'!$K$9:$K$108,MATCH(C320,'Facilities'!$C$9:$C$108,0)))))+AL320)))</x:f>
        <x:v>0.08300483866972075</x:v>
      </x:c>
      <x:c r="V320" s="23" t="n">
        <x:f>IF(C320="","",IF(AQ320&lt;&gt;"Ready","Unavailable",IF(C320="","",Q320*INDEX('Facilities'!$I$9:$I$108,MATCH(C320,'Facilities'!$C$9:$C$108,0))*(1-(1-S320)/(1+INDEX('Facilities'!$K$9:$K$108,MATCH(C320,'Facilities'!$C$9:$C$108,0)))^INDEX('Facilities'!$AK$9:$AK$108,MATCH(C320,'Facilities'!$C$9:$C$108,0)))*R320/(1+INDEX('Facilities'!$K$9:$K$108,MATCH(C320,'Facilities'!$C$9:$C$108,0)))*IF(ABS(1-(1-R320)*(1-0)/(1+INDEX('Facilities'!$K$9:$K$108,MATCH(C320,'Facilities'!$C$9:$C$108,0))))&lt;0.000000001,IF(T320=1,MIN(1,AJ320),AJ320),(1-((1-R320)*(1-0)/(1+INDEX('Facilities'!$K$9:$K$108,MATCH(C320,'Facilities'!$C$9:$C$108,0))))^IF(T320=1,MIN(1,AJ320),AJ320))/(1-(1-R320)*(1-0)/(1+INDEX('Facilities'!$K$9:$K$108,MATCH(C320,'Facilities'!$C$9:$C$108,0))))))))</x:f>
        <x:v>0.005157797459907855</x:v>
      </x:c>
      <x:c r="W320" s="21" t="n">
        <x:f>IF(C320="","",IFERROR(U220,"Unavailable"))</x:f>
        <x:v>0.1686921275753354</x:v>
      </x:c>
      <x:c r="X320" s="21" t="n">
        <x:f>IF(C320="","",IFERROR(V220,"Unavailable"))</x:f>
        <x:v>0.010996113863921029</x:v>
      </x:c>
      <x:c r="Y320" s="21" t="n">
        <x:f>IF(C320="","",IF(AQ320&lt;&gt;"Ready","Unavailable",IF(C320="","",U320-W320+V320-X320+N320+AG320)))</x:f>
        <x:v>-0.09152560530962782</x:v>
      </x:c>
      <x:c r="Z320" s="23" t="n">
        <x:f>IF(C320="","",IF(AQ320&lt;&gt;"Ready","Unavailable",IF(C320="","",(G320+O320+L320)/2*INDEX('Facilities'!$T$9:$T$108,MATCH(C320,'Facilities'!$C$9:$C$108,0))+AG320)))</x:f>
        <x:v>0.27096870330000006</x:v>
      </x:c>
      <x:c r="AA320" s="23" t="n">
        <x:f>IF(C320="","",IF(AQ320&lt;&gt;"Ready","Unavailable",IF(C320="","",O320*(1-IF(INDEX('Facilities'!$AA$9:$AA$108,MATCH(C320,'Facilities'!$C$9:$C$108,0))=0,0,MIN(1,INDEX('Facilities'!$X$9:$X$108,MATCH(C320,'Facilities'!$C$9:$C$108,0))/INDEX('Facilities'!$AA$9:$AA$108,MATCH(C320,'Facilities'!$C$9:$C$108,0)))))*AF320+P320*(1-IF(INDEX('Facilities'!$AA$9:$AA$108,MATCH(C320,'Facilities'!$C$9:$C$108,0))=0,0,MIN(1,INDEX('Facilities'!$X$9:$X$108,MATCH(C320,'Facilities'!$C$9:$C$108,0))/INDEX('Facilities'!$AA$9:$AA$108,MATCH(C320,'Facilities'!$C$9:$C$108,0)))))*INDEX('Facilities'!$AJ$9:$AJ$108,MATCH(C320,'Facilities'!$C$9:$C$108,0))+Q320*INDEX('Facilities'!$AI$9:$AI$108,MATCH(C320,'Facilities'!$C$9:$C$108,0))*AF320)))</x:f>
        <x:v>3.4923525255680006</x:v>
      </x:c>
      <x:c r="AB320" s="21" t="n">
        <x:f>IF(C320="","",O320+P320-AD320)</x:f>
        <x:v>-0.32460771999999993</x:v>
      </x:c>
      <x:c r="AC320" s="23" t="n">
        <x:f>IF(C320="","",IFERROR(IF(INDEX('Facilities'!$AD$9:$AD$108,MATCH(C320,'Facilities'!$C$9:$C$108,0))=3,0,IF(INDEX('Facilities'!$AN$9:$AN$108,MATCH(C320,'Facilities'!$C$9:$C$108,0))=0,-1,INDEX('Facilities'!$AN$9:$AN$108,MATCH(C320,'Facilities'!$C$9:$C$108,0)))),"Unavailable"))</x:f>
        <x:v>-1</x:v>
      </x:c>
      <x:c r="AD320" s="21" t="n">
        <x:f>IF(C320="","",IFERROR(G320+H320,"Unavailable"))</x:f>
        <x:v>3.0146060000000006</x:v>
      </x:c>
      <x:c r="AE320" s="21" t="n">
        <x:f>IF(C320="","",IF(AQ320&lt;&gt;"Ready","Unavailable",IF(C320="","",O320+P320-AD320-J320+K320+M320+N320)))</x:f>
        <x:v>1.1102230246251565e-16</x:v>
      </x:c>
      <x:c r="AF320" s="30" t="n">
        <x:f>IF(C320="","",IFERROR(INDEX('Facilities'!$S$9:$S$108,MATCH(C320,'Facilities'!$C$9:$C$108,0))*'Scenario Paths'!I75,"Unavailable"))</x:f>
        <x:v>1.25</x:v>
      </x:c>
      <x:c r="AG320" s="23" t="n">
        <x:f>IF(C320="","",IF(AQ320&lt;&gt;"Ready","Unavailable",IF(C320="","",IF(H320&gt;0,MAX(0,H320-AK320)*((1+INDEX('Facilities'!$K$9:$K$108,MATCH(C320,'Facilities'!$C$9:$C$108,0)))^MIN(1,MAX(0,AC320+INDEX('Facilities'!$AK$9:$AK$108,MATCH(C320,'Facilities'!$C$9:$C$108,0))-D320+1))-1),0))))</x:f>
        <x:v>0</x:v>
      </x:c>
      <x:c r="AH320" s="21" t="n">
        <x:f>IF(C320="","",IF(AQ320&lt;&gt;"Ready","Unavailable",IF(C320="","",O320+P320)))</x:f>
        <x:v>2.6899982800000006</x:v>
      </x:c>
      <x:c r="AI320" s="21" t="n">
        <x:f>IF(C320="","",IF(AQ320&lt;&gt;"Ready","Unavailable",IF(C320="","",Z320-Y320)))</x:f>
        <x:v>0.3624943086096279</x:v>
      </x:c>
      <x:c r="AJ320" s="23" t="n">
        <x:f>IF(C320="","",IFERROR(MAX(0,INDEX('Facilities'!$J$9:$J$108,MATCH(C320,'Facilities'!$C$9:$C$108,0))-D320),"Unavailable"))</x:f>
        <x:v>1</x:v>
      </x:c>
      <x:c r="AK320" s="21" t="n">
        <x:f>IF(C320="","",IFERROR(AL220,"Unavailable"))</x:f>
        <x:v>0</x:v>
      </x:c>
      <x:c r="AL320" s="23" t="n">
        <x:f>IF(C320="","",IFERROR(IF(P320&gt;0,P320*(1-AM320/(1+INDEX('Facilities'!$K$9:$K$108,MATCH(C320,'Facilities'!$C$9:$C$108,0)))^MAX(0,AC320+INDEX('Facilities'!$AK$9:$AK$108,MATCH(C320,'Facilities'!$C$9:$C$108,0))-D320)),0),"Unavailable"))</x:f>
        <x:v>0</x:v>
      </x:c>
      <x:c r="AM320" s="30" t="n">
        <x:f>IF(C320="","",IFERROR(INDEX('Facilities'!$AL$9:$AL$108,MATCH(C320,'Facilities'!$C$9:$C$108,0)),"Unavailable"))</x:f>
        <x:v>0.55</x:v>
      </x:c>
      <x:c r="AN320" s="30" t="n">
        <x:f>IF(C320="","",IFERROR(INDEX(Credit!$T$309:$T$408,MATCH(F320,Credit!$C$309:$C$408,0)),"Unavailable"))</x:f>
        <x:v>0.00312</x:v>
      </x:c>
      <x:c r="AO320" s="23" t="n">
        <x:f>IF(C320="","",IF(AQ320&lt;&gt;"Ready","Unavailable",IF(C320="","",O320+P320+Q320*INDEX('Facilities'!$I$9:$I$108,MATCH(C320,'Facilities'!$C$9:$C$108,0)))))</x:f>
        <x:v>2.8571507800000004</x:v>
      </x:c>
      <x:c r="AP320" s="21" t="n">
        <x:f>IF(C320="","",IF(AQ320&lt;&gt;"Ready","Unavailable",IF(C320="","",AH320-U320)))</x:f>
        <x:v>2.60699344133028</x:v>
      </x:c>
      <x:c r="AQ320" s="23" t="str">
        <x:f>IFERROR(IF(C320="","",IF(AND(INDEX('Facilities'!$AF$9:$AF$108,MATCH(C320,'Facilities'!$C$9:$C$108,0))="Ready",INDEX(Credit!$U$309:$U$408,MATCH(F320,Credit!$C$309:$C$408,0))="Ready",ISNUMBER(W320)),"Ready","Review inputs")),"Review inputs")</x:f>
        <x:v>Ready</x:v>
      </x:c>
      <x:c r="AR320" s="23" t="n">
        <x:f>IF(C320="","",IF(AQ320&lt;&gt;"Ready","Unavailable",IF(C320="","",IF(O320=0,0,(IF(AJ320&lt;=1,O320,O320*INDEX('Facilities'!$R$9:$R$108,MATCH(C320,'Facilities'!$C$9:$C$108,0)))+O320*INDEX('Facilities'!$T$9:$T$108,MATCH(C320,'Facilities'!$C$9:$C$108,0)))/12))))</x:f>
        <x:v>0.24546234305000006</x:v>
      </x:c>
    </x:row>
    <x:row r="321" ht="26" customHeight="1">
      <x:c r="A321" s="1"/>
      <x:c r="B321" s="1"/>
      <x:c r="C321" s="9" t="str">
        <x:f>IF(Facilities!C21="","",Facilities!C21)</x:f>
        <x:v>F013</x:v>
      </x:c>
      <x:c r="D321" s="3" t="n">
        <x:v>4</x:v>
      </x:c>
      <x:c r="E321" s="9" t="n">
        <x:f>Settings!$F$18+3</x:f>
        <x:v>2030</x:v>
      </x:c>
      <x:c r="F321" s="9" t="str">
        <x:f>IF(C321="","",IFERROR(INDEX('Facilities'!$D$9:$D$108,MATCH(C321,'Facilities'!$C$9:$C$108,0)),"Unavailable"))</x:f>
        <x:v>B007</x:v>
      </x:c>
      <x:c r="G321" s="21" t="n">
        <x:f>IF(C321="","",IFERROR(O221,"Unavailable"))</x:f>
        <x:v>5.1935012</x:v>
      </x:c>
      <x:c r="H321" s="21" t="n">
        <x:f>IF(C321="","",IFERROR(P221,"Unavailable"))</x:f>
        <x:v>0</x:v>
      </x:c>
      <x:c r="I321" s="21" t="n">
        <x:f>IF(C321="","",IFERROR(Q221,"Unavailable"))</x:f>
        <x:v>1.11435</x:v>
      </x:c>
      <x:c r="J321" s="23" t="n">
        <x:f>IF(C321="","",IFERROR(IF(OR(H321&gt;0,AND(AC321&gt;=0,AC321&lt;D321),D321&gt;INDEX('Facilities'!$J$9:$J$108,MATCH(C321,'Facilities'!$C$9:$C$108,0))),0,I321*'Scenario Paths'!I81),"Unavailable"))</x:f>
        <x:v>0.111435</x:v>
      </x:c>
      <x:c r="K321" s="23" t="n">
        <x:f>IF(C321="","",IFERROR(IF(OR(H321&gt;0,AND(AC321&gt;=0,AC321=D321)),0,IF(D321&gt;=INDEX('Facilities'!$J$9:$J$108,MATCH(C321,'Facilities'!$C$9:$C$108,0)),G321+J321,MIN(G321+J321,G321*INDEX('Facilities'!$R$9:$R$108,MATCH(C321,'Facilities'!$C$9:$C$108,0))))),"Unavailable"))</x:f>
        <x:v>0.623220144</x:v>
      </x:c>
      <x:c r="L321" s="21" t="n">
        <x:f>IF(C321="","",IFERROR(IF(AND(AC321=D321,AC321&gt;0),MAX(0,G321+J321-K321),0),"Unavailable"))</x:f>
        <x:v>0</x:v>
      </x:c>
      <x:c r="M321" s="23" t="n">
        <x:f>IF(C321="","",IFERROR(IF(AND(AC321&gt;=0,D321&gt;=AC321+INDEX('Facilities'!$AK$9:$AK$108,MATCH(C321,'Facilities'!$C$9:$C$108,0))),(H321+L321)*AM321,0),"Unavailable"))</x:f>
        <x:v>0</x:v>
      </x:c>
      <x:c r="N321" s="23" t="n">
        <x:f>IF(C321="","",IFERROR(IF(AND(AC321&gt;=0,D321&gt;=AC321+INDEX('Facilities'!$AK$9:$AK$108,MATCH(C321,'Facilities'!$C$9:$C$108,0))),H321+L321-M321,0),"Unavailable"))</x:f>
        <x:v>0</x:v>
      </x:c>
      <x:c r="O321" s="21" t="n">
        <x:f>IF(C321="","",IFERROR(MAX(0,G321+J321-K321-L321),"Unavailable"))</x:f>
        <x:v>4.681716056</x:v>
      </x:c>
      <x:c r="P321" s="21" t="n">
        <x:f>IF(C321="","",IFERROR(MAX(0,H321+L321-M321-N321),"Unavailable"))</x:f>
        <x:v>0</x:v>
      </x:c>
      <x:c r="Q321" s="23" t="n">
        <x:f>IF(C321="","",IFERROR(IF(OR(D321&gt;=INDEX('Facilities'!$J$9:$J$108,MATCH(C321,'Facilities'!$C$9:$C$108,0)),AND(AC321&gt;=0,AC321&lt;=D321)),0,MAX(0,I321-J321)),"Unavailable"))</x:f>
        <x:v>1.002915</x:v>
      </x:c>
      <x:c r="R321" s="30" t="n">
        <x:f>IF(C321="","",IFERROR(INDEX(Credit!$Q$309:$Q$408,MATCH(F321,Credit!$C$309:$C$408,0)),"Unavailable"))</x:f>
        <x:v>0.044716815177334876</x:v>
      </x:c>
      <x:c r="S321" s="30" t="n">
        <x:f>IF(C321="","",IFERROR(INDEX(Credit!$R$309:$R$408,MATCH(F321,Credit!$C$309:$C$408,0)),"Unavailable"))</x:f>
        <x:v>0.32182784000000003</x:v>
      </x:c>
      <x:c r="T321" s="23" t="n">
        <x:f>IF(C321="","",IFERROR(IF(P321&gt;0,3,IF(OR(INDEX('Facilities'!$AD$9:$AD$108,MATCH(C321,'Facilities'!$C$9:$C$108,0))=2,AND(R321&gt;=INDEX('Facilities'!$L$9:$L$108,MATCH(C321,'Facilities'!$C$9:$C$108,0))*Settings!$F$19,R321-INDEX('Facilities'!$L$9:$L$108,MATCH(C321,'Facilities'!$C$9:$C$108,0))&gt;=Settings!$F$20)),2,1)),"Unavailable"))</x:f>
        <x:v>2</x:v>
      </x:c>
      <x:c r="U321" s="23" t="n">
        <x:f>IF(C321="","",IF(AQ321&lt;&gt;"Ready","Unavailable",IF(C321="","",O321*(1-(1-S321)/(1+INDEX('Facilities'!$K$9:$K$108,MATCH(C321,'Facilities'!$C$9:$C$108,0)))^INDEX('Facilities'!$AK$9:$AK$108,MATCH(C321,'Facilities'!$C$9:$C$108,0)))*R321/(1+INDEX('Facilities'!$K$9:$K$108,MATCH(C321,'Facilities'!$C$9:$C$108,0)))*IF(ABS(1-(1-R321)*(1-INDEX('Facilities'!$R$9:$R$108,MATCH(C321,'Facilities'!$C$9:$C$108,0)))/(1+INDEX('Facilities'!$K$9:$K$108,MATCH(C321,'Facilities'!$C$9:$C$108,0))))&lt;0.000000001,IF(T321=1,MIN(1,AJ321),AJ321),(1-((1-R321)*(1-INDEX('Facilities'!$R$9:$R$108,MATCH(C321,'Facilities'!$C$9:$C$108,0)))/(1+INDEX('Facilities'!$K$9:$K$108,MATCH(C321,'Facilities'!$C$9:$C$108,0))))^IF(T321=1,MIN(1,AJ321),AJ321))/(1-(1-R321)*(1-INDEX('Facilities'!$R$9:$R$108,MATCH(C321,'Facilities'!$C$9:$C$108,0)))/(1+INDEX('Facilities'!$K$9:$K$108,MATCH(C321,'Facilities'!$C$9:$C$108,0)))))+AL321)))</x:f>
        <x:v>0.14429507350869894</x:v>
      </x:c>
      <x:c r="V321" s="23" t="n">
        <x:f>IF(C321="","",IF(AQ321&lt;&gt;"Ready","Unavailable",IF(C321="","",Q321*INDEX('Facilities'!$I$9:$I$108,MATCH(C321,'Facilities'!$C$9:$C$108,0))*(1-(1-S321)/(1+INDEX('Facilities'!$K$9:$K$108,MATCH(C321,'Facilities'!$C$9:$C$108,0)))^INDEX('Facilities'!$AK$9:$AK$108,MATCH(C321,'Facilities'!$C$9:$C$108,0)))*R321/(1+INDEX('Facilities'!$K$9:$K$108,MATCH(C321,'Facilities'!$C$9:$C$108,0)))*IF(ABS(1-(1-R321)*(1-0)/(1+INDEX('Facilities'!$K$9:$K$108,MATCH(C321,'Facilities'!$C$9:$C$108,0))))&lt;0.000000001,IF(T321=1,MIN(1,AJ321),AJ321),(1-((1-R321)*(1-0)/(1+INDEX('Facilities'!$K$9:$K$108,MATCH(C321,'Facilities'!$C$9:$C$108,0))))^IF(T321=1,MIN(1,AJ321),AJ321))/(1-(1-R321)*(1-0)/(1+INDEX('Facilities'!$K$9:$K$108,MATCH(C321,'Facilities'!$C$9:$C$108,0))))))))</x:f>
        <x:v>0.01637786770811616</x:v>
      </x:c>
      <x:c r="W321" s="21" t="n">
        <x:f>IF(C321="","",IFERROR(U221,"Unavailable"))</x:f>
        <x:v>0.21055219043376808</x:v>
      </x:c>
      <x:c r="X321" s="21" t="n">
        <x:f>IF(C321="","",IFERROR(V221,"Unavailable"))</x:f>
        <x:v>0.025268344189295914</x:v>
      </x:c>
      <x:c r="Y321" s="21" t="n">
        <x:f>IF(C321="","",IF(AQ321&lt;&gt;"Ready","Unavailable",IF(C321="","",U321-W321+V321-X321+N321+AG321)))</x:f>
        <x:v>-0.0751475934062489</x:v>
      </x:c>
      <x:c r="Z321" s="23" t="n">
        <x:f>IF(C321="","",IF(AQ321&lt;&gt;"Ready","Unavailable",IF(C321="","",(G321+O321+L321)/2*INDEX('Facilities'!$T$9:$T$108,MATCH(C321,'Facilities'!$C$9:$C$108,0))+AG321)))</x:f>
        <x:v>0.46907281966</x:v>
      </x:c>
      <x:c r="AA321" s="23" t="n">
        <x:f>IF(C321="","",IF(AQ321&lt;&gt;"Ready","Unavailable",IF(C321="","",O321*(1-IF(INDEX('Facilities'!$AA$9:$AA$108,MATCH(C321,'Facilities'!$C$9:$C$108,0))=0,0,MIN(1,INDEX('Facilities'!$X$9:$X$108,MATCH(C321,'Facilities'!$C$9:$C$108,0))/INDEX('Facilities'!$AA$9:$AA$108,MATCH(C321,'Facilities'!$C$9:$C$108,0)))))*AF321+P321*(1-IF(INDEX('Facilities'!$AA$9:$AA$108,MATCH(C321,'Facilities'!$C$9:$C$108,0))=0,0,MIN(1,INDEX('Facilities'!$X$9:$X$108,MATCH(C321,'Facilities'!$C$9:$C$108,0))/INDEX('Facilities'!$AA$9:$AA$108,MATCH(C321,'Facilities'!$C$9:$C$108,0)))))*INDEX('Facilities'!$AJ$9:$AJ$108,MATCH(C321,'Facilities'!$C$9:$C$108,0))+Q321*INDEX('Facilities'!$AI$9:$AI$108,MATCH(C321,'Facilities'!$C$9:$C$108,0))*AF321)))</x:f>
        <x:v>6.434022470862399</x:v>
      </x:c>
      <x:c r="AB321" s="21" t="n">
        <x:f>IF(C321="","",O321+P321-AD321)</x:f>
        <x:v>-0.5117851440000001</x:v>
      </x:c>
      <x:c r="AC321" s="23" t="n">
        <x:f>IF(C321="","",IFERROR(IF(INDEX('Facilities'!$AD$9:$AD$108,MATCH(C321,'Facilities'!$C$9:$C$108,0))=3,0,IF(INDEX('Facilities'!$AN$9:$AN$108,MATCH(C321,'Facilities'!$C$9:$C$108,0))=0,-1,INDEX('Facilities'!$AN$9:$AN$108,MATCH(C321,'Facilities'!$C$9:$C$108,0)))),"Unavailable"))</x:f>
        <x:v>-1</x:v>
      </x:c>
      <x:c r="AD321" s="21" t="n">
        <x:f>IF(C321="","",IFERROR(G321+H321,"Unavailable"))</x:f>
        <x:v>5.1935012</x:v>
      </x:c>
      <x:c r="AE321" s="21" t="n">
        <x:f>IF(C321="","",IF(AQ321&lt;&gt;"Ready","Unavailable",IF(C321="","",O321+P321-AD321-J321+K321+M321+N321)))</x:f>
        <x:v>0</x:v>
      </x:c>
      <x:c r="AF321" s="30" t="n">
        <x:f>IF(C321="","",IFERROR(INDEX('Facilities'!$S$9:$S$108,MATCH(C321,'Facilities'!$C$9:$C$108,0))*'Scenario Paths'!I75,"Unavailable"))</x:f>
        <x:v>1.25</x:v>
      </x:c>
      <x:c r="AG321" s="23" t="n">
        <x:f>IF(C321="","",IF(AQ321&lt;&gt;"Ready","Unavailable",IF(C321="","",IF(H321&gt;0,MAX(0,H321-AK321)*((1+INDEX('Facilities'!$K$9:$K$108,MATCH(C321,'Facilities'!$C$9:$C$108,0)))^MIN(1,MAX(0,AC321+INDEX('Facilities'!$AK$9:$AK$108,MATCH(C321,'Facilities'!$C$9:$C$108,0))-D321+1))-1),0))))</x:f>
        <x:v>0</x:v>
      </x:c>
      <x:c r="AH321" s="21" t="n">
        <x:f>IF(C321="","",IF(AQ321&lt;&gt;"Ready","Unavailable",IF(C321="","",O321+P321)))</x:f>
        <x:v>4.681716056</x:v>
      </x:c>
      <x:c r="AI321" s="21" t="n">
        <x:f>IF(C321="","",IF(AQ321&lt;&gt;"Ready","Unavailable",IF(C321="","",Z321-Y321)))</x:f>
        <x:v>0.5442204130662489</x:v>
      </x:c>
      <x:c r="AJ321" s="23" t="n">
        <x:f>IF(C321="","",IFERROR(MAX(0,INDEX('Facilities'!$J$9:$J$108,MATCH(C321,'Facilities'!$C$9:$C$108,0))-D321),"Unavailable"))</x:f>
        <x:v>2</x:v>
      </x:c>
      <x:c r="AK321" s="21" t="n">
        <x:f>IF(C321="","",IFERROR(AL221,"Unavailable"))</x:f>
        <x:v>0</x:v>
      </x:c>
      <x:c r="AL321" s="23" t="n">
        <x:f>IF(C321="","",IFERROR(IF(P321&gt;0,P321*(1-AM321/(1+INDEX('Facilities'!$K$9:$K$108,MATCH(C321,'Facilities'!$C$9:$C$108,0)))^MAX(0,AC321+INDEX('Facilities'!$AK$9:$AK$108,MATCH(C321,'Facilities'!$C$9:$C$108,0))-D321)),0),"Unavailable"))</x:f>
        <x:v>0</x:v>
      </x:c>
      <x:c r="AM321" s="30" t="n">
        <x:f>IF(C321="","",IFERROR(INDEX('Facilities'!$AL$9:$AL$108,MATCH(C321,'Facilities'!$C$9:$C$108,0)),"Unavailable"))</x:f>
        <x:v>0.55</x:v>
      </x:c>
      <x:c r="AN321" s="30" t="n">
        <x:f>IF(C321="","",IFERROR(INDEX(Credit!$T$309:$T$408,MATCH(F321,Credit!$C$309:$C$408,0)),"Unavailable"))</x:f>
        <x:v>0.0026880000000000003</x:v>
      </x:c>
      <x:c r="AO321" s="23" t="n">
        <x:f>IF(C321="","",IF(AQ321&lt;&gt;"Ready","Unavailable",IF(C321="","",O321+P321+Q321*INDEX('Facilities'!$I$9:$I$108,MATCH(C321,'Facilities'!$C$9:$C$108,0)))))</x:f>
        <x:v>5.183173556</x:v>
      </x:c>
      <x:c r="AP321" s="21" t="n">
        <x:f>IF(C321="","",IF(AQ321&lt;&gt;"Ready","Unavailable",IF(C321="","",AH321-U321)))</x:f>
        <x:v>4.537420982491301</x:v>
      </x:c>
      <x:c r="AQ321" s="23" t="str">
        <x:f>IFERROR(IF(C321="","",IF(AND(INDEX('Facilities'!$AF$9:$AF$108,MATCH(C321,'Facilities'!$C$9:$C$108,0))="Ready",INDEX(Credit!$U$309:$U$408,MATCH(F321,Credit!$C$309:$C$408,0))="Ready",ISNUMBER(W321)),"Ready","Review inputs")),"Review inputs")</x:f>
        <x:v>Ready</x:v>
      </x:c>
      <x:c r="AR321" s="23" t="n">
        <x:f>IF(C321="","",IF(AQ321&lt;&gt;"Ready","Unavailable",IF(C321="","",IF(O321=0,0,(IF(AJ321&lt;=1,O321,O321*INDEX('Facilities'!$R$9:$R$108,MATCH(C321,'Facilities'!$C$9:$C$108,0)))+O321*INDEX('Facilities'!$T$9:$T$108,MATCH(C321,'Facilities'!$C$9:$C$108,0)))/12))))</x:f>
        <x:v>0.08388074600333333</x:v>
      </x:c>
    </x:row>
    <x:row r="322" ht="26" customHeight="1">
      <x:c r="A322" s="1"/>
      <x:c r="B322" s="1"/>
      <x:c r="C322" s="9" t="str">
        <x:f>IF(Facilities!C22="","",Facilities!C22)</x:f>
        <x:v>F014</x:v>
      </x:c>
      <x:c r="D322" s="3" t="n">
        <x:v>4</x:v>
      </x:c>
      <x:c r="E322" s="9" t="n">
        <x:f>Settings!$F$18+3</x:f>
        <x:v>2030</x:v>
      </x:c>
      <x:c r="F322" s="9" t="str">
        <x:f>IF(C322="","",IFERROR(INDEX('Facilities'!$D$9:$D$108,MATCH(C322,'Facilities'!$C$9:$C$108,0)),"Unavailable"))</x:f>
        <x:v>B007</x:v>
      </x:c>
      <x:c r="G322" s="21" t="n">
        <x:f>IF(C322="","",IFERROR(O222,"Unavailable"))</x:f>
        <x:v>3.2531212000000007</x:v>
      </x:c>
      <x:c r="H322" s="21" t="n">
        <x:f>IF(C322="","",IFERROR(P222,"Unavailable"))</x:f>
        <x:v>0</x:v>
      </x:c>
      <x:c r="I322" s="21" t="n">
        <x:f>IF(C322="","",IFERROR(Q222,"Unavailable"))</x:f>
        <x:v>0.37145</x:v>
      </x:c>
      <x:c r="J322" s="23" t="n">
        <x:f>IF(C322="","",IFERROR(IF(OR(H322&gt;0,AND(AC322&gt;=0,AC322&lt;D322),D322&gt;INDEX('Facilities'!$J$9:$J$108,MATCH(C322,'Facilities'!$C$9:$C$108,0))),0,I322*'Scenario Paths'!I81),"Unavailable"))</x:f>
        <x:v>0.037145000000000004</x:v>
      </x:c>
      <x:c r="K322" s="23" t="n">
        <x:f>IF(C322="","",IFERROR(IF(OR(H322&gt;0,AND(AC322&gt;=0,AC322=D322)),0,IF(D322&gt;=INDEX('Facilities'!$J$9:$J$108,MATCH(C322,'Facilities'!$C$9:$C$108,0)),G322+J322,MIN(G322+J322,G322*INDEX('Facilities'!$R$9:$R$108,MATCH(C322,'Facilities'!$C$9:$C$108,0))))),"Unavailable"))</x:f>
        <x:v>0.39037454400000005</x:v>
      </x:c>
      <x:c r="L322" s="21" t="n">
        <x:f>IF(C322="","",IFERROR(IF(AND(AC322=D322,AC322&gt;0),MAX(0,G322+J322-K322),0),"Unavailable"))</x:f>
        <x:v>0</x:v>
      </x:c>
      <x:c r="M322" s="23" t="n">
        <x:f>IF(C322="","",IFERROR(IF(AND(AC322&gt;=0,D322&gt;=AC322+INDEX('Facilities'!$AK$9:$AK$108,MATCH(C322,'Facilities'!$C$9:$C$108,0))),(H322+L322)*AM322,0),"Unavailable"))</x:f>
        <x:v>0</x:v>
      </x:c>
      <x:c r="N322" s="23" t="n">
        <x:f>IF(C322="","",IFERROR(IF(AND(AC322&gt;=0,D322&gt;=AC322+INDEX('Facilities'!$AK$9:$AK$108,MATCH(C322,'Facilities'!$C$9:$C$108,0))),H322+L322-M322,0),"Unavailable"))</x:f>
        <x:v>0</x:v>
      </x:c>
      <x:c r="O322" s="21" t="n">
        <x:f>IF(C322="","",IFERROR(MAX(0,G322+J322-K322-L322),"Unavailable"))</x:f>
        <x:v>2.8998916560000008</x:v>
      </x:c>
      <x:c r="P322" s="21" t="n">
        <x:f>IF(C322="","",IFERROR(MAX(0,H322+L322-M322-N322),"Unavailable"))</x:f>
        <x:v>0</x:v>
      </x:c>
      <x:c r="Q322" s="23" t="n">
        <x:f>IF(C322="","",IFERROR(IF(OR(D322&gt;=INDEX('Facilities'!$J$9:$J$108,MATCH(C322,'Facilities'!$C$9:$C$108,0)),AND(AC322&gt;=0,AC322&lt;=D322)),0,MAX(0,I322-J322)),"Unavailable"))</x:f>
        <x:v>0.334305</x:v>
      </x:c>
      <x:c r="R322" s="30" t="n">
        <x:f>IF(C322="","",IFERROR(INDEX(Credit!$Q$309:$Q$408,MATCH(F322,Credit!$C$309:$C$408,0)),"Unavailable"))</x:f>
        <x:v>0.044716815177334876</x:v>
      </x:c>
      <x:c r="S322" s="30" t="n">
        <x:f>IF(C322="","",IFERROR(INDEX(Credit!$R$309:$R$408,MATCH(F322,Credit!$C$309:$C$408,0)),"Unavailable"))</x:f>
        <x:v>0.32182784000000003</x:v>
      </x:c>
      <x:c r="T322" s="23" t="n">
        <x:f>IF(C322="","",IFERROR(IF(P322&gt;0,3,IF(OR(INDEX('Facilities'!$AD$9:$AD$108,MATCH(C322,'Facilities'!$C$9:$C$108,0))=2,AND(R322&gt;=INDEX('Facilities'!$L$9:$L$108,MATCH(C322,'Facilities'!$C$9:$C$108,0))*Settings!$F$19,R322-INDEX('Facilities'!$L$9:$L$108,MATCH(C322,'Facilities'!$C$9:$C$108,0))&gt;=Settings!$F$20)),2,1)),"Unavailable"))</x:f>
        <x:v>2</x:v>
      </x:c>
      <x:c r="U322" s="23" t="n">
        <x:f>IF(C322="","",IF(AQ322&lt;&gt;"Ready","Unavailable",IF(C322="","",O322*(1-(1-S322)/(1+INDEX('Facilities'!$K$9:$K$108,MATCH(C322,'Facilities'!$C$9:$C$108,0)))^INDEX('Facilities'!$AK$9:$AK$108,MATCH(C322,'Facilities'!$C$9:$C$108,0)))*R322/(1+INDEX('Facilities'!$K$9:$K$108,MATCH(C322,'Facilities'!$C$9:$C$108,0)))*IF(ABS(1-(1-R322)*(1-INDEX('Facilities'!$R$9:$R$108,MATCH(C322,'Facilities'!$C$9:$C$108,0)))/(1+INDEX('Facilities'!$K$9:$K$108,MATCH(C322,'Facilities'!$C$9:$C$108,0))))&lt;0.000000001,IF(T322=1,MIN(1,AJ322),AJ322),(1-((1-R322)*(1-INDEX('Facilities'!$R$9:$R$108,MATCH(C322,'Facilities'!$C$9:$C$108,0)))/(1+INDEX('Facilities'!$K$9:$K$108,MATCH(C322,'Facilities'!$C$9:$C$108,0))))^IF(T322=1,MIN(1,AJ322),AJ322))/(1-(1-R322)*(1-INDEX('Facilities'!$R$9:$R$108,MATCH(C322,'Facilities'!$C$9:$C$108,0)))/(1+INDEX('Facilities'!$K$9:$K$108,MATCH(C322,'Facilities'!$C$9:$C$108,0)))))+AL322)))</x:f>
        <x:v>0.08937750061401475</x:v>
      </x:c>
      <x:c r="V322" s="23" t="n">
        <x:f>IF(C322="","",IF(AQ322&lt;&gt;"Ready","Unavailable",IF(C322="","",Q322*INDEX('Facilities'!$I$9:$I$108,MATCH(C322,'Facilities'!$C$9:$C$108,0))*(1-(1-S322)/(1+INDEX('Facilities'!$K$9:$K$108,MATCH(C322,'Facilities'!$C$9:$C$108,0)))^INDEX('Facilities'!$AK$9:$AK$108,MATCH(C322,'Facilities'!$C$9:$C$108,0)))*R322/(1+INDEX('Facilities'!$K$9:$K$108,MATCH(C322,'Facilities'!$C$9:$C$108,0)))*IF(ABS(1-(1-R322)*(1-0)/(1+INDEX('Facilities'!$K$9:$K$108,MATCH(C322,'Facilities'!$C$9:$C$108,0))))&lt;0.000000001,IF(T322=1,MIN(1,AJ322),AJ322),(1-((1-R322)*(1-0)/(1+INDEX('Facilities'!$K$9:$K$108,MATCH(C322,'Facilities'!$C$9:$C$108,0))))^IF(T322=1,MIN(1,AJ322),AJ322))/(1-(1-R322)*(1-0)/(1+INDEX('Facilities'!$K$9:$K$108,MATCH(C322,'Facilities'!$C$9:$C$108,0))))))))</x:f>
        <x:v>0.00545928923603872</x:v>
      </x:c>
      <x:c r="W322" s="21" t="n">
        <x:f>IF(C322="","",IFERROR(U222,"Unavailable"))</x:f>
        <x:v>0.13188632639702252</x:v>
      </x:c>
      <x:c r="X322" s="21" t="n">
        <x:f>IF(C322="","",IFERROR(V222,"Unavailable"))</x:f>
        <x:v>0.008422781396431973</x:v>
      </x:c>
      <x:c r="Y322" s="21" t="n">
        <x:f>IF(C322="","",IF(AQ322&lt;&gt;"Ready","Unavailable",IF(C322="","",U322-W322+V322-X322+N322+AG322)))</x:f>
        <x:v>-0.04547231794340102</x:v>
      </x:c>
      <x:c r="Z322" s="23" t="n">
        <x:f>IF(C322="","",IF(AQ322&lt;&gt;"Ready","Unavailable",IF(C322="","",(G322+O322+L322)/2*INDEX('Facilities'!$T$9:$T$108,MATCH(C322,'Facilities'!$C$9:$C$108,0))+AG322)))</x:f>
        <x:v>0.2922681106600001</x:v>
      </x:c>
      <x:c r="AA322" s="23" t="n">
        <x:f>IF(C322="","",IF(AQ322&lt;&gt;"Ready","Unavailable",IF(C322="","",O322*(1-IF(INDEX('Facilities'!$AA$9:$AA$108,MATCH(C322,'Facilities'!$C$9:$C$108,0))=0,0,MIN(1,INDEX('Facilities'!$X$9:$X$108,MATCH(C322,'Facilities'!$C$9:$C$108,0))/INDEX('Facilities'!$AA$9:$AA$108,MATCH(C322,'Facilities'!$C$9:$C$108,0)))))*AF322+P322*(1-IF(INDEX('Facilities'!$AA$9:$AA$108,MATCH(C322,'Facilities'!$C$9:$C$108,0))=0,0,MIN(1,INDEX('Facilities'!$X$9:$X$108,MATCH(C322,'Facilities'!$C$9:$C$108,0))/INDEX('Facilities'!$AA$9:$AA$108,MATCH(C322,'Facilities'!$C$9:$C$108,0)))))*INDEX('Facilities'!$AJ$9:$AJ$108,MATCH(C322,'Facilities'!$C$9:$C$108,0))+Q322*INDEX('Facilities'!$AI$9:$AI$108,MATCH(C322,'Facilities'!$C$9:$C$108,0))*AF322)))</x:f>
        <x:v>3.8059662351024004</x:v>
      </x:c>
      <x:c r="AB322" s="21" t="n">
        <x:f>IF(C322="","",O322+P322-AD322)</x:f>
        <x:v>-0.35322954399999995</x:v>
      </x:c>
      <x:c r="AC322" s="23" t="n">
        <x:f>IF(C322="","",IFERROR(IF(INDEX('Facilities'!$AD$9:$AD$108,MATCH(C322,'Facilities'!$C$9:$C$108,0))=3,0,IF(INDEX('Facilities'!$AN$9:$AN$108,MATCH(C322,'Facilities'!$C$9:$C$108,0))=0,-1,INDEX('Facilities'!$AN$9:$AN$108,MATCH(C322,'Facilities'!$C$9:$C$108,0)))),"Unavailable"))</x:f>
        <x:v>-1</x:v>
      </x:c>
      <x:c r="AD322" s="21" t="n">
        <x:f>IF(C322="","",IFERROR(G322+H322,"Unavailable"))</x:f>
        <x:v>3.2531212000000007</x:v>
      </x:c>
      <x:c r="AE322" s="21" t="n">
        <x:f>IF(C322="","",IF(AQ322&lt;&gt;"Ready","Unavailable",IF(C322="","",O322+P322-AD322-J322+K322+M322+N322)))</x:f>
        <x:v>1.1102230246251565e-16</x:v>
      </x:c>
      <x:c r="AF322" s="30" t="n">
        <x:f>IF(C322="","",IFERROR(INDEX('Facilities'!$S$9:$S$108,MATCH(C322,'Facilities'!$C$9:$C$108,0))*'Scenario Paths'!I75,"Unavailable"))</x:f>
        <x:v>1.25</x:v>
      </x:c>
      <x:c r="AG322" s="23" t="n">
        <x:f>IF(C322="","",IF(AQ322&lt;&gt;"Ready","Unavailable",IF(C322="","",IF(H322&gt;0,MAX(0,H322-AK322)*((1+INDEX('Facilities'!$K$9:$K$108,MATCH(C322,'Facilities'!$C$9:$C$108,0)))^MIN(1,MAX(0,AC322+INDEX('Facilities'!$AK$9:$AK$108,MATCH(C322,'Facilities'!$C$9:$C$108,0))-D322+1))-1),0))))</x:f>
        <x:v>0</x:v>
      </x:c>
      <x:c r="AH322" s="21" t="n">
        <x:f>IF(C322="","",IF(AQ322&lt;&gt;"Ready","Unavailable",IF(C322="","",O322+P322)))</x:f>
        <x:v>2.8998916560000008</x:v>
      </x:c>
      <x:c r="AI322" s="21" t="n">
        <x:f>IF(C322="","",IF(AQ322&lt;&gt;"Ready","Unavailable",IF(C322="","",Z322-Y322)))</x:f>
        <x:v>0.3377404286034011</x:v>
      </x:c>
      <x:c r="AJ322" s="23" t="n">
        <x:f>IF(C322="","",IFERROR(MAX(0,INDEX('Facilities'!$J$9:$J$108,MATCH(C322,'Facilities'!$C$9:$C$108,0))-D322),"Unavailable"))</x:f>
        <x:v>2</x:v>
      </x:c>
      <x:c r="AK322" s="21" t="n">
        <x:f>IF(C322="","",IFERROR(AL222,"Unavailable"))</x:f>
        <x:v>0</x:v>
      </x:c>
      <x:c r="AL322" s="23" t="n">
        <x:f>IF(C322="","",IFERROR(IF(P322&gt;0,P322*(1-AM322/(1+INDEX('Facilities'!$K$9:$K$108,MATCH(C322,'Facilities'!$C$9:$C$108,0)))^MAX(0,AC322+INDEX('Facilities'!$AK$9:$AK$108,MATCH(C322,'Facilities'!$C$9:$C$108,0))-D322)),0),"Unavailable"))</x:f>
        <x:v>0</x:v>
      </x:c>
      <x:c r="AM322" s="30" t="n">
        <x:f>IF(C322="","",IFERROR(INDEX('Facilities'!$AL$9:$AL$108,MATCH(C322,'Facilities'!$C$9:$C$108,0)),"Unavailable"))</x:f>
        <x:v>0.55</x:v>
      </x:c>
      <x:c r="AN322" s="30" t="n">
        <x:f>IF(C322="","",IFERROR(INDEX(Credit!$T$309:$T$408,MATCH(F322,Credit!$C$309:$C$408,0)),"Unavailable"))</x:f>
        <x:v>0.0026880000000000003</x:v>
      </x:c>
      <x:c r="AO322" s="23" t="n">
        <x:f>IF(C322="","",IF(AQ322&lt;&gt;"Ready","Unavailable",IF(C322="","",O322+P322+Q322*INDEX('Facilities'!$I$9:$I$108,MATCH(C322,'Facilities'!$C$9:$C$108,0)))))</x:f>
        <x:v>3.0670441560000006</x:v>
      </x:c>
      <x:c r="AP322" s="21" t="n">
        <x:f>IF(C322="","",IF(AQ322&lt;&gt;"Ready","Unavailable",IF(C322="","",AH322-U322)))</x:f>
        <x:v>2.810514155385986</x:v>
      </x:c>
      <x:c r="AQ322" s="23" t="str">
        <x:f>IFERROR(IF(C322="","",IF(AND(INDEX('Facilities'!$AF$9:$AF$108,MATCH(C322,'Facilities'!$C$9:$C$108,0))="Ready",INDEX(Credit!$U$309:$U$408,MATCH(F322,Credit!$C$309:$C$408,0))="Ready",ISNUMBER(W322)),"Ready","Review inputs")),"Review inputs")</x:f>
        <x:v>Ready</x:v>
      </x:c>
      <x:c r="AR322" s="23" t="n">
        <x:f>IF(C322="","",IF(AQ322&lt;&gt;"Ready","Unavailable",IF(C322="","",IF(O322=0,0,(IF(AJ322&lt;=1,O322,O322*INDEX('Facilities'!$R$9:$R$108,MATCH(C322,'Facilities'!$C$9:$C$108,0)))+O322*INDEX('Facilities'!$T$9:$T$108,MATCH(C322,'Facilities'!$C$9:$C$108,0)))/12))))</x:f>
        <x:v>0.05195639217000001</x:v>
      </x:c>
    </x:row>
    <x:row r="323" ht="26" customHeight="1">
      <x:c r="A323" s="1"/>
      <x:c r="B323" s="1"/>
      <x:c r="C323" s="9" t="str">
        <x:f>IF(Facilities!C23="","",Facilities!C23)</x:f>
        <x:v>F015</x:v>
      </x:c>
      <x:c r="D323" s="3" t="n">
        <x:v>4</x:v>
      </x:c>
      <x:c r="E323" s="9" t="n">
        <x:f>Settings!$F$18+3</x:f>
        <x:v>2030</x:v>
      </x:c>
      <x:c r="F323" s="9" t="str">
        <x:f>IF(C323="","",IFERROR(INDEX('Facilities'!$D$9:$D$108,MATCH(C323,'Facilities'!$C$9:$C$108,0)),"Unavailable"))</x:f>
        <x:v>B008</x:v>
      </x:c>
      <x:c r="G323" s="21" t="n">
        <x:f>IF(C323="","",IFERROR(O223,"Unavailable"))</x:f>
        <x:v>5.432016399999999</x:v>
      </x:c>
      <x:c r="H323" s="21" t="n">
        <x:f>IF(C323="","",IFERROR(P223,"Unavailable"))</x:f>
        <x:v>0</x:v>
      </x:c>
      <x:c r="I323" s="21" t="n">
        <x:f>IF(C323="","",IFERROR(Q223,"Unavailable"))</x:f>
        <x:v>1.11435</x:v>
      </x:c>
      <x:c r="J323" s="23" t="n">
        <x:f>IF(C323="","",IFERROR(IF(OR(H323&gt;0,AND(AC323&gt;=0,AC323&lt;D323),D323&gt;INDEX('Facilities'!$J$9:$J$108,MATCH(C323,'Facilities'!$C$9:$C$108,0))),0,I323*'Scenario Paths'!I81),"Unavailable"))</x:f>
        <x:v>0.111435</x:v>
      </x:c>
      <x:c r="K323" s="23" t="n">
        <x:f>IF(C323="","",IFERROR(IF(OR(H323&gt;0,AND(AC323&gt;=0,AC323=D323)),0,IF(D323&gt;=INDEX('Facilities'!$J$9:$J$108,MATCH(C323,'Facilities'!$C$9:$C$108,0)),G323+J323,MIN(G323+J323,G323*INDEX('Facilities'!$R$9:$R$108,MATCH(C323,'Facilities'!$C$9:$C$108,0))))),"Unavailable"))</x:f>
        <x:v>0.6518419679999999</x:v>
      </x:c>
      <x:c r="L323" s="21" t="n">
        <x:f>IF(C323="","",IFERROR(IF(AND(AC323=D323,AC323&gt;0),MAX(0,G323+J323-K323),0),"Unavailable"))</x:f>
        <x:v>0</x:v>
      </x:c>
      <x:c r="M323" s="23" t="n">
        <x:f>IF(C323="","",IFERROR(IF(AND(AC323&gt;=0,D323&gt;=AC323+INDEX('Facilities'!$AK$9:$AK$108,MATCH(C323,'Facilities'!$C$9:$C$108,0))),(H323+L323)*AM323,0),"Unavailable"))</x:f>
        <x:v>0</x:v>
      </x:c>
      <x:c r="N323" s="23" t="n">
        <x:f>IF(C323="","",IFERROR(IF(AND(AC323&gt;=0,D323&gt;=AC323+INDEX('Facilities'!$AK$9:$AK$108,MATCH(C323,'Facilities'!$C$9:$C$108,0))),H323+L323-M323,0),"Unavailable"))</x:f>
        <x:v>0</x:v>
      </x:c>
      <x:c r="O323" s="21" t="n">
        <x:f>IF(C323="","",IFERROR(MAX(0,G323+J323-K323-L323),"Unavailable"))</x:f>
        <x:v>4.891609431999999</x:v>
      </x:c>
      <x:c r="P323" s="21" t="n">
        <x:f>IF(C323="","",IFERROR(MAX(0,H323+L323-M323-N323),"Unavailable"))</x:f>
        <x:v>0</x:v>
      </x:c>
      <x:c r="Q323" s="23" t="n">
        <x:f>IF(C323="","",IFERROR(IF(OR(D323&gt;=INDEX('Facilities'!$J$9:$J$108,MATCH(C323,'Facilities'!$C$9:$C$108,0)),AND(AC323&gt;=0,AC323&lt;=D323)),0,MAX(0,I323-J323)),"Unavailable"))</x:f>
        <x:v>1.002915</x:v>
      </x:c>
      <x:c r="R323" s="30" t="n">
        <x:f>IF(C323="","",IFERROR(INDEX(Credit!$Q$309:$Q$408,MATCH(F323,Credit!$C$309:$C$408,0)),"Unavailable"))</x:f>
        <x:v>0.022889157528719447</x:v>
      </x:c>
      <x:c r="S323" s="30" t="n">
        <x:f>IF(C323="","",IFERROR(INDEX(Credit!$R$309:$R$408,MATCH(F323,Credit!$C$309:$C$408,0)),"Unavailable"))</x:f>
        <x:v>0.36337920000000007</x:v>
      </x:c>
      <x:c r="T323" s="23" t="n">
        <x:f>IF(C323="","",IFERROR(IF(P323&gt;0,3,IF(OR(INDEX('Facilities'!$AD$9:$AD$108,MATCH(C323,'Facilities'!$C$9:$C$108,0))=2,AND(R323&gt;=INDEX('Facilities'!$L$9:$L$108,MATCH(C323,'Facilities'!$C$9:$C$108,0))*Settings!$F$19,R323-INDEX('Facilities'!$L$9:$L$108,MATCH(C323,'Facilities'!$C$9:$C$108,0))&gt;=Settings!$F$20)),2,1)),"Unavailable"))</x:f>
        <x:v>1</x:v>
      </x:c>
      <x:c r="U323" s="23" t="n">
        <x:f>IF(C323="","",IF(AQ323&lt;&gt;"Ready","Unavailable",IF(C323="","",O323*(1-(1-S323)/(1+INDEX('Facilities'!$K$9:$K$108,MATCH(C323,'Facilities'!$C$9:$C$108,0)))^INDEX('Facilities'!$AK$9:$AK$108,MATCH(C323,'Facilities'!$C$9:$C$108,0)))*R323/(1+INDEX('Facilities'!$K$9:$K$108,MATCH(C323,'Facilities'!$C$9:$C$108,0)))*IF(ABS(1-(1-R323)*(1-INDEX('Facilities'!$R$9:$R$108,MATCH(C323,'Facilities'!$C$9:$C$108,0)))/(1+INDEX('Facilities'!$K$9:$K$108,MATCH(C323,'Facilities'!$C$9:$C$108,0))))&lt;0.000000001,IF(T323=1,MIN(1,AJ323),AJ323),(1-((1-R323)*(1-INDEX('Facilities'!$R$9:$R$108,MATCH(C323,'Facilities'!$C$9:$C$108,0)))/(1+INDEX('Facilities'!$K$9:$K$108,MATCH(C323,'Facilities'!$C$9:$C$108,0))))^IF(T323=1,MIN(1,AJ323),AJ323))/(1-(1-R323)*(1-INDEX('Facilities'!$R$9:$R$108,MATCH(C323,'Facilities'!$C$9:$C$108,0)))/(1+INDEX('Facilities'!$K$9:$K$108,MATCH(C323,'Facilities'!$C$9:$C$108,0)))))+AL323)))</x:f>
        <x:v>0.04708745503952143</x:v>
      </x:c>
      <x:c r="V323" s="23" t="n">
        <x:f>IF(C323="","",IF(AQ323&lt;&gt;"Ready","Unavailable",IF(C323="","",Q323*INDEX('Facilities'!$I$9:$I$108,MATCH(C323,'Facilities'!$C$9:$C$108,0))*(1-(1-S323)/(1+INDEX('Facilities'!$K$9:$K$108,MATCH(C323,'Facilities'!$C$9:$C$108,0)))^INDEX('Facilities'!$AK$9:$AK$108,MATCH(C323,'Facilities'!$C$9:$C$108,0)))*R323/(1+INDEX('Facilities'!$K$9:$K$108,MATCH(C323,'Facilities'!$C$9:$C$108,0)))*IF(ABS(1-(1-R323)*(1-0)/(1+INDEX('Facilities'!$K$9:$K$108,MATCH(C323,'Facilities'!$C$9:$C$108,0))))&lt;0.000000001,IF(T323=1,MIN(1,AJ323),AJ323),(1-((1-R323)*(1-0)/(1+INDEX('Facilities'!$K$9:$K$108,MATCH(C323,'Facilities'!$C$9:$C$108,0))))^IF(T323=1,MIN(1,AJ323),AJ323))/(1-(1-R323)*(1-0)/(1+INDEX('Facilities'!$K$9:$K$108,MATCH(C323,'Facilities'!$C$9:$C$108,0))))))))</x:f>
        <x:v>0.004827114227684075</x:v>
      </x:c>
      <x:c r="W323" s="21" t="n">
        <x:f>IF(C323="","",IFERROR(U223,"Unavailable"))</x:f>
        <x:v>0.06089203377599039</x:v>
      </x:c>
      <x:c r="X323" s="21" t="n">
        <x:f>IF(C323="","",IFERROR(V223,"Unavailable"))</x:f>
        <x:v>0.006245842505029522</x:v>
      </x:c>
      <x:c r="Y323" s="21" t="n">
        <x:f>IF(C323="","",IF(AQ323&lt;&gt;"Ready","Unavailable",IF(C323="","",U323-W323+V323-X323+N323+AG323)))</x:f>
        <x:v>-0.015223307013814406</x:v>
      </x:c>
      <x:c r="Z323" s="23" t="n">
        <x:f>IF(C323="","",IF(AQ323&lt;&gt;"Ready","Unavailable",IF(C323="","",(G323+O323+L323)/2*INDEX('Facilities'!$T$9:$T$108,MATCH(C323,'Facilities'!$C$9:$C$108,0))+AG323)))</x:f>
        <x:v>0.4903722270199999</x:v>
      </x:c>
      <x:c r="AA323" s="23" t="n">
        <x:f>IF(C323="","",IF(AQ323&lt;&gt;"Ready","Unavailable",IF(C323="","",O323*(1-IF(INDEX('Facilities'!$AA$9:$AA$108,MATCH(C323,'Facilities'!$C$9:$C$108,0))=0,0,MIN(1,INDEX('Facilities'!$X$9:$X$108,MATCH(C323,'Facilities'!$C$9:$C$108,0))/INDEX('Facilities'!$AA$9:$AA$108,MATCH(C323,'Facilities'!$C$9:$C$108,0)))))*AF323+P323*(1-IF(INDEX('Facilities'!$AA$9:$AA$108,MATCH(C323,'Facilities'!$C$9:$C$108,0))=0,0,MIN(1,INDEX('Facilities'!$X$9:$X$108,MATCH(C323,'Facilities'!$C$9:$C$108,0))/INDEX('Facilities'!$AA$9:$AA$108,MATCH(C323,'Facilities'!$C$9:$C$108,0)))))*INDEX('Facilities'!$AJ$9:$AJ$108,MATCH(C323,'Facilities'!$C$9:$C$108,0))+Q323*INDEX('Facilities'!$AI$9:$AI$108,MATCH(C323,'Facilities'!$C$9:$C$108,0))*AF323)))</x:f>
        <x:v>6.662089592201599</x:v>
      </x:c>
      <x:c r="AB323" s="21" t="n">
        <x:f>IF(C323="","",O323+P323-AD323)</x:f>
        <x:v>-0.5404069680000001</x:v>
      </x:c>
      <x:c r="AC323" s="23" t="n">
        <x:f>IF(C323="","",IFERROR(IF(INDEX('Facilities'!$AD$9:$AD$108,MATCH(C323,'Facilities'!$C$9:$C$108,0))=3,0,IF(INDEX('Facilities'!$AN$9:$AN$108,MATCH(C323,'Facilities'!$C$9:$C$108,0))=0,-1,INDEX('Facilities'!$AN$9:$AN$108,MATCH(C323,'Facilities'!$C$9:$C$108,0)))),"Unavailable"))</x:f>
        <x:v>-1</x:v>
      </x:c>
      <x:c r="AD323" s="21" t="n">
        <x:f>IF(C323="","",IFERROR(G323+H323,"Unavailable"))</x:f>
        <x:v>5.432016399999999</x:v>
      </x:c>
      <x:c r="AE323" s="21" t="n">
        <x:f>IF(C323="","",IF(AQ323&lt;&gt;"Ready","Unavailable",IF(C323="","",O323+P323-AD323-J323+K323+M323+N323)))</x:f>
        <x:v>-1.1102230246251565e-16</x:v>
      </x:c>
      <x:c r="AF323" s="30" t="n">
        <x:f>IF(C323="","",IFERROR(INDEX('Facilities'!$S$9:$S$108,MATCH(C323,'Facilities'!$C$9:$C$108,0))*'Scenario Paths'!I75,"Unavailable"))</x:f>
        <x:v>1.25</x:v>
      </x:c>
      <x:c r="AG323" s="23" t="n">
        <x:f>IF(C323="","",IF(AQ323&lt;&gt;"Ready","Unavailable",IF(C323="","",IF(H323&gt;0,MAX(0,H323-AK323)*((1+INDEX('Facilities'!$K$9:$K$108,MATCH(C323,'Facilities'!$C$9:$C$108,0)))^MIN(1,MAX(0,AC323+INDEX('Facilities'!$AK$9:$AK$108,MATCH(C323,'Facilities'!$C$9:$C$108,0))-D323+1))-1),0))))</x:f>
        <x:v>0</x:v>
      </x:c>
      <x:c r="AH323" s="21" t="n">
        <x:f>IF(C323="","",IF(AQ323&lt;&gt;"Ready","Unavailable",IF(C323="","",O323+P323)))</x:f>
        <x:v>4.891609431999999</x:v>
      </x:c>
      <x:c r="AI323" s="21" t="n">
        <x:f>IF(C323="","",IF(AQ323&lt;&gt;"Ready","Unavailable",IF(C323="","",Z323-Y323)))</x:f>
        <x:v>0.5055955340338143</x:v>
      </x:c>
      <x:c r="AJ323" s="23" t="n">
        <x:f>IF(C323="","",IFERROR(MAX(0,INDEX('Facilities'!$J$9:$J$108,MATCH(C323,'Facilities'!$C$9:$C$108,0))-D323),"Unavailable"))</x:f>
        <x:v>8</x:v>
      </x:c>
      <x:c r="AK323" s="21" t="n">
        <x:f>IF(C323="","",IFERROR(AL223,"Unavailable"))</x:f>
        <x:v>0</x:v>
      </x:c>
      <x:c r="AL323" s="23" t="n">
        <x:f>IF(C323="","",IFERROR(IF(P323&gt;0,P323*(1-AM323/(1+INDEX('Facilities'!$K$9:$K$108,MATCH(C323,'Facilities'!$C$9:$C$108,0)))^MAX(0,AC323+INDEX('Facilities'!$AK$9:$AK$108,MATCH(C323,'Facilities'!$C$9:$C$108,0))-D323)),0),"Unavailable"))</x:f>
        <x:v>0</x:v>
      </x:c>
      <x:c r="AM323" s="30" t="n">
        <x:f>IF(C323="","",IFERROR(INDEX('Facilities'!$AL$9:$AL$108,MATCH(C323,'Facilities'!$C$9:$C$108,0)),"Unavailable"))</x:f>
        <x:v>0.55</x:v>
      </x:c>
      <x:c r="AN323" s="30" t="n">
        <x:f>IF(C323="","",IFERROR(INDEX(Credit!$T$309:$T$408,MATCH(F323,Credit!$C$309:$C$408,0)),"Unavailable"))</x:f>
        <x:v>0.00528</x:v>
      </x:c>
      <x:c r="AO323" s="23" t="n">
        <x:f>IF(C323="","",IF(AQ323&lt;&gt;"Ready","Unavailable",IF(C323="","",O323+P323+Q323*INDEX('Facilities'!$I$9:$I$108,MATCH(C323,'Facilities'!$C$9:$C$108,0)))))</x:f>
        <x:v>5.393066931999999</x:v>
      </x:c>
      <x:c r="AP323" s="21" t="n">
        <x:f>IF(C323="","",IF(AQ323&lt;&gt;"Ready","Unavailable",IF(C323="","",AH323-U323)))</x:f>
        <x:v>4.844521976960478</x:v>
      </x:c>
      <x:c r="AQ323" s="23" t="str">
        <x:f>IFERROR(IF(C323="","",IF(AND(INDEX('Facilities'!$AF$9:$AF$108,MATCH(C323,'Facilities'!$C$9:$C$108,0))="Ready",INDEX(Credit!$U$309:$U$408,MATCH(F323,Credit!$C$309:$C$408,0))="Ready",ISNUMBER(W323)),"Ready","Review inputs")),"Review inputs")</x:f>
        <x:v>Ready</x:v>
      </x:c>
      <x:c r="AR323" s="23" t="n">
        <x:f>IF(C323="","",IF(AQ323&lt;&gt;"Ready","Unavailable",IF(C323="","",IF(O323=0,0,(IF(AJ323&lt;=1,O323,O323*INDEX('Facilities'!$R$9:$R$108,MATCH(C323,'Facilities'!$C$9:$C$108,0)))+O323*INDEX('Facilities'!$T$9:$T$108,MATCH(C323,'Facilities'!$C$9:$C$108,0)))/12))))</x:f>
        <x:v>0.08764133565666665</x:v>
      </x:c>
    </x:row>
    <x:row r="324" ht="26" customHeight="1">
      <x:c r="A324" s="1"/>
      <x:c r="B324" s="1"/>
      <x:c r="C324" s="9" t="str">
        <x:f>IF(Facilities!C24="","",Facilities!C24)</x:f>
        <x:v>F016</x:v>
      </x:c>
      <x:c r="D324" s="3" t="n">
        <x:v>4</x:v>
      </x:c>
      <x:c r="E324" s="9" t="n">
        <x:f>Settings!$F$18+3</x:f>
        <x:v>2030</x:v>
      </x:c>
      <x:c r="F324" s="9" t="str">
        <x:f>IF(C324="","",IFERROR(INDEX('Facilities'!$D$9:$D$108,MATCH(C324,'Facilities'!$C$9:$C$108,0)),"Unavailable"))</x:f>
        <x:v>B008</x:v>
      </x:c>
      <x:c r="G324" s="21" t="n">
        <x:f>IF(C324="","",IFERROR(O224,"Unavailable"))</x:f>
        <x:v>3.491636400000001</x:v>
      </x:c>
      <x:c r="H324" s="21" t="n">
        <x:f>IF(C324="","",IFERROR(P224,"Unavailable"))</x:f>
        <x:v>0</x:v>
      </x:c>
      <x:c r="I324" s="21" t="n">
        <x:f>IF(C324="","",IFERROR(Q224,"Unavailable"))</x:f>
        <x:v>0.37145</x:v>
      </x:c>
      <x:c r="J324" s="23" t="n">
        <x:f>IF(C324="","",IFERROR(IF(OR(H324&gt;0,AND(AC324&gt;=0,AC324&lt;D324),D324&gt;INDEX('Facilities'!$J$9:$J$108,MATCH(C324,'Facilities'!$C$9:$C$108,0))),0,I324*'Scenario Paths'!I81),"Unavailable"))</x:f>
        <x:v>0.037145000000000004</x:v>
      </x:c>
      <x:c r="K324" s="23" t="n">
        <x:f>IF(C324="","",IFERROR(IF(OR(H324&gt;0,AND(AC324&gt;=0,AC324=D324)),0,IF(D324&gt;=INDEX('Facilities'!$J$9:$J$108,MATCH(C324,'Facilities'!$C$9:$C$108,0)),G324+J324,MIN(G324+J324,G324*INDEX('Facilities'!$R$9:$R$108,MATCH(C324,'Facilities'!$C$9:$C$108,0))))),"Unavailable"))</x:f>
        <x:v>0.41899636800000006</x:v>
      </x:c>
      <x:c r="L324" s="21" t="n">
        <x:f>IF(C324="","",IFERROR(IF(AND(AC324=D324,AC324&gt;0),MAX(0,G324+J324-K324),0),"Unavailable"))</x:f>
        <x:v>0</x:v>
      </x:c>
      <x:c r="M324" s="23" t="n">
        <x:f>IF(C324="","",IFERROR(IF(AND(AC324&gt;=0,D324&gt;=AC324+INDEX('Facilities'!$AK$9:$AK$108,MATCH(C324,'Facilities'!$C$9:$C$108,0))),(H324+L324)*AM324,0),"Unavailable"))</x:f>
        <x:v>0</x:v>
      </x:c>
      <x:c r="N324" s="23" t="n">
        <x:f>IF(C324="","",IFERROR(IF(AND(AC324&gt;=0,D324&gt;=AC324+INDEX('Facilities'!$AK$9:$AK$108,MATCH(C324,'Facilities'!$C$9:$C$108,0))),H324+L324-M324,0),"Unavailable"))</x:f>
        <x:v>0</x:v>
      </x:c>
      <x:c r="O324" s="21" t="n">
        <x:f>IF(C324="","",IFERROR(MAX(0,G324+J324-K324-L324),"Unavailable"))</x:f>
        <x:v>3.109785032000001</x:v>
      </x:c>
      <x:c r="P324" s="21" t="n">
        <x:f>IF(C324="","",IFERROR(MAX(0,H324+L324-M324-N324),"Unavailable"))</x:f>
        <x:v>0</x:v>
      </x:c>
      <x:c r="Q324" s="23" t="n">
        <x:f>IF(C324="","",IFERROR(IF(OR(D324&gt;=INDEX('Facilities'!$J$9:$J$108,MATCH(C324,'Facilities'!$C$9:$C$108,0)),AND(AC324&gt;=0,AC324&lt;=D324)),0,MAX(0,I324-J324)),"Unavailable"))</x:f>
        <x:v>0.334305</x:v>
      </x:c>
      <x:c r="R324" s="30" t="n">
        <x:f>IF(C324="","",IFERROR(INDEX(Credit!$Q$309:$Q$408,MATCH(F324,Credit!$C$309:$C$408,0)),"Unavailable"))</x:f>
        <x:v>0.022889157528719447</x:v>
      </x:c>
      <x:c r="S324" s="30" t="n">
        <x:f>IF(C324="","",IFERROR(INDEX(Credit!$R$309:$R$408,MATCH(F324,Credit!$C$309:$C$408,0)),"Unavailable"))</x:f>
        <x:v>0.36337920000000007</x:v>
      </x:c>
      <x:c r="T324" s="23" t="n">
        <x:f>IF(C324="","",IFERROR(IF(P324&gt;0,3,IF(OR(INDEX('Facilities'!$AD$9:$AD$108,MATCH(C324,'Facilities'!$C$9:$C$108,0))=2,AND(R324&gt;=INDEX('Facilities'!$L$9:$L$108,MATCH(C324,'Facilities'!$C$9:$C$108,0))*Settings!$F$19,R324-INDEX('Facilities'!$L$9:$L$108,MATCH(C324,'Facilities'!$C$9:$C$108,0))&gt;=Settings!$F$20)),2,1)),"Unavailable"))</x:f>
        <x:v>1</x:v>
      </x:c>
      <x:c r="U324" s="23" t="n">
        <x:f>IF(C324="","",IF(AQ324&lt;&gt;"Ready","Unavailable",IF(C324="","",O324*(1-(1-S324)/(1+INDEX('Facilities'!$K$9:$K$108,MATCH(C324,'Facilities'!$C$9:$C$108,0)))^INDEX('Facilities'!$AK$9:$AK$108,MATCH(C324,'Facilities'!$C$9:$C$108,0)))*R324/(1+INDEX('Facilities'!$K$9:$K$108,MATCH(C324,'Facilities'!$C$9:$C$108,0)))*IF(ABS(1-(1-R324)*(1-INDEX('Facilities'!$R$9:$R$108,MATCH(C324,'Facilities'!$C$9:$C$108,0)))/(1+INDEX('Facilities'!$K$9:$K$108,MATCH(C324,'Facilities'!$C$9:$C$108,0))))&lt;0.000000001,IF(T324=1,MIN(1,AJ324),AJ324),(1-((1-R324)*(1-INDEX('Facilities'!$R$9:$R$108,MATCH(C324,'Facilities'!$C$9:$C$108,0)))/(1+INDEX('Facilities'!$K$9:$K$108,MATCH(C324,'Facilities'!$C$9:$C$108,0))))^IF(T324=1,MIN(1,AJ324),AJ324))/(1-(1-R324)*(1-INDEX('Facilities'!$R$9:$R$108,MATCH(C324,'Facilities'!$C$9:$C$108,0)))/(1+INDEX('Facilities'!$K$9:$K$108,MATCH(C324,'Facilities'!$C$9:$C$108,0)))))+AL324)))</x:f>
        <x:v>0.029935313706557744</x:v>
      </x:c>
      <x:c r="V324" s="23" t="n">
        <x:f>IF(C324="","",IF(AQ324&lt;&gt;"Ready","Unavailable",IF(C324="","",Q324*INDEX('Facilities'!$I$9:$I$108,MATCH(C324,'Facilities'!$C$9:$C$108,0))*(1-(1-S324)/(1+INDEX('Facilities'!$K$9:$K$108,MATCH(C324,'Facilities'!$C$9:$C$108,0)))^INDEX('Facilities'!$AK$9:$AK$108,MATCH(C324,'Facilities'!$C$9:$C$108,0)))*R324/(1+INDEX('Facilities'!$K$9:$K$108,MATCH(C324,'Facilities'!$C$9:$C$108,0)))*IF(ABS(1-(1-R324)*(1-0)/(1+INDEX('Facilities'!$K$9:$K$108,MATCH(C324,'Facilities'!$C$9:$C$108,0))))&lt;0.000000001,IF(T324=1,MIN(1,AJ324),AJ324),(1-((1-R324)*(1-0)/(1+INDEX('Facilities'!$K$9:$K$108,MATCH(C324,'Facilities'!$C$9:$C$108,0))))^IF(T324=1,MIN(1,AJ324),AJ324))/(1-(1-R324)*(1-0)/(1+INDEX('Facilities'!$K$9:$K$108,MATCH(C324,'Facilities'!$C$9:$C$108,0))))))))</x:f>
        <x:v>0.001609038075894692</x:v>
      </x:c>
      <x:c r="W324" s="21" t="n">
        <x:f>IF(C324="","",IFERROR(U224,"Unavailable"))</x:f>
        <x:v>0.039140684774493235</x:v>
      </x:c>
      <x:c r="X324" s="21" t="n">
        <x:f>IF(C324="","",IFERROR(V224,"Unavailable"))</x:f>
        <x:v>0.002081947501676507</x:v>
      </x:c>
      <x:c r="Y324" s="21" t="n">
        <x:f>IF(C324="","",IF(AQ324&lt;&gt;"Ready","Unavailable",IF(C324="","",U324-W324+V324-X324+N324+AG324)))</x:f>
        <x:v>-0.009678280493717306</x:v>
      </x:c>
      <x:c r="Z324" s="23" t="n">
        <x:f>IF(C324="","",IF(AQ324&lt;&gt;"Ready","Unavailable",IF(C324="","",(G324+O324+L324)/2*INDEX('Facilities'!$T$9:$T$108,MATCH(C324,'Facilities'!$C$9:$C$108,0))+AG324)))</x:f>
        <x:v>0.3135675180200001</x:v>
      </x:c>
      <x:c r="AA324" s="23" t="n">
        <x:f>IF(C324="","",IF(AQ324&lt;&gt;"Ready","Unavailable",IF(C324="","",O324*(1-IF(INDEX('Facilities'!$AA$9:$AA$108,MATCH(C324,'Facilities'!$C$9:$C$108,0))=0,0,MIN(1,INDEX('Facilities'!$X$9:$X$108,MATCH(C324,'Facilities'!$C$9:$C$108,0))/INDEX('Facilities'!$AA$9:$AA$108,MATCH(C324,'Facilities'!$C$9:$C$108,0)))))*AF324+P324*(1-IF(INDEX('Facilities'!$AA$9:$AA$108,MATCH(C324,'Facilities'!$C$9:$C$108,0))=0,0,MIN(1,INDEX('Facilities'!$X$9:$X$108,MATCH(C324,'Facilities'!$C$9:$C$108,0))/INDEX('Facilities'!$AA$9:$AA$108,MATCH(C324,'Facilities'!$C$9:$C$108,0)))))*INDEX('Facilities'!$AJ$9:$AJ$108,MATCH(C324,'Facilities'!$C$9:$C$108,0))+Q324*INDEX('Facilities'!$AI$9:$AI$108,MATCH(C324,'Facilities'!$C$9:$C$108,0))*AF324)))</x:f>
        <x:v>4.045793397481601</x:v>
      </x:c>
      <x:c r="AB324" s="21" t="n">
        <x:f>IF(C324="","",O324+P324-AD324)</x:f>
        <x:v>-0.38185136799999997</x:v>
      </x:c>
      <x:c r="AC324" s="23" t="n">
        <x:f>IF(C324="","",IFERROR(IF(INDEX('Facilities'!$AD$9:$AD$108,MATCH(C324,'Facilities'!$C$9:$C$108,0))=3,0,IF(INDEX('Facilities'!$AN$9:$AN$108,MATCH(C324,'Facilities'!$C$9:$C$108,0))=0,-1,INDEX('Facilities'!$AN$9:$AN$108,MATCH(C324,'Facilities'!$C$9:$C$108,0)))),"Unavailable"))</x:f>
        <x:v>-1</x:v>
      </x:c>
      <x:c r="AD324" s="21" t="n">
        <x:f>IF(C324="","",IFERROR(G324+H324,"Unavailable"))</x:f>
        <x:v>3.491636400000001</x:v>
      </x:c>
      <x:c r="AE324" s="21" t="n">
        <x:f>IF(C324="","",IF(AQ324&lt;&gt;"Ready","Unavailable",IF(C324="","",O324+P324-AD324-J324+K324+M324+N324)))</x:f>
        <x:v>1.1102230246251565e-16</x:v>
      </x:c>
      <x:c r="AF324" s="30" t="n">
        <x:f>IF(C324="","",IFERROR(INDEX('Facilities'!$S$9:$S$108,MATCH(C324,'Facilities'!$C$9:$C$108,0))*'Scenario Paths'!I75,"Unavailable"))</x:f>
        <x:v>1.25</x:v>
      </x:c>
      <x:c r="AG324" s="23" t="n">
        <x:f>IF(C324="","",IF(AQ324&lt;&gt;"Ready","Unavailable",IF(C324="","",IF(H324&gt;0,MAX(0,H324-AK324)*((1+INDEX('Facilities'!$K$9:$K$108,MATCH(C324,'Facilities'!$C$9:$C$108,0)))^MIN(1,MAX(0,AC324+INDEX('Facilities'!$AK$9:$AK$108,MATCH(C324,'Facilities'!$C$9:$C$108,0))-D324+1))-1),0))))</x:f>
        <x:v>0</x:v>
      </x:c>
      <x:c r="AH324" s="21" t="n">
        <x:f>IF(C324="","",IF(AQ324&lt;&gt;"Ready","Unavailable",IF(C324="","",O324+P324)))</x:f>
        <x:v>3.109785032000001</x:v>
      </x:c>
      <x:c r="AI324" s="21" t="n">
        <x:f>IF(C324="","",IF(AQ324&lt;&gt;"Ready","Unavailable",IF(C324="","",Z324-Y324)))</x:f>
        <x:v>0.32324579851371743</x:v>
      </x:c>
      <x:c r="AJ324" s="23" t="n">
        <x:f>IF(C324="","",IFERROR(MAX(0,INDEX('Facilities'!$J$9:$J$108,MATCH(C324,'Facilities'!$C$9:$C$108,0))-D324),"Unavailable"))</x:f>
        <x:v>8</x:v>
      </x:c>
      <x:c r="AK324" s="21" t="n">
        <x:f>IF(C324="","",IFERROR(AL224,"Unavailable"))</x:f>
        <x:v>0</x:v>
      </x:c>
      <x:c r="AL324" s="23" t="n">
        <x:f>IF(C324="","",IFERROR(IF(P324&gt;0,P324*(1-AM324/(1+INDEX('Facilities'!$K$9:$K$108,MATCH(C324,'Facilities'!$C$9:$C$108,0)))^MAX(0,AC324+INDEX('Facilities'!$AK$9:$AK$108,MATCH(C324,'Facilities'!$C$9:$C$108,0))-D324)),0),"Unavailable"))</x:f>
        <x:v>0</x:v>
      </x:c>
      <x:c r="AM324" s="30" t="n">
        <x:f>IF(C324="","",IFERROR(INDEX('Facilities'!$AL$9:$AL$108,MATCH(C324,'Facilities'!$C$9:$C$108,0)),"Unavailable"))</x:f>
        <x:v>0.55</x:v>
      </x:c>
      <x:c r="AN324" s="30" t="n">
        <x:f>IF(C324="","",IFERROR(INDEX(Credit!$T$309:$T$408,MATCH(F324,Credit!$C$309:$C$408,0)),"Unavailable"))</x:f>
        <x:v>0.00528</x:v>
      </x:c>
      <x:c r="AO324" s="23" t="n">
        <x:f>IF(C324="","",IF(AQ324&lt;&gt;"Ready","Unavailable",IF(C324="","",O324+P324+Q324*INDEX('Facilities'!$I$9:$I$108,MATCH(C324,'Facilities'!$C$9:$C$108,0)))))</x:f>
        <x:v>3.2769375320000007</x:v>
      </x:c>
      <x:c r="AP324" s="21" t="n">
        <x:f>IF(C324="","",IF(AQ324&lt;&gt;"Ready","Unavailable",IF(C324="","",AH324-U324)))</x:f>
        <x:v>3.0798497182934432</x:v>
      </x:c>
      <x:c r="AQ324" s="23" t="str">
        <x:f>IFERROR(IF(C324="","",IF(AND(INDEX('Facilities'!$AF$9:$AF$108,MATCH(C324,'Facilities'!$C$9:$C$108,0))="Ready",INDEX(Credit!$U$309:$U$408,MATCH(F324,Credit!$C$309:$C$408,0))="Ready",ISNUMBER(W324)),"Ready","Review inputs")),"Review inputs")</x:f>
        <x:v>Ready</x:v>
      </x:c>
      <x:c r="AR324" s="23" t="n">
        <x:f>IF(C324="","",IF(AQ324&lt;&gt;"Ready","Unavailable",IF(C324="","",IF(O324=0,0,(IF(AJ324&lt;=1,O324,O324*INDEX('Facilities'!$R$9:$R$108,MATCH(C324,'Facilities'!$C$9:$C$108,0)))+O324*INDEX('Facilities'!$T$9:$T$108,MATCH(C324,'Facilities'!$C$9:$C$108,0)))/12))))</x:f>
        <x:v>0.055716981823333345</x:v>
      </x:c>
    </x:row>
    <x:row r="325" ht="26" customHeight="1">
      <x:c r="A325" s="1"/>
      <x:c r="B325" s="1"/>
      <x:c r="C325" s="9" t="str">
        <x:f>IF(Facilities!C25="","",Facilities!C25)</x:f>
        <x:v>F017</x:v>
      </x:c>
      <x:c r="D325" s="3" t="n">
        <x:v>4</x:v>
      </x:c>
      <x:c r="E325" s="9" t="n">
        <x:f>Settings!$F$18+3</x:f>
        <x:v>2030</x:v>
      </x:c>
      <x:c r="F325" s="9" t="str">
        <x:f>IF(C325="","",IFERROR(INDEX('Facilities'!$D$9:$D$108,MATCH(C325,'Facilities'!$C$9:$C$108,0)),"Unavailable"))</x:f>
        <x:v>B009</x:v>
      </x:c>
      <x:c r="G325" s="21" t="n">
        <x:f>IF(C325="","",IFERROR(O225,"Unavailable"))</x:f>
        <x:v>5.6705316</x:v>
      </x:c>
      <x:c r="H325" s="21" t="n">
        <x:f>IF(C325="","",IFERROR(P225,"Unavailable"))</x:f>
        <x:v>0</x:v>
      </x:c>
      <x:c r="I325" s="21" t="n">
        <x:f>IF(C325="","",IFERROR(Q225,"Unavailable"))</x:f>
        <x:v>1.11435</x:v>
      </x:c>
      <x:c r="J325" s="23" t="n">
        <x:f>IF(C325="","",IFERROR(IF(OR(H325&gt;0,AND(AC325&gt;=0,AC325&lt;D325),D325&gt;INDEX('Facilities'!$J$9:$J$108,MATCH(C325,'Facilities'!$C$9:$C$108,0))),0,I325*'Scenario Paths'!I81),"Unavailable"))</x:f>
        <x:v>0.111435</x:v>
      </x:c>
      <x:c r="K325" s="23" t="n">
        <x:f>IF(C325="","",IFERROR(IF(OR(H325&gt;0,AND(AC325&gt;=0,AC325=D325)),0,IF(D325&gt;=INDEX('Facilities'!$J$9:$J$108,MATCH(C325,'Facilities'!$C$9:$C$108,0)),G325+J325,MIN(G325+J325,G325*INDEX('Facilities'!$R$9:$R$108,MATCH(C325,'Facilities'!$C$9:$C$108,0))))),"Unavailable"))</x:f>
        <x:v>0.6804637920000001</x:v>
      </x:c>
      <x:c r="L325" s="21" t="n">
        <x:f>IF(C325="","",IFERROR(IF(AND(AC325=D325,AC325&gt;0),MAX(0,G325+J325-K325),0),"Unavailable"))</x:f>
        <x:v>0</x:v>
      </x:c>
      <x:c r="M325" s="23" t="n">
        <x:f>IF(C325="","",IFERROR(IF(AND(AC325&gt;=0,D325&gt;=AC325+INDEX('Facilities'!$AK$9:$AK$108,MATCH(C325,'Facilities'!$C$9:$C$108,0))),(H325+L325)*AM325,0),"Unavailable"))</x:f>
        <x:v>0</x:v>
      </x:c>
      <x:c r="N325" s="23" t="n">
        <x:f>IF(C325="","",IFERROR(IF(AND(AC325&gt;=0,D325&gt;=AC325+INDEX('Facilities'!$AK$9:$AK$108,MATCH(C325,'Facilities'!$C$9:$C$108,0))),H325+L325-M325,0),"Unavailable"))</x:f>
        <x:v>0</x:v>
      </x:c>
      <x:c r="O325" s="21" t="n">
        <x:f>IF(C325="","",IFERROR(MAX(0,G325+J325-K325-L325),"Unavailable"))</x:f>
        <x:v>5.101502808</x:v>
      </x:c>
      <x:c r="P325" s="21" t="n">
        <x:f>IF(C325="","",IFERROR(MAX(0,H325+L325-M325-N325),"Unavailable"))</x:f>
        <x:v>0</x:v>
      </x:c>
      <x:c r="Q325" s="23" t="n">
        <x:f>IF(C325="","",IFERROR(IF(OR(D325&gt;=INDEX('Facilities'!$J$9:$J$108,MATCH(C325,'Facilities'!$C$9:$C$108,0)),AND(AC325&gt;=0,AC325&lt;=D325)),0,MAX(0,I325-J325)),"Unavailable"))</x:f>
        <x:v>1.002915</x:v>
      </x:c>
      <x:c r="R325" s="30" t="n">
        <x:f>IF(C325="","",IFERROR(INDEX(Credit!$Q$309:$Q$408,MATCH(F325,Credit!$C$309:$C$408,0)),"Unavailable"))</x:f>
        <x:v>0.050327913997430036</x:v>
      </x:c>
      <x:c r="S325" s="30" t="n">
        <x:f>IF(C325="","",IFERROR(INDEX(Credit!$R$309:$R$408,MATCH(F325,Credit!$C$309:$C$408,0)),"Unavailable"))</x:f>
        <x:v>0.40524160000000004</x:v>
      </x:c>
      <x:c r="T325" s="23" t="n">
        <x:f>IF(C325="","",IFERROR(IF(P325&gt;0,3,IF(OR(INDEX('Facilities'!$AD$9:$AD$108,MATCH(C325,'Facilities'!$C$9:$C$108,0))=2,AND(R325&gt;=INDEX('Facilities'!$L$9:$L$108,MATCH(C325,'Facilities'!$C$9:$C$108,0))*Settings!$F$19,R325-INDEX('Facilities'!$L$9:$L$108,MATCH(C325,'Facilities'!$C$9:$C$108,0))&gt;=Settings!$F$20)),2,1)),"Unavailable"))</x:f>
        <x:v>2</x:v>
      </x:c>
      <x:c r="U325" s="23" t="n">
        <x:f>IF(C325="","",IF(AQ325&lt;&gt;"Ready","Unavailable",IF(C325="","",O325*(1-(1-S325)/(1+INDEX('Facilities'!$K$9:$K$108,MATCH(C325,'Facilities'!$C$9:$C$108,0)))^INDEX('Facilities'!$AK$9:$AK$108,MATCH(C325,'Facilities'!$C$9:$C$108,0)))*R325/(1+INDEX('Facilities'!$K$9:$K$108,MATCH(C325,'Facilities'!$C$9:$C$108,0)))*IF(ABS(1-(1-R325)*(1-INDEX('Facilities'!$R$9:$R$108,MATCH(C325,'Facilities'!$C$9:$C$108,0)))/(1+INDEX('Facilities'!$K$9:$K$108,MATCH(C325,'Facilities'!$C$9:$C$108,0))))&lt;0.000000001,IF(T325=1,MIN(1,AJ325),AJ325),(1-((1-R325)*(1-INDEX('Facilities'!$R$9:$R$108,MATCH(C325,'Facilities'!$C$9:$C$108,0)))/(1+INDEX('Facilities'!$K$9:$K$108,MATCH(C325,'Facilities'!$C$9:$C$108,0))))^IF(T325=1,MIN(1,AJ325),AJ325))/(1-(1-R325)*(1-INDEX('Facilities'!$R$9:$R$108,MATCH(C325,'Facilities'!$C$9:$C$108,0)))/(1+INDEX('Facilities'!$K$9:$K$108,MATCH(C325,'Facilities'!$C$9:$C$108,0)))))+AL325)))</x:f>
        <x:v>0.3304105255082299</x:v>
      </x:c>
      <x:c r="V325" s="23" t="n">
        <x:f>IF(C325="","",IF(AQ325&lt;&gt;"Ready","Unavailable",IF(C325="","",Q325*INDEX('Facilities'!$I$9:$I$108,MATCH(C325,'Facilities'!$C$9:$C$108,0))*(1-(1-S325)/(1+INDEX('Facilities'!$K$9:$K$108,MATCH(C325,'Facilities'!$C$9:$C$108,0)))^INDEX('Facilities'!$AK$9:$AK$108,MATCH(C325,'Facilities'!$C$9:$C$108,0)))*R325/(1+INDEX('Facilities'!$K$9:$K$108,MATCH(C325,'Facilities'!$C$9:$C$108,0)))*IF(ABS(1-(1-R325)*(1-0)/(1+INDEX('Facilities'!$K$9:$K$108,MATCH(C325,'Facilities'!$C$9:$C$108,0))))&lt;0.000000001,IF(T325=1,MIN(1,AJ325),AJ325),(1-((1-R325)*(1-0)/(1+INDEX('Facilities'!$K$9:$K$108,MATCH(C325,'Facilities'!$C$9:$C$108,0))))^IF(T325=1,MIN(1,AJ325),AJ325))/(1-(1-R325)*(1-0)/(1+INDEX('Facilities'!$K$9:$K$108,MATCH(C325,'Facilities'!$C$9:$C$108,0))))))))</x:f>
        <x:v>0.03816444496454342</x:v>
      </x:c>
      <x:c r="W325" s="21" t="n">
        <x:f>IF(C325="","",IFERROR(U225,"Unavailable"))</x:f>
        <x:v>0.42461476372743223</x:v>
      </x:c>
      <x:c r="X325" s="21" t="n">
        <x:f>IF(C325="","",IFERROR(V225,"Unavailable"))</x:f>
        <x:v>0.05131121135277524</x:v>
      </x:c>
      <x:c r="Y325" s="21" t="n">
        <x:f>IF(C325="","",IF(AQ325&lt;&gt;"Ready","Unavailable",IF(C325="","",U325-W325+V325-X325+N325+AG325)))</x:f>
        <x:v>-0.10735100460743413</x:v>
      </x:c>
      <x:c r="Z325" s="23" t="n">
        <x:f>IF(C325="","",IF(AQ325&lt;&gt;"Ready","Unavailable",IF(C325="","",(G325+O325+L325)/2*INDEX('Facilities'!$T$9:$T$108,MATCH(C325,'Facilities'!$C$9:$C$108,0))+AG325)))</x:f>
        <x:v>0.51167163438</x:v>
      </x:c>
      <x:c r="AA325" s="23" t="n">
        <x:f>IF(C325="","",IF(AQ325&lt;&gt;"Ready","Unavailable",IF(C325="","",O325*(1-IF(INDEX('Facilities'!$AA$9:$AA$108,MATCH(C325,'Facilities'!$C$9:$C$108,0))=0,0,MIN(1,INDEX('Facilities'!$X$9:$X$108,MATCH(C325,'Facilities'!$C$9:$C$108,0))/INDEX('Facilities'!$AA$9:$AA$108,MATCH(C325,'Facilities'!$C$9:$C$108,0)))))*AF325+P325*(1-IF(INDEX('Facilities'!$AA$9:$AA$108,MATCH(C325,'Facilities'!$C$9:$C$108,0))=0,0,MIN(1,INDEX('Facilities'!$X$9:$X$108,MATCH(C325,'Facilities'!$C$9:$C$108,0))/INDEX('Facilities'!$AA$9:$AA$108,MATCH(C325,'Facilities'!$C$9:$C$108,0)))))*INDEX('Facilities'!$AJ$9:$AJ$108,MATCH(C325,'Facilities'!$C$9:$C$108,0))+Q325*INDEX('Facilities'!$AI$9:$AI$108,MATCH(C325,'Facilities'!$C$9:$C$108,0))*AF325)))</x:f>
        <x:v>6.881264317608</x:v>
      </x:c>
      <x:c r="AB325" s="21" t="n">
        <x:f>IF(C325="","",O325+P325-AD325)</x:f>
        <x:v>-0.5690287920000001</x:v>
      </x:c>
      <x:c r="AC325" s="23" t="n">
        <x:f>IF(C325="","",IFERROR(IF(INDEX('Facilities'!$AD$9:$AD$108,MATCH(C325,'Facilities'!$C$9:$C$108,0))=3,0,IF(INDEX('Facilities'!$AN$9:$AN$108,MATCH(C325,'Facilities'!$C$9:$C$108,0))=0,-1,INDEX('Facilities'!$AN$9:$AN$108,MATCH(C325,'Facilities'!$C$9:$C$108,0)))),"Unavailable"))</x:f>
        <x:v>-1</x:v>
      </x:c>
      <x:c r="AD325" s="21" t="n">
        <x:f>IF(C325="","",IFERROR(G325+H325,"Unavailable"))</x:f>
        <x:v>5.6705316</x:v>
      </x:c>
      <x:c r="AE325" s="21" t="n">
        <x:f>IF(C325="","",IF(AQ325&lt;&gt;"Ready","Unavailable",IF(C325="","",O325+P325-AD325-J325+K325+M325+N325)))</x:f>
        <x:v>0</x:v>
      </x:c>
      <x:c r="AF325" s="30" t="n">
        <x:f>IF(C325="","",IFERROR(INDEX('Facilities'!$S$9:$S$108,MATCH(C325,'Facilities'!$C$9:$C$108,0))*'Scenario Paths'!I75,"Unavailable"))</x:f>
        <x:v>1.25</x:v>
      </x:c>
      <x:c r="AG325" s="23" t="n">
        <x:f>IF(C325="","",IF(AQ325&lt;&gt;"Ready","Unavailable",IF(C325="","",IF(H325&gt;0,MAX(0,H325-AK325)*((1+INDEX('Facilities'!$K$9:$K$108,MATCH(C325,'Facilities'!$C$9:$C$108,0)))^MIN(1,MAX(0,AC325+INDEX('Facilities'!$AK$9:$AK$108,MATCH(C325,'Facilities'!$C$9:$C$108,0))-D325+1))-1),0))))</x:f>
        <x:v>0</x:v>
      </x:c>
      <x:c r="AH325" s="21" t="n">
        <x:f>IF(C325="","",IF(AQ325&lt;&gt;"Ready","Unavailable",IF(C325="","",O325+P325)))</x:f>
        <x:v>5.101502808</x:v>
      </x:c>
      <x:c r="AI325" s="21" t="n">
        <x:f>IF(C325="","",IF(AQ325&lt;&gt;"Ready","Unavailable",IF(C325="","",Z325-Y325)))</x:f>
        <x:v>0.619022638987434</x:v>
      </x:c>
      <x:c r="AJ325" s="23" t="n">
        <x:f>IF(C325="","",IFERROR(MAX(0,INDEX('Facilities'!$J$9:$J$108,MATCH(C325,'Facilities'!$C$9:$C$108,0))-D325),"Unavailable"))</x:f>
        <x:v>4</x:v>
      </x:c>
      <x:c r="AK325" s="21" t="n">
        <x:f>IF(C325="","",IFERROR(AL225,"Unavailable"))</x:f>
        <x:v>0</x:v>
      </x:c>
      <x:c r="AL325" s="23" t="n">
        <x:f>IF(C325="","",IFERROR(IF(P325&gt;0,P325*(1-AM325/(1+INDEX('Facilities'!$K$9:$K$108,MATCH(C325,'Facilities'!$C$9:$C$108,0)))^MAX(0,AC325+INDEX('Facilities'!$AK$9:$AK$108,MATCH(C325,'Facilities'!$C$9:$C$108,0))-D325)),0),"Unavailable"))</x:f>
        <x:v>0</x:v>
      </x:c>
      <x:c r="AM325" s="30" t="n">
        <x:f>IF(C325="","",IFERROR(INDEX('Facilities'!$AL$9:$AL$108,MATCH(C325,'Facilities'!$C$9:$C$108,0)),"Unavailable"))</x:f>
        <x:v>0.55</x:v>
      </x:c>
      <x:c r="AN325" s="30" t="n">
        <x:f>IF(C325="","",IFERROR(INDEX(Credit!$T$309:$T$408,MATCH(F325,Credit!$C$309:$C$408,0)),"Unavailable"))</x:f>
        <x:v>0.008736</x:v>
      </x:c>
      <x:c r="AO325" s="23" t="n">
        <x:f>IF(C325="","",IF(AQ325&lt;&gt;"Ready","Unavailable",IF(C325="","",O325+P325+Q325*INDEX('Facilities'!$I$9:$I$108,MATCH(C325,'Facilities'!$C$9:$C$108,0)))))</x:f>
        <x:v>5.602960308</x:v>
      </x:c>
      <x:c r="AP325" s="21" t="n">
        <x:f>IF(C325="","",IF(AQ325&lt;&gt;"Ready","Unavailable",IF(C325="","",AH325-U325)))</x:f>
        <x:v>4.77109228249177</x:v>
      </x:c>
      <x:c r="AQ325" s="23" t="str">
        <x:f>IFERROR(IF(C325="","",IF(AND(INDEX('Facilities'!$AF$9:$AF$108,MATCH(C325,'Facilities'!$C$9:$C$108,0))="Ready",INDEX(Credit!$U$309:$U$408,MATCH(F325,Credit!$C$309:$C$408,0))="Ready",ISNUMBER(W325)),"Ready","Review inputs")),"Review inputs")</x:f>
        <x:v>Ready</x:v>
      </x:c>
      <x:c r="AR325" s="23" t="n">
        <x:f>IF(C325="","",IF(AQ325&lt;&gt;"Ready","Unavailable",IF(C325="","",IF(O325=0,0,(IF(AJ325&lt;=1,O325,O325*INDEX('Facilities'!$R$9:$R$108,MATCH(C325,'Facilities'!$C$9:$C$108,0)))+O325*INDEX('Facilities'!$T$9:$T$108,MATCH(C325,'Facilities'!$C$9:$C$108,0)))/12))))</x:f>
        <x:v>0.09140192531</x:v>
      </x:c>
    </x:row>
    <x:row r="326" ht="26" customHeight="1">
      <x:c r="A326" s="1"/>
      <x:c r="B326" s="1"/>
      <x:c r="C326" s="9" t="str">
        <x:f>IF(Facilities!C26="","",Facilities!C26)</x:f>
        <x:v>F018</x:v>
      </x:c>
      <x:c r="D326" s="3" t="n">
        <x:v>4</x:v>
      </x:c>
      <x:c r="E326" s="9" t="n">
        <x:f>Settings!$F$18+3</x:f>
        <x:v>2030</x:v>
      </x:c>
      <x:c r="F326" s="9" t="str">
        <x:f>IF(C326="","",IFERROR(INDEX('Facilities'!$D$9:$D$108,MATCH(C326,'Facilities'!$C$9:$C$108,0)),"Unavailable"))</x:f>
        <x:v>B009</x:v>
      </x:c>
      <x:c r="G326" s="21" t="n">
        <x:f>IF(C326="","",IFERROR(O226,"Unavailable"))</x:f>
        <x:v>3.7301516</x:v>
      </x:c>
      <x:c r="H326" s="21" t="n">
        <x:f>IF(C326="","",IFERROR(P226,"Unavailable"))</x:f>
        <x:v>0</x:v>
      </x:c>
      <x:c r="I326" s="21" t="n">
        <x:f>IF(C326="","",IFERROR(Q226,"Unavailable"))</x:f>
        <x:v>0.37145</x:v>
      </x:c>
      <x:c r="J326" s="23" t="n">
        <x:f>IF(C326="","",IFERROR(IF(OR(H326&gt;0,AND(AC326&gt;=0,AC326&lt;D326),D326&gt;INDEX('Facilities'!$J$9:$J$108,MATCH(C326,'Facilities'!$C$9:$C$108,0))),0,I326*'Scenario Paths'!I81),"Unavailable"))</x:f>
        <x:v>0.037145000000000004</x:v>
      </x:c>
      <x:c r="K326" s="23" t="n">
        <x:f>IF(C326="","",IFERROR(IF(OR(H326&gt;0,AND(AC326&gt;=0,AC326=D326)),0,IF(D326&gt;=INDEX('Facilities'!$J$9:$J$108,MATCH(C326,'Facilities'!$C$9:$C$108,0)),G326+J326,MIN(G326+J326,G326*INDEX('Facilities'!$R$9:$R$108,MATCH(C326,'Facilities'!$C$9:$C$108,0))))),"Unavailable"))</x:f>
        <x:v>0.447618192</x:v>
      </x:c>
      <x:c r="L326" s="21" t="n">
        <x:f>IF(C326="","",IFERROR(IF(AND(AC326=D326,AC326&gt;0),MAX(0,G326+J326-K326),0),"Unavailable"))</x:f>
        <x:v>0</x:v>
      </x:c>
      <x:c r="M326" s="23" t="n">
        <x:f>IF(C326="","",IFERROR(IF(AND(AC326&gt;=0,D326&gt;=AC326+INDEX('Facilities'!$AK$9:$AK$108,MATCH(C326,'Facilities'!$C$9:$C$108,0))),(H326+L326)*AM326,0),"Unavailable"))</x:f>
        <x:v>0</x:v>
      </x:c>
      <x:c r="N326" s="23" t="n">
        <x:f>IF(C326="","",IFERROR(IF(AND(AC326&gt;=0,D326&gt;=AC326+INDEX('Facilities'!$AK$9:$AK$108,MATCH(C326,'Facilities'!$C$9:$C$108,0))),H326+L326-M326,0),"Unavailable"))</x:f>
        <x:v>0</x:v>
      </x:c>
      <x:c r="O326" s="21" t="n">
        <x:f>IF(C326="","",IFERROR(MAX(0,G326+J326-K326-L326),"Unavailable"))</x:f>
        <x:v>3.319678408</x:v>
      </x:c>
      <x:c r="P326" s="21" t="n">
        <x:f>IF(C326="","",IFERROR(MAX(0,H326+L326-M326-N326),"Unavailable"))</x:f>
        <x:v>0</x:v>
      </x:c>
      <x:c r="Q326" s="23" t="n">
        <x:f>IF(C326="","",IFERROR(IF(OR(D326&gt;=INDEX('Facilities'!$J$9:$J$108,MATCH(C326,'Facilities'!$C$9:$C$108,0)),AND(AC326&gt;=0,AC326&lt;=D326)),0,MAX(0,I326-J326)),"Unavailable"))</x:f>
        <x:v>0.334305</x:v>
      </x:c>
      <x:c r="R326" s="30" t="n">
        <x:f>IF(C326="","",IFERROR(INDEX(Credit!$Q$309:$Q$408,MATCH(F326,Credit!$C$309:$C$408,0)),"Unavailable"))</x:f>
        <x:v>0.050327913997430036</x:v>
      </x:c>
      <x:c r="S326" s="30" t="n">
        <x:f>IF(C326="","",IFERROR(INDEX(Credit!$R$309:$R$408,MATCH(F326,Credit!$C$309:$C$408,0)),"Unavailable"))</x:f>
        <x:v>0.40524160000000004</x:v>
      </x:c>
      <x:c r="T326" s="23" t="n">
        <x:f>IF(C326="","",IFERROR(IF(P326&gt;0,3,IF(OR(INDEX('Facilities'!$AD$9:$AD$108,MATCH(C326,'Facilities'!$C$9:$C$108,0))=2,AND(R326&gt;=INDEX('Facilities'!$L$9:$L$108,MATCH(C326,'Facilities'!$C$9:$C$108,0))*Settings!$F$19,R326-INDEX('Facilities'!$L$9:$L$108,MATCH(C326,'Facilities'!$C$9:$C$108,0))&gt;=Settings!$F$20)),2,1)),"Unavailable"))</x:f>
        <x:v>2</x:v>
      </x:c>
      <x:c r="U326" s="23" t="n">
        <x:f>IF(C326="","",IF(AQ326&lt;&gt;"Ready","Unavailable",IF(C326="","",O326*(1-(1-S326)/(1+INDEX('Facilities'!$K$9:$K$108,MATCH(C326,'Facilities'!$C$9:$C$108,0)))^INDEX('Facilities'!$AK$9:$AK$108,MATCH(C326,'Facilities'!$C$9:$C$108,0)))*R326/(1+INDEX('Facilities'!$K$9:$K$108,MATCH(C326,'Facilities'!$C$9:$C$108,0)))*IF(ABS(1-(1-R326)*(1-INDEX('Facilities'!$R$9:$R$108,MATCH(C326,'Facilities'!$C$9:$C$108,0)))/(1+INDEX('Facilities'!$K$9:$K$108,MATCH(C326,'Facilities'!$C$9:$C$108,0))))&lt;0.000000001,IF(T326=1,MIN(1,AJ326),AJ326),(1-((1-R326)*(1-INDEX('Facilities'!$R$9:$R$108,MATCH(C326,'Facilities'!$C$9:$C$108,0)))/(1+INDEX('Facilities'!$K$9:$K$108,MATCH(C326,'Facilities'!$C$9:$C$108,0))))^IF(T326=1,MIN(1,AJ326),AJ326))/(1-(1-R326)*(1-INDEX('Facilities'!$R$9:$R$108,MATCH(C326,'Facilities'!$C$9:$C$108,0)))/(1+INDEX('Facilities'!$K$9:$K$108,MATCH(C326,'Facilities'!$C$9:$C$108,0)))))+AL326)))</x:f>
        <x:v>0.21500658307696144</x:v>
      </x:c>
      <x:c r="V326" s="23" t="n">
        <x:f>IF(C326="","",IF(AQ326&lt;&gt;"Ready","Unavailable",IF(C326="","",Q326*INDEX('Facilities'!$I$9:$I$108,MATCH(C326,'Facilities'!$C$9:$C$108,0))*(1-(1-S326)/(1+INDEX('Facilities'!$K$9:$K$108,MATCH(C326,'Facilities'!$C$9:$C$108,0)))^INDEX('Facilities'!$AK$9:$AK$108,MATCH(C326,'Facilities'!$C$9:$C$108,0)))*R326/(1+INDEX('Facilities'!$K$9:$K$108,MATCH(C326,'Facilities'!$C$9:$C$108,0)))*IF(ABS(1-(1-R326)*(1-0)/(1+INDEX('Facilities'!$K$9:$K$108,MATCH(C326,'Facilities'!$C$9:$C$108,0))))&lt;0.000000001,IF(T326=1,MIN(1,AJ326),AJ326),(1-((1-R326)*(1-0)/(1+INDEX('Facilities'!$K$9:$K$108,MATCH(C326,'Facilities'!$C$9:$C$108,0))))^IF(T326=1,MIN(1,AJ326),AJ326))/(1-(1-R326)*(1-0)/(1+INDEX('Facilities'!$K$9:$K$108,MATCH(C326,'Facilities'!$C$9:$C$108,0))))))))</x:f>
        <x:v>0.012721481654847808</x:v>
      </x:c>
      <x:c r="W326" s="21" t="n">
        <x:f>IF(C326="","",IFERROR(U226,"Unavailable"))</x:f>
        <x:v>0.27931727605600565</x:v>
      </x:c>
      <x:c r="X326" s="21" t="n">
        <x:f>IF(C326="","",IFERROR(V226,"Unavailable"))</x:f>
        <x:v>0.017103737117591746</x:v>
      </x:c>
      <x:c r="Y326" s="21" t="n">
        <x:f>IF(C326="","",IF(AQ326&lt;&gt;"Ready","Unavailable",IF(C326="","",U326-W326+V326-X326+N326+AG326)))</x:f>
        <x:v>-0.06869294844178815</x:v>
      </x:c>
      <x:c r="Z326" s="23" t="n">
        <x:f>IF(C326="","",IF(AQ326&lt;&gt;"Ready","Unavailable",IF(C326="","",(G326+O326+L326)/2*INDEX('Facilities'!$T$9:$T$108,MATCH(C326,'Facilities'!$C$9:$C$108,0))+AG326)))</x:f>
        <x:v>0.33486692538</x:v>
      </x:c>
      <x:c r="AA326" s="23" t="n">
        <x:f>IF(C326="","",IF(AQ326&lt;&gt;"Ready","Unavailable",IF(C326="","",O326*(1-IF(INDEX('Facilities'!$AA$9:$AA$108,MATCH(C326,'Facilities'!$C$9:$C$108,0))=0,0,MIN(1,INDEX('Facilities'!$X$9:$X$108,MATCH(C326,'Facilities'!$C$9:$C$108,0))/INDEX('Facilities'!$AA$9:$AA$108,MATCH(C326,'Facilities'!$C$9:$C$108,0)))))*AF326+P326*(1-IF(INDEX('Facilities'!$AA$9:$AA$108,MATCH(C326,'Facilities'!$C$9:$C$108,0))=0,0,MIN(1,INDEX('Facilities'!$X$9:$X$108,MATCH(C326,'Facilities'!$C$9:$C$108,0))/INDEX('Facilities'!$AA$9:$AA$108,MATCH(C326,'Facilities'!$C$9:$C$108,0)))))*INDEX('Facilities'!$AJ$9:$AJ$108,MATCH(C326,'Facilities'!$C$9:$C$108,0))+Q326*INDEX('Facilities'!$AI$9:$AI$108,MATCH(C326,'Facilities'!$C$9:$C$108,0))*AF326)))</x:f>
        <x:v>4.2788663532080005</x:v>
      </x:c>
      <x:c r="AB326" s="21" t="n">
        <x:f>IF(C326="","",O326+P326-AD326)</x:f>
        <x:v>-0.410473192</x:v>
      </x:c>
      <x:c r="AC326" s="23" t="n">
        <x:f>IF(C326="","",IFERROR(IF(INDEX('Facilities'!$AD$9:$AD$108,MATCH(C326,'Facilities'!$C$9:$C$108,0))=3,0,IF(INDEX('Facilities'!$AN$9:$AN$108,MATCH(C326,'Facilities'!$C$9:$C$108,0))=0,-1,INDEX('Facilities'!$AN$9:$AN$108,MATCH(C326,'Facilities'!$C$9:$C$108,0)))),"Unavailable"))</x:f>
        <x:v>-1</x:v>
      </x:c>
      <x:c r="AD326" s="21" t="n">
        <x:f>IF(C326="","",IFERROR(G326+H326,"Unavailable"))</x:f>
        <x:v>3.7301516</x:v>
      </x:c>
      <x:c r="AE326" s="21" t="n">
        <x:f>IF(C326="","",IF(AQ326&lt;&gt;"Ready","Unavailable",IF(C326="","",O326+P326-AD326-J326+K326+M326+N326)))</x:f>
        <x:v>5.551115123125783e-17</x:v>
      </x:c>
      <x:c r="AF326" s="30" t="n">
        <x:f>IF(C326="","",IFERROR(INDEX('Facilities'!$S$9:$S$108,MATCH(C326,'Facilities'!$C$9:$C$108,0))*'Scenario Paths'!I75,"Unavailable"))</x:f>
        <x:v>1.25</x:v>
      </x:c>
      <x:c r="AG326" s="23" t="n">
        <x:f>IF(C326="","",IF(AQ326&lt;&gt;"Ready","Unavailable",IF(C326="","",IF(H326&gt;0,MAX(0,H326-AK326)*((1+INDEX('Facilities'!$K$9:$K$108,MATCH(C326,'Facilities'!$C$9:$C$108,0)))^MIN(1,MAX(0,AC326+INDEX('Facilities'!$AK$9:$AK$108,MATCH(C326,'Facilities'!$C$9:$C$108,0))-D326+1))-1),0))))</x:f>
        <x:v>0</x:v>
      </x:c>
      <x:c r="AH326" s="21" t="n">
        <x:f>IF(C326="","",IF(AQ326&lt;&gt;"Ready","Unavailable",IF(C326="","",O326+P326)))</x:f>
        <x:v>3.319678408</x:v>
      </x:c>
      <x:c r="AI326" s="21" t="n">
        <x:f>IF(C326="","",IF(AQ326&lt;&gt;"Ready","Unavailable",IF(C326="","",Z326-Y326)))</x:f>
        <x:v>0.40355987382178815</x:v>
      </x:c>
      <x:c r="AJ326" s="23" t="n">
        <x:f>IF(C326="","",IFERROR(MAX(0,INDEX('Facilities'!$J$9:$J$108,MATCH(C326,'Facilities'!$C$9:$C$108,0))-D326),"Unavailable"))</x:f>
        <x:v>4</x:v>
      </x:c>
      <x:c r="AK326" s="21" t="n">
        <x:f>IF(C326="","",IFERROR(AL226,"Unavailable"))</x:f>
        <x:v>0</x:v>
      </x:c>
      <x:c r="AL326" s="23" t="n">
        <x:f>IF(C326="","",IFERROR(IF(P326&gt;0,P326*(1-AM326/(1+INDEX('Facilities'!$K$9:$K$108,MATCH(C326,'Facilities'!$C$9:$C$108,0)))^MAX(0,AC326+INDEX('Facilities'!$AK$9:$AK$108,MATCH(C326,'Facilities'!$C$9:$C$108,0))-D326)),0),"Unavailable"))</x:f>
        <x:v>0</x:v>
      </x:c>
      <x:c r="AM326" s="30" t="n">
        <x:f>IF(C326="","",IFERROR(INDEX('Facilities'!$AL$9:$AL$108,MATCH(C326,'Facilities'!$C$9:$C$108,0)),"Unavailable"))</x:f>
        <x:v>0.55</x:v>
      </x:c>
      <x:c r="AN326" s="30" t="n">
        <x:f>IF(C326="","",IFERROR(INDEX(Credit!$T$309:$T$408,MATCH(F326,Credit!$C$309:$C$408,0)),"Unavailable"))</x:f>
        <x:v>0.008736</x:v>
      </x:c>
      <x:c r="AO326" s="23" t="n">
        <x:f>IF(C326="","",IF(AQ326&lt;&gt;"Ready","Unavailable",IF(C326="","",O326+P326+Q326*INDEX('Facilities'!$I$9:$I$108,MATCH(C326,'Facilities'!$C$9:$C$108,0)))))</x:f>
        <x:v>3.486830908</x:v>
      </x:c>
      <x:c r="AP326" s="21" t="n">
        <x:f>IF(C326="","",IF(AQ326&lt;&gt;"Ready","Unavailable",IF(C326="","",AH326-U326)))</x:f>
        <x:v>3.1046718249230385</x:v>
      </x:c>
      <x:c r="AQ326" s="23" t="str">
        <x:f>IFERROR(IF(C326="","",IF(AND(INDEX('Facilities'!$AF$9:$AF$108,MATCH(C326,'Facilities'!$C$9:$C$108,0))="Ready",INDEX(Credit!$U$309:$U$408,MATCH(F326,Credit!$C$309:$C$408,0))="Ready",ISNUMBER(W326)),"Ready","Review inputs")),"Review inputs")</x:f>
        <x:v>Ready</x:v>
      </x:c>
      <x:c r="AR326" s="23" t="n">
        <x:f>IF(C326="","",IF(AQ326&lt;&gt;"Ready","Unavailable",IF(C326="","",IF(O326=0,0,(IF(AJ326&lt;=1,O326,O326*INDEX('Facilities'!$R$9:$R$108,MATCH(C326,'Facilities'!$C$9:$C$108,0)))+O326*INDEX('Facilities'!$T$9:$T$108,MATCH(C326,'Facilities'!$C$9:$C$108,0)))/12))))</x:f>
        <x:v>0.059477571476666664</x:v>
      </x:c>
    </x:row>
    <x:row r="327" ht="26" customHeight="1">
      <x:c r="A327" s="1"/>
      <x:c r="B327" s="1"/>
      <x:c r="C327" s="9" t="str">
        <x:f>IF(Facilities!C27="","",Facilities!C27)</x:f>
        <x:v>F019</x:v>
      </x:c>
      <x:c r="D327" s="3" t="n">
        <x:v>4</x:v>
      </x:c>
      <x:c r="E327" s="9" t="n">
        <x:f>Settings!$F$18+3</x:f>
        <x:v>2030</x:v>
      </x:c>
      <x:c r="F327" s="9" t="str">
        <x:f>IF(C327="","",IFERROR(INDEX('Facilities'!$D$9:$D$108,MATCH(C327,'Facilities'!$C$9:$C$108,0)),"Unavailable"))</x:f>
        <x:v>B010</x:v>
      </x:c>
      <x:c r="G327" s="21" t="n">
        <x:f>IF(C327="","",IFERROR(O227,"Unavailable"))</x:f>
        <x:v>5.9090468000000005</x:v>
      </x:c>
      <x:c r="H327" s="21" t="n">
        <x:f>IF(C327="","",IFERROR(P227,"Unavailable"))</x:f>
        <x:v>0</x:v>
      </x:c>
      <x:c r="I327" s="21" t="n">
        <x:f>IF(C327="","",IFERROR(Q227,"Unavailable"))</x:f>
        <x:v>1.11435</x:v>
      </x:c>
      <x:c r="J327" s="23" t="n">
        <x:f>IF(C327="","",IFERROR(IF(OR(H327&gt;0,AND(AC327&gt;=0,AC327&lt;D327),D327&gt;INDEX('Facilities'!$J$9:$J$108,MATCH(C327,'Facilities'!$C$9:$C$108,0))),0,I327*'Scenario Paths'!I81),"Unavailable"))</x:f>
        <x:v>0.111435</x:v>
      </x:c>
      <x:c r="K327" s="23" t="n">
        <x:f>IF(C327="","",IFERROR(IF(OR(H327&gt;0,AND(AC327&gt;=0,AC327=D327)),0,IF(D327&gt;=INDEX('Facilities'!$J$9:$J$108,MATCH(C327,'Facilities'!$C$9:$C$108,0)),G327+J327,MIN(G327+J327,G327*INDEX('Facilities'!$R$9:$R$108,MATCH(C327,'Facilities'!$C$9:$C$108,0))))),"Unavailable"))</x:f>
        <x:v>0.7090856160000001</x:v>
      </x:c>
      <x:c r="L327" s="21" t="n">
        <x:f>IF(C327="","",IFERROR(IF(AND(AC327=D327,AC327&gt;0),MAX(0,G327+J327-K327),0),"Unavailable"))</x:f>
        <x:v>0</x:v>
      </x:c>
      <x:c r="M327" s="23" t="n">
        <x:f>IF(C327="","",IFERROR(IF(AND(AC327&gt;=0,D327&gt;=AC327+INDEX('Facilities'!$AK$9:$AK$108,MATCH(C327,'Facilities'!$C$9:$C$108,0))),(H327+L327)*AM327,0),"Unavailable"))</x:f>
        <x:v>0</x:v>
      </x:c>
      <x:c r="N327" s="23" t="n">
        <x:f>IF(C327="","",IFERROR(IF(AND(AC327&gt;=0,D327&gt;=AC327+INDEX('Facilities'!$AK$9:$AK$108,MATCH(C327,'Facilities'!$C$9:$C$108,0))),H327+L327-M327,0),"Unavailable"))</x:f>
        <x:v>0</x:v>
      </x:c>
      <x:c r="O327" s="21" t="n">
        <x:f>IF(C327="","",IFERROR(MAX(0,G327+J327-K327-L327),"Unavailable"))</x:f>
        <x:v>5.311396184</x:v>
      </x:c>
      <x:c r="P327" s="21" t="n">
        <x:f>IF(C327="","",IFERROR(MAX(0,H327+L327-M327-N327),"Unavailable"))</x:f>
        <x:v>0</x:v>
      </x:c>
      <x:c r="Q327" s="23" t="n">
        <x:f>IF(C327="","",IFERROR(IF(OR(D327&gt;=INDEX('Facilities'!$J$9:$J$108,MATCH(C327,'Facilities'!$C$9:$C$108,0)),AND(AC327&gt;=0,AC327&lt;=D327)),0,MAX(0,I327-J327)),"Unavailable"))</x:f>
        <x:v>1.002915</x:v>
      </x:c>
      <x:c r="R327" s="30" t="n">
        <x:f>IF(C327="","",IFERROR(INDEX(Credit!$Q$309:$Q$408,MATCH(F327,Credit!$C$309:$C$408,0)),"Unavailable"))</x:f>
        <x:v>0.05772649436254485</x:v>
      </x:c>
      <x:c r="S327" s="30" t="n">
        <x:f>IF(C327="","",IFERROR(INDEX(Credit!$R$309:$R$408,MATCH(F327,Credit!$C$309:$C$408,0)),"Unavailable"))</x:f>
        <x:v>0.44319872000000005</x:v>
      </x:c>
      <x:c r="T327" s="23" t="n">
        <x:f>IF(C327="","",IFERROR(IF(P327&gt;0,3,IF(OR(INDEX('Facilities'!$AD$9:$AD$108,MATCH(C327,'Facilities'!$C$9:$C$108,0))=2,AND(R327&gt;=INDEX('Facilities'!$L$9:$L$108,MATCH(C327,'Facilities'!$C$9:$C$108,0))*Settings!$F$19,R327-INDEX('Facilities'!$L$9:$L$108,MATCH(C327,'Facilities'!$C$9:$C$108,0))&gt;=Settings!$F$20)),2,1)),"Unavailable"))</x:f>
        <x:v>2</x:v>
      </x:c>
      <x:c r="U327" s="23" t="n">
        <x:f>IF(C327="","",IF(AQ327&lt;&gt;"Ready","Unavailable",IF(C327="","",O327*(1-(1-S327)/(1+INDEX('Facilities'!$K$9:$K$108,MATCH(C327,'Facilities'!$C$9:$C$108,0)))^INDEX('Facilities'!$AK$9:$AK$108,MATCH(C327,'Facilities'!$C$9:$C$108,0)))*R327/(1+INDEX('Facilities'!$K$9:$K$108,MATCH(C327,'Facilities'!$C$9:$C$108,0)))*IF(ABS(1-(1-R327)*(1-INDEX('Facilities'!$R$9:$R$108,MATCH(C327,'Facilities'!$C$9:$C$108,0)))/(1+INDEX('Facilities'!$K$9:$K$108,MATCH(C327,'Facilities'!$C$9:$C$108,0))))&lt;0.000000001,IF(T327=1,MIN(1,AJ327),AJ327),(1-((1-R327)*(1-INDEX('Facilities'!$R$9:$R$108,MATCH(C327,'Facilities'!$C$9:$C$108,0)))/(1+INDEX('Facilities'!$K$9:$K$108,MATCH(C327,'Facilities'!$C$9:$C$108,0))))^IF(T327=1,MIN(1,AJ327),AJ327))/(1-(1-R327)*(1-INDEX('Facilities'!$R$9:$R$108,MATCH(C327,'Facilities'!$C$9:$C$108,0)))/(1+INDEX('Facilities'!$K$9:$K$108,MATCH(C327,'Facilities'!$C$9:$C$108,0)))))+AL327)))</x:f>
        <x:v>0.46846681810199914</x:v>
      </x:c>
      <x:c r="V327" s="23" t="n">
        <x:f>IF(C327="","",IF(AQ327&lt;&gt;"Ready","Unavailable",IF(C327="","",Q327*INDEX('Facilities'!$I$9:$I$108,MATCH(C327,'Facilities'!$C$9:$C$108,0))*(1-(1-S327)/(1+INDEX('Facilities'!$K$9:$K$108,MATCH(C327,'Facilities'!$C$9:$C$108,0)))^INDEX('Facilities'!$AK$9:$AK$108,MATCH(C327,'Facilities'!$C$9:$C$108,0)))*R327/(1+INDEX('Facilities'!$K$9:$K$108,MATCH(C327,'Facilities'!$C$9:$C$108,0)))*IF(ABS(1-(1-R327)*(1-0)/(1+INDEX('Facilities'!$K$9:$K$108,MATCH(C327,'Facilities'!$C$9:$C$108,0))))&lt;0.000000001,IF(T327=1,MIN(1,AJ327),AJ327),(1-((1-R327)*(1-0)/(1+INDEX('Facilities'!$K$9:$K$108,MATCH(C327,'Facilities'!$C$9:$C$108,0))))^IF(T327=1,MIN(1,AJ327),AJ327))/(1-(1-R327)*(1-0)/(1+INDEX('Facilities'!$K$9:$K$108,MATCH(C327,'Facilities'!$C$9:$C$108,0))))))))</x:f>
        <x:v>0.054313612045836644</x:v>
      </x:c>
      <x:c r="W327" s="21" t="n">
        <x:f>IF(C327="","",IFERROR(U227,"Unavailable"))</x:f>
        <x:v>0.5924104215527286</x:v>
      </x:c>
      <x:c r="X327" s="21" t="n">
        <x:f>IF(C327="","",IFERROR(V227,"Unavailable"))</x:f>
        <x:v>0.07141353521716855</x:v>
      </x:c>
      <x:c r="Y327" s="21" t="n">
        <x:f>IF(C327="","",IF(AQ327&lt;&gt;"Ready","Unavailable",IF(C327="","",U327-W327+V327-X327+N327+AG327)))</x:f>
        <x:v>-0.14104352662206138</x:v>
      </x:c>
      <x:c r="Z327" s="23" t="n">
        <x:f>IF(C327="","",IF(AQ327&lt;&gt;"Ready","Unavailable",IF(C327="","",(G327+O327+L327)/2*INDEX('Facilities'!$T$9:$T$108,MATCH(C327,'Facilities'!$C$9:$C$108,0))+AG327)))</x:f>
        <x:v>0.5329710417400001</x:v>
      </x:c>
      <x:c r="AA327" s="23" t="n">
        <x:f>IF(C327="","",IF(AQ327&lt;&gt;"Ready","Unavailable",IF(C327="","",O327*(1-IF(INDEX('Facilities'!$AA$9:$AA$108,MATCH(C327,'Facilities'!$C$9:$C$108,0))=0,0,MIN(1,INDEX('Facilities'!$X$9:$X$108,MATCH(C327,'Facilities'!$C$9:$C$108,0))/INDEX('Facilities'!$AA$9:$AA$108,MATCH(C327,'Facilities'!$C$9:$C$108,0)))))*AF327+P327*(1-IF(INDEX('Facilities'!$AA$9:$AA$108,MATCH(C327,'Facilities'!$C$9:$C$108,0))=0,0,MIN(1,INDEX('Facilities'!$X$9:$X$108,MATCH(C327,'Facilities'!$C$9:$C$108,0))/INDEX('Facilities'!$AA$9:$AA$108,MATCH(C327,'Facilities'!$C$9:$C$108,0)))))*INDEX('Facilities'!$AJ$9:$AJ$108,MATCH(C327,'Facilities'!$C$9:$C$108,0))+Q327*INDEX('Facilities'!$AI$9:$AI$108,MATCH(C327,'Facilities'!$C$9:$C$108,0))*AF327)))</x:f>
        <x:v>7.090791030928001</x:v>
      </x:c>
      <x:c r="AB327" s="21" t="n">
        <x:f>IF(C327="","",O327+P327-AD327)</x:f>
        <x:v>-0.5976506160000001</x:v>
      </x:c>
      <x:c r="AC327" s="23" t="n">
        <x:f>IF(C327="","",IFERROR(IF(INDEX('Facilities'!$AD$9:$AD$108,MATCH(C327,'Facilities'!$C$9:$C$108,0))=3,0,IF(INDEX('Facilities'!$AN$9:$AN$108,MATCH(C327,'Facilities'!$C$9:$C$108,0))=0,-1,INDEX('Facilities'!$AN$9:$AN$108,MATCH(C327,'Facilities'!$C$9:$C$108,0)))),"Unavailable"))</x:f>
        <x:v>-1</x:v>
      </x:c>
      <x:c r="AD327" s="21" t="n">
        <x:f>IF(C327="","",IFERROR(G327+H327,"Unavailable"))</x:f>
        <x:v>5.9090468000000005</x:v>
      </x:c>
      <x:c r="AE327" s="21" t="n">
        <x:f>IF(C327="","",IF(AQ327&lt;&gt;"Ready","Unavailable",IF(C327="","",O327+P327-AD327-J327+K327+M327+N327)))</x:f>
        <x:v>0</x:v>
      </x:c>
      <x:c r="AF327" s="30" t="n">
        <x:f>IF(C327="","",IFERROR(INDEX('Facilities'!$S$9:$S$108,MATCH(C327,'Facilities'!$C$9:$C$108,0))*'Scenario Paths'!I75,"Unavailable"))</x:f>
        <x:v>1.25</x:v>
      </x:c>
      <x:c r="AG327" s="23" t="n">
        <x:f>IF(C327="","",IF(AQ327&lt;&gt;"Ready","Unavailable",IF(C327="","",IF(H327&gt;0,MAX(0,H327-AK327)*((1+INDEX('Facilities'!$K$9:$K$108,MATCH(C327,'Facilities'!$C$9:$C$108,0)))^MIN(1,MAX(0,AC327+INDEX('Facilities'!$AK$9:$AK$108,MATCH(C327,'Facilities'!$C$9:$C$108,0))-D327+1))-1),0))))</x:f>
        <x:v>0</x:v>
      </x:c>
      <x:c r="AH327" s="21" t="n">
        <x:f>IF(C327="","",IF(AQ327&lt;&gt;"Ready","Unavailable",IF(C327="","",O327+P327)))</x:f>
        <x:v>5.311396184</x:v>
      </x:c>
      <x:c r="AI327" s="21" t="n">
        <x:f>IF(C327="","",IF(AQ327&lt;&gt;"Ready","Unavailable",IF(C327="","",Z327-Y327)))</x:f>
        <x:v>0.6740145683620615</x:v>
      </x:c>
      <x:c r="AJ327" s="23" t="n">
        <x:f>IF(C327="","",IFERROR(MAX(0,INDEX('Facilities'!$J$9:$J$108,MATCH(C327,'Facilities'!$C$9:$C$108,0))-D327),"Unavailable"))</x:f>
        <x:v>5</x:v>
      </x:c>
      <x:c r="AK327" s="21" t="n">
        <x:f>IF(C327="","",IFERROR(AL227,"Unavailable"))</x:f>
        <x:v>0</x:v>
      </x:c>
      <x:c r="AL327" s="23" t="n">
        <x:f>IF(C327="","",IFERROR(IF(P327&gt;0,P327*(1-AM327/(1+INDEX('Facilities'!$K$9:$K$108,MATCH(C327,'Facilities'!$C$9:$C$108,0)))^MAX(0,AC327+INDEX('Facilities'!$AK$9:$AK$108,MATCH(C327,'Facilities'!$C$9:$C$108,0))-D327)),0),"Unavailable"))</x:f>
        <x:v>0</x:v>
      </x:c>
      <x:c r="AM327" s="30" t="n">
        <x:f>IF(C327="","",IFERROR(INDEX('Facilities'!$AL$9:$AL$108,MATCH(C327,'Facilities'!$C$9:$C$108,0)),"Unavailable"))</x:f>
        <x:v>0.55</x:v>
      </x:c>
      <x:c r="AN327" s="30" t="n">
        <x:f>IF(C327="","",IFERROR(INDEX(Credit!$T$309:$T$408,MATCH(F327,Credit!$C$309:$C$408,0)),"Unavailable"))</x:f>
        <x:v>0.005711999999999999</x:v>
      </x:c>
      <x:c r="AO327" s="23" t="n">
        <x:f>IF(C327="","",IF(AQ327&lt;&gt;"Ready","Unavailable",IF(C327="","",O327+P327+Q327*INDEX('Facilities'!$I$9:$I$108,MATCH(C327,'Facilities'!$C$9:$C$108,0)))))</x:f>
        <x:v>5.812853684</x:v>
      </x:c>
      <x:c r="AP327" s="21" t="n">
        <x:f>IF(C327="","",IF(AQ327&lt;&gt;"Ready","Unavailable",IF(C327="","",AH327-U327)))</x:f>
        <x:v>4.8429293658980015</x:v>
      </x:c>
      <x:c r="AQ327" s="23" t="str">
        <x:f>IFERROR(IF(C327="","",IF(AND(INDEX('Facilities'!$AF$9:$AF$108,MATCH(C327,'Facilities'!$C$9:$C$108,0))="Ready",INDEX(Credit!$U$309:$U$408,MATCH(F327,Credit!$C$309:$C$408,0))="Ready",ISNUMBER(W327)),"Ready","Review inputs")),"Review inputs")</x:f>
        <x:v>Ready</x:v>
      </x:c>
      <x:c r="AR327" s="23" t="n">
        <x:f>IF(C327="","",IF(AQ327&lt;&gt;"Ready","Unavailable",IF(C327="","",IF(O327=0,0,(IF(AJ327&lt;=1,O327,O327*INDEX('Facilities'!$R$9:$R$108,MATCH(C327,'Facilities'!$C$9:$C$108,0)))+O327*INDEX('Facilities'!$T$9:$T$108,MATCH(C327,'Facilities'!$C$9:$C$108,0)))/12))))</x:f>
        <x:v>0.09516251496333333</x:v>
      </x:c>
    </x:row>
    <x:row r="328" ht="26" customHeight="1">
      <x:c r="A328" s="1"/>
      <x:c r="B328" s="1"/>
      <x:c r="C328" s="9" t="str">
        <x:f>IF(Facilities!C28="","",Facilities!C28)</x:f>
        <x:v>F020</x:v>
      </x:c>
      <x:c r="D328" s="3" t="n">
        <x:v>4</x:v>
      </x:c>
      <x:c r="E328" s="9" t="n">
        <x:f>Settings!$F$18+3</x:f>
        <x:v>2030</x:v>
      </x:c>
      <x:c r="F328" s="9" t="str">
        <x:f>IF(C328="","",IFERROR(INDEX('Facilities'!$D$9:$D$108,MATCH(C328,'Facilities'!$C$9:$C$108,0)),"Unavailable"))</x:f>
        <x:v>B010</x:v>
      </x:c>
      <x:c r="G328" s="21" t="n">
        <x:f>IF(C328="","",IFERROR(O228,"Unavailable"))</x:f>
        <x:v>3.968666800000001</x:v>
      </x:c>
      <x:c r="H328" s="21" t="n">
        <x:f>IF(C328="","",IFERROR(P228,"Unavailable"))</x:f>
        <x:v>0</x:v>
      </x:c>
      <x:c r="I328" s="21" t="n">
        <x:f>IF(C328="","",IFERROR(Q228,"Unavailable"))</x:f>
        <x:v>0.37145</x:v>
      </x:c>
      <x:c r="J328" s="23" t="n">
        <x:f>IF(C328="","",IFERROR(IF(OR(H328&gt;0,AND(AC328&gt;=0,AC328&lt;D328),D328&gt;INDEX('Facilities'!$J$9:$J$108,MATCH(C328,'Facilities'!$C$9:$C$108,0))),0,I328*'Scenario Paths'!I81),"Unavailable"))</x:f>
        <x:v>0.037145000000000004</x:v>
      </x:c>
      <x:c r="K328" s="23" t="n">
        <x:f>IF(C328="","",IFERROR(IF(OR(H328&gt;0,AND(AC328&gt;=0,AC328=D328)),0,IF(D328&gt;=INDEX('Facilities'!$J$9:$J$108,MATCH(C328,'Facilities'!$C$9:$C$108,0)),G328+J328,MIN(G328+J328,G328*INDEX('Facilities'!$R$9:$R$108,MATCH(C328,'Facilities'!$C$9:$C$108,0))))),"Unavailable"))</x:f>
        <x:v>0.4762400160000001</x:v>
      </x:c>
      <x:c r="L328" s="21" t="n">
        <x:f>IF(C328="","",IFERROR(IF(AND(AC328=D328,AC328&gt;0),MAX(0,G328+J328-K328),0),"Unavailable"))</x:f>
        <x:v>0</x:v>
      </x:c>
      <x:c r="M328" s="23" t="n">
        <x:f>IF(C328="","",IFERROR(IF(AND(AC328&gt;=0,D328&gt;=AC328+INDEX('Facilities'!$AK$9:$AK$108,MATCH(C328,'Facilities'!$C$9:$C$108,0))),(H328+L328)*AM328,0),"Unavailable"))</x:f>
        <x:v>0</x:v>
      </x:c>
      <x:c r="N328" s="23" t="n">
        <x:f>IF(C328="","",IFERROR(IF(AND(AC328&gt;=0,D328&gt;=AC328+INDEX('Facilities'!$AK$9:$AK$108,MATCH(C328,'Facilities'!$C$9:$C$108,0))),H328+L328-M328,0),"Unavailable"))</x:f>
        <x:v>0</x:v>
      </x:c>
      <x:c r="O328" s="21" t="n">
        <x:f>IF(C328="","",IFERROR(MAX(0,G328+J328-K328-L328),"Unavailable"))</x:f>
        <x:v>3.5295717840000007</x:v>
      </x:c>
      <x:c r="P328" s="21" t="n">
        <x:f>IF(C328="","",IFERROR(MAX(0,H328+L328-M328-N328),"Unavailable"))</x:f>
        <x:v>0</x:v>
      </x:c>
      <x:c r="Q328" s="23" t="n">
        <x:f>IF(C328="","",IFERROR(IF(OR(D328&gt;=INDEX('Facilities'!$J$9:$J$108,MATCH(C328,'Facilities'!$C$9:$C$108,0)),AND(AC328&gt;=0,AC328&lt;=D328)),0,MAX(0,I328-J328)),"Unavailable"))</x:f>
        <x:v>0.334305</x:v>
      </x:c>
      <x:c r="R328" s="30" t="n">
        <x:f>IF(C328="","",IFERROR(INDEX(Credit!$Q$309:$Q$408,MATCH(F328,Credit!$C$309:$C$408,0)),"Unavailable"))</x:f>
        <x:v>0.05772649436254485</x:v>
      </x:c>
      <x:c r="S328" s="30" t="n">
        <x:f>IF(C328="","",IFERROR(INDEX(Credit!$R$309:$R$408,MATCH(F328,Credit!$C$309:$C$408,0)),"Unavailable"))</x:f>
        <x:v>0.44319872000000005</x:v>
      </x:c>
      <x:c r="T328" s="23" t="n">
        <x:f>IF(C328="","",IFERROR(IF(P328&gt;0,3,IF(OR(INDEX('Facilities'!$AD$9:$AD$108,MATCH(C328,'Facilities'!$C$9:$C$108,0))=2,AND(R328&gt;=INDEX('Facilities'!$L$9:$L$108,MATCH(C328,'Facilities'!$C$9:$C$108,0))*Settings!$F$19,R328-INDEX('Facilities'!$L$9:$L$108,MATCH(C328,'Facilities'!$C$9:$C$108,0))&gt;=Settings!$F$20)),2,1)),"Unavailable"))</x:f>
        <x:v>2</x:v>
      </x:c>
      <x:c r="U328" s="23" t="n">
        <x:f>IF(C328="","",IF(AQ328&lt;&gt;"Ready","Unavailable",IF(C328="","",O328*(1-(1-S328)/(1+INDEX('Facilities'!$K$9:$K$108,MATCH(C328,'Facilities'!$C$9:$C$108,0)))^INDEX('Facilities'!$AK$9:$AK$108,MATCH(C328,'Facilities'!$C$9:$C$108,0)))*R328/(1+INDEX('Facilities'!$K$9:$K$108,MATCH(C328,'Facilities'!$C$9:$C$108,0)))*IF(ABS(1-(1-R328)*(1-INDEX('Facilities'!$R$9:$R$108,MATCH(C328,'Facilities'!$C$9:$C$108,0)))/(1+INDEX('Facilities'!$K$9:$K$108,MATCH(C328,'Facilities'!$C$9:$C$108,0))))&lt;0.000000001,IF(T328=1,MIN(1,AJ328),AJ328),(1-((1-R328)*(1-INDEX('Facilities'!$R$9:$R$108,MATCH(C328,'Facilities'!$C$9:$C$108,0)))/(1+INDEX('Facilities'!$K$9:$K$108,MATCH(C328,'Facilities'!$C$9:$C$108,0))))^IF(T328=1,MIN(1,AJ328),AJ328))/(1-(1-R328)*(1-INDEX('Facilities'!$R$9:$R$108,MATCH(C328,'Facilities'!$C$9:$C$108,0)))/(1+INDEX('Facilities'!$K$9:$K$108,MATCH(C328,'Facilities'!$C$9:$C$108,0)))))+AL328)))</x:f>
        <x:v>0.3113093442161265</x:v>
      </x:c>
      <x:c r="V328" s="23" t="n">
        <x:f>IF(C328="","",IF(AQ328&lt;&gt;"Ready","Unavailable",IF(C328="","",Q328*INDEX('Facilities'!$I$9:$I$108,MATCH(C328,'Facilities'!$C$9:$C$108,0))*(1-(1-S328)/(1+INDEX('Facilities'!$K$9:$K$108,MATCH(C328,'Facilities'!$C$9:$C$108,0)))^INDEX('Facilities'!$AK$9:$AK$108,MATCH(C328,'Facilities'!$C$9:$C$108,0)))*R328/(1+INDEX('Facilities'!$K$9:$K$108,MATCH(C328,'Facilities'!$C$9:$C$108,0)))*IF(ABS(1-(1-R328)*(1-0)/(1+INDEX('Facilities'!$K$9:$K$108,MATCH(C328,'Facilities'!$C$9:$C$108,0))))&lt;0.000000001,IF(T328=1,MIN(1,AJ328),AJ328),(1-((1-R328)*(1-0)/(1+INDEX('Facilities'!$K$9:$K$108,MATCH(C328,'Facilities'!$C$9:$C$108,0))))^IF(T328=1,MIN(1,AJ328),AJ328))/(1-(1-R328)*(1-0)/(1+INDEX('Facilities'!$K$9:$K$108,MATCH(C328,'Facilities'!$C$9:$C$108,0))))))))</x:f>
        <x:v>0.018104537348612216</x:v>
      </x:c>
      <x:c r="W328" s="21" t="n">
        <x:f>IF(C328="","",IFERROR(U228,"Unavailable"))</x:f>
        <x:v>0.3978779744967189</x:v>
      </x:c>
      <x:c r="X328" s="21" t="n">
        <x:f>IF(C328="","",IFERROR(V228,"Unavailable"))</x:f>
        <x:v>0.023804511739056188</x:v>
      </x:c>
      <x:c r="Y328" s="21" t="n">
        <x:f>IF(C328="","",IF(AQ328&lt;&gt;"Ready","Unavailable",IF(C328="","",U328-W328+V328-X328+N328+AG328)))</x:f>
        <x:v>-0.0922686046710364</x:v>
      </x:c>
      <x:c r="Z328" s="23" t="n">
        <x:f>IF(C328="","",IF(AQ328&lt;&gt;"Ready","Unavailable",IF(C328="","",(G328+O328+L328)/2*INDEX('Facilities'!$T$9:$T$108,MATCH(C328,'Facilities'!$C$9:$C$108,0))+AG328)))</x:f>
        <x:v>0.3561663327400001</x:v>
      </x:c>
      <x:c r="AA328" s="23" t="n">
        <x:f>IF(C328="","",IF(AQ328&lt;&gt;"Ready","Unavailable",IF(C328="","",O328*(1-IF(INDEX('Facilities'!$AA$9:$AA$108,MATCH(C328,'Facilities'!$C$9:$C$108,0))=0,0,MIN(1,INDEX('Facilities'!$X$9:$X$108,MATCH(C328,'Facilities'!$C$9:$C$108,0))/INDEX('Facilities'!$AA$9:$AA$108,MATCH(C328,'Facilities'!$C$9:$C$108,0)))))*AF328+P328*(1-IF(INDEX('Facilities'!$AA$9:$AA$108,MATCH(C328,'Facilities'!$C$9:$C$108,0))=0,0,MIN(1,INDEX('Facilities'!$X$9:$X$108,MATCH(C328,'Facilities'!$C$9:$C$108,0))/INDEX('Facilities'!$AA$9:$AA$108,MATCH(C328,'Facilities'!$C$9:$C$108,0)))))*INDEX('Facilities'!$AJ$9:$AJ$108,MATCH(C328,'Facilities'!$C$9:$C$108,0))+Q328*INDEX('Facilities'!$AI$9:$AI$108,MATCH(C328,'Facilities'!$C$9:$C$108,0))*AF328)))</x:f>
        <x:v>4.504429486128002</x:v>
      </x:c>
      <x:c r="AB328" s="21" t="n">
        <x:f>IF(C328="","",O328+P328-AD328)</x:f>
        <x:v>-0.43909501600000045</x:v>
      </x:c>
      <x:c r="AC328" s="23" t="n">
        <x:f>IF(C328="","",IFERROR(IF(INDEX('Facilities'!$AD$9:$AD$108,MATCH(C328,'Facilities'!$C$9:$C$108,0))=3,0,IF(INDEX('Facilities'!$AN$9:$AN$108,MATCH(C328,'Facilities'!$C$9:$C$108,0))=0,-1,INDEX('Facilities'!$AN$9:$AN$108,MATCH(C328,'Facilities'!$C$9:$C$108,0)))),"Unavailable"))</x:f>
        <x:v>-1</x:v>
      </x:c>
      <x:c r="AD328" s="21" t="n">
        <x:f>IF(C328="","",IFERROR(G328+H328,"Unavailable"))</x:f>
        <x:v>3.968666800000001</x:v>
      </x:c>
      <x:c r="AE328" s="21" t="n">
        <x:f>IF(C328="","",IF(AQ328&lt;&gt;"Ready","Unavailable",IF(C328="","",O328+P328-AD328-J328+K328+M328+N328)))</x:f>
        <x:v>-3.3306690738754696e-16</x:v>
      </x:c>
      <x:c r="AF328" s="30" t="n">
        <x:f>IF(C328="","",IFERROR(INDEX('Facilities'!$S$9:$S$108,MATCH(C328,'Facilities'!$C$9:$C$108,0))*'Scenario Paths'!I75,"Unavailable"))</x:f>
        <x:v>1.25</x:v>
      </x:c>
      <x:c r="AG328" s="23" t="n">
        <x:f>IF(C328="","",IF(AQ328&lt;&gt;"Ready","Unavailable",IF(C328="","",IF(H328&gt;0,MAX(0,H328-AK328)*((1+INDEX('Facilities'!$K$9:$K$108,MATCH(C328,'Facilities'!$C$9:$C$108,0)))^MIN(1,MAX(0,AC328+INDEX('Facilities'!$AK$9:$AK$108,MATCH(C328,'Facilities'!$C$9:$C$108,0))-D328+1))-1),0))))</x:f>
        <x:v>0</x:v>
      </x:c>
      <x:c r="AH328" s="21" t="n">
        <x:f>IF(C328="","",IF(AQ328&lt;&gt;"Ready","Unavailable",IF(C328="","",O328+P328)))</x:f>
        <x:v>3.5295717840000007</x:v>
      </x:c>
      <x:c r="AI328" s="21" t="n">
        <x:f>IF(C328="","",IF(AQ328&lt;&gt;"Ready","Unavailable",IF(C328="","",Z328-Y328)))</x:f>
        <x:v>0.44843493741103646</x:v>
      </x:c>
      <x:c r="AJ328" s="23" t="n">
        <x:f>IF(C328="","",IFERROR(MAX(0,INDEX('Facilities'!$J$9:$J$108,MATCH(C328,'Facilities'!$C$9:$C$108,0))-D328),"Unavailable"))</x:f>
        <x:v>5</x:v>
      </x:c>
      <x:c r="AK328" s="21" t="n">
        <x:f>IF(C328="","",IFERROR(AL228,"Unavailable"))</x:f>
        <x:v>0</x:v>
      </x:c>
      <x:c r="AL328" s="23" t="n">
        <x:f>IF(C328="","",IFERROR(IF(P328&gt;0,P328*(1-AM328/(1+INDEX('Facilities'!$K$9:$K$108,MATCH(C328,'Facilities'!$C$9:$C$108,0)))^MAX(0,AC328+INDEX('Facilities'!$AK$9:$AK$108,MATCH(C328,'Facilities'!$C$9:$C$108,0))-D328)),0),"Unavailable"))</x:f>
        <x:v>0</x:v>
      </x:c>
      <x:c r="AM328" s="30" t="n">
        <x:f>IF(C328="","",IFERROR(INDEX('Facilities'!$AL$9:$AL$108,MATCH(C328,'Facilities'!$C$9:$C$108,0)),"Unavailable"))</x:f>
        <x:v>0.55</x:v>
      </x:c>
      <x:c r="AN328" s="30" t="n">
        <x:f>IF(C328="","",IFERROR(INDEX(Credit!$T$309:$T$408,MATCH(F328,Credit!$C$309:$C$408,0)),"Unavailable"))</x:f>
        <x:v>0.005711999999999999</x:v>
      </x:c>
      <x:c r="AO328" s="23" t="n">
        <x:f>IF(C328="","",IF(AQ328&lt;&gt;"Ready","Unavailable",IF(C328="","",O328+P328+Q328*INDEX('Facilities'!$I$9:$I$108,MATCH(C328,'Facilities'!$C$9:$C$108,0)))))</x:f>
        <x:v>3.6967242840000005</x:v>
      </x:c>
      <x:c r="AP328" s="21" t="n">
        <x:f>IF(C328="","",IF(AQ328&lt;&gt;"Ready","Unavailable",IF(C328="","",AH328-U328)))</x:f>
        <x:v>3.2182624397838744</x:v>
      </x:c>
      <x:c r="AQ328" s="23" t="str">
        <x:f>IFERROR(IF(C328="","",IF(AND(INDEX('Facilities'!$AF$9:$AF$108,MATCH(C328,'Facilities'!$C$9:$C$108,0))="Ready",INDEX(Credit!$U$309:$U$408,MATCH(F328,Credit!$C$309:$C$408,0))="Ready",ISNUMBER(W328)),"Ready","Review inputs")),"Review inputs")</x:f>
        <x:v>Ready</x:v>
      </x:c>
      <x:c r="AR328" s="23" t="n">
        <x:f>IF(C328="","",IF(AQ328&lt;&gt;"Ready","Unavailable",IF(C328="","",IF(O328=0,0,(IF(AJ328&lt;=1,O328,O328*INDEX('Facilities'!$R$9:$R$108,MATCH(C328,'Facilities'!$C$9:$C$108,0)))+O328*INDEX('Facilities'!$T$9:$T$108,MATCH(C328,'Facilities'!$C$9:$C$108,0)))/12))))</x:f>
        <x:v>0.06323816113000001</x:v>
      </x:c>
    </x:row>
    <x:row r="329" ht="26" customHeight="1">
      <x:c r="A329" s="1"/>
      <x:c r="B329" s="1"/>
      <x:c r="C329" s="9" t="str">
        <x:f>IF(Facilities!C29="","",Facilities!C29)</x:f>
        <x:v>F021</x:v>
      </x:c>
      <x:c r="D329" s="3" t="n">
        <x:v>4</x:v>
      </x:c>
      <x:c r="E329" s="9" t="n">
        <x:f>Settings!$F$18+3</x:f>
        <x:v>2030</x:v>
      </x:c>
      <x:c r="F329" s="9" t="str">
        <x:f>IF(C329="","",IFERROR(INDEX('Facilities'!$D$9:$D$108,MATCH(C329,'Facilities'!$C$9:$C$108,0)),"Unavailable"))</x:f>
        <x:v>B011</x:v>
      </x:c>
      <x:c r="G329" s="21" t="n">
        <x:f>IF(C329="","",IFERROR(O229,"Unavailable"))</x:f>
        <x:v>6.147562</x:v>
      </x:c>
      <x:c r="H329" s="21" t="n">
        <x:f>IF(C329="","",IFERROR(P229,"Unavailable"))</x:f>
        <x:v>0</x:v>
      </x:c>
      <x:c r="I329" s="21" t="n">
        <x:f>IF(C329="","",IFERROR(Q229,"Unavailable"))</x:f>
        <x:v>1.11435</x:v>
      </x:c>
      <x:c r="J329" s="23" t="n">
        <x:f>IF(C329="","",IFERROR(IF(OR(H329&gt;0,AND(AC329&gt;=0,AC329&lt;D329),D329&gt;INDEX('Facilities'!$J$9:$J$108,MATCH(C329,'Facilities'!$C$9:$C$108,0))),0,I329*'Scenario Paths'!I81),"Unavailable"))</x:f>
        <x:v>0.111435</x:v>
      </x:c>
      <x:c r="K329" s="23" t="n">
        <x:f>IF(C329="","",IFERROR(IF(OR(H329&gt;0,AND(AC329&gt;=0,AC329=D329)),0,IF(D329&gt;=INDEX('Facilities'!$J$9:$J$108,MATCH(C329,'Facilities'!$C$9:$C$108,0)),G329+J329,MIN(G329+J329,G329*INDEX('Facilities'!$R$9:$R$108,MATCH(C329,'Facilities'!$C$9:$C$108,0))))),"Unavailable"))</x:f>
        <x:v>0.73770744</x:v>
      </x:c>
      <x:c r="L329" s="21" t="n">
        <x:f>IF(C329="","",IFERROR(IF(AND(AC329=D329,AC329&gt;0),MAX(0,G329+J329-K329),0),"Unavailable"))</x:f>
        <x:v>0</x:v>
      </x:c>
      <x:c r="M329" s="23" t="n">
        <x:f>IF(C329="","",IFERROR(IF(AND(AC329&gt;=0,D329&gt;=AC329+INDEX('Facilities'!$AK$9:$AK$108,MATCH(C329,'Facilities'!$C$9:$C$108,0))),(H329+L329)*AM329,0),"Unavailable"))</x:f>
        <x:v>0</x:v>
      </x:c>
      <x:c r="N329" s="23" t="n">
        <x:f>IF(C329="","",IFERROR(IF(AND(AC329&gt;=0,D329&gt;=AC329+INDEX('Facilities'!$AK$9:$AK$108,MATCH(C329,'Facilities'!$C$9:$C$108,0))),H329+L329-M329,0),"Unavailable"))</x:f>
        <x:v>0</x:v>
      </x:c>
      <x:c r="O329" s="21" t="n">
        <x:f>IF(C329="","",IFERROR(MAX(0,G329+J329-K329-L329),"Unavailable"))</x:f>
        <x:v>5.52128956</x:v>
      </x:c>
      <x:c r="P329" s="21" t="n">
        <x:f>IF(C329="","",IFERROR(MAX(0,H329+L329-M329-N329),"Unavailable"))</x:f>
        <x:v>0</x:v>
      </x:c>
      <x:c r="Q329" s="23" t="n">
        <x:f>IF(C329="","",IFERROR(IF(OR(D329&gt;=INDEX('Facilities'!$J$9:$J$108,MATCH(C329,'Facilities'!$C$9:$C$108,0)),AND(AC329&gt;=0,AC329&lt;=D329)),0,MAX(0,I329-J329)),"Unavailable"))</x:f>
        <x:v>1.002915</x:v>
      </x:c>
      <x:c r="R329" s="30" t="n">
        <x:f>IF(C329="","",IFERROR(INDEX(Credit!$Q$309:$Q$408,MATCH(F329,Credit!$C$309:$C$408,0)),"Unavailable"))</x:f>
        <x:v>0.06979569874217413</x:v>
      </x:c>
      <x:c r="S329" s="30" t="n">
        <x:f>IF(C329="","",IFERROR(INDEX(Credit!$R$309:$R$408,MATCH(F329,Credit!$C$309:$C$408,0)),"Unavailable"))</x:f>
        <x:v>0.28172800000000003</x:v>
      </x:c>
      <x:c r="T329" s="23" t="n">
        <x:f>IF(C329="","",IFERROR(IF(P329&gt;0,3,IF(OR(INDEX('Facilities'!$AD$9:$AD$108,MATCH(C329,'Facilities'!$C$9:$C$108,0))=2,AND(R329&gt;=INDEX('Facilities'!$L$9:$L$108,MATCH(C329,'Facilities'!$C$9:$C$108,0))*Settings!$F$19,R329-INDEX('Facilities'!$L$9:$L$108,MATCH(C329,'Facilities'!$C$9:$C$108,0))&gt;=Settings!$F$20)),2,1)),"Unavailable"))</x:f>
        <x:v>1</x:v>
      </x:c>
      <x:c r="U329" s="23" t="n">
        <x:f>IF(C329="","",IF(AQ329&lt;&gt;"Ready","Unavailable",IF(C329="","",O329*(1-(1-S329)/(1+INDEX('Facilities'!$K$9:$K$108,MATCH(C329,'Facilities'!$C$9:$C$108,0)))^INDEX('Facilities'!$AK$9:$AK$108,MATCH(C329,'Facilities'!$C$9:$C$108,0)))*R329/(1+INDEX('Facilities'!$K$9:$K$108,MATCH(C329,'Facilities'!$C$9:$C$108,0)))*IF(ABS(1-(1-R329)*(1-INDEX('Facilities'!$R$9:$R$108,MATCH(C329,'Facilities'!$C$9:$C$108,0)))/(1+INDEX('Facilities'!$K$9:$K$108,MATCH(C329,'Facilities'!$C$9:$C$108,0))))&lt;0.000000001,IF(T329=1,MIN(1,AJ329),AJ329),(1-((1-R329)*(1-INDEX('Facilities'!$R$9:$R$108,MATCH(C329,'Facilities'!$C$9:$C$108,0)))/(1+INDEX('Facilities'!$K$9:$K$108,MATCH(C329,'Facilities'!$C$9:$C$108,0))))^IF(T329=1,MIN(1,AJ329),AJ329))/(1-(1-R329)*(1-INDEX('Facilities'!$R$9:$R$108,MATCH(C329,'Facilities'!$C$9:$C$108,0)))/(1+INDEX('Facilities'!$K$9:$K$108,MATCH(C329,'Facilities'!$C$9:$C$108,0)))))+AL329)))</x:f>
        <x:v>0.13708817579190644</x:v>
      </x:c>
      <x:c r="V329" s="23" t="n">
        <x:f>IF(C329="","",IF(AQ329&lt;&gt;"Ready","Unavailable",IF(C329="","",Q329*INDEX('Facilities'!$I$9:$I$108,MATCH(C329,'Facilities'!$C$9:$C$108,0))*(1-(1-S329)/(1+INDEX('Facilities'!$K$9:$K$108,MATCH(C329,'Facilities'!$C$9:$C$108,0)))^INDEX('Facilities'!$AK$9:$AK$108,MATCH(C329,'Facilities'!$C$9:$C$108,0)))*R329/(1+INDEX('Facilities'!$K$9:$K$108,MATCH(C329,'Facilities'!$C$9:$C$108,0)))*IF(ABS(1-(1-R329)*(1-0)/(1+INDEX('Facilities'!$K$9:$K$108,MATCH(C329,'Facilities'!$C$9:$C$108,0))))&lt;0.000000001,IF(T329=1,MIN(1,AJ329),AJ329),(1-((1-R329)*(1-0)/(1+INDEX('Facilities'!$K$9:$K$108,MATCH(C329,'Facilities'!$C$9:$C$108,0))))^IF(T329=1,MIN(1,AJ329),AJ329))/(1-(1-R329)*(1-0)/(1+INDEX('Facilities'!$K$9:$K$108,MATCH(C329,'Facilities'!$C$9:$C$108,0))))))))</x:f>
        <x:v>0.01245069528868722</x:v>
      </x:c>
      <x:c r="W329" s="21" t="n">
        <x:f>IF(C329="","",IFERROR(U229,"Unavailable"))</x:f>
        <x:v>0.28172217024532303</x:v>
      </x:c>
      <x:c r="X329" s="21" t="n">
        <x:f>IF(C329="","",IFERROR(V229,"Unavailable"))</x:f>
        <x:v>0.0270312636800032</x:v>
      </x:c>
      <x:c r="Y329" s="21" t="n">
        <x:f>IF(C329="","",IF(AQ329&lt;&gt;"Ready","Unavailable",IF(C329="","",U329-W329+V329-X329+N329+AG329)))</x:f>
        <x:v>-0.15921456284473257</x:v>
      </x:c>
      <x:c r="Z329" s="23" t="n">
        <x:f>IF(C329="","",IF(AQ329&lt;&gt;"Ready","Unavailable",IF(C329="","",(G329+O329+L329)/2*INDEX('Facilities'!$T$9:$T$108,MATCH(C329,'Facilities'!$C$9:$C$108,0))+AG329)))</x:f>
        <x:v>0.5542704491</x:v>
      </x:c>
      <x:c r="AA329" s="23" t="n">
        <x:f>IF(C329="","",IF(AQ329&lt;&gt;"Ready","Unavailable",IF(C329="","",O329*(1-IF(INDEX('Facilities'!$AA$9:$AA$108,MATCH(C329,'Facilities'!$C$9:$C$108,0))=0,0,MIN(1,INDEX('Facilities'!$X$9:$X$108,MATCH(C329,'Facilities'!$C$9:$C$108,0))/INDEX('Facilities'!$AA$9:$AA$108,MATCH(C329,'Facilities'!$C$9:$C$108,0)))))*AF329+P329*(1-IF(INDEX('Facilities'!$AA$9:$AA$108,MATCH(C329,'Facilities'!$C$9:$C$108,0))=0,0,MIN(1,INDEX('Facilities'!$X$9:$X$108,MATCH(C329,'Facilities'!$C$9:$C$108,0))/INDEX('Facilities'!$AA$9:$AA$108,MATCH(C329,'Facilities'!$C$9:$C$108,0)))))*INDEX('Facilities'!$AJ$9:$AJ$108,MATCH(C329,'Facilities'!$C$9:$C$108,0))+Q329*INDEX('Facilities'!$AI$9:$AI$108,MATCH(C329,'Facilities'!$C$9:$C$108,0))*AF329)))</x:f>
        <x:v>7.389297328087999</x:v>
      </x:c>
      <x:c r="AB329" s="21" t="n">
        <x:f>IF(C329="","",O329+P329-AD329)</x:f>
        <x:v>-0.6262724400000002</x:v>
      </x:c>
      <x:c r="AC329" s="23" t="n">
        <x:f>IF(C329="","",IFERROR(IF(INDEX('Facilities'!$AD$9:$AD$108,MATCH(C329,'Facilities'!$C$9:$C$108,0))=3,0,IF(INDEX('Facilities'!$AN$9:$AN$108,MATCH(C329,'Facilities'!$C$9:$C$108,0))=0,-1,INDEX('Facilities'!$AN$9:$AN$108,MATCH(C329,'Facilities'!$C$9:$C$108,0)))),"Unavailable"))</x:f>
        <x:v>-1</x:v>
      </x:c>
      <x:c r="AD329" s="21" t="n">
        <x:f>IF(C329="","",IFERROR(G329+H329,"Unavailable"))</x:f>
        <x:v>6.147562</x:v>
      </x:c>
      <x:c r="AE329" s="21" t="n">
        <x:f>IF(C329="","",IF(AQ329&lt;&gt;"Ready","Unavailable",IF(C329="","",O329+P329-AD329-J329+K329+M329+N329)))</x:f>
        <x:v>-1.1102230246251565e-16</x:v>
      </x:c>
      <x:c r="AF329" s="30" t="n">
        <x:f>IF(C329="","",IFERROR(INDEX('Facilities'!$S$9:$S$108,MATCH(C329,'Facilities'!$C$9:$C$108,0))*'Scenario Paths'!I75,"Unavailable"))</x:f>
        <x:v>1.25</x:v>
      </x:c>
      <x:c r="AG329" s="23" t="n">
        <x:f>IF(C329="","",IF(AQ329&lt;&gt;"Ready","Unavailable",IF(C329="","",IF(H329&gt;0,MAX(0,H329-AK329)*((1+INDEX('Facilities'!$K$9:$K$108,MATCH(C329,'Facilities'!$C$9:$C$108,0)))^MIN(1,MAX(0,AC329+INDEX('Facilities'!$AK$9:$AK$108,MATCH(C329,'Facilities'!$C$9:$C$108,0))-D329+1))-1),0))))</x:f>
        <x:v>0</x:v>
      </x:c>
      <x:c r="AH329" s="21" t="n">
        <x:f>IF(C329="","",IF(AQ329&lt;&gt;"Ready","Unavailable",IF(C329="","",O329+P329)))</x:f>
        <x:v>5.52128956</x:v>
      </x:c>
      <x:c r="AI329" s="21" t="n">
        <x:f>IF(C329="","",IF(AQ329&lt;&gt;"Ready","Unavailable",IF(C329="","",Z329-Y329)))</x:f>
        <x:v>0.7134850119447326</x:v>
      </x:c>
      <x:c r="AJ329" s="23" t="n">
        <x:f>IF(C329="","",IFERROR(MAX(0,INDEX('Facilities'!$J$9:$J$108,MATCH(C329,'Facilities'!$C$9:$C$108,0))-D329),"Unavailable"))</x:f>
        <x:v>1</x:v>
      </x:c>
      <x:c r="AK329" s="21" t="n">
        <x:f>IF(C329="","",IFERROR(AL229,"Unavailable"))</x:f>
        <x:v>0</x:v>
      </x:c>
      <x:c r="AL329" s="23" t="n">
        <x:f>IF(C329="","",IFERROR(IF(P329&gt;0,P329*(1-AM329/(1+INDEX('Facilities'!$K$9:$K$108,MATCH(C329,'Facilities'!$C$9:$C$108,0)))^MAX(0,AC329+INDEX('Facilities'!$AK$9:$AK$108,MATCH(C329,'Facilities'!$C$9:$C$108,0))-D329)),0),"Unavailable"))</x:f>
        <x:v>0</x:v>
      </x:c>
      <x:c r="AM329" s="30" t="n">
        <x:f>IF(C329="","",IFERROR(INDEX('Facilities'!$AL$9:$AL$108,MATCH(C329,'Facilities'!$C$9:$C$108,0)),"Unavailable"))</x:f>
        <x:v>0.55</x:v>
      </x:c>
      <x:c r="AN329" s="30" t="n">
        <x:f>IF(C329="","",IFERROR(INDEX(Credit!$T$309:$T$408,MATCH(F329,Credit!$C$309:$C$408,0)),"Unavailable"))</x:f>
        <x:v>0.0024000000000000002</x:v>
      </x:c>
      <x:c r="AO329" s="23" t="n">
        <x:f>IF(C329="","",IF(AQ329&lt;&gt;"Ready","Unavailable",IF(C329="","",O329+P329+Q329*INDEX('Facilities'!$I$9:$I$108,MATCH(C329,'Facilities'!$C$9:$C$108,0)))))</x:f>
        <x:v>6.0227470599999995</x:v>
      </x:c>
      <x:c r="AP329" s="21" t="n">
        <x:f>IF(C329="","",IF(AQ329&lt;&gt;"Ready","Unavailable",IF(C329="","",AH329-U329)))</x:f>
        <x:v>5.384201384208093</x:v>
      </x:c>
      <x:c r="AQ329" s="23" t="str">
        <x:f>IFERROR(IF(C329="","",IF(AND(INDEX('Facilities'!$AF$9:$AF$108,MATCH(C329,'Facilities'!$C$9:$C$108,0))="Ready",INDEX(Credit!$U$309:$U$408,MATCH(F329,Credit!$C$309:$C$408,0))="Ready",ISNUMBER(W329)),"Ready","Review inputs")),"Review inputs")</x:f>
        <x:v>Ready</x:v>
      </x:c>
      <x:c r="AR329" s="23" t="n">
        <x:f>IF(C329="","",IF(AQ329&lt;&gt;"Ready","Unavailable",IF(C329="","",IF(O329=0,0,(IF(AJ329&lt;=1,O329,O329*INDEX('Facilities'!$R$9:$R$108,MATCH(C329,'Facilities'!$C$9:$C$108,0)))+O329*INDEX('Facilities'!$T$9:$T$108,MATCH(C329,'Facilities'!$C$9:$C$108,0)))/12))))</x:f>
        <x:v>0.50381767235</x:v>
      </x:c>
    </x:row>
    <x:row r="330" ht="26" customHeight="1">
      <x:c r="A330" s="1"/>
      <x:c r="B330" s="1"/>
      <x:c r="C330" s="9" t="str">
        <x:f>IF(Facilities!C30="","",Facilities!C30)</x:f>
        <x:v>F022</x:v>
      </x:c>
      <x:c r="D330" s="3" t="n">
        <x:v>4</x:v>
      </x:c>
      <x:c r="E330" s="9" t="n">
        <x:f>Settings!$F$18+3</x:f>
        <x:v>2030</x:v>
      </x:c>
      <x:c r="F330" s="9" t="str">
        <x:f>IF(C330="","",IFERROR(INDEX('Facilities'!$D$9:$D$108,MATCH(C330,'Facilities'!$C$9:$C$108,0)),"Unavailable"))</x:f>
        <x:v>B011</x:v>
      </x:c>
      <x:c r="G330" s="21" t="n">
        <x:f>IF(C330="","",IFERROR(O230,"Unavailable"))</x:f>
        <x:v>4.207182</x:v>
      </x:c>
      <x:c r="H330" s="21" t="n">
        <x:f>IF(C330="","",IFERROR(P230,"Unavailable"))</x:f>
        <x:v>0</x:v>
      </x:c>
      <x:c r="I330" s="21" t="n">
        <x:f>IF(C330="","",IFERROR(Q230,"Unavailable"))</x:f>
        <x:v>0.37145</x:v>
      </x:c>
      <x:c r="J330" s="23" t="n">
        <x:f>IF(C330="","",IFERROR(IF(OR(H330&gt;0,AND(AC330&gt;=0,AC330&lt;D330),D330&gt;INDEX('Facilities'!$J$9:$J$108,MATCH(C330,'Facilities'!$C$9:$C$108,0))),0,I330*'Scenario Paths'!I81),"Unavailable"))</x:f>
        <x:v>0.037145000000000004</x:v>
      </x:c>
      <x:c r="K330" s="23" t="n">
        <x:f>IF(C330="","",IFERROR(IF(OR(H330&gt;0,AND(AC330&gt;=0,AC330=D330)),0,IF(D330&gt;=INDEX('Facilities'!$J$9:$J$108,MATCH(C330,'Facilities'!$C$9:$C$108,0)),G330+J330,MIN(G330+J330,G330*INDEX('Facilities'!$R$9:$R$108,MATCH(C330,'Facilities'!$C$9:$C$108,0))))),"Unavailable"))</x:f>
        <x:v>0.50486184</x:v>
      </x:c>
      <x:c r="L330" s="21" t="n">
        <x:f>IF(C330="","",IFERROR(IF(AND(AC330=D330,AC330&gt;0),MAX(0,G330+J330-K330),0),"Unavailable"))</x:f>
        <x:v>0</x:v>
      </x:c>
      <x:c r="M330" s="23" t="n">
        <x:f>IF(C330="","",IFERROR(IF(AND(AC330&gt;=0,D330&gt;=AC330+INDEX('Facilities'!$AK$9:$AK$108,MATCH(C330,'Facilities'!$C$9:$C$108,0))),(H330+L330)*AM330,0),"Unavailable"))</x:f>
        <x:v>0</x:v>
      </x:c>
      <x:c r="N330" s="23" t="n">
        <x:f>IF(C330="","",IFERROR(IF(AND(AC330&gt;=0,D330&gt;=AC330+INDEX('Facilities'!$AK$9:$AK$108,MATCH(C330,'Facilities'!$C$9:$C$108,0))),H330+L330-M330,0),"Unavailable"))</x:f>
        <x:v>0</x:v>
      </x:c>
      <x:c r="O330" s="21" t="n">
        <x:f>IF(C330="","",IFERROR(MAX(0,G330+J330-K330-L330),"Unavailable"))</x:f>
        <x:v>3.73946516</x:v>
      </x:c>
      <x:c r="P330" s="21" t="n">
        <x:f>IF(C330="","",IFERROR(MAX(0,H330+L330-M330-N330),"Unavailable"))</x:f>
        <x:v>0</x:v>
      </x:c>
      <x:c r="Q330" s="23" t="n">
        <x:f>IF(C330="","",IFERROR(IF(OR(D330&gt;=INDEX('Facilities'!$J$9:$J$108,MATCH(C330,'Facilities'!$C$9:$C$108,0)),AND(AC330&gt;=0,AC330&lt;=D330)),0,MAX(0,I330-J330)),"Unavailable"))</x:f>
        <x:v>0.334305</x:v>
      </x:c>
      <x:c r="R330" s="30" t="n">
        <x:f>IF(C330="","",IFERROR(INDEX(Credit!$Q$309:$Q$408,MATCH(F330,Credit!$C$309:$C$408,0)),"Unavailable"))</x:f>
        <x:v>0.06979569874217413</x:v>
      </x:c>
      <x:c r="S330" s="30" t="n">
        <x:f>IF(C330="","",IFERROR(INDEX(Credit!$R$309:$R$408,MATCH(F330,Credit!$C$309:$C$408,0)),"Unavailable"))</x:f>
        <x:v>0.28172800000000003</x:v>
      </x:c>
      <x:c r="T330" s="23" t="n">
        <x:f>IF(C330="","",IFERROR(IF(P330&gt;0,3,IF(OR(INDEX('Facilities'!$AD$9:$AD$108,MATCH(C330,'Facilities'!$C$9:$C$108,0))=2,AND(R330&gt;=INDEX('Facilities'!$L$9:$L$108,MATCH(C330,'Facilities'!$C$9:$C$108,0))*Settings!$F$19,R330-INDEX('Facilities'!$L$9:$L$108,MATCH(C330,'Facilities'!$C$9:$C$108,0))&gt;=Settings!$F$20)),2,1)),"Unavailable"))</x:f>
        <x:v>1</x:v>
      </x:c>
      <x:c r="U330" s="23" t="n">
        <x:f>IF(C330="","",IF(AQ330&lt;&gt;"Ready","Unavailable",IF(C330="","",O330*(1-(1-S330)/(1+INDEX('Facilities'!$K$9:$K$108,MATCH(C330,'Facilities'!$C$9:$C$108,0)))^INDEX('Facilities'!$AK$9:$AK$108,MATCH(C330,'Facilities'!$C$9:$C$108,0)))*R330/(1+INDEX('Facilities'!$K$9:$K$108,MATCH(C330,'Facilities'!$C$9:$C$108,0)))*IF(ABS(1-(1-R330)*(1-INDEX('Facilities'!$R$9:$R$108,MATCH(C330,'Facilities'!$C$9:$C$108,0)))/(1+INDEX('Facilities'!$K$9:$K$108,MATCH(C330,'Facilities'!$C$9:$C$108,0))))&lt;0.000000001,IF(T330=1,MIN(1,AJ330),AJ330),(1-((1-R330)*(1-INDEX('Facilities'!$R$9:$R$108,MATCH(C330,'Facilities'!$C$9:$C$108,0)))/(1+INDEX('Facilities'!$K$9:$K$108,MATCH(C330,'Facilities'!$C$9:$C$108,0))))^IF(T330=1,MIN(1,AJ330),AJ330))/(1-(1-R330)*(1-INDEX('Facilities'!$R$9:$R$108,MATCH(C330,'Facilities'!$C$9:$C$108,0)))/(1+INDEX('Facilities'!$K$9:$K$108,MATCH(C330,'Facilities'!$C$9:$C$108,0)))))+AL330)))</x:f>
        <x:v>0.09284723281598539</x:v>
      </x:c>
      <x:c r="V330" s="23" t="n">
        <x:f>IF(C330="","",IF(AQ330&lt;&gt;"Ready","Unavailable",IF(C330="","",Q330*INDEX('Facilities'!$I$9:$I$108,MATCH(C330,'Facilities'!$C$9:$C$108,0))*(1-(1-S330)/(1+INDEX('Facilities'!$K$9:$K$108,MATCH(C330,'Facilities'!$C$9:$C$108,0)))^INDEX('Facilities'!$AK$9:$AK$108,MATCH(C330,'Facilities'!$C$9:$C$108,0)))*R330/(1+INDEX('Facilities'!$K$9:$K$108,MATCH(C330,'Facilities'!$C$9:$C$108,0)))*IF(ABS(1-(1-R330)*(1-0)/(1+INDEX('Facilities'!$K$9:$K$108,MATCH(C330,'Facilities'!$C$9:$C$108,0))))&lt;0.000000001,IF(T330=1,MIN(1,AJ330),AJ330),(1-((1-R330)*(1-0)/(1+INDEX('Facilities'!$K$9:$K$108,MATCH(C330,'Facilities'!$C$9:$C$108,0))))^IF(T330=1,MIN(1,AJ330),AJ330))/(1-(1-R330)*(1-0)/(1+INDEX('Facilities'!$K$9:$K$108,MATCH(C330,'Facilities'!$C$9:$C$108,0))))))))</x:f>
        <x:v>0.00415023176289574</x:v>
      </x:c>
      <x:c r="W330" s="21" t="n">
        <x:f>IF(C330="","",IFERROR(U230,"Unavailable"))</x:f>
        <x:v>0.19280105571233913</x:v>
      </x:c>
      <x:c r="X330" s="21" t="n">
        <x:f>IF(C330="","",IFERROR(V230,"Unavailable"))</x:f>
        <x:v>0.009010421226667734</x:v>
      </x:c>
      <x:c r="Y330" s="21" t="n">
        <x:f>IF(C330="","",IF(AQ330&lt;&gt;"Ready","Unavailable",IF(C330="","",U330-W330+V330-X330+N330+AG330)))</x:f>
        <x:v>-0.10481401236012573</x:v>
      </x:c>
      <x:c r="Z330" s="23" t="n">
        <x:f>IF(C330="","",IF(AQ330&lt;&gt;"Ready","Unavailable",IF(C330="","",(G330+O330+L330)/2*INDEX('Facilities'!$T$9:$T$108,MATCH(C330,'Facilities'!$C$9:$C$108,0))+AG330)))</x:f>
        <x:v>0.3774657401</x:v>
      </x:c>
      <x:c r="AA330" s="23" t="n">
        <x:f>IF(C330="","",IF(AQ330&lt;&gt;"Ready","Unavailable",IF(C330="","",O330*(1-IF(INDEX('Facilities'!$AA$9:$AA$108,MATCH(C330,'Facilities'!$C$9:$C$108,0))=0,0,MIN(1,INDEX('Facilities'!$X$9:$X$108,MATCH(C330,'Facilities'!$C$9:$C$108,0))/INDEX('Facilities'!$AA$9:$AA$108,MATCH(C330,'Facilities'!$C$9:$C$108,0)))))*AF330+P330*(1-IF(INDEX('Facilities'!$AA$9:$AA$108,MATCH(C330,'Facilities'!$C$9:$C$108,0))=0,0,MIN(1,INDEX('Facilities'!$X$9:$X$108,MATCH(C330,'Facilities'!$C$9:$C$108,0))/INDEX('Facilities'!$AA$9:$AA$108,MATCH(C330,'Facilities'!$C$9:$C$108,0)))))*INDEX('Facilities'!$AJ$9:$AJ$108,MATCH(C330,'Facilities'!$C$9:$C$108,0))+Q330*INDEX('Facilities'!$AI$9:$AI$108,MATCH(C330,'Facilities'!$C$9:$C$108,0))*AF330)))</x:f>
        <x:v>4.789037552968001</x:v>
      </x:c>
      <x:c r="AB330" s="21" t="n">
        <x:f>IF(C330="","",O330+P330-AD330)</x:f>
        <x:v>-0.46771684000000047</x:v>
      </x:c>
      <x:c r="AC330" s="23" t="n">
        <x:f>IF(C330="","",IFERROR(IF(INDEX('Facilities'!$AD$9:$AD$108,MATCH(C330,'Facilities'!$C$9:$C$108,0))=3,0,IF(INDEX('Facilities'!$AN$9:$AN$108,MATCH(C330,'Facilities'!$C$9:$C$108,0))=0,-1,INDEX('Facilities'!$AN$9:$AN$108,MATCH(C330,'Facilities'!$C$9:$C$108,0)))),"Unavailable"))</x:f>
        <x:v>-1</x:v>
      </x:c>
      <x:c r="AD330" s="21" t="n">
        <x:f>IF(C330="","",IFERROR(G330+H330,"Unavailable"))</x:f>
        <x:v>4.207182</x:v>
      </x:c>
      <x:c r="AE330" s="21" t="n">
        <x:f>IF(C330="","",IF(AQ330&lt;&gt;"Ready","Unavailable",IF(C330="","",O330+P330-AD330-J330+K330+M330+N330)))</x:f>
        <x:v>-4.440892098500626e-16</x:v>
      </x:c>
      <x:c r="AF330" s="30" t="n">
        <x:f>IF(C330="","",IFERROR(INDEX('Facilities'!$S$9:$S$108,MATCH(C330,'Facilities'!$C$9:$C$108,0))*'Scenario Paths'!I75,"Unavailable"))</x:f>
        <x:v>1.25</x:v>
      </x:c>
      <x:c r="AG330" s="23" t="n">
        <x:f>IF(C330="","",IF(AQ330&lt;&gt;"Ready","Unavailable",IF(C330="","",IF(H330&gt;0,MAX(0,H330-AK330)*((1+INDEX('Facilities'!$K$9:$K$108,MATCH(C330,'Facilities'!$C$9:$C$108,0)))^MIN(1,MAX(0,AC330+INDEX('Facilities'!$AK$9:$AK$108,MATCH(C330,'Facilities'!$C$9:$C$108,0))-D330+1))-1),0))))</x:f>
        <x:v>0</x:v>
      </x:c>
      <x:c r="AH330" s="21" t="n">
        <x:f>IF(C330="","",IF(AQ330&lt;&gt;"Ready","Unavailable",IF(C330="","",O330+P330)))</x:f>
        <x:v>3.73946516</x:v>
      </x:c>
      <x:c r="AI330" s="21" t="n">
        <x:f>IF(C330="","",IF(AQ330&lt;&gt;"Ready","Unavailable",IF(C330="","",Z330-Y330)))</x:f>
        <x:v>0.4822797524601257</x:v>
      </x:c>
      <x:c r="AJ330" s="23" t="n">
        <x:f>IF(C330="","",IFERROR(MAX(0,INDEX('Facilities'!$J$9:$J$108,MATCH(C330,'Facilities'!$C$9:$C$108,0))-D330),"Unavailable"))</x:f>
        <x:v>1</x:v>
      </x:c>
      <x:c r="AK330" s="21" t="n">
        <x:f>IF(C330="","",IFERROR(AL230,"Unavailable"))</x:f>
        <x:v>0</x:v>
      </x:c>
      <x:c r="AL330" s="23" t="n">
        <x:f>IF(C330="","",IFERROR(IF(P330&gt;0,P330*(1-AM330/(1+INDEX('Facilities'!$K$9:$K$108,MATCH(C330,'Facilities'!$C$9:$C$108,0)))^MAX(0,AC330+INDEX('Facilities'!$AK$9:$AK$108,MATCH(C330,'Facilities'!$C$9:$C$108,0))-D330)),0),"Unavailable"))</x:f>
        <x:v>0</x:v>
      </x:c>
      <x:c r="AM330" s="30" t="n">
        <x:f>IF(C330="","",IFERROR(INDEX('Facilities'!$AL$9:$AL$108,MATCH(C330,'Facilities'!$C$9:$C$108,0)),"Unavailable"))</x:f>
        <x:v>0.55</x:v>
      </x:c>
      <x:c r="AN330" s="30" t="n">
        <x:f>IF(C330="","",IFERROR(INDEX(Credit!$T$309:$T$408,MATCH(F330,Credit!$C$309:$C$408,0)),"Unavailable"))</x:f>
        <x:v>0.0024000000000000002</x:v>
      </x:c>
      <x:c r="AO330" s="23" t="n">
        <x:f>IF(C330="","",IF(AQ330&lt;&gt;"Ready","Unavailable",IF(C330="","",O330+P330+Q330*INDEX('Facilities'!$I$9:$I$108,MATCH(C330,'Facilities'!$C$9:$C$108,0)))))</x:f>
        <x:v>3.9066176599999998</x:v>
      </x:c>
      <x:c r="AP330" s="21" t="n">
        <x:f>IF(C330="","",IF(AQ330&lt;&gt;"Ready","Unavailable",IF(C330="","",AH330-U330)))</x:f>
        <x:v>3.6466179271840145</x:v>
      </x:c>
      <x:c r="AQ330" s="23" t="str">
        <x:f>IFERROR(IF(C330="","",IF(AND(INDEX('Facilities'!$AF$9:$AF$108,MATCH(C330,'Facilities'!$C$9:$C$108,0))="Ready",INDEX(Credit!$U$309:$U$408,MATCH(F330,Credit!$C$309:$C$408,0))="Ready",ISNUMBER(W330)),"Ready","Review inputs")),"Review inputs")</x:f>
        <x:v>Ready</x:v>
      </x:c>
      <x:c r="AR330" s="23" t="n">
        <x:f>IF(C330="","",IF(AQ330&lt;&gt;"Ready","Unavailable",IF(C330="","",IF(O330=0,0,(IF(AJ330&lt;=1,O330,O330*INDEX('Facilities'!$R$9:$R$108,MATCH(C330,'Facilities'!$C$9:$C$108,0)))+O330*INDEX('Facilities'!$T$9:$T$108,MATCH(C330,'Facilities'!$C$9:$C$108,0)))/12))))</x:f>
        <x:v>0.34122619585</x:v>
      </x:c>
    </x:row>
    <x:row r="331" ht="26" customHeight="1">
      <x:c r="A331" s="1"/>
      <x:c r="B331" s="1"/>
      <x:c r="C331" s="9" t="str">
        <x:f>IF(Facilities!C31="","",Facilities!C31)</x:f>
        <x:v>F023</x:v>
      </x:c>
      <x:c r="D331" s="3" t="n">
        <x:v>4</x:v>
      </x:c>
      <x:c r="E331" s="9" t="n">
        <x:f>Settings!$F$18+3</x:f>
        <x:v>2030</x:v>
      </x:c>
      <x:c r="F331" s="9" t="str">
        <x:f>IF(C331="","",IFERROR(INDEX('Facilities'!$D$9:$D$108,MATCH(C331,'Facilities'!$C$9:$C$108,0)),"Unavailable"))</x:f>
        <x:v>B012</x:v>
      </x:c>
      <x:c r="G331" s="21" t="n">
        <x:f>IF(C331="","",IFERROR(O231,"Unavailable"))</x:f>
        <x:v>6.3860772</x:v>
      </x:c>
      <x:c r="H331" s="21" t="n">
        <x:f>IF(C331="","",IFERROR(P231,"Unavailable"))</x:f>
        <x:v>0</x:v>
      </x:c>
      <x:c r="I331" s="21" t="n">
        <x:f>IF(C331="","",IFERROR(Q231,"Unavailable"))</x:f>
        <x:v>1.11435</x:v>
      </x:c>
      <x:c r="J331" s="23" t="n">
        <x:f>IF(C331="","",IFERROR(IF(OR(H331&gt;0,AND(AC331&gt;=0,AC331&lt;D331),D331&gt;INDEX('Facilities'!$J$9:$J$108,MATCH(C331,'Facilities'!$C$9:$C$108,0))),0,I331*'Scenario Paths'!I81),"Unavailable"))</x:f>
        <x:v>0.111435</x:v>
      </x:c>
      <x:c r="K331" s="23" t="n">
        <x:f>IF(C331="","",IFERROR(IF(OR(H331&gt;0,AND(AC331&gt;=0,AC331=D331)),0,IF(D331&gt;=INDEX('Facilities'!$J$9:$J$108,MATCH(C331,'Facilities'!$C$9:$C$108,0)),G331+J331,MIN(G331+J331,G331*INDEX('Facilities'!$R$9:$R$108,MATCH(C331,'Facilities'!$C$9:$C$108,0))))),"Unavailable"))</x:f>
        <x:v>0.766329264</x:v>
      </x:c>
      <x:c r="L331" s="21" t="n">
        <x:f>IF(C331="","",IFERROR(IF(AND(AC331=D331,AC331&gt;0),MAX(0,G331+J331-K331),0),"Unavailable"))</x:f>
        <x:v>0</x:v>
      </x:c>
      <x:c r="M331" s="23" t="n">
        <x:f>IF(C331="","",IFERROR(IF(AND(AC331&gt;=0,D331&gt;=AC331+INDEX('Facilities'!$AK$9:$AK$108,MATCH(C331,'Facilities'!$C$9:$C$108,0))),(H331+L331)*AM331,0),"Unavailable"))</x:f>
        <x:v>0</x:v>
      </x:c>
      <x:c r="N331" s="23" t="n">
        <x:f>IF(C331="","",IFERROR(IF(AND(AC331&gt;=0,D331&gt;=AC331+INDEX('Facilities'!$AK$9:$AK$108,MATCH(C331,'Facilities'!$C$9:$C$108,0))),H331+L331-M331,0),"Unavailable"))</x:f>
        <x:v>0</x:v>
      </x:c>
      <x:c r="O331" s="21" t="n">
        <x:f>IF(C331="","",IFERROR(MAX(0,G331+J331-K331-L331),"Unavailable"))</x:f>
        <x:v>5.731182936</x:v>
      </x:c>
      <x:c r="P331" s="21" t="n">
        <x:f>IF(C331="","",IFERROR(MAX(0,H331+L331-M331-N331),"Unavailable"))</x:f>
        <x:v>0</x:v>
      </x:c>
      <x:c r="Q331" s="23" t="n">
        <x:f>IF(C331="","",IFERROR(IF(OR(D331&gt;=INDEX('Facilities'!$J$9:$J$108,MATCH(C331,'Facilities'!$C$9:$C$108,0)),AND(AC331&gt;=0,AC331&lt;=D331)),0,MAX(0,I331-J331)),"Unavailable"))</x:f>
        <x:v>1.002915</x:v>
      </x:c>
      <x:c r="R331" s="30" t="n">
        <x:f>IF(C331="","",IFERROR(INDEX(Credit!$Q$309:$Q$408,MATCH(F331,Credit!$C$309:$C$408,0)),"Unavailable"))</x:f>
        <x:v>0.083871016134518</x:v>
      </x:c>
      <x:c r="S331" s="30" t="n">
        <x:f>IF(C331="","",IFERROR(INDEX(Credit!$R$309:$R$408,MATCH(F331,Credit!$C$309:$C$408,0)),"Unavailable"))</x:f>
        <x:v>0.32339456</x:v>
      </x:c>
      <x:c r="T331" s="23" t="n">
        <x:f>IF(C331="","",IFERROR(IF(P331&gt;0,3,IF(OR(INDEX('Facilities'!$AD$9:$AD$108,MATCH(C331,'Facilities'!$C$9:$C$108,0))=2,AND(R331&gt;=INDEX('Facilities'!$L$9:$L$108,MATCH(C331,'Facilities'!$C$9:$C$108,0))*Settings!$F$19,R331-INDEX('Facilities'!$L$9:$L$108,MATCH(C331,'Facilities'!$C$9:$C$108,0))&gt;=Settings!$F$20)),2,1)),"Unavailable"))</x:f>
        <x:v>1</x:v>
      </x:c>
      <x:c r="U331" s="23" t="n">
        <x:f>IF(C331="","",IF(AQ331&lt;&gt;"Ready","Unavailable",IF(C331="","",O331*(1-(1-S331)/(1+INDEX('Facilities'!$K$9:$K$108,MATCH(C331,'Facilities'!$C$9:$C$108,0)))^INDEX('Facilities'!$AK$9:$AK$108,MATCH(C331,'Facilities'!$C$9:$C$108,0)))*R331/(1+INDEX('Facilities'!$K$9:$K$108,MATCH(C331,'Facilities'!$C$9:$C$108,0)))*IF(ABS(1-(1-R331)*(1-INDEX('Facilities'!$R$9:$R$108,MATCH(C331,'Facilities'!$C$9:$C$108,0)))/(1+INDEX('Facilities'!$K$9:$K$108,MATCH(C331,'Facilities'!$C$9:$C$108,0))))&lt;0.000000001,IF(T331=1,MIN(1,AJ331),AJ331),(1-((1-R331)*(1-INDEX('Facilities'!$R$9:$R$108,MATCH(C331,'Facilities'!$C$9:$C$108,0)))/(1+INDEX('Facilities'!$K$9:$K$108,MATCH(C331,'Facilities'!$C$9:$C$108,0))))^IF(T331=1,MIN(1,AJ331),AJ331))/(1-(1-R331)*(1-INDEX('Facilities'!$R$9:$R$108,MATCH(C331,'Facilities'!$C$9:$C$108,0)))/(1+INDEX('Facilities'!$K$9:$K$108,MATCH(C331,'Facilities'!$C$9:$C$108,0)))))+AL331)))</x:f>
        <x:v>0.18689550941435207</x:v>
      </x:c>
      <x:c r="V331" s="23" t="n">
        <x:f>IF(C331="","",IF(AQ331&lt;&gt;"Ready","Unavailable",IF(C331="","",Q331*INDEX('Facilities'!$I$9:$I$108,MATCH(C331,'Facilities'!$C$9:$C$108,0))*(1-(1-S331)/(1+INDEX('Facilities'!$K$9:$K$108,MATCH(C331,'Facilities'!$C$9:$C$108,0)))^INDEX('Facilities'!$AK$9:$AK$108,MATCH(C331,'Facilities'!$C$9:$C$108,0)))*R331/(1+INDEX('Facilities'!$K$9:$K$108,MATCH(C331,'Facilities'!$C$9:$C$108,0)))*IF(ABS(1-(1-R331)*(1-0)/(1+INDEX('Facilities'!$K$9:$K$108,MATCH(C331,'Facilities'!$C$9:$C$108,0))))&lt;0.000000001,IF(T331=1,MIN(1,AJ331),AJ331),(1-((1-R331)*(1-0)/(1+INDEX('Facilities'!$K$9:$K$108,MATCH(C331,'Facilities'!$C$9:$C$108,0))))^IF(T331=1,MIN(1,AJ331),AJ331))/(1-(1-R331)*(1-0)/(1+INDEX('Facilities'!$K$9:$K$108,MATCH(C331,'Facilities'!$C$9:$C$108,0))))))))</x:f>
        <x:v>0.016352672032758066</x:v>
      </x:c>
      <x:c r="W331" s="21" t="n">
        <x:f>IF(C331="","",IFERROR(U231,"Unavailable"))</x:f>
        <x:v>0.4965403257166841</x:v>
      </x:c>
      <x:c r="X331" s="21" t="n">
        <x:f>IF(C331="","",IFERROR(V231,"Unavailable"))</x:f>
        <x:v>0.04827446877178224</x:v>
      </x:c>
      <x:c r="Y331" s="21" t="n">
        <x:f>IF(C331="","",IF(AQ331&lt;&gt;"Ready","Unavailable",IF(C331="","",U331-W331+V331-X331+N331+AG331)))</x:f>
        <x:v>-0.3415666130413562</x:v>
      </x:c>
      <x:c r="Z331" s="23" t="n">
        <x:f>IF(C331="","",IF(AQ331&lt;&gt;"Ready","Unavailable",IF(C331="","",(G331+O331+L331)/2*INDEX('Facilities'!$T$9:$T$108,MATCH(C331,'Facilities'!$C$9:$C$108,0))+AG331)))</x:f>
        <x:v>0.5755698564599999</x:v>
      </x:c>
      <x:c r="AA331" s="23" t="n">
        <x:f>IF(C331="","",IF(AQ331&lt;&gt;"Ready","Unavailable",IF(C331="","",O331*(1-IF(INDEX('Facilities'!$AA$9:$AA$108,MATCH(C331,'Facilities'!$C$9:$C$108,0))=0,0,MIN(1,INDEX('Facilities'!$X$9:$X$108,MATCH(C331,'Facilities'!$C$9:$C$108,0))/INDEX('Facilities'!$AA$9:$AA$108,MATCH(C331,'Facilities'!$C$9:$C$108,0)))))*AF331+P331*(1-IF(INDEX('Facilities'!$AA$9:$AA$108,MATCH(C331,'Facilities'!$C$9:$C$108,0))=0,0,MIN(1,INDEX('Facilities'!$X$9:$X$108,MATCH(C331,'Facilities'!$C$9:$C$108,0))/INDEX('Facilities'!$AA$9:$AA$108,MATCH(C331,'Facilities'!$C$9:$C$108,0)))))*INDEX('Facilities'!$AJ$9:$AJ$108,MATCH(C331,'Facilities'!$C$9:$C$108,0))+Q331*INDEX('Facilities'!$AI$9:$AI$108,MATCH(C331,'Facilities'!$C$9:$C$108,0))*AF331)))</x:f>
        <x:v>7.598232798350399</x:v>
      </x:c>
      <x:c r="AB331" s="21" t="n">
        <x:f>IF(C331="","",O331+P331-AD331)</x:f>
        <x:v>-0.6548942640000002</x:v>
      </x:c>
      <x:c r="AC331" s="23" t="n">
        <x:f>IF(C331="","",IFERROR(IF(INDEX('Facilities'!$AD$9:$AD$108,MATCH(C331,'Facilities'!$C$9:$C$108,0))=3,0,IF(INDEX('Facilities'!$AN$9:$AN$108,MATCH(C331,'Facilities'!$C$9:$C$108,0))=0,-1,INDEX('Facilities'!$AN$9:$AN$108,MATCH(C331,'Facilities'!$C$9:$C$108,0)))),"Unavailable"))</x:f>
        <x:v>-1</x:v>
      </x:c>
      <x:c r="AD331" s="21" t="n">
        <x:f>IF(C331="","",IFERROR(G331+H331,"Unavailable"))</x:f>
        <x:v>6.3860772</x:v>
      </x:c>
      <x:c r="AE331" s="21" t="n">
        <x:f>IF(C331="","",IF(AQ331&lt;&gt;"Ready","Unavailable",IF(C331="","",O331+P331-AD331-J331+K331+M331+N331)))</x:f>
        <x:v>-1.1102230246251565e-16</x:v>
      </x:c>
      <x:c r="AF331" s="30" t="n">
        <x:f>IF(C331="","",IFERROR(INDEX('Facilities'!$S$9:$S$108,MATCH(C331,'Facilities'!$C$9:$C$108,0))*'Scenario Paths'!I75,"Unavailable"))</x:f>
        <x:v>1.25</x:v>
      </x:c>
      <x:c r="AG331" s="23" t="n">
        <x:f>IF(C331="","",IF(AQ331&lt;&gt;"Ready","Unavailable",IF(C331="","",IF(H331&gt;0,MAX(0,H331-AK331)*((1+INDEX('Facilities'!$K$9:$K$108,MATCH(C331,'Facilities'!$C$9:$C$108,0)))^MIN(1,MAX(0,AC331+INDEX('Facilities'!$AK$9:$AK$108,MATCH(C331,'Facilities'!$C$9:$C$108,0))-D331+1))-1),0))))</x:f>
        <x:v>0</x:v>
      </x:c>
      <x:c r="AH331" s="21" t="n">
        <x:f>IF(C331="","",IF(AQ331&lt;&gt;"Ready","Unavailable",IF(C331="","",O331+P331)))</x:f>
        <x:v>5.731182936</x:v>
      </x:c>
      <x:c r="AI331" s="21" t="n">
        <x:f>IF(C331="","",IF(AQ331&lt;&gt;"Ready","Unavailable",IF(C331="","",Z331-Y331)))</x:f>
        <x:v>0.9171364695013562</x:v>
      </x:c>
      <x:c r="AJ331" s="23" t="n">
        <x:f>IF(C331="","",IFERROR(MAX(0,INDEX('Facilities'!$J$9:$J$108,MATCH(C331,'Facilities'!$C$9:$C$108,0))-D331),"Unavailable"))</x:f>
        <x:v>2</x:v>
      </x:c>
      <x:c r="AK331" s="21" t="n">
        <x:f>IF(C331="","",IFERROR(AL231,"Unavailable"))</x:f>
        <x:v>0</x:v>
      </x:c>
      <x:c r="AL331" s="23" t="n">
        <x:f>IF(C331="","",IFERROR(IF(P331&gt;0,P331*(1-AM331/(1+INDEX('Facilities'!$K$9:$K$108,MATCH(C331,'Facilities'!$C$9:$C$108,0)))^MAX(0,AC331+INDEX('Facilities'!$AK$9:$AK$108,MATCH(C331,'Facilities'!$C$9:$C$108,0))-D331)),0),"Unavailable"))</x:f>
        <x:v>0</x:v>
      </x:c>
      <x:c r="AM331" s="30" t="n">
        <x:f>IF(C331="","",IFERROR(INDEX('Facilities'!$AL$9:$AL$108,MATCH(C331,'Facilities'!$C$9:$C$108,0)),"Unavailable"))</x:f>
        <x:v>0.55</x:v>
      </x:c>
      <x:c r="AN331" s="30" t="n">
        <x:f>IF(C331="","",IFERROR(INDEX(Credit!$T$309:$T$408,MATCH(F331,Credit!$C$309:$C$408,0)),"Unavailable"))</x:f>
        <x:v>0.004992</x:v>
      </x:c>
      <x:c r="AO331" s="23" t="n">
        <x:f>IF(C331="","",IF(AQ331&lt;&gt;"Ready","Unavailable",IF(C331="","",O331+P331+Q331*INDEX('Facilities'!$I$9:$I$108,MATCH(C331,'Facilities'!$C$9:$C$108,0)))))</x:f>
        <x:v>6.232640436</x:v>
      </x:c>
      <x:c r="AP331" s="21" t="n">
        <x:f>IF(C331="","",IF(AQ331&lt;&gt;"Ready","Unavailable",IF(C331="","",AH331-U331)))</x:f>
        <x:v>5.544287426585647</x:v>
      </x:c>
      <x:c r="AQ331" s="23" t="str">
        <x:f>IFERROR(IF(C331="","",IF(AND(INDEX('Facilities'!$AF$9:$AF$108,MATCH(C331,'Facilities'!$C$9:$C$108,0))="Ready",INDEX(Credit!$U$309:$U$408,MATCH(F331,Credit!$C$309:$C$408,0))="Ready",ISNUMBER(W331)),"Ready","Review inputs")),"Review inputs")</x:f>
        <x:v>Ready</x:v>
      </x:c>
      <x:c r="AR331" s="23" t="n">
        <x:f>IF(C331="","",IF(AQ331&lt;&gt;"Ready","Unavailable",IF(C331="","",IF(O331=0,0,(IF(AJ331&lt;=1,O331,O331*INDEX('Facilities'!$R$9:$R$108,MATCH(C331,'Facilities'!$C$9:$C$108,0)))+O331*INDEX('Facilities'!$T$9:$T$108,MATCH(C331,'Facilities'!$C$9:$C$108,0)))/12))))</x:f>
        <x:v>0.10268369426999997</x:v>
      </x:c>
    </x:row>
    <x:row r="332" ht="26" customHeight="1">
      <x:c r="A332" s="1"/>
      <x:c r="B332" s="1"/>
      <x:c r="C332" s="9" t="str">
        <x:f>IF(Facilities!C32="","",Facilities!C32)</x:f>
        <x:v>F024</x:v>
      </x:c>
      <x:c r="D332" s="3" t="n">
        <x:v>4</x:v>
      </x:c>
      <x:c r="E332" s="9" t="n">
        <x:f>Settings!$F$18+3</x:f>
        <x:v>2030</x:v>
      </x:c>
      <x:c r="F332" s="9" t="str">
        <x:f>IF(C332="","",IFERROR(INDEX('Facilities'!$D$9:$D$108,MATCH(C332,'Facilities'!$C$9:$C$108,0)),"Unavailable"))</x:f>
        <x:v>B012</x:v>
      </x:c>
      <x:c r="G332" s="21" t="n">
        <x:f>IF(C332="","",IFERROR(O232,"Unavailable"))</x:f>
        <x:v>4.445697200000001</x:v>
      </x:c>
      <x:c r="H332" s="21" t="n">
        <x:f>IF(C332="","",IFERROR(P232,"Unavailable"))</x:f>
        <x:v>0</x:v>
      </x:c>
      <x:c r="I332" s="21" t="n">
        <x:f>IF(C332="","",IFERROR(Q232,"Unavailable"))</x:f>
        <x:v>0.37145</x:v>
      </x:c>
      <x:c r="J332" s="23" t="n">
        <x:f>IF(C332="","",IFERROR(IF(OR(H332&gt;0,AND(AC332&gt;=0,AC332&lt;D332),D332&gt;INDEX('Facilities'!$J$9:$J$108,MATCH(C332,'Facilities'!$C$9:$C$108,0))),0,I332*'Scenario Paths'!I81),"Unavailable"))</x:f>
        <x:v>0.037145000000000004</x:v>
      </x:c>
      <x:c r="K332" s="23" t="n">
        <x:f>IF(C332="","",IFERROR(IF(OR(H332&gt;0,AND(AC332&gt;=0,AC332=D332)),0,IF(D332&gt;=INDEX('Facilities'!$J$9:$J$108,MATCH(C332,'Facilities'!$C$9:$C$108,0)),G332+J332,MIN(G332+J332,G332*INDEX('Facilities'!$R$9:$R$108,MATCH(C332,'Facilities'!$C$9:$C$108,0))))),"Unavailable"))</x:f>
        <x:v>0.533483664</x:v>
      </x:c>
      <x:c r="L332" s="21" t="n">
        <x:f>IF(C332="","",IFERROR(IF(AND(AC332=D332,AC332&gt;0),MAX(0,G332+J332-K332),0),"Unavailable"))</x:f>
        <x:v>0</x:v>
      </x:c>
      <x:c r="M332" s="23" t="n">
        <x:f>IF(C332="","",IFERROR(IF(AND(AC332&gt;=0,D332&gt;=AC332+INDEX('Facilities'!$AK$9:$AK$108,MATCH(C332,'Facilities'!$C$9:$C$108,0))),(H332+L332)*AM332,0),"Unavailable"))</x:f>
        <x:v>0</x:v>
      </x:c>
      <x:c r="N332" s="23" t="n">
        <x:f>IF(C332="","",IFERROR(IF(AND(AC332&gt;=0,D332&gt;=AC332+INDEX('Facilities'!$AK$9:$AK$108,MATCH(C332,'Facilities'!$C$9:$C$108,0))),H332+L332-M332,0),"Unavailable"))</x:f>
        <x:v>0</x:v>
      </x:c>
      <x:c r="O332" s="21" t="n">
        <x:f>IF(C332="","",IFERROR(MAX(0,G332+J332-K332-L332),"Unavailable"))</x:f>
        <x:v>3.949358536</x:v>
      </x:c>
      <x:c r="P332" s="21" t="n">
        <x:f>IF(C332="","",IFERROR(MAX(0,H332+L332-M332-N332),"Unavailable"))</x:f>
        <x:v>0</x:v>
      </x:c>
      <x:c r="Q332" s="23" t="n">
        <x:f>IF(C332="","",IFERROR(IF(OR(D332&gt;=INDEX('Facilities'!$J$9:$J$108,MATCH(C332,'Facilities'!$C$9:$C$108,0)),AND(AC332&gt;=0,AC332&lt;=D332)),0,MAX(0,I332-J332)),"Unavailable"))</x:f>
        <x:v>0.334305</x:v>
      </x:c>
      <x:c r="R332" s="30" t="n">
        <x:f>IF(C332="","",IFERROR(INDEX(Credit!$Q$309:$Q$408,MATCH(F332,Credit!$C$309:$C$408,0)),"Unavailable"))</x:f>
        <x:v>0.083871016134518</x:v>
      </x:c>
      <x:c r="S332" s="30" t="n">
        <x:f>IF(C332="","",IFERROR(INDEX(Credit!$R$309:$R$408,MATCH(F332,Credit!$C$309:$C$408,0)),"Unavailable"))</x:f>
        <x:v>0.32339456</x:v>
      </x:c>
      <x:c r="T332" s="23" t="n">
        <x:f>IF(C332="","",IFERROR(IF(P332&gt;0,3,IF(OR(INDEX('Facilities'!$AD$9:$AD$108,MATCH(C332,'Facilities'!$C$9:$C$108,0))=2,AND(R332&gt;=INDEX('Facilities'!$L$9:$L$108,MATCH(C332,'Facilities'!$C$9:$C$108,0))*Settings!$F$19,R332-INDEX('Facilities'!$L$9:$L$108,MATCH(C332,'Facilities'!$C$9:$C$108,0))&gt;=Settings!$F$20)),2,1)),"Unavailable"))</x:f>
        <x:v>1</x:v>
      </x:c>
      <x:c r="U332" s="23" t="n">
        <x:f>IF(C332="","",IF(AQ332&lt;&gt;"Ready","Unavailable",IF(C332="","",O332*(1-(1-S332)/(1+INDEX('Facilities'!$K$9:$K$108,MATCH(C332,'Facilities'!$C$9:$C$108,0)))^INDEX('Facilities'!$AK$9:$AK$108,MATCH(C332,'Facilities'!$C$9:$C$108,0)))*R332/(1+INDEX('Facilities'!$K$9:$K$108,MATCH(C332,'Facilities'!$C$9:$C$108,0)))*IF(ABS(1-(1-R332)*(1-INDEX('Facilities'!$R$9:$R$108,MATCH(C332,'Facilities'!$C$9:$C$108,0)))/(1+INDEX('Facilities'!$K$9:$K$108,MATCH(C332,'Facilities'!$C$9:$C$108,0))))&lt;0.000000001,IF(T332=1,MIN(1,AJ332),AJ332),(1-((1-R332)*(1-INDEX('Facilities'!$R$9:$R$108,MATCH(C332,'Facilities'!$C$9:$C$108,0)))/(1+INDEX('Facilities'!$K$9:$K$108,MATCH(C332,'Facilities'!$C$9:$C$108,0))))^IF(T332=1,MIN(1,AJ332),AJ332))/(1-(1-R332)*(1-INDEX('Facilities'!$R$9:$R$108,MATCH(C332,'Facilities'!$C$9:$C$108,0)))/(1+INDEX('Facilities'!$K$9:$K$108,MATCH(C332,'Facilities'!$C$9:$C$108,0)))))+AL332)))</x:f>
        <x:v>0.12878970775984314</x:v>
      </x:c>
      <x:c r="V332" s="23" t="n">
        <x:f>IF(C332="","",IF(AQ332&lt;&gt;"Ready","Unavailable",IF(C332="","",Q332*INDEX('Facilities'!$I$9:$I$108,MATCH(C332,'Facilities'!$C$9:$C$108,0))*(1-(1-S332)/(1+INDEX('Facilities'!$K$9:$K$108,MATCH(C332,'Facilities'!$C$9:$C$108,0)))^INDEX('Facilities'!$AK$9:$AK$108,MATCH(C332,'Facilities'!$C$9:$C$108,0)))*R332/(1+INDEX('Facilities'!$K$9:$K$108,MATCH(C332,'Facilities'!$C$9:$C$108,0)))*IF(ABS(1-(1-R332)*(1-0)/(1+INDEX('Facilities'!$K$9:$K$108,MATCH(C332,'Facilities'!$C$9:$C$108,0))))&lt;0.000000001,IF(T332=1,MIN(1,AJ332),AJ332),(1-((1-R332)*(1-0)/(1+INDEX('Facilities'!$K$9:$K$108,MATCH(C332,'Facilities'!$C$9:$C$108,0))))^IF(T332=1,MIN(1,AJ332),AJ332))/(1-(1-R332)*(1-0)/(1+INDEX('Facilities'!$K$9:$K$108,MATCH(C332,'Facilities'!$C$9:$C$108,0))))))))</x:f>
        <x:v>0.005450890677586022</x:v>
      </x:c>
      <x:c r="W332" s="21" t="n">
        <x:f>IF(C332="","",IFERROR(U232,"Unavailable"))</x:f>
        <x:v>0.34566884592716024</x:v>
      </x:c>
      <x:c r="X332" s="21" t="n">
        <x:f>IF(C332="","",IFERROR(V232,"Unavailable"))</x:f>
        <x:v>0.01609148959059408</x:v>
      </x:c>
      <x:c r="Y332" s="21" t="n">
        <x:f>IF(C332="","",IF(AQ332&lt;&gt;"Ready","Unavailable",IF(C332="","",U332-W332+V332-X332+N332+AG332)))</x:f>
        <x:v>-0.22751973708032516</x:v>
      </x:c>
      <x:c r="Z332" s="23" t="n">
        <x:f>IF(C332="","",IF(AQ332&lt;&gt;"Ready","Unavailable",IF(C332="","",(G332+O332+L332)/2*INDEX('Facilities'!$T$9:$T$108,MATCH(C332,'Facilities'!$C$9:$C$108,0))+AG332)))</x:f>
        <x:v>0.39876514745999997</x:v>
      </x:c>
      <x:c r="AA332" s="23" t="n">
        <x:f>IF(C332="","",IF(AQ332&lt;&gt;"Ready","Unavailable",IF(C332="","",O332*(1-IF(INDEX('Facilities'!$AA$9:$AA$108,MATCH(C332,'Facilities'!$C$9:$C$108,0))=0,0,MIN(1,INDEX('Facilities'!$X$9:$X$108,MATCH(C332,'Facilities'!$C$9:$C$108,0))/INDEX('Facilities'!$AA$9:$AA$108,MATCH(C332,'Facilities'!$C$9:$C$108,0)))))*AF332+P332*(1-IF(INDEX('Facilities'!$AA$9:$AA$108,MATCH(C332,'Facilities'!$C$9:$C$108,0))=0,0,MIN(1,INDEX('Facilities'!$X$9:$X$108,MATCH(C332,'Facilities'!$C$9:$C$108,0))/INDEX('Facilities'!$AA$9:$AA$108,MATCH(C332,'Facilities'!$C$9:$C$108,0)))))*INDEX('Facilities'!$AJ$9:$AJ$108,MATCH(C332,'Facilities'!$C$9:$C$108,0))+Q332*INDEX('Facilities'!$AI$9:$AI$108,MATCH(C332,'Facilities'!$C$9:$C$108,0))*AF332)))</x:f>
        <x:v>5.0129403481904005</x:v>
      </x:c>
      <x:c r="AB332" s="21" t="n">
        <x:f>IF(C332="","",O332+P332-AD332)</x:f>
        <x:v>-0.4963386640000005</x:v>
      </x:c>
      <x:c r="AC332" s="23" t="n">
        <x:f>IF(C332="","",IFERROR(IF(INDEX('Facilities'!$AD$9:$AD$108,MATCH(C332,'Facilities'!$C$9:$C$108,0))=3,0,IF(INDEX('Facilities'!$AN$9:$AN$108,MATCH(C332,'Facilities'!$C$9:$C$108,0))=0,-1,INDEX('Facilities'!$AN$9:$AN$108,MATCH(C332,'Facilities'!$C$9:$C$108,0)))),"Unavailable"))</x:f>
        <x:v>-1</x:v>
      </x:c>
      <x:c r="AD332" s="21" t="n">
        <x:f>IF(C332="","",IFERROR(G332+H332,"Unavailable"))</x:f>
        <x:v>4.445697200000001</x:v>
      </x:c>
      <x:c r="AE332" s="21" t="n">
        <x:f>IF(C332="","",IF(AQ332&lt;&gt;"Ready","Unavailable",IF(C332="","",O332+P332-AD332-J332+K332+M332+N332)))</x:f>
        <x:v>-4.440892098500626e-16</x:v>
      </x:c>
      <x:c r="AF332" s="30" t="n">
        <x:f>IF(C332="","",IFERROR(INDEX('Facilities'!$S$9:$S$108,MATCH(C332,'Facilities'!$C$9:$C$108,0))*'Scenario Paths'!I75,"Unavailable"))</x:f>
        <x:v>1.25</x:v>
      </x:c>
      <x:c r="AG332" s="23" t="n">
        <x:f>IF(C332="","",IF(AQ332&lt;&gt;"Ready","Unavailable",IF(C332="","",IF(H332&gt;0,MAX(0,H332-AK332)*((1+INDEX('Facilities'!$K$9:$K$108,MATCH(C332,'Facilities'!$C$9:$C$108,0)))^MIN(1,MAX(0,AC332+INDEX('Facilities'!$AK$9:$AK$108,MATCH(C332,'Facilities'!$C$9:$C$108,0))-D332+1))-1),0))))</x:f>
        <x:v>0</x:v>
      </x:c>
      <x:c r="AH332" s="21" t="n">
        <x:f>IF(C332="","",IF(AQ332&lt;&gt;"Ready","Unavailable",IF(C332="","",O332+P332)))</x:f>
        <x:v>3.949358536</x:v>
      </x:c>
      <x:c r="AI332" s="21" t="n">
        <x:f>IF(C332="","",IF(AQ332&lt;&gt;"Ready","Unavailable",IF(C332="","",Z332-Y332)))</x:f>
        <x:v>0.6262848845403252</x:v>
      </x:c>
      <x:c r="AJ332" s="23" t="n">
        <x:f>IF(C332="","",IFERROR(MAX(0,INDEX('Facilities'!$J$9:$J$108,MATCH(C332,'Facilities'!$C$9:$C$108,0))-D332),"Unavailable"))</x:f>
        <x:v>2</x:v>
      </x:c>
      <x:c r="AK332" s="21" t="n">
        <x:f>IF(C332="","",IFERROR(AL232,"Unavailable"))</x:f>
        <x:v>0</x:v>
      </x:c>
      <x:c r="AL332" s="23" t="n">
        <x:f>IF(C332="","",IFERROR(IF(P332&gt;0,P332*(1-AM332/(1+INDEX('Facilities'!$K$9:$K$108,MATCH(C332,'Facilities'!$C$9:$C$108,0)))^MAX(0,AC332+INDEX('Facilities'!$AK$9:$AK$108,MATCH(C332,'Facilities'!$C$9:$C$108,0))-D332)),0),"Unavailable"))</x:f>
        <x:v>0</x:v>
      </x:c>
      <x:c r="AM332" s="30" t="n">
        <x:f>IF(C332="","",IFERROR(INDEX('Facilities'!$AL$9:$AL$108,MATCH(C332,'Facilities'!$C$9:$C$108,0)),"Unavailable"))</x:f>
        <x:v>0.55</x:v>
      </x:c>
      <x:c r="AN332" s="30" t="n">
        <x:f>IF(C332="","",IFERROR(INDEX(Credit!$T$309:$T$408,MATCH(F332,Credit!$C$309:$C$408,0)),"Unavailable"))</x:f>
        <x:v>0.004992</x:v>
      </x:c>
      <x:c r="AO332" s="23" t="n">
        <x:f>IF(C332="","",IF(AQ332&lt;&gt;"Ready","Unavailable",IF(C332="","",O332+P332+Q332*INDEX('Facilities'!$I$9:$I$108,MATCH(C332,'Facilities'!$C$9:$C$108,0)))))</x:f>
        <x:v>4.116511036</x:v>
      </x:c>
      <x:c r="AP332" s="21" t="n">
        <x:f>IF(C332="","",IF(AQ332&lt;&gt;"Ready","Unavailable",IF(C332="","",AH332-U332)))</x:f>
        <x:v>3.820568828240157</x:v>
      </x:c>
      <x:c r="AQ332" s="23" t="str">
        <x:f>IFERROR(IF(C332="","",IF(AND(INDEX('Facilities'!$AF$9:$AF$108,MATCH(C332,'Facilities'!$C$9:$C$108,0))="Ready",INDEX(Credit!$U$309:$U$408,MATCH(F332,Credit!$C$309:$C$408,0))="Ready",ISNUMBER(W332)),"Ready","Review inputs")),"Review inputs")</x:f>
        <x:v>Ready</x:v>
      </x:c>
      <x:c r="AR332" s="23" t="n">
        <x:f>IF(C332="","",IF(AQ332&lt;&gt;"Ready","Unavailable",IF(C332="","",IF(O332=0,0,(IF(AJ332&lt;=1,O332,O332*INDEX('Facilities'!$R$9:$R$108,MATCH(C332,'Facilities'!$C$9:$C$108,0)))+O332*INDEX('Facilities'!$T$9:$T$108,MATCH(C332,'Facilities'!$C$9:$C$108,0)))/12))))</x:f>
        <x:v>0.07075934043666667</x:v>
      </x:c>
    </x:row>
    <x:row r="333" ht="26" customHeight="1">
      <x:c r="A333" s="1"/>
      <x:c r="B333" s="1"/>
      <x:c r="C333" s="9" t="str">
        <x:f>IF(Facilities!C33="","",Facilities!C33)</x:f>
        <x:v>F025</x:v>
      </x:c>
      <x:c r="D333" s="3" t="n">
        <x:v>4</x:v>
      </x:c>
      <x:c r="E333" s="9" t="n">
        <x:f>Settings!$F$18+3</x:f>
        <x:v>2030</x:v>
      </x:c>
      <x:c r="F333" s="9" t="str">
        <x:f>IF(C333="","",IFERROR(INDEX('Facilities'!$D$9:$D$108,MATCH(C333,'Facilities'!$C$9:$C$108,0)),"Unavailable"))</x:f>
        <x:v>B013</x:v>
      </x:c>
      <x:c r="G333" s="21" t="n">
        <x:f>IF(C333="","",IFERROR(O233,"Unavailable"))</x:f>
        <x:v>6.6245924</x:v>
      </x:c>
      <x:c r="H333" s="21" t="n">
        <x:f>IF(C333="","",IFERROR(P233,"Unavailable"))</x:f>
        <x:v>0</x:v>
      </x:c>
      <x:c r="I333" s="21" t="n">
        <x:f>IF(C333="","",IFERROR(Q233,"Unavailable"))</x:f>
        <x:v>1.11435</x:v>
      </x:c>
      <x:c r="J333" s="23" t="n">
        <x:f>IF(C333="","",IFERROR(IF(OR(H333&gt;0,AND(AC333&gt;=0,AC333&lt;D333),D333&gt;INDEX('Facilities'!$J$9:$J$108,MATCH(C333,'Facilities'!$C$9:$C$108,0))),0,I333*'Scenario Paths'!I81),"Unavailable"))</x:f>
        <x:v>0.111435</x:v>
      </x:c>
      <x:c r="K333" s="23" t="n">
        <x:f>IF(C333="","",IFERROR(IF(OR(H333&gt;0,AND(AC333&gt;=0,AC333=D333)),0,IF(D333&gt;=INDEX('Facilities'!$J$9:$J$108,MATCH(C333,'Facilities'!$C$9:$C$108,0)),G333+J333,MIN(G333+J333,G333*INDEX('Facilities'!$R$9:$R$108,MATCH(C333,'Facilities'!$C$9:$C$108,0))))),"Unavailable"))</x:f>
        <x:v>0.794951088</x:v>
      </x:c>
      <x:c r="L333" s="21" t="n">
        <x:f>IF(C333="","",IFERROR(IF(AND(AC333=D333,AC333&gt;0),MAX(0,G333+J333-K333),0),"Unavailable"))</x:f>
        <x:v>0</x:v>
      </x:c>
      <x:c r="M333" s="23" t="n">
        <x:f>IF(C333="","",IFERROR(IF(AND(AC333&gt;=0,D333&gt;=AC333+INDEX('Facilities'!$AK$9:$AK$108,MATCH(C333,'Facilities'!$C$9:$C$108,0))),(H333+L333)*AM333,0),"Unavailable"))</x:f>
        <x:v>0</x:v>
      </x:c>
      <x:c r="N333" s="23" t="n">
        <x:f>IF(C333="","",IFERROR(IF(AND(AC333&gt;=0,D333&gt;=AC333+INDEX('Facilities'!$AK$9:$AK$108,MATCH(C333,'Facilities'!$C$9:$C$108,0))),H333+L333-M333,0),"Unavailable"))</x:f>
        <x:v>0</x:v>
      </x:c>
      <x:c r="O333" s="21" t="n">
        <x:f>IF(C333="","",IFERROR(MAX(0,G333+J333-K333-L333),"Unavailable"))</x:f>
        <x:v>5.941076312</x:v>
      </x:c>
      <x:c r="P333" s="21" t="n">
        <x:f>IF(C333="","",IFERROR(MAX(0,H333+L333-M333-N333),"Unavailable"))</x:f>
        <x:v>0</x:v>
      </x:c>
      <x:c r="Q333" s="23" t="n">
        <x:f>IF(C333="","",IFERROR(IF(OR(D333&gt;=INDEX('Facilities'!$J$9:$J$108,MATCH(C333,'Facilities'!$C$9:$C$108,0)),AND(AC333&gt;=0,AC333&lt;=D333)),0,MAX(0,I333-J333)),"Unavailable"))</x:f>
        <x:v>1.002915</x:v>
      </x:c>
      <x:c r="R333" s="30" t="n">
        <x:f>IF(C333="","",IFERROR(INDEX(Credit!$Q$309:$Q$408,MATCH(F333,Credit!$C$309:$C$408,0)),"Unavailable"))</x:f>
        <x:v>0.05011389194885118</x:v>
      </x:c>
      <x:c r="S333" s="30" t="n">
        <x:f>IF(C333="","",IFERROR(INDEX(Credit!$R$309:$R$408,MATCH(F333,Credit!$C$309:$C$408,0)),"Unavailable"))</x:f>
        <x:v>0.36236544000000004</x:v>
      </x:c>
      <x:c r="T333" s="23" t="n">
        <x:f>IF(C333="","",IFERROR(IF(P333&gt;0,3,IF(OR(INDEX('Facilities'!$AD$9:$AD$108,MATCH(C333,'Facilities'!$C$9:$C$108,0))=2,AND(R333&gt;=INDEX('Facilities'!$L$9:$L$108,MATCH(C333,'Facilities'!$C$9:$C$108,0))*Settings!$F$19,R333-INDEX('Facilities'!$L$9:$L$108,MATCH(C333,'Facilities'!$C$9:$C$108,0))&gt;=Settings!$F$20)),2,1)),"Unavailable"))</x:f>
        <x:v>2</x:v>
      </x:c>
      <x:c r="U333" s="23" t="n">
        <x:f>IF(C333="","",IF(AQ333&lt;&gt;"Ready","Unavailable",IF(C333="","",O333*(1-(1-S333)/(1+INDEX('Facilities'!$K$9:$K$108,MATCH(C333,'Facilities'!$C$9:$C$108,0)))^INDEX('Facilities'!$AK$9:$AK$108,MATCH(C333,'Facilities'!$C$9:$C$108,0)))*R333/(1+INDEX('Facilities'!$K$9:$K$108,MATCH(C333,'Facilities'!$C$9:$C$108,0)))*IF(ABS(1-(1-R333)*(1-INDEX('Facilities'!$R$9:$R$108,MATCH(C333,'Facilities'!$C$9:$C$108,0)))/(1+INDEX('Facilities'!$K$9:$K$108,MATCH(C333,'Facilities'!$C$9:$C$108,0))))&lt;0.000000001,IF(T333=1,MIN(1,AJ333),AJ333),(1-((1-R333)*(1-INDEX('Facilities'!$R$9:$R$108,MATCH(C333,'Facilities'!$C$9:$C$108,0)))/(1+INDEX('Facilities'!$K$9:$K$108,MATCH(C333,'Facilities'!$C$9:$C$108,0))))^IF(T333=1,MIN(1,AJ333),AJ333))/(1-(1-R333)*(1-INDEX('Facilities'!$R$9:$R$108,MATCH(C333,'Facilities'!$C$9:$C$108,0)))/(1+INDEX('Facilities'!$K$9:$K$108,MATCH(C333,'Facilities'!$C$9:$C$108,0)))))+AL333)))</x:f>
        <x:v>0.29656368764959334</x:v>
      </x:c>
      <x:c r="V333" s="23" t="n">
        <x:f>IF(C333="","",IF(AQ333&lt;&gt;"Ready","Unavailable",IF(C333="","",Q333*INDEX('Facilities'!$I$9:$I$108,MATCH(C333,'Facilities'!$C$9:$C$108,0))*(1-(1-S333)/(1+INDEX('Facilities'!$K$9:$K$108,MATCH(C333,'Facilities'!$C$9:$C$108,0)))^INDEX('Facilities'!$AK$9:$AK$108,MATCH(C333,'Facilities'!$C$9:$C$108,0)))*R333/(1+INDEX('Facilities'!$K$9:$K$108,MATCH(C333,'Facilities'!$C$9:$C$108,0)))*IF(ABS(1-(1-R333)*(1-0)/(1+INDEX('Facilities'!$K$9:$K$108,MATCH(C333,'Facilities'!$C$9:$C$108,0))))&lt;0.000000001,IF(T333=1,MIN(1,AJ333),AJ333),(1-((1-R333)*(1-0)/(1+INDEX('Facilities'!$K$9:$K$108,MATCH(C333,'Facilities'!$C$9:$C$108,0))))^IF(T333=1,MIN(1,AJ333),AJ333))/(1-(1-R333)*(1-0)/(1+INDEX('Facilities'!$K$9:$K$108,MATCH(C333,'Facilities'!$C$9:$C$108,0))))))))</x:f>
        <x:v>0.027985659249707796</x:v>
      </x:c>
      <x:c r="W333" s="21" t="n">
        <x:f>IF(C333="","",IFERROR(U233,"Unavailable"))</x:f>
        <x:v>0.3922783654021228</x:v>
      </x:c>
      <x:c r="X333" s="21" t="n">
        <x:f>IF(C333="","",IFERROR(V233,"Unavailable"))</x:f>
        <x:v>0.03877343335896215</x:v>
      </x:c>
      <x:c r="Y333" s="21" t="n">
        <x:f>IF(C333="","",IF(AQ333&lt;&gt;"Ready","Unavailable",IF(C333="","",U333-W333+V333-X333+N333+AG333)))</x:f>
        <x:v>-0.10650245186178381</x:v>
      </x:c>
      <x:c r="Z333" s="23" t="n">
        <x:f>IF(C333="","",IF(AQ333&lt;&gt;"Ready","Unavailable",IF(C333="","",(G333+O333+L333)/2*INDEX('Facilities'!$T$9:$T$108,MATCH(C333,'Facilities'!$C$9:$C$108,0))+AG333)))</x:f>
        <x:v>0.59686926382</x:v>
      </x:c>
      <x:c r="AA333" s="23" t="n">
        <x:f>IF(C333="","",IF(AQ333&lt;&gt;"Ready","Unavailable",IF(C333="","",O333*(1-IF(INDEX('Facilities'!$AA$9:$AA$108,MATCH(C333,'Facilities'!$C$9:$C$108,0))=0,0,MIN(1,INDEX('Facilities'!$X$9:$X$108,MATCH(C333,'Facilities'!$C$9:$C$108,0))/INDEX('Facilities'!$AA$9:$AA$108,MATCH(C333,'Facilities'!$C$9:$C$108,0)))))*AF333+P333*(1-IF(INDEX('Facilities'!$AA$9:$AA$108,MATCH(C333,'Facilities'!$C$9:$C$108,0))=0,0,MIN(1,INDEX('Facilities'!$X$9:$X$108,MATCH(C333,'Facilities'!$C$9:$C$108,0))/INDEX('Facilities'!$AA$9:$AA$108,MATCH(C333,'Facilities'!$C$9:$C$108,0)))))*INDEX('Facilities'!$AJ$9:$AJ$108,MATCH(C333,'Facilities'!$C$9:$C$108,0))+Q333*INDEX('Facilities'!$AI$9:$AI$108,MATCH(C333,'Facilities'!$C$9:$C$108,0))*AF333)))</x:f>
        <x:v>7.9890036408304</x:v>
      </x:c>
      <x:c r="AB333" s="21" t="n">
        <x:f>IF(C333="","",O333+P333-AD333)</x:f>
        <x:v>-0.6835160880000002</x:v>
      </x:c>
      <x:c r="AC333" s="23" t="n">
        <x:f>IF(C333="","",IFERROR(IF(INDEX('Facilities'!$AD$9:$AD$108,MATCH(C333,'Facilities'!$C$9:$C$108,0))=3,0,IF(INDEX('Facilities'!$AN$9:$AN$108,MATCH(C333,'Facilities'!$C$9:$C$108,0))=0,-1,INDEX('Facilities'!$AN$9:$AN$108,MATCH(C333,'Facilities'!$C$9:$C$108,0)))),"Unavailable"))</x:f>
        <x:v>-1</x:v>
      </x:c>
      <x:c r="AD333" s="21" t="n">
        <x:f>IF(C333="","",IFERROR(G333+H333,"Unavailable"))</x:f>
        <x:v>6.6245924</x:v>
      </x:c>
      <x:c r="AE333" s="21" t="n">
        <x:f>IF(C333="","",IF(AQ333&lt;&gt;"Ready","Unavailable",IF(C333="","",O333+P333-AD333-J333+K333+M333+N333)))</x:f>
        <x:v>-1.1102230246251565e-16</x:v>
      </x:c>
      <x:c r="AF333" s="30" t="n">
        <x:f>IF(C333="","",IFERROR(INDEX('Facilities'!$S$9:$S$108,MATCH(C333,'Facilities'!$C$9:$C$108,0))*'Scenario Paths'!I75,"Unavailable"))</x:f>
        <x:v>1.25</x:v>
      </x:c>
      <x:c r="AG333" s="23" t="n">
        <x:f>IF(C333="","",IF(AQ333&lt;&gt;"Ready","Unavailable",IF(C333="","",IF(H333&gt;0,MAX(0,H333-AK333)*((1+INDEX('Facilities'!$K$9:$K$108,MATCH(C333,'Facilities'!$C$9:$C$108,0)))^MIN(1,MAX(0,AC333+INDEX('Facilities'!$AK$9:$AK$108,MATCH(C333,'Facilities'!$C$9:$C$108,0))-D333+1))-1),0))))</x:f>
        <x:v>0</x:v>
      </x:c>
      <x:c r="AH333" s="21" t="n">
        <x:f>IF(C333="","",IF(AQ333&lt;&gt;"Ready","Unavailable",IF(C333="","",O333+P333)))</x:f>
        <x:v>5.941076312</x:v>
      </x:c>
      <x:c r="AI333" s="21" t="n">
        <x:f>IF(C333="","",IF(AQ333&lt;&gt;"Ready","Unavailable",IF(C333="","",Z333-Y333)))</x:f>
        <x:v>0.7033717156817838</x:v>
      </x:c>
      <x:c r="AJ333" s="23" t="n">
        <x:f>IF(C333="","",IFERROR(MAX(0,INDEX('Facilities'!$J$9:$J$108,MATCH(C333,'Facilities'!$C$9:$C$108,0))-D333),"Unavailable"))</x:f>
        <x:v>3</x:v>
      </x:c>
      <x:c r="AK333" s="21" t="n">
        <x:f>IF(C333="","",IFERROR(AL233,"Unavailable"))</x:f>
        <x:v>0</x:v>
      </x:c>
      <x:c r="AL333" s="23" t="n">
        <x:f>IF(C333="","",IFERROR(IF(P333&gt;0,P333*(1-AM333/(1+INDEX('Facilities'!$K$9:$K$108,MATCH(C333,'Facilities'!$C$9:$C$108,0)))^MAX(0,AC333+INDEX('Facilities'!$AK$9:$AK$108,MATCH(C333,'Facilities'!$C$9:$C$108,0))-D333)),0),"Unavailable"))</x:f>
        <x:v>0</x:v>
      </x:c>
      <x:c r="AM333" s="30" t="n">
        <x:f>IF(C333="","",IFERROR(INDEX('Facilities'!$AL$9:$AL$108,MATCH(C333,'Facilities'!$C$9:$C$108,0)),"Unavailable"))</x:f>
        <x:v>0.55</x:v>
      </x:c>
      <x:c r="AN333" s="30" t="n">
        <x:f>IF(C333="","",IFERROR(INDEX(Credit!$T$309:$T$408,MATCH(F333,Credit!$C$309:$C$408,0)),"Unavailable"))</x:f>
        <x:v>0.003696</x:v>
      </x:c>
      <x:c r="AO333" s="23" t="n">
        <x:f>IF(C333="","",IF(AQ333&lt;&gt;"Ready","Unavailable",IF(C333="","",O333+P333+Q333*INDEX('Facilities'!$I$9:$I$108,MATCH(C333,'Facilities'!$C$9:$C$108,0)))))</x:f>
        <x:v>6.442533812</x:v>
      </x:c>
      <x:c r="AP333" s="21" t="n">
        <x:f>IF(C333="","",IF(AQ333&lt;&gt;"Ready","Unavailable",IF(C333="","",AH333-U333)))</x:f>
        <x:v>5.644512624350407</x:v>
      </x:c>
      <x:c r="AQ333" s="23" t="str">
        <x:f>IFERROR(IF(C333="","",IF(AND(INDEX('Facilities'!$AF$9:$AF$108,MATCH(C333,'Facilities'!$C$9:$C$108,0))="Ready",INDEX(Credit!$U$309:$U$408,MATCH(F333,Credit!$C$309:$C$408,0))="Ready",ISNUMBER(W333)),"Ready","Review inputs")),"Review inputs")</x:f>
        <x:v>Ready</x:v>
      </x:c>
      <x:c r="AR333" s="23" t="n">
        <x:f>IF(C333="","",IF(AQ333&lt;&gt;"Ready","Unavailable",IF(C333="","",IF(O333=0,0,(IF(AJ333&lt;=1,O333,O333*INDEX('Facilities'!$R$9:$R$108,MATCH(C333,'Facilities'!$C$9:$C$108,0)))+O333*INDEX('Facilities'!$T$9:$T$108,MATCH(C333,'Facilities'!$C$9:$C$108,0)))/12))))</x:f>
        <x:v>0.10644428392333333</x:v>
      </x:c>
    </x:row>
    <x:row r="334" ht="26" customHeight="1">
      <x:c r="A334" s="1"/>
      <x:c r="B334" s="1"/>
      <x:c r="C334" s="9" t="str">
        <x:f>IF(Facilities!C34="","",Facilities!C34)</x:f>
        <x:v>F026</x:v>
      </x:c>
      <x:c r="D334" s="3" t="n">
        <x:v>4</x:v>
      </x:c>
      <x:c r="E334" s="9" t="n">
        <x:f>Settings!$F$18+3</x:f>
        <x:v>2030</x:v>
      </x:c>
      <x:c r="F334" s="9" t="str">
        <x:f>IF(C334="","",IFERROR(INDEX('Facilities'!$D$9:$D$108,MATCH(C334,'Facilities'!$C$9:$C$108,0)),"Unavailable"))</x:f>
        <x:v>B014</x:v>
      </x:c>
      <x:c r="G334" s="21" t="n">
        <x:f>IF(C334="","",IFERROR(O234,"Unavailable"))</x:f>
        <x:v>6.8631076</x:v>
      </x:c>
      <x:c r="H334" s="21" t="n">
        <x:f>IF(C334="","",IFERROR(P234,"Unavailable"))</x:f>
        <x:v>0</x:v>
      </x:c>
      <x:c r="I334" s="21" t="n">
        <x:f>IF(C334="","",IFERROR(Q234,"Unavailable"))</x:f>
        <x:v>1.11435</x:v>
      </x:c>
      <x:c r="J334" s="23" t="n">
        <x:f>IF(C334="","",IFERROR(IF(OR(H334&gt;0,AND(AC334&gt;=0,AC334&lt;D334),D334&gt;INDEX('Facilities'!$J$9:$J$108,MATCH(C334,'Facilities'!$C$9:$C$108,0))),0,I334*'Scenario Paths'!I81),"Unavailable"))</x:f>
        <x:v>0.111435</x:v>
      </x:c>
      <x:c r="K334" s="23" t="n">
        <x:f>IF(C334="","",IFERROR(IF(OR(H334&gt;0,AND(AC334&gt;=0,AC334=D334)),0,IF(D334&gt;=INDEX('Facilities'!$J$9:$J$108,MATCH(C334,'Facilities'!$C$9:$C$108,0)),G334+J334,MIN(G334+J334,G334*INDEX('Facilities'!$R$9:$R$108,MATCH(C334,'Facilities'!$C$9:$C$108,0))))),"Unavailable"))</x:f>
        <x:v>0.823572912</x:v>
      </x:c>
      <x:c r="L334" s="21" t="n">
        <x:f>IF(C334="","",IFERROR(IF(AND(AC334=D334,AC334&gt;0),MAX(0,G334+J334-K334),0),"Unavailable"))</x:f>
        <x:v>0</x:v>
      </x:c>
      <x:c r="M334" s="23" t="n">
        <x:f>IF(C334="","",IFERROR(IF(AND(AC334&gt;=0,D334&gt;=AC334+INDEX('Facilities'!$AK$9:$AK$108,MATCH(C334,'Facilities'!$C$9:$C$108,0))),(H334+L334)*AM334,0),"Unavailable"))</x:f>
        <x:v>0</x:v>
      </x:c>
      <x:c r="N334" s="23" t="n">
        <x:f>IF(C334="","",IFERROR(IF(AND(AC334&gt;=0,D334&gt;=AC334+INDEX('Facilities'!$AK$9:$AK$108,MATCH(C334,'Facilities'!$C$9:$C$108,0))),H334+L334-M334,0),"Unavailable"))</x:f>
        <x:v>0</x:v>
      </x:c>
      <x:c r="O334" s="21" t="n">
        <x:f>IF(C334="","",IFERROR(MAX(0,G334+J334-K334-L334),"Unavailable"))</x:f>
        <x:v>6.150969688</x:v>
      </x:c>
      <x:c r="P334" s="21" t="n">
        <x:f>IF(C334="","",IFERROR(MAX(0,H334+L334-M334-N334),"Unavailable"))</x:f>
        <x:v>0</x:v>
      </x:c>
      <x:c r="Q334" s="23" t="n">
        <x:f>IF(C334="","",IFERROR(IF(OR(D334&gt;=INDEX('Facilities'!$J$9:$J$108,MATCH(C334,'Facilities'!$C$9:$C$108,0)),AND(AC334&gt;=0,AC334&lt;=D334)),0,MAX(0,I334-J334)),"Unavailable"))</x:f>
        <x:v>1.002915</x:v>
      </x:c>
      <x:c r="R334" s="30" t="n">
        <x:f>IF(C334="","",IFERROR(INDEX(Credit!$Q$309:$Q$408,MATCH(F334,Credit!$C$309:$C$408,0)),"Unavailable"))</x:f>
        <x:v>0.023133888811110906</x:v>
      </x:c>
      <x:c r="S334" s="30" t="n">
        <x:f>IF(C334="","",IFERROR(INDEX(Credit!$R$309:$R$408,MATCH(F334,Credit!$C$309:$C$408,0)),"Unavailable"))</x:f>
        <x:v>0.404032</x:v>
      </x:c>
      <x:c r="T334" s="23" t="n">
        <x:f>IF(C334="","",IFERROR(IF(P334&gt;0,3,IF(OR(INDEX('Facilities'!$AD$9:$AD$108,MATCH(C334,'Facilities'!$C$9:$C$108,0))=2,AND(R334&gt;=INDEX('Facilities'!$L$9:$L$108,MATCH(C334,'Facilities'!$C$9:$C$108,0))*Settings!$F$19,R334-INDEX('Facilities'!$L$9:$L$108,MATCH(C334,'Facilities'!$C$9:$C$108,0))&gt;=Settings!$F$20)),2,1)),"Unavailable"))</x:f>
        <x:v>1</x:v>
      </x:c>
      <x:c r="U334" s="23" t="n">
        <x:f>IF(C334="","",IF(AQ334&lt;&gt;"Ready","Unavailable",IF(C334="","",O334*(1-(1-S334)/(1+INDEX('Facilities'!$K$9:$K$108,MATCH(C334,'Facilities'!$C$9:$C$108,0)))^INDEX('Facilities'!$AK$9:$AK$108,MATCH(C334,'Facilities'!$C$9:$C$108,0)))*R334/(1+INDEX('Facilities'!$K$9:$K$108,MATCH(C334,'Facilities'!$C$9:$C$108,0)))*IF(ABS(1-(1-R334)*(1-INDEX('Facilities'!$R$9:$R$108,MATCH(C334,'Facilities'!$C$9:$C$108,0)))/(1+INDEX('Facilities'!$K$9:$K$108,MATCH(C334,'Facilities'!$C$9:$C$108,0))))&lt;0.000000001,IF(T334=1,MIN(1,AJ334),AJ334),(1-((1-R334)*(1-INDEX('Facilities'!$R$9:$R$108,MATCH(C334,'Facilities'!$C$9:$C$108,0)))/(1+INDEX('Facilities'!$K$9:$K$108,MATCH(C334,'Facilities'!$C$9:$C$108,0))))^IF(T334=1,MIN(1,AJ334),AJ334))/(1-(1-R334)*(1-INDEX('Facilities'!$R$9:$R$108,MATCH(C334,'Facilities'!$C$9:$C$108,0)))/(1+INDEX('Facilities'!$K$9:$K$108,MATCH(C334,'Facilities'!$C$9:$C$108,0)))))+AL334)))</x:f>
        <x:v>0.06443544686963544</x:v>
      </x:c>
      <x:c r="V334" s="23" t="n">
        <x:f>IF(C334="","",IF(AQ334&lt;&gt;"Ready","Unavailable",IF(C334="","",Q334*INDEX('Facilities'!$I$9:$I$108,MATCH(C334,'Facilities'!$C$9:$C$108,0))*(1-(1-S334)/(1+INDEX('Facilities'!$K$9:$K$108,MATCH(C334,'Facilities'!$C$9:$C$108,0)))^INDEX('Facilities'!$AK$9:$AK$108,MATCH(C334,'Facilities'!$C$9:$C$108,0)))*R334/(1+INDEX('Facilities'!$K$9:$K$108,MATCH(C334,'Facilities'!$C$9:$C$108,0)))*IF(ABS(1-(1-R334)*(1-0)/(1+INDEX('Facilities'!$K$9:$K$108,MATCH(C334,'Facilities'!$C$9:$C$108,0))))&lt;0.000000001,IF(T334=1,MIN(1,AJ334),AJ334),(1-((1-R334)*(1-0)/(1+INDEX('Facilities'!$K$9:$K$108,MATCH(C334,'Facilities'!$C$9:$C$108,0))))^IF(T334=1,MIN(1,AJ334),AJ334))/(1-(1-R334)*(1-0)/(1+INDEX('Facilities'!$K$9:$K$108,MATCH(C334,'Facilities'!$C$9:$C$108,0))))))))</x:f>
        <x:v>0.005253096623393768</x:v>
      </x:c>
      <x:c r="W334" s="21" t="n">
        <x:f>IF(C334="","",IFERROR(U234,"Unavailable"))</x:f>
        <x:v>0.083431614864989</x:v>
      </x:c>
      <x:c r="X334" s="21" t="n">
        <x:f>IF(C334="","",IFERROR(V234,"Unavailable"))</x:f>
        <x:v>0.006773317966397647</x:v>
      </x:c>
      <x:c r="Y334" s="21" t="n">
        <x:f>IF(C334="","",IF(AQ334&lt;&gt;"Ready","Unavailable",IF(C334="","",U334-W334+V334-X334+N334+AG334)))</x:f>
        <x:v>-0.020516389338357435</x:v>
      </x:c>
      <x:c r="Z334" s="23" t="n">
        <x:f>IF(C334="","",IF(AQ334&lt;&gt;"Ready","Unavailable",IF(C334="","",(G334+O334+L334)/2*INDEX('Facilities'!$T$9:$T$108,MATCH(C334,'Facilities'!$C$9:$C$108,0))+AG334)))</x:f>
        <x:v>0.61816867118</x:v>
      </x:c>
      <x:c r="AA334" s="23" t="n">
        <x:f>IF(C334="","",IF(AQ334&lt;&gt;"Ready","Unavailable",IF(C334="","",O334*(1-IF(INDEX('Facilities'!$AA$9:$AA$108,MATCH(C334,'Facilities'!$C$9:$C$108,0))=0,0,MIN(1,INDEX('Facilities'!$X$9:$X$108,MATCH(C334,'Facilities'!$C$9:$C$108,0))/INDEX('Facilities'!$AA$9:$AA$108,MATCH(C334,'Facilities'!$C$9:$C$108,0)))))*AF334+P334*(1-IF(INDEX('Facilities'!$AA$9:$AA$108,MATCH(C334,'Facilities'!$C$9:$C$108,0))=0,0,MIN(1,INDEX('Facilities'!$X$9:$X$108,MATCH(C334,'Facilities'!$C$9:$C$108,0))/INDEX('Facilities'!$AA$9:$AA$108,MATCH(C334,'Facilities'!$C$9:$C$108,0)))))*INDEX('Facilities'!$AJ$9:$AJ$108,MATCH(C334,'Facilities'!$C$9:$C$108,0))+Q334*INDEX('Facilities'!$AI$9:$AI$108,MATCH(C334,'Facilities'!$C$9:$C$108,0))*AF334)))</x:f>
        <x:v>8.204816530616</x:v>
      </x:c>
      <x:c r="AB334" s="21" t="n">
        <x:f>IF(C334="","",O334+P334-AD334)</x:f>
        <x:v>-0.7121379120000002</x:v>
      </x:c>
      <x:c r="AC334" s="23" t="n">
        <x:f>IF(C334="","",IFERROR(IF(INDEX('Facilities'!$AD$9:$AD$108,MATCH(C334,'Facilities'!$C$9:$C$108,0))=3,0,IF(INDEX('Facilities'!$AN$9:$AN$108,MATCH(C334,'Facilities'!$C$9:$C$108,0))=0,-1,INDEX('Facilities'!$AN$9:$AN$108,MATCH(C334,'Facilities'!$C$9:$C$108,0)))),"Unavailable"))</x:f>
        <x:v>-1</x:v>
      </x:c>
      <x:c r="AD334" s="21" t="n">
        <x:f>IF(C334="","",IFERROR(G334+H334,"Unavailable"))</x:f>
        <x:v>6.8631076</x:v>
      </x:c>
      <x:c r="AE334" s="21" t="n">
        <x:f>IF(C334="","",IF(AQ334&lt;&gt;"Ready","Unavailable",IF(C334="","",O334+P334-AD334-J334+K334+M334+N334)))</x:f>
        <x:v>-1.1102230246251565e-16</x:v>
      </x:c>
      <x:c r="AF334" s="30" t="n">
        <x:f>IF(C334="","",IFERROR(INDEX('Facilities'!$S$9:$S$108,MATCH(C334,'Facilities'!$C$9:$C$108,0))*'Scenario Paths'!I75,"Unavailable"))</x:f>
        <x:v>1.25</x:v>
      </x:c>
      <x:c r="AG334" s="23" t="n">
        <x:f>IF(C334="","",IF(AQ334&lt;&gt;"Ready","Unavailable",IF(C334="","",IF(H334&gt;0,MAX(0,H334-AK334)*((1+INDEX('Facilities'!$K$9:$K$108,MATCH(C334,'Facilities'!$C$9:$C$108,0)))^MIN(1,MAX(0,AC334+INDEX('Facilities'!$AK$9:$AK$108,MATCH(C334,'Facilities'!$C$9:$C$108,0))-D334+1))-1),0))))</x:f>
        <x:v>0</x:v>
      </x:c>
      <x:c r="AH334" s="21" t="n">
        <x:f>IF(C334="","",IF(AQ334&lt;&gt;"Ready","Unavailable",IF(C334="","",O334+P334)))</x:f>
        <x:v>6.150969688</x:v>
      </x:c>
      <x:c r="AI334" s="21" t="n">
        <x:f>IF(C334="","",IF(AQ334&lt;&gt;"Ready","Unavailable",IF(C334="","",Z334-Y334)))</x:f>
        <x:v>0.6386850605183574</x:v>
      </x:c>
      <x:c r="AJ334" s="23" t="n">
        <x:f>IF(C334="","",IFERROR(MAX(0,INDEX('Facilities'!$J$9:$J$108,MATCH(C334,'Facilities'!$C$9:$C$108,0))-D334),"Unavailable"))</x:f>
        <x:v>4</x:v>
      </x:c>
      <x:c r="AK334" s="21" t="n">
        <x:f>IF(C334="","",IFERROR(AL234,"Unavailable"))</x:f>
        <x:v>0</x:v>
      </x:c>
      <x:c r="AL334" s="23" t="n">
        <x:f>IF(C334="","",IFERROR(IF(P334&gt;0,P334*(1-AM334/(1+INDEX('Facilities'!$K$9:$K$108,MATCH(C334,'Facilities'!$C$9:$C$108,0)))^MAX(0,AC334+INDEX('Facilities'!$AK$9:$AK$108,MATCH(C334,'Facilities'!$C$9:$C$108,0))-D334)),0),"Unavailable"))</x:f>
        <x:v>0</x:v>
      </x:c>
      <x:c r="AM334" s="30" t="n">
        <x:f>IF(C334="","",IFERROR(INDEX('Facilities'!$AL$9:$AL$108,MATCH(C334,'Facilities'!$C$9:$C$108,0)),"Unavailable"))</x:f>
        <x:v>0.55</x:v>
      </x:c>
      <x:c r="AN334" s="30" t="n">
        <x:f>IF(C334="","",IFERROR(INDEX(Credit!$T$309:$T$408,MATCH(F334,Credit!$C$309:$C$408,0)),"Unavailable"))</x:f>
        <x:v>0.006720000000000001</x:v>
      </x:c>
      <x:c r="AO334" s="23" t="n">
        <x:f>IF(C334="","",IF(AQ334&lt;&gt;"Ready","Unavailable",IF(C334="","",O334+P334+Q334*INDEX('Facilities'!$I$9:$I$108,MATCH(C334,'Facilities'!$C$9:$C$108,0)))))</x:f>
        <x:v>6.652427188</x:v>
      </x:c>
      <x:c r="AP334" s="21" t="n">
        <x:f>IF(C334="","",IF(AQ334&lt;&gt;"Ready","Unavailable",IF(C334="","",AH334-U334)))</x:f>
        <x:v>6.086534241130365</x:v>
      </x:c>
      <x:c r="AQ334" s="23" t="str">
        <x:f>IFERROR(IF(C334="","",IF(AND(INDEX('Facilities'!$AF$9:$AF$108,MATCH(C334,'Facilities'!$C$9:$C$108,0))="Ready",INDEX(Credit!$U$309:$U$408,MATCH(F334,Credit!$C$309:$C$408,0))="Ready",ISNUMBER(W334)),"Ready","Review inputs")),"Review inputs")</x:f>
        <x:v>Ready</x:v>
      </x:c>
      <x:c r="AR334" s="23" t="n">
        <x:f>IF(C334="","",IF(AQ334&lt;&gt;"Ready","Unavailable",IF(C334="","",IF(O334=0,0,(IF(AJ334&lt;=1,O334,O334*INDEX('Facilities'!$R$9:$R$108,MATCH(C334,'Facilities'!$C$9:$C$108,0)))+O334*INDEX('Facilities'!$T$9:$T$108,MATCH(C334,'Facilities'!$C$9:$C$108,0)))/12))))</x:f>
        <x:v>0.11020487357666668</x:v>
      </x:c>
    </x:row>
    <x:row r="335" ht="26" customHeight="1">
      <x:c r="A335" s="1"/>
      <x:c r="B335" s="1"/>
      <x:c r="C335" s="9" t="str">
        <x:f>IF(Facilities!C35="","",Facilities!C35)</x:f>
        <x:v>F027</x:v>
      </x:c>
      <x:c r="D335" s="3" t="n">
        <x:v>4</x:v>
      </x:c>
      <x:c r="E335" s="9" t="n">
        <x:f>Settings!$F$18+3</x:f>
        <x:v>2030</x:v>
      </x:c>
      <x:c r="F335" s="9" t="str">
        <x:f>IF(C335="","",IFERROR(INDEX('Facilities'!$D$9:$D$108,MATCH(C335,'Facilities'!$C$9:$C$108,0)),"Unavailable"))</x:f>
        <x:v>B015</x:v>
      </x:c>
      <x:c r="G335" s="21" t="n">
        <x:f>IF(C335="","",IFERROR(O235,"Unavailable"))</x:f>
        <x:v>7.1016228</x:v>
      </x:c>
      <x:c r="H335" s="21" t="n">
        <x:f>IF(C335="","",IFERROR(P235,"Unavailable"))</x:f>
        <x:v>0</x:v>
      </x:c>
      <x:c r="I335" s="21" t="n">
        <x:f>IF(C335="","",IFERROR(Q235,"Unavailable"))</x:f>
        <x:v>1.11435</x:v>
      </x:c>
      <x:c r="J335" s="23" t="n">
        <x:f>IF(C335="","",IFERROR(IF(OR(H335&gt;0,AND(AC335&gt;=0,AC335&lt;D335),D335&gt;INDEX('Facilities'!$J$9:$J$108,MATCH(C335,'Facilities'!$C$9:$C$108,0))),0,I335*'Scenario Paths'!I81),"Unavailable"))</x:f>
        <x:v>0.111435</x:v>
      </x:c>
      <x:c r="K335" s="23" t="n">
        <x:f>IF(C335="","",IFERROR(IF(OR(H335&gt;0,AND(AC335&gt;=0,AC335=D335)),0,IF(D335&gt;=INDEX('Facilities'!$J$9:$J$108,MATCH(C335,'Facilities'!$C$9:$C$108,0)),G335+J335,MIN(G335+J335,G335*INDEX('Facilities'!$R$9:$R$108,MATCH(C335,'Facilities'!$C$9:$C$108,0))))),"Unavailable"))</x:f>
        <x:v>0.8521947360000001</x:v>
      </x:c>
      <x:c r="L335" s="21" t="n">
        <x:f>IF(C335="","",IFERROR(IF(AND(AC335=D335,AC335&gt;0),MAX(0,G335+J335-K335),0),"Unavailable"))</x:f>
        <x:v>0</x:v>
      </x:c>
      <x:c r="M335" s="23" t="n">
        <x:f>IF(C335="","",IFERROR(IF(AND(AC335&gt;=0,D335&gt;=AC335+INDEX('Facilities'!$AK$9:$AK$108,MATCH(C335,'Facilities'!$C$9:$C$108,0))),(H335+L335)*AM335,0),"Unavailable"))</x:f>
        <x:v>0</x:v>
      </x:c>
      <x:c r="N335" s="23" t="n">
        <x:f>IF(C335="","",IFERROR(IF(AND(AC335&gt;=0,D335&gt;=AC335+INDEX('Facilities'!$AK$9:$AK$108,MATCH(C335,'Facilities'!$C$9:$C$108,0))),H335+L335-M335,0),"Unavailable"))</x:f>
        <x:v>0</x:v>
      </x:c>
      <x:c r="O335" s="21" t="n">
        <x:f>IF(C335="","",IFERROR(MAX(0,G335+J335-K335-L335),"Unavailable"))</x:f>
        <x:v>6.360863064</x:v>
      </x:c>
      <x:c r="P335" s="21" t="n">
        <x:f>IF(C335="","",IFERROR(MAX(0,H335+L335-M335-N335),"Unavailable"))</x:f>
        <x:v>0</x:v>
      </x:c>
      <x:c r="Q335" s="23" t="n">
        <x:f>IF(C335="","",IFERROR(IF(OR(D335&gt;=INDEX('Facilities'!$J$9:$J$108,MATCH(C335,'Facilities'!$C$9:$C$108,0)),AND(AC335&gt;=0,AC335&lt;=D335)),0,MAX(0,I335-J335)),"Unavailable"))</x:f>
        <x:v>1.002915</x:v>
      </x:c>
      <x:c r="R335" s="30" t="n">
        <x:f>IF(C335="","",IFERROR(INDEX(Credit!$Q$309:$Q$408,MATCH(F335,Credit!$C$309:$C$408,0)),"Unavailable"))</x:f>
        <x:v>0.04986372546461093</x:v>
      </x:c>
      <x:c r="S335" s="30" t="n">
        <x:f>IF(C335="","",IFERROR(INDEX(Credit!$R$309:$R$408,MATCH(F335,Credit!$C$309:$C$408,0)),"Unavailable"))</x:f>
        <x:v>0.4459404800000001</x:v>
      </x:c>
      <x:c r="T335" s="23" t="n">
        <x:f>IF(C335="","",IFERROR(IF(P335&gt;0,3,IF(OR(INDEX('Facilities'!$AD$9:$AD$108,MATCH(C335,'Facilities'!$C$9:$C$108,0))=2,AND(R335&gt;=INDEX('Facilities'!$L$9:$L$108,MATCH(C335,'Facilities'!$C$9:$C$108,0))*Settings!$F$19,R335-INDEX('Facilities'!$L$9:$L$108,MATCH(C335,'Facilities'!$C$9:$C$108,0))&gt;=Settings!$F$20)),2,1)),"Unavailable"))</x:f>
        <x:v>2</x:v>
      </x:c>
      <x:c r="U335" s="23" t="n">
        <x:f>IF(C335="","",IF(AQ335&lt;&gt;"Ready","Unavailable",IF(C335="","",O335*(1-(1-S335)/(1+INDEX('Facilities'!$K$9:$K$108,MATCH(C335,'Facilities'!$C$9:$C$108,0)))^INDEX('Facilities'!$AK$9:$AK$108,MATCH(C335,'Facilities'!$C$9:$C$108,0)))*R335/(1+INDEX('Facilities'!$K$9:$K$108,MATCH(C335,'Facilities'!$C$9:$C$108,0)))*IF(ABS(1-(1-R335)*(1-INDEX('Facilities'!$R$9:$R$108,MATCH(C335,'Facilities'!$C$9:$C$108,0)))/(1+INDEX('Facilities'!$K$9:$K$108,MATCH(C335,'Facilities'!$C$9:$C$108,0))))&lt;0.000000001,IF(T335=1,MIN(1,AJ335),AJ335),(1-((1-R335)*(1-INDEX('Facilities'!$R$9:$R$108,MATCH(C335,'Facilities'!$C$9:$C$108,0)))/(1+INDEX('Facilities'!$K$9:$K$108,MATCH(C335,'Facilities'!$C$9:$C$108,0))))^IF(T335=1,MIN(1,AJ335),AJ335))/(1-(1-R335)*(1-INDEX('Facilities'!$R$9:$R$108,MATCH(C335,'Facilities'!$C$9:$C$108,0)))/(1+INDEX('Facilities'!$K$9:$K$108,MATCH(C335,'Facilities'!$C$9:$C$108,0)))))+AL335)))</x:f>
        <x:v>0.5946522265251157</x:v>
      </x:c>
      <x:c r="V335" s="23" t="n">
        <x:f>IF(C335="","",IF(AQ335&lt;&gt;"Ready","Unavailable",IF(C335="","",Q335*INDEX('Facilities'!$I$9:$I$108,MATCH(C335,'Facilities'!$C$9:$C$108,0))*(1-(1-S335)/(1+INDEX('Facilities'!$K$9:$K$108,MATCH(C335,'Facilities'!$C$9:$C$108,0)))^INDEX('Facilities'!$AK$9:$AK$108,MATCH(C335,'Facilities'!$C$9:$C$108,0)))*R335/(1+INDEX('Facilities'!$K$9:$K$108,MATCH(C335,'Facilities'!$C$9:$C$108,0)))*IF(ABS(1-(1-R335)*(1-0)/(1+INDEX('Facilities'!$K$9:$K$108,MATCH(C335,'Facilities'!$C$9:$C$108,0))))&lt;0.000000001,IF(T335=1,MIN(1,AJ335),AJ335),(1-((1-R335)*(1-0)/(1+INDEX('Facilities'!$K$9:$K$108,MATCH(C335,'Facilities'!$C$9:$C$108,0))))^IF(T335=1,MIN(1,AJ335),AJ335))/(1-(1-R335)*(1-0)/(1+INDEX('Facilities'!$K$9:$K$108,MATCH(C335,'Facilities'!$C$9:$C$108,0))))))))</x:f>
        <x:v>0.06481043653251506</x:v>
      </x:c>
      <x:c r="W335" s="21" t="n">
        <x:f>IF(C335="","",IFERROR(U235,"Unavailable"))</x:f>
        <x:v>0.7039162862689279</x:v>
      </x:c>
      <x:c r="X335" s="21" t="n">
        <x:f>IF(C335="","",IFERROR(V235,"Unavailable"))</x:f>
        <x:v>0.07874920452122587</x:v>
      </x:c>
      <x:c r="Y335" s="21" t="n">
        <x:f>IF(C335="","",IF(AQ335&lt;&gt;"Ready","Unavailable",IF(C335="","",U335-W335+V335-X335+N335+AG335)))</x:f>
        <x:v>-0.12320282773252296</x:v>
      </x:c>
      <x:c r="Z335" s="23" t="n">
        <x:f>IF(C335="","",IF(AQ335&lt;&gt;"Ready","Unavailable",IF(C335="","",(G335+O335+L335)/2*INDEX('Facilities'!$T$9:$T$108,MATCH(C335,'Facilities'!$C$9:$C$108,0))+AG335)))</x:f>
        <x:v>0.6394680785400001</x:v>
      </x:c>
      <x:c r="AA335" s="23" t="n">
        <x:f>IF(C335="","",IF(AQ335&lt;&gt;"Ready","Unavailable",IF(C335="","",O335*(1-IF(INDEX('Facilities'!$AA$9:$AA$108,MATCH(C335,'Facilities'!$C$9:$C$108,0))=0,0,MIN(1,INDEX('Facilities'!$X$9:$X$108,MATCH(C335,'Facilities'!$C$9:$C$108,0))/INDEX('Facilities'!$AA$9:$AA$108,MATCH(C335,'Facilities'!$C$9:$C$108,0)))))*AF335+P335*(1-IF(INDEX('Facilities'!$AA$9:$AA$108,MATCH(C335,'Facilities'!$C$9:$C$108,0))=0,0,MIN(1,INDEX('Facilities'!$X$9:$X$108,MATCH(C335,'Facilities'!$C$9:$C$108,0))/INDEX('Facilities'!$AA$9:$AA$108,MATCH(C335,'Facilities'!$C$9:$C$108,0)))))*INDEX('Facilities'!$AJ$9:$AJ$108,MATCH(C335,'Facilities'!$C$9:$C$108,0))+Q335*INDEX('Facilities'!$AI$9:$AI$108,MATCH(C335,'Facilities'!$C$9:$C$108,0))*AF335)))</x:f>
        <x:v>8.4099739201104</x:v>
      </x:c>
      <x:c r="AB335" s="21" t="n">
        <x:f>IF(C335="","",O335+P335-AD335)</x:f>
        <x:v>-0.7407597360000002</x:v>
      </x:c>
      <x:c r="AC335" s="23" t="n">
        <x:f>IF(C335="","",IFERROR(IF(INDEX('Facilities'!$AD$9:$AD$108,MATCH(C335,'Facilities'!$C$9:$C$108,0))=3,0,IF(INDEX('Facilities'!$AN$9:$AN$108,MATCH(C335,'Facilities'!$C$9:$C$108,0))=0,-1,INDEX('Facilities'!$AN$9:$AN$108,MATCH(C335,'Facilities'!$C$9:$C$108,0)))),"Unavailable"))</x:f>
        <x:v>-1</x:v>
      </x:c>
      <x:c r="AD335" s="21" t="n">
        <x:f>IF(C335="","",IFERROR(G335+H335,"Unavailable"))</x:f>
        <x:v>7.1016228</x:v>
      </x:c>
      <x:c r="AE335" s="21" t="n">
        <x:f>IF(C335="","",IF(AQ335&lt;&gt;"Ready","Unavailable",IF(C335="","",O335+P335-AD335-J335+K335+M335+N335)))</x:f>
        <x:v>-1.1102230246251565e-16</x:v>
      </x:c>
      <x:c r="AF335" s="30" t="n">
        <x:f>IF(C335="","",IFERROR(INDEX('Facilities'!$S$9:$S$108,MATCH(C335,'Facilities'!$C$9:$C$108,0))*'Scenario Paths'!I75,"Unavailable"))</x:f>
        <x:v>1.25</x:v>
      </x:c>
      <x:c r="AG335" s="23" t="n">
        <x:f>IF(C335="","",IF(AQ335&lt;&gt;"Ready","Unavailable",IF(C335="","",IF(H335&gt;0,MAX(0,H335-AK335)*((1+INDEX('Facilities'!$K$9:$K$108,MATCH(C335,'Facilities'!$C$9:$C$108,0)))^MIN(1,MAX(0,AC335+INDEX('Facilities'!$AK$9:$AK$108,MATCH(C335,'Facilities'!$C$9:$C$108,0))-D335+1))-1),0))))</x:f>
        <x:v>0</x:v>
      </x:c>
      <x:c r="AH335" s="21" t="n">
        <x:f>IF(C335="","",IF(AQ335&lt;&gt;"Ready","Unavailable",IF(C335="","",O335+P335)))</x:f>
        <x:v>6.360863064</x:v>
      </x:c>
      <x:c r="AI335" s="21" t="n">
        <x:f>IF(C335="","",IF(AQ335&lt;&gt;"Ready","Unavailable",IF(C335="","",Z335-Y335)))</x:f>
        <x:v>0.7626709062725231</x:v>
      </x:c>
      <x:c r="AJ335" s="23" t="n">
        <x:f>IF(C335="","",IFERROR(MAX(0,INDEX('Facilities'!$J$9:$J$108,MATCH(C335,'Facilities'!$C$9:$C$108,0))-D335),"Unavailable"))</x:f>
        <x:v>8</x:v>
      </x:c>
      <x:c r="AK335" s="21" t="n">
        <x:f>IF(C335="","",IFERROR(AL235,"Unavailable"))</x:f>
        <x:v>0</x:v>
      </x:c>
      <x:c r="AL335" s="23" t="n">
        <x:f>IF(C335="","",IFERROR(IF(P335&gt;0,P335*(1-AM335/(1+INDEX('Facilities'!$K$9:$K$108,MATCH(C335,'Facilities'!$C$9:$C$108,0)))^MAX(0,AC335+INDEX('Facilities'!$AK$9:$AK$108,MATCH(C335,'Facilities'!$C$9:$C$108,0))-D335)),0),"Unavailable"))</x:f>
        <x:v>0</x:v>
      </x:c>
      <x:c r="AM335" s="30" t="n">
        <x:f>IF(C335="","",IFERROR(INDEX('Facilities'!$AL$9:$AL$108,MATCH(C335,'Facilities'!$C$9:$C$108,0)),"Unavailable"))</x:f>
        <x:v>0.55</x:v>
      </x:c>
      <x:c r="AN335" s="30" t="n">
        <x:f>IF(C335="","",IFERROR(INDEX(Credit!$T$309:$T$408,MATCH(F335,Credit!$C$309:$C$408,0)),"Unavailable"))</x:f>
        <x:v>0.010607999999999998</x:v>
      </x:c>
      <x:c r="AO335" s="23" t="n">
        <x:f>IF(C335="","",IF(AQ335&lt;&gt;"Ready","Unavailable",IF(C335="","",O335+P335+Q335*INDEX('Facilities'!$I$9:$I$108,MATCH(C335,'Facilities'!$C$9:$C$108,0)))))</x:f>
        <x:v>6.862320564</x:v>
      </x:c>
      <x:c r="AP335" s="21" t="n">
        <x:f>IF(C335="","",IF(AQ335&lt;&gt;"Ready","Unavailable",IF(C335="","",AH335-U335)))</x:f>
        <x:v>5.766210837474884</x:v>
      </x:c>
      <x:c r="AQ335" s="23" t="str">
        <x:f>IFERROR(IF(C335="","",IF(AND(INDEX('Facilities'!$AF$9:$AF$108,MATCH(C335,'Facilities'!$C$9:$C$108,0))="Ready",INDEX(Credit!$U$309:$U$408,MATCH(F335,Credit!$C$309:$C$408,0))="Ready",ISNUMBER(W335)),"Ready","Review inputs")),"Review inputs")</x:f>
        <x:v>Ready</x:v>
      </x:c>
      <x:c r="AR335" s="23" t="n">
        <x:f>IF(C335="","",IF(AQ335&lt;&gt;"Ready","Unavailable",IF(C335="","",IF(O335=0,0,(IF(AJ335&lt;=1,O335,O335*INDEX('Facilities'!$R$9:$R$108,MATCH(C335,'Facilities'!$C$9:$C$108,0)))+O335*INDEX('Facilities'!$T$9:$T$108,MATCH(C335,'Facilities'!$C$9:$C$108,0)))/12))))</x:f>
        <x:v>0.11396546323000001</x:v>
      </x:c>
    </x:row>
    <x:row r="336" ht="26" customHeight="1">
      <x:c r="A336" s="1"/>
      <x:c r="B336" s="1"/>
      <x:c r="C336" s="9" t="str">
        <x:f>IF(Facilities!C36="","",Facilities!C36)</x:f>
        <x:v>F028</x:v>
      </x:c>
      <x:c r="D336" s="3" t="n">
        <x:v>4</x:v>
      </x:c>
      <x:c r="E336" s="9" t="n">
        <x:f>Settings!$F$18+3</x:f>
        <x:v>2030</x:v>
      </x:c>
      <x:c r="F336" s="9" t="str">
        <x:f>IF(C336="","",IFERROR(INDEX('Facilities'!$D$9:$D$108,MATCH(C336,'Facilities'!$C$9:$C$108,0)),"Unavailable"))</x:f>
        <x:v>B016</x:v>
      </x:c>
      <x:c r="G336" s="21" t="n">
        <x:f>IF(C336="","",IFERROR(O236,"Unavailable"))</x:f>
        <x:v>7.340138</x:v>
      </x:c>
      <x:c r="H336" s="21" t="n">
        <x:f>IF(C336="","",IFERROR(P236,"Unavailable"))</x:f>
        <x:v>0</x:v>
      </x:c>
      <x:c r="I336" s="21" t="n">
        <x:f>IF(C336="","",IFERROR(Q236,"Unavailable"))</x:f>
        <x:v>1.11435</x:v>
      </x:c>
      <x:c r="J336" s="23" t="n">
        <x:f>IF(C336="","",IFERROR(IF(OR(H336&gt;0,AND(AC336&gt;=0,AC336&lt;D336),D336&gt;INDEX('Facilities'!$J$9:$J$108,MATCH(C336,'Facilities'!$C$9:$C$108,0))),0,I336*'Scenario Paths'!I81),"Unavailable"))</x:f>
        <x:v>0.111435</x:v>
      </x:c>
      <x:c r="K336" s="23" t="n">
        <x:f>IF(C336="","",IFERROR(IF(OR(H336&gt;0,AND(AC336&gt;=0,AC336=D336)),0,IF(D336&gt;=INDEX('Facilities'!$J$9:$J$108,MATCH(C336,'Facilities'!$C$9:$C$108,0)),G336+J336,MIN(G336+J336,G336*INDEX('Facilities'!$R$9:$R$108,MATCH(C336,'Facilities'!$C$9:$C$108,0))))),"Unavailable"))</x:f>
        <x:v>0.88081656</x:v>
      </x:c>
      <x:c r="L336" s="21" t="n">
        <x:f>IF(C336="","",IFERROR(IF(AND(AC336=D336,AC336&gt;0),MAX(0,G336+J336-K336),0),"Unavailable"))</x:f>
        <x:v>0</x:v>
      </x:c>
      <x:c r="M336" s="23" t="n">
        <x:f>IF(C336="","",IFERROR(IF(AND(AC336&gt;=0,D336&gt;=AC336+INDEX('Facilities'!$AK$9:$AK$108,MATCH(C336,'Facilities'!$C$9:$C$108,0))),(H336+L336)*AM336,0),"Unavailable"))</x:f>
        <x:v>0</x:v>
      </x:c>
      <x:c r="N336" s="23" t="n">
        <x:f>IF(C336="","",IFERROR(IF(AND(AC336&gt;=0,D336&gt;=AC336+INDEX('Facilities'!$AK$9:$AK$108,MATCH(C336,'Facilities'!$C$9:$C$108,0))),H336+L336-M336,0),"Unavailable"))</x:f>
        <x:v>0</x:v>
      </x:c>
      <x:c r="O336" s="21" t="n">
        <x:f>IF(C336="","",IFERROR(MAX(0,G336+J336-K336-L336),"Unavailable"))</x:f>
        <x:v>6.57075644</x:v>
      </x:c>
      <x:c r="P336" s="21" t="n">
        <x:f>IF(C336="","",IFERROR(MAX(0,H336+L336-M336-N336),"Unavailable"))</x:f>
        <x:v>0</x:v>
      </x:c>
      <x:c r="Q336" s="23" t="n">
        <x:f>IF(C336="","",IFERROR(IF(OR(D336&gt;=INDEX('Facilities'!$J$9:$J$108,MATCH(C336,'Facilities'!$C$9:$C$108,0)),AND(AC336&gt;=0,AC336&lt;=D336)),0,MAX(0,I336-J336)),"Unavailable"))</x:f>
        <x:v>1.002915</x:v>
      </x:c>
      <x:c r="R336" s="30" t="n">
        <x:f>IF(C336="","",IFERROR(INDEX(Credit!$Q$309:$Q$408,MATCH(F336,Credit!$C$309:$C$408,0)),"Unavailable"))</x:f>
        <x:v>0.05475793342839774</x:v>
      </x:c>
      <x:c r="S336" s="30" t="n">
        <x:f>IF(C336="","",IFERROR(INDEX(Credit!$R$309:$R$408,MATCH(F336,Credit!$C$309:$C$408,0)),"Unavailable"))</x:f>
        <x:v>0.2812096</x:v>
      </x:c>
      <x:c r="T336" s="23" t="n">
        <x:f>IF(C336="","",IFERROR(IF(P336&gt;0,3,IF(OR(INDEX('Facilities'!$AD$9:$AD$108,MATCH(C336,'Facilities'!$C$9:$C$108,0))=2,AND(R336&gt;=INDEX('Facilities'!$L$9:$L$108,MATCH(C336,'Facilities'!$C$9:$C$108,0))*Settings!$F$19,R336-INDEX('Facilities'!$L$9:$L$108,MATCH(C336,'Facilities'!$C$9:$C$108,0))&gt;=Settings!$F$20)),2,1)),"Unavailable"))</x:f>
        <x:v>1</x:v>
      </x:c>
      <x:c r="U336" s="23" t="n">
        <x:f>IF(C336="","",IF(AQ336&lt;&gt;"Ready","Unavailable",IF(C336="","",O336*(1-(1-S336)/(1+INDEX('Facilities'!$K$9:$K$108,MATCH(C336,'Facilities'!$C$9:$C$108,0)))^INDEX('Facilities'!$AK$9:$AK$108,MATCH(C336,'Facilities'!$C$9:$C$108,0)))*R336/(1+INDEX('Facilities'!$K$9:$K$108,MATCH(C336,'Facilities'!$C$9:$C$108,0)))*IF(ABS(1-(1-R336)*(1-INDEX('Facilities'!$R$9:$R$108,MATCH(C336,'Facilities'!$C$9:$C$108,0)))/(1+INDEX('Facilities'!$K$9:$K$108,MATCH(C336,'Facilities'!$C$9:$C$108,0))))&lt;0.000000001,IF(T336=1,MIN(1,AJ336),AJ336),(1-((1-R336)*(1-INDEX('Facilities'!$R$9:$R$108,MATCH(C336,'Facilities'!$C$9:$C$108,0)))/(1+INDEX('Facilities'!$K$9:$K$108,MATCH(C336,'Facilities'!$C$9:$C$108,0))))^IF(T336=1,MIN(1,AJ336),AJ336))/(1-(1-R336)*(1-INDEX('Facilities'!$R$9:$R$108,MATCH(C336,'Facilities'!$C$9:$C$108,0)))/(1+INDEX('Facilities'!$K$9:$K$108,MATCH(C336,'Facilities'!$C$9:$C$108,0)))))+AL336)))</x:f>
        <x:v>0.12784700094718715</x:v>
      </x:c>
      <x:c r="V336" s="23" t="n">
        <x:f>IF(C336="","",IF(AQ336&lt;&gt;"Ready","Unavailable",IF(C336="","",Q336*INDEX('Facilities'!$I$9:$I$108,MATCH(C336,'Facilities'!$C$9:$C$108,0))*(1-(1-S336)/(1+INDEX('Facilities'!$K$9:$K$108,MATCH(C336,'Facilities'!$C$9:$C$108,0)))^INDEX('Facilities'!$AK$9:$AK$108,MATCH(C336,'Facilities'!$C$9:$C$108,0)))*R336/(1+INDEX('Facilities'!$K$9:$K$108,MATCH(C336,'Facilities'!$C$9:$C$108,0)))*IF(ABS(1-(1-R336)*(1-0)/(1+INDEX('Facilities'!$K$9:$K$108,MATCH(C336,'Facilities'!$C$9:$C$108,0))))&lt;0.000000001,IF(T336=1,MIN(1,AJ336),AJ336),(1-((1-R336)*(1-0)/(1+INDEX('Facilities'!$K$9:$K$108,MATCH(C336,'Facilities'!$C$9:$C$108,0))))^IF(T336=1,MIN(1,AJ336),AJ336))/(1-(1-R336)*(1-0)/(1+INDEX('Facilities'!$K$9:$K$108,MATCH(C336,'Facilities'!$C$9:$C$108,0))))))))</x:f>
        <x:v>0.009756842771891587</x:v>
      </x:c>
      <x:c r="W336" s="21" t="n">
        <x:f>IF(C336="","",IFERROR(U236,"Unavailable"))</x:f>
        <x:v>0.15140207288388746</x:v>
      </x:c>
      <x:c r="X336" s="21" t="n">
        <x:f>IF(C336="","",IFERROR(V236,"Unavailable"))</x:f>
        <x:v>0.011492624520013109</x:v>
      </x:c>
      <x:c r="Y336" s="21" t="n">
        <x:f>IF(C336="","",IF(AQ336&lt;&gt;"Ready","Unavailable",IF(C336="","",U336-W336+V336-X336+N336+AG336)))</x:f>
        <x:v>-0.025290853684821833</x:v>
      </x:c>
      <x:c r="Z336" s="23" t="n">
        <x:f>IF(C336="","",IF(AQ336&lt;&gt;"Ready","Unavailable",IF(C336="","",(G336+O336+L336)/2*INDEX('Facilities'!$T$9:$T$108,MATCH(C336,'Facilities'!$C$9:$C$108,0))+AG336)))</x:f>
        <x:v>0.6607674859</x:v>
      </x:c>
      <x:c r="AA336" s="23" t="n">
        <x:f>IF(C336="","",IF(AQ336&lt;&gt;"Ready","Unavailable",IF(C336="","",O336*(1-IF(INDEX('Facilities'!$AA$9:$AA$108,MATCH(C336,'Facilities'!$C$9:$C$108,0))=0,0,MIN(1,INDEX('Facilities'!$X$9:$X$108,MATCH(C336,'Facilities'!$C$9:$C$108,0))/INDEX('Facilities'!$AA$9:$AA$108,MATCH(C336,'Facilities'!$C$9:$C$108,0)))))*AF336+P336*(1-IF(INDEX('Facilities'!$AA$9:$AA$108,MATCH(C336,'Facilities'!$C$9:$C$108,0))=0,0,MIN(1,INDEX('Facilities'!$X$9:$X$108,MATCH(C336,'Facilities'!$C$9:$C$108,0))/INDEX('Facilities'!$AA$9:$AA$108,MATCH(C336,'Facilities'!$C$9:$C$108,0)))))*INDEX('Facilities'!$AJ$9:$AJ$108,MATCH(C336,'Facilities'!$C$9:$C$108,0))+Q336*INDEX('Facilities'!$AI$9:$AI$108,MATCH(C336,'Facilities'!$C$9:$C$108,0))*AF336)))</x:f>
        <x:v>8.70228153976</x:v>
      </x:c>
      <x:c r="AB336" s="21" t="n">
        <x:f>IF(C336="","",O336+P336-AD336)</x:f>
        <x:v>-0.7693815599999994</x:v>
      </x:c>
      <x:c r="AC336" s="23" t="n">
        <x:f>IF(C336="","",IFERROR(IF(INDEX('Facilities'!$AD$9:$AD$108,MATCH(C336,'Facilities'!$C$9:$C$108,0))=3,0,IF(INDEX('Facilities'!$AN$9:$AN$108,MATCH(C336,'Facilities'!$C$9:$C$108,0))=0,-1,INDEX('Facilities'!$AN$9:$AN$108,MATCH(C336,'Facilities'!$C$9:$C$108,0)))),"Unavailable"))</x:f>
        <x:v>-1</x:v>
      </x:c>
      <x:c r="AD336" s="21" t="n">
        <x:f>IF(C336="","",IFERROR(G336+H336,"Unavailable"))</x:f>
        <x:v>7.340138</x:v>
      </x:c>
      <x:c r="AE336" s="21" t="n">
        <x:f>IF(C336="","",IF(AQ336&lt;&gt;"Ready","Unavailable",IF(C336="","",O336+P336-AD336-J336+K336+M336+N336)))</x:f>
        <x:v>6.661338147750939e-16</x:v>
      </x:c>
      <x:c r="AF336" s="30" t="n">
        <x:f>IF(C336="","",IFERROR(INDEX('Facilities'!$S$9:$S$108,MATCH(C336,'Facilities'!$C$9:$C$108,0))*'Scenario Paths'!I75,"Unavailable"))</x:f>
        <x:v>1.25</x:v>
      </x:c>
      <x:c r="AG336" s="23" t="n">
        <x:f>IF(C336="","",IF(AQ336&lt;&gt;"Ready","Unavailable",IF(C336="","",IF(H336&gt;0,MAX(0,H336-AK336)*((1+INDEX('Facilities'!$K$9:$K$108,MATCH(C336,'Facilities'!$C$9:$C$108,0)))^MIN(1,MAX(0,AC336+INDEX('Facilities'!$AK$9:$AK$108,MATCH(C336,'Facilities'!$C$9:$C$108,0))-D336+1))-1),0))))</x:f>
        <x:v>0</x:v>
      </x:c>
      <x:c r="AH336" s="21" t="n">
        <x:f>IF(C336="","",IF(AQ336&lt;&gt;"Ready","Unavailable",IF(C336="","",O336+P336)))</x:f>
        <x:v>6.57075644</x:v>
      </x:c>
      <x:c r="AI336" s="21" t="n">
        <x:f>IF(C336="","",IF(AQ336&lt;&gt;"Ready","Unavailable",IF(C336="","",Z336-Y336)))</x:f>
        <x:v>0.6860583395848219</x:v>
      </x:c>
      <x:c r="AJ336" s="23" t="n">
        <x:f>IF(C336="","",IFERROR(MAX(0,INDEX('Facilities'!$J$9:$J$108,MATCH(C336,'Facilities'!$C$9:$C$108,0))-D336),"Unavailable"))</x:f>
        <x:v>1</x:v>
      </x:c>
      <x:c r="AK336" s="21" t="n">
        <x:f>IF(C336="","",IFERROR(AL236,"Unavailable"))</x:f>
        <x:v>0</x:v>
      </x:c>
      <x:c r="AL336" s="23" t="n">
        <x:f>IF(C336="","",IFERROR(IF(P336&gt;0,P336*(1-AM336/(1+INDEX('Facilities'!$K$9:$K$108,MATCH(C336,'Facilities'!$C$9:$C$108,0)))^MAX(0,AC336+INDEX('Facilities'!$AK$9:$AK$108,MATCH(C336,'Facilities'!$C$9:$C$108,0))-D336)),0),"Unavailable"))</x:f>
        <x:v>0</x:v>
      </x:c>
      <x:c r="AM336" s="30" t="n">
        <x:f>IF(C336="","",IFERROR(INDEX('Facilities'!$AL$9:$AL$108,MATCH(C336,'Facilities'!$C$9:$C$108,0)),"Unavailable"))</x:f>
        <x:v>0.55</x:v>
      </x:c>
      <x:c r="AN336" s="30" t="n">
        <x:f>IF(C336="","",IFERROR(INDEX(Credit!$T$309:$T$408,MATCH(F336,Credit!$C$309:$C$408,0)),"Unavailable"))</x:f>
        <x:v>0.00168</x:v>
      </x:c>
      <x:c r="AO336" s="23" t="n">
        <x:f>IF(C336="","",IF(AQ336&lt;&gt;"Ready","Unavailable",IF(C336="","",O336+P336+Q336*INDEX('Facilities'!$I$9:$I$108,MATCH(C336,'Facilities'!$C$9:$C$108,0)))))</x:f>
        <x:v>7.07221394</x:v>
      </x:c>
      <x:c r="AP336" s="21" t="n">
        <x:f>IF(C336="","",IF(AQ336&lt;&gt;"Ready","Unavailable",IF(C336="","",AH336-U336)))</x:f>
        <x:v>6.442909439052813</x:v>
      </x:c>
      <x:c r="AQ336" s="23" t="str">
        <x:f>IFERROR(IF(C336="","",IF(AND(INDEX('Facilities'!$AF$9:$AF$108,MATCH(C336,'Facilities'!$C$9:$C$108,0))="Ready",INDEX(Credit!$U$309:$U$408,MATCH(F336,Credit!$C$309:$C$408,0))="Ready",ISNUMBER(W336)),"Ready","Review inputs")),"Review inputs")</x:f>
        <x:v>Ready</x:v>
      </x:c>
      <x:c r="AR336" s="23" t="n">
        <x:f>IF(C336="","",IF(AQ336&lt;&gt;"Ready","Unavailable",IF(C336="","",IF(O336=0,0,(IF(AJ336&lt;=1,O336,O336*INDEX('Facilities'!$R$9:$R$108,MATCH(C336,'Facilities'!$C$9:$C$108,0)))+O336*INDEX('Facilities'!$T$9:$T$108,MATCH(C336,'Facilities'!$C$9:$C$108,0)))/12))))</x:f>
        <x:v>0.59958152515</x:v>
      </x:c>
    </x:row>
    <x:row r="337" ht="26" customHeight="1">
      <x:c r="A337" s="1"/>
      <x:c r="B337" s="1"/>
      <x:c r="C337" s="9" t="str">
        <x:f>IF(Facilities!C37="","",Facilities!C37)</x:f>
        <x:v>F029</x:v>
      </x:c>
      <x:c r="D337" s="3" t="n">
        <x:v>4</x:v>
      </x:c>
      <x:c r="E337" s="9" t="n">
        <x:f>Settings!$F$18+3</x:f>
        <x:v>2030</x:v>
      </x:c>
      <x:c r="F337" s="9" t="str">
        <x:f>IF(C337="","",IFERROR(INDEX('Facilities'!$D$9:$D$108,MATCH(C337,'Facilities'!$C$9:$C$108,0)),"Unavailable"))</x:f>
        <x:v>B017</x:v>
      </x:c>
      <x:c r="G337" s="21" t="n">
        <x:f>IF(C337="","",IFERROR(O237,"Unavailable"))</x:f>
        <x:v>7.578653199999999</x:v>
      </x:c>
      <x:c r="H337" s="21" t="n">
        <x:f>IF(C337="","",IFERROR(P237,"Unavailable"))</x:f>
        <x:v>0</x:v>
      </x:c>
      <x:c r="I337" s="21" t="n">
        <x:f>IF(C337="","",IFERROR(Q237,"Unavailable"))</x:f>
        <x:v>1.11435</x:v>
      </x:c>
      <x:c r="J337" s="23" t="n">
        <x:f>IF(C337="","",IFERROR(IF(OR(H337&gt;0,AND(AC337&gt;=0,AC337&lt;D337),D337&gt;INDEX('Facilities'!$J$9:$J$108,MATCH(C337,'Facilities'!$C$9:$C$108,0))),0,I337*'Scenario Paths'!I81),"Unavailable"))</x:f>
        <x:v>0.111435</x:v>
      </x:c>
      <x:c r="K337" s="23" t="n">
        <x:f>IF(C337="","",IFERROR(IF(OR(H337&gt;0,AND(AC337&gt;=0,AC337=D337)),0,IF(D337&gt;=INDEX('Facilities'!$J$9:$J$108,MATCH(C337,'Facilities'!$C$9:$C$108,0)),G337+J337,MIN(G337+J337,G337*INDEX('Facilities'!$R$9:$R$108,MATCH(C337,'Facilities'!$C$9:$C$108,0))))),"Unavailable"))</x:f>
        <x:v>0.9094383839999999</x:v>
      </x:c>
      <x:c r="L337" s="21" t="n">
        <x:f>IF(C337="","",IFERROR(IF(AND(AC337=D337,AC337&gt;0),MAX(0,G337+J337-K337),0),"Unavailable"))</x:f>
        <x:v>0</x:v>
      </x:c>
      <x:c r="M337" s="23" t="n">
        <x:f>IF(C337="","",IFERROR(IF(AND(AC337&gt;=0,D337&gt;=AC337+INDEX('Facilities'!$AK$9:$AK$108,MATCH(C337,'Facilities'!$C$9:$C$108,0))),(H337+L337)*AM337,0),"Unavailable"))</x:f>
        <x:v>0</x:v>
      </x:c>
      <x:c r="N337" s="23" t="n">
        <x:f>IF(C337="","",IFERROR(IF(AND(AC337&gt;=0,D337&gt;=AC337+INDEX('Facilities'!$AK$9:$AK$108,MATCH(C337,'Facilities'!$C$9:$C$108,0))),H337+L337-M337,0),"Unavailable"))</x:f>
        <x:v>0</x:v>
      </x:c>
      <x:c r="O337" s="21" t="n">
        <x:f>IF(C337="","",IFERROR(MAX(0,G337+J337-K337-L337),"Unavailable"))</x:f>
        <x:v>6.7806498159999995</x:v>
      </x:c>
      <x:c r="P337" s="21" t="n">
        <x:f>IF(C337="","",IFERROR(MAX(0,H337+L337-M337-N337),"Unavailable"))</x:f>
        <x:v>0</x:v>
      </x:c>
      <x:c r="Q337" s="23" t="n">
        <x:f>IF(C337="","",IFERROR(IF(OR(D337&gt;=INDEX('Facilities'!$J$9:$J$108,MATCH(C337,'Facilities'!$C$9:$C$108,0)),AND(AC337&gt;=0,AC337&lt;=D337)),0,MAX(0,I337-J337)),"Unavailable"))</x:f>
        <x:v>1.002915</x:v>
      </x:c>
      <x:c r="R337" s="30" t="n">
        <x:f>IF(C337="","",IFERROR(INDEX(Credit!$Q$309:$Q$408,MATCH(F337,Credit!$C$309:$C$408,0)),"Unavailable"))</x:f>
        <x:v>0.06976618237826995</x:v>
      </x:c>
      <x:c r="S337" s="30" t="n">
        <x:f>IF(C337="","",IFERROR(INDEX(Credit!$R$309:$R$408,MATCH(F337,Credit!$C$309:$C$408,0)),"Unavailable"))</x:f>
        <x:v>0.3226112</x:v>
      </x:c>
      <x:c r="T337" s="23" t="n">
        <x:f>IF(C337="","",IFERROR(IF(P337&gt;0,3,IF(OR(INDEX('Facilities'!$AD$9:$AD$108,MATCH(C337,'Facilities'!$C$9:$C$108,0))=2,AND(R337&gt;=INDEX('Facilities'!$L$9:$L$108,MATCH(C337,'Facilities'!$C$9:$C$108,0))*Settings!$F$19,R337-INDEX('Facilities'!$L$9:$L$108,MATCH(C337,'Facilities'!$C$9:$C$108,0))&gt;=Settings!$F$20)),2,1)),"Unavailable"))</x:f>
        <x:v>2</x:v>
      </x:c>
      <x:c r="U337" s="23" t="n">
        <x:f>IF(C337="","",IF(AQ337&lt;&gt;"Ready","Unavailable",IF(C337="","",O337*(1-(1-S337)/(1+INDEX('Facilities'!$K$9:$K$108,MATCH(C337,'Facilities'!$C$9:$C$108,0)))^INDEX('Facilities'!$AK$9:$AK$108,MATCH(C337,'Facilities'!$C$9:$C$108,0)))*R337/(1+INDEX('Facilities'!$K$9:$K$108,MATCH(C337,'Facilities'!$C$9:$C$108,0)))*IF(ABS(1-(1-R337)*(1-INDEX('Facilities'!$R$9:$R$108,MATCH(C337,'Facilities'!$C$9:$C$108,0)))/(1+INDEX('Facilities'!$K$9:$K$108,MATCH(C337,'Facilities'!$C$9:$C$108,0))))&lt;0.000000001,IF(T337=1,MIN(1,AJ337),AJ337),(1-((1-R337)*(1-INDEX('Facilities'!$R$9:$R$108,MATCH(C337,'Facilities'!$C$9:$C$108,0)))/(1+INDEX('Facilities'!$K$9:$K$108,MATCH(C337,'Facilities'!$C$9:$C$108,0))))^IF(T337=1,MIN(1,AJ337),AJ337))/(1-(1-R337)*(1-INDEX('Facilities'!$R$9:$R$108,MATCH(C337,'Facilities'!$C$9:$C$108,0)))/(1+INDEX('Facilities'!$K$9:$K$108,MATCH(C337,'Facilities'!$C$9:$C$108,0)))))+AL337)))</x:f>
        <x:v>0.32283071873332275</x:v>
      </x:c>
      <x:c r="V337" s="23" t="n">
        <x:f>IF(C337="","",IF(AQ337&lt;&gt;"Ready","Unavailable",IF(C337="","",Q337*INDEX('Facilities'!$I$9:$I$108,MATCH(C337,'Facilities'!$C$9:$C$108,0))*(1-(1-S337)/(1+INDEX('Facilities'!$K$9:$K$108,MATCH(C337,'Facilities'!$C$9:$C$108,0)))^INDEX('Facilities'!$AK$9:$AK$108,MATCH(C337,'Facilities'!$C$9:$C$108,0)))*R337/(1+INDEX('Facilities'!$K$9:$K$108,MATCH(C337,'Facilities'!$C$9:$C$108,0)))*IF(ABS(1-(1-R337)*(1-0)/(1+INDEX('Facilities'!$K$9:$K$108,MATCH(C337,'Facilities'!$C$9:$C$108,0))))&lt;0.000000001,IF(T337=1,MIN(1,AJ337),AJ337),(1-((1-R337)*(1-0)/(1+INDEX('Facilities'!$K$9:$K$108,MATCH(C337,'Facilities'!$C$9:$C$108,0))))^IF(T337=1,MIN(1,AJ337),AJ337))/(1-(1-R337)*(1-0)/(1+INDEX('Facilities'!$K$9:$K$108,MATCH(C337,'Facilities'!$C$9:$C$108,0))))))))</x:f>
        <x:v>0.02527839226979261</x:v>
      </x:c>
      <x:c r="W337" s="21" t="n">
        <x:f>IF(C337="","",IFERROR(U237,"Unavailable"))</x:f>
        <x:v>0.4986088858666044</x:v>
      </x:c>
      <x:c r="X337" s="21" t="n">
        <x:f>IF(C337="","",IFERROR(V237,"Unavailable"))</x:f>
        <x:v>0.04090013790063113</x:v>
      </x:c>
      <x:c r="Y337" s="21" t="n">
        <x:f>IF(C337="","",IF(AQ337&lt;&gt;"Ready","Unavailable",IF(C337="","",U337-W337+V337-X337+N337+AG337)))</x:f>
        <x:v>-0.19139991276412016</x:v>
      </x:c>
      <x:c r="Z337" s="23" t="n">
        <x:f>IF(C337="","",IF(AQ337&lt;&gt;"Ready","Unavailable",IF(C337="","",(G337+O337+L337)/2*INDEX('Facilities'!$T$9:$T$108,MATCH(C337,'Facilities'!$C$9:$C$108,0))+AG337)))</x:f>
        <x:v>0.6820668932599999</x:v>
      </x:c>
      <x:c r="AA337" s="23" t="n">
        <x:f>IF(C337="","",IF(AQ337&lt;&gt;"Ready","Unavailable",IF(C337="","",O337*(1-IF(INDEX('Facilities'!$AA$9:$AA$108,MATCH(C337,'Facilities'!$C$9:$C$108,0))=0,0,MIN(1,INDEX('Facilities'!$X$9:$X$108,MATCH(C337,'Facilities'!$C$9:$C$108,0))/INDEX('Facilities'!$AA$9:$AA$108,MATCH(C337,'Facilities'!$C$9:$C$108,0)))))*AF337+P337*(1-IF(INDEX('Facilities'!$AA$9:$AA$108,MATCH(C337,'Facilities'!$C$9:$C$108,0))=0,0,MIN(1,INDEX('Facilities'!$X$9:$X$108,MATCH(C337,'Facilities'!$C$9:$C$108,0))/INDEX('Facilities'!$AA$9:$AA$108,MATCH(C337,'Facilities'!$C$9:$C$108,0)))))*INDEX('Facilities'!$AJ$9:$AJ$108,MATCH(C337,'Facilities'!$C$9:$C$108,0))+Q337*INDEX('Facilities'!$AI$9:$AI$108,MATCH(C337,'Facilities'!$C$9:$C$108,0))*AF337)))</x:f>
        <x:v>8.9073514302992</x:v>
      </x:c>
      <x:c r="AB337" s="21" t="n">
        <x:f>IF(C337="","",O337+P337-AD337)</x:f>
        <x:v>-0.7980033839999994</x:v>
      </x:c>
      <x:c r="AC337" s="23" t="n">
        <x:f>IF(C337="","",IFERROR(IF(INDEX('Facilities'!$AD$9:$AD$108,MATCH(C337,'Facilities'!$C$9:$C$108,0))=3,0,IF(INDEX('Facilities'!$AN$9:$AN$108,MATCH(C337,'Facilities'!$C$9:$C$108,0))=0,-1,INDEX('Facilities'!$AN$9:$AN$108,MATCH(C337,'Facilities'!$C$9:$C$108,0)))),"Unavailable"))</x:f>
        <x:v>-1</x:v>
      </x:c>
      <x:c r="AD337" s="21" t="n">
        <x:f>IF(C337="","",IFERROR(G337+H337,"Unavailable"))</x:f>
        <x:v>7.578653199999999</x:v>
      </x:c>
      <x:c r="AE337" s="21" t="n">
        <x:f>IF(C337="","",IF(AQ337&lt;&gt;"Ready","Unavailable",IF(C337="","",O337+P337-AD337-J337+K337+M337+N337)))</x:f>
        <x:v>5.551115123125783e-16</x:v>
      </x:c>
      <x:c r="AF337" s="30" t="n">
        <x:f>IF(C337="","",IFERROR(INDEX('Facilities'!$S$9:$S$108,MATCH(C337,'Facilities'!$C$9:$C$108,0))*'Scenario Paths'!I75,"Unavailable"))</x:f>
        <x:v>1.25</x:v>
      </x:c>
      <x:c r="AG337" s="23" t="n">
        <x:f>IF(C337="","",IF(AQ337&lt;&gt;"Ready","Unavailable",IF(C337="","",IF(H337&gt;0,MAX(0,H337-AK337)*((1+INDEX('Facilities'!$K$9:$K$108,MATCH(C337,'Facilities'!$C$9:$C$108,0)))^MIN(1,MAX(0,AC337+INDEX('Facilities'!$AK$9:$AK$108,MATCH(C337,'Facilities'!$C$9:$C$108,0))-D337+1))-1),0))))</x:f>
        <x:v>0</x:v>
      </x:c>
      <x:c r="AH337" s="21" t="n">
        <x:f>IF(C337="","",IF(AQ337&lt;&gt;"Ready","Unavailable",IF(C337="","",O337+P337)))</x:f>
        <x:v>6.7806498159999995</x:v>
      </x:c>
      <x:c r="AI337" s="21" t="n">
        <x:f>IF(C337="","",IF(AQ337&lt;&gt;"Ready","Unavailable",IF(C337="","",Z337-Y337)))</x:f>
        <x:v>0.8734668060241201</x:v>
      </x:c>
      <x:c r="AJ337" s="23" t="n">
        <x:f>IF(C337="","",IFERROR(MAX(0,INDEX('Facilities'!$J$9:$J$108,MATCH(C337,'Facilities'!$C$9:$C$108,0))-D337),"Unavailable"))</x:f>
        <x:v>2</x:v>
      </x:c>
      <x:c r="AK337" s="21" t="n">
        <x:f>IF(C337="","",IFERROR(AL237,"Unavailable"))</x:f>
        <x:v>0</x:v>
      </x:c>
      <x:c r="AL337" s="23" t="n">
        <x:f>IF(C337="","",IFERROR(IF(P337&gt;0,P337*(1-AM337/(1+INDEX('Facilities'!$K$9:$K$108,MATCH(C337,'Facilities'!$C$9:$C$108,0)))^MAX(0,AC337+INDEX('Facilities'!$AK$9:$AK$108,MATCH(C337,'Facilities'!$C$9:$C$108,0))-D337)),0),"Unavailable"))</x:f>
        <x:v>0</x:v>
      </x:c>
      <x:c r="AM337" s="30" t="n">
        <x:f>IF(C337="","",IFERROR(INDEX('Facilities'!$AL$9:$AL$108,MATCH(C337,'Facilities'!$C$9:$C$108,0)),"Unavailable"))</x:f>
        <x:v>0.55</x:v>
      </x:c>
      <x:c r="AN337" s="30" t="n">
        <x:f>IF(C337="","",IFERROR(INDEX(Credit!$T$309:$T$408,MATCH(F337,Credit!$C$309:$C$408,0)),"Unavailable"))</x:f>
        <x:v>0.00384</x:v>
      </x:c>
      <x:c r="AO337" s="23" t="n">
        <x:f>IF(C337="","",IF(AQ337&lt;&gt;"Ready","Unavailable",IF(C337="","",O337+P337+Q337*INDEX('Facilities'!$I$9:$I$108,MATCH(C337,'Facilities'!$C$9:$C$108,0)))))</x:f>
        <x:v>7.282107315999999</x:v>
      </x:c>
      <x:c r="AP337" s="21" t="n">
        <x:f>IF(C337="","",IF(AQ337&lt;&gt;"Ready","Unavailable",IF(C337="","",AH337-U337)))</x:f>
        <x:v>6.457819097266677</x:v>
      </x:c>
      <x:c r="AQ337" s="23" t="str">
        <x:f>IFERROR(IF(C337="","",IF(AND(INDEX('Facilities'!$AF$9:$AF$108,MATCH(C337,'Facilities'!$C$9:$C$108,0))="Ready",INDEX(Credit!$U$309:$U$408,MATCH(F337,Credit!$C$309:$C$408,0))="Ready",ISNUMBER(W337)),"Ready","Review inputs")),"Review inputs")</x:f>
        <x:v>Ready</x:v>
      </x:c>
      <x:c r="AR337" s="23" t="n">
        <x:f>IF(C337="","",IF(AQ337&lt;&gt;"Ready","Unavailable",IF(C337="","",IF(O337=0,0,(IF(AJ337&lt;=1,O337,O337*INDEX('Facilities'!$R$9:$R$108,MATCH(C337,'Facilities'!$C$9:$C$108,0)))+O337*INDEX('Facilities'!$T$9:$T$108,MATCH(C337,'Facilities'!$C$9:$C$108,0)))/12))))</x:f>
        <x:v>0.12148664253666668</x:v>
      </x:c>
    </x:row>
    <x:row r="338" ht="26" customHeight="1">
      <x:c r="A338" s="1"/>
      <x:c r="B338" s="1"/>
      <x:c r="C338" s="9" t="str">
        <x:f>IF(Facilities!C38="","",Facilities!C38)</x:f>
        <x:v>F030</x:v>
      </x:c>
      <x:c r="D338" s="3" t="n">
        <x:v>4</x:v>
      </x:c>
      <x:c r="E338" s="9" t="n">
        <x:f>Settings!$F$18+3</x:f>
        <x:v>2030</x:v>
      </x:c>
      <x:c r="F338" s="9" t="str">
        <x:f>IF(C338="","",IFERROR(INDEX('Facilities'!$D$9:$D$108,MATCH(C338,'Facilities'!$C$9:$C$108,0)),"Unavailable"))</x:f>
        <x:v>B018</x:v>
      </x:c>
      <x:c r="G338" s="21" t="n">
        <x:f>IF(C338="","",IFERROR(O238,"Unavailable"))</x:f>
        <x:v>7.8171684</x:v>
      </x:c>
      <x:c r="H338" s="21" t="n">
        <x:f>IF(C338="","",IFERROR(P238,"Unavailable"))</x:f>
        <x:v>0</x:v>
      </x:c>
      <x:c r="I338" s="21" t="n">
        <x:f>IF(C338="","",IFERROR(Q238,"Unavailable"))</x:f>
        <x:v>1.11435</x:v>
      </x:c>
      <x:c r="J338" s="23" t="n">
        <x:f>IF(C338="","",IFERROR(IF(OR(H338&gt;0,AND(AC338&gt;=0,AC338&lt;D338),D338&gt;INDEX('Facilities'!$J$9:$J$108,MATCH(C338,'Facilities'!$C$9:$C$108,0))),0,I338*'Scenario Paths'!I81),"Unavailable"))</x:f>
        <x:v>0.111435</x:v>
      </x:c>
      <x:c r="K338" s="23" t="n">
        <x:f>IF(C338="","",IFERROR(IF(OR(H338&gt;0,AND(AC338&gt;=0,AC338=D338)),0,IF(D338&gt;=INDEX('Facilities'!$J$9:$J$108,MATCH(C338,'Facilities'!$C$9:$C$108,0)),G338+J338,MIN(G338+J338,G338*INDEX('Facilities'!$R$9:$R$108,MATCH(C338,'Facilities'!$C$9:$C$108,0))))),"Unavailable"))</x:f>
        <x:v>0.938060208</x:v>
      </x:c>
      <x:c r="L338" s="21" t="n">
        <x:f>IF(C338="","",IFERROR(IF(AND(AC338=D338,AC338&gt;0),MAX(0,G338+J338-K338),0),"Unavailable"))</x:f>
        <x:v>0</x:v>
      </x:c>
      <x:c r="M338" s="23" t="n">
        <x:f>IF(C338="","",IFERROR(IF(AND(AC338&gt;=0,D338&gt;=AC338+INDEX('Facilities'!$AK$9:$AK$108,MATCH(C338,'Facilities'!$C$9:$C$108,0))),(H338+L338)*AM338,0),"Unavailable"))</x:f>
        <x:v>0</x:v>
      </x:c>
      <x:c r="N338" s="23" t="n">
        <x:f>IF(C338="","",IFERROR(IF(AND(AC338&gt;=0,D338&gt;=AC338+INDEX('Facilities'!$AK$9:$AK$108,MATCH(C338,'Facilities'!$C$9:$C$108,0))),H338+L338-M338,0),"Unavailable"))</x:f>
        <x:v>0</x:v>
      </x:c>
      <x:c r="O338" s="21" t="n">
        <x:f>IF(C338="","",IFERROR(MAX(0,G338+J338-K338-L338),"Unavailable"))</x:f>
        <x:v>6.9905431920000005</x:v>
      </x:c>
      <x:c r="P338" s="21" t="n">
        <x:f>IF(C338="","",IFERROR(MAX(0,H338+L338-M338-N338),"Unavailable"))</x:f>
        <x:v>0</x:v>
      </x:c>
      <x:c r="Q338" s="23" t="n">
        <x:f>IF(C338="","",IFERROR(IF(OR(D338&gt;=INDEX('Facilities'!$J$9:$J$108,MATCH(C338,'Facilities'!$C$9:$C$108,0)),AND(AC338&gt;=0,AC338&lt;=D338)),0,MAX(0,I338-J338)),"Unavailable"))</x:f>
        <x:v>1.002915</x:v>
      </x:c>
      <x:c r="R338" s="30" t="n">
        <x:f>IF(C338="","",IFERROR(INDEX(Credit!$Q$309:$Q$408,MATCH(F338,Credit!$C$309:$C$408,0)),"Unavailable"))</x:f>
        <x:v>0.08559184414706071</x:v>
      </x:c>
      <x:c r="S338" s="30" t="n">
        <x:f>IF(C338="","",IFERROR(INDEX(Credit!$R$309:$R$408,MATCH(F338,Credit!$C$309:$C$408,0)),"Unavailable"))</x:f>
        <x:v>0.36439296000000004</x:v>
      </x:c>
      <x:c r="T338" s="23" t="n">
        <x:f>IF(C338="","",IFERROR(IF(P338&gt;0,3,IF(OR(INDEX('Facilities'!$AD$9:$AD$108,MATCH(C338,'Facilities'!$C$9:$C$108,0))=2,AND(R338&gt;=INDEX('Facilities'!$L$9:$L$108,MATCH(C338,'Facilities'!$C$9:$C$108,0))*Settings!$F$19,R338-INDEX('Facilities'!$L$9:$L$108,MATCH(C338,'Facilities'!$C$9:$C$108,0))&gt;=Settings!$F$20)),2,1)),"Unavailable"))</x:f>
        <x:v>2</x:v>
      </x:c>
      <x:c r="U338" s="23" t="n">
        <x:f>IF(C338="","",IF(AQ338&lt;&gt;"Ready","Unavailable",IF(C338="","",O338*(1-(1-S338)/(1+INDEX('Facilities'!$K$9:$K$108,MATCH(C338,'Facilities'!$C$9:$C$108,0)))^INDEX('Facilities'!$AK$9:$AK$108,MATCH(C338,'Facilities'!$C$9:$C$108,0)))*R338/(1+INDEX('Facilities'!$K$9:$K$108,MATCH(C338,'Facilities'!$C$9:$C$108,0)))*IF(ABS(1-(1-R338)*(1-INDEX('Facilities'!$R$9:$R$108,MATCH(C338,'Facilities'!$C$9:$C$108,0)))/(1+INDEX('Facilities'!$K$9:$K$108,MATCH(C338,'Facilities'!$C$9:$C$108,0))))&lt;0.000000001,IF(T338=1,MIN(1,AJ338),AJ338),(1-((1-R338)*(1-INDEX('Facilities'!$R$9:$R$108,MATCH(C338,'Facilities'!$C$9:$C$108,0)))/(1+INDEX('Facilities'!$K$9:$K$108,MATCH(C338,'Facilities'!$C$9:$C$108,0))))^IF(T338=1,MIN(1,AJ338),AJ338))/(1-(1-R338)*(1-INDEX('Facilities'!$R$9:$R$108,MATCH(C338,'Facilities'!$C$9:$C$108,0)))/(1+INDEX('Facilities'!$K$9:$K$108,MATCH(C338,'Facilities'!$C$9:$C$108,0)))))+AL338)))</x:f>
        <x:v>0.5799148365332905</x:v>
      </x:c>
      <x:c r="V338" s="23" t="n">
        <x:f>IF(C338="","",IF(AQ338&lt;&gt;"Ready","Unavailable",IF(C338="","",Q338*INDEX('Facilities'!$I$9:$I$108,MATCH(C338,'Facilities'!$C$9:$C$108,0))*(1-(1-S338)/(1+INDEX('Facilities'!$K$9:$K$108,MATCH(C338,'Facilities'!$C$9:$C$108,0)))^INDEX('Facilities'!$AK$9:$AK$108,MATCH(C338,'Facilities'!$C$9:$C$108,0)))*R338/(1+INDEX('Facilities'!$K$9:$K$108,MATCH(C338,'Facilities'!$C$9:$C$108,0)))*IF(ABS(1-(1-R338)*(1-0)/(1+INDEX('Facilities'!$K$9:$K$108,MATCH(C338,'Facilities'!$C$9:$C$108,0))))&lt;0.000000001,IF(T338=1,MIN(1,AJ338),AJ338),(1-((1-R338)*(1-0)/(1+INDEX('Facilities'!$K$9:$K$108,MATCH(C338,'Facilities'!$C$9:$C$108,0))))^IF(T338=1,MIN(1,AJ338),AJ338))/(1-(1-R338)*(1-0)/(1+INDEX('Facilities'!$K$9:$K$108,MATCH(C338,'Facilities'!$C$9:$C$108,0))))))))</x:f>
        <x:v>0.046361667981886776</x:v>
      </x:c>
      <x:c r="W338" s="21" t="n">
        <x:f>IF(C338="","",IFERROR(U238,"Unavailable"))</x:f>
        <x:v>0.788185597947224</x:v>
      </x:c>
      <x:c r="X338" s="21" t="n">
        <x:f>IF(C338="","",IFERROR(V238,"Unavailable"))</x:f>
        <x:v>0.06559683311393812</x:v>
      </x:c>
      <x:c r="Y338" s="21" t="n">
        <x:f>IF(C338="","",IF(AQ338&lt;&gt;"Ready","Unavailable",IF(C338="","",U338-W338+V338-X338+N338+AG338)))</x:f>
        <x:v>-0.22750592654598484</x:v>
      </x:c>
      <x:c r="Z338" s="23" t="n">
        <x:f>IF(C338="","",IF(AQ338&lt;&gt;"Ready","Unavailable",IF(C338="","",(G338+O338+L338)/2*INDEX('Facilities'!$T$9:$T$108,MATCH(C338,'Facilities'!$C$9:$C$108,0))+AG338)))</x:f>
        <x:v>0.70336630062</x:v>
      </x:c>
      <x:c r="AA338" s="23" t="n">
        <x:f>IF(C338="","",IF(AQ338&lt;&gt;"Ready","Unavailable",IF(C338="","",O338*(1-IF(INDEX('Facilities'!$AA$9:$AA$108,MATCH(C338,'Facilities'!$C$9:$C$108,0))=0,0,MIN(1,INDEX('Facilities'!$X$9:$X$108,MATCH(C338,'Facilities'!$C$9:$C$108,0))/INDEX('Facilities'!$AA$9:$AA$108,MATCH(C338,'Facilities'!$C$9:$C$108,0)))))*AF338+P338*(1-IF(INDEX('Facilities'!$AA$9:$AA$108,MATCH(C338,'Facilities'!$C$9:$C$108,0))=0,0,MIN(1,INDEX('Facilities'!$X$9:$X$108,MATCH(C338,'Facilities'!$C$9:$C$108,0))/INDEX('Facilities'!$AA$9:$AA$108,MATCH(C338,'Facilities'!$C$9:$C$108,0)))))*INDEX('Facilities'!$AJ$9:$AJ$108,MATCH(C338,'Facilities'!$C$9:$C$108,0))+Q338*INDEX('Facilities'!$AI$9:$AI$108,MATCH(C338,'Facilities'!$C$9:$C$108,0))*AF338)))</x:f>
        <x:v>9.1007583323424</x:v>
      </x:c>
      <x:c r="AB338" s="21" t="n">
        <x:f>IF(C338="","",O338+P338-AD338)</x:f>
        <x:v>-0.8266252079999994</x:v>
      </x:c>
      <x:c r="AC338" s="23" t="n">
        <x:f>IF(C338="","",IFERROR(IF(INDEX('Facilities'!$AD$9:$AD$108,MATCH(C338,'Facilities'!$C$9:$C$108,0))=3,0,IF(INDEX('Facilities'!$AN$9:$AN$108,MATCH(C338,'Facilities'!$C$9:$C$108,0))=0,-1,INDEX('Facilities'!$AN$9:$AN$108,MATCH(C338,'Facilities'!$C$9:$C$108,0)))),"Unavailable"))</x:f>
        <x:v>-1</x:v>
      </x:c>
      <x:c r="AD338" s="21" t="n">
        <x:f>IF(C338="","",IFERROR(G338+H338,"Unavailable"))</x:f>
        <x:v>7.8171684</x:v>
      </x:c>
      <x:c r="AE338" s="21" t="n">
        <x:f>IF(C338="","",IF(AQ338&lt;&gt;"Ready","Unavailable",IF(C338="","",O338+P338-AD338-J338+K338+M338+N338)))</x:f>
        <x:v>6.661338147750939e-16</x:v>
      </x:c>
      <x:c r="AF338" s="30" t="n">
        <x:f>IF(C338="","",IFERROR(INDEX('Facilities'!$S$9:$S$108,MATCH(C338,'Facilities'!$C$9:$C$108,0))*'Scenario Paths'!I75,"Unavailable"))</x:f>
        <x:v>1.25</x:v>
      </x:c>
      <x:c r="AG338" s="23" t="n">
        <x:f>IF(C338="","",IF(AQ338&lt;&gt;"Ready","Unavailable",IF(C338="","",IF(H338&gt;0,MAX(0,H338-AK338)*((1+INDEX('Facilities'!$K$9:$K$108,MATCH(C338,'Facilities'!$C$9:$C$108,0)))^MIN(1,MAX(0,AC338+INDEX('Facilities'!$AK$9:$AK$108,MATCH(C338,'Facilities'!$C$9:$C$108,0))-D338+1))-1),0))))</x:f>
        <x:v>0</x:v>
      </x:c>
      <x:c r="AH338" s="21" t="n">
        <x:f>IF(C338="","",IF(AQ338&lt;&gt;"Ready","Unavailable",IF(C338="","",O338+P338)))</x:f>
        <x:v>6.9905431920000005</x:v>
      </x:c>
      <x:c r="AI338" s="21" t="n">
        <x:f>IF(C338="","",IF(AQ338&lt;&gt;"Ready","Unavailable",IF(C338="","",Z338-Y338)))</x:f>
        <x:v>0.9308722271659848</x:v>
      </x:c>
      <x:c r="AJ338" s="23" t="n">
        <x:f>IF(C338="","",IFERROR(MAX(0,INDEX('Facilities'!$J$9:$J$108,MATCH(C338,'Facilities'!$C$9:$C$108,0))-D338),"Unavailable"))</x:f>
        <x:v>3</x:v>
      </x:c>
      <x:c r="AK338" s="21" t="n">
        <x:f>IF(C338="","",IFERROR(AL238,"Unavailable"))</x:f>
        <x:v>0</x:v>
      </x:c>
      <x:c r="AL338" s="23" t="n">
        <x:f>IF(C338="","",IFERROR(IF(P338&gt;0,P338*(1-AM338/(1+INDEX('Facilities'!$K$9:$K$108,MATCH(C338,'Facilities'!$C$9:$C$108,0)))^MAX(0,AC338+INDEX('Facilities'!$AK$9:$AK$108,MATCH(C338,'Facilities'!$C$9:$C$108,0))-D338)),0),"Unavailable"))</x:f>
        <x:v>0</x:v>
      </x:c>
      <x:c r="AM338" s="30" t="n">
        <x:f>IF(C338="","",IFERROR(INDEX('Facilities'!$AL$9:$AL$108,MATCH(C338,'Facilities'!$C$9:$C$108,0)),"Unavailable"))</x:f>
        <x:v>0.55</x:v>
      </x:c>
      <x:c r="AN338" s="30" t="n">
        <x:f>IF(C338="","",IFERROR(INDEX(Credit!$T$309:$T$408,MATCH(F338,Credit!$C$309:$C$408,0)),"Unavailable"))</x:f>
        <x:v>0.0068639999999999994</x:v>
      </x:c>
      <x:c r="AO338" s="23" t="n">
        <x:f>IF(C338="","",IF(AQ338&lt;&gt;"Ready","Unavailable",IF(C338="","",O338+P338+Q338*INDEX('Facilities'!$I$9:$I$108,MATCH(C338,'Facilities'!$C$9:$C$108,0)))))</x:f>
        <x:v>7.492000692</x:v>
      </x:c>
      <x:c r="AP338" s="21" t="n">
        <x:f>IF(C338="","",IF(AQ338&lt;&gt;"Ready","Unavailable",IF(C338="","",AH338-U338)))</x:f>
        <x:v>6.41062835546671</x:v>
      </x:c>
      <x:c r="AQ338" s="23" t="str">
        <x:f>IFERROR(IF(C338="","",IF(AND(INDEX('Facilities'!$AF$9:$AF$108,MATCH(C338,'Facilities'!$C$9:$C$108,0))="Ready",INDEX(Credit!$U$309:$U$408,MATCH(F338,Credit!$C$309:$C$408,0))="Ready",ISNUMBER(W338)),"Ready","Review inputs")),"Review inputs")</x:f>
        <x:v>Ready</x:v>
      </x:c>
      <x:c r="AR338" s="23" t="n">
        <x:f>IF(C338="","",IF(AQ338&lt;&gt;"Ready","Unavailable",IF(C338="","",IF(O338=0,0,(IF(AJ338&lt;=1,O338,O338*INDEX('Facilities'!$R$9:$R$108,MATCH(C338,'Facilities'!$C$9:$C$108,0)))+O338*INDEX('Facilities'!$T$9:$T$108,MATCH(C338,'Facilities'!$C$9:$C$108,0)))/12))))</x:f>
        <x:v>0.12524723219</x:v>
      </x:c>
    </x:row>
    <x:row r="339" ht="26" customHeight="1">
      <x:c r="A339" s="1"/>
      <x:c r="B339" s="1"/>
      <x:c r="C339" s="9" t="str">
        <x:f>IF(Facilities!C39="","",Facilities!C39)</x:f>
        <x:v>F031</x:v>
      </x:c>
      <x:c r="D339" s="3" t="n">
        <x:v>4</x:v>
      </x:c>
      <x:c r="E339" s="9" t="n">
        <x:f>Settings!$F$18+3</x:f>
        <x:v>2030</x:v>
      </x:c>
      <x:c r="F339" s="9" t="str">
        <x:f>IF(C339="","",IFERROR(INDEX('Facilities'!$D$9:$D$108,MATCH(C339,'Facilities'!$C$9:$C$108,0)),"Unavailable"))</x:f>
        <x:v>B019</x:v>
      </x:c>
      <x:c r="G339" s="21" t="n">
        <x:f>IF(C339="","",IFERROR(O239,"Unavailable"))</x:f>
        <x:v>8.0556836</x:v>
      </x:c>
      <x:c r="H339" s="21" t="n">
        <x:f>IF(C339="","",IFERROR(P239,"Unavailable"))</x:f>
        <x:v>0</x:v>
      </x:c>
      <x:c r="I339" s="21" t="n">
        <x:f>IF(C339="","",IFERROR(Q239,"Unavailable"))</x:f>
        <x:v>1.11435</x:v>
      </x:c>
      <x:c r="J339" s="23" t="n">
        <x:f>IF(C339="","",IFERROR(IF(OR(H339&gt;0,AND(AC339&gt;=0,AC339&lt;D339),D339&gt;INDEX('Facilities'!$J$9:$J$108,MATCH(C339,'Facilities'!$C$9:$C$108,0))),0,I339*'Scenario Paths'!I81),"Unavailable"))</x:f>
        <x:v>0.111435</x:v>
      </x:c>
      <x:c r="K339" s="23" t="n">
        <x:f>IF(C339="","",IFERROR(IF(OR(H339&gt;0,AND(AC339&gt;=0,AC339=D339)),0,IF(D339&gt;=INDEX('Facilities'!$J$9:$J$108,MATCH(C339,'Facilities'!$C$9:$C$108,0)),G339+J339,MIN(G339+J339,G339*INDEX('Facilities'!$R$9:$R$108,MATCH(C339,'Facilities'!$C$9:$C$108,0))))),"Unavailable"))</x:f>
        <x:v>0.966682032</x:v>
      </x:c>
      <x:c r="L339" s="21" t="n">
        <x:f>IF(C339="","",IFERROR(IF(AND(AC339=D339,AC339&gt;0),MAX(0,G339+J339-K339),0),"Unavailable"))</x:f>
        <x:v>0</x:v>
      </x:c>
      <x:c r="M339" s="23" t="n">
        <x:f>IF(C339="","",IFERROR(IF(AND(AC339&gt;=0,D339&gt;=AC339+INDEX('Facilities'!$AK$9:$AK$108,MATCH(C339,'Facilities'!$C$9:$C$108,0))),(H339+L339)*AM339,0),"Unavailable"))</x:f>
        <x:v>0</x:v>
      </x:c>
      <x:c r="N339" s="23" t="n">
        <x:f>IF(C339="","",IFERROR(IF(AND(AC339&gt;=0,D339&gt;=AC339+INDEX('Facilities'!$AK$9:$AK$108,MATCH(C339,'Facilities'!$C$9:$C$108,0))),H339+L339-M339,0),"Unavailable"))</x:f>
        <x:v>0</x:v>
      </x:c>
      <x:c r="O339" s="21" t="n">
        <x:f>IF(C339="","",IFERROR(MAX(0,G339+J339-K339-L339),"Unavailable"))</x:f>
        <x:v>7.200436568000001</x:v>
      </x:c>
      <x:c r="P339" s="21" t="n">
        <x:f>IF(C339="","",IFERROR(MAX(0,H339+L339-M339-N339),"Unavailable"))</x:f>
        <x:v>0</x:v>
      </x:c>
      <x:c r="Q339" s="23" t="n">
        <x:f>IF(C339="","",IFERROR(IF(OR(D339&gt;=INDEX('Facilities'!$J$9:$J$108,MATCH(C339,'Facilities'!$C$9:$C$108,0)),AND(AC339&gt;=0,AC339&lt;=D339)),0,MAX(0,I339-J339)),"Unavailable"))</x:f>
        <x:v>1.002915</x:v>
      </x:c>
      <x:c r="R339" s="30" t="n">
        <x:f>IF(C339="","",IFERROR(INDEX(Credit!$Q$309:$Q$408,MATCH(F339,Credit!$C$309:$C$408,0)),"Unavailable"))</x:f>
        <x:v>0.022465077724593576</x:v>
      </x:c>
      <x:c r="S339" s="30" t="n">
        <x:f>IF(C339="","",IFERROR(INDEX(Credit!$R$309:$R$408,MATCH(F339,Credit!$C$309:$C$408,0)),"Unavailable"))</x:f>
        <x:v>0.4028224</x:v>
      </x:c>
      <x:c r="T339" s="23" t="n">
        <x:f>IF(C339="","",IFERROR(IF(P339&gt;0,3,IF(OR(INDEX('Facilities'!$AD$9:$AD$108,MATCH(C339,'Facilities'!$C$9:$C$108,0))=2,AND(R339&gt;=INDEX('Facilities'!$L$9:$L$108,MATCH(C339,'Facilities'!$C$9:$C$108,0))*Settings!$F$19,R339-INDEX('Facilities'!$L$9:$L$108,MATCH(C339,'Facilities'!$C$9:$C$108,0))&gt;=Settings!$F$20)),2,1)),"Unavailable"))</x:f>
        <x:v>1</x:v>
      </x:c>
      <x:c r="U339" s="23" t="n">
        <x:f>IF(C339="","",IF(AQ339&lt;&gt;"Ready","Unavailable",IF(C339="","",O339*(1-(1-S339)/(1+INDEX('Facilities'!$K$9:$K$108,MATCH(C339,'Facilities'!$C$9:$C$108,0)))^INDEX('Facilities'!$AK$9:$AK$108,MATCH(C339,'Facilities'!$C$9:$C$108,0)))*R339/(1+INDEX('Facilities'!$K$9:$K$108,MATCH(C339,'Facilities'!$C$9:$C$108,0)))*IF(ABS(1-(1-R339)*(1-INDEX('Facilities'!$R$9:$R$108,MATCH(C339,'Facilities'!$C$9:$C$108,0)))/(1+INDEX('Facilities'!$K$9:$K$108,MATCH(C339,'Facilities'!$C$9:$C$108,0))))&lt;0.000000001,IF(T339=1,MIN(1,AJ339),AJ339),(1-((1-R339)*(1-INDEX('Facilities'!$R$9:$R$108,MATCH(C339,'Facilities'!$C$9:$C$108,0)))/(1+INDEX('Facilities'!$K$9:$K$108,MATCH(C339,'Facilities'!$C$9:$C$108,0))))^IF(T339=1,MIN(1,AJ339),AJ339))/(1-(1-R339)*(1-INDEX('Facilities'!$R$9:$R$108,MATCH(C339,'Facilities'!$C$9:$C$108,0)))/(1+INDEX('Facilities'!$K$9:$K$108,MATCH(C339,'Facilities'!$C$9:$C$108,0)))))+AL339)))</x:f>
        <x:v>0.07309328320270429</x:v>
      </x:c>
      <x:c r="V339" s="23" t="n">
        <x:f>IF(C339="","",IF(AQ339&lt;&gt;"Ready","Unavailable",IF(C339="","",Q339*INDEX('Facilities'!$I$9:$I$108,MATCH(C339,'Facilities'!$C$9:$C$108,0))*(1-(1-S339)/(1+INDEX('Facilities'!$K$9:$K$108,MATCH(C339,'Facilities'!$C$9:$C$108,0)))^INDEX('Facilities'!$AK$9:$AK$108,MATCH(C339,'Facilities'!$C$9:$C$108,0)))*R339/(1+INDEX('Facilities'!$K$9:$K$108,MATCH(C339,'Facilities'!$C$9:$C$108,0)))*IF(ABS(1-(1-R339)*(1-0)/(1+INDEX('Facilities'!$K$9:$K$108,MATCH(C339,'Facilities'!$C$9:$C$108,0))))&lt;0.000000001,IF(T339=1,MIN(1,AJ339),AJ339),(1-((1-R339)*(1-0)/(1+INDEX('Facilities'!$K$9:$K$108,MATCH(C339,'Facilities'!$C$9:$C$108,0))))^IF(T339=1,MIN(1,AJ339),AJ339))/(1-(1-R339)*(1-0)/(1+INDEX('Facilities'!$K$9:$K$108,MATCH(C339,'Facilities'!$C$9:$C$108,0))))))))</x:f>
        <x:v>0.005090410104369671</x:v>
      </x:c>
      <x:c r="W339" s="21" t="n">
        <x:f>IF(C339="","",IFERROR(U239,"Unavailable"))</x:f>
        <x:v>0.08635198540035591</x:v>
      </x:c>
      <x:c r="X339" s="21" t="n">
        <x:f>IF(C339="","",IFERROR(V239,"Unavailable"))</x:f>
        <x:v>0.005972574129580177</x:v>
      </x:c>
      <x:c r="Y339" s="21" t="n">
        <x:f>IF(C339="","",IF(AQ339&lt;&gt;"Ready","Unavailable",IF(C339="","",U339-W339+V339-X339+N339+AG339)))</x:f>
        <x:v>-0.01414086622286212</x:v>
      </x:c>
      <x:c r="Z339" s="23" t="n">
        <x:f>IF(C339="","",IF(AQ339&lt;&gt;"Ready","Unavailable",IF(C339="","",(G339+O339+L339)/2*INDEX('Facilities'!$T$9:$T$108,MATCH(C339,'Facilities'!$C$9:$C$108,0))+AG339)))</x:f>
        <x:v>0.7246657079800001</x:v>
      </x:c>
      <x:c r="AA339" s="23" t="n">
        <x:f>IF(C339="","",IF(AQ339&lt;&gt;"Ready","Unavailable",IF(C339="","",O339*(1-IF(INDEX('Facilities'!$AA$9:$AA$108,MATCH(C339,'Facilities'!$C$9:$C$108,0))=0,0,MIN(1,INDEX('Facilities'!$X$9:$X$108,MATCH(C339,'Facilities'!$C$9:$C$108,0))/INDEX('Facilities'!$AA$9:$AA$108,MATCH(C339,'Facilities'!$C$9:$C$108,0)))))*AF339+P339*(1-IF(INDEX('Facilities'!$AA$9:$AA$108,MATCH(C339,'Facilities'!$C$9:$C$108,0))=0,0,MIN(1,INDEX('Facilities'!$X$9:$X$108,MATCH(C339,'Facilities'!$C$9:$C$108,0))/INDEX('Facilities'!$AA$9:$AA$108,MATCH(C339,'Facilities'!$C$9:$C$108,0)))))*INDEX('Facilities'!$AJ$9:$AJ$108,MATCH(C339,'Facilities'!$C$9:$C$108,0))+Q339*INDEX('Facilities'!$AI$9:$AI$108,MATCH(C339,'Facilities'!$C$9:$C$108,0))*AF339)))</x:f>
        <x:v>9.540962346184</x:v>
      </x:c>
      <x:c r="AB339" s="21" t="n">
        <x:f>IF(C339="","",O339+P339-AD339)</x:f>
        <x:v>-0.8552470319999994</x:v>
      </x:c>
      <x:c r="AC339" s="23" t="n">
        <x:f>IF(C339="","",IFERROR(IF(INDEX('Facilities'!$AD$9:$AD$108,MATCH(C339,'Facilities'!$C$9:$C$108,0))=3,0,IF(INDEX('Facilities'!$AN$9:$AN$108,MATCH(C339,'Facilities'!$C$9:$C$108,0))=0,-1,INDEX('Facilities'!$AN$9:$AN$108,MATCH(C339,'Facilities'!$C$9:$C$108,0)))),"Unavailable"))</x:f>
        <x:v>-1</x:v>
      </x:c>
      <x:c r="AD339" s="21" t="n">
        <x:f>IF(C339="","",IFERROR(G339+H339,"Unavailable"))</x:f>
        <x:v>8.0556836</x:v>
      </x:c>
      <x:c r="AE339" s="21" t="n">
        <x:f>IF(C339="","",IF(AQ339&lt;&gt;"Ready","Unavailable",IF(C339="","",O339+P339-AD339-J339+K339+M339+N339)))</x:f>
        <x:v>6.661338147750939e-16</x:v>
      </x:c>
      <x:c r="AF339" s="30" t="n">
        <x:f>IF(C339="","",IFERROR(INDEX('Facilities'!$S$9:$S$108,MATCH(C339,'Facilities'!$C$9:$C$108,0))*'Scenario Paths'!I75,"Unavailable"))</x:f>
        <x:v>1.25</x:v>
      </x:c>
      <x:c r="AG339" s="23" t="n">
        <x:f>IF(C339="","",IF(AQ339&lt;&gt;"Ready","Unavailable",IF(C339="","",IF(H339&gt;0,MAX(0,H339-AK339)*((1+INDEX('Facilities'!$K$9:$K$108,MATCH(C339,'Facilities'!$C$9:$C$108,0)))^MIN(1,MAX(0,AC339+INDEX('Facilities'!$AK$9:$AK$108,MATCH(C339,'Facilities'!$C$9:$C$108,0))-D339+1))-1),0))))</x:f>
        <x:v>0</x:v>
      </x:c>
      <x:c r="AH339" s="21" t="n">
        <x:f>IF(C339="","",IF(AQ339&lt;&gt;"Ready","Unavailable",IF(C339="","",O339+P339)))</x:f>
        <x:v>7.200436568000001</x:v>
      </x:c>
      <x:c r="AI339" s="21" t="n">
        <x:f>IF(C339="","",IF(AQ339&lt;&gt;"Ready","Unavailable",IF(C339="","",Z339-Y339)))</x:f>
        <x:v>0.7388065742028622</x:v>
      </x:c>
      <x:c r="AJ339" s="23" t="n">
        <x:f>IF(C339="","",IFERROR(MAX(0,INDEX('Facilities'!$J$9:$J$108,MATCH(C339,'Facilities'!$C$9:$C$108,0))-D339),"Unavailable"))</x:f>
        <x:v>4</x:v>
      </x:c>
      <x:c r="AK339" s="21" t="n">
        <x:f>IF(C339="","",IFERROR(AL239,"Unavailable"))</x:f>
        <x:v>0</x:v>
      </x:c>
      <x:c r="AL339" s="23" t="n">
        <x:f>IF(C339="","",IFERROR(IF(P339&gt;0,P339*(1-AM339/(1+INDEX('Facilities'!$K$9:$K$108,MATCH(C339,'Facilities'!$C$9:$C$108,0)))^MAX(0,AC339+INDEX('Facilities'!$AK$9:$AK$108,MATCH(C339,'Facilities'!$C$9:$C$108,0))-D339)),0),"Unavailable"))</x:f>
        <x:v>0</x:v>
      </x:c>
      <x:c r="AM339" s="30" t="n">
        <x:f>IF(C339="","",IFERROR(INDEX('Facilities'!$AL$9:$AL$108,MATCH(C339,'Facilities'!$C$9:$C$108,0)),"Unavailable"))</x:f>
        <x:v>0.55</x:v>
      </x:c>
      <x:c r="AN339" s="30" t="n">
        <x:f>IF(C339="","",IFERROR(INDEX(Credit!$T$309:$T$408,MATCH(F339,Credit!$C$309:$C$408,0)),"Unavailable"))</x:f>
        <x:v>0.004704</x:v>
      </x:c>
      <x:c r="AO339" s="23" t="n">
        <x:f>IF(C339="","",IF(AQ339&lt;&gt;"Ready","Unavailable",IF(C339="","",O339+P339+Q339*INDEX('Facilities'!$I$9:$I$108,MATCH(C339,'Facilities'!$C$9:$C$108,0)))))</x:f>
        <x:v>7.7018940680000005</x:v>
      </x:c>
      <x:c r="AP339" s="21" t="n">
        <x:f>IF(C339="","",IF(AQ339&lt;&gt;"Ready","Unavailable",IF(C339="","",AH339-U339)))</x:f>
        <x:v>7.127343284797297</x:v>
      </x:c>
      <x:c r="AQ339" s="23" t="str">
        <x:f>IFERROR(IF(C339="","",IF(AND(INDEX('Facilities'!$AF$9:$AF$108,MATCH(C339,'Facilities'!$C$9:$C$108,0))="Ready",INDEX(Credit!$U$309:$U$408,MATCH(F339,Credit!$C$309:$C$408,0))="Ready",ISNUMBER(W339)),"Ready","Review inputs")),"Review inputs")</x:f>
        <x:v>Ready</x:v>
      </x:c>
      <x:c r="AR339" s="23" t="n">
        <x:f>IF(C339="","",IF(AQ339&lt;&gt;"Ready","Unavailable",IF(C339="","",IF(O339=0,0,(IF(AJ339&lt;=1,O339,O339*INDEX('Facilities'!$R$9:$R$108,MATCH(C339,'Facilities'!$C$9:$C$108,0)))+O339*INDEX('Facilities'!$T$9:$T$108,MATCH(C339,'Facilities'!$C$9:$C$108,0)))/12))))</x:f>
        <x:v>0.12900782184333334</x:v>
      </x:c>
    </x:row>
    <x:row r="340" ht="26" customHeight="1">
      <x:c r="A340" s="1"/>
      <x:c r="B340" s="1"/>
      <x:c r="C340" s="9" t="str">
        <x:f>IF(Facilities!C40="","",Facilities!C40)</x:f>
        <x:v>F032</x:v>
      </x:c>
      <x:c r="D340" s="3" t="n">
        <x:v>4</x:v>
      </x:c>
      <x:c r="E340" s="9" t="n">
        <x:f>Settings!$F$18+3</x:f>
        <x:v>2030</x:v>
      </x:c>
      <x:c r="F340" s="9" t="str">
        <x:f>IF(C340="","",IFERROR(INDEX('Facilities'!$D$9:$D$108,MATCH(C340,'Facilities'!$C$9:$C$108,0)),"Unavailable"))</x:f>
        <x:v>B020</x:v>
      </x:c>
      <x:c r="G340" s="21" t="n">
        <x:f>IF(C340="","",IFERROR(O240,"Unavailable"))</x:f>
        <x:v>8.2941988</x:v>
      </x:c>
      <x:c r="H340" s="21" t="n">
        <x:f>IF(C340="","",IFERROR(P240,"Unavailable"))</x:f>
        <x:v>0</x:v>
      </x:c>
      <x:c r="I340" s="21" t="n">
        <x:f>IF(C340="","",IFERROR(Q240,"Unavailable"))</x:f>
        <x:v>1.11435</x:v>
      </x:c>
      <x:c r="J340" s="23" t="n">
        <x:f>IF(C340="","",IFERROR(IF(OR(H340&gt;0,AND(AC340&gt;=0,AC340&lt;D340),D340&gt;INDEX('Facilities'!$J$9:$J$108,MATCH(C340,'Facilities'!$C$9:$C$108,0))),0,I340*'Scenario Paths'!I81),"Unavailable"))</x:f>
        <x:v>0.111435</x:v>
      </x:c>
      <x:c r="K340" s="23" t="n">
        <x:f>IF(C340="","",IFERROR(IF(OR(H340&gt;0,AND(AC340&gt;=0,AC340=D340)),0,IF(D340&gt;=INDEX('Facilities'!$J$9:$J$108,MATCH(C340,'Facilities'!$C$9:$C$108,0)),G340+J340,MIN(G340+J340,G340*INDEX('Facilities'!$R$9:$R$108,MATCH(C340,'Facilities'!$C$9:$C$108,0))))),"Unavailable"))</x:f>
        <x:v>0.995303856</x:v>
      </x:c>
      <x:c r="L340" s="21" t="n">
        <x:f>IF(C340="","",IFERROR(IF(AND(AC340=D340,AC340&gt;0),MAX(0,G340+J340-K340),0),"Unavailable"))</x:f>
        <x:v>0</x:v>
      </x:c>
      <x:c r="M340" s="23" t="n">
        <x:f>IF(C340="","",IFERROR(IF(AND(AC340&gt;=0,D340&gt;=AC340+INDEX('Facilities'!$AK$9:$AK$108,MATCH(C340,'Facilities'!$C$9:$C$108,0))),(H340+L340)*AM340,0),"Unavailable"))</x:f>
        <x:v>0</x:v>
      </x:c>
      <x:c r="N340" s="23" t="n">
        <x:f>IF(C340="","",IFERROR(IF(AND(AC340&gt;=0,D340&gt;=AC340+INDEX('Facilities'!$AK$9:$AK$108,MATCH(C340,'Facilities'!$C$9:$C$108,0))),H340+L340-M340,0),"Unavailable"))</x:f>
        <x:v>0</x:v>
      </x:c>
      <x:c r="O340" s="21" t="n">
        <x:f>IF(C340="","",IFERROR(MAX(0,G340+J340-K340-L340),"Unavailable"))</x:f>
        <x:v>7.410329944000001</x:v>
      </x:c>
      <x:c r="P340" s="21" t="n">
        <x:f>IF(C340="","",IFERROR(MAX(0,H340+L340-M340-N340),"Unavailable"))</x:f>
        <x:v>0</x:v>
      </x:c>
      <x:c r="Q340" s="23" t="n">
        <x:f>IF(C340="","",IFERROR(IF(OR(D340&gt;=INDEX('Facilities'!$J$9:$J$108,MATCH(C340,'Facilities'!$C$9:$C$108,0)),AND(AC340&gt;=0,AC340&lt;=D340)),0,MAX(0,I340-J340)),"Unavailable"))</x:f>
        <x:v>1.002915</x:v>
      </x:c>
      <x:c r="R340" s="30" t="n">
        <x:f>IF(C340="","",IFERROR(INDEX(Credit!$Q$309:$Q$408,MATCH(F340,Credit!$C$309:$C$408,0)),"Unavailable"))</x:f>
        <x:v>0.03488018073384901</x:v>
      </x:c>
      <x:c r="S340" s="30" t="n">
        <x:f>IF(C340="","",IFERROR(INDEX(Credit!$R$309:$R$408,MATCH(F340,Credit!$C$309:$C$408,0)),"Unavailable"))</x:f>
        <x:v>0.44456960000000006</x:v>
      </x:c>
      <x:c r="T340" s="23" t="n">
        <x:f>IF(C340="","",IFERROR(IF(P340&gt;0,3,IF(OR(INDEX('Facilities'!$AD$9:$AD$108,MATCH(C340,'Facilities'!$C$9:$C$108,0))=2,AND(R340&gt;=INDEX('Facilities'!$L$9:$L$108,MATCH(C340,'Facilities'!$C$9:$C$108,0))*Settings!$F$19,R340-INDEX('Facilities'!$L$9:$L$108,MATCH(C340,'Facilities'!$C$9:$C$108,0))&gt;=Settings!$F$20)),2,1)),"Unavailable"))</x:f>
        <x:v>1</x:v>
      </x:c>
      <x:c r="U340" s="23" t="n">
        <x:f>IF(C340="","",IF(AQ340&lt;&gt;"Ready","Unavailable",IF(C340="","",O340*(1-(1-S340)/(1+INDEX('Facilities'!$K$9:$K$108,MATCH(C340,'Facilities'!$C$9:$C$108,0)))^INDEX('Facilities'!$AK$9:$AK$108,MATCH(C340,'Facilities'!$C$9:$C$108,0)))*R340/(1+INDEX('Facilities'!$K$9:$K$108,MATCH(C340,'Facilities'!$C$9:$C$108,0)))*IF(ABS(1-(1-R340)*(1-INDEX('Facilities'!$R$9:$R$108,MATCH(C340,'Facilities'!$C$9:$C$108,0)))/(1+INDEX('Facilities'!$K$9:$K$108,MATCH(C340,'Facilities'!$C$9:$C$108,0))))&lt;0.000000001,IF(T340=1,MIN(1,AJ340),AJ340),(1-((1-R340)*(1-INDEX('Facilities'!$R$9:$R$108,MATCH(C340,'Facilities'!$C$9:$C$108,0)))/(1+INDEX('Facilities'!$K$9:$K$108,MATCH(C340,'Facilities'!$C$9:$C$108,0))))^IF(T340=1,MIN(1,AJ340),AJ340))/(1-(1-R340)*(1-INDEX('Facilities'!$R$9:$R$108,MATCH(C340,'Facilities'!$C$9:$C$108,0)))/(1+INDEX('Facilities'!$K$9:$K$108,MATCH(C340,'Facilities'!$C$9:$C$108,0)))))+AL340)))</x:f>
        <x:v>0.12536162327007958</x:v>
      </x:c>
      <x:c r="V340" s="23" t="n">
        <x:f>IF(C340="","",IF(AQ340&lt;&gt;"Ready","Unavailable",IF(C340="","",Q340*INDEX('Facilities'!$I$9:$I$108,MATCH(C340,'Facilities'!$C$9:$C$108,0))*(1-(1-S340)/(1+INDEX('Facilities'!$K$9:$K$108,MATCH(C340,'Facilities'!$C$9:$C$108,0)))^INDEX('Facilities'!$AK$9:$AK$108,MATCH(C340,'Facilities'!$C$9:$C$108,0)))*R340/(1+INDEX('Facilities'!$K$9:$K$108,MATCH(C340,'Facilities'!$C$9:$C$108,0)))*IF(ABS(1-(1-R340)*(1-0)/(1+INDEX('Facilities'!$K$9:$K$108,MATCH(C340,'Facilities'!$C$9:$C$108,0))))&lt;0.000000001,IF(T340=1,MIN(1,AJ340),AJ340),(1-((1-R340)*(1-0)/(1+INDEX('Facilities'!$K$9:$K$108,MATCH(C340,'Facilities'!$C$9:$C$108,0))))^IF(T340=1,MIN(1,AJ340),AJ340))/(1-(1-R340)*(1-0)/(1+INDEX('Facilities'!$K$9:$K$108,MATCH(C340,'Facilities'!$C$9:$C$108,0))))))))</x:f>
        <x:v>0.00848322904324325</x:v>
      </x:c>
      <x:c r="W340" s="21" t="n">
        <x:f>IF(C340="","",IFERROR(U240,"Unavailable"))</x:f>
        <x:v>0.5209516800740335</x:v>
      </x:c>
      <x:c r="X340" s="21" t="n">
        <x:f>IF(C340="","",IFERROR(V240,"Unavailable"))</x:f>
        <x:v>0.04514418686499873</x:v>
      </x:c>
      <x:c r="Y340" s="21" t="n">
        <x:f>IF(C340="","",IF(AQ340&lt;&gt;"Ready","Unavailable",IF(C340="","",U340-W340+V340-X340+N340+AG340)))</x:f>
        <x:v>-0.43225101462570936</x:v>
      </x:c>
      <x:c r="Z340" s="23" t="n">
        <x:f>IF(C340="","",IF(AQ340&lt;&gt;"Ready","Unavailable",IF(C340="","",(G340+O340+L340)/2*INDEX('Facilities'!$T$9:$T$108,MATCH(C340,'Facilities'!$C$9:$C$108,0))+AG340)))</x:f>
        <x:v>0.7459651153400001</x:v>
      </x:c>
      <x:c r="AA340" s="23" t="n">
        <x:f>IF(C340="","",IF(AQ340&lt;&gt;"Ready","Unavailable",IF(C340="","",O340*(1-IF(INDEX('Facilities'!$AA$9:$AA$108,MATCH(C340,'Facilities'!$C$9:$C$108,0))=0,0,MIN(1,INDEX('Facilities'!$X$9:$X$108,MATCH(C340,'Facilities'!$C$9:$C$108,0))/INDEX('Facilities'!$AA$9:$AA$108,MATCH(C340,'Facilities'!$C$9:$C$108,0)))))*AF340+P340*(1-IF(INDEX('Facilities'!$AA$9:$AA$108,MATCH(C340,'Facilities'!$C$9:$C$108,0))=0,0,MIN(1,INDEX('Facilities'!$X$9:$X$108,MATCH(C340,'Facilities'!$C$9:$C$108,0))/INDEX('Facilities'!$AA$9:$AA$108,MATCH(C340,'Facilities'!$C$9:$C$108,0)))))*INDEX('Facilities'!$AJ$9:$AJ$108,MATCH(C340,'Facilities'!$C$9:$C$108,0))+Q340*INDEX('Facilities'!$AI$9:$AI$108,MATCH(C340,'Facilities'!$C$9:$C$108,0))*AF340)))</x:f>
        <x:v>9.7430097721088</x:v>
      </x:c>
      <x:c r="AB340" s="21" t="n">
        <x:f>IF(C340="","",O340+P340-AD340)</x:f>
        <x:v>-0.8838688559999994</x:v>
      </x:c>
      <x:c r="AC340" s="23" t="n">
        <x:f>IF(C340="","",IFERROR(IF(INDEX('Facilities'!$AD$9:$AD$108,MATCH(C340,'Facilities'!$C$9:$C$108,0))=3,0,IF(INDEX('Facilities'!$AN$9:$AN$108,MATCH(C340,'Facilities'!$C$9:$C$108,0))=0,-1,INDEX('Facilities'!$AN$9:$AN$108,MATCH(C340,'Facilities'!$C$9:$C$108,0)))),"Unavailable"))</x:f>
        <x:v>-1</x:v>
      </x:c>
      <x:c r="AD340" s="21" t="n">
        <x:f>IF(C340="","",IFERROR(G340+H340,"Unavailable"))</x:f>
        <x:v>8.2941988</x:v>
      </x:c>
      <x:c r="AE340" s="21" t="n">
        <x:f>IF(C340="","",IF(AQ340&lt;&gt;"Ready","Unavailable",IF(C340="","",O340+P340-AD340-J340+K340+M340+N340)))</x:f>
        <x:v>6.661338147750939e-16</x:v>
      </x:c>
      <x:c r="AF340" s="30" t="n">
        <x:f>IF(C340="","",IFERROR(INDEX('Facilities'!$S$9:$S$108,MATCH(C340,'Facilities'!$C$9:$C$108,0))*'Scenario Paths'!I75,"Unavailable"))</x:f>
        <x:v>1.25</x:v>
      </x:c>
      <x:c r="AG340" s="23" t="n">
        <x:f>IF(C340="","",IF(AQ340&lt;&gt;"Ready","Unavailable",IF(C340="","",IF(H340&gt;0,MAX(0,H340-AK340)*((1+INDEX('Facilities'!$K$9:$K$108,MATCH(C340,'Facilities'!$C$9:$C$108,0)))^MIN(1,MAX(0,AC340+INDEX('Facilities'!$AK$9:$AK$108,MATCH(C340,'Facilities'!$C$9:$C$108,0))-D340+1))-1),0))))</x:f>
        <x:v>0</x:v>
      </x:c>
      <x:c r="AH340" s="21" t="n">
        <x:f>IF(C340="","",IF(AQ340&lt;&gt;"Ready","Unavailable",IF(C340="","",O340+P340)))</x:f>
        <x:v>7.410329944000001</x:v>
      </x:c>
      <x:c r="AI340" s="21" t="n">
        <x:f>IF(C340="","",IF(AQ340&lt;&gt;"Ready","Unavailable",IF(C340="","",Z340-Y340)))</x:f>
        <x:v>1.1782161299657095</x:v>
      </x:c>
      <x:c r="AJ340" s="23" t="n">
        <x:f>IF(C340="","",IFERROR(MAX(0,INDEX('Facilities'!$J$9:$J$108,MATCH(C340,'Facilities'!$C$9:$C$108,0))-D340),"Unavailable"))</x:f>
        <x:v>5</x:v>
      </x:c>
      <x:c r="AK340" s="21" t="n">
        <x:f>IF(C340="","",IFERROR(AL240,"Unavailable"))</x:f>
        <x:v>0</x:v>
      </x:c>
      <x:c r="AL340" s="23" t="n">
        <x:f>IF(C340="","",IFERROR(IF(P340&gt;0,P340*(1-AM340/(1+INDEX('Facilities'!$K$9:$K$108,MATCH(C340,'Facilities'!$C$9:$C$108,0)))^MAX(0,AC340+INDEX('Facilities'!$AK$9:$AK$108,MATCH(C340,'Facilities'!$C$9:$C$108,0))-D340)),0),"Unavailable"))</x:f>
        <x:v>0</x:v>
      </x:c>
      <x:c r="AM340" s="30" t="n">
        <x:f>IF(C340="","",IFERROR(INDEX('Facilities'!$AL$9:$AL$108,MATCH(C340,'Facilities'!$C$9:$C$108,0)),"Unavailable"))</x:f>
        <x:v>0.55</x:v>
      </x:c>
      <x:c r="AN340" s="30" t="n">
        <x:f>IF(C340="","",IFERROR(INDEX(Credit!$T$309:$T$408,MATCH(F340,Credit!$C$309:$C$408,0)),"Unavailable"))</x:f>
        <x:v>0.00816</x:v>
      </x:c>
      <x:c r="AO340" s="23" t="n">
        <x:f>IF(C340="","",IF(AQ340&lt;&gt;"Ready","Unavailable",IF(C340="","",O340+P340+Q340*INDEX('Facilities'!$I$9:$I$108,MATCH(C340,'Facilities'!$C$9:$C$108,0)))))</x:f>
        <x:v>7.911787444000001</x:v>
      </x:c>
      <x:c r="AP340" s="21" t="n">
        <x:f>IF(C340="","",IF(AQ340&lt;&gt;"Ready","Unavailable",IF(C340="","",AH340-U340)))</x:f>
        <x:v>7.284968320729921</x:v>
      </x:c>
      <x:c r="AQ340" s="23" t="str">
        <x:f>IFERROR(IF(C340="","",IF(AND(INDEX('Facilities'!$AF$9:$AF$108,MATCH(C340,'Facilities'!$C$9:$C$108,0))="Ready",INDEX(Credit!$U$309:$U$408,MATCH(F340,Credit!$C$309:$C$408,0))="Ready",ISNUMBER(W340)),"Ready","Review inputs")),"Review inputs")</x:f>
        <x:v>Ready</x:v>
      </x:c>
      <x:c r="AR340" s="23" t="n">
        <x:f>IF(C340="","",IF(AQ340&lt;&gt;"Ready","Unavailable",IF(C340="","",IF(O340=0,0,(IF(AJ340&lt;=1,O340,O340*INDEX('Facilities'!$R$9:$R$108,MATCH(C340,'Facilities'!$C$9:$C$108,0)))+O340*INDEX('Facilities'!$T$9:$T$108,MATCH(C340,'Facilities'!$C$9:$C$108,0)))/12))))</x:f>
        <x:v>0.13276841149666666</x:v>
      </x:c>
    </x:row>
    <x:row r="341" ht="26" customHeight="1">
      <x:c r="A341" s="1"/>
      <x:c r="B341" s="1"/>
      <x:c r="C341" s="9" t="str">
        <x:f>IF(Facilities!C41="","",Facilities!C41)</x:f>
        <x:v>F033</x:v>
      </x:c>
      <x:c r="D341" s="3" t="n">
        <x:v>4</x:v>
      </x:c>
      <x:c r="E341" s="9" t="n">
        <x:f>Settings!$F$18+3</x:f>
        <x:v>2030</x:v>
      </x:c>
      <x:c r="F341" s="9" t="str">
        <x:f>IF(C341="","",IFERROR(INDEX('Facilities'!$D$9:$D$108,MATCH(C341,'Facilities'!$C$9:$C$108,0)),"Unavailable"))</x:f>
        <x:v>B021</x:v>
      </x:c>
      <x:c r="G341" s="21" t="n">
        <x:f>IF(C341="","",IFERROR(O241,"Unavailable"))</x:f>
        <x:v>8.532714</x:v>
      </x:c>
      <x:c r="H341" s="21" t="n">
        <x:f>IF(C341="","",IFERROR(P241,"Unavailable"))</x:f>
        <x:v>0</x:v>
      </x:c>
      <x:c r="I341" s="21" t="n">
        <x:f>IF(C341="","",IFERROR(Q241,"Unavailable"))</x:f>
        <x:v>1.11435</x:v>
      </x:c>
      <x:c r="J341" s="23" t="n">
        <x:f>IF(C341="","",IFERROR(IF(OR(H341&gt;0,AND(AC341&gt;=0,AC341&lt;D341),D341&gt;INDEX('Facilities'!$J$9:$J$108,MATCH(C341,'Facilities'!$C$9:$C$108,0))),0,I341*'Scenario Paths'!I81),"Unavailable"))</x:f>
        <x:v>0.111435</x:v>
      </x:c>
      <x:c r="K341" s="23" t="n">
        <x:f>IF(C341="","",IFERROR(IF(OR(H341&gt;0,AND(AC341&gt;=0,AC341=D341)),0,IF(D341&gt;=INDEX('Facilities'!$J$9:$J$108,MATCH(C341,'Facilities'!$C$9:$C$108,0)),G341+J341,MIN(G341+J341,G341*INDEX('Facilities'!$R$9:$R$108,MATCH(C341,'Facilities'!$C$9:$C$108,0))))),"Unavailable"))</x:f>
        <x:v>1.02392568</x:v>
      </x:c>
      <x:c r="L341" s="21" t="n">
        <x:f>IF(C341="","",IFERROR(IF(AND(AC341=D341,AC341&gt;0),MAX(0,G341+J341-K341),0),"Unavailable"))</x:f>
        <x:v>0</x:v>
      </x:c>
      <x:c r="M341" s="23" t="n">
        <x:f>IF(C341="","",IFERROR(IF(AND(AC341&gt;=0,D341&gt;=AC341+INDEX('Facilities'!$AK$9:$AK$108,MATCH(C341,'Facilities'!$C$9:$C$108,0))),(H341+L341)*AM341,0),"Unavailable"))</x:f>
        <x:v>0</x:v>
      </x:c>
      <x:c r="N341" s="23" t="n">
        <x:f>IF(C341="","",IFERROR(IF(AND(AC341&gt;=0,D341&gt;=AC341+INDEX('Facilities'!$AK$9:$AK$108,MATCH(C341,'Facilities'!$C$9:$C$108,0))),H341+L341-M341,0),"Unavailable"))</x:f>
        <x:v>0</x:v>
      </x:c>
      <x:c r="O341" s="21" t="n">
        <x:f>IF(C341="","",IFERROR(MAX(0,G341+J341-K341-L341),"Unavailable"))</x:f>
        <x:v>7.620223320000001</x:v>
      </x:c>
      <x:c r="P341" s="21" t="n">
        <x:f>IF(C341="","",IFERROR(MAX(0,H341+L341-M341-N341),"Unavailable"))</x:f>
        <x:v>0</x:v>
      </x:c>
      <x:c r="Q341" s="23" t="n">
        <x:f>IF(C341="","",IFERROR(IF(OR(D341&gt;=INDEX('Facilities'!$J$9:$J$108,MATCH(C341,'Facilities'!$C$9:$C$108,0)),AND(AC341&gt;=0,AC341&lt;=D341)),0,MAX(0,I341-J341)),"Unavailable"))</x:f>
        <x:v>1.002915</x:v>
      </x:c>
      <x:c r="R341" s="30" t="n">
        <x:f>IF(C341="","",IFERROR(INDEX(Credit!$Q$309:$Q$408,MATCH(F341,Credit!$C$309:$C$408,0)),"Unavailable"))</x:f>
        <x:v>0.04762245648790473</x:v>
      </x:c>
      <x:c r="S341" s="30" t="n">
        <x:f>IF(C341="","",IFERROR(INDEX(Credit!$R$309:$R$408,MATCH(F341,Credit!$C$309:$C$408,0)),"Unavailable"))</x:f>
        <x:v>0.2822464</x:v>
      </x:c>
      <x:c r="T341" s="23" t="n">
        <x:f>IF(C341="","",IFERROR(IF(P341&gt;0,3,IF(OR(INDEX('Facilities'!$AD$9:$AD$108,MATCH(C341,'Facilities'!$C$9:$C$108,0))=2,AND(R341&gt;=INDEX('Facilities'!$L$9:$L$108,MATCH(C341,'Facilities'!$C$9:$C$108,0))*Settings!$F$19,R341-INDEX('Facilities'!$L$9:$L$108,MATCH(C341,'Facilities'!$C$9:$C$108,0))&gt;=Settings!$F$20)),2,1)),"Unavailable"))</x:f>
        <x:v>2</x:v>
      </x:c>
      <x:c r="U341" s="23" t="n">
        <x:f>IF(C341="","",IF(AQ341&lt;&gt;"Ready","Unavailable",IF(C341="","",O341*(1-(1-S341)/(1+INDEX('Facilities'!$K$9:$K$108,MATCH(C341,'Facilities'!$C$9:$C$108,0)))^INDEX('Facilities'!$AK$9:$AK$108,MATCH(C341,'Facilities'!$C$9:$C$108,0)))*R341/(1+INDEX('Facilities'!$K$9:$K$108,MATCH(C341,'Facilities'!$C$9:$C$108,0)))*IF(ABS(1-(1-R341)*(1-INDEX('Facilities'!$R$9:$R$108,MATCH(C341,'Facilities'!$C$9:$C$108,0)))/(1+INDEX('Facilities'!$K$9:$K$108,MATCH(C341,'Facilities'!$C$9:$C$108,0))))&lt;0.000000001,IF(T341=1,MIN(1,AJ341),AJ341),(1-((1-R341)*(1-INDEX('Facilities'!$R$9:$R$108,MATCH(C341,'Facilities'!$C$9:$C$108,0)))/(1+INDEX('Facilities'!$K$9:$K$108,MATCH(C341,'Facilities'!$C$9:$C$108,0))))^IF(T341=1,MIN(1,AJ341),AJ341))/(1-(1-R341)*(1-INDEX('Facilities'!$R$9:$R$108,MATCH(C341,'Facilities'!$C$9:$C$108,0)))/(1+INDEX('Facilities'!$K$9:$K$108,MATCH(C341,'Facilities'!$C$9:$C$108,0)))))+AL341)))</x:f>
        <x:v>0.12924460200700685</x:v>
      </x:c>
      <x:c r="V341" s="23" t="n">
        <x:f>IF(C341="","",IF(AQ341&lt;&gt;"Ready","Unavailable",IF(C341="","",Q341*INDEX('Facilities'!$I$9:$I$108,MATCH(C341,'Facilities'!$C$9:$C$108,0))*(1-(1-S341)/(1+INDEX('Facilities'!$K$9:$K$108,MATCH(C341,'Facilities'!$C$9:$C$108,0)))^INDEX('Facilities'!$AK$9:$AK$108,MATCH(C341,'Facilities'!$C$9:$C$108,0)))*R341/(1+INDEX('Facilities'!$K$9:$K$108,MATCH(C341,'Facilities'!$C$9:$C$108,0)))*IF(ABS(1-(1-R341)*(1-0)/(1+INDEX('Facilities'!$K$9:$K$108,MATCH(C341,'Facilities'!$C$9:$C$108,0))))&lt;0.000000001,IF(T341=1,MIN(1,AJ341),AJ341),(1-((1-R341)*(1-0)/(1+INDEX('Facilities'!$K$9:$K$108,MATCH(C341,'Facilities'!$C$9:$C$108,0))))^IF(T341=1,MIN(1,AJ341),AJ341))/(1-(1-R341)*(1-0)/(1+INDEX('Facilities'!$K$9:$K$108,MATCH(C341,'Facilities'!$C$9:$C$108,0))))))))</x:f>
        <x:v>0.008505088668573118</x:v>
      </x:c>
      <x:c r="W341" s="21" t="n">
        <x:f>IF(C341="","",IFERROR(U241,"Unavailable"))</x:f>
        <x:v>0.26631066062127057</x:v>
      </x:c>
      <x:c r="X341" s="21" t="n">
        <x:f>IF(C341="","",IFERROR(V241,"Unavailable"))</x:f>
        <x:v>0.018424734071059195</x:v>
      </x:c>
      <x:c r="Y341" s="21" t="n">
        <x:f>IF(C341="","",IF(AQ341&lt;&gt;"Ready","Unavailable",IF(C341="","",U341-W341+V341-X341+N341+AG341)))</x:f>
        <x:v>-0.1469857040167498</x:v>
      </x:c>
      <x:c r="Z341" s="23" t="n">
        <x:f>IF(C341="","",IF(AQ341&lt;&gt;"Ready","Unavailable",IF(C341="","",(G341+O341+L341)/2*INDEX('Facilities'!$T$9:$T$108,MATCH(C341,'Facilities'!$C$9:$C$108,0))+AG341)))</x:f>
        <x:v>0.7672645227</x:v>
      </x:c>
      <x:c r="AA341" s="23" t="n">
        <x:f>IF(C341="","",IF(AQ341&lt;&gt;"Ready","Unavailable",IF(C341="","",O341*(1-IF(INDEX('Facilities'!$AA$9:$AA$108,MATCH(C341,'Facilities'!$C$9:$C$108,0))=0,0,MIN(1,INDEX('Facilities'!$X$9:$X$108,MATCH(C341,'Facilities'!$C$9:$C$108,0))/INDEX('Facilities'!$AA$9:$AA$108,MATCH(C341,'Facilities'!$C$9:$C$108,0)))))*AF341+P341*(1-IF(INDEX('Facilities'!$AA$9:$AA$108,MATCH(C341,'Facilities'!$C$9:$C$108,0))=0,0,MIN(1,INDEX('Facilities'!$X$9:$X$108,MATCH(C341,'Facilities'!$C$9:$C$108,0))/INDEX('Facilities'!$AA$9:$AA$108,MATCH(C341,'Facilities'!$C$9:$C$108,0)))))*INDEX('Facilities'!$AJ$9:$AJ$108,MATCH(C341,'Facilities'!$C$9:$C$108,0))+Q341*INDEX('Facilities'!$AI$9:$AI$108,MATCH(C341,'Facilities'!$C$9:$C$108,0))*AF341)))</x:f>
        <x:v>10.024081273224</x:v>
      </x:c>
      <x:c r="AB341" s="21" t="n">
        <x:f>IF(C341="","",O341+P341-AD341)</x:f>
        <x:v>-0.9124906799999994</x:v>
      </x:c>
      <x:c r="AC341" s="23" t="n">
        <x:f>IF(C341="","",IFERROR(IF(INDEX('Facilities'!$AD$9:$AD$108,MATCH(C341,'Facilities'!$C$9:$C$108,0))=3,0,IF(INDEX('Facilities'!$AN$9:$AN$108,MATCH(C341,'Facilities'!$C$9:$C$108,0))=0,-1,INDEX('Facilities'!$AN$9:$AN$108,MATCH(C341,'Facilities'!$C$9:$C$108,0)))),"Unavailable"))</x:f>
        <x:v>-1</x:v>
      </x:c>
      <x:c r="AD341" s="21" t="n">
        <x:f>IF(C341="","",IFERROR(G341+H341,"Unavailable"))</x:f>
        <x:v>8.532714</x:v>
      </x:c>
      <x:c r="AE341" s="21" t="n">
        <x:f>IF(C341="","",IF(AQ341&lt;&gt;"Ready","Unavailable",IF(C341="","",O341+P341-AD341-J341+K341+M341+N341)))</x:f>
        <x:v>6.661338147750939e-16</x:v>
      </x:c>
      <x:c r="AF341" s="30" t="n">
        <x:f>IF(C341="","",IFERROR(INDEX('Facilities'!$S$9:$S$108,MATCH(C341,'Facilities'!$C$9:$C$108,0))*'Scenario Paths'!I75,"Unavailable"))</x:f>
        <x:v>1.25</x:v>
      </x:c>
      <x:c r="AG341" s="23" t="n">
        <x:f>IF(C341="","",IF(AQ341&lt;&gt;"Ready","Unavailable",IF(C341="","",IF(H341&gt;0,MAX(0,H341-AK341)*((1+INDEX('Facilities'!$K$9:$K$108,MATCH(C341,'Facilities'!$C$9:$C$108,0)))^MIN(1,MAX(0,AC341+INDEX('Facilities'!$AK$9:$AK$108,MATCH(C341,'Facilities'!$C$9:$C$108,0))-D341+1))-1),0))))</x:f>
        <x:v>0</x:v>
      </x:c>
      <x:c r="AH341" s="21" t="n">
        <x:f>IF(C341="","",IF(AQ341&lt;&gt;"Ready","Unavailable",IF(C341="","",O341+P341)))</x:f>
        <x:v>7.620223320000001</x:v>
      </x:c>
      <x:c r="AI341" s="21" t="n">
        <x:f>IF(C341="","",IF(AQ341&lt;&gt;"Ready","Unavailable",IF(C341="","",Z341-Y341)))</x:f>
        <x:v>0.9142502267167498</x:v>
      </x:c>
      <x:c r="AJ341" s="23" t="n">
        <x:f>IF(C341="","",IFERROR(MAX(0,INDEX('Facilities'!$J$9:$J$108,MATCH(C341,'Facilities'!$C$9:$C$108,0))-D341),"Unavailable"))</x:f>
        <x:v>1</x:v>
      </x:c>
      <x:c r="AK341" s="21" t="n">
        <x:f>IF(C341="","",IFERROR(AL241,"Unavailable"))</x:f>
        <x:v>0</x:v>
      </x:c>
      <x:c r="AL341" s="23" t="n">
        <x:f>IF(C341="","",IFERROR(IF(P341&gt;0,P341*(1-AM341/(1+INDEX('Facilities'!$K$9:$K$108,MATCH(C341,'Facilities'!$C$9:$C$108,0)))^MAX(0,AC341+INDEX('Facilities'!$AK$9:$AK$108,MATCH(C341,'Facilities'!$C$9:$C$108,0))-D341)),0),"Unavailable"))</x:f>
        <x:v>0</x:v>
      </x:c>
      <x:c r="AM341" s="30" t="n">
        <x:f>IF(C341="","",IFERROR(INDEX('Facilities'!$AL$9:$AL$108,MATCH(C341,'Facilities'!$C$9:$C$108,0)),"Unavailable"))</x:f>
        <x:v>0.55</x:v>
      </x:c>
      <x:c r="AN341" s="30" t="n">
        <x:f>IF(C341="","",IFERROR(INDEX(Credit!$T$309:$T$408,MATCH(F341,Credit!$C$309:$C$408,0)),"Unavailable"))</x:f>
        <x:v>0.00312</x:v>
      </x:c>
      <x:c r="AO341" s="23" t="n">
        <x:f>IF(C341="","",IF(AQ341&lt;&gt;"Ready","Unavailable",IF(C341="","",O341+P341+Q341*INDEX('Facilities'!$I$9:$I$108,MATCH(C341,'Facilities'!$C$9:$C$108,0)))))</x:f>
        <x:v>8.121680820000002</x:v>
      </x:c>
      <x:c r="AP341" s="21" t="n">
        <x:f>IF(C341="","",IF(AQ341&lt;&gt;"Ready","Unavailable",IF(C341="","",AH341-U341)))</x:f>
        <x:v>7.490978717992994</x:v>
      </x:c>
      <x:c r="AQ341" s="23" t="str">
        <x:f>IFERROR(IF(C341="","",IF(AND(INDEX('Facilities'!$AF$9:$AF$108,MATCH(C341,'Facilities'!$C$9:$C$108,0))="Ready",INDEX(Credit!$U$309:$U$408,MATCH(F341,Credit!$C$309:$C$408,0))="Ready",ISNUMBER(W341)),"Ready","Review inputs")),"Review inputs")</x:f>
        <x:v>Ready</x:v>
      </x:c>
      <x:c r="AR341" s="23" t="n">
        <x:f>IF(C341="","",IF(AQ341&lt;&gt;"Ready","Unavailable",IF(C341="","",IF(O341=0,0,(IF(AJ341&lt;=1,O341,O341*INDEX('Facilities'!$R$9:$R$108,MATCH(C341,'Facilities'!$C$9:$C$108,0)))+O341*INDEX('Facilities'!$T$9:$T$108,MATCH(C341,'Facilities'!$C$9:$C$108,0)))/12))))</x:f>
        <x:v>0.6953453779500002</x:v>
      </x:c>
    </x:row>
    <x:row r="342" ht="26" customHeight="1">
      <x:c r="A342" s="1"/>
      <x:c r="B342" s="1"/>
      <x:c r="C342" s="9" t="str">
        <x:f>IF(Facilities!C42="","",Facilities!C42)</x:f>
        <x:v>F034</x:v>
      </x:c>
      <x:c r="D342" s="3" t="n">
        <x:v>4</x:v>
      </x:c>
      <x:c r="E342" s="9" t="n">
        <x:f>Settings!$F$18+3</x:f>
        <x:v>2030</x:v>
      </x:c>
      <x:c r="F342" s="9" t="str">
        <x:f>IF(C342="","",IFERROR(INDEX('Facilities'!$D$9:$D$108,MATCH(C342,'Facilities'!$C$9:$C$108,0)),"Unavailable"))</x:f>
        <x:v>B022</x:v>
      </x:c>
      <x:c r="G342" s="21" t="n">
        <x:f>IF(C342="","",IFERROR(O242,"Unavailable"))</x:f>
        <x:v>8.7712292</x:v>
      </x:c>
      <x:c r="H342" s="21" t="n">
        <x:f>IF(C342="","",IFERROR(P242,"Unavailable"))</x:f>
        <x:v>0</x:v>
      </x:c>
      <x:c r="I342" s="21" t="n">
        <x:f>IF(C342="","",IFERROR(Q242,"Unavailable"))</x:f>
        <x:v>1.11435</x:v>
      </x:c>
      <x:c r="J342" s="23" t="n">
        <x:f>IF(C342="","",IFERROR(IF(OR(H342&gt;0,AND(AC342&gt;=0,AC342&lt;D342),D342&gt;INDEX('Facilities'!$J$9:$J$108,MATCH(C342,'Facilities'!$C$9:$C$108,0))),0,I342*'Scenario Paths'!I81),"Unavailable"))</x:f>
        <x:v>0.111435</x:v>
      </x:c>
      <x:c r="K342" s="23" t="n">
        <x:f>IF(C342="","",IFERROR(IF(OR(H342&gt;0,AND(AC342&gt;=0,AC342=D342)),0,IF(D342&gt;=INDEX('Facilities'!$J$9:$J$108,MATCH(C342,'Facilities'!$C$9:$C$108,0)),G342+J342,MIN(G342+J342,G342*INDEX('Facilities'!$R$9:$R$108,MATCH(C342,'Facilities'!$C$9:$C$108,0))))),"Unavailable"))</x:f>
        <x:v>1.052547504</x:v>
      </x:c>
      <x:c r="L342" s="21" t="n">
        <x:f>IF(C342="","",IFERROR(IF(AND(AC342=D342,AC342&gt;0),MAX(0,G342+J342-K342),0),"Unavailable"))</x:f>
        <x:v>0</x:v>
      </x:c>
      <x:c r="M342" s="23" t="n">
        <x:f>IF(C342="","",IFERROR(IF(AND(AC342&gt;=0,D342&gt;=AC342+INDEX('Facilities'!$AK$9:$AK$108,MATCH(C342,'Facilities'!$C$9:$C$108,0))),(H342+L342)*AM342,0),"Unavailable"))</x:f>
        <x:v>0</x:v>
      </x:c>
      <x:c r="N342" s="23" t="n">
        <x:f>IF(C342="","",IFERROR(IF(AND(AC342&gt;=0,D342&gt;=AC342+INDEX('Facilities'!$AK$9:$AK$108,MATCH(C342,'Facilities'!$C$9:$C$108,0))),H342+L342-M342,0),"Unavailable"))</x:f>
        <x:v>0</x:v>
      </x:c>
      <x:c r="O342" s="21" t="n">
        <x:f>IF(C342="","",IFERROR(MAX(0,G342+J342-K342-L342),"Unavailable"))</x:f>
        <x:v>7.830116696000001</x:v>
      </x:c>
      <x:c r="P342" s="21" t="n">
        <x:f>IF(C342="","",IFERROR(MAX(0,H342+L342-M342-N342),"Unavailable"))</x:f>
        <x:v>0</x:v>
      </x:c>
      <x:c r="Q342" s="23" t="n">
        <x:f>IF(C342="","",IFERROR(IF(OR(D342&gt;=INDEX('Facilities'!$J$9:$J$108,MATCH(C342,'Facilities'!$C$9:$C$108,0)),AND(AC342&gt;=0,AC342&lt;=D342)),0,MAX(0,I342-J342)),"Unavailable"))</x:f>
        <x:v>1.002915</x:v>
      </x:c>
      <x:c r="R342" s="30" t="n">
        <x:f>IF(C342="","",IFERROR(INDEX(Credit!$Q$309:$Q$408,MATCH(F342,Credit!$C$309:$C$408,0)),"Unavailable"))</x:f>
        <x:v>0.055794599205133966</x:v>
      </x:c>
      <x:c r="S342" s="30" t="n">
        <x:f>IF(C342="","",IFERROR(INDEX(Credit!$R$309:$R$408,MATCH(F342,Credit!$C$309:$C$408,0)),"Unavailable"))</x:f>
        <x:v>0.32182784000000003</x:v>
      </x:c>
      <x:c r="T342" s="23" t="n">
        <x:f>IF(C342="","",IFERROR(IF(P342&gt;0,3,IF(OR(INDEX('Facilities'!$AD$9:$AD$108,MATCH(C342,'Facilities'!$C$9:$C$108,0))=2,AND(R342&gt;=INDEX('Facilities'!$L$9:$L$108,MATCH(C342,'Facilities'!$C$9:$C$108,0))*Settings!$F$19,R342-INDEX('Facilities'!$L$9:$L$108,MATCH(C342,'Facilities'!$C$9:$C$108,0))&gt;=Settings!$F$20)),2,1)),"Unavailable"))</x:f>
        <x:v>1</x:v>
      </x:c>
      <x:c r="U342" s="23" t="n">
        <x:f>IF(C342="","",IF(AQ342&lt;&gt;"Ready","Unavailable",IF(C342="","",O342*(1-(1-S342)/(1+INDEX('Facilities'!$K$9:$K$108,MATCH(C342,'Facilities'!$C$9:$C$108,0)))^INDEX('Facilities'!$AK$9:$AK$108,MATCH(C342,'Facilities'!$C$9:$C$108,0)))*R342/(1+INDEX('Facilities'!$K$9:$K$108,MATCH(C342,'Facilities'!$C$9:$C$108,0)))*IF(ABS(1-(1-R342)*(1-INDEX('Facilities'!$R$9:$R$108,MATCH(C342,'Facilities'!$C$9:$C$108,0)))/(1+INDEX('Facilities'!$K$9:$K$108,MATCH(C342,'Facilities'!$C$9:$C$108,0))))&lt;0.000000001,IF(T342=1,MIN(1,AJ342),AJ342),(1-((1-R342)*(1-INDEX('Facilities'!$R$9:$R$108,MATCH(C342,'Facilities'!$C$9:$C$108,0)))/(1+INDEX('Facilities'!$K$9:$K$108,MATCH(C342,'Facilities'!$C$9:$C$108,0))))^IF(T342=1,MIN(1,AJ342),AJ342))/(1-(1-R342)*(1-INDEX('Facilities'!$R$9:$R$108,MATCH(C342,'Facilities'!$C$9:$C$108,0)))/(1+INDEX('Facilities'!$K$9:$K$108,MATCH(C342,'Facilities'!$C$9:$C$108,0)))))+AL342)))</x:f>
        <x:v>0.1693213298375024</x:v>
      </x:c>
      <x:c r="V342" s="23" t="n">
        <x:f>IF(C342="","",IF(AQ342&lt;&gt;"Ready","Unavailable",IF(C342="","",Q342*INDEX('Facilities'!$I$9:$I$108,MATCH(C342,'Facilities'!$C$9:$C$108,0))*(1-(1-S342)/(1+INDEX('Facilities'!$K$9:$K$108,MATCH(C342,'Facilities'!$C$9:$C$108,0)))^INDEX('Facilities'!$AK$9:$AK$108,MATCH(C342,'Facilities'!$C$9:$C$108,0)))*R342/(1+INDEX('Facilities'!$K$9:$K$108,MATCH(C342,'Facilities'!$C$9:$C$108,0)))*IF(ABS(1-(1-R342)*(1-0)/(1+INDEX('Facilities'!$K$9:$K$108,MATCH(C342,'Facilities'!$C$9:$C$108,0))))&lt;0.000000001,IF(T342=1,MIN(1,AJ342),AJ342),(1-((1-R342)*(1-0)/(1+INDEX('Facilities'!$K$9:$K$108,MATCH(C342,'Facilities'!$C$9:$C$108,0))))^IF(T342=1,MIN(1,AJ342),AJ342))/(1-(1-R342)*(1-0)/(1+INDEX('Facilities'!$K$9:$K$108,MATCH(C342,'Facilities'!$C$9:$C$108,0))))))))</x:f>
        <x:v>0.010843701831463656</x:v>
      </x:c>
      <x:c r="W342" s="21" t="n">
        <x:f>IF(C342="","",IFERROR(U242,"Unavailable"))</x:f>
        <x:v>0.20055993426052615</x:v>
      </x:c>
      <x:c r="X342" s="21" t="n">
        <x:f>IF(C342="","",IFERROR(V242,"Unavailable"))</x:f>
        <x:v>0.012740173449304991</x:v>
      </x:c>
      <x:c r="Y342" s="21" t="n">
        <x:f>IF(C342="","",IF(AQ342&lt;&gt;"Ready","Unavailable",IF(C342="","",U342-W342+V342-X342+N342+AG342)))</x:f>
        <x:v>-0.033135076040865095</x:v>
      </x:c>
      <x:c r="Z342" s="23" t="n">
        <x:f>IF(C342="","",IF(AQ342&lt;&gt;"Ready","Unavailable",IF(C342="","",(G342+O342+L342)/2*INDEX('Facilities'!$T$9:$T$108,MATCH(C342,'Facilities'!$C$9:$C$108,0))+AG342)))</x:f>
        <x:v>0.78856393006</x:v>
      </x:c>
      <x:c r="AA342" s="23" t="n">
        <x:f>IF(C342="","",IF(AQ342&lt;&gt;"Ready","Unavailable",IF(C342="","",O342*(1-IF(INDEX('Facilities'!$AA$9:$AA$108,MATCH(C342,'Facilities'!$C$9:$C$108,0))=0,0,MIN(1,INDEX('Facilities'!$X$9:$X$108,MATCH(C342,'Facilities'!$C$9:$C$108,0))/INDEX('Facilities'!$AA$9:$AA$108,MATCH(C342,'Facilities'!$C$9:$C$108,0)))))*AF342+P342*(1-IF(INDEX('Facilities'!$AA$9:$AA$108,MATCH(C342,'Facilities'!$C$9:$C$108,0))=0,0,MIN(1,INDEX('Facilities'!$X$9:$X$108,MATCH(C342,'Facilities'!$C$9:$C$108,0))/INDEX('Facilities'!$AA$9:$AA$108,MATCH(C342,'Facilities'!$C$9:$C$108,0)))))*INDEX('Facilities'!$AJ$9:$AJ$108,MATCH(C342,'Facilities'!$C$9:$C$108,0))+Q342*INDEX('Facilities'!$AI$9:$AI$108,MATCH(C342,'Facilities'!$C$9:$C$108,0))*AF342)))</x:f>
        <x:v>10.226544944296</x:v>
      </x:c>
      <x:c r="AB342" s="21" t="n">
        <x:f>IF(C342="","",O342+P342-AD342)</x:f>
        <x:v>-0.9411125039999995</x:v>
      </x:c>
      <x:c r="AC342" s="23" t="n">
        <x:f>IF(C342="","",IFERROR(IF(INDEX('Facilities'!$AD$9:$AD$108,MATCH(C342,'Facilities'!$C$9:$C$108,0))=3,0,IF(INDEX('Facilities'!$AN$9:$AN$108,MATCH(C342,'Facilities'!$C$9:$C$108,0))=0,-1,INDEX('Facilities'!$AN$9:$AN$108,MATCH(C342,'Facilities'!$C$9:$C$108,0)))),"Unavailable"))</x:f>
        <x:v>-1</x:v>
      </x:c>
      <x:c r="AD342" s="21" t="n">
        <x:f>IF(C342="","",IFERROR(G342+H342,"Unavailable"))</x:f>
        <x:v>8.7712292</x:v>
      </x:c>
      <x:c r="AE342" s="21" t="n">
        <x:f>IF(C342="","",IF(AQ342&lt;&gt;"Ready","Unavailable",IF(C342="","",O342+P342-AD342-J342+K342+M342+N342)))</x:f>
        <x:v>6.661338147750939e-16</x:v>
      </x:c>
      <x:c r="AF342" s="30" t="n">
        <x:f>IF(C342="","",IFERROR(INDEX('Facilities'!$S$9:$S$108,MATCH(C342,'Facilities'!$C$9:$C$108,0))*'Scenario Paths'!I75,"Unavailable"))</x:f>
        <x:v>1.25</x:v>
      </x:c>
      <x:c r="AG342" s="23" t="n">
        <x:f>IF(C342="","",IF(AQ342&lt;&gt;"Ready","Unavailable",IF(C342="","",IF(H342&gt;0,MAX(0,H342-AK342)*((1+INDEX('Facilities'!$K$9:$K$108,MATCH(C342,'Facilities'!$C$9:$C$108,0)))^MIN(1,MAX(0,AC342+INDEX('Facilities'!$AK$9:$AK$108,MATCH(C342,'Facilities'!$C$9:$C$108,0))-D342+1))-1),0))))</x:f>
        <x:v>0</x:v>
      </x:c>
      <x:c r="AH342" s="21" t="n">
        <x:f>IF(C342="","",IF(AQ342&lt;&gt;"Ready","Unavailable",IF(C342="","",O342+P342)))</x:f>
        <x:v>7.830116696000001</x:v>
      </x:c>
      <x:c r="AI342" s="21" t="n">
        <x:f>IF(C342="","",IF(AQ342&lt;&gt;"Ready","Unavailable",IF(C342="","",Z342-Y342)))</x:f>
        <x:v>0.8216990061008651</x:v>
      </x:c>
      <x:c r="AJ342" s="23" t="n">
        <x:f>IF(C342="","",IFERROR(MAX(0,INDEX('Facilities'!$J$9:$J$108,MATCH(C342,'Facilities'!$C$9:$C$108,0))-D342),"Unavailable"))</x:f>
        <x:v>8</x:v>
      </x:c>
      <x:c r="AK342" s="21" t="n">
        <x:f>IF(C342="","",IFERROR(AL242,"Unavailable"))</x:f>
        <x:v>0</x:v>
      </x:c>
      <x:c r="AL342" s="23" t="n">
        <x:f>IF(C342="","",IFERROR(IF(P342&gt;0,P342*(1-AM342/(1+INDEX('Facilities'!$K$9:$K$108,MATCH(C342,'Facilities'!$C$9:$C$108,0)))^MAX(0,AC342+INDEX('Facilities'!$AK$9:$AK$108,MATCH(C342,'Facilities'!$C$9:$C$108,0))-D342)),0),"Unavailable"))</x:f>
        <x:v>0</x:v>
      </x:c>
      <x:c r="AM342" s="30" t="n">
        <x:f>IF(C342="","",IFERROR(INDEX('Facilities'!$AL$9:$AL$108,MATCH(C342,'Facilities'!$C$9:$C$108,0)),"Unavailable"))</x:f>
        <x:v>0.55</x:v>
      </x:c>
      <x:c r="AN342" s="30" t="n">
        <x:f>IF(C342="","",IFERROR(INDEX(Credit!$T$309:$T$408,MATCH(F342,Credit!$C$309:$C$408,0)),"Unavailable"))</x:f>
        <x:v>0.0026880000000000003</x:v>
      </x:c>
      <x:c r="AO342" s="23" t="n">
        <x:f>IF(C342="","",IF(AQ342&lt;&gt;"Ready","Unavailable",IF(C342="","",O342+P342+Q342*INDEX('Facilities'!$I$9:$I$108,MATCH(C342,'Facilities'!$C$9:$C$108,0)))))</x:f>
        <x:v>8.331574196000002</x:v>
      </x:c>
      <x:c r="AP342" s="21" t="n">
        <x:f>IF(C342="","",IF(AQ342&lt;&gt;"Ready","Unavailable",IF(C342="","",AH342-U342)))</x:f>
        <x:v>7.660795366162499</x:v>
      </x:c>
      <x:c r="AQ342" s="23" t="str">
        <x:f>IFERROR(IF(C342="","",IF(AND(INDEX('Facilities'!$AF$9:$AF$108,MATCH(C342,'Facilities'!$C$9:$C$108,0))="Ready",INDEX(Credit!$U$309:$U$408,MATCH(F342,Credit!$C$309:$C$408,0))="Ready",ISNUMBER(W342)),"Ready","Review inputs")),"Review inputs")</x:f>
        <x:v>Ready</x:v>
      </x:c>
      <x:c r="AR342" s="23" t="n">
        <x:f>IF(C342="","",IF(AQ342&lt;&gt;"Ready","Unavailable",IF(C342="","",IF(O342=0,0,(IF(AJ342&lt;=1,O342,O342*INDEX('Facilities'!$R$9:$R$108,MATCH(C342,'Facilities'!$C$9:$C$108,0)))+O342*INDEX('Facilities'!$T$9:$T$108,MATCH(C342,'Facilities'!$C$9:$C$108,0)))/12))))</x:f>
        <x:v>0.14028959080333336</x:v>
      </x:c>
    </x:row>
    <x:row r="343" ht="26" customHeight="1">
      <x:c r="A343" s="1"/>
      <x:c r="B343" s="1"/>
      <x:c r="C343" s="9" t="str">
        <x:f>IF(Facilities!C43="","",Facilities!C43)</x:f>
        <x:v>F035</x:v>
      </x:c>
      <x:c r="D343" s="3" t="n">
        <x:v>4</x:v>
      </x:c>
      <x:c r="E343" s="9" t="n">
        <x:f>Settings!$F$18+3</x:f>
        <x:v>2030</x:v>
      </x:c>
      <x:c r="F343" s="9" t="str">
        <x:f>IF(C343="","",IFERROR(INDEX('Facilities'!$D$9:$D$108,MATCH(C343,'Facilities'!$C$9:$C$108,0)),"Unavailable"))</x:f>
        <x:v>B023</x:v>
      </x:c>
      <x:c r="G343" s="21" t="n">
        <x:f>IF(C343="","",IFERROR(O243,"Unavailable"))</x:f>
        <x:v>0</x:v>
      </x:c>
      <x:c r="H343" s="21" t="n">
        <x:f>IF(C343="","",IFERROR(P243,"Unavailable"))</x:f>
        <x:v>0</x:v>
      </x:c>
      <x:c r="I343" s="21" t="n">
        <x:f>IF(C343="","",IFERROR(Q243,"Unavailable"))</x:f>
        <x:v>0</x:v>
      </x:c>
      <x:c r="J343" s="23" t="n">
        <x:f>IF(C343="","",IFERROR(IF(OR(H343&gt;0,AND(AC343&gt;=0,AC343&lt;D343),D343&gt;INDEX('Facilities'!$J$9:$J$108,MATCH(C343,'Facilities'!$C$9:$C$108,0))),0,I343*'Scenario Paths'!I81),"Unavailable"))</x:f>
        <x:v>0</x:v>
      </x:c>
      <x:c r="K343" s="23" t="n">
        <x:f>IF(C343="","",IFERROR(IF(OR(H343&gt;0,AND(AC343&gt;=0,AC343=D343)),0,IF(D343&gt;=INDEX('Facilities'!$J$9:$J$108,MATCH(C343,'Facilities'!$C$9:$C$108,0)),G343+J343,MIN(G343+J343,G343*INDEX('Facilities'!$R$9:$R$108,MATCH(C343,'Facilities'!$C$9:$C$108,0))))),"Unavailable"))</x:f>
        <x:v>0</x:v>
      </x:c>
      <x:c r="L343" s="21" t="n">
        <x:f>IF(C343="","",IFERROR(IF(AND(AC343=D343,AC343&gt;0),MAX(0,G343+J343-K343),0),"Unavailable"))</x:f>
        <x:v>0</x:v>
      </x:c>
      <x:c r="M343" s="23" t="n">
        <x:f>IF(C343="","",IFERROR(IF(AND(AC343&gt;=0,D343&gt;=AC343+INDEX('Facilities'!$AK$9:$AK$108,MATCH(C343,'Facilities'!$C$9:$C$108,0))),(H343+L343)*AM343,0),"Unavailable"))</x:f>
        <x:v>0</x:v>
      </x:c>
      <x:c r="N343" s="23" t="n">
        <x:f>IF(C343="","",IFERROR(IF(AND(AC343&gt;=0,D343&gt;=AC343+INDEX('Facilities'!$AK$9:$AK$108,MATCH(C343,'Facilities'!$C$9:$C$108,0))),H343+L343-M343,0),"Unavailable"))</x:f>
        <x:v>0</x:v>
      </x:c>
      <x:c r="O343" s="21" t="n">
        <x:f>IF(C343="","",IFERROR(MAX(0,G343+J343-K343-L343),"Unavailable"))</x:f>
        <x:v>0</x:v>
      </x:c>
      <x:c r="P343" s="21" t="n">
        <x:f>IF(C343="","",IFERROR(MAX(0,H343+L343-M343-N343),"Unavailable"))</x:f>
        <x:v>0</x:v>
      </x:c>
      <x:c r="Q343" s="23" t="n">
        <x:f>IF(C343="","",IFERROR(IF(OR(D343&gt;=INDEX('Facilities'!$J$9:$J$108,MATCH(C343,'Facilities'!$C$9:$C$108,0)),AND(AC343&gt;=0,AC343&lt;=D343)),0,MAX(0,I343-J343)),"Unavailable"))</x:f>
        <x:v>0</x:v>
      </x:c>
      <x:c r="R343" s="30" t="n">
        <x:f>IF(C343="","",IFERROR(INDEX(Credit!$Q$309:$Q$408,MATCH(F343,Credit!$C$309:$C$408,0)),"Unavailable"))</x:f>
        <x:v>1</x:v>
      </x:c>
      <x:c r="S343" s="30" t="n">
        <x:f>IF(C343="","",IFERROR(INDEX(Credit!$R$309:$R$408,MATCH(F343,Credit!$C$309:$C$408,0)),"Unavailable"))</x:f>
        <x:v>0.36337920000000007</x:v>
      </x:c>
      <x:c r="T343" s="23" t="n">
        <x:f>IF(C343="","",IFERROR(IF(P343&gt;0,3,IF(OR(INDEX('Facilities'!$AD$9:$AD$108,MATCH(C343,'Facilities'!$C$9:$C$108,0))=2,AND(R343&gt;=INDEX('Facilities'!$L$9:$L$108,MATCH(C343,'Facilities'!$C$9:$C$108,0))*Settings!$F$19,R343-INDEX('Facilities'!$L$9:$L$108,MATCH(C343,'Facilities'!$C$9:$C$108,0))&gt;=Settings!$F$20)),2,1)),"Unavailable"))</x:f>
        <x:v>2</x:v>
      </x:c>
      <x:c r="U343" s="23" t="n">
        <x:f>IF(C343="","",IF(AQ343&lt;&gt;"Ready","Unavailable",IF(C343="","",O343*(1-(1-S343)/(1+INDEX('Facilities'!$K$9:$K$108,MATCH(C343,'Facilities'!$C$9:$C$108,0)))^INDEX('Facilities'!$AK$9:$AK$108,MATCH(C343,'Facilities'!$C$9:$C$108,0)))*R343/(1+INDEX('Facilities'!$K$9:$K$108,MATCH(C343,'Facilities'!$C$9:$C$108,0)))*IF(ABS(1-(1-R343)*(1-INDEX('Facilities'!$R$9:$R$108,MATCH(C343,'Facilities'!$C$9:$C$108,0)))/(1+INDEX('Facilities'!$K$9:$K$108,MATCH(C343,'Facilities'!$C$9:$C$108,0))))&lt;0.000000001,IF(T343=1,MIN(1,AJ343),AJ343),(1-((1-R343)*(1-INDEX('Facilities'!$R$9:$R$108,MATCH(C343,'Facilities'!$C$9:$C$108,0)))/(1+INDEX('Facilities'!$K$9:$K$108,MATCH(C343,'Facilities'!$C$9:$C$108,0))))^IF(T343=1,MIN(1,AJ343),AJ343))/(1-(1-R343)*(1-INDEX('Facilities'!$R$9:$R$108,MATCH(C343,'Facilities'!$C$9:$C$108,0)))/(1+INDEX('Facilities'!$K$9:$K$108,MATCH(C343,'Facilities'!$C$9:$C$108,0)))))+AL343)))</x:f>
        <x:v>0</x:v>
      </x:c>
      <x:c r="V343" s="23" t="n">
        <x:f>IF(C343="","",IF(AQ343&lt;&gt;"Ready","Unavailable",IF(C343="","",Q343*INDEX('Facilities'!$I$9:$I$108,MATCH(C343,'Facilities'!$C$9:$C$108,0))*(1-(1-S343)/(1+INDEX('Facilities'!$K$9:$K$108,MATCH(C343,'Facilities'!$C$9:$C$108,0)))^INDEX('Facilities'!$AK$9:$AK$108,MATCH(C343,'Facilities'!$C$9:$C$108,0)))*R343/(1+INDEX('Facilities'!$K$9:$K$108,MATCH(C343,'Facilities'!$C$9:$C$108,0)))*IF(ABS(1-(1-R343)*(1-0)/(1+INDEX('Facilities'!$K$9:$K$108,MATCH(C343,'Facilities'!$C$9:$C$108,0))))&lt;0.000000001,IF(T343=1,MIN(1,AJ343),AJ343),(1-((1-R343)*(1-0)/(1+INDEX('Facilities'!$K$9:$K$108,MATCH(C343,'Facilities'!$C$9:$C$108,0))))^IF(T343=1,MIN(1,AJ343),AJ343))/(1-(1-R343)*(1-0)/(1+INDEX('Facilities'!$K$9:$K$108,MATCH(C343,'Facilities'!$C$9:$C$108,0))))))))</x:f>
        <x:v>0</x:v>
      </x:c>
      <x:c r="W343" s="21" t="n">
        <x:f>IF(C343="","",IFERROR(U243,"Unavailable"))</x:f>
        <x:v>0</x:v>
      </x:c>
      <x:c r="X343" s="21" t="n">
        <x:f>IF(C343="","",IFERROR(V243,"Unavailable"))</x:f>
        <x:v>0</x:v>
      </x:c>
      <x:c r="Y343" s="21" t="n">
        <x:f>IF(C343="","",IF(AQ343&lt;&gt;"Ready","Unavailable",IF(C343="","",U343-W343+V343-X343+N343+AG343)))</x:f>
        <x:v>0</x:v>
      </x:c>
      <x:c r="Z343" s="23" t="n">
        <x:f>IF(C343="","",IF(AQ343&lt;&gt;"Ready","Unavailable",IF(C343="","",(G343+O343+L343)/2*INDEX('Facilities'!$T$9:$T$108,MATCH(C343,'Facilities'!$C$9:$C$108,0))+AG343)))</x:f>
        <x:v>0</x:v>
      </x:c>
      <x:c r="AA343" s="23" t="n">
        <x:f>IF(C343="","",IF(AQ343&lt;&gt;"Ready","Unavailable",IF(C343="","",O343*(1-IF(INDEX('Facilities'!$AA$9:$AA$108,MATCH(C343,'Facilities'!$C$9:$C$108,0))=0,0,MIN(1,INDEX('Facilities'!$X$9:$X$108,MATCH(C343,'Facilities'!$C$9:$C$108,0))/INDEX('Facilities'!$AA$9:$AA$108,MATCH(C343,'Facilities'!$C$9:$C$108,0)))))*AF343+P343*(1-IF(INDEX('Facilities'!$AA$9:$AA$108,MATCH(C343,'Facilities'!$C$9:$C$108,0))=0,0,MIN(1,INDEX('Facilities'!$X$9:$X$108,MATCH(C343,'Facilities'!$C$9:$C$108,0))/INDEX('Facilities'!$AA$9:$AA$108,MATCH(C343,'Facilities'!$C$9:$C$108,0)))))*INDEX('Facilities'!$AJ$9:$AJ$108,MATCH(C343,'Facilities'!$C$9:$C$108,0))+Q343*INDEX('Facilities'!$AI$9:$AI$108,MATCH(C343,'Facilities'!$C$9:$C$108,0))*AF343)))</x:f>
        <x:v>0</x:v>
      </x:c>
      <x:c r="AB343" s="21" t="n">
        <x:f>IF(C343="","",O343+P343-AD343)</x:f>
        <x:v>0</x:v>
      </x:c>
      <x:c r="AC343" s="23" t="n">
        <x:f>IF(C343="","",IFERROR(IF(INDEX('Facilities'!$AD$9:$AD$108,MATCH(C343,'Facilities'!$C$9:$C$108,0))=3,0,IF(INDEX('Facilities'!$AN$9:$AN$108,MATCH(C343,'Facilities'!$C$9:$C$108,0))=0,-1,INDEX('Facilities'!$AN$9:$AN$108,MATCH(C343,'Facilities'!$C$9:$C$108,0)))),"Unavailable"))</x:f>
        <x:v>0</x:v>
      </x:c>
      <x:c r="AD343" s="21" t="n">
        <x:f>IF(C343="","",IFERROR(G343+H343,"Unavailable"))</x:f>
        <x:v>0</x:v>
      </x:c>
      <x:c r="AE343" s="21" t="n">
        <x:f>IF(C343="","",IF(AQ343&lt;&gt;"Ready","Unavailable",IF(C343="","",O343+P343-AD343-J343+K343+M343+N343)))</x:f>
        <x:v>0</x:v>
      </x:c>
      <x:c r="AF343" s="30" t="n">
        <x:f>IF(C343="","",IFERROR(INDEX('Facilities'!$S$9:$S$108,MATCH(C343,'Facilities'!$C$9:$C$108,0))*'Scenario Paths'!I75,"Unavailable"))</x:f>
        <x:v>1.25</x:v>
      </x:c>
      <x:c r="AG343" s="23" t="n">
        <x:f>IF(C343="","",IF(AQ343&lt;&gt;"Ready","Unavailable",IF(C343="","",IF(H343&gt;0,MAX(0,H343-AK343)*((1+INDEX('Facilities'!$K$9:$K$108,MATCH(C343,'Facilities'!$C$9:$C$108,0)))^MIN(1,MAX(0,AC343+INDEX('Facilities'!$AK$9:$AK$108,MATCH(C343,'Facilities'!$C$9:$C$108,0))-D343+1))-1),0))))</x:f>
        <x:v>0</x:v>
      </x:c>
      <x:c r="AH343" s="21" t="n">
        <x:f>IF(C343="","",IF(AQ343&lt;&gt;"Ready","Unavailable",IF(C343="","",O343+P343)))</x:f>
        <x:v>0</x:v>
      </x:c>
      <x:c r="AI343" s="21" t="n">
        <x:f>IF(C343="","",IF(AQ343&lt;&gt;"Ready","Unavailable",IF(C343="","",Z343-Y343)))</x:f>
        <x:v>0</x:v>
      </x:c>
      <x:c r="AJ343" s="23" t="n">
        <x:f>IF(C343="","",IFERROR(MAX(0,INDEX('Facilities'!$J$9:$J$108,MATCH(C343,'Facilities'!$C$9:$C$108,0))-D343),"Unavailable"))</x:f>
        <x:v>3</x:v>
      </x:c>
      <x:c r="AK343" s="21" t="n">
        <x:f>IF(C343="","",IFERROR(AL243,"Unavailable"))</x:f>
        <x:v>0</x:v>
      </x:c>
      <x:c r="AL343" s="23" t="n">
        <x:f>IF(C343="","",IFERROR(IF(P343&gt;0,P343*(1-AM343/(1+INDEX('Facilities'!$K$9:$K$108,MATCH(C343,'Facilities'!$C$9:$C$108,0)))^MAX(0,AC343+INDEX('Facilities'!$AK$9:$AK$108,MATCH(C343,'Facilities'!$C$9:$C$108,0))-D343)),0),"Unavailable"))</x:f>
        <x:v>0</x:v>
      </x:c>
      <x:c r="AM343" s="30" t="n">
        <x:f>IF(C343="","",IFERROR(INDEX('Facilities'!$AL$9:$AL$108,MATCH(C343,'Facilities'!$C$9:$C$108,0)),"Unavailable"))</x:f>
        <x:v>0.55</x:v>
      </x:c>
      <x:c r="AN343" s="30" t="n">
        <x:f>IF(C343="","",IFERROR(INDEX(Credit!$T$309:$T$408,MATCH(F343,Credit!$C$309:$C$408,0)),"Unavailable"))</x:f>
        <x:v>0.00528</x:v>
      </x:c>
      <x:c r="AO343" s="23" t="n">
        <x:f>IF(C343="","",IF(AQ343&lt;&gt;"Ready","Unavailable",IF(C343="","",O343+P343+Q343*INDEX('Facilities'!$I$9:$I$108,MATCH(C343,'Facilities'!$C$9:$C$108,0)))))</x:f>
        <x:v>0</x:v>
      </x:c>
      <x:c r="AP343" s="21" t="n">
        <x:f>IF(C343="","",IF(AQ343&lt;&gt;"Ready","Unavailable",IF(C343="","",AH343-U343)))</x:f>
        <x:v>0</x:v>
      </x:c>
      <x:c r="AQ343" s="23" t="str">
        <x:f>IFERROR(IF(C343="","",IF(AND(INDEX('Facilities'!$AF$9:$AF$108,MATCH(C343,'Facilities'!$C$9:$C$108,0))="Ready",INDEX(Credit!$U$309:$U$408,MATCH(F343,Credit!$C$309:$C$408,0))="Ready",ISNUMBER(W343)),"Ready","Review inputs")),"Review inputs")</x:f>
        <x:v>Ready</x:v>
      </x:c>
      <x:c r="AR343" s="23" t="n">
        <x:f>IF(C343="","",IF(AQ343&lt;&gt;"Ready","Unavailable",IF(C343="","",IF(O343=0,0,(IF(AJ343&lt;=1,O343,O343*INDEX('Facilities'!$R$9:$R$108,MATCH(C343,'Facilities'!$C$9:$C$108,0)))+O343*INDEX('Facilities'!$T$9:$T$108,MATCH(C343,'Facilities'!$C$9:$C$108,0)))/12))))</x:f>
        <x:v>0</x:v>
      </x:c>
    </x:row>
    <x:row r="344" ht="26" customHeight="1">
      <x:c r="A344" s="1"/>
      <x:c r="B344" s="1"/>
      <x:c r="C344" s="9" t="str">
        <x:f>IF(Facilities!C44="","",Facilities!C44)</x:f>
        <x:v>F036</x:v>
      </x:c>
      <x:c r="D344" s="3" t="n">
        <x:v>4</x:v>
      </x:c>
      <x:c r="E344" s="9" t="n">
        <x:f>Settings!$F$18+3</x:f>
        <x:v>2030</x:v>
      </x:c>
      <x:c r="F344" s="9" t="str">
        <x:f>IF(C344="","",IFERROR(INDEX('Facilities'!$D$9:$D$108,MATCH(C344,'Facilities'!$C$9:$C$108,0)),"Unavailable"))</x:f>
        <x:v>B024</x:v>
      </x:c>
      <x:c r="G344" s="21" t="n">
        <x:f>IF(C344="","",IFERROR(O244,"Unavailable"))</x:f>
        <x:v>9.248259599999999</x:v>
      </x:c>
      <x:c r="H344" s="21" t="n">
        <x:f>IF(C344="","",IFERROR(P244,"Unavailable"))</x:f>
        <x:v>0</x:v>
      </x:c>
      <x:c r="I344" s="21" t="n">
        <x:f>IF(C344="","",IFERROR(Q244,"Unavailable"))</x:f>
        <x:v>1.11435</x:v>
      </x:c>
      <x:c r="J344" s="23" t="n">
        <x:f>IF(C344="","",IFERROR(IF(OR(H344&gt;0,AND(AC344&gt;=0,AC344&lt;D344),D344&gt;INDEX('Facilities'!$J$9:$J$108,MATCH(C344,'Facilities'!$C$9:$C$108,0))),0,I344*'Scenario Paths'!I81),"Unavailable"))</x:f>
        <x:v>0.111435</x:v>
      </x:c>
      <x:c r="K344" s="23" t="n">
        <x:f>IF(C344="","",IFERROR(IF(OR(H344&gt;0,AND(AC344&gt;=0,AC344=D344)),0,IF(D344&gt;=INDEX('Facilities'!$J$9:$J$108,MATCH(C344,'Facilities'!$C$9:$C$108,0)),G344+J344,MIN(G344+J344,G344*INDEX('Facilities'!$R$9:$R$108,MATCH(C344,'Facilities'!$C$9:$C$108,0))))),"Unavailable"))</x:f>
        <x:v>1.109791152</x:v>
      </x:c>
      <x:c r="L344" s="21" t="n">
        <x:f>IF(C344="","",IFERROR(IF(AND(AC344=D344,AC344&gt;0),MAX(0,G344+J344-K344),0),"Unavailable"))</x:f>
        <x:v>0</x:v>
      </x:c>
      <x:c r="M344" s="23" t="n">
        <x:f>IF(C344="","",IFERROR(IF(AND(AC344&gt;=0,D344&gt;=AC344+INDEX('Facilities'!$AK$9:$AK$108,MATCH(C344,'Facilities'!$C$9:$C$108,0))),(H344+L344)*AM344,0),"Unavailable"))</x:f>
        <x:v>0</x:v>
      </x:c>
      <x:c r="N344" s="23" t="n">
        <x:f>IF(C344="","",IFERROR(IF(AND(AC344&gt;=0,D344&gt;=AC344+INDEX('Facilities'!$AK$9:$AK$108,MATCH(C344,'Facilities'!$C$9:$C$108,0))),H344+L344-M344,0),"Unavailable"))</x:f>
        <x:v>0</x:v>
      </x:c>
      <x:c r="O344" s="21" t="n">
        <x:f>IF(C344="","",IFERROR(MAX(0,G344+J344-K344-L344),"Unavailable"))</x:f>
        <x:v>8.249903448</x:v>
      </x:c>
      <x:c r="P344" s="21" t="n">
        <x:f>IF(C344="","",IFERROR(MAX(0,H344+L344-M344-N344),"Unavailable"))</x:f>
        <x:v>0</x:v>
      </x:c>
      <x:c r="Q344" s="23" t="n">
        <x:f>IF(C344="","",IFERROR(IF(OR(D344&gt;=INDEX('Facilities'!$J$9:$J$108,MATCH(C344,'Facilities'!$C$9:$C$108,0)),AND(AC344&gt;=0,AC344&lt;=D344)),0,MAX(0,I344-J344)),"Unavailable"))</x:f>
        <x:v>1.002915</x:v>
      </x:c>
      <x:c r="R344" s="30" t="n">
        <x:f>IF(C344="","",IFERROR(INDEX(Credit!$Q$309:$Q$408,MATCH(F344,Credit!$C$309:$C$408,0)),"Unavailable"))</x:f>
        <x:v>0.08411405054885918</x:v>
      </x:c>
      <x:c r="S344" s="30" t="n">
        <x:f>IF(C344="","",IFERROR(INDEX(Credit!$R$309:$R$408,MATCH(F344,Credit!$C$309:$C$408,0)),"Unavailable"))</x:f>
        <x:v>0.40524160000000004</x:v>
      </x:c>
      <x:c r="T344" s="23" t="n">
        <x:f>IF(C344="","",IFERROR(IF(P344&gt;0,3,IF(OR(INDEX('Facilities'!$AD$9:$AD$108,MATCH(C344,'Facilities'!$C$9:$C$108,0))=2,AND(R344&gt;=INDEX('Facilities'!$L$9:$L$108,MATCH(C344,'Facilities'!$C$9:$C$108,0))*Settings!$F$19,R344-INDEX('Facilities'!$L$9:$L$108,MATCH(C344,'Facilities'!$C$9:$C$108,0))&gt;=Settings!$F$20)),2,1)),"Unavailable"))</x:f>
        <x:v>2</x:v>
      </x:c>
      <x:c r="U344" s="23" t="n">
        <x:f>IF(C344="","",IF(AQ344&lt;&gt;"Ready","Unavailable",IF(C344="","",O344*(1-(1-S344)/(1+INDEX('Facilities'!$K$9:$K$108,MATCH(C344,'Facilities'!$C$9:$C$108,0)))^INDEX('Facilities'!$AK$9:$AK$108,MATCH(C344,'Facilities'!$C$9:$C$108,0)))*R344/(1+INDEX('Facilities'!$K$9:$K$108,MATCH(C344,'Facilities'!$C$9:$C$108,0)))*IF(ABS(1-(1-R344)*(1-INDEX('Facilities'!$R$9:$R$108,MATCH(C344,'Facilities'!$C$9:$C$108,0)))/(1+INDEX('Facilities'!$K$9:$K$108,MATCH(C344,'Facilities'!$C$9:$C$108,0))))&lt;0.000000001,IF(T344=1,MIN(1,AJ344),AJ344),(1-((1-R344)*(1-INDEX('Facilities'!$R$9:$R$108,MATCH(C344,'Facilities'!$C$9:$C$108,0)))/(1+INDEX('Facilities'!$K$9:$K$108,MATCH(C344,'Facilities'!$C$9:$C$108,0))))^IF(T344=1,MIN(1,AJ344),AJ344))/(1-(1-R344)*(1-INDEX('Facilities'!$R$9:$R$108,MATCH(C344,'Facilities'!$C$9:$C$108,0)))/(1+INDEX('Facilities'!$K$9:$K$108,MATCH(C344,'Facilities'!$C$9:$C$108,0)))))+AL344)))</x:f>
        <x:v>0.8561548241705315</x:v>
      </x:c>
      <x:c r="V344" s="23" t="n">
        <x:f>IF(C344="","",IF(AQ344&lt;&gt;"Ready","Unavailable",IF(C344="","",Q344*INDEX('Facilities'!$I$9:$I$108,MATCH(C344,'Facilities'!$C$9:$C$108,0))*(1-(1-S344)/(1+INDEX('Facilities'!$K$9:$K$108,MATCH(C344,'Facilities'!$C$9:$C$108,0)))^INDEX('Facilities'!$AK$9:$AK$108,MATCH(C344,'Facilities'!$C$9:$C$108,0)))*R344/(1+INDEX('Facilities'!$K$9:$K$108,MATCH(C344,'Facilities'!$C$9:$C$108,0)))*IF(ABS(1-(1-R344)*(1-0)/(1+INDEX('Facilities'!$K$9:$K$108,MATCH(C344,'Facilities'!$C$9:$C$108,0))))&lt;0.000000001,IF(T344=1,MIN(1,AJ344),AJ344),(1-((1-R344)*(1-0)/(1+INDEX('Facilities'!$K$9:$K$108,MATCH(C344,'Facilities'!$C$9:$C$108,0))))^IF(T344=1,MIN(1,AJ344),AJ344))/(1-(1-R344)*(1-0)/(1+INDEX('Facilities'!$K$9:$K$108,MATCH(C344,'Facilities'!$C$9:$C$108,0))))))))</x:f>
        <x:v>0.060811761465024664</x:v>
      </x:c>
      <x:c r="W344" s="21" t="n">
        <x:f>IF(C344="","",IFERROR(U244,"Unavailable"))</x:f>
        <x:v>1.0983393209797883</x:v>
      </x:c>
      <x:c r="X344" s="21" t="n">
        <x:f>IF(C344="","",IFERROR(V244,"Unavailable"))</x:f>
        <x:v>0.08064337615981758</x:v>
      </x:c>
      <x:c r="Y344" s="21" t="n">
        <x:f>IF(C344="","",IF(AQ344&lt;&gt;"Ready","Unavailable",IF(C344="","",U344-W344+V344-X344+N344+AG344)))</x:f>
        <x:v>-0.26201611150404974</x:v>
      </x:c>
      <x:c r="Z344" s="23" t="n">
        <x:f>IF(C344="","",IF(AQ344&lt;&gt;"Ready","Unavailable",IF(C344="","",(G344+O344+L344)/2*INDEX('Facilities'!$T$9:$T$108,MATCH(C344,'Facilities'!$C$9:$C$108,0))+AG344)))</x:f>
        <x:v>0.83116274478</x:v>
      </x:c>
      <x:c r="AA344" s="23" t="n">
        <x:f>IF(C344="","",IF(AQ344&lt;&gt;"Ready","Unavailable",IF(C344="","",O344*(1-IF(INDEX('Facilities'!$AA$9:$AA$108,MATCH(C344,'Facilities'!$C$9:$C$108,0))=0,0,MIN(1,INDEX('Facilities'!$X$9:$X$108,MATCH(C344,'Facilities'!$C$9:$C$108,0))/INDEX('Facilities'!$AA$9:$AA$108,MATCH(C344,'Facilities'!$C$9:$C$108,0)))))*AF344+P344*(1-IF(INDEX('Facilities'!$AA$9:$AA$108,MATCH(C344,'Facilities'!$C$9:$C$108,0))=0,0,MIN(1,INDEX('Facilities'!$X$9:$X$108,MATCH(C344,'Facilities'!$C$9:$C$108,0))/INDEX('Facilities'!$AA$9:$AA$108,MATCH(C344,'Facilities'!$C$9:$C$108,0)))))*INDEX('Facilities'!$AJ$9:$AJ$108,MATCH(C344,'Facilities'!$C$9:$C$108,0))+Q344*INDEX('Facilities'!$AI$9:$AI$108,MATCH(C344,'Facilities'!$C$9:$C$108,0))*AF344)))</x:f>
        <x:v>10.592705240184</x:v>
      </x:c>
      <x:c r="AB344" s="21" t="n">
        <x:f>IF(C344="","",O344+P344-AD344)</x:f>
        <x:v>-0.9983561519999995</x:v>
      </x:c>
      <x:c r="AC344" s="23" t="n">
        <x:f>IF(C344="","",IFERROR(IF(INDEX('Facilities'!$AD$9:$AD$108,MATCH(C344,'Facilities'!$C$9:$C$108,0))=3,0,IF(INDEX('Facilities'!$AN$9:$AN$108,MATCH(C344,'Facilities'!$C$9:$C$108,0))=0,-1,INDEX('Facilities'!$AN$9:$AN$108,MATCH(C344,'Facilities'!$C$9:$C$108,0)))),"Unavailable"))</x:f>
        <x:v>-1</x:v>
      </x:c>
      <x:c r="AD344" s="21" t="n">
        <x:f>IF(C344="","",IFERROR(G344+H344,"Unavailable"))</x:f>
        <x:v>9.248259599999999</x:v>
      </x:c>
      <x:c r="AE344" s="21" t="n">
        <x:f>IF(C344="","",IF(AQ344&lt;&gt;"Ready","Unavailable",IF(C344="","",O344+P344-AD344-J344+K344+M344+N344)))</x:f>
        <x:v>4.440892098500626e-16</x:v>
      </x:c>
      <x:c r="AF344" s="30" t="n">
        <x:f>IF(C344="","",IFERROR(INDEX('Facilities'!$S$9:$S$108,MATCH(C344,'Facilities'!$C$9:$C$108,0))*'Scenario Paths'!I75,"Unavailable"))</x:f>
        <x:v>1.25</x:v>
      </x:c>
      <x:c r="AG344" s="23" t="n">
        <x:f>IF(C344="","",IF(AQ344&lt;&gt;"Ready","Unavailable",IF(C344="","",IF(H344&gt;0,MAX(0,H344-AK344)*((1+INDEX('Facilities'!$K$9:$K$108,MATCH(C344,'Facilities'!$C$9:$C$108,0)))^MIN(1,MAX(0,AC344+INDEX('Facilities'!$AK$9:$AK$108,MATCH(C344,'Facilities'!$C$9:$C$108,0))-D344+1))-1),0))))</x:f>
        <x:v>0</x:v>
      </x:c>
      <x:c r="AH344" s="21" t="n">
        <x:f>IF(C344="","",IF(AQ344&lt;&gt;"Ready","Unavailable",IF(C344="","",O344+P344)))</x:f>
        <x:v>8.249903448</x:v>
      </x:c>
      <x:c r="AI344" s="21" t="n">
        <x:f>IF(C344="","",IF(AQ344&lt;&gt;"Ready","Unavailable",IF(C344="","",Z344-Y344)))</x:f>
        <x:v>1.0931788562840496</x:v>
      </x:c>
      <x:c r="AJ344" s="23" t="n">
        <x:f>IF(C344="","",IFERROR(MAX(0,INDEX('Facilities'!$J$9:$J$108,MATCH(C344,'Facilities'!$C$9:$C$108,0))-D344),"Unavailable"))</x:f>
        <x:v>4</x:v>
      </x:c>
      <x:c r="AK344" s="21" t="n">
        <x:f>IF(C344="","",IFERROR(AL244,"Unavailable"))</x:f>
        <x:v>0</x:v>
      </x:c>
      <x:c r="AL344" s="23" t="n">
        <x:f>IF(C344="","",IFERROR(IF(P344&gt;0,P344*(1-AM344/(1+INDEX('Facilities'!$K$9:$K$108,MATCH(C344,'Facilities'!$C$9:$C$108,0)))^MAX(0,AC344+INDEX('Facilities'!$AK$9:$AK$108,MATCH(C344,'Facilities'!$C$9:$C$108,0))-D344)),0),"Unavailable"))</x:f>
        <x:v>0</x:v>
      </x:c>
      <x:c r="AM344" s="30" t="n">
        <x:f>IF(C344="","",IFERROR(INDEX('Facilities'!$AL$9:$AL$108,MATCH(C344,'Facilities'!$C$9:$C$108,0)),"Unavailable"))</x:f>
        <x:v>0.55</x:v>
      </x:c>
      <x:c r="AN344" s="30" t="n">
        <x:f>IF(C344="","",IFERROR(INDEX(Credit!$T$309:$T$408,MATCH(F344,Credit!$C$309:$C$408,0)),"Unavailable"))</x:f>
        <x:v>0.008736</x:v>
      </x:c>
      <x:c r="AO344" s="23" t="n">
        <x:f>IF(C344="","",IF(AQ344&lt;&gt;"Ready","Unavailable",IF(C344="","",O344+P344+Q344*INDEX('Facilities'!$I$9:$I$108,MATCH(C344,'Facilities'!$C$9:$C$108,0)))))</x:f>
        <x:v>8.751360948</x:v>
      </x:c>
      <x:c r="AP344" s="21" t="n">
        <x:f>IF(C344="","",IF(AQ344&lt;&gt;"Ready","Unavailable",IF(C344="","",AH344-U344)))</x:f>
        <x:v>7.3937486238294685</x:v>
      </x:c>
      <x:c r="AQ344" s="23" t="str">
        <x:f>IFERROR(IF(C344="","",IF(AND(INDEX('Facilities'!$AF$9:$AF$108,MATCH(C344,'Facilities'!$C$9:$C$108,0))="Ready",INDEX(Credit!$U$309:$U$408,MATCH(F344,Credit!$C$309:$C$408,0))="Ready",ISNUMBER(W344)),"Ready","Review inputs")),"Review inputs")</x:f>
        <x:v>Ready</x:v>
      </x:c>
      <x:c r="AR344" s="23" t="n">
        <x:f>IF(C344="","",IF(AQ344&lt;&gt;"Ready","Unavailable",IF(C344="","",IF(O344=0,0,(IF(AJ344&lt;=1,O344,O344*INDEX('Facilities'!$R$9:$R$108,MATCH(C344,'Facilities'!$C$9:$C$108,0)))+O344*INDEX('Facilities'!$T$9:$T$108,MATCH(C344,'Facilities'!$C$9:$C$108,0)))/12))))</x:f>
        <x:v>0.14781077011</x:v>
      </x:c>
    </x:row>
    <x:row r="345" ht="26" customHeight="1">
      <x:c r="A345" s="1"/>
      <x:c r="B345" s="1"/>
      <x:c r="C345" s="9" t="str">
        <x:f>IF(Facilities!C45="","",Facilities!C45)</x:f>
      </x:c>
      <x:c r="D345" s="3" t="n">
        <x:v>4</x:v>
      </x:c>
      <x:c r="E345" s="9" t="n">
        <x:f>Settings!$F$18+3</x:f>
        <x:v>2030</x:v>
      </x:c>
      <x:c r="F345" s="9" t="str">
        <x:f>IF(C345="","",IFERROR(INDEX('Facilities'!$D$9:$D$108,MATCH(C345,'Facilities'!$C$9:$C$108,0)),"Unavailable"))</x:f>
      </x:c>
      <x:c r="G345" s="21" t="str">
        <x:f>IF(C345="","",IFERROR(O245,"Unavailable"))</x:f>
      </x:c>
      <x:c r="H345" s="21" t="str">
        <x:f>IF(C345="","",IFERROR(P245,"Unavailable"))</x:f>
      </x:c>
      <x:c r="I345" s="21" t="str">
        <x:f>IF(C345="","",IFERROR(Q245,"Unavailable"))</x:f>
      </x:c>
      <x:c r="J345" s="23" t="str">
        <x:f>IF(C345="","",IFERROR(IF(OR(H345&gt;0,AND(AC345&gt;=0,AC345&lt;D345),D345&gt;INDEX('Facilities'!$J$9:$J$108,MATCH(C345,'Facilities'!$C$9:$C$108,0))),0,I345*'Scenario Paths'!I81),"Unavailable"))</x:f>
      </x:c>
      <x:c r="K345" s="23" t="str">
        <x:f>IF(C345="","",IFERROR(IF(OR(H345&gt;0,AND(AC345&gt;=0,AC345=D345)),0,IF(D345&gt;=INDEX('Facilities'!$J$9:$J$108,MATCH(C345,'Facilities'!$C$9:$C$108,0)),G345+J345,MIN(G345+J345,G345*INDEX('Facilities'!$R$9:$R$108,MATCH(C345,'Facilities'!$C$9:$C$108,0))))),"Unavailable"))</x:f>
      </x:c>
      <x:c r="L345" s="21" t="str">
        <x:f>IF(C345="","",IFERROR(IF(AND(AC345=D345,AC345&gt;0),MAX(0,G345+J345-K345),0),"Unavailable"))</x:f>
      </x:c>
      <x:c r="M345" s="23" t="str">
        <x:f>IF(C345="","",IFERROR(IF(AND(AC345&gt;=0,D345&gt;=AC345+INDEX('Facilities'!$AK$9:$AK$108,MATCH(C345,'Facilities'!$C$9:$C$108,0))),(H345+L345)*AM345,0),"Unavailable"))</x:f>
      </x:c>
      <x:c r="N345" s="23" t="str">
        <x:f>IF(C345="","",IFERROR(IF(AND(AC345&gt;=0,D345&gt;=AC345+INDEX('Facilities'!$AK$9:$AK$108,MATCH(C345,'Facilities'!$C$9:$C$108,0))),H345+L345-M345,0),"Unavailable"))</x:f>
      </x:c>
      <x:c r="O345" s="21" t="str">
        <x:f>IF(C345="","",IFERROR(MAX(0,G345+J345-K345-L345),"Unavailable"))</x:f>
      </x:c>
      <x:c r="P345" s="21" t="str">
        <x:f>IF(C345="","",IFERROR(MAX(0,H345+L345-M345-N345),"Unavailable"))</x:f>
      </x:c>
      <x:c r="Q345" s="23" t="str">
        <x:f>IF(C345="","",IFERROR(IF(OR(D345&gt;=INDEX('Facilities'!$J$9:$J$108,MATCH(C345,'Facilities'!$C$9:$C$108,0)),AND(AC345&gt;=0,AC345&lt;=D345)),0,MAX(0,I345-J345)),"Unavailable"))</x:f>
      </x:c>
      <x:c r="R345" s="30" t="str">
        <x:f>IF(C345="","",IFERROR(INDEX(Credit!$Q$309:$Q$408,MATCH(F345,Credit!$C$309:$C$408,0)),"Unavailable"))</x:f>
      </x:c>
      <x:c r="S345" s="30" t="str">
        <x:f>IF(C345="","",IFERROR(INDEX(Credit!$R$309:$R$408,MATCH(F345,Credit!$C$309:$C$408,0)),"Unavailable"))</x:f>
      </x:c>
      <x:c r="T345" s="23" t="str">
        <x:f>IF(C345="","",IFERROR(IF(P345&gt;0,3,IF(OR(INDEX('Facilities'!$AD$9:$AD$108,MATCH(C345,'Facilities'!$C$9:$C$108,0))=2,AND(R345&gt;=INDEX('Facilities'!$L$9:$L$108,MATCH(C345,'Facilities'!$C$9:$C$108,0))*Settings!$F$19,R345-INDEX('Facilities'!$L$9:$L$108,MATCH(C345,'Facilities'!$C$9:$C$108,0))&gt;=Settings!$F$20)),2,1)),"Unavailable"))</x:f>
      </x:c>
      <x:c r="U345" s="23" t="str">
        <x:f>IF(C345="","",IF(AQ345&lt;&gt;"Ready","Unavailable",IF(C345="","",O345*(1-(1-S345)/(1+INDEX('Facilities'!$K$9:$K$108,MATCH(C345,'Facilities'!$C$9:$C$108,0)))^INDEX('Facilities'!$AK$9:$AK$108,MATCH(C345,'Facilities'!$C$9:$C$108,0)))*R345/(1+INDEX('Facilities'!$K$9:$K$108,MATCH(C345,'Facilities'!$C$9:$C$108,0)))*IF(ABS(1-(1-R345)*(1-INDEX('Facilities'!$R$9:$R$108,MATCH(C345,'Facilities'!$C$9:$C$108,0)))/(1+INDEX('Facilities'!$K$9:$K$108,MATCH(C345,'Facilities'!$C$9:$C$108,0))))&lt;0.000000001,IF(T345=1,MIN(1,AJ345),AJ345),(1-((1-R345)*(1-INDEX('Facilities'!$R$9:$R$108,MATCH(C345,'Facilities'!$C$9:$C$108,0)))/(1+INDEX('Facilities'!$K$9:$K$108,MATCH(C345,'Facilities'!$C$9:$C$108,0))))^IF(T345=1,MIN(1,AJ345),AJ345))/(1-(1-R345)*(1-INDEX('Facilities'!$R$9:$R$108,MATCH(C345,'Facilities'!$C$9:$C$108,0)))/(1+INDEX('Facilities'!$K$9:$K$108,MATCH(C345,'Facilities'!$C$9:$C$108,0)))))+AL345)))</x:f>
      </x:c>
      <x:c r="V345" s="23" t="str">
        <x:f>IF(C345="","",IF(AQ345&lt;&gt;"Ready","Unavailable",IF(C345="","",Q345*INDEX('Facilities'!$I$9:$I$108,MATCH(C345,'Facilities'!$C$9:$C$108,0))*(1-(1-S345)/(1+INDEX('Facilities'!$K$9:$K$108,MATCH(C345,'Facilities'!$C$9:$C$108,0)))^INDEX('Facilities'!$AK$9:$AK$108,MATCH(C345,'Facilities'!$C$9:$C$108,0)))*R345/(1+INDEX('Facilities'!$K$9:$K$108,MATCH(C345,'Facilities'!$C$9:$C$108,0)))*IF(ABS(1-(1-R345)*(1-0)/(1+INDEX('Facilities'!$K$9:$K$108,MATCH(C345,'Facilities'!$C$9:$C$108,0))))&lt;0.000000001,IF(T345=1,MIN(1,AJ345),AJ345),(1-((1-R345)*(1-0)/(1+INDEX('Facilities'!$K$9:$K$108,MATCH(C345,'Facilities'!$C$9:$C$108,0))))^IF(T345=1,MIN(1,AJ345),AJ345))/(1-(1-R345)*(1-0)/(1+INDEX('Facilities'!$K$9:$K$108,MATCH(C345,'Facilities'!$C$9:$C$108,0))))))))</x:f>
      </x:c>
      <x:c r="W345" s="21" t="str">
        <x:f>IF(C345="","",IFERROR(U245,"Unavailable"))</x:f>
      </x:c>
      <x:c r="X345" s="21" t="str">
        <x:f>IF(C345="","",IFERROR(V245,"Unavailable"))</x:f>
      </x:c>
      <x:c r="Y345" s="21" t="str">
        <x:f>IF(C345="","",IF(AQ345&lt;&gt;"Ready","Unavailable",IF(C345="","",U345-W345+V345-X345+N345+AG345)))</x:f>
      </x:c>
      <x:c r="Z345" s="23" t="str">
        <x:f>IF(C345="","",IF(AQ345&lt;&gt;"Ready","Unavailable",IF(C345="","",(G345+O345+L345)/2*INDEX('Facilities'!$T$9:$T$108,MATCH(C345,'Facilities'!$C$9:$C$108,0))+AG345)))</x:f>
      </x:c>
      <x:c r="AA345" s="23" t="str">
        <x:f>IF(C345="","",IF(AQ345&lt;&gt;"Ready","Unavailable",IF(C345="","",O345*(1-IF(INDEX('Facilities'!$AA$9:$AA$108,MATCH(C345,'Facilities'!$C$9:$C$108,0))=0,0,MIN(1,INDEX('Facilities'!$X$9:$X$108,MATCH(C345,'Facilities'!$C$9:$C$108,0))/INDEX('Facilities'!$AA$9:$AA$108,MATCH(C345,'Facilities'!$C$9:$C$108,0)))))*AF345+P345*(1-IF(INDEX('Facilities'!$AA$9:$AA$108,MATCH(C345,'Facilities'!$C$9:$C$108,0))=0,0,MIN(1,INDEX('Facilities'!$X$9:$X$108,MATCH(C345,'Facilities'!$C$9:$C$108,0))/INDEX('Facilities'!$AA$9:$AA$108,MATCH(C345,'Facilities'!$C$9:$C$108,0)))))*INDEX('Facilities'!$AJ$9:$AJ$108,MATCH(C345,'Facilities'!$C$9:$C$108,0))+Q345*INDEX('Facilities'!$AI$9:$AI$108,MATCH(C345,'Facilities'!$C$9:$C$108,0))*AF345)))</x:f>
      </x:c>
      <x:c r="AB345" s="21" t="str">
        <x:f>IF(C345="","",O345+P345-AD345)</x:f>
      </x:c>
      <x:c r="AC345" s="23" t="str">
        <x:f>IF(C345="","",IFERROR(IF(INDEX('Facilities'!$AD$9:$AD$108,MATCH(C345,'Facilities'!$C$9:$C$108,0))=3,0,IF(INDEX('Facilities'!$AN$9:$AN$108,MATCH(C345,'Facilities'!$C$9:$C$108,0))=0,-1,INDEX('Facilities'!$AN$9:$AN$108,MATCH(C345,'Facilities'!$C$9:$C$108,0)))),"Unavailable"))</x:f>
      </x:c>
      <x:c r="AD345" s="21" t="str">
        <x:f>IF(C345="","",IFERROR(G345+H345,"Unavailable"))</x:f>
      </x:c>
      <x:c r="AE345" s="21" t="str">
        <x:f>IF(C345="","",IF(AQ345&lt;&gt;"Ready","Unavailable",IF(C345="","",O345+P345-AD345-J345+K345+M345+N345)))</x:f>
      </x:c>
      <x:c r="AF345" s="30" t="str">
        <x:f>IF(C345="","",IFERROR(INDEX('Facilities'!$S$9:$S$108,MATCH(C345,'Facilities'!$C$9:$C$108,0))*'Scenario Paths'!I75,"Unavailable"))</x:f>
      </x:c>
      <x:c r="AG345" s="23" t="str">
        <x:f>IF(C345="","",IF(AQ345&lt;&gt;"Ready","Unavailable",IF(C345="","",IF(H345&gt;0,MAX(0,H345-AK345)*((1+INDEX('Facilities'!$K$9:$K$108,MATCH(C345,'Facilities'!$C$9:$C$108,0)))^MIN(1,MAX(0,AC345+INDEX('Facilities'!$AK$9:$AK$108,MATCH(C345,'Facilities'!$C$9:$C$108,0))-D345+1))-1),0))))</x:f>
      </x:c>
      <x:c r="AH345" s="21" t="str">
        <x:f>IF(C345="","",IF(AQ345&lt;&gt;"Ready","Unavailable",IF(C345="","",O345+P345)))</x:f>
      </x:c>
      <x:c r="AI345" s="21" t="str">
        <x:f>IF(C345="","",IF(AQ345&lt;&gt;"Ready","Unavailable",IF(C345="","",Z345-Y345)))</x:f>
      </x:c>
      <x:c r="AJ345" s="23" t="str">
        <x:f>IF(C345="","",IFERROR(MAX(0,INDEX('Facilities'!$J$9:$J$108,MATCH(C345,'Facilities'!$C$9:$C$108,0))-D345),"Unavailable"))</x:f>
      </x:c>
      <x:c r="AK345" s="21" t="str">
        <x:f>IF(C345="","",IFERROR(AL245,"Unavailable"))</x:f>
      </x:c>
      <x:c r="AL345" s="23" t="str">
        <x:f>IF(C345="","",IFERROR(IF(P345&gt;0,P345*(1-AM345/(1+INDEX('Facilities'!$K$9:$K$108,MATCH(C345,'Facilities'!$C$9:$C$108,0)))^MAX(0,AC345+INDEX('Facilities'!$AK$9:$AK$108,MATCH(C345,'Facilities'!$C$9:$C$108,0))-D345)),0),"Unavailable"))</x:f>
      </x:c>
      <x:c r="AM345" s="30" t="str">
        <x:f>IF(C345="","",IFERROR(INDEX('Facilities'!$AL$9:$AL$108,MATCH(C345,'Facilities'!$C$9:$C$108,0)),"Unavailable"))</x:f>
      </x:c>
      <x:c r="AN345" s="30" t="str">
        <x:f>IF(C345="","",IFERROR(INDEX(Credit!$T$309:$T$408,MATCH(F345,Credit!$C$309:$C$408,0)),"Unavailable"))</x:f>
      </x:c>
      <x:c r="AO345" s="23" t="str">
        <x:f>IF(C345="","",IF(AQ345&lt;&gt;"Ready","Unavailable",IF(C345="","",O345+P345+Q345*INDEX('Facilities'!$I$9:$I$108,MATCH(C345,'Facilities'!$C$9:$C$108,0)))))</x:f>
      </x:c>
      <x:c r="AP345" s="21" t="str">
        <x:f>IF(C345="","",IF(AQ345&lt;&gt;"Ready","Unavailable",IF(C345="","",AH345-U345)))</x:f>
      </x:c>
      <x:c r="AQ345" s="23" t="str">
        <x:f>IFERROR(IF(C345="","",IF(AND(INDEX('Facilities'!$AF$9:$AF$108,MATCH(C345,'Facilities'!$C$9:$C$108,0))="Ready",INDEX(Credit!$U$309:$U$408,MATCH(F345,Credit!$C$309:$C$408,0))="Ready",ISNUMBER(W345)),"Ready","Review inputs")),"Review inputs")</x:f>
      </x:c>
      <x:c r="AR345" s="23" t="str">
        <x:f>IF(C345="","",IF(AQ345&lt;&gt;"Ready","Unavailable",IF(C345="","",IF(O345=0,0,(IF(AJ345&lt;=1,O345,O345*INDEX('Facilities'!$R$9:$R$108,MATCH(C345,'Facilities'!$C$9:$C$108,0)))+O345*INDEX('Facilities'!$T$9:$T$108,MATCH(C345,'Facilities'!$C$9:$C$108,0)))/12))))</x:f>
      </x:c>
    </x:row>
    <x:row r="346" ht="26" customHeight="1">
      <x:c r="A346" s="1"/>
      <x:c r="B346" s="1"/>
      <x:c r="C346" s="9" t="str">
        <x:f>IF(Facilities!C46="","",Facilities!C46)</x:f>
      </x:c>
      <x:c r="D346" s="3" t="n">
        <x:v>4</x:v>
      </x:c>
      <x:c r="E346" s="9" t="n">
        <x:f>Settings!$F$18+3</x:f>
        <x:v>2030</x:v>
      </x:c>
      <x:c r="F346" s="9" t="str">
        <x:f>IF(C346="","",IFERROR(INDEX('Facilities'!$D$9:$D$108,MATCH(C346,'Facilities'!$C$9:$C$108,0)),"Unavailable"))</x:f>
      </x:c>
      <x:c r="G346" s="21" t="str">
        <x:f>IF(C346="","",IFERROR(O246,"Unavailable"))</x:f>
      </x:c>
      <x:c r="H346" s="21" t="str">
        <x:f>IF(C346="","",IFERROR(P246,"Unavailable"))</x:f>
      </x:c>
      <x:c r="I346" s="21" t="str">
        <x:f>IF(C346="","",IFERROR(Q246,"Unavailable"))</x:f>
      </x:c>
      <x:c r="J346" s="23" t="str">
        <x:f>IF(C346="","",IFERROR(IF(OR(H346&gt;0,AND(AC346&gt;=0,AC346&lt;D346),D346&gt;INDEX('Facilities'!$J$9:$J$108,MATCH(C346,'Facilities'!$C$9:$C$108,0))),0,I346*'Scenario Paths'!I81),"Unavailable"))</x:f>
      </x:c>
      <x:c r="K346" s="23" t="str">
        <x:f>IF(C346="","",IFERROR(IF(OR(H346&gt;0,AND(AC346&gt;=0,AC346=D346)),0,IF(D346&gt;=INDEX('Facilities'!$J$9:$J$108,MATCH(C346,'Facilities'!$C$9:$C$108,0)),G346+J346,MIN(G346+J346,G346*INDEX('Facilities'!$R$9:$R$108,MATCH(C346,'Facilities'!$C$9:$C$108,0))))),"Unavailable"))</x:f>
      </x:c>
      <x:c r="L346" s="21" t="str">
        <x:f>IF(C346="","",IFERROR(IF(AND(AC346=D346,AC346&gt;0),MAX(0,G346+J346-K346),0),"Unavailable"))</x:f>
      </x:c>
      <x:c r="M346" s="23" t="str">
        <x:f>IF(C346="","",IFERROR(IF(AND(AC346&gt;=0,D346&gt;=AC346+INDEX('Facilities'!$AK$9:$AK$108,MATCH(C346,'Facilities'!$C$9:$C$108,0))),(H346+L346)*AM346,0),"Unavailable"))</x:f>
      </x:c>
      <x:c r="N346" s="23" t="str">
        <x:f>IF(C346="","",IFERROR(IF(AND(AC346&gt;=0,D346&gt;=AC346+INDEX('Facilities'!$AK$9:$AK$108,MATCH(C346,'Facilities'!$C$9:$C$108,0))),H346+L346-M346,0),"Unavailable"))</x:f>
      </x:c>
      <x:c r="O346" s="21" t="str">
        <x:f>IF(C346="","",IFERROR(MAX(0,G346+J346-K346-L346),"Unavailable"))</x:f>
      </x:c>
      <x:c r="P346" s="21" t="str">
        <x:f>IF(C346="","",IFERROR(MAX(0,H346+L346-M346-N346),"Unavailable"))</x:f>
      </x:c>
      <x:c r="Q346" s="23" t="str">
        <x:f>IF(C346="","",IFERROR(IF(OR(D346&gt;=INDEX('Facilities'!$J$9:$J$108,MATCH(C346,'Facilities'!$C$9:$C$108,0)),AND(AC346&gt;=0,AC346&lt;=D346)),0,MAX(0,I346-J346)),"Unavailable"))</x:f>
      </x:c>
      <x:c r="R346" s="30" t="str">
        <x:f>IF(C346="","",IFERROR(INDEX(Credit!$Q$309:$Q$408,MATCH(F346,Credit!$C$309:$C$408,0)),"Unavailable"))</x:f>
      </x:c>
      <x:c r="S346" s="30" t="str">
        <x:f>IF(C346="","",IFERROR(INDEX(Credit!$R$309:$R$408,MATCH(F346,Credit!$C$309:$C$408,0)),"Unavailable"))</x:f>
      </x:c>
      <x:c r="T346" s="23" t="str">
        <x:f>IF(C346="","",IFERROR(IF(P346&gt;0,3,IF(OR(INDEX('Facilities'!$AD$9:$AD$108,MATCH(C346,'Facilities'!$C$9:$C$108,0))=2,AND(R346&gt;=INDEX('Facilities'!$L$9:$L$108,MATCH(C346,'Facilities'!$C$9:$C$108,0))*Settings!$F$19,R346-INDEX('Facilities'!$L$9:$L$108,MATCH(C346,'Facilities'!$C$9:$C$108,0))&gt;=Settings!$F$20)),2,1)),"Unavailable"))</x:f>
      </x:c>
      <x:c r="U346" s="23" t="str">
        <x:f>IF(C346="","",IF(AQ346&lt;&gt;"Ready","Unavailable",IF(C346="","",O346*(1-(1-S346)/(1+INDEX('Facilities'!$K$9:$K$108,MATCH(C346,'Facilities'!$C$9:$C$108,0)))^INDEX('Facilities'!$AK$9:$AK$108,MATCH(C346,'Facilities'!$C$9:$C$108,0)))*R346/(1+INDEX('Facilities'!$K$9:$K$108,MATCH(C346,'Facilities'!$C$9:$C$108,0)))*IF(ABS(1-(1-R346)*(1-INDEX('Facilities'!$R$9:$R$108,MATCH(C346,'Facilities'!$C$9:$C$108,0)))/(1+INDEX('Facilities'!$K$9:$K$108,MATCH(C346,'Facilities'!$C$9:$C$108,0))))&lt;0.000000001,IF(T346=1,MIN(1,AJ346),AJ346),(1-((1-R346)*(1-INDEX('Facilities'!$R$9:$R$108,MATCH(C346,'Facilities'!$C$9:$C$108,0)))/(1+INDEX('Facilities'!$K$9:$K$108,MATCH(C346,'Facilities'!$C$9:$C$108,0))))^IF(T346=1,MIN(1,AJ346),AJ346))/(1-(1-R346)*(1-INDEX('Facilities'!$R$9:$R$108,MATCH(C346,'Facilities'!$C$9:$C$108,0)))/(1+INDEX('Facilities'!$K$9:$K$108,MATCH(C346,'Facilities'!$C$9:$C$108,0)))))+AL346)))</x:f>
      </x:c>
      <x:c r="V346" s="23" t="str">
        <x:f>IF(C346="","",IF(AQ346&lt;&gt;"Ready","Unavailable",IF(C346="","",Q346*INDEX('Facilities'!$I$9:$I$108,MATCH(C346,'Facilities'!$C$9:$C$108,0))*(1-(1-S346)/(1+INDEX('Facilities'!$K$9:$K$108,MATCH(C346,'Facilities'!$C$9:$C$108,0)))^INDEX('Facilities'!$AK$9:$AK$108,MATCH(C346,'Facilities'!$C$9:$C$108,0)))*R346/(1+INDEX('Facilities'!$K$9:$K$108,MATCH(C346,'Facilities'!$C$9:$C$108,0)))*IF(ABS(1-(1-R346)*(1-0)/(1+INDEX('Facilities'!$K$9:$K$108,MATCH(C346,'Facilities'!$C$9:$C$108,0))))&lt;0.000000001,IF(T346=1,MIN(1,AJ346),AJ346),(1-((1-R346)*(1-0)/(1+INDEX('Facilities'!$K$9:$K$108,MATCH(C346,'Facilities'!$C$9:$C$108,0))))^IF(T346=1,MIN(1,AJ346),AJ346))/(1-(1-R346)*(1-0)/(1+INDEX('Facilities'!$K$9:$K$108,MATCH(C346,'Facilities'!$C$9:$C$108,0))))))))</x:f>
      </x:c>
      <x:c r="W346" s="21" t="str">
        <x:f>IF(C346="","",IFERROR(U246,"Unavailable"))</x:f>
      </x:c>
      <x:c r="X346" s="21" t="str">
        <x:f>IF(C346="","",IFERROR(V246,"Unavailable"))</x:f>
      </x:c>
      <x:c r="Y346" s="21" t="str">
        <x:f>IF(C346="","",IF(AQ346&lt;&gt;"Ready","Unavailable",IF(C346="","",U346-W346+V346-X346+N346+AG346)))</x:f>
      </x:c>
      <x:c r="Z346" s="23" t="str">
        <x:f>IF(C346="","",IF(AQ346&lt;&gt;"Ready","Unavailable",IF(C346="","",(G346+O346+L346)/2*INDEX('Facilities'!$T$9:$T$108,MATCH(C346,'Facilities'!$C$9:$C$108,0))+AG346)))</x:f>
      </x:c>
      <x:c r="AA346" s="23" t="str">
        <x:f>IF(C346="","",IF(AQ346&lt;&gt;"Ready","Unavailable",IF(C346="","",O346*(1-IF(INDEX('Facilities'!$AA$9:$AA$108,MATCH(C346,'Facilities'!$C$9:$C$108,0))=0,0,MIN(1,INDEX('Facilities'!$X$9:$X$108,MATCH(C346,'Facilities'!$C$9:$C$108,0))/INDEX('Facilities'!$AA$9:$AA$108,MATCH(C346,'Facilities'!$C$9:$C$108,0)))))*AF346+P346*(1-IF(INDEX('Facilities'!$AA$9:$AA$108,MATCH(C346,'Facilities'!$C$9:$C$108,0))=0,0,MIN(1,INDEX('Facilities'!$X$9:$X$108,MATCH(C346,'Facilities'!$C$9:$C$108,0))/INDEX('Facilities'!$AA$9:$AA$108,MATCH(C346,'Facilities'!$C$9:$C$108,0)))))*INDEX('Facilities'!$AJ$9:$AJ$108,MATCH(C346,'Facilities'!$C$9:$C$108,0))+Q346*INDEX('Facilities'!$AI$9:$AI$108,MATCH(C346,'Facilities'!$C$9:$C$108,0))*AF346)))</x:f>
      </x:c>
      <x:c r="AB346" s="21" t="str">
        <x:f>IF(C346="","",O346+P346-AD346)</x:f>
      </x:c>
      <x:c r="AC346" s="23" t="str">
        <x:f>IF(C346="","",IFERROR(IF(INDEX('Facilities'!$AD$9:$AD$108,MATCH(C346,'Facilities'!$C$9:$C$108,0))=3,0,IF(INDEX('Facilities'!$AN$9:$AN$108,MATCH(C346,'Facilities'!$C$9:$C$108,0))=0,-1,INDEX('Facilities'!$AN$9:$AN$108,MATCH(C346,'Facilities'!$C$9:$C$108,0)))),"Unavailable"))</x:f>
      </x:c>
      <x:c r="AD346" s="21" t="str">
        <x:f>IF(C346="","",IFERROR(G346+H346,"Unavailable"))</x:f>
      </x:c>
      <x:c r="AE346" s="21" t="str">
        <x:f>IF(C346="","",IF(AQ346&lt;&gt;"Ready","Unavailable",IF(C346="","",O346+P346-AD346-J346+K346+M346+N346)))</x:f>
      </x:c>
      <x:c r="AF346" s="30" t="str">
        <x:f>IF(C346="","",IFERROR(INDEX('Facilities'!$S$9:$S$108,MATCH(C346,'Facilities'!$C$9:$C$108,0))*'Scenario Paths'!I75,"Unavailable"))</x:f>
      </x:c>
      <x:c r="AG346" s="23" t="str">
        <x:f>IF(C346="","",IF(AQ346&lt;&gt;"Ready","Unavailable",IF(C346="","",IF(H346&gt;0,MAX(0,H346-AK346)*((1+INDEX('Facilities'!$K$9:$K$108,MATCH(C346,'Facilities'!$C$9:$C$108,0)))^MIN(1,MAX(0,AC346+INDEX('Facilities'!$AK$9:$AK$108,MATCH(C346,'Facilities'!$C$9:$C$108,0))-D346+1))-1),0))))</x:f>
      </x:c>
      <x:c r="AH346" s="21" t="str">
        <x:f>IF(C346="","",IF(AQ346&lt;&gt;"Ready","Unavailable",IF(C346="","",O346+P346)))</x:f>
      </x:c>
      <x:c r="AI346" s="21" t="str">
        <x:f>IF(C346="","",IF(AQ346&lt;&gt;"Ready","Unavailable",IF(C346="","",Z346-Y346)))</x:f>
      </x:c>
      <x:c r="AJ346" s="23" t="str">
        <x:f>IF(C346="","",IFERROR(MAX(0,INDEX('Facilities'!$J$9:$J$108,MATCH(C346,'Facilities'!$C$9:$C$108,0))-D346),"Unavailable"))</x:f>
      </x:c>
      <x:c r="AK346" s="21" t="str">
        <x:f>IF(C346="","",IFERROR(AL246,"Unavailable"))</x:f>
      </x:c>
      <x:c r="AL346" s="23" t="str">
        <x:f>IF(C346="","",IFERROR(IF(P346&gt;0,P346*(1-AM346/(1+INDEX('Facilities'!$K$9:$K$108,MATCH(C346,'Facilities'!$C$9:$C$108,0)))^MAX(0,AC346+INDEX('Facilities'!$AK$9:$AK$108,MATCH(C346,'Facilities'!$C$9:$C$108,0))-D346)),0),"Unavailable"))</x:f>
      </x:c>
      <x:c r="AM346" s="30" t="str">
        <x:f>IF(C346="","",IFERROR(INDEX('Facilities'!$AL$9:$AL$108,MATCH(C346,'Facilities'!$C$9:$C$108,0)),"Unavailable"))</x:f>
      </x:c>
      <x:c r="AN346" s="30" t="str">
        <x:f>IF(C346="","",IFERROR(INDEX(Credit!$T$309:$T$408,MATCH(F346,Credit!$C$309:$C$408,0)),"Unavailable"))</x:f>
      </x:c>
      <x:c r="AO346" s="23" t="str">
        <x:f>IF(C346="","",IF(AQ346&lt;&gt;"Ready","Unavailable",IF(C346="","",O346+P346+Q346*INDEX('Facilities'!$I$9:$I$108,MATCH(C346,'Facilities'!$C$9:$C$108,0)))))</x:f>
      </x:c>
      <x:c r="AP346" s="21" t="str">
        <x:f>IF(C346="","",IF(AQ346&lt;&gt;"Ready","Unavailable",IF(C346="","",AH346-U346)))</x:f>
      </x:c>
      <x:c r="AQ346" s="23" t="str">
        <x:f>IFERROR(IF(C346="","",IF(AND(INDEX('Facilities'!$AF$9:$AF$108,MATCH(C346,'Facilities'!$C$9:$C$108,0))="Ready",INDEX(Credit!$U$309:$U$408,MATCH(F346,Credit!$C$309:$C$408,0))="Ready",ISNUMBER(W346)),"Ready","Review inputs")),"Review inputs")</x:f>
      </x:c>
      <x:c r="AR346" s="23" t="str">
        <x:f>IF(C346="","",IF(AQ346&lt;&gt;"Ready","Unavailable",IF(C346="","",IF(O346=0,0,(IF(AJ346&lt;=1,O346,O346*INDEX('Facilities'!$R$9:$R$108,MATCH(C346,'Facilities'!$C$9:$C$108,0)))+O346*INDEX('Facilities'!$T$9:$T$108,MATCH(C346,'Facilities'!$C$9:$C$108,0)))/12))))</x:f>
      </x:c>
    </x:row>
    <x:row r="347" ht="26" customHeight="1">
      <x:c r="A347" s="1"/>
      <x:c r="B347" s="1"/>
      <x:c r="C347" s="9" t="str">
        <x:f>IF(Facilities!C47="","",Facilities!C47)</x:f>
      </x:c>
      <x:c r="D347" s="3" t="n">
        <x:v>4</x:v>
      </x:c>
      <x:c r="E347" s="9" t="n">
        <x:f>Settings!$F$18+3</x:f>
        <x:v>2030</x:v>
      </x:c>
      <x:c r="F347" s="9" t="str">
        <x:f>IF(C347="","",IFERROR(INDEX('Facilities'!$D$9:$D$108,MATCH(C347,'Facilities'!$C$9:$C$108,0)),"Unavailable"))</x:f>
      </x:c>
      <x:c r="G347" s="21" t="str">
        <x:f>IF(C347="","",IFERROR(O247,"Unavailable"))</x:f>
      </x:c>
      <x:c r="H347" s="21" t="str">
        <x:f>IF(C347="","",IFERROR(P247,"Unavailable"))</x:f>
      </x:c>
      <x:c r="I347" s="21" t="str">
        <x:f>IF(C347="","",IFERROR(Q247,"Unavailable"))</x:f>
      </x:c>
      <x:c r="J347" s="23" t="str">
        <x:f>IF(C347="","",IFERROR(IF(OR(H347&gt;0,AND(AC347&gt;=0,AC347&lt;D347),D347&gt;INDEX('Facilities'!$J$9:$J$108,MATCH(C347,'Facilities'!$C$9:$C$108,0))),0,I347*'Scenario Paths'!I81),"Unavailable"))</x:f>
      </x:c>
      <x:c r="K347" s="23" t="str">
        <x:f>IF(C347="","",IFERROR(IF(OR(H347&gt;0,AND(AC347&gt;=0,AC347=D347)),0,IF(D347&gt;=INDEX('Facilities'!$J$9:$J$108,MATCH(C347,'Facilities'!$C$9:$C$108,0)),G347+J347,MIN(G347+J347,G347*INDEX('Facilities'!$R$9:$R$108,MATCH(C347,'Facilities'!$C$9:$C$108,0))))),"Unavailable"))</x:f>
      </x:c>
      <x:c r="L347" s="21" t="str">
        <x:f>IF(C347="","",IFERROR(IF(AND(AC347=D347,AC347&gt;0),MAX(0,G347+J347-K347),0),"Unavailable"))</x:f>
      </x:c>
      <x:c r="M347" s="23" t="str">
        <x:f>IF(C347="","",IFERROR(IF(AND(AC347&gt;=0,D347&gt;=AC347+INDEX('Facilities'!$AK$9:$AK$108,MATCH(C347,'Facilities'!$C$9:$C$108,0))),(H347+L347)*AM347,0),"Unavailable"))</x:f>
      </x:c>
      <x:c r="N347" s="23" t="str">
        <x:f>IF(C347="","",IFERROR(IF(AND(AC347&gt;=0,D347&gt;=AC347+INDEX('Facilities'!$AK$9:$AK$108,MATCH(C347,'Facilities'!$C$9:$C$108,0))),H347+L347-M347,0),"Unavailable"))</x:f>
      </x:c>
      <x:c r="O347" s="21" t="str">
        <x:f>IF(C347="","",IFERROR(MAX(0,G347+J347-K347-L347),"Unavailable"))</x:f>
      </x:c>
      <x:c r="P347" s="21" t="str">
        <x:f>IF(C347="","",IFERROR(MAX(0,H347+L347-M347-N347),"Unavailable"))</x:f>
      </x:c>
      <x:c r="Q347" s="23" t="str">
        <x:f>IF(C347="","",IFERROR(IF(OR(D347&gt;=INDEX('Facilities'!$J$9:$J$108,MATCH(C347,'Facilities'!$C$9:$C$108,0)),AND(AC347&gt;=0,AC347&lt;=D347)),0,MAX(0,I347-J347)),"Unavailable"))</x:f>
      </x:c>
      <x:c r="R347" s="30" t="str">
        <x:f>IF(C347="","",IFERROR(INDEX(Credit!$Q$309:$Q$408,MATCH(F347,Credit!$C$309:$C$408,0)),"Unavailable"))</x:f>
      </x:c>
      <x:c r="S347" s="30" t="str">
        <x:f>IF(C347="","",IFERROR(INDEX(Credit!$R$309:$R$408,MATCH(F347,Credit!$C$309:$C$408,0)),"Unavailable"))</x:f>
      </x:c>
      <x:c r="T347" s="23" t="str">
        <x:f>IF(C347="","",IFERROR(IF(P347&gt;0,3,IF(OR(INDEX('Facilities'!$AD$9:$AD$108,MATCH(C347,'Facilities'!$C$9:$C$108,0))=2,AND(R347&gt;=INDEX('Facilities'!$L$9:$L$108,MATCH(C347,'Facilities'!$C$9:$C$108,0))*Settings!$F$19,R347-INDEX('Facilities'!$L$9:$L$108,MATCH(C347,'Facilities'!$C$9:$C$108,0))&gt;=Settings!$F$20)),2,1)),"Unavailable"))</x:f>
      </x:c>
      <x:c r="U347" s="23" t="str">
        <x:f>IF(C347="","",IF(AQ347&lt;&gt;"Ready","Unavailable",IF(C347="","",O347*(1-(1-S347)/(1+INDEX('Facilities'!$K$9:$K$108,MATCH(C347,'Facilities'!$C$9:$C$108,0)))^INDEX('Facilities'!$AK$9:$AK$108,MATCH(C347,'Facilities'!$C$9:$C$108,0)))*R347/(1+INDEX('Facilities'!$K$9:$K$108,MATCH(C347,'Facilities'!$C$9:$C$108,0)))*IF(ABS(1-(1-R347)*(1-INDEX('Facilities'!$R$9:$R$108,MATCH(C347,'Facilities'!$C$9:$C$108,0)))/(1+INDEX('Facilities'!$K$9:$K$108,MATCH(C347,'Facilities'!$C$9:$C$108,0))))&lt;0.000000001,IF(T347=1,MIN(1,AJ347),AJ347),(1-((1-R347)*(1-INDEX('Facilities'!$R$9:$R$108,MATCH(C347,'Facilities'!$C$9:$C$108,0)))/(1+INDEX('Facilities'!$K$9:$K$108,MATCH(C347,'Facilities'!$C$9:$C$108,0))))^IF(T347=1,MIN(1,AJ347),AJ347))/(1-(1-R347)*(1-INDEX('Facilities'!$R$9:$R$108,MATCH(C347,'Facilities'!$C$9:$C$108,0)))/(1+INDEX('Facilities'!$K$9:$K$108,MATCH(C347,'Facilities'!$C$9:$C$108,0)))))+AL347)))</x:f>
      </x:c>
      <x:c r="V347" s="23" t="str">
        <x:f>IF(C347="","",IF(AQ347&lt;&gt;"Ready","Unavailable",IF(C347="","",Q347*INDEX('Facilities'!$I$9:$I$108,MATCH(C347,'Facilities'!$C$9:$C$108,0))*(1-(1-S347)/(1+INDEX('Facilities'!$K$9:$K$108,MATCH(C347,'Facilities'!$C$9:$C$108,0)))^INDEX('Facilities'!$AK$9:$AK$108,MATCH(C347,'Facilities'!$C$9:$C$108,0)))*R347/(1+INDEX('Facilities'!$K$9:$K$108,MATCH(C347,'Facilities'!$C$9:$C$108,0)))*IF(ABS(1-(1-R347)*(1-0)/(1+INDEX('Facilities'!$K$9:$K$108,MATCH(C347,'Facilities'!$C$9:$C$108,0))))&lt;0.000000001,IF(T347=1,MIN(1,AJ347),AJ347),(1-((1-R347)*(1-0)/(1+INDEX('Facilities'!$K$9:$K$108,MATCH(C347,'Facilities'!$C$9:$C$108,0))))^IF(T347=1,MIN(1,AJ347),AJ347))/(1-(1-R347)*(1-0)/(1+INDEX('Facilities'!$K$9:$K$108,MATCH(C347,'Facilities'!$C$9:$C$108,0))))))))</x:f>
      </x:c>
      <x:c r="W347" s="21" t="str">
        <x:f>IF(C347="","",IFERROR(U247,"Unavailable"))</x:f>
      </x:c>
      <x:c r="X347" s="21" t="str">
        <x:f>IF(C347="","",IFERROR(V247,"Unavailable"))</x:f>
      </x:c>
      <x:c r="Y347" s="21" t="str">
        <x:f>IF(C347="","",IF(AQ347&lt;&gt;"Ready","Unavailable",IF(C347="","",U347-W347+V347-X347+N347+AG347)))</x:f>
      </x:c>
      <x:c r="Z347" s="23" t="str">
        <x:f>IF(C347="","",IF(AQ347&lt;&gt;"Ready","Unavailable",IF(C347="","",(G347+O347+L347)/2*INDEX('Facilities'!$T$9:$T$108,MATCH(C347,'Facilities'!$C$9:$C$108,0))+AG347)))</x:f>
      </x:c>
      <x:c r="AA347" s="23" t="str">
        <x:f>IF(C347="","",IF(AQ347&lt;&gt;"Ready","Unavailable",IF(C347="","",O347*(1-IF(INDEX('Facilities'!$AA$9:$AA$108,MATCH(C347,'Facilities'!$C$9:$C$108,0))=0,0,MIN(1,INDEX('Facilities'!$X$9:$X$108,MATCH(C347,'Facilities'!$C$9:$C$108,0))/INDEX('Facilities'!$AA$9:$AA$108,MATCH(C347,'Facilities'!$C$9:$C$108,0)))))*AF347+P347*(1-IF(INDEX('Facilities'!$AA$9:$AA$108,MATCH(C347,'Facilities'!$C$9:$C$108,0))=0,0,MIN(1,INDEX('Facilities'!$X$9:$X$108,MATCH(C347,'Facilities'!$C$9:$C$108,0))/INDEX('Facilities'!$AA$9:$AA$108,MATCH(C347,'Facilities'!$C$9:$C$108,0)))))*INDEX('Facilities'!$AJ$9:$AJ$108,MATCH(C347,'Facilities'!$C$9:$C$108,0))+Q347*INDEX('Facilities'!$AI$9:$AI$108,MATCH(C347,'Facilities'!$C$9:$C$108,0))*AF347)))</x:f>
      </x:c>
      <x:c r="AB347" s="21" t="str">
        <x:f>IF(C347="","",O347+P347-AD347)</x:f>
      </x:c>
      <x:c r="AC347" s="23" t="str">
        <x:f>IF(C347="","",IFERROR(IF(INDEX('Facilities'!$AD$9:$AD$108,MATCH(C347,'Facilities'!$C$9:$C$108,0))=3,0,IF(INDEX('Facilities'!$AN$9:$AN$108,MATCH(C347,'Facilities'!$C$9:$C$108,0))=0,-1,INDEX('Facilities'!$AN$9:$AN$108,MATCH(C347,'Facilities'!$C$9:$C$108,0)))),"Unavailable"))</x:f>
      </x:c>
      <x:c r="AD347" s="21" t="str">
        <x:f>IF(C347="","",IFERROR(G347+H347,"Unavailable"))</x:f>
      </x:c>
      <x:c r="AE347" s="21" t="str">
        <x:f>IF(C347="","",IF(AQ347&lt;&gt;"Ready","Unavailable",IF(C347="","",O347+P347-AD347-J347+K347+M347+N347)))</x:f>
      </x:c>
      <x:c r="AF347" s="30" t="str">
        <x:f>IF(C347="","",IFERROR(INDEX('Facilities'!$S$9:$S$108,MATCH(C347,'Facilities'!$C$9:$C$108,0))*'Scenario Paths'!I75,"Unavailable"))</x:f>
      </x:c>
      <x:c r="AG347" s="23" t="str">
        <x:f>IF(C347="","",IF(AQ347&lt;&gt;"Ready","Unavailable",IF(C347="","",IF(H347&gt;0,MAX(0,H347-AK347)*((1+INDEX('Facilities'!$K$9:$K$108,MATCH(C347,'Facilities'!$C$9:$C$108,0)))^MIN(1,MAX(0,AC347+INDEX('Facilities'!$AK$9:$AK$108,MATCH(C347,'Facilities'!$C$9:$C$108,0))-D347+1))-1),0))))</x:f>
      </x:c>
      <x:c r="AH347" s="21" t="str">
        <x:f>IF(C347="","",IF(AQ347&lt;&gt;"Ready","Unavailable",IF(C347="","",O347+P347)))</x:f>
      </x:c>
      <x:c r="AI347" s="21" t="str">
        <x:f>IF(C347="","",IF(AQ347&lt;&gt;"Ready","Unavailable",IF(C347="","",Z347-Y347)))</x:f>
      </x:c>
      <x:c r="AJ347" s="23" t="str">
        <x:f>IF(C347="","",IFERROR(MAX(0,INDEX('Facilities'!$J$9:$J$108,MATCH(C347,'Facilities'!$C$9:$C$108,0))-D347),"Unavailable"))</x:f>
      </x:c>
      <x:c r="AK347" s="21" t="str">
        <x:f>IF(C347="","",IFERROR(AL247,"Unavailable"))</x:f>
      </x:c>
      <x:c r="AL347" s="23" t="str">
        <x:f>IF(C347="","",IFERROR(IF(P347&gt;0,P347*(1-AM347/(1+INDEX('Facilities'!$K$9:$K$108,MATCH(C347,'Facilities'!$C$9:$C$108,0)))^MAX(0,AC347+INDEX('Facilities'!$AK$9:$AK$108,MATCH(C347,'Facilities'!$C$9:$C$108,0))-D347)),0),"Unavailable"))</x:f>
      </x:c>
      <x:c r="AM347" s="30" t="str">
        <x:f>IF(C347="","",IFERROR(INDEX('Facilities'!$AL$9:$AL$108,MATCH(C347,'Facilities'!$C$9:$C$108,0)),"Unavailable"))</x:f>
      </x:c>
      <x:c r="AN347" s="30" t="str">
        <x:f>IF(C347="","",IFERROR(INDEX(Credit!$T$309:$T$408,MATCH(F347,Credit!$C$309:$C$408,0)),"Unavailable"))</x:f>
      </x:c>
      <x:c r="AO347" s="23" t="str">
        <x:f>IF(C347="","",IF(AQ347&lt;&gt;"Ready","Unavailable",IF(C347="","",O347+P347+Q347*INDEX('Facilities'!$I$9:$I$108,MATCH(C347,'Facilities'!$C$9:$C$108,0)))))</x:f>
      </x:c>
      <x:c r="AP347" s="21" t="str">
        <x:f>IF(C347="","",IF(AQ347&lt;&gt;"Ready","Unavailable",IF(C347="","",AH347-U347)))</x:f>
      </x:c>
      <x:c r="AQ347" s="23" t="str">
        <x:f>IFERROR(IF(C347="","",IF(AND(INDEX('Facilities'!$AF$9:$AF$108,MATCH(C347,'Facilities'!$C$9:$C$108,0))="Ready",INDEX(Credit!$U$309:$U$408,MATCH(F347,Credit!$C$309:$C$408,0))="Ready",ISNUMBER(W347)),"Ready","Review inputs")),"Review inputs")</x:f>
      </x:c>
      <x:c r="AR347" s="23" t="str">
        <x:f>IF(C347="","",IF(AQ347&lt;&gt;"Ready","Unavailable",IF(C347="","",IF(O347=0,0,(IF(AJ347&lt;=1,O347,O347*INDEX('Facilities'!$R$9:$R$108,MATCH(C347,'Facilities'!$C$9:$C$108,0)))+O347*INDEX('Facilities'!$T$9:$T$108,MATCH(C347,'Facilities'!$C$9:$C$108,0)))/12))))</x:f>
      </x:c>
    </x:row>
    <x:row r="348" ht="26" customHeight="1">
      <x:c r="A348" s="1"/>
      <x:c r="B348" s="1"/>
      <x:c r="C348" s="9" t="str">
        <x:f>IF(Facilities!C48="","",Facilities!C48)</x:f>
      </x:c>
      <x:c r="D348" s="3" t="n">
        <x:v>4</x:v>
      </x:c>
      <x:c r="E348" s="9" t="n">
        <x:f>Settings!$F$18+3</x:f>
        <x:v>2030</x:v>
      </x:c>
      <x:c r="F348" s="9" t="str">
        <x:f>IF(C348="","",IFERROR(INDEX('Facilities'!$D$9:$D$108,MATCH(C348,'Facilities'!$C$9:$C$108,0)),"Unavailable"))</x:f>
      </x:c>
      <x:c r="G348" s="21" t="str">
        <x:f>IF(C348="","",IFERROR(O248,"Unavailable"))</x:f>
      </x:c>
      <x:c r="H348" s="21" t="str">
        <x:f>IF(C348="","",IFERROR(P248,"Unavailable"))</x:f>
      </x:c>
      <x:c r="I348" s="21" t="str">
        <x:f>IF(C348="","",IFERROR(Q248,"Unavailable"))</x:f>
      </x:c>
      <x:c r="J348" s="23" t="str">
        <x:f>IF(C348="","",IFERROR(IF(OR(H348&gt;0,AND(AC348&gt;=0,AC348&lt;D348),D348&gt;INDEX('Facilities'!$J$9:$J$108,MATCH(C348,'Facilities'!$C$9:$C$108,0))),0,I348*'Scenario Paths'!I81),"Unavailable"))</x:f>
      </x:c>
      <x:c r="K348" s="23" t="str">
        <x:f>IF(C348="","",IFERROR(IF(OR(H348&gt;0,AND(AC348&gt;=0,AC348=D348)),0,IF(D348&gt;=INDEX('Facilities'!$J$9:$J$108,MATCH(C348,'Facilities'!$C$9:$C$108,0)),G348+J348,MIN(G348+J348,G348*INDEX('Facilities'!$R$9:$R$108,MATCH(C348,'Facilities'!$C$9:$C$108,0))))),"Unavailable"))</x:f>
      </x:c>
      <x:c r="L348" s="21" t="str">
        <x:f>IF(C348="","",IFERROR(IF(AND(AC348=D348,AC348&gt;0),MAX(0,G348+J348-K348),0),"Unavailable"))</x:f>
      </x:c>
      <x:c r="M348" s="23" t="str">
        <x:f>IF(C348="","",IFERROR(IF(AND(AC348&gt;=0,D348&gt;=AC348+INDEX('Facilities'!$AK$9:$AK$108,MATCH(C348,'Facilities'!$C$9:$C$108,0))),(H348+L348)*AM348,0),"Unavailable"))</x:f>
      </x:c>
      <x:c r="N348" s="23" t="str">
        <x:f>IF(C348="","",IFERROR(IF(AND(AC348&gt;=0,D348&gt;=AC348+INDEX('Facilities'!$AK$9:$AK$108,MATCH(C348,'Facilities'!$C$9:$C$108,0))),H348+L348-M348,0),"Unavailable"))</x:f>
      </x:c>
      <x:c r="O348" s="21" t="str">
        <x:f>IF(C348="","",IFERROR(MAX(0,G348+J348-K348-L348),"Unavailable"))</x:f>
      </x:c>
      <x:c r="P348" s="21" t="str">
        <x:f>IF(C348="","",IFERROR(MAX(0,H348+L348-M348-N348),"Unavailable"))</x:f>
      </x:c>
      <x:c r="Q348" s="23" t="str">
        <x:f>IF(C348="","",IFERROR(IF(OR(D348&gt;=INDEX('Facilities'!$J$9:$J$108,MATCH(C348,'Facilities'!$C$9:$C$108,0)),AND(AC348&gt;=0,AC348&lt;=D348)),0,MAX(0,I348-J348)),"Unavailable"))</x:f>
      </x:c>
      <x:c r="R348" s="30" t="str">
        <x:f>IF(C348="","",IFERROR(INDEX(Credit!$Q$309:$Q$408,MATCH(F348,Credit!$C$309:$C$408,0)),"Unavailable"))</x:f>
      </x:c>
      <x:c r="S348" s="30" t="str">
        <x:f>IF(C348="","",IFERROR(INDEX(Credit!$R$309:$R$408,MATCH(F348,Credit!$C$309:$C$408,0)),"Unavailable"))</x:f>
      </x:c>
      <x:c r="T348" s="23" t="str">
        <x:f>IF(C348="","",IFERROR(IF(P348&gt;0,3,IF(OR(INDEX('Facilities'!$AD$9:$AD$108,MATCH(C348,'Facilities'!$C$9:$C$108,0))=2,AND(R348&gt;=INDEX('Facilities'!$L$9:$L$108,MATCH(C348,'Facilities'!$C$9:$C$108,0))*Settings!$F$19,R348-INDEX('Facilities'!$L$9:$L$108,MATCH(C348,'Facilities'!$C$9:$C$108,0))&gt;=Settings!$F$20)),2,1)),"Unavailable"))</x:f>
      </x:c>
      <x:c r="U348" s="23" t="str">
        <x:f>IF(C348="","",IF(AQ348&lt;&gt;"Ready","Unavailable",IF(C348="","",O348*(1-(1-S348)/(1+INDEX('Facilities'!$K$9:$K$108,MATCH(C348,'Facilities'!$C$9:$C$108,0)))^INDEX('Facilities'!$AK$9:$AK$108,MATCH(C348,'Facilities'!$C$9:$C$108,0)))*R348/(1+INDEX('Facilities'!$K$9:$K$108,MATCH(C348,'Facilities'!$C$9:$C$108,0)))*IF(ABS(1-(1-R348)*(1-INDEX('Facilities'!$R$9:$R$108,MATCH(C348,'Facilities'!$C$9:$C$108,0)))/(1+INDEX('Facilities'!$K$9:$K$108,MATCH(C348,'Facilities'!$C$9:$C$108,0))))&lt;0.000000001,IF(T348=1,MIN(1,AJ348),AJ348),(1-((1-R348)*(1-INDEX('Facilities'!$R$9:$R$108,MATCH(C348,'Facilities'!$C$9:$C$108,0)))/(1+INDEX('Facilities'!$K$9:$K$108,MATCH(C348,'Facilities'!$C$9:$C$108,0))))^IF(T348=1,MIN(1,AJ348),AJ348))/(1-(1-R348)*(1-INDEX('Facilities'!$R$9:$R$108,MATCH(C348,'Facilities'!$C$9:$C$108,0)))/(1+INDEX('Facilities'!$K$9:$K$108,MATCH(C348,'Facilities'!$C$9:$C$108,0)))))+AL348)))</x:f>
      </x:c>
      <x:c r="V348" s="23" t="str">
        <x:f>IF(C348="","",IF(AQ348&lt;&gt;"Ready","Unavailable",IF(C348="","",Q348*INDEX('Facilities'!$I$9:$I$108,MATCH(C348,'Facilities'!$C$9:$C$108,0))*(1-(1-S348)/(1+INDEX('Facilities'!$K$9:$K$108,MATCH(C348,'Facilities'!$C$9:$C$108,0)))^INDEX('Facilities'!$AK$9:$AK$108,MATCH(C348,'Facilities'!$C$9:$C$108,0)))*R348/(1+INDEX('Facilities'!$K$9:$K$108,MATCH(C348,'Facilities'!$C$9:$C$108,0)))*IF(ABS(1-(1-R348)*(1-0)/(1+INDEX('Facilities'!$K$9:$K$108,MATCH(C348,'Facilities'!$C$9:$C$108,0))))&lt;0.000000001,IF(T348=1,MIN(1,AJ348),AJ348),(1-((1-R348)*(1-0)/(1+INDEX('Facilities'!$K$9:$K$108,MATCH(C348,'Facilities'!$C$9:$C$108,0))))^IF(T348=1,MIN(1,AJ348),AJ348))/(1-(1-R348)*(1-0)/(1+INDEX('Facilities'!$K$9:$K$108,MATCH(C348,'Facilities'!$C$9:$C$108,0))))))))</x:f>
      </x:c>
      <x:c r="W348" s="21" t="str">
        <x:f>IF(C348="","",IFERROR(U248,"Unavailable"))</x:f>
      </x:c>
      <x:c r="X348" s="21" t="str">
        <x:f>IF(C348="","",IFERROR(V248,"Unavailable"))</x:f>
      </x:c>
      <x:c r="Y348" s="21" t="str">
        <x:f>IF(C348="","",IF(AQ348&lt;&gt;"Ready","Unavailable",IF(C348="","",U348-W348+V348-X348+N348+AG348)))</x:f>
      </x:c>
      <x:c r="Z348" s="23" t="str">
        <x:f>IF(C348="","",IF(AQ348&lt;&gt;"Ready","Unavailable",IF(C348="","",(G348+O348+L348)/2*INDEX('Facilities'!$T$9:$T$108,MATCH(C348,'Facilities'!$C$9:$C$108,0))+AG348)))</x:f>
      </x:c>
      <x:c r="AA348" s="23" t="str">
        <x:f>IF(C348="","",IF(AQ348&lt;&gt;"Ready","Unavailable",IF(C348="","",O348*(1-IF(INDEX('Facilities'!$AA$9:$AA$108,MATCH(C348,'Facilities'!$C$9:$C$108,0))=0,0,MIN(1,INDEX('Facilities'!$X$9:$X$108,MATCH(C348,'Facilities'!$C$9:$C$108,0))/INDEX('Facilities'!$AA$9:$AA$108,MATCH(C348,'Facilities'!$C$9:$C$108,0)))))*AF348+P348*(1-IF(INDEX('Facilities'!$AA$9:$AA$108,MATCH(C348,'Facilities'!$C$9:$C$108,0))=0,0,MIN(1,INDEX('Facilities'!$X$9:$X$108,MATCH(C348,'Facilities'!$C$9:$C$108,0))/INDEX('Facilities'!$AA$9:$AA$108,MATCH(C348,'Facilities'!$C$9:$C$108,0)))))*INDEX('Facilities'!$AJ$9:$AJ$108,MATCH(C348,'Facilities'!$C$9:$C$108,0))+Q348*INDEX('Facilities'!$AI$9:$AI$108,MATCH(C348,'Facilities'!$C$9:$C$108,0))*AF348)))</x:f>
      </x:c>
      <x:c r="AB348" s="21" t="str">
        <x:f>IF(C348="","",O348+P348-AD348)</x:f>
      </x:c>
      <x:c r="AC348" s="23" t="str">
        <x:f>IF(C348="","",IFERROR(IF(INDEX('Facilities'!$AD$9:$AD$108,MATCH(C348,'Facilities'!$C$9:$C$108,0))=3,0,IF(INDEX('Facilities'!$AN$9:$AN$108,MATCH(C348,'Facilities'!$C$9:$C$108,0))=0,-1,INDEX('Facilities'!$AN$9:$AN$108,MATCH(C348,'Facilities'!$C$9:$C$108,0)))),"Unavailable"))</x:f>
      </x:c>
      <x:c r="AD348" s="21" t="str">
        <x:f>IF(C348="","",IFERROR(G348+H348,"Unavailable"))</x:f>
      </x:c>
      <x:c r="AE348" s="21" t="str">
        <x:f>IF(C348="","",IF(AQ348&lt;&gt;"Ready","Unavailable",IF(C348="","",O348+P348-AD348-J348+K348+M348+N348)))</x:f>
      </x:c>
      <x:c r="AF348" s="30" t="str">
        <x:f>IF(C348="","",IFERROR(INDEX('Facilities'!$S$9:$S$108,MATCH(C348,'Facilities'!$C$9:$C$108,0))*'Scenario Paths'!I75,"Unavailable"))</x:f>
      </x:c>
      <x:c r="AG348" s="23" t="str">
        <x:f>IF(C348="","",IF(AQ348&lt;&gt;"Ready","Unavailable",IF(C348="","",IF(H348&gt;0,MAX(0,H348-AK348)*((1+INDEX('Facilities'!$K$9:$K$108,MATCH(C348,'Facilities'!$C$9:$C$108,0)))^MIN(1,MAX(0,AC348+INDEX('Facilities'!$AK$9:$AK$108,MATCH(C348,'Facilities'!$C$9:$C$108,0))-D348+1))-1),0))))</x:f>
      </x:c>
      <x:c r="AH348" s="21" t="str">
        <x:f>IF(C348="","",IF(AQ348&lt;&gt;"Ready","Unavailable",IF(C348="","",O348+P348)))</x:f>
      </x:c>
      <x:c r="AI348" s="21" t="str">
        <x:f>IF(C348="","",IF(AQ348&lt;&gt;"Ready","Unavailable",IF(C348="","",Z348-Y348)))</x:f>
      </x:c>
      <x:c r="AJ348" s="23" t="str">
        <x:f>IF(C348="","",IFERROR(MAX(0,INDEX('Facilities'!$J$9:$J$108,MATCH(C348,'Facilities'!$C$9:$C$108,0))-D348),"Unavailable"))</x:f>
      </x:c>
      <x:c r="AK348" s="21" t="str">
        <x:f>IF(C348="","",IFERROR(AL248,"Unavailable"))</x:f>
      </x:c>
      <x:c r="AL348" s="23" t="str">
        <x:f>IF(C348="","",IFERROR(IF(P348&gt;0,P348*(1-AM348/(1+INDEX('Facilities'!$K$9:$K$108,MATCH(C348,'Facilities'!$C$9:$C$108,0)))^MAX(0,AC348+INDEX('Facilities'!$AK$9:$AK$108,MATCH(C348,'Facilities'!$C$9:$C$108,0))-D348)),0),"Unavailable"))</x:f>
      </x:c>
      <x:c r="AM348" s="30" t="str">
        <x:f>IF(C348="","",IFERROR(INDEX('Facilities'!$AL$9:$AL$108,MATCH(C348,'Facilities'!$C$9:$C$108,0)),"Unavailable"))</x:f>
      </x:c>
      <x:c r="AN348" s="30" t="str">
        <x:f>IF(C348="","",IFERROR(INDEX(Credit!$T$309:$T$408,MATCH(F348,Credit!$C$309:$C$408,0)),"Unavailable"))</x:f>
      </x:c>
      <x:c r="AO348" s="23" t="str">
        <x:f>IF(C348="","",IF(AQ348&lt;&gt;"Ready","Unavailable",IF(C348="","",O348+P348+Q348*INDEX('Facilities'!$I$9:$I$108,MATCH(C348,'Facilities'!$C$9:$C$108,0)))))</x:f>
      </x:c>
      <x:c r="AP348" s="21" t="str">
        <x:f>IF(C348="","",IF(AQ348&lt;&gt;"Ready","Unavailable",IF(C348="","",AH348-U348)))</x:f>
      </x:c>
      <x:c r="AQ348" s="23" t="str">
        <x:f>IFERROR(IF(C348="","",IF(AND(INDEX('Facilities'!$AF$9:$AF$108,MATCH(C348,'Facilities'!$C$9:$C$108,0))="Ready",INDEX(Credit!$U$309:$U$408,MATCH(F348,Credit!$C$309:$C$408,0))="Ready",ISNUMBER(W348)),"Ready","Review inputs")),"Review inputs")</x:f>
      </x:c>
      <x:c r="AR348" s="23" t="str">
        <x:f>IF(C348="","",IF(AQ348&lt;&gt;"Ready","Unavailable",IF(C348="","",IF(O348=0,0,(IF(AJ348&lt;=1,O348,O348*INDEX('Facilities'!$R$9:$R$108,MATCH(C348,'Facilities'!$C$9:$C$108,0)))+O348*INDEX('Facilities'!$T$9:$T$108,MATCH(C348,'Facilities'!$C$9:$C$108,0)))/12))))</x:f>
      </x:c>
    </x:row>
    <x:row r="349" ht="26" customHeight="1">
      <x:c r="A349" s="1"/>
      <x:c r="B349" s="1"/>
      <x:c r="C349" s="9" t="str">
        <x:f>IF(Facilities!C49="","",Facilities!C49)</x:f>
      </x:c>
      <x:c r="D349" s="3" t="n">
        <x:v>4</x:v>
      </x:c>
      <x:c r="E349" s="9" t="n">
        <x:f>Settings!$F$18+3</x:f>
        <x:v>2030</x:v>
      </x:c>
      <x:c r="F349" s="9" t="str">
        <x:f>IF(C349="","",IFERROR(INDEX('Facilities'!$D$9:$D$108,MATCH(C349,'Facilities'!$C$9:$C$108,0)),"Unavailable"))</x:f>
      </x:c>
      <x:c r="G349" s="21" t="str">
        <x:f>IF(C349="","",IFERROR(O249,"Unavailable"))</x:f>
      </x:c>
      <x:c r="H349" s="21" t="str">
        <x:f>IF(C349="","",IFERROR(P249,"Unavailable"))</x:f>
      </x:c>
      <x:c r="I349" s="21" t="str">
        <x:f>IF(C349="","",IFERROR(Q249,"Unavailable"))</x:f>
      </x:c>
      <x:c r="J349" s="23" t="str">
        <x:f>IF(C349="","",IFERROR(IF(OR(H349&gt;0,AND(AC349&gt;=0,AC349&lt;D349),D349&gt;INDEX('Facilities'!$J$9:$J$108,MATCH(C349,'Facilities'!$C$9:$C$108,0))),0,I349*'Scenario Paths'!I81),"Unavailable"))</x:f>
      </x:c>
      <x:c r="K349" s="23" t="str">
        <x:f>IF(C349="","",IFERROR(IF(OR(H349&gt;0,AND(AC349&gt;=0,AC349=D349)),0,IF(D349&gt;=INDEX('Facilities'!$J$9:$J$108,MATCH(C349,'Facilities'!$C$9:$C$108,0)),G349+J349,MIN(G349+J349,G349*INDEX('Facilities'!$R$9:$R$108,MATCH(C349,'Facilities'!$C$9:$C$108,0))))),"Unavailable"))</x:f>
      </x:c>
      <x:c r="L349" s="21" t="str">
        <x:f>IF(C349="","",IFERROR(IF(AND(AC349=D349,AC349&gt;0),MAX(0,G349+J349-K349),0),"Unavailable"))</x:f>
      </x:c>
      <x:c r="M349" s="23" t="str">
        <x:f>IF(C349="","",IFERROR(IF(AND(AC349&gt;=0,D349&gt;=AC349+INDEX('Facilities'!$AK$9:$AK$108,MATCH(C349,'Facilities'!$C$9:$C$108,0))),(H349+L349)*AM349,0),"Unavailable"))</x:f>
      </x:c>
      <x:c r="N349" s="23" t="str">
        <x:f>IF(C349="","",IFERROR(IF(AND(AC349&gt;=0,D349&gt;=AC349+INDEX('Facilities'!$AK$9:$AK$108,MATCH(C349,'Facilities'!$C$9:$C$108,0))),H349+L349-M349,0),"Unavailable"))</x:f>
      </x:c>
      <x:c r="O349" s="21" t="str">
        <x:f>IF(C349="","",IFERROR(MAX(0,G349+J349-K349-L349),"Unavailable"))</x:f>
      </x:c>
      <x:c r="P349" s="21" t="str">
        <x:f>IF(C349="","",IFERROR(MAX(0,H349+L349-M349-N349),"Unavailable"))</x:f>
      </x:c>
      <x:c r="Q349" s="23" t="str">
        <x:f>IF(C349="","",IFERROR(IF(OR(D349&gt;=INDEX('Facilities'!$J$9:$J$108,MATCH(C349,'Facilities'!$C$9:$C$108,0)),AND(AC349&gt;=0,AC349&lt;=D349)),0,MAX(0,I349-J349)),"Unavailable"))</x:f>
      </x:c>
      <x:c r="R349" s="30" t="str">
        <x:f>IF(C349="","",IFERROR(INDEX(Credit!$Q$309:$Q$408,MATCH(F349,Credit!$C$309:$C$408,0)),"Unavailable"))</x:f>
      </x:c>
      <x:c r="S349" s="30" t="str">
        <x:f>IF(C349="","",IFERROR(INDEX(Credit!$R$309:$R$408,MATCH(F349,Credit!$C$309:$C$408,0)),"Unavailable"))</x:f>
      </x:c>
      <x:c r="T349" s="23" t="str">
        <x:f>IF(C349="","",IFERROR(IF(P349&gt;0,3,IF(OR(INDEX('Facilities'!$AD$9:$AD$108,MATCH(C349,'Facilities'!$C$9:$C$108,0))=2,AND(R349&gt;=INDEX('Facilities'!$L$9:$L$108,MATCH(C349,'Facilities'!$C$9:$C$108,0))*Settings!$F$19,R349-INDEX('Facilities'!$L$9:$L$108,MATCH(C349,'Facilities'!$C$9:$C$108,0))&gt;=Settings!$F$20)),2,1)),"Unavailable"))</x:f>
      </x:c>
      <x:c r="U349" s="23" t="str">
        <x:f>IF(C349="","",IF(AQ349&lt;&gt;"Ready","Unavailable",IF(C349="","",O349*(1-(1-S349)/(1+INDEX('Facilities'!$K$9:$K$108,MATCH(C349,'Facilities'!$C$9:$C$108,0)))^INDEX('Facilities'!$AK$9:$AK$108,MATCH(C349,'Facilities'!$C$9:$C$108,0)))*R349/(1+INDEX('Facilities'!$K$9:$K$108,MATCH(C349,'Facilities'!$C$9:$C$108,0)))*IF(ABS(1-(1-R349)*(1-INDEX('Facilities'!$R$9:$R$108,MATCH(C349,'Facilities'!$C$9:$C$108,0)))/(1+INDEX('Facilities'!$K$9:$K$108,MATCH(C349,'Facilities'!$C$9:$C$108,0))))&lt;0.000000001,IF(T349=1,MIN(1,AJ349),AJ349),(1-((1-R349)*(1-INDEX('Facilities'!$R$9:$R$108,MATCH(C349,'Facilities'!$C$9:$C$108,0)))/(1+INDEX('Facilities'!$K$9:$K$108,MATCH(C349,'Facilities'!$C$9:$C$108,0))))^IF(T349=1,MIN(1,AJ349),AJ349))/(1-(1-R349)*(1-INDEX('Facilities'!$R$9:$R$108,MATCH(C349,'Facilities'!$C$9:$C$108,0)))/(1+INDEX('Facilities'!$K$9:$K$108,MATCH(C349,'Facilities'!$C$9:$C$108,0)))))+AL349)))</x:f>
      </x:c>
      <x:c r="V349" s="23" t="str">
        <x:f>IF(C349="","",IF(AQ349&lt;&gt;"Ready","Unavailable",IF(C349="","",Q349*INDEX('Facilities'!$I$9:$I$108,MATCH(C349,'Facilities'!$C$9:$C$108,0))*(1-(1-S349)/(1+INDEX('Facilities'!$K$9:$K$108,MATCH(C349,'Facilities'!$C$9:$C$108,0)))^INDEX('Facilities'!$AK$9:$AK$108,MATCH(C349,'Facilities'!$C$9:$C$108,0)))*R349/(1+INDEX('Facilities'!$K$9:$K$108,MATCH(C349,'Facilities'!$C$9:$C$108,0)))*IF(ABS(1-(1-R349)*(1-0)/(1+INDEX('Facilities'!$K$9:$K$108,MATCH(C349,'Facilities'!$C$9:$C$108,0))))&lt;0.000000001,IF(T349=1,MIN(1,AJ349),AJ349),(1-((1-R349)*(1-0)/(1+INDEX('Facilities'!$K$9:$K$108,MATCH(C349,'Facilities'!$C$9:$C$108,0))))^IF(T349=1,MIN(1,AJ349),AJ349))/(1-(1-R349)*(1-0)/(1+INDEX('Facilities'!$K$9:$K$108,MATCH(C349,'Facilities'!$C$9:$C$108,0))))))))</x:f>
      </x:c>
      <x:c r="W349" s="21" t="str">
        <x:f>IF(C349="","",IFERROR(U249,"Unavailable"))</x:f>
      </x:c>
      <x:c r="X349" s="21" t="str">
        <x:f>IF(C349="","",IFERROR(V249,"Unavailable"))</x:f>
      </x:c>
      <x:c r="Y349" s="21" t="str">
        <x:f>IF(C349="","",IF(AQ349&lt;&gt;"Ready","Unavailable",IF(C349="","",U349-W349+V349-X349+N349+AG349)))</x:f>
      </x:c>
      <x:c r="Z349" s="23" t="str">
        <x:f>IF(C349="","",IF(AQ349&lt;&gt;"Ready","Unavailable",IF(C349="","",(G349+O349+L349)/2*INDEX('Facilities'!$T$9:$T$108,MATCH(C349,'Facilities'!$C$9:$C$108,0))+AG349)))</x:f>
      </x:c>
      <x:c r="AA349" s="23" t="str">
        <x:f>IF(C349="","",IF(AQ349&lt;&gt;"Ready","Unavailable",IF(C349="","",O349*(1-IF(INDEX('Facilities'!$AA$9:$AA$108,MATCH(C349,'Facilities'!$C$9:$C$108,0))=0,0,MIN(1,INDEX('Facilities'!$X$9:$X$108,MATCH(C349,'Facilities'!$C$9:$C$108,0))/INDEX('Facilities'!$AA$9:$AA$108,MATCH(C349,'Facilities'!$C$9:$C$108,0)))))*AF349+P349*(1-IF(INDEX('Facilities'!$AA$9:$AA$108,MATCH(C349,'Facilities'!$C$9:$C$108,0))=0,0,MIN(1,INDEX('Facilities'!$X$9:$X$108,MATCH(C349,'Facilities'!$C$9:$C$108,0))/INDEX('Facilities'!$AA$9:$AA$108,MATCH(C349,'Facilities'!$C$9:$C$108,0)))))*INDEX('Facilities'!$AJ$9:$AJ$108,MATCH(C349,'Facilities'!$C$9:$C$108,0))+Q349*INDEX('Facilities'!$AI$9:$AI$108,MATCH(C349,'Facilities'!$C$9:$C$108,0))*AF349)))</x:f>
      </x:c>
      <x:c r="AB349" s="21" t="str">
        <x:f>IF(C349="","",O349+P349-AD349)</x:f>
      </x:c>
      <x:c r="AC349" s="23" t="str">
        <x:f>IF(C349="","",IFERROR(IF(INDEX('Facilities'!$AD$9:$AD$108,MATCH(C349,'Facilities'!$C$9:$C$108,0))=3,0,IF(INDEX('Facilities'!$AN$9:$AN$108,MATCH(C349,'Facilities'!$C$9:$C$108,0))=0,-1,INDEX('Facilities'!$AN$9:$AN$108,MATCH(C349,'Facilities'!$C$9:$C$108,0)))),"Unavailable"))</x:f>
      </x:c>
      <x:c r="AD349" s="21" t="str">
        <x:f>IF(C349="","",IFERROR(G349+H349,"Unavailable"))</x:f>
      </x:c>
      <x:c r="AE349" s="21" t="str">
        <x:f>IF(C349="","",IF(AQ349&lt;&gt;"Ready","Unavailable",IF(C349="","",O349+P349-AD349-J349+K349+M349+N349)))</x:f>
      </x:c>
      <x:c r="AF349" s="30" t="str">
        <x:f>IF(C349="","",IFERROR(INDEX('Facilities'!$S$9:$S$108,MATCH(C349,'Facilities'!$C$9:$C$108,0))*'Scenario Paths'!I75,"Unavailable"))</x:f>
      </x:c>
      <x:c r="AG349" s="23" t="str">
        <x:f>IF(C349="","",IF(AQ349&lt;&gt;"Ready","Unavailable",IF(C349="","",IF(H349&gt;0,MAX(0,H349-AK349)*((1+INDEX('Facilities'!$K$9:$K$108,MATCH(C349,'Facilities'!$C$9:$C$108,0)))^MIN(1,MAX(0,AC349+INDEX('Facilities'!$AK$9:$AK$108,MATCH(C349,'Facilities'!$C$9:$C$108,0))-D349+1))-1),0))))</x:f>
      </x:c>
      <x:c r="AH349" s="21" t="str">
        <x:f>IF(C349="","",IF(AQ349&lt;&gt;"Ready","Unavailable",IF(C349="","",O349+P349)))</x:f>
      </x:c>
      <x:c r="AI349" s="21" t="str">
        <x:f>IF(C349="","",IF(AQ349&lt;&gt;"Ready","Unavailable",IF(C349="","",Z349-Y349)))</x:f>
      </x:c>
      <x:c r="AJ349" s="23" t="str">
        <x:f>IF(C349="","",IFERROR(MAX(0,INDEX('Facilities'!$J$9:$J$108,MATCH(C349,'Facilities'!$C$9:$C$108,0))-D349),"Unavailable"))</x:f>
      </x:c>
      <x:c r="AK349" s="21" t="str">
        <x:f>IF(C349="","",IFERROR(AL249,"Unavailable"))</x:f>
      </x:c>
      <x:c r="AL349" s="23" t="str">
        <x:f>IF(C349="","",IFERROR(IF(P349&gt;0,P349*(1-AM349/(1+INDEX('Facilities'!$K$9:$K$108,MATCH(C349,'Facilities'!$C$9:$C$108,0)))^MAX(0,AC349+INDEX('Facilities'!$AK$9:$AK$108,MATCH(C349,'Facilities'!$C$9:$C$108,0))-D349)),0),"Unavailable"))</x:f>
      </x:c>
      <x:c r="AM349" s="30" t="str">
        <x:f>IF(C349="","",IFERROR(INDEX('Facilities'!$AL$9:$AL$108,MATCH(C349,'Facilities'!$C$9:$C$108,0)),"Unavailable"))</x:f>
      </x:c>
      <x:c r="AN349" s="30" t="str">
        <x:f>IF(C349="","",IFERROR(INDEX(Credit!$T$309:$T$408,MATCH(F349,Credit!$C$309:$C$408,0)),"Unavailable"))</x:f>
      </x:c>
      <x:c r="AO349" s="23" t="str">
        <x:f>IF(C349="","",IF(AQ349&lt;&gt;"Ready","Unavailable",IF(C349="","",O349+P349+Q349*INDEX('Facilities'!$I$9:$I$108,MATCH(C349,'Facilities'!$C$9:$C$108,0)))))</x:f>
      </x:c>
      <x:c r="AP349" s="21" t="str">
        <x:f>IF(C349="","",IF(AQ349&lt;&gt;"Ready","Unavailable",IF(C349="","",AH349-U349)))</x:f>
      </x:c>
      <x:c r="AQ349" s="23" t="str">
        <x:f>IFERROR(IF(C349="","",IF(AND(INDEX('Facilities'!$AF$9:$AF$108,MATCH(C349,'Facilities'!$C$9:$C$108,0))="Ready",INDEX(Credit!$U$309:$U$408,MATCH(F349,Credit!$C$309:$C$408,0))="Ready",ISNUMBER(W349)),"Ready","Review inputs")),"Review inputs")</x:f>
      </x:c>
      <x:c r="AR349" s="23" t="str">
        <x:f>IF(C349="","",IF(AQ349&lt;&gt;"Ready","Unavailable",IF(C349="","",IF(O349=0,0,(IF(AJ349&lt;=1,O349,O349*INDEX('Facilities'!$R$9:$R$108,MATCH(C349,'Facilities'!$C$9:$C$108,0)))+O349*INDEX('Facilities'!$T$9:$T$108,MATCH(C349,'Facilities'!$C$9:$C$108,0)))/12))))</x:f>
      </x:c>
    </x:row>
    <x:row r="350" ht="26" customHeight="1">
      <x:c r="A350" s="1"/>
      <x:c r="B350" s="1"/>
      <x:c r="C350" s="9" t="str">
        <x:f>IF(Facilities!C50="","",Facilities!C50)</x:f>
      </x:c>
      <x:c r="D350" s="3" t="n">
        <x:v>4</x:v>
      </x:c>
      <x:c r="E350" s="9" t="n">
        <x:f>Settings!$F$18+3</x:f>
        <x:v>2030</x:v>
      </x:c>
      <x:c r="F350" s="9" t="str">
        <x:f>IF(C350="","",IFERROR(INDEX('Facilities'!$D$9:$D$108,MATCH(C350,'Facilities'!$C$9:$C$108,0)),"Unavailable"))</x:f>
      </x:c>
      <x:c r="G350" s="21" t="str">
        <x:f>IF(C350="","",IFERROR(O250,"Unavailable"))</x:f>
      </x:c>
      <x:c r="H350" s="21" t="str">
        <x:f>IF(C350="","",IFERROR(P250,"Unavailable"))</x:f>
      </x:c>
      <x:c r="I350" s="21" t="str">
        <x:f>IF(C350="","",IFERROR(Q250,"Unavailable"))</x:f>
      </x:c>
      <x:c r="J350" s="23" t="str">
        <x:f>IF(C350="","",IFERROR(IF(OR(H350&gt;0,AND(AC350&gt;=0,AC350&lt;D350),D350&gt;INDEX('Facilities'!$J$9:$J$108,MATCH(C350,'Facilities'!$C$9:$C$108,0))),0,I350*'Scenario Paths'!I81),"Unavailable"))</x:f>
      </x:c>
      <x:c r="K350" s="23" t="str">
        <x:f>IF(C350="","",IFERROR(IF(OR(H350&gt;0,AND(AC350&gt;=0,AC350=D350)),0,IF(D350&gt;=INDEX('Facilities'!$J$9:$J$108,MATCH(C350,'Facilities'!$C$9:$C$108,0)),G350+J350,MIN(G350+J350,G350*INDEX('Facilities'!$R$9:$R$108,MATCH(C350,'Facilities'!$C$9:$C$108,0))))),"Unavailable"))</x:f>
      </x:c>
      <x:c r="L350" s="21" t="str">
        <x:f>IF(C350="","",IFERROR(IF(AND(AC350=D350,AC350&gt;0),MAX(0,G350+J350-K350),0),"Unavailable"))</x:f>
      </x:c>
      <x:c r="M350" s="23" t="str">
        <x:f>IF(C350="","",IFERROR(IF(AND(AC350&gt;=0,D350&gt;=AC350+INDEX('Facilities'!$AK$9:$AK$108,MATCH(C350,'Facilities'!$C$9:$C$108,0))),(H350+L350)*AM350,0),"Unavailable"))</x:f>
      </x:c>
      <x:c r="N350" s="23" t="str">
        <x:f>IF(C350="","",IFERROR(IF(AND(AC350&gt;=0,D350&gt;=AC350+INDEX('Facilities'!$AK$9:$AK$108,MATCH(C350,'Facilities'!$C$9:$C$108,0))),H350+L350-M350,0),"Unavailable"))</x:f>
      </x:c>
      <x:c r="O350" s="21" t="str">
        <x:f>IF(C350="","",IFERROR(MAX(0,G350+J350-K350-L350),"Unavailable"))</x:f>
      </x:c>
      <x:c r="P350" s="21" t="str">
        <x:f>IF(C350="","",IFERROR(MAX(0,H350+L350-M350-N350),"Unavailable"))</x:f>
      </x:c>
      <x:c r="Q350" s="23" t="str">
        <x:f>IF(C350="","",IFERROR(IF(OR(D350&gt;=INDEX('Facilities'!$J$9:$J$108,MATCH(C350,'Facilities'!$C$9:$C$108,0)),AND(AC350&gt;=0,AC350&lt;=D350)),0,MAX(0,I350-J350)),"Unavailable"))</x:f>
      </x:c>
      <x:c r="R350" s="30" t="str">
        <x:f>IF(C350="","",IFERROR(INDEX(Credit!$Q$309:$Q$408,MATCH(F350,Credit!$C$309:$C$408,0)),"Unavailable"))</x:f>
      </x:c>
      <x:c r="S350" s="30" t="str">
        <x:f>IF(C350="","",IFERROR(INDEX(Credit!$R$309:$R$408,MATCH(F350,Credit!$C$309:$C$408,0)),"Unavailable"))</x:f>
      </x:c>
      <x:c r="T350" s="23" t="str">
        <x:f>IF(C350="","",IFERROR(IF(P350&gt;0,3,IF(OR(INDEX('Facilities'!$AD$9:$AD$108,MATCH(C350,'Facilities'!$C$9:$C$108,0))=2,AND(R350&gt;=INDEX('Facilities'!$L$9:$L$108,MATCH(C350,'Facilities'!$C$9:$C$108,0))*Settings!$F$19,R350-INDEX('Facilities'!$L$9:$L$108,MATCH(C350,'Facilities'!$C$9:$C$108,0))&gt;=Settings!$F$20)),2,1)),"Unavailable"))</x:f>
      </x:c>
      <x:c r="U350" s="23" t="str">
        <x:f>IF(C350="","",IF(AQ350&lt;&gt;"Ready","Unavailable",IF(C350="","",O350*(1-(1-S350)/(1+INDEX('Facilities'!$K$9:$K$108,MATCH(C350,'Facilities'!$C$9:$C$108,0)))^INDEX('Facilities'!$AK$9:$AK$108,MATCH(C350,'Facilities'!$C$9:$C$108,0)))*R350/(1+INDEX('Facilities'!$K$9:$K$108,MATCH(C350,'Facilities'!$C$9:$C$108,0)))*IF(ABS(1-(1-R350)*(1-INDEX('Facilities'!$R$9:$R$108,MATCH(C350,'Facilities'!$C$9:$C$108,0)))/(1+INDEX('Facilities'!$K$9:$K$108,MATCH(C350,'Facilities'!$C$9:$C$108,0))))&lt;0.000000001,IF(T350=1,MIN(1,AJ350),AJ350),(1-((1-R350)*(1-INDEX('Facilities'!$R$9:$R$108,MATCH(C350,'Facilities'!$C$9:$C$108,0)))/(1+INDEX('Facilities'!$K$9:$K$108,MATCH(C350,'Facilities'!$C$9:$C$108,0))))^IF(T350=1,MIN(1,AJ350),AJ350))/(1-(1-R350)*(1-INDEX('Facilities'!$R$9:$R$108,MATCH(C350,'Facilities'!$C$9:$C$108,0)))/(1+INDEX('Facilities'!$K$9:$K$108,MATCH(C350,'Facilities'!$C$9:$C$108,0)))))+AL350)))</x:f>
      </x:c>
      <x:c r="V350" s="23" t="str">
        <x:f>IF(C350="","",IF(AQ350&lt;&gt;"Ready","Unavailable",IF(C350="","",Q350*INDEX('Facilities'!$I$9:$I$108,MATCH(C350,'Facilities'!$C$9:$C$108,0))*(1-(1-S350)/(1+INDEX('Facilities'!$K$9:$K$108,MATCH(C350,'Facilities'!$C$9:$C$108,0)))^INDEX('Facilities'!$AK$9:$AK$108,MATCH(C350,'Facilities'!$C$9:$C$108,0)))*R350/(1+INDEX('Facilities'!$K$9:$K$108,MATCH(C350,'Facilities'!$C$9:$C$108,0)))*IF(ABS(1-(1-R350)*(1-0)/(1+INDEX('Facilities'!$K$9:$K$108,MATCH(C350,'Facilities'!$C$9:$C$108,0))))&lt;0.000000001,IF(T350=1,MIN(1,AJ350),AJ350),(1-((1-R350)*(1-0)/(1+INDEX('Facilities'!$K$9:$K$108,MATCH(C350,'Facilities'!$C$9:$C$108,0))))^IF(T350=1,MIN(1,AJ350),AJ350))/(1-(1-R350)*(1-0)/(1+INDEX('Facilities'!$K$9:$K$108,MATCH(C350,'Facilities'!$C$9:$C$108,0))))))))</x:f>
      </x:c>
      <x:c r="W350" s="21" t="str">
        <x:f>IF(C350="","",IFERROR(U250,"Unavailable"))</x:f>
      </x:c>
      <x:c r="X350" s="21" t="str">
        <x:f>IF(C350="","",IFERROR(V250,"Unavailable"))</x:f>
      </x:c>
      <x:c r="Y350" s="21" t="str">
        <x:f>IF(C350="","",IF(AQ350&lt;&gt;"Ready","Unavailable",IF(C350="","",U350-W350+V350-X350+N350+AG350)))</x:f>
      </x:c>
      <x:c r="Z350" s="23" t="str">
        <x:f>IF(C350="","",IF(AQ350&lt;&gt;"Ready","Unavailable",IF(C350="","",(G350+O350+L350)/2*INDEX('Facilities'!$T$9:$T$108,MATCH(C350,'Facilities'!$C$9:$C$108,0))+AG350)))</x:f>
      </x:c>
      <x:c r="AA350" s="23" t="str">
        <x:f>IF(C350="","",IF(AQ350&lt;&gt;"Ready","Unavailable",IF(C350="","",O350*(1-IF(INDEX('Facilities'!$AA$9:$AA$108,MATCH(C350,'Facilities'!$C$9:$C$108,0))=0,0,MIN(1,INDEX('Facilities'!$X$9:$X$108,MATCH(C350,'Facilities'!$C$9:$C$108,0))/INDEX('Facilities'!$AA$9:$AA$108,MATCH(C350,'Facilities'!$C$9:$C$108,0)))))*AF350+P350*(1-IF(INDEX('Facilities'!$AA$9:$AA$108,MATCH(C350,'Facilities'!$C$9:$C$108,0))=0,0,MIN(1,INDEX('Facilities'!$X$9:$X$108,MATCH(C350,'Facilities'!$C$9:$C$108,0))/INDEX('Facilities'!$AA$9:$AA$108,MATCH(C350,'Facilities'!$C$9:$C$108,0)))))*INDEX('Facilities'!$AJ$9:$AJ$108,MATCH(C350,'Facilities'!$C$9:$C$108,0))+Q350*INDEX('Facilities'!$AI$9:$AI$108,MATCH(C350,'Facilities'!$C$9:$C$108,0))*AF350)))</x:f>
      </x:c>
      <x:c r="AB350" s="21" t="str">
        <x:f>IF(C350="","",O350+P350-AD350)</x:f>
      </x:c>
      <x:c r="AC350" s="23" t="str">
        <x:f>IF(C350="","",IFERROR(IF(INDEX('Facilities'!$AD$9:$AD$108,MATCH(C350,'Facilities'!$C$9:$C$108,0))=3,0,IF(INDEX('Facilities'!$AN$9:$AN$108,MATCH(C350,'Facilities'!$C$9:$C$108,0))=0,-1,INDEX('Facilities'!$AN$9:$AN$108,MATCH(C350,'Facilities'!$C$9:$C$108,0)))),"Unavailable"))</x:f>
      </x:c>
      <x:c r="AD350" s="21" t="str">
        <x:f>IF(C350="","",IFERROR(G350+H350,"Unavailable"))</x:f>
      </x:c>
      <x:c r="AE350" s="21" t="str">
        <x:f>IF(C350="","",IF(AQ350&lt;&gt;"Ready","Unavailable",IF(C350="","",O350+P350-AD350-J350+K350+M350+N350)))</x:f>
      </x:c>
      <x:c r="AF350" s="30" t="str">
        <x:f>IF(C350="","",IFERROR(INDEX('Facilities'!$S$9:$S$108,MATCH(C350,'Facilities'!$C$9:$C$108,0))*'Scenario Paths'!I75,"Unavailable"))</x:f>
      </x:c>
      <x:c r="AG350" s="23" t="str">
        <x:f>IF(C350="","",IF(AQ350&lt;&gt;"Ready","Unavailable",IF(C350="","",IF(H350&gt;0,MAX(0,H350-AK350)*((1+INDEX('Facilities'!$K$9:$K$108,MATCH(C350,'Facilities'!$C$9:$C$108,0)))^MIN(1,MAX(0,AC350+INDEX('Facilities'!$AK$9:$AK$108,MATCH(C350,'Facilities'!$C$9:$C$108,0))-D350+1))-1),0))))</x:f>
      </x:c>
      <x:c r="AH350" s="21" t="str">
        <x:f>IF(C350="","",IF(AQ350&lt;&gt;"Ready","Unavailable",IF(C350="","",O350+P350)))</x:f>
      </x:c>
      <x:c r="AI350" s="21" t="str">
        <x:f>IF(C350="","",IF(AQ350&lt;&gt;"Ready","Unavailable",IF(C350="","",Z350-Y350)))</x:f>
      </x:c>
      <x:c r="AJ350" s="23" t="str">
        <x:f>IF(C350="","",IFERROR(MAX(0,INDEX('Facilities'!$J$9:$J$108,MATCH(C350,'Facilities'!$C$9:$C$108,0))-D350),"Unavailable"))</x:f>
      </x:c>
      <x:c r="AK350" s="21" t="str">
        <x:f>IF(C350="","",IFERROR(AL250,"Unavailable"))</x:f>
      </x:c>
      <x:c r="AL350" s="23" t="str">
        <x:f>IF(C350="","",IFERROR(IF(P350&gt;0,P350*(1-AM350/(1+INDEX('Facilities'!$K$9:$K$108,MATCH(C350,'Facilities'!$C$9:$C$108,0)))^MAX(0,AC350+INDEX('Facilities'!$AK$9:$AK$108,MATCH(C350,'Facilities'!$C$9:$C$108,0))-D350)),0),"Unavailable"))</x:f>
      </x:c>
      <x:c r="AM350" s="30" t="str">
        <x:f>IF(C350="","",IFERROR(INDEX('Facilities'!$AL$9:$AL$108,MATCH(C350,'Facilities'!$C$9:$C$108,0)),"Unavailable"))</x:f>
      </x:c>
      <x:c r="AN350" s="30" t="str">
        <x:f>IF(C350="","",IFERROR(INDEX(Credit!$T$309:$T$408,MATCH(F350,Credit!$C$309:$C$408,0)),"Unavailable"))</x:f>
      </x:c>
      <x:c r="AO350" s="23" t="str">
        <x:f>IF(C350="","",IF(AQ350&lt;&gt;"Ready","Unavailable",IF(C350="","",O350+P350+Q350*INDEX('Facilities'!$I$9:$I$108,MATCH(C350,'Facilities'!$C$9:$C$108,0)))))</x:f>
      </x:c>
      <x:c r="AP350" s="21" t="str">
        <x:f>IF(C350="","",IF(AQ350&lt;&gt;"Ready","Unavailable",IF(C350="","",AH350-U350)))</x:f>
      </x:c>
      <x:c r="AQ350" s="23" t="str">
        <x:f>IFERROR(IF(C350="","",IF(AND(INDEX('Facilities'!$AF$9:$AF$108,MATCH(C350,'Facilities'!$C$9:$C$108,0))="Ready",INDEX(Credit!$U$309:$U$408,MATCH(F350,Credit!$C$309:$C$408,0))="Ready",ISNUMBER(W350)),"Ready","Review inputs")),"Review inputs")</x:f>
      </x:c>
      <x:c r="AR350" s="23" t="str">
        <x:f>IF(C350="","",IF(AQ350&lt;&gt;"Ready","Unavailable",IF(C350="","",IF(O350=0,0,(IF(AJ350&lt;=1,O350,O350*INDEX('Facilities'!$R$9:$R$108,MATCH(C350,'Facilities'!$C$9:$C$108,0)))+O350*INDEX('Facilities'!$T$9:$T$108,MATCH(C350,'Facilities'!$C$9:$C$108,0)))/12))))</x:f>
      </x:c>
    </x:row>
    <x:row r="351" ht="26" customHeight="1">
      <x:c r="A351" s="1"/>
      <x:c r="B351" s="1"/>
      <x:c r="C351" s="9" t="str">
        <x:f>IF(Facilities!C51="","",Facilities!C51)</x:f>
      </x:c>
      <x:c r="D351" s="3" t="n">
        <x:v>4</x:v>
      </x:c>
      <x:c r="E351" s="9" t="n">
        <x:f>Settings!$F$18+3</x:f>
        <x:v>2030</x:v>
      </x:c>
      <x:c r="F351" s="9" t="str">
        <x:f>IF(C351="","",IFERROR(INDEX('Facilities'!$D$9:$D$108,MATCH(C351,'Facilities'!$C$9:$C$108,0)),"Unavailable"))</x:f>
      </x:c>
      <x:c r="G351" s="21" t="str">
        <x:f>IF(C351="","",IFERROR(O251,"Unavailable"))</x:f>
      </x:c>
      <x:c r="H351" s="21" t="str">
        <x:f>IF(C351="","",IFERROR(P251,"Unavailable"))</x:f>
      </x:c>
      <x:c r="I351" s="21" t="str">
        <x:f>IF(C351="","",IFERROR(Q251,"Unavailable"))</x:f>
      </x:c>
      <x:c r="J351" s="23" t="str">
        <x:f>IF(C351="","",IFERROR(IF(OR(H351&gt;0,AND(AC351&gt;=0,AC351&lt;D351),D351&gt;INDEX('Facilities'!$J$9:$J$108,MATCH(C351,'Facilities'!$C$9:$C$108,0))),0,I351*'Scenario Paths'!I81),"Unavailable"))</x:f>
      </x:c>
      <x:c r="K351" s="23" t="str">
        <x:f>IF(C351="","",IFERROR(IF(OR(H351&gt;0,AND(AC351&gt;=0,AC351=D351)),0,IF(D351&gt;=INDEX('Facilities'!$J$9:$J$108,MATCH(C351,'Facilities'!$C$9:$C$108,0)),G351+J351,MIN(G351+J351,G351*INDEX('Facilities'!$R$9:$R$108,MATCH(C351,'Facilities'!$C$9:$C$108,0))))),"Unavailable"))</x:f>
      </x:c>
      <x:c r="L351" s="21" t="str">
        <x:f>IF(C351="","",IFERROR(IF(AND(AC351=D351,AC351&gt;0),MAX(0,G351+J351-K351),0),"Unavailable"))</x:f>
      </x:c>
      <x:c r="M351" s="23" t="str">
        <x:f>IF(C351="","",IFERROR(IF(AND(AC351&gt;=0,D351&gt;=AC351+INDEX('Facilities'!$AK$9:$AK$108,MATCH(C351,'Facilities'!$C$9:$C$108,0))),(H351+L351)*AM351,0),"Unavailable"))</x:f>
      </x:c>
      <x:c r="N351" s="23" t="str">
        <x:f>IF(C351="","",IFERROR(IF(AND(AC351&gt;=0,D351&gt;=AC351+INDEX('Facilities'!$AK$9:$AK$108,MATCH(C351,'Facilities'!$C$9:$C$108,0))),H351+L351-M351,0),"Unavailable"))</x:f>
      </x:c>
      <x:c r="O351" s="21" t="str">
        <x:f>IF(C351="","",IFERROR(MAX(0,G351+J351-K351-L351),"Unavailable"))</x:f>
      </x:c>
      <x:c r="P351" s="21" t="str">
        <x:f>IF(C351="","",IFERROR(MAX(0,H351+L351-M351-N351),"Unavailable"))</x:f>
      </x:c>
      <x:c r="Q351" s="23" t="str">
        <x:f>IF(C351="","",IFERROR(IF(OR(D351&gt;=INDEX('Facilities'!$J$9:$J$108,MATCH(C351,'Facilities'!$C$9:$C$108,0)),AND(AC351&gt;=0,AC351&lt;=D351)),0,MAX(0,I351-J351)),"Unavailable"))</x:f>
      </x:c>
      <x:c r="R351" s="30" t="str">
        <x:f>IF(C351="","",IFERROR(INDEX(Credit!$Q$309:$Q$408,MATCH(F351,Credit!$C$309:$C$408,0)),"Unavailable"))</x:f>
      </x:c>
      <x:c r="S351" s="30" t="str">
        <x:f>IF(C351="","",IFERROR(INDEX(Credit!$R$309:$R$408,MATCH(F351,Credit!$C$309:$C$408,0)),"Unavailable"))</x:f>
      </x:c>
      <x:c r="T351" s="23" t="str">
        <x:f>IF(C351="","",IFERROR(IF(P351&gt;0,3,IF(OR(INDEX('Facilities'!$AD$9:$AD$108,MATCH(C351,'Facilities'!$C$9:$C$108,0))=2,AND(R351&gt;=INDEX('Facilities'!$L$9:$L$108,MATCH(C351,'Facilities'!$C$9:$C$108,0))*Settings!$F$19,R351-INDEX('Facilities'!$L$9:$L$108,MATCH(C351,'Facilities'!$C$9:$C$108,0))&gt;=Settings!$F$20)),2,1)),"Unavailable"))</x:f>
      </x:c>
      <x:c r="U351" s="23" t="str">
        <x:f>IF(C351="","",IF(AQ351&lt;&gt;"Ready","Unavailable",IF(C351="","",O351*(1-(1-S351)/(1+INDEX('Facilities'!$K$9:$K$108,MATCH(C351,'Facilities'!$C$9:$C$108,0)))^INDEX('Facilities'!$AK$9:$AK$108,MATCH(C351,'Facilities'!$C$9:$C$108,0)))*R351/(1+INDEX('Facilities'!$K$9:$K$108,MATCH(C351,'Facilities'!$C$9:$C$108,0)))*IF(ABS(1-(1-R351)*(1-INDEX('Facilities'!$R$9:$R$108,MATCH(C351,'Facilities'!$C$9:$C$108,0)))/(1+INDEX('Facilities'!$K$9:$K$108,MATCH(C351,'Facilities'!$C$9:$C$108,0))))&lt;0.000000001,IF(T351=1,MIN(1,AJ351),AJ351),(1-((1-R351)*(1-INDEX('Facilities'!$R$9:$R$108,MATCH(C351,'Facilities'!$C$9:$C$108,0)))/(1+INDEX('Facilities'!$K$9:$K$108,MATCH(C351,'Facilities'!$C$9:$C$108,0))))^IF(T351=1,MIN(1,AJ351),AJ351))/(1-(1-R351)*(1-INDEX('Facilities'!$R$9:$R$108,MATCH(C351,'Facilities'!$C$9:$C$108,0)))/(1+INDEX('Facilities'!$K$9:$K$108,MATCH(C351,'Facilities'!$C$9:$C$108,0)))))+AL351)))</x:f>
      </x:c>
      <x:c r="V351" s="23" t="str">
        <x:f>IF(C351="","",IF(AQ351&lt;&gt;"Ready","Unavailable",IF(C351="","",Q351*INDEX('Facilities'!$I$9:$I$108,MATCH(C351,'Facilities'!$C$9:$C$108,0))*(1-(1-S351)/(1+INDEX('Facilities'!$K$9:$K$108,MATCH(C351,'Facilities'!$C$9:$C$108,0)))^INDEX('Facilities'!$AK$9:$AK$108,MATCH(C351,'Facilities'!$C$9:$C$108,0)))*R351/(1+INDEX('Facilities'!$K$9:$K$108,MATCH(C351,'Facilities'!$C$9:$C$108,0)))*IF(ABS(1-(1-R351)*(1-0)/(1+INDEX('Facilities'!$K$9:$K$108,MATCH(C351,'Facilities'!$C$9:$C$108,0))))&lt;0.000000001,IF(T351=1,MIN(1,AJ351),AJ351),(1-((1-R351)*(1-0)/(1+INDEX('Facilities'!$K$9:$K$108,MATCH(C351,'Facilities'!$C$9:$C$108,0))))^IF(T351=1,MIN(1,AJ351),AJ351))/(1-(1-R351)*(1-0)/(1+INDEX('Facilities'!$K$9:$K$108,MATCH(C351,'Facilities'!$C$9:$C$108,0))))))))</x:f>
      </x:c>
      <x:c r="W351" s="21" t="str">
        <x:f>IF(C351="","",IFERROR(U251,"Unavailable"))</x:f>
      </x:c>
      <x:c r="X351" s="21" t="str">
        <x:f>IF(C351="","",IFERROR(V251,"Unavailable"))</x:f>
      </x:c>
      <x:c r="Y351" s="21" t="str">
        <x:f>IF(C351="","",IF(AQ351&lt;&gt;"Ready","Unavailable",IF(C351="","",U351-W351+V351-X351+N351+AG351)))</x:f>
      </x:c>
      <x:c r="Z351" s="23" t="str">
        <x:f>IF(C351="","",IF(AQ351&lt;&gt;"Ready","Unavailable",IF(C351="","",(G351+O351+L351)/2*INDEX('Facilities'!$T$9:$T$108,MATCH(C351,'Facilities'!$C$9:$C$108,0))+AG351)))</x:f>
      </x:c>
      <x:c r="AA351" s="23" t="str">
        <x:f>IF(C351="","",IF(AQ351&lt;&gt;"Ready","Unavailable",IF(C351="","",O351*(1-IF(INDEX('Facilities'!$AA$9:$AA$108,MATCH(C351,'Facilities'!$C$9:$C$108,0))=0,0,MIN(1,INDEX('Facilities'!$X$9:$X$108,MATCH(C351,'Facilities'!$C$9:$C$108,0))/INDEX('Facilities'!$AA$9:$AA$108,MATCH(C351,'Facilities'!$C$9:$C$108,0)))))*AF351+P351*(1-IF(INDEX('Facilities'!$AA$9:$AA$108,MATCH(C351,'Facilities'!$C$9:$C$108,0))=0,0,MIN(1,INDEX('Facilities'!$X$9:$X$108,MATCH(C351,'Facilities'!$C$9:$C$108,0))/INDEX('Facilities'!$AA$9:$AA$108,MATCH(C351,'Facilities'!$C$9:$C$108,0)))))*INDEX('Facilities'!$AJ$9:$AJ$108,MATCH(C351,'Facilities'!$C$9:$C$108,0))+Q351*INDEX('Facilities'!$AI$9:$AI$108,MATCH(C351,'Facilities'!$C$9:$C$108,0))*AF351)))</x:f>
      </x:c>
      <x:c r="AB351" s="21" t="str">
        <x:f>IF(C351="","",O351+P351-AD351)</x:f>
      </x:c>
      <x:c r="AC351" s="23" t="str">
        <x:f>IF(C351="","",IFERROR(IF(INDEX('Facilities'!$AD$9:$AD$108,MATCH(C351,'Facilities'!$C$9:$C$108,0))=3,0,IF(INDEX('Facilities'!$AN$9:$AN$108,MATCH(C351,'Facilities'!$C$9:$C$108,0))=0,-1,INDEX('Facilities'!$AN$9:$AN$108,MATCH(C351,'Facilities'!$C$9:$C$108,0)))),"Unavailable"))</x:f>
      </x:c>
      <x:c r="AD351" s="21" t="str">
        <x:f>IF(C351="","",IFERROR(G351+H351,"Unavailable"))</x:f>
      </x:c>
      <x:c r="AE351" s="21" t="str">
        <x:f>IF(C351="","",IF(AQ351&lt;&gt;"Ready","Unavailable",IF(C351="","",O351+P351-AD351-J351+K351+M351+N351)))</x:f>
      </x:c>
      <x:c r="AF351" s="30" t="str">
        <x:f>IF(C351="","",IFERROR(INDEX('Facilities'!$S$9:$S$108,MATCH(C351,'Facilities'!$C$9:$C$108,0))*'Scenario Paths'!I75,"Unavailable"))</x:f>
      </x:c>
      <x:c r="AG351" s="23" t="str">
        <x:f>IF(C351="","",IF(AQ351&lt;&gt;"Ready","Unavailable",IF(C351="","",IF(H351&gt;0,MAX(0,H351-AK351)*((1+INDEX('Facilities'!$K$9:$K$108,MATCH(C351,'Facilities'!$C$9:$C$108,0)))^MIN(1,MAX(0,AC351+INDEX('Facilities'!$AK$9:$AK$108,MATCH(C351,'Facilities'!$C$9:$C$108,0))-D351+1))-1),0))))</x:f>
      </x:c>
      <x:c r="AH351" s="21" t="str">
        <x:f>IF(C351="","",IF(AQ351&lt;&gt;"Ready","Unavailable",IF(C351="","",O351+P351)))</x:f>
      </x:c>
      <x:c r="AI351" s="21" t="str">
        <x:f>IF(C351="","",IF(AQ351&lt;&gt;"Ready","Unavailable",IF(C351="","",Z351-Y351)))</x:f>
      </x:c>
      <x:c r="AJ351" s="23" t="str">
        <x:f>IF(C351="","",IFERROR(MAX(0,INDEX('Facilities'!$J$9:$J$108,MATCH(C351,'Facilities'!$C$9:$C$108,0))-D351),"Unavailable"))</x:f>
      </x:c>
      <x:c r="AK351" s="21" t="str">
        <x:f>IF(C351="","",IFERROR(AL251,"Unavailable"))</x:f>
      </x:c>
      <x:c r="AL351" s="23" t="str">
        <x:f>IF(C351="","",IFERROR(IF(P351&gt;0,P351*(1-AM351/(1+INDEX('Facilities'!$K$9:$K$108,MATCH(C351,'Facilities'!$C$9:$C$108,0)))^MAX(0,AC351+INDEX('Facilities'!$AK$9:$AK$108,MATCH(C351,'Facilities'!$C$9:$C$108,0))-D351)),0),"Unavailable"))</x:f>
      </x:c>
      <x:c r="AM351" s="30" t="str">
        <x:f>IF(C351="","",IFERROR(INDEX('Facilities'!$AL$9:$AL$108,MATCH(C351,'Facilities'!$C$9:$C$108,0)),"Unavailable"))</x:f>
      </x:c>
      <x:c r="AN351" s="30" t="str">
        <x:f>IF(C351="","",IFERROR(INDEX(Credit!$T$309:$T$408,MATCH(F351,Credit!$C$309:$C$408,0)),"Unavailable"))</x:f>
      </x:c>
      <x:c r="AO351" s="23" t="str">
        <x:f>IF(C351="","",IF(AQ351&lt;&gt;"Ready","Unavailable",IF(C351="","",O351+P351+Q351*INDEX('Facilities'!$I$9:$I$108,MATCH(C351,'Facilities'!$C$9:$C$108,0)))))</x:f>
      </x:c>
      <x:c r="AP351" s="21" t="str">
        <x:f>IF(C351="","",IF(AQ351&lt;&gt;"Ready","Unavailable",IF(C351="","",AH351-U351)))</x:f>
      </x:c>
      <x:c r="AQ351" s="23" t="str">
        <x:f>IFERROR(IF(C351="","",IF(AND(INDEX('Facilities'!$AF$9:$AF$108,MATCH(C351,'Facilities'!$C$9:$C$108,0))="Ready",INDEX(Credit!$U$309:$U$408,MATCH(F351,Credit!$C$309:$C$408,0))="Ready",ISNUMBER(W351)),"Ready","Review inputs")),"Review inputs")</x:f>
      </x:c>
      <x:c r="AR351" s="23" t="str">
        <x:f>IF(C351="","",IF(AQ351&lt;&gt;"Ready","Unavailable",IF(C351="","",IF(O351=0,0,(IF(AJ351&lt;=1,O351,O351*INDEX('Facilities'!$R$9:$R$108,MATCH(C351,'Facilities'!$C$9:$C$108,0)))+O351*INDEX('Facilities'!$T$9:$T$108,MATCH(C351,'Facilities'!$C$9:$C$108,0)))/12))))</x:f>
      </x:c>
    </x:row>
    <x:row r="352" ht="26" customHeight="1">
      <x:c r="A352" s="1"/>
      <x:c r="B352" s="1"/>
      <x:c r="C352" s="9" t="str">
        <x:f>IF(Facilities!C52="","",Facilities!C52)</x:f>
      </x:c>
      <x:c r="D352" s="3" t="n">
        <x:v>4</x:v>
      </x:c>
      <x:c r="E352" s="9" t="n">
        <x:f>Settings!$F$18+3</x:f>
        <x:v>2030</x:v>
      </x:c>
      <x:c r="F352" s="9" t="str">
        <x:f>IF(C352="","",IFERROR(INDEX('Facilities'!$D$9:$D$108,MATCH(C352,'Facilities'!$C$9:$C$108,0)),"Unavailable"))</x:f>
      </x:c>
      <x:c r="G352" s="21" t="str">
        <x:f>IF(C352="","",IFERROR(O252,"Unavailable"))</x:f>
      </x:c>
      <x:c r="H352" s="21" t="str">
        <x:f>IF(C352="","",IFERROR(P252,"Unavailable"))</x:f>
      </x:c>
      <x:c r="I352" s="21" t="str">
        <x:f>IF(C352="","",IFERROR(Q252,"Unavailable"))</x:f>
      </x:c>
      <x:c r="J352" s="23" t="str">
        <x:f>IF(C352="","",IFERROR(IF(OR(H352&gt;0,AND(AC352&gt;=0,AC352&lt;D352),D352&gt;INDEX('Facilities'!$J$9:$J$108,MATCH(C352,'Facilities'!$C$9:$C$108,0))),0,I352*'Scenario Paths'!I81),"Unavailable"))</x:f>
      </x:c>
      <x:c r="K352" s="23" t="str">
        <x:f>IF(C352="","",IFERROR(IF(OR(H352&gt;0,AND(AC352&gt;=0,AC352=D352)),0,IF(D352&gt;=INDEX('Facilities'!$J$9:$J$108,MATCH(C352,'Facilities'!$C$9:$C$108,0)),G352+J352,MIN(G352+J352,G352*INDEX('Facilities'!$R$9:$R$108,MATCH(C352,'Facilities'!$C$9:$C$108,0))))),"Unavailable"))</x:f>
      </x:c>
      <x:c r="L352" s="21" t="str">
        <x:f>IF(C352="","",IFERROR(IF(AND(AC352=D352,AC352&gt;0),MAX(0,G352+J352-K352),0),"Unavailable"))</x:f>
      </x:c>
      <x:c r="M352" s="23" t="str">
        <x:f>IF(C352="","",IFERROR(IF(AND(AC352&gt;=0,D352&gt;=AC352+INDEX('Facilities'!$AK$9:$AK$108,MATCH(C352,'Facilities'!$C$9:$C$108,0))),(H352+L352)*AM352,0),"Unavailable"))</x:f>
      </x:c>
      <x:c r="N352" s="23" t="str">
        <x:f>IF(C352="","",IFERROR(IF(AND(AC352&gt;=0,D352&gt;=AC352+INDEX('Facilities'!$AK$9:$AK$108,MATCH(C352,'Facilities'!$C$9:$C$108,0))),H352+L352-M352,0),"Unavailable"))</x:f>
      </x:c>
      <x:c r="O352" s="21" t="str">
        <x:f>IF(C352="","",IFERROR(MAX(0,G352+J352-K352-L352),"Unavailable"))</x:f>
      </x:c>
      <x:c r="P352" s="21" t="str">
        <x:f>IF(C352="","",IFERROR(MAX(0,H352+L352-M352-N352),"Unavailable"))</x:f>
      </x:c>
      <x:c r="Q352" s="23" t="str">
        <x:f>IF(C352="","",IFERROR(IF(OR(D352&gt;=INDEX('Facilities'!$J$9:$J$108,MATCH(C352,'Facilities'!$C$9:$C$108,0)),AND(AC352&gt;=0,AC352&lt;=D352)),0,MAX(0,I352-J352)),"Unavailable"))</x:f>
      </x:c>
      <x:c r="R352" s="30" t="str">
        <x:f>IF(C352="","",IFERROR(INDEX(Credit!$Q$309:$Q$408,MATCH(F352,Credit!$C$309:$C$408,0)),"Unavailable"))</x:f>
      </x:c>
      <x:c r="S352" s="30" t="str">
        <x:f>IF(C352="","",IFERROR(INDEX(Credit!$R$309:$R$408,MATCH(F352,Credit!$C$309:$C$408,0)),"Unavailable"))</x:f>
      </x:c>
      <x:c r="T352" s="23" t="str">
        <x:f>IF(C352="","",IFERROR(IF(P352&gt;0,3,IF(OR(INDEX('Facilities'!$AD$9:$AD$108,MATCH(C352,'Facilities'!$C$9:$C$108,0))=2,AND(R352&gt;=INDEX('Facilities'!$L$9:$L$108,MATCH(C352,'Facilities'!$C$9:$C$108,0))*Settings!$F$19,R352-INDEX('Facilities'!$L$9:$L$108,MATCH(C352,'Facilities'!$C$9:$C$108,0))&gt;=Settings!$F$20)),2,1)),"Unavailable"))</x:f>
      </x:c>
      <x:c r="U352" s="23" t="str">
        <x:f>IF(C352="","",IF(AQ352&lt;&gt;"Ready","Unavailable",IF(C352="","",O352*(1-(1-S352)/(1+INDEX('Facilities'!$K$9:$K$108,MATCH(C352,'Facilities'!$C$9:$C$108,0)))^INDEX('Facilities'!$AK$9:$AK$108,MATCH(C352,'Facilities'!$C$9:$C$108,0)))*R352/(1+INDEX('Facilities'!$K$9:$K$108,MATCH(C352,'Facilities'!$C$9:$C$108,0)))*IF(ABS(1-(1-R352)*(1-INDEX('Facilities'!$R$9:$R$108,MATCH(C352,'Facilities'!$C$9:$C$108,0)))/(1+INDEX('Facilities'!$K$9:$K$108,MATCH(C352,'Facilities'!$C$9:$C$108,0))))&lt;0.000000001,IF(T352=1,MIN(1,AJ352),AJ352),(1-((1-R352)*(1-INDEX('Facilities'!$R$9:$R$108,MATCH(C352,'Facilities'!$C$9:$C$108,0)))/(1+INDEX('Facilities'!$K$9:$K$108,MATCH(C352,'Facilities'!$C$9:$C$108,0))))^IF(T352=1,MIN(1,AJ352),AJ352))/(1-(1-R352)*(1-INDEX('Facilities'!$R$9:$R$108,MATCH(C352,'Facilities'!$C$9:$C$108,0)))/(1+INDEX('Facilities'!$K$9:$K$108,MATCH(C352,'Facilities'!$C$9:$C$108,0)))))+AL352)))</x:f>
      </x:c>
      <x:c r="V352" s="23" t="str">
        <x:f>IF(C352="","",IF(AQ352&lt;&gt;"Ready","Unavailable",IF(C352="","",Q352*INDEX('Facilities'!$I$9:$I$108,MATCH(C352,'Facilities'!$C$9:$C$108,0))*(1-(1-S352)/(1+INDEX('Facilities'!$K$9:$K$108,MATCH(C352,'Facilities'!$C$9:$C$108,0)))^INDEX('Facilities'!$AK$9:$AK$108,MATCH(C352,'Facilities'!$C$9:$C$108,0)))*R352/(1+INDEX('Facilities'!$K$9:$K$108,MATCH(C352,'Facilities'!$C$9:$C$108,0)))*IF(ABS(1-(1-R352)*(1-0)/(1+INDEX('Facilities'!$K$9:$K$108,MATCH(C352,'Facilities'!$C$9:$C$108,0))))&lt;0.000000001,IF(T352=1,MIN(1,AJ352),AJ352),(1-((1-R352)*(1-0)/(1+INDEX('Facilities'!$K$9:$K$108,MATCH(C352,'Facilities'!$C$9:$C$108,0))))^IF(T352=1,MIN(1,AJ352),AJ352))/(1-(1-R352)*(1-0)/(1+INDEX('Facilities'!$K$9:$K$108,MATCH(C352,'Facilities'!$C$9:$C$108,0))))))))</x:f>
      </x:c>
      <x:c r="W352" s="21" t="str">
        <x:f>IF(C352="","",IFERROR(U252,"Unavailable"))</x:f>
      </x:c>
      <x:c r="X352" s="21" t="str">
        <x:f>IF(C352="","",IFERROR(V252,"Unavailable"))</x:f>
      </x:c>
      <x:c r="Y352" s="21" t="str">
        <x:f>IF(C352="","",IF(AQ352&lt;&gt;"Ready","Unavailable",IF(C352="","",U352-W352+V352-X352+N352+AG352)))</x:f>
      </x:c>
      <x:c r="Z352" s="23" t="str">
        <x:f>IF(C352="","",IF(AQ352&lt;&gt;"Ready","Unavailable",IF(C352="","",(G352+O352+L352)/2*INDEX('Facilities'!$T$9:$T$108,MATCH(C352,'Facilities'!$C$9:$C$108,0))+AG352)))</x:f>
      </x:c>
      <x:c r="AA352" s="23" t="str">
        <x:f>IF(C352="","",IF(AQ352&lt;&gt;"Ready","Unavailable",IF(C352="","",O352*(1-IF(INDEX('Facilities'!$AA$9:$AA$108,MATCH(C352,'Facilities'!$C$9:$C$108,0))=0,0,MIN(1,INDEX('Facilities'!$X$9:$X$108,MATCH(C352,'Facilities'!$C$9:$C$108,0))/INDEX('Facilities'!$AA$9:$AA$108,MATCH(C352,'Facilities'!$C$9:$C$108,0)))))*AF352+P352*(1-IF(INDEX('Facilities'!$AA$9:$AA$108,MATCH(C352,'Facilities'!$C$9:$C$108,0))=0,0,MIN(1,INDEX('Facilities'!$X$9:$X$108,MATCH(C352,'Facilities'!$C$9:$C$108,0))/INDEX('Facilities'!$AA$9:$AA$108,MATCH(C352,'Facilities'!$C$9:$C$108,0)))))*INDEX('Facilities'!$AJ$9:$AJ$108,MATCH(C352,'Facilities'!$C$9:$C$108,0))+Q352*INDEX('Facilities'!$AI$9:$AI$108,MATCH(C352,'Facilities'!$C$9:$C$108,0))*AF352)))</x:f>
      </x:c>
      <x:c r="AB352" s="21" t="str">
        <x:f>IF(C352="","",O352+P352-AD352)</x:f>
      </x:c>
      <x:c r="AC352" s="23" t="str">
        <x:f>IF(C352="","",IFERROR(IF(INDEX('Facilities'!$AD$9:$AD$108,MATCH(C352,'Facilities'!$C$9:$C$108,0))=3,0,IF(INDEX('Facilities'!$AN$9:$AN$108,MATCH(C352,'Facilities'!$C$9:$C$108,0))=0,-1,INDEX('Facilities'!$AN$9:$AN$108,MATCH(C352,'Facilities'!$C$9:$C$108,0)))),"Unavailable"))</x:f>
      </x:c>
      <x:c r="AD352" s="21" t="str">
        <x:f>IF(C352="","",IFERROR(G352+H352,"Unavailable"))</x:f>
      </x:c>
      <x:c r="AE352" s="21" t="str">
        <x:f>IF(C352="","",IF(AQ352&lt;&gt;"Ready","Unavailable",IF(C352="","",O352+P352-AD352-J352+K352+M352+N352)))</x:f>
      </x:c>
      <x:c r="AF352" s="30" t="str">
        <x:f>IF(C352="","",IFERROR(INDEX('Facilities'!$S$9:$S$108,MATCH(C352,'Facilities'!$C$9:$C$108,0))*'Scenario Paths'!I75,"Unavailable"))</x:f>
      </x:c>
      <x:c r="AG352" s="23" t="str">
        <x:f>IF(C352="","",IF(AQ352&lt;&gt;"Ready","Unavailable",IF(C352="","",IF(H352&gt;0,MAX(0,H352-AK352)*((1+INDEX('Facilities'!$K$9:$K$108,MATCH(C352,'Facilities'!$C$9:$C$108,0)))^MIN(1,MAX(0,AC352+INDEX('Facilities'!$AK$9:$AK$108,MATCH(C352,'Facilities'!$C$9:$C$108,0))-D352+1))-1),0))))</x:f>
      </x:c>
      <x:c r="AH352" s="21" t="str">
        <x:f>IF(C352="","",IF(AQ352&lt;&gt;"Ready","Unavailable",IF(C352="","",O352+P352)))</x:f>
      </x:c>
      <x:c r="AI352" s="21" t="str">
        <x:f>IF(C352="","",IF(AQ352&lt;&gt;"Ready","Unavailable",IF(C352="","",Z352-Y352)))</x:f>
      </x:c>
      <x:c r="AJ352" s="23" t="str">
        <x:f>IF(C352="","",IFERROR(MAX(0,INDEX('Facilities'!$J$9:$J$108,MATCH(C352,'Facilities'!$C$9:$C$108,0))-D352),"Unavailable"))</x:f>
      </x:c>
      <x:c r="AK352" s="21" t="str">
        <x:f>IF(C352="","",IFERROR(AL252,"Unavailable"))</x:f>
      </x:c>
      <x:c r="AL352" s="23" t="str">
        <x:f>IF(C352="","",IFERROR(IF(P352&gt;0,P352*(1-AM352/(1+INDEX('Facilities'!$K$9:$K$108,MATCH(C352,'Facilities'!$C$9:$C$108,0)))^MAX(0,AC352+INDEX('Facilities'!$AK$9:$AK$108,MATCH(C352,'Facilities'!$C$9:$C$108,0))-D352)),0),"Unavailable"))</x:f>
      </x:c>
      <x:c r="AM352" s="30" t="str">
        <x:f>IF(C352="","",IFERROR(INDEX('Facilities'!$AL$9:$AL$108,MATCH(C352,'Facilities'!$C$9:$C$108,0)),"Unavailable"))</x:f>
      </x:c>
      <x:c r="AN352" s="30" t="str">
        <x:f>IF(C352="","",IFERROR(INDEX(Credit!$T$309:$T$408,MATCH(F352,Credit!$C$309:$C$408,0)),"Unavailable"))</x:f>
      </x:c>
      <x:c r="AO352" s="23" t="str">
        <x:f>IF(C352="","",IF(AQ352&lt;&gt;"Ready","Unavailable",IF(C352="","",O352+P352+Q352*INDEX('Facilities'!$I$9:$I$108,MATCH(C352,'Facilities'!$C$9:$C$108,0)))))</x:f>
      </x:c>
      <x:c r="AP352" s="21" t="str">
        <x:f>IF(C352="","",IF(AQ352&lt;&gt;"Ready","Unavailable",IF(C352="","",AH352-U352)))</x:f>
      </x:c>
      <x:c r="AQ352" s="23" t="str">
        <x:f>IFERROR(IF(C352="","",IF(AND(INDEX('Facilities'!$AF$9:$AF$108,MATCH(C352,'Facilities'!$C$9:$C$108,0))="Ready",INDEX(Credit!$U$309:$U$408,MATCH(F352,Credit!$C$309:$C$408,0))="Ready",ISNUMBER(W352)),"Ready","Review inputs")),"Review inputs")</x:f>
      </x:c>
      <x:c r="AR352" s="23" t="str">
        <x:f>IF(C352="","",IF(AQ352&lt;&gt;"Ready","Unavailable",IF(C352="","",IF(O352=0,0,(IF(AJ352&lt;=1,O352,O352*INDEX('Facilities'!$R$9:$R$108,MATCH(C352,'Facilities'!$C$9:$C$108,0)))+O352*INDEX('Facilities'!$T$9:$T$108,MATCH(C352,'Facilities'!$C$9:$C$108,0)))/12))))</x:f>
      </x:c>
    </x:row>
    <x:row r="353" ht="26" customHeight="1">
      <x:c r="A353" s="1"/>
      <x:c r="B353" s="1"/>
      <x:c r="C353" s="9" t="str">
        <x:f>IF(Facilities!C53="","",Facilities!C53)</x:f>
      </x:c>
      <x:c r="D353" s="3" t="n">
        <x:v>4</x:v>
      </x:c>
      <x:c r="E353" s="9" t="n">
        <x:f>Settings!$F$18+3</x:f>
        <x:v>2030</x:v>
      </x:c>
      <x:c r="F353" s="9" t="str">
        <x:f>IF(C353="","",IFERROR(INDEX('Facilities'!$D$9:$D$108,MATCH(C353,'Facilities'!$C$9:$C$108,0)),"Unavailable"))</x:f>
      </x:c>
      <x:c r="G353" s="21" t="str">
        <x:f>IF(C353="","",IFERROR(O253,"Unavailable"))</x:f>
      </x:c>
      <x:c r="H353" s="21" t="str">
        <x:f>IF(C353="","",IFERROR(P253,"Unavailable"))</x:f>
      </x:c>
      <x:c r="I353" s="21" t="str">
        <x:f>IF(C353="","",IFERROR(Q253,"Unavailable"))</x:f>
      </x:c>
      <x:c r="J353" s="23" t="str">
        <x:f>IF(C353="","",IFERROR(IF(OR(H353&gt;0,AND(AC353&gt;=0,AC353&lt;D353),D353&gt;INDEX('Facilities'!$J$9:$J$108,MATCH(C353,'Facilities'!$C$9:$C$108,0))),0,I353*'Scenario Paths'!I81),"Unavailable"))</x:f>
      </x:c>
      <x:c r="K353" s="23" t="str">
        <x:f>IF(C353="","",IFERROR(IF(OR(H353&gt;0,AND(AC353&gt;=0,AC353=D353)),0,IF(D353&gt;=INDEX('Facilities'!$J$9:$J$108,MATCH(C353,'Facilities'!$C$9:$C$108,0)),G353+J353,MIN(G353+J353,G353*INDEX('Facilities'!$R$9:$R$108,MATCH(C353,'Facilities'!$C$9:$C$108,0))))),"Unavailable"))</x:f>
      </x:c>
      <x:c r="L353" s="21" t="str">
        <x:f>IF(C353="","",IFERROR(IF(AND(AC353=D353,AC353&gt;0),MAX(0,G353+J353-K353),0),"Unavailable"))</x:f>
      </x:c>
      <x:c r="M353" s="23" t="str">
        <x:f>IF(C353="","",IFERROR(IF(AND(AC353&gt;=0,D353&gt;=AC353+INDEX('Facilities'!$AK$9:$AK$108,MATCH(C353,'Facilities'!$C$9:$C$108,0))),(H353+L353)*AM353,0),"Unavailable"))</x:f>
      </x:c>
      <x:c r="N353" s="23" t="str">
        <x:f>IF(C353="","",IFERROR(IF(AND(AC353&gt;=0,D353&gt;=AC353+INDEX('Facilities'!$AK$9:$AK$108,MATCH(C353,'Facilities'!$C$9:$C$108,0))),H353+L353-M353,0),"Unavailable"))</x:f>
      </x:c>
      <x:c r="O353" s="21" t="str">
        <x:f>IF(C353="","",IFERROR(MAX(0,G353+J353-K353-L353),"Unavailable"))</x:f>
      </x:c>
      <x:c r="P353" s="21" t="str">
        <x:f>IF(C353="","",IFERROR(MAX(0,H353+L353-M353-N353),"Unavailable"))</x:f>
      </x:c>
      <x:c r="Q353" s="23" t="str">
        <x:f>IF(C353="","",IFERROR(IF(OR(D353&gt;=INDEX('Facilities'!$J$9:$J$108,MATCH(C353,'Facilities'!$C$9:$C$108,0)),AND(AC353&gt;=0,AC353&lt;=D353)),0,MAX(0,I353-J353)),"Unavailable"))</x:f>
      </x:c>
      <x:c r="R353" s="30" t="str">
        <x:f>IF(C353="","",IFERROR(INDEX(Credit!$Q$309:$Q$408,MATCH(F353,Credit!$C$309:$C$408,0)),"Unavailable"))</x:f>
      </x:c>
      <x:c r="S353" s="30" t="str">
        <x:f>IF(C353="","",IFERROR(INDEX(Credit!$R$309:$R$408,MATCH(F353,Credit!$C$309:$C$408,0)),"Unavailable"))</x:f>
      </x:c>
      <x:c r="T353" s="23" t="str">
        <x:f>IF(C353="","",IFERROR(IF(P353&gt;0,3,IF(OR(INDEX('Facilities'!$AD$9:$AD$108,MATCH(C353,'Facilities'!$C$9:$C$108,0))=2,AND(R353&gt;=INDEX('Facilities'!$L$9:$L$108,MATCH(C353,'Facilities'!$C$9:$C$108,0))*Settings!$F$19,R353-INDEX('Facilities'!$L$9:$L$108,MATCH(C353,'Facilities'!$C$9:$C$108,0))&gt;=Settings!$F$20)),2,1)),"Unavailable"))</x:f>
      </x:c>
      <x:c r="U353" s="23" t="str">
        <x:f>IF(C353="","",IF(AQ353&lt;&gt;"Ready","Unavailable",IF(C353="","",O353*(1-(1-S353)/(1+INDEX('Facilities'!$K$9:$K$108,MATCH(C353,'Facilities'!$C$9:$C$108,0)))^INDEX('Facilities'!$AK$9:$AK$108,MATCH(C353,'Facilities'!$C$9:$C$108,0)))*R353/(1+INDEX('Facilities'!$K$9:$K$108,MATCH(C353,'Facilities'!$C$9:$C$108,0)))*IF(ABS(1-(1-R353)*(1-INDEX('Facilities'!$R$9:$R$108,MATCH(C353,'Facilities'!$C$9:$C$108,0)))/(1+INDEX('Facilities'!$K$9:$K$108,MATCH(C353,'Facilities'!$C$9:$C$108,0))))&lt;0.000000001,IF(T353=1,MIN(1,AJ353),AJ353),(1-((1-R353)*(1-INDEX('Facilities'!$R$9:$R$108,MATCH(C353,'Facilities'!$C$9:$C$108,0)))/(1+INDEX('Facilities'!$K$9:$K$108,MATCH(C353,'Facilities'!$C$9:$C$108,0))))^IF(T353=1,MIN(1,AJ353),AJ353))/(1-(1-R353)*(1-INDEX('Facilities'!$R$9:$R$108,MATCH(C353,'Facilities'!$C$9:$C$108,0)))/(1+INDEX('Facilities'!$K$9:$K$108,MATCH(C353,'Facilities'!$C$9:$C$108,0)))))+AL353)))</x:f>
      </x:c>
      <x:c r="V353" s="23" t="str">
        <x:f>IF(C353="","",IF(AQ353&lt;&gt;"Ready","Unavailable",IF(C353="","",Q353*INDEX('Facilities'!$I$9:$I$108,MATCH(C353,'Facilities'!$C$9:$C$108,0))*(1-(1-S353)/(1+INDEX('Facilities'!$K$9:$K$108,MATCH(C353,'Facilities'!$C$9:$C$108,0)))^INDEX('Facilities'!$AK$9:$AK$108,MATCH(C353,'Facilities'!$C$9:$C$108,0)))*R353/(1+INDEX('Facilities'!$K$9:$K$108,MATCH(C353,'Facilities'!$C$9:$C$108,0)))*IF(ABS(1-(1-R353)*(1-0)/(1+INDEX('Facilities'!$K$9:$K$108,MATCH(C353,'Facilities'!$C$9:$C$108,0))))&lt;0.000000001,IF(T353=1,MIN(1,AJ353),AJ353),(1-((1-R353)*(1-0)/(1+INDEX('Facilities'!$K$9:$K$108,MATCH(C353,'Facilities'!$C$9:$C$108,0))))^IF(T353=1,MIN(1,AJ353),AJ353))/(1-(1-R353)*(1-0)/(1+INDEX('Facilities'!$K$9:$K$108,MATCH(C353,'Facilities'!$C$9:$C$108,0))))))))</x:f>
      </x:c>
      <x:c r="W353" s="21" t="str">
        <x:f>IF(C353="","",IFERROR(U253,"Unavailable"))</x:f>
      </x:c>
      <x:c r="X353" s="21" t="str">
        <x:f>IF(C353="","",IFERROR(V253,"Unavailable"))</x:f>
      </x:c>
      <x:c r="Y353" s="21" t="str">
        <x:f>IF(C353="","",IF(AQ353&lt;&gt;"Ready","Unavailable",IF(C353="","",U353-W353+V353-X353+N353+AG353)))</x:f>
      </x:c>
      <x:c r="Z353" s="23" t="str">
        <x:f>IF(C353="","",IF(AQ353&lt;&gt;"Ready","Unavailable",IF(C353="","",(G353+O353+L353)/2*INDEX('Facilities'!$T$9:$T$108,MATCH(C353,'Facilities'!$C$9:$C$108,0))+AG353)))</x:f>
      </x:c>
      <x:c r="AA353" s="23" t="str">
        <x:f>IF(C353="","",IF(AQ353&lt;&gt;"Ready","Unavailable",IF(C353="","",O353*(1-IF(INDEX('Facilities'!$AA$9:$AA$108,MATCH(C353,'Facilities'!$C$9:$C$108,0))=0,0,MIN(1,INDEX('Facilities'!$X$9:$X$108,MATCH(C353,'Facilities'!$C$9:$C$108,0))/INDEX('Facilities'!$AA$9:$AA$108,MATCH(C353,'Facilities'!$C$9:$C$108,0)))))*AF353+P353*(1-IF(INDEX('Facilities'!$AA$9:$AA$108,MATCH(C353,'Facilities'!$C$9:$C$108,0))=0,0,MIN(1,INDEX('Facilities'!$X$9:$X$108,MATCH(C353,'Facilities'!$C$9:$C$108,0))/INDEX('Facilities'!$AA$9:$AA$108,MATCH(C353,'Facilities'!$C$9:$C$108,0)))))*INDEX('Facilities'!$AJ$9:$AJ$108,MATCH(C353,'Facilities'!$C$9:$C$108,0))+Q353*INDEX('Facilities'!$AI$9:$AI$108,MATCH(C353,'Facilities'!$C$9:$C$108,0))*AF353)))</x:f>
      </x:c>
      <x:c r="AB353" s="21" t="str">
        <x:f>IF(C353="","",O353+P353-AD353)</x:f>
      </x:c>
      <x:c r="AC353" s="23" t="str">
        <x:f>IF(C353="","",IFERROR(IF(INDEX('Facilities'!$AD$9:$AD$108,MATCH(C353,'Facilities'!$C$9:$C$108,0))=3,0,IF(INDEX('Facilities'!$AN$9:$AN$108,MATCH(C353,'Facilities'!$C$9:$C$108,0))=0,-1,INDEX('Facilities'!$AN$9:$AN$108,MATCH(C353,'Facilities'!$C$9:$C$108,0)))),"Unavailable"))</x:f>
      </x:c>
      <x:c r="AD353" s="21" t="str">
        <x:f>IF(C353="","",IFERROR(G353+H353,"Unavailable"))</x:f>
      </x:c>
      <x:c r="AE353" s="21" t="str">
        <x:f>IF(C353="","",IF(AQ353&lt;&gt;"Ready","Unavailable",IF(C353="","",O353+P353-AD353-J353+K353+M353+N353)))</x:f>
      </x:c>
      <x:c r="AF353" s="30" t="str">
        <x:f>IF(C353="","",IFERROR(INDEX('Facilities'!$S$9:$S$108,MATCH(C353,'Facilities'!$C$9:$C$108,0))*'Scenario Paths'!I75,"Unavailable"))</x:f>
      </x:c>
      <x:c r="AG353" s="23" t="str">
        <x:f>IF(C353="","",IF(AQ353&lt;&gt;"Ready","Unavailable",IF(C353="","",IF(H353&gt;0,MAX(0,H353-AK353)*((1+INDEX('Facilities'!$K$9:$K$108,MATCH(C353,'Facilities'!$C$9:$C$108,0)))^MIN(1,MAX(0,AC353+INDEX('Facilities'!$AK$9:$AK$108,MATCH(C353,'Facilities'!$C$9:$C$108,0))-D353+1))-1),0))))</x:f>
      </x:c>
      <x:c r="AH353" s="21" t="str">
        <x:f>IF(C353="","",IF(AQ353&lt;&gt;"Ready","Unavailable",IF(C353="","",O353+P353)))</x:f>
      </x:c>
      <x:c r="AI353" s="21" t="str">
        <x:f>IF(C353="","",IF(AQ353&lt;&gt;"Ready","Unavailable",IF(C353="","",Z353-Y353)))</x:f>
      </x:c>
      <x:c r="AJ353" s="23" t="str">
        <x:f>IF(C353="","",IFERROR(MAX(0,INDEX('Facilities'!$J$9:$J$108,MATCH(C353,'Facilities'!$C$9:$C$108,0))-D353),"Unavailable"))</x:f>
      </x:c>
      <x:c r="AK353" s="21" t="str">
        <x:f>IF(C353="","",IFERROR(AL253,"Unavailable"))</x:f>
      </x:c>
      <x:c r="AL353" s="23" t="str">
        <x:f>IF(C353="","",IFERROR(IF(P353&gt;0,P353*(1-AM353/(1+INDEX('Facilities'!$K$9:$K$108,MATCH(C353,'Facilities'!$C$9:$C$108,0)))^MAX(0,AC353+INDEX('Facilities'!$AK$9:$AK$108,MATCH(C353,'Facilities'!$C$9:$C$108,0))-D353)),0),"Unavailable"))</x:f>
      </x:c>
      <x:c r="AM353" s="30" t="str">
        <x:f>IF(C353="","",IFERROR(INDEX('Facilities'!$AL$9:$AL$108,MATCH(C353,'Facilities'!$C$9:$C$108,0)),"Unavailable"))</x:f>
      </x:c>
      <x:c r="AN353" s="30" t="str">
        <x:f>IF(C353="","",IFERROR(INDEX(Credit!$T$309:$T$408,MATCH(F353,Credit!$C$309:$C$408,0)),"Unavailable"))</x:f>
      </x:c>
      <x:c r="AO353" s="23" t="str">
        <x:f>IF(C353="","",IF(AQ353&lt;&gt;"Ready","Unavailable",IF(C353="","",O353+P353+Q353*INDEX('Facilities'!$I$9:$I$108,MATCH(C353,'Facilities'!$C$9:$C$108,0)))))</x:f>
      </x:c>
      <x:c r="AP353" s="21" t="str">
        <x:f>IF(C353="","",IF(AQ353&lt;&gt;"Ready","Unavailable",IF(C353="","",AH353-U353)))</x:f>
      </x:c>
      <x:c r="AQ353" s="23" t="str">
        <x:f>IFERROR(IF(C353="","",IF(AND(INDEX('Facilities'!$AF$9:$AF$108,MATCH(C353,'Facilities'!$C$9:$C$108,0))="Ready",INDEX(Credit!$U$309:$U$408,MATCH(F353,Credit!$C$309:$C$408,0))="Ready",ISNUMBER(W353)),"Ready","Review inputs")),"Review inputs")</x:f>
      </x:c>
      <x:c r="AR353" s="23" t="str">
        <x:f>IF(C353="","",IF(AQ353&lt;&gt;"Ready","Unavailable",IF(C353="","",IF(O353=0,0,(IF(AJ353&lt;=1,O353,O353*INDEX('Facilities'!$R$9:$R$108,MATCH(C353,'Facilities'!$C$9:$C$108,0)))+O353*INDEX('Facilities'!$T$9:$T$108,MATCH(C353,'Facilities'!$C$9:$C$108,0)))/12))))</x:f>
      </x:c>
    </x:row>
    <x:row r="354" ht="26" customHeight="1">
      <x:c r="A354" s="1"/>
      <x:c r="B354" s="1"/>
      <x:c r="C354" s="9" t="str">
        <x:f>IF(Facilities!C54="","",Facilities!C54)</x:f>
      </x:c>
      <x:c r="D354" s="3" t="n">
        <x:v>4</x:v>
      </x:c>
      <x:c r="E354" s="9" t="n">
        <x:f>Settings!$F$18+3</x:f>
        <x:v>2030</x:v>
      </x:c>
      <x:c r="F354" s="9" t="str">
        <x:f>IF(C354="","",IFERROR(INDEX('Facilities'!$D$9:$D$108,MATCH(C354,'Facilities'!$C$9:$C$108,0)),"Unavailable"))</x:f>
      </x:c>
      <x:c r="G354" s="21" t="str">
        <x:f>IF(C354="","",IFERROR(O254,"Unavailable"))</x:f>
      </x:c>
      <x:c r="H354" s="21" t="str">
        <x:f>IF(C354="","",IFERROR(P254,"Unavailable"))</x:f>
      </x:c>
      <x:c r="I354" s="21" t="str">
        <x:f>IF(C354="","",IFERROR(Q254,"Unavailable"))</x:f>
      </x:c>
      <x:c r="J354" s="23" t="str">
        <x:f>IF(C354="","",IFERROR(IF(OR(H354&gt;0,AND(AC354&gt;=0,AC354&lt;D354),D354&gt;INDEX('Facilities'!$J$9:$J$108,MATCH(C354,'Facilities'!$C$9:$C$108,0))),0,I354*'Scenario Paths'!I81),"Unavailable"))</x:f>
      </x:c>
      <x:c r="K354" s="23" t="str">
        <x:f>IF(C354="","",IFERROR(IF(OR(H354&gt;0,AND(AC354&gt;=0,AC354=D354)),0,IF(D354&gt;=INDEX('Facilities'!$J$9:$J$108,MATCH(C354,'Facilities'!$C$9:$C$108,0)),G354+J354,MIN(G354+J354,G354*INDEX('Facilities'!$R$9:$R$108,MATCH(C354,'Facilities'!$C$9:$C$108,0))))),"Unavailable"))</x:f>
      </x:c>
      <x:c r="L354" s="21" t="str">
        <x:f>IF(C354="","",IFERROR(IF(AND(AC354=D354,AC354&gt;0),MAX(0,G354+J354-K354),0),"Unavailable"))</x:f>
      </x:c>
      <x:c r="M354" s="23" t="str">
        <x:f>IF(C354="","",IFERROR(IF(AND(AC354&gt;=0,D354&gt;=AC354+INDEX('Facilities'!$AK$9:$AK$108,MATCH(C354,'Facilities'!$C$9:$C$108,0))),(H354+L354)*AM354,0),"Unavailable"))</x:f>
      </x:c>
      <x:c r="N354" s="23" t="str">
        <x:f>IF(C354="","",IFERROR(IF(AND(AC354&gt;=0,D354&gt;=AC354+INDEX('Facilities'!$AK$9:$AK$108,MATCH(C354,'Facilities'!$C$9:$C$108,0))),H354+L354-M354,0),"Unavailable"))</x:f>
      </x:c>
      <x:c r="O354" s="21" t="str">
        <x:f>IF(C354="","",IFERROR(MAX(0,G354+J354-K354-L354),"Unavailable"))</x:f>
      </x:c>
      <x:c r="P354" s="21" t="str">
        <x:f>IF(C354="","",IFERROR(MAX(0,H354+L354-M354-N354),"Unavailable"))</x:f>
      </x:c>
      <x:c r="Q354" s="23" t="str">
        <x:f>IF(C354="","",IFERROR(IF(OR(D354&gt;=INDEX('Facilities'!$J$9:$J$108,MATCH(C354,'Facilities'!$C$9:$C$108,0)),AND(AC354&gt;=0,AC354&lt;=D354)),0,MAX(0,I354-J354)),"Unavailable"))</x:f>
      </x:c>
      <x:c r="R354" s="30" t="str">
        <x:f>IF(C354="","",IFERROR(INDEX(Credit!$Q$309:$Q$408,MATCH(F354,Credit!$C$309:$C$408,0)),"Unavailable"))</x:f>
      </x:c>
      <x:c r="S354" s="30" t="str">
        <x:f>IF(C354="","",IFERROR(INDEX(Credit!$R$309:$R$408,MATCH(F354,Credit!$C$309:$C$408,0)),"Unavailable"))</x:f>
      </x:c>
      <x:c r="T354" s="23" t="str">
        <x:f>IF(C354="","",IFERROR(IF(P354&gt;0,3,IF(OR(INDEX('Facilities'!$AD$9:$AD$108,MATCH(C354,'Facilities'!$C$9:$C$108,0))=2,AND(R354&gt;=INDEX('Facilities'!$L$9:$L$108,MATCH(C354,'Facilities'!$C$9:$C$108,0))*Settings!$F$19,R354-INDEX('Facilities'!$L$9:$L$108,MATCH(C354,'Facilities'!$C$9:$C$108,0))&gt;=Settings!$F$20)),2,1)),"Unavailable"))</x:f>
      </x:c>
      <x:c r="U354" s="23" t="str">
        <x:f>IF(C354="","",IF(AQ354&lt;&gt;"Ready","Unavailable",IF(C354="","",O354*(1-(1-S354)/(1+INDEX('Facilities'!$K$9:$K$108,MATCH(C354,'Facilities'!$C$9:$C$108,0)))^INDEX('Facilities'!$AK$9:$AK$108,MATCH(C354,'Facilities'!$C$9:$C$108,0)))*R354/(1+INDEX('Facilities'!$K$9:$K$108,MATCH(C354,'Facilities'!$C$9:$C$108,0)))*IF(ABS(1-(1-R354)*(1-INDEX('Facilities'!$R$9:$R$108,MATCH(C354,'Facilities'!$C$9:$C$108,0)))/(1+INDEX('Facilities'!$K$9:$K$108,MATCH(C354,'Facilities'!$C$9:$C$108,0))))&lt;0.000000001,IF(T354=1,MIN(1,AJ354),AJ354),(1-((1-R354)*(1-INDEX('Facilities'!$R$9:$R$108,MATCH(C354,'Facilities'!$C$9:$C$108,0)))/(1+INDEX('Facilities'!$K$9:$K$108,MATCH(C354,'Facilities'!$C$9:$C$108,0))))^IF(T354=1,MIN(1,AJ354),AJ354))/(1-(1-R354)*(1-INDEX('Facilities'!$R$9:$R$108,MATCH(C354,'Facilities'!$C$9:$C$108,0)))/(1+INDEX('Facilities'!$K$9:$K$108,MATCH(C354,'Facilities'!$C$9:$C$108,0)))))+AL354)))</x:f>
      </x:c>
      <x:c r="V354" s="23" t="str">
        <x:f>IF(C354="","",IF(AQ354&lt;&gt;"Ready","Unavailable",IF(C354="","",Q354*INDEX('Facilities'!$I$9:$I$108,MATCH(C354,'Facilities'!$C$9:$C$108,0))*(1-(1-S354)/(1+INDEX('Facilities'!$K$9:$K$108,MATCH(C354,'Facilities'!$C$9:$C$108,0)))^INDEX('Facilities'!$AK$9:$AK$108,MATCH(C354,'Facilities'!$C$9:$C$108,0)))*R354/(1+INDEX('Facilities'!$K$9:$K$108,MATCH(C354,'Facilities'!$C$9:$C$108,0)))*IF(ABS(1-(1-R354)*(1-0)/(1+INDEX('Facilities'!$K$9:$K$108,MATCH(C354,'Facilities'!$C$9:$C$108,0))))&lt;0.000000001,IF(T354=1,MIN(1,AJ354),AJ354),(1-((1-R354)*(1-0)/(1+INDEX('Facilities'!$K$9:$K$108,MATCH(C354,'Facilities'!$C$9:$C$108,0))))^IF(T354=1,MIN(1,AJ354),AJ354))/(1-(1-R354)*(1-0)/(1+INDEX('Facilities'!$K$9:$K$108,MATCH(C354,'Facilities'!$C$9:$C$108,0))))))))</x:f>
      </x:c>
      <x:c r="W354" s="21" t="str">
        <x:f>IF(C354="","",IFERROR(U254,"Unavailable"))</x:f>
      </x:c>
      <x:c r="X354" s="21" t="str">
        <x:f>IF(C354="","",IFERROR(V254,"Unavailable"))</x:f>
      </x:c>
      <x:c r="Y354" s="21" t="str">
        <x:f>IF(C354="","",IF(AQ354&lt;&gt;"Ready","Unavailable",IF(C354="","",U354-W354+V354-X354+N354+AG354)))</x:f>
      </x:c>
      <x:c r="Z354" s="23" t="str">
        <x:f>IF(C354="","",IF(AQ354&lt;&gt;"Ready","Unavailable",IF(C354="","",(G354+O354+L354)/2*INDEX('Facilities'!$T$9:$T$108,MATCH(C354,'Facilities'!$C$9:$C$108,0))+AG354)))</x:f>
      </x:c>
      <x:c r="AA354" s="23" t="str">
        <x:f>IF(C354="","",IF(AQ354&lt;&gt;"Ready","Unavailable",IF(C354="","",O354*(1-IF(INDEX('Facilities'!$AA$9:$AA$108,MATCH(C354,'Facilities'!$C$9:$C$108,0))=0,0,MIN(1,INDEX('Facilities'!$X$9:$X$108,MATCH(C354,'Facilities'!$C$9:$C$108,0))/INDEX('Facilities'!$AA$9:$AA$108,MATCH(C354,'Facilities'!$C$9:$C$108,0)))))*AF354+P354*(1-IF(INDEX('Facilities'!$AA$9:$AA$108,MATCH(C354,'Facilities'!$C$9:$C$108,0))=0,0,MIN(1,INDEX('Facilities'!$X$9:$X$108,MATCH(C354,'Facilities'!$C$9:$C$108,0))/INDEX('Facilities'!$AA$9:$AA$108,MATCH(C354,'Facilities'!$C$9:$C$108,0)))))*INDEX('Facilities'!$AJ$9:$AJ$108,MATCH(C354,'Facilities'!$C$9:$C$108,0))+Q354*INDEX('Facilities'!$AI$9:$AI$108,MATCH(C354,'Facilities'!$C$9:$C$108,0))*AF354)))</x:f>
      </x:c>
      <x:c r="AB354" s="21" t="str">
        <x:f>IF(C354="","",O354+P354-AD354)</x:f>
      </x:c>
      <x:c r="AC354" s="23" t="str">
        <x:f>IF(C354="","",IFERROR(IF(INDEX('Facilities'!$AD$9:$AD$108,MATCH(C354,'Facilities'!$C$9:$C$108,0))=3,0,IF(INDEX('Facilities'!$AN$9:$AN$108,MATCH(C354,'Facilities'!$C$9:$C$108,0))=0,-1,INDEX('Facilities'!$AN$9:$AN$108,MATCH(C354,'Facilities'!$C$9:$C$108,0)))),"Unavailable"))</x:f>
      </x:c>
      <x:c r="AD354" s="21" t="str">
        <x:f>IF(C354="","",IFERROR(G354+H354,"Unavailable"))</x:f>
      </x:c>
      <x:c r="AE354" s="21" t="str">
        <x:f>IF(C354="","",IF(AQ354&lt;&gt;"Ready","Unavailable",IF(C354="","",O354+P354-AD354-J354+K354+M354+N354)))</x:f>
      </x:c>
      <x:c r="AF354" s="30" t="str">
        <x:f>IF(C354="","",IFERROR(INDEX('Facilities'!$S$9:$S$108,MATCH(C354,'Facilities'!$C$9:$C$108,0))*'Scenario Paths'!I75,"Unavailable"))</x:f>
      </x:c>
      <x:c r="AG354" s="23" t="str">
        <x:f>IF(C354="","",IF(AQ354&lt;&gt;"Ready","Unavailable",IF(C354="","",IF(H354&gt;0,MAX(0,H354-AK354)*((1+INDEX('Facilities'!$K$9:$K$108,MATCH(C354,'Facilities'!$C$9:$C$108,0)))^MIN(1,MAX(0,AC354+INDEX('Facilities'!$AK$9:$AK$108,MATCH(C354,'Facilities'!$C$9:$C$108,0))-D354+1))-1),0))))</x:f>
      </x:c>
      <x:c r="AH354" s="21" t="str">
        <x:f>IF(C354="","",IF(AQ354&lt;&gt;"Ready","Unavailable",IF(C354="","",O354+P354)))</x:f>
      </x:c>
      <x:c r="AI354" s="21" t="str">
        <x:f>IF(C354="","",IF(AQ354&lt;&gt;"Ready","Unavailable",IF(C354="","",Z354-Y354)))</x:f>
      </x:c>
      <x:c r="AJ354" s="23" t="str">
        <x:f>IF(C354="","",IFERROR(MAX(0,INDEX('Facilities'!$J$9:$J$108,MATCH(C354,'Facilities'!$C$9:$C$108,0))-D354),"Unavailable"))</x:f>
      </x:c>
      <x:c r="AK354" s="21" t="str">
        <x:f>IF(C354="","",IFERROR(AL254,"Unavailable"))</x:f>
      </x:c>
      <x:c r="AL354" s="23" t="str">
        <x:f>IF(C354="","",IFERROR(IF(P354&gt;0,P354*(1-AM354/(1+INDEX('Facilities'!$K$9:$K$108,MATCH(C354,'Facilities'!$C$9:$C$108,0)))^MAX(0,AC354+INDEX('Facilities'!$AK$9:$AK$108,MATCH(C354,'Facilities'!$C$9:$C$108,0))-D354)),0),"Unavailable"))</x:f>
      </x:c>
      <x:c r="AM354" s="30" t="str">
        <x:f>IF(C354="","",IFERROR(INDEX('Facilities'!$AL$9:$AL$108,MATCH(C354,'Facilities'!$C$9:$C$108,0)),"Unavailable"))</x:f>
      </x:c>
      <x:c r="AN354" s="30" t="str">
        <x:f>IF(C354="","",IFERROR(INDEX(Credit!$T$309:$T$408,MATCH(F354,Credit!$C$309:$C$408,0)),"Unavailable"))</x:f>
      </x:c>
      <x:c r="AO354" s="23" t="str">
        <x:f>IF(C354="","",IF(AQ354&lt;&gt;"Ready","Unavailable",IF(C354="","",O354+P354+Q354*INDEX('Facilities'!$I$9:$I$108,MATCH(C354,'Facilities'!$C$9:$C$108,0)))))</x:f>
      </x:c>
      <x:c r="AP354" s="21" t="str">
        <x:f>IF(C354="","",IF(AQ354&lt;&gt;"Ready","Unavailable",IF(C354="","",AH354-U354)))</x:f>
      </x:c>
      <x:c r="AQ354" s="23" t="str">
        <x:f>IFERROR(IF(C354="","",IF(AND(INDEX('Facilities'!$AF$9:$AF$108,MATCH(C354,'Facilities'!$C$9:$C$108,0))="Ready",INDEX(Credit!$U$309:$U$408,MATCH(F354,Credit!$C$309:$C$408,0))="Ready",ISNUMBER(W354)),"Ready","Review inputs")),"Review inputs")</x:f>
      </x:c>
      <x:c r="AR354" s="23" t="str">
        <x:f>IF(C354="","",IF(AQ354&lt;&gt;"Ready","Unavailable",IF(C354="","",IF(O354=0,0,(IF(AJ354&lt;=1,O354,O354*INDEX('Facilities'!$R$9:$R$108,MATCH(C354,'Facilities'!$C$9:$C$108,0)))+O354*INDEX('Facilities'!$T$9:$T$108,MATCH(C354,'Facilities'!$C$9:$C$108,0)))/12))))</x:f>
      </x:c>
    </x:row>
    <x:row r="355" ht="26" customHeight="1">
      <x:c r="A355" s="1"/>
      <x:c r="B355" s="1"/>
      <x:c r="C355" s="9" t="str">
        <x:f>IF(Facilities!C55="","",Facilities!C55)</x:f>
      </x:c>
      <x:c r="D355" s="3" t="n">
        <x:v>4</x:v>
      </x:c>
      <x:c r="E355" s="9" t="n">
        <x:f>Settings!$F$18+3</x:f>
        <x:v>2030</x:v>
      </x:c>
      <x:c r="F355" s="9" t="str">
        <x:f>IF(C355="","",IFERROR(INDEX('Facilities'!$D$9:$D$108,MATCH(C355,'Facilities'!$C$9:$C$108,0)),"Unavailable"))</x:f>
      </x:c>
      <x:c r="G355" s="21" t="str">
        <x:f>IF(C355="","",IFERROR(O255,"Unavailable"))</x:f>
      </x:c>
      <x:c r="H355" s="21" t="str">
        <x:f>IF(C355="","",IFERROR(P255,"Unavailable"))</x:f>
      </x:c>
      <x:c r="I355" s="21" t="str">
        <x:f>IF(C355="","",IFERROR(Q255,"Unavailable"))</x:f>
      </x:c>
      <x:c r="J355" s="23" t="str">
        <x:f>IF(C355="","",IFERROR(IF(OR(H355&gt;0,AND(AC355&gt;=0,AC355&lt;D355),D355&gt;INDEX('Facilities'!$J$9:$J$108,MATCH(C355,'Facilities'!$C$9:$C$108,0))),0,I355*'Scenario Paths'!I81),"Unavailable"))</x:f>
      </x:c>
      <x:c r="K355" s="23" t="str">
        <x:f>IF(C355="","",IFERROR(IF(OR(H355&gt;0,AND(AC355&gt;=0,AC355=D355)),0,IF(D355&gt;=INDEX('Facilities'!$J$9:$J$108,MATCH(C355,'Facilities'!$C$9:$C$108,0)),G355+J355,MIN(G355+J355,G355*INDEX('Facilities'!$R$9:$R$108,MATCH(C355,'Facilities'!$C$9:$C$108,0))))),"Unavailable"))</x:f>
      </x:c>
      <x:c r="L355" s="21" t="str">
        <x:f>IF(C355="","",IFERROR(IF(AND(AC355=D355,AC355&gt;0),MAX(0,G355+J355-K355),0),"Unavailable"))</x:f>
      </x:c>
      <x:c r="M355" s="23" t="str">
        <x:f>IF(C355="","",IFERROR(IF(AND(AC355&gt;=0,D355&gt;=AC355+INDEX('Facilities'!$AK$9:$AK$108,MATCH(C355,'Facilities'!$C$9:$C$108,0))),(H355+L355)*AM355,0),"Unavailable"))</x:f>
      </x:c>
      <x:c r="N355" s="23" t="str">
        <x:f>IF(C355="","",IFERROR(IF(AND(AC355&gt;=0,D355&gt;=AC355+INDEX('Facilities'!$AK$9:$AK$108,MATCH(C355,'Facilities'!$C$9:$C$108,0))),H355+L355-M355,0),"Unavailable"))</x:f>
      </x:c>
      <x:c r="O355" s="21" t="str">
        <x:f>IF(C355="","",IFERROR(MAX(0,G355+J355-K355-L355),"Unavailable"))</x:f>
      </x:c>
      <x:c r="P355" s="21" t="str">
        <x:f>IF(C355="","",IFERROR(MAX(0,H355+L355-M355-N355),"Unavailable"))</x:f>
      </x:c>
      <x:c r="Q355" s="23" t="str">
        <x:f>IF(C355="","",IFERROR(IF(OR(D355&gt;=INDEX('Facilities'!$J$9:$J$108,MATCH(C355,'Facilities'!$C$9:$C$108,0)),AND(AC355&gt;=0,AC355&lt;=D355)),0,MAX(0,I355-J355)),"Unavailable"))</x:f>
      </x:c>
      <x:c r="R355" s="30" t="str">
        <x:f>IF(C355="","",IFERROR(INDEX(Credit!$Q$309:$Q$408,MATCH(F355,Credit!$C$309:$C$408,0)),"Unavailable"))</x:f>
      </x:c>
      <x:c r="S355" s="30" t="str">
        <x:f>IF(C355="","",IFERROR(INDEX(Credit!$R$309:$R$408,MATCH(F355,Credit!$C$309:$C$408,0)),"Unavailable"))</x:f>
      </x:c>
      <x:c r="T355" s="23" t="str">
        <x:f>IF(C355="","",IFERROR(IF(P355&gt;0,3,IF(OR(INDEX('Facilities'!$AD$9:$AD$108,MATCH(C355,'Facilities'!$C$9:$C$108,0))=2,AND(R355&gt;=INDEX('Facilities'!$L$9:$L$108,MATCH(C355,'Facilities'!$C$9:$C$108,0))*Settings!$F$19,R355-INDEX('Facilities'!$L$9:$L$108,MATCH(C355,'Facilities'!$C$9:$C$108,0))&gt;=Settings!$F$20)),2,1)),"Unavailable"))</x:f>
      </x:c>
      <x:c r="U355" s="23" t="str">
        <x:f>IF(C355="","",IF(AQ355&lt;&gt;"Ready","Unavailable",IF(C355="","",O355*(1-(1-S355)/(1+INDEX('Facilities'!$K$9:$K$108,MATCH(C355,'Facilities'!$C$9:$C$108,0)))^INDEX('Facilities'!$AK$9:$AK$108,MATCH(C355,'Facilities'!$C$9:$C$108,0)))*R355/(1+INDEX('Facilities'!$K$9:$K$108,MATCH(C355,'Facilities'!$C$9:$C$108,0)))*IF(ABS(1-(1-R355)*(1-INDEX('Facilities'!$R$9:$R$108,MATCH(C355,'Facilities'!$C$9:$C$108,0)))/(1+INDEX('Facilities'!$K$9:$K$108,MATCH(C355,'Facilities'!$C$9:$C$108,0))))&lt;0.000000001,IF(T355=1,MIN(1,AJ355),AJ355),(1-((1-R355)*(1-INDEX('Facilities'!$R$9:$R$108,MATCH(C355,'Facilities'!$C$9:$C$108,0)))/(1+INDEX('Facilities'!$K$9:$K$108,MATCH(C355,'Facilities'!$C$9:$C$108,0))))^IF(T355=1,MIN(1,AJ355),AJ355))/(1-(1-R355)*(1-INDEX('Facilities'!$R$9:$R$108,MATCH(C355,'Facilities'!$C$9:$C$108,0)))/(1+INDEX('Facilities'!$K$9:$K$108,MATCH(C355,'Facilities'!$C$9:$C$108,0)))))+AL355)))</x:f>
      </x:c>
      <x:c r="V355" s="23" t="str">
        <x:f>IF(C355="","",IF(AQ355&lt;&gt;"Ready","Unavailable",IF(C355="","",Q355*INDEX('Facilities'!$I$9:$I$108,MATCH(C355,'Facilities'!$C$9:$C$108,0))*(1-(1-S355)/(1+INDEX('Facilities'!$K$9:$K$108,MATCH(C355,'Facilities'!$C$9:$C$108,0)))^INDEX('Facilities'!$AK$9:$AK$108,MATCH(C355,'Facilities'!$C$9:$C$108,0)))*R355/(1+INDEX('Facilities'!$K$9:$K$108,MATCH(C355,'Facilities'!$C$9:$C$108,0)))*IF(ABS(1-(1-R355)*(1-0)/(1+INDEX('Facilities'!$K$9:$K$108,MATCH(C355,'Facilities'!$C$9:$C$108,0))))&lt;0.000000001,IF(T355=1,MIN(1,AJ355),AJ355),(1-((1-R355)*(1-0)/(1+INDEX('Facilities'!$K$9:$K$108,MATCH(C355,'Facilities'!$C$9:$C$108,0))))^IF(T355=1,MIN(1,AJ355),AJ355))/(1-(1-R355)*(1-0)/(1+INDEX('Facilities'!$K$9:$K$108,MATCH(C355,'Facilities'!$C$9:$C$108,0))))))))</x:f>
      </x:c>
      <x:c r="W355" s="21" t="str">
        <x:f>IF(C355="","",IFERROR(U255,"Unavailable"))</x:f>
      </x:c>
      <x:c r="X355" s="21" t="str">
        <x:f>IF(C355="","",IFERROR(V255,"Unavailable"))</x:f>
      </x:c>
      <x:c r="Y355" s="21" t="str">
        <x:f>IF(C355="","",IF(AQ355&lt;&gt;"Ready","Unavailable",IF(C355="","",U355-W355+V355-X355+N355+AG355)))</x:f>
      </x:c>
      <x:c r="Z355" s="23" t="str">
        <x:f>IF(C355="","",IF(AQ355&lt;&gt;"Ready","Unavailable",IF(C355="","",(G355+O355+L355)/2*INDEX('Facilities'!$T$9:$T$108,MATCH(C355,'Facilities'!$C$9:$C$108,0))+AG355)))</x:f>
      </x:c>
      <x:c r="AA355" s="23" t="str">
        <x:f>IF(C355="","",IF(AQ355&lt;&gt;"Ready","Unavailable",IF(C355="","",O355*(1-IF(INDEX('Facilities'!$AA$9:$AA$108,MATCH(C355,'Facilities'!$C$9:$C$108,0))=0,0,MIN(1,INDEX('Facilities'!$X$9:$X$108,MATCH(C355,'Facilities'!$C$9:$C$108,0))/INDEX('Facilities'!$AA$9:$AA$108,MATCH(C355,'Facilities'!$C$9:$C$108,0)))))*AF355+P355*(1-IF(INDEX('Facilities'!$AA$9:$AA$108,MATCH(C355,'Facilities'!$C$9:$C$108,0))=0,0,MIN(1,INDEX('Facilities'!$X$9:$X$108,MATCH(C355,'Facilities'!$C$9:$C$108,0))/INDEX('Facilities'!$AA$9:$AA$108,MATCH(C355,'Facilities'!$C$9:$C$108,0)))))*INDEX('Facilities'!$AJ$9:$AJ$108,MATCH(C355,'Facilities'!$C$9:$C$108,0))+Q355*INDEX('Facilities'!$AI$9:$AI$108,MATCH(C355,'Facilities'!$C$9:$C$108,0))*AF355)))</x:f>
      </x:c>
      <x:c r="AB355" s="21" t="str">
        <x:f>IF(C355="","",O355+P355-AD355)</x:f>
      </x:c>
      <x:c r="AC355" s="23" t="str">
        <x:f>IF(C355="","",IFERROR(IF(INDEX('Facilities'!$AD$9:$AD$108,MATCH(C355,'Facilities'!$C$9:$C$108,0))=3,0,IF(INDEX('Facilities'!$AN$9:$AN$108,MATCH(C355,'Facilities'!$C$9:$C$108,0))=0,-1,INDEX('Facilities'!$AN$9:$AN$108,MATCH(C355,'Facilities'!$C$9:$C$108,0)))),"Unavailable"))</x:f>
      </x:c>
      <x:c r="AD355" s="21" t="str">
        <x:f>IF(C355="","",IFERROR(G355+H355,"Unavailable"))</x:f>
      </x:c>
      <x:c r="AE355" s="21" t="str">
        <x:f>IF(C355="","",IF(AQ355&lt;&gt;"Ready","Unavailable",IF(C355="","",O355+P355-AD355-J355+K355+M355+N355)))</x:f>
      </x:c>
      <x:c r="AF355" s="30" t="str">
        <x:f>IF(C355="","",IFERROR(INDEX('Facilities'!$S$9:$S$108,MATCH(C355,'Facilities'!$C$9:$C$108,0))*'Scenario Paths'!I75,"Unavailable"))</x:f>
      </x:c>
      <x:c r="AG355" s="23" t="str">
        <x:f>IF(C355="","",IF(AQ355&lt;&gt;"Ready","Unavailable",IF(C355="","",IF(H355&gt;0,MAX(0,H355-AK355)*((1+INDEX('Facilities'!$K$9:$K$108,MATCH(C355,'Facilities'!$C$9:$C$108,0)))^MIN(1,MAX(0,AC355+INDEX('Facilities'!$AK$9:$AK$108,MATCH(C355,'Facilities'!$C$9:$C$108,0))-D355+1))-1),0))))</x:f>
      </x:c>
      <x:c r="AH355" s="21" t="str">
        <x:f>IF(C355="","",IF(AQ355&lt;&gt;"Ready","Unavailable",IF(C355="","",O355+P355)))</x:f>
      </x:c>
      <x:c r="AI355" s="21" t="str">
        <x:f>IF(C355="","",IF(AQ355&lt;&gt;"Ready","Unavailable",IF(C355="","",Z355-Y355)))</x:f>
      </x:c>
      <x:c r="AJ355" s="23" t="str">
        <x:f>IF(C355="","",IFERROR(MAX(0,INDEX('Facilities'!$J$9:$J$108,MATCH(C355,'Facilities'!$C$9:$C$108,0))-D355),"Unavailable"))</x:f>
      </x:c>
      <x:c r="AK355" s="21" t="str">
        <x:f>IF(C355="","",IFERROR(AL255,"Unavailable"))</x:f>
      </x:c>
      <x:c r="AL355" s="23" t="str">
        <x:f>IF(C355="","",IFERROR(IF(P355&gt;0,P355*(1-AM355/(1+INDEX('Facilities'!$K$9:$K$108,MATCH(C355,'Facilities'!$C$9:$C$108,0)))^MAX(0,AC355+INDEX('Facilities'!$AK$9:$AK$108,MATCH(C355,'Facilities'!$C$9:$C$108,0))-D355)),0),"Unavailable"))</x:f>
      </x:c>
      <x:c r="AM355" s="30" t="str">
        <x:f>IF(C355="","",IFERROR(INDEX('Facilities'!$AL$9:$AL$108,MATCH(C355,'Facilities'!$C$9:$C$108,0)),"Unavailable"))</x:f>
      </x:c>
      <x:c r="AN355" s="30" t="str">
        <x:f>IF(C355="","",IFERROR(INDEX(Credit!$T$309:$T$408,MATCH(F355,Credit!$C$309:$C$408,0)),"Unavailable"))</x:f>
      </x:c>
      <x:c r="AO355" s="23" t="str">
        <x:f>IF(C355="","",IF(AQ355&lt;&gt;"Ready","Unavailable",IF(C355="","",O355+P355+Q355*INDEX('Facilities'!$I$9:$I$108,MATCH(C355,'Facilities'!$C$9:$C$108,0)))))</x:f>
      </x:c>
      <x:c r="AP355" s="21" t="str">
        <x:f>IF(C355="","",IF(AQ355&lt;&gt;"Ready","Unavailable",IF(C355="","",AH355-U355)))</x:f>
      </x:c>
      <x:c r="AQ355" s="23" t="str">
        <x:f>IFERROR(IF(C355="","",IF(AND(INDEX('Facilities'!$AF$9:$AF$108,MATCH(C355,'Facilities'!$C$9:$C$108,0))="Ready",INDEX(Credit!$U$309:$U$408,MATCH(F355,Credit!$C$309:$C$408,0))="Ready",ISNUMBER(W355)),"Ready","Review inputs")),"Review inputs")</x:f>
      </x:c>
      <x:c r="AR355" s="23" t="str">
        <x:f>IF(C355="","",IF(AQ355&lt;&gt;"Ready","Unavailable",IF(C355="","",IF(O355=0,0,(IF(AJ355&lt;=1,O355,O355*INDEX('Facilities'!$R$9:$R$108,MATCH(C355,'Facilities'!$C$9:$C$108,0)))+O355*INDEX('Facilities'!$T$9:$T$108,MATCH(C355,'Facilities'!$C$9:$C$108,0)))/12))))</x:f>
      </x:c>
    </x:row>
    <x:row r="356" ht="26" customHeight="1">
      <x:c r="A356" s="1"/>
      <x:c r="B356" s="1"/>
      <x:c r="C356" s="9" t="str">
        <x:f>IF(Facilities!C56="","",Facilities!C56)</x:f>
      </x:c>
      <x:c r="D356" s="3" t="n">
        <x:v>4</x:v>
      </x:c>
      <x:c r="E356" s="9" t="n">
        <x:f>Settings!$F$18+3</x:f>
        <x:v>2030</x:v>
      </x:c>
      <x:c r="F356" s="9" t="str">
        <x:f>IF(C356="","",IFERROR(INDEX('Facilities'!$D$9:$D$108,MATCH(C356,'Facilities'!$C$9:$C$108,0)),"Unavailable"))</x:f>
      </x:c>
      <x:c r="G356" s="21" t="str">
        <x:f>IF(C356="","",IFERROR(O256,"Unavailable"))</x:f>
      </x:c>
      <x:c r="H356" s="21" t="str">
        <x:f>IF(C356="","",IFERROR(P256,"Unavailable"))</x:f>
      </x:c>
      <x:c r="I356" s="21" t="str">
        <x:f>IF(C356="","",IFERROR(Q256,"Unavailable"))</x:f>
      </x:c>
      <x:c r="J356" s="23" t="str">
        <x:f>IF(C356="","",IFERROR(IF(OR(H356&gt;0,AND(AC356&gt;=0,AC356&lt;D356),D356&gt;INDEX('Facilities'!$J$9:$J$108,MATCH(C356,'Facilities'!$C$9:$C$108,0))),0,I356*'Scenario Paths'!I81),"Unavailable"))</x:f>
      </x:c>
      <x:c r="K356" s="23" t="str">
        <x:f>IF(C356="","",IFERROR(IF(OR(H356&gt;0,AND(AC356&gt;=0,AC356=D356)),0,IF(D356&gt;=INDEX('Facilities'!$J$9:$J$108,MATCH(C356,'Facilities'!$C$9:$C$108,0)),G356+J356,MIN(G356+J356,G356*INDEX('Facilities'!$R$9:$R$108,MATCH(C356,'Facilities'!$C$9:$C$108,0))))),"Unavailable"))</x:f>
      </x:c>
      <x:c r="L356" s="21" t="str">
        <x:f>IF(C356="","",IFERROR(IF(AND(AC356=D356,AC356&gt;0),MAX(0,G356+J356-K356),0),"Unavailable"))</x:f>
      </x:c>
      <x:c r="M356" s="23" t="str">
        <x:f>IF(C356="","",IFERROR(IF(AND(AC356&gt;=0,D356&gt;=AC356+INDEX('Facilities'!$AK$9:$AK$108,MATCH(C356,'Facilities'!$C$9:$C$108,0))),(H356+L356)*AM356,0),"Unavailable"))</x:f>
      </x:c>
      <x:c r="N356" s="23" t="str">
        <x:f>IF(C356="","",IFERROR(IF(AND(AC356&gt;=0,D356&gt;=AC356+INDEX('Facilities'!$AK$9:$AK$108,MATCH(C356,'Facilities'!$C$9:$C$108,0))),H356+L356-M356,0),"Unavailable"))</x:f>
      </x:c>
      <x:c r="O356" s="21" t="str">
        <x:f>IF(C356="","",IFERROR(MAX(0,G356+J356-K356-L356),"Unavailable"))</x:f>
      </x:c>
      <x:c r="P356" s="21" t="str">
        <x:f>IF(C356="","",IFERROR(MAX(0,H356+L356-M356-N356),"Unavailable"))</x:f>
      </x:c>
      <x:c r="Q356" s="23" t="str">
        <x:f>IF(C356="","",IFERROR(IF(OR(D356&gt;=INDEX('Facilities'!$J$9:$J$108,MATCH(C356,'Facilities'!$C$9:$C$108,0)),AND(AC356&gt;=0,AC356&lt;=D356)),0,MAX(0,I356-J356)),"Unavailable"))</x:f>
      </x:c>
      <x:c r="R356" s="30" t="str">
        <x:f>IF(C356="","",IFERROR(INDEX(Credit!$Q$309:$Q$408,MATCH(F356,Credit!$C$309:$C$408,0)),"Unavailable"))</x:f>
      </x:c>
      <x:c r="S356" s="30" t="str">
        <x:f>IF(C356="","",IFERROR(INDEX(Credit!$R$309:$R$408,MATCH(F356,Credit!$C$309:$C$408,0)),"Unavailable"))</x:f>
      </x:c>
      <x:c r="T356" s="23" t="str">
        <x:f>IF(C356="","",IFERROR(IF(P356&gt;0,3,IF(OR(INDEX('Facilities'!$AD$9:$AD$108,MATCH(C356,'Facilities'!$C$9:$C$108,0))=2,AND(R356&gt;=INDEX('Facilities'!$L$9:$L$108,MATCH(C356,'Facilities'!$C$9:$C$108,0))*Settings!$F$19,R356-INDEX('Facilities'!$L$9:$L$108,MATCH(C356,'Facilities'!$C$9:$C$108,0))&gt;=Settings!$F$20)),2,1)),"Unavailable"))</x:f>
      </x:c>
      <x:c r="U356" s="23" t="str">
        <x:f>IF(C356="","",IF(AQ356&lt;&gt;"Ready","Unavailable",IF(C356="","",O356*(1-(1-S356)/(1+INDEX('Facilities'!$K$9:$K$108,MATCH(C356,'Facilities'!$C$9:$C$108,0)))^INDEX('Facilities'!$AK$9:$AK$108,MATCH(C356,'Facilities'!$C$9:$C$108,0)))*R356/(1+INDEX('Facilities'!$K$9:$K$108,MATCH(C356,'Facilities'!$C$9:$C$108,0)))*IF(ABS(1-(1-R356)*(1-INDEX('Facilities'!$R$9:$R$108,MATCH(C356,'Facilities'!$C$9:$C$108,0)))/(1+INDEX('Facilities'!$K$9:$K$108,MATCH(C356,'Facilities'!$C$9:$C$108,0))))&lt;0.000000001,IF(T356=1,MIN(1,AJ356),AJ356),(1-((1-R356)*(1-INDEX('Facilities'!$R$9:$R$108,MATCH(C356,'Facilities'!$C$9:$C$108,0)))/(1+INDEX('Facilities'!$K$9:$K$108,MATCH(C356,'Facilities'!$C$9:$C$108,0))))^IF(T356=1,MIN(1,AJ356),AJ356))/(1-(1-R356)*(1-INDEX('Facilities'!$R$9:$R$108,MATCH(C356,'Facilities'!$C$9:$C$108,0)))/(1+INDEX('Facilities'!$K$9:$K$108,MATCH(C356,'Facilities'!$C$9:$C$108,0)))))+AL356)))</x:f>
      </x:c>
      <x:c r="V356" s="23" t="str">
        <x:f>IF(C356="","",IF(AQ356&lt;&gt;"Ready","Unavailable",IF(C356="","",Q356*INDEX('Facilities'!$I$9:$I$108,MATCH(C356,'Facilities'!$C$9:$C$108,0))*(1-(1-S356)/(1+INDEX('Facilities'!$K$9:$K$108,MATCH(C356,'Facilities'!$C$9:$C$108,0)))^INDEX('Facilities'!$AK$9:$AK$108,MATCH(C356,'Facilities'!$C$9:$C$108,0)))*R356/(1+INDEX('Facilities'!$K$9:$K$108,MATCH(C356,'Facilities'!$C$9:$C$108,0)))*IF(ABS(1-(1-R356)*(1-0)/(1+INDEX('Facilities'!$K$9:$K$108,MATCH(C356,'Facilities'!$C$9:$C$108,0))))&lt;0.000000001,IF(T356=1,MIN(1,AJ356),AJ356),(1-((1-R356)*(1-0)/(1+INDEX('Facilities'!$K$9:$K$108,MATCH(C356,'Facilities'!$C$9:$C$108,0))))^IF(T356=1,MIN(1,AJ356),AJ356))/(1-(1-R356)*(1-0)/(1+INDEX('Facilities'!$K$9:$K$108,MATCH(C356,'Facilities'!$C$9:$C$108,0))))))))</x:f>
      </x:c>
      <x:c r="W356" s="21" t="str">
        <x:f>IF(C356="","",IFERROR(U256,"Unavailable"))</x:f>
      </x:c>
      <x:c r="X356" s="21" t="str">
        <x:f>IF(C356="","",IFERROR(V256,"Unavailable"))</x:f>
      </x:c>
      <x:c r="Y356" s="21" t="str">
        <x:f>IF(C356="","",IF(AQ356&lt;&gt;"Ready","Unavailable",IF(C356="","",U356-W356+V356-X356+N356+AG356)))</x:f>
      </x:c>
      <x:c r="Z356" s="23" t="str">
        <x:f>IF(C356="","",IF(AQ356&lt;&gt;"Ready","Unavailable",IF(C356="","",(G356+O356+L356)/2*INDEX('Facilities'!$T$9:$T$108,MATCH(C356,'Facilities'!$C$9:$C$108,0))+AG356)))</x:f>
      </x:c>
      <x:c r="AA356" s="23" t="str">
        <x:f>IF(C356="","",IF(AQ356&lt;&gt;"Ready","Unavailable",IF(C356="","",O356*(1-IF(INDEX('Facilities'!$AA$9:$AA$108,MATCH(C356,'Facilities'!$C$9:$C$108,0))=0,0,MIN(1,INDEX('Facilities'!$X$9:$X$108,MATCH(C356,'Facilities'!$C$9:$C$108,0))/INDEX('Facilities'!$AA$9:$AA$108,MATCH(C356,'Facilities'!$C$9:$C$108,0)))))*AF356+P356*(1-IF(INDEX('Facilities'!$AA$9:$AA$108,MATCH(C356,'Facilities'!$C$9:$C$108,0))=0,0,MIN(1,INDEX('Facilities'!$X$9:$X$108,MATCH(C356,'Facilities'!$C$9:$C$108,0))/INDEX('Facilities'!$AA$9:$AA$108,MATCH(C356,'Facilities'!$C$9:$C$108,0)))))*INDEX('Facilities'!$AJ$9:$AJ$108,MATCH(C356,'Facilities'!$C$9:$C$108,0))+Q356*INDEX('Facilities'!$AI$9:$AI$108,MATCH(C356,'Facilities'!$C$9:$C$108,0))*AF356)))</x:f>
      </x:c>
      <x:c r="AB356" s="21" t="str">
        <x:f>IF(C356="","",O356+P356-AD356)</x:f>
      </x:c>
      <x:c r="AC356" s="23" t="str">
        <x:f>IF(C356="","",IFERROR(IF(INDEX('Facilities'!$AD$9:$AD$108,MATCH(C356,'Facilities'!$C$9:$C$108,0))=3,0,IF(INDEX('Facilities'!$AN$9:$AN$108,MATCH(C356,'Facilities'!$C$9:$C$108,0))=0,-1,INDEX('Facilities'!$AN$9:$AN$108,MATCH(C356,'Facilities'!$C$9:$C$108,0)))),"Unavailable"))</x:f>
      </x:c>
      <x:c r="AD356" s="21" t="str">
        <x:f>IF(C356="","",IFERROR(G356+H356,"Unavailable"))</x:f>
      </x:c>
      <x:c r="AE356" s="21" t="str">
        <x:f>IF(C356="","",IF(AQ356&lt;&gt;"Ready","Unavailable",IF(C356="","",O356+P356-AD356-J356+K356+M356+N356)))</x:f>
      </x:c>
      <x:c r="AF356" s="30" t="str">
        <x:f>IF(C356="","",IFERROR(INDEX('Facilities'!$S$9:$S$108,MATCH(C356,'Facilities'!$C$9:$C$108,0))*'Scenario Paths'!I75,"Unavailable"))</x:f>
      </x:c>
      <x:c r="AG356" s="23" t="str">
        <x:f>IF(C356="","",IF(AQ356&lt;&gt;"Ready","Unavailable",IF(C356="","",IF(H356&gt;0,MAX(0,H356-AK356)*((1+INDEX('Facilities'!$K$9:$K$108,MATCH(C356,'Facilities'!$C$9:$C$108,0)))^MIN(1,MAX(0,AC356+INDEX('Facilities'!$AK$9:$AK$108,MATCH(C356,'Facilities'!$C$9:$C$108,0))-D356+1))-1),0))))</x:f>
      </x:c>
      <x:c r="AH356" s="21" t="str">
        <x:f>IF(C356="","",IF(AQ356&lt;&gt;"Ready","Unavailable",IF(C356="","",O356+P356)))</x:f>
      </x:c>
      <x:c r="AI356" s="21" t="str">
        <x:f>IF(C356="","",IF(AQ356&lt;&gt;"Ready","Unavailable",IF(C356="","",Z356-Y356)))</x:f>
      </x:c>
      <x:c r="AJ356" s="23" t="str">
        <x:f>IF(C356="","",IFERROR(MAX(0,INDEX('Facilities'!$J$9:$J$108,MATCH(C356,'Facilities'!$C$9:$C$108,0))-D356),"Unavailable"))</x:f>
      </x:c>
      <x:c r="AK356" s="21" t="str">
        <x:f>IF(C356="","",IFERROR(AL256,"Unavailable"))</x:f>
      </x:c>
      <x:c r="AL356" s="23" t="str">
        <x:f>IF(C356="","",IFERROR(IF(P356&gt;0,P356*(1-AM356/(1+INDEX('Facilities'!$K$9:$K$108,MATCH(C356,'Facilities'!$C$9:$C$108,0)))^MAX(0,AC356+INDEX('Facilities'!$AK$9:$AK$108,MATCH(C356,'Facilities'!$C$9:$C$108,0))-D356)),0),"Unavailable"))</x:f>
      </x:c>
      <x:c r="AM356" s="30" t="str">
        <x:f>IF(C356="","",IFERROR(INDEX('Facilities'!$AL$9:$AL$108,MATCH(C356,'Facilities'!$C$9:$C$108,0)),"Unavailable"))</x:f>
      </x:c>
      <x:c r="AN356" s="30" t="str">
        <x:f>IF(C356="","",IFERROR(INDEX(Credit!$T$309:$T$408,MATCH(F356,Credit!$C$309:$C$408,0)),"Unavailable"))</x:f>
      </x:c>
      <x:c r="AO356" s="23" t="str">
        <x:f>IF(C356="","",IF(AQ356&lt;&gt;"Ready","Unavailable",IF(C356="","",O356+P356+Q356*INDEX('Facilities'!$I$9:$I$108,MATCH(C356,'Facilities'!$C$9:$C$108,0)))))</x:f>
      </x:c>
      <x:c r="AP356" s="21" t="str">
        <x:f>IF(C356="","",IF(AQ356&lt;&gt;"Ready","Unavailable",IF(C356="","",AH356-U356)))</x:f>
      </x:c>
      <x:c r="AQ356" s="23" t="str">
        <x:f>IFERROR(IF(C356="","",IF(AND(INDEX('Facilities'!$AF$9:$AF$108,MATCH(C356,'Facilities'!$C$9:$C$108,0))="Ready",INDEX(Credit!$U$309:$U$408,MATCH(F356,Credit!$C$309:$C$408,0))="Ready",ISNUMBER(W356)),"Ready","Review inputs")),"Review inputs")</x:f>
      </x:c>
      <x:c r="AR356" s="23" t="str">
        <x:f>IF(C356="","",IF(AQ356&lt;&gt;"Ready","Unavailable",IF(C356="","",IF(O356=0,0,(IF(AJ356&lt;=1,O356,O356*INDEX('Facilities'!$R$9:$R$108,MATCH(C356,'Facilities'!$C$9:$C$108,0)))+O356*INDEX('Facilities'!$T$9:$T$108,MATCH(C356,'Facilities'!$C$9:$C$108,0)))/12))))</x:f>
      </x:c>
    </x:row>
    <x:row r="357" ht="26" customHeight="1">
      <x:c r="A357" s="1"/>
      <x:c r="B357" s="1"/>
      <x:c r="C357" s="9" t="str">
        <x:f>IF(Facilities!C57="","",Facilities!C57)</x:f>
      </x:c>
      <x:c r="D357" s="3" t="n">
        <x:v>4</x:v>
      </x:c>
      <x:c r="E357" s="9" t="n">
        <x:f>Settings!$F$18+3</x:f>
        <x:v>2030</x:v>
      </x:c>
      <x:c r="F357" s="9" t="str">
        <x:f>IF(C357="","",IFERROR(INDEX('Facilities'!$D$9:$D$108,MATCH(C357,'Facilities'!$C$9:$C$108,0)),"Unavailable"))</x:f>
      </x:c>
      <x:c r="G357" s="21" t="str">
        <x:f>IF(C357="","",IFERROR(O257,"Unavailable"))</x:f>
      </x:c>
      <x:c r="H357" s="21" t="str">
        <x:f>IF(C357="","",IFERROR(P257,"Unavailable"))</x:f>
      </x:c>
      <x:c r="I357" s="21" t="str">
        <x:f>IF(C357="","",IFERROR(Q257,"Unavailable"))</x:f>
      </x:c>
      <x:c r="J357" s="23" t="str">
        <x:f>IF(C357="","",IFERROR(IF(OR(H357&gt;0,AND(AC357&gt;=0,AC357&lt;D357),D357&gt;INDEX('Facilities'!$J$9:$J$108,MATCH(C357,'Facilities'!$C$9:$C$108,0))),0,I357*'Scenario Paths'!I81),"Unavailable"))</x:f>
      </x:c>
      <x:c r="K357" s="23" t="str">
        <x:f>IF(C357="","",IFERROR(IF(OR(H357&gt;0,AND(AC357&gt;=0,AC357=D357)),0,IF(D357&gt;=INDEX('Facilities'!$J$9:$J$108,MATCH(C357,'Facilities'!$C$9:$C$108,0)),G357+J357,MIN(G357+J357,G357*INDEX('Facilities'!$R$9:$R$108,MATCH(C357,'Facilities'!$C$9:$C$108,0))))),"Unavailable"))</x:f>
      </x:c>
      <x:c r="L357" s="21" t="str">
        <x:f>IF(C357="","",IFERROR(IF(AND(AC357=D357,AC357&gt;0),MAX(0,G357+J357-K357),0),"Unavailable"))</x:f>
      </x:c>
      <x:c r="M357" s="23" t="str">
        <x:f>IF(C357="","",IFERROR(IF(AND(AC357&gt;=0,D357&gt;=AC357+INDEX('Facilities'!$AK$9:$AK$108,MATCH(C357,'Facilities'!$C$9:$C$108,0))),(H357+L357)*AM357,0),"Unavailable"))</x:f>
      </x:c>
      <x:c r="N357" s="23" t="str">
        <x:f>IF(C357="","",IFERROR(IF(AND(AC357&gt;=0,D357&gt;=AC357+INDEX('Facilities'!$AK$9:$AK$108,MATCH(C357,'Facilities'!$C$9:$C$108,0))),H357+L357-M357,0),"Unavailable"))</x:f>
      </x:c>
      <x:c r="O357" s="21" t="str">
        <x:f>IF(C357="","",IFERROR(MAX(0,G357+J357-K357-L357),"Unavailable"))</x:f>
      </x:c>
      <x:c r="P357" s="21" t="str">
        <x:f>IF(C357="","",IFERROR(MAX(0,H357+L357-M357-N357),"Unavailable"))</x:f>
      </x:c>
      <x:c r="Q357" s="23" t="str">
        <x:f>IF(C357="","",IFERROR(IF(OR(D357&gt;=INDEX('Facilities'!$J$9:$J$108,MATCH(C357,'Facilities'!$C$9:$C$108,0)),AND(AC357&gt;=0,AC357&lt;=D357)),0,MAX(0,I357-J357)),"Unavailable"))</x:f>
      </x:c>
      <x:c r="R357" s="30" t="str">
        <x:f>IF(C357="","",IFERROR(INDEX(Credit!$Q$309:$Q$408,MATCH(F357,Credit!$C$309:$C$408,0)),"Unavailable"))</x:f>
      </x:c>
      <x:c r="S357" s="30" t="str">
        <x:f>IF(C357="","",IFERROR(INDEX(Credit!$R$309:$R$408,MATCH(F357,Credit!$C$309:$C$408,0)),"Unavailable"))</x:f>
      </x:c>
      <x:c r="T357" s="23" t="str">
        <x:f>IF(C357="","",IFERROR(IF(P357&gt;0,3,IF(OR(INDEX('Facilities'!$AD$9:$AD$108,MATCH(C357,'Facilities'!$C$9:$C$108,0))=2,AND(R357&gt;=INDEX('Facilities'!$L$9:$L$108,MATCH(C357,'Facilities'!$C$9:$C$108,0))*Settings!$F$19,R357-INDEX('Facilities'!$L$9:$L$108,MATCH(C357,'Facilities'!$C$9:$C$108,0))&gt;=Settings!$F$20)),2,1)),"Unavailable"))</x:f>
      </x:c>
      <x:c r="U357" s="23" t="str">
        <x:f>IF(C357="","",IF(AQ357&lt;&gt;"Ready","Unavailable",IF(C357="","",O357*(1-(1-S357)/(1+INDEX('Facilities'!$K$9:$K$108,MATCH(C357,'Facilities'!$C$9:$C$108,0)))^INDEX('Facilities'!$AK$9:$AK$108,MATCH(C357,'Facilities'!$C$9:$C$108,0)))*R357/(1+INDEX('Facilities'!$K$9:$K$108,MATCH(C357,'Facilities'!$C$9:$C$108,0)))*IF(ABS(1-(1-R357)*(1-INDEX('Facilities'!$R$9:$R$108,MATCH(C357,'Facilities'!$C$9:$C$108,0)))/(1+INDEX('Facilities'!$K$9:$K$108,MATCH(C357,'Facilities'!$C$9:$C$108,0))))&lt;0.000000001,IF(T357=1,MIN(1,AJ357),AJ357),(1-((1-R357)*(1-INDEX('Facilities'!$R$9:$R$108,MATCH(C357,'Facilities'!$C$9:$C$108,0)))/(1+INDEX('Facilities'!$K$9:$K$108,MATCH(C357,'Facilities'!$C$9:$C$108,0))))^IF(T357=1,MIN(1,AJ357),AJ357))/(1-(1-R357)*(1-INDEX('Facilities'!$R$9:$R$108,MATCH(C357,'Facilities'!$C$9:$C$108,0)))/(1+INDEX('Facilities'!$K$9:$K$108,MATCH(C357,'Facilities'!$C$9:$C$108,0)))))+AL357)))</x:f>
      </x:c>
      <x:c r="V357" s="23" t="str">
        <x:f>IF(C357="","",IF(AQ357&lt;&gt;"Ready","Unavailable",IF(C357="","",Q357*INDEX('Facilities'!$I$9:$I$108,MATCH(C357,'Facilities'!$C$9:$C$108,0))*(1-(1-S357)/(1+INDEX('Facilities'!$K$9:$K$108,MATCH(C357,'Facilities'!$C$9:$C$108,0)))^INDEX('Facilities'!$AK$9:$AK$108,MATCH(C357,'Facilities'!$C$9:$C$108,0)))*R357/(1+INDEX('Facilities'!$K$9:$K$108,MATCH(C357,'Facilities'!$C$9:$C$108,0)))*IF(ABS(1-(1-R357)*(1-0)/(1+INDEX('Facilities'!$K$9:$K$108,MATCH(C357,'Facilities'!$C$9:$C$108,0))))&lt;0.000000001,IF(T357=1,MIN(1,AJ357),AJ357),(1-((1-R357)*(1-0)/(1+INDEX('Facilities'!$K$9:$K$108,MATCH(C357,'Facilities'!$C$9:$C$108,0))))^IF(T357=1,MIN(1,AJ357),AJ357))/(1-(1-R357)*(1-0)/(1+INDEX('Facilities'!$K$9:$K$108,MATCH(C357,'Facilities'!$C$9:$C$108,0))))))))</x:f>
      </x:c>
      <x:c r="W357" s="21" t="str">
        <x:f>IF(C357="","",IFERROR(U257,"Unavailable"))</x:f>
      </x:c>
      <x:c r="X357" s="21" t="str">
        <x:f>IF(C357="","",IFERROR(V257,"Unavailable"))</x:f>
      </x:c>
      <x:c r="Y357" s="21" t="str">
        <x:f>IF(C357="","",IF(AQ357&lt;&gt;"Ready","Unavailable",IF(C357="","",U357-W357+V357-X357+N357+AG357)))</x:f>
      </x:c>
      <x:c r="Z357" s="23" t="str">
        <x:f>IF(C357="","",IF(AQ357&lt;&gt;"Ready","Unavailable",IF(C357="","",(G357+O357+L357)/2*INDEX('Facilities'!$T$9:$T$108,MATCH(C357,'Facilities'!$C$9:$C$108,0))+AG357)))</x:f>
      </x:c>
      <x:c r="AA357" s="23" t="str">
        <x:f>IF(C357="","",IF(AQ357&lt;&gt;"Ready","Unavailable",IF(C357="","",O357*(1-IF(INDEX('Facilities'!$AA$9:$AA$108,MATCH(C357,'Facilities'!$C$9:$C$108,0))=0,0,MIN(1,INDEX('Facilities'!$X$9:$X$108,MATCH(C357,'Facilities'!$C$9:$C$108,0))/INDEX('Facilities'!$AA$9:$AA$108,MATCH(C357,'Facilities'!$C$9:$C$108,0)))))*AF357+P357*(1-IF(INDEX('Facilities'!$AA$9:$AA$108,MATCH(C357,'Facilities'!$C$9:$C$108,0))=0,0,MIN(1,INDEX('Facilities'!$X$9:$X$108,MATCH(C357,'Facilities'!$C$9:$C$108,0))/INDEX('Facilities'!$AA$9:$AA$108,MATCH(C357,'Facilities'!$C$9:$C$108,0)))))*INDEX('Facilities'!$AJ$9:$AJ$108,MATCH(C357,'Facilities'!$C$9:$C$108,0))+Q357*INDEX('Facilities'!$AI$9:$AI$108,MATCH(C357,'Facilities'!$C$9:$C$108,0))*AF357)))</x:f>
      </x:c>
      <x:c r="AB357" s="21" t="str">
        <x:f>IF(C357="","",O357+P357-AD357)</x:f>
      </x:c>
      <x:c r="AC357" s="23" t="str">
        <x:f>IF(C357="","",IFERROR(IF(INDEX('Facilities'!$AD$9:$AD$108,MATCH(C357,'Facilities'!$C$9:$C$108,0))=3,0,IF(INDEX('Facilities'!$AN$9:$AN$108,MATCH(C357,'Facilities'!$C$9:$C$108,0))=0,-1,INDEX('Facilities'!$AN$9:$AN$108,MATCH(C357,'Facilities'!$C$9:$C$108,0)))),"Unavailable"))</x:f>
      </x:c>
      <x:c r="AD357" s="21" t="str">
        <x:f>IF(C357="","",IFERROR(G357+H357,"Unavailable"))</x:f>
      </x:c>
      <x:c r="AE357" s="21" t="str">
        <x:f>IF(C357="","",IF(AQ357&lt;&gt;"Ready","Unavailable",IF(C357="","",O357+P357-AD357-J357+K357+M357+N357)))</x:f>
      </x:c>
      <x:c r="AF357" s="30" t="str">
        <x:f>IF(C357="","",IFERROR(INDEX('Facilities'!$S$9:$S$108,MATCH(C357,'Facilities'!$C$9:$C$108,0))*'Scenario Paths'!I75,"Unavailable"))</x:f>
      </x:c>
      <x:c r="AG357" s="23" t="str">
        <x:f>IF(C357="","",IF(AQ357&lt;&gt;"Ready","Unavailable",IF(C357="","",IF(H357&gt;0,MAX(0,H357-AK357)*((1+INDEX('Facilities'!$K$9:$K$108,MATCH(C357,'Facilities'!$C$9:$C$108,0)))^MIN(1,MAX(0,AC357+INDEX('Facilities'!$AK$9:$AK$108,MATCH(C357,'Facilities'!$C$9:$C$108,0))-D357+1))-1),0))))</x:f>
      </x:c>
      <x:c r="AH357" s="21" t="str">
        <x:f>IF(C357="","",IF(AQ357&lt;&gt;"Ready","Unavailable",IF(C357="","",O357+P357)))</x:f>
      </x:c>
      <x:c r="AI357" s="21" t="str">
        <x:f>IF(C357="","",IF(AQ357&lt;&gt;"Ready","Unavailable",IF(C357="","",Z357-Y357)))</x:f>
      </x:c>
      <x:c r="AJ357" s="23" t="str">
        <x:f>IF(C357="","",IFERROR(MAX(0,INDEX('Facilities'!$J$9:$J$108,MATCH(C357,'Facilities'!$C$9:$C$108,0))-D357),"Unavailable"))</x:f>
      </x:c>
      <x:c r="AK357" s="21" t="str">
        <x:f>IF(C357="","",IFERROR(AL257,"Unavailable"))</x:f>
      </x:c>
      <x:c r="AL357" s="23" t="str">
        <x:f>IF(C357="","",IFERROR(IF(P357&gt;0,P357*(1-AM357/(1+INDEX('Facilities'!$K$9:$K$108,MATCH(C357,'Facilities'!$C$9:$C$108,0)))^MAX(0,AC357+INDEX('Facilities'!$AK$9:$AK$108,MATCH(C357,'Facilities'!$C$9:$C$108,0))-D357)),0),"Unavailable"))</x:f>
      </x:c>
      <x:c r="AM357" s="30" t="str">
        <x:f>IF(C357="","",IFERROR(INDEX('Facilities'!$AL$9:$AL$108,MATCH(C357,'Facilities'!$C$9:$C$108,0)),"Unavailable"))</x:f>
      </x:c>
      <x:c r="AN357" s="30" t="str">
        <x:f>IF(C357="","",IFERROR(INDEX(Credit!$T$309:$T$408,MATCH(F357,Credit!$C$309:$C$408,0)),"Unavailable"))</x:f>
      </x:c>
      <x:c r="AO357" s="23" t="str">
        <x:f>IF(C357="","",IF(AQ357&lt;&gt;"Ready","Unavailable",IF(C357="","",O357+P357+Q357*INDEX('Facilities'!$I$9:$I$108,MATCH(C357,'Facilities'!$C$9:$C$108,0)))))</x:f>
      </x:c>
      <x:c r="AP357" s="21" t="str">
        <x:f>IF(C357="","",IF(AQ357&lt;&gt;"Ready","Unavailable",IF(C357="","",AH357-U357)))</x:f>
      </x:c>
      <x:c r="AQ357" s="23" t="str">
        <x:f>IFERROR(IF(C357="","",IF(AND(INDEX('Facilities'!$AF$9:$AF$108,MATCH(C357,'Facilities'!$C$9:$C$108,0))="Ready",INDEX(Credit!$U$309:$U$408,MATCH(F357,Credit!$C$309:$C$408,0))="Ready",ISNUMBER(W357)),"Ready","Review inputs")),"Review inputs")</x:f>
      </x:c>
      <x:c r="AR357" s="23" t="str">
        <x:f>IF(C357="","",IF(AQ357&lt;&gt;"Ready","Unavailable",IF(C357="","",IF(O357=0,0,(IF(AJ357&lt;=1,O357,O357*INDEX('Facilities'!$R$9:$R$108,MATCH(C357,'Facilities'!$C$9:$C$108,0)))+O357*INDEX('Facilities'!$T$9:$T$108,MATCH(C357,'Facilities'!$C$9:$C$108,0)))/12))))</x:f>
      </x:c>
    </x:row>
    <x:row r="358" ht="26" customHeight="1">
      <x:c r="A358" s="1"/>
      <x:c r="B358" s="1"/>
      <x:c r="C358" s="9" t="str">
        <x:f>IF(Facilities!C58="","",Facilities!C58)</x:f>
      </x:c>
      <x:c r="D358" s="3" t="n">
        <x:v>4</x:v>
      </x:c>
      <x:c r="E358" s="9" t="n">
        <x:f>Settings!$F$18+3</x:f>
        <x:v>2030</x:v>
      </x:c>
      <x:c r="F358" s="9" t="str">
        <x:f>IF(C358="","",IFERROR(INDEX('Facilities'!$D$9:$D$108,MATCH(C358,'Facilities'!$C$9:$C$108,0)),"Unavailable"))</x:f>
      </x:c>
      <x:c r="G358" s="21" t="str">
        <x:f>IF(C358="","",IFERROR(O258,"Unavailable"))</x:f>
      </x:c>
      <x:c r="H358" s="21" t="str">
        <x:f>IF(C358="","",IFERROR(P258,"Unavailable"))</x:f>
      </x:c>
      <x:c r="I358" s="21" t="str">
        <x:f>IF(C358="","",IFERROR(Q258,"Unavailable"))</x:f>
      </x:c>
      <x:c r="J358" s="23" t="str">
        <x:f>IF(C358="","",IFERROR(IF(OR(H358&gt;0,AND(AC358&gt;=0,AC358&lt;D358),D358&gt;INDEX('Facilities'!$J$9:$J$108,MATCH(C358,'Facilities'!$C$9:$C$108,0))),0,I358*'Scenario Paths'!I81),"Unavailable"))</x:f>
      </x:c>
      <x:c r="K358" s="23" t="str">
        <x:f>IF(C358="","",IFERROR(IF(OR(H358&gt;0,AND(AC358&gt;=0,AC358=D358)),0,IF(D358&gt;=INDEX('Facilities'!$J$9:$J$108,MATCH(C358,'Facilities'!$C$9:$C$108,0)),G358+J358,MIN(G358+J358,G358*INDEX('Facilities'!$R$9:$R$108,MATCH(C358,'Facilities'!$C$9:$C$108,0))))),"Unavailable"))</x:f>
      </x:c>
      <x:c r="L358" s="21" t="str">
        <x:f>IF(C358="","",IFERROR(IF(AND(AC358=D358,AC358&gt;0),MAX(0,G358+J358-K358),0),"Unavailable"))</x:f>
      </x:c>
      <x:c r="M358" s="23" t="str">
        <x:f>IF(C358="","",IFERROR(IF(AND(AC358&gt;=0,D358&gt;=AC358+INDEX('Facilities'!$AK$9:$AK$108,MATCH(C358,'Facilities'!$C$9:$C$108,0))),(H358+L358)*AM358,0),"Unavailable"))</x:f>
      </x:c>
      <x:c r="N358" s="23" t="str">
        <x:f>IF(C358="","",IFERROR(IF(AND(AC358&gt;=0,D358&gt;=AC358+INDEX('Facilities'!$AK$9:$AK$108,MATCH(C358,'Facilities'!$C$9:$C$108,0))),H358+L358-M358,0),"Unavailable"))</x:f>
      </x:c>
      <x:c r="O358" s="21" t="str">
        <x:f>IF(C358="","",IFERROR(MAX(0,G358+J358-K358-L358),"Unavailable"))</x:f>
      </x:c>
      <x:c r="P358" s="21" t="str">
        <x:f>IF(C358="","",IFERROR(MAX(0,H358+L358-M358-N358),"Unavailable"))</x:f>
      </x:c>
      <x:c r="Q358" s="23" t="str">
        <x:f>IF(C358="","",IFERROR(IF(OR(D358&gt;=INDEX('Facilities'!$J$9:$J$108,MATCH(C358,'Facilities'!$C$9:$C$108,0)),AND(AC358&gt;=0,AC358&lt;=D358)),0,MAX(0,I358-J358)),"Unavailable"))</x:f>
      </x:c>
      <x:c r="R358" s="30" t="str">
        <x:f>IF(C358="","",IFERROR(INDEX(Credit!$Q$309:$Q$408,MATCH(F358,Credit!$C$309:$C$408,0)),"Unavailable"))</x:f>
      </x:c>
      <x:c r="S358" s="30" t="str">
        <x:f>IF(C358="","",IFERROR(INDEX(Credit!$R$309:$R$408,MATCH(F358,Credit!$C$309:$C$408,0)),"Unavailable"))</x:f>
      </x:c>
      <x:c r="T358" s="23" t="str">
        <x:f>IF(C358="","",IFERROR(IF(P358&gt;0,3,IF(OR(INDEX('Facilities'!$AD$9:$AD$108,MATCH(C358,'Facilities'!$C$9:$C$108,0))=2,AND(R358&gt;=INDEX('Facilities'!$L$9:$L$108,MATCH(C358,'Facilities'!$C$9:$C$108,0))*Settings!$F$19,R358-INDEX('Facilities'!$L$9:$L$108,MATCH(C358,'Facilities'!$C$9:$C$108,0))&gt;=Settings!$F$20)),2,1)),"Unavailable"))</x:f>
      </x:c>
      <x:c r="U358" s="23" t="str">
        <x:f>IF(C358="","",IF(AQ358&lt;&gt;"Ready","Unavailable",IF(C358="","",O358*(1-(1-S358)/(1+INDEX('Facilities'!$K$9:$K$108,MATCH(C358,'Facilities'!$C$9:$C$108,0)))^INDEX('Facilities'!$AK$9:$AK$108,MATCH(C358,'Facilities'!$C$9:$C$108,0)))*R358/(1+INDEX('Facilities'!$K$9:$K$108,MATCH(C358,'Facilities'!$C$9:$C$108,0)))*IF(ABS(1-(1-R358)*(1-INDEX('Facilities'!$R$9:$R$108,MATCH(C358,'Facilities'!$C$9:$C$108,0)))/(1+INDEX('Facilities'!$K$9:$K$108,MATCH(C358,'Facilities'!$C$9:$C$108,0))))&lt;0.000000001,IF(T358=1,MIN(1,AJ358),AJ358),(1-((1-R358)*(1-INDEX('Facilities'!$R$9:$R$108,MATCH(C358,'Facilities'!$C$9:$C$108,0)))/(1+INDEX('Facilities'!$K$9:$K$108,MATCH(C358,'Facilities'!$C$9:$C$108,0))))^IF(T358=1,MIN(1,AJ358),AJ358))/(1-(1-R358)*(1-INDEX('Facilities'!$R$9:$R$108,MATCH(C358,'Facilities'!$C$9:$C$108,0)))/(1+INDEX('Facilities'!$K$9:$K$108,MATCH(C358,'Facilities'!$C$9:$C$108,0)))))+AL358)))</x:f>
      </x:c>
      <x:c r="V358" s="23" t="str">
        <x:f>IF(C358="","",IF(AQ358&lt;&gt;"Ready","Unavailable",IF(C358="","",Q358*INDEX('Facilities'!$I$9:$I$108,MATCH(C358,'Facilities'!$C$9:$C$108,0))*(1-(1-S358)/(1+INDEX('Facilities'!$K$9:$K$108,MATCH(C358,'Facilities'!$C$9:$C$108,0)))^INDEX('Facilities'!$AK$9:$AK$108,MATCH(C358,'Facilities'!$C$9:$C$108,0)))*R358/(1+INDEX('Facilities'!$K$9:$K$108,MATCH(C358,'Facilities'!$C$9:$C$108,0)))*IF(ABS(1-(1-R358)*(1-0)/(1+INDEX('Facilities'!$K$9:$K$108,MATCH(C358,'Facilities'!$C$9:$C$108,0))))&lt;0.000000001,IF(T358=1,MIN(1,AJ358),AJ358),(1-((1-R358)*(1-0)/(1+INDEX('Facilities'!$K$9:$K$108,MATCH(C358,'Facilities'!$C$9:$C$108,0))))^IF(T358=1,MIN(1,AJ358),AJ358))/(1-(1-R358)*(1-0)/(1+INDEX('Facilities'!$K$9:$K$108,MATCH(C358,'Facilities'!$C$9:$C$108,0))))))))</x:f>
      </x:c>
      <x:c r="W358" s="21" t="str">
        <x:f>IF(C358="","",IFERROR(U258,"Unavailable"))</x:f>
      </x:c>
      <x:c r="X358" s="21" t="str">
        <x:f>IF(C358="","",IFERROR(V258,"Unavailable"))</x:f>
      </x:c>
      <x:c r="Y358" s="21" t="str">
        <x:f>IF(C358="","",IF(AQ358&lt;&gt;"Ready","Unavailable",IF(C358="","",U358-W358+V358-X358+N358+AG358)))</x:f>
      </x:c>
      <x:c r="Z358" s="23" t="str">
        <x:f>IF(C358="","",IF(AQ358&lt;&gt;"Ready","Unavailable",IF(C358="","",(G358+O358+L358)/2*INDEX('Facilities'!$T$9:$T$108,MATCH(C358,'Facilities'!$C$9:$C$108,0))+AG358)))</x:f>
      </x:c>
      <x:c r="AA358" s="23" t="str">
        <x:f>IF(C358="","",IF(AQ358&lt;&gt;"Ready","Unavailable",IF(C358="","",O358*(1-IF(INDEX('Facilities'!$AA$9:$AA$108,MATCH(C358,'Facilities'!$C$9:$C$108,0))=0,0,MIN(1,INDEX('Facilities'!$X$9:$X$108,MATCH(C358,'Facilities'!$C$9:$C$108,0))/INDEX('Facilities'!$AA$9:$AA$108,MATCH(C358,'Facilities'!$C$9:$C$108,0)))))*AF358+P358*(1-IF(INDEX('Facilities'!$AA$9:$AA$108,MATCH(C358,'Facilities'!$C$9:$C$108,0))=0,0,MIN(1,INDEX('Facilities'!$X$9:$X$108,MATCH(C358,'Facilities'!$C$9:$C$108,0))/INDEX('Facilities'!$AA$9:$AA$108,MATCH(C358,'Facilities'!$C$9:$C$108,0)))))*INDEX('Facilities'!$AJ$9:$AJ$108,MATCH(C358,'Facilities'!$C$9:$C$108,0))+Q358*INDEX('Facilities'!$AI$9:$AI$108,MATCH(C358,'Facilities'!$C$9:$C$108,0))*AF358)))</x:f>
      </x:c>
      <x:c r="AB358" s="21" t="str">
        <x:f>IF(C358="","",O358+P358-AD358)</x:f>
      </x:c>
      <x:c r="AC358" s="23" t="str">
        <x:f>IF(C358="","",IFERROR(IF(INDEX('Facilities'!$AD$9:$AD$108,MATCH(C358,'Facilities'!$C$9:$C$108,0))=3,0,IF(INDEX('Facilities'!$AN$9:$AN$108,MATCH(C358,'Facilities'!$C$9:$C$108,0))=0,-1,INDEX('Facilities'!$AN$9:$AN$108,MATCH(C358,'Facilities'!$C$9:$C$108,0)))),"Unavailable"))</x:f>
      </x:c>
      <x:c r="AD358" s="21" t="str">
        <x:f>IF(C358="","",IFERROR(G358+H358,"Unavailable"))</x:f>
      </x:c>
      <x:c r="AE358" s="21" t="str">
        <x:f>IF(C358="","",IF(AQ358&lt;&gt;"Ready","Unavailable",IF(C358="","",O358+P358-AD358-J358+K358+M358+N358)))</x:f>
      </x:c>
      <x:c r="AF358" s="30" t="str">
        <x:f>IF(C358="","",IFERROR(INDEX('Facilities'!$S$9:$S$108,MATCH(C358,'Facilities'!$C$9:$C$108,0))*'Scenario Paths'!I75,"Unavailable"))</x:f>
      </x:c>
      <x:c r="AG358" s="23" t="str">
        <x:f>IF(C358="","",IF(AQ358&lt;&gt;"Ready","Unavailable",IF(C358="","",IF(H358&gt;0,MAX(0,H358-AK358)*((1+INDEX('Facilities'!$K$9:$K$108,MATCH(C358,'Facilities'!$C$9:$C$108,0)))^MIN(1,MAX(0,AC358+INDEX('Facilities'!$AK$9:$AK$108,MATCH(C358,'Facilities'!$C$9:$C$108,0))-D358+1))-1),0))))</x:f>
      </x:c>
      <x:c r="AH358" s="21" t="str">
        <x:f>IF(C358="","",IF(AQ358&lt;&gt;"Ready","Unavailable",IF(C358="","",O358+P358)))</x:f>
      </x:c>
      <x:c r="AI358" s="21" t="str">
        <x:f>IF(C358="","",IF(AQ358&lt;&gt;"Ready","Unavailable",IF(C358="","",Z358-Y358)))</x:f>
      </x:c>
      <x:c r="AJ358" s="23" t="str">
        <x:f>IF(C358="","",IFERROR(MAX(0,INDEX('Facilities'!$J$9:$J$108,MATCH(C358,'Facilities'!$C$9:$C$108,0))-D358),"Unavailable"))</x:f>
      </x:c>
      <x:c r="AK358" s="21" t="str">
        <x:f>IF(C358="","",IFERROR(AL258,"Unavailable"))</x:f>
      </x:c>
      <x:c r="AL358" s="23" t="str">
        <x:f>IF(C358="","",IFERROR(IF(P358&gt;0,P358*(1-AM358/(1+INDEX('Facilities'!$K$9:$K$108,MATCH(C358,'Facilities'!$C$9:$C$108,0)))^MAX(0,AC358+INDEX('Facilities'!$AK$9:$AK$108,MATCH(C358,'Facilities'!$C$9:$C$108,0))-D358)),0),"Unavailable"))</x:f>
      </x:c>
      <x:c r="AM358" s="30" t="str">
        <x:f>IF(C358="","",IFERROR(INDEX('Facilities'!$AL$9:$AL$108,MATCH(C358,'Facilities'!$C$9:$C$108,0)),"Unavailable"))</x:f>
      </x:c>
      <x:c r="AN358" s="30" t="str">
        <x:f>IF(C358="","",IFERROR(INDEX(Credit!$T$309:$T$408,MATCH(F358,Credit!$C$309:$C$408,0)),"Unavailable"))</x:f>
      </x:c>
      <x:c r="AO358" s="23" t="str">
        <x:f>IF(C358="","",IF(AQ358&lt;&gt;"Ready","Unavailable",IF(C358="","",O358+P358+Q358*INDEX('Facilities'!$I$9:$I$108,MATCH(C358,'Facilities'!$C$9:$C$108,0)))))</x:f>
      </x:c>
      <x:c r="AP358" s="21" t="str">
        <x:f>IF(C358="","",IF(AQ358&lt;&gt;"Ready","Unavailable",IF(C358="","",AH358-U358)))</x:f>
      </x:c>
      <x:c r="AQ358" s="23" t="str">
        <x:f>IFERROR(IF(C358="","",IF(AND(INDEX('Facilities'!$AF$9:$AF$108,MATCH(C358,'Facilities'!$C$9:$C$108,0))="Ready",INDEX(Credit!$U$309:$U$408,MATCH(F358,Credit!$C$309:$C$408,0))="Ready",ISNUMBER(W358)),"Ready","Review inputs")),"Review inputs")</x:f>
      </x:c>
      <x:c r="AR358" s="23" t="str">
        <x:f>IF(C358="","",IF(AQ358&lt;&gt;"Ready","Unavailable",IF(C358="","",IF(O358=0,0,(IF(AJ358&lt;=1,O358,O358*INDEX('Facilities'!$R$9:$R$108,MATCH(C358,'Facilities'!$C$9:$C$108,0)))+O358*INDEX('Facilities'!$T$9:$T$108,MATCH(C358,'Facilities'!$C$9:$C$108,0)))/12))))</x:f>
      </x:c>
    </x:row>
    <x:row r="359" ht="26" customHeight="1">
      <x:c r="A359" s="1"/>
      <x:c r="B359" s="1"/>
      <x:c r="C359" s="9" t="str">
        <x:f>IF(Facilities!C59="","",Facilities!C59)</x:f>
      </x:c>
      <x:c r="D359" s="3" t="n">
        <x:v>4</x:v>
      </x:c>
      <x:c r="E359" s="9" t="n">
        <x:f>Settings!$F$18+3</x:f>
        <x:v>2030</x:v>
      </x:c>
      <x:c r="F359" s="9" t="str">
        <x:f>IF(C359="","",IFERROR(INDEX('Facilities'!$D$9:$D$108,MATCH(C359,'Facilities'!$C$9:$C$108,0)),"Unavailable"))</x:f>
      </x:c>
      <x:c r="G359" s="21" t="str">
        <x:f>IF(C359="","",IFERROR(O259,"Unavailable"))</x:f>
      </x:c>
      <x:c r="H359" s="21" t="str">
        <x:f>IF(C359="","",IFERROR(P259,"Unavailable"))</x:f>
      </x:c>
      <x:c r="I359" s="21" t="str">
        <x:f>IF(C359="","",IFERROR(Q259,"Unavailable"))</x:f>
      </x:c>
      <x:c r="J359" s="23" t="str">
        <x:f>IF(C359="","",IFERROR(IF(OR(H359&gt;0,AND(AC359&gt;=0,AC359&lt;D359),D359&gt;INDEX('Facilities'!$J$9:$J$108,MATCH(C359,'Facilities'!$C$9:$C$108,0))),0,I359*'Scenario Paths'!I81),"Unavailable"))</x:f>
      </x:c>
      <x:c r="K359" s="23" t="str">
        <x:f>IF(C359="","",IFERROR(IF(OR(H359&gt;0,AND(AC359&gt;=0,AC359=D359)),0,IF(D359&gt;=INDEX('Facilities'!$J$9:$J$108,MATCH(C359,'Facilities'!$C$9:$C$108,0)),G359+J359,MIN(G359+J359,G359*INDEX('Facilities'!$R$9:$R$108,MATCH(C359,'Facilities'!$C$9:$C$108,0))))),"Unavailable"))</x:f>
      </x:c>
      <x:c r="L359" s="21" t="str">
        <x:f>IF(C359="","",IFERROR(IF(AND(AC359=D359,AC359&gt;0),MAX(0,G359+J359-K359),0),"Unavailable"))</x:f>
      </x:c>
      <x:c r="M359" s="23" t="str">
        <x:f>IF(C359="","",IFERROR(IF(AND(AC359&gt;=0,D359&gt;=AC359+INDEX('Facilities'!$AK$9:$AK$108,MATCH(C359,'Facilities'!$C$9:$C$108,0))),(H359+L359)*AM359,0),"Unavailable"))</x:f>
      </x:c>
      <x:c r="N359" s="23" t="str">
        <x:f>IF(C359="","",IFERROR(IF(AND(AC359&gt;=0,D359&gt;=AC359+INDEX('Facilities'!$AK$9:$AK$108,MATCH(C359,'Facilities'!$C$9:$C$108,0))),H359+L359-M359,0),"Unavailable"))</x:f>
      </x:c>
      <x:c r="O359" s="21" t="str">
        <x:f>IF(C359="","",IFERROR(MAX(0,G359+J359-K359-L359),"Unavailable"))</x:f>
      </x:c>
      <x:c r="P359" s="21" t="str">
        <x:f>IF(C359="","",IFERROR(MAX(0,H359+L359-M359-N359),"Unavailable"))</x:f>
      </x:c>
      <x:c r="Q359" s="23" t="str">
        <x:f>IF(C359="","",IFERROR(IF(OR(D359&gt;=INDEX('Facilities'!$J$9:$J$108,MATCH(C359,'Facilities'!$C$9:$C$108,0)),AND(AC359&gt;=0,AC359&lt;=D359)),0,MAX(0,I359-J359)),"Unavailable"))</x:f>
      </x:c>
      <x:c r="R359" s="30" t="str">
        <x:f>IF(C359="","",IFERROR(INDEX(Credit!$Q$309:$Q$408,MATCH(F359,Credit!$C$309:$C$408,0)),"Unavailable"))</x:f>
      </x:c>
      <x:c r="S359" s="30" t="str">
        <x:f>IF(C359="","",IFERROR(INDEX(Credit!$R$309:$R$408,MATCH(F359,Credit!$C$309:$C$408,0)),"Unavailable"))</x:f>
      </x:c>
      <x:c r="T359" s="23" t="str">
        <x:f>IF(C359="","",IFERROR(IF(P359&gt;0,3,IF(OR(INDEX('Facilities'!$AD$9:$AD$108,MATCH(C359,'Facilities'!$C$9:$C$108,0))=2,AND(R359&gt;=INDEX('Facilities'!$L$9:$L$108,MATCH(C359,'Facilities'!$C$9:$C$108,0))*Settings!$F$19,R359-INDEX('Facilities'!$L$9:$L$108,MATCH(C359,'Facilities'!$C$9:$C$108,0))&gt;=Settings!$F$20)),2,1)),"Unavailable"))</x:f>
      </x:c>
      <x:c r="U359" s="23" t="str">
        <x:f>IF(C359="","",IF(AQ359&lt;&gt;"Ready","Unavailable",IF(C359="","",O359*(1-(1-S359)/(1+INDEX('Facilities'!$K$9:$K$108,MATCH(C359,'Facilities'!$C$9:$C$108,0)))^INDEX('Facilities'!$AK$9:$AK$108,MATCH(C359,'Facilities'!$C$9:$C$108,0)))*R359/(1+INDEX('Facilities'!$K$9:$K$108,MATCH(C359,'Facilities'!$C$9:$C$108,0)))*IF(ABS(1-(1-R359)*(1-INDEX('Facilities'!$R$9:$R$108,MATCH(C359,'Facilities'!$C$9:$C$108,0)))/(1+INDEX('Facilities'!$K$9:$K$108,MATCH(C359,'Facilities'!$C$9:$C$108,0))))&lt;0.000000001,IF(T359=1,MIN(1,AJ359),AJ359),(1-((1-R359)*(1-INDEX('Facilities'!$R$9:$R$108,MATCH(C359,'Facilities'!$C$9:$C$108,0)))/(1+INDEX('Facilities'!$K$9:$K$108,MATCH(C359,'Facilities'!$C$9:$C$108,0))))^IF(T359=1,MIN(1,AJ359),AJ359))/(1-(1-R359)*(1-INDEX('Facilities'!$R$9:$R$108,MATCH(C359,'Facilities'!$C$9:$C$108,0)))/(1+INDEX('Facilities'!$K$9:$K$108,MATCH(C359,'Facilities'!$C$9:$C$108,0)))))+AL359)))</x:f>
      </x:c>
      <x:c r="V359" s="23" t="str">
        <x:f>IF(C359="","",IF(AQ359&lt;&gt;"Ready","Unavailable",IF(C359="","",Q359*INDEX('Facilities'!$I$9:$I$108,MATCH(C359,'Facilities'!$C$9:$C$108,0))*(1-(1-S359)/(1+INDEX('Facilities'!$K$9:$K$108,MATCH(C359,'Facilities'!$C$9:$C$108,0)))^INDEX('Facilities'!$AK$9:$AK$108,MATCH(C359,'Facilities'!$C$9:$C$108,0)))*R359/(1+INDEX('Facilities'!$K$9:$K$108,MATCH(C359,'Facilities'!$C$9:$C$108,0)))*IF(ABS(1-(1-R359)*(1-0)/(1+INDEX('Facilities'!$K$9:$K$108,MATCH(C359,'Facilities'!$C$9:$C$108,0))))&lt;0.000000001,IF(T359=1,MIN(1,AJ359),AJ359),(1-((1-R359)*(1-0)/(1+INDEX('Facilities'!$K$9:$K$108,MATCH(C359,'Facilities'!$C$9:$C$108,0))))^IF(T359=1,MIN(1,AJ359),AJ359))/(1-(1-R359)*(1-0)/(1+INDEX('Facilities'!$K$9:$K$108,MATCH(C359,'Facilities'!$C$9:$C$108,0))))))))</x:f>
      </x:c>
      <x:c r="W359" s="21" t="str">
        <x:f>IF(C359="","",IFERROR(U259,"Unavailable"))</x:f>
      </x:c>
      <x:c r="X359" s="21" t="str">
        <x:f>IF(C359="","",IFERROR(V259,"Unavailable"))</x:f>
      </x:c>
      <x:c r="Y359" s="21" t="str">
        <x:f>IF(C359="","",IF(AQ359&lt;&gt;"Ready","Unavailable",IF(C359="","",U359-W359+V359-X359+N359+AG359)))</x:f>
      </x:c>
      <x:c r="Z359" s="23" t="str">
        <x:f>IF(C359="","",IF(AQ359&lt;&gt;"Ready","Unavailable",IF(C359="","",(G359+O359+L359)/2*INDEX('Facilities'!$T$9:$T$108,MATCH(C359,'Facilities'!$C$9:$C$108,0))+AG359)))</x:f>
      </x:c>
      <x:c r="AA359" s="23" t="str">
        <x:f>IF(C359="","",IF(AQ359&lt;&gt;"Ready","Unavailable",IF(C359="","",O359*(1-IF(INDEX('Facilities'!$AA$9:$AA$108,MATCH(C359,'Facilities'!$C$9:$C$108,0))=0,0,MIN(1,INDEX('Facilities'!$X$9:$X$108,MATCH(C359,'Facilities'!$C$9:$C$108,0))/INDEX('Facilities'!$AA$9:$AA$108,MATCH(C359,'Facilities'!$C$9:$C$108,0)))))*AF359+P359*(1-IF(INDEX('Facilities'!$AA$9:$AA$108,MATCH(C359,'Facilities'!$C$9:$C$108,0))=0,0,MIN(1,INDEX('Facilities'!$X$9:$X$108,MATCH(C359,'Facilities'!$C$9:$C$108,0))/INDEX('Facilities'!$AA$9:$AA$108,MATCH(C359,'Facilities'!$C$9:$C$108,0)))))*INDEX('Facilities'!$AJ$9:$AJ$108,MATCH(C359,'Facilities'!$C$9:$C$108,0))+Q359*INDEX('Facilities'!$AI$9:$AI$108,MATCH(C359,'Facilities'!$C$9:$C$108,0))*AF359)))</x:f>
      </x:c>
      <x:c r="AB359" s="21" t="str">
        <x:f>IF(C359="","",O359+P359-AD359)</x:f>
      </x:c>
      <x:c r="AC359" s="23" t="str">
        <x:f>IF(C359="","",IFERROR(IF(INDEX('Facilities'!$AD$9:$AD$108,MATCH(C359,'Facilities'!$C$9:$C$108,0))=3,0,IF(INDEX('Facilities'!$AN$9:$AN$108,MATCH(C359,'Facilities'!$C$9:$C$108,0))=0,-1,INDEX('Facilities'!$AN$9:$AN$108,MATCH(C359,'Facilities'!$C$9:$C$108,0)))),"Unavailable"))</x:f>
      </x:c>
      <x:c r="AD359" s="21" t="str">
        <x:f>IF(C359="","",IFERROR(G359+H359,"Unavailable"))</x:f>
      </x:c>
      <x:c r="AE359" s="21" t="str">
        <x:f>IF(C359="","",IF(AQ359&lt;&gt;"Ready","Unavailable",IF(C359="","",O359+P359-AD359-J359+K359+M359+N359)))</x:f>
      </x:c>
      <x:c r="AF359" s="30" t="str">
        <x:f>IF(C359="","",IFERROR(INDEX('Facilities'!$S$9:$S$108,MATCH(C359,'Facilities'!$C$9:$C$108,0))*'Scenario Paths'!I75,"Unavailable"))</x:f>
      </x:c>
      <x:c r="AG359" s="23" t="str">
        <x:f>IF(C359="","",IF(AQ359&lt;&gt;"Ready","Unavailable",IF(C359="","",IF(H359&gt;0,MAX(0,H359-AK359)*((1+INDEX('Facilities'!$K$9:$K$108,MATCH(C359,'Facilities'!$C$9:$C$108,0)))^MIN(1,MAX(0,AC359+INDEX('Facilities'!$AK$9:$AK$108,MATCH(C359,'Facilities'!$C$9:$C$108,0))-D359+1))-1),0))))</x:f>
      </x:c>
      <x:c r="AH359" s="21" t="str">
        <x:f>IF(C359="","",IF(AQ359&lt;&gt;"Ready","Unavailable",IF(C359="","",O359+P359)))</x:f>
      </x:c>
      <x:c r="AI359" s="21" t="str">
        <x:f>IF(C359="","",IF(AQ359&lt;&gt;"Ready","Unavailable",IF(C359="","",Z359-Y359)))</x:f>
      </x:c>
      <x:c r="AJ359" s="23" t="str">
        <x:f>IF(C359="","",IFERROR(MAX(0,INDEX('Facilities'!$J$9:$J$108,MATCH(C359,'Facilities'!$C$9:$C$108,0))-D359),"Unavailable"))</x:f>
      </x:c>
      <x:c r="AK359" s="21" t="str">
        <x:f>IF(C359="","",IFERROR(AL259,"Unavailable"))</x:f>
      </x:c>
      <x:c r="AL359" s="23" t="str">
        <x:f>IF(C359="","",IFERROR(IF(P359&gt;0,P359*(1-AM359/(1+INDEX('Facilities'!$K$9:$K$108,MATCH(C359,'Facilities'!$C$9:$C$108,0)))^MAX(0,AC359+INDEX('Facilities'!$AK$9:$AK$108,MATCH(C359,'Facilities'!$C$9:$C$108,0))-D359)),0),"Unavailable"))</x:f>
      </x:c>
      <x:c r="AM359" s="30" t="str">
        <x:f>IF(C359="","",IFERROR(INDEX('Facilities'!$AL$9:$AL$108,MATCH(C359,'Facilities'!$C$9:$C$108,0)),"Unavailable"))</x:f>
      </x:c>
      <x:c r="AN359" s="30" t="str">
        <x:f>IF(C359="","",IFERROR(INDEX(Credit!$T$309:$T$408,MATCH(F359,Credit!$C$309:$C$408,0)),"Unavailable"))</x:f>
      </x:c>
      <x:c r="AO359" s="23" t="str">
        <x:f>IF(C359="","",IF(AQ359&lt;&gt;"Ready","Unavailable",IF(C359="","",O359+P359+Q359*INDEX('Facilities'!$I$9:$I$108,MATCH(C359,'Facilities'!$C$9:$C$108,0)))))</x:f>
      </x:c>
      <x:c r="AP359" s="21" t="str">
        <x:f>IF(C359="","",IF(AQ359&lt;&gt;"Ready","Unavailable",IF(C359="","",AH359-U359)))</x:f>
      </x:c>
      <x:c r="AQ359" s="23" t="str">
        <x:f>IFERROR(IF(C359="","",IF(AND(INDEX('Facilities'!$AF$9:$AF$108,MATCH(C359,'Facilities'!$C$9:$C$108,0))="Ready",INDEX(Credit!$U$309:$U$408,MATCH(F359,Credit!$C$309:$C$408,0))="Ready",ISNUMBER(W359)),"Ready","Review inputs")),"Review inputs")</x:f>
      </x:c>
      <x:c r="AR359" s="23" t="str">
        <x:f>IF(C359="","",IF(AQ359&lt;&gt;"Ready","Unavailable",IF(C359="","",IF(O359=0,0,(IF(AJ359&lt;=1,O359,O359*INDEX('Facilities'!$R$9:$R$108,MATCH(C359,'Facilities'!$C$9:$C$108,0)))+O359*INDEX('Facilities'!$T$9:$T$108,MATCH(C359,'Facilities'!$C$9:$C$108,0)))/12))))</x:f>
      </x:c>
    </x:row>
    <x:row r="360" ht="26" customHeight="1">
      <x:c r="A360" s="1"/>
      <x:c r="B360" s="1"/>
      <x:c r="C360" s="9" t="str">
        <x:f>IF(Facilities!C60="","",Facilities!C60)</x:f>
      </x:c>
      <x:c r="D360" s="3" t="n">
        <x:v>4</x:v>
      </x:c>
      <x:c r="E360" s="9" t="n">
        <x:f>Settings!$F$18+3</x:f>
        <x:v>2030</x:v>
      </x:c>
      <x:c r="F360" s="9" t="str">
        <x:f>IF(C360="","",IFERROR(INDEX('Facilities'!$D$9:$D$108,MATCH(C360,'Facilities'!$C$9:$C$108,0)),"Unavailable"))</x:f>
      </x:c>
      <x:c r="G360" s="21" t="str">
        <x:f>IF(C360="","",IFERROR(O260,"Unavailable"))</x:f>
      </x:c>
      <x:c r="H360" s="21" t="str">
        <x:f>IF(C360="","",IFERROR(P260,"Unavailable"))</x:f>
      </x:c>
      <x:c r="I360" s="21" t="str">
        <x:f>IF(C360="","",IFERROR(Q260,"Unavailable"))</x:f>
      </x:c>
      <x:c r="J360" s="23" t="str">
        <x:f>IF(C360="","",IFERROR(IF(OR(H360&gt;0,AND(AC360&gt;=0,AC360&lt;D360),D360&gt;INDEX('Facilities'!$J$9:$J$108,MATCH(C360,'Facilities'!$C$9:$C$108,0))),0,I360*'Scenario Paths'!I81),"Unavailable"))</x:f>
      </x:c>
      <x:c r="K360" s="23" t="str">
        <x:f>IF(C360="","",IFERROR(IF(OR(H360&gt;0,AND(AC360&gt;=0,AC360=D360)),0,IF(D360&gt;=INDEX('Facilities'!$J$9:$J$108,MATCH(C360,'Facilities'!$C$9:$C$108,0)),G360+J360,MIN(G360+J360,G360*INDEX('Facilities'!$R$9:$R$108,MATCH(C360,'Facilities'!$C$9:$C$108,0))))),"Unavailable"))</x:f>
      </x:c>
      <x:c r="L360" s="21" t="str">
        <x:f>IF(C360="","",IFERROR(IF(AND(AC360=D360,AC360&gt;0),MAX(0,G360+J360-K360),0),"Unavailable"))</x:f>
      </x:c>
      <x:c r="M360" s="23" t="str">
        <x:f>IF(C360="","",IFERROR(IF(AND(AC360&gt;=0,D360&gt;=AC360+INDEX('Facilities'!$AK$9:$AK$108,MATCH(C360,'Facilities'!$C$9:$C$108,0))),(H360+L360)*AM360,0),"Unavailable"))</x:f>
      </x:c>
      <x:c r="N360" s="23" t="str">
        <x:f>IF(C360="","",IFERROR(IF(AND(AC360&gt;=0,D360&gt;=AC360+INDEX('Facilities'!$AK$9:$AK$108,MATCH(C360,'Facilities'!$C$9:$C$108,0))),H360+L360-M360,0),"Unavailable"))</x:f>
      </x:c>
      <x:c r="O360" s="21" t="str">
        <x:f>IF(C360="","",IFERROR(MAX(0,G360+J360-K360-L360),"Unavailable"))</x:f>
      </x:c>
      <x:c r="P360" s="21" t="str">
        <x:f>IF(C360="","",IFERROR(MAX(0,H360+L360-M360-N360),"Unavailable"))</x:f>
      </x:c>
      <x:c r="Q360" s="23" t="str">
        <x:f>IF(C360="","",IFERROR(IF(OR(D360&gt;=INDEX('Facilities'!$J$9:$J$108,MATCH(C360,'Facilities'!$C$9:$C$108,0)),AND(AC360&gt;=0,AC360&lt;=D360)),0,MAX(0,I360-J360)),"Unavailable"))</x:f>
      </x:c>
      <x:c r="R360" s="30" t="str">
        <x:f>IF(C360="","",IFERROR(INDEX(Credit!$Q$309:$Q$408,MATCH(F360,Credit!$C$309:$C$408,0)),"Unavailable"))</x:f>
      </x:c>
      <x:c r="S360" s="30" t="str">
        <x:f>IF(C360="","",IFERROR(INDEX(Credit!$R$309:$R$408,MATCH(F360,Credit!$C$309:$C$408,0)),"Unavailable"))</x:f>
      </x:c>
      <x:c r="T360" s="23" t="str">
        <x:f>IF(C360="","",IFERROR(IF(P360&gt;0,3,IF(OR(INDEX('Facilities'!$AD$9:$AD$108,MATCH(C360,'Facilities'!$C$9:$C$108,0))=2,AND(R360&gt;=INDEX('Facilities'!$L$9:$L$108,MATCH(C360,'Facilities'!$C$9:$C$108,0))*Settings!$F$19,R360-INDEX('Facilities'!$L$9:$L$108,MATCH(C360,'Facilities'!$C$9:$C$108,0))&gt;=Settings!$F$20)),2,1)),"Unavailable"))</x:f>
      </x:c>
      <x:c r="U360" s="23" t="str">
        <x:f>IF(C360="","",IF(AQ360&lt;&gt;"Ready","Unavailable",IF(C360="","",O360*(1-(1-S360)/(1+INDEX('Facilities'!$K$9:$K$108,MATCH(C360,'Facilities'!$C$9:$C$108,0)))^INDEX('Facilities'!$AK$9:$AK$108,MATCH(C360,'Facilities'!$C$9:$C$108,0)))*R360/(1+INDEX('Facilities'!$K$9:$K$108,MATCH(C360,'Facilities'!$C$9:$C$108,0)))*IF(ABS(1-(1-R360)*(1-INDEX('Facilities'!$R$9:$R$108,MATCH(C360,'Facilities'!$C$9:$C$108,0)))/(1+INDEX('Facilities'!$K$9:$K$108,MATCH(C360,'Facilities'!$C$9:$C$108,0))))&lt;0.000000001,IF(T360=1,MIN(1,AJ360),AJ360),(1-((1-R360)*(1-INDEX('Facilities'!$R$9:$R$108,MATCH(C360,'Facilities'!$C$9:$C$108,0)))/(1+INDEX('Facilities'!$K$9:$K$108,MATCH(C360,'Facilities'!$C$9:$C$108,0))))^IF(T360=1,MIN(1,AJ360),AJ360))/(1-(1-R360)*(1-INDEX('Facilities'!$R$9:$R$108,MATCH(C360,'Facilities'!$C$9:$C$108,0)))/(1+INDEX('Facilities'!$K$9:$K$108,MATCH(C360,'Facilities'!$C$9:$C$108,0)))))+AL360)))</x:f>
      </x:c>
      <x:c r="V360" s="23" t="str">
        <x:f>IF(C360="","",IF(AQ360&lt;&gt;"Ready","Unavailable",IF(C360="","",Q360*INDEX('Facilities'!$I$9:$I$108,MATCH(C360,'Facilities'!$C$9:$C$108,0))*(1-(1-S360)/(1+INDEX('Facilities'!$K$9:$K$108,MATCH(C360,'Facilities'!$C$9:$C$108,0)))^INDEX('Facilities'!$AK$9:$AK$108,MATCH(C360,'Facilities'!$C$9:$C$108,0)))*R360/(1+INDEX('Facilities'!$K$9:$K$108,MATCH(C360,'Facilities'!$C$9:$C$108,0)))*IF(ABS(1-(1-R360)*(1-0)/(1+INDEX('Facilities'!$K$9:$K$108,MATCH(C360,'Facilities'!$C$9:$C$108,0))))&lt;0.000000001,IF(T360=1,MIN(1,AJ360),AJ360),(1-((1-R360)*(1-0)/(1+INDEX('Facilities'!$K$9:$K$108,MATCH(C360,'Facilities'!$C$9:$C$108,0))))^IF(T360=1,MIN(1,AJ360),AJ360))/(1-(1-R360)*(1-0)/(1+INDEX('Facilities'!$K$9:$K$108,MATCH(C360,'Facilities'!$C$9:$C$108,0))))))))</x:f>
      </x:c>
      <x:c r="W360" s="21" t="str">
        <x:f>IF(C360="","",IFERROR(U260,"Unavailable"))</x:f>
      </x:c>
      <x:c r="X360" s="21" t="str">
        <x:f>IF(C360="","",IFERROR(V260,"Unavailable"))</x:f>
      </x:c>
      <x:c r="Y360" s="21" t="str">
        <x:f>IF(C360="","",IF(AQ360&lt;&gt;"Ready","Unavailable",IF(C360="","",U360-W360+V360-X360+N360+AG360)))</x:f>
      </x:c>
      <x:c r="Z360" s="23" t="str">
        <x:f>IF(C360="","",IF(AQ360&lt;&gt;"Ready","Unavailable",IF(C360="","",(G360+O360+L360)/2*INDEX('Facilities'!$T$9:$T$108,MATCH(C360,'Facilities'!$C$9:$C$108,0))+AG360)))</x:f>
      </x:c>
      <x:c r="AA360" s="23" t="str">
        <x:f>IF(C360="","",IF(AQ360&lt;&gt;"Ready","Unavailable",IF(C360="","",O360*(1-IF(INDEX('Facilities'!$AA$9:$AA$108,MATCH(C360,'Facilities'!$C$9:$C$108,0))=0,0,MIN(1,INDEX('Facilities'!$X$9:$X$108,MATCH(C360,'Facilities'!$C$9:$C$108,0))/INDEX('Facilities'!$AA$9:$AA$108,MATCH(C360,'Facilities'!$C$9:$C$108,0)))))*AF360+P360*(1-IF(INDEX('Facilities'!$AA$9:$AA$108,MATCH(C360,'Facilities'!$C$9:$C$108,0))=0,0,MIN(1,INDEX('Facilities'!$X$9:$X$108,MATCH(C360,'Facilities'!$C$9:$C$108,0))/INDEX('Facilities'!$AA$9:$AA$108,MATCH(C360,'Facilities'!$C$9:$C$108,0)))))*INDEX('Facilities'!$AJ$9:$AJ$108,MATCH(C360,'Facilities'!$C$9:$C$108,0))+Q360*INDEX('Facilities'!$AI$9:$AI$108,MATCH(C360,'Facilities'!$C$9:$C$108,0))*AF360)))</x:f>
      </x:c>
      <x:c r="AB360" s="21" t="str">
        <x:f>IF(C360="","",O360+P360-AD360)</x:f>
      </x:c>
      <x:c r="AC360" s="23" t="str">
        <x:f>IF(C360="","",IFERROR(IF(INDEX('Facilities'!$AD$9:$AD$108,MATCH(C360,'Facilities'!$C$9:$C$108,0))=3,0,IF(INDEX('Facilities'!$AN$9:$AN$108,MATCH(C360,'Facilities'!$C$9:$C$108,0))=0,-1,INDEX('Facilities'!$AN$9:$AN$108,MATCH(C360,'Facilities'!$C$9:$C$108,0)))),"Unavailable"))</x:f>
      </x:c>
      <x:c r="AD360" s="21" t="str">
        <x:f>IF(C360="","",IFERROR(G360+H360,"Unavailable"))</x:f>
      </x:c>
      <x:c r="AE360" s="21" t="str">
        <x:f>IF(C360="","",IF(AQ360&lt;&gt;"Ready","Unavailable",IF(C360="","",O360+P360-AD360-J360+K360+M360+N360)))</x:f>
      </x:c>
      <x:c r="AF360" s="30" t="str">
        <x:f>IF(C360="","",IFERROR(INDEX('Facilities'!$S$9:$S$108,MATCH(C360,'Facilities'!$C$9:$C$108,0))*'Scenario Paths'!I75,"Unavailable"))</x:f>
      </x:c>
      <x:c r="AG360" s="23" t="str">
        <x:f>IF(C360="","",IF(AQ360&lt;&gt;"Ready","Unavailable",IF(C360="","",IF(H360&gt;0,MAX(0,H360-AK360)*((1+INDEX('Facilities'!$K$9:$K$108,MATCH(C360,'Facilities'!$C$9:$C$108,0)))^MIN(1,MAX(0,AC360+INDEX('Facilities'!$AK$9:$AK$108,MATCH(C360,'Facilities'!$C$9:$C$108,0))-D360+1))-1),0))))</x:f>
      </x:c>
      <x:c r="AH360" s="21" t="str">
        <x:f>IF(C360="","",IF(AQ360&lt;&gt;"Ready","Unavailable",IF(C360="","",O360+P360)))</x:f>
      </x:c>
      <x:c r="AI360" s="21" t="str">
        <x:f>IF(C360="","",IF(AQ360&lt;&gt;"Ready","Unavailable",IF(C360="","",Z360-Y360)))</x:f>
      </x:c>
      <x:c r="AJ360" s="23" t="str">
        <x:f>IF(C360="","",IFERROR(MAX(0,INDEX('Facilities'!$J$9:$J$108,MATCH(C360,'Facilities'!$C$9:$C$108,0))-D360),"Unavailable"))</x:f>
      </x:c>
      <x:c r="AK360" s="21" t="str">
        <x:f>IF(C360="","",IFERROR(AL260,"Unavailable"))</x:f>
      </x:c>
      <x:c r="AL360" s="23" t="str">
        <x:f>IF(C360="","",IFERROR(IF(P360&gt;0,P360*(1-AM360/(1+INDEX('Facilities'!$K$9:$K$108,MATCH(C360,'Facilities'!$C$9:$C$108,0)))^MAX(0,AC360+INDEX('Facilities'!$AK$9:$AK$108,MATCH(C360,'Facilities'!$C$9:$C$108,0))-D360)),0),"Unavailable"))</x:f>
      </x:c>
      <x:c r="AM360" s="30" t="str">
        <x:f>IF(C360="","",IFERROR(INDEX('Facilities'!$AL$9:$AL$108,MATCH(C360,'Facilities'!$C$9:$C$108,0)),"Unavailable"))</x:f>
      </x:c>
      <x:c r="AN360" s="30" t="str">
        <x:f>IF(C360="","",IFERROR(INDEX(Credit!$T$309:$T$408,MATCH(F360,Credit!$C$309:$C$408,0)),"Unavailable"))</x:f>
      </x:c>
      <x:c r="AO360" s="23" t="str">
        <x:f>IF(C360="","",IF(AQ360&lt;&gt;"Ready","Unavailable",IF(C360="","",O360+P360+Q360*INDEX('Facilities'!$I$9:$I$108,MATCH(C360,'Facilities'!$C$9:$C$108,0)))))</x:f>
      </x:c>
      <x:c r="AP360" s="21" t="str">
        <x:f>IF(C360="","",IF(AQ360&lt;&gt;"Ready","Unavailable",IF(C360="","",AH360-U360)))</x:f>
      </x:c>
      <x:c r="AQ360" s="23" t="str">
        <x:f>IFERROR(IF(C360="","",IF(AND(INDEX('Facilities'!$AF$9:$AF$108,MATCH(C360,'Facilities'!$C$9:$C$108,0))="Ready",INDEX(Credit!$U$309:$U$408,MATCH(F360,Credit!$C$309:$C$408,0))="Ready",ISNUMBER(W360)),"Ready","Review inputs")),"Review inputs")</x:f>
      </x:c>
      <x:c r="AR360" s="23" t="str">
        <x:f>IF(C360="","",IF(AQ360&lt;&gt;"Ready","Unavailable",IF(C360="","",IF(O360=0,0,(IF(AJ360&lt;=1,O360,O360*INDEX('Facilities'!$R$9:$R$108,MATCH(C360,'Facilities'!$C$9:$C$108,0)))+O360*INDEX('Facilities'!$T$9:$T$108,MATCH(C360,'Facilities'!$C$9:$C$108,0)))/12))))</x:f>
      </x:c>
    </x:row>
    <x:row r="361" ht="26" customHeight="1">
      <x:c r="A361" s="1"/>
      <x:c r="B361" s="1"/>
      <x:c r="C361" s="9" t="str">
        <x:f>IF(Facilities!C61="","",Facilities!C61)</x:f>
      </x:c>
      <x:c r="D361" s="3" t="n">
        <x:v>4</x:v>
      </x:c>
      <x:c r="E361" s="9" t="n">
        <x:f>Settings!$F$18+3</x:f>
        <x:v>2030</x:v>
      </x:c>
      <x:c r="F361" s="9" t="str">
        <x:f>IF(C361="","",IFERROR(INDEX('Facilities'!$D$9:$D$108,MATCH(C361,'Facilities'!$C$9:$C$108,0)),"Unavailable"))</x:f>
      </x:c>
      <x:c r="G361" s="21" t="str">
        <x:f>IF(C361="","",IFERROR(O261,"Unavailable"))</x:f>
      </x:c>
      <x:c r="H361" s="21" t="str">
        <x:f>IF(C361="","",IFERROR(P261,"Unavailable"))</x:f>
      </x:c>
      <x:c r="I361" s="21" t="str">
        <x:f>IF(C361="","",IFERROR(Q261,"Unavailable"))</x:f>
      </x:c>
      <x:c r="J361" s="23" t="str">
        <x:f>IF(C361="","",IFERROR(IF(OR(H361&gt;0,AND(AC361&gt;=0,AC361&lt;D361),D361&gt;INDEX('Facilities'!$J$9:$J$108,MATCH(C361,'Facilities'!$C$9:$C$108,0))),0,I361*'Scenario Paths'!I81),"Unavailable"))</x:f>
      </x:c>
      <x:c r="K361" s="23" t="str">
        <x:f>IF(C361="","",IFERROR(IF(OR(H361&gt;0,AND(AC361&gt;=0,AC361=D361)),0,IF(D361&gt;=INDEX('Facilities'!$J$9:$J$108,MATCH(C361,'Facilities'!$C$9:$C$108,0)),G361+J361,MIN(G361+J361,G361*INDEX('Facilities'!$R$9:$R$108,MATCH(C361,'Facilities'!$C$9:$C$108,0))))),"Unavailable"))</x:f>
      </x:c>
      <x:c r="L361" s="21" t="str">
        <x:f>IF(C361="","",IFERROR(IF(AND(AC361=D361,AC361&gt;0),MAX(0,G361+J361-K361),0),"Unavailable"))</x:f>
      </x:c>
      <x:c r="M361" s="23" t="str">
        <x:f>IF(C361="","",IFERROR(IF(AND(AC361&gt;=0,D361&gt;=AC361+INDEX('Facilities'!$AK$9:$AK$108,MATCH(C361,'Facilities'!$C$9:$C$108,0))),(H361+L361)*AM361,0),"Unavailable"))</x:f>
      </x:c>
      <x:c r="N361" s="23" t="str">
        <x:f>IF(C361="","",IFERROR(IF(AND(AC361&gt;=0,D361&gt;=AC361+INDEX('Facilities'!$AK$9:$AK$108,MATCH(C361,'Facilities'!$C$9:$C$108,0))),H361+L361-M361,0),"Unavailable"))</x:f>
      </x:c>
      <x:c r="O361" s="21" t="str">
        <x:f>IF(C361="","",IFERROR(MAX(0,G361+J361-K361-L361),"Unavailable"))</x:f>
      </x:c>
      <x:c r="P361" s="21" t="str">
        <x:f>IF(C361="","",IFERROR(MAX(0,H361+L361-M361-N361),"Unavailable"))</x:f>
      </x:c>
      <x:c r="Q361" s="23" t="str">
        <x:f>IF(C361="","",IFERROR(IF(OR(D361&gt;=INDEX('Facilities'!$J$9:$J$108,MATCH(C361,'Facilities'!$C$9:$C$108,0)),AND(AC361&gt;=0,AC361&lt;=D361)),0,MAX(0,I361-J361)),"Unavailable"))</x:f>
      </x:c>
      <x:c r="R361" s="30" t="str">
        <x:f>IF(C361="","",IFERROR(INDEX(Credit!$Q$309:$Q$408,MATCH(F361,Credit!$C$309:$C$408,0)),"Unavailable"))</x:f>
      </x:c>
      <x:c r="S361" s="30" t="str">
        <x:f>IF(C361="","",IFERROR(INDEX(Credit!$R$309:$R$408,MATCH(F361,Credit!$C$309:$C$408,0)),"Unavailable"))</x:f>
      </x:c>
      <x:c r="T361" s="23" t="str">
        <x:f>IF(C361="","",IFERROR(IF(P361&gt;0,3,IF(OR(INDEX('Facilities'!$AD$9:$AD$108,MATCH(C361,'Facilities'!$C$9:$C$108,0))=2,AND(R361&gt;=INDEX('Facilities'!$L$9:$L$108,MATCH(C361,'Facilities'!$C$9:$C$108,0))*Settings!$F$19,R361-INDEX('Facilities'!$L$9:$L$108,MATCH(C361,'Facilities'!$C$9:$C$108,0))&gt;=Settings!$F$20)),2,1)),"Unavailable"))</x:f>
      </x:c>
      <x:c r="U361" s="23" t="str">
        <x:f>IF(C361="","",IF(AQ361&lt;&gt;"Ready","Unavailable",IF(C361="","",O361*(1-(1-S361)/(1+INDEX('Facilities'!$K$9:$K$108,MATCH(C361,'Facilities'!$C$9:$C$108,0)))^INDEX('Facilities'!$AK$9:$AK$108,MATCH(C361,'Facilities'!$C$9:$C$108,0)))*R361/(1+INDEX('Facilities'!$K$9:$K$108,MATCH(C361,'Facilities'!$C$9:$C$108,0)))*IF(ABS(1-(1-R361)*(1-INDEX('Facilities'!$R$9:$R$108,MATCH(C361,'Facilities'!$C$9:$C$108,0)))/(1+INDEX('Facilities'!$K$9:$K$108,MATCH(C361,'Facilities'!$C$9:$C$108,0))))&lt;0.000000001,IF(T361=1,MIN(1,AJ361),AJ361),(1-((1-R361)*(1-INDEX('Facilities'!$R$9:$R$108,MATCH(C361,'Facilities'!$C$9:$C$108,0)))/(1+INDEX('Facilities'!$K$9:$K$108,MATCH(C361,'Facilities'!$C$9:$C$108,0))))^IF(T361=1,MIN(1,AJ361),AJ361))/(1-(1-R361)*(1-INDEX('Facilities'!$R$9:$R$108,MATCH(C361,'Facilities'!$C$9:$C$108,0)))/(1+INDEX('Facilities'!$K$9:$K$108,MATCH(C361,'Facilities'!$C$9:$C$108,0)))))+AL361)))</x:f>
      </x:c>
      <x:c r="V361" s="23" t="str">
        <x:f>IF(C361="","",IF(AQ361&lt;&gt;"Ready","Unavailable",IF(C361="","",Q361*INDEX('Facilities'!$I$9:$I$108,MATCH(C361,'Facilities'!$C$9:$C$108,0))*(1-(1-S361)/(1+INDEX('Facilities'!$K$9:$K$108,MATCH(C361,'Facilities'!$C$9:$C$108,0)))^INDEX('Facilities'!$AK$9:$AK$108,MATCH(C361,'Facilities'!$C$9:$C$108,0)))*R361/(1+INDEX('Facilities'!$K$9:$K$108,MATCH(C361,'Facilities'!$C$9:$C$108,0)))*IF(ABS(1-(1-R361)*(1-0)/(1+INDEX('Facilities'!$K$9:$K$108,MATCH(C361,'Facilities'!$C$9:$C$108,0))))&lt;0.000000001,IF(T361=1,MIN(1,AJ361),AJ361),(1-((1-R361)*(1-0)/(1+INDEX('Facilities'!$K$9:$K$108,MATCH(C361,'Facilities'!$C$9:$C$108,0))))^IF(T361=1,MIN(1,AJ361),AJ361))/(1-(1-R361)*(1-0)/(1+INDEX('Facilities'!$K$9:$K$108,MATCH(C361,'Facilities'!$C$9:$C$108,0))))))))</x:f>
      </x:c>
      <x:c r="W361" s="21" t="str">
        <x:f>IF(C361="","",IFERROR(U261,"Unavailable"))</x:f>
      </x:c>
      <x:c r="X361" s="21" t="str">
        <x:f>IF(C361="","",IFERROR(V261,"Unavailable"))</x:f>
      </x:c>
      <x:c r="Y361" s="21" t="str">
        <x:f>IF(C361="","",IF(AQ361&lt;&gt;"Ready","Unavailable",IF(C361="","",U361-W361+V361-X361+N361+AG361)))</x:f>
      </x:c>
      <x:c r="Z361" s="23" t="str">
        <x:f>IF(C361="","",IF(AQ361&lt;&gt;"Ready","Unavailable",IF(C361="","",(G361+O361+L361)/2*INDEX('Facilities'!$T$9:$T$108,MATCH(C361,'Facilities'!$C$9:$C$108,0))+AG361)))</x:f>
      </x:c>
      <x:c r="AA361" s="23" t="str">
        <x:f>IF(C361="","",IF(AQ361&lt;&gt;"Ready","Unavailable",IF(C361="","",O361*(1-IF(INDEX('Facilities'!$AA$9:$AA$108,MATCH(C361,'Facilities'!$C$9:$C$108,0))=0,0,MIN(1,INDEX('Facilities'!$X$9:$X$108,MATCH(C361,'Facilities'!$C$9:$C$108,0))/INDEX('Facilities'!$AA$9:$AA$108,MATCH(C361,'Facilities'!$C$9:$C$108,0)))))*AF361+P361*(1-IF(INDEX('Facilities'!$AA$9:$AA$108,MATCH(C361,'Facilities'!$C$9:$C$108,0))=0,0,MIN(1,INDEX('Facilities'!$X$9:$X$108,MATCH(C361,'Facilities'!$C$9:$C$108,0))/INDEX('Facilities'!$AA$9:$AA$108,MATCH(C361,'Facilities'!$C$9:$C$108,0)))))*INDEX('Facilities'!$AJ$9:$AJ$108,MATCH(C361,'Facilities'!$C$9:$C$108,0))+Q361*INDEX('Facilities'!$AI$9:$AI$108,MATCH(C361,'Facilities'!$C$9:$C$108,0))*AF361)))</x:f>
      </x:c>
      <x:c r="AB361" s="21" t="str">
        <x:f>IF(C361="","",O361+P361-AD361)</x:f>
      </x:c>
      <x:c r="AC361" s="23" t="str">
        <x:f>IF(C361="","",IFERROR(IF(INDEX('Facilities'!$AD$9:$AD$108,MATCH(C361,'Facilities'!$C$9:$C$108,0))=3,0,IF(INDEX('Facilities'!$AN$9:$AN$108,MATCH(C361,'Facilities'!$C$9:$C$108,0))=0,-1,INDEX('Facilities'!$AN$9:$AN$108,MATCH(C361,'Facilities'!$C$9:$C$108,0)))),"Unavailable"))</x:f>
      </x:c>
      <x:c r="AD361" s="21" t="str">
        <x:f>IF(C361="","",IFERROR(G361+H361,"Unavailable"))</x:f>
      </x:c>
      <x:c r="AE361" s="21" t="str">
        <x:f>IF(C361="","",IF(AQ361&lt;&gt;"Ready","Unavailable",IF(C361="","",O361+P361-AD361-J361+K361+M361+N361)))</x:f>
      </x:c>
      <x:c r="AF361" s="30" t="str">
        <x:f>IF(C361="","",IFERROR(INDEX('Facilities'!$S$9:$S$108,MATCH(C361,'Facilities'!$C$9:$C$108,0))*'Scenario Paths'!I75,"Unavailable"))</x:f>
      </x:c>
      <x:c r="AG361" s="23" t="str">
        <x:f>IF(C361="","",IF(AQ361&lt;&gt;"Ready","Unavailable",IF(C361="","",IF(H361&gt;0,MAX(0,H361-AK361)*((1+INDEX('Facilities'!$K$9:$K$108,MATCH(C361,'Facilities'!$C$9:$C$108,0)))^MIN(1,MAX(0,AC361+INDEX('Facilities'!$AK$9:$AK$108,MATCH(C361,'Facilities'!$C$9:$C$108,0))-D361+1))-1),0))))</x:f>
      </x:c>
      <x:c r="AH361" s="21" t="str">
        <x:f>IF(C361="","",IF(AQ361&lt;&gt;"Ready","Unavailable",IF(C361="","",O361+P361)))</x:f>
      </x:c>
      <x:c r="AI361" s="21" t="str">
        <x:f>IF(C361="","",IF(AQ361&lt;&gt;"Ready","Unavailable",IF(C361="","",Z361-Y361)))</x:f>
      </x:c>
      <x:c r="AJ361" s="23" t="str">
        <x:f>IF(C361="","",IFERROR(MAX(0,INDEX('Facilities'!$J$9:$J$108,MATCH(C361,'Facilities'!$C$9:$C$108,0))-D361),"Unavailable"))</x:f>
      </x:c>
      <x:c r="AK361" s="21" t="str">
        <x:f>IF(C361="","",IFERROR(AL261,"Unavailable"))</x:f>
      </x:c>
      <x:c r="AL361" s="23" t="str">
        <x:f>IF(C361="","",IFERROR(IF(P361&gt;0,P361*(1-AM361/(1+INDEX('Facilities'!$K$9:$K$108,MATCH(C361,'Facilities'!$C$9:$C$108,0)))^MAX(0,AC361+INDEX('Facilities'!$AK$9:$AK$108,MATCH(C361,'Facilities'!$C$9:$C$108,0))-D361)),0),"Unavailable"))</x:f>
      </x:c>
      <x:c r="AM361" s="30" t="str">
        <x:f>IF(C361="","",IFERROR(INDEX('Facilities'!$AL$9:$AL$108,MATCH(C361,'Facilities'!$C$9:$C$108,0)),"Unavailable"))</x:f>
      </x:c>
      <x:c r="AN361" s="30" t="str">
        <x:f>IF(C361="","",IFERROR(INDEX(Credit!$T$309:$T$408,MATCH(F361,Credit!$C$309:$C$408,0)),"Unavailable"))</x:f>
      </x:c>
      <x:c r="AO361" s="23" t="str">
        <x:f>IF(C361="","",IF(AQ361&lt;&gt;"Ready","Unavailable",IF(C361="","",O361+P361+Q361*INDEX('Facilities'!$I$9:$I$108,MATCH(C361,'Facilities'!$C$9:$C$108,0)))))</x:f>
      </x:c>
      <x:c r="AP361" s="21" t="str">
        <x:f>IF(C361="","",IF(AQ361&lt;&gt;"Ready","Unavailable",IF(C361="","",AH361-U361)))</x:f>
      </x:c>
      <x:c r="AQ361" s="23" t="str">
        <x:f>IFERROR(IF(C361="","",IF(AND(INDEX('Facilities'!$AF$9:$AF$108,MATCH(C361,'Facilities'!$C$9:$C$108,0))="Ready",INDEX(Credit!$U$309:$U$408,MATCH(F361,Credit!$C$309:$C$408,0))="Ready",ISNUMBER(W361)),"Ready","Review inputs")),"Review inputs")</x:f>
      </x:c>
      <x:c r="AR361" s="23" t="str">
        <x:f>IF(C361="","",IF(AQ361&lt;&gt;"Ready","Unavailable",IF(C361="","",IF(O361=0,0,(IF(AJ361&lt;=1,O361,O361*INDEX('Facilities'!$R$9:$R$108,MATCH(C361,'Facilities'!$C$9:$C$108,0)))+O361*INDEX('Facilities'!$T$9:$T$108,MATCH(C361,'Facilities'!$C$9:$C$108,0)))/12))))</x:f>
      </x:c>
    </x:row>
    <x:row r="362" ht="26" customHeight="1">
      <x:c r="A362" s="1"/>
      <x:c r="B362" s="1"/>
      <x:c r="C362" s="9" t="str">
        <x:f>IF(Facilities!C62="","",Facilities!C62)</x:f>
      </x:c>
      <x:c r="D362" s="3" t="n">
        <x:v>4</x:v>
      </x:c>
      <x:c r="E362" s="9" t="n">
        <x:f>Settings!$F$18+3</x:f>
        <x:v>2030</x:v>
      </x:c>
      <x:c r="F362" s="9" t="str">
        <x:f>IF(C362="","",IFERROR(INDEX('Facilities'!$D$9:$D$108,MATCH(C362,'Facilities'!$C$9:$C$108,0)),"Unavailable"))</x:f>
      </x:c>
      <x:c r="G362" s="21" t="str">
        <x:f>IF(C362="","",IFERROR(O262,"Unavailable"))</x:f>
      </x:c>
      <x:c r="H362" s="21" t="str">
        <x:f>IF(C362="","",IFERROR(P262,"Unavailable"))</x:f>
      </x:c>
      <x:c r="I362" s="21" t="str">
        <x:f>IF(C362="","",IFERROR(Q262,"Unavailable"))</x:f>
      </x:c>
      <x:c r="J362" s="23" t="str">
        <x:f>IF(C362="","",IFERROR(IF(OR(H362&gt;0,AND(AC362&gt;=0,AC362&lt;D362),D362&gt;INDEX('Facilities'!$J$9:$J$108,MATCH(C362,'Facilities'!$C$9:$C$108,0))),0,I362*'Scenario Paths'!I81),"Unavailable"))</x:f>
      </x:c>
      <x:c r="K362" s="23" t="str">
        <x:f>IF(C362="","",IFERROR(IF(OR(H362&gt;0,AND(AC362&gt;=0,AC362=D362)),0,IF(D362&gt;=INDEX('Facilities'!$J$9:$J$108,MATCH(C362,'Facilities'!$C$9:$C$108,0)),G362+J362,MIN(G362+J362,G362*INDEX('Facilities'!$R$9:$R$108,MATCH(C362,'Facilities'!$C$9:$C$108,0))))),"Unavailable"))</x:f>
      </x:c>
      <x:c r="L362" s="21" t="str">
        <x:f>IF(C362="","",IFERROR(IF(AND(AC362=D362,AC362&gt;0),MAX(0,G362+J362-K362),0),"Unavailable"))</x:f>
      </x:c>
      <x:c r="M362" s="23" t="str">
        <x:f>IF(C362="","",IFERROR(IF(AND(AC362&gt;=0,D362&gt;=AC362+INDEX('Facilities'!$AK$9:$AK$108,MATCH(C362,'Facilities'!$C$9:$C$108,0))),(H362+L362)*AM362,0),"Unavailable"))</x:f>
      </x:c>
      <x:c r="N362" s="23" t="str">
        <x:f>IF(C362="","",IFERROR(IF(AND(AC362&gt;=0,D362&gt;=AC362+INDEX('Facilities'!$AK$9:$AK$108,MATCH(C362,'Facilities'!$C$9:$C$108,0))),H362+L362-M362,0),"Unavailable"))</x:f>
      </x:c>
      <x:c r="O362" s="21" t="str">
        <x:f>IF(C362="","",IFERROR(MAX(0,G362+J362-K362-L362),"Unavailable"))</x:f>
      </x:c>
      <x:c r="P362" s="21" t="str">
        <x:f>IF(C362="","",IFERROR(MAX(0,H362+L362-M362-N362),"Unavailable"))</x:f>
      </x:c>
      <x:c r="Q362" s="23" t="str">
        <x:f>IF(C362="","",IFERROR(IF(OR(D362&gt;=INDEX('Facilities'!$J$9:$J$108,MATCH(C362,'Facilities'!$C$9:$C$108,0)),AND(AC362&gt;=0,AC362&lt;=D362)),0,MAX(0,I362-J362)),"Unavailable"))</x:f>
      </x:c>
      <x:c r="R362" s="30" t="str">
        <x:f>IF(C362="","",IFERROR(INDEX(Credit!$Q$309:$Q$408,MATCH(F362,Credit!$C$309:$C$408,0)),"Unavailable"))</x:f>
      </x:c>
      <x:c r="S362" s="30" t="str">
        <x:f>IF(C362="","",IFERROR(INDEX(Credit!$R$309:$R$408,MATCH(F362,Credit!$C$309:$C$408,0)),"Unavailable"))</x:f>
      </x:c>
      <x:c r="T362" s="23" t="str">
        <x:f>IF(C362="","",IFERROR(IF(P362&gt;0,3,IF(OR(INDEX('Facilities'!$AD$9:$AD$108,MATCH(C362,'Facilities'!$C$9:$C$108,0))=2,AND(R362&gt;=INDEX('Facilities'!$L$9:$L$108,MATCH(C362,'Facilities'!$C$9:$C$108,0))*Settings!$F$19,R362-INDEX('Facilities'!$L$9:$L$108,MATCH(C362,'Facilities'!$C$9:$C$108,0))&gt;=Settings!$F$20)),2,1)),"Unavailable"))</x:f>
      </x:c>
      <x:c r="U362" s="23" t="str">
        <x:f>IF(C362="","",IF(AQ362&lt;&gt;"Ready","Unavailable",IF(C362="","",O362*(1-(1-S362)/(1+INDEX('Facilities'!$K$9:$K$108,MATCH(C362,'Facilities'!$C$9:$C$108,0)))^INDEX('Facilities'!$AK$9:$AK$108,MATCH(C362,'Facilities'!$C$9:$C$108,0)))*R362/(1+INDEX('Facilities'!$K$9:$K$108,MATCH(C362,'Facilities'!$C$9:$C$108,0)))*IF(ABS(1-(1-R362)*(1-INDEX('Facilities'!$R$9:$R$108,MATCH(C362,'Facilities'!$C$9:$C$108,0)))/(1+INDEX('Facilities'!$K$9:$K$108,MATCH(C362,'Facilities'!$C$9:$C$108,0))))&lt;0.000000001,IF(T362=1,MIN(1,AJ362),AJ362),(1-((1-R362)*(1-INDEX('Facilities'!$R$9:$R$108,MATCH(C362,'Facilities'!$C$9:$C$108,0)))/(1+INDEX('Facilities'!$K$9:$K$108,MATCH(C362,'Facilities'!$C$9:$C$108,0))))^IF(T362=1,MIN(1,AJ362),AJ362))/(1-(1-R362)*(1-INDEX('Facilities'!$R$9:$R$108,MATCH(C362,'Facilities'!$C$9:$C$108,0)))/(1+INDEX('Facilities'!$K$9:$K$108,MATCH(C362,'Facilities'!$C$9:$C$108,0)))))+AL362)))</x:f>
      </x:c>
      <x:c r="V362" s="23" t="str">
        <x:f>IF(C362="","",IF(AQ362&lt;&gt;"Ready","Unavailable",IF(C362="","",Q362*INDEX('Facilities'!$I$9:$I$108,MATCH(C362,'Facilities'!$C$9:$C$108,0))*(1-(1-S362)/(1+INDEX('Facilities'!$K$9:$K$108,MATCH(C362,'Facilities'!$C$9:$C$108,0)))^INDEX('Facilities'!$AK$9:$AK$108,MATCH(C362,'Facilities'!$C$9:$C$108,0)))*R362/(1+INDEX('Facilities'!$K$9:$K$108,MATCH(C362,'Facilities'!$C$9:$C$108,0)))*IF(ABS(1-(1-R362)*(1-0)/(1+INDEX('Facilities'!$K$9:$K$108,MATCH(C362,'Facilities'!$C$9:$C$108,0))))&lt;0.000000001,IF(T362=1,MIN(1,AJ362),AJ362),(1-((1-R362)*(1-0)/(1+INDEX('Facilities'!$K$9:$K$108,MATCH(C362,'Facilities'!$C$9:$C$108,0))))^IF(T362=1,MIN(1,AJ362),AJ362))/(1-(1-R362)*(1-0)/(1+INDEX('Facilities'!$K$9:$K$108,MATCH(C362,'Facilities'!$C$9:$C$108,0))))))))</x:f>
      </x:c>
      <x:c r="W362" s="21" t="str">
        <x:f>IF(C362="","",IFERROR(U262,"Unavailable"))</x:f>
      </x:c>
      <x:c r="X362" s="21" t="str">
        <x:f>IF(C362="","",IFERROR(V262,"Unavailable"))</x:f>
      </x:c>
      <x:c r="Y362" s="21" t="str">
        <x:f>IF(C362="","",IF(AQ362&lt;&gt;"Ready","Unavailable",IF(C362="","",U362-W362+V362-X362+N362+AG362)))</x:f>
      </x:c>
      <x:c r="Z362" s="23" t="str">
        <x:f>IF(C362="","",IF(AQ362&lt;&gt;"Ready","Unavailable",IF(C362="","",(G362+O362+L362)/2*INDEX('Facilities'!$T$9:$T$108,MATCH(C362,'Facilities'!$C$9:$C$108,0))+AG362)))</x:f>
      </x:c>
      <x:c r="AA362" s="23" t="str">
        <x:f>IF(C362="","",IF(AQ362&lt;&gt;"Ready","Unavailable",IF(C362="","",O362*(1-IF(INDEX('Facilities'!$AA$9:$AA$108,MATCH(C362,'Facilities'!$C$9:$C$108,0))=0,0,MIN(1,INDEX('Facilities'!$X$9:$X$108,MATCH(C362,'Facilities'!$C$9:$C$108,0))/INDEX('Facilities'!$AA$9:$AA$108,MATCH(C362,'Facilities'!$C$9:$C$108,0)))))*AF362+P362*(1-IF(INDEX('Facilities'!$AA$9:$AA$108,MATCH(C362,'Facilities'!$C$9:$C$108,0))=0,0,MIN(1,INDEX('Facilities'!$X$9:$X$108,MATCH(C362,'Facilities'!$C$9:$C$108,0))/INDEX('Facilities'!$AA$9:$AA$108,MATCH(C362,'Facilities'!$C$9:$C$108,0)))))*INDEX('Facilities'!$AJ$9:$AJ$108,MATCH(C362,'Facilities'!$C$9:$C$108,0))+Q362*INDEX('Facilities'!$AI$9:$AI$108,MATCH(C362,'Facilities'!$C$9:$C$108,0))*AF362)))</x:f>
      </x:c>
      <x:c r="AB362" s="21" t="str">
        <x:f>IF(C362="","",O362+P362-AD362)</x:f>
      </x:c>
      <x:c r="AC362" s="23" t="str">
        <x:f>IF(C362="","",IFERROR(IF(INDEX('Facilities'!$AD$9:$AD$108,MATCH(C362,'Facilities'!$C$9:$C$108,0))=3,0,IF(INDEX('Facilities'!$AN$9:$AN$108,MATCH(C362,'Facilities'!$C$9:$C$108,0))=0,-1,INDEX('Facilities'!$AN$9:$AN$108,MATCH(C362,'Facilities'!$C$9:$C$108,0)))),"Unavailable"))</x:f>
      </x:c>
      <x:c r="AD362" s="21" t="str">
        <x:f>IF(C362="","",IFERROR(G362+H362,"Unavailable"))</x:f>
      </x:c>
      <x:c r="AE362" s="21" t="str">
        <x:f>IF(C362="","",IF(AQ362&lt;&gt;"Ready","Unavailable",IF(C362="","",O362+P362-AD362-J362+K362+M362+N362)))</x:f>
      </x:c>
      <x:c r="AF362" s="30" t="str">
        <x:f>IF(C362="","",IFERROR(INDEX('Facilities'!$S$9:$S$108,MATCH(C362,'Facilities'!$C$9:$C$108,0))*'Scenario Paths'!I75,"Unavailable"))</x:f>
      </x:c>
      <x:c r="AG362" s="23" t="str">
        <x:f>IF(C362="","",IF(AQ362&lt;&gt;"Ready","Unavailable",IF(C362="","",IF(H362&gt;0,MAX(0,H362-AK362)*((1+INDEX('Facilities'!$K$9:$K$108,MATCH(C362,'Facilities'!$C$9:$C$108,0)))^MIN(1,MAX(0,AC362+INDEX('Facilities'!$AK$9:$AK$108,MATCH(C362,'Facilities'!$C$9:$C$108,0))-D362+1))-1),0))))</x:f>
      </x:c>
      <x:c r="AH362" s="21" t="str">
        <x:f>IF(C362="","",IF(AQ362&lt;&gt;"Ready","Unavailable",IF(C362="","",O362+P362)))</x:f>
      </x:c>
      <x:c r="AI362" s="21" t="str">
        <x:f>IF(C362="","",IF(AQ362&lt;&gt;"Ready","Unavailable",IF(C362="","",Z362-Y362)))</x:f>
      </x:c>
      <x:c r="AJ362" s="23" t="str">
        <x:f>IF(C362="","",IFERROR(MAX(0,INDEX('Facilities'!$J$9:$J$108,MATCH(C362,'Facilities'!$C$9:$C$108,0))-D362),"Unavailable"))</x:f>
      </x:c>
      <x:c r="AK362" s="21" t="str">
        <x:f>IF(C362="","",IFERROR(AL262,"Unavailable"))</x:f>
      </x:c>
      <x:c r="AL362" s="23" t="str">
        <x:f>IF(C362="","",IFERROR(IF(P362&gt;0,P362*(1-AM362/(1+INDEX('Facilities'!$K$9:$K$108,MATCH(C362,'Facilities'!$C$9:$C$108,0)))^MAX(0,AC362+INDEX('Facilities'!$AK$9:$AK$108,MATCH(C362,'Facilities'!$C$9:$C$108,0))-D362)),0),"Unavailable"))</x:f>
      </x:c>
      <x:c r="AM362" s="30" t="str">
        <x:f>IF(C362="","",IFERROR(INDEX('Facilities'!$AL$9:$AL$108,MATCH(C362,'Facilities'!$C$9:$C$108,0)),"Unavailable"))</x:f>
      </x:c>
      <x:c r="AN362" s="30" t="str">
        <x:f>IF(C362="","",IFERROR(INDEX(Credit!$T$309:$T$408,MATCH(F362,Credit!$C$309:$C$408,0)),"Unavailable"))</x:f>
      </x:c>
      <x:c r="AO362" s="23" t="str">
        <x:f>IF(C362="","",IF(AQ362&lt;&gt;"Ready","Unavailable",IF(C362="","",O362+P362+Q362*INDEX('Facilities'!$I$9:$I$108,MATCH(C362,'Facilities'!$C$9:$C$108,0)))))</x:f>
      </x:c>
      <x:c r="AP362" s="21" t="str">
        <x:f>IF(C362="","",IF(AQ362&lt;&gt;"Ready","Unavailable",IF(C362="","",AH362-U362)))</x:f>
      </x:c>
      <x:c r="AQ362" s="23" t="str">
        <x:f>IFERROR(IF(C362="","",IF(AND(INDEX('Facilities'!$AF$9:$AF$108,MATCH(C362,'Facilities'!$C$9:$C$108,0))="Ready",INDEX(Credit!$U$309:$U$408,MATCH(F362,Credit!$C$309:$C$408,0))="Ready",ISNUMBER(W362)),"Ready","Review inputs")),"Review inputs")</x:f>
      </x:c>
      <x:c r="AR362" s="23" t="str">
        <x:f>IF(C362="","",IF(AQ362&lt;&gt;"Ready","Unavailable",IF(C362="","",IF(O362=0,0,(IF(AJ362&lt;=1,O362,O362*INDEX('Facilities'!$R$9:$R$108,MATCH(C362,'Facilities'!$C$9:$C$108,0)))+O362*INDEX('Facilities'!$T$9:$T$108,MATCH(C362,'Facilities'!$C$9:$C$108,0)))/12))))</x:f>
      </x:c>
    </x:row>
    <x:row r="363" ht="26" customHeight="1">
      <x:c r="A363" s="1"/>
      <x:c r="B363" s="1"/>
      <x:c r="C363" s="9" t="str">
        <x:f>IF(Facilities!C63="","",Facilities!C63)</x:f>
      </x:c>
      <x:c r="D363" s="3" t="n">
        <x:v>4</x:v>
      </x:c>
      <x:c r="E363" s="9" t="n">
        <x:f>Settings!$F$18+3</x:f>
        <x:v>2030</x:v>
      </x:c>
      <x:c r="F363" s="9" t="str">
        <x:f>IF(C363="","",IFERROR(INDEX('Facilities'!$D$9:$D$108,MATCH(C363,'Facilities'!$C$9:$C$108,0)),"Unavailable"))</x:f>
      </x:c>
      <x:c r="G363" s="21" t="str">
        <x:f>IF(C363="","",IFERROR(O263,"Unavailable"))</x:f>
      </x:c>
      <x:c r="H363" s="21" t="str">
        <x:f>IF(C363="","",IFERROR(P263,"Unavailable"))</x:f>
      </x:c>
      <x:c r="I363" s="21" t="str">
        <x:f>IF(C363="","",IFERROR(Q263,"Unavailable"))</x:f>
      </x:c>
      <x:c r="J363" s="23" t="str">
        <x:f>IF(C363="","",IFERROR(IF(OR(H363&gt;0,AND(AC363&gt;=0,AC363&lt;D363),D363&gt;INDEX('Facilities'!$J$9:$J$108,MATCH(C363,'Facilities'!$C$9:$C$108,0))),0,I363*'Scenario Paths'!I81),"Unavailable"))</x:f>
      </x:c>
      <x:c r="K363" s="23" t="str">
        <x:f>IF(C363="","",IFERROR(IF(OR(H363&gt;0,AND(AC363&gt;=0,AC363=D363)),0,IF(D363&gt;=INDEX('Facilities'!$J$9:$J$108,MATCH(C363,'Facilities'!$C$9:$C$108,0)),G363+J363,MIN(G363+J363,G363*INDEX('Facilities'!$R$9:$R$108,MATCH(C363,'Facilities'!$C$9:$C$108,0))))),"Unavailable"))</x:f>
      </x:c>
      <x:c r="L363" s="21" t="str">
        <x:f>IF(C363="","",IFERROR(IF(AND(AC363=D363,AC363&gt;0),MAX(0,G363+J363-K363),0),"Unavailable"))</x:f>
      </x:c>
      <x:c r="M363" s="23" t="str">
        <x:f>IF(C363="","",IFERROR(IF(AND(AC363&gt;=0,D363&gt;=AC363+INDEX('Facilities'!$AK$9:$AK$108,MATCH(C363,'Facilities'!$C$9:$C$108,0))),(H363+L363)*AM363,0),"Unavailable"))</x:f>
      </x:c>
      <x:c r="N363" s="23" t="str">
        <x:f>IF(C363="","",IFERROR(IF(AND(AC363&gt;=0,D363&gt;=AC363+INDEX('Facilities'!$AK$9:$AK$108,MATCH(C363,'Facilities'!$C$9:$C$108,0))),H363+L363-M363,0),"Unavailable"))</x:f>
      </x:c>
      <x:c r="O363" s="21" t="str">
        <x:f>IF(C363="","",IFERROR(MAX(0,G363+J363-K363-L363),"Unavailable"))</x:f>
      </x:c>
      <x:c r="P363" s="21" t="str">
        <x:f>IF(C363="","",IFERROR(MAX(0,H363+L363-M363-N363),"Unavailable"))</x:f>
      </x:c>
      <x:c r="Q363" s="23" t="str">
        <x:f>IF(C363="","",IFERROR(IF(OR(D363&gt;=INDEX('Facilities'!$J$9:$J$108,MATCH(C363,'Facilities'!$C$9:$C$108,0)),AND(AC363&gt;=0,AC363&lt;=D363)),0,MAX(0,I363-J363)),"Unavailable"))</x:f>
      </x:c>
      <x:c r="R363" s="30" t="str">
        <x:f>IF(C363="","",IFERROR(INDEX(Credit!$Q$309:$Q$408,MATCH(F363,Credit!$C$309:$C$408,0)),"Unavailable"))</x:f>
      </x:c>
      <x:c r="S363" s="30" t="str">
        <x:f>IF(C363="","",IFERROR(INDEX(Credit!$R$309:$R$408,MATCH(F363,Credit!$C$309:$C$408,0)),"Unavailable"))</x:f>
      </x:c>
      <x:c r="T363" s="23" t="str">
        <x:f>IF(C363="","",IFERROR(IF(P363&gt;0,3,IF(OR(INDEX('Facilities'!$AD$9:$AD$108,MATCH(C363,'Facilities'!$C$9:$C$108,0))=2,AND(R363&gt;=INDEX('Facilities'!$L$9:$L$108,MATCH(C363,'Facilities'!$C$9:$C$108,0))*Settings!$F$19,R363-INDEX('Facilities'!$L$9:$L$108,MATCH(C363,'Facilities'!$C$9:$C$108,0))&gt;=Settings!$F$20)),2,1)),"Unavailable"))</x:f>
      </x:c>
      <x:c r="U363" s="23" t="str">
        <x:f>IF(C363="","",IF(AQ363&lt;&gt;"Ready","Unavailable",IF(C363="","",O363*(1-(1-S363)/(1+INDEX('Facilities'!$K$9:$K$108,MATCH(C363,'Facilities'!$C$9:$C$108,0)))^INDEX('Facilities'!$AK$9:$AK$108,MATCH(C363,'Facilities'!$C$9:$C$108,0)))*R363/(1+INDEX('Facilities'!$K$9:$K$108,MATCH(C363,'Facilities'!$C$9:$C$108,0)))*IF(ABS(1-(1-R363)*(1-INDEX('Facilities'!$R$9:$R$108,MATCH(C363,'Facilities'!$C$9:$C$108,0)))/(1+INDEX('Facilities'!$K$9:$K$108,MATCH(C363,'Facilities'!$C$9:$C$108,0))))&lt;0.000000001,IF(T363=1,MIN(1,AJ363),AJ363),(1-((1-R363)*(1-INDEX('Facilities'!$R$9:$R$108,MATCH(C363,'Facilities'!$C$9:$C$108,0)))/(1+INDEX('Facilities'!$K$9:$K$108,MATCH(C363,'Facilities'!$C$9:$C$108,0))))^IF(T363=1,MIN(1,AJ363),AJ363))/(1-(1-R363)*(1-INDEX('Facilities'!$R$9:$R$108,MATCH(C363,'Facilities'!$C$9:$C$108,0)))/(1+INDEX('Facilities'!$K$9:$K$108,MATCH(C363,'Facilities'!$C$9:$C$108,0)))))+AL363)))</x:f>
      </x:c>
      <x:c r="V363" s="23" t="str">
        <x:f>IF(C363="","",IF(AQ363&lt;&gt;"Ready","Unavailable",IF(C363="","",Q363*INDEX('Facilities'!$I$9:$I$108,MATCH(C363,'Facilities'!$C$9:$C$108,0))*(1-(1-S363)/(1+INDEX('Facilities'!$K$9:$K$108,MATCH(C363,'Facilities'!$C$9:$C$108,0)))^INDEX('Facilities'!$AK$9:$AK$108,MATCH(C363,'Facilities'!$C$9:$C$108,0)))*R363/(1+INDEX('Facilities'!$K$9:$K$108,MATCH(C363,'Facilities'!$C$9:$C$108,0)))*IF(ABS(1-(1-R363)*(1-0)/(1+INDEX('Facilities'!$K$9:$K$108,MATCH(C363,'Facilities'!$C$9:$C$108,0))))&lt;0.000000001,IF(T363=1,MIN(1,AJ363),AJ363),(1-((1-R363)*(1-0)/(1+INDEX('Facilities'!$K$9:$K$108,MATCH(C363,'Facilities'!$C$9:$C$108,0))))^IF(T363=1,MIN(1,AJ363),AJ363))/(1-(1-R363)*(1-0)/(1+INDEX('Facilities'!$K$9:$K$108,MATCH(C363,'Facilities'!$C$9:$C$108,0))))))))</x:f>
      </x:c>
      <x:c r="W363" s="21" t="str">
        <x:f>IF(C363="","",IFERROR(U263,"Unavailable"))</x:f>
      </x:c>
      <x:c r="X363" s="21" t="str">
        <x:f>IF(C363="","",IFERROR(V263,"Unavailable"))</x:f>
      </x:c>
      <x:c r="Y363" s="21" t="str">
        <x:f>IF(C363="","",IF(AQ363&lt;&gt;"Ready","Unavailable",IF(C363="","",U363-W363+V363-X363+N363+AG363)))</x:f>
      </x:c>
      <x:c r="Z363" s="23" t="str">
        <x:f>IF(C363="","",IF(AQ363&lt;&gt;"Ready","Unavailable",IF(C363="","",(G363+O363+L363)/2*INDEX('Facilities'!$T$9:$T$108,MATCH(C363,'Facilities'!$C$9:$C$108,0))+AG363)))</x:f>
      </x:c>
      <x:c r="AA363" s="23" t="str">
        <x:f>IF(C363="","",IF(AQ363&lt;&gt;"Ready","Unavailable",IF(C363="","",O363*(1-IF(INDEX('Facilities'!$AA$9:$AA$108,MATCH(C363,'Facilities'!$C$9:$C$108,0))=0,0,MIN(1,INDEX('Facilities'!$X$9:$X$108,MATCH(C363,'Facilities'!$C$9:$C$108,0))/INDEX('Facilities'!$AA$9:$AA$108,MATCH(C363,'Facilities'!$C$9:$C$108,0)))))*AF363+P363*(1-IF(INDEX('Facilities'!$AA$9:$AA$108,MATCH(C363,'Facilities'!$C$9:$C$108,0))=0,0,MIN(1,INDEX('Facilities'!$X$9:$X$108,MATCH(C363,'Facilities'!$C$9:$C$108,0))/INDEX('Facilities'!$AA$9:$AA$108,MATCH(C363,'Facilities'!$C$9:$C$108,0)))))*INDEX('Facilities'!$AJ$9:$AJ$108,MATCH(C363,'Facilities'!$C$9:$C$108,0))+Q363*INDEX('Facilities'!$AI$9:$AI$108,MATCH(C363,'Facilities'!$C$9:$C$108,0))*AF363)))</x:f>
      </x:c>
      <x:c r="AB363" s="21" t="str">
        <x:f>IF(C363="","",O363+P363-AD363)</x:f>
      </x:c>
      <x:c r="AC363" s="23" t="str">
        <x:f>IF(C363="","",IFERROR(IF(INDEX('Facilities'!$AD$9:$AD$108,MATCH(C363,'Facilities'!$C$9:$C$108,0))=3,0,IF(INDEX('Facilities'!$AN$9:$AN$108,MATCH(C363,'Facilities'!$C$9:$C$108,0))=0,-1,INDEX('Facilities'!$AN$9:$AN$108,MATCH(C363,'Facilities'!$C$9:$C$108,0)))),"Unavailable"))</x:f>
      </x:c>
      <x:c r="AD363" s="21" t="str">
        <x:f>IF(C363="","",IFERROR(G363+H363,"Unavailable"))</x:f>
      </x:c>
      <x:c r="AE363" s="21" t="str">
        <x:f>IF(C363="","",IF(AQ363&lt;&gt;"Ready","Unavailable",IF(C363="","",O363+P363-AD363-J363+K363+M363+N363)))</x:f>
      </x:c>
      <x:c r="AF363" s="30" t="str">
        <x:f>IF(C363="","",IFERROR(INDEX('Facilities'!$S$9:$S$108,MATCH(C363,'Facilities'!$C$9:$C$108,0))*'Scenario Paths'!I75,"Unavailable"))</x:f>
      </x:c>
      <x:c r="AG363" s="23" t="str">
        <x:f>IF(C363="","",IF(AQ363&lt;&gt;"Ready","Unavailable",IF(C363="","",IF(H363&gt;0,MAX(0,H363-AK363)*((1+INDEX('Facilities'!$K$9:$K$108,MATCH(C363,'Facilities'!$C$9:$C$108,0)))^MIN(1,MAX(0,AC363+INDEX('Facilities'!$AK$9:$AK$108,MATCH(C363,'Facilities'!$C$9:$C$108,0))-D363+1))-1),0))))</x:f>
      </x:c>
      <x:c r="AH363" s="21" t="str">
        <x:f>IF(C363="","",IF(AQ363&lt;&gt;"Ready","Unavailable",IF(C363="","",O363+P363)))</x:f>
      </x:c>
      <x:c r="AI363" s="21" t="str">
        <x:f>IF(C363="","",IF(AQ363&lt;&gt;"Ready","Unavailable",IF(C363="","",Z363-Y363)))</x:f>
      </x:c>
      <x:c r="AJ363" s="23" t="str">
        <x:f>IF(C363="","",IFERROR(MAX(0,INDEX('Facilities'!$J$9:$J$108,MATCH(C363,'Facilities'!$C$9:$C$108,0))-D363),"Unavailable"))</x:f>
      </x:c>
      <x:c r="AK363" s="21" t="str">
        <x:f>IF(C363="","",IFERROR(AL263,"Unavailable"))</x:f>
      </x:c>
      <x:c r="AL363" s="23" t="str">
        <x:f>IF(C363="","",IFERROR(IF(P363&gt;0,P363*(1-AM363/(1+INDEX('Facilities'!$K$9:$K$108,MATCH(C363,'Facilities'!$C$9:$C$108,0)))^MAX(0,AC363+INDEX('Facilities'!$AK$9:$AK$108,MATCH(C363,'Facilities'!$C$9:$C$108,0))-D363)),0),"Unavailable"))</x:f>
      </x:c>
      <x:c r="AM363" s="30" t="str">
        <x:f>IF(C363="","",IFERROR(INDEX('Facilities'!$AL$9:$AL$108,MATCH(C363,'Facilities'!$C$9:$C$108,0)),"Unavailable"))</x:f>
      </x:c>
      <x:c r="AN363" s="30" t="str">
        <x:f>IF(C363="","",IFERROR(INDEX(Credit!$T$309:$T$408,MATCH(F363,Credit!$C$309:$C$408,0)),"Unavailable"))</x:f>
      </x:c>
      <x:c r="AO363" s="23" t="str">
        <x:f>IF(C363="","",IF(AQ363&lt;&gt;"Ready","Unavailable",IF(C363="","",O363+P363+Q363*INDEX('Facilities'!$I$9:$I$108,MATCH(C363,'Facilities'!$C$9:$C$108,0)))))</x:f>
      </x:c>
      <x:c r="AP363" s="21" t="str">
        <x:f>IF(C363="","",IF(AQ363&lt;&gt;"Ready","Unavailable",IF(C363="","",AH363-U363)))</x:f>
      </x:c>
      <x:c r="AQ363" s="23" t="str">
        <x:f>IFERROR(IF(C363="","",IF(AND(INDEX('Facilities'!$AF$9:$AF$108,MATCH(C363,'Facilities'!$C$9:$C$108,0))="Ready",INDEX(Credit!$U$309:$U$408,MATCH(F363,Credit!$C$309:$C$408,0))="Ready",ISNUMBER(W363)),"Ready","Review inputs")),"Review inputs")</x:f>
      </x:c>
      <x:c r="AR363" s="23" t="str">
        <x:f>IF(C363="","",IF(AQ363&lt;&gt;"Ready","Unavailable",IF(C363="","",IF(O363=0,0,(IF(AJ363&lt;=1,O363,O363*INDEX('Facilities'!$R$9:$R$108,MATCH(C363,'Facilities'!$C$9:$C$108,0)))+O363*INDEX('Facilities'!$T$9:$T$108,MATCH(C363,'Facilities'!$C$9:$C$108,0)))/12))))</x:f>
      </x:c>
    </x:row>
    <x:row r="364" ht="26" customHeight="1">
      <x:c r="A364" s="1"/>
      <x:c r="B364" s="1"/>
      <x:c r="C364" s="9" t="str">
        <x:f>IF(Facilities!C64="","",Facilities!C64)</x:f>
      </x:c>
      <x:c r="D364" s="3" t="n">
        <x:v>4</x:v>
      </x:c>
      <x:c r="E364" s="9" t="n">
        <x:f>Settings!$F$18+3</x:f>
        <x:v>2030</x:v>
      </x:c>
      <x:c r="F364" s="9" t="str">
        <x:f>IF(C364="","",IFERROR(INDEX('Facilities'!$D$9:$D$108,MATCH(C364,'Facilities'!$C$9:$C$108,0)),"Unavailable"))</x:f>
      </x:c>
      <x:c r="G364" s="21" t="str">
        <x:f>IF(C364="","",IFERROR(O264,"Unavailable"))</x:f>
      </x:c>
      <x:c r="H364" s="21" t="str">
        <x:f>IF(C364="","",IFERROR(P264,"Unavailable"))</x:f>
      </x:c>
      <x:c r="I364" s="21" t="str">
        <x:f>IF(C364="","",IFERROR(Q264,"Unavailable"))</x:f>
      </x:c>
      <x:c r="J364" s="23" t="str">
        <x:f>IF(C364="","",IFERROR(IF(OR(H364&gt;0,AND(AC364&gt;=0,AC364&lt;D364),D364&gt;INDEX('Facilities'!$J$9:$J$108,MATCH(C364,'Facilities'!$C$9:$C$108,0))),0,I364*'Scenario Paths'!I81),"Unavailable"))</x:f>
      </x:c>
      <x:c r="K364" s="23" t="str">
        <x:f>IF(C364="","",IFERROR(IF(OR(H364&gt;0,AND(AC364&gt;=0,AC364=D364)),0,IF(D364&gt;=INDEX('Facilities'!$J$9:$J$108,MATCH(C364,'Facilities'!$C$9:$C$108,0)),G364+J364,MIN(G364+J364,G364*INDEX('Facilities'!$R$9:$R$108,MATCH(C364,'Facilities'!$C$9:$C$108,0))))),"Unavailable"))</x:f>
      </x:c>
      <x:c r="L364" s="21" t="str">
        <x:f>IF(C364="","",IFERROR(IF(AND(AC364=D364,AC364&gt;0),MAX(0,G364+J364-K364),0),"Unavailable"))</x:f>
      </x:c>
      <x:c r="M364" s="23" t="str">
        <x:f>IF(C364="","",IFERROR(IF(AND(AC364&gt;=0,D364&gt;=AC364+INDEX('Facilities'!$AK$9:$AK$108,MATCH(C364,'Facilities'!$C$9:$C$108,0))),(H364+L364)*AM364,0),"Unavailable"))</x:f>
      </x:c>
      <x:c r="N364" s="23" t="str">
        <x:f>IF(C364="","",IFERROR(IF(AND(AC364&gt;=0,D364&gt;=AC364+INDEX('Facilities'!$AK$9:$AK$108,MATCH(C364,'Facilities'!$C$9:$C$108,0))),H364+L364-M364,0),"Unavailable"))</x:f>
      </x:c>
      <x:c r="O364" s="21" t="str">
        <x:f>IF(C364="","",IFERROR(MAX(0,G364+J364-K364-L364),"Unavailable"))</x:f>
      </x:c>
      <x:c r="P364" s="21" t="str">
        <x:f>IF(C364="","",IFERROR(MAX(0,H364+L364-M364-N364),"Unavailable"))</x:f>
      </x:c>
      <x:c r="Q364" s="23" t="str">
        <x:f>IF(C364="","",IFERROR(IF(OR(D364&gt;=INDEX('Facilities'!$J$9:$J$108,MATCH(C364,'Facilities'!$C$9:$C$108,0)),AND(AC364&gt;=0,AC364&lt;=D364)),0,MAX(0,I364-J364)),"Unavailable"))</x:f>
      </x:c>
      <x:c r="R364" s="30" t="str">
        <x:f>IF(C364="","",IFERROR(INDEX(Credit!$Q$309:$Q$408,MATCH(F364,Credit!$C$309:$C$408,0)),"Unavailable"))</x:f>
      </x:c>
      <x:c r="S364" s="30" t="str">
        <x:f>IF(C364="","",IFERROR(INDEX(Credit!$R$309:$R$408,MATCH(F364,Credit!$C$309:$C$408,0)),"Unavailable"))</x:f>
      </x:c>
      <x:c r="T364" s="23" t="str">
        <x:f>IF(C364="","",IFERROR(IF(P364&gt;0,3,IF(OR(INDEX('Facilities'!$AD$9:$AD$108,MATCH(C364,'Facilities'!$C$9:$C$108,0))=2,AND(R364&gt;=INDEX('Facilities'!$L$9:$L$108,MATCH(C364,'Facilities'!$C$9:$C$108,0))*Settings!$F$19,R364-INDEX('Facilities'!$L$9:$L$108,MATCH(C364,'Facilities'!$C$9:$C$108,0))&gt;=Settings!$F$20)),2,1)),"Unavailable"))</x:f>
      </x:c>
      <x:c r="U364" s="23" t="str">
        <x:f>IF(C364="","",IF(AQ364&lt;&gt;"Ready","Unavailable",IF(C364="","",O364*(1-(1-S364)/(1+INDEX('Facilities'!$K$9:$K$108,MATCH(C364,'Facilities'!$C$9:$C$108,0)))^INDEX('Facilities'!$AK$9:$AK$108,MATCH(C364,'Facilities'!$C$9:$C$108,0)))*R364/(1+INDEX('Facilities'!$K$9:$K$108,MATCH(C364,'Facilities'!$C$9:$C$108,0)))*IF(ABS(1-(1-R364)*(1-INDEX('Facilities'!$R$9:$R$108,MATCH(C364,'Facilities'!$C$9:$C$108,0)))/(1+INDEX('Facilities'!$K$9:$K$108,MATCH(C364,'Facilities'!$C$9:$C$108,0))))&lt;0.000000001,IF(T364=1,MIN(1,AJ364),AJ364),(1-((1-R364)*(1-INDEX('Facilities'!$R$9:$R$108,MATCH(C364,'Facilities'!$C$9:$C$108,0)))/(1+INDEX('Facilities'!$K$9:$K$108,MATCH(C364,'Facilities'!$C$9:$C$108,0))))^IF(T364=1,MIN(1,AJ364),AJ364))/(1-(1-R364)*(1-INDEX('Facilities'!$R$9:$R$108,MATCH(C364,'Facilities'!$C$9:$C$108,0)))/(1+INDEX('Facilities'!$K$9:$K$108,MATCH(C364,'Facilities'!$C$9:$C$108,0)))))+AL364)))</x:f>
      </x:c>
      <x:c r="V364" s="23" t="str">
        <x:f>IF(C364="","",IF(AQ364&lt;&gt;"Ready","Unavailable",IF(C364="","",Q364*INDEX('Facilities'!$I$9:$I$108,MATCH(C364,'Facilities'!$C$9:$C$108,0))*(1-(1-S364)/(1+INDEX('Facilities'!$K$9:$K$108,MATCH(C364,'Facilities'!$C$9:$C$108,0)))^INDEX('Facilities'!$AK$9:$AK$108,MATCH(C364,'Facilities'!$C$9:$C$108,0)))*R364/(1+INDEX('Facilities'!$K$9:$K$108,MATCH(C364,'Facilities'!$C$9:$C$108,0)))*IF(ABS(1-(1-R364)*(1-0)/(1+INDEX('Facilities'!$K$9:$K$108,MATCH(C364,'Facilities'!$C$9:$C$108,0))))&lt;0.000000001,IF(T364=1,MIN(1,AJ364),AJ364),(1-((1-R364)*(1-0)/(1+INDEX('Facilities'!$K$9:$K$108,MATCH(C364,'Facilities'!$C$9:$C$108,0))))^IF(T364=1,MIN(1,AJ364),AJ364))/(1-(1-R364)*(1-0)/(1+INDEX('Facilities'!$K$9:$K$108,MATCH(C364,'Facilities'!$C$9:$C$108,0))))))))</x:f>
      </x:c>
      <x:c r="W364" s="21" t="str">
        <x:f>IF(C364="","",IFERROR(U264,"Unavailable"))</x:f>
      </x:c>
      <x:c r="X364" s="21" t="str">
        <x:f>IF(C364="","",IFERROR(V264,"Unavailable"))</x:f>
      </x:c>
      <x:c r="Y364" s="21" t="str">
        <x:f>IF(C364="","",IF(AQ364&lt;&gt;"Ready","Unavailable",IF(C364="","",U364-W364+V364-X364+N364+AG364)))</x:f>
      </x:c>
      <x:c r="Z364" s="23" t="str">
        <x:f>IF(C364="","",IF(AQ364&lt;&gt;"Ready","Unavailable",IF(C364="","",(G364+O364+L364)/2*INDEX('Facilities'!$T$9:$T$108,MATCH(C364,'Facilities'!$C$9:$C$108,0))+AG364)))</x:f>
      </x:c>
      <x:c r="AA364" s="23" t="str">
        <x:f>IF(C364="","",IF(AQ364&lt;&gt;"Ready","Unavailable",IF(C364="","",O364*(1-IF(INDEX('Facilities'!$AA$9:$AA$108,MATCH(C364,'Facilities'!$C$9:$C$108,0))=0,0,MIN(1,INDEX('Facilities'!$X$9:$X$108,MATCH(C364,'Facilities'!$C$9:$C$108,0))/INDEX('Facilities'!$AA$9:$AA$108,MATCH(C364,'Facilities'!$C$9:$C$108,0)))))*AF364+P364*(1-IF(INDEX('Facilities'!$AA$9:$AA$108,MATCH(C364,'Facilities'!$C$9:$C$108,0))=0,0,MIN(1,INDEX('Facilities'!$X$9:$X$108,MATCH(C364,'Facilities'!$C$9:$C$108,0))/INDEX('Facilities'!$AA$9:$AA$108,MATCH(C364,'Facilities'!$C$9:$C$108,0)))))*INDEX('Facilities'!$AJ$9:$AJ$108,MATCH(C364,'Facilities'!$C$9:$C$108,0))+Q364*INDEX('Facilities'!$AI$9:$AI$108,MATCH(C364,'Facilities'!$C$9:$C$108,0))*AF364)))</x:f>
      </x:c>
      <x:c r="AB364" s="21" t="str">
        <x:f>IF(C364="","",O364+P364-AD364)</x:f>
      </x:c>
      <x:c r="AC364" s="23" t="str">
        <x:f>IF(C364="","",IFERROR(IF(INDEX('Facilities'!$AD$9:$AD$108,MATCH(C364,'Facilities'!$C$9:$C$108,0))=3,0,IF(INDEX('Facilities'!$AN$9:$AN$108,MATCH(C364,'Facilities'!$C$9:$C$108,0))=0,-1,INDEX('Facilities'!$AN$9:$AN$108,MATCH(C364,'Facilities'!$C$9:$C$108,0)))),"Unavailable"))</x:f>
      </x:c>
      <x:c r="AD364" s="21" t="str">
        <x:f>IF(C364="","",IFERROR(G364+H364,"Unavailable"))</x:f>
      </x:c>
      <x:c r="AE364" s="21" t="str">
        <x:f>IF(C364="","",IF(AQ364&lt;&gt;"Ready","Unavailable",IF(C364="","",O364+P364-AD364-J364+K364+M364+N364)))</x:f>
      </x:c>
      <x:c r="AF364" s="30" t="str">
        <x:f>IF(C364="","",IFERROR(INDEX('Facilities'!$S$9:$S$108,MATCH(C364,'Facilities'!$C$9:$C$108,0))*'Scenario Paths'!I75,"Unavailable"))</x:f>
      </x:c>
      <x:c r="AG364" s="23" t="str">
        <x:f>IF(C364="","",IF(AQ364&lt;&gt;"Ready","Unavailable",IF(C364="","",IF(H364&gt;0,MAX(0,H364-AK364)*((1+INDEX('Facilities'!$K$9:$K$108,MATCH(C364,'Facilities'!$C$9:$C$108,0)))^MIN(1,MAX(0,AC364+INDEX('Facilities'!$AK$9:$AK$108,MATCH(C364,'Facilities'!$C$9:$C$108,0))-D364+1))-1),0))))</x:f>
      </x:c>
      <x:c r="AH364" s="21" t="str">
        <x:f>IF(C364="","",IF(AQ364&lt;&gt;"Ready","Unavailable",IF(C364="","",O364+P364)))</x:f>
      </x:c>
      <x:c r="AI364" s="21" t="str">
        <x:f>IF(C364="","",IF(AQ364&lt;&gt;"Ready","Unavailable",IF(C364="","",Z364-Y364)))</x:f>
      </x:c>
      <x:c r="AJ364" s="23" t="str">
        <x:f>IF(C364="","",IFERROR(MAX(0,INDEX('Facilities'!$J$9:$J$108,MATCH(C364,'Facilities'!$C$9:$C$108,0))-D364),"Unavailable"))</x:f>
      </x:c>
      <x:c r="AK364" s="21" t="str">
        <x:f>IF(C364="","",IFERROR(AL264,"Unavailable"))</x:f>
      </x:c>
      <x:c r="AL364" s="23" t="str">
        <x:f>IF(C364="","",IFERROR(IF(P364&gt;0,P364*(1-AM364/(1+INDEX('Facilities'!$K$9:$K$108,MATCH(C364,'Facilities'!$C$9:$C$108,0)))^MAX(0,AC364+INDEX('Facilities'!$AK$9:$AK$108,MATCH(C364,'Facilities'!$C$9:$C$108,0))-D364)),0),"Unavailable"))</x:f>
      </x:c>
      <x:c r="AM364" s="30" t="str">
        <x:f>IF(C364="","",IFERROR(INDEX('Facilities'!$AL$9:$AL$108,MATCH(C364,'Facilities'!$C$9:$C$108,0)),"Unavailable"))</x:f>
      </x:c>
      <x:c r="AN364" s="30" t="str">
        <x:f>IF(C364="","",IFERROR(INDEX(Credit!$T$309:$T$408,MATCH(F364,Credit!$C$309:$C$408,0)),"Unavailable"))</x:f>
      </x:c>
      <x:c r="AO364" s="23" t="str">
        <x:f>IF(C364="","",IF(AQ364&lt;&gt;"Ready","Unavailable",IF(C364="","",O364+P364+Q364*INDEX('Facilities'!$I$9:$I$108,MATCH(C364,'Facilities'!$C$9:$C$108,0)))))</x:f>
      </x:c>
      <x:c r="AP364" s="21" t="str">
        <x:f>IF(C364="","",IF(AQ364&lt;&gt;"Ready","Unavailable",IF(C364="","",AH364-U364)))</x:f>
      </x:c>
      <x:c r="AQ364" s="23" t="str">
        <x:f>IFERROR(IF(C364="","",IF(AND(INDEX('Facilities'!$AF$9:$AF$108,MATCH(C364,'Facilities'!$C$9:$C$108,0))="Ready",INDEX(Credit!$U$309:$U$408,MATCH(F364,Credit!$C$309:$C$408,0))="Ready",ISNUMBER(W364)),"Ready","Review inputs")),"Review inputs")</x:f>
      </x:c>
      <x:c r="AR364" s="23" t="str">
        <x:f>IF(C364="","",IF(AQ364&lt;&gt;"Ready","Unavailable",IF(C364="","",IF(O364=0,0,(IF(AJ364&lt;=1,O364,O364*INDEX('Facilities'!$R$9:$R$108,MATCH(C364,'Facilities'!$C$9:$C$108,0)))+O364*INDEX('Facilities'!$T$9:$T$108,MATCH(C364,'Facilities'!$C$9:$C$108,0)))/12))))</x:f>
      </x:c>
    </x:row>
    <x:row r="365" ht="26" customHeight="1">
      <x:c r="A365" s="1"/>
      <x:c r="B365" s="1"/>
      <x:c r="C365" s="9" t="str">
        <x:f>IF(Facilities!C65="","",Facilities!C65)</x:f>
      </x:c>
      <x:c r="D365" s="3" t="n">
        <x:v>4</x:v>
      </x:c>
      <x:c r="E365" s="9" t="n">
        <x:f>Settings!$F$18+3</x:f>
        <x:v>2030</x:v>
      </x:c>
      <x:c r="F365" s="9" t="str">
        <x:f>IF(C365="","",IFERROR(INDEX('Facilities'!$D$9:$D$108,MATCH(C365,'Facilities'!$C$9:$C$108,0)),"Unavailable"))</x:f>
      </x:c>
      <x:c r="G365" s="21" t="str">
        <x:f>IF(C365="","",IFERROR(O265,"Unavailable"))</x:f>
      </x:c>
      <x:c r="H365" s="21" t="str">
        <x:f>IF(C365="","",IFERROR(P265,"Unavailable"))</x:f>
      </x:c>
      <x:c r="I365" s="21" t="str">
        <x:f>IF(C365="","",IFERROR(Q265,"Unavailable"))</x:f>
      </x:c>
      <x:c r="J365" s="23" t="str">
        <x:f>IF(C365="","",IFERROR(IF(OR(H365&gt;0,AND(AC365&gt;=0,AC365&lt;D365),D365&gt;INDEX('Facilities'!$J$9:$J$108,MATCH(C365,'Facilities'!$C$9:$C$108,0))),0,I365*'Scenario Paths'!I81),"Unavailable"))</x:f>
      </x:c>
      <x:c r="K365" s="23" t="str">
        <x:f>IF(C365="","",IFERROR(IF(OR(H365&gt;0,AND(AC365&gt;=0,AC365=D365)),0,IF(D365&gt;=INDEX('Facilities'!$J$9:$J$108,MATCH(C365,'Facilities'!$C$9:$C$108,0)),G365+J365,MIN(G365+J365,G365*INDEX('Facilities'!$R$9:$R$108,MATCH(C365,'Facilities'!$C$9:$C$108,0))))),"Unavailable"))</x:f>
      </x:c>
      <x:c r="L365" s="21" t="str">
        <x:f>IF(C365="","",IFERROR(IF(AND(AC365=D365,AC365&gt;0),MAX(0,G365+J365-K365),0),"Unavailable"))</x:f>
      </x:c>
      <x:c r="M365" s="23" t="str">
        <x:f>IF(C365="","",IFERROR(IF(AND(AC365&gt;=0,D365&gt;=AC365+INDEX('Facilities'!$AK$9:$AK$108,MATCH(C365,'Facilities'!$C$9:$C$108,0))),(H365+L365)*AM365,0),"Unavailable"))</x:f>
      </x:c>
      <x:c r="N365" s="23" t="str">
        <x:f>IF(C365="","",IFERROR(IF(AND(AC365&gt;=0,D365&gt;=AC365+INDEX('Facilities'!$AK$9:$AK$108,MATCH(C365,'Facilities'!$C$9:$C$108,0))),H365+L365-M365,0),"Unavailable"))</x:f>
      </x:c>
      <x:c r="O365" s="21" t="str">
        <x:f>IF(C365="","",IFERROR(MAX(0,G365+J365-K365-L365),"Unavailable"))</x:f>
      </x:c>
      <x:c r="P365" s="21" t="str">
        <x:f>IF(C365="","",IFERROR(MAX(0,H365+L365-M365-N365),"Unavailable"))</x:f>
      </x:c>
      <x:c r="Q365" s="23" t="str">
        <x:f>IF(C365="","",IFERROR(IF(OR(D365&gt;=INDEX('Facilities'!$J$9:$J$108,MATCH(C365,'Facilities'!$C$9:$C$108,0)),AND(AC365&gt;=0,AC365&lt;=D365)),0,MAX(0,I365-J365)),"Unavailable"))</x:f>
      </x:c>
      <x:c r="R365" s="30" t="str">
        <x:f>IF(C365="","",IFERROR(INDEX(Credit!$Q$309:$Q$408,MATCH(F365,Credit!$C$309:$C$408,0)),"Unavailable"))</x:f>
      </x:c>
      <x:c r="S365" s="30" t="str">
        <x:f>IF(C365="","",IFERROR(INDEX(Credit!$R$309:$R$408,MATCH(F365,Credit!$C$309:$C$408,0)),"Unavailable"))</x:f>
      </x:c>
      <x:c r="T365" s="23" t="str">
        <x:f>IF(C365="","",IFERROR(IF(P365&gt;0,3,IF(OR(INDEX('Facilities'!$AD$9:$AD$108,MATCH(C365,'Facilities'!$C$9:$C$108,0))=2,AND(R365&gt;=INDEX('Facilities'!$L$9:$L$108,MATCH(C365,'Facilities'!$C$9:$C$108,0))*Settings!$F$19,R365-INDEX('Facilities'!$L$9:$L$108,MATCH(C365,'Facilities'!$C$9:$C$108,0))&gt;=Settings!$F$20)),2,1)),"Unavailable"))</x:f>
      </x:c>
      <x:c r="U365" s="23" t="str">
        <x:f>IF(C365="","",IF(AQ365&lt;&gt;"Ready","Unavailable",IF(C365="","",O365*(1-(1-S365)/(1+INDEX('Facilities'!$K$9:$K$108,MATCH(C365,'Facilities'!$C$9:$C$108,0)))^INDEX('Facilities'!$AK$9:$AK$108,MATCH(C365,'Facilities'!$C$9:$C$108,0)))*R365/(1+INDEX('Facilities'!$K$9:$K$108,MATCH(C365,'Facilities'!$C$9:$C$108,0)))*IF(ABS(1-(1-R365)*(1-INDEX('Facilities'!$R$9:$R$108,MATCH(C365,'Facilities'!$C$9:$C$108,0)))/(1+INDEX('Facilities'!$K$9:$K$108,MATCH(C365,'Facilities'!$C$9:$C$108,0))))&lt;0.000000001,IF(T365=1,MIN(1,AJ365),AJ365),(1-((1-R365)*(1-INDEX('Facilities'!$R$9:$R$108,MATCH(C365,'Facilities'!$C$9:$C$108,0)))/(1+INDEX('Facilities'!$K$9:$K$108,MATCH(C365,'Facilities'!$C$9:$C$108,0))))^IF(T365=1,MIN(1,AJ365),AJ365))/(1-(1-R365)*(1-INDEX('Facilities'!$R$9:$R$108,MATCH(C365,'Facilities'!$C$9:$C$108,0)))/(1+INDEX('Facilities'!$K$9:$K$108,MATCH(C365,'Facilities'!$C$9:$C$108,0)))))+AL365)))</x:f>
      </x:c>
      <x:c r="V365" s="23" t="str">
        <x:f>IF(C365="","",IF(AQ365&lt;&gt;"Ready","Unavailable",IF(C365="","",Q365*INDEX('Facilities'!$I$9:$I$108,MATCH(C365,'Facilities'!$C$9:$C$108,0))*(1-(1-S365)/(1+INDEX('Facilities'!$K$9:$K$108,MATCH(C365,'Facilities'!$C$9:$C$108,0)))^INDEX('Facilities'!$AK$9:$AK$108,MATCH(C365,'Facilities'!$C$9:$C$108,0)))*R365/(1+INDEX('Facilities'!$K$9:$K$108,MATCH(C365,'Facilities'!$C$9:$C$108,0)))*IF(ABS(1-(1-R365)*(1-0)/(1+INDEX('Facilities'!$K$9:$K$108,MATCH(C365,'Facilities'!$C$9:$C$108,0))))&lt;0.000000001,IF(T365=1,MIN(1,AJ365),AJ365),(1-((1-R365)*(1-0)/(1+INDEX('Facilities'!$K$9:$K$108,MATCH(C365,'Facilities'!$C$9:$C$108,0))))^IF(T365=1,MIN(1,AJ365),AJ365))/(1-(1-R365)*(1-0)/(1+INDEX('Facilities'!$K$9:$K$108,MATCH(C365,'Facilities'!$C$9:$C$108,0))))))))</x:f>
      </x:c>
      <x:c r="W365" s="21" t="str">
        <x:f>IF(C365="","",IFERROR(U265,"Unavailable"))</x:f>
      </x:c>
      <x:c r="X365" s="21" t="str">
        <x:f>IF(C365="","",IFERROR(V265,"Unavailable"))</x:f>
      </x:c>
      <x:c r="Y365" s="21" t="str">
        <x:f>IF(C365="","",IF(AQ365&lt;&gt;"Ready","Unavailable",IF(C365="","",U365-W365+V365-X365+N365+AG365)))</x:f>
      </x:c>
      <x:c r="Z365" s="23" t="str">
        <x:f>IF(C365="","",IF(AQ365&lt;&gt;"Ready","Unavailable",IF(C365="","",(G365+O365+L365)/2*INDEX('Facilities'!$T$9:$T$108,MATCH(C365,'Facilities'!$C$9:$C$108,0))+AG365)))</x:f>
      </x:c>
      <x:c r="AA365" s="23" t="str">
        <x:f>IF(C365="","",IF(AQ365&lt;&gt;"Ready","Unavailable",IF(C365="","",O365*(1-IF(INDEX('Facilities'!$AA$9:$AA$108,MATCH(C365,'Facilities'!$C$9:$C$108,0))=0,0,MIN(1,INDEX('Facilities'!$X$9:$X$108,MATCH(C365,'Facilities'!$C$9:$C$108,0))/INDEX('Facilities'!$AA$9:$AA$108,MATCH(C365,'Facilities'!$C$9:$C$108,0)))))*AF365+P365*(1-IF(INDEX('Facilities'!$AA$9:$AA$108,MATCH(C365,'Facilities'!$C$9:$C$108,0))=0,0,MIN(1,INDEX('Facilities'!$X$9:$X$108,MATCH(C365,'Facilities'!$C$9:$C$108,0))/INDEX('Facilities'!$AA$9:$AA$108,MATCH(C365,'Facilities'!$C$9:$C$108,0)))))*INDEX('Facilities'!$AJ$9:$AJ$108,MATCH(C365,'Facilities'!$C$9:$C$108,0))+Q365*INDEX('Facilities'!$AI$9:$AI$108,MATCH(C365,'Facilities'!$C$9:$C$108,0))*AF365)))</x:f>
      </x:c>
      <x:c r="AB365" s="21" t="str">
        <x:f>IF(C365="","",O365+P365-AD365)</x:f>
      </x:c>
      <x:c r="AC365" s="23" t="str">
        <x:f>IF(C365="","",IFERROR(IF(INDEX('Facilities'!$AD$9:$AD$108,MATCH(C365,'Facilities'!$C$9:$C$108,0))=3,0,IF(INDEX('Facilities'!$AN$9:$AN$108,MATCH(C365,'Facilities'!$C$9:$C$108,0))=0,-1,INDEX('Facilities'!$AN$9:$AN$108,MATCH(C365,'Facilities'!$C$9:$C$108,0)))),"Unavailable"))</x:f>
      </x:c>
      <x:c r="AD365" s="21" t="str">
        <x:f>IF(C365="","",IFERROR(G365+H365,"Unavailable"))</x:f>
      </x:c>
      <x:c r="AE365" s="21" t="str">
        <x:f>IF(C365="","",IF(AQ365&lt;&gt;"Ready","Unavailable",IF(C365="","",O365+P365-AD365-J365+K365+M365+N365)))</x:f>
      </x:c>
      <x:c r="AF365" s="30" t="str">
        <x:f>IF(C365="","",IFERROR(INDEX('Facilities'!$S$9:$S$108,MATCH(C365,'Facilities'!$C$9:$C$108,0))*'Scenario Paths'!I75,"Unavailable"))</x:f>
      </x:c>
      <x:c r="AG365" s="23" t="str">
        <x:f>IF(C365="","",IF(AQ365&lt;&gt;"Ready","Unavailable",IF(C365="","",IF(H365&gt;0,MAX(0,H365-AK365)*((1+INDEX('Facilities'!$K$9:$K$108,MATCH(C365,'Facilities'!$C$9:$C$108,0)))^MIN(1,MAX(0,AC365+INDEX('Facilities'!$AK$9:$AK$108,MATCH(C365,'Facilities'!$C$9:$C$108,0))-D365+1))-1),0))))</x:f>
      </x:c>
      <x:c r="AH365" s="21" t="str">
        <x:f>IF(C365="","",IF(AQ365&lt;&gt;"Ready","Unavailable",IF(C365="","",O365+P365)))</x:f>
      </x:c>
      <x:c r="AI365" s="21" t="str">
        <x:f>IF(C365="","",IF(AQ365&lt;&gt;"Ready","Unavailable",IF(C365="","",Z365-Y365)))</x:f>
      </x:c>
      <x:c r="AJ365" s="23" t="str">
        <x:f>IF(C365="","",IFERROR(MAX(0,INDEX('Facilities'!$J$9:$J$108,MATCH(C365,'Facilities'!$C$9:$C$108,0))-D365),"Unavailable"))</x:f>
      </x:c>
      <x:c r="AK365" s="21" t="str">
        <x:f>IF(C365="","",IFERROR(AL265,"Unavailable"))</x:f>
      </x:c>
      <x:c r="AL365" s="23" t="str">
        <x:f>IF(C365="","",IFERROR(IF(P365&gt;0,P365*(1-AM365/(1+INDEX('Facilities'!$K$9:$K$108,MATCH(C365,'Facilities'!$C$9:$C$108,0)))^MAX(0,AC365+INDEX('Facilities'!$AK$9:$AK$108,MATCH(C365,'Facilities'!$C$9:$C$108,0))-D365)),0),"Unavailable"))</x:f>
      </x:c>
      <x:c r="AM365" s="30" t="str">
        <x:f>IF(C365="","",IFERROR(INDEX('Facilities'!$AL$9:$AL$108,MATCH(C365,'Facilities'!$C$9:$C$108,0)),"Unavailable"))</x:f>
      </x:c>
      <x:c r="AN365" s="30" t="str">
        <x:f>IF(C365="","",IFERROR(INDEX(Credit!$T$309:$T$408,MATCH(F365,Credit!$C$309:$C$408,0)),"Unavailable"))</x:f>
      </x:c>
      <x:c r="AO365" s="23" t="str">
        <x:f>IF(C365="","",IF(AQ365&lt;&gt;"Ready","Unavailable",IF(C365="","",O365+P365+Q365*INDEX('Facilities'!$I$9:$I$108,MATCH(C365,'Facilities'!$C$9:$C$108,0)))))</x:f>
      </x:c>
      <x:c r="AP365" s="21" t="str">
        <x:f>IF(C365="","",IF(AQ365&lt;&gt;"Ready","Unavailable",IF(C365="","",AH365-U365)))</x:f>
      </x:c>
      <x:c r="AQ365" s="23" t="str">
        <x:f>IFERROR(IF(C365="","",IF(AND(INDEX('Facilities'!$AF$9:$AF$108,MATCH(C365,'Facilities'!$C$9:$C$108,0))="Ready",INDEX(Credit!$U$309:$U$408,MATCH(F365,Credit!$C$309:$C$408,0))="Ready",ISNUMBER(W365)),"Ready","Review inputs")),"Review inputs")</x:f>
      </x:c>
      <x:c r="AR365" s="23" t="str">
        <x:f>IF(C365="","",IF(AQ365&lt;&gt;"Ready","Unavailable",IF(C365="","",IF(O365=0,0,(IF(AJ365&lt;=1,O365,O365*INDEX('Facilities'!$R$9:$R$108,MATCH(C365,'Facilities'!$C$9:$C$108,0)))+O365*INDEX('Facilities'!$T$9:$T$108,MATCH(C365,'Facilities'!$C$9:$C$108,0)))/12))))</x:f>
      </x:c>
    </x:row>
    <x:row r="366" ht="26" customHeight="1">
      <x:c r="A366" s="1"/>
      <x:c r="B366" s="1"/>
      <x:c r="C366" s="9" t="str">
        <x:f>IF(Facilities!C66="","",Facilities!C66)</x:f>
      </x:c>
      <x:c r="D366" s="3" t="n">
        <x:v>4</x:v>
      </x:c>
      <x:c r="E366" s="9" t="n">
        <x:f>Settings!$F$18+3</x:f>
        <x:v>2030</x:v>
      </x:c>
      <x:c r="F366" s="9" t="str">
        <x:f>IF(C366="","",IFERROR(INDEX('Facilities'!$D$9:$D$108,MATCH(C366,'Facilities'!$C$9:$C$108,0)),"Unavailable"))</x:f>
      </x:c>
      <x:c r="G366" s="21" t="str">
        <x:f>IF(C366="","",IFERROR(O266,"Unavailable"))</x:f>
      </x:c>
      <x:c r="H366" s="21" t="str">
        <x:f>IF(C366="","",IFERROR(P266,"Unavailable"))</x:f>
      </x:c>
      <x:c r="I366" s="21" t="str">
        <x:f>IF(C366="","",IFERROR(Q266,"Unavailable"))</x:f>
      </x:c>
      <x:c r="J366" s="23" t="str">
        <x:f>IF(C366="","",IFERROR(IF(OR(H366&gt;0,AND(AC366&gt;=0,AC366&lt;D366),D366&gt;INDEX('Facilities'!$J$9:$J$108,MATCH(C366,'Facilities'!$C$9:$C$108,0))),0,I366*'Scenario Paths'!I81),"Unavailable"))</x:f>
      </x:c>
      <x:c r="K366" s="23" t="str">
        <x:f>IF(C366="","",IFERROR(IF(OR(H366&gt;0,AND(AC366&gt;=0,AC366=D366)),0,IF(D366&gt;=INDEX('Facilities'!$J$9:$J$108,MATCH(C366,'Facilities'!$C$9:$C$108,0)),G366+J366,MIN(G366+J366,G366*INDEX('Facilities'!$R$9:$R$108,MATCH(C366,'Facilities'!$C$9:$C$108,0))))),"Unavailable"))</x:f>
      </x:c>
      <x:c r="L366" s="21" t="str">
        <x:f>IF(C366="","",IFERROR(IF(AND(AC366=D366,AC366&gt;0),MAX(0,G366+J366-K366),0),"Unavailable"))</x:f>
      </x:c>
      <x:c r="M366" s="23" t="str">
        <x:f>IF(C366="","",IFERROR(IF(AND(AC366&gt;=0,D366&gt;=AC366+INDEX('Facilities'!$AK$9:$AK$108,MATCH(C366,'Facilities'!$C$9:$C$108,0))),(H366+L366)*AM366,0),"Unavailable"))</x:f>
      </x:c>
      <x:c r="N366" s="23" t="str">
        <x:f>IF(C366="","",IFERROR(IF(AND(AC366&gt;=0,D366&gt;=AC366+INDEX('Facilities'!$AK$9:$AK$108,MATCH(C366,'Facilities'!$C$9:$C$108,0))),H366+L366-M366,0),"Unavailable"))</x:f>
      </x:c>
      <x:c r="O366" s="21" t="str">
        <x:f>IF(C366="","",IFERROR(MAX(0,G366+J366-K366-L366),"Unavailable"))</x:f>
      </x:c>
      <x:c r="P366" s="21" t="str">
        <x:f>IF(C366="","",IFERROR(MAX(0,H366+L366-M366-N366),"Unavailable"))</x:f>
      </x:c>
      <x:c r="Q366" s="23" t="str">
        <x:f>IF(C366="","",IFERROR(IF(OR(D366&gt;=INDEX('Facilities'!$J$9:$J$108,MATCH(C366,'Facilities'!$C$9:$C$108,0)),AND(AC366&gt;=0,AC366&lt;=D366)),0,MAX(0,I366-J366)),"Unavailable"))</x:f>
      </x:c>
      <x:c r="R366" s="30" t="str">
        <x:f>IF(C366="","",IFERROR(INDEX(Credit!$Q$309:$Q$408,MATCH(F366,Credit!$C$309:$C$408,0)),"Unavailable"))</x:f>
      </x:c>
      <x:c r="S366" s="30" t="str">
        <x:f>IF(C366="","",IFERROR(INDEX(Credit!$R$309:$R$408,MATCH(F366,Credit!$C$309:$C$408,0)),"Unavailable"))</x:f>
      </x:c>
      <x:c r="T366" s="23" t="str">
        <x:f>IF(C366="","",IFERROR(IF(P366&gt;0,3,IF(OR(INDEX('Facilities'!$AD$9:$AD$108,MATCH(C366,'Facilities'!$C$9:$C$108,0))=2,AND(R366&gt;=INDEX('Facilities'!$L$9:$L$108,MATCH(C366,'Facilities'!$C$9:$C$108,0))*Settings!$F$19,R366-INDEX('Facilities'!$L$9:$L$108,MATCH(C366,'Facilities'!$C$9:$C$108,0))&gt;=Settings!$F$20)),2,1)),"Unavailable"))</x:f>
      </x:c>
      <x:c r="U366" s="23" t="str">
        <x:f>IF(C366="","",IF(AQ366&lt;&gt;"Ready","Unavailable",IF(C366="","",O366*(1-(1-S366)/(1+INDEX('Facilities'!$K$9:$K$108,MATCH(C366,'Facilities'!$C$9:$C$108,0)))^INDEX('Facilities'!$AK$9:$AK$108,MATCH(C366,'Facilities'!$C$9:$C$108,0)))*R366/(1+INDEX('Facilities'!$K$9:$K$108,MATCH(C366,'Facilities'!$C$9:$C$108,0)))*IF(ABS(1-(1-R366)*(1-INDEX('Facilities'!$R$9:$R$108,MATCH(C366,'Facilities'!$C$9:$C$108,0)))/(1+INDEX('Facilities'!$K$9:$K$108,MATCH(C366,'Facilities'!$C$9:$C$108,0))))&lt;0.000000001,IF(T366=1,MIN(1,AJ366),AJ366),(1-((1-R366)*(1-INDEX('Facilities'!$R$9:$R$108,MATCH(C366,'Facilities'!$C$9:$C$108,0)))/(1+INDEX('Facilities'!$K$9:$K$108,MATCH(C366,'Facilities'!$C$9:$C$108,0))))^IF(T366=1,MIN(1,AJ366),AJ366))/(1-(1-R366)*(1-INDEX('Facilities'!$R$9:$R$108,MATCH(C366,'Facilities'!$C$9:$C$108,0)))/(1+INDEX('Facilities'!$K$9:$K$108,MATCH(C366,'Facilities'!$C$9:$C$108,0)))))+AL366)))</x:f>
      </x:c>
      <x:c r="V366" s="23" t="str">
        <x:f>IF(C366="","",IF(AQ366&lt;&gt;"Ready","Unavailable",IF(C366="","",Q366*INDEX('Facilities'!$I$9:$I$108,MATCH(C366,'Facilities'!$C$9:$C$108,0))*(1-(1-S366)/(1+INDEX('Facilities'!$K$9:$K$108,MATCH(C366,'Facilities'!$C$9:$C$108,0)))^INDEX('Facilities'!$AK$9:$AK$108,MATCH(C366,'Facilities'!$C$9:$C$108,0)))*R366/(1+INDEX('Facilities'!$K$9:$K$108,MATCH(C366,'Facilities'!$C$9:$C$108,0)))*IF(ABS(1-(1-R366)*(1-0)/(1+INDEX('Facilities'!$K$9:$K$108,MATCH(C366,'Facilities'!$C$9:$C$108,0))))&lt;0.000000001,IF(T366=1,MIN(1,AJ366),AJ366),(1-((1-R366)*(1-0)/(1+INDEX('Facilities'!$K$9:$K$108,MATCH(C366,'Facilities'!$C$9:$C$108,0))))^IF(T366=1,MIN(1,AJ366),AJ366))/(1-(1-R366)*(1-0)/(1+INDEX('Facilities'!$K$9:$K$108,MATCH(C366,'Facilities'!$C$9:$C$108,0))))))))</x:f>
      </x:c>
      <x:c r="W366" s="21" t="str">
        <x:f>IF(C366="","",IFERROR(U266,"Unavailable"))</x:f>
      </x:c>
      <x:c r="X366" s="21" t="str">
        <x:f>IF(C366="","",IFERROR(V266,"Unavailable"))</x:f>
      </x:c>
      <x:c r="Y366" s="21" t="str">
        <x:f>IF(C366="","",IF(AQ366&lt;&gt;"Ready","Unavailable",IF(C366="","",U366-W366+V366-X366+N366+AG366)))</x:f>
      </x:c>
      <x:c r="Z366" s="23" t="str">
        <x:f>IF(C366="","",IF(AQ366&lt;&gt;"Ready","Unavailable",IF(C366="","",(G366+O366+L366)/2*INDEX('Facilities'!$T$9:$T$108,MATCH(C366,'Facilities'!$C$9:$C$108,0))+AG366)))</x:f>
      </x:c>
      <x:c r="AA366" s="23" t="str">
        <x:f>IF(C366="","",IF(AQ366&lt;&gt;"Ready","Unavailable",IF(C366="","",O366*(1-IF(INDEX('Facilities'!$AA$9:$AA$108,MATCH(C366,'Facilities'!$C$9:$C$108,0))=0,0,MIN(1,INDEX('Facilities'!$X$9:$X$108,MATCH(C366,'Facilities'!$C$9:$C$108,0))/INDEX('Facilities'!$AA$9:$AA$108,MATCH(C366,'Facilities'!$C$9:$C$108,0)))))*AF366+P366*(1-IF(INDEX('Facilities'!$AA$9:$AA$108,MATCH(C366,'Facilities'!$C$9:$C$108,0))=0,0,MIN(1,INDEX('Facilities'!$X$9:$X$108,MATCH(C366,'Facilities'!$C$9:$C$108,0))/INDEX('Facilities'!$AA$9:$AA$108,MATCH(C366,'Facilities'!$C$9:$C$108,0)))))*INDEX('Facilities'!$AJ$9:$AJ$108,MATCH(C366,'Facilities'!$C$9:$C$108,0))+Q366*INDEX('Facilities'!$AI$9:$AI$108,MATCH(C366,'Facilities'!$C$9:$C$108,0))*AF366)))</x:f>
      </x:c>
      <x:c r="AB366" s="21" t="str">
        <x:f>IF(C366="","",O366+P366-AD366)</x:f>
      </x:c>
      <x:c r="AC366" s="23" t="str">
        <x:f>IF(C366="","",IFERROR(IF(INDEX('Facilities'!$AD$9:$AD$108,MATCH(C366,'Facilities'!$C$9:$C$108,0))=3,0,IF(INDEX('Facilities'!$AN$9:$AN$108,MATCH(C366,'Facilities'!$C$9:$C$108,0))=0,-1,INDEX('Facilities'!$AN$9:$AN$108,MATCH(C366,'Facilities'!$C$9:$C$108,0)))),"Unavailable"))</x:f>
      </x:c>
      <x:c r="AD366" s="21" t="str">
        <x:f>IF(C366="","",IFERROR(G366+H366,"Unavailable"))</x:f>
      </x:c>
      <x:c r="AE366" s="21" t="str">
        <x:f>IF(C366="","",IF(AQ366&lt;&gt;"Ready","Unavailable",IF(C366="","",O366+P366-AD366-J366+K366+M366+N366)))</x:f>
      </x:c>
      <x:c r="AF366" s="30" t="str">
        <x:f>IF(C366="","",IFERROR(INDEX('Facilities'!$S$9:$S$108,MATCH(C366,'Facilities'!$C$9:$C$108,0))*'Scenario Paths'!I75,"Unavailable"))</x:f>
      </x:c>
      <x:c r="AG366" s="23" t="str">
        <x:f>IF(C366="","",IF(AQ366&lt;&gt;"Ready","Unavailable",IF(C366="","",IF(H366&gt;0,MAX(0,H366-AK366)*((1+INDEX('Facilities'!$K$9:$K$108,MATCH(C366,'Facilities'!$C$9:$C$108,0)))^MIN(1,MAX(0,AC366+INDEX('Facilities'!$AK$9:$AK$108,MATCH(C366,'Facilities'!$C$9:$C$108,0))-D366+1))-1),0))))</x:f>
      </x:c>
      <x:c r="AH366" s="21" t="str">
        <x:f>IF(C366="","",IF(AQ366&lt;&gt;"Ready","Unavailable",IF(C366="","",O366+P366)))</x:f>
      </x:c>
      <x:c r="AI366" s="21" t="str">
        <x:f>IF(C366="","",IF(AQ366&lt;&gt;"Ready","Unavailable",IF(C366="","",Z366-Y366)))</x:f>
      </x:c>
      <x:c r="AJ366" s="23" t="str">
        <x:f>IF(C366="","",IFERROR(MAX(0,INDEX('Facilities'!$J$9:$J$108,MATCH(C366,'Facilities'!$C$9:$C$108,0))-D366),"Unavailable"))</x:f>
      </x:c>
      <x:c r="AK366" s="21" t="str">
        <x:f>IF(C366="","",IFERROR(AL266,"Unavailable"))</x:f>
      </x:c>
      <x:c r="AL366" s="23" t="str">
        <x:f>IF(C366="","",IFERROR(IF(P366&gt;0,P366*(1-AM366/(1+INDEX('Facilities'!$K$9:$K$108,MATCH(C366,'Facilities'!$C$9:$C$108,0)))^MAX(0,AC366+INDEX('Facilities'!$AK$9:$AK$108,MATCH(C366,'Facilities'!$C$9:$C$108,0))-D366)),0),"Unavailable"))</x:f>
      </x:c>
      <x:c r="AM366" s="30" t="str">
        <x:f>IF(C366="","",IFERROR(INDEX('Facilities'!$AL$9:$AL$108,MATCH(C366,'Facilities'!$C$9:$C$108,0)),"Unavailable"))</x:f>
      </x:c>
      <x:c r="AN366" s="30" t="str">
        <x:f>IF(C366="","",IFERROR(INDEX(Credit!$T$309:$T$408,MATCH(F366,Credit!$C$309:$C$408,0)),"Unavailable"))</x:f>
      </x:c>
      <x:c r="AO366" s="23" t="str">
        <x:f>IF(C366="","",IF(AQ366&lt;&gt;"Ready","Unavailable",IF(C366="","",O366+P366+Q366*INDEX('Facilities'!$I$9:$I$108,MATCH(C366,'Facilities'!$C$9:$C$108,0)))))</x:f>
      </x:c>
      <x:c r="AP366" s="21" t="str">
        <x:f>IF(C366="","",IF(AQ366&lt;&gt;"Ready","Unavailable",IF(C366="","",AH366-U366)))</x:f>
      </x:c>
      <x:c r="AQ366" s="23" t="str">
        <x:f>IFERROR(IF(C366="","",IF(AND(INDEX('Facilities'!$AF$9:$AF$108,MATCH(C366,'Facilities'!$C$9:$C$108,0))="Ready",INDEX(Credit!$U$309:$U$408,MATCH(F366,Credit!$C$309:$C$408,0))="Ready",ISNUMBER(W366)),"Ready","Review inputs")),"Review inputs")</x:f>
      </x:c>
      <x:c r="AR366" s="23" t="str">
        <x:f>IF(C366="","",IF(AQ366&lt;&gt;"Ready","Unavailable",IF(C366="","",IF(O366=0,0,(IF(AJ366&lt;=1,O366,O366*INDEX('Facilities'!$R$9:$R$108,MATCH(C366,'Facilities'!$C$9:$C$108,0)))+O366*INDEX('Facilities'!$T$9:$T$108,MATCH(C366,'Facilities'!$C$9:$C$108,0)))/12))))</x:f>
      </x:c>
    </x:row>
    <x:row r="367" ht="26" customHeight="1">
      <x:c r="A367" s="1"/>
      <x:c r="B367" s="1"/>
      <x:c r="C367" s="9" t="str">
        <x:f>IF(Facilities!C67="","",Facilities!C67)</x:f>
      </x:c>
      <x:c r="D367" s="3" t="n">
        <x:v>4</x:v>
      </x:c>
      <x:c r="E367" s="9" t="n">
        <x:f>Settings!$F$18+3</x:f>
        <x:v>2030</x:v>
      </x:c>
      <x:c r="F367" s="9" t="str">
        <x:f>IF(C367="","",IFERROR(INDEX('Facilities'!$D$9:$D$108,MATCH(C367,'Facilities'!$C$9:$C$108,0)),"Unavailable"))</x:f>
      </x:c>
      <x:c r="G367" s="21" t="str">
        <x:f>IF(C367="","",IFERROR(O267,"Unavailable"))</x:f>
      </x:c>
      <x:c r="H367" s="21" t="str">
        <x:f>IF(C367="","",IFERROR(P267,"Unavailable"))</x:f>
      </x:c>
      <x:c r="I367" s="21" t="str">
        <x:f>IF(C367="","",IFERROR(Q267,"Unavailable"))</x:f>
      </x:c>
      <x:c r="J367" s="23" t="str">
        <x:f>IF(C367="","",IFERROR(IF(OR(H367&gt;0,AND(AC367&gt;=0,AC367&lt;D367),D367&gt;INDEX('Facilities'!$J$9:$J$108,MATCH(C367,'Facilities'!$C$9:$C$108,0))),0,I367*'Scenario Paths'!I81),"Unavailable"))</x:f>
      </x:c>
      <x:c r="K367" s="23" t="str">
        <x:f>IF(C367="","",IFERROR(IF(OR(H367&gt;0,AND(AC367&gt;=0,AC367=D367)),0,IF(D367&gt;=INDEX('Facilities'!$J$9:$J$108,MATCH(C367,'Facilities'!$C$9:$C$108,0)),G367+J367,MIN(G367+J367,G367*INDEX('Facilities'!$R$9:$R$108,MATCH(C367,'Facilities'!$C$9:$C$108,0))))),"Unavailable"))</x:f>
      </x:c>
      <x:c r="L367" s="21" t="str">
        <x:f>IF(C367="","",IFERROR(IF(AND(AC367=D367,AC367&gt;0),MAX(0,G367+J367-K367),0),"Unavailable"))</x:f>
      </x:c>
      <x:c r="M367" s="23" t="str">
        <x:f>IF(C367="","",IFERROR(IF(AND(AC367&gt;=0,D367&gt;=AC367+INDEX('Facilities'!$AK$9:$AK$108,MATCH(C367,'Facilities'!$C$9:$C$108,0))),(H367+L367)*AM367,0),"Unavailable"))</x:f>
      </x:c>
      <x:c r="N367" s="23" t="str">
        <x:f>IF(C367="","",IFERROR(IF(AND(AC367&gt;=0,D367&gt;=AC367+INDEX('Facilities'!$AK$9:$AK$108,MATCH(C367,'Facilities'!$C$9:$C$108,0))),H367+L367-M367,0),"Unavailable"))</x:f>
      </x:c>
      <x:c r="O367" s="21" t="str">
        <x:f>IF(C367="","",IFERROR(MAX(0,G367+J367-K367-L367),"Unavailable"))</x:f>
      </x:c>
      <x:c r="P367" s="21" t="str">
        <x:f>IF(C367="","",IFERROR(MAX(0,H367+L367-M367-N367),"Unavailable"))</x:f>
      </x:c>
      <x:c r="Q367" s="23" t="str">
        <x:f>IF(C367="","",IFERROR(IF(OR(D367&gt;=INDEX('Facilities'!$J$9:$J$108,MATCH(C367,'Facilities'!$C$9:$C$108,0)),AND(AC367&gt;=0,AC367&lt;=D367)),0,MAX(0,I367-J367)),"Unavailable"))</x:f>
      </x:c>
      <x:c r="R367" s="30" t="str">
        <x:f>IF(C367="","",IFERROR(INDEX(Credit!$Q$309:$Q$408,MATCH(F367,Credit!$C$309:$C$408,0)),"Unavailable"))</x:f>
      </x:c>
      <x:c r="S367" s="30" t="str">
        <x:f>IF(C367="","",IFERROR(INDEX(Credit!$R$309:$R$408,MATCH(F367,Credit!$C$309:$C$408,0)),"Unavailable"))</x:f>
      </x:c>
      <x:c r="T367" s="23" t="str">
        <x:f>IF(C367="","",IFERROR(IF(P367&gt;0,3,IF(OR(INDEX('Facilities'!$AD$9:$AD$108,MATCH(C367,'Facilities'!$C$9:$C$108,0))=2,AND(R367&gt;=INDEX('Facilities'!$L$9:$L$108,MATCH(C367,'Facilities'!$C$9:$C$108,0))*Settings!$F$19,R367-INDEX('Facilities'!$L$9:$L$108,MATCH(C367,'Facilities'!$C$9:$C$108,0))&gt;=Settings!$F$20)),2,1)),"Unavailable"))</x:f>
      </x:c>
      <x:c r="U367" s="23" t="str">
        <x:f>IF(C367="","",IF(AQ367&lt;&gt;"Ready","Unavailable",IF(C367="","",O367*(1-(1-S367)/(1+INDEX('Facilities'!$K$9:$K$108,MATCH(C367,'Facilities'!$C$9:$C$108,0)))^INDEX('Facilities'!$AK$9:$AK$108,MATCH(C367,'Facilities'!$C$9:$C$108,0)))*R367/(1+INDEX('Facilities'!$K$9:$K$108,MATCH(C367,'Facilities'!$C$9:$C$108,0)))*IF(ABS(1-(1-R367)*(1-INDEX('Facilities'!$R$9:$R$108,MATCH(C367,'Facilities'!$C$9:$C$108,0)))/(1+INDEX('Facilities'!$K$9:$K$108,MATCH(C367,'Facilities'!$C$9:$C$108,0))))&lt;0.000000001,IF(T367=1,MIN(1,AJ367),AJ367),(1-((1-R367)*(1-INDEX('Facilities'!$R$9:$R$108,MATCH(C367,'Facilities'!$C$9:$C$108,0)))/(1+INDEX('Facilities'!$K$9:$K$108,MATCH(C367,'Facilities'!$C$9:$C$108,0))))^IF(T367=1,MIN(1,AJ367),AJ367))/(1-(1-R367)*(1-INDEX('Facilities'!$R$9:$R$108,MATCH(C367,'Facilities'!$C$9:$C$108,0)))/(1+INDEX('Facilities'!$K$9:$K$108,MATCH(C367,'Facilities'!$C$9:$C$108,0)))))+AL367)))</x:f>
      </x:c>
      <x:c r="V367" s="23" t="str">
        <x:f>IF(C367="","",IF(AQ367&lt;&gt;"Ready","Unavailable",IF(C367="","",Q367*INDEX('Facilities'!$I$9:$I$108,MATCH(C367,'Facilities'!$C$9:$C$108,0))*(1-(1-S367)/(1+INDEX('Facilities'!$K$9:$K$108,MATCH(C367,'Facilities'!$C$9:$C$108,0)))^INDEX('Facilities'!$AK$9:$AK$108,MATCH(C367,'Facilities'!$C$9:$C$108,0)))*R367/(1+INDEX('Facilities'!$K$9:$K$108,MATCH(C367,'Facilities'!$C$9:$C$108,0)))*IF(ABS(1-(1-R367)*(1-0)/(1+INDEX('Facilities'!$K$9:$K$108,MATCH(C367,'Facilities'!$C$9:$C$108,0))))&lt;0.000000001,IF(T367=1,MIN(1,AJ367),AJ367),(1-((1-R367)*(1-0)/(1+INDEX('Facilities'!$K$9:$K$108,MATCH(C367,'Facilities'!$C$9:$C$108,0))))^IF(T367=1,MIN(1,AJ367),AJ367))/(1-(1-R367)*(1-0)/(1+INDEX('Facilities'!$K$9:$K$108,MATCH(C367,'Facilities'!$C$9:$C$108,0))))))))</x:f>
      </x:c>
      <x:c r="W367" s="21" t="str">
        <x:f>IF(C367="","",IFERROR(U267,"Unavailable"))</x:f>
      </x:c>
      <x:c r="X367" s="21" t="str">
        <x:f>IF(C367="","",IFERROR(V267,"Unavailable"))</x:f>
      </x:c>
      <x:c r="Y367" s="21" t="str">
        <x:f>IF(C367="","",IF(AQ367&lt;&gt;"Ready","Unavailable",IF(C367="","",U367-W367+V367-X367+N367+AG367)))</x:f>
      </x:c>
      <x:c r="Z367" s="23" t="str">
        <x:f>IF(C367="","",IF(AQ367&lt;&gt;"Ready","Unavailable",IF(C367="","",(G367+O367+L367)/2*INDEX('Facilities'!$T$9:$T$108,MATCH(C367,'Facilities'!$C$9:$C$108,0))+AG367)))</x:f>
      </x:c>
      <x:c r="AA367" s="23" t="str">
        <x:f>IF(C367="","",IF(AQ367&lt;&gt;"Ready","Unavailable",IF(C367="","",O367*(1-IF(INDEX('Facilities'!$AA$9:$AA$108,MATCH(C367,'Facilities'!$C$9:$C$108,0))=0,0,MIN(1,INDEX('Facilities'!$X$9:$X$108,MATCH(C367,'Facilities'!$C$9:$C$108,0))/INDEX('Facilities'!$AA$9:$AA$108,MATCH(C367,'Facilities'!$C$9:$C$108,0)))))*AF367+P367*(1-IF(INDEX('Facilities'!$AA$9:$AA$108,MATCH(C367,'Facilities'!$C$9:$C$108,0))=0,0,MIN(1,INDEX('Facilities'!$X$9:$X$108,MATCH(C367,'Facilities'!$C$9:$C$108,0))/INDEX('Facilities'!$AA$9:$AA$108,MATCH(C367,'Facilities'!$C$9:$C$108,0)))))*INDEX('Facilities'!$AJ$9:$AJ$108,MATCH(C367,'Facilities'!$C$9:$C$108,0))+Q367*INDEX('Facilities'!$AI$9:$AI$108,MATCH(C367,'Facilities'!$C$9:$C$108,0))*AF367)))</x:f>
      </x:c>
      <x:c r="AB367" s="21" t="str">
        <x:f>IF(C367="","",O367+P367-AD367)</x:f>
      </x:c>
      <x:c r="AC367" s="23" t="str">
        <x:f>IF(C367="","",IFERROR(IF(INDEX('Facilities'!$AD$9:$AD$108,MATCH(C367,'Facilities'!$C$9:$C$108,0))=3,0,IF(INDEX('Facilities'!$AN$9:$AN$108,MATCH(C367,'Facilities'!$C$9:$C$108,0))=0,-1,INDEX('Facilities'!$AN$9:$AN$108,MATCH(C367,'Facilities'!$C$9:$C$108,0)))),"Unavailable"))</x:f>
      </x:c>
      <x:c r="AD367" s="21" t="str">
        <x:f>IF(C367="","",IFERROR(G367+H367,"Unavailable"))</x:f>
      </x:c>
      <x:c r="AE367" s="21" t="str">
        <x:f>IF(C367="","",IF(AQ367&lt;&gt;"Ready","Unavailable",IF(C367="","",O367+P367-AD367-J367+K367+M367+N367)))</x:f>
      </x:c>
      <x:c r="AF367" s="30" t="str">
        <x:f>IF(C367="","",IFERROR(INDEX('Facilities'!$S$9:$S$108,MATCH(C367,'Facilities'!$C$9:$C$108,0))*'Scenario Paths'!I75,"Unavailable"))</x:f>
      </x:c>
      <x:c r="AG367" s="23" t="str">
        <x:f>IF(C367="","",IF(AQ367&lt;&gt;"Ready","Unavailable",IF(C367="","",IF(H367&gt;0,MAX(0,H367-AK367)*((1+INDEX('Facilities'!$K$9:$K$108,MATCH(C367,'Facilities'!$C$9:$C$108,0)))^MIN(1,MAX(0,AC367+INDEX('Facilities'!$AK$9:$AK$108,MATCH(C367,'Facilities'!$C$9:$C$108,0))-D367+1))-1),0))))</x:f>
      </x:c>
      <x:c r="AH367" s="21" t="str">
        <x:f>IF(C367="","",IF(AQ367&lt;&gt;"Ready","Unavailable",IF(C367="","",O367+P367)))</x:f>
      </x:c>
      <x:c r="AI367" s="21" t="str">
        <x:f>IF(C367="","",IF(AQ367&lt;&gt;"Ready","Unavailable",IF(C367="","",Z367-Y367)))</x:f>
      </x:c>
      <x:c r="AJ367" s="23" t="str">
        <x:f>IF(C367="","",IFERROR(MAX(0,INDEX('Facilities'!$J$9:$J$108,MATCH(C367,'Facilities'!$C$9:$C$108,0))-D367),"Unavailable"))</x:f>
      </x:c>
      <x:c r="AK367" s="21" t="str">
        <x:f>IF(C367="","",IFERROR(AL267,"Unavailable"))</x:f>
      </x:c>
      <x:c r="AL367" s="23" t="str">
        <x:f>IF(C367="","",IFERROR(IF(P367&gt;0,P367*(1-AM367/(1+INDEX('Facilities'!$K$9:$K$108,MATCH(C367,'Facilities'!$C$9:$C$108,0)))^MAX(0,AC367+INDEX('Facilities'!$AK$9:$AK$108,MATCH(C367,'Facilities'!$C$9:$C$108,0))-D367)),0),"Unavailable"))</x:f>
      </x:c>
      <x:c r="AM367" s="30" t="str">
        <x:f>IF(C367="","",IFERROR(INDEX('Facilities'!$AL$9:$AL$108,MATCH(C367,'Facilities'!$C$9:$C$108,0)),"Unavailable"))</x:f>
      </x:c>
      <x:c r="AN367" s="30" t="str">
        <x:f>IF(C367="","",IFERROR(INDEX(Credit!$T$309:$T$408,MATCH(F367,Credit!$C$309:$C$408,0)),"Unavailable"))</x:f>
      </x:c>
      <x:c r="AO367" s="23" t="str">
        <x:f>IF(C367="","",IF(AQ367&lt;&gt;"Ready","Unavailable",IF(C367="","",O367+P367+Q367*INDEX('Facilities'!$I$9:$I$108,MATCH(C367,'Facilities'!$C$9:$C$108,0)))))</x:f>
      </x:c>
      <x:c r="AP367" s="21" t="str">
        <x:f>IF(C367="","",IF(AQ367&lt;&gt;"Ready","Unavailable",IF(C367="","",AH367-U367)))</x:f>
      </x:c>
      <x:c r="AQ367" s="23" t="str">
        <x:f>IFERROR(IF(C367="","",IF(AND(INDEX('Facilities'!$AF$9:$AF$108,MATCH(C367,'Facilities'!$C$9:$C$108,0))="Ready",INDEX(Credit!$U$309:$U$408,MATCH(F367,Credit!$C$309:$C$408,0))="Ready",ISNUMBER(W367)),"Ready","Review inputs")),"Review inputs")</x:f>
      </x:c>
      <x:c r="AR367" s="23" t="str">
        <x:f>IF(C367="","",IF(AQ367&lt;&gt;"Ready","Unavailable",IF(C367="","",IF(O367=0,0,(IF(AJ367&lt;=1,O367,O367*INDEX('Facilities'!$R$9:$R$108,MATCH(C367,'Facilities'!$C$9:$C$108,0)))+O367*INDEX('Facilities'!$T$9:$T$108,MATCH(C367,'Facilities'!$C$9:$C$108,0)))/12))))</x:f>
      </x:c>
    </x:row>
    <x:row r="368" ht="26" customHeight="1">
      <x:c r="A368" s="1"/>
      <x:c r="B368" s="1"/>
      <x:c r="C368" s="9" t="str">
        <x:f>IF(Facilities!C68="","",Facilities!C68)</x:f>
      </x:c>
      <x:c r="D368" s="3" t="n">
        <x:v>4</x:v>
      </x:c>
      <x:c r="E368" s="9" t="n">
        <x:f>Settings!$F$18+3</x:f>
        <x:v>2030</x:v>
      </x:c>
      <x:c r="F368" s="9" t="str">
        <x:f>IF(C368="","",IFERROR(INDEX('Facilities'!$D$9:$D$108,MATCH(C368,'Facilities'!$C$9:$C$108,0)),"Unavailable"))</x:f>
      </x:c>
      <x:c r="G368" s="21" t="str">
        <x:f>IF(C368="","",IFERROR(O268,"Unavailable"))</x:f>
      </x:c>
      <x:c r="H368" s="21" t="str">
        <x:f>IF(C368="","",IFERROR(P268,"Unavailable"))</x:f>
      </x:c>
      <x:c r="I368" s="21" t="str">
        <x:f>IF(C368="","",IFERROR(Q268,"Unavailable"))</x:f>
      </x:c>
      <x:c r="J368" s="23" t="str">
        <x:f>IF(C368="","",IFERROR(IF(OR(H368&gt;0,AND(AC368&gt;=0,AC368&lt;D368),D368&gt;INDEX('Facilities'!$J$9:$J$108,MATCH(C368,'Facilities'!$C$9:$C$108,0))),0,I368*'Scenario Paths'!I81),"Unavailable"))</x:f>
      </x:c>
      <x:c r="K368" s="23" t="str">
        <x:f>IF(C368="","",IFERROR(IF(OR(H368&gt;0,AND(AC368&gt;=0,AC368=D368)),0,IF(D368&gt;=INDEX('Facilities'!$J$9:$J$108,MATCH(C368,'Facilities'!$C$9:$C$108,0)),G368+J368,MIN(G368+J368,G368*INDEX('Facilities'!$R$9:$R$108,MATCH(C368,'Facilities'!$C$9:$C$108,0))))),"Unavailable"))</x:f>
      </x:c>
      <x:c r="L368" s="21" t="str">
        <x:f>IF(C368="","",IFERROR(IF(AND(AC368=D368,AC368&gt;0),MAX(0,G368+J368-K368),0),"Unavailable"))</x:f>
      </x:c>
      <x:c r="M368" s="23" t="str">
        <x:f>IF(C368="","",IFERROR(IF(AND(AC368&gt;=0,D368&gt;=AC368+INDEX('Facilities'!$AK$9:$AK$108,MATCH(C368,'Facilities'!$C$9:$C$108,0))),(H368+L368)*AM368,0),"Unavailable"))</x:f>
      </x:c>
      <x:c r="N368" s="23" t="str">
        <x:f>IF(C368="","",IFERROR(IF(AND(AC368&gt;=0,D368&gt;=AC368+INDEX('Facilities'!$AK$9:$AK$108,MATCH(C368,'Facilities'!$C$9:$C$108,0))),H368+L368-M368,0),"Unavailable"))</x:f>
      </x:c>
      <x:c r="O368" s="21" t="str">
        <x:f>IF(C368="","",IFERROR(MAX(0,G368+J368-K368-L368),"Unavailable"))</x:f>
      </x:c>
      <x:c r="P368" s="21" t="str">
        <x:f>IF(C368="","",IFERROR(MAX(0,H368+L368-M368-N368),"Unavailable"))</x:f>
      </x:c>
      <x:c r="Q368" s="23" t="str">
        <x:f>IF(C368="","",IFERROR(IF(OR(D368&gt;=INDEX('Facilities'!$J$9:$J$108,MATCH(C368,'Facilities'!$C$9:$C$108,0)),AND(AC368&gt;=0,AC368&lt;=D368)),0,MAX(0,I368-J368)),"Unavailable"))</x:f>
      </x:c>
      <x:c r="R368" s="30" t="str">
        <x:f>IF(C368="","",IFERROR(INDEX(Credit!$Q$309:$Q$408,MATCH(F368,Credit!$C$309:$C$408,0)),"Unavailable"))</x:f>
      </x:c>
      <x:c r="S368" s="30" t="str">
        <x:f>IF(C368="","",IFERROR(INDEX(Credit!$R$309:$R$408,MATCH(F368,Credit!$C$309:$C$408,0)),"Unavailable"))</x:f>
      </x:c>
      <x:c r="T368" s="23" t="str">
        <x:f>IF(C368="","",IFERROR(IF(P368&gt;0,3,IF(OR(INDEX('Facilities'!$AD$9:$AD$108,MATCH(C368,'Facilities'!$C$9:$C$108,0))=2,AND(R368&gt;=INDEX('Facilities'!$L$9:$L$108,MATCH(C368,'Facilities'!$C$9:$C$108,0))*Settings!$F$19,R368-INDEX('Facilities'!$L$9:$L$108,MATCH(C368,'Facilities'!$C$9:$C$108,0))&gt;=Settings!$F$20)),2,1)),"Unavailable"))</x:f>
      </x:c>
      <x:c r="U368" s="23" t="str">
        <x:f>IF(C368="","",IF(AQ368&lt;&gt;"Ready","Unavailable",IF(C368="","",O368*(1-(1-S368)/(1+INDEX('Facilities'!$K$9:$K$108,MATCH(C368,'Facilities'!$C$9:$C$108,0)))^INDEX('Facilities'!$AK$9:$AK$108,MATCH(C368,'Facilities'!$C$9:$C$108,0)))*R368/(1+INDEX('Facilities'!$K$9:$K$108,MATCH(C368,'Facilities'!$C$9:$C$108,0)))*IF(ABS(1-(1-R368)*(1-INDEX('Facilities'!$R$9:$R$108,MATCH(C368,'Facilities'!$C$9:$C$108,0)))/(1+INDEX('Facilities'!$K$9:$K$108,MATCH(C368,'Facilities'!$C$9:$C$108,0))))&lt;0.000000001,IF(T368=1,MIN(1,AJ368),AJ368),(1-((1-R368)*(1-INDEX('Facilities'!$R$9:$R$108,MATCH(C368,'Facilities'!$C$9:$C$108,0)))/(1+INDEX('Facilities'!$K$9:$K$108,MATCH(C368,'Facilities'!$C$9:$C$108,0))))^IF(T368=1,MIN(1,AJ368),AJ368))/(1-(1-R368)*(1-INDEX('Facilities'!$R$9:$R$108,MATCH(C368,'Facilities'!$C$9:$C$108,0)))/(1+INDEX('Facilities'!$K$9:$K$108,MATCH(C368,'Facilities'!$C$9:$C$108,0)))))+AL368)))</x:f>
      </x:c>
      <x:c r="V368" s="23" t="str">
        <x:f>IF(C368="","",IF(AQ368&lt;&gt;"Ready","Unavailable",IF(C368="","",Q368*INDEX('Facilities'!$I$9:$I$108,MATCH(C368,'Facilities'!$C$9:$C$108,0))*(1-(1-S368)/(1+INDEX('Facilities'!$K$9:$K$108,MATCH(C368,'Facilities'!$C$9:$C$108,0)))^INDEX('Facilities'!$AK$9:$AK$108,MATCH(C368,'Facilities'!$C$9:$C$108,0)))*R368/(1+INDEX('Facilities'!$K$9:$K$108,MATCH(C368,'Facilities'!$C$9:$C$108,0)))*IF(ABS(1-(1-R368)*(1-0)/(1+INDEX('Facilities'!$K$9:$K$108,MATCH(C368,'Facilities'!$C$9:$C$108,0))))&lt;0.000000001,IF(T368=1,MIN(1,AJ368),AJ368),(1-((1-R368)*(1-0)/(1+INDEX('Facilities'!$K$9:$K$108,MATCH(C368,'Facilities'!$C$9:$C$108,0))))^IF(T368=1,MIN(1,AJ368),AJ368))/(1-(1-R368)*(1-0)/(1+INDEX('Facilities'!$K$9:$K$108,MATCH(C368,'Facilities'!$C$9:$C$108,0))))))))</x:f>
      </x:c>
      <x:c r="W368" s="21" t="str">
        <x:f>IF(C368="","",IFERROR(U268,"Unavailable"))</x:f>
      </x:c>
      <x:c r="X368" s="21" t="str">
        <x:f>IF(C368="","",IFERROR(V268,"Unavailable"))</x:f>
      </x:c>
      <x:c r="Y368" s="21" t="str">
        <x:f>IF(C368="","",IF(AQ368&lt;&gt;"Ready","Unavailable",IF(C368="","",U368-W368+V368-X368+N368+AG368)))</x:f>
      </x:c>
      <x:c r="Z368" s="23" t="str">
        <x:f>IF(C368="","",IF(AQ368&lt;&gt;"Ready","Unavailable",IF(C368="","",(G368+O368+L368)/2*INDEX('Facilities'!$T$9:$T$108,MATCH(C368,'Facilities'!$C$9:$C$108,0))+AG368)))</x:f>
      </x:c>
      <x:c r="AA368" s="23" t="str">
        <x:f>IF(C368="","",IF(AQ368&lt;&gt;"Ready","Unavailable",IF(C368="","",O368*(1-IF(INDEX('Facilities'!$AA$9:$AA$108,MATCH(C368,'Facilities'!$C$9:$C$108,0))=0,0,MIN(1,INDEX('Facilities'!$X$9:$X$108,MATCH(C368,'Facilities'!$C$9:$C$108,0))/INDEX('Facilities'!$AA$9:$AA$108,MATCH(C368,'Facilities'!$C$9:$C$108,0)))))*AF368+P368*(1-IF(INDEX('Facilities'!$AA$9:$AA$108,MATCH(C368,'Facilities'!$C$9:$C$108,0))=0,0,MIN(1,INDEX('Facilities'!$X$9:$X$108,MATCH(C368,'Facilities'!$C$9:$C$108,0))/INDEX('Facilities'!$AA$9:$AA$108,MATCH(C368,'Facilities'!$C$9:$C$108,0)))))*INDEX('Facilities'!$AJ$9:$AJ$108,MATCH(C368,'Facilities'!$C$9:$C$108,0))+Q368*INDEX('Facilities'!$AI$9:$AI$108,MATCH(C368,'Facilities'!$C$9:$C$108,0))*AF368)))</x:f>
      </x:c>
      <x:c r="AB368" s="21" t="str">
        <x:f>IF(C368="","",O368+P368-AD368)</x:f>
      </x:c>
      <x:c r="AC368" s="23" t="str">
        <x:f>IF(C368="","",IFERROR(IF(INDEX('Facilities'!$AD$9:$AD$108,MATCH(C368,'Facilities'!$C$9:$C$108,0))=3,0,IF(INDEX('Facilities'!$AN$9:$AN$108,MATCH(C368,'Facilities'!$C$9:$C$108,0))=0,-1,INDEX('Facilities'!$AN$9:$AN$108,MATCH(C368,'Facilities'!$C$9:$C$108,0)))),"Unavailable"))</x:f>
      </x:c>
      <x:c r="AD368" s="21" t="str">
        <x:f>IF(C368="","",IFERROR(G368+H368,"Unavailable"))</x:f>
      </x:c>
      <x:c r="AE368" s="21" t="str">
        <x:f>IF(C368="","",IF(AQ368&lt;&gt;"Ready","Unavailable",IF(C368="","",O368+P368-AD368-J368+K368+M368+N368)))</x:f>
      </x:c>
      <x:c r="AF368" s="30" t="str">
        <x:f>IF(C368="","",IFERROR(INDEX('Facilities'!$S$9:$S$108,MATCH(C368,'Facilities'!$C$9:$C$108,0))*'Scenario Paths'!I75,"Unavailable"))</x:f>
      </x:c>
      <x:c r="AG368" s="23" t="str">
        <x:f>IF(C368="","",IF(AQ368&lt;&gt;"Ready","Unavailable",IF(C368="","",IF(H368&gt;0,MAX(0,H368-AK368)*((1+INDEX('Facilities'!$K$9:$K$108,MATCH(C368,'Facilities'!$C$9:$C$108,0)))^MIN(1,MAX(0,AC368+INDEX('Facilities'!$AK$9:$AK$108,MATCH(C368,'Facilities'!$C$9:$C$108,0))-D368+1))-1),0))))</x:f>
      </x:c>
      <x:c r="AH368" s="21" t="str">
        <x:f>IF(C368="","",IF(AQ368&lt;&gt;"Ready","Unavailable",IF(C368="","",O368+P368)))</x:f>
      </x:c>
      <x:c r="AI368" s="21" t="str">
        <x:f>IF(C368="","",IF(AQ368&lt;&gt;"Ready","Unavailable",IF(C368="","",Z368-Y368)))</x:f>
      </x:c>
      <x:c r="AJ368" s="23" t="str">
        <x:f>IF(C368="","",IFERROR(MAX(0,INDEX('Facilities'!$J$9:$J$108,MATCH(C368,'Facilities'!$C$9:$C$108,0))-D368),"Unavailable"))</x:f>
      </x:c>
      <x:c r="AK368" s="21" t="str">
        <x:f>IF(C368="","",IFERROR(AL268,"Unavailable"))</x:f>
      </x:c>
      <x:c r="AL368" s="23" t="str">
        <x:f>IF(C368="","",IFERROR(IF(P368&gt;0,P368*(1-AM368/(1+INDEX('Facilities'!$K$9:$K$108,MATCH(C368,'Facilities'!$C$9:$C$108,0)))^MAX(0,AC368+INDEX('Facilities'!$AK$9:$AK$108,MATCH(C368,'Facilities'!$C$9:$C$108,0))-D368)),0),"Unavailable"))</x:f>
      </x:c>
      <x:c r="AM368" s="30" t="str">
        <x:f>IF(C368="","",IFERROR(INDEX('Facilities'!$AL$9:$AL$108,MATCH(C368,'Facilities'!$C$9:$C$108,0)),"Unavailable"))</x:f>
      </x:c>
      <x:c r="AN368" s="30" t="str">
        <x:f>IF(C368="","",IFERROR(INDEX(Credit!$T$309:$T$408,MATCH(F368,Credit!$C$309:$C$408,0)),"Unavailable"))</x:f>
      </x:c>
      <x:c r="AO368" s="23" t="str">
        <x:f>IF(C368="","",IF(AQ368&lt;&gt;"Ready","Unavailable",IF(C368="","",O368+P368+Q368*INDEX('Facilities'!$I$9:$I$108,MATCH(C368,'Facilities'!$C$9:$C$108,0)))))</x:f>
      </x:c>
      <x:c r="AP368" s="21" t="str">
        <x:f>IF(C368="","",IF(AQ368&lt;&gt;"Ready","Unavailable",IF(C368="","",AH368-U368)))</x:f>
      </x:c>
      <x:c r="AQ368" s="23" t="str">
        <x:f>IFERROR(IF(C368="","",IF(AND(INDEX('Facilities'!$AF$9:$AF$108,MATCH(C368,'Facilities'!$C$9:$C$108,0))="Ready",INDEX(Credit!$U$309:$U$408,MATCH(F368,Credit!$C$309:$C$408,0))="Ready",ISNUMBER(W368)),"Ready","Review inputs")),"Review inputs")</x:f>
      </x:c>
      <x:c r="AR368" s="23" t="str">
        <x:f>IF(C368="","",IF(AQ368&lt;&gt;"Ready","Unavailable",IF(C368="","",IF(O368=0,0,(IF(AJ368&lt;=1,O368,O368*INDEX('Facilities'!$R$9:$R$108,MATCH(C368,'Facilities'!$C$9:$C$108,0)))+O368*INDEX('Facilities'!$T$9:$T$108,MATCH(C368,'Facilities'!$C$9:$C$108,0)))/12))))</x:f>
      </x:c>
    </x:row>
    <x:row r="369" ht="26" customHeight="1">
      <x:c r="A369" s="1"/>
      <x:c r="B369" s="1"/>
      <x:c r="C369" s="9" t="str">
        <x:f>IF(Facilities!C69="","",Facilities!C69)</x:f>
      </x:c>
      <x:c r="D369" s="3" t="n">
        <x:v>4</x:v>
      </x:c>
      <x:c r="E369" s="9" t="n">
        <x:f>Settings!$F$18+3</x:f>
        <x:v>2030</x:v>
      </x:c>
      <x:c r="F369" s="9" t="str">
        <x:f>IF(C369="","",IFERROR(INDEX('Facilities'!$D$9:$D$108,MATCH(C369,'Facilities'!$C$9:$C$108,0)),"Unavailable"))</x:f>
      </x:c>
      <x:c r="G369" s="21" t="str">
        <x:f>IF(C369="","",IFERROR(O269,"Unavailable"))</x:f>
      </x:c>
      <x:c r="H369" s="21" t="str">
        <x:f>IF(C369="","",IFERROR(P269,"Unavailable"))</x:f>
      </x:c>
      <x:c r="I369" s="21" t="str">
        <x:f>IF(C369="","",IFERROR(Q269,"Unavailable"))</x:f>
      </x:c>
      <x:c r="J369" s="23" t="str">
        <x:f>IF(C369="","",IFERROR(IF(OR(H369&gt;0,AND(AC369&gt;=0,AC369&lt;D369),D369&gt;INDEX('Facilities'!$J$9:$J$108,MATCH(C369,'Facilities'!$C$9:$C$108,0))),0,I369*'Scenario Paths'!I81),"Unavailable"))</x:f>
      </x:c>
      <x:c r="K369" s="23" t="str">
        <x:f>IF(C369="","",IFERROR(IF(OR(H369&gt;0,AND(AC369&gt;=0,AC369=D369)),0,IF(D369&gt;=INDEX('Facilities'!$J$9:$J$108,MATCH(C369,'Facilities'!$C$9:$C$108,0)),G369+J369,MIN(G369+J369,G369*INDEX('Facilities'!$R$9:$R$108,MATCH(C369,'Facilities'!$C$9:$C$108,0))))),"Unavailable"))</x:f>
      </x:c>
      <x:c r="L369" s="21" t="str">
        <x:f>IF(C369="","",IFERROR(IF(AND(AC369=D369,AC369&gt;0),MAX(0,G369+J369-K369),0),"Unavailable"))</x:f>
      </x:c>
      <x:c r="M369" s="23" t="str">
        <x:f>IF(C369="","",IFERROR(IF(AND(AC369&gt;=0,D369&gt;=AC369+INDEX('Facilities'!$AK$9:$AK$108,MATCH(C369,'Facilities'!$C$9:$C$108,0))),(H369+L369)*AM369,0),"Unavailable"))</x:f>
      </x:c>
      <x:c r="N369" s="23" t="str">
        <x:f>IF(C369="","",IFERROR(IF(AND(AC369&gt;=0,D369&gt;=AC369+INDEX('Facilities'!$AK$9:$AK$108,MATCH(C369,'Facilities'!$C$9:$C$108,0))),H369+L369-M369,0),"Unavailable"))</x:f>
      </x:c>
      <x:c r="O369" s="21" t="str">
        <x:f>IF(C369="","",IFERROR(MAX(0,G369+J369-K369-L369),"Unavailable"))</x:f>
      </x:c>
      <x:c r="P369" s="21" t="str">
        <x:f>IF(C369="","",IFERROR(MAX(0,H369+L369-M369-N369),"Unavailable"))</x:f>
      </x:c>
      <x:c r="Q369" s="23" t="str">
        <x:f>IF(C369="","",IFERROR(IF(OR(D369&gt;=INDEX('Facilities'!$J$9:$J$108,MATCH(C369,'Facilities'!$C$9:$C$108,0)),AND(AC369&gt;=0,AC369&lt;=D369)),0,MAX(0,I369-J369)),"Unavailable"))</x:f>
      </x:c>
      <x:c r="R369" s="30" t="str">
        <x:f>IF(C369="","",IFERROR(INDEX(Credit!$Q$309:$Q$408,MATCH(F369,Credit!$C$309:$C$408,0)),"Unavailable"))</x:f>
      </x:c>
      <x:c r="S369" s="30" t="str">
        <x:f>IF(C369="","",IFERROR(INDEX(Credit!$R$309:$R$408,MATCH(F369,Credit!$C$309:$C$408,0)),"Unavailable"))</x:f>
      </x:c>
      <x:c r="T369" s="23" t="str">
        <x:f>IF(C369="","",IFERROR(IF(P369&gt;0,3,IF(OR(INDEX('Facilities'!$AD$9:$AD$108,MATCH(C369,'Facilities'!$C$9:$C$108,0))=2,AND(R369&gt;=INDEX('Facilities'!$L$9:$L$108,MATCH(C369,'Facilities'!$C$9:$C$108,0))*Settings!$F$19,R369-INDEX('Facilities'!$L$9:$L$108,MATCH(C369,'Facilities'!$C$9:$C$108,0))&gt;=Settings!$F$20)),2,1)),"Unavailable"))</x:f>
      </x:c>
      <x:c r="U369" s="23" t="str">
        <x:f>IF(C369="","",IF(AQ369&lt;&gt;"Ready","Unavailable",IF(C369="","",O369*(1-(1-S369)/(1+INDEX('Facilities'!$K$9:$K$108,MATCH(C369,'Facilities'!$C$9:$C$108,0)))^INDEX('Facilities'!$AK$9:$AK$108,MATCH(C369,'Facilities'!$C$9:$C$108,0)))*R369/(1+INDEX('Facilities'!$K$9:$K$108,MATCH(C369,'Facilities'!$C$9:$C$108,0)))*IF(ABS(1-(1-R369)*(1-INDEX('Facilities'!$R$9:$R$108,MATCH(C369,'Facilities'!$C$9:$C$108,0)))/(1+INDEX('Facilities'!$K$9:$K$108,MATCH(C369,'Facilities'!$C$9:$C$108,0))))&lt;0.000000001,IF(T369=1,MIN(1,AJ369),AJ369),(1-((1-R369)*(1-INDEX('Facilities'!$R$9:$R$108,MATCH(C369,'Facilities'!$C$9:$C$108,0)))/(1+INDEX('Facilities'!$K$9:$K$108,MATCH(C369,'Facilities'!$C$9:$C$108,0))))^IF(T369=1,MIN(1,AJ369),AJ369))/(1-(1-R369)*(1-INDEX('Facilities'!$R$9:$R$108,MATCH(C369,'Facilities'!$C$9:$C$108,0)))/(1+INDEX('Facilities'!$K$9:$K$108,MATCH(C369,'Facilities'!$C$9:$C$108,0)))))+AL369)))</x:f>
      </x:c>
      <x:c r="V369" s="23" t="str">
        <x:f>IF(C369="","",IF(AQ369&lt;&gt;"Ready","Unavailable",IF(C369="","",Q369*INDEX('Facilities'!$I$9:$I$108,MATCH(C369,'Facilities'!$C$9:$C$108,0))*(1-(1-S369)/(1+INDEX('Facilities'!$K$9:$K$108,MATCH(C369,'Facilities'!$C$9:$C$108,0)))^INDEX('Facilities'!$AK$9:$AK$108,MATCH(C369,'Facilities'!$C$9:$C$108,0)))*R369/(1+INDEX('Facilities'!$K$9:$K$108,MATCH(C369,'Facilities'!$C$9:$C$108,0)))*IF(ABS(1-(1-R369)*(1-0)/(1+INDEX('Facilities'!$K$9:$K$108,MATCH(C369,'Facilities'!$C$9:$C$108,0))))&lt;0.000000001,IF(T369=1,MIN(1,AJ369),AJ369),(1-((1-R369)*(1-0)/(1+INDEX('Facilities'!$K$9:$K$108,MATCH(C369,'Facilities'!$C$9:$C$108,0))))^IF(T369=1,MIN(1,AJ369),AJ369))/(1-(1-R369)*(1-0)/(1+INDEX('Facilities'!$K$9:$K$108,MATCH(C369,'Facilities'!$C$9:$C$108,0))))))))</x:f>
      </x:c>
      <x:c r="W369" s="21" t="str">
        <x:f>IF(C369="","",IFERROR(U269,"Unavailable"))</x:f>
      </x:c>
      <x:c r="X369" s="21" t="str">
        <x:f>IF(C369="","",IFERROR(V269,"Unavailable"))</x:f>
      </x:c>
      <x:c r="Y369" s="21" t="str">
        <x:f>IF(C369="","",IF(AQ369&lt;&gt;"Ready","Unavailable",IF(C369="","",U369-W369+V369-X369+N369+AG369)))</x:f>
      </x:c>
      <x:c r="Z369" s="23" t="str">
        <x:f>IF(C369="","",IF(AQ369&lt;&gt;"Ready","Unavailable",IF(C369="","",(G369+O369+L369)/2*INDEX('Facilities'!$T$9:$T$108,MATCH(C369,'Facilities'!$C$9:$C$108,0))+AG369)))</x:f>
      </x:c>
      <x:c r="AA369" s="23" t="str">
        <x:f>IF(C369="","",IF(AQ369&lt;&gt;"Ready","Unavailable",IF(C369="","",O369*(1-IF(INDEX('Facilities'!$AA$9:$AA$108,MATCH(C369,'Facilities'!$C$9:$C$108,0))=0,0,MIN(1,INDEX('Facilities'!$X$9:$X$108,MATCH(C369,'Facilities'!$C$9:$C$108,0))/INDEX('Facilities'!$AA$9:$AA$108,MATCH(C369,'Facilities'!$C$9:$C$108,0)))))*AF369+P369*(1-IF(INDEX('Facilities'!$AA$9:$AA$108,MATCH(C369,'Facilities'!$C$9:$C$108,0))=0,0,MIN(1,INDEX('Facilities'!$X$9:$X$108,MATCH(C369,'Facilities'!$C$9:$C$108,0))/INDEX('Facilities'!$AA$9:$AA$108,MATCH(C369,'Facilities'!$C$9:$C$108,0)))))*INDEX('Facilities'!$AJ$9:$AJ$108,MATCH(C369,'Facilities'!$C$9:$C$108,0))+Q369*INDEX('Facilities'!$AI$9:$AI$108,MATCH(C369,'Facilities'!$C$9:$C$108,0))*AF369)))</x:f>
      </x:c>
      <x:c r="AB369" s="21" t="str">
        <x:f>IF(C369="","",O369+P369-AD369)</x:f>
      </x:c>
      <x:c r="AC369" s="23" t="str">
        <x:f>IF(C369="","",IFERROR(IF(INDEX('Facilities'!$AD$9:$AD$108,MATCH(C369,'Facilities'!$C$9:$C$108,0))=3,0,IF(INDEX('Facilities'!$AN$9:$AN$108,MATCH(C369,'Facilities'!$C$9:$C$108,0))=0,-1,INDEX('Facilities'!$AN$9:$AN$108,MATCH(C369,'Facilities'!$C$9:$C$108,0)))),"Unavailable"))</x:f>
      </x:c>
      <x:c r="AD369" s="21" t="str">
        <x:f>IF(C369="","",IFERROR(G369+H369,"Unavailable"))</x:f>
      </x:c>
      <x:c r="AE369" s="21" t="str">
        <x:f>IF(C369="","",IF(AQ369&lt;&gt;"Ready","Unavailable",IF(C369="","",O369+P369-AD369-J369+K369+M369+N369)))</x:f>
      </x:c>
      <x:c r="AF369" s="30" t="str">
        <x:f>IF(C369="","",IFERROR(INDEX('Facilities'!$S$9:$S$108,MATCH(C369,'Facilities'!$C$9:$C$108,0))*'Scenario Paths'!I75,"Unavailable"))</x:f>
      </x:c>
      <x:c r="AG369" s="23" t="str">
        <x:f>IF(C369="","",IF(AQ369&lt;&gt;"Ready","Unavailable",IF(C369="","",IF(H369&gt;0,MAX(0,H369-AK369)*((1+INDEX('Facilities'!$K$9:$K$108,MATCH(C369,'Facilities'!$C$9:$C$108,0)))^MIN(1,MAX(0,AC369+INDEX('Facilities'!$AK$9:$AK$108,MATCH(C369,'Facilities'!$C$9:$C$108,0))-D369+1))-1),0))))</x:f>
      </x:c>
      <x:c r="AH369" s="21" t="str">
        <x:f>IF(C369="","",IF(AQ369&lt;&gt;"Ready","Unavailable",IF(C369="","",O369+P369)))</x:f>
      </x:c>
      <x:c r="AI369" s="21" t="str">
        <x:f>IF(C369="","",IF(AQ369&lt;&gt;"Ready","Unavailable",IF(C369="","",Z369-Y369)))</x:f>
      </x:c>
      <x:c r="AJ369" s="23" t="str">
        <x:f>IF(C369="","",IFERROR(MAX(0,INDEX('Facilities'!$J$9:$J$108,MATCH(C369,'Facilities'!$C$9:$C$108,0))-D369),"Unavailable"))</x:f>
      </x:c>
      <x:c r="AK369" s="21" t="str">
        <x:f>IF(C369="","",IFERROR(AL269,"Unavailable"))</x:f>
      </x:c>
      <x:c r="AL369" s="23" t="str">
        <x:f>IF(C369="","",IFERROR(IF(P369&gt;0,P369*(1-AM369/(1+INDEX('Facilities'!$K$9:$K$108,MATCH(C369,'Facilities'!$C$9:$C$108,0)))^MAX(0,AC369+INDEX('Facilities'!$AK$9:$AK$108,MATCH(C369,'Facilities'!$C$9:$C$108,0))-D369)),0),"Unavailable"))</x:f>
      </x:c>
      <x:c r="AM369" s="30" t="str">
        <x:f>IF(C369="","",IFERROR(INDEX('Facilities'!$AL$9:$AL$108,MATCH(C369,'Facilities'!$C$9:$C$108,0)),"Unavailable"))</x:f>
      </x:c>
      <x:c r="AN369" s="30" t="str">
        <x:f>IF(C369="","",IFERROR(INDEX(Credit!$T$309:$T$408,MATCH(F369,Credit!$C$309:$C$408,0)),"Unavailable"))</x:f>
      </x:c>
      <x:c r="AO369" s="23" t="str">
        <x:f>IF(C369="","",IF(AQ369&lt;&gt;"Ready","Unavailable",IF(C369="","",O369+P369+Q369*INDEX('Facilities'!$I$9:$I$108,MATCH(C369,'Facilities'!$C$9:$C$108,0)))))</x:f>
      </x:c>
      <x:c r="AP369" s="21" t="str">
        <x:f>IF(C369="","",IF(AQ369&lt;&gt;"Ready","Unavailable",IF(C369="","",AH369-U369)))</x:f>
      </x:c>
      <x:c r="AQ369" s="23" t="str">
        <x:f>IFERROR(IF(C369="","",IF(AND(INDEX('Facilities'!$AF$9:$AF$108,MATCH(C369,'Facilities'!$C$9:$C$108,0))="Ready",INDEX(Credit!$U$309:$U$408,MATCH(F369,Credit!$C$309:$C$408,0))="Ready",ISNUMBER(W369)),"Ready","Review inputs")),"Review inputs")</x:f>
      </x:c>
      <x:c r="AR369" s="23" t="str">
        <x:f>IF(C369="","",IF(AQ369&lt;&gt;"Ready","Unavailable",IF(C369="","",IF(O369=0,0,(IF(AJ369&lt;=1,O369,O369*INDEX('Facilities'!$R$9:$R$108,MATCH(C369,'Facilities'!$C$9:$C$108,0)))+O369*INDEX('Facilities'!$T$9:$T$108,MATCH(C369,'Facilities'!$C$9:$C$108,0)))/12))))</x:f>
      </x:c>
    </x:row>
    <x:row r="370" ht="26" customHeight="1">
      <x:c r="A370" s="1"/>
      <x:c r="B370" s="1"/>
      <x:c r="C370" s="9" t="str">
        <x:f>IF(Facilities!C70="","",Facilities!C70)</x:f>
      </x:c>
      <x:c r="D370" s="3" t="n">
        <x:v>4</x:v>
      </x:c>
      <x:c r="E370" s="9" t="n">
        <x:f>Settings!$F$18+3</x:f>
        <x:v>2030</x:v>
      </x:c>
      <x:c r="F370" s="9" t="str">
        <x:f>IF(C370="","",IFERROR(INDEX('Facilities'!$D$9:$D$108,MATCH(C370,'Facilities'!$C$9:$C$108,0)),"Unavailable"))</x:f>
      </x:c>
      <x:c r="G370" s="21" t="str">
        <x:f>IF(C370="","",IFERROR(O270,"Unavailable"))</x:f>
      </x:c>
      <x:c r="H370" s="21" t="str">
        <x:f>IF(C370="","",IFERROR(P270,"Unavailable"))</x:f>
      </x:c>
      <x:c r="I370" s="21" t="str">
        <x:f>IF(C370="","",IFERROR(Q270,"Unavailable"))</x:f>
      </x:c>
      <x:c r="J370" s="23" t="str">
        <x:f>IF(C370="","",IFERROR(IF(OR(H370&gt;0,AND(AC370&gt;=0,AC370&lt;D370),D370&gt;INDEX('Facilities'!$J$9:$J$108,MATCH(C370,'Facilities'!$C$9:$C$108,0))),0,I370*'Scenario Paths'!I81),"Unavailable"))</x:f>
      </x:c>
      <x:c r="K370" s="23" t="str">
        <x:f>IF(C370="","",IFERROR(IF(OR(H370&gt;0,AND(AC370&gt;=0,AC370=D370)),0,IF(D370&gt;=INDEX('Facilities'!$J$9:$J$108,MATCH(C370,'Facilities'!$C$9:$C$108,0)),G370+J370,MIN(G370+J370,G370*INDEX('Facilities'!$R$9:$R$108,MATCH(C370,'Facilities'!$C$9:$C$108,0))))),"Unavailable"))</x:f>
      </x:c>
      <x:c r="L370" s="21" t="str">
        <x:f>IF(C370="","",IFERROR(IF(AND(AC370=D370,AC370&gt;0),MAX(0,G370+J370-K370),0),"Unavailable"))</x:f>
      </x:c>
      <x:c r="M370" s="23" t="str">
        <x:f>IF(C370="","",IFERROR(IF(AND(AC370&gt;=0,D370&gt;=AC370+INDEX('Facilities'!$AK$9:$AK$108,MATCH(C370,'Facilities'!$C$9:$C$108,0))),(H370+L370)*AM370,0),"Unavailable"))</x:f>
      </x:c>
      <x:c r="N370" s="23" t="str">
        <x:f>IF(C370="","",IFERROR(IF(AND(AC370&gt;=0,D370&gt;=AC370+INDEX('Facilities'!$AK$9:$AK$108,MATCH(C370,'Facilities'!$C$9:$C$108,0))),H370+L370-M370,0),"Unavailable"))</x:f>
      </x:c>
      <x:c r="O370" s="21" t="str">
        <x:f>IF(C370="","",IFERROR(MAX(0,G370+J370-K370-L370),"Unavailable"))</x:f>
      </x:c>
      <x:c r="P370" s="21" t="str">
        <x:f>IF(C370="","",IFERROR(MAX(0,H370+L370-M370-N370),"Unavailable"))</x:f>
      </x:c>
      <x:c r="Q370" s="23" t="str">
        <x:f>IF(C370="","",IFERROR(IF(OR(D370&gt;=INDEX('Facilities'!$J$9:$J$108,MATCH(C370,'Facilities'!$C$9:$C$108,0)),AND(AC370&gt;=0,AC370&lt;=D370)),0,MAX(0,I370-J370)),"Unavailable"))</x:f>
      </x:c>
      <x:c r="R370" s="30" t="str">
        <x:f>IF(C370="","",IFERROR(INDEX(Credit!$Q$309:$Q$408,MATCH(F370,Credit!$C$309:$C$408,0)),"Unavailable"))</x:f>
      </x:c>
      <x:c r="S370" s="30" t="str">
        <x:f>IF(C370="","",IFERROR(INDEX(Credit!$R$309:$R$408,MATCH(F370,Credit!$C$309:$C$408,0)),"Unavailable"))</x:f>
      </x:c>
      <x:c r="T370" s="23" t="str">
        <x:f>IF(C370="","",IFERROR(IF(P370&gt;0,3,IF(OR(INDEX('Facilities'!$AD$9:$AD$108,MATCH(C370,'Facilities'!$C$9:$C$108,0))=2,AND(R370&gt;=INDEX('Facilities'!$L$9:$L$108,MATCH(C370,'Facilities'!$C$9:$C$108,0))*Settings!$F$19,R370-INDEX('Facilities'!$L$9:$L$108,MATCH(C370,'Facilities'!$C$9:$C$108,0))&gt;=Settings!$F$20)),2,1)),"Unavailable"))</x:f>
      </x:c>
      <x:c r="U370" s="23" t="str">
        <x:f>IF(C370="","",IF(AQ370&lt;&gt;"Ready","Unavailable",IF(C370="","",O370*(1-(1-S370)/(1+INDEX('Facilities'!$K$9:$K$108,MATCH(C370,'Facilities'!$C$9:$C$108,0)))^INDEX('Facilities'!$AK$9:$AK$108,MATCH(C370,'Facilities'!$C$9:$C$108,0)))*R370/(1+INDEX('Facilities'!$K$9:$K$108,MATCH(C370,'Facilities'!$C$9:$C$108,0)))*IF(ABS(1-(1-R370)*(1-INDEX('Facilities'!$R$9:$R$108,MATCH(C370,'Facilities'!$C$9:$C$108,0)))/(1+INDEX('Facilities'!$K$9:$K$108,MATCH(C370,'Facilities'!$C$9:$C$108,0))))&lt;0.000000001,IF(T370=1,MIN(1,AJ370),AJ370),(1-((1-R370)*(1-INDEX('Facilities'!$R$9:$R$108,MATCH(C370,'Facilities'!$C$9:$C$108,0)))/(1+INDEX('Facilities'!$K$9:$K$108,MATCH(C370,'Facilities'!$C$9:$C$108,0))))^IF(T370=1,MIN(1,AJ370),AJ370))/(1-(1-R370)*(1-INDEX('Facilities'!$R$9:$R$108,MATCH(C370,'Facilities'!$C$9:$C$108,0)))/(1+INDEX('Facilities'!$K$9:$K$108,MATCH(C370,'Facilities'!$C$9:$C$108,0)))))+AL370)))</x:f>
      </x:c>
      <x:c r="V370" s="23" t="str">
        <x:f>IF(C370="","",IF(AQ370&lt;&gt;"Ready","Unavailable",IF(C370="","",Q370*INDEX('Facilities'!$I$9:$I$108,MATCH(C370,'Facilities'!$C$9:$C$108,0))*(1-(1-S370)/(1+INDEX('Facilities'!$K$9:$K$108,MATCH(C370,'Facilities'!$C$9:$C$108,0)))^INDEX('Facilities'!$AK$9:$AK$108,MATCH(C370,'Facilities'!$C$9:$C$108,0)))*R370/(1+INDEX('Facilities'!$K$9:$K$108,MATCH(C370,'Facilities'!$C$9:$C$108,0)))*IF(ABS(1-(1-R370)*(1-0)/(1+INDEX('Facilities'!$K$9:$K$108,MATCH(C370,'Facilities'!$C$9:$C$108,0))))&lt;0.000000001,IF(T370=1,MIN(1,AJ370),AJ370),(1-((1-R370)*(1-0)/(1+INDEX('Facilities'!$K$9:$K$108,MATCH(C370,'Facilities'!$C$9:$C$108,0))))^IF(T370=1,MIN(1,AJ370),AJ370))/(1-(1-R370)*(1-0)/(1+INDEX('Facilities'!$K$9:$K$108,MATCH(C370,'Facilities'!$C$9:$C$108,0))))))))</x:f>
      </x:c>
      <x:c r="W370" s="21" t="str">
        <x:f>IF(C370="","",IFERROR(U270,"Unavailable"))</x:f>
      </x:c>
      <x:c r="X370" s="21" t="str">
        <x:f>IF(C370="","",IFERROR(V270,"Unavailable"))</x:f>
      </x:c>
      <x:c r="Y370" s="21" t="str">
        <x:f>IF(C370="","",IF(AQ370&lt;&gt;"Ready","Unavailable",IF(C370="","",U370-W370+V370-X370+N370+AG370)))</x:f>
      </x:c>
      <x:c r="Z370" s="23" t="str">
        <x:f>IF(C370="","",IF(AQ370&lt;&gt;"Ready","Unavailable",IF(C370="","",(G370+O370+L370)/2*INDEX('Facilities'!$T$9:$T$108,MATCH(C370,'Facilities'!$C$9:$C$108,0))+AG370)))</x:f>
      </x:c>
      <x:c r="AA370" s="23" t="str">
        <x:f>IF(C370="","",IF(AQ370&lt;&gt;"Ready","Unavailable",IF(C370="","",O370*(1-IF(INDEX('Facilities'!$AA$9:$AA$108,MATCH(C370,'Facilities'!$C$9:$C$108,0))=0,0,MIN(1,INDEX('Facilities'!$X$9:$X$108,MATCH(C370,'Facilities'!$C$9:$C$108,0))/INDEX('Facilities'!$AA$9:$AA$108,MATCH(C370,'Facilities'!$C$9:$C$108,0)))))*AF370+P370*(1-IF(INDEX('Facilities'!$AA$9:$AA$108,MATCH(C370,'Facilities'!$C$9:$C$108,0))=0,0,MIN(1,INDEX('Facilities'!$X$9:$X$108,MATCH(C370,'Facilities'!$C$9:$C$108,0))/INDEX('Facilities'!$AA$9:$AA$108,MATCH(C370,'Facilities'!$C$9:$C$108,0)))))*INDEX('Facilities'!$AJ$9:$AJ$108,MATCH(C370,'Facilities'!$C$9:$C$108,0))+Q370*INDEX('Facilities'!$AI$9:$AI$108,MATCH(C370,'Facilities'!$C$9:$C$108,0))*AF370)))</x:f>
      </x:c>
      <x:c r="AB370" s="21" t="str">
        <x:f>IF(C370="","",O370+P370-AD370)</x:f>
      </x:c>
      <x:c r="AC370" s="23" t="str">
        <x:f>IF(C370="","",IFERROR(IF(INDEX('Facilities'!$AD$9:$AD$108,MATCH(C370,'Facilities'!$C$9:$C$108,0))=3,0,IF(INDEX('Facilities'!$AN$9:$AN$108,MATCH(C370,'Facilities'!$C$9:$C$108,0))=0,-1,INDEX('Facilities'!$AN$9:$AN$108,MATCH(C370,'Facilities'!$C$9:$C$108,0)))),"Unavailable"))</x:f>
      </x:c>
      <x:c r="AD370" s="21" t="str">
        <x:f>IF(C370="","",IFERROR(G370+H370,"Unavailable"))</x:f>
      </x:c>
      <x:c r="AE370" s="21" t="str">
        <x:f>IF(C370="","",IF(AQ370&lt;&gt;"Ready","Unavailable",IF(C370="","",O370+P370-AD370-J370+K370+M370+N370)))</x:f>
      </x:c>
      <x:c r="AF370" s="30" t="str">
        <x:f>IF(C370="","",IFERROR(INDEX('Facilities'!$S$9:$S$108,MATCH(C370,'Facilities'!$C$9:$C$108,0))*'Scenario Paths'!I75,"Unavailable"))</x:f>
      </x:c>
      <x:c r="AG370" s="23" t="str">
        <x:f>IF(C370="","",IF(AQ370&lt;&gt;"Ready","Unavailable",IF(C370="","",IF(H370&gt;0,MAX(0,H370-AK370)*((1+INDEX('Facilities'!$K$9:$K$108,MATCH(C370,'Facilities'!$C$9:$C$108,0)))^MIN(1,MAX(0,AC370+INDEX('Facilities'!$AK$9:$AK$108,MATCH(C370,'Facilities'!$C$9:$C$108,0))-D370+1))-1),0))))</x:f>
      </x:c>
      <x:c r="AH370" s="21" t="str">
        <x:f>IF(C370="","",IF(AQ370&lt;&gt;"Ready","Unavailable",IF(C370="","",O370+P370)))</x:f>
      </x:c>
      <x:c r="AI370" s="21" t="str">
        <x:f>IF(C370="","",IF(AQ370&lt;&gt;"Ready","Unavailable",IF(C370="","",Z370-Y370)))</x:f>
      </x:c>
      <x:c r="AJ370" s="23" t="str">
        <x:f>IF(C370="","",IFERROR(MAX(0,INDEX('Facilities'!$J$9:$J$108,MATCH(C370,'Facilities'!$C$9:$C$108,0))-D370),"Unavailable"))</x:f>
      </x:c>
      <x:c r="AK370" s="21" t="str">
        <x:f>IF(C370="","",IFERROR(AL270,"Unavailable"))</x:f>
      </x:c>
      <x:c r="AL370" s="23" t="str">
        <x:f>IF(C370="","",IFERROR(IF(P370&gt;0,P370*(1-AM370/(1+INDEX('Facilities'!$K$9:$K$108,MATCH(C370,'Facilities'!$C$9:$C$108,0)))^MAX(0,AC370+INDEX('Facilities'!$AK$9:$AK$108,MATCH(C370,'Facilities'!$C$9:$C$108,0))-D370)),0),"Unavailable"))</x:f>
      </x:c>
      <x:c r="AM370" s="30" t="str">
        <x:f>IF(C370="","",IFERROR(INDEX('Facilities'!$AL$9:$AL$108,MATCH(C370,'Facilities'!$C$9:$C$108,0)),"Unavailable"))</x:f>
      </x:c>
      <x:c r="AN370" s="30" t="str">
        <x:f>IF(C370="","",IFERROR(INDEX(Credit!$T$309:$T$408,MATCH(F370,Credit!$C$309:$C$408,0)),"Unavailable"))</x:f>
      </x:c>
      <x:c r="AO370" s="23" t="str">
        <x:f>IF(C370="","",IF(AQ370&lt;&gt;"Ready","Unavailable",IF(C370="","",O370+P370+Q370*INDEX('Facilities'!$I$9:$I$108,MATCH(C370,'Facilities'!$C$9:$C$108,0)))))</x:f>
      </x:c>
      <x:c r="AP370" s="21" t="str">
        <x:f>IF(C370="","",IF(AQ370&lt;&gt;"Ready","Unavailable",IF(C370="","",AH370-U370)))</x:f>
      </x:c>
      <x:c r="AQ370" s="23" t="str">
        <x:f>IFERROR(IF(C370="","",IF(AND(INDEX('Facilities'!$AF$9:$AF$108,MATCH(C370,'Facilities'!$C$9:$C$108,0))="Ready",INDEX(Credit!$U$309:$U$408,MATCH(F370,Credit!$C$309:$C$408,0))="Ready",ISNUMBER(W370)),"Ready","Review inputs")),"Review inputs")</x:f>
      </x:c>
      <x:c r="AR370" s="23" t="str">
        <x:f>IF(C370="","",IF(AQ370&lt;&gt;"Ready","Unavailable",IF(C370="","",IF(O370=0,0,(IF(AJ370&lt;=1,O370,O370*INDEX('Facilities'!$R$9:$R$108,MATCH(C370,'Facilities'!$C$9:$C$108,0)))+O370*INDEX('Facilities'!$T$9:$T$108,MATCH(C370,'Facilities'!$C$9:$C$108,0)))/12))))</x:f>
      </x:c>
    </x:row>
    <x:row r="371" ht="26" customHeight="1">
      <x:c r="A371" s="1"/>
      <x:c r="B371" s="1"/>
      <x:c r="C371" s="9" t="str">
        <x:f>IF(Facilities!C71="","",Facilities!C71)</x:f>
      </x:c>
      <x:c r="D371" s="3" t="n">
        <x:v>4</x:v>
      </x:c>
      <x:c r="E371" s="9" t="n">
        <x:f>Settings!$F$18+3</x:f>
        <x:v>2030</x:v>
      </x:c>
      <x:c r="F371" s="9" t="str">
        <x:f>IF(C371="","",IFERROR(INDEX('Facilities'!$D$9:$D$108,MATCH(C371,'Facilities'!$C$9:$C$108,0)),"Unavailable"))</x:f>
      </x:c>
      <x:c r="G371" s="21" t="str">
        <x:f>IF(C371="","",IFERROR(O271,"Unavailable"))</x:f>
      </x:c>
      <x:c r="H371" s="21" t="str">
        <x:f>IF(C371="","",IFERROR(P271,"Unavailable"))</x:f>
      </x:c>
      <x:c r="I371" s="21" t="str">
        <x:f>IF(C371="","",IFERROR(Q271,"Unavailable"))</x:f>
      </x:c>
      <x:c r="J371" s="23" t="str">
        <x:f>IF(C371="","",IFERROR(IF(OR(H371&gt;0,AND(AC371&gt;=0,AC371&lt;D371),D371&gt;INDEX('Facilities'!$J$9:$J$108,MATCH(C371,'Facilities'!$C$9:$C$108,0))),0,I371*'Scenario Paths'!I81),"Unavailable"))</x:f>
      </x:c>
      <x:c r="K371" s="23" t="str">
        <x:f>IF(C371="","",IFERROR(IF(OR(H371&gt;0,AND(AC371&gt;=0,AC371=D371)),0,IF(D371&gt;=INDEX('Facilities'!$J$9:$J$108,MATCH(C371,'Facilities'!$C$9:$C$108,0)),G371+J371,MIN(G371+J371,G371*INDEX('Facilities'!$R$9:$R$108,MATCH(C371,'Facilities'!$C$9:$C$108,0))))),"Unavailable"))</x:f>
      </x:c>
      <x:c r="L371" s="21" t="str">
        <x:f>IF(C371="","",IFERROR(IF(AND(AC371=D371,AC371&gt;0),MAX(0,G371+J371-K371),0),"Unavailable"))</x:f>
      </x:c>
      <x:c r="M371" s="23" t="str">
        <x:f>IF(C371="","",IFERROR(IF(AND(AC371&gt;=0,D371&gt;=AC371+INDEX('Facilities'!$AK$9:$AK$108,MATCH(C371,'Facilities'!$C$9:$C$108,0))),(H371+L371)*AM371,0),"Unavailable"))</x:f>
      </x:c>
      <x:c r="N371" s="23" t="str">
        <x:f>IF(C371="","",IFERROR(IF(AND(AC371&gt;=0,D371&gt;=AC371+INDEX('Facilities'!$AK$9:$AK$108,MATCH(C371,'Facilities'!$C$9:$C$108,0))),H371+L371-M371,0),"Unavailable"))</x:f>
      </x:c>
      <x:c r="O371" s="21" t="str">
        <x:f>IF(C371="","",IFERROR(MAX(0,G371+J371-K371-L371),"Unavailable"))</x:f>
      </x:c>
      <x:c r="P371" s="21" t="str">
        <x:f>IF(C371="","",IFERROR(MAX(0,H371+L371-M371-N371),"Unavailable"))</x:f>
      </x:c>
      <x:c r="Q371" s="23" t="str">
        <x:f>IF(C371="","",IFERROR(IF(OR(D371&gt;=INDEX('Facilities'!$J$9:$J$108,MATCH(C371,'Facilities'!$C$9:$C$108,0)),AND(AC371&gt;=0,AC371&lt;=D371)),0,MAX(0,I371-J371)),"Unavailable"))</x:f>
      </x:c>
      <x:c r="R371" s="30" t="str">
        <x:f>IF(C371="","",IFERROR(INDEX(Credit!$Q$309:$Q$408,MATCH(F371,Credit!$C$309:$C$408,0)),"Unavailable"))</x:f>
      </x:c>
      <x:c r="S371" s="30" t="str">
        <x:f>IF(C371="","",IFERROR(INDEX(Credit!$R$309:$R$408,MATCH(F371,Credit!$C$309:$C$408,0)),"Unavailable"))</x:f>
      </x:c>
      <x:c r="T371" s="23" t="str">
        <x:f>IF(C371="","",IFERROR(IF(P371&gt;0,3,IF(OR(INDEX('Facilities'!$AD$9:$AD$108,MATCH(C371,'Facilities'!$C$9:$C$108,0))=2,AND(R371&gt;=INDEX('Facilities'!$L$9:$L$108,MATCH(C371,'Facilities'!$C$9:$C$108,0))*Settings!$F$19,R371-INDEX('Facilities'!$L$9:$L$108,MATCH(C371,'Facilities'!$C$9:$C$108,0))&gt;=Settings!$F$20)),2,1)),"Unavailable"))</x:f>
      </x:c>
      <x:c r="U371" s="23" t="str">
        <x:f>IF(C371="","",IF(AQ371&lt;&gt;"Ready","Unavailable",IF(C371="","",O371*(1-(1-S371)/(1+INDEX('Facilities'!$K$9:$K$108,MATCH(C371,'Facilities'!$C$9:$C$108,0)))^INDEX('Facilities'!$AK$9:$AK$108,MATCH(C371,'Facilities'!$C$9:$C$108,0)))*R371/(1+INDEX('Facilities'!$K$9:$K$108,MATCH(C371,'Facilities'!$C$9:$C$108,0)))*IF(ABS(1-(1-R371)*(1-INDEX('Facilities'!$R$9:$R$108,MATCH(C371,'Facilities'!$C$9:$C$108,0)))/(1+INDEX('Facilities'!$K$9:$K$108,MATCH(C371,'Facilities'!$C$9:$C$108,0))))&lt;0.000000001,IF(T371=1,MIN(1,AJ371),AJ371),(1-((1-R371)*(1-INDEX('Facilities'!$R$9:$R$108,MATCH(C371,'Facilities'!$C$9:$C$108,0)))/(1+INDEX('Facilities'!$K$9:$K$108,MATCH(C371,'Facilities'!$C$9:$C$108,0))))^IF(T371=1,MIN(1,AJ371),AJ371))/(1-(1-R371)*(1-INDEX('Facilities'!$R$9:$R$108,MATCH(C371,'Facilities'!$C$9:$C$108,0)))/(1+INDEX('Facilities'!$K$9:$K$108,MATCH(C371,'Facilities'!$C$9:$C$108,0)))))+AL371)))</x:f>
      </x:c>
      <x:c r="V371" s="23" t="str">
        <x:f>IF(C371="","",IF(AQ371&lt;&gt;"Ready","Unavailable",IF(C371="","",Q371*INDEX('Facilities'!$I$9:$I$108,MATCH(C371,'Facilities'!$C$9:$C$108,0))*(1-(1-S371)/(1+INDEX('Facilities'!$K$9:$K$108,MATCH(C371,'Facilities'!$C$9:$C$108,0)))^INDEX('Facilities'!$AK$9:$AK$108,MATCH(C371,'Facilities'!$C$9:$C$108,0)))*R371/(1+INDEX('Facilities'!$K$9:$K$108,MATCH(C371,'Facilities'!$C$9:$C$108,0)))*IF(ABS(1-(1-R371)*(1-0)/(1+INDEX('Facilities'!$K$9:$K$108,MATCH(C371,'Facilities'!$C$9:$C$108,0))))&lt;0.000000001,IF(T371=1,MIN(1,AJ371),AJ371),(1-((1-R371)*(1-0)/(1+INDEX('Facilities'!$K$9:$K$108,MATCH(C371,'Facilities'!$C$9:$C$108,0))))^IF(T371=1,MIN(1,AJ371),AJ371))/(1-(1-R371)*(1-0)/(1+INDEX('Facilities'!$K$9:$K$108,MATCH(C371,'Facilities'!$C$9:$C$108,0))))))))</x:f>
      </x:c>
      <x:c r="W371" s="21" t="str">
        <x:f>IF(C371="","",IFERROR(U271,"Unavailable"))</x:f>
      </x:c>
      <x:c r="X371" s="21" t="str">
        <x:f>IF(C371="","",IFERROR(V271,"Unavailable"))</x:f>
      </x:c>
      <x:c r="Y371" s="21" t="str">
        <x:f>IF(C371="","",IF(AQ371&lt;&gt;"Ready","Unavailable",IF(C371="","",U371-W371+V371-X371+N371+AG371)))</x:f>
      </x:c>
      <x:c r="Z371" s="23" t="str">
        <x:f>IF(C371="","",IF(AQ371&lt;&gt;"Ready","Unavailable",IF(C371="","",(G371+O371+L371)/2*INDEX('Facilities'!$T$9:$T$108,MATCH(C371,'Facilities'!$C$9:$C$108,0))+AG371)))</x:f>
      </x:c>
      <x:c r="AA371" s="23" t="str">
        <x:f>IF(C371="","",IF(AQ371&lt;&gt;"Ready","Unavailable",IF(C371="","",O371*(1-IF(INDEX('Facilities'!$AA$9:$AA$108,MATCH(C371,'Facilities'!$C$9:$C$108,0))=0,0,MIN(1,INDEX('Facilities'!$X$9:$X$108,MATCH(C371,'Facilities'!$C$9:$C$108,0))/INDEX('Facilities'!$AA$9:$AA$108,MATCH(C371,'Facilities'!$C$9:$C$108,0)))))*AF371+P371*(1-IF(INDEX('Facilities'!$AA$9:$AA$108,MATCH(C371,'Facilities'!$C$9:$C$108,0))=0,0,MIN(1,INDEX('Facilities'!$X$9:$X$108,MATCH(C371,'Facilities'!$C$9:$C$108,0))/INDEX('Facilities'!$AA$9:$AA$108,MATCH(C371,'Facilities'!$C$9:$C$108,0)))))*INDEX('Facilities'!$AJ$9:$AJ$108,MATCH(C371,'Facilities'!$C$9:$C$108,0))+Q371*INDEX('Facilities'!$AI$9:$AI$108,MATCH(C371,'Facilities'!$C$9:$C$108,0))*AF371)))</x:f>
      </x:c>
      <x:c r="AB371" s="21" t="str">
        <x:f>IF(C371="","",O371+P371-AD371)</x:f>
      </x:c>
      <x:c r="AC371" s="23" t="str">
        <x:f>IF(C371="","",IFERROR(IF(INDEX('Facilities'!$AD$9:$AD$108,MATCH(C371,'Facilities'!$C$9:$C$108,0))=3,0,IF(INDEX('Facilities'!$AN$9:$AN$108,MATCH(C371,'Facilities'!$C$9:$C$108,0))=0,-1,INDEX('Facilities'!$AN$9:$AN$108,MATCH(C371,'Facilities'!$C$9:$C$108,0)))),"Unavailable"))</x:f>
      </x:c>
      <x:c r="AD371" s="21" t="str">
        <x:f>IF(C371="","",IFERROR(G371+H371,"Unavailable"))</x:f>
      </x:c>
      <x:c r="AE371" s="21" t="str">
        <x:f>IF(C371="","",IF(AQ371&lt;&gt;"Ready","Unavailable",IF(C371="","",O371+P371-AD371-J371+K371+M371+N371)))</x:f>
      </x:c>
      <x:c r="AF371" s="30" t="str">
        <x:f>IF(C371="","",IFERROR(INDEX('Facilities'!$S$9:$S$108,MATCH(C371,'Facilities'!$C$9:$C$108,0))*'Scenario Paths'!I75,"Unavailable"))</x:f>
      </x:c>
      <x:c r="AG371" s="23" t="str">
        <x:f>IF(C371="","",IF(AQ371&lt;&gt;"Ready","Unavailable",IF(C371="","",IF(H371&gt;0,MAX(0,H371-AK371)*((1+INDEX('Facilities'!$K$9:$K$108,MATCH(C371,'Facilities'!$C$9:$C$108,0)))^MIN(1,MAX(0,AC371+INDEX('Facilities'!$AK$9:$AK$108,MATCH(C371,'Facilities'!$C$9:$C$108,0))-D371+1))-1),0))))</x:f>
      </x:c>
      <x:c r="AH371" s="21" t="str">
        <x:f>IF(C371="","",IF(AQ371&lt;&gt;"Ready","Unavailable",IF(C371="","",O371+P371)))</x:f>
      </x:c>
      <x:c r="AI371" s="21" t="str">
        <x:f>IF(C371="","",IF(AQ371&lt;&gt;"Ready","Unavailable",IF(C371="","",Z371-Y371)))</x:f>
      </x:c>
      <x:c r="AJ371" s="23" t="str">
        <x:f>IF(C371="","",IFERROR(MAX(0,INDEX('Facilities'!$J$9:$J$108,MATCH(C371,'Facilities'!$C$9:$C$108,0))-D371),"Unavailable"))</x:f>
      </x:c>
      <x:c r="AK371" s="21" t="str">
        <x:f>IF(C371="","",IFERROR(AL271,"Unavailable"))</x:f>
      </x:c>
      <x:c r="AL371" s="23" t="str">
        <x:f>IF(C371="","",IFERROR(IF(P371&gt;0,P371*(1-AM371/(1+INDEX('Facilities'!$K$9:$K$108,MATCH(C371,'Facilities'!$C$9:$C$108,0)))^MAX(0,AC371+INDEX('Facilities'!$AK$9:$AK$108,MATCH(C371,'Facilities'!$C$9:$C$108,0))-D371)),0),"Unavailable"))</x:f>
      </x:c>
      <x:c r="AM371" s="30" t="str">
        <x:f>IF(C371="","",IFERROR(INDEX('Facilities'!$AL$9:$AL$108,MATCH(C371,'Facilities'!$C$9:$C$108,0)),"Unavailable"))</x:f>
      </x:c>
      <x:c r="AN371" s="30" t="str">
        <x:f>IF(C371="","",IFERROR(INDEX(Credit!$T$309:$T$408,MATCH(F371,Credit!$C$309:$C$408,0)),"Unavailable"))</x:f>
      </x:c>
      <x:c r="AO371" s="23" t="str">
        <x:f>IF(C371="","",IF(AQ371&lt;&gt;"Ready","Unavailable",IF(C371="","",O371+P371+Q371*INDEX('Facilities'!$I$9:$I$108,MATCH(C371,'Facilities'!$C$9:$C$108,0)))))</x:f>
      </x:c>
      <x:c r="AP371" s="21" t="str">
        <x:f>IF(C371="","",IF(AQ371&lt;&gt;"Ready","Unavailable",IF(C371="","",AH371-U371)))</x:f>
      </x:c>
      <x:c r="AQ371" s="23" t="str">
        <x:f>IFERROR(IF(C371="","",IF(AND(INDEX('Facilities'!$AF$9:$AF$108,MATCH(C371,'Facilities'!$C$9:$C$108,0))="Ready",INDEX(Credit!$U$309:$U$408,MATCH(F371,Credit!$C$309:$C$408,0))="Ready",ISNUMBER(W371)),"Ready","Review inputs")),"Review inputs")</x:f>
      </x:c>
      <x:c r="AR371" s="23" t="str">
        <x:f>IF(C371="","",IF(AQ371&lt;&gt;"Ready","Unavailable",IF(C371="","",IF(O371=0,0,(IF(AJ371&lt;=1,O371,O371*INDEX('Facilities'!$R$9:$R$108,MATCH(C371,'Facilities'!$C$9:$C$108,0)))+O371*INDEX('Facilities'!$T$9:$T$108,MATCH(C371,'Facilities'!$C$9:$C$108,0)))/12))))</x:f>
      </x:c>
    </x:row>
    <x:row r="372" ht="26" customHeight="1">
      <x:c r="A372" s="1"/>
      <x:c r="B372" s="1"/>
      <x:c r="C372" s="9" t="str">
        <x:f>IF(Facilities!C72="","",Facilities!C72)</x:f>
      </x:c>
      <x:c r="D372" s="3" t="n">
        <x:v>4</x:v>
      </x:c>
      <x:c r="E372" s="9" t="n">
        <x:f>Settings!$F$18+3</x:f>
        <x:v>2030</x:v>
      </x:c>
      <x:c r="F372" s="9" t="str">
        <x:f>IF(C372="","",IFERROR(INDEX('Facilities'!$D$9:$D$108,MATCH(C372,'Facilities'!$C$9:$C$108,0)),"Unavailable"))</x:f>
      </x:c>
      <x:c r="G372" s="21" t="str">
        <x:f>IF(C372="","",IFERROR(O272,"Unavailable"))</x:f>
      </x:c>
      <x:c r="H372" s="21" t="str">
        <x:f>IF(C372="","",IFERROR(P272,"Unavailable"))</x:f>
      </x:c>
      <x:c r="I372" s="21" t="str">
        <x:f>IF(C372="","",IFERROR(Q272,"Unavailable"))</x:f>
      </x:c>
      <x:c r="J372" s="23" t="str">
        <x:f>IF(C372="","",IFERROR(IF(OR(H372&gt;0,AND(AC372&gt;=0,AC372&lt;D372),D372&gt;INDEX('Facilities'!$J$9:$J$108,MATCH(C372,'Facilities'!$C$9:$C$108,0))),0,I372*'Scenario Paths'!I81),"Unavailable"))</x:f>
      </x:c>
      <x:c r="K372" s="23" t="str">
        <x:f>IF(C372="","",IFERROR(IF(OR(H372&gt;0,AND(AC372&gt;=0,AC372=D372)),0,IF(D372&gt;=INDEX('Facilities'!$J$9:$J$108,MATCH(C372,'Facilities'!$C$9:$C$108,0)),G372+J372,MIN(G372+J372,G372*INDEX('Facilities'!$R$9:$R$108,MATCH(C372,'Facilities'!$C$9:$C$108,0))))),"Unavailable"))</x:f>
      </x:c>
      <x:c r="L372" s="21" t="str">
        <x:f>IF(C372="","",IFERROR(IF(AND(AC372=D372,AC372&gt;0),MAX(0,G372+J372-K372),0),"Unavailable"))</x:f>
      </x:c>
      <x:c r="M372" s="23" t="str">
        <x:f>IF(C372="","",IFERROR(IF(AND(AC372&gt;=0,D372&gt;=AC372+INDEX('Facilities'!$AK$9:$AK$108,MATCH(C372,'Facilities'!$C$9:$C$108,0))),(H372+L372)*AM372,0),"Unavailable"))</x:f>
      </x:c>
      <x:c r="N372" s="23" t="str">
        <x:f>IF(C372="","",IFERROR(IF(AND(AC372&gt;=0,D372&gt;=AC372+INDEX('Facilities'!$AK$9:$AK$108,MATCH(C372,'Facilities'!$C$9:$C$108,0))),H372+L372-M372,0),"Unavailable"))</x:f>
      </x:c>
      <x:c r="O372" s="21" t="str">
        <x:f>IF(C372="","",IFERROR(MAX(0,G372+J372-K372-L372),"Unavailable"))</x:f>
      </x:c>
      <x:c r="P372" s="21" t="str">
        <x:f>IF(C372="","",IFERROR(MAX(0,H372+L372-M372-N372),"Unavailable"))</x:f>
      </x:c>
      <x:c r="Q372" s="23" t="str">
        <x:f>IF(C372="","",IFERROR(IF(OR(D372&gt;=INDEX('Facilities'!$J$9:$J$108,MATCH(C372,'Facilities'!$C$9:$C$108,0)),AND(AC372&gt;=0,AC372&lt;=D372)),0,MAX(0,I372-J372)),"Unavailable"))</x:f>
      </x:c>
      <x:c r="R372" s="30" t="str">
        <x:f>IF(C372="","",IFERROR(INDEX(Credit!$Q$309:$Q$408,MATCH(F372,Credit!$C$309:$C$408,0)),"Unavailable"))</x:f>
      </x:c>
      <x:c r="S372" s="30" t="str">
        <x:f>IF(C372="","",IFERROR(INDEX(Credit!$R$309:$R$408,MATCH(F372,Credit!$C$309:$C$408,0)),"Unavailable"))</x:f>
      </x:c>
      <x:c r="T372" s="23" t="str">
        <x:f>IF(C372="","",IFERROR(IF(P372&gt;0,3,IF(OR(INDEX('Facilities'!$AD$9:$AD$108,MATCH(C372,'Facilities'!$C$9:$C$108,0))=2,AND(R372&gt;=INDEX('Facilities'!$L$9:$L$108,MATCH(C372,'Facilities'!$C$9:$C$108,0))*Settings!$F$19,R372-INDEX('Facilities'!$L$9:$L$108,MATCH(C372,'Facilities'!$C$9:$C$108,0))&gt;=Settings!$F$20)),2,1)),"Unavailable"))</x:f>
      </x:c>
      <x:c r="U372" s="23" t="str">
        <x:f>IF(C372="","",IF(AQ372&lt;&gt;"Ready","Unavailable",IF(C372="","",O372*(1-(1-S372)/(1+INDEX('Facilities'!$K$9:$K$108,MATCH(C372,'Facilities'!$C$9:$C$108,0)))^INDEX('Facilities'!$AK$9:$AK$108,MATCH(C372,'Facilities'!$C$9:$C$108,0)))*R372/(1+INDEX('Facilities'!$K$9:$K$108,MATCH(C372,'Facilities'!$C$9:$C$108,0)))*IF(ABS(1-(1-R372)*(1-INDEX('Facilities'!$R$9:$R$108,MATCH(C372,'Facilities'!$C$9:$C$108,0)))/(1+INDEX('Facilities'!$K$9:$K$108,MATCH(C372,'Facilities'!$C$9:$C$108,0))))&lt;0.000000001,IF(T372=1,MIN(1,AJ372),AJ372),(1-((1-R372)*(1-INDEX('Facilities'!$R$9:$R$108,MATCH(C372,'Facilities'!$C$9:$C$108,0)))/(1+INDEX('Facilities'!$K$9:$K$108,MATCH(C372,'Facilities'!$C$9:$C$108,0))))^IF(T372=1,MIN(1,AJ372),AJ372))/(1-(1-R372)*(1-INDEX('Facilities'!$R$9:$R$108,MATCH(C372,'Facilities'!$C$9:$C$108,0)))/(1+INDEX('Facilities'!$K$9:$K$108,MATCH(C372,'Facilities'!$C$9:$C$108,0)))))+AL372)))</x:f>
      </x:c>
      <x:c r="V372" s="23" t="str">
        <x:f>IF(C372="","",IF(AQ372&lt;&gt;"Ready","Unavailable",IF(C372="","",Q372*INDEX('Facilities'!$I$9:$I$108,MATCH(C372,'Facilities'!$C$9:$C$108,0))*(1-(1-S372)/(1+INDEX('Facilities'!$K$9:$K$108,MATCH(C372,'Facilities'!$C$9:$C$108,0)))^INDEX('Facilities'!$AK$9:$AK$108,MATCH(C372,'Facilities'!$C$9:$C$108,0)))*R372/(1+INDEX('Facilities'!$K$9:$K$108,MATCH(C372,'Facilities'!$C$9:$C$108,0)))*IF(ABS(1-(1-R372)*(1-0)/(1+INDEX('Facilities'!$K$9:$K$108,MATCH(C372,'Facilities'!$C$9:$C$108,0))))&lt;0.000000001,IF(T372=1,MIN(1,AJ372),AJ372),(1-((1-R372)*(1-0)/(1+INDEX('Facilities'!$K$9:$K$108,MATCH(C372,'Facilities'!$C$9:$C$108,0))))^IF(T372=1,MIN(1,AJ372),AJ372))/(1-(1-R372)*(1-0)/(1+INDEX('Facilities'!$K$9:$K$108,MATCH(C372,'Facilities'!$C$9:$C$108,0))))))))</x:f>
      </x:c>
      <x:c r="W372" s="21" t="str">
        <x:f>IF(C372="","",IFERROR(U272,"Unavailable"))</x:f>
      </x:c>
      <x:c r="X372" s="21" t="str">
        <x:f>IF(C372="","",IFERROR(V272,"Unavailable"))</x:f>
      </x:c>
      <x:c r="Y372" s="21" t="str">
        <x:f>IF(C372="","",IF(AQ372&lt;&gt;"Ready","Unavailable",IF(C372="","",U372-W372+V372-X372+N372+AG372)))</x:f>
      </x:c>
      <x:c r="Z372" s="23" t="str">
        <x:f>IF(C372="","",IF(AQ372&lt;&gt;"Ready","Unavailable",IF(C372="","",(G372+O372+L372)/2*INDEX('Facilities'!$T$9:$T$108,MATCH(C372,'Facilities'!$C$9:$C$108,0))+AG372)))</x:f>
      </x:c>
      <x:c r="AA372" s="23" t="str">
        <x:f>IF(C372="","",IF(AQ372&lt;&gt;"Ready","Unavailable",IF(C372="","",O372*(1-IF(INDEX('Facilities'!$AA$9:$AA$108,MATCH(C372,'Facilities'!$C$9:$C$108,0))=0,0,MIN(1,INDEX('Facilities'!$X$9:$X$108,MATCH(C372,'Facilities'!$C$9:$C$108,0))/INDEX('Facilities'!$AA$9:$AA$108,MATCH(C372,'Facilities'!$C$9:$C$108,0)))))*AF372+P372*(1-IF(INDEX('Facilities'!$AA$9:$AA$108,MATCH(C372,'Facilities'!$C$9:$C$108,0))=0,0,MIN(1,INDEX('Facilities'!$X$9:$X$108,MATCH(C372,'Facilities'!$C$9:$C$108,0))/INDEX('Facilities'!$AA$9:$AA$108,MATCH(C372,'Facilities'!$C$9:$C$108,0)))))*INDEX('Facilities'!$AJ$9:$AJ$108,MATCH(C372,'Facilities'!$C$9:$C$108,0))+Q372*INDEX('Facilities'!$AI$9:$AI$108,MATCH(C372,'Facilities'!$C$9:$C$108,0))*AF372)))</x:f>
      </x:c>
      <x:c r="AB372" s="21" t="str">
        <x:f>IF(C372="","",O372+P372-AD372)</x:f>
      </x:c>
      <x:c r="AC372" s="23" t="str">
        <x:f>IF(C372="","",IFERROR(IF(INDEX('Facilities'!$AD$9:$AD$108,MATCH(C372,'Facilities'!$C$9:$C$108,0))=3,0,IF(INDEX('Facilities'!$AN$9:$AN$108,MATCH(C372,'Facilities'!$C$9:$C$108,0))=0,-1,INDEX('Facilities'!$AN$9:$AN$108,MATCH(C372,'Facilities'!$C$9:$C$108,0)))),"Unavailable"))</x:f>
      </x:c>
      <x:c r="AD372" s="21" t="str">
        <x:f>IF(C372="","",IFERROR(G372+H372,"Unavailable"))</x:f>
      </x:c>
      <x:c r="AE372" s="21" t="str">
        <x:f>IF(C372="","",IF(AQ372&lt;&gt;"Ready","Unavailable",IF(C372="","",O372+P372-AD372-J372+K372+M372+N372)))</x:f>
      </x:c>
      <x:c r="AF372" s="30" t="str">
        <x:f>IF(C372="","",IFERROR(INDEX('Facilities'!$S$9:$S$108,MATCH(C372,'Facilities'!$C$9:$C$108,0))*'Scenario Paths'!I75,"Unavailable"))</x:f>
      </x:c>
      <x:c r="AG372" s="23" t="str">
        <x:f>IF(C372="","",IF(AQ372&lt;&gt;"Ready","Unavailable",IF(C372="","",IF(H372&gt;0,MAX(0,H372-AK372)*((1+INDEX('Facilities'!$K$9:$K$108,MATCH(C372,'Facilities'!$C$9:$C$108,0)))^MIN(1,MAX(0,AC372+INDEX('Facilities'!$AK$9:$AK$108,MATCH(C372,'Facilities'!$C$9:$C$108,0))-D372+1))-1),0))))</x:f>
      </x:c>
      <x:c r="AH372" s="21" t="str">
        <x:f>IF(C372="","",IF(AQ372&lt;&gt;"Ready","Unavailable",IF(C372="","",O372+P372)))</x:f>
      </x:c>
      <x:c r="AI372" s="21" t="str">
        <x:f>IF(C372="","",IF(AQ372&lt;&gt;"Ready","Unavailable",IF(C372="","",Z372-Y372)))</x:f>
      </x:c>
      <x:c r="AJ372" s="23" t="str">
        <x:f>IF(C372="","",IFERROR(MAX(0,INDEX('Facilities'!$J$9:$J$108,MATCH(C372,'Facilities'!$C$9:$C$108,0))-D372),"Unavailable"))</x:f>
      </x:c>
      <x:c r="AK372" s="21" t="str">
        <x:f>IF(C372="","",IFERROR(AL272,"Unavailable"))</x:f>
      </x:c>
      <x:c r="AL372" s="23" t="str">
        <x:f>IF(C372="","",IFERROR(IF(P372&gt;0,P372*(1-AM372/(1+INDEX('Facilities'!$K$9:$K$108,MATCH(C372,'Facilities'!$C$9:$C$108,0)))^MAX(0,AC372+INDEX('Facilities'!$AK$9:$AK$108,MATCH(C372,'Facilities'!$C$9:$C$108,0))-D372)),0),"Unavailable"))</x:f>
      </x:c>
      <x:c r="AM372" s="30" t="str">
        <x:f>IF(C372="","",IFERROR(INDEX('Facilities'!$AL$9:$AL$108,MATCH(C372,'Facilities'!$C$9:$C$108,0)),"Unavailable"))</x:f>
      </x:c>
      <x:c r="AN372" s="30" t="str">
        <x:f>IF(C372="","",IFERROR(INDEX(Credit!$T$309:$T$408,MATCH(F372,Credit!$C$309:$C$408,0)),"Unavailable"))</x:f>
      </x:c>
      <x:c r="AO372" s="23" t="str">
        <x:f>IF(C372="","",IF(AQ372&lt;&gt;"Ready","Unavailable",IF(C372="","",O372+P372+Q372*INDEX('Facilities'!$I$9:$I$108,MATCH(C372,'Facilities'!$C$9:$C$108,0)))))</x:f>
      </x:c>
      <x:c r="AP372" s="21" t="str">
        <x:f>IF(C372="","",IF(AQ372&lt;&gt;"Ready","Unavailable",IF(C372="","",AH372-U372)))</x:f>
      </x:c>
      <x:c r="AQ372" s="23" t="str">
        <x:f>IFERROR(IF(C372="","",IF(AND(INDEX('Facilities'!$AF$9:$AF$108,MATCH(C372,'Facilities'!$C$9:$C$108,0))="Ready",INDEX(Credit!$U$309:$U$408,MATCH(F372,Credit!$C$309:$C$408,0))="Ready",ISNUMBER(W372)),"Ready","Review inputs")),"Review inputs")</x:f>
      </x:c>
      <x:c r="AR372" s="23" t="str">
        <x:f>IF(C372="","",IF(AQ372&lt;&gt;"Ready","Unavailable",IF(C372="","",IF(O372=0,0,(IF(AJ372&lt;=1,O372,O372*INDEX('Facilities'!$R$9:$R$108,MATCH(C372,'Facilities'!$C$9:$C$108,0)))+O372*INDEX('Facilities'!$T$9:$T$108,MATCH(C372,'Facilities'!$C$9:$C$108,0)))/12))))</x:f>
      </x:c>
    </x:row>
    <x:row r="373" ht="26" customHeight="1">
      <x:c r="A373" s="1"/>
      <x:c r="B373" s="1"/>
      <x:c r="C373" s="9" t="str">
        <x:f>IF(Facilities!C73="","",Facilities!C73)</x:f>
      </x:c>
      <x:c r="D373" s="3" t="n">
        <x:v>4</x:v>
      </x:c>
      <x:c r="E373" s="9" t="n">
        <x:f>Settings!$F$18+3</x:f>
        <x:v>2030</x:v>
      </x:c>
      <x:c r="F373" s="9" t="str">
        <x:f>IF(C373="","",IFERROR(INDEX('Facilities'!$D$9:$D$108,MATCH(C373,'Facilities'!$C$9:$C$108,0)),"Unavailable"))</x:f>
      </x:c>
      <x:c r="G373" s="21" t="str">
        <x:f>IF(C373="","",IFERROR(O273,"Unavailable"))</x:f>
      </x:c>
      <x:c r="H373" s="21" t="str">
        <x:f>IF(C373="","",IFERROR(P273,"Unavailable"))</x:f>
      </x:c>
      <x:c r="I373" s="21" t="str">
        <x:f>IF(C373="","",IFERROR(Q273,"Unavailable"))</x:f>
      </x:c>
      <x:c r="J373" s="23" t="str">
        <x:f>IF(C373="","",IFERROR(IF(OR(H373&gt;0,AND(AC373&gt;=0,AC373&lt;D373),D373&gt;INDEX('Facilities'!$J$9:$J$108,MATCH(C373,'Facilities'!$C$9:$C$108,0))),0,I373*'Scenario Paths'!I81),"Unavailable"))</x:f>
      </x:c>
      <x:c r="K373" s="23" t="str">
        <x:f>IF(C373="","",IFERROR(IF(OR(H373&gt;0,AND(AC373&gt;=0,AC373=D373)),0,IF(D373&gt;=INDEX('Facilities'!$J$9:$J$108,MATCH(C373,'Facilities'!$C$9:$C$108,0)),G373+J373,MIN(G373+J373,G373*INDEX('Facilities'!$R$9:$R$108,MATCH(C373,'Facilities'!$C$9:$C$108,0))))),"Unavailable"))</x:f>
      </x:c>
      <x:c r="L373" s="21" t="str">
        <x:f>IF(C373="","",IFERROR(IF(AND(AC373=D373,AC373&gt;0),MAX(0,G373+J373-K373),0),"Unavailable"))</x:f>
      </x:c>
      <x:c r="M373" s="23" t="str">
        <x:f>IF(C373="","",IFERROR(IF(AND(AC373&gt;=0,D373&gt;=AC373+INDEX('Facilities'!$AK$9:$AK$108,MATCH(C373,'Facilities'!$C$9:$C$108,0))),(H373+L373)*AM373,0),"Unavailable"))</x:f>
      </x:c>
      <x:c r="N373" s="23" t="str">
        <x:f>IF(C373="","",IFERROR(IF(AND(AC373&gt;=0,D373&gt;=AC373+INDEX('Facilities'!$AK$9:$AK$108,MATCH(C373,'Facilities'!$C$9:$C$108,0))),H373+L373-M373,0),"Unavailable"))</x:f>
      </x:c>
      <x:c r="O373" s="21" t="str">
        <x:f>IF(C373="","",IFERROR(MAX(0,G373+J373-K373-L373),"Unavailable"))</x:f>
      </x:c>
      <x:c r="P373" s="21" t="str">
        <x:f>IF(C373="","",IFERROR(MAX(0,H373+L373-M373-N373),"Unavailable"))</x:f>
      </x:c>
      <x:c r="Q373" s="23" t="str">
        <x:f>IF(C373="","",IFERROR(IF(OR(D373&gt;=INDEX('Facilities'!$J$9:$J$108,MATCH(C373,'Facilities'!$C$9:$C$108,0)),AND(AC373&gt;=0,AC373&lt;=D373)),0,MAX(0,I373-J373)),"Unavailable"))</x:f>
      </x:c>
      <x:c r="R373" s="30" t="str">
        <x:f>IF(C373="","",IFERROR(INDEX(Credit!$Q$309:$Q$408,MATCH(F373,Credit!$C$309:$C$408,0)),"Unavailable"))</x:f>
      </x:c>
      <x:c r="S373" s="30" t="str">
        <x:f>IF(C373="","",IFERROR(INDEX(Credit!$R$309:$R$408,MATCH(F373,Credit!$C$309:$C$408,0)),"Unavailable"))</x:f>
      </x:c>
      <x:c r="T373" s="23" t="str">
        <x:f>IF(C373="","",IFERROR(IF(P373&gt;0,3,IF(OR(INDEX('Facilities'!$AD$9:$AD$108,MATCH(C373,'Facilities'!$C$9:$C$108,0))=2,AND(R373&gt;=INDEX('Facilities'!$L$9:$L$108,MATCH(C373,'Facilities'!$C$9:$C$108,0))*Settings!$F$19,R373-INDEX('Facilities'!$L$9:$L$108,MATCH(C373,'Facilities'!$C$9:$C$108,0))&gt;=Settings!$F$20)),2,1)),"Unavailable"))</x:f>
      </x:c>
      <x:c r="U373" s="23" t="str">
        <x:f>IF(C373="","",IF(AQ373&lt;&gt;"Ready","Unavailable",IF(C373="","",O373*(1-(1-S373)/(1+INDEX('Facilities'!$K$9:$K$108,MATCH(C373,'Facilities'!$C$9:$C$108,0)))^INDEX('Facilities'!$AK$9:$AK$108,MATCH(C373,'Facilities'!$C$9:$C$108,0)))*R373/(1+INDEX('Facilities'!$K$9:$K$108,MATCH(C373,'Facilities'!$C$9:$C$108,0)))*IF(ABS(1-(1-R373)*(1-INDEX('Facilities'!$R$9:$R$108,MATCH(C373,'Facilities'!$C$9:$C$108,0)))/(1+INDEX('Facilities'!$K$9:$K$108,MATCH(C373,'Facilities'!$C$9:$C$108,0))))&lt;0.000000001,IF(T373=1,MIN(1,AJ373),AJ373),(1-((1-R373)*(1-INDEX('Facilities'!$R$9:$R$108,MATCH(C373,'Facilities'!$C$9:$C$108,0)))/(1+INDEX('Facilities'!$K$9:$K$108,MATCH(C373,'Facilities'!$C$9:$C$108,0))))^IF(T373=1,MIN(1,AJ373),AJ373))/(1-(1-R373)*(1-INDEX('Facilities'!$R$9:$R$108,MATCH(C373,'Facilities'!$C$9:$C$108,0)))/(1+INDEX('Facilities'!$K$9:$K$108,MATCH(C373,'Facilities'!$C$9:$C$108,0)))))+AL373)))</x:f>
      </x:c>
      <x:c r="V373" s="23" t="str">
        <x:f>IF(C373="","",IF(AQ373&lt;&gt;"Ready","Unavailable",IF(C373="","",Q373*INDEX('Facilities'!$I$9:$I$108,MATCH(C373,'Facilities'!$C$9:$C$108,0))*(1-(1-S373)/(1+INDEX('Facilities'!$K$9:$K$108,MATCH(C373,'Facilities'!$C$9:$C$108,0)))^INDEX('Facilities'!$AK$9:$AK$108,MATCH(C373,'Facilities'!$C$9:$C$108,0)))*R373/(1+INDEX('Facilities'!$K$9:$K$108,MATCH(C373,'Facilities'!$C$9:$C$108,0)))*IF(ABS(1-(1-R373)*(1-0)/(1+INDEX('Facilities'!$K$9:$K$108,MATCH(C373,'Facilities'!$C$9:$C$108,0))))&lt;0.000000001,IF(T373=1,MIN(1,AJ373),AJ373),(1-((1-R373)*(1-0)/(1+INDEX('Facilities'!$K$9:$K$108,MATCH(C373,'Facilities'!$C$9:$C$108,0))))^IF(T373=1,MIN(1,AJ373),AJ373))/(1-(1-R373)*(1-0)/(1+INDEX('Facilities'!$K$9:$K$108,MATCH(C373,'Facilities'!$C$9:$C$108,0))))))))</x:f>
      </x:c>
      <x:c r="W373" s="21" t="str">
        <x:f>IF(C373="","",IFERROR(U273,"Unavailable"))</x:f>
      </x:c>
      <x:c r="X373" s="21" t="str">
        <x:f>IF(C373="","",IFERROR(V273,"Unavailable"))</x:f>
      </x:c>
      <x:c r="Y373" s="21" t="str">
        <x:f>IF(C373="","",IF(AQ373&lt;&gt;"Ready","Unavailable",IF(C373="","",U373-W373+V373-X373+N373+AG373)))</x:f>
      </x:c>
      <x:c r="Z373" s="23" t="str">
        <x:f>IF(C373="","",IF(AQ373&lt;&gt;"Ready","Unavailable",IF(C373="","",(G373+O373+L373)/2*INDEX('Facilities'!$T$9:$T$108,MATCH(C373,'Facilities'!$C$9:$C$108,0))+AG373)))</x:f>
      </x:c>
      <x:c r="AA373" s="23" t="str">
        <x:f>IF(C373="","",IF(AQ373&lt;&gt;"Ready","Unavailable",IF(C373="","",O373*(1-IF(INDEX('Facilities'!$AA$9:$AA$108,MATCH(C373,'Facilities'!$C$9:$C$108,0))=0,0,MIN(1,INDEX('Facilities'!$X$9:$X$108,MATCH(C373,'Facilities'!$C$9:$C$108,0))/INDEX('Facilities'!$AA$9:$AA$108,MATCH(C373,'Facilities'!$C$9:$C$108,0)))))*AF373+P373*(1-IF(INDEX('Facilities'!$AA$9:$AA$108,MATCH(C373,'Facilities'!$C$9:$C$108,0))=0,0,MIN(1,INDEX('Facilities'!$X$9:$X$108,MATCH(C373,'Facilities'!$C$9:$C$108,0))/INDEX('Facilities'!$AA$9:$AA$108,MATCH(C373,'Facilities'!$C$9:$C$108,0)))))*INDEX('Facilities'!$AJ$9:$AJ$108,MATCH(C373,'Facilities'!$C$9:$C$108,0))+Q373*INDEX('Facilities'!$AI$9:$AI$108,MATCH(C373,'Facilities'!$C$9:$C$108,0))*AF373)))</x:f>
      </x:c>
      <x:c r="AB373" s="21" t="str">
        <x:f>IF(C373="","",O373+P373-AD373)</x:f>
      </x:c>
      <x:c r="AC373" s="23" t="str">
        <x:f>IF(C373="","",IFERROR(IF(INDEX('Facilities'!$AD$9:$AD$108,MATCH(C373,'Facilities'!$C$9:$C$108,0))=3,0,IF(INDEX('Facilities'!$AN$9:$AN$108,MATCH(C373,'Facilities'!$C$9:$C$108,0))=0,-1,INDEX('Facilities'!$AN$9:$AN$108,MATCH(C373,'Facilities'!$C$9:$C$108,0)))),"Unavailable"))</x:f>
      </x:c>
      <x:c r="AD373" s="21" t="str">
        <x:f>IF(C373="","",IFERROR(G373+H373,"Unavailable"))</x:f>
      </x:c>
      <x:c r="AE373" s="21" t="str">
        <x:f>IF(C373="","",IF(AQ373&lt;&gt;"Ready","Unavailable",IF(C373="","",O373+P373-AD373-J373+K373+M373+N373)))</x:f>
      </x:c>
      <x:c r="AF373" s="30" t="str">
        <x:f>IF(C373="","",IFERROR(INDEX('Facilities'!$S$9:$S$108,MATCH(C373,'Facilities'!$C$9:$C$108,0))*'Scenario Paths'!I75,"Unavailable"))</x:f>
      </x:c>
      <x:c r="AG373" s="23" t="str">
        <x:f>IF(C373="","",IF(AQ373&lt;&gt;"Ready","Unavailable",IF(C373="","",IF(H373&gt;0,MAX(0,H373-AK373)*((1+INDEX('Facilities'!$K$9:$K$108,MATCH(C373,'Facilities'!$C$9:$C$108,0)))^MIN(1,MAX(0,AC373+INDEX('Facilities'!$AK$9:$AK$108,MATCH(C373,'Facilities'!$C$9:$C$108,0))-D373+1))-1),0))))</x:f>
      </x:c>
      <x:c r="AH373" s="21" t="str">
        <x:f>IF(C373="","",IF(AQ373&lt;&gt;"Ready","Unavailable",IF(C373="","",O373+P373)))</x:f>
      </x:c>
      <x:c r="AI373" s="21" t="str">
        <x:f>IF(C373="","",IF(AQ373&lt;&gt;"Ready","Unavailable",IF(C373="","",Z373-Y373)))</x:f>
      </x:c>
      <x:c r="AJ373" s="23" t="str">
        <x:f>IF(C373="","",IFERROR(MAX(0,INDEX('Facilities'!$J$9:$J$108,MATCH(C373,'Facilities'!$C$9:$C$108,0))-D373),"Unavailable"))</x:f>
      </x:c>
      <x:c r="AK373" s="21" t="str">
        <x:f>IF(C373="","",IFERROR(AL273,"Unavailable"))</x:f>
      </x:c>
      <x:c r="AL373" s="23" t="str">
        <x:f>IF(C373="","",IFERROR(IF(P373&gt;0,P373*(1-AM373/(1+INDEX('Facilities'!$K$9:$K$108,MATCH(C373,'Facilities'!$C$9:$C$108,0)))^MAX(0,AC373+INDEX('Facilities'!$AK$9:$AK$108,MATCH(C373,'Facilities'!$C$9:$C$108,0))-D373)),0),"Unavailable"))</x:f>
      </x:c>
      <x:c r="AM373" s="30" t="str">
        <x:f>IF(C373="","",IFERROR(INDEX('Facilities'!$AL$9:$AL$108,MATCH(C373,'Facilities'!$C$9:$C$108,0)),"Unavailable"))</x:f>
      </x:c>
      <x:c r="AN373" s="30" t="str">
        <x:f>IF(C373="","",IFERROR(INDEX(Credit!$T$309:$T$408,MATCH(F373,Credit!$C$309:$C$408,0)),"Unavailable"))</x:f>
      </x:c>
      <x:c r="AO373" s="23" t="str">
        <x:f>IF(C373="","",IF(AQ373&lt;&gt;"Ready","Unavailable",IF(C373="","",O373+P373+Q373*INDEX('Facilities'!$I$9:$I$108,MATCH(C373,'Facilities'!$C$9:$C$108,0)))))</x:f>
      </x:c>
      <x:c r="AP373" s="21" t="str">
        <x:f>IF(C373="","",IF(AQ373&lt;&gt;"Ready","Unavailable",IF(C373="","",AH373-U373)))</x:f>
      </x:c>
      <x:c r="AQ373" s="23" t="str">
        <x:f>IFERROR(IF(C373="","",IF(AND(INDEX('Facilities'!$AF$9:$AF$108,MATCH(C373,'Facilities'!$C$9:$C$108,0))="Ready",INDEX(Credit!$U$309:$U$408,MATCH(F373,Credit!$C$309:$C$408,0))="Ready",ISNUMBER(W373)),"Ready","Review inputs")),"Review inputs")</x:f>
      </x:c>
      <x:c r="AR373" s="23" t="str">
        <x:f>IF(C373="","",IF(AQ373&lt;&gt;"Ready","Unavailable",IF(C373="","",IF(O373=0,0,(IF(AJ373&lt;=1,O373,O373*INDEX('Facilities'!$R$9:$R$108,MATCH(C373,'Facilities'!$C$9:$C$108,0)))+O373*INDEX('Facilities'!$T$9:$T$108,MATCH(C373,'Facilities'!$C$9:$C$108,0)))/12))))</x:f>
      </x:c>
    </x:row>
    <x:row r="374" ht="26" customHeight="1">
      <x:c r="A374" s="1"/>
      <x:c r="B374" s="1"/>
      <x:c r="C374" s="9" t="str">
        <x:f>IF(Facilities!C74="","",Facilities!C74)</x:f>
      </x:c>
      <x:c r="D374" s="3" t="n">
        <x:v>4</x:v>
      </x:c>
      <x:c r="E374" s="9" t="n">
        <x:f>Settings!$F$18+3</x:f>
        <x:v>2030</x:v>
      </x:c>
      <x:c r="F374" s="9" t="str">
        <x:f>IF(C374="","",IFERROR(INDEX('Facilities'!$D$9:$D$108,MATCH(C374,'Facilities'!$C$9:$C$108,0)),"Unavailable"))</x:f>
      </x:c>
      <x:c r="G374" s="21" t="str">
        <x:f>IF(C374="","",IFERROR(O274,"Unavailable"))</x:f>
      </x:c>
      <x:c r="H374" s="21" t="str">
        <x:f>IF(C374="","",IFERROR(P274,"Unavailable"))</x:f>
      </x:c>
      <x:c r="I374" s="21" t="str">
        <x:f>IF(C374="","",IFERROR(Q274,"Unavailable"))</x:f>
      </x:c>
      <x:c r="J374" s="23" t="str">
        <x:f>IF(C374="","",IFERROR(IF(OR(H374&gt;0,AND(AC374&gt;=0,AC374&lt;D374),D374&gt;INDEX('Facilities'!$J$9:$J$108,MATCH(C374,'Facilities'!$C$9:$C$108,0))),0,I374*'Scenario Paths'!I81),"Unavailable"))</x:f>
      </x:c>
      <x:c r="K374" s="23" t="str">
        <x:f>IF(C374="","",IFERROR(IF(OR(H374&gt;0,AND(AC374&gt;=0,AC374=D374)),0,IF(D374&gt;=INDEX('Facilities'!$J$9:$J$108,MATCH(C374,'Facilities'!$C$9:$C$108,0)),G374+J374,MIN(G374+J374,G374*INDEX('Facilities'!$R$9:$R$108,MATCH(C374,'Facilities'!$C$9:$C$108,0))))),"Unavailable"))</x:f>
      </x:c>
      <x:c r="L374" s="21" t="str">
        <x:f>IF(C374="","",IFERROR(IF(AND(AC374=D374,AC374&gt;0),MAX(0,G374+J374-K374),0),"Unavailable"))</x:f>
      </x:c>
      <x:c r="M374" s="23" t="str">
        <x:f>IF(C374="","",IFERROR(IF(AND(AC374&gt;=0,D374&gt;=AC374+INDEX('Facilities'!$AK$9:$AK$108,MATCH(C374,'Facilities'!$C$9:$C$108,0))),(H374+L374)*AM374,0),"Unavailable"))</x:f>
      </x:c>
      <x:c r="N374" s="23" t="str">
        <x:f>IF(C374="","",IFERROR(IF(AND(AC374&gt;=0,D374&gt;=AC374+INDEX('Facilities'!$AK$9:$AK$108,MATCH(C374,'Facilities'!$C$9:$C$108,0))),H374+L374-M374,0),"Unavailable"))</x:f>
      </x:c>
      <x:c r="O374" s="21" t="str">
        <x:f>IF(C374="","",IFERROR(MAX(0,G374+J374-K374-L374),"Unavailable"))</x:f>
      </x:c>
      <x:c r="P374" s="21" t="str">
        <x:f>IF(C374="","",IFERROR(MAX(0,H374+L374-M374-N374),"Unavailable"))</x:f>
      </x:c>
      <x:c r="Q374" s="23" t="str">
        <x:f>IF(C374="","",IFERROR(IF(OR(D374&gt;=INDEX('Facilities'!$J$9:$J$108,MATCH(C374,'Facilities'!$C$9:$C$108,0)),AND(AC374&gt;=0,AC374&lt;=D374)),0,MAX(0,I374-J374)),"Unavailable"))</x:f>
      </x:c>
      <x:c r="R374" s="30" t="str">
        <x:f>IF(C374="","",IFERROR(INDEX(Credit!$Q$309:$Q$408,MATCH(F374,Credit!$C$309:$C$408,0)),"Unavailable"))</x:f>
      </x:c>
      <x:c r="S374" s="30" t="str">
        <x:f>IF(C374="","",IFERROR(INDEX(Credit!$R$309:$R$408,MATCH(F374,Credit!$C$309:$C$408,0)),"Unavailable"))</x:f>
      </x:c>
      <x:c r="T374" s="23" t="str">
        <x:f>IF(C374="","",IFERROR(IF(P374&gt;0,3,IF(OR(INDEX('Facilities'!$AD$9:$AD$108,MATCH(C374,'Facilities'!$C$9:$C$108,0))=2,AND(R374&gt;=INDEX('Facilities'!$L$9:$L$108,MATCH(C374,'Facilities'!$C$9:$C$108,0))*Settings!$F$19,R374-INDEX('Facilities'!$L$9:$L$108,MATCH(C374,'Facilities'!$C$9:$C$108,0))&gt;=Settings!$F$20)),2,1)),"Unavailable"))</x:f>
      </x:c>
      <x:c r="U374" s="23" t="str">
        <x:f>IF(C374="","",IF(AQ374&lt;&gt;"Ready","Unavailable",IF(C374="","",O374*(1-(1-S374)/(1+INDEX('Facilities'!$K$9:$K$108,MATCH(C374,'Facilities'!$C$9:$C$108,0)))^INDEX('Facilities'!$AK$9:$AK$108,MATCH(C374,'Facilities'!$C$9:$C$108,0)))*R374/(1+INDEX('Facilities'!$K$9:$K$108,MATCH(C374,'Facilities'!$C$9:$C$108,0)))*IF(ABS(1-(1-R374)*(1-INDEX('Facilities'!$R$9:$R$108,MATCH(C374,'Facilities'!$C$9:$C$108,0)))/(1+INDEX('Facilities'!$K$9:$K$108,MATCH(C374,'Facilities'!$C$9:$C$108,0))))&lt;0.000000001,IF(T374=1,MIN(1,AJ374),AJ374),(1-((1-R374)*(1-INDEX('Facilities'!$R$9:$R$108,MATCH(C374,'Facilities'!$C$9:$C$108,0)))/(1+INDEX('Facilities'!$K$9:$K$108,MATCH(C374,'Facilities'!$C$9:$C$108,0))))^IF(T374=1,MIN(1,AJ374),AJ374))/(1-(1-R374)*(1-INDEX('Facilities'!$R$9:$R$108,MATCH(C374,'Facilities'!$C$9:$C$108,0)))/(1+INDEX('Facilities'!$K$9:$K$108,MATCH(C374,'Facilities'!$C$9:$C$108,0)))))+AL374)))</x:f>
      </x:c>
      <x:c r="V374" s="23" t="str">
        <x:f>IF(C374="","",IF(AQ374&lt;&gt;"Ready","Unavailable",IF(C374="","",Q374*INDEX('Facilities'!$I$9:$I$108,MATCH(C374,'Facilities'!$C$9:$C$108,0))*(1-(1-S374)/(1+INDEX('Facilities'!$K$9:$K$108,MATCH(C374,'Facilities'!$C$9:$C$108,0)))^INDEX('Facilities'!$AK$9:$AK$108,MATCH(C374,'Facilities'!$C$9:$C$108,0)))*R374/(1+INDEX('Facilities'!$K$9:$K$108,MATCH(C374,'Facilities'!$C$9:$C$108,0)))*IF(ABS(1-(1-R374)*(1-0)/(1+INDEX('Facilities'!$K$9:$K$108,MATCH(C374,'Facilities'!$C$9:$C$108,0))))&lt;0.000000001,IF(T374=1,MIN(1,AJ374),AJ374),(1-((1-R374)*(1-0)/(1+INDEX('Facilities'!$K$9:$K$108,MATCH(C374,'Facilities'!$C$9:$C$108,0))))^IF(T374=1,MIN(1,AJ374),AJ374))/(1-(1-R374)*(1-0)/(1+INDEX('Facilities'!$K$9:$K$108,MATCH(C374,'Facilities'!$C$9:$C$108,0))))))))</x:f>
      </x:c>
      <x:c r="W374" s="21" t="str">
        <x:f>IF(C374="","",IFERROR(U274,"Unavailable"))</x:f>
      </x:c>
      <x:c r="X374" s="21" t="str">
        <x:f>IF(C374="","",IFERROR(V274,"Unavailable"))</x:f>
      </x:c>
      <x:c r="Y374" s="21" t="str">
        <x:f>IF(C374="","",IF(AQ374&lt;&gt;"Ready","Unavailable",IF(C374="","",U374-W374+V374-X374+N374+AG374)))</x:f>
      </x:c>
      <x:c r="Z374" s="23" t="str">
        <x:f>IF(C374="","",IF(AQ374&lt;&gt;"Ready","Unavailable",IF(C374="","",(G374+O374+L374)/2*INDEX('Facilities'!$T$9:$T$108,MATCH(C374,'Facilities'!$C$9:$C$108,0))+AG374)))</x:f>
      </x:c>
      <x:c r="AA374" s="23" t="str">
        <x:f>IF(C374="","",IF(AQ374&lt;&gt;"Ready","Unavailable",IF(C374="","",O374*(1-IF(INDEX('Facilities'!$AA$9:$AA$108,MATCH(C374,'Facilities'!$C$9:$C$108,0))=0,0,MIN(1,INDEX('Facilities'!$X$9:$X$108,MATCH(C374,'Facilities'!$C$9:$C$108,0))/INDEX('Facilities'!$AA$9:$AA$108,MATCH(C374,'Facilities'!$C$9:$C$108,0)))))*AF374+P374*(1-IF(INDEX('Facilities'!$AA$9:$AA$108,MATCH(C374,'Facilities'!$C$9:$C$108,0))=0,0,MIN(1,INDEX('Facilities'!$X$9:$X$108,MATCH(C374,'Facilities'!$C$9:$C$108,0))/INDEX('Facilities'!$AA$9:$AA$108,MATCH(C374,'Facilities'!$C$9:$C$108,0)))))*INDEX('Facilities'!$AJ$9:$AJ$108,MATCH(C374,'Facilities'!$C$9:$C$108,0))+Q374*INDEX('Facilities'!$AI$9:$AI$108,MATCH(C374,'Facilities'!$C$9:$C$108,0))*AF374)))</x:f>
      </x:c>
      <x:c r="AB374" s="21" t="str">
        <x:f>IF(C374="","",O374+P374-AD374)</x:f>
      </x:c>
      <x:c r="AC374" s="23" t="str">
        <x:f>IF(C374="","",IFERROR(IF(INDEX('Facilities'!$AD$9:$AD$108,MATCH(C374,'Facilities'!$C$9:$C$108,0))=3,0,IF(INDEX('Facilities'!$AN$9:$AN$108,MATCH(C374,'Facilities'!$C$9:$C$108,0))=0,-1,INDEX('Facilities'!$AN$9:$AN$108,MATCH(C374,'Facilities'!$C$9:$C$108,0)))),"Unavailable"))</x:f>
      </x:c>
      <x:c r="AD374" s="21" t="str">
        <x:f>IF(C374="","",IFERROR(G374+H374,"Unavailable"))</x:f>
      </x:c>
      <x:c r="AE374" s="21" t="str">
        <x:f>IF(C374="","",IF(AQ374&lt;&gt;"Ready","Unavailable",IF(C374="","",O374+P374-AD374-J374+K374+M374+N374)))</x:f>
      </x:c>
      <x:c r="AF374" s="30" t="str">
        <x:f>IF(C374="","",IFERROR(INDEX('Facilities'!$S$9:$S$108,MATCH(C374,'Facilities'!$C$9:$C$108,0))*'Scenario Paths'!I75,"Unavailable"))</x:f>
      </x:c>
      <x:c r="AG374" s="23" t="str">
        <x:f>IF(C374="","",IF(AQ374&lt;&gt;"Ready","Unavailable",IF(C374="","",IF(H374&gt;0,MAX(0,H374-AK374)*((1+INDEX('Facilities'!$K$9:$K$108,MATCH(C374,'Facilities'!$C$9:$C$108,0)))^MIN(1,MAX(0,AC374+INDEX('Facilities'!$AK$9:$AK$108,MATCH(C374,'Facilities'!$C$9:$C$108,0))-D374+1))-1),0))))</x:f>
      </x:c>
      <x:c r="AH374" s="21" t="str">
        <x:f>IF(C374="","",IF(AQ374&lt;&gt;"Ready","Unavailable",IF(C374="","",O374+P374)))</x:f>
      </x:c>
      <x:c r="AI374" s="21" t="str">
        <x:f>IF(C374="","",IF(AQ374&lt;&gt;"Ready","Unavailable",IF(C374="","",Z374-Y374)))</x:f>
      </x:c>
      <x:c r="AJ374" s="23" t="str">
        <x:f>IF(C374="","",IFERROR(MAX(0,INDEX('Facilities'!$J$9:$J$108,MATCH(C374,'Facilities'!$C$9:$C$108,0))-D374),"Unavailable"))</x:f>
      </x:c>
      <x:c r="AK374" s="21" t="str">
        <x:f>IF(C374="","",IFERROR(AL274,"Unavailable"))</x:f>
      </x:c>
      <x:c r="AL374" s="23" t="str">
        <x:f>IF(C374="","",IFERROR(IF(P374&gt;0,P374*(1-AM374/(1+INDEX('Facilities'!$K$9:$K$108,MATCH(C374,'Facilities'!$C$9:$C$108,0)))^MAX(0,AC374+INDEX('Facilities'!$AK$9:$AK$108,MATCH(C374,'Facilities'!$C$9:$C$108,0))-D374)),0),"Unavailable"))</x:f>
      </x:c>
      <x:c r="AM374" s="30" t="str">
        <x:f>IF(C374="","",IFERROR(INDEX('Facilities'!$AL$9:$AL$108,MATCH(C374,'Facilities'!$C$9:$C$108,0)),"Unavailable"))</x:f>
      </x:c>
      <x:c r="AN374" s="30" t="str">
        <x:f>IF(C374="","",IFERROR(INDEX(Credit!$T$309:$T$408,MATCH(F374,Credit!$C$309:$C$408,0)),"Unavailable"))</x:f>
      </x:c>
      <x:c r="AO374" s="23" t="str">
        <x:f>IF(C374="","",IF(AQ374&lt;&gt;"Ready","Unavailable",IF(C374="","",O374+P374+Q374*INDEX('Facilities'!$I$9:$I$108,MATCH(C374,'Facilities'!$C$9:$C$108,0)))))</x:f>
      </x:c>
      <x:c r="AP374" s="21" t="str">
        <x:f>IF(C374="","",IF(AQ374&lt;&gt;"Ready","Unavailable",IF(C374="","",AH374-U374)))</x:f>
      </x:c>
      <x:c r="AQ374" s="23" t="str">
        <x:f>IFERROR(IF(C374="","",IF(AND(INDEX('Facilities'!$AF$9:$AF$108,MATCH(C374,'Facilities'!$C$9:$C$108,0))="Ready",INDEX(Credit!$U$309:$U$408,MATCH(F374,Credit!$C$309:$C$408,0))="Ready",ISNUMBER(W374)),"Ready","Review inputs")),"Review inputs")</x:f>
      </x:c>
      <x:c r="AR374" s="23" t="str">
        <x:f>IF(C374="","",IF(AQ374&lt;&gt;"Ready","Unavailable",IF(C374="","",IF(O374=0,0,(IF(AJ374&lt;=1,O374,O374*INDEX('Facilities'!$R$9:$R$108,MATCH(C374,'Facilities'!$C$9:$C$108,0)))+O374*INDEX('Facilities'!$T$9:$T$108,MATCH(C374,'Facilities'!$C$9:$C$108,0)))/12))))</x:f>
      </x:c>
    </x:row>
    <x:row r="375" ht="26" customHeight="1">
      <x:c r="A375" s="1"/>
      <x:c r="B375" s="1"/>
      <x:c r="C375" s="9" t="str">
        <x:f>IF(Facilities!C75="","",Facilities!C75)</x:f>
      </x:c>
      <x:c r="D375" s="3" t="n">
        <x:v>4</x:v>
      </x:c>
      <x:c r="E375" s="9" t="n">
        <x:f>Settings!$F$18+3</x:f>
        <x:v>2030</x:v>
      </x:c>
      <x:c r="F375" s="9" t="str">
        <x:f>IF(C375="","",IFERROR(INDEX('Facilities'!$D$9:$D$108,MATCH(C375,'Facilities'!$C$9:$C$108,0)),"Unavailable"))</x:f>
      </x:c>
      <x:c r="G375" s="21" t="str">
        <x:f>IF(C375="","",IFERROR(O275,"Unavailable"))</x:f>
      </x:c>
      <x:c r="H375" s="21" t="str">
        <x:f>IF(C375="","",IFERROR(P275,"Unavailable"))</x:f>
      </x:c>
      <x:c r="I375" s="21" t="str">
        <x:f>IF(C375="","",IFERROR(Q275,"Unavailable"))</x:f>
      </x:c>
      <x:c r="J375" s="23" t="str">
        <x:f>IF(C375="","",IFERROR(IF(OR(H375&gt;0,AND(AC375&gt;=0,AC375&lt;D375),D375&gt;INDEX('Facilities'!$J$9:$J$108,MATCH(C375,'Facilities'!$C$9:$C$108,0))),0,I375*'Scenario Paths'!I81),"Unavailable"))</x:f>
      </x:c>
      <x:c r="K375" s="23" t="str">
        <x:f>IF(C375="","",IFERROR(IF(OR(H375&gt;0,AND(AC375&gt;=0,AC375=D375)),0,IF(D375&gt;=INDEX('Facilities'!$J$9:$J$108,MATCH(C375,'Facilities'!$C$9:$C$108,0)),G375+J375,MIN(G375+J375,G375*INDEX('Facilities'!$R$9:$R$108,MATCH(C375,'Facilities'!$C$9:$C$108,0))))),"Unavailable"))</x:f>
      </x:c>
      <x:c r="L375" s="21" t="str">
        <x:f>IF(C375="","",IFERROR(IF(AND(AC375=D375,AC375&gt;0),MAX(0,G375+J375-K375),0),"Unavailable"))</x:f>
      </x:c>
      <x:c r="M375" s="23" t="str">
        <x:f>IF(C375="","",IFERROR(IF(AND(AC375&gt;=0,D375&gt;=AC375+INDEX('Facilities'!$AK$9:$AK$108,MATCH(C375,'Facilities'!$C$9:$C$108,0))),(H375+L375)*AM375,0),"Unavailable"))</x:f>
      </x:c>
      <x:c r="N375" s="23" t="str">
        <x:f>IF(C375="","",IFERROR(IF(AND(AC375&gt;=0,D375&gt;=AC375+INDEX('Facilities'!$AK$9:$AK$108,MATCH(C375,'Facilities'!$C$9:$C$108,0))),H375+L375-M375,0),"Unavailable"))</x:f>
      </x:c>
      <x:c r="O375" s="21" t="str">
        <x:f>IF(C375="","",IFERROR(MAX(0,G375+J375-K375-L375),"Unavailable"))</x:f>
      </x:c>
      <x:c r="P375" s="21" t="str">
        <x:f>IF(C375="","",IFERROR(MAX(0,H375+L375-M375-N375),"Unavailable"))</x:f>
      </x:c>
      <x:c r="Q375" s="23" t="str">
        <x:f>IF(C375="","",IFERROR(IF(OR(D375&gt;=INDEX('Facilities'!$J$9:$J$108,MATCH(C375,'Facilities'!$C$9:$C$108,0)),AND(AC375&gt;=0,AC375&lt;=D375)),0,MAX(0,I375-J375)),"Unavailable"))</x:f>
      </x:c>
      <x:c r="R375" s="30" t="str">
        <x:f>IF(C375="","",IFERROR(INDEX(Credit!$Q$309:$Q$408,MATCH(F375,Credit!$C$309:$C$408,0)),"Unavailable"))</x:f>
      </x:c>
      <x:c r="S375" s="30" t="str">
        <x:f>IF(C375="","",IFERROR(INDEX(Credit!$R$309:$R$408,MATCH(F375,Credit!$C$309:$C$408,0)),"Unavailable"))</x:f>
      </x:c>
      <x:c r="T375" s="23" t="str">
        <x:f>IF(C375="","",IFERROR(IF(P375&gt;0,3,IF(OR(INDEX('Facilities'!$AD$9:$AD$108,MATCH(C375,'Facilities'!$C$9:$C$108,0))=2,AND(R375&gt;=INDEX('Facilities'!$L$9:$L$108,MATCH(C375,'Facilities'!$C$9:$C$108,0))*Settings!$F$19,R375-INDEX('Facilities'!$L$9:$L$108,MATCH(C375,'Facilities'!$C$9:$C$108,0))&gt;=Settings!$F$20)),2,1)),"Unavailable"))</x:f>
      </x:c>
      <x:c r="U375" s="23" t="str">
        <x:f>IF(C375="","",IF(AQ375&lt;&gt;"Ready","Unavailable",IF(C375="","",O375*(1-(1-S375)/(1+INDEX('Facilities'!$K$9:$K$108,MATCH(C375,'Facilities'!$C$9:$C$108,0)))^INDEX('Facilities'!$AK$9:$AK$108,MATCH(C375,'Facilities'!$C$9:$C$108,0)))*R375/(1+INDEX('Facilities'!$K$9:$K$108,MATCH(C375,'Facilities'!$C$9:$C$108,0)))*IF(ABS(1-(1-R375)*(1-INDEX('Facilities'!$R$9:$R$108,MATCH(C375,'Facilities'!$C$9:$C$108,0)))/(1+INDEX('Facilities'!$K$9:$K$108,MATCH(C375,'Facilities'!$C$9:$C$108,0))))&lt;0.000000001,IF(T375=1,MIN(1,AJ375),AJ375),(1-((1-R375)*(1-INDEX('Facilities'!$R$9:$R$108,MATCH(C375,'Facilities'!$C$9:$C$108,0)))/(1+INDEX('Facilities'!$K$9:$K$108,MATCH(C375,'Facilities'!$C$9:$C$108,0))))^IF(T375=1,MIN(1,AJ375),AJ375))/(1-(1-R375)*(1-INDEX('Facilities'!$R$9:$R$108,MATCH(C375,'Facilities'!$C$9:$C$108,0)))/(1+INDEX('Facilities'!$K$9:$K$108,MATCH(C375,'Facilities'!$C$9:$C$108,0)))))+AL375)))</x:f>
      </x:c>
      <x:c r="V375" s="23" t="str">
        <x:f>IF(C375="","",IF(AQ375&lt;&gt;"Ready","Unavailable",IF(C375="","",Q375*INDEX('Facilities'!$I$9:$I$108,MATCH(C375,'Facilities'!$C$9:$C$108,0))*(1-(1-S375)/(1+INDEX('Facilities'!$K$9:$K$108,MATCH(C375,'Facilities'!$C$9:$C$108,0)))^INDEX('Facilities'!$AK$9:$AK$108,MATCH(C375,'Facilities'!$C$9:$C$108,0)))*R375/(1+INDEX('Facilities'!$K$9:$K$108,MATCH(C375,'Facilities'!$C$9:$C$108,0)))*IF(ABS(1-(1-R375)*(1-0)/(1+INDEX('Facilities'!$K$9:$K$108,MATCH(C375,'Facilities'!$C$9:$C$108,0))))&lt;0.000000001,IF(T375=1,MIN(1,AJ375),AJ375),(1-((1-R375)*(1-0)/(1+INDEX('Facilities'!$K$9:$K$108,MATCH(C375,'Facilities'!$C$9:$C$108,0))))^IF(T375=1,MIN(1,AJ375),AJ375))/(1-(1-R375)*(1-0)/(1+INDEX('Facilities'!$K$9:$K$108,MATCH(C375,'Facilities'!$C$9:$C$108,0))))))))</x:f>
      </x:c>
      <x:c r="W375" s="21" t="str">
        <x:f>IF(C375="","",IFERROR(U275,"Unavailable"))</x:f>
      </x:c>
      <x:c r="X375" s="21" t="str">
        <x:f>IF(C375="","",IFERROR(V275,"Unavailable"))</x:f>
      </x:c>
      <x:c r="Y375" s="21" t="str">
        <x:f>IF(C375="","",IF(AQ375&lt;&gt;"Ready","Unavailable",IF(C375="","",U375-W375+V375-X375+N375+AG375)))</x:f>
      </x:c>
      <x:c r="Z375" s="23" t="str">
        <x:f>IF(C375="","",IF(AQ375&lt;&gt;"Ready","Unavailable",IF(C375="","",(G375+O375+L375)/2*INDEX('Facilities'!$T$9:$T$108,MATCH(C375,'Facilities'!$C$9:$C$108,0))+AG375)))</x:f>
      </x:c>
      <x:c r="AA375" s="23" t="str">
        <x:f>IF(C375="","",IF(AQ375&lt;&gt;"Ready","Unavailable",IF(C375="","",O375*(1-IF(INDEX('Facilities'!$AA$9:$AA$108,MATCH(C375,'Facilities'!$C$9:$C$108,0))=0,0,MIN(1,INDEX('Facilities'!$X$9:$X$108,MATCH(C375,'Facilities'!$C$9:$C$108,0))/INDEX('Facilities'!$AA$9:$AA$108,MATCH(C375,'Facilities'!$C$9:$C$108,0)))))*AF375+P375*(1-IF(INDEX('Facilities'!$AA$9:$AA$108,MATCH(C375,'Facilities'!$C$9:$C$108,0))=0,0,MIN(1,INDEX('Facilities'!$X$9:$X$108,MATCH(C375,'Facilities'!$C$9:$C$108,0))/INDEX('Facilities'!$AA$9:$AA$108,MATCH(C375,'Facilities'!$C$9:$C$108,0)))))*INDEX('Facilities'!$AJ$9:$AJ$108,MATCH(C375,'Facilities'!$C$9:$C$108,0))+Q375*INDEX('Facilities'!$AI$9:$AI$108,MATCH(C375,'Facilities'!$C$9:$C$108,0))*AF375)))</x:f>
      </x:c>
      <x:c r="AB375" s="21" t="str">
        <x:f>IF(C375="","",O375+P375-AD375)</x:f>
      </x:c>
      <x:c r="AC375" s="23" t="str">
        <x:f>IF(C375="","",IFERROR(IF(INDEX('Facilities'!$AD$9:$AD$108,MATCH(C375,'Facilities'!$C$9:$C$108,0))=3,0,IF(INDEX('Facilities'!$AN$9:$AN$108,MATCH(C375,'Facilities'!$C$9:$C$108,0))=0,-1,INDEX('Facilities'!$AN$9:$AN$108,MATCH(C375,'Facilities'!$C$9:$C$108,0)))),"Unavailable"))</x:f>
      </x:c>
      <x:c r="AD375" s="21" t="str">
        <x:f>IF(C375="","",IFERROR(G375+H375,"Unavailable"))</x:f>
      </x:c>
      <x:c r="AE375" s="21" t="str">
        <x:f>IF(C375="","",IF(AQ375&lt;&gt;"Ready","Unavailable",IF(C375="","",O375+P375-AD375-J375+K375+M375+N375)))</x:f>
      </x:c>
      <x:c r="AF375" s="30" t="str">
        <x:f>IF(C375="","",IFERROR(INDEX('Facilities'!$S$9:$S$108,MATCH(C375,'Facilities'!$C$9:$C$108,0))*'Scenario Paths'!I75,"Unavailable"))</x:f>
      </x:c>
      <x:c r="AG375" s="23" t="str">
        <x:f>IF(C375="","",IF(AQ375&lt;&gt;"Ready","Unavailable",IF(C375="","",IF(H375&gt;0,MAX(0,H375-AK375)*((1+INDEX('Facilities'!$K$9:$K$108,MATCH(C375,'Facilities'!$C$9:$C$108,0)))^MIN(1,MAX(0,AC375+INDEX('Facilities'!$AK$9:$AK$108,MATCH(C375,'Facilities'!$C$9:$C$108,0))-D375+1))-1),0))))</x:f>
      </x:c>
      <x:c r="AH375" s="21" t="str">
        <x:f>IF(C375="","",IF(AQ375&lt;&gt;"Ready","Unavailable",IF(C375="","",O375+P375)))</x:f>
      </x:c>
      <x:c r="AI375" s="21" t="str">
        <x:f>IF(C375="","",IF(AQ375&lt;&gt;"Ready","Unavailable",IF(C375="","",Z375-Y375)))</x:f>
      </x:c>
      <x:c r="AJ375" s="23" t="str">
        <x:f>IF(C375="","",IFERROR(MAX(0,INDEX('Facilities'!$J$9:$J$108,MATCH(C375,'Facilities'!$C$9:$C$108,0))-D375),"Unavailable"))</x:f>
      </x:c>
      <x:c r="AK375" s="21" t="str">
        <x:f>IF(C375="","",IFERROR(AL275,"Unavailable"))</x:f>
      </x:c>
      <x:c r="AL375" s="23" t="str">
        <x:f>IF(C375="","",IFERROR(IF(P375&gt;0,P375*(1-AM375/(1+INDEX('Facilities'!$K$9:$K$108,MATCH(C375,'Facilities'!$C$9:$C$108,0)))^MAX(0,AC375+INDEX('Facilities'!$AK$9:$AK$108,MATCH(C375,'Facilities'!$C$9:$C$108,0))-D375)),0),"Unavailable"))</x:f>
      </x:c>
      <x:c r="AM375" s="30" t="str">
        <x:f>IF(C375="","",IFERROR(INDEX('Facilities'!$AL$9:$AL$108,MATCH(C375,'Facilities'!$C$9:$C$108,0)),"Unavailable"))</x:f>
      </x:c>
      <x:c r="AN375" s="30" t="str">
        <x:f>IF(C375="","",IFERROR(INDEX(Credit!$T$309:$T$408,MATCH(F375,Credit!$C$309:$C$408,0)),"Unavailable"))</x:f>
      </x:c>
      <x:c r="AO375" s="23" t="str">
        <x:f>IF(C375="","",IF(AQ375&lt;&gt;"Ready","Unavailable",IF(C375="","",O375+P375+Q375*INDEX('Facilities'!$I$9:$I$108,MATCH(C375,'Facilities'!$C$9:$C$108,0)))))</x:f>
      </x:c>
      <x:c r="AP375" s="21" t="str">
        <x:f>IF(C375="","",IF(AQ375&lt;&gt;"Ready","Unavailable",IF(C375="","",AH375-U375)))</x:f>
      </x:c>
      <x:c r="AQ375" s="23" t="str">
        <x:f>IFERROR(IF(C375="","",IF(AND(INDEX('Facilities'!$AF$9:$AF$108,MATCH(C375,'Facilities'!$C$9:$C$108,0))="Ready",INDEX(Credit!$U$309:$U$408,MATCH(F375,Credit!$C$309:$C$408,0))="Ready",ISNUMBER(W375)),"Ready","Review inputs")),"Review inputs")</x:f>
      </x:c>
      <x:c r="AR375" s="23" t="str">
        <x:f>IF(C375="","",IF(AQ375&lt;&gt;"Ready","Unavailable",IF(C375="","",IF(O375=0,0,(IF(AJ375&lt;=1,O375,O375*INDEX('Facilities'!$R$9:$R$108,MATCH(C375,'Facilities'!$C$9:$C$108,0)))+O375*INDEX('Facilities'!$T$9:$T$108,MATCH(C375,'Facilities'!$C$9:$C$108,0)))/12))))</x:f>
      </x:c>
    </x:row>
    <x:row r="376" ht="26" customHeight="1">
      <x:c r="A376" s="1"/>
      <x:c r="B376" s="1"/>
      <x:c r="C376" s="9" t="str">
        <x:f>IF(Facilities!C76="","",Facilities!C76)</x:f>
      </x:c>
      <x:c r="D376" s="3" t="n">
        <x:v>4</x:v>
      </x:c>
      <x:c r="E376" s="9" t="n">
        <x:f>Settings!$F$18+3</x:f>
        <x:v>2030</x:v>
      </x:c>
      <x:c r="F376" s="9" t="str">
        <x:f>IF(C376="","",IFERROR(INDEX('Facilities'!$D$9:$D$108,MATCH(C376,'Facilities'!$C$9:$C$108,0)),"Unavailable"))</x:f>
      </x:c>
      <x:c r="G376" s="21" t="str">
        <x:f>IF(C376="","",IFERROR(O276,"Unavailable"))</x:f>
      </x:c>
      <x:c r="H376" s="21" t="str">
        <x:f>IF(C376="","",IFERROR(P276,"Unavailable"))</x:f>
      </x:c>
      <x:c r="I376" s="21" t="str">
        <x:f>IF(C376="","",IFERROR(Q276,"Unavailable"))</x:f>
      </x:c>
      <x:c r="J376" s="23" t="str">
        <x:f>IF(C376="","",IFERROR(IF(OR(H376&gt;0,AND(AC376&gt;=0,AC376&lt;D376),D376&gt;INDEX('Facilities'!$J$9:$J$108,MATCH(C376,'Facilities'!$C$9:$C$108,0))),0,I376*'Scenario Paths'!I81),"Unavailable"))</x:f>
      </x:c>
      <x:c r="K376" s="23" t="str">
        <x:f>IF(C376="","",IFERROR(IF(OR(H376&gt;0,AND(AC376&gt;=0,AC376=D376)),0,IF(D376&gt;=INDEX('Facilities'!$J$9:$J$108,MATCH(C376,'Facilities'!$C$9:$C$108,0)),G376+J376,MIN(G376+J376,G376*INDEX('Facilities'!$R$9:$R$108,MATCH(C376,'Facilities'!$C$9:$C$108,0))))),"Unavailable"))</x:f>
      </x:c>
      <x:c r="L376" s="21" t="str">
        <x:f>IF(C376="","",IFERROR(IF(AND(AC376=D376,AC376&gt;0),MAX(0,G376+J376-K376),0),"Unavailable"))</x:f>
      </x:c>
      <x:c r="M376" s="23" t="str">
        <x:f>IF(C376="","",IFERROR(IF(AND(AC376&gt;=0,D376&gt;=AC376+INDEX('Facilities'!$AK$9:$AK$108,MATCH(C376,'Facilities'!$C$9:$C$108,0))),(H376+L376)*AM376,0),"Unavailable"))</x:f>
      </x:c>
      <x:c r="N376" s="23" t="str">
        <x:f>IF(C376="","",IFERROR(IF(AND(AC376&gt;=0,D376&gt;=AC376+INDEX('Facilities'!$AK$9:$AK$108,MATCH(C376,'Facilities'!$C$9:$C$108,0))),H376+L376-M376,0),"Unavailable"))</x:f>
      </x:c>
      <x:c r="O376" s="21" t="str">
        <x:f>IF(C376="","",IFERROR(MAX(0,G376+J376-K376-L376),"Unavailable"))</x:f>
      </x:c>
      <x:c r="P376" s="21" t="str">
        <x:f>IF(C376="","",IFERROR(MAX(0,H376+L376-M376-N376),"Unavailable"))</x:f>
      </x:c>
      <x:c r="Q376" s="23" t="str">
        <x:f>IF(C376="","",IFERROR(IF(OR(D376&gt;=INDEX('Facilities'!$J$9:$J$108,MATCH(C376,'Facilities'!$C$9:$C$108,0)),AND(AC376&gt;=0,AC376&lt;=D376)),0,MAX(0,I376-J376)),"Unavailable"))</x:f>
      </x:c>
      <x:c r="R376" s="30" t="str">
        <x:f>IF(C376="","",IFERROR(INDEX(Credit!$Q$309:$Q$408,MATCH(F376,Credit!$C$309:$C$408,0)),"Unavailable"))</x:f>
      </x:c>
      <x:c r="S376" s="30" t="str">
        <x:f>IF(C376="","",IFERROR(INDEX(Credit!$R$309:$R$408,MATCH(F376,Credit!$C$309:$C$408,0)),"Unavailable"))</x:f>
      </x:c>
      <x:c r="T376" s="23" t="str">
        <x:f>IF(C376="","",IFERROR(IF(P376&gt;0,3,IF(OR(INDEX('Facilities'!$AD$9:$AD$108,MATCH(C376,'Facilities'!$C$9:$C$108,0))=2,AND(R376&gt;=INDEX('Facilities'!$L$9:$L$108,MATCH(C376,'Facilities'!$C$9:$C$108,0))*Settings!$F$19,R376-INDEX('Facilities'!$L$9:$L$108,MATCH(C376,'Facilities'!$C$9:$C$108,0))&gt;=Settings!$F$20)),2,1)),"Unavailable"))</x:f>
      </x:c>
      <x:c r="U376" s="23" t="str">
        <x:f>IF(C376="","",IF(AQ376&lt;&gt;"Ready","Unavailable",IF(C376="","",O376*(1-(1-S376)/(1+INDEX('Facilities'!$K$9:$K$108,MATCH(C376,'Facilities'!$C$9:$C$108,0)))^INDEX('Facilities'!$AK$9:$AK$108,MATCH(C376,'Facilities'!$C$9:$C$108,0)))*R376/(1+INDEX('Facilities'!$K$9:$K$108,MATCH(C376,'Facilities'!$C$9:$C$108,0)))*IF(ABS(1-(1-R376)*(1-INDEX('Facilities'!$R$9:$R$108,MATCH(C376,'Facilities'!$C$9:$C$108,0)))/(1+INDEX('Facilities'!$K$9:$K$108,MATCH(C376,'Facilities'!$C$9:$C$108,0))))&lt;0.000000001,IF(T376=1,MIN(1,AJ376),AJ376),(1-((1-R376)*(1-INDEX('Facilities'!$R$9:$R$108,MATCH(C376,'Facilities'!$C$9:$C$108,0)))/(1+INDEX('Facilities'!$K$9:$K$108,MATCH(C376,'Facilities'!$C$9:$C$108,0))))^IF(T376=1,MIN(1,AJ376),AJ376))/(1-(1-R376)*(1-INDEX('Facilities'!$R$9:$R$108,MATCH(C376,'Facilities'!$C$9:$C$108,0)))/(1+INDEX('Facilities'!$K$9:$K$108,MATCH(C376,'Facilities'!$C$9:$C$108,0)))))+AL376)))</x:f>
      </x:c>
      <x:c r="V376" s="23" t="str">
        <x:f>IF(C376="","",IF(AQ376&lt;&gt;"Ready","Unavailable",IF(C376="","",Q376*INDEX('Facilities'!$I$9:$I$108,MATCH(C376,'Facilities'!$C$9:$C$108,0))*(1-(1-S376)/(1+INDEX('Facilities'!$K$9:$K$108,MATCH(C376,'Facilities'!$C$9:$C$108,0)))^INDEX('Facilities'!$AK$9:$AK$108,MATCH(C376,'Facilities'!$C$9:$C$108,0)))*R376/(1+INDEX('Facilities'!$K$9:$K$108,MATCH(C376,'Facilities'!$C$9:$C$108,0)))*IF(ABS(1-(1-R376)*(1-0)/(1+INDEX('Facilities'!$K$9:$K$108,MATCH(C376,'Facilities'!$C$9:$C$108,0))))&lt;0.000000001,IF(T376=1,MIN(1,AJ376),AJ376),(1-((1-R376)*(1-0)/(1+INDEX('Facilities'!$K$9:$K$108,MATCH(C376,'Facilities'!$C$9:$C$108,0))))^IF(T376=1,MIN(1,AJ376),AJ376))/(1-(1-R376)*(1-0)/(1+INDEX('Facilities'!$K$9:$K$108,MATCH(C376,'Facilities'!$C$9:$C$108,0))))))))</x:f>
      </x:c>
      <x:c r="W376" s="21" t="str">
        <x:f>IF(C376="","",IFERROR(U276,"Unavailable"))</x:f>
      </x:c>
      <x:c r="X376" s="21" t="str">
        <x:f>IF(C376="","",IFERROR(V276,"Unavailable"))</x:f>
      </x:c>
      <x:c r="Y376" s="21" t="str">
        <x:f>IF(C376="","",IF(AQ376&lt;&gt;"Ready","Unavailable",IF(C376="","",U376-W376+V376-X376+N376+AG376)))</x:f>
      </x:c>
      <x:c r="Z376" s="23" t="str">
        <x:f>IF(C376="","",IF(AQ376&lt;&gt;"Ready","Unavailable",IF(C376="","",(G376+O376+L376)/2*INDEX('Facilities'!$T$9:$T$108,MATCH(C376,'Facilities'!$C$9:$C$108,0))+AG376)))</x:f>
      </x:c>
      <x:c r="AA376" s="23" t="str">
        <x:f>IF(C376="","",IF(AQ376&lt;&gt;"Ready","Unavailable",IF(C376="","",O376*(1-IF(INDEX('Facilities'!$AA$9:$AA$108,MATCH(C376,'Facilities'!$C$9:$C$108,0))=0,0,MIN(1,INDEX('Facilities'!$X$9:$X$108,MATCH(C376,'Facilities'!$C$9:$C$108,0))/INDEX('Facilities'!$AA$9:$AA$108,MATCH(C376,'Facilities'!$C$9:$C$108,0)))))*AF376+P376*(1-IF(INDEX('Facilities'!$AA$9:$AA$108,MATCH(C376,'Facilities'!$C$9:$C$108,0))=0,0,MIN(1,INDEX('Facilities'!$X$9:$X$108,MATCH(C376,'Facilities'!$C$9:$C$108,0))/INDEX('Facilities'!$AA$9:$AA$108,MATCH(C376,'Facilities'!$C$9:$C$108,0)))))*INDEX('Facilities'!$AJ$9:$AJ$108,MATCH(C376,'Facilities'!$C$9:$C$108,0))+Q376*INDEX('Facilities'!$AI$9:$AI$108,MATCH(C376,'Facilities'!$C$9:$C$108,0))*AF376)))</x:f>
      </x:c>
      <x:c r="AB376" s="21" t="str">
        <x:f>IF(C376="","",O376+P376-AD376)</x:f>
      </x:c>
      <x:c r="AC376" s="23" t="str">
        <x:f>IF(C376="","",IFERROR(IF(INDEX('Facilities'!$AD$9:$AD$108,MATCH(C376,'Facilities'!$C$9:$C$108,0))=3,0,IF(INDEX('Facilities'!$AN$9:$AN$108,MATCH(C376,'Facilities'!$C$9:$C$108,0))=0,-1,INDEX('Facilities'!$AN$9:$AN$108,MATCH(C376,'Facilities'!$C$9:$C$108,0)))),"Unavailable"))</x:f>
      </x:c>
      <x:c r="AD376" s="21" t="str">
        <x:f>IF(C376="","",IFERROR(G376+H376,"Unavailable"))</x:f>
      </x:c>
      <x:c r="AE376" s="21" t="str">
        <x:f>IF(C376="","",IF(AQ376&lt;&gt;"Ready","Unavailable",IF(C376="","",O376+P376-AD376-J376+K376+M376+N376)))</x:f>
      </x:c>
      <x:c r="AF376" s="30" t="str">
        <x:f>IF(C376="","",IFERROR(INDEX('Facilities'!$S$9:$S$108,MATCH(C376,'Facilities'!$C$9:$C$108,0))*'Scenario Paths'!I75,"Unavailable"))</x:f>
      </x:c>
      <x:c r="AG376" s="23" t="str">
        <x:f>IF(C376="","",IF(AQ376&lt;&gt;"Ready","Unavailable",IF(C376="","",IF(H376&gt;0,MAX(0,H376-AK376)*((1+INDEX('Facilities'!$K$9:$K$108,MATCH(C376,'Facilities'!$C$9:$C$108,0)))^MIN(1,MAX(0,AC376+INDEX('Facilities'!$AK$9:$AK$108,MATCH(C376,'Facilities'!$C$9:$C$108,0))-D376+1))-1),0))))</x:f>
      </x:c>
      <x:c r="AH376" s="21" t="str">
        <x:f>IF(C376="","",IF(AQ376&lt;&gt;"Ready","Unavailable",IF(C376="","",O376+P376)))</x:f>
      </x:c>
      <x:c r="AI376" s="21" t="str">
        <x:f>IF(C376="","",IF(AQ376&lt;&gt;"Ready","Unavailable",IF(C376="","",Z376-Y376)))</x:f>
      </x:c>
      <x:c r="AJ376" s="23" t="str">
        <x:f>IF(C376="","",IFERROR(MAX(0,INDEX('Facilities'!$J$9:$J$108,MATCH(C376,'Facilities'!$C$9:$C$108,0))-D376),"Unavailable"))</x:f>
      </x:c>
      <x:c r="AK376" s="21" t="str">
        <x:f>IF(C376="","",IFERROR(AL276,"Unavailable"))</x:f>
      </x:c>
      <x:c r="AL376" s="23" t="str">
        <x:f>IF(C376="","",IFERROR(IF(P376&gt;0,P376*(1-AM376/(1+INDEX('Facilities'!$K$9:$K$108,MATCH(C376,'Facilities'!$C$9:$C$108,0)))^MAX(0,AC376+INDEX('Facilities'!$AK$9:$AK$108,MATCH(C376,'Facilities'!$C$9:$C$108,0))-D376)),0),"Unavailable"))</x:f>
      </x:c>
      <x:c r="AM376" s="30" t="str">
        <x:f>IF(C376="","",IFERROR(INDEX('Facilities'!$AL$9:$AL$108,MATCH(C376,'Facilities'!$C$9:$C$108,0)),"Unavailable"))</x:f>
      </x:c>
      <x:c r="AN376" s="30" t="str">
        <x:f>IF(C376="","",IFERROR(INDEX(Credit!$T$309:$T$408,MATCH(F376,Credit!$C$309:$C$408,0)),"Unavailable"))</x:f>
      </x:c>
      <x:c r="AO376" s="23" t="str">
        <x:f>IF(C376="","",IF(AQ376&lt;&gt;"Ready","Unavailable",IF(C376="","",O376+P376+Q376*INDEX('Facilities'!$I$9:$I$108,MATCH(C376,'Facilities'!$C$9:$C$108,0)))))</x:f>
      </x:c>
      <x:c r="AP376" s="21" t="str">
        <x:f>IF(C376="","",IF(AQ376&lt;&gt;"Ready","Unavailable",IF(C376="","",AH376-U376)))</x:f>
      </x:c>
      <x:c r="AQ376" s="23" t="str">
        <x:f>IFERROR(IF(C376="","",IF(AND(INDEX('Facilities'!$AF$9:$AF$108,MATCH(C376,'Facilities'!$C$9:$C$108,0))="Ready",INDEX(Credit!$U$309:$U$408,MATCH(F376,Credit!$C$309:$C$408,0))="Ready",ISNUMBER(W376)),"Ready","Review inputs")),"Review inputs")</x:f>
      </x:c>
      <x:c r="AR376" s="23" t="str">
        <x:f>IF(C376="","",IF(AQ376&lt;&gt;"Ready","Unavailable",IF(C376="","",IF(O376=0,0,(IF(AJ376&lt;=1,O376,O376*INDEX('Facilities'!$R$9:$R$108,MATCH(C376,'Facilities'!$C$9:$C$108,0)))+O376*INDEX('Facilities'!$T$9:$T$108,MATCH(C376,'Facilities'!$C$9:$C$108,0)))/12))))</x:f>
      </x:c>
    </x:row>
    <x:row r="377" ht="26" customHeight="1">
      <x:c r="A377" s="1"/>
      <x:c r="B377" s="1"/>
      <x:c r="C377" s="9" t="str">
        <x:f>IF(Facilities!C77="","",Facilities!C77)</x:f>
      </x:c>
      <x:c r="D377" s="3" t="n">
        <x:v>4</x:v>
      </x:c>
      <x:c r="E377" s="9" t="n">
        <x:f>Settings!$F$18+3</x:f>
        <x:v>2030</x:v>
      </x:c>
      <x:c r="F377" s="9" t="str">
        <x:f>IF(C377="","",IFERROR(INDEX('Facilities'!$D$9:$D$108,MATCH(C377,'Facilities'!$C$9:$C$108,0)),"Unavailable"))</x:f>
      </x:c>
      <x:c r="G377" s="21" t="str">
        <x:f>IF(C377="","",IFERROR(O277,"Unavailable"))</x:f>
      </x:c>
      <x:c r="H377" s="21" t="str">
        <x:f>IF(C377="","",IFERROR(P277,"Unavailable"))</x:f>
      </x:c>
      <x:c r="I377" s="21" t="str">
        <x:f>IF(C377="","",IFERROR(Q277,"Unavailable"))</x:f>
      </x:c>
      <x:c r="J377" s="23" t="str">
        <x:f>IF(C377="","",IFERROR(IF(OR(H377&gt;0,AND(AC377&gt;=0,AC377&lt;D377),D377&gt;INDEX('Facilities'!$J$9:$J$108,MATCH(C377,'Facilities'!$C$9:$C$108,0))),0,I377*'Scenario Paths'!I81),"Unavailable"))</x:f>
      </x:c>
      <x:c r="K377" s="23" t="str">
        <x:f>IF(C377="","",IFERROR(IF(OR(H377&gt;0,AND(AC377&gt;=0,AC377=D377)),0,IF(D377&gt;=INDEX('Facilities'!$J$9:$J$108,MATCH(C377,'Facilities'!$C$9:$C$108,0)),G377+J377,MIN(G377+J377,G377*INDEX('Facilities'!$R$9:$R$108,MATCH(C377,'Facilities'!$C$9:$C$108,0))))),"Unavailable"))</x:f>
      </x:c>
      <x:c r="L377" s="21" t="str">
        <x:f>IF(C377="","",IFERROR(IF(AND(AC377=D377,AC377&gt;0),MAX(0,G377+J377-K377),0),"Unavailable"))</x:f>
      </x:c>
      <x:c r="M377" s="23" t="str">
        <x:f>IF(C377="","",IFERROR(IF(AND(AC377&gt;=0,D377&gt;=AC377+INDEX('Facilities'!$AK$9:$AK$108,MATCH(C377,'Facilities'!$C$9:$C$108,0))),(H377+L377)*AM377,0),"Unavailable"))</x:f>
      </x:c>
      <x:c r="N377" s="23" t="str">
        <x:f>IF(C377="","",IFERROR(IF(AND(AC377&gt;=0,D377&gt;=AC377+INDEX('Facilities'!$AK$9:$AK$108,MATCH(C377,'Facilities'!$C$9:$C$108,0))),H377+L377-M377,0),"Unavailable"))</x:f>
      </x:c>
      <x:c r="O377" s="21" t="str">
        <x:f>IF(C377="","",IFERROR(MAX(0,G377+J377-K377-L377),"Unavailable"))</x:f>
      </x:c>
      <x:c r="P377" s="21" t="str">
        <x:f>IF(C377="","",IFERROR(MAX(0,H377+L377-M377-N377),"Unavailable"))</x:f>
      </x:c>
      <x:c r="Q377" s="23" t="str">
        <x:f>IF(C377="","",IFERROR(IF(OR(D377&gt;=INDEX('Facilities'!$J$9:$J$108,MATCH(C377,'Facilities'!$C$9:$C$108,0)),AND(AC377&gt;=0,AC377&lt;=D377)),0,MAX(0,I377-J377)),"Unavailable"))</x:f>
      </x:c>
      <x:c r="R377" s="30" t="str">
        <x:f>IF(C377="","",IFERROR(INDEX(Credit!$Q$309:$Q$408,MATCH(F377,Credit!$C$309:$C$408,0)),"Unavailable"))</x:f>
      </x:c>
      <x:c r="S377" s="30" t="str">
        <x:f>IF(C377="","",IFERROR(INDEX(Credit!$R$309:$R$408,MATCH(F377,Credit!$C$309:$C$408,0)),"Unavailable"))</x:f>
      </x:c>
      <x:c r="T377" s="23" t="str">
        <x:f>IF(C377="","",IFERROR(IF(P377&gt;0,3,IF(OR(INDEX('Facilities'!$AD$9:$AD$108,MATCH(C377,'Facilities'!$C$9:$C$108,0))=2,AND(R377&gt;=INDEX('Facilities'!$L$9:$L$108,MATCH(C377,'Facilities'!$C$9:$C$108,0))*Settings!$F$19,R377-INDEX('Facilities'!$L$9:$L$108,MATCH(C377,'Facilities'!$C$9:$C$108,0))&gt;=Settings!$F$20)),2,1)),"Unavailable"))</x:f>
      </x:c>
      <x:c r="U377" s="23" t="str">
        <x:f>IF(C377="","",IF(AQ377&lt;&gt;"Ready","Unavailable",IF(C377="","",O377*(1-(1-S377)/(1+INDEX('Facilities'!$K$9:$K$108,MATCH(C377,'Facilities'!$C$9:$C$108,0)))^INDEX('Facilities'!$AK$9:$AK$108,MATCH(C377,'Facilities'!$C$9:$C$108,0)))*R377/(1+INDEX('Facilities'!$K$9:$K$108,MATCH(C377,'Facilities'!$C$9:$C$108,0)))*IF(ABS(1-(1-R377)*(1-INDEX('Facilities'!$R$9:$R$108,MATCH(C377,'Facilities'!$C$9:$C$108,0)))/(1+INDEX('Facilities'!$K$9:$K$108,MATCH(C377,'Facilities'!$C$9:$C$108,0))))&lt;0.000000001,IF(T377=1,MIN(1,AJ377),AJ377),(1-((1-R377)*(1-INDEX('Facilities'!$R$9:$R$108,MATCH(C377,'Facilities'!$C$9:$C$108,0)))/(1+INDEX('Facilities'!$K$9:$K$108,MATCH(C377,'Facilities'!$C$9:$C$108,0))))^IF(T377=1,MIN(1,AJ377),AJ377))/(1-(1-R377)*(1-INDEX('Facilities'!$R$9:$R$108,MATCH(C377,'Facilities'!$C$9:$C$108,0)))/(1+INDEX('Facilities'!$K$9:$K$108,MATCH(C377,'Facilities'!$C$9:$C$108,0)))))+AL377)))</x:f>
      </x:c>
      <x:c r="V377" s="23" t="str">
        <x:f>IF(C377="","",IF(AQ377&lt;&gt;"Ready","Unavailable",IF(C377="","",Q377*INDEX('Facilities'!$I$9:$I$108,MATCH(C377,'Facilities'!$C$9:$C$108,0))*(1-(1-S377)/(1+INDEX('Facilities'!$K$9:$K$108,MATCH(C377,'Facilities'!$C$9:$C$108,0)))^INDEX('Facilities'!$AK$9:$AK$108,MATCH(C377,'Facilities'!$C$9:$C$108,0)))*R377/(1+INDEX('Facilities'!$K$9:$K$108,MATCH(C377,'Facilities'!$C$9:$C$108,0)))*IF(ABS(1-(1-R377)*(1-0)/(1+INDEX('Facilities'!$K$9:$K$108,MATCH(C377,'Facilities'!$C$9:$C$108,0))))&lt;0.000000001,IF(T377=1,MIN(1,AJ377),AJ377),(1-((1-R377)*(1-0)/(1+INDEX('Facilities'!$K$9:$K$108,MATCH(C377,'Facilities'!$C$9:$C$108,0))))^IF(T377=1,MIN(1,AJ377),AJ377))/(1-(1-R377)*(1-0)/(1+INDEX('Facilities'!$K$9:$K$108,MATCH(C377,'Facilities'!$C$9:$C$108,0))))))))</x:f>
      </x:c>
      <x:c r="W377" s="21" t="str">
        <x:f>IF(C377="","",IFERROR(U277,"Unavailable"))</x:f>
      </x:c>
      <x:c r="X377" s="21" t="str">
        <x:f>IF(C377="","",IFERROR(V277,"Unavailable"))</x:f>
      </x:c>
      <x:c r="Y377" s="21" t="str">
        <x:f>IF(C377="","",IF(AQ377&lt;&gt;"Ready","Unavailable",IF(C377="","",U377-W377+V377-X377+N377+AG377)))</x:f>
      </x:c>
      <x:c r="Z377" s="23" t="str">
        <x:f>IF(C377="","",IF(AQ377&lt;&gt;"Ready","Unavailable",IF(C377="","",(G377+O377+L377)/2*INDEX('Facilities'!$T$9:$T$108,MATCH(C377,'Facilities'!$C$9:$C$108,0))+AG377)))</x:f>
      </x:c>
      <x:c r="AA377" s="23" t="str">
        <x:f>IF(C377="","",IF(AQ377&lt;&gt;"Ready","Unavailable",IF(C377="","",O377*(1-IF(INDEX('Facilities'!$AA$9:$AA$108,MATCH(C377,'Facilities'!$C$9:$C$108,0))=0,0,MIN(1,INDEX('Facilities'!$X$9:$X$108,MATCH(C377,'Facilities'!$C$9:$C$108,0))/INDEX('Facilities'!$AA$9:$AA$108,MATCH(C377,'Facilities'!$C$9:$C$108,0)))))*AF377+P377*(1-IF(INDEX('Facilities'!$AA$9:$AA$108,MATCH(C377,'Facilities'!$C$9:$C$108,0))=0,0,MIN(1,INDEX('Facilities'!$X$9:$X$108,MATCH(C377,'Facilities'!$C$9:$C$108,0))/INDEX('Facilities'!$AA$9:$AA$108,MATCH(C377,'Facilities'!$C$9:$C$108,0)))))*INDEX('Facilities'!$AJ$9:$AJ$108,MATCH(C377,'Facilities'!$C$9:$C$108,0))+Q377*INDEX('Facilities'!$AI$9:$AI$108,MATCH(C377,'Facilities'!$C$9:$C$108,0))*AF377)))</x:f>
      </x:c>
      <x:c r="AB377" s="21" t="str">
        <x:f>IF(C377="","",O377+P377-AD377)</x:f>
      </x:c>
      <x:c r="AC377" s="23" t="str">
        <x:f>IF(C377="","",IFERROR(IF(INDEX('Facilities'!$AD$9:$AD$108,MATCH(C377,'Facilities'!$C$9:$C$108,0))=3,0,IF(INDEX('Facilities'!$AN$9:$AN$108,MATCH(C377,'Facilities'!$C$9:$C$108,0))=0,-1,INDEX('Facilities'!$AN$9:$AN$108,MATCH(C377,'Facilities'!$C$9:$C$108,0)))),"Unavailable"))</x:f>
      </x:c>
      <x:c r="AD377" s="21" t="str">
        <x:f>IF(C377="","",IFERROR(G377+H377,"Unavailable"))</x:f>
      </x:c>
      <x:c r="AE377" s="21" t="str">
        <x:f>IF(C377="","",IF(AQ377&lt;&gt;"Ready","Unavailable",IF(C377="","",O377+P377-AD377-J377+K377+M377+N377)))</x:f>
      </x:c>
      <x:c r="AF377" s="30" t="str">
        <x:f>IF(C377="","",IFERROR(INDEX('Facilities'!$S$9:$S$108,MATCH(C377,'Facilities'!$C$9:$C$108,0))*'Scenario Paths'!I75,"Unavailable"))</x:f>
      </x:c>
      <x:c r="AG377" s="23" t="str">
        <x:f>IF(C377="","",IF(AQ377&lt;&gt;"Ready","Unavailable",IF(C377="","",IF(H377&gt;0,MAX(0,H377-AK377)*((1+INDEX('Facilities'!$K$9:$K$108,MATCH(C377,'Facilities'!$C$9:$C$108,0)))^MIN(1,MAX(0,AC377+INDEX('Facilities'!$AK$9:$AK$108,MATCH(C377,'Facilities'!$C$9:$C$108,0))-D377+1))-1),0))))</x:f>
      </x:c>
      <x:c r="AH377" s="21" t="str">
        <x:f>IF(C377="","",IF(AQ377&lt;&gt;"Ready","Unavailable",IF(C377="","",O377+P377)))</x:f>
      </x:c>
      <x:c r="AI377" s="21" t="str">
        <x:f>IF(C377="","",IF(AQ377&lt;&gt;"Ready","Unavailable",IF(C377="","",Z377-Y377)))</x:f>
      </x:c>
      <x:c r="AJ377" s="23" t="str">
        <x:f>IF(C377="","",IFERROR(MAX(0,INDEX('Facilities'!$J$9:$J$108,MATCH(C377,'Facilities'!$C$9:$C$108,0))-D377),"Unavailable"))</x:f>
      </x:c>
      <x:c r="AK377" s="21" t="str">
        <x:f>IF(C377="","",IFERROR(AL277,"Unavailable"))</x:f>
      </x:c>
      <x:c r="AL377" s="23" t="str">
        <x:f>IF(C377="","",IFERROR(IF(P377&gt;0,P377*(1-AM377/(1+INDEX('Facilities'!$K$9:$K$108,MATCH(C377,'Facilities'!$C$9:$C$108,0)))^MAX(0,AC377+INDEX('Facilities'!$AK$9:$AK$108,MATCH(C377,'Facilities'!$C$9:$C$108,0))-D377)),0),"Unavailable"))</x:f>
      </x:c>
      <x:c r="AM377" s="30" t="str">
        <x:f>IF(C377="","",IFERROR(INDEX('Facilities'!$AL$9:$AL$108,MATCH(C377,'Facilities'!$C$9:$C$108,0)),"Unavailable"))</x:f>
      </x:c>
      <x:c r="AN377" s="30" t="str">
        <x:f>IF(C377="","",IFERROR(INDEX(Credit!$T$309:$T$408,MATCH(F377,Credit!$C$309:$C$408,0)),"Unavailable"))</x:f>
      </x:c>
      <x:c r="AO377" s="23" t="str">
        <x:f>IF(C377="","",IF(AQ377&lt;&gt;"Ready","Unavailable",IF(C377="","",O377+P377+Q377*INDEX('Facilities'!$I$9:$I$108,MATCH(C377,'Facilities'!$C$9:$C$108,0)))))</x:f>
      </x:c>
      <x:c r="AP377" s="21" t="str">
        <x:f>IF(C377="","",IF(AQ377&lt;&gt;"Ready","Unavailable",IF(C377="","",AH377-U377)))</x:f>
      </x:c>
      <x:c r="AQ377" s="23" t="str">
        <x:f>IFERROR(IF(C377="","",IF(AND(INDEX('Facilities'!$AF$9:$AF$108,MATCH(C377,'Facilities'!$C$9:$C$108,0))="Ready",INDEX(Credit!$U$309:$U$408,MATCH(F377,Credit!$C$309:$C$408,0))="Ready",ISNUMBER(W377)),"Ready","Review inputs")),"Review inputs")</x:f>
      </x:c>
      <x:c r="AR377" s="23" t="str">
        <x:f>IF(C377="","",IF(AQ377&lt;&gt;"Ready","Unavailable",IF(C377="","",IF(O377=0,0,(IF(AJ377&lt;=1,O377,O377*INDEX('Facilities'!$R$9:$R$108,MATCH(C377,'Facilities'!$C$9:$C$108,0)))+O377*INDEX('Facilities'!$T$9:$T$108,MATCH(C377,'Facilities'!$C$9:$C$108,0)))/12))))</x:f>
      </x:c>
    </x:row>
    <x:row r="378" ht="26" customHeight="1">
      <x:c r="A378" s="1"/>
      <x:c r="B378" s="1"/>
      <x:c r="C378" s="9" t="str">
        <x:f>IF(Facilities!C78="","",Facilities!C78)</x:f>
      </x:c>
      <x:c r="D378" s="3" t="n">
        <x:v>4</x:v>
      </x:c>
      <x:c r="E378" s="9" t="n">
        <x:f>Settings!$F$18+3</x:f>
        <x:v>2030</x:v>
      </x:c>
      <x:c r="F378" s="9" t="str">
        <x:f>IF(C378="","",IFERROR(INDEX('Facilities'!$D$9:$D$108,MATCH(C378,'Facilities'!$C$9:$C$108,0)),"Unavailable"))</x:f>
      </x:c>
      <x:c r="G378" s="21" t="str">
        <x:f>IF(C378="","",IFERROR(O278,"Unavailable"))</x:f>
      </x:c>
      <x:c r="H378" s="21" t="str">
        <x:f>IF(C378="","",IFERROR(P278,"Unavailable"))</x:f>
      </x:c>
      <x:c r="I378" s="21" t="str">
        <x:f>IF(C378="","",IFERROR(Q278,"Unavailable"))</x:f>
      </x:c>
      <x:c r="J378" s="23" t="str">
        <x:f>IF(C378="","",IFERROR(IF(OR(H378&gt;0,AND(AC378&gt;=0,AC378&lt;D378),D378&gt;INDEX('Facilities'!$J$9:$J$108,MATCH(C378,'Facilities'!$C$9:$C$108,0))),0,I378*'Scenario Paths'!I81),"Unavailable"))</x:f>
      </x:c>
      <x:c r="K378" s="23" t="str">
        <x:f>IF(C378="","",IFERROR(IF(OR(H378&gt;0,AND(AC378&gt;=0,AC378=D378)),0,IF(D378&gt;=INDEX('Facilities'!$J$9:$J$108,MATCH(C378,'Facilities'!$C$9:$C$108,0)),G378+J378,MIN(G378+J378,G378*INDEX('Facilities'!$R$9:$R$108,MATCH(C378,'Facilities'!$C$9:$C$108,0))))),"Unavailable"))</x:f>
      </x:c>
      <x:c r="L378" s="21" t="str">
        <x:f>IF(C378="","",IFERROR(IF(AND(AC378=D378,AC378&gt;0),MAX(0,G378+J378-K378),0),"Unavailable"))</x:f>
      </x:c>
      <x:c r="M378" s="23" t="str">
        <x:f>IF(C378="","",IFERROR(IF(AND(AC378&gt;=0,D378&gt;=AC378+INDEX('Facilities'!$AK$9:$AK$108,MATCH(C378,'Facilities'!$C$9:$C$108,0))),(H378+L378)*AM378,0),"Unavailable"))</x:f>
      </x:c>
      <x:c r="N378" s="23" t="str">
        <x:f>IF(C378="","",IFERROR(IF(AND(AC378&gt;=0,D378&gt;=AC378+INDEX('Facilities'!$AK$9:$AK$108,MATCH(C378,'Facilities'!$C$9:$C$108,0))),H378+L378-M378,0),"Unavailable"))</x:f>
      </x:c>
      <x:c r="O378" s="21" t="str">
        <x:f>IF(C378="","",IFERROR(MAX(0,G378+J378-K378-L378),"Unavailable"))</x:f>
      </x:c>
      <x:c r="P378" s="21" t="str">
        <x:f>IF(C378="","",IFERROR(MAX(0,H378+L378-M378-N378),"Unavailable"))</x:f>
      </x:c>
      <x:c r="Q378" s="23" t="str">
        <x:f>IF(C378="","",IFERROR(IF(OR(D378&gt;=INDEX('Facilities'!$J$9:$J$108,MATCH(C378,'Facilities'!$C$9:$C$108,0)),AND(AC378&gt;=0,AC378&lt;=D378)),0,MAX(0,I378-J378)),"Unavailable"))</x:f>
      </x:c>
      <x:c r="R378" s="30" t="str">
        <x:f>IF(C378="","",IFERROR(INDEX(Credit!$Q$309:$Q$408,MATCH(F378,Credit!$C$309:$C$408,0)),"Unavailable"))</x:f>
      </x:c>
      <x:c r="S378" s="30" t="str">
        <x:f>IF(C378="","",IFERROR(INDEX(Credit!$R$309:$R$408,MATCH(F378,Credit!$C$309:$C$408,0)),"Unavailable"))</x:f>
      </x:c>
      <x:c r="T378" s="23" t="str">
        <x:f>IF(C378="","",IFERROR(IF(P378&gt;0,3,IF(OR(INDEX('Facilities'!$AD$9:$AD$108,MATCH(C378,'Facilities'!$C$9:$C$108,0))=2,AND(R378&gt;=INDEX('Facilities'!$L$9:$L$108,MATCH(C378,'Facilities'!$C$9:$C$108,0))*Settings!$F$19,R378-INDEX('Facilities'!$L$9:$L$108,MATCH(C378,'Facilities'!$C$9:$C$108,0))&gt;=Settings!$F$20)),2,1)),"Unavailable"))</x:f>
      </x:c>
      <x:c r="U378" s="23" t="str">
        <x:f>IF(C378="","",IF(AQ378&lt;&gt;"Ready","Unavailable",IF(C378="","",O378*(1-(1-S378)/(1+INDEX('Facilities'!$K$9:$K$108,MATCH(C378,'Facilities'!$C$9:$C$108,0)))^INDEX('Facilities'!$AK$9:$AK$108,MATCH(C378,'Facilities'!$C$9:$C$108,0)))*R378/(1+INDEX('Facilities'!$K$9:$K$108,MATCH(C378,'Facilities'!$C$9:$C$108,0)))*IF(ABS(1-(1-R378)*(1-INDEX('Facilities'!$R$9:$R$108,MATCH(C378,'Facilities'!$C$9:$C$108,0)))/(1+INDEX('Facilities'!$K$9:$K$108,MATCH(C378,'Facilities'!$C$9:$C$108,0))))&lt;0.000000001,IF(T378=1,MIN(1,AJ378),AJ378),(1-((1-R378)*(1-INDEX('Facilities'!$R$9:$R$108,MATCH(C378,'Facilities'!$C$9:$C$108,0)))/(1+INDEX('Facilities'!$K$9:$K$108,MATCH(C378,'Facilities'!$C$9:$C$108,0))))^IF(T378=1,MIN(1,AJ378),AJ378))/(1-(1-R378)*(1-INDEX('Facilities'!$R$9:$R$108,MATCH(C378,'Facilities'!$C$9:$C$108,0)))/(1+INDEX('Facilities'!$K$9:$K$108,MATCH(C378,'Facilities'!$C$9:$C$108,0)))))+AL378)))</x:f>
      </x:c>
      <x:c r="V378" s="23" t="str">
        <x:f>IF(C378="","",IF(AQ378&lt;&gt;"Ready","Unavailable",IF(C378="","",Q378*INDEX('Facilities'!$I$9:$I$108,MATCH(C378,'Facilities'!$C$9:$C$108,0))*(1-(1-S378)/(1+INDEX('Facilities'!$K$9:$K$108,MATCH(C378,'Facilities'!$C$9:$C$108,0)))^INDEX('Facilities'!$AK$9:$AK$108,MATCH(C378,'Facilities'!$C$9:$C$108,0)))*R378/(1+INDEX('Facilities'!$K$9:$K$108,MATCH(C378,'Facilities'!$C$9:$C$108,0)))*IF(ABS(1-(1-R378)*(1-0)/(1+INDEX('Facilities'!$K$9:$K$108,MATCH(C378,'Facilities'!$C$9:$C$108,0))))&lt;0.000000001,IF(T378=1,MIN(1,AJ378),AJ378),(1-((1-R378)*(1-0)/(1+INDEX('Facilities'!$K$9:$K$108,MATCH(C378,'Facilities'!$C$9:$C$108,0))))^IF(T378=1,MIN(1,AJ378),AJ378))/(1-(1-R378)*(1-0)/(1+INDEX('Facilities'!$K$9:$K$108,MATCH(C378,'Facilities'!$C$9:$C$108,0))))))))</x:f>
      </x:c>
      <x:c r="W378" s="21" t="str">
        <x:f>IF(C378="","",IFERROR(U278,"Unavailable"))</x:f>
      </x:c>
      <x:c r="X378" s="21" t="str">
        <x:f>IF(C378="","",IFERROR(V278,"Unavailable"))</x:f>
      </x:c>
      <x:c r="Y378" s="21" t="str">
        <x:f>IF(C378="","",IF(AQ378&lt;&gt;"Ready","Unavailable",IF(C378="","",U378-W378+V378-X378+N378+AG378)))</x:f>
      </x:c>
      <x:c r="Z378" s="23" t="str">
        <x:f>IF(C378="","",IF(AQ378&lt;&gt;"Ready","Unavailable",IF(C378="","",(G378+O378+L378)/2*INDEX('Facilities'!$T$9:$T$108,MATCH(C378,'Facilities'!$C$9:$C$108,0))+AG378)))</x:f>
      </x:c>
      <x:c r="AA378" s="23" t="str">
        <x:f>IF(C378="","",IF(AQ378&lt;&gt;"Ready","Unavailable",IF(C378="","",O378*(1-IF(INDEX('Facilities'!$AA$9:$AA$108,MATCH(C378,'Facilities'!$C$9:$C$108,0))=0,0,MIN(1,INDEX('Facilities'!$X$9:$X$108,MATCH(C378,'Facilities'!$C$9:$C$108,0))/INDEX('Facilities'!$AA$9:$AA$108,MATCH(C378,'Facilities'!$C$9:$C$108,0)))))*AF378+P378*(1-IF(INDEX('Facilities'!$AA$9:$AA$108,MATCH(C378,'Facilities'!$C$9:$C$108,0))=0,0,MIN(1,INDEX('Facilities'!$X$9:$X$108,MATCH(C378,'Facilities'!$C$9:$C$108,0))/INDEX('Facilities'!$AA$9:$AA$108,MATCH(C378,'Facilities'!$C$9:$C$108,0)))))*INDEX('Facilities'!$AJ$9:$AJ$108,MATCH(C378,'Facilities'!$C$9:$C$108,0))+Q378*INDEX('Facilities'!$AI$9:$AI$108,MATCH(C378,'Facilities'!$C$9:$C$108,0))*AF378)))</x:f>
      </x:c>
      <x:c r="AB378" s="21" t="str">
        <x:f>IF(C378="","",O378+P378-AD378)</x:f>
      </x:c>
      <x:c r="AC378" s="23" t="str">
        <x:f>IF(C378="","",IFERROR(IF(INDEX('Facilities'!$AD$9:$AD$108,MATCH(C378,'Facilities'!$C$9:$C$108,0))=3,0,IF(INDEX('Facilities'!$AN$9:$AN$108,MATCH(C378,'Facilities'!$C$9:$C$108,0))=0,-1,INDEX('Facilities'!$AN$9:$AN$108,MATCH(C378,'Facilities'!$C$9:$C$108,0)))),"Unavailable"))</x:f>
      </x:c>
      <x:c r="AD378" s="21" t="str">
        <x:f>IF(C378="","",IFERROR(G378+H378,"Unavailable"))</x:f>
      </x:c>
      <x:c r="AE378" s="21" t="str">
        <x:f>IF(C378="","",IF(AQ378&lt;&gt;"Ready","Unavailable",IF(C378="","",O378+P378-AD378-J378+K378+M378+N378)))</x:f>
      </x:c>
      <x:c r="AF378" s="30" t="str">
        <x:f>IF(C378="","",IFERROR(INDEX('Facilities'!$S$9:$S$108,MATCH(C378,'Facilities'!$C$9:$C$108,0))*'Scenario Paths'!I75,"Unavailable"))</x:f>
      </x:c>
      <x:c r="AG378" s="23" t="str">
        <x:f>IF(C378="","",IF(AQ378&lt;&gt;"Ready","Unavailable",IF(C378="","",IF(H378&gt;0,MAX(0,H378-AK378)*((1+INDEX('Facilities'!$K$9:$K$108,MATCH(C378,'Facilities'!$C$9:$C$108,0)))^MIN(1,MAX(0,AC378+INDEX('Facilities'!$AK$9:$AK$108,MATCH(C378,'Facilities'!$C$9:$C$108,0))-D378+1))-1),0))))</x:f>
      </x:c>
      <x:c r="AH378" s="21" t="str">
        <x:f>IF(C378="","",IF(AQ378&lt;&gt;"Ready","Unavailable",IF(C378="","",O378+P378)))</x:f>
      </x:c>
      <x:c r="AI378" s="21" t="str">
        <x:f>IF(C378="","",IF(AQ378&lt;&gt;"Ready","Unavailable",IF(C378="","",Z378-Y378)))</x:f>
      </x:c>
      <x:c r="AJ378" s="23" t="str">
        <x:f>IF(C378="","",IFERROR(MAX(0,INDEX('Facilities'!$J$9:$J$108,MATCH(C378,'Facilities'!$C$9:$C$108,0))-D378),"Unavailable"))</x:f>
      </x:c>
      <x:c r="AK378" s="21" t="str">
        <x:f>IF(C378="","",IFERROR(AL278,"Unavailable"))</x:f>
      </x:c>
      <x:c r="AL378" s="23" t="str">
        <x:f>IF(C378="","",IFERROR(IF(P378&gt;0,P378*(1-AM378/(1+INDEX('Facilities'!$K$9:$K$108,MATCH(C378,'Facilities'!$C$9:$C$108,0)))^MAX(0,AC378+INDEX('Facilities'!$AK$9:$AK$108,MATCH(C378,'Facilities'!$C$9:$C$108,0))-D378)),0),"Unavailable"))</x:f>
      </x:c>
      <x:c r="AM378" s="30" t="str">
        <x:f>IF(C378="","",IFERROR(INDEX('Facilities'!$AL$9:$AL$108,MATCH(C378,'Facilities'!$C$9:$C$108,0)),"Unavailable"))</x:f>
      </x:c>
      <x:c r="AN378" s="30" t="str">
        <x:f>IF(C378="","",IFERROR(INDEX(Credit!$T$309:$T$408,MATCH(F378,Credit!$C$309:$C$408,0)),"Unavailable"))</x:f>
      </x:c>
      <x:c r="AO378" s="23" t="str">
        <x:f>IF(C378="","",IF(AQ378&lt;&gt;"Ready","Unavailable",IF(C378="","",O378+P378+Q378*INDEX('Facilities'!$I$9:$I$108,MATCH(C378,'Facilities'!$C$9:$C$108,0)))))</x:f>
      </x:c>
      <x:c r="AP378" s="21" t="str">
        <x:f>IF(C378="","",IF(AQ378&lt;&gt;"Ready","Unavailable",IF(C378="","",AH378-U378)))</x:f>
      </x:c>
      <x:c r="AQ378" s="23" t="str">
        <x:f>IFERROR(IF(C378="","",IF(AND(INDEX('Facilities'!$AF$9:$AF$108,MATCH(C378,'Facilities'!$C$9:$C$108,0))="Ready",INDEX(Credit!$U$309:$U$408,MATCH(F378,Credit!$C$309:$C$408,0))="Ready",ISNUMBER(W378)),"Ready","Review inputs")),"Review inputs")</x:f>
      </x:c>
      <x:c r="AR378" s="23" t="str">
        <x:f>IF(C378="","",IF(AQ378&lt;&gt;"Ready","Unavailable",IF(C378="","",IF(O378=0,0,(IF(AJ378&lt;=1,O378,O378*INDEX('Facilities'!$R$9:$R$108,MATCH(C378,'Facilities'!$C$9:$C$108,0)))+O378*INDEX('Facilities'!$T$9:$T$108,MATCH(C378,'Facilities'!$C$9:$C$108,0)))/12))))</x:f>
      </x:c>
    </x:row>
    <x:row r="379" ht="26" customHeight="1">
      <x:c r="A379" s="1"/>
      <x:c r="B379" s="1"/>
      <x:c r="C379" s="9" t="str">
        <x:f>IF(Facilities!C79="","",Facilities!C79)</x:f>
      </x:c>
      <x:c r="D379" s="3" t="n">
        <x:v>4</x:v>
      </x:c>
      <x:c r="E379" s="9" t="n">
        <x:f>Settings!$F$18+3</x:f>
        <x:v>2030</x:v>
      </x:c>
      <x:c r="F379" s="9" t="str">
        <x:f>IF(C379="","",IFERROR(INDEX('Facilities'!$D$9:$D$108,MATCH(C379,'Facilities'!$C$9:$C$108,0)),"Unavailable"))</x:f>
      </x:c>
      <x:c r="G379" s="21" t="str">
        <x:f>IF(C379="","",IFERROR(O279,"Unavailable"))</x:f>
      </x:c>
      <x:c r="H379" s="21" t="str">
        <x:f>IF(C379="","",IFERROR(P279,"Unavailable"))</x:f>
      </x:c>
      <x:c r="I379" s="21" t="str">
        <x:f>IF(C379="","",IFERROR(Q279,"Unavailable"))</x:f>
      </x:c>
      <x:c r="J379" s="23" t="str">
        <x:f>IF(C379="","",IFERROR(IF(OR(H379&gt;0,AND(AC379&gt;=0,AC379&lt;D379),D379&gt;INDEX('Facilities'!$J$9:$J$108,MATCH(C379,'Facilities'!$C$9:$C$108,0))),0,I379*'Scenario Paths'!I81),"Unavailable"))</x:f>
      </x:c>
      <x:c r="K379" s="23" t="str">
        <x:f>IF(C379="","",IFERROR(IF(OR(H379&gt;0,AND(AC379&gt;=0,AC379=D379)),0,IF(D379&gt;=INDEX('Facilities'!$J$9:$J$108,MATCH(C379,'Facilities'!$C$9:$C$108,0)),G379+J379,MIN(G379+J379,G379*INDEX('Facilities'!$R$9:$R$108,MATCH(C379,'Facilities'!$C$9:$C$108,0))))),"Unavailable"))</x:f>
      </x:c>
      <x:c r="L379" s="21" t="str">
        <x:f>IF(C379="","",IFERROR(IF(AND(AC379=D379,AC379&gt;0),MAX(0,G379+J379-K379),0),"Unavailable"))</x:f>
      </x:c>
      <x:c r="M379" s="23" t="str">
        <x:f>IF(C379="","",IFERROR(IF(AND(AC379&gt;=0,D379&gt;=AC379+INDEX('Facilities'!$AK$9:$AK$108,MATCH(C379,'Facilities'!$C$9:$C$108,0))),(H379+L379)*AM379,0),"Unavailable"))</x:f>
      </x:c>
      <x:c r="N379" s="23" t="str">
        <x:f>IF(C379="","",IFERROR(IF(AND(AC379&gt;=0,D379&gt;=AC379+INDEX('Facilities'!$AK$9:$AK$108,MATCH(C379,'Facilities'!$C$9:$C$108,0))),H379+L379-M379,0),"Unavailable"))</x:f>
      </x:c>
      <x:c r="O379" s="21" t="str">
        <x:f>IF(C379="","",IFERROR(MAX(0,G379+J379-K379-L379),"Unavailable"))</x:f>
      </x:c>
      <x:c r="P379" s="21" t="str">
        <x:f>IF(C379="","",IFERROR(MAX(0,H379+L379-M379-N379),"Unavailable"))</x:f>
      </x:c>
      <x:c r="Q379" s="23" t="str">
        <x:f>IF(C379="","",IFERROR(IF(OR(D379&gt;=INDEX('Facilities'!$J$9:$J$108,MATCH(C379,'Facilities'!$C$9:$C$108,0)),AND(AC379&gt;=0,AC379&lt;=D379)),0,MAX(0,I379-J379)),"Unavailable"))</x:f>
      </x:c>
      <x:c r="R379" s="30" t="str">
        <x:f>IF(C379="","",IFERROR(INDEX(Credit!$Q$309:$Q$408,MATCH(F379,Credit!$C$309:$C$408,0)),"Unavailable"))</x:f>
      </x:c>
      <x:c r="S379" s="30" t="str">
        <x:f>IF(C379="","",IFERROR(INDEX(Credit!$R$309:$R$408,MATCH(F379,Credit!$C$309:$C$408,0)),"Unavailable"))</x:f>
      </x:c>
      <x:c r="T379" s="23" t="str">
        <x:f>IF(C379="","",IFERROR(IF(P379&gt;0,3,IF(OR(INDEX('Facilities'!$AD$9:$AD$108,MATCH(C379,'Facilities'!$C$9:$C$108,0))=2,AND(R379&gt;=INDEX('Facilities'!$L$9:$L$108,MATCH(C379,'Facilities'!$C$9:$C$108,0))*Settings!$F$19,R379-INDEX('Facilities'!$L$9:$L$108,MATCH(C379,'Facilities'!$C$9:$C$108,0))&gt;=Settings!$F$20)),2,1)),"Unavailable"))</x:f>
      </x:c>
      <x:c r="U379" s="23" t="str">
        <x:f>IF(C379="","",IF(AQ379&lt;&gt;"Ready","Unavailable",IF(C379="","",O379*(1-(1-S379)/(1+INDEX('Facilities'!$K$9:$K$108,MATCH(C379,'Facilities'!$C$9:$C$108,0)))^INDEX('Facilities'!$AK$9:$AK$108,MATCH(C379,'Facilities'!$C$9:$C$108,0)))*R379/(1+INDEX('Facilities'!$K$9:$K$108,MATCH(C379,'Facilities'!$C$9:$C$108,0)))*IF(ABS(1-(1-R379)*(1-INDEX('Facilities'!$R$9:$R$108,MATCH(C379,'Facilities'!$C$9:$C$108,0)))/(1+INDEX('Facilities'!$K$9:$K$108,MATCH(C379,'Facilities'!$C$9:$C$108,0))))&lt;0.000000001,IF(T379=1,MIN(1,AJ379),AJ379),(1-((1-R379)*(1-INDEX('Facilities'!$R$9:$R$108,MATCH(C379,'Facilities'!$C$9:$C$108,0)))/(1+INDEX('Facilities'!$K$9:$K$108,MATCH(C379,'Facilities'!$C$9:$C$108,0))))^IF(T379=1,MIN(1,AJ379),AJ379))/(1-(1-R379)*(1-INDEX('Facilities'!$R$9:$R$108,MATCH(C379,'Facilities'!$C$9:$C$108,0)))/(1+INDEX('Facilities'!$K$9:$K$108,MATCH(C379,'Facilities'!$C$9:$C$108,0)))))+AL379)))</x:f>
      </x:c>
      <x:c r="V379" s="23" t="str">
        <x:f>IF(C379="","",IF(AQ379&lt;&gt;"Ready","Unavailable",IF(C379="","",Q379*INDEX('Facilities'!$I$9:$I$108,MATCH(C379,'Facilities'!$C$9:$C$108,0))*(1-(1-S379)/(1+INDEX('Facilities'!$K$9:$K$108,MATCH(C379,'Facilities'!$C$9:$C$108,0)))^INDEX('Facilities'!$AK$9:$AK$108,MATCH(C379,'Facilities'!$C$9:$C$108,0)))*R379/(1+INDEX('Facilities'!$K$9:$K$108,MATCH(C379,'Facilities'!$C$9:$C$108,0)))*IF(ABS(1-(1-R379)*(1-0)/(1+INDEX('Facilities'!$K$9:$K$108,MATCH(C379,'Facilities'!$C$9:$C$108,0))))&lt;0.000000001,IF(T379=1,MIN(1,AJ379),AJ379),(1-((1-R379)*(1-0)/(1+INDEX('Facilities'!$K$9:$K$108,MATCH(C379,'Facilities'!$C$9:$C$108,0))))^IF(T379=1,MIN(1,AJ379),AJ379))/(1-(1-R379)*(1-0)/(1+INDEX('Facilities'!$K$9:$K$108,MATCH(C379,'Facilities'!$C$9:$C$108,0))))))))</x:f>
      </x:c>
      <x:c r="W379" s="21" t="str">
        <x:f>IF(C379="","",IFERROR(U279,"Unavailable"))</x:f>
      </x:c>
      <x:c r="X379" s="21" t="str">
        <x:f>IF(C379="","",IFERROR(V279,"Unavailable"))</x:f>
      </x:c>
      <x:c r="Y379" s="21" t="str">
        <x:f>IF(C379="","",IF(AQ379&lt;&gt;"Ready","Unavailable",IF(C379="","",U379-W379+V379-X379+N379+AG379)))</x:f>
      </x:c>
      <x:c r="Z379" s="23" t="str">
        <x:f>IF(C379="","",IF(AQ379&lt;&gt;"Ready","Unavailable",IF(C379="","",(G379+O379+L379)/2*INDEX('Facilities'!$T$9:$T$108,MATCH(C379,'Facilities'!$C$9:$C$108,0))+AG379)))</x:f>
      </x:c>
      <x:c r="AA379" s="23" t="str">
        <x:f>IF(C379="","",IF(AQ379&lt;&gt;"Ready","Unavailable",IF(C379="","",O379*(1-IF(INDEX('Facilities'!$AA$9:$AA$108,MATCH(C379,'Facilities'!$C$9:$C$108,0))=0,0,MIN(1,INDEX('Facilities'!$X$9:$X$108,MATCH(C379,'Facilities'!$C$9:$C$108,0))/INDEX('Facilities'!$AA$9:$AA$108,MATCH(C379,'Facilities'!$C$9:$C$108,0)))))*AF379+P379*(1-IF(INDEX('Facilities'!$AA$9:$AA$108,MATCH(C379,'Facilities'!$C$9:$C$108,0))=0,0,MIN(1,INDEX('Facilities'!$X$9:$X$108,MATCH(C379,'Facilities'!$C$9:$C$108,0))/INDEX('Facilities'!$AA$9:$AA$108,MATCH(C379,'Facilities'!$C$9:$C$108,0)))))*INDEX('Facilities'!$AJ$9:$AJ$108,MATCH(C379,'Facilities'!$C$9:$C$108,0))+Q379*INDEX('Facilities'!$AI$9:$AI$108,MATCH(C379,'Facilities'!$C$9:$C$108,0))*AF379)))</x:f>
      </x:c>
      <x:c r="AB379" s="21" t="str">
        <x:f>IF(C379="","",O379+P379-AD379)</x:f>
      </x:c>
      <x:c r="AC379" s="23" t="str">
        <x:f>IF(C379="","",IFERROR(IF(INDEX('Facilities'!$AD$9:$AD$108,MATCH(C379,'Facilities'!$C$9:$C$108,0))=3,0,IF(INDEX('Facilities'!$AN$9:$AN$108,MATCH(C379,'Facilities'!$C$9:$C$108,0))=0,-1,INDEX('Facilities'!$AN$9:$AN$108,MATCH(C379,'Facilities'!$C$9:$C$108,0)))),"Unavailable"))</x:f>
      </x:c>
      <x:c r="AD379" s="21" t="str">
        <x:f>IF(C379="","",IFERROR(G379+H379,"Unavailable"))</x:f>
      </x:c>
      <x:c r="AE379" s="21" t="str">
        <x:f>IF(C379="","",IF(AQ379&lt;&gt;"Ready","Unavailable",IF(C379="","",O379+P379-AD379-J379+K379+M379+N379)))</x:f>
      </x:c>
      <x:c r="AF379" s="30" t="str">
        <x:f>IF(C379="","",IFERROR(INDEX('Facilities'!$S$9:$S$108,MATCH(C379,'Facilities'!$C$9:$C$108,0))*'Scenario Paths'!I75,"Unavailable"))</x:f>
      </x:c>
      <x:c r="AG379" s="23" t="str">
        <x:f>IF(C379="","",IF(AQ379&lt;&gt;"Ready","Unavailable",IF(C379="","",IF(H379&gt;0,MAX(0,H379-AK379)*((1+INDEX('Facilities'!$K$9:$K$108,MATCH(C379,'Facilities'!$C$9:$C$108,0)))^MIN(1,MAX(0,AC379+INDEX('Facilities'!$AK$9:$AK$108,MATCH(C379,'Facilities'!$C$9:$C$108,0))-D379+1))-1),0))))</x:f>
      </x:c>
      <x:c r="AH379" s="21" t="str">
        <x:f>IF(C379="","",IF(AQ379&lt;&gt;"Ready","Unavailable",IF(C379="","",O379+P379)))</x:f>
      </x:c>
      <x:c r="AI379" s="21" t="str">
        <x:f>IF(C379="","",IF(AQ379&lt;&gt;"Ready","Unavailable",IF(C379="","",Z379-Y379)))</x:f>
      </x:c>
      <x:c r="AJ379" s="23" t="str">
        <x:f>IF(C379="","",IFERROR(MAX(0,INDEX('Facilities'!$J$9:$J$108,MATCH(C379,'Facilities'!$C$9:$C$108,0))-D379),"Unavailable"))</x:f>
      </x:c>
      <x:c r="AK379" s="21" t="str">
        <x:f>IF(C379="","",IFERROR(AL279,"Unavailable"))</x:f>
      </x:c>
      <x:c r="AL379" s="23" t="str">
        <x:f>IF(C379="","",IFERROR(IF(P379&gt;0,P379*(1-AM379/(1+INDEX('Facilities'!$K$9:$K$108,MATCH(C379,'Facilities'!$C$9:$C$108,0)))^MAX(0,AC379+INDEX('Facilities'!$AK$9:$AK$108,MATCH(C379,'Facilities'!$C$9:$C$108,0))-D379)),0),"Unavailable"))</x:f>
      </x:c>
      <x:c r="AM379" s="30" t="str">
        <x:f>IF(C379="","",IFERROR(INDEX('Facilities'!$AL$9:$AL$108,MATCH(C379,'Facilities'!$C$9:$C$108,0)),"Unavailable"))</x:f>
      </x:c>
      <x:c r="AN379" s="30" t="str">
        <x:f>IF(C379="","",IFERROR(INDEX(Credit!$T$309:$T$408,MATCH(F379,Credit!$C$309:$C$408,0)),"Unavailable"))</x:f>
      </x:c>
      <x:c r="AO379" s="23" t="str">
        <x:f>IF(C379="","",IF(AQ379&lt;&gt;"Ready","Unavailable",IF(C379="","",O379+P379+Q379*INDEX('Facilities'!$I$9:$I$108,MATCH(C379,'Facilities'!$C$9:$C$108,0)))))</x:f>
      </x:c>
      <x:c r="AP379" s="21" t="str">
        <x:f>IF(C379="","",IF(AQ379&lt;&gt;"Ready","Unavailable",IF(C379="","",AH379-U379)))</x:f>
      </x:c>
      <x:c r="AQ379" s="23" t="str">
        <x:f>IFERROR(IF(C379="","",IF(AND(INDEX('Facilities'!$AF$9:$AF$108,MATCH(C379,'Facilities'!$C$9:$C$108,0))="Ready",INDEX(Credit!$U$309:$U$408,MATCH(F379,Credit!$C$309:$C$408,0))="Ready",ISNUMBER(W379)),"Ready","Review inputs")),"Review inputs")</x:f>
      </x:c>
      <x:c r="AR379" s="23" t="str">
        <x:f>IF(C379="","",IF(AQ379&lt;&gt;"Ready","Unavailable",IF(C379="","",IF(O379=0,0,(IF(AJ379&lt;=1,O379,O379*INDEX('Facilities'!$R$9:$R$108,MATCH(C379,'Facilities'!$C$9:$C$108,0)))+O379*INDEX('Facilities'!$T$9:$T$108,MATCH(C379,'Facilities'!$C$9:$C$108,0)))/12))))</x:f>
      </x:c>
    </x:row>
    <x:row r="380" ht="26" customHeight="1">
      <x:c r="A380" s="1"/>
      <x:c r="B380" s="1"/>
      <x:c r="C380" s="9" t="str">
        <x:f>IF(Facilities!C80="","",Facilities!C80)</x:f>
      </x:c>
      <x:c r="D380" s="3" t="n">
        <x:v>4</x:v>
      </x:c>
      <x:c r="E380" s="9" t="n">
        <x:f>Settings!$F$18+3</x:f>
        <x:v>2030</x:v>
      </x:c>
      <x:c r="F380" s="9" t="str">
        <x:f>IF(C380="","",IFERROR(INDEX('Facilities'!$D$9:$D$108,MATCH(C380,'Facilities'!$C$9:$C$108,0)),"Unavailable"))</x:f>
      </x:c>
      <x:c r="G380" s="21" t="str">
        <x:f>IF(C380="","",IFERROR(O280,"Unavailable"))</x:f>
      </x:c>
      <x:c r="H380" s="21" t="str">
        <x:f>IF(C380="","",IFERROR(P280,"Unavailable"))</x:f>
      </x:c>
      <x:c r="I380" s="21" t="str">
        <x:f>IF(C380="","",IFERROR(Q280,"Unavailable"))</x:f>
      </x:c>
      <x:c r="J380" s="23" t="str">
        <x:f>IF(C380="","",IFERROR(IF(OR(H380&gt;0,AND(AC380&gt;=0,AC380&lt;D380),D380&gt;INDEX('Facilities'!$J$9:$J$108,MATCH(C380,'Facilities'!$C$9:$C$108,0))),0,I380*'Scenario Paths'!I81),"Unavailable"))</x:f>
      </x:c>
      <x:c r="K380" s="23" t="str">
        <x:f>IF(C380="","",IFERROR(IF(OR(H380&gt;0,AND(AC380&gt;=0,AC380=D380)),0,IF(D380&gt;=INDEX('Facilities'!$J$9:$J$108,MATCH(C380,'Facilities'!$C$9:$C$108,0)),G380+J380,MIN(G380+J380,G380*INDEX('Facilities'!$R$9:$R$108,MATCH(C380,'Facilities'!$C$9:$C$108,0))))),"Unavailable"))</x:f>
      </x:c>
      <x:c r="L380" s="21" t="str">
        <x:f>IF(C380="","",IFERROR(IF(AND(AC380=D380,AC380&gt;0),MAX(0,G380+J380-K380),0),"Unavailable"))</x:f>
      </x:c>
      <x:c r="M380" s="23" t="str">
        <x:f>IF(C380="","",IFERROR(IF(AND(AC380&gt;=0,D380&gt;=AC380+INDEX('Facilities'!$AK$9:$AK$108,MATCH(C380,'Facilities'!$C$9:$C$108,0))),(H380+L380)*AM380,0),"Unavailable"))</x:f>
      </x:c>
      <x:c r="N380" s="23" t="str">
        <x:f>IF(C380="","",IFERROR(IF(AND(AC380&gt;=0,D380&gt;=AC380+INDEX('Facilities'!$AK$9:$AK$108,MATCH(C380,'Facilities'!$C$9:$C$108,0))),H380+L380-M380,0),"Unavailable"))</x:f>
      </x:c>
      <x:c r="O380" s="21" t="str">
        <x:f>IF(C380="","",IFERROR(MAX(0,G380+J380-K380-L380),"Unavailable"))</x:f>
      </x:c>
      <x:c r="P380" s="21" t="str">
        <x:f>IF(C380="","",IFERROR(MAX(0,H380+L380-M380-N380),"Unavailable"))</x:f>
      </x:c>
      <x:c r="Q380" s="23" t="str">
        <x:f>IF(C380="","",IFERROR(IF(OR(D380&gt;=INDEX('Facilities'!$J$9:$J$108,MATCH(C380,'Facilities'!$C$9:$C$108,0)),AND(AC380&gt;=0,AC380&lt;=D380)),0,MAX(0,I380-J380)),"Unavailable"))</x:f>
      </x:c>
      <x:c r="R380" s="30" t="str">
        <x:f>IF(C380="","",IFERROR(INDEX(Credit!$Q$309:$Q$408,MATCH(F380,Credit!$C$309:$C$408,0)),"Unavailable"))</x:f>
      </x:c>
      <x:c r="S380" s="30" t="str">
        <x:f>IF(C380="","",IFERROR(INDEX(Credit!$R$309:$R$408,MATCH(F380,Credit!$C$309:$C$408,0)),"Unavailable"))</x:f>
      </x:c>
      <x:c r="T380" s="23" t="str">
        <x:f>IF(C380="","",IFERROR(IF(P380&gt;0,3,IF(OR(INDEX('Facilities'!$AD$9:$AD$108,MATCH(C380,'Facilities'!$C$9:$C$108,0))=2,AND(R380&gt;=INDEX('Facilities'!$L$9:$L$108,MATCH(C380,'Facilities'!$C$9:$C$108,0))*Settings!$F$19,R380-INDEX('Facilities'!$L$9:$L$108,MATCH(C380,'Facilities'!$C$9:$C$108,0))&gt;=Settings!$F$20)),2,1)),"Unavailable"))</x:f>
      </x:c>
      <x:c r="U380" s="23" t="str">
        <x:f>IF(C380="","",IF(AQ380&lt;&gt;"Ready","Unavailable",IF(C380="","",O380*(1-(1-S380)/(1+INDEX('Facilities'!$K$9:$K$108,MATCH(C380,'Facilities'!$C$9:$C$108,0)))^INDEX('Facilities'!$AK$9:$AK$108,MATCH(C380,'Facilities'!$C$9:$C$108,0)))*R380/(1+INDEX('Facilities'!$K$9:$K$108,MATCH(C380,'Facilities'!$C$9:$C$108,0)))*IF(ABS(1-(1-R380)*(1-INDEX('Facilities'!$R$9:$R$108,MATCH(C380,'Facilities'!$C$9:$C$108,0)))/(1+INDEX('Facilities'!$K$9:$K$108,MATCH(C380,'Facilities'!$C$9:$C$108,0))))&lt;0.000000001,IF(T380=1,MIN(1,AJ380),AJ380),(1-((1-R380)*(1-INDEX('Facilities'!$R$9:$R$108,MATCH(C380,'Facilities'!$C$9:$C$108,0)))/(1+INDEX('Facilities'!$K$9:$K$108,MATCH(C380,'Facilities'!$C$9:$C$108,0))))^IF(T380=1,MIN(1,AJ380),AJ380))/(1-(1-R380)*(1-INDEX('Facilities'!$R$9:$R$108,MATCH(C380,'Facilities'!$C$9:$C$108,0)))/(1+INDEX('Facilities'!$K$9:$K$108,MATCH(C380,'Facilities'!$C$9:$C$108,0)))))+AL380)))</x:f>
      </x:c>
      <x:c r="V380" s="23" t="str">
        <x:f>IF(C380="","",IF(AQ380&lt;&gt;"Ready","Unavailable",IF(C380="","",Q380*INDEX('Facilities'!$I$9:$I$108,MATCH(C380,'Facilities'!$C$9:$C$108,0))*(1-(1-S380)/(1+INDEX('Facilities'!$K$9:$K$108,MATCH(C380,'Facilities'!$C$9:$C$108,0)))^INDEX('Facilities'!$AK$9:$AK$108,MATCH(C380,'Facilities'!$C$9:$C$108,0)))*R380/(1+INDEX('Facilities'!$K$9:$K$108,MATCH(C380,'Facilities'!$C$9:$C$108,0)))*IF(ABS(1-(1-R380)*(1-0)/(1+INDEX('Facilities'!$K$9:$K$108,MATCH(C380,'Facilities'!$C$9:$C$108,0))))&lt;0.000000001,IF(T380=1,MIN(1,AJ380),AJ380),(1-((1-R380)*(1-0)/(1+INDEX('Facilities'!$K$9:$K$108,MATCH(C380,'Facilities'!$C$9:$C$108,0))))^IF(T380=1,MIN(1,AJ380),AJ380))/(1-(1-R380)*(1-0)/(1+INDEX('Facilities'!$K$9:$K$108,MATCH(C380,'Facilities'!$C$9:$C$108,0))))))))</x:f>
      </x:c>
      <x:c r="W380" s="21" t="str">
        <x:f>IF(C380="","",IFERROR(U280,"Unavailable"))</x:f>
      </x:c>
      <x:c r="X380" s="21" t="str">
        <x:f>IF(C380="","",IFERROR(V280,"Unavailable"))</x:f>
      </x:c>
      <x:c r="Y380" s="21" t="str">
        <x:f>IF(C380="","",IF(AQ380&lt;&gt;"Ready","Unavailable",IF(C380="","",U380-W380+V380-X380+N380+AG380)))</x:f>
      </x:c>
      <x:c r="Z380" s="23" t="str">
        <x:f>IF(C380="","",IF(AQ380&lt;&gt;"Ready","Unavailable",IF(C380="","",(G380+O380+L380)/2*INDEX('Facilities'!$T$9:$T$108,MATCH(C380,'Facilities'!$C$9:$C$108,0))+AG380)))</x:f>
      </x:c>
      <x:c r="AA380" s="23" t="str">
        <x:f>IF(C380="","",IF(AQ380&lt;&gt;"Ready","Unavailable",IF(C380="","",O380*(1-IF(INDEX('Facilities'!$AA$9:$AA$108,MATCH(C380,'Facilities'!$C$9:$C$108,0))=0,0,MIN(1,INDEX('Facilities'!$X$9:$X$108,MATCH(C380,'Facilities'!$C$9:$C$108,0))/INDEX('Facilities'!$AA$9:$AA$108,MATCH(C380,'Facilities'!$C$9:$C$108,0)))))*AF380+P380*(1-IF(INDEX('Facilities'!$AA$9:$AA$108,MATCH(C380,'Facilities'!$C$9:$C$108,0))=0,0,MIN(1,INDEX('Facilities'!$X$9:$X$108,MATCH(C380,'Facilities'!$C$9:$C$108,0))/INDEX('Facilities'!$AA$9:$AA$108,MATCH(C380,'Facilities'!$C$9:$C$108,0)))))*INDEX('Facilities'!$AJ$9:$AJ$108,MATCH(C380,'Facilities'!$C$9:$C$108,0))+Q380*INDEX('Facilities'!$AI$9:$AI$108,MATCH(C380,'Facilities'!$C$9:$C$108,0))*AF380)))</x:f>
      </x:c>
      <x:c r="AB380" s="21" t="str">
        <x:f>IF(C380="","",O380+P380-AD380)</x:f>
      </x:c>
      <x:c r="AC380" s="23" t="str">
        <x:f>IF(C380="","",IFERROR(IF(INDEX('Facilities'!$AD$9:$AD$108,MATCH(C380,'Facilities'!$C$9:$C$108,0))=3,0,IF(INDEX('Facilities'!$AN$9:$AN$108,MATCH(C380,'Facilities'!$C$9:$C$108,0))=0,-1,INDEX('Facilities'!$AN$9:$AN$108,MATCH(C380,'Facilities'!$C$9:$C$108,0)))),"Unavailable"))</x:f>
      </x:c>
      <x:c r="AD380" s="21" t="str">
        <x:f>IF(C380="","",IFERROR(G380+H380,"Unavailable"))</x:f>
      </x:c>
      <x:c r="AE380" s="21" t="str">
        <x:f>IF(C380="","",IF(AQ380&lt;&gt;"Ready","Unavailable",IF(C380="","",O380+P380-AD380-J380+K380+M380+N380)))</x:f>
      </x:c>
      <x:c r="AF380" s="30" t="str">
        <x:f>IF(C380="","",IFERROR(INDEX('Facilities'!$S$9:$S$108,MATCH(C380,'Facilities'!$C$9:$C$108,0))*'Scenario Paths'!I75,"Unavailable"))</x:f>
      </x:c>
      <x:c r="AG380" s="23" t="str">
        <x:f>IF(C380="","",IF(AQ380&lt;&gt;"Ready","Unavailable",IF(C380="","",IF(H380&gt;0,MAX(0,H380-AK380)*((1+INDEX('Facilities'!$K$9:$K$108,MATCH(C380,'Facilities'!$C$9:$C$108,0)))^MIN(1,MAX(0,AC380+INDEX('Facilities'!$AK$9:$AK$108,MATCH(C380,'Facilities'!$C$9:$C$108,0))-D380+1))-1),0))))</x:f>
      </x:c>
      <x:c r="AH380" s="21" t="str">
        <x:f>IF(C380="","",IF(AQ380&lt;&gt;"Ready","Unavailable",IF(C380="","",O380+P380)))</x:f>
      </x:c>
      <x:c r="AI380" s="21" t="str">
        <x:f>IF(C380="","",IF(AQ380&lt;&gt;"Ready","Unavailable",IF(C380="","",Z380-Y380)))</x:f>
      </x:c>
      <x:c r="AJ380" s="23" t="str">
        <x:f>IF(C380="","",IFERROR(MAX(0,INDEX('Facilities'!$J$9:$J$108,MATCH(C380,'Facilities'!$C$9:$C$108,0))-D380),"Unavailable"))</x:f>
      </x:c>
      <x:c r="AK380" s="21" t="str">
        <x:f>IF(C380="","",IFERROR(AL280,"Unavailable"))</x:f>
      </x:c>
      <x:c r="AL380" s="23" t="str">
        <x:f>IF(C380="","",IFERROR(IF(P380&gt;0,P380*(1-AM380/(1+INDEX('Facilities'!$K$9:$K$108,MATCH(C380,'Facilities'!$C$9:$C$108,0)))^MAX(0,AC380+INDEX('Facilities'!$AK$9:$AK$108,MATCH(C380,'Facilities'!$C$9:$C$108,0))-D380)),0),"Unavailable"))</x:f>
      </x:c>
      <x:c r="AM380" s="30" t="str">
        <x:f>IF(C380="","",IFERROR(INDEX('Facilities'!$AL$9:$AL$108,MATCH(C380,'Facilities'!$C$9:$C$108,0)),"Unavailable"))</x:f>
      </x:c>
      <x:c r="AN380" s="30" t="str">
        <x:f>IF(C380="","",IFERROR(INDEX(Credit!$T$309:$T$408,MATCH(F380,Credit!$C$309:$C$408,0)),"Unavailable"))</x:f>
      </x:c>
      <x:c r="AO380" s="23" t="str">
        <x:f>IF(C380="","",IF(AQ380&lt;&gt;"Ready","Unavailable",IF(C380="","",O380+P380+Q380*INDEX('Facilities'!$I$9:$I$108,MATCH(C380,'Facilities'!$C$9:$C$108,0)))))</x:f>
      </x:c>
      <x:c r="AP380" s="21" t="str">
        <x:f>IF(C380="","",IF(AQ380&lt;&gt;"Ready","Unavailable",IF(C380="","",AH380-U380)))</x:f>
      </x:c>
      <x:c r="AQ380" s="23" t="str">
        <x:f>IFERROR(IF(C380="","",IF(AND(INDEX('Facilities'!$AF$9:$AF$108,MATCH(C380,'Facilities'!$C$9:$C$108,0))="Ready",INDEX(Credit!$U$309:$U$408,MATCH(F380,Credit!$C$309:$C$408,0))="Ready",ISNUMBER(W380)),"Ready","Review inputs")),"Review inputs")</x:f>
      </x:c>
      <x:c r="AR380" s="23" t="str">
        <x:f>IF(C380="","",IF(AQ380&lt;&gt;"Ready","Unavailable",IF(C380="","",IF(O380=0,0,(IF(AJ380&lt;=1,O380,O380*INDEX('Facilities'!$R$9:$R$108,MATCH(C380,'Facilities'!$C$9:$C$108,0)))+O380*INDEX('Facilities'!$T$9:$T$108,MATCH(C380,'Facilities'!$C$9:$C$108,0)))/12))))</x:f>
      </x:c>
    </x:row>
    <x:row r="381" ht="26" customHeight="1">
      <x:c r="A381" s="1"/>
      <x:c r="B381" s="1"/>
      <x:c r="C381" s="9" t="str">
        <x:f>IF(Facilities!C81="","",Facilities!C81)</x:f>
      </x:c>
      <x:c r="D381" s="3" t="n">
        <x:v>4</x:v>
      </x:c>
      <x:c r="E381" s="9" t="n">
        <x:f>Settings!$F$18+3</x:f>
        <x:v>2030</x:v>
      </x:c>
      <x:c r="F381" s="9" t="str">
        <x:f>IF(C381="","",IFERROR(INDEX('Facilities'!$D$9:$D$108,MATCH(C381,'Facilities'!$C$9:$C$108,0)),"Unavailable"))</x:f>
      </x:c>
      <x:c r="G381" s="21" t="str">
        <x:f>IF(C381="","",IFERROR(O281,"Unavailable"))</x:f>
      </x:c>
      <x:c r="H381" s="21" t="str">
        <x:f>IF(C381="","",IFERROR(P281,"Unavailable"))</x:f>
      </x:c>
      <x:c r="I381" s="21" t="str">
        <x:f>IF(C381="","",IFERROR(Q281,"Unavailable"))</x:f>
      </x:c>
      <x:c r="J381" s="23" t="str">
        <x:f>IF(C381="","",IFERROR(IF(OR(H381&gt;0,AND(AC381&gt;=0,AC381&lt;D381),D381&gt;INDEX('Facilities'!$J$9:$J$108,MATCH(C381,'Facilities'!$C$9:$C$108,0))),0,I381*'Scenario Paths'!I81),"Unavailable"))</x:f>
      </x:c>
      <x:c r="K381" s="23" t="str">
        <x:f>IF(C381="","",IFERROR(IF(OR(H381&gt;0,AND(AC381&gt;=0,AC381=D381)),0,IF(D381&gt;=INDEX('Facilities'!$J$9:$J$108,MATCH(C381,'Facilities'!$C$9:$C$108,0)),G381+J381,MIN(G381+J381,G381*INDEX('Facilities'!$R$9:$R$108,MATCH(C381,'Facilities'!$C$9:$C$108,0))))),"Unavailable"))</x:f>
      </x:c>
      <x:c r="L381" s="21" t="str">
        <x:f>IF(C381="","",IFERROR(IF(AND(AC381=D381,AC381&gt;0),MAX(0,G381+J381-K381),0),"Unavailable"))</x:f>
      </x:c>
      <x:c r="M381" s="23" t="str">
        <x:f>IF(C381="","",IFERROR(IF(AND(AC381&gt;=0,D381&gt;=AC381+INDEX('Facilities'!$AK$9:$AK$108,MATCH(C381,'Facilities'!$C$9:$C$108,0))),(H381+L381)*AM381,0),"Unavailable"))</x:f>
      </x:c>
      <x:c r="N381" s="23" t="str">
        <x:f>IF(C381="","",IFERROR(IF(AND(AC381&gt;=0,D381&gt;=AC381+INDEX('Facilities'!$AK$9:$AK$108,MATCH(C381,'Facilities'!$C$9:$C$108,0))),H381+L381-M381,0),"Unavailable"))</x:f>
      </x:c>
      <x:c r="O381" s="21" t="str">
        <x:f>IF(C381="","",IFERROR(MAX(0,G381+J381-K381-L381),"Unavailable"))</x:f>
      </x:c>
      <x:c r="P381" s="21" t="str">
        <x:f>IF(C381="","",IFERROR(MAX(0,H381+L381-M381-N381),"Unavailable"))</x:f>
      </x:c>
      <x:c r="Q381" s="23" t="str">
        <x:f>IF(C381="","",IFERROR(IF(OR(D381&gt;=INDEX('Facilities'!$J$9:$J$108,MATCH(C381,'Facilities'!$C$9:$C$108,0)),AND(AC381&gt;=0,AC381&lt;=D381)),0,MAX(0,I381-J381)),"Unavailable"))</x:f>
      </x:c>
      <x:c r="R381" s="30" t="str">
        <x:f>IF(C381="","",IFERROR(INDEX(Credit!$Q$309:$Q$408,MATCH(F381,Credit!$C$309:$C$408,0)),"Unavailable"))</x:f>
      </x:c>
      <x:c r="S381" s="30" t="str">
        <x:f>IF(C381="","",IFERROR(INDEX(Credit!$R$309:$R$408,MATCH(F381,Credit!$C$309:$C$408,0)),"Unavailable"))</x:f>
      </x:c>
      <x:c r="T381" s="23" t="str">
        <x:f>IF(C381="","",IFERROR(IF(P381&gt;0,3,IF(OR(INDEX('Facilities'!$AD$9:$AD$108,MATCH(C381,'Facilities'!$C$9:$C$108,0))=2,AND(R381&gt;=INDEX('Facilities'!$L$9:$L$108,MATCH(C381,'Facilities'!$C$9:$C$108,0))*Settings!$F$19,R381-INDEX('Facilities'!$L$9:$L$108,MATCH(C381,'Facilities'!$C$9:$C$108,0))&gt;=Settings!$F$20)),2,1)),"Unavailable"))</x:f>
      </x:c>
      <x:c r="U381" s="23" t="str">
        <x:f>IF(C381="","",IF(AQ381&lt;&gt;"Ready","Unavailable",IF(C381="","",O381*(1-(1-S381)/(1+INDEX('Facilities'!$K$9:$K$108,MATCH(C381,'Facilities'!$C$9:$C$108,0)))^INDEX('Facilities'!$AK$9:$AK$108,MATCH(C381,'Facilities'!$C$9:$C$108,0)))*R381/(1+INDEX('Facilities'!$K$9:$K$108,MATCH(C381,'Facilities'!$C$9:$C$108,0)))*IF(ABS(1-(1-R381)*(1-INDEX('Facilities'!$R$9:$R$108,MATCH(C381,'Facilities'!$C$9:$C$108,0)))/(1+INDEX('Facilities'!$K$9:$K$108,MATCH(C381,'Facilities'!$C$9:$C$108,0))))&lt;0.000000001,IF(T381=1,MIN(1,AJ381),AJ381),(1-((1-R381)*(1-INDEX('Facilities'!$R$9:$R$108,MATCH(C381,'Facilities'!$C$9:$C$108,0)))/(1+INDEX('Facilities'!$K$9:$K$108,MATCH(C381,'Facilities'!$C$9:$C$108,0))))^IF(T381=1,MIN(1,AJ381),AJ381))/(1-(1-R381)*(1-INDEX('Facilities'!$R$9:$R$108,MATCH(C381,'Facilities'!$C$9:$C$108,0)))/(1+INDEX('Facilities'!$K$9:$K$108,MATCH(C381,'Facilities'!$C$9:$C$108,0)))))+AL381)))</x:f>
      </x:c>
      <x:c r="V381" s="23" t="str">
        <x:f>IF(C381="","",IF(AQ381&lt;&gt;"Ready","Unavailable",IF(C381="","",Q381*INDEX('Facilities'!$I$9:$I$108,MATCH(C381,'Facilities'!$C$9:$C$108,0))*(1-(1-S381)/(1+INDEX('Facilities'!$K$9:$K$108,MATCH(C381,'Facilities'!$C$9:$C$108,0)))^INDEX('Facilities'!$AK$9:$AK$108,MATCH(C381,'Facilities'!$C$9:$C$108,0)))*R381/(1+INDEX('Facilities'!$K$9:$K$108,MATCH(C381,'Facilities'!$C$9:$C$108,0)))*IF(ABS(1-(1-R381)*(1-0)/(1+INDEX('Facilities'!$K$9:$K$108,MATCH(C381,'Facilities'!$C$9:$C$108,0))))&lt;0.000000001,IF(T381=1,MIN(1,AJ381),AJ381),(1-((1-R381)*(1-0)/(1+INDEX('Facilities'!$K$9:$K$108,MATCH(C381,'Facilities'!$C$9:$C$108,0))))^IF(T381=1,MIN(1,AJ381),AJ381))/(1-(1-R381)*(1-0)/(1+INDEX('Facilities'!$K$9:$K$108,MATCH(C381,'Facilities'!$C$9:$C$108,0))))))))</x:f>
      </x:c>
      <x:c r="W381" s="21" t="str">
        <x:f>IF(C381="","",IFERROR(U281,"Unavailable"))</x:f>
      </x:c>
      <x:c r="X381" s="21" t="str">
        <x:f>IF(C381="","",IFERROR(V281,"Unavailable"))</x:f>
      </x:c>
      <x:c r="Y381" s="21" t="str">
        <x:f>IF(C381="","",IF(AQ381&lt;&gt;"Ready","Unavailable",IF(C381="","",U381-W381+V381-X381+N381+AG381)))</x:f>
      </x:c>
      <x:c r="Z381" s="23" t="str">
        <x:f>IF(C381="","",IF(AQ381&lt;&gt;"Ready","Unavailable",IF(C381="","",(G381+O381+L381)/2*INDEX('Facilities'!$T$9:$T$108,MATCH(C381,'Facilities'!$C$9:$C$108,0))+AG381)))</x:f>
      </x:c>
      <x:c r="AA381" s="23" t="str">
        <x:f>IF(C381="","",IF(AQ381&lt;&gt;"Ready","Unavailable",IF(C381="","",O381*(1-IF(INDEX('Facilities'!$AA$9:$AA$108,MATCH(C381,'Facilities'!$C$9:$C$108,0))=0,0,MIN(1,INDEX('Facilities'!$X$9:$X$108,MATCH(C381,'Facilities'!$C$9:$C$108,0))/INDEX('Facilities'!$AA$9:$AA$108,MATCH(C381,'Facilities'!$C$9:$C$108,0)))))*AF381+P381*(1-IF(INDEX('Facilities'!$AA$9:$AA$108,MATCH(C381,'Facilities'!$C$9:$C$108,0))=0,0,MIN(1,INDEX('Facilities'!$X$9:$X$108,MATCH(C381,'Facilities'!$C$9:$C$108,0))/INDEX('Facilities'!$AA$9:$AA$108,MATCH(C381,'Facilities'!$C$9:$C$108,0)))))*INDEX('Facilities'!$AJ$9:$AJ$108,MATCH(C381,'Facilities'!$C$9:$C$108,0))+Q381*INDEX('Facilities'!$AI$9:$AI$108,MATCH(C381,'Facilities'!$C$9:$C$108,0))*AF381)))</x:f>
      </x:c>
      <x:c r="AB381" s="21" t="str">
        <x:f>IF(C381="","",O381+P381-AD381)</x:f>
      </x:c>
      <x:c r="AC381" s="23" t="str">
        <x:f>IF(C381="","",IFERROR(IF(INDEX('Facilities'!$AD$9:$AD$108,MATCH(C381,'Facilities'!$C$9:$C$108,0))=3,0,IF(INDEX('Facilities'!$AN$9:$AN$108,MATCH(C381,'Facilities'!$C$9:$C$108,0))=0,-1,INDEX('Facilities'!$AN$9:$AN$108,MATCH(C381,'Facilities'!$C$9:$C$108,0)))),"Unavailable"))</x:f>
      </x:c>
      <x:c r="AD381" s="21" t="str">
        <x:f>IF(C381="","",IFERROR(G381+H381,"Unavailable"))</x:f>
      </x:c>
      <x:c r="AE381" s="21" t="str">
        <x:f>IF(C381="","",IF(AQ381&lt;&gt;"Ready","Unavailable",IF(C381="","",O381+P381-AD381-J381+K381+M381+N381)))</x:f>
      </x:c>
      <x:c r="AF381" s="30" t="str">
        <x:f>IF(C381="","",IFERROR(INDEX('Facilities'!$S$9:$S$108,MATCH(C381,'Facilities'!$C$9:$C$108,0))*'Scenario Paths'!I75,"Unavailable"))</x:f>
      </x:c>
      <x:c r="AG381" s="23" t="str">
        <x:f>IF(C381="","",IF(AQ381&lt;&gt;"Ready","Unavailable",IF(C381="","",IF(H381&gt;0,MAX(0,H381-AK381)*((1+INDEX('Facilities'!$K$9:$K$108,MATCH(C381,'Facilities'!$C$9:$C$108,0)))^MIN(1,MAX(0,AC381+INDEX('Facilities'!$AK$9:$AK$108,MATCH(C381,'Facilities'!$C$9:$C$108,0))-D381+1))-1),0))))</x:f>
      </x:c>
      <x:c r="AH381" s="21" t="str">
        <x:f>IF(C381="","",IF(AQ381&lt;&gt;"Ready","Unavailable",IF(C381="","",O381+P381)))</x:f>
      </x:c>
      <x:c r="AI381" s="21" t="str">
        <x:f>IF(C381="","",IF(AQ381&lt;&gt;"Ready","Unavailable",IF(C381="","",Z381-Y381)))</x:f>
      </x:c>
      <x:c r="AJ381" s="23" t="str">
        <x:f>IF(C381="","",IFERROR(MAX(0,INDEX('Facilities'!$J$9:$J$108,MATCH(C381,'Facilities'!$C$9:$C$108,0))-D381),"Unavailable"))</x:f>
      </x:c>
      <x:c r="AK381" s="21" t="str">
        <x:f>IF(C381="","",IFERROR(AL281,"Unavailable"))</x:f>
      </x:c>
      <x:c r="AL381" s="23" t="str">
        <x:f>IF(C381="","",IFERROR(IF(P381&gt;0,P381*(1-AM381/(1+INDEX('Facilities'!$K$9:$K$108,MATCH(C381,'Facilities'!$C$9:$C$108,0)))^MAX(0,AC381+INDEX('Facilities'!$AK$9:$AK$108,MATCH(C381,'Facilities'!$C$9:$C$108,0))-D381)),0),"Unavailable"))</x:f>
      </x:c>
      <x:c r="AM381" s="30" t="str">
        <x:f>IF(C381="","",IFERROR(INDEX('Facilities'!$AL$9:$AL$108,MATCH(C381,'Facilities'!$C$9:$C$108,0)),"Unavailable"))</x:f>
      </x:c>
      <x:c r="AN381" s="30" t="str">
        <x:f>IF(C381="","",IFERROR(INDEX(Credit!$T$309:$T$408,MATCH(F381,Credit!$C$309:$C$408,0)),"Unavailable"))</x:f>
      </x:c>
      <x:c r="AO381" s="23" t="str">
        <x:f>IF(C381="","",IF(AQ381&lt;&gt;"Ready","Unavailable",IF(C381="","",O381+P381+Q381*INDEX('Facilities'!$I$9:$I$108,MATCH(C381,'Facilities'!$C$9:$C$108,0)))))</x:f>
      </x:c>
      <x:c r="AP381" s="21" t="str">
        <x:f>IF(C381="","",IF(AQ381&lt;&gt;"Ready","Unavailable",IF(C381="","",AH381-U381)))</x:f>
      </x:c>
      <x:c r="AQ381" s="23" t="str">
        <x:f>IFERROR(IF(C381="","",IF(AND(INDEX('Facilities'!$AF$9:$AF$108,MATCH(C381,'Facilities'!$C$9:$C$108,0))="Ready",INDEX(Credit!$U$309:$U$408,MATCH(F381,Credit!$C$309:$C$408,0))="Ready",ISNUMBER(W381)),"Ready","Review inputs")),"Review inputs")</x:f>
      </x:c>
      <x:c r="AR381" s="23" t="str">
        <x:f>IF(C381="","",IF(AQ381&lt;&gt;"Ready","Unavailable",IF(C381="","",IF(O381=0,0,(IF(AJ381&lt;=1,O381,O381*INDEX('Facilities'!$R$9:$R$108,MATCH(C381,'Facilities'!$C$9:$C$108,0)))+O381*INDEX('Facilities'!$T$9:$T$108,MATCH(C381,'Facilities'!$C$9:$C$108,0)))/12))))</x:f>
      </x:c>
    </x:row>
    <x:row r="382" ht="26" customHeight="1">
      <x:c r="A382" s="1"/>
      <x:c r="B382" s="1"/>
      <x:c r="C382" s="9" t="str">
        <x:f>IF(Facilities!C82="","",Facilities!C82)</x:f>
      </x:c>
      <x:c r="D382" s="3" t="n">
        <x:v>4</x:v>
      </x:c>
      <x:c r="E382" s="9" t="n">
        <x:f>Settings!$F$18+3</x:f>
        <x:v>2030</x:v>
      </x:c>
      <x:c r="F382" s="9" t="str">
        <x:f>IF(C382="","",IFERROR(INDEX('Facilities'!$D$9:$D$108,MATCH(C382,'Facilities'!$C$9:$C$108,0)),"Unavailable"))</x:f>
      </x:c>
      <x:c r="G382" s="21" t="str">
        <x:f>IF(C382="","",IFERROR(O282,"Unavailable"))</x:f>
      </x:c>
      <x:c r="H382" s="21" t="str">
        <x:f>IF(C382="","",IFERROR(P282,"Unavailable"))</x:f>
      </x:c>
      <x:c r="I382" s="21" t="str">
        <x:f>IF(C382="","",IFERROR(Q282,"Unavailable"))</x:f>
      </x:c>
      <x:c r="J382" s="23" t="str">
        <x:f>IF(C382="","",IFERROR(IF(OR(H382&gt;0,AND(AC382&gt;=0,AC382&lt;D382),D382&gt;INDEX('Facilities'!$J$9:$J$108,MATCH(C382,'Facilities'!$C$9:$C$108,0))),0,I382*'Scenario Paths'!I81),"Unavailable"))</x:f>
      </x:c>
      <x:c r="K382" s="23" t="str">
        <x:f>IF(C382="","",IFERROR(IF(OR(H382&gt;0,AND(AC382&gt;=0,AC382=D382)),0,IF(D382&gt;=INDEX('Facilities'!$J$9:$J$108,MATCH(C382,'Facilities'!$C$9:$C$108,0)),G382+J382,MIN(G382+J382,G382*INDEX('Facilities'!$R$9:$R$108,MATCH(C382,'Facilities'!$C$9:$C$108,0))))),"Unavailable"))</x:f>
      </x:c>
      <x:c r="L382" s="21" t="str">
        <x:f>IF(C382="","",IFERROR(IF(AND(AC382=D382,AC382&gt;0),MAX(0,G382+J382-K382),0),"Unavailable"))</x:f>
      </x:c>
      <x:c r="M382" s="23" t="str">
        <x:f>IF(C382="","",IFERROR(IF(AND(AC382&gt;=0,D382&gt;=AC382+INDEX('Facilities'!$AK$9:$AK$108,MATCH(C382,'Facilities'!$C$9:$C$108,0))),(H382+L382)*AM382,0),"Unavailable"))</x:f>
      </x:c>
      <x:c r="N382" s="23" t="str">
        <x:f>IF(C382="","",IFERROR(IF(AND(AC382&gt;=0,D382&gt;=AC382+INDEX('Facilities'!$AK$9:$AK$108,MATCH(C382,'Facilities'!$C$9:$C$108,0))),H382+L382-M382,0),"Unavailable"))</x:f>
      </x:c>
      <x:c r="O382" s="21" t="str">
        <x:f>IF(C382="","",IFERROR(MAX(0,G382+J382-K382-L382),"Unavailable"))</x:f>
      </x:c>
      <x:c r="P382" s="21" t="str">
        <x:f>IF(C382="","",IFERROR(MAX(0,H382+L382-M382-N382),"Unavailable"))</x:f>
      </x:c>
      <x:c r="Q382" s="23" t="str">
        <x:f>IF(C382="","",IFERROR(IF(OR(D382&gt;=INDEX('Facilities'!$J$9:$J$108,MATCH(C382,'Facilities'!$C$9:$C$108,0)),AND(AC382&gt;=0,AC382&lt;=D382)),0,MAX(0,I382-J382)),"Unavailable"))</x:f>
      </x:c>
      <x:c r="R382" s="30" t="str">
        <x:f>IF(C382="","",IFERROR(INDEX(Credit!$Q$309:$Q$408,MATCH(F382,Credit!$C$309:$C$408,0)),"Unavailable"))</x:f>
      </x:c>
      <x:c r="S382" s="30" t="str">
        <x:f>IF(C382="","",IFERROR(INDEX(Credit!$R$309:$R$408,MATCH(F382,Credit!$C$309:$C$408,0)),"Unavailable"))</x:f>
      </x:c>
      <x:c r="T382" s="23" t="str">
        <x:f>IF(C382="","",IFERROR(IF(P382&gt;0,3,IF(OR(INDEX('Facilities'!$AD$9:$AD$108,MATCH(C382,'Facilities'!$C$9:$C$108,0))=2,AND(R382&gt;=INDEX('Facilities'!$L$9:$L$108,MATCH(C382,'Facilities'!$C$9:$C$108,0))*Settings!$F$19,R382-INDEX('Facilities'!$L$9:$L$108,MATCH(C382,'Facilities'!$C$9:$C$108,0))&gt;=Settings!$F$20)),2,1)),"Unavailable"))</x:f>
      </x:c>
      <x:c r="U382" s="23" t="str">
        <x:f>IF(C382="","",IF(AQ382&lt;&gt;"Ready","Unavailable",IF(C382="","",O382*(1-(1-S382)/(1+INDEX('Facilities'!$K$9:$K$108,MATCH(C382,'Facilities'!$C$9:$C$108,0)))^INDEX('Facilities'!$AK$9:$AK$108,MATCH(C382,'Facilities'!$C$9:$C$108,0)))*R382/(1+INDEX('Facilities'!$K$9:$K$108,MATCH(C382,'Facilities'!$C$9:$C$108,0)))*IF(ABS(1-(1-R382)*(1-INDEX('Facilities'!$R$9:$R$108,MATCH(C382,'Facilities'!$C$9:$C$108,0)))/(1+INDEX('Facilities'!$K$9:$K$108,MATCH(C382,'Facilities'!$C$9:$C$108,0))))&lt;0.000000001,IF(T382=1,MIN(1,AJ382),AJ382),(1-((1-R382)*(1-INDEX('Facilities'!$R$9:$R$108,MATCH(C382,'Facilities'!$C$9:$C$108,0)))/(1+INDEX('Facilities'!$K$9:$K$108,MATCH(C382,'Facilities'!$C$9:$C$108,0))))^IF(T382=1,MIN(1,AJ382),AJ382))/(1-(1-R382)*(1-INDEX('Facilities'!$R$9:$R$108,MATCH(C382,'Facilities'!$C$9:$C$108,0)))/(1+INDEX('Facilities'!$K$9:$K$108,MATCH(C382,'Facilities'!$C$9:$C$108,0)))))+AL382)))</x:f>
      </x:c>
      <x:c r="V382" s="23" t="str">
        <x:f>IF(C382="","",IF(AQ382&lt;&gt;"Ready","Unavailable",IF(C382="","",Q382*INDEX('Facilities'!$I$9:$I$108,MATCH(C382,'Facilities'!$C$9:$C$108,0))*(1-(1-S382)/(1+INDEX('Facilities'!$K$9:$K$108,MATCH(C382,'Facilities'!$C$9:$C$108,0)))^INDEX('Facilities'!$AK$9:$AK$108,MATCH(C382,'Facilities'!$C$9:$C$108,0)))*R382/(1+INDEX('Facilities'!$K$9:$K$108,MATCH(C382,'Facilities'!$C$9:$C$108,0)))*IF(ABS(1-(1-R382)*(1-0)/(1+INDEX('Facilities'!$K$9:$K$108,MATCH(C382,'Facilities'!$C$9:$C$108,0))))&lt;0.000000001,IF(T382=1,MIN(1,AJ382),AJ382),(1-((1-R382)*(1-0)/(1+INDEX('Facilities'!$K$9:$K$108,MATCH(C382,'Facilities'!$C$9:$C$108,0))))^IF(T382=1,MIN(1,AJ382),AJ382))/(1-(1-R382)*(1-0)/(1+INDEX('Facilities'!$K$9:$K$108,MATCH(C382,'Facilities'!$C$9:$C$108,0))))))))</x:f>
      </x:c>
      <x:c r="W382" s="21" t="str">
        <x:f>IF(C382="","",IFERROR(U282,"Unavailable"))</x:f>
      </x:c>
      <x:c r="X382" s="21" t="str">
        <x:f>IF(C382="","",IFERROR(V282,"Unavailable"))</x:f>
      </x:c>
      <x:c r="Y382" s="21" t="str">
        <x:f>IF(C382="","",IF(AQ382&lt;&gt;"Ready","Unavailable",IF(C382="","",U382-W382+V382-X382+N382+AG382)))</x:f>
      </x:c>
      <x:c r="Z382" s="23" t="str">
        <x:f>IF(C382="","",IF(AQ382&lt;&gt;"Ready","Unavailable",IF(C382="","",(G382+O382+L382)/2*INDEX('Facilities'!$T$9:$T$108,MATCH(C382,'Facilities'!$C$9:$C$108,0))+AG382)))</x:f>
      </x:c>
      <x:c r="AA382" s="23" t="str">
        <x:f>IF(C382="","",IF(AQ382&lt;&gt;"Ready","Unavailable",IF(C382="","",O382*(1-IF(INDEX('Facilities'!$AA$9:$AA$108,MATCH(C382,'Facilities'!$C$9:$C$108,0))=0,0,MIN(1,INDEX('Facilities'!$X$9:$X$108,MATCH(C382,'Facilities'!$C$9:$C$108,0))/INDEX('Facilities'!$AA$9:$AA$108,MATCH(C382,'Facilities'!$C$9:$C$108,0)))))*AF382+P382*(1-IF(INDEX('Facilities'!$AA$9:$AA$108,MATCH(C382,'Facilities'!$C$9:$C$108,0))=0,0,MIN(1,INDEX('Facilities'!$X$9:$X$108,MATCH(C382,'Facilities'!$C$9:$C$108,0))/INDEX('Facilities'!$AA$9:$AA$108,MATCH(C382,'Facilities'!$C$9:$C$108,0)))))*INDEX('Facilities'!$AJ$9:$AJ$108,MATCH(C382,'Facilities'!$C$9:$C$108,0))+Q382*INDEX('Facilities'!$AI$9:$AI$108,MATCH(C382,'Facilities'!$C$9:$C$108,0))*AF382)))</x:f>
      </x:c>
      <x:c r="AB382" s="21" t="str">
        <x:f>IF(C382="","",O382+P382-AD382)</x:f>
      </x:c>
      <x:c r="AC382" s="23" t="str">
        <x:f>IF(C382="","",IFERROR(IF(INDEX('Facilities'!$AD$9:$AD$108,MATCH(C382,'Facilities'!$C$9:$C$108,0))=3,0,IF(INDEX('Facilities'!$AN$9:$AN$108,MATCH(C382,'Facilities'!$C$9:$C$108,0))=0,-1,INDEX('Facilities'!$AN$9:$AN$108,MATCH(C382,'Facilities'!$C$9:$C$108,0)))),"Unavailable"))</x:f>
      </x:c>
      <x:c r="AD382" s="21" t="str">
        <x:f>IF(C382="","",IFERROR(G382+H382,"Unavailable"))</x:f>
      </x:c>
      <x:c r="AE382" s="21" t="str">
        <x:f>IF(C382="","",IF(AQ382&lt;&gt;"Ready","Unavailable",IF(C382="","",O382+P382-AD382-J382+K382+M382+N382)))</x:f>
      </x:c>
      <x:c r="AF382" s="30" t="str">
        <x:f>IF(C382="","",IFERROR(INDEX('Facilities'!$S$9:$S$108,MATCH(C382,'Facilities'!$C$9:$C$108,0))*'Scenario Paths'!I75,"Unavailable"))</x:f>
      </x:c>
      <x:c r="AG382" s="23" t="str">
        <x:f>IF(C382="","",IF(AQ382&lt;&gt;"Ready","Unavailable",IF(C382="","",IF(H382&gt;0,MAX(0,H382-AK382)*((1+INDEX('Facilities'!$K$9:$K$108,MATCH(C382,'Facilities'!$C$9:$C$108,0)))^MIN(1,MAX(0,AC382+INDEX('Facilities'!$AK$9:$AK$108,MATCH(C382,'Facilities'!$C$9:$C$108,0))-D382+1))-1),0))))</x:f>
      </x:c>
      <x:c r="AH382" s="21" t="str">
        <x:f>IF(C382="","",IF(AQ382&lt;&gt;"Ready","Unavailable",IF(C382="","",O382+P382)))</x:f>
      </x:c>
      <x:c r="AI382" s="21" t="str">
        <x:f>IF(C382="","",IF(AQ382&lt;&gt;"Ready","Unavailable",IF(C382="","",Z382-Y382)))</x:f>
      </x:c>
      <x:c r="AJ382" s="23" t="str">
        <x:f>IF(C382="","",IFERROR(MAX(0,INDEX('Facilities'!$J$9:$J$108,MATCH(C382,'Facilities'!$C$9:$C$108,0))-D382),"Unavailable"))</x:f>
      </x:c>
      <x:c r="AK382" s="21" t="str">
        <x:f>IF(C382="","",IFERROR(AL282,"Unavailable"))</x:f>
      </x:c>
      <x:c r="AL382" s="23" t="str">
        <x:f>IF(C382="","",IFERROR(IF(P382&gt;0,P382*(1-AM382/(1+INDEX('Facilities'!$K$9:$K$108,MATCH(C382,'Facilities'!$C$9:$C$108,0)))^MAX(0,AC382+INDEX('Facilities'!$AK$9:$AK$108,MATCH(C382,'Facilities'!$C$9:$C$108,0))-D382)),0),"Unavailable"))</x:f>
      </x:c>
      <x:c r="AM382" s="30" t="str">
        <x:f>IF(C382="","",IFERROR(INDEX('Facilities'!$AL$9:$AL$108,MATCH(C382,'Facilities'!$C$9:$C$108,0)),"Unavailable"))</x:f>
      </x:c>
      <x:c r="AN382" s="30" t="str">
        <x:f>IF(C382="","",IFERROR(INDEX(Credit!$T$309:$T$408,MATCH(F382,Credit!$C$309:$C$408,0)),"Unavailable"))</x:f>
      </x:c>
      <x:c r="AO382" s="23" t="str">
        <x:f>IF(C382="","",IF(AQ382&lt;&gt;"Ready","Unavailable",IF(C382="","",O382+P382+Q382*INDEX('Facilities'!$I$9:$I$108,MATCH(C382,'Facilities'!$C$9:$C$108,0)))))</x:f>
      </x:c>
      <x:c r="AP382" s="21" t="str">
        <x:f>IF(C382="","",IF(AQ382&lt;&gt;"Ready","Unavailable",IF(C382="","",AH382-U382)))</x:f>
      </x:c>
      <x:c r="AQ382" s="23" t="str">
        <x:f>IFERROR(IF(C382="","",IF(AND(INDEX('Facilities'!$AF$9:$AF$108,MATCH(C382,'Facilities'!$C$9:$C$108,0))="Ready",INDEX(Credit!$U$309:$U$408,MATCH(F382,Credit!$C$309:$C$408,0))="Ready",ISNUMBER(W382)),"Ready","Review inputs")),"Review inputs")</x:f>
      </x:c>
      <x:c r="AR382" s="23" t="str">
        <x:f>IF(C382="","",IF(AQ382&lt;&gt;"Ready","Unavailable",IF(C382="","",IF(O382=0,0,(IF(AJ382&lt;=1,O382,O382*INDEX('Facilities'!$R$9:$R$108,MATCH(C382,'Facilities'!$C$9:$C$108,0)))+O382*INDEX('Facilities'!$T$9:$T$108,MATCH(C382,'Facilities'!$C$9:$C$108,0)))/12))))</x:f>
      </x:c>
    </x:row>
    <x:row r="383" ht="26" customHeight="1">
      <x:c r="A383" s="1"/>
      <x:c r="B383" s="1"/>
      <x:c r="C383" s="9" t="str">
        <x:f>IF(Facilities!C83="","",Facilities!C83)</x:f>
      </x:c>
      <x:c r="D383" s="3" t="n">
        <x:v>4</x:v>
      </x:c>
      <x:c r="E383" s="9" t="n">
        <x:f>Settings!$F$18+3</x:f>
        <x:v>2030</x:v>
      </x:c>
      <x:c r="F383" s="9" t="str">
        <x:f>IF(C383="","",IFERROR(INDEX('Facilities'!$D$9:$D$108,MATCH(C383,'Facilities'!$C$9:$C$108,0)),"Unavailable"))</x:f>
      </x:c>
      <x:c r="G383" s="21" t="str">
        <x:f>IF(C383="","",IFERROR(O283,"Unavailable"))</x:f>
      </x:c>
      <x:c r="H383" s="21" t="str">
        <x:f>IF(C383="","",IFERROR(P283,"Unavailable"))</x:f>
      </x:c>
      <x:c r="I383" s="21" t="str">
        <x:f>IF(C383="","",IFERROR(Q283,"Unavailable"))</x:f>
      </x:c>
      <x:c r="J383" s="23" t="str">
        <x:f>IF(C383="","",IFERROR(IF(OR(H383&gt;0,AND(AC383&gt;=0,AC383&lt;D383),D383&gt;INDEX('Facilities'!$J$9:$J$108,MATCH(C383,'Facilities'!$C$9:$C$108,0))),0,I383*'Scenario Paths'!I81),"Unavailable"))</x:f>
      </x:c>
      <x:c r="K383" s="23" t="str">
        <x:f>IF(C383="","",IFERROR(IF(OR(H383&gt;0,AND(AC383&gt;=0,AC383=D383)),0,IF(D383&gt;=INDEX('Facilities'!$J$9:$J$108,MATCH(C383,'Facilities'!$C$9:$C$108,0)),G383+J383,MIN(G383+J383,G383*INDEX('Facilities'!$R$9:$R$108,MATCH(C383,'Facilities'!$C$9:$C$108,0))))),"Unavailable"))</x:f>
      </x:c>
      <x:c r="L383" s="21" t="str">
        <x:f>IF(C383="","",IFERROR(IF(AND(AC383=D383,AC383&gt;0),MAX(0,G383+J383-K383),0),"Unavailable"))</x:f>
      </x:c>
      <x:c r="M383" s="23" t="str">
        <x:f>IF(C383="","",IFERROR(IF(AND(AC383&gt;=0,D383&gt;=AC383+INDEX('Facilities'!$AK$9:$AK$108,MATCH(C383,'Facilities'!$C$9:$C$108,0))),(H383+L383)*AM383,0),"Unavailable"))</x:f>
      </x:c>
      <x:c r="N383" s="23" t="str">
        <x:f>IF(C383="","",IFERROR(IF(AND(AC383&gt;=0,D383&gt;=AC383+INDEX('Facilities'!$AK$9:$AK$108,MATCH(C383,'Facilities'!$C$9:$C$108,0))),H383+L383-M383,0),"Unavailable"))</x:f>
      </x:c>
      <x:c r="O383" s="21" t="str">
        <x:f>IF(C383="","",IFERROR(MAX(0,G383+J383-K383-L383),"Unavailable"))</x:f>
      </x:c>
      <x:c r="P383" s="21" t="str">
        <x:f>IF(C383="","",IFERROR(MAX(0,H383+L383-M383-N383),"Unavailable"))</x:f>
      </x:c>
      <x:c r="Q383" s="23" t="str">
        <x:f>IF(C383="","",IFERROR(IF(OR(D383&gt;=INDEX('Facilities'!$J$9:$J$108,MATCH(C383,'Facilities'!$C$9:$C$108,0)),AND(AC383&gt;=0,AC383&lt;=D383)),0,MAX(0,I383-J383)),"Unavailable"))</x:f>
      </x:c>
      <x:c r="R383" s="30" t="str">
        <x:f>IF(C383="","",IFERROR(INDEX(Credit!$Q$309:$Q$408,MATCH(F383,Credit!$C$309:$C$408,0)),"Unavailable"))</x:f>
      </x:c>
      <x:c r="S383" s="30" t="str">
        <x:f>IF(C383="","",IFERROR(INDEX(Credit!$R$309:$R$408,MATCH(F383,Credit!$C$309:$C$408,0)),"Unavailable"))</x:f>
      </x:c>
      <x:c r="T383" s="23" t="str">
        <x:f>IF(C383="","",IFERROR(IF(P383&gt;0,3,IF(OR(INDEX('Facilities'!$AD$9:$AD$108,MATCH(C383,'Facilities'!$C$9:$C$108,0))=2,AND(R383&gt;=INDEX('Facilities'!$L$9:$L$108,MATCH(C383,'Facilities'!$C$9:$C$108,0))*Settings!$F$19,R383-INDEX('Facilities'!$L$9:$L$108,MATCH(C383,'Facilities'!$C$9:$C$108,0))&gt;=Settings!$F$20)),2,1)),"Unavailable"))</x:f>
      </x:c>
      <x:c r="U383" s="23" t="str">
        <x:f>IF(C383="","",IF(AQ383&lt;&gt;"Ready","Unavailable",IF(C383="","",O383*(1-(1-S383)/(1+INDEX('Facilities'!$K$9:$K$108,MATCH(C383,'Facilities'!$C$9:$C$108,0)))^INDEX('Facilities'!$AK$9:$AK$108,MATCH(C383,'Facilities'!$C$9:$C$108,0)))*R383/(1+INDEX('Facilities'!$K$9:$K$108,MATCH(C383,'Facilities'!$C$9:$C$108,0)))*IF(ABS(1-(1-R383)*(1-INDEX('Facilities'!$R$9:$R$108,MATCH(C383,'Facilities'!$C$9:$C$108,0)))/(1+INDEX('Facilities'!$K$9:$K$108,MATCH(C383,'Facilities'!$C$9:$C$108,0))))&lt;0.000000001,IF(T383=1,MIN(1,AJ383),AJ383),(1-((1-R383)*(1-INDEX('Facilities'!$R$9:$R$108,MATCH(C383,'Facilities'!$C$9:$C$108,0)))/(1+INDEX('Facilities'!$K$9:$K$108,MATCH(C383,'Facilities'!$C$9:$C$108,0))))^IF(T383=1,MIN(1,AJ383),AJ383))/(1-(1-R383)*(1-INDEX('Facilities'!$R$9:$R$108,MATCH(C383,'Facilities'!$C$9:$C$108,0)))/(1+INDEX('Facilities'!$K$9:$K$108,MATCH(C383,'Facilities'!$C$9:$C$108,0)))))+AL383)))</x:f>
      </x:c>
      <x:c r="V383" s="23" t="str">
        <x:f>IF(C383="","",IF(AQ383&lt;&gt;"Ready","Unavailable",IF(C383="","",Q383*INDEX('Facilities'!$I$9:$I$108,MATCH(C383,'Facilities'!$C$9:$C$108,0))*(1-(1-S383)/(1+INDEX('Facilities'!$K$9:$K$108,MATCH(C383,'Facilities'!$C$9:$C$108,0)))^INDEX('Facilities'!$AK$9:$AK$108,MATCH(C383,'Facilities'!$C$9:$C$108,0)))*R383/(1+INDEX('Facilities'!$K$9:$K$108,MATCH(C383,'Facilities'!$C$9:$C$108,0)))*IF(ABS(1-(1-R383)*(1-0)/(1+INDEX('Facilities'!$K$9:$K$108,MATCH(C383,'Facilities'!$C$9:$C$108,0))))&lt;0.000000001,IF(T383=1,MIN(1,AJ383),AJ383),(1-((1-R383)*(1-0)/(1+INDEX('Facilities'!$K$9:$K$108,MATCH(C383,'Facilities'!$C$9:$C$108,0))))^IF(T383=1,MIN(1,AJ383),AJ383))/(1-(1-R383)*(1-0)/(1+INDEX('Facilities'!$K$9:$K$108,MATCH(C383,'Facilities'!$C$9:$C$108,0))))))))</x:f>
      </x:c>
      <x:c r="W383" s="21" t="str">
        <x:f>IF(C383="","",IFERROR(U283,"Unavailable"))</x:f>
      </x:c>
      <x:c r="X383" s="21" t="str">
        <x:f>IF(C383="","",IFERROR(V283,"Unavailable"))</x:f>
      </x:c>
      <x:c r="Y383" s="21" t="str">
        <x:f>IF(C383="","",IF(AQ383&lt;&gt;"Ready","Unavailable",IF(C383="","",U383-W383+V383-X383+N383+AG383)))</x:f>
      </x:c>
      <x:c r="Z383" s="23" t="str">
        <x:f>IF(C383="","",IF(AQ383&lt;&gt;"Ready","Unavailable",IF(C383="","",(G383+O383+L383)/2*INDEX('Facilities'!$T$9:$T$108,MATCH(C383,'Facilities'!$C$9:$C$108,0))+AG383)))</x:f>
      </x:c>
      <x:c r="AA383" s="23" t="str">
        <x:f>IF(C383="","",IF(AQ383&lt;&gt;"Ready","Unavailable",IF(C383="","",O383*(1-IF(INDEX('Facilities'!$AA$9:$AA$108,MATCH(C383,'Facilities'!$C$9:$C$108,0))=0,0,MIN(1,INDEX('Facilities'!$X$9:$X$108,MATCH(C383,'Facilities'!$C$9:$C$108,0))/INDEX('Facilities'!$AA$9:$AA$108,MATCH(C383,'Facilities'!$C$9:$C$108,0)))))*AF383+P383*(1-IF(INDEX('Facilities'!$AA$9:$AA$108,MATCH(C383,'Facilities'!$C$9:$C$108,0))=0,0,MIN(1,INDEX('Facilities'!$X$9:$X$108,MATCH(C383,'Facilities'!$C$9:$C$108,0))/INDEX('Facilities'!$AA$9:$AA$108,MATCH(C383,'Facilities'!$C$9:$C$108,0)))))*INDEX('Facilities'!$AJ$9:$AJ$108,MATCH(C383,'Facilities'!$C$9:$C$108,0))+Q383*INDEX('Facilities'!$AI$9:$AI$108,MATCH(C383,'Facilities'!$C$9:$C$108,0))*AF383)))</x:f>
      </x:c>
      <x:c r="AB383" s="21" t="str">
        <x:f>IF(C383="","",O383+P383-AD383)</x:f>
      </x:c>
      <x:c r="AC383" s="23" t="str">
        <x:f>IF(C383="","",IFERROR(IF(INDEX('Facilities'!$AD$9:$AD$108,MATCH(C383,'Facilities'!$C$9:$C$108,0))=3,0,IF(INDEX('Facilities'!$AN$9:$AN$108,MATCH(C383,'Facilities'!$C$9:$C$108,0))=0,-1,INDEX('Facilities'!$AN$9:$AN$108,MATCH(C383,'Facilities'!$C$9:$C$108,0)))),"Unavailable"))</x:f>
      </x:c>
      <x:c r="AD383" s="21" t="str">
        <x:f>IF(C383="","",IFERROR(G383+H383,"Unavailable"))</x:f>
      </x:c>
      <x:c r="AE383" s="21" t="str">
        <x:f>IF(C383="","",IF(AQ383&lt;&gt;"Ready","Unavailable",IF(C383="","",O383+P383-AD383-J383+K383+M383+N383)))</x:f>
      </x:c>
      <x:c r="AF383" s="30" t="str">
        <x:f>IF(C383="","",IFERROR(INDEX('Facilities'!$S$9:$S$108,MATCH(C383,'Facilities'!$C$9:$C$108,0))*'Scenario Paths'!I75,"Unavailable"))</x:f>
      </x:c>
      <x:c r="AG383" s="23" t="str">
        <x:f>IF(C383="","",IF(AQ383&lt;&gt;"Ready","Unavailable",IF(C383="","",IF(H383&gt;0,MAX(0,H383-AK383)*((1+INDEX('Facilities'!$K$9:$K$108,MATCH(C383,'Facilities'!$C$9:$C$108,0)))^MIN(1,MAX(0,AC383+INDEX('Facilities'!$AK$9:$AK$108,MATCH(C383,'Facilities'!$C$9:$C$108,0))-D383+1))-1),0))))</x:f>
      </x:c>
      <x:c r="AH383" s="21" t="str">
        <x:f>IF(C383="","",IF(AQ383&lt;&gt;"Ready","Unavailable",IF(C383="","",O383+P383)))</x:f>
      </x:c>
      <x:c r="AI383" s="21" t="str">
        <x:f>IF(C383="","",IF(AQ383&lt;&gt;"Ready","Unavailable",IF(C383="","",Z383-Y383)))</x:f>
      </x:c>
      <x:c r="AJ383" s="23" t="str">
        <x:f>IF(C383="","",IFERROR(MAX(0,INDEX('Facilities'!$J$9:$J$108,MATCH(C383,'Facilities'!$C$9:$C$108,0))-D383),"Unavailable"))</x:f>
      </x:c>
      <x:c r="AK383" s="21" t="str">
        <x:f>IF(C383="","",IFERROR(AL283,"Unavailable"))</x:f>
      </x:c>
      <x:c r="AL383" s="23" t="str">
        <x:f>IF(C383="","",IFERROR(IF(P383&gt;0,P383*(1-AM383/(1+INDEX('Facilities'!$K$9:$K$108,MATCH(C383,'Facilities'!$C$9:$C$108,0)))^MAX(0,AC383+INDEX('Facilities'!$AK$9:$AK$108,MATCH(C383,'Facilities'!$C$9:$C$108,0))-D383)),0),"Unavailable"))</x:f>
      </x:c>
      <x:c r="AM383" s="30" t="str">
        <x:f>IF(C383="","",IFERROR(INDEX('Facilities'!$AL$9:$AL$108,MATCH(C383,'Facilities'!$C$9:$C$108,0)),"Unavailable"))</x:f>
      </x:c>
      <x:c r="AN383" s="30" t="str">
        <x:f>IF(C383="","",IFERROR(INDEX(Credit!$T$309:$T$408,MATCH(F383,Credit!$C$309:$C$408,0)),"Unavailable"))</x:f>
      </x:c>
      <x:c r="AO383" s="23" t="str">
        <x:f>IF(C383="","",IF(AQ383&lt;&gt;"Ready","Unavailable",IF(C383="","",O383+P383+Q383*INDEX('Facilities'!$I$9:$I$108,MATCH(C383,'Facilities'!$C$9:$C$108,0)))))</x:f>
      </x:c>
      <x:c r="AP383" s="21" t="str">
        <x:f>IF(C383="","",IF(AQ383&lt;&gt;"Ready","Unavailable",IF(C383="","",AH383-U383)))</x:f>
      </x:c>
      <x:c r="AQ383" s="23" t="str">
        <x:f>IFERROR(IF(C383="","",IF(AND(INDEX('Facilities'!$AF$9:$AF$108,MATCH(C383,'Facilities'!$C$9:$C$108,0))="Ready",INDEX(Credit!$U$309:$U$408,MATCH(F383,Credit!$C$309:$C$408,0))="Ready",ISNUMBER(W383)),"Ready","Review inputs")),"Review inputs")</x:f>
      </x:c>
      <x:c r="AR383" s="23" t="str">
        <x:f>IF(C383="","",IF(AQ383&lt;&gt;"Ready","Unavailable",IF(C383="","",IF(O383=0,0,(IF(AJ383&lt;=1,O383,O383*INDEX('Facilities'!$R$9:$R$108,MATCH(C383,'Facilities'!$C$9:$C$108,0)))+O383*INDEX('Facilities'!$T$9:$T$108,MATCH(C383,'Facilities'!$C$9:$C$108,0)))/12))))</x:f>
      </x:c>
    </x:row>
    <x:row r="384" ht="26" customHeight="1">
      <x:c r="A384" s="1"/>
      <x:c r="B384" s="1"/>
      <x:c r="C384" s="9" t="str">
        <x:f>IF(Facilities!C84="","",Facilities!C84)</x:f>
      </x:c>
      <x:c r="D384" s="3" t="n">
        <x:v>4</x:v>
      </x:c>
      <x:c r="E384" s="9" t="n">
        <x:f>Settings!$F$18+3</x:f>
        <x:v>2030</x:v>
      </x:c>
      <x:c r="F384" s="9" t="str">
        <x:f>IF(C384="","",IFERROR(INDEX('Facilities'!$D$9:$D$108,MATCH(C384,'Facilities'!$C$9:$C$108,0)),"Unavailable"))</x:f>
      </x:c>
      <x:c r="G384" s="21" t="str">
        <x:f>IF(C384="","",IFERROR(O284,"Unavailable"))</x:f>
      </x:c>
      <x:c r="H384" s="21" t="str">
        <x:f>IF(C384="","",IFERROR(P284,"Unavailable"))</x:f>
      </x:c>
      <x:c r="I384" s="21" t="str">
        <x:f>IF(C384="","",IFERROR(Q284,"Unavailable"))</x:f>
      </x:c>
      <x:c r="J384" s="23" t="str">
        <x:f>IF(C384="","",IFERROR(IF(OR(H384&gt;0,AND(AC384&gt;=0,AC384&lt;D384),D384&gt;INDEX('Facilities'!$J$9:$J$108,MATCH(C384,'Facilities'!$C$9:$C$108,0))),0,I384*'Scenario Paths'!I81),"Unavailable"))</x:f>
      </x:c>
      <x:c r="K384" s="23" t="str">
        <x:f>IF(C384="","",IFERROR(IF(OR(H384&gt;0,AND(AC384&gt;=0,AC384=D384)),0,IF(D384&gt;=INDEX('Facilities'!$J$9:$J$108,MATCH(C384,'Facilities'!$C$9:$C$108,0)),G384+J384,MIN(G384+J384,G384*INDEX('Facilities'!$R$9:$R$108,MATCH(C384,'Facilities'!$C$9:$C$108,0))))),"Unavailable"))</x:f>
      </x:c>
      <x:c r="L384" s="21" t="str">
        <x:f>IF(C384="","",IFERROR(IF(AND(AC384=D384,AC384&gt;0),MAX(0,G384+J384-K384),0),"Unavailable"))</x:f>
      </x:c>
      <x:c r="M384" s="23" t="str">
        <x:f>IF(C384="","",IFERROR(IF(AND(AC384&gt;=0,D384&gt;=AC384+INDEX('Facilities'!$AK$9:$AK$108,MATCH(C384,'Facilities'!$C$9:$C$108,0))),(H384+L384)*AM384,0),"Unavailable"))</x:f>
      </x:c>
      <x:c r="N384" s="23" t="str">
        <x:f>IF(C384="","",IFERROR(IF(AND(AC384&gt;=0,D384&gt;=AC384+INDEX('Facilities'!$AK$9:$AK$108,MATCH(C384,'Facilities'!$C$9:$C$108,0))),H384+L384-M384,0),"Unavailable"))</x:f>
      </x:c>
      <x:c r="O384" s="21" t="str">
        <x:f>IF(C384="","",IFERROR(MAX(0,G384+J384-K384-L384),"Unavailable"))</x:f>
      </x:c>
      <x:c r="P384" s="21" t="str">
        <x:f>IF(C384="","",IFERROR(MAX(0,H384+L384-M384-N384),"Unavailable"))</x:f>
      </x:c>
      <x:c r="Q384" s="23" t="str">
        <x:f>IF(C384="","",IFERROR(IF(OR(D384&gt;=INDEX('Facilities'!$J$9:$J$108,MATCH(C384,'Facilities'!$C$9:$C$108,0)),AND(AC384&gt;=0,AC384&lt;=D384)),0,MAX(0,I384-J384)),"Unavailable"))</x:f>
      </x:c>
      <x:c r="R384" s="30" t="str">
        <x:f>IF(C384="","",IFERROR(INDEX(Credit!$Q$309:$Q$408,MATCH(F384,Credit!$C$309:$C$408,0)),"Unavailable"))</x:f>
      </x:c>
      <x:c r="S384" s="30" t="str">
        <x:f>IF(C384="","",IFERROR(INDEX(Credit!$R$309:$R$408,MATCH(F384,Credit!$C$309:$C$408,0)),"Unavailable"))</x:f>
      </x:c>
      <x:c r="T384" s="23" t="str">
        <x:f>IF(C384="","",IFERROR(IF(P384&gt;0,3,IF(OR(INDEX('Facilities'!$AD$9:$AD$108,MATCH(C384,'Facilities'!$C$9:$C$108,0))=2,AND(R384&gt;=INDEX('Facilities'!$L$9:$L$108,MATCH(C384,'Facilities'!$C$9:$C$108,0))*Settings!$F$19,R384-INDEX('Facilities'!$L$9:$L$108,MATCH(C384,'Facilities'!$C$9:$C$108,0))&gt;=Settings!$F$20)),2,1)),"Unavailable"))</x:f>
      </x:c>
      <x:c r="U384" s="23" t="str">
        <x:f>IF(C384="","",IF(AQ384&lt;&gt;"Ready","Unavailable",IF(C384="","",O384*(1-(1-S384)/(1+INDEX('Facilities'!$K$9:$K$108,MATCH(C384,'Facilities'!$C$9:$C$108,0)))^INDEX('Facilities'!$AK$9:$AK$108,MATCH(C384,'Facilities'!$C$9:$C$108,0)))*R384/(1+INDEX('Facilities'!$K$9:$K$108,MATCH(C384,'Facilities'!$C$9:$C$108,0)))*IF(ABS(1-(1-R384)*(1-INDEX('Facilities'!$R$9:$R$108,MATCH(C384,'Facilities'!$C$9:$C$108,0)))/(1+INDEX('Facilities'!$K$9:$K$108,MATCH(C384,'Facilities'!$C$9:$C$108,0))))&lt;0.000000001,IF(T384=1,MIN(1,AJ384),AJ384),(1-((1-R384)*(1-INDEX('Facilities'!$R$9:$R$108,MATCH(C384,'Facilities'!$C$9:$C$108,0)))/(1+INDEX('Facilities'!$K$9:$K$108,MATCH(C384,'Facilities'!$C$9:$C$108,0))))^IF(T384=1,MIN(1,AJ384),AJ384))/(1-(1-R384)*(1-INDEX('Facilities'!$R$9:$R$108,MATCH(C384,'Facilities'!$C$9:$C$108,0)))/(1+INDEX('Facilities'!$K$9:$K$108,MATCH(C384,'Facilities'!$C$9:$C$108,0)))))+AL384)))</x:f>
      </x:c>
      <x:c r="V384" s="23" t="str">
        <x:f>IF(C384="","",IF(AQ384&lt;&gt;"Ready","Unavailable",IF(C384="","",Q384*INDEX('Facilities'!$I$9:$I$108,MATCH(C384,'Facilities'!$C$9:$C$108,0))*(1-(1-S384)/(1+INDEX('Facilities'!$K$9:$K$108,MATCH(C384,'Facilities'!$C$9:$C$108,0)))^INDEX('Facilities'!$AK$9:$AK$108,MATCH(C384,'Facilities'!$C$9:$C$108,0)))*R384/(1+INDEX('Facilities'!$K$9:$K$108,MATCH(C384,'Facilities'!$C$9:$C$108,0)))*IF(ABS(1-(1-R384)*(1-0)/(1+INDEX('Facilities'!$K$9:$K$108,MATCH(C384,'Facilities'!$C$9:$C$108,0))))&lt;0.000000001,IF(T384=1,MIN(1,AJ384),AJ384),(1-((1-R384)*(1-0)/(1+INDEX('Facilities'!$K$9:$K$108,MATCH(C384,'Facilities'!$C$9:$C$108,0))))^IF(T384=1,MIN(1,AJ384),AJ384))/(1-(1-R384)*(1-0)/(1+INDEX('Facilities'!$K$9:$K$108,MATCH(C384,'Facilities'!$C$9:$C$108,0))))))))</x:f>
      </x:c>
      <x:c r="W384" s="21" t="str">
        <x:f>IF(C384="","",IFERROR(U284,"Unavailable"))</x:f>
      </x:c>
      <x:c r="X384" s="21" t="str">
        <x:f>IF(C384="","",IFERROR(V284,"Unavailable"))</x:f>
      </x:c>
      <x:c r="Y384" s="21" t="str">
        <x:f>IF(C384="","",IF(AQ384&lt;&gt;"Ready","Unavailable",IF(C384="","",U384-W384+V384-X384+N384+AG384)))</x:f>
      </x:c>
      <x:c r="Z384" s="23" t="str">
        <x:f>IF(C384="","",IF(AQ384&lt;&gt;"Ready","Unavailable",IF(C384="","",(G384+O384+L384)/2*INDEX('Facilities'!$T$9:$T$108,MATCH(C384,'Facilities'!$C$9:$C$108,0))+AG384)))</x:f>
      </x:c>
      <x:c r="AA384" s="23" t="str">
        <x:f>IF(C384="","",IF(AQ384&lt;&gt;"Ready","Unavailable",IF(C384="","",O384*(1-IF(INDEX('Facilities'!$AA$9:$AA$108,MATCH(C384,'Facilities'!$C$9:$C$108,0))=0,0,MIN(1,INDEX('Facilities'!$X$9:$X$108,MATCH(C384,'Facilities'!$C$9:$C$108,0))/INDEX('Facilities'!$AA$9:$AA$108,MATCH(C384,'Facilities'!$C$9:$C$108,0)))))*AF384+P384*(1-IF(INDEX('Facilities'!$AA$9:$AA$108,MATCH(C384,'Facilities'!$C$9:$C$108,0))=0,0,MIN(1,INDEX('Facilities'!$X$9:$X$108,MATCH(C384,'Facilities'!$C$9:$C$108,0))/INDEX('Facilities'!$AA$9:$AA$108,MATCH(C384,'Facilities'!$C$9:$C$108,0)))))*INDEX('Facilities'!$AJ$9:$AJ$108,MATCH(C384,'Facilities'!$C$9:$C$108,0))+Q384*INDEX('Facilities'!$AI$9:$AI$108,MATCH(C384,'Facilities'!$C$9:$C$108,0))*AF384)))</x:f>
      </x:c>
      <x:c r="AB384" s="21" t="str">
        <x:f>IF(C384="","",O384+P384-AD384)</x:f>
      </x:c>
      <x:c r="AC384" s="23" t="str">
        <x:f>IF(C384="","",IFERROR(IF(INDEX('Facilities'!$AD$9:$AD$108,MATCH(C384,'Facilities'!$C$9:$C$108,0))=3,0,IF(INDEX('Facilities'!$AN$9:$AN$108,MATCH(C384,'Facilities'!$C$9:$C$108,0))=0,-1,INDEX('Facilities'!$AN$9:$AN$108,MATCH(C384,'Facilities'!$C$9:$C$108,0)))),"Unavailable"))</x:f>
      </x:c>
      <x:c r="AD384" s="21" t="str">
        <x:f>IF(C384="","",IFERROR(G384+H384,"Unavailable"))</x:f>
      </x:c>
      <x:c r="AE384" s="21" t="str">
        <x:f>IF(C384="","",IF(AQ384&lt;&gt;"Ready","Unavailable",IF(C384="","",O384+P384-AD384-J384+K384+M384+N384)))</x:f>
      </x:c>
      <x:c r="AF384" s="30" t="str">
        <x:f>IF(C384="","",IFERROR(INDEX('Facilities'!$S$9:$S$108,MATCH(C384,'Facilities'!$C$9:$C$108,0))*'Scenario Paths'!I75,"Unavailable"))</x:f>
      </x:c>
      <x:c r="AG384" s="23" t="str">
        <x:f>IF(C384="","",IF(AQ384&lt;&gt;"Ready","Unavailable",IF(C384="","",IF(H384&gt;0,MAX(0,H384-AK384)*((1+INDEX('Facilities'!$K$9:$K$108,MATCH(C384,'Facilities'!$C$9:$C$108,0)))^MIN(1,MAX(0,AC384+INDEX('Facilities'!$AK$9:$AK$108,MATCH(C384,'Facilities'!$C$9:$C$108,0))-D384+1))-1),0))))</x:f>
      </x:c>
      <x:c r="AH384" s="21" t="str">
        <x:f>IF(C384="","",IF(AQ384&lt;&gt;"Ready","Unavailable",IF(C384="","",O384+P384)))</x:f>
      </x:c>
      <x:c r="AI384" s="21" t="str">
        <x:f>IF(C384="","",IF(AQ384&lt;&gt;"Ready","Unavailable",IF(C384="","",Z384-Y384)))</x:f>
      </x:c>
      <x:c r="AJ384" s="23" t="str">
        <x:f>IF(C384="","",IFERROR(MAX(0,INDEX('Facilities'!$J$9:$J$108,MATCH(C384,'Facilities'!$C$9:$C$108,0))-D384),"Unavailable"))</x:f>
      </x:c>
      <x:c r="AK384" s="21" t="str">
        <x:f>IF(C384="","",IFERROR(AL284,"Unavailable"))</x:f>
      </x:c>
      <x:c r="AL384" s="23" t="str">
        <x:f>IF(C384="","",IFERROR(IF(P384&gt;0,P384*(1-AM384/(1+INDEX('Facilities'!$K$9:$K$108,MATCH(C384,'Facilities'!$C$9:$C$108,0)))^MAX(0,AC384+INDEX('Facilities'!$AK$9:$AK$108,MATCH(C384,'Facilities'!$C$9:$C$108,0))-D384)),0),"Unavailable"))</x:f>
      </x:c>
      <x:c r="AM384" s="30" t="str">
        <x:f>IF(C384="","",IFERROR(INDEX('Facilities'!$AL$9:$AL$108,MATCH(C384,'Facilities'!$C$9:$C$108,0)),"Unavailable"))</x:f>
      </x:c>
      <x:c r="AN384" s="30" t="str">
        <x:f>IF(C384="","",IFERROR(INDEX(Credit!$T$309:$T$408,MATCH(F384,Credit!$C$309:$C$408,0)),"Unavailable"))</x:f>
      </x:c>
      <x:c r="AO384" s="23" t="str">
        <x:f>IF(C384="","",IF(AQ384&lt;&gt;"Ready","Unavailable",IF(C384="","",O384+P384+Q384*INDEX('Facilities'!$I$9:$I$108,MATCH(C384,'Facilities'!$C$9:$C$108,0)))))</x:f>
      </x:c>
      <x:c r="AP384" s="21" t="str">
        <x:f>IF(C384="","",IF(AQ384&lt;&gt;"Ready","Unavailable",IF(C384="","",AH384-U384)))</x:f>
      </x:c>
      <x:c r="AQ384" s="23" t="str">
        <x:f>IFERROR(IF(C384="","",IF(AND(INDEX('Facilities'!$AF$9:$AF$108,MATCH(C384,'Facilities'!$C$9:$C$108,0))="Ready",INDEX(Credit!$U$309:$U$408,MATCH(F384,Credit!$C$309:$C$408,0))="Ready",ISNUMBER(W384)),"Ready","Review inputs")),"Review inputs")</x:f>
      </x:c>
      <x:c r="AR384" s="23" t="str">
        <x:f>IF(C384="","",IF(AQ384&lt;&gt;"Ready","Unavailable",IF(C384="","",IF(O384=0,0,(IF(AJ384&lt;=1,O384,O384*INDEX('Facilities'!$R$9:$R$108,MATCH(C384,'Facilities'!$C$9:$C$108,0)))+O384*INDEX('Facilities'!$T$9:$T$108,MATCH(C384,'Facilities'!$C$9:$C$108,0)))/12))))</x:f>
      </x:c>
    </x:row>
    <x:row r="385" ht="26" customHeight="1">
      <x:c r="A385" s="1"/>
      <x:c r="B385" s="1"/>
      <x:c r="C385" s="9" t="str">
        <x:f>IF(Facilities!C85="","",Facilities!C85)</x:f>
      </x:c>
      <x:c r="D385" s="3" t="n">
        <x:v>4</x:v>
      </x:c>
      <x:c r="E385" s="9" t="n">
        <x:f>Settings!$F$18+3</x:f>
        <x:v>2030</x:v>
      </x:c>
      <x:c r="F385" s="9" t="str">
        <x:f>IF(C385="","",IFERROR(INDEX('Facilities'!$D$9:$D$108,MATCH(C385,'Facilities'!$C$9:$C$108,0)),"Unavailable"))</x:f>
      </x:c>
      <x:c r="G385" s="21" t="str">
        <x:f>IF(C385="","",IFERROR(O285,"Unavailable"))</x:f>
      </x:c>
      <x:c r="H385" s="21" t="str">
        <x:f>IF(C385="","",IFERROR(P285,"Unavailable"))</x:f>
      </x:c>
      <x:c r="I385" s="21" t="str">
        <x:f>IF(C385="","",IFERROR(Q285,"Unavailable"))</x:f>
      </x:c>
      <x:c r="J385" s="23" t="str">
        <x:f>IF(C385="","",IFERROR(IF(OR(H385&gt;0,AND(AC385&gt;=0,AC385&lt;D385),D385&gt;INDEX('Facilities'!$J$9:$J$108,MATCH(C385,'Facilities'!$C$9:$C$108,0))),0,I385*'Scenario Paths'!I81),"Unavailable"))</x:f>
      </x:c>
      <x:c r="K385" s="23" t="str">
        <x:f>IF(C385="","",IFERROR(IF(OR(H385&gt;0,AND(AC385&gt;=0,AC385=D385)),0,IF(D385&gt;=INDEX('Facilities'!$J$9:$J$108,MATCH(C385,'Facilities'!$C$9:$C$108,0)),G385+J385,MIN(G385+J385,G385*INDEX('Facilities'!$R$9:$R$108,MATCH(C385,'Facilities'!$C$9:$C$108,0))))),"Unavailable"))</x:f>
      </x:c>
      <x:c r="L385" s="21" t="str">
        <x:f>IF(C385="","",IFERROR(IF(AND(AC385=D385,AC385&gt;0),MAX(0,G385+J385-K385),0),"Unavailable"))</x:f>
      </x:c>
      <x:c r="M385" s="23" t="str">
        <x:f>IF(C385="","",IFERROR(IF(AND(AC385&gt;=0,D385&gt;=AC385+INDEX('Facilities'!$AK$9:$AK$108,MATCH(C385,'Facilities'!$C$9:$C$108,0))),(H385+L385)*AM385,0),"Unavailable"))</x:f>
      </x:c>
      <x:c r="N385" s="23" t="str">
        <x:f>IF(C385="","",IFERROR(IF(AND(AC385&gt;=0,D385&gt;=AC385+INDEX('Facilities'!$AK$9:$AK$108,MATCH(C385,'Facilities'!$C$9:$C$108,0))),H385+L385-M385,0),"Unavailable"))</x:f>
      </x:c>
      <x:c r="O385" s="21" t="str">
        <x:f>IF(C385="","",IFERROR(MAX(0,G385+J385-K385-L385),"Unavailable"))</x:f>
      </x:c>
      <x:c r="P385" s="21" t="str">
        <x:f>IF(C385="","",IFERROR(MAX(0,H385+L385-M385-N385),"Unavailable"))</x:f>
      </x:c>
      <x:c r="Q385" s="23" t="str">
        <x:f>IF(C385="","",IFERROR(IF(OR(D385&gt;=INDEX('Facilities'!$J$9:$J$108,MATCH(C385,'Facilities'!$C$9:$C$108,0)),AND(AC385&gt;=0,AC385&lt;=D385)),0,MAX(0,I385-J385)),"Unavailable"))</x:f>
      </x:c>
      <x:c r="R385" s="30" t="str">
        <x:f>IF(C385="","",IFERROR(INDEX(Credit!$Q$309:$Q$408,MATCH(F385,Credit!$C$309:$C$408,0)),"Unavailable"))</x:f>
      </x:c>
      <x:c r="S385" s="30" t="str">
        <x:f>IF(C385="","",IFERROR(INDEX(Credit!$R$309:$R$408,MATCH(F385,Credit!$C$309:$C$408,0)),"Unavailable"))</x:f>
      </x:c>
      <x:c r="T385" s="23" t="str">
        <x:f>IF(C385="","",IFERROR(IF(P385&gt;0,3,IF(OR(INDEX('Facilities'!$AD$9:$AD$108,MATCH(C385,'Facilities'!$C$9:$C$108,0))=2,AND(R385&gt;=INDEX('Facilities'!$L$9:$L$108,MATCH(C385,'Facilities'!$C$9:$C$108,0))*Settings!$F$19,R385-INDEX('Facilities'!$L$9:$L$108,MATCH(C385,'Facilities'!$C$9:$C$108,0))&gt;=Settings!$F$20)),2,1)),"Unavailable"))</x:f>
      </x:c>
      <x:c r="U385" s="23" t="str">
        <x:f>IF(C385="","",IF(AQ385&lt;&gt;"Ready","Unavailable",IF(C385="","",O385*(1-(1-S385)/(1+INDEX('Facilities'!$K$9:$K$108,MATCH(C385,'Facilities'!$C$9:$C$108,0)))^INDEX('Facilities'!$AK$9:$AK$108,MATCH(C385,'Facilities'!$C$9:$C$108,0)))*R385/(1+INDEX('Facilities'!$K$9:$K$108,MATCH(C385,'Facilities'!$C$9:$C$108,0)))*IF(ABS(1-(1-R385)*(1-INDEX('Facilities'!$R$9:$R$108,MATCH(C385,'Facilities'!$C$9:$C$108,0)))/(1+INDEX('Facilities'!$K$9:$K$108,MATCH(C385,'Facilities'!$C$9:$C$108,0))))&lt;0.000000001,IF(T385=1,MIN(1,AJ385),AJ385),(1-((1-R385)*(1-INDEX('Facilities'!$R$9:$R$108,MATCH(C385,'Facilities'!$C$9:$C$108,0)))/(1+INDEX('Facilities'!$K$9:$K$108,MATCH(C385,'Facilities'!$C$9:$C$108,0))))^IF(T385=1,MIN(1,AJ385),AJ385))/(1-(1-R385)*(1-INDEX('Facilities'!$R$9:$R$108,MATCH(C385,'Facilities'!$C$9:$C$108,0)))/(1+INDEX('Facilities'!$K$9:$K$108,MATCH(C385,'Facilities'!$C$9:$C$108,0)))))+AL385)))</x:f>
      </x:c>
      <x:c r="V385" s="23" t="str">
        <x:f>IF(C385="","",IF(AQ385&lt;&gt;"Ready","Unavailable",IF(C385="","",Q385*INDEX('Facilities'!$I$9:$I$108,MATCH(C385,'Facilities'!$C$9:$C$108,0))*(1-(1-S385)/(1+INDEX('Facilities'!$K$9:$K$108,MATCH(C385,'Facilities'!$C$9:$C$108,0)))^INDEX('Facilities'!$AK$9:$AK$108,MATCH(C385,'Facilities'!$C$9:$C$108,0)))*R385/(1+INDEX('Facilities'!$K$9:$K$108,MATCH(C385,'Facilities'!$C$9:$C$108,0)))*IF(ABS(1-(1-R385)*(1-0)/(1+INDEX('Facilities'!$K$9:$K$108,MATCH(C385,'Facilities'!$C$9:$C$108,0))))&lt;0.000000001,IF(T385=1,MIN(1,AJ385),AJ385),(1-((1-R385)*(1-0)/(1+INDEX('Facilities'!$K$9:$K$108,MATCH(C385,'Facilities'!$C$9:$C$108,0))))^IF(T385=1,MIN(1,AJ385),AJ385))/(1-(1-R385)*(1-0)/(1+INDEX('Facilities'!$K$9:$K$108,MATCH(C385,'Facilities'!$C$9:$C$108,0))))))))</x:f>
      </x:c>
      <x:c r="W385" s="21" t="str">
        <x:f>IF(C385="","",IFERROR(U285,"Unavailable"))</x:f>
      </x:c>
      <x:c r="X385" s="21" t="str">
        <x:f>IF(C385="","",IFERROR(V285,"Unavailable"))</x:f>
      </x:c>
      <x:c r="Y385" s="21" t="str">
        <x:f>IF(C385="","",IF(AQ385&lt;&gt;"Ready","Unavailable",IF(C385="","",U385-W385+V385-X385+N385+AG385)))</x:f>
      </x:c>
      <x:c r="Z385" s="23" t="str">
        <x:f>IF(C385="","",IF(AQ385&lt;&gt;"Ready","Unavailable",IF(C385="","",(G385+O385+L385)/2*INDEX('Facilities'!$T$9:$T$108,MATCH(C385,'Facilities'!$C$9:$C$108,0))+AG385)))</x:f>
      </x:c>
      <x:c r="AA385" s="23" t="str">
        <x:f>IF(C385="","",IF(AQ385&lt;&gt;"Ready","Unavailable",IF(C385="","",O385*(1-IF(INDEX('Facilities'!$AA$9:$AA$108,MATCH(C385,'Facilities'!$C$9:$C$108,0))=0,0,MIN(1,INDEX('Facilities'!$X$9:$X$108,MATCH(C385,'Facilities'!$C$9:$C$108,0))/INDEX('Facilities'!$AA$9:$AA$108,MATCH(C385,'Facilities'!$C$9:$C$108,0)))))*AF385+P385*(1-IF(INDEX('Facilities'!$AA$9:$AA$108,MATCH(C385,'Facilities'!$C$9:$C$108,0))=0,0,MIN(1,INDEX('Facilities'!$X$9:$X$108,MATCH(C385,'Facilities'!$C$9:$C$108,0))/INDEX('Facilities'!$AA$9:$AA$108,MATCH(C385,'Facilities'!$C$9:$C$108,0)))))*INDEX('Facilities'!$AJ$9:$AJ$108,MATCH(C385,'Facilities'!$C$9:$C$108,0))+Q385*INDEX('Facilities'!$AI$9:$AI$108,MATCH(C385,'Facilities'!$C$9:$C$108,0))*AF385)))</x:f>
      </x:c>
      <x:c r="AB385" s="21" t="str">
        <x:f>IF(C385="","",O385+P385-AD385)</x:f>
      </x:c>
      <x:c r="AC385" s="23" t="str">
        <x:f>IF(C385="","",IFERROR(IF(INDEX('Facilities'!$AD$9:$AD$108,MATCH(C385,'Facilities'!$C$9:$C$108,0))=3,0,IF(INDEX('Facilities'!$AN$9:$AN$108,MATCH(C385,'Facilities'!$C$9:$C$108,0))=0,-1,INDEX('Facilities'!$AN$9:$AN$108,MATCH(C385,'Facilities'!$C$9:$C$108,0)))),"Unavailable"))</x:f>
      </x:c>
      <x:c r="AD385" s="21" t="str">
        <x:f>IF(C385="","",IFERROR(G385+H385,"Unavailable"))</x:f>
      </x:c>
      <x:c r="AE385" s="21" t="str">
        <x:f>IF(C385="","",IF(AQ385&lt;&gt;"Ready","Unavailable",IF(C385="","",O385+P385-AD385-J385+K385+M385+N385)))</x:f>
      </x:c>
      <x:c r="AF385" s="30" t="str">
        <x:f>IF(C385="","",IFERROR(INDEX('Facilities'!$S$9:$S$108,MATCH(C385,'Facilities'!$C$9:$C$108,0))*'Scenario Paths'!I75,"Unavailable"))</x:f>
      </x:c>
      <x:c r="AG385" s="23" t="str">
        <x:f>IF(C385="","",IF(AQ385&lt;&gt;"Ready","Unavailable",IF(C385="","",IF(H385&gt;0,MAX(0,H385-AK385)*((1+INDEX('Facilities'!$K$9:$K$108,MATCH(C385,'Facilities'!$C$9:$C$108,0)))^MIN(1,MAX(0,AC385+INDEX('Facilities'!$AK$9:$AK$108,MATCH(C385,'Facilities'!$C$9:$C$108,0))-D385+1))-1),0))))</x:f>
      </x:c>
      <x:c r="AH385" s="21" t="str">
        <x:f>IF(C385="","",IF(AQ385&lt;&gt;"Ready","Unavailable",IF(C385="","",O385+P385)))</x:f>
      </x:c>
      <x:c r="AI385" s="21" t="str">
        <x:f>IF(C385="","",IF(AQ385&lt;&gt;"Ready","Unavailable",IF(C385="","",Z385-Y385)))</x:f>
      </x:c>
      <x:c r="AJ385" s="23" t="str">
        <x:f>IF(C385="","",IFERROR(MAX(0,INDEX('Facilities'!$J$9:$J$108,MATCH(C385,'Facilities'!$C$9:$C$108,0))-D385),"Unavailable"))</x:f>
      </x:c>
      <x:c r="AK385" s="21" t="str">
        <x:f>IF(C385="","",IFERROR(AL285,"Unavailable"))</x:f>
      </x:c>
      <x:c r="AL385" s="23" t="str">
        <x:f>IF(C385="","",IFERROR(IF(P385&gt;0,P385*(1-AM385/(1+INDEX('Facilities'!$K$9:$K$108,MATCH(C385,'Facilities'!$C$9:$C$108,0)))^MAX(0,AC385+INDEX('Facilities'!$AK$9:$AK$108,MATCH(C385,'Facilities'!$C$9:$C$108,0))-D385)),0),"Unavailable"))</x:f>
      </x:c>
      <x:c r="AM385" s="30" t="str">
        <x:f>IF(C385="","",IFERROR(INDEX('Facilities'!$AL$9:$AL$108,MATCH(C385,'Facilities'!$C$9:$C$108,0)),"Unavailable"))</x:f>
      </x:c>
      <x:c r="AN385" s="30" t="str">
        <x:f>IF(C385="","",IFERROR(INDEX(Credit!$T$309:$T$408,MATCH(F385,Credit!$C$309:$C$408,0)),"Unavailable"))</x:f>
      </x:c>
      <x:c r="AO385" s="23" t="str">
        <x:f>IF(C385="","",IF(AQ385&lt;&gt;"Ready","Unavailable",IF(C385="","",O385+P385+Q385*INDEX('Facilities'!$I$9:$I$108,MATCH(C385,'Facilities'!$C$9:$C$108,0)))))</x:f>
      </x:c>
      <x:c r="AP385" s="21" t="str">
        <x:f>IF(C385="","",IF(AQ385&lt;&gt;"Ready","Unavailable",IF(C385="","",AH385-U385)))</x:f>
      </x:c>
      <x:c r="AQ385" s="23" t="str">
        <x:f>IFERROR(IF(C385="","",IF(AND(INDEX('Facilities'!$AF$9:$AF$108,MATCH(C385,'Facilities'!$C$9:$C$108,0))="Ready",INDEX(Credit!$U$309:$U$408,MATCH(F385,Credit!$C$309:$C$408,0))="Ready",ISNUMBER(W385)),"Ready","Review inputs")),"Review inputs")</x:f>
      </x:c>
      <x:c r="AR385" s="23" t="str">
        <x:f>IF(C385="","",IF(AQ385&lt;&gt;"Ready","Unavailable",IF(C385="","",IF(O385=0,0,(IF(AJ385&lt;=1,O385,O385*INDEX('Facilities'!$R$9:$R$108,MATCH(C385,'Facilities'!$C$9:$C$108,0)))+O385*INDEX('Facilities'!$T$9:$T$108,MATCH(C385,'Facilities'!$C$9:$C$108,0)))/12))))</x:f>
      </x:c>
    </x:row>
    <x:row r="386" ht="26" customHeight="1">
      <x:c r="A386" s="1"/>
      <x:c r="B386" s="1"/>
      <x:c r="C386" s="9" t="str">
        <x:f>IF(Facilities!C86="","",Facilities!C86)</x:f>
      </x:c>
      <x:c r="D386" s="3" t="n">
        <x:v>4</x:v>
      </x:c>
      <x:c r="E386" s="9" t="n">
        <x:f>Settings!$F$18+3</x:f>
        <x:v>2030</x:v>
      </x:c>
      <x:c r="F386" s="9" t="str">
        <x:f>IF(C386="","",IFERROR(INDEX('Facilities'!$D$9:$D$108,MATCH(C386,'Facilities'!$C$9:$C$108,0)),"Unavailable"))</x:f>
      </x:c>
      <x:c r="G386" s="21" t="str">
        <x:f>IF(C386="","",IFERROR(O286,"Unavailable"))</x:f>
      </x:c>
      <x:c r="H386" s="21" t="str">
        <x:f>IF(C386="","",IFERROR(P286,"Unavailable"))</x:f>
      </x:c>
      <x:c r="I386" s="21" t="str">
        <x:f>IF(C386="","",IFERROR(Q286,"Unavailable"))</x:f>
      </x:c>
      <x:c r="J386" s="23" t="str">
        <x:f>IF(C386="","",IFERROR(IF(OR(H386&gt;0,AND(AC386&gt;=0,AC386&lt;D386),D386&gt;INDEX('Facilities'!$J$9:$J$108,MATCH(C386,'Facilities'!$C$9:$C$108,0))),0,I386*'Scenario Paths'!I81),"Unavailable"))</x:f>
      </x:c>
      <x:c r="K386" s="23" t="str">
        <x:f>IF(C386="","",IFERROR(IF(OR(H386&gt;0,AND(AC386&gt;=0,AC386=D386)),0,IF(D386&gt;=INDEX('Facilities'!$J$9:$J$108,MATCH(C386,'Facilities'!$C$9:$C$108,0)),G386+J386,MIN(G386+J386,G386*INDEX('Facilities'!$R$9:$R$108,MATCH(C386,'Facilities'!$C$9:$C$108,0))))),"Unavailable"))</x:f>
      </x:c>
      <x:c r="L386" s="21" t="str">
        <x:f>IF(C386="","",IFERROR(IF(AND(AC386=D386,AC386&gt;0),MAX(0,G386+J386-K386),0),"Unavailable"))</x:f>
      </x:c>
      <x:c r="M386" s="23" t="str">
        <x:f>IF(C386="","",IFERROR(IF(AND(AC386&gt;=0,D386&gt;=AC386+INDEX('Facilities'!$AK$9:$AK$108,MATCH(C386,'Facilities'!$C$9:$C$108,0))),(H386+L386)*AM386,0),"Unavailable"))</x:f>
      </x:c>
      <x:c r="N386" s="23" t="str">
        <x:f>IF(C386="","",IFERROR(IF(AND(AC386&gt;=0,D386&gt;=AC386+INDEX('Facilities'!$AK$9:$AK$108,MATCH(C386,'Facilities'!$C$9:$C$108,0))),H386+L386-M386,0),"Unavailable"))</x:f>
      </x:c>
      <x:c r="O386" s="21" t="str">
        <x:f>IF(C386="","",IFERROR(MAX(0,G386+J386-K386-L386),"Unavailable"))</x:f>
      </x:c>
      <x:c r="P386" s="21" t="str">
        <x:f>IF(C386="","",IFERROR(MAX(0,H386+L386-M386-N386),"Unavailable"))</x:f>
      </x:c>
      <x:c r="Q386" s="23" t="str">
        <x:f>IF(C386="","",IFERROR(IF(OR(D386&gt;=INDEX('Facilities'!$J$9:$J$108,MATCH(C386,'Facilities'!$C$9:$C$108,0)),AND(AC386&gt;=0,AC386&lt;=D386)),0,MAX(0,I386-J386)),"Unavailable"))</x:f>
      </x:c>
      <x:c r="R386" s="30" t="str">
        <x:f>IF(C386="","",IFERROR(INDEX(Credit!$Q$309:$Q$408,MATCH(F386,Credit!$C$309:$C$408,0)),"Unavailable"))</x:f>
      </x:c>
      <x:c r="S386" s="30" t="str">
        <x:f>IF(C386="","",IFERROR(INDEX(Credit!$R$309:$R$408,MATCH(F386,Credit!$C$309:$C$408,0)),"Unavailable"))</x:f>
      </x:c>
      <x:c r="T386" s="23" t="str">
        <x:f>IF(C386="","",IFERROR(IF(P386&gt;0,3,IF(OR(INDEX('Facilities'!$AD$9:$AD$108,MATCH(C386,'Facilities'!$C$9:$C$108,0))=2,AND(R386&gt;=INDEX('Facilities'!$L$9:$L$108,MATCH(C386,'Facilities'!$C$9:$C$108,0))*Settings!$F$19,R386-INDEX('Facilities'!$L$9:$L$108,MATCH(C386,'Facilities'!$C$9:$C$108,0))&gt;=Settings!$F$20)),2,1)),"Unavailable"))</x:f>
      </x:c>
      <x:c r="U386" s="23" t="str">
        <x:f>IF(C386="","",IF(AQ386&lt;&gt;"Ready","Unavailable",IF(C386="","",O386*(1-(1-S386)/(1+INDEX('Facilities'!$K$9:$K$108,MATCH(C386,'Facilities'!$C$9:$C$108,0)))^INDEX('Facilities'!$AK$9:$AK$108,MATCH(C386,'Facilities'!$C$9:$C$108,0)))*R386/(1+INDEX('Facilities'!$K$9:$K$108,MATCH(C386,'Facilities'!$C$9:$C$108,0)))*IF(ABS(1-(1-R386)*(1-INDEX('Facilities'!$R$9:$R$108,MATCH(C386,'Facilities'!$C$9:$C$108,0)))/(1+INDEX('Facilities'!$K$9:$K$108,MATCH(C386,'Facilities'!$C$9:$C$108,0))))&lt;0.000000001,IF(T386=1,MIN(1,AJ386),AJ386),(1-((1-R386)*(1-INDEX('Facilities'!$R$9:$R$108,MATCH(C386,'Facilities'!$C$9:$C$108,0)))/(1+INDEX('Facilities'!$K$9:$K$108,MATCH(C386,'Facilities'!$C$9:$C$108,0))))^IF(T386=1,MIN(1,AJ386),AJ386))/(1-(1-R386)*(1-INDEX('Facilities'!$R$9:$R$108,MATCH(C386,'Facilities'!$C$9:$C$108,0)))/(1+INDEX('Facilities'!$K$9:$K$108,MATCH(C386,'Facilities'!$C$9:$C$108,0)))))+AL386)))</x:f>
      </x:c>
      <x:c r="V386" s="23" t="str">
        <x:f>IF(C386="","",IF(AQ386&lt;&gt;"Ready","Unavailable",IF(C386="","",Q386*INDEX('Facilities'!$I$9:$I$108,MATCH(C386,'Facilities'!$C$9:$C$108,0))*(1-(1-S386)/(1+INDEX('Facilities'!$K$9:$K$108,MATCH(C386,'Facilities'!$C$9:$C$108,0)))^INDEX('Facilities'!$AK$9:$AK$108,MATCH(C386,'Facilities'!$C$9:$C$108,0)))*R386/(1+INDEX('Facilities'!$K$9:$K$108,MATCH(C386,'Facilities'!$C$9:$C$108,0)))*IF(ABS(1-(1-R386)*(1-0)/(1+INDEX('Facilities'!$K$9:$K$108,MATCH(C386,'Facilities'!$C$9:$C$108,0))))&lt;0.000000001,IF(T386=1,MIN(1,AJ386),AJ386),(1-((1-R386)*(1-0)/(1+INDEX('Facilities'!$K$9:$K$108,MATCH(C386,'Facilities'!$C$9:$C$108,0))))^IF(T386=1,MIN(1,AJ386),AJ386))/(1-(1-R386)*(1-0)/(1+INDEX('Facilities'!$K$9:$K$108,MATCH(C386,'Facilities'!$C$9:$C$108,0))))))))</x:f>
      </x:c>
      <x:c r="W386" s="21" t="str">
        <x:f>IF(C386="","",IFERROR(U286,"Unavailable"))</x:f>
      </x:c>
      <x:c r="X386" s="21" t="str">
        <x:f>IF(C386="","",IFERROR(V286,"Unavailable"))</x:f>
      </x:c>
      <x:c r="Y386" s="21" t="str">
        <x:f>IF(C386="","",IF(AQ386&lt;&gt;"Ready","Unavailable",IF(C386="","",U386-W386+V386-X386+N386+AG386)))</x:f>
      </x:c>
      <x:c r="Z386" s="23" t="str">
        <x:f>IF(C386="","",IF(AQ386&lt;&gt;"Ready","Unavailable",IF(C386="","",(G386+O386+L386)/2*INDEX('Facilities'!$T$9:$T$108,MATCH(C386,'Facilities'!$C$9:$C$108,0))+AG386)))</x:f>
      </x:c>
      <x:c r="AA386" s="23" t="str">
        <x:f>IF(C386="","",IF(AQ386&lt;&gt;"Ready","Unavailable",IF(C386="","",O386*(1-IF(INDEX('Facilities'!$AA$9:$AA$108,MATCH(C386,'Facilities'!$C$9:$C$108,0))=0,0,MIN(1,INDEX('Facilities'!$X$9:$X$108,MATCH(C386,'Facilities'!$C$9:$C$108,0))/INDEX('Facilities'!$AA$9:$AA$108,MATCH(C386,'Facilities'!$C$9:$C$108,0)))))*AF386+P386*(1-IF(INDEX('Facilities'!$AA$9:$AA$108,MATCH(C386,'Facilities'!$C$9:$C$108,0))=0,0,MIN(1,INDEX('Facilities'!$X$9:$X$108,MATCH(C386,'Facilities'!$C$9:$C$108,0))/INDEX('Facilities'!$AA$9:$AA$108,MATCH(C386,'Facilities'!$C$9:$C$108,0)))))*INDEX('Facilities'!$AJ$9:$AJ$108,MATCH(C386,'Facilities'!$C$9:$C$108,0))+Q386*INDEX('Facilities'!$AI$9:$AI$108,MATCH(C386,'Facilities'!$C$9:$C$108,0))*AF386)))</x:f>
      </x:c>
      <x:c r="AB386" s="21" t="str">
        <x:f>IF(C386="","",O386+P386-AD386)</x:f>
      </x:c>
      <x:c r="AC386" s="23" t="str">
        <x:f>IF(C386="","",IFERROR(IF(INDEX('Facilities'!$AD$9:$AD$108,MATCH(C386,'Facilities'!$C$9:$C$108,0))=3,0,IF(INDEX('Facilities'!$AN$9:$AN$108,MATCH(C386,'Facilities'!$C$9:$C$108,0))=0,-1,INDEX('Facilities'!$AN$9:$AN$108,MATCH(C386,'Facilities'!$C$9:$C$108,0)))),"Unavailable"))</x:f>
      </x:c>
      <x:c r="AD386" s="21" t="str">
        <x:f>IF(C386="","",IFERROR(G386+H386,"Unavailable"))</x:f>
      </x:c>
      <x:c r="AE386" s="21" t="str">
        <x:f>IF(C386="","",IF(AQ386&lt;&gt;"Ready","Unavailable",IF(C386="","",O386+P386-AD386-J386+K386+M386+N386)))</x:f>
      </x:c>
      <x:c r="AF386" s="30" t="str">
        <x:f>IF(C386="","",IFERROR(INDEX('Facilities'!$S$9:$S$108,MATCH(C386,'Facilities'!$C$9:$C$108,0))*'Scenario Paths'!I75,"Unavailable"))</x:f>
      </x:c>
      <x:c r="AG386" s="23" t="str">
        <x:f>IF(C386="","",IF(AQ386&lt;&gt;"Ready","Unavailable",IF(C386="","",IF(H386&gt;0,MAX(0,H386-AK386)*((1+INDEX('Facilities'!$K$9:$K$108,MATCH(C386,'Facilities'!$C$9:$C$108,0)))^MIN(1,MAX(0,AC386+INDEX('Facilities'!$AK$9:$AK$108,MATCH(C386,'Facilities'!$C$9:$C$108,0))-D386+1))-1),0))))</x:f>
      </x:c>
      <x:c r="AH386" s="21" t="str">
        <x:f>IF(C386="","",IF(AQ386&lt;&gt;"Ready","Unavailable",IF(C386="","",O386+P386)))</x:f>
      </x:c>
      <x:c r="AI386" s="21" t="str">
        <x:f>IF(C386="","",IF(AQ386&lt;&gt;"Ready","Unavailable",IF(C386="","",Z386-Y386)))</x:f>
      </x:c>
      <x:c r="AJ386" s="23" t="str">
        <x:f>IF(C386="","",IFERROR(MAX(0,INDEX('Facilities'!$J$9:$J$108,MATCH(C386,'Facilities'!$C$9:$C$108,0))-D386),"Unavailable"))</x:f>
      </x:c>
      <x:c r="AK386" s="21" t="str">
        <x:f>IF(C386="","",IFERROR(AL286,"Unavailable"))</x:f>
      </x:c>
      <x:c r="AL386" s="23" t="str">
        <x:f>IF(C386="","",IFERROR(IF(P386&gt;0,P386*(1-AM386/(1+INDEX('Facilities'!$K$9:$K$108,MATCH(C386,'Facilities'!$C$9:$C$108,0)))^MAX(0,AC386+INDEX('Facilities'!$AK$9:$AK$108,MATCH(C386,'Facilities'!$C$9:$C$108,0))-D386)),0),"Unavailable"))</x:f>
      </x:c>
      <x:c r="AM386" s="30" t="str">
        <x:f>IF(C386="","",IFERROR(INDEX('Facilities'!$AL$9:$AL$108,MATCH(C386,'Facilities'!$C$9:$C$108,0)),"Unavailable"))</x:f>
      </x:c>
      <x:c r="AN386" s="30" t="str">
        <x:f>IF(C386="","",IFERROR(INDEX(Credit!$T$309:$T$408,MATCH(F386,Credit!$C$309:$C$408,0)),"Unavailable"))</x:f>
      </x:c>
      <x:c r="AO386" s="23" t="str">
        <x:f>IF(C386="","",IF(AQ386&lt;&gt;"Ready","Unavailable",IF(C386="","",O386+P386+Q386*INDEX('Facilities'!$I$9:$I$108,MATCH(C386,'Facilities'!$C$9:$C$108,0)))))</x:f>
      </x:c>
      <x:c r="AP386" s="21" t="str">
        <x:f>IF(C386="","",IF(AQ386&lt;&gt;"Ready","Unavailable",IF(C386="","",AH386-U386)))</x:f>
      </x:c>
      <x:c r="AQ386" s="23" t="str">
        <x:f>IFERROR(IF(C386="","",IF(AND(INDEX('Facilities'!$AF$9:$AF$108,MATCH(C386,'Facilities'!$C$9:$C$108,0))="Ready",INDEX(Credit!$U$309:$U$408,MATCH(F386,Credit!$C$309:$C$408,0))="Ready",ISNUMBER(W386)),"Ready","Review inputs")),"Review inputs")</x:f>
      </x:c>
      <x:c r="AR386" s="23" t="str">
        <x:f>IF(C386="","",IF(AQ386&lt;&gt;"Ready","Unavailable",IF(C386="","",IF(O386=0,0,(IF(AJ386&lt;=1,O386,O386*INDEX('Facilities'!$R$9:$R$108,MATCH(C386,'Facilities'!$C$9:$C$108,0)))+O386*INDEX('Facilities'!$T$9:$T$108,MATCH(C386,'Facilities'!$C$9:$C$108,0)))/12))))</x:f>
      </x:c>
    </x:row>
    <x:row r="387" ht="26" customHeight="1">
      <x:c r="A387" s="1"/>
      <x:c r="B387" s="1"/>
      <x:c r="C387" s="9" t="str">
        <x:f>IF(Facilities!C87="","",Facilities!C87)</x:f>
      </x:c>
      <x:c r="D387" s="3" t="n">
        <x:v>4</x:v>
      </x:c>
      <x:c r="E387" s="9" t="n">
        <x:f>Settings!$F$18+3</x:f>
        <x:v>2030</x:v>
      </x:c>
      <x:c r="F387" s="9" t="str">
        <x:f>IF(C387="","",IFERROR(INDEX('Facilities'!$D$9:$D$108,MATCH(C387,'Facilities'!$C$9:$C$108,0)),"Unavailable"))</x:f>
      </x:c>
      <x:c r="G387" s="21" t="str">
        <x:f>IF(C387="","",IFERROR(O287,"Unavailable"))</x:f>
      </x:c>
      <x:c r="H387" s="21" t="str">
        <x:f>IF(C387="","",IFERROR(P287,"Unavailable"))</x:f>
      </x:c>
      <x:c r="I387" s="21" t="str">
        <x:f>IF(C387="","",IFERROR(Q287,"Unavailable"))</x:f>
      </x:c>
      <x:c r="J387" s="23" t="str">
        <x:f>IF(C387="","",IFERROR(IF(OR(H387&gt;0,AND(AC387&gt;=0,AC387&lt;D387),D387&gt;INDEX('Facilities'!$J$9:$J$108,MATCH(C387,'Facilities'!$C$9:$C$108,0))),0,I387*'Scenario Paths'!I81),"Unavailable"))</x:f>
      </x:c>
      <x:c r="K387" s="23" t="str">
        <x:f>IF(C387="","",IFERROR(IF(OR(H387&gt;0,AND(AC387&gt;=0,AC387=D387)),0,IF(D387&gt;=INDEX('Facilities'!$J$9:$J$108,MATCH(C387,'Facilities'!$C$9:$C$108,0)),G387+J387,MIN(G387+J387,G387*INDEX('Facilities'!$R$9:$R$108,MATCH(C387,'Facilities'!$C$9:$C$108,0))))),"Unavailable"))</x:f>
      </x:c>
      <x:c r="L387" s="21" t="str">
        <x:f>IF(C387="","",IFERROR(IF(AND(AC387=D387,AC387&gt;0),MAX(0,G387+J387-K387),0),"Unavailable"))</x:f>
      </x:c>
      <x:c r="M387" s="23" t="str">
        <x:f>IF(C387="","",IFERROR(IF(AND(AC387&gt;=0,D387&gt;=AC387+INDEX('Facilities'!$AK$9:$AK$108,MATCH(C387,'Facilities'!$C$9:$C$108,0))),(H387+L387)*AM387,0),"Unavailable"))</x:f>
      </x:c>
      <x:c r="N387" s="23" t="str">
        <x:f>IF(C387="","",IFERROR(IF(AND(AC387&gt;=0,D387&gt;=AC387+INDEX('Facilities'!$AK$9:$AK$108,MATCH(C387,'Facilities'!$C$9:$C$108,0))),H387+L387-M387,0),"Unavailable"))</x:f>
      </x:c>
      <x:c r="O387" s="21" t="str">
        <x:f>IF(C387="","",IFERROR(MAX(0,G387+J387-K387-L387),"Unavailable"))</x:f>
      </x:c>
      <x:c r="P387" s="21" t="str">
        <x:f>IF(C387="","",IFERROR(MAX(0,H387+L387-M387-N387),"Unavailable"))</x:f>
      </x:c>
      <x:c r="Q387" s="23" t="str">
        <x:f>IF(C387="","",IFERROR(IF(OR(D387&gt;=INDEX('Facilities'!$J$9:$J$108,MATCH(C387,'Facilities'!$C$9:$C$108,0)),AND(AC387&gt;=0,AC387&lt;=D387)),0,MAX(0,I387-J387)),"Unavailable"))</x:f>
      </x:c>
      <x:c r="R387" s="30" t="str">
        <x:f>IF(C387="","",IFERROR(INDEX(Credit!$Q$309:$Q$408,MATCH(F387,Credit!$C$309:$C$408,0)),"Unavailable"))</x:f>
      </x:c>
      <x:c r="S387" s="30" t="str">
        <x:f>IF(C387="","",IFERROR(INDEX(Credit!$R$309:$R$408,MATCH(F387,Credit!$C$309:$C$408,0)),"Unavailable"))</x:f>
      </x:c>
      <x:c r="T387" s="23" t="str">
        <x:f>IF(C387="","",IFERROR(IF(P387&gt;0,3,IF(OR(INDEX('Facilities'!$AD$9:$AD$108,MATCH(C387,'Facilities'!$C$9:$C$108,0))=2,AND(R387&gt;=INDEX('Facilities'!$L$9:$L$108,MATCH(C387,'Facilities'!$C$9:$C$108,0))*Settings!$F$19,R387-INDEX('Facilities'!$L$9:$L$108,MATCH(C387,'Facilities'!$C$9:$C$108,0))&gt;=Settings!$F$20)),2,1)),"Unavailable"))</x:f>
      </x:c>
      <x:c r="U387" s="23" t="str">
        <x:f>IF(C387="","",IF(AQ387&lt;&gt;"Ready","Unavailable",IF(C387="","",O387*(1-(1-S387)/(1+INDEX('Facilities'!$K$9:$K$108,MATCH(C387,'Facilities'!$C$9:$C$108,0)))^INDEX('Facilities'!$AK$9:$AK$108,MATCH(C387,'Facilities'!$C$9:$C$108,0)))*R387/(1+INDEX('Facilities'!$K$9:$K$108,MATCH(C387,'Facilities'!$C$9:$C$108,0)))*IF(ABS(1-(1-R387)*(1-INDEX('Facilities'!$R$9:$R$108,MATCH(C387,'Facilities'!$C$9:$C$108,0)))/(1+INDEX('Facilities'!$K$9:$K$108,MATCH(C387,'Facilities'!$C$9:$C$108,0))))&lt;0.000000001,IF(T387=1,MIN(1,AJ387),AJ387),(1-((1-R387)*(1-INDEX('Facilities'!$R$9:$R$108,MATCH(C387,'Facilities'!$C$9:$C$108,0)))/(1+INDEX('Facilities'!$K$9:$K$108,MATCH(C387,'Facilities'!$C$9:$C$108,0))))^IF(T387=1,MIN(1,AJ387),AJ387))/(1-(1-R387)*(1-INDEX('Facilities'!$R$9:$R$108,MATCH(C387,'Facilities'!$C$9:$C$108,0)))/(1+INDEX('Facilities'!$K$9:$K$108,MATCH(C387,'Facilities'!$C$9:$C$108,0)))))+AL387)))</x:f>
      </x:c>
      <x:c r="V387" s="23" t="str">
        <x:f>IF(C387="","",IF(AQ387&lt;&gt;"Ready","Unavailable",IF(C387="","",Q387*INDEX('Facilities'!$I$9:$I$108,MATCH(C387,'Facilities'!$C$9:$C$108,0))*(1-(1-S387)/(1+INDEX('Facilities'!$K$9:$K$108,MATCH(C387,'Facilities'!$C$9:$C$108,0)))^INDEX('Facilities'!$AK$9:$AK$108,MATCH(C387,'Facilities'!$C$9:$C$108,0)))*R387/(1+INDEX('Facilities'!$K$9:$K$108,MATCH(C387,'Facilities'!$C$9:$C$108,0)))*IF(ABS(1-(1-R387)*(1-0)/(1+INDEX('Facilities'!$K$9:$K$108,MATCH(C387,'Facilities'!$C$9:$C$108,0))))&lt;0.000000001,IF(T387=1,MIN(1,AJ387),AJ387),(1-((1-R387)*(1-0)/(1+INDEX('Facilities'!$K$9:$K$108,MATCH(C387,'Facilities'!$C$9:$C$108,0))))^IF(T387=1,MIN(1,AJ387),AJ387))/(1-(1-R387)*(1-0)/(1+INDEX('Facilities'!$K$9:$K$108,MATCH(C387,'Facilities'!$C$9:$C$108,0))))))))</x:f>
      </x:c>
      <x:c r="W387" s="21" t="str">
        <x:f>IF(C387="","",IFERROR(U287,"Unavailable"))</x:f>
      </x:c>
      <x:c r="X387" s="21" t="str">
        <x:f>IF(C387="","",IFERROR(V287,"Unavailable"))</x:f>
      </x:c>
      <x:c r="Y387" s="21" t="str">
        <x:f>IF(C387="","",IF(AQ387&lt;&gt;"Ready","Unavailable",IF(C387="","",U387-W387+V387-X387+N387+AG387)))</x:f>
      </x:c>
      <x:c r="Z387" s="23" t="str">
        <x:f>IF(C387="","",IF(AQ387&lt;&gt;"Ready","Unavailable",IF(C387="","",(G387+O387+L387)/2*INDEX('Facilities'!$T$9:$T$108,MATCH(C387,'Facilities'!$C$9:$C$108,0))+AG387)))</x:f>
      </x:c>
      <x:c r="AA387" s="23" t="str">
        <x:f>IF(C387="","",IF(AQ387&lt;&gt;"Ready","Unavailable",IF(C387="","",O387*(1-IF(INDEX('Facilities'!$AA$9:$AA$108,MATCH(C387,'Facilities'!$C$9:$C$108,0))=0,0,MIN(1,INDEX('Facilities'!$X$9:$X$108,MATCH(C387,'Facilities'!$C$9:$C$108,0))/INDEX('Facilities'!$AA$9:$AA$108,MATCH(C387,'Facilities'!$C$9:$C$108,0)))))*AF387+P387*(1-IF(INDEX('Facilities'!$AA$9:$AA$108,MATCH(C387,'Facilities'!$C$9:$C$108,0))=0,0,MIN(1,INDEX('Facilities'!$X$9:$X$108,MATCH(C387,'Facilities'!$C$9:$C$108,0))/INDEX('Facilities'!$AA$9:$AA$108,MATCH(C387,'Facilities'!$C$9:$C$108,0)))))*INDEX('Facilities'!$AJ$9:$AJ$108,MATCH(C387,'Facilities'!$C$9:$C$108,0))+Q387*INDEX('Facilities'!$AI$9:$AI$108,MATCH(C387,'Facilities'!$C$9:$C$108,0))*AF387)))</x:f>
      </x:c>
      <x:c r="AB387" s="21" t="str">
        <x:f>IF(C387="","",O387+P387-AD387)</x:f>
      </x:c>
      <x:c r="AC387" s="23" t="str">
        <x:f>IF(C387="","",IFERROR(IF(INDEX('Facilities'!$AD$9:$AD$108,MATCH(C387,'Facilities'!$C$9:$C$108,0))=3,0,IF(INDEX('Facilities'!$AN$9:$AN$108,MATCH(C387,'Facilities'!$C$9:$C$108,0))=0,-1,INDEX('Facilities'!$AN$9:$AN$108,MATCH(C387,'Facilities'!$C$9:$C$108,0)))),"Unavailable"))</x:f>
      </x:c>
      <x:c r="AD387" s="21" t="str">
        <x:f>IF(C387="","",IFERROR(G387+H387,"Unavailable"))</x:f>
      </x:c>
      <x:c r="AE387" s="21" t="str">
        <x:f>IF(C387="","",IF(AQ387&lt;&gt;"Ready","Unavailable",IF(C387="","",O387+P387-AD387-J387+K387+M387+N387)))</x:f>
      </x:c>
      <x:c r="AF387" s="30" t="str">
        <x:f>IF(C387="","",IFERROR(INDEX('Facilities'!$S$9:$S$108,MATCH(C387,'Facilities'!$C$9:$C$108,0))*'Scenario Paths'!I75,"Unavailable"))</x:f>
      </x:c>
      <x:c r="AG387" s="23" t="str">
        <x:f>IF(C387="","",IF(AQ387&lt;&gt;"Ready","Unavailable",IF(C387="","",IF(H387&gt;0,MAX(0,H387-AK387)*((1+INDEX('Facilities'!$K$9:$K$108,MATCH(C387,'Facilities'!$C$9:$C$108,0)))^MIN(1,MAX(0,AC387+INDEX('Facilities'!$AK$9:$AK$108,MATCH(C387,'Facilities'!$C$9:$C$108,0))-D387+1))-1),0))))</x:f>
      </x:c>
      <x:c r="AH387" s="21" t="str">
        <x:f>IF(C387="","",IF(AQ387&lt;&gt;"Ready","Unavailable",IF(C387="","",O387+P387)))</x:f>
      </x:c>
      <x:c r="AI387" s="21" t="str">
        <x:f>IF(C387="","",IF(AQ387&lt;&gt;"Ready","Unavailable",IF(C387="","",Z387-Y387)))</x:f>
      </x:c>
      <x:c r="AJ387" s="23" t="str">
        <x:f>IF(C387="","",IFERROR(MAX(0,INDEX('Facilities'!$J$9:$J$108,MATCH(C387,'Facilities'!$C$9:$C$108,0))-D387),"Unavailable"))</x:f>
      </x:c>
      <x:c r="AK387" s="21" t="str">
        <x:f>IF(C387="","",IFERROR(AL287,"Unavailable"))</x:f>
      </x:c>
      <x:c r="AL387" s="23" t="str">
        <x:f>IF(C387="","",IFERROR(IF(P387&gt;0,P387*(1-AM387/(1+INDEX('Facilities'!$K$9:$K$108,MATCH(C387,'Facilities'!$C$9:$C$108,0)))^MAX(0,AC387+INDEX('Facilities'!$AK$9:$AK$108,MATCH(C387,'Facilities'!$C$9:$C$108,0))-D387)),0),"Unavailable"))</x:f>
      </x:c>
      <x:c r="AM387" s="30" t="str">
        <x:f>IF(C387="","",IFERROR(INDEX('Facilities'!$AL$9:$AL$108,MATCH(C387,'Facilities'!$C$9:$C$108,0)),"Unavailable"))</x:f>
      </x:c>
      <x:c r="AN387" s="30" t="str">
        <x:f>IF(C387="","",IFERROR(INDEX(Credit!$T$309:$T$408,MATCH(F387,Credit!$C$309:$C$408,0)),"Unavailable"))</x:f>
      </x:c>
      <x:c r="AO387" s="23" t="str">
        <x:f>IF(C387="","",IF(AQ387&lt;&gt;"Ready","Unavailable",IF(C387="","",O387+P387+Q387*INDEX('Facilities'!$I$9:$I$108,MATCH(C387,'Facilities'!$C$9:$C$108,0)))))</x:f>
      </x:c>
      <x:c r="AP387" s="21" t="str">
        <x:f>IF(C387="","",IF(AQ387&lt;&gt;"Ready","Unavailable",IF(C387="","",AH387-U387)))</x:f>
      </x:c>
      <x:c r="AQ387" s="23" t="str">
        <x:f>IFERROR(IF(C387="","",IF(AND(INDEX('Facilities'!$AF$9:$AF$108,MATCH(C387,'Facilities'!$C$9:$C$108,0))="Ready",INDEX(Credit!$U$309:$U$408,MATCH(F387,Credit!$C$309:$C$408,0))="Ready",ISNUMBER(W387)),"Ready","Review inputs")),"Review inputs")</x:f>
      </x:c>
      <x:c r="AR387" s="23" t="str">
        <x:f>IF(C387="","",IF(AQ387&lt;&gt;"Ready","Unavailable",IF(C387="","",IF(O387=0,0,(IF(AJ387&lt;=1,O387,O387*INDEX('Facilities'!$R$9:$R$108,MATCH(C387,'Facilities'!$C$9:$C$108,0)))+O387*INDEX('Facilities'!$T$9:$T$108,MATCH(C387,'Facilities'!$C$9:$C$108,0)))/12))))</x:f>
      </x:c>
    </x:row>
    <x:row r="388" ht="26" customHeight="1">
      <x:c r="A388" s="1"/>
      <x:c r="B388" s="1"/>
      <x:c r="C388" s="9" t="str">
        <x:f>IF(Facilities!C88="","",Facilities!C88)</x:f>
      </x:c>
      <x:c r="D388" s="3" t="n">
        <x:v>4</x:v>
      </x:c>
      <x:c r="E388" s="9" t="n">
        <x:f>Settings!$F$18+3</x:f>
        <x:v>2030</x:v>
      </x:c>
      <x:c r="F388" s="9" t="str">
        <x:f>IF(C388="","",IFERROR(INDEX('Facilities'!$D$9:$D$108,MATCH(C388,'Facilities'!$C$9:$C$108,0)),"Unavailable"))</x:f>
      </x:c>
      <x:c r="G388" s="21" t="str">
        <x:f>IF(C388="","",IFERROR(O288,"Unavailable"))</x:f>
      </x:c>
      <x:c r="H388" s="21" t="str">
        <x:f>IF(C388="","",IFERROR(P288,"Unavailable"))</x:f>
      </x:c>
      <x:c r="I388" s="21" t="str">
        <x:f>IF(C388="","",IFERROR(Q288,"Unavailable"))</x:f>
      </x:c>
      <x:c r="J388" s="23" t="str">
        <x:f>IF(C388="","",IFERROR(IF(OR(H388&gt;0,AND(AC388&gt;=0,AC388&lt;D388),D388&gt;INDEX('Facilities'!$J$9:$J$108,MATCH(C388,'Facilities'!$C$9:$C$108,0))),0,I388*'Scenario Paths'!I81),"Unavailable"))</x:f>
      </x:c>
      <x:c r="K388" s="23" t="str">
        <x:f>IF(C388="","",IFERROR(IF(OR(H388&gt;0,AND(AC388&gt;=0,AC388=D388)),0,IF(D388&gt;=INDEX('Facilities'!$J$9:$J$108,MATCH(C388,'Facilities'!$C$9:$C$108,0)),G388+J388,MIN(G388+J388,G388*INDEX('Facilities'!$R$9:$R$108,MATCH(C388,'Facilities'!$C$9:$C$108,0))))),"Unavailable"))</x:f>
      </x:c>
      <x:c r="L388" s="21" t="str">
        <x:f>IF(C388="","",IFERROR(IF(AND(AC388=D388,AC388&gt;0),MAX(0,G388+J388-K388),0),"Unavailable"))</x:f>
      </x:c>
      <x:c r="M388" s="23" t="str">
        <x:f>IF(C388="","",IFERROR(IF(AND(AC388&gt;=0,D388&gt;=AC388+INDEX('Facilities'!$AK$9:$AK$108,MATCH(C388,'Facilities'!$C$9:$C$108,0))),(H388+L388)*AM388,0),"Unavailable"))</x:f>
      </x:c>
      <x:c r="N388" s="23" t="str">
        <x:f>IF(C388="","",IFERROR(IF(AND(AC388&gt;=0,D388&gt;=AC388+INDEX('Facilities'!$AK$9:$AK$108,MATCH(C388,'Facilities'!$C$9:$C$108,0))),H388+L388-M388,0),"Unavailable"))</x:f>
      </x:c>
      <x:c r="O388" s="21" t="str">
        <x:f>IF(C388="","",IFERROR(MAX(0,G388+J388-K388-L388),"Unavailable"))</x:f>
      </x:c>
      <x:c r="P388" s="21" t="str">
        <x:f>IF(C388="","",IFERROR(MAX(0,H388+L388-M388-N388),"Unavailable"))</x:f>
      </x:c>
      <x:c r="Q388" s="23" t="str">
        <x:f>IF(C388="","",IFERROR(IF(OR(D388&gt;=INDEX('Facilities'!$J$9:$J$108,MATCH(C388,'Facilities'!$C$9:$C$108,0)),AND(AC388&gt;=0,AC388&lt;=D388)),0,MAX(0,I388-J388)),"Unavailable"))</x:f>
      </x:c>
      <x:c r="R388" s="30" t="str">
        <x:f>IF(C388="","",IFERROR(INDEX(Credit!$Q$309:$Q$408,MATCH(F388,Credit!$C$309:$C$408,0)),"Unavailable"))</x:f>
      </x:c>
      <x:c r="S388" s="30" t="str">
        <x:f>IF(C388="","",IFERROR(INDEX(Credit!$R$309:$R$408,MATCH(F388,Credit!$C$309:$C$408,0)),"Unavailable"))</x:f>
      </x:c>
      <x:c r="T388" s="23" t="str">
        <x:f>IF(C388="","",IFERROR(IF(P388&gt;0,3,IF(OR(INDEX('Facilities'!$AD$9:$AD$108,MATCH(C388,'Facilities'!$C$9:$C$108,0))=2,AND(R388&gt;=INDEX('Facilities'!$L$9:$L$108,MATCH(C388,'Facilities'!$C$9:$C$108,0))*Settings!$F$19,R388-INDEX('Facilities'!$L$9:$L$108,MATCH(C388,'Facilities'!$C$9:$C$108,0))&gt;=Settings!$F$20)),2,1)),"Unavailable"))</x:f>
      </x:c>
      <x:c r="U388" s="23" t="str">
        <x:f>IF(C388="","",IF(AQ388&lt;&gt;"Ready","Unavailable",IF(C388="","",O388*(1-(1-S388)/(1+INDEX('Facilities'!$K$9:$K$108,MATCH(C388,'Facilities'!$C$9:$C$108,0)))^INDEX('Facilities'!$AK$9:$AK$108,MATCH(C388,'Facilities'!$C$9:$C$108,0)))*R388/(1+INDEX('Facilities'!$K$9:$K$108,MATCH(C388,'Facilities'!$C$9:$C$108,0)))*IF(ABS(1-(1-R388)*(1-INDEX('Facilities'!$R$9:$R$108,MATCH(C388,'Facilities'!$C$9:$C$108,0)))/(1+INDEX('Facilities'!$K$9:$K$108,MATCH(C388,'Facilities'!$C$9:$C$108,0))))&lt;0.000000001,IF(T388=1,MIN(1,AJ388),AJ388),(1-((1-R388)*(1-INDEX('Facilities'!$R$9:$R$108,MATCH(C388,'Facilities'!$C$9:$C$108,0)))/(1+INDEX('Facilities'!$K$9:$K$108,MATCH(C388,'Facilities'!$C$9:$C$108,0))))^IF(T388=1,MIN(1,AJ388),AJ388))/(1-(1-R388)*(1-INDEX('Facilities'!$R$9:$R$108,MATCH(C388,'Facilities'!$C$9:$C$108,0)))/(1+INDEX('Facilities'!$K$9:$K$108,MATCH(C388,'Facilities'!$C$9:$C$108,0)))))+AL388)))</x:f>
      </x:c>
      <x:c r="V388" s="23" t="str">
        <x:f>IF(C388="","",IF(AQ388&lt;&gt;"Ready","Unavailable",IF(C388="","",Q388*INDEX('Facilities'!$I$9:$I$108,MATCH(C388,'Facilities'!$C$9:$C$108,0))*(1-(1-S388)/(1+INDEX('Facilities'!$K$9:$K$108,MATCH(C388,'Facilities'!$C$9:$C$108,0)))^INDEX('Facilities'!$AK$9:$AK$108,MATCH(C388,'Facilities'!$C$9:$C$108,0)))*R388/(1+INDEX('Facilities'!$K$9:$K$108,MATCH(C388,'Facilities'!$C$9:$C$108,0)))*IF(ABS(1-(1-R388)*(1-0)/(1+INDEX('Facilities'!$K$9:$K$108,MATCH(C388,'Facilities'!$C$9:$C$108,0))))&lt;0.000000001,IF(T388=1,MIN(1,AJ388),AJ388),(1-((1-R388)*(1-0)/(1+INDEX('Facilities'!$K$9:$K$108,MATCH(C388,'Facilities'!$C$9:$C$108,0))))^IF(T388=1,MIN(1,AJ388),AJ388))/(1-(1-R388)*(1-0)/(1+INDEX('Facilities'!$K$9:$K$108,MATCH(C388,'Facilities'!$C$9:$C$108,0))))))))</x:f>
      </x:c>
      <x:c r="W388" s="21" t="str">
        <x:f>IF(C388="","",IFERROR(U288,"Unavailable"))</x:f>
      </x:c>
      <x:c r="X388" s="21" t="str">
        <x:f>IF(C388="","",IFERROR(V288,"Unavailable"))</x:f>
      </x:c>
      <x:c r="Y388" s="21" t="str">
        <x:f>IF(C388="","",IF(AQ388&lt;&gt;"Ready","Unavailable",IF(C388="","",U388-W388+V388-X388+N388+AG388)))</x:f>
      </x:c>
      <x:c r="Z388" s="23" t="str">
        <x:f>IF(C388="","",IF(AQ388&lt;&gt;"Ready","Unavailable",IF(C388="","",(G388+O388+L388)/2*INDEX('Facilities'!$T$9:$T$108,MATCH(C388,'Facilities'!$C$9:$C$108,0))+AG388)))</x:f>
      </x:c>
      <x:c r="AA388" s="23" t="str">
        <x:f>IF(C388="","",IF(AQ388&lt;&gt;"Ready","Unavailable",IF(C388="","",O388*(1-IF(INDEX('Facilities'!$AA$9:$AA$108,MATCH(C388,'Facilities'!$C$9:$C$108,0))=0,0,MIN(1,INDEX('Facilities'!$X$9:$X$108,MATCH(C388,'Facilities'!$C$9:$C$108,0))/INDEX('Facilities'!$AA$9:$AA$108,MATCH(C388,'Facilities'!$C$9:$C$108,0)))))*AF388+P388*(1-IF(INDEX('Facilities'!$AA$9:$AA$108,MATCH(C388,'Facilities'!$C$9:$C$108,0))=0,0,MIN(1,INDEX('Facilities'!$X$9:$X$108,MATCH(C388,'Facilities'!$C$9:$C$108,0))/INDEX('Facilities'!$AA$9:$AA$108,MATCH(C388,'Facilities'!$C$9:$C$108,0)))))*INDEX('Facilities'!$AJ$9:$AJ$108,MATCH(C388,'Facilities'!$C$9:$C$108,0))+Q388*INDEX('Facilities'!$AI$9:$AI$108,MATCH(C388,'Facilities'!$C$9:$C$108,0))*AF388)))</x:f>
      </x:c>
      <x:c r="AB388" s="21" t="str">
        <x:f>IF(C388="","",O388+P388-AD388)</x:f>
      </x:c>
      <x:c r="AC388" s="23" t="str">
        <x:f>IF(C388="","",IFERROR(IF(INDEX('Facilities'!$AD$9:$AD$108,MATCH(C388,'Facilities'!$C$9:$C$108,0))=3,0,IF(INDEX('Facilities'!$AN$9:$AN$108,MATCH(C388,'Facilities'!$C$9:$C$108,0))=0,-1,INDEX('Facilities'!$AN$9:$AN$108,MATCH(C388,'Facilities'!$C$9:$C$108,0)))),"Unavailable"))</x:f>
      </x:c>
      <x:c r="AD388" s="21" t="str">
        <x:f>IF(C388="","",IFERROR(G388+H388,"Unavailable"))</x:f>
      </x:c>
      <x:c r="AE388" s="21" t="str">
        <x:f>IF(C388="","",IF(AQ388&lt;&gt;"Ready","Unavailable",IF(C388="","",O388+P388-AD388-J388+K388+M388+N388)))</x:f>
      </x:c>
      <x:c r="AF388" s="30" t="str">
        <x:f>IF(C388="","",IFERROR(INDEX('Facilities'!$S$9:$S$108,MATCH(C388,'Facilities'!$C$9:$C$108,0))*'Scenario Paths'!I75,"Unavailable"))</x:f>
      </x:c>
      <x:c r="AG388" s="23" t="str">
        <x:f>IF(C388="","",IF(AQ388&lt;&gt;"Ready","Unavailable",IF(C388="","",IF(H388&gt;0,MAX(0,H388-AK388)*((1+INDEX('Facilities'!$K$9:$K$108,MATCH(C388,'Facilities'!$C$9:$C$108,0)))^MIN(1,MAX(0,AC388+INDEX('Facilities'!$AK$9:$AK$108,MATCH(C388,'Facilities'!$C$9:$C$108,0))-D388+1))-1),0))))</x:f>
      </x:c>
      <x:c r="AH388" s="21" t="str">
        <x:f>IF(C388="","",IF(AQ388&lt;&gt;"Ready","Unavailable",IF(C388="","",O388+P388)))</x:f>
      </x:c>
      <x:c r="AI388" s="21" t="str">
        <x:f>IF(C388="","",IF(AQ388&lt;&gt;"Ready","Unavailable",IF(C388="","",Z388-Y388)))</x:f>
      </x:c>
      <x:c r="AJ388" s="23" t="str">
        <x:f>IF(C388="","",IFERROR(MAX(0,INDEX('Facilities'!$J$9:$J$108,MATCH(C388,'Facilities'!$C$9:$C$108,0))-D388),"Unavailable"))</x:f>
      </x:c>
      <x:c r="AK388" s="21" t="str">
        <x:f>IF(C388="","",IFERROR(AL288,"Unavailable"))</x:f>
      </x:c>
      <x:c r="AL388" s="23" t="str">
        <x:f>IF(C388="","",IFERROR(IF(P388&gt;0,P388*(1-AM388/(1+INDEX('Facilities'!$K$9:$K$108,MATCH(C388,'Facilities'!$C$9:$C$108,0)))^MAX(0,AC388+INDEX('Facilities'!$AK$9:$AK$108,MATCH(C388,'Facilities'!$C$9:$C$108,0))-D388)),0),"Unavailable"))</x:f>
      </x:c>
      <x:c r="AM388" s="30" t="str">
        <x:f>IF(C388="","",IFERROR(INDEX('Facilities'!$AL$9:$AL$108,MATCH(C388,'Facilities'!$C$9:$C$108,0)),"Unavailable"))</x:f>
      </x:c>
      <x:c r="AN388" s="30" t="str">
        <x:f>IF(C388="","",IFERROR(INDEX(Credit!$T$309:$T$408,MATCH(F388,Credit!$C$309:$C$408,0)),"Unavailable"))</x:f>
      </x:c>
      <x:c r="AO388" s="23" t="str">
        <x:f>IF(C388="","",IF(AQ388&lt;&gt;"Ready","Unavailable",IF(C388="","",O388+P388+Q388*INDEX('Facilities'!$I$9:$I$108,MATCH(C388,'Facilities'!$C$9:$C$108,0)))))</x:f>
      </x:c>
      <x:c r="AP388" s="21" t="str">
        <x:f>IF(C388="","",IF(AQ388&lt;&gt;"Ready","Unavailable",IF(C388="","",AH388-U388)))</x:f>
      </x:c>
      <x:c r="AQ388" s="23" t="str">
        <x:f>IFERROR(IF(C388="","",IF(AND(INDEX('Facilities'!$AF$9:$AF$108,MATCH(C388,'Facilities'!$C$9:$C$108,0))="Ready",INDEX(Credit!$U$309:$U$408,MATCH(F388,Credit!$C$309:$C$408,0))="Ready",ISNUMBER(W388)),"Ready","Review inputs")),"Review inputs")</x:f>
      </x:c>
      <x:c r="AR388" s="23" t="str">
        <x:f>IF(C388="","",IF(AQ388&lt;&gt;"Ready","Unavailable",IF(C388="","",IF(O388=0,0,(IF(AJ388&lt;=1,O388,O388*INDEX('Facilities'!$R$9:$R$108,MATCH(C388,'Facilities'!$C$9:$C$108,0)))+O388*INDEX('Facilities'!$T$9:$T$108,MATCH(C388,'Facilities'!$C$9:$C$108,0)))/12))))</x:f>
      </x:c>
    </x:row>
    <x:row r="389" ht="26" customHeight="1">
      <x:c r="A389" s="1"/>
      <x:c r="B389" s="1"/>
      <x:c r="C389" s="9" t="str">
        <x:f>IF(Facilities!C89="","",Facilities!C89)</x:f>
      </x:c>
      <x:c r="D389" s="3" t="n">
        <x:v>4</x:v>
      </x:c>
      <x:c r="E389" s="9" t="n">
        <x:f>Settings!$F$18+3</x:f>
        <x:v>2030</x:v>
      </x:c>
      <x:c r="F389" s="9" t="str">
        <x:f>IF(C389="","",IFERROR(INDEX('Facilities'!$D$9:$D$108,MATCH(C389,'Facilities'!$C$9:$C$108,0)),"Unavailable"))</x:f>
      </x:c>
      <x:c r="G389" s="21" t="str">
        <x:f>IF(C389="","",IFERROR(O289,"Unavailable"))</x:f>
      </x:c>
      <x:c r="H389" s="21" t="str">
        <x:f>IF(C389="","",IFERROR(P289,"Unavailable"))</x:f>
      </x:c>
      <x:c r="I389" s="21" t="str">
        <x:f>IF(C389="","",IFERROR(Q289,"Unavailable"))</x:f>
      </x:c>
      <x:c r="J389" s="23" t="str">
        <x:f>IF(C389="","",IFERROR(IF(OR(H389&gt;0,AND(AC389&gt;=0,AC389&lt;D389),D389&gt;INDEX('Facilities'!$J$9:$J$108,MATCH(C389,'Facilities'!$C$9:$C$108,0))),0,I389*'Scenario Paths'!I81),"Unavailable"))</x:f>
      </x:c>
      <x:c r="K389" s="23" t="str">
        <x:f>IF(C389="","",IFERROR(IF(OR(H389&gt;0,AND(AC389&gt;=0,AC389=D389)),0,IF(D389&gt;=INDEX('Facilities'!$J$9:$J$108,MATCH(C389,'Facilities'!$C$9:$C$108,0)),G389+J389,MIN(G389+J389,G389*INDEX('Facilities'!$R$9:$R$108,MATCH(C389,'Facilities'!$C$9:$C$108,0))))),"Unavailable"))</x:f>
      </x:c>
      <x:c r="L389" s="21" t="str">
        <x:f>IF(C389="","",IFERROR(IF(AND(AC389=D389,AC389&gt;0),MAX(0,G389+J389-K389),0),"Unavailable"))</x:f>
      </x:c>
      <x:c r="M389" s="23" t="str">
        <x:f>IF(C389="","",IFERROR(IF(AND(AC389&gt;=0,D389&gt;=AC389+INDEX('Facilities'!$AK$9:$AK$108,MATCH(C389,'Facilities'!$C$9:$C$108,0))),(H389+L389)*AM389,0),"Unavailable"))</x:f>
      </x:c>
      <x:c r="N389" s="23" t="str">
        <x:f>IF(C389="","",IFERROR(IF(AND(AC389&gt;=0,D389&gt;=AC389+INDEX('Facilities'!$AK$9:$AK$108,MATCH(C389,'Facilities'!$C$9:$C$108,0))),H389+L389-M389,0),"Unavailable"))</x:f>
      </x:c>
      <x:c r="O389" s="21" t="str">
        <x:f>IF(C389="","",IFERROR(MAX(0,G389+J389-K389-L389),"Unavailable"))</x:f>
      </x:c>
      <x:c r="P389" s="21" t="str">
        <x:f>IF(C389="","",IFERROR(MAX(0,H389+L389-M389-N389),"Unavailable"))</x:f>
      </x:c>
      <x:c r="Q389" s="23" t="str">
        <x:f>IF(C389="","",IFERROR(IF(OR(D389&gt;=INDEX('Facilities'!$J$9:$J$108,MATCH(C389,'Facilities'!$C$9:$C$108,0)),AND(AC389&gt;=0,AC389&lt;=D389)),0,MAX(0,I389-J389)),"Unavailable"))</x:f>
      </x:c>
      <x:c r="R389" s="30" t="str">
        <x:f>IF(C389="","",IFERROR(INDEX(Credit!$Q$309:$Q$408,MATCH(F389,Credit!$C$309:$C$408,0)),"Unavailable"))</x:f>
      </x:c>
      <x:c r="S389" s="30" t="str">
        <x:f>IF(C389="","",IFERROR(INDEX(Credit!$R$309:$R$408,MATCH(F389,Credit!$C$309:$C$408,0)),"Unavailable"))</x:f>
      </x:c>
      <x:c r="T389" s="23" t="str">
        <x:f>IF(C389="","",IFERROR(IF(P389&gt;0,3,IF(OR(INDEX('Facilities'!$AD$9:$AD$108,MATCH(C389,'Facilities'!$C$9:$C$108,0))=2,AND(R389&gt;=INDEX('Facilities'!$L$9:$L$108,MATCH(C389,'Facilities'!$C$9:$C$108,0))*Settings!$F$19,R389-INDEX('Facilities'!$L$9:$L$108,MATCH(C389,'Facilities'!$C$9:$C$108,0))&gt;=Settings!$F$20)),2,1)),"Unavailable"))</x:f>
      </x:c>
      <x:c r="U389" s="23" t="str">
        <x:f>IF(C389="","",IF(AQ389&lt;&gt;"Ready","Unavailable",IF(C389="","",O389*(1-(1-S389)/(1+INDEX('Facilities'!$K$9:$K$108,MATCH(C389,'Facilities'!$C$9:$C$108,0)))^INDEX('Facilities'!$AK$9:$AK$108,MATCH(C389,'Facilities'!$C$9:$C$108,0)))*R389/(1+INDEX('Facilities'!$K$9:$K$108,MATCH(C389,'Facilities'!$C$9:$C$108,0)))*IF(ABS(1-(1-R389)*(1-INDEX('Facilities'!$R$9:$R$108,MATCH(C389,'Facilities'!$C$9:$C$108,0)))/(1+INDEX('Facilities'!$K$9:$K$108,MATCH(C389,'Facilities'!$C$9:$C$108,0))))&lt;0.000000001,IF(T389=1,MIN(1,AJ389),AJ389),(1-((1-R389)*(1-INDEX('Facilities'!$R$9:$R$108,MATCH(C389,'Facilities'!$C$9:$C$108,0)))/(1+INDEX('Facilities'!$K$9:$K$108,MATCH(C389,'Facilities'!$C$9:$C$108,0))))^IF(T389=1,MIN(1,AJ389),AJ389))/(1-(1-R389)*(1-INDEX('Facilities'!$R$9:$R$108,MATCH(C389,'Facilities'!$C$9:$C$108,0)))/(1+INDEX('Facilities'!$K$9:$K$108,MATCH(C389,'Facilities'!$C$9:$C$108,0)))))+AL389)))</x:f>
      </x:c>
      <x:c r="V389" s="23" t="str">
        <x:f>IF(C389="","",IF(AQ389&lt;&gt;"Ready","Unavailable",IF(C389="","",Q389*INDEX('Facilities'!$I$9:$I$108,MATCH(C389,'Facilities'!$C$9:$C$108,0))*(1-(1-S389)/(1+INDEX('Facilities'!$K$9:$K$108,MATCH(C389,'Facilities'!$C$9:$C$108,0)))^INDEX('Facilities'!$AK$9:$AK$108,MATCH(C389,'Facilities'!$C$9:$C$108,0)))*R389/(1+INDEX('Facilities'!$K$9:$K$108,MATCH(C389,'Facilities'!$C$9:$C$108,0)))*IF(ABS(1-(1-R389)*(1-0)/(1+INDEX('Facilities'!$K$9:$K$108,MATCH(C389,'Facilities'!$C$9:$C$108,0))))&lt;0.000000001,IF(T389=1,MIN(1,AJ389),AJ389),(1-((1-R389)*(1-0)/(1+INDEX('Facilities'!$K$9:$K$108,MATCH(C389,'Facilities'!$C$9:$C$108,0))))^IF(T389=1,MIN(1,AJ389),AJ389))/(1-(1-R389)*(1-0)/(1+INDEX('Facilities'!$K$9:$K$108,MATCH(C389,'Facilities'!$C$9:$C$108,0))))))))</x:f>
      </x:c>
      <x:c r="W389" s="21" t="str">
        <x:f>IF(C389="","",IFERROR(U289,"Unavailable"))</x:f>
      </x:c>
      <x:c r="X389" s="21" t="str">
        <x:f>IF(C389="","",IFERROR(V289,"Unavailable"))</x:f>
      </x:c>
      <x:c r="Y389" s="21" t="str">
        <x:f>IF(C389="","",IF(AQ389&lt;&gt;"Ready","Unavailable",IF(C389="","",U389-W389+V389-X389+N389+AG389)))</x:f>
      </x:c>
      <x:c r="Z389" s="23" t="str">
        <x:f>IF(C389="","",IF(AQ389&lt;&gt;"Ready","Unavailable",IF(C389="","",(G389+O389+L389)/2*INDEX('Facilities'!$T$9:$T$108,MATCH(C389,'Facilities'!$C$9:$C$108,0))+AG389)))</x:f>
      </x:c>
      <x:c r="AA389" s="23" t="str">
        <x:f>IF(C389="","",IF(AQ389&lt;&gt;"Ready","Unavailable",IF(C389="","",O389*(1-IF(INDEX('Facilities'!$AA$9:$AA$108,MATCH(C389,'Facilities'!$C$9:$C$108,0))=0,0,MIN(1,INDEX('Facilities'!$X$9:$X$108,MATCH(C389,'Facilities'!$C$9:$C$108,0))/INDEX('Facilities'!$AA$9:$AA$108,MATCH(C389,'Facilities'!$C$9:$C$108,0)))))*AF389+P389*(1-IF(INDEX('Facilities'!$AA$9:$AA$108,MATCH(C389,'Facilities'!$C$9:$C$108,0))=0,0,MIN(1,INDEX('Facilities'!$X$9:$X$108,MATCH(C389,'Facilities'!$C$9:$C$108,0))/INDEX('Facilities'!$AA$9:$AA$108,MATCH(C389,'Facilities'!$C$9:$C$108,0)))))*INDEX('Facilities'!$AJ$9:$AJ$108,MATCH(C389,'Facilities'!$C$9:$C$108,0))+Q389*INDEX('Facilities'!$AI$9:$AI$108,MATCH(C389,'Facilities'!$C$9:$C$108,0))*AF389)))</x:f>
      </x:c>
      <x:c r="AB389" s="21" t="str">
        <x:f>IF(C389="","",O389+P389-AD389)</x:f>
      </x:c>
      <x:c r="AC389" s="23" t="str">
        <x:f>IF(C389="","",IFERROR(IF(INDEX('Facilities'!$AD$9:$AD$108,MATCH(C389,'Facilities'!$C$9:$C$108,0))=3,0,IF(INDEX('Facilities'!$AN$9:$AN$108,MATCH(C389,'Facilities'!$C$9:$C$108,0))=0,-1,INDEX('Facilities'!$AN$9:$AN$108,MATCH(C389,'Facilities'!$C$9:$C$108,0)))),"Unavailable"))</x:f>
      </x:c>
      <x:c r="AD389" s="21" t="str">
        <x:f>IF(C389="","",IFERROR(G389+H389,"Unavailable"))</x:f>
      </x:c>
      <x:c r="AE389" s="21" t="str">
        <x:f>IF(C389="","",IF(AQ389&lt;&gt;"Ready","Unavailable",IF(C389="","",O389+P389-AD389-J389+K389+M389+N389)))</x:f>
      </x:c>
      <x:c r="AF389" s="30" t="str">
        <x:f>IF(C389="","",IFERROR(INDEX('Facilities'!$S$9:$S$108,MATCH(C389,'Facilities'!$C$9:$C$108,0))*'Scenario Paths'!I75,"Unavailable"))</x:f>
      </x:c>
      <x:c r="AG389" s="23" t="str">
        <x:f>IF(C389="","",IF(AQ389&lt;&gt;"Ready","Unavailable",IF(C389="","",IF(H389&gt;0,MAX(0,H389-AK389)*((1+INDEX('Facilities'!$K$9:$K$108,MATCH(C389,'Facilities'!$C$9:$C$108,0)))^MIN(1,MAX(0,AC389+INDEX('Facilities'!$AK$9:$AK$108,MATCH(C389,'Facilities'!$C$9:$C$108,0))-D389+1))-1),0))))</x:f>
      </x:c>
      <x:c r="AH389" s="21" t="str">
        <x:f>IF(C389="","",IF(AQ389&lt;&gt;"Ready","Unavailable",IF(C389="","",O389+P389)))</x:f>
      </x:c>
      <x:c r="AI389" s="21" t="str">
        <x:f>IF(C389="","",IF(AQ389&lt;&gt;"Ready","Unavailable",IF(C389="","",Z389-Y389)))</x:f>
      </x:c>
      <x:c r="AJ389" s="23" t="str">
        <x:f>IF(C389="","",IFERROR(MAX(0,INDEX('Facilities'!$J$9:$J$108,MATCH(C389,'Facilities'!$C$9:$C$108,0))-D389),"Unavailable"))</x:f>
      </x:c>
      <x:c r="AK389" s="21" t="str">
        <x:f>IF(C389="","",IFERROR(AL289,"Unavailable"))</x:f>
      </x:c>
      <x:c r="AL389" s="23" t="str">
        <x:f>IF(C389="","",IFERROR(IF(P389&gt;0,P389*(1-AM389/(1+INDEX('Facilities'!$K$9:$K$108,MATCH(C389,'Facilities'!$C$9:$C$108,0)))^MAX(0,AC389+INDEX('Facilities'!$AK$9:$AK$108,MATCH(C389,'Facilities'!$C$9:$C$108,0))-D389)),0),"Unavailable"))</x:f>
      </x:c>
      <x:c r="AM389" s="30" t="str">
        <x:f>IF(C389="","",IFERROR(INDEX('Facilities'!$AL$9:$AL$108,MATCH(C389,'Facilities'!$C$9:$C$108,0)),"Unavailable"))</x:f>
      </x:c>
      <x:c r="AN389" s="30" t="str">
        <x:f>IF(C389="","",IFERROR(INDEX(Credit!$T$309:$T$408,MATCH(F389,Credit!$C$309:$C$408,0)),"Unavailable"))</x:f>
      </x:c>
      <x:c r="AO389" s="23" t="str">
        <x:f>IF(C389="","",IF(AQ389&lt;&gt;"Ready","Unavailable",IF(C389="","",O389+P389+Q389*INDEX('Facilities'!$I$9:$I$108,MATCH(C389,'Facilities'!$C$9:$C$108,0)))))</x:f>
      </x:c>
      <x:c r="AP389" s="21" t="str">
        <x:f>IF(C389="","",IF(AQ389&lt;&gt;"Ready","Unavailable",IF(C389="","",AH389-U389)))</x:f>
      </x:c>
      <x:c r="AQ389" s="23" t="str">
        <x:f>IFERROR(IF(C389="","",IF(AND(INDEX('Facilities'!$AF$9:$AF$108,MATCH(C389,'Facilities'!$C$9:$C$108,0))="Ready",INDEX(Credit!$U$309:$U$408,MATCH(F389,Credit!$C$309:$C$408,0))="Ready",ISNUMBER(W389)),"Ready","Review inputs")),"Review inputs")</x:f>
      </x:c>
      <x:c r="AR389" s="23" t="str">
        <x:f>IF(C389="","",IF(AQ389&lt;&gt;"Ready","Unavailable",IF(C389="","",IF(O389=0,0,(IF(AJ389&lt;=1,O389,O389*INDEX('Facilities'!$R$9:$R$108,MATCH(C389,'Facilities'!$C$9:$C$108,0)))+O389*INDEX('Facilities'!$T$9:$T$108,MATCH(C389,'Facilities'!$C$9:$C$108,0)))/12))))</x:f>
      </x:c>
    </x:row>
    <x:row r="390" ht="26" customHeight="1">
      <x:c r="A390" s="1"/>
      <x:c r="B390" s="1"/>
      <x:c r="C390" s="9" t="str">
        <x:f>IF(Facilities!C90="","",Facilities!C90)</x:f>
      </x:c>
      <x:c r="D390" s="3" t="n">
        <x:v>4</x:v>
      </x:c>
      <x:c r="E390" s="9" t="n">
        <x:f>Settings!$F$18+3</x:f>
        <x:v>2030</x:v>
      </x:c>
      <x:c r="F390" s="9" t="str">
        <x:f>IF(C390="","",IFERROR(INDEX('Facilities'!$D$9:$D$108,MATCH(C390,'Facilities'!$C$9:$C$108,0)),"Unavailable"))</x:f>
      </x:c>
      <x:c r="G390" s="21" t="str">
        <x:f>IF(C390="","",IFERROR(O290,"Unavailable"))</x:f>
      </x:c>
      <x:c r="H390" s="21" t="str">
        <x:f>IF(C390="","",IFERROR(P290,"Unavailable"))</x:f>
      </x:c>
      <x:c r="I390" s="21" t="str">
        <x:f>IF(C390="","",IFERROR(Q290,"Unavailable"))</x:f>
      </x:c>
      <x:c r="J390" s="23" t="str">
        <x:f>IF(C390="","",IFERROR(IF(OR(H390&gt;0,AND(AC390&gt;=0,AC390&lt;D390),D390&gt;INDEX('Facilities'!$J$9:$J$108,MATCH(C390,'Facilities'!$C$9:$C$108,0))),0,I390*'Scenario Paths'!I81),"Unavailable"))</x:f>
      </x:c>
      <x:c r="K390" s="23" t="str">
        <x:f>IF(C390="","",IFERROR(IF(OR(H390&gt;0,AND(AC390&gt;=0,AC390=D390)),0,IF(D390&gt;=INDEX('Facilities'!$J$9:$J$108,MATCH(C390,'Facilities'!$C$9:$C$108,0)),G390+J390,MIN(G390+J390,G390*INDEX('Facilities'!$R$9:$R$108,MATCH(C390,'Facilities'!$C$9:$C$108,0))))),"Unavailable"))</x:f>
      </x:c>
      <x:c r="L390" s="21" t="str">
        <x:f>IF(C390="","",IFERROR(IF(AND(AC390=D390,AC390&gt;0),MAX(0,G390+J390-K390),0),"Unavailable"))</x:f>
      </x:c>
      <x:c r="M390" s="23" t="str">
        <x:f>IF(C390="","",IFERROR(IF(AND(AC390&gt;=0,D390&gt;=AC390+INDEX('Facilities'!$AK$9:$AK$108,MATCH(C390,'Facilities'!$C$9:$C$108,0))),(H390+L390)*AM390,0),"Unavailable"))</x:f>
      </x:c>
      <x:c r="N390" s="23" t="str">
        <x:f>IF(C390="","",IFERROR(IF(AND(AC390&gt;=0,D390&gt;=AC390+INDEX('Facilities'!$AK$9:$AK$108,MATCH(C390,'Facilities'!$C$9:$C$108,0))),H390+L390-M390,0),"Unavailable"))</x:f>
      </x:c>
      <x:c r="O390" s="21" t="str">
        <x:f>IF(C390="","",IFERROR(MAX(0,G390+J390-K390-L390),"Unavailable"))</x:f>
      </x:c>
      <x:c r="P390" s="21" t="str">
        <x:f>IF(C390="","",IFERROR(MAX(0,H390+L390-M390-N390),"Unavailable"))</x:f>
      </x:c>
      <x:c r="Q390" s="23" t="str">
        <x:f>IF(C390="","",IFERROR(IF(OR(D390&gt;=INDEX('Facilities'!$J$9:$J$108,MATCH(C390,'Facilities'!$C$9:$C$108,0)),AND(AC390&gt;=0,AC390&lt;=D390)),0,MAX(0,I390-J390)),"Unavailable"))</x:f>
      </x:c>
      <x:c r="R390" s="30" t="str">
        <x:f>IF(C390="","",IFERROR(INDEX(Credit!$Q$309:$Q$408,MATCH(F390,Credit!$C$309:$C$408,0)),"Unavailable"))</x:f>
      </x:c>
      <x:c r="S390" s="30" t="str">
        <x:f>IF(C390="","",IFERROR(INDEX(Credit!$R$309:$R$408,MATCH(F390,Credit!$C$309:$C$408,0)),"Unavailable"))</x:f>
      </x:c>
      <x:c r="T390" s="23" t="str">
        <x:f>IF(C390="","",IFERROR(IF(P390&gt;0,3,IF(OR(INDEX('Facilities'!$AD$9:$AD$108,MATCH(C390,'Facilities'!$C$9:$C$108,0))=2,AND(R390&gt;=INDEX('Facilities'!$L$9:$L$108,MATCH(C390,'Facilities'!$C$9:$C$108,0))*Settings!$F$19,R390-INDEX('Facilities'!$L$9:$L$108,MATCH(C390,'Facilities'!$C$9:$C$108,0))&gt;=Settings!$F$20)),2,1)),"Unavailable"))</x:f>
      </x:c>
      <x:c r="U390" s="23" t="str">
        <x:f>IF(C390="","",IF(AQ390&lt;&gt;"Ready","Unavailable",IF(C390="","",O390*(1-(1-S390)/(1+INDEX('Facilities'!$K$9:$K$108,MATCH(C390,'Facilities'!$C$9:$C$108,0)))^INDEX('Facilities'!$AK$9:$AK$108,MATCH(C390,'Facilities'!$C$9:$C$108,0)))*R390/(1+INDEX('Facilities'!$K$9:$K$108,MATCH(C390,'Facilities'!$C$9:$C$108,0)))*IF(ABS(1-(1-R390)*(1-INDEX('Facilities'!$R$9:$R$108,MATCH(C390,'Facilities'!$C$9:$C$108,0)))/(1+INDEX('Facilities'!$K$9:$K$108,MATCH(C390,'Facilities'!$C$9:$C$108,0))))&lt;0.000000001,IF(T390=1,MIN(1,AJ390),AJ390),(1-((1-R390)*(1-INDEX('Facilities'!$R$9:$R$108,MATCH(C390,'Facilities'!$C$9:$C$108,0)))/(1+INDEX('Facilities'!$K$9:$K$108,MATCH(C390,'Facilities'!$C$9:$C$108,0))))^IF(T390=1,MIN(1,AJ390),AJ390))/(1-(1-R390)*(1-INDEX('Facilities'!$R$9:$R$108,MATCH(C390,'Facilities'!$C$9:$C$108,0)))/(1+INDEX('Facilities'!$K$9:$K$108,MATCH(C390,'Facilities'!$C$9:$C$108,0)))))+AL390)))</x:f>
      </x:c>
      <x:c r="V390" s="23" t="str">
        <x:f>IF(C390="","",IF(AQ390&lt;&gt;"Ready","Unavailable",IF(C390="","",Q390*INDEX('Facilities'!$I$9:$I$108,MATCH(C390,'Facilities'!$C$9:$C$108,0))*(1-(1-S390)/(1+INDEX('Facilities'!$K$9:$K$108,MATCH(C390,'Facilities'!$C$9:$C$108,0)))^INDEX('Facilities'!$AK$9:$AK$108,MATCH(C390,'Facilities'!$C$9:$C$108,0)))*R390/(1+INDEX('Facilities'!$K$9:$K$108,MATCH(C390,'Facilities'!$C$9:$C$108,0)))*IF(ABS(1-(1-R390)*(1-0)/(1+INDEX('Facilities'!$K$9:$K$108,MATCH(C390,'Facilities'!$C$9:$C$108,0))))&lt;0.000000001,IF(T390=1,MIN(1,AJ390),AJ390),(1-((1-R390)*(1-0)/(1+INDEX('Facilities'!$K$9:$K$108,MATCH(C390,'Facilities'!$C$9:$C$108,0))))^IF(T390=1,MIN(1,AJ390),AJ390))/(1-(1-R390)*(1-0)/(1+INDEX('Facilities'!$K$9:$K$108,MATCH(C390,'Facilities'!$C$9:$C$108,0))))))))</x:f>
      </x:c>
      <x:c r="W390" s="21" t="str">
        <x:f>IF(C390="","",IFERROR(U290,"Unavailable"))</x:f>
      </x:c>
      <x:c r="X390" s="21" t="str">
        <x:f>IF(C390="","",IFERROR(V290,"Unavailable"))</x:f>
      </x:c>
      <x:c r="Y390" s="21" t="str">
        <x:f>IF(C390="","",IF(AQ390&lt;&gt;"Ready","Unavailable",IF(C390="","",U390-W390+V390-X390+N390+AG390)))</x:f>
      </x:c>
      <x:c r="Z390" s="23" t="str">
        <x:f>IF(C390="","",IF(AQ390&lt;&gt;"Ready","Unavailable",IF(C390="","",(G390+O390+L390)/2*INDEX('Facilities'!$T$9:$T$108,MATCH(C390,'Facilities'!$C$9:$C$108,0))+AG390)))</x:f>
      </x:c>
      <x:c r="AA390" s="23" t="str">
        <x:f>IF(C390="","",IF(AQ390&lt;&gt;"Ready","Unavailable",IF(C390="","",O390*(1-IF(INDEX('Facilities'!$AA$9:$AA$108,MATCH(C390,'Facilities'!$C$9:$C$108,0))=0,0,MIN(1,INDEX('Facilities'!$X$9:$X$108,MATCH(C390,'Facilities'!$C$9:$C$108,0))/INDEX('Facilities'!$AA$9:$AA$108,MATCH(C390,'Facilities'!$C$9:$C$108,0)))))*AF390+P390*(1-IF(INDEX('Facilities'!$AA$9:$AA$108,MATCH(C390,'Facilities'!$C$9:$C$108,0))=0,0,MIN(1,INDEX('Facilities'!$X$9:$X$108,MATCH(C390,'Facilities'!$C$9:$C$108,0))/INDEX('Facilities'!$AA$9:$AA$108,MATCH(C390,'Facilities'!$C$9:$C$108,0)))))*INDEX('Facilities'!$AJ$9:$AJ$108,MATCH(C390,'Facilities'!$C$9:$C$108,0))+Q390*INDEX('Facilities'!$AI$9:$AI$108,MATCH(C390,'Facilities'!$C$9:$C$108,0))*AF390)))</x:f>
      </x:c>
      <x:c r="AB390" s="21" t="str">
        <x:f>IF(C390="","",O390+P390-AD390)</x:f>
      </x:c>
      <x:c r="AC390" s="23" t="str">
        <x:f>IF(C390="","",IFERROR(IF(INDEX('Facilities'!$AD$9:$AD$108,MATCH(C390,'Facilities'!$C$9:$C$108,0))=3,0,IF(INDEX('Facilities'!$AN$9:$AN$108,MATCH(C390,'Facilities'!$C$9:$C$108,0))=0,-1,INDEX('Facilities'!$AN$9:$AN$108,MATCH(C390,'Facilities'!$C$9:$C$108,0)))),"Unavailable"))</x:f>
      </x:c>
      <x:c r="AD390" s="21" t="str">
        <x:f>IF(C390="","",IFERROR(G390+H390,"Unavailable"))</x:f>
      </x:c>
      <x:c r="AE390" s="21" t="str">
        <x:f>IF(C390="","",IF(AQ390&lt;&gt;"Ready","Unavailable",IF(C390="","",O390+P390-AD390-J390+K390+M390+N390)))</x:f>
      </x:c>
      <x:c r="AF390" s="30" t="str">
        <x:f>IF(C390="","",IFERROR(INDEX('Facilities'!$S$9:$S$108,MATCH(C390,'Facilities'!$C$9:$C$108,0))*'Scenario Paths'!I75,"Unavailable"))</x:f>
      </x:c>
      <x:c r="AG390" s="23" t="str">
        <x:f>IF(C390="","",IF(AQ390&lt;&gt;"Ready","Unavailable",IF(C390="","",IF(H390&gt;0,MAX(0,H390-AK390)*((1+INDEX('Facilities'!$K$9:$K$108,MATCH(C390,'Facilities'!$C$9:$C$108,0)))^MIN(1,MAX(0,AC390+INDEX('Facilities'!$AK$9:$AK$108,MATCH(C390,'Facilities'!$C$9:$C$108,0))-D390+1))-1),0))))</x:f>
      </x:c>
      <x:c r="AH390" s="21" t="str">
        <x:f>IF(C390="","",IF(AQ390&lt;&gt;"Ready","Unavailable",IF(C390="","",O390+P390)))</x:f>
      </x:c>
      <x:c r="AI390" s="21" t="str">
        <x:f>IF(C390="","",IF(AQ390&lt;&gt;"Ready","Unavailable",IF(C390="","",Z390-Y390)))</x:f>
      </x:c>
      <x:c r="AJ390" s="23" t="str">
        <x:f>IF(C390="","",IFERROR(MAX(0,INDEX('Facilities'!$J$9:$J$108,MATCH(C390,'Facilities'!$C$9:$C$108,0))-D390),"Unavailable"))</x:f>
      </x:c>
      <x:c r="AK390" s="21" t="str">
        <x:f>IF(C390="","",IFERROR(AL290,"Unavailable"))</x:f>
      </x:c>
      <x:c r="AL390" s="23" t="str">
        <x:f>IF(C390="","",IFERROR(IF(P390&gt;0,P390*(1-AM390/(1+INDEX('Facilities'!$K$9:$K$108,MATCH(C390,'Facilities'!$C$9:$C$108,0)))^MAX(0,AC390+INDEX('Facilities'!$AK$9:$AK$108,MATCH(C390,'Facilities'!$C$9:$C$108,0))-D390)),0),"Unavailable"))</x:f>
      </x:c>
      <x:c r="AM390" s="30" t="str">
        <x:f>IF(C390="","",IFERROR(INDEX('Facilities'!$AL$9:$AL$108,MATCH(C390,'Facilities'!$C$9:$C$108,0)),"Unavailable"))</x:f>
      </x:c>
      <x:c r="AN390" s="30" t="str">
        <x:f>IF(C390="","",IFERROR(INDEX(Credit!$T$309:$T$408,MATCH(F390,Credit!$C$309:$C$408,0)),"Unavailable"))</x:f>
      </x:c>
      <x:c r="AO390" s="23" t="str">
        <x:f>IF(C390="","",IF(AQ390&lt;&gt;"Ready","Unavailable",IF(C390="","",O390+P390+Q390*INDEX('Facilities'!$I$9:$I$108,MATCH(C390,'Facilities'!$C$9:$C$108,0)))))</x:f>
      </x:c>
      <x:c r="AP390" s="21" t="str">
        <x:f>IF(C390="","",IF(AQ390&lt;&gt;"Ready","Unavailable",IF(C390="","",AH390-U390)))</x:f>
      </x:c>
      <x:c r="AQ390" s="23" t="str">
        <x:f>IFERROR(IF(C390="","",IF(AND(INDEX('Facilities'!$AF$9:$AF$108,MATCH(C390,'Facilities'!$C$9:$C$108,0))="Ready",INDEX(Credit!$U$309:$U$408,MATCH(F390,Credit!$C$309:$C$408,0))="Ready",ISNUMBER(W390)),"Ready","Review inputs")),"Review inputs")</x:f>
      </x:c>
      <x:c r="AR390" s="23" t="str">
        <x:f>IF(C390="","",IF(AQ390&lt;&gt;"Ready","Unavailable",IF(C390="","",IF(O390=0,0,(IF(AJ390&lt;=1,O390,O390*INDEX('Facilities'!$R$9:$R$108,MATCH(C390,'Facilities'!$C$9:$C$108,0)))+O390*INDEX('Facilities'!$T$9:$T$108,MATCH(C390,'Facilities'!$C$9:$C$108,0)))/12))))</x:f>
      </x:c>
    </x:row>
    <x:row r="391" ht="26" customHeight="1">
      <x:c r="A391" s="1"/>
      <x:c r="B391" s="1"/>
      <x:c r="C391" s="9" t="str">
        <x:f>IF(Facilities!C91="","",Facilities!C91)</x:f>
      </x:c>
      <x:c r="D391" s="3" t="n">
        <x:v>4</x:v>
      </x:c>
      <x:c r="E391" s="9" t="n">
        <x:f>Settings!$F$18+3</x:f>
        <x:v>2030</x:v>
      </x:c>
      <x:c r="F391" s="9" t="str">
        <x:f>IF(C391="","",IFERROR(INDEX('Facilities'!$D$9:$D$108,MATCH(C391,'Facilities'!$C$9:$C$108,0)),"Unavailable"))</x:f>
      </x:c>
      <x:c r="G391" s="21" t="str">
        <x:f>IF(C391="","",IFERROR(O291,"Unavailable"))</x:f>
      </x:c>
      <x:c r="H391" s="21" t="str">
        <x:f>IF(C391="","",IFERROR(P291,"Unavailable"))</x:f>
      </x:c>
      <x:c r="I391" s="21" t="str">
        <x:f>IF(C391="","",IFERROR(Q291,"Unavailable"))</x:f>
      </x:c>
      <x:c r="J391" s="23" t="str">
        <x:f>IF(C391="","",IFERROR(IF(OR(H391&gt;0,AND(AC391&gt;=0,AC391&lt;D391),D391&gt;INDEX('Facilities'!$J$9:$J$108,MATCH(C391,'Facilities'!$C$9:$C$108,0))),0,I391*'Scenario Paths'!I81),"Unavailable"))</x:f>
      </x:c>
      <x:c r="K391" s="23" t="str">
        <x:f>IF(C391="","",IFERROR(IF(OR(H391&gt;0,AND(AC391&gt;=0,AC391=D391)),0,IF(D391&gt;=INDEX('Facilities'!$J$9:$J$108,MATCH(C391,'Facilities'!$C$9:$C$108,0)),G391+J391,MIN(G391+J391,G391*INDEX('Facilities'!$R$9:$R$108,MATCH(C391,'Facilities'!$C$9:$C$108,0))))),"Unavailable"))</x:f>
      </x:c>
      <x:c r="L391" s="21" t="str">
        <x:f>IF(C391="","",IFERROR(IF(AND(AC391=D391,AC391&gt;0),MAX(0,G391+J391-K391),0),"Unavailable"))</x:f>
      </x:c>
      <x:c r="M391" s="23" t="str">
        <x:f>IF(C391="","",IFERROR(IF(AND(AC391&gt;=0,D391&gt;=AC391+INDEX('Facilities'!$AK$9:$AK$108,MATCH(C391,'Facilities'!$C$9:$C$108,0))),(H391+L391)*AM391,0),"Unavailable"))</x:f>
      </x:c>
      <x:c r="N391" s="23" t="str">
        <x:f>IF(C391="","",IFERROR(IF(AND(AC391&gt;=0,D391&gt;=AC391+INDEX('Facilities'!$AK$9:$AK$108,MATCH(C391,'Facilities'!$C$9:$C$108,0))),H391+L391-M391,0),"Unavailable"))</x:f>
      </x:c>
      <x:c r="O391" s="21" t="str">
        <x:f>IF(C391="","",IFERROR(MAX(0,G391+J391-K391-L391),"Unavailable"))</x:f>
      </x:c>
      <x:c r="P391" s="21" t="str">
        <x:f>IF(C391="","",IFERROR(MAX(0,H391+L391-M391-N391),"Unavailable"))</x:f>
      </x:c>
      <x:c r="Q391" s="23" t="str">
        <x:f>IF(C391="","",IFERROR(IF(OR(D391&gt;=INDEX('Facilities'!$J$9:$J$108,MATCH(C391,'Facilities'!$C$9:$C$108,0)),AND(AC391&gt;=0,AC391&lt;=D391)),0,MAX(0,I391-J391)),"Unavailable"))</x:f>
      </x:c>
      <x:c r="R391" s="30" t="str">
        <x:f>IF(C391="","",IFERROR(INDEX(Credit!$Q$309:$Q$408,MATCH(F391,Credit!$C$309:$C$408,0)),"Unavailable"))</x:f>
      </x:c>
      <x:c r="S391" s="30" t="str">
        <x:f>IF(C391="","",IFERROR(INDEX(Credit!$R$309:$R$408,MATCH(F391,Credit!$C$309:$C$408,0)),"Unavailable"))</x:f>
      </x:c>
      <x:c r="T391" s="23" t="str">
        <x:f>IF(C391="","",IFERROR(IF(P391&gt;0,3,IF(OR(INDEX('Facilities'!$AD$9:$AD$108,MATCH(C391,'Facilities'!$C$9:$C$108,0))=2,AND(R391&gt;=INDEX('Facilities'!$L$9:$L$108,MATCH(C391,'Facilities'!$C$9:$C$108,0))*Settings!$F$19,R391-INDEX('Facilities'!$L$9:$L$108,MATCH(C391,'Facilities'!$C$9:$C$108,0))&gt;=Settings!$F$20)),2,1)),"Unavailable"))</x:f>
      </x:c>
      <x:c r="U391" s="23" t="str">
        <x:f>IF(C391="","",IF(AQ391&lt;&gt;"Ready","Unavailable",IF(C391="","",O391*(1-(1-S391)/(1+INDEX('Facilities'!$K$9:$K$108,MATCH(C391,'Facilities'!$C$9:$C$108,0)))^INDEX('Facilities'!$AK$9:$AK$108,MATCH(C391,'Facilities'!$C$9:$C$108,0)))*R391/(1+INDEX('Facilities'!$K$9:$K$108,MATCH(C391,'Facilities'!$C$9:$C$108,0)))*IF(ABS(1-(1-R391)*(1-INDEX('Facilities'!$R$9:$R$108,MATCH(C391,'Facilities'!$C$9:$C$108,0)))/(1+INDEX('Facilities'!$K$9:$K$108,MATCH(C391,'Facilities'!$C$9:$C$108,0))))&lt;0.000000001,IF(T391=1,MIN(1,AJ391),AJ391),(1-((1-R391)*(1-INDEX('Facilities'!$R$9:$R$108,MATCH(C391,'Facilities'!$C$9:$C$108,0)))/(1+INDEX('Facilities'!$K$9:$K$108,MATCH(C391,'Facilities'!$C$9:$C$108,0))))^IF(T391=1,MIN(1,AJ391),AJ391))/(1-(1-R391)*(1-INDEX('Facilities'!$R$9:$R$108,MATCH(C391,'Facilities'!$C$9:$C$108,0)))/(1+INDEX('Facilities'!$K$9:$K$108,MATCH(C391,'Facilities'!$C$9:$C$108,0)))))+AL391)))</x:f>
      </x:c>
      <x:c r="V391" s="23" t="str">
        <x:f>IF(C391="","",IF(AQ391&lt;&gt;"Ready","Unavailable",IF(C391="","",Q391*INDEX('Facilities'!$I$9:$I$108,MATCH(C391,'Facilities'!$C$9:$C$108,0))*(1-(1-S391)/(1+INDEX('Facilities'!$K$9:$K$108,MATCH(C391,'Facilities'!$C$9:$C$108,0)))^INDEX('Facilities'!$AK$9:$AK$108,MATCH(C391,'Facilities'!$C$9:$C$108,0)))*R391/(1+INDEX('Facilities'!$K$9:$K$108,MATCH(C391,'Facilities'!$C$9:$C$108,0)))*IF(ABS(1-(1-R391)*(1-0)/(1+INDEX('Facilities'!$K$9:$K$108,MATCH(C391,'Facilities'!$C$9:$C$108,0))))&lt;0.000000001,IF(T391=1,MIN(1,AJ391),AJ391),(1-((1-R391)*(1-0)/(1+INDEX('Facilities'!$K$9:$K$108,MATCH(C391,'Facilities'!$C$9:$C$108,0))))^IF(T391=1,MIN(1,AJ391),AJ391))/(1-(1-R391)*(1-0)/(1+INDEX('Facilities'!$K$9:$K$108,MATCH(C391,'Facilities'!$C$9:$C$108,0))))))))</x:f>
      </x:c>
      <x:c r="W391" s="21" t="str">
        <x:f>IF(C391="","",IFERROR(U291,"Unavailable"))</x:f>
      </x:c>
      <x:c r="X391" s="21" t="str">
        <x:f>IF(C391="","",IFERROR(V291,"Unavailable"))</x:f>
      </x:c>
      <x:c r="Y391" s="21" t="str">
        <x:f>IF(C391="","",IF(AQ391&lt;&gt;"Ready","Unavailable",IF(C391="","",U391-W391+V391-X391+N391+AG391)))</x:f>
      </x:c>
      <x:c r="Z391" s="23" t="str">
        <x:f>IF(C391="","",IF(AQ391&lt;&gt;"Ready","Unavailable",IF(C391="","",(G391+O391+L391)/2*INDEX('Facilities'!$T$9:$T$108,MATCH(C391,'Facilities'!$C$9:$C$108,0))+AG391)))</x:f>
      </x:c>
      <x:c r="AA391" s="23" t="str">
        <x:f>IF(C391="","",IF(AQ391&lt;&gt;"Ready","Unavailable",IF(C391="","",O391*(1-IF(INDEX('Facilities'!$AA$9:$AA$108,MATCH(C391,'Facilities'!$C$9:$C$108,0))=0,0,MIN(1,INDEX('Facilities'!$X$9:$X$108,MATCH(C391,'Facilities'!$C$9:$C$108,0))/INDEX('Facilities'!$AA$9:$AA$108,MATCH(C391,'Facilities'!$C$9:$C$108,0)))))*AF391+P391*(1-IF(INDEX('Facilities'!$AA$9:$AA$108,MATCH(C391,'Facilities'!$C$9:$C$108,0))=0,0,MIN(1,INDEX('Facilities'!$X$9:$X$108,MATCH(C391,'Facilities'!$C$9:$C$108,0))/INDEX('Facilities'!$AA$9:$AA$108,MATCH(C391,'Facilities'!$C$9:$C$108,0)))))*INDEX('Facilities'!$AJ$9:$AJ$108,MATCH(C391,'Facilities'!$C$9:$C$108,0))+Q391*INDEX('Facilities'!$AI$9:$AI$108,MATCH(C391,'Facilities'!$C$9:$C$108,0))*AF391)))</x:f>
      </x:c>
      <x:c r="AB391" s="21" t="str">
        <x:f>IF(C391="","",O391+P391-AD391)</x:f>
      </x:c>
      <x:c r="AC391" s="23" t="str">
        <x:f>IF(C391="","",IFERROR(IF(INDEX('Facilities'!$AD$9:$AD$108,MATCH(C391,'Facilities'!$C$9:$C$108,0))=3,0,IF(INDEX('Facilities'!$AN$9:$AN$108,MATCH(C391,'Facilities'!$C$9:$C$108,0))=0,-1,INDEX('Facilities'!$AN$9:$AN$108,MATCH(C391,'Facilities'!$C$9:$C$108,0)))),"Unavailable"))</x:f>
      </x:c>
      <x:c r="AD391" s="21" t="str">
        <x:f>IF(C391="","",IFERROR(G391+H391,"Unavailable"))</x:f>
      </x:c>
      <x:c r="AE391" s="21" t="str">
        <x:f>IF(C391="","",IF(AQ391&lt;&gt;"Ready","Unavailable",IF(C391="","",O391+P391-AD391-J391+K391+M391+N391)))</x:f>
      </x:c>
      <x:c r="AF391" s="30" t="str">
        <x:f>IF(C391="","",IFERROR(INDEX('Facilities'!$S$9:$S$108,MATCH(C391,'Facilities'!$C$9:$C$108,0))*'Scenario Paths'!I75,"Unavailable"))</x:f>
      </x:c>
      <x:c r="AG391" s="23" t="str">
        <x:f>IF(C391="","",IF(AQ391&lt;&gt;"Ready","Unavailable",IF(C391="","",IF(H391&gt;0,MAX(0,H391-AK391)*((1+INDEX('Facilities'!$K$9:$K$108,MATCH(C391,'Facilities'!$C$9:$C$108,0)))^MIN(1,MAX(0,AC391+INDEX('Facilities'!$AK$9:$AK$108,MATCH(C391,'Facilities'!$C$9:$C$108,0))-D391+1))-1),0))))</x:f>
      </x:c>
      <x:c r="AH391" s="21" t="str">
        <x:f>IF(C391="","",IF(AQ391&lt;&gt;"Ready","Unavailable",IF(C391="","",O391+P391)))</x:f>
      </x:c>
      <x:c r="AI391" s="21" t="str">
        <x:f>IF(C391="","",IF(AQ391&lt;&gt;"Ready","Unavailable",IF(C391="","",Z391-Y391)))</x:f>
      </x:c>
      <x:c r="AJ391" s="23" t="str">
        <x:f>IF(C391="","",IFERROR(MAX(0,INDEX('Facilities'!$J$9:$J$108,MATCH(C391,'Facilities'!$C$9:$C$108,0))-D391),"Unavailable"))</x:f>
      </x:c>
      <x:c r="AK391" s="21" t="str">
        <x:f>IF(C391="","",IFERROR(AL291,"Unavailable"))</x:f>
      </x:c>
      <x:c r="AL391" s="23" t="str">
        <x:f>IF(C391="","",IFERROR(IF(P391&gt;0,P391*(1-AM391/(1+INDEX('Facilities'!$K$9:$K$108,MATCH(C391,'Facilities'!$C$9:$C$108,0)))^MAX(0,AC391+INDEX('Facilities'!$AK$9:$AK$108,MATCH(C391,'Facilities'!$C$9:$C$108,0))-D391)),0),"Unavailable"))</x:f>
      </x:c>
      <x:c r="AM391" s="30" t="str">
        <x:f>IF(C391="","",IFERROR(INDEX('Facilities'!$AL$9:$AL$108,MATCH(C391,'Facilities'!$C$9:$C$108,0)),"Unavailable"))</x:f>
      </x:c>
      <x:c r="AN391" s="30" t="str">
        <x:f>IF(C391="","",IFERROR(INDEX(Credit!$T$309:$T$408,MATCH(F391,Credit!$C$309:$C$408,0)),"Unavailable"))</x:f>
      </x:c>
      <x:c r="AO391" s="23" t="str">
        <x:f>IF(C391="","",IF(AQ391&lt;&gt;"Ready","Unavailable",IF(C391="","",O391+P391+Q391*INDEX('Facilities'!$I$9:$I$108,MATCH(C391,'Facilities'!$C$9:$C$108,0)))))</x:f>
      </x:c>
      <x:c r="AP391" s="21" t="str">
        <x:f>IF(C391="","",IF(AQ391&lt;&gt;"Ready","Unavailable",IF(C391="","",AH391-U391)))</x:f>
      </x:c>
      <x:c r="AQ391" s="23" t="str">
        <x:f>IFERROR(IF(C391="","",IF(AND(INDEX('Facilities'!$AF$9:$AF$108,MATCH(C391,'Facilities'!$C$9:$C$108,0))="Ready",INDEX(Credit!$U$309:$U$408,MATCH(F391,Credit!$C$309:$C$408,0))="Ready",ISNUMBER(W391)),"Ready","Review inputs")),"Review inputs")</x:f>
      </x:c>
      <x:c r="AR391" s="23" t="str">
        <x:f>IF(C391="","",IF(AQ391&lt;&gt;"Ready","Unavailable",IF(C391="","",IF(O391=0,0,(IF(AJ391&lt;=1,O391,O391*INDEX('Facilities'!$R$9:$R$108,MATCH(C391,'Facilities'!$C$9:$C$108,0)))+O391*INDEX('Facilities'!$T$9:$T$108,MATCH(C391,'Facilities'!$C$9:$C$108,0)))/12))))</x:f>
      </x:c>
    </x:row>
    <x:row r="392" ht="26" customHeight="1">
      <x:c r="A392" s="1"/>
      <x:c r="B392" s="1"/>
      <x:c r="C392" s="9" t="str">
        <x:f>IF(Facilities!C92="","",Facilities!C92)</x:f>
      </x:c>
      <x:c r="D392" s="3" t="n">
        <x:v>4</x:v>
      </x:c>
      <x:c r="E392" s="9" t="n">
        <x:f>Settings!$F$18+3</x:f>
        <x:v>2030</x:v>
      </x:c>
      <x:c r="F392" s="9" t="str">
        <x:f>IF(C392="","",IFERROR(INDEX('Facilities'!$D$9:$D$108,MATCH(C392,'Facilities'!$C$9:$C$108,0)),"Unavailable"))</x:f>
      </x:c>
      <x:c r="G392" s="21" t="str">
        <x:f>IF(C392="","",IFERROR(O292,"Unavailable"))</x:f>
      </x:c>
      <x:c r="H392" s="21" t="str">
        <x:f>IF(C392="","",IFERROR(P292,"Unavailable"))</x:f>
      </x:c>
      <x:c r="I392" s="21" t="str">
        <x:f>IF(C392="","",IFERROR(Q292,"Unavailable"))</x:f>
      </x:c>
      <x:c r="J392" s="23" t="str">
        <x:f>IF(C392="","",IFERROR(IF(OR(H392&gt;0,AND(AC392&gt;=0,AC392&lt;D392),D392&gt;INDEX('Facilities'!$J$9:$J$108,MATCH(C392,'Facilities'!$C$9:$C$108,0))),0,I392*'Scenario Paths'!I81),"Unavailable"))</x:f>
      </x:c>
      <x:c r="K392" s="23" t="str">
        <x:f>IF(C392="","",IFERROR(IF(OR(H392&gt;0,AND(AC392&gt;=0,AC392=D392)),0,IF(D392&gt;=INDEX('Facilities'!$J$9:$J$108,MATCH(C392,'Facilities'!$C$9:$C$108,0)),G392+J392,MIN(G392+J392,G392*INDEX('Facilities'!$R$9:$R$108,MATCH(C392,'Facilities'!$C$9:$C$108,0))))),"Unavailable"))</x:f>
      </x:c>
      <x:c r="L392" s="21" t="str">
        <x:f>IF(C392="","",IFERROR(IF(AND(AC392=D392,AC392&gt;0),MAX(0,G392+J392-K392),0),"Unavailable"))</x:f>
      </x:c>
      <x:c r="M392" s="23" t="str">
        <x:f>IF(C392="","",IFERROR(IF(AND(AC392&gt;=0,D392&gt;=AC392+INDEX('Facilities'!$AK$9:$AK$108,MATCH(C392,'Facilities'!$C$9:$C$108,0))),(H392+L392)*AM392,0),"Unavailable"))</x:f>
      </x:c>
      <x:c r="N392" s="23" t="str">
        <x:f>IF(C392="","",IFERROR(IF(AND(AC392&gt;=0,D392&gt;=AC392+INDEX('Facilities'!$AK$9:$AK$108,MATCH(C392,'Facilities'!$C$9:$C$108,0))),H392+L392-M392,0),"Unavailable"))</x:f>
      </x:c>
      <x:c r="O392" s="21" t="str">
        <x:f>IF(C392="","",IFERROR(MAX(0,G392+J392-K392-L392),"Unavailable"))</x:f>
      </x:c>
      <x:c r="P392" s="21" t="str">
        <x:f>IF(C392="","",IFERROR(MAX(0,H392+L392-M392-N392),"Unavailable"))</x:f>
      </x:c>
      <x:c r="Q392" s="23" t="str">
        <x:f>IF(C392="","",IFERROR(IF(OR(D392&gt;=INDEX('Facilities'!$J$9:$J$108,MATCH(C392,'Facilities'!$C$9:$C$108,0)),AND(AC392&gt;=0,AC392&lt;=D392)),0,MAX(0,I392-J392)),"Unavailable"))</x:f>
      </x:c>
      <x:c r="R392" s="30" t="str">
        <x:f>IF(C392="","",IFERROR(INDEX(Credit!$Q$309:$Q$408,MATCH(F392,Credit!$C$309:$C$408,0)),"Unavailable"))</x:f>
      </x:c>
      <x:c r="S392" s="30" t="str">
        <x:f>IF(C392="","",IFERROR(INDEX(Credit!$R$309:$R$408,MATCH(F392,Credit!$C$309:$C$408,0)),"Unavailable"))</x:f>
      </x:c>
      <x:c r="T392" s="23" t="str">
        <x:f>IF(C392="","",IFERROR(IF(P392&gt;0,3,IF(OR(INDEX('Facilities'!$AD$9:$AD$108,MATCH(C392,'Facilities'!$C$9:$C$108,0))=2,AND(R392&gt;=INDEX('Facilities'!$L$9:$L$108,MATCH(C392,'Facilities'!$C$9:$C$108,0))*Settings!$F$19,R392-INDEX('Facilities'!$L$9:$L$108,MATCH(C392,'Facilities'!$C$9:$C$108,0))&gt;=Settings!$F$20)),2,1)),"Unavailable"))</x:f>
      </x:c>
      <x:c r="U392" s="23" t="str">
        <x:f>IF(C392="","",IF(AQ392&lt;&gt;"Ready","Unavailable",IF(C392="","",O392*(1-(1-S392)/(1+INDEX('Facilities'!$K$9:$K$108,MATCH(C392,'Facilities'!$C$9:$C$108,0)))^INDEX('Facilities'!$AK$9:$AK$108,MATCH(C392,'Facilities'!$C$9:$C$108,0)))*R392/(1+INDEX('Facilities'!$K$9:$K$108,MATCH(C392,'Facilities'!$C$9:$C$108,0)))*IF(ABS(1-(1-R392)*(1-INDEX('Facilities'!$R$9:$R$108,MATCH(C392,'Facilities'!$C$9:$C$108,0)))/(1+INDEX('Facilities'!$K$9:$K$108,MATCH(C392,'Facilities'!$C$9:$C$108,0))))&lt;0.000000001,IF(T392=1,MIN(1,AJ392),AJ392),(1-((1-R392)*(1-INDEX('Facilities'!$R$9:$R$108,MATCH(C392,'Facilities'!$C$9:$C$108,0)))/(1+INDEX('Facilities'!$K$9:$K$108,MATCH(C392,'Facilities'!$C$9:$C$108,0))))^IF(T392=1,MIN(1,AJ392),AJ392))/(1-(1-R392)*(1-INDEX('Facilities'!$R$9:$R$108,MATCH(C392,'Facilities'!$C$9:$C$108,0)))/(1+INDEX('Facilities'!$K$9:$K$108,MATCH(C392,'Facilities'!$C$9:$C$108,0)))))+AL392)))</x:f>
      </x:c>
      <x:c r="V392" s="23" t="str">
        <x:f>IF(C392="","",IF(AQ392&lt;&gt;"Ready","Unavailable",IF(C392="","",Q392*INDEX('Facilities'!$I$9:$I$108,MATCH(C392,'Facilities'!$C$9:$C$108,0))*(1-(1-S392)/(1+INDEX('Facilities'!$K$9:$K$108,MATCH(C392,'Facilities'!$C$9:$C$108,0)))^INDEX('Facilities'!$AK$9:$AK$108,MATCH(C392,'Facilities'!$C$9:$C$108,0)))*R392/(1+INDEX('Facilities'!$K$9:$K$108,MATCH(C392,'Facilities'!$C$9:$C$108,0)))*IF(ABS(1-(1-R392)*(1-0)/(1+INDEX('Facilities'!$K$9:$K$108,MATCH(C392,'Facilities'!$C$9:$C$108,0))))&lt;0.000000001,IF(T392=1,MIN(1,AJ392),AJ392),(1-((1-R392)*(1-0)/(1+INDEX('Facilities'!$K$9:$K$108,MATCH(C392,'Facilities'!$C$9:$C$108,0))))^IF(T392=1,MIN(1,AJ392),AJ392))/(1-(1-R392)*(1-0)/(1+INDEX('Facilities'!$K$9:$K$108,MATCH(C392,'Facilities'!$C$9:$C$108,0))))))))</x:f>
      </x:c>
      <x:c r="W392" s="21" t="str">
        <x:f>IF(C392="","",IFERROR(U292,"Unavailable"))</x:f>
      </x:c>
      <x:c r="X392" s="21" t="str">
        <x:f>IF(C392="","",IFERROR(V292,"Unavailable"))</x:f>
      </x:c>
      <x:c r="Y392" s="21" t="str">
        <x:f>IF(C392="","",IF(AQ392&lt;&gt;"Ready","Unavailable",IF(C392="","",U392-W392+V392-X392+N392+AG392)))</x:f>
      </x:c>
      <x:c r="Z392" s="23" t="str">
        <x:f>IF(C392="","",IF(AQ392&lt;&gt;"Ready","Unavailable",IF(C392="","",(G392+O392+L392)/2*INDEX('Facilities'!$T$9:$T$108,MATCH(C392,'Facilities'!$C$9:$C$108,0))+AG392)))</x:f>
      </x:c>
      <x:c r="AA392" s="23" t="str">
        <x:f>IF(C392="","",IF(AQ392&lt;&gt;"Ready","Unavailable",IF(C392="","",O392*(1-IF(INDEX('Facilities'!$AA$9:$AA$108,MATCH(C392,'Facilities'!$C$9:$C$108,0))=0,0,MIN(1,INDEX('Facilities'!$X$9:$X$108,MATCH(C392,'Facilities'!$C$9:$C$108,0))/INDEX('Facilities'!$AA$9:$AA$108,MATCH(C392,'Facilities'!$C$9:$C$108,0)))))*AF392+P392*(1-IF(INDEX('Facilities'!$AA$9:$AA$108,MATCH(C392,'Facilities'!$C$9:$C$108,0))=0,0,MIN(1,INDEX('Facilities'!$X$9:$X$108,MATCH(C392,'Facilities'!$C$9:$C$108,0))/INDEX('Facilities'!$AA$9:$AA$108,MATCH(C392,'Facilities'!$C$9:$C$108,0)))))*INDEX('Facilities'!$AJ$9:$AJ$108,MATCH(C392,'Facilities'!$C$9:$C$108,0))+Q392*INDEX('Facilities'!$AI$9:$AI$108,MATCH(C392,'Facilities'!$C$9:$C$108,0))*AF392)))</x:f>
      </x:c>
      <x:c r="AB392" s="21" t="str">
        <x:f>IF(C392="","",O392+P392-AD392)</x:f>
      </x:c>
      <x:c r="AC392" s="23" t="str">
        <x:f>IF(C392="","",IFERROR(IF(INDEX('Facilities'!$AD$9:$AD$108,MATCH(C392,'Facilities'!$C$9:$C$108,0))=3,0,IF(INDEX('Facilities'!$AN$9:$AN$108,MATCH(C392,'Facilities'!$C$9:$C$108,0))=0,-1,INDEX('Facilities'!$AN$9:$AN$108,MATCH(C392,'Facilities'!$C$9:$C$108,0)))),"Unavailable"))</x:f>
      </x:c>
      <x:c r="AD392" s="21" t="str">
        <x:f>IF(C392="","",IFERROR(G392+H392,"Unavailable"))</x:f>
      </x:c>
      <x:c r="AE392" s="21" t="str">
        <x:f>IF(C392="","",IF(AQ392&lt;&gt;"Ready","Unavailable",IF(C392="","",O392+P392-AD392-J392+K392+M392+N392)))</x:f>
      </x:c>
      <x:c r="AF392" s="30" t="str">
        <x:f>IF(C392="","",IFERROR(INDEX('Facilities'!$S$9:$S$108,MATCH(C392,'Facilities'!$C$9:$C$108,0))*'Scenario Paths'!I75,"Unavailable"))</x:f>
      </x:c>
      <x:c r="AG392" s="23" t="str">
        <x:f>IF(C392="","",IF(AQ392&lt;&gt;"Ready","Unavailable",IF(C392="","",IF(H392&gt;0,MAX(0,H392-AK392)*((1+INDEX('Facilities'!$K$9:$K$108,MATCH(C392,'Facilities'!$C$9:$C$108,0)))^MIN(1,MAX(0,AC392+INDEX('Facilities'!$AK$9:$AK$108,MATCH(C392,'Facilities'!$C$9:$C$108,0))-D392+1))-1),0))))</x:f>
      </x:c>
      <x:c r="AH392" s="21" t="str">
        <x:f>IF(C392="","",IF(AQ392&lt;&gt;"Ready","Unavailable",IF(C392="","",O392+P392)))</x:f>
      </x:c>
      <x:c r="AI392" s="21" t="str">
        <x:f>IF(C392="","",IF(AQ392&lt;&gt;"Ready","Unavailable",IF(C392="","",Z392-Y392)))</x:f>
      </x:c>
      <x:c r="AJ392" s="23" t="str">
        <x:f>IF(C392="","",IFERROR(MAX(0,INDEX('Facilities'!$J$9:$J$108,MATCH(C392,'Facilities'!$C$9:$C$108,0))-D392),"Unavailable"))</x:f>
      </x:c>
      <x:c r="AK392" s="21" t="str">
        <x:f>IF(C392="","",IFERROR(AL292,"Unavailable"))</x:f>
      </x:c>
      <x:c r="AL392" s="23" t="str">
        <x:f>IF(C392="","",IFERROR(IF(P392&gt;0,P392*(1-AM392/(1+INDEX('Facilities'!$K$9:$K$108,MATCH(C392,'Facilities'!$C$9:$C$108,0)))^MAX(0,AC392+INDEX('Facilities'!$AK$9:$AK$108,MATCH(C392,'Facilities'!$C$9:$C$108,0))-D392)),0),"Unavailable"))</x:f>
      </x:c>
      <x:c r="AM392" s="30" t="str">
        <x:f>IF(C392="","",IFERROR(INDEX('Facilities'!$AL$9:$AL$108,MATCH(C392,'Facilities'!$C$9:$C$108,0)),"Unavailable"))</x:f>
      </x:c>
      <x:c r="AN392" s="30" t="str">
        <x:f>IF(C392="","",IFERROR(INDEX(Credit!$T$309:$T$408,MATCH(F392,Credit!$C$309:$C$408,0)),"Unavailable"))</x:f>
      </x:c>
      <x:c r="AO392" s="23" t="str">
        <x:f>IF(C392="","",IF(AQ392&lt;&gt;"Ready","Unavailable",IF(C392="","",O392+P392+Q392*INDEX('Facilities'!$I$9:$I$108,MATCH(C392,'Facilities'!$C$9:$C$108,0)))))</x:f>
      </x:c>
      <x:c r="AP392" s="21" t="str">
        <x:f>IF(C392="","",IF(AQ392&lt;&gt;"Ready","Unavailable",IF(C392="","",AH392-U392)))</x:f>
      </x:c>
      <x:c r="AQ392" s="23" t="str">
        <x:f>IFERROR(IF(C392="","",IF(AND(INDEX('Facilities'!$AF$9:$AF$108,MATCH(C392,'Facilities'!$C$9:$C$108,0))="Ready",INDEX(Credit!$U$309:$U$408,MATCH(F392,Credit!$C$309:$C$408,0))="Ready",ISNUMBER(W392)),"Ready","Review inputs")),"Review inputs")</x:f>
      </x:c>
      <x:c r="AR392" s="23" t="str">
        <x:f>IF(C392="","",IF(AQ392&lt;&gt;"Ready","Unavailable",IF(C392="","",IF(O392=0,0,(IF(AJ392&lt;=1,O392,O392*INDEX('Facilities'!$R$9:$R$108,MATCH(C392,'Facilities'!$C$9:$C$108,0)))+O392*INDEX('Facilities'!$T$9:$T$108,MATCH(C392,'Facilities'!$C$9:$C$108,0)))/12))))</x:f>
      </x:c>
    </x:row>
    <x:row r="393" ht="26" customHeight="1">
      <x:c r="A393" s="1"/>
      <x:c r="B393" s="1"/>
      <x:c r="C393" s="9" t="str">
        <x:f>IF(Facilities!C93="","",Facilities!C93)</x:f>
      </x:c>
      <x:c r="D393" s="3" t="n">
        <x:v>4</x:v>
      </x:c>
      <x:c r="E393" s="9" t="n">
        <x:f>Settings!$F$18+3</x:f>
        <x:v>2030</x:v>
      </x:c>
      <x:c r="F393" s="9" t="str">
        <x:f>IF(C393="","",IFERROR(INDEX('Facilities'!$D$9:$D$108,MATCH(C393,'Facilities'!$C$9:$C$108,0)),"Unavailable"))</x:f>
      </x:c>
      <x:c r="G393" s="21" t="str">
        <x:f>IF(C393="","",IFERROR(O293,"Unavailable"))</x:f>
      </x:c>
      <x:c r="H393" s="21" t="str">
        <x:f>IF(C393="","",IFERROR(P293,"Unavailable"))</x:f>
      </x:c>
      <x:c r="I393" s="21" t="str">
        <x:f>IF(C393="","",IFERROR(Q293,"Unavailable"))</x:f>
      </x:c>
      <x:c r="J393" s="23" t="str">
        <x:f>IF(C393="","",IFERROR(IF(OR(H393&gt;0,AND(AC393&gt;=0,AC393&lt;D393),D393&gt;INDEX('Facilities'!$J$9:$J$108,MATCH(C393,'Facilities'!$C$9:$C$108,0))),0,I393*'Scenario Paths'!I81),"Unavailable"))</x:f>
      </x:c>
      <x:c r="K393" s="23" t="str">
        <x:f>IF(C393="","",IFERROR(IF(OR(H393&gt;0,AND(AC393&gt;=0,AC393=D393)),0,IF(D393&gt;=INDEX('Facilities'!$J$9:$J$108,MATCH(C393,'Facilities'!$C$9:$C$108,0)),G393+J393,MIN(G393+J393,G393*INDEX('Facilities'!$R$9:$R$108,MATCH(C393,'Facilities'!$C$9:$C$108,0))))),"Unavailable"))</x:f>
      </x:c>
      <x:c r="L393" s="21" t="str">
        <x:f>IF(C393="","",IFERROR(IF(AND(AC393=D393,AC393&gt;0),MAX(0,G393+J393-K393),0),"Unavailable"))</x:f>
      </x:c>
      <x:c r="M393" s="23" t="str">
        <x:f>IF(C393="","",IFERROR(IF(AND(AC393&gt;=0,D393&gt;=AC393+INDEX('Facilities'!$AK$9:$AK$108,MATCH(C393,'Facilities'!$C$9:$C$108,0))),(H393+L393)*AM393,0),"Unavailable"))</x:f>
      </x:c>
      <x:c r="N393" s="23" t="str">
        <x:f>IF(C393="","",IFERROR(IF(AND(AC393&gt;=0,D393&gt;=AC393+INDEX('Facilities'!$AK$9:$AK$108,MATCH(C393,'Facilities'!$C$9:$C$108,0))),H393+L393-M393,0),"Unavailable"))</x:f>
      </x:c>
      <x:c r="O393" s="21" t="str">
        <x:f>IF(C393="","",IFERROR(MAX(0,G393+J393-K393-L393),"Unavailable"))</x:f>
      </x:c>
      <x:c r="P393" s="21" t="str">
        <x:f>IF(C393="","",IFERROR(MAX(0,H393+L393-M393-N393),"Unavailable"))</x:f>
      </x:c>
      <x:c r="Q393" s="23" t="str">
        <x:f>IF(C393="","",IFERROR(IF(OR(D393&gt;=INDEX('Facilities'!$J$9:$J$108,MATCH(C393,'Facilities'!$C$9:$C$108,0)),AND(AC393&gt;=0,AC393&lt;=D393)),0,MAX(0,I393-J393)),"Unavailable"))</x:f>
      </x:c>
      <x:c r="R393" s="30" t="str">
        <x:f>IF(C393="","",IFERROR(INDEX(Credit!$Q$309:$Q$408,MATCH(F393,Credit!$C$309:$C$408,0)),"Unavailable"))</x:f>
      </x:c>
      <x:c r="S393" s="30" t="str">
        <x:f>IF(C393="","",IFERROR(INDEX(Credit!$R$309:$R$408,MATCH(F393,Credit!$C$309:$C$408,0)),"Unavailable"))</x:f>
      </x:c>
      <x:c r="T393" s="23" t="str">
        <x:f>IF(C393="","",IFERROR(IF(P393&gt;0,3,IF(OR(INDEX('Facilities'!$AD$9:$AD$108,MATCH(C393,'Facilities'!$C$9:$C$108,0))=2,AND(R393&gt;=INDEX('Facilities'!$L$9:$L$108,MATCH(C393,'Facilities'!$C$9:$C$108,0))*Settings!$F$19,R393-INDEX('Facilities'!$L$9:$L$108,MATCH(C393,'Facilities'!$C$9:$C$108,0))&gt;=Settings!$F$20)),2,1)),"Unavailable"))</x:f>
      </x:c>
      <x:c r="U393" s="23" t="str">
        <x:f>IF(C393="","",IF(AQ393&lt;&gt;"Ready","Unavailable",IF(C393="","",O393*(1-(1-S393)/(1+INDEX('Facilities'!$K$9:$K$108,MATCH(C393,'Facilities'!$C$9:$C$108,0)))^INDEX('Facilities'!$AK$9:$AK$108,MATCH(C393,'Facilities'!$C$9:$C$108,0)))*R393/(1+INDEX('Facilities'!$K$9:$K$108,MATCH(C393,'Facilities'!$C$9:$C$108,0)))*IF(ABS(1-(1-R393)*(1-INDEX('Facilities'!$R$9:$R$108,MATCH(C393,'Facilities'!$C$9:$C$108,0)))/(1+INDEX('Facilities'!$K$9:$K$108,MATCH(C393,'Facilities'!$C$9:$C$108,0))))&lt;0.000000001,IF(T393=1,MIN(1,AJ393),AJ393),(1-((1-R393)*(1-INDEX('Facilities'!$R$9:$R$108,MATCH(C393,'Facilities'!$C$9:$C$108,0)))/(1+INDEX('Facilities'!$K$9:$K$108,MATCH(C393,'Facilities'!$C$9:$C$108,0))))^IF(T393=1,MIN(1,AJ393),AJ393))/(1-(1-R393)*(1-INDEX('Facilities'!$R$9:$R$108,MATCH(C393,'Facilities'!$C$9:$C$108,0)))/(1+INDEX('Facilities'!$K$9:$K$108,MATCH(C393,'Facilities'!$C$9:$C$108,0)))))+AL393)))</x:f>
      </x:c>
      <x:c r="V393" s="23" t="str">
        <x:f>IF(C393="","",IF(AQ393&lt;&gt;"Ready","Unavailable",IF(C393="","",Q393*INDEX('Facilities'!$I$9:$I$108,MATCH(C393,'Facilities'!$C$9:$C$108,0))*(1-(1-S393)/(1+INDEX('Facilities'!$K$9:$K$108,MATCH(C393,'Facilities'!$C$9:$C$108,0)))^INDEX('Facilities'!$AK$9:$AK$108,MATCH(C393,'Facilities'!$C$9:$C$108,0)))*R393/(1+INDEX('Facilities'!$K$9:$K$108,MATCH(C393,'Facilities'!$C$9:$C$108,0)))*IF(ABS(1-(1-R393)*(1-0)/(1+INDEX('Facilities'!$K$9:$K$108,MATCH(C393,'Facilities'!$C$9:$C$108,0))))&lt;0.000000001,IF(T393=1,MIN(1,AJ393),AJ393),(1-((1-R393)*(1-0)/(1+INDEX('Facilities'!$K$9:$K$108,MATCH(C393,'Facilities'!$C$9:$C$108,0))))^IF(T393=1,MIN(1,AJ393),AJ393))/(1-(1-R393)*(1-0)/(1+INDEX('Facilities'!$K$9:$K$108,MATCH(C393,'Facilities'!$C$9:$C$108,0))))))))</x:f>
      </x:c>
      <x:c r="W393" s="21" t="str">
        <x:f>IF(C393="","",IFERROR(U293,"Unavailable"))</x:f>
      </x:c>
      <x:c r="X393" s="21" t="str">
        <x:f>IF(C393="","",IFERROR(V293,"Unavailable"))</x:f>
      </x:c>
      <x:c r="Y393" s="21" t="str">
        <x:f>IF(C393="","",IF(AQ393&lt;&gt;"Ready","Unavailable",IF(C393="","",U393-W393+V393-X393+N393+AG393)))</x:f>
      </x:c>
      <x:c r="Z393" s="23" t="str">
        <x:f>IF(C393="","",IF(AQ393&lt;&gt;"Ready","Unavailable",IF(C393="","",(G393+O393+L393)/2*INDEX('Facilities'!$T$9:$T$108,MATCH(C393,'Facilities'!$C$9:$C$108,0))+AG393)))</x:f>
      </x:c>
      <x:c r="AA393" s="23" t="str">
        <x:f>IF(C393="","",IF(AQ393&lt;&gt;"Ready","Unavailable",IF(C393="","",O393*(1-IF(INDEX('Facilities'!$AA$9:$AA$108,MATCH(C393,'Facilities'!$C$9:$C$108,0))=0,0,MIN(1,INDEX('Facilities'!$X$9:$X$108,MATCH(C393,'Facilities'!$C$9:$C$108,0))/INDEX('Facilities'!$AA$9:$AA$108,MATCH(C393,'Facilities'!$C$9:$C$108,0)))))*AF393+P393*(1-IF(INDEX('Facilities'!$AA$9:$AA$108,MATCH(C393,'Facilities'!$C$9:$C$108,0))=0,0,MIN(1,INDEX('Facilities'!$X$9:$X$108,MATCH(C393,'Facilities'!$C$9:$C$108,0))/INDEX('Facilities'!$AA$9:$AA$108,MATCH(C393,'Facilities'!$C$9:$C$108,0)))))*INDEX('Facilities'!$AJ$9:$AJ$108,MATCH(C393,'Facilities'!$C$9:$C$108,0))+Q393*INDEX('Facilities'!$AI$9:$AI$108,MATCH(C393,'Facilities'!$C$9:$C$108,0))*AF393)))</x:f>
      </x:c>
      <x:c r="AB393" s="21" t="str">
        <x:f>IF(C393="","",O393+P393-AD393)</x:f>
      </x:c>
      <x:c r="AC393" s="23" t="str">
        <x:f>IF(C393="","",IFERROR(IF(INDEX('Facilities'!$AD$9:$AD$108,MATCH(C393,'Facilities'!$C$9:$C$108,0))=3,0,IF(INDEX('Facilities'!$AN$9:$AN$108,MATCH(C393,'Facilities'!$C$9:$C$108,0))=0,-1,INDEX('Facilities'!$AN$9:$AN$108,MATCH(C393,'Facilities'!$C$9:$C$108,0)))),"Unavailable"))</x:f>
      </x:c>
      <x:c r="AD393" s="21" t="str">
        <x:f>IF(C393="","",IFERROR(G393+H393,"Unavailable"))</x:f>
      </x:c>
      <x:c r="AE393" s="21" t="str">
        <x:f>IF(C393="","",IF(AQ393&lt;&gt;"Ready","Unavailable",IF(C393="","",O393+P393-AD393-J393+K393+M393+N393)))</x:f>
      </x:c>
      <x:c r="AF393" s="30" t="str">
        <x:f>IF(C393="","",IFERROR(INDEX('Facilities'!$S$9:$S$108,MATCH(C393,'Facilities'!$C$9:$C$108,0))*'Scenario Paths'!I75,"Unavailable"))</x:f>
      </x:c>
      <x:c r="AG393" s="23" t="str">
        <x:f>IF(C393="","",IF(AQ393&lt;&gt;"Ready","Unavailable",IF(C393="","",IF(H393&gt;0,MAX(0,H393-AK393)*((1+INDEX('Facilities'!$K$9:$K$108,MATCH(C393,'Facilities'!$C$9:$C$108,0)))^MIN(1,MAX(0,AC393+INDEX('Facilities'!$AK$9:$AK$108,MATCH(C393,'Facilities'!$C$9:$C$108,0))-D393+1))-1),0))))</x:f>
      </x:c>
      <x:c r="AH393" s="21" t="str">
        <x:f>IF(C393="","",IF(AQ393&lt;&gt;"Ready","Unavailable",IF(C393="","",O393+P393)))</x:f>
      </x:c>
      <x:c r="AI393" s="21" t="str">
        <x:f>IF(C393="","",IF(AQ393&lt;&gt;"Ready","Unavailable",IF(C393="","",Z393-Y393)))</x:f>
      </x:c>
      <x:c r="AJ393" s="23" t="str">
        <x:f>IF(C393="","",IFERROR(MAX(0,INDEX('Facilities'!$J$9:$J$108,MATCH(C393,'Facilities'!$C$9:$C$108,0))-D393),"Unavailable"))</x:f>
      </x:c>
      <x:c r="AK393" s="21" t="str">
        <x:f>IF(C393="","",IFERROR(AL293,"Unavailable"))</x:f>
      </x:c>
      <x:c r="AL393" s="23" t="str">
        <x:f>IF(C393="","",IFERROR(IF(P393&gt;0,P393*(1-AM393/(1+INDEX('Facilities'!$K$9:$K$108,MATCH(C393,'Facilities'!$C$9:$C$108,0)))^MAX(0,AC393+INDEX('Facilities'!$AK$9:$AK$108,MATCH(C393,'Facilities'!$C$9:$C$108,0))-D393)),0),"Unavailable"))</x:f>
      </x:c>
      <x:c r="AM393" s="30" t="str">
        <x:f>IF(C393="","",IFERROR(INDEX('Facilities'!$AL$9:$AL$108,MATCH(C393,'Facilities'!$C$9:$C$108,0)),"Unavailable"))</x:f>
      </x:c>
      <x:c r="AN393" s="30" t="str">
        <x:f>IF(C393="","",IFERROR(INDEX(Credit!$T$309:$T$408,MATCH(F393,Credit!$C$309:$C$408,0)),"Unavailable"))</x:f>
      </x:c>
      <x:c r="AO393" s="23" t="str">
        <x:f>IF(C393="","",IF(AQ393&lt;&gt;"Ready","Unavailable",IF(C393="","",O393+P393+Q393*INDEX('Facilities'!$I$9:$I$108,MATCH(C393,'Facilities'!$C$9:$C$108,0)))))</x:f>
      </x:c>
      <x:c r="AP393" s="21" t="str">
        <x:f>IF(C393="","",IF(AQ393&lt;&gt;"Ready","Unavailable",IF(C393="","",AH393-U393)))</x:f>
      </x:c>
      <x:c r="AQ393" s="23" t="str">
        <x:f>IFERROR(IF(C393="","",IF(AND(INDEX('Facilities'!$AF$9:$AF$108,MATCH(C393,'Facilities'!$C$9:$C$108,0))="Ready",INDEX(Credit!$U$309:$U$408,MATCH(F393,Credit!$C$309:$C$408,0))="Ready",ISNUMBER(W393)),"Ready","Review inputs")),"Review inputs")</x:f>
      </x:c>
      <x:c r="AR393" s="23" t="str">
        <x:f>IF(C393="","",IF(AQ393&lt;&gt;"Ready","Unavailable",IF(C393="","",IF(O393=0,0,(IF(AJ393&lt;=1,O393,O393*INDEX('Facilities'!$R$9:$R$108,MATCH(C393,'Facilities'!$C$9:$C$108,0)))+O393*INDEX('Facilities'!$T$9:$T$108,MATCH(C393,'Facilities'!$C$9:$C$108,0)))/12))))</x:f>
      </x:c>
    </x:row>
    <x:row r="394" ht="26" customHeight="1">
      <x:c r="A394" s="1"/>
      <x:c r="B394" s="1"/>
      <x:c r="C394" s="9" t="str">
        <x:f>IF(Facilities!C94="","",Facilities!C94)</x:f>
      </x:c>
      <x:c r="D394" s="3" t="n">
        <x:v>4</x:v>
      </x:c>
      <x:c r="E394" s="9" t="n">
        <x:f>Settings!$F$18+3</x:f>
        <x:v>2030</x:v>
      </x:c>
      <x:c r="F394" s="9" t="str">
        <x:f>IF(C394="","",IFERROR(INDEX('Facilities'!$D$9:$D$108,MATCH(C394,'Facilities'!$C$9:$C$108,0)),"Unavailable"))</x:f>
      </x:c>
      <x:c r="G394" s="21" t="str">
        <x:f>IF(C394="","",IFERROR(O294,"Unavailable"))</x:f>
      </x:c>
      <x:c r="H394" s="21" t="str">
        <x:f>IF(C394="","",IFERROR(P294,"Unavailable"))</x:f>
      </x:c>
      <x:c r="I394" s="21" t="str">
        <x:f>IF(C394="","",IFERROR(Q294,"Unavailable"))</x:f>
      </x:c>
      <x:c r="J394" s="23" t="str">
        <x:f>IF(C394="","",IFERROR(IF(OR(H394&gt;0,AND(AC394&gt;=0,AC394&lt;D394),D394&gt;INDEX('Facilities'!$J$9:$J$108,MATCH(C394,'Facilities'!$C$9:$C$108,0))),0,I394*'Scenario Paths'!I81),"Unavailable"))</x:f>
      </x:c>
      <x:c r="K394" s="23" t="str">
        <x:f>IF(C394="","",IFERROR(IF(OR(H394&gt;0,AND(AC394&gt;=0,AC394=D394)),0,IF(D394&gt;=INDEX('Facilities'!$J$9:$J$108,MATCH(C394,'Facilities'!$C$9:$C$108,0)),G394+J394,MIN(G394+J394,G394*INDEX('Facilities'!$R$9:$R$108,MATCH(C394,'Facilities'!$C$9:$C$108,0))))),"Unavailable"))</x:f>
      </x:c>
      <x:c r="L394" s="21" t="str">
        <x:f>IF(C394="","",IFERROR(IF(AND(AC394=D394,AC394&gt;0),MAX(0,G394+J394-K394),0),"Unavailable"))</x:f>
      </x:c>
      <x:c r="M394" s="23" t="str">
        <x:f>IF(C394="","",IFERROR(IF(AND(AC394&gt;=0,D394&gt;=AC394+INDEX('Facilities'!$AK$9:$AK$108,MATCH(C394,'Facilities'!$C$9:$C$108,0))),(H394+L394)*AM394,0),"Unavailable"))</x:f>
      </x:c>
      <x:c r="N394" s="23" t="str">
        <x:f>IF(C394="","",IFERROR(IF(AND(AC394&gt;=0,D394&gt;=AC394+INDEX('Facilities'!$AK$9:$AK$108,MATCH(C394,'Facilities'!$C$9:$C$108,0))),H394+L394-M394,0),"Unavailable"))</x:f>
      </x:c>
      <x:c r="O394" s="21" t="str">
        <x:f>IF(C394="","",IFERROR(MAX(0,G394+J394-K394-L394),"Unavailable"))</x:f>
      </x:c>
      <x:c r="P394" s="21" t="str">
        <x:f>IF(C394="","",IFERROR(MAX(0,H394+L394-M394-N394),"Unavailable"))</x:f>
      </x:c>
      <x:c r="Q394" s="23" t="str">
        <x:f>IF(C394="","",IFERROR(IF(OR(D394&gt;=INDEX('Facilities'!$J$9:$J$108,MATCH(C394,'Facilities'!$C$9:$C$108,0)),AND(AC394&gt;=0,AC394&lt;=D394)),0,MAX(0,I394-J394)),"Unavailable"))</x:f>
      </x:c>
      <x:c r="R394" s="30" t="str">
        <x:f>IF(C394="","",IFERROR(INDEX(Credit!$Q$309:$Q$408,MATCH(F394,Credit!$C$309:$C$408,0)),"Unavailable"))</x:f>
      </x:c>
      <x:c r="S394" s="30" t="str">
        <x:f>IF(C394="","",IFERROR(INDEX(Credit!$R$309:$R$408,MATCH(F394,Credit!$C$309:$C$408,0)),"Unavailable"))</x:f>
      </x:c>
      <x:c r="T394" s="23" t="str">
        <x:f>IF(C394="","",IFERROR(IF(P394&gt;0,3,IF(OR(INDEX('Facilities'!$AD$9:$AD$108,MATCH(C394,'Facilities'!$C$9:$C$108,0))=2,AND(R394&gt;=INDEX('Facilities'!$L$9:$L$108,MATCH(C394,'Facilities'!$C$9:$C$108,0))*Settings!$F$19,R394-INDEX('Facilities'!$L$9:$L$108,MATCH(C394,'Facilities'!$C$9:$C$108,0))&gt;=Settings!$F$20)),2,1)),"Unavailable"))</x:f>
      </x:c>
      <x:c r="U394" s="23" t="str">
        <x:f>IF(C394="","",IF(AQ394&lt;&gt;"Ready","Unavailable",IF(C394="","",O394*(1-(1-S394)/(1+INDEX('Facilities'!$K$9:$K$108,MATCH(C394,'Facilities'!$C$9:$C$108,0)))^INDEX('Facilities'!$AK$9:$AK$108,MATCH(C394,'Facilities'!$C$9:$C$108,0)))*R394/(1+INDEX('Facilities'!$K$9:$K$108,MATCH(C394,'Facilities'!$C$9:$C$108,0)))*IF(ABS(1-(1-R394)*(1-INDEX('Facilities'!$R$9:$R$108,MATCH(C394,'Facilities'!$C$9:$C$108,0)))/(1+INDEX('Facilities'!$K$9:$K$108,MATCH(C394,'Facilities'!$C$9:$C$108,0))))&lt;0.000000001,IF(T394=1,MIN(1,AJ394),AJ394),(1-((1-R394)*(1-INDEX('Facilities'!$R$9:$R$108,MATCH(C394,'Facilities'!$C$9:$C$108,0)))/(1+INDEX('Facilities'!$K$9:$K$108,MATCH(C394,'Facilities'!$C$9:$C$108,0))))^IF(T394=1,MIN(1,AJ394),AJ394))/(1-(1-R394)*(1-INDEX('Facilities'!$R$9:$R$108,MATCH(C394,'Facilities'!$C$9:$C$108,0)))/(1+INDEX('Facilities'!$K$9:$K$108,MATCH(C394,'Facilities'!$C$9:$C$108,0)))))+AL394)))</x:f>
      </x:c>
      <x:c r="V394" s="23" t="str">
        <x:f>IF(C394="","",IF(AQ394&lt;&gt;"Ready","Unavailable",IF(C394="","",Q394*INDEX('Facilities'!$I$9:$I$108,MATCH(C394,'Facilities'!$C$9:$C$108,0))*(1-(1-S394)/(1+INDEX('Facilities'!$K$9:$K$108,MATCH(C394,'Facilities'!$C$9:$C$108,0)))^INDEX('Facilities'!$AK$9:$AK$108,MATCH(C394,'Facilities'!$C$9:$C$108,0)))*R394/(1+INDEX('Facilities'!$K$9:$K$108,MATCH(C394,'Facilities'!$C$9:$C$108,0)))*IF(ABS(1-(1-R394)*(1-0)/(1+INDEX('Facilities'!$K$9:$K$108,MATCH(C394,'Facilities'!$C$9:$C$108,0))))&lt;0.000000001,IF(T394=1,MIN(1,AJ394),AJ394),(1-((1-R394)*(1-0)/(1+INDEX('Facilities'!$K$9:$K$108,MATCH(C394,'Facilities'!$C$9:$C$108,0))))^IF(T394=1,MIN(1,AJ394),AJ394))/(1-(1-R394)*(1-0)/(1+INDEX('Facilities'!$K$9:$K$108,MATCH(C394,'Facilities'!$C$9:$C$108,0))))))))</x:f>
      </x:c>
      <x:c r="W394" s="21" t="str">
        <x:f>IF(C394="","",IFERROR(U294,"Unavailable"))</x:f>
      </x:c>
      <x:c r="X394" s="21" t="str">
        <x:f>IF(C394="","",IFERROR(V294,"Unavailable"))</x:f>
      </x:c>
      <x:c r="Y394" s="21" t="str">
        <x:f>IF(C394="","",IF(AQ394&lt;&gt;"Ready","Unavailable",IF(C394="","",U394-W394+V394-X394+N394+AG394)))</x:f>
      </x:c>
      <x:c r="Z394" s="23" t="str">
        <x:f>IF(C394="","",IF(AQ394&lt;&gt;"Ready","Unavailable",IF(C394="","",(G394+O394+L394)/2*INDEX('Facilities'!$T$9:$T$108,MATCH(C394,'Facilities'!$C$9:$C$108,0))+AG394)))</x:f>
      </x:c>
      <x:c r="AA394" s="23" t="str">
        <x:f>IF(C394="","",IF(AQ394&lt;&gt;"Ready","Unavailable",IF(C394="","",O394*(1-IF(INDEX('Facilities'!$AA$9:$AA$108,MATCH(C394,'Facilities'!$C$9:$C$108,0))=0,0,MIN(1,INDEX('Facilities'!$X$9:$X$108,MATCH(C394,'Facilities'!$C$9:$C$108,0))/INDEX('Facilities'!$AA$9:$AA$108,MATCH(C394,'Facilities'!$C$9:$C$108,0)))))*AF394+P394*(1-IF(INDEX('Facilities'!$AA$9:$AA$108,MATCH(C394,'Facilities'!$C$9:$C$108,0))=0,0,MIN(1,INDEX('Facilities'!$X$9:$X$108,MATCH(C394,'Facilities'!$C$9:$C$108,0))/INDEX('Facilities'!$AA$9:$AA$108,MATCH(C394,'Facilities'!$C$9:$C$108,0)))))*INDEX('Facilities'!$AJ$9:$AJ$108,MATCH(C394,'Facilities'!$C$9:$C$108,0))+Q394*INDEX('Facilities'!$AI$9:$AI$108,MATCH(C394,'Facilities'!$C$9:$C$108,0))*AF394)))</x:f>
      </x:c>
      <x:c r="AB394" s="21" t="str">
        <x:f>IF(C394="","",O394+P394-AD394)</x:f>
      </x:c>
      <x:c r="AC394" s="23" t="str">
        <x:f>IF(C394="","",IFERROR(IF(INDEX('Facilities'!$AD$9:$AD$108,MATCH(C394,'Facilities'!$C$9:$C$108,0))=3,0,IF(INDEX('Facilities'!$AN$9:$AN$108,MATCH(C394,'Facilities'!$C$9:$C$108,0))=0,-1,INDEX('Facilities'!$AN$9:$AN$108,MATCH(C394,'Facilities'!$C$9:$C$108,0)))),"Unavailable"))</x:f>
      </x:c>
      <x:c r="AD394" s="21" t="str">
        <x:f>IF(C394="","",IFERROR(G394+H394,"Unavailable"))</x:f>
      </x:c>
      <x:c r="AE394" s="21" t="str">
        <x:f>IF(C394="","",IF(AQ394&lt;&gt;"Ready","Unavailable",IF(C394="","",O394+P394-AD394-J394+K394+M394+N394)))</x:f>
      </x:c>
      <x:c r="AF394" s="30" t="str">
        <x:f>IF(C394="","",IFERROR(INDEX('Facilities'!$S$9:$S$108,MATCH(C394,'Facilities'!$C$9:$C$108,0))*'Scenario Paths'!I75,"Unavailable"))</x:f>
      </x:c>
      <x:c r="AG394" s="23" t="str">
        <x:f>IF(C394="","",IF(AQ394&lt;&gt;"Ready","Unavailable",IF(C394="","",IF(H394&gt;0,MAX(0,H394-AK394)*((1+INDEX('Facilities'!$K$9:$K$108,MATCH(C394,'Facilities'!$C$9:$C$108,0)))^MIN(1,MAX(0,AC394+INDEX('Facilities'!$AK$9:$AK$108,MATCH(C394,'Facilities'!$C$9:$C$108,0))-D394+1))-1),0))))</x:f>
      </x:c>
      <x:c r="AH394" s="21" t="str">
        <x:f>IF(C394="","",IF(AQ394&lt;&gt;"Ready","Unavailable",IF(C394="","",O394+P394)))</x:f>
      </x:c>
      <x:c r="AI394" s="21" t="str">
        <x:f>IF(C394="","",IF(AQ394&lt;&gt;"Ready","Unavailable",IF(C394="","",Z394-Y394)))</x:f>
      </x:c>
      <x:c r="AJ394" s="23" t="str">
        <x:f>IF(C394="","",IFERROR(MAX(0,INDEX('Facilities'!$J$9:$J$108,MATCH(C394,'Facilities'!$C$9:$C$108,0))-D394),"Unavailable"))</x:f>
      </x:c>
      <x:c r="AK394" s="21" t="str">
        <x:f>IF(C394="","",IFERROR(AL294,"Unavailable"))</x:f>
      </x:c>
      <x:c r="AL394" s="23" t="str">
        <x:f>IF(C394="","",IFERROR(IF(P394&gt;0,P394*(1-AM394/(1+INDEX('Facilities'!$K$9:$K$108,MATCH(C394,'Facilities'!$C$9:$C$108,0)))^MAX(0,AC394+INDEX('Facilities'!$AK$9:$AK$108,MATCH(C394,'Facilities'!$C$9:$C$108,0))-D394)),0),"Unavailable"))</x:f>
      </x:c>
      <x:c r="AM394" s="30" t="str">
        <x:f>IF(C394="","",IFERROR(INDEX('Facilities'!$AL$9:$AL$108,MATCH(C394,'Facilities'!$C$9:$C$108,0)),"Unavailable"))</x:f>
      </x:c>
      <x:c r="AN394" s="30" t="str">
        <x:f>IF(C394="","",IFERROR(INDEX(Credit!$T$309:$T$408,MATCH(F394,Credit!$C$309:$C$408,0)),"Unavailable"))</x:f>
      </x:c>
      <x:c r="AO394" s="23" t="str">
        <x:f>IF(C394="","",IF(AQ394&lt;&gt;"Ready","Unavailable",IF(C394="","",O394+P394+Q394*INDEX('Facilities'!$I$9:$I$108,MATCH(C394,'Facilities'!$C$9:$C$108,0)))))</x:f>
      </x:c>
      <x:c r="AP394" s="21" t="str">
        <x:f>IF(C394="","",IF(AQ394&lt;&gt;"Ready","Unavailable",IF(C394="","",AH394-U394)))</x:f>
      </x:c>
      <x:c r="AQ394" s="23" t="str">
        <x:f>IFERROR(IF(C394="","",IF(AND(INDEX('Facilities'!$AF$9:$AF$108,MATCH(C394,'Facilities'!$C$9:$C$108,0))="Ready",INDEX(Credit!$U$309:$U$408,MATCH(F394,Credit!$C$309:$C$408,0))="Ready",ISNUMBER(W394)),"Ready","Review inputs")),"Review inputs")</x:f>
      </x:c>
      <x:c r="AR394" s="23" t="str">
        <x:f>IF(C394="","",IF(AQ394&lt;&gt;"Ready","Unavailable",IF(C394="","",IF(O394=0,0,(IF(AJ394&lt;=1,O394,O394*INDEX('Facilities'!$R$9:$R$108,MATCH(C394,'Facilities'!$C$9:$C$108,0)))+O394*INDEX('Facilities'!$T$9:$T$108,MATCH(C394,'Facilities'!$C$9:$C$108,0)))/12))))</x:f>
      </x:c>
    </x:row>
    <x:row r="395" ht="26" customHeight="1">
      <x:c r="A395" s="1"/>
      <x:c r="B395" s="1"/>
      <x:c r="C395" s="9" t="str">
        <x:f>IF(Facilities!C95="","",Facilities!C95)</x:f>
      </x:c>
      <x:c r="D395" s="3" t="n">
        <x:v>4</x:v>
      </x:c>
      <x:c r="E395" s="9" t="n">
        <x:f>Settings!$F$18+3</x:f>
        <x:v>2030</x:v>
      </x:c>
      <x:c r="F395" s="9" t="str">
        <x:f>IF(C395="","",IFERROR(INDEX('Facilities'!$D$9:$D$108,MATCH(C395,'Facilities'!$C$9:$C$108,0)),"Unavailable"))</x:f>
      </x:c>
      <x:c r="G395" s="21" t="str">
        <x:f>IF(C395="","",IFERROR(O295,"Unavailable"))</x:f>
      </x:c>
      <x:c r="H395" s="21" t="str">
        <x:f>IF(C395="","",IFERROR(P295,"Unavailable"))</x:f>
      </x:c>
      <x:c r="I395" s="21" t="str">
        <x:f>IF(C395="","",IFERROR(Q295,"Unavailable"))</x:f>
      </x:c>
      <x:c r="J395" s="23" t="str">
        <x:f>IF(C395="","",IFERROR(IF(OR(H395&gt;0,AND(AC395&gt;=0,AC395&lt;D395),D395&gt;INDEX('Facilities'!$J$9:$J$108,MATCH(C395,'Facilities'!$C$9:$C$108,0))),0,I395*'Scenario Paths'!I81),"Unavailable"))</x:f>
      </x:c>
      <x:c r="K395" s="23" t="str">
        <x:f>IF(C395="","",IFERROR(IF(OR(H395&gt;0,AND(AC395&gt;=0,AC395=D395)),0,IF(D395&gt;=INDEX('Facilities'!$J$9:$J$108,MATCH(C395,'Facilities'!$C$9:$C$108,0)),G395+J395,MIN(G395+J395,G395*INDEX('Facilities'!$R$9:$R$108,MATCH(C395,'Facilities'!$C$9:$C$108,0))))),"Unavailable"))</x:f>
      </x:c>
      <x:c r="L395" s="21" t="str">
        <x:f>IF(C395="","",IFERROR(IF(AND(AC395=D395,AC395&gt;0),MAX(0,G395+J395-K395),0),"Unavailable"))</x:f>
      </x:c>
      <x:c r="M395" s="23" t="str">
        <x:f>IF(C395="","",IFERROR(IF(AND(AC395&gt;=0,D395&gt;=AC395+INDEX('Facilities'!$AK$9:$AK$108,MATCH(C395,'Facilities'!$C$9:$C$108,0))),(H395+L395)*AM395,0),"Unavailable"))</x:f>
      </x:c>
      <x:c r="N395" s="23" t="str">
        <x:f>IF(C395="","",IFERROR(IF(AND(AC395&gt;=0,D395&gt;=AC395+INDEX('Facilities'!$AK$9:$AK$108,MATCH(C395,'Facilities'!$C$9:$C$108,0))),H395+L395-M395,0),"Unavailable"))</x:f>
      </x:c>
      <x:c r="O395" s="21" t="str">
        <x:f>IF(C395="","",IFERROR(MAX(0,G395+J395-K395-L395),"Unavailable"))</x:f>
      </x:c>
      <x:c r="P395" s="21" t="str">
        <x:f>IF(C395="","",IFERROR(MAX(0,H395+L395-M395-N395),"Unavailable"))</x:f>
      </x:c>
      <x:c r="Q395" s="23" t="str">
        <x:f>IF(C395="","",IFERROR(IF(OR(D395&gt;=INDEX('Facilities'!$J$9:$J$108,MATCH(C395,'Facilities'!$C$9:$C$108,0)),AND(AC395&gt;=0,AC395&lt;=D395)),0,MAX(0,I395-J395)),"Unavailable"))</x:f>
      </x:c>
      <x:c r="R395" s="30" t="str">
        <x:f>IF(C395="","",IFERROR(INDEX(Credit!$Q$309:$Q$408,MATCH(F395,Credit!$C$309:$C$408,0)),"Unavailable"))</x:f>
      </x:c>
      <x:c r="S395" s="30" t="str">
        <x:f>IF(C395="","",IFERROR(INDEX(Credit!$R$309:$R$408,MATCH(F395,Credit!$C$309:$C$408,0)),"Unavailable"))</x:f>
      </x:c>
      <x:c r="T395" s="23" t="str">
        <x:f>IF(C395="","",IFERROR(IF(P395&gt;0,3,IF(OR(INDEX('Facilities'!$AD$9:$AD$108,MATCH(C395,'Facilities'!$C$9:$C$108,0))=2,AND(R395&gt;=INDEX('Facilities'!$L$9:$L$108,MATCH(C395,'Facilities'!$C$9:$C$108,0))*Settings!$F$19,R395-INDEX('Facilities'!$L$9:$L$108,MATCH(C395,'Facilities'!$C$9:$C$108,0))&gt;=Settings!$F$20)),2,1)),"Unavailable"))</x:f>
      </x:c>
      <x:c r="U395" s="23" t="str">
        <x:f>IF(C395="","",IF(AQ395&lt;&gt;"Ready","Unavailable",IF(C395="","",O395*(1-(1-S395)/(1+INDEX('Facilities'!$K$9:$K$108,MATCH(C395,'Facilities'!$C$9:$C$108,0)))^INDEX('Facilities'!$AK$9:$AK$108,MATCH(C395,'Facilities'!$C$9:$C$108,0)))*R395/(1+INDEX('Facilities'!$K$9:$K$108,MATCH(C395,'Facilities'!$C$9:$C$108,0)))*IF(ABS(1-(1-R395)*(1-INDEX('Facilities'!$R$9:$R$108,MATCH(C395,'Facilities'!$C$9:$C$108,0)))/(1+INDEX('Facilities'!$K$9:$K$108,MATCH(C395,'Facilities'!$C$9:$C$108,0))))&lt;0.000000001,IF(T395=1,MIN(1,AJ395),AJ395),(1-((1-R395)*(1-INDEX('Facilities'!$R$9:$R$108,MATCH(C395,'Facilities'!$C$9:$C$108,0)))/(1+INDEX('Facilities'!$K$9:$K$108,MATCH(C395,'Facilities'!$C$9:$C$108,0))))^IF(T395=1,MIN(1,AJ395),AJ395))/(1-(1-R395)*(1-INDEX('Facilities'!$R$9:$R$108,MATCH(C395,'Facilities'!$C$9:$C$108,0)))/(1+INDEX('Facilities'!$K$9:$K$108,MATCH(C395,'Facilities'!$C$9:$C$108,0)))))+AL395)))</x:f>
      </x:c>
      <x:c r="V395" s="23" t="str">
        <x:f>IF(C395="","",IF(AQ395&lt;&gt;"Ready","Unavailable",IF(C395="","",Q395*INDEX('Facilities'!$I$9:$I$108,MATCH(C395,'Facilities'!$C$9:$C$108,0))*(1-(1-S395)/(1+INDEX('Facilities'!$K$9:$K$108,MATCH(C395,'Facilities'!$C$9:$C$108,0)))^INDEX('Facilities'!$AK$9:$AK$108,MATCH(C395,'Facilities'!$C$9:$C$108,0)))*R395/(1+INDEX('Facilities'!$K$9:$K$108,MATCH(C395,'Facilities'!$C$9:$C$108,0)))*IF(ABS(1-(1-R395)*(1-0)/(1+INDEX('Facilities'!$K$9:$K$108,MATCH(C395,'Facilities'!$C$9:$C$108,0))))&lt;0.000000001,IF(T395=1,MIN(1,AJ395),AJ395),(1-((1-R395)*(1-0)/(1+INDEX('Facilities'!$K$9:$K$108,MATCH(C395,'Facilities'!$C$9:$C$108,0))))^IF(T395=1,MIN(1,AJ395),AJ395))/(1-(1-R395)*(1-0)/(1+INDEX('Facilities'!$K$9:$K$108,MATCH(C395,'Facilities'!$C$9:$C$108,0))))))))</x:f>
      </x:c>
      <x:c r="W395" s="21" t="str">
        <x:f>IF(C395="","",IFERROR(U295,"Unavailable"))</x:f>
      </x:c>
      <x:c r="X395" s="21" t="str">
        <x:f>IF(C395="","",IFERROR(V295,"Unavailable"))</x:f>
      </x:c>
      <x:c r="Y395" s="21" t="str">
        <x:f>IF(C395="","",IF(AQ395&lt;&gt;"Ready","Unavailable",IF(C395="","",U395-W395+V395-X395+N395+AG395)))</x:f>
      </x:c>
      <x:c r="Z395" s="23" t="str">
        <x:f>IF(C395="","",IF(AQ395&lt;&gt;"Ready","Unavailable",IF(C395="","",(G395+O395+L395)/2*INDEX('Facilities'!$T$9:$T$108,MATCH(C395,'Facilities'!$C$9:$C$108,0))+AG395)))</x:f>
      </x:c>
      <x:c r="AA395" s="23" t="str">
        <x:f>IF(C395="","",IF(AQ395&lt;&gt;"Ready","Unavailable",IF(C395="","",O395*(1-IF(INDEX('Facilities'!$AA$9:$AA$108,MATCH(C395,'Facilities'!$C$9:$C$108,0))=0,0,MIN(1,INDEX('Facilities'!$X$9:$X$108,MATCH(C395,'Facilities'!$C$9:$C$108,0))/INDEX('Facilities'!$AA$9:$AA$108,MATCH(C395,'Facilities'!$C$9:$C$108,0)))))*AF395+P395*(1-IF(INDEX('Facilities'!$AA$9:$AA$108,MATCH(C395,'Facilities'!$C$9:$C$108,0))=0,0,MIN(1,INDEX('Facilities'!$X$9:$X$108,MATCH(C395,'Facilities'!$C$9:$C$108,0))/INDEX('Facilities'!$AA$9:$AA$108,MATCH(C395,'Facilities'!$C$9:$C$108,0)))))*INDEX('Facilities'!$AJ$9:$AJ$108,MATCH(C395,'Facilities'!$C$9:$C$108,0))+Q395*INDEX('Facilities'!$AI$9:$AI$108,MATCH(C395,'Facilities'!$C$9:$C$108,0))*AF395)))</x:f>
      </x:c>
      <x:c r="AB395" s="21" t="str">
        <x:f>IF(C395="","",O395+P395-AD395)</x:f>
      </x:c>
      <x:c r="AC395" s="23" t="str">
        <x:f>IF(C395="","",IFERROR(IF(INDEX('Facilities'!$AD$9:$AD$108,MATCH(C395,'Facilities'!$C$9:$C$108,0))=3,0,IF(INDEX('Facilities'!$AN$9:$AN$108,MATCH(C395,'Facilities'!$C$9:$C$108,0))=0,-1,INDEX('Facilities'!$AN$9:$AN$108,MATCH(C395,'Facilities'!$C$9:$C$108,0)))),"Unavailable"))</x:f>
      </x:c>
      <x:c r="AD395" s="21" t="str">
        <x:f>IF(C395="","",IFERROR(G395+H395,"Unavailable"))</x:f>
      </x:c>
      <x:c r="AE395" s="21" t="str">
        <x:f>IF(C395="","",IF(AQ395&lt;&gt;"Ready","Unavailable",IF(C395="","",O395+P395-AD395-J395+K395+M395+N395)))</x:f>
      </x:c>
      <x:c r="AF395" s="30" t="str">
        <x:f>IF(C395="","",IFERROR(INDEX('Facilities'!$S$9:$S$108,MATCH(C395,'Facilities'!$C$9:$C$108,0))*'Scenario Paths'!I75,"Unavailable"))</x:f>
      </x:c>
      <x:c r="AG395" s="23" t="str">
        <x:f>IF(C395="","",IF(AQ395&lt;&gt;"Ready","Unavailable",IF(C395="","",IF(H395&gt;0,MAX(0,H395-AK395)*((1+INDEX('Facilities'!$K$9:$K$108,MATCH(C395,'Facilities'!$C$9:$C$108,0)))^MIN(1,MAX(0,AC395+INDEX('Facilities'!$AK$9:$AK$108,MATCH(C395,'Facilities'!$C$9:$C$108,0))-D395+1))-1),0))))</x:f>
      </x:c>
      <x:c r="AH395" s="21" t="str">
        <x:f>IF(C395="","",IF(AQ395&lt;&gt;"Ready","Unavailable",IF(C395="","",O395+P395)))</x:f>
      </x:c>
      <x:c r="AI395" s="21" t="str">
        <x:f>IF(C395="","",IF(AQ395&lt;&gt;"Ready","Unavailable",IF(C395="","",Z395-Y395)))</x:f>
      </x:c>
      <x:c r="AJ395" s="23" t="str">
        <x:f>IF(C395="","",IFERROR(MAX(0,INDEX('Facilities'!$J$9:$J$108,MATCH(C395,'Facilities'!$C$9:$C$108,0))-D395),"Unavailable"))</x:f>
      </x:c>
      <x:c r="AK395" s="21" t="str">
        <x:f>IF(C395="","",IFERROR(AL295,"Unavailable"))</x:f>
      </x:c>
      <x:c r="AL395" s="23" t="str">
        <x:f>IF(C395="","",IFERROR(IF(P395&gt;0,P395*(1-AM395/(1+INDEX('Facilities'!$K$9:$K$108,MATCH(C395,'Facilities'!$C$9:$C$108,0)))^MAX(0,AC395+INDEX('Facilities'!$AK$9:$AK$108,MATCH(C395,'Facilities'!$C$9:$C$108,0))-D395)),0),"Unavailable"))</x:f>
      </x:c>
      <x:c r="AM395" s="30" t="str">
        <x:f>IF(C395="","",IFERROR(INDEX('Facilities'!$AL$9:$AL$108,MATCH(C395,'Facilities'!$C$9:$C$108,0)),"Unavailable"))</x:f>
      </x:c>
      <x:c r="AN395" s="30" t="str">
        <x:f>IF(C395="","",IFERROR(INDEX(Credit!$T$309:$T$408,MATCH(F395,Credit!$C$309:$C$408,0)),"Unavailable"))</x:f>
      </x:c>
      <x:c r="AO395" s="23" t="str">
        <x:f>IF(C395="","",IF(AQ395&lt;&gt;"Ready","Unavailable",IF(C395="","",O395+P395+Q395*INDEX('Facilities'!$I$9:$I$108,MATCH(C395,'Facilities'!$C$9:$C$108,0)))))</x:f>
      </x:c>
      <x:c r="AP395" s="21" t="str">
        <x:f>IF(C395="","",IF(AQ395&lt;&gt;"Ready","Unavailable",IF(C395="","",AH395-U395)))</x:f>
      </x:c>
      <x:c r="AQ395" s="23" t="str">
        <x:f>IFERROR(IF(C395="","",IF(AND(INDEX('Facilities'!$AF$9:$AF$108,MATCH(C395,'Facilities'!$C$9:$C$108,0))="Ready",INDEX(Credit!$U$309:$U$408,MATCH(F395,Credit!$C$309:$C$408,0))="Ready",ISNUMBER(W395)),"Ready","Review inputs")),"Review inputs")</x:f>
      </x:c>
      <x:c r="AR395" s="23" t="str">
        <x:f>IF(C395="","",IF(AQ395&lt;&gt;"Ready","Unavailable",IF(C395="","",IF(O395=0,0,(IF(AJ395&lt;=1,O395,O395*INDEX('Facilities'!$R$9:$R$108,MATCH(C395,'Facilities'!$C$9:$C$108,0)))+O395*INDEX('Facilities'!$T$9:$T$108,MATCH(C395,'Facilities'!$C$9:$C$108,0)))/12))))</x:f>
      </x:c>
    </x:row>
    <x:row r="396" ht="26" customHeight="1">
      <x:c r="A396" s="1"/>
      <x:c r="B396" s="1"/>
      <x:c r="C396" s="9" t="str">
        <x:f>IF(Facilities!C96="","",Facilities!C96)</x:f>
      </x:c>
      <x:c r="D396" s="3" t="n">
        <x:v>4</x:v>
      </x:c>
      <x:c r="E396" s="9" t="n">
        <x:f>Settings!$F$18+3</x:f>
        <x:v>2030</x:v>
      </x:c>
      <x:c r="F396" s="9" t="str">
        <x:f>IF(C396="","",IFERROR(INDEX('Facilities'!$D$9:$D$108,MATCH(C396,'Facilities'!$C$9:$C$108,0)),"Unavailable"))</x:f>
      </x:c>
      <x:c r="G396" s="21" t="str">
        <x:f>IF(C396="","",IFERROR(O296,"Unavailable"))</x:f>
      </x:c>
      <x:c r="H396" s="21" t="str">
        <x:f>IF(C396="","",IFERROR(P296,"Unavailable"))</x:f>
      </x:c>
      <x:c r="I396" s="21" t="str">
        <x:f>IF(C396="","",IFERROR(Q296,"Unavailable"))</x:f>
      </x:c>
      <x:c r="J396" s="23" t="str">
        <x:f>IF(C396="","",IFERROR(IF(OR(H396&gt;0,AND(AC396&gt;=0,AC396&lt;D396),D396&gt;INDEX('Facilities'!$J$9:$J$108,MATCH(C396,'Facilities'!$C$9:$C$108,0))),0,I396*'Scenario Paths'!I81),"Unavailable"))</x:f>
      </x:c>
      <x:c r="K396" s="23" t="str">
        <x:f>IF(C396="","",IFERROR(IF(OR(H396&gt;0,AND(AC396&gt;=0,AC396=D396)),0,IF(D396&gt;=INDEX('Facilities'!$J$9:$J$108,MATCH(C396,'Facilities'!$C$9:$C$108,0)),G396+J396,MIN(G396+J396,G396*INDEX('Facilities'!$R$9:$R$108,MATCH(C396,'Facilities'!$C$9:$C$108,0))))),"Unavailable"))</x:f>
      </x:c>
      <x:c r="L396" s="21" t="str">
        <x:f>IF(C396="","",IFERROR(IF(AND(AC396=D396,AC396&gt;0),MAX(0,G396+J396-K396),0),"Unavailable"))</x:f>
      </x:c>
      <x:c r="M396" s="23" t="str">
        <x:f>IF(C396="","",IFERROR(IF(AND(AC396&gt;=0,D396&gt;=AC396+INDEX('Facilities'!$AK$9:$AK$108,MATCH(C396,'Facilities'!$C$9:$C$108,0))),(H396+L396)*AM396,0),"Unavailable"))</x:f>
      </x:c>
      <x:c r="N396" s="23" t="str">
        <x:f>IF(C396="","",IFERROR(IF(AND(AC396&gt;=0,D396&gt;=AC396+INDEX('Facilities'!$AK$9:$AK$108,MATCH(C396,'Facilities'!$C$9:$C$108,0))),H396+L396-M396,0),"Unavailable"))</x:f>
      </x:c>
      <x:c r="O396" s="21" t="str">
        <x:f>IF(C396="","",IFERROR(MAX(0,G396+J396-K396-L396),"Unavailable"))</x:f>
      </x:c>
      <x:c r="P396" s="21" t="str">
        <x:f>IF(C396="","",IFERROR(MAX(0,H396+L396-M396-N396),"Unavailable"))</x:f>
      </x:c>
      <x:c r="Q396" s="23" t="str">
        <x:f>IF(C396="","",IFERROR(IF(OR(D396&gt;=INDEX('Facilities'!$J$9:$J$108,MATCH(C396,'Facilities'!$C$9:$C$108,0)),AND(AC396&gt;=0,AC396&lt;=D396)),0,MAX(0,I396-J396)),"Unavailable"))</x:f>
      </x:c>
      <x:c r="R396" s="30" t="str">
        <x:f>IF(C396="","",IFERROR(INDEX(Credit!$Q$309:$Q$408,MATCH(F396,Credit!$C$309:$C$408,0)),"Unavailable"))</x:f>
      </x:c>
      <x:c r="S396" s="30" t="str">
        <x:f>IF(C396="","",IFERROR(INDEX(Credit!$R$309:$R$408,MATCH(F396,Credit!$C$309:$C$408,0)),"Unavailable"))</x:f>
      </x:c>
      <x:c r="T396" s="23" t="str">
        <x:f>IF(C396="","",IFERROR(IF(P396&gt;0,3,IF(OR(INDEX('Facilities'!$AD$9:$AD$108,MATCH(C396,'Facilities'!$C$9:$C$108,0))=2,AND(R396&gt;=INDEX('Facilities'!$L$9:$L$108,MATCH(C396,'Facilities'!$C$9:$C$108,0))*Settings!$F$19,R396-INDEX('Facilities'!$L$9:$L$108,MATCH(C396,'Facilities'!$C$9:$C$108,0))&gt;=Settings!$F$20)),2,1)),"Unavailable"))</x:f>
      </x:c>
      <x:c r="U396" s="23" t="str">
        <x:f>IF(C396="","",IF(AQ396&lt;&gt;"Ready","Unavailable",IF(C396="","",O396*(1-(1-S396)/(1+INDEX('Facilities'!$K$9:$K$108,MATCH(C396,'Facilities'!$C$9:$C$108,0)))^INDEX('Facilities'!$AK$9:$AK$108,MATCH(C396,'Facilities'!$C$9:$C$108,0)))*R396/(1+INDEX('Facilities'!$K$9:$K$108,MATCH(C396,'Facilities'!$C$9:$C$108,0)))*IF(ABS(1-(1-R396)*(1-INDEX('Facilities'!$R$9:$R$108,MATCH(C396,'Facilities'!$C$9:$C$108,0)))/(1+INDEX('Facilities'!$K$9:$K$108,MATCH(C396,'Facilities'!$C$9:$C$108,0))))&lt;0.000000001,IF(T396=1,MIN(1,AJ396),AJ396),(1-((1-R396)*(1-INDEX('Facilities'!$R$9:$R$108,MATCH(C396,'Facilities'!$C$9:$C$108,0)))/(1+INDEX('Facilities'!$K$9:$K$108,MATCH(C396,'Facilities'!$C$9:$C$108,0))))^IF(T396=1,MIN(1,AJ396),AJ396))/(1-(1-R396)*(1-INDEX('Facilities'!$R$9:$R$108,MATCH(C396,'Facilities'!$C$9:$C$108,0)))/(1+INDEX('Facilities'!$K$9:$K$108,MATCH(C396,'Facilities'!$C$9:$C$108,0)))))+AL396)))</x:f>
      </x:c>
      <x:c r="V396" s="23" t="str">
        <x:f>IF(C396="","",IF(AQ396&lt;&gt;"Ready","Unavailable",IF(C396="","",Q396*INDEX('Facilities'!$I$9:$I$108,MATCH(C396,'Facilities'!$C$9:$C$108,0))*(1-(1-S396)/(1+INDEX('Facilities'!$K$9:$K$108,MATCH(C396,'Facilities'!$C$9:$C$108,0)))^INDEX('Facilities'!$AK$9:$AK$108,MATCH(C396,'Facilities'!$C$9:$C$108,0)))*R396/(1+INDEX('Facilities'!$K$9:$K$108,MATCH(C396,'Facilities'!$C$9:$C$108,0)))*IF(ABS(1-(1-R396)*(1-0)/(1+INDEX('Facilities'!$K$9:$K$108,MATCH(C396,'Facilities'!$C$9:$C$108,0))))&lt;0.000000001,IF(T396=1,MIN(1,AJ396),AJ396),(1-((1-R396)*(1-0)/(1+INDEX('Facilities'!$K$9:$K$108,MATCH(C396,'Facilities'!$C$9:$C$108,0))))^IF(T396=1,MIN(1,AJ396),AJ396))/(1-(1-R396)*(1-0)/(1+INDEX('Facilities'!$K$9:$K$108,MATCH(C396,'Facilities'!$C$9:$C$108,0))))))))</x:f>
      </x:c>
      <x:c r="W396" s="21" t="str">
        <x:f>IF(C396="","",IFERROR(U296,"Unavailable"))</x:f>
      </x:c>
      <x:c r="X396" s="21" t="str">
        <x:f>IF(C396="","",IFERROR(V296,"Unavailable"))</x:f>
      </x:c>
      <x:c r="Y396" s="21" t="str">
        <x:f>IF(C396="","",IF(AQ396&lt;&gt;"Ready","Unavailable",IF(C396="","",U396-W396+V396-X396+N396+AG396)))</x:f>
      </x:c>
      <x:c r="Z396" s="23" t="str">
        <x:f>IF(C396="","",IF(AQ396&lt;&gt;"Ready","Unavailable",IF(C396="","",(G396+O396+L396)/2*INDEX('Facilities'!$T$9:$T$108,MATCH(C396,'Facilities'!$C$9:$C$108,0))+AG396)))</x:f>
      </x:c>
      <x:c r="AA396" s="23" t="str">
        <x:f>IF(C396="","",IF(AQ396&lt;&gt;"Ready","Unavailable",IF(C396="","",O396*(1-IF(INDEX('Facilities'!$AA$9:$AA$108,MATCH(C396,'Facilities'!$C$9:$C$108,0))=0,0,MIN(1,INDEX('Facilities'!$X$9:$X$108,MATCH(C396,'Facilities'!$C$9:$C$108,0))/INDEX('Facilities'!$AA$9:$AA$108,MATCH(C396,'Facilities'!$C$9:$C$108,0)))))*AF396+P396*(1-IF(INDEX('Facilities'!$AA$9:$AA$108,MATCH(C396,'Facilities'!$C$9:$C$108,0))=0,0,MIN(1,INDEX('Facilities'!$X$9:$X$108,MATCH(C396,'Facilities'!$C$9:$C$108,0))/INDEX('Facilities'!$AA$9:$AA$108,MATCH(C396,'Facilities'!$C$9:$C$108,0)))))*INDEX('Facilities'!$AJ$9:$AJ$108,MATCH(C396,'Facilities'!$C$9:$C$108,0))+Q396*INDEX('Facilities'!$AI$9:$AI$108,MATCH(C396,'Facilities'!$C$9:$C$108,0))*AF396)))</x:f>
      </x:c>
      <x:c r="AB396" s="21" t="str">
        <x:f>IF(C396="","",O396+P396-AD396)</x:f>
      </x:c>
      <x:c r="AC396" s="23" t="str">
        <x:f>IF(C396="","",IFERROR(IF(INDEX('Facilities'!$AD$9:$AD$108,MATCH(C396,'Facilities'!$C$9:$C$108,0))=3,0,IF(INDEX('Facilities'!$AN$9:$AN$108,MATCH(C396,'Facilities'!$C$9:$C$108,0))=0,-1,INDEX('Facilities'!$AN$9:$AN$108,MATCH(C396,'Facilities'!$C$9:$C$108,0)))),"Unavailable"))</x:f>
      </x:c>
      <x:c r="AD396" s="21" t="str">
        <x:f>IF(C396="","",IFERROR(G396+H396,"Unavailable"))</x:f>
      </x:c>
      <x:c r="AE396" s="21" t="str">
        <x:f>IF(C396="","",IF(AQ396&lt;&gt;"Ready","Unavailable",IF(C396="","",O396+P396-AD396-J396+K396+M396+N396)))</x:f>
      </x:c>
      <x:c r="AF396" s="30" t="str">
        <x:f>IF(C396="","",IFERROR(INDEX('Facilities'!$S$9:$S$108,MATCH(C396,'Facilities'!$C$9:$C$108,0))*'Scenario Paths'!I75,"Unavailable"))</x:f>
      </x:c>
      <x:c r="AG396" s="23" t="str">
        <x:f>IF(C396="","",IF(AQ396&lt;&gt;"Ready","Unavailable",IF(C396="","",IF(H396&gt;0,MAX(0,H396-AK396)*((1+INDEX('Facilities'!$K$9:$K$108,MATCH(C396,'Facilities'!$C$9:$C$108,0)))^MIN(1,MAX(0,AC396+INDEX('Facilities'!$AK$9:$AK$108,MATCH(C396,'Facilities'!$C$9:$C$108,0))-D396+1))-1),0))))</x:f>
      </x:c>
      <x:c r="AH396" s="21" t="str">
        <x:f>IF(C396="","",IF(AQ396&lt;&gt;"Ready","Unavailable",IF(C396="","",O396+P396)))</x:f>
      </x:c>
      <x:c r="AI396" s="21" t="str">
        <x:f>IF(C396="","",IF(AQ396&lt;&gt;"Ready","Unavailable",IF(C396="","",Z396-Y396)))</x:f>
      </x:c>
      <x:c r="AJ396" s="23" t="str">
        <x:f>IF(C396="","",IFERROR(MAX(0,INDEX('Facilities'!$J$9:$J$108,MATCH(C396,'Facilities'!$C$9:$C$108,0))-D396),"Unavailable"))</x:f>
      </x:c>
      <x:c r="AK396" s="21" t="str">
        <x:f>IF(C396="","",IFERROR(AL296,"Unavailable"))</x:f>
      </x:c>
      <x:c r="AL396" s="23" t="str">
        <x:f>IF(C396="","",IFERROR(IF(P396&gt;0,P396*(1-AM396/(1+INDEX('Facilities'!$K$9:$K$108,MATCH(C396,'Facilities'!$C$9:$C$108,0)))^MAX(0,AC396+INDEX('Facilities'!$AK$9:$AK$108,MATCH(C396,'Facilities'!$C$9:$C$108,0))-D396)),0),"Unavailable"))</x:f>
      </x:c>
      <x:c r="AM396" s="30" t="str">
        <x:f>IF(C396="","",IFERROR(INDEX('Facilities'!$AL$9:$AL$108,MATCH(C396,'Facilities'!$C$9:$C$108,0)),"Unavailable"))</x:f>
      </x:c>
      <x:c r="AN396" s="30" t="str">
        <x:f>IF(C396="","",IFERROR(INDEX(Credit!$T$309:$T$408,MATCH(F396,Credit!$C$309:$C$408,0)),"Unavailable"))</x:f>
      </x:c>
      <x:c r="AO396" s="23" t="str">
        <x:f>IF(C396="","",IF(AQ396&lt;&gt;"Ready","Unavailable",IF(C396="","",O396+P396+Q396*INDEX('Facilities'!$I$9:$I$108,MATCH(C396,'Facilities'!$C$9:$C$108,0)))))</x:f>
      </x:c>
      <x:c r="AP396" s="21" t="str">
        <x:f>IF(C396="","",IF(AQ396&lt;&gt;"Ready","Unavailable",IF(C396="","",AH396-U396)))</x:f>
      </x:c>
      <x:c r="AQ396" s="23" t="str">
        <x:f>IFERROR(IF(C396="","",IF(AND(INDEX('Facilities'!$AF$9:$AF$108,MATCH(C396,'Facilities'!$C$9:$C$108,0))="Ready",INDEX(Credit!$U$309:$U$408,MATCH(F396,Credit!$C$309:$C$408,0))="Ready",ISNUMBER(W396)),"Ready","Review inputs")),"Review inputs")</x:f>
      </x:c>
      <x:c r="AR396" s="23" t="str">
        <x:f>IF(C396="","",IF(AQ396&lt;&gt;"Ready","Unavailable",IF(C396="","",IF(O396=0,0,(IF(AJ396&lt;=1,O396,O396*INDEX('Facilities'!$R$9:$R$108,MATCH(C396,'Facilities'!$C$9:$C$108,0)))+O396*INDEX('Facilities'!$T$9:$T$108,MATCH(C396,'Facilities'!$C$9:$C$108,0)))/12))))</x:f>
      </x:c>
    </x:row>
    <x:row r="397" ht="26" customHeight="1">
      <x:c r="A397" s="1"/>
      <x:c r="B397" s="1"/>
      <x:c r="C397" s="9" t="str">
        <x:f>IF(Facilities!C97="","",Facilities!C97)</x:f>
      </x:c>
      <x:c r="D397" s="3" t="n">
        <x:v>4</x:v>
      </x:c>
      <x:c r="E397" s="9" t="n">
        <x:f>Settings!$F$18+3</x:f>
        <x:v>2030</x:v>
      </x:c>
      <x:c r="F397" s="9" t="str">
        <x:f>IF(C397="","",IFERROR(INDEX('Facilities'!$D$9:$D$108,MATCH(C397,'Facilities'!$C$9:$C$108,0)),"Unavailable"))</x:f>
      </x:c>
      <x:c r="G397" s="21" t="str">
        <x:f>IF(C397="","",IFERROR(O297,"Unavailable"))</x:f>
      </x:c>
      <x:c r="H397" s="21" t="str">
        <x:f>IF(C397="","",IFERROR(P297,"Unavailable"))</x:f>
      </x:c>
      <x:c r="I397" s="21" t="str">
        <x:f>IF(C397="","",IFERROR(Q297,"Unavailable"))</x:f>
      </x:c>
      <x:c r="J397" s="23" t="str">
        <x:f>IF(C397="","",IFERROR(IF(OR(H397&gt;0,AND(AC397&gt;=0,AC397&lt;D397),D397&gt;INDEX('Facilities'!$J$9:$J$108,MATCH(C397,'Facilities'!$C$9:$C$108,0))),0,I397*'Scenario Paths'!I81),"Unavailable"))</x:f>
      </x:c>
      <x:c r="K397" s="23" t="str">
        <x:f>IF(C397="","",IFERROR(IF(OR(H397&gt;0,AND(AC397&gt;=0,AC397=D397)),0,IF(D397&gt;=INDEX('Facilities'!$J$9:$J$108,MATCH(C397,'Facilities'!$C$9:$C$108,0)),G397+J397,MIN(G397+J397,G397*INDEX('Facilities'!$R$9:$R$108,MATCH(C397,'Facilities'!$C$9:$C$108,0))))),"Unavailable"))</x:f>
      </x:c>
      <x:c r="L397" s="21" t="str">
        <x:f>IF(C397="","",IFERROR(IF(AND(AC397=D397,AC397&gt;0),MAX(0,G397+J397-K397),0),"Unavailable"))</x:f>
      </x:c>
      <x:c r="M397" s="23" t="str">
        <x:f>IF(C397="","",IFERROR(IF(AND(AC397&gt;=0,D397&gt;=AC397+INDEX('Facilities'!$AK$9:$AK$108,MATCH(C397,'Facilities'!$C$9:$C$108,0))),(H397+L397)*AM397,0),"Unavailable"))</x:f>
      </x:c>
      <x:c r="N397" s="23" t="str">
        <x:f>IF(C397="","",IFERROR(IF(AND(AC397&gt;=0,D397&gt;=AC397+INDEX('Facilities'!$AK$9:$AK$108,MATCH(C397,'Facilities'!$C$9:$C$108,0))),H397+L397-M397,0),"Unavailable"))</x:f>
      </x:c>
      <x:c r="O397" s="21" t="str">
        <x:f>IF(C397="","",IFERROR(MAX(0,G397+J397-K397-L397),"Unavailable"))</x:f>
      </x:c>
      <x:c r="P397" s="21" t="str">
        <x:f>IF(C397="","",IFERROR(MAX(0,H397+L397-M397-N397),"Unavailable"))</x:f>
      </x:c>
      <x:c r="Q397" s="23" t="str">
        <x:f>IF(C397="","",IFERROR(IF(OR(D397&gt;=INDEX('Facilities'!$J$9:$J$108,MATCH(C397,'Facilities'!$C$9:$C$108,0)),AND(AC397&gt;=0,AC397&lt;=D397)),0,MAX(0,I397-J397)),"Unavailable"))</x:f>
      </x:c>
      <x:c r="R397" s="30" t="str">
        <x:f>IF(C397="","",IFERROR(INDEX(Credit!$Q$309:$Q$408,MATCH(F397,Credit!$C$309:$C$408,0)),"Unavailable"))</x:f>
      </x:c>
      <x:c r="S397" s="30" t="str">
        <x:f>IF(C397="","",IFERROR(INDEX(Credit!$R$309:$R$408,MATCH(F397,Credit!$C$309:$C$408,0)),"Unavailable"))</x:f>
      </x:c>
      <x:c r="T397" s="23" t="str">
        <x:f>IF(C397="","",IFERROR(IF(P397&gt;0,3,IF(OR(INDEX('Facilities'!$AD$9:$AD$108,MATCH(C397,'Facilities'!$C$9:$C$108,0))=2,AND(R397&gt;=INDEX('Facilities'!$L$9:$L$108,MATCH(C397,'Facilities'!$C$9:$C$108,0))*Settings!$F$19,R397-INDEX('Facilities'!$L$9:$L$108,MATCH(C397,'Facilities'!$C$9:$C$108,0))&gt;=Settings!$F$20)),2,1)),"Unavailable"))</x:f>
      </x:c>
      <x:c r="U397" s="23" t="str">
        <x:f>IF(C397="","",IF(AQ397&lt;&gt;"Ready","Unavailable",IF(C397="","",O397*(1-(1-S397)/(1+INDEX('Facilities'!$K$9:$K$108,MATCH(C397,'Facilities'!$C$9:$C$108,0)))^INDEX('Facilities'!$AK$9:$AK$108,MATCH(C397,'Facilities'!$C$9:$C$108,0)))*R397/(1+INDEX('Facilities'!$K$9:$K$108,MATCH(C397,'Facilities'!$C$9:$C$108,0)))*IF(ABS(1-(1-R397)*(1-INDEX('Facilities'!$R$9:$R$108,MATCH(C397,'Facilities'!$C$9:$C$108,0)))/(1+INDEX('Facilities'!$K$9:$K$108,MATCH(C397,'Facilities'!$C$9:$C$108,0))))&lt;0.000000001,IF(T397=1,MIN(1,AJ397),AJ397),(1-((1-R397)*(1-INDEX('Facilities'!$R$9:$R$108,MATCH(C397,'Facilities'!$C$9:$C$108,0)))/(1+INDEX('Facilities'!$K$9:$K$108,MATCH(C397,'Facilities'!$C$9:$C$108,0))))^IF(T397=1,MIN(1,AJ397),AJ397))/(1-(1-R397)*(1-INDEX('Facilities'!$R$9:$R$108,MATCH(C397,'Facilities'!$C$9:$C$108,0)))/(1+INDEX('Facilities'!$K$9:$K$108,MATCH(C397,'Facilities'!$C$9:$C$108,0)))))+AL397)))</x:f>
      </x:c>
      <x:c r="V397" s="23" t="str">
        <x:f>IF(C397="","",IF(AQ397&lt;&gt;"Ready","Unavailable",IF(C397="","",Q397*INDEX('Facilities'!$I$9:$I$108,MATCH(C397,'Facilities'!$C$9:$C$108,0))*(1-(1-S397)/(1+INDEX('Facilities'!$K$9:$K$108,MATCH(C397,'Facilities'!$C$9:$C$108,0)))^INDEX('Facilities'!$AK$9:$AK$108,MATCH(C397,'Facilities'!$C$9:$C$108,0)))*R397/(1+INDEX('Facilities'!$K$9:$K$108,MATCH(C397,'Facilities'!$C$9:$C$108,0)))*IF(ABS(1-(1-R397)*(1-0)/(1+INDEX('Facilities'!$K$9:$K$108,MATCH(C397,'Facilities'!$C$9:$C$108,0))))&lt;0.000000001,IF(T397=1,MIN(1,AJ397),AJ397),(1-((1-R397)*(1-0)/(1+INDEX('Facilities'!$K$9:$K$108,MATCH(C397,'Facilities'!$C$9:$C$108,0))))^IF(T397=1,MIN(1,AJ397),AJ397))/(1-(1-R397)*(1-0)/(1+INDEX('Facilities'!$K$9:$K$108,MATCH(C397,'Facilities'!$C$9:$C$108,0))))))))</x:f>
      </x:c>
      <x:c r="W397" s="21" t="str">
        <x:f>IF(C397="","",IFERROR(U297,"Unavailable"))</x:f>
      </x:c>
      <x:c r="X397" s="21" t="str">
        <x:f>IF(C397="","",IFERROR(V297,"Unavailable"))</x:f>
      </x:c>
      <x:c r="Y397" s="21" t="str">
        <x:f>IF(C397="","",IF(AQ397&lt;&gt;"Ready","Unavailable",IF(C397="","",U397-W397+V397-X397+N397+AG397)))</x:f>
      </x:c>
      <x:c r="Z397" s="23" t="str">
        <x:f>IF(C397="","",IF(AQ397&lt;&gt;"Ready","Unavailable",IF(C397="","",(G397+O397+L397)/2*INDEX('Facilities'!$T$9:$T$108,MATCH(C397,'Facilities'!$C$9:$C$108,0))+AG397)))</x:f>
      </x:c>
      <x:c r="AA397" s="23" t="str">
        <x:f>IF(C397="","",IF(AQ397&lt;&gt;"Ready","Unavailable",IF(C397="","",O397*(1-IF(INDEX('Facilities'!$AA$9:$AA$108,MATCH(C397,'Facilities'!$C$9:$C$108,0))=0,0,MIN(1,INDEX('Facilities'!$X$9:$X$108,MATCH(C397,'Facilities'!$C$9:$C$108,0))/INDEX('Facilities'!$AA$9:$AA$108,MATCH(C397,'Facilities'!$C$9:$C$108,0)))))*AF397+P397*(1-IF(INDEX('Facilities'!$AA$9:$AA$108,MATCH(C397,'Facilities'!$C$9:$C$108,0))=0,0,MIN(1,INDEX('Facilities'!$X$9:$X$108,MATCH(C397,'Facilities'!$C$9:$C$108,0))/INDEX('Facilities'!$AA$9:$AA$108,MATCH(C397,'Facilities'!$C$9:$C$108,0)))))*INDEX('Facilities'!$AJ$9:$AJ$108,MATCH(C397,'Facilities'!$C$9:$C$108,0))+Q397*INDEX('Facilities'!$AI$9:$AI$108,MATCH(C397,'Facilities'!$C$9:$C$108,0))*AF397)))</x:f>
      </x:c>
      <x:c r="AB397" s="21" t="str">
        <x:f>IF(C397="","",O397+P397-AD397)</x:f>
      </x:c>
      <x:c r="AC397" s="23" t="str">
        <x:f>IF(C397="","",IFERROR(IF(INDEX('Facilities'!$AD$9:$AD$108,MATCH(C397,'Facilities'!$C$9:$C$108,0))=3,0,IF(INDEX('Facilities'!$AN$9:$AN$108,MATCH(C397,'Facilities'!$C$9:$C$108,0))=0,-1,INDEX('Facilities'!$AN$9:$AN$108,MATCH(C397,'Facilities'!$C$9:$C$108,0)))),"Unavailable"))</x:f>
      </x:c>
      <x:c r="AD397" s="21" t="str">
        <x:f>IF(C397="","",IFERROR(G397+H397,"Unavailable"))</x:f>
      </x:c>
      <x:c r="AE397" s="21" t="str">
        <x:f>IF(C397="","",IF(AQ397&lt;&gt;"Ready","Unavailable",IF(C397="","",O397+P397-AD397-J397+K397+M397+N397)))</x:f>
      </x:c>
      <x:c r="AF397" s="30" t="str">
        <x:f>IF(C397="","",IFERROR(INDEX('Facilities'!$S$9:$S$108,MATCH(C397,'Facilities'!$C$9:$C$108,0))*'Scenario Paths'!I75,"Unavailable"))</x:f>
      </x:c>
      <x:c r="AG397" s="23" t="str">
        <x:f>IF(C397="","",IF(AQ397&lt;&gt;"Ready","Unavailable",IF(C397="","",IF(H397&gt;0,MAX(0,H397-AK397)*((1+INDEX('Facilities'!$K$9:$K$108,MATCH(C397,'Facilities'!$C$9:$C$108,0)))^MIN(1,MAX(0,AC397+INDEX('Facilities'!$AK$9:$AK$108,MATCH(C397,'Facilities'!$C$9:$C$108,0))-D397+1))-1),0))))</x:f>
      </x:c>
      <x:c r="AH397" s="21" t="str">
        <x:f>IF(C397="","",IF(AQ397&lt;&gt;"Ready","Unavailable",IF(C397="","",O397+P397)))</x:f>
      </x:c>
      <x:c r="AI397" s="21" t="str">
        <x:f>IF(C397="","",IF(AQ397&lt;&gt;"Ready","Unavailable",IF(C397="","",Z397-Y397)))</x:f>
      </x:c>
      <x:c r="AJ397" s="23" t="str">
        <x:f>IF(C397="","",IFERROR(MAX(0,INDEX('Facilities'!$J$9:$J$108,MATCH(C397,'Facilities'!$C$9:$C$108,0))-D397),"Unavailable"))</x:f>
      </x:c>
      <x:c r="AK397" s="21" t="str">
        <x:f>IF(C397="","",IFERROR(AL297,"Unavailable"))</x:f>
      </x:c>
      <x:c r="AL397" s="23" t="str">
        <x:f>IF(C397="","",IFERROR(IF(P397&gt;0,P397*(1-AM397/(1+INDEX('Facilities'!$K$9:$K$108,MATCH(C397,'Facilities'!$C$9:$C$108,0)))^MAX(0,AC397+INDEX('Facilities'!$AK$9:$AK$108,MATCH(C397,'Facilities'!$C$9:$C$108,0))-D397)),0),"Unavailable"))</x:f>
      </x:c>
      <x:c r="AM397" s="30" t="str">
        <x:f>IF(C397="","",IFERROR(INDEX('Facilities'!$AL$9:$AL$108,MATCH(C397,'Facilities'!$C$9:$C$108,0)),"Unavailable"))</x:f>
      </x:c>
      <x:c r="AN397" s="30" t="str">
        <x:f>IF(C397="","",IFERROR(INDEX(Credit!$T$309:$T$408,MATCH(F397,Credit!$C$309:$C$408,0)),"Unavailable"))</x:f>
      </x:c>
      <x:c r="AO397" s="23" t="str">
        <x:f>IF(C397="","",IF(AQ397&lt;&gt;"Ready","Unavailable",IF(C397="","",O397+P397+Q397*INDEX('Facilities'!$I$9:$I$108,MATCH(C397,'Facilities'!$C$9:$C$108,0)))))</x:f>
      </x:c>
      <x:c r="AP397" s="21" t="str">
        <x:f>IF(C397="","",IF(AQ397&lt;&gt;"Ready","Unavailable",IF(C397="","",AH397-U397)))</x:f>
      </x:c>
      <x:c r="AQ397" s="23" t="str">
        <x:f>IFERROR(IF(C397="","",IF(AND(INDEX('Facilities'!$AF$9:$AF$108,MATCH(C397,'Facilities'!$C$9:$C$108,0))="Ready",INDEX(Credit!$U$309:$U$408,MATCH(F397,Credit!$C$309:$C$408,0))="Ready",ISNUMBER(W397)),"Ready","Review inputs")),"Review inputs")</x:f>
      </x:c>
      <x:c r="AR397" s="23" t="str">
        <x:f>IF(C397="","",IF(AQ397&lt;&gt;"Ready","Unavailable",IF(C397="","",IF(O397=0,0,(IF(AJ397&lt;=1,O397,O397*INDEX('Facilities'!$R$9:$R$108,MATCH(C397,'Facilities'!$C$9:$C$108,0)))+O397*INDEX('Facilities'!$T$9:$T$108,MATCH(C397,'Facilities'!$C$9:$C$108,0)))/12))))</x:f>
      </x:c>
    </x:row>
    <x:row r="398" ht="26" customHeight="1">
      <x:c r="A398" s="1"/>
      <x:c r="B398" s="1"/>
      <x:c r="C398" s="9" t="str">
        <x:f>IF(Facilities!C98="","",Facilities!C98)</x:f>
      </x:c>
      <x:c r="D398" s="3" t="n">
        <x:v>4</x:v>
      </x:c>
      <x:c r="E398" s="9" t="n">
        <x:f>Settings!$F$18+3</x:f>
        <x:v>2030</x:v>
      </x:c>
      <x:c r="F398" s="9" t="str">
        <x:f>IF(C398="","",IFERROR(INDEX('Facilities'!$D$9:$D$108,MATCH(C398,'Facilities'!$C$9:$C$108,0)),"Unavailable"))</x:f>
      </x:c>
      <x:c r="G398" s="21" t="str">
        <x:f>IF(C398="","",IFERROR(O298,"Unavailable"))</x:f>
      </x:c>
      <x:c r="H398" s="21" t="str">
        <x:f>IF(C398="","",IFERROR(P298,"Unavailable"))</x:f>
      </x:c>
      <x:c r="I398" s="21" t="str">
        <x:f>IF(C398="","",IFERROR(Q298,"Unavailable"))</x:f>
      </x:c>
      <x:c r="J398" s="23" t="str">
        <x:f>IF(C398="","",IFERROR(IF(OR(H398&gt;0,AND(AC398&gt;=0,AC398&lt;D398),D398&gt;INDEX('Facilities'!$J$9:$J$108,MATCH(C398,'Facilities'!$C$9:$C$108,0))),0,I398*'Scenario Paths'!I81),"Unavailable"))</x:f>
      </x:c>
      <x:c r="K398" s="23" t="str">
        <x:f>IF(C398="","",IFERROR(IF(OR(H398&gt;0,AND(AC398&gt;=0,AC398=D398)),0,IF(D398&gt;=INDEX('Facilities'!$J$9:$J$108,MATCH(C398,'Facilities'!$C$9:$C$108,0)),G398+J398,MIN(G398+J398,G398*INDEX('Facilities'!$R$9:$R$108,MATCH(C398,'Facilities'!$C$9:$C$108,0))))),"Unavailable"))</x:f>
      </x:c>
      <x:c r="L398" s="21" t="str">
        <x:f>IF(C398="","",IFERROR(IF(AND(AC398=D398,AC398&gt;0),MAX(0,G398+J398-K398),0),"Unavailable"))</x:f>
      </x:c>
      <x:c r="M398" s="23" t="str">
        <x:f>IF(C398="","",IFERROR(IF(AND(AC398&gt;=0,D398&gt;=AC398+INDEX('Facilities'!$AK$9:$AK$108,MATCH(C398,'Facilities'!$C$9:$C$108,0))),(H398+L398)*AM398,0),"Unavailable"))</x:f>
      </x:c>
      <x:c r="N398" s="23" t="str">
        <x:f>IF(C398="","",IFERROR(IF(AND(AC398&gt;=0,D398&gt;=AC398+INDEX('Facilities'!$AK$9:$AK$108,MATCH(C398,'Facilities'!$C$9:$C$108,0))),H398+L398-M398,0),"Unavailable"))</x:f>
      </x:c>
      <x:c r="O398" s="21" t="str">
        <x:f>IF(C398="","",IFERROR(MAX(0,G398+J398-K398-L398),"Unavailable"))</x:f>
      </x:c>
      <x:c r="P398" s="21" t="str">
        <x:f>IF(C398="","",IFERROR(MAX(0,H398+L398-M398-N398),"Unavailable"))</x:f>
      </x:c>
      <x:c r="Q398" s="23" t="str">
        <x:f>IF(C398="","",IFERROR(IF(OR(D398&gt;=INDEX('Facilities'!$J$9:$J$108,MATCH(C398,'Facilities'!$C$9:$C$108,0)),AND(AC398&gt;=0,AC398&lt;=D398)),0,MAX(0,I398-J398)),"Unavailable"))</x:f>
      </x:c>
      <x:c r="R398" s="30" t="str">
        <x:f>IF(C398="","",IFERROR(INDEX(Credit!$Q$309:$Q$408,MATCH(F398,Credit!$C$309:$C$408,0)),"Unavailable"))</x:f>
      </x:c>
      <x:c r="S398" s="30" t="str">
        <x:f>IF(C398="","",IFERROR(INDEX(Credit!$R$309:$R$408,MATCH(F398,Credit!$C$309:$C$408,0)),"Unavailable"))</x:f>
      </x:c>
      <x:c r="T398" s="23" t="str">
        <x:f>IF(C398="","",IFERROR(IF(P398&gt;0,3,IF(OR(INDEX('Facilities'!$AD$9:$AD$108,MATCH(C398,'Facilities'!$C$9:$C$108,0))=2,AND(R398&gt;=INDEX('Facilities'!$L$9:$L$108,MATCH(C398,'Facilities'!$C$9:$C$108,0))*Settings!$F$19,R398-INDEX('Facilities'!$L$9:$L$108,MATCH(C398,'Facilities'!$C$9:$C$108,0))&gt;=Settings!$F$20)),2,1)),"Unavailable"))</x:f>
      </x:c>
      <x:c r="U398" s="23" t="str">
        <x:f>IF(C398="","",IF(AQ398&lt;&gt;"Ready","Unavailable",IF(C398="","",O398*(1-(1-S398)/(1+INDEX('Facilities'!$K$9:$K$108,MATCH(C398,'Facilities'!$C$9:$C$108,0)))^INDEX('Facilities'!$AK$9:$AK$108,MATCH(C398,'Facilities'!$C$9:$C$108,0)))*R398/(1+INDEX('Facilities'!$K$9:$K$108,MATCH(C398,'Facilities'!$C$9:$C$108,0)))*IF(ABS(1-(1-R398)*(1-INDEX('Facilities'!$R$9:$R$108,MATCH(C398,'Facilities'!$C$9:$C$108,0)))/(1+INDEX('Facilities'!$K$9:$K$108,MATCH(C398,'Facilities'!$C$9:$C$108,0))))&lt;0.000000001,IF(T398=1,MIN(1,AJ398),AJ398),(1-((1-R398)*(1-INDEX('Facilities'!$R$9:$R$108,MATCH(C398,'Facilities'!$C$9:$C$108,0)))/(1+INDEX('Facilities'!$K$9:$K$108,MATCH(C398,'Facilities'!$C$9:$C$108,0))))^IF(T398=1,MIN(1,AJ398),AJ398))/(1-(1-R398)*(1-INDEX('Facilities'!$R$9:$R$108,MATCH(C398,'Facilities'!$C$9:$C$108,0)))/(1+INDEX('Facilities'!$K$9:$K$108,MATCH(C398,'Facilities'!$C$9:$C$108,0)))))+AL398)))</x:f>
      </x:c>
      <x:c r="V398" s="23" t="str">
        <x:f>IF(C398="","",IF(AQ398&lt;&gt;"Ready","Unavailable",IF(C398="","",Q398*INDEX('Facilities'!$I$9:$I$108,MATCH(C398,'Facilities'!$C$9:$C$108,0))*(1-(1-S398)/(1+INDEX('Facilities'!$K$9:$K$108,MATCH(C398,'Facilities'!$C$9:$C$108,0)))^INDEX('Facilities'!$AK$9:$AK$108,MATCH(C398,'Facilities'!$C$9:$C$108,0)))*R398/(1+INDEX('Facilities'!$K$9:$K$108,MATCH(C398,'Facilities'!$C$9:$C$108,0)))*IF(ABS(1-(1-R398)*(1-0)/(1+INDEX('Facilities'!$K$9:$K$108,MATCH(C398,'Facilities'!$C$9:$C$108,0))))&lt;0.000000001,IF(T398=1,MIN(1,AJ398),AJ398),(1-((1-R398)*(1-0)/(1+INDEX('Facilities'!$K$9:$K$108,MATCH(C398,'Facilities'!$C$9:$C$108,0))))^IF(T398=1,MIN(1,AJ398),AJ398))/(1-(1-R398)*(1-0)/(1+INDEX('Facilities'!$K$9:$K$108,MATCH(C398,'Facilities'!$C$9:$C$108,0))))))))</x:f>
      </x:c>
      <x:c r="W398" s="21" t="str">
        <x:f>IF(C398="","",IFERROR(U298,"Unavailable"))</x:f>
      </x:c>
      <x:c r="X398" s="21" t="str">
        <x:f>IF(C398="","",IFERROR(V298,"Unavailable"))</x:f>
      </x:c>
      <x:c r="Y398" s="21" t="str">
        <x:f>IF(C398="","",IF(AQ398&lt;&gt;"Ready","Unavailable",IF(C398="","",U398-W398+V398-X398+N398+AG398)))</x:f>
      </x:c>
      <x:c r="Z398" s="23" t="str">
        <x:f>IF(C398="","",IF(AQ398&lt;&gt;"Ready","Unavailable",IF(C398="","",(G398+O398+L398)/2*INDEX('Facilities'!$T$9:$T$108,MATCH(C398,'Facilities'!$C$9:$C$108,0))+AG398)))</x:f>
      </x:c>
      <x:c r="AA398" s="23" t="str">
        <x:f>IF(C398="","",IF(AQ398&lt;&gt;"Ready","Unavailable",IF(C398="","",O398*(1-IF(INDEX('Facilities'!$AA$9:$AA$108,MATCH(C398,'Facilities'!$C$9:$C$108,0))=0,0,MIN(1,INDEX('Facilities'!$X$9:$X$108,MATCH(C398,'Facilities'!$C$9:$C$108,0))/INDEX('Facilities'!$AA$9:$AA$108,MATCH(C398,'Facilities'!$C$9:$C$108,0)))))*AF398+P398*(1-IF(INDEX('Facilities'!$AA$9:$AA$108,MATCH(C398,'Facilities'!$C$9:$C$108,0))=0,0,MIN(1,INDEX('Facilities'!$X$9:$X$108,MATCH(C398,'Facilities'!$C$9:$C$108,0))/INDEX('Facilities'!$AA$9:$AA$108,MATCH(C398,'Facilities'!$C$9:$C$108,0)))))*INDEX('Facilities'!$AJ$9:$AJ$108,MATCH(C398,'Facilities'!$C$9:$C$108,0))+Q398*INDEX('Facilities'!$AI$9:$AI$108,MATCH(C398,'Facilities'!$C$9:$C$108,0))*AF398)))</x:f>
      </x:c>
      <x:c r="AB398" s="21" t="str">
        <x:f>IF(C398="","",O398+P398-AD398)</x:f>
      </x:c>
      <x:c r="AC398" s="23" t="str">
        <x:f>IF(C398="","",IFERROR(IF(INDEX('Facilities'!$AD$9:$AD$108,MATCH(C398,'Facilities'!$C$9:$C$108,0))=3,0,IF(INDEX('Facilities'!$AN$9:$AN$108,MATCH(C398,'Facilities'!$C$9:$C$108,0))=0,-1,INDEX('Facilities'!$AN$9:$AN$108,MATCH(C398,'Facilities'!$C$9:$C$108,0)))),"Unavailable"))</x:f>
      </x:c>
      <x:c r="AD398" s="21" t="str">
        <x:f>IF(C398="","",IFERROR(G398+H398,"Unavailable"))</x:f>
      </x:c>
      <x:c r="AE398" s="21" t="str">
        <x:f>IF(C398="","",IF(AQ398&lt;&gt;"Ready","Unavailable",IF(C398="","",O398+P398-AD398-J398+K398+M398+N398)))</x:f>
      </x:c>
      <x:c r="AF398" s="30" t="str">
        <x:f>IF(C398="","",IFERROR(INDEX('Facilities'!$S$9:$S$108,MATCH(C398,'Facilities'!$C$9:$C$108,0))*'Scenario Paths'!I75,"Unavailable"))</x:f>
      </x:c>
      <x:c r="AG398" s="23" t="str">
        <x:f>IF(C398="","",IF(AQ398&lt;&gt;"Ready","Unavailable",IF(C398="","",IF(H398&gt;0,MAX(0,H398-AK398)*((1+INDEX('Facilities'!$K$9:$K$108,MATCH(C398,'Facilities'!$C$9:$C$108,0)))^MIN(1,MAX(0,AC398+INDEX('Facilities'!$AK$9:$AK$108,MATCH(C398,'Facilities'!$C$9:$C$108,0))-D398+1))-1),0))))</x:f>
      </x:c>
      <x:c r="AH398" s="21" t="str">
        <x:f>IF(C398="","",IF(AQ398&lt;&gt;"Ready","Unavailable",IF(C398="","",O398+P398)))</x:f>
      </x:c>
      <x:c r="AI398" s="21" t="str">
        <x:f>IF(C398="","",IF(AQ398&lt;&gt;"Ready","Unavailable",IF(C398="","",Z398-Y398)))</x:f>
      </x:c>
      <x:c r="AJ398" s="23" t="str">
        <x:f>IF(C398="","",IFERROR(MAX(0,INDEX('Facilities'!$J$9:$J$108,MATCH(C398,'Facilities'!$C$9:$C$108,0))-D398),"Unavailable"))</x:f>
      </x:c>
      <x:c r="AK398" s="21" t="str">
        <x:f>IF(C398="","",IFERROR(AL298,"Unavailable"))</x:f>
      </x:c>
      <x:c r="AL398" s="23" t="str">
        <x:f>IF(C398="","",IFERROR(IF(P398&gt;0,P398*(1-AM398/(1+INDEX('Facilities'!$K$9:$K$108,MATCH(C398,'Facilities'!$C$9:$C$108,0)))^MAX(0,AC398+INDEX('Facilities'!$AK$9:$AK$108,MATCH(C398,'Facilities'!$C$9:$C$108,0))-D398)),0),"Unavailable"))</x:f>
      </x:c>
      <x:c r="AM398" s="30" t="str">
        <x:f>IF(C398="","",IFERROR(INDEX('Facilities'!$AL$9:$AL$108,MATCH(C398,'Facilities'!$C$9:$C$108,0)),"Unavailable"))</x:f>
      </x:c>
      <x:c r="AN398" s="30" t="str">
        <x:f>IF(C398="","",IFERROR(INDEX(Credit!$T$309:$T$408,MATCH(F398,Credit!$C$309:$C$408,0)),"Unavailable"))</x:f>
      </x:c>
      <x:c r="AO398" s="23" t="str">
        <x:f>IF(C398="","",IF(AQ398&lt;&gt;"Ready","Unavailable",IF(C398="","",O398+P398+Q398*INDEX('Facilities'!$I$9:$I$108,MATCH(C398,'Facilities'!$C$9:$C$108,0)))))</x:f>
      </x:c>
      <x:c r="AP398" s="21" t="str">
        <x:f>IF(C398="","",IF(AQ398&lt;&gt;"Ready","Unavailable",IF(C398="","",AH398-U398)))</x:f>
      </x:c>
      <x:c r="AQ398" s="23" t="str">
        <x:f>IFERROR(IF(C398="","",IF(AND(INDEX('Facilities'!$AF$9:$AF$108,MATCH(C398,'Facilities'!$C$9:$C$108,0))="Ready",INDEX(Credit!$U$309:$U$408,MATCH(F398,Credit!$C$309:$C$408,0))="Ready",ISNUMBER(W398)),"Ready","Review inputs")),"Review inputs")</x:f>
      </x:c>
      <x:c r="AR398" s="23" t="str">
        <x:f>IF(C398="","",IF(AQ398&lt;&gt;"Ready","Unavailable",IF(C398="","",IF(O398=0,0,(IF(AJ398&lt;=1,O398,O398*INDEX('Facilities'!$R$9:$R$108,MATCH(C398,'Facilities'!$C$9:$C$108,0)))+O398*INDEX('Facilities'!$T$9:$T$108,MATCH(C398,'Facilities'!$C$9:$C$108,0)))/12))))</x:f>
      </x:c>
    </x:row>
    <x:row r="399" ht="26" customHeight="1">
      <x:c r="A399" s="1"/>
      <x:c r="B399" s="1"/>
      <x:c r="C399" s="9" t="str">
        <x:f>IF(Facilities!C99="","",Facilities!C99)</x:f>
      </x:c>
      <x:c r="D399" s="3" t="n">
        <x:v>4</x:v>
      </x:c>
      <x:c r="E399" s="9" t="n">
        <x:f>Settings!$F$18+3</x:f>
        <x:v>2030</x:v>
      </x:c>
      <x:c r="F399" s="9" t="str">
        <x:f>IF(C399="","",IFERROR(INDEX('Facilities'!$D$9:$D$108,MATCH(C399,'Facilities'!$C$9:$C$108,0)),"Unavailable"))</x:f>
      </x:c>
      <x:c r="G399" s="21" t="str">
        <x:f>IF(C399="","",IFERROR(O299,"Unavailable"))</x:f>
      </x:c>
      <x:c r="H399" s="21" t="str">
        <x:f>IF(C399="","",IFERROR(P299,"Unavailable"))</x:f>
      </x:c>
      <x:c r="I399" s="21" t="str">
        <x:f>IF(C399="","",IFERROR(Q299,"Unavailable"))</x:f>
      </x:c>
      <x:c r="J399" s="23" t="str">
        <x:f>IF(C399="","",IFERROR(IF(OR(H399&gt;0,AND(AC399&gt;=0,AC399&lt;D399),D399&gt;INDEX('Facilities'!$J$9:$J$108,MATCH(C399,'Facilities'!$C$9:$C$108,0))),0,I399*'Scenario Paths'!I81),"Unavailable"))</x:f>
      </x:c>
      <x:c r="K399" s="23" t="str">
        <x:f>IF(C399="","",IFERROR(IF(OR(H399&gt;0,AND(AC399&gt;=0,AC399=D399)),0,IF(D399&gt;=INDEX('Facilities'!$J$9:$J$108,MATCH(C399,'Facilities'!$C$9:$C$108,0)),G399+J399,MIN(G399+J399,G399*INDEX('Facilities'!$R$9:$R$108,MATCH(C399,'Facilities'!$C$9:$C$108,0))))),"Unavailable"))</x:f>
      </x:c>
      <x:c r="L399" s="21" t="str">
        <x:f>IF(C399="","",IFERROR(IF(AND(AC399=D399,AC399&gt;0),MAX(0,G399+J399-K399),0),"Unavailable"))</x:f>
      </x:c>
      <x:c r="M399" s="23" t="str">
        <x:f>IF(C399="","",IFERROR(IF(AND(AC399&gt;=0,D399&gt;=AC399+INDEX('Facilities'!$AK$9:$AK$108,MATCH(C399,'Facilities'!$C$9:$C$108,0))),(H399+L399)*AM399,0),"Unavailable"))</x:f>
      </x:c>
      <x:c r="N399" s="23" t="str">
        <x:f>IF(C399="","",IFERROR(IF(AND(AC399&gt;=0,D399&gt;=AC399+INDEX('Facilities'!$AK$9:$AK$108,MATCH(C399,'Facilities'!$C$9:$C$108,0))),H399+L399-M399,0),"Unavailable"))</x:f>
      </x:c>
      <x:c r="O399" s="21" t="str">
        <x:f>IF(C399="","",IFERROR(MAX(0,G399+J399-K399-L399),"Unavailable"))</x:f>
      </x:c>
      <x:c r="P399" s="21" t="str">
        <x:f>IF(C399="","",IFERROR(MAX(0,H399+L399-M399-N399),"Unavailable"))</x:f>
      </x:c>
      <x:c r="Q399" s="23" t="str">
        <x:f>IF(C399="","",IFERROR(IF(OR(D399&gt;=INDEX('Facilities'!$J$9:$J$108,MATCH(C399,'Facilities'!$C$9:$C$108,0)),AND(AC399&gt;=0,AC399&lt;=D399)),0,MAX(0,I399-J399)),"Unavailable"))</x:f>
      </x:c>
      <x:c r="R399" s="30" t="str">
        <x:f>IF(C399="","",IFERROR(INDEX(Credit!$Q$309:$Q$408,MATCH(F399,Credit!$C$309:$C$408,0)),"Unavailable"))</x:f>
      </x:c>
      <x:c r="S399" s="30" t="str">
        <x:f>IF(C399="","",IFERROR(INDEX(Credit!$R$309:$R$408,MATCH(F399,Credit!$C$309:$C$408,0)),"Unavailable"))</x:f>
      </x:c>
      <x:c r="T399" s="23" t="str">
        <x:f>IF(C399="","",IFERROR(IF(P399&gt;0,3,IF(OR(INDEX('Facilities'!$AD$9:$AD$108,MATCH(C399,'Facilities'!$C$9:$C$108,0))=2,AND(R399&gt;=INDEX('Facilities'!$L$9:$L$108,MATCH(C399,'Facilities'!$C$9:$C$108,0))*Settings!$F$19,R399-INDEX('Facilities'!$L$9:$L$108,MATCH(C399,'Facilities'!$C$9:$C$108,0))&gt;=Settings!$F$20)),2,1)),"Unavailable"))</x:f>
      </x:c>
      <x:c r="U399" s="23" t="str">
        <x:f>IF(C399="","",IF(AQ399&lt;&gt;"Ready","Unavailable",IF(C399="","",O399*(1-(1-S399)/(1+INDEX('Facilities'!$K$9:$K$108,MATCH(C399,'Facilities'!$C$9:$C$108,0)))^INDEX('Facilities'!$AK$9:$AK$108,MATCH(C399,'Facilities'!$C$9:$C$108,0)))*R399/(1+INDEX('Facilities'!$K$9:$K$108,MATCH(C399,'Facilities'!$C$9:$C$108,0)))*IF(ABS(1-(1-R399)*(1-INDEX('Facilities'!$R$9:$R$108,MATCH(C399,'Facilities'!$C$9:$C$108,0)))/(1+INDEX('Facilities'!$K$9:$K$108,MATCH(C399,'Facilities'!$C$9:$C$108,0))))&lt;0.000000001,IF(T399=1,MIN(1,AJ399),AJ399),(1-((1-R399)*(1-INDEX('Facilities'!$R$9:$R$108,MATCH(C399,'Facilities'!$C$9:$C$108,0)))/(1+INDEX('Facilities'!$K$9:$K$108,MATCH(C399,'Facilities'!$C$9:$C$108,0))))^IF(T399=1,MIN(1,AJ399),AJ399))/(1-(1-R399)*(1-INDEX('Facilities'!$R$9:$R$108,MATCH(C399,'Facilities'!$C$9:$C$108,0)))/(1+INDEX('Facilities'!$K$9:$K$108,MATCH(C399,'Facilities'!$C$9:$C$108,0)))))+AL399)))</x:f>
      </x:c>
      <x:c r="V399" s="23" t="str">
        <x:f>IF(C399="","",IF(AQ399&lt;&gt;"Ready","Unavailable",IF(C399="","",Q399*INDEX('Facilities'!$I$9:$I$108,MATCH(C399,'Facilities'!$C$9:$C$108,0))*(1-(1-S399)/(1+INDEX('Facilities'!$K$9:$K$108,MATCH(C399,'Facilities'!$C$9:$C$108,0)))^INDEX('Facilities'!$AK$9:$AK$108,MATCH(C399,'Facilities'!$C$9:$C$108,0)))*R399/(1+INDEX('Facilities'!$K$9:$K$108,MATCH(C399,'Facilities'!$C$9:$C$108,0)))*IF(ABS(1-(1-R399)*(1-0)/(1+INDEX('Facilities'!$K$9:$K$108,MATCH(C399,'Facilities'!$C$9:$C$108,0))))&lt;0.000000001,IF(T399=1,MIN(1,AJ399),AJ399),(1-((1-R399)*(1-0)/(1+INDEX('Facilities'!$K$9:$K$108,MATCH(C399,'Facilities'!$C$9:$C$108,0))))^IF(T399=1,MIN(1,AJ399),AJ399))/(1-(1-R399)*(1-0)/(1+INDEX('Facilities'!$K$9:$K$108,MATCH(C399,'Facilities'!$C$9:$C$108,0))))))))</x:f>
      </x:c>
      <x:c r="W399" s="21" t="str">
        <x:f>IF(C399="","",IFERROR(U299,"Unavailable"))</x:f>
      </x:c>
      <x:c r="X399" s="21" t="str">
        <x:f>IF(C399="","",IFERROR(V299,"Unavailable"))</x:f>
      </x:c>
      <x:c r="Y399" s="21" t="str">
        <x:f>IF(C399="","",IF(AQ399&lt;&gt;"Ready","Unavailable",IF(C399="","",U399-W399+V399-X399+N399+AG399)))</x:f>
      </x:c>
      <x:c r="Z399" s="23" t="str">
        <x:f>IF(C399="","",IF(AQ399&lt;&gt;"Ready","Unavailable",IF(C399="","",(G399+O399+L399)/2*INDEX('Facilities'!$T$9:$T$108,MATCH(C399,'Facilities'!$C$9:$C$108,0))+AG399)))</x:f>
      </x:c>
      <x:c r="AA399" s="23" t="str">
        <x:f>IF(C399="","",IF(AQ399&lt;&gt;"Ready","Unavailable",IF(C399="","",O399*(1-IF(INDEX('Facilities'!$AA$9:$AA$108,MATCH(C399,'Facilities'!$C$9:$C$108,0))=0,0,MIN(1,INDEX('Facilities'!$X$9:$X$108,MATCH(C399,'Facilities'!$C$9:$C$108,0))/INDEX('Facilities'!$AA$9:$AA$108,MATCH(C399,'Facilities'!$C$9:$C$108,0)))))*AF399+P399*(1-IF(INDEX('Facilities'!$AA$9:$AA$108,MATCH(C399,'Facilities'!$C$9:$C$108,0))=0,0,MIN(1,INDEX('Facilities'!$X$9:$X$108,MATCH(C399,'Facilities'!$C$9:$C$108,0))/INDEX('Facilities'!$AA$9:$AA$108,MATCH(C399,'Facilities'!$C$9:$C$108,0)))))*INDEX('Facilities'!$AJ$9:$AJ$108,MATCH(C399,'Facilities'!$C$9:$C$108,0))+Q399*INDEX('Facilities'!$AI$9:$AI$108,MATCH(C399,'Facilities'!$C$9:$C$108,0))*AF399)))</x:f>
      </x:c>
      <x:c r="AB399" s="21" t="str">
        <x:f>IF(C399="","",O399+P399-AD399)</x:f>
      </x:c>
      <x:c r="AC399" s="23" t="str">
        <x:f>IF(C399="","",IFERROR(IF(INDEX('Facilities'!$AD$9:$AD$108,MATCH(C399,'Facilities'!$C$9:$C$108,0))=3,0,IF(INDEX('Facilities'!$AN$9:$AN$108,MATCH(C399,'Facilities'!$C$9:$C$108,0))=0,-1,INDEX('Facilities'!$AN$9:$AN$108,MATCH(C399,'Facilities'!$C$9:$C$108,0)))),"Unavailable"))</x:f>
      </x:c>
      <x:c r="AD399" s="21" t="str">
        <x:f>IF(C399="","",IFERROR(G399+H399,"Unavailable"))</x:f>
      </x:c>
      <x:c r="AE399" s="21" t="str">
        <x:f>IF(C399="","",IF(AQ399&lt;&gt;"Ready","Unavailable",IF(C399="","",O399+P399-AD399-J399+K399+M399+N399)))</x:f>
      </x:c>
      <x:c r="AF399" s="30" t="str">
        <x:f>IF(C399="","",IFERROR(INDEX('Facilities'!$S$9:$S$108,MATCH(C399,'Facilities'!$C$9:$C$108,0))*'Scenario Paths'!I75,"Unavailable"))</x:f>
      </x:c>
      <x:c r="AG399" s="23" t="str">
        <x:f>IF(C399="","",IF(AQ399&lt;&gt;"Ready","Unavailable",IF(C399="","",IF(H399&gt;0,MAX(0,H399-AK399)*((1+INDEX('Facilities'!$K$9:$K$108,MATCH(C399,'Facilities'!$C$9:$C$108,0)))^MIN(1,MAX(0,AC399+INDEX('Facilities'!$AK$9:$AK$108,MATCH(C399,'Facilities'!$C$9:$C$108,0))-D399+1))-1),0))))</x:f>
      </x:c>
      <x:c r="AH399" s="21" t="str">
        <x:f>IF(C399="","",IF(AQ399&lt;&gt;"Ready","Unavailable",IF(C399="","",O399+P399)))</x:f>
      </x:c>
      <x:c r="AI399" s="21" t="str">
        <x:f>IF(C399="","",IF(AQ399&lt;&gt;"Ready","Unavailable",IF(C399="","",Z399-Y399)))</x:f>
      </x:c>
      <x:c r="AJ399" s="23" t="str">
        <x:f>IF(C399="","",IFERROR(MAX(0,INDEX('Facilities'!$J$9:$J$108,MATCH(C399,'Facilities'!$C$9:$C$108,0))-D399),"Unavailable"))</x:f>
      </x:c>
      <x:c r="AK399" s="21" t="str">
        <x:f>IF(C399="","",IFERROR(AL299,"Unavailable"))</x:f>
      </x:c>
      <x:c r="AL399" s="23" t="str">
        <x:f>IF(C399="","",IFERROR(IF(P399&gt;0,P399*(1-AM399/(1+INDEX('Facilities'!$K$9:$K$108,MATCH(C399,'Facilities'!$C$9:$C$108,0)))^MAX(0,AC399+INDEX('Facilities'!$AK$9:$AK$108,MATCH(C399,'Facilities'!$C$9:$C$108,0))-D399)),0),"Unavailable"))</x:f>
      </x:c>
      <x:c r="AM399" s="30" t="str">
        <x:f>IF(C399="","",IFERROR(INDEX('Facilities'!$AL$9:$AL$108,MATCH(C399,'Facilities'!$C$9:$C$108,0)),"Unavailable"))</x:f>
      </x:c>
      <x:c r="AN399" s="30" t="str">
        <x:f>IF(C399="","",IFERROR(INDEX(Credit!$T$309:$T$408,MATCH(F399,Credit!$C$309:$C$408,0)),"Unavailable"))</x:f>
      </x:c>
      <x:c r="AO399" s="23" t="str">
        <x:f>IF(C399="","",IF(AQ399&lt;&gt;"Ready","Unavailable",IF(C399="","",O399+P399+Q399*INDEX('Facilities'!$I$9:$I$108,MATCH(C399,'Facilities'!$C$9:$C$108,0)))))</x:f>
      </x:c>
      <x:c r="AP399" s="21" t="str">
        <x:f>IF(C399="","",IF(AQ399&lt;&gt;"Ready","Unavailable",IF(C399="","",AH399-U399)))</x:f>
      </x:c>
      <x:c r="AQ399" s="23" t="str">
        <x:f>IFERROR(IF(C399="","",IF(AND(INDEX('Facilities'!$AF$9:$AF$108,MATCH(C399,'Facilities'!$C$9:$C$108,0))="Ready",INDEX(Credit!$U$309:$U$408,MATCH(F399,Credit!$C$309:$C$408,0))="Ready",ISNUMBER(W399)),"Ready","Review inputs")),"Review inputs")</x:f>
      </x:c>
      <x:c r="AR399" s="23" t="str">
        <x:f>IF(C399="","",IF(AQ399&lt;&gt;"Ready","Unavailable",IF(C399="","",IF(O399=0,0,(IF(AJ399&lt;=1,O399,O399*INDEX('Facilities'!$R$9:$R$108,MATCH(C399,'Facilities'!$C$9:$C$108,0)))+O399*INDEX('Facilities'!$T$9:$T$108,MATCH(C399,'Facilities'!$C$9:$C$108,0)))/12))))</x:f>
      </x:c>
    </x:row>
    <x:row r="400" ht="26" customHeight="1">
      <x:c r="A400" s="1"/>
      <x:c r="B400" s="1"/>
      <x:c r="C400" s="9" t="str">
        <x:f>IF(Facilities!C100="","",Facilities!C100)</x:f>
      </x:c>
      <x:c r="D400" s="3" t="n">
        <x:v>4</x:v>
      </x:c>
      <x:c r="E400" s="9" t="n">
        <x:f>Settings!$F$18+3</x:f>
        <x:v>2030</x:v>
      </x:c>
      <x:c r="F400" s="9" t="str">
        <x:f>IF(C400="","",IFERROR(INDEX('Facilities'!$D$9:$D$108,MATCH(C400,'Facilities'!$C$9:$C$108,0)),"Unavailable"))</x:f>
      </x:c>
      <x:c r="G400" s="21" t="str">
        <x:f>IF(C400="","",IFERROR(O300,"Unavailable"))</x:f>
      </x:c>
      <x:c r="H400" s="21" t="str">
        <x:f>IF(C400="","",IFERROR(P300,"Unavailable"))</x:f>
      </x:c>
      <x:c r="I400" s="21" t="str">
        <x:f>IF(C400="","",IFERROR(Q300,"Unavailable"))</x:f>
      </x:c>
      <x:c r="J400" s="23" t="str">
        <x:f>IF(C400="","",IFERROR(IF(OR(H400&gt;0,AND(AC400&gt;=0,AC400&lt;D400),D400&gt;INDEX('Facilities'!$J$9:$J$108,MATCH(C400,'Facilities'!$C$9:$C$108,0))),0,I400*'Scenario Paths'!I81),"Unavailable"))</x:f>
      </x:c>
      <x:c r="K400" s="23" t="str">
        <x:f>IF(C400="","",IFERROR(IF(OR(H400&gt;0,AND(AC400&gt;=0,AC400=D400)),0,IF(D400&gt;=INDEX('Facilities'!$J$9:$J$108,MATCH(C400,'Facilities'!$C$9:$C$108,0)),G400+J400,MIN(G400+J400,G400*INDEX('Facilities'!$R$9:$R$108,MATCH(C400,'Facilities'!$C$9:$C$108,0))))),"Unavailable"))</x:f>
      </x:c>
      <x:c r="L400" s="21" t="str">
        <x:f>IF(C400="","",IFERROR(IF(AND(AC400=D400,AC400&gt;0),MAX(0,G400+J400-K400),0),"Unavailable"))</x:f>
      </x:c>
      <x:c r="M400" s="23" t="str">
        <x:f>IF(C400="","",IFERROR(IF(AND(AC400&gt;=0,D400&gt;=AC400+INDEX('Facilities'!$AK$9:$AK$108,MATCH(C400,'Facilities'!$C$9:$C$108,0))),(H400+L400)*AM400,0),"Unavailable"))</x:f>
      </x:c>
      <x:c r="N400" s="23" t="str">
        <x:f>IF(C400="","",IFERROR(IF(AND(AC400&gt;=0,D400&gt;=AC400+INDEX('Facilities'!$AK$9:$AK$108,MATCH(C400,'Facilities'!$C$9:$C$108,0))),H400+L400-M400,0),"Unavailable"))</x:f>
      </x:c>
      <x:c r="O400" s="21" t="str">
        <x:f>IF(C400="","",IFERROR(MAX(0,G400+J400-K400-L400),"Unavailable"))</x:f>
      </x:c>
      <x:c r="P400" s="21" t="str">
        <x:f>IF(C400="","",IFERROR(MAX(0,H400+L400-M400-N400),"Unavailable"))</x:f>
      </x:c>
      <x:c r="Q400" s="23" t="str">
        <x:f>IF(C400="","",IFERROR(IF(OR(D400&gt;=INDEX('Facilities'!$J$9:$J$108,MATCH(C400,'Facilities'!$C$9:$C$108,0)),AND(AC400&gt;=0,AC400&lt;=D400)),0,MAX(0,I400-J400)),"Unavailable"))</x:f>
      </x:c>
      <x:c r="R400" s="30" t="str">
        <x:f>IF(C400="","",IFERROR(INDEX(Credit!$Q$309:$Q$408,MATCH(F400,Credit!$C$309:$C$408,0)),"Unavailable"))</x:f>
      </x:c>
      <x:c r="S400" s="30" t="str">
        <x:f>IF(C400="","",IFERROR(INDEX(Credit!$R$309:$R$408,MATCH(F400,Credit!$C$309:$C$408,0)),"Unavailable"))</x:f>
      </x:c>
      <x:c r="T400" s="23" t="str">
        <x:f>IF(C400="","",IFERROR(IF(P400&gt;0,3,IF(OR(INDEX('Facilities'!$AD$9:$AD$108,MATCH(C400,'Facilities'!$C$9:$C$108,0))=2,AND(R400&gt;=INDEX('Facilities'!$L$9:$L$108,MATCH(C400,'Facilities'!$C$9:$C$108,0))*Settings!$F$19,R400-INDEX('Facilities'!$L$9:$L$108,MATCH(C400,'Facilities'!$C$9:$C$108,0))&gt;=Settings!$F$20)),2,1)),"Unavailable"))</x:f>
      </x:c>
      <x:c r="U400" s="23" t="str">
        <x:f>IF(C400="","",IF(AQ400&lt;&gt;"Ready","Unavailable",IF(C400="","",O400*(1-(1-S400)/(1+INDEX('Facilities'!$K$9:$K$108,MATCH(C400,'Facilities'!$C$9:$C$108,0)))^INDEX('Facilities'!$AK$9:$AK$108,MATCH(C400,'Facilities'!$C$9:$C$108,0)))*R400/(1+INDEX('Facilities'!$K$9:$K$108,MATCH(C400,'Facilities'!$C$9:$C$108,0)))*IF(ABS(1-(1-R400)*(1-INDEX('Facilities'!$R$9:$R$108,MATCH(C400,'Facilities'!$C$9:$C$108,0)))/(1+INDEX('Facilities'!$K$9:$K$108,MATCH(C400,'Facilities'!$C$9:$C$108,0))))&lt;0.000000001,IF(T400=1,MIN(1,AJ400),AJ400),(1-((1-R400)*(1-INDEX('Facilities'!$R$9:$R$108,MATCH(C400,'Facilities'!$C$9:$C$108,0)))/(1+INDEX('Facilities'!$K$9:$K$108,MATCH(C400,'Facilities'!$C$9:$C$108,0))))^IF(T400=1,MIN(1,AJ400),AJ400))/(1-(1-R400)*(1-INDEX('Facilities'!$R$9:$R$108,MATCH(C400,'Facilities'!$C$9:$C$108,0)))/(1+INDEX('Facilities'!$K$9:$K$108,MATCH(C400,'Facilities'!$C$9:$C$108,0)))))+AL400)))</x:f>
      </x:c>
      <x:c r="V400" s="23" t="str">
        <x:f>IF(C400="","",IF(AQ400&lt;&gt;"Ready","Unavailable",IF(C400="","",Q400*INDEX('Facilities'!$I$9:$I$108,MATCH(C400,'Facilities'!$C$9:$C$108,0))*(1-(1-S400)/(1+INDEX('Facilities'!$K$9:$K$108,MATCH(C400,'Facilities'!$C$9:$C$108,0)))^INDEX('Facilities'!$AK$9:$AK$108,MATCH(C400,'Facilities'!$C$9:$C$108,0)))*R400/(1+INDEX('Facilities'!$K$9:$K$108,MATCH(C400,'Facilities'!$C$9:$C$108,0)))*IF(ABS(1-(1-R400)*(1-0)/(1+INDEX('Facilities'!$K$9:$K$108,MATCH(C400,'Facilities'!$C$9:$C$108,0))))&lt;0.000000001,IF(T400=1,MIN(1,AJ400),AJ400),(1-((1-R400)*(1-0)/(1+INDEX('Facilities'!$K$9:$K$108,MATCH(C400,'Facilities'!$C$9:$C$108,0))))^IF(T400=1,MIN(1,AJ400),AJ400))/(1-(1-R400)*(1-0)/(1+INDEX('Facilities'!$K$9:$K$108,MATCH(C400,'Facilities'!$C$9:$C$108,0))))))))</x:f>
      </x:c>
      <x:c r="W400" s="21" t="str">
        <x:f>IF(C400="","",IFERROR(U300,"Unavailable"))</x:f>
      </x:c>
      <x:c r="X400" s="21" t="str">
        <x:f>IF(C400="","",IFERROR(V300,"Unavailable"))</x:f>
      </x:c>
      <x:c r="Y400" s="21" t="str">
        <x:f>IF(C400="","",IF(AQ400&lt;&gt;"Ready","Unavailable",IF(C400="","",U400-W400+V400-X400+N400+AG400)))</x:f>
      </x:c>
      <x:c r="Z400" s="23" t="str">
        <x:f>IF(C400="","",IF(AQ400&lt;&gt;"Ready","Unavailable",IF(C400="","",(G400+O400+L400)/2*INDEX('Facilities'!$T$9:$T$108,MATCH(C400,'Facilities'!$C$9:$C$108,0))+AG400)))</x:f>
      </x:c>
      <x:c r="AA400" s="23" t="str">
        <x:f>IF(C400="","",IF(AQ400&lt;&gt;"Ready","Unavailable",IF(C400="","",O400*(1-IF(INDEX('Facilities'!$AA$9:$AA$108,MATCH(C400,'Facilities'!$C$9:$C$108,0))=0,0,MIN(1,INDEX('Facilities'!$X$9:$X$108,MATCH(C400,'Facilities'!$C$9:$C$108,0))/INDEX('Facilities'!$AA$9:$AA$108,MATCH(C400,'Facilities'!$C$9:$C$108,0)))))*AF400+P400*(1-IF(INDEX('Facilities'!$AA$9:$AA$108,MATCH(C400,'Facilities'!$C$9:$C$108,0))=0,0,MIN(1,INDEX('Facilities'!$X$9:$X$108,MATCH(C400,'Facilities'!$C$9:$C$108,0))/INDEX('Facilities'!$AA$9:$AA$108,MATCH(C400,'Facilities'!$C$9:$C$108,0)))))*INDEX('Facilities'!$AJ$9:$AJ$108,MATCH(C400,'Facilities'!$C$9:$C$108,0))+Q400*INDEX('Facilities'!$AI$9:$AI$108,MATCH(C400,'Facilities'!$C$9:$C$108,0))*AF400)))</x:f>
      </x:c>
      <x:c r="AB400" s="21" t="str">
        <x:f>IF(C400="","",O400+P400-AD400)</x:f>
      </x:c>
      <x:c r="AC400" s="23" t="str">
        <x:f>IF(C400="","",IFERROR(IF(INDEX('Facilities'!$AD$9:$AD$108,MATCH(C400,'Facilities'!$C$9:$C$108,0))=3,0,IF(INDEX('Facilities'!$AN$9:$AN$108,MATCH(C400,'Facilities'!$C$9:$C$108,0))=0,-1,INDEX('Facilities'!$AN$9:$AN$108,MATCH(C400,'Facilities'!$C$9:$C$108,0)))),"Unavailable"))</x:f>
      </x:c>
      <x:c r="AD400" s="21" t="str">
        <x:f>IF(C400="","",IFERROR(G400+H400,"Unavailable"))</x:f>
      </x:c>
      <x:c r="AE400" s="21" t="str">
        <x:f>IF(C400="","",IF(AQ400&lt;&gt;"Ready","Unavailable",IF(C400="","",O400+P400-AD400-J400+K400+M400+N400)))</x:f>
      </x:c>
      <x:c r="AF400" s="30" t="str">
        <x:f>IF(C400="","",IFERROR(INDEX('Facilities'!$S$9:$S$108,MATCH(C400,'Facilities'!$C$9:$C$108,0))*'Scenario Paths'!I75,"Unavailable"))</x:f>
      </x:c>
      <x:c r="AG400" s="23" t="str">
        <x:f>IF(C400="","",IF(AQ400&lt;&gt;"Ready","Unavailable",IF(C400="","",IF(H400&gt;0,MAX(0,H400-AK400)*((1+INDEX('Facilities'!$K$9:$K$108,MATCH(C400,'Facilities'!$C$9:$C$108,0)))^MIN(1,MAX(0,AC400+INDEX('Facilities'!$AK$9:$AK$108,MATCH(C400,'Facilities'!$C$9:$C$108,0))-D400+1))-1),0))))</x:f>
      </x:c>
      <x:c r="AH400" s="21" t="str">
        <x:f>IF(C400="","",IF(AQ400&lt;&gt;"Ready","Unavailable",IF(C400="","",O400+P400)))</x:f>
      </x:c>
      <x:c r="AI400" s="21" t="str">
        <x:f>IF(C400="","",IF(AQ400&lt;&gt;"Ready","Unavailable",IF(C400="","",Z400-Y400)))</x:f>
      </x:c>
      <x:c r="AJ400" s="23" t="str">
        <x:f>IF(C400="","",IFERROR(MAX(0,INDEX('Facilities'!$J$9:$J$108,MATCH(C400,'Facilities'!$C$9:$C$108,0))-D400),"Unavailable"))</x:f>
      </x:c>
      <x:c r="AK400" s="21" t="str">
        <x:f>IF(C400="","",IFERROR(AL300,"Unavailable"))</x:f>
      </x:c>
      <x:c r="AL400" s="23" t="str">
        <x:f>IF(C400="","",IFERROR(IF(P400&gt;0,P400*(1-AM400/(1+INDEX('Facilities'!$K$9:$K$108,MATCH(C400,'Facilities'!$C$9:$C$108,0)))^MAX(0,AC400+INDEX('Facilities'!$AK$9:$AK$108,MATCH(C400,'Facilities'!$C$9:$C$108,0))-D400)),0),"Unavailable"))</x:f>
      </x:c>
      <x:c r="AM400" s="30" t="str">
        <x:f>IF(C400="","",IFERROR(INDEX('Facilities'!$AL$9:$AL$108,MATCH(C400,'Facilities'!$C$9:$C$108,0)),"Unavailable"))</x:f>
      </x:c>
      <x:c r="AN400" s="30" t="str">
        <x:f>IF(C400="","",IFERROR(INDEX(Credit!$T$309:$T$408,MATCH(F400,Credit!$C$309:$C$408,0)),"Unavailable"))</x:f>
      </x:c>
      <x:c r="AO400" s="23" t="str">
        <x:f>IF(C400="","",IF(AQ400&lt;&gt;"Ready","Unavailable",IF(C400="","",O400+P400+Q400*INDEX('Facilities'!$I$9:$I$108,MATCH(C400,'Facilities'!$C$9:$C$108,0)))))</x:f>
      </x:c>
      <x:c r="AP400" s="21" t="str">
        <x:f>IF(C400="","",IF(AQ400&lt;&gt;"Ready","Unavailable",IF(C400="","",AH400-U400)))</x:f>
      </x:c>
      <x:c r="AQ400" s="23" t="str">
        <x:f>IFERROR(IF(C400="","",IF(AND(INDEX('Facilities'!$AF$9:$AF$108,MATCH(C400,'Facilities'!$C$9:$C$108,0))="Ready",INDEX(Credit!$U$309:$U$408,MATCH(F400,Credit!$C$309:$C$408,0))="Ready",ISNUMBER(W400)),"Ready","Review inputs")),"Review inputs")</x:f>
      </x:c>
      <x:c r="AR400" s="23" t="str">
        <x:f>IF(C400="","",IF(AQ400&lt;&gt;"Ready","Unavailable",IF(C400="","",IF(O400=0,0,(IF(AJ400&lt;=1,O400,O400*INDEX('Facilities'!$R$9:$R$108,MATCH(C400,'Facilities'!$C$9:$C$108,0)))+O400*INDEX('Facilities'!$T$9:$T$108,MATCH(C400,'Facilities'!$C$9:$C$108,0)))/12))))</x:f>
      </x:c>
    </x:row>
    <x:row r="401" ht="26" customHeight="1">
      <x:c r="A401" s="1"/>
      <x:c r="B401" s="1"/>
      <x:c r="C401" s="9" t="str">
        <x:f>IF(Facilities!C101="","",Facilities!C101)</x:f>
      </x:c>
      <x:c r="D401" s="3" t="n">
        <x:v>4</x:v>
      </x:c>
      <x:c r="E401" s="9" t="n">
        <x:f>Settings!$F$18+3</x:f>
        <x:v>2030</x:v>
      </x:c>
      <x:c r="F401" s="9" t="str">
        <x:f>IF(C401="","",IFERROR(INDEX('Facilities'!$D$9:$D$108,MATCH(C401,'Facilities'!$C$9:$C$108,0)),"Unavailable"))</x:f>
      </x:c>
      <x:c r="G401" s="21" t="str">
        <x:f>IF(C401="","",IFERROR(O301,"Unavailable"))</x:f>
      </x:c>
      <x:c r="H401" s="21" t="str">
        <x:f>IF(C401="","",IFERROR(P301,"Unavailable"))</x:f>
      </x:c>
      <x:c r="I401" s="21" t="str">
        <x:f>IF(C401="","",IFERROR(Q301,"Unavailable"))</x:f>
      </x:c>
      <x:c r="J401" s="23" t="str">
        <x:f>IF(C401="","",IFERROR(IF(OR(H401&gt;0,AND(AC401&gt;=0,AC401&lt;D401),D401&gt;INDEX('Facilities'!$J$9:$J$108,MATCH(C401,'Facilities'!$C$9:$C$108,0))),0,I401*'Scenario Paths'!I81),"Unavailable"))</x:f>
      </x:c>
      <x:c r="K401" s="23" t="str">
        <x:f>IF(C401="","",IFERROR(IF(OR(H401&gt;0,AND(AC401&gt;=0,AC401=D401)),0,IF(D401&gt;=INDEX('Facilities'!$J$9:$J$108,MATCH(C401,'Facilities'!$C$9:$C$108,0)),G401+J401,MIN(G401+J401,G401*INDEX('Facilities'!$R$9:$R$108,MATCH(C401,'Facilities'!$C$9:$C$108,0))))),"Unavailable"))</x:f>
      </x:c>
      <x:c r="L401" s="21" t="str">
        <x:f>IF(C401="","",IFERROR(IF(AND(AC401=D401,AC401&gt;0),MAX(0,G401+J401-K401),0),"Unavailable"))</x:f>
      </x:c>
      <x:c r="M401" s="23" t="str">
        <x:f>IF(C401="","",IFERROR(IF(AND(AC401&gt;=0,D401&gt;=AC401+INDEX('Facilities'!$AK$9:$AK$108,MATCH(C401,'Facilities'!$C$9:$C$108,0))),(H401+L401)*AM401,0),"Unavailable"))</x:f>
      </x:c>
      <x:c r="N401" s="23" t="str">
        <x:f>IF(C401="","",IFERROR(IF(AND(AC401&gt;=0,D401&gt;=AC401+INDEX('Facilities'!$AK$9:$AK$108,MATCH(C401,'Facilities'!$C$9:$C$108,0))),H401+L401-M401,0),"Unavailable"))</x:f>
      </x:c>
      <x:c r="O401" s="21" t="str">
        <x:f>IF(C401="","",IFERROR(MAX(0,G401+J401-K401-L401),"Unavailable"))</x:f>
      </x:c>
      <x:c r="P401" s="21" t="str">
        <x:f>IF(C401="","",IFERROR(MAX(0,H401+L401-M401-N401),"Unavailable"))</x:f>
      </x:c>
      <x:c r="Q401" s="23" t="str">
        <x:f>IF(C401="","",IFERROR(IF(OR(D401&gt;=INDEX('Facilities'!$J$9:$J$108,MATCH(C401,'Facilities'!$C$9:$C$108,0)),AND(AC401&gt;=0,AC401&lt;=D401)),0,MAX(0,I401-J401)),"Unavailable"))</x:f>
      </x:c>
      <x:c r="R401" s="30" t="str">
        <x:f>IF(C401="","",IFERROR(INDEX(Credit!$Q$309:$Q$408,MATCH(F401,Credit!$C$309:$C$408,0)),"Unavailable"))</x:f>
      </x:c>
      <x:c r="S401" s="30" t="str">
        <x:f>IF(C401="","",IFERROR(INDEX(Credit!$R$309:$R$408,MATCH(F401,Credit!$C$309:$C$408,0)),"Unavailable"))</x:f>
      </x:c>
      <x:c r="T401" s="23" t="str">
        <x:f>IF(C401="","",IFERROR(IF(P401&gt;0,3,IF(OR(INDEX('Facilities'!$AD$9:$AD$108,MATCH(C401,'Facilities'!$C$9:$C$108,0))=2,AND(R401&gt;=INDEX('Facilities'!$L$9:$L$108,MATCH(C401,'Facilities'!$C$9:$C$108,0))*Settings!$F$19,R401-INDEX('Facilities'!$L$9:$L$108,MATCH(C401,'Facilities'!$C$9:$C$108,0))&gt;=Settings!$F$20)),2,1)),"Unavailable"))</x:f>
      </x:c>
      <x:c r="U401" s="23" t="str">
        <x:f>IF(C401="","",IF(AQ401&lt;&gt;"Ready","Unavailable",IF(C401="","",O401*(1-(1-S401)/(1+INDEX('Facilities'!$K$9:$K$108,MATCH(C401,'Facilities'!$C$9:$C$108,0)))^INDEX('Facilities'!$AK$9:$AK$108,MATCH(C401,'Facilities'!$C$9:$C$108,0)))*R401/(1+INDEX('Facilities'!$K$9:$K$108,MATCH(C401,'Facilities'!$C$9:$C$108,0)))*IF(ABS(1-(1-R401)*(1-INDEX('Facilities'!$R$9:$R$108,MATCH(C401,'Facilities'!$C$9:$C$108,0)))/(1+INDEX('Facilities'!$K$9:$K$108,MATCH(C401,'Facilities'!$C$9:$C$108,0))))&lt;0.000000001,IF(T401=1,MIN(1,AJ401),AJ401),(1-((1-R401)*(1-INDEX('Facilities'!$R$9:$R$108,MATCH(C401,'Facilities'!$C$9:$C$108,0)))/(1+INDEX('Facilities'!$K$9:$K$108,MATCH(C401,'Facilities'!$C$9:$C$108,0))))^IF(T401=1,MIN(1,AJ401),AJ401))/(1-(1-R401)*(1-INDEX('Facilities'!$R$9:$R$108,MATCH(C401,'Facilities'!$C$9:$C$108,0)))/(1+INDEX('Facilities'!$K$9:$K$108,MATCH(C401,'Facilities'!$C$9:$C$108,0)))))+AL401)))</x:f>
      </x:c>
      <x:c r="V401" s="23" t="str">
        <x:f>IF(C401="","",IF(AQ401&lt;&gt;"Ready","Unavailable",IF(C401="","",Q401*INDEX('Facilities'!$I$9:$I$108,MATCH(C401,'Facilities'!$C$9:$C$108,0))*(1-(1-S401)/(1+INDEX('Facilities'!$K$9:$K$108,MATCH(C401,'Facilities'!$C$9:$C$108,0)))^INDEX('Facilities'!$AK$9:$AK$108,MATCH(C401,'Facilities'!$C$9:$C$108,0)))*R401/(1+INDEX('Facilities'!$K$9:$K$108,MATCH(C401,'Facilities'!$C$9:$C$108,0)))*IF(ABS(1-(1-R401)*(1-0)/(1+INDEX('Facilities'!$K$9:$K$108,MATCH(C401,'Facilities'!$C$9:$C$108,0))))&lt;0.000000001,IF(T401=1,MIN(1,AJ401),AJ401),(1-((1-R401)*(1-0)/(1+INDEX('Facilities'!$K$9:$K$108,MATCH(C401,'Facilities'!$C$9:$C$108,0))))^IF(T401=1,MIN(1,AJ401),AJ401))/(1-(1-R401)*(1-0)/(1+INDEX('Facilities'!$K$9:$K$108,MATCH(C401,'Facilities'!$C$9:$C$108,0))))))))</x:f>
      </x:c>
      <x:c r="W401" s="21" t="str">
        <x:f>IF(C401="","",IFERROR(U301,"Unavailable"))</x:f>
      </x:c>
      <x:c r="X401" s="21" t="str">
        <x:f>IF(C401="","",IFERROR(V301,"Unavailable"))</x:f>
      </x:c>
      <x:c r="Y401" s="21" t="str">
        <x:f>IF(C401="","",IF(AQ401&lt;&gt;"Ready","Unavailable",IF(C401="","",U401-W401+V401-X401+N401+AG401)))</x:f>
      </x:c>
      <x:c r="Z401" s="23" t="str">
        <x:f>IF(C401="","",IF(AQ401&lt;&gt;"Ready","Unavailable",IF(C401="","",(G401+O401+L401)/2*INDEX('Facilities'!$T$9:$T$108,MATCH(C401,'Facilities'!$C$9:$C$108,0))+AG401)))</x:f>
      </x:c>
      <x:c r="AA401" s="23" t="str">
        <x:f>IF(C401="","",IF(AQ401&lt;&gt;"Ready","Unavailable",IF(C401="","",O401*(1-IF(INDEX('Facilities'!$AA$9:$AA$108,MATCH(C401,'Facilities'!$C$9:$C$108,0))=0,0,MIN(1,INDEX('Facilities'!$X$9:$X$108,MATCH(C401,'Facilities'!$C$9:$C$108,0))/INDEX('Facilities'!$AA$9:$AA$108,MATCH(C401,'Facilities'!$C$9:$C$108,0)))))*AF401+P401*(1-IF(INDEX('Facilities'!$AA$9:$AA$108,MATCH(C401,'Facilities'!$C$9:$C$108,0))=0,0,MIN(1,INDEX('Facilities'!$X$9:$X$108,MATCH(C401,'Facilities'!$C$9:$C$108,0))/INDEX('Facilities'!$AA$9:$AA$108,MATCH(C401,'Facilities'!$C$9:$C$108,0)))))*INDEX('Facilities'!$AJ$9:$AJ$108,MATCH(C401,'Facilities'!$C$9:$C$108,0))+Q401*INDEX('Facilities'!$AI$9:$AI$108,MATCH(C401,'Facilities'!$C$9:$C$108,0))*AF401)))</x:f>
      </x:c>
      <x:c r="AB401" s="21" t="str">
        <x:f>IF(C401="","",O401+P401-AD401)</x:f>
      </x:c>
      <x:c r="AC401" s="23" t="str">
        <x:f>IF(C401="","",IFERROR(IF(INDEX('Facilities'!$AD$9:$AD$108,MATCH(C401,'Facilities'!$C$9:$C$108,0))=3,0,IF(INDEX('Facilities'!$AN$9:$AN$108,MATCH(C401,'Facilities'!$C$9:$C$108,0))=0,-1,INDEX('Facilities'!$AN$9:$AN$108,MATCH(C401,'Facilities'!$C$9:$C$108,0)))),"Unavailable"))</x:f>
      </x:c>
      <x:c r="AD401" s="21" t="str">
        <x:f>IF(C401="","",IFERROR(G401+H401,"Unavailable"))</x:f>
      </x:c>
      <x:c r="AE401" s="21" t="str">
        <x:f>IF(C401="","",IF(AQ401&lt;&gt;"Ready","Unavailable",IF(C401="","",O401+P401-AD401-J401+K401+M401+N401)))</x:f>
      </x:c>
      <x:c r="AF401" s="30" t="str">
        <x:f>IF(C401="","",IFERROR(INDEX('Facilities'!$S$9:$S$108,MATCH(C401,'Facilities'!$C$9:$C$108,0))*'Scenario Paths'!I75,"Unavailable"))</x:f>
      </x:c>
      <x:c r="AG401" s="23" t="str">
        <x:f>IF(C401="","",IF(AQ401&lt;&gt;"Ready","Unavailable",IF(C401="","",IF(H401&gt;0,MAX(0,H401-AK401)*((1+INDEX('Facilities'!$K$9:$K$108,MATCH(C401,'Facilities'!$C$9:$C$108,0)))^MIN(1,MAX(0,AC401+INDEX('Facilities'!$AK$9:$AK$108,MATCH(C401,'Facilities'!$C$9:$C$108,0))-D401+1))-1),0))))</x:f>
      </x:c>
      <x:c r="AH401" s="21" t="str">
        <x:f>IF(C401="","",IF(AQ401&lt;&gt;"Ready","Unavailable",IF(C401="","",O401+P401)))</x:f>
      </x:c>
      <x:c r="AI401" s="21" t="str">
        <x:f>IF(C401="","",IF(AQ401&lt;&gt;"Ready","Unavailable",IF(C401="","",Z401-Y401)))</x:f>
      </x:c>
      <x:c r="AJ401" s="23" t="str">
        <x:f>IF(C401="","",IFERROR(MAX(0,INDEX('Facilities'!$J$9:$J$108,MATCH(C401,'Facilities'!$C$9:$C$108,0))-D401),"Unavailable"))</x:f>
      </x:c>
      <x:c r="AK401" s="21" t="str">
        <x:f>IF(C401="","",IFERROR(AL301,"Unavailable"))</x:f>
      </x:c>
      <x:c r="AL401" s="23" t="str">
        <x:f>IF(C401="","",IFERROR(IF(P401&gt;0,P401*(1-AM401/(1+INDEX('Facilities'!$K$9:$K$108,MATCH(C401,'Facilities'!$C$9:$C$108,0)))^MAX(0,AC401+INDEX('Facilities'!$AK$9:$AK$108,MATCH(C401,'Facilities'!$C$9:$C$108,0))-D401)),0),"Unavailable"))</x:f>
      </x:c>
      <x:c r="AM401" s="30" t="str">
        <x:f>IF(C401="","",IFERROR(INDEX('Facilities'!$AL$9:$AL$108,MATCH(C401,'Facilities'!$C$9:$C$108,0)),"Unavailable"))</x:f>
      </x:c>
      <x:c r="AN401" s="30" t="str">
        <x:f>IF(C401="","",IFERROR(INDEX(Credit!$T$309:$T$408,MATCH(F401,Credit!$C$309:$C$408,0)),"Unavailable"))</x:f>
      </x:c>
      <x:c r="AO401" s="23" t="str">
        <x:f>IF(C401="","",IF(AQ401&lt;&gt;"Ready","Unavailable",IF(C401="","",O401+P401+Q401*INDEX('Facilities'!$I$9:$I$108,MATCH(C401,'Facilities'!$C$9:$C$108,0)))))</x:f>
      </x:c>
      <x:c r="AP401" s="21" t="str">
        <x:f>IF(C401="","",IF(AQ401&lt;&gt;"Ready","Unavailable",IF(C401="","",AH401-U401)))</x:f>
      </x:c>
      <x:c r="AQ401" s="23" t="str">
        <x:f>IFERROR(IF(C401="","",IF(AND(INDEX('Facilities'!$AF$9:$AF$108,MATCH(C401,'Facilities'!$C$9:$C$108,0))="Ready",INDEX(Credit!$U$309:$U$408,MATCH(F401,Credit!$C$309:$C$408,0))="Ready",ISNUMBER(W401)),"Ready","Review inputs")),"Review inputs")</x:f>
      </x:c>
      <x:c r="AR401" s="23" t="str">
        <x:f>IF(C401="","",IF(AQ401&lt;&gt;"Ready","Unavailable",IF(C401="","",IF(O401=0,0,(IF(AJ401&lt;=1,O401,O401*INDEX('Facilities'!$R$9:$R$108,MATCH(C401,'Facilities'!$C$9:$C$108,0)))+O401*INDEX('Facilities'!$T$9:$T$108,MATCH(C401,'Facilities'!$C$9:$C$108,0)))/12))))</x:f>
      </x:c>
    </x:row>
    <x:row r="402" ht="26" customHeight="1">
      <x:c r="A402" s="1"/>
      <x:c r="B402" s="1"/>
      <x:c r="C402" s="9" t="str">
        <x:f>IF(Facilities!C102="","",Facilities!C102)</x:f>
      </x:c>
      <x:c r="D402" s="3" t="n">
        <x:v>4</x:v>
      </x:c>
      <x:c r="E402" s="9" t="n">
        <x:f>Settings!$F$18+3</x:f>
        <x:v>2030</x:v>
      </x:c>
      <x:c r="F402" s="9" t="str">
        <x:f>IF(C402="","",IFERROR(INDEX('Facilities'!$D$9:$D$108,MATCH(C402,'Facilities'!$C$9:$C$108,0)),"Unavailable"))</x:f>
      </x:c>
      <x:c r="G402" s="21" t="str">
        <x:f>IF(C402="","",IFERROR(O302,"Unavailable"))</x:f>
      </x:c>
      <x:c r="H402" s="21" t="str">
        <x:f>IF(C402="","",IFERROR(P302,"Unavailable"))</x:f>
      </x:c>
      <x:c r="I402" s="21" t="str">
        <x:f>IF(C402="","",IFERROR(Q302,"Unavailable"))</x:f>
      </x:c>
      <x:c r="J402" s="23" t="str">
        <x:f>IF(C402="","",IFERROR(IF(OR(H402&gt;0,AND(AC402&gt;=0,AC402&lt;D402),D402&gt;INDEX('Facilities'!$J$9:$J$108,MATCH(C402,'Facilities'!$C$9:$C$108,0))),0,I402*'Scenario Paths'!I81),"Unavailable"))</x:f>
      </x:c>
      <x:c r="K402" s="23" t="str">
        <x:f>IF(C402="","",IFERROR(IF(OR(H402&gt;0,AND(AC402&gt;=0,AC402=D402)),0,IF(D402&gt;=INDEX('Facilities'!$J$9:$J$108,MATCH(C402,'Facilities'!$C$9:$C$108,0)),G402+J402,MIN(G402+J402,G402*INDEX('Facilities'!$R$9:$R$108,MATCH(C402,'Facilities'!$C$9:$C$108,0))))),"Unavailable"))</x:f>
      </x:c>
      <x:c r="L402" s="21" t="str">
        <x:f>IF(C402="","",IFERROR(IF(AND(AC402=D402,AC402&gt;0),MAX(0,G402+J402-K402),0),"Unavailable"))</x:f>
      </x:c>
      <x:c r="M402" s="23" t="str">
        <x:f>IF(C402="","",IFERROR(IF(AND(AC402&gt;=0,D402&gt;=AC402+INDEX('Facilities'!$AK$9:$AK$108,MATCH(C402,'Facilities'!$C$9:$C$108,0))),(H402+L402)*AM402,0),"Unavailable"))</x:f>
      </x:c>
      <x:c r="N402" s="23" t="str">
        <x:f>IF(C402="","",IFERROR(IF(AND(AC402&gt;=0,D402&gt;=AC402+INDEX('Facilities'!$AK$9:$AK$108,MATCH(C402,'Facilities'!$C$9:$C$108,0))),H402+L402-M402,0),"Unavailable"))</x:f>
      </x:c>
      <x:c r="O402" s="21" t="str">
        <x:f>IF(C402="","",IFERROR(MAX(0,G402+J402-K402-L402),"Unavailable"))</x:f>
      </x:c>
      <x:c r="P402" s="21" t="str">
        <x:f>IF(C402="","",IFERROR(MAX(0,H402+L402-M402-N402),"Unavailable"))</x:f>
      </x:c>
      <x:c r="Q402" s="23" t="str">
        <x:f>IF(C402="","",IFERROR(IF(OR(D402&gt;=INDEX('Facilities'!$J$9:$J$108,MATCH(C402,'Facilities'!$C$9:$C$108,0)),AND(AC402&gt;=0,AC402&lt;=D402)),0,MAX(0,I402-J402)),"Unavailable"))</x:f>
      </x:c>
      <x:c r="R402" s="30" t="str">
        <x:f>IF(C402="","",IFERROR(INDEX(Credit!$Q$309:$Q$408,MATCH(F402,Credit!$C$309:$C$408,0)),"Unavailable"))</x:f>
      </x:c>
      <x:c r="S402" s="30" t="str">
        <x:f>IF(C402="","",IFERROR(INDEX(Credit!$R$309:$R$408,MATCH(F402,Credit!$C$309:$C$408,0)),"Unavailable"))</x:f>
      </x:c>
      <x:c r="T402" s="23" t="str">
        <x:f>IF(C402="","",IFERROR(IF(P402&gt;0,3,IF(OR(INDEX('Facilities'!$AD$9:$AD$108,MATCH(C402,'Facilities'!$C$9:$C$108,0))=2,AND(R402&gt;=INDEX('Facilities'!$L$9:$L$108,MATCH(C402,'Facilities'!$C$9:$C$108,0))*Settings!$F$19,R402-INDEX('Facilities'!$L$9:$L$108,MATCH(C402,'Facilities'!$C$9:$C$108,0))&gt;=Settings!$F$20)),2,1)),"Unavailable"))</x:f>
      </x:c>
      <x:c r="U402" s="23" t="str">
        <x:f>IF(C402="","",IF(AQ402&lt;&gt;"Ready","Unavailable",IF(C402="","",O402*(1-(1-S402)/(1+INDEX('Facilities'!$K$9:$K$108,MATCH(C402,'Facilities'!$C$9:$C$108,0)))^INDEX('Facilities'!$AK$9:$AK$108,MATCH(C402,'Facilities'!$C$9:$C$108,0)))*R402/(1+INDEX('Facilities'!$K$9:$K$108,MATCH(C402,'Facilities'!$C$9:$C$108,0)))*IF(ABS(1-(1-R402)*(1-INDEX('Facilities'!$R$9:$R$108,MATCH(C402,'Facilities'!$C$9:$C$108,0)))/(1+INDEX('Facilities'!$K$9:$K$108,MATCH(C402,'Facilities'!$C$9:$C$108,0))))&lt;0.000000001,IF(T402=1,MIN(1,AJ402),AJ402),(1-((1-R402)*(1-INDEX('Facilities'!$R$9:$R$108,MATCH(C402,'Facilities'!$C$9:$C$108,0)))/(1+INDEX('Facilities'!$K$9:$K$108,MATCH(C402,'Facilities'!$C$9:$C$108,0))))^IF(T402=1,MIN(1,AJ402),AJ402))/(1-(1-R402)*(1-INDEX('Facilities'!$R$9:$R$108,MATCH(C402,'Facilities'!$C$9:$C$108,0)))/(1+INDEX('Facilities'!$K$9:$K$108,MATCH(C402,'Facilities'!$C$9:$C$108,0)))))+AL402)))</x:f>
      </x:c>
      <x:c r="V402" s="23" t="str">
        <x:f>IF(C402="","",IF(AQ402&lt;&gt;"Ready","Unavailable",IF(C402="","",Q402*INDEX('Facilities'!$I$9:$I$108,MATCH(C402,'Facilities'!$C$9:$C$108,0))*(1-(1-S402)/(1+INDEX('Facilities'!$K$9:$K$108,MATCH(C402,'Facilities'!$C$9:$C$108,0)))^INDEX('Facilities'!$AK$9:$AK$108,MATCH(C402,'Facilities'!$C$9:$C$108,0)))*R402/(1+INDEX('Facilities'!$K$9:$K$108,MATCH(C402,'Facilities'!$C$9:$C$108,0)))*IF(ABS(1-(1-R402)*(1-0)/(1+INDEX('Facilities'!$K$9:$K$108,MATCH(C402,'Facilities'!$C$9:$C$108,0))))&lt;0.000000001,IF(T402=1,MIN(1,AJ402),AJ402),(1-((1-R402)*(1-0)/(1+INDEX('Facilities'!$K$9:$K$108,MATCH(C402,'Facilities'!$C$9:$C$108,0))))^IF(T402=1,MIN(1,AJ402),AJ402))/(1-(1-R402)*(1-0)/(1+INDEX('Facilities'!$K$9:$K$108,MATCH(C402,'Facilities'!$C$9:$C$108,0))))))))</x:f>
      </x:c>
      <x:c r="W402" s="21" t="str">
        <x:f>IF(C402="","",IFERROR(U302,"Unavailable"))</x:f>
      </x:c>
      <x:c r="X402" s="21" t="str">
        <x:f>IF(C402="","",IFERROR(V302,"Unavailable"))</x:f>
      </x:c>
      <x:c r="Y402" s="21" t="str">
        <x:f>IF(C402="","",IF(AQ402&lt;&gt;"Ready","Unavailable",IF(C402="","",U402-W402+V402-X402+N402+AG402)))</x:f>
      </x:c>
      <x:c r="Z402" s="23" t="str">
        <x:f>IF(C402="","",IF(AQ402&lt;&gt;"Ready","Unavailable",IF(C402="","",(G402+O402+L402)/2*INDEX('Facilities'!$T$9:$T$108,MATCH(C402,'Facilities'!$C$9:$C$108,0))+AG402)))</x:f>
      </x:c>
      <x:c r="AA402" s="23" t="str">
        <x:f>IF(C402="","",IF(AQ402&lt;&gt;"Ready","Unavailable",IF(C402="","",O402*(1-IF(INDEX('Facilities'!$AA$9:$AA$108,MATCH(C402,'Facilities'!$C$9:$C$108,0))=0,0,MIN(1,INDEX('Facilities'!$X$9:$X$108,MATCH(C402,'Facilities'!$C$9:$C$108,0))/INDEX('Facilities'!$AA$9:$AA$108,MATCH(C402,'Facilities'!$C$9:$C$108,0)))))*AF402+P402*(1-IF(INDEX('Facilities'!$AA$9:$AA$108,MATCH(C402,'Facilities'!$C$9:$C$108,0))=0,0,MIN(1,INDEX('Facilities'!$X$9:$X$108,MATCH(C402,'Facilities'!$C$9:$C$108,0))/INDEX('Facilities'!$AA$9:$AA$108,MATCH(C402,'Facilities'!$C$9:$C$108,0)))))*INDEX('Facilities'!$AJ$9:$AJ$108,MATCH(C402,'Facilities'!$C$9:$C$108,0))+Q402*INDEX('Facilities'!$AI$9:$AI$108,MATCH(C402,'Facilities'!$C$9:$C$108,0))*AF402)))</x:f>
      </x:c>
      <x:c r="AB402" s="21" t="str">
        <x:f>IF(C402="","",O402+P402-AD402)</x:f>
      </x:c>
      <x:c r="AC402" s="23" t="str">
        <x:f>IF(C402="","",IFERROR(IF(INDEX('Facilities'!$AD$9:$AD$108,MATCH(C402,'Facilities'!$C$9:$C$108,0))=3,0,IF(INDEX('Facilities'!$AN$9:$AN$108,MATCH(C402,'Facilities'!$C$9:$C$108,0))=0,-1,INDEX('Facilities'!$AN$9:$AN$108,MATCH(C402,'Facilities'!$C$9:$C$108,0)))),"Unavailable"))</x:f>
      </x:c>
      <x:c r="AD402" s="21" t="str">
        <x:f>IF(C402="","",IFERROR(G402+H402,"Unavailable"))</x:f>
      </x:c>
      <x:c r="AE402" s="21" t="str">
        <x:f>IF(C402="","",IF(AQ402&lt;&gt;"Ready","Unavailable",IF(C402="","",O402+P402-AD402-J402+K402+M402+N402)))</x:f>
      </x:c>
      <x:c r="AF402" s="30" t="str">
        <x:f>IF(C402="","",IFERROR(INDEX('Facilities'!$S$9:$S$108,MATCH(C402,'Facilities'!$C$9:$C$108,0))*'Scenario Paths'!I75,"Unavailable"))</x:f>
      </x:c>
      <x:c r="AG402" s="23" t="str">
        <x:f>IF(C402="","",IF(AQ402&lt;&gt;"Ready","Unavailable",IF(C402="","",IF(H402&gt;0,MAX(0,H402-AK402)*((1+INDEX('Facilities'!$K$9:$K$108,MATCH(C402,'Facilities'!$C$9:$C$108,0)))^MIN(1,MAX(0,AC402+INDEX('Facilities'!$AK$9:$AK$108,MATCH(C402,'Facilities'!$C$9:$C$108,0))-D402+1))-1),0))))</x:f>
      </x:c>
      <x:c r="AH402" s="21" t="str">
        <x:f>IF(C402="","",IF(AQ402&lt;&gt;"Ready","Unavailable",IF(C402="","",O402+P402)))</x:f>
      </x:c>
      <x:c r="AI402" s="21" t="str">
        <x:f>IF(C402="","",IF(AQ402&lt;&gt;"Ready","Unavailable",IF(C402="","",Z402-Y402)))</x:f>
      </x:c>
      <x:c r="AJ402" s="23" t="str">
        <x:f>IF(C402="","",IFERROR(MAX(0,INDEX('Facilities'!$J$9:$J$108,MATCH(C402,'Facilities'!$C$9:$C$108,0))-D402),"Unavailable"))</x:f>
      </x:c>
      <x:c r="AK402" s="21" t="str">
        <x:f>IF(C402="","",IFERROR(AL302,"Unavailable"))</x:f>
      </x:c>
      <x:c r="AL402" s="23" t="str">
        <x:f>IF(C402="","",IFERROR(IF(P402&gt;0,P402*(1-AM402/(1+INDEX('Facilities'!$K$9:$K$108,MATCH(C402,'Facilities'!$C$9:$C$108,0)))^MAX(0,AC402+INDEX('Facilities'!$AK$9:$AK$108,MATCH(C402,'Facilities'!$C$9:$C$108,0))-D402)),0),"Unavailable"))</x:f>
      </x:c>
      <x:c r="AM402" s="30" t="str">
        <x:f>IF(C402="","",IFERROR(INDEX('Facilities'!$AL$9:$AL$108,MATCH(C402,'Facilities'!$C$9:$C$108,0)),"Unavailable"))</x:f>
      </x:c>
      <x:c r="AN402" s="30" t="str">
        <x:f>IF(C402="","",IFERROR(INDEX(Credit!$T$309:$T$408,MATCH(F402,Credit!$C$309:$C$408,0)),"Unavailable"))</x:f>
      </x:c>
      <x:c r="AO402" s="23" t="str">
        <x:f>IF(C402="","",IF(AQ402&lt;&gt;"Ready","Unavailable",IF(C402="","",O402+P402+Q402*INDEX('Facilities'!$I$9:$I$108,MATCH(C402,'Facilities'!$C$9:$C$108,0)))))</x:f>
      </x:c>
      <x:c r="AP402" s="21" t="str">
        <x:f>IF(C402="","",IF(AQ402&lt;&gt;"Ready","Unavailable",IF(C402="","",AH402-U402)))</x:f>
      </x:c>
      <x:c r="AQ402" s="23" t="str">
        <x:f>IFERROR(IF(C402="","",IF(AND(INDEX('Facilities'!$AF$9:$AF$108,MATCH(C402,'Facilities'!$C$9:$C$108,0))="Ready",INDEX(Credit!$U$309:$U$408,MATCH(F402,Credit!$C$309:$C$408,0))="Ready",ISNUMBER(W402)),"Ready","Review inputs")),"Review inputs")</x:f>
      </x:c>
      <x:c r="AR402" s="23" t="str">
        <x:f>IF(C402="","",IF(AQ402&lt;&gt;"Ready","Unavailable",IF(C402="","",IF(O402=0,0,(IF(AJ402&lt;=1,O402,O402*INDEX('Facilities'!$R$9:$R$108,MATCH(C402,'Facilities'!$C$9:$C$108,0)))+O402*INDEX('Facilities'!$T$9:$T$108,MATCH(C402,'Facilities'!$C$9:$C$108,0)))/12))))</x:f>
      </x:c>
    </x:row>
    <x:row r="403" ht="26" customHeight="1">
      <x:c r="A403" s="1"/>
      <x:c r="B403" s="1"/>
      <x:c r="C403" s="9" t="str">
        <x:f>IF(Facilities!C103="","",Facilities!C103)</x:f>
      </x:c>
      <x:c r="D403" s="3" t="n">
        <x:v>4</x:v>
      </x:c>
      <x:c r="E403" s="9" t="n">
        <x:f>Settings!$F$18+3</x:f>
        <x:v>2030</x:v>
      </x:c>
      <x:c r="F403" s="9" t="str">
        <x:f>IF(C403="","",IFERROR(INDEX('Facilities'!$D$9:$D$108,MATCH(C403,'Facilities'!$C$9:$C$108,0)),"Unavailable"))</x:f>
      </x:c>
      <x:c r="G403" s="21" t="str">
        <x:f>IF(C403="","",IFERROR(O303,"Unavailable"))</x:f>
      </x:c>
      <x:c r="H403" s="21" t="str">
        <x:f>IF(C403="","",IFERROR(P303,"Unavailable"))</x:f>
      </x:c>
      <x:c r="I403" s="21" t="str">
        <x:f>IF(C403="","",IFERROR(Q303,"Unavailable"))</x:f>
      </x:c>
      <x:c r="J403" s="23" t="str">
        <x:f>IF(C403="","",IFERROR(IF(OR(H403&gt;0,AND(AC403&gt;=0,AC403&lt;D403),D403&gt;INDEX('Facilities'!$J$9:$J$108,MATCH(C403,'Facilities'!$C$9:$C$108,0))),0,I403*'Scenario Paths'!I81),"Unavailable"))</x:f>
      </x:c>
      <x:c r="K403" s="23" t="str">
        <x:f>IF(C403="","",IFERROR(IF(OR(H403&gt;0,AND(AC403&gt;=0,AC403=D403)),0,IF(D403&gt;=INDEX('Facilities'!$J$9:$J$108,MATCH(C403,'Facilities'!$C$9:$C$108,0)),G403+J403,MIN(G403+J403,G403*INDEX('Facilities'!$R$9:$R$108,MATCH(C403,'Facilities'!$C$9:$C$108,0))))),"Unavailable"))</x:f>
      </x:c>
      <x:c r="L403" s="21" t="str">
        <x:f>IF(C403="","",IFERROR(IF(AND(AC403=D403,AC403&gt;0),MAX(0,G403+J403-K403),0),"Unavailable"))</x:f>
      </x:c>
      <x:c r="M403" s="23" t="str">
        <x:f>IF(C403="","",IFERROR(IF(AND(AC403&gt;=0,D403&gt;=AC403+INDEX('Facilities'!$AK$9:$AK$108,MATCH(C403,'Facilities'!$C$9:$C$108,0))),(H403+L403)*AM403,0),"Unavailable"))</x:f>
      </x:c>
      <x:c r="N403" s="23" t="str">
        <x:f>IF(C403="","",IFERROR(IF(AND(AC403&gt;=0,D403&gt;=AC403+INDEX('Facilities'!$AK$9:$AK$108,MATCH(C403,'Facilities'!$C$9:$C$108,0))),H403+L403-M403,0),"Unavailable"))</x:f>
      </x:c>
      <x:c r="O403" s="21" t="str">
        <x:f>IF(C403="","",IFERROR(MAX(0,G403+J403-K403-L403),"Unavailable"))</x:f>
      </x:c>
      <x:c r="P403" s="21" t="str">
        <x:f>IF(C403="","",IFERROR(MAX(0,H403+L403-M403-N403),"Unavailable"))</x:f>
      </x:c>
      <x:c r="Q403" s="23" t="str">
        <x:f>IF(C403="","",IFERROR(IF(OR(D403&gt;=INDEX('Facilities'!$J$9:$J$108,MATCH(C403,'Facilities'!$C$9:$C$108,0)),AND(AC403&gt;=0,AC403&lt;=D403)),0,MAX(0,I403-J403)),"Unavailable"))</x:f>
      </x:c>
      <x:c r="R403" s="30" t="str">
        <x:f>IF(C403="","",IFERROR(INDEX(Credit!$Q$309:$Q$408,MATCH(F403,Credit!$C$309:$C$408,0)),"Unavailable"))</x:f>
      </x:c>
      <x:c r="S403" s="30" t="str">
        <x:f>IF(C403="","",IFERROR(INDEX(Credit!$R$309:$R$408,MATCH(F403,Credit!$C$309:$C$408,0)),"Unavailable"))</x:f>
      </x:c>
      <x:c r="T403" s="23" t="str">
        <x:f>IF(C403="","",IFERROR(IF(P403&gt;0,3,IF(OR(INDEX('Facilities'!$AD$9:$AD$108,MATCH(C403,'Facilities'!$C$9:$C$108,0))=2,AND(R403&gt;=INDEX('Facilities'!$L$9:$L$108,MATCH(C403,'Facilities'!$C$9:$C$108,0))*Settings!$F$19,R403-INDEX('Facilities'!$L$9:$L$108,MATCH(C403,'Facilities'!$C$9:$C$108,0))&gt;=Settings!$F$20)),2,1)),"Unavailable"))</x:f>
      </x:c>
      <x:c r="U403" s="23" t="str">
        <x:f>IF(C403="","",IF(AQ403&lt;&gt;"Ready","Unavailable",IF(C403="","",O403*(1-(1-S403)/(1+INDEX('Facilities'!$K$9:$K$108,MATCH(C403,'Facilities'!$C$9:$C$108,0)))^INDEX('Facilities'!$AK$9:$AK$108,MATCH(C403,'Facilities'!$C$9:$C$108,0)))*R403/(1+INDEX('Facilities'!$K$9:$K$108,MATCH(C403,'Facilities'!$C$9:$C$108,0)))*IF(ABS(1-(1-R403)*(1-INDEX('Facilities'!$R$9:$R$108,MATCH(C403,'Facilities'!$C$9:$C$108,0)))/(1+INDEX('Facilities'!$K$9:$K$108,MATCH(C403,'Facilities'!$C$9:$C$108,0))))&lt;0.000000001,IF(T403=1,MIN(1,AJ403),AJ403),(1-((1-R403)*(1-INDEX('Facilities'!$R$9:$R$108,MATCH(C403,'Facilities'!$C$9:$C$108,0)))/(1+INDEX('Facilities'!$K$9:$K$108,MATCH(C403,'Facilities'!$C$9:$C$108,0))))^IF(T403=1,MIN(1,AJ403),AJ403))/(1-(1-R403)*(1-INDEX('Facilities'!$R$9:$R$108,MATCH(C403,'Facilities'!$C$9:$C$108,0)))/(1+INDEX('Facilities'!$K$9:$K$108,MATCH(C403,'Facilities'!$C$9:$C$108,0)))))+AL403)))</x:f>
      </x:c>
      <x:c r="V403" s="23" t="str">
        <x:f>IF(C403="","",IF(AQ403&lt;&gt;"Ready","Unavailable",IF(C403="","",Q403*INDEX('Facilities'!$I$9:$I$108,MATCH(C403,'Facilities'!$C$9:$C$108,0))*(1-(1-S403)/(1+INDEX('Facilities'!$K$9:$K$108,MATCH(C403,'Facilities'!$C$9:$C$108,0)))^INDEX('Facilities'!$AK$9:$AK$108,MATCH(C403,'Facilities'!$C$9:$C$108,0)))*R403/(1+INDEX('Facilities'!$K$9:$K$108,MATCH(C403,'Facilities'!$C$9:$C$108,0)))*IF(ABS(1-(1-R403)*(1-0)/(1+INDEX('Facilities'!$K$9:$K$108,MATCH(C403,'Facilities'!$C$9:$C$108,0))))&lt;0.000000001,IF(T403=1,MIN(1,AJ403),AJ403),(1-((1-R403)*(1-0)/(1+INDEX('Facilities'!$K$9:$K$108,MATCH(C403,'Facilities'!$C$9:$C$108,0))))^IF(T403=1,MIN(1,AJ403),AJ403))/(1-(1-R403)*(1-0)/(1+INDEX('Facilities'!$K$9:$K$108,MATCH(C403,'Facilities'!$C$9:$C$108,0))))))))</x:f>
      </x:c>
      <x:c r="W403" s="21" t="str">
        <x:f>IF(C403="","",IFERROR(U303,"Unavailable"))</x:f>
      </x:c>
      <x:c r="X403" s="21" t="str">
        <x:f>IF(C403="","",IFERROR(V303,"Unavailable"))</x:f>
      </x:c>
      <x:c r="Y403" s="21" t="str">
        <x:f>IF(C403="","",IF(AQ403&lt;&gt;"Ready","Unavailable",IF(C403="","",U403-W403+V403-X403+N403+AG403)))</x:f>
      </x:c>
      <x:c r="Z403" s="23" t="str">
        <x:f>IF(C403="","",IF(AQ403&lt;&gt;"Ready","Unavailable",IF(C403="","",(G403+O403+L403)/2*INDEX('Facilities'!$T$9:$T$108,MATCH(C403,'Facilities'!$C$9:$C$108,0))+AG403)))</x:f>
      </x:c>
      <x:c r="AA403" s="23" t="str">
        <x:f>IF(C403="","",IF(AQ403&lt;&gt;"Ready","Unavailable",IF(C403="","",O403*(1-IF(INDEX('Facilities'!$AA$9:$AA$108,MATCH(C403,'Facilities'!$C$9:$C$108,0))=0,0,MIN(1,INDEX('Facilities'!$X$9:$X$108,MATCH(C403,'Facilities'!$C$9:$C$108,0))/INDEX('Facilities'!$AA$9:$AA$108,MATCH(C403,'Facilities'!$C$9:$C$108,0)))))*AF403+P403*(1-IF(INDEX('Facilities'!$AA$9:$AA$108,MATCH(C403,'Facilities'!$C$9:$C$108,0))=0,0,MIN(1,INDEX('Facilities'!$X$9:$X$108,MATCH(C403,'Facilities'!$C$9:$C$108,0))/INDEX('Facilities'!$AA$9:$AA$108,MATCH(C403,'Facilities'!$C$9:$C$108,0)))))*INDEX('Facilities'!$AJ$9:$AJ$108,MATCH(C403,'Facilities'!$C$9:$C$108,0))+Q403*INDEX('Facilities'!$AI$9:$AI$108,MATCH(C403,'Facilities'!$C$9:$C$108,0))*AF403)))</x:f>
      </x:c>
      <x:c r="AB403" s="21" t="str">
        <x:f>IF(C403="","",O403+P403-AD403)</x:f>
      </x:c>
      <x:c r="AC403" s="23" t="str">
        <x:f>IF(C403="","",IFERROR(IF(INDEX('Facilities'!$AD$9:$AD$108,MATCH(C403,'Facilities'!$C$9:$C$108,0))=3,0,IF(INDEX('Facilities'!$AN$9:$AN$108,MATCH(C403,'Facilities'!$C$9:$C$108,0))=0,-1,INDEX('Facilities'!$AN$9:$AN$108,MATCH(C403,'Facilities'!$C$9:$C$108,0)))),"Unavailable"))</x:f>
      </x:c>
      <x:c r="AD403" s="21" t="str">
        <x:f>IF(C403="","",IFERROR(G403+H403,"Unavailable"))</x:f>
      </x:c>
      <x:c r="AE403" s="21" t="str">
        <x:f>IF(C403="","",IF(AQ403&lt;&gt;"Ready","Unavailable",IF(C403="","",O403+P403-AD403-J403+K403+M403+N403)))</x:f>
      </x:c>
      <x:c r="AF403" s="30" t="str">
        <x:f>IF(C403="","",IFERROR(INDEX('Facilities'!$S$9:$S$108,MATCH(C403,'Facilities'!$C$9:$C$108,0))*'Scenario Paths'!I75,"Unavailable"))</x:f>
      </x:c>
      <x:c r="AG403" s="23" t="str">
        <x:f>IF(C403="","",IF(AQ403&lt;&gt;"Ready","Unavailable",IF(C403="","",IF(H403&gt;0,MAX(0,H403-AK403)*((1+INDEX('Facilities'!$K$9:$K$108,MATCH(C403,'Facilities'!$C$9:$C$108,0)))^MIN(1,MAX(0,AC403+INDEX('Facilities'!$AK$9:$AK$108,MATCH(C403,'Facilities'!$C$9:$C$108,0))-D403+1))-1),0))))</x:f>
      </x:c>
      <x:c r="AH403" s="21" t="str">
        <x:f>IF(C403="","",IF(AQ403&lt;&gt;"Ready","Unavailable",IF(C403="","",O403+P403)))</x:f>
      </x:c>
      <x:c r="AI403" s="21" t="str">
        <x:f>IF(C403="","",IF(AQ403&lt;&gt;"Ready","Unavailable",IF(C403="","",Z403-Y403)))</x:f>
      </x:c>
      <x:c r="AJ403" s="23" t="str">
        <x:f>IF(C403="","",IFERROR(MAX(0,INDEX('Facilities'!$J$9:$J$108,MATCH(C403,'Facilities'!$C$9:$C$108,0))-D403),"Unavailable"))</x:f>
      </x:c>
      <x:c r="AK403" s="21" t="str">
        <x:f>IF(C403="","",IFERROR(AL303,"Unavailable"))</x:f>
      </x:c>
      <x:c r="AL403" s="23" t="str">
        <x:f>IF(C403="","",IFERROR(IF(P403&gt;0,P403*(1-AM403/(1+INDEX('Facilities'!$K$9:$K$108,MATCH(C403,'Facilities'!$C$9:$C$108,0)))^MAX(0,AC403+INDEX('Facilities'!$AK$9:$AK$108,MATCH(C403,'Facilities'!$C$9:$C$108,0))-D403)),0),"Unavailable"))</x:f>
      </x:c>
      <x:c r="AM403" s="30" t="str">
        <x:f>IF(C403="","",IFERROR(INDEX('Facilities'!$AL$9:$AL$108,MATCH(C403,'Facilities'!$C$9:$C$108,0)),"Unavailable"))</x:f>
      </x:c>
      <x:c r="AN403" s="30" t="str">
        <x:f>IF(C403="","",IFERROR(INDEX(Credit!$T$309:$T$408,MATCH(F403,Credit!$C$309:$C$408,0)),"Unavailable"))</x:f>
      </x:c>
      <x:c r="AO403" s="23" t="str">
        <x:f>IF(C403="","",IF(AQ403&lt;&gt;"Ready","Unavailable",IF(C403="","",O403+P403+Q403*INDEX('Facilities'!$I$9:$I$108,MATCH(C403,'Facilities'!$C$9:$C$108,0)))))</x:f>
      </x:c>
      <x:c r="AP403" s="21" t="str">
        <x:f>IF(C403="","",IF(AQ403&lt;&gt;"Ready","Unavailable",IF(C403="","",AH403-U403)))</x:f>
      </x:c>
      <x:c r="AQ403" s="23" t="str">
        <x:f>IFERROR(IF(C403="","",IF(AND(INDEX('Facilities'!$AF$9:$AF$108,MATCH(C403,'Facilities'!$C$9:$C$108,0))="Ready",INDEX(Credit!$U$309:$U$408,MATCH(F403,Credit!$C$309:$C$408,0))="Ready",ISNUMBER(W403)),"Ready","Review inputs")),"Review inputs")</x:f>
      </x:c>
      <x:c r="AR403" s="23" t="str">
        <x:f>IF(C403="","",IF(AQ403&lt;&gt;"Ready","Unavailable",IF(C403="","",IF(O403=0,0,(IF(AJ403&lt;=1,O403,O403*INDEX('Facilities'!$R$9:$R$108,MATCH(C403,'Facilities'!$C$9:$C$108,0)))+O403*INDEX('Facilities'!$T$9:$T$108,MATCH(C403,'Facilities'!$C$9:$C$108,0)))/12))))</x:f>
      </x:c>
    </x:row>
    <x:row r="404" ht="26" customHeight="1">
      <x:c r="A404" s="1"/>
      <x:c r="B404" s="1"/>
      <x:c r="C404" s="9" t="str">
        <x:f>IF(Facilities!C104="","",Facilities!C104)</x:f>
      </x:c>
      <x:c r="D404" s="3" t="n">
        <x:v>4</x:v>
      </x:c>
      <x:c r="E404" s="9" t="n">
        <x:f>Settings!$F$18+3</x:f>
        <x:v>2030</x:v>
      </x:c>
      <x:c r="F404" s="9" t="str">
        <x:f>IF(C404="","",IFERROR(INDEX('Facilities'!$D$9:$D$108,MATCH(C404,'Facilities'!$C$9:$C$108,0)),"Unavailable"))</x:f>
      </x:c>
      <x:c r="G404" s="21" t="str">
        <x:f>IF(C404="","",IFERROR(O304,"Unavailable"))</x:f>
      </x:c>
      <x:c r="H404" s="21" t="str">
        <x:f>IF(C404="","",IFERROR(P304,"Unavailable"))</x:f>
      </x:c>
      <x:c r="I404" s="21" t="str">
        <x:f>IF(C404="","",IFERROR(Q304,"Unavailable"))</x:f>
      </x:c>
      <x:c r="J404" s="23" t="str">
        <x:f>IF(C404="","",IFERROR(IF(OR(H404&gt;0,AND(AC404&gt;=0,AC404&lt;D404),D404&gt;INDEX('Facilities'!$J$9:$J$108,MATCH(C404,'Facilities'!$C$9:$C$108,0))),0,I404*'Scenario Paths'!I81),"Unavailable"))</x:f>
      </x:c>
      <x:c r="K404" s="23" t="str">
        <x:f>IF(C404="","",IFERROR(IF(OR(H404&gt;0,AND(AC404&gt;=0,AC404=D404)),0,IF(D404&gt;=INDEX('Facilities'!$J$9:$J$108,MATCH(C404,'Facilities'!$C$9:$C$108,0)),G404+J404,MIN(G404+J404,G404*INDEX('Facilities'!$R$9:$R$108,MATCH(C404,'Facilities'!$C$9:$C$108,0))))),"Unavailable"))</x:f>
      </x:c>
      <x:c r="L404" s="21" t="str">
        <x:f>IF(C404="","",IFERROR(IF(AND(AC404=D404,AC404&gt;0),MAX(0,G404+J404-K404),0),"Unavailable"))</x:f>
      </x:c>
      <x:c r="M404" s="23" t="str">
        <x:f>IF(C404="","",IFERROR(IF(AND(AC404&gt;=0,D404&gt;=AC404+INDEX('Facilities'!$AK$9:$AK$108,MATCH(C404,'Facilities'!$C$9:$C$108,0))),(H404+L404)*AM404,0),"Unavailable"))</x:f>
      </x:c>
      <x:c r="N404" s="23" t="str">
        <x:f>IF(C404="","",IFERROR(IF(AND(AC404&gt;=0,D404&gt;=AC404+INDEX('Facilities'!$AK$9:$AK$108,MATCH(C404,'Facilities'!$C$9:$C$108,0))),H404+L404-M404,0),"Unavailable"))</x:f>
      </x:c>
      <x:c r="O404" s="21" t="str">
        <x:f>IF(C404="","",IFERROR(MAX(0,G404+J404-K404-L404),"Unavailable"))</x:f>
      </x:c>
      <x:c r="P404" s="21" t="str">
        <x:f>IF(C404="","",IFERROR(MAX(0,H404+L404-M404-N404),"Unavailable"))</x:f>
      </x:c>
      <x:c r="Q404" s="23" t="str">
        <x:f>IF(C404="","",IFERROR(IF(OR(D404&gt;=INDEX('Facilities'!$J$9:$J$108,MATCH(C404,'Facilities'!$C$9:$C$108,0)),AND(AC404&gt;=0,AC404&lt;=D404)),0,MAX(0,I404-J404)),"Unavailable"))</x:f>
      </x:c>
      <x:c r="R404" s="30" t="str">
        <x:f>IF(C404="","",IFERROR(INDEX(Credit!$Q$309:$Q$408,MATCH(F404,Credit!$C$309:$C$408,0)),"Unavailable"))</x:f>
      </x:c>
      <x:c r="S404" s="30" t="str">
        <x:f>IF(C404="","",IFERROR(INDEX(Credit!$R$309:$R$408,MATCH(F404,Credit!$C$309:$C$408,0)),"Unavailable"))</x:f>
      </x:c>
      <x:c r="T404" s="23" t="str">
        <x:f>IF(C404="","",IFERROR(IF(P404&gt;0,3,IF(OR(INDEX('Facilities'!$AD$9:$AD$108,MATCH(C404,'Facilities'!$C$9:$C$108,0))=2,AND(R404&gt;=INDEX('Facilities'!$L$9:$L$108,MATCH(C404,'Facilities'!$C$9:$C$108,0))*Settings!$F$19,R404-INDEX('Facilities'!$L$9:$L$108,MATCH(C404,'Facilities'!$C$9:$C$108,0))&gt;=Settings!$F$20)),2,1)),"Unavailable"))</x:f>
      </x:c>
      <x:c r="U404" s="23" t="str">
        <x:f>IF(C404="","",IF(AQ404&lt;&gt;"Ready","Unavailable",IF(C404="","",O404*(1-(1-S404)/(1+INDEX('Facilities'!$K$9:$K$108,MATCH(C404,'Facilities'!$C$9:$C$108,0)))^INDEX('Facilities'!$AK$9:$AK$108,MATCH(C404,'Facilities'!$C$9:$C$108,0)))*R404/(1+INDEX('Facilities'!$K$9:$K$108,MATCH(C404,'Facilities'!$C$9:$C$108,0)))*IF(ABS(1-(1-R404)*(1-INDEX('Facilities'!$R$9:$R$108,MATCH(C404,'Facilities'!$C$9:$C$108,0)))/(1+INDEX('Facilities'!$K$9:$K$108,MATCH(C404,'Facilities'!$C$9:$C$108,0))))&lt;0.000000001,IF(T404=1,MIN(1,AJ404),AJ404),(1-((1-R404)*(1-INDEX('Facilities'!$R$9:$R$108,MATCH(C404,'Facilities'!$C$9:$C$108,0)))/(1+INDEX('Facilities'!$K$9:$K$108,MATCH(C404,'Facilities'!$C$9:$C$108,0))))^IF(T404=1,MIN(1,AJ404),AJ404))/(1-(1-R404)*(1-INDEX('Facilities'!$R$9:$R$108,MATCH(C404,'Facilities'!$C$9:$C$108,0)))/(1+INDEX('Facilities'!$K$9:$K$108,MATCH(C404,'Facilities'!$C$9:$C$108,0)))))+AL404)))</x:f>
      </x:c>
      <x:c r="V404" s="23" t="str">
        <x:f>IF(C404="","",IF(AQ404&lt;&gt;"Ready","Unavailable",IF(C404="","",Q404*INDEX('Facilities'!$I$9:$I$108,MATCH(C404,'Facilities'!$C$9:$C$108,0))*(1-(1-S404)/(1+INDEX('Facilities'!$K$9:$K$108,MATCH(C404,'Facilities'!$C$9:$C$108,0)))^INDEX('Facilities'!$AK$9:$AK$108,MATCH(C404,'Facilities'!$C$9:$C$108,0)))*R404/(1+INDEX('Facilities'!$K$9:$K$108,MATCH(C404,'Facilities'!$C$9:$C$108,0)))*IF(ABS(1-(1-R404)*(1-0)/(1+INDEX('Facilities'!$K$9:$K$108,MATCH(C404,'Facilities'!$C$9:$C$108,0))))&lt;0.000000001,IF(T404=1,MIN(1,AJ404),AJ404),(1-((1-R404)*(1-0)/(1+INDEX('Facilities'!$K$9:$K$108,MATCH(C404,'Facilities'!$C$9:$C$108,0))))^IF(T404=1,MIN(1,AJ404),AJ404))/(1-(1-R404)*(1-0)/(1+INDEX('Facilities'!$K$9:$K$108,MATCH(C404,'Facilities'!$C$9:$C$108,0))))))))</x:f>
      </x:c>
      <x:c r="W404" s="21" t="str">
        <x:f>IF(C404="","",IFERROR(U304,"Unavailable"))</x:f>
      </x:c>
      <x:c r="X404" s="21" t="str">
        <x:f>IF(C404="","",IFERROR(V304,"Unavailable"))</x:f>
      </x:c>
      <x:c r="Y404" s="21" t="str">
        <x:f>IF(C404="","",IF(AQ404&lt;&gt;"Ready","Unavailable",IF(C404="","",U404-W404+V404-X404+N404+AG404)))</x:f>
      </x:c>
      <x:c r="Z404" s="23" t="str">
        <x:f>IF(C404="","",IF(AQ404&lt;&gt;"Ready","Unavailable",IF(C404="","",(G404+O404+L404)/2*INDEX('Facilities'!$T$9:$T$108,MATCH(C404,'Facilities'!$C$9:$C$108,0))+AG404)))</x:f>
      </x:c>
      <x:c r="AA404" s="23" t="str">
        <x:f>IF(C404="","",IF(AQ404&lt;&gt;"Ready","Unavailable",IF(C404="","",O404*(1-IF(INDEX('Facilities'!$AA$9:$AA$108,MATCH(C404,'Facilities'!$C$9:$C$108,0))=0,0,MIN(1,INDEX('Facilities'!$X$9:$X$108,MATCH(C404,'Facilities'!$C$9:$C$108,0))/INDEX('Facilities'!$AA$9:$AA$108,MATCH(C404,'Facilities'!$C$9:$C$108,0)))))*AF404+P404*(1-IF(INDEX('Facilities'!$AA$9:$AA$108,MATCH(C404,'Facilities'!$C$9:$C$108,0))=0,0,MIN(1,INDEX('Facilities'!$X$9:$X$108,MATCH(C404,'Facilities'!$C$9:$C$108,0))/INDEX('Facilities'!$AA$9:$AA$108,MATCH(C404,'Facilities'!$C$9:$C$108,0)))))*INDEX('Facilities'!$AJ$9:$AJ$108,MATCH(C404,'Facilities'!$C$9:$C$108,0))+Q404*INDEX('Facilities'!$AI$9:$AI$108,MATCH(C404,'Facilities'!$C$9:$C$108,0))*AF404)))</x:f>
      </x:c>
      <x:c r="AB404" s="21" t="str">
        <x:f>IF(C404="","",O404+P404-AD404)</x:f>
      </x:c>
      <x:c r="AC404" s="23" t="str">
        <x:f>IF(C404="","",IFERROR(IF(INDEX('Facilities'!$AD$9:$AD$108,MATCH(C404,'Facilities'!$C$9:$C$108,0))=3,0,IF(INDEX('Facilities'!$AN$9:$AN$108,MATCH(C404,'Facilities'!$C$9:$C$108,0))=0,-1,INDEX('Facilities'!$AN$9:$AN$108,MATCH(C404,'Facilities'!$C$9:$C$108,0)))),"Unavailable"))</x:f>
      </x:c>
      <x:c r="AD404" s="21" t="str">
        <x:f>IF(C404="","",IFERROR(G404+H404,"Unavailable"))</x:f>
      </x:c>
      <x:c r="AE404" s="21" t="str">
        <x:f>IF(C404="","",IF(AQ404&lt;&gt;"Ready","Unavailable",IF(C404="","",O404+P404-AD404-J404+K404+M404+N404)))</x:f>
      </x:c>
      <x:c r="AF404" s="30" t="str">
        <x:f>IF(C404="","",IFERROR(INDEX('Facilities'!$S$9:$S$108,MATCH(C404,'Facilities'!$C$9:$C$108,0))*'Scenario Paths'!I75,"Unavailable"))</x:f>
      </x:c>
      <x:c r="AG404" s="23" t="str">
        <x:f>IF(C404="","",IF(AQ404&lt;&gt;"Ready","Unavailable",IF(C404="","",IF(H404&gt;0,MAX(0,H404-AK404)*((1+INDEX('Facilities'!$K$9:$K$108,MATCH(C404,'Facilities'!$C$9:$C$108,0)))^MIN(1,MAX(0,AC404+INDEX('Facilities'!$AK$9:$AK$108,MATCH(C404,'Facilities'!$C$9:$C$108,0))-D404+1))-1),0))))</x:f>
      </x:c>
      <x:c r="AH404" s="21" t="str">
        <x:f>IF(C404="","",IF(AQ404&lt;&gt;"Ready","Unavailable",IF(C404="","",O404+P404)))</x:f>
      </x:c>
      <x:c r="AI404" s="21" t="str">
        <x:f>IF(C404="","",IF(AQ404&lt;&gt;"Ready","Unavailable",IF(C404="","",Z404-Y404)))</x:f>
      </x:c>
      <x:c r="AJ404" s="23" t="str">
        <x:f>IF(C404="","",IFERROR(MAX(0,INDEX('Facilities'!$J$9:$J$108,MATCH(C404,'Facilities'!$C$9:$C$108,0))-D404),"Unavailable"))</x:f>
      </x:c>
      <x:c r="AK404" s="21" t="str">
        <x:f>IF(C404="","",IFERROR(AL304,"Unavailable"))</x:f>
      </x:c>
      <x:c r="AL404" s="23" t="str">
        <x:f>IF(C404="","",IFERROR(IF(P404&gt;0,P404*(1-AM404/(1+INDEX('Facilities'!$K$9:$K$108,MATCH(C404,'Facilities'!$C$9:$C$108,0)))^MAX(0,AC404+INDEX('Facilities'!$AK$9:$AK$108,MATCH(C404,'Facilities'!$C$9:$C$108,0))-D404)),0),"Unavailable"))</x:f>
      </x:c>
      <x:c r="AM404" s="30" t="str">
        <x:f>IF(C404="","",IFERROR(INDEX('Facilities'!$AL$9:$AL$108,MATCH(C404,'Facilities'!$C$9:$C$108,0)),"Unavailable"))</x:f>
      </x:c>
      <x:c r="AN404" s="30" t="str">
        <x:f>IF(C404="","",IFERROR(INDEX(Credit!$T$309:$T$408,MATCH(F404,Credit!$C$309:$C$408,0)),"Unavailable"))</x:f>
      </x:c>
      <x:c r="AO404" s="23" t="str">
        <x:f>IF(C404="","",IF(AQ404&lt;&gt;"Ready","Unavailable",IF(C404="","",O404+P404+Q404*INDEX('Facilities'!$I$9:$I$108,MATCH(C404,'Facilities'!$C$9:$C$108,0)))))</x:f>
      </x:c>
      <x:c r="AP404" s="21" t="str">
        <x:f>IF(C404="","",IF(AQ404&lt;&gt;"Ready","Unavailable",IF(C404="","",AH404-U404)))</x:f>
      </x:c>
      <x:c r="AQ404" s="23" t="str">
        <x:f>IFERROR(IF(C404="","",IF(AND(INDEX('Facilities'!$AF$9:$AF$108,MATCH(C404,'Facilities'!$C$9:$C$108,0))="Ready",INDEX(Credit!$U$309:$U$408,MATCH(F404,Credit!$C$309:$C$408,0))="Ready",ISNUMBER(W404)),"Ready","Review inputs")),"Review inputs")</x:f>
      </x:c>
      <x:c r="AR404" s="23" t="str">
        <x:f>IF(C404="","",IF(AQ404&lt;&gt;"Ready","Unavailable",IF(C404="","",IF(O404=0,0,(IF(AJ404&lt;=1,O404,O404*INDEX('Facilities'!$R$9:$R$108,MATCH(C404,'Facilities'!$C$9:$C$108,0)))+O404*INDEX('Facilities'!$T$9:$T$108,MATCH(C404,'Facilities'!$C$9:$C$108,0)))/12))))</x:f>
      </x:c>
    </x:row>
    <x:row r="405" ht="26" customHeight="1">
      <x:c r="A405" s="1"/>
      <x:c r="B405" s="1"/>
      <x:c r="C405" s="9" t="str">
        <x:f>IF(Facilities!C105="","",Facilities!C105)</x:f>
      </x:c>
      <x:c r="D405" s="3" t="n">
        <x:v>4</x:v>
      </x:c>
      <x:c r="E405" s="9" t="n">
        <x:f>Settings!$F$18+3</x:f>
        <x:v>2030</x:v>
      </x:c>
      <x:c r="F405" s="9" t="str">
        <x:f>IF(C405="","",IFERROR(INDEX('Facilities'!$D$9:$D$108,MATCH(C405,'Facilities'!$C$9:$C$108,0)),"Unavailable"))</x:f>
      </x:c>
      <x:c r="G405" s="21" t="str">
        <x:f>IF(C405="","",IFERROR(O305,"Unavailable"))</x:f>
      </x:c>
      <x:c r="H405" s="21" t="str">
        <x:f>IF(C405="","",IFERROR(P305,"Unavailable"))</x:f>
      </x:c>
      <x:c r="I405" s="21" t="str">
        <x:f>IF(C405="","",IFERROR(Q305,"Unavailable"))</x:f>
      </x:c>
      <x:c r="J405" s="23" t="str">
        <x:f>IF(C405="","",IFERROR(IF(OR(H405&gt;0,AND(AC405&gt;=0,AC405&lt;D405),D405&gt;INDEX('Facilities'!$J$9:$J$108,MATCH(C405,'Facilities'!$C$9:$C$108,0))),0,I405*'Scenario Paths'!I81),"Unavailable"))</x:f>
      </x:c>
      <x:c r="K405" s="23" t="str">
        <x:f>IF(C405="","",IFERROR(IF(OR(H405&gt;0,AND(AC405&gt;=0,AC405=D405)),0,IF(D405&gt;=INDEX('Facilities'!$J$9:$J$108,MATCH(C405,'Facilities'!$C$9:$C$108,0)),G405+J405,MIN(G405+J405,G405*INDEX('Facilities'!$R$9:$R$108,MATCH(C405,'Facilities'!$C$9:$C$108,0))))),"Unavailable"))</x:f>
      </x:c>
      <x:c r="L405" s="21" t="str">
        <x:f>IF(C405="","",IFERROR(IF(AND(AC405=D405,AC405&gt;0),MAX(0,G405+J405-K405),0),"Unavailable"))</x:f>
      </x:c>
      <x:c r="M405" s="23" t="str">
        <x:f>IF(C405="","",IFERROR(IF(AND(AC405&gt;=0,D405&gt;=AC405+INDEX('Facilities'!$AK$9:$AK$108,MATCH(C405,'Facilities'!$C$9:$C$108,0))),(H405+L405)*AM405,0),"Unavailable"))</x:f>
      </x:c>
      <x:c r="N405" s="23" t="str">
        <x:f>IF(C405="","",IFERROR(IF(AND(AC405&gt;=0,D405&gt;=AC405+INDEX('Facilities'!$AK$9:$AK$108,MATCH(C405,'Facilities'!$C$9:$C$108,0))),H405+L405-M405,0),"Unavailable"))</x:f>
      </x:c>
      <x:c r="O405" s="21" t="str">
        <x:f>IF(C405="","",IFERROR(MAX(0,G405+J405-K405-L405),"Unavailable"))</x:f>
      </x:c>
      <x:c r="P405" s="21" t="str">
        <x:f>IF(C405="","",IFERROR(MAX(0,H405+L405-M405-N405),"Unavailable"))</x:f>
      </x:c>
      <x:c r="Q405" s="23" t="str">
        <x:f>IF(C405="","",IFERROR(IF(OR(D405&gt;=INDEX('Facilities'!$J$9:$J$108,MATCH(C405,'Facilities'!$C$9:$C$108,0)),AND(AC405&gt;=0,AC405&lt;=D405)),0,MAX(0,I405-J405)),"Unavailable"))</x:f>
      </x:c>
      <x:c r="R405" s="30" t="str">
        <x:f>IF(C405="","",IFERROR(INDEX(Credit!$Q$309:$Q$408,MATCH(F405,Credit!$C$309:$C$408,0)),"Unavailable"))</x:f>
      </x:c>
      <x:c r="S405" s="30" t="str">
        <x:f>IF(C405="","",IFERROR(INDEX(Credit!$R$309:$R$408,MATCH(F405,Credit!$C$309:$C$408,0)),"Unavailable"))</x:f>
      </x:c>
      <x:c r="T405" s="23" t="str">
        <x:f>IF(C405="","",IFERROR(IF(P405&gt;0,3,IF(OR(INDEX('Facilities'!$AD$9:$AD$108,MATCH(C405,'Facilities'!$C$9:$C$108,0))=2,AND(R405&gt;=INDEX('Facilities'!$L$9:$L$108,MATCH(C405,'Facilities'!$C$9:$C$108,0))*Settings!$F$19,R405-INDEX('Facilities'!$L$9:$L$108,MATCH(C405,'Facilities'!$C$9:$C$108,0))&gt;=Settings!$F$20)),2,1)),"Unavailable"))</x:f>
      </x:c>
      <x:c r="U405" s="23" t="str">
        <x:f>IF(C405="","",IF(AQ405&lt;&gt;"Ready","Unavailable",IF(C405="","",O405*(1-(1-S405)/(1+INDEX('Facilities'!$K$9:$K$108,MATCH(C405,'Facilities'!$C$9:$C$108,0)))^INDEX('Facilities'!$AK$9:$AK$108,MATCH(C405,'Facilities'!$C$9:$C$108,0)))*R405/(1+INDEX('Facilities'!$K$9:$K$108,MATCH(C405,'Facilities'!$C$9:$C$108,0)))*IF(ABS(1-(1-R405)*(1-INDEX('Facilities'!$R$9:$R$108,MATCH(C405,'Facilities'!$C$9:$C$108,0)))/(1+INDEX('Facilities'!$K$9:$K$108,MATCH(C405,'Facilities'!$C$9:$C$108,0))))&lt;0.000000001,IF(T405=1,MIN(1,AJ405),AJ405),(1-((1-R405)*(1-INDEX('Facilities'!$R$9:$R$108,MATCH(C405,'Facilities'!$C$9:$C$108,0)))/(1+INDEX('Facilities'!$K$9:$K$108,MATCH(C405,'Facilities'!$C$9:$C$108,0))))^IF(T405=1,MIN(1,AJ405),AJ405))/(1-(1-R405)*(1-INDEX('Facilities'!$R$9:$R$108,MATCH(C405,'Facilities'!$C$9:$C$108,0)))/(1+INDEX('Facilities'!$K$9:$K$108,MATCH(C405,'Facilities'!$C$9:$C$108,0)))))+AL405)))</x:f>
      </x:c>
      <x:c r="V405" s="23" t="str">
        <x:f>IF(C405="","",IF(AQ405&lt;&gt;"Ready","Unavailable",IF(C405="","",Q405*INDEX('Facilities'!$I$9:$I$108,MATCH(C405,'Facilities'!$C$9:$C$108,0))*(1-(1-S405)/(1+INDEX('Facilities'!$K$9:$K$108,MATCH(C405,'Facilities'!$C$9:$C$108,0)))^INDEX('Facilities'!$AK$9:$AK$108,MATCH(C405,'Facilities'!$C$9:$C$108,0)))*R405/(1+INDEX('Facilities'!$K$9:$K$108,MATCH(C405,'Facilities'!$C$9:$C$108,0)))*IF(ABS(1-(1-R405)*(1-0)/(1+INDEX('Facilities'!$K$9:$K$108,MATCH(C405,'Facilities'!$C$9:$C$108,0))))&lt;0.000000001,IF(T405=1,MIN(1,AJ405),AJ405),(1-((1-R405)*(1-0)/(1+INDEX('Facilities'!$K$9:$K$108,MATCH(C405,'Facilities'!$C$9:$C$108,0))))^IF(T405=1,MIN(1,AJ405),AJ405))/(1-(1-R405)*(1-0)/(1+INDEX('Facilities'!$K$9:$K$108,MATCH(C405,'Facilities'!$C$9:$C$108,0))))))))</x:f>
      </x:c>
      <x:c r="W405" s="21" t="str">
        <x:f>IF(C405="","",IFERROR(U305,"Unavailable"))</x:f>
      </x:c>
      <x:c r="X405" s="21" t="str">
        <x:f>IF(C405="","",IFERROR(V305,"Unavailable"))</x:f>
      </x:c>
      <x:c r="Y405" s="21" t="str">
        <x:f>IF(C405="","",IF(AQ405&lt;&gt;"Ready","Unavailable",IF(C405="","",U405-W405+V405-X405+N405+AG405)))</x:f>
      </x:c>
      <x:c r="Z405" s="23" t="str">
        <x:f>IF(C405="","",IF(AQ405&lt;&gt;"Ready","Unavailable",IF(C405="","",(G405+O405+L405)/2*INDEX('Facilities'!$T$9:$T$108,MATCH(C405,'Facilities'!$C$9:$C$108,0))+AG405)))</x:f>
      </x:c>
      <x:c r="AA405" s="23" t="str">
        <x:f>IF(C405="","",IF(AQ405&lt;&gt;"Ready","Unavailable",IF(C405="","",O405*(1-IF(INDEX('Facilities'!$AA$9:$AA$108,MATCH(C405,'Facilities'!$C$9:$C$108,0))=0,0,MIN(1,INDEX('Facilities'!$X$9:$X$108,MATCH(C405,'Facilities'!$C$9:$C$108,0))/INDEX('Facilities'!$AA$9:$AA$108,MATCH(C405,'Facilities'!$C$9:$C$108,0)))))*AF405+P405*(1-IF(INDEX('Facilities'!$AA$9:$AA$108,MATCH(C405,'Facilities'!$C$9:$C$108,0))=0,0,MIN(1,INDEX('Facilities'!$X$9:$X$108,MATCH(C405,'Facilities'!$C$9:$C$108,0))/INDEX('Facilities'!$AA$9:$AA$108,MATCH(C405,'Facilities'!$C$9:$C$108,0)))))*INDEX('Facilities'!$AJ$9:$AJ$108,MATCH(C405,'Facilities'!$C$9:$C$108,0))+Q405*INDEX('Facilities'!$AI$9:$AI$108,MATCH(C405,'Facilities'!$C$9:$C$108,0))*AF405)))</x:f>
      </x:c>
      <x:c r="AB405" s="21" t="str">
        <x:f>IF(C405="","",O405+P405-AD405)</x:f>
      </x:c>
      <x:c r="AC405" s="23" t="str">
        <x:f>IF(C405="","",IFERROR(IF(INDEX('Facilities'!$AD$9:$AD$108,MATCH(C405,'Facilities'!$C$9:$C$108,0))=3,0,IF(INDEX('Facilities'!$AN$9:$AN$108,MATCH(C405,'Facilities'!$C$9:$C$108,0))=0,-1,INDEX('Facilities'!$AN$9:$AN$108,MATCH(C405,'Facilities'!$C$9:$C$108,0)))),"Unavailable"))</x:f>
      </x:c>
      <x:c r="AD405" s="21" t="str">
        <x:f>IF(C405="","",IFERROR(G405+H405,"Unavailable"))</x:f>
      </x:c>
      <x:c r="AE405" s="21" t="str">
        <x:f>IF(C405="","",IF(AQ405&lt;&gt;"Ready","Unavailable",IF(C405="","",O405+P405-AD405-J405+K405+M405+N405)))</x:f>
      </x:c>
      <x:c r="AF405" s="30" t="str">
        <x:f>IF(C405="","",IFERROR(INDEX('Facilities'!$S$9:$S$108,MATCH(C405,'Facilities'!$C$9:$C$108,0))*'Scenario Paths'!I75,"Unavailable"))</x:f>
      </x:c>
      <x:c r="AG405" s="23" t="str">
        <x:f>IF(C405="","",IF(AQ405&lt;&gt;"Ready","Unavailable",IF(C405="","",IF(H405&gt;0,MAX(0,H405-AK405)*((1+INDEX('Facilities'!$K$9:$K$108,MATCH(C405,'Facilities'!$C$9:$C$108,0)))^MIN(1,MAX(0,AC405+INDEX('Facilities'!$AK$9:$AK$108,MATCH(C405,'Facilities'!$C$9:$C$108,0))-D405+1))-1),0))))</x:f>
      </x:c>
      <x:c r="AH405" s="21" t="str">
        <x:f>IF(C405="","",IF(AQ405&lt;&gt;"Ready","Unavailable",IF(C405="","",O405+P405)))</x:f>
      </x:c>
      <x:c r="AI405" s="21" t="str">
        <x:f>IF(C405="","",IF(AQ405&lt;&gt;"Ready","Unavailable",IF(C405="","",Z405-Y405)))</x:f>
      </x:c>
      <x:c r="AJ405" s="23" t="str">
        <x:f>IF(C405="","",IFERROR(MAX(0,INDEX('Facilities'!$J$9:$J$108,MATCH(C405,'Facilities'!$C$9:$C$108,0))-D405),"Unavailable"))</x:f>
      </x:c>
      <x:c r="AK405" s="21" t="str">
        <x:f>IF(C405="","",IFERROR(AL305,"Unavailable"))</x:f>
      </x:c>
      <x:c r="AL405" s="23" t="str">
        <x:f>IF(C405="","",IFERROR(IF(P405&gt;0,P405*(1-AM405/(1+INDEX('Facilities'!$K$9:$K$108,MATCH(C405,'Facilities'!$C$9:$C$108,0)))^MAX(0,AC405+INDEX('Facilities'!$AK$9:$AK$108,MATCH(C405,'Facilities'!$C$9:$C$108,0))-D405)),0),"Unavailable"))</x:f>
      </x:c>
      <x:c r="AM405" s="30" t="str">
        <x:f>IF(C405="","",IFERROR(INDEX('Facilities'!$AL$9:$AL$108,MATCH(C405,'Facilities'!$C$9:$C$108,0)),"Unavailable"))</x:f>
      </x:c>
      <x:c r="AN405" s="30" t="str">
        <x:f>IF(C405="","",IFERROR(INDEX(Credit!$T$309:$T$408,MATCH(F405,Credit!$C$309:$C$408,0)),"Unavailable"))</x:f>
      </x:c>
      <x:c r="AO405" s="23" t="str">
        <x:f>IF(C405="","",IF(AQ405&lt;&gt;"Ready","Unavailable",IF(C405="","",O405+P405+Q405*INDEX('Facilities'!$I$9:$I$108,MATCH(C405,'Facilities'!$C$9:$C$108,0)))))</x:f>
      </x:c>
      <x:c r="AP405" s="21" t="str">
        <x:f>IF(C405="","",IF(AQ405&lt;&gt;"Ready","Unavailable",IF(C405="","",AH405-U405)))</x:f>
      </x:c>
      <x:c r="AQ405" s="23" t="str">
        <x:f>IFERROR(IF(C405="","",IF(AND(INDEX('Facilities'!$AF$9:$AF$108,MATCH(C405,'Facilities'!$C$9:$C$108,0))="Ready",INDEX(Credit!$U$309:$U$408,MATCH(F405,Credit!$C$309:$C$408,0))="Ready",ISNUMBER(W405)),"Ready","Review inputs")),"Review inputs")</x:f>
      </x:c>
      <x:c r="AR405" s="23" t="str">
        <x:f>IF(C405="","",IF(AQ405&lt;&gt;"Ready","Unavailable",IF(C405="","",IF(O405=0,0,(IF(AJ405&lt;=1,O405,O405*INDEX('Facilities'!$R$9:$R$108,MATCH(C405,'Facilities'!$C$9:$C$108,0)))+O405*INDEX('Facilities'!$T$9:$T$108,MATCH(C405,'Facilities'!$C$9:$C$108,0)))/12))))</x:f>
      </x:c>
    </x:row>
    <x:row r="406" ht="26" customHeight="1">
      <x:c r="A406" s="1"/>
      <x:c r="B406" s="1"/>
      <x:c r="C406" s="9" t="str">
        <x:f>IF(Facilities!C106="","",Facilities!C106)</x:f>
      </x:c>
      <x:c r="D406" s="3" t="n">
        <x:v>4</x:v>
      </x:c>
      <x:c r="E406" s="9" t="n">
        <x:f>Settings!$F$18+3</x:f>
        <x:v>2030</x:v>
      </x:c>
      <x:c r="F406" s="9" t="str">
        <x:f>IF(C406="","",IFERROR(INDEX('Facilities'!$D$9:$D$108,MATCH(C406,'Facilities'!$C$9:$C$108,0)),"Unavailable"))</x:f>
      </x:c>
      <x:c r="G406" s="21" t="str">
        <x:f>IF(C406="","",IFERROR(O306,"Unavailable"))</x:f>
      </x:c>
      <x:c r="H406" s="21" t="str">
        <x:f>IF(C406="","",IFERROR(P306,"Unavailable"))</x:f>
      </x:c>
      <x:c r="I406" s="21" t="str">
        <x:f>IF(C406="","",IFERROR(Q306,"Unavailable"))</x:f>
      </x:c>
      <x:c r="J406" s="23" t="str">
        <x:f>IF(C406="","",IFERROR(IF(OR(H406&gt;0,AND(AC406&gt;=0,AC406&lt;D406),D406&gt;INDEX('Facilities'!$J$9:$J$108,MATCH(C406,'Facilities'!$C$9:$C$108,0))),0,I406*'Scenario Paths'!I81),"Unavailable"))</x:f>
      </x:c>
      <x:c r="K406" s="23" t="str">
        <x:f>IF(C406="","",IFERROR(IF(OR(H406&gt;0,AND(AC406&gt;=0,AC406=D406)),0,IF(D406&gt;=INDEX('Facilities'!$J$9:$J$108,MATCH(C406,'Facilities'!$C$9:$C$108,0)),G406+J406,MIN(G406+J406,G406*INDEX('Facilities'!$R$9:$R$108,MATCH(C406,'Facilities'!$C$9:$C$108,0))))),"Unavailable"))</x:f>
      </x:c>
      <x:c r="L406" s="21" t="str">
        <x:f>IF(C406="","",IFERROR(IF(AND(AC406=D406,AC406&gt;0),MAX(0,G406+J406-K406),0),"Unavailable"))</x:f>
      </x:c>
      <x:c r="M406" s="23" t="str">
        <x:f>IF(C406="","",IFERROR(IF(AND(AC406&gt;=0,D406&gt;=AC406+INDEX('Facilities'!$AK$9:$AK$108,MATCH(C406,'Facilities'!$C$9:$C$108,0))),(H406+L406)*AM406,0),"Unavailable"))</x:f>
      </x:c>
      <x:c r="N406" s="23" t="str">
        <x:f>IF(C406="","",IFERROR(IF(AND(AC406&gt;=0,D406&gt;=AC406+INDEX('Facilities'!$AK$9:$AK$108,MATCH(C406,'Facilities'!$C$9:$C$108,0))),H406+L406-M406,0),"Unavailable"))</x:f>
      </x:c>
      <x:c r="O406" s="21" t="str">
        <x:f>IF(C406="","",IFERROR(MAX(0,G406+J406-K406-L406),"Unavailable"))</x:f>
      </x:c>
      <x:c r="P406" s="21" t="str">
        <x:f>IF(C406="","",IFERROR(MAX(0,H406+L406-M406-N406),"Unavailable"))</x:f>
      </x:c>
      <x:c r="Q406" s="23" t="str">
        <x:f>IF(C406="","",IFERROR(IF(OR(D406&gt;=INDEX('Facilities'!$J$9:$J$108,MATCH(C406,'Facilities'!$C$9:$C$108,0)),AND(AC406&gt;=0,AC406&lt;=D406)),0,MAX(0,I406-J406)),"Unavailable"))</x:f>
      </x:c>
      <x:c r="R406" s="30" t="str">
        <x:f>IF(C406="","",IFERROR(INDEX(Credit!$Q$309:$Q$408,MATCH(F406,Credit!$C$309:$C$408,0)),"Unavailable"))</x:f>
      </x:c>
      <x:c r="S406" s="30" t="str">
        <x:f>IF(C406="","",IFERROR(INDEX(Credit!$R$309:$R$408,MATCH(F406,Credit!$C$309:$C$408,0)),"Unavailable"))</x:f>
      </x:c>
      <x:c r="T406" s="23" t="str">
        <x:f>IF(C406="","",IFERROR(IF(P406&gt;0,3,IF(OR(INDEX('Facilities'!$AD$9:$AD$108,MATCH(C406,'Facilities'!$C$9:$C$108,0))=2,AND(R406&gt;=INDEX('Facilities'!$L$9:$L$108,MATCH(C406,'Facilities'!$C$9:$C$108,0))*Settings!$F$19,R406-INDEX('Facilities'!$L$9:$L$108,MATCH(C406,'Facilities'!$C$9:$C$108,0))&gt;=Settings!$F$20)),2,1)),"Unavailable"))</x:f>
      </x:c>
      <x:c r="U406" s="23" t="str">
        <x:f>IF(C406="","",IF(AQ406&lt;&gt;"Ready","Unavailable",IF(C406="","",O406*(1-(1-S406)/(1+INDEX('Facilities'!$K$9:$K$108,MATCH(C406,'Facilities'!$C$9:$C$108,0)))^INDEX('Facilities'!$AK$9:$AK$108,MATCH(C406,'Facilities'!$C$9:$C$108,0)))*R406/(1+INDEX('Facilities'!$K$9:$K$108,MATCH(C406,'Facilities'!$C$9:$C$108,0)))*IF(ABS(1-(1-R406)*(1-INDEX('Facilities'!$R$9:$R$108,MATCH(C406,'Facilities'!$C$9:$C$108,0)))/(1+INDEX('Facilities'!$K$9:$K$108,MATCH(C406,'Facilities'!$C$9:$C$108,0))))&lt;0.000000001,IF(T406=1,MIN(1,AJ406),AJ406),(1-((1-R406)*(1-INDEX('Facilities'!$R$9:$R$108,MATCH(C406,'Facilities'!$C$9:$C$108,0)))/(1+INDEX('Facilities'!$K$9:$K$108,MATCH(C406,'Facilities'!$C$9:$C$108,0))))^IF(T406=1,MIN(1,AJ406),AJ406))/(1-(1-R406)*(1-INDEX('Facilities'!$R$9:$R$108,MATCH(C406,'Facilities'!$C$9:$C$108,0)))/(1+INDEX('Facilities'!$K$9:$K$108,MATCH(C406,'Facilities'!$C$9:$C$108,0)))))+AL406)))</x:f>
      </x:c>
      <x:c r="V406" s="23" t="str">
        <x:f>IF(C406="","",IF(AQ406&lt;&gt;"Ready","Unavailable",IF(C406="","",Q406*INDEX('Facilities'!$I$9:$I$108,MATCH(C406,'Facilities'!$C$9:$C$108,0))*(1-(1-S406)/(1+INDEX('Facilities'!$K$9:$K$108,MATCH(C406,'Facilities'!$C$9:$C$108,0)))^INDEX('Facilities'!$AK$9:$AK$108,MATCH(C406,'Facilities'!$C$9:$C$108,0)))*R406/(1+INDEX('Facilities'!$K$9:$K$108,MATCH(C406,'Facilities'!$C$9:$C$108,0)))*IF(ABS(1-(1-R406)*(1-0)/(1+INDEX('Facilities'!$K$9:$K$108,MATCH(C406,'Facilities'!$C$9:$C$108,0))))&lt;0.000000001,IF(T406=1,MIN(1,AJ406),AJ406),(1-((1-R406)*(1-0)/(1+INDEX('Facilities'!$K$9:$K$108,MATCH(C406,'Facilities'!$C$9:$C$108,0))))^IF(T406=1,MIN(1,AJ406),AJ406))/(1-(1-R406)*(1-0)/(1+INDEX('Facilities'!$K$9:$K$108,MATCH(C406,'Facilities'!$C$9:$C$108,0))))))))</x:f>
      </x:c>
      <x:c r="W406" s="21" t="str">
        <x:f>IF(C406="","",IFERROR(U306,"Unavailable"))</x:f>
      </x:c>
      <x:c r="X406" s="21" t="str">
        <x:f>IF(C406="","",IFERROR(V306,"Unavailable"))</x:f>
      </x:c>
      <x:c r="Y406" s="21" t="str">
        <x:f>IF(C406="","",IF(AQ406&lt;&gt;"Ready","Unavailable",IF(C406="","",U406-W406+V406-X406+N406+AG406)))</x:f>
      </x:c>
      <x:c r="Z406" s="23" t="str">
        <x:f>IF(C406="","",IF(AQ406&lt;&gt;"Ready","Unavailable",IF(C406="","",(G406+O406+L406)/2*INDEX('Facilities'!$T$9:$T$108,MATCH(C406,'Facilities'!$C$9:$C$108,0))+AG406)))</x:f>
      </x:c>
      <x:c r="AA406" s="23" t="str">
        <x:f>IF(C406="","",IF(AQ406&lt;&gt;"Ready","Unavailable",IF(C406="","",O406*(1-IF(INDEX('Facilities'!$AA$9:$AA$108,MATCH(C406,'Facilities'!$C$9:$C$108,0))=0,0,MIN(1,INDEX('Facilities'!$X$9:$X$108,MATCH(C406,'Facilities'!$C$9:$C$108,0))/INDEX('Facilities'!$AA$9:$AA$108,MATCH(C406,'Facilities'!$C$9:$C$108,0)))))*AF406+P406*(1-IF(INDEX('Facilities'!$AA$9:$AA$108,MATCH(C406,'Facilities'!$C$9:$C$108,0))=0,0,MIN(1,INDEX('Facilities'!$X$9:$X$108,MATCH(C406,'Facilities'!$C$9:$C$108,0))/INDEX('Facilities'!$AA$9:$AA$108,MATCH(C406,'Facilities'!$C$9:$C$108,0)))))*INDEX('Facilities'!$AJ$9:$AJ$108,MATCH(C406,'Facilities'!$C$9:$C$108,0))+Q406*INDEX('Facilities'!$AI$9:$AI$108,MATCH(C406,'Facilities'!$C$9:$C$108,0))*AF406)))</x:f>
      </x:c>
      <x:c r="AB406" s="21" t="str">
        <x:f>IF(C406="","",O406+P406-AD406)</x:f>
      </x:c>
      <x:c r="AC406" s="23" t="str">
        <x:f>IF(C406="","",IFERROR(IF(INDEX('Facilities'!$AD$9:$AD$108,MATCH(C406,'Facilities'!$C$9:$C$108,0))=3,0,IF(INDEX('Facilities'!$AN$9:$AN$108,MATCH(C406,'Facilities'!$C$9:$C$108,0))=0,-1,INDEX('Facilities'!$AN$9:$AN$108,MATCH(C406,'Facilities'!$C$9:$C$108,0)))),"Unavailable"))</x:f>
      </x:c>
      <x:c r="AD406" s="21" t="str">
        <x:f>IF(C406="","",IFERROR(G406+H406,"Unavailable"))</x:f>
      </x:c>
      <x:c r="AE406" s="21" t="str">
        <x:f>IF(C406="","",IF(AQ406&lt;&gt;"Ready","Unavailable",IF(C406="","",O406+P406-AD406-J406+K406+M406+N406)))</x:f>
      </x:c>
      <x:c r="AF406" s="30" t="str">
        <x:f>IF(C406="","",IFERROR(INDEX('Facilities'!$S$9:$S$108,MATCH(C406,'Facilities'!$C$9:$C$108,0))*'Scenario Paths'!I75,"Unavailable"))</x:f>
      </x:c>
      <x:c r="AG406" s="23" t="str">
        <x:f>IF(C406="","",IF(AQ406&lt;&gt;"Ready","Unavailable",IF(C406="","",IF(H406&gt;0,MAX(0,H406-AK406)*((1+INDEX('Facilities'!$K$9:$K$108,MATCH(C406,'Facilities'!$C$9:$C$108,0)))^MIN(1,MAX(0,AC406+INDEX('Facilities'!$AK$9:$AK$108,MATCH(C406,'Facilities'!$C$9:$C$108,0))-D406+1))-1),0))))</x:f>
      </x:c>
      <x:c r="AH406" s="21" t="str">
        <x:f>IF(C406="","",IF(AQ406&lt;&gt;"Ready","Unavailable",IF(C406="","",O406+P406)))</x:f>
      </x:c>
      <x:c r="AI406" s="21" t="str">
        <x:f>IF(C406="","",IF(AQ406&lt;&gt;"Ready","Unavailable",IF(C406="","",Z406-Y406)))</x:f>
      </x:c>
      <x:c r="AJ406" s="23" t="str">
        <x:f>IF(C406="","",IFERROR(MAX(0,INDEX('Facilities'!$J$9:$J$108,MATCH(C406,'Facilities'!$C$9:$C$108,0))-D406),"Unavailable"))</x:f>
      </x:c>
      <x:c r="AK406" s="21" t="str">
        <x:f>IF(C406="","",IFERROR(AL306,"Unavailable"))</x:f>
      </x:c>
      <x:c r="AL406" s="23" t="str">
        <x:f>IF(C406="","",IFERROR(IF(P406&gt;0,P406*(1-AM406/(1+INDEX('Facilities'!$K$9:$K$108,MATCH(C406,'Facilities'!$C$9:$C$108,0)))^MAX(0,AC406+INDEX('Facilities'!$AK$9:$AK$108,MATCH(C406,'Facilities'!$C$9:$C$108,0))-D406)),0),"Unavailable"))</x:f>
      </x:c>
      <x:c r="AM406" s="30" t="str">
        <x:f>IF(C406="","",IFERROR(INDEX('Facilities'!$AL$9:$AL$108,MATCH(C406,'Facilities'!$C$9:$C$108,0)),"Unavailable"))</x:f>
      </x:c>
      <x:c r="AN406" s="30" t="str">
        <x:f>IF(C406="","",IFERROR(INDEX(Credit!$T$309:$T$408,MATCH(F406,Credit!$C$309:$C$408,0)),"Unavailable"))</x:f>
      </x:c>
      <x:c r="AO406" s="23" t="str">
        <x:f>IF(C406="","",IF(AQ406&lt;&gt;"Ready","Unavailable",IF(C406="","",O406+P406+Q406*INDEX('Facilities'!$I$9:$I$108,MATCH(C406,'Facilities'!$C$9:$C$108,0)))))</x:f>
      </x:c>
      <x:c r="AP406" s="21" t="str">
        <x:f>IF(C406="","",IF(AQ406&lt;&gt;"Ready","Unavailable",IF(C406="","",AH406-U406)))</x:f>
      </x:c>
      <x:c r="AQ406" s="23" t="str">
        <x:f>IFERROR(IF(C406="","",IF(AND(INDEX('Facilities'!$AF$9:$AF$108,MATCH(C406,'Facilities'!$C$9:$C$108,0))="Ready",INDEX(Credit!$U$309:$U$408,MATCH(F406,Credit!$C$309:$C$408,0))="Ready",ISNUMBER(W406)),"Ready","Review inputs")),"Review inputs")</x:f>
      </x:c>
      <x:c r="AR406" s="23" t="str">
        <x:f>IF(C406="","",IF(AQ406&lt;&gt;"Ready","Unavailable",IF(C406="","",IF(O406=0,0,(IF(AJ406&lt;=1,O406,O406*INDEX('Facilities'!$R$9:$R$108,MATCH(C406,'Facilities'!$C$9:$C$108,0)))+O406*INDEX('Facilities'!$T$9:$T$108,MATCH(C406,'Facilities'!$C$9:$C$108,0)))/12))))</x:f>
      </x:c>
    </x:row>
    <x:row r="407" ht="26" customHeight="1">
      <x:c r="A407" s="1"/>
      <x:c r="B407" s="1"/>
      <x:c r="C407" s="9" t="str">
        <x:f>IF(Facilities!C107="","",Facilities!C107)</x:f>
      </x:c>
      <x:c r="D407" s="3" t="n">
        <x:v>4</x:v>
      </x:c>
      <x:c r="E407" s="9" t="n">
        <x:f>Settings!$F$18+3</x:f>
        <x:v>2030</x:v>
      </x:c>
      <x:c r="F407" s="9" t="str">
        <x:f>IF(C407="","",IFERROR(INDEX('Facilities'!$D$9:$D$108,MATCH(C407,'Facilities'!$C$9:$C$108,0)),"Unavailable"))</x:f>
      </x:c>
      <x:c r="G407" s="21" t="str">
        <x:f>IF(C407="","",IFERROR(O307,"Unavailable"))</x:f>
      </x:c>
      <x:c r="H407" s="21" t="str">
        <x:f>IF(C407="","",IFERROR(P307,"Unavailable"))</x:f>
      </x:c>
      <x:c r="I407" s="21" t="str">
        <x:f>IF(C407="","",IFERROR(Q307,"Unavailable"))</x:f>
      </x:c>
      <x:c r="J407" s="23" t="str">
        <x:f>IF(C407="","",IFERROR(IF(OR(H407&gt;0,AND(AC407&gt;=0,AC407&lt;D407),D407&gt;INDEX('Facilities'!$J$9:$J$108,MATCH(C407,'Facilities'!$C$9:$C$108,0))),0,I407*'Scenario Paths'!I81),"Unavailable"))</x:f>
      </x:c>
      <x:c r="K407" s="23" t="str">
        <x:f>IF(C407="","",IFERROR(IF(OR(H407&gt;0,AND(AC407&gt;=0,AC407=D407)),0,IF(D407&gt;=INDEX('Facilities'!$J$9:$J$108,MATCH(C407,'Facilities'!$C$9:$C$108,0)),G407+J407,MIN(G407+J407,G407*INDEX('Facilities'!$R$9:$R$108,MATCH(C407,'Facilities'!$C$9:$C$108,0))))),"Unavailable"))</x:f>
      </x:c>
      <x:c r="L407" s="21" t="str">
        <x:f>IF(C407="","",IFERROR(IF(AND(AC407=D407,AC407&gt;0),MAX(0,G407+J407-K407),0),"Unavailable"))</x:f>
      </x:c>
      <x:c r="M407" s="23" t="str">
        <x:f>IF(C407="","",IFERROR(IF(AND(AC407&gt;=0,D407&gt;=AC407+INDEX('Facilities'!$AK$9:$AK$108,MATCH(C407,'Facilities'!$C$9:$C$108,0))),(H407+L407)*AM407,0),"Unavailable"))</x:f>
      </x:c>
      <x:c r="N407" s="23" t="str">
        <x:f>IF(C407="","",IFERROR(IF(AND(AC407&gt;=0,D407&gt;=AC407+INDEX('Facilities'!$AK$9:$AK$108,MATCH(C407,'Facilities'!$C$9:$C$108,0))),H407+L407-M407,0),"Unavailable"))</x:f>
      </x:c>
      <x:c r="O407" s="21" t="str">
        <x:f>IF(C407="","",IFERROR(MAX(0,G407+J407-K407-L407),"Unavailable"))</x:f>
      </x:c>
      <x:c r="P407" s="21" t="str">
        <x:f>IF(C407="","",IFERROR(MAX(0,H407+L407-M407-N407),"Unavailable"))</x:f>
      </x:c>
      <x:c r="Q407" s="23" t="str">
        <x:f>IF(C407="","",IFERROR(IF(OR(D407&gt;=INDEX('Facilities'!$J$9:$J$108,MATCH(C407,'Facilities'!$C$9:$C$108,0)),AND(AC407&gt;=0,AC407&lt;=D407)),0,MAX(0,I407-J407)),"Unavailable"))</x:f>
      </x:c>
      <x:c r="R407" s="30" t="str">
        <x:f>IF(C407="","",IFERROR(INDEX(Credit!$Q$309:$Q$408,MATCH(F407,Credit!$C$309:$C$408,0)),"Unavailable"))</x:f>
      </x:c>
      <x:c r="S407" s="30" t="str">
        <x:f>IF(C407="","",IFERROR(INDEX(Credit!$R$309:$R$408,MATCH(F407,Credit!$C$309:$C$408,0)),"Unavailable"))</x:f>
      </x:c>
      <x:c r="T407" s="23" t="str">
        <x:f>IF(C407="","",IFERROR(IF(P407&gt;0,3,IF(OR(INDEX('Facilities'!$AD$9:$AD$108,MATCH(C407,'Facilities'!$C$9:$C$108,0))=2,AND(R407&gt;=INDEX('Facilities'!$L$9:$L$108,MATCH(C407,'Facilities'!$C$9:$C$108,0))*Settings!$F$19,R407-INDEX('Facilities'!$L$9:$L$108,MATCH(C407,'Facilities'!$C$9:$C$108,0))&gt;=Settings!$F$20)),2,1)),"Unavailable"))</x:f>
      </x:c>
      <x:c r="U407" s="23" t="str">
        <x:f>IF(C407="","",IF(AQ407&lt;&gt;"Ready","Unavailable",IF(C407="","",O407*(1-(1-S407)/(1+INDEX('Facilities'!$K$9:$K$108,MATCH(C407,'Facilities'!$C$9:$C$108,0)))^INDEX('Facilities'!$AK$9:$AK$108,MATCH(C407,'Facilities'!$C$9:$C$108,0)))*R407/(1+INDEX('Facilities'!$K$9:$K$108,MATCH(C407,'Facilities'!$C$9:$C$108,0)))*IF(ABS(1-(1-R407)*(1-INDEX('Facilities'!$R$9:$R$108,MATCH(C407,'Facilities'!$C$9:$C$108,0)))/(1+INDEX('Facilities'!$K$9:$K$108,MATCH(C407,'Facilities'!$C$9:$C$108,0))))&lt;0.000000001,IF(T407=1,MIN(1,AJ407),AJ407),(1-((1-R407)*(1-INDEX('Facilities'!$R$9:$R$108,MATCH(C407,'Facilities'!$C$9:$C$108,0)))/(1+INDEX('Facilities'!$K$9:$K$108,MATCH(C407,'Facilities'!$C$9:$C$108,0))))^IF(T407=1,MIN(1,AJ407),AJ407))/(1-(1-R407)*(1-INDEX('Facilities'!$R$9:$R$108,MATCH(C407,'Facilities'!$C$9:$C$108,0)))/(1+INDEX('Facilities'!$K$9:$K$108,MATCH(C407,'Facilities'!$C$9:$C$108,0)))))+AL407)))</x:f>
      </x:c>
      <x:c r="V407" s="23" t="str">
        <x:f>IF(C407="","",IF(AQ407&lt;&gt;"Ready","Unavailable",IF(C407="","",Q407*INDEX('Facilities'!$I$9:$I$108,MATCH(C407,'Facilities'!$C$9:$C$108,0))*(1-(1-S407)/(1+INDEX('Facilities'!$K$9:$K$108,MATCH(C407,'Facilities'!$C$9:$C$108,0)))^INDEX('Facilities'!$AK$9:$AK$108,MATCH(C407,'Facilities'!$C$9:$C$108,0)))*R407/(1+INDEX('Facilities'!$K$9:$K$108,MATCH(C407,'Facilities'!$C$9:$C$108,0)))*IF(ABS(1-(1-R407)*(1-0)/(1+INDEX('Facilities'!$K$9:$K$108,MATCH(C407,'Facilities'!$C$9:$C$108,0))))&lt;0.000000001,IF(T407=1,MIN(1,AJ407),AJ407),(1-((1-R407)*(1-0)/(1+INDEX('Facilities'!$K$9:$K$108,MATCH(C407,'Facilities'!$C$9:$C$108,0))))^IF(T407=1,MIN(1,AJ407),AJ407))/(1-(1-R407)*(1-0)/(1+INDEX('Facilities'!$K$9:$K$108,MATCH(C407,'Facilities'!$C$9:$C$108,0))))))))</x:f>
      </x:c>
      <x:c r="W407" s="21" t="str">
        <x:f>IF(C407="","",IFERROR(U307,"Unavailable"))</x:f>
      </x:c>
      <x:c r="X407" s="21" t="str">
        <x:f>IF(C407="","",IFERROR(V307,"Unavailable"))</x:f>
      </x:c>
      <x:c r="Y407" s="21" t="str">
        <x:f>IF(C407="","",IF(AQ407&lt;&gt;"Ready","Unavailable",IF(C407="","",U407-W407+V407-X407+N407+AG407)))</x:f>
      </x:c>
      <x:c r="Z407" s="23" t="str">
        <x:f>IF(C407="","",IF(AQ407&lt;&gt;"Ready","Unavailable",IF(C407="","",(G407+O407+L407)/2*INDEX('Facilities'!$T$9:$T$108,MATCH(C407,'Facilities'!$C$9:$C$108,0))+AG407)))</x:f>
      </x:c>
      <x:c r="AA407" s="23" t="str">
        <x:f>IF(C407="","",IF(AQ407&lt;&gt;"Ready","Unavailable",IF(C407="","",O407*(1-IF(INDEX('Facilities'!$AA$9:$AA$108,MATCH(C407,'Facilities'!$C$9:$C$108,0))=0,0,MIN(1,INDEX('Facilities'!$X$9:$X$108,MATCH(C407,'Facilities'!$C$9:$C$108,0))/INDEX('Facilities'!$AA$9:$AA$108,MATCH(C407,'Facilities'!$C$9:$C$108,0)))))*AF407+P407*(1-IF(INDEX('Facilities'!$AA$9:$AA$108,MATCH(C407,'Facilities'!$C$9:$C$108,0))=0,0,MIN(1,INDEX('Facilities'!$X$9:$X$108,MATCH(C407,'Facilities'!$C$9:$C$108,0))/INDEX('Facilities'!$AA$9:$AA$108,MATCH(C407,'Facilities'!$C$9:$C$108,0)))))*INDEX('Facilities'!$AJ$9:$AJ$108,MATCH(C407,'Facilities'!$C$9:$C$108,0))+Q407*INDEX('Facilities'!$AI$9:$AI$108,MATCH(C407,'Facilities'!$C$9:$C$108,0))*AF407)))</x:f>
      </x:c>
      <x:c r="AB407" s="21" t="str">
        <x:f>IF(C407="","",O407+P407-AD407)</x:f>
      </x:c>
      <x:c r="AC407" s="23" t="str">
        <x:f>IF(C407="","",IFERROR(IF(INDEX('Facilities'!$AD$9:$AD$108,MATCH(C407,'Facilities'!$C$9:$C$108,0))=3,0,IF(INDEX('Facilities'!$AN$9:$AN$108,MATCH(C407,'Facilities'!$C$9:$C$108,0))=0,-1,INDEX('Facilities'!$AN$9:$AN$108,MATCH(C407,'Facilities'!$C$9:$C$108,0)))),"Unavailable"))</x:f>
      </x:c>
      <x:c r="AD407" s="21" t="str">
        <x:f>IF(C407="","",IFERROR(G407+H407,"Unavailable"))</x:f>
      </x:c>
      <x:c r="AE407" s="21" t="str">
        <x:f>IF(C407="","",IF(AQ407&lt;&gt;"Ready","Unavailable",IF(C407="","",O407+P407-AD407-J407+K407+M407+N407)))</x:f>
      </x:c>
      <x:c r="AF407" s="30" t="str">
        <x:f>IF(C407="","",IFERROR(INDEX('Facilities'!$S$9:$S$108,MATCH(C407,'Facilities'!$C$9:$C$108,0))*'Scenario Paths'!I75,"Unavailable"))</x:f>
      </x:c>
      <x:c r="AG407" s="23" t="str">
        <x:f>IF(C407="","",IF(AQ407&lt;&gt;"Ready","Unavailable",IF(C407="","",IF(H407&gt;0,MAX(0,H407-AK407)*((1+INDEX('Facilities'!$K$9:$K$108,MATCH(C407,'Facilities'!$C$9:$C$108,0)))^MIN(1,MAX(0,AC407+INDEX('Facilities'!$AK$9:$AK$108,MATCH(C407,'Facilities'!$C$9:$C$108,0))-D407+1))-1),0))))</x:f>
      </x:c>
      <x:c r="AH407" s="21" t="str">
        <x:f>IF(C407="","",IF(AQ407&lt;&gt;"Ready","Unavailable",IF(C407="","",O407+P407)))</x:f>
      </x:c>
      <x:c r="AI407" s="21" t="str">
        <x:f>IF(C407="","",IF(AQ407&lt;&gt;"Ready","Unavailable",IF(C407="","",Z407-Y407)))</x:f>
      </x:c>
      <x:c r="AJ407" s="23" t="str">
        <x:f>IF(C407="","",IFERROR(MAX(0,INDEX('Facilities'!$J$9:$J$108,MATCH(C407,'Facilities'!$C$9:$C$108,0))-D407),"Unavailable"))</x:f>
      </x:c>
      <x:c r="AK407" s="21" t="str">
        <x:f>IF(C407="","",IFERROR(AL307,"Unavailable"))</x:f>
      </x:c>
      <x:c r="AL407" s="23" t="str">
        <x:f>IF(C407="","",IFERROR(IF(P407&gt;0,P407*(1-AM407/(1+INDEX('Facilities'!$K$9:$K$108,MATCH(C407,'Facilities'!$C$9:$C$108,0)))^MAX(0,AC407+INDEX('Facilities'!$AK$9:$AK$108,MATCH(C407,'Facilities'!$C$9:$C$108,0))-D407)),0),"Unavailable"))</x:f>
      </x:c>
      <x:c r="AM407" s="30" t="str">
        <x:f>IF(C407="","",IFERROR(INDEX('Facilities'!$AL$9:$AL$108,MATCH(C407,'Facilities'!$C$9:$C$108,0)),"Unavailable"))</x:f>
      </x:c>
      <x:c r="AN407" s="30" t="str">
        <x:f>IF(C407="","",IFERROR(INDEX(Credit!$T$309:$T$408,MATCH(F407,Credit!$C$309:$C$408,0)),"Unavailable"))</x:f>
      </x:c>
      <x:c r="AO407" s="23" t="str">
        <x:f>IF(C407="","",IF(AQ407&lt;&gt;"Ready","Unavailable",IF(C407="","",O407+P407+Q407*INDEX('Facilities'!$I$9:$I$108,MATCH(C407,'Facilities'!$C$9:$C$108,0)))))</x:f>
      </x:c>
      <x:c r="AP407" s="21" t="str">
        <x:f>IF(C407="","",IF(AQ407&lt;&gt;"Ready","Unavailable",IF(C407="","",AH407-U407)))</x:f>
      </x:c>
      <x:c r="AQ407" s="23" t="str">
        <x:f>IFERROR(IF(C407="","",IF(AND(INDEX('Facilities'!$AF$9:$AF$108,MATCH(C407,'Facilities'!$C$9:$C$108,0))="Ready",INDEX(Credit!$U$309:$U$408,MATCH(F407,Credit!$C$309:$C$408,0))="Ready",ISNUMBER(W407)),"Ready","Review inputs")),"Review inputs")</x:f>
      </x:c>
      <x:c r="AR407" s="23" t="str">
        <x:f>IF(C407="","",IF(AQ407&lt;&gt;"Ready","Unavailable",IF(C407="","",IF(O407=0,0,(IF(AJ407&lt;=1,O407,O407*INDEX('Facilities'!$R$9:$R$108,MATCH(C407,'Facilities'!$C$9:$C$108,0)))+O407*INDEX('Facilities'!$T$9:$T$108,MATCH(C407,'Facilities'!$C$9:$C$108,0)))/12))))</x:f>
      </x:c>
    </x:row>
    <x:row r="408" ht="26" customHeight="1">
      <x:c r="A408" s="1"/>
      <x:c r="B408" s="1"/>
      <x:c r="C408" s="9" t="str">
        <x:f>IF(Facilities!C108="","",Facilities!C108)</x:f>
      </x:c>
      <x:c r="D408" s="3" t="n">
        <x:v>4</x:v>
      </x:c>
      <x:c r="E408" s="9" t="n">
        <x:f>Settings!$F$18+3</x:f>
        <x:v>2030</x:v>
      </x:c>
      <x:c r="F408" s="9" t="str">
        <x:f>IF(C408="","",IFERROR(INDEX('Facilities'!$D$9:$D$108,MATCH(C408,'Facilities'!$C$9:$C$108,0)),"Unavailable"))</x:f>
      </x:c>
      <x:c r="G408" s="21" t="str">
        <x:f>IF(C408="","",IFERROR(O308,"Unavailable"))</x:f>
      </x:c>
      <x:c r="H408" s="21" t="str">
        <x:f>IF(C408="","",IFERROR(P308,"Unavailable"))</x:f>
      </x:c>
      <x:c r="I408" s="21" t="str">
        <x:f>IF(C408="","",IFERROR(Q308,"Unavailable"))</x:f>
      </x:c>
      <x:c r="J408" s="23" t="str">
        <x:f>IF(C408="","",IFERROR(IF(OR(H408&gt;0,AND(AC408&gt;=0,AC408&lt;D408),D408&gt;INDEX('Facilities'!$J$9:$J$108,MATCH(C408,'Facilities'!$C$9:$C$108,0))),0,I408*'Scenario Paths'!I81),"Unavailable"))</x:f>
      </x:c>
      <x:c r="K408" s="23" t="str">
        <x:f>IF(C408="","",IFERROR(IF(OR(H408&gt;0,AND(AC408&gt;=0,AC408=D408)),0,IF(D408&gt;=INDEX('Facilities'!$J$9:$J$108,MATCH(C408,'Facilities'!$C$9:$C$108,0)),G408+J408,MIN(G408+J408,G408*INDEX('Facilities'!$R$9:$R$108,MATCH(C408,'Facilities'!$C$9:$C$108,0))))),"Unavailable"))</x:f>
      </x:c>
      <x:c r="L408" s="21" t="str">
        <x:f>IF(C408="","",IFERROR(IF(AND(AC408=D408,AC408&gt;0),MAX(0,G408+J408-K408),0),"Unavailable"))</x:f>
      </x:c>
      <x:c r="M408" s="23" t="str">
        <x:f>IF(C408="","",IFERROR(IF(AND(AC408&gt;=0,D408&gt;=AC408+INDEX('Facilities'!$AK$9:$AK$108,MATCH(C408,'Facilities'!$C$9:$C$108,0))),(H408+L408)*AM408,0),"Unavailable"))</x:f>
      </x:c>
      <x:c r="N408" s="23" t="str">
        <x:f>IF(C408="","",IFERROR(IF(AND(AC408&gt;=0,D408&gt;=AC408+INDEX('Facilities'!$AK$9:$AK$108,MATCH(C408,'Facilities'!$C$9:$C$108,0))),H408+L408-M408,0),"Unavailable"))</x:f>
      </x:c>
      <x:c r="O408" s="21" t="str">
        <x:f>IF(C408="","",IFERROR(MAX(0,G408+J408-K408-L408),"Unavailable"))</x:f>
      </x:c>
      <x:c r="P408" s="21" t="str">
        <x:f>IF(C408="","",IFERROR(MAX(0,H408+L408-M408-N408),"Unavailable"))</x:f>
      </x:c>
      <x:c r="Q408" s="23" t="str">
        <x:f>IF(C408="","",IFERROR(IF(OR(D408&gt;=INDEX('Facilities'!$J$9:$J$108,MATCH(C408,'Facilities'!$C$9:$C$108,0)),AND(AC408&gt;=0,AC408&lt;=D408)),0,MAX(0,I408-J408)),"Unavailable"))</x:f>
      </x:c>
      <x:c r="R408" s="30" t="str">
        <x:f>IF(C408="","",IFERROR(INDEX(Credit!$Q$309:$Q$408,MATCH(F408,Credit!$C$309:$C$408,0)),"Unavailable"))</x:f>
      </x:c>
      <x:c r="S408" s="30" t="str">
        <x:f>IF(C408="","",IFERROR(INDEX(Credit!$R$309:$R$408,MATCH(F408,Credit!$C$309:$C$408,0)),"Unavailable"))</x:f>
      </x:c>
      <x:c r="T408" s="23" t="str">
        <x:f>IF(C408="","",IFERROR(IF(P408&gt;0,3,IF(OR(INDEX('Facilities'!$AD$9:$AD$108,MATCH(C408,'Facilities'!$C$9:$C$108,0))=2,AND(R408&gt;=INDEX('Facilities'!$L$9:$L$108,MATCH(C408,'Facilities'!$C$9:$C$108,0))*Settings!$F$19,R408-INDEX('Facilities'!$L$9:$L$108,MATCH(C408,'Facilities'!$C$9:$C$108,0))&gt;=Settings!$F$20)),2,1)),"Unavailable"))</x:f>
      </x:c>
      <x:c r="U408" s="23" t="str">
        <x:f>IF(C408="","",IF(AQ408&lt;&gt;"Ready","Unavailable",IF(C408="","",O408*(1-(1-S408)/(1+INDEX('Facilities'!$K$9:$K$108,MATCH(C408,'Facilities'!$C$9:$C$108,0)))^INDEX('Facilities'!$AK$9:$AK$108,MATCH(C408,'Facilities'!$C$9:$C$108,0)))*R408/(1+INDEX('Facilities'!$K$9:$K$108,MATCH(C408,'Facilities'!$C$9:$C$108,0)))*IF(ABS(1-(1-R408)*(1-INDEX('Facilities'!$R$9:$R$108,MATCH(C408,'Facilities'!$C$9:$C$108,0)))/(1+INDEX('Facilities'!$K$9:$K$108,MATCH(C408,'Facilities'!$C$9:$C$108,0))))&lt;0.000000001,IF(T408=1,MIN(1,AJ408),AJ408),(1-((1-R408)*(1-INDEX('Facilities'!$R$9:$R$108,MATCH(C408,'Facilities'!$C$9:$C$108,0)))/(1+INDEX('Facilities'!$K$9:$K$108,MATCH(C408,'Facilities'!$C$9:$C$108,0))))^IF(T408=1,MIN(1,AJ408),AJ408))/(1-(1-R408)*(1-INDEX('Facilities'!$R$9:$R$108,MATCH(C408,'Facilities'!$C$9:$C$108,0)))/(1+INDEX('Facilities'!$K$9:$K$108,MATCH(C408,'Facilities'!$C$9:$C$108,0)))))+AL408)))</x:f>
      </x:c>
      <x:c r="V408" s="23" t="str">
        <x:f>IF(C408="","",IF(AQ408&lt;&gt;"Ready","Unavailable",IF(C408="","",Q408*INDEX('Facilities'!$I$9:$I$108,MATCH(C408,'Facilities'!$C$9:$C$108,0))*(1-(1-S408)/(1+INDEX('Facilities'!$K$9:$K$108,MATCH(C408,'Facilities'!$C$9:$C$108,0)))^INDEX('Facilities'!$AK$9:$AK$108,MATCH(C408,'Facilities'!$C$9:$C$108,0)))*R408/(1+INDEX('Facilities'!$K$9:$K$108,MATCH(C408,'Facilities'!$C$9:$C$108,0)))*IF(ABS(1-(1-R408)*(1-0)/(1+INDEX('Facilities'!$K$9:$K$108,MATCH(C408,'Facilities'!$C$9:$C$108,0))))&lt;0.000000001,IF(T408=1,MIN(1,AJ408),AJ408),(1-((1-R408)*(1-0)/(1+INDEX('Facilities'!$K$9:$K$108,MATCH(C408,'Facilities'!$C$9:$C$108,0))))^IF(T408=1,MIN(1,AJ408),AJ408))/(1-(1-R408)*(1-0)/(1+INDEX('Facilities'!$K$9:$K$108,MATCH(C408,'Facilities'!$C$9:$C$108,0))))))))</x:f>
      </x:c>
      <x:c r="W408" s="21" t="str">
        <x:f>IF(C408="","",IFERROR(U308,"Unavailable"))</x:f>
      </x:c>
      <x:c r="X408" s="21" t="str">
        <x:f>IF(C408="","",IFERROR(V308,"Unavailable"))</x:f>
      </x:c>
      <x:c r="Y408" s="21" t="str">
        <x:f>IF(C408="","",IF(AQ408&lt;&gt;"Ready","Unavailable",IF(C408="","",U408-W408+V408-X408+N408+AG408)))</x:f>
      </x:c>
      <x:c r="Z408" s="23" t="str">
        <x:f>IF(C408="","",IF(AQ408&lt;&gt;"Ready","Unavailable",IF(C408="","",(G408+O408+L408)/2*INDEX('Facilities'!$T$9:$T$108,MATCH(C408,'Facilities'!$C$9:$C$108,0))+AG408)))</x:f>
      </x:c>
      <x:c r="AA408" s="23" t="str">
        <x:f>IF(C408="","",IF(AQ408&lt;&gt;"Ready","Unavailable",IF(C408="","",O408*(1-IF(INDEX('Facilities'!$AA$9:$AA$108,MATCH(C408,'Facilities'!$C$9:$C$108,0))=0,0,MIN(1,INDEX('Facilities'!$X$9:$X$108,MATCH(C408,'Facilities'!$C$9:$C$108,0))/INDEX('Facilities'!$AA$9:$AA$108,MATCH(C408,'Facilities'!$C$9:$C$108,0)))))*AF408+P408*(1-IF(INDEX('Facilities'!$AA$9:$AA$108,MATCH(C408,'Facilities'!$C$9:$C$108,0))=0,0,MIN(1,INDEX('Facilities'!$X$9:$X$108,MATCH(C408,'Facilities'!$C$9:$C$108,0))/INDEX('Facilities'!$AA$9:$AA$108,MATCH(C408,'Facilities'!$C$9:$C$108,0)))))*INDEX('Facilities'!$AJ$9:$AJ$108,MATCH(C408,'Facilities'!$C$9:$C$108,0))+Q408*INDEX('Facilities'!$AI$9:$AI$108,MATCH(C408,'Facilities'!$C$9:$C$108,0))*AF408)))</x:f>
      </x:c>
      <x:c r="AB408" s="21" t="str">
        <x:f>IF(C408="","",O408+P408-AD408)</x:f>
      </x:c>
      <x:c r="AC408" s="23" t="str">
        <x:f>IF(C408="","",IFERROR(IF(INDEX('Facilities'!$AD$9:$AD$108,MATCH(C408,'Facilities'!$C$9:$C$108,0))=3,0,IF(INDEX('Facilities'!$AN$9:$AN$108,MATCH(C408,'Facilities'!$C$9:$C$108,0))=0,-1,INDEX('Facilities'!$AN$9:$AN$108,MATCH(C408,'Facilities'!$C$9:$C$108,0)))),"Unavailable"))</x:f>
      </x:c>
      <x:c r="AD408" s="21" t="str">
        <x:f>IF(C408="","",IFERROR(G408+H408,"Unavailable"))</x:f>
      </x:c>
      <x:c r="AE408" s="21" t="str">
        <x:f>IF(C408="","",IF(AQ408&lt;&gt;"Ready","Unavailable",IF(C408="","",O408+P408-AD408-J408+K408+M408+N408)))</x:f>
      </x:c>
      <x:c r="AF408" s="30" t="str">
        <x:f>IF(C408="","",IFERROR(INDEX('Facilities'!$S$9:$S$108,MATCH(C408,'Facilities'!$C$9:$C$108,0))*'Scenario Paths'!I75,"Unavailable"))</x:f>
      </x:c>
      <x:c r="AG408" s="23" t="str">
        <x:f>IF(C408="","",IF(AQ408&lt;&gt;"Ready","Unavailable",IF(C408="","",IF(H408&gt;0,MAX(0,H408-AK408)*((1+INDEX('Facilities'!$K$9:$K$108,MATCH(C408,'Facilities'!$C$9:$C$108,0)))^MIN(1,MAX(0,AC408+INDEX('Facilities'!$AK$9:$AK$108,MATCH(C408,'Facilities'!$C$9:$C$108,0))-D408+1))-1),0))))</x:f>
      </x:c>
      <x:c r="AH408" s="21" t="str">
        <x:f>IF(C408="","",IF(AQ408&lt;&gt;"Ready","Unavailable",IF(C408="","",O408+P408)))</x:f>
      </x:c>
      <x:c r="AI408" s="21" t="str">
        <x:f>IF(C408="","",IF(AQ408&lt;&gt;"Ready","Unavailable",IF(C408="","",Z408-Y408)))</x:f>
      </x:c>
      <x:c r="AJ408" s="23" t="str">
        <x:f>IF(C408="","",IFERROR(MAX(0,INDEX('Facilities'!$J$9:$J$108,MATCH(C408,'Facilities'!$C$9:$C$108,0))-D408),"Unavailable"))</x:f>
      </x:c>
      <x:c r="AK408" s="21" t="str">
        <x:f>IF(C408="","",IFERROR(AL308,"Unavailable"))</x:f>
      </x:c>
      <x:c r="AL408" s="23" t="str">
        <x:f>IF(C408="","",IFERROR(IF(P408&gt;0,P408*(1-AM408/(1+INDEX('Facilities'!$K$9:$K$108,MATCH(C408,'Facilities'!$C$9:$C$108,0)))^MAX(0,AC408+INDEX('Facilities'!$AK$9:$AK$108,MATCH(C408,'Facilities'!$C$9:$C$108,0))-D408)),0),"Unavailable"))</x:f>
      </x:c>
      <x:c r="AM408" s="30" t="str">
        <x:f>IF(C408="","",IFERROR(INDEX('Facilities'!$AL$9:$AL$108,MATCH(C408,'Facilities'!$C$9:$C$108,0)),"Unavailable"))</x:f>
      </x:c>
      <x:c r="AN408" s="30" t="str">
        <x:f>IF(C408="","",IFERROR(INDEX(Credit!$T$309:$T$408,MATCH(F408,Credit!$C$309:$C$408,0)),"Unavailable"))</x:f>
      </x:c>
      <x:c r="AO408" s="23" t="str">
        <x:f>IF(C408="","",IF(AQ408&lt;&gt;"Ready","Unavailable",IF(C408="","",O408+P408+Q408*INDEX('Facilities'!$I$9:$I$108,MATCH(C408,'Facilities'!$C$9:$C$108,0)))))</x:f>
      </x:c>
      <x:c r="AP408" s="21" t="str">
        <x:f>IF(C408="","",IF(AQ408&lt;&gt;"Ready","Unavailable",IF(C408="","",AH408-U408)))</x:f>
      </x:c>
      <x:c r="AQ408" s="23" t="str">
        <x:f>IFERROR(IF(C408="","",IF(AND(INDEX('Facilities'!$AF$9:$AF$108,MATCH(C408,'Facilities'!$C$9:$C$108,0))="Ready",INDEX(Credit!$U$309:$U$408,MATCH(F408,Credit!$C$309:$C$408,0))="Ready",ISNUMBER(W408)),"Ready","Review inputs")),"Review inputs")</x:f>
      </x:c>
      <x:c r="AR408" s="23" t="str">
        <x:f>IF(C408="","",IF(AQ408&lt;&gt;"Ready","Unavailable",IF(C408="","",IF(O408=0,0,(IF(AJ408&lt;=1,O408,O408*INDEX('Facilities'!$R$9:$R$108,MATCH(C408,'Facilities'!$C$9:$C$108,0)))+O408*INDEX('Facilities'!$T$9:$T$108,MATCH(C408,'Facilities'!$C$9:$C$108,0)))/12))))</x:f>
      </x:c>
    </x:row>
    <x:row r="409" ht="26" customHeight="1">
      <x:c r="A409" s="1"/>
      <x:c r="B409" s="1"/>
      <x:c r="C409" s="9" t="str">
        <x:f>IF(Facilities!C9="","",Facilities!C9)</x:f>
        <x:v>F001</x:v>
      </x:c>
      <x:c r="D409" s="3" t="n">
        <x:v>5</x:v>
      </x:c>
      <x:c r="E409" s="9" t="n">
        <x:f>Settings!$F$18+4</x:f>
        <x:v>2031</x:v>
      </x:c>
      <x:c r="F409" s="9" t="str">
        <x:f>IF(C409="","",IFERROR(INDEX('Facilities'!$D$9:$D$108,MATCH(C409,'Facilities'!$C$9:$C$108,0)),"Unavailable"))</x:f>
        <x:v>B001</x:v>
      </x:c>
      <x:c r="G409" s="21" t="n">
        <x:f>IF(C409="","",IFERROR(O309,"Unavailable"))</x:f>
        <x:v>3.4223558000000005</x:v>
      </x:c>
      <x:c r="H409" s="21" t="n">
        <x:f>IF(C409="","",IFERROR(P309,"Unavailable"))</x:f>
        <x:v>0</x:v>
      </x:c>
      <x:c r="I409" s="21" t="n">
        <x:f>IF(C409="","",IFERROR(Q309,"Unavailable"))</x:f>
        <x:v>1.002915</x:v>
      </x:c>
      <x:c r="J409" s="23" t="n">
        <x:f>IF(C409="","",IFERROR(IF(OR(H409&gt;0,AND(AC409&gt;=0,AC409&lt;D409),D409&gt;INDEX('Facilities'!$J$9:$J$108,MATCH(C409,'Facilities'!$C$9:$C$108,0))),0,I409*'Scenario Paths'!J81),"Unavailable"))</x:f>
        <x:v>0.05014575</x:v>
      </x:c>
      <x:c r="K409" s="23" t="n">
        <x:f>IF(C409="","",IFERROR(IF(OR(H409&gt;0,AND(AC409&gt;=0,AC409=D409)),0,IF(D409&gt;=INDEX('Facilities'!$J$9:$J$108,MATCH(C409,'Facilities'!$C$9:$C$108,0)),G409+J409,MIN(G409+J409,G409*INDEX('Facilities'!$R$9:$R$108,MATCH(C409,'Facilities'!$C$9:$C$108,0))))),"Unavailable"))</x:f>
        <x:v>0.41068269600000007</x:v>
      </x:c>
      <x:c r="L409" s="21" t="n">
        <x:f>IF(C409="","",IFERROR(IF(AND(AC409=D409,AC409&gt;0),MAX(0,G409+J409-K409),0),"Unavailable"))</x:f>
        <x:v>0</x:v>
      </x:c>
      <x:c r="M409" s="23" t="n">
        <x:f>IF(C409="","",IFERROR(IF(AND(AC409&gt;=0,D409&gt;=AC409+INDEX('Facilities'!$AK$9:$AK$108,MATCH(C409,'Facilities'!$C$9:$C$108,0))),(H409+L409)*AM409,0),"Unavailable"))</x:f>
        <x:v>0</x:v>
      </x:c>
      <x:c r="N409" s="23" t="n">
        <x:f>IF(C409="","",IFERROR(IF(AND(AC409&gt;=0,D409&gt;=AC409+INDEX('Facilities'!$AK$9:$AK$108,MATCH(C409,'Facilities'!$C$9:$C$108,0))),H409+L409-M409,0),"Unavailable"))</x:f>
        <x:v>0</x:v>
      </x:c>
      <x:c r="O409" s="21" t="n">
        <x:f>IF(C409="","",IFERROR(MAX(0,G409+J409-K409-L409),"Unavailable"))</x:f>
        <x:v>3.061818854</x:v>
      </x:c>
      <x:c r="P409" s="21" t="n">
        <x:f>IF(C409="","",IFERROR(MAX(0,H409+L409-M409-N409),"Unavailable"))</x:f>
        <x:v>0</x:v>
      </x:c>
      <x:c r="Q409" s="23" t="n">
        <x:f>IF(C409="","",IFERROR(IF(OR(D409&gt;=INDEX('Facilities'!$J$9:$J$108,MATCH(C409,'Facilities'!$C$9:$C$108,0)),AND(AC409&gt;=0,AC409&lt;=D409)),0,MAX(0,I409-J409)),"Unavailable"))</x:f>
        <x:v>0.95276925</x:v>
      </x:c>
      <x:c r="R409" s="30" t="n">
        <x:f>IF(C409="","",IFERROR(INDEX(Credit!$Q$409:$Q$508,MATCH(F409,Credit!$C$409:$C$508,0)),"Unavailable"))</x:f>
        <x:v>0.12126329651541977</x:v>
      </x:c>
      <x:c r="S409" s="30" t="n">
        <x:f>IF(C409="","",IFERROR(INDEX(Credit!$R$409:$R$508,MATCH(F409,Credit!$C$409:$C$508,0)),"Unavailable"))</x:f>
        <x:v>0.28161280000000005</x:v>
      </x:c>
      <x:c r="T409" s="23" t="n">
        <x:f>IF(C409="","",IFERROR(IF(P409&gt;0,3,IF(OR(INDEX('Facilities'!$AD$9:$AD$108,MATCH(C409,'Facilities'!$C$9:$C$108,0))=2,AND(R409&gt;=INDEX('Facilities'!$L$9:$L$108,MATCH(C409,'Facilities'!$C$9:$C$108,0))*Settings!$F$19,R409-INDEX('Facilities'!$L$9:$L$108,MATCH(C409,'Facilities'!$C$9:$C$108,0))&gt;=Settings!$F$20)),2,1)),"Unavailable"))</x:f>
        <x:v>2</x:v>
      </x:c>
      <x:c r="U409" s="23" t="n">
        <x:f>IF(C409="","",IF(AQ409&lt;&gt;"Ready","Unavailable",IF(C409="","",O409*(1-(1-S409)/(1+INDEX('Facilities'!$K$9:$K$108,MATCH(C409,'Facilities'!$C$9:$C$108,0)))^INDEX('Facilities'!$AK$9:$AK$108,MATCH(C409,'Facilities'!$C$9:$C$108,0)))*R409/(1+INDEX('Facilities'!$K$9:$K$108,MATCH(C409,'Facilities'!$C$9:$C$108,0)))*IF(ABS(1-(1-R409)*(1-INDEX('Facilities'!$R$9:$R$108,MATCH(C409,'Facilities'!$C$9:$C$108,0)))/(1+INDEX('Facilities'!$K$9:$K$108,MATCH(C409,'Facilities'!$C$9:$C$108,0))))&lt;0.000000001,IF(T409=1,MIN(1,AJ409),AJ409),(1-((1-R409)*(1-INDEX('Facilities'!$R$9:$R$108,MATCH(C409,'Facilities'!$C$9:$C$108,0)))/(1+INDEX('Facilities'!$K$9:$K$108,MATCH(C409,'Facilities'!$C$9:$C$108,0))))^IF(T409=1,MIN(1,AJ409),AJ409))/(1-(1-R409)*(1-INDEX('Facilities'!$R$9:$R$108,MATCH(C409,'Facilities'!$C$9:$C$108,0)))/(1+INDEX('Facilities'!$K$9:$K$108,MATCH(C409,'Facilities'!$C$9:$C$108,0)))))+AL409)))</x:f>
        <x:v>0.4201077015861952</x:v>
      </x:c>
      <x:c r="V409" s="23" t="n">
        <x:f>IF(C409="","",IF(AQ409&lt;&gt;"Ready","Unavailable",IF(C409="","",Q409*INDEX('Facilities'!$I$9:$I$108,MATCH(C409,'Facilities'!$C$9:$C$108,0))*(1-(1-S409)/(1+INDEX('Facilities'!$K$9:$K$108,MATCH(C409,'Facilities'!$C$9:$C$108,0)))^INDEX('Facilities'!$AK$9:$AK$108,MATCH(C409,'Facilities'!$C$9:$C$108,0)))*R409/(1+INDEX('Facilities'!$K$9:$K$108,MATCH(C409,'Facilities'!$C$9:$C$108,0)))*IF(ABS(1-(1-R409)*(1-0)/(1+INDEX('Facilities'!$K$9:$K$108,MATCH(C409,'Facilities'!$C$9:$C$108,0))))&lt;0.000000001,IF(T409=1,MIN(1,AJ409),AJ409),(1-((1-R409)*(1-0)/(1+INDEX('Facilities'!$K$9:$K$108,MATCH(C409,'Facilities'!$C$9:$C$108,0))))^IF(T409=1,MIN(1,AJ409),AJ409))/(1-(1-R409)*(1-0)/(1+INDEX('Facilities'!$K$9:$K$108,MATCH(C409,'Facilities'!$C$9:$C$108,0))))))))</x:f>
        <x:v>0.08422047367745307</x:v>
      </x:c>
      <x:c r="W409" s="21" t="n">
        <x:f>IF(C409="","",IFERROR(U309,"Unavailable"))</x:f>
        <x:v>0.49027468012907854</x:v>
      </x:c>
      <x:c r="X409" s="21" t="n">
        <x:f>IF(C409="","",IFERROR(V309,"Unavailable"))</x:f>
        <x:v>0.09487285140527184</x:v>
      </x:c>
      <x:c r="Y409" s="21" t="n">
        <x:f>IF(C409="","",IF(AQ409&lt;&gt;"Ready","Unavailable",IF(C409="","",U409-W409+V409-X409+N409+AG409)))</x:f>
        <x:v>-0.08081935627070211</x:v>
      </x:c>
      <x:c r="Z409" s="23" t="n">
        <x:f>IF(C409="","",IF(AQ409&lt;&gt;"Ready","Unavailable",IF(C409="","",(G409+O409+L409)/2*INDEX('Facilities'!$T$9:$T$108,MATCH(C409,'Facilities'!$C$9:$C$108,0))+AG409)))</x:f>
        <x:v>0.307998296065</x:v>
      </x:c>
      <x:c r="AA409" s="23" t="n">
        <x:f>IF(C409="","",IF(AQ409&lt;&gt;"Ready","Unavailable",IF(C409="","",O409*(1-IF(INDEX('Facilities'!$AA$9:$AA$108,MATCH(C409,'Facilities'!$C$9:$C$108,0))=0,0,MIN(1,INDEX('Facilities'!$X$9:$X$108,MATCH(C409,'Facilities'!$C$9:$C$108,0))/INDEX('Facilities'!$AA$9:$AA$108,MATCH(C409,'Facilities'!$C$9:$C$108,0)))))*AF409+P409*(1-IF(INDEX('Facilities'!$AA$9:$AA$108,MATCH(C409,'Facilities'!$C$9:$C$108,0))=0,0,MIN(1,INDEX('Facilities'!$X$9:$X$108,MATCH(C409,'Facilities'!$C$9:$C$108,0))/INDEX('Facilities'!$AA$9:$AA$108,MATCH(C409,'Facilities'!$C$9:$C$108,0)))))*INDEX('Facilities'!$AJ$9:$AJ$108,MATCH(C409,'Facilities'!$C$9:$C$108,0))+Q409*INDEX('Facilities'!$AI$9:$AI$108,MATCH(C409,'Facilities'!$C$9:$C$108,0))*AF409)))</x:f>
        <x:v>4.3970350703764005</x:v>
      </x:c>
      <x:c r="AB409" s="21" t="n">
        <x:f>IF(C409="","",O409+P409-AD409)</x:f>
        <x:v>-0.3605369460000003</x:v>
      </x:c>
      <x:c r="AC409" s="23" t="n">
        <x:f>IF(C409="","",IFERROR(IF(INDEX('Facilities'!$AD$9:$AD$108,MATCH(C409,'Facilities'!$C$9:$C$108,0))=3,0,IF(INDEX('Facilities'!$AN$9:$AN$108,MATCH(C409,'Facilities'!$C$9:$C$108,0))=0,-1,INDEX('Facilities'!$AN$9:$AN$108,MATCH(C409,'Facilities'!$C$9:$C$108,0)))),"Unavailable"))</x:f>
        <x:v>-1</x:v>
      </x:c>
      <x:c r="AD409" s="21" t="n">
        <x:f>IF(C409="","",IFERROR(G409+H409,"Unavailable"))</x:f>
        <x:v>3.4223558000000005</x:v>
      </x:c>
      <x:c r="AE409" s="21" t="n">
        <x:f>IF(C409="","",IF(AQ409&lt;&gt;"Ready","Unavailable",IF(C409="","",O409+P409-AD409-J409+K409+M409+N409)))</x:f>
        <x:v>-2.220446049250313e-16</x:v>
      </x:c>
      <x:c r="AF409" s="30" t="n">
        <x:f>IF(C409="","",IFERROR(INDEX('Facilities'!$S$9:$S$108,MATCH(C409,'Facilities'!$C$9:$C$108,0))*'Scenario Paths'!J75,"Unavailable"))</x:f>
        <x:v>1.25</x:v>
      </x:c>
      <x:c r="AG409" s="23" t="n">
        <x:f>IF(C409="","",IF(AQ409&lt;&gt;"Ready","Unavailable",IF(C409="","",IF(H409&gt;0,MAX(0,H409-AK409)*((1+INDEX('Facilities'!$K$9:$K$108,MATCH(C409,'Facilities'!$C$9:$C$108,0)))^MIN(1,MAX(0,AC409+INDEX('Facilities'!$AK$9:$AK$108,MATCH(C409,'Facilities'!$C$9:$C$108,0))-D409+1))-1),0))))</x:f>
        <x:v>0</x:v>
      </x:c>
      <x:c r="AH409" s="21" t="n">
        <x:f>IF(C409="","",IF(AQ409&lt;&gt;"Ready","Unavailable",IF(C409="","",O409+P409)))</x:f>
        <x:v>3.061818854</x:v>
      </x:c>
      <x:c r="AI409" s="21" t="n">
        <x:f>IF(C409="","",IF(AQ409&lt;&gt;"Ready","Unavailable",IF(C409="","",Z409-Y409)))</x:f>
        <x:v>0.3888176523357021</x:v>
      </x:c>
      <x:c r="AJ409" s="23" t="n">
        <x:f>IF(C409="","",IFERROR(MAX(0,INDEX('Facilities'!$J$9:$J$108,MATCH(C409,'Facilities'!$C$9:$C$108,0))-D409),"Unavailable"))</x:f>
        <x:v>7</x:v>
      </x:c>
      <x:c r="AK409" s="21" t="n">
        <x:f>IF(C409="","",IFERROR(AL309,"Unavailable"))</x:f>
        <x:v>0</x:v>
      </x:c>
      <x:c r="AL409" s="23" t="n">
        <x:f>IF(C409="","",IFERROR(IF(P409&gt;0,P409*(1-AM409/(1+INDEX('Facilities'!$K$9:$K$108,MATCH(C409,'Facilities'!$C$9:$C$108,0)))^MAX(0,AC409+INDEX('Facilities'!$AK$9:$AK$108,MATCH(C409,'Facilities'!$C$9:$C$108,0))-D409)),0),"Unavailable"))</x:f>
        <x:v>0</x:v>
      </x:c>
      <x:c r="AM409" s="30" t="n">
        <x:f>IF(C409="","",IFERROR(INDEX('Facilities'!$AL$9:$AL$108,MATCH(C409,'Facilities'!$C$9:$C$108,0)),"Unavailable"))</x:f>
        <x:v>0.55</x:v>
      </x:c>
      <x:c r="AN409" s="30" t="n">
        <x:f>IF(C409="","",IFERROR(INDEX(Credit!$T$409:$T$508,MATCH(F409,Credit!$C$409:$C$508,0)),"Unavailable"))</x:f>
        <x:v>0.0022400000000000002</x:v>
      </x:c>
      <x:c r="AO409" s="23" t="n">
        <x:f>IF(C409="","",IF(AQ409&lt;&gt;"Ready","Unavailable",IF(C409="","",O409+P409+Q409*INDEX('Facilities'!$I$9:$I$108,MATCH(C409,'Facilities'!$C$9:$C$108,0)))))</x:f>
        <x:v>3.5382034790000003</x:v>
      </x:c>
      <x:c r="AP409" s="21" t="n">
        <x:f>IF(C409="","",IF(AQ409&lt;&gt;"Ready","Unavailable",IF(C409="","",AH409-U409)))</x:f>
        <x:v>2.641711152413805</x:v>
      </x:c>
      <x:c r="AQ409" s="23" t="str">
        <x:f>IFERROR(IF(C409="","",IF(AND(INDEX('Facilities'!$AF$9:$AF$108,MATCH(C409,'Facilities'!$C$9:$C$108,0))="Ready",INDEX(Credit!$U$409:$U$508,MATCH(F409,Credit!$C$409:$C$508,0))="Ready",ISNUMBER(W409)),"Ready","Review inputs")),"Review inputs")</x:f>
        <x:v>Ready</x:v>
      </x:c>
      <x:c r="AR409" s="23" t="n">
        <x:f>IF(C409="","",IF(AQ409&lt;&gt;"Ready","Unavailable",IF(C409="","",IF(O409=0,0,(IF(AJ409&lt;=1,O409,O409*INDEX('Facilities'!$R$9:$R$108,MATCH(C409,'Facilities'!$C$9:$C$108,0)))+O409*INDEX('Facilities'!$T$9:$T$108,MATCH(C409,'Facilities'!$C$9:$C$108,0)))/12))))</x:f>
        <x:v>0.054857587800833336</x:v>
      </x:c>
    </x:row>
    <x:row r="410" ht="26" customHeight="1">
      <x:c r="A410" s="1"/>
      <x:c r="B410" s="1"/>
      <x:c r="C410" s="9" t="str">
        <x:f>IF(Facilities!C10="","",Facilities!C10)</x:f>
        <x:v>F002</x:v>
      </x:c>
      <x:c r="D410" s="3" t="n">
        <x:v>5</x:v>
      </x:c>
      <x:c r="E410" s="9" t="n">
        <x:f>Settings!$F$18+4</x:f>
        <x:v>2031</x:v>
      </x:c>
      <x:c r="F410" s="9" t="str">
        <x:f>IF(C410="","",IFERROR(INDEX('Facilities'!$D$9:$D$108,MATCH(C410,'Facilities'!$C$9:$C$108,0)),"Unavailable"))</x:f>
        <x:v>B001</x:v>
      </x:c>
      <x:c r="G410" s="21" t="n">
        <x:f>IF(C410="","",IFERROR(O310,"Unavailable"))</x:f>
        <x:v>1.6405314</x:v>
      </x:c>
      <x:c r="H410" s="21" t="n">
        <x:f>IF(C410="","",IFERROR(P310,"Unavailable"))</x:f>
        <x:v>0</x:v>
      </x:c>
      <x:c r="I410" s="21" t="n">
        <x:f>IF(C410="","",IFERROR(Q310,"Unavailable"))</x:f>
        <x:v>0.334305</x:v>
      </x:c>
      <x:c r="J410" s="23" t="n">
        <x:f>IF(C410="","",IFERROR(IF(OR(H410&gt;0,AND(AC410&gt;=0,AC410&lt;D410),D410&gt;INDEX('Facilities'!$J$9:$J$108,MATCH(C410,'Facilities'!$C$9:$C$108,0))),0,I410*'Scenario Paths'!J81),"Unavailable"))</x:f>
        <x:v>0.01671525</x:v>
      </x:c>
      <x:c r="K410" s="23" t="n">
        <x:f>IF(C410="","",IFERROR(IF(OR(H410&gt;0,AND(AC410&gt;=0,AC410=D410)),0,IF(D410&gt;=INDEX('Facilities'!$J$9:$J$108,MATCH(C410,'Facilities'!$C$9:$C$108,0)),G410+J410,MIN(G410+J410,G410*INDEX('Facilities'!$R$9:$R$108,MATCH(C410,'Facilities'!$C$9:$C$108,0))))),"Unavailable"))</x:f>
        <x:v>0.196863768</x:v>
      </x:c>
      <x:c r="L410" s="21" t="n">
        <x:f>IF(C410="","",IFERROR(IF(AND(AC410=D410,AC410&gt;0),MAX(0,G410+J410-K410),0),"Unavailable"))</x:f>
        <x:v>0</x:v>
      </x:c>
      <x:c r="M410" s="23" t="n">
        <x:f>IF(C410="","",IFERROR(IF(AND(AC410&gt;=0,D410&gt;=AC410+INDEX('Facilities'!$AK$9:$AK$108,MATCH(C410,'Facilities'!$C$9:$C$108,0))),(H410+L410)*AM410,0),"Unavailable"))</x:f>
        <x:v>0</x:v>
      </x:c>
      <x:c r="N410" s="23" t="n">
        <x:f>IF(C410="","",IFERROR(IF(AND(AC410&gt;=0,D410&gt;=AC410+INDEX('Facilities'!$AK$9:$AK$108,MATCH(C410,'Facilities'!$C$9:$C$108,0))),H410+L410-M410,0),"Unavailable"))</x:f>
        <x:v>0</x:v>
      </x:c>
      <x:c r="O410" s="21" t="n">
        <x:f>IF(C410="","",IFERROR(MAX(0,G410+J410-K410-L410),"Unavailable"))</x:f>
        <x:v>1.460382882</x:v>
      </x:c>
      <x:c r="P410" s="21" t="n">
        <x:f>IF(C410="","",IFERROR(MAX(0,H410+L410-M410-N410),"Unavailable"))</x:f>
        <x:v>0</x:v>
      </x:c>
      <x:c r="Q410" s="23" t="n">
        <x:f>IF(C410="","",IFERROR(IF(OR(D410&gt;=INDEX('Facilities'!$J$9:$J$108,MATCH(C410,'Facilities'!$C$9:$C$108,0)),AND(AC410&gt;=0,AC410&lt;=D410)),0,MAX(0,I410-J410)),"Unavailable"))</x:f>
        <x:v>0.31758975</x:v>
      </x:c>
      <x:c r="R410" s="30" t="n">
        <x:f>IF(C410="","",IFERROR(INDEX(Credit!$Q$409:$Q$508,MATCH(F410,Credit!$C$409:$C$508,0)),"Unavailable"))</x:f>
        <x:v>0.12126329651541977</x:v>
      </x:c>
      <x:c r="S410" s="30" t="n">
        <x:f>IF(C410="","",IFERROR(INDEX(Credit!$R$409:$R$508,MATCH(F410,Credit!$C$409:$C$508,0)),"Unavailable"))</x:f>
        <x:v>0.28161280000000005</x:v>
      </x:c>
      <x:c r="T410" s="23" t="n">
        <x:f>IF(C410="","",IFERROR(IF(P410&gt;0,3,IF(OR(INDEX('Facilities'!$AD$9:$AD$108,MATCH(C410,'Facilities'!$C$9:$C$108,0))=2,AND(R410&gt;=INDEX('Facilities'!$L$9:$L$108,MATCH(C410,'Facilities'!$C$9:$C$108,0))*Settings!$F$19,R410-INDEX('Facilities'!$L$9:$L$108,MATCH(C410,'Facilities'!$C$9:$C$108,0))&gt;=Settings!$F$20)),2,1)),"Unavailable"))</x:f>
        <x:v>2</x:v>
      </x:c>
      <x:c r="U410" s="23" t="n">
        <x:f>IF(C410="","",IF(AQ410&lt;&gt;"Ready","Unavailable",IF(C410="","",O410*(1-(1-S410)/(1+INDEX('Facilities'!$K$9:$K$108,MATCH(C410,'Facilities'!$C$9:$C$108,0)))^INDEX('Facilities'!$AK$9:$AK$108,MATCH(C410,'Facilities'!$C$9:$C$108,0)))*R410/(1+INDEX('Facilities'!$K$9:$K$108,MATCH(C410,'Facilities'!$C$9:$C$108,0)))*IF(ABS(1-(1-R410)*(1-INDEX('Facilities'!$R$9:$R$108,MATCH(C410,'Facilities'!$C$9:$C$108,0)))/(1+INDEX('Facilities'!$K$9:$K$108,MATCH(C410,'Facilities'!$C$9:$C$108,0))))&lt;0.000000001,IF(T410=1,MIN(1,AJ410),AJ410),(1-((1-R410)*(1-INDEX('Facilities'!$R$9:$R$108,MATCH(C410,'Facilities'!$C$9:$C$108,0)))/(1+INDEX('Facilities'!$K$9:$K$108,MATCH(C410,'Facilities'!$C$9:$C$108,0))))^IF(T410=1,MIN(1,AJ410),AJ410))/(1-(1-R410)*(1-INDEX('Facilities'!$R$9:$R$108,MATCH(C410,'Facilities'!$C$9:$C$108,0)))/(1+INDEX('Facilities'!$K$9:$K$108,MATCH(C410,'Facilities'!$C$9:$C$108,0)))))+AL410)))</x:f>
        <x:v>0.20037700636382702</x:v>
      </x:c>
      <x:c r="V410" s="23" t="n">
        <x:f>IF(C410="","",IF(AQ410&lt;&gt;"Ready","Unavailable",IF(C410="","",Q410*INDEX('Facilities'!$I$9:$I$108,MATCH(C410,'Facilities'!$C$9:$C$108,0))*(1-(1-S410)/(1+INDEX('Facilities'!$K$9:$K$108,MATCH(C410,'Facilities'!$C$9:$C$108,0)))^INDEX('Facilities'!$AK$9:$AK$108,MATCH(C410,'Facilities'!$C$9:$C$108,0)))*R410/(1+INDEX('Facilities'!$K$9:$K$108,MATCH(C410,'Facilities'!$C$9:$C$108,0)))*IF(ABS(1-(1-R410)*(1-0)/(1+INDEX('Facilities'!$K$9:$K$108,MATCH(C410,'Facilities'!$C$9:$C$108,0))))&lt;0.000000001,IF(T410=1,MIN(1,AJ410),AJ410),(1-((1-R410)*(1-0)/(1+INDEX('Facilities'!$K$9:$K$108,MATCH(C410,'Facilities'!$C$9:$C$108,0))))^IF(T410=1,MIN(1,AJ410),AJ410))/(1-(1-R410)*(1-0)/(1+INDEX('Facilities'!$K$9:$K$108,MATCH(C410,'Facilities'!$C$9:$C$108,0))))))))</x:f>
        <x:v>0.028073491225817686</x:v>
      </x:c>
      <x:c r="W410" s="21" t="n">
        <x:f>IF(C410="","",IFERROR(U310,"Unavailable"))</x:f>
        <x:v>0.23501677042951213</x:v>
      </x:c>
      <x:c r="X410" s="21" t="n">
        <x:f>IF(C410="","",IFERROR(V310,"Unavailable"))</x:f>
        <x:v>0.03162428380175728</x:v>
      </x:c>
      <x:c r="Y410" s="21" t="n">
        <x:f>IF(C410="","",IF(AQ410&lt;&gt;"Ready","Unavailable",IF(C410="","",U410-W410+V410-X410+N410+AG410)))</x:f>
        <x:v>-0.03819055664162471</x:v>
      </x:c>
      <x:c r="Z410" s="23" t="n">
        <x:f>IF(C410="","",IF(AQ410&lt;&gt;"Ready","Unavailable",IF(C410="","",(G410+O410+L410)/2*INDEX('Facilities'!$T$9:$T$108,MATCH(C410,'Facilities'!$C$9:$C$108,0))+AG410)))</x:f>
        <x:v>0.14729342839499998</x:v>
      </x:c>
      <x:c r="AA410" s="23" t="n">
        <x:f>IF(C410="","",IF(AQ410&lt;&gt;"Ready","Unavailable",IF(C410="","",O410*(1-IF(INDEX('Facilities'!$AA$9:$AA$108,MATCH(C410,'Facilities'!$C$9:$C$108,0))=0,0,MIN(1,INDEX('Facilities'!$X$9:$X$108,MATCH(C410,'Facilities'!$C$9:$C$108,0))/INDEX('Facilities'!$AA$9:$AA$108,MATCH(C410,'Facilities'!$C$9:$C$108,0)))))*AF410+P410*(1-IF(INDEX('Facilities'!$AA$9:$AA$108,MATCH(C410,'Facilities'!$C$9:$C$108,0))=0,0,MIN(1,INDEX('Facilities'!$X$9:$X$108,MATCH(C410,'Facilities'!$C$9:$C$108,0))/INDEX('Facilities'!$AA$9:$AA$108,MATCH(C410,'Facilities'!$C$9:$C$108,0)))))*INDEX('Facilities'!$AJ$9:$AJ$108,MATCH(C410,'Facilities'!$C$9:$C$108,0))+Q410*INDEX('Facilities'!$AI$9:$AI$108,MATCH(C410,'Facilities'!$C$9:$C$108,0))*AF410)))</x:f>
        <x:v>2.0117049800412</x:v>
      </x:c>
      <x:c r="AB410" s="21" t="n">
        <x:f>IF(C410="","",O410+P410-AD410)</x:f>
        <x:v>-0.18014851799999998</x:v>
      </x:c>
      <x:c r="AC410" s="23" t="n">
        <x:f>IF(C410="","",IFERROR(IF(INDEX('Facilities'!$AD$9:$AD$108,MATCH(C410,'Facilities'!$C$9:$C$108,0))=3,0,IF(INDEX('Facilities'!$AN$9:$AN$108,MATCH(C410,'Facilities'!$C$9:$C$108,0))=0,-1,INDEX('Facilities'!$AN$9:$AN$108,MATCH(C410,'Facilities'!$C$9:$C$108,0)))),"Unavailable"))</x:f>
        <x:v>-1</x:v>
      </x:c>
      <x:c r="AD410" s="21" t="n">
        <x:f>IF(C410="","",IFERROR(G410+H410,"Unavailable"))</x:f>
        <x:v>1.6405314</x:v>
      </x:c>
      <x:c r="AE410" s="21" t="n">
        <x:f>IF(C410="","",IF(AQ410&lt;&gt;"Ready","Unavailable",IF(C410="","",O410+P410-AD410-J410+K410+M410+N410)))</x:f>
        <x:v>0</x:v>
      </x:c>
      <x:c r="AF410" s="30" t="n">
        <x:f>IF(C410="","",IFERROR(INDEX('Facilities'!$S$9:$S$108,MATCH(C410,'Facilities'!$C$9:$C$108,0))*'Scenario Paths'!J75,"Unavailable"))</x:f>
        <x:v>1.25</x:v>
      </x:c>
      <x:c r="AG410" s="23" t="n">
        <x:f>IF(C410="","",IF(AQ410&lt;&gt;"Ready","Unavailable",IF(C410="","",IF(H410&gt;0,MAX(0,H410-AK410)*((1+INDEX('Facilities'!$K$9:$K$108,MATCH(C410,'Facilities'!$C$9:$C$108,0)))^MIN(1,MAX(0,AC410+INDEX('Facilities'!$AK$9:$AK$108,MATCH(C410,'Facilities'!$C$9:$C$108,0))-D410+1))-1),0))))</x:f>
        <x:v>0</x:v>
      </x:c>
      <x:c r="AH410" s="21" t="n">
        <x:f>IF(C410="","",IF(AQ410&lt;&gt;"Ready","Unavailable",IF(C410="","",O410+P410)))</x:f>
        <x:v>1.460382882</x:v>
      </x:c>
      <x:c r="AI410" s="21" t="n">
        <x:f>IF(C410="","",IF(AQ410&lt;&gt;"Ready","Unavailable",IF(C410="","",Z410-Y410)))</x:f>
        <x:v>0.1854839850366247</x:v>
      </x:c>
      <x:c r="AJ410" s="23" t="n">
        <x:f>IF(C410="","",IFERROR(MAX(0,INDEX('Facilities'!$J$9:$J$108,MATCH(C410,'Facilities'!$C$9:$C$108,0))-D410),"Unavailable"))</x:f>
        <x:v>7</x:v>
      </x:c>
      <x:c r="AK410" s="21" t="n">
        <x:f>IF(C410="","",IFERROR(AL310,"Unavailable"))</x:f>
        <x:v>0</x:v>
      </x:c>
      <x:c r="AL410" s="23" t="n">
        <x:f>IF(C410="","",IFERROR(IF(P410&gt;0,P410*(1-AM410/(1+INDEX('Facilities'!$K$9:$K$108,MATCH(C410,'Facilities'!$C$9:$C$108,0)))^MAX(0,AC410+INDEX('Facilities'!$AK$9:$AK$108,MATCH(C410,'Facilities'!$C$9:$C$108,0))-D410)),0),"Unavailable"))</x:f>
        <x:v>0</x:v>
      </x:c>
      <x:c r="AM410" s="30" t="n">
        <x:f>IF(C410="","",IFERROR(INDEX('Facilities'!$AL$9:$AL$108,MATCH(C410,'Facilities'!$C$9:$C$108,0)),"Unavailable"))</x:f>
        <x:v>0.55</x:v>
      </x:c>
      <x:c r="AN410" s="30" t="n">
        <x:f>IF(C410="","",IFERROR(INDEX(Credit!$T$409:$T$508,MATCH(F410,Credit!$C$409:$C$508,0)),"Unavailable"))</x:f>
        <x:v>0.0022400000000000002</x:v>
      </x:c>
      <x:c r="AO410" s="23" t="n">
        <x:f>IF(C410="","",IF(AQ410&lt;&gt;"Ready","Unavailable",IF(C410="","",O410+P410+Q410*INDEX('Facilities'!$I$9:$I$108,MATCH(C410,'Facilities'!$C$9:$C$108,0)))))</x:f>
        <x:v>1.619177757</x:v>
      </x:c>
      <x:c r="AP410" s="21" t="n">
        <x:f>IF(C410="","",IF(AQ410&lt;&gt;"Ready","Unavailable",IF(C410="","",AH410-U410)))</x:f>
        <x:v>1.260005875636173</x:v>
      </x:c>
      <x:c r="AQ410" s="23" t="str">
        <x:f>IFERROR(IF(C410="","",IF(AND(INDEX('Facilities'!$AF$9:$AF$108,MATCH(C410,'Facilities'!$C$9:$C$108,0))="Ready",INDEX(Credit!$U$409:$U$508,MATCH(F410,Credit!$C$409:$C$508,0))="Ready",ISNUMBER(W410)),"Ready","Review inputs")),"Review inputs")</x:f>
        <x:v>Ready</x:v>
      </x:c>
      <x:c r="AR410" s="23" t="n">
        <x:f>IF(C410="","",IF(AQ410&lt;&gt;"Ready","Unavailable",IF(C410="","",IF(O410=0,0,(IF(AJ410&lt;=1,O410,O410*INDEX('Facilities'!$R$9:$R$108,MATCH(C410,'Facilities'!$C$9:$C$108,0)))+O410*INDEX('Facilities'!$T$9:$T$108,MATCH(C410,'Facilities'!$C$9:$C$108,0)))/12))))</x:f>
        <x:v>0.0261651933025</x:v>
      </x:c>
    </x:row>
    <x:row r="411" ht="26" customHeight="1">
      <x:c r="A411" s="1"/>
      <x:c r="B411" s="1"/>
      <x:c r="C411" s="9" t="str">
        <x:f>IF(Facilities!C11="","",Facilities!C11)</x:f>
        <x:v>F003</x:v>
      </x:c>
      <x:c r="D411" s="3" t="n">
        <x:v>5</x:v>
      </x:c>
      <x:c r="E411" s="9" t="n">
        <x:f>Settings!$F$18+4</x:f>
        <x:v>2031</x:v>
      </x:c>
      <x:c r="F411" s="9" t="str">
        <x:f>IF(C411="","",IFERROR(INDEX('Facilities'!$D$9:$D$108,MATCH(C411,'Facilities'!$C$9:$C$108,0)),"Unavailable"))</x:f>
        <x:v>B002</x:v>
      </x:c>
      <x:c r="G411" s="21" t="n">
        <x:f>IF(C411="","",IFERROR(O311,"Unavailable"))</x:f>
        <x:v>3.632249176</x:v>
      </x:c>
      <x:c r="H411" s="21" t="n">
        <x:f>IF(C411="","",IFERROR(P311,"Unavailable"))</x:f>
        <x:v>0</x:v>
      </x:c>
      <x:c r="I411" s="21" t="n">
        <x:f>IF(C411="","",IFERROR(Q311,"Unavailable"))</x:f>
        <x:v>1.002915</x:v>
      </x:c>
      <x:c r="J411" s="23" t="n">
        <x:f>IF(C411="","",IFERROR(IF(OR(H411&gt;0,AND(AC411&gt;=0,AC411&lt;D411),D411&gt;INDEX('Facilities'!$J$9:$J$108,MATCH(C411,'Facilities'!$C$9:$C$108,0))),0,I411*'Scenario Paths'!J81),"Unavailable"))</x:f>
        <x:v>0.05014575</x:v>
      </x:c>
      <x:c r="K411" s="23" t="n">
        <x:f>IF(C411="","",IFERROR(IF(OR(H411&gt;0,AND(AC411&gt;=0,AC411=D411)),0,IF(D411&gt;=INDEX('Facilities'!$J$9:$J$108,MATCH(C411,'Facilities'!$C$9:$C$108,0)),G411+J411,MIN(G411+J411,G411*INDEX('Facilities'!$R$9:$R$108,MATCH(C411,'Facilities'!$C$9:$C$108,0))))),"Unavailable"))</x:f>
        <x:v>0.43586990112</x:v>
      </x:c>
      <x:c r="L411" s="21" t="n">
        <x:f>IF(C411="","",IFERROR(IF(AND(AC411=D411,AC411&gt;0),MAX(0,G411+J411-K411),0),"Unavailable"))</x:f>
        <x:v>0</x:v>
      </x:c>
      <x:c r="M411" s="23" t="n">
        <x:f>IF(C411="","",IFERROR(IF(AND(AC411&gt;=0,D411&gt;=AC411+INDEX('Facilities'!$AK$9:$AK$108,MATCH(C411,'Facilities'!$C$9:$C$108,0))),(H411+L411)*AM411,0),"Unavailable"))</x:f>
        <x:v>0</x:v>
      </x:c>
      <x:c r="N411" s="23" t="n">
        <x:f>IF(C411="","",IFERROR(IF(AND(AC411&gt;=0,D411&gt;=AC411+INDEX('Facilities'!$AK$9:$AK$108,MATCH(C411,'Facilities'!$C$9:$C$108,0))),H411+L411-M411,0),"Unavailable"))</x:f>
        <x:v>0</x:v>
      </x:c>
      <x:c r="O411" s="21" t="n">
        <x:f>IF(C411="","",IFERROR(MAX(0,G411+J411-K411-L411),"Unavailable"))</x:f>
        <x:v>3.2465250248800004</x:v>
      </x:c>
      <x:c r="P411" s="21" t="n">
        <x:f>IF(C411="","",IFERROR(MAX(0,H411+L411-M411-N411),"Unavailable"))</x:f>
        <x:v>0</x:v>
      </x:c>
      <x:c r="Q411" s="23" t="n">
        <x:f>IF(C411="","",IFERROR(IF(OR(D411&gt;=INDEX('Facilities'!$J$9:$J$108,MATCH(C411,'Facilities'!$C$9:$C$108,0)),AND(AC411&gt;=0,AC411&lt;=D411)),0,MAX(0,I411-J411)),"Unavailable"))</x:f>
        <x:v>0.95276925</x:v>
      </x:c>
      <x:c r="R411" s="30" t="n">
        <x:f>IF(C411="","",IFERROR(INDEX(Credit!$Q$409:$Q$508,MATCH(F411,Credit!$C$409:$C$508,0)),"Unavailable"))</x:f>
        <x:v>0.01952031196467032</x:v>
      </x:c>
      <x:c r="S411" s="30" t="n">
        <x:f>IF(C411="","",IFERROR(INDEX(Credit!$R$409:$R$508,MATCH(F411,Credit!$C$409:$C$508,0)),"Unavailable"))</x:f>
        <x:v>0.3234816</x:v>
      </x:c>
      <x:c r="T411" s="23" t="n">
        <x:f>IF(C411="","",IFERROR(IF(P411&gt;0,3,IF(OR(INDEX('Facilities'!$AD$9:$AD$108,MATCH(C411,'Facilities'!$C$9:$C$108,0))=2,AND(R411&gt;=INDEX('Facilities'!$L$9:$L$108,MATCH(C411,'Facilities'!$C$9:$C$108,0))*Settings!$F$19,R411-INDEX('Facilities'!$L$9:$L$108,MATCH(C411,'Facilities'!$C$9:$C$108,0))&gt;=Settings!$F$20)),2,1)),"Unavailable"))</x:f>
        <x:v>1</x:v>
      </x:c>
      <x:c r="U411" s="23" t="n">
        <x:f>IF(C411="","",IF(AQ411&lt;&gt;"Ready","Unavailable",IF(C411="","",O411*(1-(1-S411)/(1+INDEX('Facilities'!$K$9:$K$108,MATCH(C411,'Facilities'!$C$9:$C$108,0)))^INDEX('Facilities'!$AK$9:$AK$108,MATCH(C411,'Facilities'!$C$9:$C$108,0)))*R411/(1+INDEX('Facilities'!$K$9:$K$108,MATCH(C411,'Facilities'!$C$9:$C$108,0)))*IF(ABS(1-(1-R411)*(1-INDEX('Facilities'!$R$9:$R$108,MATCH(C411,'Facilities'!$C$9:$C$108,0)))/(1+INDEX('Facilities'!$K$9:$K$108,MATCH(C411,'Facilities'!$C$9:$C$108,0))))&lt;0.000000001,IF(T411=1,MIN(1,AJ411),AJ411),(1-((1-R411)*(1-INDEX('Facilities'!$R$9:$R$108,MATCH(C411,'Facilities'!$C$9:$C$108,0)))/(1+INDEX('Facilities'!$K$9:$K$108,MATCH(C411,'Facilities'!$C$9:$C$108,0))))^IF(T411=1,MIN(1,AJ411),AJ411))/(1-(1-R411)*(1-INDEX('Facilities'!$R$9:$R$108,MATCH(C411,'Facilities'!$C$9:$C$108,0)))/(1+INDEX('Facilities'!$K$9:$K$108,MATCH(C411,'Facilities'!$C$9:$C$108,0)))))+AL411)))</x:f>
        <x:v>0.024644804086847886</x:v>
      </x:c>
      <x:c r="V411" s="23" t="n">
        <x:f>IF(C411="","",IF(AQ411&lt;&gt;"Ready","Unavailable",IF(C411="","",Q411*INDEX('Facilities'!$I$9:$I$108,MATCH(C411,'Facilities'!$C$9:$C$108,0))*(1-(1-S411)/(1+INDEX('Facilities'!$K$9:$K$108,MATCH(C411,'Facilities'!$C$9:$C$108,0)))^INDEX('Facilities'!$AK$9:$AK$108,MATCH(C411,'Facilities'!$C$9:$C$108,0)))*R411/(1+INDEX('Facilities'!$K$9:$K$108,MATCH(C411,'Facilities'!$C$9:$C$108,0)))*IF(ABS(1-(1-R411)*(1-0)/(1+INDEX('Facilities'!$K$9:$K$108,MATCH(C411,'Facilities'!$C$9:$C$108,0))))&lt;0.000000001,IF(T411=1,MIN(1,AJ411),AJ411),(1-((1-R411)*(1-0)/(1+INDEX('Facilities'!$K$9:$K$108,MATCH(C411,'Facilities'!$C$9:$C$108,0))))^IF(T411=1,MIN(1,AJ411),AJ411))/(1-(1-R411)*(1-0)/(1+INDEX('Facilities'!$K$9:$K$108,MATCH(C411,'Facilities'!$C$9:$C$108,0))))))))</x:f>
        <x:v>0.0036162991700781516</x:v>
      </x:c>
      <x:c r="W411" s="21" t="n">
        <x:f>IF(C411="","",IFERROR(U311,"Unavailable"))</x:f>
        <x:v>0.032791265770746196</x:v>
      </x:c>
      <x:c r="X411" s="21" t="n">
        <x:f>IF(C411="","",IFERROR(V311,"Unavailable"))</x:f>
        <x:v>0.004527064460192739</x:v>
      </x:c>
      <x:c r="Y411" s="21" t="n">
        <x:f>IF(C411="","",IF(AQ411&lt;&gt;"Ready","Unavailable",IF(C411="","",U411-W411+V411-X411+N411+AG411)))</x:f>
        <x:v>-0.009057226974012898</x:v>
      </x:c>
      <x:c r="Z411" s="23" t="n">
        <x:f>IF(C411="","",IF(AQ411&lt;&gt;"Ready","Unavailable",IF(C411="","",(G411+O411+L411)/2*INDEX('Facilities'!$T$9:$T$108,MATCH(C411,'Facilities'!$C$9:$C$108,0))+AG411)))</x:f>
        <x:v>0.32674177454180003</x:v>
      </x:c>
      <x:c r="AA411" s="23" t="n">
        <x:f>IF(C411="","",IF(AQ411&lt;&gt;"Ready","Unavailable",IF(C411="","",O411*(1-IF(INDEX('Facilities'!$AA$9:$AA$108,MATCH(C411,'Facilities'!$C$9:$C$108,0))=0,0,MIN(1,INDEX('Facilities'!$X$9:$X$108,MATCH(C411,'Facilities'!$C$9:$C$108,0))/INDEX('Facilities'!$AA$9:$AA$108,MATCH(C411,'Facilities'!$C$9:$C$108,0)))))*AF411+P411*(1-IF(INDEX('Facilities'!$AA$9:$AA$108,MATCH(C411,'Facilities'!$C$9:$C$108,0))=0,0,MIN(1,INDEX('Facilities'!$X$9:$X$108,MATCH(C411,'Facilities'!$C$9:$C$108,0))/INDEX('Facilities'!$AA$9:$AA$108,MATCH(C411,'Facilities'!$C$9:$C$108,0)))))*INDEX('Facilities'!$AJ$9:$AJ$108,MATCH(C411,'Facilities'!$C$9:$C$108,0))+Q411*INDEX('Facilities'!$AI$9:$AI$108,MATCH(C411,'Facilities'!$C$9:$C$108,0))*AF411)))</x:f>
        <x:v>4.606887101991728</x:v>
      </x:c>
      <x:c r="AB411" s="21" t="n">
        <x:f>IF(C411="","",O411+P411-AD411)</x:f>
        <x:v>-0.3857241511199998</x:v>
      </x:c>
      <x:c r="AC411" s="23" t="n">
        <x:f>IF(C411="","",IFERROR(IF(INDEX('Facilities'!$AD$9:$AD$108,MATCH(C411,'Facilities'!$C$9:$C$108,0))=3,0,IF(INDEX('Facilities'!$AN$9:$AN$108,MATCH(C411,'Facilities'!$C$9:$C$108,0))=0,-1,INDEX('Facilities'!$AN$9:$AN$108,MATCH(C411,'Facilities'!$C$9:$C$108,0)))),"Unavailable"))</x:f>
        <x:v>-1</x:v>
      </x:c>
      <x:c r="AD411" s="21" t="n">
        <x:f>IF(C411="","",IFERROR(G411+H411,"Unavailable"))</x:f>
        <x:v>3.632249176</x:v>
      </x:c>
      <x:c r="AE411" s="21" t="n">
        <x:f>IF(C411="","",IF(AQ411&lt;&gt;"Ready","Unavailable",IF(C411="","",O411+P411-AD411-J411+K411+M411+N411)))</x:f>
        <x:v>2.220446049250313e-16</x:v>
      </x:c>
      <x:c r="AF411" s="30" t="n">
        <x:f>IF(C411="","",IFERROR(INDEX('Facilities'!$S$9:$S$108,MATCH(C411,'Facilities'!$C$9:$C$108,0))*'Scenario Paths'!J75,"Unavailable"))</x:f>
        <x:v>1.25</x:v>
      </x:c>
      <x:c r="AG411" s="23" t="n">
        <x:f>IF(C411="","",IF(AQ411&lt;&gt;"Ready","Unavailable",IF(C411="","",IF(H411&gt;0,MAX(0,H411-AK411)*((1+INDEX('Facilities'!$K$9:$K$108,MATCH(C411,'Facilities'!$C$9:$C$108,0)))^MIN(1,MAX(0,AC411+INDEX('Facilities'!$AK$9:$AK$108,MATCH(C411,'Facilities'!$C$9:$C$108,0))-D411+1))-1),0))))</x:f>
        <x:v>0</x:v>
      </x:c>
      <x:c r="AH411" s="21" t="n">
        <x:f>IF(C411="","",IF(AQ411&lt;&gt;"Ready","Unavailable",IF(C411="","",O411+P411)))</x:f>
        <x:v>3.2465250248800004</x:v>
      </x:c>
      <x:c r="AI411" s="21" t="n">
        <x:f>IF(C411="","",IF(AQ411&lt;&gt;"Ready","Unavailable",IF(C411="","",Z411-Y411)))</x:f>
        <x:v>0.33579900151581293</x:v>
      </x:c>
      <x:c r="AJ411" s="23" t="n">
        <x:f>IF(C411="","",IFERROR(MAX(0,INDEX('Facilities'!$J$9:$J$108,MATCH(C411,'Facilities'!$C$9:$C$108,0))-D411),"Unavailable"))</x:f>
        <x:v>1</x:v>
      </x:c>
      <x:c r="AK411" s="21" t="n">
        <x:f>IF(C411="","",IFERROR(AL311,"Unavailable"))</x:f>
        <x:v>0</x:v>
      </x:c>
      <x:c r="AL411" s="23" t="n">
        <x:f>IF(C411="","",IFERROR(IF(P411&gt;0,P411*(1-AM411/(1+INDEX('Facilities'!$K$9:$K$108,MATCH(C411,'Facilities'!$C$9:$C$108,0)))^MAX(0,AC411+INDEX('Facilities'!$AK$9:$AK$108,MATCH(C411,'Facilities'!$C$9:$C$108,0))-D411)),0),"Unavailable"))</x:f>
        <x:v>0</x:v>
      </x:c>
      <x:c r="AM411" s="30" t="n">
        <x:f>IF(C411="","",IFERROR(INDEX('Facilities'!$AL$9:$AL$108,MATCH(C411,'Facilities'!$C$9:$C$108,0)),"Unavailable"))</x:f>
        <x:v>0.55</x:v>
      </x:c>
      <x:c r="AN411" s="30" t="n">
        <x:f>IF(C411="","",IFERROR(INDEX(Credit!$T$409:$T$508,MATCH(F411,Credit!$C$409:$C$508,0)),"Unavailable"))</x:f>
        <x:v>0.00512</x:v>
      </x:c>
      <x:c r="AO411" s="23" t="n">
        <x:f>IF(C411="","",IF(AQ411&lt;&gt;"Ready","Unavailable",IF(C411="","",O411+P411+Q411*INDEX('Facilities'!$I$9:$I$108,MATCH(C411,'Facilities'!$C$9:$C$108,0)))))</x:f>
        <x:v>3.7229096498800005</x:v>
      </x:c>
      <x:c r="AP411" s="21" t="n">
        <x:f>IF(C411="","",IF(AQ411&lt;&gt;"Ready","Unavailable",IF(C411="","",AH411-U411)))</x:f>
        <x:v>3.2218802207931523</x:v>
      </x:c>
      <x:c r="AQ411" s="23" t="str">
        <x:f>IFERROR(IF(C411="","",IF(AND(INDEX('Facilities'!$AF$9:$AF$108,MATCH(C411,'Facilities'!$C$9:$C$108,0))="Ready",INDEX(Credit!$U$409:$U$508,MATCH(F411,Credit!$C$409:$C$508,0))="Ready",ISNUMBER(W411)),"Ready","Review inputs")),"Review inputs")</x:f>
        <x:v>Ready</x:v>
      </x:c>
      <x:c r="AR411" s="23" t="n">
        <x:f>IF(C411="","",IF(AQ411&lt;&gt;"Ready","Unavailable",IF(C411="","",IF(O411=0,0,(IF(AJ411&lt;=1,O411,O411*INDEX('Facilities'!$R$9:$R$108,MATCH(C411,'Facilities'!$C$9:$C$108,0)))+O411*INDEX('Facilities'!$T$9:$T$108,MATCH(C411,'Facilities'!$C$9:$C$108,0)))/12))))</x:f>
        <x:v>0.29624540852030007</x:v>
      </x:c>
    </x:row>
    <x:row r="412" ht="26" customHeight="1">
      <x:c r="A412" s="1"/>
      <x:c r="B412" s="1"/>
      <x:c r="C412" s="9" t="str">
        <x:f>IF(Facilities!C12="","",Facilities!C12)</x:f>
        <x:v>F004</x:v>
      </x:c>
      <x:c r="D412" s="3" t="n">
        <x:v>5</x:v>
      </x:c>
      <x:c r="E412" s="9" t="n">
        <x:f>Settings!$F$18+4</x:f>
        <x:v>2031</x:v>
      </x:c>
      <x:c r="F412" s="9" t="str">
        <x:f>IF(C412="","",IFERROR(INDEX('Facilities'!$D$9:$D$108,MATCH(C412,'Facilities'!$C$9:$C$108,0)),"Unavailable"))</x:f>
        <x:v>B002</x:v>
      </x:c>
      <x:c r="G412" s="21" t="n">
        <x:f>IF(C412="","",IFERROR(O312,"Unavailable"))</x:f>
        <x:v>1.850424776</x:v>
      </x:c>
      <x:c r="H412" s="21" t="n">
        <x:f>IF(C412="","",IFERROR(P312,"Unavailable"))</x:f>
        <x:v>0</x:v>
      </x:c>
      <x:c r="I412" s="21" t="n">
        <x:f>IF(C412="","",IFERROR(Q312,"Unavailable"))</x:f>
        <x:v>0.334305</x:v>
      </x:c>
      <x:c r="J412" s="23" t="n">
        <x:f>IF(C412="","",IFERROR(IF(OR(H412&gt;0,AND(AC412&gt;=0,AC412&lt;D412),D412&gt;INDEX('Facilities'!$J$9:$J$108,MATCH(C412,'Facilities'!$C$9:$C$108,0))),0,I412*'Scenario Paths'!J81),"Unavailable"))</x:f>
        <x:v>0.01671525</x:v>
      </x:c>
      <x:c r="K412" s="23" t="n">
        <x:f>IF(C412="","",IFERROR(IF(OR(H412&gt;0,AND(AC412&gt;=0,AC412=D412)),0,IF(D412&gt;=INDEX('Facilities'!$J$9:$J$108,MATCH(C412,'Facilities'!$C$9:$C$108,0)),G412+J412,MIN(G412+J412,G412*INDEX('Facilities'!$R$9:$R$108,MATCH(C412,'Facilities'!$C$9:$C$108,0))))),"Unavailable"))</x:f>
        <x:v>0.22205097312</x:v>
      </x:c>
      <x:c r="L412" s="21" t="n">
        <x:f>IF(C412="","",IFERROR(IF(AND(AC412=D412,AC412&gt;0),MAX(0,G412+J412-K412),0),"Unavailable"))</x:f>
        <x:v>0</x:v>
      </x:c>
      <x:c r="M412" s="23" t="n">
        <x:f>IF(C412="","",IFERROR(IF(AND(AC412&gt;=0,D412&gt;=AC412+INDEX('Facilities'!$AK$9:$AK$108,MATCH(C412,'Facilities'!$C$9:$C$108,0))),(H412+L412)*AM412,0),"Unavailable"))</x:f>
        <x:v>0</x:v>
      </x:c>
      <x:c r="N412" s="23" t="n">
        <x:f>IF(C412="","",IFERROR(IF(AND(AC412&gt;=0,D412&gt;=AC412+INDEX('Facilities'!$AK$9:$AK$108,MATCH(C412,'Facilities'!$C$9:$C$108,0))),H412+L412-M412,0),"Unavailable"))</x:f>
        <x:v>0</x:v>
      </x:c>
      <x:c r="O412" s="21" t="n">
        <x:f>IF(C412="","",IFERROR(MAX(0,G412+J412-K412-L412),"Unavailable"))</x:f>
        <x:v>1.6450890528800002</x:v>
      </x:c>
      <x:c r="P412" s="21" t="n">
        <x:f>IF(C412="","",IFERROR(MAX(0,H412+L412-M412-N412),"Unavailable"))</x:f>
        <x:v>0</x:v>
      </x:c>
      <x:c r="Q412" s="23" t="n">
        <x:f>IF(C412="","",IFERROR(IF(OR(D412&gt;=INDEX('Facilities'!$J$9:$J$108,MATCH(C412,'Facilities'!$C$9:$C$108,0)),AND(AC412&gt;=0,AC412&lt;=D412)),0,MAX(0,I412-J412)),"Unavailable"))</x:f>
        <x:v>0.31758975</x:v>
      </x:c>
      <x:c r="R412" s="30" t="n">
        <x:f>IF(C412="","",IFERROR(INDEX(Credit!$Q$409:$Q$508,MATCH(F412,Credit!$C$409:$C$508,0)),"Unavailable"))</x:f>
        <x:v>0.01952031196467032</x:v>
      </x:c>
      <x:c r="S412" s="30" t="n">
        <x:f>IF(C412="","",IFERROR(INDEX(Credit!$R$409:$R$508,MATCH(F412,Credit!$C$409:$C$508,0)),"Unavailable"))</x:f>
        <x:v>0.3234816</x:v>
      </x:c>
      <x:c r="T412" s="23" t="n">
        <x:f>IF(C412="","",IFERROR(IF(P412&gt;0,3,IF(OR(INDEX('Facilities'!$AD$9:$AD$108,MATCH(C412,'Facilities'!$C$9:$C$108,0))=2,AND(R412&gt;=INDEX('Facilities'!$L$9:$L$108,MATCH(C412,'Facilities'!$C$9:$C$108,0))*Settings!$F$19,R412-INDEX('Facilities'!$L$9:$L$108,MATCH(C412,'Facilities'!$C$9:$C$108,0))&gt;=Settings!$F$20)),2,1)),"Unavailable"))</x:f>
        <x:v>1</x:v>
      </x:c>
      <x:c r="U412" s="23" t="n">
        <x:f>IF(C412="","",IF(AQ412&lt;&gt;"Ready","Unavailable",IF(C412="","",O412*(1-(1-S412)/(1+INDEX('Facilities'!$K$9:$K$108,MATCH(C412,'Facilities'!$C$9:$C$108,0)))^INDEX('Facilities'!$AK$9:$AK$108,MATCH(C412,'Facilities'!$C$9:$C$108,0)))*R412/(1+INDEX('Facilities'!$K$9:$K$108,MATCH(C412,'Facilities'!$C$9:$C$108,0)))*IF(ABS(1-(1-R412)*(1-INDEX('Facilities'!$R$9:$R$108,MATCH(C412,'Facilities'!$C$9:$C$108,0)))/(1+INDEX('Facilities'!$K$9:$K$108,MATCH(C412,'Facilities'!$C$9:$C$108,0))))&lt;0.000000001,IF(T412=1,MIN(1,AJ412),AJ412),(1-((1-R412)*(1-INDEX('Facilities'!$R$9:$R$108,MATCH(C412,'Facilities'!$C$9:$C$108,0)))/(1+INDEX('Facilities'!$K$9:$K$108,MATCH(C412,'Facilities'!$C$9:$C$108,0))))^IF(T412=1,MIN(1,AJ412),AJ412))/(1-(1-R412)*(1-INDEX('Facilities'!$R$9:$R$108,MATCH(C412,'Facilities'!$C$9:$C$108,0)))/(1+INDEX('Facilities'!$K$9:$K$108,MATCH(C412,'Facilities'!$C$9:$C$108,0)))))+AL412)))</x:f>
        <x:v>0.012488090220448651</x:v>
      </x:c>
      <x:c r="V412" s="23" t="n">
        <x:f>IF(C412="","",IF(AQ412&lt;&gt;"Ready","Unavailable",IF(C412="","",Q412*INDEX('Facilities'!$I$9:$I$108,MATCH(C412,'Facilities'!$C$9:$C$108,0))*(1-(1-S412)/(1+INDEX('Facilities'!$K$9:$K$108,MATCH(C412,'Facilities'!$C$9:$C$108,0)))^INDEX('Facilities'!$AK$9:$AK$108,MATCH(C412,'Facilities'!$C$9:$C$108,0)))*R412/(1+INDEX('Facilities'!$K$9:$K$108,MATCH(C412,'Facilities'!$C$9:$C$108,0)))*IF(ABS(1-(1-R412)*(1-0)/(1+INDEX('Facilities'!$K$9:$K$108,MATCH(C412,'Facilities'!$C$9:$C$108,0))))&lt;0.000000001,IF(T412=1,MIN(1,AJ412),AJ412),(1-((1-R412)*(1-0)/(1+INDEX('Facilities'!$K$9:$K$108,MATCH(C412,'Facilities'!$C$9:$C$108,0))))^IF(T412=1,MIN(1,AJ412),AJ412))/(1-(1-R412)*(1-0)/(1+INDEX('Facilities'!$K$9:$K$108,MATCH(C412,'Facilities'!$C$9:$C$108,0))))))))</x:f>
        <x:v>0.0012054330566927173</x:v>
      </x:c>
      <x:c r="W412" s="21" t="n">
        <x:f>IF(C412="","",IFERROR(U312,"Unavailable"))</x:f>
        <x:v>0.01670528856321764</x:v>
      </x:c>
      <x:c r="X412" s="21" t="n">
        <x:f>IF(C412="","",IFERROR(V312,"Unavailable"))</x:f>
        <x:v>0.001509021486730913</x:v>
      </x:c>
      <x:c r="Y412" s="21" t="n">
        <x:f>IF(C412="","",IF(AQ412&lt;&gt;"Ready","Unavailable",IF(C412="","",U412-W412+V412-X412+N412+AG412)))</x:f>
        <x:v>-0.004520786772807187</x:v>
      </x:c>
      <x:c r="Z412" s="23" t="n">
        <x:f>IF(C412="","",IF(AQ412&lt;&gt;"Ready","Unavailable",IF(C412="","",(G412+O412+L412)/2*INDEX('Facilities'!$T$9:$T$108,MATCH(C412,'Facilities'!$C$9:$C$108,0))+AG412)))</x:f>
        <x:v>0.1660369068718</x:v>
      </x:c>
      <x:c r="AA412" s="23" t="n">
        <x:f>IF(C412="","",IF(AQ412&lt;&gt;"Ready","Unavailable",IF(C412="","",O412*(1-IF(INDEX('Facilities'!$AA$9:$AA$108,MATCH(C412,'Facilities'!$C$9:$C$108,0))=0,0,MIN(1,INDEX('Facilities'!$X$9:$X$108,MATCH(C412,'Facilities'!$C$9:$C$108,0))/INDEX('Facilities'!$AA$9:$AA$108,MATCH(C412,'Facilities'!$C$9:$C$108,0)))))*AF412+P412*(1-IF(INDEX('Facilities'!$AA$9:$AA$108,MATCH(C412,'Facilities'!$C$9:$C$108,0))=0,0,MIN(1,INDEX('Facilities'!$X$9:$X$108,MATCH(C412,'Facilities'!$C$9:$C$108,0))/INDEX('Facilities'!$AA$9:$AA$108,MATCH(C412,'Facilities'!$C$9:$C$108,0)))))*INDEX('Facilities'!$AJ$9:$AJ$108,MATCH(C412,'Facilities'!$C$9:$C$108,0))+Q412*INDEX('Facilities'!$AI$9:$AI$108,MATCH(C412,'Facilities'!$C$9:$C$108,0))*AF412)))</x:f>
        <x:v>2.231165627488528</x:v>
      </x:c>
      <x:c r="AB412" s="21" t="n">
        <x:f>IF(C412="","",O412+P412-AD412)</x:f>
        <x:v>-0.20533572311999992</x:v>
      </x:c>
      <x:c r="AC412" s="23" t="n">
        <x:f>IF(C412="","",IFERROR(IF(INDEX('Facilities'!$AD$9:$AD$108,MATCH(C412,'Facilities'!$C$9:$C$108,0))=3,0,IF(INDEX('Facilities'!$AN$9:$AN$108,MATCH(C412,'Facilities'!$C$9:$C$108,0))=0,-1,INDEX('Facilities'!$AN$9:$AN$108,MATCH(C412,'Facilities'!$C$9:$C$108,0)))),"Unavailable"))</x:f>
        <x:v>-1</x:v>
      </x:c>
      <x:c r="AD412" s="21" t="n">
        <x:f>IF(C412="","",IFERROR(G412+H412,"Unavailable"))</x:f>
        <x:v>1.850424776</x:v>
      </x:c>
      <x:c r="AE412" s="21" t="n">
        <x:f>IF(C412="","",IF(AQ412&lt;&gt;"Ready","Unavailable",IF(C412="","",O412+P412-AD412-J412+K412+M412+N412)))</x:f>
        <x:v>5.551115123125783e-17</x:v>
      </x:c>
      <x:c r="AF412" s="30" t="n">
        <x:f>IF(C412="","",IFERROR(INDEX('Facilities'!$S$9:$S$108,MATCH(C412,'Facilities'!$C$9:$C$108,0))*'Scenario Paths'!J75,"Unavailable"))</x:f>
        <x:v>1.25</x:v>
      </x:c>
      <x:c r="AG412" s="23" t="n">
        <x:f>IF(C412="","",IF(AQ412&lt;&gt;"Ready","Unavailable",IF(C412="","",IF(H412&gt;0,MAX(0,H412-AK412)*((1+INDEX('Facilities'!$K$9:$K$108,MATCH(C412,'Facilities'!$C$9:$C$108,0)))^MIN(1,MAX(0,AC412+INDEX('Facilities'!$AK$9:$AK$108,MATCH(C412,'Facilities'!$C$9:$C$108,0))-D412+1))-1),0))))</x:f>
        <x:v>0</x:v>
      </x:c>
      <x:c r="AH412" s="21" t="n">
        <x:f>IF(C412="","",IF(AQ412&lt;&gt;"Ready","Unavailable",IF(C412="","",O412+P412)))</x:f>
        <x:v>1.6450890528800002</x:v>
      </x:c>
      <x:c r="AI412" s="21" t="n">
        <x:f>IF(C412="","",IF(AQ412&lt;&gt;"Ready","Unavailable",IF(C412="","",Z412-Y412)))</x:f>
        <x:v>0.17055769364460718</x:v>
      </x:c>
      <x:c r="AJ412" s="23" t="n">
        <x:f>IF(C412="","",IFERROR(MAX(0,INDEX('Facilities'!$J$9:$J$108,MATCH(C412,'Facilities'!$C$9:$C$108,0))-D412),"Unavailable"))</x:f>
        <x:v>1</x:v>
      </x:c>
      <x:c r="AK412" s="21" t="n">
        <x:f>IF(C412="","",IFERROR(AL312,"Unavailable"))</x:f>
        <x:v>0</x:v>
      </x:c>
      <x:c r="AL412" s="23" t="n">
        <x:f>IF(C412="","",IFERROR(IF(P412&gt;0,P412*(1-AM412/(1+INDEX('Facilities'!$K$9:$K$108,MATCH(C412,'Facilities'!$C$9:$C$108,0)))^MAX(0,AC412+INDEX('Facilities'!$AK$9:$AK$108,MATCH(C412,'Facilities'!$C$9:$C$108,0))-D412)),0),"Unavailable"))</x:f>
        <x:v>0</x:v>
      </x:c>
      <x:c r="AM412" s="30" t="n">
        <x:f>IF(C412="","",IFERROR(INDEX('Facilities'!$AL$9:$AL$108,MATCH(C412,'Facilities'!$C$9:$C$108,0)),"Unavailable"))</x:f>
        <x:v>0.55</x:v>
      </x:c>
      <x:c r="AN412" s="30" t="n">
        <x:f>IF(C412="","",IFERROR(INDEX(Credit!$T$409:$T$508,MATCH(F412,Credit!$C$409:$C$508,0)),"Unavailable"))</x:f>
        <x:v>0.00512</x:v>
      </x:c>
      <x:c r="AO412" s="23" t="n">
        <x:f>IF(C412="","",IF(AQ412&lt;&gt;"Ready","Unavailable",IF(C412="","",O412+P412+Q412*INDEX('Facilities'!$I$9:$I$108,MATCH(C412,'Facilities'!$C$9:$C$108,0)))))</x:f>
        <x:v>1.8038839278800003</x:v>
      </x:c>
      <x:c r="AP412" s="21" t="n">
        <x:f>IF(C412="","",IF(AQ412&lt;&gt;"Ready","Unavailable",IF(C412="","",AH412-U412)))</x:f>
        <x:v>1.6326009626595515</x:v>
      </x:c>
      <x:c r="AQ412" s="23" t="str">
        <x:f>IFERROR(IF(C412="","",IF(AND(INDEX('Facilities'!$AF$9:$AF$108,MATCH(C412,'Facilities'!$C$9:$C$108,0))="Ready",INDEX(Credit!$U$409:$U$508,MATCH(F412,Credit!$C$409:$C$508,0))="Ready",ISNUMBER(W412)),"Ready","Review inputs")),"Review inputs")</x:f>
        <x:v>Ready</x:v>
      </x:c>
      <x:c r="AR412" s="23" t="n">
        <x:f>IF(C412="","",IF(AQ412&lt;&gt;"Ready","Unavailable",IF(C412="","",IF(O412=0,0,(IF(AJ412&lt;=1,O412,O412*INDEX('Facilities'!$R$9:$R$108,MATCH(C412,'Facilities'!$C$9:$C$108,0)))+O412*INDEX('Facilities'!$T$9:$T$108,MATCH(C412,'Facilities'!$C$9:$C$108,0)))/12))))</x:f>
        <x:v>0.1501143760753</x:v>
      </x:c>
    </x:row>
    <x:row r="413" ht="26" customHeight="1">
      <x:c r="A413" s="1"/>
      <x:c r="B413" s="1"/>
      <x:c r="C413" s="9" t="str">
        <x:f>IF(Facilities!C13="","",Facilities!C13)</x:f>
        <x:v>F005</x:v>
      </x:c>
      <x:c r="D413" s="3" t="n">
        <x:v>5</x:v>
      </x:c>
      <x:c r="E413" s="9" t="n">
        <x:f>Settings!$F$18+4</x:f>
        <x:v>2031</x:v>
      </x:c>
      <x:c r="F413" s="9" t="str">
        <x:f>IF(C413="","",IFERROR(INDEX('Facilities'!$D$9:$D$108,MATCH(C413,'Facilities'!$C$9:$C$108,0)),"Unavailable"))</x:f>
        <x:v>B003</x:v>
      </x:c>
      <x:c r="G413" s="21" t="n">
        <x:f>IF(C413="","",IFERROR(O313,"Unavailable"))</x:f>
        <x:v>3.8421425520000003</x:v>
      </x:c>
      <x:c r="H413" s="21" t="n">
        <x:f>IF(C413="","",IFERROR(P313,"Unavailable"))</x:f>
        <x:v>0</x:v>
      </x:c>
      <x:c r="I413" s="21" t="n">
        <x:f>IF(C413="","",IFERROR(Q313,"Unavailable"))</x:f>
        <x:v>1.002915</x:v>
      </x:c>
      <x:c r="J413" s="23" t="n">
        <x:f>IF(C413="","",IFERROR(IF(OR(H413&gt;0,AND(AC413&gt;=0,AC413&lt;D413),D413&gt;INDEX('Facilities'!$J$9:$J$108,MATCH(C413,'Facilities'!$C$9:$C$108,0))),0,I413*'Scenario Paths'!J81),"Unavailable"))</x:f>
        <x:v>0.05014575</x:v>
      </x:c>
      <x:c r="K413" s="23" t="n">
        <x:f>IF(C413="","",IFERROR(IF(OR(H413&gt;0,AND(AC413&gt;=0,AC413=D413)),0,IF(D413&gt;=INDEX('Facilities'!$J$9:$J$108,MATCH(C413,'Facilities'!$C$9:$C$108,0)),G413+J413,MIN(G413+J413,G413*INDEX('Facilities'!$R$9:$R$108,MATCH(C413,'Facilities'!$C$9:$C$108,0))))),"Unavailable"))</x:f>
        <x:v>0.46105710624</x:v>
      </x:c>
      <x:c r="L413" s="21" t="n">
        <x:f>IF(C413="","",IFERROR(IF(AND(AC413=D413,AC413&gt;0),MAX(0,G413+J413-K413),0),"Unavailable"))</x:f>
        <x:v>0</x:v>
      </x:c>
      <x:c r="M413" s="23" t="n">
        <x:f>IF(C413="","",IFERROR(IF(AND(AC413&gt;=0,D413&gt;=AC413+INDEX('Facilities'!$AK$9:$AK$108,MATCH(C413,'Facilities'!$C$9:$C$108,0))),(H413+L413)*AM413,0),"Unavailable"))</x:f>
        <x:v>0</x:v>
      </x:c>
      <x:c r="N413" s="23" t="n">
        <x:f>IF(C413="","",IFERROR(IF(AND(AC413&gt;=0,D413&gt;=AC413+INDEX('Facilities'!$AK$9:$AK$108,MATCH(C413,'Facilities'!$C$9:$C$108,0))),H413+L413-M413,0),"Unavailable"))</x:f>
        <x:v>0</x:v>
      </x:c>
      <x:c r="O413" s="21" t="n">
        <x:f>IF(C413="","",IFERROR(MAX(0,G413+J413-K413-L413),"Unavailable"))</x:f>
        <x:v>3.43123119576</x:v>
      </x:c>
      <x:c r="P413" s="21" t="n">
        <x:f>IF(C413="","",IFERROR(MAX(0,H413+L413-M413-N413),"Unavailable"))</x:f>
        <x:v>0</x:v>
      </x:c>
      <x:c r="Q413" s="23" t="n">
        <x:f>IF(C413="","",IFERROR(IF(OR(D413&gt;=INDEX('Facilities'!$J$9:$J$108,MATCH(C413,'Facilities'!$C$9:$C$108,0)),AND(AC413&gt;=0,AC413&lt;=D413)),0,MAX(0,I413-J413)),"Unavailable"))</x:f>
        <x:v>0.95276925</x:v>
      </x:c>
      <x:c r="R413" s="30" t="n">
        <x:f>IF(C413="","",IFERROR(INDEX(Credit!$Q$409:$Q$508,MATCH(F413,Credit!$C$409:$C$508,0)),"Unavailable"))</x:f>
        <x:v>0.04882090448831446</x:v>
      </x:c>
      <x:c r="S413" s="30" t="n">
        <x:f>IF(C413="","",IFERROR(INDEX(Credit!$R$409:$R$508,MATCH(F413,Credit!$C$409:$C$508,0)),"Unavailable"))</x:f>
        <x:v>0.36585728000000006</x:v>
      </x:c>
      <x:c r="T413" s="23" t="n">
        <x:f>IF(C413="","",IFERROR(IF(P413&gt;0,3,IF(OR(INDEX('Facilities'!$AD$9:$AD$108,MATCH(C413,'Facilities'!$C$9:$C$108,0))=2,AND(R413&gt;=INDEX('Facilities'!$L$9:$L$108,MATCH(C413,'Facilities'!$C$9:$C$108,0))*Settings!$F$19,R413-INDEX('Facilities'!$L$9:$L$108,MATCH(C413,'Facilities'!$C$9:$C$108,0))&gt;=Settings!$F$20)),2,1)),"Unavailable"))</x:f>
        <x:v>2</x:v>
      </x:c>
      <x:c r="U413" s="23" t="n">
        <x:f>IF(C413="","",IF(AQ413&lt;&gt;"Ready","Unavailable",IF(C413="","",O413*(1-(1-S413)/(1+INDEX('Facilities'!$K$9:$K$108,MATCH(C413,'Facilities'!$C$9:$C$108,0)))^INDEX('Facilities'!$AK$9:$AK$108,MATCH(C413,'Facilities'!$C$9:$C$108,0)))*R413/(1+INDEX('Facilities'!$K$9:$K$108,MATCH(C413,'Facilities'!$C$9:$C$108,0)))*IF(ABS(1-(1-R413)*(1-INDEX('Facilities'!$R$9:$R$108,MATCH(C413,'Facilities'!$C$9:$C$108,0)))/(1+INDEX('Facilities'!$K$9:$K$108,MATCH(C413,'Facilities'!$C$9:$C$108,0))))&lt;0.000000001,IF(T413=1,MIN(1,AJ413),AJ413),(1-((1-R413)*(1-INDEX('Facilities'!$R$9:$R$108,MATCH(C413,'Facilities'!$C$9:$C$108,0)))/(1+INDEX('Facilities'!$K$9:$K$108,MATCH(C413,'Facilities'!$C$9:$C$108,0))))^IF(T413=1,MIN(1,AJ413),AJ413))/(1-(1-R413)*(1-INDEX('Facilities'!$R$9:$R$108,MATCH(C413,'Facilities'!$C$9:$C$108,0)))/(1+INDEX('Facilities'!$K$9:$K$108,MATCH(C413,'Facilities'!$C$9:$C$108,0)))))+AL413)))</x:f>
        <x:v>0.12563568823470153</x:v>
      </x:c>
      <x:c r="V413" s="23" t="n">
        <x:f>IF(C413="","",IF(AQ413&lt;&gt;"Ready","Unavailable",IF(C413="","",Q413*INDEX('Facilities'!$I$9:$I$108,MATCH(C413,'Facilities'!$C$9:$C$108,0))*(1-(1-S413)/(1+INDEX('Facilities'!$K$9:$K$108,MATCH(C413,'Facilities'!$C$9:$C$108,0)))^INDEX('Facilities'!$AK$9:$AK$108,MATCH(C413,'Facilities'!$C$9:$C$108,0)))*R413/(1+INDEX('Facilities'!$K$9:$K$108,MATCH(C413,'Facilities'!$C$9:$C$108,0)))*IF(ABS(1-(1-R413)*(1-0)/(1+INDEX('Facilities'!$K$9:$K$108,MATCH(C413,'Facilities'!$C$9:$C$108,0))))&lt;0.000000001,IF(T413=1,MIN(1,AJ413),AJ413),(1-((1-R413)*(1-0)/(1+INDEX('Facilities'!$K$9:$K$108,MATCH(C413,'Facilities'!$C$9:$C$108,0))))^IF(T413=1,MIN(1,AJ413),AJ413))/(1-(1-R413)*(1-0)/(1+INDEX('Facilities'!$K$9:$K$108,MATCH(C413,'Facilities'!$C$9:$C$108,0))))))))</x:f>
        <x:v>0.018481548834149042</x:v>
      </x:c>
      <x:c r="W413" s="21" t="n">
        <x:f>IF(C413="","",IFERROR(U313,"Unavailable"))</x:f>
        <x:v>0.19711130601691862</x:v>
      </x:c>
      <x:c r="X413" s="21" t="n">
        <x:f>IF(C413="","",IFERROR(V313,"Unavailable"))</x:f>
        <x:v>0.028758945449761635</x:v>
      </x:c>
      <x:c r="Y413" s="21" t="n">
        <x:f>IF(C413="","",IF(AQ413&lt;&gt;"Ready","Unavailable",IF(C413="","",U413-W413+V413-X413+N413+AG413)))</x:f>
        <x:v>-0.08175301439782968</x:v>
      </x:c>
      <x:c r="Z413" s="23" t="n">
        <x:f>IF(C413="","",IF(AQ413&lt;&gt;"Ready","Unavailable",IF(C413="","",(G413+O413+L413)/2*INDEX('Facilities'!$T$9:$T$108,MATCH(C413,'Facilities'!$C$9:$C$108,0))+AG413)))</x:f>
        <x:v>0.34548525301860006</x:v>
      </x:c>
      <x:c r="AA413" s="23" t="n">
        <x:f>IF(C413="","",IF(AQ413&lt;&gt;"Ready","Unavailable",IF(C413="","",O413*(1-IF(INDEX('Facilities'!$AA$9:$AA$108,MATCH(C413,'Facilities'!$C$9:$C$108,0))=0,0,MIN(1,INDEX('Facilities'!$X$9:$X$108,MATCH(C413,'Facilities'!$C$9:$C$108,0))/INDEX('Facilities'!$AA$9:$AA$108,MATCH(C413,'Facilities'!$C$9:$C$108,0)))))*AF413+P413*(1-IF(INDEX('Facilities'!$AA$9:$AA$108,MATCH(C413,'Facilities'!$C$9:$C$108,0))=0,0,MIN(1,INDEX('Facilities'!$X$9:$X$108,MATCH(C413,'Facilities'!$C$9:$C$108,0))/INDEX('Facilities'!$AA$9:$AA$108,MATCH(C413,'Facilities'!$C$9:$C$108,0)))))*INDEX('Facilities'!$AJ$9:$AJ$108,MATCH(C413,'Facilities'!$C$9:$C$108,0))+Q413*INDEX('Facilities'!$AI$9:$AI$108,MATCH(C413,'Facilities'!$C$9:$C$108,0))*AF413)))</x:f>
        <x:v>4.810405182121584</x:v>
      </x:c>
      <x:c r="AB413" s="21" t="n">
        <x:f>IF(C413="","",O413+P413-AD413)</x:f>
        <x:v>-0.4109113562400002</x:v>
      </x:c>
      <x:c r="AC413" s="23" t="n">
        <x:f>IF(C413="","",IFERROR(IF(INDEX('Facilities'!$AD$9:$AD$108,MATCH(C413,'Facilities'!$C$9:$C$108,0))=3,0,IF(INDEX('Facilities'!$AN$9:$AN$108,MATCH(C413,'Facilities'!$C$9:$C$108,0))=0,-1,INDEX('Facilities'!$AN$9:$AN$108,MATCH(C413,'Facilities'!$C$9:$C$108,0)))),"Unavailable"))</x:f>
        <x:v>-1</x:v>
      </x:c>
      <x:c r="AD413" s="21" t="n">
        <x:f>IF(C413="","",IFERROR(G413+H413,"Unavailable"))</x:f>
        <x:v>3.8421425520000003</x:v>
      </x:c>
      <x:c r="AE413" s="21" t="n">
        <x:f>IF(C413="","",IF(AQ413&lt;&gt;"Ready","Unavailable",IF(C413="","",O413+P413-AD413-J413+K413+M413+N413)))</x:f>
        <x:v>-1.6653345369377348e-16</x:v>
      </x:c>
      <x:c r="AF413" s="30" t="n">
        <x:f>IF(C413="","",IFERROR(INDEX('Facilities'!$S$9:$S$108,MATCH(C413,'Facilities'!$C$9:$C$108,0))*'Scenario Paths'!J75,"Unavailable"))</x:f>
        <x:v>1.25</x:v>
      </x:c>
      <x:c r="AG413" s="23" t="n">
        <x:f>IF(C413="","",IF(AQ413&lt;&gt;"Ready","Unavailable",IF(C413="","",IF(H413&gt;0,MAX(0,H413-AK413)*((1+INDEX('Facilities'!$K$9:$K$108,MATCH(C413,'Facilities'!$C$9:$C$108,0)))^MIN(1,MAX(0,AC413+INDEX('Facilities'!$AK$9:$AK$108,MATCH(C413,'Facilities'!$C$9:$C$108,0))-D413+1))-1),0))))</x:f>
        <x:v>0</x:v>
      </x:c>
      <x:c r="AH413" s="21" t="n">
        <x:f>IF(C413="","",IF(AQ413&lt;&gt;"Ready","Unavailable",IF(C413="","",O413+P413)))</x:f>
        <x:v>3.43123119576</x:v>
      </x:c>
      <x:c r="AI413" s="21" t="n">
        <x:f>IF(C413="","",IF(AQ413&lt;&gt;"Ready","Unavailable",IF(C413="","",Z413-Y413)))</x:f>
        <x:v>0.42723826741642973</x:v>
      </x:c>
      <x:c r="AJ413" s="23" t="n">
        <x:f>IF(C413="","",IFERROR(MAX(0,INDEX('Facilities'!$J$9:$J$108,MATCH(C413,'Facilities'!$C$9:$C$108,0))-D413),"Unavailable"))</x:f>
        <x:v>2</x:v>
      </x:c>
      <x:c r="AK413" s="21" t="n">
        <x:f>IF(C413="","",IFERROR(AL313,"Unavailable"))</x:f>
        <x:v>0</x:v>
      </x:c>
      <x:c r="AL413" s="23" t="n">
        <x:f>IF(C413="","",IFERROR(IF(P413&gt;0,P413*(1-AM413/(1+INDEX('Facilities'!$K$9:$K$108,MATCH(C413,'Facilities'!$C$9:$C$108,0)))^MAX(0,AC413+INDEX('Facilities'!$AK$9:$AK$108,MATCH(C413,'Facilities'!$C$9:$C$108,0))-D413)),0),"Unavailable"))</x:f>
        <x:v>0</x:v>
      </x:c>
      <x:c r="AM413" s="30" t="n">
        <x:f>IF(C413="","",IFERROR(INDEX('Facilities'!$AL$9:$AL$108,MATCH(C413,'Facilities'!$C$9:$C$108,0)),"Unavailable"))</x:f>
        <x:v>0.55</x:v>
      </x:c>
      <x:c r="AN413" s="30" t="n">
        <x:f>IF(C413="","",IFERROR(INDEX(Credit!$T$409:$T$508,MATCH(F413,Credit!$C$409:$C$508,0)),"Unavailable"))</x:f>
        <x:v>0.009152</x:v>
      </x:c>
      <x:c r="AO413" s="23" t="n">
        <x:f>IF(C413="","",IF(AQ413&lt;&gt;"Ready","Unavailable",IF(C413="","",O413+P413+Q413*INDEX('Facilities'!$I$9:$I$108,MATCH(C413,'Facilities'!$C$9:$C$108,0)))))</x:f>
        <x:v>3.9076158207600002</x:v>
      </x:c>
      <x:c r="AP413" s="21" t="n">
        <x:f>IF(C413="","",IF(AQ413&lt;&gt;"Ready","Unavailable",IF(C413="","",AH413-U413)))</x:f>
        <x:v>3.3055955075252985</x:v>
      </x:c>
      <x:c r="AQ413" s="23" t="str">
        <x:f>IFERROR(IF(C413="","",IF(AND(INDEX('Facilities'!$AF$9:$AF$108,MATCH(C413,'Facilities'!$C$9:$C$108,0))="Ready",INDEX(Credit!$U$409:$U$508,MATCH(F413,Credit!$C$409:$C$508,0))="Ready",ISNUMBER(W413)),"Ready","Review inputs")),"Review inputs")</x:f>
        <x:v>Ready</x:v>
      </x:c>
      <x:c r="AR413" s="23" t="n">
        <x:f>IF(C413="","",IF(AQ413&lt;&gt;"Ready","Unavailable",IF(C413="","",IF(O413=0,0,(IF(AJ413&lt;=1,O413,O413*INDEX('Facilities'!$R$9:$R$108,MATCH(C413,'Facilities'!$C$9:$C$108,0)))+O413*INDEX('Facilities'!$T$9:$T$108,MATCH(C413,'Facilities'!$C$9:$C$108,0)))/12))))</x:f>
        <x:v>0.061476225590700005</x:v>
      </x:c>
    </x:row>
    <x:row r="414" ht="26" customHeight="1">
      <x:c r="A414" s="1"/>
      <x:c r="B414" s="1"/>
      <x:c r="C414" s="9" t="str">
        <x:f>IF(Facilities!C14="","",Facilities!C14)</x:f>
        <x:v>F006</x:v>
      </x:c>
      <x:c r="D414" s="3" t="n">
        <x:v>5</x:v>
      </x:c>
      <x:c r="E414" s="9" t="n">
        <x:f>Settings!$F$18+4</x:f>
        <x:v>2031</x:v>
      </x:c>
      <x:c r="F414" s="9" t="str">
        <x:f>IF(C414="","",IFERROR(INDEX('Facilities'!$D$9:$D$108,MATCH(C414,'Facilities'!$C$9:$C$108,0)),"Unavailable"))</x:f>
        <x:v>B003</x:v>
      </x:c>
      <x:c r="G414" s="21" t="n">
        <x:f>IF(C414="","",IFERROR(O314,"Unavailable"))</x:f>
        <x:v>2.0603181520000002</x:v>
      </x:c>
      <x:c r="H414" s="21" t="n">
        <x:f>IF(C414="","",IFERROR(P314,"Unavailable"))</x:f>
        <x:v>0</x:v>
      </x:c>
      <x:c r="I414" s="21" t="n">
        <x:f>IF(C414="","",IFERROR(Q314,"Unavailable"))</x:f>
        <x:v>0.334305</x:v>
      </x:c>
      <x:c r="J414" s="23" t="n">
        <x:f>IF(C414="","",IFERROR(IF(OR(H414&gt;0,AND(AC414&gt;=0,AC414&lt;D414),D414&gt;INDEX('Facilities'!$J$9:$J$108,MATCH(C414,'Facilities'!$C$9:$C$108,0))),0,I414*'Scenario Paths'!J81),"Unavailable"))</x:f>
        <x:v>0.01671525</x:v>
      </x:c>
      <x:c r="K414" s="23" t="n">
        <x:f>IF(C414="","",IFERROR(IF(OR(H414&gt;0,AND(AC414&gt;=0,AC414=D414)),0,IF(D414&gt;=INDEX('Facilities'!$J$9:$J$108,MATCH(C414,'Facilities'!$C$9:$C$108,0)),G414+J414,MIN(G414+J414,G414*INDEX('Facilities'!$R$9:$R$108,MATCH(C414,'Facilities'!$C$9:$C$108,0))))),"Unavailable"))</x:f>
        <x:v>0.24723817824000002</x:v>
      </x:c>
      <x:c r="L414" s="21" t="n">
        <x:f>IF(C414="","",IFERROR(IF(AND(AC414=D414,AC414&gt;0),MAX(0,G414+J414-K414),0),"Unavailable"))</x:f>
        <x:v>0</x:v>
      </x:c>
      <x:c r="M414" s="23" t="n">
        <x:f>IF(C414="","",IFERROR(IF(AND(AC414&gt;=0,D414&gt;=AC414+INDEX('Facilities'!$AK$9:$AK$108,MATCH(C414,'Facilities'!$C$9:$C$108,0))),(H414+L414)*AM414,0),"Unavailable"))</x:f>
        <x:v>0</x:v>
      </x:c>
      <x:c r="N414" s="23" t="n">
        <x:f>IF(C414="","",IFERROR(IF(AND(AC414&gt;=0,D414&gt;=AC414+INDEX('Facilities'!$AK$9:$AK$108,MATCH(C414,'Facilities'!$C$9:$C$108,0))),H414+L414-M414,0),"Unavailable"))</x:f>
        <x:v>0</x:v>
      </x:c>
      <x:c r="O414" s="21" t="n">
        <x:f>IF(C414="","",IFERROR(MAX(0,G414+J414-K414-L414),"Unavailable"))</x:f>
        <x:v>1.8297952237600001</x:v>
      </x:c>
      <x:c r="P414" s="21" t="n">
        <x:f>IF(C414="","",IFERROR(MAX(0,H414+L414-M414-N414),"Unavailable"))</x:f>
        <x:v>0</x:v>
      </x:c>
      <x:c r="Q414" s="23" t="n">
        <x:f>IF(C414="","",IFERROR(IF(OR(D414&gt;=INDEX('Facilities'!$J$9:$J$108,MATCH(C414,'Facilities'!$C$9:$C$108,0)),AND(AC414&gt;=0,AC414&lt;=D414)),0,MAX(0,I414-J414)),"Unavailable"))</x:f>
        <x:v>0.31758975</x:v>
      </x:c>
      <x:c r="R414" s="30" t="n">
        <x:f>IF(C414="","",IFERROR(INDEX(Credit!$Q$409:$Q$508,MATCH(F414,Credit!$C$409:$C$508,0)),"Unavailable"))</x:f>
        <x:v>0.04882090448831446</x:v>
      </x:c>
      <x:c r="S414" s="30" t="n">
        <x:f>IF(C414="","",IFERROR(INDEX(Credit!$R$409:$R$508,MATCH(F414,Credit!$C$409:$C$508,0)),"Unavailable"))</x:f>
        <x:v>0.36585728000000006</x:v>
      </x:c>
      <x:c r="T414" s="23" t="n">
        <x:f>IF(C414="","",IFERROR(IF(P414&gt;0,3,IF(OR(INDEX('Facilities'!$AD$9:$AD$108,MATCH(C414,'Facilities'!$C$9:$C$108,0))=2,AND(R414&gt;=INDEX('Facilities'!$L$9:$L$108,MATCH(C414,'Facilities'!$C$9:$C$108,0))*Settings!$F$19,R414-INDEX('Facilities'!$L$9:$L$108,MATCH(C414,'Facilities'!$C$9:$C$108,0))&gt;=Settings!$F$20)),2,1)),"Unavailable"))</x:f>
        <x:v>2</x:v>
      </x:c>
      <x:c r="U414" s="23" t="n">
        <x:f>IF(C414="","",IF(AQ414&lt;&gt;"Ready","Unavailable",IF(C414="","",O414*(1-(1-S414)/(1+INDEX('Facilities'!$K$9:$K$108,MATCH(C414,'Facilities'!$C$9:$C$108,0)))^INDEX('Facilities'!$AK$9:$AK$108,MATCH(C414,'Facilities'!$C$9:$C$108,0)))*R414/(1+INDEX('Facilities'!$K$9:$K$108,MATCH(C414,'Facilities'!$C$9:$C$108,0)))*IF(ABS(1-(1-R414)*(1-INDEX('Facilities'!$R$9:$R$108,MATCH(C414,'Facilities'!$C$9:$C$108,0)))/(1+INDEX('Facilities'!$K$9:$K$108,MATCH(C414,'Facilities'!$C$9:$C$108,0))))&lt;0.000000001,IF(T414=1,MIN(1,AJ414),AJ414),(1-((1-R414)*(1-INDEX('Facilities'!$R$9:$R$108,MATCH(C414,'Facilities'!$C$9:$C$108,0)))/(1+INDEX('Facilities'!$K$9:$K$108,MATCH(C414,'Facilities'!$C$9:$C$108,0))))^IF(T414=1,MIN(1,AJ414),AJ414))/(1-(1-R414)*(1-INDEX('Facilities'!$R$9:$R$108,MATCH(C414,'Facilities'!$C$9:$C$108,0)))/(1+INDEX('Facilities'!$K$9:$K$108,MATCH(C414,'Facilities'!$C$9:$C$108,0)))))+AL414)))</x:f>
        <x:v>0.0669985696532869</x:v>
      </x:c>
      <x:c r="V414" s="23" t="n">
        <x:f>IF(C414="","",IF(AQ414&lt;&gt;"Ready","Unavailable",IF(C414="","",Q414*INDEX('Facilities'!$I$9:$I$108,MATCH(C414,'Facilities'!$C$9:$C$108,0))*(1-(1-S414)/(1+INDEX('Facilities'!$K$9:$K$108,MATCH(C414,'Facilities'!$C$9:$C$108,0)))^INDEX('Facilities'!$AK$9:$AK$108,MATCH(C414,'Facilities'!$C$9:$C$108,0)))*R414/(1+INDEX('Facilities'!$K$9:$K$108,MATCH(C414,'Facilities'!$C$9:$C$108,0)))*IF(ABS(1-(1-R414)*(1-0)/(1+INDEX('Facilities'!$K$9:$K$108,MATCH(C414,'Facilities'!$C$9:$C$108,0))))&lt;0.000000001,IF(T414=1,MIN(1,AJ414),AJ414),(1-((1-R414)*(1-0)/(1+INDEX('Facilities'!$K$9:$K$108,MATCH(C414,'Facilities'!$C$9:$C$108,0))))^IF(T414=1,MIN(1,AJ414),AJ414))/(1-(1-R414)*(1-0)/(1+INDEX('Facilities'!$K$9:$K$108,MATCH(C414,'Facilities'!$C$9:$C$108,0))))))))</x:f>
        <x:v>0.006160516278049681</x:v>
      </x:c>
      <x:c r="W414" s="21" t="n">
        <x:f>IF(C414="","",IFERROR(U314,"Unavailable"))</x:f>
        <x:v>0.1056993581718319</x:v>
      </x:c>
      <x:c r="X414" s="21" t="n">
        <x:f>IF(C414="","",IFERROR(V314,"Unavailable"))</x:f>
        <x:v>0.009586315149920546</x:v>
      </x:c>
      <x:c r="Y414" s="21" t="n">
        <x:f>IF(C414="","",IF(AQ414&lt;&gt;"Ready","Unavailable",IF(C414="","",U414-W414+V414-X414+N414+AG414)))</x:f>
        <x:v>-0.042126587390415866</x:v>
      </x:c>
      <x:c r="Z414" s="23" t="n">
        <x:f>IF(C414="","",IF(AQ414&lt;&gt;"Ready","Unavailable",IF(C414="","",(G414+O414+L414)/2*INDEX('Facilities'!$T$9:$T$108,MATCH(C414,'Facilities'!$C$9:$C$108,0))+AG414)))</x:f>
        <x:v>0.18478038534860003</x:v>
      </x:c>
      <x:c r="AA414" s="23" t="n">
        <x:f>IF(C414="","",IF(AQ414&lt;&gt;"Ready","Unavailable",IF(C414="","",O414*(1-IF(INDEX('Facilities'!$AA$9:$AA$108,MATCH(C414,'Facilities'!$C$9:$C$108,0))=0,0,MIN(1,INDEX('Facilities'!$X$9:$X$108,MATCH(C414,'Facilities'!$C$9:$C$108,0))/INDEX('Facilities'!$AA$9:$AA$108,MATCH(C414,'Facilities'!$C$9:$C$108,0)))))*AF414+P414*(1-IF(INDEX('Facilities'!$AA$9:$AA$108,MATCH(C414,'Facilities'!$C$9:$C$108,0))=0,0,MIN(1,INDEX('Facilities'!$X$9:$X$108,MATCH(C414,'Facilities'!$C$9:$C$108,0))/INDEX('Facilities'!$AA$9:$AA$108,MATCH(C414,'Facilities'!$C$9:$C$108,0)))))*INDEX('Facilities'!$AJ$9:$AJ$108,MATCH(C414,'Facilities'!$C$9:$C$108,0))+Q414*INDEX('Facilities'!$AI$9:$AI$108,MATCH(C414,'Facilities'!$C$9:$C$108,0))*AF414)))</x:f>
        <x:v>2.446214046616784</x:v>
      </x:c>
      <x:c r="AB414" s="21" t="n">
        <x:f>IF(C414="","",O414+P414-AD414)</x:f>
        <x:v>-0.2305229282400001</x:v>
      </x:c>
      <x:c r="AC414" s="23" t="n">
        <x:f>IF(C414="","",IFERROR(IF(INDEX('Facilities'!$AD$9:$AD$108,MATCH(C414,'Facilities'!$C$9:$C$108,0))=3,0,IF(INDEX('Facilities'!$AN$9:$AN$108,MATCH(C414,'Facilities'!$C$9:$C$108,0))=0,-1,INDEX('Facilities'!$AN$9:$AN$108,MATCH(C414,'Facilities'!$C$9:$C$108,0)))),"Unavailable"))</x:f>
        <x:v>-1</x:v>
      </x:c>
      <x:c r="AD414" s="21" t="n">
        <x:f>IF(C414="","",IFERROR(G414+H414,"Unavailable"))</x:f>
        <x:v>2.0603181520000002</x:v>
      </x:c>
      <x:c r="AE414" s="21" t="n">
        <x:f>IF(C414="","",IF(AQ414&lt;&gt;"Ready","Unavailable",IF(C414="","",O414+P414-AD414-J414+K414+M414+N414)))</x:f>
        <x:v>-8.326672684688674e-17</x:v>
      </x:c>
      <x:c r="AF414" s="30" t="n">
        <x:f>IF(C414="","",IFERROR(INDEX('Facilities'!$S$9:$S$108,MATCH(C414,'Facilities'!$C$9:$C$108,0))*'Scenario Paths'!J75,"Unavailable"))</x:f>
        <x:v>1.25</x:v>
      </x:c>
      <x:c r="AG414" s="23" t="n">
        <x:f>IF(C414="","",IF(AQ414&lt;&gt;"Ready","Unavailable",IF(C414="","",IF(H414&gt;0,MAX(0,H414-AK414)*((1+INDEX('Facilities'!$K$9:$K$108,MATCH(C414,'Facilities'!$C$9:$C$108,0)))^MIN(1,MAX(0,AC414+INDEX('Facilities'!$AK$9:$AK$108,MATCH(C414,'Facilities'!$C$9:$C$108,0))-D414+1))-1),0))))</x:f>
        <x:v>0</x:v>
      </x:c>
      <x:c r="AH414" s="21" t="n">
        <x:f>IF(C414="","",IF(AQ414&lt;&gt;"Ready","Unavailable",IF(C414="","",O414+P414)))</x:f>
        <x:v>1.8297952237600001</x:v>
      </x:c>
      <x:c r="AI414" s="21" t="n">
        <x:f>IF(C414="","",IF(AQ414&lt;&gt;"Ready","Unavailable",IF(C414="","",Z414-Y414)))</x:f>
        <x:v>0.2269069727390159</x:v>
      </x:c>
      <x:c r="AJ414" s="23" t="n">
        <x:f>IF(C414="","",IFERROR(MAX(0,INDEX('Facilities'!$J$9:$J$108,MATCH(C414,'Facilities'!$C$9:$C$108,0))-D414),"Unavailable"))</x:f>
        <x:v>2</x:v>
      </x:c>
      <x:c r="AK414" s="21" t="n">
        <x:f>IF(C414="","",IFERROR(AL314,"Unavailable"))</x:f>
        <x:v>0</x:v>
      </x:c>
      <x:c r="AL414" s="23" t="n">
        <x:f>IF(C414="","",IFERROR(IF(P414&gt;0,P414*(1-AM414/(1+INDEX('Facilities'!$K$9:$K$108,MATCH(C414,'Facilities'!$C$9:$C$108,0)))^MAX(0,AC414+INDEX('Facilities'!$AK$9:$AK$108,MATCH(C414,'Facilities'!$C$9:$C$108,0))-D414)),0),"Unavailable"))</x:f>
        <x:v>0</x:v>
      </x:c>
      <x:c r="AM414" s="30" t="n">
        <x:f>IF(C414="","",IFERROR(INDEX('Facilities'!$AL$9:$AL$108,MATCH(C414,'Facilities'!$C$9:$C$108,0)),"Unavailable"))</x:f>
        <x:v>0.55</x:v>
      </x:c>
      <x:c r="AN414" s="30" t="n">
        <x:f>IF(C414="","",IFERROR(INDEX(Credit!$T$409:$T$508,MATCH(F414,Credit!$C$409:$C$508,0)),"Unavailable"))</x:f>
        <x:v>0.009152</x:v>
      </x:c>
      <x:c r="AO414" s="23" t="n">
        <x:f>IF(C414="","",IF(AQ414&lt;&gt;"Ready","Unavailable",IF(C414="","",O414+P414+Q414*INDEX('Facilities'!$I$9:$I$108,MATCH(C414,'Facilities'!$C$9:$C$108,0)))))</x:f>
        <x:v>1.98859009876</x:v>
      </x:c>
      <x:c r="AP414" s="21" t="n">
        <x:f>IF(C414="","",IF(AQ414&lt;&gt;"Ready","Unavailable",IF(C414="","",AH414-U414)))</x:f>
        <x:v>1.7627966541067133</x:v>
      </x:c>
      <x:c r="AQ414" s="23" t="str">
        <x:f>IFERROR(IF(C414="","",IF(AND(INDEX('Facilities'!$AF$9:$AF$108,MATCH(C414,'Facilities'!$C$9:$C$108,0))="Ready",INDEX(Credit!$U$409:$U$508,MATCH(F414,Credit!$C$409:$C$508,0))="Ready",ISNUMBER(W414)),"Ready","Review inputs")),"Review inputs")</x:f>
        <x:v>Ready</x:v>
      </x:c>
      <x:c r="AR414" s="23" t="n">
        <x:f>IF(C414="","",IF(AQ414&lt;&gt;"Ready","Unavailable",IF(C414="","",IF(O414=0,0,(IF(AJ414&lt;=1,O414,O414*INDEX('Facilities'!$R$9:$R$108,MATCH(C414,'Facilities'!$C$9:$C$108,0)))+O414*INDEX('Facilities'!$T$9:$T$108,MATCH(C414,'Facilities'!$C$9:$C$108,0)))/12))))</x:f>
        <x:v>0.03278383109236667</x:v>
      </x:c>
    </x:row>
    <x:row r="415" ht="26" customHeight="1">
      <x:c r="A415" s="1"/>
      <x:c r="B415" s="1"/>
      <x:c r="C415" s="9" t="str">
        <x:f>IF(Facilities!C15="","",Facilities!C15)</x:f>
        <x:v>F007</x:v>
      </x:c>
      <x:c r="D415" s="3" t="n">
        <x:v>5</x:v>
      </x:c>
      <x:c r="E415" s="9" t="n">
        <x:f>Settings!$F$18+4</x:f>
        <x:v>2031</x:v>
      </x:c>
      <x:c r="F415" s="9" t="str">
        <x:f>IF(C415="","",IFERROR(INDEX('Facilities'!$D$9:$D$108,MATCH(C415,'Facilities'!$C$9:$C$108,0)),"Unavailable"))</x:f>
        <x:v>B004</x:v>
      </x:c>
      <x:c r="G415" s="21" t="n">
        <x:f>IF(C415="","",IFERROR(O315,"Unavailable"))</x:f>
        <x:v>0</x:v>
      </x:c>
      <x:c r="H415" s="21" t="n">
        <x:f>IF(C415="","",IFERROR(P315,"Unavailable"))</x:f>
        <x:v>5.06177</x:v>
      </x:c>
      <x:c r="I415" s="21" t="n">
        <x:f>IF(C415="","",IFERROR(Q315,"Unavailable"))</x:f>
        <x:v>0</x:v>
      </x:c>
      <x:c r="J415" s="23" t="n">
        <x:f>IF(C415="","",IFERROR(IF(OR(H415&gt;0,AND(AC415&gt;=0,AC415&lt;D415),D415&gt;INDEX('Facilities'!$J$9:$J$108,MATCH(C415,'Facilities'!$C$9:$C$108,0))),0,I415*'Scenario Paths'!J81),"Unavailable"))</x:f>
        <x:v>0</x:v>
      </x:c>
      <x:c r="K415" s="23" t="n">
        <x:f>IF(C415="","",IFERROR(IF(OR(H415&gt;0,AND(AC415&gt;=0,AC415=D415)),0,IF(D415&gt;=INDEX('Facilities'!$J$9:$J$108,MATCH(C415,'Facilities'!$C$9:$C$108,0)),G415+J415,MIN(G415+J415,G415*INDEX('Facilities'!$R$9:$R$108,MATCH(C415,'Facilities'!$C$9:$C$108,0))))),"Unavailable"))</x:f>
        <x:v>0</x:v>
      </x:c>
      <x:c r="L415" s="21" t="n">
        <x:f>IF(C415="","",IFERROR(IF(AND(AC415=D415,AC415&gt;0),MAX(0,G415+J415-K415),0),"Unavailable"))</x:f>
        <x:v>0</x:v>
      </x:c>
      <x:c r="M415" s="23" t="n">
        <x:f>IF(C415="","",IFERROR(IF(AND(AC415&gt;=0,D415&gt;=AC415+INDEX('Facilities'!$AK$9:$AK$108,MATCH(C415,'Facilities'!$C$9:$C$108,0))),(H415+L415)*AM415,0),"Unavailable"))</x:f>
        <x:v>2.7839735</x:v>
      </x:c>
      <x:c r="N415" s="23" t="n">
        <x:f>IF(C415="","",IFERROR(IF(AND(AC415&gt;=0,D415&gt;=AC415+INDEX('Facilities'!$AK$9:$AK$108,MATCH(C415,'Facilities'!$C$9:$C$108,0))),H415+L415-M415,0),"Unavailable"))</x:f>
        <x:v>2.2777965</x:v>
      </x:c>
      <x:c r="O415" s="21" t="n">
        <x:f>IF(C415="","",IFERROR(MAX(0,G415+J415-K415-L415),"Unavailable"))</x:f>
        <x:v>0</x:v>
      </x:c>
      <x:c r="P415" s="21" t="n">
        <x:f>IF(C415="","",IFERROR(MAX(0,H415+L415-M415-N415),"Unavailable"))</x:f>
        <x:v>0</x:v>
      </x:c>
      <x:c r="Q415" s="23" t="n">
        <x:f>IF(C415="","",IFERROR(IF(OR(D415&gt;=INDEX('Facilities'!$J$9:$J$108,MATCH(C415,'Facilities'!$C$9:$C$108,0)),AND(AC415&gt;=0,AC415&lt;=D415)),0,MAX(0,I415-J415)),"Unavailable"))</x:f>
        <x:v>0</x:v>
      </x:c>
      <x:c r="R415" s="30" t="n">
        <x:f>IF(C415="","",IFERROR(INDEX(Credit!$Q$409:$Q$508,MATCH(F415,Credit!$C$409:$C$508,0)),"Unavailable"))</x:f>
        <x:v>0.053834620576634275</x:v>
      </x:c>
      <x:c r="S415" s="30" t="n">
        <x:f>IF(C415="","",IFERROR(INDEX(Credit!$R$409:$R$508,MATCH(F415,Credit!$C$409:$C$508,0)),"Unavailable"))</x:f>
        <x:v>0.40376320000000004</x:v>
      </x:c>
      <x:c r="T415" s="23" t="n">
        <x:f>IF(C415="","",IFERROR(IF(P415&gt;0,3,IF(OR(INDEX('Facilities'!$AD$9:$AD$108,MATCH(C415,'Facilities'!$C$9:$C$108,0))=2,AND(R415&gt;=INDEX('Facilities'!$L$9:$L$108,MATCH(C415,'Facilities'!$C$9:$C$108,0))*Settings!$F$19,R415-INDEX('Facilities'!$L$9:$L$108,MATCH(C415,'Facilities'!$C$9:$C$108,0))&gt;=Settings!$F$20)),2,1)),"Unavailable"))</x:f>
        <x:v>1</x:v>
      </x:c>
      <x:c r="U415" s="23" t="n">
        <x:f>IF(C415="","",IF(AQ415&lt;&gt;"Ready","Unavailable",IF(C415="","",O415*(1-(1-S415)/(1+INDEX('Facilities'!$K$9:$K$108,MATCH(C415,'Facilities'!$C$9:$C$108,0)))^INDEX('Facilities'!$AK$9:$AK$108,MATCH(C415,'Facilities'!$C$9:$C$108,0)))*R415/(1+INDEX('Facilities'!$K$9:$K$108,MATCH(C415,'Facilities'!$C$9:$C$108,0)))*IF(ABS(1-(1-R415)*(1-INDEX('Facilities'!$R$9:$R$108,MATCH(C415,'Facilities'!$C$9:$C$108,0)))/(1+INDEX('Facilities'!$K$9:$K$108,MATCH(C415,'Facilities'!$C$9:$C$108,0))))&lt;0.000000001,IF(T415=1,MIN(1,AJ415),AJ415),(1-((1-R415)*(1-INDEX('Facilities'!$R$9:$R$108,MATCH(C415,'Facilities'!$C$9:$C$108,0)))/(1+INDEX('Facilities'!$K$9:$K$108,MATCH(C415,'Facilities'!$C$9:$C$108,0))))^IF(T415=1,MIN(1,AJ415),AJ415))/(1-(1-R415)*(1-INDEX('Facilities'!$R$9:$R$108,MATCH(C415,'Facilities'!$C$9:$C$108,0)))/(1+INDEX('Facilities'!$K$9:$K$108,MATCH(C415,'Facilities'!$C$9:$C$108,0)))))+AL415)))</x:f>
        <x:v>0</x:v>
      </x:c>
      <x:c r="V415" s="23" t="n">
        <x:f>IF(C415="","",IF(AQ415&lt;&gt;"Ready","Unavailable",IF(C415="","",Q415*INDEX('Facilities'!$I$9:$I$108,MATCH(C415,'Facilities'!$C$9:$C$108,0))*(1-(1-S415)/(1+INDEX('Facilities'!$K$9:$K$108,MATCH(C415,'Facilities'!$C$9:$C$108,0)))^INDEX('Facilities'!$AK$9:$AK$108,MATCH(C415,'Facilities'!$C$9:$C$108,0)))*R415/(1+INDEX('Facilities'!$K$9:$K$108,MATCH(C415,'Facilities'!$C$9:$C$108,0)))*IF(ABS(1-(1-R415)*(1-0)/(1+INDEX('Facilities'!$K$9:$K$108,MATCH(C415,'Facilities'!$C$9:$C$108,0))))&lt;0.000000001,IF(T415=1,MIN(1,AJ415),AJ415),(1-((1-R415)*(1-0)/(1+INDEX('Facilities'!$K$9:$K$108,MATCH(C415,'Facilities'!$C$9:$C$108,0))))^IF(T415=1,MIN(1,AJ415),AJ415))/(1-(1-R415)*(1-0)/(1+INDEX('Facilities'!$K$9:$K$108,MATCH(C415,'Facilities'!$C$9:$C$108,0))))))))</x:f>
        <x:v>0</x:v>
      </x:c>
      <x:c r="W415" s="21" t="n">
        <x:f>IF(C415="","",IFERROR(U315,"Unavailable"))</x:f>
        <x:v>2.484016759259259</x:v>
      </x:c>
      <x:c r="X415" s="21" t="n">
        <x:f>IF(C415="","",IFERROR(V315,"Unavailable"))</x:f>
        <x:v>0</x:v>
      </x:c>
      <x:c r="Y415" s="21" t="n">
        <x:f>IF(C415="","",IF(AQ415&lt;&gt;"Ready","Unavailable",IF(C415="","",U415-W415+V415-X415+N415+AG415)))</x:f>
        <x:v>4.440892098500626e-16</x:v>
      </x:c>
      <x:c r="Z415" s="23" t="n">
        <x:f>IF(C415="","",IF(AQ415&lt;&gt;"Ready","Unavailable",IF(C415="","",(G415+O415+L415)/2*INDEX('Facilities'!$T$9:$T$108,MATCH(C415,'Facilities'!$C$9:$C$108,0))+AG415)))</x:f>
        <x:v>0.20622025925925946</x:v>
      </x:c>
      <x:c r="AA415" s="23" t="n">
        <x:f>IF(C415="","",IF(AQ415&lt;&gt;"Ready","Unavailable",IF(C415="","",O415*(1-IF(INDEX('Facilities'!$AA$9:$AA$108,MATCH(C415,'Facilities'!$C$9:$C$108,0))=0,0,MIN(1,INDEX('Facilities'!$X$9:$X$108,MATCH(C415,'Facilities'!$C$9:$C$108,0))/INDEX('Facilities'!$AA$9:$AA$108,MATCH(C415,'Facilities'!$C$9:$C$108,0)))))*AF415+P415*(1-IF(INDEX('Facilities'!$AA$9:$AA$108,MATCH(C415,'Facilities'!$C$9:$C$108,0))=0,0,MIN(1,INDEX('Facilities'!$X$9:$X$108,MATCH(C415,'Facilities'!$C$9:$C$108,0))/INDEX('Facilities'!$AA$9:$AA$108,MATCH(C415,'Facilities'!$C$9:$C$108,0)))))*INDEX('Facilities'!$AJ$9:$AJ$108,MATCH(C415,'Facilities'!$C$9:$C$108,0))+Q415*INDEX('Facilities'!$AI$9:$AI$108,MATCH(C415,'Facilities'!$C$9:$C$108,0))*AF415)))</x:f>
        <x:v>0</x:v>
      </x:c>
      <x:c r="AB415" s="21" t="n">
        <x:f>IF(C415="","",O415+P415-AD415)</x:f>
        <x:v>-5.06177</x:v>
      </x:c>
      <x:c r="AC415" s="23" t="n">
        <x:f>IF(C415="","",IFERROR(IF(INDEX('Facilities'!$AD$9:$AD$108,MATCH(C415,'Facilities'!$C$9:$C$108,0))=3,0,IF(INDEX('Facilities'!$AN$9:$AN$108,MATCH(C415,'Facilities'!$C$9:$C$108,0))=0,-1,INDEX('Facilities'!$AN$9:$AN$108,MATCH(C415,'Facilities'!$C$9:$C$108,0)))),"Unavailable"))</x:f>
        <x:v>3</x:v>
      </x:c>
      <x:c r="AD415" s="21" t="n">
        <x:f>IF(C415="","",IFERROR(G415+H415,"Unavailable"))</x:f>
        <x:v>5.06177</x:v>
      </x:c>
      <x:c r="AE415" s="21" t="n">
        <x:f>IF(C415="","",IF(AQ415&lt;&gt;"Ready","Unavailable",IF(C415="","",O415+P415-AD415-J415+K415+M415+N415)))</x:f>
        <x:v>0</x:v>
      </x:c>
      <x:c r="AF415" s="30" t="n">
        <x:f>IF(C415="","",IFERROR(INDEX('Facilities'!$S$9:$S$108,MATCH(C415,'Facilities'!$C$9:$C$108,0))*'Scenario Paths'!J75,"Unavailable"))</x:f>
        <x:v>1.25</x:v>
      </x:c>
      <x:c r="AG415" s="23" t="n">
        <x:f>IF(C415="","",IF(AQ415&lt;&gt;"Ready","Unavailable",IF(C415="","",IF(H415&gt;0,MAX(0,H415-AK415)*((1+INDEX('Facilities'!$K$9:$K$108,MATCH(C415,'Facilities'!$C$9:$C$108,0)))^MIN(1,MAX(0,AC415+INDEX('Facilities'!$AK$9:$AK$108,MATCH(C415,'Facilities'!$C$9:$C$108,0))-D415+1))-1),0))))</x:f>
        <x:v>0.20622025925925946</x:v>
      </x:c>
      <x:c r="AH415" s="21" t="n">
        <x:f>IF(C415="","",IF(AQ415&lt;&gt;"Ready","Unavailable",IF(C415="","",O415+P415)))</x:f>
        <x:v>0</x:v>
      </x:c>
      <x:c r="AI415" s="21" t="n">
        <x:f>IF(C415="","",IF(AQ415&lt;&gt;"Ready","Unavailable",IF(C415="","",Z415-Y415)))</x:f>
        <x:v>0.20622025925925902</x:v>
      </x:c>
      <x:c r="AJ415" s="23" t="n">
        <x:f>IF(C415="","",IFERROR(MAX(0,INDEX('Facilities'!$J$9:$J$108,MATCH(C415,'Facilities'!$C$9:$C$108,0))-D415),"Unavailable"))</x:f>
        <x:v>3</x:v>
      </x:c>
      <x:c r="AK415" s="21" t="n">
        <x:f>IF(C415="","",IFERROR(AL315,"Unavailable"))</x:f>
        <x:v>2.484016759259259</x:v>
      </x:c>
      <x:c r="AL415" s="23" t="n">
        <x:f>IF(C415="","",IFERROR(IF(P415&gt;0,P415*(1-AM415/(1+INDEX('Facilities'!$K$9:$K$108,MATCH(C415,'Facilities'!$C$9:$C$108,0)))^MAX(0,AC415+INDEX('Facilities'!$AK$9:$AK$108,MATCH(C415,'Facilities'!$C$9:$C$108,0))-D415)),0),"Unavailable"))</x:f>
        <x:v>0</x:v>
      </x:c>
      <x:c r="AM415" s="30" t="n">
        <x:f>IF(C415="","",IFERROR(INDEX('Facilities'!$AL$9:$AL$108,MATCH(C415,'Facilities'!$C$9:$C$108,0)),"Unavailable"))</x:f>
        <x:v>0.55</x:v>
      </x:c>
      <x:c r="AN415" s="30" t="n">
        <x:f>IF(C415="","",IFERROR(INDEX(Credit!$T$409:$T$508,MATCH(F415,Credit!$C$409:$C$508,0)),"Unavailable"))</x:f>
        <x:v>0.006272</x:v>
      </x:c>
      <x:c r="AO415" s="23" t="n">
        <x:f>IF(C415="","",IF(AQ415&lt;&gt;"Ready","Unavailable",IF(C415="","",O415+P415+Q415*INDEX('Facilities'!$I$9:$I$108,MATCH(C415,'Facilities'!$C$9:$C$108,0)))))</x:f>
        <x:v>0</x:v>
      </x:c>
      <x:c r="AP415" s="21" t="n">
        <x:f>IF(C415="","",IF(AQ415&lt;&gt;"Ready","Unavailable",IF(C415="","",AH415-U415)))</x:f>
        <x:v>0</x:v>
      </x:c>
      <x:c r="AQ415" s="23" t="str">
        <x:f>IFERROR(IF(C415="","",IF(AND(INDEX('Facilities'!$AF$9:$AF$108,MATCH(C415,'Facilities'!$C$9:$C$108,0))="Ready",INDEX(Credit!$U$409:$U$508,MATCH(F415,Credit!$C$409:$C$508,0))="Ready",ISNUMBER(W415)),"Ready","Review inputs")),"Review inputs")</x:f>
        <x:v>Ready</x:v>
      </x:c>
      <x:c r="AR415" s="23" t="n">
        <x:f>IF(C415="","",IF(AQ415&lt;&gt;"Ready","Unavailable",IF(C415="","",IF(O415=0,0,(IF(AJ415&lt;=1,O415,O415*INDEX('Facilities'!$R$9:$R$108,MATCH(C415,'Facilities'!$C$9:$C$108,0)))+O415*INDEX('Facilities'!$T$9:$T$108,MATCH(C415,'Facilities'!$C$9:$C$108,0)))/12))))</x:f>
        <x:v>0</x:v>
      </x:c>
    </x:row>
    <x:row r="416" ht="26" customHeight="1">
      <x:c r="A416" s="1"/>
      <x:c r="B416" s="1"/>
      <x:c r="C416" s="9" t="str">
        <x:f>IF(Facilities!C16="","",Facilities!C16)</x:f>
        <x:v>F008</x:v>
      </x:c>
      <x:c r="D416" s="3" t="n">
        <x:v>5</x:v>
      </x:c>
      <x:c r="E416" s="9" t="n">
        <x:f>Settings!$F$18+4</x:f>
        <x:v>2031</x:v>
      </x:c>
      <x:c r="F416" s="9" t="str">
        <x:f>IF(C416="","",IFERROR(INDEX('Facilities'!$D$9:$D$108,MATCH(C416,'Facilities'!$C$9:$C$108,0)),"Unavailable"))</x:f>
        <x:v>B004</x:v>
      </x:c>
      <x:c r="G416" s="21" t="n">
        <x:f>IF(C416="","",IFERROR(O316,"Unavailable"))</x:f>
        <x:v>2.270211528</x:v>
      </x:c>
      <x:c r="H416" s="21" t="n">
        <x:f>IF(C416="","",IFERROR(P316,"Unavailable"))</x:f>
        <x:v>0</x:v>
      </x:c>
      <x:c r="I416" s="21" t="n">
        <x:f>IF(C416="","",IFERROR(Q316,"Unavailable"))</x:f>
        <x:v>0.334305</x:v>
      </x:c>
      <x:c r="J416" s="23" t="n">
        <x:f>IF(C416="","",IFERROR(IF(OR(H416&gt;0,AND(AC416&gt;=0,AC416&lt;D416),D416&gt;INDEX('Facilities'!$J$9:$J$108,MATCH(C416,'Facilities'!$C$9:$C$108,0))),0,I416*'Scenario Paths'!J81),"Unavailable"))</x:f>
        <x:v>0.01671525</x:v>
      </x:c>
      <x:c r="K416" s="23" t="n">
        <x:f>IF(C416="","",IFERROR(IF(OR(H416&gt;0,AND(AC416&gt;=0,AC416=D416)),0,IF(D416&gt;=INDEX('Facilities'!$J$9:$J$108,MATCH(C416,'Facilities'!$C$9:$C$108,0)),G416+J416,MIN(G416+J416,G416*INDEX('Facilities'!$R$9:$R$108,MATCH(C416,'Facilities'!$C$9:$C$108,0))))),"Unavailable"))</x:f>
        <x:v>0.27242538336</x:v>
      </x:c>
      <x:c r="L416" s="21" t="n">
        <x:f>IF(C416="","",IFERROR(IF(AND(AC416=D416,AC416&gt;0),MAX(0,G416+J416-K416),0),"Unavailable"))</x:f>
        <x:v>0</x:v>
      </x:c>
      <x:c r="M416" s="23" t="n">
        <x:f>IF(C416="","",IFERROR(IF(AND(AC416&gt;=0,D416&gt;=AC416+INDEX('Facilities'!$AK$9:$AK$108,MATCH(C416,'Facilities'!$C$9:$C$108,0))),(H416+L416)*AM416,0),"Unavailable"))</x:f>
        <x:v>0</x:v>
      </x:c>
      <x:c r="N416" s="23" t="n">
        <x:f>IF(C416="","",IFERROR(IF(AND(AC416&gt;=0,D416&gt;=AC416+INDEX('Facilities'!$AK$9:$AK$108,MATCH(C416,'Facilities'!$C$9:$C$108,0))),H416+L416-M416,0),"Unavailable"))</x:f>
        <x:v>0</x:v>
      </x:c>
      <x:c r="O416" s="21" t="n">
        <x:f>IF(C416="","",IFERROR(MAX(0,G416+J416-K416-L416),"Unavailable"))</x:f>
        <x:v>2.01450139464</x:v>
      </x:c>
      <x:c r="P416" s="21" t="n">
        <x:f>IF(C416="","",IFERROR(MAX(0,H416+L416-M416-N416),"Unavailable"))</x:f>
        <x:v>0</x:v>
      </x:c>
      <x:c r="Q416" s="23" t="n">
        <x:f>IF(C416="","",IFERROR(IF(OR(D416&gt;=INDEX('Facilities'!$J$9:$J$108,MATCH(C416,'Facilities'!$C$9:$C$108,0)),AND(AC416&gt;=0,AC416&lt;=D416)),0,MAX(0,I416-J416)),"Unavailable"))</x:f>
        <x:v>0.31758975</x:v>
      </x:c>
      <x:c r="R416" s="30" t="n">
        <x:f>IF(C416="","",IFERROR(INDEX(Credit!$Q$409:$Q$508,MATCH(F416,Credit!$C$409:$C$508,0)),"Unavailable"))</x:f>
        <x:v>0.053834620576634275</x:v>
      </x:c>
      <x:c r="S416" s="30" t="n">
        <x:f>IF(C416="","",IFERROR(INDEX(Credit!$R$409:$R$508,MATCH(F416,Credit!$C$409:$C$508,0)),"Unavailable"))</x:f>
        <x:v>0.40376320000000004</x:v>
      </x:c>
      <x:c r="T416" s="23" t="n">
        <x:f>IF(C416="","",IFERROR(IF(P416&gt;0,3,IF(OR(INDEX('Facilities'!$AD$9:$AD$108,MATCH(C416,'Facilities'!$C$9:$C$108,0))=2,AND(R416&gt;=INDEX('Facilities'!$L$9:$L$108,MATCH(C416,'Facilities'!$C$9:$C$108,0))*Settings!$F$19,R416-INDEX('Facilities'!$L$9:$L$108,MATCH(C416,'Facilities'!$C$9:$C$108,0))&gt;=Settings!$F$20)),2,1)),"Unavailable"))</x:f>
        <x:v>1</x:v>
      </x:c>
      <x:c r="U416" s="23" t="n">
        <x:f>IF(C416="","",IF(AQ416&lt;&gt;"Ready","Unavailable",IF(C416="","",O416*(1-(1-S416)/(1+INDEX('Facilities'!$K$9:$K$108,MATCH(C416,'Facilities'!$C$9:$C$108,0)))^INDEX('Facilities'!$AK$9:$AK$108,MATCH(C416,'Facilities'!$C$9:$C$108,0)))*R416/(1+INDEX('Facilities'!$K$9:$K$108,MATCH(C416,'Facilities'!$C$9:$C$108,0)))*IF(ABS(1-(1-R416)*(1-INDEX('Facilities'!$R$9:$R$108,MATCH(C416,'Facilities'!$C$9:$C$108,0)))/(1+INDEX('Facilities'!$K$9:$K$108,MATCH(C416,'Facilities'!$C$9:$C$108,0))))&lt;0.000000001,IF(T416=1,MIN(1,AJ416),AJ416),(1-((1-R416)*(1-INDEX('Facilities'!$R$9:$R$108,MATCH(C416,'Facilities'!$C$9:$C$108,0)))/(1+INDEX('Facilities'!$K$9:$K$108,MATCH(C416,'Facilities'!$C$9:$C$108,0))))^IF(T416=1,MIN(1,AJ416),AJ416))/(1-(1-R416)*(1-INDEX('Facilities'!$R$9:$R$108,MATCH(C416,'Facilities'!$C$9:$C$108,0)))/(1+INDEX('Facilities'!$K$9:$K$108,MATCH(C416,'Facilities'!$C$9:$C$108,0)))))+AL416)))</x:f>
        <x:v>0.04908594378606858</x:v>
      </x:c>
      <x:c r="V416" s="23" t="n">
        <x:f>IF(C416="","",IF(AQ416&lt;&gt;"Ready","Unavailable",IF(C416="","",Q416*INDEX('Facilities'!$I$9:$I$108,MATCH(C416,'Facilities'!$C$9:$C$108,0))*(1-(1-S416)/(1+INDEX('Facilities'!$K$9:$K$108,MATCH(C416,'Facilities'!$C$9:$C$108,0)))^INDEX('Facilities'!$AK$9:$AK$108,MATCH(C416,'Facilities'!$C$9:$C$108,0)))*R416/(1+INDEX('Facilities'!$K$9:$K$108,MATCH(C416,'Facilities'!$C$9:$C$108,0)))*IF(ABS(1-(1-R416)*(1-0)/(1+INDEX('Facilities'!$K$9:$K$108,MATCH(C416,'Facilities'!$C$9:$C$108,0))))&lt;0.000000001,IF(T416=1,MIN(1,AJ416),AJ416),(1-((1-R416)*(1-0)/(1+INDEX('Facilities'!$K$9:$K$108,MATCH(C416,'Facilities'!$C$9:$C$108,0))))^IF(T416=1,MIN(1,AJ416),AJ416))/(1-(1-R416)*(1-0)/(1+INDEX('Facilities'!$K$9:$K$108,MATCH(C416,'Facilities'!$C$9:$C$108,0))))))))</x:f>
        <x:v>0.0038692434408359967</x:v>
      </x:c>
      <x:c r="W416" s="21" t="n">
        <x:f>IF(C416="","",IFERROR(U316,"Unavailable"))</x:f>
        <x:v>0.059153593860229295</x:v>
      </x:c>
      <x:c r="X416" s="21" t="n">
        <x:f>IF(C416="","",IFERROR(V316,"Unavailable"))</x:f>
        <x:v>0.00435539639182115</x:v>
      </x:c>
      <x:c r="Y416" s="21" t="n">
        <x:f>IF(C416="","",IF(AQ416&lt;&gt;"Ready","Unavailable",IF(C416="","",U416-W416+V416-X416+N416+AG416)))</x:f>
        <x:v>-0.01055380302514587</x:v>
      </x:c>
      <x:c r="Z416" s="23" t="n">
        <x:f>IF(C416="","",IF(AQ416&lt;&gt;"Ready","Unavailable",IF(C416="","",(G416+O416+L416)/2*INDEX('Facilities'!$T$9:$T$108,MATCH(C416,'Facilities'!$C$9:$C$108,0))+AG416)))</x:f>
        <x:v>0.2035238638254</x:v>
      </x:c>
      <x:c r="AA416" s="23" t="n">
        <x:f>IF(C416="","",IF(AQ416&lt;&gt;"Ready","Unavailable",IF(C416="","",O416*(1-IF(INDEX('Facilities'!$AA$9:$AA$108,MATCH(C416,'Facilities'!$C$9:$C$108,0))=0,0,MIN(1,INDEX('Facilities'!$X$9:$X$108,MATCH(C416,'Facilities'!$C$9:$C$108,0))/INDEX('Facilities'!$AA$9:$AA$108,MATCH(C416,'Facilities'!$C$9:$C$108,0)))))*AF416+P416*(1-IF(INDEX('Facilities'!$AA$9:$AA$108,MATCH(C416,'Facilities'!$C$9:$C$108,0))=0,0,MIN(1,INDEX('Facilities'!$X$9:$X$108,MATCH(C416,'Facilities'!$C$9:$C$108,0))/INDEX('Facilities'!$AA$9:$AA$108,MATCH(C416,'Facilities'!$C$9:$C$108,0)))))*INDEX('Facilities'!$AJ$9:$AJ$108,MATCH(C416,'Facilities'!$C$9:$C$108,0))+Q416*INDEX('Facilities'!$AI$9:$AI$108,MATCH(C416,'Facilities'!$C$9:$C$108,0))*AF416)))</x:f>
        <x:v>2.6561852952107996</x:v>
      </x:c>
      <x:c r="AB416" s="21" t="n">
        <x:f>IF(C416="","",O416+P416-AD416)</x:f>
        <x:v>-0.25571013336000004</x:v>
      </x:c>
      <x:c r="AC416" s="23" t="n">
        <x:f>IF(C416="","",IFERROR(IF(INDEX('Facilities'!$AD$9:$AD$108,MATCH(C416,'Facilities'!$C$9:$C$108,0))=3,0,IF(INDEX('Facilities'!$AN$9:$AN$108,MATCH(C416,'Facilities'!$C$9:$C$108,0))=0,-1,INDEX('Facilities'!$AN$9:$AN$108,MATCH(C416,'Facilities'!$C$9:$C$108,0)))),"Unavailable"))</x:f>
        <x:v>-1</x:v>
      </x:c>
      <x:c r="AD416" s="21" t="n">
        <x:f>IF(C416="","",IFERROR(G416+H416,"Unavailable"))</x:f>
        <x:v>2.270211528</x:v>
      </x:c>
      <x:c r="AE416" s="21" t="n">
        <x:f>IF(C416="","",IF(AQ416&lt;&gt;"Ready","Unavailable",IF(C416="","",O416+P416-AD416-J416+K416+M416+N416)))</x:f>
        <x:v>-5.551115123125783e-17</x:v>
      </x:c>
      <x:c r="AF416" s="30" t="n">
        <x:f>IF(C416="","",IFERROR(INDEX('Facilities'!$S$9:$S$108,MATCH(C416,'Facilities'!$C$9:$C$108,0))*'Scenario Paths'!J75,"Unavailable"))</x:f>
        <x:v>1.25</x:v>
      </x:c>
      <x:c r="AG416" s="23" t="n">
        <x:f>IF(C416="","",IF(AQ416&lt;&gt;"Ready","Unavailable",IF(C416="","",IF(H416&gt;0,MAX(0,H416-AK416)*((1+INDEX('Facilities'!$K$9:$K$108,MATCH(C416,'Facilities'!$C$9:$C$108,0)))^MIN(1,MAX(0,AC416+INDEX('Facilities'!$AK$9:$AK$108,MATCH(C416,'Facilities'!$C$9:$C$108,0))-D416+1))-1),0))))</x:f>
        <x:v>0</x:v>
      </x:c>
      <x:c r="AH416" s="21" t="n">
        <x:f>IF(C416="","",IF(AQ416&lt;&gt;"Ready","Unavailable",IF(C416="","",O416+P416)))</x:f>
        <x:v>2.01450139464</x:v>
      </x:c>
      <x:c r="AI416" s="21" t="n">
        <x:f>IF(C416="","",IF(AQ416&lt;&gt;"Ready","Unavailable",IF(C416="","",Z416-Y416)))</x:f>
        <x:v>0.21407766685054586</x:v>
      </x:c>
      <x:c r="AJ416" s="23" t="n">
        <x:f>IF(C416="","",IFERROR(MAX(0,INDEX('Facilities'!$J$9:$J$108,MATCH(C416,'Facilities'!$C$9:$C$108,0))-D416),"Unavailable"))</x:f>
        <x:v>3</x:v>
      </x:c>
      <x:c r="AK416" s="21" t="n">
        <x:f>IF(C416="","",IFERROR(AL316,"Unavailable"))</x:f>
        <x:v>0</x:v>
      </x:c>
      <x:c r="AL416" s="23" t="n">
        <x:f>IF(C416="","",IFERROR(IF(P416&gt;0,P416*(1-AM416/(1+INDEX('Facilities'!$K$9:$K$108,MATCH(C416,'Facilities'!$C$9:$C$108,0)))^MAX(0,AC416+INDEX('Facilities'!$AK$9:$AK$108,MATCH(C416,'Facilities'!$C$9:$C$108,0))-D416)),0),"Unavailable"))</x:f>
        <x:v>0</x:v>
      </x:c>
      <x:c r="AM416" s="30" t="n">
        <x:f>IF(C416="","",IFERROR(INDEX('Facilities'!$AL$9:$AL$108,MATCH(C416,'Facilities'!$C$9:$C$108,0)),"Unavailable"))</x:f>
        <x:v>0.55</x:v>
      </x:c>
      <x:c r="AN416" s="30" t="n">
        <x:f>IF(C416="","",IFERROR(INDEX(Credit!$T$409:$T$508,MATCH(F416,Credit!$C$409:$C$508,0)),"Unavailable"))</x:f>
        <x:v>0.006272</x:v>
      </x:c>
      <x:c r="AO416" s="23" t="n">
        <x:f>IF(C416="","",IF(AQ416&lt;&gt;"Ready","Unavailable",IF(C416="","",O416+P416+Q416*INDEX('Facilities'!$I$9:$I$108,MATCH(C416,'Facilities'!$C$9:$C$108,0)))))</x:f>
        <x:v>2.17329626964</x:v>
      </x:c>
      <x:c r="AP416" s="21" t="n">
        <x:f>IF(C416="","",IF(AQ416&lt;&gt;"Ready","Unavailable",IF(C416="","",AH416-U416)))</x:f>
        <x:v>1.9654154508539312</x:v>
      </x:c>
      <x:c r="AQ416" s="23" t="str">
        <x:f>IFERROR(IF(C416="","",IF(AND(INDEX('Facilities'!$AF$9:$AF$108,MATCH(C416,'Facilities'!$C$9:$C$108,0))="Ready",INDEX(Credit!$U$409:$U$508,MATCH(F416,Credit!$C$409:$C$508,0))="Ready",ISNUMBER(W416)),"Ready","Review inputs")),"Review inputs")</x:f>
        <x:v>Ready</x:v>
      </x:c>
      <x:c r="AR416" s="23" t="n">
        <x:f>IF(C416="","",IF(AQ416&lt;&gt;"Ready","Unavailable",IF(C416="","",IF(O416=0,0,(IF(AJ416&lt;=1,O416,O416*INDEX('Facilities'!$R$9:$R$108,MATCH(C416,'Facilities'!$C$9:$C$108,0)))+O416*INDEX('Facilities'!$T$9:$T$108,MATCH(C416,'Facilities'!$C$9:$C$108,0)))/12))))</x:f>
        <x:v>0.036093149987300004</x:v>
      </x:c>
    </x:row>
    <x:row r="417" ht="26" customHeight="1">
      <x:c r="A417" s="1"/>
      <x:c r="B417" s="1"/>
      <x:c r="C417" s="9" t="str">
        <x:f>IF(Facilities!C17="","",Facilities!C17)</x:f>
        <x:v>F009</x:v>
      </x:c>
      <x:c r="D417" s="3" t="n">
        <x:v>5</x:v>
      </x:c>
      <x:c r="E417" s="9" t="n">
        <x:f>Settings!$F$18+4</x:f>
        <x:v>2031</x:v>
      </x:c>
      <x:c r="F417" s="9" t="str">
        <x:f>IF(C417="","",IFERROR(INDEX('Facilities'!$D$9:$D$108,MATCH(C417,'Facilities'!$C$9:$C$108,0)),"Unavailable"))</x:f>
        <x:v>B005</x:v>
      </x:c>
      <x:c r="G417" s="21" t="n">
        <x:f>IF(C417="","",IFERROR(O317,"Unavailable"))</x:f>
        <x:v>4.261929304000001</x:v>
      </x:c>
      <x:c r="H417" s="21" t="n">
        <x:f>IF(C417="","",IFERROR(P317,"Unavailable"))</x:f>
        <x:v>0</x:v>
      </x:c>
      <x:c r="I417" s="21" t="n">
        <x:f>IF(C417="","",IFERROR(Q317,"Unavailable"))</x:f>
        <x:v>1.002915</x:v>
      </x:c>
      <x:c r="J417" s="23" t="n">
        <x:f>IF(C417="","",IFERROR(IF(OR(H417&gt;0,AND(AC417&gt;=0,AC417&lt;D417),D417&gt;INDEX('Facilities'!$J$9:$J$108,MATCH(C417,'Facilities'!$C$9:$C$108,0))),0,I417*'Scenario Paths'!J81),"Unavailable"))</x:f>
        <x:v>0.05014575</x:v>
      </x:c>
      <x:c r="K417" s="23" t="n">
        <x:f>IF(C417="","",IFERROR(IF(OR(H417&gt;0,AND(AC417&gt;=0,AC417=D417)),0,IF(D417&gt;=INDEX('Facilities'!$J$9:$J$108,MATCH(C417,'Facilities'!$C$9:$C$108,0)),G417+J417,MIN(G417+J417,G417*INDEX('Facilities'!$R$9:$R$108,MATCH(C417,'Facilities'!$C$9:$C$108,0))))),"Unavailable"))</x:f>
        <x:v>0.5114315164800001</x:v>
      </x:c>
      <x:c r="L417" s="21" t="n">
        <x:f>IF(C417="","",IFERROR(IF(AND(AC417=D417,AC417&gt;0),MAX(0,G417+J417-K417),0),"Unavailable"))</x:f>
        <x:v>0</x:v>
      </x:c>
      <x:c r="M417" s="23" t="n">
        <x:f>IF(C417="","",IFERROR(IF(AND(AC417&gt;=0,D417&gt;=AC417+INDEX('Facilities'!$AK$9:$AK$108,MATCH(C417,'Facilities'!$C$9:$C$108,0))),(H417+L417)*AM417,0),"Unavailable"))</x:f>
        <x:v>0</x:v>
      </x:c>
      <x:c r="N417" s="23" t="n">
        <x:f>IF(C417="","",IFERROR(IF(AND(AC417&gt;=0,D417&gt;=AC417+INDEX('Facilities'!$AK$9:$AK$108,MATCH(C417,'Facilities'!$C$9:$C$108,0))),H417+L417-M417,0),"Unavailable"))</x:f>
        <x:v>0</x:v>
      </x:c>
      <x:c r="O417" s="21" t="n">
        <x:f>IF(C417="","",IFERROR(MAX(0,G417+J417-K417-L417),"Unavailable"))</x:f>
        <x:v>3.800643537520001</x:v>
      </x:c>
      <x:c r="P417" s="21" t="n">
        <x:f>IF(C417="","",IFERROR(MAX(0,H417+L417-M417-N417),"Unavailable"))</x:f>
        <x:v>0</x:v>
      </x:c>
      <x:c r="Q417" s="23" t="n">
        <x:f>IF(C417="","",IFERROR(IF(OR(D417&gt;=INDEX('Facilities'!$J$9:$J$108,MATCH(C417,'Facilities'!$C$9:$C$108,0)),AND(AC417&gt;=0,AC417&lt;=D417)),0,MAX(0,I417-J417)),"Unavailable"))</x:f>
        <x:v>0.95276925</x:v>
      </x:c>
      <x:c r="R417" s="30" t="n">
        <x:f>IF(C417="","",IFERROR(INDEX(Credit!$Q$409:$Q$508,MATCH(F417,Credit!$C$409:$C$508,0)),"Unavailable"))</x:f>
        <x:v>0.07022777135285643</x:v>
      </x:c>
      <x:c r="S417" s="30" t="n">
        <x:f>IF(C417="","",IFERROR(INDEX(Credit!$R$409:$R$508,MATCH(F417,Credit!$C$409:$C$508,0)),"Unavailable"))</x:f>
        <x:v>0.44609280000000007</x:v>
      </x:c>
      <x:c r="T417" s="23" t="n">
        <x:f>IF(C417="","",IFERROR(IF(P417&gt;0,3,IF(OR(INDEX('Facilities'!$AD$9:$AD$108,MATCH(C417,'Facilities'!$C$9:$C$108,0))=2,AND(R417&gt;=INDEX('Facilities'!$L$9:$L$108,MATCH(C417,'Facilities'!$C$9:$C$108,0))*Settings!$F$19,R417-INDEX('Facilities'!$L$9:$L$108,MATCH(C417,'Facilities'!$C$9:$C$108,0))&gt;=Settings!$F$20)),2,1)),"Unavailable"))</x:f>
        <x:v>2</x:v>
      </x:c>
      <x:c r="U417" s="23" t="n">
        <x:f>IF(C417="","",IF(AQ417&lt;&gt;"Ready","Unavailable",IF(C417="","",O417*(1-(1-S417)/(1+INDEX('Facilities'!$K$9:$K$108,MATCH(C417,'Facilities'!$C$9:$C$108,0)))^INDEX('Facilities'!$AK$9:$AK$108,MATCH(C417,'Facilities'!$C$9:$C$108,0)))*R417/(1+INDEX('Facilities'!$K$9:$K$108,MATCH(C417,'Facilities'!$C$9:$C$108,0)))*IF(ABS(1-(1-R417)*(1-INDEX('Facilities'!$R$9:$R$108,MATCH(C417,'Facilities'!$C$9:$C$108,0)))/(1+INDEX('Facilities'!$K$9:$K$108,MATCH(C417,'Facilities'!$C$9:$C$108,0))))&lt;0.000000001,IF(T417=1,MIN(1,AJ417),AJ417),(1-((1-R417)*(1-INDEX('Facilities'!$R$9:$R$108,MATCH(C417,'Facilities'!$C$9:$C$108,0)))/(1+INDEX('Facilities'!$K$9:$K$108,MATCH(C417,'Facilities'!$C$9:$C$108,0))))^IF(T417=1,MIN(1,AJ417),AJ417))/(1-(1-R417)*(1-INDEX('Facilities'!$R$9:$R$108,MATCH(C417,'Facilities'!$C$9:$C$108,0)))/(1+INDEX('Facilities'!$K$9:$K$108,MATCH(C417,'Facilities'!$C$9:$C$108,0)))))+AL417)))</x:f>
        <x:v>0.35900761979699747</x:v>
      </x:c>
      <x:c r="V417" s="23" t="n">
        <x:f>IF(C417="","",IF(AQ417&lt;&gt;"Ready","Unavailable",IF(C417="","",Q417*INDEX('Facilities'!$I$9:$I$108,MATCH(C417,'Facilities'!$C$9:$C$108,0))*(1-(1-S417)/(1+INDEX('Facilities'!$K$9:$K$108,MATCH(C417,'Facilities'!$C$9:$C$108,0)))^INDEX('Facilities'!$AK$9:$AK$108,MATCH(C417,'Facilities'!$C$9:$C$108,0)))*R417/(1+INDEX('Facilities'!$K$9:$K$108,MATCH(C417,'Facilities'!$C$9:$C$108,0)))*IF(ABS(1-(1-R417)*(1-0)/(1+INDEX('Facilities'!$K$9:$K$108,MATCH(C417,'Facilities'!$C$9:$C$108,0))))&lt;0.000000001,IF(T417=1,MIN(1,AJ417),AJ417),(1-((1-R417)*(1-0)/(1+INDEX('Facilities'!$K$9:$K$108,MATCH(C417,'Facilities'!$C$9:$C$108,0))))^IF(T417=1,MIN(1,AJ417),AJ417))/(1-(1-R417)*(1-0)/(1+INDEX('Facilities'!$K$9:$K$108,MATCH(C417,'Facilities'!$C$9:$C$108,0))))))))</x:f>
        <x:v>0.0527054360690782</x:v>
      </x:c>
      <x:c r="W417" s="21" t="n">
        <x:f>IF(C417="","",IFERROR(U317,"Unavailable"))</x:f>
        <x:v>0.4710203218481612</x:v>
      </x:c>
      <x:c r="X417" s="21" t="n">
        <x:f>IF(C417="","",IFERROR(V317,"Unavailable"))</x:f>
        <x:v>0.06777037235129439</x:v>
      </x:c>
      <x:c r="Y417" s="21" t="n">
        <x:f>IF(C417="","",IF(AQ417&lt;&gt;"Ready","Unavailable",IF(C417="","",U417-W417+V417-X417+N417+AG417)))</x:f>
        <x:v>-0.12707763833337996</x:v>
      </x:c>
      <x:c r="Z417" s="23" t="n">
        <x:f>IF(C417="","",IF(AQ417&lt;&gt;"Ready","Unavailable",IF(C417="","",(G417+O417+L417)/2*INDEX('Facilities'!$T$9:$T$108,MATCH(C417,'Facilities'!$C$9:$C$108,0))+AG417)))</x:f>
        <x:v>0.38297220997220005</x:v>
      </x:c>
      <x:c r="AA417" s="23" t="n">
        <x:f>IF(C417="","",IF(AQ417&lt;&gt;"Ready","Unavailable",IF(C417="","",O417*(1-IF(INDEX('Facilities'!$AA$9:$AA$108,MATCH(C417,'Facilities'!$C$9:$C$108,0))=0,0,MIN(1,INDEX('Facilities'!$X$9:$X$108,MATCH(C417,'Facilities'!$C$9:$C$108,0))/INDEX('Facilities'!$AA$9:$AA$108,MATCH(C417,'Facilities'!$C$9:$C$108,0)))))*AF417+P417*(1-IF(INDEX('Facilities'!$AA$9:$AA$108,MATCH(C417,'Facilities'!$C$9:$C$108,0))=0,0,MIN(1,INDEX('Facilities'!$X$9:$X$108,MATCH(C417,'Facilities'!$C$9:$C$108,0))/INDEX('Facilities'!$AA$9:$AA$108,MATCH(C417,'Facilities'!$C$9:$C$108,0)))))*INDEX('Facilities'!$AJ$9:$AJ$108,MATCH(C417,'Facilities'!$C$9:$C$108,0))+Q417*INDEX('Facilities'!$AI$9:$AI$108,MATCH(C417,'Facilities'!$C$9:$C$108,0))*AF417)))</x:f>
        <x:v>5.195779719064209</x:v>
      </x:c>
      <x:c r="AB417" s="21" t="n">
        <x:f>IF(C417="","",O417+P417-AD417)</x:f>
        <x:v>-0.46128576647999964</x:v>
      </x:c>
      <x:c r="AC417" s="23" t="n">
        <x:f>IF(C417="","",IFERROR(IF(INDEX('Facilities'!$AD$9:$AD$108,MATCH(C417,'Facilities'!$C$9:$C$108,0))=3,0,IF(INDEX('Facilities'!$AN$9:$AN$108,MATCH(C417,'Facilities'!$C$9:$C$108,0))=0,-1,INDEX('Facilities'!$AN$9:$AN$108,MATCH(C417,'Facilities'!$C$9:$C$108,0)))),"Unavailable"))</x:f>
        <x:v>-1</x:v>
      </x:c>
      <x:c r="AD417" s="21" t="n">
        <x:f>IF(C417="","",IFERROR(G417+H417,"Unavailable"))</x:f>
        <x:v>4.261929304000001</x:v>
      </x:c>
      <x:c r="AE417" s="21" t="n">
        <x:f>IF(C417="","",IF(AQ417&lt;&gt;"Ready","Unavailable",IF(C417="","",O417+P417-AD417-J417+K417+M417+N417)))</x:f>
        <x:v>4.440892098500626e-16</x:v>
      </x:c>
      <x:c r="AF417" s="30" t="n">
        <x:f>IF(C417="","",IFERROR(INDEX('Facilities'!$S$9:$S$108,MATCH(C417,'Facilities'!$C$9:$C$108,0))*'Scenario Paths'!J75,"Unavailable"))</x:f>
        <x:v>1.25</x:v>
      </x:c>
      <x:c r="AG417" s="23" t="n">
        <x:f>IF(C417="","",IF(AQ417&lt;&gt;"Ready","Unavailable",IF(C417="","",IF(H417&gt;0,MAX(0,H417-AK417)*((1+INDEX('Facilities'!$K$9:$K$108,MATCH(C417,'Facilities'!$C$9:$C$108,0)))^MIN(1,MAX(0,AC417+INDEX('Facilities'!$AK$9:$AK$108,MATCH(C417,'Facilities'!$C$9:$C$108,0))-D417+1))-1),0))))</x:f>
        <x:v>0</x:v>
      </x:c>
      <x:c r="AH417" s="21" t="n">
        <x:f>IF(C417="","",IF(AQ417&lt;&gt;"Ready","Unavailable",IF(C417="","",O417+P417)))</x:f>
        <x:v>3.800643537520001</x:v>
      </x:c>
      <x:c r="AI417" s="21" t="n">
        <x:f>IF(C417="","",IF(AQ417&lt;&gt;"Ready","Unavailable",IF(C417="","",Z417-Y417)))</x:f>
        <x:v>0.51004984830558</x:v>
      </x:c>
      <x:c r="AJ417" s="23" t="n">
        <x:f>IF(C417="","",IFERROR(MAX(0,INDEX('Facilities'!$J$9:$J$108,MATCH(C417,'Facilities'!$C$9:$C$108,0))-D417),"Unavailable"))</x:f>
        <x:v>4</x:v>
      </x:c>
      <x:c r="AK417" s="21" t="n">
        <x:f>IF(C417="","",IFERROR(AL317,"Unavailable"))</x:f>
        <x:v>0</x:v>
      </x:c>
      <x:c r="AL417" s="23" t="n">
        <x:f>IF(C417="","",IFERROR(IF(P417&gt;0,P417*(1-AM417/(1+INDEX('Facilities'!$K$9:$K$108,MATCH(C417,'Facilities'!$C$9:$C$108,0)))^MAX(0,AC417+INDEX('Facilities'!$AK$9:$AK$108,MATCH(C417,'Facilities'!$C$9:$C$108,0))-D417)),0),"Unavailable"))</x:f>
        <x:v>0</x:v>
      </x:c>
      <x:c r="AM417" s="30" t="n">
        <x:f>IF(C417="","",IFERROR(INDEX('Facilities'!$AL$9:$AL$108,MATCH(C417,'Facilities'!$C$9:$C$108,0)),"Unavailable"))</x:f>
        <x:v>0.55</x:v>
      </x:c>
      <x:c r="AN417" s="30" t="n">
        <x:f>IF(C417="","",IFERROR(INDEX(Credit!$T$409:$T$508,MATCH(F417,Credit!$C$409:$C$508,0)),"Unavailable"))</x:f>
        <x:v>0.01088</x:v>
      </x:c>
      <x:c r="AO417" s="23" t="n">
        <x:f>IF(C417="","",IF(AQ417&lt;&gt;"Ready","Unavailable",IF(C417="","",O417+P417+Q417*INDEX('Facilities'!$I$9:$I$108,MATCH(C417,'Facilities'!$C$9:$C$108,0)))))</x:f>
        <x:v>4.277028162520001</x:v>
      </x:c>
      <x:c r="AP417" s="21" t="n">
        <x:f>IF(C417="","",IF(AQ417&lt;&gt;"Ready","Unavailable",IF(C417="","",AH417-U417)))</x:f>
        <x:v>3.4416359177230036</x:v>
      </x:c>
      <x:c r="AQ417" s="23" t="str">
        <x:f>IFERROR(IF(C417="","",IF(AND(INDEX('Facilities'!$AF$9:$AF$108,MATCH(C417,'Facilities'!$C$9:$C$108,0))="Ready",INDEX(Credit!$U$409:$U$508,MATCH(F417,Credit!$C$409:$C$508,0))="Ready",ISNUMBER(W417)),"Ready","Review inputs")),"Review inputs")</x:f>
        <x:v>Ready</x:v>
      </x:c>
      <x:c r="AR417" s="23" t="n">
        <x:f>IF(C417="","",IF(AQ417&lt;&gt;"Ready","Unavailable",IF(C417="","",IF(O417=0,0,(IF(AJ417&lt;=1,O417,O417*INDEX('Facilities'!$R$9:$R$108,MATCH(C417,'Facilities'!$C$9:$C$108,0)))+O417*INDEX('Facilities'!$T$9:$T$108,MATCH(C417,'Facilities'!$C$9:$C$108,0)))/12))))</x:f>
        <x:v>0.06809486338056668</x:v>
      </x:c>
    </x:row>
    <x:row r="418" ht="26" customHeight="1">
      <x:c r="A418" s="1"/>
      <x:c r="B418" s="1"/>
      <x:c r="C418" s="9" t="str">
        <x:f>IF(Facilities!C18="","",Facilities!C18)</x:f>
        <x:v>F010</x:v>
      </x:c>
      <x:c r="D418" s="3" t="n">
        <x:v>5</x:v>
      </x:c>
      <x:c r="E418" s="9" t="n">
        <x:f>Settings!$F$18+4</x:f>
        <x:v>2031</x:v>
      </x:c>
      <x:c r="F418" s="9" t="str">
        <x:f>IF(C418="","",IFERROR(INDEX('Facilities'!$D$9:$D$108,MATCH(C418,'Facilities'!$C$9:$C$108,0)),"Unavailable"))</x:f>
        <x:v>B005</x:v>
      </x:c>
      <x:c r="G418" s="21" t="n">
        <x:f>IF(C418="","",IFERROR(O318,"Unavailable"))</x:f>
        <x:v>2.480104904</x:v>
      </x:c>
      <x:c r="H418" s="21" t="n">
        <x:f>IF(C418="","",IFERROR(P318,"Unavailable"))</x:f>
        <x:v>0</x:v>
      </x:c>
      <x:c r="I418" s="21" t="n">
        <x:f>IF(C418="","",IFERROR(Q318,"Unavailable"))</x:f>
        <x:v>0.334305</x:v>
      </x:c>
      <x:c r="J418" s="23" t="n">
        <x:f>IF(C418="","",IFERROR(IF(OR(H418&gt;0,AND(AC418&gt;=0,AC418&lt;D418),D418&gt;INDEX('Facilities'!$J$9:$J$108,MATCH(C418,'Facilities'!$C$9:$C$108,0))),0,I418*'Scenario Paths'!J81),"Unavailable"))</x:f>
        <x:v>0.01671525</x:v>
      </x:c>
      <x:c r="K418" s="23" t="n">
        <x:f>IF(C418="","",IFERROR(IF(OR(H418&gt;0,AND(AC418&gt;=0,AC418=D418)),0,IF(D418&gt;=INDEX('Facilities'!$J$9:$J$108,MATCH(C418,'Facilities'!$C$9:$C$108,0)),G418+J418,MIN(G418+J418,G418*INDEX('Facilities'!$R$9:$R$108,MATCH(C418,'Facilities'!$C$9:$C$108,0))))),"Unavailable"))</x:f>
        <x:v>0.29761258848</x:v>
      </x:c>
      <x:c r="L418" s="21" t="n">
        <x:f>IF(C418="","",IFERROR(IF(AND(AC418=D418,AC418&gt;0),MAX(0,G418+J418-K418),0),"Unavailable"))</x:f>
        <x:v>0</x:v>
      </x:c>
      <x:c r="M418" s="23" t="n">
        <x:f>IF(C418="","",IFERROR(IF(AND(AC418&gt;=0,D418&gt;=AC418+INDEX('Facilities'!$AK$9:$AK$108,MATCH(C418,'Facilities'!$C$9:$C$108,0))),(H418+L418)*AM418,0),"Unavailable"))</x:f>
        <x:v>0</x:v>
      </x:c>
      <x:c r="N418" s="23" t="n">
        <x:f>IF(C418="","",IFERROR(IF(AND(AC418&gt;=0,D418&gt;=AC418+INDEX('Facilities'!$AK$9:$AK$108,MATCH(C418,'Facilities'!$C$9:$C$108,0))),H418+L418-M418,0),"Unavailable"))</x:f>
        <x:v>0</x:v>
      </x:c>
      <x:c r="O418" s="21" t="n">
        <x:f>IF(C418="","",IFERROR(MAX(0,G418+J418-K418-L418),"Unavailable"))</x:f>
        <x:v>2.19920756552</x:v>
      </x:c>
      <x:c r="P418" s="21" t="n">
        <x:f>IF(C418="","",IFERROR(MAX(0,H418+L418-M418-N418),"Unavailable"))</x:f>
        <x:v>0</x:v>
      </x:c>
      <x:c r="Q418" s="23" t="n">
        <x:f>IF(C418="","",IFERROR(IF(OR(D418&gt;=INDEX('Facilities'!$J$9:$J$108,MATCH(C418,'Facilities'!$C$9:$C$108,0)),AND(AC418&gt;=0,AC418&lt;=D418)),0,MAX(0,I418-J418)),"Unavailable"))</x:f>
        <x:v>0.31758975</x:v>
      </x:c>
      <x:c r="R418" s="30" t="n">
        <x:f>IF(C418="","",IFERROR(INDEX(Credit!$Q$409:$Q$508,MATCH(F418,Credit!$C$409:$C$508,0)),"Unavailable"))</x:f>
        <x:v>0.07022777135285643</x:v>
      </x:c>
      <x:c r="S418" s="30" t="n">
        <x:f>IF(C418="","",IFERROR(INDEX(Credit!$R$409:$R$508,MATCH(F418,Credit!$C$409:$C$508,0)),"Unavailable"))</x:f>
        <x:v>0.44609280000000007</x:v>
      </x:c>
      <x:c r="T418" s="23" t="n">
        <x:f>IF(C418="","",IFERROR(IF(P418&gt;0,3,IF(OR(INDEX('Facilities'!$AD$9:$AD$108,MATCH(C418,'Facilities'!$C$9:$C$108,0))=2,AND(R418&gt;=INDEX('Facilities'!$L$9:$L$108,MATCH(C418,'Facilities'!$C$9:$C$108,0))*Settings!$F$19,R418-INDEX('Facilities'!$L$9:$L$108,MATCH(C418,'Facilities'!$C$9:$C$108,0))&gt;=Settings!$F$20)),2,1)),"Unavailable"))</x:f>
        <x:v>2</x:v>
      </x:c>
      <x:c r="U418" s="23" t="n">
        <x:f>IF(C418="","",IF(AQ418&lt;&gt;"Ready","Unavailable",IF(C418="","",O418*(1-(1-S418)/(1+INDEX('Facilities'!$K$9:$K$108,MATCH(C418,'Facilities'!$C$9:$C$108,0)))^INDEX('Facilities'!$AK$9:$AK$108,MATCH(C418,'Facilities'!$C$9:$C$108,0)))*R418/(1+INDEX('Facilities'!$K$9:$K$108,MATCH(C418,'Facilities'!$C$9:$C$108,0)))*IF(ABS(1-(1-R418)*(1-INDEX('Facilities'!$R$9:$R$108,MATCH(C418,'Facilities'!$C$9:$C$108,0)))/(1+INDEX('Facilities'!$K$9:$K$108,MATCH(C418,'Facilities'!$C$9:$C$108,0))))&lt;0.000000001,IF(T418=1,MIN(1,AJ418),AJ418),(1-((1-R418)*(1-INDEX('Facilities'!$R$9:$R$108,MATCH(C418,'Facilities'!$C$9:$C$108,0)))/(1+INDEX('Facilities'!$K$9:$K$108,MATCH(C418,'Facilities'!$C$9:$C$108,0))))^IF(T418=1,MIN(1,AJ418),AJ418))/(1-(1-R418)*(1-INDEX('Facilities'!$R$9:$R$108,MATCH(C418,'Facilities'!$C$9:$C$108,0)))/(1+INDEX('Facilities'!$K$9:$K$108,MATCH(C418,'Facilities'!$C$9:$C$108,0)))))+AL418)))</x:f>
        <x:v>0.207736470348406</x:v>
      </x:c>
      <x:c r="V418" s="23" t="n">
        <x:f>IF(C418="","",IF(AQ418&lt;&gt;"Ready","Unavailable",IF(C418="","",Q418*INDEX('Facilities'!$I$9:$I$108,MATCH(C418,'Facilities'!$C$9:$C$108,0))*(1-(1-S418)/(1+INDEX('Facilities'!$K$9:$K$108,MATCH(C418,'Facilities'!$C$9:$C$108,0)))^INDEX('Facilities'!$AK$9:$AK$108,MATCH(C418,'Facilities'!$C$9:$C$108,0)))*R418/(1+INDEX('Facilities'!$K$9:$K$108,MATCH(C418,'Facilities'!$C$9:$C$108,0)))*IF(ABS(1-(1-R418)*(1-0)/(1+INDEX('Facilities'!$K$9:$K$108,MATCH(C418,'Facilities'!$C$9:$C$108,0))))&lt;0.000000001,IF(T418=1,MIN(1,AJ418),AJ418),(1-((1-R418)*(1-0)/(1+INDEX('Facilities'!$K$9:$K$108,MATCH(C418,'Facilities'!$C$9:$C$108,0))))^IF(T418=1,MIN(1,AJ418),AJ418))/(1-(1-R418)*(1-0)/(1+INDEX('Facilities'!$K$9:$K$108,MATCH(C418,'Facilities'!$C$9:$C$108,0))))))))</x:f>
        <x:v>0.017568478689692732</x:v>
      </x:c>
      <x:c r="W418" s="21" t="n">
        <x:f>IF(C418="","",IFERROR(U318,"Unavailable"))</x:f>
        <x:v>0.2740964776217421</x:v>
      </x:c>
      <x:c r="X418" s="21" t="n">
        <x:f>IF(C418="","",IFERROR(V318,"Unavailable"))</x:f>
        <x:v>0.02259012411709813</x:v>
      </x:c>
      <x:c r="Y418" s="21" t="n">
        <x:f>IF(C418="","",IF(AQ418&lt;&gt;"Ready","Unavailable",IF(C418="","",U418-W418+V418-X418+N418+AG418)))</x:f>
        <x:v>-0.0713816527007415</x:v>
      </x:c>
      <x:c r="Z418" s="23" t="n">
        <x:f>IF(C418="","",IF(AQ418&lt;&gt;"Ready","Unavailable",IF(C418="","",(G418+O418+L418)/2*INDEX('Facilities'!$T$9:$T$108,MATCH(C418,'Facilities'!$C$9:$C$108,0))+AG418)))</x:f>
        <x:v>0.22226734230220002</x:v>
      </x:c>
      <x:c r="AA418" s="23" t="n">
        <x:f>IF(C418="","",IF(AQ418&lt;&gt;"Ready","Unavailable",IF(C418="","",O418*(1-IF(INDEX('Facilities'!$AA$9:$AA$108,MATCH(C418,'Facilities'!$C$9:$C$108,0))=0,0,MIN(1,INDEX('Facilities'!$X$9:$X$108,MATCH(C418,'Facilities'!$C$9:$C$108,0))/INDEX('Facilities'!$AA$9:$AA$108,MATCH(C418,'Facilities'!$C$9:$C$108,0)))))*AF418+P418*(1-IF(INDEX('Facilities'!$AA$9:$AA$108,MATCH(C418,'Facilities'!$C$9:$C$108,0))=0,0,MIN(1,INDEX('Facilities'!$X$9:$X$108,MATCH(C418,'Facilities'!$C$9:$C$108,0))/INDEX('Facilities'!$AA$9:$AA$108,MATCH(C418,'Facilities'!$C$9:$C$108,0)))))*INDEX('Facilities'!$AJ$9:$AJ$108,MATCH(C418,'Facilities'!$C$9:$C$108,0))+Q418*INDEX('Facilities'!$AI$9:$AI$108,MATCH(C418,'Facilities'!$C$9:$C$108,0))*AF418)))</x:f>
        <x:v>2.8604144310554083</x:v>
      </x:c>
      <x:c r="AB418" s="21" t="n">
        <x:f>IF(C418="","",O418+P418-AD418)</x:f>
        <x:v>-0.28089733848</x:v>
      </x:c>
      <x:c r="AC418" s="23" t="n">
        <x:f>IF(C418="","",IFERROR(IF(INDEX('Facilities'!$AD$9:$AD$108,MATCH(C418,'Facilities'!$C$9:$C$108,0))=3,0,IF(INDEX('Facilities'!$AN$9:$AN$108,MATCH(C418,'Facilities'!$C$9:$C$108,0))=0,-1,INDEX('Facilities'!$AN$9:$AN$108,MATCH(C418,'Facilities'!$C$9:$C$108,0)))),"Unavailable"))</x:f>
        <x:v>-1</x:v>
      </x:c>
      <x:c r="AD418" s="21" t="n">
        <x:f>IF(C418="","",IFERROR(G418+H418,"Unavailable"))</x:f>
        <x:v>2.480104904</x:v>
      </x:c>
      <x:c r="AE418" s="21" t="n">
        <x:f>IF(C418="","",IF(AQ418&lt;&gt;"Ready","Unavailable",IF(C418="","",O418+P418-AD418-J418+K418+M418+N418)))</x:f>
        <x:v>0</x:v>
      </x:c>
      <x:c r="AF418" s="30" t="n">
        <x:f>IF(C418="","",IFERROR(INDEX('Facilities'!$S$9:$S$108,MATCH(C418,'Facilities'!$C$9:$C$108,0))*'Scenario Paths'!J75,"Unavailable"))</x:f>
        <x:v>1.25</x:v>
      </x:c>
      <x:c r="AG418" s="23" t="n">
        <x:f>IF(C418="","",IF(AQ418&lt;&gt;"Ready","Unavailable",IF(C418="","",IF(H418&gt;0,MAX(0,H418-AK418)*((1+INDEX('Facilities'!$K$9:$K$108,MATCH(C418,'Facilities'!$C$9:$C$108,0)))^MIN(1,MAX(0,AC418+INDEX('Facilities'!$AK$9:$AK$108,MATCH(C418,'Facilities'!$C$9:$C$108,0))-D418+1))-1),0))))</x:f>
        <x:v>0</x:v>
      </x:c>
      <x:c r="AH418" s="21" t="n">
        <x:f>IF(C418="","",IF(AQ418&lt;&gt;"Ready","Unavailable",IF(C418="","",O418+P418)))</x:f>
        <x:v>2.19920756552</x:v>
      </x:c>
      <x:c r="AI418" s="21" t="n">
        <x:f>IF(C418="","",IF(AQ418&lt;&gt;"Ready","Unavailable",IF(C418="","",Z418-Y418)))</x:f>
        <x:v>0.2936489950029415</x:v>
      </x:c>
      <x:c r="AJ418" s="23" t="n">
        <x:f>IF(C418="","",IFERROR(MAX(0,INDEX('Facilities'!$J$9:$J$108,MATCH(C418,'Facilities'!$C$9:$C$108,0))-D418),"Unavailable"))</x:f>
        <x:v>4</x:v>
      </x:c>
      <x:c r="AK418" s="21" t="n">
        <x:f>IF(C418="","",IFERROR(AL318,"Unavailable"))</x:f>
        <x:v>0</x:v>
      </x:c>
      <x:c r="AL418" s="23" t="n">
        <x:f>IF(C418="","",IFERROR(IF(P418&gt;0,P418*(1-AM418/(1+INDEX('Facilities'!$K$9:$K$108,MATCH(C418,'Facilities'!$C$9:$C$108,0)))^MAX(0,AC418+INDEX('Facilities'!$AK$9:$AK$108,MATCH(C418,'Facilities'!$C$9:$C$108,0))-D418)),0),"Unavailable"))</x:f>
        <x:v>0</x:v>
      </x:c>
      <x:c r="AM418" s="30" t="n">
        <x:f>IF(C418="","",IFERROR(INDEX('Facilities'!$AL$9:$AL$108,MATCH(C418,'Facilities'!$C$9:$C$108,0)),"Unavailable"))</x:f>
        <x:v>0.55</x:v>
      </x:c>
      <x:c r="AN418" s="30" t="n">
        <x:f>IF(C418="","",IFERROR(INDEX(Credit!$T$409:$T$508,MATCH(F418,Credit!$C$409:$C$508,0)),"Unavailable"))</x:f>
        <x:v>0.01088</x:v>
      </x:c>
      <x:c r="AO418" s="23" t="n">
        <x:f>IF(C418="","",IF(AQ418&lt;&gt;"Ready","Unavailable",IF(C418="","",O418+P418+Q418*INDEX('Facilities'!$I$9:$I$108,MATCH(C418,'Facilities'!$C$9:$C$108,0)))))</x:f>
        <x:v>2.35800244052</x:v>
      </x:c>
      <x:c r="AP418" s="21" t="n">
        <x:f>IF(C418="","",IF(AQ418&lt;&gt;"Ready","Unavailable",IF(C418="","",AH418-U418)))</x:f>
        <x:v>1.9914710951715942</x:v>
      </x:c>
      <x:c r="AQ418" s="23" t="str">
        <x:f>IFERROR(IF(C418="","",IF(AND(INDEX('Facilities'!$AF$9:$AF$108,MATCH(C418,'Facilities'!$C$9:$C$108,0))="Ready",INDEX(Credit!$U$409:$U$508,MATCH(F418,Credit!$C$409:$C$508,0))="Ready",ISNUMBER(W418)),"Ready","Review inputs")),"Review inputs")</x:f>
        <x:v>Ready</x:v>
      </x:c>
      <x:c r="AR418" s="23" t="n">
        <x:f>IF(C418="","",IF(AQ418&lt;&gt;"Ready","Unavailable",IF(C418="","",IF(O418=0,0,(IF(AJ418&lt;=1,O418,O418*INDEX('Facilities'!$R$9:$R$108,MATCH(C418,'Facilities'!$C$9:$C$108,0)))+O418*INDEX('Facilities'!$T$9:$T$108,MATCH(C418,'Facilities'!$C$9:$C$108,0)))/12))))</x:f>
        <x:v>0.03940246888223334</x:v>
      </x:c>
    </x:row>
    <x:row r="419" ht="26" customHeight="1">
      <x:c r="A419" s="1"/>
      <x:c r="B419" s="1"/>
      <x:c r="C419" s="9" t="str">
        <x:f>IF(Facilities!C19="","",Facilities!C19)</x:f>
        <x:v>F011</x:v>
      </x:c>
      <x:c r="D419" s="3" t="n">
        <x:v>5</x:v>
      </x:c>
      <x:c r="E419" s="9" t="n">
        <x:f>Settings!$F$18+4</x:f>
        <x:v>2031</x:v>
      </x:c>
      <x:c r="F419" s="9" t="str">
        <x:f>IF(C419="","",IFERROR(INDEX('Facilities'!$D$9:$D$108,MATCH(C419,'Facilities'!$C$9:$C$108,0)),"Unavailable"))</x:f>
        <x:v>B006</x:v>
      </x:c>
      <x:c r="G419" s="21" t="n">
        <x:f>IF(C419="","",IFERROR(O319,"Unavailable"))</x:f>
        <x:v>4.471822680000001</x:v>
      </x:c>
      <x:c r="H419" s="21" t="n">
        <x:f>IF(C419="","",IFERROR(P319,"Unavailable"))</x:f>
        <x:v>0</x:v>
      </x:c>
      <x:c r="I419" s="21" t="n">
        <x:f>IF(C419="","",IFERROR(Q319,"Unavailable"))</x:f>
        <x:v>1.002915</x:v>
      </x:c>
      <x:c r="J419" s="23" t="n">
        <x:f>IF(C419="","",IFERROR(IF(OR(H419&gt;0,AND(AC419&gt;=0,AC419&lt;D419),D419&gt;INDEX('Facilities'!$J$9:$J$108,MATCH(C419,'Facilities'!$C$9:$C$108,0))),0,I419*'Scenario Paths'!J81),"Unavailable"))</x:f>
        <x:v>0.05014575</x:v>
      </x:c>
      <x:c r="K419" s="23" t="n">
        <x:f>IF(C419="","",IFERROR(IF(OR(H419&gt;0,AND(AC419&gt;=0,AC419=D419)),0,IF(D419&gt;=INDEX('Facilities'!$J$9:$J$108,MATCH(C419,'Facilities'!$C$9:$C$108,0)),G419+J419,MIN(G419+J419,G419*INDEX('Facilities'!$R$9:$R$108,MATCH(C419,'Facilities'!$C$9:$C$108,0))))),"Unavailable"))</x:f>
        <x:v>4.521968430000001</x:v>
      </x:c>
      <x:c r="L419" s="21" t="n">
        <x:f>IF(C419="","",IFERROR(IF(AND(AC419=D419,AC419&gt;0),MAX(0,G419+J419-K419),0),"Unavailable"))</x:f>
        <x:v>0</x:v>
      </x:c>
      <x:c r="M419" s="23" t="n">
        <x:f>IF(C419="","",IFERROR(IF(AND(AC419&gt;=0,D419&gt;=AC419+INDEX('Facilities'!$AK$9:$AK$108,MATCH(C419,'Facilities'!$C$9:$C$108,0))),(H419+L419)*AM419,0),"Unavailable"))</x:f>
        <x:v>0</x:v>
      </x:c>
      <x:c r="N419" s="23" t="n">
        <x:f>IF(C419="","",IFERROR(IF(AND(AC419&gt;=0,D419&gt;=AC419+INDEX('Facilities'!$AK$9:$AK$108,MATCH(C419,'Facilities'!$C$9:$C$108,0))),H419+L419-M419,0),"Unavailable"))</x:f>
        <x:v>0</x:v>
      </x:c>
      <x:c r="O419" s="21" t="n">
        <x:f>IF(C419="","",IFERROR(MAX(0,G419+J419-K419-L419),"Unavailable"))</x:f>
        <x:v>0</x:v>
      </x:c>
      <x:c r="P419" s="21" t="n">
        <x:f>IF(C419="","",IFERROR(MAX(0,H419+L419-M419-N419),"Unavailable"))</x:f>
        <x:v>0</x:v>
      </x:c>
      <x:c r="Q419" s="23" t="n">
        <x:f>IF(C419="","",IFERROR(IF(OR(D419&gt;=INDEX('Facilities'!$J$9:$J$108,MATCH(C419,'Facilities'!$C$9:$C$108,0)),AND(AC419&gt;=0,AC419&lt;=D419)),0,MAX(0,I419-J419)),"Unavailable"))</x:f>
        <x:v>0</x:v>
      </x:c>
      <x:c r="R419" s="30" t="n">
        <x:f>IF(C419="","",IFERROR(INDEX(Credit!$Q$409:$Q$508,MATCH(F419,Credit!$C$409:$C$508,0)),"Unavailable"))</x:f>
        <x:v>0.0820423262224518</x:v>
      </x:c>
      <x:c r="S419" s="30" t="n">
        <x:f>IF(C419="","",IFERROR(INDEX(Credit!$R$409:$R$508,MATCH(F419,Credit!$C$409:$C$508,0)),"Unavailable"))</x:f>
        <x:v>0.2829952</x:v>
      </x:c>
      <x:c r="T419" s="23" t="n">
        <x:f>IF(C419="","",IFERROR(IF(P419&gt;0,3,IF(OR(INDEX('Facilities'!$AD$9:$AD$108,MATCH(C419,'Facilities'!$C$9:$C$108,0))=2,AND(R419&gt;=INDEX('Facilities'!$L$9:$L$108,MATCH(C419,'Facilities'!$C$9:$C$108,0))*Settings!$F$19,R419-INDEX('Facilities'!$L$9:$L$108,MATCH(C419,'Facilities'!$C$9:$C$108,0))&gt;=Settings!$F$20)),2,1)),"Unavailable"))</x:f>
        <x:v>1</x:v>
      </x:c>
      <x:c r="U419" s="23" t="n">
        <x:f>IF(C419="","",IF(AQ419&lt;&gt;"Ready","Unavailable",IF(C419="","",O419*(1-(1-S419)/(1+INDEX('Facilities'!$K$9:$K$108,MATCH(C419,'Facilities'!$C$9:$C$108,0)))^INDEX('Facilities'!$AK$9:$AK$108,MATCH(C419,'Facilities'!$C$9:$C$108,0)))*R419/(1+INDEX('Facilities'!$K$9:$K$108,MATCH(C419,'Facilities'!$C$9:$C$108,0)))*IF(ABS(1-(1-R419)*(1-INDEX('Facilities'!$R$9:$R$108,MATCH(C419,'Facilities'!$C$9:$C$108,0)))/(1+INDEX('Facilities'!$K$9:$K$108,MATCH(C419,'Facilities'!$C$9:$C$108,0))))&lt;0.000000001,IF(T419=1,MIN(1,AJ419),AJ419),(1-((1-R419)*(1-INDEX('Facilities'!$R$9:$R$108,MATCH(C419,'Facilities'!$C$9:$C$108,0)))/(1+INDEX('Facilities'!$K$9:$K$108,MATCH(C419,'Facilities'!$C$9:$C$108,0))))^IF(T419=1,MIN(1,AJ419),AJ419))/(1-(1-R419)*(1-INDEX('Facilities'!$R$9:$R$108,MATCH(C419,'Facilities'!$C$9:$C$108,0)))/(1+INDEX('Facilities'!$K$9:$K$108,MATCH(C419,'Facilities'!$C$9:$C$108,0)))))+AL419)))</x:f>
        <x:v>0</x:v>
      </x:c>
      <x:c r="V419" s="23" t="n">
        <x:f>IF(C419="","",IF(AQ419&lt;&gt;"Ready","Unavailable",IF(C419="","",Q419*INDEX('Facilities'!$I$9:$I$108,MATCH(C419,'Facilities'!$C$9:$C$108,0))*(1-(1-S419)/(1+INDEX('Facilities'!$K$9:$K$108,MATCH(C419,'Facilities'!$C$9:$C$108,0)))^INDEX('Facilities'!$AK$9:$AK$108,MATCH(C419,'Facilities'!$C$9:$C$108,0)))*R419/(1+INDEX('Facilities'!$K$9:$K$108,MATCH(C419,'Facilities'!$C$9:$C$108,0)))*IF(ABS(1-(1-R419)*(1-0)/(1+INDEX('Facilities'!$K$9:$K$108,MATCH(C419,'Facilities'!$C$9:$C$108,0))))&lt;0.000000001,IF(T419=1,MIN(1,AJ419),AJ419),(1-((1-R419)*(1-0)/(1+INDEX('Facilities'!$K$9:$K$108,MATCH(C419,'Facilities'!$C$9:$C$108,0))))^IF(T419=1,MIN(1,AJ419),AJ419))/(1-(1-R419)*(1-0)/(1+INDEX('Facilities'!$K$9:$K$108,MATCH(C419,'Facilities'!$C$9:$C$108,0))))))))</x:f>
        <x:v>0</x:v>
      </x:c>
      <x:c r="W419" s="21" t="n">
        <x:f>IF(C419="","",IFERROR(U319,"Unavailable"))</x:f>
        <x:v>0.13798630388455058</x:v>
      </x:c>
      <x:c r="X419" s="21" t="n">
        <x:f>IF(C419="","",IFERROR(V319,"Unavailable"))</x:f>
        <x:v>0.015473392379723562</x:v>
      </x:c>
      <x:c r="Y419" s="21" t="n">
        <x:f>IF(C419="","",IF(AQ419&lt;&gt;"Ready","Unavailable",IF(C419="","",U419-W419+V419-X419+N419+AG419)))</x:f>
        <x:v>-0.15345969626427414</x:v>
      </x:c>
      <x:c r="Z419" s="23" t="n">
        <x:f>IF(C419="","",IF(AQ419&lt;&gt;"Ready","Unavailable",IF(C419="","",(G419+O419+L419)/2*INDEX('Facilities'!$T$9:$T$108,MATCH(C419,'Facilities'!$C$9:$C$108,0))+AG419)))</x:f>
        <x:v>0.21241157730000004</x:v>
      </x:c>
      <x:c r="AA419" s="23" t="n">
        <x:f>IF(C419="","",IF(AQ419&lt;&gt;"Ready","Unavailable",IF(C419="","",O419*(1-IF(INDEX('Facilities'!$AA$9:$AA$108,MATCH(C419,'Facilities'!$C$9:$C$108,0))=0,0,MIN(1,INDEX('Facilities'!$X$9:$X$108,MATCH(C419,'Facilities'!$C$9:$C$108,0))/INDEX('Facilities'!$AA$9:$AA$108,MATCH(C419,'Facilities'!$C$9:$C$108,0)))))*AF419+P419*(1-IF(INDEX('Facilities'!$AA$9:$AA$108,MATCH(C419,'Facilities'!$C$9:$C$108,0))=0,0,MIN(1,INDEX('Facilities'!$X$9:$X$108,MATCH(C419,'Facilities'!$C$9:$C$108,0))/INDEX('Facilities'!$AA$9:$AA$108,MATCH(C419,'Facilities'!$C$9:$C$108,0)))))*INDEX('Facilities'!$AJ$9:$AJ$108,MATCH(C419,'Facilities'!$C$9:$C$108,0))+Q419*INDEX('Facilities'!$AI$9:$AI$108,MATCH(C419,'Facilities'!$C$9:$C$108,0))*AF419)))</x:f>
        <x:v>0</x:v>
      </x:c>
      <x:c r="AB419" s="21" t="n">
        <x:f>IF(C419="","",O419+P419-AD419)</x:f>
        <x:v>-4.471822680000001</x:v>
      </x:c>
      <x:c r="AC419" s="23" t="n">
        <x:f>IF(C419="","",IFERROR(IF(INDEX('Facilities'!$AD$9:$AD$108,MATCH(C419,'Facilities'!$C$9:$C$108,0))=3,0,IF(INDEX('Facilities'!$AN$9:$AN$108,MATCH(C419,'Facilities'!$C$9:$C$108,0))=0,-1,INDEX('Facilities'!$AN$9:$AN$108,MATCH(C419,'Facilities'!$C$9:$C$108,0)))),"Unavailable"))</x:f>
        <x:v>-1</x:v>
      </x:c>
      <x:c r="AD419" s="21" t="n">
        <x:f>IF(C419="","",IFERROR(G419+H419,"Unavailable"))</x:f>
        <x:v>4.471822680000001</x:v>
      </x:c>
      <x:c r="AE419" s="21" t="n">
        <x:f>IF(C419="","",IF(AQ419&lt;&gt;"Ready","Unavailable",IF(C419="","",O419+P419-AD419-J419+K419+M419+N419)))</x:f>
        <x:v>0</x:v>
      </x:c>
      <x:c r="AF419" s="30" t="n">
        <x:f>IF(C419="","",IFERROR(INDEX('Facilities'!$S$9:$S$108,MATCH(C419,'Facilities'!$C$9:$C$108,0))*'Scenario Paths'!J75,"Unavailable"))</x:f>
        <x:v>1.25</x:v>
      </x:c>
      <x:c r="AG419" s="23" t="n">
        <x:f>IF(C419="","",IF(AQ419&lt;&gt;"Ready","Unavailable",IF(C419="","",IF(H419&gt;0,MAX(0,H419-AK419)*((1+INDEX('Facilities'!$K$9:$K$108,MATCH(C419,'Facilities'!$C$9:$C$108,0)))^MIN(1,MAX(0,AC419+INDEX('Facilities'!$AK$9:$AK$108,MATCH(C419,'Facilities'!$C$9:$C$108,0))-D419+1))-1),0))))</x:f>
        <x:v>0</x:v>
      </x:c>
      <x:c r="AH419" s="21" t="n">
        <x:f>IF(C419="","",IF(AQ419&lt;&gt;"Ready","Unavailable",IF(C419="","",O419+P419)))</x:f>
        <x:v>0</x:v>
      </x:c>
      <x:c r="AI419" s="21" t="n">
        <x:f>IF(C419="","",IF(AQ419&lt;&gt;"Ready","Unavailable",IF(C419="","",Z419-Y419)))</x:f>
        <x:v>0.3658712735642742</x:v>
      </x:c>
      <x:c r="AJ419" s="23" t="n">
        <x:f>IF(C419="","",IFERROR(MAX(0,INDEX('Facilities'!$J$9:$J$108,MATCH(C419,'Facilities'!$C$9:$C$108,0))-D419),"Unavailable"))</x:f>
        <x:v>0</x:v>
      </x:c>
      <x:c r="AK419" s="21" t="n">
        <x:f>IF(C419="","",IFERROR(AL319,"Unavailable"))</x:f>
        <x:v>0</x:v>
      </x:c>
      <x:c r="AL419" s="23" t="n">
        <x:f>IF(C419="","",IFERROR(IF(P419&gt;0,P419*(1-AM419/(1+INDEX('Facilities'!$K$9:$K$108,MATCH(C419,'Facilities'!$C$9:$C$108,0)))^MAX(0,AC419+INDEX('Facilities'!$AK$9:$AK$108,MATCH(C419,'Facilities'!$C$9:$C$108,0))-D419)),0),"Unavailable"))</x:f>
        <x:v>0</x:v>
      </x:c>
      <x:c r="AM419" s="30" t="n">
        <x:f>IF(C419="","",IFERROR(INDEX('Facilities'!$AL$9:$AL$108,MATCH(C419,'Facilities'!$C$9:$C$108,0)),"Unavailable"))</x:f>
        <x:v>0.55</x:v>
      </x:c>
      <x:c r="AN419" s="30" t="n">
        <x:f>IF(C419="","",IFERROR(INDEX(Credit!$T$409:$T$508,MATCH(F419,Credit!$C$409:$C$508,0)),"Unavailable"))</x:f>
        <x:v>0.00416</x:v>
      </x:c>
      <x:c r="AO419" s="23" t="n">
        <x:f>IF(C419="","",IF(AQ419&lt;&gt;"Ready","Unavailable",IF(C419="","",O419+P419+Q419*INDEX('Facilities'!$I$9:$I$108,MATCH(C419,'Facilities'!$C$9:$C$108,0)))))</x:f>
        <x:v>0</x:v>
      </x:c>
      <x:c r="AP419" s="21" t="n">
        <x:f>IF(C419="","",IF(AQ419&lt;&gt;"Ready","Unavailable",IF(C419="","",AH419-U419)))</x:f>
        <x:v>0</x:v>
      </x:c>
      <x:c r="AQ419" s="23" t="str">
        <x:f>IFERROR(IF(C419="","",IF(AND(INDEX('Facilities'!$AF$9:$AF$108,MATCH(C419,'Facilities'!$C$9:$C$108,0))="Ready",INDEX(Credit!$U$409:$U$508,MATCH(F419,Credit!$C$409:$C$508,0))="Ready",ISNUMBER(W419)),"Ready","Review inputs")),"Review inputs")</x:f>
        <x:v>Ready</x:v>
      </x:c>
      <x:c r="AR419" s="23" t="n">
        <x:f>IF(C419="","",IF(AQ419&lt;&gt;"Ready","Unavailable",IF(C419="","",IF(O419=0,0,(IF(AJ419&lt;=1,O419,O419*INDEX('Facilities'!$R$9:$R$108,MATCH(C419,'Facilities'!$C$9:$C$108,0)))+O419*INDEX('Facilities'!$T$9:$T$108,MATCH(C419,'Facilities'!$C$9:$C$108,0)))/12))))</x:f>
        <x:v>0</x:v>
      </x:c>
    </x:row>
    <x:row r="420" ht="26" customHeight="1">
      <x:c r="A420" s="1"/>
      <x:c r="B420" s="1"/>
      <x:c r="C420" s="9" t="str">
        <x:f>IF(Facilities!C20="","",Facilities!C20)</x:f>
        <x:v>F012</x:v>
      </x:c>
      <x:c r="D420" s="3" t="n">
        <x:v>5</x:v>
      </x:c>
      <x:c r="E420" s="9" t="n">
        <x:f>Settings!$F$18+4</x:f>
        <x:v>2031</x:v>
      </x:c>
      <x:c r="F420" s="9" t="str">
        <x:f>IF(C420="","",IFERROR(INDEX('Facilities'!$D$9:$D$108,MATCH(C420,'Facilities'!$C$9:$C$108,0)),"Unavailable"))</x:f>
        <x:v>B006</x:v>
      </x:c>
      <x:c r="G420" s="21" t="n">
        <x:f>IF(C420="","",IFERROR(O320,"Unavailable"))</x:f>
        <x:v>2.6899982800000006</x:v>
      </x:c>
      <x:c r="H420" s="21" t="n">
        <x:f>IF(C420="","",IFERROR(P320,"Unavailable"))</x:f>
        <x:v>0</x:v>
      </x:c>
      <x:c r="I420" s="21" t="n">
        <x:f>IF(C420="","",IFERROR(Q320,"Unavailable"))</x:f>
        <x:v>0.334305</x:v>
      </x:c>
      <x:c r="J420" s="23" t="n">
        <x:f>IF(C420="","",IFERROR(IF(OR(H420&gt;0,AND(AC420&gt;=0,AC420&lt;D420),D420&gt;INDEX('Facilities'!$J$9:$J$108,MATCH(C420,'Facilities'!$C$9:$C$108,0))),0,I420*'Scenario Paths'!J81),"Unavailable"))</x:f>
        <x:v>0.01671525</x:v>
      </x:c>
      <x:c r="K420" s="23" t="n">
        <x:f>IF(C420="","",IFERROR(IF(OR(H420&gt;0,AND(AC420&gt;=0,AC420=D420)),0,IF(D420&gt;=INDEX('Facilities'!$J$9:$J$108,MATCH(C420,'Facilities'!$C$9:$C$108,0)),G420+J420,MIN(G420+J420,G420*INDEX('Facilities'!$R$9:$R$108,MATCH(C420,'Facilities'!$C$9:$C$108,0))))),"Unavailable"))</x:f>
        <x:v>2.7067135300000005</x:v>
      </x:c>
      <x:c r="L420" s="21" t="n">
        <x:f>IF(C420="","",IFERROR(IF(AND(AC420=D420,AC420&gt;0),MAX(0,G420+J420-K420),0),"Unavailable"))</x:f>
        <x:v>0</x:v>
      </x:c>
      <x:c r="M420" s="23" t="n">
        <x:f>IF(C420="","",IFERROR(IF(AND(AC420&gt;=0,D420&gt;=AC420+INDEX('Facilities'!$AK$9:$AK$108,MATCH(C420,'Facilities'!$C$9:$C$108,0))),(H420+L420)*AM420,0),"Unavailable"))</x:f>
        <x:v>0</x:v>
      </x:c>
      <x:c r="N420" s="23" t="n">
        <x:f>IF(C420="","",IFERROR(IF(AND(AC420&gt;=0,D420&gt;=AC420+INDEX('Facilities'!$AK$9:$AK$108,MATCH(C420,'Facilities'!$C$9:$C$108,0))),H420+L420-M420,0),"Unavailable"))</x:f>
        <x:v>0</x:v>
      </x:c>
      <x:c r="O420" s="21" t="n">
        <x:f>IF(C420="","",IFERROR(MAX(0,G420+J420-K420-L420),"Unavailable"))</x:f>
        <x:v>0</x:v>
      </x:c>
      <x:c r="P420" s="21" t="n">
        <x:f>IF(C420="","",IFERROR(MAX(0,H420+L420-M420-N420),"Unavailable"))</x:f>
        <x:v>0</x:v>
      </x:c>
      <x:c r="Q420" s="23" t="n">
        <x:f>IF(C420="","",IFERROR(IF(OR(D420&gt;=INDEX('Facilities'!$J$9:$J$108,MATCH(C420,'Facilities'!$C$9:$C$108,0)),AND(AC420&gt;=0,AC420&lt;=D420)),0,MAX(0,I420-J420)),"Unavailable"))</x:f>
        <x:v>0</x:v>
      </x:c>
      <x:c r="R420" s="30" t="n">
        <x:f>IF(C420="","",IFERROR(INDEX(Credit!$Q$409:$Q$508,MATCH(F420,Credit!$C$409:$C$508,0)),"Unavailable"))</x:f>
        <x:v>0.0820423262224518</x:v>
      </x:c>
      <x:c r="S420" s="30" t="n">
        <x:f>IF(C420="","",IFERROR(INDEX(Credit!$R$409:$R$508,MATCH(F420,Credit!$C$409:$C$508,0)),"Unavailable"))</x:f>
        <x:v>0.2829952</x:v>
      </x:c>
      <x:c r="T420" s="23" t="n">
        <x:f>IF(C420="","",IFERROR(IF(P420&gt;0,3,IF(OR(INDEX('Facilities'!$AD$9:$AD$108,MATCH(C420,'Facilities'!$C$9:$C$108,0))=2,AND(R420&gt;=INDEX('Facilities'!$L$9:$L$108,MATCH(C420,'Facilities'!$C$9:$C$108,0))*Settings!$F$19,R420-INDEX('Facilities'!$L$9:$L$108,MATCH(C420,'Facilities'!$C$9:$C$108,0))&gt;=Settings!$F$20)),2,1)),"Unavailable"))</x:f>
        <x:v>1</x:v>
      </x:c>
      <x:c r="U420" s="23" t="n">
        <x:f>IF(C420="","",IF(AQ420&lt;&gt;"Ready","Unavailable",IF(C420="","",O420*(1-(1-S420)/(1+INDEX('Facilities'!$K$9:$K$108,MATCH(C420,'Facilities'!$C$9:$C$108,0)))^INDEX('Facilities'!$AK$9:$AK$108,MATCH(C420,'Facilities'!$C$9:$C$108,0)))*R420/(1+INDEX('Facilities'!$K$9:$K$108,MATCH(C420,'Facilities'!$C$9:$C$108,0)))*IF(ABS(1-(1-R420)*(1-INDEX('Facilities'!$R$9:$R$108,MATCH(C420,'Facilities'!$C$9:$C$108,0)))/(1+INDEX('Facilities'!$K$9:$K$108,MATCH(C420,'Facilities'!$C$9:$C$108,0))))&lt;0.000000001,IF(T420=1,MIN(1,AJ420),AJ420),(1-((1-R420)*(1-INDEX('Facilities'!$R$9:$R$108,MATCH(C420,'Facilities'!$C$9:$C$108,0)))/(1+INDEX('Facilities'!$K$9:$K$108,MATCH(C420,'Facilities'!$C$9:$C$108,0))))^IF(T420=1,MIN(1,AJ420),AJ420))/(1-(1-R420)*(1-INDEX('Facilities'!$R$9:$R$108,MATCH(C420,'Facilities'!$C$9:$C$108,0)))/(1+INDEX('Facilities'!$K$9:$K$108,MATCH(C420,'Facilities'!$C$9:$C$108,0)))))+AL420)))</x:f>
        <x:v>0</x:v>
      </x:c>
      <x:c r="V420" s="23" t="n">
        <x:f>IF(C420="","",IF(AQ420&lt;&gt;"Ready","Unavailable",IF(C420="","",Q420*INDEX('Facilities'!$I$9:$I$108,MATCH(C420,'Facilities'!$C$9:$C$108,0))*(1-(1-S420)/(1+INDEX('Facilities'!$K$9:$K$108,MATCH(C420,'Facilities'!$C$9:$C$108,0)))^INDEX('Facilities'!$AK$9:$AK$108,MATCH(C420,'Facilities'!$C$9:$C$108,0)))*R420/(1+INDEX('Facilities'!$K$9:$K$108,MATCH(C420,'Facilities'!$C$9:$C$108,0)))*IF(ABS(1-(1-R420)*(1-0)/(1+INDEX('Facilities'!$K$9:$K$108,MATCH(C420,'Facilities'!$C$9:$C$108,0))))&lt;0.000000001,IF(T420=1,MIN(1,AJ420),AJ420),(1-((1-R420)*(1-0)/(1+INDEX('Facilities'!$K$9:$K$108,MATCH(C420,'Facilities'!$C$9:$C$108,0))))^IF(T420=1,MIN(1,AJ420),AJ420))/(1-(1-R420)*(1-0)/(1+INDEX('Facilities'!$K$9:$K$108,MATCH(C420,'Facilities'!$C$9:$C$108,0))))))))</x:f>
        <x:v>0</x:v>
      </x:c>
      <x:c r="W420" s="21" t="n">
        <x:f>IF(C420="","",IFERROR(U320,"Unavailable"))</x:f>
        <x:v>0.08300483866972075</x:v>
      </x:c>
      <x:c r="X420" s="21" t="n">
        <x:f>IF(C420="","",IFERROR(V320,"Unavailable"))</x:f>
        <x:v>0.005157797459907855</x:v>
      </x:c>
      <x:c r="Y420" s="21" t="n">
        <x:f>IF(C420="","",IF(AQ420&lt;&gt;"Ready","Unavailable",IF(C420="","",U420-W420+V420-X420+N420+AG420)))</x:f>
        <x:v>-0.0881626361296286</x:v>
      </x:c>
      <x:c r="Z420" s="23" t="n">
        <x:f>IF(C420="","",IF(AQ420&lt;&gt;"Ready","Unavailable",IF(C420="","",(G420+O420+L420)/2*INDEX('Facilities'!$T$9:$T$108,MATCH(C420,'Facilities'!$C$9:$C$108,0))+AG420)))</x:f>
        <x:v>0.12777491830000004</x:v>
      </x:c>
      <x:c r="AA420" s="23" t="n">
        <x:f>IF(C420="","",IF(AQ420&lt;&gt;"Ready","Unavailable",IF(C420="","",O420*(1-IF(INDEX('Facilities'!$AA$9:$AA$108,MATCH(C420,'Facilities'!$C$9:$C$108,0))=0,0,MIN(1,INDEX('Facilities'!$X$9:$X$108,MATCH(C420,'Facilities'!$C$9:$C$108,0))/INDEX('Facilities'!$AA$9:$AA$108,MATCH(C420,'Facilities'!$C$9:$C$108,0)))))*AF420+P420*(1-IF(INDEX('Facilities'!$AA$9:$AA$108,MATCH(C420,'Facilities'!$C$9:$C$108,0))=0,0,MIN(1,INDEX('Facilities'!$X$9:$X$108,MATCH(C420,'Facilities'!$C$9:$C$108,0))/INDEX('Facilities'!$AA$9:$AA$108,MATCH(C420,'Facilities'!$C$9:$C$108,0)))))*INDEX('Facilities'!$AJ$9:$AJ$108,MATCH(C420,'Facilities'!$C$9:$C$108,0))+Q420*INDEX('Facilities'!$AI$9:$AI$108,MATCH(C420,'Facilities'!$C$9:$C$108,0))*AF420)))</x:f>
        <x:v>0</x:v>
      </x:c>
      <x:c r="AB420" s="21" t="n">
        <x:f>IF(C420="","",O420+P420-AD420)</x:f>
        <x:v>-2.6899982800000006</x:v>
      </x:c>
      <x:c r="AC420" s="23" t="n">
        <x:f>IF(C420="","",IFERROR(IF(INDEX('Facilities'!$AD$9:$AD$108,MATCH(C420,'Facilities'!$C$9:$C$108,0))=3,0,IF(INDEX('Facilities'!$AN$9:$AN$108,MATCH(C420,'Facilities'!$C$9:$C$108,0))=0,-1,INDEX('Facilities'!$AN$9:$AN$108,MATCH(C420,'Facilities'!$C$9:$C$108,0)))),"Unavailable"))</x:f>
        <x:v>-1</x:v>
      </x:c>
      <x:c r="AD420" s="21" t="n">
        <x:f>IF(C420="","",IFERROR(G420+H420,"Unavailable"))</x:f>
        <x:v>2.6899982800000006</x:v>
      </x:c>
      <x:c r="AE420" s="21" t="n">
        <x:f>IF(C420="","",IF(AQ420&lt;&gt;"Ready","Unavailable",IF(C420="","",O420+P420-AD420-J420+K420+M420+N420)))</x:f>
        <x:v>0</x:v>
      </x:c>
      <x:c r="AF420" s="30" t="n">
        <x:f>IF(C420="","",IFERROR(INDEX('Facilities'!$S$9:$S$108,MATCH(C420,'Facilities'!$C$9:$C$108,0))*'Scenario Paths'!J75,"Unavailable"))</x:f>
        <x:v>1.25</x:v>
      </x:c>
      <x:c r="AG420" s="23" t="n">
        <x:f>IF(C420="","",IF(AQ420&lt;&gt;"Ready","Unavailable",IF(C420="","",IF(H420&gt;0,MAX(0,H420-AK420)*((1+INDEX('Facilities'!$K$9:$K$108,MATCH(C420,'Facilities'!$C$9:$C$108,0)))^MIN(1,MAX(0,AC420+INDEX('Facilities'!$AK$9:$AK$108,MATCH(C420,'Facilities'!$C$9:$C$108,0))-D420+1))-1),0))))</x:f>
        <x:v>0</x:v>
      </x:c>
      <x:c r="AH420" s="21" t="n">
        <x:f>IF(C420="","",IF(AQ420&lt;&gt;"Ready","Unavailable",IF(C420="","",O420+P420)))</x:f>
        <x:v>0</x:v>
      </x:c>
      <x:c r="AI420" s="21" t="n">
        <x:f>IF(C420="","",IF(AQ420&lt;&gt;"Ready","Unavailable",IF(C420="","",Z420-Y420)))</x:f>
        <x:v>0.21593755442962864</x:v>
      </x:c>
      <x:c r="AJ420" s="23" t="n">
        <x:f>IF(C420="","",IFERROR(MAX(0,INDEX('Facilities'!$J$9:$J$108,MATCH(C420,'Facilities'!$C$9:$C$108,0))-D420),"Unavailable"))</x:f>
        <x:v>0</x:v>
      </x:c>
      <x:c r="AK420" s="21" t="n">
        <x:f>IF(C420="","",IFERROR(AL320,"Unavailable"))</x:f>
        <x:v>0</x:v>
      </x:c>
      <x:c r="AL420" s="23" t="n">
        <x:f>IF(C420="","",IFERROR(IF(P420&gt;0,P420*(1-AM420/(1+INDEX('Facilities'!$K$9:$K$108,MATCH(C420,'Facilities'!$C$9:$C$108,0)))^MAX(0,AC420+INDEX('Facilities'!$AK$9:$AK$108,MATCH(C420,'Facilities'!$C$9:$C$108,0))-D420)),0),"Unavailable"))</x:f>
        <x:v>0</x:v>
      </x:c>
      <x:c r="AM420" s="30" t="n">
        <x:f>IF(C420="","",IFERROR(INDEX('Facilities'!$AL$9:$AL$108,MATCH(C420,'Facilities'!$C$9:$C$108,0)),"Unavailable"))</x:f>
        <x:v>0.55</x:v>
      </x:c>
      <x:c r="AN420" s="30" t="n">
        <x:f>IF(C420="","",IFERROR(INDEX(Credit!$T$409:$T$508,MATCH(F420,Credit!$C$409:$C$508,0)),"Unavailable"))</x:f>
        <x:v>0.00416</x:v>
      </x:c>
      <x:c r="AO420" s="23" t="n">
        <x:f>IF(C420="","",IF(AQ420&lt;&gt;"Ready","Unavailable",IF(C420="","",O420+P420+Q420*INDEX('Facilities'!$I$9:$I$108,MATCH(C420,'Facilities'!$C$9:$C$108,0)))))</x:f>
        <x:v>0</x:v>
      </x:c>
      <x:c r="AP420" s="21" t="n">
        <x:f>IF(C420="","",IF(AQ420&lt;&gt;"Ready","Unavailable",IF(C420="","",AH420-U420)))</x:f>
        <x:v>0</x:v>
      </x:c>
      <x:c r="AQ420" s="23" t="str">
        <x:f>IFERROR(IF(C420="","",IF(AND(INDEX('Facilities'!$AF$9:$AF$108,MATCH(C420,'Facilities'!$C$9:$C$108,0))="Ready",INDEX(Credit!$U$409:$U$508,MATCH(F420,Credit!$C$409:$C$508,0))="Ready",ISNUMBER(W420)),"Ready","Review inputs")),"Review inputs")</x:f>
        <x:v>Ready</x:v>
      </x:c>
      <x:c r="AR420" s="23" t="n">
        <x:f>IF(C420="","",IF(AQ420&lt;&gt;"Ready","Unavailable",IF(C420="","",IF(O420=0,0,(IF(AJ420&lt;=1,O420,O420*INDEX('Facilities'!$R$9:$R$108,MATCH(C420,'Facilities'!$C$9:$C$108,0)))+O420*INDEX('Facilities'!$T$9:$T$108,MATCH(C420,'Facilities'!$C$9:$C$108,0)))/12))))</x:f>
        <x:v>0</x:v>
      </x:c>
    </x:row>
    <x:row r="421" ht="26" customHeight="1">
      <x:c r="A421" s="1"/>
      <x:c r="B421" s="1"/>
      <x:c r="C421" s="9" t="str">
        <x:f>IF(Facilities!C21="","",Facilities!C21)</x:f>
        <x:v>F013</x:v>
      </x:c>
      <x:c r="D421" s="3" t="n">
        <x:v>5</x:v>
      </x:c>
      <x:c r="E421" s="9" t="n">
        <x:f>Settings!$F$18+4</x:f>
        <x:v>2031</x:v>
      </x:c>
      <x:c r="F421" s="9" t="str">
        <x:f>IF(C421="","",IFERROR(INDEX('Facilities'!$D$9:$D$108,MATCH(C421,'Facilities'!$C$9:$C$108,0)),"Unavailable"))</x:f>
        <x:v>B007</x:v>
      </x:c>
      <x:c r="G421" s="21" t="n">
        <x:f>IF(C421="","",IFERROR(O321,"Unavailable"))</x:f>
        <x:v>4.681716056</x:v>
      </x:c>
      <x:c r="H421" s="21" t="n">
        <x:f>IF(C421="","",IFERROR(P321,"Unavailable"))</x:f>
        <x:v>0</x:v>
      </x:c>
      <x:c r="I421" s="21" t="n">
        <x:f>IF(C421="","",IFERROR(Q321,"Unavailable"))</x:f>
        <x:v>1.002915</x:v>
      </x:c>
      <x:c r="J421" s="23" t="n">
        <x:f>IF(C421="","",IFERROR(IF(OR(H421&gt;0,AND(AC421&gt;=0,AC421&lt;D421),D421&gt;INDEX('Facilities'!$J$9:$J$108,MATCH(C421,'Facilities'!$C$9:$C$108,0))),0,I421*'Scenario Paths'!J81),"Unavailable"))</x:f>
        <x:v>0.05014575</x:v>
      </x:c>
      <x:c r="K421" s="23" t="n">
        <x:f>IF(C421="","",IFERROR(IF(OR(H421&gt;0,AND(AC421&gt;=0,AC421=D421)),0,IF(D421&gt;=INDEX('Facilities'!$J$9:$J$108,MATCH(C421,'Facilities'!$C$9:$C$108,0)),G421+J421,MIN(G421+J421,G421*INDEX('Facilities'!$R$9:$R$108,MATCH(C421,'Facilities'!$C$9:$C$108,0))))),"Unavailable"))</x:f>
        <x:v>0.56180592672</x:v>
      </x:c>
      <x:c r="L421" s="21" t="n">
        <x:f>IF(C421="","",IFERROR(IF(AND(AC421=D421,AC421&gt;0),MAX(0,G421+J421-K421),0),"Unavailable"))</x:f>
        <x:v>0</x:v>
      </x:c>
      <x:c r="M421" s="23" t="n">
        <x:f>IF(C421="","",IFERROR(IF(AND(AC421&gt;=0,D421&gt;=AC421+INDEX('Facilities'!$AK$9:$AK$108,MATCH(C421,'Facilities'!$C$9:$C$108,0))),(H421+L421)*AM421,0),"Unavailable"))</x:f>
        <x:v>0</x:v>
      </x:c>
      <x:c r="N421" s="23" t="n">
        <x:f>IF(C421="","",IFERROR(IF(AND(AC421&gt;=0,D421&gt;=AC421+INDEX('Facilities'!$AK$9:$AK$108,MATCH(C421,'Facilities'!$C$9:$C$108,0))),H421+L421-M421,0),"Unavailable"))</x:f>
        <x:v>0</x:v>
      </x:c>
      <x:c r="O421" s="21" t="n">
        <x:f>IF(C421="","",IFERROR(MAX(0,G421+J421-K421-L421),"Unavailable"))</x:f>
        <x:v>4.17005587928</x:v>
      </x:c>
      <x:c r="P421" s="21" t="n">
        <x:f>IF(C421="","",IFERROR(MAX(0,H421+L421-M421-N421),"Unavailable"))</x:f>
        <x:v>0</x:v>
      </x:c>
      <x:c r="Q421" s="23" t="n">
        <x:f>IF(C421="","",IFERROR(IF(OR(D421&gt;=INDEX('Facilities'!$J$9:$J$108,MATCH(C421,'Facilities'!$C$9:$C$108,0)),AND(AC421&gt;=0,AC421&lt;=D421)),0,MAX(0,I421-J421)),"Unavailable"))</x:f>
        <x:v>0.95276925</x:v>
      </x:c>
      <x:c r="R421" s="30" t="n">
        <x:f>IF(C421="","",IFERROR(INDEX(Credit!$Q$409:$Q$508,MATCH(F421,Credit!$C$409:$C$508,0)),"Unavailable"))</x:f>
        <x:v>0.04223828753470357</x:v>
      </x:c>
      <x:c r="S421" s="30" t="n">
        <x:f>IF(C421="","",IFERROR(INDEX(Credit!$R$409:$R$508,MATCH(F421,Credit!$C$409:$C$508,0)),"Unavailable"))</x:f>
        <x:v>0.32243712</x:v>
      </x:c>
      <x:c r="T421" s="23" t="n">
        <x:f>IF(C421="","",IFERROR(IF(P421&gt;0,3,IF(OR(INDEX('Facilities'!$AD$9:$AD$108,MATCH(C421,'Facilities'!$C$9:$C$108,0))=2,AND(R421&gt;=INDEX('Facilities'!$L$9:$L$108,MATCH(C421,'Facilities'!$C$9:$C$108,0))*Settings!$F$19,R421-INDEX('Facilities'!$L$9:$L$108,MATCH(C421,'Facilities'!$C$9:$C$108,0))&gt;=Settings!$F$20)),2,1)),"Unavailable"))</x:f>
        <x:v>2</x:v>
      </x:c>
      <x:c r="U421" s="23" t="n">
        <x:f>IF(C421="","",IF(AQ421&lt;&gt;"Ready","Unavailable",IF(C421="","",O421*(1-(1-S421)/(1+INDEX('Facilities'!$K$9:$K$108,MATCH(C421,'Facilities'!$C$9:$C$108,0)))^INDEX('Facilities'!$AK$9:$AK$108,MATCH(C421,'Facilities'!$C$9:$C$108,0)))*R421/(1+INDEX('Facilities'!$K$9:$K$108,MATCH(C421,'Facilities'!$C$9:$C$108,0)))*IF(ABS(1-(1-R421)*(1-INDEX('Facilities'!$R$9:$R$108,MATCH(C421,'Facilities'!$C$9:$C$108,0)))/(1+INDEX('Facilities'!$K$9:$K$108,MATCH(C421,'Facilities'!$C$9:$C$108,0))))&lt;0.000000001,IF(T421=1,MIN(1,AJ421),AJ421),(1-((1-R421)*(1-INDEX('Facilities'!$R$9:$R$108,MATCH(C421,'Facilities'!$C$9:$C$108,0)))/(1+INDEX('Facilities'!$K$9:$K$108,MATCH(C421,'Facilities'!$C$9:$C$108,0))))^IF(T421=1,MIN(1,AJ421),AJ421))/(1-(1-R421)*(1-INDEX('Facilities'!$R$9:$R$108,MATCH(C421,'Facilities'!$C$9:$C$108,0)))/(1+INDEX('Facilities'!$K$9:$K$108,MATCH(C421,'Facilities'!$C$9:$C$108,0)))))+AL421)))</x:f>
        <x:v>0.0683504042080048</x:v>
      </x:c>
      <x:c r="V421" s="23" t="n">
        <x:f>IF(C421="","",IF(AQ421&lt;&gt;"Ready","Unavailable",IF(C421="","",Q421*INDEX('Facilities'!$I$9:$I$108,MATCH(C421,'Facilities'!$C$9:$C$108,0))*(1-(1-S421)/(1+INDEX('Facilities'!$K$9:$K$108,MATCH(C421,'Facilities'!$C$9:$C$108,0)))^INDEX('Facilities'!$AK$9:$AK$108,MATCH(C421,'Facilities'!$C$9:$C$108,0)))*R421/(1+INDEX('Facilities'!$K$9:$K$108,MATCH(C421,'Facilities'!$C$9:$C$108,0)))*IF(ABS(1-(1-R421)*(1-0)/(1+INDEX('Facilities'!$K$9:$K$108,MATCH(C421,'Facilities'!$C$9:$C$108,0))))&lt;0.000000001,IF(T421=1,MIN(1,AJ421),AJ421),(1-((1-R421)*(1-0)/(1+INDEX('Facilities'!$K$9:$K$108,MATCH(C421,'Facilities'!$C$9:$C$108,0))))^IF(T421=1,MIN(1,AJ421),AJ421))/(1-(1-R421)*(1-0)/(1+INDEX('Facilities'!$K$9:$K$108,MATCH(C421,'Facilities'!$C$9:$C$108,0))))))))</x:f>
        <x:v>0.007808308238509928</x:v>
      </x:c>
      <x:c r="W421" s="21" t="n">
        <x:f>IF(C421="","",IFERROR(U321,"Unavailable"))</x:f>
        <x:v>0.14429507350869894</x:v>
      </x:c>
      <x:c r="X421" s="21" t="n">
        <x:f>IF(C421="","",IFERROR(V321,"Unavailable"))</x:f>
        <x:v>0.01637786770811616</x:v>
      </x:c>
      <x:c r="Y421" s="21" t="n">
        <x:f>IF(C421="","",IF(AQ421&lt;&gt;"Ready","Unavailable",IF(C421="","",U421-W421+V421-X421+N421+AG421)))</x:f>
        <x:v>-0.08451422877030038</x:v>
      </x:c>
      <x:c r="Z421" s="23" t="n">
        <x:f>IF(C421="","",IF(AQ421&lt;&gt;"Ready","Unavailable",IF(C421="","",(G421+O421+L421)/2*INDEX('Facilities'!$T$9:$T$108,MATCH(C421,'Facilities'!$C$9:$C$108,0))+AG421)))</x:f>
        <x:v>0.42045916692580004</x:v>
      </x:c>
      <x:c r="AA421" s="23" t="n">
        <x:f>IF(C421="","",IF(AQ421&lt;&gt;"Ready","Unavailable",IF(C421="","",O421*(1-IF(INDEX('Facilities'!$AA$9:$AA$108,MATCH(C421,'Facilities'!$C$9:$C$108,0))=0,0,MIN(1,INDEX('Facilities'!$X$9:$X$108,MATCH(C421,'Facilities'!$C$9:$C$108,0))/INDEX('Facilities'!$AA$9:$AA$108,MATCH(C421,'Facilities'!$C$9:$C$108,0)))))*AF421+P421*(1-IF(INDEX('Facilities'!$AA$9:$AA$108,MATCH(C421,'Facilities'!$C$9:$C$108,0))=0,0,MIN(1,INDEX('Facilities'!$X$9:$X$108,MATCH(C421,'Facilities'!$C$9:$C$108,0))/INDEX('Facilities'!$AA$9:$AA$108,MATCH(C421,'Facilities'!$C$9:$C$108,0)))))*INDEX('Facilities'!$AJ$9:$AJ$108,MATCH(C421,'Facilities'!$C$9:$C$108,0))+Q421*INDEX('Facilities'!$AI$9:$AI$108,MATCH(C421,'Facilities'!$C$9:$C$108,0))*AF421)))</x:f>
        <x:v>5.768018093908912</x:v>
      </x:c>
      <x:c r="AB421" s="21" t="n">
        <x:f>IF(C421="","",O421+P421-AD421)</x:f>
        <x:v>-0.5116601767199995</x:v>
      </x:c>
      <x:c r="AC421" s="23" t="n">
        <x:f>IF(C421="","",IFERROR(IF(INDEX('Facilities'!$AD$9:$AD$108,MATCH(C421,'Facilities'!$C$9:$C$108,0))=3,0,IF(INDEX('Facilities'!$AN$9:$AN$108,MATCH(C421,'Facilities'!$C$9:$C$108,0))=0,-1,INDEX('Facilities'!$AN$9:$AN$108,MATCH(C421,'Facilities'!$C$9:$C$108,0)))),"Unavailable"))</x:f>
        <x:v>-1</x:v>
      </x:c>
      <x:c r="AD421" s="21" t="n">
        <x:f>IF(C421="","",IFERROR(G421+H421,"Unavailable"))</x:f>
        <x:v>4.681716056</x:v>
      </x:c>
      <x:c r="AE421" s="21" t="n">
        <x:f>IF(C421="","",IF(AQ421&lt;&gt;"Ready","Unavailable",IF(C421="","",O421+P421-AD421-J421+K421+M421+N421)))</x:f>
        <x:v>4.440892098500626e-16</x:v>
      </x:c>
      <x:c r="AF421" s="30" t="n">
        <x:f>IF(C421="","",IFERROR(INDEX('Facilities'!$S$9:$S$108,MATCH(C421,'Facilities'!$C$9:$C$108,0))*'Scenario Paths'!J75,"Unavailable"))</x:f>
        <x:v>1.25</x:v>
      </x:c>
      <x:c r="AG421" s="23" t="n">
        <x:f>IF(C421="","",IF(AQ421&lt;&gt;"Ready","Unavailable",IF(C421="","",IF(H421&gt;0,MAX(0,H421-AK421)*((1+INDEX('Facilities'!$K$9:$K$108,MATCH(C421,'Facilities'!$C$9:$C$108,0)))^MIN(1,MAX(0,AC421+INDEX('Facilities'!$AK$9:$AK$108,MATCH(C421,'Facilities'!$C$9:$C$108,0))-D421+1))-1),0))))</x:f>
        <x:v>0</x:v>
      </x:c>
      <x:c r="AH421" s="21" t="n">
        <x:f>IF(C421="","",IF(AQ421&lt;&gt;"Ready","Unavailable",IF(C421="","",O421+P421)))</x:f>
        <x:v>4.17005587928</x:v>
      </x:c>
      <x:c r="AI421" s="21" t="n">
        <x:f>IF(C421="","",IF(AQ421&lt;&gt;"Ready","Unavailable",IF(C421="","",Z421-Y421)))</x:f>
        <x:v>0.5049733956961004</x:v>
      </x:c>
      <x:c r="AJ421" s="23" t="n">
        <x:f>IF(C421="","",IFERROR(MAX(0,INDEX('Facilities'!$J$9:$J$108,MATCH(C421,'Facilities'!$C$9:$C$108,0))-D421),"Unavailable"))</x:f>
        <x:v>1</x:v>
      </x:c>
      <x:c r="AK421" s="21" t="n">
        <x:f>IF(C421="","",IFERROR(AL321,"Unavailable"))</x:f>
        <x:v>0</x:v>
      </x:c>
      <x:c r="AL421" s="23" t="n">
        <x:f>IF(C421="","",IFERROR(IF(P421&gt;0,P421*(1-AM421/(1+INDEX('Facilities'!$K$9:$K$108,MATCH(C421,'Facilities'!$C$9:$C$108,0)))^MAX(0,AC421+INDEX('Facilities'!$AK$9:$AK$108,MATCH(C421,'Facilities'!$C$9:$C$108,0))-D421)),0),"Unavailable"))</x:f>
        <x:v>0</x:v>
      </x:c>
      <x:c r="AM421" s="30" t="n">
        <x:f>IF(C421="","",IFERROR(INDEX('Facilities'!$AL$9:$AL$108,MATCH(C421,'Facilities'!$C$9:$C$108,0)),"Unavailable"))</x:f>
        <x:v>0.55</x:v>
      </x:c>
      <x:c r="AN421" s="30" t="n">
        <x:f>IF(C421="","",IFERROR(INDEX(Credit!$T$409:$T$508,MATCH(F421,Credit!$C$409:$C$508,0)),"Unavailable"))</x:f>
        <x:v>0.0035840000000000004</x:v>
      </x:c>
      <x:c r="AO421" s="23" t="n">
        <x:f>IF(C421="","",IF(AQ421&lt;&gt;"Ready","Unavailable",IF(C421="","",O421+P421+Q421*INDEX('Facilities'!$I$9:$I$108,MATCH(C421,'Facilities'!$C$9:$C$108,0)))))</x:f>
        <x:v>4.64644050428</x:v>
      </x:c>
      <x:c r="AP421" s="21" t="n">
        <x:f>IF(C421="","",IF(AQ421&lt;&gt;"Ready","Unavailable",IF(C421="","",AH421-U421)))</x:f>
        <x:v>4.101705475071996</x:v>
      </x:c>
      <x:c r="AQ421" s="23" t="str">
        <x:f>IFERROR(IF(C421="","",IF(AND(INDEX('Facilities'!$AF$9:$AF$108,MATCH(C421,'Facilities'!$C$9:$C$108,0))="Ready",INDEX(Credit!$U$409:$U$508,MATCH(F421,Credit!$C$409:$C$508,0))="Ready",ISNUMBER(W421)),"Ready","Review inputs")),"Review inputs")</x:f>
        <x:v>Ready</x:v>
      </x:c>
      <x:c r="AR421" s="23" t="n">
        <x:f>IF(C421="","",IF(AQ421&lt;&gt;"Ready","Unavailable",IF(C421="","",IF(O421=0,0,(IF(AJ421&lt;=1,O421,O421*INDEX('Facilities'!$R$9:$R$108,MATCH(C421,'Facilities'!$C$9:$C$108,0)))+O421*INDEX('Facilities'!$T$9:$T$108,MATCH(C421,'Facilities'!$C$9:$C$108,0)))/12))))</x:f>
        <x:v>0.3805175989843</x:v>
      </x:c>
    </x:row>
    <x:row r="422" ht="26" customHeight="1">
      <x:c r="A422" s="1"/>
      <x:c r="B422" s="1"/>
      <x:c r="C422" s="9" t="str">
        <x:f>IF(Facilities!C22="","",Facilities!C22)</x:f>
        <x:v>F014</x:v>
      </x:c>
      <x:c r="D422" s="3" t="n">
        <x:v>5</x:v>
      </x:c>
      <x:c r="E422" s="9" t="n">
        <x:f>Settings!$F$18+4</x:f>
        <x:v>2031</x:v>
      </x:c>
      <x:c r="F422" s="9" t="str">
        <x:f>IF(C422="","",IFERROR(INDEX('Facilities'!$D$9:$D$108,MATCH(C422,'Facilities'!$C$9:$C$108,0)),"Unavailable"))</x:f>
        <x:v>B007</x:v>
      </x:c>
      <x:c r="G422" s="21" t="n">
        <x:f>IF(C422="","",IFERROR(O322,"Unavailable"))</x:f>
        <x:v>2.8998916560000008</x:v>
      </x:c>
      <x:c r="H422" s="21" t="n">
        <x:f>IF(C422="","",IFERROR(P322,"Unavailable"))</x:f>
        <x:v>0</x:v>
      </x:c>
      <x:c r="I422" s="21" t="n">
        <x:f>IF(C422="","",IFERROR(Q322,"Unavailable"))</x:f>
        <x:v>0.334305</x:v>
      </x:c>
      <x:c r="J422" s="23" t="n">
        <x:f>IF(C422="","",IFERROR(IF(OR(H422&gt;0,AND(AC422&gt;=0,AC422&lt;D422),D422&gt;INDEX('Facilities'!$J$9:$J$108,MATCH(C422,'Facilities'!$C$9:$C$108,0))),0,I422*'Scenario Paths'!J81),"Unavailable"))</x:f>
        <x:v>0.01671525</x:v>
      </x:c>
      <x:c r="K422" s="23" t="n">
        <x:f>IF(C422="","",IFERROR(IF(OR(H422&gt;0,AND(AC422&gt;=0,AC422=D422)),0,IF(D422&gt;=INDEX('Facilities'!$J$9:$J$108,MATCH(C422,'Facilities'!$C$9:$C$108,0)),G422+J422,MIN(G422+J422,G422*INDEX('Facilities'!$R$9:$R$108,MATCH(C422,'Facilities'!$C$9:$C$108,0))))),"Unavailable"))</x:f>
        <x:v>0.34798699872000005</x:v>
      </x:c>
      <x:c r="L422" s="21" t="n">
        <x:f>IF(C422="","",IFERROR(IF(AND(AC422=D422,AC422&gt;0),MAX(0,G422+J422-K422),0),"Unavailable"))</x:f>
        <x:v>0</x:v>
      </x:c>
      <x:c r="M422" s="23" t="n">
        <x:f>IF(C422="","",IFERROR(IF(AND(AC422&gt;=0,D422&gt;=AC422+INDEX('Facilities'!$AK$9:$AK$108,MATCH(C422,'Facilities'!$C$9:$C$108,0))),(H422+L422)*AM422,0),"Unavailable"))</x:f>
        <x:v>0</x:v>
      </x:c>
      <x:c r="N422" s="23" t="n">
        <x:f>IF(C422="","",IFERROR(IF(AND(AC422&gt;=0,D422&gt;=AC422+INDEX('Facilities'!$AK$9:$AK$108,MATCH(C422,'Facilities'!$C$9:$C$108,0))),H422+L422-M422,0),"Unavailable"))</x:f>
        <x:v>0</x:v>
      </x:c>
      <x:c r="O422" s="21" t="n">
        <x:f>IF(C422="","",IFERROR(MAX(0,G422+J422-K422-L422),"Unavailable"))</x:f>
        <x:v>2.5686199072800004</x:v>
      </x:c>
      <x:c r="P422" s="21" t="n">
        <x:f>IF(C422="","",IFERROR(MAX(0,H422+L422-M422-N422),"Unavailable"))</x:f>
        <x:v>0</x:v>
      </x:c>
      <x:c r="Q422" s="23" t="n">
        <x:f>IF(C422="","",IFERROR(IF(OR(D422&gt;=INDEX('Facilities'!$J$9:$J$108,MATCH(C422,'Facilities'!$C$9:$C$108,0)),AND(AC422&gt;=0,AC422&lt;=D422)),0,MAX(0,I422-J422)),"Unavailable"))</x:f>
        <x:v>0.31758975</x:v>
      </x:c>
      <x:c r="R422" s="30" t="n">
        <x:f>IF(C422="","",IFERROR(INDEX(Credit!$Q$409:$Q$508,MATCH(F422,Credit!$C$409:$C$508,0)),"Unavailable"))</x:f>
        <x:v>0.04223828753470357</x:v>
      </x:c>
      <x:c r="S422" s="30" t="n">
        <x:f>IF(C422="","",IFERROR(INDEX(Credit!$R$409:$R$508,MATCH(F422,Credit!$C$409:$C$508,0)),"Unavailable"))</x:f>
        <x:v>0.32243712</x:v>
      </x:c>
      <x:c r="T422" s="23" t="n">
        <x:f>IF(C422="","",IFERROR(IF(P422&gt;0,3,IF(OR(INDEX('Facilities'!$AD$9:$AD$108,MATCH(C422,'Facilities'!$C$9:$C$108,0))=2,AND(R422&gt;=INDEX('Facilities'!$L$9:$L$108,MATCH(C422,'Facilities'!$C$9:$C$108,0))*Settings!$F$19,R422-INDEX('Facilities'!$L$9:$L$108,MATCH(C422,'Facilities'!$C$9:$C$108,0))&gt;=Settings!$F$20)),2,1)),"Unavailable"))</x:f>
        <x:v>2</x:v>
      </x:c>
      <x:c r="U422" s="23" t="n">
        <x:f>IF(C422="","",IF(AQ422&lt;&gt;"Ready","Unavailable",IF(C422="","",O422*(1-(1-S422)/(1+INDEX('Facilities'!$K$9:$K$108,MATCH(C422,'Facilities'!$C$9:$C$108,0)))^INDEX('Facilities'!$AK$9:$AK$108,MATCH(C422,'Facilities'!$C$9:$C$108,0)))*R422/(1+INDEX('Facilities'!$K$9:$K$108,MATCH(C422,'Facilities'!$C$9:$C$108,0)))*IF(ABS(1-(1-R422)*(1-INDEX('Facilities'!$R$9:$R$108,MATCH(C422,'Facilities'!$C$9:$C$108,0)))/(1+INDEX('Facilities'!$K$9:$K$108,MATCH(C422,'Facilities'!$C$9:$C$108,0))))&lt;0.000000001,IF(T422=1,MIN(1,AJ422),AJ422),(1-((1-R422)*(1-INDEX('Facilities'!$R$9:$R$108,MATCH(C422,'Facilities'!$C$9:$C$108,0)))/(1+INDEX('Facilities'!$K$9:$K$108,MATCH(C422,'Facilities'!$C$9:$C$108,0))))^IF(T422=1,MIN(1,AJ422),AJ422))/(1-(1-R422)*(1-INDEX('Facilities'!$R$9:$R$108,MATCH(C422,'Facilities'!$C$9:$C$108,0)))/(1+INDEX('Facilities'!$K$9:$K$108,MATCH(C422,'Facilities'!$C$9:$C$108,0)))))+AL422)))</x:f>
        <x:v>0.042101644198981096</x:v>
      </x:c>
      <x:c r="V422" s="23" t="n">
        <x:f>IF(C422="","",IF(AQ422&lt;&gt;"Ready","Unavailable",IF(C422="","",Q422*INDEX('Facilities'!$I$9:$I$108,MATCH(C422,'Facilities'!$C$9:$C$108,0))*(1-(1-S422)/(1+INDEX('Facilities'!$K$9:$K$108,MATCH(C422,'Facilities'!$C$9:$C$108,0)))^INDEX('Facilities'!$AK$9:$AK$108,MATCH(C422,'Facilities'!$C$9:$C$108,0)))*R422/(1+INDEX('Facilities'!$K$9:$K$108,MATCH(C422,'Facilities'!$C$9:$C$108,0)))*IF(ABS(1-(1-R422)*(1-0)/(1+INDEX('Facilities'!$K$9:$K$108,MATCH(C422,'Facilities'!$C$9:$C$108,0))))&lt;0.000000001,IF(T422=1,MIN(1,AJ422),AJ422),(1-((1-R422)*(1-0)/(1+INDEX('Facilities'!$K$9:$K$108,MATCH(C422,'Facilities'!$C$9:$C$108,0))))^IF(T422=1,MIN(1,AJ422),AJ422))/(1-(1-R422)*(1-0)/(1+INDEX('Facilities'!$K$9:$K$108,MATCH(C422,'Facilities'!$C$9:$C$108,0))))))))</x:f>
        <x:v>0.0026027694128366425</x:v>
      </x:c>
      <x:c r="W422" s="21" t="n">
        <x:f>IF(C422="","",IFERROR(U322,"Unavailable"))</x:f>
        <x:v>0.08937750061401475</x:v>
      </x:c>
      <x:c r="X422" s="21" t="n">
        <x:f>IF(C422="","",IFERROR(V322,"Unavailable"))</x:f>
        <x:v>0.00545928923603872</x:v>
      </x:c>
      <x:c r="Y422" s="21" t="n">
        <x:f>IF(C422="","",IF(AQ422&lt;&gt;"Ready","Unavailable",IF(C422="","",U422-W422+V422-X422+N422+AG422)))</x:f>
        <x:v>-0.050132376238235736</x:v>
      </x:c>
      <x:c r="Z422" s="23" t="n">
        <x:f>IF(C422="","",IF(AQ422&lt;&gt;"Ready","Unavailable",IF(C422="","",(G422+O422+L422)/2*INDEX('Facilities'!$T$9:$T$108,MATCH(C422,'Facilities'!$C$9:$C$108,0))+AG422)))</x:f>
        <x:v>0.25975429925580007</x:v>
      </x:c>
      <x:c r="AA422" s="23" t="n">
        <x:f>IF(C422="","",IF(AQ422&lt;&gt;"Ready","Unavailable",IF(C422="","",O422*(1-IF(INDEX('Facilities'!$AA$9:$AA$108,MATCH(C422,'Facilities'!$C$9:$C$108,0))=0,0,MIN(1,INDEX('Facilities'!$X$9:$X$108,MATCH(C422,'Facilities'!$C$9:$C$108,0))/INDEX('Facilities'!$AA$9:$AA$108,MATCH(C422,'Facilities'!$C$9:$C$108,0)))))*AF422+P422*(1-IF(INDEX('Facilities'!$AA$9:$AA$108,MATCH(C422,'Facilities'!$C$9:$C$108,0))=0,0,MIN(1,INDEX('Facilities'!$X$9:$X$108,MATCH(C422,'Facilities'!$C$9:$C$108,0))/INDEX('Facilities'!$AA$9:$AA$108,MATCH(C422,'Facilities'!$C$9:$C$108,0)))))*INDEX('Facilities'!$AJ$9:$AJ$108,MATCH(C422,'Facilities'!$C$9:$C$108,0))+Q422*INDEX('Facilities'!$AI$9:$AI$108,MATCH(C422,'Facilities'!$C$9:$C$108,0))*AF422)))</x:f>
        <x:v>3.3846097267401127</x:v>
      </x:c>
      <x:c r="AB422" s="21" t="n">
        <x:f>IF(C422="","",O422+P422-AD422)</x:f>
        <x:v>-0.3312717487200003</x:v>
      </x:c>
      <x:c r="AC422" s="23" t="n">
        <x:f>IF(C422="","",IFERROR(IF(INDEX('Facilities'!$AD$9:$AD$108,MATCH(C422,'Facilities'!$C$9:$C$108,0))=3,0,IF(INDEX('Facilities'!$AN$9:$AN$108,MATCH(C422,'Facilities'!$C$9:$C$108,0))=0,-1,INDEX('Facilities'!$AN$9:$AN$108,MATCH(C422,'Facilities'!$C$9:$C$108,0)))),"Unavailable"))</x:f>
        <x:v>-1</x:v>
      </x:c>
      <x:c r="AD422" s="21" t="n">
        <x:f>IF(C422="","",IFERROR(G422+H422,"Unavailable"))</x:f>
        <x:v>2.8998916560000008</x:v>
      </x:c>
      <x:c r="AE422" s="21" t="n">
        <x:f>IF(C422="","",IF(AQ422&lt;&gt;"Ready","Unavailable",IF(C422="","",O422+P422-AD422-J422+K422+M422+N422)))</x:f>
        <x:v>-2.7755575615628914e-16</x:v>
      </x:c>
      <x:c r="AF422" s="30" t="n">
        <x:f>IF(C422="","",IFERROR(INDEX('Facilities'!$S$9:$S$108,MATCH(C422,'Facilities'!$C$9:$C$108,0))*'Scenario Paths'!J75,"Unavailable"))</x:f>
        <x:v>1.25</x:v>
      </x:c>
      <x:c r="AG422" s="23" t="n">
        <x:f>IF(C422="","",IF(AQ422&lt;&gt;"Ready","Unavailable",IF(C422="","",IF(H422&gt;0,MAX(0,H422-AK422)*((1+INDEX('Facilities'!$K$9:$K$108,MATCH(C422,'Facilities'!$C$9:$C$108,0)))^MIN(1,MAX(0,AC422+INDEX('Facilities'!$AK$9:$AK$108,MATCH(C422,'Facilities'!$C$9:$C$108,0))-D422+1))-1),0))))</x:f>
        <x:v>0</x:v>
      </x:c>
      <x:c r="AH422" s="21" t="n">
        <x:f>IF(C422="","",IF(AQ422&lt;&gt;"Ready","Unavailable",IF(C422="","",O422+P422)))</x:f>
        <x:v>2.5686199072800004</x:v>
      </x:c>
      <x:c r="AI422" s="21" t="n">
        <x:f>IF(C422="","",IF(AQ422&lt;&gt;"Ready","Unavailable",IF(C422="","",Z422-Y422)))</x:f>
        <x:v>0.3098866754940358</x:v>
      </x:c>
      <x:c r="AJ422" s="23" t="n">
        <x:f>IF(C422="","",IFERROR(MAX(0,INDEX('Facilities'!$J$9:$J$108,MATCH(C422,'Facilities'!$C$9:$C$108,0))-D422),"Unavailable"))</x:f>
        <x:v>1</x:v>
      </x:c>
      <x:c r="AK422" s="21" t="n">
        <x:f>IF(C422="","",IFERROR(AL322,"Unavailable"))</x:f>
        <x:v>0</x:v>
      </x:c>
      <x:c r="AL422" s="23" t="n">
        <x:f>IF(C422="","",IFERROR(IF(P422&gt;0,P422*(1-AM422/(1+INDEX('Facilities'!$K$9:$K$108,MATCH(C422,'Facilities'!$C$9:$C$108,0)))^MAX(0,AC422+INDEX('Facilities'!$AK$9:$AK$108,MATCH(C422,'Facilities'!$C$9:$C$108,0))-D422)),0),"Unavailable"))</x:f>
        <x:v>0</x:v>
      </x:c>
      <x:c r="AM422" s="30" t="n">
        <x:f>IF(C422="","",IFERROR(INDEX('Facilities'!$AL$9:$AL$108,MATCH(C422,'Facilities'!$C$9:$C$108,0)),"Unavailable"))</x:f>
        <x:v>0.55</x:v>
      </x:c>
      <x:c r="AN422" s="30" t="n">
        <x:f>IF(C422="","",IFERROR(INDEX(Credit!$T$409:$T$508,MATCH(F422,Credit!$C$409:$C$508,0)),"Unavailable"))</x:f>
        <x:v>0.0035840000000000004</x:v>
      </x:c>
      <x:c r="AO422" s="23" t="n">
        <x:f>IF(C422="","",IF(AQ422&lt;&gt;"Ready","Unavailable",IF(C422="","",O422+P422+Q422*INDEX('Facilities'!$I$9:$I$108,MATCH(C422,'Facilities'!$C$9:$C$108,0)))))</x:f>
        <x:v>2.7274147822800003</x:v>
      </x:c>
      <x:c r="AP422" s="21" t="n">
        <x:f>IF(C422="","",IF(AQ422&lt;&gt;"Ready","Unavailable",IF(C422="","",AH422-U422)))</x:f>
        <x:v>2.5265182630810195</x:v>
      </x:c>
      <x:c r="AQ422" s="23" t="str">
        <x:f>IFERROR(IF(C422="","",IF(AND(INDEX('Facilities'!$AF$9:$AF$108,MATCH(C422,'Facilities'!$C$9:$C$108,0))="Ready",INDEX(Credit!$U$409:$U$508,MATCH(F422,Credit!$C$409:$C$508,0))="Ready",ISNUMBER(W422)),"Ready","Review inputs")),"Review inputs")</x:f>
        <x:v>Ready</x:v>
      </x:c>
      <x:c r="AR422" s="23" t="n">
        <x:f>IF(C422="","",IF(AQ422&lt;&gt;"Ready","Unavailable",IF(C422="","",IF(O422=0,0,(IF(AJ422&lt;=1,O422,O422*INDEX('Facilities'!$R$9:$R$108,MATCH(C422,'Facilities'!$C$9:$C$108,0)))+O422*INDEX('Facilities'!$T$9:$T$108,MATCH(C422,'Facilities'!$C$9:$C$108,0)))/12))))</x:f>
        <x:v>0.23438656653930004</x:v>
      </x:c>
    </x:row>
    <x:row r="423" ht="26" customHeight="1">
      <x:c r="A423" s="1"/>
      <x:c r="B423" s="1"/>
      <x:c r="C423" s="9" t="str">
        <x:f>IF(Facilities!C23="","",Facilities!C23)</x:f>
        <x:v>F015</x:v>
      </x:c>
      <x:c r="D423" s="3" t="n">
        <x:v>5</x:v>
      </x:c>
      <x:c r="E423" s="9" t="n">
        <x:f>Settings!$F$18+4</x:f>
        <x:v>2031</x:v>
      </x:c>
      <x:c r="F423" s="9" t="str">
        <x:f>IF(C423="","",IFERROR(INDEX('Facilities'!$D$9:$D$108,MATCH(C423,'Facilities'!$C$9:$C$108,0)),"Unavailable"))</x:f>
        <x:v>B008</x:v>
      </x:c>
      <x:c r="G423" s="21" t="n">
        <x:f>IF(C423="","",IFERROR(O323,"Unavailable"))</x:f>
        <x:v>4.891609431999999</x:v>
      </x:c>
      <x:c r="H423" s="21" t="n">
        <x:f>IF(C423="","",IFERROR(P323,"Unavailable"))</x:f>
        <x:v>0</x:v>
      </x:c>
      <x:c r="I423" s="21" t="n">
        <x:f>IF(C423="","",IFERROR(Q323,"Unavailable"))</x:f>
        <x:v>1.002915</x:v>
      </x:c>
      <x:c r="J423" s="23" t="n">
        <x:f>IF(C423="","",IFERROR(IF(OR(H423&gt;0,AND(AC423&gt;=0,AC423&lt;D423),D423&gt;INDEX('Facilities'!$J$9:$J$108,MATCH(C423,'Facilities'!$C$9:$C$108,0))),0,I423*'Scenario Paths'!J81),"Unavailable"))</x:f>
        <x:v>0.05014575</x:v>
      </x:c>
      <x:c r="K423" s="23" t="n">
        <x:f>IF(C423="","",IFERROR(IF(OR(H423&gt;0,AND(AC423&gt;=0,AC423=D423)),0,IF(D423&gt;=INDEX('Facilities'!$J$9:$J$108,MATCH(C423,'Facilities'!$C$9:$C$108,0)),G423+J423,MIN(G423+J423,G423*INDEX('Facilities'!$R$9:$R$108,MATCH(C423,'Facilities'!$C$9:$C$108,0))))),"Unavailable"))</x:f>
        <x:v>0.5869931318399999</x:v>
      </x:c>
      <x:c r="L423" s="21" t="n">
        <x:f>IF(C423="","",IFERROR(IF(AND(AC423=D423,AC423&gt;0),MAX(0,G423+J423-K423),0),"Unavailable"))</x:f>
        <x:v>0</x:v>
      </x:c>
      <x:c r="M423" s="23" t="n">
        <x:f>IF(C423="","",IFERROR(IF(AND(AC423&gt;=0,D423&gt;=AC423+INDEX('Facilities'!$AK$9:$AK$108,MATCH(C423,'Facilities'!$C$9:$C$108,0))),(H423+L423)*AM423,0),"Unavailable"))</x:f>
        <x:v>0</x:v>
      </x:c>
      <x:c r="N423" s="23" t="n">
        <x:f>IF(C423="","",IFERROR(IF(AND(AC423&gt;=0,D423&gt;=AC423+INDEX('Facilities'!$AK$9:$AK$108,MATCH(C423,'Facilities'!$C$9:$C$108,0))),H423+L423-M423,0),"Unavailable"))</x:f>
        <x:v>0</x:v>
      </x:c>
      <x:c r="O423" s="21" t="n">
        <x:f>IF(C423="","",IFERROR(MAX(0,G423+J423-K423-L423),"Unavailable"))</x:f>
        <x:v>4.35476205016</x:v>
      </x:c>
      <x:c r="P423" s="21" t="n">
        <x:f>IF(C423="","",IFERROR(MAX(0,H423+L423-M423-N423),"Unavailable"))</x:f>
        <x:v>0</x:v>
      </x:c>
      <x:c r="Q423" s="23" t="n">
        <x:f>IF(C423="","",IFERROR(IF(OR(D423&gt;=INDEX('Facilities'!$J$9:$J$108,MATCH(C423,'Facilities'!$C$9:$C$108,0)),AND(AC423&gt;=0,AC423&lt;=D423)),0,MAX(0,I423-J423)),"Unavailable"))</x:f>
        <x:v>0.95276925</x:v>
      </x:c>
      <x:c r="R423" s="30" t="n">
        <x:f>IF(C423="","",IFERROR(INDEX(Credit!$Q$409:$Q$508,MATCH(F423,Credit!$C$409:$C$508,0)),"Unavailable"))</x:f>
        <x:v>0.01946470138759024</x:v>
      </x:c>
      <x:c r="S423" s="30" t="n">
        <x:f>IF(C423="","",IFERROR(INDEX(Credit!$R$409:$R$508,MATCH(F423,Credit!$C$409:$C$508,0)),"Unavailable"))</x:f>
        <x:v>0.36450560000000004</x:v>
      </x:c>
      <x:c r="T423" s="23" t="n">
        <x:f>IF(C423="","",IFERROR(IF(P423&gt;0,3,IF(OR(INDEX('Facilities'!$AD$9:$AD$108,MATCH(C423,'Facilities'!$C$9:$C$108,0))=2,AND(R423&gt;=INDEX('Facilities'!$L$9:$L$108,MATCH(C423,'Facilities'!$C$9:$C$108,0))*Settings!$F$19,R423-INDEX('Facilities'!$L$9:$L$108,MATCH(C423,'Facilities'!$C$9:$C$108,0))&gt;=Settings!$F$20)),2,1)),"Unavailable"))</x:f>
        <x:v>1</x:v>
      </x:c>
      <x:c r="U423" s="23" t="n">
        <x:f>IF(C423="","",IF(AQ423&lt;&gt;"Ready","Unavailable",IF(C423="","",O423*(1-(1-S423)/(1+INDEX('Facilities'!$K$9:$K$108,MATCH(C423,'Facilities'!$C$9:$C$108,0)))^INDEX('Facilities'!$AK$9:$AK$108,MATCH(C423,'Facilities'!$C$9:$C$108,0)))*R423/(1+INDEX('Facilities'!$K$9:$K$108,MATCH(C423,'Facilities'!$C$9:$C$108,0)))*IF(ABS(1-(1-R423)*(1-INDEX('Facilities'!$R$9:$R$108,MATCH(C423,'Facilities'!$C$9:$C$108,0)))/(1+INDEX('Facilities'!$K$9:$K$108,MATCH(C423,'Facilities'!$C$9:$C$108,0))))&lt;0.000000001,IF(T423=1,MIN(1,AJ423),AJ423),(1-((1-R423)*(1-INDEX('Facilities'!$R$9:$R$108,MATCH(C423,'Facilities'!$C$9:$C$108,0)))/(1+INDEX('Facilities'!$K$9:$K$108,MATCH(C423,'Facilities'!$C$9:$C$108,0))))^IF(T423=1,MIN(1,AJ423),AJ423))/(1-(1-R423)*(1-INDEX('Facilities'!$R$9:$R$108,MATCH(C423,'Facilities'!$C$9:$C$108,0)))/(1+INDEX('Facilities'!$K$9:$K$108,MATCH(C423,'Facilities'!$C$9:$C$108,0)))))+AL423)))</x:f>
        <x:v>0.03572384652652928</x:v>
      </x:c>
      <x:c r="V423" s="23" t="n">
        <x:f>IF(C423="","",IF(AQ423&lt;&gt;"Ready","Unavailable",IF(C423="","",Q423*INDEX('Facilities'!$I$9:$I$108,MATCH(C423,'Facilities'!$C$9:$C$108,0))*(1-(1-S423)/(1+INDEX('Facilities'!$K$9:$K$108,MATCH(C423,'Facilities'!$C$9:$C$108,0)))^INDEX('Facilities'!$AK$9:$AK$108,MATCH(C423,'Facilities'!$C$9:$C$108,0)))*R423/(1+INDEX('Facilities'!$K$9:$K$108,MATCH(C423,'Facilities'!$C$9:$C$108,0)))*IF(ABS(1-(1-R423)*(1-0)/(1+INDEX('Facilities'!$K$9:$K$108,MATCH(C423,'Facilities'!$C$9:$C$108,0))))&lt;0.000000001,IF(T423=1,MIN(1,AJ423),AJ423),(1-((1-R423)*(1-0)/(1+INDEX('Facilities'!$K$9:$K$108,MATCH(C423,'Facilities'!$C$9:$C$108,0))))^IF(T423=1,MIN(1,AJ423),AJ423))/(1-(1-R423)*(1-0)/(1+INDEX('Facilities'!$K$9:$K$108,MATCH(C423,'Facilities'!$C$9:$C$108,0))))))))</x:f>
        <x:v>0.003907972705528866</x:v>
      </x:c>
      <x:c r="W423" s="21" t="n">
        <x:f>IF(C423="","",IFERROR(U323,"Unavailable"))</x:f>
        <x:v>0.04708745503952143</x:v>
      </x:c>
      <x:c r="X423" s="21" t="n">
        <x:f>IF(C423="","",IFERROR(V323,"Unavailable"))</x:f>
        <x:v>0.004827114227684075</x:v>
      </x:c>
      <x:c r="Y423" s="21" t="n">
        <x:f>IF(C423="","",IF(AQ423&lt;&gt;"Ready","Unavailable",IF(C423="","",U423-W423+V423-X423+N423+AG423)))</x:f>
        <x:v>-0.012282750035147356</x:v>
      </x:c>
      <x:c r="Z423" s="23" t="n">
        <x:f>IF(C423="","",IF(AQ423&lt;&gt;"Ready","Unavailable",IF(C423="","",(G423+O423+L423)/2*INDEX('Facilities'!$T$9:$T$108,MATCH(C423,'Facilities'!$C$9:$C$108,0))+AG423)))</x:f>
        <x:v>0.43920264540259996</x:v>
      </x:c>
      <x:c r="AA423" s="23" t="n">
        <x:f>IF(C423="","",IF(AQ423&lt;&gt;"Ready","Unavailable",IF(C423="","",O423*(1-IF(INDEX('Facilities'!$AA$9:$AA$108,MATCH(C423,'Facilities'!$C$9:$C$108,0))=0,0,MIN(1,INDEX('Facilities'!$X$9:$X$108,MATCH(C423,'Facilities'!$C$9:$C$108,0))/INDEX('Facilities'!$AA$9:$AA$108,MATCH(C423,'Facilities'!$C$9:$C$108,0)))))*AF423+P423*(1-IF(INDEX('Facilities'!$AA$9:$AA$108,MATCH(C423,'Facilities'!$C$9:$C$108,0))=0,0,MIN(1,INDEX('Facilities'!$X$9:$X$108,MATCH(C423,'Facilities'!$C$9:$C$108,0))/INDEX('Facilities'!$AA$9:$AA$108,MATCH(C423,'Facilities'!$C$9:$C$108,0)))))*INDEX('Facilities'!$AJ$9:$AJ$108,MATCH(C423,'Facilities'!$C$9:$C$108,0))+Q423*INDEX('Facilities'!$AI$9:$AI$108,MATCH(C423,'Facilities'!$C$9:$C$108,0))*AF423)))</x:f>
        <x:v>5.968386198737408</x:v>
      </x:c>
      <x:c r="AB423" s="21" t="n">
        <x:f>IF(C423="","",O423+P423-AD423)</x:f>
        <x:v>-0.5368473818399995</x:v>
      </x:c>
      <x:c r="AC423" s="23" t="n">
        <x:f>IF(C423="","",IFERROR(IF(INDEX('Facilities'!$AD$9:$AD$108,MATCH(C423,'Facilities'!$C$9:$C$108,0))=3,0,IF(INDEX('Facilities'!$AN$9:$AN$108,MATCH(C423,'Facilities'!$C$9:$C$108,0))=0,-1,INDEX('Facilities'!$AN$9:$AN$108,MATCH(C423,'Facilities'!$C$9:$C$108,0)))),"Unavailable"))</x:f>
        <x:v>-1</x:v>
      </x:c>
      <x:c r="AD423" s="21" t="n">
        <x:f>IF(C423="","",IFERROR(G423+H423,"Unavailable"))</x:f>
        <x:v>4.891609431999999</x:v>
      </x:c>
      <x:c r="AE423" s="21" t="n">
        <x:f>IF(C423="","",IF(AQ423&lt;&gt;"Ready","Unavailable",IF(C423="","",O423+P423-AD423-J423+K423+M423+N423)))</x:f>
        <x:v>4.440892098500626e-16</x:v>
      </x:c>
      <x:c r="AF423" s="30" t="n">
        <x:f>IF(C423="","",IFERROR(INDEX('Facilities'!$S$9:$S$108,MATCH(C423,'Facilities'!$C$9:$C$108,0))*'Scenario Paths'!J75,"Unavailable"))</x:f>
        <x:v>1.25</x:v>
      </x:c>
      <x:c r="AG423" s="23" t="n">
        <x:f>IF(C423="","",IF(AQ423&lt;&gt;"Ready","Unavailable",IF(C423="","",IF(H423&gt;0,MAX(0,H423-AK423)*((1+INDEX('Facilities'!$K$9:$K$108,MATCH(C423,'Facilities'!$C$9:$C$108,0)))^MIN(1,MAX(0,AC423+INDEX('Facilities'!$AK$9:$AK$108,MATCH(C423,'Facilities'!$C$9:$C$108,0))-D423+1))-1),0))))</x:f>
        <x:v>0</x:v>
      </x:c>
      <x:c r="AH423" s="21" t="n">
        <x:f>IF(C423="","",IF(AQ423&lt;&gt;"Ready","Unavailable",IF(C423="","",O423+P423)))</x:f>
        <x:v>4.35476205016</x:v>
      </x:c>
      <x:c r="AI423" s="21" t="n">
        <x:f>IF(C423="","",IF(AQ423&lt;&gt;"Ready","Unavailable",IF(C423="","",Z423-Y423)))</x:f>
        <x:v>0.4514853954377473</x:v>
      </x:c>
      <x:c r="AJ423" s="23" t="n">
        <x:f>IF(C423="","",IFERROR(MAX(0,INDEX('Facilities'!$J$9:$J$108,MATCH(C423,'Facilities'!$C$9:$C$108,0))-D423),"Unavailable"))</x:f>
        <x:v>7</x:v>
      </x:c>
      <x:c r="AK423" s="21" t="n">
        <x:f>IF(C423="","",IFERROR(AL323,"Unavailable"))</x:f>
        <x:v>0</x:v>
      </x:c>
      <x:c r="AL423" s="23" t="n">
        <x:f>IF(C423="","",IFERROR(IF(P423&gt;0,P423*(1-AM423/(1+INDEX('Facilities'!$K$9:$K$108,MATCH(C423,'Facilities'!$C$9:$C$108,0)))^MAX(0,AC423+INDEX('Facilities'!$AK$9:$AK$108,MATCH(C423,'Facilities'!$C$9:$C$108,0))-D423)),0),"Unavailable"))</x:f>
        <x:v>0</x:v>
      </x:c>
      <x:c r="AM423" s="30" t="n">
        <x:f>IF(C423="","",IFERROR(INDEX('Facilities'!$AL$9:$AL$108,MATCH(C423,'Facilities'!$C$9:$C$108,0)),"Unavailable"))</x:f>
        <x:v>0.55</x:v>
      </x:c>
      <x:c r="AN423" s="30" t="n">
        <x:f>IF(C423="","",IFERROR(INDEX(Credit!$T$409:$T$508,MATCH(F423,Credit!$C$409:$C$508,0)),"Unavailable"))</x:f>
        <x:v>0.007040000000000001</x:v>
      </x:c>
      <x:c r="AO423" s="23" t="n">
        <x:f>IF(C423="","",IF(AQ423&lt;&gt;"Ready","Unavailable",IF(C423="","",O423+P423+Q423*INDEX('Facilities'!$I$9:$I$108,MATCH(C423,'Facilities'!$C$9:$C$108,0)))))</x:f>
        <x:v>4.831146675159999</x:v>
      </x:c>
      <x:c r="AP423" s="21" t="n">
        <x:f>IF(C423="","",IF(AQ423&lt;&gt;"Ready","Unavailable",IF(C423="","",AH423-U423)))</x:f>
        <x:v>4.31903820363347</x:v>
      </x:c>
      <x:c r="AQ423" s="23" t="str">
        <x:f>IFERROR(IF(C423="","",IF(AND(INDEX('Facilities'!$AF$9:$AF$108,MATCH(C423,'Facilities'!$C$9:$C$108,0))="Ready",INDEX(Credit!$U$409:$U$508,MATCH(F423,Credit!$C$409:$C$508,0))="Ready",ISNUMBER(W423)),"Ready","Review inputs")),"Review inputs")</x:f>
        <x:v>Ready</x:v>
      </x:c>
      <x:c r="AR423" s="23" t="n">
        <x:f>IF(C423="","",IF(AQ423&lt;&gt;"Ready","Unavailable",IF(C423="","",IF(O423=0,0,(IF(AJ423&lt;=1,O423,O423*INDEX('Facilities'!$R$9:$R$108,MATCH(C423,'Facilities'!$C$9:$C$108,0)))+O423*INDEX('Facilities'!$T$9:$T$108,MATCH(C423,'Facilities'!$C$9:$C$108,0)))/12))))</x:f>
        <x:v>0.07802282006536666</x:v>
      </x:c>
    </x:row>
    <x:row r="424" ht="26" customHeight="1">
      <x:c r="A424" s="1"/>
      <x:c r="B424" s="1"/>
      <x:c r="C424" s="9" t="str">
        <x:f>IF(Facilities!C24="","",Facilities!C24)</x:f>
        <x:v>F016</x:v>
      </x:c>
      <x:c r="D424" s="3" t="n">
        <x:v>5</x:v>
      </x:c>
      <x:c r="E424" s="9" t="n">
        <x:f>Settings!$F$18+4</x:f>
        <x:v>2031</x:v>
      </x:c>
      <x:c r="F424" s="9" t="str">
        <x:f>IF(C424="","",IFERROR(INDEX('Facilities'!$D$9:$D$108,MATCH(C424,'Facilities'!$C$9:$C$108,0)),"Unavailable"))</x:f>
        <x:v>B008</x:v>
      </x:c>
      <x:c r="G424" s="21" t="n">
        <x:f>IF(C424="","",IFERROR(O324,"Unavailable"))</x:f>
        <x:v>3.109785032000001</x:v>
      </x:c>
      <x:c r="H424" s="21" t="n">
        <x:f>IF(C424="","",IFERROR(P324,"Unavailable"))</x:f>
        <x:v>0</x:v>
      </x:c>
      <x:c r="I424" s="21" t="n">
        <x:f>IF(C424="","",IFERROR(Q324,"Unavailable"))</x:f>
        <x:v>0.334305</x:v>
      </x:c>
      <x:c r="J424" s="23" t="n">
        <x:f>IF(C424="","",IFERROR(IF(OR(H424&gt;0,AND(AC424&gt;=0,AC424&lt;D424),D424&gt;INDEX('Facilities'!$J$9:$J$108,MATCH(C424,'Facilities'!$C$9:$C$108,0))),0,I424*'Scenario Paths'!J81),"Unavailable"))</x:f>
        <x:v>0.01671525</x:v>
      </x:c>
      <x:c r="K424" s="23" t="n">
        <x:f>IF(C424="","",IFERROR(IF(OR(H424&gt;0,AND(AC424&gt;=0,AC424=D424)),0,IF(D424&gt;=INDEX('Facilities'!$J$9:$J$108,MATCH(C424,'Facilities'!$C$9:$C$108,0)),G424+J424,MIN(G424+J424,G424*INDEX('Facilities'!$R$9:$R$108,MATCH(C424,'Facilities'!$C$9:$C$108,0))))),"Unavailable"))</x:f>
        <x:v>0.3731742038400001</x:v>
      </x:c>
      <x:c r="L424" s="21" t="n">
        <x:f>IF(C424="","",IFERROR(IF(AND(AC424=D424,AC424&gt;0),MAX(0,G424+J424-K424),0),"Unavailable"))</x:f>
        <x:v>0</x:v>
      </x:c>
      <x:c r="M424" s="23" t="n">
        <x:f>IF(C424="","",IFERROR(IF(AND(AC424&gt;=0,D424&gt;=AC424+INDEX('Facilities'!$AK$9:$AK$108,MATCH(C424,'Facilities'!$C$9:$C$108,0))),(H424+L424)*AM424,0),"Unavailable"))</x:f>
        <x:v>0</x:v>
      </x:c>
      <x:c r="N424" s="23" t="n">
        <x:f>IF(C424="","",IFERROR(IF(AND(AC424&gt;=0,D424&gt;=AC424+INDEX('Facilities'!$AK$9:$AK$108,MATCH(C424,'Facilities'!$C$9:$C$108,0))),H424+L424-M424,0),"Unavailable"))</x:f>
        <x:v>0</x:v>
      </x:c>
      <x:c r="O424" s="21" t="n">
        <x:f>IF(C424="","",IFERROR(MAX(0,G424+J424-K424-L424),"Unavailable"))</x:f>
        <x:v>2.7533260781600006</x:v>
      </x:c>
      <x:c r="P424" s="21" t="n">
        <x:f>IF(C424="","",IFERROR(MAX(0,H424+L424-M424-N424),"Unavailable"))</x:f>
        <x:v>0</x:v>
      </x:c>
      <x:c r="Q424" s="23" t="n">
        <x:f>IF(C424="","",IFERROR(IF(OR(D424&gt;=INDEX('Facilities'!$J$9:$J$108,MATCH(C424,'Facilities'!$C$9:$C$108,0)),AND(AC424&gt;=0,AC424&lt;=D424)),0,MAX(0,I424-J424)),"Unavailable"))</x:f>
        <x:v>0.31758975</x:v>
      </x:c>
      <x:c r="R424" s="30" t="n">
        <x:f>IF(C424="","",IFERROR(INDEX(Credit!$Q$409:$Q$508,MATCH(F424,Credit!$C$409:$C$508,0)),"Unavailable"))</x:f>
        <x:v>0.01946470138759024</x:v>
      </x:c>
      <x:c r="S424" s="30" t="n">
        <x:f>IF(C424="","",IFERROR(INDEX(Credit!$R$409:$R$508,MATCH(F424,Credit!$C$409:$C$508,0)),"Unavailable"))</x:f>
        <x:v>0.36450560000000004</x:v>
      </x:c>
      <x:c r="T424" s="23" t="n">
        <x:f>IF(C424="","",IFERROR(IF(P424&gt;0,3,IF(OR(INDEX('Facilities'!$AD$9:$AD$108,MATCH(C424,'Facilities'!$C$9:$C$108,0))=2,AND(R424&gt;=INDEX('Facilities'!$L$9:$L$108,MATCH(C424,'Facilities'!$C$9:$C$108,0))*Settings!$F$19,R424-INDEX('Facilities'!$L$9:$L$108,MATCH(C424,'Facilities'!$C$9:$C$108,0))&gt;=Settings!$F$20)),2,1)),"Unavailable"))</x:f>
        <x:v>1</x:v>
      </x:c>
      <x:c r="U424" s="23" t="n">
        <x:f>IF(C424="","",IF(AQ424&lt;&gt;"Ready","Unavailable",IF(C424="","",O424*(1-(1-S424)/(1+INDEX('Facilities'!$K$9:$K$108,MATCH(C424,'Facilities'!$C$9:$C$108,0)))^INDEX('Facilities'!$AK$9:$AK$108,MATCH(C424,'Facilities'!$C$9:$C$108,0)))*R424/(1+INDEX('Facilities'!$K$9:$K$108,MATCH(C424,'Facilities'!$C$9:$C$108,0)))*IF(ABS(1-(1-R424)*(1-INDEX('Facilities'!$R$9:$R$108,MATCH(C424,'Facilities'!$C$9:$C$108,0)))/(1+INDEX('Facilities'!$K$9:$K$108,MATCH(C424,'Facilities'!$C$9:$C$108,0))))&lt;0.000000001,IF(T424=1,MIN(1,AJ424),AJ424),(1-((1-R424)*(1-INDEX('Facilities'!$R$9:$R$108,MATCH(C424,'Facilities'!$C$9:$C$108,0)))/(1+INDEX('Facilities'!$K$9:$K$108,MATCH(C424,'Facilities'!$C$9:$C$108,0))))^IF(T424=1,MIN(1,AJ424),AJ424))/(1-(1-R424)*(1-INDEX('Facilities'!$R$9:$R$108,MATCH(C424,'Facilities'!$C$9:$C$108,0)))/(1+INDEX('Facilities'!$K$9:$K$108,MATCH(C424,'Facilities'!$C$9:$C$108,0)))))+AL424)))</x:f>
        <x:v>0.022586629790728698</x:v>
      </x:c>
      <x:c r="V424" s="23" t="n">
        <x:f>IF(C424="","",IF(AQ424&lt;&gt;"Ready","Unavailable",IF(C424="","",Q424*INDEX('Facilities'!$I$9:$I$108,MATCH(C424,'Facilities'!$C$9:$C$108,0))*(1-(1-S424)/(1+INDEX('Facilities'!$K$9:$K$108,MATCH(C424,'Facilities'!$C$9:$C$108,0)))^INDEX('Facilities'!$AK$9:$AK$108,MATCH(C424,'Facilities'!$C$9:$C$108,0)))*R424/(1+INDEX('Facilities'!$K$9:$K$108,MATCH(C424,'Facilities'!$C$9:$C$108,0)))*IF(ABS(1-(1-R424)*(1-0)/(1+INDEX('Facilities'!$K$9:$K$108,MATCH(C424,'Facilities'!$C$9:$C$108,0))))&lt;0.000000001,IF(T424=1,MIN(1,AJ424),AJ424),(1-((1-R424)*(1-0)/(1+INDEX('Facilities'!$K$9:$K$108,MATCH(C424,'Facilities'!$C$9:$C$108,0))))^IF(T424=1,MIN(1,AJ424),AJ424))/(1-(1-R424)*(1-0)/(1+INDEX('Facilities'!$K$9:$K$108,MATCH(C424,'Facilities'!$C$9:$C$108,0))))))))</x:f>
        <x:v>0.001302657568509622</x:v>
      </x:c>
      <x:c r="W424" s="21" t="n">
        <x:f>IF(C424="","",IFERROR(U324,"Unavailable"))</x:f>
        <x:v>0.029935313706557744</x:v>
      </x:c>
      <x:c r="X424" s="21" t="n">
        <x:f>IF(C424="","",IFERROR(V324,"Unavailable"))</x:f>
        <x:v>0.001609038075894692</x:v>
      </x:c>
      <x:c r="Y424" s="21" t="n">
        <x:f>IF(C424="","",IF(AQ424&lt;&gt;"Ready","Unavailable",IF(C424="","",U424-W424+V424-X424+N424+AG424)))</x:f>
        <x:v>-0.007655064423214116</x:v>
      </x:c>
      <x:c r="Z424" s="23" t="n">
        <x:f>IF(C424="","",IF(AQ424&lt;&gt;"Ready","Unavailable",IF(C424="","",(G424+O424+L424)/2*INDEX('Facilities'!$T$9:$T$108,MATCH(C424,'Facilities'!$C$9:$C$108,0))+AG424)))</x:f>
        <x:v>0.2784977777326001</x:v>
      </x:c>
      <x:c r="AA424" s="23" t="n">
        <x:f>IF(C424="","",IF(AQ424&lt;&gt;"Ready","Unavailable",IF(C424="","",O424*(1-IF(INDEX('Facilities'!$AA$9:$AA$108,MATCH(C424,'Facilities'!$C$9:$C$108,0))=0,0,MIN(1,INDEX('Facilities'!$X$9:$X$108,MATCH(C424,'Facilities'!$C$9:$C$108,0))/INDEX('Facilities'!$AA$9:$AA$108,MATCH(C424,'Facilities'!$C$9:$C$108,0)))))*AF424+P424*(1-IF(INDEX('Facilities'!$AA$9:$AA$108,MATCH(C424,'Facilities'!$C$9:$C$108,0))=0,0,MIN(1,INDEX('Facilities'!$X$9:$X$108,MATCH(C424,'Facilities'!$C$9:$C$108,0))/INDEX('Facilities'!$AA$9:$AA$108,MATCH(C424,'Facilities'!$C$9:$C$108,0)))))*INDEX('Facilities'!$AJ$9:$AJ$108,MATCH(C424,'Facilities'!$C$9:$C$108,0))+Q424*INDEX('Facilities'!$AI$9:$AI$108,MATCH(C424,'Facilities'!$C$9:$C$108,0))*AF424)))</x:f>
        <x:v>3.5955473089838086</x:v>
      </x:c>
      <x:c r="AB424" s="21" t="n">
        <x:f>IF(C424="","",O424+P424-AD424)</x:f>
        <x:v>-0.35645895384000026</x:v>
      </x:c>
      <x:c r="AC424" s="23" t="n">
        <x:f>IF(C424="","",IFERROR(IF(INDEX('Facilities'!$AD$9:$AD$108,MATCH(C424,'Facilities'!$C$9:$C$108,0))=3,0,IF(INDEX('Facilities'!$AN$9:$AN$108,MATCH(C424,'Facilities'!$C$9:$C$108,0))=0,-1,INDEX('Facilities'!$AN$9:$AN$108,MATCH(C424,'Facilities'!$C$9:$C$108,0)))),"Unavailable"))</x:f>
        <x:v>-1</x:v>
      </x:c>
      <x:c r="AD424" s="21" t="n">
        <x:f>IF(C424="","",IFERROR(G424+H424,"Unavailable"))</x:f>
        <x:v>3.109785032000001</x:v>
      </x:c>
      <x:c r="AE424" s="21" t="n">
        <x:f>IF(C424="","",IF(AQ424&lt;&gt;"Ready","Unavailable",IF(C424="","",O424+P424-AD424-J424+K424+M424+N424)))</x:f>
        <x:v>-1.6653345369377348e-16</x:v>
      </x:c>
      <x:c r="AF424" s="30" t="n">
        <x:f>IF(C424="","",IFERROR(INDEX('Facilities'!$S$9:$S$108,MATCH(C424,'Facilities'!$C$9:$C$108,0))*'Scenario Paths'!J75,"Unavailable"))</x:f>
        <x:v>1.25</x:v>
      </x:c>
      <x:c r="AG424" s="23" t="n">
        <x:f>IF(C424="","",IF(AQ424&lt;&gt;"Ready","Unavailable",IF(C424="","",IF(H424&gt;0,MAX(0,H424-AK424)*((1+INDEX('Facilities'!$K$9:$K$108,MATCH(C424,'Facilities'!$C$9:$C$108,0)))^MIN(1,MAX(0,AC424+INDEX('Facilities'!$AK$9:$AK$108,MATCH(C424,'Facilities'!$C$9:$C$108,0))-D424+1))-1),0))))</x:f>
        <x:v>0</x:v>
      </x:c>
      <x:c r="AH424" s="21" t="n">
        <x:f>IF(C424="","",IF(AQ424&lt;&gt;"Ready","Unavailable",IF(C424="","",O424+P424)))</x:f>
        <x:v>2.7533260781600006</x:v>
      </x:c>
      <x:c r="AI424" s="21" t="n">
        <x:f>IF(C424="","",IF(AQ424&lt;&gt;"Ready","Unavailable",IF(C424="","",Z424-Y424)))</x:f>
        <x:v>0.2861528421558142</x:v>
      </x:c>
      <x:c r="AJ424" s="23" t="n">
        <x:f>IF(C424="","",IFERROR(MAX(0,INDEX('Facilities'!$J$9:$J$108,MATCH(C424,'Facilities'!$C$9:$C$108,0))-D424),"Unavailable"))</x:f>
        <x:v>7</x:v>
      </x:c>
      <x:c r="AK424" s="21" t="n">
        <x:f>IF(C424="","",IFERROR(AL324,"Unavailable"))</x:f>
        <x:v>0</x:v>
      </x:c>
      <x:c r="AL424" s="23" t="n">
        <x:f>IF(C424="","",IFERROR(IF(P424&gt;0,P424*(1-AM424/(1+INDEX('Facilities'!$K$9:$K$108,MATCH(C424,'Facilities'!$C$9:$C$108,0)))^MAX(0,AC424+INDEX('Facilities'!$AK$9:$AK$108,MATCH(C424,'Facilities'!$C$9:$C$108,0))-D424)),0),"Unavailable"))</x:f>
        <x:v>0</x:v>
      </x:c>
      <x:c r="AM424" s="30" t="n">
        <x:f>IF(C424="","",IFERROR(INDEX('Facilities'!$AL$9:$AL$108,MATCH(C424,'Facilities'!$C$9:$C$108,0)),"Unavailable"))</x:f>
        <x:v>0.55</x:v>
      </x:c>
      <x:c r="AN424" s="30" t="n">
        <x:f>IF(C424="","",IFERROR(INDEX(Credit!$T$409:$T$508,MATCH(F424,Credit!$C$409:$C$508,0)),"Unavailable"))</x:f>
        <x:v>0.007040000000000001</x:v>
      </x:c>
      <x:c r="AO424" s="23" t="n">
        <x:f>IF(C424="","",IF(AQ424&lt;&gt;"Ready","Unavailable",IF(C424="","",O424+P424+Q424*INDEX('Facilities'!$I$9:$I$108,MATCH(C424,'Facilities'!$C$9:$C$108,0)))))</x:f>
        <x:v>2.9121209531600005</x:v>
      </x:c>
      <x:c r="AP424" s="21" t="n">
        <x:f>IF(C424="","",IF(AQ424&lt;&gt;"Ready","Unavailable",IF(C424="","",AH424-U424)))</x:f>
        <x:v>2.7307394483692717</x:v>
      </x:c>
      <x:c r="AQ424" s="23" t="str">
        <x:f>IFERROR(IF(C424="","",IF(AND(INDEX('Facilities'!$AF$9:$AF$108,MATCH(C424,'Facilities'!$C$9:$C$108,0))="Ready",INDEX(Credit!$U$409:$U$508,MATCH(F424,Credit!$C$409:$C$508,0))="Ready",ISNUMBER(W424)),"Ready","Review inputs")),"Review inputs")</x:f>
        <x:v>Ready</x:v>
      </x:c>
      <x:c r="AR424" s="23" t="n">
        <x:f>IF(C424="","",IF(AQ424&lt;&gt;"Ready","Unavailable",IF(C424="","",IF(O424=0,0,(IF(AJ424&lt;=1,O424,O424*INDEX('Facilities'!$R$9:$R$108,MATCH(C424,'Facilities'!$C$9:$C$108,0)))+O424*INDEX('Facilities'!$T$9:$T$108,MATCH(C424,'Facilities'!$C$9:$C$108,0)))/12))))</x:f>
        <x:v>0.04933042556703334</x:v>
      </x:c>
    </x:row>
    <x:row r="425" ht="26" customHeight="1">
      <x:c r="A425" s="1"/>
      <x:c r="B425" s="1"/>
      <x:c r="C425" s="9" t="str">
        <x:f>IF(Facilities!C25="","",Facilities!C25)</x:f>
        <x:v>F017</x:v>
      </x:c>
      <x:c r="D425" s="3" t="n">
        <x:v>5</x:v>
      </x:c>
      <x:c r="E425" s="9" t="n">
        <x:f>Settings!$F$18+4</x:f>
        <x:v>2031</x:v>
      </x:c>
      <x:c r="F425" s="9" t="str">
        <x:f>IF(C425="","",IFERROR(INDEX('Facilities'!$D$9:$D$108,MATCH(C425,'Facilities'!$C$9:$C$108,0)),"Unavailable"))</x:f>
        <x:v>B009</x:v>
      </x:c>
      <x:c r="G425" s="21" t="n">
        <x:f>IF(C425="","",IFERROR(O325,"Unavailable"))</x:f>
        <x:v>5.101502808</x:v>
      </x:c>
      <x:c r="H425" s="21" t="n">
        <x:f>IF(C425="","",IFERROR(P325,"Unavailable"))</x:f>
        <x:v>0</x:v>
      </x:c>
      <x:c r="I425" s="21" t="n">
        <x:f>IF(C425="","",IFERROR(Q325,"Unavailable"))</x:f>
        <x:v>1.002915</x:v>
      </x:c>
      <x:c r="J425" s="23" t="n">
        <x:f>IF(C425="","",IFERROR(IF(OR(H425&gt;0,AND(AC425&gt;=0,AC425&lt;D425),D425&gt;INDEX('Facilities'!$J$9:$J$108,MATCH(C425,'Facilities'!$C$9:$C$108,0))),0,I425*'Scenario Paths'!J81),"Unavailable"))</x:f>
        <x:v>0.05014575</x:v>
      </x:c>
      <x:c r="K425" s="23" t="n">
        <x:f>IF(C425="","",IFERROR(IF(OR(H425&gt;0,AND(AC425&gt;=0,AC425=D425)),0,IF(D425&gt;=INDEX('Facilities'!$J$9:$J$108,MATCH(C425,'Facilities'!$C$9:$C$108,0)),G425+J425,MIN(G425+J425,G425*INDEX('Facilities'!$R$9:$R$108,MATCH(C425,'Facilities'!$C$9:$C$108,0))))),"Unavailable"))</x:f>
        <x:v>0.61218033696</x:v>
      </x:c>
      <x:c r="L425" s="21" t="n">
        <x:f>IF(C425="","",IFERROR(IF(AND(AC425=D425,AC425&gt;0),MAX(0,G425+J425-K425),0),"Unavailable"))</x:f>
        <x:v>0</x:v>
      </x:c>
      <x:c r="M425" s="23" t="n">
        <x:f>IF(C425="","",IFERROR(IF(AND(AC425&gt;=0,D425&gt;=AC425+INDEX('Facilities'!$AK$9:$AK$108,MATCH(C425,'Facilities'!$C$9:$C$108,0))),(H425+L425)*AM425,0),"Unavailable"))</x:f>
        <x:v>0</x:v>
      </x:c>
      <x:c r="N425" s="23" t="n">
        <x:f>IF(C425="","",IFERROR(IF(AND(AC425&gt;=0,D425&gt;=AC425+INDEX('Facilities'!$AK$9:$AK$108,MATCH(C425,'Facilities'!$C$9:$C$108,0))),H425+L425-M425,0),"Unavailable"))</x:f>
        <x:v>0</x:v>
      </x:c>
      <x:c r="O425" s="21" t="n">
        <x:f>IF(C425="","",IFERROR(MAX(0,G425+J425-K425-L425),"Unavailable"))</x:f>
        <x:v>4.539468221040001</x:v>
      </x:c>
      <x:c r="P425" s="21" t="n">
        <x:f>IF(C425="","",IFERROR(MAX(0,H425+L425-M425-N425),"Unavailable"))</x:f>
        <x:v>0</x:v>
      </x:c>
      <x:c r="Q425" s="23" t="n">
        <x:f>IF(C425="","",IFERROR(IF(OR(D425&gt;=INDEX('Facilities'!$J$9:$J$108,MATCH(C425,'Facilities'!$C$9:$C$108,0)),AND(AC425&gt;=0,AC425&lt;=D425)),0,MAX(0,I425-J425)),"Unavailable"))</x:f>
        <x:v>0.95276925</x:v>
      </x:c>
      <x:c r="R425" s="30" t="n">
        <x:f>IF(C425="","",IFERROR(INDEX(Credit!$Q$409:$Q$508,MATCH(F425,Credit!$C$409:$C$508,0)),"Unavailable"))</x:f>
        <x:v>0.04822172761531925</x:v>
      </x:c>
      <x:c r="S425" s="30" t="n">
        <x:f>IF(C425="","",IFERROR(INDEX(Credit!$R$409:$R$508,MATCH(F425,Credit!$C$409:$C$508,0)),"Unavailable"))</x:f>
        <x:v>0.40698880000000004</x:v>
      </x:c>
      <x:c r="T425" s="23" t="n">
        <x:f>IF(C425="","",IFERROR(IF(P425&gt;0,3,IF(OR(INDEX('Facilities'!$AD$9:$AD$108,MATCH(C425,'Facilities'!$C$9:$C$108,0))=2,AND(R425&gt;=INDEX('Facilities'!$L$9:$L$108,MATCH(C425,'Facilities'!$C$9:$C$108,0))*Settings!$F$19,R425-INDEX('Facilities'!$L$9:$L$108,MATCH(C425,'Facilities'!$C$9:$C$108,0))&gt;=Settings!$F$20)),2,1)),"Unavailable"))</x:f>
        <x:v>2</x:v>
      </x:c>
      <x:c r="U425" s="23" t="n">
        <x:f>IF(C425="","",IF(AQ425&lt;&gt;"Ready","Unavailable",IF(C425="","",O425*(1-(1-S425)/(1+INDEX('Facilities'!$K$9:$K$108,MATCH(C425,'Facilities'!$C$9:$C$108,0)))^INDEX('Facilities'!$AK$9:$AK$108,MATCH(C425,'Facilities'!$C$9:$C$108,0)))*R425/(1+INDEX('Facilities'!$K$9:$K$108,MATCH(C425,'Facilities'!$C$9:$C$108,0)))*IF(ABS(1-(1-R425)*(1-INDEX('Facilities'!$R$9:$R$108,MATCH(C425,'Facilities'!$C$9:$C$108,0)))/(1+INDEX('Facilities'!$K$9:$K$108,MATCH(C425,'Facilities'!$C$9:$C$108,0))))&lt;0.000000001,IF(T425=1,MIN(1,AJ425),AJ425),(1-((1-R425)*(1-INDEX('Facilities'!$R$9:$R$108,MATCH(C425,'Facilities'!$C$9:$C$108,0)))/(1+INDEX('Facilities'!$K$9:$K$108,MATCH(C425,'Facilities'!$C$9:$C$108,0))))^IF(T425=1,MIN(1,AJ425),AJ425))/(1-(1-R425)*(1-INDEX('Facilities'!$R$9:$R$108,MATCH(C425,'Facilities'!$C$9:$C$108,0)))/(1+INDEX('Facilities'!$K$9:$K$108,MATCH(C425,'Facilities'!$C$9:$C$108,0)))))+AL425)))</x:f>
        <x:v>0.23683581522015743</x:v>
      </x:c>
      <x:c r="V425" s="23" t="n">
        <x:f>IF(C425="","",IF(AQ425&lt;&gt;"Ready","Unavailable",IF(C425="","",Q425*INDEX('Facilities'!$I$9:$I$108,MATCH(C425,'Facilities'!$C$9:$C$108,0))*(1-(1-S425)/(1+INDEX('Facilities'!$K$9:$K$108,MATCH(C425,'Facilities'!$C$9:$C$108,0)))^INDEX('Facilities'!$AK$9:$AK$108,MATCH(C425,'Facilities'!$C$9:$C$108,0)))*R425/(1+INDEX('Facilities'!$K$9:$K$108,MATCH(C425,'Facilities'!$C$9:$C$108,0)))*IF(ABS(1-(1-R425)*(1-0)/(1+INDEX('Facilities'!$K$9:$K$108,MATCH(C425,'Facilities'!$C$9:$C$108,0))))&lt;0.000000001,IF(T425=1,MIN(1,AJ425),AJ425),(1-((1-R425)*(1-0)/(1+INDEX('Facilities'!$K$9:$K$108,MATCH(C425,'Facilities'!$C$9:$C$108,0))))^IF(T425=1,MIN(1,AJ425),AJ425))/(1-(1-R425)*(1-0)/(1+INDEX('Facilities'!$K$9:$K$108,MATCH(C425,'Facilities'!$C$9:$C$108,0))))))))</x:f>
        <x:v>0.027792075461895258</x:v>
      </x:c>
      <x:c r="W425" s="21" t="n">
        <x:f>IF(C425="","",IFERROR(U325,"Unavailable"))</x:f>
        <x:v>0.3304105255082299</x:v>
      </x:c>
      <x:c r="X425" s="21" t="n">
        <x:f>IF(C425="","",IFERROR(V325,"Unavailable"))</x:f>
        <x:v>0.03816444496454342</x:v>
      </x:c>
      <x:c r="Y425" s="21" t="n">
        <x:f>IF(C425="","",IF(AQ425&lt;&gt;"Ready","Unavailable",IF(C425="","",U425-W425+V425-X425+N425+AG425)))</x:f>
        <x:v>-0.10394707979072065</x:v>
      </x:c>
      <x:c r="Z425" s="23" t="n">
        <x:f>IF(C425="","",IF(AQ425&lt;&gt;"Ready","Unavailable",IF(C425="","",(G425+O425+L425)/2*INDEX('Facilities'!$T$9:$T$108,MATCH(C425,'Facilities'!$C$9:$C$108,0))+AG425)))</x:f>
        <x:v>0.45794612387940004</x:v>
      </x:c>
      <x:c r="AA425" s="23" t="n">
        <x:f>IF(C425="","",IF(AQ425&lt;&gt;"Ready","Unavailable",IF(C425="","",O425*(1-IF(INDEX('Facilities'!$AA$9:$AA$108,MATCH(C425,'Facilities'!$C$9:$C$108,0))=0,0,MIN(1,INDEX('Facilities'!$X$9:$X$108,MATCH(C425,'Facilities'!$C$9:$C$108,0))/INDEX('Facilities'!$AA$9:$AA$108,MATCH(C425,'Facilities'!$C$9:$C$108,0)))))*AF425+P425*(1-IF(INDEX('Facilities'!$AA$9:$AA$108,MATCH(C425,'Facilities'!$C$9:$C$108,0))=0,0,MIN(1,INDEX('Facilities'!$X$9:$X$108,MATCH(C425,'Facilities'!$C$9:$C$108,0))/INDEX('Facilities'!$AA$9:$AA$108,MATCH(C425,'Facilities'!$C$9:$C$108,0)))))*INDEX('Facilities'!$AJ$9:$AJ$108,MATCH(C425,'Facilities'!$C$9:$C$108,0))+Q425*INDEX('Facilities'!$AI$9:$AI$108,MATCH(C425,'Facilities'!$C$9:$C$108,0))*AF425)))</x:f>
        <x:v>6.160868820245041</x:v>
      </x:c>
      <x:c r="AB425" s="21" t="n">
        <x:f>IF(C425="","",O425+P425-AD425)</x:f>
        <x:v>-0.5620345869599994</x:v>
      </x:c>
      <x:c r="AC425" s="23" t="n">
        <x:f>IF(C425="","",IFERROR(IF(INDEX('Facilities'!$AD$9:$AD$108,MATCH(C425,'Facilities'!$C$9:$C$108,0))=3,0,IF(INDEX('Facilities'!$AN$9:$AN$108,MATCH(C425,'Facilities'!$C$9:$C$108,0))=0,-1,INDEX('Facilities'!$AN$9:$AN$108,MATCH(C425,'Facilities'!$C$9:$C$108,0)))),"Unavailable"))</x:f>
        <x:v>-1</x:v>
      </x:c>
      <x:c r="AD425" s="21" t="n">
        <x:f>IF(C425="","",IFERROR(G425+H425,"Unavailable"))</x:f>
        <x:v>5.101502808</x:v>
      </x:c>
      <x:c r="AE425" s="21" t="n">
        <x:f>IF(C425="","",IF(AQ425&lt;&gt;"Ready","Unavailable",IF(C425="","",O425+P425-AD425-J425+K425+M425+N425)))</x:f>
        <x:v>5.551115123125783e-16</x:v>
      </x:c>
      <x:c r="AF425" s="30" t="n">
        <x:f>IF(C425="","",IFERROR(INDEX('Facilities'!$S$9:$S$108,MATCH(C425,'Facilities'!$C$9:$C$108,0))*'Scenario Paths'!J75,"Unavailable"))</x:f>
        <x:v>1.25</x:v>
      </x:c>
      <x:c r="AG425" s="23" t="n">
        <x:f>IF(C425="","",IF(AQ425&lt;&gt;"Ready","Unavailable",IF(C425="","",IF(H425&gt;0,MAX(0,H425-AK425)*((1+INDEX('Facilities'!$K$9:$K$108,MATCH(C425,'Facilities'!$C$9:$C$108,0)))^MIN(1,MAX(0,AC425+INDEX('Facilities'!$AK$9:$AK$108,MATCH(C425,'Facilities'!$C$9:$C$108,0))-D425+1))-1),0))))</x:f>
        <x:v>0</x:v>
      </x:c>
      <x:c r="AH425" s="21" t="n">
        <x:f>IF(C425="","",IF(AQ425&lt;&gt;"Ready","Unavailable",IF(C425="","",O425+P425)))</x:f>
        <x:v>4.539468221040001</x:v>
      </x:c>
      <x:c r="AI425" s="21" t="n">
        <x:f>IF(C425="","",IF(AQ425&lt;&gt;"Ready","Unavailable",IF(C425="","",Z425-Y425)))</x:f>
        <x:v>0.5618932036701207</x:v>
      </x:c>
      <x:c r="AJ425" s="23" t="n">
        <x:f>IF(C425="","",IFERROR(MAX(0,INDEX('Facilities'!$J$9:$J$108,MATCH(C425,'Facilities'!$C$9:$C$108,0))-D425),"Unavailable"))</x:f>
        <x:v>3</x:v>
      </x:c>
      <x:c r="AK425" s="21" t="n">
        <x:f>IF(C425="","",IFERROR(AL325,"Unavailable"))</x:f>
        <x:v>0</x:v>
      </x:c>
      <x:c r="AL425" s="23" t="n">
        <x:f>IF(C425="","",IFERROR(IF(P425&gt;0,P425*(1-AM425/(1+INDEX('Facilities'!$K$9:$K$108,MATCH(C425,'Facilities'!$C$9:$C$108,0)))^MAX(0,AC425+INDEX('Facilities'!$AK$9:$AK$108,MATCH(C425,'Facilities'!$C$9:$C$108,0))-D425)),0),"Unavailable"))</x:f>
        <x:v>0</x:v>
      </x:c>
      <x:c r="AM425" s="30" t="n">
        <x:f>IF(C425="","",IFERROR(INDEX('Facilities'!$AL$9:$AL$108,MATCH(C425,'Facilities'!$C$9:$C$108,0)),"Unavailable"))</x:f>
        <x:v>0.55</x:v>
      </x:c>
      <x:c r="AN425" s="30" t="n">
        <x:f>IF(C425="","",IFERROR(INDEX(Credit!$T$409:$T$508,MATCH(F425,Credit!$C$409:$C$508,0)),"Unavailable"))</x:f>
        <x:v>0.011648</x:v>
      </x:c>
      <x:c r="AO425" s="23" t="n">
        <x:f>IF(C425="","",IF(AQ425&lt;&gt;"Ready","Unavailable",IF(C425="","",O425+P425+Q425*INDEX('Facilities'!$I$9:$I$108,MATCH(C425,'Facilities'!$C$9:$C$108,0)))))</x:f>
        <x:v>5.0158528460400005</x:v>
      </x:c>
      <x:c r="AP425" s="21" t="n">
        <x:f>IF(C425="","",IF(AQ425&lt;&gt;"Ready","Unavailable",IF(C425="","",AH425-U425)))</x:f>
        <x:v>4.3026324058198435</x:v>
      </x:c>
      <x:c r="AQ425" s="23" t="str">
        <x:f>IFERROR(IF(C425="","",IF(AND(INDEX('Facilities'!$AF$9:$AF$108,MATCH(C425,'Facilities'!$C$9:$C$108,0))="Ready",INDEX(Credit!$U$409:$U$508,MATCH(F425,Credit!$C$409:$C$508,0))="Ready",ISNUMBER(W425)),"Ready","Review inputs")),"Review inputs")</x:f>
        <x:v>Ready</x:v>
      </x:c>
      <x:c r="AR425" s="23" t="n">
        <x:f>IF(C425="","",IF(AQ425&lt;&gt;"Ready","Unavailable",IF(C425="","",IF(O425=0,0,(IF(AJ425&lt;=1,O425,O425*INDEX('Facilities'!$R$9:$R$108,MATCH(C425,'Facilities'!$C$9:$C$108,0)))+O425*INDEX('Facilities'!$T$9:$T$108,MATCH(C425,'Facilities'!$C$9:$C$108,0)))/12))))</x:f>
        <x:v>0.0813321389603</x:v>
      </x:c>
    </x:row>
    <x:row r="426" ht="26" customHeight="1">
      <x:c r="A426" s="1"/>
      <x:c r="B426" s="1"/>
      <x:c r="C426" s="9" t="str">
        <x:f>IF(Facilities!C26="","",Facilities!C26)</x:f>
        <x:v>F018</x:v>
      </x:c>
      <x:c r="D426" s="3" t="n">
        <x:v>5</x:v>
      </x:c>
      <x:c r="E426" s="9" t="n">
        <x:f>Settings!$F$18+4</x:f>
        <x:v>2031</x:v>
      </x:c>
      <x:c r="F426" s="9" t="str">
        <x:f>IF(C426="","",IFERROR(INDEX('Facilities'!$D$9:$D$108,MATCH(C426,'Facilities'!$C$9:$C$108,0)),"Unavailable"))</x:f>
        <x:v>B009</x:v>
      </x:c>
      <x:c r="G426" s="21" t="n">
        <x:f>IF(C426="","",IFERROR(O326,"Unavailable"))</x:f>
        <x:v>3.319678408</x:v>
      </x:c>
      <x:c r="H426" s="21" t="n">
        <x:f>IF(C426="","",IFERROR(P326,"Unavailable"))</x:f>
        <x:v>0</x:v>
      </x:c>
      <x:c r="I426" s="21" t="n">
        <x:f>IF(C426="","",IFERROR(Q326,"Unavailable"))</x:f>
        <x:v>0.334305</x:v>
      </x:c>
      <x:c r="J426" s="23" t="n">
        <x:f>IF(C426="","",IFERROR(IF(OR(H426&gt;0,AND(AC426&gt;=0,AC426&lt;D426),D426&gt;INDEX('Facilities'!$J$9:$J$108,MATCH(C426,'Facilities'!$C$9:$C$108,0))),0,I426*'Scenario Paths'!J81),"Unavailable"))</x:f>
        <x:v>0.01671525</x:v>
      </x:c>
      <x:c r="K426" s="23" t="n">
        <x:f>IF(C426="","",IFERROR(IF(OR(H426&gt;0,AND(AC426&gt;=0,AC426=D426)),0,IF(D426&gt;=INDEX('Facilities'!$J$9:$J$108,MATCH(C426,'Facilities'!$C$9:$C$108,0)),G426+J426,MIN(G426+J426,G426*INDEX('Facilities'!$R$9:$R$108,MATCH(C426,'Facilities'!$C$9:$C$108,0))))),"Unavailable"))</x:f>
        <x:v>0.39836140896</x:v>
      </x:c>
      <x:c r="L426" s="21" t="n">
        <x:f>IF(C426="","",IFERROR(IF(AND(AC426=D426,AC426&gt;0),MAX(0,G426+J426-K426),0),"Unavailable"))</x:f>
        <x:v>0</x:v>
      </x:c>
      <x:c r="M426" s="23" t="n">
        <x:f>IF(C426="","",IFERROR(IF(AND(AC426&gt;=0,D426&gt;=AC426+INDEX('Facilities'!$AK$9:$AK$108,MATCH(C426,'Facilities'!$C$9:$C$108,0))),(H426+L426)*AM426,0),"Unavailable"))</x:f>
        <x:v>0</x:v>
      </x:c>
      <x:c r="N426" s="23" t="n">
        <x:f>IF(C426="","",IFERROR(IF(AND(AC426&gt;=0,D426&gt;=AC426+INDEX('Facilities'!$AK$9:$AK$108,MATCH(C426,'Facilities'!$C$9:$C$108,0))),H426+L426-M426,0),"Unavailable"))</x:f>
        <x:v>0</x:v>
      </x:c>
      <x:c r="O426" s="21" t="n">
        <x:f>IF(C426="","",IFERROR(MAX(0,G426+J426-K426-L426),"Unavailable"))</x:f>
        <x:v>2.93803224904</x:v>
      </x:c>
      <x:c r="P426" s="21" t="n">
        <x:f>IF(C426="","",IFERROR(MAX(0,H426+L426-M426-N426),"Unavailable"))</x:f>
        <x:v>0</x:v>
      </x:c>
      <x:c r="Q426" s="23" t="n">
        <x:f>IF(C426="","",IFERROR(IF(OR(D426&gt;=INDEX('Facilities'!$J$9:$J$108,MATCH(C426,'Facilities'!$C$9:$C$108,0)),AND(AC426&gt;=0,AC426&lt;=D426)),0,MAX(0,I426-J426)),"Unavailable"))</x:f>
        <x:v>0.31758975</x:v>
      </x:c>
      <x:c r="R426" s="30" t="n">
        <x:f>IF(C426="","",IFERROR(INDEX(Credit!$Q$409:$Q$508,MATCH(F426,Credit!$C$409:$C$508,0)),"Unavailable"))</x:f>
        <x:v>0.04822172761531925</x:v>
      </x:c>
      <x:c r="S426" s="30" t="n">
        <x:f>IF(C426="","",IFERROR(INDEX(Credit!$R$409:$R$508,MATCH(F426,Credit!$C$409:$C$508,0)),"Unavailable"))</x:f>
        <x:v>0.40698880000000004</x:v>
      </x:c>
      <x:c r="T426" s="23" t="n">
        <x:f>IF(C426="","",IFERROR(IF(P426&gt;0,3,IF(OR(INDEX('Facilities'!$AD$9:$AD$108,MATCH(C426,'Facilities'!$C$9:$C$108,0))=2,AND(R426&gt;=INDEX('Facilities'!$L$9:$L$108,MATCH(C426,'Facilities'!$C$9:$C$108,0))*Settings!$F$19,R426-INDEX('Facilities'!$L$9:$L$108,MATCH(C426,'Facilities'!$C$9:$C$108,0))&gt;=Settings!$F$20)),2,1)),"Unavailable"))</x:f>
        <x:v>2</x:v>
      </x:c>
      <x:c r="U426" s="23" t="n">
        <x:f>IF(C426="","",IF(AQ426&lt;&gt;"Ready","Unavailable",IF(C426="","",O426*(1-(1-S426)/(1+INDEX('Facilities'!$K$9:$K$108,MATCH(C426,'Facilities'!$C$9:$C$108,0)))^INDEX('Facilities'!$AK$9:$AK$108,MATCH(C426,'Facilities'!$C$9:$C$108,0)))*R426/(1+INDEX('Facilities'!$K$9:$K$108,MATCH(C426,'Facilities'!$C$9:$C$108,0)))*IF(ABS(1-(1-R426)*(1-INDEX('Facilities'!$R$9:$R$108,MATCH(C426,'Facilities'!$C$9:$C$108,0)))/(1+INDEX('Facilities'!$K$9:$K$108,MATCH(C426,'Facilities'!$C$9:$C$108,0))))&lt;0.000000001,IF(T426=1,MIN(1,AJ426),AJ426),(1-((1-R426)*(1-INDEX('Facilities'!$R$9:$R$108,MATCH(C426,'Facilities'!$C$9:$C$108,0)))/(1+INDEX('Facilities'!$K$9:$K$108,MATCH(C426,'Facilities'!$C$9:$C$108,0))))^IF(T426=1,MIN(1,AJ426),AJ426))/(1-(1-R426)*(1-INDEX('Facilities'!$R$9:$R$108,MATCH(C426,'Facilities'!$C$9:$C$108,0)))/(1+INDEX('Facilities'!$K$9:$K$108,MATCH(C426,'Facilities'!$C$9:$C$108,0)))))+AL426)))</x:f>
        <x:v>0.15328475252219845</x:v>
      </x:c>
      <x:c r="V426" s="23" t="n">
        <x:f>IF(C426="","",IF(AQ426&lt;&gt;"Ready","Unavailable",IF(C426="","",Q426*INDEX('Facilities'!$I$9:$I$108,MATCH(C426,'Facilities'!$C$9:$C$108,0))*(1-(1-S426)/(1+INDEX('Facilities'!$K$9:$K$108,MATCH(C426,'Facilities'!$C$9:$C$108,0)))^INDEX('Facilities'!$AK$9:$AK$108,MATCH(C426,'Facilities'!$C$9:$C$108,0)))*R426/(1+INDEX('Facilities'!$K$9:$K$108,MATCH(C426,'Facilities'!$C$9:$C$108,0)))*IF(ABS(1-(1-R426)*(1-0)/(1+INDEX('Facilities'!$K$9:$K$108,MATCH(C426,'Facilities'!$C$9:$C$108,0))))&lt;0.000000001,IF(T426=1,MIN(1,AJ426),AJ426),(1-((1-R426)*(1-0)/(1+INDEX('Facilities'!$K$9:$K$108,MATCH(C426,'Facilities'!$C$9:$C$108,0))))^IF(T426=1,MIN(1,AJ426),AJ426))/(1-(1-R426)*(1-0)/(1+INDEX('Facilities'!$K$9:$K$108,MATCH(C426,'Facilities'!$C$9:$C$108,0))))))))</x:f>
        <x:v>0.009264025153965084</x:v>
      </x:c>
      <x:c r="W426" s="21" t="n">
        <x:f>IF(C426="","",IFERROR(U326,"Unavailable"))</x:f>
        <x:v>0.21500658307696144</x:v>
      </x:c>
      <x:c r="X426" s="21" t="n">
        <x:f>IF(C426="","",IFERROR(V326,"Unavailable"))</x:f>
        <x:v>0.012721481654847808</x:v>
      </x:c>
      <x:c r="Y426" s="21" t="n">
        <x:f>IF(C426="","",IF(AQ426&lt;&gt;"Ready","Unavailable",IF(C426="","",U426-W426+V426-X426+N426+AG426)))</x:f>
        <x:v>-0.06517928705564571</x:v>
      </x:c>
      <x:c r="Z426" s="23" t="n">
        <x:f>IF(C426="","",IF(AQ426&lt;&gt;"Ready","Unavailable",IF(C426="","",(G426+O426+L426)/2*INDEX('Facilities'!$T$9:$T$108,MATCH(C426,'Facilities'!$C$9:$C$108,0))+AG426)))</x:f>
        <x:v>0.2972412562094</x:v>
      </x:c>
      <x:c r="AA426" s="23" t="n">
        <x:f>IF(C426="","",IF(AQ426&lt;&gt;"Ready","Unavailable",IF(C426="","",O426*(1-IF(INDEX('Facilities'!$AA$9:$AA$108,MATCH(C426,'Facilities'!$C$9:$C$108,0))=0,0,MIN(1,INDEX('Facilities'!$X$9:$X$108,MATCH(C426,'Facilities'!$C$9:$C$108,0))/INDEX('Facilities'!$AA$9:$AA$108,MATCH(C426,'Facilities'!$C$9:$C$108,0)))))*AF426+P426*(1-IF(INDEX('Facilities'!$AA$9:$AA$108,MATCH(C426,'Facilities'!$C$9:$C$108,0))=0,0,MIN(1,INDEX('Facilities'!$X$9:$X$108,MATCH(C426,'Facilities'!$C$9:$C$108,0))/INDEX('Facilities'!$AA$9:$AA$108,MATCH(C426,'Facilities'!$C$9:$C$108,0)))))*INDEX('Facilities'!$AJ$9:$AJ$108,MATCH(C426,'Facilities'!$C$9:$C$108,0))+Q426*INDEX('Facilities'!$AI$9:$AI$108,MATCH(C426,'Facilities'!$C$9:$C$108,0))*AF426)))</x:f>
        <x:v>3.80052113107304</x:v>
      </x:c>
      <x:c r="AB426" s="21" t="n">
        <x:f>IF(C426="","",O426+P426-AD426)</x:f>
        <x:v>-0.3816461589600002</x:v>
      </x:c>
      <x:c r="AC426" s="23" t="n">
        <x:f>IF(C426="","",IFERROR(IF(INDEX('Facilities'!$AD$9:$AD$108,MATCH(C426,'Facilities'!$C$9:$C$108,0))=3,0,IF(INDEX('Facilities'!$AN$9:$AN$108,MATCH(C426,'Facilities'!$C$9:$C$108,0))=0,-1,INDEX('Facilities'!$AN$9:$AN$108,MATCH(C426,'Facilities'!$C$9:$C$108,0)))),"Unavailable"))</x:f>
        <x:v>-1</x:v>
      </x:c>
      <x:c r="AD426" s="21" t="n">
        <x:f>IF(C426="","",IFERROR(G426+H426,"Unavailable"))</x:f>
        <x:v>3.319678408</x:v>
      </x:c>
      <x:c r="AE426" s="21" t="n">
        <x:f>IF(C426="","",IF(AQ426&lt;&gt;"Ready","Unavailable",IF(C426="","",O426+P426-AD426-J426+K426+M426+N426)))</x:f>
        <x:v>-2.220446049250313e-16</x:v>
      </x:c>
      <x:c r="AF426" s="30" t="n">
        <x:f>IF(C426="","",IFERROR(INDEX('Facilities'!$S$9:$S$108,MATCH(C426,'Facilities'!$C$9:$C$108,0))*'Scenario Paths'!J75,"Unavailable"))</x:f>
        <x:v>1.25</x:v>
      </x:c>
      <x:c r="AG426" s="23" t="n">
        <x:f>IF(C426="","",IF(AQ426&lt;&gt;"Ready","Unavailable",IF(C426="","",IF(H426&gt;0,MAX(0,H426-AK426)*((1+INDEX('Facilities'!$K$9:$K$108,MATCH(C426,'Facilities'!$C$9:$C$108,0)))^MIN(1,MAX(0,AC426+INDEX('Facilities'!$AK$9:$AK$108,MATCH(C426,'Facilities'!$C$9:$C$108,0))-D426+1))-1),0))))</x:f>
        <x:v>0</x:v>
      </x:c>
      <x:c r="AH426" s="21" t="n">
        <x:f>IF(C426="","",IF(AQ426&lt;&gt;"Ready","Unavailable",IF(C426="","",O426+P426)))</x:f>
        <x:v>2.93803224904</x:v>
      </x:c>
      <x:c r="AI426" s="21" t="n">
        <x:f>IF(C426="","",IF(AQ426&lt;&gt;"Ready","Unavailable",IF(C426="","",Z426-Y426)))</x:f>
        <x:v>0.3624205432650457</x:v>
      </x:c>
      <x:c r="AJ426" s="23" t="n">
        <x:f>IF(C426="","",IFERROR(MAX(0,INDEX('Facilities'!$J$9:$J$108,MATCH(C426,'Facilities'!$C$9:$C$108,0))-D426),"Unavailable"))</x:f>
        <x:v>3</x:v>
      </x:c>
      <x:c r="AK426" s="21" t="n">
        <x:f>IF(C426="","",IFERROR(AL326,"Unavailable"))</x:f>
        <x:v>0</x:v>
      </x:c>
      <x:c r="AL426" s="23" t="n">
        <x:f>IF(C426="","",IFERROR(IF(P426&gt;0,P426*(1-AM426/(1+INDEX('Facilities'!$K$9:$K$108,MATCH(C426,'Facilities'!$C$9:$C$108,0)))^MAX(0,AC426+INDEX('Facilities'!$AK$9:$AK$108,MATCH(C426,'Facilities'!$C$9:$C$108,0))-D426)),0),"Unavailable"))</x:f>
        <x:v>0</x:v>
      </x:c>
      <x:c r="AM426" s="30" t="n">
        <x:f>IF(C426="","",IFERROR(INDEX('Facilities'!$AL$9:$AL$108,MATCH(C426,'Facilities'!$C$9:$C$108,0)),"Unavailable"))</x:f>
        <x:v>0.55</x:v>
      </x:c>
      <x:c r="AN426" s="30" t="n">
        <x:f>IF(C426="","",IFERROR(INDEX(Credit!$T$409:$T$508,MATCH(F426,Credit!$C$409:$C$508,0)),"Unavailable"))</x:f>
        <x:v>0.011648</x:v>
      </x:c>
      <x:c r="AO426" s="23" t="n">
        <x:f>IF(C426="","",IF(AQ426&lt;&gt;"Ready","Unavailable",IF(C426="","",O426+P426+Q426*INDEX('Facilities'!$I$9:$I$108,MATCH(C426,'Facilities'!$C$9:$C$108,0)))))</x:f>
        <x:v>3.09682712404</x:v>
      </x:c>
      <x:c r="AP426" s="21" t="n">
        <x:f>IF(C426="","",IF(AQ426&lt;&gt;"Ready","Unavailable",IF(C426="","",AH426-U426)))</x:f>
        <x:v>2.7847474965178014</x:v>
      </x:c>
      <x:c r="AQ426" s="23" t="str">
        <x:f>IFERROR(IF(C426="","",IF(AND(INDEX('Facilities'!$AF$9:$AF$108,MATCH(C426,'Facilities'!$C$9:$C$108,0))="Ready",INDEX(Credit!$U$409:$U$508,MATCH(F426,Credit!$C$409:$C$508,0))="Ready",ISNUMBER(W426)),"Ready","Review inputs")),"Review inputs")</x:f>
        <x:v>Ready</x:v>
      </x:c>
      <x:c r="AR426" s="23" t="n">
        <x:f>IF(C426="","",IF(AQ426&lt;&gt;"Ready","Unavailable",IF(C426="","",IF(O426=0,0,(IF(AJ426&lt;=1,O426,O426*INDEX('Facilities'!$R$9:$R$108,MATCH(C426,'Facilities'!$C$9:$C$108,0)))+O426*INDEX('Facilities'!$T$9:$T$108,MATCH(C426,'Facilities'!$C$9:$C$108,0)))/12))))</x:f>
        <x:v>0.05263974446196667</x:v>
      </x:c>
    </x:row>
    <x:row r="427" ht="26" customHeight="1">
      <x:c r="A427" s="1"/>
      <x:c r="B427" s="1"/>
      <x:c r="C427" s="9" t="str">
        <x:f>IF(Facilities!C27="","",Facilities!C27)</x:f>
        <x:v>F019</x:v>
      </x:c>
      <x:c r="D427" s="3" t="n">
        <x:v>5</x:v>
      </x:c>
      <x:c r="E427" s="9" t="n">
        <x:f>Settings!$F$18+4</x:f>
        <x:v>2031</x:v>
      </x:c>
      <x:c r="F427" s="9" t="str">
        <x:f>IF(C427="","",IFERROR(INDEX('Facilities'!$D$9:$D$108,MATCH(C427,'Facilities'!$C$9:$C$108,0)),"Unavailable"))</x:f>
        <x:v>B010</x:v>
      </x:c>
      <x:c r="G427" s="21" t="n">
        <x:f>IF(C427="","",IFERROR(O327,"Unavailable"))</x:f>
        <x:v>5.311396184</x:v>
      </x:c>
      <x:c r="H427" s="21" t="n">
        <x:f>IF(C427="","",IFERROR(P327,"Unavailable"))</x:f>
        <x:v>0</x:v>
      </x:c>
      <x:c r="I427" s="21" t="n">
        <x:f>IF(C427="","",IFERROR(Q327,"Unavailable"))</x:f>
        <x:v>1.002915</x:v>
      </x:c>
      <x:c r="J427" s="23" t="n">
        <x:f>IF(C427="","",IFERROR(IF(OR(H427&gt;0,AND(AC427&gt;=0,AC427&lt;D427),D427&gt;INDEX('Facilities'!$J$9:$J$108,MATCH(C427,'Facilities'!$C$9:$C$108,0))),0,I427*'Scenario Paths'!J81),"Unavailable"))</x:f>
        <x:v>0.05014575</x:v>
      </x:c>
      <x:c r="K427" s="23" t="n">
        <x:f>IF(C427="","",IFERROR(IF(OR(H427&gt;0,AND(AC427&gt;=0,AC427=D427)),0,IF(D427&gt;=INDEX('Facilities'!$J$9:$J$108,MATCH(C427,'Facilities'!$C$9:$C$108,0)),G427+J427,MIN(G427+J427,G427*INDEX('Facilities'!$R$9:$R$108,MATCH(C427,'Facilities'!$C$9:$C$108,0))))),"Unavailable"))</x:f>
        <x:v>0.63736754208</x:v>
      </x:c>
      <x:c r="L427" s="21" t="n">
        <x:f>IF(C427="","",IFERROR(IF(AND(AC427=D427,AC427&gt;0),MAX(0,G427+J427-K427),0),"Unavailable"))</x:f>
        <x:v>0</x:v>
      </x:c>
      <x:c r="M427" s="23" t="n">
        <x:f>IF(C427="","",IFERROR(IF(AND(AC427&gt;=0,D427&gt;=AC427+INDEX('Facilities'!$AK$9:$AK$108,MATCH(C427,'Facilities'!$C$9:$C$108,0))),(H427+L427)*AM427,0),"Unavailable"))</x:f>
        <x:v>0</x:v>
      </x:c>
      <x:c r="N427" s="23" t="n">
        <x:f>IF(C427="","",IFERROR(IF(AND(AC427&gt;=0,D427&gt;=AC427+INDEX('Facilities'!$AK$9:$AK$108,MATCH(C427,'Facilities'!$C$9:$C$108,0))),H427+L427-M427,0),"Unavailable"))</x:f>
        <x:v>0</x:v>
      </x:c>
      <x:c r="O427" s="21" t="n">
        <x:f>IF(C427="","",IFERROR(MAX(0,G427+J427-K427-L427),"Unavailable"))</x:f>
        <x:v>4.724174391920001</x:v>
      </x:c>
      <x:c r="P427" s="21" t="n">
        <x:f>IF(C427="","",IFERROR(MAX(0,H427+L427-M427-N427),"Unavailable"))</x:f>
        <x:v>0</x:v>
      </x:c>
      <x:c r="Q427" s="23" t="n">
        <x:f>IF(C427="","",IFERROR(IF(OR(D427&gt;=INDEX('Facilities'!$J$9:$J$108,MATCH(C427,'Facilities'!$C$9:$C$108,0)),AND(AC427&gt;=0,AC427&lt;=D427)),0,MAX(0,I427-J427)),"Unavailable"))</x:f>
        <x:v>0.95276925</x:v>
      </x:c>
      <x:c r="R427" s="30" t="n">
        <x:f>IF(C427="","",IFERROR(INDEX(Credit!$Q$409:$Q$508,MATCH(F427,Credit!$C$409:$C$508,0)),"Unavailable"))</x:f>
        <x:v>0.054012298167127694</x:v>
      </x:c>
      <x:c r="S427" s="30" t="n">
        <x:f>IF(C427="","",IFERROR(INDEX(Credit!$R$409:$R$508,MATCH(F427,Credit!$C$409:$C$508,0)),"Unavailable"))</x:f>
        <x:v>0.44426496000000004</x:v>
      </x:c>
      <x:c r="T427" s="23" t="n">
        <x:f>IF(C427="","",IFERROR(IF(P427&gt;0,3,IF(OR(INDEX('Facilities'!$AD$9:$AD$108,MATCH(C427,'Facilities'!$C$9:$C$108,0))=2,AND(R427&gt;=INDEX('Facilities'!$L$9:$L$108,MATCH(C427,'Facilities'!$C$9:$C$108,0))*Settings!$F$19,R427-INDEX('Facilities'!$L$9:$L$108,MATCH(C427,'Facilities'!$C$9:$C$108,0))&gt;=Settings!$F$20)),2,1)),"Unavailable"))</x:f>
        <x:v>2</x:v>
      </x:c>
      <x:c r="U427" s="23" t="n">
        <x:f>IF(C427="","",IF(AQ427&lt;&gt;"Ready","Unavailable",IF(C427="","",O427*(1-(1-S427)/(1+INDEX('Facilities'!$K$9:$K$108,MATCH(C427,'Facilities'!$C$9:$C$108,0)))^INDEX('Facilities'!$AK$9:$AK$108,MATCH(C427,'Facilities'!$C$9:$C$108,0)))*R427/(1+INDEX('Facilities'!$K$9:$K$108,MATCH(C427,'Facilities'!$C$9:$C$108,0)))*IF(ABS(1-(1-R427)*(1-INDEX('Facilities'!$R$9:$R$108,MATCH(C427,'Facilities'!$C$9:$C$108,0)))/(1+INDEX('Facilities'!$K$9:$K$108,MATCH(C427,'Facilities'!$C$9:$C$108,0))))&lt;0.000000001,IF(T427=1,MIN(1,AJ427),AJ427),(1-((1-R427)*(1-INDEX('Facilities'!$R$9:$R$108,MATCH(C427,'Facilities'!$C$9:$C$108,0)))/(1+INDEX('Facilities'!$K$9:$K$108,MATCH(C427,'Facilities'!$C$9:$C$108,0))))^IF(T427=1,MIN(1,AJ427),AJ427))/(1-(1-R427)*(1-INDEX('Facilities'!$R$9:$R$108,MATCH(C427,'Facilities'!$C$9:$C$108,0)))/(1+INDEX('Facilities'!$K$9:$K$108,MATCH(C427,'Facilities'!$C$9:$C$108,0)))))+AL427)))</x:f>
        <x:v>0.349178478753338</x:v>
      </x:c>
      <x:c r="V427" s="23" t="n">
        <x:f>IF(C427="","",IF(AQ427&lt;&gt;"Ready","Unavailable",IF(C427="","",Q427*INDEX('Facilities'!$I$9:$I$108,MATCH(C427,'Facilities'!$C$9:$C$108,0))*(1-(1-S427)/(1+INDEX('Facilities'!$K$9:$K$108,MATCH(C427,'Facilities'!$C$9:$C$108,0)))^INDEX('Facilities'!$AK$9:$AK$108,MATCH(C427,'Facilities'!$C$9:$C$108,0)))*R427/(1+INDEX('Facilities'!$K$9:$K$108,MATCH(C427,'Facilities'!$C$9:$C$108,0)))*IF(ABS(1-(1-R427)*(1-0)/(1+INDEX('Facilities'!$K$9:$K$108,MATCH(C427,'Facilities'!$C$9:$C$108,0))))&lt;0.000000001,IF(T427=1,MIN(1,AJ427),AJ427),(1-((1-R427)*(1-0)/(1+INDEX('Facilities'!$K$9:$K$108,MATCH(C427,'Facilities'!$C$9:$C$108,0))))^IF(T427=1,MIN(1,AJ427),AJ427))/(1-(1-R427)*(1-0)/(1+INDEX('Facilities'!$K$9:$K$108,MATCH(C427,'Facilities'!$C$9:$C$108,0))))))))</x:f>
        <x:v>0.04135112577382539</x:v>
      </x:c>
      <x:c r="W427" s="21" t="n">
        <x:f>IF(C427="","",IFERROR(U327,"Unavailable"))</x:f>
        <x:v>0.46846681810199914</x:v>
      </x:c>
      <x:c r="X427" s="21" t="n">
        <x:f>IF(C427="","",IFERROR(V327,"Unavailable"))</x:f>
        <x:v>0.054313612045836644</x:v>
      </x:c>
      <x:c r="Y427" s="21" t="n">
        <x:f>IF(C427="","",IF(AQ427&lt;&gt;"Ready","Unavailable",IF(C427="","",U427-W427+V427-X427+N427+AG427)))</x:f>
        <x:v>-0.1322508256206724</x:v>
      </x:c>
      <x:c r="Z427" s="23" t="n">
        <x:f>IF(C427="","",IF(AQ427&lt;&gt;"Ready","Unavailable",IF(C427="","",(G427+O427+L427)/2*INDEX('Facilities'!$T$9:$T$108,MATCH(C427,'Facilities'!$C$9:$C$108,0))+AG427)))</x:f>
        <x:v>0.47668960235620006</x:v>
      </x:c>
      <x:c r="AA427" s="23" t="n">
        <x:f>IF(C427="","",IF(AQ427&lt;&gt;"Ready","Unavailable",IF(C427="","",O427*(1-IF(INDEX('Facilities'!$AA$9:$AA$108,MATCH(C427,'Facilities'!$C$9:$C$108,0))=0,0,MIN(1,INDEX('Facilities'!$X$9:$X$108,MATCH(C427,'Facilities'!$C$9:$C$108,0))/INDEX('Facilities'!$AA$9:$AA$108,MATCH(C427,'Facilities'!$C$9:$C$108,0)))))*AF427+P427*(1-IF(INDEX('Facilities'!$AA$9:$AA$108,MATCH(C427,'Facilities'!$C$9:$C$108,0))=0,0,MIN(1,INDEX('Facilities'!$X$9:$X$108,MATCH(C427,'Facilities'!$C$9:$C$108,0))/INDEX('Facilities'!$AA$9:$AA$108,MATCH(C427,'Facilities'!$C$9:$C$108,0)))))*INDEX('Facilities'!$AJ$9:$AJ$108,MATCH(C427,'Facilities'!$C$9:$C$108,0))+Q427*INDEX('Facilities'!$AI$9:$AI$108,MATCH(C427,'Facilities'!$C$9:$C$108,0))*AF427)))</x:f>
        <x:v>6.344801016216642</x:v>
      </x:c>
      <x:c r="AB427" s="21" t="n">
        <x:f>IF(C427="","",O427+P427-AD427)</x:f>
        <x:v>-0.5872217920799994</x:v>
      </x:c>
      <x:c r="AC427" s="23" t="n">
        <x:f>IF(C427="","",IFERROR(IF(INDEX('Facilities'!$AD$9:$AD$108,MATCH(C427,'Facilities'!$C$9:$C$108,0))=3,0,IF(INDEX('Facilities'!$AN$9:$AN$108,MATCH(C427,'Facilities'!$C$9:$C$108,0))=0,-1,INDEX('Facilities'!$AN$9:$AN$108,MATCH(C427,'Facilities'!$C$9:$C$108,0)))),"Unavailable"))</x:f>
        <x:v>-1</x:v>
      </x:c>
      <x:c r="AD427" s="21" t="n">
        <x:f>IF(C427="","",IFERROR(G427+H427,"Unavailable"))</x:f>
        <x:v>5.311396184</x:v>
      </x:c>
      <x:c r="AE427" s="21" t="n">
        <x:f>IF(C427="","",IF(AQ427&lt;&gt;"Ready","Unavailable",IF(C427="","",O427+P427-AD427-J427+K427+M427+N427)))</x:f>
        <x:v>6.661338147750939e-16</x:v>
      </x:c>
      <x:c r="AF427" s="30" t="n">
        <x:f>IF(C427="","",IFERROR(INDEX('Facilities'!$S$9:$S$108,MATCH(C427,'Facilities'!$C$9:$C$108,0))*'Scenario Paths'!J75,"Unavailable"))</x:f>
        <x:v>1.25</x:v>
      </x:c>
      <x:c r="AG427" s="23" t="n">
        <x:f>IF(C427="","",IF(AQ427&lt;&gt;"Ready","Unavailable",IF(C427="","",IF(H427&gt;0,MAX(0,H427-AK427)*((1+INDEX('Facilities'!$K$9:$K$108,MATCH(C427,'Facilities'!$C$9:$C$108,0)))^MIN(1,MAX(0,AC427+INDEX('Facilities'!$AK$9:$AK$108,MATCH(C427,'Facilities'!$C$9:$C$108,0))-D427+1))-1),0))))</x:f>
        <x:v>0</x:v>
      </x:c>
      <x:c r="AH427" s="21" t="n">
        <x:f>IF(C427="","",IF(AQ427&lt;&gt;"Ready","Unavailable",IF(C427="","",O427+P427)))</x:f>
        <x:v>4.724174391920001</x:v>
      </x:c>
      <x:c r="AI427" s="21" t="n">
        <x:f>IF(C427="","",IF(AQ427&lt;&gt;"Ready","Unavailable",IF(C427="","",Z427-Y427)))</x:f>
        <x:v>0.6089404279768724</x:v>
      </x:c>
      <x:c r="AJ427" s="23" t="n">
        <x:f>IF(C427="","",IFERROR(MAX(0,INDEX('Facilities'!$J$9:$J$108,MATCH(C427,'Facilities'!$C$9:$C$108,0))-D427),"Unavailable"))</x:f>
        <x:v>4</x:v>
      </x:c>
      <x:c r="AK427" s="21" t="n">
        <x:f>IF(C427="","",IFERROR(AL327,"Unavailable"))</x:f>
        <x:v>0</x:v>
      </x:c>
      <x:c r="AL427" s="23" t="n">
        <x:f>IF(C427="","",IFERROR(IF(P427&gt;0,P427*(1-AM427/(1+INDEX('Facilities'!$K$9:$K$108,MATCH(C427,'Facilities'!$C$9:$C$108,0)))^MAX(0,AC427+INDEX('Facilities'!$AK$9:$AK$108,MATCH(C427,'Facilities'!$C$9:$C$108,0))-D427)),0),"Unavailable"))</x:f>
        <x:v>0</x:v>
      </x:c>
      <x:c r="AM427" s="30" t="n">
        <x:f>IF(C427="","",IFERROR(INDEX('Facilities'!$AL$9:$AL$108,MATCH(C427,'Facilities'!$C$9:$C$108,0)),"Unavailable"))</x:f>
        <x:v>0.55</x:v>
      </x:c>
      <x:c r="AN427" s="30" t="n">
        <x:f>IF(C427="","",IFERROR(INDEX(Credit!$T$409:$T$508,MATCH(F427,Credit!$C$409:$C$508,0)),"Unavailable"))</x:f>
        <x:v>0.0076159999999999995</x:v>
      </x:c>
      <x:c r="AO427" s="23" t="n">
        <x:f>IF(C427="","",IF(AQ427&lt;&gt;"Ready","Unavailable",IF(C427="","",O427+P427+Q427*INDEX('Facilities'!$I$9:$I$108,MATCH(C427,'Facilities'!$C$9:$C$108,0)))))</x:f>
        <x:v>5.200559016920001</x:v>
      </x:c>
      <x:c r="AP427" s="21" t="n">
        <x:f>IF(C427="","",IF(AQ427&lt;&gt;"Ready","Unavailable",IF(C427="","",AH427-U427)))</x:f>
        <x:v>4.374995913166663</x:v>
      </x:c>
      <x:c r="AQ427" s="23" t="str">
        <x:f>IFERROR(IF(C427="","",IF(AND(INDEX('Facilities'!$AF$9:$AF$108,MATCH(C427,'Facilities'!$C$9:$C$108,0))="Ready",INDEX(Credit!$U$409:$U$508,MATCH(F427,Credit!$C$409:$C$508,0))="Ready",ISNUMBER(W427)),"Ready","Review inputs")),"Review inputs")</x:f>
        <x:v>Ready</x:v>
      </x:c>
      <x:c r="AR427" s="23" t="n">
        <x:f>IF(C427="","",IF(AQ427&lt;&gt;"Ready","Unavailable",IF(C427="","",IF(O427=0,0,(IF(AJ427&lt;=1,O427,O427*INDEX('Facilities'!$R$9:$R$108,MATCH(C427,'Facilities'!$C$9:$C$108,0)))+O427*INDEX('Facilities'!$T$9:$T$108,MATCH(C427,'Facilities'!$C$9:$C$108,0)))/12))))</x:f>
        <x:v>0.08464145785523335</x:v>
      </x:c>
    </x:row>
    <x:row r="428" ht="26" customHeight="1">
      <x:c r="A428" s="1"/>
      <x:c r="B428" s="1"/>
      <x:c r="C428" s="9" t="str">
        <x:f>IF(Facilities!C28="","",Facilities!C28)</x:f>
        <x:v>F020</x:v>
      </x:c>
      <x:c r="D428" s="3" t="n">
        <x:v>5</x:v>
      </x:c>
      <x:c r="E428" s="9" t="n">
        <x:f>Settings!$F$18+4</x:f>
        <x:v>2031</x:v>
      </x:c>
      <x:c r="F428" s="9" t="str">
        <x:f>IF(C428="","",IFERROR(INDEX('Facilities'!$D$9:$D$108,MATCH(C428,'Facilities'!$C$9:$C$108,0)),"Unavailable"))</x:f>
        <x:v>B010</x:v>
      </x:c>
      <x:c r="G428" s="21" t="n">
        <x:f>IF(C428="","",IFERROR(O328,"Unavailable"))</x:f>
        <x:v>3.5295717840000007</x:v>
      </x:c>
      <x:c r="H428" s="21" t="n">
        <x:f>IF(C428="","",IFERROR(P328,"Unavailable"))</x:f>
        <x:v>0</x:v>
      </x:c>
      <x:c r="I428" s="21" t="n">
        <x:f>IF(C428="","",IFERROR(Q328,"Unavailable"))</x:f>
        <x:v>0.334305</x:v>
      </x:c>
      <x:c r="J428" s="23" t="n">
        <x:f>IF(C428="","",IFERROR(IF(OR(H428&gt;0,AND(AC428&gt;=0,AC428&lt;D428),D428&gt;INDEX('Facilities'!$J$9:$J$108,MATCH(C428,'Facilities'!$C$9:$C$108,0))),0,I428*'Scenario Paths'!J81),"Unavailable"))</x:f>
        <x:v>0.01671525</x:v>
      </x:c>
      <x:c r="K428" s="23" t="n">
        <x:f>IF(C428="","",IFERROR(IF(OR(H428&gt;0,AND(AC428&gt;=0,AC428=D428)),0,IF(D428&gt;=INDEX('Facilities'!$J$9:$J$108,MATCH(C428,'Facilities'!$C$9:$C$108,0)),G428+J428,MIN(G428+J428,G428*INDEX('Facilities'!$R$9:$R$108,MATCH(C428,'Facilities'!$C$9:$C$108,0))))),"Unavailable"))</x:f>
        <x:v>0.42354861408000005</x:v>
      </x:c>
      <x:c r="L428" s="21" t="n">
        <x:f>IF(C428="","",IFERROR(IF(AND(AC428=D428,AC428&gt;0),MAX(0,G428+J428-K428),0),"Unavailable"))</x:f>
        <x:v>0</x:v>
      </x:c>
      <x:c r="M428" s="23" t="n">
        <x:f>IF(C428="","",IFERROR(IF(AND(AC428&gt;=0,D428&gt;=AC428+INDEX('Facilities'!$AK$9:$AK$108,MATCH(C428,'Facilities'!$C$9:$C$108,0))),(H428+L428)*AM428,0),"Unavailable"))</x:f>
        <x:v>0</x:v>
      </x:c>
      <x:c r="N428" s="23" t="n">
        <x:f>IF(C428="","",IFERROR(IF(AND(AC428&gt;=0,D428&gt;=AC428+INDEX('Facilities'!$AK$9:$AK$108,MATCH(C428,'Facilities'!$C$9:$C$108,0))),H428+L428-M428,0),"Unavailable"))</x:f>
        <x:v>0</x:v>
      </x:c>
      <x:c r="O428" s="21" t="n">
        <x:f>IF(C428="","",IFERROR(MAX(0,G428+J428-K428-L428),"Unavailable"))</x:f>
        <x:v>3.1227384199200006</x:v>
      </x:c>
      <x:c r="P428" s="21" t="n">
        <x:f>IF(C428="","",IFERROR(MAX(0,H428+L428-M428-N428),"Unavailable"))</x:f>
        <x:v>0</x:v>
      </x:c>
      <x:c r="Q428" s="23" t="n">
        <x:f>IF(C428="","",IFERROR(IF(OR(D428&gt;=INDEX('Facilities'!$J$9:$J$108,MATCH(C428,'Facilities'!$C$9:$C$108,0)),AND(AC428&gt;=0,AC428&lt;=D428)),0,MAX(0,I428-J428)),"Unavailable"))</x:f>
        <x:v>0.31758975</x:v>
      </x:c>
      <x:c r="R428" s="30" t="n">
        <x:f>IF(C428="","",IFERROR(INDEX(Credit!$Q$409:$Q$508,MATCH(F428,Credit!$C$409:$C$508,0)),"Unavailable"))</x:f>
        <x:v>0.054012298167127694</x:v>
      </x:c>
      <x:c r="S428" s="30" t="n">
        <x:f>IF(C428="","",IFERROR(INDEX(Credit!$R$409:$R$508,MATCH(F428,Credit!$C$409:$C$508,0)),"Unavailable"))</x:f>
        <x:v>0.44426496000000004</x:v>
      </x:c>
      <x:c r="T428" s="23" t="n">
        <x:f>IF(C428="","",IFERROR(IF(P428&gt;0,3,IF(OR(INDEX('Facilities'!$AD$9:$AD$108,MATCH(C428,'Facilities'!$C$9:$C$108,0))=2,AND(R428&gt;=INDEX('Facilities'!$L$9:$L$108,MATCH(C428,'Facilities'!$C$9:$C$108,0))*Settings!$F$19,R428-INDEX('Facilities'!$L$9:$L$108,MATCH(C428,'Facilities'!$C$9:$C$108,0))&gt;=Settings!$F$20)),2,1)),"Unavailable"))</x:f>
        <x:v>2</x:v>
      </x:c>
      <x:c r="U428" s="23" t="n">
        <x:f>IF(C428="","",IF(AQ428&lt;&gt;"Ready","Unavailable",IF(C428="","",O428*(1-(1-S428)/(1+INDEX('Facilities'!$K$9:$K$108,MATCH(C428,'Facilities'!$C$9:$C$108,0)))^INDEX('Facilities'!$AK$9:$AK$108,MATCH(C428,'Facilities'!$C$9:$C$108,0)))*R428/(1+INDEX('Facilities'!$K$9:$K$108,MATCH(C428,'Facilities'!$C$9:$C$108,0)))*IF(ABS(1-(1-R428)*(1-INDEX('Facilities'!$R$9:$R$108,MATCH(C428,'Facilities'!$C$9:$C$108,0)))/(1+INDEX('Facilities'!$K$9:$K$108,MATCH(C428,'Facilities'!$C$9:$C$108,0))))&lt;0.000000001,IF(T428=1,MIN(1,AJ428),AJ428),(1-((1-R428)*(1-INDEX('Facilities'!$R$9:$R$108,MATCH(C428,'Facilities'!$C$9:$C$108,0)))/(1+INDEX('Facilities'!$K$9:$K$108,MATCH(C428,'Facilities'!$C$9:$C$108,0))))^IF(T428=1,MIN(1,AJ428),AJ428))/(1-(1-R428)*(1-INDEX('Facilities'!$R$9:$R$108,MATCH(C428,'Facilities'!$C$9:$C$108,0)))/(1+INDEX('Facilities'!$K$9:$K$108,MATCH(C428,'Facilities'!$C$9:$C$108,0)))))+AL428)))</x:f>
        <x:v>0.2308113461851077</x:v>
      </x:c>
      <x:c r="V428" s="23" t="n">
        <x:f>IF(C428="","",IF(AQ428&lt;&gt;"Ready","Unavailable",IF(C428="","",Q428*INDEX('Facilities'!$I$9:$I$108,MATCH(C428,'Facilities'!$C$9:$C$108,0))*(1-(1-S428)/(1+INDEX('Facilities'!$K$9:$K$108,MATCH(C428,'Facilities'!$C$9:$C$108,0)))^INDEX('Facilities'!$AK$9:$AK$108,MATCH(C428,'Facilities'!$C$9:$C$108,0)))*R428/(1+INDEX('Facilities'!$K$9:$K$108,MATCH(C428,'Facilities'!$C$9:$C$108,0)))*IF(ABS(1-(1-R428)*(1-0)/(1+INDEX('Facilities'!$K$9:$K$108,MATCH(C428,'Facilities'!$C$9:$C$108,0))))&lt;0.000000001,IF(T428=1,MIN(1,AJ428),AJ428),(1-((1-R428)*(1-0)/(1+INDEX('Facilities'!$K$9:$K$108,MATCH(C428,'Facilities'!$C$9:$C$108,0))))^IF(T428=1,MIN(1,AJ428),AJ428))/(1-(1-R428)*(1-0)/(1+INDEX('Facilities'!$K$9:$K$108,MATCH(C428,'Facilities'!$C$9:$C$108,0))))))))</x:f>
        <x:v>0.013783708591275127</x:v>
      </x:c>
      <x:c r="W428" s="21" t="n">
        <x:f>IF(C428="","",IFERROR(U328,"Unavailable"))</x:f>
        <x:v>0.3113093442161265</x:v>
      </x:c>
      <x:c r="X428" s="21" t="n">
        <x:f>IF(C428="","",IFERROR(V328,"Unavailable"))</x:f>
        <x:v>0.018104537348612216</x:v>
      </x:c>
      <x:c r="Y428" s="21" t="n">
        <x:f>IF(C428="","",IF(AQ428&lt;&gt;"Ready","Unavailable",IF(C428="","",U428-W428+V428-X428+N428+AG428)))</x:f>
        <x:v>-0.08481882678835587</x:v>
      </x:c>
      <x:c r="Z428" s="23" t="n">
        <x:f>IF(C428="","",IF(AQ428&lt;&gt;"Ready","Unavailable",IF(C428="","",(G428+O428+L428)/2*INDEX('Facilities'!$T$9:$T$108,MATCH(C428,'Facilities'!$C$9:$C$108,0))+AG428)))</x:f>
        <x:v>0.31598473468620003</x:v>
      </x:c>
      <x:c r="AA428" s="23" t="n">
        <x:f>IF(C428="","",IF(AQ428&lt;&gt;"Ready","Unavailable",IF(C428="","",O428*(1-IF(INDEX('Facilities'!$AA$9:$AA$108,MATCH(C428,'Facilities'!$C$9:$C$108,0))=0,0,MIN(1,INDEX('Facilities'!$X$9:$X$108,MATCH(C428,'Facilities'!$C$9:$C$108,0))/INDEX('Facilities'!$AA$9:$AA$108,MATCH(C428,'Facilities'!$C$9:$C$108,0)))))*AF428+P428*(1-IF(INDEX('Facilities'!$AA$9:$AA$108,MATCH(C428,'Facilities'!$C$9:$C$108,0))=0,0,MIN(1,INDEX('Facilities'!$X$9:$X$108,MATCH(C428,'Facilities'!$C$9:$C$108,0))/INDEX('Facilities'!$AA$9:$AA$108,MATCH(C428,'Facilities'!$C$9:$C$108,0)))))*INDEX('Facilities'!$AJ$9:$AJ$108,MATCH(C428,'Facilities'!$C$9:$C$108,0))+Q428*INDEX('Facilities'!$AI$9:$AI$108,MATCH(C428,'Facilities'!$C$9:$C$108,0))*AF428)))</x:f>
        <x:v>3.998866250792641</x:v>
      </x:c>
      <x:c r="AB428" s="21" t="n">
        <x:f>IF(C428="","",O428+P428-AD428)</x:f>
        <x:v>-0.40683336408000015</x:v>
      </x:c>
      <x:c r="AC428" s="23" t="n">
        <x:f>IF(C428="","",IFERROR(IF(INDEX('Facilities'!$AD$9:$AD$108,MATCH(C428,'Facilities'!$C$9:$C$108,0))=3,0,IF(INDEX('Facilities'!$AN$9:$AN$108,MATCH(C428,'Facilities'!$C$9:$C$108,0))=0,-1,INDEX('Facilities'!$AN$9:$AN$108,MATCH(C428,'Facilities'!$C$9:$C$108,0)))),"Unavailable"))</x:f>
        <x:v>-1</x:v>
      </x:c>
      <x:c r="AD428" s="21" t="n">
        <x:f>IF(C428="","",IFERROR(G428+H428,"Unavailable"))</x:f>
        <x:v>3.5295717840000007</x:v>
      </x:c>
      <x:c r="AE428" s="21" t="n">
        <x:f>IF(C428="","",IF(AQ428&lt;&gt;"Ready","Unavailable",IF(C428="","",O428+P428-AD428-J428+K428+M428+N428)))</x:f>
        <x:v>-1.1102230246251565e-16</x:v>
      </x:c>
      <x:c r="AF428" s="30" t="n">
        <x:f>IF(C428="","",IFERROR(INDEX('Facilities'!$S$9:$S$108,MATCH(C428,'Facilities'!$C$9:$C$108,0))*'Scenario Paths'!J75,"Unavailable"))</x:f>
        <x:v>1.25</x:v>
      </x:c>
      <x:c r="AG428" s="23" t="n">
        <x:f>IF(C428="","",IF(AQ428&lt;&gt;"Ready","Unavailable",IF(C428="","",IF(H428&gt;0,MAX(0,H428-AK428)*((1+INDEX('Facilities'!$K$9:$K$108,MATCH(C428,'Facilities'!$C$9:$C$108,0)))^MIN(1,MAX(0,AC428+INDEX('Facilities'!$AK$9:$AK$108,MATCH(C428,'Facilities'!$C$9:$C$108,0))-D428+1))-1),0))))</x:f>
        <x:v>0</x:v>
      </x:c>
      <x:c r="AH428" s="21" t="n">
        <x:f>IF(C428="","",IF(AQ428&lt;&gt;"Ready","Unavailable",IF(C428="","",O428+P428)))</x:f>
        <x:v>3.1227384199200006</x:v>
      </x:c>
      <x:c r="AI428" s="21" t="n">
        <x:f>IF(C428="","",IF(AQ428&lt;&gt;"Ready","Unavailable",IF(C428="","",Z428-Y428)))</x:f>
        <x:v>0.40080356147455587</x:v>
      </x:c>
      <x:c r="AJ428" s="23" t="n">
        <x:f>IF(C428="","",IFERROR(MAX(0,INDEX('Facilities'!$J$9:$J$108,MATCH(C428,'Facilities'!$C$9:$C$108,0))-D428),"Unavailable"))</x:f>
        <x:v>4</x:v>
      </x:c>
      <x:c r="AK428" s="21" t="n">
        <x:f>IF(C428="","",IFERROR(AL328,"Unavailable"))</x:f>
        <x:v>0</x:v>
      </x:c>
      <x:c r="AL428" s="23" t="n">
        <x:f>IF(C428="","",IFERROR(IF(P428&gt;0,P428*(1-AM428/(1+INDEX('Facilities'!$K$9:$K$108,MATCH(C428,'Facilities'!$C$9:$C$108,0)))^MAX(0,AC428+INDEX('Facilities'!$AK$9:$AK$108,MATCH(C428,'Facilities'!$C$9:$C$108,0))-D428)),0),"Unavailable"))</x:f>
        <x:v>0</x:v>
      </x:c>
      <x:c r="AM428" s="30" t="n">
        <x:f>IF(C428="","",IFERROR(INDEX('Facilities'!$AL$9:$AL$108,MATCH(C428,'Facilities'!$C$9:$C$108,0)),"Unavailable"))</x:f>
        <x:v>0.55</x:v>
      </x:c>
      <x:c r="AN428" s="30" t="n">
        <x:f>IF(C428="","",IFERROR(INDEX(Credit!$T$409:$T$508,MATCH(F428,Credit!$C$409:$C$508,0)),"Unavailable"))</x:f>
        <x:v>0.0076159999999999995</x:v>
      </x:c>
      <x:c r="AO428" s="23" t="n">
        <x:f>IF(C428="","",IF(AQ428&lt;&gt;"Ready","Unavailable",IF(C428="","",O428+P428+Q428*INDEX('Facilities'!$I$9:$I$108,MATCH(C428,'Facilities'!$C$9:$C$108,0)))))</x:f>
        <x:v>3.2815332949200005</x:v>
      </x:c>
      <x:c r="AP428" s="21" t="n">
        <x:f>IF(C428="","",IF(AQ428&lt;&gt;"Ready","Unavailable",IF(C428="","",AH428-U428)))</x:f>
        <x:v>2.8919270737348928</x:v>
      </x:c>
      <x:c r="AQ428" s="23" t="str">
        <x:f>IFERROR(IF(C428="","",IF(AND(INDEX('Facilities'!$AF$9:$AF$108,MATCH(C428,'Facilities'!$C$9:$C$108,0))="Ready",INDEX(Credit!$U$409:$U$508,MATCH(F428,Credit!$C$409:$C$508,0))="Ready",ISNUMBER(W428)),"Ready","Review inputs")),"Review inputs")</x:f>
        <x:v>Ready</x:v>
      </x:c>
      <x:c r="AR428" s="23" t="n">
        <x:f>IF(C428="","",IF(AQ428&lt;&gt;"Ready","Unavailable",IF(C428="","",IF(O428=0,0,(IF(AJ428&lt;=1,O428,O428*INDEX('Facilities'!$R$9:$R$108,MATCH(C428,'Facilities'!$C$9:$C$108,0)))+O428*INDEX('Facilities'!$T$9:$T$108,MATCH(C428,'Facilities'!$C$9:$C$108,0)))/12))))</x:f>
        <x:v>0.05594906335690001</x:v>
      </x:c>
    </x:row>
    <x:row r="429" ht="26" customHeight="1">
      <x:c r="A429" s="1"/>
      <x:c r="B429" s="1"/>
      <x:c r="C429" s="9" t="str">
        <x:f>IF(Facilities!C29="","",Facilities!C29)</x:f>
        <x:v>F021</x:v>
      </x:c>
      <x:c r="D429" s="3" t="n">
        <x:v>5</x:v>
      </x:c>
      <x:c r="E429" s="9" t="n">
        <x:f>Settings!$F$18+4</x:f>
        <x:v>2031</x:v>
      </x:c>
      <x:c r="F429" s="9" t="str">
        <x:f>IF(C429="","",IFERROR(INDEX('Facilities'!$D$9:$D$108,MATCH(C429,'Facilities'!$C$9:$C$108,0)),"Unavailable"))</x:f>
        <x:v>B011</x:v>
      </x:c>
      <x:c r="G429" s="21" t="n">
        <x:f>IF(C429="","",IFERROR(O329,"Unavailable"))</x:f>
        <x:v>5.52128956</x:v>
      </x:c>
      <x:c r="H429" s="21" t="n">
        <x:f>IF(C429="","",IFERROR(P329,"Unavailable"))</x:f>
        <x:v>0</x:v>
      </x:c>
      <x:c r="I429" s="21" t="n">
        <x:f>IF(C429="","",IFERROR(Q329,"Unavailable"))</x:f>
        <x:v>1.002915</x:v>
      </x:c>
      <x:c r="J429" s="23" t="n">
        <x:f>IF(C429="","",IFERROR(IF(OR(H429&gt;0,AND(AC429&gt;=0,AC429&lt;D429),D429&gt;INDEX('Facilities'!$J$9:$J$108,MATCH(C429,'Facilities'!$C$9:$C$108,0))),0,I429*'Scenario Paths'!J81),"Unavailable"))</x:f>
        <x:v>0.05014575</x:v>
      </x:c>
      <x:c r="K429" s="23" t="n">
        <x:f>IF(C429="","",IFERROR(IF(OR(H429&gt;0,AND(AC429&gt;=0,AC429=D429)),0,IF(D429&gt;=INDEX('Facilities'!$J$9:$J$108,MATCH(C429,'Facilities'!$C$9:$C$108,0)),G429+J429,MIN(G429+J429,G429*INDEX('Facilities'!$R$9:$R$108,MATCH(C429,'Facilities'!$C$9:$C$108,0))))),"Unavailable"))</x:f>
        <x:v>5.57143531</x:v>
      </x:c>
      <x:c r="L429" s="21" t="n">
        <x:f>IF(C429="","",IFERROR(IF(AND(AC429=D429,AC429&gt;0),MAX(0,G429+J429-K429),0),"Unavailable"))</x:f>
        <x:v>0</x:v>
      </x:c>
      <x:c r="M429" s="23" t="n">
        <x:f>IF(C429="","",IFERROR(IF(AND(AC429&gt;=0,D429&gt;=AC429+INDEX('Facilities'!$AK$9:$AK$108,MATCH(C429,'Facilities'!$C$9:$C$108,0))),(H429+L429)*AM429,0),"Unavailable"))</x:f>
        <x:v>0</x:v>
      </x:c>
      <x:c r="N429" s="23" t="n">
        <x:f>IF(C429="","",IFERROR(IF(AND(AC429&gt;=0,D429&gt;=AC429+INDEX('Facilities'!$AK$9:$AK$108,MATCH(C429,'Facilities'!$C$9:$C$108,0))),H429+L429-M429,0),"Unavailable"))</x:f>
        <x:v>0</x:v>
      </x:c>
      <x:c r="O429" s="21" t="n">
        <x:f>IF(C429="","",IFERROR(MAX(0,G429+J429-K429-L429),"Unavailable"))</x:f>
        <x:v>0</x:v>
      </x:c>
      <x:c r="P429" s="21" t="n">
        <x:f>IF(C429="","",IFERROR(MAX(0,H429+L429-M429-N429),"Unavailable"))</x:f>
        <x:v>0</x:v>
      </x:c>
      <x:c r="Q429" s="23" t="n">
        <x:f>IF(C429="","",IFERROR(IF(OR(D429&gt;=INDEX('Facilities'!$J$9:$J$108,MATCH(C429,'Facilities'!$C$9:$C$108,0)),AND(AC429&gt;=0,AC429&lt;=D429)),0,MAX(0,I429-J429)),"Unavailable"))</x:f>
        <x:v>0</x:v>
      </x:c>
      <x:c r="R429" s="30" t="n">
        <x:f>IF(C429="","",IFERROR(INDEX(Credit!$Q$409:$Q$508,MATCH(F429,Credit!$C$409:$C$508,0)),"Unavailable"))</x:f>
        <x:v>0.06553420913268149</x:v>
      </x:c>
      <x:c r="S429" s="30" t="n">
        <x:f>IF(C429="","",IFERROR(INDEX(Credit!$R$409:$R$508,MATCH(F429,Credit!$C$409:$C$508,0)),"Unavailable"))</x:f>
        <x:v>0.282304</x:v>
      </x:c>
      <x:c r="T429" s="23" t="n">
        <x:f>IF(C429="","",IFERROR(IF(P429&gt;0,3,IF(OR(INDEX('Facilities'!$AD$9:$AD$108,MATCH(C429,'Facilities'!$C$9:$C$108,0))=2,AND(R429&gt;=INDEX('Facilities'!$L$9:$L$108,MATCH(C429,'Facilities'!$C$9:$C$108,0))*Settings!$F$19,R429-INDEX('Facilities'!$L$9:$L$108,MATCH(C429,'Facilities'!$C$9:$C$108,0))&gt;=Settings!$F$20)),2,1)),"Unavailable"))</x:f>
        <x:v>1</x:v>
      </x:c>
      <x:c r="U429" s="23" t="n">
        <x:f>IF(C429="","",IF(AQ429&lt;&gt;"Ready","Unavailable",IF(C429="","",O429*(1-(1-S429)/(1+INDEX('Facilities'!$K$9:$K$108,MATCH(C429,'Facilities'!$C$9:$C$108,0)))^INDEX('Facilities'!$AK$9:$AK$108,MATCH(C429,'Facilities'!$C$9:$C$108,0)))*R429/(1+INDEX('Facilities'!$K$9:$K$108,MATCH(C429,'Facilities'!$C$9:$C$108,0)))*IF(ABS(1-(1-R429)*(1-INDEX('Facilities'!$R$9:$R$108,MATCH(C429,'Facilities'!$C$9:$C$108,0)))/(1+INDEX('Facilities'!$K$9:$K$108,MATCH(C429,'Facilities'!$C$9:$C$108,0))))&lt;0.000000001,IF(T429=1,MIN(1,AJ429),AJ429),(1-((1-R429)*(1-INDEX('Facilities'!$R$9:$R$108,MATCH(C429,'Facilities'!$C$9:$C$108,0)))/(1+INDEX('Facilities'!$K$9:$K$108,MATCH(C429,'Facilities'!$C$9:$C$108,0))))^IF(T429=1,MIN(1,AJ429),AJ429))/(1-(1-R429)*(1-INDEX('Facilities'!$R$9:$R$108,MATCH(C429,'Facilities'!$C$9:$C$108,0)))/(1+INDEX('Facilities'!$K$9:$K$108,MATCH(C429,'Facilities'!$C$9:$C$108,0)))))+AL429)))</x:f>
        <x:v>0</x:v>
      </x:c>
      <x:c r="V429" s="23" t="n">
        <x:f>IF(C429="","",IF(AQ429&lt;&gt;"Ready","Unavailable",IF(C429="","",Q429*INDEX('Facilities'!$I$9:$I$108,MATCH(C429,'Facilities'!$C$9:$C$108,0))*(1-(1-S429)/(1+INDEX('Facilities'!$K$9:$K$108,MATCH(C429,'Facilities'!$C$9:$C$108,0)))^INDEX('Facilities'!$AK$9:$AK$108,MATCH(C429,'Facilities'!$C$9:$C$108,0)))*R429/(1+INDEX('Facilities'!$K$9:$K$108,MATCH(C429,'Facilities'!$C$9:$C$108,0)))*IF(ABS(1-(1-R429)*(1-0)/(1+INDEX('Facilities'!$K$9:$K$108,MATCH(C429,'Facilities'!$C$9:$C$108,0))))&lt;0.000000001,IF(T429=1,MIN(1,AJ429),AJ429),(1-((1-R429)*(1-0)/(1+INDEX('Facilities'!$K$9:$K$108,MATCH(C429,'Facilities'!$C$9:$C$108,0))))^IF(T429=1,MIN(1,AJ429),AJ429))/(1-(1-R429)*(1-0)/(1+INDEX('Facilities'!$K$9:$K$108,MATCH(C429,'Facilities'!$C$9:$C$108,0))))))))</x:f>
        <x:v>0</x:v>
      </x:c>
      <x:c r="W429" s="21" t="n">
        <x:f>IF(C429="","",IFERROR(U329,"Unavailable"))</x:f>
        <x:v>0.13708817579190644</x:v>
      </x:c>
      <x:c r="X429" s="21" t="n">
        <x:f>IF(C429="","",IFERROR(V329,"Unavailable"))</x:f>
        <x:v>0.01245069528868722</x:v>
      </x:c>
      <x:c r="Y429" s="21" t="n">
        <x:f>IF(C429="","",IF(AQ429&lt;&gt;"Ready","Unavailable",IF(C429="","",U429-W429+V429-X429+N429+AG429)))</x:f>
        <x:v>-0.14953887108059366</x:v>
      </x:c>
      <x:c r="Z429" s="23" t="n">
        <x:f>IF(C429="","",IF(AQ429&lt;&gt;"Ready","Unavailable",IF(C429="","",(G429+O429+L429)/2*INDEX('Facilities'!$T$9:$T$108,MATCH(C429,'Facilities'!$C$9:$C$108,0))+AG429)))</x:f>
        <x:v>0.2622612541</x:v>
      </x:c>
      <x:c r="AA429" s="23" t="n">
        <x:f>IF(C429="","",IF(AQ429&lt;&gt;"Ready","Unavailable",IF(C429="","",O429*(1-IF(INDEX('Facilities'!$AA$9:$AA$108,MATCH(C429,'Facilities'!$C$9:$C$108,0))=0,0,MIN(1,INDEX('Facilities'!$X$9:$X$108,MATCH(C429,'Facilities'!$C$9:$C$108,0))/INDEX('Facilities'!$AA$9:$AA$108,MATCH(C429,'Facilities'!$C$9:$C$108,0)))))*AF429+P429*(1-IF(INDEX('Facilities'!$AA$9:$AA$108,MATCH(C429,'Facilities'!$C$9:$C$108,0))=0,0,MIN(1,INDEX('Facilities'!$X$9:$X$108,MATCH(C429,'Facilities'!$C$9:$C$108,0))/INDEX('Facilities'!$AA$9:$AA$108,MATCH(C429,'Facilities'!$C$9:$C$108,0)))))*INDEX('Facilities'!$AJ$9:$AJ$108,MATCH(C429,'Facilities'!$C$9:$C$108,0))+Q429*INDEX('Facilities'!$AI$9:$AI$108,MATCH(C429,'Facilities'!$C$9:$C$108,0))*AF429)))</x:f>
        <x:v>0</x:v>
      </x:c>
      <x:c r="AB429" s="21" t="n">
        <x:f>IF(C429="","",O429+P429-AD429)</x:f>
        <x:v>-5.52128956</x:v>
      </x:c>
      <x:c r="AC429" s="23" t="n">
        <x:f>IF(C429="","",IFERROR(IF(INDEX('Facilities'!$AD$9:$AD$108,MATCH(C429,'Facilities'!$C$9:$C$108,0))=3,0,IF(INDEX('Facilities'!$AN$9:$AN$108,MATCH(C429,'Facilities'!$C$9:$C$108,0))=0,-1,INDEX('Facilities'!$AN$9:$AN$108,MATCH(C429,'Facilities'!$C$9:$C$108,0)))),"Unavailable"))</x:f>
        <x:v>-1</x:v>
      </x:c>
      <x:c r="AD429" s="21" t="n">
        <x:f>IF(C429="","",IFERROR(G429+H429,"Unavailable"))</x:f>
        <x:v>5.52128956</x:v>
      </x:c>
      <x:c r="AE429" s="21" t="n">
        <x:f>IF(C429="","",IF(AQ429&lt;&gt;"Ready","Unavailable",IF(C429="","",O429+P429-AD429-J429+K429+M429+N429)))</x:f>
        <x:v>0</x:v>
      </x:c>
      <x:c r="AF429" s="30" t="n">
        <x:f>IF(C429="","",IFERROR(INDEX('Facilities'!$S$9:$S$108,MATCH(C429,'Facilities'!$C$9:$C$108,0))*'Scenario Paths'!J75,"Unavailable"))</x:f>
        <x:v>1.25</x:v>
      </x:c>
      <x:c r="AG429" s="23" t="n">
        <x:f>IF(C429="","",IF(AQ429&lt;&gt;"Ready","Unavailable",IF(C429="","",IF(H429&gt;0,MAX(0,H429-AK429)*((1+INDEX('Facilities'!$K$9:$K$108,MATCH(C429,'Facilities'!$C$9:$C$108,0)))^MIN(1,MAX(0,AC429+INDEX('Facilities'!$AK$9:$AK$108,MATCH(C429,'Facilities'!$C$9:$C$108,0))-D429+1))-1),0))))</x:f>
        <x:v>0</x:v>
      </x:c>
      <x:c r="AH429" s="21" t="n">
        <x:f>IF(C429="","",IF(AQ429&lt;&gt;"Ready","Unavailable",IF(C429="","",O429+P429)))</x:f>
        <x:v>0</x:v>
      </x:c>
      <x:c r="AI429" s="21" t="n">
        <x:f>IF(C429="","",IF(AQ429&lt;&gt;"Ready","Unavailable",IF(C429="","",Z429-Y429)))</x:f>
        <x:v>0.41180012518059367</x:v>
      </x:c>
      <x:c r="AJ429" s="23" t="n">
        <x:f>IF(C429="","",IFERROR(MAX(0,INDEX('Facilities'!$J$9:$J$108,MATCH(C429,'Facilities'!$C$9:$C$108,0))-D429),"Unavailable"))</x:f>
        <x:v>0</x:v>
      </x:c>
      <x:c r="AK429" s="21" t="n">
        <x:f>IF(C429="","",IFERROR(AL329,"Unavailable"))</x:f>
        <x:v>0</x:v>
      </x:c>
      <x:c r="AL429" s="23" t="n">
        <x:f>IF(C429="","",IFERROR(IF(P429&gt;0,P429*(1-AM429/(1+INDEX('Facilities'!$K$9:$K$108,MATCH(C429,'Facilities'!$C$9:$C$108,0)))^MAX(0,AC429+INDEX('Facilities'!$AK$9:$AK$108,MATCH(C429,'Facilities'!$C$9:$C$108,0))-D429)),0),"Unavailable"))</x:f>
        <x:v>0</x:v>
      </x:c>
      <x:c r="AM429" s="30" t="n">
        <x:f>IF(C429="","",IFERROR(INDEX('Facilities'!$AL$9:$AL$108,MATCH(C429,'Facilities'!$C$9:$C$108,0)),"Unavailable"))</x:f>
        <x:v>0.55</x:v>
      </x:c>
      <x:c r="AN429" s="30" t="n">
        <x:f>IF(C429="","",IFERROR(INDEX(Credit!$T$409:$T$508,MATCH(F429,Credit!$C$409:$C$508,0)),"Unavailable"))</x:f>
        <x:v>0.0032000000000000006</x:v>
      </x:c>
      <x:c r="AO429" s="23" t="n">
        <x:f>IF(C429="","",IF(AQ429&lt;&gt;"Ready","Unavailable",IF(C429="","",O429+P429+Q429*INDEX('Facilities'!$I$9:$I$108,MATCH(C429,'Facilities'!$C$9:$C$108,0)))))</x:f>
        <x:v>0</x:v>
      </x:c>
      <x:c r="AP429" s="21" t="n">
        <x:f>IF(C429="","",IF(AQ429&lt;&gt;"Ready","Unavailable",IF(C429="","",AH429-U429)))</x:f>
        <x:v>0</x:v>
      </x:c>
      <x:c r="AQ429" s="23" t="str">
        <x:f>IFERROR(IF(C429="","",IF(AND(INDEX('Facilities'!$AF$9:$AF$108,MATCH(C429,'Facilities'!$C$9:$C$108,0))="Ready",INDEX(Credit!$U$409:$U$508,MATCH(F429,Credit!$C$409:$C$508,0))="Ready",ISNUMBER(W429)),"Ready","Review inputs")),"Review inputs")</x:f>
        <x:v>Ready</x:v>
      </x:c>
      <x:c r="AR429" s="23" t="n">
        <x:f>IF(C429="","",IF(AQ429&lt;&gt;"Ready","Unavailable",IF(C429="","",IF(O429=0,0,(IF(AJ429&lt;=1,O429,O429*INDEX('Facilities'!$R$9:$R$108,MATCH(C429,'Facilities'!$C$9:$C$108,0)))+O429*INDEX('Facilities'!$T$9:$T$108,MATCH(C429,'Facilities'!$C$9:$C$108,0)))/12))))</x:f>
        <x:v>0</x:v>
      </x:c>
    </x:row>
    <x:row r="430" ht="26" customHeight="1">
      <x:c r="A430" s="1"/>
      <x:c r="B430" s="1"/>
      <x:c r="C430" s="9" t="str">
        <x:f>IF(Facilities!C30="","",Facilities!C30)</x:f>
        <x:v>F022</x:v>
      </x:c>
      <x:c r="D430" s="3" t="n">
        <x:v>5</x:v>
      </x:c>
      <x:c r="E430" s="9" t="n">
        <x:f>Settings!$F$18+4</x:f>
        <x:v>2031</x:v>
      </x:c>
      <x:c r="F430" s="9" t="str">
        <x:f>IF(C430="","",IFERROR(INDEX('Facilities'!$D$9:$D$108,MATCH(C430,'Facilities'!$C$9:$C$108,0)),"Unavailable"))</x:f>
        <x:v>B011</x:v>
      </x:c>
      <x:c r="G430" s="21" t="n">
        <x:f>IF(C430="","",IFERROR(O330,"Unavailable"))</x:f>
        <x:v>3.73946516</x:v>
      </x:c>
      <x:c r="H430" s="21" t="n">
        <x:f>IF(C430="","",IFERROR(P330,"Unavailable"))</x:f>
        <x:v>0</x:v>
      </x:c>
      <x:c r="I430" s="21" t="n">
        <x:f>IF(C430="","",IFERROR(Q330,"Unavailable"))</x:f>
        <x:v>0.334305</x:v>
      </x:c>
      <x:c r="J430" s="23" t="n">
        <x:f>IF(C430="","",IFERROR(IF(OR(H430&gt;0,AND(AC430&gt;=0,AC430&lt;D430),D430&gt;INDEX('Facilities'!$J$9:$J$108,MATCH(C430,'Facilities'!$C$9:$C$108,0))),0,I430*'Scenario Paths'!J81),"Unavailable"))</x:f>
        <x:v>0.01671525</x:v>
      </x:c>
      <x:c r="K430" s="23" t="n">
        <x:f>IF(C430="","",IFERROR(IF(OR(H430&gt;0,AND(AC430&gt;=0,AC430=D430)),0,IF(D430&gt;=INDEX('Facilities'!$J$9:$J$108,MATCH(C430,'Facilities'!$C$9:$C$108,0)),G430+J430,MIN(G430+J430,G430*INDEX('Facilities'!$R$9:$R$108,MATCH(C430,'Facilities'!$C$9:$C$108,0))))),"Unavailable"))</x:f>
        <x:v>3.75618041</x:v>
      </x:c>
      <x:c r="L430" s="21" t="n">
        <x:f>IF(C430="","",IFERROR(IF(AND(AC430=D430,AC430&gt;0),MAX(0,G430+J430-K430),0),"Unavailable"))</x:f>
        <x:v>0</x:v>
      </x:c>
      <x:c r="M430" s="23" t="n">
        <x:f>IF(C430="","",IFERROR(IF(AND(AC430&gt;=0,D430&gt;=AC430+INDEX('Facilities'!$AK$9:$AK$108,MATCH(C430,'Facilities'!$C$9:$C$108,0))),(H430+L430)*AM430,0),"Unavailable"))</x:f>
        <x:v>0</x:v>
      </x:c>
      <x:c r="N430" s="23" t="n">
        <x:f>IF(C430="","",IFERROR(IF(AND(AC430&gt;=0,D430&gt;=AC430+INDEX('Facilities'!$AK$9:$AK$108,MATCH(C430,'Facilities'!$C$9:$C$108,0))),H430+L430-M430,0),"Unavailable"))</x:f>
        <x:v>0</x:v>
      </x:c>
      <x:c r="O430" s="21" t="n">
        <x:f>IF(C430="","",IFERROR(MAX(0,G430+J430-K430-L430),"Unavailable"))</x:f>
        <x:v>0</x:v>
      </x:c>
      <x:c r="P430" s="21" t="n">
        <x:f>IF(C430="","",IFERROR(MAX(0,H430+L430-M430-N430),"Unavailable"))</x:f>
        <x:v>0</x:v>
      </x:c>
      <x:c r="Q430" s="23" t="n">
        <x:f>IF(C430="","",IFERROR(IF(OR(D430&gt;=INDEX('Facilities'!$J$9:$J$108,MATCH(C430,'Facilities'!$C$9:$C$108,0)),AND(AC430&gt;=0,AC430&lt;=D430)),0,MAX(0,I430-J430)),"Unavailable"))</x:f>
        <x:v>0</x:v>
      </x:c>
      <x:c r="R430" s="30" t="n">
        <x:f>IF(C430="","",IFERROR(INDEX(Credit!$Q$409:$Q$508,MATCH(F430,Credit!$C$409:$C$508,0)),"Unavailable"))</x:f>
        <x:v>0.06553420913268149</x:v>
      </x:c>
      <x:c r="S430" s="30" t="n">
        <x:f>IF(C430="","",IFERROR(INDEX(Credit!$R$409:$R$508,MATCH(F430,Credit!$C$409:$C$508,0)),"Unavailable"))</x:f>
        <x:v>0.282304</x:v>
      </x:c>
      <x:c r="T430" s="23" t="n">
        <x:f>IF(C430="","",IFERROR(IF(P430&gt;0,3,IF(OR(INDEX('Facilities'!$AD$9:$AD$108,MATCH(C430,'Facilities'!$C$9:$C$108,0))=2,AND(R430&gt;=INDEX('Facilities'!$L$9:$L$108,MATCH(C430,'Facilities'!$C$9:$C$108,0))*Settings!$F$19,R430-INDEX('Facilities'!$L$9:$L$108,MATCH(C430,'Facilities'!$C$9:$C$108,0))&gt;=Settings!$F$20)),2,1)),"Unavailable"))</x:f>
        <x:v>1</x:v>
      </x:c>
      <x:c r="U430" s="23" t="n">
        <x:f>IF(C430="","",IF(AQ430&lt;&gt;"Ready","Unavailable",IF(C430="","",O430*(1-(1-S430)/(1+INDEX('Facilities'!$K$9:$K$108,MATCH(C430,'Facilities'!$C$9:$C$108,0)))^INDEX('Facilities'!$AK$9:$AK$108,MATCH(C430,'Facilities'!$C$9:$C$108,0)))*R430/(1+INDEX('Facilities'!$K$9:$K$108,MATCH(C430,'Facilities'!$C$9:$C$108,0)))*IF(ABS(1-(1-R430)*(1-INDEX('Facilities'!$R$9:$R$108,MATCH(C430,'Facilities'!$C$9:$C$108,0)))/(1+INDEX('Facilities'!$K$9:$K$108,MATCH(C430,'Facilities'!$C$9:$C$108,0))))&lt;0.000000001,IF(T430=1,MIN(1,AJ430),AJ430),(1-((1-R430)*(1-INDEX('Facilities'!$R$9:$R$108,MATCH(C430,'Facilities'!$C$9:$C$108,0)))/(1+INDEX('Facilities'!$K$9:$K$108,MATCH(C430,'Facilities'!$C$9:$C$108,0))))^IF(T430=1,MIN(1,AJ430),AJ430))/(1-(1-R430)*(1-INDEX('Facilities'!$R$9:$R$108,MATCH(C430,'Facilities'!$C$9:$C$108,0)))/(1+INDEX('Facilities'!$K$9:$K$108,MATCH(C430,'Facilities'!$C$9:$C$108,0)))))+AL430)))</x:f>
        <x:v>0</x:v>
      </x:c>
      <x:c r="V430" s="23" t="n">
        <x:f>IF(C430="","",IF(AQ430&lt;&gt;"Ready","Unavailable",IF(C430="","",Q430*INDEX('Facilities'!$I$9:$I$108,MATCH(C430,'Facilities'!$C$9:$C$108,0))*(1-(1-S430)/(1+INDEX('Facilities'!$K$9:$K$108,MATCH(C430,'Facilities'!$C$9:$C$108,0)))^INDEX('Facilities'!$AK$9:$AK$108,MATCH(C430,'Facilities'!$C$9:$C$108,0)))*R430/(1+INDEX('Facilities'!$K$9:$K$108,MATCH(C430,'Facilities'!$C$9:$C$108,0)))*IF(ABS(1-(1-R430)*(1-0)/(1+INDEX('Facilities'!$K$9:$K$108,MATCH(C430,'Facilities'!$C$9:$C$108,0))))&lt;0.000000001,IF(T430=1,MIN(1,AJ430),AJ430),(1-((1-R430)*(1-0)/(1+INDEX('Facilities'!$K$9:$K$108,MATCH(C430,'Facilities'!$C$9:$C$108,0))))^IF(T430=1,MIN(1,AJ430),AJ430))/(1-(1-R430)*(1-0)/(1+INDEX('Facilities'!$K$9:$K$108,MATCH(C430,'Facilities'!$C$9:$C$108,0))))))))</x:f>
        <x:v>0</x:v>
      </x:c>
      <x:c r="W430" s="21" t="n">
        <x:f>IF(C430="","",IFERROR(U330,"Unavailable"))</x:f>
        <x:v>0.09284723281598539</x:v>
      </x:c>
      <x:c r="X430" s="21" t="n">
        <x:f>IF(C430="","",IFERROR(V330,"Unavailable"))</x:f>
        <x:v>0.00415023176289574</x:v>
      </x:c>
      <x:c r="Y430" s="21" t="n">
        <x:f>IF(C430="","",IF(AQ430&lt;&gt;"Ready","Unavailable",IF(C430="","",U430-W430+V430-X430+N430+AG430)))</x:f>
        <x:v>-0.09699746457888113</x:v>
      </x:c>
      <x:c r="Z430" s="23" t="n">
        <x:f>IF(C430="","",IF(AQ430&lt;&gt;"Ready","Unavailable",IF(C430="","",(G430+O430+L430)/2*INDEX('Facilities'!$T$9:$T$108,MATCH(C430,'Facilities'!$C$9:$C$108,0))+AG430)))</x:f>
        <x:v>0.1776245951</x:v>
      </x:c>
      <x:c r="AA430" s="23" t="n">
        <x:f>IF(C430="","",IF(AQ430&lt;&gt;"Ready","Unavailable",IF(C430="","",O430*(1-IF(INDEX('Facilities'!$AA$9:$AA$108,MATCH(C430,'Facilities'!$C$9:$C$108,0))=0,0,MIN(1,INDEX('Facilities'!$X$9:$X$108,MATCH(C430,'Facilities'!$C$9:$C$108,0))/INDEX('Facilities'!$AA$9:$AA$108,MATCH(C430,'Facilities'!$C$9:$C$108,0)))))*AF430+P430*(1-IF(INDEX('Facilities'!$AA$9:$AA$108,MATCH(C430,'Facilities'!$C$9:$C$108,0))=0,0,MIN(1,INDEX('Facilities'!$X$9:$X$108,MATCH(C430,'Facilities'!$C$9:$C$108,0))/INDEX('Facilities'!$AA$9:$AA$108,MATCH(C430,'Facilities'!$C$9:$C$108,0)))))*INDEX('Facilities'!$AJ$9:$AJ$108,MATCH(C430,'Facilities'!$C$9:$C$108,0))+Q430*INDEX('Facilities'!$AI$9:$AI$108,MATCH(C430,'Facilities'!$C$9:$C$108,0))*AF430)))</x:f>
        <x:v>0</x:v>
      </x:c>
      <x:c r="AB430" s="21" t="n">
        <x:f>IF(C430="","",O430+P430-AD430)</x:f>
        <x:v>-3.73946516</x:v>
      </x:c>
      <x:c r="AC430" s="23" t="n">
        <x:f>IF(C430="","",IFERROR(IF(INDEX('Facilities'!$AD$9:$AD$108,MATCH(C430,'Facilities'!$C$9:$C$108,0))=3,0,IF(INDEX('Facilities'!$AN$9:$AN$108,MATCH(C430,'Facilities'!$C$9:$C$108,0))=0,-1,INDEX('Facilities'!$AN$9:$AN$108,MATCH(C430,'Facilities'!$C$9:$C$108,0)))),"Unavailable"))</x:f>
        <x:v>-1</x:v>
      </x:c>
      <x:c r="AD430" s="21" t="n">
        <x:f>IF(C430="","",IFERROR(G430+H430,"Unavailable"))</x:f>
        <x:v>3.73946516</x:v>
      </x:c>
      <x:c r="AE430" s="21" t="n">
        <x:f>IF(C430="","",IF(AQ430&lt;&gt;"Ready","Unavailable",IF(C430="","",O430+P430-AD430-J430+K430+M430+N430)))</x:f>
        <x:v>0</x:v>
      </x:c>
      <x:c r="AF430" s="30" t="n">
        <x:f>IF(C430="","",IFERROR(INDEX('Facilities'!$S$9:$S$108,MATCH(C430,'Facilities'!$C$9:$C$108,0))*'Scenario Paths'!J75,"Unavailable"))</x:f>
        <x:v>1.25</x:v>
      </x:c>
      <x:c r="AG430" s="23" t="n">
        <x:f>IF(C430="","",IF(AQ430&lt;&gt;"Ready","Unavailable",IF(C430="","",IF(H430&gt;0,MAX(0,H430-AK430)*((1+INDEX('Facilities'!$K$9:$K$108,MATCH(C430,'Facilities'!$C$9:$C$108,0)))^MIN(1,MAX(0,AC430+INDEX('Facilities'!$AK$9:$AK$108,MATCH(C430,'Facilities'!$C$9:$C$108,0))-D430+1))-1),0))))</x:f>
        <x:v>0</x:v>
      </x:c>
      <x:c r="AH430" s="21" t="n">
        <x:f>IF(C430="","",IF(AQ430&lt;&gt;"Ready","Unavailable",IF(C430="","",O430+P430)))</x:f>
        <x:v>0</x:v>
      </x:c>
      <x:c r="AI430" s="21" t="n">
        <x:f>IF(C430="","",IF(AQ430&lt;&gt;"Ready","Unavailable",IF(C430="","",Z430-Y430)))</x:f>
        <x:v>0.27462205967888115</x:v>
      </x:c>
      <x:c r="AJ430" s="23" t="n">
        <x:f>IF(C430="","",IFERROR(MAX(0,INDEX('Facilities'!$J$9:$J$108,MATCH(C430,'Facilities'!$C$9:$C$108,0))-D430),"Unavailable"))</x:f>
        <x:v>0</x:v>
      </x:c>
      <x:c r="AK430" s="21" t="n">
        <x:f>IF(C430="","",IFERROR(AL330,"Unavailable"))</x:f>
        <x:v>0</x:v>
      </x:c>
      <x:c r="AL430" s="23" t="n">
        <x:f>IF(C430="","",IFERROR(IF(P430&gt;0,P430*(1-AM430/(1+INDEX('Facilities'!$K$9:$K$108,MATCH(C430,'Facilities'!$C$9:$C$108,0)))^MAX(0,AC430+INDEX('Facilities'!$AK$9:$AK$108,MATCH(C430,'Facilities'!$C$9:$C$108,0))-D430)),0),"Unavailable"))</x:f>
        <x:v>0</x:v>
      </x:c>
      <x:c r="AM430" s="30" t="n">
        <x:f>IF(C430="","",IFERROR(INDEX('Facilities'!$AL$9:$AL$108,MATCH(C430,'Facilities'!$C$9:$C$108,0)),"Unavailable"))</x:f>
        <x:v>0.55</x:v>
      </x:c>
      <x:c r="AN430" s="30" t="n">
        <x:f>IF(C430="","",IFERROR(INDEX(Credit!$T$409:$T$508,MATCH(F430,Credit!$C$409:$C$508,0)),"Unavailable"))</x:f>
        <x:v>0.0032000000000000006</x:v>
      </x:c>
      <x:c r="AO430" s="23" t="n">
        <x:f>IF(C430="","",IF(AQ430&lt;&gt;"Ready","Unavailable",IF(C430="","",O430+P430+Q430*INDEX('Facilities'!$I$9:$I$108,MATCH(C430,'Facilities'!$C$9:$C$108,0)))))</x:f>
        <x:v>0</x:v>
      </x:c>
      <x:c r="AP430" s="21" t="n">
        <x:f>IF(C430="","",IF(AQ430&lt;&gt;"Ready","Unavailable",IF(C430="","",AH430-U430)))</x:f>
        <x:v>0</x:v>
      </x:c>
      <x:c r="AQ430" s="23" t="str">
        <x:f>IFERROR(IF(C430="","",IF(AND(INDEX('Facilities'!$AF$9:$AF$108,MATCH(C430,'Facilities'!$C$9:$C$108,0))="Ready",INDEX(Credit!$U$409:$U$508,MATCH(F430,Credit!$C$409:$C$508,0))="Ready",ISNUMBER(W430)),"Ready","Review inputs")),"Review inputs")</x:f>
        <x:v>Ready</x:v>
      </x:c>
      <x:c r="AR430" s="23" t="n">
        <x:f>IF(C430="","",IF(AQ430&lt;&gt;"Ready","Unavailable",IF(C430="","",IF(O430=0,0,(IF(AJ430&lt;=1,O430,O430*INDEX('Facilities'!$R$9:$R$108,MATCH(C430,'Facilities'!$C$9:$C$108,0)))+O430*INDEX('Facilities'!$T$9:$T$108,MATCH(C430,'Facilities'!$C$9:$C$108,0)))/12))))</x:f>
        <x:v>0</x:v>
      </x:c>
    </x:row>
    <x:row r="431" ht="26" customHeight="1">
      <x:c r="A431" s="1"/>
      <x:c r="B431" s="1"/>
      <x:c r="C431" s="9" t="str">
        <x:f>IF(Facilities!C31="","",Facilities!C31)</x:f>
        <x:v>F023</x:v>
      </x:c>
      <x:c r="D431" s="3" t="n">
        <x:v>5</x:v>
      </x:c>
      <x:c r="E431" s="9" t="n">
        <x:f>Settings!$F$18+4</x:f>
        <x:v>2031</x:v>
      </x:c>
      <x:c r="F431" s="9" t="str">
        <x:f>IF(C431="","",IFERROR(INDEX('Facilities'!$D$9:$D$108,MATCH(C431,'Facilities'!$C$9:$C$108,0)),"Unavailable"))</x:f>
        <x:v>B012</x:v>
      </x:c>
      <x:c r="G431" s="21" t="n">
        <x:f>IF(C431="","",IFERROR(O331,"Unavailable"))</x:f>
        <x:v>5.731182936</x:v>
      </x:c>
      <x:c r="H431" s="21" t="n">
        <x:f>IF(C431="","",IFERROR(P331,"Unavailable"))</x:f>
        <x:v>0</x:v>
      </x:c>
      <x:c r="I431" s="21" t="n">
        <x:f>IF(C431="","",IFERROR(Q331,"Unavailable"))</x:f>
        <x:v>1.002915</x:v>
      </x:c>
      <x:c r="J431" s="23" t="n">
        <x:f>IF(C431="","",IFERROR(IF(OR(H431&gt;0,AND(AC431&gt;=0,AC431&lt;D431),D431&gt;INDEX('Facilities'!$J$9:$J$108,MATCH(C431,'Facilities'!$C$9:$C$108,0))),0,I431*'Scenario Paths'!J81),"Unavailable"))</x:f>
        <x:v>0.05014575</x:v>
      </x:c>
      <x:c r="K431" s="23" t="n">
        <x:f>IF(C431="","",IFERROR(IF(OR(H431&gt;0,AND(AC431&gt;=0,AC431=D431)),0,IF(D431&gt;=INDEX('Facilities'!$J$9:$J$108,MATCH(C431,'Facilities'!$C$9:$C$108,0)),G431+J431,MIN(G431+J431,G431*INDEX('Facilities'!$R$9:$R$108,MATCH(C431,'Facilities'!$C$9:$C$108,0))))),"Unavailable"))</x:f>
        <x:v>0.6877419523199999</x:v>
      </x:c>
      <x:c r="L431" s="21" t="n">
        <x:f>IF(C431="","",IFERROR(IF(AND(AC431=D431,AC431&gt;0),MAX(0,G431+J431-K431),0),"Unavailable"))</x:f>
        <x:v>0</x:v>
      </x:c>
      <x:c r="M431" s="23" t="n">
        <x:f>IF(C431="","",IFERROR(IF(AND(AC431&gt;=0,D431&gt;=AC431+INDEX('Facilities'!$AK$9:$AK$108,MATCH(C431,'Facilities'!$C$9:$C$108,0))),(H431+L431)*AM431,0),"Unavailable"))</x:f>
        <x:v>0</x:v>
      </x:c>
      <x:c r="N431" s="23" t="n">
        <x:f>IF(C431="","",IFERROR(IF(AND(AC431&gt;=0,D431&gt;=AC431+INDEX('Facilities'!$AK$9:$AK$108,MATCH(C431,'Facilities'!$C$9:$C$108,0))),H431+L431-M431,0),"Unavailable"))</x:f>
        <x:v>0</x:v>
      </x:c>
      <x:c r="O431" s="21" t="n">
        <x:f>IF(C431="","",IFERROR(MAX(0,G431+J431-K431-L431),"Unavailable"))</x:f>
        <x:v>5.0935867336800005</x:v>
      </x:c>
      <x:c r="P431" s="21" t="n">
        <x:f>IF(C431="","",IFERROR(MAX(0,H431+L431-M431-N431),"Unavailable"))</x:f>
        <x:v>0</x:v>
      </x:c>
      <x:c r="Q431" s="23" t="n">
        <x:f>IF(C431="","",IFERROR(IF(OR(D431&gt;=INDEX('Facilities'!$J$9:$J$108,MATCH(C431,'Facilities'!$C$9:$C$108,0)),AND(AC431&gt;=0,AC431&lt;=D431)),0,MAX(0,I431-J431)),"Unavailable"))</x:f>
        <x:v>0.95276925</x:v>
      </x:c>
      <x:c r="R431" s="30" t="n">
        <x:f>IF(C431="","",IFERROR(INDEX(Credit!$Q$409:$Q$508,MATCH(F431,Credit!$C$409:$C$508,0)),"Unavailable"))</x:f>
        <x:v>0.07984053724199312</x:v>
      </x:c>
      <x:c r="S431" s="30" t="n">
        <x:f>IF(C431="","",IFERROR(INDEX(Credit!$R$409:$R$508,MATCH(F431,Credit!$C$409:$C$508,0)),"Unavailable"))</x:f>
        <x:v>0.32452608</x:v>
      </x:c>
      <x:c r="T431" s="23" t="n">
        <x:f>IF(C431="","",IFERROR(IF(P431&gt;0,3,IF(OR(INDEX('Facilities'!$AD$9:$AD$108,MATCH(C431,'Facilities'!$C$9:$C$108,0))=2,AND(R431&gt;=INDEX('Facilities'!$L$9:$L$108,MATCH(C431,'Facilities'!$C$9:$C$108,0))*Settings!$F$19,R431-INDEX('Facilities'!$L$9:$L$108,MATCH(C431,'Facilities'!$C$9:$C$108,0))&gt;=Settings!$F$20)),2,1)),"Unavailable"))</x:f>
        <x:v>1</x:v>
      </x:c>
      <x:c r="U431" s="23" t="n">
        <x:f>IF(C431="","",IF(AQ431&lt;&gt;"Ready","Unavailable",IF(C431="","",O431*(1-(1-S431)/(1+INDEX('Facilities'!$K$9:$K$108,MATCH(C431,'Facilities'!$C$9:$C$108,0)))^INDEX('Facilities'!$AK$9:$AK$108,MATCH(C431,'Facilities'!$C$9:$C$108,0)))*R431/(1+INDEX('Facilities'!$K$9:$K$108,MATCH(C431,'Facilities'!$C$9:$C$108,0)))*IF(ABS(1-(1-R431)*(1-INDEX('Facilities'!$R$9:$R$108,MATCH(C431,'Facilities'!$C$9:$C$108,0)))/(1+INDEX('Facilities'!$K$9:$K$108,MATCH(C431,'Facilities'!$C$9:$C$108,0))))&lt;0.000000001,IF(T431=1,MIN(1,AJ431),AJ431),(1-((1-R431)*(1-INDEX('Facilities'!$R$9:$R$108,MATCH(C431,'Facilities'!$C$9:$C$108,0)))/(1+INDEX('Facilities'!$K$9:$K$108,MATCH(C431,'Facilities'!$C$9:$C$108,0))))^IF(T431=1,MIN(1,AJ431),AJ431))/(1-(1-R431)*(1-INDEX('Facilities'!$R$9:$R$108,MATCH(C431,'Facilities'!$C$9:$C$108,0)))/(1+INDEX('Facilities'!$K$9:$K$108,MATCH(C431,'Facilities'!$C$9:$C$108,0)))))+AL431)))</x:f>
        <x:v>0.15848639764261857</x:v>
      </x:c>
      <x:c r="V431" s="23" t="n">
        <x:f>IF(C431="","",IF(AQ431&lt;&gt;"Ready","Unavailable",IF(C431="","",Q431*INDEX('Facilities'!$I$9:$I$108,MATCH(C431,'Facilities'!$C$9:$C$108,0))*(1-(1-S431)/(1+INDEX('Facilities'!$K$9:$K$108,MATCH(C431,'Facilities'!$C$9:$C$108,0)))^INDEX('Facilities'!$AK$9:$AK$108,MATCH(C431,'Facilities'!$C$9:$C$108,0)))*R431/(1+INDEX('Facilities'!$K$9:$K$108,MATCH(C431,'Facilities'!$C$9:$C$108,0)))*IF(ABS(1-(1-R431)*(1-0)/(1+INDEX('Facilities'!$K$9:$K$108,MATCH(C431,'Facilities'!$C$9:$C$108,0))))&lt;0.000000001,IF(T431=1,MIN(1,AJ431),AJ431),(1-((1-R431)*(1-0)/(1+INDEX('Facilities'!$K$9:$K$108,MATCH(C431,'Facilities'!$C$9:$C$108,0))))^IF(T431=1,MIN(1,AJ431),AJ431))/(1-(1-R431)*(1-0)/(1+INDEX('Facilities'!$K$9:$K$108,MATCH(C431,'Facilities'!$C$9:$C$108,0))))))))</x:f>
        <x:v>0.014822655832942368</x:v>
      </x:c>
      <x:c r="W431" s="21" t="n">
        <x:f>IF(C431="","",IFERROR(U331,"Unavailable"))</x:f>
        <x:v>0.18689550941435207</x:v>
      </x:c>
      <x:c r="X431" s="21" t="n">
        <x:f>IF(C431="","",IFERROR(V331,"Unavailable"))</x:f>
        <x:v>0.016352672032758066</x:v>
      </x:c>
      <x:c r="Y431" s="21" t="n">
        <x:f>IF(C431="","",IF(AQ431&lt;&gt;"Ready","Unavailable",IF(C431="","",U431-W431+V431-X431+N431+AG431)))</x:f>
        <x:v>-0.029939127971549195</x:v>
      </x:c>
      <x:c r="Z431" s="23" t="n">
        <x:f>IF(C431="","",IF(AQ431&lt;&gt;"Ready","Unavailable",IF(C431="","",(G431+O431+L431)/2*INDEX('Facilities'!$T$9:$T$108,MATCH(C431,'Facilities'!$C$9:$C$108,0))+AG431)))</x:f>
        <x:v>0.5141765593098</x:v>
      </x:c>
      <x:c r="AA431" s="23" t="n">
        <x:f>IF(C431="","",IF(AQ431&lt;&gt;"Ready","Unavailable",IF(C431="","",O431*(1-IF(INDEX('Facilities'!$AA$9:$AA$108,MATCH(C431,'Facilities'!$C$9:$C$108,0))=0,0,MIN(1,INDEX('Facilities'!$X$9:$X$108,MATCH(C431,'Facilities'!$C$9:$C$108,0))/INDEX('Facilities'!$AA$9:$AA$108,MATCH(C431,'Facilities'!$C$9:$C$108,0)))))*AF431+P431*(1-IF(INDEX('Facilities'!$AA$9:$AA$108,MATCH(C431,'Facilities'!$C$9:$C$108,0))=0,0,MIN(1,INDEX('Facilities'!$X$9:$X$108,MATCH(C431,'Facilities'!$C$9:$C$108,0))/INDEX('Facilities'!$AA$9:$AA$108,MATCH(C431,'Facilities'!$C$9:$C$108,0)))))*INDEX('Facilities'!$AJ$9:$AJ$108,MATCH(C431,'Facilities'!$C$9:$C$108,0))+Q431*INDEX('Facilities'!$AI$9:$AI$108,MATCH(C431,'Facilities'!$C$9:$C$108,0))*AF431)))</x:f>
        <x:v>6.791319684098353</x:v>
      </x:c>
      <x:c r="AB431" s="21" t="n">
        <x:f>IF(C431="","",O431+P431-AD431)</x:f>
        <x:v>-0.6375962023199993</x:v>
      </x:c>
      <x:c r="AC431" s="23" t="n">
        <x:f>IF(C431="","",IFERROR(IF(INDEX('Facilities'!$AD$9:$AD$108,MATCH(C431,'Facilities'!$C$9:$C$108,0))=3,0,IF(INDEX('Facilities'!$AN$9:$AN$108,MATCH(C431,'Facilities'!$C$9:$C$108,0))=0,-1,INDEX('Facilities'!$AN$9:$AN$108,MATCH(C431,'Facilities'!$C$9:$C$108,0)))),"Unavailable"))</x:f>
        <x:v>-1</x:v>
      </x:c>
      <x:c r="AD431" s="21" t="n">
        <x:f>IF(C431="","",IFERROR(G431+H431,"Unavailable"))</x:f>
        <x:v>5.731182936</x:v>
      </x:c>
      <x:c r="AE431" s="21" t="n">
        <x:f>IF(C431="","",IF(AQ431&lt;&gt;"Ready","Unavailable",IF(C431="","",O431+P431-AD431-J431+K431+M431+N431)))</x:f>
        <x:v>6.661338147750939e-16</x:v>
      </x:c>
      <x:c r="AF431" s="30" t="n">
        <x:f>IF(C431="","",IFERROR(INDEX('Facilities'!$S$9:$S$108,MATCH(C431,'Facilities'!$C$9:$C$108,0))*'Scenario Paths'!J75,"Unavailable"))</x:f>
        <x:v>1.25</x:v>
      </x:c>
      <x:c r="AG431" s="23" t="n">
        <x:f>IF(C431="","",IF(AQ431&lt;&gt;"Ready","Unavailable",IF(C431="","",IF(H431&gt;0,MAX(0,H431-AK431)*((1+INDEX('Facilities'!$K$9:$K$108,MATCH(C431,'Facilities'!$C$9:$C$108,0)))^MIN(1,MAX(0,AC431+INDEX('Facilities'!$AK$9:$AK$108,MATCH(C431,'Facilities'!$C$9:$C$108,0))-D431+1))-1),0))))</x:f>
        <x:v>0</x:v>
      </x:c>
      <x:c r="AH431" s="21" t="n">
        <x:f>IF(C431="","",IF(AQ431&lt;&gt;"Ready","Unavailable",IF(C431="","",O431+P431)))</x:f>
        <x:v>5.0935867336800005</x:v>
      </x:c>
      <x:c r="AI431" s="21" t="n">
        <x:f>IF(C431="","",IF(AQ431&lt;&gt;"Ready","Unavailable",IF(C431="","",Z431-Y431)))</x:f>
        <x:v>0.5441156872813492</x:v>
      </x:c>
      <x:c r="AJ431" s="23" t="n">
        <x:f>IF(C431="","",IFERROR(MAX(0,INDEX('Facilities'!$J$9:$J$108,MATCH(C431,'Facilities'!$C$9:$C$108,0))-D431),"Unavailable"))</x:f>
        <x:v>1</x:v>
      </x:c>
      <x:c r="AK431" s="21" t="n">
        <x:f>IF(C431="","",IFERROR(AL331,"Unavailable"))</x:f>
        <x:v>0</x:v>
      </x:c>
      <x:c r="AL431" s="23" t="n">
        <x:f>IF(C431="","",IFERROR(IF(P431&gt;0,P431*(1-AM431/(1+INDEX('Facilities'!$K$9:$K$108,MATCH(C431,'Facilities'!$C$9:$C$108,0)))^MAX(0,AC431+INDEX('Facilities'!$AK$9:$AK$108,MATCH(C431,'Facilities'!$C$9:$C$108,0))-D431)),0),"Unavailable"))</x:f>
        <x:v>0</x:v>
      </x:c>
      <x:c r="AM431" s="30" t="n">
        <x:f>IF(C431="","",IFERROR(INDEX('Facilities'!$AL$9:$AL$108,MATCH(C431,'Facilities'!$C$9:$C$108,0)),"Unavailable"))</x:f>
        <x:v>0.55</x:v>
      </x:c>
      <x:c r="AN431" s="30" t="n">
        <x:f>IF(C431="","",IFERROR(INDEX(Credit!$T$409:$T$508,MATCH(F431,Credit!$C$409:$C$508,0)),"Unavailable"))</x:f>
        <x:v>0.006656</x:v>
      </x:c>
      <x:c r="AO431" s="23" t="n">
        <x:f>IF(C431="","",IF(AQ431&lt;&gt;"Ready","Unavailable",IF(C431="","",O431+P431+Q431*INDEX('Facilities'!$I$9:$I$108,MATCH(C431,'Facilities'!$C$9:$C$108,0)))))</x:f>
        <x:v>5.56997135868</x:v>
      </x:c>
      <x:c r="AP431" s="21" t="n">
        <x:f>IF(C431="","",IF(AQ431&lt;&gt;"Ready","Unavailable",IF(C431="","",AH431-U431)))</x:f>
        <x:v>4.935100336037382</x:v>
      </x:c>
      <x:c r="AQ431" s="23" t="str">
        <x:f>IFERROR(IF(C431="","",IF(AND(INDEX('Facilities'!$AF$9:$AF$108,MATCH(C431,'Facilities'!$C$9:$C$108,0))="Ready",INDEX(Credit!$U$409:$U$508,MATCH(F431,Credit!$C$409:$C$508,0))="Ready",ISNUMBER(W431)),"Ready","Review inputs")),"Review inputs")</x:f>
        <x:v>Ready</x:v>
      </x:c>
      <x:c r="AR431" s="23" t="n">
        <x:f>IF(C431="","",IF(AQ431&lt;&gt;"Ready","Unavailable",IF(C431="","",IF(O431=0,0,(IF(AJ431&lt;=1,O431,O431*INDEX('Facilities'!$R$9:$R$108,MATCH(C431,'Facilities'!$C$9:$C$108,0)))+O431*INDEX('Facilities'!$T$9:$T$108,MATCH(C431,'Facilities'!$C$9:$C$108,0)))/12))))</x:f>
        <x:v>0.4647897894483</x:v>
      </x:c>
    </x:row>
    <x:row r="432" ht="26" customHeight="1">
      <x:c r="A432" s="1"/>
      <x:c r="B432" s="1"/>
      <x:c r="C432" s="9" t="str">
        <x:f>IF(Facilities!C32="","",Facilities!C32)</x:f>
        <x:v>F024</x:v>
      </x:c>
      <x:c r="D432" s="3" t="n">
        <x:v>5</x:v>
      </x:c>
      <x:c r="E432" s="9" t="n">
        <x:f>Settings!$F$18+4</x:f>
        <x:v>2031</x:v>
      </x:c>
      <x:c r="F432" s="9" t="str">
        <x:f>IF(C432="","",IFERROR(INDEX('Facilities'!$D$9:$D$108,MATCH(C432,'Facilities'!$C$9:$C$108,0)),"Unavailable"))</x:f>
        <x:v>B012</x:v>
      </x:c>
      <x:c r="G432" s="21" t="n">
        <x:f>IF(C432="","",IFERROR(O332,"Unavailable"))</x:f>
        <x:v>3.949358536</x:v>
      </x:c>
      <x:c r="H432" s="21" t="n">
        <x:f>IF(C432="","",IFERROR(P332,"Unavailable"))</x:f>
        <x:v>0</x:v>
      </x:c>
      <x:c r="I432" s="21" t="n">
        <x:f>IF(C432="","",IFERROR(Q332,"Unavailable"))</x:f>
        <x:v>0.334305</x:v>
      </x:c>
      <x:c r="J432" s="23" t="n">
        <x:f>IF(C432="","",IFERROR(IF(OR(H432&gt;0,AND(AC432&gt;=0,AC432&lt;D432),D432&gt;INDEX('Facilities'!$J$9:$J$108,MATCH(C432,'Facilities'!$C$9:$C$108,0))),0,I432*'Scenario Paths'!J81),"Unavailable"))</x:f>
        <x:v>0.01671525</x:v>
      </x:c>
      <x:c r="K432" s="23" t="n">
        <x:f>IF(C432="","",IFERROR(IF(OR(H432&gt;0,AND(AC432&gt;=0,AC432=D432)),0,IF(D432&gt;=INDEX('Facilities'!$J$9:$J$108,MATCH(C432,'Facilities'!$C$9:$C$108,0)),G432+J432,MIN(G432+J432,G432*INDEX('Facilities'!$R$9:$R$108,MATCH(C432,'Facilities'!$C$9:$C$108,0))))),"Unavailable"))</x:f>
        <x:v>0.47392302432</x:v>
      </x:c>
      <x:c r="L432" s="21" t="n">
        <x:f>IF(C432="","",IFERROR(IF(AND(AC432=D432,AC432&gt;0),MAX(0,G432+J432-K432),0),"Unavailable"))</x:f>
        <x:v>0</x:v>
      </x:c>
      <x:c r="M432" s="23" t="n">
        <x:f>IF(C432="","",IFERROR(IF(AND(AC432&gt;=0,D432&gt;=AC432+INDEX('Facilities'!$AK$9:$AK$108,MATCH(C432,'Facilities'!$C$9:$C$108,0))),(H432+L432)*AM432,0),"Unavailable"))</x:f>
        <x:v>0</x:v>
      </x:c>
      <x:c r="N432" s="23" t="n">
        <x:f>IF(C432="","",IFERROR(IF(AND(AC432&gt;=0,D432&gt;=AC432+INDEX('Facilities'!$AK$9:$AK$108,MATCH(C432,'Facilities'!$C$9:$C$108,0))),H432+L432-M432,0),"Unavailable"))</x:f>
        <x:v>0</x:v>
      </x:c>
      <x:c r="O432" s="21" t="n">
        <x:f>IF(C432="","",IFERROR(MAX(0,G432+J432-K432-L432),"Unavailable"))</x:f>
        <x:v>3.49215076168</x:v>
      </x:c>
      <x:c r="P432" s="21" t="n">
        <x:f>IF(C432="","",IFERROR(MAX(0,H432+L432-M432-N432),"Unavailable"))</x:f>
        <x:v>0</x:v>
      </x:c>
      <x:c r="Q432" s="23" t="n">
        <x:f>IF(C432="","",IFERROR(IF(OR(D432&gt;=INDEX('Facilities'!$J$9:$J$108,MATCH(C432,'Facilities'!$C$9:$C$108,0)),AND(AC432&gt;=0,AC432&lt;=D432)),0,MAX(0,I432-J432)),"Unavailable"))</x:f>
        <x:v>0.31758975</x:v>
      </x:c>
      <x:c r="R432" s="30" t="n">
        <x:f>IF(C432="","",IFERROR(INDEX(Credit!$Q$409:$Q$508,MATCH(F432,Credit!$C$409:$C$508,0)),"Unavailable"))</x:f>
        <x:v>0.07984053724199312</x:v>
      </x:c>
      <x:c r="S432" s="30" t="n">
        <x:f>IF(C432="","",IFERROR(INDEX(Credit!$R$409:$R$508,MATCH(F432,Credit!$C$409:$C$508,0)),"Unavailable"))</x:f>
        <x:v>0.32452608</x:v>
      </x:c>
      <x:c r="T432" s="23" t="n">
        <x:f>IF(C432="","",IFERROR(IF(P432&gt;0,3,IF(OR(INDEX('Facilities'!$AD$9:$AD$108,MATCH(C432,'Facilities'!$C$9:$C$108,0))=2,AND(R432&gt;=INDEX('Facilities'!$L$9:$L$108,MATCH(C432,'Facilities'!$C$9:$C$108,0))*Settings!$F$19,R432-INDEX('Facilities'!$L$9:$L$108,MATCH(C432,'Facilities'!$C$9:$C$108,0))&gt;=Settings!$F$20)),2,1)),"Unavailable"))</x:f>
        <x:v>1</x:v>
      </x:c>
      <x:c r="U432" s="23" t="n">
        <x:f>IF(C432="","",IF(AQ432&lt;&gt;"Ready","Unavailable",IF(C432="","",O432*(1-(1-S432)/(1+INDEX('Facilities'!$K$9:$K$108,MATCH(C432,'Facilities'!$C$9:$C$108,0)))^INDEX('Facilities'!$AK$9:$AK$108,MATCH(C432,'Facilities'!$C$9:$C$108,0)))*R432/(1+INDEX('Facilities'!$K$9:$K$108,MATCH(C432,'Facilities'!$C$9:$C$108,0)))*IF(ABS(1-(1-R432)*(1-INDEX('Facilities'!$R$9:$R$108,MATCH(C432,'Facilities'!$C$9:$C$108,0)))/(1+INDEX('Facilities'!$K$9:$K$108,MATCH(C432,'Facilities'!$C$9:$C$108,0))))&lt;0.000000001,IF(T432=1,MIN(1,AJ432),AJ432),(1-((1-R432)*(1-INDEX('Facilities'!$R$9:$R$108,MATCH(C432,'Facilities'!$C$9:$C$108,0)))/(1+INDEX('Facilities'!$K$9:$K$108,MATCH(C432,'Facilities'!$C$9:$C$108,0))))^IF(T432=1,MIN(1,AJ432),AJ432))/(1-(1-R432)*(1-INDEX('Facilities'!$R$9:$R$108,MATCH(C432,'Facilities'!$C$9:$C$108,0)))/(1+INDEX('Facilities'!$K$9:$K$108,MATCH(C432,'Facilities'!$C$9:$C$108,0)))))+AL432)))</x:f>
        <x:v>0.10865789141941806</x:v>
      </x:c>
      <x:c r="V432" s="23" t="n">
        <x:f>IF(C432="","",IF(AQ432&lt;&gt;"Ready","Unavailable",IF(C432="","",Q432*INDEX('Facilities'!$I$9:$I$108,MATCH(C432,'Facilities'!$C$9:$C$108,0))*(1-(1-S432)/(1+INDEX('Facilities'!$K$9:$K$108,MATCH(C432,'Facilities'!$C$9:$C$108,0)))^INDEX('Facilities'!$AK$9:$AK$108,MATCH(C432,'Facilities'!$C$9:$C$108,0)))*R432/(1+INDEX('Facilities'!$K$9:$K$108,MATCH(C432,'Facilities'!$C$9:$C$108,0)))*IF(ABS(1-(1-R432)*(1-0)/(1+INDEX('Facilities'!$K$9:$K$108,MATCH(C432,'Facilities'!$C$9:$C$108,0))))&lt;0.000000001,IF(T432=1,MIN(1,AJ432),AJ432),(1-((1-R432)*(1-0)/(1+INDEX('Facilities'!$K$9:$K$108,MATCH(C432,'Facilities'!$C$9:$C$108,0))))^IF(T432=1,MIN(1,AJ432),AJ432))/(1-(1-R432)*(1-0)/(1+INDEX('Facilities'!$K$9:$K$108,MATCH(C432,'Facilities'!$C$9:$C$108,0))))))))</x:f>
        <x:v>0.004940885277647457</x:v>
      </x:c>
      <x:c r="W432" s="21" t="n">
        <x:f>IF(C432="","",IFERROR(U332,"Unavailable"))</x:f>
        <x:v>0.12878970775984314</x:v>
      </x:c>
      <x:c r="X432" s="21" t="n">
        <x:f>IF(C432="","",IFERROR(V332,"Unavailable"))</x:f>
        <x:v>0.005450890677586022</x:v>
      </x:c>
      <x:c r="Y432" s="21" t="n">
        <x:f>IF(C432="","",IF(AQ432&lt;&gt;"Ready","Unavailable",IF(C432="","",U432-W432+V432-X432+N432+AG432)))</x:f>
        <x:v>-0.02064182174036364</x:v>
      </x:c>
      <x:c r="Z432" s="23" t="n">
        <x:f>IF(C432="","",IF(AQ432&lt;&gt;"Ready","Unavailable",IF(C432="","",(G432+O432+L432)/2*INDEX('Facilities'!$T$9:$T$108,MATCH(C432,'Facilities'!$C$9:$C$108,0))+AG432)))</x:f>
        <x:v>0.35347169163979997</x:v>
      </x:c>
      <x:c r="AA432" s="23" t="n">
        <x:f>IF(C432="","",IF(AQ432&lt;&gt;"Ready","Unavailable",IF(C432="","",O432*(1-IF(INDEX('Facilities'!$AA$9:$AA$108,MATCH(C432,'Facilities'!$C$9:$C$108,0))=0,0,MIN(1,INDEX('Facilities'!$X$9:$X$108,MATCH(C432,'Facilities'!$C$9:$C$108,0))/INDEX('Facilities'!$AA$9:$AA$108,MATCH(C432,'Facilities'!$C$9:$C$108,0)))))*AF432+P432*(1-IF(INDEX('Facilities'!$AA$9:$AA$108,MATCH(C432,'Facilities'!$C$9:$C$108,0))=0,0,MIN(1,INDEX('Facilities'!$X$9:$X$108,MATCH(C432,'Facilities'!$C$9:$C$108,0))/INDEX('Facilities'!$AA$9:$AA$108,MATCH(C432,'Facilities'!$C$9:$C$108,0)))))*INDEX('Facilities'!$AJ$9:$AJ$108,MATCH(C432,'Facilities'!$C$9:$C$108,0))+Q432*INDEX('Facilities'!$AI$9:$AI$108,MATCH(C432,'Facilities'!$C$9:$C$108,0))*AF432)))</x:f>
        <x:v>4.446345780257552</x:v>
      </x:c>
      <x:c r="AB432" s="21" t="n">
        <x:f>IF(C432="","",O432+P432-AD432)</x:f>
        <x:v>-0.45720777432000004</x:v>
      </x:c>
      <x:c r="AC432" s="23" t="n">
        <x:f>IF(C432="","",IFERROR(IF(INDEX('Facilities'!$AD$9:$AD$108,MATCH(C432,'Facilities'!$C$9:$C$108,0))=3,0,IF(INDEX('Facilities'!$AN$9:$AN$108,MATCH(C432,'Facilities'!$C$9:$C$108,0))=0,-1,INDEX('Facilities'!$AN$9:$AN$108,MATCH(C432,'Facilities'!$C$9:$C$108,0)))),"Unavailable"))</x:f>
        <x:v>-1</x:v>
      </x:c>
      <x:c r="AD432" s="21" t="n">
        <x:f>IF(C432="","",IFERROR(G432+H432,"Unavailable"))</x:f>
        <x:v>3.949358536</x:v>
      </x:c>
      <x:c r="AE432" s="21" t="n">
        <x:f>IF(C432="","",IF(AQ432&lt;&gt;"Ready","Unavailable",IF(C432="","",O432+P432-AD432-J432+K432+M432+N432)))</x:f>
        <x:v>-5.551115123125783e-17</x:v>
      </x:c>
      <x:c r="AF432" s="30" t="n">
        <x:f>IF(C432="","",IFERROR(INDEX('Facilities'!$S$9:$S$108,MATCH(C432,'Facilities'!$C$9:$C$108,0))*'Scenario Paths'!J75,"Unavailable"))</x:f>
        <x:v>1.25</x:v>
      </x:c>
      <x:c r="AG432" s="23" t="n">
        <x:f>IF(C432="","",IF(AQ432&lt;&gt;"Ready","Unavailable",IF(C432="","",IF(H432&gt;0,MAX(0,H432-AK432)*((1+INDEX('Facilities'!$K$9:$K$108,MATCH(C432,'Facilities'!$C$9:$C$108,0)))^MIN(1,MAX(0,AC432+INDEX('Facilities'!$AK$9:$AK$108,MATCH(C432,'Facilities'!$C$9:$C$108,0))-D432+1))-1),0))))</x:f>
        <x:v>0</x:v>
      </x:c>
      <x:c r="AH432" s="21" t="n">
        <x:f>IF(C432="","",IF(AQ432&lt;&gt;"Ready","Unavailable",IF(C432="","",O432+P432)))</x:f>
        <x:v>3.49215076168</x:v>
      </x:c>
      <x:c r="AI432" s="21" t="n">
        <x:f>IF(C432="","",IF(AQ432&lt;&gt;"Ready","Unavailable",IF(C432="","",Z432-Y432)))</x:f>
        <x:v>0.37411351338016363</x:v>
      </x:c>
      <x:c r="AJ432" s="23" t="n">
        <x:f>IF(C432="","",IFERROR(MAX(0,INDEX('Facilities'!$J$9:$J$108,MATCH(C432,'Facilities'!$C$9:$C$108,0))-D432),"Unavailable"))</x:f>
        <x:v>1</x:v>
      </x:c>
      <x:c r="AK432" s="21" t="n">
        <x:f>IF(C432="","",IFERROR(AL332,"Unavailable"))</x:f>
        <x:v>0</x:v>
      </x:c>
      <x:c r="AL432" s="23" t="n">
        <x:f>IF(C432="","",IFERROR(IF(P432&gt;0,P432*(1-AM432/(1+INDEX('Facilities'!$K$9:$K$108,MATCH(C432,'Facilities'!$C$9:$C$108,0)))^MAX(0,AC432+INDEX('Facilities'!$AK$9:$AK$108,MATCH(C432,'Facilities'!$C$9:$C$108,0))-D432)),0),"Unavailable"))</x:f>
        <x:v>0</x:v>
      </x:c>
      <x:c r="AM432" s="30" t="n">
        <x:f>IF(C432="","",IFERROR(INDEX('Facilities'!$AL$9:$AL$108,MATCH(C432,'Facilities'!$C$9:$C$108,0)),"Unavailable"))</x:f>
        <x:v>0.55</x:v>
      </x:c>
      <x:c r="AN432" s="30" t="n">
        <x:f>IF(C432="","",IFERROR(INDEX(Credit!$T$409:$T$508,MATCH(F432,Credit!$C$409:$C$508,0)),"Unavailable"))</x:f>
        <x:v>0.006656</x:v>
      </x:c>
      <x:c r="AO432" s="23" t="n">
        <x:f>IF(C432="","",IF(AQ432&lt;&gt;"Ready","Unavailable",IF(C432="","",O432+P432+Q432*INDEX('Facilities'!$I$9:$I$108,MATCH(C432,'Facilities'!$C$9:$C$108,0)))))</x:f>
        <x:v>3.65094563668</x:v>
      </x:c>
      <x:c r="AP432" s="21" t="n">
        <x:f>IF(C432="","",IF(AQ432&lt;&gt;"Ready","Unavailable",IF(C432="","",AH432-U432)))</x:f>
        <x:v>3.383492870260582</x:v>
      </x:c>
      <x:c r="AQ432" s="23" t="str">
        <x:f>IFERROR(IF(C432="","",IF(AND(INDEX('Facilities'!$AF$9:$AF$108,MATCH(C432,'Facilities'!$C$9:$C$108,0))="Ready",INDEX(Credit!$U$409:$U$508,MATCH(F432,Credit!$C$409:$C$508,0))="Ready",ISNUMBER(W432)),"Ready","Review inputs")),"Review inputs")</x:f>
        <x:v>Ready</x:v>
      </x:c>
      <x:c r="AR432" s="23" t="n">
        <x:f>IF(C432="","",IF(AQ432&lt;&gt;"Ready","Unavailable",IF(C432="","",IF(O432=0,0,(IF(AJ432&lt;=1,O432,O432*INDEX('Facilities'!$R$9:$R$108,MATCH(C432,'Facilities'!$C$9:$C$108,0)))+O432*INDEX('Facilities'!$T$9:$T$108,MATCH(C432,'Facilities'!$C$9:$C$108,0)))/12))))</x:f>
        <x:v>0.3186587570033</x:v>
      </x:c>
    </x:row>
    <x:row r="433" ht="26" customHeight="1">
      <x:c r="A433" s="1"/>
      <x:c r="B433" s="1"/>
      <x:c r="C433" s="9" t="str">
        <x:f>IF(Facilities!C33="","",Facilities!C33)</x:f>
        <x:v>F025</x:v>
      </x:c>
      <x:c r="D433" s="3" t="n">
        <x:v>5</x:v>
      </x:c>
      <x:c r="E433" s="9" t="n">
        <x:f>Settings!$F$18+4</x:f>
        <x:v>2031</x:v>
      </x:c>
      <x:c r="F433" s="9" t="str">
        <x:f>IF(C433="","",IFERROR(INDEX('Facilities'!$D$9:$D$108,MATCH(C433,'Facilities'!$C$9:$C$108,0)),"Unavailable"))</x:f>
        <x:v>B013</x:v>
      </x:c>
      <x:c r="G433" s="21" t="n">
        <x:f>IF(C433="","",IFERROR(O333,"Unavailable"))</x:f>
        <x:v>5.941076312</x:v>
      </x:c>
      <x:c r="H433" s="21" t="n">
        <x:f>IF(C433="","",IFERROR(P333,"Unavailable"))</x:f>
        <x:v>0</x:v>
      </x:c>
      <x:c r="I433" s="21" t="n">
        <x:f>IF(C433="","",IFERROR(Q333,"Unavailable"))</x:f>
        <x:v>1.002915</x:v>
      </x:c>
      <x:c r="J433" s="23" t="n">
        <x:f>IF(C433="","",IFERROR(IF(OR(H433&gt;0,AND(AC433&gt;=0,AC433&lt;D433),D433&gt;INDEX('Facilities'!$J$9:$J$108,MATCH(C433,'Facilities'!$C$9:$C$108,0))),0,I433*'Scenario Paths'!J81),"Unavailable"))</x:f>
        <x:v>0.05014575</x:v>
      </x:c>
      <x:c r="K433" s="23" t="n">
        <x:f>IF(C433="","",IFERROR(IF(OR(H433&gt;0,AND(AC433&gt;=0,AC433=D433)),0,IF(D433&gt;=INDEX('Facilities'!$J$9:$J$108,MATCH(C433,'Facilities'!$C$9:$C$108,0)),G433+J433,MIN(G433+J433,G433*INDEX('Facilities'!$R$9:$R$108,MATCH(C433,'Facilities'!$C$9:$C$108,0))))),"Unavailable"))</x:f>
        <x:v>0.71292915744</x:v>
      </x:c>
      <x:c r="L433" s="21" t="n">
        <x:f>IF(C433="","",IFERROR(IF(AND(AC433=D433,AC433&gt;0),MAX(0,G433+J433-K433),0),"Unavailable"))</x:f>
        <x:v>0</x:v>
      </x:c>
      <x:c r="M433" s="23" t="n">
        <x:f>IF(C433="","",IFERROR(IF(AND(AC433&gt;=0,D433&gt;=AC433+INDEX('Facilities'!$AK$9:$AK$108,MATCH(C433,'Facilities'!$C$9:$C$108,0))),(H433+L433)*AM433,0),"Unavailable"))</x:f>
        <x:v>0</x:v>
      </x:c>
      <x:c r="N433" s="23" t="n">
        <x:f>IF(C433="","",IFERROR(IF(AND(AC433&gt;=0,D433&gt;=AC433+INDEX('Facilities'!$AK$9:$AK$108,MATCH(C433,'Facilities'!$C$9:$C$108,0))),H433+L433-M433,0),"Unavailable"))</x:f>
        <x:v>0</x:v>
      </x:c>
      <x:c r="O433" s="21" t="n">
        <x:f>IF(C433="","",IFERROR(MAX(0,G433+J433-K433-L433),"Unavailable"))</x:f>
        <x:v>5.278292904560001</x:v>
      </x:c>
      <x:c r="P433" s="21" t="n">
        <x:f>IF(C433="","",IFERROR(MAX(0,H433+L433-M433-N433),"Unavailable"))</x:f>
        <x:v>0</x:v>
      </x:c>
      <x:c r="Q433" s="23" t="n">
        <x:f>IF(C433="","",IFERROR(IF(OR(D433&gt;=INDEX('Facilities'!$J$9:$J$108,MATCH(C433,'Facilities'!$C$9:$C$108,0)),AND(AC433&gt;=0,AC433&lt;=D433)),0,MAX(0,I433-J433)),"Unavailable"))</x:f>
        <x:v>0.95276925</x:v>
      </x:c>
      <x:c r="R433" s="30" t="n">
        <x:f>IF(C433="","",IFERROR(INDEX(Credit!$Q$409:$Q$508,MATCH(F433,Credit!$C$409:$C$508,0)),"Unavailable"))</x:f>
        <x:v>0.046302330653329414</x:v>
      </x:c>
      <x:c r="S433" s="30" t="n">
        <x:f>IF(C433="","",IFERROR(INDEX(Credit!$R$409:$R$508,MATCH(F433,Credit!$C$409:$C$508,0)),"Unavailable"))</x:f>
        <x:v>0.36315392</x:v>
      </x:c>
      <x:c r="T433" s="23" t="n">
        <x:f>IF(C433="","",IFERROR(IF(P433&gt;0,3,IF(OR(INDEX('Facilities'!$AD$9:$AD$108,MATCH(C433,'Facilities'!$C$9:$C$108,0))=2,AND(R433&gt;=INDEX('Facilities'!$L$9:$L$108,MATCH(C433,'Facilities'!$C$9:$C$108,0))*Settings!$F$19,R433-INDEX('Facilities'!$L$9:$L$108,MATCH(C433,'Facilities'!$C$9:$C$108,0))&gt;=Settings!$F$20)),2,1)),"Unavailable"))</x:f>
        <x:v>2</x:v>
      </x:c>
      <x:c r="U433" s="23" t="n">
        <x:f>IF(C433="","",IF(AQ433&lt;&gt;"Ready","Unavailable",IF(C433="","",O433*(1-(1-S433)/(1+INDEX('Facilities'!$K$9:$K$108,MATCH(C433,'Facilities'!$C$9:$C$108,0)))^INDEX('Facilities'!$AK$9:$AK$108,MATCH(C433,'Facilities'!$C$9:$C$108,0)))*R433/(1+INDEX('Facilities'!$K$9:$K$108,MATCH(C433,'Facilities'!$C$9:$C$108,0)))*IF(ABS(1-(1-R433)*(1-INDEX('Facilities'!$R$9:$R$108,MATCH(C433,'Facilities'!$C$9:$C$108,0)))/(1+INDEX('Facilities'!$K$9:$K$108,MATCH(C433,'Facilities'!$C$9:$C$108,0))))&lt;0.000000001,IF(T433=1,MIN(1,AJ433),AJ433),(1-((1-R433)*(1-INDEX('Facilities'!$R$9:$R$108,MATCH(C433,'Facilities'!$C$9:$C$108,0)))/(1+INDEX('Facilities'!$K$9:$K$108,MATCH(C433,'Facilities'!$C$9:$C$108,0))))^IF(T433=1,MIN(1,AJ433),AJ433))/(1-(1-R433)*(1-INDEX('Facilities'!$R$9:$R$108,MATCH(C433,'Facilities'!$C$9:$C$108,0)))/(1+INDEX('Facilities'!$K$9:$K$108,MATCH(C433,'Facilities'!$C$9:$C$108,0)))))+AL433)))</x:f>
        <x:v>0.1825761087582149</x:v>
      </x:c>
      <x:c r="V433" s="23" t="n">
        <x:f>IF(C433="","",IF(AQ433&lt;&gt;"Ready","Unavailable",IF(C433="","",Q433*INDEX('Facilities'!$I$9:$I$108,MATCH(C433,'Facilities'!$C$9:$C$108,0))*(1-(1-S433)/(1+INDEX('Facilities'!$K$9:$K$108,MATCH(C433,'Facilities'!$C$9:$C$108,0)))^INDEX('Facilities'!$AK$9:$AK$108,MATCH(C433,'Facilities'!$C$9:$C$108,0)))*R433/(1+INDEX('Facilities'!$K$9:$K$108,MATCH(C433,'Facilities'!$C$9:$C$108,0)))*IF(ABS(1-(1-R433)*(1-0)/(1+INDEX('Facilities'!$K$9:$K$108,MATCH(C433,'Facilities'!$C$9:$C$108,0))))&lt;0.000000001,IF(T433=1,MIN(1,AJ433),AJ433),(1-((1-R433)*(1-0)/(1+INDEX('Facilities'!$K$9:$K$108,MATCH(C433,'Facilities'!$C$9:$C$108,0))))^IF(T433=1,MIN(1,AJ433),AJ433))/(1-(1-R433)*(1-0)/(1+INDEX('Facilities'!$K$9:$K$108,MATCH(C433,'Facilities'!$C$9:$C$108,0))))))))</x:f>
        <x:v>0.017460719864978234</x:v>
      </x:c>
      <x:c r="W433" s="21" t="n">
        <x:f>IF(C433="","",IFERROR(U333,"Unavailable"))</x:f>
        <x:v>0.29656368764959334</x:v>
      </x:c>
      <x:c r="X433" s="21" t="n">
        <x:f>IF(C433="","",IFERROR(V333,"Unavailable"))</x:f>
        <x:v>0.027985659249707796</x:v>
      </x:c>
      <x:c r="Y433" s="21" t="n">
        <x:f>IF(C433="","",IF(AQ433&lt;&gt;"Ready","Unavailable",IF(C433="","",U433-W433+V433-X433+N433+AG433)))</x:f>
        <x:v>-0.124512518276108</x:v>
      </x:c>
      <x:c r="Z433" s="23" t="n">
        <x:f>IF(C433="","",IF(AQ433&lt;&gt;"Ready","Unavailable",IF(C433="","",(G433+O433+L433)/2*INDEX('Facilities'!$T$9:$T$108,MATCH(C433,'Facilities'!$C$9:$C$108,0))+AG433)))</x:f>
        <x:v>0.5329200377866</x:v>
      </x:c>
      <x:c r="AA433" s="23" t="n">
        <x:f>IF(C433="","",IF(AQ433&lt;&gt;"Ready","Unavailable",IF(C433="","",O433*(1-IF(INDEX('Facilities'!$AA$9:$AA$108,MATCH(C433,'Facilities'!$C$9:$C$108,0))=0,0,MIN(1,INDEX('Facilities'!$X$9:$X$108,MATCH(C433,'Facilities'!$C$9:$C$108,0))/INDEX('Facilities'!$AA$9:$AA$108,MATCH(C433,'Facilities'!$C$9:$C$108,0)))))*AF433+P433*(1-IF(INDEX('Facilities'!$AA$9:$AA$108,MATCH(C433,'Facilities'!$C$9:$C$108,0))=0,0,MIN(1,INDEX('Facilities'!$X$9:$X$108,MATCH(C433,'Facilities'!$C$9:$C$108,0))/INDEX('Facilities'!$AA$9:$AA$108,MATCH(C433,'Facilities'!$C$9:$C$108,0)))))*INDEX('Facilities'!$AJ$9:$AJ$108,MATCH(C433,'Facilities'!$C$9:$C$108,0))+Q433*INDEX('Facilities'!$AI$9:$AI$108,MATCH(C433,'Facilities'!$C$9:$C$108,0))*AF433)))</x:f>
        <x:v>7.136341348580753</x:v>
      </x:c>
      <x:c r="AB433" s="21" t="n">
        <x:f>IF(C433="","",O433+P433-AD433)</x:f>
        <x:v>-0.6627834074399992</x:v>
      </x:c>
      <x:c r="AC433" s="23" t="n">
        <x:f>IF(C433="","",IFERROR(IF(INDEX('Facilities'!$AD$9:$AD$108,MATCH(C433,'Facilities'!$C$9:$C$108,0))=3,0,IF(INDEX('Facilities'!$AN$9:$AN$108,MATCH(C433,'Facilities'!$C$9:$C$108,0))=0,-1,INDEX('Facilities'!$AN$9:$AN$108,MATCH(C433,'Facilities'!$C$9:$C$108,0)))),"Unavailable"))</x:f>
        <x:v>-1</x:v>
      </x:c>
      <x:c r="AD433" s="21" t="n">
        <x:f>IF(C433="","",IFERROR(G433+H433,"Unavailable"))</x:f>
        <x:v>5.941076312</x:v>
      </x:c>
      <x:c r="AE433" s="21" t="n">
        <x:f>IF(C433="","",IF(AQ433&lt;&gt;"Ready","Unavailable",IF(C433="","",O433+P433-AD433-J433+K433+M433+N433)))</x:f>
        <x:v>7.771561172376096e-16</x:v>
      </x:c>
      <x:c r="AF433" s="30" t="n">
        <x:f>IF(C433="","",IFERROR(INDEX('Facilities'!$S$9:$S$108,MATCH(C433,'Facilities'!$C$9:$C$108,0))*'Scenario Paths'!J75,"Unavailable"))</x:f>
        <x:v>1.25</x:v>
      </x:c>
      <x:c r="AG433" s="23" t="n">
        <x:f>IF(C433="","",IF(AQ433&lt;&gt;"Ready","Unavailable",IF(C433="","",IF(H433&gt;0,MAX(0,H433-AK433)*((1+INDEX('Facilities'!$K$9:$K$108,MATCH(C433,'Facilities'!$C$9:$C$108,0)))^MIN(1,MAX(0,AC433+INDEX('Facilities'!$AK$9:$AK$108,MATCH(C433,'Facilities'!$C$9:$C$108,0))-D433+1))-1),0))))</x:f>
        <x:v>0</x:v>
      </x:c>
      <x:c r="AH433" s="21" t="n">
        <x:f>IF(C433="","",IF(AQ433&lt;&gt;"Ready","Unavailable",IF(C433="","",O433+P433)))</x:f>
        <x:v>5.278292904560001</x:v>
      </x:c>
      <x:c r="AI433" s="21" t="n">
        <x:f>IF(C433="","",IF(AQ433&lt;&gt;"Ready","Unavailable",IF(C433="","",Z433-Y433)))</x:f>
        <x:v>0.657432556062708</x:v>
      </x:c>
      <x:c r="AJ433" s="23" t="n">
        <x:f>IF(C433="","",IFERROR(MAX(0,INDEX('Facilities'!$J$9:$J$108,MATCH(C433,'Facilities'!$C$9:$C$108,0))-D433),"Unavailable"))</x:f>
        <x:v>2</x:v>
      </x:c>
      <x:c r="AK433" s="21" t="n">
        <x:f>IF(C433="","",IFERROR(AL333,"Unavailable"))</x:f>
        <x:v>0</x:v>
      </x:c>
      <x:c r="AL433" s="23" t="n">
        <x:f>IF(C433="","",IFERROR(IF(P433&gt;0,P433*(1-AM433/(1+INDEX('Facilities'!$K$9:$K$108,MATCH(C433,'Facilities'!$C$9:$C$108,0)))^MAX(0,AC433+INDEX('Facilities'!$AK$9:$AK$108,MATCH(C433,'Facilities'!$C$9:$C$108,0))-D433)),0),"Unavailable"))</x:f>
        <x:v>0</x:v>
      </x:c>
      <x:c r="AM433" s="30" t="n">
        <x:f>IF(C433="","",IFERROR(INDEX('Facilities'!$AL$9:$AL$108,MATCH(C433,'Facilities'!$C$9:$C$108,0)),"Unavailable"))</x:f>
        <x:v>0.55</x:v>
      </x:c>
      <x:c r="AN433" s="30" t="n">
        <x:f>IF(C433="","",IFERROR(INDEX(Credit!$T$409:$T$508,MATCH(F433,Credit!$C$409:$C$508,0)),"Unavailable"))</x:f>
        <x:v>0.004928</x:v>
      </x:c>
      <x:c r="AO433" s="23" t="n">
        <x:f>IF(C433="","",IF(AQ433&lt;&gt;"Ready","Unavailable",IF(C433="","",O433+P433+Q433*INDEX('Facilities'!$I$9:$I$108,MATCH(C433,'Facilities'!$C$9:$C$108,0)))))</x:f>
        <x:v>5.75467752956</x:v>
      </x:c>
      <x:c r="AP433" s="21" t="n">
        <x:f>IF(C433="","",IF(AQ433&lt;&gt;"Ready","Unavailable",IF(C433="","",AH433-U433)))</x:f>
        <x:v>5.095716795801786</x:v>
      </x:c>
      <x:c r="AQ433" s="23" t="str">
        <x:f>IFERROR(IF(C433="","",IF(AND(INDEX('Facilities'!$AF$9:$AF$108,MATCH(C433,'Facilities'!$C$9:$C$108,0))="Ready",INDEX(Credit!$U$409:$U$508,MATCH(F433,Credit!$C$409:$C$508,0))="Ready",ISNUMBER(W433)),"Ready","Review inputs")),"Review inputs")</x:f>
        <x:v>Ready</x:v>
      </x:c>
      <x:c r="AR433" s="23" t="n">
        <x:f>IF(C433="","",IF(AQ433&lt;&gt;"Ready","Unavailable",IF(C433="","",IF(O433=0,0,(IF(AJ433&lt;=1,O433,O433*INDEX('Facilities'!$R$9:$R$108,MATCH(C433,'Facilities'!$C$9:$C$108,0)))+O433*INDEX('Facilities'!$T$9:$T$108,MATCH(C433,'Facilities'!$C$9:$C$108,0)))/12))))</x:f>
        <x:v>0.09456941454003336</x:v>
      </x:c>
    </x:row>
    <x:row r="434" ht="26" customHeight="1">
      <x:c r="A434" s="1"/>
      <x:c r="B434" s="1"/>
      <x:c r="C434" s="9" t="str">
        <x:f>IF(Facilities!C34="","",Facilities!C34)</x:f>
        <x:v>F026</x:v>
      </x:c>
      <x:c r="D434" s="3" t="n">
        <x:v>5</x:v>
      </x:c>
      <x:c r="E434" s="9" t="n">
        <x:f>Settings!$F$18+4</x:f>
        <x:v>2031</x:v>
      </x:c>
      <x:c r="F434" s="9" t="str">
        <x:f>IF(C434="","",IFERROR(INDEX('Facilities'!$D$9:$D$108,MATCH(C434,'Facilities'!$C$9:$C$108,0)),"Unavailable"))</x:f>
        <x:v>B014</x:v>
      </x:c>
      <x:c r="G434" s="21" t="n">
        <x:f>IF(C434="","",IFERROR(O334,"Unavailable"))</x:f>
        <x:v>6.150969688</x:v>
      </x:c>
      <x:c r="H434" s="21" t="n">
        <x:f>IF(C434="","",IFERROR(P334,"Unavailable"))</x:f>
        <x:v>0</x:v>
      </x:c>
      <x:c r="I434" s="21" t="n">
        <x:f>IF(C434="","",IFERROR(Q334,"Unavailable"))</x:f>
        <x:v>1.002915</x:v>
      </x:c>
      <x:c r="J434" s="23" t="n">
        <x:f>IF(C434="","",IFERROR(IF(OR(H434&gt;0,AND(AC434&gt;=0,AC434&lt;D434),D434&gt;INDEX('Facilities'!$J$9:$J$108,MATCH(C434,'Facilities'!$C$9:$C$108,0))),0,I434*'Scenario Paths'!J81),"Unavailable"))</x:f>
        <x:v>0.05014575</x:v>
      </x:c>
      <x:c r="K434" s="23" t="n">
        <x:f>IF(C434="","",IFERROR(IF(OR(H434&gt;0,AND(AC434&gt;=0,AC434=D434)),0,IF(D434&gt;=INDEX('Facilities'!$J$9:$J$108,MATCH(C434,'Facilities'!$C$9:$C$108,0)),G434+J434,MIN(G434+J434,G434*INDEX('Facilities'!$R$9:$R$108,MATCH(C434,'Facilities'!$C$9:$C$108,0))))),"Unavailable"))</x:f>
        <x:v>0.73811636256</x:v>
      </x:c>
      <x:c r="L434" s="21" t="n">
        <x:f>IF(C434="","",IFERROR(IF(AND(AC434=D434,AC434&gt;0),MAX(0,G434+J434-K434),0),"Unavailable"))</x:f>
        <x:v>0</x:v>
      </x:c>
      <x:c r="M434" s="23" t="n">
        <x:f>IF(C434="","",IFERROR(IF(AND(AC434&gt;=0,D434&gt;=AC434+INDEX('Facilities'!$AK$9:$AK$108,MATCH(C434,'Facilities'!$C$9:$C$108,0))),(H434+L434)*AM434,0),"Unavailable"))</x:f>
        <x:v>0</x:v>
      </x:c>
      <x:c r="N434" s="23" t="n">
        <x:f>IF(C434="","",IFERROR(IF(AND(AC434&gt;=0,D434&gt;=AC434+INDEX('Facilities'!$AK$9:$AK$108,MATCH(C434,'Facilities'!$C$9:$C$108,0))),H434+L434-M434,0),"Unavailable"))</x:f>
        <x:v>0</x:v>
      </x:c>
      <x:c r="O434" s="21" t="n">
        <x:f>IF(C434="","",IFERROR(MAX(0,G434+J434-K434-L434),"Unavailable"))</x:f>
        <x:v>5.462999075440001</x:v>
      </x:c>
      <x:c r="P434" s="21" t="n">
        <x:f>IF(C434="","",IFERROR(MAX(0,H434+L434-M434-N434),"Unavailable"))</x:f>
        <x:v>0</x:v>
      </x:c>
      <x:c r="Q434" s="23" t="n">
        <x:f>IF(C434="","",IFERROR(IF(OR(D434&gt;=INDEX('Facilities'!$J$9:$J$108,MATCH(C434,'Facilities'!$C$9:$C$108,0)),AND(AC434&gt;=0,AC434&lt;=D434)),0,MAX(0,I434-J434)),"Unavailable"))</x:f>
        <x:v>0.95276925</x:v>
      </x:c>
      <x:c r="R434" s="30" t="n">
        <x:f>IF(C434="","",IFERROR(INDEX(Credit!$Q$409:$Q$508,MATCH(F434,Credit!$C$409:$C$508,0)),"Unavailable"))</x:f>
        <x:v>0.0197295735566562</x:v>
      </x:c>
      <x:c r="S434" s="30" t="n">
        <x:f>IF(C434="","",IFERROR(INDEX(Credit!$R$409:$R$508,MATCH(F434,Credit!$C$409:$C$508,0)),"Unavailable"))</x:f>
        <x:v>0.405376</x:v>
      </x:c>
      <x:c r="T434" s="23" t="n">
        <x:f>IF(C434="","",IFERROR(IF(P434&gt;0,3,IF(OR(INDEX('Facilities'!$AD$9:$AD$108,MATCH(C434,'Facilities'!$C$9:$C$108,0))=2,AND(R434&gt;=INDEX('Facilities'!$L$9:$L$108,MATCH(C434,'Facilities'!$C$9:$C$108,0))*Settings!$F$19,R434-INDEX('Facilities'!$L$9:$L$108,MATCH(C434,'Facilities'!$C$9:$C$108,0))&gt;=Settings!$F$20)),2,1)),"Unavailable"))</x:f>
        <x:v>1</x:v>
      </x:c>
      <x:c r="U434" s="23" t="n">
        <x:f>IF(C434="","",IF(AQ434&lt;&gt;"Ready","Unavailable",IF(C434="","",O434*(1-(1-S434)/(1+INDEX('Facilities'!$K$9:$K$108,MATCH(C434,'Facilities'!$C$9:$C$108,0)))^INDEX('Facilities'!$AK$9:$AK$108,MATCH(C434,'Facilities'!$C$9:$C$108,0)))*R434/(1+INDEX('Facilities'!$K$9:$K$108,MATCH(C434,'Facilities'!$C$9:$C$108,0)))*IF(ABS(1-(1-R434)*(1-INDEX('Facilities'!$R$9:$R$108,MATCH(C434,'Facilities'!$C$9:$C$108,0)))/(1+INDEX('Facilities'!$K$9:$K$108,MATCH(C434,'Facilities'!$C$9:$C$108,0))))&lt;0.000000001,IF(T434=1,MIN(1,AJ434),AJ434),(1-((1-R434)*(1-INDEX('Facilities'!$R$9:$R$108,MATCH(C434,'Facilities'!$C$9:$C$108,0)))/(1+INDEX('Facilities'!$K$9:$K$108,MATCH(C434,'Facilities'!$C$9:$C$108,0))))^IF(T434=1,MIN(1,AJ434),AJ434))/(1-(1-R434)*(1-INDEX('Facilities'!$R$9:$R$108,MATCH(C434,'Facilities'!$C$9:$C$108,0)))/(1+INDEX('Facilities'!$K$9:$K$108,MATCH(C434,'Facilities'!$C$9:$C$108,0)))))+AL434)))</x:f>
        <x:v>0.04892191863593057</x:v>
      </x:c>
      <x:c r="V434" s="23" t="n">
        <x:f>IF(C434="","",IF(AQ434&lt;&gt;"Ready","Unavailable",IF(C434="","",Q434*INDEX('Facilities'!$I$9:$I$108,MATCH(C434,'Facilities'!$C$9:$C$108,0))*(1-(1-S434)/(1+INDEX('Facilities'!$K$9:$K$108,MATCH(C434,'Facilities'!$C$9:$C$108,0)))^INDEX('Facilities'!$AK$9:$AK$108,MATCH(C434,'Facilities'!$C$9:$C$108,0)))*R434/(1+INDEX('Facilities'!$K$9:$K$108,MATCH(C434,'Facilities'!$C$9:$C$108,0)))*IF(ABS(1-(1-R434)*(1-0)/(1+INDEX('Facilities'!$K$9:$K$108,MATCH(C434,'Facilities'!$C$9:$C$108,0))))&lt;0.000000001,IF(T434=1,MIN(1,AJ434),AJ434),(1-((1-R434)*(1-0)/(1+INDEX('Facilities'!$K$9:$K$108,MATCH(C434,'Facilities'!$C$9:$C$108,0))))^IF(T434=1,MIN(1,AJ434),AJ434))/(1-(1-R434)*(1-0)/(1+INDEX('Facilities'!$K$9:$K$108,MATCH(C434,'Facilities'!$C$9:$C$108,0))))))))</x:f>
        <x:v>0.0042660907574437424</x:v>
      </x:c>
      <x:c r="W434" s="21" t="n">
        <x:f>IF(C434="","",IFERROR(U334,"Unavailable"))</x:f>
        <x:v>0.06443544686963544</x:v>
      </x:c>
      <x:c r="X434" s="21" t="n">
        <x:f>IF(C434="","",IFERROR(V334,"Unavailable"))</x:f>
        <x:v>0.005253096623393768</x:v>
      </x:c>
      <x:c r="Y434" s="21" t="n">
        <x:f>IF(C434="","",IF(AQ434&lt;&gt;"Ready","Unavailable",IF(C434="","",U434-W434+V434-X434+N434+AG434)))</x:f>
        <x:v>-0.0165005340996549</x:v>
      </x:c>
      <x:c r="Z434" s="23" t="n">
        <x:f>IF(C434="","",IF(AQ434&lt;&gt;"Ready","Unavailable",IF(C434="","",(G434+O434+L434)/2*INDEX('Facilities'!$T$9:$T$108,MATCH(C434,'Facilities'!$C$9:$C$108,0))+AG434)))</x:f>
        <x:v>0.5516635162634</x:v>
      </x:c>
      <x:c r="AA434" s="23" t="n">
        <x:f>IF(C434="","",IF(AQ434&lt;&gt;"Ready","Unavailable",IF(C434="","",O434*(1-IF(INDEX('Facilities'!$AA$9:$AA$108,MATCH(C434,'Facilities'!$C$9:$C$108,0))=0,0,MIN(1,INDEX('Facilities'!$X$9:$X$108,MATCH(C434,'Facilities'!$C$9:$C$108,0))/INDEX('Facilities'!$AA$9:$AA$108,MATCH(C434,'Facilities'!$C$9:$C$108,0)))))*AF434+P434*(1-IF(INDEX('Facilities'!$AA$9:$AA$108,MATCH(C434,'Facilities'!$C$9:$C$108,0))=0,0,MIN(1,INDEX('Facilities'!$X$9:$X$108,MATCH(C434,'Facilities'!$C$9:$C$108,0))/INDEX('Facilities'!$AA$9:$AA$108,MATCH(C434,'Facilities'!$C$9:$C$108,0)))))*INDEX('Facilities'!$AJ$9:$AJ$108,MATCH(C434,'Facilities'!$C$9:$C$108,0))+Q434*INDEX('Facilities'!$AI$9:$AI$108,MATCH(C434,'Facilities'!$C$9:$C$108,0))*AF434)))</x:f>
        <x:v>7.325895642192081</x:v>
      </x:c>
      <x:c r="AB434" s="21" t="n">
        <x:f>IF(C434="","",O434+P434-AD434)</x:f>
        <x:v>-0.6879706125599991</x:v>
      </x:c>
      <x:c r="AC434" s="23" t="n">
        <x:f>IF(C434="","",IFERROR(IF(INDEX('Facilities'!$AD$9:$AD$108,MATCH(C434,'Facilities'!$C$9:$C$108,0))=3,0,IF(INDEX('Facilities'!$AN$9:$AN$108,MATCH(C434,'Facilities'!$C$9:$C$108,0))=0,-1,INDEX('Facilities'!$AN$9:$AN$108,MATCH(C434,'Facilities'!$C$9:$C$108,0)))),"Unavailable"))</x:f>
        <x:v>-1</x:v>
      </x:c>
      <x:c r="AD434" s="21" t="n">
        <x:f>IF(C434="","",IFERROR(G434+H434,"Unavailable"))</x:f>
        <x:v>6.150969688</x:v>
      </x:c>
      <x:c r="AE434" s="21" t="n">
        <x:f>IF(C434="","",IF(AQ434&lt;&gt;"Ready","Unavailable",IF(C434="","",O434+P434-AD434-J434+K434+M434+N434)))</x:f>
        <x:v>8.881784197001252e-16</x:v>
      </x:c>
      <x:c r="AF434" s="30" t="n">
        <x:f>IF(C434="","",IFERROR(INDEX('Facilities'!$S$9:$S$108,MATCH(C434,'Facilities'!$C$9:$C$108,0))*'Scenario Paths'!J75,"Unavailable"))</x:f>
        <x:v>1.25</x:v>
      </x:c>
      <x:c r="AG434" s="23" t="n">
        <x:f>IF(C434="","",IF(AQ434&lt;&gt;"Ready","Unavailable",IF(C434="","",IF(H434&gt;0,MAX(0,H434-AK434)*((1+INDEX('Facilities'!$K$9:$K$108,MATCH(C434,'Facilities'!$C$9:$C$108,0)))^MIN(1,MAX(0,AC434+INDEX('Facilities'!$AK$9:$AK$108,MATCH(C434,'Facilities'!$C$9:$C$108,0))-D434+1))-1),0))))</x:f>
        <x:v>0</x:v>
      </x:c>
      <x:c r="AH434" s="21" t="n">
        <x:f>IF(C434="","",IF(AQ434&lt;&gt;"Ready","Unavailable",IF(C434="","",O434+P434)))</x:f>
        <x:v>5.462999075440001</x:v>
      </x:c>
      <x:c r="AI434" s="21" t="n">
        <x:f>IF(C434="","",IF(AQ434&lt;&gt;"Ready","Unavailable",IF(C434="","",Z434-Y434)))</x:f>
        <x:v>0.568164050363055</x:v>
      </x:c>
      <x:c r="AJ434" s="23" t="n">
        <x:f>IF(C434="","",IFERROR(MAX(0,INDEX('Facilities'!$J$9:$J$108,MATCH(C434,'Facilities'!$C$9:$C$108,0))-D434),"Unavailable"))</x:f>
        <x:v>3</x:v>
      </x:c>
      <x:c r="AK434" s="21" t="n">
        <x:f>IF(C434="","",IFERROR(AL334,"Unavailable"))</x:f>
        <x:v>0</x:v>
      </x:c>
      <x:c r="AL434" s="23" t="n">
        <x:f>IF(C434="","",IFERROR(IF(P434&gt;0,P434*(1-AM434/(1+INDEX('Facilities'!$K$9:$K$108,MATCH(C434,'Facilities'!$C$9:$C$108,0)))^MAX(0,AC434+INDEX('Facilities'!$AK$9:$AK$108,MATCH(C434,'Facilities'!$C$9:$C$108,0))-D434)),0),"Unavailable"))</x:f>
        <x:v>0</x:v>
      </x:c>
      <x:c r="AM434" s="30" t="n">
        <x:f>IF(C434="","",IFERROR(INDEX('Facilities'!$AL$9:$AL$108,MATCH(C434,'Facilities'!$C$9:$C$108,0)),"Unavailable"))</x:f>
        <x:v>0.55</x:v>
      </x:c>
      <x:c r="AN434" s="30" t="n">
        <x:f>IF(C434="","",IFERROR(INDEX(Credit!$T$409:$T$508,MATCH(F434,Credit!$C$409:$C$508,0)),"Unavailable"))</x:f>
        <x:v>0.008960000000000001</x:v>
      </x:c>
      <x:c r="AO434" s="23" t="n">
        <x:f>IF(C434="","",IF(AQ434&lt;&gt;"Ready","Unavailable",IF(C434="","",O434+P434+Q434*INDEX('Facilities'!$I$9:$I$108,MATCH(C434,'Facilities'!$C$9:$C$108,0)))))</x:f>
        <x:v>5.9393837004400005</x:v>
      </x:c>
      <x:c r="AP434" s="21" t="n">
        <x:f>IF(C434="","",IF(AQ434&lt;&gt;"Ready","Unavailable",IF(C434="","",AH434-U434)))</x:f>
        <x:v>5.41407715680407</x:v>
      </x:c>
      <x:c r="AQ434" s="23" t="str">
        <x:f>IFERROR(IF(C434="","",IF(AND(INDEX('Facilities'!$AF$9:$AF$108,MATCH(C434,'Facilities'!$C$9:$C$108,0))="Ready",INDEX(Credit!$U$409:$U$508,MATCH(F434,Credit!$C$409:$C$508,0))="Ready",ISNUMBER(W434)),"Ready","Review inputs")),"Review inputs")</x:f>
        <x:v>Ready</x:v>
      </x:c>
      <x:c r="AR434" s="23" t="n">
        <x:f>IF(C434="","",IF(AQ434&lt;&gt;"Ready","Unavailable",IF(C434="","",IF(O434=0,0,(IF(AJ434&lt;=1,O434,O434*INDEX('Facilities'!$R$9:$R$108,MATCH(C434,'Facilities'!$C$9:$C$108,0)))+O434*INDEX('Facilities'!$T$9:$T$108,MATCH(C434,'Facilities'!$C$9:$C$108,0)))/12))))</x:f>
        <x:v>0.09787873343496667</x:v>
      </x:c>
    </x:row>
    <x:row r="435" ht="26" customHeight="1">
      <x:c r="A435" s="1"/>
      <x:c r="B435" s="1"/>
      <x:c r="C435" s="9" t="str">
        <x:f>IF(Facilities!C35="","",Facilities!C35)</x:f>
        <x:v>F027</x:v>
      </x:c>
      <x:c r="D435" s="3" t="n">
        <x:v>5</x:v>
      </x:c>
      <x:c r="E435" s="9" t="n">
        <x:f>Settings!$F$18+4</x:f>
        <x:v>2031</x:v>
      </x:c>
      <x:c r="F435" s="9" t="str">
        <x:f>IF(C435="","",IFERROR(INDEX('Facilities'!$D$9:$D$108,MATCH(C435,'Facilities'!$C$9:$C$108,0)),"Unavailable"))</x:f>
        <x:v>B015</x:v>
      </x:c>
      <x:c r="G435" s="21" t="n">
        <x:f>IF(C435="","",IFERROR(O335,"Unavailable"))</x:f>
        <x:v>6.360863064</x:v>
      </x:c>
      <x:c r="H435" s="21" t="n">
        <x:f>IF(C435="","",IFERROR(P335,"Unavailable"))</x:f>
        <x:v>0</x:v>
      </x:c>
      <x:c r="I435" s="21" t="n">
        <x:f>IF(C435="","",IFERROR(Q335,"Unavailable"))</x:f>
        <x:v>1.002915</x:v>
      </x:c>
      <x:c r="J435" s="23" t="n">
        <x:f>IF(C435="","",IFERROR(IF(OR(H435&gt;0,AND(AC435&gt;=0,AC435&lt;D435),D435&gt;INDEX('Facilities'!$J$9:$J$108,MATCH(C435,'Facilities'!$C$9:$C$108,0))),0,I435*'Scenario Paths'!J81),"Unavailable"))</x:f>
        <x:v>0.05014575</x:v>
      </x:c>
      <x:c r="K435" s="23" t="n">
        <x:f>IF(C435="","",IFERROR(IF(OR(H435&gt;0,AND(AC435&gt;=0,AC435=D435)),0,IF(D435&gt;=INDEX('Facilities'!$J$9:$J$108,MATCH(C435,'Facilities'!$C$9:$C$108,0)),G435+J435,MIN(G435+J435,G435*INDEX('Facilities'!$R$9:$R$108,MATCH(C435,'Facilities'!$C$9:$C$108,0))))),"Unavailable"))</x:f>
        <x:v>0.76330356768</x:v>
      </x:c>
      <x:c r="L435" s="21" t="n">
        <x:f>IF(C435="","",IFERROR(IF(AND(AC435=D435,AC435&gt;0),MAX(0,G435+J435-K435),0),"Unavailable"))</x:f>
        <x:v>0</x:v>
      </x:c>
      <x:c r="M435" s="23" t="n">
        <x:f>IF(C435="","",IFERROR(IF(AND(AC435&gt;=0,D435&gt;=AC435+INDEX('Facilities'!$AK$9:$AK$108,MATCH(C435,'Facilities'!$C$9:$C$108,0))),(H435+L435)*AM435,0),"Unavailable"))</x:f>
        <x:v>0</x:v>
      </x:c>
      <x:c r="N435" s="23" t="n">
        <x:f>IF(C435="","",IFERROR(IF(AND(AC435&gt;=0,D435&gt;=AC435+INDEX('Facilities'!$AK$9:$AK$108,MATCH(C435,'Facilities'!$C$9:$C$108,0))),H435+L435-M435,0),"Unavailable"))</x:f>
        <x:v>0</x:v>
      </x:c>
      <x:c r="O435" s="21" t="n">
        <x:f>IF(C435="","",IFERROR(MAX(0,G435+J435-K435-L435),"Unavailable"))</x:f>
        <x:v>5.647705246320001</x:v>
      </x:c>
      <x:c r="P435" s="21" t="n">
        <x:f>IF(C435="","",IFERROR(MAX(0,H435+L435-M435-N435),"Unavailable"))</x:f>
        <x:v>0</x:v>
      </x:c>
      <x:c r="Q435" s="23" t="n">
        <x:f>IF(C435="","",IFERROR(IF(OR(D435&gt;=INDEX('Facilities'!$J$9:$J$108,MATCH(C435,'Facilities'!$C$9:$C$108,0)),AND(AC435&gt;=0,AC435&lt;=D435)),0,MAX(0,I435-J435)),"Unavailable"))</x:f>
        <x:v>0.95276925</x:v>
      </x:c>
      <x:c r="R435" s="30" t="n">
        <x:f>IF(C435="","",IFERROR(INDEX(Credit!$Q$409:$Q$508,MATCH(F435,Credit!$C$409:$C$508,0)),"Unavailable"))</x:f>
        <x:v>0.04775699513137668</x:v>
      </x:c>
      <x:c r="S435" s="30" t="n">
        <x:f>IF(C435="","",IFERROR(INDEX(Credit!$R$409:$R$508,MATCH(F435,Credit!$C$409:$C$508,0)),"Unavailable"))</x:f>
        <x:v>0.44792064000000004</x:v>
      </x:c>
      <x:c r="T435" s="23" t="n">
        <x:f>IF(C435="","",IFERROR(IF(P435&gt;0,3,IF(OR(INDEX('Facilities'!$AD$9:$AD$108,MATCH(C435,'Facilities'!$C$9:$C$108,0))=2,AND(R435&gt;=INDEX('Facilities'!$L$9:$L$108,MATCH(C435,'Facilities'!$C$9:$C$108,0))*Settings!$F$19,R435-INDEX('Facilities'!$L$9:$L$108,MATCH(C435,'Facilities'!$C$9:$C$108,0))&gt;=Settings!$F$20)),2,1)),"Unavailable"))</x:f>
        <x:v>1</x:v>
      </x:c>
      <x:c r="U435" s="23" t="n">
        <x:f>IF(C435="","",IF(AQ435&lt;&gt;"Ready","Unavailable",IF(C435="","",O435*(1-(1-S435)/(1+INDEX('Facilities'!$K$9:$K$108,MATCH(C435,'Facilities'!$C$9:$C$108,0)))^INDEX('Facilities'!$AK$9:$AK$108,MATCH(C435,'Facilities'!$C$9:$C$108,0)))*R435/(1+INDEX('Facilities'!$K$9:$K$108,MATCH(C435,'Facilities'!$C$9:$C$108,0)))*IF(ABS(1-(1-R435)*(1-INDEX('Facilities'!$R$9:$R$108,MATCH(C435,'Facilities'!$C$9:$C$108,0)))/(1+INDEX('Facilities'!$K$9:$K$108,MATCH(C435,'Facilities'!$C$9:$C$108,0))))&lt;0.000000001,IF(T435=1,MIN(1,AJ435),AJ435),(1-((1-R435)*(1-INDEX('Facilities'!$R$9:$R$108,MATCH(C435,'Facilities'!$C$9:$C$108,0)))/(1+INDEX('Facilities'!$K$9:$K$108,MATCH(C435,'Facilities'!$C$9:$C$108,0))))^IF(T435=1,MIN(1,AJ435),AJ435))/(1-(1-R435)*(1-INDEX('Facilities'!$R$9:$R$108,MATCH(C435,'Facilities'!$C$9:$C$108,0)))/(1+INDEX('Facilities'!$K$9:$K$108,MATCH(C435,'Facilities'!$C$9:$C$108,0)))))+AL435)))</x:f>
        <x:v>0.13153243393401134</x:v>
      </x:c>
      <x:c r="V435" s="23" t="n">
        <x:f>IF(C435="","",IF(AQ435&lt;&gt;"Ready","Unavailable",IF(C435="","",Q435*INDEX('Facilities'!$I$9:$I$108,MATCH(C435,'Facilities'!$C$9:$C$108,0))*(1-(1-S435)/(1+INDEX('Facilities'!$K$9:$K$108,MATCH(C435,'Facilities'!$C$9:$C$108,0)))^INDEX('Facilities'!$AK$9:$AK$108,MATCH(C435,'Facilities'!$C$9:$C$108,0)))*R435/(1+INDEX('Facilities'!$K$9:$K$108,MATCH(C435,'Facilities'!$C$9:$C$108,0)))*IF(ABS(1-(1-R435)*(1-0)/(1+INDEX('Facilities'!$K$9:$K$108,MATCH(C435,'Facilities'!$C$9:$C$108,0))))&lt;0.000000001,IF(T435=1,MIN(1,AJ435),AJ435),(1-((1-R435)*(1-0)/(1+INDEX('Facilities'!$K$9:$K$108,MATCH(C435,'Facilities'!$C$9:$C$108,0))))^IF(T435=1,MIN(1,AJ435),AJ435))/(1-(1-R435)*(1-0)/(1+INDEX('Facilities'!$K$9:$K$108,MATCH(C435,'Facilities'!$C$9:$C$108,0))))))))</x:f>
        <x:v>0.011094776813258806</x:v>
      </x:c>
      <x:c r="W435" s="21" t="n">
        <x:f>IF(C435="","",IFERROR(U335,"Unavailable"))</x:f>
        <x:v>0.5946522265251157</x:v>
      </x:c>
      <x:c r="X435" s="21" t="n">
        <x:f>IF(C435="","",IFERROR(V335,"Unavailable"))</x:f>
        <x:v>0.06481043653251506</x:v>
      </x:c>
      <x:c r="Y435" s="21" t="n">
        <x:f>IF(C435="","",IF(AQ435&lt;&gt;"Ready","Unavailable",IF(C435="","",U435-W435+V435-X435+N435+AG435)))</x:f>
        <x:v>-0.5168354523103607</x:v>
      </x:c>
      <x:c r="Z435" s="23" t="n">
        <x:f>IF(C435="","",IF(AQ435&lt;&gt;"Ready","Unavailable",IF(C435="","",(G435+O435+L435)/2*INDEX('Facilities'!$T$9:$T$108,MATCH(C435,'Facilities'!$C$9:$C$108,0))+AG435)))</x:f>
        <x:v>0.5704069947402001</x:v>
      </x:c>
      <x:c r="AA435" s="23" t="n">
        <x:f>IF(C435="","",IF(AQ435&lt;&gt;"Ready","Unavailable",IF(C435="","",O435*(1-IF(INDEX('Facilities'!$AA$9:$AA$108,MATCH(C435,'Facilities'!$C$9:$C$108,0))=0,0,MIN(1,INDEX('Facilities'!$X$9:$X$108,MATCH(C435,'Facilities'!$C$9:$C$108,0))/INDEX('Facilities'!$AA$9:$AA$108,MATCH(C435,'Facilities'!$C$9:$C$108,0)))))*AF435+P435*(1-IF(INDEX('Facilities'!$AA$9:$AA$108,MATCH(C435,'Facilities'!$C$9:$C$108,0))=0,0,MIN(1,INDEX('Facilities'!$X$9:$X$108,MATCH(C435,'Facilities'!$C$9:$C$108,0))/INDEX('Facilities'!$AA$9:$AA$108,MATCH(C435,'Facilities'!$C$9:$C$108,0)))))*INDEX('Facilities'!$AJ$9:$AJ$108,MATCH(C435,'Facilities'!$C$9:$C$108,0))+Q435*INDEX('Facilities'!$AI$9:$AI$108,MATCH(C435,'Facilities'!$C$9:$C$108,0))*AF435)))</x:f>
        <x:v>7.506012920647153</x:v>
      </x:c>
      <x:c r="AB435" s="21" t="n">
        <x:f>IF(C435="","",O435+P435-AD435)</x:f>
        <x:v>-0.7131578176799991</x:v>
      </x:c>
      <x:c r="AC435" s="23" t="n">
        <x:f>IF(C435="","",IFERROR(IF(INDEX('Facilities'!$AD$9:$AD$108,MATCH(C435,'Facilities'!$C$9:$C$108,0))=3,0,IF(INDEX('Facilities'!$AN$9:$AN$108,MATCH(C435,'Facilities'!$C$9:$C$108,0))=0,-1,INDEX('Facilities'!$AN$9:$AN$108,MATCH(C435,'Facilities'!$C$9:$C$108,0)))),"Unavailable"))</x:f>
        <x:v>-1</x:v>
      </x:c>
      <x:c r="AD435" s="21" t="n">
        <x:f>IF(C435="","",IFERROR(G435+H435,"Unavailable"))</x:f>
        <x:v>6.360863064</x:v>
      </x:c>
      <x:c r="AE435" s="21" t="n">
        <x:f>IF(C435="","",IF(AQ435&lt;&gt;"Ready","Unavailable",IF(C435="","",O435+P435-AD435-J435+K435+M435+N435)))</x:f>
        <x:v>8.881784197001252e-16</x:v>
      </x:c>
      <x:c r="AF435" s="30" t="n">
        <x:f>IF(C435="","",IFERROR(INDEX('Facilities'!$S$9:$S$108,MATCH(C435,'Facilities'!$C$9:$C$108,0))*'Scenario Paths'!J75,"Unavailable"))</x:f>
        <x:v>1.25</x:v>
      </x:c>
      <x:c r="AG435" s="23" t="n">
        <x:f>IF(C435="","",IF(AQ435&lt;&gt;"Ready","Unavailable",IF(C435="","",IF(H435&gt;0,MAX(0,H435-AK435)*((1+INDEX('Facilities'!$K$9:$K$108,MATCH(C435,'Facilities'!$C$9:$C$108,0)))^MIN(1,MAX(0,AC435+INDEX('Facilities'!$AK$9:$AK$108,MATCH(C435,'Facilities'!$C$9:$C$108,0))-D435+1))-1),0))))</x:f>
        <x:v>0</x:v>
      </x:c>
      <x:c r="AH435" s="21" t="n">
        <x:f>IF(C435="","",IF(AQ435&lt;&gt;"Ready","Unavailable",IF(C435="","",O435+P435)))</x:f>
        <x:v>5.647705246320001</x:v>
      </x:c>
      <x:c r="AI435" s="21" t="n">
        <x:f>IF(C435="","",IF(AQ435&lt;&gt;"Ready","Unavailable",IF(C435="","",Z435-Y435)))</x:f>
        <x:v>1.0872424470505608</x:v>
      </x:c>
      <x:c r="AJ435" s="23" t="n">
        <x:f>IF(C435="","",IFERROR(MAX(0,INDEX('Facilities'!$J$9:$J$108,MATCH(C435,'Facilities'!$C$9:$C$108,0))-D435),"Unavailable"))</x:f>
        <x:v>7</x:v>
      </x:c>
      <x:c r="AK435" s="21" t="n">
        <x:f>IF(C435="","",IFERROR(AL335,"Unavailable"))</x:f>
        <x:v>0</x:v>
      </x:c>
      <x:c r="AL435" s="23" t="n">
        <x:f>IF(C435="","",IFERROR(IF(P435&gt;0,P435*(1-AM435/(1+INDEX('Facilities'!$K$9:$K$108,MATCH(C435,'Facilities'!$C$9:$C$108,0)))^MAX(0,AC435+INDEX('Facilities'!$AK$9:$AK$108,MATCH(C435,'Facilities'!$C$9:$C$108,0))-D435)),0),"Unavailable"))</x:f>
        <x:v>0</x:v>
      </x:c>
      <x:c r="AM435" s="30" t="n">
        <x:f>IF(C435="","",IFERROR(INDEX('Facilities'!$AL$9:$AL$108,MATCH(C435,'Facilities'!$C$9:$C$108,0)),"Unavailable"))</x:f>
        <x:v>0.55</x:v>
      </x:c>
      <x:c r="AN435" s="30" t="n">
        <x:f>IF(C435="","",IFERROR(INDEX(Credit!$T$409:$T$508,MATCH(F435,Credit!$C$409:$C$508,0)),"Unavailable"))</x:f>
        <x:v>0.014143999999999997</x:v>
      </x:c>
      <x:c r="AO435" s="23" t="n">
        <x:f>IF(C435="","",IF(AQ435&lt;&gt;"Ready","Unavailable",IF(C435="","",O435+P435+Q435*INDEX('Facilities'!$I$9:$I$108,MATCH(C435,'Facilities'!$C$9:$C$108,0)))))</x:f>
        <x:v>6.124089871320001</x:v>
      </x:c>
      <x:c r="AP435" s="21" t="n">
        <x:f>IF(C435="","",IF(AQ435&lt;&gt;"Ready","Unavailable",IF(C435="","",AH435-U435)))</x:f>
        <x:v>5.51617281238599</x:v>
      </x:c>
      <x:c r="AQ435" s="23" t="str">
        <x:f>IFERROR(IF(C435="","",IF(AND(INDEX('Facilities'!$AF$9:$AF$108,MATCH(C435,'Facilities'!$C$9:$C$108,0))="Ready",INDEX(Credit!$U$409:$U$508,MATCH(F435,Credit!$C$409:$C$508,0))="Ready",ISNUMBER(W435)),"Ready","Review inputs")),"Review inputs")</x:f>
        <x:v>Ready</x:v>
      </x:c>
      <x:c r="AR435" s="23" t="n">
        <x:f>IF(C435="","",IF(AQ435&lt;&gt;"Ready","Unavailable",IF(C435="","",IF(O435=0,0,(IF(AJ435&lt;=1,O435,O435*INDEX('Facilities'!$R$9:$R$108,MATCH(C435,'Facilities'!$C$9:$C$108,0)))+O435*INDEX('Facilities'!$T$9:$T$108,MATCH(C435,'Facilities'!$C$9:$C$108,0)))/12))))</x:f>
        <x:v>0.10118805232990002</x:v>
      </x:c>
    </x:row>
    <x:row r="436" ht="26" customHeight="1">
      <x:c r="A436" s="1"/>
      <x:c r="B436" s="1"/>
      <x:c r="C436" s="9" t="str">
        <x:f>IF(Facilities!C36="","",Facilities!C36)</x:f>
        <x:v>F028</x:v>
      </x:c>
      <x:c r="D436" s="3" t="n">
        <x:v>5</x:v>
      </x:c>
      <x:c r="E436" s="9" t="n">
        <x:f>Settings!$F$18+4</x:f>
        <x:v>2031</x:v>
      </x:c>
      <x:c r="F436" s="9" t="str">
        <x:f>IF(C436="","",IFERROR(INDEX('Facilities'!$D$9:$D$108,MATCH(C436,'Facilities'!$C$9:$C$108,0)),"Unavailable"))</x:f>
        <x:v>B016</x:v>
      </x:c>
      <x:c r="G436" s="21" t="n">
        <x:f>IF(C436="","",IFERROR(O336,"Unavailable"))</x:f>
        <x:v>6.57075644</x:v>
      </x:c>
      <x:c r="H436" s="21" t="n">
        <x:f>IF(C436="","",IFERROR(P336,"Unavailable"))</x:f>
        <x:v>0</x:v>
      </x:c>
      <x:c r="I436" s="21" t="n">
        <x:f>IF(C436="","",IFERROR(Q336,"Unavailable"))</x:f>
        <x:v>1.002915</x:v>
      </x:c>
      <x:c r="J436" s="23" t="n">
        <x:f>IF(C436="","",IFERROR(IF(OR(H436&gt;0,AND(AC436&gt;=0,AC436&lt;D436),D436&gt;INDEX('Facilities'!$J$9:$J$108,MATCH(C436,'Facilities'!$C$9:$C$108,0))),0,I436*'Scenario Paths'!J81),"Unavailable"))</x:f>
        <x:v>0.05014575</x:v>
      </x:c>
      <x:c r="K436" s="23" t="n">
        <x:f>IF(C436="","",IFERROR(IF(OR(H436&gt;0,AND(AC436&gt;=0,AC436=D436)),0,IF(D436&gt;=INDEX('Facilities'!$J$9:$J$108,MATCH(C436,'Facilities'!$C$9:$C$108,0)),G436+J436,MIN(G436+J436,G436*INDEX('Facilities'!$R$9:$R$108,MATCH(C436,'Facilities'!$C$9:$C$108,0))))),"Unavailable"))</x:f>
        <x:v>6.620902190000001</x:v>
      </x:c>
      <x:c r="L436" s="21" t="n">
        <x:f>IF(C436="","",IFERROR(IF(AND(AC436=D436,AC436&gt;0),MAX(0,G436+J436-K436),0),"Unavailable"))</x:f>
        <x:v>0</x:v>
      </x:c>
      <x:c r="M436" s="23" t="n">
        <x:f>IF(C436="","",IFERROR(IF(AND(AC436&gt;=0,D436&gt;=AC436+INDEX('Facilities'!$AK$9:$AK$108,MATCH(C436,'Facilities'!$C$9:$C$108,0))),(H436+L436)*AM436,0),"Unavailable"))</x:f>
        <x:v>0</x:v>
      </x:c>
      <x:c r="N436" s="23" t="n">
        <x:f>IF(C436="","",IFERROR(IF(AND(AC436&gt;=0,D436&gt;=AC436+INDEX('Facilities'!$AK$9:$AK$108,MATCH(C436,'Facilities'!$C$9:$C$108,0))),H436+L436-M436,0),"Unavailable"))</x:f>
        <x:v>0</x:v>
      </x:c>
      <x:c r="O436" s="21" t="n">
        <x:f>IF(C436="","",IFERROR(MAX(0,G436+J436-K436-L436),"Unavailable"))</x:f>
        <x:v>0</x:v>
      </x:c>
      <x:c r="P436" s="21" t="n">
        <x:f>IF(C436="","",IFERROR(MAX(0,H436+L436-M436-N436),"Unavailable"))</x:f>
        <x:v>0</x:v>
      </x:c>
      <x:c r="Q436" s="23" t="n">
        <x:f>IF(C436="","",IFERROR(IF(OR(D436&gt;=INDEX('Facilities'!$J$9:$J$108,MATCH(C436,'Facilities'!$C$9:$C$108,0)),AND(AC436&gt;=0,AC436&lt;=D436)),0,MAX(0,I436-J436)),"Unavailable"))</x:f>
        <x:v>0</x:v>
      </x:c>
      <x:c r="R436" s="30" t="n">
        <x:f>IF(C436="","",IFERROR(INDEX(Credit!$Q$409:$Q$508,MATCH(F436,Credit!$C$409:$C$508,0)),"Unavailable"))</x:f>
        <x:v>0.051098192518861864</x:v>
      </x:c>
      <x:c r="S436" s="30" t="n">
        <x:f>IF(C436="","",IFERROR(INDEX(Credit!$R$409:$R$508,MATCH(F436,Credit!$C$409:$C$508,0)),"Unavailable"))</x:f>
        <x:v>0.28161280000000005</x:v>
      </x:c>
      <x:c r="T436" s="23" t="n">
        <x:f>IF(C436="","",IFERROR(IF(P436&gt;0,3,IF(OR(INDEX('Facilities'!$AD$9:$AD$108,MATCH(C436,'Facilities'!$C$9:$C$108,0))=2,AND(R436&gt;=INDEX('Facilities'!$L$9:$L$108,MATCH(C436,'Facilities'!$C$9:$C$108,0))*Settings!$F$19,R436-INDEX('Facilities'!$L$9:$L$108,MATCH(C436,'Facilities'!$C$9:$C$108,0))&gt;=Settings!$F$20)),2,1)),"Unavailable"))</x:f>
        <x:v>1</x:v>
      </x:c>
      <x:c r="U436" s="23" t="n">
        <x:f>IF(C436="","",IF(AQ436&lt;&gt;"Ready","Unavailable",IF(C436="","",O436*(1-(1-S436)/(1+INDEX('Facilities'!$K$9:$K$108,MATCH(C436,'Facilities'!$C$9:$C$108,0)))^INDEX('Facilities'!$AK$9:$AK$108,MATCH(C436,'Facilities'!$C$9:$C$108,0)))*R436/(1+INDEX('Facilities'!$K$9:$K$108,MATCH(C436,'Facilities'!$C$9:$C$108,0)))*IF(ABS(1-(1-R436)*(1-INDEX('Facilities'!$R$9:$R$108,MATCH(C436,'Facilities'!$C$9:$C$108,0)))/(1+INDEX('Facilities'!$K$9:$K$108,MATCH(C436,'Facilities'!$C$9:$C$108,0))))&lt;0.000000001,IF(T436=1,MIN(1,AJ436),AJ436),(1-((1-R436)*(1-INDEX('Facilities'!$R$9:$R$108,MATCH(C436,'Facilities'!$C$9:$C$108,0)))/(1+INDEX('Facilities'!$K$9:$K$108,MATCH(C436,'Facilities'!$C$9:$C$108,0))))^IF(T436=1,MIN(1,AJ436),AJ436))/(1-(1-R436)*(1-INDEX('Facilities'!$R$9:$R$108,MATCH(C436,'Facilities'!$C$9:$C$108,0)))/(1+INDEX('Facilities'!$K$9:$K$108,MATCH(C436,'Facilities'!$C$9:$C$108,0)))))+AL436)))</x:f>
        <x:v>0</x:v>
      </x:c>
      <x:c r="V436" s="23" t="n">
        <x:f>IF(C436="","",IF(AQ436&lt;&gt;"Ready","Unavailable",IF(C436="","",Q436*INDEX('Facilities'!$I$9:$I$108,MATCH(C436,'Facilities'!$C$9:$C$108,0))*(1-(1-S436)/(1+INDEX('Facilities'!$K$9:$K$108,MATCH(C436,'Facilities'!$C$9:$C$108,0)))^INDEX('Facilities'!$AK$9:$AK$108,MATCH(C436,'Facilities'!$C$9:$C$108,0)))*R436/(1+INDEX('Facilities'!$K$9:$K$108,MATCH(C436,'Facilities'!$C$9:$C$108,0)))*IF(ABS(1-(1-R436)*(1-0)/(1+INDEX('Facilities'!$K$9:$K$108,MATCH(C436,'Facilities'!$C$9:$C$108,0))))&lt;0.000000001,IF(T436=1,MIN(1,AJ436),AJ436),(1-((1-R436)*(1-0)/(1+INDEX('Facilities'!$K$9:$K$108,MATCH(C436,'Facilities'!$C$9:$C$108,0))))^IF(T436=1,MIN(1,AJ436),AJ436))/(1-(1-R436)*(1-0)/(1+INDEX('Facilities'!$K$9:$K$108,MATCH(C436,'Facilities'!$C$9:$C$108,0))))))))</x:f>
        <x:v>0</x:v>
      </x:c>
      <x:c r="W436" s="21" t="n">
        <x:f>IF(C436="","",IFERROR(U336,"Unavailable"))</x:f>
        <x:v>0.12784700094718715</x:v>
      </x:c>
      <x:c r="X436" s="21" t="n">
        <x:f>IF(C436="","",IFERROR(V336,"Unavailable"))</x:f>
        <x:v>0.009756842771891587</x:v>
      </x:c>
      <x:c r="Y436" s="21" t="n">
        <x:f>IF(C436="","",IF(AQ436&lt;&gt;"Ready","Unavailable",IF(C436="","",U436-W436+V436-X436+N436+AG436)))</x:f>
        <x:v>-0.13760384371907874</x:v>
      </x:c>
      <x:c r="Z436" s="23" t="n">
        <x:f>IF(C436="","",IF(AQ436&lt;&gt;"Ready","Unavailable",IF(C436="","",(G436+O436+L436)/2*INDEX('Facilities'!$T$9:$T$108,MATCH(C436,'Facilities'!$C$9:$C$108,0))+AG436)))</x:f>
        <x:v>0.3121109309</x:v>
      </x:c>
      <x:c r="AA436" s="23" t="n">
        <x:f>IF(C436="","",IF(AQ436&lt;&gt;"Ready","Unavailable",IF(C436="","",O436*(1-IF(INDEX('Facilities'!$AA$9:$AA$108,MATCH(C436,'Facilities'!$C$9:$C$108,0))=0,0,MIN(1,INDEX('Facilities'!$X$9:$X$108,MATCH(C436,'Facilities'!$C$9:$C$108,0))/INDEX('Facilities'!$AA$9:$AA$108,MATCH(C436,'Facilities'!$C$9:$C$108,0)))))*AF436+P436*(1-IF(INDEX('Facilities'!$AA$9:$AA$108,MATCH(C436,'Facilities'!$C$9:$C$108,0))=0,0,MIN(1,INDEX('Facilities'!$X$9:$X$108,MATCH(C436,'Facilities'!$C$9:$C$108,0))/INDEX('Facilities'!$AA$9:$AA$108,MATCH(C436,'Facilities'!$C$9:$C$108,0)))))*INDEX('Facilities'!$AJ$9:$AJ$108,MATCH(C436,'Facilities'!$C$9:$C$108,0))+Q436*INDEX('Facilities'!$AI$9:$AI$108,MATCH(C436,'Facilities'!$C$9:$C$108,0))*AF436)))</x:f>
        <x:v>0</x:v>
      </x:c>
      <x:c r="AB436" s="21" t="n">
        <x:f>IF(C436="","",O436+P436-AD436)</x:f>
        <x:v>-6.57075644</x:v>
      </x:c>
      <x:c r="AC436" s="23" t="n">
        <x:f>IF(C436="","",IFERROR(IF(INDEX('Facilities'!$AD$9:$AD$108,MATCH(C436,'Facilities'!$C$9:$C$108,0))=3,0,IF(INDEX('Facilities'!$AN$9:$AN$108,MATCH(C436,'Facilities'!$C$9:$C$108,0))=0,-1,INDEX('Facilities'!$AN$9:$AN$108,MATCH(C436,'Facilities'!$C$9:$C$108,0)))),"Unavailable"))</x:f>
        <x:v>-1</x:v>
      </x:c>
      <x:c r="AD436" s="21" t="n">
        <x:f>IF(C436="","",IFERROR(G436+H436,"Unavailable"))</x:f>
        <x:v>6.57075644</x:v>
      </x:c>
      <x:c r="AE436" s="21" t="n">
        <x:f>IF(C436="","",IF(AQ436&lt;&gt;"Ready","Unavailable",IF(C436="","",O436+P436-AD436-J436+K436+M436+N436)))</x:f>
        <x:v>0</x:v>
      </x:c>
      <x:c r="AF436" s="30" t="n">
        <x:f>IF(C436="","",IFERROR(INDEX('Facilities'!$S$9:$S$108,MATCH(C436,'Facilities'!$C$9:$C$108,0))*'Scenario Paths'!J75,"Unavailable"))</x:f>
        <x:v>1.25</x:v>
      </x:c>
      <x:c r="AG436" s="23" t="n">
        <x:f>IF(C436="","",IF(AQ436&lt;&gt;"Ready","Unavailable",IF(C436="","",IF(H436&gt;0,MAX(0,H436-AK436)*((1+INDEX('Facilities'!$K$9:$K$108,MATCH(C436,'Facilities'!$C$9:$C$108,0)))^MIN(1,MAX(0,AC436+INDEX('Facilities'!$AK$9:$AK$108,MATCH(C436,'Facilities'!$C$9:$C$108,0))-D436+1))-1),0))))</x:f>
        <x:v>0</x:v>
      </x:c>
      <x:c r="AH436" s="21" t="n">
        <x:f>IF(C436="","",IF(AQ436&lt;&gt;"Ready","Unavailable",IF(C436="","",O436+P436)))</x:f>
        <x:v>0</x:v>
      </x:c>
      <x:c r="AI436" s="21" t="n">
        <x:f>IF(C436="","",IF(AQ436&lt;&gt;"Ready","Unavailable",IF(C436="","",Z436-Y436)))</x:f>
        <x:v>0.44971477461907877</x:v>
      </x:c>
      <x:c r="AJ436" s="23" t="n">
        <x:f>IF(C436="","",IFERROR(MAX(0,INDEX('Facilities'!$J$9:$J$108,MATCH(C436,'Facilities'!$C$9:$C$108,0))-D436),"Unavailable"))</x:f>
        <x:v>0</x:v>
      </x:c>
      <x:c r="AK436" s="21" t="n">
        <x:f>IF(C436="","",IFERROR(AL336,"Unavailable"))</x:f>
        <x:v>0</x:v>
      </x:c>
      <x:c r="AL436" s="23" t="n">
        <x:f>IF(C436="","",IFERROR(IF(P436&gt;0,P436*(1-AM436/(1+INDEX('Facilities'!$K$9:$K$108,MATCH(C436,'Facilities'!$C$9:$C$108,0)))^MAX(0,AC436+INDEX('Facilities'!$AK$9:$AK$108,MATCH(C436,'Facilities'!$C$9:$C$108,0))-D436)),0),"Unavailable"))</x:f>
        <x:v>0</x:v>
      </x:c>
      <x:c r="AM436" s="30" t="n">
        <x:f>IF(C436="","",IFERROR(INDEX('Facilities'!$AL$9:$AL$108,MATCH(C436,'Facilities'!$C$9:$C$108,0)),"Unavailable"))</x:f>
        <x:v>0.55</x:v>
      </x:c>
      <x:c r="AN436" s="30" t="n">
        <x:f>IF(C436="","",IFERROR(INDEX(Credit!$T$409:$T$508,MATCH(F436,Credit!$C$409:$C$508,0)),"Unavailable"))</x:f>
        <x:v>0.0022400000000000002</x:v>
      </x:c>
      <x:c r="AO436" s="23" t="n">
        <x:f>IF(C436="","",IF(AQ436&lt;&gt;"Ready","Unavailable",IF(C436="","",O436+P436+Q436*INDEX('Facilities'!$I$9:$I$108,MATCH(C436,'Facilities'!$C$9:$C$108,0)))))</x:f>
        <x:v>0</x:v>
      </x:c>
      <x:c r="AP436" s="21" t="n">
        <x:f>IF(C436="","",IF(AQ436&lt;&gt;"Ready","Unavailable",IF(C436="","",AH436-U436)))</x:f>
        <x:v>0</x:v>
      </x:c>
      <x:c r="AQ436" s="23" t="str">
        <x:f>IFERROR(IF(C436="","",IF(AND(INDEX('Facilities'!$AF$9:$AF$108,MATCH(C436,'Facilities'!$C$9:$C$108,0))="Ready",INDEX(Credit!$U$409:$U$508,MATCH(F436,Credit!$C$409:$C$508,0))="Ready",ISNUMBER(W436)),"Ready","Review inputs")),"Review inputs")</x:f>
        <x:v>Ready</x:v>
      </x:c>
      <x:c r="AR436" s="23" t="n">
        <x:f>IF(C436="","",IF(AQ436&lt;&gt;"Ready","Unavailable",IF(C436="","",IF(O436=0,0,(IF(AJ436&lt;=1,O436,O436*INDEX('Facilities'!$R$9:$R$108,MATCH(C436,'Facilities'!$C$9:$C$108,0)))+O436*INDEX('Facilities'!$T$9:$T$108,MATCH(C436,'Facilities'!$C$9:$C$108,0)))/12))))</x:f>
        <x:v>0</x:v>
      </x:c>
    </x:row>
    <x:row r="437" ht="26" customHeight="1">
      <x:c r="A437" s="1"/>
      <x:c r="B437" s="1"/>
      <x:c r="C437" s="9" t="str">
        <x:f>IF(Facilities!C37="","",Facilities!C37)</x:f>
        <x:v>F029</x:v>
      </x:c>
      <x:c r="D437" s="3" t="n">
        <x:v>5</x:v>
      </x:c>
      <x:c r="E437" s="9" t="n">
        <x:f>Settings!$F$18+4</x:f>
        <x:v>2031</x:v>
      </x:c>
      <x:c r="F437" s="9" t="str">
        <x:f>IF(C437="","",IFERROR(INDEX('Facilities'!$D$9:$D$108,MATCH(C437,'Facilities'!$C$9:$C$108,0)),"Unavailable"))</x:f>
        <x:v>B017</x:v>
      </x:c>
      <x:c r="G437" s="21" t="n">
        <x:f>IF(C437="","",IFERROR(O337,"Unavailable"))</x:f>
        <x:v>6.7806498159999995</x:v>
      </x:c>
      <x:c r="H437" s="21" t="n">
        <x:f>IF(C437="","",IFERROR(P337,"Unavailable"))</x:f>
        <x:v>0</x:v>
      </x:c>
      <x:c r="I437" s="21" t="n">
        <x:f>IF(C437="","",IFERROR(Q337,"Unavailable"))</x:f>
        <x:v>1.002915</x:v>
      </x:c>
      <x:c r="J437" s="23" t="n">
        <x:f>IF(C437="","",IFERROR(IF(OR(H437&gt;0,AND(AC437&gt;=0,AC437&lt;D437),D437&gt;INDEX('Facilities'!$J$9:$J$108,MATCH(C437,'Facilities'!$C$9:$C$108,0))),0,I437*'Scenario Paths'!J81),"Unavailable"))</x:f>
        <x:v>0.05014575</x:v>
      </x:c>
      <x:c r="K437" s="23" t="n">
        <x:f>IF(C437="","",IFERROR(IF(OR(H437&gt;0,AND(AC437&gt;=0,AC437=D437)),0,IF(D437&gt;=INDEX('Facilities'!$J$9:$J$108,MATCH(C437,'Facilities'!$C$9:$C$108,0)),G437+J437,MIN(G437+J437,G437*INDEX('Facilities'!$R$9:$R$108,MATCH(C437,'Facilities'!$C$9:$C$108,0))))),"Unavailable"))</x:f>
        <x:v>0.81367797792</x:v>
      </x:c>
      <x:c r="L437" s="21" t="n">
        <x:f>IF(C437="","",IFERROR(IF(AND(AC437=D437,AC437&gt;0),MAX(0,G437+J437-K437),0),"Unavailable"))</x:f>
        <x:v>0</x:v>
      </x:c>
      <x:c r="M437" s="23" t="n">
        <x:f>IF(C437="","",IFERROR(IF(AND(AC437&gt;=0,D437&gt;=AC437+INDEX('Facilities'!$AK$9:$AK$108,MATCH(C437,'Facilities'!$C$9:$C$108,0))),(H437+L437)*AM437,0),"Unavailable"))</x:f>
        <x:v>0</x:v>
      </x:c>
      <x:c r="N437" s="23" t="n">
        <x:f>IF(C437="","",IFERROR(IF(AND(AC437&gt;=0,D437&gt;=AC437+INDEX('Facilities'!$AK$9:$AK$108,MATCH(C437,'Facilities'!$C$9:$C$108,0))),H437+L437-M437,0),"Unavailable"))</x:f>
        <x:v>0</x:v>
      </x:c>
      <x:c r="O437" s="21" t="n">
        <x:f>IF(C437="","",IFERROR(MAX(0,G437+J437-K437-L437),"Unavailable"))</x:f>
        <x:v>6.01711758808</x:v>
      </x:c>
      <x:c r="P437" s="21" t="n">
        <x:f>IF(C437="","",IFERROR(MAX(0,H437+L437-M437-N437),"Unavailable"))</x:f>
        <x:v>0</x:v>
      </x:c>
      <x:c r="Q437" s="23" t="n">
        <x:f>IF(C437="","",IFERROR(IF(OR(D437&gt;=INDEX('Facilities'!$J$9:$J$108,MATCH(C437,'Facilities'!$C$9:$C$108,0)),AND(AC437&gt;=0,AC437&lt;=D437)),0,MAX(0,I437-J437)),"Unavailable"))</x:f>
        <x:v>0.95276925</x:v>
      </x:c>
      <x:c r="R437" s="30" t="n">
        <x:f>IF(C437="","",IFERROR(INDEX(Credit!$Q$409:$Q$508,MATCH(F437,Credit!$C$409:$C$508,0)),"Unavailable"))</x:f>
        <x:v>0.06592165430863837</x:v>
      </x:c>
      <x:c r="S437" s="30" t="n">
        <x:f>IF(C437="","",IFERROR(INDEX(Credit!$R$409:$R$508,MATCH(F437,Credit!$C$409:$C$508,0)),"Unavailable"))</x:f>
        <x:v>0.3234816</x:v>
      </x:c>
      <x:c r="T437" s="23" t="n">
        <x:f>IF(C437="","",IFERROR(IF(P437&gt;0,3,IF(OR(INDEX('Facilities'!$AD$9:$AD$108,MATCH(C437,'Facilities'!$C$9:$C$108,0))=2,AND(R437&gt;=INDEX('Facilities'!$L$9:$L$108,MATCH(C437,'Facilities'!$C$9:$C$108,0))*Settings!$F$19,R437-INDEX('Facilities'!$L$9:$L$108,MATCH(C437,'Facilities'!$C$9:$C$108,0))&gt;=Settings!$F$20)),2,1)),"Unavailable"))</x:f>
        <x:v>2</x:v>
      </x:c>
      <x:c r="U437" s="23" t="n">
        <x:f>IF(C437="","",IF(AQ437&lt;&gt;"Ready","Unavailable",IF(C437="","",O437*(1-(1-S437)/(1+INDEX('Facilities'!$K$9:$K$108,MATCH(C437,'Facilities'!$C$9:$C$108,0)))^INDEX('Facilities'!$AK$9:$AK$108,MATCH(C437,'Facilities'!$C$9:$C$108,0)))*R437/(1+INDEX('Facilities'!$K$9:$K$108,MATCH(C437,'Facilities'!$C$9:$C$108,0)))*IF(ABS(1-(1-R437)*(1-INDEX('Facilities'!$R$9:$R$108,MATCH(C437,'Facilities'!$C$9:$C$108,0)))/(1+INDEX('Facilities'!$K$9:$K$108,MATCH(C437,'Facilities'!$C$9:$C$108,0))))&lt;0.000000001,IF(T437=1,MIN(1,AJ437),AJ437),(1-((1-R437)*(1-INDEX('Facilities'!$R$9:$R$108,MATCH(C437,'Facilities'!$C$9:$C$108,0)))/(1+INDEX('Facilities'!$K$9:$K$108,MATCH(C437,'Facilities'!$C$9:$C$108,0))))^IF(T437=1,MIN(1,AJ437),AJ437))/(1-(1-R437)*(1-INDEX('Facilities'!$R$9:$R$108,MATCH(C437,'Facilities'!$C$9:$C$108,0)))/(1+INDEX('Facilities'!$K$9:$K$108,MATCH(C437,'Facilities'!$C$9:$C$108,0)))))+AL437)))</x:f>
        <x:v>0.15425400804631872</x:v>
      </x:c>
      <x:c r="V437" s="23" t="n">
        <x:f>IF(C437="","",IF(AQ437&lt;&gt;"Ready","Unavailable",IF(C437="","",Q437*INDEX('Facilities'!$I$9:$I$108,MATCH(C437,'Facilities'!$C$9:$C$108,0))*(1-(1-S437)/(1+INDEX('Facilities'!$K$9:$K$108,MATCH(C437,'Facilities'!$C$9:$C$108,0)))^INDEX('Facilities'!$AK$9:$AK$108,MATCH(C437,'Facilities'!$C$9:$C$108,0)))*R437/(1+INDEX('Facilities'!$K$9:$K$108,MATCH(C437,'Facilities'!$C$9:$C$108,0)))*IF(ABS(1-(1-R437)*(1-0)/(1+INDEX('Facilities'!$K$9:$K$108,MATCH(C437,'Facilities'!$C$9:$C$108,0))))&lt;0.000000001,IF(T437=1,MIN(1,AJ437),AJ437),(1-((1-R437)*(1-0)/(1+INDEX('Facilities'!$K$9:$K$108,MATCH(C437,'Facilities'!$C$9:$C$108,0))))^IF(T437=1,MIN(1,AJ437),AJ437))/(1-(1-R437)*(1-0)/(1+INDEX('Facilities'!$K$9:$K$108,MATCH(C437,'Facilities'!$C$9:$C$108,0))))))))</x:f>
        <x:v>0.012212531449188548</x:v>
      </x:c>
      <x:c r="W437" s="21" t="n">
        <x:f>IF(C437="","",IFERROR(U337,"Unavailable"))</x:f>
        <x:v>0.32283071873332275</x:v>
      </x:c>
      <x:c r="X437" s="21" t="n">
        <x:f>IF(C437="","",IFERROR(V337,"Unavailable"))</x:f>
        <x:v>0.02527839226979261</x:v>
      </x:c>
      <x:c r="Y437" s="21" t="n">
        <x:f>IF(C437="","",IF(AQ437&lt;&gt;"Ready","Unavailable",IF(C437="","",U437-W437+V437-X437+N437+AG437)))</x:f>
        <x:v>-0.1816425715076081</x:v>
      </x:c>
      <x:c r="Z437" s="23" t="n">
        <x:f>IF(C437="","",IF(AQ437&lt;&gt;"Ready","Unavailable",IF(C437="","",(G437+O437+L437)/2*INDEX('Facilities'!$T$9:$T$108,MATCH(C437,'Facilities'!$C$9:$C$108,0))+AG437)))</x:f>
        <x:v>0.6078939516937999</x:v>
      </x:c>
      <x:c r="AA437" s="23" t="n">
        <x:f>IF(C437="","",IF(AQ437&lt;&gt;"Ready","Unavailable",IF(C437="","",O437*(1-IF(INDEX('Facilities'!$AA$9:$AA$108,MATCH(C437,'Facilities'!$C$9:$C$108,0))=0,0,MIN(1,INDEX('Facilities'!$X$9:$X$108,MATCH(C437,'Facilities'!$C$9:$C$108,0))/INDEX('Facilities'!$AA$9:$AA$108,MATCH(C437,'Facilities'!$C$9:$C$108,0)))))*AF437+P437*(1-IF(INDEX('Facilities'!$AA$9:$AA$108,MATCH(C437,'Facilities'!$C$9:$C$108,0))=0,0,MIN(1,INDEX('Facilities'!$X$9:$X$108,MATCH(C437,'Facilities'!$C$9:$C$108,0))/INDEX('Facilities'!$AA$9:$AA$108,MATCH(C437,'Facilities'!$C$9:$C$108,0)))))*INDEX('Facilities'!$AJ$9:$AJ$108,MATCH(C437,'Facilities'!$C$9:$C$108,0))+Q437*INDEX('Facilities'!$AI$9:$AI$108,MATCH(C437,'Facilities'!$C$9:$C$108,0))*AF437)))</x:f>
        <x:v>7.943584779813296</x:v>
      </x:c>
      <x:c r="AB437" s="21" t="n">
        <x:f>IF(C437="","",O437+P437-AD437)</x:f>
        <x:v>-0.7635322279199999</x:v>
      </x:c>
      <x:c r="AC437" s="23" t="n">
        <x:f>IF(C437="","",IFERROR(IF(INDEX('Facilities'!$AD$9:$AD$108,MATCH(C437,'Facilities'!$C$9:$C$108,0))=3,0,IF(INDEX('Facilities'!$AN$9:$AN$108,MATCH(C437,'Facilities'!$C$9:$C$108,0))=0,-1,INDEX('Facilities'!$AN$9:$AN$108,MATCH(C437,'Facilities'!$C$9:$C$108,0)))),"Unavailable"))</x:f>
        <x:v>-1</x:v>
      </x:c>
      <x:c r="AD437" s="21" t="n">
        <x:f>IF(C437="","",IFERROR(G437+H437,"Unavailable"))</x:f>
        <x:v>6.7806498159999995</x:v>
      </x:c>
      <x:c r="AE437" s="21" t="n">
        <x:f>IF(C437="","",IF(AQ437&lt;&gt;"Ready","Unavailable",IF(C437="","",O437+P437-AD437-J437+K437+M437+N437)))</x:f>
        <x:v>1.1102230246251565e-16</x:v>
      </x:c>
      <x:c r="AF437" s="30" t="n">
        <x:f>IF(C437="","",IFERROR(INDEX('Facilities'!$S$9:$S$108,MATCH(C437,'Facilities'!$C$9:$C$108,0))*'Scenario Paths'!J75,"Unavailable"))</x:f>
        <x:v>1.25</x:v>
      </x:c>
      <x:c r="AG437" s="23" t="n">
        <x:f>IF(C437="","",IF(AQ437&lt;&gt;"Ready","Unavailable",IF(C437="","",IF(H437&gt;0,MAX(0,H437-AK437)*((1+INDEX('Facilities'!$K$9:$K$108,MATCH(C437,'Facilities'!$C$9:$C$108,0)))^MIN(1,MAX(0,AC437+INDEX('Facilities'!$AK$9:$AK$108,MATCH(C437,'Facilities'!$C$9:$C$108,0))-D437+1))-1),0))))</x:f>
        <x:v>0</x:v>
      </x:c>
      <x:c r="AH437" s="21" t="n">
        <x:f>IF(C437="","",IF(AQ437&lt;&gt;"Ready","Unavailable",IF(C437="","",O437+P437)))</x:f>
        <x:v>6.01711758808</x:v>
      </x:c>
      <x:c r="AI437" s="21" t="n">
        <x:f>IF(C437="","",IF(AQ437&lt;&gt;"Ready","Unavailable",IF(C437="","",Z437-Y437)))</x:f>
        <x:v>0.789536523201408</x:v>
      </x:c>
      <x:c r="AJ437" s="23" t="n">
        <x:f>IF(C437="","",IFERROR(MAX(0,INDEX('Facilities'!$J$9:$J$108,MATCH(C437,'Facilities'!$C$9:$C$108,0))-D437),"Unavailable"))</x:f>
        <x:v>1</x:v>
      </x:c>
      <x:c r="AK437" s="21" t="n">
        <x:f>IF(C437="","",IFERROR(AL337,"Unavailable"))</x:f>
        <x:v>0</x:v>
      </x:c>
      <x:c r="AL437" s="23" t="n">
        <x:f>IF(C437="","",IFERROR(IF(P437&gt;0,P437*(1-AM437/(1+INDEX('Facilities'!$K$9:$K$108,MATCH(C437,'Facilities'!$C$9:$C$108,0)))^MAX(0,AC437+INDEX('Facilities'!$AK$9:$AK$108,MATCH(C437,'Facilities'!$C$9:$C$108,0))-D437)),0),"Unavailable"))</x:f>
        <x:v>0</x:v>
      </x:c>
      <x:c r="AM437" s="30" t="n">
        <x:f>IF(C437="","",IFERROR(INDEX('Facilities'!$AL$9:$AL$108,MATCH(C437,'Facilities'!$C$9:$C$108,0)),"Unavailable"))</x:f>
        <x:v>0.55</x:v>
      </x:c>
      <x:c r="AN437" s="30" t="n">
        <x:f>IF(C437="","",IFERROR(INDEX(Credit!$T$409:$T$508,MATCH(F437,Credit!$C$409:$C$508,0)),"Unavailable"))</x:f>
        <x:v>0.00512</x:v>
      </x:c>
      <x:c r="AO437" s="23" t="n">
        <x:f>IF(C437="","",IF(AQ437&lt;&gt;"Ready","Unavailable",IF(C437="","",O437+P437+Q437*INDEX('Facilities'!$I$9:$I$108,MATCH(C437,'Facilities'!$C$9:$C$108,0)))))</x:f>
        <x:v>6.493502213079999</x:v>
      </x:c>
      <x:c r="AP437" s="21" t="n">
        <x:f>IF(C437="","",IF(AQ437&lt;&gt;"Ready","Unavailable",IF(C437="","",AH437-U437)))</x:f>
        <x:v>5.862863580033681</x:v>
      </x:c>
      <x:c r="AQ437" s="23" t="str">
        <x:f>IFERROR(IF(C437="","",IF(AND(INDEX('Facilities'!$AF$9:$AF$108,MATCH(C437,'Facilities'!$C$9:$C$108,0))="Ready",INDEX(Credit!$U$409:$U$508,MATCH(F437,Credit!$C$409:$C$508,0))="Ready",ISNUMBER(W437)),"Ready","Review inputs")),"Review inputs")</x:f>
        <x:v>Ready</x:v>
      </x:c>
      <x:c r="AR437" s="23" t="n">
        <x:f>IF(C437="","",IF(AQ437&lt;&gt;"Ready","Unavailable",IF(C437="","",IF(O437=0,0,(IF(AJ437&lt;=1,O437,O437*INDEX('Facilities'!$R$9:$R$108,MATCH(C437,'Facilities'!$C$9:$C$108,0)))+O437*INDEX('Facilities'!$T$9:$T$108,MATCH(C437,'Facilities'!$C$9:$C$108,0)))/12))))</x:f>
        <x:v>0.5490619799123</x:v>
      </x:c>
    </x:row>
    <x:row r="438" ht="26" customHeight="1">
      <x:c r="A438" s="1"/>
      <x:c r="B438" s="1"/>
      <x:c r="C438" s="9" t="str">
        <x:f>IF(Facilities!C38="","",Facilities!C38)</x:f>
        <x:v>F030</x:v>
      </x:c>
      <x:c r="D438" s="3" t="n">
        <x:v>5</x:v>
      </x:c>
      <x:c r="E438" s="9" t="n">
        <x:f>Settings!$F$18+4</x:f>
        <x:v>2031</x:v>
      </x:c>
      <x:c r="F438" s="9" t="str">
        <x:f>IF(C438="","",IFERROR(INDEX('Facilities'!$D$9:$D$108,MATCH(C438,'Facilities'!$C$9:$C$108,0)),"Unavailable"))</x:f>
        <x:v>B018</x:v>
      </x:c>
      <x:c r="G438" s="21" t="n">
        <x:f>IF(C438="","",IFERROR(O338,"Unavailable"))</x:f>
        <x:v>6.9905431920000005</x:v>
      </x:c>
      <x:c r="H438" s="21" t="n">
        <x:f>IF(C438="","",IFERROR(P338,"Unavailable"))</x:f>
        <x:v>0</x:v>
      </x:c>
      <x:c r="I438" s="21" t="n">
        <x:f>IF(C438="","",IFERROR(Q338,"Unavailable"))</x:f>
        <x:v>1.002915</x:v>
      </x:c>
      <x:c r="J438" s="23" t="n">
        <x:f>IF(C438="","",IFERROR(IF(OR(H438&gt;0,AND(AC438&gt;=0,AC438&lt;D438),D438&gt;INDEX('Facilities'!$J$9:$J$108,MATCH(C438,'Facilities'!$C$9:$C$108,0))),0,I438*'Scenario Paths'!J81),"Unavailable"))</x:f>
        <x:v>0.05014575</x:v>
      </x:c>
      <x:c r="K438" s="23" t="n">
        <x:f>IF(C438="","",IFERROR(IF(OR(H438&gt;0,AND(AC438&gt;=0,AC438=D438)),0,IF(D438&gt;=INDEX('Facilities'!$J$9:$J$108,MATCH(C438,'Facilities'!$C$9:$C$108,0)),G438+J438,MIN(G438+J438,G438*INDEX('Facilities'!$R$9:$R$108,MATCH(C438,'Facilities'!$C$9:$C$108,0))))),"Unavailable"))</x:f>
        <x:v>0.83886518304</x:v>
      </x:c>
      <x:c r="L438" s="21" t="n">
        <x:f>IF(C438="","",IFERROR(IF(AND(AC438=D438,AC438&gt;0),MAX(0,G438+J438-K438),0),"Unavailable"))</x:f>
        <x:v>0</x:v>
      </x:c>
      <x:c r="M438" s="23" t="n">
        <x:f>IF(C438="","",IFERROR(IF(AND(AC438&gt;=0,D438&gt;=AC438+INDEX('Facilities'!$AK$9:$AK$108,MATCH(C438,'Facilities'!$C$9:$C$108,0))),(H438+L438)*AM438,0),"Unavailable"))</x:f>
        <x:v>0</x:v>
      </x:c>
      <x:c r="N438" s="23" t="n">
        <x:f>IF(C438="","",IFERROR(IF(AND(AC438&gt;=0,D438&gt;=AC438+INDEX('Facilities'!$AK$9:$AK$108,MATCH(C438,'Facilities'!$C$9:$C$108,0))),H438+L438-M438,0),"Unavailable"))</x:f>
        <x:v>0</x:v>
      </x:c>
      <x:c r="O438" s="21" t="n">
        <x:f>IF(C438="","",IFERROR(MAX(0,G438+J438-K438-L438),"Unavailable"))</x:f>
        <x:v>6.201823758960001</x:v>
      </x:c>
      <x:c r="P438" s="21" t="n">
        <x:f>IF(C438="","",IFERROR(MAX(0,H438+L438-M438-N438),"Unavailable"))</x:f>
        <x:v>0</x:v>
      </x:c>
      <x:c r="Q438" s="23" t="n">
        <x:f>IF(C438="","",IFERROR(IF(OR(D438&gt;=INDEX('Facilities'!$J$9:$J$108,MATCH(C438,'Facilities'!$C$9:$C$108,0)),AND(AC438&gt;=0,AC438&lt;=D438)),0,MAX(0,I438-J438)),"Unavailable"))</x:f>
        <x:v>0.95276925</x:v>
      </x:c>
      <x:c r="R438" s="30" t="n">
        <x:f>IF(C438="","",IFERROR(INDEX(Credit!$Q$409:$Q$508,MATCH(F438,Credit!$C$409:$C$508,0)),"Unavailable"))</x:f>
        <x:v>0.08162333280975234</x:v>
      </x:c>
      <x:c r="S438" s="30" t="n">
        <x:f>IF(C438="","",IFERROR(INDEX(Credit!$R$409:$R$508,MATCH(F438,Credit!$C$409:$C$508,0)),"Unavailable"))</x:f>
        <x:v>0.36585728000000006</x:v>
      </x:c>
      <x:c r="T438" s="23" t="n">
        <x:f>IF(C438="","",IFERROR(IF(P438&gt;0,3,IF(OR(INDEX('Facilities'!$AD$9:$AD$108,MATCH(C438,'Facilities'!$C$9:$C$108,0))=2,AND(R438&gt;=INDEX('Facilities'!$L$9:$L$108,MATCH(C438,'Facilities'!$C$9:$C$108,0))*Settings!$F$19,R438-INDEX('Facilities'!$L$9:$L$108,MATCH(C438,'Facilities'!$C$9:$C$108,0))&gt;=Settings!$F$20)),2,1)),"Unavailable"))</x:f>
        <x:v>1</x:v>
      </x:c>
      <x:c r="U438" s="23" t="n">
        <x:f>IF(C438="","",IF(AQ438&lt;&gt;"Ready","Unavailable",IF(C438="","",O438*(1-(1-S438)/(1+INDEX('Facilities'!$K$9:$K$108,MATCH(C438,'Facilities'!$C$9:$C$108,0)))^INDEX('Facilities'!$AK$9:$AK$108,MATCH(C438,'Facilities'!$C$9:$C$108,0)))*R438/(1+INDEX('Facilities'!$K$9:$K$108,MATCH(C438,'Facilities'!$C$9:$C$108,0)))*IF(ABS(1-(1-R438)*(1-INDEX('Facilities'!$R$9:$R$108,MATCH(C438,'Facilities'!$C$9:$C$108,0)))/(1+INDEX('Facilities'!$K$9:$K$108,MATCH(C438,'Facilities'!$C$9:$C$108,0))))&lt;0.000000001,IF(T438=1,MIN(1,AJ438),AJ438),(1-((1-R438)*(1-INDEX('Facilities'!$R$9:$R$108,MATCH(C438,'Facilities'!$C$9:$C$108,0)))/(1+INDEX('Facilities'!$K$9:$K$108,MATCH(C438,'Facilities'!$C$9:$C$108,0))))^IF(T438=1,MIN(1,AJ438),AJ438))/(1-(1-R438)*(1-INDEX('Facilities'!$R$9:$R$108,MATCH(C438,'Facilities'!$C$9:$C$108,0)))/(1+INDEX('Facilities'!$K$9:$K$108,MATCH(C438,'Facilities'!$C$9:$C$108,0)))))+AL438)))</x:f>
        <x:v>0.2138868517238127</x:v>
      </x:c>
      <x:c r="V438" s="23" t="n">
        <x:f>IF(C438="","",IF(AQ438&lt;&gt;"Ready","Unavailable",IF(C438="","",Q438*INDEX('Facilities'!$I$9:$I$108,MATCH(C438,'Facilities'!$C$9:$C$108,0))*(1-(1-S438)/(1+INDEX('Facilities'!$K$9:$K$108,MATCH(C438,'Facilities'!$C$9:$C$108,0)))^INDEX('Facilities'!$AK$9:$AK$108,MATCH(C438,'Facilities'!$C$9:$C$108,0)))*R438/(1+INDEX('Facilities'!$K$9:$K$108,MATCH(C438,'Facilities'!$C$9:$C$108,0)))*IF(ABS(1-(1-R438)*(1-0)/(1+INDEX('Facilities'!$K$9:$K$108,MATCH(C438,'Facilities'!$C$9:$C$108,0))))&lt;0.000000001,IF(T438=1,MIN(1,AJ438),AJ438),(1-((1-R438)*(1-0)/(1+INDEX('Facilities'!$K$9:$K$108,MATCH(C438,'Facilities'!$C$9:$C$108,0))))^IF(T438=1,MIN(1,AJ438),AJ438))/(1-(1-R438)*(1-0)/(1+INDEX('Facilities'!$K$9:$K$108,MATCH(C438,'Facilities'!$C$9:$C$108,0))))))))</x:f>
        <x:v>0.01642942650598083</x:v>
      </x:c>
      <x:c r="W438" s="21" t="n">
        <x:f>IF(C438="","",IFERROR(U338,"Unavailable"))</x:f>
        <x:v>0.5799148365332905</x:v>
      </x:c>
      <x:c r="X438" s="21" t="n">
        <x:f>IF(C438="","",IFERROR(V338,"Unavailable"))</x:f>
        <x:v>0.046361667981886776</x:v>
      </x:c>
      <x:c r="Y438" s="21" t="n">
        <x:f>IF(C438="","",IF(AQ438&lt;&gt;"Ready","Unavailable",IF(C438="","",U438-W438+V438-X438+N438+AG438)))</x:f>
        <x:v>-0.3959602262853837</x:v>
      </x:c>
      <x:c r="Z438" s="23" t="n">
        <x:f>IF(C438="","",IF(AQ438&lt;&gt;"Ready","Unavailable",IF(C438="","",(G438+O438+L438)/2*INDEX('Facilities'!$T$9:$T$108,MATCH(C438,'Facilities'!$C$9:$C$108,0))+AG438)))</x:f>
        <x:v>0.6266374301706</x:v>
      </x:c>
      <x:c r="AA438" s="23" t="n">
        <x:f>IF(C438="","",IF(AQ438&lt;&gt;"Ready","Unavailable",IF(C438="","",O438*(1-IF(INDEX('Facilities'!$AA$9:$AA$108,MATCH(C438,'Facilities'!$C$9:$C$108,0))=0,0,MIN(1,INDEX('Facilities'!$X$9:$X$108,MATCH(C438,'Facilities'!$C$9:$C$108,0))/INDEX('Facilities'!$AA$9:$AA$108,MATCH(C438,'Facilities'!$C$9:$C$108,0)))))*AF438+P438*(1-IF(INDEX('Facilities'!$AA$9:$AA$108,MATCH(C438,'Facilities'!$C$9:$C$108,0))=0,0,MIN(1,INDEX('Facilities'!$X$9:$X$108,MATCH(C438,'Facilities'!$C$9:$C$108,0))/INDEX('Facilities'!$AA$9:$AA$108,MATCH(C438,'Facilities'!$C$9:$C$108,0)))))*INDEX('Facilities'!$AJ$9:$AJ$108,MATCH(C438,'Facilities'!$C$9:$C$108,0))+Q438*INDEX('Facilities'!$AI$9:$AI$108,MATCH(C438,'Facilities'!$C$9:$C$108,0))*AF438)))</x:f>
        <x:v>8.113331541861312</x:v>
      </x:c>
      <x:c r="AB438" s="21" t="n">
        <x:f>IF(C438="","",O438+P438-AD438)</x:f>
        <x:v>-0.7887194330399998</x:v>
      </x:c>
      <x:c r="AC438" s="23" t="n">
        <x:f>IF(C438="","",IFERROR(IF(INDEX('Facilities'!$AD$9:$AD$108,MATCH(C438,'Facilities'!$C$9:$C$108,0))=3,0,IF(INDEX('Facilities'!$AN$9:$AN$108,MATCH(C438,'Facilities'!$C$9:$C$108,0))=0,-1,INDEX('Facilities'!$AN$9:$AN$108,MATCH(C438,'Facilities'!$C$9:$C$108,0)))),"Unavailable"))</x:f>
        <x:v>-1</x:v>
      </x:c>
      <x:c r="AD438" s="21" t="n">
        <x:f>IF(C438="","",IFERROR(G438+H438,"Unavailable"))</x:f>
        <x:v>6.9905431920000005</x:v>
      </x:c>
      <x:c r="AE438" s="21" t="n">
        <x:f>IF(C438="","",IF(AQ438&lt;&gt;"Ready","Unavailable",IF(C438="","",O438+P438-AD438-J438+K438+M438+N438)))</x:f>
        <x:v>2.220446049250313e-16</x:v>
      </x:c>
      <x:c r="AF438" s="30" t="n">
        <x:f>IF(C438="","",IFERROR(INDEX('Facilities'!$S$9:$S$108,MATCH(C438,'Facilities'!$C$9:$C$108,0))*'Scenario Paths'!J75,"Unavailable"))</x:f>
        <x:v>1.25</x:v>
      </x:c>
      <x:c r="AG438" s="23" t="n">
        <x:f>IF(C438="","",IF(AQ438&lt;&gt;"Ready","Unavailable",IF(C438="","",IF(H438&gt;0,MAX(0,H438-AK438)*((1+INDEX('Facilities'!$K$9:$K$108,MATCH(C438,'Facilities'!$C$9:$C$108,0)))^MIN(1,MAX(0,AC438+INDEX('Facilities'!$AK$9:$AK$108,MATCH(C438,'Facilities'!$C$9:$C$108,0))-D438+1))-1),0))))</x:f>
        <x:v>0</x:v>
      </x:c>
      <x:c r="AH438" s="21" t="n">
        <x:f>IF(C438="","",IF(AQ438&lt;&gt;"Ready","Unavailable",IF(C438="","",O438+P438)))</x:f>
        <x:v>6.201823758960001</x:v>
      </x:c>
      <x:c r="AI438" s="21" t="n">
        <x:f>IF(C438="","",IF(AQ438&lt;&gt;"Ready","Unavailable",IF(C438="","",Z438-Y438)))</x:f>
        <x:v>1.0225976564559838</x:v>
      </x:c>
      <x:c r="AJ438" s="23" t="n">
        <x:f>IF(C438="","",IFERROR(MAX(0,INDEX('Facilities'!$J$9:$J$108,MATCH(C438,'Facilities'!$C$9:$C$108,0))-D438),"Unavailable"))</x:f>
        <x:v>2</x:v>
      </x:c>
      <x:c r="AK438" s="21" t="n">
        <x:f>IF(C438="","",IFERROR(AL338,"Unavailable"))</x:f>
        <x:v>0</x:v>
      </x:c>
      <x:c r="AL438" s="23" t="n">
        <x:f>IF(C438="","",IFERROR(IF(P438&gt;0,P438*(1-AM438/(1+INDEX('Facilities'!$K$9:$K$108,MATCH(C438,'Facilities'!$C$9:$C$108,0)))^MAX(0,AC438+INDEX('Facilities'!$AK$9:$AK$108,MATCH(C438,'Facilities'!$C$9:$C$108,0))-D438)),0),"Unavailable"))</x:f>
        <x:v>0</x:v>
      </x:c>
      <x:c r="AM438" s="30" t="n">
        <x:f>IF(C438="","",IFERROR(INDEX('Facilities'!$AL$9:$AL$108,MATCH(C438,'Facilities'!$C$9:$C$108,0)),"Unavailable"))</x:f>
        <x:v>0.55</x:v>
      </x:c>
      <x:c r="AN438" s="30" t="n">
        <x:f>IF(C438="","",IFERROR(INDEX(Credit!$T$409:$T$508,MATCH(F438,Credit!$C$409:$C$508,0)),"Unavailable"))</x:f>
        <x:v>0.009152</x:v>
      </x:c>
      <x:c r="AO438" s="23" t="n">
        <x:f>IF(C438="","",IF(AQ438&lt;&gt;"Ready","Unavailable",IF(C438="","",O438+P438+Q438*INDEX('Facilities'!$I$9:$I$108,MATCH(C438,'Facilities'!$C$9:$C$108,0)))))</x:f>
        <x:v>6.67820838396</x:v>
      </x:c>
      <x:c r="AP438" s="21" t="n">
        <x:f>IF(C438="","",IF(AQ438&lt;&gt;"Ready","Unavailable",IF(C438="","",AH438-U438)))</x:f>
        <x:v>5.987936907236188</x:v>
      </x:c>
      <x:c r="AQ438" s="23" t="str">
        <x:f>IFERROR(IF(C438="","",IF(AND(INDEX('Facilities'!$AF$9:$AF$108,MATCH(C438,'Facilities'!$C$9:$C$108,0))="Ready",INDEX(Credit!$U$409:$U$508,MATCH(F438,Credit!$C$409:$C$508,0))="Ready",ISNUMBER(W438)),"Ready","Review inputs")),"Review inputs")</x:f>
        <x:v>Ready</x:v>
      </x:c>
      <x:c r="AR438" s="23" t="n">
        <x:f>IF(C438="","",IF(AQ438&lt;&gt;"Ready","Unavailable",IF(C438="","",IF(O438=0,0,(IF(AJ438&lt;=1,O438,O438*INDEX('Facilities'!$R$9:$R$108,MATCH(C438,'Facilities'!$C$9:$C$108,0)))+O438*INDEX('Facilities'!$T$9:$T$108,MATCH(C438,'Facilities'!$C$9:$C$108,0)))/12))))</x:f>
        <x:v>0.11111600901470002</x:v>
      </x:c>
    </x:row>
    <x:row r="439" ht="26" customHeight="1">
      <x:c r="A439" s="1"/>
      <x:c r="B439" s="1"/>
      <x:c r="C439" s="9" t="str">
        <x:f>IF(Facilities!C39="","",Facilities!C39)</x:f>
        <x:v>F031</x:v>
      </x:c>
      <x:c r="D439" s="3" t="n">
        <x:v>5</x:v>
      </x:c>
      <x:c r="E439" s="9" t="n">
        <x:f>Settings!$F$18+4</x:f>
        <x:v>2031</x:v>
      </x:c>
      <x:c r="F439" s="9" t="str">
        <x:f>IF(C439="","",IFERROR(INDEX('Facilities'!$D$9:$D$108,MATCH(C439,'Facilities'!$C$9:$C$108,0)),"Unavailable"))</x:f>
        <x:v>B019</x:v>
      </x:c>
      <x:c r="G439" s="21" t="n">
        <x:f>IF(C439="","",IFERROR(O339,"Unavailable"))</x:f>
        <x:v>7.200436568000001</x:v>
      </x:c>
      <x:c r="H439" s="21" t="n">
        <x:f>IF(C439="","",IFERROR(P339,"Unavailable"))</x:f>
        <x:v>0</x:v>
      </x:c>
      <x:c r="I439" s="21" t="n">
        <x:f>IF(C439="","",IFERROR(Q339,"Unavailable"))</x:f>
        <x:v>1.002915</x:v>
      </x:c>
      <x:c r="J439" s="23" t="n">
        <x:f>IF(C439="","",IFERROR(IF(OR(H439&gt;0,AND(AC439&gt;=0,AC439&lt;D439),D439&gt;INDEX('Facilities'!$J$9:$J$108,MATCH(C439,'Facilities'!$C$9:$C$108,0))),0,I439*'Scenario Paths'!J81),"Unavailable"))</x:f>
        <x:v>0.05014575</x:v>
      </x:c>
      <x:c r="K439" s="23" t="n">
        <x:f>IF(C439="","",IFERROR(IF(OR(H439&gt;0,AND(AC439&gt;=0,AC439=D439)),0,IF(D439&gt;=INDEX('Facilities'!$J$9:$J$108,MATCH(C439,'Facilities'!$C$9:$C$108,0)),G439+J439,MIN(G439+J439,G439*INDEX('Facilities'!$R$9:$R$108,MATCH(C439,'Facilities'!$C$9:$C$108,0))))),"Unavailable"))</x:f>
        <x:v>0.8640523881600001</x:v>
      </x:c>
      <x:c r="L439" s="21" t="n">
        <x:f>IF(C439="","",IFERROR(IF(AND(AC439=D439,AC439&gt;0),MAX(0,G439+J439-K439),0),"Unavailable"))</x:f>
        <x:v>0</x:v>
      </x:c>
      <x:c r="M439" s="23" t="n">
        <x:f>IF(C439="","",IFERROR(IF(AND(AC439&gt;=0,D439&gt;=AC439+INDEX('Facilities'!$AK$9:$AK$108,MATCH(C439,'Facilities'!$C$9:$C$108,0))),(H439+L439)*AM439,0),"Unavailable"))</x:f>
        <x:v>0</x:v>
      </x:c>
      <x:c r="N439" s="23" t="n">
        <x:f>IF(C439="","",IFERROR(IF(AND(AC439&gt;=0,D439&gt;=AC439+INDEX('Facilities'!$AK$9:$AK$108,MATCH(C439,'Facilities'!$C$9:$C$108,0))),H439+L439-M439,0),"Unavailable"))</x:f>
        <x:v>0</x:v>
      </x:c>
      <x:c r="O439" s="21" t="n">
        <x:f>IF(C439="","",IFERROR(MAX(0,G439+J439-K439-L439),"Unavailable"))</x:f>
        <x:v>6.386529929840001</x:v>
      </x:c>
      <x:c r="P439" s="21" t="n">
        <x:f>IF(C439="","",IFERROR(MAX(0,H439+L439-M439-N439),"Unavailable"))</x:f>
        <x:v>0</x:v>
      </x:c>
      <x:c r="Q439" s="23" t="n">
        <x:f>IF(C439="","",IFERROR(IF(OR(D439&gt;=INDEX('Facilities'!$J$9:$J$108,MATCH(C439,'Facilities'!$C$9:$C$108,0)),AND(AC439&gt;=0,AC439&lt;=D439)),0,MAX(0,I439-J439)),"Unavailable"))</x:f>
        <x:v>0.95276925</x:v>
      </x:c>
      <x:c r="R439" s="30" t="n">
        <x:f>IF(C439="","",IFERROR(INDEX(Credit!$Q$409:$Q$508,MATCH(F439,Credit!$C$409:$C$508,0)),"Unavailable"))</x:f>
        <x:v>0.021010332017550332</x:v>
      </x:c>
      <x:c r="S439" s="30" t="n">
        <x:f>IF(C439="","",IFERROR(INDEX(Credit!$R$409:$R$508,MATCH(F439,Credit!$C$409:$C$508,0)),"Unavailable"))</x:f>
        <x:v>0.40376320000000004</x:v>
      </x:c>
      <x:c r="T439" s="23" t="n">
        <x:f>IF(C439="","",IFERROR(IF(P439&gt;0,3,IF(OR(INDEX('Facilities'!$AD$9:$AD$108,MATCH(C439,'Facilities'!$C$9:$C$108,0))=2,AND(R439&gt;=INDEX('Facilities'!$L$9:$L$108,MATCH(C439,'Facilities'!$C$9:$C$108,0))*Settings!$F$19,R439-INDEX('Facilities'!$L$9:$L$108,MATCH(C439,'Facilities'!$C$9:$C$108,0))&gt;=Settings!$F$20)),2,1)),"Unavailable"))</x:f>
        <x:v>1</x:v>
      </x:c>
      <x:c r="U439" s="23" t="n">
        <x:f>IF(C439="","",IF(AQ439&lt;&gt;"Ready","Unavailable",IF(C439="","",O439*(1-(1-S439)/(1+INDEX('Facilities'!$K$9:$K$108,MATCH(C439,'Facilities'!$C$9:$C$108,0)))^INDEX('Facilities'!$AK$9:$AK$108,MATCH(C439,'Facilities'!$C$9:$C$108,0)))*R439/(1+INDEX('Facilities'!$K$9:$K$108,MATCH(C439,'Facilities'!$C$9:$C$108,0)))*IF(ABS(1-(1-R439)*(1-INDEX('Facilities'!$R$9:$R$108,MATCH(C439,'Facilities'!$C$9:$C$108,0)))/(1+INDEX('Facilities'!$K$9:$K$108,MATCH(C439,'Facilities'!$C$9:$C$108,0))))&lt;0.000000001,IF(T439=1,MIN(1,AJ439),AJ439),(1-((1-R439)*(1-INDEX('Facilities'!$R$9:$R$108,MATCH(C439,'Facilities'!$C$9:$C$108,0)))/(1+INDEX('Facilities'!$K$9:$K$108,MATCH(C439,'Facilities'!$C$9:$C$108,0))))^IF(T439=1,MIN(1,AJ439),AJ439))/(1-(1-R439)*(1-INDEX('Facilities'!$R$9:$R$108,MATCH(C439,'Facilities'!$C$9:$C$108,0)))/(1+INDEX('Facilities'!$K$9:$K$108,MATCH(C439,'Facilities'!$C$9:$C$108,0)))))+AL439)))</x:f>
        <x:v>0.060733146795335674</x:v>
      </x:c>
      <x:c r="V439" s="23" t="n">
        <x:f>IF(C439="","",IF(AQ439&lt;&gt;"Ready","Unavailable",IF(C439="","",Q439*INDEX('Facilities'!$I$9:$I$108,MATCH(C439,'Facilities'!$C$9:$C$108,0))*(1-(1-S439)/(1+INDEX('Facilities'!$K$9:$K$108,MATCH(C439,'Facilities'!$C$9:$C$108,0)))^INDEX('Facilities'!$AK$9:$AK$108,MATCH(C439,'Facilities'!$C$9:$C$108,0)))*R439/(1+INDEX('Facilities'!$K$9:$K$108,MATCH(C439,'Facilities'!$C$9:$C$108,0)))*IF(ABS(1-(1-R439)*(1-0)/(1+INDEX('Facilities'!$K$9:$K$108,MATCH(C439,'Facilities'!$C$9:$C$108,0))))&lt;0.000000001,IF(T439=1,MIN(1,AJ439),AJ439),(1-((1-R439)*(1-0)/(1+INDEX('Facilities'!$K$9:$K$108,MATCH(C439,'Facilities'!$C$9:$C$108,0))))^IF(T439=1,MIN(1,AJ439),AJ439))/(1-(1-R439)*(1-0)/(1+INDEX('Facilities'!$K$9:$K$108,MATCH(C439,'Facilities'!$C$9:$C$108,0))))))))</x:f>
        <x:v>0.004530212443847542</x:v>
      </x:c>
      <x:c r="W439" s="21" t="n">
        <x:f>IF(C439="","",IFERROR(U339,"Unavailable"))</x:f>
        <x:v>0.07309328320270429</x:v>
      </x:c>
      <x:c r="X439" s="21" t="n">
        <x:f>IF(C439="","",IFERROR(V339,"Unavailable"))</x:f>
        <x:v>0.005090410104369671</x:v>
      </x:c>
      <x:c r="Y439" s="21" t="n">
        <x:f>IF(C439="","",IF(AQ439&lt;&gt;"Ready","Unavailable",IF(C439="","",U439-W439+V439-X439+N439+AG439)))</x:f>
        <x:v>-0.012920334067890749</x:v>
      </x:c>
      <x:c r="Z439" s="23" t="n">
        <x:f>IF(C439="","",IF(AQ439&lt;&gt;"Ready","Unavailable",IF(C439="","",(G439+O439+L439)/2*INDEX('Facilities'!$T$9:$T$108,MATCH(C439,'Facilities'!$C$9:$C$108,0))+AG439)))</x:f>
        <x:v>0.6453809086474002</x:v>
      </x:c>
      <x:c r="AA439" s="23" t="n">
        <x:f>IF(C439="","",IF(AQ439&lt;&gt;"Ready","Unavailable",IF(C439="","",O439*(1-IF(INDEX('Facilities'!$AA$9:$AA$108,MATCH(C439,'Facilities'!$C$9:$C$108,0))=0,0,MIN(1,INDEX('Facilities'!$X$9:$X$108,MATCH(C439,'Facilities'!$C$9:$C$108,0))/INDEX('Facilities'!$AA$9:$AA$108,MATCH(C439,'Facilities'!$C$9:$C$108,0)))))*AF439+P439*(1-IF(INDEX('Facilities'!$AA$9:$AA$108,MATCH(C439,'Facilities'!$C$9:$C$108,0))=0,0,MIN(1,INDEX('Facilities'!$X$9:$X$108,MATCH(C439,'Facilities'!$C$9:$C$108,0))/INDEX('Facilities'!$AA$9:$AA$108,MATCH(C439,'Facilities'!$C$9:$C$108,0)))))*INDEX('Facilities'!$AJ$9:$AJ$108,MATCH(C439,'Facilities'!$C$9:$C$108,0))+Q439*INDEX('Facilities'!$AI$9:$AI$108,MATCH(C439,'Facilities'!$C$9:$C$108,0))*AF439)))</x:f>
        <x:v>8.502004834391922</x:v>
      </x:c>
      <x:c r="AB439" s="21" t="n">
        <x:f>IF(C439="","",O439+P439-AD439)</x:f>
        <x:v>-0.8139066381599998</x:v>
      </x:c>
      <x:c r="AC439" s="23" t="n">
        <x:f>IF(C439="","",IFERROR(IF(INDEX('Facilities'!$AD$9:$AD$108,MATCH(C439,'Facilities'!$C$9:$C$108,0))=3,0,IF(INDEX('Facilities'!$AN$9:$AN$108,MATCH(C439,'Facilities'!$C$9:$C$108,0))=0,-1,INDEX('Facilities'!$AN$9:$AN$108,MATCH(C439,'Facilities'!$C$9:$C$108,0)))),"Unavailable"))</x:f>
        <x:v>-1</x:v>
      </x:c>
      <x:c r="AD439" s="21" t="n">
        <x:f>IF(C439="","",IFERROR(G439+H439,"Unavailable"))</x:f>
        <x:v>7.200436568000001</x:v>
      </x:c>
      <x:c r="AE439" s="21" t="n">
        <x:f>IF(C439="","",IF(AQ439&lt;&gt;"Ready","Unavailable",IF(C439="","",O439+P439-AD439-J439+K439+M439+N439)))</x:f>
        <x:v>3.3306690738754696e-16</x:v>
      </x:c>
      <x:c r="AF439" s="30" t="n">
        <x:f>IF(C439="","",IFERROR(INDEX('Facilities'!$S$9:$S$108,MATCH(C439,'Facilities'!$C$9:$C$108,0))*'Scenario Paths'!J75,"Unavailable"))</x:f>
        <x:v>1.25</x:v>
      </x:c>
      <x:c r="AG439" s="23" t="n">
        <x:f>IF(C439="","",IF(AQ439&lt;&gt;"Ready","Unavailable",IF(C439="","",IF(H439&gt;0,MAX(0,H439-AK439)*((1+INDEX('Facilities'!$K$9:$K$108,MATCH(C439,'Facilities'!$C$9:$C$108,0)))^MIN(1,MAX(0,AC439+INDEX('Facilities'!$AK$9:$AK$108,MATCH(C439,'Facilities'!$C$9:$C$108,0))-D439+1))-1),0))))</x:f>
        <x:v>0</x:v>
      </x:c>
      <x:c r="AH439" s="21" t="n">
        <x:f>IF(C439="","",IF(AQ439&lt;&gt;"Ready","Unavailable",IF(C439="","",O439+P439)))</x:f>
        <x:v>6.386529929840001</x:v>
      </x:c>
      <x:c r="AI439" s="21" t="n">
        <x:f>IF(C439="","",IF(AQ439&lt;&gt;"Ready","Unavailable",IF(C439="","",Z439-Y439)))</x:f>
        <x:v>0.6583012427152909</x:v>
      </x:c>
      <x:c r="AJ439" s="23" t="n">
        <x:f>IF(C439="","",IFERROR(MAX(0,INDEX('Facilities'!$J$9:$J$108,MATCH(C439,'Facilities'!$C$9:$C$108,0))-D439),"Unavailable"))</x:f>
        <x:v>3</x:v>
      </x:c>
      <x:c r="AK439" s="21" t="n">
        <x:f>IF(C439="","",IFERROR(AL339,"Unavailable"))</x:f>
        <x:v>0</x:v>
      </x:c>
      <x:c r="AL439" s="23" t="n">
        <x:f>IF(C439="","",IFERROR(IF(P439&gt;0,P439*(1-AM439/(1+INDEX('Facilities'!$K$9:$K$108,MATCH(C439,'Facilities'!$C$9:$C$108,0)))^MAX(0,AC439+INDEX('Facilities'!$AK$9:$AK$108,MATCH(C439,'Facilities'!$C$9:$C$108,0))-D439)),0),"Unavailable"))</x:f>
        <x:v>0</x:v>
      </x:c>
      <x:c r="AM439" s="30" t="n">
        <x:f>IF(C439="","",IFERROR(INDEX('Facilities'!$AL$9:$AL$108,MATCH(C439,'Facilities'!$C$9:$C$108,0)),"Unavailable"))</x:f>
        <x:v>0.55</x:v>
      </x:c>
      <x:c r="AN439" s="30" t="n">
        <x:f>IF(C439="","",IFERROR(INDEX(Credit!$T$409:$T$508,MATCH(F439,Credit!$C$409:$C$508,0)),"Unavailable"))</x:f>
        <x:v>0.006272</x:v>
      </x:c>
      <x:c r="AO439" s="23" t="n">
        <x:f>IF(C439="","",IF(AQ439&lt;&gt;"Ready","Unavailable",IF(C439="","",O439+P439+Q439*INDEX('Facilities'!$I$9:$I$108,MATCH(C439,'Facilities'!$C$9:$C$108,0)))))</x:f>
        <x:v>6.862914554840001</x:v>
      </x:c>
      <x:c r="AP439" s="21" t="n">
        <x:f>IF(C439="","",IF(AQ439&lt;&gt;"Ready","Unavailable",IF(C439="","",AH439-U439)))</x:f>
        <x:v>6.325796783044665</x:v>
      </x:c>
      <x:c r="AQ439" s="23" t="str">
        <x:f>IFERROR(IF(C439="","",IF(AND(INDEX('Facilities'!$AF$9:$AF$108,MATCH(C439,'Facilities'!$C$9:$C$108,0))="Ready",INDEX(Credit!$U$409:$U$508,MATCH(F439,Credit!$C$409:$C$508,0))="Ready",ISNUMBER(W439)),"Ready","Review inputs")),"Review inputs")</x:f>
        <x:v>Ready</x:v>
      </x:c>
      <x:c r="AR439" s="23" t="n">
        <x:f>IF(C439="","",IF(AQ439&lt;&gt;"Ready","Unavailable",IF(C439="","",IF(O439=0,0,(IF(AJ439&lt;=1,O439,O439*INDEX('Facilities'!$R$9:$R$108,MATCH(C439,'Facilities'!$C$9:$C$108,0)))+O439*INDEX('Facilities'!$T$9:$T$108,MATCH(C439,'Facilities'!$C$9:$C$108,0)))/12))))</x:f>
        <x:v>0.11442532790963333</x:v>
      </x:c>
    </x:row>
    <x:row r="440" ht="26" customHeight="1">
      <x:c r="A440" s="1"/>
      <x:c r="B440" s="1"/>
      <x:c r="C440" s="9" t="str">
        <x:f>IF(Facilities!C40="","",Facilities!C40)</x:f>
        <x:v>F032</x:v>
      </x:c>
      <x:c r="D440" s="3" t="n">
        <x:v>5</x:v>
      </x:c>
      <x:c r="E440" s="9" t="n">
        <x:f>Settings!$F$18+4</x:f>
        <x:v>2031</x:v>
      </x:c>
      <x:c r="F440" s="9" t="str">
        <x:f>IF(C440="","",IFERROR(INDEX('Facilities'!$D$9:$D$108,MATCH(C440,'Facilities'!$C$9:$C$108,0)),"Unavailable"))</x:f>
        <x:v>B020</x:v>
      </x:c>
      <x:c r="G440" s="21" t="n">
        <x:f>IF(C440="","",IFERROR(O340,"Unavailable"))</x:f>
        <x:v>7.410329944000001</x:v>
      </x:c>
      <x:c r="H440" s="21" t="n">
        <x:f>IF(C440="","",IFERROR(P340,"Unavailable"))</x:f>
        <x:v>0</x:v>
      </x:c>
      <x:c r="I440" s="21" t="n">
        <x:f>IF(C440="","",IFERROR(Q340,"Unavailable"))</x:f>
        <x:v>1.002915</x:v>
      </x:c>
      <x:c r="J440" s="23" t="n">
        <x:f>IF(C440="","",IFERROR(IF(OR(H440&gt;0,AND(AC440&gt;=0,AC440&lt;D440),D440&gt;INDEX('Facilities'!$J$9:$J$108,MATCH(C440,'Facilities'!$C$9:$C$108,0))),0,I440*'Scenario Paths'!J81),"Unavailable"))</x:f>
        <x:v>0.05014575</x:v>
      </x:c>
      <x:c r="K440" s="23" t="n">
        <x:f>IF(C440="","",IFERROR(IF(OR(H440&gt;0,AND(AC440&gt;=0,AC440=D440)),0,IF(D440&gt;=INDEX('Facilities'!$J$9:$J$108,MATCH(C440,'Facilities'!$C$9:$C$108,0)),G440+J440,MIN(G440+J440,G440*INDEX('Facilities'!$R$9:$R$108,MATCH(C440,'Facilities'!$C$9:$C$108,0))))),"Unavailable"))</x:f>
        <x:v>0.88923959328</x:v>
      </x:c>
      <x:c r="L440" s="21" t="n">
        <x:f>IF(C440="","",IFERROR(IF(AND(AC440=D440,AC440&gt;0),MAX(0,G440+J440-K440),0),"Unavailable"))</x:f>
        <x:v>0</x:v>
      </x:c>
      <x:c r="M440" s="23" t="n">
        <x:f>IF(C440="","",IFERROR(IF(AND(AC440&gt;=0,D440&gt;=AC440+INDEX('Facilities'!$AK$9:$AK$108,MATCH(C440,'Facilities'!$C$9:$C$108,0))),(H440+L440)*AM440,0),"Unavailable"))</x:f>
        <x:v>0</x:v>
      </x:c>
      <x:c r="N440" s="23" t="n">
        <x:f>IF(C440="","",IFERROR(IF(AND(AC440&gt;=0,D440&gt;=AC440+INDEX('Facilities'!$AK$9:$AK$108,MATCH(C440,'Facilities'!$C$9:$C$108,0))),H440+L440-M440,0),"Unavailable"))</x:f>
        <x:v>0</x:v>
      </x:c>
      <x:c r="O440" s="21" t="n">
        <x:f>IF(C440="","",IFERROR(MAX(0,G440+J440-K440-L440),"Unavailable"))</x:f>
        <x:v>6.571236100720001</x:v>
      </x:c>
      <x:c r="P440" s="21" t="n">
        <x:f>IF(C440="","",IFERROR(MAX(0,H440+L440-M440-N440),"Unavailable"))</x:f>
        <x:v>0</x:v>
      </x:c>
      <x:c r="Q440" s="23" t="n">
        <x:f>IF(C440="","",IFERROR(IF(OR(D440&gt;=INDEX('Facilities'!$J$9:$J$108,MATCH(C440,'Facilities'!$C$9:$C$108,0)),AND(AC440&gt;=0,AC440&lt;=D440)),0,MAX(0,I440-J440)),"Unavailable"))</x:f>
        <x:v>0.95276925</x:v>
      </x:c>
      <x:c r="R440" s="30" t="n">
        <x:f>IF(C440="","",IFERROR(INDEX(Credit!$Q$409:$Q$508,MATCH(F440,Credit!$C$409:$C$508,0)),"Unavailable"))</x:f>
        <x:v>0.03309674504759841</x:v>
      </x:c>
      <x:c r="S440" s="30" t="n">
        <x:f>IF(C440="","",IFERROR(INDEX(Credit!$R$409:$R$508,MATCH(F440,Credit!$C$409:$C$508,0)),"Unavailable"))</x:f>
        <x:v>0.44609280000000007</x:v>
      </x:c>
      <x:c r="T440" s="23" t="n">
        <x:f>IF(C440="","",IFERROR(IF(P440&gt;0,3,IF(OR(INDEX('Facilities'!$AD$9:$AD$108,MATCH(C440,'Facilities'!$C$9:$C$108,0))=2,AND(R440&gt;=INDEX('Facilities'!$L$9:$L$108,MATCH(C440,'Facilities'!$C$9:$C$108,0))*Settings!$F$19,R440-INDEX('Facilities'!$L$9:$L$108,MATCH(C440,'Facilities'!$C$9:$C$108,0))&gt;=Settings!$F$20)),2,1)),"Unavailable"))</x:f>
        <x:v>1</x:v>
      </x:c>
      <x:c r="U440" s="23" t="n">
        <x:f>IF(C440="","",IF(AQ440&lt;&gt;"Ready","Unavailable",IF(C440="","",O440*(1-(1-S440)/(1+INDEX('Facilities'!$K$9:$K$108,MATCH(C440,'Facilities'!$C$9:$C$108,0)))^INDEX('Facilities'!$AK$9:$AK$108,MATCH(C440,'Facilities'!$C$9:$C$108,0)))*R440/(1+INDEX('Facilities'!$K$9:$K$108,MATCH(C440,'Facilities'!$C$9:$C$108,0)))*IF(ABS(1-(1-R440)*(1-INDEX('Facilities'!$R$9:$R$108,MATCH(C440,'Facilities'!$C$9:$C$108,0)))/(1+INDEX('Facilities'!$K$9:$K$108,MATCH(C440,'Facilities'!$C$9:$C$108,0))))&lt;0.000000001,IF(T440=1,MIN(1,AJ440),AJ440),(1-((1-R440)*(1-INDEX('Facilities'!$R$9:$R$108,MATCH(C440,'Facilities'!$C$9:$C$108,0)))/(1+INDEX('Facilities'!$K$9:$K$108,MATCH(C440,'Facilities'!$C$9:$C$108,0))))^IF(T440=1,MIN(1,AJ440),AJ440))/(1-(1-R440)*(1-INDEX('Facilities'!$R$9:$R$108,MATCH(C440,'Facilities'!$C$9:$C$108,0)))/(1+INDEX('Facilities'!$K$9:$K$108,MATCH(C440,'Facilities'!$C$9:$C$108,0)))))+AL440)))</x:f>
        <x:v>0.10574554437386505</x:v>
      </x:c>
      <x:c r="V440" s="23" t="n">
        <x:f>IF(C440="","",IF(AQ440&lt;&gt;"Ready","Unavailable",IF(C440="","",Q440*INDEX('Facilities'!$I$9:$I$108,MATCH(C440,'Facilities'!$C$9:$C$108,0))*(1-(1-S440)/(1+INDEX('Facilities'!$K$9:$K$108,MATCH(C440,'Facilities'!$C$9:$C$108,0)))^INDEX('Facilities'!$AK$9:$AK$108,MATCH(C440,'Facilities'!$C$9:$C$108,0)))*R440/(1+INDEX('Facilities'!$K$9:$K$108,MATCH(C440,'Facilities'!$C$9:$C$108,0)))*IF(ABS(1-(1-R440)*(1-0)/(1+INDEX('Facilities'!$K$9:$K$108,MATCH(C440,'Facilities'!$C$9:$C$108,0))))&lt;0.000000001,IF(T440=1,MIN(1,AJ440),AJ440),(1-((1-R440)*(1-0)/(1+INDEX('Facilities'!$K$9:$K$108,MATCH(C440,'Facilities'!$C$9:$C$108,0))))^IF(T440=1,MIN(1,AJ440),AJ440))/(1-(1-R440)*(1-0)/(1+INDEX('Facilities'!$K$9:$K$108,MATCH(C440,'Facilities'!$C$9:$C$108,0))))))))</x:f>
        <x:v>0.007666069325441675</x:v>
      </x:c>
      <x:c r="W440" s="21" t="n">
        <x:f>IF(C440="","",IFERROR(U340,"Unavailable"))</x:f>
        <x:v>0.12536162327007958</x:v>
      </x:c>
      <x:c r="X440" s="21" t="n">
        <x:f>IF(C440="","",IFERROR(V340,"Unavailable"))</x:f>
        <x:v>0.00848322904324325</x:v>
      </x:c>
      <x:c r="Y440" s="21" t="n">
        <x:f>IF(C440="","",IF(AQ440&lt;&gt;"Ready","Unavailable",IF(C440="","",U440-W440+V440-X440+N440+AG440)))</x:f>
        <x:v>-0.0204332386140161</x:v>
      </x:c>
      <x:c r="Z440" s="23" t="n">
        <x:f>IF(C440="","",IF(AQ440&lt;&gt;"Ready","Unavailable",IF(C440="","",(G440+O440+L440)/2*INDEX('Facilities'!$T$9:$T$108,MATCH(C440,'Facilities'!$C$9:$C$108,0))+AG440)))</x:f>
        <x:v>0.6641243871242001</x:v>
      </x:c>
      <x:c r="AA440" s="23" t="n">
        <x:f>IF(C440="","",IF(AQ440&lt;&gt;"Ready","Unavailable",IF(C440="","",O440*(1-IF(INDEX('Facilities'!$AA$9:$AA$108,MATCH(C440,'Facilities'!$C$9:$C$108,0))=0,0,MIN(1,INDEX('Facilities'!$X$9:$X$108,MATCH(C440,'Facilities'!$C$9:$C$108,0))/INDEX('Facilities'!$AA$9:$AA$108,MATCH(C440,'Facilities'!$C$9:$C$108,0)))))*AF440+P440*(1-IF(INDEX('Facilities'!$AA$9:$AA$108,MATCH(C440,'Facilities'!$C$9:$C$108,0))=0,0,MIN(1,INDEX('Facilities'!$X$9:$X$108,MATCH(C440,'Facilities'!$C$9:$C$108,0))/INDEX('Facilities'!$AA$9:$AA$108,MATCH(C440,'Facilities'!$C$9:$C$108,0)))))*INDEX('Facilities'!$AJ$9:$AJ$108,MATCH(C440,'Facilities'!$C$9:$C$108,0))+Q440*INDEX('Facilities'!$AI$9:$AI$108,MATCH(C440,'Facilities'!$C$9:$C$108,0))*AF440)))</x:f>
        <x:v>8.679415432355745</x:v>
      </x:c>
      <x:c r="AB440" s="21" t="n">
        <x:f>IF(C440="","",O440+P440-AD440)</x:f>
        <x:v>-0.8390938432799997</x:v>
      </x:c>
      <x:c r="AC440" s="23" t="n">
        <x:f>IF(C440="","",IFERROR(IF(INDEX('Facilities'!$AD$9:$AD$108,MATCH(C440,'Facilities'!$C$9:$C$108,0))=3,0,IF(INDEX('Facilities'!$AN$9:$AN$108,MATCH(C440,'Facilities'!$C$9:$C$108,0))=0,-1,INDEX('Facilities'!$AN$9:$AN$108,MATCH(C440,'Facilities'!$C$9:$C$108,0)))),"Unavailable"))</x:f>
        <x:v>-1</x:v>
      </x:c>
      <x:c r="AD440" s="21" t="n">
        <x:f>IF(C440="","",IFERROR(G440+H440,"Unavailable"))</x:f>
        <x:v>7.410329944000001</x:v>
      </x:c>
      <x:c r="AE440" s="21" t="n">
        <x:f>IF(C440="","",IF(AQ440&lt;&gt;"Ready","Unavailable",IF(C440="","",O440+P440-AD440-J440+K440+M440+N440)))</x:f>
        <x:v>3.3306690738754696e-16</x:v>
      </x:c>
      <x:c r="AF440" s="30" t="n">
        <x:f>IF(C440="","",IFERROR(INDEX('Facilities'!$S$9:$S$108,MATCH(C440,'Facilities'!$C$9:$C$108,0))*'Scenario Paths'!J75,"Unavailable"))</x:f>
        <x:v>1.25</x:v>
      </x:c>
      <x:c r="AG440" s="23" t="n">
        <x:f>IF(C440="","",IF(AQ440&lt;&gt;"Ready","Unavailable",IF(C440="","",IF(H440&gt;0,MAX(0,H440-AK440)*((1+INDEX('Facilities'!$K$9:$K$108,MATCH(C440,'Facilities'!$C$9:$C$108,0)))^MIN(1,MAX(0,AC440+INDEX('Facilities'!$AK$9:$AK$108,MATCH(C440,'Facilities'!$C$9:$C$108,0))-D440+1))-1),0))))</x:f>
        <x:v>0</x:v>
      </x:c>
      <x:c r="AH440" s="21" t="n">
        <x:f>IF(C440="","",IF(AQ440&lt;&gt;"Ready","Unavailable",IF(C440="","",O440+P440)))</x:f>
        <x:v>6.571236100720001</x:v>
      </x:c>
      <x:c r="AI440" s="21" t="n">
        <x:f>IF(C440="","",IF(AQ440&lt;&gt;"Ready","Unavailable",IF(C440="","",Z440-Y440)))</x:f>
        <x:v>0.6845576257382162</x:v>
      </x:c>
      <x:c r="AJ440" s="23" t="n">
        <x:f>IF(C440="","",IFERROR(MAX(0,INDEX('Facilities'!$J$9:$J$108,MATCH(C440,'Facilities'!$C$9:$C$108,0))-D440),"Unavailable"))</x:f>
        <x:v>4</x:v>
      </x:c>
      <x:c r="AK440" s="21" t="n">
        <x:f>IF(C440="","",IFERROR(AL340,"Unavailable"))</x:f>
        <x:v>0</x:v>
      </x:c>
      <x:c r="AL440" s="23" t="n">
        <x:f>IF(C440="","",IFERROR(IF(P440&gt;0,P440*(1-AM440/(1+INDEX('Facilities'!$K$9:$K$108,MATCH(C440,'Facilities'!$C$9:$C$108,0)))^MAX(0,AC440+INDEX('Facilities'!$AK$9:$AK$108,MATCH(C440,'Facilities'!$C$9:$C$108,0))-D440)),0),"Unavailable"))</x:f>
        <x:v>0</x:v>
      </x:c>
      <x:c r="AM440" s="30" t="n">
        <x:f>IF(C440="","",IFERROR(INDEX('Facilities'!$AL$9:$AL$108,MATCH(C440,'Facilities'!$C$9:$C$108,0)),"Unavailable"))</x:f>
        <x:v>0.55</x:v>
      </x:c>
      <x:c r="AN440" s="30" t="n">
        <x:f>IF(C440="","",IFERROR(INDEX(Credit!$T$409:$T$508,MATCH(F440,Credit!$C$409:$C$508,0)),"Unavailable"))</x:f>
        <x:v>0.01088</x:v>
      </x:c>
      <x:c r="AO440" s="23" t="n">
        <x:f>IF(C440="","",IF(AQ440&lt;&gt;"Ready","Unavailable",IF(C440="","",O440+P440+Q440*INDEX('Facilities'!$I$9:$I$108,MATCH(C440,'Facilities'!$C$9:$C$108,0)))))</x:f>
        <x:v>7.047620725720001</x:v>
      </x:c>
      <x:c r="AP440" s="21" t="n">
        <x:f>IF(C440="","",IF(AQ440&lt;&gt;"Ready","Unavailable",IF(C440="","",AH440-U440)))</x:f>
        <x:v>6.465490556346136</x:v>
      </x:c>
      <x:c r="AQ440" s="23" t="str">
        <x:f>IFERROR(IF(C440="","",IF(AND(INDEX('Facilities'!$AF$9:$AF$108,MATCH(C440,'Facilities'!$C$9:$C$108,0))="Ready",INDEX(Credit!$U$409:$U$508,MATCH(F440,Credit!$C$409:$C$508,0))="Ready",ISNUMBER(W440)),"Ready","Review inputs")),"Review inputs")</x:f>
        <x:v>Ready</x:v>
      </x:c>
      <x:c r="AR440" s="23" t="n">
        <x:f>IF(C440="","",IF(AQ440&lt;&gt;"Ready","Unavailable",IF(C440="","",IF(O440=0,0,(IF(AJ440&lt;=1,O440,O440*INDEX('Facilities'!$R$9:$R$108,MATCH(C440,'Facilities'!$C$9:$C$108,0)))+O440*INDEX('Facilities'!$T$9:$T$108,MATCH(C440,'Facilities'!$C$9:$C$108,0)))/12))))</x:f>
        <x:v>0.11773464680456669</x:v>
      </x:c>
    </x:row>
    <x:row r="441" ht="26" customHeight="1">
      <x:c r="A441" s="1"/>
      <x:c r="B441" s="1"/>
      <x:c r="C441" s="9" t="str">
        <x:f>IF(Facilities!C41="","",Facilities!C41)</x:f>
        <x:v>F033</x:v>
      </x:c>
      <x:c r="D441" s="3" t="n">
        <x:v>5</x:v>
      </x:c>
      <x:c r="E441" s="9" t="n">
        <x:f>Settings!$F$18+4</x:f>
        <x:v>2031</x:v>
      </x:c>
      <x:c r="F441" s="9" t="str">
        <x:f>IF(C441="","",IFERROR(INDEX('Facilities'!$D$9:$D$108,MATCH(C441,'Facilities'!$C$9:$C$108,0)),"Unavailable"))</x:f>
        <x:v>B021</x:v>
      </x:c>
      <x:c r="G441" s="21" t="n">
        <x:f>IF(C441="","",IFERROR(O341,"Unavailable"))</x:f>
        <x:v>7.620223320000001</x:v>
      </x:c>
      <x:c r="H441" s="21" t="n">
        <x:f>IF(C441="","",IFERROR(P341,"Unavailable"))</x:f>
        <x:v>0</x:v>
      </x:c>
      <x:c r="I441" s="21" t="n">
        <x:f>IF(C441="","",IFERROR(Q341,"Unavailable"))</x:f>
        <x:v>1.002915</x:v>
      </x:c>
      <x:c r="J441" s="23" t="n">
        <x:f>IF(C441="","",IFERROR(IF(OR(H441&gt;0,AND(AC441&gt;=0,AC441&lt;D441),D441&gt;INDEX('Facilities'!$J$9:$J$108,MATCH(C441,'Facilities'!$C$9:$C$108,0))),0,I441*'Scenario Paths'!J81),"Unavailable"))</x:f>
        <x:v>0.05014575</x:v>
      </x:c>
      <x:c r="K441" s="23" t="n">
        <x:f>IF(C441="","",IFERROR(IF(OR(H441&gt;0,AND(AC441&gt;=0,AC441=D441)),0,IF(D441&gt;=INDEX('Facilities'!$J$9:$J$108,MATCH(C441,'Facilities'!$C$9:$C$108,0)),G441+J441,MIN(G441+J441,G441*INDEX('Facilities'!$R$9:$R$108,MATCH(C441,'Facilities'!$C$9:$C$108,0))))),"Unavailable"))</x:f>
        <x:v>7.670369070000001</x:v>
      </x:c>
      <x:c r="L441" s="21" t="n">
        <x:f>IF(C441="","",IFERROR(IF(AND(AC441=D441,AC441&gt;0),MAX(0,G441+J441-K441),0),"Unavailable"))</x:f>
        <x:v>0</x:v>
      </x:c>
      <x:c r="M441" s="23" t="n">
        <x:f>IF(C441="","",IFERROR(IF(AND(AC441&gt;=0,D441&gt;=AC441+INDEX('Facilities'!$AK$9:$AK$108,MATCH(C441,'Facilities'!$C$9:$C$108,0))),(H441+L441)*AM441,0),"Unavailable"))</x:f>
        <x:v>0</x:v>
      </x:c>
      <x:c r="N441" s="23" t="n">
        <x:f>IF(C441="","",IFERROR(IF(AND(AC441&gt;=0,D441&gt;=AC441+INDEX('Facilities'!$AK$9:$AK$108,MATCH(C441,'Facilities'!$C$9:$C$108,0))),H441+L441-M441,0),"Unavailable"))</x:f>
        <x:v>0</x:v>
      </x:c>
      <x:c r="O441" s="21" t="n">
        <x:f>IF(C441="","",IFERROR(MAX(0,G441+J441-K441-L441),"Unavailable"))</x:f>
        <x:v>0</x:v>
      </x:c>
      <x:c r="P441" s="21" t="n">
        <x:f>IF(C441="","",IFERROR(MAX(0,H441+L441-M441-N441),"Unavailable"))</x:f>
        <x:v>0</x:v>
      </x:c>
      <x:c r="Q441" s="23" t="n">
        <x:f>IF(C441="","",IFERROR(IF(OR(D441&gt;=INDEX('Facilities'!$J$9:$J$108,MATCH(C441,'Facilities'!$C$9:$C$108,0)),AND(AC441&gt;=0,AC441&lt;=D441)),0,MAX(0,I441-J441)),"Unavailable"))</x:f>
        <x:v>0</x:v>
      </x:c>
      <x:c r="R441" s="30" t="n">
        <x:f>IF(C441="","",IFERROR(INDEX(Credit!$Q$409:$Q$508,MATCH(F441,Credit!$C$409:$C$508,0)),"Unavailable"))</x:f>
        <x:v>0.045330619824141986</x:v>
      </x:c>
      <x:c r="S441" s="30" t="n">
        <x:f>IF(C441="","",IFERROR(INDEX(Credit!$R$409:$R$508,MATCH(F441,Credit!$C$409:$C$508,0)),"Unavailable"))</x:f>
        <x:v>0.2829952</x:v>
      </x:c>
      <x:c r="T441" s="23" t="n">
        <x:f>IF(C441="","",IFERROR(IF(P441&gt;0,3,IF(OR(INDEX('Facilities'!$AD$9:$AD$108,MATCH(C441,'Facilities'!$C$9:$C$108,0))=2,AND(R441&gt;=INDEX('Facilities'!$L$9:$L$108,MATCH(C441,'Facilities'!$C$9:$C$108,0))*Settings!$F$19,R441-INDEX('Facilities'!$L$9:$L$108,MATCH(C441,'Facilities'!$C$9:$C$108,0))&gt;=Settings!$F$20)),2,1)),"Unavailable"))</x:f>
        <x:v>2</x:v>
      </x:c>
      <x:c r="U441" s="23" t="n">
        <x:f>IF(C441="","",IF(AQ441&lt;&gt;"Ready","Unavailable",IF(C441="","",O441*(1-(1-S441)/(1+INDEX('Facilities'!$K$9:$K$108,MATCH(C441,'Facilities'!$C$9:$C$108,0)))^INDEX('Facilities'!$AK$9:$AK$108,MATCH(C441,'Facilities'!$C$9:$C$108,0)))*R441/(1+INDEX('Facilities'!$K$9:$K$108,MATCH(C441,'Facilities'!$C$9:$C$108,0)))*IF(ABS(1-(1-R441)*(1-INDEX('Facilities'!$R$9:$R$108,MATCH(C441,'Facilities'!$C$9:$C$108,0)))/(1+INDEX('Facilities'!$K$9:$K$108,MATCH(C441,'Facilities'!$C$9:$C$108,0))))&lt;0.000000001,IF(T441=1,MIN(1,AJ441),AJ441),(1-((1-R441)*(1-INDEX('Facilities'!$R$9:$R$108,MATCH(C441,'Facilities'!$C$9:$C$108,0)))/(1+INDEX('Facilities'!$K$9:$K$108,MATCH(C441,'Facilities'!$C$9:$C$108,0))))^IF(T441=1,MIN(1,AJ441),AJ441))/(1-(1-R441)*(1-INDEX('Facilities'!$R$9:$R$108,MATCH(C441,'Facilities'!$C$9:$C$108,0)))/(1+INDEX('Facilities'!$K$9:$K$108,MATCH(C441,'Facilities'!$C$9:$C$108,0)))))+AL441)))</x:f>
        <x:v>0</x:v>
      </x:c>
      <x:c r="V441" s="23" t="n">
        <x:f>IF(C441="","",IF(AQ441&lt;&gt;"Ready","Unavailable",IF(C441="","",Q441*INDEX('Facilities'!$I$9:$I$108,MATCH(C441,'Facilities'!$C$9:$C$108,0))*(1-(1-S441)/(1+INDEX('Facilities'!$K$9:$K$108,MATCH(C441,'Facilities'!$C$9:$C$108,0)))^INDEX('Facilities'!$AK$9:$AK$108,MATCH(C441,'Facilities'!$C$9:$C$108,0)))*R441/(1+INDEX('Facilities'!$K$9:$K$108,MATCH(C441,'Facilities'!$C$9:$C$108,0)))*IF(ABS(1-(1-R441)*(1-0)/(1+INDEX('Facilities'!$K$9:$K$108,MATCH(C441,'Facilities'!$C$9:$C$108,0))))&lt;0.000000001,IF(T441=1,MIN(1,AJ441),AJ441),(1-((1-R441)*(1-0)/(1+INDEX('Facilities'!$K$9:$K$108,MATCH(C441,'Facilities'!$C$9:$C$108,0))))^IF(T441=1,MIN(1,AJ441),AJ441))/(1-(1-R441)*(1-0)/(1+INDEX('Facilities'!$K$9:$K$108,MATCH(C441,'Facilities'!$C$9:$C$108,0))))))))</x:f>
        <x:v>0</x:v>
      </x:c>
      <x:c r="W441" s="21" t="n">
        <x:f>IF(C441="","",IFERROR(U341,"Unavailable"))</x:f>
        <x:v>0.12924460200700685</x:v>
      </x:c>
      <x:c r="X441" s="21" t="n">
        <x:f>IF(C441="","",IFERROR(V341,"Unavailable"))</x:f>
        <x:v>0.008505088668573118</x:v>
      </x:c>
      <x:c r="Y441" s="21" t="n">
        <x:f>IF(C441="","",IF(AQ441&lt;&gt;"Ready","Unavailable",IF(C441="","",U441-W441+V441-X441+N441+AG441)))</x:f>
        <x:v>-0.13774969067557996</x:v>
      </x:c>
      <x:c r="Z441" s="23" t="n">
        <x:f>IF(C441="","",IF(AQ441&lt;&gt;"Ready","Unavailable",IF(C441="","",(G441+O441+L441)/2*INDEX('Facilities'!$T$9:$T$108,MATCH(C441,'Facilities'!$C$9:$C$108,0))+AG441)))</x:f>
        <x:v>0.36196060770000005</x:v>
      </x:c>
      <x:c r="AA441" s="23" t="n">
        <x:f>IF(C441="","",IF(AQ441&lt;&gt;"Ready","Unavailable",IF(C441="","",O441*(1-IF(INDEX('Facilities'!$AA$9:$AA$108,MATCH(C441,'Facilities'!$C$9:$C$108,0))=0,0,MIN(1,INDEX('Facilities'!$X$9:$X$108,MATCH(C441,'Facilities'!$C$9:$C$108,0))/INDEX('Facilities'!$AA$9:$AA$108,MATCH(C441,'Facilities'!$C$9:$C$108,0)))))*AF441+P441*(1-IF(INDEX('Facilities'!$AA$9:$AA$108,MATCH(C441,'Facilities'!$C$9:$C$108,0))=0,0,MIN(1,INDEX('Facilities'!$X$9:$X$108,MATCH(C441,'Facilities'!$C$9:$C$108,0))/INDEX('Facilities'!$AA$9:$AA$108,MATCH(C441,'Facilities'!$C$9:$C$108,0)))))*INDEX('Facilities'!$AJ$9:$AJ$108,MATCH(C441,'Facilities'!$C$9:$C$108,0))+Q441*INDEX('Facilities'!$AI$9:$AI$108,MATCH(C441,'Facilities'!$C$9:$C$108,0))*AF441)))</x:f>
        <x:v>0</x:v>
      </x:c>
      <x:c r="AB441" s="21" t="n">
        <x:f>IF(C441="","",O441+P441-AD441)</x:f>
        <x:v>-7.620223320000001</x:v>
      </x:c>
      <x:c r="AC441" s="23" t="n">
        <x:f>IF(C441="","",IFERROR(IF(INDEX('Facilities'!$AD$9:$AD$108,MATCH(C441,'Facilities'!$C$9:$C$108,0))=3,0,IF(INDEX('Facilities'!$AN$9:$AN$108,MATCH(C441,'Facilities'!$C$9:$C$108,0))=0,-1,INDEX('Facilities'!$AN$9:$AN$108,MATCH(C441,'Facilities'!$C$9:$C$108,0)))),"Unavailable"))</x:f>
        <x:v>-1</x:v>
      </x:c>
      <x:c r="AD441" s="21" t="n">
        <x:f>IF(C441="","",IFERROR(G441+H441,"Unavailable"))</x:f>
        <x:v>7.620223320000001</x:v>
      </x:c>
      <x:c r="AE441" s="21" t="n">
        <x:f>IF(C441="","",IF(AQ441&lt;&gt;"Ready","Unavailable",IF(C441="","",O441+P441-AD441-J441+K441+M441+N441)))</x:f>
        <x:v>0</x:v>
      </x:c>
      <x:c r="AF441" s="30" t="n">
        <x:f>IF(C441="","",IFERROR(INDEX('Facilities'!$S$9:$S$108,MATCH(C441,'Facilities'!$C$9:$C$108,0))*'Scenario Paths'!J75,"Unavailable"))</x:f>
        <x:v>1.25</x:v>
      </x:c>
      <x:c r="AG441" s="23" t="n">
        <x:f>IF(C441="","",IF(AQ441&lt;&gt;"Ready","Unavailable",IF(C441="","",IF(H441&gt;0,MAX(0,H441-AK441)*((1+INDEX('Facilities'!$K$9:$K$108,MATCH(C441,'Facilities'!$C$9:$C$108,0)))^MIN(1,MAX(0,AC441+INDEX('Facilities'!$AK$9:$AK$108,MATCH(C441,'Facilities'!$C$9:$C$108,0))-D441+1))-1),0))))</x:f>
        <x:v>0</x:v>
      </x:c>
      <x:c r="AH441" s="21" t="n">
        <x:f>IF(C441="","",IF(AQ441&lt;&gt;"Ready","Unavailable",IF(C441="","",O441+P441)))</x:f>
        <x:v>0</x:v>
      </x:c>
      <x:c r="AI441" s="21" t="n">
        <x:f>IF(C441="","",IF(AQ441&lt;&gt;"Ready","Unavailable",IF(C441="","",Z441-Y441)))</x:f>
        <x:v>0.49971029837558</x:v>
      </x:c>
      <x:c r="AJ441" s="23" t="n">
        <x:f>IF(C441="","",IFERROR(MAX(0,INDEX('Facilities'!$J$9:$J$108,MATCH(C441,'Facilities'!$C$9:$C$108,0))-D441),"Unavailable"))</x:f>
        <x:v>0</x:v>
      </x:c>
      <x:c r="AK441" s="21" t="n">
        <x:f>IF(C441="","",IFERROR(AL341,"Unavailable"))</x:f>
        <x:v>0</x:v>
      </x:c>
      <x:c r="AL441" s="23" t="n">
        <x:f>IF(C441="","",IFERROR(IF(P441&gt;0,P441*(1-AM441/(1+INDEX('Facilities'!$K$9:$K$108,MATCH(C441,'Facilities'!$C$9:$C$108,0)))^MAX(0,AC441+INDEX('Facilities'!$AK$9:$AK$108,MATCH(C441,'Facilities'!$C$9:$C$108,0))-D441)),0),"Unavailable"))</x:f>
        <x:v>0</x:v>
      </x:c>
      <x:c r="AM441" s="30" t="n">
        <x:f>IF(C441="","",IFERROR(INDEX('Facilities'!$AL$9:$AL$108,MATCH(C441,'Facilities'!$C$9:$C$108,0)),"Unavailable"))</x:f>
        <x:v>0.55</x:v>
      </x:c>
      <x:c r="AN441" s="30" t="n">
        <x:f>IF(C441="","",IFERROR(INDEX(Credit!$T$409:$T$508,MATCH(F441,Credit!$C$409:$C$508,0)),"Unavailable"))</x:f>
        <x:v>0.00416</x:v>
      </x:c>
      <x:c r="AO441" s="23" t="n">
        <x:f>IF(C441="","",IF(AQ441&lt;&gt;"Ready","Unavailable",IF(C441="","",O441+P441+Q441*INDEX('Facilities'!$I$9:$I$108,MATCH(C441,'Facilities'!$C$9:$C$108,0)))))</x:f>
        <x:v>0</x:v>
      </x:c>
      <x:c r="AP441" s="21" t="n">
        <x:f>IF(C441="","",IF(AQ441&lt;&gt;"Ready","Unavailable",IF(C441="","",AH441-U441)))</x:f>
        <x:v>0</x:v>
      </x:c>
      <x:c r="AQ441" s="23" t="str">
        <x:f>IFERROR(IF(C441="","",IF(AND(INDEX('Facilities'!$AF$9:$AF$108,MATCH(C441,'Facilities'!$C$9:$C$108,0))="Ready",INDEX(Credit!$U$409:$U$508,MATCH(F441,Credit!$C$409:$C$508,0))="Ready",ISNUMBER(W441)),"Ready","Review inputs")),"Review inputs")</x:f>
        <x:v>Ready</x:v>
      </x:c>
      <x:c r="AR441" s="23" t="n">
        <x:f>IF(C441="","",IF(AQ441&lt;&gt;"Ready","Unavailable",IF(C441="","",IF(O441=0,0,(IF(AJ441&lt;=1,O441,O441*INDEX('Facilities'!$R$9:$R$108,MATCH(C441,'Facilities'!$C$9:$C$108,0)))+O441*INDEX('Facilities'!$T$9:$T$108,MATCH(C441,'Facilities'!$C$9:$C$108,0)))/12))))</x:f>
        <x:v>0</x:v>
      </x:c>
    </x:row>
    <x:row r="442" ht="26" customHeight="1">
      <x:c r="A442" s="1"/>
      <x:c r="B442" s="1"/>
      <x:c r="C442" s="9" t="str">
        <x:f>IF(Facilities!C42="","",Facilities!C42)</x:f>
        <x:v>F034</x:v>
      </x:c>
      <x:c r="D442" s="3" t="n">
        <x:v>5</x:v>
      </x:c>
      <x:c r="E442" s="9" t="n">
        <x:f>Settings!$F$18+4</x:f>
        <x:v>2031</x:v>
      </x:c>
      <x:c r="F442" s="9" t="str">
        <x:f>IF(C442="","",IFERROR(INDEX('Facilities'!$D$9:$D$108,MATCH(C442,'Facilities'!$C$9:$C$108,0)),"Unavailable"))</x:f>
        <x:v>B022</x:v>
      </x:c>
      <x:c r="G442" s="21" t="n">
        <x:f>IF(C442="","",IFERROR(O342,"Unavailable"))</x:f>
        <x:v>7.830116696000001</x:v>
      </x:c>
      <x:c r="H442" s="21" t="n">
        <x:f>IF(C442="","",IFERROR(P342,"Unavailable"))</x:f>
        <x:v>0</x:v>
      </x:c>
      <x:c r="I442" s="21" t="n">
        <x:f>IF(C442="","",IFERROR(Q342,"Unavailable"))</x:f>
        <x:v>1.002915</x:v>
      </x:c>
      <x:c r="J442" s="23" t="n">
        <x:f>IF(C442="","",IFERROR(IF(OR(H442&gt;0,AND(AC442&gt;=0,AC442&lt;D442),D442&gt;INDEX('Facilities'!$J$9:$J$108,MATCH(C442,'Facilities'!$C$9:$C$108,0))),0,I442*'Scenario Paths'!J81),"Unavailable"))</x:f>
        <x:v>0.05014575</x:v>
      </x:c>
      <x:c r="K442" s="23" t="n">
        <x:f>IF(C442="","",IFERROR(IF(OR(H442&gt;0,AND(AC442&gt;=0,AC442=D442)),0,IF(D442&gt;=INDEX('Facilities'!$J$9:$J$108,MATCH(C442,'Facilities'!$C$9:$C$108,0)),G442+J442,MIN(G442+J442,G442*INDEX('Facilities'!$R$9:$R$108,MATCH(C442,'Facilities'!$C$9:$C$108,0))))),"Unavailable"))</x:f>
        <x:v>0.9396140035200001</x:v>
      </x:c>
      <x:c r="L442" s="21" t="n">
        <x:f>IF(C442="","",IFERROR(IF(AND(AC442=D442,AC442&gt;0),MAX(0,G442+J442-K442),0),"Unavailable"))</x:f>
        <x:v>0</x:v>
      </x:c>
      <x:c r="M442" s="23" t="n">
        <x:f>IF(C442="","",IFERROR(IF(AND(AC442&gt;=0,D442&gt;=AC442+INDEX('Facilities'!$AK$9:$AK$108,MATCH(C442,'Facilities'!$C$9:$C$108,0))),(H442+L442)*AM442,0),"Unavailable"))</x:f>
        <x:v>0</x:v>
      </x:c>
      <x:c r="N442" s="23" t="n">
        <x:f>IF(C442="","",IFERROR(IF(AND(AC442&gt;=0,D442&gt;=AC442+INDEX('Facilities'!$AK$9:$AK$108,MATCH(C442,'Facilities'!$C$9:$C$108,0))),H442+L442-M442,0),"Unavailable"))</x:f>
        <x:v>0</x:v>
      </x:c>
      <x:c r="O442" s="21" t="n">
        <x:f>IF(C442="","",IFERROR(MAX(0,G442+J442-K442-L442),"Unavailable"))</x:f>
        <x:v>6.9406484424800015</x:v>
      </x:c>
      <x:c r="P442" s="21" t="n">
        <x:f>IF(C442="","",IFERROR(MAX(0,H442+L442-M442-N442),"Unavailable"))</x:f>
        <x:v>0</x:v>
      </x:c>
      <x:c r="Q442" s="23" t="n">
        <x:f>IF(C442="","",IFERROR(IF(OR(D442&gt;=INDEX('Facilities'!$J$9:$J$108,MATCH(C442,'Facilities'!$C$9:$C$108,0)),AND(AC442&gt;=0,AC442&lt;=D442)),0,MAX(0,I442-J442)),"Unavailable"))</x:f>
        <x:v>0.95276925</x:v>
      </x:c>
      <x:c r="R442" s="30" t="n">
        <x:f>IF(C442="","",IFERROR(INDEX(Credit!$Q$409:$Q$508,MATCH(F442,Credit!$C$409:$C$508,0)),"Unavailable"))</x:f>
        <x:v>0.05209489989606069</x:v>
      </x:c>
      <x:c r="S442" s="30" t="n">
        <x:f>IF(C442="","",IFERROR(INDEX(Credit!$R$409:$R$508,MATCH(F442,Credit!$C$409:$C$508,0)),"Unavailable"))</x:f>
        <x:v>0.32243712</x:v>
      </x:c>
      <x:c r="T442" s="23" t="n">
        <x:f>IF(C442="","",IFERROR(IF(P442&gt;0,3,IF(OR(INDEX('Facilities'!$AD$9:$AD$108,MATCH(C442,'Facilities'!$C$9:$C$108,0))=2,AND(R442&gt;=INDEX('Facilities'!$L$9:$L$108,MATCH(C442,'Facilities'!$C$9:$C$108,0))*Settings!$F$19,R442-INDEX('Facilities'!$L$9:$L$108,MATCH(C442,'Facilities'!$C$9:$C$108,0))&gt;=Settings!$F$20)),2,1)),"Unavailable"))</x:f>
        <x:v>1</x:v>
      </x:c>
      <x:c r="U442" s="23" t="n">
        <x:f>IF(C442="","",IF(AQ442&lt;&gt;"Ready","Unavailable",IF(C442="","",O442*(1-(1-S442)/(1+INDEX('Facilities'!$K$9:$K$108,MATCH(C442,'Facilities'!$C$9:$C$108,0)))^INDEX('Facilities'!$AK$9:$AK$108,MATCH(C442,'Facilities'!$C$9:$C$108,0)))*R442/(1+INDEX('Facilities'!$K$9:$K$108,MATCH(C442,'Facilities'!$C$9:$C$108,0)))*IF(ABS(1-(1-R442)*(1-INDEX('Facilities'!$R$9:$R$108,MATCH(C442,'Facilities'!$C$9:$C$108,0)))/(1+INDEX('Facilities'!$K$9:$K$108,MATCH(C442,'Facilities'!$C$9:$C$108,0))))&lt;0.000000001,IF(T442=1,MIN(1,AJ442),AJ442),(1-((1-R442)*(1-INDEX('Facilities'!$R$9:$R$108,MATCH(C442,'Facilities'!$C$9:$C$108,0)))/(1+INDEX('Facilities'!$K$9:$K$108,MATCH(C442,'Facilities'!$C$9:$C$108,0))))^IF(T442=1,MIN(1,AJ442),AJ442))/(1-(1-R442)*(1-INDEX('Facilities'!$R$9:$R$108,MATCH(C442,'Facilities'!$C$9:$C$108,0)))/(1+INDEX('Facilities'!$K$9:$K$108,MATCH(C442,'Facilities'!$C$9:$C$108,0)))))+AL442)))</x:f>
        <x:v>0.14030985158361378</x:v>
      </x:c>
      <x:c r="V442" s="23" t="n">
        <x:f>IF(C442="","",IF(AQ442&lt;&gt;"Ready","Unavailable",IF(C442="","",Q442*INDEX('Facilities'!$I$9:$I$108,MATCH(C442,'Facilities'!$C$9:$C$108,0))*(1-(1-S442)/(1+INDEX('Facilities'!$K$9:$K$108,MATCH(C442,'Facilities'!$C$9:$C$108,0)))^INDEX('Facilities'!$AK$9:$AK$108,MATCH(C442,'Facilities'!$C$9:$C$108,0)))*R442/(1+INDEX('Facilities'!$K$9:$K$108,MATCH(C442,'Facilities'!$C$9:$C$108,0)))*IF(ABS(1-(1-R442)*(1-0)/(1+INDEX('Facilities'!$K$9:$K$108,MATCH(C442,'Facilities'!$C$9:$C$108,0))))&lt;0.000000001,IF(T442=1,MIN(1,AJ442),AJ442),(1-((1-R442)*(1-0)/(1+INDEX('Facilities'!$K$9:$K$108,MATCH(C442,'Facilities'!$C$9:$C$108,0))))^IF(T442=1,MIN(1,AJ442),AJ442))/(1-(1-R442)*(1-0)/(1+INDEX('Facilities'!$K$9:$K$108,MATCH(C442,'Facilities'!$C$9:$C$108,0))))))))</x:f>
        <x:v>0.009630433897410027</x:v>
      </x:c>
      <x:c r="W442" s="21" t="n">
        <x:f>IF(C442="","",IFERROR(U342,"Unavailable"))</x:f>
        <x:v>0.1693213298375024</x:v>
      </x:c>
      <x:c r="X442" s="21" t="n">
        <x:f>IF(C442="","",IFERROR(V342,"Unavailable"))</x:f>
        <x:v>0.010843701831463656</x:v>
      </x:c>
      <x:c r="Y442" s="21" t="n">
        <x:f>IF(C442="","",IF(AQ442&lt;&gt;"Ready","Unavailable",IF(C442="","",U442-W442+V442-X442+N442+AG442)))</x:f>
        <x:v>-0.03022474618794224</x:v>
      </x:c>
      <x:c r="Z442" s="23" t="n">
        <x:f>IF(C442="","",IF(AQ442&lt;&gt;"Ready","Unavailable",IF(C442="","",(G442+O442+L442)/2*INDEX('Facilities'!$T$9:$T$108,MATCH(C442,'Facilities'!$C$9:$C$108,0))+AG442)))</x:f>
        <x:v>0.7016113440778001</x:v>
      </x:c>
      <x:c r="AA442" s="23" t="n">
        <x:f>IF(C442="","",IF(AQ442&lt;&gt;"Ready","Unavailable",IF(C442="","",O442*(1-IF(INDEX('Facilities'!$AA$9:$AA$108,MATCH(C442,'Facilities'!$C$9:$C$108,0))=0,0,MIN(1,INDEX('Facilities'!$X$9:$X$108,MATCH(C442,'Facilities'!$C$9:$C$108,0))/INDEX('Facilities'!$AA$9:$AA$108,MATCH(C442,'Facilities'!$C$9:$C$108,0)))))*AF442+P442*(1-IF(INDEX('Facilities'!$AA$9:$AA$108,MATCH(C442,'Facilities'!$C$9:$C$108,0))=0,0,MIN(1,INDEX('Facilities'!$X$9:$X$108,MATCH(C442,'Facilities'!$C$9:$C$108,0))/INDEX('Facilities'!$AA$9:$AA$108,MATCH(C442,'Facilities'!$C$9:$C$108,0)))))*INDEX('Facilities'!$AJ$9:$AJ$108,MATCH(C442,'Facilities'!$C$9:$C$108,0))+Q442*INDEX('Facilities'!$AI$9:$AI$108,MATCH(C442,'Facilities'!$C$9:$C$108,0))*AF442)))</x:f>
        <x:v>9.104715771730483</x:v>
      </x:c>
      <x:c r="AB442" s="21" t="n">
        <x:f>IF(C442="","",O442+P442-AD442)</x:f>
        <x:v>-0.8894682535199996</x:v>
      </x:c>
      <x:c r="AC442" s="23" t="n">
        <x:f>IF(C442="","",IFERROR(IF(INDEX('Facilities'!$AD$9:$AD$108,MATCH(C442,'Facilities'!$C$9:$C$108,0))=3,0,IF(INDEX('Facilities'!$AN$9:$AN$108,MATCH(C442,'Facilities'!$C$9:$C$108,0))=0,-1,INDEX('Facilities'!$AN$9:$AN$108,MATCH(C442,'Facilities'!$C$9:$C$108,0)))),"Unavailable"))</x:f>
        <x:v>-1</x:v>
      </x:c>
      <x:c r="AD442" s="21" t="n">
        <x:f>IF(C442="","",IFERROR(G442+H442,"Unavailable"))</x:f>
        <x:v>7.830116696000001</x:v>
      </x:c>
      <x:c r="AE442" s="21" t="n">
        <x:f>IF(C442="","",IF(AQ442&lt;&gt;"Ready","Unavailable",IF(C442="","",O442+P442-AD442-J442+K442+M442+N442)))</x:f>
        <x:v>5.551115123125783e-16</x:v>
      </x:c>
      <x:c r="AF442" s="30" t="n">
        <x:f>IF(C442="","",IFERROR(INDEX('Facilities'!$S$9:$S$108,MATCH(C442,'Facilities'!$C$9:$C$108,0))*'Scenario Paths'!J75,"Unavailable"))</x:f>
        <x:v>1.25</x:v>
      </x:c>
      <x:c r="AG442" s="23" t="n">
        <x:f>IF(C442="","",IF(AQ442&lt;&gt;"Ready","Unavailable",IF(C442="","",IF(H442&gt;0,MAX(0,H442-AK442)*((1+INDEX('Facilities'!$K$9:$K$108,MATCH(C442,'Facilities'!$C$9:$C$108,0)))^MIN(1,MAX(0,AC442+INDEX('Facilities'!$AK$9:$AK$108,MATCH(C442,'Facilities'!$C$9:$C$108,0))-D442+1))-1),0))))</x:f>
        <x:v>0</x:v>
      </x:c>
      <x:c r="AH442" s="21" t="n">
        <x:f>IF(C442="","",IF(AQ442&lt;&gt;"Ready","Unavailable",IF(C442="","",O442+P442)))</x:f>
        <x:v>6.9406484424800015</x:v>
      </x:c>
      <x:c r="AI442" s="21" t="n">
        <x:f>IF(C442="","",IF(AQ442&lt;&gt;"Ready","Unavailable",IF(C442="","",Z442-Y442)))</x:f>
        <x:v>0.7318360902657424</x:v>
      </x:c>
      <x:c r="AJ442" s="23" t="n">
        <x:f>IF(C442="","",IFERROR(MAX(0,INDEX('Facilities'!$J$9:$J$108,MATCH(C442,'Facilities'!$C$9:$C$108,0))-D442),"Unavailable"))</x:f>
        <x:v>7</x:v>
      </x:c>
      <x:c r="AK442" s="21" t="n">
        <x:f>IF(C442="","",IFERROR(AL342,"Unavailable"))</x:f>
        <x:v>0</x:v>
      </x:c>
      <x:c r="AL442" s="23" t="n">
        <x:f>IF(C442="","",IFERROR(IF(P442&gt;0,P442*(1-AM442/(1+INDEX('Facilities'!$K$9:$K$108,MATCH(C442,'Facilities'!$C$9:$C$108,0)))^MAX(0,AC442+INDEX('Facilities'!$AK$9:$AK$108,MATCH(C442,'Facilities'!$C$9:$C$108,0))-D442)),0),"Unavailable"))</x:f>
        <x:v>0</x:v>
      </x:c>
      <x:c r="AM442" s="30" t="n">
        <x:f>IF(C442="","",IFERROR(INDEX('Facilities'!$AL$9:$AL$108,MATCH(C442,'Facilities'!$C$9:$C$108,0)),"Unavailable"))</x:f>
        <x:v>0.55</x:v>
      </x:c>
      <x:c r="AN442" s="30" t="n">
        <x:f>IF(C442="","",IFERROR(INDEX(Credit!$T$409:$T$508,MATCH(F442,Credit!$C$409:$C$508,0)),"Unavailable"))</x:f>
        <x:v>0.0035840000000000004</x:v>
      </x:c>
      <x:c r="AO442" s="23" t="n">
        <x:f>IF(C442="","",IF(AQ442&lt;&gt;"Ready","Unavailable",IF(C442="","",O442+P442+Q442*INDEX('Facilities'!$I$9:$I$108,MATCH(C442,'Facilities'!$C$9:$C$108,0)))))</x:f>
        <x:v>7.417033067480001</x:v>
      </x:c>
      <x:c r="AP442" s="21" t="n">
        <x:f>IF(C442="","",IF(AQ442&lt;&gt;"Ready","Unavailable",IF(C442="","",AH442-U442)))</x:f>
        <x:v>6.800338590896388</x:v>
      </x:c>
      <x:c r="AQ442" s="23" t="str">
        <x:f>IFERROR(IF(C442="","",IF(AND(INDEX('Facilities'!$AF$9:$AF$108,MATCH(C442,'Facilities'!$C$9:$C$108,0))="Ready",INDEX(Credit!$U$409:$U$508,MATCH(F442,Credit!$C$409:$C$508,0))="Ready",ISNUMBER(W442)),"Ready","Review inputs")),"Review inputs")</x:f>
        <x:v>Ready</x:v>
      </x:c>
      <x:c r="AR442" s="23" t="n">
        <x:f>IF(C442="","",IF(AQ442&lt;&gt;"Ready","Unavailable",IF(C442="","",IF(O442=0,0,(IF(AJ442&lt;=1,O442,O442*INDEX('Facilities'!$R$9:$R$108,MATCH(C442,'Facilities'!$C$9:$C$108,0)))+O442*INDEX('Facilities'!$T$9:$T$108,MATCH(C442,'Facilities'!$C$9:$C$108,0)))/12))))</x:f>
        <x:v>0.12435328459443336</x:v>
      </x:c>
    </x:row>
    <x:row r="443" ht="26" customHeight="1">
      <x:c r="A443" s="1"/>
      <x:c r="B443" s="1"/>
      <x:c r="C443" s="9" t="str">
        <x:f>IF(Facilities!C43="","",Facilities!C43)</x:f>
        <x:v>F035</x:v>
      </x:c>
      <x:c r="D443" s="3" t="n">
        <x:v>5</x:v>
      </x:c>
      <x:c r="E443" s="9" t="n">
        <x:f>Settings!$F$18+4</x:f>
        <x:v>2031</x:v>
      </x:c>
      <x:c r="F443" s="9" t="str">
        <x:f>IF(C443="","",IFERROR(INDEX('Facilities'!$D$9:$D$108,MATCH(C443,'Facilities'!$C$9:$C$108,0)),"Unavailable"))</x:f>
        <x:v>B023</x:v>
      </x:c>
      <x:c r="G443" s="21" t="n">
        <x:f>IF(C443="","",IFERROR(O343,"Unavailable"))</x:f>
        <x:v>0</x:v>
      </x:c>
      <x:c r="H443" s="21" t="n">
        <x:f>IF(C443="","",IFERROR(P343,"Unavailable"))</x:f>
        <x:v>0</x:v>
      </x:c>
      <x:c r="I443" s="21" t="n">
        <x:f>IF(C443="","",IFERROR(Q343,"Unavailable"))</x:f>
        <x:v>0</x:v>
      </x:c>
      <x:c r="J443" s="23" t="n">
        <x:f>IF(C443="","",IFERROR(IF(OR(H443&gt;0,AND(AC443&gt;=0,AC443&lt;D443),D443&gt;INDEX('Facilities'!$J$9:$J$108,MATCH(C443,'Facilities'!$C$9:$C$108,0))),0,I443*'Scenario Paths'!J81),"Unavailable"))</x:f>
        <x:v>0</x:v>
      </x:c>
      <x:c r="K443" s="23" t="n">
        <x:f>IF(C443="","",IFERROR(IF(OR(H443&gt;0,AND(AC443&gt;=0,AC443=D443)),0,IF(D443&gt;=INDEX('Facilities'!$J$9:$J$108,MATCH(C443,'Facilities'!$C$9:$C$108,0)),G443+J443,MIN(G443+J443,G443*INDEX('Facilities'!$R$9:$R$108,MATCH(C443,'Facilities'!$C$9:$C$108,0))))),"Unavailable"))</x:f>
        <x:v>0</x:v>
      </x:c>
      <x:c r="L443" s="21" t="n">
        <x:f>IF(C443="","",IFERROR(IF(AND(AC443=D443,AC443&gt;0),MAX(0,G443+J443-K443),0),"Unavailable"))</x:f>
        <x:v>0</x:v>
      </x:c>
      <x:c r="M443" s="23" t="n">
        <x:f>IF(C443="","",IFERROR(IF(AND(AC443&gt;=0,D443&gt;=AC443+INDEX('Facilities'!$AK$9:$AK$108,MATCH(C443,'Facilities'!$C$9:$C$108,0))),(H443+L443)*AM443,0),"Unavailable"))</x:f>
        <x:v>0</x:v>
      </x:c>
      <x:c r="N443" s="23" t="n">
        <x:f>IF(C443="","",IFERROR(IF(AND(AC443&gt;=0,D443&gt;=AC443+INDEX('Facilities'!$AK$9:$AK$108,MATCH(C443,'Facilities'!$C$9:$C$108,0))),H443+L443-M443,0),"Unavailable"))</x:f>
        <x:v>0</x:v>
      </x:c>
      <x:c r="O443" s="21" t="n">
        <x:f>IF(C443="","",IFERROR(MAX(0,G443+J443-K443-L443),"Unavailable"))</x:f>
        <x:v>0</x:v>
      </x:c>
      <x:c r="P443" s="21" t="n">
        <x:f>IF(C443="","",IFERROR(MAX(0,H443+L443-M443-N443),"Unavailable"))</x:f>
        <x:v>0</x:v>
      </x:c>
      <x:c r="Q443" s="23" t="n">
        <x:f>IF(C443="","",IFERROR(IF(OR(D443&gt;=INDEX('Facilities'!$J$9:$J$108,MATCH(C443,'Facilities'!$C$9:$C$108,0)),AND(AC443&gt;=0,AC443&lt;=D443)),0,MAX(0,I443-J443)),"Unavailable"))</x:f>
        <x:v>0</x:v>
      </x:c>
      <x:c r="R443" s="30" t="n">
        <x:f>IF(C443="","",IFERROR(INDEX(Credit!$Q$409:$Q$508,MATCH(F443,Credit!$C$409:$C$508,0)),"Unavailable"))</x:f>
        <x:v>1</x:v>
      </x:c>
      <x:c r="S443" s="30" t="n">
        <x:f>IF(C443="","",IFERROR(INDEX(Credit!$R$409:$R$508,MATCH(F443,Credit!$C$409:$C$508,0)),"Unavailable"))</x:f>
        <x:v>0.36450560000000004</x:v>
      </x:c>
      <x:c r="T443" s="23" t="n">
        <x:f>IF(C443="","",IFERROR(IF(P443&gt;0,3,IF(OR(INDEX('Facilities'!$AD$9:$AD$108,MATCH(C443,'Facilities'!$C$9:$C$108,0))=2,AND(R443&gt;=INDEX('Facilities'!$L$9:$L$108,MATCH(C443,'Facilities'!$C$9:$C$108,0))*Settings!$F$19,R443-INDEX('Facilities'!$L$9:$L$108,MATCH(C443,'Facilities'!$C$9:$C$108,0))&gt;=Settings!$F$20)),2,1)),"Unavailable"))</x:f>
        <x:v>2</x:v>
      </x:c>
      <x:c r="U443" s="23" t="n">
        <x:f>IF(C443="","",IF(AQ443&lt;&gt;"Ready","Unavailable",IF(C443="","",O443*(1-(1-S443)/(1+INDEX('Facilities'!$K$9:$K$108,MATCH(C443,'Facilities'!$C$9:$C$108,0)))^INDEX('Facilities'!$AK$9:$AK$108,MATCH(C443,'Facilities'!$C$9:$C$108,0)))*R443/(1+INDEX('Facilities'!$K$9:$K$108,MATCH(C443,'Facilities'!$C$9:$C$108,0)))*IF(ABS(1-(1-R443)*(1-INDEX('Facilities'!$R$9:$R$108,MATCH(C443,'Facilities'!$C$9:$C$108,0)))/(1+INDEX('Facilities'!$K$9:$K$108,MATCH(C443,'Facilities'!$C$9:$C$108,0))))&lt;0.000000001,IF(T443=1,MIN(1,AJ443),AJ443),(1-((1-R443)*(1-INDEX('Facilities'!$R$9:$R$108,MATCH(C443,'Facilities'!$C$9:$C$108,0)))/(1+INDEX('Facilities'!$K$9:$K$108,MATCH(C443,'Facilities'!$C$9:$C$108,0))))^IF(T443=1,MIN(1,AJ443),AJ443))/(1-(1-R443)*(1-INDEX('Facilities'!$R$9:$R$108,MATCH(C443,'Facilities'!$C$9:$C$108,0)))/(1+INDEX('Facilities'!$K$9:$K$108,MATCH(C443,'Facilities'!$C$9:$C$108,0)))))+AL443)))</x:f>
        <x:v>0</x:v>
      </x:c>
      <x:c r="V443" s="23" t="n">
        <x:f>IF(C443="","",IF(AQ443&lt;&gt;"Ready","Unavailable",IF(C443="","",Q443*INDEX('Facilities'!$I$9:$I$108,MATCH(C443,'Facilities'!$C$9:$C$108,0))*(1-(1-S443)/(1+INDEX('Facilities'!$K$9:$K$108,MATCH(C443,'Facilities'!$C$9:$C$108,0)))^INDEX('Facilities'!$AK$9:$AK$108,MATCH(C443,'Facilities'!$C$9:$C$108,0)))*R443/(1+INDEX('Facilities'!$K$9:$K$108,MATCH(C443,'Facilities'!$C$9:$C$108,0)))*IF(ABS(1-(1-R443)*(1-0)/(1+INDEX('Facilities'!$K$9:$K$108,MATCH(C443,'Facilities'!$C$9:$C$108,0))))&lt;0.000000001,IF(T443=1,MIN(1,AJ443),AJ443),(1-((1-R443)*(1-0)/(1+INDEX('Facilities'!$K$9:$K$108,MATCH(C443,'Facilities'!$C$9:$C$108,0))))^IF(T443=1,MIN(1,AJ443),AJ443))/(1-(1-R443)*(1-0)/(1+INDEX('Facilities'!$K$9:$K$108,MATCH(C443,'Facilities'!$C$9:$C$108,0))))))))</x:f>
        <x:v>0</x:v>
      </x:c>
      <x:c r="W443" s="21" t="n">
        <x:f>IF(C443="","",IFERROR(U343,"Unavailable"))</x:f>
        <x:v>0</x:v>
      </x:c>
      <x:c r="X443" s="21" t="n">
        <x:f>IF(C443="","",IFERROR(V343,"Unavailable"))</x:f>
        <x:v>0</x:v>
      </x:c>
      <x:c r="Y443" s="21" t="n">
        <x:f>IF(C443="","",IF(AQ443&lt;&gt;"Ready","Unavailable",IF(C443="","",U443-W443+V443-X443+N443+AG443)))</x:f>
        <x:v>0</x:v>
      </x:c>
      <x:c r="Z443" s="23" t="n">
        <x:f>IF(C443="","",IF(AQ443&lt;&gt;"Ready","Unavailable",IF(C443="","",(G443+O443+L443)/2*INDEX('Facilities'!$T$9:$T$108,MATCH(C443,'Facilities'!$C$9:$C$108,0))+AG443)))</x:f>
        <x:v>0</x:v>
      </x:c>
      <x:c r="AA443" s="23" t="n">
        <x:f>IF(C443="","",IF(AQ443&lt;&gt;"Ready","Unavailable",IF(C443="","",O443*(1-IF(INDEX('Facilities'!$AA$9:$AA$108,MATCH(C443,'Facilities'!$C$9:$C$108,0))=0,0,MIN(1,INDEX('Facilities'!$X$9:$X$108,MATCH(C443,'Facilities'!$C$9:$C$108,0))/INDEX('Facilities'!$AA$9:$AA$108,MATCH(C443,'Facilities'!$C$9:$C$108,0)))))*AF443+P443*(1-IF(INDEX('Facilities'!$AA$9:$AA$108,MATCH(C443,'Facilities'!$C$9:$C$108,0))=0,0,MIN(1,INDEX('Facilities'!$X$9:$X$108,MATCH(C443,'Facilities'!$C$9:$C$108,0))/INDEX('Facilities'!$AA$9:$AA$108,MATCH(C443,'Facilities'!$C$9:$C$108,0)))))*INDEX('Facilities'!$AJ$9:$AJ$108,MATCH(C443,'Facilities'!$C$9:$C$108,0))+Q443*INDEX('Facilities'!$AI$9:$AI$108,MATCH(C443,'Facilities'!$C$9:$C$108,0))*AF443)))</x:f>
        <x:v>0</x:v>
      </x:c>
      <x:c r="AB443" s="21" t="n">
        <x:f>IF(C443="","",O443+P443-AD443)</x:f>
        <x:v>0</x:v>
      </x:c>
      <x:c r="AC443" s="23" t="n">
        <x:f>IF(C443="","",IFERROR(IF(INDEX('Facilities'!$AD$9:$AD$108,MATCH(C443,'Facilities'!$C$9:$C$108,0))=3,0,IF(INDEX('Facilities'!$AN$9:$AN$108,MATCH(C443,'Facilities'!$C$9:$C$108,0))=0,-1,INDEX('Facilities'!$AN$9:$AN$108,MATCH(C443,'Facilities'!$C$9:$C$108,0)))),"Unavailable"))</x:f>
        <x:v>0</x:v>
      </x:c>
      <x:c r="AD443" s="21" t="n">
        <x:f>IF(C443="","",IFERROR(G443+H443,"Unavailable"))</x:f>
        <x:v>0</x:v>
      </x:c>
      <x:c r="AE443" s="21" t="n">
        <x:f>IF(C443="","",IF(AQ443&lt;&gt;"Ready","Unavailable",IF(C443="","",O443+P443-AD443-J443+K443+M443+N443)))</x:f>
        <x:v>0</x:v>
      </x:c>
      <x:c r="AF443" s="30" t="n">
        <x:f>IF(C443="","",IFERROR(INDEX('Facilities'!$S$9:$S$108,MATCH(C443,'Facilities'!$C$9:$C$108,0))*'Scenario Paths'!J75,"Unavailable"))</x:f>
        <x:v>1.25</x:v>
      </x:c>
      <x:c r="AG443" s="23" t="n">
        <x:f>IF(C443="","",IF(AQ443&lt;&gt;"Ready","Unavailable",IF(C443="","",IF(H443&gt;0,MAX(0,H443-AK443)*((1+INDEX('Facilities'!$K$9:$K$108,MATCH(C443,'Facilities'!$C$9:$C$108,0)))^MIN(1,MAX(0,AC443+INDEX('Facilities'!$AK$9:$AK$108,MATCH(C443,'Facilities'!$C$9:$C$108,0))-D443+1))-1),0))))</x:f>
        <x:v>0</x:v>
      </x:c>
      <x:c r="AH443" s="21" t="n">
        <x:f>IF(C443="","",IF(AQ443&lt;&gt;"Ready","Unavailable",IF(C443="","",O443+P443)))</x:f>
        <x:v>0</x:v>
      </x:c>
      <x:c r="AI443" s="21" t="n">
        <x:f>IF(C443="","",IF(AQ443&lt;&gt;"Ready","Unavailable",IF(C443="","",Z443-Y443)))</x:f>
        <x:v>0</x:v>
      </x:c>
      <x:c r="AJ443" s="23" t="n">
        <x:f>IF(C443="","",IFERROR(MAX(0,INDEX('Facilities'!$J$9:$J$108,MATCH(C443,'Facilities'!$C$9:$C$108,0))-D443),"Unavailable"))</x:f>
        <x:v>2</x:v>
      </x:c>
      <x:c r="AK443" s="21" t="n">
        <x:f>IF(C443="","",IFERROR(AL343,"Unavailable"))</x:f>
        <x:v>0</x:v>
      </x:c>
      <x:c r="AL443" s="23" t="n">
        <x:f>IF(C443="","",IFERROR(IF(P443&gt;0,P443*(1-AM443/(1+INDEX('Facilities'!$K$9:$K$108,MATCH(C443,'Facilities'!$C$9:$C$108,0)))^MAX(0,AC443+INDEX('Facilities'!$AK$9:$AK$108,MATCH(C443,'Facilities'!$C$9:$C$108,0))-D443)),0),"Unavailable"))</x:f>
        <x:v>0</x:v>
      </x:c>
      <x:c r="AM443" s="30" t="n">
        <x:f>IF(C443="","",IFERROR(INDEX('Facilities'!$AL$9:$AL$108,MATCH(C443,'Facilities'!$C$9:$C$108,0)),"Unavailable"))</x:f>
        <x:v>0.55</x:v>
      </x:c>
      <x:c r="AN443" s="30" t="n">
        <x:f>IF(C443="","",IFERROR(INDEX(Credit!$T$409:$T$508,MATCH(F443,Credit!$C$409:$C$508,0)),"Unavailable"))</x:f>
        <x:v>0.007040000000000001</x:v>
      </x:c>
      <x:c r="AO443" s="23" t="n">
        <x:f>IF(C443="","",IF(AQ443&lt;&gt;"Ready","Unavailable",IF(C443="","",O443+P443+Q443*INDEX('Facilities'!$I$9:$I$108,MATCH(C443,'Facilities'!$C$9:$C$108,0)))))</x:f>
        <x:v>0</x:v>
      </x:c>
      <x:c r="AP443" s="21" t="n">
        <x:f>IF(C443="","",IF(AQ443&lt;&gt;"Ready","Unavailable",IF(C443="","",AH443-U443)))</x:f>
        <x:v>0</x:v>
      </x:c>
      <x:c r="AQ443" s="23" t="str">
        <x:f>IFERROR(IF(C443="","",IF(AND(INDEX('Facilities'!$AF$9:$AF$108,MATCH(C443,'Facilities'!$C$9:$C$108,0))="Ready",INDEX(Credit!$U$409:$U$508,MATCH(F443,Credit!$C$409:$C$508,0))="Ready",ISNUMBER(W443)),"Ready","Review inputs")),"Review inputs")</x:f>
        <x:v>Ready</x:v>
      </x:c>
      <x:c r="AR443" s="23" t="n">
        <x:f>IF(C443="","",IF(AQ443&lt;&gt;"Ready","Unavailable",IF(C443="","",IF(O443=0,0,(IF(AJ443&lt;=1,O443,O443*INDEX('Facilities'!$R$9:$R$108,MATCH(C443,'Facilities'!$C$9:$C$108,0)))+O443*INDEX('Facilities'!$T$9:$T$108,MATCH(C443,'Facilities'!$C$9:$C$108,0)))/12))))</x:f>
        <x:v>0</x:v>
      </x:c>
    </x:row>
    <x:row r="444" ht="26" customHeight="1">
      <x:c r="A444" s="1"/>
      <x:c r="B444" s="1"/>
      <x:c r="C444" s="9" t="str">
        <x:f>IF(Facilities!C44="","",Facilities!C44)</x:f>
        <x:v>F036</x:v>
      </x:c>
      <x:c r="D444" s="3" t="n">
        <x:v>5</x:v>
      </x:c>
      <x:c r="E444" s="9" t="n">
        <x:f>Settings!$F$18+4</x:f>
        <x:v>2031</x:v>
      </x:c>
      <x:c r="F444" s="9" t="str">
        <x:f>IF(C444="","",IFERROR(INDEX('Facilities'!$D$9:$D$108,MATCH(C444,'Facilities'!$C$9:$C$108,0)),"Unavailable"))</x:f>
        <x:v>B024</x:v>
      </x:c>
      <x:c r="G444" s="21" t="n">
        <x:f>IF(C444="","",IFERROR(O344,"Unavailable"))</x:f>
        <x:v>8.249903448</x:v>
      </x:c>
      <x:c r="H444" s="21" t="n">
        <x:f>IF(C444="","",IFERROR(P344,"Unavailable"))</x:f>
        <x:v>0</x:v>
      </x:c>
      <x:c r="I444" s="21" t="n">
        <x:f>IF(C444="","",IFERROR(Q344,"Unavailable"))</x:f>
        <x:v>1.002915</x:v>
      </x:c>
      <x:c r="J444" s="23" t="n">
        <x:f>IF(C444="","",IFERROR(IF(OR(H444&gt;0,AND(AC444&gt;=0,AC444&lt;D444),D444&gt;INDEX('Facilities'!$J$9:$J$108,MATCH(C444,'Facilities'!$C$9:$C$108,0))),0,I444*'Scenario Paths'!J81),"Unavailable"))</x:f>
        <x:v>0.05014575</x:v>
      </x:c>
      <x:c r="K444" s="23" t="n">
        <x:f>IF(C444="","",IFERROR(IF(OR(H444&gt;0,AND(AC444&gt;=0,AC444=D444)),0,IF(D444&gt;=INDEX('Facilities'!$J$9:$J$108,MATCH(C444,'Facilities'!$C$9:$C$108,0)),G444+J444,MIN(G444+J444,G444*INDEX('Facilities'!$R$9:$R$108,MATCH(C444,'Facilities'!$C$9:$C$108,0))))),"Unavailable"))</x:f>
        <x:v>0.9899884137599999</x:v>
      </x:c>
      <x:c r="L444" s="21" t="n">
        <x:f>IF(C444="","",IFERROR(IF(AND(AC444=D444,AC444&gt;0),MAX(0,G444+J444-K444),0),"Unavailable"))</x:f>
        <x:v>0</x:v>
      </x:c>
      <x:c r="M444" s="23" t="n">
        <x:f>IF(C444="","",IFERROR(IF(AND(AC444&gt;=0,D444&gt;=AC444+INDEX('Facilities'!$AK$9:$AK$108,MATCH(C444,'Facilities'!$C$9:$C$108,0))),(H444+L444)*AM444,0),"Unavailable"))</x:f>
        <x:v>0</x:v>
      </x:c>
      <x:c r="N444" s="23" t="n">
        <x:f>IF(C444="","",IFERROR(IF(AND(AC444&gt;=0,D444&gt;=AC444+INDEX('Facilities'!$AK$9:$AK$108,MATCH(C444,'Facilities'!$C$9:$C$108,0))),H444+L444-M444,0),"Unavailable"))</x:f>
        <x:v>0</x:v>
      </x:c>
      <x:c r="O444" s="21" t="n">
        <x:f>IF(C444="","",IFERROR(MAX(0,G444+J444-K444-L444),"Unavailable"))</x:f>
        <x:v>7.31006078424</x:v>
      </x:c>
      <x:c r="P444" s="21" t="n">
        <x:f>IF(C444="","",IFERROR(MAX(0,H444+L444-M444-N444),"Unavailable"))</x:f>
        <x:v>0</x:v>
      </x:c>
      <x:c r="Q444" s="23" t="n">
        <x:f>IF(C444="","",IFERROR(IF(OR(D444&gt;=INDEX('Facilities'!$J$9:$J$108,MATCH(C444,'Facilities'!$C$9:$C$108,0)),AND(AC444&gt;=0,AC444&lt;=D444)),0,MAX(0,I444-J444)),"Unavailable"))</x:f>
        <x:v>0.95276925</x:v>
      </x:c>
      <x:c r="R444" s="30" t="n">
        <x:f>IF(C444="","",IFERROR(INDEX(Credit!$Q$409:$Q$508,MATCH(F444,Credit!$C$409:$C$508,0)),"Unavailable"))</x:f>
        <x:v>0.08054830956445198</x:v>
      </x:c>
      <x:c r="S444" s="30" t="n">
        <x:f>IF(C444="","",IFERROR(INDEX(Credit!$R$409:$R$508,MATCH(F444,Credit!$C$409:$C$508,0)),"Unavailable"))</x:f>
        <x:v>0.40698880000000004</x:v>
      </x:c>
      <x:c r="T444" s="23" t="n">
        <x:f>IF(C444="","",IFERROR(IF(P444&gt;0,3,IF(OR(INDEX('Facilities'!$AD$9:$AD$108,MATCH(C444,'Facilities'!$C$9:$C$108,0))=2,AND(R444&gt;=INDEX('Facilities'!$L$9:$L$108,MATCH(C444,'Facilities'!$C$9:$C$108,0))*Settings!$F$19,R444-INDEX('Facilities'!$L$9:$L$108,MATCH(C444,'Facilities'!$C$9:$C$108,0))&gt;=Settings!$F$20)),2,1)),"Unavailable"))</x:f>
        <x:v>1</x:v>
      </x:c>
      <x:c r="U444" s="23" t="n">
        <x:f>IF(C444="","",IF(AQ444&lt;&gt;"Ready","Unavailable",IF(C444="","",O444*(1-(1-S444)/(1+INDEX('Facilities'!$K$9:$K$108,MATCH(C444,'Facilities'!$C$9:$C$108,0)))^INDEX('Facilities'!$AK$9:$AK$108,MATCH(C444,'Facilities'!$C$9:$C$108,0)))*R444/(1+INDEX('Facilities'!$K$9:$K$108,MATCH(C444,'Facilities'!$C$9:$C$108,0)))*IF(ABS(1-(1-R444)*(1-INDEX('Facilities'!$R$9:$R$108,MATCH(C444,'Facilities'!$C$9:$C$108,0)))/(1+INDEX('Facilities'!$K$9:$K$108,MATCH(C444,'Facilities'!$C$9:$C$108,0))))&lt;0.000000001,IF(T444=1,MIN(1,AJ444),AJ444),(1-((1-R444)*(1-INDEX('Facilities'!$R$9:$R$108,MATCH(C444,'Facilities'!$C$9:$C$108,0)))/(1+INDEX('Facilities'!$K$9:$K$108,MATCH(C444,'Facilities'!$C$9:$C$108,0))))^IF(T444=1,MIN(1,AJ444),AJ444))/(1-(1-R444)*(1-INDEX('Facilities'!$R$9:$R$108,MATCH(C444,'Facilities'!$C$9:$C$108,0)))/(1+INDEX('Facilities'!$K$9:$K$108,MATCH(C444,'Facilities'!$C$9:$C$108,0)))))+AL444)))</x:f>
        <x:v>0.2680126900810229</x:v>
      </x:c>
      <x:c r="V444" s="23" t="n">
        <x:f>IF(C444="","",IF(AQ444&lt;&gt;"Ready","Unavailable",IF(C444="","",Q444*INDEX('Facilities'!$I$9:$I$108,MATCH(C444,'Facilities'!$C$9:$C$108,0))*(1-(1-S444)/(1+INDEX('Facilities'!$K$9:$K$108,MATCH(C444,'Facilities'!$C$9:$C$108,0)))^INDEX('Facilities'!$AK$9:$AK$108,MATCH(C444,'Facilities'!$C$9:$C$108,0)))*R444/(1+INDEX('Facilities'!$K$9:$K$108,MATCH(C444,'Facilities'!$C$9:$C$108,0)))*IF(ABS(1-(1-R444)*(1-0)/(1+INDEX('Facilities'!$K$9:$K$108,MATCH(C444,'Facilities'!$C$9:$C$108,0))))&lt;0.000000001,IF(T444=1,MIN(1,AJ444),AJ444),(1-((1-R444)*(1-0)/(1+INDEX('Facilities'!$K$9:$K$108,MATCH(C444,'Facilities'!$C$9:$C$108,0))))^IF(T444=1,MIN(1,AJ444),AJ444))/(1-(1-R444)*(1-0)/(1+INDEX('Facilities'!$K$9:$K$108,MATCH(C444,'Facilities'!$C$9:$C$108,0))))))))</x:f>
        <x:v>0.017465945718912846</x:v>
      </x:c>
      <x:c r="W444" s="21" t="n">
        <x:f>IF(C444="","",IFERROR(U344,"Unavailable"))</x:f>
        <x:v>0.8561548241705315</x:v>
      </x:c>
      <x:c r="X444" s="21" t="n">
        <x:f>IF(C444="","",IFERROR(V344,"Unavailable"))</x:f>
        <x:v>0.060811761465024664</x:v>
      </x:c>
      <x:c r="Y444" s="21" t="n">
        <x:f>IF(C444="","",IF(AQ444&lt;&gt;"Ready","Unavailable",IF(C444="","",U444-W444+V444-X444+N444+AG444)))</x:f>
        <x:v>-0.6314879498356204</x:v>
      </x:c>
      <x:c r="Z444" s="23" t="n">
        <x:f>IF(C444="","",IF(AQ444&lt;&gt;"Ready","Unavailable",IF(C444="","",(G444+O444+L444)/2*INDEX('Facilities'!$T$9:$T$108,MATCH(C444,'Facilities'!$C$9:$C$108,0))+AG444)))</x:f>
        <x:v>0.7390983010314</x:v>
      </x:c>
      <x:c r="AA444" s="23" t="n">
        <x:f>IF(C444="","",IF(AQ444&lt;&gt;"Ready","Unavailable",IF(C444="","",O444*(1-IF(INDEX('Facilities'!$AA$9:$AA$108,MATCH(C444,'Facilities'!$C$9:$C$108,0))=0,0,MIN(1,INDEX('Facilities'!$X$9:$X$108,MATCH(C444,'Facilities'!$C$9:$C$108,0))/INDEX('Facilities'!$AA$9:$AA$108,MATCH(C444,'Facilities'!$C$9:$C$108,0)))))*AF444+P444*(1-IF(INDEX('Facilities'!$AA$9:$AA$108,MATCH(C444,'Facilities'!$C$9:$C$108,0))=0,0,MIN(1,INDEX('Facilities'!$X$9:$X$108,MATCH(C444,'Facilities'!$C$9:$C$108,0))/INDEX('Facilities'!$AA$9:$AA$108,MATCH(C444,'Facilities'!$C$9:$C$108,0)))))*INDEX('Facilities'!$AJ$9:$AJ$108,MATCH(C444,'Facilities'!$C$9:$C$108,0))+Q444*INDEX('Facilities'!$AI$9:$AI$108,MATCH(C444,'Facilities'!$C$9:$C$108,0))*AF444)))</x:f>
        <x:v>9.42603420861192</x:v>
      </x:c>
      <x:c r="AB444" s="21" t="n">
        <x:f>IF(C444="","",O444+P444-AD444)</x:f>
        <x:v>-0.9398426637599995</x:v>
      </x:c>
      <x:c r="AC444" s="23" t="n">
        <x:f>IF(C444="","",IFERROR(IF(INDEX('Facilities'!$AD$9:$AD$108,MATCH(C444,'Facilities'!$C$9:$C$108,0))=3,0,IF(INDEX('Facilities'!$AN$9:$AN$108,MATCH(C444,'Facilities'!$C$9:$C$108,0))=0,-1,INDEX('Facilities'!$AN$9:$AN$108,MATCH(C444,'Facilities'!$C$9:$C$108,0)))),"Unavailable"))</x:f>
        <x:v>-1</x:v>
      </x:c>
      <x:c r="AD444" s="21" t="n">
        <x:f>IF(C444="","",IFERROR(G444+H444,"Unavailable"))</x:f>
        <x:v>8.249903448</x:v>
      </x:c>
      <x:c r="AE444" s="21" t="n">
        <x:f>IF(C444="","",IF(AQ444&lt;&gt;"Ready","Unavailable",IF(C444="","",O444+P444-AD444-J444+K444+M444+N444)))</x:f>
        <x:v>4.440892098500626e-16</x:v>
      </x:c>
      <x:c r="AF444" s="30" t="n">
        <x:f>IF(C444="","",IFERROR(INDEX('Facilities'!$S$9:$S$108,MATCH(C444,'Facilities'!$C$9:$C$108,0))*'Scenario Paths'!J75,"Unavailable"))</x:f>
        <x:v>1.25</x:v>
      </x:c>
      <x:c r="AG444" s="23" t="n">
        <x:f>IF(C444="","",IF(AQ444&lt;&gt;"Ready","Unavailable",IF(C444="","",IF(H444&gt;0,MAX(0,H444-AK444)*((1+INDEX('Facilities'!$K$9:$K$108,MATCH(C444,'Facilities'!$C$9:$C$108,0)))^MIN(1,MAX(0,AC444+INDEX('Facilities'!$AK$9:$AK$108,MATCH(C444,'Facilities'!$C$9:$C$108,0))-D444+1))-1),0))))</x:f>
        <x:v>0</x:v>
      </x:c>
      <x:c r="AH444" s="21" t="n">
        <x:f>IF(C444="","",IF(AQ444&lt;&gt;"Ready","Unavailable",IF(C444="","",O444+P444)))</x:f>
        <x:v>7.31006078424</x:v>
      </x:c>
      <x:c r="AI444" s="21" t="n">
        <x:f>IF(C444="","",IF(AQ444&lt;&gt;"Ready","Unavailable",IF(C444="","",Z444-Y444)))</x:f>
        <x:v>1.3705862508670204</x:v>
      </x:c>
      <x:c r="AJ444" s="23" t="n">
        <x:f>IF(C444="","",IFERROR(MAX(0,INDEX('Facilities'!$J$9:$J$108,MATCH(C444,'Facilities'!$C$9:$C$108,0))-D444),"Unavailable"))</x:f>
        <x:v>3</x:v>
      </x:c>
      <x:c r="AK444" s="21" t="n">
        <x:f>IF(C444="","",IFERROR(AL344,"Unavailable"))</x:f>
        <x:v>0</x:v>
      </x:c>
      <x:c r="AL444" s="23" t="n">
        <x:f>IF(C444="","",IFERROR(IF(P444&gt;0,P444*(1-AM444/(1+INDEX('Facilities'!$K$9:$K$108,MATCH(C444,'Facilities'!$C$9:$C$108,0)))^MAX(0,AC444+INDEX('Facilities'!$AK$9:$AK$108,MATCH(C444,'Facilities'!$C$9:$C$108,0))-D444)),0),"Unavailable"))</x:f>
        <x:v>0</x:v>
      </x:c>
      <x:c r="AM444" s="30" t="n">
        <x:f>IF(C444="","",IFERROR(INDEX('Facilities'!$AL$9:$AL$108,MATCH(C444,'Facilities'!$C$9:$C$108,0)),"Unavailable"))</x:f>
        <x:v>0.55</x:v>
      </x:c>
      <x:c r="AN444" s="30" t="n">
        <x:f>IF(C444="","",IFERROR(INDEX(Credit!$T$409:$T$508,MATCH(F444,Credit!$C$409:$C$508,0)),"Unavailable"))</x:f>
        <x:v>0.011648</x:v>
      </x:c>
      <x:c r="AO444" s="23" t="n">
        <x:f>IF(C444="","",IF(AQ444&lt;&gt;"Ready","Unavailable",IF(C444="","",O444+P444+Q444*INDEX('Facilities'!$I$9:$I$108,MATCH(C444,'Facilities'!$C$9:$C$108,0)))))</x:f>
        <x:v>7.78644540924</x:v>
      </x:c>
      <x:c r="AP444" s="21" t="n">
        <x:f>IF(C444="","",IF(AQ444&lt;&gt;"Ready","Unavailable",IF(C444="","",AH444-U444)))</x:f>
        <x:v>7.042048094158977</x:v>
      </x:c>
      <x:c r="AQ444" s="23" t="str">
        <x:f>IFERROR(IF(C444="","",IF(AND(INDEX('Facilities'!$AF$9:$AF$108,MATCH(C444,'Facilities'!$C$9:$C$108,0))="Ready",INDEX(Credit!$U$409:$U$508,MATCH(F444,Credit!$C$409:$C$508,0))="Ready",ISNUMBER(W444)),"Ready","Review inputs")),"Review inputs")</x:f>
        <x:v>Ready</x:v>
      </x:c>
      <x:c r="AR444" s="23" t="n">
        <x:f>IF(C444="","",IF(AQ444&lt;&gt;"Ready","Unavailable",IF(C444="","",IF(O444=0,0,(IF(AJ444&lt;=1,O444,O444*INDEX('Facilities'!$R$9:$R$108,MATCH(C444,'Facilities'!$C$9:$C$108,0)))+O444*INDEX('Facilities'!$T$9:$T$108,MATCH(C444,'Facilities'!$C$9:$C$108,0)))/12))))</x:f>
        <x:v>0.1309719223843</x:v>
      </x:c>
    </x:row>
    <x:row r="445" ht="26" customHeight="1">
      <x:c r="A445" s="1"/>
      <x:c r="B445" s="1"/>
      <x:c r="C445" s="9" t="str">
        <x:f>IF(Facilities!C45="","",Facilities!C45)</x:f>
      </x:c>
      <x:c r="D445" s="3" t="n">
        <x:v>5</x:v>
      </x:c>
      <x:c r="E445" s="9" t="n">
        <x:f>Settings!$F$18+4</x:f>
        <x:v>2031</x:v>
      </x:c>
      <x:c r="F445" s="9" t="str">
        <x:f>IF(C445="","",IFERROR(INDEX('Facilities'!$D$9:$D$108,MATCH(C445,'Facilities'!$C$9:$C$108,0)),"Unavailable"))</x:f>
      </x:c>
      <x:c r="G445" s="21" t="str">
        <x:f>IF(C445="","",IFERROR(O345,"Unavailable"))</x:f>
      </x:c>
      <x:c r="H445" s="21" t="str">
        <x:f>IF(C445="","",IFERROR(P345,"Unavailable"))</x:f>
      </x:c>
      <x:c r="I445" s="21" t="str">
        <x:f>IF(C445="","",IFERROR(Q345,"Unavailable"))</x:f>
      </x:c>
      <x:c r="J445" s="23" t="str">
        <x:f>IF(C445="","",IFERROR(IF(OR(H445&gt;0,AND(AC445&gt;=0,AC445&lt;D445),D445&gt;INDEX('Facilities'!$J$9:$J$108,MATCH(C445,'Facilities'!$C$9:$C$108,0))),0,I445*'Scenario Paths'!J81),"Unavailable"))</x:f>
      </x:c>
      <x:c r="K445" s="23" t="str">
        <x:f>IF(C445="","",IFERROR(IF(OR(H445&gt;0,AND(AC445&gt;=0,AC445=D445)),0,IF(D445&gt;=INDEX('Facilities'!$J$9:$J$108,MATCH(C445,'Facilities'!$C$9:$C$108,0)),G445+J445,MIN(G445+J445,G445*INDEX('Facilities'!$R$9:$R$108,MATCH(C445,'Facilities'!$C$9:$C$108,0))))),"Unavailable"))</x:f>
      </x:c>
      <x:c r="L445" s="21" t="str">
        <x:f>IF(C445="","",IFERROR(IF(AND(AC445=D445,AC445&gt;0),MAX(0,G445+J445-K445),0),"Unavailable"))</x:f>
      </x:c>
      <x:c r="M445" s="23" t="str">
        <x:f>IF(C445="","",IFERROR(IF(AND(AC445&gt;=0,D445&gt;=AC445+INDEX('Facilities'!$AK$9:$AK$108,MATCH(C445,'Facilities'!$C$9:$C$108,0))),(H445+L445)*AM445,0),"Unavailable"))</x:f>
      </x:c>
      <x:c r="N445" s="23" t="str">
        <x:f>IF(C445="","",IFERROR(IF(AND(AC445&gt;=0,D445&gt;=AC445+INDEX('Facilities'!$AK$9:$AK$108,MATCH(C445,'Facilities'!$C$9:$C$108,0))),H445+L445-M445,0),"Unavailable"))</x:f>
      </x:c>
      <x:c r="O445" s="21" t="str">
        <x:f>IF(C445="","",IFERROR(MAX(0,G445+J445-K445-L445),"Unavailable"))</x:f>
      </x:c>
      <x:c r="P445" s="21" t="str">
        <x:f>IF(C445="","",IFERROR(MAX(0,H445+L445-M445-N445),"Unavailable"))</x:f>
      </x:c>
      <x:c r="Q445" s="23" t="str">
        <x:f>IF(C445="","",IFERROR(IF(OR(D445&gt;=INDEX('Facilities'!$J$9:$J$108,MATCH(C445,'Facilities'!$C$9:$C$108,0)),AND(AC445&gt;=0,AC445&lt;=D445)),0,MAX(0,I445-J445)),"Unavailable"))</x:f>
      </x:c>
      <x:c r="R445" s="30" t="str">
        <x:f>IF(C445="","",IFERROR(INDEX(Credit!$Q$409:$Q$508,MATCH(F445,Credit!$C$409:$C$508,0)),"Unavailable"))</x:f>
      </x:c>
      <x:c r="S445" s="30" t="str">
        <x:f>IF(C445="","",IFERROR(INDEX(Credit!$R$409:$R$508,MATCH(F445,Credit!$C$409:$C$508,0)),"Unavailable"))</x:f>
      </x:c>
      <x:c r="T445" s="23" t="str">
        <x:f>IF(C445="","",IFERROR(IF(P445&gt;0,3,IF(OR(INDEX('Facilities'!$AD$9:$AD$108,MATCH(C445,'Facilities'!$C$9:$C$108,0))=2,AND(R445&gt;=INDEX('Facilities'!$L$9:$L$108,MATCH(C445,'Facilities'!$C$9:$C$108,0))*Settings!$F$19,R445-INDEX('Facilities'!$L$9:$L$108,MATCH(C445,'Facilities'!$C$9:$C$108,0))&gt;=Settings!$F$20)),2,1)),"Unavailable"))</x:f>
      </x:c>
      <x:c r="U445" s="23" t="str">
        <x:f>IF(C445="","",IF(AQ445&lt;&gt;"Ready","Unavailable",IF(C445="","",O445*(1-(1-S445)/(1+INDEX('Facilities'!$K$9:$K$108,MATCH(C445,'Facilities'!$C$9:$C$108,0)))^INDEX('Facilities'!$AK$9:$AK$108,MATCH(C445,'Facilities'!$C$9:$C$108,0)))*R445/(1+INDEX('Facilities'!$K$9:$K$108,MATCH(C445,'Facilities'!$C$9:$C$108,0)))*IF(ABS(1-(1-R445)*(1-INDEX('Facilities'!$R$9:$R$108,MATCH(C445,'Facilities'!$C$9:$C$108,0)))/(1+INDEX('Facilities'!$K$9:$K$108,MATCH(C445,'Facilities'!$C$9:$C$108,0))))&lt;0.000000001,IF(T445=1,MIN(1,AJ445),AJ445),(1-((1-R445)*(1-INDEX('Facilities'!$R$9:$R$108,MATCH(C445,'Facilities'!$C$9:$C$108,0)))/(1+INDEX('Facilities'!$K$9:$K$108,MATCH(C445,'Facilities'!$C$9:$C$108,0))))^IF(T445=1,MIN(1,AJ445),AJ445))/(1-(1-R445)*(1-INDEX('Facilities'!$R$9:$R$108,MATCH(C445,'Facilities'!$C$9:$C$108,0)))/(1+INDEX('Facilities'!$K$9:$K$108,MATCH(C445,'Facilities'!$C$9:$C$108,0)))))+AL445)))</x:f>
      </x:c>
      <x:c r="V445" s="23" t="str">
        <x:f>IF(C445="","",IF(AQ445&lt;&gt;"Ready","Unavailable",IF(C445="","",Q445*INDEX('Facilities'!$I$9:$I$108,MATCH(C445,'Facilities'!$C$9:$C$108,0))*(1-(1-S445)/(1+INDEX('Facilities'!$K$9:$K$108,MATCH(C445,'Facilities'!$C$9:$C$108,0)))^INDEX('Facilities'!$AK$9:$AK$108,MATCH(C445,'Facilities'!$C$9:$C$108,0)))*R445/(1+INDEX('Facilities'!$K$9:$K$108,MATCH(C445,'Facilities'!$C$9:$C$108,0)))*IF(ABS(1-(1-R445)*(1-0)/(1+INDEX('Facilities'!$K$9:$K$108,MATCH(C445,'Facilities'!$C$9:$C$108,0))))&lt;0.000000001,IF(T445=1,MIN(1,AJ445),AJ445),(1-((1-R445)*(1-0)/(1+INDEX('Facilities'!$K$9:$K$108,MATCH(C445,'Facilities'!$C$9:$C$108,0))))^IF(T445=1,MIN(1,AJ445),AJ445))/(1-(1-R445)*(1-0)/(1+INDEX('Facilities'!$K$9:$K$108,MATCH(C445,'Facilities'!$C$9:$C$108,0))))))))</x:f>
      </x:c>
      <x:c r="W445" s="21" t="str">
        <x:f>IF(C445="","",IFERROR(U345,"Unavailable"))</x:f>
      </x:c>
      <x:c r="X445" s="21" t="str">
        <x:f>IF(C445="","",IFERROR(V345,"Unavailable"))</x:f>
      </x:c>
      <x:c r="Y445" s="21" t="str">
        <x:f>IF(C445="","",IF(AQ445&lt;&gt;"Ready","Unavailable",IF(C445="","",U445-W445+V445-X445+N445+AG445)))</x:f>
      </x:c>
      <x:c r="Z445" s="23" t="str">
        <x:f>IF(C445="","",IF(AQ445&lt;&gt;"Ready","Unavailable",IF(C445="","",(G445+O445+L445)/2*INDEX('Facilities'!$T$9:$T$108,MATCH(C445,'Facilities'!$C$9:$C$108,0))+AG445)))</x:f>
      </x:c>
      <x:c r="AA445" s="23" t="str">
        <x:f>IF(C445="","",IF(AQ445&lt;&gt;"Ready","Unavailable",IF(C445="","",O445*(1-IF(INDEX('Facilities'!$AA$9:$AA$108,MATCH(C445,'Facilities'!$C$9:$C$108,0))=0,0,MIN(1,INDEX('Facilities'!$X$9:$X$108,MATCH(C445,'Facilities'!$C$9:$C$108,0))/INDEX('Facilities'!$AA$9:$AA$108,MATCH(C445,'Facilities'!$C$9:$C$108,0)))))*AF445+P445*(1-IF(INDEX('Facilities'!$AA$9:$AA$108,MATCH(C445,'Facilities'!$C$9:$C$108,0))=0,0,MIN(1,INDEX('Facilities'!$X$9:$X$108,MATCH(C445,'Facilities'!$C$9:$C$108,0))/INDEX('Facilities'!$AA$9:$AA$108,MATCH(C445,'Facilities'!$C$9:$C$108,0)))))*INDEX('Facilities'!$AJ$9:$AJ$108,MATCH(C445,'Facilities'!$C$9:$C$108,0))+Q445*INDEX('Facilities'!$AI$9:$AI$108,MATCH(C445,'Facilities'!$C$9:$C$108,0))*AF445)))</x:f>
      </x:c>
      <x:c r="AB445" s="21" t="str">
        <x:f>IF(C445="","",O445+P445-AD445)</x:f>
      </x:c>
      <x:c r="AC445" s="23" t="str">
        <x:f>IF(C445="","",IFERROR(IF(INDEX('Facilities'!$AD$9:$AD$108,MATCH(C445,'Facilities'!$C$9:$C$108,0))=3,0,IF(INDEX('Facilities'!$AN$9:$AN$108,MATCH(C445,'Facilities'!$C$9:$C$108,0))=0,-1,INDEX('Facilities'!$AN$9:$AN$108,MATCH(C445,'Facilities'!$C$9:$C$108,0)))),"Unavailable"))</x:f>
      </x:c>
      <x:c r="AD445" s="21" t="str">
        <x:f>IF(C445="","",IFERROR(G445+H445,"Unavailable"))</x:f>
      </x:c>
      <x:c r="AE445" s="21" t="str">
        <x:f>IF(C445="","",IF(AQ445&lt;&gt;"Ready","Unavailable",IF(C445="","",O445+P445-AD445-J445+K445+M445+N445)))</x:f>
      </x:c>
      <x:c r="AF445" s="30" t="str">
        <x:f>IF(C445="","",IFERROR(INDEX('Facilities'!$S$9:$S$108,MATCH(C445,'Facilities'!$C$9:$C$108,0))*'Scenario Paths'!J75,"Unavailable"))</x:f>
      </x:c>
      <x:c r="AG445" s="23" t="str">
        <x:f>IF(C445="","",IF(AQ445&lt;&gt;"Ready","Unavailable",IF(C445="","",IF(H445&gt;0,MAX(0,H445-AK445)*((1+INDEX('Facilities'!$K$9:$K$108,MATCH(C445,'Facilities'!$C$9:$C$108,0)))^MIN(1,MAX(0,AC445+INDEX('Facilities'!$AK$9:$AK$108,MATCH(C445,'Facilities'!$C$9:$C$108,0))-D445+1))-1),0))))</x:f>
      </x:c>
      <x:c r="AH445" s="21" t="str">
        <x:f>IF(C445="","",IF(AQ445&lt;&gt;"Ready","Unavailable",IF(C445="","",O445+P445)))</x:f>
      </x:c>
      <x:c r="AI445" s="21" t="str">
        <x:f>IF(C445="","",IF(AQ445&lt;&gt;"Ready","Unavailable",IF(C445="","",Z445-Y445)))</x:f>
      </x:c>
      <x:c r="AJ445" s="23" t="str">
        <x:f>IF(C445="","",IFERROR(MAX(0,INDEX('Facilities'!$J$9:$J$108,MATCH(C445,'Facilities'!$C$9:$C$108,0))-D445),"Unavailable"))</x:f>
      </x:c>
      <x:c r="AK445" s="21" t="str">
        <x:f>IF(C445="","",IFERROR(AL345,"Unavailable"))</x:f>
      </x:c>
      <x:c r="AL445" s="23" t="str">
        <x:f>IF(C445="","",IFERROR(IF(P445&gt;0,P445*(1-AM445/(1+INDEX('Facilities'!$K$9:$K$108,MATCH(C445,'Facilities'!$C$9:$C$108,0)))^MAX(0,AC445+INDEX('Facilities'!$AK$9:$AK$108,MATCH(C445,'Facilities'!$C$9:$C$108,0))-D445)),0),"Unavailable"))</x:f>
      </x:c>
      <x:c r="AM445" s="30" t="str">
        <x:f>IF(C445="","",IFERROR(INDEX('Facilities'!$AL$9:$AL$108,MATCH(C445,'Facilities'!$C$9:$C$108,0)),"Unavailable"))</x:f>
      </x:c>
      <x:c r="AN445" s="30" t="str">
        <x:f>IF(C445="","",IFERROR(INDEX(Credit!$T$409:$T$508,MATCH(F445,Credit!$C$409:$C$508,0)),"Unavailable"))</x:f>
      </x:c>
      <x:c r="AO445" s="23" t="str">
        <x:f>IF(C445="","",IF(AQ445&lt;&gt;"Ready","Unavailable",IF(C445="","",O445+P445+Q445*INDEX('Facilities'!$I$9:$I$108,MATCH(C445,'Facilities'!$C$9:$C$108,0)))))</x:f>
      </x:c>
      <x:c r="AP445" s="21" t="str">
        <x:f>IF(C445="","",IF(AQ445&lt;&gt;"Ready","Unavailable",IF(C445="","",AH445-U445)))</x:f>
      </x:c>
      <x:c r="AQ445" s="23" t="str">
        <x:f>IFERROR(IF(C445="","",IF(AND(INDEX('Facilities'!$AF$9:$AF$108,MATCH(C445,'Facilities'!$C$9:$C$108,0))="Ready",INDEX(Credit!$U$409:$U$508,MATCH(F445,Credit!$C$409:$C$508,0))="Ready",ISNUMBER(W445)),"Ready","Review inputs")),"Review inputs")</x:f>
      </x:c>
      <x:c r="AR445" s="23" t="str">
        <x:f>IF(C445="","",IF(AQ445&lt;&gt;"Ready","Unavailable",IF(C445="","",IF(O445=0,0,(IF(AJ445&lt;=1,O445,O445*INDEX('Facilities'!$R$9:$R$108,MATCH(C445,'Facilities'!$C$9:$C$108,0)))+O445*INDEX('Facilities'!$T$9:$T$108,MATCH(C445,'Facilities'!$C$9:$C$108,0)))/12))))</x:f>
      </x:c>
    </x:row>
    <x:row r="446" ht="26" customHeight="1">
      <x:c r="A446" s="1"/>
      <x:c r="B446" s="1"/>
      <x:c r="C446" s="9" t="str">
        <x:f>IF(Facilities!C46="","",Facilities!C46)</x:f>
      </x:c>
      <x:c r="D446" s="3" t="n">
        <x:v>5</x:v>
      </x:c>
      <x:c r="E446" s="9" t="n">
        <x:f>Settings!$F$18+4</x:f>
        <x:v>2031</x:v>
      </x:c>
      <x:c r="F446" s="9" t="str">
        <x:f>IF(C446="","",IFERROR(INDEX('Facilities'!$D$9:$D$108,MATCH(C446,'Facilities'!$C$9:$C$108,0)),"Unavailable"))</x:f>
      </x:c>
      <x:c r="G446" s="21" t="str">
        <x:f>IF(C446="","",IFERROR(O346,"Unavailable"))</x:f>
      </x:c>
      <x:c r="H446" s="21" t="str">
        <x:f>IF(C446="","",IFERROR(P346,"Unavailable"))</x:f>
      </x:c>
      <x:c r="I446" s="21" t="str">
        <x:f>IF(C446="","",IFERROR(Q346,"Unavailable"))</x:f>
      </x:c>
      <x:c r="J446" s="23" t="str">
        <x:f>IF(C446="","",IFERROR(IF(OR(H446&gt;0,AND(AC446&gt;=0,AC446&lt;D446),D446&gt;INDEX('Facilities'!$J$9:$J$108,MATCH(C446,'Facilities'!$C$9:$C$108,0))),0,I446*'Scenario Paths'!J81),"Unavailable"))</x:f>
      </x:c>
      <x:c r="K446" s="23" t="str">
        <x:f>IF(C446="","",IFERROR(IF(OR(H446&gt;0,AND(AC446&gt;=0,AC446=D446)),0,IF(D446&gt;=INDEX('Facilities'!$J$9:$J$108,MATCH(C446,'Facilities'!$C$9:$C$108,0)),G446+J446,MIN(G446+J446,G446*INDEX('Facilities'!$R$9:$R$108,MATCH(C446,'Facilities'!$C$9:$C$108,0))))),"Unavailable"))</x:f>
      </x:c>
      <x:c r="L446" s="21" t="str">
        <x:f>IF(C446="","",IFERROR(IF(AND(AC446=D446,AC446&gt;0),MAX(0,G446+J446-K446),0),"Unavailable"))</x:f>
      </x:c>
      <x:c r="M446" s="23" t="str">
        <x:f>IF(C446="","",IFERROR(IF(AND(AC446&gt;=0,D446&gt;=AC446+INDEX('Facilities'!$AK$9:$AK$108,MATCH(C446,'Facilities'!$C$9:$C$108,0))),(H446+L446)*AM446,0),"Unavailable"))</x:f>
      </x:c>
      <x:c r="N446" s="23" t="str">
        <x:f>IF(C446="","",IFERROR(IF(AND(AC446&gt;=0,D446&gt;=AC446+INDEX('Facilities'!$AK$9:$AK$108,MATCH(C446,'Facilities'!$C$9:$C$108,0))),H446+L446-M446,0),"Unavailable"))</x:f>
      </x:c>
      <x:c r="O446" s="21" t="str">
        <x:f>IF(C446="","",IFERROR(MAX(0,G446+J446-K446-L446),"Unavailable"))</x:f>
      </x:c>
      <x:c r="P446" s="21" t="str">
        <x:f>IF(C446="","",IFERROR(MAX(0,H446+L446-M446-N446),"Unavailable"))</x:f>
      </x:c>
      <x:c r="Q446" s="23" t="str">
        <x:f>IF(C446="","",IFERROR(IF(OR(D446&gt;=INDEX('Facilities'!$J$9:$J$108,MATCH(C446,'Facilities'!$C$9:$C$108,0)),AND(AC446&gt;=0,AC446&lt;=D446)),0,MAX(0,I446-J446)),"Unavailable"))</x:f>
      </x:c>
      <x:c r="R446" s="30" t="str">
        <x:f>IF(C446="","",IFERROR(INDEX(Credit!$Q$409:$Q$508,MATCH(F446,Credit!$C$409:$C$508,0)),"Unavailable"))</x:f>
      </x:c>
      <x:c r="S446" s="30" t="str">
        <x:f>IF(C446="","",IFERROR(INDEX(Credit!$R$409:$R$508,MATCH(F446,Credit!$C$409:$C$508,0)),"Unavailable"))</x:f>
      </x:c>
      <x:c r="T446" s="23" t="str">
        <x:f>IF(C446="","",IFERROR(IF(P446&gt;0,3,IF(OR(INDEX('Facilities'!$AD$9:$AD$108,MATCH(C446,'Facilities'!$C$9:$C$108,0))=2,AND(R446&gt;=INDEX('Facilities'!$L$9:$L$108,MATCH(C446,'Facilities'!$C$9:$C$108,0))*Settings!$F$19,R446-INDEX('Facilities'!$L$9:$L$108,MATCH(C446,'Facilities'!$C$9:$C$108,0))&gt;=Settings!$F$20)),2,1)),"Unavailable"))</x:f>
      </x:c>
      <x:c r="U446" s="23" t="str">
        <x:f>IF(C446="","",IF(AQ446&lt;&gt;"Ready","Unavailable",IF(C446="","",O446*(1-(1-S446)/(1+INDEX('Facilities'!$K$9:$K$108,MATCH(C446,'Facilities'!$C$9:$C$108,0)))^INDEX('Facilities'!$AK$9:$AK$108,MATCH(C446,'Facilities'!$C$9:$C$108,0)))*R446/(1+INDEX('Facilities'!$K$9:$K$108,MATCH(C446,'Facilities'!$C$9:$C$108,0)))*IF(ABS(1-(1-R446)*(1-INDEX('Facilities'!$R$9:$R$108,MATCH(C446,'Facilities'!$C$9:$C$108,0)))/(1+INDEX('Facilities'!$K$9:$K$108,MATCH(C446,'Facilities'!$C$9:$C$108,0))))&lt;0.000000001,IF(T446=1,MIN(1,AJ446),AJ446),(1-((1-R446)*(1-INDEX('Facilities'!$R$9:$R$108,MATCH(C446,'Facilities'!$C$9:$C$108,0)))/(1+INDEX('Facilities'!$K$9:$K$108,MATCH(C446,'Facilities'!$C$9:$C$108,0))))^IF(T446=1,MIN(1,AJ446),AJ446))/(1-(1-R446)*(1-INDEX('Facilities'!$R$9:$R$108,MATCH(C446,'Facilities'!$C$9:$C$108,0)))/(1+INDEX('Facilities'!$K$9:$K$108,MATCH(C446,'Facilities'!$C$9:$C$108,0)))))+AL446)))</x:f>
      </x:c>
      <x:c r="V446" s="23" t="str">
        <x:f>IF(C446="","",IF(AQ446&lt;&gt;"Ready","Unavailable",IF(C446="","",Q446*INDEX('Facilities'!$I$9:$I$108,MATCH(C446,'Facilities'!$C$9:$C$108,0))*(1-(1-S446)/(1+INDEX('Facilities'!$K$9:$K$108,MATCH(C446,'Facilities'!$C$9:$C$108,0)))^INDEX('Facilities'!$AK$9:$AK$108,MATCH(C446,'Facilities'!$C$9:$C$108,0)))*R446/(1+INDEX('Facilities'!$K$9:$K$108,MATCH(C446,'Facilities'!$C$9:$C$108,0)))*IF(ABS(1-(1-R446)*(1-0)/(1+INDEX('Facilities'!$K$9:$K$108,MATCH(C446,'Facilities'!$C$9:$C$108,0))))&lt;0.000000001,IF(T446=1,MIN(1,AJ446),AJ446),(1-((1-R446)*(1-0)/(1+INDEX('Facilities'!$K$9:$K$108,MATCH(C446,'Facilities'!$C$9:$C$108,0))))^IF(T446=1,MIN(1,AJ446),AJ446))/(1-(1-R446)*(1-0)/(1+INDEX('Facilities'!$K$9:$K$108,MATCH(C446,'Facilities'!$C$9:$C$108,0))))))))</x:f>
      </x:c>
      <x:c r="W446" s="21" t="str">
        <x:f>IF(C446="","",IFERROR(U346,"Unavailable"))</x:f>
      </x:c>
      <x:c r="X446" s="21" t="str">
        <x:f>IF(C446="","",IFERROR(V346,"Unavailable"))</x:f>
      </x:c>
      <x:c r="Y446" s="21" t="str">
        <x:f>IF(C446="","",IF(AQ446&lt;&gt;"Ready","Unavailable",IF(C446="","",U446-W446+V446-X446+N446+AG446)))</x:f>
      </x:c>
      <x:c r="Z446" s="23" t="str">
        <x:f>IF(C446="","",IF(AQ446&lt;&gt;"Ready","Unavailable",IF(C446="","",(G446+O446+L446)/2*INDEX('Facilities'!$T$9:$T$108,MATCH(C446,'Facilities'!$C$9:$C$108,0))+AG446)))</x:f>
      </x:c>
      <x:c r="AA446" s="23" t="str">
        <x:f>IF(C446="","",IF(AQ446&lt;&gt;"Ready","Unavailable",IF(C446="","",O446*(1-IF(INDEX('Facilities'!$AA$9:$AA$108,MATCH(C446,'Facilities'!$C$9:$C$108,0))=0,0,MIN(1,INDEX('Facilities'!$X$9:$X$108,MATCH(C446,'Facilities'!$C$9:$C$108,0))/INDEX('Facilities'!$AA$9:$AA$108,MATCH(C446,'Facilities'!$C$9:$C$108,0)))))*AF446+P446*(1-IF(INDEX('Facilities'!$AA$9:$AA$108,MATCH(C446,'Facilities'!$C$9:$C$108,0))=0,0,MIN(1,INDEX('Facilities'!$X$9:$X$108,MATCH(C446,'Facilities'!$C$9:$C$108,0))/INDEX('Facilities'!$AA$9:$AA$108,MATCH(C446,'Facilities'!$C$9:$C$108,0)))))*INDEX('Facilities'!$AJ$9:$AJ$108,MATCH(C446,'Facilities'!$C$9:$C$108,0))+Q446*INDEX('Facilities'!$AI$9:$AI$108,MATCH(C446,'Facilities'!$C$9:$C$108,0))*AF446)))</x:f>
      </x:c>
      <x:c r="AB446" s="21" t="str">
        <x:f>IF(C446="","",O446+P446-AD446)</x:f>
      </x:c>
      <x:c r="AC446" s="23" t="str">
        <x:f>IF(C446="","",IFERROR(IF(INDEX('Facilities'!$AD$9:$AD$108,MATCH(C446,'Facilities'!$C$9:$C$108,0))=3,0,IF(INDEX('Facilities'!$AN$9:$AN$108,MATCH(C446,'Facilities'!$C$9:$C$108,0))=0,-1,INDEX('Facilities'!$AN$9:$AN$108,MATCH(C446,'Facilities'!$C$9:$C$108,0)))),"Unavailable"))</x:f>
      </x:c>
      <x:c r="AD446" s="21" t="str">
        <x:f>IF(C446="","",IFERROR(G446+H446,"Unavailable"))</x:f>
      </x:c>
      <x:c r="AE446" s="21" t="str">
        <x:f>IF(C446="","",IF(AQ446&lt;&gt;"Ready","Unavailable",IF(C446="","",O446+P446-AD446-J446+K446+M446+N446)))</x:f>
      </x:c>
      <x:c r="AF446" s="30" t="str">
        <x:f>IF(C446="","",IFERROR(INDEX('Facilities'!$S$9:$S$108,MATCH(C446,'Facilities'!$C$9:$C$108,0))*'Scenario Paths'!J75,"Unavailable"))</x:f>
      </x:c>
      <x:c r="AG446" s="23" t="str">
        <x:f>IF(C446="","",IF(AQ446&lt;&gt;"Ready","Unavailable",IF(C446="","",IF(H446&gt;0,MAX(0,H446-AK446)*((1+INDEX('Facilities'!$K$9:$K$108,MATCH(C446,'Facilities'!$C$9:$C$108,0)))^MIN(1,MAX(0,AC446+INDEX('Facilities'!$AK$9:$AK$108,MATCH(C446,'Facilities'!$C$9:$C$108,0))-D446+1))-1),0))))</x:f>
      </x:c>
      <x:c r="AH446" s="21" t="str">
        <x:f>IF(C446="","",IF(AQ446&lt;&gt;"Ready","Unavailable",IF(C446="","",O446+P446)))</x:f>
      </x:c>
      <x:c r="AI446" s="21" t="str">
        <x:f>IF(C446="","",IF(AQ446&lt;&gt;"Ready","Unavailable",IF(C446="","",Z446-Y446)))</x:f>
      </x:c>
      <x:c r="AJ446" s="23" t="str">
        <x:f>IF(C446="","",IFERROR(MAX(0,INDEX('Facilities'!$J$9:$J$108,MATCH(C446,'Facilities'!$C$9:$C$108,0))-D446),"Unavailable"))</x:f>
      </x:c>
      <x:c r="AK446" s="21" t="str">
        <x:f>IF(C446="","",IFERROR(AL346,"Unavailable"))</x:f>
      </x:c>
      <x:c r="AL446" s="23" t="str">
        <x:f>IF(C446="","",IFERROR(IF(P446&gt;0,P446*(1-AM446/(1+INDEX('Facilities'!$K$9:$K$108,MATCH(C446,'Facilities'!$C$9:$C$108,0)))^MAX(0,AC446+INDEX('Facilities'!$AK$9:$AK$108,MATCH(C446,'Facilities'!$C$9:$C$108,0))-D446)),0),"Unavailable"))</x:f>
      </x:c>
      <x:c r="AM446" s="30" t="str">
        <x:f>IF(C446="","",IFERROR(INDEX('Facilities'!$AL$9:$AL$108,MATCH(C446,'Facilities'!$C$9:$C$108,0)),"Unavailable"))</x:f>
      </x:c>
      <x:c r="AN446" s="30" t="str">
        <x:f>IF(C446="","",IFERROR(INDEX(Credit!$T$409:$T$508,MATCH(F446,Credit!$C$409:$C$508,0)),"Unavailable"))</x:f>
      </x:c>
      <x:c r="AO446" s="23" t="str">
        <x:f>IF(C446="","",IF(AQ446&lt;&gt;"Ready","Unavailable",IF(C446="","",O446+P446+Q446*INDEX('Facilities'!$I$9:$I$108,MATCH(C446,'Facilities'!$C$9:$C$108,0)))))</x:f>
      </x:c>
      <x:c r="AP446" s="21" t="str">
        <x:f>IF(C446="","",IF(AQ446&lt;&gt;"Ready","Unavailable",IF(C446="","",AH446-U446)))</x:f>
      </x:c>
      <x:c r="AQ446" s="23" t="str">
        <x:f>IFERROR(IF(C446="","",IF(AND(INDEX('Facilities'!$AF$9:$AF$108,MATCH(C446,'Facilities'!$C$9:$C$108,0))="Ready",INDEX(Credit!$U$409:$U$508,MATCH(F446,Credit!$C$409:$C$508,0))="Ready",ISNUMBER(W446)),"Ready","Review inputs")),"Review inputs")</x:f>
      </x:c>
      <x:c r="AR446" s="23" t="str">
        <x:f>IF(C446="","",IF(AQ446&lt;&gt;"Ready","Unavailable",IF(C446="","",IF(O446=0,0,(IF(AJ446&lt;=1,O446,O446*INDEX('Facilities'!$R$9:$R$108,MATCH(C446,'Facilities'!$C$9:$C$108,0)))+O446*INDEX('Facilities'!$T$9:$T$108,MATCH(C446,'Facilities'!$C$9:$C$108,0)))/12))))</x:f>
      </x:c>
    </x:row>
    <x:row r="447" ht="26" customHeight="1">
      <x:c r="A447" s="1"/>
      <x:c r="B447" s="1"/>
      <x:c r="C447" s="9" t="str">
        <x:f>IF(Facilities!C47="","",Facilities!C47)</x:f>
      </x:c>
      <x:c r="D447" s="3" t="n">
        <x:v>5</x:v>
      </x:c>
      <x:c r="E447" s="9" t="n">
        <x:f>Settings!$F$18+4</x:f>
        <x:v>2031</x:v>
      </x:c>
      <x:c r="F447" s="9" t="str">
        <x:f>IF(C447="","",IFERROR(INDEX('Facilities'!$D$9:$D$108,MATCH(C447,'Facilities'!$C$9:$C$108,0)),"Unavailable"))</x:f>
      </x:c>
      <x:c r="G447" s="21" t="str">
        <x:f>IF(C447="","",IFERROR(O347,"Unavailable"))</x:f>
      </x:c>
      <x:c r="H447" s="21" t="str">
        <x:f>IF(C447="","",IFERROR(P347,"Unavailable"))</x:f>
      </x:c>
      <x:c r="I447" s="21" t="str">
        <x:f>IF(C447="","",IFERROR(Q347,"Unavailable"))</x:f>
      </x:c>
      <x:c r="J447" s="23" t="str">
        <x:f>IF(C447="","",IFERROR(IF(OR(H447&gt;0,AND(AC447&gt;=0,AC447&lt;D447),D447&gt;INDEX('Facilities'!$J$9:$J$108,MATCH(C447,'Facilities'!$C$9:$C$108,0))),0,I447*'Scenario Paths'!J81),"Unavailable"))</x:f>
      </x:c>
      <x:c r="K447" s="23" t="str">
        <x:f>IF(C447="","",IFERROR(IF(OR(H447&gt;0,AND(AC447&gt;=0,AC447=D447)),0,IF(D447&gt;=INDEX('Facilities'!$J$9:$J$108,MATCH(C447,'Facilities'!$C$9:$C$108,0)),G447+J447,MIN(G447+J447,G447*INDEX('Facilities'!$R$9:$R$108,MATCH(C447,'Facilities'!$C$9:$C$108,0))))),"Unavailable"))</x:f>
      </x:c>
      <x:c r="L447" s="21" t="str">
        <x:f>IF(C447="","",IFERROR(IF(AND(AC447=D447,AC447&gt;0),MAX(0,G447+J447-K447),0),"Unavailable"))</x:f>
      </x:c>
      <x:c r="M447" s="23" t="str">
        <x:f>IF(C447="","",IFERROR(IF(AND(AC447&gt;=0,D447&gt;=AC447+INDEX('Facilities'!$AK$9:$AK$108,MATCH(C447,'Facilities'!$C$9:$C$108,0))),(H447+L447)*AM447,0),"Unavailable"))</x:f>
      </x:c>
      <x:c r="N447" s="23" t="str">
        <x:f>IF(C447="","",IFERROR(IF(AND(AC447&gt;=0,D447&gt;=AC447+INDEX('Facilities'!$AK$9:$AK$108,MATCH(C447,'Facilities'!$C$9:$C$108,0))),H447+L447-M447,0),"Unavailable"))</x:f>
      </x:c>
      <x:c r="O447" s="21" t="str">
        <x:f>IF(C447="","",IFERROR(MAX(0,G447+J447-K447-L447),"Unavailable"))</x:f>
      </x:c>
      <x:c r="P447" s="21" t="str">
        <x:f>IF(C447="","",IFERROR(MAX(0,H447+L447-M447-N447),"Unavailable"))</x:f>
      </x:c>
      <x:c r="Q447" s="23" t="str">
        <x:f>IF(C447="","",IFERROR(IF(OR(D447&gt;=INDEX('Facilities'!$J$9:$J$108,MATCH(C447,'Facilities'!$C$9:$C$108,0)),AND(AC447&gt;=0,AC447&lt;=D447)),0,MAX(0,I447-J447)),"Unavailable"))</x:f>
      </x:c>
      <x:c r="R447" s="30" t="str">
        <x:f>IF(C447="","",IFERROR(INDEX(Credit!$Q$409:$Q$508,MATCH(F447,Credit!$C$409:$C$508,0)),"Unavailable"))</x:f>
      </x:c>
      <x:c r="S447" s="30" t="str">
        <x:f>IF(C447="","",IFERROR(INDEX(Credit!$R$409:$R$508,MATCH(F447,Credit!$C$409:$C$508,0)),"Unavailable"))</x:f>
      </x:c>
      <x:c r="T447" s="23" t="str">
        <x:f>IF(C447="","",IFERROR(IF(P447&gt;0,3,IF(OR(INDEX('Facilities'!$AD$9:$AD$108,MATCH(C447,'Facilities'!$C$9:$C$108,0))=2,AND(R447&gt;=INDEX('Facilities'!$L$9:$L$108,MATCH(C447,'Facilities'!$C$9:$C$108,0))*Settings!$F$19,R447-INDEX('Facilities'!$L$9:$L$108,MATCH(C447,'Facilities'!$C$9:$C$108,0))&gt;=Settings!$F$20)),2,1)),"Unavailable"))</x:f>
      </x:c>
      <x:c r="U447" s="23" t="str">
        <x:f>IF(C447="","",IF(AQ447&lt;&gt;"Ready","Unavailable",IF(C447="","",O447*(1-(1-S447)/(1+INDEX('Facilities'!$K$9:$K$108,MATCH(C447,'Facilities'!$C$9:$C$108,0)))^INDEX('Facilities'!$AK$9:$AK$108,MATCH(C447,'Facilities'!$C$9:$C$108,0)))*R447/(1+INDEX('Facilities'!$K$9:$K$108,MATCH(C447,'Facilities'!$C$9:$C$108,0)))*IF(ABS(1-(1-R447)*(1-INDEX('Facilities'!$R$9:$R$108,MATCH(C447,'Facilities'!$C$9:$C$108,0)))/(1+INDEX('Facilities'!$K$9:$K$108,MATCH(C447,'Facilities'!$C$9:$C$108,0))))&lt;0.000000001,IF(T447=1,MIN(1,AJ447),AJ447),(1-((1-R447)*(1-INDEX('Facilities'!$R$9:$R$108,MATCH(C447,'Facilities'!$C$9:$C$108,0)))/(1+INDEX('Facilities'!$K$9:$K$108,MATCH(C447,'Facilities'!$C$9:$C$108,0))))^IF(T447=1,MIN(1,AJ447),AJ447))/(1-(1-R447)*(1-INDEX('Facilities'!$R$9:$R$108,MATCH(C447,'Facilities'!$C$9:$C$108,0)))/(1+INDEX('Facilities'!$K$9:$K$108,MATCH(C447,'Facilities'!$C$9:$C$108,0)))))+AL447)))</x:f>
      </x:c>
      <x:c r="V447" s="23" t="str">
        <x:f>IF(C447="","",IF(AQ447&lt;&gt;"Ready","Unavailable",IF(C447="","",Q447*INDEX('Facilities'!$I$9:$I$108,MATCH(C447,'Facilities'!$C$9:$C$108,0))*(1-(1-S447)/(1+INDEX('Facilities'!$K$9:$K$108,MATCH(C447,'Facilities'!$C$9:$C$108,0)))^INDEX('Facilities'!$AK$9:$AK$108,MATCH(C447,'Facilities'!$C$9:$C$108,0)))*R447/(1+INDEX('Facilities'!$K$9:$K$108,MATCH(C447,'Facilities'!$C$9:$C$108,0)))*IF(ABS(1-(1-R447)*(1-0)/(1+INDEX('Facilities'!$K$9:$K$108,MATCH(C447,'Facilities'!$C$9:$C$108,0))))&lt;0.000000001,IF(T447=1,MIN(1,AJ447),AJ447),(1-((1-R447)*(1-0)/(1+INDEX('Facilities'!$K$9:$K$108,MATCH(C447,'Facilities'!$C$9:$C$108,0))))^IF(T447=1,MIN(1,AJ447),AJ447))/(1-(1-R447)*(1-0)/(1+INDEX('Facilities'!$K$9:$K$108,MATCH(C447,'Facilities'!$C$9:$C$108,0))))))))</x:f>
      </x:c>
      <x:c r="W447" s="21" t="str">
        <x:f>IF(C447="","",IFERROR(U347,"Unavailable"))</x:f>
      </x:c>
      <x:c r="X447" s="21" t="str">
        <x:f>IF(C447="","",IFERROR(V347,"Unavailable"))</x:f>
      </x:c>
      <x:c r="Y447" s="21" t="str">
        <x:f>IF(C447="","",IF(AQ447&lt;&gt;"Ready","Unavailable",IF(C447="","",U447-W447+V447-X447+N447+AG447)))</x:f>
      </x:c>
      <x:c r="Z447" s="23" t="str">
        <x:f>IF(C447="","",IF(AQ447&lt;&gt;"Ready","Unavailable",IF(C447="","",(G447+O447+L447)/2*INDEX('Facilities'!$T$9:$T$108,MATCH(C447,'Facilities'!$C$9:$C$108,0))+AG447)))</x:f>
      </x:c>
      <x:c r="AA447" s="23" t="str">
        <x:f>IF(C447="","",IF(AQ447&lt;&gt;"Ready","Unavailable",IF(C447="","",O447*(1-IF(INDEX('Facilities'!$AA$9:$AA$108,MATCH(C447,'Facilities'!$C$9:$C$108,0))=0,0,MIN(1,INDEX('Facilities'!$X$9:$X$108,MATCH(C447,'Facilities'!$C$9:$C$108,0))/INDEX('Facilities'!$AA$9:$AA$108,MATCH(C447,'Facilities'!$C$9:$C$108,0)))))*AF447+P447*(1-IF(INDEX('Facilities'!$AA$9:$AA$108,MATCH(C447,'Facilities'!$C$9:$C$108,0))=0,0,MIN(1,INDEX('Facilities'!$X$9:$X$108,MATCH(C447,'Facilities'!$C$9:$C$108,0))/INDEX('Facilities'!$AA$9:$AA$108,MATCH(C447,'Facilities'!$C$9:$C$108,0)))))*INDEX('Facilities'!$AJ$9:$AJ$108,MATCH(C447,'Facilities'!$C$9:$C$108,0))+Q447*INDEX('Facilities'!$AI$9:$AI$108,MATCH(C447,'Facilities'!$C$9:$C$108,0))*AF447)))</x:f>
      </x:c>
      <x:c r="AB447" s="21" t="str">
        <x:f>IF(C447="","",O447+P447-AD447)</x:f>
      </x:c>
      <x:c r="AC447" s="23" t="str">
        <x:f>IF(C447="","",IFERROR(IF(INDEX('Facilities'!$AD$9:$AD$108,MATCH(C447,'Facilities'!$C$9:$C$108,0))=3,0,IF(INDEX('Facilities'!$AN$9:$AN$108,MATCH(C447,'Facilities'!$C$9:$C$108,0))=0,-1,INDEX('Facilities'!$AN$9:$AN$108,MATCH(C447,'Facilities'!$C$9:$C$108,0)))),"Unavailable"))</x:f>
      </x:c>
      <x:c r="AD447" s="21" t="str">
        <x:f>IF(C447="","",IFERROR(G447+H447,"Unavailable"))</x:f>
      </x:c>
      <x:c r="AE447" s="21" t="str">
        <x:f>IF(C447="","",IF(AQ447&lt;&gt;"Ready","Unavailable",IF(C447="","",O447+P447-AD447-J447+K447+M447+N447)))</x:f>
      </x:c>
      <x:c r="AF447" s="30" t="str">
        <x:f>IF(C447="","",IFERROR(INDEX('Facilities'!$S$9:$S$108,MATCH(C447,'Facilities'!$C$9:$C$108,0))*'Scenario Paths'!J75,"Unavailable"))</x:f>
      </x:c>
      <x:c r="AG447" s="23" t="str">
        <x:f>IF(C447="","",IF(AQ447&lt;&gt;"Ready","Unavailable",IF(C447="","",IF(H447&gt;0,MAX(0,H447-AK447)*((1+INDEX('Facilities'!$K$9:$K$108,MATCH(C447,'Facilities'!$C$9:$C$108,0)))^MIN(1,MAX(0,AC447+INDEX('Facilities'!$AK$9:$AK$108,MATCH(C447,'Facilities'!$C$9:$C$108,0))-D447+1))-1),0))))</x:f>
      </x:c>
      <x:c r="AH447" s="21" t="str">
        <x:f>IF(C447="","",IF(AQ447&lt;&gt;"Ready","Unavailable",IF(C447="","",O447+P447)))</x:f>
      </x:c>
      <x:c r="AI447" s="21" t="str">
        <x:f>IF(C447="","",IF(AQ447&lt;&gt;"Ready","Unavailable",IF(C447="","",Z447-Y447)))</x:f>
      </x:c>
      <x:c r="AJ447" s="23" t="str">
        <x:f>IF(C447="","",IFERROR(MAX(0,INDEX('Facilities'!$J$9:$J$108,MATCH(C447,'Facilities'!$C$9:$C$108,0))-D447),"Unavailable"))</x:f>
      </x:c>
      <x:c r="AK447" s="21" t="str">
        <x:f>IF(C447="","",IFERROR(AL347,"Unavailable"))</x:f>
      </x:c>
      <x:c r="AL447" s="23" t="str">
        <x:f>IF(C447="","",IFERROR(IF(P447&gt;0,P447*(1-AM447/(1+INDEX('Facilities'!$K$9:$K$108,MATCH(C447,'Facilities'!$C$9:$C$108,0)))^MAX(0,AC447+INDEX('Facilities'!$AK$9:$AK$108,MATCH(C447,'Facilities'!$C$9:$C$108,0))-D447)),0),"Unavailable"))</x:f>
      </x:c>
      <x:c r="AM447" s="30" t="str">
        <x:f>IF(C447="","",IFERROR(INDEX('Facilities'!$AL$9:$AL$108,MATCH(C447,'Facilities'!$C$9:$C$108,0)),"Unavailable"))</x:f>
      </x:c>
      <x:c r="AN447" s="30" t="str">
        <x:f>IF(C447="","",IFERROR(INDEX(Credit!$T$409:$T$508,MATCH(F447,Credit!$C$409:$C$508,0)),"Unavailable"))</x:f>
      </x:c>
      <x:c r="AO447" s="23" t="str">
        <x:f>IF(C447="","",IF(AQ447&lt;&gt;"Ready","Unavailable",IF(C447="","",O447+P447+Q447*INDEX('Facilities'!$I$9:$I$108,MATCH(C447,'Facilities'!$C$9:$C$108,0)))))</x:f>
      </x:c>
      <x:c r="AP447" s="21" t="str">
        <x:f>IF(C447="","",IF(AQ447&lt;&gt;"Ready","Unavailable",IF(C447="","",AH447-U447)))</x:f>
      </x:c>
      <x:c r="AQ447" s="23" t="str">
        <x:f>IFERROR(IF(C447="","",IF(AND(INDEX('Facilities'!$AF$9:$AF$108,MATCH(C447,'Facilities'!$C$9:$C$108,0))="Ready",INDEX(Credit!$U$409:$U$508,MATCH(F447,Credit!$C$409:$C$508,0))="Ready",ISNUMBER(W447)),"Ready","Review inputs")),"Review inputs")</x:f>
      </x:c>
      <x:c r="AR447" s="23" t="str">
        <x:f>IF(C447="","",IF(AQ447&lt;&gt;"Ready","Unavailable",IF(C447="","",IF(O447=0,0,(IF(AJ447&lt;=1,O447,O447*INDEX('Facilities'!$R$9:$R$108,MATCH(C447,'Facilities'!$C$9:$C$108,0)))+O447*INDEX('Facilities'!$T$9:$T$108,MATCH(C447,'Facilities'!$C$9:$C$108,0)))/12))))</x:f>
      </x:c>
    </x:row>
    <x:row r="448" ht="26" customHeight="1">
      <x:c r="A448" s="1"/>
      <x:c r="B448" s="1"/>
      <x:c r="C448" s="9" t="str">
        <x:f>IF(Facilities!C48="","",Facilities!C48)</x:f>
      </x:c>
      <x:c r="D448" s="3" t="n">
        <x:v>5</x:v>
      </x:c>
      <x:c r="E448" s="9" t="n">
        <x:f>Settings!$F$18+4</x:f>
        <x:v>2031</x:v>
      </x:c>
      <x:c r="F448" s="9" t="str">
        <x:f>IF(C448="","",IFERROR(INDEX('Facilities'!$D$9:$D$108,MATCH(C448,'Facilities'!$C$9:$C$108,0)),"Unavailable"))</x:f>
      </x:c>
      <x:c r="G448" s="21" t="str">
        <x:f>IF(C448="","",IFERROR(O348,"Unavailable"))</x:f>
      </x:c>
      <x:c r="H448" s="21" t="str">
        <x:f>IF(C448="","",IFERROR(P348,"Unavailable"))</x:f>
      </x:c>
      <x:c r="I448" s="21" t="str">
        <x:f>IF(C448="","",IFERROR(Q348,"Unavailable"))</x:f>
      </x:c>
      <x:c r="J448" s="23" t="str">
        <x:f>IF(C448="","",IFERROR(IF(OR(H448&gt;0,AND(AC448&gt;=0,AC448&lt;D448),D448&gt;INDEX('Facilities'!$J$9:$J$108,MATCH(C448,'Facilities'!$C$9:$C$108,0))),0,I448*'Scenario Paths'!J81),"Unavailable"))</x:f>
      </x:c>
      <x:c r="K448" s="23" t="str">
        <x:f>IF(C448="","",IFERROR(IF(OR(H448&gt;0,AND(AC448&gt;=0,AC448=D448)),0,IF(D448&gt;=INDEX('Facilities'!$J$9:$J$108,MATCH(C448,'Facilities'!$C$9:$C$108,0)),G448+J448,MIN(G448+J448,G448*INDEX('Facilities'!$R$9:$R$108,MATCH(C448,'Facilities'!$C$9:$C$108,0))))),"Unavailable"))</x:f>
      </x:c>
      <x:c r="L448" s="21" t="str">
        <x:f>IF(C448="","",IFERROR(IF(AND(AC448=D448,AC448&gt;0),MAX(0,G448+J448-K448),0),"Unavailable"))</x:f>
      </x:c>
      <x:c r="M448" s="23" t="str">
        <x:f>IF(C448="","",IFERROR(IF(AND(AC448&gt;=0,D448&gt;=AC448+INDEX('Facilities'!$AK$9:$AK$108,MATCH(C448,'Facilities'!$C$9:$C$108,0))),(H448+L448)*AM448,0),"Unavailable"))</x:f>
      </x:c>
      <x:c r="N448" s="23" t="str">
        <x:f>IF(C448="","",IFERROR(IF(AND(AC448&gt;=0,D448&gt;=AC448+INDEX('Facilities'!$AK$9:$AK$108,MATCH(C448,'Facilities'!$C$9:$C$108,0))),H448+L448-M448,0),"Unavailable"))</x:f>
      </x:c>
      <x:c r="O448" s="21" t="str">
        <x:f>IF(C448="","",IFERROR(MAX(0,G448+J448-K448-L448),"Unavailable"))</x:f>
      </x:c>
      <x:c r="P448" s="21" t="str">
        <x:f>IF(C448="","",IFERROR(MAX(0,H448+L448-M448-N448),"Unavailable"))</x:f>
      </x:c>
      <x:c r="Q448" s="23" t="str">
        <x:f>IF(C448="","",IFERROR(IF(OR(D448&gt;=INDEX('Facilities'!$J$9:$J$108,MATCH(C448,'Facilities'!$C$9:$C$108,0)),AND(AC448&gt;=0,AC448&lt;=D448)),0,MAX(0,I448-J448)),"Unavailable"))</x:f>
      </x:c>
      <x:c r="R448" s="30" t="str">
        <x:f>IF(C448="","",IFERROR(INDEX(Credit!$Q$409:$Q$508,MATCH(F448,Credit!$C$409:$C$508,0)),"Unavailable"))</x:f>
      </x:c>
      <x:c r="S448" s="30" t="str">
        <x:f>IF(C448="","",IFERROR(INDEX(Credit!$R$409:$R$508,MATCH(F448,Credit!$C$409:$C$508,0)),"Unavailable"))</x:f>
      </x:c>
      <x:c r="T448" s="23" t="str">
        <x:f>IF(C448="","",IFERROR(IF(P448&gt;0,3,IF(OR(INDEX('Facilities'!$AD$9:$AD$108,MATCH(C448,'Facilities'!$C$9:$C$108,0))=2,AND(R448&gt;=INDEX('Facilities'!$L$9:$L$108,MATCH(C448,'Facilities'!$C$9:$C$108,0))*Settings!$F$19,R448-INDEX('Facilities'!$L$9:$L$108,MATCH(C448,'Facilities'!$C$9:$C$108,0))&gt;=Settings!$F$20)),2,1)),"Unavailable"))</x:f>
      </x:c>
      <x:c r="U448" s="23" t="str">
        <x:f>IF(C448="","",IF(AQ448&lt;&gt;"Ready","Unavailable",IF(C448="","",O448*(1-(1-S448)/(1+INDEX('Facilities'!$K$9:$K$108,MATCH(C448,'Facilities'!$C$9:$C$108,0)))^INDEX('Facilities'!$AK$9:$AK$108,MATCH(C448,'Facilities'!$C$9:$C$108,0)))*R448/(1+INDEX('Facilities'!$K$9:$K$108,MATCH(C448,'Facilities'!$C$9:$C$108,0)))*IF(ABS(1-(1-R448)*(1-INDEX('Facilities'!$R$9:$R$108,MATCH(C448,'Facilities'!$C$9:$C$108,0)))/(1+INDEX('Facilities'!$K$9:$K$108,MATCH(C448,'Facilities'!$C$9:$C$108,0))))&lt;0.000000001,IF(T448=1,MIN(1,AJ448),AJ448),(1-((1-R448)*(1-INDEX('Facilities'!$R$9:$R$108,MATCH(C448,'Facilities'!$C$9:$C$108,0)))/(1+INDEX('Facilities'!$K$9:$K$108,MATCH(C448,'Facilities'!$C$9:$C$108,0))))^IF(T448=1,MIN(1,AJ448),AJ448))/(1-(1-R448)*(1-INDEX('Facilities'!$R$9:$R$108,MATCH(C448,'Facilities'!$C$9:$C$108,0)))/(1+INDEX('Facilities'!$K$9:$K$108,MATCH(C448,'Facilities'!$C$9:$C$108,0)))))+AL448)))</x:f>
      </x:c>
      <x:c r="V448" s="23" t="str">
        <x:f>IF(C448="","",IF(AQ448&lt;&gt;"Ready","Unavailable",IF(C448="","",Q448*INDEX('Facilities'!$I$9:$I$108,MATCH(C448,'Facilities'!$C$9:$C$108,0))*(1-(1-S448)/(1+INDEX('Facilities'!$K$9:$K$108,MATCH(C448,'Facilities'!$C$9:$C$108,0)))^INDEX('Facilities'!$AK$9:$AK$108,MATCH(C448,'Facilities'!$C$9:$C$108,0)))*R448/(1+INDEX('Facilities'!$K$9:$K$108,MATCH(C448,'Facilities'!$C$9:$C$108,0)))*IF(ABS(1-(1-R448)*(1-0)/(1+INDEX('Facilities'!$K$9:$K$108,MATCH(C448,'Facilities'!$C$9:$C$108,0))))&lt;0.000000001,IF(T448=1,MIN(1,AJ448),AJ448),(1-((1-R448)*(1-0)/(1+INDEX('Facilities'!$K$9:$K$108,MATCH(C448,'Facilities'!$C$9:$C$108,0))))^IF(T448=1,MIN(1,AJ448),AJ448))/(1-(1-R448)*(1-0)/(1+INDEX('Facilities'!$K$9:$K$108,MATCH(C448,'Facilities'!$C$9:$C$108,0))))))))</x:f>
      </x:c>
      <x:c r="W448" s="21" t="str">
        <x:f>IF(C448="","",IFERROR(U348,"Unavailable"))</x:f>
      </x:c>
      <x:c r="X448" s="21" t="str">
        <x:f>IF(C448="","",IFERROR(V348,"Unavailable"))</x:f>
      </x:c>
      <x:c r="Y448" s="21" t="str">
        <x:f>IF(C448="","",IF(AQ448&lt;&gt;"Ready","Unavailable",IF(C448="","",U448-W448+V448-X448+N448+AG448)))</x:f>
      </x:c>
      <x:c r="Z448" s="23" t="str">
        <x:f>IF(C448="","",IF(AQ448&lt;&gt;"Ready","Unavailable",IF(C448="","",(G448+O448+L448)/2*INDEX('Facilities'!$T$9:$T$108,MATCH(C448,'Facilities'!$C$9:$C$108,0))+AG448)))</x:f>
      </x:c>
      <x:c r="AA448" s="23" t="str">
        <x:f>IF(C448="","",IF(AQ448&lt;&gt;"Ready","Unavailable",IF(C448="","",O448*(1-IF(INDEX('Facilities'!$AA$9:$AA$108,MATCH(C448,'Facilities'!$C$9:$C$108,0))=0,0,MIN(1,INDEX('Facilities'!$X$9:$X$108,MATCH(C448,'Facilities'!$C$9:$C$108,0))/INDEX('Facilities'!$AA$9:$AA$108,MATCH(C448,'Facilities'!$C$9:$C$108,0)))))*AF448+P448*(1-IF(INDEX('Facilities'!$AA$9:$AA$108,MATCH(C448,'Facilities'!$C$9:$C$108,0))=0,0,MIN(1,INDEX('Facilities'!$X$9:$X$108,MATCH(C448,'Facilities'!$C$9:$C$108,0))/INDEX('Facilities'!$AA$9:$AA$108,MATCH(C448,'Facilities'!$C$9:$C$108,0)))))*INDEX('Facilities'!$AJ$9:$AJ$108,MATCH(C448,'Facilities'!$C$9:$C$108,0))+Q448*INDEX('Facilities'!$AI$9:$AI$108,MATCH(C448,'Facilities'!$C$9:$C$108,0))*AF448)))</x:f>
      </x:c>
      <x:c r="AB448" s="21" t="str">
        <x:f>IF(C448="","",O448+P448-AD448)</x:f>
      </x:c>
      <x:c r="AC448" s="23" t="str">
        <x:f>IF(C448="","",IFERROR(IF(INDEX('Facilities'!$AD$9:$AD$108,MATCH(C448,'Facilities'!$C$9:$C$108,0))=3,0,IF(INDEX('Facilities'!$AN$9:$AN$108,MATCH(C448,'Facilities'!$C$9:$C$108,0))=0,-1,INDEX('Facilities'!$AN$9:$AN$108,MATCH(C448,'Facilities'!$C$9:$C$108,0)))),"Unavailable"))</x:f>
      </x:c>
      <x:c r="AD448" s="21" t="str">
        <x:f>IF(C448="","",IFERROR(G448+H448,"Unavailable"))</x:f>
      </x:c>
      <x:c r="AE448" s="21" t="str">
        <x:f>IF(C448="","",IF(AQ448&lt;&gt;"Ready","Unavailable",IF(C448="","",O448+P448-AD448-J448+K448+M448+N448)))</x:f>
      </x:c>
      <x:c r="AF448" s="30" t="str">
        <x:f>IF(C448="","",IFERROR(INDEX('Facilities'!$S$9:$S$108,MATCH(C448,'Facilities'!$C$9:$C$108,0))*'Scenario Paths'!J75,"Unavailable"))</x:f>
      </x:c>
      <x:c r="AG448" s="23" t="str">
        <x:f>IF(C448="","",IF(AQ448&lt;&gt;"Ready","Unavailable",IF(C448="","",IF(H448&gt;0,MAX(0,H448-AK448)*((1+INDEX('Facilities'!$K$9:$K$108,MATCH(C448,'Facilities'!$C$9:$C$108,0)))^MIN(1,MAX(0,AC448+INDEX('Facilities'!$AK$9:$AK$108,MATCH(C448,'Facilities'!$C$9:$C$108,0))-D448+1))-1),0))))</x:f>
      </x:c>
      <x:c r="AH448" s="21" t="str">
        <x:f>IF(C448="","",IF(AQ448&lt;&gt;"Ready","Unavailable",IF(C448="","",O448+P448)))</x:f>
      </x:c>
      <x:c r="AI448" s="21" t="str">
        <x:f>IF(C448="","",IF(AQ448&lt;&gt;"Ready","Unavailable",IF(C448="","",Z448-Y448)))</x:f>
      </x:c>
      <x:c r="AJ448" s="23" t="str">
        <x:f>IF(C448="","",IFERROR(MAX(0,INDEX('Facilities'!$J$9:$J$108,MATCH(C448,'Facilities'!$C$9:$C$108,0))-D448),"Unavailable"))</x:f>
      </x:c>
      <x:c r="AK448" s="21" t="str">
        <x:f>IF(C448="","",IFERROR(AL348,"Unavailable"))</x:f>
      </x:c>
      <x:c r="AL448" s="23" t="str">
        <x:f>IF(C448="","",IFERROR(IF(P448&gt;0,P448*(1-AM448/(1+INDEX('Facilities'!$K$9:$K$108,MATCH(C448,'Facilities'!$C$9:$C$108,0)))^MAX(0,AC448+INDEX('Facilities'!$AK$9:$AK$108,MATCH(C448,'Facilities'!$C$9:$C$108,0))-D448)),0),"Unavailable"))</x:f>
      </x:c>
      <x:c r="AM448" s="30" t="str">
        <x:f>IF(C448="","",IFERROR(INDEX('Facilities'!$AL$9:$AL$108,MATCH(C448,'Facilities'!$C$9:$C$108,0)),"Unavailable"))</x:f>
      </x:c>
      <x:c r="AN448" s="30" t="str">
        <x:f>IF(C448="","",IFERROR(INDEX(Credit!$T$409:$T$508,MATCH(F448,Credit!$C$409:$C$508,0)),"Unavailable"))</x:f>
      </x:c>
      <x:c r="AO448" s="23" t="str">
        <x:f>IF(C448="","",IF(AQ448&lt;&gt;"Ready","Unavailable",IF(C448="","",O448+P448+Q448*INDEX('Facilities'!$I$9:$I$108,MATCH(C448,'Facilities'!$C$9:$C$108,0)))))</x:f>
      </x:c>
      <x:c r="AP448" s="21" t="str">
        <x:f>IF(C448="","",IF(AQ448&lt;&gt;"Ready","Unavailable",IF(C448="","",AH448-U448)))</x:f>
      </x:c>
      <x:c r="AQ448" s="23" t="str">
        <x:f>IFERROR(IF(C448="","",IF(AND(INDEX('Facilities'!$AF$9:$AF$108,MATCH(C448,'Facilities'!$C$9:$C$108,0))="Ready",INDEX(Credit!$U$409:$U$508,MATCH(F448,Credit!$C$409:$C$508,0))="Ready",ISNUMBER(W448)),"Ready","Review inputs")),"Review inputs")</x:f>
      </x:c>
      <x:c r="AR448" s="23" t="str">
        <x:f>IF(C448="","",IF(AQ448&lt;&gt;"Ready","Unavailable",IF(C448="","",IF(O448=0,0,(IF(AJ448&lt;=1,O448,O448*INDEX('Facilities'!$R$9:$R$108,MATCH(C448,'Facilities'!$C$9:$C$108,0)))+O448*INDEX('Facilities'!$T$9:$T$108,MATCH(C448,'Facilities'!$C$9:$C$108,0)))/12))))</x:f>
      </x:c>
    </x:row>
    <x:row r="449" ht="26" customHeight="1">
      <x:c r="A449" s="1"/>
      <x:c r="B449" s="1"/>
      <x:c r="C449" s="9" t="str">
        <x:f>IF(Facilities!C49="","",Facilities!C49)</x:f>
      </x:c>
      <x:c r="D449" s="3" t="n">
        <x:v>5</x:v>
      </x:c>
      <x:c r="E449" s="9" t="n">
        <x:f>Settings!$F$18+4</x:f>
        <x:v>2031</x:v>
      </x:c>
      <x:c r="F449" s="9" t="str">
        <x:f>IF(C449="","",IFERROR(INDEX('Facilities'!$D$9:$D$108,MATCH(C449,'Facilities'!$C$9:$C$108,0)),"Unavailable"))</x:f>
      </x:c>
      <x:c r="G449" s="21" t="str">
        <x:f>IF(C449="","",IFERROR(O349,"Unavailable"))</x:f>
      </x:c>
      <x:c r="H449" s="21" t="str">
        <x:f>IF(C449="","",IFERROR(P349,"Unavailable"))</x:f>
      </x:c>
      <x:c r="I449" s="21" t="str">
        <x:f>IF(C449="","",IFERROR(Q349,"Unavailable"))</x:f>
      </x:c>
      <x:c r="J449" s="23" t="str">
        <x:f>IF(C449="","",IFERROR(IF(OR(H449&gt;0,AND(AC449&gt;=0,AC449&lt;D449),D449&gt;INDEX('Facilities'!$J$9:$J$108,MATCH(C449,'Facilities'!$C$9:$C$108,0))),0,I449*'Scenario Paths'!J81),"Unavailable"))</x:f>
      </x:c>
      <x:c r="K449" s="23" t="str">
        <x:f>IF(C449="","",IFERROR(IF(OR(H449&gt;0,AND(AC449&gt;=0,AC449=D449)),0,IF(D449&gt;=INDEX('Facilities'!$J$9:$J$108,MATCH(C449,'Facilities'!$C$9:$C$108,0)),G449+J449,MIN(G449+J449,G449*INDEX('Facilities'!$R$9:$R$108,MATCH(C449,'Facilities'!$C$9:$C$108,0))))),"Unavailable"))</x:f>
      </x:c>
      <x:c r="L449" s="21" t="str">
        <x:f>IF(C449="","",IFERROR(IF(AND(AC449=D449,AC449&gt;0),MAX(0,G449+J449-K449),0),"Unavailable"))</x:f>
      </x:c>
      <x:c r="M449" s="23" t="str">
        <x:f>IF(C449="","",IFERROR(IF(AND(AC449&gt;=0,D449&gt;=AC449+INDEX('Facilities'!$AK$9:$AK$108,MATCH(C449,'Facilities'!$C$9:$C$108,0))),(H449+L449)*AM449,0),"Unavailable"))</x:f>
      </x:c>
      <x:c r="N449" s="23" t="str">
        <x:f>IF(C449="","",IFERROR(IF(AND(AC449&gt;=0,D449&gt;=AC449+INDEX('Facilities'!$AK$9:$AK$108,MATCH(C449,'Facilities'!$C$9:$C$108,0))),H449+L449-M449,0),"Unavailable"))</x:f>
      </x:c>
      <x:c r="O449" s="21" t="str">
        <x:f>IF(C449="","",IFERROR(MAX(0,G449+J449-K449-L449),"Unavailable"))</x:f>
      </x:c>
      <x:c r="P449" s="21" t="str">
        <x:f>IF(C449="","",IFERROR(MAX(0,H449+L449-M449-N449),"Unavailable"))</x:f>
      </x:c>
      <x:c r="Q449" s="23" t="str">
        <x:f>IF(C449="","",IFERROR(IF(OR(D449&gt;=INDEX('Facilities'!$J$9:$J$108,MATCH(C449,'Facilities'!$C$9:$C$108,0)),AND(AC449&gt;=0,AC449&lt;=D449)),0,MAX(0,I449-J449)),"Unavailable"))</x:f>
      </x:c>
      <x:c r="R449" s="30" t="str">
        <x:f>IF(C449="","",IFERROR(INDEX(Credit!$Q$409:$Q$508,MATCH(F449,Credit!$C$409:$C$508,0)),"Unavailable"))</x:f>
      </x:c>
      <x:c r="S449" s="30" t="str">
        <x:f>IF(C449="","",IFERROR(INDEX(Credit!$R$409:$R$508,MATCH(F449,Credit!$C$409:$C$508,0)),"Unavailable"))</x:f>
      </x:c>
      <x:c r="T449" s="23" t="str">
        <x:f>IF(C449="","",IFERROR(IF(P449&gt;0,3,IF(OR(INDEX('Facilities'!$AD$9:$AD$108,MATCH(C449,'Facilities'!$C$9:$C$108,0))=2,AND(R449&gt;=INDEX('Facilities'!$L$9:$L$108,MATCH(C449,'Facilities'!$C$9:$C$108,0))*Settings!$F$19,R449-INDEX('Facilities'!$L$9:$L$108,MATCH(C449,'Facilities'!$C$9:$C$108,0))&gt;=Settings!$F$20)),2,1)),"Unavailable"))</x:f>
      </x:c>
      <x:c r="U449" s="23" t="str">
        <x:f>IF(C449="","",IF(AQ449&lt;&gt;"Ready","Unavailable",IF(C449="","",O449*(1-(1-S449)/(1+INDEX('Facilities'!$K$9:$K$108,MATCH(C449,'Facilities'!$C$9:$C$108,0)))^INDEX('Facilities'!$AK$9:$AK$108,MATCH(C449,'Facilities'!$C$9:$C$108,0)))*R449/(1+INDEX('Facilities'!$K$9:$K$108,MATCH(C449,'Facilities'!$C$9:$C$108,0)))*IF(ABS(1-(1-R449)*(1-INDEX('Facilities'!$R$9:$R$108,MATCH(C449,'Facilities'!$C$9:$C$108,0)))/(1+INDEX('Facilities'!$K$9:$K$108,MATCH(C449,'Facilities'!$C$9:$C$108,0))))&lt;0.000000001,IF(T449=1,MIN(1,AJ449),AJ449),(1-((1-R449)*(1-INDEX('Facilities'!$R$9:$R$108,MATCH(C449,'Facilities'!$C$9:$C$108,0)))/(1+INDEX('Facilities'!$K$9:$K$108,MATCH(C449,'Facilities'!$C$9:$C$108,0))))^IF(T449=1,MIN(1,AJ449),AJ449))/(1-(1-R449)*(1-INDEX('Facilities'!$R$9:$R$108,MATCH(C449,'Facilities'!$C$9:$C$108,0)))/(1+INDEX('Facilities'!$K$9:$K$108,MATCH(C449,'Facilities'!$C$9:$C$108,0)))))+AL449)))</x:f>
      </x:c>
      <x:c r="V449" s="23" t="str">
        <x:f>IF(C449="","",IF(AQ449&lt;&gt;"Ready","Unavailable",IF(C449="","",Q449*INDEX('Facilities'!$I$9:$I$108,MATCH(C449,'Facilities'!$C$9:$C$108,0))*(1-(1-S449)/(1+INDEX('Facilities'!$K$9:$K$108,MATCH(C449,'Facilities'!$C$9:$C$108,0)))^INDEX('Facilities'!$AK$9:$AK$108,MATCH(C449,'Facilities'!$C$9:$C$108,0)))*R449/(1+INDEX('Facilities'!$K$9:$K$108,MATCH(C449,'Facilities'!$C$9:$C$108,0)))*IF(ABS(1-(1-R449)*(1-0)/(1+INDEX('Facilities'!$K$9:$K$108,MATCH(C449,'Facilities'!$C$9:$C$108,0))))&lt;0.000000001,IF(T449=1,MIN(1,AJ449),AJ449),(1-((1-R449)*(1-0)/(1+INDEX('Facilities'!$K$9:$K$108,MATCH(C449,'Facilities'!$C$9:$C$108,0))))^IF(T449=1,MIN(1,AJ449),AJ449))/(1-(1-R449)*(1-0)/(1+INDEX('Facilities'!$K$9:$K$108,MATCH(C449,'Facilities'!$C$9:$C$108,0))))))))</x:f>
      </x:c>
      <x:c r="W449" s="21" t="str">
        <x:f>IF(C449="","",IFERROR(U349,"Unavailable"))</x:f>
      </x:c>
      <x:c r="X449" s="21" t="str">
        <x:f>IF(C449="","",IFERROR(V349,"Unavailable"))</x:f>
      </x:c>
      <x:c r="Y449" s="21" t="str">
        <x:f>IF(C449="","",IF(AQ449&lt;&gt;"Ready","Unavailable",IF(C449="","",U449-W449+V449-X449+N449+AG449)))</x:f>
      </x:c>
      <x:c r="Z449" s="23" t="str">
        <x:f>IF(C449="","",IF(AQ449&lt;&gt;"Ready","Unavailable",IF(C449="","",(G449+O449+L449)/2*INDEX('Facilities'!$T$9:$T$108,MATCH(C449,'Facilities'!$C$9:$C$108,0))+AG449)))</x:f>
      </x:c>
      <x:c r="AA449" s="23" t="str">
        <x:f>IF(C449="","",IF(AQ449&lt;&gt;"Ready","Unavailable",IF(C449="","",O449*(1-IF(INDEX('Facilities'!$AA$9:$AA$108,MATCH(C449,'Facilities'!$C$9:$C$108,0))=0,0,MIN(1,INDEX('Facilities'!$X$9:$X$108,MATCH(C449,'Facilities'!$C$9:$C$108,0))/INDEX('Facilities'!$AA$9:$AA$108,MATCH(C449,'Facilities'!$C$9:$C$108,0)))))*AF449+P449*(1-IF(INDEX('Facilities'!$AA$9:$AA$108,MATCH(C449,'Facilities'!$C$9:$C$108,0))=0,0,MIN(1,INDEX('Facilities'!$X$9:$X$108,MATCH(C449,'Facilities'!$C$9:$C$108,0))/INDEX('Facilities'!$AA$9:$AA$108,MATCH(C449,'Facilities'!$C$9:$C$108,0)))))*INDEX('Facilities'!$AJ$9:$AJ$108,MATCH(C449,'Facilities'!$C$9:$C$108,0))+Q449*INDEX('Facilities'!$AI$9:$AI$108,MATCH(C449,'Facilities'!$C$9:$C$108,0))*AF449)))</x:f>
      </x:c>
      <x:c r="AB449" s="21" t="str">
        <x:f>IF(C449="","",O449+P449-AD449)</x:f>
      </x:c>
      <x:c r="AC449" s="23" t="str">
        <x:f>IF(C449="","",IFERROR(IF(INDEX('Facilities'!$AD$9:$AD$108,MATCH(C449,'Facilities'!$C$9:$C$108,0))=3,0,IF(INDEX('Facilities'!$AN$9:$AN$108,MATCH(C449,'Facilities'!$C$9:$C$108,0))=0,-1,INDEX('Facilities'!$AN$9:$AN$108,MATCH(C449,'Facilities'!$C$9:$C$108,0)))),"Unavailable"))</x:f>
      </x:c>
      <x:c r="AD449" s="21" t="str">
        <x:f>IF(C449="","",IFERROR(G449+H449,"Unavailable"))</x:f>
      </x:c>
      <x:c r="AE449" s="21" t="str">
        <x:f>IF(C449="","",IF(AQ449&lt;&gt;"Ready","Unavailable",IF(C449="","",O449+P449-AD449-J449+K449+M449+N449)))</x:f>
      </x:c>
      <x:c r="AF449" s="30" t="str">
        <x:f>IF(C449="","",IFERROR(INDEX('Facilities'!$S$9:$S$108,MATCH(C449,'Facilities'!$C$9:$C$108,0))*'Scenario Paths'!J75,"Unavailable"))</x:f>
      </x:c>
      <x:c r="AG449" s="23" t="str">
        <x:f>IF(C449="","",IF(AQ449&lt;&gt;"Ready","Unavailable",IF(C449="","",IF(H449&gt;0,MAX(0,H449-AK449)*((1+INDEX('Facilities'!$K$9:$K$108,MATCH(C449,'Facilities'!$C$9:$C$108,0)))^MIN(1,MAX(0,AC449+INDEX('Facilities'!$AK$9:$AK$108,MATCH(C449,'Facilities'!$C$9:$C$108,0))-D449+1))-1),0))))</x:f>
      </x:c>
      <x:c r="AH449" s="21" t="str">
        <x:f>IF(C449="","",IF(AQ449&lt;&gt;"Ready","Unavailable",IF(C449="","",O449+P449)))</x:f>
      </x:c>
      <x:c r="AI449" s="21" t="str">
        <x:f>IF(C449="","",IF(AQ449&lt;&gt;"Ready","Unavailable",IF(C449="","",Z449-Y449)))</x:f>
      </x:c>
      <x:c r="AJ449" s="23" t="str">
        <x:f>IF(C449="","",IFERROR(MAX(0,INDEX('Facilities'!$J$9:$J$108,MATCH(C449,'Facilities'!$C$9:$C$108,0))-D449),"Unavailable"))</x:f>
      </x:c>
      <x:c r="AK449" s="21" t="str">
        <x:f>IF(C449="","",IFERROR(AL349,"Unavailable"))</x:f>
      </x:c>
      <x:c r="AL449" s="23" t="str">
        <x:f>IF(C449="","",IFERROR(IF(P449&gt;0,P449*(1-AM449/(1+INDEX('Facilities'!$K$9:$K$108,MATCH(C449,'Facilities'!$C$9:$C$108,0)))^MAX(0,AC449+INDEX('Facilities'!$AK$9:$AK$108,MATCH(C449,'Facilities'!$C$9:$C$108,0))-D449)),0),"Unavailable"))</x:f>
      </x:c>
      <x:c r="AM449" s="30" t="str">
        <x:f>IF(C449="","",IFERROR(INDEX('Facilities'!$AL$9:$AL$108,MATCH(C449,'Facilities'!$C$9:$C$108,0)),"Unavailable"))</x:f>
      </x:c>
      <x:c r="AN449" s="30" t="str">
        <x:f>IF(C449="","",IFERROR(INDEX(Credit!$T$409:$T$508,MATCH(F449,Credit!$C$409:$C$508,0)),"Unavailable"))</x:f>
      </x:c>
      <x:c r="AO449" s="23" t="str">
        <x:f>IF(C449="","",IF(AQ449&lt;&gt;"Ready","Unavailable",IF(C449="","",O449+P449+Q449*INDEX('Facilities'!$I$9:$I$108,MATCH(C449,'Facilities'!$C$9:$C$108,0)))))</x:f>
      </x:c>
      <x:c r="AP449" s="21" t="str">
        <x:f>IF(C449="","",IF(AQ449&lt;&gt;"Ready","Unavailable",IF(C449="","",AH449-U449)))</x:f>
      </x:c>
      <x:c r="AQ449" s="23" t="str">
        <x:f>IFERROR(IF(C449="","",IF(AND(INDEX('Facilities'!$AF$9:$AF$108,MATCH(C449,'Facilities'!$C$9:$C$108,0))="Ready",INDEX(Credit!$U$409:$U$508,MATCH(F449,Credit!$C$409:$C$508,0))="Ready",ISNUMBER(W449)),"Ready","Review inputs")),"Review inputs")</x:f>
      </x:c>
      <x:c r="AR449" s="23" t="str">
        <x:f>IF(C449="","",IF(AQ449&lt;&gt;"Ready","Unavailable",IF(C449="","",IF(O449=0,0,(IF(AJ449&lt;=1,O449,O449*INDEX('Facilities'!$R$9:$R$108,MATCH(C449,'Facilities'!$C$9:$C$108,0)))+O449*INDEX('Facilities'!$T$9:$T$108,MATCH(C449,'Facilities'!$C$9:$C$108,0)))/12))))</x:f>
      </x:c>
    </x:row>
    <x:row r="450" ht="26" customHeight="1">
      <x:c r="A450" s="1"/>
      <x:c r="B450" s="1"/>
      <x:c r="C450" s="9" t="str">
        <x:f>IF(Facilities!C50="","",Facilities!C50)</x:f>
      </x:c>
      <x:c r="D450" s="3" t="n">
        <x:v>5</x:v>
      </x:c>
      <x:c r="E450" s="9" t="n">
        <x:f>Settings!$F$18+4</x:f>
        <x:v>2031</x:v>
      </x:c>
      <x:c r="F450" s="9" t="str">
        <x:f>IF(C450="","",IFERROR(INDEX('Facilities'!$D$9:$D$108,MATCH(C450,'Facilities'!$C$9:$C$108,0)),"Unavailable"))</x:f>
      </x:c>
      <x:c r="G450" s="21" t="str">
        <x:f>IF(C450="","",IFERROR(O350,"Unavailable"))</x:f>
      </x:c>
      <x:c r="H450" s="21" t="str">
        <x:f>IF(C450="","",IFERROR(P350,"Unavailable"))</x:f>
      </x:c>
      <x:c r="I450" s="21" t="str">
        <x:f>IF(C450="","",IFERROR(Q350,"Unavailable"))</x:f>
      </x:c>
      <x:c r="J450" s="23" t="str">
        <x:f>IF(C450="","",IFERROR(IF(OR(H450&gt;0,AND(AC450&gt;=0,AC450&lt;D450),D450&gt;INDEX('Facilities'!$J$9:$J$108,MATCH(C450,'Facilities'!$C$9:$C$108,0))),0,I450*'Scenario Paths'!J81),"Unavailable"))</x:f>
      </x:c>
      <x:c r="K450" s="23" t="str">
        <x:f>IF(C450="","",IFERROR(IF(OR(H450&gt;0,AND(AC450&gt;=0,AC450=D450)),0,IF(D450&gt;=INDEX('Facilities'!$J$9:$J$108,MATCH(C450,'Facilities'!$C$9:$C$108,0)),G450+J450,MIN(G450+J450,G450*INDEX('Facilities'!$R$9:$R$108,MATCH(C450,'Facilities'!$C$9:$C$108,0))))),"Unavailable"))</x:f>
      </x:c>
      <x:c r="L450" s="21" t="str">
        <x:f>IF(C450="","",IFERROR(IF(AND(AC450=D450,AC450&gt;0),MAX(0,G450+J450-K450),0),"Unavailable"))</x:f>
      </x:c>
      <x:c r="M450" s="23" t="str">
        <x:f>IF(C450="","",IFERROR(IF(AND(AC450&gt;=0,D450&gt;=AC450+INDEX('Facilities'!$AK$9:$AK$108,MATCH(C450,'Facilities'!$C$9:$C$108,0))),(H450+L450)*AM450,0),"Unavailable"))</x:f>
      </x:c>
      <x:c r="N450" s="23" t="str">
        <x:f>IF(C450="","",IFERROR(IF(AND(AC450&gt;=0,D450&gt;=AC450+INDEX('Facilities'!$AK$9:$AK$108,MATCH(C450,'Facilities'!$C$9:$C$108,0))),H450+L450-M450,0),"Unavailable"))</x:f>
      </x:c>
      <x:c r="O450" s="21" t="str">
        <x:f>IF(C450="","",IFERROR(MAX(0,G450+J450-K450-L450),"Unavailable"))</x:f>
      </x:c>
      <x:c r="P450" s="21" t="str">
        <x:f>IF(C450="","",IFERROR(MAX(0,H450+L450-M450-N450),"Unavailable"))</x:f>
      </x:c>
      <x:c r="Q450" s="23" t="str">
        <x:f>IF(C450="","",IFERROR(IF(OR(D450&gt;=INDEX('Facilities'!$J$9:$J$108,MATCH(C450,'Facilities'!$C$9:$C$108,0)),AND(AC450&gt;=0,AC450&lt;=D450)),0,MAX(0,I450-J450)),"Unavailable"))</x:f>
      </x:c>
      <x:c r="R450" s="30" t="str">
        <x:f>IF(C450="","",IFERROR(INDEX(Credit!$Q$409:$Q$508,MATCH(F450,Credit!$C$409:$C$508,0)),"Unavailable"))</x:f>
      </x:c>
      <x:c r="S450" s="30" t="str">
        <x:f>IF(C450="","",IFERROR(INDEX(Credit!$R$409:$R$508,MATCH(F450,Credit!$C$409:$C$508,0)),"Unavailable"))</x:f>
      </x:c>
      <x:c r="T450" s="23" t="str">
        <x:f>IF(C450="","",IFERROR(IF(P450&gt;0,3,IF(OR(INDEX('Facilities'!$AD$9:$AD$108,MATCH(C450,'Facilities'!$C$9:$C$108,0))=2,AND(R450&gt;=INDEX('Facilities'!$L$9:$L$108,MATCH(C450,'Facilities'!$C$9:$C$108,0))*Settings!$F$19,R450-INDEX('Facilities'!$L$9:$L$108,MATCH(C450,'Facilities'!$C$9:$C$108,0))&gt;=Settings!$F$20)),2,1)),"Unavailable"))</x:f>
      </x:c>
      <x:c r="U450" s="23" t="str">
        <x:f>IF(C450="","",IF(AQ450&lt;&gt;"Ready","Unavailable",IF(C450="","",O450*(1-(1-S450)/(1+INDEX('Facilities'!$K$9:$K$108,MATCH(C450,'Facilities'!$C$9:$C$108,0)))^INDEX('Facilities'!$AK$9:$AK$108,MATCH(C450,'Facilities'!$C$9:$C$108,0)))*R450/(1+INDEX('Facilities'!$K$9:$K$108,MATCH(C450,'Facilities'!$C$9:$C$108,0)))*IF(ABS(1-(1-R450)*(1-INDEX('Facilities'!$R$9:$R$108,MATCH(C450,'Facilities'!$C$9:$C$108,0)))/(1+INDEX('Facilities'!$K$9:$K$108,MATCH(C450,'Facilities'!$C$9:$C$108,0))))&lt;0.000000001,IF(T450=1,MIN(1,AJ450),AJ450),(1-((1-R450)*(1-INDEX('Facilities'!$R$9:$R$108,MATCH(C450,'Facilities'!$C$9:$C$108,0)))/(1+INDEX('Facilities'!$K$9:$K$108,MATCH(C450,'Facilities'!$C$9:$C$108,0))))^IF(T450=1,MIN(1,AJ450),AJ450))/(1-(1-R450)*(1-INDEX('Facilities'!$R$9:$R$108,MATCH(C450,'Facilities'!$C$9:$C$108,0)))/(1+INDEX('Facilities'!$K$9:$K$108,MATCH(C450,'Facilities'!$C$9:$C$108,0)))))+AL450)))</x:f>
      </x:c>
      <x:c r="V450" s="23" t="str">
        <x:f>IF(C450="","",IF(AQ450&lt;&gt;"Ready","Unavailable",IF(C450="","",Q450*INDEX('Facilities'!$I$9:$I$108,MATCH(C450,'Facilities'!$C$9:$C$108,0))*(1-(1-S450)/(1+INDEX('Facilities'!$K$9:$K$108,MATCH(C450,'Facilities'!$C$9:$C$108,0)))^INDEX('Facilities'!$AK$9:$AK$108,MATCH(C450,'Facilities'!$C$9:$C$108,0)))*R450/(1+INDEX('Facilities'!$K$9:$K$108,MATCH(C450,'Facilities'!$C$9:$C$108,0)))*IF(ABS(1-(1-R450)*(1-0)/(1+INDEX('Facilities'!$K$9:$K$108,MATCH(C450,'Facilities'!$C$9:$C$108,0))))&lt;0.000000001,IF(T450=1,MIN(1,AJ450),AJ450),(1-((1-R450)*(1-0)/(1+INDEX('Facilities'!$K$9:$K$108,MATCH(C450,'Facilities'!$C$9:$C$108,0))))^IF(T450=1,MIN(1,AJ450),AJ450))/(1-(1-R450)*(1-0)/(1+INDEX('Facilities'!$K$9:$K$108,MATCH(C450,'Facilities'!$C$9:$C$108,0))))))))</x:f>
      </x:c>
      <x:c r="W450" s="21" t="str">
        <x:f>IF(C450="","",IFERROR(U350,"Unavailable"))</x:f>
      </x:c>
      <x:c r="X450" s="21" t="str">
        <x:f>IF(C450="","",IFERROR(V350,"Unavailable"))</x:f>
      </x:c>
      <x:c r="Y450" s="21" t="str">
        <x:f>IF(C450="","",IF(AQ450&lt;&gt;"Ready","Unavailable",IF(C450="","",U450-W450+V450-X450+N450+AG450)))</x:f>
      </x:c>
      <x:c r="Z450" s="23" t="str">
        <x:f>IF(C450="","",IF(AQ450&lt;&gt;"Ready","Unavailable",IF(C450="","",(G450+O450+L450)/2*INDEX('Facilities'!$T$9:$T$108,MATCH(C450,'Facilities'!$C$9:$C$108,0))+AG450)))</x:f>
      </x:c>
      <x:c r="AA450" s="23" t="str">
        <x:f>IF(C450="","",IF(AQ450&lt;&gt;"Ready","Unavailable",IF(C450="","",O450*(1-IF(INDEX('Facilities'!$AA$9:$AA$108,MATCH(C450,'Facilities'!$C$9:$C$108,0))=0,0,MIN(1,INDEX('Facilities'!$X$9:$X$108,MATCH(C450,'Facilities'!$C$9:$C$108,0))/INDEX('Facilities'!$AA$9:$AA$108,MATCH(C450,'Facilities'!$C$9:$C$108,0)))))*AF450+P450*(1-IF(INDEX('Facilities'!$AA$9:$AA$108,MATCH(C450,'Facilities'!$C$9:$C$108,0))=0,0,MIN(1,INDEX('Facilities'!$X$9:$X$108,MATCH(C450,'Facilities'!$C$9:$C$108,0))/INDEX('Facilities'!$AA$9:$AA$108,MATCH(C450,'Facilities'!$C$9:$C$108,0)))))*INDEX('Facilities'!$AJ$9:$AJ$108,MATCH(C450,'Facilities'!$C$9:$C$108,0))+Q450*INDEX('Facilities'!$AI$9:$AI$108,MATCH(C450,'Facilities'!$C$9:$C$108,0))*AF450)))</x:f>
      </x:c>
      <x:c r="AB450" s="21" t="str">
        <x:f>IF(C450="","",O450+P450-AD450)</x:f>
      </x:c>
      <x:c r="AC450" s="23" t="str">
        <x:f>IF(C450="","",IFERROR(IF(INDEX('Facilities'!$AD$9:$AD$108,MATCH(C450,'Facilities'!$C$9:$C$108,0))=3,0,IF(INDEX('Facilities'!$AN$9:$AN$108,MATCH(C450,'Facilities'!$C$9:$C$108,0))=0,-1,INDEX('Facilities'!$AN$9:$AN$108,MATCH(C450,'Facilities'!$C$9:$C$108,0)))),"Unavailable"))</x:f>
      </x:c>
      <x:c r="AD450" s="21" t="str">
        <x:f>IF(C450="","",IFERROR(G450+H450,"Unavailable"))</x:f>
      </x:c>
      <x:c r="AE450" s="21" t="str">
        <x:f>IF(C450="","",IF(AQ450&lt;&gt;"Ready","Unavailable",IF(C450="","",O450+P450-AD450-J450+K450+M450+N450)))</x:f>
      </x:c>
      <x:c r="AF450" s="30" t="str">
        <x:f>IF(C450="","",IFERROR(INDEX('Facilities'!$S$9:$S$108,MATCH(C450,'Facilities'!$C$9:$C$108,0))*'Scenario Paths'!J75,"Unavailable"))</x:f>
      </x:c>
      <x:c r="AG450" s="23" t="str">
        <x:f>IF(C450="","",IF(AQ450&lt;&gt;"Ready","Unavailable",IF(C450="","",IF(H450&gt;0,MAX(0,H450-AK450)*((1+INDEX('Facilities'!$K$9:$K$108,MATCH(C450,'Facilities'!$C$9:$C$108,0)))^MIN(1,MAX(0,AC450+INDEX('Facilities'!$AK$9:$AK$108,MATCH(C450,'Facilities'!$C$9:$C$108,0))-D450+1))-1),0))))</x:f>
      </x:c>
      <x:c r="AH450" s="21" t="str">
        <x:f>IF(C450="","",IF(AQ450&lt;&gt;"Ready","Unavailable",IF(C450="","",O450+P450)))</x:f>
      </x:c>
      <x:c r="AI450" s="21" t="str">
        <x:f>IF(C450="","",IF(AQ450&lt;&gt;"Ready","Unavailable",IF(C450="","",Z450-Y450)))</x:f>
      </x:c>
      <x:c r="AJ450" s="23" t="str">
        <x:f>IF(C450="","",IFERROR(MAX(0,INDEX('Facilities'!$J$9:$J$108,MATCH(C450,'Facilities'!$C$9:$C$108,0))-D450),"Unavailable"))</x:f>
      </x:c>
      <x:c r="AK450" s="21" t="str">
        <x:f>IF(C450="","",IFERROR(AL350,"Unavailable"))</x:f>
      </x:c>
      <x:c r="AL450" s="23" t="str">
        <x:f>IF(C450="","",IFERROR(IF(P450&gt;0,P450*(1-AM450/(1+INDEX('Facilities'!$K$9:$K$108,MATCH(C450,'Facilities'!$C$9:$C$108,0)))^MAX(0,AC450+INDEX('Facilities'!$AK$9:$AK$108,MATCH(C450,'Facilities'!$C$9:$C$108,0))-D450)),0),"Unavailable"))</x:f>
      </x:c>
      <x:c r="AM450" s="30" t="str">
        <x:f>IF(C450="","",IFERROR(INDEX('Facilities'!$AL$9:$AL$108,MATCH(C450,'Facilities'!$C$9:$C$108,0)),"Unavailable"))</x:f>
      </x:c>
      <x:c r="AN450" s="30" t="str">
        <x:f>IF(C450="","",IFERROR(INDEX(Credit!$T$409:$T$508,MATCH(F450,Credit!$C$409:$C$508,0)),"Unavailable"))</x:f>
      </x:c>
      <x:c r="AO450" s="23" t="str">
        <x:f>IF(C450="","",IF(AQ450&lt;&gt;"Ready","Unavailable",IF(C450="","",O450+P450+Q450*INDEX('Facilities'!$I$9:$I$108,MATCH(C450,'Facilities'!$C$9:$C$108,0)))))</x:f>
      </x:c>
      <x:c r="AP450" s="21" t="str">
        <x:f>IF(C450="","",IF(AQ450&lt;&gt;"Ready","Unavailable",IF(C450="","",AH450-U450)))</x:f>
      </x:c>
      <x:c r="AQ450" s="23" t="str">
        <x:f>IFERROR(IF(C450="","",IF(AND(INDEX('Facilities'!$AF$9:$AF$108,MATCH(C450,'Facilities'!$C$9:$C$108,0))="Ready",INDEX(Credit!$U$409:$U$508,MATCH(F450,Credit!$C$409:$C$508,0))="Ready",ISNUMBER(W450)),"Ready","Review inputs")),"Review inputs")</x:f>
      </x:c>
      <x:c r="AR450" s="23" t="str">
        <x:f>IF(C450="","",IF(AQ450&lt;&gt;"Ready","Unavailable",IF(C450="","",IF(O450=0,0,(IF(AJ450&lt;=1,O450,O450*INDEX('Facilities'!$R$9:$R$108,MATCH(C450,'Facilities'!$C$9:$C$108,0)))+O450*INDEX('Facilities'!$T$9:$T$108,MATCH(C450,'Facilities'!$C$9:$C$108,0)))/12))))</x:f>
      </x:c>
    </x:row>
    <x:row r="451" ht="26" customHeight="1">
      <x:c r="A451" s="1"/>
      <x:c r="B451" s="1"/>
      <x:c r="C451" s="9" t="str">
        <x:f>IF(Facilities!C51="","",Facilities!C51)</x:f>
      </x:c>
      <x:c r="D451" s="3" t="n">
        <x:v>5</x:v>
      </x:c>
      <x:c r="E451" s="9" t="n">
        <x:f>Settings!$F$18+4</x:f>
        <x:v>2031</x:v>
      </x:c>
      <x:c r="F451" s="9" t="str">
        <x:f>IF(C451="","",IFERROR(INDEX('Facilities'!$D$9:$D$108,MATCH(C451,'Facilities'!$C$9:$C$108,0)),"Unavailable"))</x:f>
      </x:c>
      <x:c r="G451" s="21" t="str">
        <x:f>IF(C451="","",IFERROR(O351,"Unavailable"))</x:f>
      </x:c>
      <x:c r="H451" s="21" t="str">
        <x:f>IF(C451="","",IFERROR(P351,"Unavailable"))</x:f>
      </x:c>
      <x:c r="I451" s="21" t="str">
        <x:f>IF(C451="","",IFERROR(Q351,"Unavailable"))</x:f>
      </x:c>
      <x:c r="J451" s="23" t="str">
        <x:f>IF(C451="","",IFERROR(IF(OR(H451&gt;0,AND(AC451&gt;=0,AC451&lt;D451),D451&gt;INDEX('Facilities'!$J$9:$J$108,MATCH(C451,'Facilities'!$C$9:$C$108,0))),0,I451*'Scenario Paths'!J81),"Unavailable"))</x:f>
      </x:c>
      <x:c r="K451" s="23" t="str">
        <x:f>IF(C451="","",IFERROR(IF(OR(H451&gt;0,AND(AC451&gt;=0,AC451=D451)),0,IF(D451&gt;=INDEX('Facilities'!$J$9:$J$108,MATCH(C451,'Facilities'!$C$9:$C$108,0)),G451+J451,MIN(G451+J451,G451*INDEX('Facilities'!$R$9:$R$108,MATCH(C451,'Facilities'!$C$9:$C$108,0))))),"Unavailable"))</x:f>
      </x:c>
      <x:c r="L451" s="21" t="str">
        <x:f>IF(C451="","",IFERROR(IF(AND(AC451=D451,AC451&gt;0),MAX(0,G451+J451-K451),0),"Unavailable"))</x:f>
      </x:c>
      <x:c r="M451" s="23" t="str">
        <x:f>IF(C451="","",IFERROR(IF(AND(AC451&gt;=0,D451&gt;=AC451+INDEX('Facilities'!$AK$9:$AK$108,MATCH(C451,'Facilities'!$C$9:$C$108,0))),(H451+L451)*AM451,0),"Unavailable"))</x:f>
      </x:c>
      <x:c r="N451" s="23" t="str">
        <x:f>IF(C451="","",IFERROR(IF(AND(AC451&gt;=0,D451&gt;=AC451+INDEX('Facilities'!$AK$9:$AK$108,MATCH(C451,'Facilities'!$C$9:$C$108,0))),H451+L451-M451,0),"Unavailable"))</x:f>
      </x:c>
      <x:c r="O451" s="21" t="str">
        <x:f>IF(C451="","",IFERROR(MAX(0,G451+J451-K451-L451),"Unavailable"))</x:f>
      </x:c>
      <x:c r="P451" s="21" t="str">
        <x:f>IF(C451="","",IFERROR(MAX(0,H451+L451-M451-N451),"Unavailable"))</x:f>
      </x:c>
      <x:c r="Q451" s="23" t="str">
        <x:f>IF(C451="","",IFERROR(IF(OR(D451&gt;=INDEX('Facilities'!$J$9:$J$108,MATCH(C451,'Facilities'!$C$9:$C$108,0)),AND(AC451&gt;=0,AC451&lt;=D451)),0,MAX(0,I451-J451)),"Unavailable"))</x:f>
      </x:c>
      <x:c r="R451" s="30" t="str">
        <x:f>IF(C451="","",IFERROR(INDEX(Credit!$Q$409:$Q$508,MATCH(F451,Credit!$C$409:$C$508,0)),"Unavailable"))</x:f>
      </x:c>
      <x:c r="S451" s="30" t="str">
        <x:f>IF(C451="","",IFERROR(INDEX(Credit!$R$409:$R$508,MATCH(F451,Credit!$C$409:$C$508,0)),"Unavailable"))</x:f>
      </x:c>
      <x:c r="T451" s="23" t="str">
        <x:f>IF(C451="","",IFERROR(IF(P451&gt;0,3,IF(OR(INDEX('Facilities'!$AD$9:$AD$108,MATCH(C451,'Facilities'!$C$9:$C$108,0))=2,AND(R451&gt;=INDEX('Facilities'!$L$9:$L$108,MATCH(C451,'Facilities'!$C$9:$C$108,0))*Settings!$F$19,R451-INDEX('Facilities'!$L$9:$L$108,MATCH(C451,'Facilities'!$C$9:$C$108,0))&gt;=Settings!$F$20)),2,1)),"Unavailable"))</x:f>
      </x:c>
      <x:c r="U451" s="23" t="str">
        <x:f>IF(C451="","",IF(AQ451&lt;&gt;"Ready","Unavailable",IF(C451="","",O451*(1-(1-S451)/(1+INDEX('Facilities'!$K$9:$K$108,MATCH(C451,'Facilities'!$C$9:$C$108,0)))^INDEX('Facilities'!$AK$9:$AK$108,MATCH(C451,'Facilities'!$C$9:$C$108,0)))*R451/(1+INDEX('Facilities'!$K$9:$K$108,MATCH(C451,'Facilities'!$C$9:$C$108,0)))*IF(ABS(1-(1-R451)*(1-INDEX('Facilities'!$R$9:$R$108,MATCH(C451,'Facilities'!$C$9:$C$108,0)))/(1+INDEX('Facilities'!$K$9:$K$108,MATCH(C451,'Facilities'!$C$9:$C$108,0))))&lt;0.000000001,IF(T451=1,MIN(1,AJ451),AJ451),(1-((1-R451)*(1-INDEX('Facilities'!$R$9:$R$108,MATCH(C451,'Facilities'!$C$9:$C$108,0)))/(1+INDEX('Facilities'!$K$9:$K$108,MATCH(C451,'Facilities'!$C$9:$C$108,0))))^IF(T451=1,MIN(1,AJ451),AJ451))/(1-(1-R451)*(1-INDEX('Facilities'!$R$9:$R$108,MATCH(C451,'Facilities'!$C$9:$C$108,0)))/(1+INDEX('Facilities'!$K$9:$K$108,MATCH(C451,'Facilities'!$C$9:$C$108,0)))))+AL451)))</x:f>
      </x:c>
      <x:c r="V451" s="23" t="str">
        <x:f>IF(C451="","",IF(AQ451&lt;&gt;"Ready","Unavailable",IF(C451="","",Q451*INDEX('Facilities'!$I$9:$I$108,MATCH(C451,'Facilities'!$C$9:$C$108,0))*(1-(1-S451)/(1+INDEX('Facilities'!$K$9:$K$108,MATCH(C451,'Facilities'!$C$9:$C$108,0)))^INDEX('Facilities'!$AK$9:$AK$108,MATCH(C451,'Facilities'!$C$9:$C$108,0)))*R451/(1+INDEX('Facilities'!$K$9:$K$108,MATCH(C451,'Facilities'!$C$9:$C$108,0)))*IF(ABS(1-(1-R451)*(1-0)/(1+INDEX('Facilities'!$K$9:$K$108,MATCH(C451,'Facilities'!$C$9:$C$108,0))))&lt;0.000000001,IF(T451=1,MIN(1,AJ451),AJ451),(1-((1-R451)*(1-0)/(1+INDEX('Facilities'!$K$9:$K$108,MATCH(C451,'Facilities'!$C$9:$C$108,0))))^IF(T451=1,MIN(1,AJ451),AJ451))/(1-(1-R451)*(1-0)/(1+INDEX('Facilities'!$K$9:$K$108,MATCH(C451,'Facilities'!$C$9:$C$108,0))))))))</x:f>
      </x:c>
      <x:c r="W451" s="21" t="str">
        <x:f>IF(C451="","",IFERROR(U351,"Unavailable"))</x:f>
      </x:c>
      <x:c r="X451" s="21" t="str">
        <x:f>IF(C451="","",IFERROR(V351,"Unavailable"))</x:f>
      </x:c>
      <x:c r="Y451" s="21" t="str">
        <x:f>IF(C451="","",IF(AQ451&lt;&gt;"Ready","Unavailable",IF(C451="","",U451-W451+V451-X451+N451+AG451)))</x:f>
      </x:c>
      <x:c r="Z451" s="23" t="str">
        <x:f>IF(C451="","",IF(AQ451&lt;&gt;"Ready","Unavailable",IF(C451="","",(G451+O451+L451)/2*INDEX('Facilities'!$T$9:$T$108,MATCH(C451,'Facilities'!$C$9:$C$108,0))+AG451)))</x:f>
      </x:c>
      <x:c r="AA451" s="23" t="str">
        <x:f>IF(C451="","",IF(AQ451&lt;&gt;"Ready","Unavailable",IF(C451="","",O451*(1-IF(INDEX('Facilities'!$AA$9:$AA$108,MATCH(C451,'Facilities'!$C$9:$C$108,0))=0,0,MIN(1,INDEX('Facilities'!$X$9:$X$108,MATCH(C451,'Facilities'!$C$9:$C$108,0))/INDEX('Facilities'!$AA$9:$AA$108,MATCH(C451,'Facilities'!$C$9:$C$108,0)))))*AF451+P451*(1-IF(INDEX('Facilities'!$AA$9:$AA$108,MATCH(C451,'Facilities'!$C$9:$C$108,0))=0,0,MIN(1,INDEX('Facilities'!$X$9:$X$108,MATCH(C451,'Facilities'!$C$9:$C$108,0))/INDEX('Facilities'!$AA$9:$AA$108,MATCH(C451,'Facilities'!$C$9:$C$108,0)))))*INDEX('Facilities'!$AJ$9:$AJ$108,MATCH(C451,'Facilities'!$C$9:$C$108,0))+Q451*INDEX('Facilities'!$AI$9:$AI$108,MATCH(C451,'Facilities'!$C$9:$C$108,0))*AF451)))</x:f>
      </x:c>
      <x:c r="AB451" s="21" t="str">
        <x:f>IF(C451="","",O451+P451-AD451)</x:f>
      </x:c>
      <x:c r="AC451" s="23" t="str">
        <x:f>IF(C451="","",IFERROR(IF(INDEX('Facilities'!$AD$9:$AD$108,MATCH(C451,'Facilities'!$C$9:$C$108,0))=3,0,IF(INDEX('Facilities'!$AN$9:$AN$108,MATCH(C451,'Facilities'!$C$9:$C$108,0))=0,-1,INDEX('Facilities'!$AN$9:$AN$108,MATCH(C451,'Facilities'!$C$9:$C$108,0)))),"Unavailable"))</x:f>
      </x:c>
      <x:c r="AD451" s="21" t="str">
        <x:f>IF(C451="","",IFERROR(G451+H451,"Unavailable"))</x:f>
      </x:c>
      <x:c r="AE451" s="21" t="str">
        <x:f>IF(C451="","",IF(AQ451&lt;&gt;"Ready","Unavailable",IF(C451="","",O451+P451-AD451-J451+K451+M451+N451)))</x:f>
      </x:c>
      <x:c r="AF451" s="30" t="str">
        <x:f>IF(C451="","",IFERROR(INDEX('Facilities'!$S$9:$S$108,MATCH(C451,'Facilities'!$C$9:$C$108,0))*'Scenario Paths'!J75,"Unavailable"))</x:f>
      </x:c>
      <x:c r="AG451" s="23" t="str">
        <x:f>IF(C451="","",IF(AQ451&lt;&gt;"Ready","Unavailable",IF(C451="","",IF(H451&gt;0,MAX(0,H451-AK451)*((1+INDEX('Facilities'!$K$9:$K$108,MATCH(C451,'Facilities'!$C$9:$C$108,0)))^MIN(1,MAX(0,AC451+INDEX('Facilities'!$AK$9:$AK$108,MATCH(C451,'Facilities'!$C$9:$C$108,0))-D451+1))-1),0))))</x:f>
      </x:c>
      <x:c r="AH451" s="21" t="str">
        <x:f>IF(C451="","",IF(AQ451&lt;&gt;"Ready","Unavailable",IF(C451="","",O451+P451)))</x:f>
      </x:c>
      <x:c r="AI451" s="21" t="str">
        <x:f>IF(C451="","",IF(AQ451&lt;&gt;"Ready","Unavailable",IF(C451="","",Z451-Y451)))</x:f>
      </x:c>
      <x:c r="AJ451" s="23" t="str">
        <x:f>IF(C451="","",IFERROR(MAX(0,INDEX('Facilities'!$J$9:$J$108,MATCH(C451,'Facilities'!$C$9:$C$108,0))-D451),"Unavailable"))</x:f>
      </x:c>
      <x:c r="AK451" s="21" t="str">
        <x:f>IF(C451="","",IFERROR(AL351,"Unavailable"))</x:f>
      </x:c>
      <x:c r="AL451" s="23" t="str">
        <x:f>IF(C451="","",IFERROR(IF(P451&gt;0,P451*(1-AM451/(1+INDEX('Facilities'!$K$9:$K$108,MATCH(C451,'Facilities'!$C$9:$C$108,0)))^MAX(0,AC451+INDEX('Facilities'!$AK$9:$AK$108,MATCH(C451,'Facilities'!$C$9:$C$108,0))-D451)),0),"Unavailable"))</x:f>
      </x:c>
      <x:c r="AM451" s="30" t="str">
        <x:f>IF(C451="","",IFERROR(INDEX('Facilities'!$AL$9:$AL$108,MATCH(C451,'Facilities'!$C$9:$C$108,0)),"Unavailable"))</x:f>
      </x:c>
      <x:c r="AN451" s="30" t="str">
        <x:f>IF(C451="","",IFERROR(INDEX(Credit!$T$409:$T$508,MATCH(F451,Credit!$C$409:$C$508,0)),"Unavailable"))</x:f>
      </x:c>
      <x:c r="AO451" s="23" t="str">
        <x:f>IF(C451="","",IF(AQ451&lt;&gt;"Ready","Unavailable",IF(C451="","",O451+P451+Q451*INDEX('Facilities'!$I$9:$I$108,MATCH(C451,'Facilities'!$C$9:$C$108,0)))))</x:f>
      </x:c>
      <x:c r="AP451" s="21" t="str">
        <x:f>IF(C451="","",IF(AQ451&lt;&gt;"Ready","Unavailable",IF(C451="","",AH451-U451)))</x:f>
      </x:c>
      <x:c r="AQ451" s="23" t="str">
        <x:f>IFERROR(IF(C451="","",IF(AND(INDEX('Facilities'!$AF$9:$AF$108,MATCH(C451,'Facilities'!$C$9:$C$108,0))="Ready",INDEX(Credit!$U$409:$U$508,MATCH(F451,Credit!$C$409:$C$508,0))="Ready",ISNUMBER(W451)),"Ready","Review inputs")),"Review inputs")</x:f>
      </x:c>
      <x:c r="AR451" s="23" t="str">
        <x:f>IF(C451="","",IF(AQ451&lt;&gt;"Ready","Unavailable",IF(C451="","",IF(O451=0,0,(IF(AJ451&lt;=1,O451,O451*INDEX('Facilities'!$R$9:$R$108,MATCH(C451,'Facilities'!$C$9:$C$108,0)))+O451*INDEX('Facilities'!$T$9:$T$108,MATCH(C451,'Facilities'!$C$9:$C$108,0)))/12))))</x:f>
      </x:c>
    </x:row>
    <x:row r="452" ht="26" customHeight="1">
      <x:c r="A452" s="1"/>
      <x:c r="B452" s="1"/>
      <x:c r="C452" s="9" t="str">
        <x:f>IF(Facilities!C52="","",Facilities!C52)</x:f>
      </x:c>
      <x:c r="D452" s="3" t="n">
        <x:v>5</x:v>
      </x:c>
      <x:c r="E452" s="9" t="n">
        <x:f>Settings!$F$18+4</x:f>
        <x:v>2031</x:v>
      </x:c>
      <x:c r="F452" s="9" t="str">
        <x:f>IF(C452="","",IFERROR(INDEX('Facilities'!$D$9:$D$108,MATCH(C452,'Facilities'!$C$9:$C$108,0)),"Unavailable"))</x:f>
      </x:c>
      <x:c r="G452" s="21" t="str">
        <x:f>IF(C452="","",IFERROR(O352,"Unavailable"))</x:f>
      </x:c>
      <x:c r="H452" s="21" t="str">
        <x:f>IF(C452="","",IFERROR(P352,"Unavailable"))</x:f>
      </x:c>
      <x:c r="I452" s="21" t="str">
        <x:f>IF(C452="","",IFERROR(Q352,"Unavailable"))</x:f>
      </x:c>
      <x:c r="J452" s="23" t="str">
        <x:f>IF(C452="","",IFERROR(IF(OR(H452&gt;0,AND(AC452&gt;=0,AC452&lt;D452),D452&gt;INDEX('Facilities'!$J$9:$J$108,MATCH(C452,'Facilities'!$C$9:$C$108,0))),0,I452*'Scenario Paths'!J81),"Unavailable"))</x:f>
      </x:c>
      <x:c r="K452" s="23" t="str">
        <x:f>IF(C452="","",IFERROR(IF(OR(H452&gt;0,AND(AC452&gt;=0,AC452=D452)),0,IF(D452&gt;=INDEX('Facilities'!$J$9:$J$108,MATCH(C452,'Facilities'!$C$9:$C$108,0)),G452+J452,MIN(G452+J452,G452*INDEX('Facilities'!$R$9:$R$108,MATCH(C452,'Facilities'!$C$9:$C$108,0))))),"Unavailable"))</x:f>
      </x:c>
      <x:c r="L452" s="21" t="str">
        <x:f>IF(C452="","",IFERROR(IF(AND(AC452=D452,AC452&gt;0),MAX(0,G452+J452-K452),0),"Unavailable"))</x:f>
      </x:c>
      <x:c r="M452" s="23" t="str">
        <x:f>IF(C452="","",IFERROR(IF(AND(AC452&gt;=0,D452&gt;=AC452+INDEX('Facilities'!$AK$9:$AK$108,MATCH(C452,'Facilities'!$C$9:$C$108,0))),(H452+L452)*AM452,0),"Unavailable"))</x:f>
      </x:c>
      <x:c r="N452" s="23" t="str">
        <x:f>IF(C452="","",IFERROR(IF(AND(AC452&gt;=0,D452&gt;=AC452+INDEX('Facilities'!$AK$9:$AK$108,MATCH(C452,'Facilities'!$C$9:$C$108,0))),H452+L452-M452,0),"Unavailable"))</x:f>
      </x:c>
      <x:c r="O452" s="21" t="str">
        <x:f>IF(C452="","",IFERROR(MAX(0,G452+J452-K452-L452),"Unavailable"))</x:f>
      </x:c>
      <x:c r="P452" s="21" t="str">
        <x:f>IF(C452="","",IFERROR(MAX(0,H452+L452-M452-N452),"Unavailable"))</x:f>
      </x:c>
      <x:c r="Q452" s="23" t="str">
        <x:f>IF(C452="","",IFERROR(IF(OR(D452&gt;=INDEX('Facilities'!$J$9:$J$108,MATCH(C452,'Facilities'!$C$9:$C$108,0)),AND(AC452&gt;=0,AC452&lt;=D452)),0,MAX(0,I452-J452)),"Unavailable"))</x:f>
      </x:c>
      <x:c r="R452" s="30" t="str">
        <x:f>IF(C452="","",IFERROR(INDEX(Credit!$Q$409:$Q$508,MATCH(F452,Credit!$C$409:$C$508,0)),"Unavailable"))</x:f>
      </x:c>
      <x:c r="S452" s="30" t="str">
        <x:f>IF(C452="","",IFERROR(INDEX(Credit!$R$409:$R$508,MATCH(F452,Credit!$C$409:$C$508,0)),"Unavailable"))</x:f>
      </x:c>
      <x:c r="T452" s="23" t="str">
        <x:f>IF(C452="","",IFERROR(IF(P452&gt;0,3,IF(OR(INDEX('Facilities'!$AD$9:$AD$108,MATCH(C452,'Facilities'!$C$9:$C$108,0))=2,AND(R452&gt;=INDEX('Facilities'!$L$9:$L$108,MATCH(C452,'Facilities'!$C$9:$C$108,0))*Settings!$F$19,R452-INDEX('Facilities'!$L$9:$L$108,MATCH(C452,'Facilities'!$C$9:$C$108,0))&gt;=Settings!$F$20)),2,1)),"Unavailable"))</x:f>
      </x:c>
      <x:c r="U452" s="23" t="str">
        <x:f>IF(C452="","",IF(AQ452&lt;&gt;"Ready","Unavailable",IF(C452="","",O452*(1-(1-S452)/(1+INDEX('Facilities'!$K$9:$K$108,MATCH(C452,'Facilities'!$C$9:$C$108,0)))^INDEX('Facilities'!$AK$9:$AK$108,MATCH(C452,'Facilities'!$C$9:$C$108,0)))*R452/(1+INDEX('Facilities'!$K$9:$K$108,MATCH(C452,'Facilities'!$C$9:$C$108,0)))*IF(ABS(1-(1-R452)*(1-INDEX('Facilities'!$R$9:$R$108,MATCH(C452,'Facilities'!$C$9:$C$108,0)))/(1+INDEX('Facilities'!$K$9:$K$108,MATCH(C452,'Facilities'!$C$9:$C$108,0))))&lt;0.000000001,IF(T452=1,MIN(1,AJ452),AJ452),(1-((1-R452)*(1-INDEX('Facilities'!$R$9:$R$108,MATCH(C452,'Facilities'!$C$9:$C$108,0)))/(1+INDEX('Facilities'!$K$9:$K$108,MATCH(C452,'Facilities'!$C$9:$C$108,0))))^IF(T452=1,MIN(1,AJ452),AJ452))/(1-(1-R452)*(1-INDEX('Facilities'!$R$9:$R$108,MATCH(C452,'Facilities'!$C$9:$C$108,0)))/(1+INDEX('Facilities'!$K$9:$K$108,MATCH(C452,'Facilities'!$C$9:$C$108,0)))))+AL452)))</x:f>
      </x:c>
      <x:c r="V452" s="23" t="str">
        <x:f>IF(C452="","",IF(AQ452&lt;&gt;"Ready","Unavailable",IF(C452="","",Q452*INDEX('Facilities'!$I$9:$I$108,MATCH(C452,'Facilities'!$C$9:$C$108,0))*(1-(1-S452)/(1+INDEX('Facilities'!$K$9:$K$108,MATCH(C452,'Facilities'!$C$9:$C$108,0)))^INDEX('Facilities'!$AK$9:$AK$108,MATCH(C452,'Facilities'!$C$9:$C$108,0)))*R452/(1+INDEX('Facilities'!$K$9:$K$108,MATCH(C452,'Facilities'!$C$9:$C$108,0)))*IF(ABS(1-(1-R452)*(1-0)/(1+INDEX('Facilities'!$K$9:$K$108,MATCH(C452,'Facilities'!$C$9:$C$108,0))))&lt;0.000000001,IF(T452=1,MIN(1,AJ452),AJ452),(1-((1-R452)*(1-0)/(1+INDEX('Facilities'!$K$9:$K$108,MATCH(C452,'Facilities'!$C$9:$C$108,0))))^IF(T452=1,MIN(1,AJ452),AJ452))/(1-(1-R452)*(1-0)/(1+INDEX('Facilities'!$K$9:$K$108,MATCH(C452,'Facilities'!$C$9:$C$108,0))))))))</x:f>
      </x:c>
      <x:c r="W452" s="21" t="str">
        <x:f>IF(C452="","",IFERROR(U352,"Unavailable"))</x:f>
      </x:c>
      <x:c r="X452" s="21" t="str">
        <x:f>IF(C452="","",IFERROR(V352,"Unavailable"))</x:f>
      </x:c>
      <x:c r="Y452" s="21" t="str">
        <x:f>IF(C452="","",IF(AQ452&lt;&gt;"Ready","Unavailable",IF(C452="","",U452-W452+V452-X452+N452+AG452)))</x:f>
      </x:c>
      <x:c r="Z452" s="23" t="str">
        <x:f>IF(C452="","",IF(AQ452&lt;&gt;"Ready","Unavailable",IF(C452="","",(G452+O452+L452)/2*INDEX('Facilities'!$T$9:$T$108,MATCH(C452,'Facilities'!$C$9:$C$108,0))+AG452)))</x:f>
      </x:c>
      <x:c r="AA452" s="23" t="str">
        <x:f>IF(C452="","",IF(AQ452&lt;&gt;"Ready","Unavailable",IF(C452="","",O452*(1-IF(INDEX('Facilities'!$AA$9:$AA$108,MATCH(C452,'Facilities'!$C$9:$C$108,0))=0,0,MIN(1,INDEX('Facilities'!$X$9:$X$108,MATCH(C452,'Facilities'!$C$9:$C$108,0))/INDEX('Facilities'!$AA$9:$AA$108,MATCH(C452,'Facilities'!$C$9:$C$108,0)))))*AF452+P452*(1-IF(INDEX('Facilities'!$AA$9:$AA$108,MATCH(C452,'Facilities'!$C$9:$C$108,0))=0,0,MIN(1,INDEX('Facilities'!$X$9:$X$108,MATCH(C452,'Facilities'!$C$9:$C$108,0))/INDEX('Facilities'!$AA$9:$AA$108,MATCH(C452,'Facilities'!$C$9:$C$108,0)))))*INDEX('Facilities'!$AJ$9:$AJ$108,MATCH(C452,'Facilities'!$C$9:$C$108,0))+Q452*INDEX('Facilities'!$AI$9:$AI$108,MATCH(C452,'Facilities'!$C$9:$C$108,0))*AF452)))</x:f>
      </x:c>
      <x:c r="AB452" s="21" t="str">
        <x:f>IF(C452="","",O452+P452-AD452)</x:f>
      </x:c>
      <x:c r="AC452" s="23" t="str">
        <x:f>IF(C452="","",IFERROR(IF(INDEX('Facilities'!$AD$9:$AD$108,MATCH(C452,'Facilities'!$C$9:$C$108,0))=3,0,IF(INDEX('Facilities'!$AN$9:$AN$108,MATCH(C452,'Facilities'!$C$9:$C$108,0))=0,-1,INDEX('Facilities'!$AN$9:$AN$108,MATCH(C452,'Facilities'!$C$9:$C$108,0)))),"Unavailable"))</x:f>
      </x:c>
      <x:c r="AD452" s="21" t="str">
        <x:f>IF(C452="","",IFERROR(G452+H452,"Unavailable"))</x:f>
      </x:c>
      <x:c r="AE452" s="21" t="str">
        <x:f>IF(C452="","",IF(AQ452&lt;&gt;"Ready","Unavailable",IF(C452="","",O452+P452-AD452-J452+K452+M452+N452)))</x:f>
      </x:c>
      <x:c r="AF452" s="30" t="str">
        <x:f>IF(C452="","",IFERROR(INDEX('Facilities'!$S$9:$S$108,MATCH(C452,'Facilities'!$C$9:$C$108,0))*'Scenario Paths'!J75,"Unavailable"))</x:f>
      </x:c>
      <x:c r="AG452" s="23" t="str">
        <x:f>IF(C452="","",IF(AQ452&lt;&gt;"Ready","Unavailable",IF(C452="","",IF(H452&gt;0,MAX(0,H452-AK452)*((1+INDEX('Facilities'!$K$9:$K$108,MATCH(C452,'Facilities'!$C$9:$C$108,0)))^MIN(1,MAX(0,AC452+INDEX('Facilities'!$AK$9:$AK$108,MATCH(C452,'Facilities'!$C$9:$C$108,0))-D452+1))-1),0))))</x:f>
      </x:c>
      <x:c r="AH452" s="21" t="str">
        <x:f>IF(C452="","",IF(AQ452&lt;&gt;"Ready","Unavailable",IF(C452="","",O452+P452)))</x:f>
      </x:c>
      <x:c r="AI452" s="21" t="str">
        <x:f>IF(C452="","",IF(AQ452&lt;&gt;"Ready","Unavailable",IF(C452="","",Z452-Y452)))</x:f>
      </x:c>
      <x:c r="AJ452" s="23" t="str">
        <x:f>IF(C452="","",IFERROR(MAX(0,INDEX('Facilities'!$J$9:$J$108,MATCH(C452,'Facilities'!$C$9:$C$108,0))-D452),"Unavailable"))</x:f>
      </x:c>
      <x:c r="AK452" s="21" t="str">
        <x:f>IF(C452="","",IFERROR(AL352,"Unavailable"))</x:f>
      </x:c>
      <x:c r="AL452" s="23" t="str">
        <x:f>IF(C452="","",IFERROR(IF(P452&gt;0,P452*(1-AM452/(1+INDEX('Facilities'!$K$9:$K$108,MATCH(C452,'Facilities'!$C$9:$C$108,0)))^MAX(0,AC452+INDEX('Facilities'!$AK$9:$AK$108,MATCH(C452,'Facilities'!$C$9:$C$108,0))-D452)),0),"Unavailable"))</x:f>
      </x:c>
      <x:c r="AM452" s="30" t="str">
        <x:f>IF(C452="","",IFERROR(INDEX('Facilities'!$AL$9:$AL$108,MATCH(C452,'Facilities'!$C$9:$C$108,0)),"Unavailable"))</x:f>
      </x:c>
      <x:c r="AN452" s="30" t="str">
        <x:f>IF(C452="","",IFERROR(INDEX(Credit!$T$409:$T$508,MATCH(F452,Credit!$C$409:$C$508,0)),"Unavailable"))</x:f>
      </x:c>
      <x:c r="AO452" s="23" t="str">
        <x:f>IF(C452="","",IF(AQ452&lt;&gt;"Ready","Unavailable",IF(C452="","",O452+P452+Q452*INDEX('Facilities'!$I$9:$I$108,MATCH(C452,'Facilities'!$C$9:$C$108,0)))))</x:f>
      </x:c>
      <x:c r="AP452" s="21" t="str">
        <x:f>IF(C452="","",IF(AQ452&lt;&gt;"Ready","Unavailable",IF(C452="","",AH452-U452)))</x:f>
      </x:c>
      <x:c r="AQ452" s="23" t="str">
        <x:f>IFERROR(IF(C452="","",IF(AND(INDEX('Facilities'!$AF$9:$AF$108,MATCH(C452,'Facilities'!$C$9:$C$108,0))="Ready",INDEX(Credit!$U$409:$U$508,MATCH(F452,Credit!$C$409:$C$508,0))="Ready",ISNUMBER(W452)),"Ready","Review inputs")),"Review inputs")</x:f>
      </x:c>
      <x:c r="AR452" s="23" t="str">
        <x:f>IF(C452="","",IF(AQ452&lt;&gt;"Ready","Unavailable",IF(C452="","",IF(O452=0,0,(IF(AJ452&lt;=1,O452,O452*INDEX('Facilities'!$R$9:$R$108,MATCH(C452,'Facilities'!$C$9:$C$108,0)))+O452*INDEX('Facilities'!$T$9:$T$108,MATCH(C452,'Facilities'!$C$9:$C$108,0)))/12))))</x:f>
      </x:c>
    </x:row>
    <x:row r="453" ht="26" customHeight="1">
      <x:c r="A453" s="1"/>
      <x:c r="B453" s="1"/>
      <x:c r="C453" s="9" t="str">
        <x:f>IF(Facilities!C53="","",Facilities!C53)</x:f>
      </x:c>
      <x:c r="D453" s="3" t="n">
        <x:v>5</x:v>
      </x:c>
      <x:c r="E453" s="9" t="n">
        <x:f>Settings!$F$18+4</x:f>
        <x:v>2031</x:v>
      </x:c>
      <x:c r="F453" s="9" t="str">
        <x:f>IF(C453="","",IFERROR(INDEX('Facilities'!$D$9:$D$108,MATCH(C453,'Facilities'!$C$9:$C$108,0)),"Unavailable"))</x:f>
      </x:c>
      <x:c r="G453" s="21" t="str">
        <x:f>IF(C453="","",IFERROR(O353,"Unavailable"))</x:f>
      </x:c>
      <x:c r="H453" s="21" t="str">
        <x:f>IF(C453="","",IFERROR(P353,"Unavailable"))</x:f>
      </x:c>
      <x:c r="I453" s="21" t="str">
        <x:f>IF(C453="","",IFERROR(Q353,"Unavailable"))</x:f>
      </x:c>
      <x:c r="J453" s="23" t="str">
        <x:f>IF(C453="","",IFERROR(IF(OR(H453&gt;0,AND(AC453&gt;=0,AC453&lt;D453),D453&gt;INDEX('Facilities'!$J$9:$J$108,MATCH(C453,'Facilities'!$C$9:$C$108,0))),0,I453*'Scenario Paths'!J81),"Unavailable"))</x:f>
      </x:c>
      <x:c r="K453" s="23" t="str">
        <x:f>IF(C453="","",IFERROR(IF(OR(H453&gt;0,AND(AC453&gt;=0,AC453=D453)),0,IF(D453&gt;=INDEX('Facilities'!$J$9:$J$108,MATCH(C453,'Facilities'!$C$9:$C$108,0)),G453+J453,MIN(G453+J453,G453*INDEX('Facilities'!$R$9:$R$108,MATCH(C453,'Facilities'!$C$9:$C$108,0))))),"Unavailable"))</x:f>
      </x:c>
      <x:c r="L453" s="21" t="str">
        <x:f>IF(C453="","",IFERROR(IF(AND(AC453=D453,AC453&gt;0),MAX(0,G453+J453-K453),0),"Unavailable"))</x:f>
      </x:c>
      <x:c r="M453" s="23" t="str">
        <x:f>IF(C453="","",IFERROR(IF(AND(AC453&gt;=0,D453&gt;=AC453+INDEX('Facilities'!$AK$9:$AK$108,MATCH(C453,'Facilities'!$C$9:$C$108,0))),(H453+L453)*AM453,0),"Unavailable"))</x:f>
      </x:c>
      <x:c r="N453" s="23" t="str">
        <x:f>IF(C453="","",IFERROR(IF(AND(AC453&gt;=0,D453&gt;=AC453+INDEX('Facilities'!$AK$9:$AK$108,MATCH(C453,'Facilities'!$C$9:$C$108,0))),H453+L453-M453,0),"Unavailable"))</x:f>
      </x:c>
      <x:c r="O453" s="21" t="str">
        <x:f>IF(C453="","",IFERROR(MAX(0,G453+J453-K453-L453),"Unavailable"))</x:f>
      </x:c>
      <x:c r="P453" s="21" t="str">
        <x:f>IF(C453="","",IFERROR(MAX(0,H453+L453-M453-N453),"Unavailable"))</x:f>
      </x:c>
      <x:c r="Q453" s="23" t="str">
        <x:f>IF(C453="","",IFERROR(IF(OR(D453&gt;=INDEX('Facilities'!$J$9:$J$108,MATCH(C453,'Facilities'!$C$9:$C$108,0)),AND(AC453&gt;=0,AC453&lt;=D453)),0,MAX(0,I453-J453)),"Unavailable"))</x:f>
      </x:c>
      <x:c r="R453" s="30" t="str">
        <x:f>IF(C453="","",IFERROR(INDEX(Credit!$Q$409:$Q$508,MATCH(F453,Credit!$C$409:$C$508,0)),"Unavailable"))</x:f>
      </x:c>
      <x:c r="S453" s="30" t="str">
        <x:f>IF(C453="","",IFERROR(INDEX(Credit!$R$409:$R$508,MATCH(F453,Credit!$C$409:$C$508,0)),"Unavailable"))</x:f>
      </x:c>
      <x:c r="T453" s="23" t="str">
        <x:f>IF(C453="","",IFERROR(IF(P453&gt;0,3,IF(OR(INDEX('Facilities'!$AD$9:$AD$108,MATCH(C453,'Facilities'!$C$9:$C$108,0))=2,AND(R453&gt;=INDEX('Facilities'!$L$9:$L$108,MATCH(C453,'Facilities'!$C$9:$C$108,0))*Settings!$F$19,R453-INDEX('Facilities'!$L$9:$L$108,MATCH(C453,'Facilities'!$C$9:$C$108,0))&gt;=Settings!$F$20)),2,1)),"Unavailable"))</x:f>
      </x:c>
      <x:c r="U453" s="23" t="str">
        <x:f>IF(C453="","",IF(AQ453&lt;&gt;"Ready","Unavailable",IF(C453="","",O453*(1-(1-S453)/(1+INDEX('Facilities'!$K$9:$K$108,MATCH(C453,'Facilities'!$C$9:$C$108,0)))^INDEX('Facilities'!$AK$9:$AK$108,MATCH(C453,'Facilities'!$C$9:$C$108,0)))*R453/(1+INDEX('Facilities'!$K$9:$K$108,MATCH(C453,'Facilities'!$C$9:$C$108,0)))*IF(ABS(1-(1-R453)*(1-INDEX('Facilities'!$R$9:$R$108,MATCH(C453,'Facilities'!$C$9:$C$108,0)))/(1+INDEX('Facilities'!$K$9:$K$108,MATCH(C453,'Facilities'!$C$9:$C$108,0))))&lt;0.000000001,IF(T453=1,MIN(1,AJ453),AJ453),(1-((1-R453)*(1-INDEX('Facilities'!$R$9:$R$108,MATCH(C453,'Facilities'!$C$9:$C$108,0)))/(1+INDEX('Facilities'!$K$9:$K$108,MATCH(C453,'Facilities'!$C$9:$C$108,0))))^IF(T453=1,MIN(1,AJ453),AJ453))/(1-(1-R453)*(1-INDEX('Facilities'!$R$9:$R$108,MATCH(C453,'Facilities'!$C$9:$C$108,0)))/(1+INDEX('Facilities'!$K$9:$K$108,MATCH(C453,'Facilities'!$C$9:$C$108,0)))))+AL453)))</x:f>
      </x:c>
      <x:c r="V453" s="23" t="str">
        <x:f>IF(C453="","",IF(AQ453&lt;&gt;"Ready","Unavailable",IF(C453="","",Q453*INDEX('Facilities'!$I$9:$I$108,MATCH(C453,'Facilities'!$C$9:$C$108,0))*(1-(1-S453)/(1+INDEX('Facilities'!$K$9:$K$108,MATCH(C453,'Facilities'!$C$9:$C$108,0)))^INDEX('Facilities'!$AK$9:$AK$108,MATCH(C453,'Facilities'!$C$9:$C$108,0)))*R453/(1+INDEX('Facilities'!$K$9:$K$108,MATCH(C453,'Facilities'!$C$9:$C$108,0)))*IF(ABS(1-(1-R453)*(1-0)/(1+INDEX('Facilities'!$K$9:$K$108,MATCH(C453,'Facilities'!$C$9:$C$108,0))))&lt;0.000000001,IF(T453=1,MIN(1,AJ453),AJ453),(1-((1-R453)*(1-0)/(1+INDEX('Facilities'!$K$9:$K$108,MATCH(C453,'Facilities'!$C$9:$C$108,0))))^IF(T453=1,MIN(1,AJ453),AJ453))/(1-(1-R453)*(1-0)/(1+INDEX('Facilities'!$K$9:$K$108,MATCH(C453,'Facilities'!$C$9:$C$108,0))))))))</x:f>
      </x:c>
      <x:c r="W453" s="21" t="str">
        <x:f>IF(C453="","",IFERROR(U353,"Unavailable"))</x:f>
      </x:c>
      <x:c r="X453" s="21" t="str">
        <x:f>IF(C453="","",IFERROR(V353,"Unavailable"))</x:f>
      </x:c>
      <x:c r="Y453" s="21" t="str">
        <x:f>IF(C453="","",IF(AQ453&lt;&gt;"Ready","Unavailable",IF(C453="","",U453-W453+V453-X453+N453+AG453)))</x:f>
      </x:c>
      <x:c r="Z453" s="23" t="str">
        <x:f>IF(C453="","",IF(AQ453&lt;&gt;"Ready","Unavailable",IF(C453="","",(G453+O453+L453)/2*INDEX('Facilities'!$T$9:$T$108,MATCH(C453,'Facilities'!$C$9:$C$108,0))+AG453)))</x:f>
      </x:c>
      <x:c r="AA453" s="23" t="str">
        <x:f>IF(C453="","",IF(AQ453&lt;&gt;"Ready","Unavailable",IF(C453="","",O453*(1-IF(INDEX('Facilities'!$AA$9:$AA$108,MATCH(C453,'Facilities'!$C$9:$C$108,0))=0,0,MIN(1,INDEX('Facilities'!$X$9:$X$108,MATCH(C453,'Facilities'!$C$9:$C$108,0))/INDEX('Facilities'!$AA$9:$AA$108,MATCH(C453,'Facilities'!$C$9:$C$108,0)))))*AF453+P453*(1-IF(INDEX('Facilities'!$AA$9:$AA$108,MATCH(C453,'Facilities'!$C$9:$C$108,0))=0,0,MIN(1,INDEX('Facilities'!$X$9:$X$108,MATCH(C453,'Facilities'!$C$9:$C$108,0))/INDEX('Facilities'!$AA$9:$AA$108,MATCH(C453,'Facilities'!$C$9:$C$108,0)))))*INDEX('Facilities'!$AJ$9:$AJ$108,MATCH(C453,'Facilities'!$C$9:$C$108,0))+Q453*INDEX('Facilities'!$AI$9:$AI$108,MATCH(C453,'Facilities'!$C$9:$C$108,0))*AF453)))</x:f>
      </x:c>
      <x:c r="AB453" s="21" t="str">
        <x:f>IF(C453="","",O453+P453-AD453)</x:f>
      </x:c>
      <x:c r="AC453" s="23" t="str">
        <x:f>IF(C453="","",IFERROR(IF(INDEX('Facilities'!$AD$9:$AD$108,MATCH(C453,'Facilities'!$C$9:$C$108,0))=3,0,IF(INDEX('Facilities'!$AN$9:$AN$108,MATCH(C453,'Facilities'!$C$9:$C$108,0))=0,-1,INDEX('Facilities'!$AN$9:$AN$108,MATCH(C453,'Facilities'!$C$9:$C$108,0)))),"Unavailable"))</x:f>
      </x:c>
      <x:c r="AD453" s="21" t="str">
        <x:f>IF(C453="","",IFERROR(G453+H453,"Unavailable"))</x:f>
      </x:c>
      <x:c r="AE453" s="21" t="str">
        <x:f>IF(C453="","",IF(AQ453&lt;&gt;"Ready","Unavailable",IF(C453="","",O453+P453-AD453-J453+K453+M453+N453)))</x:f>
      </x:c>
      <x:c r="AF453" s="30" t="str">
        <x:f>IF(C453="","",IFERROR(INDEX('Facilities'!$S$9:$S$108,MATCH(C453,'Facilities'!$C$9:$C$108,0))*'Scenario Paths'!J75,"Unavailable"))</x:f>
      </x:c>
      <x:c r="AG453" s="23" t="str">
        <x:f>IF(C453="","",IF(AQ453&lt;&gt;"Ready","Unavailable",IF(C453="","",IF(H453&gt;0,MAX(0,H453-AK453)*((1+INDEX('Facilities'!$K$9:$K$108,MATCH(C453,'Facilities'!$C$9:$C$108,0)))^MIN(1,MAX(0,AC453+INDEX('Facilities'!$AK$9:$AK$108,MATCH(C453,'Facilities'!$C$9:$C$108,0))-D453+1))-1),0))))</x:f>
      </x:c>
      <x:c r="AH453" s="21" t="str">
        <x:f>IF(C453="","",IF(AQ453&lt;&gt;"Ready","Unavailable",IF(C453="","",O453+P453)))</x:f>
      </x:c>
      <x:c r="AI453" s="21" t="str">
        <x:f>IF(C453="","",IF(AQ453&lt;&gt;"Ready","Unavailable",IF(C453="","",Z453-Y453)))</x:f>
      </x:c>
      <x:c r="AJ453" s="23" t="str">
        <x:f>IF(C453="","",IFERROR(MAX(0,INDEX('Facilities'!$J$9:$J$108,MATCH(C453,'Facilities'!$C$9:$C$108,0))-D453),"Unavailable"))</x:f>
      </x:c>
      <x:c r="AK453" s="21" t="str">
        <x:f>IF(C453="","",IFERROR(AL353,"Unavailable"))</x:f>
      </x:c>
      <x:c r="AL453" s="23" t="str">
        <x:f>IF(C453="","",IFERROR(IF(P453&gt;0,P453*(1-AM453/(1+INDEX('Facilities'!$K$9:$K$108,MATCH(C453,'Facilities'!$C$9:$C$108,0)))^MAX(0,AC453+INDEX('Facilities'!$AK$9:$AK$108,MATCH(C453,'Facilities'!$C$9:$C$108,0))-D453)),0),"Unavailable"))</x:f>
      </x:c>
      <x:c r="AM453" s="30" t="str">
        <x:f>IF(C453="","",IFERROR(INDEX('Facilities'!$AL$9:$AL$108,MATCH(C453,'Facilities'!$C$9:$C$108,0)),"Unavailable"))</x:f>
      </x:c>
      <x:c r="AN453" s="30" t="str">
        <x:f>IF(C453="","",IFERROR(INDEX(Credit!$T$409:$T$508,MATCH(F453,Credit!$C$409:$C$508,0)),"Unavailable"))</x:f>
      </x:c>
      <x:c r="AO453" s="23" t="str">
        <x:f>IF(C453="","",IF(AQ453&lt;&gt;"Ready","Unavailable",IF(C453="","",O453+P453+Q453*INDEX('Facilities'!$I$9:$I$108,MATCH(C453,'Facilities'!$C$9:$C$108,0)))))</x:f>
      </x:c>
      <x:c r="AP453" s="21" t="str">
        <x:f>IF(C453="","",IF(AQ453&lt;&gt;"Ready","Unavailable",IF(C453="","",AH453-U453)))</x:f>
      </x:c>
      <x:c r="AQ453" s="23" t="str">
        <x:f>IFERROR(IF(C453="","",IF(AND(INDEX('Facilities'!$AF$9:$AF$108,MATCH(C453,'Facilities'!$C$9:$C$108,0))="Ready",INDEX(Credit!$U$409:$U$508,MATCH(F453,Credit!$C$409:$C$508,0))="Ready",ISNUMBER(W453)),"Ready","Review inputs")),"Review inputs")</x:f>
      </x:c>
      <x:c r="AR453" s="23" t="str">
        <x:f>IF(C453="","",IF(AQ453&lt;&gt;"Ready","Unavailable",IF(C453="","",IF(O453=0,0,(IF(AJ453&lt;=1,O453,O453*INDEX('Facilities'!$R$9:$R$108,MATCH(C453,'Facilities'!$C$9:$C$108,0)))+O453*INDEX('Facilities'!$T$9:$T$108,MATCH(C453,'Facilities'!$C$9:$C$108,0)))/12))))</x:f>
      </x:c>
    </x:row>
    <x:row r="454" ht="26" customHeight="1">
      <x:c r="A454" s="1"/>
      <x:c r="B454" s="1"/>
      <x:c r="C454" s="9" t="str">
        <x:f>IF(Facilities!C54="","",Facilities!C54)</x:f>
      </x:c>
      <x:c r="D454" s="3" t="n">
        <x:v>5</x:v>
      </x:c>
      <x:c r="E454" s="9" t="n">
        <x:f>Settings!$F$18+4</x:f>
        <x:v>2031</x:v>
      </x:c>
      <x:c r="F454" s="9" t="str">
        <x:f>IF(C454="","",IFERROR(INDEX('Facilities'!$D$9:$D$108,MATCH(C454,'Facilities'!$C$9:$C$108,0)),"Unavailable"))</x:f>
      </x:c>
      <x:c r="G454" s="21" t="str">
        <x:f>IF(C454="","",IFERROR(O354,"Unavailable"))</x:f>
      </x:c>
      <x:c r="H454" s="21" t="str">
        <x:f>IF(C454="","",IFERROR(P354,"Unavailable"))</x:f>
      </x:c>
      <x:c r="I454" s="21" t="str">
        <x:f>IF(C454="","",IFERROR(Q354,"Unavailable"))</x:f>
      </x:c>
      <x:c r="J454" s="23" t="str">
        <x:f>IF(C454="","",IFERROR(IF(OR(H454&gt;0,AND(AC454&gt;=0,AC454&lt;D454),D454&gt;INDEX('Facilities'!$J$9:$J$108,MATCH(C454,'Facilities'!$C$9:$C$108,0))),0,I454*'Scenario Paths'!J81),"Unavailable"))</x:f>
      </x:c>
      <x:c r="K454" s="23" t="str">
        <x:f>IF(C454="","",IFERROR(IF(OR(H454&gt;0,AND(AC454&gt;=0,AC454=D454)),0,IF(D454&gt;=INDEX('Facilities'!$J$9:$J$108,MATCH(C454,'Facilities'!$C$9:$C$108,0)),G454+J454,MIN(G454+J454,G454*INDEX('Facilities'!$R$9:$R$108,MATCH(C454,'Facilities'!$C$9:$C$108,0))))),"Unavailable"))</x:f>
      </x:c>
      <x:c r="L454" s="21" t="str">
        <x:f>IF(C454="","",IFERROR(IF(AND(AC454=D454,AC454&gt;0),MAX(0,G454+J454-K454),0),"Unavailable"))</x:f>
      </x:c>
      <x:c r="M454" s="23" t="str">
        <x:f>IF(C454="","",IFERROR(IF(AND(AC454&gt;=0,D454&gt;=AC454+INDEX('Facilities'!$AK$9:$AK$108,MATCH(C454,'Facilities'!$C$9:$C$108,0))),(H454+L454)*AM454,0),"Unavailable"))</x:f>
      </x:c>
      <x:c r="N454" s="23" t="str">
        <x:f>IF(C454="","",IFERROR(IF(AND(AC454&gt;=0,D454&gt;=AC454+INDEX('Facilities'!$AK$9:$AK$108,MATCH(C454,'Facilities'!$C$9:$C$108,0))),H454+L454-M454,0),"Unavailable"))</x:f>
      </x:c>
      <x:c r="O454" s="21" t="str">
        <x:f>IF(C454="","",IFERROR(MAX(0,G454+J454-K454-L454),"Unavailable"))</x:f>
      </x:c>
      <x:c r="P454" s="21" t="str">
        <x:f>IF(C454="","",IFERROR(MAX(0,H454+L454-M454-N454),"Unavailable"))</x:f>
      </x:c>
      <x:c r="Q454" s="23" t="str">
        <x:f>IF(C454="","",IFERROR(IF(OR(D454&gt;=INDEX('Facilities'!$J$9:$J$108,MATCH(C454,'Facilities'!$C$9:$C$108,0)),AND(AC454&gt;=0,AC454&lt;=D454)),0,MAX(0,I454-J454)),"Unavailable"))</x:f>
      </x:c>
      <x:c r="R454" s="30" t="str">
        <x:f>IF(C454="","",IFERROR(INDEX(Credit!$Q$409:$Q$508,MATCH(F454,Credit!$C$409:$C$508,0)),"Unavailable"))</x:f>
      </x:c>
      <x:c r="S454" s="30" t="str">
        <x:f>IF(C454="","",IFERROR(INDEX(Credit!$R$409:$R$508,MATCH(F454,Credit!$C$409:$C$508,0)),"Unavailable"))</x:f>
      </x:c>
      <x:c r="T454" s="23" t="str">
        <x:f>IF(C454="","",IFERROR(IF(P454&gt;0,3,IF(OR(INDEX('Facilities'!$AD$9:$AD$108,MATCH(C454,'Facilities'!$C$9:$C$108,0))=2,AND(R454&gt;=INDEX('Facilities'!$L$9:$L$108,MATCH(C454,'Facilities'!$C$9:$C$108,0))*Settings!$F$19,R454-INDEX('Facilities'!$L$9:$L$108,MATCH(C454,'Facilities'!$C$9:$C$108,0))&gt;=Settings!$F$20)),2,1)),"Unavailable"))</x:f>
      </x:c>
      <x:c r="U454" s="23" t="str">
        <x:f>IF(C454="","",IF(AQ454&lt;&gt;"Ready","Unavailable",IF(C454="","",O454*(1-(1-S454)/(1+INDEX('Facilities'!$K$9:$K$108,MATCH(C454,'Facilities'!$C$9:$C$108,0)))^INDEX('Facilities'!$AK$9:$AK$108,MATCH(C454,'Facilities'!$C$9:$C$108,0)))*R454/(1+INDEX('Facilities'!$K$9:$K$108,MATCH(C454,'Facilities'!$C$9:$C$108,0)))*IF(ABS(1-(1-R454)*(1-INDEX('Facilities'!$R$9:$R$108,MATCH(C454,'Facilities'!$C$9:$C$108,0)))/(1+INDEX('Facilities'!$K$9:$K$108,MATCH(C454,'Facilities'!$C$9:$C$108,0))))&lt;0.000000001,IF(T454=1,MIN(1,AJ454),AJ454),(1-((1-R454)*(1-INDEX('Facilities'!$R$9:$R$108,MATCH(C454,'Facilities'!$C$9:$C$108,0)))/(1+INDEX('Facilities'!$K$9:$K$108,MATCH(C454,'Facilities'!$C$9:$C$108,0))))^IF(T454=1,MIN(1,AJ454),AJ454))/(1-(1-R454)*(1-INDEX('Facilities'!$R$9:$R$108,MATCH(C454,'Facilities'!$C$9:$C$108,0)))/(1+INDEX('Facilities'!$K$9:$K$108,MATCH(C454,'Facilities'!$C$9:$C$108,0)))))+AL454)))</x:f>
      </x:c>
      <x:c r="V454" s="23" t="str">
        <x:f>IF(C454="","",IF(AQ454&lt;&gt;"Ready","Unavailable",IF(C454="","",Q454*INDEX('Facilities'!$I$9:$I$108,MATCH(C454,'Facilities'!$C$9:$C$108,0))*(1-(1-S454)/(1+INDEX('Facilities'!$K$9:$K$108,MATCH(C454,'Facilities'!$C$9:$C$108,0)))^INDEX('Facilities'!$AK$9:$AK$108,MATCH(C454,'Facilities'!$C$9:$C$108,0)))*R454/(1+INDEX('Facilities'!$K$9:$K$108,MATCH(C454,'Facilities'!$C$9:$C$108,0)))*IF(ABS(1-(1-R454)*(1-0)/(1+INDEX('Facilities'!$K$9:$K$108,MATCH(C454,'Facilities'!$C$9:$C$108,0))))&lt;0.000000001,IF(T454=1,MIN(1,AJ454),AJ454),(1-((1-R454)*(1-0)/(1+INDEX('Facilities'!$K$9:$K$108,MATCH(C454,'Facilities'!$C$9:$C$108,0))))^IF(T454=1,MIN(1,AJ454),AJ454))/(1-(1-R454)*(1-0)/(1+INDEX('Facilities'!$K$9:$K$108,MATCH(C454,'Facilities'!$C$9:$C$108,0))))))))</x:f>
      </x:c>
      <x:c r="W454" s="21" t="str">
        <x:f>IF(C454="","",IFERROR(U354,"Unavailable"))</x:f>
      </x:c>
      <x:c r="X454" s="21" t="str">
        <x:f>IF(C454="","",IFERROR(V354,"Unavailable"))</x:f>
      </x:c>
      <x:c r="Y454" s="21" t="str">
        <x:f>IF(C454="","",IF(AQ454&lt;&gt;"Ready","Unavailable",IF(C454="","",U454-W454+V454-X454+N454+AG454)))</x:f>
      </x:c>
      <x:c r="Z454" s="23" t="str">
        <x:f>IF(C454="","",IF(AQ454&lt;&gt;"Ready","Unavailable",IF(C454="","",(G454+O454+L454)/2*INDEX('Facilities'!$T$9:$T$108,MATCH(C454,'Facilities'!$C$9:$C$108,0))+AG454)))</x:f>
      </x:c>
      <x:c r="AA454" s="23" t="str">
        <x:f>IF(C454="","",IF(AQ454&lt;&gt;"Ready","Unavailable",IF(C454="","",O454*(1-IF(INDEX('Facilities'!$AA$9:$AA$108,MATCH(C454,'Facilities'!$C$9:$C$108,0))=0,0,MIN(1,INDEX('Facilities'!$X$9:$X$108,MATCH(C454,'Facilities'!$C$9:$C$108,0))/INDEX('Facilities'!$AA$9:$AA$108,MATCH(C454,'Facilities'!$C$9:$C$108,0)))))*AF454+P454*(1-IF(INDEX('Facilities'!$AA$9:$AA$108,MATCH(C454,'Facilities'!$C$9:$C$108,0))=0,0,MIN(1,INDEX('Facilities'!$X$9:$X$108,MATCH(C454,'Facilities'!$C$9:$C$108,0))/INDEX('Facilities'!$AA$9:$AA$108,MATCH(C454,'Facilities'!$C$9:$C$108,0)))))*INDEX('Facilities'!$AJ$9:$AJ$108,MATCH(C454,'Facilities'!$C$9:$C$108,0))+Q454*INDEX('Facilities'!$AI$9:$AI$108,MATCH(C454,'Facilities'!$C$9:$C$108,0))*AF454)))</x:f>
      </x:c>
      <x:c r="AB454" s="21" t="str">
        <x:f>IF(C454="","",O454+P454-AD454)</x:f>
      </x:c>
      <x:c r="AC454" s="23" t="str">
        <x:f>IF(C454="","",IFERROR(IF(INDEX('Facilities'!$AD$9:$AD$108,MATCH(C454,'Facilities'!$C$9:$C$108,0))=3,0,IF(INDEX('Facilities'!$AN$9:$AN$108,MATCH(C454,'Facilities'!$C$9:$C$108,0))=0,-1,INDEX('Facilities'!$AN$9:$AN$108,MATCH(C454,'Facilities'!$C$9:$C$108,0)))),"Unavailable"))</x:f>
      </x:c>
      <x:c r="AD454" s="21" t="str">
        <x:f>IF(C454="","",IFERROR(G454+H454,"Unavailable"))</x:f>
      </x:c>
      <x:c r="AE454" s="21" t="str">
        <x:f>IF(C454="","",IF(AQ454&lt;&gt;"Ready","Unavailable",IF(C454="","",O454+P454-AD454-J454+K454+M454+N454)))</x:f>
      </x:c>
      <x:c r="AF454" s="30" t="str">
        <x:f>IF(C454="","",IFERROR(INDEX('Facilities'!$S$9:$S$108,MATCH(C454,'Facilities'!$C$9:$C$108,0))*'Scenario Paths'!J75,"Unavailable"))</x:f>
      </x:c>
      <x:c r="AG454" s="23" t="str">
        <x:f>IF(C454="","",IF(AQ454&lt;&gt;"Ready","Unavailable",IF(C454="","",IF(H454&gt;0,MAX(0,H454-AK454)*((1+INDEX('Facilities'!$K$9:$K$108,MATCH(C454,'Facilities'!$C$9:$C$108,0)))^MIN(1,MAX(0,AC454+INDEX('Facilities'!$AK$9:$AK$108,MATCH(C454,'Facilities'!$C$9:$C$108,0))-D454+1))-1),0))))</x:f>
      </x:c>
      <x:c r="AH454" s="21" t="str">
        <x:f>IF(C454="","",IF(AQ454&lt;&gt;"Ready","Unavailable",IF(C454="","",O454+P454)))</x:f>
      </x:c>
      <x:c r="AI454" s="21" t="str">
        <x:f>IF(C454="","",IF(AQ454&lt;&gt;"Ready","Unavailable",IF(C454="","",Z454-Y454)))</x:f>
      </x:c>
      <x:c r="AJ454" s="23" t="str">
        <x:f>IF(C454="","",IFERROR(MAX(0,INDEX('Facilities'!$J$9:$J$108,MATCH(C454,'Facilities'!$C$9:$C$108,0))-D454),"Unavailable"))</x:f>
      </x:c>
      <x:c r="AK454" s="21" t="str">
        <x:f>IF(C454="","",IFERROR(AL354,"Unavailable"))</x:f>
      </x:c>
      <x:c r="AL454" s="23" t="str">
        <x:f>IF(C454="","",IFERROR(IF(P454&gt;0,P454*(1-AM454/(1+INDEX('Facilities'!$K$9:$K$108,MATCH(C454,'Facilities'!$C$9:$C$108,0)))^MAX(0,AC454+INDEX('Facilities'!$AK$9:$AK$108,MATCH(C454,'Facilities'!$C$9:$C$108,0))-D454)),0),"Unavailable"))</x:f>
      </x:c>
      <x:c r="AM454" s="30" t="str">
        <x:f>IF(C454="","",IFERROR(INDEX('Facilities'!$AL$9:$AL$108,MATCH(C454,'Facilities'!$C$9:$C$108,0)),"Unavailable"))</x:f>
      </x:c>
      <x:c r="AN454" s="30" t="str">
        <x:f>IF(C454="","",IFERROR(INDEX(Credit!$T$409:$T$508,MATCH(F454,Credit!$C$409:$C$508,0)),"Unavailable"))</x:f>
      </x:c>
      <x:c r="AO454" s="23" t="str">
        <x:f>IF(C454="","",IF(AQ454&lt;&gt;"Ready","Unavailable",IF(C454="","",O454+P454+Q454*INDEX('Facilities'!$I$9:$I$108,MATCH(C454,'Facilities'!$C$9:$C$108,0)))))</x:f>
      </x:c>
      <x:c r="AP454" s="21" t="str">
        <x:f>IF(C454="","",IF(AQ454&lt;&gt;"Ready","Unavailable",IF(C454="","",AH454-U454)))</x:f>
      </x:c>
      <x:c r="AQ454" s="23" t="str">
        <x:f>IFERROR(IF(C454="","",IF(AND(INDEX('Facilities'!$AF$9:$AF$108,MATCH(C454,'Facilities'!$C$9:$C$108,0))="Ready",INDEX(Credit!$U$409:$U$508,MATCH(F454,Credit!$C$409:$C$508,0))="Ready",ISNUMBER(W454)),"Ready","Review inputs")),"Review inputs")</x:f>
      </x:c>
      <x:c r="AR454" s="23" t="str">
        <x:f>IF(C454="","",IF(AQ454&lt;&gt;"Ready","Unavailable",IF(C454="","",IF(O454=0,0,(IF(AJ454&lt;=1,O454,O454*INDEX('Facilities'!$R$9:$R$108,MATCH(C454,'Facilities'!$C$9:$C$108,0)))+O454*INDEX('Facilities'!$T$9:$T$108,MATCH(C454,'Facilities'!$C$9:$C$108,0)))/12))))</x:f>
      </x:c>
    </x:row>
    <x:row r="455" ht="26" customHeight="1">
      <x:c r="A455" s="1"/>
      <x:c r="B455" s="1"/>
      <x:c r="C455" s="9" t="str">
        <x:f>IF(Facilities!C55="","",Facilities!C55)</x:f>
      </x:c>
      <x:c r="D455" s="3" t="n">
        <x:v>5</x:v>
      </x:c>
      <x:c r="E455" s="9" t="n">
        <x:f>Settings!$F$18+4</x:f>
        <x:v>2031</x:v>
      </x:c>
      <x:c r="F455" s="9" t="str">
        <x:f>IF(C455="","",IFERROR(INDEX('Facilities'!$D$9:$D$108,MATCH(C455,'Facilities'!$C$9:$C$108,0)),"Unavailable"))</x:f>
      </x:c>
      <x:c r="G455" s="21" t="str">
        <x:f>IF(C455="","",IFERROR(O355,"Unavailable"))</x:f>
      </x:c>
      <x:c r="H455" s="21" t="str">
        <x:f>IF(C455="","",IFERROR(P355,"Unavailable"))</x:f>
      </x:c>
      <x:c r="I455" s="21" t="str">
        <x:f>IF(C455="","",IFERROR(Q355,"Unavailable"))</x:f>
      </x:c>
      <x:c r="J455" s="23" t="str">
        <x:f>IF(C455="","",IFERROR(IF(OR(H455&gt;0,AND(AC455&gt;=0,AC455&lt;D455),D455&gt;INDEX('Facilities'!$J$9:$J$108,MATCH(C455,'Facilities'!$C$9:$C$108,0))),0,I455*'Scenario Paths'!J81),"Unavailable"))</x:f>
      </x:c>
      <x:c r="K455" s="23" t="str">
        <x:f>IF(C455="","",IFERROR(IF(OR(H455&gt;0,AND(AC455&gt;=0,AC455=D455)),0,IF(D455&gt;=INDEX('Facilities'!$J$9:$J$108,MATCH(C455,'Facilities'!$C$9:$C$108,0)),G455+J455,MIN(G455+J455,G455*INDEX('Facilities'!$R$9:$R$108,MATCH(C455,'Facilities'!$C$9:$C$108,0))))),"Unavailable"))</x:f>
      </x:c>
      <x:c r="L455" s="21" t="str">
        <x:f>IF(C455="","",IFERROR(IF(AND(AC455=D455,AC455&gt;0),MAX(0,G455+J455-K455),0),"Unavailable"))</x:f>
      </x:c>
      <x:c r="M455" s="23" t="str">
        <x:f>IF(C455="","",IFERROR(IF(AND(AC455&gt;=0,D455&gt;=AC455+INDEX('Facilities'!$AK$9:$AK$108,MATCH(C455,'Facilities'!$C$9:$C$108,0))),(H455+L455)*AM455,0),"Unavailable"))</x:f>
      </x:c>
      <x:c r="N455" s="23" t="str">
        <x:f>IF(C455="","",IFERROR(IF(AND(AC455&gt;=0,D455&gt;=AC455+INDEX('Facilities'!$AK$9:$AK$108,MATCH(C455,'Facilities'!$C$9:$C$108,0))),H455+L455-M455,0),"Unavailable"))</x:f>
      </x:c>
      <x:c r="O455" s="21" t="str">
        <x:f>IF(C455="","",IFERROR(MAX(0,G455+J455-K455-L455),"Unavailable"))</x:f>
      </x:c>
      <x:c r="P455" s="21" t="str">
        <x:f>IF(C455="","",IFERROR(MAX(0,H455+L455-M455-N455),"Unavailable"))</x:f>
      </x:c>
      <x:c r="Q455" s="23" t="str">
        <x:f>IF(C455="","",IFERROR(IF(OR(D455&gt;=INDEX('Facilities'!$J$9:$J$108,MATCH(C455,'Facilities'!$C$9:$C$108,0)),AND(AC455&gt;=0,AC455&lt;=D455)),0,MAX(0,I455-J455)),"Unavailable"))</x:f>
      </x:c>
      <x:c r="R455" s="30" t="str">
        <x:f>IF(C455="","",IFERROR(INDEX(Credit!$Q$409:$Q$508,MATCH(F455,Credit!$C$409:$C$508,0)),"Unavailable"))</x:f>
      </x:c>
      <x:c r="S455" s="30" t="str">
        <x:f>IF(C455="","",IFERROR(INDEX(Credit!$R$409:$R$508,MATCH(F455,Credit!$C$409:$C$508,0)),"Unavailable"))</x:f>
      </x:c>
      <x:c r="T455" s="23" t="str">
        <x:f>IF(C455="","",IFERROR(IF(P455&gt;0,3,IF(OR(INDEX('Facilities'!$AD$9:$AD$108,MATCH(C455,'Facilities'!$C$9:$C$108,0))=2,AND(R455&gt;=INDEX('Facilities'!$L$9:$L$108,MATCH(C455,'Facilities'!$C$9:$C$108,0))*Settings!$F$19,R455-INDEX('Facilities'!$L$9:$L$108,MATCH(C455,'Facilities'!$C$9:$C$108,0))&gt;=Settings!$F$20)),2,1)),"Unavailable"))</x:f>
      </x:c>
      <x:c r="U455" s="23" t="str">
        <x:f>IF(C455="","",IF(AQ455&lt;&gt;"Ready","Unavailable",IF(C455="","",O455*(1-(1-S455)/(1+INDEX('Facilities'!$K$9:$K$108,MATCH(C455,'Facilities'!$C$9:$C$108,0)))^INDEX('Facilities'!$AK$9:$AK$108,MATCH(C455,'Facilities'!$C$9:$C$108,0)))*R455/(1+INDEX('Facilities'!$K$9:$K$108,MATCH(C455,'Facilities'!$C$9:$C$108,0)))*IF(ABS(1-(1-R455)*(1-INDEX('Facilities'!$R$9:$R$108,MATCH(C455,'Facilities'!$C$9:$C$108,0)))/(1+INDEX('Facilities'!$K$9:$K$108,MATCH(C455,'Facilities'!$C$9:$C$108,0))))&lt;0.000000001,IF(T455=1,MIN(1,AJ455),AJ455),(1-((1-R455)*(1-INDEX('Facilities'!$R$9:$R$108,MATCH(C455,'Facilities'!$C$9:$C$108,0)))/(1+INDEX('Facilities'!$K$9:$K$108,MATCH(C455,'Facilities'!$C$9:$C$108,0))))^IF(T455=1,MIN(1,AJ455),AJ455))/(1-(1-R455)*(1-INDEX('Facilities'!$R$9:$R$108,MATCH(C455,'Facilities'!$C$9:$C$108,0)))/(1+INDEX('Facilities'!$K$9:$K$108,MATCH(C455,'Facilities'!$C$9:$C$108,0)))))+AL455)))</x:f>
      </x:c>
      <x:c r="V455" s="23" t="str">
        <x:f>IF(C455="","",IF(AQ455&lt;&gt;"Ready","Unavailable",IF(C455="","",Q455*INDEX('Facilities'!$I$9:$I$108,MATCH(C455,'Facilities'!$C$9:$C$108,0))*(1-(1-S455)/(1+INDEX('Facilities'!$K$9:$K$108,MATCH(C455,'Facilities'!$C$9:$C$108,0)))^INDEX('Facilities'!$AK$9:$AK$108,MATCH(C455,'Facilities'!$C$9:$C$108,0)))*R455/(1+INDEX('Facilities'!$K$9:$K$108,MATCH(C455,'Facilities'!$C$9:$C$108,0)))*IF(ABS(1-(1-R455)*(1-0)/(1+INDEX('Facilities'!$K$9:$K$108,MATCH(C455,'Facilities'!$C$9:$C$108,0))))&lt;0.000000001,IF(T455=1,MIN(1,AJ455),AJ455),(1-((1-R455)*(1-0)/(1+INDEX('Facilities'!$K$9:$K$108,MATCH(C455,'Facilities'!$C$9:$C$108,0))))^IF(T455=1,MIN(1,AJ455),AJ455))/(1-(1-R455)*(1-0)/(1+INDEX('Facilities'!$K$9:$K$108,MATCH(C455,'Facilities'!$C$9:$C$108,0))))))))</x:f>
      </x:c>
      <x:c r="W455" s="21" t="str">
        <x:f>IF(C455="","",IFERROR(U355,"Unavailable"))</x:f>
      </x:c>
      <x:c r="X455" s="21" t="str">
        <x:f>IF(C455="","",IFERROR(V355,"Unavailable"))</x:f>
      </x:c>
      <x:c r="Y455" s="21" t="str">
        <x:f>IF(C455="","",IF(AQ455&lt;&gt;"Ready","Unavailable",IF(C455="","",U455-W455+V455-X455+N455+AG455)))</x:f>
      </x:c>
      <x:c r="Z455" s="23" t="str">
        <x:f>IF(C455="","",IF(AQ455&lt;&gt;"Ready","Unavailable",IF(C455="","",(G455+O455+L455)/2*INDEX('Facilities'!$T$9:$T$108,MATCH(C455,'Facilities'!$C$9:$C$108,0))+AG455)))</x:f>
      </x:c>
      <x:c r="AA455" s="23" t="str">
        <x:f>IF(C455="","",IF(AQ455&lt;&gt;"Ready","Unavailable",IF(C455="","",O455*(1-IF(INDEX('Facilities'!$AA$9:$AA$108,MATCH(C455,'Facilities'!$C$9:$C$108,0))=0,0,MIN(1,INDEX('Facilities'!$X$9:$X$108,MATCH(C455,'Facilities'!$C$9:$C$108,0))/INDEX('Facilities'!$AA$9:$AA$108,MATCH(C455,'Facilities'!$C$9:$C$108,0)))))*AF455+P455*(1-IF(INDEX('Facilities'!$AA$9:$AA$108,MATCH(C455,'Facilities'!$C$9:$C$108,0))=0,0,MIN(1,INDEX('Facilities'!$X$9:$X$108,MATCH(C455,'Facilities'!$C$9:$C$108,0))/INDEX('Facilities'!$AA$9:$AA$108,MATCH(C455,'Facilities'!$C$9:$C$108,0)))))*INDEX('Facilities'!$AJ$9:$AJ$108,MATCH(C455,'Facilities'!$C$9:$C$108,0))+Q455*INDEX('Facilities'!$AI$9:$AI$108,MATCH(C455,'Facilities'!$C$9:$C$108,0))*AF455)))</x:f>
      </x:c>
      <x:c r="AB455" s="21" t="str">
        <x:f>IF(C455="","",O455+P455-AD455)</x:f>
      </x:c>
      <x:c r="AC455" s="23" t="str">
        <x:f>IF(C455="","",IFERROR(IF(INDEX('Facilities'!$AD$9:$AD$108,MATCH(C455,'Facilities'!$C$9:$C$108,0))=3,0,IF(INDEX('Facilities'!$AN$9:$AN$108,MATCH(C455,'Facilities'!$C$9:$C$108,0))=0,-1,INDEX('Facilities'!$AN$9:$AN$108,MATCH(C455,'Facilities'!$C$9:$C$108,0)))),"Unavailable"))</x:f>
      </x:c>
      <x:c r="AD455" s="21" t="str">
        <x:f>IF(C455="","",IFERROR(G455+H455,"Unavailable"))</x:f>
      </x:c>
      <x:c r="AE455" s="21" t="str">
        <x:f>IF(C455="","",IF(AQ455&lt;&gt;"Ready","Unavailable",IF(C455="","",O455+P455-AD455-J455+K455+M455+N455)))</x:f>
      </x:c>
      <x:c r="AF455" s="30" t="str">
        <x:f>IF(C455="","",IFERROR(INDEX('Facilities'!$S$9:$S$108,MATCH(C455,'Facilities'!$C$9:$C$108,0))*'Scenario Paths'!J75,"Unavailable"))</x:f>
      </x:c>
      <x:c r="AG455" s="23" t="str">
        <x:f>IF(C455="","",IF(AQ455&lt;&gt;"Ready","Unavailable",IF(C455="","",IF(H455&gt;0,MAX(0,H455-AK455)*((1+INDEX('Facilities'!$K$9:$K$108,MATCH(C455,'Facilities'!$C$9:$C$108,0)))^MIN(1,MAX(0,AC455+INDEX('Facilities'!$AK$9:$AK$108,MATCH(C455,'Facilities'!$C$9:$C$108,0))-D455+1))-1),0))))</x:f>
      </x:c>
      <x:c r="AH455" s="21" t="str">
        <x:f>IF(C455="","",IF(AQ455&lt;&gt;"Ready","Unavailable",IF(C455="","",O455+P455)))</x:f>
      </x:c>
      <x:c r="AI455" s="21" t="str">
        <x:f>IF(C455="","",IF(AQ455&lt;&gt;"Ready","Unavailable",IF(C455="","",Z455-Y455)))</x:f>
      </x:c>
      <x:c r="AJ455" s="23" t="str">
        <x:f>IF(C455="","",IFERROR(MAX(0,INDEX('Facilities'!$J$9:$J$108,MATCH(C455,'Facilities'!$C$9:$C$108,0))-D455),"Unavailable"))</x:f>
      </x:c>
      <x:c r="AK455" s="21" t="str">
        <x:f>IF(C455="","",IFERROR(AL355,"Unavailable"))</x:f>
      </x:c>
      <x:c r="AL455" s="23" t="str">
        <x:f>IF(C455="","",IFERROR(IF(P455&gt;0,P455*(1-AM455/(1+INDEX('Facilities'!$K$9:$K$108,MATCH(C455,'Facilities'!$C$9:$C$108,0)))^MAX(0,AC455+INDEX('Facilities'!$AK$9:$AK$108,MATCH(C455,'Facilities'!$C$9:$C$108,0))-D455)),0),"Unavailable"))</x:f>
      </x:c>
      <x:c r="AM455" s="30" t="str">
        <x:f>IF(C455="","",IFERROR(INDEX('Facilities'!$AL$9:$AL$108,MATCH(C455,'Facilities'!$C$9:$C$108,0)),"Unavailable"))</x:f>
      </x:c>
      <x:c r="AN455" s="30" t="str">
        <x:f>IF(C455="","",IFERROR(INDEX(Credit!$T$409:$T$508,MATCH(F455,Credit!$C$409:$C$508,0)),"Unavailable"))</x:f>
      </x:c>
      <x:c r="AO455" s="23" t="str">
        <x:f>IF(C455="","",IF(AQ455&lt;&gt;"Ready","Unavailable",IF(C455="","",O455+P455+Q455*INDEX('Facilities'!$I$9:$I$108,MATCH(C455,'Facilities'!$C$9:$C$108,0)))))</x:f>
      </x:c>
      <x:c r="AP455" s="21" t="str">
        <x:f>IF(C455="","",IF(AQ455&lt;&gt;"Ready","Unavailable",IF(C455="","",AH455-U455)))</x:f>
      </x:c>
      <x:c r="AQ455" s="23" t="str">
        <x:f>IFERROR(IF(C455="","",IF(AND(INDEX('Facilities'!$AF$9:$AF$108,MATCH(C455,'Facilities'!$C$9:$C$108,0))="Ready",INDEX(Credit!$U$409:$U$508,MATCH(F455,Credit!$C$409:$C$508,0))="Ready",ISNUMBER(W455)),"Ready","Review inputs")),"Review inputs")</x:f>
      </x:c>
      <x:c r="AR455" s="23" t="str">
        <x:f>IF(C455="","",IF(AQ455&lt;&gt;"Ready","Unavailable",IF(C455="","",IF(O455=0,0,(IF(AJ455&lt;=1,O455,O455*INDEX('Facilities'!$R$9:$R$108,MATCH(C455,'Facilities'!$C$9:$C$108,0)))+O455*INDEX('Facilities'!$T$9:$T$108,MATCH(C455,'Facilities'!$C$9:$C$108,0)))/12))))</x:f>
      </x:c>
    </x:row>
    <x:row r="456" ht="26" customHeight="1">
      <x:c r="A456" s="1"/>
      <x:c r="B456" s="1"/>
      <x:c r="C456" s="9" t="str">
        <x:f>IF(Facilities!C56="","",Facilities!C56)</x:f>
      </x:c>
      <x:c r="D456" s="3" t="n">
        <x:v>5</x:v>
      </x:c>
      <x:c r="E456" s="9" t="n">
        <x:f>Settings!$F$18+4</x:f>
        <x:v>2031</x:v>
      </x:c>
      <x:c r="F456" s="9" t="str">
        <x:f>IF(C456="","",IFERROR(INDEX('Facilities'!$D$9:$D$108,MATCH(C456,'Facilities'!$C$9:$C$108,0)),"Unavailable"))</x:f>
      </x:c>
      <x:c r="G456" s="21" t="str">
        <x:f>IF(C456="","",IFERROR(O356,"Unavailable"))</x:f>
      </x:c>
      <x:c r="H456" s="21" t="str">
        <x:f>IF(C456="","",IFERROR(P356,"Unavailable"))</x:f>
      </x:c>
      <x:c r="I456" s="21" t="str">
        <x:f>IF(C456="","",IFERROR(Q356,"Unavailable"))</x:f>
      </x:c>
      <x:c r="J456" s="23" t="str">
        <x:f>IF(C456="","",IFERROR(IF(OR(H456&gt;0,AND(AC456&gt;=0,AC456&lt;D456),D456&gt;INDEX('Facilities'!$J$9:$J$108,MATCH(C456,'Facilities'!$C$9:$C$108,0))),0,I456*'Scenario Paths'!J81),"Unavailable"))</x:f>
      </x:c>
      <x:c r="K456" s="23" t="str">
        <x:f>IF(C456="","",IFERROR(IF(OR(H456&gt;0,AND(AC456&gt;=0,AC456=D456)),0,IF(D456&gt;=INDEX('Facilities'!$J$9:$J$108,MATCH(C456,'Facilities'!$C$9:$C$108,0)),G456+J456,MIN(G456+J456,G456*INDEX('Facilities'!$R$9:$R$108,MATCH(C456,'Facilities'!$C$9:$C$108,0))))),"Unavailable"))</x:f>
      </x:c>
      <x:c r="L456" s="21" t="str">
        <x:f>IF(C456="","",IFERROR(IF(AND(AC456=D456,AC456&gt;0),MAX(0,G456+J456-K456),0),"Unavailable"))</x:f>
      </x:c>
      <x:c r="M456" s="23" t="str">
        <x:f>IF(C456="","",IFERROR(IF(AND(AC456&gt;=0,D456&gt;=AC456+INDEX('Facilities'!$AK$9:$AK$108,MATCH(C456,'Facilities'!$C$9:$C$108,0))),(H456+L456)*AM456,0),"Unavailable"))</x:f>
      </x:c>
      <x:c r="N456" s="23" t="str">
        <x:f>IF(C456="","",IFERROR(IF(AND(AC456&gt;=0,D456&gt;=AC456+INDEX('Facilities'!$AK$9:$AK$108,MATCH(C456,'Facilities'!$C$9:$C$108,0))),H456+L456-M456,0),"Unavailable"))</x:f>
      </x:c>
      <x:c r="O456" s="21" t="str">
        <x:f>IF(C456="","",IFERROR(MAX(0,G456+J456-K456-L456),"Unavailable"))</x:f>
      </x:c>
      <x:c r="P456" s="21" t="str">
        <x:f>IF(C456="","",IFERROR(MAX(0,H456+L456-M456-N456),"Unavailable"))</x:f>
      </x:c>
      <x:c r="Q456" s="23" t="str">
        <x:f>IF(C456="","",IFERROR(IF(OR(D456&gt;=INDEX('Facilities'!$J$9:$J$108,MATCH(C456,'Facilities'!$C$9:$C$108,0)),AND(AC456&gt;=0,AC456&lt;=D456)),0,MAX(0,I456-J456)),"Unavailable"))</x:f>
      </x:c>
      <x:c r="R456" s="30" t="str">
        <x:f>IF(C456="","",IFERROR(INDEX(Credit!$Q$409:$Q$508,MATCH(F456,Credit!$C$409:$C$508,0)),"Unavailable"))</x:f>
      </x:c>
      <x:c r="S456" s="30" t="str">
        <x:f>IF(C456="","",IFERROR(INDEX(Credit!$R$409:$R$508,MATCH(F456,Credit!$C$409:$C$508,0)),"Unavailable"))</x:f>
      </x:c>
      <x:c r="T456" s="23" t="str">
        <x:f>IF(C456="","",IFERROR(IF(P456&gt;0,3,IF(OR(INDEX('Facilities'!$AD$9:$AD$108,MATCH(C456,'Facilities'!$C$9:$C$108,0))=2,AND(R456&gt;=INDEX('Facilities'!$L$9:$L$108,MATCH(C456,'Facilities'!$C$9:$C$108,0))*Settings!$F$19,R456-INDEX('Facilities'!$L$9:$L$108,MATCH(C456,'Facilities'!$C$9:$C$108,0))&gt;=Settings!$F$20)),2,1)),"Unavailable"))</x:f>
      </x:c>
      <x:c r="U456" s="23" t="str">
        <x:f>IF(C456="","",IF(AQ456&lt;&gt;"Ready","Unavailable",IF(C456="","",O456*(1-(1-S456)/(1+INDEX('Facilities'!$K$9:$K$108,MATCH(C456,'Facilities'!$C$9:$C$108,0)))^INDEX('Facilities'!$AK$9:$AK$108,MATCH(C456,'Facilities'!$C$9:$C$108,0)))*R456/(1+INDEX('Facilities'!$K$9:$K$108,MATCH(C456,'Facilities'!$C$9:$C$108,0)))*IF(ABS(1-(1-R456)*(1-INDEX('Facilities'!$R$9:$R$108,MATCH(C456,'Facilities'!$C$9:$C$108,0)))/(1+INDEX('Facilities'!$K$9:$K$108,MATCH(C456,'Facilities'!$C$9:$C$108,0))))&lt;0.000000001,IF(T456=1,MIN(1,AJ456),AJ456),(1-((1-R456)*(1-INDEX('Facilities'!$R$9:$R$108,MATCH(C456,'Facilities'!$C$9:$C$108,0)))/(1+INDEX('Facilities'!$K$9:$K$108,MATCH(C456,'Facilities'!$C$9:$C$108,0))))^IF(T456=1,MIN(1,AJ456),AJ456))/(1-(1-R456)*(1-INDEX('Facilities'!$R$9:$R$108,MATCH(C456,'Facilities'!$C$9:$C$108,0)))/(1+INDEX('Facilities'!$K$9:$K$108,MATCH(C456,'Facilities'!$C$9:$C$108,0)))))+AL456)))</x:f>
      </x:c>
      <x:c r="V456" s="23" t="str">
        <x:f>IF(C456="","",IF(AQ456&lt;&gt;"Ready","Unavailable",IF(C456="","",Q456*INDEX('Facilities'!$I$9:$I$108,MATCH(C456,'Facilities'!$C$9:$C$108,0))*(1-(1-S456)/(1+INDEX('Facilities'!$K$9:$K$108,MATCH(C456,'Facilities'!$C$9:$C$108,0)))^INDEX('Facilities'!$AK$9:$AK$108,MATCH(C456,'Facilities'!$C$9:$C$108,0)))*R456/(1+INDEX('Facilities'!$K$9:$K$108,MATCH(C456,'Facilities'!$C$9:$C$108,0)))*IF(ABS(1-(1-R456)*(1-0)/(1+INDEX('Facilities'!$K$9:$K$108,MATCH(C456,'Facilities'!$C$9:$C$108,0))))&lt;0.000000001,IF(T456=1,MIN(1,AJ456),AJ456),(1-((1-R456)*(1-0)/(1+INDEX('Facilities'!$K$9:$K$108,MATCH(C456,'Facilities'!$C$9:$C$108,0))))^IF(T456=1,MIN(1,AJ456),AJ456))/(1-(1-R456)*(1-0)/(1+INDEX('Facilities'!$K$9:$K$108,MATCH(C456,'Facilities'!$C$9:$C$108,0))))))))</x:f>
      </x:c>
      <x:c r="W456" s="21" t="str">
        <x:f>IF(C456="","",IFERROR(U356,"Unavailable"))</x:f>
      </x:c>
      <x:c r="X456" s="21" t="str">
        <x:f>IF(C456="","",IFERROR(V356,"Unavailable"))</x:f>
      </x:c>
      <x:c r="Y456" s="21" t="str">
        <x:f>IF(C456="","",IF(AQ456&lt;&gt;"Ready","Unavailable",IF(C456="","",U456-W456+V456-X456+N456+AG456)))</x:f>
      </x:c>
      <x:c r="Z456" s="23" t="str">
        <x:f>IF(C456="","",IF(AQ456&lt;&gt;"Ready","Unavailable",IF(C456="","",(G456+O456+L456)/2*INDEX('Facilities'!$T$9:$T$108,MATCH(C456,'Facilities'!$C$9:$C$108,0))+AG456)))</x:f>
      </x:c>
      <x:c r="AA456" s="23" t="str">
        <x:f>IF(C456="","",IF(AQ456&lt;&gt;"Ready","Unavailable",IF(C456="","",O456*(1-IF(INDEX('Facilities'!$AA$9:$AA$108,MATCH(C456,'Facilities'!$C$9:$C$108,0))=0,0,MIN(1,INDEX('Facilities'!$X$9:$X$108,MATCH(C456,'Facilities'!$C$9:$C$108,0))/INDEX('Facilities'!$AA$9:$AA$108,MATCH(C456,'Facilities'!$C$9:$C$108,0)))))*AF456+P456*(1-IF(INDEX('Facilities'!$AA$9:$AA$108,MATCH(C456,'Facilities'!$C$9:$C$108,0))=0,0,MIN(1,INDEX('Facilities'!$X$9:$X$108,MATCH(C456,'Facilities'!$C$9:$C$108,0))/INDEX('Facilities'!$AA$9:$AA$108,MATCH(C456,'Facilities'!$C$9:$C$108,0)))))*INDEX('Facilities'!$AJ$9:$AJ$108,MATCH(C456,'Facilities'!$C$9:$C$108,0))+Q456*INDEX('Facilities'!$AI$9:$AI$108,MATCH(C456,'Facilities'!$C$9:$C$108,0))*AF456)))</x:f>
      </x:c>
      <x:c r="AB456" s="21" t="str">
        <x:f>IF(C456="","",O456+P456-AD456)</x:f>
      </x:c>
      <x:c r="AC456" s="23" t="str">
        <x:f>IF(C456="","",IFERROR(IF(INDEX('Facilities'!$AD$9:$AD$108,MATCH(C456,'Facilities'!$C$9:$C$108,0))=3,0,IF(INDEX('Facilities'!$AN$9:$AN$108,MATCH(C456,'Facilities'!$C$9:$C$108,0))=0,-1,INDEX('Facilities'!$AN$9:$AN$108,MATCH(C456,'Facilities'!$C$9:$C$108,0)))),"Unavailable"))</x:f>
      </x:c>
      <x:c r="AD456" s="21" t="str">
        <x:f>IF(C456="","",IFERROR(G456+H456,"Unavailable"))</x:f>
      </x:c>
      <x:c r="AE456" s="21" t="str">
        <x:f>IF(C456="","",IF(AQ456&lt;&gt;"Ready","Unavailable",IF(C456="","",O456+P456-AD456-J456+K456+M456+N456)))</x:f>
      </x:c>
      <x:c r="AF456" s="30" t="str">
        <x:f>IF(C456="","",IFERROR(INDEX('Facilities'!$S$9:$S$108,MATCH(C456,'Facilities'!$C$9:$C$108,0))*'Scenario Paths'!J75,"Unavailable"))</x:f>
      </x:c>
      <x:c r="AG456" s="23" t="str">
        <x:f>IF(C456="","",IF(AQ456&lt;&gt;"Ready","Unavailable",IF(C456="","",IF(H456&gt;0,MAX(0,H456-AK456)*((1+INDEX('Facilities'!$K$9:$K$108,MATCH(C456,'Facilities'!$C$9:$C$108,0)))^MIN(1,MAX(0,AC456+INDEX('Facilities'!$AK$9:$AK$108,MATCH(C456,'Facilities'!$C$9:$C$108,0))-D456+1))-1),0))))</x:f>
      </x:c>
      <x:c r="AH456" s="21" t="str">
        <x:f>IF(C456="","",IF(AQ456&lt;&gt;"Ready","Unavailable",IF(C456="","",O456+P456)))</x:f>
      </x:c>
      <x:c r="AI456" s="21" t="str">
        <x:f>IF(C456="","",IF(AQ456&lt;&gt;"Ready","Unavailable",IF(C456="","",Z456-Y456)))</x:f>
      </x:c>
      <x:c r="AJ456" s="23" t="str">
        <x:f>IF(C456="","",IFERROR(MAX(0,INDEX('Facilities'!$J$9:$J$108,MATCH(C456,'Facilities'!$C$9:$C$108,0))-D456),"Unavailable"))</x:f>
      </x:c>
      <x:c r="AK456" s="21" t="str">
        <x:f>IF(C456="","",IFERROR(AL356,"Unavailable"))</x:f>
      </x:c>
      <x:c r="AL456" s="23" t="str">
        <x:f>IF(C456="","",IFERROR(IF(P456&gt;0,P456*(1-AM456/(1+INDEX('Facilities'!$K$9:$K$108,MATCH(C456,'Facilities'!$C$9:$C$108,0)))^MAX(0,AC456+INDEX('Facilities'!$AK$9:$AK$108,MATCH(C456,'Facilities'!$C$9:$C$108,0))-D456)),0),"Unavailable"))</x:f>
      </x:c>
      <x:c r="AM456" s="30" t="str">
        <x:f>IF(C456="","",IFERROR(INDEX('Facilities'!$AL$9:$AL$108,MATCH(C456,'Facilities'!$C$9:$C$108,0)),"Unavailable"))</x:f>
      </x:c>
      <x:c r="AN456" s="30" t="str">
        <x:f>IF(C456="","",IFERROR(INDEX(Credit!$T$409:$T$508,MATCH(F456,Credit!$C$409:$C$508,0)),"Unavailable"))</x:f>
      </x:c>
      <x:c r="AO456" s="23" t="str">
        <x:f>IF(C456="","",IF(AQ456&lt;&gt;"Ready","Unavailable",IF(C456="","",O456+P456+Q456*INDEX('Facilities'!$I$9:$I$108,MATCH(C456,'Facilities'!$C$9:$C$108,0)))))</x:f>
      </x:c>
      <x:c r="AP456" s="21" t="str">
        <x:f>IF(C456="","",IF(AQ456&lt;&gt;"Ready","Unavailable",IF(C456="","",AH456-U456)))</x:f>
      </x:c>
      <x:c r="AQ456" s="23" t="str">
        <x:f>IFERROR(IF(C456="","",IF(AND(INDEX('Facilities'!$AF$9:$AF$108,MATCH(C456,'Facilities'!$C$9:$C$108,0))="Ready",INDEX(Credit!$U$409:$U$508,MATCH(F456,Credit!$C$409:$C$508,0))="Ready",ISNUMBER(W456)),"Ready","Review inputs")),"Review inputs")</x:f>
      </x:c>
      <x:c r="AR456" s="23" t="str">
        <x:f>IF(C456="","",IF(AQ456&lt;&gt;"Ready","Unavailable",IF(C456="","",IF(O456=0,0,(IF(AJ456&lt;=1,O456,O456*INDEX('Facilities'!$R$9:$R$108,MATCH(C456,'Facilities'!$C$9:$C$108,0)))+O456*INDEX('Facilities'!$T$9:$T$108,MATCH(C456,'Facilities'!$C$9:$C$108,0)))/12))))</x:f>
      </x:c>
    </x:row>
    <x:row r="457" ht="26" customHeight="1">
      <x:c r="A457" s="1"/>
      <x:c r="B457" s="1"/>
      <x:c r="C457" s="9" t="str">
        <x:f>IF(Facilities!C57="","",Facilities!C57)</x:f>
      </x:c>
      <x:c r="D457" s="3" t="n">
        <x:v>5</x:v>
      </x:c>
      <x:c r="E457" s="9" t="n">
        <x:f>Settings!$F$18+4</x:f>
        <x:v>2031</x:v>
      </x:c>
      <x:c r="F457" s="9" t="str">
        <x:f>IF(C457="","",IFERROR(INDEX('Facilities'!$D$9:$D$108,MATCH(C457,'Facilities'!$C$9:$C$108,0)),"Unavailable"))</x:f>
      </x:c>
      <x:c r="G457" s="21" t="str">
        <x:f>IF(C457="","",IFERROR(O357,"Unavailable"))</x:f>
      </x:c>
      <x:c r="H457" s="21" t="str">
        <x:f>IF(C457="","",IFERROR(P357,"Unavailable"))</x:f>
      </x:c>
      <x:c r="I457" s="21" t="str">
        <x:f>IF(C457="","",IFERROR(Q357,"Unavailable"))</x:f>
      </x:c>
      <x:c r="J457" s="23" t="str">
        <x:f>IF(C457="","",IFERROR(IF(OR(H457&gt;0,AND(AC457&gt;=0,AC457&lt;D457),D457&gt;INDEX('Facilities'!$J$9:$J$108,MATCH(C457,'Facilities'!$C$9:$C$108,0))),0,I457*'Scenario Paths'!J81),"Unavailable"))</x:f>
      </x:c>
      <x:c r="K457" s="23" t="str">
        <x:f>IF(C457="","",IFERROR(IF(OR(H457&gt;0,AND(AC457&gt;=0,AC457=D457)),0,IF(D457&gt;=INDEX('Facilities'!$J$9:$J$108,MATCH(C457,'Facilities'!$C$9:$C$108,0)),G457+J457,MIN(G457+J457,G457*INDEX('Facilities'!$R$9:$R$108,MATCH(C457,'Facilities'!$C$9:$C$108,0))))),"Unavailable"))</x:f>
      </x:c>
      <x:c r="L457" s="21" t="str">
        <x:f>IF(C457="","",IFERROR(IF(AND(AC457=D457,AC457&gt;0),MAX(0,G457+J457-K457),0),"Unavailable"))</x:f>
      </x:c>
      <x:c r="M457" s="23" t="str">
        <x:f>IF(C457="","",IFERROR(IF(AND(AC457&gt;=0,D457&gt;=AC457+INDEX('Facilities'!$AK$9:$AK$108,MATCH(C457,'Facilities'!$C$9:$C$108,0))),(H457+L457)*AM457,0),"Unavailable"))</x:f>
      </x:c>
      <x:c r="N457" s="23" t="str">
        <x:f>IF(C457="","",IFERROR(IF(AND(AC457&gt;=0,D457&gt;=AC457+INDEX('Facilities'!$AK$9:$AK$108,MATCH(C457,'Facilities'!$C$9:$C$108,0))),H457+L457-M457,0),"Unavailable"))</x:f>
      </x:c>
      <x:c r="O457" s="21" t="str">
        <x:f>IF(C457="","",IFERROR(MAX(0,G457+J457-K457-L457),"Unavailable"))</x:f>
      </x:c>
      <x:c r="P457" s="21" t="str">
        <x:f>IF(C457="","",IFERROR(MAX(0,H457+L457-M457-N457),"Unavailable"))</x:f>
      </x:c>
      <x:c r="Q457" s="23" t="str">
        <x:f>IF(C457="","",IFERROR(IF(OR(D457&gt;=INDEX('Facilities'!$J$9:$J$108,MATCH(C457,'Facilities'!$C$9:$C$108,0)),AND(AC457&gt;=0,AC457&lt;=D457)),0,MAX(0,I457-J457)),"Unavailable"))</x:f>
      </x:c>
      <x:c r="R457" s="30" t="str">
        <x:f>IF(C457="","",IFERROR(INDEX(Credit!$Q$409:$Q$508,MATCH(F457,Credit!$C$409:$C$508,0)),"Unavailable"))</x:f>
      </x:c>
      <x:c r="S457" s="30" t="str">
        <x:f>IF(C457="","",IFERROR(INDEX(Credit!$R$409:$R$508,MATCH(F457,Credit!$C$409:$C$508,0)),"Unavailable"))</x:f>
      </x:c>
      <x:c r="T457" s="23" t="str">
        <x:f>IF(C457="","",IFERROR(IF(P457&gt;0,3,IF(OR(INDEX('Facilities'!$AD$9:$AD$108,MATCH(C457,'Facilities'!$C$9:$C$108,0))=2,AND(R457&gt;=INDEX('Facilities'!$L$9:$L$108,MATCH(C457,'Facilities'!$C$9:$C$108,0))*Settings!$F$19,R457-INDEX('Facilities'!$L$9:$L$108,MATCH(C457,'Facilities'!$C$9:$C$108,0))&gt;=Settings!$F$20)),2,1)),"Unavailable"))</x:f>
      </x:c>
      <x:c r="U457" s="23" t="str">
        <x:f>IF(C457="","",IF(AQ457&lt;&gt;"Ready","Unavailable",IF(C457="","",O457*(1-(1-S457)/(1+INDEX('Facilities'!$K$9:$K$108,MATCH(C457,'Facilities'!$C$9:$C$108,0)))^INDEX('Facilities'!$AK$9:$AK$108,MATCH(C457,'Facilities'!$C$9:$C$108,0)))*R457/(1+INDEX('Facilities'!$K$9:$K$108,MATCH(C457,'Facilities'!$C$9:$C$108,0)))*IF(ABS(1-(1-R457)*(1-INDEX('Facilities'!$R$9:$R$108,MATCH(C457,'Facilities'!$C$9:$C$108,0)))/(1+INDEX('Facilities'!$K$9:$K$108,MATCH(C457,'Facilities'!$C$9:$C$108,0))))&lt;0.000000001,IF(T457=1,MIN(1,AJ457),AJ457),(1-((1-R457)*(1-INDEX('Facilities'!$R$9:$R$108,MATCH(C457,'Facilities'!$C$9:$C$108,0)))/(1+INDEX('Facilities'!$K$9:$K$108,MATCH(C457,'Facilities'!$C$9:$C$108,0))))^IF(T457=1,MIN(1,AJ457),AJ457))/(1-(1-R457)*(1-INDEX('Facilities'!$R$9:$R$108,MATCH(C457,'Facilities'!$C$9:$C$108,0)))/(1+INDEX('Facilities'!$K$9:$K$108,MATCH(C457,'Facilities'!$C$9:$C$108,0)))))+AL457)))</x:f>
      </x:c>
      <x:c r="V457" s="23" t="str">
        <x:f>IF(C457="","",IF(AQ457&lt;&gt;"Ready","Unavailable",IF(C457="","",Q457*INDEX('Facilities'!$I$9:$I$108,MATCH(C457,'Facilities'!$C$9:$C$108,0))*(1-(1-S457)/(1+INDEX('Facilities'!$K$9:$K$108,MATCH(C457,'Facilities'!$C$9:$C$108,0)))^INDEX('Facilities'!$AK$9:$AK$108,MATCH(C457,'Facilities'!$C$9:$C$108,0)))*R457/(1+INDEX('Facilities'!$K$9:$K$108,MATCH(C457,'Facilities'!$C$9:$C$108,0)))*IF(ABS(1-(1-R457)*(1-0)/(1+INDEX('Facilities'!$K$9:$K$108,MATCH(C457,'Facilities'!$C$9:$C$108,0))))&lt;0.000000001,IF(T457=1,MIN(1,AJ457),AJ457),(1-((1-R457)*(1-0)/(1+INDEX('Facilities'!$K$9:$K$108,MATCH(C457,'Facilities'!$C$9:$C$108,0))))^IF(T457=1,MIN(1,AJ457),AJ457))/(1-(1-R457)*(1-0)/(1+INDEX('Facilities'!$K$9:$K$108,MATCH(C457,'Facilities'!$C$9:$C$108,0))))))))</x:f>
      </x:c>
      <x:c r="W457" s="21" t="str">
        <x:f>IF(C457="","",IFERROR(U357,"Unavailable"))</x:f>
      </x:c>
      <x:c r="X457" s="21" t="str">
        <x:f>IF(C457="","",IFERROR(V357,"Unavailable"))</x:f>
      </x:c>
      <x:c r="Y457" s="21" t="str">
        <x:f>IF(C457="","",IF(AQ457&lt;&gt;"Ready","Unavailable",IF(C457="","",U457-W457+V457-X457+N457+AG457)))</x:f>
      </x:c>
      <x:c r="Z457" s="23" t="str">
        <x:f>IF(C457="","",IF(AQ457&lt;&gt;"Ready","Unavailable",IF(C457="","",(G457+O457+L457)/2*INDEX('Facilities'!$T$9:$T$108,MATCH(C457,'Facilities'!$C$9:$C$108,0))+AG457)))</x:f>
      </x:c>
      <x:c r="AA457" s="23" t="str">
        <x:f>IF(C457="","",IF(AQ457&lt;&gt;"Ready","Unavailable",IF(C457="","",O457*(1-IF(INDEX('Facilities'!$AA$9:$AA$108,MATCH(C457,'Facilities'!$C$9:$C$108,0))=0,0,MIN(1,INDEX('Facilities'!$X$9:$X$108,MATCH(C457,'Facilities'!$C$9:$C$108,0))/INDEX('Facilities'!$AA$9:$AA$108,MATCH(C457,'Facilities'!$C$9:$C$108,0)))))*AF457+P457*(1-IF(INDEX('Facilities'!$AA$9:$AA$108,MATCH(C457,'Facilities'!$C$9:$C$108,0))=0,0,MIN(1,INDEX('Facilities'!$X$9:$X$108,MATCH(C457,'Facilities'!$C$9:$C$108,0))/INDEX('Facilities'!$AA$9:$AA$108,MATCH(C457,'Facilities'!$C$9:$C$108,0)))))*INDEX('Facilities'!$AJ$9:$AJ$108,MATCH(C457,'Facilities'!$C$9:$C$108,0))+Q457*INDEX('Facilities'!$AI$9:$AI$108,MATCH(C457,'Facilities'!$C$9:$C$108,0))*AF457)))</x:f>
      </x:c>
      <x:c r="AB457" s="21" t="str">
        <x:f>IF(C457="","",O457+P457-AD457)</x:f>
      </x:c>
      <x:c r="AC457" s="23" t="str">
        <x:f>IF(C457="","",IFERROR(IF(INDEX('Facilities'!$AD$9:$AD$108,MATCH(C457,'Facilities'!$C$9:$C$108,0))=3,0,IF(INDEX('Facilities'!$AN$9:$AN$108,MATCH(C457,'Facilities'!$C$9:$C$108,0))=0,-1,INDEX('Facilities'!$AN$9:$AN$108,MATCH(C457,'Facilities'!$C$9:$C$108,0)))),"Unavailable"))</x:f>
      </x:c>
      <x:c r="AD457" s="21" t="str">
        <x:f>IF(C457="","",IFERROR(G457+H457,"Unavailable"))</x:f>
      </x:c>
      <x:c r="AE457" s="21" t="str">
        <x:f>IF(C457="","",IF(AQ457&lt;&gt;"Ready","Unavailable",IF(C457="","",O457+P457-AD457-J457+K457+M457+N457)))</x:f>
      </x:c>
      <x:c r="AF457" s="30" t="str">
        <x:f>IF(C457="","",IFERROR(INDEX('Facilities'!$S$9:$S$108,MATCH(C457,'Facilities'!$C$9:$C$108,0))*'Scenario Paths'!J75,"Unavailable"))</x:f>
      </x:c>
      <x:c r="AG457" s="23" t="str">
        <x:f>IF(C457="","",IF(AQ457&lt;&gt;"Ready","Unavailable",IF(C457="","",IF(H457&gt;0,MAX(0,H457-AK457)*((1+INDEX('Facilities'!$K$9:$K$108,MATCH(C457,'Facilities'!$C$9:$C$108,0)))^MIN(1,MAX(0,AC457+INDEX('Facilities'!$AK$9:$AK$108,MATCH(C457,'Facilities'!$C$9:$C$108,0))-D457+1))-1),0))))</x:f>
      </x:c>
      <x:c r="AH457" s="21" t="str">
        <x:f>IF(C457="","",IF(AQ457&lt;&gt;"Ready","Unavailable",IF(C457="","",O457+P457)))</x:f>
      </x:c>
      <x:c r="AI457" s="21" t="str">
        <x:f>IF(C457="","",IF(AQ457&lt;&gt;"Ready","Unavailable",IF(C457="","",Z457-Y457)))</x:f>
      </x:c>
      <x:c r="AJ457" s="23" t="str">
        <x:f>IF(C457="","",IFERROR(MAX(0,INDEX('Facilities'!$J$9:$J$108,MATCH(C457,'Facilities'!$C$9:$C$108,0))-D457),"Unavailable"))</x:f>
      </x:c>
      <x:c r="AK457" s="21" t="str">
        <x:f>IF(C457="","",IFERROR(AL357,"Unavailable"))</x:f>
      </x:c>
      <x:c r="AL457" s="23" t="str">
        <x:f>IF(C457="","",IFERROR(IF(P457&gt;0,P457*(1-AM457/(1+INDEX('Facilities'!$K$9:$K$108,MATCH(C457,'Facilities'!$C$9:$C$108,0)))^MAX(0,AC457+INDEX('Facilities'!$AK$9:$AK$108,MATCH(C457,'Facilities'!$C$9:$C$108,0))-D457)),0),"Unavailable"))</x:f>
      </x:c>
      <x:c r="AM457" s="30" t="str">
        <x:f>IF(C457="","",IFERROR(INDEX('Facilities'!$AL$9:$AL$108,MATCH(C457,'Facilities'!$C$9:$C$108,0)),"Unavailable"))</x:f>
      </x:c>
      <x:c r="AN457" s="30" t="str">
        <x:f>IF(C457="","",IFERROR(INDEX(Credit!$T$409:$T$508,MATCH(F457,Credit!$C$409:$C$508,0)),"Unavailable"))</x:f>
      </x:c>
      <x:c r="AO457" s="23" t="str">
        <x:f>IF(C457="","",IF(AQ457&lt;&gt;"Ready","Unavailable",IF(C457="","",O457+P457+Q457*INDEX('Facilities'!$I$9:$I$108,MATCH(C457,'Facilities'!$C$9:$C$108,0)))))</x:f>
      </x:c>
      <x:c r="AP457" s="21" t="str">
        <x:f>IF(C457="","",IF(AQ457&lt;&gt;"Ready","Unavailable",IF(C457="","",AH457-U457)))</x:f>
      </x:c>
      <x:c r="AQ457" s="23" t="str">
        <x:f>IFERROR(IF(C457="","",IF(AND(INDEX('Facilities'!$AF$9:$AF$108,MATCH(C457,'Facilities'!$C$9:$C$108,0))="Ready",INDEX(Credit!$U$409:$U$508,MATCH(F457,Credit!$C$409:$C$508,0))="Ready",ISNUMBER(W457)),"Ready","Review inputs")),"Review inputs")</x:f>
      </x:c>
      <x:c r="AR457" s="23" t="str">
        <x:f>IF(C457="","",IF(AQ457&lt;&gt;"Ready","Unavailable",IF(C457="","",IF(O457=0,0,(IF(AJ457&lt;=1,O457,O457*INDEX('Facilities'!$R$9:$R$108,MATCH(C457,'Facilities'!$C$9:$C$108,0)))+O457*INDEX('Facilities'!$T$9:$T$108,MATCH(C457,'Facilities'!$C$9:$C$108,0)))/12))))</x:f>
      </x:c>
    </x:row>
    <x:row r="458" ht="26" customHeight="1">
      <x:c r="A458" s="1"/>
      <x:c r="B458" s="1"/>
      <x:c r="C458" s="9" t="str">
        <x:f>IF(Facilities!C58="","",Facilities!C58)</x:f>
      </x:c>
      <x:c r="D458" s="3" t="n">
        <x:v>5</x:v>
      </x:c>
      <x:c r="E458" s="9" t="n">
        <x:f>Settings!$F$18+4</x:f>
        <x:v>2031</x:v>
      </x:c>
      <x:c r="F458" s="9" t="str">
        <x:f>IF(C458="","",IFERROR(INDEX('Facilities'!$D$9:$D$108,MATCH(C458,'Facilities'!$C$9:$C$108,0)),"Unavailable"))</x:f>
      </x:c>
      <x:c r="G458" s="21" t="str">
        <x:f>IF(C458="","",IFERROR(O358,"Unavailable"))</x:f>
      </x:c>
      <x:c r="H458" s="21" t="str">
        <x:f>IF(C458="","",IFERROR(P358,"Unavailable"))</x:f>
      </x:c>
      <x:c r="I458" s="21" t="str">
        <x:f>IF(C458="","",IFERROR(Q358,"Unavailable"))</x:f>
      </x:c>
      <x:c r="J458" s="23" t="str">
        <x:f>IF(C458="","",IFERROR(IF(OR(H458&gt;0,AND(AC458&gt;=0,AC458&lt;D458),D458&gt;INDEX('Facilities'!$J$9:$J$108,MATCH(C458,'Facilities'!$C$9:$C$108,0))),0,I458*'Scenario Paths'!J81),"Unavailable"))</x:f>
      </x:c>
      <x:c r="K458" s="23" t="str">
        <x:f>IF(C458="","",IFERROR(IF(OR(H458&gt;0,AND(AC458&gt;=0,AC458=D458)),0,IF(D458&gt;=INDEX('Facilities'!$J$9:$J$108,MATCH(C458,'Facilities'!$C$9:$C$108,0)),G458+J458,MIN(G458+J458,G458*INDEX('Facilities'!$R$9:$R$108,MATCH(C458,'Facilities'!$C$9:$C$108,0))))),"Unavailable"))</x:f>
      </x:c>
      <x:c r="L458" s="21" t="str">
        <x:f>IF(C458="","",IFERROR(IF(AND(AC458=D458,AC458&gt;0),MAX(0,G458+J458-K458),0),"Unavailable"))</x:f>
      </x:c>
      <x:c r="M458" s="23" t="str">
        <x:f>IF(C458="","",IFERROR(IF(AND(AC458&gt;=0,D458&gt;=AC458+INDEX('Facilities'!$AK$9:$AK$108,MATCH(C458,'Facilities'!$C$9:$C$108,0))),(H458+L458)*AM458,0),"Unavailable"))</x:f>
      </x:c>
      <x:c r="N458" s="23" t="str">
        <x:f>IF(C458="","",IFERROR(IF(AND(AC458&gt;=0,D458&gt;=AC458+INDEX('Facilities'!$AK$9:$AK$108,MATCH(C458,'Facilities'!$C$9:$C$108,0))),H458+L458-M458,0),"Unavailable"))</x:f>
      </x:c>
      <x:c r="O458" s="21" t="str">
        <x:f>IF(C458="","",IFERROR(MAX(0,G458+J458-K458-L458),"Unavailable"))</x:f>
      </x:c>
      <x:c r="P458" s="21" t="str">
        <x:f>IF(C458="","",IFERROR(MAX(0,H458+L458-M458-N458),"Unavailable"))</x:f>
      </x:c>
      <x:c r="Q458" s="23" t="str">
        <x:f>IF(C458="","",IFERROR(IF(OR(D458&gt;=INDEX('Facilities'!$J$9:$J$108,MATCH(C458,'Facilities'!$C$9:$C$108,0)),AND(AC458&gt;=0,AC458&lt;=D458)),0,MAX(0,I458-J458)),"Unavailable"))</x:f>
      </x:c>
      <x:c r="R458" s="30" t="str">
        <x:f>IF(C458="","",IFERROR(INDEX(Credit!$Q$409:$Q$508,MATCH(F458,Credit!$C$409:$C$508,0)),"Unavailable"))</x:f>
      </x:c>
      <x:c r="S458" s="30" t="str">
        <x:f>IF(C458="","",IFERROR(INDEX(Credit!$R$409:$R$508,MATCH(F458,Credit!$C$409:$C$508,0)),"Unavailable"))</x:f>
      </x:c>
      <x:c r="T458" s="23" t="str">
        <x:f>IF(C458="","",IFERROR(IF(P458&gt;0,3,IF(OR(INDEX('Facilities'!$AD$9:$AD$108,MATCH(C458,'Facilities'!$C$9:$C$108,0))=2,AND(R458&gt;=INDEX('Facilities'!$L$9:$L$108,MATCH(C458,'Facilities'!$C$9:$C$108,0))*Settings!$F$19,R458-INDEX('Facilities'!$L$9:$L$108,MATCH(C458,'Facilities'!$C$9:$C$108,0))&gt;=Settings!$F$20)),2,1)),"Unavailable"))</x:f>
      </x:c>
      <x:c r="U458" s="23" t="str">
        <x:f>IF(C458="","",IF(AQ458&lt;&gt;"Ready","Unavailable",IF(C458="","",O458*(1-(1-S458)/(1+INDEX('Facilities'!$K$9:$K$108,MATCH(C458,'Facilities'!$C$9:$C$108,0)))^INDEX('Facilities'!$AK$9:$AK$108,MATCH(C458,'Facilities'!$C$9:$C$108,0)))*R458/(1+INDEX('Facilities'!$K$9:$K$108,MATCH(C458,'Facilities'!$C$9:$C$108,0)))*IF(ABS(1-(1-R458)*(1-INDEX('Facilities'!$R$9:$R$108,MATCH(C458,'Facilities'!$C$9:$C$108,0)))/(1+INDEX('Facilities'!$K$9:$K$108,MATCH(C458,'Facilities'!$C$9:$C$108,0))))&lt;0.000000001,IF(T458=1,MIN(1,AJ458),AJ458),(1-((1-R458)*(1-INDEX('Facilities'!$R$9:$R$108,MATCH(C458,'Facilities'!$C$9:$C$108,0)))/(1+INDEX('Facilities'!$K$9:$K$108,MATCH(C458,'Facilities'!$C$9:$C$108,0))))^IF(T458=1,MIN(1,AJ458),AJ458))/(1-(1-R458)*(1-INDEX('Facilities'!$R$9:$R$108,MATCH(C458,'Facilities'!$C$9:$C$108,0)))/(1+INDEX('Facilities'!$K$9:$K$108,MATCH(C458,'Facilities'!$C$9:$C$108,0)))))+AL458)))</x:f>
      </x:c>
      <x:c r="V458" s="23" t="str">
        <x:f>IF(C458="","",IF(AQ458&lt;&gt;"Ready","Unavailable",IF(C458="","",Q458*INDEX('Facilities'!$I$9:$I$108,MATCH(C458,'Facilities'!$C$9:$C$108,0))*(1-(1-S458)/(1+INDEX('Facilities'!$K$9:$K$108,MATCH(C458,'Facilities'!$C$9:$C$108,0)))^INDEX('Facilities'!$AK$9:$AK$108,MATCH(C458,'Facilities'!$C$9:$C$108,0)))*R458/(1+INDEX('Facilities'!$K$9:$K$108,MATCH(C458,'Facilities'!$C$9:$C$108,0)))*IF(ABS(1-(1-R458)*(1-0)/(1+INDEX('Facilities'!$K$9:$K$108,MATCH(C458,'Facilities'!$C$9:$C$108,0))))&lt;0.000000001,IF(T458=1,MIN(1,AJ458),AJ458),(1-((1-R458)*(1-0)/(1+INDEX('Facilities'!$K$9:$K$108,MATCH(C458,'Facilities'!$C$9:$C$108,0))))^IF(T458=1,MIN(1,AJ458),AJ458))/(1-(1-R458)*(1-0)/(1+INDEX('Facilities'!$K$9:$K$108,MATCH(C458,'Facilities'!$C$9:$C$108,0))))))))</x:f>
      </x:c>
      <x:c r="W458" s="21" t="str">
        <x:f>IF(C458="","",IFERROR(U358,"Unavailable"))</x:f>
      </x:c>
      <x:c r="X458" s="21" t="str">
        <x:f>IF(C458="","",IFERROR(V358,"Unavailable"))</x:f>
      </x:c>
      <x:c r="Y458" s="21" t="str">
        <x:f>IF(C458="","",IF(AQ458&lt;&gt;"Ready","Unavailable",IF(C458="","",U458-W458+V458-X458+N458+AG458)))</x:f>
      </x:c>
      <x:c r="Z458" s="23" t="str">
        <x:f>IF(C458="","",IF(AQ458&lt;&gt;"Ready","Unavailable",IF(C458="","",(G458+O458+L458)/2*INDEX('Facilities'!$T$9:$T$108,MATCH(C458,'Facilities'!$C$9:$C$108,0))+AG458)))</x:f>
      </x:c>
      <x:c r="AA458" s="23" t="str">
        <x:f>IF(C458="","",IF(AQ458&lt;&gt;"Ready","Unavailable",IF(C458="","",O458*(1-IF(INDEX('Facilities'!$AA$9:$AA$108,MATCH(C458,'Facilities'!$C$9:$C$108,0))=0,0,MIN(1,INDEX('Facilities'!$X$9:$X$108,MATCH(C458,'Facilities'!$C$9:$C$108,0))/INDEX('Facilities'!$AA$9:$AA$108,MATCH(C458,'Facilities'!$C$9:$C$108,0)))))*AF458+P458*(1-IF(INDEX('Facilities'!$AA$9:$AA$108,MATCH(C458,'Facilities'!$C$9:$C$108,0))=0,0,MIN(1,INDEX('Facilities'!$X$9:$X$108,MATCH(C458,'Facilities'!$C$9:$C$108,0))/INDEX('Facilities'!$AA$9:$AA$108,MATCH(C458,'Facilities'!$C$9:$C$108,0)))))*INDEX('Facilities'!$AJ$9:$AJ$108,MATCH(C458,'Facilities'!$C$9:$C$108,0))+Q458*INDEX('Facilities'!$AI$9:$AI$108,MATCH(C458,'Facilities'!$C$9:$C$108,0))*AF458)))</x:f>
      </x:c>
      <x:c r="AB458" s="21" t="str">
        <x:f>IF(C458="","",O458+P458-AD458)</x:f>
      </x:c>
      <x:c r="AC458" s="23" t="str">
        <x:f>IF(C458="","",IFERROR(IF(INDEX('Facilities'!$AD$9:$AD$108,MATCH(C458,'Facilities'!$C$9:$C$108,0))=3,0,IF(INDEX('Facilities'!$AN$9:$AN$108,MATCH(C458,'Facilities'!$C$9:$C$108,0))=0,-1,INDEX('Facilities'!$AN$9:$AN$108,MATCH(C458,'Facilities'!$C$9:$C$108,0)))),"Unavailable"))</x:f>
      </x:c>
      <x:c r="AD458" s="21" t="str">
        <x:f>IF(C458="","",IFERROR(G458+H458,"Unavailable"))</x:f>
      </x:c>
      <x:c r="AE458" s="21" t="str">
        <x:f>IF(C458="","",IF(AQ458&lt;&gt;"Ready","Unavailable",IF(C458="","",O458+P458-AD458-J458+K458+M458+N458)))</x:f>
      </x:c>
      <x:c r="AF458" s="30" t="str">
        <x:f>IF(C458="","",IFERROR(INDEX('Facilities'!$S$9:$S$108,MATCH(C458,'Facilities'!$C$9:$C$108,0))*'Scenario Paths'!J75,"Unavailable"))</x:f>
      </x:c>
      <x:c r="AG458" s="23" t="str">
        <x:f>IF(C458="","",IF(AQ458&lt;&gt;"Ready","Unavailable",IF(C458="","",IF(H458&gt;0,MAX(0,H458-AK458)*((1+INDEX('Facilities'!$K$9:$K$108,MATCH(C458,'Facilities'!$C$9:$C$108,0)))^MIN(1,MAX(0,AC458+INDEX('Facilities'!$AK$9:$AK$108,MATCH(C458,'Facilities'!$C$9:$C$108,0))-D458+1))-1),0))))</x:f>
      </x:c>
      <x:c r="AH458" s="21" t="str">
        <x:f>IF(C458="","",IF(AQ458&lt;&gt;"Ready","Unavailable",IF(C458="","",O458+P458)))</x:f>
      </x:c>
      <x:c r="AI458" s="21" t="str">
        <x:f>IF(C458="","",IF(AQ458&lt;&gt;"Ready","Unavailable",IF(C458="","",Z458-Y458)))</x:f>
      </x:c>
      <x:c r="AJ458" s="23" t="str">
        <x:f>IF(C458="","",IFERROR(MAX(0,INDEX('Facilities'!$J$9:$J$108,MATCH(C458,'Facilities'!$C$9:$C$108,0))-D458),"Unavailable"))</x:f>
      </x:c>
      <x:c r="AK458" s="21" t="str">
        <x:f>IF(C458="","",IFERROR(AL358,"Unavailable"))</x:f>
      </x:c>
      <x:c r="AL458" s="23" t="str">
        <x:f>IF(C458="","",IFERROR(IF(P458&gt;0,P458*(1-AM458/(1+INDEX('Facilities'!$K$9:$K$108,MATCH(C458,'Facilities'!$C$9:$C$108,0)))^MAX(0,AC458+INDEX('Facilities'!$AK$9:$AK$108,MATCH(C458,'Facilities'!$C$9:$C$108,0))-D458)),0),"Unavailable"))</x:f>
      </x:c>
      <x:c r="AM458" s="30" t="str">
        <x:f>IF(C458="","",IFERROR(INDEX('Facilities'!$AL$9:$AL$108,MATCH(C458,'Facilities'!$C$9:$C$108,0)),"Unavailable"))</x:f>
      </x:c>
      <x:c r="AN458" s="30" t="str">
        <x:f>IF(C458="","",IFERROR(INDEX(Credit!$T$409:$T$508,MATCH(F458,Credit!$C$409:$C$508,0)),"Unavailable"))</x:f>
      </x:c>
      <x:c r="AO458" s="23" t="str">
        <x:f>IF(C458="","",IF(AQ458&lt;&gt;"Ready","Unavailable",IF(C458="","",O458+P458+Q458*INDEX('Facilities'!$I$9:$I$108,MATCH(C458,'Facilities'!$C$9:$C$108,0)))))</x:f>
      </x:c>
      <x:c r="AP458" s="21" t="str">
        <x:f>IF(C458="","",IF(AQ458&lt;&gt;"Ready","Unavailable",IF(C458="","",AH458-U458)))</x:f>
      </x:c>
      <x:c r="AQ458" s="23" t="str">
        <x:f>IFERROR(IF(C458="","",IF(AND(INDEX('Facilities'!$AF$9:$AF$108,MATCH(C458,'Facilities'!$C$9:$C$108,0))="Ready",INDEX(Credit!$U$409:$U$508,MATCH(F458,Credit!$C$409:$C$508,0))="Ready",ISNUMBER(W458)),"Ready","Review inputs")),"Review inputs")</x:f>
      </x:c>
      <x:c r="AR458" s="23" t="str">
        <x:f>IF(C458="","",IF(AQ458&lt;&gt;"Ready","Unavailable",IF(C458="","",IF(O458=0,0,(IF(AJ458&lt;=1,O458,O458*INDEX('Facilities'!$R$9:$R$108,MATCH(C458,'Facilities'!$C$9:$C$108,0)))+O458*INDEX('Facilities'!$T$9:$T$108,MATCH(C458,'Facilities'!$C$9:$C$108,0)))/12))))</x:f>
      </x:c>
    </x:row>
    <x:row r="459" ht="26" customHeight="1">
      <x:c r="A459" s="1"/>
      <x:c r="B459" s="1"/>
      <x:c r="C459" s="9" t="str">
        <x:f>IF(Facilities!C59="","",Facilities!C59)</x:f>
      </x:c>
      <x:c r="D459" s="3" t="n">
        <x:v>5</x:v>
      </x:c>
      <x:c r="E459" s="9" t="n">
        <x:f>Settings!$F$18+4</x:f>
        <x:v>2031</x:v>
      </x:c>
      <x:c r="F459" s="9" t="str">
        <x:f>IF(C459="","",IFERROR(INDEX('Facilities'!$D$9:$D$108,MATCH(C459,'Facilities'!$C$9:$C$108,0)),"Unavailable"))</x:f>
      </x:c>
      <x:c r="G459" s="21" t="str">
        <x:f>IF(C459="","",IFERROR(O359,"Unavailable"))</x:f>
      </x:c>
      <x:c r="H459" s="21" t="str">
        <x:f>IF(C459="","",IFERROR(P359,"Unavailable"))</x:f>
      </x:c>
      <x:c r="I459" s="21" t="str">
        <x:f>IF(C459="","",IFERROR(Q359,"Unavailable"))</x:f>
      </x:c>
      <x:c r="J459" s="23" t="str">
        <x:f>IF(C459="","",IFERROR(IF(OR(H459&gt;0,AND(AC459&gt;=0,AC459&lt;D459),D459&gt;INDEX('Facilities'!$J$9:$J$108,MATCH(C459,'Facilities'!$C$9:$C$108,0))),0,I459*'Scenario Paths'!J81),"Unavailable"))</x:f>
      </x:c>
      <x:c r="K459" s="23" t="str">
        <x:f>IF(C459="","",IFERROR(IF(OR(H459&gt;0,AND(AC459&gt;=0,AC459=D459)),0,IF(D459&gt;=INDEX('Facilities'!$J$9:$J$108,MATCH(C459,'Facilities'!$C$9:$C$108,0)),G459+J459,MIN(G459+J459,G459*INDEX('Facilities'!$R$9:$R$108,MATCH(C459,'Facilities'!$C$9:$C$108,0))))),"Unavailable"))</x:f>
      </x:c>
      <x:c r="L459" s="21" t="str">
        <x:f>IF(C459="","",IFERROR(IF(AND(AC459=D459,AC459&gt;0),MAX(0,G459+J459-K459),0),"Unavailable"))</x:f>
      </x:c>
      <x:c r="M459" s="23" t="str">
        <x:f>IF(C459="","",IFERROR(IF(AND(AC459&gt;=0,D459&gt;=AC459+INDEX('Facilities'!$AK$9:$AK$108,MATCH(C459,'Facilities'!$C$9:$C$108,0))),(H459+L459)*AM459,0),"Unavailable"))</x:f>
      </x:c>
      <x:c r="N459" s="23" t="str">
        <x:f>IF(C459="","",IFERROR(IF(AND(AC459&gt;=0,D459&gt;=AC459+INDEX('Facilities'!$AK$9:$AK$108,MATCH(C459,'Facilities'!$C$9:$C$108,0))),H459+L459-M459,0),"Unavailable"))</x:f>
      </x:c>
      <x:c r="O459" s="21" t="str">
        <x:f>IF(C459="","",IFERROR(MAX(0,G459+J459-K459-L459),"Unavailable"))</x:f>
      </x:c>
      <x:c r="P459" s="21" t="str">
        <x:f>IF(C459="","",IFERROR(MAX(0,H459+L459-M459-N459),"Unavailable"))</x:f>
      </x:c>
      <x:c r="Q459" s="23" t="str">
        <x:f>IF(C459="","",IFERROR(IF(OR(D459&gt;=INDEX('Facilities'!$J$9:$J$108,MATCH(C459,'Facilities'!$C$9:$C$108,0)),AND(AC459&gt;=0,AC459&lt;=D459)),0,MAX(0,I459-J459)),"Unavailable"))</x:f>
      </x:c>
      <x:c r="R459" s="30" t="str">
        <x:f>IF(C459="","",IFERROR(INDEX(Credit!$Q$409:$Q$508,MATCH(F459,Credit!$C$409:$C$508,0)),"Unavailable"))</x:f>
      </x:c>
      <x:c r="S459" s="30" t="str">
        <x:f>IF(C459="","",IFERROR(INDEX(Credit!$R$409:$R$508,MATCH(F459,Credit!$C$409:$C$508,0)),"Unavailable"))</x:f>
      </x:c>
      <x:c r="T459" s="23" t="str">
        <x:f>IF(C459="","",IFERROR(IF(P459&gt;0,3,IF(OR(INDEX('Facilities'!$AD$9:$AD$108,MATCH(C459,'Facilities'!$C$9:$C$108,0))=2,AND(R459&gt;=INDEX('Facilities'!$L$9:$L$108,MATCH(C459,'Facilities'!$C$9:$C$108,0))*Settings!$F$19,R459-INDEX('Facilities'!$L$9:$L$108,MATCH(C459,'Facilities'!$C$9:$C$108,0))&gt;=Settings!$F$20)),2,1)),"Unavailable"))</x:f>
      </x:c>
      <x:c r="U459" s="23" t="str">
        <x:f>IF(C459="","",IF(AQ459&lt;&gt;"Ready","Unavailable",IF(C459="","",O459*(1-(1-S459)/(1+INDEX('Facilities'!$K$9:$K$108,MATCH(C459,'Facilities'!$C$9:$C$108,0)))^INDEX('Facilities'!$AK$9:$AK$108,MATCH(C459,'Facilities'!$C$9:$C$108,0)))*R459/(1+INDEX('Facilities'!$K$9:$K$108,MATCH(C459,'Facilities'!$C$9:$C$108,0)))*IF(ABS(1-(1-R459)*(1-INDEX('Facilities'!$R$9:$R$108,MATCH(C459,'Facilities'!$C$9:$C$108,0)))/(1+INDEX('Facilities'!$K$9:$K$108,MATCH(C459,'Facilities'!$C$9:$C$108,0))))&lt;0.000000001,IF(T459=1,MIN(1,AJ459),AJ459),(1-((1-R459)*(1-INDEX('Facilities'!$R$9:$R$108,MATCH(C459,'Facilities'!$C$9:$C$108,0)))/(1+INDEX('Facilities'!$K$9:$K$108,MATCH(C459,'Facilities'!$C$9:$C$108,0))))^IF(T459=1,MIN(1,AJ459),AJ459))/(1-(1-R459)*(1-INDEX('Facilities'!$R$9:$R$108,MATCH(C459,'Facilities'!$C$9:$C$108,0)))/(1+INDEX('Facilities'!$K$9:$K$108,MATCH(C459,'Facilities'!$C$9:$C$108,0)))))+AL459)))</x:f>
      </x:c>
      <x:c r="V459" s="23" t="str">
        <x:f>IF(C459="","",IF(AQ459&lt;&gt;"Ready","Unavailable",IF(C459="","",Q459*INDEX('Facilities'!$I$9:$I$108,MATCH(C459,'Facilities'!$C$9:$C$108,0))*(1-(1-S459)/(1+INDEX('Facilities'!$K$9:$K$108,MATCH(C459,'Facilities'!$C$9:$C$108,0)))^INDEX('Facilities'!$AK$9:$AK$108,MATCH(C459,'Facilities'!$C$9:$C$108,0)))*R459/(1+INDEX('Facilities'!$K$9:$K$108,MATCH(C459,'Facilities'!$C$9:$C$108,0)))*IF(ABS(1-(1-R459)*(1-0)/(1+INDEX('Facilities'!$K$9:$K$108,MATCH(C459,'Facilities'!$C$9:$C$108,0))))&lt;0.000000001,IF(T459=1,MIN(1,AJ459),AJ459),(1-((1-R459)*(1-0)/(1+INDEX('Facilities'!$K$9:$K$108,MATCH(C459,'Facilities'!$C$9:$C$108,0))))^IF(T459=1,MIN(1,AJ459),AJ459))/(1-(1-R459)*(1-0)/(1+INDEX('Facilities'!$K$9:$K$108,MATCH(C459,'Facilities'!$C$9:$C$108,0))))))))</x:f>
      </x:c>
      <x:c r="W459" s="21" t="str">
        <x:f>IF(C459="","",IFERROR(U359,"Unavailable"))</x:f>
      </x:c>
      <x:c r="X459" s="21" t="str">
        <x:f>IF(C459="","",IFERROR(V359,"Unavailable"))</x:f>
      </x:c>
      <x:c r="Y459" s="21" t="str">
        <x:f>IF(C459="","",IF(AQ459&lt;&gt;"Ready","Unavailable",IF(C459="","",U459-W459+V459-X459+N459+AG459)))</x:f>
      </x:c>
      <x:c r="Z459" s="23" t="str">
        <x:f>IF(C459="","",IF(AQ459&lt;&gt;"Ready","Unavailable",IF(C459="","",(G459+O459+L459)/2*INDEX('Facilities'!$T$9:$T$108,MATCH(C459,'Facilities'!$C$9:$C$108,0))+AG459)))</x:f>
      </x:c>
      <x:c r="AA459" s="23" t="str">
        <x:f>IF(C459="","",IF(AQ459&lt;&gt;"Ready","Unavailable",IF(C459="","",O459*(1-IF(INDEX('Facilities'!$AA$9:$AA$108,MATCH(C459,'Facilities'!$C$9:$C$108,0))=0,0,MIN(1,INDEX('Facilities'!$X$9:$X$108,MATCH(C459,'Facilities'!$C$9:$C$108,0))/INDEX('Facilities'!$AA$9:$AA$108,MATCH(C459,'Facilities'!$C$9:$C$108,0)))))*AF459+P459*(1-IF(INDEX('Facilities'!$AA$9:$AA$108,MATCH(C459,'Facilities'!$C$9:$C$108,0))=0,0,MIN(1,INDEX('Facilities'!$X$9:$X$108,MATCH(C459,'Facilities'!$C$9:$C$108,0))/INDEX('Facilities'!$AA$9:$AA$108,MATCH(C459,'Facilities'!$C$9:$C$108,0)))))*INDEX('Facilities'!$AJ$9:$AJ$108,MATCH(C459,'Facilities'!$C$9:$C$108,0))+Q459*INDEX('Facilities'!$AI$9:$AI$108,MATCH(C459,'Facilities'!$C$9:$C$108,0))*AF459)))</x:f>
      </x:c>
      <x:c r="AB459" s="21" t="str">
        <x:f>IF(C459="","",O459+P459-AD459)</x:f>
      </x:c>
      <x:c r="AC459" s="23" t="str">
        <x:f>IF(C459="","",IFERROR(IF(INDEX('Facilities'!$AD$9:$AD$108,MATCH(C459,'Facilities'!$C$9:$C$108,0))=3,0,IF(INDEX('Facilities'!$AN$9:$AN$108,MATCH(C459,'Facilities'!$C$9:$C$108,0))=0,-1,INDEX('Facilities'!$AN$9:$AN$108,MATCH(C459,'Facilities'!$C$9:$C$108,0)))),"Unavailable"))</x:f>
      </x:c>
      <x:c r="AD459" s="21" t="str">
        <x:f>IF(C459="","",IFERROR(G459+H459,"Unavailable"))</x:f>
      </x:c>
      <x:c r="AE459" s="21" t="str">
        <x:f>IF(C459="","",IF(AQ459&lt;&gt;"Ready","Unavailable",IF(C459="","",O459+P459-AD459-J459+K459+M459+N459)))</x:f>
      </x:c>
      <x:c r="AF459" s="30" t="str">
        <x:f>IF(C459="","",IFERROR(INDEX('Facilities'!$S$9:$S$108,MATCH(C459,'Facilities'!$C$9:$C$108,0))*'Scenario Paths'!J75,"Unavailable"))</x:f>
      </x:c>
      <x:c r="AG459" s="23" t="str">
        <x:f>IF(C459="","",IF(AQ459&lt;&gt;"Ready","Unavailable",IF(C459="","",IF(H459&gt;0,MAX(0,H459-AK459)*((1+INDEX('Facilities'!$K$9:$K$108,MATCH(C459,'Facilities'!$C$9:$C$108,0)))^MIN(1,MAX(0,AC459+INDEX('Facilities'!$AK$9:$AK$108,MATCH(C459,'Facilities'!$C$9:$C$108,0))-D459+1))-1),0))))</x:f>
      </x:c>
      <x:c r="AH459" s="21" t="str">
        <x:f>IF(C459="","",IF(AQ459&lt;&gt;"Ready","Unavailable",IF(C459="","",O459+P459)))</x:f>
      </x:c>
      <x:c r="AI459" s="21" t="str">
        <x:f>IF(C459="","",IF(AQ459&lt;&gt;"Ready","Unavailable",IF(C459="","",Z459-Y459)))</x:f>
      </x:c>
      <x:c r="AJ459" s="23" t="str">
        <x:f>IF(C459="","",IFERROR(MAX(0,INDEX('Facilities'!$J$9:$J$108,MATCH(C459,'Facilities'!$C$9:$C$108,0))-D459),"Unavailable"))</x:f>
      </x:c>
      <x:c r="AK459" s="21" t="str">
        <x:f>IF(C459="","",IFERROR(AL359,"Unavailable"))</x:f>
      </x:c>
      <x:c r="AL459" s="23" t="str">
        <x:f>IF(C459="","",IFERROR(IF(P459&gt;0,P459*(1-AM459/(1+INDEX('Facilities'!$K$9:$K$108,MATCH(C459,'Facilities'!$C$9:$C$108,0)))^MAX(0,AC459+INDEX('Facilities'!$AK$9:$AK$108,MATCH(C459,'Facilities'!$C$9:$C$108,0))-D459)),0),"Unavailable"))</x:f>
      </x:c>
      <x:c r="AM459" s="30" t="str">
        <x:f>IF(C459="","",IFERROR(INDEX('Facilities'!$AL$9:$AL$108,MATCH(C459,'Facilities'!$C$9:$C$108,0)),"Unavailable"))</x:f>
      </x:c>
      <x:c r="AN459" s="30" t="str">
        <x:f>IF(C459="","",IFERROR(INDEX(Credit!$T$409:$T$508,MATCH(F459,Credit!$C$409:$C$508,0)),"Unavailable"))</x:f>
      </x:c>
      <x:c r="AO459" s="23" t="str">
        <x:f>IF(C459="","",IF(AQ459&lt;&gt;"Ready","Unavailable",IF(C459="","",O459+P459+Q459*INDEX('Facilities'!$I$9:$I$108,MATCH(C459,'Facilities'!$C$9:$C$108,0)))))</x:f>
      </x:c>
      <x:c r="AP459" s="21" t="str">
        <x:f>IF(C459="","",IF(AQ459&lt;&gt;"Ready","Unavailable",IF(C459="","",AH459-U459)))</x:f>
      </x:c>
      <x:c r="AQ459" s="23" t="str">
        <x:f>IFERROR(IF(C459="","",IF(AND(INDEX('Facilities'!$AF$9:$AF$108,MATCH(C459,'Facilities'!$C$9:$C$108,0))="Ready",INDEX(Credit!$U$409:$U$508,MATCH(F459,Credit!$C$409:$C$508,0))="Ready",ISNUMBER(W459)),"Ready","Review inputs")),"Review inputs")</x:f>
      </x:c>
      <x:c r="AR459" s="23" t="str">
        <x:f>IF(C459="","",IF(AQ459&lt;&gt;"Ready","Unavailable",IF(C459="","",IF(O459=0,0,(IF(AJ459&lt;=1,O459,O459*INDEX('Facilities'!$R$9:$R$108,MATCH(C459,'Facilities'!$C$9:$C$108,0)))+O459*INDEX('Facilities'!$T$9:$T$108,MATCH(C459,'Facilities'!$C$9:$C$108,0)))/12))))</x:f>
      </x:c>
    </x:row>
    <x:row r="460" ht="26" customHeight="1">
      <x:c r="A460" s="1"/>
      <x:c r="B460" s="1"/>
      <x:c r="C460" s="9" t="str">
        <x:f>IF(Facilities!C60="","",Facilities!C60)</x:f>
      </x:c>
      <x:c r="D460" s="3" t="n">
        <x:v>5</x:v>
      </x:c>
      <x:c r="E460" s="9" t="n">
        <x:f>Settings!$F$18+4</x:f>
        <x:v>2031</x:v>
      </x:c>
      <x:c r="F460" s="9" t="str">
        <x:f>IF(C460="","",IFERROR(INDEX('Facilities'!$D$9:$D$108,MATCH(C460,'Facilities'!$C$9:$C$108,0)),"Unavailable"))</x:f>
      </x:c>
      <x:c r="G460" s="21" t="str">
        <x:f>IF(C460="","",IFERROR(O360,"Unavailable"))</x:f>
      </x:c>
      <x:c r="H460" s="21" t="str">
        <x:f>IF(C460="","",IFERROR(P360,"Unavailable"))</x:f>
      </x:c>
      <x:c r="I460" s="21" t="str">
        <x:f>IF(C460="","",IFERROR(Q360,"Unavailable"))</x:f>
      </x:c>
      <x:c r="J460" s="23" t="str">
        <x:f>IF(C460="","",IFERROR(IF(OR(H460&gt;0,AND(AC460&gt;=0,AC460&lt;D460),D460&gt;INDEX('Facilities'!$J$9:$J$108,MATCH(C460,'Facilities'!$C$9:$C$108,0))),0,I460*'Scenario Paths'!J81),"Unavailable"))</x:f>
      </x:c>
      <x:c r="K460" s="23" t="str">
        <x:f>IF(C460="","",IFERROR(IF(OR(H460&gt;0,AND(AC460&gt;=0,AC460=D460)),0,IF(D460&gt;=INDEX('Facilities'!$J$9:$J$108,MATCH(C460,'Facilities'!$C$9:$C$108,0)),G460+J460,MIN(G460+J460,G460*INDEX('Facilities'!$R$9:$R$108,MATCH(C460,'Facilities'!$C$9:$C$108,0))))),"Unavailable"))</x:f>
      </x:c>
      <x:c r="L460" s="21" t="str">
        <x:f>IF(C460="","",IFERROR(IF(AND(AC460=D460,AC460&gt;0),MAX(0,G460+J460-K460),0),"Unavailable"))</x:f>
      </x:c>
      <x:c r="M460" s="23" t="str">
        <x:f>IF(C460="","",IFERROR(IF(AND(AC460&gt;=0,D460&gt;=AC460+INDEX('Facilities'!$AK$9:$AK$108,MATCH(C460,'Facilities'!$C$9:$C$108,0))),(H460+L460)*AM460,0),"Unavailable"))</x:f>
      </x:c>
      <x:c r="N460" s="23" t="str">
        <x:f>IF(C460="","",IFERROR(IF(AND(AC460&gt;=0,D460&gt;=AC460+INDEX('Facilities'!$AK$9:$AK$108,MATCH(C460,'Facilities'!$C$9:$C$108,0))),H460+L460-M460,0),"Unavailable"))</x:f>
      </x:c>
      <x:c r="O460" s="21" t="str">
        <x:f>IF(C460="","",IFERROR(MAX(0,G460+J460-K460-L460),"Unavailable"))</x:f>
      </x:c>
      <x:c r="P460" s="21" t="str">
        <x:f>IF(C460="","",IFERROR(MAX(0,H460+L460-M460-N460),"Unavailable"))</x:f>
      </x:c>
      <x:c r="Q460" s="23" t="str">
        <x:f>IF(C460="","",IFERROR(IF(OR(D460&gt;=INDEX('Facilities'!$J$9:$J$108,MATCH(C460,'Facilities'!$C$9:$C$108,0)),AND(AC460&gt;=0,AC460&lt;=D460)),0,MAX(0,I460-J460)),"Unavailable"))</x:f>
      </x:c>
      <x:c r="R460" s="30" t="str">
        <x:f>IF(C460="","",IFERROR(INDEX(Credit!$Q$409:$Q$508,MATCH(F460,Credit!$C$409:$C$508,0)),"Unavailable"))</x:f>
      </x:c>
      <x:c r="S460" s="30" t="str">
        <x:f>IF(C460="","",IFERROR(INDEX(Credit!$R$409:$R$508,MATCH(F460,Credit!$C$409:$C$508,0)),"Unavailable"))</x:f>
      </x:c>
      <x:c r="T460" s="23" t="str">
        <x:f>IF(C460="","",IFERROR(IF(P460&gt;0,3,IF(OR(INDEX('Facilities'!$AD$9:$AD$108,MATCH(C460,'Facilities'!$C$9:$C$108,0))=2,AND(R460&gt;=INDEX('Facilities'!$L$9:$L$108,MATCH(C460,'Facilities'!$C$9:$C$108,0))*Settings!$F$19,R460-INDEX('Facilities'!$L$9:$L$108,MATCH(C460,'Facilities'!$C$9:$C$108,0))&gt;=Settings!$F$20)),2,1)),"Unavailable"))</x:f>
      </x:c>
      <x:c r="U460" s="23" t="str">
        <x:f>IF(C460="","",IF(AQ460&lt;&gt;"Ready","Unavailable",IF(C460="","",O460*(1-(1-S460)/(1+INDEX('Facilities'!$K$9:$K$108,MATCH(C460,'Facilities'!$C$9:$C$108,0)))^INDEX('Facilities'!$AK$9:$AK$108,MATCH(C460,'Facilities'!$C$9:$C$108,0)))*R460/(1+INDEX('Facilities'!$K$9:$K$108,MATCH(C460,'Facilities'!$C$9:$C$108,0)))*IF(ABS(1-(1-R460)*(1-INDEX('Facilities'!$R$9:$R$108,MATCH(C460,'Facilities'!$C$9:$C$108,0)))/(1+INDEX('Facilities'!$K$9:$K$108,MATCH(C460,'Facilities'!$C$9:$C$108,0))))&lt;0.000000001,IF(T460=1,MIN(1,AJ460),AJ460),(1-((1-R460)*(1-INDEX('Facilities'!$R$9:$R$108,MATCH(C460,'Facilities'!$C$9:$C$108,0)))/(1+INDEX('Facilities'!$K$9:$K$108,MATCH(C460,'Facilities'!$C$9:$C$108,0))))^IF(T460=1,MIN(1,AJ460),AJ460))/(1-(1-R460)*(1-INDEX('Facilities'!$R$9:$R$108,MATCH(C460,'Facilities'!$C$9:$C$108,0)))/(1+INDEX('Facilities'!$K$9:$K$108,MATCH(C460,'Facilities'!$C$9:$C$108,0)))))+AL460)))</x:f>
      </x:c>
      <x:c r="V460" s="23" t="str">
        <x:f>IF(C460="","",IF(AQ460&lt;&gt;"Ready","Unavailable",IF(C460="","",Q460*INDEX('Facilities'!$I$9:$I$108,MATCH(C460,'Facilities'!$C$9:$C$108,0))*(1-(1-S460)/(1+INDEX('Facilities'!$K$9:$K$108,MATCH(C460,'Facilities'!$C$9:$C$108,0)))^INDEX('Facilities'!$AK$9:$AK$108,MATCH(C460,'Facilities'!$C$9:$C$108,0)))*R460/(1+INDEX('Facilities'!$K$9:$K$108,MATCH(C460,'Facilities'!$C$9:$C$108,0)))*IF(ABS(1-(1-R460)*(1-0)/(1+INDEX('Facilities'!$K$9:$K$108,MATCH(C460,'Facilities'!$C$9:$C$108,0))))&lt;0.000000001,IF(T460=1,MIN(1,AJ460),AJ460),(1-((1-R460)*(1-0)/(1+INDEX('Facilities'!$K$9:$K$108,MATCH(C460,'Facilities'!$C$9:$C$108,0))))^IF(T460=1,MIN(1,AJ460),AJ460))/(1-(1-R460)*(1-0)/(1+INDEX('Facilities'!$K$9:$K$108,MATCH(C460,'Facilities'!$C$9:$C$108,0))))))))</x:f>
      </x:c>
      <x:c r="W460" s="21" t="str">
        <x:f>IF(C460="","",IFERROR(U360,"Unavailable"))</x:f>
      </x:c>
      <x:c r="X460" s="21" t="str">
        <x:f>IF(C460="","",IFERROR(V360,"Unavailable"))</x:f>
      </x:c>
      <x:c r="Y460" s="21" t="str">
        <x:f>IF(C460="","",IF(AQ460&lt;&gt;"Ready","Unavailable",IF(C460="","",U460-W460+V460-X460+N460+AG460)))</x:f>
      </x:c>
      <x:c r="Z460" s="23" t="str">
        <x:f>IF(C460="","",IF(AQ460&lt;&gt;"Ready","Unavailable",IF(C460="","",(G460+O460+L460)/2*INDEX('Facilities'!$T$9:$T$108,MATCH(C460,'Facilities'!$C$9:$C$108,0))+AG460)))</x:f>
      </x:c>
      <x:c r="AA460" s="23" t="str">
        <x:f>IF(C460="","",IF(AQ460&lt;&gt;"Ready","Unavailable",IF(C460="","",O460*(1-IF(INDEX('Facilities'!$AA$9:$AA$108,MATCH(C460,'Facilities'!$C$9:$C$108,0))=0,0,MIN(1,INDEX('Facilities'!$X$9:$X$108,MATCH(C460,'Facilities'!$C$9:$C$108,0))/INDEX('Facilities'!$AA$9:$AA$108,MATCH(C460,'Facilities'!$C$9:$C$108,0)))))*AF460+P460*(1-IF(INDEX('Facilities'!$AA$9:$AA$108,MATCH(C460,'Facilities'!$C$9:$C$108,0))=0,0,MIN(1,INDEX('Facilities'!$X$9:$X$108,MATCH(C460,'Facilities'!$C$9:$C$108,0))/INDEX('Facilities'!$AA$9:$AA$108,MATCH(C460,'Facilities'!$C$9:$C$108,0)))))*INDEX('Facilities'!$AJ$9:$AJ$108,MATCH(C460,'Facilities'!$C$9:$C$108,0))+Q460*INDEX('Facilities'!$AI$9:$AI$108,MATCH(C460,'Facilities'!$C$9:$C$108,0))*AF460)))</x:f>
      </x:c>
      <x:c r="AB460" s="21" t="str">
        <x:f>IF(C460="","",O460+P460-AD460)</x:f>
      </x:c>
      <x:c r="AC460" s="23" t="str">
        <x:f>IF(C460="","",IFERROR(IF(INDEX('Facilities'!$AD$9:$AD$108,MATCH(C460,'Facilities'!$C$9:$C$108,0))=3,0,IF(INDEX('Facilities'!$AN$9:$AN$108,MATCH(C460,'Facilities'!$C$9:$C$108,0))=0,-1,INDEX('Facilities'!$AN$9:$AN$108,MATCH(C460,'Facilities'!$C$9:$C$108,0)))),"Unavailable"))</x:f>
      </x:c>
      <x:c r="AD460" s="21" t="str">
        <x:f>IF(C460="","",IFERROR(G460+H460,"Unavailable"))</x:f>
      </x:c>
      <x:c r="AE460" s="21" t="str">
        <x:f>IF(C460="","",IF(AQ460&lt;&gt;"Ready","Unavailable",IF(C460="","",O460+P460-AD460-J460+K460+M460+N460)))</x:f>
      </x:c>
      <x:c r="AF460" s="30" t="str">
        <x:f>IF(C460="","",IFERROR(INDEX('Facilities'!$S$9:$S$108,MATCH(C460,'Facilities'!$C$9:$C$108,0))*'Scenario Paths'!J75,"Unavailable"))</x:f>
      </x:c>
      <x:c r="AG460" s="23" t="str">
        <x:f>IF(C460="","",IF(AQ460&lt;&gt;"Ready","Unavailable",IF(C460="","",IF(H460&gt;0,MAX(0,H460-AK460)*((1+INDEX('Facilities'!$K$9:$K$108,MATCH(C460,'Facilities'!$C$9:$C$108,0)))^MIN(1,MAX(0,AC460+INDEX('Facilities'!$AK$9:$AK$108,MATCH(C460,'Facilities'!$C$9:$C$108,0))-D460+1))-1),0))))</x:f>
      </x:c>
      <x:c r="AH460" s="21" t="str">
        <x:f>IF(C460="","",IF(AQ460&lt;&gt;"Ready","Unavailable",IF(C460="","",O460+P460)))</x:f>
      </x:c>
      <x:c r="AI460" s="21" t="str">
        <x:f>IF(C460="","",IF(AQ460&lt;&gt;"Ready","Unavailable",IF(C460="","",Z460-Y460)))</x:f>
      </x:c>
      <x:c r="AJ460" s="23" t="str">
        <x:f>IF(C460="","",IFERROR(MAX(0,INDEX('Facilities'!$J$9:$J$108,MATCH(C460,'Facilities'!$C$9:$C$108,0))-D460),"Unavailable"))</x:f>
      </x:c>
      <x:c r="AK460" s="21" t="str">
        <x:f>IF(C460="","",IFERROR(AL360,"Unavailable"))</x:f>
      </x:c>
      <x:c r="AL460" s="23" t="str">
        <x:f>IF(C460="","",IFERROR(IF(P460&gt;0,P460*(1-AM460/(1+INDEX('Facilities'!$K$9:$K$108,MATCH(C460,'Facilities'!$C$9:$C$108,0)))^MAX(0,AC460+INDEX('Facilities'!$AK$9:$AK$108,MATCH(C460,'Facilities'!$C$9:$C$108,0))-D460)),0),"Unavailable"))</x:f>
      </x:c>
      <x:c r="AM460" s="30" t="str">
        <x:f>IF(C460="","",IFERROR(INDEX('Facilities'!$AL$9:$AL$108,MATCH(C460,'Facilities'!$C$9:$C$108,0)),"Unavailable"))</x:f>
      </x:c>
      <x:c r="AN460" s="30" t="str">
        <x:f>IF(C460="","",IFERROR(INDEX(Credit!$T$409:$T$508,MATCH(F460,Credit!$C$409:$C$508,0)),"Unavailable"))</x:f>
      </x:c>
      <x:c r="AO460" s="23" t="str">
        <x:f>IF(C460="","",IF(AQ460&lt;&gt;"Ready","Unavailable",IF(C460="","",O460+P460+Q460*INDEX('Facilities'!$I$9:$I$108,MATCH(C460,'Facilities'!$C$9:$C$108,0)))))</x:f>
      </x:c>
      <x:c r="AP460" s="21" t="str">
        <x:f>IF(C460="","",IF(AQ460&lt;&gt;"Ready","Unavailable",IF(C460="","",AH460-U460)))</x:f>
      </x:c>
      <x:c r="AQ460" s="23" t="str">
        <x:f>IFERROR(IF(C460="","",IF(AND(INDEX('Facilities'!$AF$9:$AF$108,MATCH(C460,'Facilities'!$C$9:$C$108,0))="Ready",INDEX(Credit!$U$409:$U$508,MATCH(F460,Credit!$C$409:$C$508,0))="Ready",ISNUMBER(W460)),"Ready","Review inputs")),"Review inputs")</x:f>
      </x:c>
      <x:c r="AR460" s="23" t="str">
        <x:f>IF(C460="","",IF(AQ460&lt;&gt;"Ready","Unavailable",IF(C460="","",IF(O460=0,0,(IF(AJ460&lt;=1,O460,O460*INDEX('Facilities'!$R$9:$R$108,MATCH(C460,'Facilities'!$C$9:$C$108,0)))+O460*INDEX('Facilities'!$T$9:$T$108,MATCH(C460,'Facilities'!$C$9:$C$108,0)))/12))))</x:f>
      </x:c>
    </x:row>
    <x:row r="461" ht="26" customHeight="1">
      <x:c r="A461" s="1"/>
      <x:c r="B461" s="1"/>
      <x:c r="C461" s="9" t="str">
        <x:f>IF(Facilities!C61="","",Facilities!C61)</x:f>
      </x:c>
      <x:c r="D461" s="3" t="n">
        <x:v>5</x:v>
      </x:c>
      <x:c r="E461" s="9" t="n">
        <x:f>Settings!$F$18+4</x:f>
        <x:v>2031</x:v>
      </x:c>
      <x:c r="F461" s="9" t="str">
        <x:f>IF(C461="","",IFERROR(INDEX('Facilities'!$D$9:$D$108,MATCH(C461,'Facilities'!$C$9:$C$108,0)),"Unavailable"))</x:f>
      </x:c>
      <x:c r="G461" s="21" t="str">
        <x:f>IF(C461="","",IFERROR(O361,"Unavailable"))</x:f>
      </x:c>
      <x:c r="H461" s="21" t="str">
        <x:f>IF(C461="","",IFERROR(P361,"Unavailable"))</x:f>
      </x:c>
      <x:c r="I461" s="21" t="str">
        <x:f>IF(C461="","",IFERROR(Q361,"Unavailable"))</x:f>
      </x:c>
      <x:c r="J461" s="23" t="str">
        <x:f>IF(C461="","",IFERROR(IF(OR(H461&gt;0,AND(AC461&gt;=0,AC461&lt;D461),D461&gt;INDEX('Facilities'!$J$9:$J$108,MATCH(C461,'Facilities'!$C$9:$C$108,0))),0,I461*'Scenario Paths'!J81),"Unavailable"))</x:f>
      </x:c>
      <x:c r="K461" s="23" t="str">
        <x:f>IF(C461="","",IFERROR(IF(OR(H461&gt;0,AND(AC461&gt;=0,AC461=D461)),0,IF(D461&gt;=INDEX('Facilities'!$J$9:$J$108,MATCH(C461,'Facilities'!$C$9:$C$108,0)),G461+J461,MIN(G461+J461,G461*INDEX('Facilities'!$R$9:$R$108,MATCH(C461,'Facilities'!$C$9:$C$108,0))))),"Unavailable"))</x:f>
      </x:c>
      <x:c r="L461" s="21" t="str">
        <x:f>IF(C461="","",IFERROR(IF(AND(AC461=D461,AC461&gt;0),MAX(0,G461+J461-K461),0),"Unavailable"))</x:f>
      </x:c>
      <x:c r="M461" s="23" t="str">
        <x:f>IF(C461="","",IFERROR(IF(AND(AC461&gt;=0,D461&gt;=AC461+INDEX('Facilities'!$AK$9:$AK$108,MATCH(C461,'Facilities'!$C$9:$C$108,0))),(H461+L461)*AM461,0),"Unavailable"))</x:f>
      </x:c>
      <x:c r="N461" s="23" t="str">
        <x:f>IF(C461="","",IFERROR(IF(AND(AC461&gt;=0,D461&gt;=AC461+INDEX('Facilities'!$AK$9:$AK$108,MATCH(C461,'Facilities'!$C$9:$C$108,0))),H461+L461-M461,0),"Unavailable"))</x:f>
      </x:c>
      <x:c r="O461" s="21" t="str">
        <x:f>IF(C461="","",IFERROR(MAX(0,G461+J461-K461-L461),"Unavailable"))</x:f>
      </x:c>
      <x:c r="P461" s="21" t="str">
        <x:f>IF(C461="","",IFERROR(MAX(0,H461+L461-M461-N461),"Unavailable"))</x:f>
      </x:c>
      <x:c r="Q461" s="23" t="str">
        <x:f>IF(C461="","",IFERROR(IF(OR(D461&gt;=INDEX('Facilities'!$J$9:$J$108,MATCH(C461,'Facilities'!$C$9:$C$108,0)),AND(AC461&gt;=0,AC461&lt;=D461)),0,MAX(0,I461-J461)),"Unavailable"))</x:f>
      </x:c>
      <x:c r="R461" s="30" t="str">
        <x:f>IF(C461="","",IFERROR(INDEX(Credit!$Q$409:$Q$508,MATCH(F461,Credit!$C$409:$C$508,0)),"Unavailable"))</x:f>
      </x:c>
      <x:c r="S461" s="30" t="str">
        <x:f>IF(C461="","",IFERROR(INDEX(Credit!$R$409:$R$508,MATCH(F461,Credit!$C$409:$C$508,0)),"Unavailable"))</x:f>
      </x:c>
      <x:c r="T461" s="23" t="str">
        <x:f>IF(C461="","",IFERROR(IF(P461&gt;0,3,IF(OR(INDEX('Facilities'!$AD$9:$AD$108,MATCH(C461,'Facilities'!$C$9:$C$108,0))=2,AND(R461&gt;=INDEX('Facilities'!$L$9:$L$108,MATCH(C461,'Facilities'!$C$9:$C$108,0))*Settings!$F$19,R461-INDEX('Facilities'!$L$9:$L$108,MATCH(C461,'Facilities'!$C$9:$C$108,0))&gt;=Settings!$F$20)),2,1)),"Unavailable"))</x:f>
      </x:c>
      <x:c r="U461" s="23" t="str">
        <x:f>IF(C461="","",IF(AQ461&lt;&gt;"Ready","Unavailable",IF(C461="","",O461*(1-(1-S461)/(1+INDEX('Facilities'!$K$9:$K$108,MATCH(C461,'Facilities'!$C$9:$C$108,0)))^INDEX('Facilities'!$AK$9:$AK$108,MATCH(C461,'Facilities'!$C$9:$C$108,0)))*R461/(1+INDEX('Facilities'!$K$9:$K$108,MATCH(C461,'Facilities'!$C$9:$C$108,0)))*IF(ABS(1-(1-R461)*(1-INDEX('Facilities'!$R$9:$R$108,MATCH(C461,'Facilities'!$C$9:$C$108,0)))/(1+INDEX('Facilities'!$K$9:$K$108,MATCH(C461,'Facilities'!$C$9:$C$108,0))))&lt;0.000000001,IF(T461=1,MIN(1,AJ461),AJ461),(1-((1-R461)*(1-INDEX('Facilities'!$R$9:$R$108,MATCH(C461,'Facilities'!$C$9:$C$108,0)))/(1+INDEX('Facilities'!$K$9:$K$108,MATCH(C461,'Facilities'!$C$9:$C$108,0))))^IF(T461=1,MIN(1,AJ461),AJ461))/(1-(1-R461)*(1-INDEX('Facilities'!$R$9:$R$108,MATCH(C461,'Facilities'!$C$9:$C$108,0)))/(1+INDEX('Facilities'!$K$9:$K$108,MATCH(C461,'Facilities'!$C$9:$C$108,0)))))+AL461)))</x:f>
      </x:c>
      <x:c r="V461" s="23" t="str">
        <x:f>IF(C461="","",IF(AQ461&lt;&gt;"Ready","Unavailable",IF(C461="","",Q461*INDEX('Facilities'!$I$9:$I$108,MATCH(C461,'Facilities'!$C$9:$C$108,0))*(1-(1-S461)/(1+INDEX('Facilities'!$K$9:$K$108,MATCH(C461,'Facilities'!$C$9:$C$108,0)))^INDEX('Facilities'!$AK$9:$AK$108,MATCH(C461,'Facilities'!$C$9:$C$108,0)))*R461/(1+INDEX('Facilities'!$K$9:$K$108,MATCH(C461,'Facilities'!$C$9:$C$108,0)))*IF(ABS(1-(1-R461)*(1-0)/(1+INDEX('Facilities'!$K$9:$K$108,MATCH(C461,'Facilities'!$C$9:$C$108,0))))&lt;0.000000001,IF(T461=1,MIN(1,AJ461),AJ461),(1-((1-R461)*(1-0)/(1+INDEX('Facilities'!$K$9:$K$108,MATCH(C461,'Facilities'!$C$9:$C$108,0))))^IF(T461=1,MIN(1,AJ461),AJ461))/(1-(1-R461)*(1-0)/(1+INDEX('Facilities'!$K$9:$K$108,MATCH(C461,'Facilities'!$C$9:$C$108,0))))))))</x:f>
      </x:c>
      <x:c r="W461" s="21" t="str">
        <x:f>IF(C461="","",IFERROR(U361,"Unavailable"))</x:f>
      </x:c>
      <x:c r="X461" s="21" t="str">
        <x:f>IF(C461="","",IFERROR(V361,"Unavailable"))</x:f>
      </x:c>
      <x:c r="Y461" s="21" t="str">
        <x:f>IF(C461="","",IF(AQ461&lt;&gt;"Ready","Unavailable",IF(C461="","",U461-W461+V461-X461+N461+AG461)))</x:f>
      </x:c>
      <x:c r="Z461" s="23" t="str">
        <x:f>IF(C461="","",IF(AQ461&lt;&gt;"Ready","Unavailable",IF(C461="","",(G461+O461+L461)/2*INDEX('Facilities'!$T$9:$T$108,MATCH(C461,'Facilities'!$C$9:$C$108,0))+AG461)))</x:f>
      </x:c>
      <x:c r="AA461" s="23" t="str">
        <x:f>IF(C461="","",IF(AQ461&lt;&gt;"Ready","Unavailable",IF(C461="","",O461*(1-IF(INDEX('Facilities'!$AA$9:$AA$108,MATCH(C461,'Facilities'!$C$9:$C$108,0))=0,0,MIN(1,INDEX('Facilities'!$X$9:$X$108,MATCH(C461,'Facilities'!$C$9:$C$108,0))/INDEX('Facilities'!$AA$9:$AA$108,MATCH(C461,'Facilities'!$C$9:$C$108,0)))))*AF461+P461*(1-IF(INDEX('Facilities'!$AA$9:$AA$108,MATCH(C461,'Facilities'!$C$9:$C$108,0))=0,0,MIN(1,INDEX('Facilities'!$X$9:$X$108,MATCH(C461,'Facilities'!$C$9:$C$108,0))/INDEX('Facilities'!$AA$9:$AA$108,MATCH(C461,'Facilities'!$C$9:$C$108,0)))))*INDEX('Facilities'!$AJ$9:$AJ$108,MATCH(C461,'Facilities'!$C$9:$C$108,0))+Q461*INDEX('Facilities'!$AI$9:$AI$108,MATCH(C461,'Facilities'!$C$9:$C$108,0))*AF461)))</x:f>
      </x:c>
      <x:c r="AB461" s="21" t="str">
        <x:f>IF(C461="","",O461+P461-AD461)</x:f>
      </x:c>
      <x:c r="AC461" s="23" t="str">
        <x:f>IF(C461="","",IFERROR(IF(INDEX('Facilities'!$AD$9:$AD$108,MATCH(C461,'Facilities'!$C$9:$C$108,0))=3,0,IF(INDEX('Facilities'!$AN$9:$AN$108,MATCH(C461,'Facilities'!$C$9:$C$108,0))=0,-1,INDEX('Facilities'!$AN$9:$AN$108,MATCH(C461,'Facilities'!$C$9:$C$108,0)))),"Unavailable"))</x:f>
      </x:c>
      <x:c r="AD461" s="21" t="str">
        <x:f>IF(C461="","",IFERROR(G461+H461,"Unavailable"))</x:f>
      </x:c>
      <x:c r="AE461" s="21" t="str">
        <x:f>IF(C461="","",IF(AQ461&lt;&gt;"Ready","Unavailable",IF(C461="","",O461+P461-AD461-J461+K461+M461+N461)))</x:f>
      </x:c>
      <x:c r="AF461" s="30" t="str">
        <x:f>IF(C461="","",IFERROR(INDEX('Facilities'!$S$9:$S$108,MATCH(C461,'Facilities'!$C$9:$C$108,0))*'Scenario Paths'!J75,"Unavailable"))</x:f>
      </x:c>
      <x:c r="AG461" s="23" t="str">
        <x:f>IF(C461="","",IF(AQ461&lt;&gt;"Ready","Unavailable",IF(C461="","",IF(H461&gt;0,MAX(0,H461-AK461)*((1+INDEX('Facilities'!$K$9:$K$108,MATCH(C461,'Facilities'!$C$9:$C$108,0)))^MIN(1,MAX(0,AC461+INDEX('Facilities'!$AK$9:$AK$108,MATCH(C461,'Facilities'!$C$9:$C$108,0))-D461+1))-1),0))))</x:f>
      </x:c>
      <x:c r="AH461" s="21" t="str">
        <x:f>IF(C461="","",IF(AQ461&lt;&gt;"Ready","Unavailable",IF(C461="","",O461+P461)))</x:f>
      </x:c>
      <x:c r="AI461" s="21" t="str">
        <x:f>IF(C461="","",IF(AQ461&lt;&gt;"Ready","Unavailable",IF(C461="","",Z461-Y461)))</x:f>
      </x:c>
      <x:c r="AJ461" s="23" t="str">
        <x:f>IF(C461="","",IFERROR(MAX(0,INDEX('Facilities'!$J$9:$J$108,MATCH(C461,'Facilities'!$C$9:$C$108,0))-D461),"Unavailable"))</x:f>
      </x:c>
      <x:c r="AK461" s="21" t="str">
        <x:f>IF(C461="","",IFERROR(AL361,"Unavailable"))</x:f>
      </x:c>
      <x:c r="AL461" s="23" t="str">
        <x:f>IF(C461="","",IFERROR(IF(P461&gt;0,P461*(1-AM461/(1+INDEX('Facilities'!$K$9:$K$108,MATCH(C461,'Facilities'!$C$9:$C$108,0)))^MAX(0,AC461+INDEX('Facilities'!$AK$9:$AK$108,MATCH(C461,'Facilities'!$C$9:$C$108,0))-D461)),0),"Unavailable"))</x:f>
      </x:c>
      <x:c r="AM461" s="30" t="str">
        <x:f>IF(C461="","",IFERROR(INDEX('Facilities'!$AL$9:$AL$108,MATCH(C461,'Facilities'!$C$9:$C$108,0)),"Unavailable"))</x:f>
      </x:c>
      <x:c r="AN461" s="30" t="str">
        <x:f>IF(C461="","",IFERROR(INDEX(Credit!$T$409:$T$508,MATCH(F461,Credit!$C$409:$C$508,0)),"Unavailable"))</x:f>
      </x:c>
      <x:c r="AO461" s="23" t="str">
        <x:f>IF(C461="","",IF(AQ461&lt;&gt;"Ready","Unavailable",IF(C461="","",O461+P461+Q461*INDEX('Facilities'!$I$9:$I$108,MATCH(C461,'Facilities'!$C$9:$C$108,0)))))</x:f>
      </x:c>
      <x:c r="AP461" s="21" t="str">
        <x:f>IF(C461="","",IF(AQ461&lt;&gt;"Ready","Unavailable",IF(C461="","",AH461-U461)))</x:f>
      </x:c>
      <x:c r="AQ461" s="23" t="str">
        <x:f>IFERROR(IF(C461="","",IF(AND(INDEX('Facilities'!$AF$9:$AF$108,MATCH(C461,'Facilities'!$C$9:$C$108,0))="Ready",INDEX(Credit!$U$409:$U$508,MATCH(F461,Credit!$C$409:$C$508,0))="Ready",ISNUMBER(W461)),"Ready","Review inputs")),"Review inputs")</x:f>
      </x:c>
      <x:c r="AR461" s="23" t="str">
        <x:f>IF(C461="","",IF(AQ461&lt;&gt;"Ready","Unavailable",IF(C461="","",IF(O461=0,0,(IF(AJ461&lt;=1,O461,O461*INDEX('Facilities'!$R$9:$R$108,MATCH(C461,'Facilities'!$C$9:$C$108,0)))+O461*INDEX('Facilities'!$T$9:$T$108,MATCH(C461,'Facilities'!$C$9:$C$108,0)))/12))))</x:f>
      </x:c>
    </x:row>
    <x:row r="462" ht="26" customHeight="1">
      <x:c r="A462" s="1"/>
      <x:c r="B462" s="1"/>
      <x:c r="C462" s="9" t="str">
        <x:f>IF(Facilities!C62="","",Facilities!C62)</x:f>
      </x:c>
      <x:c r="D462" s="3" t="n">
        <x:v>5</x:v>
      </x:c>
      <x:c r="E462" s="9" t="n">
        <x:f>Settings!$F$18+4</x:f>
        <x:v>2031</x:v>
      </x:c>
      <x:c r="F462" s="9" t="str">
        <x:f>IF(C462="","",IFERROR(INDEX('Facilities'!$D$9:$D$108,MATCH(C462,'Facilities'!$C$9:$C$108,0)),"Unavailable"))</x:f>
      </x:c>
      <x:c r="G462" s="21" t="str">
        <x:f>IF(C462="","",IFERROR(O362,"Unavailable"))</x:f>
      </x:c>
      <x:c r="H462" s="21" t="str">
        <x:f>IF(C462="","",IFERROR(P362,"Unavailable"))</x:f>
      </x:c>
      <x:c r="I462" s="21" t="str">
        <x:f>IF(C462="","",IFERROR(Q362,"Unavailable"))</x:f>
      </x:c>
      <x:c r="J462" s="23" t="str">
        <x:f>IF(C462="","",IFERROR(IF(OR(H462&gt;0,AND(AC462&gt;=0,AC462&lt;D462),D462&gt;INDEX('Facilities'!$J$9:$J$108,MATCH(C462,'Facilities'!$C$9:$C$108,0))),0,I462*'Scenario Paths'!J81),"Unavailable"))</x:f>
      </x:c>
      <x:c r="K462" s="23" t="str">
        <x:f>IF(C462="","",IFERROR(IF(OR(H462&gt;0,AND(AC462&gt;=0,AC462=D462)),0,IF(D462&gt;=INDEX('Facilities'!$J$9:$J$108,MATCH(C462,'Facilities'!$C$9:$C$108,0)),G462+J462,MIN(G462+J462,G462*INDEX('Facilities'!$R$9:$R$108,MATCH(C462,'Facilities'!$C$9:$C$108,0))))),"Unavailable"))</x:f>
      </x:c>
      <x:c r="L462" s="21" t="str">
        <x:f>IF(C462="","",IFERROR(IF(AND(AC462=D462,AC462&gt;0),MAX(0,G462+J462-K462),0),"Unavailable"))</x:f>
      </x:c>
      <x:c r="M462" s="23" t="str">
        <x:f>IF(C462="","",IFERROR(IF(AND(AC462&gt;=0,D462&gt;=AC462+INDEX('Facilities'!$AK$9:$AK$108,MATCH(C462,'Facilities'!$C$9:$C$108,0))),(H462+L462)*AM462,0),"Unavailable"))</x:f>
      </x:c>
      <x:c r="N462" s="23" t="str">
        <x:f>IF(C462="","",IFERROR(IF(AND(AC462&gt;=0,D462&gt;=AC462+INDEX('Facilities'!$AK$9:$AK$108,MATCH(C462,'Facilities'!$C$9:$C$108,0))),H462+L462-M462,0),"Unavailable"))</x:f>
      </x:c>
      <x:c r="O462" s="21" t="str">
        <x:f>IF(C462="","",IFERROR(MAX(0,G462+J462-K462-L462),"Unavailable"))</x:f>
      </x:c>
      <x:c r="P462" s="21" t="str">
        <x:f>IF(C462="","",IFERROR(MAX(0,H462+L462-M462-N462),"Unavailable"))</x:f>
      </x:c>
      <x:c r="Q462" s="23" t="str">
        <x:f>IF(C462="","",IFERROR(IF(OR(D462&gt;=INDEX('Facilities'!$J$9:$J$108,MATCH(C462,'Facilities'!$C$9:$C$108,0)),AND(AC462&gt;=0,AC462&lt;=D462)),0,MAX(0,I462-J462)),"Unavailable"))</x:f>
      </x:c>
      <x:c r="R462" s="30" t="str">
        <x:f>IF(C462="","",IFERROR(INDEX(Credit!$Q$409:$Q$508,MATCH(F462,Credit!$C$409:$C$508,0)),"Unavailable"))</x:f>
      </x:c>
      <x:c r="S462" s="30" t="str">
        <x:f>IF(C462="","",IFERROR(INDEX(Credit!$R$409:$R$508,MATCH(F462,Credit!$C$409:$C$508,0)),"Unavailable"))</x:f>
      </x:c>
      <x:c r="T462" s="23" t="str">
        <x:f>IF(C462="","",IFERROR(IF(P462&gt;0,3,IF(OR(INDEX('Facilities'!$AD$9:$AD$108,MATCH(C462,'Facilities'!$C$9:$C$108,0))=2,AND(R462&gt;=INDEX('Facilities'!$L$9:$L$108,MATCH(C462,'Facilities'!$C$9:$C$108,0))*Settings!$F$19,R462-INDEX('Facilities'!$L$9:$L$108,MATCH(C462,'Facilities'!$C$9:$C$108,0))&gt;=Settings!$F$20)),2,1)),"Unavailable"))</x:f>
      </x:c>
      <x:c r="U462" s="23" t="str">
        <x:f>IF(C462="","",IF(AQ462&lt;&gt;"Ready","Unavailable",IF(C462="","",O462*(1-(1-S462)/(1+INDEX('Facilities'!$K$9:$K$108,MATCH(C462,'Facilities'!$C$9:$C$108,0)))^INDEX('Facilities'!$AK$9:$AK$108,MATCH(C462,'Facilities'!$C$9:$C$108,0)))*R462/(1+INDEX('Facilities'!$K$9:$K$108,MATCH(C462,'Facilities'!$C$9:$C$108,0)))*IF(ABS(1-(1-R462)*(1-INDEX('Facilities'!$R$9:$R$108,MATCH(C462,'Facilities'!$C$9:$C$108,0)))/(1+INDEX('Facilities'!$K$9:$K$108,MATCH(C462,'Facilities'!$C$9:$C$108,0))))&lt;0.000000001,IF(T462=1,MIN(1,AJ462),AJ462),(1-((1-R462)*(1-INDEX('Facilities'!$R$9:$R$108,MATCH(C462,'Facilities'!$C$9:$C$108,0)))/(1+INDEX('Facilities'!$K$9:$K$108,MATCH(C462,'Facilities'!$C$9:$C$108,0))))^IF(T462=1,MIN(1,AJ462),AJ462))/(1-(1-R462)*(1-INDEX('Facilities'!$R$9:$R$108,MATCH(C462,'Facilities'!$C$9:$C$108,0)))/(1+INDEX('Facilities'!$K$9:$K$108,MATCH(C462,'Facilities'!$C$9:$C$108,0)))))+AL462)))</x:f>
      </x:c>
      <x:c r="V462" s="23" t="str">
        <x:f>IF(C462="","",IF(AQ462&lt;&gt;"Ready","Unavailable",IF(C462="","",Q462*INDEX('Facilities'!$I$9:$I$108,MATCH(C462,'Facilities'!$C$9:$C$108,0))*(1-(1-S462)/(1+INDEX('Facilities'!$K$9:$K$108,MATCH(C462,'Facilities'!$C$9:$C$108,0)))^INDEX('Facilities'!$AK$9:$AK$108,MATCH(C462,'Facilities'!$C$9:$C$108,0)))*R462/(1+INDEX('Facilities'!$K$9:$K$108,MATCH(C462,'Facilities'!$C$9:$C$108,0)))*IF(ABS(1-(1-R462)*(1-0)/(1+INDEX('Facilities'!$K$9:$K$108,MATCH(C462,'Facilities'!$C$9:$C$108,0))))&lt;0.000000001,IF(T462=1,MIN(1,AJ462),AJ462),(1-((1-R462)*(1-0)/(1+INDEX('Facilities'!$K$9:$K$108,MATCH(C462,'Facilities'!$C$9:$C$108,0))))^IF(T462=1,MIN(1,AJ462),AJ462))/(1-(1-R462)*(1-0)/(1+INDEX('Facilities'!$K$9:$K$108,MATCH(C462,'Facilities'!$C$9:$C$108,0))))))))</x:f>
      </x:c>
      <x:c r="W462" s="21" t="str">
        <x:f>IF(C462="","",IFERROR(U362,"Unavailable"))</x:f>
      </x:c>
      <x:c r="X462" s="21" t="str">
        <x:f>IF(C462="","",IFERROR(V362,"Unavailable"))</x:f>
      </x:c>
      <x:c r="Y462" s="21" t="str">
        <x:f>IF(C462="","",IF(AQ462&lt;&gt;"Ready","Unavailable",IF(C462="","",U462-W462+V462-X462+N462+AG462)))</x:f>
      </x:c>
      <x:c r="Z462" s="23" t="str">
        <x:f>IF(C462="","",IF(AQ462&lt;&gt;"Ready","Unavailable",IF(C462="","",(G462+O462+L462)/2*INDEX('Facilities'!$T$9:$T$108,MATCH(C462,'Facilities'!$C$9:$C$108,0))+AG462)))</x:f>
      </x:c>
      <x:c r="AA462" s="23" t="str">
        <x:f>IF(C462="","",IF(AQ462&lt;&gt;"Ready","Unavailable",IF(C462="","",O462*(1-IF(INDEX('Facilities'!$AA$9:$AA$108,MATCH(C462,'Facilities'!$C$9:$C$108,0))=0,0,MIN(1,INDEX('Facilities'!$X$9:$X$108,MATCH(C462,'Facilities'!$C$9:$C$108,0))/INDEX('Facilities'!$AA$9:$AA$108,MATCH(C462,'Facilities'!$C$9:$C$108,0)))))*AF462+P462*(1-IF(INDEX('Facilities'!$AA$9:$AA$108,MATCH(C462,'Facilities'!$C$9:$C$108,0))=0,0,MIN(1,INDEX('Facilities'!$X$9:$X$108,MATCH(C462,'Facilities'!$C$9:$C$108,0))/INDEX('Facilities'!$AA$9:$AA$108,MATCH(C462,'Facilities'!$C$9:$C$108,0)))))*INDEX('Facilities'!$AJ$9:$AJ$108,MATCH(C462,'Facilities'!$C$9:$C$108,0))+Q462*INDEX('Facilities'!$AI$9:$AI$108,MATCH(C462,'Facilities'!$C$9:$C$108,0))*AF462)))</x:f>
      </x:c>
      <x:c r="AB462" s="21" t="str">
        <x:f>IF(C462="","",O462+P462-AD462)</x:f>
      </x:c>
      <x:c r="AC462" s="23" t="str">
        <x:f>IF(C462="","",IFERROR(IF(INDEX('Facilities'!$AD$9:$AD$108,MATCH(C462,'Facilities'!$C$9:$C$108,0))=3,0,IF(INDEX('Facilities'!$AN$9:$AN$108,MATCH(C462,'Facilities'!$C$9:$C$108,0))=0,-1,INDEX('Facilities'!$AN$9:$AN$108,MATCH(C462,'Facilities'!$C$9:$C$108,0)))),"Unavailable"))</x:f>
      </x:c>
      <x:c r="AD462" s="21" t="str">
        <x:f>IF(C462="","",IFERROR(G462+H462,"Unavailable"))</x:f>
      </x:c>
      <x:c r="AE462" s="21" t="str">
        <x:f>IF(C462="","",IF(AQ462&lt;&gt;"Ready","Unavailable",IF(C462="","",O462+P462-AD462-J462+K462+M462+N462)))</x:f>
      </x:c>
      <x:c r="AF462" s="30" t="str">
        <x:f>IF(C462="","",IFERROR(INDEX('Facilities'!$S$9:$S$108,MATCH(C462,'Facilities'!$C$9:$C$108,0))*'Scenario Paths'!J75,"Unavailable"))</x:f>
      </x:c>
      <x:c r="AG462" s="23" t="str">
        <x:f>IF(C462="","",IF(AQ462&lt;&gt;"Ready","Unavailable",IF(C462="","",IF(H462&gt;0,MAX(0,H462-AK462)*((1+INDEX('Facilities'!$K$9:$K$108,MATCH(C462,'Facilities'!$C$9:$C$108,0)))^MIN(1,MAX(0,AC462+INDEX('Facilities'!$AK$9:$AK$108,MATCH(C462,'Facilities'!$C$9:$C$108,0))-D462+1))-1),0))))</x:f>
      </x:c>
      <x:c r="AH462" s="21" t="str">
        <x:f>IF(C462="","",IF(AQ462&lt;&gt;"Ready","Unavailable",IF(C462="","",O462+P462)))</x:f>
      </x:c>
      <x:c r="AI462" s="21" t="str">
        <x:f>IF(C462="","",IF(AQ462&lt;&gt;"Ready","Unavailable",IF(C462="","",Z462-Y462)))</x:f>
      </x:c>
      <x:c r="AJ462" s="23" t="str">
        <x:f>IF(C462="","",IFERROR(MAX(0,INDEX('Facilities'!$J$9:$J$108,MATCH(C462,'Facilities'!$C$9:$C$108,0))-D462),"Unavailable"))</x:f>
      </x:c>
      <x:c r="AK462" s="21" t="str">
        <x:f>IF(C462="","",IFERROR(AL362,"Unavailable"))</x:f>
      </x:c>
      <x:c r="AL462" s="23" t="str">
        <x:f>IF(C462="","",IFERROR(IF(P462&gt;0,P462*(1-AM462/(1+INDEX('Facilities'!$K$9:$K$108,MATCH(C462,'Facilities'!$C$9:$C$108,0)))^MAX(0,AC462+INDEX('Facilities'!$AK$9:$AK$108,MATCH(C462,'Facilities'!$C$9:$C$108,0))-D462)),0),"Unavailable"))</x:f>
      </x:c>
      <x:c r="AM462" s="30" t="str">
        <x:f>IF(C462="","",IFERROR(INDEX('Facilities'!$AL$9:$AL$108,MATCH(C462,'Facilities'!$C$9:$C$108,0)),"Unavailable"))</x:f>
      </x:c>
      <x:c r="AN462" s="30" t="str">
        <x:f>IF(C462="","",IFERROR(INDEX(Credit!$T$409:$T$508,MATCH(F462,Credit!$C$409:$C$508,0)),"Unavailable"))</x:f>
      </x:c>
      <x:c r="AO462" s="23" t="str">
        <x:f>IF(C462="","",IF(AQ462&lt;&gt;"Ready","Unavailable",IF(C462="","",O462+P462+Q462*INDEX('Facilities'!$I$9:$I$108,MATCH(C462,'Facilities'!$C$9:$C$108,0)))))</x:f>
      </x:c>
      <x:c r="AP462" s="21" t="str">
        <x:f>IF(C462="","",IF(AQ462&lt;&gt;"Ready","Unavailable",IF(C462="","",AH462-U462)))</x:f>
      </x:c>
      <x:c r="AQ462" s="23" t="str">
        <x:f>IFERROR(IF(C462="","",IF(AND(INDEX('Facilities'!$AF$9:$AF$108,MATCH(C462,'Facilities'!$C$9:$C$108,0))="Ready",INDEX(Credit!$U$409:$U$508,MATCH(F462,Credit!$C$409:$C$508,0))="Ready",ISNUMBER(W462)),"Ready","Review inputs")),"Review inputs")</x:f>
      </x:c>
      <x:c r="AR462" s="23" t="str">
        <x:f>IF(C462="","",IF(AQ462&lt;&gt;"Ready","Unavailable",IF(C462="","",IF(O462=0,0,(IF(AJ462&lt;=1,O462,O462*INDEX('Facilities'!$R$9:$R$108,MATCH(C462,'Facilities'!$C$9:$C$108,0)))+O462*INDEX('Facilities'!$T$9:$T$108,MATCH(C462,'Facilities'!$C$9:$C$108,0)))/12))))</x:f>
      </x:c>
    </x:row>
    <x:row r="463" ht="26" customHeight="1">
      <x:c r="A463" s="1"/>
      <x:c r="B463" s="1"/>
      <x:c r="C463" s="9" t="str">
        <x:f>IF(Facilities!C63="","",Facilities!C63)</x:f>
      </x:c>
      <x:c r="D463" s="3" t="n">
        <x:v>5</x:v>
      </x:c>
      <x:c r="E463" s="9" t="n">
        <x:f>Settings!$F$18+4</x:f>
        <x:v>2031</x:v>
      </x:c>
      <x:c r="F463" s="9" t="str">
        <x:f>IF(C463="","",IFERROR(INDEX('Facilities'!$D$9:$D$108,MATCH(C463,'Facilities'!$C$9:$C$108,0)),"Unavailable"))</x:f>
      </x:c>
      <x:c r="G463" s="21" t="str">
        <x:f>IF(C463="","",IFERROR(O363,"Unavailable"))</x:f>
      </x:c>
      <x:c r="H463" s="21" t="str">
        <x:f>IF(C463="","",IFERROR(P363,"Unavailable"))</x:f>
      </x:c>
      <x:c r="I463" s="21" t="str">
        <x:f>IF(C463="","",IFERROR(Q363,"Unavailable"))</x:f>
      </x:c>
      <x:c r="J463" s="23" t="str">
        <x:f>IF(C463="","",IFERROR(IF(OR(H463&gt;0,AND(AC463&gt;=0,AC463&lt;D463),D463&gt;INDEX('Facilities'!$J$9:$J$108,MATCH(C463,'Facilities'!$C$9:$C$108,0))),0,I463*'Scenario Paths'!J81),"Unavailable"))</x:f>
      </x:c>
      <x:c r="K463" s="23" t="str">
        <x:f>IF(C463="","",IFERROR(IF(OR(H463&gt;0,AND(AC463&gt;=0,AC463=D463)),0,IF(D463&gt;=INDEX('Facilities'!$J$9:$J$108,MATCH(C463,'Facilities'!$C$9:$C$108,0)),G463+J463,MIN(G463+J463,G463*INDEX('Facilities'!$R$9:$R$108,MATCH(C463,'Facilities'!$C$9:$C$108,0))))),"Unavailable"))</x:f>
      </x:c>
      <x:c r="L463" s="21" t="str">
        <x:f>IF(C463="","",IFERROR(IF(AND(AC463=D463,AC463&gt;0),MAX(0,G463+J463-K463),0),"Unavailable"))</x:f>
      </x:c>
      <x:c r="M463" s="23" t="str">
        <x:f>IF(C463="","",IFERROR(IF(AND(AC463&gt;=0,D463&gt;=AC463+INDEX('Facilities'!$AK$9:$AK$108,MATCH(C463,'Facilities'!$C$9:$C$108,0))),(H463+L463)*AM463,0),"Unavailable"))</x:f>
      </x:c>
      <x:c r="N463" s="23" t="str">
        <x:f>IF(C463="","",IFERROR(IF(AND(AC463&gt;=0,D463&gt;=AC463+INDEX('Facilities'!$AK$9:$AK$108,MATCH(C463,'Facilities'!$C$9:$C$108,0))),H463+L463-M463,0),"Unavailable"))</x:f>
      </x:c>
      <x:c r="O463" s="21" t="str">
        <x:f>IF(C463="","",IFERROR(MAX(0,G463+J463-K463-L463),"Unavailable"))</x:f>
      </x:c>
      <x:c r="P463" s="21" t="str">
        <x:f>IF(C463="","",IFERROR(MAX(0,H463+L463-M463-N463),"Unavailable"))</x:f>
      </x:c>
      <x:c r="Q463" s="23" t="str">
        <x:f>IF(C463="","",IFERROR(IF(OR(D463&gt;=INDEX('Facilities'!$J$9:$J$108,MATCH(C463,'Facilities'!$C$9:$C$108,0)),AND(AC463&gt;=0,AC463&lt;=D463)),0,MAX(0,I463-J463)),"Unavailable"))</x:f>
      </x:c>
      <x:c r="R463" s="30" t="str">
        <x:f>IF(C463="","",IFERROR(INDEX(Credit!$Q$409:$Q$508,MATCH(F463,Credit!$C$409:$C$508,0)),"Unavailable"))</x:f>
      </x:c>
      <x:c r="S463" s="30" t="str">
        <x:f>IF(C463="","",IFERROR(INDEX(Credit!$R$409:$R$508,MATCH(F463,Credit!$C$409:$C$508,0)),"Unavailable"))</x:f>
      </x:c>
      <x:c r="T463" s="23" t="str">
        <x:f>IF(C463="","",IFERROR(IF(P463&gt;0,3,IF(OR(INDEX('Facilities'!$AD$9:$AD$108,MATCH(C463,'Facilities'!$C$9:$C$108,0))=2,AND(R463&gt;=INDEX('Facilities'!$L$9:$L$108,MATCH(C463,'Facilities'!$C$9:$C$108,0))*Settings!$F$19,R463-INDEX('Facilities'!$L$9:$L$108,MATCH(C463,'Facilities'!$C$9:$C$108,0))&gt;=Settings!$F$20)),2,1)),"Unavailable"))</x:f>
      </x:c>
      <x:c r="U463" s="23" t="str">
        <x:f>IF(C463="","",IF(AQ463&lt;&gt;"Ready","Unavailable",IF(C463="","",O463*(1-(1-S463)/(1+INDEX('Facilities'!$K$9:$K$108,MATCH(C463,'Facilities'!$C$9:$C$108,0)))^INDEX('Facilities'!$AK$9:$AK$108,MATCH(C463,'Facilities'!$C$9:$C$108,0)))*R463/(1+INDEX('Facilities'!$K$9:$K$108,MATCH(C463,'Facilities'!$C$9:$C$108,0)))*IF(ABS(1-(1-R463)*(1-INDEX('Facilities'!$R$9:$R$108,MATCH(C463,'Facilities'!$C$9:$C$108,0)))/(1+INDEX('Facilities'!$K$9:$K$108,MATCH(C463,'Facilities'!$C$9:$C$108,0))))&lt;0.000000001,IF(T463=1,MIN(1,AJ463),AJ463),(1-((1-R463)*(1-INDEX('Facilities'!$R$9:$R$108,MATCH(C463,'Facilities'!$C$9:$C$108,0)))/(1+INDEX('Facilities'!$K$9:$K$108,MATCH(C463,'Facilities'!$C$9:$C$108,0))))^IF(T463=1,MIN(1,AJ463),AJ463))/(1-(1-R463)*(1-INDEX('Facilities'!$R$9:$R$108,MATCH(C463,'Facilities'!$C$9:$C$108,0)))/(1+INDEX('Facilities'!$K$9:$K$108,MATCH(C463,'Facilities'!$C$9:$C$108,0)))))+AL463)))</x:f>
      </x:c>
      <x:c r="V463" s="23" t="str">
        <x:f>IF(C463="","",IF(AQ463&lt;&gt;"Ready","Unavailable",IF(C463="","",Q463*INDEX('Facilities'!$I$9:$I$108,MATCH(C463,'Facilities'!$C$9:$C$108,0))*(1-(1-S463)/(1+INDEX('Facilities'!$K$9:$K$108,MATCH(C463,'Facilities'!$C$9:$C$108,0)))^INDEX('Facilities'!$AK$9:$AK$108,MATCH(C463,'Facilities'!$C$9:$C$108,0)))*R463/(1+INDEX('Facilities'!$K$9:$K$108,MATCH(C463,'Facilities'!$C$9:$C$108,0)))*IF(ABS(1-(1-R463)*(1-0)/(1+INDEX('Facilities'!$K$9:$K$108,MATCH(C463,'Facilities'!$C$9:$C$108,0))))&lt;0.000000001,IF(T463=1,MIN(1,AJ463),AJ463),(1-((1-R463)*(1-0)/(1+INDEX('Facilities'!$K$9:$K$108,MATCH(C463,'Facilities'!$C$9:$C$108,0))))^IF(T463=1,MIN(1,AJ463),AJ463))/(1-(1-R463)*(1-0)/(1+INDEX('Facilities'!$K$9:$K$108,MATCH(C463,'Facilities'!$C$9:$C$108,0))))))))</x:f>
      </x:c>
      <x:c r="W463" s="21" t="str">
        <x:f>IF(C463="","",IFERROR(U363,"Unavailable"))</x:f>
      </x:c>
      <x:c r="X463" s="21" t="str">
        <x:f>IF(C463="","",IFERROR(V363,"Unavailable"))</x:f>
      </x:c>
      <x:c r="Y463" s="21" t="str">
        <x:f>IF(C463="","",IF(AQ463&lt;&gt;"Ready","Unavailable",IF(C463="","",U463-W463+V463-X463+N463+AG463)))</x:f>
      </x:c>
      <x:c r="Z463" s="23" t="str">
        <x:f>IF(C463="","",IF(AQ463&lt;&gt;"Ready","Unavailable",IF(C463="","",(G463+O463+L463)/2*INDEX('Facilities'!$T$9:$T$108,MATCH(C463,'Facilities'!$C$9:$C$108,0))+AG463)))</x:f>
      </x:c>
      <x:c r="AA463" s="23" t="str">
        <x:f>IF(C463="","",IF(AQ463&lt;&gt;"Ready","Unavailable",IF(C463="","",O463*(1-IF(INDEX('Facilities'!$AA$9:$AA$108,MATCH(C463,'Facilities'!$C$9:$C$108,0))=0,0,MIN(1,INDEX('Facilities'!$X$9:$X$108,MATCH(C463,'Facilities'!$C$9:$C$108,0))/INDEX('Facilities'!$AA$9:$AA$108,MATCH(C463,'Facilities'!$C$9:$C$108,0)))))*AF463+P463*(1-IF(INDEX('Facilities'!$AA$9:$AA$108,MATCH(C463,'Facilities'!$C$9:$C$108,0))=0,0,MIN(1,INDEX('Facilities'!$X$9:$X$108,MATCH(C463,'Facilities'!$C$9:$C$108,0))/INDEX('Facilities'!$AA$9:$AA$108,MATCH(C463,'Facilities'!$C$9:$C$108,0)))))*INDEX('Facilities'!$AJ$9:$AJ$108,MATCH(C463,'Facilities'!$C$9:$C$108,0))+Q463*INDEX('Facilities'!$AI$9:$AI$108,MATCH(C463,'Facilities'!$C$9:$C$108,0))*AF463)))</x:f>
      </x:c>
      <x:c r="AB463" s="21" t="str">
        <x:f>IF(C463="","",O463+P463-AD463)</x:f>
      </x:c>
      <x:c r="AC463" s="23" t="str">
        <x:f>IF(C463="","",IFERROR(IF(INDEX('Facilities'!$AD$9:$AD$108,MATCH(C463,'Facilities'!$C$9:$C$108,0))=3,0,IF(INDEX('Facilities'!$AN$9:$AN$108,MATCH(C463,'Facilities'!$C$9:$C$108,0))=0,-1,INDEX('Facilities'!$AN$9:$AN$108,MATCH(C463,'Facilities'!$C$9:$C$108,0)))),"Unavailable"))</x:f>
      </x:c>
      <x:c r="AD463" s="21" t="str">
        <x:f>IF(C463="","",IFERROR(G463+H463,"Unavailable"))</x:f>
      </x:c>
      <x:c r="AE463" s="21" t="str">
        <x:f>IF(C463="","",IF(AQ463&lt;&gt;"Ready","Unavailable",IF(C463="","",O463+P463-AD463-J463+K463+M463+N463)))</x:f>
      </x:c>
      <x:c r="AF463" s="30" t="str">
        <x:f>IF(C463="","",IFERROR(INDEX('Facilities'!$S$9:$S$108,MATCH(C463,'Facilities'!$C$9:$C$108,0))*'Scenario Paths'!J75,"Unavailable"))</x:f>
      </x:c>
      <x:c r="AG463" s="23" t="str">
        <x:f>IF(C463="","",IF(AQ463&lt;&gt;"Ready","Unavailable",IF(C463="","",IF(H463&gt;0,MAX(0,H463-AK463)*((1+INDEX('Facilities'!$K$9:$K$108,MATCH(C463,'Facilities'!$C$9:$C$108,0)))^MIN(1,MAX(0,AC463+INDEX('Facilities'!$AK$9:$AK$108,MATCH(C463,'Facilities'!$C$9:$C$108,0))-D463+1))-1),0))))</x:f>
      </x:c>
      <x:c r="AH463" s="21" t="str">
        <x:f>IF(C463="","",IF(AQ463&lt;&gt;"Ready","Unavailable",IF(C463="","",O463+P463)))</x:f>
      </x:c>
      <x:c r="AI463" s="21" t="str">
        <x:f>IF(C463="","",IF(AQ463&lt;&gt;"Ready","Unavailable",IF(C463="","",Z463-Y463)))</x:f>
      </x:c>
      <x:c r="AJ463" s="23" t="str">
        <x:f>IF(C463="","",IFERROR(MAX(0,INDEX('Facilities'!$J$9:$J$108,MATCH(C463,'Facilities'!$C$9:$C$108,0))-D463),"Unavailable"))</x:f>
      </x:c>
      <x:c r="AK463" s="21" t="str">
        <x:f>IF(C463="","",IFERROR(AL363,"Unavailable"))</x:f>
      </x:c>
      <x:c r="AL463" s="23" t="str">
        <x:f>IF(C463="","",IFERROR(IF(P463&gt;0,P463*(1-AM463/(1+INDEX('Facilities'!$K$9:$K$108,MATCH(C463,'Facilities'!$C$9:$C$108,0)))^MAX(0,AC463+INDEX('Facilities'!$AK$9:$AK$108,MATCH(C463,'Facilities'!$C$9:$C$108,0))-D463)),0),"Unavailable"))</x:f>
      </x:c>
      <x:c r="AM463" s="30" t="str">
        <x:f>IF(C463="","",IFERROR(INDEX('Facilities'!$AL$9:$AL$108,MATCH(C463,'Facilities'!$C$9:$C$108,0)),"Unavailable"))</x:f>
      </x:c>
      <x:c r="AN463" s="30" t="str">
        <x:f>IF(C463="","",IFERROR(INDEX(Credit!$T$409:$T$508,MATCH(F463,Credit!$C$409:$C$508,0)),"Unavailable"))</x:f>
      </x:c>
      <x:c r="AO463" s="23" t="str">
        <x:f>IF(C463="","",IF(AQ463&lt;&gt;"Ready","Unavailable",IF(C463="","",O463+P463+Q463*INDEX('Facilities'!$I$9:$I$108,MATCH(C463,'Facilities'!$C$9:$C$108,0)))))</x:f>
      </x:c>
      <x:c r="AP463" s="21" t="str">
        <x:f>IF(C463="","",IF(AQ463&lt;&gt;"Ready","Unavailable",IF(C463="","",AH463-U463)))</x:f>
      </x:c>
      <x:c r="AQ463" s="23" t="str">
        <x:f>IFERROR(IF(C463="","",IF(AND(INDEX('Facilities'!$AF$9:$AF$108,MATCH(C463,'Facilities'!$C$9:$C$108,0))="Ready",INDEX(Credit!$U$409:$U$508,MATCH(F463,Credit!$C$409:$C$508,0))="Ready",ISNUMBER(W463)),"Ready","Review inputs")),"Review inputs")</x:f>
      </x:c>
      <x:c r="AR463" s="23" t="str">
        <x:f>IF(C463="","",IF(AQ463&lt;&gt;"Ready","Unavailable",IF(C463="","",IF(O463=0,0,(IF(AJ463&lt;=1,O463,O463*INDEX('Facilities'!$R$9:$R$108,MATCH(C463,'Facilities'!$C$9:$C$108,0)))+O463*INDEX('Facilities'!$T$9:$T$108,MATCH(C463,'Facilities'!$C$9:$C$108,0)))/12))))</x:f>
      </x:c>
    </x:row>
    <x:row r="464" ht="26" customHeight="1">
      <x:c r="A464" s="1"/>
      <x:c r="B464" s="1"/>
      <x:c r="C464" s="9" t="str">
        <x:f>IF(Facilities!C64="","",Facilities!C64)</x:f>
      </x:c>
      <x:c r="D464" s="3" t="n">
        <x:v>5</x:v>
      </x:c>
      <x:c r="E464" s="9" t="n">
        <x:f>Settings!$F$18+4</x:f>
        <x:v>2031</x:v>
      </x:c>
      <x:c r="F464" s="9" t="str">
        <x:f>IF(C464="","",IFERROR(INDEX('Facilities'!$D$9:$D$108,MATCH(C464,'Facilities'!$C$9:$C$108,0)),"Unavailable"))</x:f>
      </x:c>
      <x:c r="G464" s="21" t="str">
        <x:f>IF(C464="","",IFERROR(O364,"Unavailable"))</x:f>
      </x:c>
      <x:c r="H464" s="21" t="str">
        <x:f>IF(C464="","",IFERROR(P364,"Unavailable"))</x:f>
      </x:c>
      <x:c r="I464" s="21" t="str">
        <x:f>IF(C464="","",IFERROR(Q364,"Unavailable"))</x:f>
      </x:c>
      <x:c r="J464" s="23" t="str">
        <x:f>IF(C464="","",IFERROR(IF(OR(H464&gt;0,AND(AC464&gt;=0,AC464&lt;D464),D464&gt;INDEX('Facilities'!$J$9:$J$108,MATCH(C464,'Facilities'!$C$9:$C$108,0))),0,I464*'Scenario Paths'!J81),"Unavailable"))</x:f>
      </x:c>
      <x:c r="K464" s="23" t="str">
        <x:f>IF(C464="","",IFERROR(IF(OR(H464&gt;0,AND(AC464&gt;=0,AC464=D464)),0,IF(D464&gt;=INDEX('Facilities'!$J$9:$J$108,MATCH(C464,'Facilities'!$C$9:$C$108,0)),G464+J464,MIN(G464+J464,G464*INDEX('Facilities'!$R$9:$R$108,MATCH(C464,'Facilities'!$C$9:$C$108,0))))),"Unavailable"))</x:f>
      </x:c>
      <x:c r="L464" s="21" t="str">
        <x:f>IF(C464="","",IFERROR(IF(AND(AC464=D464,AC464&gt;0),MAX(0,G464+J464-K464),0),"Unavailable"))</x:f>
      </x:c>
      <x:c r="M464" s="23" t="str">
        <x:f>IF(C464="","",IFERROR(IF(AND(AC464&gt;=0,D464&gt;=AC464+INDEX('Facilities'!$AK$9:$AK$108,MATCH(C464,'Facilities'!$C$9:$C$108,0))),(H464+L464)*AM464,0),"Unavailable"))</x:f>
      </x:c>
      <x:c r="N464" s="23" t="str">
        <x:f>IF(C464="","",IFERROR(IF(AND(AC464&gt;=0,D464&gt;=AC464+INDEX('Facilities'!$AK$9:$AK$108,MATCH(C464,'Facilities'!$C$9:$C$108,0))),H464+L464-M464,0),"Unavailable"))</x:f>
      </x:c>
      <x:c r="O464" s="21" t="str">
        <x:f>IF(C464="","",IFERROR(MAX(0,G464+J464-K464-L464),"Unavailable"))</x:f>
      </x:c>
      <x:c r="P464" s="21" t="str">
        <x:f>IF(C464="","",IFERROR(MAX(0,H464+L464-M464-N464),"Unavailable"))</x:f>
      </x:c>
      <x:c r="Q464" s="23" t="str">
        <x:f>IF(C464="","",IFERROR(IF(OR(D464&gt;=INDEX('Facilities'!$J$9:$J$108,MATCH(C464,'Facilities'!$C$9:$C$108,0)),AND(AC464&gt;=0,AC464&lt;=D464)),0,MAX(0,I464-J464)),"Unavailable"))</x:f>
      </x:c>
      <x:c r="R464" s="30" t="str">
        <x:f>IF(C464="","",IFERROR(INDEX(Credit!$Q$409:$Q$508,MATCH(F464,Credit!$C$409:$C$508,0)),"Unavailable"))</x:f>
      </x:c>
      <x:c r="S464" s="30" t="str">
        <x:f>IF(C464="","",IFERROR(INDEX(Credit!$R$409:$R$508,MATCH(F464,Credit!$C$409:$C$508,0)),"Unavailable"))</x:f>
      </x:c>
      <x:c r="T464" s="23" t="str">
        <x:f>IF(C464="","",IFERROR(IF(P464&gt;0,3,IF(OR(INDEX('Facilities'!$AD$9:$AD$108,MATCH(C464,'Facilities'!$C$9:$C$108,0))=2,AND(R464&gt;=INDEX('Facilities'!$L$9:$L$108,MATCH(C464,'Facilities'!$C$9:$C$108,0))*Settings!$F$19,R464-INDEX('Facilities'!$L$9:$L$108,MATCH(C464,'Facilities'!$C$9:$C$108,0))&gt;=Settings!$F$20)),2,1)),"Unavailable"))</x:f>
      </x:c>
      <x:c r="U464" s="23" t="str">
        <x:f>IF(C464="","",IF(AQ464&lt;&gt;"Ready","Unavailable",IF(C464="","",O464*(1-(1-S464)/(1+INDEX('Facilities'!$K$9:$K$108,MATCH(C464,'Facilities'!$C$9:$C$108,0)))^INDEX('Facilities'!$AK$9:$AK$108,MATCH(C464,'Facilities'!$C$9:$C$108,0)))*R464/(1+INDEX('Facilities'!$K$9:$K$108,MATCH(C464,'Facilities'!$C$9:$C$108,0)))*IF(ABS(1-(1-R464)*(1-INDEX('Facilities'!$R$9:$R$108,MATCH(C464,'Facilities'!$C$9:$C$108,0)))/(1+INDEX('Facilities'!$K$9:$K$108,MATCH(C464,'Facilities'!$C$9:$C$108,0))))&lt;0.000000001,IF(T464=1,MIN(1,AJ464),AJ464),(1-((1-R464)*(1-INDEX('Facilities'!$R$9:$R$108,MATCH(C464,'Facilities'!$C$9:$C$108,0)))/(1+INDEX('Facilities'!$K$9:$K$108,MATCH(C464,'Facilities'!$C$9:$C$108,0))))^IF(T464=1,MIN(1,AJ464),AJ464))/(1-(1-R464)*(1-INDEX('Facilities'!$R$9:$R$108,MATCH(C464,'Facilities'!$C$9:$C$108,0)))/(1+INDEX('Facilities'!$K$9:$K$108,MATCH(C464,'Facilities'!$C$9:$C$108,0)))))+AL464)))</x:f>
      </x:c>
      <x:c r="V464" s="23" t="str">
        <x:f>IF(C464="","",IF(AQ464&lt;&gt;"Ready","Unavailable",IF(C464="","",Q464*INDEX('Facilities'!$I$9:$I$108,MATCH(C464,'Facilities'!$C$9:$C$108,0))*(1-(1-S464)/(1+INDEX('Facilities'!$K$9:$K$108,MATCH(C464,'Facilities'!$C$9:$C$108,0)))^INDEX('Facilities'!$AK$9:$AK$108,MATCH(C464,'Facilities'!$C$9:$C$108,0)))*R464/(1+INDEX('Facilities'!$K$9:$K$108,MATCH(C464,'Facilities'!$C$9:$C$108,0)))*IF(ABS(1-(1-R464)*(1-0)/(1+INDEX('Facilities'!$K$9:$K$108,MATCH(C464,'Facilities'!$C$9:$C$108,0))))&lt;0.000000001,IF(T464=1,MIN(1,AJ464),AJ464),(1-((1-R464)*(1-0)/(1+INDEX('Facilities'!$K$9:$K$108,MATCH(C464,'Facilities'!$C$9:$C$108,0))))^IF(T464=1,MIN(1,AJ464),AJ464))/(1-(1-R464)*(1-0)/(1+INDEX('Facilities'!$K$9:$K$108,MATCH(C464,'Facilities'!$C$9:$C$108,0))))))))</x:f>
      </x:c>
      <x:c r="W464" s="21" t="str">
        <x:f>IF(C464="","",IFERROR(U364,"Unavailable"))</x:f>
      </x:c>
      <x:c r="X464" s="21" t="str">
        <x:f>IF(C464="","",IFERROR(V364,"Unavailable"))</x:f>
      </x:c>
      <x:c r="Y464" s="21" t="str">
        <x:f>IF(C464="","",IF(AQ464&lt;&gt;"Ready","Unavailable",IF(C464="","",U464-W464+V464-X464+N464+AG464)))</x:f>
      </x:c>
      <x:c r="Z464" s="23" t="str">
        <x:f>IF(C464="","",IF(AQ464&lt;&gt;"Ready","Unavailable",IF(C464="","",(G464+O464+L464)/2*INDEX('Facilities'!$T$9:$T$108,MATCH(C464,'Facilities'!$C$9:$C$108,0))+AG464)))</x:f>
      </x:c>
      <x:c r="AA464" s="23" t="str">
        <x:f>IF(C464="","",IF(AQ464&lt;&gt;"Ready","Unavailable",IF(C464="","",O464*(1-IF(INDEX('Facilities'!$AA$9:$AA$108,MATCH(C464,'Facilities'!$C$9:$C$108,0))=0,0,MIN(1,INDEX('Facilities'!$X$9:$X$108,MATCH(C464,'Facilities'!$C$9:$C$108,0))/INDEX('Facilities'!$AA$9:$AA$108,MATCH(C464,'Facilities'!$C$9:$C$108,0)))))*AF464+P464*(1-IF(INDEX('Facilities'!$AA$9:$AA$108,MATCH(C464,'Facilities'!$C$9:$C$108,0))=0,0,MIN(1,INDEX('Facilities'!$X$9:$X$108,MATCH(C464,'Facilities'!$C$9:$C$108,0))/INDEX('Facilities'!$AA$9:$AA$108,MATCH(C464,'Facilities'!$C$9:$C$108,0)))))*INDEX('Facilities'!$AJ$9:$AJ$108,MATCH(C464,'Facilities'!$C$9:$C$108,0))+Q464*INDEX('Facilities'!$AI$9:$AI$108,MATCH(C464,'Facilities'!$C$9:$C$108,0))*AF464)))</x:f>
      </x:c>
      <x:c r="AB464" s="21" t="str">
        <x:f>IF(C464="","",O464+P464-AD464)</x:f>
      </x:c>
      <x:c r="AC464" s="23" t="str">
        <x:f>IF(C464="","",IFERROR(IF(INDEX('Facilities'!$AD$9:$AD$108,MATCH(C464,'Facilities'!$C$9:$C$108,0))=3,0,IF(INDEX('Facilities'!$AN$9:$AN$108,MATCH(C464,'Facilities'!$C$9:$C$108,0))=0,-1,INDEX('Facilities'!$AN$9:$AN$108,MATCH(C464,'Facilities'!$C$9:$C$108,0)))),"Unavailable"))</x:f>
      </x:c>
      <x:c r="AD464" s="21" t="str">
        <x:f>IF(C464="","",IFERROR(G464+H464,"Unavailable"))</x:f>
      </x:c>
      <x:c r="AE464" s="21" t="str">
        <x:f>IF(C464="","",IF(AQ464&lt;&gt;"Ready","Unavailable",IF(C464="","",O464+P464-AD464-J464+K464+M464+N464)))</x:f>
      </x:c>
      <x:c r="AF464" s="30" t="str">
        <x:f>IF(C464="","",IFERROR(INDEX('Facilities'!$S$9:$S$108,MATCH(C464,'Facilities'!$C$9:$C$108,0))*'Scenario Paths'!J75,"Unavailable"))</x:f>
      </x:c>
      <x:c r="AG464" s="23" t="str">
        <x:f>IF(C464="","",IF(AQ464&lt;&gt;"Ready","Unavailable",IF(C464="","",IF(H464&gt;0,MAX(0,H464-AK464)*((1+INDEX('Facilities'!$K$9:$K$108,MATCH(C464,'Facilities'!$C$9:$C$108,0)))^MIN(1,MAX(0,AC464+INDEX('Facilities'!$AK$9:$AK$108,MATCH(C464,'Facilities'!$C$9:$C$108,0))-D464+1))-1),0))))</x:f>
      </x:c>
      <x:c r="AH464" s="21" t="str">
        <x:f>IF(C464="","",IF(AQ464&lt;&gt;"Ready","Unavailable",IF(C464="","",O464+P464)))</x:f>
      </x:c>
      <x:c r="AI464" s="21" t="str">
        <x:f>IF(C464="","",IF(AQ464&lt;&gt;"Ready","Unavailable",IF(C464="","",Z464-Y464)))</x:f>
      </x:c>
      <x:c r="AJ464" s="23" t="str">
        <x:f>IF(C464="","",IFERROR(MAX(0,INDEX('Facilities'!$J$9:$J$108,MATCH(C464,'Facilities'!$C$9:$C$108,0))-D464),"Unavailable"))</x:f>
      </x:c>
      <x:c r="AK464" s="21" t="str">
        <x:f>IF(C464="","",IFERROR(AL364,"Unavailable"))</x:f>
      </x:c>
      <x:c r="AL464" s="23" t="str">
        <x:f>IF(C464="","",IFERROR(IF(P464&gt;0,P464*(1-AM464/(1+INDEX('Facilities'!$K$9:$K$108,MATCH(C464,'Facilities'!$C$9:$C$108,0)))^MAX(0,AC464+INDEX('Facilities'!$AK$9:$AK$108,MATCH(C464,'Facilities'!$C$9:$C$108,0))-D464)),0),"Unavailable"))</x:f>
      </x:c>
      <x:c r="AM464" s="30" t="str">
        <x:f>IF(C464="","",IFERROR(INDEX('Facilities'!$AL$9:$AL$108,MATCH(C464,'Facilities'!$C$9:$C$108,0)),"Unavailable"))</x:f>
      </x:c>
      <x:c r="AN464" s="30" t="str">
        <x:f>IF(C464="","",IFERROR(INDEX(Credit!$T$409:$T$508,MATCH(F464,Credit!$C$409:$C$508,0)),"Unavailable"))</x:f>
      </x:c>
      <x:c r="AO464" s="23" t="str">
        <x:f>IF(C464="","",IF(AQ464&lt;&gt;"Ready","Unavailable",IF(C464="","",O464+P464+Q464*INDEX('Facilities'!$I$9:$I$108,MATCH(C464,'Facilities'!$C$9:$C$108,0)))))</x:f>
      </x:c>
      <x:c r="AP464" s="21" t="str">
        <x:f>IF(C464="","",IF(AQ464&lt;&gt;"Ready","Unavailable",IF(C464="","",AH464-U464)))</x:f>
      </x:c>
      <x:c r="AQ464" s="23" t="str">
        <x:f>IFERROR(IF(C464="","",IF(AND(INDEX('Facilities'!$AF$9:$AF$108,MATCH(C464,'Facilities'!$C$9:$C$108,0))="Ready",INDEX(Credit!$U$409:$U$508,MATCH(F464,Credit!$C$409:$C$508,0))="Ready",ISNUMBER(W464)),"Ready","Review inputs")),"Review inputs")</x:f>
      </x:c>
      <x:c r="AR464" s="23" t="str">
        <x:f>IF(C464="","",IF(AQ464&lt;&gt;"Ready","Unavailable",IF(C464="","",IF(O464=0,0,(IF(AJ464&lt;=1,O464,O464*INDEX('Facilities'!$R$9:$R$108,MATCH(C464,'Facilities'!$C$9:$C$108,0)))+O464*INDEX('Facilities'!$T$9:$T$108,MATCH(C464,'Facilities'!$C$9:$C$108,0)))/12))))</x:f>
      </x:c>
    </x:row>
    <x:row r="465" ht="26" customHeight="1">
      <x:c r="A465" s="1"/>
      <x:c r="B465" s="1"/>
      <x:c r="C465" s="9" t="str">
        <x:f>IF(Facilities!C65="","",Facilities!C65)</x:f>
      </x:c>
      <x:c r="D465" s="3" t="n">
        <x:v>5</x:v>
      </x:c>
      <x:c r="E465" s="9" t="n">
        <x:f>Settings!$F$18+4</x:f>
        <x:v>2031</x:v>
      </x:c>
      <x:c r="F465" s="9" t="str">
        <x:f>IF(C465="","",IFERROR(INDEX('Facilities'!$D$9:$D$108,MATCH(C465,'Facilities'!$C$9:$C$108,0)),"Unavailable"))</x:f>
      </x:c>
      <x:c r="G465" s="21" t="str">
        <x:f>IF(C465="","",IFERROR(O365,"Unavailable"))</x:f>
      </x:c>
      <x:c r="H465" s="21" t="str">
        <x:f>IF(C465="","",IFERROR(P365,"Unavailable"))</x:f>
      </x:c>
      <x:c r="I465" s="21" t="str">
        <x:f>IF(C465="","",IFERROR(Q365,"Unavailable"))</x:f>
      </x:c>
      <x:c r="J465" s="23" t="str">
        <x:f>IF(C465="","",IFERROR(IF(OR(H465&gt;0,AND(AC465&gt;=0,AC465&lt;D465),D465&gt;INDEX('Facilities'!$J$9:$J$108,MATCH(C465,'Facilities'!$C$9:$C$108,0))),0,I465*'Scenario Paths'!J81),"Unavailable"))</x:f>
      </x:c>
      <x:c r="K465" s="23" t="str">
        <x:f>IF(C465="","",IFERROR(IF(OR(H465&gt;0,AND(AC465&gt;=0,AC465=D465)),0,IF(D465&gt;=INDEX('Facilities'!$J$9:$J$108,MATCH(C465,'Facilities'!$C$9:$C$108,0)),G465+J465,MIN(G465+J465,G465*INDEX('Facilities'!$R$9:$R$108,MATCH(C465,'Facilities'!$C$9:$C$108,0))))),"Unavailable"))</x:f>
      </x:c>
      <x:c r="L465" s="21" t="str">
        <x:f>IF(C465="","",IFERROR(IF(AND(AC465=D465,AC465&gt;0),MAX(0,G465+J465-K465),0),"Unavailable"))</x:f>
      </x:c>
      <x:c r="M465" s="23" t="str">
        <x:f>IF(C465="","",IFERROR(IF(AND(AC465&gt;=0,D465&gt;=AC465+INDEX('Facilities'!$AK$9:$AK$108,MATCH(C465,'Facilities'!$C$9:$C$108,0))),(H465+L465)*AM465,0),"Unavailable"))</x:f>
      </x:c>
      <x:c r="N465" s="23" t="str">
        <x:f>IF(C465="","",IFERROR(IF(AND(AC465&gt;=0,D465&gt;=AC465+INDEX('Facilities'!$AK$9:$AK$108,MATCH(C465,'Facilities'!$C$9:$C$108,0))),H465+L465-M465,0),"Unavailable"))</x:f>
      </x:c>
      <x:c r="O465" s="21" t="str">
        <x:f>IF(C465="","",IFERROR(MAX(0,G465+J465-K465-L465),"Unavailable"))</x:f>
      </x:c>
      <x:c r="P465" s="21" t="str">
        <x:f>IF(C465="","",IFERROR(MAX(0,H465+L465-M465-N465),"Unavailable"))</x:f>
      </x:c>
      <x:c r="Q465" s="23" t="str">
        <x:f>IF(C465="","",IFERROR(IF(OR(D465&gt;=INDEX('Facilities'!$J$9:$J$108,MATCH(C465,'Facilities'!$C$9:$C$108,0)),AND(AC465&gt;=0,AC465&lt;=D465)),0,MAX(0,I465-J465)),"Unavailable"))</x:f>
      </x:c>
      <x:c r="R465" s="30" t="str">
        <x:f>IF(C465="","",IFERROR(INDEX(Credit!$Q$409:$Q$508,MATCH(F465,Credit!$C$409:$C$508,0)),"Unavailable"))</x:f>
      </x:c>
      <x:c r="S465" s="30" t="str">
        <x:f>IF(C465="","",IFERROR(INDEX(Credit!$R$409:$R$508,MATCH(F465,Credit!$C$409:$C$508,0)),"Unavailable"))</x:f>
      </x:c>
      <x:c r="T465" s="23" t="str">
        <x:f>IF(C465="","",IFERROR(IF(P465&gt;0,3,IF(OR(INDEX('Facilities'!$AD$9:$AD$108,MATCH(C465,'Facilities'!$C$9:$C$108,0))=2,AND(R465&gt;=INDEX('Facilities'!$L$9:$L$108,MATCH(C465,'Facilities'!$C$9:$C$108,0))*Settings!$F$19,R465-INDEX('Facilities'!$L$9:$L$108,MATCH(C465,'Facilities'!$C$9:$C$108,0))&gt;=Settings!$F$20)),2,1)),"Unavailable"))</x:f>
      </x:c>
      <x:c r="U465" s="23" t="str">
        <x:f>IF(C465="","",IF(AQ465&lt;&gt;"Ready","Unavailable",IF(C465="","",O465*(1-(1-S465)/(1+INDEX('Facilities'!$K$9:$K$108,MATCH(C465,'Facilities'!$C$9:$C$108,0)))^INDEX('Facilities'!$AK$9:$AK$108,MATCH(C465,'Facilities'!$C$9:$C$108,0)))*R465/(1+INDEX('Facilities'!$K$9:$K$108,MATCH(C465,'Facilities'!$C$9:$C$108,0)))*IF(ABS(1-(1-R465)*(1-INDEX('Facilities'!$R$9:$R$108,MATCH(C465,'Facilities'!$C$9:$C$108,0)))/(1+INDEX('Facilities'!$K$9:$K$108,MATCH(C465,'Facilities'!$C$9:$C$108,0))))&lt;0.000000001,IF(T465=1,MIN(1,AJ465),AJ465),(1-((1-R465)*(1-INDEX('Facilities'!$R$9:$R$108,MATCH(C465,'Facilities'!$C$9:$C$108,0)))/(1+INDEX('Facilities'!$K$9:$K$108,MATCH(C465,'Facilities'!$C$9:$C$108,0))))^IF(T465=1,MIN(1,AJ465),AJ465))/(1-(1-R465)*(1-INDEX('Facilities'!$R$9:$R$108,MATCH(C465,'Facilities'!$C$9:$C$108,0)))/(1+INDEX('Facilities'!$K$9:$K$108,MATCH(C465,'Facilities'!$C$9:$C$108,0)))))+AL465)))</x:f>
      </x:c>
      <x:c r="V465" s="23" t="str">
        <x:f>IF(C465="","",IF(AQ465&lt;&gt;"Ready","Unavailable",IF(C465="","",Q465*INDEX('Facilities'!$I$9:$I$108,MATCH(C465,'Facilities'!$C$9:$C$108,0))*(1-(1-S465)/(1+INDEX('Facilities'!$K$9:$K$108,MATCH(C465,'Facilities'!$C$9:$C$108,0)))^INDEX('Facilities'!$AK$9:$AK$108,MATCH(C465,'Facilities'!$C$9:$C$108,0)))*R465/(1+INDEX('Facilities'!$K$9:$K$108,MATCH(C465,'Facilities'!$C$9:$C$108,0)))*IF(ABS(1-(1-R465)*(1-0)/(1+INDEX('Facilities'!$K$9:$K$108,MATCH(C465,'Facilities'!$C$9:$C$108,0))))&lt;0.000000001,IF(T465=1,MIN(1,AJ465),AJ465),(1-((1-R465)*(1-0)/(1+INDEX('Facilities'!$K$9:$K$108,MATCH(C465,'Facilities'!$C$9:$C$108,0))))^IF(T465=1,MIN(1,AJ465),AJ465))/(1-(1-R465)*(1-0)/(1+INDEX('Facilities'!$K$9:$K$108,MATCH(C465,'Facilities'!$C$9:$C$108,0))))))))</x:f>
      </x:c>
      <x:c r="W465" s="21" t="str">
        <x:f>IF(C465="","",IFERROR(U365,"Unavailable"))</x:f>
      </x:c>
      <x:c r="X465" s="21" t="str">
        <x:f>IF(C465="","",IFERROR(V365,"Unavailable"))</x:f>
      </x:c>
      <x:c r="Y465" s="21" t="str">
        <x:f>IF(C465="","",IF(AQ465&lt;&gt;"Ready","Unavailable",IF(C465="","",U465-W465+V465-X465+N465+AG465)))</x:f>
      </x:c>
      <x:c r="Z465" s="23" t="str">
        <x:f>IF(C465="","",IF(AQ465&lt;&gt;"Ready","Unavailable",IF(C465="","",(G465+O465+L465)/2*INDEX('Facilities'!$T$9:$T$108,MATCH(C465,'Facilities'!$C$9:$C$108,0))+AG465)))</x:f>
      </x:c>
      <x:c r="AA465" s="23" t="str">
        <x:f>IF(C465="","",IF(AQ465&lt;&gt;"Ready","Unavailable",IF(C465="","",O465*(1-IF(INDEX('Facilities'!$AA$9:$AA$108,MATCH(C465,'Facilities'!$C$9:$C$108,0))=0,0,MIN(1,INDEX('Facilities'!$X$9:$X$108,MATCH(C465,'Facilities'!$C$9:$C$108,0))/INDEX('Facilities'!$AA$9:$AA$108,MATCH(C465,'Facilities'!$C$9:$C$108,0)))))*AF465+P465*(1-IF(INDEX('Facilities'!$AA$9:$AA$108,MATCH(C465,'Facilities'!$C$9:$C$108,0))=0,0,MIN(1,INDEX('Facilities'!$X$9:$X$108,MATCH(C465,'Facilities'!$C$9:$C$108,0))/INDEX('Facilities'!$AA$9:$AA$108,MATCH(C465,'Facilities'!$C$9:$C$108,0)))))*INDEX('Facilities'!$AJ$9:$AJ$108,MATCH(C465,'Facilities'!$C$9:$C$108,0))+Q465*INDEX('Facilities'!$AI$9:$AI$108,MATCH(C465,'Facilities'!$C$9:$C$108,0))*AF465)))</x:f>
      </x:c>
      <x:c r="AB465" s="21" t="str">
        <x:f>IF(C465="","",O465+P465-AD465)</x:f>
      </x:c>
      <x:c r="AC465" s="23" t="str">
        <x:f>IF(C465="","",IFERROR(IF(INDEX('Facilities'!$AD$9:$AD$108,MATCH(C465,'Facilities'!$C$9:$C$108,0))=3,0,IF(INDEX('Facilities'!$AN$9:$AN$108,MATCH(C465,'Facilities'!$C$9:$C$108,0))=0,-1,INDEX('Facilities'!$AN$9:$AN$108,MATCH(C465,'Facilities'!$C$9:$C$108,0)))),"Unavailable"))</x:f>
      </x:c>
      <x:c r="AD465" s="21" t="str">
        <x:f>IF(C465="","",IFERROR(G465+H465,"Unavailable"))</x:f>
      </x:c>
      <x:c r="AE465" s="21" t="str">
        <x:f>IF(C465="","",IF(AQ465&lt;&gt;"Ready","Unavailable",IF(C465="","",O465+P465-AD465-J465+K465+M465+N465)))</x:f>
      </x:c>
      <x:c r="AF465" s="30" t="str">
        <x:f>IF(C465="","",IFERROR(INDEX('Facilities'!$S$9:$S$108,MATCH(C465,'Facilities'!$C$9:$C$108,0))*'Scenario Paths'!J75,"Unavailable"))</x:f>
      </x:c>
      <x:c r="AG465" s="23" t="str">
        <x:f>IF(C465="","",IF(AQ465&lt;&gt;"Ready","Unavailable",IF(C465="","",IF(H465&gt;0,MAX(0,H465-AK465)*((1+INDEX('Facilities'!$K$9:$K$108,MATCH(C465,'Facilities'!$C$9:$C$108,0)))^MIN(1,MAX(0,AC465+INDEX('Facilities'!$AK$9:$AK$108,MATCH(C465,'Facilities'!$C$9:$C$108,0))-D465+1))-1),0))))</x:f>
      </x:c>
      <x:c r="AH465" s="21" t="str">
        <x:f>IF(C465="","",IF(AQ465&lt;&gt;"Ready","Unavailable",IF(C465="","",O465+P465)))</x:f>
      </x:c>
      <x:c r="AI465" s="21" t="str">
        <x:f>IF(C465="","",IF(AQ465&lt;&gt;"Ready","Unavailable",IF(C465="","",Z465-Y465)))</x:f>
      </x:c>
      <x:c r="AJ465" s="23" t="str">
        <x:f>IF(C465="","",IFERROR(MAX(0,INDEX('Facilities'!$J$9:$J$108,MATCH(C465,'Facilities'!$C$9:$C$108,0))-D465),"Unavailable"))</x:f>
      </x:c>
      <x:c r="AK465" s="21" t="str">
        <x:f>IF(C465="","",IFERROR(AL365,"Unavailable"))</x:f>
      </x:c>
      <x:c r="AL465" s="23" t="str">
        <x:f>IF(C465="","",IFERROR(IF(P465&gt;0,P465*(1-AM465/(1+INDEX('Facilities'!$K$9:$K$108,MATCH(C465,'Facilities'!$C$9:$C$108,0)))^MAX(0,AC465+INDEX('Facilities'!$AK$9:$AK$108,MATCH(C465,'Facilities'!$C$9:$C$108,0))-D465)),0),"Unavailable"))</x:f>
      </x:c>
      <x:c r="AM465" s="30" t="str">
        <x:f>IF(C465="","",IFERROR(INDEX('Facilities'!$AL$9:$AL$108,MATCH(C465,'Facilities'!$C$9:$C$108,0)),"Unavailable"))</x:f>
      </x:c>
      <x:c r="AN465" s="30" t="str">
        <x:f>IF(C465="","",IFERROR(INDEX(Credit!$T$409:$T$508,MATCH(F465,Credit!$C$409:$C$508,0)),"Unavailable"))</x:f>
      </x:c>
      <x:c r="AO465" s="23" t="str">
        <x:f>IF(C465="","",IF(AQ465&lt;&gt;"Ready","Unavailable",IF(C465="","",O465+P465+Q465*INDEX('Facilities'!$I$9:$I$108,MATCH(C465,'Facilities'!$C$9:$C$108,0)))))</x:f>
      </x:c>
      <x:c r="AP465" s="21" t="str">
        <x:f>IF(C465="","",IF(AQ465&lt;&gt;"Ready","Unavailable",IF(C465="","",AH465-U465)))</x:f>
      </x:c>
      <x:c r="AQ465" s="23" t="str">
        <x:f>IFERROR(IF(C465="","",IF(AND(INDEX('Facilities'!$AF$9:$AF$108,MATCH(C465,'Facilities'!$C$9:$C$108,0))="Ready",INDEX(Credit!$U$409:$U$508,MATCH(F465,Credit!$C$409:$C$508,0))="Ready",ISNUMBER(W465)),"Ready","Review inputs")),"Review inputs")</x:f>
      </x:c>
      <x:c r="AR465" s="23" t="str">
        <x:f>IF(C465="","",IF(AQ465&lt;&gt;"Ready","Unavailable",IF(C465="","",IF(O465=0,0,(IF(AJ465&lt;=1,O465,O465*INDEX('Facilities'!$R$9:$R$108,MATCH(C465,'Facilities'!$C$9:$C$108,0)))+O465*INDEX('Facilities'!$T$9:$T$108,MATCH(C465,'Facilities'!$C$9:$C$108,0)))/12))))</x:f>
      </x:c>
    </x:row>
    <x:row r="466" ht="26" customHeight="1">
      <x:c r="A466" s="1"/>
      <x:c r="B466" s="1"/>
      <x:c r="C466" s="9" t="str">
        <x:f>IF(Facilities!C66="","",Facilities!C66)</x:f>
      </x:c>
      <x:c r="D466" s="3" t="n">
        <x:v>5</x:v>
      </x:c>
      <x:c r="E466" s="9" t="n">
        <x:f>Settings!$F$18+4</x:f>
        <x:v>2031</x:v>
      </x:c>
      <x:c r="F466" s="9" t="str">
        <x:f>IF(C466="","",IFERROR(INDEX('Facilities'!$D$9:$D$108,MATCH(C466,'Facilities'!$C$9:$C$108,0)),"Unavailable"))</x:f>
      </x:c>
      <x:c r="G466" s="21" t="str">
        <x:f>IF(C466="","",IFERROR(O366,"Unavailable"))</x:f>
      </x:c>
      <x:c r="H466" s="21" t="str">
        <x:f>IF(C466="","",IFERROR(P366,"Unavailable"))</x:f>
      </x:c>
      <x:c r="I466" s="21" t="str">
        <x:f>IF(C466="","",IFERROR(Q366,"Unavailable"))</x:f>
      </x:c>
      <x:c r="J466" s="23" t="str">
        <x:f>IF(C466="","",IFERROR(IF(OR(H466&gt;0,AND(AC466&gt;=0,AC466&lt;D466),D466&gt;INDEX('Facilities'!$J$9:$J$108,MATCH(C466,'Facilities'!$C$9:$C$108,0))),0,I466*'Scenario Paths'!J81),"Unavailable"))</x:f>
      </x:c>
      <x:c r="K466" s="23" t="str">
        <x:f>IF(C466="","",IFERROR(IF(OR(H466&gt;0,AND(AC466&gt;=0,AC466=D466)),0,IF(D466&gt;=INDEX('Facilities'!$J$9:$J$108,MATCH(C466,'Facilities'!$C$9:$C$108,0)),G466+J466,MIN(G466+J466,G466*INDEX('Facilities'!$R$9:$R$108,MATCH(C466,'Facilities'!$C$9:$C$108,0))))),"Unavailable"))</x:f>
      </x:c>
      <x:c r="L466" s="21" t="str">
        <x:f>IF(C466="","",IFERROR(IF(AND(AC466=D466,AC466&gt;0),MAX(0,G466+J466-K466),0),"Unavailable"))</x:f>
      </x:c>
      <x:c r="M466" s="23" t="str">
        <x:f>IF(C466="","",IFERROR(IF(AND(AC466&gt;=0,D466&gt;=AC466+INDEX('Facilities'!$AK$9:$AK$108,MATCH(C466,'Facilities'!$C$9:$C$108,0))),(H466+L466)*AM466,0),"Unavailable"))</x:f>
      </x:c>
      <x:c r="N466" s="23" t="str">
        <x:f>IF(C466="","",IFERROR(IF(AND(AC466&gt;=0,D466&gt;=AC466+INDEX('Facilities'!$AK$9:$AK$108,MATCH(C466,'Facilities'!$C$9:$C$108,0))),H466+L466-M466,0),"Unavailable"))</x:f>
      </x:c>
      <x:c r="O466" s="21" t="str">
        <x:f>IF(C466="","",IFERROR(MAX(0,G466+J466-K466-L466),"Unavailable"))</x:f>
      </x:c>
      <x:c r="P466" s="21" t="str">
        <x:f>IF(C466="","",IFERROR(MAX(0,H466+L466-M466-N466),"Unavailable"))</x:f>
      </x:c>
      <x:c r="Q466" s="23" t="str">
        <x:f>IF(C466="","",IFERROR(IF(OR(D466&gt;=INDEX('Facilities'!$J$9:$J$108,MATCH(C466,'Facilities'!$C$9:$C$108,0)),AND(AC466&gt;=0,AC466&lt;=D466)),0,MAX(0,I466-J466)),"Unavailable"))</x:f>
      </x:c>
      <x:c r="R466" s="30" t="str">
        <x:f>IF(C466="","",IFERROR(INDEX(Credit!$Q$409:$Q$508,MATCH(F466,Credit!$C$409:$C$508,0)),"Unavailable"))</x:f>
      </x:c>
      <x:c r="S466" s="30" t="str">
        <x:f>IF(C466="","",IFERROR(INDEX(Credit!$R$409:$R$508,MATCH(F466,Credit!$C$409:$C$508,0)),"Unavailable"))</x:f>
      </x:c>
      <x:c r="T466" s="23" t="str">
        <x:f>IF(C466="","",IFERROR(IF(P466&gt;0,3,IF(OR(INDEX('Facilities'!$AD$9:$AD$108,MATCH(C466,'Facilities'!$C$9:$C$108,0))=2,AND(R466&gt;=INDEX('Facilities'!$L$9:$L$108,MATCH(C466,'Facilities'!$C$9:$C$108,0))*Settings!$F$19,R466-INDEX('Facilities'!$L$9:$L$108,MATCH(C466,'Facilities'!$C$9:$C$108,0))&gt;=Settings!$F$20)),2,1)),"Unavailable"))</x:f>
      </x:c>
      <x:c r="U466" s="23" t="str">
        <x:f>IF(C466="","",IF(AQ466&lt;&gt;"Ready","Unavailable",IF(C466="","",O466*(1-(1-S466)/(1+INDEX('Facilities'!$K$9:$K$108,MATCH(C466,'Facilities'!$C$9:$C$108,0)))^INDEX('Facilities'!$AK$9:$AK$108,MATCH(C466,'Facilities'!$C$9:$C$108,0)))*R466/(1+INDEX('Facilities'!$K$9:$K$108,MATCH(C466,'Facilities'!$C$9:$C$108,0)))*IF(ABS(1-(1-R466)*(1-INDEX('Facilities'!$R$9:$R$108,MATCH(C466,'Facilities'!$C$9:$C$108,0)))/(1+INDEX('Facilities'!$K$9:$K$108,MATCH(C466,'Facilities'!$C$9:$C$108,0))))&lt;0.000000001,IF(T466=1,MIN(1,AJ466),AJ466),(1-((1-R466)*(1-INDEX('Facilities'!$R$9:$R$108,MATCH(C466,'Facilities'!$C$9:$C$108,0)))/(1+INDEX('Facilities'!$K$9:$K$108,MATCH(C466,'Facilities'!$C$9:$C$108,0))))^IF(T466=1,MIN(1,AJ466),AJ466))/(1-(1-R466)*(1-INDEX('Facilities'!$R$9:$R$108,MATCH(C466,'Facilities'!$C$9:$C$108,0)))/(1+INDEX('Facilities'!$K$9:$K$108,MATCH(C466,'Facilities'!$C$9:$C$108,0)))))+AL466)))</x:f>
      </x:c>
      <x:c r="V466" s="23" t="str">
        <x:f>IF(C466="","",IF(AQ466&lt;&gt;"Ready","Unavailable",IF(C466="","",Q466*INDEX('Facilities'!$I$9:$I$108,MATCH(C466,'Facilities'!$C$9:$C$108,0))*(1-(1-S466)/(1+INDEX('Facilities'!$K$9:$K$108,MATCH(C466,'Facilities'!$C$9:$C$108,0)))^INDEX('Facilities'!$AK$9:$AK$108,MATCH(C466,'Facilities'!$C$9:$C$108,0)))*R466/(1+INDEX('Facilities'!$K$9:$K$108,MATCH(C466,'Facilities'!$C$9:$C$108,0)))*IF(ABS(1-(1-R466)*(1-0)/(1+INDEX('Facilities'!$K$9:$K$108,MATCH(C466,'Facilities'!$C$9:$C$108,0))))&lt;0.000000001,IF(T466=1,MIN(1,AJ466),AJ466),(1-((1-R466)*(1-0)/(1+INDEX('Facilities'!$K$9:$K$108,MATCH(C466,'Facilities'!$C$9:$C$108,0))))^IF(T466=1,MIN(1,AJ466),AJ466))/(1-(1-R466)*(1-0)/(1+INDEX('Facilities'!$K$9:$K$108,MATCH(C466,'Facilities'!$C$9:$C$108,0))))))))</x:f>
      </x:c>
      <x:c r="W466" s="21" t="str">
        <x:f>IF(C466="","",IFERROR(U366,"Unavailable"))</x:f>
      </x:c>
      <x:c r="X466" s="21" t="str">
        <x:f>IF(C466="","",IFERROR(V366,"Unavailable"))</x:f>
      </x:c>
      <x:c r="Y466" s="21" t="str">
        <x:f>IF(C466="","",IF(AQ466&lt;&gt;"Ready","Unavailable",IF(C466="","",U466-W466+V466-X466+N466+AG466)))</x:f>
      </x:c>
      <x:c r="Z466" s="23" t="str">
        <x:f>IF(C466="","",IF(AQ466&lt;&gt;"Ready","Unavailable",IF(C466="","",(G466+O466+L466)/2*INDEX('Facilities'!$T$9:$T$108,MATCH(C466,'Facilities'!$C$9:$C$108,0))+AG466)))</x:f>
      </x:c>
      <x:c r="AA466" s="23" t="str">
        <x:f>IF(C466="","",IF(AQ466&lt;&gt;"Ready","Unavailable",IF(C466="","",O466*(1-IF(INDEX('Facilities'!$AA$9:$AA$108,MATCH(C466,'Facilities'!$C$9:$C$108,0))=0,0,MIN(1,INDEX('Facilities'!$X$9:$X$108,MATCH(C466,'Facilities'!$C$9:$C$108,0))/INDEX('Facilities'!$AA$9:$AA$108,MATCH(C466,'Facilities'!$C$9:$C$108,0)))))*AF466+P466*(1-IF(INDEX('Facilities'!$AA$9:$AA$108,MATCH(C466,'Facilities'!$C$9:$C$108,0))=0,0,MIN(1,INDEX('Facilities'!$X$9:$X$108,MATCH(C466,'Facilities'!$C$9:$C$108,0))/INDEX('Facilities'!$AA$9:$AA$108,MATCH(C466,'Facilities'!$C$9:$C$108,0)))))*INDEX('Facilities'!$AJ$9:$AJ$108,MATCH(C466,'Facilities'!$C$9:$C$108,0))+Q466*INDEX('Facilities'!$AI$9:$AI$108,MATCH(C466,'Facilities'!$C$9:$C$108,0))*AF466)))</x:f>
      </x:c>
      <x:c r="AB466" s="21" t="str">
        <x:f>IF(C466="","",O466+P466-AD466)</x:f>
      </x:c>
      <x:c r="AC466" s="23" t="str">
        <x:f>IF(C466="","",IFERROR(IF(INDEX('Facilities'!$AD$9:$AD$108,MATCH(C466,'Facilities'!$C$9:$C$108,0))=3,0,IF(INDEX('Facilities'!$AN$9:$AN$108,MATCH(C466,'Facilities'!$C$9:$C$108,0))=0,-1,INDEX('Facilities'!$AN$9:$AN$108,MATCH(C466,'Facilities'!$C$9:$C$108,0)))),"Unavailable"))</x:f>
      </x:c>
      <x:c r="AD466" s="21" t="str">
        <x:f>IF(C466="","",IFERROR(G466+H466,"Unavailable"))</x:f>
      </x:c>
      <x:c r="AE466" s="21" t="str">
        <x:f>IF(C466="","",IF(AQ466&lt;&gt;"Ready","Unavailable",IF(C466="","",O466+P466-AD466-J466+K466+M466+N466)))</x:f>
      </x:c>
      <x:c r="AF466" s="30" t="str">
        <x:f>IF(C466="","",IFERROR(INDEX('Facilities'!$S$9:$S$108,MATCH(C466,'Facilities'!$C$9:$C$108,0))*'Scenario Paths'!J75,"Unavailable"))</x:f>
      </x:c>
      <x:c r="AG466" s="23" t="str">
        <x:f>IF(C466="","",IF(AQ466&lt;&gt;"Ready","Unavailable",IF(C466="","",IF(H466&gt;0,MAX(0,H466-AK466)*((1+INDEX('Facilities'!$K$9:$K$108,MATCH(C466,'Facilities'!$C$9:$C$108,0)))^MIN(1,MAX(0,AC466+INDEX('Facilities'!$AK$9:$AK$108,MATCH(C466,'Facilities'!$C$9:$C$108,0))-D466+1))-1),0))))</x:f>
      </x:c>
      <x:c r="AH466" s="21" t="str">
        <x:f>IF(C466="","",IF(AQ466&lt;&gt;"Ready","Unavailable",IF(C466="","",O466+P466)))</x:f>
      </x:c>
      <x:c r="AI466" s="21" t="str">
        <x:f>IF(C466="","",IF(AQ466&lt;&gt;"Ready","Unavailable",IF(C466="","",Z466-Y466)))</x:f>
      </x:c>
      <x:c r="AJ466" s="23" t="str">
        <x:f>IF(C466="","",IFERROR(MAX(0,INDEX('Facilities'!$J$9:$J$108,MATCH(C466,'Facilities'!$C$9:$C$108,0))-D466),"Unavailable"))</x:f>
      </x:c>
      <x:c r="AK466" s="21" t="str">
        <x:f>IF(C466="","",IFERROR(AL366,"Unavailable"))</x:f>
      </x:c>
      <x:c r="AL466" s="23" t="str">
        <x:f>IF(C466="","",IFERROR(IF(P466&gt;0,P466*(1-AM466/(1+INDEX('Facilities'!$K$9:$K$108,MATCH(C466,'Facilities'!$C$9:$C$108,0)))^MAX(0,AC466+INDEX('Facilities'!$AK$9:$AK$108,MATCH(C466,'Facilities'!$C$9:$C$108,0))-D466)),0),"Unavailable"))</x:f>
      </x:c>
      <x:c r="AM466" s="30" t="str">
        <x:f>IF(C466="","",IFERROR(INDEX('Facilities'!$AL$9:$AL$108,MATCH(C466,'Facilities'!$C$9:$C$108,0)),"Unavailable"))</x:f>
      </x:c>
      <x:c r="AN466" s="30" t="str">
        <x:f>IF(C466="","",IFERROR(INDEX(Credit!$T$409:$T$508,MATCH(F466,Credit!$C$409:$C$508,0)),"Unavailable"))</x:f>
      </x:c>
      <x:c r="AO466" s="23" t="str">
        <x:f>IF(C466="","",IF(AQ466&lt;&gt;"Ready","Unavailable",IF(C466="","",O466+P466+Q466*INDEX('Facilities'!$I$9:$I$108,MATCH(C466,'Facilities'!$C$9:$C$108,0)))))</x:f>
      </x:c>
      <x:c r="AP466" s="21" t="str">
        <x:f>IF(C466="","",IF(AQ466&lt;&gt;"Ready","Unavailable",IF(C466="","",AH466-U466)))</x:f>
      </x:c>
      <x:c r="AQ466" s="23" t="str">
        <x:f>IFERROR(IF(C466="","",IF(AND(INDEX('Facilities'!$AF$9:$AF$108,MATCH(C466,'Facilities'!$C$9:$C$108,0))="Ready",INDEX(Credit!$U$409:$U$508,MATCH(F466,Credit!$C$409:$C$508,0))="Ready",ISNUMBER(W466)),"Ready","Review inputs")),"Review inputs")</x:f>
      </x:c>
      <x:c r="AR466" s="23" t="str">
        <x:f>IF(C466="","",IF(AQ466&lt;&gt;"Ready","Unavailable",IF(C466="","",IF(O466=0,0,(IF(AJ466&lt;=1,O466,O466*INDEX('Facilities'!$R$9:$R$108,MATCH(C466,'Facilities'!$C$9:$C$108,0)))+O466*INDEX('Facilities'!$T$9:$T$108,MATCH(C466,'Facilities'!$C$9:$C$108,0)))/12))))</x:f>
      </x:c>
    </x:row>
    <x:row r="467" ht="26" customHeight="1">
      <x:c r="A467" s="1"/>
      <x:c r="B467" s="1"/>
      <x:c r="C467" s="9" t="str">
        <x:f>IF(Facilities!C67="","",Facilities!C67)</x:f>
      </x:c>
      <x:c r="D467" s="3" t="n">
        <x:v>5</x:v>
      </x:c>
      <x:c r="E467" s="9" t="n">
        <x:f>Settings!$F$18+4</x:f>
        <x:v>2031</x:v>
      </x:c>
      <x:c r="F467" s="9" t="str">
        <x:f>IF(C467="","",IFERROR(INDEX('Facilities'!$D$9:$D$108,MATCH(C467,'Facilities'!$C$9:$C$108,0)),"Unavailable"))</x:f>
      </x:c>
      <x:c r="G467" s="21" t="str">
        <x:f>IF(C467="","",IFERROR(O367,"Unavailable"))</x:f>
      </x:c>
      <x:c r="H467" s="21" t="str">
        <x:f>IF(C467="","",IFERROR(P367,"Unavailable"))</x:f>
      </x:c>
      <x:c r="I467" s="21" t="str">
        <x:f>IF(C467="","",IFERROR(Q367,"Unavailable"))</x:f>
      </x:c>
      <x:c r="J467" s="23" t="str">
        <x:f>IF(C467="","",IFERROR(IF(OR(H467&gt;0,AND(AC467&gt;=0,AC467&lt;D467),D467&gt;INDEX('Facilities'!$J$9:$J$108,MATCH(C467,'Facilities'!$C$9:$C$108,0))),0,I467*'Scenario Paths'!J81),"Unavailable"))</x:f>
      </x:c>
      <x:c r="K467" s="23" t="str">
        <x:f>IF(C467="","",IFERROR(IF(OR(H467&gt;0,AND(AC467&gt;=0,AC467=D467)),0,IF(D467&gt;=INDEX('Facilities'!$J$9:$J$108,MATCH(C467,'Facilities'!$C$9:$C$108,0)),G467+J467,MIN(G467+J467,G467*INDEX('Facilities'!$R$9:$R$108,MATCH(C467,'Facilities'!$C$9:$C$108,0))))),"Unavailable"))</x:f>
      </x:c>
      <x:c r="L467" s="21" t="str">
        <x:f>IF(C467="","",IFERROR(IF(AND(AC467=D467,AC467&gt;0),MAX(0,G467+J467-K467),0),"Unavailable"))</x:f>
      </x:c>
      <x:c r="M467" s="23" t="str">
        <x:f>IF(C467="","",IFERROR(IF(AND(AC467&gt;=0,D467&gt;=AC467+INDEX('Facilities'!$AK$9:$AK$108,MATCH(C467,'Facilities'!$C$9:$C$108,0))),(H467+L467)*AM467,0),"Unavailable"))</x:f>
      </x:c>
      <x:c r="N467" s="23" t="str">
        <x:f>IF(C467="","",IFERROR(IF(AND(AC467&gt;=0,D467&gt;=AC467+INDEX('Facilities'!$AK$9:$AK$108,MATCH(C467,'Facilities'!$C$9:$C$108,0))),H467+L467-M467,0),"Unavailable"))</x:f>
      </x:c>
      <x:c r="O467" s="21" t="str">
        <x:f>IF(C467="","",IFERROR(MAX(0,G467+J467-K467-L467),"Unavailable"))</x:f>
      </x:c>
      <x:c r="P467" s="21" t="str">
        <x:f>IF(C467="","",IFERROR(MAX(0,H467+L467-M467-N467),"Unavailable"))</x:f>
      </x:c>
      <x:c r="Q467" s="23" t="str">
        <x:f>IF(C467="","",IFERROR(IF(OR(D467&gt;=INDEX('Facilities'!$J$9:$J$108,MATCH(C467,'Facilities'!$C$9:$C$108,0)),AND(AC467&gt;=0,AC467&lt;=D467)),0,MAX(0,I467-J467)),"Unavailable"))</x:f>
      </x:c>
      <x:c r="R467" s="30" t="str">
        <x:f>IF(C467="","",IFERROR(INDEX(Credit!$Q$409:$Q$508,MATCH(F467,Credit!$C$409:$C$508,0)),"Unavailable"))</x:f>
      </x:c>
      <x:c r="S467" s="30" t="str">
        <x:f>IF(C467="","",IFERROR(INDEX(Credit!$R$409:$R$508,MATCH(F467,Credit!$C$409:$C$508,0)),"Unavailable"))</x:f>
      </x:c>
      <x:c r="T467" s="23" t="str">
        <x:f>IF(C467="","",IFERROR(IF(P467&gt;0,3,IF(OR(INDEX('Facilities'!$AD$9:$AD$108,MATCH(C467,'Facilities'!$C$9:$C$108,0))=2,AND(R467&gt;=INDEX('Facilities'!$L$9:$L$108,MATCH(C467,'Facilities'!$C$9:$C$108,0))*Settings!$F$19,R467-INDEX('Facilities'!$L$9:$L$108,MATCH(C467,'Facilities'!$C$9:$C$108,0))&gt;=Settings!$F$20)),2,1)),"Unavailable"))</x:f>
      </x:c>
      <x:c r="U467" s="23" t="str">
        <x:f>IF(C467="","",IF(AQ467&lt;&gt;"Ready","Unavailable",IF(C467="","",O467*(1-(1-S467)/(1+INDEX('Facilities'!$K$9:$K$108,MATCH(C467,'Facilities'!$C$9:$C$108,0)))^INDEX('Facilities'!$AK$9:$AK$108,MATCH(C467,'Facilities'!$C$9:$C$108,0)))*R467/(1+INDEX('Facilities'!$K$9:$K$108,MATCH(C467,'Facilities'!$C$9:$C$108,0)))*IF(ABS(1-(1-R467)*(1-INDEX('Facilities'!$R$9:$R$108,MATCH(C467,'Facilities'!$C$9:$C$108,0)))/(1+INDEX('Facilities'!$K$9:$K$108,MATCH(C467,'Facilities'!$C$9:$C$108,0))))&lt;0.000000001,IF(T467=1,MIN(1,AJ467),AJ467),(1-((1-R467)*(1-INDEX('Facilities'!$R$9:$R$108,MATCH(C467,'Facilities'!$C$9:$C$108,0)))/(1+INDEX('Facilities'!$K$9:$K$108,MATCH(C467,'Facilities'!$C$9:$C$108,0))))^IF(T467=1,MIN(1,AJ467),AJ467))/(1-(1-R467)*(1-INDEX('Facilities'!$R$9:$R$108,MATCH(C467,'Facilities'!$C$9:$C$108,0)))/(1+INDEX('Facilities'!$K$9:$K$108,MATCH(C467,'Facilities'!$C$9:$C$108,0)))))+AL467)))</x:f>
      </x:c>
      <x:c r="V467" s="23" t="str">
        <x:f>IF(C467="","",IF(AQ467&lt;&gt;"Ready","Unavailable",IF(C467="","",Q467*INDEX('Facilities'!$I$9:$I$108,MATCH(C467,'Facilities'!$C$9:$C$108,0))*(1-(1-S467)/(1+INDEX('Facilities'!$K$9:$K$108,MATCH(C467,'Facilities'!$C$9:$C$108,0)))^INDEX('Facilities'!$AK$9:$AK$108,MATCH(C467,'Facilities'!$C$9:$C$108,0)))*R467/(1+INDEX('Facilities'!$K$9:$K$108,MATCH(C467,'Facilities'!$C$9:$C$108,0)))*IF(ABS(1-(1-R467)*(1-0)/(1+INDEX('Facilities'!$K$9:$K$108,MATCH(C467,'Facilities'!$C$9:$C$108,0))))&lt;0.000000001,IF(T467=1,MIN(1,AJ467),AJ467),(1-((1-R467)*(1-0)/(1+INDEX('Facilities'!$K$9:$K$108,MATCH(C467,'Facilities'!$C$9:$C$108,0))))^IF(T467=1,MIN(1,AJ467),AJ467))/(1-(1-R467)*(1-0)/(1+INDEX('Facilities'!$K$9:$K$108,MATCH(C467,'Facilities'!$C$9:$C$108,0))))))))</x:f>
      </x:c>
      <x:c r="W467" s="21" t="str">
        <x:f>IF(C467="","",IFERROR(U367,"Unavailable"))</x:f>
      </x:c>
      <x:c r="X467" s="21" t="str">
        <x:f>IF(C467="","",IFERROR(V367,"Unavailable"))</x:f>
      </x:c>
      <x:c r="Y467" s="21" t="str">
        <x:f>IF(C467="","",IF(AQ467&lt;&gt;"Ready","Unavailable",IF(C467="","",U467-W467+V467-X467+N467+AG467)))</x:f>
      </x:c>
      <x:c r="Z467" s="23" t="str">
        <x:f>IF(C467="","",IF(AQ467&lt;&gt;"Ready","Unavailable",IF(C467="","",(G467+O467+L467)/2*INDEX('Facilities'!$T$9:$T$108,MATCH(C467,'Facilities'!$C$9:$C$108,0))+AG467)))</x:f>
      </x:c>
      <x:c r="AA467" s="23" t="str">
        <x:f>IF(C467="","",IF(AQ467&lt;&gt;"Ready","Unavailable",IF(C467="","",O467*(1-IF(INDEX('Facilities'!$AA$9:$AA$108,MATCH(C467,'Facilities'!$C$9:$C$108,0))=0,0,MIN(1,INDEX('Facilities'!$X$9:$X$108,MATCH(C467,'Facilities'!$C$9:$C$108,0))/INDEX('Facilities'!$AA$9:$AA$108,MATCH(C467,'Facilities'!$C$9:$C$108,0)))))*AF467+P467*(1-IF(INDEX('Facilities'!$AA$9:$AA$108,MATCH(C467,'Facilities'!$C$9:$C$108,0))=0,0,MIN(1,INDEX('Facilities'!$X$9:$X$108,MATCH(C467,'Facilities'!$C$9:$C$108,0))/INDEX('Facilities'!$AA$9:$AA$108,MATCH(C467,'Facilities'!$C$9:$C$108,0)))))*INDEX('Facilities'!$AJ$9:$AJ$108,MATCH(C467,'Facilities'!$C$9:$C$108,0))+Q467*INDEX('Facilities'!$AI$9:$AI$108,MATCH(C467,'Facilities'!$C$9:$C$108,0))*AF467)))</x:f>
      </x:c>
      <x:c r="AB467" s="21" t="str">
        <x:f>IF(C467="","",O467+P467-AD467)</x:f>
      </x:c>
      <x:c r="AC467" s="23" t="str">
        <x:f>IF(C467="","",IFERROR(IF(INDEX('Facilities'!$AD$9:$AD$108,MATCH(C467,'Facilities'!$C$9:$C$108,0))=3,0,IF(INDEX('Facilities'!$AN$9:$AN$108,MATCH(C467,'Facilities'!$C$9:$C$108,0))=0,-1,INDEX('Facilities'!$AN$9:$AN$108,MATCH(C467,'Facilities'!$C$9:$C$108,0)))),"Unavailable"))</x:f>
      </x:c>
      <x:c r="AD467" s="21" t="str">
        <x:f>IF(C467="","",IFERROR(G467+H467,"Unavailable"))</x:f>
      </x:c>
      <x:c r="AE467" s="21" t="str">
        <x:f>IF(C467="","",IF(AQ467&lt;&gt;"Ready","Unavailable",IF(C467="","",O467+P467-AD467-J467+K467+M467+N467)))</x:f>
      </x:c>
      <x:c r="AF467" s="30" t="str">
        <x:f>IF(C467="","",IFERROR(INDEX('Facilities'!$S$9:$S$108,MATCH(C467,'Facilities'!$C$9:$C$108,0))*'Scenario Paths'!J75,"Unavailable"))</x:f>
      </x:c>
      <x:c r="AG467" s="23" t="str">
        <x:f>IF(C467="","",IF(AQ467&lt;&gt;"Ready","Unavailable",IF(C467="","",IF(H467&gt;0,MAX(0,H467-AK467)*((1+INDEX('Facilities'!$K$9:$K$108,MATCH(C467,'Facilities'!$C$9:$C$108,0)))^MIN(1,MAX(0,AC467+INDEX('Facilities'!$AK$9:$AK$108,MATCH(C467,'Facilities'!$C$9:$C$108,0))-D467+1))-1),0))))</x:f>
      </x:c>
      <x:c r="AH467" s="21" t="str">
        <x:f>IF(C467="","",IF(AQ467&lt;&gt;"Ready","Unavailable",IF(C467="","",O467+P467)))</x:f>
      </x:c>
      <x:c r="AI467" s="21" t="str">
        <x:f>IF(C467="","",IF(AQ467&lt;&gt;"Ready","Unavailable",IF(C467="","",Z467-Y467)))</x:f>
      </x:c>
      <x:c r="AJ467" s="23" t="str">
        <x:f>IF(C467="","",IFERROR(MAX(0,INDEX('Facilities'!$J$9:$J$108,MATCH(C467,'Facilities'!$C$9:$C$108,0))-D467),"Unavailable"))</x:f>
      </x:c>
      <x:c r="AK467" s="21" t="str">
        <x:f>IF(C467="","",IFERROR(AL367,"Unavailable"))</x:f>
      </x:c>
      <x:c r="AL467" s="23" t="str">
        <x:f>IF(C467="","",IFERROR(IF(P467&gt;0,P467*(1-AM467/(1+INDEX('Facilities'!$K$9:$K$108,MATCH(C467,'Facilities'!$C$9:$C$108,0)))^MAX(0,AC467+INDEX('Facilities'!$AK$9:$AK$108,MATCH(C467,'Facilities'!$C$9:$C$108,0))-D467)),0),"Unavailable"))</x:f>
      </x:c>
      <x:c r="AM467" s="30" t="str">
        <x:f>IF(C467="","",IFERROR(INDEX('Facilities'!$AL$9:$AL$108,MATCH(C467,'Facilities'!$C$9:$C$108,0)),"Unavailable"))</x:f>
      </x:c>
      <x:c r="AN467" s="30" t="str">
        <x:f>IF(C467="","",IFERROR(INDEX(Credit!$T$409:$T$508,MATCH(F467,Credit!$C$409:$C$508,0)),"Unavailable"))</x:f>
      </x:c>
      <x:c r="AO467" s="23" t="str">
        <x:f>IF(C467="","",IF(AQ467&lt;&gt;"Ready","Unavailable",IF(C467="","",O467+P467+Q467*INDEX('Facilities'!$I$9:$I$108,MATCH(C467,'Facilities'!$C$9:$C$108,0)))))</x:f>
      </x:c>
      <x:c r="AP467" s="21" t="str">
        <x:f>IF(C467="","",IF(AQ467&lt;&gt;"Ready","Unavailable",IF(C467="","",AH467-U467)))</x:f>
      </x:c>
      <x:c r="AQ467" s="23" t="str">
        <x:f>IFERROR(IF(C467="","",IF(AND(INDEX('Facilities'!$AF$9:$AF$108,MATCH(C467,'Facilities'!$C$9:$C$108,0))="Ready",INDEX(Credit!$U$409:$U$508,MATCH(F467,Credit!$C$409:$C$508,0))="Ready",ISNUMBER(W467)),"Ready","Review inputs")),"Review inputs")</x:f>
      </x:c>
      <x:c r="AR467" s="23" t="str">
        <x:f>IF(C467="","",IF(AQ467&lt;&gt;"Ready","Unavailable",IF(C467="","",IF(O467=0,0,(IF(AJ467&lt;=1,O467,O467*INDEX('Facilities'!$R$9:$R$108,MATCH(C467,'Facilities'!$C$9:$C$108,0)))+O467*INDEX('Facilities'!$T$9:$T$108,MATCH(C467,'Facilities'!$C$9:$C$108,0)))/12))))</x:f>
      </x:c>
    </x:row>
    <x:row r="468" ht="26" customHeight="1">
      <x:c r="A468" s="1"/>
      <x:c r="B468" s="1"/>
      <x:c r="C468" s="9" t="str">
        <x:f>IF(Facilities!C68="","",Facilities!C68)</x:f>
      </x:c>
      <x:c r="D468" s="3" t="n">
        <x:v>5</x:v>
      </x:c>
      <x:c r="E468" s="9" t="n">
        <x:f>Settings!$F$18+4</x:f>
        <x:v>2031</x:v>
      </x:c>
      <x:c r="F468" s="9" t="str">
        <x:f>IF(C468="","",IFERROR(INDEX('Facilities'!$D$9:$D$108,MATCH(C468,'Facilities'!$C$9:$C$108,0)),"Unavailable"))</x:f>
      </x:c>
      <x:c r="G468" s="21" t="str">
        <x:f>IF(C468="","",IFERROR(O368,"Unavailable"))</x:f>
      </x:c>
      <x:c r="H468" s="21" t="str">
        <x:f>IF(C468="","",IFERROR(P368,"Unavailable"))</x:f>
      </x:c>
      <x:c r="I468" s="21" t="str">
        <x:f>IF(C468="","",IFERROR(Q368,"Unavailable"))</x:f>
      </x:c>
      <x:c r="J468" s="23" t="str">
        <x:f>IF(C468="","",IFERROR(IF(OR(H468&gt;0,AND(AC468&gt;=0,AC468&lt;D468),D468&gt;INDEX('Facilities'!$J$9:$J$108,MATCH(C468,'Facilities'!$C$9:$C$108,0))),0,I468*'Scenario Paths'!J81),"Unavailable"))</x:f>
      </x:c>
      <x:c r="K468" s="23" t="str">
        <x:f>IF(C468="","",IFERROR(IF(OR(H468&gt;0,AND(AC468&gt;=0,AC468=D468)),0,IF(D468&gt;=INDEX('Facilities'!$J$9:$J$108,MATCH(C468,'Facilities'!$C$9:$C$108,0)),G468+J468,MIN(G468+J468,G468*INDEX('Facilities'!$R$9:$R$108,MATCH(C468,'Facilities'!$C$9:$C$108,0))))),"Unavailable"))</x:f>
      </x:c>
      <x:c r="L468" s="21" t="str">
        <x:f>IF(C468="","",IFERROR(IF(AND(AC468=D468,AC468&gt;0),MAX(0,G468+J468-K468),0),"Unavailable"))</x:f>
      </x:c>
      <x:c r="M468" s="23" t="str">
        <x:f>IF(C468="","",IFERROR(IF(AND(AC468&gt;=0,D468&gt;=AC468+INDEX('Facilities'!$AK$9:$AK$108,MATCH(C468,'Facilities'!$C$9:$C$108,0))),(H468+L468)*AM468,0),"Unavailable"))</x:f>
      </x:c>
      <x:c r="N468" s="23" t="str">
        <x:f>IF(C468="","",IFERROR(IF(AND(AC468&gt;=0,D468&gt;=AC468+INDEX('Facilities'!$AK$9:$AK$108,MATCH(C468,'Facilities'!$C$9:$C$108,0))),H468+L468-M468,0),"Unavailable"))</x:f>
      </x:c>
      <x:c r="O468" s="21" t="str">
        <x:f>IF(C468="","",IFERROR(MAX(0,G468+J468-K468-L468),"Unavailable"))</x:f>
      </x:c>
      <x:c r="P468" s="21" t="str">
        <x:f>IF(C468="","",IFERROR(MAX(0,H468+L468-M468-N468),"Unavailable"))</x:f>
      </x:c>
      <x:c r="Q468" s="23" t="str">
        <x:f>IF(C468="","",IFERROR(IF(OR(D468&gt;=INDEX('Facilities'!$J$9:$J$108,MATCH(C468,'Facilities'!$C$9:$C$108,0)),AND(AC468&gt;=0,AC468&lt;=D468)),0,MAX(0,I468-J468)),"Unavailable"))</x:f>
      </x:c>
      <x:c r="R468" s="30" t="str">
        <x:f>IF(C468="","",IFERROR(INDEX(Credit!$Q$409:$Q$508,MATCH(F468,Credit!$C$409:$C$508,0)),"Unavailable"))</x:f>
      </x:c>
      <x:c r="S468" s="30" t="str">
        <x:f>IF(C468="","",IFERROR(INDEX(Credit!$R$409:$R$508,MATCH(F468,Credit!$C$409:$C$508,0)),"Unavailable"))</x:f>
      </x:c>
      <x:c r="T468" s="23" t="str">
        <x:f>IF(C468="","",IFERROR(IF(P468&gt;0,3,IF(OR(INDEX('Facilities'!$AD$9:$AD$108,MATCH(C468,'Facilities'!$C$9:$C$108,0))=2,AND(R468&gt;=INDEX('Facilities'!$L$9:$L$108,MATCH(C468,'Facilities'!$C$9:$C$108,0))*Settings!$F$19,R468-INDEX('Facilities'!$L$9:$L$108,MATCH(C468,'Facilities'!$C$9:$C$108,0))&gt;=Settings!$F$20)),2,1)),"Unavailable"))</x:f>
      </x:c>
      <x:c r="U468" s="23" t="str">
        <x:f>IF(C468="","",IF(AQ468&lt;&gt;"Ready","Unavailable",IF(C468="","",O468*(1-(1-S468)/(1+INDEX('Facilities'!$K$9:$K$108,MATCH(C468,'Facilities'!$C$9:$C$108,0)))^INDEX('Facilities'!$AK$9:$AK$108,MATCH(C468,'Facilities'!$C$9:$C$108,0)))*R468/(1+INDEX('Facilities'!$K$9:$K$108,MATCH(C468,'Facilities'!$C$9:$C$108,0)))*IF(ABS(1-(1-R468)*(1-INDEX('Facilities'!$R$9:$R$108,MATCH(C468,'Facilities'!$C$9:$C$108,0)))/(1+INDEX('Facilities'!$K$9:$K$108,MATCH(C468,'Facilities'!$C$9:$C$108,0))))&lt;0.000000001,IF(T468=1,MIN(1,AJ468),AJ468),(1-((1-R468)*(1-INDEX('Facilities'!$R$9:$R$108,MATCH(C468,'Facilities'!$C$9:$C$108,0)))/(1+INDEX('Facilities'!$K$9:$K$108,MATCH(C468,'Facilities'!$C$9:$C$108,0))))^IF(T468=1,MIN(1,AJ468),AJ468))/(1-(1-R468)*(1-INDEX('Facilities'!$R$9:$R$108,MATCH(C468,'Facilities'!$C$9:$C$108,0)))/(1+INDEX('Facilities'!$K$9:$K$108,MATCH(C468,'Facilities'!$C$9:$C$108,0)))))+AL468)))</x:f>
      </x:c>
      <x:c r="V468" s="23" t="str">
        <x:f>IF(C468="","",IF(AQ468&lt;&gt;"Ready","Unavailable",IF(C468="","",Q468*INDEX('Facilities'!$I$9:$I$108,MATCH(C468,'Facilities'!$C$9:$C$108,0))*(1-(1-S468)/(1+INDEX('Facilities'!$K$9:$K$108,MATCH(C468,'Facilities'!$C$9:$C$108,0)))^INDEX('Facilities'!$AK$9:$AK$108,MATCH(C468,'Facilities'!$C$9:$C$108,0)))*R468/(1+INDEX('Facilities'!$K$9:$K$108,MATCH(C468,'Facilities'!$C$9:$C$108,0)))*IF(ABS(1-(1-R468)*(1-0)/(1+INDEX('Facilities'!$K$9:$K$108,MATCH(C468,'Facilities'!$C$9:$C$108,0))))&lt;0.000000001,IF(T468=1,MIN(1,AJ468),AJ468),(1-((1-R468)*(1-0)/(1+INDEX('Facilities'!$K$9:$K$108,MATCH(C468,'Facilities'!$C$9:$C$108,0))))^IF(T468=1,MIN(1,AJ468),AJ468))/(1-(1-R468)*(1-0)/(1+INDEX('Facilities'!$K$9:$K$108,MATCH(C468,'Facilities'!$C$9:$C$108,0))))))))</x:f>
      </x:c>
      <x:c r="W468" s="21" t="str">
        <x:f>IF(C468="","",IFERROR(U368,"Unavailable"))</x:f>
      </x:c>
      <x:c r="X468" s="21" t="str">
        <x:f>IF(C468="","",IFERROR(V368,"Unavailable"))</x:f>
      </x:c>
      <x:c r="Y468" s="21" t="str">
        <x:f>IF(C468="","",IF(AQ468&lt;&gt;"Ready","Unavailable",IF(C468="","",U468-W468+V468-X468+N468+AG468)))</x:f>
      </x:c>
      <x:c r="Z468" s="23" t="str">
        <x:f>IF(C468="","",IF(AQ468&lt;&gt;"Ready","Unavailable",IF(C468="","",(G468+O468+L468)/2*INDEX('Facilities'!$T$9:$T$108,MATCH(C468,'Facilities'!$C$9:$C$108,0))+AG468)))</x:f>
      </x:c>
      <x:c r="AA468" s="23" t="str">
        <x:f>IF(C468="","",IF(AQ468&lt;&gt;"Ready","Unavailable",IF(C468="","",O468*(1-IF(INDEX('Facilities'!$AA$9:$AA$108,MATCH(C468,'Facilities'!$C$9:$C$108,0))=0,0,MIN(1,INDEX('Facilities'!$X$9:$X$108,MATCH(C468,'Facilities'!$C$9:$C$108,0))/INDEX('Facilities'!$AA$9:$AA$108,MATCH(C468,'Facilities'!$C$9:$C$108,0)))))*AF468+P468*(1-IF(INDEX('Facilities'!$AA$9:$AA$108,MATCH(C468,'Facilities'!$C$9:$C$108,0))=0,0,MIN(1,INDEX('Facilities'!$X$9:$X$108,MATCH(C468,'Facilities'!$C$9:$C$108,0))/INDEX('Facilities'!$AA$9:$AA$108,MATCH(C468,'Facilities'!$C$9:$C$108,0)))))*INDEX('Facilities'!$AJ$9:$AJ$108,MATCH(C468,'Facilities'!$C$9:$C$108,0))+Q468*INDEX('Facilities'!$AI$9:$AI$108,MATCH(C468,'Facilities'!$C$9:$C$108,0))*AF468)))</x:f>
      </x:c>
      <x:c r="AB468" s="21" t="str">
        <x:f>IF(C468="","",O468+P468-AD468)</x:f>
      </x:c>
      <x:c r="AC468" s="23" t="str">
        <x:f>IF(C468="","",IFERROR(IF(INDEX('Facilities'!$AD$9:$AD$108,MATCH(C468,'Facilities'!$C$9:$C$108,0))=3,0,IF(INDEX('Facilities'!$AN$9:$AN$108,MATCH(C468,'Facilities'!$C$9:$C$108,0))=0,-1,INDEX('Facilities'!$AN$9:$AN$108,MATCH(C468,'Facilities'!$C$9:$C$108,0)))),"Unavailable"))</x:f>
      </x:c>
      <x:c r="AD468" s="21" t="str">
        <x:f>IF(C468="","",IFERROR(G468+H468,"Unavailable"))</x:f>
      </x:c>
      <x:c r="AE468" s="21" t="str">
        <x:f>IF(C468="","",IF(AQ468&lt;&gt;"Ready","Unavailable",IF(C468="","",O468+P468-AD468-J468+K468+M468+N468)))</x:f>
      </x:c>
      <x:c r="AF468" s="30" t="str">
        <x:f>IF(C468="","",IFERROR(INDEX('Facilities'!$S$9:$S$108,MATCH(C468,'Facilities'!$C$9:$C$108,0))*'Scenario Paths'!J75,"Unavailable"))</x:f>
      </x:c>
      <x:c r="AG468" s="23" t="str">
        <x:f>IF(C468="","",IF(AQ468&lt;&gt;"Ready","Unavailable",IF(C468="","",IF(H468&gt;0,MAX(0,H468-AK468)*((1+INDEX('Facilities'!$K$9:$K$108,MATCH(C468,'Facilities'!$C$9:$C$108,0)))^MIN(1,MAX(0,AC468+INDEX('Facilities'!$AK$9:$AK$108,MATCH(C468,'Facilities'!$C$9:$C$108,0))-D468+1))-1),0))))</x:f>
      </x:c>
      <x:c r="AH468" s="21" t="str">
        <x:f>IF(C468="","",IF(AQ468&lt;&gt;"Ready","Unavailable",IF(C468="","",O468+P468)))</x:f>
      </x:c>
      <x:c r="AI468" s="21" t="str">
        <x:f>IF(C468="","",IF(AQ468&lt;&gt;"Ready","Unavailable",IF(C468="","",Z468-Y468)))</x:f>
      </x:c>
      <x:c r="AJ468" s="23" t="str">
        <x:f>IF(C468="","",IFERROR(MAX(0,INDEX('Facilities'!$J$9:$J$108,MATCH(C468,'Facilities'!$C$9:$C$108,0))-D468),"Unavailable"))</x:f>
      </x:c>
      <x:c r="AK468" s="21" t="str">
        <x:f>IF(C468="","",IFERROR(AL368,"Unavailable"))</x:f>
      </x:c>
      <x:c r="AL468" s="23" t="str">
        <x:f>IF(C468="","",IFERROR(IF(P468&gt;0,P468*(1-AM468/(1+INDEX('Facilities'!$K$9:$K$108,MATCH(C468,'Facilities'!$C$9:$C$108,0)))^MAX(0,AC468+INDEX('Facilities'!$AK$9:$AK$108,MATCH(C468,'Facilities'!$C$9:$C$108,0))-D468)),0),"Unavailable"))</x:f>
      </x:c>
      <x:c r="AM468" s="30" t="str">
        <x:f>IF(C468="","",IFERROR(INDEX('Facilities'!$AL$9:$AL$108,MATCH(C468,'Facilities'!$C$9:$C$108,0)),"Unavailable"))</x:f>
      </x:c>
      <x:c r="AN468" s="30" t="str">
        <x:f>IF(C468="","",IFERROR(INDEX(Credit!$T$409:$T$508,MATCH(F468,Credit!$C$409:$C$508,0)),"Unavailable"))</x:f>
      </x:c>
      <x:c r="AO468" s="23" t="str">
        <x:f>IF(C468="","",IF(AQ468&lt;&gt;"Ready","Unavailable",IF(C468="","",O468+P468+Q468*INDEX('Facilities'!$I$9:$I$108,MATCH(C468,'Facilities'!$C$9:$C$108,0)))))</x:f>
      </x:c>
      <x:c r="AP468" s="21" t="str">
        <x:f>IF(C468="","",IF(AQ468&lt;&gt;"Ready","Unavailable",IF(C468="","",AH468-U468)))</x:f>
      </x:c>
      <x:c r="AQ468" s="23" t="str">
        <x:f>IFERROR(IF(C468="","",IF(AND(INDEX('Facilities'!$AF$9:$AF$108,MATCH(C468,'Facilities'!$C$9:$C$108,0))="Ready",INDEX(Credit!$U$409:$U$508,MATCH(F468,Credit!$C$409:$C$508,0))="Ready",ISNUMBER(W468)),"Ready","Review inputs")),"Review inputs")</x:f>
      </x:c>
      <x:c r="AR468" s="23" t="str">
        <x:f>IF(C468="","",IF(AQ468&lt;&gt;"Ready","Unavailable",IF(C468="","",IF(O468=0,0,(IF(AJ468&lt;=1,O468,O468*INDEX('Facilities'!$R$9:$R$108,MATCH(C468,'Facilities'!$C$9:$C$108,0)))+O468*INDEX('Facilities'!$T$9:$T$108,MATCH(C468,'Facilities'!$C$9:$C$108,0)))/12))))</x:f>
      </x:c>
    </x:row>
    <x:row r="469" ht="26" customHeight="1">
      <x:c r="A469" s="1"/>
      <x:c r="B469" s="1"/>
      <x:c r="C469" s="9" t="str">
        <x:f>IF(Facilities!C69="","",Facilities!C69)</x:f>
      </x:c>
      <x:c r="D469" s="3" t="n">
        <x:v>5</x:v>
      </x:c>
      <x:c r="E469" s="9" t="n">
        <x:f>Settings!$F$18+4</x:f>
        <x:v>2031</x:v>
      </x:c>
      <x:c r="F469" s="9" t="str">
        <x:f>IF(C469="","",IFERROR(INDEX('Facilities'!$D$9:$D$108,MATCH(C469,'Facilities'!$C$9:$C$108,0)),"Unavailable"))</x:f>
      </x:c>
      <x:c r="G469" s="21" t="str">
        <x:f>IF(C469="","",IFERROR(O369,"Unavailable"))</x:f>
      </x:c>
      <x:c r="H469" s="21" t="str">
        <x:f>IF(C469="","",IFERROR(P369,"Unavailable"))</x:f>
      </x:c>
      <x:c r="I469" s="21" t="str">
        <x:f>IF(C469="","",IFERROR(Q369,"Unavailable"))</x:f>
      </x:c>
      <x:c r="J469" s="23" t="str">
        <x:f>IF(C469="","",IFERROR(IF(OR(H469&gt;0,AND(AC469&gt;=0,AC469&lt;D469),D469&gt;INDEX('Facilities'!$J$9:$J$108,MATCH(C469,'Facilities'!$C$9:$C$108,0))),0,I469*'Scenario Paths'!J81),"Unavailable"))</x:f>
      </x:c>
      <x:c r="K469" s="23" t="str">
        <x:f>IF(C469="","",IFERROR(IF(OR(H469&gt;0,AND(AC469&gt;=0,AC469=D469)),0,IF(D469&gt;=INDEX('Facilities'!$J$9:$J$108,MATCH(C469,'Facilities'!$C$9:$C$108,0)),G469+J469,MIN(G469+J469,G469*INDEX('Facilities'!$R$9:$R$108,MATCH(C469,'Facilities'!$C$9:$C$108,0))))),"Unavailable"))</x:f>
      </x:c>
      <x:c r="L469" s="21" t="str">
        <x:f>IF(C469="","",IFERROR(IF(AND(AC469=D469,AC469&gt;0),MAX(0,G469+J469-K469),0),"Unavailable"))</x:f>
      </x:c>
      <x:c r="M469" s="23" t="str">
        <x:f>IF(C469="","",IFERROR(IF(AND(AC469&gt;=0,D469&gt;=AC469+INDEX('Facilities'!$AK$9:$AK$108,MATCH(C469,'Facilities'!$C$9:$C$108,0))),(H469+L469)*AM469,0),"Unavailable"))</x:f>
      </x:c>
      <x:c r="N469" s="23" t="str">
        <x:f>IF(C469="","",IFERROR(IF(AND(AC469&gt;=0,D469&gt;=AC469+INDEX('Facilities'!$AK$9:$AK$108,MATCH(C469,'Facilities'!$C$9:$C$108,0))),H469+L469-M469,0),"Unavailable"))</x:f>
      </x:c>
      <x:c r="O469" s="21" t="str">
        <x:f>IF(C469="","",IFERROR(MAX(0,G469+J469-K469-L469),"Unavailable"))</x:f>
      </x:c>
      <x:c r="P469" s="21" t="str">
        <x:f>IF(C469="","",IFERROR(MAX(0,H469+L469-M469-N469),"Unavailable"))</x:f>
      </x:c>
      <x:c r="Q469" s="23" t="str">
        <x:f>IF(C469="","",IFERROR(IF(OR(D469&gt;=INDEX('Facilities'!$J$9:$J$108,MATCH(C469,'Facilities'!$C$9:$C$108,0)),AND(AC469&gt;=0,AC469&lt;=D469)),0,MAX(0,I469-J469)),"Unavailable"))</x:f>
      </x:c>
      <x:c r="R469" s="30" t="str">
        <x:f>IF(C469="","",IFERROR(INDEX(Credit!$Q$409:$Q$508,MATCH(F469,Credit!$C$409:$C$508,0)),"Unavailable"))</x:f>
      </x:c>
      <x:c r="S469" s="30" t="str">
        <x:f>IF(C469="","",IFERROR(INDEX(Credit!$R$409:$R$508,MATCH(F469,Credit!$C$409:$C$508,0)),"Unavailable"))</x:f>
      </x:c>
      <x:c r="T469" s="23" t="str">
        <x:f>IF(C469="","",IFERROR(IF(P469&gt;0,3,IF(OR(INDEX('Facilities'!$AD$9:$AD$108,MATCH(C469,'Facilities'!$C$9:$C$108,0))=2,AND(R469&gt;=INDEX('Facilities'!$L$9:$L$108,MATCH(C469,'Facilities'!$C$9:$C$108,0))*Settings!$F$19,R469-INDEX('Facilities'!$L$9:$L$108,MATCH(C469,'Facilities'!$C$9:$C$108,0))&gt;=Settings!$F$20)),2,1)),"Unavailable"))</x:f>
      </x:c>
      <x:c r="U469" s="23" t="str">
        <x:f>IF(C469="","",IF(AQ469&lt;&gt;"Ready","Unavailable",IF(C469="","",O469*(1-(1-S469)/(1+INDEX('Facilities'!$K$9:$K$108,MATCH(C469,'Facilities'!$C$9:$C$108,0)))^INDEX('Facilities'!$AK$9:$AK$108,MATCH(C469,'Facilities'!$C$9:$C$108,0)))*R469/(1+INDEX('Facilities'!$K$9:$K$108,MATCH(C469,'Facilities'!$C$9:$C$108,0)))*IF(ABS(1-(1-R469)*(1-INDEX('Facilities'!$R$9:$R$108,MATCH(C469,'Facilities'!$C$9:$C$108,0)))/(1+INDEX('Facilities'!$K$9:$K$108,MATCH(C469,'Facilities'!$C$9:$C$108,0))))&lt;0.000000001,IF(T469=1,MIN(1,AJ469),AJ469),(1-((1-R469)*(1-INDEX('Facilities'!$R$9:$R$108,MATCH(C469,'Facilities'!$C$9:$C$108,0)))/(1+INDEX('Facilities'!$K$9:$K$108,MATCH(C469,'Facilities'!$C$9:$C$108,0))))^IF(T469=1,MIN(1,AJ469),AJ469))/(1-(1-R469)*(1-INDEX('Facilities'!$R$9:$R$108,MATCH(C469,'Facilities'!$C$9:$C$108,0)))/(1+INDEX('Facilities'!$K$9:$K$108,MATCH(C469,'Facilities'!$C$9:$C$108,0)))))+AL469)))</x:f>
      </x:c>
      <x:c r="V469" s="23" t="str">
        <x:f>IF(C469="","",IF(AQ469&lt;&gt;"Ready","Unavailable",IF(C469="","",Q469*INDEX('Facilities'!$I$9:$I$108,MATCH(C469,'Facilities'!$C$9:$C$108,0))*(1-(1-S469)/(1+INDEX('Facilities'!$K$9:$K$108,MATCH(C469,'Facilities'!$C$9:$C$108,0)))^INDEX('Facilities'!$AK$9:$AK$108,MATCH(C469,'Facilities'!$C$9:$C$108,0)))*R469/(1+INDEX('Facilities'!$K$9:$K$108,MATCH(C469,'Facilities'!$C$9:$C$108,0)))*IF(ABS(1-(1-R469)*(1-0)/(1+INDEX('Facilities'!$K$9:$K$108,MATCH(C469,'Facilities'!$C$9:$C$108,0))))&lt;0.000000001,IF(T469=1,MIN(1,AJ469),AJ469),(1-((1-R469)*(1-0)/(1+INDEX('Facilities'!$K$9:$K$108,MATCH(C469,'Facilities'!$C$9:$C$108,0))))^IF(T469=1,MIN(1,AJ469),AJ469))/(1-(1-R469)*(1-0)/(1+INDEX('Facilities'!$K$9:$K$108,MATCH(C469,'Facilities'!$C$9:$C$108,0))))))))</x:f>
      </x:c>
      <x:c r="W469" s="21" t="str">
        <x:f>IF(C469="","",IFERROR(U369,"Unavailable"))</x:f>
      </x:c>
      <x:c r="X469" s="21" t="str">
        <x:f>IF(C469="","",IFERROR(V369,"Unavailable"))</x:f>
      </x:c>
      <x:c r="Y469" s="21" t="str">
        <x:f>IF(C469="","",IF(AQ469&lt;&gt;"Ready","Unavailable",IF(C469="","",U469-W469+V469-X469+N469+AG469)))</x:f>
      </x:c>
      <x:c r="Z469" s="23" t="str">
        <x:f>IF(C469="","",IF(AQ469&lt;&gt;"Ready","Unavailable",IF(C469="","",(G469+O469+L469)/2*INDEX('Facilities'!$T$9:$T$108,MATCH(C469,'Facilities'!$C$9:$C$108,0))+AG469)))</x:f>
      </x:c>
      <x:c r="AA469" s="23" t="str">
        <x:f>IF(C469="","",IF(AQ469&lt;&gt;"Ready","Unavailable",IF(C469="","",O469*(1-IF(INDEX('Facilities'!$AA$9:$AA$108,MATCH(C469,'Facilities'!$C$9:$C$108,0))=0,0,MIN(1,INDEX('Facilities'!$X$9:$X$108,MATCH(C469,'Facilities'!$C$9:$C$108,0))/INDEX('Facilities'!$AA$9:$AA$108,MATCH(C469,'Facilities'!$C$9:$C$108,0)))))*AF469+P469*(1-IF(INDEX('Facilities'!$AA$9:$AA$108,MATCH(C469,'Facilities'!$C$9:$C$108,0))=0,0,MIN(1,INDEX('Facilities'!$X$9:$X$108,MATCH(C469,'Facilities'!$C$9:$C$108,0))/INDEX('Facilities'!$AA$9:$AA$108,MATCH(C469,'Facilities'!$C$9:$C$108,0)))))*INDEX('Facilities'!$AJ$9:$AJ$108,MATCH(C469,'Facilities'!$C$9:$C$108,0))+Q469*INDEX('Facilities'!$AI$9:$AI$108,MATCH(C469,'Facilities'!$C$9:$C$108,0))*AF469)))</x:f>
      </x:c>
      <x:c r="AB469" s="21" t="str">
        <x:f>IF(C469="","",O469+P469-AD469)</x:f>
      </x:c>
      <x:c r="AC469" s="23" t="str">
        <x:f>IF(C469="","",IFERROR(IF(INDEX('Facilities'!$AD$9:$AD$108,MATCH(C469,'Facilities'!$C$9:$C$108,0))=3,0,IF(INDEX('Facilities'!$AN$9:$AN$108,MATCH(C469,'Facilities'!$C$9:$C$108,0))=0,-1,INDEX('Facilities'!$AN$9:$AN$108,MATCH(C469,'Facilities'!$C$9:$C$108,0)))),"Unavailable"))</x:f>
      </x:c>
      <x:c r="AD469" s="21" t="str">
        <x:f>IF(C469="","",IFERROR(G469+H469,"Unavailable"))</x:f>
      </x:c>
      <x:c r="AE469" s="21" t="str">
        <x:f>IF(C469="","",IF(AQ469&lt;&gt;"Ready","Unavailable",IF(C469="","",O469+P469-AD469-J469+K469+M469+N469)))</x:f>
      </x:c>
      <x:c r="AF469" s="30" t="str">
        <x:f>IF(C469="","",IFERROR(INDEX('Facilities'!$S$9:$S$108,MATCH(C469,'Facilities'!$C$9:$C$108,0))*'Scenario Paths'!J75,"Unavailable"))</x:f>
      </x:c>
      <x:c r="AG469" s="23" t="str">
        <x:f>IF(C469="","",IF(AQ469&lt;&gt;"Ready","Unavailable",IF(C469="","",IF(H469&gt;0,MAX(0,H469-AK469)*((1+INDEX('Facilities'!$K$9:$K$108,MATCH(C469,'Facilities'!$C$9:$C$108,0)))^MIN(1,MAX(0,AC469+INDEX('Facilities'!$AK$9:$AK$108,MATCH(C469,'Facilities'!$C$9:$C$108,0))-D469+1))-1),0))))</x:f>
      </x:c>
      <x:c r="AH469" s="21" t="str">
        <x:f>IF(C469="","",IF(AQ469&lt;&gt;"Ready","Unavailable",IF(C469="","",O469+P469)))</x:f>
      </x:c>
      <x:c r="AI469" s="21" t="str">
        <x:f>IF(C469="","",IF(AQ469&lt;&gt;"Ready","Unavailable",IF(C469="","",Z469-Y469)))</x:f>
      </x:c>
      <x:c r="AJ469" s="23" t="str">
        <x:f>IF(C469="","",IFERROR(MAX(0,INDEX('Facilities'!$J$9:$J$108,MATCH(C469,'Facilities'!$C$9:$C$108,0))-D469),"Unavailable"))</x:f>
      </x:c>
      <x:c r="AK469" s="21" t="str">
        <x:f>IF(C469="","",IFERROR(AL369,"Unavailable"))</x:f>
      </x:c>
      <x:c r="AL469" s="23" t="str">
        <x:f>IF(C469="","",IFERROR(IF(P469&gt;0,P469*(1-AM469/(1+INDEX('Facilities'!$K$9:$K$108,MATCH(C469,'Facilities'!$C$9:$C$108,0)))^MAX(0,AC469+INDEX('Facilities'!$AK$9:$AK$108,MATCH(C469,'Facilities'!$C$9:$C$108,0))-D469)),0),"Unavailable"))</x:f>
      </x:c>
      <x:c r="AM469" s="30" t="str">
        <x:f>IF(C469="","",IFERROR(INDEX('Facilities'!$AL$9:$AL$108,MATCH(C469,'Facilities'!$C$9:$C$108,0)),"Unavailable"))</x:f>
      </x:c>
      <x:c r="AN469" s="30" t="str">
        <x:f>IF(C469="","",IFERROR(INDEX(Credit!$T$409:$T$508,MATCH(F469,Credit!$C$409:$C$508,0)),"Unavailable"))</x:f>
      </x:c>
      <x:c r="AO469" s="23" t="str">
        <x:f>IF(C469="","",IF(AQ469&lt;&gt;"Ready","Unavailable",IF(C469="","",O469+P469+Q469*INDEX('Facilities'!$I$9:$I$108,MATCH(C469,'Facilities'!$C$9:$C$108,0)))))</x:f>
      </x:c>
      <x:c r="AP469" s="21" t="str">
        <x:f>IF(C469="","",IF(AQ469&lt;&gt;"Ready","Unavailable",IF(C469="","",AH469-U469)))</x:f>
      </x:c>
      <x:c r="AQ469" s="23" t="str">
        <x:f>IFERROR(IF(C469="","",IF(AND(INDEX('Facilities'!$AF$9:$AF$108,MATCH(C469,'Facilities'!$C$9:$C$108,0))="Ready",INDEX(Credit!$U$409:$U$508,MATCH(F469,Credit!$C$409:$C$508,0))="Ready",ISNUMBER(W469)),"Ready","Review inputs")),"Review inputs")</x:f>
      </x:c>
      <x:c r="AR469" s="23" t="str">
        <x:f>IF(C469="","",IF(AQ469&lt;&gt;"Ready","Unavailable",IF(C469="","",IF(O469=0,0,(IF(AJ469&lt;=1,O469,O469*INDEX('Facilities'!$R$9:$R$108,MATCH(C469,'Facilities'!$C$9:$C$108,0)))+O469*INDEX('Facilities'!$T$9:$T$108,MATCH(C469,'Facilities'!$C$9:$C$108,0)))/12))))</x:f>
      </x:c>
    </x:row>
    <x:row r="470" ht="26" customHeight="1">
      <x:c r="A470" s="1"/>
      <x:c r="B470" s="1"/>
      <x:c r="C470" s="9" t="str">
        <x:f>IF(Facilities!C70="","",Facilities!C70)</x:f>
      </x:c>
      <x:c r="D470" s="3" t="n">
        <x:v>5</x:v>
      </x:c>
      <x:c r="E470" s="9" t="n">
        <x:f>Settings!$F$18+4</x:f>
        <x:v>2031</x:v>
      </x:c>
      <x:c r="F470" s="9" t="str">
        <x:f>IF(C470="","",IFERROR(INDEX('Facilities'!$D$9:$D$108,MATCH(C470,'Facilities'!$C$9:$C$108,0)),"Unavailable"))</x:f>
      </x:c>
      <x:c r="G470" s="21" t="str">
        <x:f>IF(C470="","",IFERROR(O370,"Unavailable"))</x:f>
      </x:c>
      <x:c r="H470" s="21" t="str">
        <x:f>IF(C470="","",IFERROR(P370,"Unavailable"))</x:f>
      </x:c>
      <x:c r="I470" s="21" t="str">
        <x:f>IF(C470="","",IFERROR(Q370,"Unavailable"))</x:f>
      </x:c>
      <x:c r="J470" s="23" t="str">
        <x:f>IF(C470="","",IFERROR(IF(OR(H470&gt;0,AND(AC470&gt;=0,AC470&lt;D470),D470&gt;INDEX('Facilities'!$J$9:$J$108,MATCH(C470,'Facilities'!$C$9:$C$108,0))),0,I470*'Scenario Paths'!J81),"Unavailable"))</x:f>
      </x:c>
      <x:c r="K470" s="23" t="str">
        <x:f>IF(C470="","",IFERROR(IF(OR(H470&gt;0,AND(AC470&gt;=0,AC470=D470)),0,IF(D470&gt;=INDEX('Facilities'!$J$9:$J$108,MATCH(C470,'Facilities'!$C$9:$C$108,0)),G470+J470,MIN(G470+J470,G470*INDEX('Facilities'!$R$9:$R$108,MATCH(C470,'Facilities'!$C$9:$C$108,0))))),"Unavailable"))</x:f>
      </x:c>
      <x:c r="L470" s="21" t="str">
        <x:f>IF(C470="","",IFERROR(IF(AND(AC470=D470,AC470&gt;0),MAX(0,G470+J470-K470),0),"Unavailable"))</x:f>
      </x:c>
      <x:c r="M470" s="23" t="str">
        <x:f>IF(C470="","",IFERROR(IF(AND(AC470&gt;=0,D470&gt;=AC470+INDEX('Facilities'!$AK$9:$AK$108,MATCH(C470,'Facilities'!$C$9:$C$108,0))),(H470+L470)*AM470,0),"Unavailable"))</x:f>
      </x:c>
      <x:c r="N470" s="23" t="str">
        <x:f>IF(C470="","",IFERROR(IF(AND(AC470&gt;=0,D470&gt;=AC470+INDEX('Facilities'!$AK$9:$AK$108,MATCH(C470,'Facilities'!$C$9:$C$108,0))),H470+L470-M470,0),"Unavailable"))</x:f>
      </x:c>
      <x:c r="O470" s="21" t="str">
        <x:f>IF(C470="","",IFERROR(MAX(0,G470+J470-K470-L470),"Unavailable"))</x:f>
      </x:c>
      <x:c r="P470" s="21" t="str">
        <x:f>IF(C470="","",IFERROR(MAX(0,H470+L470-M470-N470),"Unavailable"))</x:f>
      </x:c>
      <x:c r="Q470" s="23" t="str">
        <x:f>IF(C470="","",IFERROR(IF(OR(D470&gt;=INDEX('Facilities'!$J$9:$J$108,MATCH(C470,'Facilities'!$C$9:$C$108,0)),AND(AC470&gt;=0,AC470&lt;=D470)),0,MAX(0,I470-J470)),"Unavailable"))</x:f>
      </x:c>
      <x:c r="R470" s="30" t="str">
        <x:f>IF(C470="","",IFERROR(INDEX(Credit!$Q$409:$Q$508,MATCH(F470,Credit!$C$409:$C$508,0)),"Unavailable"))</x:f>
      </x:c>
      <x:c r="S470" s="30" t="str">
        <x:f>IF(C470="","",IFERROR(INDEX(Credit!$R$409:$R$508,MATCH(F470,Credit!$C$409:$C$508,0)),"Unavailable"))</x:f>
      </x:c>
      <x:c r="T470" s="23" t="str">
        <x:f>IF(C470="","",IFERROR(IF(P470&gt;0,3,IF(OR(INDEX('Facilities'!$AD$9:$AD$108,MATCH(C470,'Facilities'!$C$9:$C$108,0))=2,AND(R470&gt;=INDEX('Facilities'!$L$9:$L$108,MATCH(C470,'Facilities'!$C$9:$C$108,0))*Settings!$F$19,R470-INDEX('Facilities'!$L$9:$L$108,MATCH(C470,'Facilities'!$C$9:$C$108,0))&gt;=Settings!$F$20)),2,1)),"Unavailable"))</x:f>
      </x:c>
      <x:c r="U470" s="23" t="str">
        <x:f>IF(C470="","",IF(AQ470&lt;&gt;"Ready","Unavailable",IF(C470="","",O470*(1-(1-S470)/(1+INDEX('Facilities'!$K$9:$K$108,MATCH(C470,'Facilities'!$C$9:$C$108,0)))^INDEX('Facilities'!$AK$9:$AK$108,MATCH(C470,'Facilities'!$C$9:$C$108,0)))*R470/(1+INDEX('Facilities'!$K$9:$K$108,MATCH(C470,'Facilities'!$C$9:$C$108,0)))*IF(ABS(1-(1-R470)*(1-INDEX('Facilities'!$R$9:$R$108,MATCH(C470,'Facilities'!$C$9:$C$108,0)))/(1+INDEX('Facilities'!$K$9:$K$108,MATCH(C470,'Facilities'!$C$9:$C$108,0))))&lt;0.000000001,IF(T470=1,MIN(1,AJ470),AJ470),(1-((1-R470)*(1-INDEX('Facilities'!$R$9:$R$108,MATCH(C470,'Facilities'!$C$9:$C$108,0)))/(1+INDEX('Facilities'!$K$9:$K$108,MATCH(C470,'Facilities'!$C$9:$C$108,0))))^IF(T470=1,MIN(1,AJ470),AJ470))/(1-(1-R470)*(1-INDEX('Facilities'!$R$9:$R$108,MATCH(C470,'Facilities'!$C$9:$C$108,0)))/(1+INDEX('Facilities'!$K$9:$K$108,MATCH(C470,'Facilities'!$C$9:$C$108,0)))))+AL470)))</x:f>
      </x:c>
      <x:c r="V470" s="23" t="str">
        <x:f>IF(C470="","",IF(AQ470&lt;&gt;"Ready","Unavailable",IF(C470="","",Q470*INDEX('Facilities'!$I$9:$I$108,MATCH(C470,'Facilities'!$C$9:$C$108,0))*(1-(1-S470)/(1+INDEX('Facilities'!$K$9:$K$108,MATCH(C470,'Facilities'!$C$9:$C$108,0)))^INDEX('Facilities'!$AK$9:$AK$108,MATCH(C470,'Facilities'!$C$9:$C$108,0)))*R470/(1+INDEX('Facilities'!$K$9:$K$108,MATCH(C470,'Facilities'!$C$9:$C$108,0)))*IF(ABS(1-(1-R470)*(1-0)/(1+INDEX('Facilities'!$K$9:$K$108,MATCH(C470,'Facilities'!$C$9:$C$108,0))))&lt;0.000000001,IF(T470=1,MIN(1,AJ470),AJ470),(1-((1-R470)*(1-0)/(1+INDEX('Facilities'!$K$9:$K$108,MATCH(C470,'Facilities'!$C$9:$C$108,0))))^IF(T470=1,MIN(1,AJ470),AJ470))/(1-(1-R470)*(1-0)/(1+INDEX('Facilities'!$K$9:$K$108,MATCH(C470,'Facilities'!$C$9:$C$108,0))))))))</x:f>
      </x:c>
      <x:c r="W470" s="21" t="str">
        <x:f>IF(C470="","",IFERROR(U370,"Unavailable"))</x:f>
      </x:c>
      <x:c r="X470" s="21" t="str">
        <x:f>IF(C470="","",IFERROR(V370,"Unavailable"))</x:f>
      </x:c>
      <x:c r="Y470" s="21" t="str">
        <x:f>IF(C470="","",IF(AQ470&lt;&gt;"Ready","Unavailable",IF(C470="","",U470-W470+V470-X470+N470+AG470)))</x:f>
      </x:c>
      <x:c r="Z470" s="23" t="str">
        <x:f>IF(C470="","",IF(AQ470&lt;&gt;"Ready","Unavailable",IF(C470="","",(G470+O470+L470)/2*INDEX('Facilities'!$T$9:$T$108,MATCH(C470,'Facilities'!$C$9:$C$108,0))+AG470)))</x:f>
      </x:c>
      <x:c r="AA470" s="23" t="str">
        <x:f>IF(C470="","",IF(AQ470&lt;&gt;"Ready","Unavailable",IF(C470="","",O470*(1-IF(INDEX('Facilities'!$AA$9:$AA$108,MATCH(C470,'Facilities'!$C$9:$C$108,0))=0,0,MIN(1,INDEX('Facilities'!$X$9:$X$108,MATCH(C470,'Facilities'!$C$9:$C$108,0))/INDEX('Facilities'!$AA$9:$AA$108,MATCH(C470,'Facilities'!$C$9:$C$108,0)))))*AF470+P470*(1-IF(INDEX('Facilities'!$AA$9:$AA$108,MATCH(C470,'Facilities'!$C$9:$C$108,0))=0,0,MIN(1,INDEX('Facilities'!$X$9:$X$108,MATCH(C470,'Facilities'!$C$9:$C$108,0))/INDEX('Facilities'!$AA$9:$AA$108,MATCH(C470,'Facilities'!$C$9:$C$108,0)))))*INDEX('Facilities'!$AJ$9:$AJ$108,MATCH(C470,'Facilities'!$C$9:$C$108,0))+Q470*INDEX('Facilities'!$AI$9:$AI$108,MATCH(C470,'Facilities'!$C$9:$C$108,0))*AF470)))</x:f>
      </x:c>
      <x:c r="AB470" s="21" t="str">
        <x:f>IF(C470="","",O470+P470-AD470)</x:f>
      </x:c>
      <x:c r="AC470" s="23" t="str">
        <x:f>IF(C470="","",IFERROR(IF(INDEX('Facilities'!$AD$9:$AD$108,MATCH(C470,'Facilities'!$C$9:$C$108,0))=3,0,IF(INDEX('Facilities'!$AN$9:$AN$108,MATCH(C470,'Facilities'!$C$9:$C$108,0))=0,-1,INDEX('Facilities'!$AN$9:$AN$108,MATCH(C470,'Facilities'!$C$9:$C$108,0)))),"Unavailable"))</x:f>
      </x:c>
      <x:c r="AD470" s="21" t="str">
        <x:f>IF(C470="","",IFERROR(G470+H470,"Unavailable"))</x:f>
      </x:c>
      <x:c r="AE470" s="21" t="str">
        <x:f>IF(C470="","",IF(AQ470&lt;&gt;"Ready","Unavailable",IF(C470="","",O470+P470-AD470-J470+K470+M470+N470)))</x:f>
      </x:c>
      <x:c r="AF470" s="30" t="str">
        <x:f>IF(C470="","",IFERROR(INDEX('Facilities'!$S$9:$S$108,MATCH(C470,'Facilities'!$C$9:$C$108,0))*'Scenario Paths'!J75,"Unavailable"))</x:f>
      </x:c>
      <x:c r="AG470" s="23" t="str">
        <x:f>IF(C470="","",IF(AQ470&lt;&gt;"Ready","Unavailable",IF(C470="","",IF(H470&gt;0,MAX(0,H470-AK470)*((1+INDEX('Facilities'!$K$9:$K$108,MATCH(C470,'Facilities'!$C$9:$C$108,0)))^MIN(1,MAX(0,AC470+INDEX('Facilities'!$AK$9:$AK$108,MATCH(C470,'Facilities'!$C$9:$C$108,0))-D470+1))-1),0))))</x:f>
      </x:c>
      <x:c r="AH470" s="21" t="str">
        <x:f>IF(C470="","",IF(AQ470&lt;&gt;"Ready","Unavailable",IF(C470="","",O470+P470)))</x:f>
      </x:c>
      <x:c r="AI470" s="21" t="str">
        <x:f>IF(C470="","",IF(AQ470&lt;&gt;"Ready","Unavailable",IF(C470="","",Z470-Y470)))</x:f>
      </x:c>
      <x:c r="AJ470" s="23" t="str">
        <x:f>IF(C470="","",IFERROR(MAX(0,INDEX('Facilities'!$J$9:$J$108,MATCH(C470,'Facilities'!$C$9:$C$108,0))-D470),"Unavailable"))</x:f>
      </x:c>
      <x:c r="AK470" s="21" t="str">
        <x:f>IF(C470="","",IFERROR(AL370,"Unavailable"))</x:f>
      </x:c>
      <x:c r="AL470" s="23" t="str">
        <x:f>IF(C470="","",IFERROR(IF(P470&gt;0,P470*(1-AM470/(1+INDEX('Facilities'!$K$9:$K$108,MATCH(C470,'Facilities'!$C$9:$C$108,0)))^MAX(0,AC470+INDEX('Facilities'!$AK$9:$AK$108,MATCH(C470,'Facilities'!$C$9:$C$108,0))-D470)),0),"Unavailable"))</x:f>
      </x:c>
      <x:c r="AM470" s="30" t="str">
        <x:f>IF(C470="","",IFERROR(INDEX('Facilities'!$AL$9:$AL$108,MATCH(C470,'Facilities'!$C$9:$C$108,0)),"Unavailable"))</x:f>
      </x:c>
      <x:c r="AN470" s="30" t="str">
        <x:f>IF(C470="","",IFERROR(INDEX(Credit!$T$409:$T$508,MATCH(F470,Credit!$C$409:$C$508,0)),"Unavailable"))</x:f>
      </x:c>
      <x:c r="AO470" s="23" t="str">
        <x:f>IF(C470="","",IF(AQ470&lt;&gt;"Ready","Unavailable",IF(C470="","",O470+P470+Q470*INDEX('Facilities'!$I$9:$I$108,MATCH(C470,'Facilities'!$C$9:$C$108,0)))))</x:f>
      </x:c>
      <x:c r="AP470" s="21" t="str">
        <x:f>IF(C470="","",IF(AQ470&lt;&gt;"Ready","Unavailable",IF(C470="","",AH470-U470)))</x:f>
      </x:c>
      <x:c r="AQ470" s="23" t="str">
        <x:f>IFERROR(IF(C470="","",IF(AND(INDEX('Facilities'!$AF$9:$AF$108,MATCH(C470,'Facilities'!$C$9:$C$108,0))="Ready",INDEX(Credit!$U$409:$U$508,MATCH(F470,Credit!$C$409:$C$508,0))="Ready",ISNUMBER(W470)),"Ready","Review inputs")),"Review inputs")</x:f>
      </x:c>
      <x:c r="AR470" s="23" t="str">
        <x:f>IF(C470="","",IF(AQ470&lt;&gt;"Ready","Unavailable",IF(C470="","",IF(O470=0,0,(IF(AJ470&lt;=1,O470,O470*INDEX('Facilities'!$R$9:$R$108,MATCH(C470,'Facilities'!$C$9:$C$108,0)))+O470*INDEX('Facilities'!$T$9:$T$108,MATCH(C470,'Facilities'!$C$9:$C$108,0)))/12))))</x:f>
      </x:c>
    </x:row>
    <x:row r="471" ht="26" customHeight="1">
      <x:c r="A471" s="1"/>
      <x:c r="B471" s="1"/>
      <x:c r="C471" s="9" t="str">
        <x:f>IF(Facilities!C71="","",Facilities!C71)</x:f>
      </x:c>
      <x:c r="D471" s="3" t="n">
        <x:v>5</x:v>
      </x:c>
      <x:c r="E471" s="9" t="n">
        <x:f>Settings!$F$18+4</x:f>
        <x:v>2031</x:v>
      </x:c>
      <x:c r="F471" s="9" t="str">
        <x:f>IF(C471="","",IFERROR(INDEX('Facilities'!$D$9:$D$108,MATCH(C471,'Facilities'!$C$9:$C$108,0)),"Unavailable"))</x:f>
      </x:c>
      <x:c r="G471" s="21" t="str">
        <x:f>IF(C471="","",IFERROR(O371,"Unavailable"))</x:f>
      </x:c>
      <x:c r="H471" s="21" t="str">
        <x:f>IF(C471="","",IFERROR(P371,"Unavailable"))</x:f>
      </x:c>
      <x:c r="I471" s="21" t="str">
        <x:f>IF(C471="","",IFERROR(Q371,"Unavailable"))</x:f>
      </x:c>
      <x:c r="J471" s="23" t="str">
        <x:f>IF(C471="","",IFERROR(IF(OR(H471&gt;0,AND(AC471&gt;=0,AC471&lt;D471),D471&gt;INDEX('Facilities'!$J$9:$J$108,MATCH(C471,'Facilities'!$C$9:$C$108,0))),0,I471*'Scenario Paths'!J81),"Unavailable"))</x:f>
      </x:c>
      <x:c r="K471" s="23" t="str">
        <x:f>IF(C471="","",IFERROR(IF(OR(H471&gt;0,AND(AC471&gt;=0,AC471=D471)),0,IF(D471&gt;=INDEX('Facilities'!$J$9:$J$108,MATCH(C471,'Facilities'!$C$9:$C$108,0)),G471+J471,MIN(G471+J471,G471*INDEX('Facilities'!$R$9:$R$108,MATCH(C471,'Facilities'!$C$9:$C$108,0))))),"Unavailable"))</x:f>
      </x:c>
      <x:c r="L471" s="21" t="str">
        <x:f>IF(C471="","",IFERROR(IF(AND(AC471=D471,AC471&gt;0),MAX(0,G471+J471-K471),0),"Unavailable"))</x:f>
      </x:c>
      <x:c r="M471" s="23" t="str">
        <x:f>IF(C471="","",IFERROR(IF(AND(AC471&gt;=0,D471&gt;=AC471+INDEX('Facilities'!$AK$9:$AK$108,MATCH(C471,'Facilities'!$C$9:$C$108,0))),(H471+L471)*AM471,0),"Unavailable"))</x:f>
      </x:c>
      <x:c r="N471" s="23" t="str">
        <x:f>IF(C471="","",IFERROR(IF(AND(AC471&gt;=0,D471&gt;=AC471+INDEX('Facilities'!$AK$9:$AK$108,MATCH(C471,'Facilities'!$C$9:$C$108,0))),H471+L471-M471,0),"Unavailable"))</x:f>
      </x:c>
      <x:c r="O471" s="21" t="str">
        <x:f>IF(C471="","",IFERROR(MAX(0,G471+J471-K471-L471),"Unavailable"))</x:f>
      </x:c>
      <x:c r="P471" s="21" t="str">
        <x:f>IF(C471="","",IFERROR(MAX(0,H471+L471-M471-N471),"Unavailable"))</x:f>
      </x:c>
      <x:c r="Q471" s="23" t="str">
        <x:f>IF(C471="","",IFERROR(IF(OR(D471&gt;=INDEX('Facilities'!$J$9:$J$108,MATCH(C471,'Facilities'!$C$9:$C$108,0)),AND(AC471&gt;=0,AC471&lt;=D471)),0,MAX(0,I471-J471)),"Unavailable"))</x:f>
      </x:c>
      <x:c r="R471" s="30" t="str">
        <x:f>IF(C471="","",IFERROR(INDEX(Credit!$Q$409:$Q$508,MATCH(F471,Credit!$C$409:$C$508,0)),"Unavailable"))</x:f>
      </x:c>
      <x:c r="S471" s="30" t="str">
        <x:f>IF(C471="","",IFERROR(INDEX(Credit!$R$409:$R$508,MATCH(F471,Credit!$C$409:$C$508,0)),"Unavailable"))</x:f>
      </x:c>
      <x:c r="T471" s="23" t="str">
        <x:f>IF(C471="","",IFERROR(IF(P471&gt;0,3,IF(OR(INDEX('Facilities'!$AD$9:$AD$108,MATCH(C471,'Facilities'!$C$9:$C$108,0))=2,AND(R471&gt;=INDEX('Facilities'!$L$9:$L$108,MATCH(C471,'Facilities'!$C$9:$C$108,0))*Settings!$F$19,R471-INDEX('Facilities'!$L$9:$L$108,MATCH(C471,'Facilities'!$C$9:$C$108,0))&gt;=Settings!$F$20)),2,1)),"Unavailable"))</x:f>
      </x:c>
      <x:c r="U471" s="23" t="str">
        <x:f>IF(C471="","",IF(AQ471&lt;&gt;"Ready","Unavailable",IF(C471="","",O471*(1-(1-S471)/(1+INDEX('Facilities'!$K$9:$K$108,MATCH(C471,'Facilities'!$C$9:$C$108,0)))^INDEX('Facilities'!$AK$9:$AK$108,MATCH(C471,'Facilities'!$C$9:$C$108,0)))*R471/(1+INDEX('Facilities'!$K$9:$K$108,MATCH(C471,'Facilities'!$C$9:$C$108,0)))*IF(ABS(1-(1-R471)*(1-INDEX('Facilities'!$R$9:$R$108,MATCH(C471,'Facilities'!$C$9:$C$108,0)))/(1+INDEX('Facilities'!$K$9:$K$108,MATCH(C471,'Facilities'!$C$9:$C$108,0))))&lt;0.000000001,IF(T471=1,MIN(1,AJ471),AJ471),(1-((1-R471)*(1-INDEX('Facilities'!$R$9:$R$108,MATCH(C471,'Facilities'!$C$9:$C$108,0)))/(1+INDEX('Facilities'!$K$9:$K$108,MATCH(C471,'Facilities'!$C$9:$C$108,0))))^IF(T471=1,MIN(1,AJ471),AJ471))/(1-(1-R471)*(1-INDEX('Facilities'!$R$9:$R$108,MATCH(C471,'Facilities'!$C$9:$C$108,0)))/(1+INDEX('Facilities'!$K$9:$K$108,MATCH(C471,'Facilities'!$C$9:$C$108,0)))))+AL471)))</x:f>
      </x:c>
      <x:c r="V471" s="23" t="str">
        <x:f>IF(C471="","",IF(AQ471&lt;&gt;"Ready","Unavailable",IF(C471="","",Q471*INDEX('Facilities'!$I$9:$I$108,MATCH(C471,'Facilities'!$C$9:$C$108,0))*(1-(1-S471)/(1+INDEX('Facilities'!$K$9:$K$108,MATCH(C471,'Facilities'!$C$9:$C$108,0)))^INDEX('Facilities'!$AK$9:$AK$108,MATCH(C471,'Facilities'!$C$9:$C$108,0)))*R471/(1+INDEX('Facilities'!$K$9:$K$108,MATCH(C471,'Facilities'!$C$9:$C$108,0)))*IF(ABS(1-(1-R471)*(1-0)/(1+INDEX('Facilities'!$K$9:$K$108,MATCH(C471,'Facilities'!$C$9:$C$108,0))))&lt;0.000000001,IF(T471=1,MIN(1,AJ471),AJ471),(1-((1-R471)*(1-0)/(1+INDEX('Facilities'!$K$9:$K$108,MATCH(C471,'Facilities'!$C$9:$C$108,0))))^IF(T471=1,MIN(1,AJ471),AJ471))/(1-(1-R471)*(1-0)/(1+INDEX('Facilities'!$K$9:$K$108,MATCH(C471,'Facilities'!$C$9:$C$108,0))))))))</x:f>
      </x:c>
      <x:c r="W471" s="21" t="str">
        <x:f>IF(C471="","",IFERROR(U371,"Unavailable"))</x:f>
      </x:c>
      <x:c r="X471" s="21" t="str">
        <x:f>IF(C471="","",IFERROR(V371,"Unavailable"))</x:f>
      </x:c>
      <x:c r="Y471" s="21" t="str">
        <x:f>IF(C471="","",IF(AQ471&lt;&gt;"Ready","Unavailable",IF(C471="","",U471-W471+V471-X471+N471+AG471)))</x:f>
      </x:c>
      <x:c r="Z471" s="23" t="str">
        <x:f>IF(C471="","",IF(AQ471&lt;&gt;"Ready","Unavailable",IF(C471="","",(G471+O471+L471)/2*INDEX('Facilities'!$T$9:$T$108,MATCH(C471,'Facilities'!$C$9:$C$108,0))+AG471)))</x:f>
      </x:c>
      <x:c r="AA471" s="23" t="str">
        <x:f>IF(C471="","",IF(AQ471&lt;&gt;"Ready","Unavailable",IF(C471="","",O471*(1-IF(INDEX('Facilities'!$AA$9:$AA$108,MATCH(C471,'Facilities'!$C$9:$C$108,0))=0,0,MIN(1,INDEX('Facilities'!$X$9:$X$108,MATCH(C471,'Facilities'!$C$9:$C$108,0))/INDEX('Facilities'!$AA$9:$AA$108,MATCH(C471,'Facilities'!$C$9:$C$108,0)))))*AF471+P471*(1-IF(INDEX('Facilities'!$AA$9:$AA$108,MATCH(C471,'Facilities'!$C$9:$C$108,0))=0,0,MIN(1,INDEX('Facilities'!$X$9:$X$108,MATCH(C471,'Facilities'!$C$9:$C$108,0))/INDEX('Facilities'!$AA$9:$AA$108,MATCH(C471,'Facilities'!$C$9:$C$108,0)))))*INDEX('Facilities'!$AJ$9:$AJ$108,MATCH(C471,'Facilities'!$C$9:$C$108,0))+Q471*INDEX('Facilities'!$AI$9:$AI$108,MATCH(C471,'Facilities'!$C$9:$C$108,0))*AF471)))</x:f>
      </x:c>
      <x:c r="AB471" s="21" t="str">
        <x:f>IF(C471="","",O471+P471-AD471)</x:f>
      </x:c>
      <x:c r="AC471" s="23" t="str">
        <x:f>IF(C471="","",IFERROR(IF(INDEX('Facilities'!$AD$9:$AD$108,MATCH(C471,'Facilities'!$C$9:$C$108,0))=3,0,IF(INDEX('Facilities'!$AN$9:$AN$108,MATCH(C471,'Facilities'!$C$9:$C$108,0))=0,-1,INDEX('Facilities'!$AN$9:$AN$108,MATCH(C471,'Facilities'!$C$9:$C$108,0)))),"Unavailable"))</x:f>
      </x:c>
      <x:c r="AD471" s="21" t="str">
        <x:f>IF(C471="","",IFERROR(G471+H471,"Unavailable"))</x:f>
      </x:c>
      <x:c r="AE471" s="21" t="str">
        <x:f>IF(C471="","",IF(AQ471&lt;&gt;"Ready","Unavailable",IF(C471="","",O471+P471-AD471-J471+K471+M471+N471)))</x:f>
      </x:c>
      <x:c r="AF471" s="30" t="str">
        <x:f>IF(C471="","",IFERROR(INDEX('Facilities'!$S$9:$S$108,MATCH(C471,'Facilities'!$C$9:$C$108,0))*'Scenario Paths'!J75,"Unavailable"))</x:f>
      </x:c>
      <x:c r="AG471" s="23" t="str">
        <x:f>IF(C471="","",IF(AQ471&lt;&gt;"Ready","Unavailable",IF(C471="","",IF(H471&gt;0,MAX(0,H471-AK471)*((1+INDEX('Facilities'!$K$9:$K$108,MATCH(C471,'Facilities'!$C$9:$C$108,0)))^MIN(1,MAX(0,AC471+INDEX('Facilities'!$AK$9:$AK$108,MATCH(C471,'Facilities'!$C$9:$C$108,0))-D471+1))-1),0))))</x:f>
      </x:c>
      <x:c r="AH471" s="21" t="str">
        <x:f>IF(C471="","",IF(AQ471&lt;&gt;"Ready","Unavailable",IF(C471="","",O471+P471)))</x:f>
      </x:c>
      <x:c r="AI471" s="21" t="str">
        <x:f>IF(C471="","",IF(AQ471&lt;&gt;"Ready","Unavailable",IF(C471="","",Z471-Y471)))</x:f>
      </x:c>
      <x:c r="AJ471" s="23" t="str">
        <x:f>IF(C471="","",IFERROR(MAX(0,INDEX('Facilities'!$J$9:$J$108,MATCH(C471,'Facilities'!$C$9:$C$108,0))-D471),"Unavailable"))</x:f>
      </x:c>
      <x:c r="AK471" s="21" t="str">
        <x:f>IF(C471="","",IFERROR(AL371,"Unavailable"))</x:f>
      </x:c>
      <x:c r="AL471" s="23" t="str">
        <x:f>IF(C471="","",IFERROR(IF(P471&gt;0,P471*(1-AM471/(1+INDEX('Facilities'!$K$9:$K$108,MATCH(C471,'Facilities'!$C$9:$C$108,0)))^MAX(0,AC471+INDEX('Facilities'!$AK$9:$AK$108,MATCH(C471,'Facilities'!$C$9:$C$108,0))-D471)),0),"Unavailable"))</x:f>
      </x:c>
      <x:c r="AM471" s="30" t="str">
        <x:f>IF(C471="","",IFERROR(INDEX('Facilities'!$AL$9:$AL$108,MATCH(C471,'Facilities'!$C$9:$C$108,0)),"Unavailable"))</x:f>
      </x:c>
      <x:c r="AN471" s="30" t="str">
        <x:f>IF(C471="","",IFERROR(INDEX(Credit!$T$409:$T$508,MATCH(F471,Credit!$C$409:$C$508,0)),"Unavailable"))</x:f>
      </x:c>
      <x:c r="AO471" s="23" t="str">
        <x:f>IF(C471="","",IF(AQ471&lt;&gt;"Ready","Unavailable",IF(C471="","",O471+P471+Q471*INDEX('Facilities'!$I$9:$I$108,MATCH(C471,'Facilities'!$C$9:$C$108,0)))))</x:f>
      </x:c>
      <x:c r="AP471" s="21" t="str">
        <x:f>IF(C471="","",IF(AQ471&lt;&gt;"Ready","Unavailable",IF(C471="","",AH471-U471)))</x:f>
      </x:c>
      <x:c r="AQ471" s="23" t="str">
        <x:f>IFERROR(IF(C471="","",IF(AND(INDEX('Facilities'!$AF$9:$AF$108,MATCH(C471,'Facilities'!$C$9:$C$108,0))="Ready",INDEX(Credit!$U$409:$U$508,MATCH(F471,Credit!$C$409:$C$508,0))="Ready",ISNUMBER(W471)),"Ready","Review inputs")),"Review inputs")</x:f>
      </x:c>
      <x:c r="AR471" s="23" t="str">
        <x:f>IF(C471="","",IF(AQ471&lt;&gt;"Ready","Unavailable",IF(C471="","",IF(O471=0,0,(IF(AJ471&lt;=1,O471,O471*INDEX('Facilities'!$R$9:$R$108,MATCH(C471,'Facilities'!$C$9:$C$108,0)))+O471*INDEX('Facilities'!$T$9:$T$108,MATCH(C471,'Facilities'!$C$9:$C$108,0)))/12))))</x:f>
      </x:c>
    </x:row>
    <x:row r="472" ht="26" customHeight="1">
      <x:c r="A472" s="1"/>
      <x:c r="B472" s="1"/>
      <x:c r="C472" s="9" t="str">
        <x:f>IF(Facilities!C72="","",Facilities!C72)</x:f>
      </x:c>
      <x:c r="D472" s="3" t="n">
        <x:v>5</x:v>
      </x:c>
      <x:c r="E472" s="9" t="n">
        <x:f>Settings!$F$18+4</x:f>
        <x:v>2031</x:v>
      </x:c>
      <x:c r="F472" s="9" t="str">
        <x:f>IF(C472="","",IFERROR(INDEX('Facilities'!$D$9:$D$108,MATCH(C472,'Facilities'!$C$9:$C$108,0)),"Unavailable"))</x:f>
      </x:c>
      <x:c r="G472" s="21" t="str">
        <x:f>IF(C472="","",IFERROR(O372,"Unavailable"))</x:f>
      </x:c>
      <x:c r="H472" s="21" t="str">
        <x:f>IF(C472="","",IFERROR(P372,"Unavailable"))</x:f>
      </x:c>
      <x:c r="I472" s="21" t="str">
        <x:f>IF(C472="","",IFERROR(Q372,"Unavailable"))</x:f>
      </x:c>
      <x:c r="J472" s="23" t="str">
        <x:f>IF(C472="","",IFERROR(IF(OR(H472&gt;0,AND(AC472&gt;=0,AC472&lt;D472),D472&gt;INDEX('Facilities'!$J$9:$J$108,MATCH(C472,'Facilities'!$C$9:$C$108,0))),0,I472*'Scenario Paths'!J81),"Unavailable"))</x:f>
      </x:c>
      <x:c r="K472" s="23" t="str">
        <x:f>IF(C472="","",IFERROR(IF(OR(H472&gt;0,AND(AC472&gt;=0,AC472=D472)),0,IF(D472&gt;=INDEX('Facilities'!$J$9:$J$108,MATCH(C472,'Facilities'!$C$9:$C$108,0)),G472+J472,MIN(G472+J472,G472*INDEX('Facilities'!$R$9:$R$108,MATCH(C472,'Facilities'!$C$9:$C$108,0))))),"Unavailable"))</x:f>
      </x:c>
      <x:c r="L472" s="21" t="str">
        <x:f>IF(C472="","",IFERROR(IF(AND(AC472=D472,AC472&gt;0),MAX(0,G472+J472-K472),0),"Unavailable"))</x:f>
      </x:c>
      <x:c r="M472" s="23" t="str">
        <x:f>IF(C472="","",IFERROR(IF(AND(AC472&gt;=0,D472&gt;=AC472+INDEX('Facilities'!$AK$9:$AK$108,MATCH(C472,'Facilities'!$C$9:$C$108,0))),(H472+L472)*AM472,0),"Unavailable"))</x:f>
      </x:c>
      <x:c r="N472" s="23" t="str">
        <x:f>IF(C472="","",IFERROR(IF(AND(AC472&gt;=0,D472&gt;=AC472+INDEX('Facilities'!$AK$9:$AK$108,MATCH(C472,'Facilities'!$C$9:$C$108,0))),H472+L472-M472,0),"Unavailable"))</x:f>
      </x:c>
      <x:c r="O472" s="21" t="str">
        <x:f>IF(C472="","",IFERROR(MAX(0,G472+J472-K472-L472),"Unavailable"))</x:f>
      </x:c>
      <x:c r="P472" s="21" t="str">
        <x:f>IF(C472="","",IFERROR(MAX(0,H472+L472-M472-N472),"Unavailable"))</x:f>
      </x:c>
      <x:c r="Q472" s="23" t="str">
        <x:f>IF(C472="","",IFERROR(IF(OR(D472&gt;=INDEX('Facilities'!$J$9:$J$108,MATCH(C472,'Facilities'!$C$9:$C$108,0)),AND(AC472&gt;=0,AC472&lt;=D472)),0,MAX(0,I472-J472)),"Unavailable"))</x:f>
      </x:c>
      <x:c r="R472" s="30" t="str">
        <x:f>IF(C472="","",IFERROR(INDEX(Credit!$Q$409:$Q$508,MATCH(F472,Credit!$C$409:$C$508,0)),"Unavailable"))</x:f>
      </x:c>
      <x:c r="S472" s="30" t="str">
        <x:f>IF(C472="","",IFERROR(INDEX(Credit!$R$409:$R$508,MATCH(F472,Credit!$C$409:$C$508,0)),"Unavailable"))</x:f>
      </x:c>
      <x:c r="T472" s="23" t="str">
        <x:f>IF(C472="","",IFERROR(IF(P472&gt;0,3,IF(OR(INDEX('Facilities'!$AD$9:$AD$108,MATCH(C472,'Facilities'!$C$9:$C$108,0))=2,AND(R472&gt;=INDEX('Facilities'!$L$9:$L$108,MATCH(C472,'Facilities'!$C$9:$C$108,0))*Settings!$F$19,R472-INDEX('Facilities'!$L$9:$L$108,MATCH(C472,'Facilities'!$C$9:$C$108,0))&gt;=Settings!$F$20)),2,1)),"Unavailable"))</x:f>
      </x:c>
      <x:c r="U472" s="23" t="str">
        <x:f>IF(C472="","",IF(AQ472&lt;&gt;"Ready","Unavailable",IF(C472="","",O472*(1-(1-S472)/(1+INDEX('Facilities'!$K$9:$K$108,MATCH(C472,'Facilities'!$C$9:$C$108,0)))^INDEX('Facilities'!$AK$9:$AK$108,MATCH(C472,'Facilities'!$C$9:$C$108,0)))*R472/(1+INDEX('Facilities'!$K$9:$K$108,MATCH(C472,'Facilities'!$C$9:$C$108,0)))*IF(ABS(1-(1-R472)*(1-INDEX('Facilities'!$R$9:$R$108,MATCH(C472,'Facilities'!$C$9:$C$108,0)))/(1+INDEX('Facilities'!$K$9:$K$108,MATCH(C472,'Facilities'!$C$9:$C$108,0))))&lt;0.000000001,IF(T472=1,MIN(1,AJ472),AJ472),(1-((1-R472)*(1-INDEX('Facilities'!$R$9:$R$108,MATCH(C472,'Facilities'!$C$9:$C$108,0)))/(1+INDEX('Facilities'!$K$9:$K$108,MATCH(C472,'Facilities'!$C$9:$C$108,0))))^IF(T472=1,MIN(1,AJ472),AJ472))/(1-(1-R472)*(1-INDEX('Facilities'!$R$9:$R$108,MATCH(C472,'Facilities'!$C$9:$C$108,0)))/(1+INDEX('Facilities'!$K$9:$K$108,MATCH(C472,'Facilities'!$C$9:$C$108,0)))))+AL472)))</x:f>
      </x:c>
      <x:c r="V472" s="23" t="str">
        <x:f>IF(C472="","",IF(AQ472&lt;&gt;"Ready","Unavailable",IF(C472="","",Q472*INDEX('Facilities'!$I$9:$I$108,MATCH(C472,'Facilities'!$C$9:$C$108,0))*(1-(1-S472)/(1+INDEX('Facilities'!$K$9:$K$108,MATCH(C472,'Facilities'!$C$9:$C$108,0)))^INDEX('Facilities'!$AK$9:$AK$108,MATCH(C472,'Facilities'!$C$9:$C$108,0)))*R472/(1+INDEX('Facilities'!$K$9:$K$108,MATCH(C472,'Facilities'!$C$9:$C$108,0)))*IF(ABS(1-(1-R472)*(1-0)/(1+INDEX('Facilities'!$K$9:$K$108,MATCH(C472,'Facilities'!$C$9:$C$108,0))))&lt;0.000000001,IF(T472=1,MIN(1,AJ472),AJ472),(1-((1-R472)*(1-0)/(1+INDEX('Facilities'!$K$9:$K$108,MATCH(C472,'Facilities'!$C$9:$C$108,0))))^IF(T472=1,MIN(1,AJ472),AJ472))/(1-(1-R472)*(1-0)/(1+INDEX('Facilities'!$K$9:$K$108,MATCH(C472,'Facilities'!$C$9:$C$108,0))))))))</x:f>
      </x:c>
      <x:c r="W472" s="21" t="str">
        <x:f>IF(C472="","",IFERROR(U372,"Unavailable"))</x:f>
      </x:c>
      <x:c r="X472" s="21" t="str">
        <x:f>IF(C472="","",IFERROR(V372,"Unavailable"))</x:f>
      </x:c>
      <x:c r="Y472" s="21" t="str">
        <x:f>IF(C472="","",IF(AQ472&lt;&gt;"Ready","Unavailable",IF(C472="","",U472-W472+V472-X472+N472+AG472)))</x:f>
      </x:c>
      <x:c r="Z472" s="23" t="str">
        <x:f>IF(C472="","",IF(AQ472&lt;&gt;"Ready","Unavailable",IF(C472="","",(G472+O472+L472)/2*INDEX('Facilities'!$T$9:$T$108,MATCH(C472,'Facilities'!$C$9:$C$108,0))+AG472)))</x:f>
      </x:c>
      <x:c r="AA472" s="23" t="str">
        <x:f>IF(C472="","",IF(AQ472&lt;&gt;"Ready","Unavailable",IF(C472="","",O472*(1-IF(INDEX('Facilities'!$AA$9:$AA$108,MATCH(C472,'Facilities'!$C$9:$C$108,0))=0,0,MIN(1,INDEX('Facilities'!$X$9:$X$108,MATCH(C472,'Facilities'!$C$9:$C$108,0))/INDEX('Facilities'!$AA$9:$AA$108,MATCH(C472,'Facilities'!$C$9:$C$108,0)))))*AF472+P472*(1-IF(INDEX('Facilities'!$AA$9:$AA$108,MATCH(C472,'Facilities'!$C$9:$C$108,0))=0,0,MIN(1,INDEX('Facilities'!$X$9:$X$108,MATCH(C472,'Facilities'!$C$9:$C$108,0))/INDEX('Facilities'!$AA$9:$AA$108,MATCH(C472,'Facilities'!$C$9:$C$108,0)))))*INDEX('Facilities'!$AJ$9:$AJ$108,MATCH(C472,'Facilities'!$C$9:$C$108,0))+Q472*INDEX('Facilities'!$AI$9:$AI$108,MATCH(C472,'Facilities'!$C$9:$C$108,0))*AF472)))</x:f>
      </x:c>
      <x:c r="AB472" s="21" t="str">
        <x:f>IF(C472="","",O472+P472-AD472)</x:f>
      </x:c>
      <x:c r="AC472" s="23" t="str">
        <x:f>IF(C472="","",IFERROR(IF(INDEX('Facilities'!$AD$9:$AD$108,MATCH(C472,'Facilities'!$C$9:$C$108,0))=3,0,IF(INDEX('Facilities'!$AN$9:$AN$108,MATCH(C472,'Facilities'!$C$9:$C$108,0))=0,-1,INDEX('Facilities'!$AN$9:$AN$108,MATCH(C472,'Facilities'!$C$9:$C$108,0)))),"Unavailable"))</x:f>
      </x:c>
      <x:c r="AD472" s="21" t="str">
        <x:f>IF(C472="","",IFERROR(G472+H472,"Unavailable"))</x:f>
      </x:c>
      <x:c r="AE472" s="21" t="str">
        <x:f>IF(C472="","",IF(AQ472&lt;&gt;"Ready","Unavailable",IF(C472="","",O472+P472-AD472-J472+K472+M472+N472)))</x:f>
      </x:c>
      <x:c r="AF472" s="30" t="str">
        <x:f>IF(C472="","",IFERROR(INDEX('Facilities'!$S$9:$S$108,MATCH(C472,'Facilities'!$C$9:$C$108,0))*'Scenario Paths'!J75,"Unavailable"))</x:f>
      </x:c>
      <x:c r="AG472" s="23" t="str">
        <x:f>IF(C472="","",IF(AQ472&lt;&gt;"Ready","Unavailable",IF(C472="","",IF(H472&gt;0,MAX(0,H472-AK472)*((1+INDEX('Facilities'!$K$9:$K$108,MATCH(C472,'Facilities'!$C$9:$C$108,0)))^MIN(1,MAX(0,AC472+INDEX('Facilities'!$AK$9:$AK$108,MATCH(C472,'Facilities'!$C$9:$C$108,0))-D472+1))-1),0))))</x:f>
      </x:c>
      <x:c r="AH472" s="21" t="str">
        <x:f>IF(C472="","",IF(AQ472&lt;&gt;"Ready","Unavailable",IF(C472="","",O472+P472)))</x:f>
      </x:c>
      <x:c r="AI472" s="21" t="str">
        <x:f>IF(C472="","",IF(AQ472&lt;&gt;"Ready","Unavailable",IF(C472="","",Z472-Y472)))</x:f>
      </x:c>
      <x:c r="AJ472" s="23" t="str">
        <x:f>IF(C472="","",IFERROR(MAX(0,INDEX('Facilities'!$J$9:$J$108,MATCH(C472,'Facilities'!$C$9:$C$108,0))-D472),"Unavailable"))</x:f>
      </x:c>
      <x:c r="AK472" s="21" t="str">
        <x:f>IF(C472="","",IFERROR(AL372,"Unavailable"))</x:f>
      </x:c>
      <x:c r="AL472" s="23" t="str">
        <x:f>IF(C472="","",IFERROR(IF(P472&gt;0,P472*(1-AM472/(1+INDEX('Facilities'!$K$9:$K$108,MATCH(C472,'Facilities'!$C$9:$C$108,0)))^MAX(0,AC472+INDEX('Facilities'!$AK$9:$AK$108,MATCH(C472,'Facilities'!$C$9:$C$108,0))-D472)),0),"Unavailable"))</x:f>
      </x:c>
      <x:c r="AM472" s="30" t="str">
        <x:f>IF(C472="","",IFERROR(INDEX('Facilities'!$AL$9:$AL$108,MATCH(C472,'Facilities'!$C$9:$C$108,0)),"Unavailable"))</x:f>
      </x:c>
      <x:c r="AN472" s="30" t="str">
        <x:f>IF(C472="","",IFERROR(INDEX(Credit!$T$409:$T$508,MATCH(F472,Credit!$C$409:$C$508,0)),"Unavailable"))</x:f>
      </x:c>
      <x:c r="AO472" s="23" t="str">
        <x:f>IF(C472="","",IF(AQ472&lt;&gt;"Ready","Unavailable",IF(C472="","",O472+P472+Q472*INDEX('Facilities'!$I$9:$I$108,MATCH(C472,'Facilities'!$C$9:$C$108,0)))))</x:f>
      </x:c>
      <x:c r="AP472" s="21" t="str">
        <x:f>IF(C472="","",IF(AQ472&lt;&gt;"Ready","Unavailable",IF(C472="","",AH472-U472)))</x:f>
      </x:c>
      <x:c r="AQ472" s="23" t="str">
        <x:f>IFERROR(IF(C472="","",IF(AND(INDEX('Facilities'!$AF$9:$AF$108,MATCH(C472,'Facilities'!$C$9:$C$108,0))="Ready",INDEX(Credit!$U$409:$U$508,MATCH(F472,Credit!$C$409:$C$508,0))="Ready",ISNUMBER(W472)),"Ready","Review inputs")),"Review inputs")</x:f>
      </x:c>
      <x:c r="AR472" s="23" t="str">
        <x:f>IF(C472="","",IF(AQ472&lt;&gt;"Ready","Unavailable",IF(C472="","",IF(O472=0,0,(IF(AJ472&lt;=1,O472,O472*INDEX('Facilities'!$R$9:$R$108,MATCH(C472,'Facilities'!$C$9:$C$108,0)))+O472*INDEX('Facilities'!$T$9:$T$108,MATCH(C472,'Facilities'!$C$9:$C$108,0)))/12))))</x:f>
      </x:c>
    </x:row>
    <x:row r="473" ht="26" customHeight="1">
      <x:c r="A473" s="1"/>
      <x:c r="B473" s="1"/>
      <x:c r="C473" s="9" t="str">
        <x:f>IF(Facilities!C73="","",Facilities!C73)</x:f>
      </x:c>
      <x:c r="D473" s="3" t="n">
        <x:v>5</x:v>
      </x:c>
      <x:c r="E473" s="9" t="n">
        <x:f>Settings!$F$18+4</x:f>
        <x:v>2031</x:v>
      </x:c>
      <x:c r="F473" s="9" t="str">
        <x:f>IF(C473="","",IFERROR(INDEX('Facilities'!$D$9:$D$108,MATCH(C473,'Facilities'!$C$9:$C$108,0)),"Unavailable"))</x:f>
      </x:c>
      <x:c r="G473" s="21" t="str">
        <x:f>IF(C473="","",IFERROR(O373,"Unavailable"))</x:f>
      </x:c>
      <x:c r="H473" s="21" t="str">
        <x:f>IF(C473="","",IFERROR(P373,"Unavailable"))</x:f>
      </x:c>
      <x:c r="I473" s="21" t="str">
        <x:f>IF(C473="","",IFERROR(Q373,"Unavailable"))</x:f>
      </x:c>
      <x:c r="J473" s="23" t="str">
        <x:f>IF(C473="","",IFERROR(IF(OR(H473&gt;0,AND(AC473&gt;=0,AC473&lt;D473),D473&gt;INDEX('Facilities'!$J$9:$J$108,MATCH(C473,'Facilities'!$C$9:$C$108,0))),0,I473*'Scenario Paths'!J81),"Unavailable"))</x:f>
      </x:c>
      <x:c r="K473" s="23" t="str">
        <x:f>IF(C473="","",IFERROR(IF(OR(H473&gt;0,AND(AC473&gt;=0,AC473=D473)),0,IF(D473&gt;=INDEX('Facilities'!$J$9:$J$108,MATCH(C473,'Facilities'!$C$9:$C$108,0)),G473+J473,MIN(G473+J473,G473*INDEX('Facilities'!$R$9:$R$108,MATCH(C473,'Facilities'!$C$9:$C$108,0))))),"Unavailable"))</x:f>
      </x:c>
      <x:c r="L473" s="21" t="str">
        <x:f>IF(C473="","",IFERROR(IF(AND(AC473=D473,AC473&gt;0),MAX(0,G473+J473-K473),0),"Unavailable"))</x:f>
      </x:c>
      <x:c r="M473" s="23" t="str">
        <x:f>IF(C473="","",IFERROR(IF(AND(AC473&gt;=0,D473&gt;=AC473+INDEX('Facilities'!$AK$9:$AK$108,MATCH(C473,'Facilities'!$C$9:$C$108,0))),(H473+L473)*AM473,0),"Unavailable"))</x:f>
      </x:c>
      <x:c r="N473" s="23" t="str">
        <x:f>IF(C473="","",IFERROR(IF(AND(AC473&gt;=0,D473&gt;=AC473+INDEX('Facilities'!$AK$9:$AK$108,MATCH(C473,'Facilities'!$C$9:$C$108,0))),H473+L473-M473,0),"Unavailable"))</x:f>
      </x:c>
      <x:c r="O473" s="21" t="str">
        <x:f>IF(C473="","",IFERROR(MAX(0,G473+J473-K473-L473),"Unavailable"))</x:f>
      </x:c>
      <x:c r="P473" s="21" t="str">
        <x:f>IF(C473="","",IFERROR(MAX(0,H473+L473-M473-N473),"Unavailable"))</x:f>
      </x:c>
      <x:c r="Q473" s="23" t="str">
        <x:f>IF(C473="","",IFERROR(IF(OR(D473&gt;=INDEX('Facilities'!$J$9:$J$108,MATCH(C473,'Facilities'!$C$9:$C$108,0)),AND(AC473&gt;=0,AC473&lt;=D473)),0,MAX(0,I473-J473)),"Unavailable"))</x:f>
      </x:c>
      <x:c r="R473" s="30" t="str">
        <x:f>IF(C473="","",IFERROR(INDEX(Credit!$Q$409:$Q$508,MATCH(F473,Credit!$C$409:$C$508,0)),"Unavailable"))</x:f>
      </x:c>
      <x:c r="S473" s="30" t="str">
        <x:f>IF(C473="","",IFERROR(INDEX(Credit!$R$409:$R$508,MATCH(F473,Credit!$C$409:$C$508,0)),"Unavailable"))</x:f>
      </x:c>
      <x:c r="T473" s="23" t="str">
        <x:f>IF(C473="","",IFERROR(IF(P473&gt;0,3,IF(OR(INDEX('Facilities'!$AD$9:$AD$108,MATCH(C473,'Facilities'!$C$9:$C$108,0))=2,AND(R473&gt;=INDEX('Facilities'!$L$9:$L$108,MATCH(C473,'Facilities'!$C$9:$C$108,0))*Settings!$F$19,R473-INDEX('Facilities'!$L$9:$L$108,MATCH(C473,'Facilities'!$C$9:$C$108,0))&gt;=Settings!$F$20)),2,1)),"Unavailable"))</x:f>
      </x:c>
      <x:c r="U473" s="23" t="str">
        <x:f>IF(C473="","",IF(AQ473&lt;&gt;"Ready","Unavailable",IF(C473="","",O473*(1-(1-S473)/(1+INDEX('Facilities'!$K$9:$K$108,MATCH(C473,'Facilities'!$C$9:$C$108,0)))^INDEX('Facilities'!$AK$9:$AK$108,MATCH(C473,'Facilities'!$C$9:$C$108,0)))*R473/(1+INDEX('Facilities'!$K$9:$K$108,MATCH(C473,'Facilities'!$C$9:$C$108,0)))*IF(ABS(1-(1-R473)*(1-INDEX('Facilities'!$R$9:$R$108,MATCH(C473,'Facilities'!$C$9:$C$108,0)))/(1+INDEX('Facilities'!$K$9:$K$108,MATCH(C473,'Facilities'!$C$9:$C$108,0))))&lt;0.000000001,IF(T473=1,MIN(1,AJ473),AJ473),(1-((1-R473)*(1-INDEX('Facilities'!$R$9:$R$108,MATCH(C473,'Facilities'!$C$9:$C$108,0)))/(1+INDEX('Facilities'!$K$9:$K$108,MATCH(C473,'Facilities'!$C$9:$C$108,0))))^IF(T473=1,MIN(1,AJ473),AJ473))/(1-(1-R473)*(1-INDEX('Facilities'!$R$9:$R$108,MATCH(C473,'Facilities'!$C$9:$C$108,0)))/(1+INDEX('Facilities'!$K$9:$K$108,MATCH(C473,'Facilities'!$C$9:$C$108,0)))))+AL473)))</x:f>
      </x:c>
      <x:c r="V473" s="23" t="str">
        <x:f>IF(C473="","",IF(AQ473&lt;&gt;"Ready","Unavailable",IF(C473="","",Q473*INDEX('Facilities'!$I$9:$I$108,MATCH(C473,'Facilities'!$C$9:$C$108,0))*(1-(1-S473)/(1+INDEX('Facilities'!$K$9:$K$108,MATCH(C473,'Facilities'!$C$9:$C$108,0)))^INDEX('Facilities'!$AK$9:$AK$108,MATCH(C473,'Facilities'!$C$9:$C$108,0)))*R473/(1+INDEX('Facilities'!$K$9:$K$108,MATCH(C473,'Facilities'!$C$9:$C$108,0)))*IF(ABS(1-(1-R473)*(1-0)/(1+INDEX('Facilities'!$K$9:$K$108,MATCH(C473,'Facilities'!$C$9:$C$108,0))))&lt;0.000000001,IF(T473=1,MIN(1,AJ473),AJ473),(1-((1-R473)*(1-0)/(1+INDEX('Facilities'!$K$9:$K$108,MATCH(C473,'Facilities'!$C$9:$C$108,0))))^IF(T473=1,MIN(1,AJ473),AJ473))/(1-(1-R473)*(1-0)/(1+INDEX('Facilities'!$K$9:$K$108,MATCH(C473,'Facilities'!$C$9:$C$108,0))))))))</x:f>
      </x:c>
      <x:c r="W473" s="21" t="str">
        <x:f>IF(C473="","",IFERROR(U373,"Unavailable"))</x:f>
      </x:c>
      <x:c r="X473" s="21" t="str">
        <x:f>IF(C473="","",IFERROR(V373,"Unavailable"))</x:f>
      </x:c>
      <x:c r="Y473" s="21" t="str">
        <x:f>IF(C473="","",IF(AQ473&lt;&gt;"Ready","Unavailable",IF(C473="","",U473-W473+V473-X473+N473+AG473)))</x:f>
      </x:c>
      <x:c r="Z473" s="23" t="str">
        <x:f>IF(C473="","",IF(AQ473&lt;&gt;"Ready","Unavailable",IF(C473="","",(G473+O473+L473)/2*INDEX('Facilities'!$T$9:$T$108,MATCH(C473,'Facilities'!$C$9:$C$108,0))+AG473)))</x:f>
      </x:c>
      <x:c r="AA473" s="23" t="str">
        <x:f>IF(C473="","",IF(AQ473&lt;&gt;"Ready","Unavailable",IF(C473="","",O473*(1-IF(INDEX('Facilities'!$AA$9:$AA$108,MATCH(C473,'Facilities'!$C$9:$C$108,0))=0,0,MIN(1,INDEX('Facilities'!$X$9:$X$108,MATCH(C473,'Facilities'!$C$9:$C$108,0))/INDEX('Facilities'!$AA$9:$AA$108,MATCH(C473,'Facilities'!$C$9:$C$108,0)))))*AF473+P473*(1-IF(INDEX('Facilities'!$AA$9:$AA$108,MATCH(C473,'Facilities'!$C$9:$C$108,0))=0,0,MIN(1,INDEX('Facilities'!$X$9:$X$108,MATCH(C473,'Facilities'!$C$9:$C$108,0))/INDEX('Facilities'!$AA$9:$AA$108,MATCH(C473,'Facilities'!$C$9:$C$108,0)))))*INDEX('Facilities'!$AJ$9:$AJ$108,MATCH(C473,'Facilities'!$C$9:$C$108,0))+Q473*INDEX('Facilities'!$AI$9:$AI$108,MATCH(C473,'Facilities'!$C$9:$C$108,0))*AF473)))</x:f>
      </x:c>
      <x:c r="AB473" s="21" t="str">
        <x:f>IF(C473="","",O473+P473-AD473)</x:f>
      </x:c>
      <x:c r="AC473" s="23" t="str">
        <x:f>IF(C473="","",IFERROR(IF(INDEX('Facilities'!$AD$9:$AD$108,MATCH(C473,'Facilities'!$C$9:$C$108,0))=3,0,IF(INDEX('Facilities'!$AN$9:$AN$108,MATCH(C473,'Facilities'!$C$9:$C$108,0))=0,-1,INDEX('Facilities'!$AN$9:$AN$108,MATCH(C473,'Facilities'!$C$9:$C$108,0)))),"Unavailable"))</x:f>
      </x:c>
      <x:c r="AD473" s="21" t="str">
        <x:f>IF(C473="","",IFERROR(G473+H473,"Unavailable"))</x:f>
      </x:c>
      <x:c r="AE473" s="21" t="str">
        <x:f>IF(C473="","",IF(AQ473&lt;&gt;"Ready","Unavailable",IF(C473="","",O473+P473-AD473-J473+K473+M473+N473)))</x:f>
      </x:c>
      <x:c r="AF473" s="30" t="str">
        <x:f>IF(C473="","",IFERROR(INDEX('Facilities'!$S$9:$S$108,MATCH(C473,'Facilities'!$C$9:$C$108,0))*'Scenario Paths'!J75,"Unavailable"))</x:f>
      </x:c>
      <x:c r="AG473" s="23" t="str">
        <x:f>IF(C473="","",IF(AQ473&lt;&gt;"Ready","Unavailable",IF(C473="","",IF(H473&gt;0,MAX(0,H473-AK473)*((1+INDEX('Facilities'!$K$9:$K$108,MATCH(C473,'Facilities'!$C$9:$C$108,0)))^MIN(1,MAX(0,AC473+INDEX('Facilities'!$AK$9:$AK$108,MATCH(C473,'Facilities'!$C$9:$C$108,0))-D473+1))-1),0))))</x:f>
      </x:c>
      <x:c r="AH473" s="21" t="str">
        <x:f>IF(C473="","",IF(AQ473&lt;&gt;"Ready","Unavailable",IF(C473="","",O473+P473)))</x:f>
      </x:c>
      <x:c r="AI473" s="21" t="str">
        <x:f>IF(C473="","",IF(AQ473&lt;&gt;"Ready","Unavailable",IF(C473="","",Z473-Y473)))</x:f>
      </x:c>
      <x:c r="AJ473" s="23" t="str">
        <x:f>IF(C473="","",IFERROR(MAX(0,INDEX('Facilities'!$J$9:$J$108,MATCH(C473,'Facilities'!$C$9:$C$108,0))-D473),"Unavailable"))</x:f>
      </x:c>
      <x:c r="AK473" s="21" t="str">
        <x:f>IF(C473="","",IFERROR(AL373,"Unavailable"))</x:f>
      </x:c>
      <x:c r="AL473" s="23" t="str">
        <x:f>IF(C473="","",IFERROR(IF(P473&gt;0,P473*(1-AM473/(1+INDEX('Facilities'!$K$9:$K$108,MATCH(C473,'Facilities'!$C$9:$C$108,0)))^MAX(0,AC473+INDEX('Facilities'!$AK$9:$AK$108,MATCH(C473,'Facilities'!$C$9:$C$108,0))-D473)),0),"Unavailable"))</x:f>
      </x:c>
      <x:c r="AM473" s="30" t="str">
        <x:f>IF(C473="","",IFERROR(INDEX('Facilities'!$AL$9:$AL$108,MATCH(C473,'Facilities'!$C$9:$C$108,0)),"Unavailable"))</x:f>
      </x:c>
      <x:c r="AN473" s="30" t="str">
        <x:f>IF(C473="","",IFERROR(INDEX(Credit!$T$409:$T$508,MATCH(F473,Credit!$C$409:$C$508,0)),"Unavailable"))</x:f>
      </x:c>
      <x:c r="AO473" s="23" t="str">
        <x:f>IF(C473="","",IF(AQ473&lt;&gt;"Ready","Unavailable",IF(C473="","",O473+P473+Q473*INDEX('Facilities'!$I$9:$I$108,MATCH(C473,'Facilities'!$C$9:$C$108,0)))))</x:f>
      </x:c>
      <x:c r="AP473" s="21" t="str">
        <x:f>IF(C473="","",IF(AQ473&lt;&gt;"Ready","Unavailable",IF(C473="","",AH473-U473)))</x:f>
      </x:c>
      <x:c r="AQ473" s="23" t="str">
        <x:f>IFERROR(IF(C473="","",IF(AND(INDEX('Facilities'!$AF$9:$AF$108,MATCH(C473,'Facilities'!$C$9:$C$108,0))="Ready",INDEX(Credit!$U$409:$U$508,MATCH(F473,Credit!$C$409:$C$508,0))="Ready",ISNUMBER(W473)),"Ready","Review inputs")),"Review inputs")</x:f>
      </x:c>
      <x:c r="AR473" s="23" t="str">
        <x:f>IF(C473="","",IF(AQ473&lt;&gt;"Ready","Unavailable",IF(C473="","",IF(O473=0,0,(IF(AJ473&lt;=1,O473,O473*INDEX('Facilities'!$R$9:$R$108,MATCH(C473,'Facilities'!$C$9:$C$108,0)))+O473*INDEX('Facilities'!$T$9:$T$108,MATCH(C473,'Facilities'!$C$9:$C$108,0)))/12))))</x:f>
      </x:c>
    </x:row>
    <x:row r="474" ht="26" customHeight="1">
      <x:c r="A474" s="1"/>
      <x:c r="B474" s="1"/>
      <x:c r="C474" s="9" t="str">
        <x:f>IF(Facilities!C74="","",Facilities!C74)</x:f>
      </x:c>
      <x:c r="D474" s="3" t="n">
        <x:v>5</x:v>
      </x:c>
      <x:c r="E474" s="9" t="n">
        <x:f>Settings!$F$18+4</x:f>
        <x:v>2031</x:v>
      </x:c>
      <x:c r="F474" s="9" t="str">
        <x:f>IF(C474="","",IFERROR(INDEX('Facilities'!$D$9:$D$108,MATCH(C474,'Facilities'!$C$9:$C$108,0)),"Unavailable"))</x:f>
      </x:c>
      <x:c r="G474" s="21" t="str">
        <x:f>IF(C474="","",IFERROR(O374,"Unavailable"))</x:f>
      </x:c>
      <x:c r="H474" s="21" t="str">
        <x:f>IF(C474="","",IFERROR(P374,"Unavailable"))</x:f>
      </x:c>
      <x:c r="I474" s="21" t="str">
        <x:f>IF(C474="","",IFERROR(Q374,"Unavailable"))</x:f>
      </x:c>
      <x:c r="J474" s="23" t="str">
        <x:f>IF(C474="","",IFERROR(IF(OR(H474&gt;0,AND(AC474&gt;=0,AC474&lt;D474),D474&gt;INDEX('Facilities'!$J$9:$J$108,MATCH(C474,'Facilities'!$C$9:$C$108,0))),0,I474*'Scenario Paths'!J81),"Unavailable"))</x:f>
      </x:c>
      <x:c r="K474" s="23" t="str">
        <x:f>IF(C474="","",IFERROR(IF(OR(H474&gt;0,AND(AC474&gt;=0,AC474=D474)),0,IF(D474&gt;=INDEX('Facilities'!$J$9:$J$108,MATCH(C474,'Facilities'!$C$9:$C$108,0)),G474+J474,MIN(G474+J474,G474*INDEX('Facilities'!$R$9:$R$108,MATCH(C474,'Facilities'!$C$9:$C$108,0))))),"Unavailable"))</x:f>
      </x:c>
      <x:c r="L474" s="21" t="str">
        <x:f>IF(C474="","",IFERROR(IF(AND(AC474=D474,AC474&gt;0),MAX(0,G474+J474-K474),0),"Unavailable"))</x:f>
      </x:c>
      <x:c r="M474" s="23" t="str">
        <x:f>IF(C474="","",IFERROR(IF(AND(AC474&gt;=0,D474&gt;=AC474+INDEX('Facilities'!$AK$9:$AK$108,MATCH(C474,'Facilities'!$C$9:$C$108,0))),(H474+L474)*AM474,0),"Unavailable"))</x:f>
      </x:c>
      <x:c r="N474" s="23" t="str">
        <x:f>IF(C474="","",IFERROR(IF(AND(AC474&gt;=0,D474&gt;=AC474+INDEX('Facilities'!$AK$9:$AK$108,MATCH(C474,'Facilities'!$C$9:$C$108,0))),H474+L474-M474,0),"Unavailable"))</x:f>
      </x:c>
      <x:c r="O474" s="21" t="str">
        <x:f>IF(C474="","",IFERROR(MAX(0,G474+J474-K474-L474),"Unavailable"))</x:f>
      </x:c>
      <x:c r="P474" s="21" t="str">
        <x:f>IF(C474="","",IFERROR(MAX(0,H474+L474-M474-N474),"Unavailable"))</x:f>
      </x:c>
      <x:c r="Q474" s="23" t="str">
        <x:f>IF(C474="","",IFERROR(IF(OR(D474&gt;=INDEX('Facilities'!$J$9:$J$108,MATCH(C474,'Facilities'!$C$9:$C$108,0)),AND(AC474&gt;=0,AC474&lt;=D474)),0,MAX(0,I474-J474)),"Unavailable"))</x:f>
      </x:c>
      <x:c r="R474" s="30" t="str">
        <x:f>IF(C474="","",IFERROR(INDEX(Credit!$Q$409:$Q$508,MATCH(F474,Credit!$C$409:$C$508,0)),"Unavailable"))</x:f>
      </x:c>
      <x:c r="S474" s="30" t="str">
        <x:f>IF(C474="","",IFERROR(INDEX(Credit!$R$409:$R$508,MATCH(F474,Credit!$C$409:$C$508,0)),"Unavailable"))</x:f>
      </x:c>
      <x:c r="T474" s="23" t="str">
        <x:f>IF(C474="","",IFERROR(IF(P474&gt;0,3,IF(OR(INDEX('Facilities'!$AD$9:$AD$108,MATCH(C474,'Facilities'!$C$9:$C$108,0))=2,AND(R474&gt;=INDEX('Facilities'!$L$9:$L$108,MATCH(C474,'Facilities'!$C$9:$C$108,0))*Settings!$F$19,R474-INDEX('Facilities'!$L$9:$L$108,MATCH(C474,'Facilities'!$C$9:$C$108,0))&gt;=Settings!$F$20)),2,1)),"Unavailable"))</x:f>
      </x:c>
      <x:c r="U474" s="23" t="str">
        <x:f>IF(C474="","",IF(AQ474&lt;&gt;"Ready","Unavailable",IF(C474="","",O474*(1-(1-S474)/(1+INDEX('Facilities'!$K$9:$K$108,MATCH(C474,'Facilities'!$C$9:$C$108,0)))^INDEX('Facilities'!$AK$9:$AK$108,MATCH(C474,'Facilities'!$C$9:$C$108,0)))*R474/(1+INDEX('Facilities'!$K$9:$K$108,MATCH(C474,'Facilities'!$C$9:$C$108,0)))*IF(ABS(1-(1-R474)*(1-INDEX('Facilities'!$R$9:$R$108,MATCH(C474,'Facilities'!$C$9:$C$108,0)))/(1+INDEX('Facilities'!$K$9:$K$108,MATCH(C474,'Facilities'!$C$9:$C$108,0))))&lt;0.000000001,IF(T474=1,MIN(1,AJ474),AJ474),(1-((1-R474)*(1-INDEX('Facilities'!$R$9:$R$108,MATCH(C474,'Facilities'!$C$9:$C$108,0)))/(1+INDEX('Facilities'!$K$9:$K$108,MATCH(C474,'Facilities'!$C$9:$C$108,0))))^IF(T474=1,MIN(1,AJ474),AJ474))/(1-(1-R474)*(1-INDEX('Facilities'!$R$9:$R$108,MATCH(C474,'Facilities'!$C$9:$C$108,0)))/(1+INDEX('Facilities'!$K$9:$K$108,MATCH(C474,'Facilities'!$C$9:$C$108,0)))))+AL474)))</x:f>
      </x:c>
      <x:c r="V474" s="23" t="str">
        <x:f>IF(C474="","",IF(AQ474&lt;&gt;"Ready","Unavailable",IF(C474="","",Q474*INDEX('Facilities'!$I$9:$I$108,MATCH(C474,'Facilities'!$C$9:$C$108,0))*(1-(1-S474)/(1+INDEX('Facilities'!$K$9:$K$108,MATCH(C474,'Facilities'!$C$9:$C$108,0)))^INDEX('Facilities'!$AK$9:$AK$108,MATCH(C474,'Facilities'!$C$9:$C$108,0)))*R474/(1+INDEX('Facilities'!$K$9:$K$108,MATCH(C474,'Facilities'!$C$9:$C$108,0)))*IF(ABS(1-(1-R474)*(1-0)/(1+INDEX('Facilities'!$K$9:$K$108,MATCH(C474,'Facilities'!$C$9:$C$108,0))))&lt;0.000000001,IF(T474=1,MIN(1,AJ474),AJ474),(1-((1-R474)*(1-0)/(1+INDEX('Facilities'!$K$9:$K$108,MATCH(C474,'Facilities'!$C$9:$C$108,0))))^IF(T474=1,MIN(1,AJ474),AJ474))/(1-(1-R474)*(1-0)/(1+INDEX('Facilities'!$K$9:$K$108,MATCH(C474,'Facilities'!$C$9:$C$108,0))))))))</x:f>
      </x:c>
      <x:c r="W474" s="21" t="str">
        <x:f>IF(C474="","",IFERROR(U374,"Unavailable"))</x:f>
      </x:c>
      <x:c r="X474" s="21" t="str">
        <x:f>IF(C474="","",IFERROR(V374,"Unavailable"))</x:f>
      </x:c>
      <x:c r="Y474" s="21" t="str">
        <x:f>IF(C474="","",IF(AQ474&lt;&gt;"Ready","Unavailable",IF(C474="","",U474-W474+V474-X474+N474+AG474)))</x:f>
      </x:c>
      <x:c r="Z474" s="23" t="str">
        <x:f>IF(C474="","",IF(AQ474&lt;&gt;"Ready","Unavailable",IF(C474="","",(G474+O474+L474)/2*INDEX('Facilities'!$T$9:$T$108,MATCH(C474,'Facilities'!$C$9:$C$108,0))+AG474)))</x:f>
      </x:c>
      <x:c r="AA474" s="23" t="str">
        <x:f>IF(C474="","",IF(AQ474&lt;&gt;"Ready","Unavailable",IF(C474="","",O474*(1-IF(INDEX('Facilities'!$AA$9:$AA$108,MATCH(C474,'Facilities'!$C$9:$C$108,0))=0,0,MIN(1,INDEX('Facilities'!$X$9:$X$108,MATCH(C474,'Facilities'!$C$9:$C$108,0))/INDEX('Facilities'!$AA$9:$AA$108,MATCH(C474,'Facilities'!$C$9:$C$108,0)))))*AF474+P474*(1-IF(INDEX('Facilities'!$AA$9:$AA$108,MATCH(C474,'Facilities'!$C$9:$C$108,0))=0,0,MIN(1,INDEX('Facilities'!$X$9:$X$108,MATCH(C474,'Facilities'!$C$9:$C$108,0))/INDEX('Facilities'!$AA$9:$AA$108,MATCH(C474,'Facilities'!$C$9:$C$108,0)))))*INDEX('Facilities'!$AJ$9:$AJ$108,MATCH(C474,'Facilities'!$C$9:$C$108,0))+Q474*INDEX('Facilities'!$AI$9:$AI$108,MATCH(C474,'Facilities'!$C$9:$C$108,0))*AF474)))</x:f>
      </x:c>
      <x:c r="AB474" s="21" t="str">
        <x:f>IF(C474="","",O474+P474-AD474)</x:f>
      </x:c>
      <x:c r="AC474" s="23" t="str">
        <x:f>IF(C474="","",IFERROR(IF(INDEX('Facilities'!$AD$9:$AD$108,MATCH(C474,'Facilities'!$C$9:$C$108,0))=3,0,IF(INDEX('Facilities'!$AN$9:$AN$108,MATCH(C474,'Facilities'!$C$9:$C$108,0))=0,-1,INDEX('Facilities'!$AN$9:$AN$108,MATCH(C474,'Facilities'!$C$9:$C$108,0)))),"Unavailable"))</x:f>
      </x:c>
      <x:c r="AD474" s="21" t="str">
        <x:f>IF(C474="","",IFERROR(G474+H474,"Unavailable"))</x:f>
      </x:c>
      <x:c r="AE474" s="21" t="str">
        <x:f>IF(C474="","",IF(AQ474&lt;&gt;"Ready","Unavailable",IF(C474="","",O474+P474-AD474-J474+K474+M474+N474)))</x:f>
      </x:c>
      <x:c r="AF474" s="30" t="str">
        <x:f>IF(C474="","",IFERROR(INDEX('Facilities'!$S$9:$S$108,MATCH(C474,'Facilities'!$C$9:$C$108,0))*'Scenario Paths'!J75,"Unavailable"))</x:f>
      </x:c>
      <x:c r="AG474" s="23" t="str">
        <x:f>IF(C474="","",IF(AQ474&lt;&gt;"Ready","Unavailable",IF(C474="","",IF(H474&gt;0,MAX(0,H474-AK474)*((1+INDEX('Facilities'!$K$9:$K$108,MATCH(C474,'Facilities'!$C$9:$C$108,0)))^MIN(1,MAX(0,AC474+INDEX('Facilities'!$AK$9:$AK$108,MATCH(C474,'Facilities'!$C$9:$C$108,0))-D474+1))-1),0))))</x:f>
      </x:c>
      <x:c r="AH474" s="21" t="str">
        <x:f>IF(C474="","",IF(AQ474&lt;&gt;"Ready","Unavailable",IF(C474="","",O474+P474)))</x:f>
      </x:c>
      <x:c r="AI474" s="21" t="str">
        <x:f>IF(C474="","",IF(AQ474&lt;&gt;"Ready","Unavailable",IF(C474="","",Z474-Y474)))</x:f>
      </x:c>
      <x:c r="AJ474" s="23" t="str">
        <x:f>IF(C474="","",IFERROR(MAX(0,INDEX('Facilities'!$J$9:$J$108,MATCH(C474,'Facilities'!$C$9:$C$108,0))-D474),"Unavailable"))</x:f>
      </x:c>
      <x:c r="AK474" s="21" t="str">
        <x:f>IF(C474="","",IFERROR(AL374,"Unavailable"))</x:f>
      </x:c>
      <x:c r="AL474" s="23" t="str">
        <x:f>IF(C474="","",IFERROR(IF(P474&gt;0,P474*(1-AM474/(1+INDEX('Facilities'!$K$9:$K$108,MATCH(C474,'Facilities'!$C$9:$C$108,0)))^MAX(0,AC474+INDEX('Facilities'!$AK$9:$AK$108,MATCH(C474,'Facilities'!$C$9:$C$108,0))-D474)),0),"Unavailable"))</x:f>
      </x:c>
      <x:c r="AM474" s="30" t="str">
        <x:f>IF(C474="","",IFERROR(INDEX('Facilities'!$AL$9:$AL$108,MATCH(C474,'Facilities'!$C$9:$C$108,0)),"Unavailable"))</x:f>
      </x:c>
      <x:c r="AN474" s="30" t="str">
        <x:f>IF(C474="","",IFERROR(INDEX(Credit!$T$409:$T$508,MATCH(F474,Credit!$C$409:$C$508,0)),"Unavailable"))</x:f>
      </x:c>
      <x:c r="AO474" s="23" t="str">
        <x:f>IF(C474="","",IF(AQ474&lt;&gt;"Ready","Unavailable",IF(C474="","",O474+P474+Q474*INDEX('Facilities'!$I$9:$I$108,MATCH(C474,'Facilities'!$C$9:$C$108,0)))))</x:f>
      </x:c>
      <x:c r="AP474" s="21" t="str">
        <x:f>IF(C474="","",IF(AQ474&lt;&gt;"Ready","Unavailable",IF(C474="","",AH474-U474)))</x:f>
      </x:c>
      <x:c r="AQ474" s="23" t="str">
        <x:f>IFERROR(IF(C474="","",IF(AND(INDEX('Facilities'!$AF$9:$AF$108,MATCH(C474,'Facilities'!$C$9:$C$108,0))="Ready",INDEX(Credit!$U$409:$U$508,MATCH(F474,Credit!$C$409:$C$508,0))="Ready",ISNUMBER(W474)),"Ready","Review inputs")),"Review inputs")</x:f>
      </x:c>
      <x:c r="AR474" s="23" t="str">
        <x:f>IF(C474="","",IF(AQ474&lt;&gt;"Ready","Unavailable",IF(C474="","",IF(O474=0,0,(IF(AJ474&lt;=1,O474,O474*INDEX('Facilities'!$R$9:$R$108,MATCH(C474,'Facilities'!$C$9:$C$108,0)))+O474*INDEX('Facilities'!$T$9:$T$108,MATCH(C474,'Facilities'!$C$9:$C$108,0)))/12))))</x:f>
      </x:c>
    </x:row>
    <x:row r="475" ht="26" customHeight="1">
      <x:c r="A475" s="1"/>
      <x:c r="B475" s="1"/>
      <x:c r="C475" s="9" t="str">
        <x:f>IF(Facilities!C75="","",Facilities!C75)</x:f>
      </x:c>
      <x:c r="D475" s="3" t="n">
        <x:v>5</x:v>
      </x:c>
      <x:c r="E475" s="9" t="n">
        <x:f>Settings!$F$18+4</x:f>
        <x:v>2031</x:v>
      </x:c>
      <x:c r="F475" s="9" t="str">
        <x:f>IF(C475="","",IFERROR(INDEX('Facilities'!$D$9:$D$108,MATCH(C475,'Facilities'!$C$9:$C$108,0)),"Unavailable"))</x:f>
      </x:c>
      <x:c r="G475" s="21" t="str">
        <x:f>IF(C475="","",IFERROR(O375,"Unavailable"))</x:f>
      </x:c>
      <x:c r="H475" s="21" t="str">
        <x:f>IF(C475="","",IFERROR(P375,"Unavailable"))</x:f>
      </x:c>
      <x:c r="I475" s="21" t="str">
        <x:f>IF(C475="","",IFERROR(Q375,"Unavailable"))</x:f>
      </x:c>
      <x:c r="J475" s="23" t="str">
        <x:f>IF(C475="","",IFERROR(IF(OR(H475&gt;0,AND(AC475&gt;=0,AC475&lt;D475),D475&gt;INDEX('Facilities'!$J$9:$J$108,MATCH(C475,'Facilities'!$C$9:$C$108,0))),0,I475*'Scenario Paths'!J81),"Unavailable"))</x:f>
      </x:c>
      <x:c r="K475" s="23" t="str">
        <x:f>IF(C475="","",IFERROR(IF(OR(H475&gt;0,AND(AC475&gt;=0,AC475=D475)),0,IF(D475&gt;=INDEX('Facilities'!$J$9:$J$108,MATCH(C475,'Facilities'!$C$9:$C$108,0)),G475+J475,MIN(G475+J475,G475*INDEX('Facilities'!$R$9:$R$108,MATCH(C475,'Facilities'!$C$9:$C$108,0))))),"Unavailable"))</x:f>
      </x:c>
      <x:c r="L475" s="21" t="str">
        <x:f>IF(C475="","",IFERROR(IF(AND(AC475=D475,AC475&gt;0),MAX(0,G475+J475-K475),0),"Unavailable"))</x:f>
      </x:c>
      <x:c r="M475" s="23" t="str">
        <x:f>IF(C475="","",IFERROR(IF(AND(AC475&gt;=0,D475&gt;=AC475+INDEX('Facilities'!$AK$9:$AK$108,MATCH(C475,'Facilities'!$C$9:$C$108,0))),(H475+L475)*AM475,0),"Unavailable"))</x:f>
      </x:c>
      <x:c r="N475" s="23" t="str">
        <x:f>IF(C475="","",IFERROR(IF(AND(AC475&gt;=0,D475&gt;=AC475+INDEX('Facilities'!$AK$9:$AK$108,MATCH(C475,'Facilities'!$C$9:$C$108,0))),H475+L475-M475,0),"Unavailable"))</x:f>
      </x:c>
      <x:c r="O475" s="21" t="str">
        <x:f>IF(C475="","",IFERROR(MAX(0,G475+J475-K475-L475),"Unavailable"))</x:f>
      </x:c>
      <x:c r="P475" s="21" t="str">
        <x:f>IF(C475="","",IFERROR(MAX(0,H475+L475-M475-N475),"Unavailable"))</x:f>
      </x:c>
      <x:c r="Q475" s="23" t="str">
        <x:f>IF(C475="","",IFERROR(IF(OR(D475&gt;=INDEX('Facilities'!$J$9:$J$108,MATCH(C475,'Facilities'!$C$9:$C$108,0)),AND(AC475&gt;=0,AC475&lt;=D475)),0,MAX(0,I475-J475)),"Unavailable"))</x:f>
      </x:c>
      <x:c r="R475" s="30" t="str">
        <x:f>IF(C475="","",IFERROR(INDEX(Credit!$Q$409:$Q$508,MATCH(F475,Credit!$C$409:$C$508,0)),"Unavailable"))</x:f>
      </x:c>
      <x:c r="S475" s="30" t="str">
        <x:f>IF(C475="","",IFERROR(INDEX(Credit!$R$409:$R$508,MATCH(F475,Credit!$C$409:$C$508,0)),"Unavailable"))</x:f>
      </x:c>
      <x:c r="T475" s="23" t="str">
        <x:f>IF(C475="","",IFERROR(IF(P475&gt;0,3,IF(OR(INDEX('Facilities'!$AD$9:$AD$108,MATCH(C475,'Facilities'!$C$9:$C$108,0))=2,AND(R475&gt;=INDEX('Facilities'!$L$9:$L$108,MATCH(C475,'Facilities'!$C$9:$C$108,0))*Settings!$F$19,R475-INDEX('Facilities'!$L$9:$L$108,MATCH(C475,'Facilities'!$C$9:$C$108,0))&gt;=Settings!$F$20)),2,1)),"Unavailable"))</x:f>
      </x:c>
      <x:c r="U475" s="23" t="str">
        <x:f>IF(C475="","",IF(AQ475&lt;&gt;"Ready","Unavailable",IF(C475="","",O475*(1-(1-S475)/(1+INDEX('Facilities'!$K$9:$K$108,MATCH(C475,'Facilities'!$C$9:$C$108,0)))^INDEX('Facilities'!$AK$9:$AK$108,MATCH(C475,'Facilities'!$C$9:$C$108,0)))*R475/(1+INDEX('Facilities'!$K$9:$K$108,MATCH(C475,'Facilities'!$C$9:$C$108,0)))*IF(ABS(1-(1-R475)*(1-INDEX('Facilities'!$R$9:$R$108,MATCH(C475,'Facilities'!$C$9:$C$108,0)))/(1+INDEX('Facilities'!$K$9:$K$108,MATCH(C475,'Facilities'!$C$9:$C$108,0))))&lt;0.000000001,IF(T475=1,MIN(1,AJ475),AJ475),(1-((1-R475)*(1-INDEX('Facilities'!$R$9:$R$108,MATCH(C475,'Facilities'!$C$9:$C$108,0)))/(1+INDEX('Facilities'!$K$9:$K$108,MATCH(C475,'Facilities'!$C$9:$C$108,0))))^IF(T475=1,MIN(1,AJ475),AJ475))/(1-(1-R475)*(1-INDEX('Facilities'!$R$9:$R$108,MATCH(C475,'Facilities'!$C$9:$C$108,0)))/(1+INDEX('Facilities'!$K$9:$K$108,MATCH(C475,'Facilities'!$C$9:$C$108,0)))))+AL475)))</x:f>
      </x:c>
      <x:c r="V475" s="23" t="str">
        <x:f>IF(C475="","",IF(AQ475&lt;&gt;"Ready","Unavailable",IF(C475="","",Q475*INDEX('Facilities'!$I$9:$I$108,MATCH(C475,'Facilities'!$C$9:$C$108,0))*(1-(1-S475)/(1+INDEX('Facilities'!$K$9:$K$108,MATCH(C475,'Facilities'!$C$9:$C$108,0)))^INDEX('Facilities'!$AK$9:$AK$108,MATCH(C475,'Facilities'!$C$9:$C$108,0)))*R475/(1+INDEX('Facilities'!$K$9:$K$108,MATCH(C475,'Facilities'!$C$9:$C$108,0)))*IF(ABS(1-(1-R475)*(1-0)/(1+INDEX('Facilities'!$K$9:$K$108,MATCH(C475,'Facilities'!$C$9:$C$108,0))))&lt;0.000000001,IF(T475=1,MIN(1,AJ475),AJ475),(1-((1-R475)*(1-0)/(1+INDEX('Facilities'!$K$9:$K$108,MATCH(C475,'Facilities'!$C$9:$C$108,0))))^IF(T475=1,MIN(1,AJ475),AJ475))/(1-(1-R475)*(1-0)/(1+INDEX('Facilities'!$K$9:$K$108,MATCH(C475,'Facilities'!$C$9:$C$108,0))))))))</x:f>
      </x:c>
      <x:c r="W475" s="21" t="str">
        <x:f>IF(C475="","",IFERROR(U375,"Unavailable"))</x:f>
      </x:c>
      <x:c r="X475" s="21" t="str">
        <x:f>IF(C475="","",IFERROR(V375,"Unavailable"))</x:f>
      </x:c>
      <x:c r="Y475" s="21" t="str">
        <x:f>IF(C475="","",IF(AQ475&lt;&gt;"Ready","Unavailable",IF(C475="","",U475-W475+V475-X475+N475+AG475)))</x:f>
      </x:c>
      <x:c r="Z475" s="23" t="str">
        <x:f>IF(C475="","",IF(AQ475&lt;&gt;"Ready","Unavailable",IF(C475="","",(G475+O475+L475)/2*INDEX('Facilities'!$T$9:$T$108,MATCH(C475,'Facilities'!$C$9:$C$108,0))+AG475)))</x:f>
      </x:c>
      <x:c r="AA475" s="23" t="str">
        <x:f>IF(C475="","",IF(AQ475&lt;&gt;"Ready","Unavailable",IF(C475="","",O475*(1-IF(INDEX('Facilities'!$AA$9:$AA$108,MATCH(C475,'Facilities'!$C$9:$C$108,0))=0,0,MIN(1,INDEX('Facilities'!$X$9:$X$108,MATCH(C475,'Facilities'!$C$9:$C$108,0))/INDEX('Facilities'!$AA$9:$AA$108,MATCH(C475,'Facilities'!$C$9:$C$108,0)))))*AF475+P475*(1-IF(INDEX('Facilities'!$AA$9:$AA$108,MATCH(C475,'Facilities'!$C$9:$C$108,0))=0,0,MIN(1,INDEX('Facilities'!$X$9:$X$108,MATCH(C475,'Facilities'!$C$9:$C$108,0))/INDEX('Facilities'!$AA$9:$AA$108,MATCH(C475,'Facilities'!$C$9:$C$108,0)))))*INDEX('Facilities'!$AJ$9:$AJ$108,MATCH(C475,'Facilities'!$C$9:$C$108,0))+Q475*INDEX('Facilities'!$AI$9:$AI$108,MATCH(C475,'Facilities'!$C$9:$C$108,0))*AF475)))</x:f>
      </x:c>
      <x:c r="AB475" s="21" t="str">
        <x:f>IF(C475="","",O475+P475-AD475)</x:f>
      </x:c>
      <x:c r="AC475" s="23" t="str">
        <x:f>IF(C475="","",IFERROR(IF(INDEX('Facilities'!$AD$9:$AD$108,MATCH(C475,'Facilities'!$C$9:$C$108,0))=3,0,IF(INDEX('Facilities'!$AN$9:$AN$108,MATCH(C475,'Facilities'!$C$9:$C$108,0))=0,-1,INDEX('Facilities'!$AN$9:$AN$108,MATCH(C475,'Facilities'!$C$9:$C$108,0)))),"Unavailable"))</x:f>
      </x:c>
      <x:c r="AD475" s="21" t="str">
        <x:f>IF(C475="","",IFERROR(G475+H475,"Unavailable"))</x:f>
      </x:c>
      <x:c r="AE475" s="21" t="str">
        <x:f>IF(C475="","",IF(AQ475&lt;&gt;"Ready","Unavailable",IF(C475="","",O475+P475-AD475-J475+K475+M475+N475)))</x:f>
      </x:c>
      <x:c r="AF475" s="30" t="str">
        <x:f>IF(C475="","",IFERROR(INDEX('Facilities'!$S$9:$S$108,MATCH(C475,'Facilities'!$C$9:$C$108,0))*'Scenario Paths'!J75,"Unavailable"))</x:f>
      </x:c>
      <x:c r="AG475" s="23" t="str">
        <x:f>IF(C475="","",IF(AQ475&lt;&gt;"Ready","Unavailable",IF(C475="","",IF(H475&gt;0,MAX(0,H475-AK475)*((1+INDEX('Facilities'!$K$9:$K$108,MATCH(C475,'Facilities'!$C$9:$C$108,0)))^MIN(1,MAX(0,AC475+INDEX('Facilities'!$AK$9:$AK$108,MATCH(C475,'Facilities'!$C$9:$C$108,0))-D475+1))-1),0))))</x:f>
      </x:c>
      <x:c r="AH475" s="21" t="str">
        <x:f>IF(C475="","",IF(AQ475&lt;&gt;"Ready","Unavailable",IF(C475="","",O475+P475)))</x:f>
      </x:c>
      <x:c r="AI475" s="21" t="str">
        <x:f>IF(C475="","",IF(AQ475&lt;&gt;"Ready","Unavailable",IF(C475="","",Z475-Y475)))</x:f>
      </x:c>
      <x:c r="AJ475" s="23" t="str">
        <x:f>IF(C475="","",IFERROR(MAX(0,INDEX('Facilities'!$J$9:$J$108,MATCH(C475,'Facilities'!$C$9:$C$108,0))-D475),"Unavailable"))</x:f>
      </x:c>
      <x:c r="AK475" s="21" t="str">
        <x:f>IF(C475="","",IFERROR(AL375,"Unavailable"))</x:f>
      </x:c>
      <x:c r="AL475" s="23" t="str">
        <x:f>IF(C475="","",IFERROR(IF(P475&gt;0,P475*(1-AM475/(1+INDEX('Facilities'!$K$9:$K$108,MATCH(C475,'Facilities'!$C$9:$C$108,0)))^MAX(0,AC475+INDEX('Facilities'!$AK$9:$AK$108,MATCH(C475,'Facilities'!$C$9:$C$108,0))-D475)),0),"Unavailable"))</x:f>
      </x:c>
      <x:c r="AM475" s="30" t="str">
        <x:f>IF(C475="","",IFERROR(INDEX('Facilities'!$AL$9:$AL$108,MATCH(C475,'Facilities'!$C$9:$C$108,0)),"Unavailable"))</x:f>
      </x:c>
      <x:c r="AN475" s="30" t="str">
        <x:f>IF(C475="","",IFERROR(INDEX(Credit!$T$409:$T$508,MATCH(F475,Credit!$C$409:$C$508,0)),"Unavailable"))</x:f>
      </x:c>
      <x:c r="AO475" s="23" t="str">
        <x:f>IF(C475="","",IF(AQ475&lt;&gt;"Ready","Unavailable",IF(C475="","",O475+P475+Q475*INDEX('Facilities'!$I$9:$I$108,MATCH(C475,'Facilities'!$C$9:$C$108,0)))))</x:f>
      </x:c>
      <x:c r="AP475" s="21" t="str">
        <x:f>IF(C475="","",IF(AQ475&lt;&gt;"Ready","Unavailable",IF(C475="","",AH475-U475)))</x:f>
      </x:c>
      <x:c r="AQ475" s="23" t="str">
        <x:f>IFERROR(IF(C475="","",IF(AND(INDEX('Facilities'!$AF$9:$AF$108,MATCH(C475,'Facilities'!$C$9:$C$108,0))="Ready",INDEX(Credit!$U$409:$U$508,MATCH(F475,Credit!$C$409:$C$508,0))="Ready",ISNUMBER(W475)),"Ready","Review inputs")),"Review inputs")</x:f>
      </x:c>
      <x:c r="AR475" s="23" t="str">
        <x:f>IF(C475="","",IF(AQ475&lt;&gt;"Ready","Unavailable",IF(C475="","",IF(O475=0,0,(IF(AJ475&lt;=1,O475,O475*INDEX('Facilities'!$R$9:$R$108,MATCH(C475,'Facilities'!$C$9:$C$108,0)))+O475*INDEX('Facilities'!$T$9:$T$108,MATCH(C475,'Facilities'!$C$9:$C$108,0)))/12))))</x:f>
      </x:c>
    </x:row>
    <x:row r="476" ht="26" customHeight="1">
      <x:c r="A476" s="1"/>
      <x:c r="B476" s="1"/>
      <x:c r="C476" s="9" t="str">
        <x:f>IF(Facilities!C76="","",Facilities!C76)</x:f>
      </x:c>
      <x:c r="D476" s="3" t="n">
        <x:v>5</x:v>
      </x:c>
      <x:c r="E476" s="9" t="n">
        <x:f>Settings!$F$18+4</x:f>
        <x:v>2031</x:v>
      </x:c>
      <x:c r="F476" s="9" t="str">
        <x:f>IF(C476="","",IFERROR(INDEX('Facilities'!$D$9:$D$108,MATCH(C476,'Facilities'!$C$9:$C$108,0)),"Unavailable"))</x:f>
      </x:c>
      <x:c r="G476" s="21" t="str">
        <x:f>IF(C476="","",IFERROR(O376,"Unavailable"))</x:f>
      </x:c>
      <x:c r="H476" s="21" t="str">
        <x:f>IF(C476="","",IFERROR(P376,"Unavailable"))</x:f>
      </x:c>
      <x:c r="I476" s="21" t="str">
        <x:f>IF(C476="","",IFERROR(Q376,"Unavailable"))</x:f>
      </x:c>
      <x:c r="J476" s="23" t="str">
        <x:f>IF(C476="","",IFERROR(IF(OR(H476&gt;0,AND(AC476&gt;=0,AC476&lt;D476),D476&gt;INDEX('Facilities'!$J$9:$J$108,MATCH(C476,'Facilities'!$C$9:$C$108,0))),0,I476*'Scenario Paths'!J81),"Unavailable"))</x:f>
      </x:c>
      <x:c r="K476" s="23" t="str">
        <x:f>IF(C476="","",IFERROR(IF(OR(H476&gt;0,AND(AC476&gt;=0,AC476=D476)),0,IF(D476&gt;=INDEX('Facilities'!$J$9:$J$108,MATCH(C476,'Facilities'!$C$9:$C$108,0)),G476+J476,MIN(G476+J476,G476*INDEX('Facilities'!$R$9:$R$108,MATCH(C476,'Facilities'!$C$9:$C$108,0))))),"Unavailable"))</x:f>
      </x:c>
      <x:c r="L476" s="21" t="str">
        <x:f>IF(C476="","",IFERROR(IF(AND(AC476=D476,AC476&gt;0),MAX(0,G476+J476-K476),0),"Unavailable"))</x:f>
      </x:c>
      <x:c r="M476" s="23" t="str">
        <x:f>IF(C476="","",IFERROR(IF(AND(AC476&gt;=0,D476&gt;=AC476+INDEX('Facilities'!$AK$9:$AK$108,MATCH(C476,'Facilities'!$C$9:$C$108,0))),(H476+L476)*AM476,0),"Unavailable"))</x:f>
      </x:c>
      <x:c r="N476" s="23" t="str">
        <x:f>IF(C476="","",IFERROR(IF(AND(AC476&gt;=0,D476&gt;=AC476+INDEX('Facilities'!$AK$9:$AK$108,MATCH(C476,'Facilities'!$C$9:$C$108,0))),H476+L476-M476,0),"Unavailable"))</x:f>
      </x:c>
      <x:c r="O476" s="21" t="str">
        <x:f>IF(C476="","",IFERROR(MAX(0,G476+J476-K476-L476),"Unavailable"))</x:f>
      </x:c>
      <x:c r="P476" s="21" t="str">
        <x:f>IF(C476="","",IFERROR(MAX(0,H476+L476-M476-N476),"Unavailable"))</x:f>
      </x:c>
      <x:c r="Q476" s="23" t="str">
        <x:f>IF(C476="","",IFERROR(IF(OR(D476&gt;=INDEX('Facilities'!$J$9:$J$108,MATCH(C476,'Facilities'!$C$9:$C$108,0)),AND(AC476&gt;=0,AC476&lt;=D476)),0,MAX(0,I476-J476)),"Unavailable"))</x:f>
      </x:c>
      <x:c r="R476" s="30" t="str">
        <x:f>IF(C476="","",IFERROR(INDEX(Credit!$Q$409:$Q$508,MATCH(F476,Credit!$C$409:$C$508,0)),"Unavailable"))</x:f>
      </x:c>
      <x:c r="S476" s="30" t="str">
        <x:f>IF(C476="","",IFERROR(INDEX(Credit!$R$409:$R$508,MATCH(F476,Credit!$C$409:$C$508,0)),"Unavailable"))</x:f>
      </x:c>
      <x:c r="T476" s="23" t="str">
        <x:f>IF(C476="","",IFERROR(IF(P476&gt;0,3,IF(OR(INDEX('Facilities'!$AD$9:$AD$108,MATCH(C476,'Facilities'!$C$9:$C$108,0))=2,AND(R476&gt;=INDEX('Facilities'!$L$9:$L$108,MATCH(C476,'Facilities'!$C$9:$C$108,0))*Settings!$F$19,R476-INDEX('Facilities'!$L$9:$L$108,MATCH(C476,'Facilities'!$C$9:$C$108,0))&gt;=Settings!$F$20)),2,1)),"Unavailable"))</x:f>
      </x:c>
      <x:c r="U476" s="23" t="str">
        <x:f>IF(C476="","",IF(AQ476&lt;&gt;"Ready","Unavailable",IF(C476="","",O476*(1-(1-S476)/(1+INDEX('Facilities'!$K$9:$K$108,MATCH(C476,'Facilities'!$C$9:$C$108,0)))^INDEX('Facilities'!$AK$9:$AK$108,MATCH(C476,'Facilities'!$C$9:$C$108,0)))*R476/(1+INDEX('Facilities'!$K$9:$K$108,MATCH(C476,'Facilities'!$C$9:$C$108,0)))*IF(ABS(1-(1-R476)*(1-INDEX('Facilities'!$R$9:$R$108,MATCH(C476,'Facilities'!$C$9:$C$108,0)))/(1+INDEX('Facilities'!$K$9:$K$108,MATCH(C476,'Facilities'!$C$9:$C$108,0))))&lt;0.000000001,IF(T476=1,MIN(1,AJ476),AJ476),(1-((1-R476)*(1-INDEX('Facilities'!$R$9:$R$108,MATCH(C476,'Facilities'!$C$9:$C$108,0)))/(1+INDEX('Facilities'!$K$9:$K$108,MATCH(C476,'Facilities'!$C$9:$C$108,0))))^IF(T476=1,MIN(1,AJ476),AJ476))/(1-(1-R476)*(1-INDEX('Facilities'!$R$9:$R$108,MATCH(C476,'Facilities'!$C$9:$C$108,0)))/(1+INDEX('Facilities'!$K$9:$K$108,MATCH(C476,'Facilities'!$C$9:$C$108,0)))))+AL476)))</x:f>
      </x:c>
      <x:c r="V476" s="23" t="str">
        <x:f>IF(C476="","",IF(AQ476&lt;&gt;"Ready","Unavailable",IF(C476="","",Q476*INDEX('Facilities'!$I$9:$I$108,MATCH(C476,'Facilities'!$C$9:$C$108,0))*(1-(1-S476)/(1+INDEX('Facilities'!$K$9:$K$108,MATCH(C476,'Facilities'!$C$9:$C$108,0)))^INDEX('Facilities'!$AK$9:$AK$108,MATCH(C476,'Facilities'!$C$9:$C$108,0)))*R476/(1+INDEX('Facilities'!$K$9:$K$108,MATCH(C476,'Facilities'!$C$9:$C$108,0)))*IF(ABS(1-(1-R476)*(1-0)/(1+INDEX('Facilities'!$K$9:$K$108,MATCH(C476,'Facilities'!$C$9:$C$108,0))))&lt;0.000000001,IF(T476=1,MIN(1,AJ476),AJ476),(1-((1-R476)*(1-0)/(1+INDEX('Facilities'!$K$9:$K$108,MATCH(C476,'Facilities'!$C$9:$C$108,0))))^IF(T476=1,MIN(1,AJ476),AJ476))/(1-(1-R476)*(1-0)/(1+INDEX('Facilities'!$K$9:$K$108,MATCH(C476,'Facilities'!$C$9:$C$108,0))))))))</x:f>
      </x:c>
      <x:c r="W476" s="21" t="str">
        <x:f>IF(C476="","",IFERROR(U376,"Unavailable"))</x:f>
      </x:c>
      <x:c r="X476" s="21" t="str">
        <x:f>IF(C476="","",IFERROR(V376,"Unavailable"))</x:f>
      </x:c>
      <x:c r="Y476" s="21" t="str">
        <x:f>IF(C476="","",IF(AQ476&lt;&gt;"Ready","Unavailable",IF(C476="","",U476-W476+V476-X476+N476+AG476)))</x:f>
      </x:c>
      <x:c r="Z476" s="23" t="str">
        <x:f>IF(C476="","",IF(AQ476&lt;&gt;"Ready","Unavailable",IF(C476="","",(G476+O476+L476)/2*INDEX('Facilities'!$T$9:$T$108,MATCH(C476,'Facilities'!$C$9:$C$108,0))+AG476)))</x:f>
      </x:c>
      <x:c r="AA476" s="23" t="str">
        <x:f>IF(C476="","",IF(AQ476&lt;&gt;"Ready","Unavailable",IF(C476="","",O476*(1-IF(INDEX('Facilities'!$AA$9:$AA$108,MATCH(C476,'Facilities'!$C$9:$C$108,0))=0,0,MIN(1,INDEX('Facilities'!$X$9:$X$108,MATCH(C476,'Facilities'!$C$9:$C$108,0))/INDEX('Facilities'!$AA$9:$AA$108,MATCH(C476,'Facilities'!$C$9:$C$108,0)))))*AF476+P476*(1-IF(INDEX('Facilities'!$AA$9:$AA$108,MATCH(C476,'Facilities'!$C$9:$C$108,0))=0,0,MIN(1,INDEX('Facilities'!$X$9:$X$108,MATCH(C476,'Facilities'!$C$9:$C$108,0))/INDEX('Facilities'!$AA$9:$AA$108,MATCH(C476,'Facilities'!$C$9:$C$108,0)))))*INDEX('Facilities'!$AJ$9:$AJ$108,MATCH(C476,'Facilities'!$C$9:$C$108,0))+Q476*INDEX('Facilities'!$AI$9:$AI$108,MATCH(C476,'Facilities'!$C$9:$C$108,0))*AF476)))</x:f>
      </x:c>
      <x:c r="AB476" s="21" t="str">
        <x:f>IF(C476="","",O476+P476-AD476)</x:f>
      </x:c>
      <x:c r="AC476" s="23" t="str">
        <x:f>IF(C476="","",IFERROR(IF(INDEX('Facilities'!$AD$9:$AD$108,MATCH(C476,'Facilities'!$C$9:$C$108,0))=3,0,IF(INDEX('Facilities'!$AN$9:$AN$108,MATCH(C476,'Facilities'!$C$9:$C$108,0))=0,-1,INDEX('Facilities'!$AN$9:$AN$108,MATCH(C476,'Facilities'!$C$9:$C$108,0)))),"Unavailable"))</x:f>
      </x:c>
      <x:c r="AD476" s="21" t="str">
        <x:f>IF(C476="","",IFERROR(G476+H476,"Unavailable"))</x:f>
      </x:c>
      <x:c r="AE476" s="21" t="str">
        <x:f>IF(C476="","",IF(AQ476&lt;&gt;"Ready","Unavailable",IF(C476="","",O476+P476-AD476-J476+K476+M476+N476)))</x:f>
      </x:c>
      <x:c r="AF476" s="30" t="str">
        <x:f>IF(C476="","",IFERROR(INDEX('Facilities'!$S$9:$S$108,MATCH(C476,'Facilities'!$C$9:$C$108,0))*'Scenario Paths'!J75,"Unavailable"))</x:f>
      </x:c>
      <x:c r="AG476" s="23" t="str">
        <x:f>IF(C476="","",IF(AQ476&lt;&gt;"Ready","Unavailable",IF(C476="","",IF(H476&gt;0,MAX(0,H476-AK476)*((1+INDEX('Facilities'!$K$9:$K$108,MATCH(C476,'Facilities'!$C$9:$C$108,0)))^MIN(1,MAX(0,AC476+INDEX('Facilities'!$AK$9:$AK$108,MATCH(C476,'Facilities'!$C$9:$C$108,0))-D476+1))-1),0))))</x:f>
      </x:c>
      <x:c r="AH476" s="21" t="str">
        <x:f>IF(C476="","",IF(AQ476&lt;&gt;"Ready","Unavailable",IF(C476="","",O476+P476)))</x:f>
      </x:c>
      <x:c r="AI476" s="21" t="str">
        <x:f>IF(C476="","",IF(AQ476&lt;&gt;"Ready","Unavailable",IF(C476="","",Z476-Y476)))</x:f>
      </x:c>
      <x:c r="AJ476" s="23" t="str">
        <x:f>IF(C476="","",IFERROR(MAX(0,INDEX('Facilities'!$J$9:$J$108,MATCH(C476,'Facilities'!$C$9:$C$108,0))-D476),"Unavailable"))</x:f>
      </x:c>
      <x:c r="AK476" s="21" t="str">
        <x:f>IF(C476="","",IFERROR(AL376,"Unavailable"))</x:f>
      </x:c>
      <x:c r="AL476" s="23" t="str">
        <x:f>IF(C476="","",IFERROR(IF(P476&gt;0,P476*(1-AM476/(1+INDEX('Facilities'!$K$9:$K$108,MATCH(C476,'Facilities'!$C$9:$C$108,0)))^MAX(0,AC476+INDEX('Facilities'!$AK$9:$AK$108,MATCH(C476,'Facilities'!$C$9:$C$108,0))-D476)),0),"Unavailable"))</x:f>
      </x:c>
      <x:c r="AM476" s="30" t="str">
        <x:f>IF(C476="","",IFERROR(INDEX('Facilities'!$AL$9:$AL$108,MATCH(C476,'Facilities'!$C$9:$C$108,0)),"Unavailable"))</x:f>
      </x:c>
      <x:c r="AN476" s="30" t="str">
        <x:f>IF(C476="","",IFERROR(INDEX(Credit!$T$409:$T$508,MATCH(F476,Credit!$C$409:$C$508,0)),"Unavailable"))</x:f>
      </x:c>
      <x:c r="AO476" s="23" t="str">
        <x:f>IF(C476="","",IF(AQ476&lt;&gt;"Ready","Unavailable",IF(C476="","",O476+P476+Q476*INDEX('Facilities'!$I$9:$I$108,MATCH(C476,'Facilities'!$C$9:$C$108,0)))))</x:f>
      </x:c>
      <x:c r="AP476" s="21" t="str">
        <x:f>IF(C476="","",IF(AQ476&lt;&gt;"Ready","Unavailable",IF(C476="","",AH476-U476)))</x:f>
      </x:c>
      <x:c r="AQ476" s="23" t="str">
        <x:f>IFERROR(IF(C476="","",IF(AND(INDEX('Facilities'!$AF$9:$AF$108,MATCH(C476,'Facilities'!$C$9:$C$108,0))="Ready",INDEX(Credit!$U$409:$U$508,MATCH(F476,Credit!$C$409:$C$508,0))="Ready",ISNUMBER(W476)),"Ready","Review inputs")),"Review inputs")</x:f>
      </x:c>
      <x:c r="AR476" s="23" t="str">
        <x:f>IF(C476="","",IF(AQ476&lt;&gt;"Ready","Unavailable",IF(C476="","",IF(O476=0,0,(IF(AJ476&lt;=1,O476,O476*INDEX('Facilities'!$R$9:$R$108,MATCH(C476,'Facilities'!$C$9:$C$108,0)))+O476*INDEX('Facilities'!$T$9:$T$108,MATCH(C476,'Facilities'!$C$9:$C$108,0)))/12))))</x:f>
      </x:c>
    </x:row>
    <x:row r="477" ht="26" customHeight="1">
      <x:c r="A477" s="1"/>
      <x:c r="B477" s="1"/>
      <x:c r="C477" s="9" t="str">
        <x:f>IF(Facilities!C77="","",Facilities!C77)</x:f>
      </x:c>
      <x:c r="D477" s="3" t="n">
        <x:v>5</x:v>
      </x:c>
      <x:c r="E477" s="9" t="n">
        <x:f>Settings!$F$18+4</x:f>
        <x:v>2031</x:v>
      </x:c>
      <x:c r="F477" s="9" t="str">
        <x:f>IF(C477="","",IFERROR(INDEX('Facilities'!$D$9:$D$108,MATCH(C477,'Facilities'!$C$9:$C$108,0)),"Unavailable"))</x:f>
      </x:c>
      <x:c r="G477" s="21" t="str">
        <x:f>IF(C477="","",IFERROR(O377,"Unavailable"))</x:f>
      </x:c>
      <x:c r="H477" s="21" t="str">
        <x:f>IF(C477="","",IFERROR(P377,"Unavailable"))</x:f>
      </x:c>
      <x:c r="I477" s="21" t="str">
        <x:f>IF(C477="","",IFERROR(Q377,"Unavailable"))</x:f>
      </x:c>
      <x:c r="J477" s="23" t="str">
        <x:f>IF(C477="","",IFERROR(IF(OR(H477&gt;0,AND(AC477&gt;=0,AC477&lt;D477),D477&gt;INDEX('Facilities'!$J$9:$J$108,MATCH(C477,'Facilities'!$C$9:$C$108,0))),0,I477*'Scenario Paths'!J81),"Unavailable"))</x:f>
      </x:c>
      <x:c r="K477" s="23" t="str">
        <x:f>IF(C477="","",IFERROR(IF(OR(H477&gt;0,AND(AC477&gt;=0,AC477=D477)),0,IF(D477&gt;=INDEX('Facilities'!$J$9:$J$108,MATCH(C477,'Facilities'!$C$9:$C$108,0)),G477+J477,MIN(G477+J477,G477*INDEX('Facilities'!$R$9:$R$108,MATCH(C477,'Facilities'!$C$9:$C$108,0))))),"Unavailable"))</x:f>
      </x:c>
      <x:c r="L477" s="21" t="str">
        <x:f>IF(C477="","",IFERROR(IF(AND(AC477=D477,AC477&gt;0),MAX(0,G477+J477-K477),0),"Unavailable"))</x:f>
      </x:c>
      <x:c r="M477" s="23" t="str">
        <x:f>IF(C477="","",IFERROR(IF(AND(AC477&gt;=0,D477&gt;=AC477+INDEX('Facilities'!$AK$9:$AK$108,MATCH(C477,'Facilities'!$C$9:$C$108,0))),(H477+L477)*AM477,0),"Unavailable"))</x:f>
      </x:c>
      <x:c r="N477" s="23" t="str">
        <x:f>IF(C477="","",IFERROR(IF(AND(AC477&gt;=0,D477&gt;=AC477+INDEX('Facilities'!$AK$9:$AK$108,MATCH(C477,'Facilities'!$C$9:$C$108,0))),H477+L477-M477,0),"Unavailable"))</x:f>
      </x:c>
      <x:c r="O477" s="21" t="str">
        <x:f>IF(C477="","",IFERROR(MAX(0,G477+J477-K477-L477),"Unavailable"))</x:f>
      </x:c>
      <x:c r="P477" s="21" t="str">
        <x:f>IF(C477="","",IFERROR(MAX(0,H477+L477-M477-N477),"Unavailable"))</x:f>
      </x:c>
      <x:c r="Q477" s="23" t="str">
        <x:f>IF(C477="","",IFERROR(IF(OR(D477&gt;=INDEX('Facilities'!$J$9:$J$108,MATCH(C477,'Facilities'!$C$9:$C$108,0)),AND(AC477&gt;=0,AC477&lt;=D477)),0,MAX(0,I477-J477)),"Unavailable"))</x:f>
      </x:c>
      <x:c r="R477" s="30" t="str">
        <x:f>IF(C477="","",IFERROR(INDEX(Credit!$Q$409:$Q$508,MATCH(F477,Credit!$C$409:$C$508,0)),"Unavailable"))</x:f>
      </x:c>
      <x:c r="S477" s="30" t="str">
        <x:f>IF(C477="","",IFERROR(INDEX(Credit!$R$409:$R$508,MATCH(F477,Credit!$C$409:$C$508,0)),"Unavailable"))</x:f>
      </x:c>
      <x:c r="T477" s="23" t="str">
        <x:f>IF(C477="","",IFERROR(IF(P477&gt;0,3,IF(OR(INDEX('Facilities'!$AD$9:$AD$108,MATCH(C477,'Facilities'!$C$9:$C$108,0))=2,AND(R477&gt;=INDEX('Facilities'!$L$9:$L$108,MATCH(C477,'Facilities'!$C$9:$C$108,0))*Settings!$F$19,R477-INDEX('Facilities'!$L$9:$L$108,MATCH(C477,'Facilities'!$C$9:$C$108,0))&gt;=Settings!$F$20)),2,1)),"Unavailable"))</x:f>
      </x:c>
      <x:c r="U477" s="23" t="str">
        <x:f>IF(C477="","",IF(AQ477&lt;&gt;"Ready","Unavailable",IF(C477="","",O477*(1-(1-S477)/(1+INDEX('Facilities'!$K$9:$K$108,MATCH(C477,'Facilities'!$C$9:$C$108,0)))^INDEX('Facilities'!$AK$9:$AK$108,MATCH(C477,'Facilities'!$C$9:$C$108,0)))*R477/(1+INDEX('Facilities'!$K$9:$K$108,MATCH(C477,'Facilities'!$C$9:$C$108,0)))*IF(ABS(1-(1-R477)*(1-INDEX('Facilities'!$R$9:$R$108,MATCH(C477,'Facilities'!$C$9:$C$108,0)))/(1+INDEX('Facilities'!$K$9:$K$108,MATCH(C477,'Facilities'!$C$9:$C$108,0))))&lt;0.000000001,IF(T477=1,MIN(1,AJ477),AJ477),(1-((1-R477)*(1-INDEX('Facilities'!$R$9:$R$108,MATCH(C477,'Facilities'!$C$9:$C$108,0)))/(1+INDEX('Facilities'!$K$9:$K$108,MATCH(C477,'Facilities'!$C$9:$C$108,0))))^IF(T477=1,MIN(1,AJ477),AJ477))/(1-(1-R477)*(1-INDEX('Facilities'!$R$9:$R$108,MATCH(C477,'Facilities'!$C$9:$C$108,0)))/(1+INDEX('Facilities'!$K$9:$K$108,MATCH(C477,'Facilities'!$C$9:$C$108,0)))))+AL477)))</x:f>
      </x:c>
      <x:c r="V477" s="23" t="str">
        <x:f>IF(C477="","",IF(AQ477&lt;&gt;"Ready","Unavailable",IF(C477="","",Q477*INDEX('Facilities'!$I$9:$I$108,MATCH(C477,'Facilities'!$C$9:$C$108,0))*(1-(1-S477)/(1+INDEX('Facilities'!$K$9:$K$108,MATCH(C477,'Facilities'!$C$9:$C$108,0)))^INDEX('Facilities'!$AK$9:$AK$108,MATCH(C477,'Facilities'!$C$9:$C$108,0)))*R477/(1+INDEX('Facilities'!$K$9:$K$108,MATCH(C477,'Facilities'!$C$9:$C$108,0)))*IF(ABS(1-(1-R477)*(1-0)/(1+INDEX('Facilities'!$K$9:$K$108,MATCH(C477,'Facilities'!$C$9:$C$108,0))))&lt;0.000000001,IF(T477=1,MIN(1,AJ477),AJ477),(1-((1-R477)*(1-0)/(1+INDEX('Facilities'!$K$9:$K$108,MATCH(C477,'Facilities'!$C$9:$C$108,0))))^IF(T477=1,MIN(1,AJ477),AJ477))/(1-(1-R477)*(1-0)/(1+INDEX('Facilities'!$K$9:$K$108,MATCH(C477,'Facilities'!$C$9:$C$108,0))))))))</x:f>
      </x:c>
      <x:c r="W477" s="21" t="str">
        <x:f>IF(C477="","",IFERROR(U377,"Unavailable"))</x:f>
      </x:c>
      <x:c r="X477" s="21" t="str">
        <x:f>IF(C477="","",IFERROR(V377,"Unavailable"))</x:f>
      </x:c>
      <x:c r="Y477" s="21" t="str">
        <x:f>IF(C477="","",IF(AQ477&lt;&gt;"Ready","Unavailable",IF(C477="","",U477-W477+V477-X477+N477+AG477)))</x:f>
      </x:c>
      <x:c r="Z477" s="23" t="str">
        <x:f>IF(C477="","",IF(AQ477&lt;&gt;"Ready","Unavailable",IF(C477="","",(G477+O477+L477)/2*INDEX('Facilities'!$T$9:$T$108,MATCH(C477,'Facilities'!$C$9:$C$108,0))+AG477)))</x:f>
      </x:c>
      <x:c r="AA477" s="23" t="str">
        <x:f>IF(C477="","",IF(AQ477&lt;&gt;"Ready","Unavailable",IF(C477="","",O477*(1-IF(INDEX('Facilities'!$AA$9:$AA$108,MATCH(C477,'Facilities'!$C$9:$C$108,0))=0,0,MIN(1,INDEX('Facilities'!$X$9:$X$108,MATCH(C477,'Facilities'!$C$9:$C$108,0))/INDEX('Facilities'!$AA$9:$AA$108,MATCH(C477,'Facilities'!$C$9:$C$108,0)))))*AF477+P477*(1-IF(INDEX('Facilities'!$AA$9:$AA$108,MATCH(C477,'Facilities'!$C$9:$C$108,0))=0,0,MIN(1,INDEX('Facilities'!$X$9:$X$108,MATCH(C477,'Facilities'!$C$9:$C$108,0))/INDEX('Facilities'!$AA$9:$AA$108,MATCH(C477,'Facilities'!$C$9:$C$108,0)))))*INDEX('Facilities'!$AJ$9:$AJ$108,MATCH(C477,'Facilities'!$C$9:$C$108,0))+Q477*INDEX('Facilities'!$AI$9:$AI$108,MATCH(C477,'Facilities'!$C$9:$C$108,0))*AF477)))</x:f>
      </x:c>
      <x:c r="AB477" s="21" t="str">
        <x:f>IF(C477="","",O477+P477-AD477)</x:f>
      </x:c>
      <x:c r="AC477" s="23" t="str">
        <x:f>IF(C477="","",IFERROR(IF(INDEX('Facilities'!$AD$9:$AD$108,MATCH(C477,'Facilities'!$C$9:$C$108,0))=3,0,IF(INDEX('Facilities'!$AN$9:$AN$108,MATCH(C477,'Facilities'!$C$9:$C$108,0))=0,-1,INDEX('Facilities'!$AN$9:$AN$108,MATCH(C477,'Facilities'!$C$9:$C$108,0)))),"Unavailable"))</x:f>
      </x:c>
      <x:c r="AD477" s="21" t="str">
        <x:f>IF(C477="","",IFERROR(G477+H477,"Unavailable"))</x:f>
      </x:c>
      <x:c r="AE477" s="21" t="str">
        <x:f>IF(C477="","",IF(AQ477&lt;&gt;"Ready","Unavailable",IF(C477="","",O477+P477-AD477-J477+K477+M477+N477)))</x:f>
      </x:c>
      <x:c r="AF477" s="30" t="str">
        <x:f>IF(C477="","",IFERROR(INDEX('Facilities'!$S$9:$S$108,MATCH(C477,'Facilities'!$C$9:$C$108,0))*'Scenario Paths'!J75,"Unavailable"))</x:f>
      </x:c>
      <x:c r="AG477" s="23" t="str">
        <x:f>IF(C477="","",IF(AQ477&lt;&gt;"Ready","Unavailable",IF(C477="","",IF(H477&gt;0,MAX(0,H477-AK477)*((1+INDEX('Facilities'!$K$9:$K$108,MATCH(C477,'Facilities'!$C$9:$C$108,0)))^MIN(1,MAX(0,AC477+INDEX('Facilities'!$AK$9:$AK$108,MATCH(C477,'Facilities'!$C$9:$C$108,0))-D477+1))-1),0))))</x:f>
      </x:c>
      <x:c r="AH477" s="21" t="str">
        <x:f>IF(C477="","",IF(AQ477&lt;&gt;"Ready","Unavailable",IF(C477="","",O477+P477)))</x:f>
      </x:c>
      <x:c r="AI477" s="21" t="str">
        <x:f>IF(C477="","",IF(AQ477&lt;&gt;"Ready","Unavailable",IF(C477="","",Z477-Y477)))</x:f>
      </x:c>
      <x:c r="AJ477" s="23" t="str">
        <x:f>IF(C477="","",IFERROR(MAX(0,INDEX('Facilities'!$J$9:$J$108,MATCH(C477,'Facilities'!$C$9:$C$108,0))-D477),"Unavailable"))</x:f>
      </x:c>
      <x:c r="AK477" s="21" t="str">
        <x:f>IF(C477="","",IFERROR(AL377,"Unavailable"))</x:f>
      </x:c>
      <x:c r="AL477" s="23" t="str">
        <x:f>IF(C477="","",IFERROR(IF(P477&gt;0,P477*(1-AM477/(1+INDEX('Facilities'!$K$9:$K$108,MATCH(C477,'Facilities'!$C$9:$C$108,0)))^MAX(0,AC477+INDEX('Facilities'!$AK$9:$AK$108,MATCH(C477,'Facilities'!$C$9:$C$108,0))-D477)),0),"Unavailable"))</x:f>
      </x:c>
      <x:c r="AM477" s="30" t="str">
        <x:f>IF(C477="","",IFERROR(INDEX('Facilities'!$AL$9:$AL$108,MATCH(C477,'Facilities'!$C$9:$C$108,0)),"Unavailable"))</x:f>
      </x:c>
      <x:c r="AN477" s="30" t="str">
        <x:f>IF(C477="","",IFERROR(INDEX(Credit!$T$409:$T$508,MATCH(F477,Credit!$C$409:$C$508,0)),"Unavailable"))</x:f>
      </x:c>
      <x:c r="AO477" s="23" t="str">
        <x:f>IF(C477="","",IF(AQ477&lt;&gt;"Ready","Unavailable",IF(C477="","",O477+P477+Q477*INDEX('Facilities'!$I$9:$I$108,MATCH(C477,'Facilities'!$C$9:$C$108,0)))))</x:f>
      </x:c>
      <x:c r="AP477" s="21" t="str">
        <x:f>IF(C477="","",IF(AQ477&lt;&gt;"Ready","Unavailable",IF(C477="","",AH477-U477)))</x:f>
      </x:c>
      <x:c r="AQ477" s="23" t="str">
        <x:f>IFERROR(IF(C477="","",IF(AND(INDEX('Facilities'!$AF$9:$AF$108,MATCH(C477,'Facilities'!$C$9:$C$108,0))="Ready",INDEX(Credit!$U$409:$U$508,MATCH(F477,Credit!$C$409:$C$508,0))="Ready",ISNUMBER(W477)),"Ready","Review inputs")),"Review inputs")</x:f>
      </x:c>
      <x:c r="AR477" s="23" t="str">
        <x:f>IF(C477="","",IF(AQ477&lt;&gt;"Ready","Unavailable",IF(C477="","",IF(O477=0,0,(IF(AJ477&lt;=1,O477,O477*INDEX('Facilities'!$R$9:$R$108,MATCH(C477,'Facilities'!$C$9:$C$108,0)))+O477*INDEX('Facilities'!$T$9:$T$108,MATCH(C477,'Facilities'!$C$9:$C$108,0)))/12))))</x:f>
      </x:c>
    </x:row>
    <x:row r="478" ht="26" customHeight="1">
      <x:c r="A478" s="1"/>
      <x:c r="B478" s="1"/>
      <x:c r="C478" s="9" t="str">
        <x:f>IF(Facilities!C78="","",Facilities!C78)</x:f>
      </x:c>
      <x:c r="D478" s="3" t="n">
        <x:v>5</x:v>
      </x:c>
      <x:c r="E478" s="9" t="n">
        <x:f>Settings!$F$18+4</x:f>
        <x:v>2031</x:v>
      </x:c>
      <x:c r="F478" s="9" t="str">
        <x:f>IF(C478="","",IFERROR(INDEX('Facilities'!$D$9:$D$108,MATCH(C478,'Facilities'!$C$9:$C$108,0)),"Unavailable"))</x:f>
      </x:c>
      <x:c r="G478" s="21" t="str">
        <x:f>IF(C478="","",IFERROR(O378,"Unavailable"))</x:f>
      </x:c>
      <x:c r="H478" s="21" t="str">
        <x:f>IF(C478="","",IFERROR(P378,"Unavailable"))</x:f>
      </x:c>
      <x:c r="I478" s="21" t="str">
        <x:f>IF(C478="","",IFERROR(Q378,"Unavailable"))</x:f>
      </x:c>
      <x:c r="J478" s="23" t="str">
        <x:f>IF(C478="","",IFERROR(IF(OR(H478&gt;0,AND(AC478&gt;=0,AC478&lt;D478),D478&gt;INDEX('Facilities'!$J$9:$J$108,MATCH(C478,'Facilities'!$C$9:$C$108,0))),0,I478*'Scenario Paths'!J81),"Unavailable"))</x:f>
      </x:c>
      <x:c r="K478" s="23" t="str">
        <x:f>IF(C478="","",IFERROR(IF(OR(H478&gt;0,AND(AC478&gt;=0,AC478=D478)),0,IF(D478&gt;=INDEX('Facilities'!$J$9:$J$108,MATCH(C478,'Facilities'!$C$9:$C$108,0)),G478+J478,MIN(G478+J478,G478*INDEX('Facilities'!$R$9:$R$108,MATCH(C478,'Facilities'!$C$9:$C$108,0))))),"Unavailable"))</x:f>
      </x:c>
      <x:c r="L478" s="21" t="str">
        <x:f>IF(C478="","",IFERROR(IF(AND(AC478=D478,AC478&gt;0),MAX(0,G478+J478-K478),0),"Unavailable"))</x:f>
      </x:c>
      <x:c r="M478" s="23" t="str">
        <x:f>IF(C478="","",IFERROR(IF(AND(AC478&gt;=0,D478&gt;=AC478+INDEX('Facilities'!$AK$9:$AK$108,MATCH(C478,'Facilities'!$C$9:$C$108,0))),(H478+L478)*AM478,0),"Unavailable"))</x:f>
      </x:c>
      <x:c r="N478" s="23" t="str">
        <x:f>IF(C478="","",IFERROR(IF(AND(AC478&gt;=0,D478&gt;=AC478+INDEX('Facilities'!$AK$9:$AK$108,MATCH(C478,'Facilities'!$C$9:$C$108,0))),H478+L478-M478,0),"Unavailable"))</x:f>
      </x:c>
      <x:c r="O478" s="21" t="str">
        <x:f>IF(C478="","",IFERROR(MAX(0,G478+J478-K478-L478),"Unavailable"))</x:f>
      </x:c>
      <x:c r="P478" s="21" t="str">
        <x:f>IF(C478="","",IFERROR(MAX(0,H478+L478-M478-N478),"Unavailable"))</x:f>
      </x:c>
      <x:c r="Q478" s="23" t="str">
        <x:f>IF(C478="","",IFERROR(IF(OR(D478&gt;=INDEX('Facilities'!$J$9:$J$108,MATCH(C478,'Facilities'!$C$9:$C$108,0)),AND(AC478&gt;=0,AC478&lt;=D478)),0,MAX(0,I478-J478)),"Unavailable"))</x:f>
      </x:c>
      <x:c r="R478" s="30" t="str">
        <x:f>IF(C478="","",IFERROR(INDEX(Credit!$Q$409:$Q$508,MATCH(F478,Credit!$C$409:$C$508,0)),"Unavailable"))</x:f>
      </x:c>
      <x:c r="S478" s="30" t="str">
        <x:f>IF(C478="","",IFERROR(INDEX(Credit!$R$409:$R$508,MATCH(F478,Credit!$C$409:$C$508,0)),"Unavailable"))</x:f>
      </x:c>
      <x:c r="T478" s="23" t="str">
        <x:f>IF(C478="","",IFERROR(IF(P478&gt;0,3,IF(OR(INDEX('Facilities'!$AD$9:$AD$108,MATCH(C478,'Facilities'!$C$9:$C$108,0))=2,AND(R478&gt;=INDEX('Facilities'!$L$9:$L$108,MATCH(C478,'Facilities'!$C$9:$C$108,0))*Settings!$F$19,R478-INDEX('Facilities'!$L$9:$L$108,MATCH(C478,'Facilities'!$C$9:$C$108,0))&gt;=Settings!$F$20)),2,1)),"Unavailable"))</x:f>
      </x:c>
      <x:c r="U478" s="23" t="str">
        <x:f>IF(C478="","",IF(AQ478&lt;&gt;"Ready","Unavailable",IF(C478="","",O478*(1-(1-S478)/(1+INDEX('Facilities'!$K$9:$K$108,MATCH(C478,'Facilities'!$C$9:$C$108,0)))^INDEX('Facilities'!$AK$9:$AK$108,MATCH(C478,'Facilities'!$C$9:$C$108,0)))*R478/(1+INDEX('Facilities'!$K$9:$K$108,MATCH(C478,'Facilities'!$C$9:$C$108,0)))*IF(ABS(1-(1-R478)*(1-INDEX('Facilities'!$R$9:$R$108,MATCH(C478,'Facilities'!$C$9:$C$108,0)))/(1+INDEX('Facilities'!$K$9:$K$108,MATCH(C478,'Facilities'!$C$9:$C$108,0))))&lt;0.000000001,IF(T478=1,MIN(1,AJ478),AJ478),(1-((1-R478)*(1-INDEX('Facilities'!$R$9:$R$108,MATCH(C478,'Facilities'!$C$9:$C$108,0)))/(1+INDEX('Facilities'!$K$9:$K$108,MATCH(C478,'Facilities'!$C$9:$C$108,0))))^IF(T478=1,MIN(1,AJ478),AJ478))/(1-(1-R478)*(1-INDEX('Facilities'!$R$9:$R$108,MATCH(C478,'Facilities'!$C$9:$C$108,0)))/(1+INDEX('Facilities'!$K$9:$K$108,MATCH(C478,'Facilities'!$C$9:$C$108,0)))))+AL478)))</x:f>
      </x:c>
      <x:c r="V478" s="23" t="str">
        <x:f>IF(C478="","",IF(AQ478&lt;&gt;"Ready","Unavailable",IF(C478="","",Q478*INDEX('Facilities'!$I$9:$I$108,MATCH(C478,'Facilities'!$C$9:$C$108,0))*(1-(1-S478)/(1+INDEX('Facilities'!$K$9:$K$108,MATCH(C478,'Facilities'!$C$9:$C$108,0)))^INDEX('Facilities'!$AK$9:$AK$108,MATCH(C478,'Facilities'!$C$9:$C$108,0)))*R478/(1+INDEX('Facilities'!$K$9:$K$108,MATCH(C478,'Facilities'!$C$9:$C$108,0)))*IF(ABS(1-(1-R478)*(1-0)/(1+INDEX('Facilities'!$K$9:$K$108,MATCH(C478,'Facilities'!$C$9:$C$108,0))))&lt;0.000000001,IF(T478=1,MIN(1,AJ478),AJ478),(1-((1-R478)*(1-0)/(1+INDEX('Facilities'!$K$9:$K$108,MATCH(C478,'Facilities'!$C$9:$C$108,0))))^IF(T478=1,MIN(1,AJ478),AJ478))/(1-(1-R478)*(1-0)/(1+INDEX('Facilities'!$K$9:$K$108,MATCH(C478,'Facilities'!$C$9:$C$108,0))))))))</x:f>
      </x:c>
      <x:c r="W478" s="21" t="str">
        <x:f>IF(C478="","",IFERROR(U378,"Unavailable"))</x:f>
      </x:c>
      <x:c r="X478" s="21" t="str">
        <x:f>IF(C478="","",IFERROR(V378,"Unavailable"))</x:f>
      </x:c>
      <x:c r="Y478" s="21" t="str">
        <x:f>IF(C478="","",IF(AQ478&lt;&gt;"Ready","Unavailable",IF(C478="","",U478-W478+V478-X478+N478+AG478)))</x:f>
      </x:c>
      <x:c r="Z478" s="23" t="str">
        <x:f>IF(C478="","",IF(AQ478&lt;&gt;"Ready","Unavailable",IF(C478="","",(G478+O478+L478)/2*INDEX('Facilities'!$T$9:$T$108,MATCH(C478,'Facilities'!$C$9:$C$108,0))+AG478)))</x:f>
      </x:c>
      <x:c r="AA478" s="23" t="str">
        <x:f>IF(C478="","",IF(AQ478&lt;&gt;"Ready","Unavailable",IF(C478="","",O478*(1-IF(INDEX('Facilities'!$AA$9:$AA$108,MATCH(C478,'Facilities'!$C$9:$C$108,0))=0,0,MIN(1,INDEX('Facilities'!$X$9:$X$108,MATCH(C478,'Facilities'!$C$9:$C$108,0))/INDEX('Facilities'!$AA$9:$AA$108,MATCH(C478,'Facilities'!$C$9:$C$108,0)))))*AF478+P478*(1-IF(INDEX('Facilities'!$AA$9:$AA$108,MATCH(C478,'Facilities'!$C$9:$C$108,0))=0,0,MIN(1,INDEX('Facilities'!$X$9:$X$108,MATCH(C478,'Facilities'!$C$9:$C$108,0))/INDEX('Facilities'!$AA$9:$AA$108,MATCH(C478,'Facilities'!$C$9:$C$108,0)))))*INDEX('Facilities'!$AJ$9:$AJ$108,MATCH(C478,'Facilities'!$C$9:$C$108,0))+Q478*INDEX('Facilities'!$AI$9:$AI$108,MATCH(C478,'Facilities'!$C$9:$C$108,0))*AF478)))</x:f>
      </x:c>
      <x:c r="AB478" s="21" t="str">
        <x:f>IF(C478="","",O478+P478-AD478)</x:f>
      </x:c>
      <x:c r="AC478" s="23" t="str">
        <x:f>IF(C478="","",IFERROR(IF(INDEX('Facilities'!$AD$9:$AD$108,MATCH(C478,'Facilities'!$C$9:$C$108,0))=3,0,IF(INDEX('Facilities'!$AN$9:$AN$108,MATCH(C478,'Facilities'!$C$9:$C$108,0))=0,-1,INDEX('Facilities'!$AN$9:$AN$108,MATCH(C478,'Facilities'!$C$9:$C$108,0)))),"Unavailable"))</x:f>
      </x:c>
      <x:c r="AD478" s="21" t="str">
        <x:f>IF(C478="","",IFERROR(G478+H478,"Unavailable"))</x:f>
      </x:c>
      <x:c r="AE478" s="21" t="str">
        <x:f>IF(C478="","",IF(AQ478&lt;&gt;"Ready","Unavailable",IF(C478="","",O478+P478-AD478-J478+K478+M478+N478)))</x:f>
      </x:c>
      <x:c r="AF478" s="30" t="str">
        <x:f>IF(C478="","",IFERROR(INDEX('Facilities'!$S$9:$S$108,MATCH(C478,'Facilities'!$C$9:$C$108,0))*'Scenario Paths'!J75,"Unavailable"))</x:f>
      </x:c>
      <x:c r="AG478" s="23" t="str">
        <x:f>IF(C478="","",IF(AQ478&lt;&gt;"Ready","Unavailable",IF(C478="","",IF(H478&gt;0,MAX(0,H478-AK478)*((1+INDEX('Facilities'!$K$9:$K$108,MATCH(C478,'Facilities'!$C$9:$C$108,0)))^MIN(1,MAX(0,AC478+INDEX('Facilities'!$AK$9:$AK$108,MATCH(C478,'Facilities'!$C$9:$C$108,0))-D478+1))-1),0))))</x:f>
      </x:c>
      <x:c r="AH478" s="21" t="str">
        <x:f>IF(C478="","",IF(AQ478&lt;&gt;"Ready","Unavailable",IF(C478="","",O478+P478)))</x:f>
      </x:c>
      <x:c r="AI478" s="21" t="str">
        <x:f>IF(C478="","",IF(AQ478&lt;&gt;"Ready","Unavailable",IF(C478="","",Z478-Y478)))</x:f>
      </x:c>
      <x:c r="AJ478" s="23" t="str">
        <x:f>IF(C478="","",IFERROR(MAX(0,INDEX('Facilities'!$J$9:$J$108,MATCH(C478,'Facilities'!$C$9:$C$108,0))-D478),"Unavailable"))</x:f>
      </x:c>
      <x:c r="AK478" s="21" t="str">
        <x:f>IF(C478="","",IFERROR(AL378,"Unavailable"))</x:f>
      </x:c>
      <x:c r="AL478" s="23" t="str">
        <x:f>IF(C478="","",IFERROR(IF(P478&gt;0,P478*(1-AM478/(1+INDEX('Facilities'!$K$9:$K$108,MATCH(C478,'Facilities'!$C$9:$C$108,0)))^MAX(0,AC478+INDEX('Facilities'!$AK$9:$AK$108,MATCH(C478,'Facilities'!$C$9:$C$108,0))-D478)),0),"Unavailable"))</x:f>
      </x:c>
      <x:c r="AM478" s="30" t="str">
        <x:f>IF(C478="","",IFERROR(INDEX('Facilities'!$AL$9:$AL$108,MATCH(C478,'Facilities'!$C$9:$C$108,0)),"Unavailable"))</x:f>
      </x:c>
      <x:c r="AN478" s="30" t="str">
        <x:f>IF(C478="","",IFERROR(INDEX(Credit!$T$409:$T$508,MATCH(F478,Credit!$C$409:$C$508,0)),"Unavailable"))</x:f>
      </x:c>
      <x:c r="AO478" s="23" t="str">
        <x:f>IF(C478="","",IF(AQ478&lt;&gt;"Ready","Unavailable",IF(C478="","",O478+P478+Q478*INDEX('Facilities'!$I$9:$I$108,MATCH(C478,'Facilities'!$C$9:$C$108,0)))))</x:f>
      </x:c>
      <x:c r="AP478" s="21" t="str">
        <x:f>IF(C478="","",IF(AQ478&lt;&gt;"Ready","Unavailable",IF(C478="","",AH478-U478)))</x:f>
      </x:c>
      <x:c r="AQ478" s="23" t="str">
        <x:f>IFERROR(IF(C478="","",IF(AND(INDEX('Facilities'!$AF$9:$AF$108,MATCH(C478,'Facilities'!$C$9:$C$108,0))="Ready",INDEX(Credit!$U$409:$U$508,MATCH(F478,Credit!$C$409:$C$508,0))="Ready",ISNUMBER(W478)),"Ready","Review inputs")),"Review inputs")</x:f>
      </x:c>
      <x:c r="AR478" s="23" t="str">
        <x:f>IF(C478="","",IF(AQ478&lt;&gt;"Ready","Unavailable",IF(C478="","",IF(O478=0,0,(IF(AJ478&lt;=1,O478,O478*INDEX('Facilities'!$R$9:$R$108,MATCH(C478,'Facilities'!$C$9:$C$108,0)))+O478*INDEX('Facilities'!$T$9:$T$108,MATCH(C478,'Facilities'!$C$9:$C$108,0)))/12))))</x:f>
      </x:c>
    </x:row>
    <x:row r="479" ht="26" customHeight="1">
      <x:c r="A479" s="1"/>
      <x:c r="B479" s="1"/>
      <x:c r="C479" s="9" t="str">
        <x:f>IF(Facilities!C79="","",Facilities!C79)</x:f>
      </x:c>
      <x:c r="D479" s="3" t="n">
        <x:v>5</x:v>
      </x:c>
      <x:c r="E479" s="9" t="n">
        <x:f>Settings!$F$18+4</x:f>
        <x:v>2031</x:v>
      </x:c>
      <x:c r="F479" s="9" t="str">
        <x:f>IF(C479="","",IFERROR(INDEX('Facilities'!$D$9:$D$108,MATCH(C479,'Facilities'!$C$9:$C$108,0)),"Unavailable"))</x:f>
      </x:c>
      <x:c r="G479" s="21" t="str">
        <x:f>IF(C479="","",IFERROR(O379,"Unavailable"))</x:f>
      </x:c>
      <x:c r="H479" s="21" t="str">
        <x:f>IF(C479="","",IFERROR(P379,"Unavailable"))</x:f>
      </x:c>
      <x:c r="I479" s="21" t="str">
        <x:f>IF(C479="","",IFERROR(Q379,"Unavailable"))</x:f>
      </x:c>
      <x:c r="J479" s="23" t="str">
        <x:f>IF(C479="","",IFERROR(IF(OR(H479&gt;0,AND(AC479&gt;=0,AC479&lt;D479),D479&gt;INDEX('Facilities'!$J$9:$J$108,MATCH(C479,'Facilities'!$C$9:$C$108,0))),0,I479*'Scenario Paths'!J81),"Unavailable"))</x:f>
      </x:c>
      <x:c r="K479" s="23" t="str">
        <x:f>IF(C479="","",IFERROR(IF(OR(H479&gt;0,AND(AC479&gt;=0,AC479=D479)),0,IF(D479&gt;=INDEX('Facilities'!$J$9:$J$108,MATCH(C479,'Facilities'!$C$9:$C$108,0)),G479+J479,MIN(G479+J479,G479*INDEX('Facilities'!$R$9:$R$108,MATCH(C479,'Facilities'!$C$9:$C$108,0))))),"Unavailable"))</x:f>
      </x:c>
      <x:c r="L479" s="21" t="str">
        <x:f>IF(C479="","",IFERROR(IF(AND(AC479=D479,AC479&gt;0),MAX(0,G479+J479-K479),0),"Unavailable"))</x:f>
      </x:c>
      <x:c r="M479" s="23" t="str">
        <x:f>IF(C479="","",IFERROR(IF(AND(AC479&gt;=0,D479&gt;=AC479+INDEX('Facilities'!$AK$9:$AK$108,MATCH(C479,'Facilities'!$C$9:$C$108,0))),(H479+L479)*AM479,0),"Unavailable"))</x:f>
      </x:c>
      <x:c r="N479" s="23" t="str">
        <x:f>IF(C479="","",IFERROR(IF(AND(AC479&gt;=0,D479&gt;=AC479+INDEX('Facilities'!$AK$9:$AK$108,MATCH(C479,'Facilities'!$C$9:$C$108,0))),H479+L479-M479,0),"Unavailable"))</x:f>
      </x:c>
      <x:c r="O479" s="21" t="str">
        <x:f>IF(C479="","",IFERROR(MAX(0,G479+J479-K479-L479),"Unavailable"))</x:f>
      </x:c>
      <x:c r="P479" s="21" t="str">
        <x:f>IF(C479="","",IFERROR(MAX(0,H479+L479-M479-N479),"Unavailable"))</x:f>
      </x:c>
      <x:c r="Q479" s="23" t="str">
        <x:f>IF(C479="","",IFERROR(IF(OR(D479&gt;=INDEX('Facilities'!$J$9:$J$108,MATCH(C479,'Facilities'!$C$9:$C$108,0)),AND(AC479&gt;=0,AC479&lt;=D479)),0,MAX(0,I479-J479)),"Unavailable"))</x:f>
      </x:c>
      <x:c r="R479" s="30" t="str">
        <x:f>IF(C479="","",IFERROR(INDEX(Credit!$Q$409:$Q$508,MATCH(F479,Credit!$C$409:$C$508,0)),"Unavailable"))</x:f>
      </x:c>
      <x:c r="S479" s="30" t="str">
        <x:f>IF(C479="","",IFERROR(INDEX(Credit!$R$409:$R$508,MATCH(F479,Credit!$C$409:$C$508,0)),"Unavailable"))</x:f>
      </x:c>
      <x:c r="T479" s="23" t="str">
        <x:f>IF(C479="","",IFERROR(IF(P479&gt;0,3,IF(OR(INDEX('Facilities'!$AD$9:$AD$108,MATCH(C479,'Facilities'!$C$9:$C$108,0))=2,AND(R479&gt;=INDEX('Facilities'!$L$9:$L$108,MATCH(C479,'Facilities'!$C$9:$C$108,0))*Settings!$F$19,R479-INDEX('Facilities'!$L$9:$L$108,MATCH(C479,'Facilities'!$C$9:$C$108,0))&gt;=Settings!$F$20)),2,1)),"Unavailable"))</x:f>
      </x:c>
      <x:c r="U479" s="23" t="str">
        <x:f>IF(C479="","",IF(AQ479&lt;&gt;"Ready","Unavailable",IF(C479="","",O479*(1-(1-S479)/(1+INDEX('Facilities'!$K$9:$K$108,MATCH(C479,'Facilities'!$C$9:$C$108,0)))^INDEX('Facilities'!$AK$9:$AK$108,MATCH(C479,'Facilities'!$C$9:$C$108,0)))*R479/(1+INDEX('Facilities'!$K$9:$K$108,MATCH(C479,'Facilities'!$C$9:$C$108,0)))*IF(ABS(1-(1-R479)*(1-INDEX('Facilities'!$R$9:$R$108,MATCH(C479,'Facilities'!$C$9:$C$108,0)))/(1+INDEX('Facilities'!$K$9:$K$108,MATCH(C479,'Facilities'!$C$9:$C$108,0))))&lt;0.000000001,IF(T479=1,MIN(1,AJ479),AJ479),(1-((1-R479)*(1-INDEX('Facilities'!$R$9:$R$108,MATCH(C479,'Facilities'!$C$9:$C$108,0)))/(1+INDEX('Facilities'!$K$9:$K$108,MATCH(C479,'Facilities'!$C$9:$C$108,0))))^IF(T479=1,MIN(1,AJ479),AJ479))/(1-(1-R479)*(1-INDEX('Facilities'!$R$9:$R$108,MATCH(C479,'Facilities'!$C$9:$C$108,0)))/(1+INDEX('Facilities'!$K$9:$K$108,MATCH(C479,'Facilities'!$C$9:$C$108,0)))))+AL479)))</x:f>
      </x:c>
      <x:c r="V479" s="23" t="str">
        <x:f>IF(C479="","",IF(AQ479&lt;&gt;"Ready","Unavailable",IF(C479="","",Q479*INDEX('Facilities'!$I$9:$I$108,MATCH(C479,'Facilities'!$C$9:$C$108,0))*(1-(1-S479)/(1+INDEX('Facilities'!$K$9:$K$108,MATCH(C479,'Facilities'!$C$9:$C$108,0)))^INDEX('Facilities'!$AK$9:$AK$108,MATCH(C479,'Facilities'!$C$9:$C$108,0)))*R479/(1+INDEX('Facilities'!$K$9:$K$108,MATCH(C479,'Facilities'!$C$9:$C$108,0)))*IF(ABS(1-(1-R479)*(1-0)/(1+INDEX('Facilities'!$K$9:$K$108,MATCH(C479,'Facilities'!$C$9:$C$108,0))))&lt;0.000000001,IF(T479=1,MIN(1,AJ479),AJ479),(1-((1-R479)*(1-0)/(1+INDEX('Facilities'!$K$9:$K$108,MATCH(C479,'Facilities'!$C$9:$C$108,0))))^IF(T479=1,MIN(1,AJ479),AJ479))/(1-(1-R479)*(1-0)/(1+INDEX('Facilities'!$K$9:$K$108,MATCH(C479,'Facilities'!$C$9:$C$108,0))))))))</x:f>
      </x:c>
      <x:c r="W479" s="21" t="str">
        <x:f>IF(C479="","",IFERROR(U379,"Unavailable"))</x:f>
      </x:c>
      <x:c r="X479" s="21" t="str">
        <x:f>IF(C479="","",IFERROR(V379,"Unavailable"))</x:f>
      </x:c>
      <x:c r="Y479" s="21" t="str">
        <x:f>IF(C479="","",IF(AQ479&lt;&gt;"Ready","Unavailable",IF(C479="","",U479-W479+V479-X479+N479+AG479)))</x:f>
      </x:c>
      <x:c r="Z479" s="23" t="str">
        <x:f>IF(C479="","",IF(AQ479&lt;&gt;"Ready","Unavailable",IF(C479="","",(G479+O479+L479)/2*INDEX('Facilities'!$T$9:$T$108,MATCH(C479,'Facilities'!$C$9:$C$108,0))+AG479)))</x:f>
      </x:c>
      <x:c r="AA479" s="23" t="str">
        <x:f>IF(C479="","",IF(AQ479&lt;&gt;"Ready","Unavailable",IF(C479="","",O479*(1-IF(INDEX('Facilities'!$AA$9:$AA$108,MATCH(C479,'Facilities'!$C$9:$C$108,0))=0,0,MIN(1,INDEX('Facilities'!$X$9:$X$108,MATCH(C479,'Facilities'!$C$9:$C$108,0))/INDEX('Facilities'!$AA$9:$AA$108,MATCH(C479,'Facilities'!$C$9:$C$108,0)))))*AF479+P479*(1-IF(INDEX('Facilities'!$AA$9:$AA$108,MATCH(C479,'Facilities'!$C$9:$C$108,0))=0,0,MIN(1,INDEX('Facilities'!$X$9:$X$108,MATCH(C479,'Facilities'!$C$9:$C$108,0))/INDEX('Facilities'!$AA$9:$AA$108,MATCH(C479,'Facilities'!$C$9:$C$108,0)))))*INDEX('Facilities'!$AJ$9:$AJ$108,MATCH(C479,'Facilities'!$C$9:$C$108,0))+Q479*INDEX('Facilities'!$AI$9:$AI$108,MATCH(C479,'Facilities'!$C$9:$C$108,0))*AF479)))</x:f>
      </x:c>
      <x:c r="AB479" s="21" t="str">
        <x:f>IF(C479="","",O479+P479-AD479)</x:f>
      </x:c>
      <x:c r="AC479" s="23" t="str">
        <x:f>IF(C479="","",IFERROR(IF(INDEX('Facilities'!$AD$9:$AD$108,MATCH(C479,'Facilities'!$C$9:$C$108,0))=3,0,IF(INDEX('Facilities'!$AN$9:$AN$108,MATCH(C479,'Facilities'!$C$9:$C$108,0))=0,-1,INDEX('Facilities'!$AN$9:$AN$108,MATCH(C479,'Facilities'!$C$9:$C$108,0)))),"Unavailable"))</x:f>
      </x:c>
      <x:c r="AD479" s="21" t="str">
        <x:f>IF(C479="","",IFERROR(G479+H479,"Unavailable"))</x:f>
      </x:c>
      <x:c r="AE479" s="21" t="str">
        <x:f>IF(C479="","",IF(AQ479&lt;&gt;"Ready","Unavailable",IF(C479="","",O479+P479-AD479-J479+K479+M479+N479)))</x:f>
      </x:c>
      <x:c r="AF479" s="30" t="str">
        <x:f>IF(C479="","",IFERROR(INDEX('Facilities'!$S$9:$S$108,MATCH(C479,'Facilities'!$C$9:$C$108,0))*'Scenario Paths'!J75,"Unavailable"))</x:f>
      </x:c>
      <x:c r="AG479" s="23" t="str">
        <x:f>IF(C479="","",IF(AQ479&lt;&gt;"Ready","Unavailable",IF(C479="","",IF(H479&gt;0,MAX(0,H479-AK479)*((1+INDEX('Facilities'!$K$9:$K$108,MATCH(C479,'Facilities'!$C$9:$C$108,0)))^MIN(1,MAX(0,AC479+INDEX('Facilities'!$AK$9:$AK$108,MATCH(C479,'Facilities'!$C$9:$C$108,0))-D479+1))-1),0))))</x:f>
      </x:c>
      <x:c r="AH479" s="21" t="str">
        <x:f>IF(C479="","",IF(AQ479&lt;&gt;"Ready","Unavailable",IF(C479="","",O479+P479)))</x:f>
      </x:c>
      <x:c r="AI479" s="21" t="str">
        <x:f>IF(C479="","",IF(AQ479&lt;&gt;"Ready","Unavailable",IF(C479="","",Z479-Y479)))</x:f>
      </x:c>
      <x:c r="AJ479" s="23" t="str">
        <x:f>IF(C479="","",IFERROR(MAX(0,INDEX('Facilities'!$J$9:$J$108,MATCH(C479,'Facilities'!$C$9:$C$108,0))-D479),"Unavailable"))</x:f>
      </x:c>
      <x:c r="AK479" s="21" t="str">
        <x:f>IF(C479="","",IFERROR(AL379,"Unavailable"))</x:f>
      </x:c>
      <x:c r="AL479" s="23" t="str">
        <x:f>IF(C479="","",IFERROR(IF(P479&gt;0,P479*(1-AM479/(1+INDEX('Facilities'!$K$9:$K$108,MATCH(C479,'Facilities'!$C$9:$C$108,0)))^MAX(0,AC479+INDEX('Facilities'!$AK$9:$AK$108,MATCH(C479,'Facilities'!$C$9:$C$108,0))-D479)),0),"Unavailable"))</x:f>
      </x:c>
      <x:c r="AM479" s="30" t="str">
        <x:f>IF(C479="","",IFERROR(INDEX('Facilities'!$AL$9:$AL$108,MATCH(C479,'Facilities'!$C$9:$C$108,0)),"Unavailable"))</x:f>
      </x:c>
      <x:c r="AN479" s="30" t="str">
        <x:f>IF(C479="","",IFERROR(INDEX(Credit!$T$409:$T$508,MATCH(F479,Credit!$C$409:$C$508,0)),"Unavailable"))</x:f>
      </x:c>
      <x:c r="AO479" s="23" t="str">
        <x:f>IF(C479="","",IF(AQ479&lt;&gt;"Ready","Unavailable",IF(C479="","",O479+P479+Q479*INDEX('Facilities'!$I$9:$I$108,MATCH(C479,'Facilities'!$C$9:$C$108,0)))))</x:f>
      </x:c>
      <x:c r="AP479" s="21" t="str">
        <x:f>IF(C479="","",IF(AQ479&lt;&gt;"Ready","Unavailable",IF(C479="","",AH479-U479)))</x:f>
      </x:c>
      <x:c r="AQ479" s="23" t="str">
        <x:f>IFERROR(IF(C479="","",IF(AND(INDEX('Facilities'!$AF$9:$AF$108,MATCH(C479,'Facilities'!$C$9:$C$108,0))="Ready",INDEX(Credit!$U$409:$U$508,MATCH(F479,Credit!$C$409:$C$508,0))="Ready",ISNUMBER(W479)),"Ready","Review inputs")),"Review inputs")</x:f>
      </x:c>
      <x:c r="AR479" s="23" t="str">
        <x:f>IF(C479="","",IF(AQ479&lt;&gt;"Ready","Unavailable",IF(C479="","",IF(O479=0,0,(IF(AJ479&lt;=1,O479,O479*INDEX('Facilities'!$R$9:$R$108,MATCH(C479,'Facilities'!$C$9:$C$108,0)))+O479*INDEX('Facilities'!$T$9:$T$108,MATCH(C479,'Facilities'!$C$9:$C$108,0)))/12))))</x:f>
      </x:c>
    </x:row>
    <x:row r="480" ht="26" customHeight="1">
      <x:c r="A480" s="1"/>
      <x:c r="B480" s="1"/>
      <x:c r="C480" s="9" t="str">
        <x:f>IF(Facilities!C80="","",Facilities!C80)</x:f>
      </x:c>
      <x:c r="D480" s="3" t="n">
        <x:v>5</x:v>
      </x:c>
      <x:c r="E480" s="9" t="n">
        <x:f>Settings!$F$18+4</x:f>
        <x:v>2031</x:v>
      </x:c>
      <x:c r="F480" s="9" t="str">
        <x:f>IF(C480="","",IFERROR(INDEX('Facilities'!$D$9:$D$108,MATCH(C480,'Facilities'!$C$9:$C$108,0)),"Unavailable"))</x:f>
      </x:c>
      <x:c r="G480" s="21" t="str">
        <x:f>IF(C480="","",IFERROR(O380,"Unavailable"))</x:f>
      </x:c>
      <x:c r="H480" s="21" t="str">
        <x:f>IF(C480="","",IFERROR(P380,"Unavailable"))</x:f>
      </x:c>
      <x:c r="I480" s="21" t="str">
        <x:f>IF(C480="","",IFERROR(Q380,"Unavailable"))</x:f>
      </x:c>
      <x:c r="J480" s="23" t="str">
        <x:f>IF(C480="","",IFERROR(IF(OR(H480&gt;0,AND(AC480&gt;=0,AC480&lt;D480),D480&gt;INDEX('Facilities'!$J$9:$J$108,MATCH(C480,'Facilities'!$C$9:$C$108,0))),0,I480*'Scenario Paths'!J81),"Unavailable"))</x:f>
      </x:c>
      <x:c r="K480" s="23" t="str">
        <x:f>IF(C480="","",IFERROR(IF(OR(H480&gt;0,AND(AC480&gt;=0,AC480=D480)),0,IF(D480&gt;=INDEX('Facilities'!$J$9:$J$108,MATCH(C480,'Facilities'!$C$9:$C$108,0)),G480+J480,MIN(G480+J480,G480*INDEX('Facilities'!$R$9:$R$108,MATCH(C480,'Facilities'!$C$9:$C$108,0))))),"Unavailable"))</x:f>
      </x:c>
      <x:c r="L480" s="21" t="str">
        <x:f>IF(C480="","",IFERROR(IF(AND(AC480=D480,AC480&gt;0),MAX(0,G480+J480-K480),0),"Unavailable"))</x:f>
      </x:c>
      <x:c r="M480" s="23" t="str">
        <x:f>IF(C480="","",IFERROR(IF(AND(AC480&gt;=0,D480&gt;=AC480+INDEX('Facilities'!$AK$9:$AK$108,MATCH(C480,'Facilities'!$C$9:$C$108,0))),(H480+L480)*AM480,0),"Unavailable"))</x:f>
      </x:c>
      <x:c r="N480" s="23" t="str">
        <x:f>IF(C480="","",IFERROR(IF(AND(AC480&gt;=0,D480&gt;=AC480+INDEX('Facilities'!$AK$9:$AK$108,MATCH(C480,'Facilities'!$C$9:$C$108,0))),H480+L480-M480,0),"Unavailable"))</x:f>
      </x:c>
      <x:c r="O480" s="21" t="str">
        <x:f>IF(C480="","",IFERROR(MAX(0,G480+J480-K480-L480),"Unavailable"))</x:f>
      </x:c>
      <x:c r="P480" s="21" t="str">
        <x:f>IF(C480="","",IFERROR(MAX(0,H480+L480-M480-N480),"Unavailable"))</x:f>
      </x:c>
      <x:c r="Q480" s="23" t="str">
        <x:f>IF(C480="","",IFERROR(IF(OR(D480&gt;=INDEX('Facilities'!$J$9:$J$108,MATCH(C480,'Facilities'!$C$9:$C$108,0)),AND(AC480&gt;=0,AC480&lt;=D480)),0,MAX(0,I480-J480)),"Unavailable"))</x:f>
      </x:c>
      <x:c r="R480" s="30" t="str">
        <x:f>IF(C480="","",IFERROR(INDEX(Credit!$Q$409:$Q$508,MATCH(F480,Credit!$C$409:$C$508,0)),"Unavailable"))</x:f>
      </x:c>
      <x:c r="S480" s="30" t="str">
        <x:f>IF(C480="","",IFERROR(INDEX(Credit!$R$409:$R$508,MATCH(F480,Credit!$C$409:$C$508,0)),"Unavailable"))</x:f>
      </x:c>
      <x:c r="T480" s="23" t="str">
        <x:f>IF(C480="","",IFERROR(IF(P480&gt;0,3,IF(OR(INDEX('Facilities'!$AD$9:$AD$108,MATCH(C480,'Facilities'!$C$9:$C$108,0))=2,AND(R480&gt;=INDEX('Facilities'!$L$9:$L$108,MATCH(C480,'Facilities'!$C$9:$C$108,0))*Settings!$F$19,R480-INDEX('Facilities'!$L$9:$L$108,MATCH(C480,'Facilities'!$C$9:$C$108,0))&gt;=Settings!$F$20)),2,1)),"Unavailable"))</x:f>
      </x:c>
      <x:c r="U480" s="23" t="str">
        <x:f>IF(C480="","",IF(AQ480&lt;&gt;"Ready","Unavailable",IF(C480="","",O480*(1-(1-S480)/(1+INDEX('Facilities'!$K$9:$K$108,MATCH(C480,'Facilities'!$C$9:$C$108,0)))^INDEX('Facilities'!$AK$9:$AK$108,MATCH(C480,'Facilities'!$C$9:$C$108,0)))*R480/(1+INDEX('Facilities'!$K$9:$K$108,MATCH(C480,'Facilities'!$C$9:$C$108,0)))*IF(ABS(1-(1-R480)*(1-INDEX('Facilities'!$R$9:$R$108,MATCH(C480,'Facilities'!$C$9:$C$108,0)))/(1+INDEX('Facilities'!$K$9:$K$108,MATCH(C480,'Facilities'!$C$9:$C$108,0))))&lt;0.000000001,IF(T480=1,MIN(1,AJ480),AJ480),(1-((1-R480)*(1-INDEX('Facilities'!$R$9:$R$108,MATCH(C480,'Facilities'!$C$9:$C$108,0)))/(1+INDEX('Facilities'!$K$9:$K$108,MATCH(C480,'Facilities'!$C$9:$C$108,0))))^IF(T480=1,MIN(1,AJ480),AJ480))/(1-(1-R480)*(1-INDEX('Facilities'!$R$9:$R$108,MATCH(C480,'Facilities'!$C$9:$C$108,0)))/(1+INDEX('Facilities'!$K$9:$K$108,MATCH(C480,'Facilities'!$C$9:$C$108,0)))))+AL480)))</x:f>
      </x:c>
      <x:c r="V480" s="23" t="str">
        <x:f>IF(C480="","",IF(AQ480&lt;&gt;"Ready","Unavailable",IF(C480="","",Q480*INDEX('Facilities'!$I$9:$I$108,MATCH(C480,'Facilities'!$C$9:$C$108,0))*(1-(1-S480)/(1+INDEX('Facilities'!$K$9:$K$108,MATCH(C480,'Facilities'!$C$9:$C$108,0)))^INDEX('Facilities'!$AK$9:$AK$108,MATCH(C480,'Facilities'!$C$9:$C$108,0)))*R480/(1+INDEX('Facilities'!$K$9:$K$108,MATCH(C480,'Facilities'!$C$9:$C$108,0)))*IF(ABS(1-(1-R480)*(1-0)/(1+INDEX('Facilities'!$K$9:$K$108,MATCH(C480,'Facilities'!$C$9:$C$108,0))))&lt;0.000000001,IF(T480=1,MIN(1,AJ480),AJ480),(1-((1-R480)*(1-0)/(1+INDEX('Facilities'!$K$9:$K$108,MATCH(C480,'Facilities'!$C$9:$C$108,0))))^IF(T480=1,MIN(1,AJ480),AJ480))/(1-(1-R480)*(1-0)/(1+INDEX('Facilities'!$K$9:$K$108,MATCH(C480,'Facilities'!$C$9:$C$108,0))))))))</x:f>
      </x:c>
      <x:c r="W480" s="21" t="str">
        <x:f>IF(C480="","",IFERROR(U380,"Unavailable"))</x:f>
      </x:c>
      <x:c r="X480" s="21" t="str">
        <x:f>IF(C480="","",IFERROR(V380,"Unavailable"))</x:f>
      </x:c>
      <x:c r="Y480" s="21" t="str">
        <x:f>IF(C480="","",IF(AQ480&lt;&gt;"Ready","Unavailable",IF(C480="","",U480-W480+V480-X480+N480+AG480)))</x:f>
      </x:c>
      <x:c r="Z480" s="23" t="str">
        <x:f>IF(C480="","",IF(AQ480&lt;&gt;"Ready","Unavailable",IF(C480="","",(G480+O480+L480)/2*INDEX('Facilities'!$T$9:$T$108,MATCH(C480,'Facilities'!$C$9:$C$108,0))+AG480)))</x:f>
      </x:c>
      <x:c r="AA480" s="23" t="str">
        <x:f>IF(C480="","",IF(AQ480&lt;&gt;"Ready","Unavailable",IF(C480="","",O480*(1-IF(INDEX('Facilities'!$AA$9:$AA$108,MATCH(C480,'Facilities'!$C$9:$C$108,0))=0,0,MIN(1,INDEX('Facilities'!$X$9:$X$108,MATCH(C480,'Facilities'!$C$9:$C$108,0))/INDEX('Facilities'!$AA$9:$AA$108,MATCH(C480,'Facilities'!$C$9:$C$108,0)))))*AF480+P480*(1-IF(INDEX('Facilities'!$AA$9:$AA$108,MATCH(C480,'Facilities'!$C$9:$C$108,0))=0,0,MIN(1,INDEX('Facilities'!$X$9:$X$108,MATCH(C480,'Facilities'!$C$9:$C$108,0))/INDEX('Facilities'!$AA$9:$AA$108,MATCH(C480,'Facilities'!$C$9:$C$108,0)))))*INDEX('Facilities'!$AJ$9:$AJ$108,MATCH(C480,'Facilities'!$C$9:$C$108,0))+Q480*INDEX('Facilities'!$AI$9:$AI$108,MATCH(C480,'Facilities'!$C$9:$C$108,0))*AF480)))</x:f>
      </x:c>
      <x:c r="AB480" s="21" t="str">
        <x:f>IF(C480="","",O480+P480-AD480)</x:f>
      </x:c>
      <x:c r="AC480" s="23" t="str">
        <x:f>IF(C480="","",IFERROR(IF(INDEX('Facilities'!$AD$9:$AD$108,MATCH(C480,'Facilities'!$C$9:$C$108,0))=3,0,IF(INDEX('Facilities'!$AN$9:$AN$108,MATCH(C480,'Facilities'!$C$9:$C$108,0))=0,-1,INDEX('Facilities'!$AN$9:$AN$108,MATCH(C480,'Facilities'!$C$9:$C$108,0)))),"Unavailable"))</x:f>
      </x:c>
      <x:c r="AD480" s="21" t="str">
        <x:f>IF(C480="","",IFERROR(G480+H480,"Unavailable"))</x:f>
      </x:c>
      <x:c r="AE480" s="21" t="str">
        <x:f>IF(C480="","",IF(AQ480&lt;&gt;"Ready","Unavailable",IF(C480="","",O480+P480-AD480-J480+K480+M480+N480)))</x:f>
      </x:c>
      <x:c r="AF480" s="30" t="str">
        <x:f>IF(C480="","",IFERROR(INDEX('Facilities'!$S$9:$S$108,MATCH(C480,'Facilities'!$C$9:$C$108,0))*'Scenario Paths'!J75,"Unavailable"))</x:f>
      </x:c>
      <x:c r="AG480" s="23" t="str">
        <x:f>IF(C480="","",IF(AQ480&lt;&gt;"Ready","Unavailable",IF(C480="","",IF(H480&gt;0,MAX(0,H480-AK480)*((1+INDEX('Facilities'!$K$9:$K$108,MATCH(C480,'Facilities'!$C$9:$C$108,0)))^MIN(1,MAX(0,AC480+INDEX('Facilities'!$AK$9:$AK$108,MATCH(C480,'Facilities'!$C$9:$C$108,0))-D480+1))-1),0))))</x:f>
      </x:c>
      <x:c r="AH480" s="21" t="str">
        <x:f>IF(C480="","",IF(AQ480&lt;&gt;"Ready","Unavailable",IF(C480="","",O480+P480)))</x:f>
      </x:c>
      <x:c r="AI480" s="21" t="str">
        <x:f>IF(C480="","",IF(AQ480&lt;&gt;"Ready","Unavailable",IF(C480="","",Z480-Y480)))</x:f>
      </x:c>
      <x:c r="AJ480" s="23" t="str">
        <x:f>IF(C480="","",IFERROR(MAX(0,INDEX('Facilities'!$J$9:$J$108,MATCH(C480,'Facilities'!$C$9:$C$108,0))-D480),"Unavailable"))</x:f>
      </x:c>
      <x:c r="AK480" s="21" t="str">
        <x:f>IF(C480="","",IFERROR(AL380,"Unavailable"))</x:f>
      </x:c>
      <x:c r="AL480" s="23" t="str">
        <x:f>IF(C480="","",IFERROR(IF(P480&gt;0,P480*(1-AM480/(1+INDEX('Facilities'!$K$9:$K$108,MATCH(C480,'Facilities'!$C$9:$C$108,0)))^MAX(0,AC480+INDEX('Facilities'!$AK$9:$AK$108,MATCH(C480,'Facilities'!$C$9:$C$108,0))-D480)),0),"Unavailable"))</x:f>
      </x:c>
      <x:c r="AM480" s="30" t="str">
        <x:f>IF(C480="","",IFERROR(INDEX('Facilities'!$AL$9:$AL$108,MATCH(C480,'Facilities'!$C$9:$C$108,0)),"Unavailable"))</x:f>
      </x:c>
      <x:c r="AN480" s="30" t="str">
        <x:f>IF(C480="","",IFERROR(INDEX(Credit!$T$409:$T$508,MATCH(F480,Credit!$C$409:$C$508,0)),"Unavailable"))</x:f>
      </x:c>
      <x:c r="AO480" s="23" t="str">
        <x:f>IF(C480="","",IF(AQ480&lt;&gt;"Ready","Unavailable",IF(C480="","",O480+P480+Q480*INDEX('Facilities'!$I$9:$I$108,MATCH(C480,'Facilities'!$C$9:$C$108,0)))))</x:f>
      </x:c>
      <x:c r="AP480" s="21" t="str">
        <x:f>IF(C480="","",IF(AQ480&lt;&gt;"Ready","Unavailable",IF(C480="","",AH480-U480)))</x:f>
      </x:c>
      <x:c r="AQ480" s="23" t="str">
        <x:f>IFERROR(IF(C480="","",IF(AND(INDEX('Facilities'!$AF$9:$AF$108,MATCH(C480,'Facilities'!$C$9:$C$108,0))="Ready",INDEX(Credit!$U$409:$U$508,MATCH(F480,Credit!$C$409:$C$508,0))="Ready",ISNUMBER(W480)),"Ready","Review inputs")),"Review inputs")</x:f>
      </x:c>
      <x:c r="AR480" s="23" t="str">
        <x:f>IF(C480="","",IF(AQ480&lt;&gt;"Ready","Unavailable",IF(C480="","",IF(O480=0,0,(IF(AJ480&lt;=1,O480,O480*INDEX('Facilities'!$R$9:$R$108,MATCH(C480,'Facilities'!$C$9:$C$108,0)))+O480*INDEX('Facilities'!$T$9:$T$108,MATCH(C480,'Facilities'!$C$9:$C$108,0)))/12))))</x:f>
      </x:c>
    </x:row>
    <x:row r="481" ht="26" customHeight="1">
      <x:c r="A481" s="1"/>
      <x:c r="B481" s="1"/>
      <x:c r="C481" s="9" t="str">
        <x:f>IF(Facilities!C81="","",Facilities!C81)</x:f>
      </x:c>
      <x:c r="D481" s="3" t="n">
        <x:v>5</x:v>
      </x:c>
      <x:c r="E481" s="9" t="n">
        <x:f>Settings!$F$18+4</x:f>
        <x:v>2031</x:v>
      </x:c>
      <x:c r="F481" s="9" t="str">
        <x:f>IF(C481="","",IFERROR(INDEX('Facilities'!$D$9:$D$108,MATCH(C481,'Facilities'!$C$9:$C$108,0)),"Unavailable"))</x:f>
      </x:c>
      <x:c r="G481" s="21" t="str">
        <x:f>IF(C481="","",IFERROR(O381,"Unavailable"))</x:f>
      </x:c>
      <x:c r="H481" s="21" t="str">
        <x:f>IF(C481="","",IFERROR(P381,"Unavailable"))</x:f>
      </x:c>
      <x:c r="I481" s="21" t="str">
        <x:f>IF(C481="","",IFERROR(Q381,"Unavailable"))</x:f>
      </x:c>
      <x:c r="J481" s="23" t="str">
        <x:f>IF(C481="","",IFERROR(IF(OR(H481&gt;0,AND(AC481&gt;=0,AC481&lt;D481),D481&gt;INDEX('Facilities'!$J$9:$J$108,MATCH(C481,'Facilities'!$C$9:$C$108,0))),0,I481*'Scenario Paths'!J81),"Unavailable"))</x:f>
      </x:c>
      <x:c r="K481" s="23" t="str">
        <x:f>IF(C481="","",IFERROR(IF(OR(H481&gt;0,AND(AC481&gt;=0,AC481=D481)),0,IF(D481&gt;=INDEX('Facilities'!$J$9:$J$108,MATCH(C481,'Facilities'!$C$9:$C$108,0)),G481+J481,MIN(G481+J481,G481*INDEX('Facilities'!$R$9:$R$108,MATCH(C481,'Facilities'!$C$9:$C$108,0))))),"Unavailable"))</x:f>
      </x:c>
      <x:c r="L481" s="21" t="str">
        <x:f>IF(C481="","",IFERROR(IF(AND(AC481=D481,AC481&gt;0),MAX(0,G481+J481-K481),0),"Unavailable"))</x:f>
      </x:c>
      <x:c r="M481" s="23" t="str">
        <x:f>IF(C481="","",IFERROR(IF(AND(AC481&gt;=0,D481&gt;=AC481+INDEX('Facilities'!$AK$9:$AK$108,MATCH(C481,'Facilities'!$C$9:$C$108,0))),(H481+L481)*AM481,0),"Unavailable"))</x:f>
      </x:c>
      <x:c r="N481" s="23" t="str">
        <x:f>IF(C481="","",IFERROR(IF(AND(AC481&gt;=0,D481&gt;=AC481+INDEX('Facilities'!$AK$9:$AK$108,MATCH(C481,'Facilities'!$C$9:$C$108,0))),H481+L481-M481,0),"Unavailable"))</x:f>
      </x:c>
      <x:c r="O481" s="21" t="str">
        <x:f>IF(C481="","",IFERROR(MAX(0,G481+J481-K481-L481),"Unavailable"))</x:f>
      </x:c>
      <x:c r="P481" s="21" t="str">
        <x:f>IF(C481="","",IFERROR(MAX(0,H481+L481-M481-N481),"Unavailable"))</x:f>
      </x:c>
      <x:c r="Q481" s="23" t="str">
        <x:f>IF(C481="","",IFERROR(IF(OR(D481&gt;=INDEX('Facilities'!$J$9:$J$108,MATCH(C481,'Facilities'!$C$9:$C$108,0)),AND(AC481&gt;=0,AC481&lt;=D481)),0,MAX(0,I481-J481)),"Unavailable"))</x:f>
      </x:c>
      <x:c r="R481" s="30" t="str">
        <x:f>IF(C481="","",IFERROR(INDEX(Credit!$Q$409:$Q$508,MATCH(F481,Credit!$C$409:$C$508,0)),"Unavailable"))</x:f>
      </x:c>
      <x:c r="S481" s="30" t="str">
        <x:f>IF(C481="","",IFERROR(INDEX(Credit!$R$409:$R$508,MATCH(F481,Credit!$C$409:$C$508,0)),"Unavailable"))</x:f>
      </x:c>
      <x:c r="T481" s="23" t="str">
        <x:f>IF(C481="","",IFERROR(IF(P481&gt;0,3,IF(OR(INDEX('Facilities'!$AD$9:$AD$108,MATCH(C481,'Facilities'!$C$9:$C$108,0))=2,AND(R481&gt;=INDEX('Facilities'!$L$9:$L$108,MATCH(C481,'Facilities'!$C$9:$C$108,0))*Settings!$F$19,R481-INDEX('Facilities'!$L$9:$L$108,MATCH(C481,'Facilities'!$C$9:$C$108,0))&gt;=Settings!$F$20)),2,1)),"Unavailable"))</x:f>
      </x:c>
      <x:c r="U481" s="23" t="str">
        <x:f>IF(C481="","",IF(AQ481&lt;&gt;"Ready","Unavailable",IF(C481="","",O481*(1-(1-S481)/(1+INDEX('Facilities'!$K$9:$K$108,MATCH(C481,'Facilities'!$C$9:$C$108,0)))^INDEX('Facilities'!$AK$9:$AK$108,MATCH(C481,'Facilities'!$C$9:$C$108,0)))*R481/(1+INDEX('Facilities'!$K$9:$K$108,MATCH(C481,'Facilities'!$C$9:$C$108,0)))*IF(ABS(1-(1-R481)*(1-INDEX('Facilities'!$R$9:$R$108,MATCH(C481,'Facilities'!$C$9:$C$108,0)))/(1+INDEX('Facilities'!$K$9:$K$108,MATCH(C481,'Facilities'!$C$9:$C$108,0))))&lt;0.000000001,IF(T481=1,MIN(1,AJ481),AJ481),(1-((1-R481)*(1-INDEX('Facilities'!$R$9:$R$108,MATCH(C481,'Facilities'!$C$9:$C$108,0)))/(1+INDEX('Facilities'!$K$9:$K$108,MATCH(C481,'Facilities'!$C$9:$C$108,0))))^IF(T481=1,MIN(1,AJ481),AJ481))/(1-(1-R481)*(1-INDEX('Facilities'!$R$9:$R$108,MATCH(C481,'Facilities'!$C$9:$C$108,0)))/(1+INDEX('Facilities'!$K$9:$K$108,MATCH(C481,'Facilities'!$C$9:$C$108,0)))))+AL481)))</x:f>
      </x:c>
      <x:c r="V481" s="23" t="str">
        <x:f>IF(C481="","",IF(AQ481&lt;&gt;"Ready","Unavailable",IF(C481="","",Q481*INDEX('Facilities'!$I$9:$I$108,MATCH(C481,'Facilities'!$C$9:$C$108,0))*(1-(1-S481)/(1+INDEX('Facilities'!$K$9:$K$108,MATCH(C481,'Facilities'!$C$9:$C$108,0)))^INDEX('Facilities'!$AK$9:$AK$108,MATCH(C481,'Facilities'!$C$9:$C$108,0)))*R481/(1+INDEX('Facilities'!$K$9:$K$108,MATCH(C481,'Facilities'!$C$9:$C$108,0)))*IF(ABS(1-(1-R481)*(1-0)/(1+INDEX('Facilities'!$K$9:$K$108,MATCH(C481,'Facilities'!$C$9:$C$108,0))))&lt;0.000000001,IF(T481=1,MIN(1,AJ481),AJ481),(1-((1-R481)*(1-0)/(1+INDEX('Facilities'!$K$9:$K$108,MATCH(C481,'Facilities'!$C$9:$C$108,0))))^IF(T481=1,MIN(1,AJ481),AJ481))/(1-(1-R481)*(1-0)/(1+INDEX('Facilities'!$K$9:$K$108,MATCH(C481,'Facilities'!$C$9:$C$108,0))))))))</x:f>
      </x:c>
      <x:c r="W481" s="21" t="str">
        <x:f>IF(C481="","",IFERROR(U381,"Unavailable"))</x:f>
      </x:c>
      <x:c r="X481" s="21" t="str">
        <x:f>IF(C481="","",IFERROR(V381,"Unavailable"))</x:f>
      </x:c>
      <x:c r="Y481" s="21" t="str">
        <x:f>IF(C481="","",IF(AQ481&lt;&gt;"Ready","Unavailable",IF(C481="","",U481-W481+V481-X481+N481+AG481)))</x:f>
      </x:c>
      <x:c r="Z481" s="23" t="str">
        <x:f>IF(C481="","",IF(AQ481&lt;&gt;"Ready","Unavailable",IF(C481="","",(G481+O481+L481)/2*INDEX('Facilities'!$T$9:$T$108,MATCH(C481,'Facilities'!$C$9:$C$108,0))+AG481)))</x:f>
      </x:c>
      <x:c r="AA481" s="23" t="str">
        <x:f>IF(C481="","",IF(AQ481&lt;&gt;"Ready","Unavailable",IF(C481="","",O481*(1-IF(INDEX('Facilities'!$AA$9:$AA$108,MATCH(C481,'Facilities'!$C$9:$C$108,0))=0,0,MIN(1,INDEX('Facilities'!$X$9:$X$108,MATCH(C481,'Facilities'!$C$9:$C$108,0))/INDEX('Facilities'!$AA$9:$AA$108,MATCH(C481,'Facilities'!$C$9:$C$108,0)))))*AF481+P481*(1-IF(INDEX('Facilities'!$AA$9:$AA$108,MATCH(C481,'Facilities'!$C$9:$C$108,0))=0,0,MIN(1,INDEX('Facilities'!$X$9:$X$108,MATCH(C481,'Facilities'!$C$9:$C$108,0))/INDEX('Facilities'!$AA$9:$AA$108,MATCH(C481,'Facilities'!$C$9:$C$108,0)))))*INDEX('Facilities'!$AJ$9:$AJ$108,MATCH(C481,'Facilities'!$C$9:$C$108,0))+Q481*INDEX('Facilities'!$AI$9:$AI$108,MATCH(C481,'Facilities'!$C$9:$C$108,0))*AF481)))</x:f>
      </x:c>
      <x:c r="AB481" s="21" t="str">
        <x:f>IF(C481="","",O481+P481-AD481)</x:f>
      </x:c>
      <x:c r="AC481" s="23" t="str">
        <x:f>IF(C481="","",IFERROR(IF(INDEX('Facilities'!$AD$9:$AD$108,MATCH(C481,'Facilities'!$C$9:$C$108,0))=3,0,IF(INDEX('Facilities'!$AN$9:$AN$108,MATCH(C481,'Facilities'!$C$9:$C$108,0))=0,-1,INDEX('Facilities'!$AN$9:$AN$108,MATCH(C481,'Facilities'!$C$9:$C$108,0)))),"Unavailable"))</x:f>
      </x:c>
      <x:c r="AD481" s="21" t="str">
        <x:f>IF(C481="","",IFERROR(G481+H481,"Unavailable"))</x:f>
      </x:c>
      <x:c r="AE481" s="21" t="str">
        <x:f>IF(C481="","",IF(AQ481&lt;&gt;"Ready","Unavailable",IF(C481="","",O481+P481-AD481-J481+K481+M481+N481)))</x:f>
      </x:c>
      <x:c r="AF481" s="30" t="str">
        <x:f>IF(C481="","",IFERROR(INDEX('Facilities'!$S$9:$S$108,MATCH(C481,'Facilities'!$C$9:$C$108,0))*'Scenario Paths'!J75,"Unavailable"))</x:f>
      </x:c>
      <x:c r="AG481" s="23" t="str">
        <x:f>IF(C481="","",IF(AQ481&lt;&gt;"Ready","Unavailable",IF(C481="","",IF(H481&gt;0,MAX(0,H481-AK481)*((1+INDEX('Facilities'!$K$9:$K$108,MATCH(C481,'Facilities'!$C$9:$C$108,0)))^MIN(1,MAX(0,AC481+INDEX('Facilities'!$AK$9:$AK$108,MATCH(C481,'Facilities'!$C$9:$C$108,0))-D481+1))-1),0))))</x:f>
      </x:c>
      <x:c r="AH481" s="21" t="str">
        <x:f>IF(C481="","",IF(AQ481&lt;&gt;"Ready","Unavailable",IF(C481="","",O481+P481)))</x:f>
      </x:c>
      <x:c r="AI481" s="21" t="str">
        <x:f>IF(C481="","",IF(AQ481&lt;&gt;"Ready","Unavailable",IF(C481="","",Z481-Y481)))</x:f>
      </x:c>
      <x:c r="AJ481" s="23" t="str">
        <x:f>IF(C481="","",IFERROR(MAX(0,INDEX('Facilities'!$J$9:$J$108,MATCH(C481,'Facilities'!$C$9:$C$108,0))-D481),"Unavailable"))</x:f>
      </x:c>
      <x:c r="AK481" s="21" t="str">
        <x:f>IF(C481="","",IFERROR(AL381,"Unavailable"))</x:f>
      </x:c>
      <x:c r="AL481" s="23" t="str">
        <x:f>IF(C481="","",IFERROR(IF(P481&gt;0,P481*(1-AM481/(1+INDEX('Facilities'!$K$9:$K$108,MATCH(C481,'Facilities'!$C$9:$C$108,0)))^MAX(0,AC481+INDEX('Facilities'!$AK$9:$AK$108,MATCH(C481,'Facilities'!$C$9:$C$108,0))-D481)),0),"Unavailable"))</x:f>
      </x:c>
      <x:c r="AM481" s="30" t="str">
        <x:f>IF(C481="","",IFERROR(INDEX('Facilities'!$AL$9:$AL$108,MATCH(C481,'Facilities'!$C$9:$C$108,0)),"Unavailable"))</x:f>
      </x:c>
      <x:c r="AN481" s="30" t="str">
        <x:f>IF(C481="","",IFERROR(INDEX(Credit!$T$409:$T$508,MATCH(F481,Credit!$C$409:$C$508,0)),"Unavailable"))</x:f>
      </x:c>
      <x:c r="AO481" s="23" t="str">
        <x:f>IF(C481="","",IF(AQ481&lt;&gt;"Ready","Unavailable",IF(C481="","",O481+P481+Q481*INDEX('Facilities'!$I$9:$I$108,MATCH(C481,'Facilities'!$C$9:$C$108,0)))))</x:f>
      </x:c>
      <x:c r="AP481" s="21" t="str">
        <x:f>IF(C481="","",IF(AQ481&lt;&gt;"Ready","Unavailable",IF(C481="","",AH481-U481)))</x:f>
      </x:c>
      <x:c r="AQ481" s="23" t="str">
        <x:f>IFERROR(IF(C481="","",IF(AND(INDEX('Facilities'!$AF$9:$AF$108,MATCH(C481,'Facilities'!$C$9:$C$108,0))="Ready",INDEX(Credit!$U$409:$U$508,MATCH(F481,Credit!$C$409:$C$508,0))="Ready",ISNUMBER(W481)),"Ready","Review inputs")),"Review inputs")</x:f>
      </x:c>
      <x:c r="AR481" s="23" t="str">
        <x:f>IF(C481="","",IF(AQ481&lt;&gt;"Ready","Unavailable",IF(C481="","",IF(O481=0,0,(IF(AJ481&lt;=1,O481,O481*INDEX('Facilities'!$R$9:$R$108,MATCH(C481,'Facilities'!$C$9:$C$108,0)))+O481*INDEX('Facilities'!$T$9:$T$108,MATCH(C481,'Facilities'!$C$9:$C$108,0)))/12))))</x:f>
      </x:c>
    </x:row>
    <x:row r="482" ht="26" customHeight="1">
      <x:c r="A482" s="1"/>
      <x:c r="B482" s="1"/>
      <x:c r="C482" s="9" t="str">
        <x:f>IF(Facilities!C82="","",Facilities!C82)</x:f>
      </x:c>
      <x:c r="D482" s="3" t="n">
        <x:v>5</x:v>
      </x:c>
      <x:c r="E482" s="9" t="n">
        <x:f>Settings!$F$18+4</x:f>
        <x:v>2031</x:v>
      </x:c>
      <x:c r="F482" s="9" t="str">
        <x:f>IF(C482="","",IFERROR(INDEX('Facilities'!$D$9:$D$108,MATCH(C482,'Facilities'!$C$9:$C$108,0)),"Unavailable"))</x:f>
      </x:c>
      <x:c r="G482" s="21" t="str">
        <x:f>IF(C482="","",IFERROR(O382,"Unavailable"))</x:f>
      </x:c>
      <x:c r="H482" s="21" t="str">
        <x:f>IF(C482="","",IFERROR(P382,"Unavailable"))</x:f>
      </x:c>
      <x:c r="I482" s="21" t="str">
        <x:f>IF(C482="","",IFERROR(Q382,"Unavailable"))</x:f>
      </x:c>
      <x:c r="J482" s="23" t="str">
        <x:f>IF(C482="","",IFERROR(IF(OR(H482&gt;0,AND(AC482&gt;=0,AC482&lt;D482),D482&gt;INDEX('Facilities'!$J$9:$J$108,MATCH(C482,'Facilities'!$C$9:$C$108,0))),0,I482*'Scenario Paths'!J81),"Unavailable"))</x:f>
      </x:c>
      <x:c r="K482" s="23" t="str">
        <x:f>IF(C482="","",IFERROR(IF(OR(H482&gt;0,AND(AC482&gt;=0,AC482=D482)),0,IF(D482&gt;=INDEX('Facilities'!$J$9:$J$108,MATCH(C482,'Facilities'!$C$9:$C$108,0)),G482+J482,MIN(G482+J482,G482*INDEX('Facilities'!$R$9:$R$108,MATCH(C482,'Facilities'!$C$9:$C$108,0))))),"Unavailable"))</x:f>
      </x:c>
      <x:c r="L482" s="21" t="str">
        <x:f>IF(C482="","",IFERROR(IF(AND(AC482=D482,AC482&gt;0),MAX(0,G482+J482-K482),0),"Unavailable"))</x:f>
      </x:c>
      <x:c r="M482" s="23" t="str">
        <x:f>IF(C482="","",IFERROR(IF(AND(AC482&gt;=0,D482&gt;=AC482+INDEX('Facilities'!$AK$9:$AK$108,MATCH(C482,'Facilities'!$C$9:$C$108,0))),(H482+L482)*AM482,0),"Unavailable"))</x:f>
      </x:c>
      <x:c r="N482" s="23" t="str">
        <x:f>IF(C482="","",IFERROR(IF(AND(AC482&gt;=0,D482&gt;=AC482+INDEX('Facilities'!$AK$9:$AK$108,MATCH(C482,'Facilities'!$C$9:$C$108,0))),H482+L482-M482,0),"Unavailable"))</x:f>
      </x:c>
      <x:c r="O482" s="21" t="str">
        <x:f>IF(C482="","",IFERROR(MAX(0,G482+J482-K482-L482),"Unavailable"))</x:f>
      </x:c>
      <x:c r="P482" s="21" t="str">
        <x:f>IF(C482="","",IFERROR(MAX(0,H482+L482-M482-N482),"Unavailable"))</x:f>
      </x:c>
      <x:c r="Q482" s="23" t="str">
        <x:f>IF(C482="","",IFERROR(IF(OR(D482&gt;=INDEX('Facilities'!$J$9:$J$108,MATCH(C482,'Facilities'!$C$9:$C$108,0)),AND(AC482&gt;=0,AC482&lt;=D482)),0,MAX(0,I482-J482)),"Unavailable"))</x:f>
      </x:c>
      <x:c r="R482" s="30" t="str">
        <x:f>IF(C482="","",IFERROR(INDEX(Credit!$Q$409:$Q$508,MATCH(F482,Credit!$C$409:$C$508,0)),"Unavailable"))</x:f>
      </x:c>
      <x:c r="S482" s="30" t="str">
        <x:f>IF(C482="","",IFERROR(INDEX(Credit!$R$409:$R$508,MATCH(F482,Credit!$C$409:$C$508,0)),"Unavailable"))</x:f>
      </x:c>
      <x:c r="T482" s="23" t="str">
        <x:f>IF(C482="","",IFERROR(IF(P482&gt;0,3,IF(OR(INDEX('Facilities'!$AD$9:$AD$108,MATCH(C482,'Facilities'!$C$9:$C$108,0))=2,AND(R482&gt;=INDEX('Facilities'!$L$9:$L$108,MATCH(C482,'Facilities'!$C$9:$C$108,0))*Settings!$F$19,R482-INDEX('Facilities'!$L$9:$L$108,MATCH(C482,'Facilities'!$C$9:$C$108,0))&gt;=Settings!$F$20)),2,1)),"Unavailable"))</x:f>
      </x:c>
      <x:c r="U482" s="23" t="str">
        <x:f>IF(C482="","",IF(AQ482&lt;&gt;"Ready","Unavailable",IF(C482="","",O482*(1-(1-S482)/(1+INDEX('Facilities'!$K$9:$K$108,MATCH(C482,'Facilities'!$C$9:$C$108,0)))^INDEX('Facilities'!$AK$9:$AK$108,MATCH(C482,'Facilities'!$C$9:$C$108,0)))*R482/(1+INDEX('Facilities'!$K$9:$K$108,MATCH(C482,'Facilities'!$C$9:$C$108,0)))*IF(ABS(1-(1-R482)*(1-INDEX('Facilities'!$R$9:$R$108,MATCH(C482,'Facilities'!$C$9:$C$108,0)))/(1+INDEX('Facilities'!$K$9:$K$108,MATCH(C482,'Facilities'!$C$9:$C$108,0))))&lt;0.000000001,IF(T482=1,MIN(1,AJ482),AJ482),(1-((1-R482)*(1-INDEX('Facilities'!$R$9:$R$108,MATCH(C482,'Facilities'!$C$9:$C$108,0)))/(1+INDEX('Facilities'!$K$9:$K$108,MATCH(C482,'Facilities'!$C$9:$C$108,0))))^IF(T482=1,MIN(1,AJ482),AJ482))/(1-(1-R482)*(1-INDEX('Facilities'!$R$9:$R$108,MATCH(C482,'Facilities'!$C$9:$C$108,0)))/(1+INDEX('Facilities'!$K$9:$K$108,MATCH(C482,'Facilities'!$C$9:$C$108,0)))))+AL482)))</x:f>
      </x:c>
      <x:c r="V482" s="23" t="str">
        <x:f>IF(C482="","",IF(AQ482&lt;&gt;"Ready","Unavailable",IF(C482="","",Q482*INDEX('Facilities'!$I$9:$I$108,MATCH(C482,'Facilities'!$C$9:$C$108,0))*(1-(1-S482)/(1+INDEX('Facilities'!$K$9:$K$108,MATCH(C482,'Facilities'!$C$9:$C$108,0)))^INDEX('Facilities'!$AK$9:$AK$108,MATCH(C482,'Facilities'!$C$9:$C$108,0)))*R482/(1+INDEX('Facilities'!$K$9:$K$108,MATCH(C482,'Facilities'!$C$9:$C$108,0)))*IF(ABS(1-(1-R482)*(1-0)/(1+INDEX('Facilities'!$K$9:$K$108,MATCH(C482,'Facilities'!$C$9:$C$108,0))))&lt;0.000000001,IF(T482=1,MIN(1,AJ482),AJ482),(1-((1-R482)*(1-0)/(1+INDEX('Facilities'!$K$9:$K$108,MATCH(C482,'Facilities'!$C$9:$C$108,0))))^IF(T482=1,MIN(1,AJ482),AJ482))/(1-(1-R482)*(1-0)/(1+INDEX('Facilities'!$K$9:$K$108,MATCH(C482,'Facilities'!$C$9:$C$108,0))))))))</x:f>
      </x:c>
      <x:c r="W482" s="21" t="str">
        <x:f>IF(C482="","",IFERROR(U382,"Unavailable"))</x:f>
      </x:c>
      <x:c r="X482" s="21" t="str">
        <x:f>IF(C482="","",IFERROR(V382,"Unavailable"))</x:f>
      </x:c>
      <x:c r="Y482" s="21" t="str">
        <x:f>IF(C482="","",IF(AQ482&lt;&gt;"Ready","Unavailable",IF(C482="","",U482-W482+V482-X482+N482+AG482)))</x:f>
      </x:c>
      <x:c r="Z482" s="23" t="str">
        <x:f>IF(C482="","",IF(AQ482&lt;&gt;"Ready","Unavailable",IF(C482="","",(G482+O482+L482)/2*INDEX('Facilities'!$T$9:$T$108,MATCH(C482,'Facilities'!$C$9:$C$108,0))+AG482)))</x:f>
      </x:c>
      <x:c r="AA482" s="23" t="str">
        <x:f>IF(C482="","",IF(AQ482&lt;&gt;"Ready","Unavailable",IF(C482="","",O482*(1-IF(INDEX('Facilities'!$AA$9:$AA$108,MATCH(C482,'Facilities'!$C$9:$C$108,0))=0,0,MIN(1,INDEX('Facilities'!$X$9:$X$108,MATCH(C482,'Facilities'!$C$9:$C$108,0))/INDEX('Facilities'!$AA$9:$AA$108,MATCH(C482,'Facilities'!$C$9:$C$108,0)))))*AF482+P482*(1-IF(INDEX('Facilities'!$AA$9:$AA$108,MATCH(C482,'Facilities'!$C$9:$C$108,0))=0,0,MIN(1,INDEX('Facilities'!$X$9:$X$108,MATCH(C482,'Facilities'!$C$9:$C$108,0))/INDEX('Facilities'!$AA$9:$AA$108,MATCH(C482,'Facilities'!$C$9:$C$108,0)))))*INDEX('Facilities'!$AJ$9:$AJ$108,MATCH(C482,'Facilities'!$C$9:$C$108,0))+Q482*INDEX('Facilities'!$AI$9:$AI$108,MATCH(C482,'Facilities'!$C$9:$C$108,0))*AF482)))</x:f>
      </x:c>
      <x:c r="AB482" s="21" t="str">
        <x:f>IF(C482="","",O482+P482-AD482)</x:f>
      </x:c>
      <x:c r="AC482" s="23" t="str">
        <x:f>IF(C482="","",IFERROR(IF(INDEX('Facilities'!$AD$9:$AD$108,MATCH(C482,'Facilities'!$C$9:$C$108,0))=3,0,IF(INDEX('Facilities'!$AN$9:$AN$108,MATCH(C482,'Facilities'!$C$9:$C$108,0))=0,-1,INDEX('Facilities'!$AN$9:$AN$108,MATCH(C482,'Facilities'!$C$9:$C$108,0)))),"Unavailable"))</x:f>
      </x:c>
      <x:c r="AD482" s="21" t="str">
        <x:f>IF(C482="","",IFERROR(G482+H482,"Unavailable"))</x:f>
      </x:c>
      <x:c r="AE482" s="21" t="str">
        <x:f>IF(C482="","",IF(AQ482&lt;&gt;"Ready","Unavailable",IF(C482="","",O482+P482-AD482-J482+K482+M482+N482)))</x:f>
      </x:c>
      <x:c r="AF482" s="30" t="str">
        <x:f>IF(C482="","",IFERROR(INDEX('Facilities'!$S$9:$S$108,MATCH(C482,'Facilities'!$C$9:$C$108,0))*'Scenario Paths'!J75,"Unavailable"))</x:f>
      </x:c>
      <x:c r="AG482" s="23" t="str">
        <x:f>IF(C482="","",IF(AQ482&lt;&gt;"Ready","Unavailable",IF(C482="","",IF(H482&gt;0,MAX(0,H482-AK482)*((1+INDEX('Facilities'!$K$9:$K$108,MATCH(C482,'Facilities'!$C$9:$C$108,0)))^MIN(1,MAX(0,AC482+INDEX('Facilities'!$AK$9:$AK$108,MATCH(C482,'Facilities'!$C$9:$C$108,0))-D482+1))-1),0))))</x:f>
      </x:c>
      <x:c r="AH482" s="21" t="str">
        <x:f>IF(C482="","",IF(AQ482&lt;&gt;"Ready","Unavailable",IF(C482="","",O482+P482)))</x:f>
      </x:c>
      <x:c r="AI482" s="21" t="str">
        <x:f>IF(C482="","",IF(AQ482&lt;&gt;"Ready","Unavailable",IF(C482="","",Z482-Y482)))</x:f>
      </x:c>
      <x:c r="AJ482" s="23" t="str">
        <x:f>IF(C482="","",IFERROR(MAX(0,INDEX('Facilities'!$J$9:$J$108,MATCH(C482,'Facilities'!$C$9:$C$108,0))-D482),"Unavailable"))</x:f>
      </x:c>
      <x:c r="AK482" s="21" t="str">
        <x:f>IF(C482="","",IFERROR(AL382,"Unavailable"))</x:f>
      </x:c>
      <x:c r="AL482" s="23" t="str">
        <x:f>IF(C482="","",IFERROR(IF(P482&gt;0,P482*(1-AM482/(1+INDEX('Facilities'!$K$9:$K$108,MATCH(C482,'Facilities'!$C$9:$C$108,0)))^MAX(0,AC482+INDEX('Facilities'!$AK$9:$AK$108,MATCH(C482,'Facilities'!$C$9:$C$108,0))-D482)),0),"Unavailable"))</x:f>
      </x:c>
      <x:c r="AM482" s="30" t="str">
        <x:f>IF(C482="","",IFERROR(INDEX('Facilities'!$AL$9:$AL$108,MATCH(C482,'Facilities'!$C$9:$C$108,0)),"Unavailable"))</x:f>
      </x:c>
      <x:c r="AN482" s="30" t="str">
        <x:f>IF(C482="","",IFERROR(INDEX(Credit!$T$409:$T$508,MATCH(F482,Credit!$C$409:$C$508,0)),"Unavailable"))</x:f>
      </x:c>
      <x:c r="AO482" s="23" t="str">
        <x:f>IF(C482="","",IF(AQ482&lt;&gt;"Ready","Unavailable",IF(C482="","",O482+P482+Q482*INDEX('Facilities'!$I$9:$I$108,MATCH(C482,'Facilities'!$C$9:$C$108,0)))))</x:f>
      </x:c>
      <x:c r="AP482" s="21" t="str">
        <x:f>IF(C482="","",IF(AQ482&lt;&gt;"Ready","Unavailable",IF(C482="","",AH482-U482)))</x:f>
      </x:c>
      <x:c r="AQ482" s="23" t="str">
        <x:f>IFERROR(IF(C482="","",IF(AND(INDEX('Facilities'!$AF$9:$AF$108,MATCH(C482,'Facilities'!$C$9:$C$108,0))="Ready",INDEX(Credit!$U$409:$U$508,MATCH(F482,Credit!$C$409:$C$508,0))="Ready",ISNUMBER(W482)),"Ready","Review inputs")),"Review inputs")</x:f>
      </x:c>
      <x:c r="AR482" s="23" t="str">
        <x:f>IF(C482="","",IF(AQ482&lt;&gt;"Ready","Unavailable",IF(C482="","",IF(O482=0,0,(IF(AJ482&lt;=1,O482,O482*INDEX('Facilities'!$R$9:$R$108,MATCH(C482,'Facilities'!$C$9:$C$108,0)))+O482*INDEX('Facilities'!$T$9:$T$108,MATCH(C482,'Facilities'!$C$9:$C$108,0)))/12))))</x:f>
      </x:c>
    </x:row>
    <x:row r="483" ht="26" customHeight="1">
      <x:c r="A483" s="1"/>
      <x:c r="B483" s="1"/>
      <x:c r="C483" s="9" t="str">
        <x:f>IF(Facilities!C83="","",Facilities!C83)</x:f>
      </x:c>
      <x:c r="D483" s="3" t="n">
        <x:v>5</x:v>
      </x:c>
      <x:c r="E483" s="9" t="n">
        <x:f>Settings!$F$18+4</x:f>
        <x:v>2031</x:v>
      </x:c>
      <x:c r="F483" s="9" t="str">
        <x:f>IF(C483="","",IFERROR(INDEX('Facilities'!$D$9:$D$108,MATCH(C483,'Facilities'!$C$9:$C$108,0)),"Unavailable"))</x:f>
      </x:c>
      <x:c r="G483" s="21" t="str">
        <x:f>IF(C483="","",IFERROR(O383,"Unavailable"))</x:f>
      </x:c>
      <x:c r="H483" s="21" t="str">
        <x:f>IF(C483="","",IFERROR(P383,"Unavailable"))</x:f>
      </x:c>
      <x:c r="I483" s="21" t="str">
        <x:f>IF(C483="","",IFERROR(Q383,"Unavailable"))</x:f>
      </x:c>
      <x:c r="J483" s="23" t="str">
        <x:f>IF(C483="","",IFERROR(IF(OR(H483&gt;0,AND(AC483&gt;=0,AC483&lt;D483),D483&gt;INDEX('Facilities'!$J$9:$J$108,MATCH(C483,'Facilities'!$C$9:$C$108,0))),0,I483*'Scenario Paths'!J81),"Unavailable"))</x:f>
      </x:c>
      <x:c r="K483" s="23" t="str">
        <x:f>IF(C483="","",IFERROR(IF(OR(H483&gt;0,AND(AC483&gt;=0,AC483=D483)),0,IF(D483&gt;=INDEX('Facilities'!$J$9:$J$108,MATCH(C483,'Facilities'!$C$9:$C$108,0)),G483+J483,MIN(G483+J483,G483*INDEX('Facilities'!$R$9:$R$108,MATCH(C483,'Facilities'!$C$9:$C$108,0))))),"Unavailable"))</x:f>
      </x:c>
      <x:c r="L483" s="21" t="str">
        <x:f>IF(C483="","",IFERROR(IF(AND(AC483=D483,AC483&gt;0),MAX(0,G483+J483-K483),0),"Unavailable"))</x:f>
      </x:c>
      <x:c r="M483" s="23" t="str">
        <x:f>IF(C483="","",IFERROR(IF(AND(AC483&gt;=0,D483&gt;=AC483+INDEX('Facilities'!$AK$9:$AK$108,MATCH(C483,'Facilities'!$C$9:$C$108,0))),(H483+L483)*AM483,0),"Unavailable"))</x:f>
      </x:c>
      <x:c r="N483" s="23" t="str">
        <x:f>IF(C483="","",IFERROR(IF(AND(AC483&gt;=0,D483&gt;=AC483+INDEX('Facilities'!$AK$9:$AK$108,MATCH(C483,'Facilities'!$C$9:$C$108,0))),H483+L483-M483,0),"Unavailable"))</x:f>
      </x:c>
      <x:c r="O483" s="21" t="str">
        <x:f>IF(C483="","",IFERROR(MAX(0,G483+J483-K483-L483),"Unavailable"))</x:f>
      </x:c>
      <x:c r="P483" s="21" t="str">
        <x:f>IF(C483="","",IFERROR(MAX(0,H483+L483-M483-N483),"Unavailable"))</x:f>
      </x:c>
      <x:c r="Q483" s="23" t="str">
        <x:f>IF(C483="","",IFERROR(IF(OR(D483&gt;=INDEX('Facilities'!$J$9:$J$108,MATCH(C483,'Facilities'!$C$9:$C$108,0)),AND(AC483&gt;=0,AC483&lt;=D483)),0,MAX(0,I483-J483)),"Unavailable"))</x:f>
      </x:c>
      <x:c r="R483" s="30" t="str">
        <x:f>IF(C483="","",IFERROR(INDEX(Credit!$Q$409:$Q$508,MATCH(F483,Credit!$C$409:$C$508,0)),"Unavailable"))</x:f>
      </x:c>
      <x:c r="S483" s="30" t="str">
        <x:f>IF(C483="","",IFERROR(INDEX(Credit!$R$409:$R$508,MATCH(F483,Credit!$C$409:$C$508,0)),"Unavailable"))</x:f>
      </x:c>
      <x:c r="T483" s="23" t="str">
        <x:f>IF(C483="","",IFERROR(IF(P483&gt;0,3,IF(OR(INDEX('Facilities'!$AD$9:$AD$108,MATCH(C483,'Facilities'!$C$9:$C$108,0))=2,AND(R483&gt;=INDEX('Facilities'!$L$9:$L$108,MATCH(C483,'Facilities'!$C$9:$C$108,0))*Settings!$F$19,R483-INDEX('Facilities'!$L$9:$L$108,MATCH(C483,'Facilities'!$C$9:$C$108,0))&gt;=Settings!$F$20)),2,1)),"Unavailable"))</x:f>
      </x:c>
      <x:c r="U483" s="23" t="str">
        <x:f>IF(C483="","",IF(AQ483&lt;&gt;"Ready","Unavailable",IF(C483="","",O483*(1-(1-S483)/(1+INDEX('Facilities'!$K$9:$K$108,MATCH(C483,'Facilities'!$C$9:$C$108,0)))^INDEX('Facilities'!$AK$9:$AK$108,MATCH(C483,'Facilities'!$C$9:$C$108,0)))*R483/(1+INDEX('Facilities'!$K$9:$K$108,MATCH(C483,'Facilities'!$C$9:$C$108,0)))*IF(ABS(1-(1-R483)*(1-INDEX('Facilities'!$R$9:$R$108,MATCH(C483,'Facilities'!$C$9:$C$108,0)))/(1+INDEX('Facilities'!$K$9:$K$108,MATCH(C483,'Facilities'!$C$9:$C$108,0))))&lt;0.000000001,IF(T483=1,MIN(1,AJ483),AJ483),(1-((1-R483)*(1-INDEX('Facilities'!$R$9:$R$108,MATCH(C483,'Facilities'!$C$9:$C$108,0)))/(1+INDEX('Facilities'!$K$9:$K$108,MATCH(C483,'Facilities'!$C$9:$C$108,0))))^IF(T483=1,MIN(1,AJ483),AJ483))/(1-(1-R483)*(1-INDEX('Facilities'!$R$9:$R$108,MATCH(C483,'Facilities'!$C$9:$C$108,0)))/(1+INDEX('Facilities'!$K$9:$K$108,MATCH(C483,'Facilities'!$C$9:$C$108,0)))))+AL483)))</x:f>
      </x:c>
      <x:c r="V483" s="23" t="str">
        <x:f>IF(C483="","",IF(AQ483&lt;&gt;"Ready","Unavailable",IF(C483="","",Q483*INDEX('Facilities'!$I$9:$I$108,MATCH(C483,'Facilities'!$C$9:$C$108,0))*(1-(1-S483)/(1+INDEX('Facilities'!$K$9:$K$108,MATCH(C483,'Facilities'!$C$9:$C$108,0)))^INDEX('Facilities'!$AK$9:$AK$108,MATCH(C483,'Facilities'!$C$9:$C$108,0)))*R483/(1+INDEX('Facilities'!$K$9:$K$108,MATCH(C483,'Facilities'!$C$9:$C$108,0)))*IF(ABS(1-(1-R483)*(1-0)/(1+INDEX('Facilities'!$K$9:$K$108,MATCH(C483,'Facilities'!$C$9:$C$108,0))))&lt;0.000000001,IF(T483=1,MIN(1,AJ483),AJ483),(1-((1-R483)*(1-0)/(1+INDEX('Facilities'!$K$9:$K$108,MATCH(C483,'Facilities'!$C$9:$C$108,0))))^IF(T483=1,MIN(1,AJ483),AJ483))/(1-(1-R483)*(1-0)/(1+INDEX('Facilities'!$K$9:$K$108,MATCH(C483,'Facilities'!$C$9:$C$108,0))))))))</x:f>
      </x:c>
      <x:c r="W483" s="21" t="str">
        <x:f>IF(C483="","",IFERROR(U383,"Unavailable"))</x:f>
      </x:c>
      <x:c r="X483" s="21" t="str">
        <x:f>IF(C483="","",IFERROR(V383,"Unavailable"))</x:f>
      </x:c>
      <x:c r="Y483" s="21" t="str">
        <x:f>IF(C483="","",IF(AQ483&lt;&gt;"Ready","Unavailable",IF(C483="","",U483-W483+V483-X483+N483+AG483)))</x:f>
      </x:c>
      <x:c r="Z483" s="23" t="str">
        <x:f>IF(C483="","",IF(AQ483&lt;&gt;"Ready","Unavailable",IF(C483="","",(G483+O483+L483)/2*INDEX('Facilities'!$T$9:$T$108,MATCH(C483,'Facilities'!$C$9:$C$108,0))+AG483)))</x:f>
      </x:c>
      <x:c r="AA483" s="23" t="str">
        <x:f>IF(C483="","",IF(AQ483&lt;&gt;"Ready","Unavailable",IF(C483="","",O483*(1-IF(INDEX('Facilities'!$AA$9:$AA$108,MATCH(C483,'Facilities'!$C$9:$C$108,0))=0,0,MIN(1,INDEX('Facilities'!$X$9:$X$108,MATCH(C483,'Facilities'!$C$9:$C$108,0))/INDEX('Facilities'!$AA$9:$AA$108,MATCH(C483,'Facilities'!$C$9:$C$108,0)))))*AF483+P483*(1-IF(INDEX('Facilities'!$AA$9:$AA$108,MATCH(C483,'Facilities'!$C$9:$C$108,0))=0,0,MIN(1,INDEX('Facilities'!$X$9:$X$108,MATCH(C483,'Facilities'!$C$9:$C$108,0))/INDEX('Facilities'!$AA$9:$AA$108,MATCH(C483,'Facilities'!$C$9:$C$108,0)))))*INDEX('Facilities'!$AJ$9:$AJ$108,MATCH(C483,'Facilities'!$C$9:$C$108,0))+Q483*INDEX('Facilities'!$AI$9:$AI$108,MATCH(C483,'Facilities'!$C$9:$C$108,0))*AF483)))</x:f>
      </x:c>
      <x:c r="AB483" s="21" t="str">
        <x:f>IF(C483="","",O483+P483-AD483)</x:f>
      </x:c>
      <x:c r="AC483" s="23" t="str">
        <x:f>IF(C483="","",IFERROR(IF(INDEX('Facilities'!$AD$9:$AD$108,MATCH(C483,'Facilities'!$C$9:$C$108,0))=3,0,IF(INDEX('Facilities'!$AN$9:$AN$108,MATCH(C483,'Facilities'!$C$9:$C$108,0))=0,-1,INDEX('Facilities'!$AN$9:$AN$108,MATCH(C483,'Facilities'!$C$9:$C$108,0)))),"Unavailable"))</x:f>
      </x:c>
      <x:c r="AD483" s="21" t="str">
        <x:f>IF(C483="","",IFERROR(G483+H483,"Unavailable"))</x:f>
      </x:c>
      <x:c r="AE483" s="21" t="str">
        <x:f>IF(C483="","",IF(AQ483&lt;&gt;"Ready","Unavailable",IF(C483="","",O483+P483-AD483-J483+K483+M483+N483)))</x:f>
      </x:c>
      <x:c r="AF483" s="30" t="str">
        <x:f>IF(C483="","",IFERROR(INDEX('Facilities'!$S$9:$S$108,MATCH(C483,'Facilities'!$C$9:$C$108,0))*'Scenario Paths'!J75,"Unavailable"))</x:f>
      </x:c>
      <x:c r="AG483" s="23" t="str">
        <x:f>IF(C483="","",IF(AQ483&lt;&gt;"Ready","Unavailable",IF(C483="","",IF(H483&gt;0,MAX(0,H483-AK483)*((1+INDEX('Facilities'!$K$9:$K$108,MATCH(C483,'Facilities'!$C$9:$C$108,0)))^MIN(1,MAX(0,AC483+INDEX('Facilities'!$AK$9:$AK$108,MATCH(C483,'Facilities'!$C$9:$C$108,0))-D483+1))-1),0))))</x:f>
      </x:c>
      <x:c r="AH483" s="21" t="str">
        <x:f>IF(C483="","",IF(AQ483&lt;&gt;"Ready","Unavailable",IF(C483="","",O483+P483)))</x:f>
      </x:c>
      <x:c r="AI483" s="21" t="str">
        <x:f>IF(C483="","",IF(AQ483&lt;&gt;"Ready","Unavailable",IF(C483="","",Z483-Y483)))</x:f>
      </x:c>
      <x:c r="AJ483" s="23" t="str">
        <x:f>IF(C483="","",IFERROR(MAX(0,INDEX('Facilities'!$J$9:$J$108,MATCH(C483,'Facilities'!$C$9:$C$108,0))-D483),"Unavailable"))</x:f>
      </x:c>
      <x:c r="AK483" s="21" t="str">
        <x:f>IF(C483="","",IFERROR(AL383,"Unavailable"))</x:f>
      </x:c>
      <x:c r="AL483" s="23" t="str">
        <x:f>IF(C483="","",IFERROR(IF(P483&gt;0,P483*(1-AM483/(1+INDEX('Facilities'!$K$9:$K$108,MATCH(C483,'Facilities'!$C$9:$C$108,0)))^MAX(0,AC483+INDEX('Facilities'!$AK$9:$AK$108,MATCH(C483,'Facilities'!$C$9:$C$108,0))-D483)),0),"Unavailable"))</x:f>
      </x:c>
      <x:c r="AM483" s="30" t="str">
        <x:f>IF(C483="","",IFERROR(INDEX('Facilities'!$AL$9:$AL$108,MATCH(C483,'Facilities'!$C$9:$C$108,0)),"Unavailable"))</x:f>
      </x:c>
      <x:c r="AN483" s="30" t="str">
        <x:f>IF(C483="","",IFERROR(INDEX(Credit!$T$409:$T$508,MATCH(F483,Credit!$C$409:$C$508,0)),"Unavailable"))</x:f>
      </x:c>
      <x:c r="AO483" s="23" t="str">
        <x:f>IF(C483="","",IF(AQ483&lt;&gt;"Ready","Unavailable",IF(C483="","",O483+P483+Q483*INDEX('Facilities'!$I$9:$I$108,MATCH(C483,'Facilities'!$C$9:$C$108,0)))))</x:f>
      </x:c>
      <x:c r="AP483" s="21" t="str">
        <x:f>IF(C483="","",IF(AQ483&lt;&gt;"Ready","Unavailable",IF(C483="","",AH483-U483)))</x:f>
      </x:c>
      <x:c r="AQ483" s="23" t="str">
        <x:f>IFERROR(IF(C483="","",IF(AND(INDEX('Facilities'!$AF$9:$AF$108,MATCH(C483,'Facilities'!$C$9:$C$108,0))="Ready",INDEX(Credit!$U$409:$U$508,MATCH(F483,Credit!$C$409:$C$508,0))="Ready",ISNUMBER(W483)),"Ready","Review inputs")),"Review inputs")</x:f>
      </x:c>
      <x:c r="AR483" s="23" t="str">
        <x:f>IF(C483="","",IF(AQ483&lt;&gt;"Ready","Unavailable",IF(C483="","",IF(O483=0,0,(IF(AJ483&lt;=1,O483,O483*INDEX('Facilities'!$R$9:$R$108,MATCH(C483,'Facilities'!$C$9:$C$108,0)))+O483*INDEX('Facilities'!$T$9:$T$108,MATCH(C483,'Facilities'!$C$9:$C$108,0)))/12))))</x:f>
      </x:c>
    </x:row>
    <x:row r="484" ht="26" customHeight="1">
      <x:c r="A484" s="1"/>
      <x:c r="B484" s="1"/>
      <x:c r="C484" s="9" t="str">
        <x:f>IF(Facilities!C84="","",Facilities!C84)</x:f>
      </x:c>
      <x:c r="D484" s="3" t="n">
        <x:v>5</x:v>
      </x:c>
      <x:c r="E484" s="9" t="n">
        <x:f>Settings!$F$18+4</x:f>
        <x:v>2031</x:v>
      </x:c>
      <x:c r="F484" s="9" t="str">
        <x:f>IF(C484="","",IFERROR(INDEX('Facilities'!$D$9:$D$108,MATCH(C484,'Facilities'!$C$9:$C$108,0)),"Unavailable"))</x:f>
      </x:c>
      <x:c r="G484" s="21" t="str">
        <x:f>IF(C484="","",IFERROR(O384,"Unavailable"))</x:f>
      </x:c>
      <x:c r="H484" s="21" t="str">
        <x:f>IF(C484="","",IFERROR(P384,"Unavailable"))</x:f>
      </x:c>
      <x:c r="I484" s="21" t="str">
        <x:f>IF(C484="","",IFERROR(Q384,"Unavailable"))</x:f>
      </x:c>
      <x:c r="J484" s="23" t="str">
        <x:f>IF(C484="","",IFERROR(IF(OR(H484&gt;0,AND(AC484&gt;=0,AC484&lt;D484),D484&gt;INDEX('Facilities'!$J$9:$J$108,MATCH(C484,'Facilities'!$C$9:$C$108,0))),0,I484*'Scenario Paths'!J81),"Unavailable"))</x:f>
      </x:c>
      <x:c r="K484" s="23" t="str">
        <x:f>IF(C484="","",IFERROR(IF(OR(H484&gt;0,AND(AC484&gt;=0,AC484=D484)),0,IF(D484&gt;=INDEX('Facilities'!$J$9:$J$108,MATCH(C484,'Facilities'!$C$9:$C$108,0)),G484+J484,MIN(G484+J484,G484*INDEX('Facilities'!$R$9:$R$108,MATCH(C484,'Facilities'!$C$9:$C$108,0))))),"Unavailable"))</x:f>
      </x:c>
      <x:c r="L484" s="21" t="str">
        <x:f>IF(C484="","",IFERROR(IF(AND(AC484=D484,AC484&gt;0),MAX(0,G484+J484-K484),0),"Unavailable"))</x:f>
      </x:c>
      <x:c r="M484" s="23" t="str">
        <x:f>IF(C484="","",IFERROR(IF(AND(AC484&gt;=0,D484&gt;=AC484+INDEX('Facilities'!$AK$9:$AK$108,MATCH(C484,'Facilities'!$C$9:$C$108,0))),(H484+L484)*AM484,0),"Unavailable"))</x:f>
      </x:c>
      <x:c r="N484" s="23" t="str">
        <x:f>IF(C484="","",IFERROR(IF(AND(AC484&gt;=0,D484&gt;=AC484+INDEX('Facilities'!$AK$9:$AK$108,MATCH(C484,'Facilities'!$C$9:$C$108,0))),H484+L484-M484,0),"Unavailable"))</x:f>
      </x:c>
      <x:c r="O484" s="21" t="str">
        <x:f>IF(C484="","",IFERROR(MAX(0,G484+J484-K484-L484),"Unavailable"))</x:f>
      </x:c>
      <x:c r="P484" s="21" t="str">
        <x:f>IF(C484="","",IFERROR(MAX(0,H484+L484-M484-N484),"Unavailable"))</x:f>
      </x:c>
      <x:c r="Q484" s="23" t="str">
        <x:f>IF(C484="","",IFERROR(IF(OR(D484&gt;=INDEX('Facilities'!$J$9:$J$108,MATCH(C484,'Facilities'!$C$9:$C$108,0)),AND(AC484&gt;=0,AC484&lt;=D484)),0,MAX(0,I484-J484)),"Unavailable"))</x:f>
      </x:c>
      <x:c r="R484" s="30" t="str">
        <x:f>IF(C484="","",IFERROR(INDEX(Credit!$Q$409:$Q$508,MATCH(F484,Credit!$C$409:$C$508,0)),"Unavailable"))</x:f>
      </x:c>
      <x:c r="S484" s="30" t="str">
        <x:f>IF(C484="","",IFERROR(INDEX(Credit!$R$409:$R$508,MATCH(F484,Credit!$C$409:$C$508,0)),"Unavailable"))</x:f>
      </x:c>
      <x:c r="T484" s="23" t="str">
        <x:f>IF(C484="","",IFERROR(IF(P484&gt;0,3,IF(OR(INDEX('Facilities'!$AD$9:$AD$108,MATCH(C484,'Facilities'!$C$9:$C$108,0))=2,AND(R484&gt;=INDEX('Facilities'!$L$9:$L$108,MATCH(C484,'Facilities'!$C$9:$C$108,0))*Settings!$F$19,R484-INDEX('Facilities'!$L$9:$L$108,MATCH(C484,'Facilities'!$C$9:$C$108,0))&gt;=Settings!$F$20)),2,1)),"Unavailable"))</x:f>
      </x:c>
      <x:c r="U484" s="23" t="str">
        <x:f>IF(C484="","",IF(AQ484&lt;&gt;"Ready","Unavailable",IF(C484="","",O484*(1-(1-S484)/(1+INDEX('Facilities'!$K$9:$K$108,MATCH(C484,'Facilities'!$C$9:$C$108,0)))^INDEX('Facilities'!$AK$9:$AK$108,MATCH(C484,'Facilities'!$C$9:$C$108,0)))*R484/(1+INDEX('Facilities'!$K$9:$K$108,MATCH(C484,'Facilities'!$C$9:$C$108,0)))*IF(ABS(1-(1-R484)*(1-INDEX('Facilities'!$R$9:$R$108,MATCH(C484,'Facilities'!$C$9:$C$108,0)))/(1+INDEX('Facilities'!$K$9:$K$108,MATCH(C484,'Facilities'!$C$9:$C$108,0))))&lt;0.000000001,IF(T484=1,MIN(1,AJ484),AJ484),(1-((1-R484)*(1-INDEX('Facilities'!$R$9:$R$108,MATCH(C484,'Facilities'!$C$9:$C$108,0)))/(1+INDEX('Facilities'!$K$9:$K$108,MATCH(C484,'Facilities'!$C$9:$C$108,0))))^IF(T484=1,MIN(1,AJ484),AJ484))/(1-(1-R484)*(1-INDEX('Facilities'!$R$9:$R$108,MATCH(C484,'Facilities'!$C$9:$C$108,0)))/(1+INDEX('Facilities'!$K$9:$K$108,MATCH(C484,'Facilities'!$C$9:$C$108,0)))))+AL484)))</x:f>
      </x:c>
      <x:c r="V484" s="23" t="str">
        <x:f>IF(C484="","",IF(AQ484&lt;&gt;"Ready","Unavailable",IF(C484="","",Q484*INDEX('Facilities'!$I$9:$I$108,MATCH(C484,'Facilities'!$C$9:$C$108,0))*(1-(1-S484)/(1+INDEX('Facilities'!$K$9:$K$108,MATCH(C484,'Facilities'!$C$9:$C$108,0)))^INDEX('Facilities'!$AK$9:$AK$108,MATCH(C484,'Facilities'!$C$9:$C$108,0)))*R484/(1+INDEX('Facilities'!$K$9:$K$108,MATCH(C484,'Facilities'!$C$9:$C$108,0)))*IF(ABS(1-(1-R484)*(1-0)/(1+INDEX('Facilities'!$K$9:$K$108,MATCH(C484,'Facilities'!$C$9:$C$108,0))))&lt;0.000000001,IF(T484=1,MIN(1,AJ484),AJ484),(1-((1-R484)*(1-0)/(1+INDEX('Facilities'!$K$9:$K$108,MATCH(C484,'Facilities'!$C$9:$C$108,0))))^IF(T484=1,MIN(1,AJ484),AJ484))/(1-(1-R484)*(1-0)/(1+INDEX('Facilities'!$K$9:$K$108,MATCH(C484,'Facilities'!$C$9:$C$108,0))))))))</x:f>
      </x:c>
      <x:c r="W484" s="21" t="str">
        <x:f>IF(C484="","",IFERROR(U384,"Unavailable"))</x:f>
      </x:c>
      <x:c r="X484" s="21" t="str">
        <x:f>IF(C484="","",IFERROR(V384,"Unavailable"))</x:f>
      </x:c>
      <x:c r="Y484" s="21" t="str">
        <x:f>IF(C484="","",IF(AQ484&lt;&gt;"Ready","Unavailable",IF(C484="","",U484-W484+V484-X484+N484+AG484)))</x:f>
      </x:c>
      <x:c r="Z484" s="23" t="str">
        <x:f>IF(C484="","",IF(AQ484&lt;&gt;"Ready","Unavailable",IF(C484="","",(G484+O484+L484)/2*INDEX('Facilities'!$T$9:$T$108,MATCH(C484,'Facilities'!$C$9:$C$108,0))+AG484)))</x:f>
      </x:c>
      <x:c r="AA484" s="23" t="str">
        <x:f>IF(C484="","",IF(AQ484&lt;&gt;"Ready","Unavailable",IF(C484="","",O484*(1-IF(INDEX('Facilities'!$AA$9:$AA$108,MATCH(C484,'Facilities'!$C$9:$C$108,0))=0,0,MIN(1,INDEX('Facilities'!$X$9:$X$108,MATCH(C484,'Facilities'!$C$9:$C$108,0))/INDEX('Facilities'!$AA$9:$AA$108,MATCH(C484,'Facilities'!$C$9:$C$108,0)))))*AF484+P484*(1-IF(INDEX('Facilities'!$AA$9:$AA$108,MATCH(C484,'Facilities'!$C$9:$C$108,0))=0,0,MIN(1,INDEX('Facilities'!$X$9:$X$108,MATCH(C484,'Facilities'!$C$9:$C$108,0))/INDEX('Facilities'!$AA$9:$AA$108,MATCH(C484,'Facilities'!$C$9:$C$108,0)))))*INDEX('Facilities'!$AJ$9:$AJ$108,MATCH(C484,'Facilities'!$C$9:$C$108,0))+Q484*INDEX('Facilities'!$AI$9:$AI$108,MATCH(C484,'Facilities'!$C$9:$C$108,0))*AF484)))</x:f>
      </x:c>
      <x:c r="AB484" s="21" t="str">
        <x:f>IF(C484="","",O484+P484-AD484)</x:f>
      </x:c>
      <x:c r="AC484" s="23" t="str">
        <x:f>IF(C484="","",IFERROR(IF(INDEX('Facilities'!$AD$9:$AD$108,MATCH(C484,'Facilities'!$C$9:$C$108,0))=3,0,IF(INDEX('Facilities'!$AN$9:$AN$108,MATCH(C484,'Facilities'!$C$9:$C$108,0))=0,-1,INDEX('Facilities'!$AN$9:$AN$108,MATCH(C484,'Facilities'!$C$9:$C$108,0)))),"Unavailable"))</x:f>
      </x:c>
      <x:c r="AD484" s="21" t="str">
        <x:f>IF(C484="","",IFERROR(G484+H484,"Unavailable"))</x:f>
      </x:c>
      <x:c r="AE484" s="21" t="str">
        <x:f>IF(C484="","",IF(AQ484&lt;&gt;"Ready","Unavailable",IF(C484="","",O484+P484-AD484-J484+K484+M484+N484)))</x:f>
      </x:c>
      <x:c r="AF484" s="30" t="str">
        <x:f>IF(C484="","",IFERROR(INDEX('Facilities'!$S$9:$S$108,MATCH(C484,'Facilities'!$C$9:$C$108,0))*'Scenario Paths'!J75,"Unavailable"))</x:f>
      </x:c>
      <x:c r="AG484" s="23" t="str">
        <x:f>IF(C484="","",IF(AQ484&lt;&gt;"Ready","Unavailable",IF(C484="","",IF(H484&gt;0,MAX(0,H484-AK484)*((1+INDEX('Facilities'!$K$9:$K$108,MATCH(C484,'Facilities'!$C$9:$C$108,0)))^MIN(1,MAX(0,AC484+INDEX('Facilities'!$AK$9:$AK$108,MATCH(C484,'Facilities'!$C$9:$C$108,0))-D484+1))-1),0))))</x:f>
      </x:c>
      <x:c r="AH484" s="21" t="str">
        <x:f>IF(C484="","",IF(AQ484&lt;&gt;"Ready","Unavailable",IF(C484="","",O484+P484)))</x:f>
      </x:c>
      <x:c r="AI484" s="21" t="str">
        <x:f>IF(C484="","",IF(AQ484&lt;&gt;"Ready","Unavailable",IF(C484="","",Z484-Y484)))</x:f>
      </x:c>
      <x:c r="AJ484" s="23" t="str">
        <x:f>IF(C484="","",IFERROR(MAX(0,INDEX('Facilities'!$J$9:$J$108,MATCH(C484,'Facilities'!$C$9:$C$108,0))-D484),"Unavailable"))</x:f>
      </x:c>
      <x:c r="AK484" s="21" t="str">
        <x:f>IF(C484="","",IFERROR(AL384,"Unavailable"))</x:f>
      </x:c>
      <x:c r="AL484" s="23" t="str">
        <x:f>IF(C484="","",IFERROR(IF(P484&gt;0,P484*(1-AM484/(1+INDEX('Facilities'!$K$9:$K$108,MATCH(C484,'Facilities'!$C$9:$C$108,0)))^MAX(0,AC484+INDEX('Facilities'!$AK$9:$AK$108,MATCH(C484,'Facilities'!$C$9:$C$108,0))-D484)),0),"Unavailable"))</x:f>
      </x:c>
      <x:c r="AM484" s="30" t="str">
        <x:f>IF(C484="","",IFERROR(INDEX('Facilities'!$AL$9:$AL$108,MATCH(C484,'Facilities'!$C$9:$C$108,0)),"Unavailable"))</x:f>
      </x:c>
      <x:c r="AN484" s="30" t="str">
        <x:f>IF(C484="","",IFERROR(INDEX(Credit!$T$409:$T$508,MATCH(F484,Credit!$C$409:$C$508,0)),"Unavailable"))</x:f>
      </x:c>
      <x:c r="AO484" s="23" t="str">
        <x:f>IF(C484="","",IF(AQ484&lt;&gt;"Ready","Unavailable",IF(C484="","",O484+P484+Q484*INDEX('Facilities'!$I$9:$I$108,MATCH(C484,'Facilities'!$C$9:$C$108,0)))))</x:f>
      </x:c>
      <x:c r="AP484" s="21" t="str">
        <x:f>IF(C484="","",IF(AQ484&lt;&gt;"Ready","Unavailable",IF(C484="","",AH484-U484)))</x:f>
      </x:c>
      <x:c r="AQ484" s="23" t="str">
        <x:f>IFERROR(IF(C484="","",IF(AND(INDEX('Facilities'!$AF$9:$AF$108,MATCH(C484,'Facilities'!$C$9:$C$108,0))="Ready",INDEX(Credit!$U$409:$U$508,MATCH(F484,Credit!$C$409:$C$508,0))="Ready",ISNUMBER(W484)),"Ready","Review inputs")),"Review inputs")</x:f>
      </x:c>
      <x:c r="AR484" s="23" t="str">
        <x:f>IF(C484="","",IF(AQ484&lt;&gt;"Ready","Unavailable",IF(C484="","",IF(O484=0,0,(IF(AJ484&lt;=1,O484,O484*INDEX('Facilities'!$R$9:$R$108,MATCH(C484,'Facilities'!$C$9:$C$108,0)))+O484*INDEX('Facilities'!$T$9:$T$108,MATCH(C484,'Facilities'!$C$9:$C$108,0)))/12))))</x:f>
      </x:c>
    </x:row>
    <x:row r="485" ht="26" customHeight="1">
      <x:c r="A485" s="1"/>
      <x:c r="B485" s="1"/>
      <x:c r="C485" s="9" t="str">
        <x:f>IF(Facilities!C85="","",Facilities!C85)</x:f>
      </x:c>
      <x:c r="D485" s="3" t="n">
        <x:v>5</x:v>
      </x:c>
      <x:c r="E485" s="9" t="n">
        <x:f>Settings!$F$18+4</x:f>
        <x:v>2031</x:v>
      </x:c>
      <x:c r="F485" s="9" t="str">
        <x:f>IF(C485="","",IFERROR(INDEX('Facilities'!$D$9:$D$108,MATCH(C485,'Facilities'!$C$9:$C$108,0)),"Unavailable"))</x:f>
      </x:c>
      <x:c r="G485" s="21" t="str">
        <x:f>IF(C485="","",IFERROR(O385,"Unavailable"))</x:f>
      </x:c>
      <x:c r="H485" s="21" t="str">
        <x:f>IF(C485="","",IFERROR(P385,"Unavailable"))</x:f>
      </x:c>
      <x:c r="I485" s="21" t="str">
        <x:f>IF(C485="","",IFERROR(Q385,"Unavailable"))</x:f>
      </x:c>
      <x:c r="J485" s="23" t="str">
        <x:f>IF(C485="","",IFERROR(IF(OR(H485&gt;0,AND(AC485&gt;=0,AC485&lt;D485),D485&gt;INDEX('Facilities'!$J$9:$J$108,MATCH(C485,'Facilities'!$C$9:$C$108,0))),0,I485*'Scenario Paths'!J81),"Unavailable"))</x:f>
      </x:c>
      <x:c r="K485" s="23" t="str">
        <x:f>IF(C485="","",IFERROR(IF(OR(H485&gt;0,AND(AC485&gt;=0,AC485=D485)),0,IF(D485&gt;=INDEX('Facilities'!$J$9:$J$108,MATCH(C485,'Facilities'!$C$9:$C$108,0)),G485+J485,MIN(G485+J485,G485*INDEX('Facilities'!$R$9:$R$108,MATCH(C485,'Facilities'!$C$9:$C$108,0))))),"Unavailable"))</x:f>
      </x:c>
      <x:c r="L485" s="21" t="str">
        <x:f>IF(C485="","",IFERROR(IF(AND(AC485=D485,AC485&gt;0),MAX(0,G485+J485-K485),0),"Unavailable"))</x:f>
      </x:c>
      <x:c r="M485" s="23" t="str">
        <x:f>IF(C485="","",IFERROR(IF(AND(AC485&gt;=0,D485&gt;=AC485+INDEX('Facilities'!$AK$9:$AK$108,MATCH(C485,'Facilities'!$C$9:$C$108,0))),(H485+L485)*AM485,0),"Unavailable"))</x:f>
      </x:c>
      <x:c r="N485" s="23" t="str">
        <x:f>IF(C485="","",IFERROR(IF(AND(AC485&gt;=0,D485&gt;=AC485+INDEX('Facilities'!$AK$9:$AK$108,MATCH(C485,'Facilities'!$C$9:$C$108,0))),H485+L485-M485,0),"Unavailable"))</x:f>
      </x:c>
      <x:c r="O485" s="21" t="str">
        <x:f>IF(C485="","",IFERROR(MAX(0,G485+J485-K485-L485),"Unavailable"))</x:f>
      </x:c>
      <x:c r="P485" s="21" t="str">
        <x:f>IF(C485="","",IFERROR(MAX(0,H485+L485-M485-N485),"Unavailable"))</x:f>
      </x:c>
      <x:c r="Q485" s="23" t="str">
        <x:f>IF(C485="","",IFERROR(IF(OR(D485&gt;=INDEX('Facilities'!$J$9:$J$108,MATCH(C485,'Facilities'!$C$9:$C$108,0)),AND(AC485&gt;=0,AC485&lt;=D485)),0,MAX(0,I485-J485)),"Unavailable"))</x:f>
      </x:c>
      <x:c r="R485" s="30" t="str">
        <x:f>IF(C485="","",IFERROR(INDEX(Credit!$Q$409:$Q$508,MATCH(F485,Credit!$C$409:$C$508,0)),"Unavailable"))</x:f>
      </x:c>
      <x:c r="S485" s="30" t="str">
        <x:f>IF(C485="","",IFERROR(INDEX(Credit!$R$409:$R$508,MATCH(F485,Credit!$C$409:$C$508,0)),"Unavailable"))</x:f>
      </x:c>
      <x:c r="T485" s="23" t="str">
        <x:f>IF(C485="","",IFERROR(IF(P485&gt;0,3,IF(OR(INDEX('Facilities'!$AD$9:$AD$108,MATCH(C485,'Facilities'!$C$9:$C$108,0))=2,AND(R485&gt;=INDEX('Facilities'!$L$9:$L$108,MATCH(C485,'Facilities'!$C$9:$C$108,0))*Settings!$F$19,R485-INDEX('Facilities'!$L$9:$L$108,MATCH(C485,'Facilities'!$C$9:$C$108,0))&gt;=Settings!$F$20)),2,1)),"Unavailable"))</x:f>
      </x:c>
      <x:c r="U485" s="23" t="str">
        <x:f>IF(C485="","",IF(AQ485&lt;&gt;"Ready","Unavailable",IF(C485="","",O485*(1-(1-S485)/(1+INDEX('Facilities'!$K$9:$K$108,MATCH(C485,'Facilities'!$C$9:$C$108,0)))^INDEX('Facilities'!$AK$9:$AK$108,MATCH(C485,'Facilities'!$C$9:$C$108,0)))*R485/(1+INDEX('Facilities'!$K$9:$K$108,MATCH(C485,'Facilities'!$C$9:$C$108,0)))*IF(ABS(1-(1-R485)*(1-INDEX('Facilities'!$R$9:$R$108,MATCH(C485,'Facilities'!$C$9:$C$108,0)))/(1+INDEX('Facilities'!$K$9:$K$108,MATCH(C485,'Facilities'!$C$9:$C$108,0))))&lt;0.000000001,IF(T485=1,MIN(1,AJ485),AJ485),(1-((1-R485)*(1-INDEX('Facilities'!$R$9:$R$108,MATCH(C485,'Facilities'!$C$9:$C$108,0)))/(1+INDEX('Facilities'!$K$9:$K$108,MATCH(C485,'Facilities'!$C$9:$C$108,0))))^IF(T485=1,MIN(1,AJ485),AJ485))/(1-(1-R485)*(1-INDEX('Facilities'!$R$9:$R$108,MATCH(C485,'Facilities'!$C$9:$C$108,0)))/(1+INDEX('Facilities'!$K$9:$K$108,MATCH(C485,'Facilities'!$C$9:$C$108,0)))))+AL485)))</x:f>
      </x:c>
      <x:c r="V485" s="23" t="str">
        <x:f>IF(C485="","",IF(AQ485&lt;&gt;"Ready","Unavailable",IF(C485="","",Q485*INDEX('Facilities'!$I$9:$I$108,MATCH(C485,'Facilities'!$C$9:$C$108,0))*(1-(1-S485)/(1+INDEX('Facilities'!$K$9:$K$108,MATCH(C485,'Facilities'!$C$9:$C$108,0)))^INDEX('Facilities'!$AK$9:$AK$108,MATCH(C485,'Facilities'!$C$9:$C$108,0)))*R485/(1+INDEX('Facilities'!$K$9:$K$108,MATCH(C485,'Facilities'!$C$9:$C$108,0)))*IF(ABS(1-(1-R485)*(1-0)/(1+INDEX('Facilities'!$K$9:$K$108,MATCH(C485,'Facilities'!$C$9:$C$108,0))))&lt;0.000000001,IF(T485=1,MIN(1,AJ485),AJ485),(1-((1-R485)*(1-0)/(1+INDEX('Facilities'!$K$9:$K$108,MATCH(C485,'Facilities'!$C$9:$C$108,0))))^IF(T485=1,MIN(1,AJ485),AJ485))/(1-(1-R485)*(1-0)/(1+INDEX('Facilities'!$K$9:$K$108,MATCH(C485,'Facilities'!$C$9:$C$108,0))))))))</x:f>
      </x:c>
      <x:c r="W485" s="21" t="str">
        <x:f>IF(C485="","",IFERROR(U385,"Unavailable"))</x:f>
      </x:c>
      <x:c r="X485" s="21" t="str">
        <x:f>IF(C485="","",IFERROR(V385,"Unavailable"))</x:f>
      </x:c>
      <x:c r="Y485" s="21" t="str">
        <x:f>IF(C485="","",IF(AQ485&lt;&gt;"Ready","Unavailable",IF(C485="","",U485-W485+V485-X485+N485+AG485)))</x:f>
      </x:c>
      <x:c r="Z485" s="23" t="str">
        <x:f>IF(C485="","",IF(AQ485&lt;&gt;"Ready","Unavailable",IF(C485="","",(G485+O485+L485)/2*INDEX('Facilities'!$T$9:$T$108,MATCH(C485,'Facilities'!$C$9:$C$108,0))+AG485)))</x:f>
      </x:c>
      <x:c r="AA485" s="23" t="str">
        <x:f>IF(C485="","",IF(AQ485&lt;&gt;"Ready","Unavailable",IF(C485="","",O485*(1-IF(INDEX('Facilities'!$AA$9:$AA$108,MATCH(C485,'Facilities'!$C$9:$C$108,0))=0,0,MIN(1,INDEX('Facilities'!$X$9:$X$108,MATCH(C485,'Facilities'!$C$9:$C$108,0))/INDEX('Facilities'!$AA$9:$AA$108,MATCH(C485,'Facilities'!$C$9:$C$108,0)))))*AF485+P485*(1-IF(INDEX('Facilities'!$AA$9:$AA$108,MATCH(C485,'Facilities'!$C$9:$C$108,0))=0,0,MIN(1,INDEX('Facilities'!$X$9:$X$108,MATCH(C485,'Facilities'!$C$9:$C$108,0))/INDEX('Facilities'!$AA$9:$AA$108,MATCH(C485,'Facilities'!$C$9:$C$108,0)))))*INDEX('Facilities'!$AJ$9:$AJ$108,MATCH(C485,'Facilities'!$C$9:$C$108,0))+Q485*INDEX('Facilities'!$AI$9:$AI$108,MATCH(C485,'Facilities'!$C$9:$C$108,0))*AF485)))</x:f>
      </x:c>
      <x:c r="AB485" s="21" t="str">
        <x:f>IF(C485="","",O485+P485-AD485)</x:f>
      </x:c>
      <x:c r="AC485" s="23" t="str">
        <x:f>IF(C485="","",IFERROR(IF(INDEX('Facilities'!$AD$9:$AD$108,MATCH(C485,'Facilities'!$C$9:$C$108,0))=3,0,IF(INDEX('Facilities'!$AN$9:$AN$108,MATCH(C485,'Facilities'!$C$9:$C$108,0))=0,-1,INDEX('Facilities'!$AN$9:$AN$108,MATCH(C485,'Facilities'!$C$9:$C$108,0)))),"Unavailable"))</x:f>
      </x:c>
      <x:c r="AD485" s="21" t="str">
        <x:f>IF(C485="","",IFERROR(G485+H485,"Unavailable"))</x:f>
      </x:c>
      <x:c r="AE485" s="21" t="str">
        <x:f>IF(C485="","",IF(AQ485&lt;&gt;"Ready","Unavailable",IF(C485="","",O485+P485-AD485-J485+K485+M485+N485)))</x:f>
      </x:c>
      <x:c r="AF485" s="30" t="str">
        <x:f>IF(C485="","",IFERROR(INDEX('Facilities'!$S$9:$S$108,MATCH(C485,'Facilities'!$C$9:$C$108,0))*'Scenario Paths'!J75,"Unavailable"))</x:f>
      </x:c>
      <x:c r="AG485" s="23" t="str">
        <x:f>IF(C485="","",IF(AQ485&lt;&gt;"Ready","Unavailable",IF(C485="","",IF(H485&gt;0,MAX(0,H485-AK485)*((1+INDEX('Facilities'!$K$9:$K$108,MATCH(C485,'Facilities'!$C$9:$C$108,0)))^MIN(1,MAX(0,AC485+INDEX('Facilities'!$AK$9:$AK$108,MATCH(C485,'Facilities'!$C$9:$C$108,0))-D485+1))-1),0))))</x:f>
      </x:c>
      <x:c r="AH485" s="21" t="str">
        <x:f>IF(C485="","",IF(AQ485&lt;&gt;"Ready","Unavailable",IF(C485="","",O485+P485)))</x:f>
      </x:c>
      <x:c r="AI485" s="21" t="str">
        <x:f>IF(C485="","",IF(AQ485&lt;&gt;"Ready","Unavailable",IF(C485="","",Z485-Y485)))</x:f>
      </x:c>
      <x:c r="AJ485" s="23" t="str">
        <x:f>IF(C485="","",IFERROR(MAX(0,INDEX('Facilities'!$J$9:$J$108,MATCH(C485,'Facilities'!$C$9:$C$108,0))-D485),"Unavailable"))</x:f>
      </x:c>
      <x:c r="AK485" s="21" t="str">
        <x:f>IF(C485="","",IFERROR(AL385,"Unavailable"))</x:f>
      </x:c>
      <x:c r="AL485" s="23" t="str">
        <x:f>IF(C485="","",IFERROR(IF(P485&gt;0,P485*(1-AM485/(1+INDEX('Facilities'!$K$9:$K$108,MATCH(C485,'Facilities'!$C$9:$C$108,0)))^MAX(0,AC485+INDEX('Facilities'!$AK$9:$AK$108,MATCH(C485,'Facilities'!$C$9:$C$108,0))-D485)),0),"Unavailable"))</x:f>
      </x:c>
      <x:c r="AM485" s="30" t="str">
        <x:f>IF(C485="","",IFERROR(INDEX('Facilities'!$AL$9:$AL$108,MATCH(C485,'Facilities'!$C$9:$C$108,0)),"Unavailable"))</x:f>
      </x:c>
      <x:c r="AN485" s="30" t="str">
        <x:f>IF(C485="","",IFERROR(INDEX(Credit!$T$409:$T$508,MATCH(F485,Credit!$C$409:$C$508,0)),"Unavailable"))</x:f>
      </x:c>
      <x:c r="AO485" s="23" t="str">
        <x:f>IF(C485="","",IF(AQ485&lt;&gt;"Ready","Unavailable",IF(C485="","",O485+P485+Q485*INDEX('Facilities'!$I$9:$I$108,MATCH(C485,'Facilities'!$C$9:$C$108,0)))))</x:f>
      </x:c>
      <x:c r="AP485" s="21" t="str">
        <x:f>IF(C485="","",IF(AQ485&lt;&gt;"Ready","Unavailable",IF(C485="","",AH485-U485)))</x:f>
      </x:c>
      <x:c r="AQ485" s="23" t="str">
        <x:f>IFERROR(IF(C485="","",IF(AND(INDEX('Facilities'!$AF$9:$AF$108,MATCH(C485,'Facilities'!$C$9:$C$108,0))="Ready",INDEX(Credit!$U$409:$U$508,MATCH(F485,Credit!$C$409:$C$508,0))="Ready",ISNUMBER(W485)),"Ready","Review inputs")),"Review inputs")</x:f>
      </x:c>
      <x:c r="AR485" s="23" t="str">
        <x:f>IF(C485="","",IF(AQ485&lt;&gt;"Ready","Unavailable",IF(C485="","",IF(O485=0,0,(IF(AJ485&lt;=1,O485,O485*INDEX('Facilities'!$R$9:$R$108,MATCH(C485,'Facilities'!$C$9:$C$108,0)))+O485*INDEX('Facilities'!$T$9:$T$108,MATCH(C485,'Facilities'!$C$9:$C$108,0)))/12))))</x:f>
      </x:c>
    </x:row>
    <x:row r="486" ht="26" customHeight="1">
      <x:c r="A486" s="1"/>
      <x:c r="B486" s="1"/>
      <x:c r="C486" s="9" t="str">
        <x:f>IF(Facilities!C86="","",Facilities!C86)</x:f>
      </x:c>
      <x:c r="D486" s="3" t="n">
        <x:v>5</x:v>
      </x:c>
      <x:c r="E486" s="9" t="n">
        <x:f>Settings!$F$18+4</x:f>
        <x:v>2031</x:v>
      </x:c>
      <x:c r="F486" s="9" t="str">
        <x:f>IF(C486="","",IFERROR(INDEX('Facilities'!$D$9:$D$108,MATCH(C486,'Facilities'!$C$9:$C$108,0)),"Unavailable"))</x:f>
      </x:c>
      <x:c r="G486" s="21" t="str">
        <x:f>IF(C486="","",IFERROR(O386,"Unavailable"))</x:f>
      </x:c>
      <x:c r="H486" s="21" t="str">
        <x:f>IF(C486="","",IFERROR(P386,"Unavailable"))</x:f>
      </x:c>
      <x:c r="I486" s="21" t="str">
        <x:f>IF(C486="","",IFERROR(Q386,"Unavailable"))</x:f>
      </x:c>
      <x:c r="J486" s="23" t="str">
        <x:f>IF(C486="","",IFERROR(IF(OR(H486&gt;0,AND(AC486&gt;=0,AC486&lt;D486),D486&gt;INDEX('Facilities'!$J$9:$J$108,MATCH(C486,'Facilities'!$C$9:$C$108,0))),0,I486*'Scenario Paths'!J81),"Unavailable"))</x:f>
      </x:c>
      <x:c r="K486" s="23" t="str">
        <x:f>IF(C486="","",IFERROR(IF(OR(H486&gt;0,AND(AC486&gt;=0,AC486=D486)),0,IF(D486&gt;=INDEX('Facilities'!$J$9:$J$108,MATCH(C486,'Facilities'!$C$9:$C$108,0)),G486+J486,MIN(G486+J486,G486*INDEX('Facilities'!$R$9:$R$108,MATCH(C486,'Facilities'!$C$9:$C$108,0))))),"Unavailable"))</x:f>
      </x:c>
      <x:c r="L486" s="21" t="str">
        <x:f>IF(C486="","",IFERROR(IF(AND(AC486=D486,AC486&gt;0),MAX(0,G486+J486-K486),0),"Unavailable"))</x:f>
      </x:c>
      <x:c r="M486" s="23" t="str">
        <x:f>IF(C486="","",IFERROR(IF(AND(AC486&gt;=0,D486&gt;=AC486+INDEX('Facilities'!$AK$9:$AK$108,MATCH(C486,'Facilities'!$C$9:$C$108,0))),(H486+L486)*AM486,0),"Unavailable"))</x:f>
      </x:c>
      <x:c r="N486" s="23" t="str">
        <x:f>IF(C486="","",IFERROR(IF(AND(AC486&gt;=0,D486&gt;=AC486+INDEX('Facilities'!$AK$9:$AK$108,MATCH(C486,'Facilities'!$C$9:$C$108,0))),H486+L486-M486,0),"Unavailable"))</x:f>
      </x:c>
      <x:c r="O486" s="21" t="str">
        <x:f>IF(C486="","",IFERROR(MAX(0,G486+J486-K486-L486),"Unavailable"))</x:f>
      </x:c>
      <x:c r="P486" s="21" t="str">
        <x:f>IF(C486="","",IFERROR(MAX(0,H486+L486-M486-N486),"Unavailable"))</x:f>
      </x:c>
      <x:c r="Q486" s="23" t="str">
        <x:f>IF(C486="","",IFERROR(IF(OR(D486&gt;=INDEX('Facilities'!$J$9:$J$108,MATCH(C486,'Facilities'!$C$9:$C$108,0)),AND(AC486&gt;=0,AC486&lt;=D486)),0,MAX(0,I486-J486)),"Unavailable"))</x:f>
      </x:c>
      <x:c r="R486" s="30" t="str">
        <x:f>IF(C486="","",IFERROR(INDEX(Credit!$Q$409:$Q$508,MATCH(F486,Credit!$C$409:$C$508,0)),"Unavailable"))</x:f>
      </x:c>
      <x:c r="S486" s="30" t="str">
        <x:f>IF(C486="","",IFERROR(INDEX(Credit!$R$409:$R$508,MATCH(F486,Credit!$C$409:$C$508,0)),"Unavailable"))</x:f>
      </x:c>
      <x:c r="T486" s="23" t="str">
        <x:f>IF(C486="","",IFERROR(IF(P486&gt;0,3,IF(OR(INDEX('Facilities'!$AD$9:$AD$108,MATCH(C486,'Facilities'!$C$9:$C$108,0))=2,AND(R486&gt;=INDEX('Facilities'!$L$9:$L$108,MATCH(C486,'Facilities'!$C$9:$C$108,0))*Settings!$F$19,R486-INDEX('Facilities'!$L$9:$L$108,MATCH(C486,'Facilities'!$C$9:$C$108,0))&gt;=Settings!$F$20)),2,1)),"Unavailable"))</x:f>
      </x:c>
      <x:c r="U486" s="23" t="str">
        <x:f>IF(C486="","",IF(AQ486&lt;&gt;"Ready","Unavailable",IF(C486="","",O486*(1-(1-S486)/(1+INDEX('Facilities'!$K$9:$K$108,MATCH(C486,'Facilities'!$C$9:$C$108,0)))^INDEX('Facilities'!$AK$9:$AK$108,MATCH(C486,'Facilities'!$C$9:$C$108,0)))*R486/(1+INDEX('Facilities'!$K$9:$K$108,MATCH(C486,'Facilities'!$C$9:$C$108,0)))*IF(ABS(1-(1-R486)*(1-INDEX('Facilities'!$R$9:$R$108,MATCH(C486,'Facilities'!$C$9:$C$108,0)))/(1+INDEX('Facilities'!$K$9:$K$108,MATCH(C486,'Facilities'!$C$9:$C$108,0))))&lt;0.000000001,IF(T486=1,MIN(1,AJ486),AJ486),(1-((1-R486)*(1-INDEX('Facilities'!$R$9:$R$108,MATCH(C486,'Facilities'!$C$9:$C$108,0)))/(1+INDEX('Facilities'!$K$9:$K$108,MATCH(C486,'Facilities'!$C$9:$C$108,0))))^IF(T486=1,MIN(1,AJ486),AJ486))/(1-(1-R486)*(1-INDEX('Facilities'!$R$9:$R$108,MATCH(C486,'Facilities'!$C$9:$C$108,0)))/(1+INDEX('Facilities'!$K$9:$K$108,MATCH(C486,'Facilities'!$C$9:$C$108,0)))))+AL486)))</x:f>
      </x:c>
      <x:c r="V486" s="23" t="str">
        <x:f>IF(C486="","",IF(AQ486&lt;&gt;"Ready","Unavailable",IF(C486="","",Q486*INDEX('Facilities'!$I$9:$I$108,MATCH(C486,'Facilities'!$C$9:$C$108,0))*(1-(1-S486)/(1+INDEX('Facilities'!$K$9:$K$108,MATCH(C486,'Facilities'!$C$9:$C$108,0)))^INDEX('Facilities'!$AK$9:$AK$108,MATCH(C486,'Facilities'!$C$9:$C$108,0)))*R486/(1+INDEX('Facilities'!$K$9:$K$108,MATCH(C486,'Facilities'!$C$9:$C$108,0)))*IF(ABS(1-(1-R486)*(1-0)/(1+INDEX('Facilities'!$K$9:$K$108,MATCH(C486,'Facilities'!$C$9:$C$108,0))))&lt;0.000000001,IF(T486=1,MIN(1,AJ486),AJ486),(1-((1-R486)*(1-0)/(1+INDEX('Facilities'!$K$9:$K$108,MATCH(C486,'Facilities'!$C$9:$C$108,0))))^IF(T486=1,MIN(1,AJ486),AJ486))/(1-(1-R486)*(1-0)/(1+INDEX('Facilities'!$K$9:$K$108,MATCH(C486,'Facilities'!$C$9:$C$108,0))))))))</x:f>
      </x:c>
      <x:c r="W486" s="21" t="str">
        <x:f>IF(C486="","",IFERROR(U386,"Unavailable"))</x:f>
      </x:c>
      <x:c r="X486" s="21" t="str">
        <x:f>IF(C486="","",IFERROR(V386,"Unavailable"))</x:f>
      </x:c>
      <x:c r="Y486" s="21" t="str">
        <x:f>IF(C486="","",IF(AQ486&lt;&gt;"Ready","Unavailable",IF(C486="","",U486-W486+V486-X486+N486+AG486)))</x:f>
      </x:c>
      <x:c r="Z486" s="23" t="str">
        <x:f>IF(C486="","",IF(AQ486&lt;&gt;"Ready","Unavailable",IF(C486="","",(G486+O486+L486)/2*INDEX('Facilities'!$T$9:$T$108,MATCH(C486,'Facilities'!$C$9:$C$108,0))+AG486)))</x:f>
      </x:c>
      <x:c r="AA486" s="23" t="str">
        <x:f>IF(C486="","",IF(AQ486&lt;&gt;"Ready","Unavailable",IF(C486="","",O486*(1-IF(INDEX('Facilities'!$AA$9:$AA$108,MATCH(C486,'Facilities'!$C$9:$C$108,0))=0,0,MIN(1,INDEX('Facilities'!$X$9:$X$108,MATCH(C486,'Facilities'!$C$9:$C$108,0))/INDEX('Facilities'!$AA$9:$AA$108,MATCH(C486,'Facilities'!$C$9:$C$108,0)))))*AF486+P486*(1-IF(INDEX('Facilities'!$AA$9:$AA$108,MATCH(C486,'Facilities'!$C$9:$C$108,0))=0,0,MIN(1,INDEX('Facilities'!$X$9:$X$108,MATCH(C486,'Facilities'!$C$9:$C$108,0))/INDEX('Facilities'!$AA$9:$AA$108,MATCH(C486,'Facilities'!$C$9:$C$108,0)))))*INDEX('Facilities'!$AJ$9:$AJ$108,MATCH(C486,'Facilities'!$C$9:$C$108,0))+Q486*INDEX('Facilities'!$AI$9:$AI$108,MATCH(C486,'Facilities'!$C$9:$C$108,0))*AF486)))</x:f>
      </x:c>
      <x:c r="AB486" s="21" t="str">
        <x:f>IF(C486="","",O486+P486-AD486)</x:f>
      </x:c>
      <x:c r="AC486" s="23" t="str">
        <x:f>IF(C486="","",IFERROR(IF(INDEX('Facilities'!$AD$9:$AD$108,MATCH(C486,'Facilities'!$C$9:$C$108,0))=3,0,IF(INDEX('Facilities'!$AN$9:$AN$108,MATCH(C486,'Facilities'!$C$9:$C$108,0))=0,-1,INDEX('Facilities'!$AN$9:$AN$108,MATCH(C486,'Facilities'!$C$9:$C$108,0)))),"Unavailable"))</x:f>
      </x:c>
      <x:c r="AD486" s="21" t="str">
        <x:f>IF(C486="","",IFERROR(G486+H486,"Unavailable"))</x:f>
      </x:c>
      <x:c r="AE486" s="21" t="str">
        <x:f>IF(C486="","",IF(AQ486&lt;&gt;"Ready","Unavailable",IF(C486="","",O486+P486-AD486-J486+K486+M486+N486)))</x:f>
      </x:c>
      <x:c r="AF486" s="30" t="str">
        <x:f>IF(C486="","",IFERROR(INDEX('Facilities'!$S$9:$S$108,MATCH(C486,'Facilities'!$C$9:$C$108,0))*'Scenario Paths'!J75,"Unavailable"))</x:f>
      </x:c>
      <x:c r="AG486" s="23" t="str">
        <x:f>IF(C486="","",IF(AQ486&lt;&gt;"Ready","Unavailable",IF(C486="","",IF(H486&gt;0,MAX(0,H486-AK486)*((1+INDEX('Facilities'!$K$9:$K$108,MATCH(C486,'Facilities'!$C$9:$C$108,0)))^MIN(1,MAX(0,AC486+INDEX('Facilities'!$AK$9:$AK$108,MATCH(C486,'Facilities'!$C$9:$C$108,0))-D486+1))-1),0))))</x:f>
      </x:c>
      <x:c r="AH486" s="21" t="str">
        <x:f>IF(C486="","",IF(AQ486&lt;&gt;"Ready","Unavailable",IF(C486="","",O486+P486)))</x:f>
      </x:c>
      <x:c r="AI486" s="21" t="str">
        <x:f>IF(C486="","",IF(AQ486&lt;&gt;"Ready","Unavailable",IF(C486="","",Z486-Y486)))</x:f>
      </x:c>
      <x:c r="AJ486" s="23" t="str">
        <x:f>IF(C486="","",IFERROR(MAX(0,INDEX('Facilities'!$J$9:$J$108,MATCH(C486,'Facilities'!$C$9:$C$108,0))-D486),"Unavailable"))</x:f>
      </x:c>
      <x:c r="AK486" s="21" t="str">
        <x:f>IF(C486="","",IFERROR(AL386,"Unavailable"))</x:f>
      </x:c>
      <x:c r="AL486" s="23" t="str">
        <x:f>IF(C486="","",IFERROR(IF(P486&gt;0,P486*(1-AM486/(1+INDEX('Facilities'!$K$9:$K$108,MATCH(C486,'Facilities'!$C$9:$C$108,0)))^MAX(0,AC486+INDEX('Facilities'!$AK$9:$AK$108,MATCH(C486,'Facilities'!$C$9:$C$108,0))-D486)),0),"Unavailable"))</x:f>
      </x:c>
      <x:c r="AM486" s="30" t="str">
        <x:f>IF(C486="","",IFERROR(INDEX('Facilities'!$AL$9:$AL$108,MATCH(C486,'Facilities'!$C$9:$C$108,0)),"Unavailable"))</x:f>
      </x:c>
      <x:c r="AN486" s="30" t="str">
        <x:f>IF(C486="","",IFERROR(INDEX(Credit!$T$409:$T$508,MATCH(F486,Credit!$C$409:$C$508,0)),"Unavailable"))</x:f>
      </x:c>
      <x:c r="AO486" s="23" t="str">
        <x:f>IF(C486="","",IF(AQ486&lt;&gt;"Ready","Unavailable",IF(C486="","",O486+P486+Q486*INDEX('Facilities'!$I$9:$I$108,MATCH(C486,'Facilities'!$C$9:$C$108,0)))))</x:f>
      </x:c>
      <x:c r="AP486" s="21" t="str">
        <x:f>IF(C486="","",IF(AQ486&lt;&gt;"Ready","Unavailable",IF(C486="","",AH486-U486)))</x:f>
      </x:c>
      <x:c r="AQ486" s="23" t="str">
        <x:f>IFERROR(IF(C486="","",IF(AND(INDEX('Facilities'!$AF$9:$AF$108,MATCH(C486,'Facilities'!$C$9:$C$108,0))="Ready",INDEX(Credit!$U$409:$U$508,MATCH(F486,Credit!$C$409:$C$508,0))="Ready",ISNUMBER(W486)),"Ready","Review inputs")),"Review inputs")</x:f>
      </x:c>
      <x:c r="AR486" s="23" t="str">
        <x:f>IF(C486="","",IF(AQ486&lt;&gt;"Ready","Unavailable",IF(C486="","",IF(O486=0,0,(IF(AJ486&lt;=1,O486,O486*INDEX('Facilities'!$R$9:$R$108,MATCH(C486,'Facilities'!$C$9:$C$108,0)))+O486*INDEX('Facilities'!$T$9:$T$108,MATCH(C486,'Facilities'!$C$9:$C$108,0)))/12))))</x:f>
      </x:c>
    </x:row>
    <x:row r="487" ht="26" customHeight="1">
      <x:c r="A487" s="1"/>
      <x:c r="B487" s="1"/>
      <x:c r="C487" s="9" t="str">
        <x:f>IF(Facilities!C87="","",Facilities!C87)</x:f>
      </x:c>
      <x:c r="D487" s="3" t="n">
        <x:v>5</x:v>
      </x:c>
      <x:c r="E487" s="9" t="n">
        <x:f>Settings!$F$18+4</x:f>
        <x:v>2031</x:v>
      </x:c>
      <x:c r="F487" s="9" t="str">
        <x:f>IF(C487="","",IFERROR(INDEX('Facilities'!$D$9:$D$108,MATCH(C487,'Facilities'!$C$9:$C$108,0)),"Unavailable"))</x:f>
      </x:c>
      <x:c r="G487" s="21" t="str">
        <x:f>IF(C487="","",IFERROR(O387,"Unavailable"))</x:f>
      </x:c>
      <x:c r="H487" s="21" t="str">
        <x:f>IF(C487="","",IFERROR(P387,"Unavailable"))</x:f>
      </x:c>
      <x:c r="I487" s="21" t="str">
        <x:f>IF(C487="","",IFERROR(Q387,"Unavailable"))</x:f>
      </x:c>
      <x:c r="J487" s="23" t="str">
        <x:f>IF(C487="","",IFERROR(IF(OR(H487&gt;0,AND(AC487&gt;=0,AC487&lt;D487),D487&gt;INDEX('Facilities'!$J$9:$J$108,MATCH(C487,'Facilities'!$C$9:$C$108,0))),0,I487*'Scenario Paths'!J81),"Unavailable"))</x:f>
      </x:c>
      <x:c r="K487" s="23" t="str">
        <x:f>IF(C487="","",IFERROR(IF(OR(H487&gt;0,AND(AC487&gt;=0,AC487=D487)),0,IF(D487&gt;=INDEX('Facilities'!$J$9:$J$108,MATCH(C487,'Facilities'!$C$9:$C$108,0)),G487+J487,MIN(G487+J487,G487*INDEX('Facilities'!$R$9:$R$108,MATCH(C487,'Facilities'!$C$9:$C$108,0))))),"Unavailable"))</x:f>
      </x:c>
      <x:c r="L487" s="21" t="str">
        <x:f>IF(C487="","",IFERROR(IF(AND(AC487=D487,AC487&gt;0),MAX(0,G487+J487-K487),0),"Unavailable"))</x:f>
      </x:c>
      <x:c r="M487" s="23" t="str">
        <x:f>IF(C487="","",IFERROR(IF(AND(AC487&gt;=0,D487&gt;=AC487+INDEX('Facilities'!$AK$9:$AK$108,MATCH(C487,'Facilities'!$C$9:$C$108,0))),(H487+L487)*AM487,0),"Unavailable"))</x:f>
      </x:c>
      <x:c r="N487" s="23" t="str">
        <x:f>IF(C487="","",IFERROR(IF(AND(AC487&gt;=0,D487&gt;=AC487+INDEX('Facilities'!$AK$9:$AK$108,MATCH(C487,'Facilities'!$C$9:$C$108,0))),H487+L487-M487,0),"Unavailable"))</x:f>
      </x:c>
      <x:c r="O487" s="21" t="str">
        <x:f>IF(C487="","",IFERROR(MAX(0,G487+J487-K487-L487),"Unavailable"))</x:f>
      </x:c>
      <x:c r="P487" s="21" t="str">
        <x:f>IF(C487="","",IFERROR(MAX(0,H487+L487-M487-N487),"Unavailable"))</x:f>
      </x:c>
      <x:c r="Q487" s="23" t="str">
        <x:f>IF(C487="","",IFERROR(IF(OR(D487&gt;=INDEX('Facilities'!$J$9:$J$108,MATCH(C487,'Facilities'!$C$9:$C$108,0)),AND(AC487&gt;=0,AC487&lt;=D487)),0,MAX(0,I487-J487)),"Unavailable"))</x:f>
      </x:c>
      <x:c r="R487" s="30" t="str">
        <x:f>IF(C487="","",IFERROR(INDEX(Credit!$Q$409:$Q$508,MATCH(F487,Credit!$C$409:$C$508,0)),"Unavailable"))</x:f>
      </x:c>
      <x:c r="S487" s="30" t="str">
        <x:f>IF(C487="","",IFERROR(INDEX(Credit!$R$409:$R$508,MATCH(F487,Credit!$C$409:$C$508,0)),"Unavailable"))</x:f>
      </x:c>
      <x:c r="T487" s="23" t="str">
        <x:f>IF(C487="","",IFERROR(IF(P487&gt;0,3,IF(OR(INDEX('Facilities'!$AD$9:$AD$108,MATCH(C487,'Facilities'!$C$9:$C$108,0))=2,AND(R487&gt;=INDEX('Facilities'!$L$9:$L$108,MATCH(C487,'Facilities'!$C$9:$C$108,0))*Settings!$F$19,R487-INDEX('Facilities'!$L$9:$L$108,MATCH(C487,'Facilities'!$C$9:$C$108,0))&gt;=Settings!$F$20)),2,1)),"Unavailable"))</x:f>
      </x:c>
      <x:c r="U487" s="23" t="str">
        <x:f>IF(C487="","",IF(AQ487&lt;&gt;"Ready","Unavailable",IF(C487="","",O487*(1-(1-S487)/(1+INDEX('Facilities'!$K$9:$K$108,MATCH(C487,'Facilities'!$C$9:$C$108,0)))^INDEX('Facilities'!$AK$9:$AK$108,MATCH(C487,'Facilities'!$C$9:$C$108,0)))*R487/(1+INDEX('Facilities'!$K$9:$K$108,MATCH(C487,'Facilities'!$C$9:$C$108,0)))*IF(ABS(1-(1-R487)*(1-INDEX('Facilities'!$R$9:$R$108,MATCH(C487,'Facilities'!$C$9:$C$108,0)))/(1+INDEX('Facilities'!$K$9:$K$108,MATCH(C487,'Facilities'!$C$9:$C$108,0))))&lt;0.000000001,IF(T487=1,MIN(1,AJ487),AJ487),(1-((1-R487)*(1-INDEX('Facilities'!$R$9:$R$108,MATCH(C487,'Facilities'!$C$9:$C$108,0)))/(1+INDEX('Facilities'!$K$9:$K$108,MATCH(C487,'Facilities'!$C$9:$C$108,0))))^IF(T487=1,MIN(1,AJ487),AJ487))/(1-(1-R487)*(1-INDEX('Facilities'!$R$9:$R$108,MATCH(C487,'Facilities'!$C$9:$C$108,0)))/(1+INDEX('Facilities'!$K$9:$K$108,MATCH(C487,'Facilities'!$C$9:$C$108,0)))))+AL487)))</x:f>
      </x:c>
      <x:c r="V487" s="23" t="str">
        <x:f>IF(C487="","",IF(AQ487&lt;&gt;"Ready","Unavailable",IF(C487="","",Q487*INDEX('Facilities'!$I$9:$I$108,MATCH(C487,'Facilities'!$C$9:$C$108,0))*(1-(1-S487)/(1+INDEX('Facilities'!$K$9:$K$108,MATCH(C487,'Facilities'!$C$9:$C$108,0)))^INDEX('Facilities'!$AK$9:$AK$108,MATCH(C487,'Facilities'!$C$9:$C$108,0)))*R487/(1+INDEX('Facilities'!$K$9:$K$108,MATCH(C487,'Facilities'!$C$9:$C$108,0)))*IF(ABS(1-(1-R487)*(1-0)/(1+INDEX('Facilities'!$K$9:$K$108,MATCH(C487,'Facilities'!$C$9:$C$108,0))))&lt;0.000000001,IF(T487=1,MIN(1,AJ487),AJ487),(1-((1-R487)*(1-0)/(1+INDEX('Facilities'!$K$9:$K$108,MATCH(C487,'Facilities'!$C$9:$C$108,0))))^IF(T487=1,MIN(1,AJ487),AJ487))/(1-(1-R487)*(1-0)/(1+INDEX('Facilities'!$K$9:$K$108,MATCH(C487,'Facilities'!$C$9:$C$108,0))))))))</x:f>
      </x:c>
      <x:c r="W487" s="21" t="str">
        <x:f>IF(C487="","",IFERROR(U387,"Unavailable"))</x:f>
      </x:c>
      <x:c r="X487" s="21" t="str">
        <x:f>IF(C487="","",IFERROR(V387,"Unavailable"))</x:f>
      </x:c>
      <x:c r="Y487" s="21" t="str">
        <x:f>IF(C487="","",IF(AQ487&lt;&gt;"Ready","Unavailable",IF(C487="","",U487-W487+V487-X487+N487+AG487)))</x:f>
      </x:c>
      <x:c r="Z487" s="23" t="str">
        <x:f>IF(C487="","",IF(AQ487&lt;&gt;"Ready","Unavailable",IF(C487="","",(G487+O487+L487)/2*INDEX('Facilities'!$T$9:$T$108,MATCH(C487,'Facilities'!$C$9:$C$108,0))+AG487)))</x:f>
      </x:c>
      <x:c r="AA487" s="23" t="str">
        <x:f>IF(C487="","",IF(AQ487&lt;&gt;"Ready","Unavailable",IF(C487="","",O487*(1-IF(INDEX('Facilities'!$AA$9:$AA$108,MATCH(C487,'Facilities'!$C$9:$C$108,0))=0,0,MIN(1,INDEX('Facilities'!$X$9:$X$108,MATCH(C487,'Facilities'!$C$9:$C$108,0))/INDEX('Facilities'!$AA$9:$AA$108,MATCH(C487,'Facilities'!$C$9:$C$108,0)))))*AF487+P487*(1-IF(INDEX('Facilities'!$AA$9:$AA$108,MATCH(C487,'Facilities'!$C$9:$C$108,0))=0,0,MIN(1,INDEX('Facilities'!$X$9:$X$108,MATCH(C487,'Facilities'!$C$9:$C$108,0))/INDEX('Facilities'!$AA$9:$AA$108,MATCH(C487,'Facilities'!$C$9:$C$108,0)))))*INDEX('Facilities'!$AJ$9:$AJ$108,MATCH(C487,'Facilities'!$C$9:$C$108,0))+Q487*INDEX('Facilities'!$AI$9:$AI$108,MATCH(C487,'Facilities'!$C$9:$C$108,0))*AF487)))</x:f>
      </x:c>
      <x:c r="AB487" s="21" t="str">
        <x:f>IF(C487="","",O487+P487-AD487)</x:f>
      </x:c>
      <x:c r="AC487" s="23" t="str">
        <x:f>IF(C487="","",IFERROR(IF(INDEX('Facilities'!$AD$9:$AD$108,MATCH(C487,'Facilities'!$C$9:$C$108,0))=3,0,IF(INDEX('Facilities'!$AN$9:$AN$108,MATCH(C487,'Facilities'!$C$9:$C$108,0))=0,-1,INDEX('Facilities'!$AN$9:$AN$108,MATCH(C487,'Facilities'!$C$9:$C$108,0)))),"Unavailable"))</x:f>
      </x:c>
      <x:c r="AD487" s="21" t="str">
        <x:f>IF(C487="","",IFERROR(G487+H487,"Unavailable"))</x:f>
      </x:c>
      <x:c r="AE487" s="21" t="str">
        <x:f>IF(C487="","",IF(AQ487&lt;&gt;"Ready","Unavailable",IF(C487="","",O487+P487-AD487-J487+K487+M487+N487)))</x:f>
      </x:c>
      <x:c r="AF487" s="30" t="str">
        <x:f>IF(C487="","",IFERROR(INDEX('Facilities'!$S$9:$S$108,MATCH(C487,'Facilities'!$C$9:$C$108,0))*'Scenario Paths'!J75,"Unavailable"))</x:f>
      </x:c>
      <x:c r="AG487" s="23" t="str">
        <x:f>IF(C487="","",IF(AQ487&lt;&gt;"Ready","Unavailable",IF(C487="","",IF(H487&gt;0,MAX(0,H487-AK487)*((1+INDEX('Facilities'!$K$9:$K$108,MATCH(C487,'Facilities'!$C$9:$C$108,0)))^MIN(1,MAX(0,AC487+INDEX('Facilities'!$AK$9:$AK$108,MATCH(C487,'Facilities'!$C$9:$C$108,0))-D487+1))-1),0))))</x:f>
      </x:c>
      <x:c r="AH487" s="21" t="str">
        <x:f>IF(C487="","",IF(AQ487&lt;&gt;"Ready","Unavailable",IF(C487="","",O487+P487)))</x:f>
      </x:c>
      <x:c r="AI487" s="21" t="str">
        <x:f>IF(C487="","",IF(AQ487&lt;&gt;"Ready","Unavailable",IF(C487="","",Z487-Y487)))</x:f>
      </x:c>
      <x:c r="AJ487" s="23" t="str">
        <x:f>IF(C487="","",IFERROR(MAX(0,INDEX('Facilities'!$J$9:$J$108,MATCH(C487,'Facilities'!$C$9:$C$108,0))-D487),"Unavailable"))</x:f>
      </x:c>
      <x:c r="AK487" s="21" t="str">
        <x:f>IF(C487="","",IFERROR(AL387,"Unavailable"))</x:f>
      </x:c>
      <x:c r="AL487" s="23" t="str">
        <x:f>IF(C487="","",IFERROR(IF(P487&gt;0,P487*(1-AM487/(1+INDEX('Facilities'!$K$9:$K$108,MATCH(C487,'Facilities'!$C$9:$C$108,0)))^MAX(0,AC487+INDEX('Facilities'!$AK$9:$AK$108,MATCH(C487,'Facilities'!$C$9:$C$108,0))-D487)),0),"Unavailable"))</x:f>
      </x:c>
      <x:c r="AM487" s="30" t="str">
        <x:f>IF(C487="","",IFERROR(INDEX('Facilities'!$AL$9:$AL$108,MATCH(C487,'Facilities'!$C$9:$C$108,0)),"Unavailable"))</x:f>
      </x:c>
      <x:c r="AN487" s="30" t="str">
        <x:f>IF(C487="","",IFERROR(INDEX(Credit!$T$409:$T$508,MATCH(F487,Credit!$C$409:$C$508,0)),"Unavailable"))</x:f>
      </x:c>
      <x:c r="AO487" s="23" t="str">
        <x:f>IF(C487="","",IF(AQ487&lt;&gt;"Ready","Unavailable",IF(C487="","",O487+P487+Q487*INDEX('Facilities'!$I$9:$I$108,MATCH(C487,'Facilities'!$C$9:$C$108,0)))))</x:f>
      </x:c>
      <x:c r="AP487" s="21" t="str">
        <x:f>IF(C487="","",IF(AQ487&lt;&gt;"Ready","Unavailable",IF(C487="","",AH487-U487)))</x:f>
      </x:c>
      <x:c r="AQ487" s="23" t="str">
        <x:f>IFERROR(IF(C487="","",IF(AND(INDEX('Facilities'!$AF$9:$AF$108,MATCH(C487,'Facilities'!$C$9:$C$108,0))="Ready",INDEX(Credit!$U$409:$U$508,MATCH(F487,Credit!$C$409:$C$508,0))="Ready",ISNUMBER(W487)),"Ready","Review inputs")),"Review inputs")</x:f>
      </x:c>
      <x:c r="AR487" s="23" t="str">
        <x:f>IF(C487="","",IF(AQ487&lt;&gt;"Ready","Unavailable",IF(C487="","",IF(O487=0,0,(IF(AJ487&lt;=1,O487,O487*INDEX('Facilities'!$R$9:$R$108,MATCH(C487,'Facilities'!$C$9:$C$108,0)))+O487*INDEX('Facilities'!$T$9:$T$108,MATCH(C487,'Facilities'!$C$9:$C$108,0)))/12))))</x:f>
      </x:c>
    </x:row>
    <x:row r="488" ht="26" customHeight="1">
      <x:c r="A488" s="1"/>
      <x:c r="B488" s="1"/>
      <x:c r="C488" s="9" t="str">
        <x:f>IF(Facilities!C88="","",Facilities!C88)</x:f>
      </x:c>
      <x:c r="D488" s="3" t="n">
        <x:v>5</x:v>
      </x:c>
      <x:c r="E488" s="9" t="n">
        <x:f>Settings!$F$18+4</x:f>
        <x:v>2031</x:v>
      </x:c>
      <x:c r="F488" s="9" t="str">
        <x:f>IF(C488="","",IFERROR(INDEX('Facilities'!$D$9:$D$108,MATCH(C488,'Facilities'!$C$9:$C$108,0)),"Unavailable"))</x:f>
      </x:c>
      <x:c r="G488" s="21" t="str">
        <x:f>IF(C488="","",IFERROR(O388,"Unavailable"))</x:f>
      </x:c>
      <x:c r="H488" s="21" t="str">
        <x:f>IF(C488="","",IFERROR(P388,"Unavailable"))</x:f>
      </x:c>
      <x:c r="I488" s="21" t="str">
        <x:f>IF(C488="","",IFERROR(Q388,"Unavailable"))</x:f>
      </x:c>
      <x:c r="J488" s="23" t="str">
        <x:f>IF(C488="","",IFERROR(IF(OR(H488&gt;0,AND(AC488&gt;=0,AC488&lt;D488),D488&gt;INDEX('Facilities'!$J$9:$J$108,MATCH(C488,'Facilities'!$C$9:$C$108,0))),0,I488*'Scenario Paths'!J81),"Unavailable"))</x:f>
      </x:c>
      <x:c r="K488" s="23" t="str">
        <x:f>IF(C488="","",IFERROR(IF(OR(H488&gt;0,AND(AC488&gt;=0,AC488=D488)),0,IF(D488&gt;=INDEX('Facilities'!$J$9:$J$108,MATCH(C488,'Facilities'!$C$9:$C$108,0)),G488+J488,MIN(G488+J488,G488*INDEX('Facilities'!$R$9:$R$108,MATCH(C488,'Facilities'!$C$9:$C$108,0))))),"Unavailable"))</x:f>
      </x:c>
      <x:c r="L488" s="21" t="str">
        <x:f>IF(C488="","",IFERROR(IF(AND(AC488=D488,AC488&gt;0),MAX(0,G488+J488-K488),0),"Unavailable"))</x:f>
      </x:c>
      <x:c r="M488" s="23" t="str">
        <x:f>IF(C488="","",IFERROR(IF(AND(AC488&gt;=0,D488&gt;=AC488+INDEX('Facilities'!$AK$9:$AK$108,MATCH(C488,'Facilities'!$C$9:$C$108,0))),(H488+L488)*AM488,0),"Unavailable"))</x:f>
      </x:c>
      <x:c r="N488" s="23" t="str">
        <x:f>IF(C488="","",IFERROR(IF(AND(AC488&gt;=0,D488&gt;=AC488+INDEX('Facilities'!$AK$9:$AK$108,MATCH(C488,'Facilities'!$C$9:$C$108,0))),H488+L488-M488,0),"Unavailable"))</x:f>
      </x:c>
      <x:c r="O488" s="21" t="str">
        <x:f>IF(C488="","",IFERROR(MAX(0,G488+J488-K488-L488),"Unavailable"))</x:f>
      </x:c>
      <x:c r="P488" s="21" t="str">
        <x:f>IF(C488="","",IFERROR(MAX(0,H488+L488-M488-N488),"Unavailable"))</x:f>
      </x:c>
      <x:c r="Q488" s="23" t="str">
        <x:f>IF(C488="","",IFERROR(IF(OR(D488&gt;=INDEX('Facilities'!$J$9:$J$108,MATCH(C488,'Facilities'!$C$9:$C$108,0)),AND(AC488&gt;=0,AC488&lt;=D488)),0,MAX(0,I488-J488)),"Unavailable"))</x:f>
      </x:c>
      <x:c r="R488" s="30" t="str">
        <x:f>IF(C488="","",IFERROR(INDEX(Credit!$Q$409:$Q$508,MATCH(F488,Credit!$C$409:$C$508,0)),"Unavailable"))</x:f>
      </x:c>
      <x:c r="S488" s="30" t="str">
        <x:f>IF(C488="","",IFERROR(INDEX(Credit!$R$409:$R$508,MATCH(F488,Credit!$C$409:$C$508,0)),"Unavailable"))</x:f>
      </x:c>
      <x:c r="T488" s="23" t="str">
        <x:f>IF(C488="","",IFERROR(IF(P488&gt;0,3,IF(OR(INDEX('Facilities'!$AD$9:$AD$108,MATCH(C488,'Facilities'!$C$9:$C$108,0))=2,AND(R488&gt;=INDEX('Facilities'!$L$9:$L$108,MATCH(C488,'Facilities'!$C$9:$C$108,0))*Settings!$F$19,R488-INDEX('Facilities'!$L$9:$L$108,MATCH(C488,'Facilities'!$C$9:$C$108,0))&gt;=Settings!$F$20)),2,1)),"Unavailable"))</x:f>
      </x:c>
      <x:c r="U488" s="23" t="str">
        <x:f>IF(C488="","",IF(AQ488&lt;&gt;"Ready","Unavailable",IF(C488="","",O488*(1-(1-S488)/(1+INDEX('Facilities'!$K$9:$K$108,MATCH(C488,'Facilities'!$C$9:$C$108,0)))^INDEX('Facilities'!$AK$9:$AK$108,MATCH(C488,'Facilities'!$C$9:$C$108,0)))*R488/(1+INDEX('Facilities'!$K$9:$K$108,MATCH(C488,'Facilities'!$C$9:$C$108,0)))*IF(ABS(1-(1-R488)*(1-INDEX('Facilities'!$R$9:$R$108,MATCH(C488,'Facilities'!$C$9:$C$108,0)))/(1+INDEX('Facilities'!$K$9:$K$108,MATCH(C488,'Facilities'!$C$9:$C$108,0))))&lt;0.000000001,IF(T488=1,MIN(1,AJ488),AJ488),(1-((1-R488)*(1-INDEX('Facilities'!$R$9:$R$108,MATCH(C488,'Facilities'!$C$9:$C$108,0)))/(1+INDEX('Facilities'!$K$9:$K$108,MATCH(C488,'Facilities'!$C$9:$C$108,0))))^IF(T488=1,MIN(1,AJ488),AJ488))/(1-(1-R488)*(1-INDEX('Facilities'!$R$9:$R$108,MATCH(C488,'Facilities'!$C$9:$C$108,0)))/(1+INDEX('Facilities'!$K$9:$K$108,MATCH(C488,'Facilities'!$C$9:$C$108,0)))))+AL488)))</x:f>
      </x:c>
      <x:c r="V488" s="23" t="str">
        <x:f>IF(C488="","",IF(AQ488&lt;&gt;"Ready","Unavailable",IF(C488="","",Q488*INDEX('Facilities'!$I$9:$I$108,MATCH(C488,'Facilities'!$C$9:$C$108,0))*(1-(1-S488)/(1+INDEX('Facilities'!$K$9:$K$108,MATCH(C488,'Facilities'!$C$9:$C$108,0)))^INDEX('Facilities'!$AK$9:$AK$108,MATCH(C488,'Facilities'!$C$9:$C$108,0)))*R488/(1+INDEX('Facilities'!$K$9:$K$108,MATCH(C488,'Facilities'!$C$9:$C$108,0)))*IF(ABS(1-(1-R488)*(1-0)/(1+INDEX('Facilities'!$K$9:$K$108,MATCH(C488,'Facilities'!$C$9:$C$108,0))))&lt;0.000000001,IF(T488=1,MIN(1,AJ488),AJ488),(1-((1-R488)*(1-0)/(1+INDEX('Facilities'!$K$9:$K$108,MATCH(C488,'Facilities'!$C$9:$C$108,0))))^IF(T488=1,MIN(1,AJ488),AJ488))/(1-(1-R488)*(1-0)/(1+INDEX('Facilities'!$K$9:$K$108,MATCH(C488,'Facilities'!$C$9:$C$108,0))))))))</x:f>
      </x:c>
      <x:c r="W488" s="21" t="str">
        <x:f>IF(C488="","",IFERROR(U388,"Unavailable"))</x:f>
      </x:c>
      <x:c r="X488" s="21" t="str">
        <x:f>IF(C488="","",IFERROR(V388,"Unavailable"))</x:f>
      </x:c>
      <x:c r="Y488" s="21" t="str">
        <x:f>IF(C488="","",IF(AQ488&lt;&gt;"Ready","Unavailable",IF(C488="","",U488-W488+V488-X488+N488+AG488)))</x:f>
      </x:c>
      <x:c r="Z488" s="23" t="str">
        <x:f>IF(C488="","",IF(AQ488&lt;&gt;"Ready","Unavailable",IF(C488="","",(G488+O488+L488)/2*INDEX('Facilities'!$T$9:$T$108,MATCH(C488,'Facilities'!$C$9:$C$108,0))+AG488)))</x:f>
      </x:c>
      <x:c r="AA488" s="23" t="str">
        <x:f>IF(C488="","",IF(AQ488&lt;&gt;"Ready","Unavailable",IF(C488="","",O488*(1-IF(INDEX('Facilities'!$AA$9:$AA$108,MATCH(C488,'Facilities'!$C$9:$C$108,0))=0,0,MIN(1,INDEX('Facilities'!$X$9:$X$108,MATCH(C488,'Facilities'!$C$9:$C$108,0))/INDEX('Facilities'!$AA$9:$AA$108,MATCH(C488,'Facilities'!$C$9:$C$108,0)))))*AF488+P488*(1-IF(INDEX('Facilities'!$AA$9:$AA$108,MATCH(C488,'Facilities'!$C$9:$C$108,0))=0,0,MIN(1,INDEX('Facilities'!$X$9:$X$108,MATCH(C488,'Facilities'!$C$9:$C$108,0))/INDEX('Facilities'!$AA$9:$AA$108,MATCH(C488,'Facilities'!$C$9:$C$108,0)))))*INDEX('Facilities'!$AJ$9:$AJ$108,MATCH(C488,'Facilities'!$C$9:$C$108,0))+Q488*INDEX('Facilities'!$AI$9:$AI$108,MATCH(C488,'Facilities'!$C$9:$C$108,0))*AF488)))</x:f>
      </x:c>
      <x:c r="AB488" s="21" t="str">
        <x:f>IF(C488="","",O488+P488-AD488)</x:f>
      </x:c>
      <x:c r="AC488" s="23" t="str">
        <x:f>IF(C488="","",IFERROR(IF(INDEX('Facilities'!$AD$9:$AD$108,MATCH(C488,'Facilities'!$C$9:$C$108,0))=3,0,IF(INDEX('Facilities'!$AN$9:$AN$108,MATCH(C488,'Facilities'!$C$9:$C$108,0))=0,-1,INDEX('Facilities'!$AN$9:$AN$108,MATCH(C488,'Facilities'!$C$9:$C$108,0)))),"Unavailable"))</x:f>
      </x:c>
      <x:c r="AD488" s="21" t="str">
        <x:f>IF(C488="","",IFERROR(G488+H488,"Unavailable"))</x:f>
      </x:c>
      <x:c r="AE488" s="21" t="str">
        <x:f>IF(C488="","",IF(AQ488&lt;&gt;"Ready","Unavailable",IF(C488="","",O488+P488-AD488-J488+K488+M488+N488)))</x:f>
      </x:c>
      <x:c r="AF488" s="30" t="str">
        <x:f>IF(C488="","",IFERROR(INDEX('Facilities'!$S$9:$S$108,MATCH(C488,'Facilities'!$C$9:$C$108,0))*'Scenario Paths'!J75,"Unavailable"))</x:f>
      </x:c>
      <x:c r="AG488" s="23" t="str">
        <x:f>IF(C488="","",IF(AQ488&lt;&gt;"Ready","Unavailable",IF(C488="","",IF(H488&gt;0,MAX(0,H488-AK488)*((1+INDEX('Facilities'!$K$9:$K$108,MATCH(C488,'Facilities'!$C$9:$C$108,0)))^MIN(1,MAX(0,AC488+INDEX('Facilities'!$AK$9:$AK$108,MATCH(C488,'Facilities'!$C$9:$C$108,0))-D488+1))-1),0))))</x:f>
      </x:c>
      <x:c r="AH488" s="21" t="str">
        <x:f>IF(C488="","",IF(AQ488&lt;&gt;"Ready","Unavailable",IF(C488="","",O488+P488)))</x:f>
      </x:c>
      <x:c r="AI488" s="21" t="str">
        <x:f>IF(C488="","",IF(AQ488&lt;&gt;"Ready","Unavailable",IF(C488="","",Z488-Y488)))</x:f>
      </x:c>
      <x:c r="AJ488" s="23" t="str">
        <x:f>IF(C488="","",IFERROR(MAX(0,INDEX('Facilities'!$J$9:$J$108,MATCH(C488,'Facilities'!$C$9:$C$108,0))-D488),"Unavailable"))</x:f>
      </x:c>
      <x:c r="AK488" s="21" t="str">
        <x:f>IF(C488="","",IFERROR(AL388,"Unavailable"))</x:f>
      </x:c>
      <x:c r="AL488" s="23" t="str">
        <x:f>IF(C488="","",IFERROR(IF(P488&gt;0,P488*(1-AM488/(1+INDEX('Facilities'!$K$9:$K$108,MATCH(C488,'Facilities'!$C$9:$C$108,0)))^MAX(0,AC488+INDEX('Facilities'!$AK$9:$AK$108,MATCH(C488,'Facilities'!$C$9:$C$108,0))-D488)),0),"Unavailable"))</x:f>
      </x:c>
      <x:c r="AM488" s="30" t="str">
        <x:f>IF(C488="","",IFERROR(INDEX('Facilities'!$AL$9:$AL$108,MATCH(C488,'Facilities'!$C$9:$C$108,0)),"Unavailable"))</x:f>
      </x:c>
      <x:c r="AN488" s="30" t="str">
        <x:f>IF(C488="","",IFERROR(INDEX(Credit!$T$409:$T$508,MATCH(F488,Credit!$C$409:$C$508,0)),"Unavailable"))</x:f>
      </x:c>
      <x:c r="AO488" s="23" t="str">
        <x:f>IF(C488="","",IF(AQ488&lt;&gt;"Ready","Unavailable",IF(C488="","",O488+P488+Q488*INDEX('Facilities'!$I$9:$I$108,MATCH(C488,'Facilities'!$C$9:$C$108,0)))))</x:f>
      </x:c>
      <x:c r="AP488" s="21" t="str">
        <x:f>IF(C488="","",IF(AQ488&lt;&gt;"Ready","Unavailable",IF(C488="","",AH488-U488)))</x:f>
      </x:c>
      <x:c r="AQ488" s="23" t="str">
        <x:f>IFERROR(IF(C488="","",IF(AND(INDEX('Facilities'!$AF$9:$AF$108,MATCH(C488,'Facilities'!$C$9:$C$108,0))="Ready",INDEX(Credit!$U$409:$U$508,MATCH(F488,Credit!$C$409:$C$508,0))="Ready",ISNUMBER(W488)),"Ready","Review inputs")),"Review inputs")</x:f>
      </x:c>
      <x:c r="AR488" s="23" t="str">
        <x:f>IF(C488="","",IF(AQ488&lt;&gt;"Ready","Unavailable",IF(C488="","",IF(O488=0,0,(IF(AJ488&lt;=1,O488,O488*INDEX('Facilities'!$R$9:$R$108,MATCH(C488,'Facilities'!$C$9:$C$108,0)))+O488*INDEX('Facilities'!$T$9:$T$108,MATCH(C488,'Facilities'!$C$9:$C$108,0)))/12))))</x:f>
      </x:c>
    </x:row>
    <x:row r="489" ht="26" customHeight="1">
      <x:c r="A489" s="1"/>
      <x:c r="B489" s="1"/>
      <x:c r="C489" s="9" t="str">
        <x:f>IF(Facilities!C89="","",Facilities!C89)</x:f>
      </x:c>
      <x:c r="D489" s="3" t="n">
        <x:v>5</x:v>
      </x:c>
      <x:c r="E489" s="9" t="n">
        <x:f>Settings!$F$18+4</x:f>
        <x:v>2031</x:v>
      </x:c>
      <x:c r="F489" s="9" t="str">
        <x:f>IF(C489="","",IFERROR(INDEX('Facilities'!$D$9:$D$108,MATCH(C489,'Facilities'!$C$9:$C$108,0)),"Unavailable"))</x:f>
      </x:c>
      <x:c r="G489" s="21" t="str">
        <x:f>IF(C489="","",IFERROR(O389,"Unavailable"))</x:f>
      </x:c>
      <x:c r="H489" s="21" t="str">
        <x:f>IF(C489="","",IFERROR(P389,"Unavailable"))</x:f>
      </x:c>
      <x:c r="I489" s="21" t="str">
        <x:f>IF(C489="","",IFERROR(Q389,"Unavailable"))</x:f>
      </x:c>
      <x:c r="J489" s="23" t="str">
        <x:f>IF(C489="","",IFERROR(IF(OR(H489&gt;0,AND(AC489&gt;=0,AC489&lt;D489),D489&gt;INDEX('Facilities'!$J$9:$J$108,MATCH(C489,'Facilities'!$C$9:$C$108,0))),0,I489*'Scenario Paths'!J81),"Unavailable"))</x:f>
      </x:c>
      <x:c r="K489" s="23" t="str">
        <x:f>IF(C489="","",IFERROR(IF(OR(H489&gt;0,AND(AC489&gt;=0,AC489=D489)),0,IF(D489&gt;=INDEX('Facilities'!$J$9:$J$108,MATCH(C489,'Facilities'!$C$9:$C$108,0)),G489+J489,MIN(G489+J489,G489*INDEX('Facilities'!$R$9:$R$108,MATCH(C489,'Facilities'!$C$9:$C$108,0))))),"Unavailable"))</x:f>
      </x:c>
      <x:c r="L489" s="21" t="str">
        <x:f>IF(C489="","",IFERROR(IF(AND(AC489=D489,AC489&gt;0),MAX(0,G489+J489-K489),0),"Unavailable"))</x:f>
      </x:c>
      <x:c r="M489" s="23" t="str">
        <x:f>IF(C489="","",IFERROR(IF(AND(AC489&gt;=0,D489&gt;=AC489+INDEX('Facilities'!$AK$9:$AK$108,MATCH(C489,'Facilities'!$C$9:$C$108,0))),(H489+L489)*AM489,0),"Unavailable"))</x:f>
      </x:c>
      <x:c r="N489" s="23" t="str">
        <x:f>IF(C489="","",IFERROR(IF(AND(AC489&gt;=0,D489&gt;=AC489+INDEX('Facilities'!$AK$9:$AK$108,MATCH(C489,'Facilities'!$C$9:$C$108,0))),H489+L489-M489,0),"Unavailable"))</x:f>
      </x:c>
      <x:c r="O489" s="21" t="str">
        <x:f>IF(C489="","",IFERROR(MAX(0,G489+J489-K489-L489),"Unavailable"))</x:f>
      </x:c>
      <x:c r="P489" s="21" t="str">
        <x:f>IF(C489="","",IFERROR(MAX(0,H489+L489-M489-N489),"Unavailable"))</x:f>
      </x:c>
      <x:c r="Q489" s="23" t="str">
        <x:f>IF(C489="","",IFERROR(IF(OR(D489&gt;=INDEX('Facilities'!$J$9:$J$108,MATCH(C489,'Facilities'!$C$9:$C$108,0)),AND(AC489&gt;=0,AC489&lt;=D489)),0,MAX(0,I489-J489)),"Unavailable"))</x:f>
      </x:c>
      <x:c r="R489" s="30" t="str">
        <x:f>IF(C489="","",IFERROR(INDEX(Credit!$Q$409:$Q$508,MATCH(F489,Credit!$C$409:$C$508,0)),"Unavailable"))</x:f>
      </x:c>
      <x:c r="S489" s="30" t="str">
        <x:f>IF(C489="","",IFERROR(INDEX(Credit!$R$409:$R$508,MATCH(F489,Credit!$C$409:$C$508,0)),"Unavailable"))</x:f>
      </x:c>
      <x:c r="T489" s="23" t="str">
        <x:f>IF(C489="","",IFERROR(IF(P489&gt;0,3,IF(OR(INDEX('Facilities'!$AD$9:$AD$108,MATCH(C489,'Facilities'!$C$9:$C$108,0))=2,AND(R489&gt;=INDEX('Facilities'!$L$9:$L$108,MATCH(C489,'Facilities'!$C$9:$C$108,0))*Settings!$F$19,R489-INDEX('Facilities'!$L$9:$L$108,MATCH(C489,'Facilities'!$C$9:$C$108,0))&gt;=Settings!$F$20)),2,1)),"Unavailable"))</x:f>
      </x:c>
      <x:c r="U489" s="23" t="str">
        <x:f>IF(C489="","",IF(AQ489&lt;&gt;"Ready","Unavailable",IF(C489="","",O489*(1-(1-S489)/(1+INDEX('Facilities'!$K$9:$K$108,MATCH(C489,'Facilities'!$C$9:$C$108,0)))^INDEX('Facilities'!$AK$9:$AK$108,MATCH(C489,'Facilities'!$C$9:$C$108,0)))*R489/(1+INDEX('Facilities'!$K$9:$K$108,MATCH(C489,'Facilities'!$C$9:$C$108,0)))*IF(ABS(1-(1-R489)*(1-INDEX('Facilities'!$R$9:$R$108,MATCH(C489,'Facilities'!$C$9:$C$108,0)))/(1+INDEX('Facilities'!$K$9:$K$108,MATCH(C489,'Facilities'!$C$9:$C$108,0))))&lt;0.000000001,IF(T489=1,MIN(1,AJ489),AJ489),(1-((1-R489)*(1-INDEX('Facilities'!$R$9:$R$108,MATCH(C489,'Facilities'!$C$9:$C$108,0)))/(1+INDEX('Facilities'!$K$9:$K$108,MATCH(C489,'Facilities'!$C$9:$C$108,0))))^IF(T489=1,MIN(1,AJ489),AJ489))/(1-(1-R489)*(1-INDEX('Facilities'!$R$9:$R$108,MATCH(C489,'Facilities'!$C$9:$C$108,0)))/(1+INDEX('Facilities'!$K$9:$K$108,MATCH(C489,'Facilities'!$C$9:$C$108,0)))))+AL489)))</x:f>
      </x:c>
      <x:c r="V489" s="23" t="str">
        <x:f>IF(C489="","",IF(AQ489&lt;&gt;"Ready","Unavailable",IF(C489="","",Q489*INDEX('Facilities'!$I$9:$I$108,MATCH(C489,'Facilities'!$C$9:$C$108,0))*(1-(1-S489)/(1+INDEX('Facilities'!$K$9:$K$108,MATCH(C489,'Facilities'!$C$9:$C$108,0)))^INDEX('Facilities'!$AK$9:$AK$108,MATCH(C489,'Facilities'!$C$9:$C$108,0)))*R489/(1+INDEX('Facilities'!$K$9:$K$108,MATCH(C489,'Facilities'!$C$9:$C$108,0)))*IF(ABS(1-(1-R489)*(1-0)/(1+INDEX('Facilities'!$K$9:$K$108,MATCH(C489,'Facilities'!$C$9:$C$108,0))))&lt;0.000000001,IF(T489=1,MIN(1,AJ489),AJ489),(1-((1-R489)*(1-0)/(1+INDEX('Facilities'!$K$9:$K$108,MATCH(C489,'Facilities'!$C$9:$C$108,0))))^IF(T489=1,MIN(1,AJ489),AJ489))/(1-(1-R489)*(1-0)/(1+INDEX('Facilities'!$K$9:$K$108,MATCH(C489,'Facilities'!$C$9:$C$108,0))))))))</x:f>
      </x:c>
      <x:c r="W489" s="21" t="str">
        <x:f>IF(C489="","",IFERROR(U389,"Unavailable"))</x:f>
      </x:c>
      <x:c r="X489" s="21" t="str">
        <x:f>IF(C489="","",IFERROR(V389,"Unavailable"))</x:f>
      </x:c>
      <x:c r="Y489" s="21" t="str">
        <x:f>IF(C489="","",IF(AQ489&lt;&gt;"Ready","Unavailable",IF(C489="","",U489-W489+V489-X489+N489+AG489)))</x:f>
      </x:c>
      <x:c r="Z489" s="23" t="str">
        <x:f>IF(C489="","",IF(AQ489&lt;&gt;"Ready","Unavailable",IF(C489="","",(G489+O489+L489)/2*INDEX('Facilities'!$T$9:$T$108,MATCH(C489,'Facilities'!$C$9:$C$108,0))+AG489)))</x:f>
      </x:c>
      <x:c r="AA489" s="23" t="str">
        <x:f>IF(C489="","",IF(AQ489&lt;&gt;"Ready","Unavailable",IF(C489="","",O489*(1-IF(INDEX('Facilities'!$AA$9:$AA$108,MATCH(C489,'Facilities'!$C$9:$C$108,0))=0,0,MIN(1,INDEX('Facilities'!$X$9:$X$108,MATCH(C489,'Facilities'!$C$9:$C$108,0))/INDEX('Facilities'!$AA$9:$AA$108,MATCH(C489,'Facilities'!$C$9:$C$108,0)))))*AF489+P489*(1-IF(INDEX('Facilities'!$AA$9:$AA$108,MATCH(C489,'Facilities'!$C$9:$C$108,0))=0,0,MIN(1,INDEX('Facilities'!$X$9:$X$108,MATCH(C489,'Facilities'!$C$9:$C$108,0))/INDEX('Facilities'!$AA$9:$AA$108,MATCH(C489,'Facilities'!$C$9:$C$108,0)))))*INDEX('Facilities'!$AJ$9:$AJ$108,MATCH(C489,'Facilities'!$C$9:$C$108,0))+Q489*INDEX('Facilities'!$AI$9:$AI$108,MATCH(C489,'Facilities'!$C$9:$C$108,0))*AF489)))</x:f>
      </x:c>
      <x:c r="AB489" s="21" t="str">
        <x:f>IF(C489="","",O489+P489-AD489)</x:f>
      </x:c>
      <x:c r="AC489" s="23" t="str">
        <x:f>IF(C489="","",IFERROR(IF(INDEX('Facilities'!$AD$9:$AD$108,MATCH(C489,'Facilities'!$C$9:$C$108,0))=3,0,IF(INDEX('Facilities'!$AN$9:$AN$108,MATCH(C489,'Facilities'!$C$9:$C$108,0))=0,-1,INDEX('Facilities'!$AN$9:$AN$108,MATCH(C489,'Facilities'!$C$9:$C$108,0)))),"Unavailable"))</x:f>
      </x:c>
      <x:c r="AD489" s="21" t="str">
        <x:f>IF(C489="","",IFERROR(G489+H489,"Unavailable"))</x:f>
      </x:c>
      <x:c r="AE489" s="21" t="str">
        <x:f>IF(C489="","",IF(AQ489&lt;&gt;"Ready","Unavailable",IF(C489="","",O489+P489-AD489-J489+K489+M489+N489)))</x:f>
      </x:c>
      <x:c r="AF489" s="30" t="str">
        <x:f>IF(C489="","",IFERROR(INDEX('Facilities'!$S$9:$S$108,MATCH(C489,'Facilities'!$C$9:$C$108,0))*'Scenario Paths'!J75,"Unavailable"))</x:f>
      </x:c>
      <x:c r="AG489" s="23" t="str">
        <x:f>IF(C489="","",IF(AQ489&lt;&gt;"Ready","Unavailable",IF(C489="","",IF(H489&gt;0,MAX(0,H489-AK489)*((1+INDEX('Facilities'!$K$9:$K$108,MATCH(C489,'Facilities'!$C$9:$C$108,0)))^MIN(1,MAX(0,AC489+INDEX('Facilities'!$AK$9:$AK$108,MATCH(C489,'Facilities'!$C$9:$C$108,0))-D489+1))-1),0))))</x:f>
      </x:c>
      <x:c r="AH489" s="21" t="str">
        <x:f>IF(C489="","",IF(AQ489&lt;&gt;"Ready","Unavailable",IF(C489="","",O489+P489)))</x:f>
      </x:c>
      <x:c r="AI489" s="21" t="str">
        <x:f>IF(C489="","",IF(AQ489&lt;&gt;"Ready","Unavailable",IF(C489="","",Z489-Y489)))</x:f>
      </x:c>
      <x:c r="AJ489" s="23" t="str">
        <x:f>IF(C489="","",IFERROR(MAX(0,INDEX('Facilities'!$J$9:$J$108,MATCH(C489,'Facilities'!$C$9:$C$108,0))-D489),"Unavailable"))</x:f>
      </x:c>
      <x:c r="AK489" s="21" t="str">
        <x:f>IF(C489="","",IFERROR(AL389,"Unavailable"))</x:f>
      </x:c>
      <x:c r="AL489" s="23" t="str">
        <x:f>IF(C489="","",IFERROR(IF(P489&gt;0,P489*(1-AM489/(1+INDEX('Facilities'!$K$9:$K$108,MATCH(C489,'Facilities'!$C$9:$C$108,0)))^MAX(0,AC489+INDEX('Facilities'!$AK$9:$AK$108,MATCH(C489,'Facilities'!$C$9:$C$108,0))-D489)),0),"Unavailable"))</x:f>
      </x:c>
      <x:c r="AM489" s="30" t="str">
        <x:f>IF(C489="","",IFERROR(INDEX('Facilities'!$AL$9:$AL$108,MATCH(C489,'Facilities'!$C$9:$C$108,0)),"Unavailable"))</x:f>
      </x:c>
      <x:c r="AN489" s="30" t="str">
        <x:f>IF(C489="","",IFERROR(INDEX(Credit!$T$409:$T$508,MATCH(F489,Credit!$C$409:$C$508,0)),"Unavailable"))</x:f>
      </x:c>
      <x:c r="AO489" s="23" t="str">
        <x:f>IF(C489="","",IF(AQ489&lt;&gt;"Ready","Unavailable",IF(C489="","",O489+P489+Q489*INDEX('Facilities'!$I$9:$I$108,MATCH(C489,'Facilities'!$C$9:$C$108,0)))))</x:f>
      </x:c>
      <x:c r="AP489" s="21" t="str">
        <x:f>IF(C489="","",IF(AQ489&lt;&gt;"Ready","Unavailable",IF(C489="","",AH489-U489)))</x:f>
      </x:c>
      <x:c r="AQ489" s="23" t="str">
        <x:f>IFERROR(IF(C489="","",IF(AND(INDEX('Facilities'!$AF$9:$AF$108,MATCH(C489,'Facilities'!$C$9:$C$108,0))="Ready",INDEX(Credit!$U$409:$U$508,MATCH(F489,Credit!$C$409:$C$508,0))="Ready",ISNUMBER(W489)),"Ready","Review inputs")),"Review inputs")</x:f>
      </x:c>
      <x:c r="AR489" s="23" t="str">
        <x:f>IF(C489="","",IF(AQ489&lt;&gt;"Ready","Unavailable",IF(C489="","",IF(O489=0,0,(IF(AJ489&lt;=1,O489,O489*INDEX('Facilities'!$R$9:$R$108,MATCH(C489,'Facilities'!$C$9:$C$108,0)))+O489*INDEX('Facilities'!$T$9:$T$108,MATCH(C489,'Facilities'!$C$9:$C$108,0)))/12))))</x:f>
      </x:c>
    </x:row>
    <x:row r="490" ht="26" customHeight="1">
      <x:c r="A490" s="1"/>
      <x:c r="B490" s="1"/>
      <x:c r="C490" s="9" t="str">
        <x:f>IF(Facilities!C90="","",Facilities!C90)</x:f>
      </x:c>
      <x:c r="D490" s="3" t="n">
        <x:v>5</x:v>
      </x:c>
      <x:c r="E490" s="9" t="n">
        <x:f>Settings!$F$18+4</x:f>
        <x:v>2031</x:v>
      </x:c>
      <x:c r="F490" s="9" t="str">
        <x:f>IF(C490="","",IFERROR(INDEX('Facilities'!$D$9:$D$108,MATCH(C490,'Facilities'!$C$9:$C$108,0)),"Unavailable"))</x:f>
      </x:c>
      <x:c r="G490" s="21" t="str">
        <x:f>IF(C490="","",IFERROR(O390,"Unavailable"))</x:f>
      </x:c>
      <x:c r="H490" s="21" t="str">
        <x:f>IF(C490="","",IFERROR(P390,"Unavailable"))</x:f>
      </x:c>
      <x:c r="I490" s="21" t="str">
        <x:f>IF(C490="","",IFERROR(Q390,"Unavailable"))</x:f>
      </x:c>
      <x:c r="J490" s="23" t="str">
        <x:f>IF(C490="","",IFERROR(IF(OR(H490&gt;0,AND(AC490&gt;=0,AC490&lt;D490),D490&gt;INDEX('Facilities'!$J$9:$J$108,MATCH(C490,'Facilities'!$C$9:$C$108,0))),0,I490*'Scenario Paths'!J81),"Unavailable"))</x:f>
      </x:c>
      <x:c r="K490" s="23" t="str">
        <x:f>IF(C490="","",IFERROR(IF(OR(H490&gt;0,AND(AC490&gt;=0,AC490=D490)),0,IF(D490&gt;=INDEX('Facilities'!$J$9:$J$108,MATCH(C490,'Facilities'!$C$9:$C$108,0)),G490+J490,MIN(G490+J490,G490*INDEX('Facilities'!$R$9:$R$108,MATCH(C490,'Facilities'!$C$9:$C$108,0))))),"Unavailable"))</x:f>
      </x:c>
      <x:c r="L490" s="21" t="str">
        <x:f>IF(C490="","",IFERROR(IF(AND(AC490=D490,AC490&gt;0),MAX(0,G490+J490-K490),0),"Unavailable"))</x:f>
      </x:c>
      <x:c r="M490" s="23" t="str">
        <x:f>IF(C490="","",IFERROR(IF(AND(AC490&gt;=0,D490&gt;=AC490+INDEX('Facilities'!$AK$9:$AK$108,MATCH(C490,'Facilities'!$C$9:$C$108,0))),(H490+L490)*AM490,0),"Unavailable"))</x:f>
      </x:c>
      <x:c r="N490" s="23" t="str">
        <x:f>IF(C490="","",IFERROR(IF(AND(AC490&gt;=0,D490&gt;=AC490+INDEX('Facilities'!$AK$9:$AK$108,MATCH(C490,'Facilities'!$C$9:$C$108,0))),H490+L490-M490,0),"Unavailable"))</x:f>
      </x:c>
      <x:c r="O490" s="21" t="str">
        <x:f>IF(C490="","",IFERROR(MAX(0,G490+J490-K490-L490),"Unavailable"))</x:f>
      </x:c>
      <x:c r="P490" s="21" t="str">
        <x:f>IF(C490="","",IFERROR(MAX(0,H490+L490-M490-N490),"Unavailable"))</x:f>
      </x:c>
      <x:c r="Q490" s="23" t="str">
        <x:f>IF(C490="","",IFERROR(IF(OR(D490&gt;=INDEX('Facilities'!$J$9:$J$108,MATCH(C490,'Facilities'!$C$9:$C$108,0)),AND(AC490&gt;=0,AC490&lt;=D490)),0,MAX(0,I490-J490)),"Unavailable"))</x:f>
      </x:c>
      <x:c r="R490" s="30" t="str">
        <x:f>IF(C490="","",IFERROR(INDEX(Credit!$Q$409:$Q$508,MATCH(F490,Credit!$C$409:$C$508,0)),"Unavailable"))</x:f>
      </x:c>
      <x:c r="S490" s="30" t="str">
        <x:f>IF(C490="","",IFERROR(INDEX(Credit!$R$409:$R$508,MATCH(F490,Credit!$C$409:$C$508,0)),"Unavailable"))</x:f>
      </x:c>
      <x:c r="T490" s="23" t="str">
        <x:f>IF(C490="","",IFERROR(IF(P490&gt;0,3,IF(OR(INDEX('Facilities'!$AD$9:$AD$108,MATCH(C490,'Facilities'!$C$9:$C$108,0))=2,AND(R490&gt;=INDEX('Facilities'!$L$9:$L$108,MATCH(C490,'Facilities'!$C$9:$C$108,0))*Settings!$F$19,R490-INDEX('Facilities'!$L$9:$L$108,MATCH(C490,'Facilities'!$C$9:$C$108,0))&gt;=Settings!$F$20)),2,1)),"Unavailable"))</x:f>
      </x:c>
      <x:c r="U490" s="23" t="str">
        <x:f>IF(C490="","",IF(AQ490&lt;&gt;"Ready","Unavailable",IF(C490="","",O490*(1-(1-S490)/(1+INDEX('Facilities'!$K$9:$K$108,MATCH(C490,'Facilities'!$C$9:$C$108,0)))^INDEX('Facilities'!$AK$9:$AK$108,MATCH(C490,'Facilities'!$C$9:$C$108,0)))*R490/(1+INDEX('Facilities'!$K$9:$K$108,MATCH(C490,'Facilities'!$C$9:$C$108,0)))*IF(ABS(1-(1-R490)*(1-INDEX('Facilities'!$R$9:$R$108,MATCH(C490,'Facilities'!$C$9:$C$108,0)))/(1+INDEX('Facilities'!$K$9:$K$108,MATCH(C490,'Facilities'!$C$9:$C$108,0))))&lt;0.000000001,IF(T490=1,MIN(1,AJ490),AJ490),(1-((1-R490)*(1-INDEX('Facilities'!$R$9:$R$108,MATCH(C490,'Facilities'!$C$9:$C$108,0)))/(1+INDEX('Facilities'!$K$9:$K$108,MATCH(C490,'Facilities'!$C$9:$C$108,0))))^IF(T490=1,MIN(1,AJ490),AJ490))/(1-(1-R490)*(1-INDEX('Facilities'!$R$9:$R$108,MATCH(C490,'Facilities'!$C$9:$C$108,0)))/(1+INDEX('Facilities'!$K$9:$K$108,MATCH(C490,'Facilities'!$C$9:$C$108,0)))))+AL490)))</x:f>
      </x:c>
      <x:c r="V490" s="23" t="str">
        <x:f>IF(C490="","",IF(AQ490&lt;&gt;"Ready","Unavailable",IF(C490="","",Q490*INDEX('Facilities'!$I$9:$I$108,MATCH(C490,'Facilities'!$C$9:$C$108,0))*(1-(1-S490)/(1+INDEX('Facilities'!$K$9:$K$108,MATCH(C490,'Facilities'!$C$9:$C$108,0)))^INDEX('Facilities'!$AK$9:$AK$108,MATCH(C490,'Facilities'!$C$9:$C$108,0)))*R490/(1+INDEX('Facilities'!$K$9:$K$108,MATCH(C490,'Facilities'!$C$9:$C$108,0)))*IF(ABS(1-(1-R490)*(1-0)/(1+INDEX('Facilities'!$K$9:$K$108,MATCH(C490,'Facilities'!$C$9:$C$108,0))))&lt;0.000000001,IF(T490=1,MIN(1,AJ490),AJ490),(1-((1-R490)*(1-0)/(1+INDEX('Facilities'!$K$9:$K$108,MATCH(C490,'Facilities'!$C$9:$C$108,0))))^IF(T490=1,MIN(1,AJ490),AJ490))/(1-(1-R490)*(1-0)/(1+INDEX('Facilities'!$K$9:$K$108,MATCH(C490,'Facilities'!$C$9:$C$108,0))))))))</x:f>
      </x:c>
      <x:c r="W490" s="21" t="str">
        <x:f>IF(C490="","",IFERROR(U390,"Unavailable"))</x:f>
      </x:c>
      <x:c r="X490" s="21" t="str">
        <x:f>IF(C490="","",IFERROR(V390,"Unavailable"))</x:f>
      </x:c>
      <x:c r="Y490" s="21" t="str">
        <x:f>IF(C490="","",IF(AQ490&lt;&gt;"Ready","Unavailable",IF(C490="","",U490-W490+V490-X490+N490+AG490)))</x:f>
      </x:c>
      <x:c r="Z490" s="23" t="str">
        <x:f>IF(C490="","",IF(AQ490&lt;&gt;"Ready","Unavailable",IF(C490="","",(G490+O490+L490)/2*INDEX('Facilities'!$T$9:$T$108,MATCH(C490,'Facilities'!$C$9:$C$108,0))+AG490)))</x:f>
      </x:c>
      <x:c r="AA490" s="23" t="str">
        <x:f>IF(C490="","",IF(AQ490&lt;&gt;"Ready","Unavailable",IF(C490="","",O490*(1-IF(INDEX('Facilities'!$AA$9:$AA$108,MATCH(C490,'Facilities'!$C$9:$C$108,0))=0,0,MIN(1,INDEX('Facilities'!$X$9:$X$108,MATCH(C490,'Facilities'!$C$9:$C$108,0))/INDEX('Facilities'!$AA$9:$AA$108,MATCH(C490,'Facilities'!$C$9:$C$108,0)))))*AF490+P490*(1-IF(INDEX('Facilities'!$AA$9:$AA$108,MATCH(C490,'Facilities'!$C$9:$C$108,0))=0,0,MIN(1,INDEX('Facilities'!$X$9:$X$108,MATCH(C490,'Facilities'!$C$9:$C$108,0))/INDEX('Facilities'!$AA$9:$AA$108,MATCH(C490,'Facilities'!$C$9:$C$108,0)))))*INDEX('Facilities'!$AJ$9:$AJ$108,MATCH(C490,'Facilities'!$C$9:$C$108,0))+Q490*INDEX('Facilities'!$AI$9:$AI$108,MATCH(C490,'Facilities'!$C$9:$C$108,0))*AF490)))</x:f>
      </x:c>
      <x:c r="AB490" s="21" t="str">
        <x:f>IF(C490="","",O490+P490-AD490)</x:f>
      </x:c>
      <x:c r="AC490" s="23" t="str">
        <x:f>IF(C490="","",IFERROR(IF(INDEX('Facilities'!$AD$9:$AD$108,MATCH(C490,'Facilities'!$C$9:$C$108,0))=3,0,IF(INDEX('Facilities'!$AN$9:$AN$108,MATCH(C490,'Facilities'!$C$9:$C$108,0))=0,-1,INDEX('Facilities'!$AN$9:$AN$108,MATCH(C490,'Facilities'!$C$9:$C$108,0)))),"Unavailable"))</x:f>
      </x:c>
      <x:c r="AD490" s="21" t="str">
        <x:f>IF(C490="","",IFERROR(G490+H490,"Unavailable"))</x:f>
      </x:c>
      <x:c r="AE490" s="21" t="str">
        <x:f>IF(C490="","",IF(AQ490&lt;&gt;"Ready","Unavailable",IF(C490="","",O490+P490-AD490-J490+K490+M490+N490)))</x:f>
      </x:c>
      <x:c r="AF490" s="30" t="str">
        <x:f>IF(C490="","",IFERROR(INDEX('Facilities'!$S$9:$S$108,MATCH(C490,'Facilities'!$C$9:$C$108,0))*'Scenario Paths'!J75,"Unavailable"))</x:f>
      </x:c>
      <x:c r="AG490" s="23" t="str">
        <x:f>IF(C490="","",IF(AQ490&lt;&gt;"Ready","Unavailable",IF(C490="","",IF(H490&gt;0,MAX(0,H490-AK490)*((1+INDEX('Facilities'!$K$9:$K$108,MATCH(C490,'Facilities'!$C$9:$C$108,0)))^MIN(1,MAX(0,AC490+INDEX('Facilities'!$AK$9:$AK$108,MATCH(C490,'Facilities'!$C$9:$C$108,0))-D490+1))-1),0))))</x:f>
      </x:c>
      <x:c r="AH490" s="21" t="str">
        <x:f>IF(C490="","",IF(AQ490&lt;&gt;"Ready","Unavailable",IF(C490="","",O490+P490)))</x:f>
      </x:c>
      <x:c r="AI490" s="21" t="str">
        <x:f>IF(C490="","",IF(AQ490&lt;&gt;"Ready","Unavailable",IF(C490="","",Z490-Y490)))</x:f>
      </x:c>
      <x:c r="AJ490" s="23" t="str">
        <x:f>IF(C490="","",IFERROR(MAX(0,INDEX('Facilities'!$J$9:$J$108,MATCH(C490,'Facilities'!$C$9:$C$108,0))-D490),"Unavailable"))</x:f>
      </x:c>
      <x:c r="AK490" s="21" t="str">
        <x:f>IF(C490="","",IFERROR(AL390,"Unavailable"))</x:f>
      </x:c>
      <x:c r="AL490" s="23" t="str">
        <x:f>IF(C490="","",IFERROR(IF(P490&gt;0,P490*(1-AM490/(1+INDEX('Facilities'!$K$9:$K$108,MATCH(C490,'Facilities'!$C$9:$C$108,0)))^MAX(0,AC490+INDEX('Facilities'!$AK$9:$AK$108,MATCH(C490,'Facilities'!$C$9:$C$108,0))-D490)),0),"Unavailable"))</x:f>
      </x:c>
      <x:c r="AM490" s="30" t="str">
        <x:f>IF(C490="","",IFERROR(INDEX('Facilities'!$AL$9:$AL$108,MATCH(C490,'Facilities'!$C$9:$C$108,0)),"Unavailable"))</x:f>
      </x:c>
      <x:c r="AN490" s="30" t="str">
        <x:f>IF(C490="","",IFERROR(INDEX(Credit!$T$409:$T$508,MATCH(F490,Credit!$C$409:$C$508,0)),"Unavailable"))</x:f>
      </x:c>
      <x:c r="AO490" s="23" t="str">
        <x:f>IF(C490="","",IF(AQ490&lt;&gt;"Ready","Unavailable",IF(C490="","",O490+P490+Q490*INDEX('Facilities'!$I$9:$I$108,MATCH(C490,'Facilities'!$C$9:$C$108,0)))))</x:f>
      </x:c>
      <x:c r="AP490" s="21" t="str">
        <x:f>IF(C490="","",IF(AQ490&lt;&gt;"Ready","Unavailable",IF(C490="","",AH490-U490)))</x:f>
      </x:c>
      <x:c r="AQ490" s="23" t="str">
        <x:f>IFERROR(IF(C490="","",IF(AND(INDEX('Facilities'!$AF$9:$AF$108,MATCH(C490,'Facilities'!$C$9:$C$108,0))="Ready",INDEX(Credit!$U$409:$U$508,MATCH(F490,Credit!$C$409:$C$508,0))="Ready",ISNUMBER(W490)),"Ready","Review inputs")),"Review inputs")</x:f>
      </x:c>
      <x:c r="AR490" s="23" t="str">
        <x:f>IF(C490="","",IF(AQ490&lt;&gt;"Ready","Unavailable",IF(C490="","",IF(O490=0,0,(IF(AJ490&lt;=1,O490,O490*INDEX('Facilities'!$R$9:$R$108,MATCH(C490,'Facilities'!$C$9:$C$108,0)))+O490*INDEX('Facilities'!$T$9:$T$108,MATCH(C490,'Facilities'!$C$9:$C$108,0)))/12))))</x:f>
      </x:c>
    </x:row>
    <x:row r="491" ht="26" customHeight="1">
      <x:c r="A491" s="1"/>
      <x:c r="B491" s="1"/>
      <x:c r="C491" s="9" t="str">
        <x:f>IF(Facilities!C91="","",Facilities!C91)</x:f>
      </x:c>
      <x:c r="D491" s="3" t="n">
        <x:v>5</x:v>
      </x:c>
      <x:c r="E491" s="9" t="n">
        <x:f>Settings!$F$18+4</x:f>
        <x:v>2031</x:v>
      </x:c>
      <x:c r="F491" s="9" t="str">
        <x:f>IF(C491="","",IFERROR(INDEX('Facilities'!$D$9:$D$108,MATCH(C491,'Facilities'!$C$9:$C$108,0)),"Unavailable"))</x:f>
      </x:c>
      <x:c r="G491" s="21" t="str">
        <x:f>IF(C491="","",IFERROR(O391,"Unavailable"))</x:f>
      </x:c>
      <x:c r="H491" s="21" t="str">
        <x:f>IF(C491="","",IFERROR(P391,"Unavailable"))</x:f>
      </x:c>
      <x:c r="I491" s="21" t="str">
        <x:f>IF(C491="","",IFERROR(Q391,"Unavailable"))</x:f>
      </x:c>
      <x:c r="J491" s="23" t="str">
        <x:f>IF(C491="","",IFERROR(IF(OR(H491&gt;0,AND(AC491&gt;=0,AC491&lt;D491),D491&gt;INDEX('Facilities'!$J$9:$J$108,MATCH(C491,'Facilities'!$C$9:$C$108,0))),0,I491*'Scenario Paths'!J81),"Unavailable"))</x:f>
      </x:c>
      <x:c r="K491" s="23" t="str">
        <x:f>IF(C491="","",IFERROR(IF(OR(H491&gt;0,AND(AC491&gt;=0,AC491=D491)),0,IF(D491&gt;=INDEX('Facilities'!$J$9:$J$108,MATCH(C491,'Facilities'!$C$9:$C$108,0)),G491+J491,MIN(G491+J491,G491*INDEX('Facilities'!$R$9:$R$108,MATCH(C491,'Facilities'!$C$9:$C$108,0))))),"Unavailable"))</x:f>
      </x:c>
      <x:c r="L491" s="21" t="str">
        <x:f>IF(C491="","",IFERROR(IF(AND(AC491=D491,AC491&gt;0),MAX(0,G491+J491-K491),0),"Unavailable"))</x:f>
      </x:c>
      <x:c r="M491" s="23" t="str">
        <x:f>IF(C491="","",IFERROR(IF(AND(AC491&gt;=0,D491&gt;=AC491+INDEX('Facilities'!$AK$9:$AK$108,MATCH(C491,'Facilities'!$C$9:$C$108,0))),(H491+L491)*AM491,0),"Unavailable"))</x:f>
      </x:c>
      <x:c r="N491" s="23" t="str">
        <x:f>IF(C491="","",IFERROR(IF(AND(AC491&gt;=0,D491&gt;=AC491+INDEX('Facilities'!$AK$9:$AK$108,MATCH(C491,'Facilities'!$C$9:$C$108,0))),H491+L491-M491,0),"Unavailable"))</x:f>
      </x:c>
      <x:c r="O491" s="21" t="str">
        <x:f>IF(C491="","",IFERROR(MAX(0,G491+J491-K491-L491),"Unavailable"))</x:f>
      </x:c>
      <x:c r="P491" s="21" t="str">
        <x:f>IF(C491="","",IFERROR(MAX(0,H491+L491-M491-N491),"Unavailable"))</x:f>
      </x:c>
      <x:c r="Q491" s="23" t="str">
        <x:f>IF(C491="","",IFERROR(IF(OR(D491&gt;=INDEX('Facilities'!$J$9:$J$108,MATCH(C491,'Facilities'!$C$9:$C$108,0)),AND(AC491&gt;=0,AC491&lt;=D491)),0,MAX(0,I491-J491)),"Unavailable"))</x:f>
      </x:c>
      <x:c r="R491" s="30" t="str">
        <x:f>IF(C491="","",IFERROR(INDEX(Credit!$Q$409:$Q$508,MATCH(F491,Credit!$C$409:$C$508,0)),"Unavailable"))</x:f>
      </x:c>
      <x:c r="S491" s="30" t="str">
        <x:f>IF(C491="","",IFERROR(INDEX(Credit!$R$409:$R$508,MATCH(F491,Credit!$C$409:$C$508,0)),"Unavailable"))</x:f>
      </x:c>
      <x:c r="T491" s="23" t="str">
        <x:f>IF(C491="","",IFERROR(IF(P491&gt;0,3,IF(OR(INDEX('Facilities'!$AD$9:$AD$108,MATCH(C491,'Facilities'!$C$9:$C$108,0))=2,AND(R491&gt;=INDEX('Facilities'!$L$9:$L$108,MATCH(C491,'Facilities'!$C$9:$C$108,0))*Settings!$F$19,R491-INDEX('Facilities'!$L$9:$L$108,MATCH(C491,'Facilities'!$C$9:$C$108,0))&gt;=Settings!$F$20)),2,1)),"Unavailable"))</x:f>
      </x:c>
      <x:c r="U491" s="23" t="str">
        <x:f>IF(C491="","",IF(AQ491&lt;&gt;"Ready","Unavailable",IF(C491="","",O491*(1-(1-S491)/(1+INDEX('Facilities'!$K$9:$K$108,MATCH(C491,'Facilities'!$C$9:$C$108,0)))^INDEX('Facilities'!$AK$9:$AK$108,MATCH(C491,'Facilities'!$C$9:$C$108,0)))*R491/(1+INDEX('Facilities'!$K$9:$K$108,MATCH(C491,'Facilities'!$C$9:$C$108,0)))*IF(ABS(1-(1-R491)*(1-INDEX('Facilities'!$R$9:$R$108,MATCH(C491,'Facilities'!$C$9:$C$108,0)))/(1+INDEX('Facilities'!$K$9:$K$108,MATCH(C491,'Facilities'!$C$9:$C$108,0))))&lt;0.000000001,IF(T491=1,MIN(1,AJ491),AJ491),(1-((1-R491)*(1-INDEX('Facilities'!$R$9:$R$108,MATCH(C491,'Facilities'!$C$9:$C$108,0)))/(1+INDEX('Facilities'!$K$9:$K$108,MATCH(C491,'Facilities'!$C$9:$C$108,0))))^IF(T491=1,MIN(1,AJ491),AJ491))/(1-(1-R491)*(1-INDEX('Facilities'!$R$9:$R$108,MATCH(C491,'Facilities'!$C$9:$C$108,0)))/(1+INDEX('Facilities'!$K$9:$K$108,MATCH(C491,'Facilities'!$C$9:$C$108,0)))))+AL491)))</x:f>
      </x:c>
      <x:c r="V491" s="23" t="str">
        <x:f>IF(C491="","",IF(AQ491&lt;&gt;"Ready","Unavailable",IF(C491="","",Q491*INDEX('Facilities'!$I$9:$I$108,MATCH(C491,'Facilities'!$C$9:$C$108,0))*(1-(1-S491)/(1+INDEX('Facilities'!$K$9:$K$108,MATCH(C491,'Facilities'!$C$9:$C$108,0)))^INDEX('Facilities'!$AK$9:$AK$108,MATCH(C491,'Facilities'!$C$9:$C$108,0)))*R491/(1+INDEX('Facilities'!$K$9:$K$108,MATCH(C491,'Facilities'!$C$9:$C$108,0)))*IF(ABS(1-(1-R491)*(1-0)/(1+INDEX('Facilities'!$K$9:$K$108,MATCH(C491,'Facilities'!$C$9:$C$108,0))))&lt;0.000000001,IF(T491=1,MIN(1,AJ491),AJ491),(1-((1-R491)*(1-0)/(1+INDEX('Facilities'!$K$9:$K$108,MATCH(C491,'Facilities'!$C$9:$C$108,0))))^IF(T491=1,MIN(1,AJ491),AJ491))/(1-(1-R491)*(1-0)/(1+INDEX('Facilities'!$K$9:$K$108,MATCH(C491,'Facilities'!$C$9:$C$108,0))))))))</x:f>
      </x:c>
      <x:c r="W491" s="21" t="str">
        <x:f>IF(C491="","",IFERROR(U391,"Unavailable"))</x:f>
      </x:c>
      <x:c r="X491" s="21" t="str">
        <x:f>IF(C491="","",IFERROR(V391,"Unavailable"))</x:f>
      </x:c>
      <x:c r="Y491" s="21" t="str">
        <x:f>IF(C491="","",IF(AQ491&lt;&gt;"Ready","Unavailable",IF(C491="","",U491-W491+V491-X491+N491+AG491)))</x:f>
      </x:c>
      <x:c r="Z491" s="23" t="str">
        <x:f>IF(C491="","",IF(AQ491&lt;&gt;"Ready","Unavailable",IF(C491="","",(G491+O491+L491)/2*INDEX('Facilities'!$T$9:$T$108,MATCH(C491,'Facilities'!$C$9:$C$108,0))+AG491)))</x:f>
      </x:c>
      <x:c r="AA491" s="23" t="str">
        <x:f>IF(C491="","",IF(AQ491&lt;&gt;"Ready","Unavailable",IF(C491="","",O491*(1-IF(INDEX('Facilities'!$AA$9:$AA$108,MATCH(C491,'Facilities'!$C$9:$C$108,0))=0,0,MIN(1,INDEX('Facilities'!$X$9:$X$108,MATCH(C491,'Facilities'!$C$9:$C$108,0))/INDEX('Facilities'!$AA$9:$AA$108,MATCH(C491,'Facilities'!$C$9:$C$108,0)))))*AF491+P491*(1-IF(INDEX('Facilities'!$AA$9:$AA$108,MATCH(C491,'Facilities'!$C$9:$C$108,0))=0,0,MIN(1,INDEX('Facilities'!$X$9:$X$108,MATCH(C491,'Facilities'!$C$9:$C$108,0))/INDEX('Facilities'!$AA$9:$AA$108,MATCH(C491,'Facilities'!$C$9:$C$108,0)))))*INDEX('Facilities'!$AJ$9:$AJ$108,MATCH(C491,'Facilities'!$C$9:$C$108,0))+Q491*INDEX('Facilities'!$AI$9:$AI$108,MATCH(C491,'Facilities'!$C$9:$C$108,0))*AF491)))</x:f>
      </x:c>
      <x:c r="AB491" s="21" t="str">
        <x:f>IF(C491="","",O491+P491-AD491)</x:f>
      </x:c>
      <x:c r="AC491" s="23" t="str">
        <x:f>IF(C491="","",IFERROR(IF(INDEX('Facilities'!$AD$9:$AD$108,MATCH(C491,'Facilities'!$C$9:$C$108,0))=3,0,IF(INDEX('Facilities'!$AN$9:$AN$108,MATCH(C491,'Facilities'!$C$9:$C$108,0))=0,-1,INDEX('Facilities'!$AN$9:$AN$108,MATCH(C491,'Facilities'!$C$9:$C$108,0)))),"Unavailable"))</x:f>
      </x:c>
      <x:c r="AD491" s="21" t="str">
        <x:f>IF(C491="","",IFERROR(G491+H491,"Unavailable"))</x:f>
      </x:c>
      <x:c r="AE491" s="21" t="str">
        <x:f>IF(C491="","",IF(AQ491&lt;&gt;"Ready","Unavailable",IF(C491="","",O491+P491-AD491-J491+K491+M491+N491)))</x:f>
      </x:c>
      <x:c r="AF491" s="30" t="str">
        <x:f>IF(C491="","",IFERROR(INDEX('Facilities'!$S$9:$S$108,MATCH(C491,'Facilities'!$C$9:$C$108,0))*'Scenario Paths'!J75,"Unavailable"))</x:f>
      </x:c>
      <x:c r="AG491" s="23" t="str">
        <x:f>IF(C491="","",IF(AQ491&lt;&gt;"Ready","Unavailable",IF(C491="","",IF(H491&gt;0,MAX(0,H491-AK491)*((1+INDEX('Facilities'!$K$9:$K$108,MATCH(C491,'Facilities'!$C$9:$C$108,0)))^MIN(1,MAX(0,AC491+INDEX('Facilities'!$AK$9:$AK$108,MATCH(C491,'Facilities'!$C$9:$C$108,0))-D491+1))-1),0))))</x:f>
      </x:c>
      <x:c r="AH491" s="21" t="str">
        <x:f>IF(C491="","",IF(AQ491&lt;&gt;"Ready","Unavailable",IF(C491="","",O491+P491)))</x:f>
      </x:c>
      <x:c r="AI491" s="21" t="str">
        <x:f>IF(C491="","",IF(AQ491&lt;&gt;"Ready","Unavailable",IF(C491="","",Z491-Y491)))</x:f>
      </x:c>
      <x:c r="AJ491" s="23" t="str">
        <x:f>IF(C491="","",IFERROR(MAX(0,INDEX('Facilities'!$J$9:$J$108,MATCH(C491,'Facilities'!$C$9:$C$108,0))-D491),"Unavailable"))</x:f>
      </x:c>
      <x:c r="AK491" s="21" t="str">
        <x:f>IF(C491="","",IFERROR(AL391,"Unavailable"))</x:f>
      </x:c>
      <x:c r="AL491" s="23" t="str">
        <x:f>IF(C491="","",IFERROR(IF(P491&gt;0,P491*(1-AM491/(1+INDEX('Facilities'!$K$9:$K$108,MATCH(C491,'Facilities'!$C$9:$C$108,0)))^MAX(0,AC491+INDEX('Facilities'!$AK$9:$AK$108,MATCH(C491,'Facilities'!$C$9:$C$108,0))-D491)),0),"Unavailable"))</x:f>
      </x:c>
      <x:c r="AM491" s="30" t="str">
        <x:f>IF(C491="","",IFERROR(INDEX('Facilities'!$AL$9:$AL$108,MATCH(C491,'Facilities'!$C$9:$C$108,0)),"Unavailable"))</x:f>
      </x:c>
      <x:c r="AN491" s="30" t="str">
        <x:f>IF(C491="","",IFERROR(INDEX(Credit!$T$409:$T$508,MATCH(F491,Credit!$C$409:$C$508,0)),"Unavailable"))</x:f>
      </x:c>
      <x:c r="AO491" s="23" t="str">
        <x:f>IF(C491="","",IF(AQ491&lt;&gt;"Ready","Unavailable",IF(C491="","",O491+P491+Q491*INDEX('Facilities'!$I$9:$I$108,MATCH(C491,'Facilities'!$C$9:$C$108,0)))))</x:f>
      </x:c>
      <x:c r="AP491" s="21" t="str">
        <x:f>IF(C491="","",IF(AQ491&lt;&gt;"Ready","Unavailable",IF(C491="","",AH491-U491)))</x:f>
      </x:c>
      <x:c r="AQ491" s="23" t="str">
        <x:f>IFERROR(IF(C491="","",IF(AND(INDEX('Facilities'!$AF$9:$AF$108,MATCH(C491,'Facilities'!$C$9:$C$108,0))="Ready",INDEX(Credit!$U$409:$U$508,MATCH(F491,Credit!$C$409:$C$508,0))="Ready",ISNUMBER(W491)),"Ready","Review inputs")),"Review inputs")</x:f>
      </x:c>
      <x:c r="AR491" s="23" t="str">
        <x:f>IF(C491="","",IF(AQ491&lt;&gt;"Ready","Unavailable",IF(C491="","",IF(O491=0,0,(IF(AJ491&lt;=1,O491,O491*INDEX('Facilities'!$R$9:$R$108,MATCH(C491,'Facilities'!$C$9:$C$108,0)))+O491*INDEX('Facilities'!$T$9:$T$108,MATCH(C491,'Facilities'!$C$9:$C$108,0)))/12))))</x:f>
      </x:c>
    </x:row>
    <x:row r="492" ht="26" customHeight="1">
      <x:c r="A492" s="1"/>
      <x:c r="B492" s="1"/>
      <x:c r="C492" s="9" t="str">
        <x:f>IF(Facilities!C92="","",Facilities!C92)</x:f>
      </x:c>
      <x:c r="D492" s="3" t="n">
        <x:v>5</x:v>
      </x:c>
      <x:c r="E492" s="9" t="n">
        <x:f>Settings!$F$18+4</x:f>
        <x:v>2031</x:v>
      </x:c>
      <x:c r="F492" s="9" t="str">
        <x:f>IF(C492="","",IFERROR(INDEX('Facilities'!$D$9:$D$108,MATCH(C492,'Facilities'!$C$9:$C$108,0)),"Unavailable"))</x:f>
      </x:c>
      <x:c r="G492" s="21" t="str">
        <x:f>IF(C492="","",IFERROR(O392,"Unavailable"))</x:f>
      </x:c>
      <x:c r="H492" s="21" t="str">
        <x:f>IF(C492="","",IFERROR(P392,"Unavailable"))</x:f>
      </x:c>
      <x:c r="I492" s="21" t="str">
        <x:f>IF(C492="","",IFERROR(Q392,"Unavailable"))</x:f>
      </x:c>
      <x:c r="J492" s="23" t="str">
        <x:f>IF(C492="","",IFERROR(IF(OR(H492&gt;0,AND(AC492&gt;=0,AC492&lt;D492),D492&gt;INDEX('Facilities'!$J$9:$J$108,MATCH(C492,'Facilities'!$C$9:$C$108,0))),0,I492*'Scenario Paths'!J81),"Unavailable"))</x:f>
      </x:c>
      <x:c r="K492" s="23" t="str">
        <x:f>IF(C492="","",IFERROR(IF(OR(H492&gt;0,AND(AC492&gt;=0,AC492=D492)),0,IF(D492&gt;=INDEX('Facilities'!$J$9:$J$108,MATCH(C492,'Facilities'!$C$9:$C$108,0)),G492+J492,MIN(G492+J492,G492*INDEX('Facilities'!$R$9:$R$108,MATCH(C492,'Facilities'!$C$9:$C$108,0))))),"Unavailable"))</x:f>
      </x:c>
      <x:c r="L492" s="21" t="str">
        <x:f>IF(C492="","",IFERROR(IF(AND(AC492=D492,AC492&gt;0),MAX(0,G492+J492-K492),0),"Unavailable"))</x:f>
      </x:c>
      <x:c r="M492" s="23" t="str">
        <x:f>IF(C492="","",IFERROR(IF(AND(AC492&gt;=0,D492&gt;=AC492+INDEX('Facilities'!$AK$9:$AK$108,MATCH(C492,'Facilities'!$C$9:$C$108,0))),(H492+L492)*AM492,0),"Unavailable"))</x:f>
      </x:c>
      <x:c r="N492" s="23" t="str">
        <x:f>IF(C492="","",IFERROR(IF(AND(AC492&gt;=0,D492&gt;=AC492+INDEX('Facilities'!$AK$9:$AK$108,MATCH(C492,'Facilities'!$C$9:$C$108,0))),H492+L492-M492,0),"Unavailable"))</x:f>
      </x:c>
      <x:c r="O492" s="21" t="str">
        <x:f>IF(C492="","",IFERROR(MAX(0,G492+J492-K492-L492),"Unavailable"))</x:f>
      </x:c>
      <x:c r="P492" s="21" t="str">
        <x:f>IF(C492="","",IFERROR(MAX(0,H492+L492-M492-N492),"Unavailable"))</x:f>
      </x:c>
      <x:c r="Q492" s="23" t="str">
        <x:f>IF(C492="","",IFERROR(IF(OR(D492&gt;=INDEX('Facilities'!$J$9:$J$108,MATCH(C492,'Facilities'!$C$9:$C$108,0)),AND(AC492&gt;=0,AC492&lt;=D492)),0,MAX(0,I492-J492)),"Unavailable"))</x:f>
      </x:c>
      <x:c r="R492" s="30" t="str">
        <x:f>IF(C492="","",IFERROR(INDEX(Credit!$Q$409:$Q$508,MATCH(F492,Credit!$C$409:$C$508,0)),"Unavailable"))</x:f>
      </x:c>
      <x:c r="S492" s="30" t="str">
        <x:f>IF(C492="","",IFERROR(INDEX(Credit!$R$409:$R$508,MATCH(F492,Credit!$C$409:$C$508,0)),"Unavailable"))</x:f>
      </x:c>
      <x:c r="T492" s="23" t="str">
        <x:f>IF(C492="","",IFERROR(IF(P492&gt;0,3,IF(OR(INDEX('Facilities'!$AD$9:$AD$108,MATCH(C492,'Facilities'!$C$9:$C$108,0))=2,AND(R492&gt;=INDEX('Facilities'!$L$9:$L$108,MATCH(C492,'Facilities'!$C$9:$C$108,0))*Settings!$F$19,R492-INDEX('Facilities'!$L$9:$L$108,MATCH(C492,'Facilities'!$C$9:$C$108,0))&gt;=Settings!$F$20)),2,1)),"Unavailable"))</x:f>
      </x:c>
      <x:c r="U492" s="23" t="str">
        <x:f>IF(C492="","",IF(AQ492&lt;&gt;"Ready","Unavailable",IF(C492="","",O492*(1-(1-S492)/(1+INDEX('Facilities'!$K$9:$K$108,MATCH(C492,'Facilities'!$C$9:$C$108,0)))^INDEX('Facilities'!$AK$9:$AK$108,MATCH(C492,'Facilities'!$C$9:$C$108,0)))*R492/(1+INDEX('Facilities'!$K$9:$K$108,MATCH(C492,'Facilities'!$C$9:$C$108,0)))*IF(ABS(1-(1-R492)*(1-INDEX('Facilities'!$R$9:$R$108,MATCH(C492,'Facilities'!$C$9:$C$108,0)))/(1+INDEX('Facilities'!$K$9:$K$108,MATCH(C492,'Facilities'!$C$9:$C$108,0))))&lt;0.000000001,IF(T492=1,MIN(1,AJ492),AJ492),(1-((1-R492)*(1-INDEX('Facilities'!$R$9:$R$108,MATCH(C492,'Facilities'!$C$9:$C$108,0)))/(1+INDEX('Facilities'!$K$9:$K$108,MATCH(C492,'Facilities'!$C$9:$C$108,0))))^IF(T492=1,MIN(1,AJ492),AJ492))/(1-(1-R492)*(1-INDEX('Facilities'!$R$9:$R$108,MATCH(C492,'Facilities'!$C$9:$C$108,0)))/(1+INDEX('Facilities'!$K$9:$K$108,MATCH(C492,'Facilities'!$C$9:$C$108,0)))))+AL492)))</x:f>
      </x:c>
      <x:c r="V492" s="23" t="str">
        <x:f>IF(C492="","",IF(AQ492&lt;&gt;"Ready","Unavailable",IF(C492="","",Q492*INDEX('Facilities'!$I$9:$I$108,MATCH(C492,'Facilities'!$C$9:$C$108,0))*(1-(1-S492)/(1+INDEX('Facilities'!$K$9:$K$108,MATCH(C492,'Facilities'!$C$9:$C$108,0)))^INDEX('Facilities'!$AK$9:$AK$108,MATCH(C492,'Facilities'!$C$9:$C$108,0)))*R492/(1+INDEX('Facilities'!$K$9:$K$108,MATCH(C492,'Facilities'!$C$9:$C$108,0)))*IF(ABS(1-(1-R492)*(1-0)/(1+INDEX('Facilities'!$K$9:$K$108,MATCH(C492,'Facilities'!$C$9:$C$108,0))))&lt;0.000000001,IF(T492=1,MIN(1,AJ492),AJ492),(1-((1-R492)*(1-0)/(1+INDEX('Facilities'!$K$9:$K$108,MATCH(C492,'Facilities'!$C$9:$C$108,0))))^IF(T492=1,MIN(1,AJ492),AJ492))/(1-(1-R492)*(1-0)/(1+INDEX('Facilities'!$K$9:$K$108,MATCH(C492,'Facilities'!$C$9:$C$108,0))))))))</x:f>
      </x:c>
      <x:c r="W492" s="21" t="str">
        <x:f>IF(C492="","",IFERROR(U392,"Unavailable"))</x:f>
      </x:c>
      <x:c r="X492" s="21" t="str">
        <x:f>IF(C492="","",IFERROR(V392,"Unavailable"))</x:f>
      </x:c>
      <x:c r="Y492" s="21" t="str">
        <x:f>IF(C492="","",IF(AQ492&lt;&gt;"Ready","Unavailable",IF(C492="","",U492-W492+V492-X492+N492+AG492)))</x:f>
      </x:c>
      <x:c r="Z492" s="23" t="str">
        <x:f>IF(C492="","",IF(AQ492&lt;&gt;"Ready","Unavailable",IF(C492="","",(G492+O492+L492)/2*INDEX('Facilities'!$T$9:$T$108,MATCH(C492,'Facilities'!$C$9:$C$108,0))+AG492)))</x:f>
      </x:c>
      <x:c r="AA492" s="23" t="str">
        <x:f>IF(C492="","",IF(AQ492&lt;&gt;"Ready","Unavailable",IF(C492="","",O492*(1-IF(INDEX('Facilities'!$AA$9:$AA$108,MATCH(C492,'Facilities'!$C$9:$C$108,0))=0,0,MIN(1,INDEX('Facilities'!$X$9:$X$108,MATCH(C492,'Facilities'!$C$9:$C$108,0))/INDEX('Facilities'!$AA$9:$AA$108,MATCH(C492,'Facilities'!$C$9:$C$108,0)))))*AF492+P492*(1-IF(INDEX('Facilities'!$AA$9:$AA$108,MATCH(C492,'Facilities'!$C$9:$C$108,0))=0,0,MIN(1,INDEX('Facilities'!$X$9:$X$108,MATCH(C492,'Facilities'!$C$9:$C$108,0))/INDEX('Facilities'!$AA$9:$AA$108,MATCH(C492,'Facilities'!$C$9:$C$108,0)))))*INDEX('Facilities'!$AJ$9:$AJ$108,MATCH(C492,'Facilities'!$C$9:$C$108,0))+Q492*INDEX('Facilities'!$AI$9:$AI$108,MATCH(C492,'Facilities'!$C$9:$C$108,0))*AF492)))</x:f>
      </x:c>
      <x:c r="AB492" s="21" t="str">
        <x:f>IF(C492="","",O492+P492-AD492)</x:f>
      </x:c>
      <x:c r="AC492" s="23" t="str">
        <x:f>IF(C492="","",IFERROR(IF(INDEX('Facilities'!$AD$9:$AD$108,MATCH(C492,'Facilities'!$C$9:$C$108,0))=3,0,IF(INDEX('Facilities'!$AN$9:$AN$108,MATCH(C492,'Facilities'!$C$9:$C$108,0))=0,-1,INDEX('Facilities'!$AN$9:$AN$108,MATCH(C492,'Facilities'!$C$9:$C$108,0)))),"Unavailable"))</x:f>
      </x:c>
      <x:c r="AD492" s="21" t="str">
        <x:f>IF(C492="","",IFERROR(G492+H492,"Unavailable"))</x:f>
      </x:c>
      <x:c r="AE492" s="21" t="str">
        <x:f>IF(C492="","",IF(AQ492&lt;&gt;"Ready","Unavailable",IF(C492="","",O492+P492-AD492-J492+K492+M492+N492)))</x:f>
      </x:c>
      <x:c r="AF492" s="30" t="str">
        <x:f>IF(C492="","",IFERROR(INDEX('Facilities'!$S$9:$S$108,MATCH(C492,'Facilities'!$C$9:$C$108,0))*'Scenario Paths'!J75,"Unavailable"))</x:f>
      </x:c>
      <x:c r="AG492" s="23" t="str">
        <x:f>IF(C492="","",IF(AQ492&lt;&gt;"Ready","Unavailable",IF(C492="","",IF(H492&gt;0,MAX(0,H492-AK492)*((1+INDEX('Facilities'!$K$9:$K$108,MATCH(C492,'Facilities'!$C$9:$C$108,0)))^MIN(1,MAX(0,AC492+INDEX('Facilities'!$AK$9:$AK$108,MATCH(C492,'Facilities'!$C$9:$C$108,0))-D492+1))-1),0))))</x:f>
      </x:c>
      <x:c r="AH492" s="21" t="str">
        <x:f>IF(C492="","",IF(AQ492&lt;&gt;"Ready","Unavailable",IF(C492="","",O492+P492)))</x:f>
      </x:c>
      <x:c r="AI492" s="21" t="str">
        <x:f>IF(C492="","",IF(AQ492&lt;&gt;"Ready","Unavailable",IF(C492="","",Z492-Y492)))</x:f>
      </x:c>
      <x:c r="AJ492" s="23" t="str">
        <x:f>IF(C492="","",IFERROR(MAX(0,INDEX('Facilities'!$J$9:$J$108,MATCH(C492,'Facilities'!$C$9:$C$108,0))-D492),"Unavailable"))</x:f>
      </x:c>
      <x:c r="AK492" s="21" t="str">
        <x:f>IF(C492="","",IFERROR(AL392,"Unavailable"))</x:f>
      </x:c>
      <x:c r="AL492" s="23" t="str">
        <x:f>IF(C492="","",IFERROR(IF(P492&gt;0,P492*(1-AM492/(1+INDEX('Facilities'!$K$9:$K$108,MATCH(C492,'Facilities'!$C$9:$C$108,0)))^MAX(0,AC492+INDEX('Facilities'!$AK$9:$AK$108,MATCH(C492,'Facilities'!$C$9:$C$108,0))-D492)),0),"Unavailable"))</x:f>
      </x:c>
      <x:c r="AM492" s="30" t="str">
        <x:f>IF(C492="","",IFERROR(INDEX('Facilities'!$AL$9:$AL$108,MATCH(C492,'Facilities'!$C$9:$C$108,0)),"Unavailable"))</x:f>
      </x:c>
      <x:c r="AN492" s="30" t="str">
        <x:f>IF(C492="","",IFERROR(INDEX(Credit!$T$409:$T$508,MATCH(F492,Credit!$C$409:$C$508,0)),"Unavailable"))</x:f>
      </x:c>
      <x:c r="AO492" s="23" t="str">
        <x:f>IF(C492="","",IF(AQ492&lt;&gt;"Ready","Unavailable",IF(C492="","",O492+P492+Q492*INDEX('Facilities'!$I$9:$I$108,MATCH(C492,'Facilities'!$C$9:$C$108,0)))))</x:f>
      </x:c>
      <x:c r="AP492" s="21" t="str">
        <x:f>IF(C492="","",IF(AQ492&lt;&gt;"Ready","Unavailable",IF(C492="","",AH492-U492)))</x:f>
      </x:c>
      <x:c r="AQ492" s="23" t="str">
        <x:f>IFERROR(IF(C492="","",IF(AND(INDEX('Facilities'!$AF$9:$AF$108,MATCH(C492,'Facilities'!$C$9:$C$108,0))="Ready",INDEX(Credit!$U$409:$U$508,MATCH(F492,Credit!$C$409:$C$508,0))="Ready",ISNUMBER(W492)),"Ready","Review inputs")),"Review inputs")</x:f>
      </x:c>
      <x:c r="AR492" s="23" t="str">
        <x:f>IF(C492="","",IF(AQ492&lt;&gt;"Ready","Unavailable",IF(C492="","",IF(O492=0,0,(IF(AJ492&lt;=1,O492,O492*INDEX('Facilities'!$R$9:$R$108,MATCH(C492,'Facilities'!$C$9:$C$108,0)))+O492*INDEX('Facilities'!$T$9:$T$108,MATCH(C492,'Facilities'!$C$9:$C$108,0)))/12))))</x:f>
      </x:c>
    </x:row>
    <x:row r="493" ht="26" customHeight="1">
      <x:c r="A493" s="1"/>
      <x:c r="B493" s="1"/>
      <x:c r="C493" s="9" t="str">
        <x:f>IF(Facilities!C93="","",Facilities!C93)</x:f>
      </x:c>
      <x:c r="D493" s="3" t="n">
        <x:v>5</x:v>
      </x:c>
      <x:c r="E493" s="9" t="n">
        <x:f>Settings!$F$18+4</x:f>
        <x:v>2031</x:v>
      </x:c>
      <x:c r="F493" s="9" t="str">
        <x:f>IF(C493="","",IFERROR(INDEX('Facilities'!$D$9:$D$108,MATCH(C493,'Facilities'!$C$9:$C$108,0)),"Unavailable"))</x:f>
      </x:c>
      <x:c r="G493" s="21" t="str">
        <x:f>IF(C493="","",IFERROR(O393,"Unavailable"))</x:f>
      </x:c>
      <x:c r="H493" s="21" t="str">
        <x:f>IF(C493="","",IFERROR(P393,"Unavailable"))</x:f>
      </x:c>
      <x:c r="I493" s="21" t="str">
        <x:f>IF(C493="","",IFERROR(Q393,"Unavailable"))</x:f>
      </x:c>
      <x:c r="J493" s="23" t="str">
        <x:f>IF(C493="","",IFERROR(IF(OR(H493&gt;0,AND(AC493&gt;=0,AC493&lt;D493),D493&gt;INDEX('Facilities'!$J$9:$J$108,MATCH(C493,'Facilities'!$C$9:$C$108,0))),0,I493*'Scenario Paths'!J81),"Unavailable"))</x:f>
      </x:c>
      <x:c r="K493" s="23" t="str">
        <x:f>IF(C493="","",IFERROR(IF(OR(H493&gt;0,AND(AC493&gt;=0,AC493=D493)),0,IF(D493&gt;=INDEX('Facilities'!$J$9:$J$108,MATCH(C493,'Facilities'!$C$9:$C$108,0)),G493+J493,MIN(G493+J493,G493*INDEX('Facilities'!$R$9:$R$108,MATCH(C493,'Facilities'!$C$9:$C$108,0))))),"Unavailable"))</x:f>
      </x:c>
      <x:c r="L493" s="21" t="str">
        <x:f>IF(C493="","",IFERROR(IF(AND(AC493=D493,AC493&gt;0),MAX(0,G493+J493-K493),0),"Unavailable"))</x:f>
      </x:c>
      <x:c r="M493" s="23" t="str">
        <x:f>IF(C493="","",IFERROR(IF(AND(AC493&gt;=0,D493&gt;=AC493+INDEX('Facilities'!$AK$9:$AK$108,MATCH(C493,'Facilities'!$C$9:$C$108,0))),(H493+L493)*AM493,0),"Unavailable"))</x:f>
      </x:c>
      <x:c r="N493" s="23" t="str">
        <x:f>IF(C493="","",IFERROR(IF(AND(AC493&gt;=0,D493&gt;=AC493+INDEX('Facilities'!$AK$9:$AK$108,MATCH(C493,'Facilities'!$C$9:$C$108,0))),H493+L493-M493,0),"Unavailable"))</x:f>
      </x:c>
      <x:c r="O493" s="21" t="str">
        <x:f>IF(C493="","",IFERROR(MAX(0,G493+J493-K493-L493),"Unavailable"))</x:f>
      </x:c>
      <x:c r="P493" s="21" t="str">
        <x:f>IF(C493="","",IFERROR(MAX(0,H493+L493-M493-N493),"Unavailable"))</x:f>
      </x:c>
      <x:c r="Q493" s="23" t="str">
        <x:f>IF(C493="","",IFERROR(IF(OR(D493&gt;=INDEX('Facilities'!$J$9:$J$108,MATCH(C493,'Facilities'!$C$9:$C$108,0)),AND(AC493&gt;=0,AC493&lt;=D493)),0,MAX(0,I493-J493)),"Unavailable"))</x:f>
      </x:c>
      <x:c r="R493" s="30" t="str">
        <x:f>IF(C493="","",IFERROR(INDEX(Credit!$Q$409:$Q$508,MATCH(F493,Credit!$C$409:$C$508,0)),"Unavailable"))</x:f>
      </x:c>
      <x:c r="S493" s="30" t="str">
        <x:f>IF(C493="","",IFERROR(INDEX(Credit!$R$409:$R$508,MATCH(F493,Credit!$C$409:$C$508,0)),"Unavailable"))</x:f>
      </x:c>
      <x:c r="T493" s="23" t="str">
        <x:f>IF(C493="","",IFERROR(IF(P493&gt;0,3,IF(OR(INDEX('Facilities'!$AD$9:$AD$108,MATCH(C493,'Facilities'!$C$9:$C$108,0))=2,AND(R493&gt;=INDEX('Facilities'!$L$9:$L$108,MATCH(C493,'Facilities'!$C$9:$C$108,0))*Settings!$F$19,R493-INDEX('Facilities'!$L$9:$L$108,MATCH(C493,'Facilities'!$C$9:$C$108,0))&gt;=Settings!$F$20)),2,1)),"Unavailable"))</x:f>
      </x:c>
      <x:c r="U493" s="23" t="str">
        <x:f>IF(C493="","",IF(AQ493&lt;&gt;"Ready","Unavailable",IF(C493="","",O493*(1-(1-S493)/(1+INDEX('Facilities'!$K$9:$K$108,MATCH(C493,'Facilities'!$C$9:$C$108,0)))^INDEX('Facilities'!$AK$9:$AK$108,MATCH(C493,'Facilities'!$C$9:$C$108,0)))*R493/(1+INDEX('Facilities'!$K$9:$K$108,MATCH(C493,'Facilities'!$C$9:$C$108,0)))*IF(ABS(1-(1-R493)*(1-INDEX('Facilities'!$R$9:$R$108,MATCH(C493,'Facilities'!$C$9:$C$108,0)))/(1+INDEX('Facilities'!$K$9:$K$108,MATCH(C493,'Facilities'!$C$9:$C$108,0))))&lt;0.000000001,IF(T493=1,MIN(1,AJ493),AJ493),(1-((1-R493)*(1-INDEX('Facilities'!$R$9:$R$108,MATCH(C493,'Facilities'!$C$9:$C$108,0)))/(1+INDEX('Facilities'!$K$9:$K$108,MATCH(C493,'Facilities'!$C$9:$C$108,0))))^IF(T493=1,MIN(1,AJ493),AJ493))/(1-(1-R493)*(1-INDEX('Facilities'!$R$9:$R$108,MATCH(C493,'Facilities'!$C$9:$C$108,0)))/(1+INDEX('Facilities'!$K$9:$K$108,MATCH(C493,'Facilities'!$C$9:$C$108,0)))))+AL493)))</x:f>
      </x:c>
      <x:c r="V493" s="23" t="str">
        <x:f>IF(C493="","",IF(AQ493&lt;&gt;"Ready","Unavailable",IF(C493="","",Q493*INDEX('Facilities'!$I$9:$I$108,MATCH(C493,'Facilities'!$C$9:$C$108,0))*(1-(1-S493)/(1+INDEX('Facilities'!$K$9:$K$108,MATCH(C493,'Facilities'!$C$9:$C$108,0)))^INDEX('Facilities'!$AK$9:$AK$108,MATCH(C493,'Facilities'!$C$9:$C$108,0)))*R493/(1+INDEX('Facilities'!$K$9:$K$108,MATCH(C493,'Facilities'!$C$9:$C$108,0)))*IF(ABS(1-(1-R493)*(1-0)/(1+INDEX('Facilities'!$K$9:$K$108,MATCH(C493,'Facilities'!$C$9:$C$108,0))))&lt;0.000000001,IF(T493=1,MIN(1,AJ493),AJ493),(1-((1-R493)*(1-0)/(1+INDEX('Facilities'!$K$9:$K$108,MATCH(C493,'Facilities'!$C$9:$C$108,0))))^IF(T493=1,MIN(1,AJ493),AJ493))/(1-(1-R493)*(1-0)/(1+INDEX('Facilities'!$K$9:$K$108,MATCH(C493,'Facilities'!$C$9:$C$108,0))))))))</x:f>
      </x:c>
      <x:c r="W493" s="21" t="str">
        <x:f>IF(C493="","",IFERROR(U393,"Unavailable"))</x:f>
      </x:c>
      <x:c r="X493" s="21" t="str">
        <x:f>IF(C493="","",IFERROR(V393,"Unavailable"))</x:f>
      </x:c>
      <x:c r="Y493" s="21" t="str">
        <x:f>IF(C493="","",IF(AQ493&lt;&gt;"Ready","Unavailable",IF(C493="","",U493-W493+V493-X493+N493+AG493)))</x:f>
      </x:c>
      <x:c r="Z493" s="23" t="str">
        <x:f>IF(C493="","",IF(AQ493&lt;&gt;"Ready","Unavailable",IF(C493="","",(G493+O493+L493)/2*INDEX('Facilities'!$T$9:$T$108,MATCH(C493,'Facilities'!$C$9:$C$108,0))+AG493)))</x:f>
      </x:c>
      <x:c r="AA493" s="23" t="str">
        <x:f>IF(C493="","",IF(AQ493&lt;&gt;"Ready","Unavailable",IF(C493="","",O493*(1-IF(INDEX('Facilities'!$AA$9:$AA$108,MATCH(C493,'Facilities'!$C$9:$C$108,0))=0,0,MIN(1,INDEX('Facilities'!$X$9:$X$108,MATCH(C493,'Facilities'!$C$9:$C$108,0))/INDEX('Facilities'!$AA$9:$AA$108,MATCH(C493,'Facilities'!$C$9:$C$108,0)))))*AF493+P493*(1-IF(INDEX('Facilities'!$AA$9:$AA$108,MATCH(C493,'Facilities'!$C$9:$C$108,0))=0,0,MIN(1,INDEX('Facilities'!$X$9:$X$108,MATCH(C493,'Facilities'!$C$9:$C$108,0))/INDEX('Facilities'!$AA$9:$AA$108,MATCH(C493,'Facilities'!$C$9:$C$108,0)))))*INDEX('Facilities'!$AJ$9:$AJ$108,MATCH(C493,'Facilities'!$C$9:$C$108,0))+Q493*INDEX('Facilities'!$AI$9:$AI$108,MATCH(C493,'Facilities'!$C$9:$C$108,0))*AF493)))</x:f>
      </x:c>
      <x:c r="AB493" s="21" t="str">
        <x:f>IF(C493="","",O493+P493-AD493)</x:f>
      </x:c>
      <x:c r="AC493" s="23" t="str">
        <x:f>IF(C493="","",IFERROR(IF(INDEX('Facilities'!$AD$9:$AD$108,MATCH(C493,'Facilities'!$C$9:$C$108,0))=3,0,IF(INDEX('Facilities'!$AN$9:$AN$108,MATCH(C493,'Facilities'!$C$9:$C$108,0))=0,-1,INDEX('Facilities'!$AN$9:$AN$108,MATCH(C493,'Facilities'!$C$9:$C$108,0)))),"Unavailable"))</x:f>
      </x:c>
      <x:c r="AD493" s="21" t="str">
        <x:f>IF(C493="","",IFERROR(G493+H493,"Unavailable"))</x:f>
      </x:c>
      <x:c r="AE493" s="21" t="str">
        <x:f>IF(C493="","",IF(AQ493&lt;&gt;"Ready","Unavailable",IF(C493="","",O493+P493-AD493-J493+K493+M493+N493)))</x:f>
      </x:c>
      <x:c r="AF493" s="30" t="str">
        <x:f>IF(C493="","",IFERROR(INDEX('Facilities'!$S$9:$S$108,MATCH(C493,'Facilities'!$C$9:$C$108,0))*'Scenario Paths'!J75,"Unavailable"))</x:f>
      </x:c>
      <x:c r="AG493" s="23" t="str">
        <x:f>IF(C493="","",IF(AQ493&lt;&gt;"Ready","Unavailable",IF(C493="","",IF(H493&gt;0,MAX(0,H493-AK493)*((1+INDEX('Facilities'!$K$9:$K$108,MATCH(C493,'Facilities'!$C$9:$C$108,0)))^MIN(1,MAX(0,AC493+INDEX('Facilities'!$AK$9:$AK$108,MATCH(C493,'Facilities'!$C$9:$C$108,0))-D493+1))-1),0))))</x:f>
      </x:c>
      <x:c r="AH493" s="21" t="str">
        <x:f>IF(C493="","",IF(AQ493&lt;&gt;"Ready","Unavailable",IF(C493="","",O493+P493)))</x:f>
      </x:c>
      <x:c r="AI493" s="21" t="str">
        <x:f>IF(C493="","",IF(AQ493&lt;&gt;"Ready","Unavailable",IF(C493="","",Z493-Y493)))</x:f>
      </x:c>
      <x:c r="AJ493" s="23" t="str">
        <x:f>IF(C493="","",IFERROR(MAX(0,INDEX('Facilities'!$J$9:$J$108,MATCH(C493,'Facilities'!$C$9:$C$108,0))-D493),"Unavailable"))</x:f>
      </x:c>
      <x:c r="AK493" s="21" t="str">
        <x:f>IF(C493="","",IFERROR(AL393,"Unavailable"))</x:f>
      </x:c>
      <x:c r="AL493" s="23" t="str">
        <x:f>IF(C493="","",IFERROR(IF(P493&gt;0,P493*(1-AM493/(1+INDEX('Facilities'!$K$9:$K$108,MATCH(C493,'Facilities'!$C$9:$C$108,0)))^MAX(0,AC493+INDEX('Facilities'!$AK$9:$AK$108,MATCH(C493,'Facilities'!$C$9:$C$108,0))-D493)),0),"Unavailable"))</x:f>
      </x:c>
      <x:c r="AM493" s="30" t="str">
        <x:f>IF(C493="","",IFERROR(INDEX('Facilities'!$AL$9:$AL$108,MATCH(C493,'Facilities'!$C$9:$C$108,0)),"Unavailable"))</x:f>
      </x:c>
      <x:c r="AN493" s="30" t="str">
        <x:f>IF(C493="","",IFERROR(INDEX(Credit!$T$409:$T$508,MATCH(F493,Credit!$C$409:$C$508,0)),"Unavailable"))</x:f>
      </x:c>
      <x:c r="AO493" s="23" t="str">
        <x:f>IF(C493="","",IF(AQ493&lt;&gt;"Ready","Unavailable",IF(C493="","",O493+P493+Q493*INDEX('Facilities'!$I$9:$I$108,MATCH(C493,'Facilities'!$C$9:$C$108,0)))))</x:f>
      </x:c>
      <x:c r="AP493" s="21" t="str">
        <x:f>IF(C493="","",IF(AQ493&lt;&gt;"Ready","Unavailable",IF(C493="","",AH493-U493)))</x:f>
      </x:c>
      <x:c r="AQ493" s="23" t="str">
        <x:f>IFERROR(IF(C493="","",IF(AND(INDEX('Facilities'!$AF$9:$AF$108,MATCH(C493,'Facilities'!$C$9:$C$108,0))="Ready",INDEX(Credit!$U$409:$U$508,MATCH(F493,Credit!$C$409:$C$508,0))="Ready",ISNUMBER(W493)),"Ready","Review inputs")),"Review inputs")</x:f>
      </x:c>
      <x:c r="AR493" s="23" t="str">
        <x:f>IF(C493="","",IF(AQ493&lt;&gt;"Ready","Unavailable",IF(C493="","",IF(O493=0,0,(IF(AJ493&lt;=1,O493,O493*INDEX('Facilities'!$R$9:$R$108,MATCH(C493,'Facilities'!$C$9:$C$108,0)))+O493*INDEX('Facilities'!$T$9:$T$108,MATCH(C493,'Facilities'!$C$9:$C$108,0)))/12))))</x:f>
      </x:c>
    </x:row>
    <x:row r="494" ht="26" customHeight="1">
      <x:c r="A494" s="1"/>
      <x:c r="B494" s="1"/>
      <x:c r="C494" s="9" t="str">
        <x:f>IF(Facilities!C94="","",Facilities!C94)</x:f>
      </x:c>
      <x:c r="D494" s="3" t="n">
        <x:v>5</x:v>
      </x:c>
      <x:c r="E494" s="9" t="n">
        <x:f>Settings!$F$18+4</x:f>
        <x:v>2031</x:v>
      </x:c>
      <x:c r="F494" s="9" t="str">
        <x:f>IF(C494="","",IFERROR(INDEX('Facilities'!$D$9:$D$108,MATCH(C494,'Facilities'!$C$9:$C$108,0)),"Unavailable"))</x:f>
      </x:c>
      <x:c r="G494" s="21" t="str">
        <x:f>IF(C494="","",IFERROR(O394,"Unavailable"))</x:f>
      </x:c>
      <x:c r="H494" s="21" t="str">
        <x:f>IF(C494="","",IFERROR(P394,"Unavailable"))</x:f>
      </x:c>
      <x:c r="I494" s="21" t="str">
        <x:f>IF(C494="","",IFERROR(Q394,"Unavailable"))</x:f>
      </x:c>
      <x:c r="J494" s="23" t="str">
        <x:f>IF(C494="","",IFERROR(IF(OR(H494&gt;0,AND(AC494&gt;=0,AC494&lt;D494),D494&gt;INDEX('Facilities'!$J$9:$J$108,MATCH(C494,'Facilities'!$C$9:$C$108,0))),0,I494*'Scenario Paths'!J81),"Unavailable"))</x:f>
      </x:c>
      <x:c r="K494" s="23" t="str">
        <x:f>IF(C494="","",IFERROR(IF(OR(H494&gt;0,AND(AC494&gt;=0,AC494=D494)),0,IF(D494&gt;=INDEX('Facilities'!$J$9:$J$108,MATCH(C494,'Facilities'!$C$9:$C$108,0)),G494+J494,MIN(G494+J494,G494*INDEX('Facilities'!$R$9:$R$108,MATCH(C494,'Facilities'!$C$9:$C$108,0))))),"Unavailable"))</x:f>
      </x:c>
      <x:c r="L494" s="21" t="str">
        <x:f>IF(C494="","",IFERROR(IF(AND(AC494=D494,AC494&gt;0),MAX(0,G494+J494-K494),0),"Unavailable"))</x:f>
      </x:c>
      <x:c r="M494" s="23" t="str">
        <x:f>IF(C494="","",IFERROR(IF(AND(AC494&gt;=0,D494&gt;=AC494+INDEX('Facilities'!$AK$9:$AK$108,MATCH(C494,'Facilities'!$C$9:$C$108,0))),(H494+L494)*AM494,0),"Unavailable"))</x:f>
      </x:c>
      <x:c r="N494" s="23" t="str">
        <x:f>IF(C494="","",IFERROR(IF(AND(AC494&gt;=0,D494&gt;=AC494+INDEX('Facilities'!$AK$9:$AK$108,MATCH(C494,'Facilities'!$C$9:$C$108,0))),H494+L494-M494,0),"Unavailable"))</x:f>
      </x:c>
      <x:c r="O494" s="21" t="str">
        <x:f>IF(C494="","",IFERROR(MAX(0,G494+J494-K494-L494),"Unavailable"))</x:f>
      </x:c>
      <x:c r="P494" s="21" t="str">
        <x:f>IF(C494="","",IFERROR(MAX(0,H494+L494-M494-N494),"Unavailable"))</x:f>
      </x:c>
      <x:c r="Q494" s="23" t="str">
        <x:f>IF(C494="","",IFERROR(IF(OR(D494&gt;=INDEX('Facilities'!$J$9:$J$108,MATCH(C494,'Facilities'!$C$9:$C$108,0)),AND(AC494&gt;=0,AC494&lt;=D494)),0,MAX(0,I494-J494)),"Unavailable"))</x:f>
      </x:c>
      <x:c r="R494" s="30" t="str">
        <x:f>IF(C494="","",IFERROR(INDEX(Credit!$Q$409:$Q$508,MATCH(F494,Credit!$C$409:$C$508,0)),"Unavailable"))</x:f>
      </x:c>
      <x:c r="S494" s="30" t="str">
        <x:f>IF(C494="","",IFERROR(INDEX(Credit!$R$409:$R$508,MATCH(F494,Credit!$C$409:$C$508,0)),"Unavailable"))</x:f>
      </x:c>
      <x:c r="T494" s="23" t="str">
        <x:f>IF(C494="","",IFERROR(IF(P494&gt;0,3,IF(OR(INDEX('Facilities'!$AD$9:$AD$108,MATCH(C494,'Facilities'!$C$9:$C$108,0))=2,AND(R494&gt;=INDEX('Facilities'!$L$9:$L$108,MATCH(C494,'Facilities'!$C$9:$C$108,0))*Settings!$F$19,R494-INDEX('Facilities'!$L$9:$L$108,MATCH(C494,'Facilities'!$C$9:$C$108,0))&gt;=Settings!$F$20)),2,1)),"Unavailable"))</x:f>
      </x:c>
      <x:c r="U494" s="23" t="str">
        <x:f>IF(C494="","",IF(AQ494&lt;&gt;"Ready","Unavailable",IF(C494="","",O494*(1-(1-S494)/(1+INDEX('Facilities'!$K$9:$K$108,MATCH(C494,'Facilities'!$C$9:$C$108,0)))^INDEX('Facilities'!$AK$9:$AK$108,MATCH(C494,'Facilities'!$C$9:$C$108,0)))*R494/(1+INDEX('Facilities'!$K$9:$K$108,MATCH(C494,'Facilities'!$C$9:$C$108,0)))*IF(ABS(1-(1-R494)*(1-INDEX('Facilities'!$R$9:$R$108,MATCH(C494,'Facilities'!$C$9:$C$108,0)))/(1+INDEX('Facilities'!$K$9:$K$108,MATCH(C494,'Facilities'!$C$9:$C$108,0))))&lt;0.000000001,IF(T494=1,MIN(1,AJ494),AJ494),(1-((1-R494)*(1-INDEX('Facilities'!$R$9:$R$108,MATCH(C494,'Facilities'!$C$9:$C$108,0)))/(1+INDEX('Facilities'!$K$9:$K$108,MATCH(C494,'Facilities'!$C$9:$C$108,0))))^IF(T494=1,MIN(1,AJ494),AJ494))/(1-(1-R494)*(1-INDEX('Facilities'!$R$9:$R$108,MATCH(C494,'Facilities'!$C$9:$C$108,0)))/(1+INDEX('Facilities'!$K$9:$K$108,MATCH(C494,'Facilities'!$C$9:$C$108,0)))))+AL494)))</x:f>
      </x:c>
      <x:c r="V494" s="23" t="str">
        <x:f>IF(C494="","",IF(AQ494&lt;&gt;"Ready","Unavailable",IF(C494="","",Q494*INDEX('Facilities'!$I$9:$I$108,MATCH(C494,'Facilities'!$C$9:$C$108,0))*(1-(1-S494)/(1+INDEX('Facilities'!$K$9:$K$108,MATCH(C494,'Facilities'!$C$9:$C$108,0)))^INDEX('Facilities'!$AK$9:$AK$108,MATCH(C494,'Facilities'!$C$9:$C$108,0)))*R494/(1+INDEX('Facilities'!$K$9:$K$108,MATCH(C494,'Facilities'!$C$9:$C$108,0)))*IF(ABS(1-(1-R494)*(1-0)/(1+INDEX('Facilities'!$K$9:$K$108,MATCH(C494,'Facilities'!$C$9:$C$108,0))))&lt;0.000000001,IF(T494=1,MIN(1,AJ494),AJ494),(1-((1-R494)*(1-0)/(1+INDEX('Facilities'!$K$9:$K$108,MATCH(C494,'Facilities'!$C$9:$C$108,0))))^IF(T494=1,MIN(1,AJ494),AJ494))/(1-(1-R494)*(1-0)/(1+INDEX('Facilities'!$K$9:$K$108,MATCH(C494,'Facilities'!$C$9:$C$108,0))))))))</x:f>
      </x:c>
      <x:c r="W494" s="21" t="str">
        <x:f>IF(C494="","",IFERROR(U394,"Unavailable"))</x:f>
      </x:c>
      <x:c r="X494" s="21" t="str">
        <x:f>IF(C494="","",IFERROR(V394,"Unavailable"))</x:f>
      </x:c>
      <x:c r="Y494" s="21" t="str">
        <x:f>IF(C494="","",IF(AQ494&lt;&gt;"Ready","Unavailable",IF(C494="","",U494-W494+V494-X494+N494+AG494)))</x:f>
      </x:c>
      <x:c r="Z494" s="23" t="str">
        <x:f>IF(C494="","",IF(AQ494&lt;&gt;"Ready","Unavailable",IF(C494="","",(G494+O494+L494)/2*INDEX('Facilities'!$T$9:$T$108,MATCH(C494,'Facilities'!$C$9:$C$108,0))+AG494)))</x:f>
      </x:c>
      <x:c r="AA494" s="23" t="str">
        <x:f>IF(C494="","",IF(AQ494&lt;&gt;"Ready","Unavailable",IF(C494="","",O494*(1-IF(INDEX('Facilities'!$AA$9:$AA$108,MATCH(C494,'Facilities'!$C$9:$C$108,0))=0,0,MIN(1,INDEX('Facilities'!$X$9:$X$108,MATCH(C494,'Facilities'!$C$9:$C$108,0))/INDEX('Facilities'!$AA$9:$AA$108,MATCH(C494,'Facilities'!$C$9:$C$108,0)))))*AF494+P494*(1-IF(INDEX('Facilities'!$AA$9:$AA$108,MATCH(C494,'Facilities'!$C$9:$C$108,0))=0,0,MIN(1,INDEX('Facilities'!$X$9:$X$108,MATCH(C494,'Facilities'!$C$9:$C$108,0))/INDEX('Facilities'!$AA$9:$AA$108,MATCH(C494,'Facilities'!$C$9:$C$108,0)))))*INDEX('Facilities'!$AJ$9:$AJ$108,MATCH(C494,'Facilities'!$C$9:$C$108,0))+Q494*INDEX('Facilities'!$AI$9:$AI$108,MATCH(C494,'Facilities'!$C$9:$C$108,0))*AF494)))</x:f>
      </x:c>
      <x:c r="AB494" s="21" t="str">
        <x:f>IF(C494="","",O494+P494-AD494)</x:f>
      </x:c>
      <x:c r="AC494" s="23" t="str">
        <x:f>IF(C494="","",IFERROR(IF(INDEX('Facilities'!$AD$9:$AD$108,MATCH(C494,'Facilities'!$C$9:$C$108,0))=3,0,IF(INDEX('Facilities'!$AN$9:$AN$108,MATCH(C494,'Facilities'!$C$9:$C$108,0))=0,-1,INDEX('Facilities'!$AN$9:$AN$108,MATCH(C494,'Facilities'!$C$9:$C$108,0)))),"Unavailable"))</x:f>
      </x:c>
      <x:c r="AD494" s="21" t="str">
        <x:f>IF(C494="","",IFERROR(G494+H494,"Unavailable"))</x:f>
      </x:c>
      <x:c r="AE494" s="21" t="str">
        <x:f>IF(C494="","",IF(AQ494&lt;&gt;"Ready","Unavailable",IF(C494="","",O494+P494-AD494-J494+K494+M494+N494)))</x:f>
      </x:c>
      <x:c r="AF494" s="30" t="str">
        <x:f>IF(C494="","",IFERROR(INDEX('Facilities'!$S$9:$S$108,MATCH(C494,'Facilities'!$C$9:$C$108,0))*'Scenario Paths'!J75,"Unavailable"))</x:f>
      </x:c>
      <x:c r="AG494" s="23" t="str">
        <x:f>IF(C494="","",IF(AQ494&lt;&gt;"Ready","Unavailable",IF(C494="","",IF(H494&gt;0,MAX(0,H494-AK494)*((1+INDEX('Facilities'!$K$9:$K$108,MATCH(C494,'Facilities'!$C$9:$C$108,0)))^MIN(1,MAX(0,AC494+INDEX('Facilities'!$AK$9:$AK$108,MATCH(C494,'Facilities'!$C$9:$C$108,0))-D494+1))-1),0))))</x:f>
      </x:c>
      <x:c r="AH494" s="21" t="str">
        <x:f>IF(C494="","",IF(AQ494&lt;&gt;"Ready","Unavailable",IF(C494="","",O494+P494)))</x:f>
      </x:c>
      <x:c r="AI494" s="21" t="str">
        <x:f>IF(C494="","",IF(AQ494&lt;&gt;"Ready","Unavailable",IF(C494="","",Z494-Y494)))</x:f>
      </x:c>
      <x:c r="AJ494" s="23" t="str">
        <x:f>IF(C494="","",IFERROR(MAX(0,INDEX('Facilities'!$J$9:$J$108,MATCH(C494,'Facilities'!$C$9:$C$108,0))-D494),"Unavailable"))</x:f>
      </x:c>
      <x:c r="AK494" s="21" t="str">
        <x:f>IF(C494="","",IFERROR(AL394,"Unavailable"))</x:f>
      </x:c>
      <x:c r="AL494" s="23" t="str">
        <x:f>IF(C494="","",IFERROR(IF(P494&gt;0,P494*(1-AM494/(1+INDEX('Facilities'!$K$9:$K$108,MATCH(C494,'Facilities'!$C$9:$C$108,0)))^MAX(0,AC494+INDEX('Facilities'!$AK$9:$AK$108,MATCH(C494,'Facilities'!$C$9:$C$108,0))-D494)),0),"Unavailable"))</x:f>
      </x:c>
      <x:c r="AM494" s="30" t="str">
        <x:f>IF(C494="","",IFERROR(INDEX('Facilities'!$AL$9:$AL$108,MATCH(C494,'Facilities'!$C$9:$C$108,0)),"Unavailable"))</x:f>
      </x:c>
      <x:c r="AN494" s="30" t="str">
        <x:f>IF(C494="","",IFERROR(INDEX(Credit!$T$409:$T$508,MATCH(F494,Credit!$C$409:$C$508,0)),"Unavailable"))</x:f>
      </x:c>
      <x:c r="AO494" s="23" t="str">
        <x:f>IF(C494="","",IF(AQ494&lt;&gt;"Ready","Unavailable",IF(C494="","",O494+P494+Q494*INDEX('Facilities'!$I$9:$I$108,MATCH(C494,'Facilities'!$C$9:$C$108,0)))))</x:f>
      </x:c>
      <x:c r="AP494" s="21" t="str">
        <x:f>IF(C494="","",IF(AQ494&lt;&gt;"Ready","Unavailable",IF(C494="","",AH494-U494)))</x:f>
      </x:c>
      <x:c r="AQ494" s="23" t="str">
        <x:f>IFERROR(IF(C494="","",IF(AND(INDEX('Facilities'!$AF$9:$AF$108,MATCH(C494,'Facilities'!$C$9:$C$108,0))="Ready",INDEX(Credit!$U$409:$U$508,MATCH(F494,Credit!$C$409:$C$508,0))="Ready",ISNUMBER(W494)),"Ready","Review inputs")),"Review inputs")</x:f>
      </x:c>
      <x:c r="AR494" s="23" t="str">
        <x:f>IF(C494="","",IF(AQ494&lt;&gt;"Ready","Unavailable",IF(C494="","",IF(O494=0,0,(IF(AJ494&lt;=1,O494,O494*INDEX('Facilities'!$R$9:$R$108,MATCH(C494,'Facilities'!$C$9:$C$108,0)))+O494*INDEX('Facilities'!$T$9:$T$108,MATCH(C494,'Facilities'!$C$9:$C$108,0)))/12))))</x:f>
      </x:c>
    </x:row>
    <x:row r="495" ht="26" customHeight="1">
      <x:c r="A495" s="1"/>
      <x:c r="B495" s="1"/>
      <x:c r="C495" s="9" t="str">
        <x:f>IF(Facilities!C95="","",Facilities!C95)</x:f>
      </x:c>
      <x:c r="D495" s="3" t="n">
        <x:v>5</x:v>
      </x:c>
      <x:c r="E495" s="9" t="n">
        <x:f>Settings!$F$18+4</x:f>
        <x:v>2031</x:v>
      </x:c>
      <x:c r="F495" s="9" t="str">
        <x:f>IF(C495="","",IFERROR(INDEX('Facilities'!$D$9:$D$108,MATCH(C495,'Facilities'!$C$9:$C$108,0)),"Unavailable"))</x:f>
      </x:c>
      <x:c r="G495" s="21" t="str">
        <x:f>IF(C495="","",IFERROR(O395,"Unavailable"))</x:f>
      </x:c>
      <x:c r="H495" s="21" t="str">
        <x:f>IF(C495="","",IFERROR(P395,"Unavailable"))</x:f>
      </x:c>
      <x:c r="I495" s="21" t="str">
        <x:f>IF(C495="","",IFERROR(Q395,"Unavailable"))</x:f>
      </x:c>
      <x:c r="J495" s="23" t="str">
        <x:f>IF(C495="","",IFERROR(IF(OR(H495&gt;0,AND(AC495&gt;=0,AC495&lt;D495),D495&gt;INDEX('Facilities'!$J$9:$J$108,MATCH(C495,'Facilities'!$C$9:$C$108,0))),0,I495*'Scenario Paths'!J81),"Unavailable"))</x:f>
      </x:c>
      <x:c r="K495" s="23" t="str">
        <x:f>IF(C495="","",IFERROR(IF(OR(H495&gt;0,AND(AC495&gt;=0,AC495=D495)),0,IF(D495&gt;=INDEX('Facilities'!$J$9:$J$108,MATCH(C495,'Facilities'!$C$9:$C$108,0)),G495+J495,MIN(G495+J495,G495*INDEX('Facilities'!$R$9:$R$108,MATCH(C495,'Facilities'!$C$9:$C$108,0))))),"Unavailable"))</x:f>
      </x:c>
      <x:c r="L495" s="21" t="str">
        <x:f>IF(C495="","",IFERROR(IF(AND(AC495=D495,AC495&gt;0),MAX(0,G495+J495-K495),0),"Unavailable"))</x:f>
      </x:c>
      <x:c r="M495" s="23" t="str">
        <x:f>IF(C495="","",IFERROR(IF(AND(AC495&gt;=0,D495&gt;=AC495+INDEX('Facilities'!$AK$9:$AK$108,MATCH(C495,'Facilities'!$C$9:$C$108,0))),(H495+L495)*AM495,0),"Unavailable"))</x:f>
      </x:c>
      <x:c r="N495" s="23" t="str">
        <x:f>IF(C495="","",IFERROR(IF(AND(AC495&gt;=0,D495&gt;=AC495+INDEX('Facilities'!$AK$9:$AK$108,MATCH(C495,'Facilities'!$C$9:$C$108,0))),H495+L495-M495,0),"Unavailable"))</x:f>
      </x:c>
      <x:c r="O495" s="21" t="str">
        <x:f>IF(C495="","",IFERROR(MAX(0,G495+J495-K495-L495),"Unavailable"))</x:f>
      </x:c>
      <x:c r="P495" s="21" t="str">
        <x:f>IF(C495="","",IFERROR(MAX(0,H495+L495-M495-N495),"Unavailable"))</x:f>
      </x:c>
      <x:c r="Q495" s="23" t="str">
        <x:f>IF(C495="","",IFERROR(IF(OR(D495&gt;=INDEX('Facilities'!$J$9:$J$108,MATCH(C495,'Facilities'!$C$9:$C$108,0)),AND(AC495&gt;=0,AC495&lt;=D495)),0,MAX(0,I495-J495)),"Unavailable"))</x:f>
      </x:c>
      <x:c r="R495" s="30" t="str">
        <x:f>IF(C495="","",IFERROR(INDEX(Credit!$Q$409:$Q$508,MATCH(F495,Credit!$C$409:$C$508,0)),"Unavailable"))</x:f>
      </x:c>
      <x:c r="S495" s="30" t="str">
        <x:f>IF(C495="","",IFERROR(INDEX(Credit!$R$409:$R$508,MATCH(F495,Credit!$C$409:$C$508,0)),"Unavailable"))</x:f>
      </x:c>
      <x:c r="T495" s="23" t="str">
        <x:f>IF(C495="","",IFERROR(IF(P495&gt;0,3,IF(OR(INDEX('Facilities'!$AD$9:$AD$108,MATCH(C495,'Facilities'!$C$9:$C$108,0))=2,AND(R495&gt;=INDEX('Facilities'!$L$9:$L$108,MATCH(C495,'Facilities'!$C$9:$C$108,0))*Settings!$F$19,R495-INDEX('Facilities'!$L$9:$L$108,MATCH(C495,'Facilities'!$C$9:$C$108,0))&gt;=Settings!$F$20)),2,1)),"Unavailable"))</x:f>
      </x:c>
      <x:c r="U495" s="23" t="str">
        <x:f>IF(C495="","",IF(AQ495&lt;&gt;"Ready","Unavailable",IF(C495="","",O495*(1-(1-S495)/(1+INDEX('Facilities'!$K$9:$K$108,MATCH(C495,'Facilities'!$C$9:$C$108,0)))^INDEX('Facilities'!$AK$9:$AK$108,MATCH(C495,'Facilities'!$C$9:$C$108,0)))*R495/(1+INDEX('Facilities'!$K$9:$K$108,MATCH(C495,'Facilities'!$C$9:$C$108,0)))*IF(ABS(1-(1-R495)*(1-INDEX('Facilities'!$R$9:$R$108,MATCH(C495,'Facilities'!$C$9:$C$108,0)))/(1+INDEX('Facilities'!$K$9:$K$108,MATCH(C495,'Facilities'!$C$9:$C$108,0))))&lt;0.000000001,IF(T495=1,MIN(1,AJ495),AJ495),(1-((1-R495)*(1-INDEX('Facilities'!$R$9:$R$108,MATCH(C495,'Facilities'!$C$9:$C$108,0)))/(1+INDEX('Facilities'!$K$9:$K$108,MATCH(C495,'Facilities'!$C$9:$C$108,0))))^IF(T495=1,MIN(1,AJ495),AJ495))/(1-(1-R495)*(1-INDEX('Facilities'!$R$9:$R$108,MATCH(C495,'Facilities'!$C$9:$C$108,0)))/(1+INDEX('Facilities'!$K$9:$K$108,MATCH(C495,'Facilities'!$C$9:$C$108,0)))))+AL495)))</x:f>
      </x:c>
      <x:c r="V495" s="23" t="str">
        <x:f>IF(C495="","",IF(AQ495&lt;&gt;"Ready","Unavailable",IF(C495="","",Q495*INDEX('Facilities'!$I$9:$I$108,MATCH(C495,'Facilities'!$C$9:$C$108,0))*(1-(1-S495)/(1+INDEX('Facilities'!$K$9:$K$108,MATCH(C495,'Facilities'!$C$9:$C$108,0)))^INDEX('Facilities'!$AK$9:$AK$108,MATCH(C495,'Facilities'!$C$9:$C$108,0)))*R495/(1+INDEX('Facilities'!$K$9:$K$108,MATCH(C495,'Facilities'!$C$9:$C$108,0)))*IF(ABS(1-(1-R495)*(1-0)/(1+INDEX('Facilities'!$K$9:$K$108,MATCH(C495,'Facilities'!$C$9:$C$108,0))))&lt;0.000000001,IF(T495=1,MIN(1,AJ495),AJ495),(1-((1-R495)*(1-0)/(1+INDEX('Facilities'!$K$9:$K$108,MATCH(C495,'Facilities'!$C$9:$C$108,0))))^IF(T495=1,MIN(1,AJ495),AJ495))/(1-(1-R495)*(1-0)/(1+INDEX('Facilities'!$K$9:$K$108,MATCH(C495,'Facilities'!$C$9:$C$108,0))))))))</x:f>
      </x:c>
      <x:c r="W495" s="21" t="str">
        <x:f>IF(C495="","",IFERROR(U395,"Unavailable"))</x:f>
      </x:c>
      <x:c r="X495" s="21" t="str">
        <x:f>IF(C495="","",IFERROR(V395,"Unavailable"))</x:f>
      </x:c>
      <x:c r="Y495" s="21" t="str">
        <x:f>IF(C495="","",IF(AQ495&lt;&gt;"Ready","Unavailable",IF(C495="","",U495-W495+V495-X495+N495+AG495)))</x:f>
      </x:c>
      <x:c r="Z495" s="23" t="str">
        <x:f>IF(C495="","",IF(AQ495&lt;&gt;"Ready","Unavailable",IF(C495="","",(G495+O495+L495)/2*INDEX('Facilities'!$T$9:$T$108,MATCH(C495,'Facilities'!$C$9:$C$108,0))+AG495)))</x:f>
      </x:c>
      <x:c r="AA495" s="23" t="str">
        <x:f>IF(C495="","",IF(AQ495&lt;&gt;"Ready","Unavailable",IF(C495="","",O495*(1-IF(INDEX('Facilities'!$AA$9:$AA$108,MATCH(C495,'Facilities'!$C$9:$C$108,0))=0,0,MIN(1,INDEX('Facilities'!$X$9:$X$108,MATCH(C495,'Facilities'!$C$9:$C$108,0))/INDEX('Facilities'!$AA$9:$AA$108,MATCH(C495,'Facilities'!$C$9:$C$108,0)))))*AF495+P495*(1-IF(INDEX('Facilities'!$AA$9:$AA$108,MATCH(C495,'Facilities'!$C$9:$C$108,0))=0,0,MIN(1,INDEX('Facilities'!$X$9:$X$108,MATCH(C495,'Facilities'!$C$9:$C$108,0))/INDEX('Facilities'!$AA$9:$AA$108,MATCH(C495,'Facilities'!$C$9:$C$108,0)))))*INDEX('Facilities'!$AJ$9:$AJ$108,MATCH(C495,'Facilities'!$C$9:$C$108,0))+Q495*INDEX('Facilities'!$AI$9:$AI$108,MATCH(C495,'Facilities'!$C$9:$C$108,0))*AF495)))</x:f>
      </x:c>
      <x:c r="AB495" s="21" t="str">
        <x:f>IF(C495="","",O495+P495-AD495)</x:f>
      </x:c>
      <x:c r="AC495" s="23" t="str">
        <x:f>IF(C495="","",IFERROR(IF(INDEX('Facilities'!$AD$9:$AD$108,MATCH(C495,'Facilities'!$C$9:$C$108,0))=3,0,IF(INDEX('Facilities'!$AN$9:$AN$108,MATCH(C495,'Facilities'!$C$9:$C$108,0))=0,-1,INDEX('Facilities'!$AN$9:$AN$108,MATCH(C495,'Facilities'!$C$9:$C$108,0)))),"Unavailable"))</x:f>
      </x:c>
      <x:c r="AD495" s="21" t="str">
        <x:f>IF(C495="","",IFERROR(G495+H495,"Unavailable"))</x:f>
      </x:c>
      <x:c r="AE495" s="21" t="str">
        <x:f>IF(C495="","",IF(AQ495&lt;&gt;"Ready","Unavailable",IF(C495="","",O495+P495-AD495-J495+K495+M495+N495)))</x:f>
      </x:c>
      <x:c r="AF495" s="30" t="str">
        <x:f>IF(C495="","",IFERROR(INDEX('Facilities'!$S$9:$S$108,MATCH(C495,'Facilities'!$C$9:$C$108,0))*'Scenario Paths'!J75,"Unavailable"))</x:f>
      </x:c>
      <x:c r="AG495" s="23" t="str">
        <x:f>IF(C495="","",IF(AQ495&lt;&gt;"Ready","Unavailable",IF(C495="","",IF(H495&gt;0,MAX(0,H495-AK495)*((1+INDEX('Facilities'!$K$9:$K$108,MATCH(C495,'Facilities'!$C$9:$C$108,0)))^MIN(1,MAX(0,AC495+INDEX('Facilities'!$AK$9:$AK$108,MATCH(C495,'Facilities'!$C$9:$C$108,0))-D495+1))-1),0))))</x:f>
      </x:c>
      <x:c r="AH495" s="21" t="str">
        <x:f>IF(C495="","",IF(AQ495&lt;&gt;"Ready","Unavailable",IF(C495="","",O495+P495)))</x:f>
      </x:c>
      <x:c r="AI495" s="21" t="str">
        <x:f>IF(C495="","",IF(AQ495&lt;&gt;"Ready","Unavailable",IF(C495="","",Z495-Y495)))</x:f>
      </x:c>
      <x:c r="AJ495" s="23" t="str">
        <x:f>IF(C495="","",IFERROR(MAX(0,INDEX('Facilities'!$J$9:$J$108,MATCH(C495,'Facilities'!$C$9:$C$108,0))-D495),"Unavailable"))</x:f>
      </x:c>
      <x:c r="AK495" s="21" t="str">
        <x:f>IF(C495="","",IFERROR(AL395,"Unavailable"))</x:f>
      </x:c>
      <x:c r="AL495" s="23" t="str">
        <x:f>IF(C495="","",IFERROR(IF(P495&gt;0,P495*(1-AM495/(1+INDEX('Facilities'!$K$9:$K$108,MATCH(C495,'Facilities'!$C$9:$C$108,0)))^MAX(0,AC495+INDEX('Facilities'!$AK$9:$AK$108,MATCH(C495,'Facilities'!$C$9:$C$108,0))-D495)),0),"Unavailable"))</x:f>
      </x:c>
      <x:c r="AM495" s="30" t="str">
        <x:f>IF(C495="","",IFERROR(INDEX('Facilities'!$AL$9:$AL$108,MATCH(C495,'Facilities'!$C$9:$C$108,0)),"Unavailable"))</x:f>
      </x:c>
      <x:c r="AN495" s="30" t="str">
        <x:f>IF(C495="","",IFERROR(INDEX(Credit!$T$409:$T$508,MATCH(F495,Credit!$C$409:$C$508,0)),"Unavailable"))</x:f>
      </x:c>
      <x:c r="AO495" s="23" t="str">
        <x:f>IF(C495="","",IF(AQ495&lt;&gt;"Ready","Unavailable",IF(C495="","",O495+P495+Q495*INDEX('Facilities'!$I$9:$I$108,MATCH(C495,'Facilities'!$C$9:$C$108,0)))))</x:f>
      </x:c>
      <x:c r="AP495" s="21" t="str">
        <x:f>IF(C495="","",IF(AQ495&lt;&gt;"Ready","Unavailable",IF(C495="","",AH495-U495)))</x:f>
      </x:c>
      <x:c r="AQ495" s="23" t="str">
        <x:f>IFERROR(IF(C495="","",IF(AND(INDEX('Facilities'!$AF$9:$AF$108,MATCH(C495,'Facilities'!$C$9:$C$108,0))="Ready",INDEX(Credit!$U$409:$U$508,MATCH(F495,Credit!$C$409:$C$508,0))="Ready",ISNUMBER(W495)),"Ready","Review inputs")),"Review inputs")</x:f>
      </x:c>
      <x:c r="AR495" s="23" t="str">
        <x:f>IF(C495="","",IF(AQ495&lt;&gt;"Ready","Unavailable",IF(C495="","",IF(O495=0,0,(IF(AJ495&lt;=1,O495,O495*INDEX('Facilities'!$R$9:$R$108,MATCH(C495,'Facilities'!$C$9:$C$108,0)))+O495*INDEX('Facilities'!$T$9:$T$108,MATCH(C495,'Facilities'!$C$9:$C$108,0)))/12))))</x:f>
      </x:c>
    </x:row>
    <x:row r="496" ht="26" customHeight="1">
      <x:c r="A496" s="1"/>
      <x:c r="B496" s="1"/>
      <x:c r="C496" s="9" t="str">
        <x:f>IF(Facilities!C96="","",Facilities!C96)</x:f>
      </x:c>
      <x:c r="D496" s="3" t="n">
        <x:v>5</x:v>
      </x:c>
      <x:c r="E496" s="9" t="n">
        <x:f>Settings!$F$18+4</x:f>
        <x:v>2031</x:v>
      </x:c>
      <x:c r="F496" s="9" t="str">
        <x:f>IF(C496="","",IFERROR(INDEX('Facilities'!$D$9:$D$108,MATCH(C496,'Facilities'!$C$9:$C$108,0)),"Unavailable"))</x:f>
      </x:c>
      <x:c r="G496" s="21" t="str">
        <x:f>IF(C496="","",IFERROR(O396,"Unavailable"))</x:f>
      </x:c>
      <x:c r="H496" s="21" t="str">
        <x:f>IF(C496="","",IFERROR(P396,"Unavailable"))</x:f>
      </x:c>
      <x:c r="I496" s="21" t="str">
        <x:f>IF(C496="","",IFERROR(Q396,"Unavailable"))</x:f>
      </x:c>
      <x:c r="J496" s="23" t="str">
        <x:f>IF(C496="","",IFERROR(IF(OR(H496&gt;0,AND(AC496&gt;=0,AC496&lt;D496),D496&gt;INDEX('Facilities'!$J$9:$J$108,MATCH(C496,'Facilities'!$C$9:$C$108,0))),0,I496*'Scenario Paths'!J81),"Unavailable"))</x:f>
      </x:c>
      <x:c r="K496" s="23" t="str">
        <x:f>IF(C496="","",IFERROR(IF(OR(H496&gt;0,AND(AC496&gt;=0,AC496=D496)),0,IF(D496&gt;=INDEX('Facilities'!$J$9:$J$108,MATCH(C496,'Facilities'!$C$9:$C$108,0)),G496+J496,MIN(G496+J496,G496*INDEX('Facilities'!$R$9:$R$108,MATCH(C496,'Facilities'!$C$9:$C$108,0))))),"Unavailable"))</x:f>
      </x:c>
      <x:c r="L496" s="21" t="str">
        <x:f>IF(C496="","",IFERROR(IF(AND(AC496=D496,AC496&gt;0),MAX(0,G496+J496-K496),0),"Unavailable"))</x:f>
      </x:c>
      <x:c r="M496" s="23" t="str">
        <x:f>IF(C496="","",IFERROR(IF(AND(AC496&gt;=0,D496&gt;=AC496+INDEX('Facilities'!$AK$9:$AK$108,MATCH(C496,'Facilities'!$C$9:$C$108,0))),(H496+L496)*AM496,0),"Unavailable"))</x:f>
      </x:c>
      <x:c r="N496" s="23" t="str">
        <x:f>IF(C496="","",IFERROR(IF(AND(AC496&gt;=0,D496&gt;=AC496+INDEX('Facilities'!$AK$9:$AK$108,MATCH(C496,'Facilities'!$C$9:$C$108,0))),H496+L496-M496,0),"Unavailable"))</x:f>
      </x:c>
      <x:c r="O496" s="21" t="str">
        <x:f>IF(C496="","",IFERROR(MAX(0,G496+J496-K496-L496),"Unavailable"))</x:f>
      </x:c>
      <x:c r="P496" s="21" t="str">
        <x:f>IF(C496="","",IFERROR(MAX(0,H496+L496-M496-N496),"Unavailable"))</x:f>
      </x:c>
      <x:c r="Q496" s="23" t="str">
        <x:f>IF(C496="","",IFERROR(IF(OR(D496&gt;=INDEX('Facilities'!$J$9:$J$108,MATCH(C496,'Facilities'!$C$9:$C$108,0)),AND(AC496&gt;=0,AC496&lt;=D496)),0,MAX(0,I496-J496)),"Unavailable"))</x:f>
      </x:c>
      <x:c r="R496" s="30" t="str">
        <x:f>IF(C496="","",IFERROR(INDEX(Credit!$Q$409:$Q$508,MATCH(F496,Credit!$C$409:$C$508,0)),"Unavailable"))</x:f>
      </x:c>
      <x:c r="S496" s="30" t="str">
        <x:f>IF(C496="","",IFERROR(INDEX(Credit!$R$409:$R$508,MATCH(F496,Credit!$C$409:$C$508,0)),"Unavailable"))</x:f>
      </x:c>
      <x:c r="T496" s="23" t="str">
        <x:f>IF(C496="","",IFERROR(IF(P496&gt;0,3,IF(OR(INDEX('Facilities'!$AD$9:$AD$108,MATCH(C496,'Facilities'!$C$9:$C$108,0))=2,AND(R496&gt;=INDEX('Facilities'!$L$9:$L$108,MATCH(C496,'Facilities'!$C$9:$C$108,0))*Settings!$F$19,R496-INDEX('Facilities'!$L$9:$L$108,MATCH(C496,'Facilities'!$C$9:$C$108,0))&gt;=Settings!$F$20)),2,1)),"Unavailable"))</x:f>
      </x:c>
      <x:c r="U496" s="23" t="str">
        <x:f>IF(C496="","",IF(AQ496&lt;&gt;"Ready","Unavailable",IF(C496="","",O496*(1-(1-S496)/(1+INDEX('Facilities'!$K$9:$K$108,MATCH(C496,'Facilities'!$C$9:$C$108,0)))^INDEX('Facilities'!$AK$9:$AK$108,MATCH(C496,'Facilities'!$C$9:$C$108,0)))*R496/(1+INDEX('Facilities'!$K$9:$K$108,MATCH(C496,'Facilities'!$C$9:$C$108,0)))*IF(ABS(1-(1-R496)*(1-INDEX('Facilities'!$R$9:$R$108,MATCH(C496,'Facilities'!$C$9:$C$108,0)))/(1+INDEX('Facilities'!$K$9:$K$108,MATCH(C496,'Facilities'!$C$9:$C$108,0))))&lt;0.000000001,IF(T496=1,MIN(1,AJ496),AJ496),(1-((1-R496)*(1-INDEX('Facilities'!$R$9:$R$108,MATCH(C496,'Facilities'!$C$9:$C$108,0)))/(1+INDEX('Facilities'!$K$9:$K$108,MATCH(C496,'Facilities'!$C$9:$C$108,0))))^IF(T496=1,MIN(1,AJ496),AJ496))/(1-(1-R496)*(1-INDEX('Facilities'!$R$9:$R$108,MATCH(C496,'Facilities'!$C$9:$C$108,0)))/(1+INDEX('Facilities'!$K$9:$K$108,MATCH(C496,'Facilities'!$C$9:$C$108,0)))))+AL496)))</x:f>
      </x:c>
      <x:c r="V496" s="23" t="str">
        <x:f>IF(C496="","",IF(AQ496&lt;&gt;"Ready","Unavailable",IF(C496="","",Q496*INDEX('Facilities'!$I$9:$I$108,MATCH(C496,'Facilities'!$C$9:$C$108,0))*(1-(1-S496)/(1+INDEX('Facilities'!$K$9:$K$108,MATCH(C496,'Facilities'!$C$9:$C$108,0)))^INDEX('Facilities'!$AK$9:$AK$108,MATCH(C496,'Facilities'!$C$9:$C$108,0)))*R496/(1+INDEX('Facilities'!$K$9:$K$108,MATCH(C496,'Facilities'!$C$9:$C$108,0)))*IF(ABS(1-(1-R496)*(1-0)/(1+INDEX('Facilities'!$K$9:$K$108,MATCH(C496,'Facilities'!$C$9:$C$108,0))))&lt;0.000000001,IF(T496=1,MIN(1,AJ496),AJ496),(1-((1-R496)*(1-0)/(1+INDEX('Facilities'!$K$9:$K$108,MATCH(C496,'Facilities'!$C$9:$C$108,0))))^IF(T496=1,MIN(1,AJ496),AJ496))/(1-(1-R496)*(1-0)/(1+INDEX('Facilities'!$K$9:$K$108,MATCH(C496,'Facilities'!$C$9:$C$108,0))))))))</x:f>
      </x:c>
      <x:c r="W496" s="21" t="str">
        <x:f>IF(C496="","",IFERROR(U396,"Unavailable"))</x:f>
      </x:c>
      <x:c r="X496" s="21" t="str">
        <x:f>IF(C496="","",IFERROR(V396,"Unavailable"))</x:f>
      </x:c>
      <x:c r="Y496" s="21" t="str">
        <x:f>IF(C496="","",IF(AQ496&lt;&gt;"Ready","Unavailable",IF(C496="","",U496-W496+V496-X496+N496+AG496)))</x:f>
      </x:c>
      <x:c r="Z496" s="23" t="str">
        <x:f>IF(C496="","",IF(AQ496&lt;&gt;"Ready","Unavailable",IF(C496="","",(G496+O496+L496)/2*INDEX('Facilities'!$T$9:$T$108,MATCH(C496,'Facilities'!$C$9:$C$108,0))+AG496)))</x:f>
      </x:c>
      <x:c r="AA496" s="23" t="str">
        <x:f>IF(C496="","",IF(AQ496&lt;&gt;"Ready","Unavailable",IF(C496="","",O496*(1-IF(INDEX('Facilities'!$AA$9:$AA$108,MATCH(C496,'Facilities'!$C$9:$C$108,0))=0,0,MIN(1,INDEX('Facilities'!$X$9:$X$108,MATCH(C496,'Facilities'!$C$9:$C$108,0))/INDEX('Facilities'!$AA$9:$AA$108,MATCH(C496,'Facilities'!$C$9:$C$108,0)))))*AF496+P496*(1-IF(INDEX('Facilities'!$AA$9:$AA$108,MATCH(C496,'Facilities'!$C$9:$C$108,0))=0,0,MIN(1,INDEX('Facilities'!$X$9:$X$108,MATCH(C496,'Facilities'!$C$9:$C$108,0))/INDEX('Facilities'!$AA$9:$AA$108,MATCH(C496,'Facilities'!$C$9:$C$108,0)))))*INDEX('Facilities'!$AJ$9:$AJ$108,MATCH(C496,'Facilities'!$C$9:$C$108,0))+Q496*INDEX('Facilities'!$AI$9:$AI$108,MATCH(C496,'Facilities'!$C$9:$C$108,0))*AF496)))</x:f>
      </x:c>
      <x:c r="AB496" s="21" t="str">
        <x:f>IF(C496="","",O496+P496-AD496)</x:f>
      </x:c>
      <x:c r="AC496" s="23" t="str">
        <x:f>IF(C496="","",IFERROR(IF(INDEX('Facilities'!$AD$9:$AD$108,MATCH(C496,'Facilities'!$C$9:$C$108,0))=3,0,IF(INDEX('Facilities'!$AN$9:$AN$108,MATCH(C496,'Facilities'!$C$9:$C$108,0))=0,-1,INDEX('Facilities'!$AN$9:$AN$108,MATCH(C496,'Facilities'!$C$9:$C$108,0)))),"Unavailable"))</x:f>
      </x:c>
      <x:c r="AD496" s="21" t="str">
        <x:f>IF(C496="","",IFERROR(G496+H496,"Unavailable"))</x:f>
      </x:c>
      <x:c r="AE496" s="21" t="str">
        <x:f>IF(C496="","",IF(AQ496&lt;&gt;"Ready","Unavailable",IF(C496="","",O496+P496-AD496-J496+K496+M496+N496)))</x:f>
      </x:c>
      <x:c r="AF496" s="30" t="str">
        <x:f>IF(C496="","",IFERROR(INDEX('Facilities'!$S$9:$S$108,MATCH(C496,'Facilities'!$C$9:$C$108,0))*'Scenario Paths'!J75,"Unavailable"))</x:f>
      </x:c>
      <x:c r="AG496" s="23" t="str">
        <x:f>IF(C496="","",IF(AQ496&lt;&gt;"Ready","Unavailable",IF(C496="","",IF(H496&gt;0,MAX(0,H496-AK496)*((1+INDEX('Facilities'!$K$9:$K$108,MATCH(C496,'Facilities'!$C$9:$C$108,0)))^MIN(1,MAX(0,AC496+INDEX('Facilities'!$AK$9:$AK$108,MATCH(C496,'Facilities'!$C$9:$C$108,0))-D496+1))-1),0))))</x:f>
      </x:c>
      <x:c r="AH496" s="21" t="str">
        <x:f>IF(C496="","",IF(AQ496&lt;&gt;"Ready","Unavailable",IF(C496="","",O496+P496)))</x:f>
      </x:c>
      <x:c r="AI496" s="21" t="str">
        <x:f>IF(C496="","",IF(AQ496&lt;&gt;"Ready","Unavailable",IF(C496="","",Z496-Y496)))</x:f>
      </x:c>
      <x:c r="AJ496" s="23" t="str">
        <x:f>IF(C496="","",IFERROR(MAX(0,INDEX('Facilities'!$J$9:$J$108,MATCH(C496,'Facilities'!$C$9:$C$108,0))-D496),"Unavailable"))</x:f>
      </x:c>
      <x:c r="AK496" s="21" t="str">
        <x:f>IF(C496="","",IFERROR(AL396,"Unavailable"))</x:f>
      </x:c>
      <x:c r="AL496" s="23" t="str">
        <x:f>IF(C496="","",IFERROR(IF(P496&gt;0,P496*(1-AM496/(1+INDEX('Facilities'!$K$9:$K$108,MATCH(C496,'Facilities'!$C$9:$C$108,0)))^MAX(0,AC496+INDEX('Facilities'!$AK$9:$AK$108,MATCH(C496,'Facilities'!$C$9:$C$108,0))-D496)),0),"Unavailable"))</x:f>
      </x:c>
      <x:c r="AM496" s="30" t="str">
        <x:f>IF(C496="","",IFERROR(INDEX('Facilities'!$AL$9:$AL$108,MATCH(C496,'Facilities'!$C$9:$C$108,0)),"Unavailable"))</x:f>
      </x:c>
      <x:c r="AN496" s="30" t="str">
        <x:f>IF(C496="","",IFERROR(INDEX(Credit!$T$409:$T$508,MATCH(F496,Credit!$C$409:$C$508,0)),"Unavailable"))</x:f>
      </x:c>
      <x:c r="AO496" s="23" t="str">
        <x:f>IF(C496="","",IF(AQ496&lt;&gt;"Ready","Unavailable",IF(C496="","",O496+P496+Q496*INDEX('Facilities'!$I$9:$I$108,MATCH(C496,'Facilities'!$C$9:$C$108,0)))))</x:f>
      </x:c>
      <x:c r="AP496" s="21" t="str">
        <x:f>IF(C496="","",IF(AQ496&lt;&gt;"Ready","Unavailable",IF(C496="","",AH496-U496)))</x:f>
      </x:c>
      <x:c r="AQ496" s="23" t="str">
        <x:f>IFERROR(IF(C496="","",IF(AND(INDEX('Facilities'!$AF$9:$AF$108,MATCH(C496,'Facilities'!$C$9:$C$108,0))="Ready",INDEX(Credit!$U$409:$U$508,MATCH(F496,Credit!$C$409:$C$508,0))="Ready",ISNUMBER(W496)),"Ready","Review inputs")),"Review inputs")</x:f>
      </x:c>
      <x:c r="AR496" s="23" t="str">
        <x:f>IF(C496="","",IF(AQ496&lt;&gt;"Ready","Unavailable",IF(C496="","",IF(O496=0,0,(IF(AJ496&lt;=1,O496,O496*INDEX('Facilities'!$R$9:$R$108,MATCH(C496,'Facilities'!$C$9:$C$108,0)))+O496*INDEX('Facilities'!$T$9:$T$108,MATCH(C496,'Facilities'!$C$9:$C$108,0)))/12))))</x:f>
      </x:c>
    </x:row>
    <x:row r="497" ht="26" customHeight="1">
      <x:c r="A497" s="1"/>
      <x:c r="B497" s="1"/>
      <x:c r="C497" s="9" t="str">
        <x:f>IF(Facilities!C97="","",Facilities!C97)</x:f>
      </x:c>
      <x:c r="D497" s="3" t="n">
        <x:v>5</x:v>
      </x:c>
      <x:c r="E497" s="9" t="n">
        <x:f>Settings!$F$18+4</x:f>
        <x:v>2031</x:v>
      </x:c>
      <x:c r="F497" s="9" t="str">
        <x:f>IF(C497="","",IFERROR(INDEX('Facilities'!$D$9:$D$108,MATCH(C497,'Facilities'!$C$9:$C$108,0)),"Unavailable"))</x:f>
      </x:c>
      <x:c r="G497" s="21" t="str">
        <x:f>IF(C497="","",IFERROR(O397,"Unavailable"))</x:f>
      </x:c>
      <x:c r="H497" s="21" t="str">
        <x:f>IF(C497="","",IFERROR(P397,"Unavailable"))</x:f>
      </x:c>
      <x:c r="I497" s="21" t="str">
        <x:f>IF(C497="","",IFERROR(Q397,"Unavailable"))</x:f>
      </x:c>
      <x:c r="J497" s="23" t="str">
        <x:f>IF(C497="","",IFERROR(IF(OR(H497&gt;0,AND(AC497&gt;=0,AC497&lt;D497),D497&gt;INDEX('Facilities'!$J$9:$J$108,MATCH(C497,'Facilities'!$C$9:$C$108,0))),0,I497*'Scenario Paths'!J81),"Unavailable"))</x:f>
      </x:c>
      <x:c r="K497" s="23" t="str">
        <x:f>IF(C497="","",IFERROR(IF(OR(H497&gt;0,AND(AC497&gt;=0,AC497=D497)),0,IF(D497&gt;=INDEX('Facilities'!$J$9:$J$108,MATCH(C497,'Facilities'!$C$9:$C$108,0)),G497+J497,MIN(G497+J497,G497*INDEX('Facilities'!$R$9:$R$108,MATCH(C497,'Facilities'!$C$9:$C$108,0))))),"Unavailable"))</x:f>
      </x:c>
      <x:c r="L497" s="21" t="str">
        <x:f>IF(C497="","",IFERROR(IF(AND(AC497=D497,AC497&gt;0),MAX(0,G497+J497-K497),0),"Unavailable"))</x:f>
      </x:c>
      <x:c r="M497" s="23" t="str">
        <x:f>IF(C497="","",IFERROR(IF(AND(AC497&gt;=0,D497&gt;=AC497+INDEX('Facilities'!$AK$9:$AK$108,MATCH(C497,'Facilities'!$C$9:$C$108,0))),(H497+L497)*AM497,0),"Unavailable"))</x:f>
      </x:c>
      <x:c r="N497" s="23" t="str">
        <x:f>IF(C497="","",IFERROR(IF(AND(AC497&gt;=0,D497&gt;=AC497+INDEX('Facilities'!$AK$9:$AK$108,MATCH(C497,'Facilities'!$C$9:$C$108,0))),H497+L497-M497,0),"Unavailable"))</x:f>
      </x:c>
      <x:c r="O497" s="21" t="str">
        <x:f>IF(C497="","",IFERROR(MAX(0,G497+J497-K497-L497),"Unavailable"))</x:f>
      </x:c>
      <x:c r="P497" s="21" t="str">
        <x:f>IF(C497="","",IFERROR(MAX(0,H497+L497-M497-N497),"Unavailable"))</x:f>
      </x:c>
      <x:c r="Q497" s="23" t="str">
        <x:f>IF(C497="","",IFERROR(IF(OR(D497&gt;=INDEX('Facilities'!$J$9:$J$108,MATCH(C497,'Facilities'!$C$9:$C$108,0)),AND(AC497&gt;=0,AC497&lt;=D497)),0,MAX(0,I497-J497)),"Unavailable"))</x:f>
      </x:c>
      <x:c r="R497" s="30" t="str">
        <x:f>IF(C497="","",IFERROR(INDEX(Credit!$Q$409:$Q$508,MATCH(F497,Credit!$C$409:$C$508,0)),"Unavailable"))</x:f>
      </x:c>
      <x:c r="S497" s="30" t="str">
        <x:f>IF(C497="","",IFERROR(INDEX(Credit!$R$409:$R$508,MATCH(F497,Credit!$C$409:$C$508,0)),"Unavailable"))</x:f>
      </x:c>
      <x:c r="T497" s="23" t="str">
        <x:f>IF(C497="","",IFERROR(IF(P497&gt;0,3,IF(OR(INDEX('Facilities'!$AD$9:$AD$108,MATCH(C497,'Facilities'!$C$9:$C$108,0))=2,AND(R497&gt;=INDEX('Facilities'!$L$9:$L$108,MATCH(C497,'Facilities'!$C$9:$C$108,0))*Settings!$F$19,R497-INDEX('Facilities'!$L$9:$L$108,MATCH(C497,'Facilities'!$C$9:$C$108,0))&gt;=Settings!$F$20)),2,1)),"Unavailable"))</x:f>
      </x:c>
      <x:c r="U497" s="23" t="str">
        <x:f>IF(C497="","",IF(AQ497&lt;&gt;"Ready","Unavailable",IF(C497="","",O497*(1-(1-S497)/(1+INDEX('Facilities'!$K$9:$K$108,MATCH(C497,'Facilities'!$C$9:$C$108,0)))^INDEX('Facilities'!$AK$9:$AK$108,MATCH(C497,'Facilities'!$C$9:$C$108,0)))*R497/(1+INDEX('Facilities'!$K$9:$K$108,MATCH(C497,'Facilities'!$C$9:$C$108,0)))*IF(ABS(1-(1-R497)*(1-INDEX('Facilities'!$R$9:$R$108,MATCH(C497,'Facilities'!$C$9:$C$108,0)))/(1+INDEX('Facilities'!$K$9:$K$108,MATCH(C497,'Facilities'!$C$9:$C$108,0))))&lt;0.000000001,IF(T497=1,MIN(1,AJ497),AJ497),(1-((1-R497)*(1-INDEX('Facilities'!$R$9:$R$108,MATCH(C497,'Facilities'!$C$9:$C$108,0)))/(1+INDEX('Facilities'!$K$9:$K$108,MATCH(C497,'Facilities'!$C$9:$C$108,0))))^IF(T497=1,MIN(1,AJ497),AJ497))/(1-(1-R497)*(1-INDEX('Facilities'!$R$9:$R$108,MATCH(C497,'Facilities'!$C$9:$C$108,0)))/(1+INDEX('Facilities'!$K$9:$K$108,MATCH(C497,'Facilities'!$C$9:$C$108,0)))))+AL497)))</x:f>
      </x:c>
      <x:c r="V497" s="23" t="str">
        <x:f>IF(C497="","",IF(AQ497&lt;&gt;"Ready","Unavailable",IF(C497="","",Q497*INDEX('Facilities'!$I$9:$I$108,MATCH(C497,'Facilities'!$C$9:$C$108,0))*(1-(1-S497)/(1+INDEX('Facilities'!$K$9:$K$108,MATCH(C497,'Facilities'!$C$9:$C$108,0)))^INDEX('Facilities'!$AK$9:$AK$108,MATCH(C497,'Facilities'!$C$9:$C$108,0)))*R497/(1+INDEX('Facilities'!$K$9:$K$108,MATCH(C497,'Facilities'!$C$9:$C$108,0)))*IF(ABS(1-(1-R497)*(1-0)/(1+INDEX('Facilities'!$K$9:$K$108,MATCH(C497,'Facilities'!$C$9:$C$108,0))))&lt;0.000000001,IF(T497=1,MIN(1,AJ497),AJ497),(1-((1-R497)*(1-0)/(1+INDEX('Facilities'!$K$9:$K$108,MATCH(C497,'Facilities'!$C$9:$C$108,0))))^IF(T497=1,MIN(1,AJ497),AJ497))/(1-(1-R497)*(1-0)/(1+INDEX('Facilities'!$K$9:$K$108,MATCH(C497,'Facilities'!$C$9:$C$108,0))))))))</x:f>
      </x:c>
      <x:c r="W497" s="21" t="str">
        <x:f>IF(C497="","",IFERROR(U397,"Unavailable"))</x:f>
      </x:c>
      <x:c r="X497" s="21" t="str">
        <x:f>IF(C497="","",IFERROR(V397,"Unavailable"))</x:f>
      </x:c>
      <x:c r="Y497" s="21" t="str">
        <x:f>IF(C497="","",IF(AQ497&lt;&gt;"Ready","Unavailable",IF(C497="","",U497-W497+V497-X497+N497+AG497)))</x:f>
      </x:c>
      <x:c r="Z497" s="23" t="str">
        <x:f>IF(C497="","",IF(AQ497&lt;&gt;"Ready","Unavailable",IF(C497="","",(G497+O497+L497)/2*INDEX('Facilities'!$T$9:$T$108,MATCH(C497,'Facilities'!$C$9:$C$108,0))+AG497)))</x:f>
      </x:c>
      <x:c r="AA497" s="23" t="str">
        <x:f>IF(C497="","",IF(AQ497&lt;&gt;"Ready","Unavailable",IF(C497="","",O497*(1-IF(INDEX('Facilities'!$AA$9:$AA$108,MATCH(C497,'Facilities'!$C$9:$C$108,0))=0,0,MIN(1,INDEX('Facilities'!$X$9:$X$108,MATCH(C497,'Facilities'!$C$9:$C$108,0))/INDEX('Facilities'!$AA$9:$AA$108,MATCH(C497,'Facilities'!$C$9:$C$108,0)))))*AF497+P497*(1-IF(INDEX('Facilities'!$AA$9:$AA$108,MATCH(C497,'Facilities'!$C$9:$C$108,0))=0,0,MIN(1,INDEX('Facilities'!$X$9:$X$108,MATCH(C497,'Facilities'!$C$9:$C$108,0))/INDEX('Facilities'!$AA$9:$AA$108,MATCH(C497,'Facilities'!$C$9:$C$108,0)))))*INDEX('Facilities'!$AJ$9:$AJ$108,MATCH(C497,'Facilities'!$C$9:$C$108,0))+Q497*INDEX('Facilities'!$AI$9:$AI$108,MATCH(C497,'Facilities'!$C$9:$C$108,0))*AF497)))</x:f>
      </x:c>
      <x:c r="AB497" s="21" t="str">
        <x:f>IF(C497="","",O497+P497-AD497)</x:f>
      </x:c>
      <x:c r="AC497" s="23" t="str">
        <x:f>IF(C497="","",IFERROR(IF(INDEX('Facilities'!$AD$9:$AD$108,MATCH(C497,'Facilities'!$C$9:$C$108,0))=3,0,IF(INDEX('Facilities'!$AN$9:$AN$108,MATCH(C497,'Facilities'!$C$9:$C$108,0))=0,-1,INDEX('Facilities'!$AN$9:$AN$108,MATCH(C497,'Facilities'!$C$9:$C$108,0)))),"Unavailable"))</x:f>
      </x:c>
      <x:c r="AD497" s="21" t="str">
        <x:f>IF(C497="","",IFERROR(G497+H497,"Unavailable"))</x:f>
      </x:c>
      <x:c r="AE497" s="21" t="str">
        <x:f>IF(C497="","",IF(AQ497&lt;&gt;"Ready","Unavailable",IF(C497="","",O497+P497-AD497-J497+K497+M497+N497)))</x:f>
      </x:c>
      <x:c r="AF497" s="30" t="str">
        <x:f>IF(C497="","",IFERROR(INDEX('Facilities'!$S$9:$S$108,MATCH(C497,'Facilities'!$C$9:$C$108,0))*'Scenario Paths'!J75,"Unavailable"))</x:f>
      </x:c>
      <x:c r="AG497" s="23" t="str">
        <x:f>IF(C497="","",IF(AQ497&lt;&gt;"Ready","Unavailable",IF(C497="","",IF(H497&gt;0,MAX(0,H497-AK497)*((1+INDEX('Facilities'!$K$9:$K$108,MATCH(C497,'Facilities'!$C$9:$C$108,0)))^MIN(1,MAX(0,AC497+INDEX('Facilities'!$AK$9:$AK$108,MATCH(C497,'Facilities'!$C$9:$C$108,0))-D497+1))-1),0))))</x:f>
      </x:c>
      <x:c r="AH497" s="21" t="str">
        <x:f>IF(C497="","",IF(AQ497&lt;&gt;"Ready","Unavailable",IF(C497="","",O497+P497)))</x:f>
      </x:c>
      <x:c r="AI497" s="21" t="str">
        <x:f>IF(C497="","",IF(AQ497&lt;&gt;"Ready","Unavailable",IF(C497="","",Z497-Y497)))</x:f>
      </x:c>
      <x:c r="AJ497" s="23" t="str">
        <x:f>IF(C497="","",IFERROR(MAX(0,INDEX('Facilities'!$J$9:$J$108,MATCH(C497,'Facilities'!$C$9:$C$108,0))-D497),"Unavailable"))</x:f>
      </x:c>
      <x:c r="AK497" s="21" t="str">
        <x:f>IF(C497="","",IFERROR(AL397,"Unavailable"))</x:f>
      </x:c>
      <x:c r="AL497" s="23" t="str">
        <x:f>IF(C497="","",IFERROR(IF(P497&gt;0,P497*(1-AM497/(1+INDEX('Facilities'!$K$9:$K$108,MATCH(C497,'Facilities'!$C$9:$C$108,0)))^MAX(0,AC497+INDEX('Facilities'!$AK$9:$AK$108,MATCH(C497,'Facilities'!$C$9:$C$108,0))-D497)),0),"Unavailable"))</x:f>
      </x:c>
      <x:c r="AM497" s="30" t="str">
        <x:f>IF(C497="","",IFERROR(INDEX('Facilities'!$AL$9:$AL$108,MATCH(C497,'Facilities'!$C$9:$C$108,0)),"Unavailable"))</x:f>
      </x:c>
      <x:c r="AN497" s="30" t="str">
        <x:f>IF(C497="","",IFERROR(INDEX(Credit!$T$409:$T$508,MATCH(F497,Credit!$C$409:$C$508,0)),"Unavailable"))</x:f>
      </x:c>
      <x:c r="AO497" s="23" t="str">
        <x:f>IF(C497="","",IF(AQ497&lt;&gt;"Ready","Unavailable",IF(C497="","",O497+P497+Q497*INDEX('Facilities'!$I$9:$I$108,MATCH(C497,'Facilities'!$C$9:$C$108,0)))))</x:f>
      </x:c>
      <x:c r="AP497" s="21" t="str">
        <x:f>IF(C497="","",IF(AQ497&lt;&gt;"Ready","Unavailable",IF(C497="","",AH497-U497)))</x:f>
      </x:c>
      <x:c r="AQ497" s="23" t="str">
        <x:f>IFERROR(IF(C497="","",IF(AND(INDEX('Facilities'!$AF$9:$AF$108,MATCH(C497,'Facilities'!$C$9:$C$108,0))="Ready",INDEX(Credit!$U$409:$U$508,MATCH(F497,Credit!$C$409:$C$508,0))="Ready",ISNUMBER(W497)),"Ready","Review inputs")),"Review inputs")</x:f>
      </x:c>
      <x:c r="AR497" s="23" t="str">
        <x:f>IF(C497="","",IF(AQ497&lt;&gt;"Ready","Unavailable",IF(C497="","",IF(O497=0,0,(IF(AJ497&lt;=1,O497,O497*INDEX('Facilities'!$R$9:$R$108,MATCH(C497,'Facilities'!$C$9:$C$108,0)))+O497*INDEX('Facilities'!$T$9:$T$108,MATCH(C497,'Facilities'!$C$9:$C$108,0)))/12))))</x:f>
      </x:c>
    </x:row>
    <x:row r="498" ht="26" customHeight="1">
      <x:c r="A498" s="1"/>
      <x:c r="B498" s="1"/>
      <x:c r="C498" s="9" t="str">
        <x:f>IF(Facilities!C98="","",Facilities!C98)</x:f>
      </x:c>
      <x:c r="D498" s="3" t="n">
        <x:v>5</x:v>
      </x:c>
      <x:c r="E498" s="9" t="n">
        <x:f>Settings!$F$18+4</x:f>
        <x:v>2031</x:v>
      </x:c>
      <x:c r="F498" s="9" t="str">
        <x:f>IF(C498="","",IFERROR(INDEX('Facilities'!$D$9:$D$108,MATCH(C498,'Facilities'!$C$9:$C$108,0)),"Unavailable"))</x:f>
      </x:c>
      <x:c r="G498" s="21" t="str">
        <x:f>IF(C498="","",IFERROR(O398,"Unavailable"))</x:f>
      </x:c>
      <x:c r="H498" s="21" t="str">
        <x:f>IF(C498="","",IFERROR(P398,"Unavailable"))</x:f>
      </x:c>
      <x:c r="I498" s="21" t="str">
        <x:f>IF(C498="","",IFERROR(Q398,"Unavailable"))</x:f>
      </x:c>
      <x:c r="J498" s="23" t="str">
        <x:f>IF(C498="","",IFERROR(IF(OR(H498&gt;0,AND(AC498&gt;=0,AC498&lt;D498),D498&gt;INDEX('Facilities'!$J$9:$J$108,MATCH(C498,'Facilities'!$C$9:$C$108,0))),0,I498*'Scenario Paths'!J81),"Unavailable"))</x:f>
      </x:c>
      <x:c r="K498" s="23" t="str">
        <x:f>IF(C498="","",IFERROR(IF(OR(H498&gt;0,AND(AC498&gt;=0,AC498=D498)),0,IF(D498&gt;=INDEX('Facilities'!$J$9:$J$108,MATCH(C498,'Facilities'!$C$9:$C$108,0)),G498+J498,MIN(G498+J498,G498*INDEX('Facilities'!$R$9:$R$108,MATCH(C498,'Facilities'!$C$9:$C$108,0))))),"Unavailable"))</x:f>
      </x:c>
      <x:c r="L498" s="21" t="str">
        <x:f>IF(C498="","",IFERROR(IF(AND(AC498=D498,AC498&gt;0),MAX(0,G498+J498-K498),0),"Unavailable"))</x:f>
      </x:c>
      <x:c r="M498" s="23" t="str">
        <x:f>IF(C498="","",IFERROR(IF(AND(AC498&gt;=0,D498&gt;=AC498+INDEX('Facilities'!$AK$9:$AK$108,MATCH(C498,'Facilities'!$C$9:$C$108,0))),(H498+L498)*AM498,0),"Unavailable"))</x:f>
      </x:c>
      <x:c r="N498" s="23" t="str">
        <x:f>IF(C498="","",IFERROR(IF(AND(AC498&gt;=0,D498&gt;=AC498+INDEX('Facilities'!$AK$9:$AK$108,MATCH(C498,'Facilities'!$C$9:$C$108,0))),H498+L498-M498,0),"Unavailable"))</x:f>
      </x:c>
      <x:c r="O498" s="21" t="str">
        <x:f>IF(C498="","",IFERROR(MAX(0,G498+J498-K498-L498),"Unavailable"))</x:f>
      </x:c>
      <x:c r="P498" s="21" t="str">
        <x:f>IF(C498="","",IFERROR(MAX(0,H498+L498-M498-N498),"Unavailable"))</x:f>
      </x:c>
      <x:c r="Q498" s="23" t="str">
        <x:f>IF(C498="","",IFERROR(IF(OR(D498&gt;=INDEX('Facilities'!$J$9:$J$108,MATCH(C498,'Facilities'!$C$9:$C$108,0)),AND(AC498&gt;=0,AC498&lt;=D498)),0,MAX(0,I498-J498)),"Unavailable"))</x:f>
      </x:c>
      <x:c r="R498" s="30" t="str">
        <x:f>IF(C498="","",IFERROR(INDEX(Credit!$Q$409:$Q$508,MATCH(F498,Credit!$C$409:$C$508,0)),"Unavailable"))</x:f>
      </x:c>
      <x:c r="S498" s="30" t="str">
        <x:f>IF(C498="","",IFERROR(INDEX(Credit!$R$409:$R$508,MATCH(F498,Credit!$C$409:$C$508,0)),"Unavailable"))</x:f>
      </x:c>
      <x:c r="T498" s="23" t="str">
        <x:f>IF(C498="","",IFERROR(IF(P498&gt;0,3,IF(OR(INDEX('Facilities'!$AD$9:$AD$108,MATCH(C498,'Facilities'!$C$9:$C$108,0))=2,AND(R498&gt;=INDEX('Facilities'!$L$9:$L$108,MATCH(C498,'Facilities'!$C$9:$C$108,0))*Settings!$F$19,R498-INDEX('Facilities'!$L$9:$L$108,MATCH(C498,'Facilities'!$C$9:$C$108,0))&gt;=Settings!$F$20)),2,1)),"Unavailable"))</x:f>
      </x:c>
      <x:c r="U498" s="23" t="str">
        <x:f>IF(C498="","",IF(AQ498&lt;&gt;"Ready","Unavailable",IF(C498="","",O498*(1-(1-S498)/(1+INDEX('Facilities'!$K$9:$K$108,MATCH(C498,'Facilities'!$C$9:$C$108,0)))^INDEX('Facilities'!$AK$9:$AK$108,MATCH(C498,'Facilities'!$C$9:$C$108,0)))*R498/(1+INDEX('Facilities'!$K$9:$K$108,MATCH(C498,'Facilities'!$C$9:$C$108,0)))*IF(ABS(1-(1-R498)*(1-INDEX('Facilities'!$R$9:$R$108,MATCH(C498,'Facilities'!$C$9:$C$108,0)))/(1+INDEX('Facilities'!$K$9:$K$108,MATCH(C498,'Facilities'!$C$9:$C$108,0))))&lt;0.000000001,IF(T498=1,MIN(1,AJ498),AJ498),(1-((1-R498)*(1-INDEX('Facilities'!$R$9:$R$108,MATCH(C498,'Facilities'!$C$9:$C$108,0)))/(1+INDEX('Facilities'!$K$9:$K$108,MATCH(C498,'Facilities'!$C$9:$C$108,0))))^IF(T498=1,MIN(1,AJ498),AJ498))/(1-(1-R498)*(1-INDEX('Facilities'!$R$9:$R$108,MATCH(C498,'Facilities'!$C$9:$C$108,0)))/(1+INDEX('Facilities'!$K$9:$K$108,MATCH(C498,'Facilities'!$C$9:$C$108,0)))))+AL498)))</x:f>
      </x:c>
      <x:c r="V498" s="23" t="str">
        <x:f>IF(C498="","",IF(AQ498&lt;&gt;"Ready","Unavailable",IF(C498="","",Q498*INDEX('Facilities'!$I$9:$I$108,MATCH(C498,'Facilities'!$C$9:$C$108,0))*(1-(1-S498)/(1+INDEX('Facilities'!$K$9:$K$108,MATCH(C498,'Facilities'!$C$9:$C$108,0)))^INDEX('Facilities'!$AK$9:$AK$108,MATCH(C498,'Facilities'!$C$9:$C$108,0)))*R498/(1+INDEX('Facilities'!$K$9:$K$108,MATCH(C498,'Facilities'!$C$9:$C$108,0)))*IF(ABS(1-(1-R498)*(1-0)/(1+INDEX('Facilities'!$K$9:$K$108,MATCH(C498,'Facilities'!$C$9:$C$108,0))))&lt;0.000000001,IF(T498=1,MIN(1,AJ498),AJ498),(1-((1-R498)*(1-0)/(1+INDEX('Facilities'!$K$9:$K$108,MATCH(C498,'Facilities'!$C$9:$C$108,0))))^IF(T498=1,MIN(1,AJ498),AJ498))/(1-(1-R498)*(1-0)/(1+INDEX('Facilities'!$K$9:$K$108,MATCH(C498,'Facilities'!$C$9:$C$108,0))))))))</x:f>
      </x:c>
      <x:c r="W498" s="21" t="str">
        <x:f>IF(C498="","",IFERROR(U398,"Unavailable"))</x:f>
      </x:c>
      <x:c r="X498" s="21" t="str">
        <x:f>IF(C498="","",IFERROR(V398,"Unavailable"))</x:f>
      </x:c>
      <x:c r="Y498" s="21" t="str">
        <x:f>IF(C498="","",IF(AQ498&lt;&gt;"Ready","Unavailable",IF(C498="","",U498-W498+V498-X498+N498+AG498)))</x:f>
      </x:c>
      <x:c r="Z498" s="23" t="str">
        <x:f>IF(C498="","",IF(AQ498&lt;&gt;"Ready","Unavailable",IF(C498="","",(G498+O498+L498)/2*INDEX('Facilities'!$T$9:$T$108,MATCH(C498,'Facilities'!$C$9:$C$108,0))+AG498)))</x:f>
      </x:c>
      <x:c r="AA498" s="23" t="str">
        <x:f>IF(C498="","",IF(AQ498&lt;&gt;"Ready","Unavailable",IF(C498="","",O498*(1-IF(INDEX('Facilities'!$AA$9:$AA$108,MATCH(C498,'Facilities'!$C$9:$C$108,0))=0,0,MIN(1,INDEX('Facilities'!$X$9:$X$108,MATCH(C498,'Facilities'!$C$9:$C$108,0))/INDEX('Facilities'!$AA$9:$AA$108,MATCH(C498,'Facilities'!$C$9:$C$108,0)))))*AF498+P498*(1-IF(INDEX('Facilities'!$AA$9:$AA$108,MATCH(C498,'Facilities'!$C$9:$C$108,0))=0,0,MIN(1,INDEX('Facilities'!$X$9:$X$108,MATCH(C498,'Facilities'!$C$9:$C$108,0))/INDEX('Facilities'!$AA$9:$AA$108,MATCH(C498,'Facilities'!$C$9:$C$108,0)))))*INDEX('Facilities'!$AJ$9:$AJ$108,MATCH(C498,'Facilities'!$C$9:$C$108,0))+Q498*INDEX('Facilities'!$AI$9:$AI$108,MATCH(C498,'Facilities'!$C$9:$C$108,0))*AF498)))</x:f>
      </x:c>
      <x:c r="AB498" s="21" t="str">
        <x:f>IF(C498="","",O498+P498-AD498)</x:f>
      </x:c>
      <x:c r="AC498" s="23" t="str">
        <x:f>IF(C498="","",IFERROR(IF(INDEX('Facilities'!$AD$9:$AD$108,MATCH(C498,'Facilities'!$C$9:$C$108,0))=3,0,IF(INDEX('Facilities'!$AN$9:$AN$108,MATCH(C498,'Facilities'!$C$9:$C$108,0))=0,-1,INDEX('Facilities'!$AN$9:$AN$108,MATCH(C498,'Facilities'!$C$9:$C$108,0)))),"Unavailable"))</x:f>
      </x:c>
      <x:c r="AD498" s="21" t="str">
        <x:f>IF(C498="","",IFERROR(G498+H498,"Unavailable"))</x:f>
      </x:c>
      <x:c r="AE498" s="21" t="str">
        <x:f>IF(C498="","",IF(AQ498&lt;&gt;"Ready","Unavailable",IF(C498="","",O498+P498-AD498-J498+K498+M498+N498)))</x:f>
      </x:c>
      <x:c r="AF498" s="30" t="str">
        <x:f>IF(C498="","",IFERROR(INDEX('Facilities'!$S$9:$S$108,MATCH(C498,'Facilities'!$C$9:$C$108,0))*'Scenario Paths'!J75,"Unavailable"))</x:f>
      </x:c>
      <x:c r="AG498" s="23" t="str">
        <x:f>IF(C498="","",IF(AQ498&lt;&gt;"Ready","Unavailable",IF(C498="","",IF(H498&gt;0,MAX(0,H498-AK498)*((1+INDEX('Facilities'!$K$9:$K$108,MATCH(C498,'Facilities'!$C$9:$C$108,0)))^MIN(1,MAX(0,AC498+INDEX('Facilities'!$AK$9:$AK$108,MATCH(C498,'Facilities'!$C$9:$C$108,0))-D498+1))-1),0))))</x:f>
      </x:c>
      <x:c r="AH498" s="21" t="str">
        <x:f>IF(C498="","",IF(AQ498&lt;&gt;"Ready","Unavailable",IF(C498="","",O498+P498)))</x:f>
      </x:c>
      <x:c r="AI498" s="21" t="str">
        <x:f>IF(C498="","",IF(AQ498&lt;&gt;"Ready","Unavailable",IF(C498="","",Z498-Y498)))</x:f>
      </x:c>
      <x:c r="AJ498" s="23" t="str">
        <x:f>IF(C498="","",IFERROR(MAX(0,INDEX('Facilities'!$J$9:$J$108,MATCH(C498,'Facilities'!$C$9:$C$108,0))-D498),"Unavailable"))</x:f>
      </x:c>
      <x:c r="AK498" s="21" t="str">
        <x:f>IF(C498="","",IFERROR(AL398,"Unavailable"))</x:f>
      </x:c>
      <x:c r="AL498" s="23" t="str">
        <x:f>IF(C498="","",IFERROR(IF(P498&gt;0,P498*(1-AM498/(1+INDEX('Facilities'!$K$9:$K$108,MATCH(C498,'Facilities'!$C$9:$C$108,0)))^MAX(0,AC498+INDEX('Facilities'!$AK$9:$AK$108,MATCH(C498,'Facilities'!$C$9:$C$108,0))-D498)),0),"Unavailable"))</x:f>
      </x:c>
      <x:c r="AM498" s="30" t="str">
        <x:f>IF(C498="","",IFERROR(INDEX('Facilities'!$AL$9:$AL$108,MATCH(C498,'Facilities'!$C$9:$C$108,0)),"Unavailable"))</x:f>
      </x:c>
      <x:c r="AN498" s="30" t="str">
        <x:f>IF(C498="","",IFERROR(INDEX(Credit!$T$409:$T$508,MATCH(F498,Credit!$C$409:$C$508,0)),"Unavailable"))</x:f>
      </x:c>
      <x:c r="AO498" s="23" t="str">
        <x:f>IF(C498="","",IF(AQ498&lt;&gt;"Ready","Unavailable",IF(C498="","",O498+P498+Q498*INDEX('Facilities'!$I$9:$I$108,MATCH(C498,'Facilities'!$C$9:$C$108,0)))))</x:f>
      </x:c>
      <x:c r="AP498" s="21" t="str">
        <x:f>IF(C498="","",IF(AQ498&lt;&gt;"Ready","Unavailable",IF(C498="","",AH498-U498)))</x:f>
      </x:c>
      <x:c r="AQ498" s="23" t="str">
        <x:f>IFERROR(IF(C498="","",IF(AND(INDEX('Facilities'!$AF$9:$AF$108,MATCH(C498,'Facilities'!$C$9:$C$108,0))="Ready",INDEX(Credit!$U$409:$U$508,MATCH(F498,Credit!$C$409:$C$508,0))="Ready",ISNUMBER(W498)),"Ready","Review inputs")),"Review inputs")</x:f>
      </x:c>
      <x:c r="AR498" s="23" t="str">
        <x:f>IF(C498="","",IF(AQ498&lt;&gt;"Ready","Unavailable",IF(C498="","",IF(O498=0,0,(IF(AJ498&lt;=1,O498,O498*INDEX('Facilities'!$R$9:$R$108,MATCH(C498,'Facilities'!$C$9:$C$108,0)))+O498*INDEX('Facilities'!$T$9:$T$108,MATCH(C498,'Facilities'!$C$9:$C$108,0)))/12))))</x:f>
      </x:c>
    </x:row>
    <x:row r="499" ht="26" customHeight="1">
      <x:c r="A499" s="1"/>
      <x:c r="B499" s="1"/>
      <x:c r="C499" s="9" t="str">
        <x:f>IF(Facilities!C99="","",Facilities!C99)</x:f>
      </x:c>
      <x:c r="D499" s="3" t="n">
        <x:v>5</x:v>
      </x:c>
      <x:c r="E499" s="9" t="n">
        <x:f>Settings!$F$18+4</x:f>
        <x:v>2031</x:v>
      </x:c>
      <x:c r="F499" s="9" t="str">
        <x:f>IF(C499="","",IFERROR(INDEX('Facilities'!$D$9:$D$108,MATCH(C499,'Facilities'!$C$9:$C$108,0)),"Unavailable"))</x:f>
      </x:c>
      <x:c r="G499" s="21" t="str">
        <x:f>IF(C499="","",IFERROR(O399,"Unavailable"))</x:f>
      </x:c>
      <x:c r="H499" s="21" t="str">
        <x:f>IF(C499="","",IFERROR(P399,"Unavailable"))</x:f>
      </x:c>
      <x:c r="I499" s="21" t="str">
        <x:f>IF(C499="","",IFERROR(Q399,"Unavailable"))</x:f>
      </x:c>
      <x:c r="J499" s="23" t="str">
        <x:f>IF(C499="","",IFERROR(IF(OR(H499&gt;0,AND(AC499&gt;=0,AC499&lt;D499),D499&gt;INDEX('Facilities'!$J$9:$J$108,MATCH(C499,'Facilities'!$C$9:$C$108,0))),0,I499*'Scenario Paths'!J81),"Unavailable"))</x:f>
      </x:c>
      <x:c r="K499" s="23" t="str">
        <x:f>IF(C499="","",IFERROR(IF(OR(H499&gt;0,AND(AC499&gt;=0,AC499=D499)),0,IF(D499&gt;=INDEX('Facilities'!$J$9:$J$108,MATCH(C499,'Facilities'!$C$9:$C$108,0)),G499+J499,MIN(G499+J499,G499*INDEX('Facilities'!$R$9:$R$108,MATCH(C499,'Facilities'!$C$9:$C$108,0))))),"Unavailable"))</x:f>
      </x:c>
      <x:c r="L499" s="21" t="str">
        <x:f>IF(C499="","",IFERROR(IF(AND(AC499=D499,AC499&gt;0),MAX(0,G499+J499-K499),0),"Unavailable"))</x:f>
      </x:c>
      <x:c r="M499" s="23" t="str">
        <x:f>IF(C499="","",IFERROR(IF(AND(AC499&gt;=0,D499&gt;=AC499+INDEX('Facilities'!$AK$9:$AK$108,MATCH(C499,'Facilities'!$C$9:$C$108,0))),(H499+L499)*AM499,0),"Unavailable"))</x:f>
      </x:c>
      <x:c r="N499" s="23" t="str">
        <x:f>IF(C499="","",IFERROR(IF(AND(AC499&gt;=0,D499&gt;=AC499+INDEX('Facilities'!$AK$9:$AK$108,MATCH(C499,'Facilities'!$C$9:$C$108,0))),H499+L499-M499,0),"Unavailable"))</x:f>
      </x:c>
      <x:c r="O499" s="21" t="str">
        <x:f>IF(C499="","",IFERROR(MAX(0,G499+J499-K499-L499),"Unavailable"))</x:f>
      </x:c>
      <x:c r="P499" s="21" t="str">
        <x:f>IF(C499="","",IFERROR(MAX(0,H499+L499-M499-N499),"Unavailable"))</x:f>
      </x:c>
      <x:c r="Q499" s="23" t="str">
        <x:f>IF(C499="","",IFERROR(IF(OR(D499&gt;=INDEX('Facilities'!$J$9:$J$108,MATCH(C499,'Facilities'!$C$9:$C$108,0)),AND(AC499&gt;=0,AC499&lt;=D499)),0,MAX(0,I499-J499)),"Unavailable"))</x:f>
      </x:c>
      <x:c r="R499" s="30" t="str">
        <x:f>IF(C499="","",IFERROR(INDEX(Credit!$Q$409:$Q$508,MATCH(F499,Credit!$C$409:$C$508,0)),"Unavailable"))</x:f>
      </x:c>
      <x:c r="S499" s="30" t="str">
        <x:f>IF(C499="","",IFERROR(INDEX(Credit!$R$409:$R$508,MATCH(F499,Credit!$C$409:$C$508,0)),"Unavailable"))</x:f>
      </x:c>
      <x:c r="T499" s="23" t="str">
        <x:f>IF(C499="","",IFERROR(IF(P499&gt;0,3,IF(OR(INDEX('Facilities'!$AD$9:$AD$108,MATCH(C499,'Facilities'!$C$9:$C$108,0))=2,AND(R499&gt;=INDEX('Facilities'!$L$9:$L$108,MATCH(C499,'Facilities'!$C$9:$C$108,0))*Settings!$F$19,R499-INDEX('Facilities'!$L$9:$L$108,MATCH(C499,'Facilities'!$C$9:$C$108,0))&gt;=Settings!$F$20)),2,1)),"Unavailable"))</x:f>
      </x:c>
      <x:c r="U499" s="23" t="str">
        <x:f>IF(C499="","",IF(AQ499&lt;&gt;"Ready","Unavailable",IF(C499="","",O499*(1-(1-S499)/(1+INDEX('Facilities'!$K$9:$K$108,MATCH(C499,'Facilities'!$C$9:$C$108,0)))^INDEX('Facilities'!$AK$9:$AK$108,MATCH(C499,'Facilities'!$C$9:$C$108,0)))*R499/(1+INDEX('Facilities'!$K$9:$K$108,MATCH(C499,'Facilities'!$C$9:$C$108,0)))*IF(ABS(1-(1-R499)*(1-INDEX('Facilities'!$R$9:$R$108,MATCH(C499,'Facilities'!$C$9:$C$108,0)))/(1+INDEX('Facilities'!$K$9:$K$108,MATCH(C499,'Facilities'!$C$9:$C$108,0))))&lt;0.000000001,IF(T499=1,MIN(1,AJ499),AJ499),(1-((1-R499)*(1-INDEX('Facilities'!$R$9:$R$108,MATCH(C499,'Facilities'!$C$9:$C$108,0)))/(1+INDEX('Facilities'!$K$9:$K$108,MATCH(C499,'Facilities'!$C$9:$C$108,0))))^IF(T499=1,MIN(1,AJ499),AJ499))/(1-(1-R499)*(1-INDEX('Facilities'!$R$9:$R$108,MATCH(C499,'Facilities'!$C$9:$C$108,0)))/(1+INDEX('Facilities'!$K$9:$K$108,MATCH(C499,'Facilities'!$C$9:$C$108,0)))))+AL499)))</x:f>
      </x:c>
      <x:c r="V499" s="23" t="str">
        <x:f>IF(C499="","",IF(AQ499&lt;&gt;"Ready","Unavailable",IF(C499="","",Q499*INDEX('Facilities'!$I$9:$I$108,MATCH(C499,'Facilities'!$C$9:$C$108,0))*(1-(1-S499)/(1+INDEX('Facilities'!$K$9:$K$108,MATCH(C499,'Facilities'!$C$9:$C$108,0)))^INDEX('Facilities'!$AK$9:$AK$108,MATCH(C499,'Facilities'!$C$9:$C$108,0)))*R499/(1+INDEX('Facilities'!$K$9:$K$108,MATCH(C499,'Facilities'!$C$9:$C$108,0)))*IF(ABS(1-(1-R499)*(1-0)/(1+INDEX('Facilities'!$K$9:$K$108,MATCH(C499,'Facilities'!$C$9:$C$108,0))))&lt;0.000000001,IF(T499=1,MIN(1,AJ499),AJ499),(1-((1-R499)*(1-0)/(1+INDEX('Facilities'!$K$9:$K$108,MATCH(C499,'Facilities'!$C$9:$C$108,0))))^IF(T499=1,MIN(1,AJ499),AJ499))/(1-(1-R499)*(1-0)/(1+INDEX('Facilities'!$K$9:$K$108,MATCH(C499,'Facilities'!$C$9:$C$108,0))))))))</x:f>
      </x:c>
      <x:c r="W499" s="21" t="str">
        <x:f>IF(C499="","",IFERROR(U399,"Unavailable"))</x:f>
      </x:c>
      <x:c r="X499" s="21" t="str">
        <x:f>IF(C499="","",IFERROR(V399,"Unavailable"))</x:f>
      </x:c>
      <x:c r="Y499" s="21" t="str">
        <x:f>IF(C499="","",IF(AQ499&lt;&gt;"Ready","Unavailable",IF(C499="","",U499-W499+V499-X499+N499+AG499)))</x:f>
      </x:c>
      <x:c r="Z499" s="23" t="str">
        <x:f>IF(C499="","",IF(AQ499&lt;&gt;"Ready","Unavailable",IF(C499="","",(G499+O499+L499)/2*INDEX('Facilities'!$T$9:$T$108,MATCH(C499,'Facilities'!$C$9:$C$108,0))+AG499)))</x:f>
      </x:c>
      <x:c r="AA499" s="23" t="str">
        <x:f>IF(C499="","",IF(AQ499&lt;&gt;"Ready","Unavailable",IF(C499="","",O499*(1-IF(INDEX('Facilities'!$AA$9:$AA$108,MATCH(C499,'Facilities'!$C$9:$C$108,0))=0,0,MIN(1,INDEX('Facilities'!$X$9:$X$108,MATCH(C499,'Facilities'!$C$9:$C$108,0))/INDEX('Facilities'!$AA$9:$AA$108,MATCH(C499,'Facilities'!$C$9:$C$108,0)))))*AF499+P499*(1-IF(INDEX('Facilities'!$AA$9:$AA$108,MATCH(C499,'Facilities'!$C$9:$C$108,0))=0,0,MIN(1,INDEX('Facilities'!$X$9:$X$108,MATCH(C499,'Facilities'!$C$9:$C$108,0))/INDEX('Facilities'!$AA$9:$AA$108,MATCH(C499,'Facilities'!$C$9:$C$108,0)))))*INDEX('Facilities'!$AJ$9:$AJ$108,MATCH(C499,'Facilities'!$C$9:$C$108,0))+Q499*INDEX('Facilities'!$AI$9:$AI$108,MATCH(C499,'Facilities'!$C$9:$C$108,0))*AF499)))</x:f>
      </x:c>
      <x:c r="AB499" s="21" t="str">
        <x:f>IF(C499="","",O499+P499-AD499)</x:f>
      </x:c>
      <x:c r="AC499" s="23" t="str">
        <x:f>IF(C499="","",IFERROR(IF(INDEX('Facilities'!$AD$9:$AD$108,MATCH(C499,'Facilities'!$C$9:$C$108,0))=3,0,IF(INDEX('Facilities'!$AN$9:$AN$108,MATCH(C499,'Facilities'!$C$9:$C$108,0))=0,-1,INDEX('Facilities'!$AN$9:$AN$108,MATCH(C499,'Facilities'!$C$9:$C$108,0)))),"Unavailable"))</x:f>
      </x:c>
      <x:c r="AD499" s="21" t="str">
        <x:f>IF(C499="","",IFERROR(G499+H499,"Unavailable"))</x:f>
      </x:c>
      <x:c r="AE499" s="21" t="str">
        <x:f>IF(C499="","",IF(AQ499&lt;&gt;"Ready","Unavailable",IF(C499="","",O499+P499-AD499-J499+K499+M499+N499)))</x:f>
      </x:c>
      <x:c r="AF499" s="30" t="str">
        <x:f>IF(C499="","",IFERROR(INDEX('Facilities'!$S$9:$S$108,MATCH(C499,'Facilities'!$C$9:$C$108,0))*'Scenario Paths'!J75,"Unavailable"))</x:f>
      </x:c>
      <x:c r="AG499" s="23" t="str">
        <x:f>IF(C499="","",IF(AQ499&lt;&gt;"Ready","Unavailable",IF(C499="","",IF(H499&gt;0,MAX(0,H499-AK499)*((1+INDEX('Facilities'!$K$9:$K$108,MATCH(C499,'Facilities'!$C$9:$C$108,0)))^MIN(1,MAX(0,AC499+INDEX('Facilities'!$AK$9:$AK$108,MATCH(C499,'Facilities'!$C$9:$C$108,0))-D499+1))-1),0))))</x:f>
      </x:c>
      <x:c r="AH499" s="21" t="str">
        <x:f>IF(C499="","",IF(AQ499&lt;&gt;"Ready","Unavailable",IF(C499="","",O499+P499)))</x:f>
      </x:c>
      <x:c r="AI499" s="21" t="str">
        <x:f>IF(C499="","",IF(AQ499&lt;&gt;"Ready","Unavailable",IF(C499="","",Z499-Y499)))</x:f>
      </x:c>
      <x:c r="AJ499" s="23" t="str">
        <x:f>IF(C499="","",IFERROR(MAX(0,INDEX('Facilities'!$J$9:$J$108,MATCH(C499,'Facilities'!$C$9:$C$108,0))-D499),"Unavailable"))</x:f>
      </x:c>
      <x:c r="AK499" s="21" t="str">
        <x:f>IF(C499="","",IFERROR(AL399,"Unavailable"))</x:f>
      </x:c>
      <x:c r="AL499" s="23" t="str">
        <x:f>IF(C499="","",IFERROR(IF(P499&gt;0,P499*(1-AM499/(1+INDEX('Facilities'!$K$9:$K$108,MATCH(C499,'Facilities'!$C$9:$C$108,0)))^MAX(0,AC499+INDEX('Facilities'!$AK$9:$AK$108,MATCH(C499,'Facilities'!$C$9:$C$108,0))-D499)),0),"Unavailable"))</x:f>
      </x:c>
      <x:c r="AM499" s="30" t="str">
        <x:f>IF(C499="","",IFERROR(INDEX('Facilities'!$AL$9:$AL$108,MATCH(C499,'Facilities'!$C$9:$C$108,0)),"Unavailable"))</x:f>
      </x:c>
      <x:c r="AN499" s="30" t="str">
        <x:f>IF(C499="","",IFERROR(INDEX(Credit!$T$409:$T$508,MATCH(F499,Credit!$C$409:$C$508,0)),"Unavailable"))</x:f>
      </x:c>
      <x:c r="AO499" s="23" t="str">
        <x:f>IF(C499="","",IF(AQ499&lt;&gt;"Ready","Unavailable",IF(C499="","",O499+P499+Q499*INDEX('Facilities'!$I$9:$I$108,MATCH(C499,'Facilities'!$C$9:$C$108,0)))))</x:f>
      </x:c>
      <x:c r="AP499" s="21" t="str">
        <x:f>IF(C499="","",IF(AQ499&lt;&gt;"Ready","Unavailable",IF(C499="","",AH499-U499)))</x:f>
      </x:c>
      <x:c r="AQ499" s="23" t="str">
        <x:f>IFERROR(IF(C499="","",IF(AND(INDEX('Facilities'!$AF$9:$AF$108,MATCH(C499,'Facilities'!$C$9:$C$108,0))="Ready",INDEX(Credit!$U$409:$U$508,MATCH(F499,Credit!$C$409:$C$508,0))="Ready",ISNUMBER(W499)),"Ready","Review inputs")),"Review inputs")</x:f>
      </x:c>
      <x:c r="AR499" s="23" t="str">
        <x:f>IF(C499="","",IF(AQ499&lt;&gt;"Ready","Unavailable",IF(C499="","",IF(O499=0,0,(IF(AJ499&lt;=1,O499,O499*INDEX('Facilities'!$R$9:$R$108,MATCH(C499,'Facilities'!$C$9:$C$108,0)))+O499*INDEX('Facilities'!$T$9:$T$108,MATCH(C499,'Facilities'!$C$9:$C$108,0)))/12))))</x:f>
      </x:c>
    </x:row>
    <x:row r="500" ht="26" customHeight="1">
      <x:c r="A500" s="1"/>
      <x:c r="B500" s="1"/>
      <x:c r="C500" s="9" t="str">
        <x:f>IF(Facilities!C100="","",Facilities!C100)</x:f>
      </x:c>
      <x:c r="D500" s="3" t="n">
        <x:v>5</x:v>
      </x:c>
      <x:c r="E500" s="9" t="n">
        <x:f>Settings!$F$18+4</x:f>
        <x:v>2031</x:v>
      </x:c>
      <x:c r="F500" s="9" t="str">
        <x:f>IF(C500="","",IFERROR(INDEX('Facilities'!$D$9:$D$108,MATCH(C500,'Facilities'!$C$9:$C$108,0)),"Unavailable"))</x:f>
      </x:c>
      <x:c r="G500" s="21" t="str">
        <x:f>IF(C500="","",IFERROR(O400,"Unavailable"))</x:f>
      </x:c>
      <x:c r="H500" s="21" t="str">
        <x:f>IF(C500="","",IFERROR(P400,"Unavailable"))</x:f>
      </x:c>
      <x:c r="I500" s="21" t="str">
        <x:f>IF(C500="","",IFERROR(Q400,"Unavailable"))</x:f>
      </x:c>
      <x:c r="J500" s="23" t="str">
        <x:f>IF(C500="","",IFERROR(IF(OR(H500&gt;0,AND(AC500&gt;=0,AC500&lt;D500),D500&gt;INDEX('Facilities'!$J$9:$J$108,MATCH(C500,'Facilities'!$C$9:$C$108,0))),0,I500*'Scenario Paths'!J81),"Unavailable"))</x:f>
      </x:c>
      <x:c r="K500" s="23" t="str">
        <x:f>IF(C500="","",IFERROR(IF(OR(H500&gt;0,AND(AC500&gt;=0,AC500=D500)),0,IF(D500&gt;=INDEX('Facilities'!$J$9:$J$108,MATCH(C500,'Facilities'!$C$9:$C$108,0)),G500+J500,MIN(G500+J500,G500*INDEX('Facilities'!$R$9:$R$108,MATCH(C500,'Facilities'!$C$9:$C$108,0))))),"Unavailable"))</x:f>
      </x:c>
      <x:c r="L500" s="21" t="str">
        <x:f>IF(C500="","",IFERROR(IF(AND(AC500=D500,AC500&gt;0),MAX(0,G500+J500-K500),0),"Unavailable"))</x:f>
      </x:c>
      <x:c r="M500" s="23" t="str">
        <x:f>IF(C500="","",IFERROR(IF(AND(AC500&gt;=0,D500&gt;=AC500+INDEX('Facilities'!$AK$9:$AK$108,MATCH(C500,'Facilities'!$C$9:$C$108,0))),(H500+L500)*AM500,0),"Unavailable"))</x:f>
      </x:c>
      <x:c r="N500" s="23" t="str">
        <x:f>IF(C500="","",IFERROR(IF(AND(AC500&gt;=0,D500&gt;=AC500+INDEX('Facilities'!$AK$9:$AK$108,MATCH(C500,'Facilities'!$C$9:$C$108,0))),H500+L500-M500,0),"Unavailable"))</x:f>
      </x:c>
      <x:c r="O500" s="21" t="str">
        <x:f>IF(C500="","",IFERROR(MAX(0,G500+J500-K500-L500),"Unavailable"))</x:f>
      </x:c>
      <x:c r="P500" s="21" t="str">
        <x:f>IF(C500="","",IFERROR(MAX(0,H500+L500-M500-N500),"Unavailable"))</x:f>
      </x:c>
      <x:c r="Q500" s="23" t="str">
        <x:f>IF(C500="","",IFERROR(IF(OR(D500&gt;=INDEX('Facilities'!$J$9:$J$108,MATCH(C500,'Facilities'!$C$9:$C$108,0)),AND(AC500&gt;=0,AC500&lt;=D500)),0,MAX(0,I500-J500)),"Unavailable"))</x:f>
      </x:c>
      <x:c r="R500" s="30" t="str">
        <x:f>IF(C500="","",IFERROR(INDEX(Credit!$Q$409:$Q$508,MATCH(F500,Credit!$C$409:$C$508,0)),"Unavailable"))</x:f>
      </x:c>
      <x:c r="S500" s="30" t="str">
        <x:f>IF(C500="","",IFERROR(INDEX(Credit!$R$409:$R$508,MATCH(F500,Credit!$C$409:$C$508,0)),"Unavailable"))</x:f>
      </x:c>
      <x:c r="T500" s="23" t="str">
        <x:f>IF(C500="","",IFERROR(IF(P500&gt;0,3,IF(OR(INDEX('Facilities'!$AD$9:$AD$108,MATCH(C500,'Facilities'!$C$9:$C$108,0))=2,AND(R500&gt;=INDEX('Facilities'!$L$9:$L$108,MATCH(C500,'Facilities'!$C$9:$C$108,0))*Settings!$F$19,R500-INDEX('Facilities'!$L$9:$L$108,MATCH(C500,'Facilities'!$C$9:$C$108,0))&gt;=Settings!$F$20)),2,1)),"Unavailable"))</x:f>
      </x:c>
      <x:c r="U500" s="23" t="str">
        <x:f>IF(C500="","",IF(AQ500&lt;&gt;"Ready","Unavailable",IF(C500="","",O500*(1-(1-S500)/(1+INDEX('Facilities'!$K$9:$K$108,MATCH(C500,'Facilities'!$C$9:$C$108,0)))^INDEX('Facilities'!$AK$9:$AK$108,MATCH(C500,'Facilities'!$C$9:$C$108,0)))*R500/(1+INDEX('Facilities'!$K$9:$K$108,MATCH(C500,'Facilities'!$C$9:$C$108,0)))*IF(ABS(1-(1-R500)*(1-INDEX('Facilities'!$R$9:$R$108,MATCH(C500,'Facilities'!$C$9:$C$108,0)))/(1+INDEX('Facilities'!$K$9:$K$108,MATCH(C500,'Facilities'!$C$9:$C$108,0))))&lt;0.000000001,IF(T500=1,MIN(1,AJ500),AJ500),(1-((1-R500)*(1-INDEX('Facilities'!$R$9:$R$108,MATCH(C500,'Facilities'!$C$9:$C$108,0)))/(1+INDEX('Facilities'!$K$9:$K$108,MATCH(C500,'Facilities'!$C$9:$C$108,0))))^IF(T500=1,MIN(1,AJ500),AJ500))/(1-(1-R500)*(1-INDEX('Facilities'!$R$9:$R$108,MATCH(C500,'Facilities'!$C$9:$C$108,0)))/(1+INDEX('Facilities'!$K$9:$K$108,MATCH(C500,'Facilities'!$C$9:$C$108,0)))))+AL500)))</x:f>
      </x:c>
      <x:c r="V500" s="23" t="str">
        <x:f>IF(C500="","",IF(AQ500&lt;&gt;"Ready","Unavailable",IF(C500="","",Q500*INDEX('Facilities'!$I$9:$I$108,MATCH(C500,'Facilities'!$C$9:$C$108,0))*(1-(1-S500)/(1+INDEX('Facilities'!$K$9:$K$108,MATCH(C500,'Facilities'!$C$9:$C$108,0)))^INDEX('Facilities'!$AK$9:$AK$108,MATCH(C500,'Facilities'!$C$9:$C$108,0)))*R500/(1+INDEX('Facilities'!$K$9:$K$108,MATCH(C500,'Facilities'!$C$9:$C$108,0)))*IF(ABS(1-(1-R500)*(1-0)/(1+INDEX('Facilities'!$K$9:$K$108,MATCH(C500,'Facilities'!$C$9:$C$108,0))))&lt;0.000000001,IF(T500=1,MIN(1,AJ500),AJ500),(1-((1-R500)*(1-0)/(1+INDEX('Facilities'!$K$9:$K$108,MATCH(C500,'Facilities'!$C$9:$C$108,0))))^IF(T500=1,MIN(1,AJ500),AJ500))/(1-(1-R500)*(1-0)/(1+INDEX('Facilities'!$K$9:$K$108,MATCH(C500,'Facilities'!$C$9:$C$108,0))))))))</x:f>
      </x:c>
      <x:c r="W500" s="21" t="str">
        <x:f>IF(C500="","",IFERROR(U400,"Unavailable"))</x:f>
      </x:c>
      <x:c r="X500" s="21" t="str">
        <x:f>IF(C500="","",IFERROR(V400,"Unavailable"))</x:f>
      </x:c>
      <x:c r="Y500" s="21" t="str">
        <x:f>IF(C500="","",IF(AQ500&lt;&gt;"Ready","Unavailable",IF(C500="","",U500-W500+V500-X500+N500+AG500)))</x:f>
      </x:c>
      <x:c r="Z500" s="23" t="str">
        <x:f>IF(C500="","",IF(AQ500&lt;&gt;"Ready","Unavailable",IF(C500="","",(G500+O500+L500)/2*INDEX('Facilities'!$T$9:$T$108,MATCH(C500,'Facilities'!$C$9:$C$108,0))+AG500)))</x:f>
      </x:c>
      <x:c r="AA500" s="23" t="str">
        <x:f>IF(C500="","",IF(AQ500&lt;&gt;"Ready","Unavailable",IF(C500="","",O500*(1-IF(INDEX('Facilities'!$AA$9:$AA$108,MATCH(C500,'Facilities'!$C$9:$C$108,0))=0,0,MIN(1,INDEX('Facilities'!$X$9:$X$108,MATCH(C500,'Facilities'!$C$9:$C$108,0))/INDEX('Facilities'!$AA$9:$AA$108,MATCH(C500,'Facilities'!$C$9:$C$108,0)))))*AF500+P500*(1-IF(INDEX('Facilities'!$AA$9:$AA$108,MATCH(C500,'Facilities'!$C$9:$C$108,0))=0,0,MIN(1,INDEX('Facilities'!$X$9:$X$108,MATCH(C500,'Facilities'!$C$9:$C$108,0))/INDEX('Facilities'!$AA$9:$AA$108,MATCH(C500,'Facilities'!$C$9:$C$108,0)))))*INDEX('Facilities'!$AJ$9:$AJ$108,MATCH(C500,'Facilities'!$C$9:$C$108,0))+Q500*INDEX('Facilities'!$AI$9:$AI$108,MATCH(C500,'Facilities'!$C$9:$C$108,0))*AF500)))</x:f>
      </x:c>
      <x:c r="AB500" s="21" t="str">
        <x:f>IF(C500="","",O500+P500-AD500)</x:f>
      </x:c>
      <x:c r="AC500" s="23" t="str">
        <x:f>IF(C500="","",IFERROR(IF(INDEX('Facilities'!$AD$9:$AD$108,MATCH(C500,'Facilities'!$C$9:$C$108,0))=3,0,IF(INDEX('Facilities'!$AN$9:$AN$108,MATCH(C500,'Facilities'!$C$9:$C$108,0))=0,-1,INDEX('Facilities'!$AN$9:$AN$108,MATCH(C500,'Facilities'!$C$9:$C$108,0)))),"Unavailable"))</x:f>
      </x:c>
      <x:c r="AD500" s="21" t="str">
        <x:f>IF(C500="","",IFERROR(G500+H500,"Unavailable"))</x:f>
      </x:c>
      <x:c r="AE500" s="21" t="str">
        <x:f>IF(C500="","",IF(AQ500&lt;&gt;"Ready","Unavailable",IF(C500="","",O500+P500-AD500-J500+K500+M500+N500)))</x:f>
      </x:c>
      <x:c r="AF500" s="30" t="str">
        <x:f>IF(C500="","",IFERROR(INDEX('Facilities'!$S$9:$S$108,MATCH(C500,'Facilities'!$C$9:$C$108,0))*'Scenario Paths'!J75,"Unavailable"))</x:f>
      </x:c>
      <x:c r="AG500" s="23" t="str">
        <x:f>IF(C500="","",IF(AQ500&lt;&gt;"Ready","Unavailable",IF(C500="","",IF(H500&gt;0,MAX(0,H500-AK500)*((1+INDEX('Facilities'!$K$9:$K$108,MATCH(C500,'Facilities'!$C$9:$C$108,0)))^MIN(1,MAX(0,AC500+INDEX('Facilities'!$AK$9:$AK$108,MATCH(C500,'Facilities'!$C$9:$C$108,0))-D500+1))-1),0))))</x:f>
      </x:c>
      <x:c r="AH500" s="21" t="str">
        <x:f>IF(C500="","",IF(AQ500&lt;&gt;"Ready","Unavailable",IF(C500="","",O500+P500)))</x:f>
      </x:c>
      <x:c r="AI500" s="21" t="str">
        <x:f>IF(C500="","",IF(AQ500&lt;&gt;"Ready","Unavailable",IF(C500="","",Z500-Y500)))</x:f>
      </x:c>
      <x:c r="AJ500" s="23" t="str">
        <x:f>IF(C500="","",IFERROR(MAX(0,INDEX('Facilities'!$J$9:$J$108,MATCH(C500,'Facilities'!$C$9:$C$108,0))-D500),"Unavailable"))</x:f>
      </x:c>
      <x:c r="AK500" s="21" t="str">
        <x:f>IF(C500="","",IFERROR(AL400,"Unavailable"))</x:f>
      </x:c>
      <x:c r="AL500" s="23" t="str">
        <x:f>IF(C500="","",IFERROR(IF(P500&gt;0,P500*(1-AM500/(1+INDEX('Facilities'!$K$9:$K$108,MATCH(C500,'Facilities'!$C$9:$C$108,0)))^MAX(0,AC500+INDEX('Facilities'!$AK$9:$AK$108,MATCH(C500,'Facilities'!$C$9:$C$108,0))-D500)),0),"Unavailable"))</x:f>
      </x:c>
      <x:c r="AM500" s="30" t="str">
        <x:f>IF(C500="","",IFERROR(INDEX('Facilities'!$AL$9:$AL$108,MATCH(C500,'Facilities'!$C$9:$C$108,0)),"Unavailable"))</x:f>
      </x:c>
      <x:c r="AN500" s="30" t="str">
        <x:f>IF(C500="","",IFERROR(INDEX(Credit!$T$409:$T$508,MATCH(F500,Credit!$C$409:$C$508,0)),"Unavailable"))</x:f>
      </x:c>
      <x:c r="AO500" s="23" t="str">
        <x:f>IF(C500="","",IF(AQ500&lt;&gt;"Ready","Unavailable",IF(C500="","",O500+P500+Q500*INDEX('Facilities'!$I$9:$I$108,MATCH(C500,'Facilities'!$C$9:$C$108,0)))))</x:f>
      </x:c>
      <x:c r="AP500" s="21" t="str">
        <x:f>IF(C500="","",IF(AQ500&lt;&gt;"Ready","Unavailable",IF(C500="","",AH500-U500)))</x:f>
      </x:c>
      <x:c r="AQ500" s="23" t="str">
        <x:f>IFERROR(IF(C500="","",IF(AND(INDEX('Facilities'!$AF$9:$AF$108,MATCH(C500,'Facilities'!$C$9:$C$108,0))="Ready",INDEX(Credit!$U$409:$U$508,MATCH(F500,Credit!$C$409:$C$508,0))="Ready",ISNUMBER(W500)),"Ready","Review inputs")),"Review inputs")</x:f>
      </x:c>
      <x:c r="AR500" s="23" t="str">
        <x:f>IF(C500="","",IF(AQ500&lt;&gt;"Ready","Unavailable",IF(C500="","",IF(O500=0,0,(IF(AJ500&lt;=1,O500,O500*INDEX('Facilities'!$R$9:$R$108,MATCH(C500,'Facilities'!$C$9:$C$108,0)))+O500*INDEX('Facilities'!$T$9:$T$108,MATCH(C500,'Facilities'!$C$9:$C$108,0)))/12))))</x:f>
      </x:c>
    </x:row>
    <x:row r="501" ht="26" customHeight="1">
      <x:c r="A501" s="1"/>
      <x:c r="B501" s="1"/>
      <x:c r="C501" s="9" t="str">
        <x:f>IF(Facilities!C101="","",Facilities!C101)</x:f>
      </x:c>
      <x:c r="D501" s="3" t="n">
        <x:v>5</x:v>
      </x:c>
      <x:c r="E501" s="9" t="n">
        <x:f>Settings!$F$18+4</x:f>
        <x:v>2031</x:v>
      </x:c>
      <x:c r="F501" s="9" t="str">
        <x:f>IF(C501="","",IFERROR(INDEX('Facilities'!$D$9:$D$108,MATCH(C501,'Facilities'!$C$9:$C$108,0)),"Unavailable"))</x:f>
      </x:c>
      <x:c r="G501" s="21" t="str">
        <x:f>IF(C501="","",IFERROR(O401,"Unavailable"))</x:f>
      </x:c>
      <x:c r="H501" s="21" t="str">
        <x:f>IF(C501="","",IFERROR(P401,"Unavailable"))</x:f>
      </x:c>
      <x:c r="I501" s="21" t="str">
        <x:f>IF(C501="","",IFERROR(Q401,"Unavailable"))</x:f>
      </x:c>
      <x:c r="J501" s="23" t="str">
        <x:f>IF(C501="","",IFERROR(IF(OR(H501&gt;0,AND(AC501&gt;=0,AC501&lt;D501),D501&gt;INDEX('Facilities'!$J$9:$J$108,MATCH(C501,'Facilities'!$C$9:$C$108,0))),0,I501*'Scenario Paths'!J81),"Unavailable"))</x:f>
      </x:c>
      <x:c r="K501" s="23" t="str">
        <x:f>IF(C501="","",IFERROR(IF(OR(H501&gt;0,AND(AC501&gt;=0,AC501=D501)),0,IF(D501&gt;=INDEX('Facilities'!$J$9:$J$108,MATCH(C501,'Facilities'!$C$9:$C$108,0)),G501+J501,MIN(G501+J501,G501*INDEX('Facilities'!$R$9:$R$108,MATCH(C501,'Facilities'!$C$9:$C$108,0))))),"Unavailable"))</x:f>
      </x:c>
      <x:c r="L501" s="21" t="str">
        <x:f>IF(C501="","",IFERROR(IF(AND(AC501=D501,AC501&gt;0),MAX(0,G501+J501-K501),0),"Unavailable"))</x:f>
      </x:c>
      <x:c r="M501" s="23" t="str">
        <x:f>IF(C501="","",IFERROR(IF(AND(AC501&gt;=0,D501&gt;=AC501+INDEX('Facilities'!$AK$9:$AK$108,MATCH(C501,'Facilities'!$C$9:$C$108,0))),(H501+L501)*AM501,0),"Unavailable"))</x:f>
      </x:c>
      <x:c r="N501" s="23" t="str">
        <x:f>IF(C501="","",IFERROR(IF(AND(AC501&gt;=0,D501&gt;=AC501+INDEX('Facilities'!$AK$9:$AK$108,MATCH(C501,'Facilities'!$C$9:$C$108,0))),H501+L501-M501,0),"Unavailable"))</x:f>
      </x:c>
      <x:c r="O501" s="21" t="str">
        <x:f>IF(C501="","",IFERROR(MAX(0,G501+J501-K501-L501),"Unavailable"))</x:f>
      </x:c>
      <x:c r="P501" s="21" t="str">
        <x:f>IF(C501="","",IFERROR(MAX(0,H501+L501-M501-N501),"Unavailable"))</x:f>
      </x:c>
      <x:c r="Q501" s="23" t="str">
        <x:f>IF(C501="","",IFERROR(IF(OR(D501&gt;=INDEX('Facilities'!$J$9:$J$108,MATCH(C501,'Facilities'!$C$9:$C$108,0)),AND(AC501&gt;=0,AC501&lt;=D501)),0,MAX(0,I501-J501)),"Unavailable"))</x:f>
      </x:c>
      <x:c r="R501" s="30" t="str">
        <x:f>IF(C501="","",IFERROR(INDEX(Credit!$Q$409:$Q$508,MATCH(F501,Credit!$C$409:$C$508,0)),"Unavailable"))</x:f>
      </x:c>
      <x:c r="S501" s="30" t="str">
        <x:f>IF(C501="","",IFERROR(INDEX(Credit!$R$409:$R$508,MATCH(F501,Credit!$C$409:$C$508,0)),"Unavailable"))</x:f>
      </x:c>
      <x:c r="T501" s="23" t="str">
        <x:f>IF(C501="","",IFERROR(IF(P501&gt;0,3,IF(OR(INDEX('Facilities'!$AD$9:$AD$108,MATCH(C501,'Facilities'!$C$9:$C$108,0))=2,AND(R501&gt;=INDEX('Facilities'!$L$9:$L$108,MATCH(C501,'Facilities'!$C$9:$C$108,0))*Settings!$F$19,R501-INDEX('Facilities'!$L$9:$L$108,MATCH(C501,'Facilities'!$C$9:$C$108,0))&gt;=Settings!$F$20)),2,1)),"Unavailable"))</x:f>
      </x:c>
      <x:c r="U501" s="23" t="str">
        <x:f>IF(C501="","",IF(AQ501&lt;&gt;"Ready","Unavailable",IF(C501="","",O501*(1-(1-S501)/(1+INDEX('Facilities'!$K$9:$K$108,MATCH(C501,'Facilities'!$C$9:$C$108,0)))^INDEX('Facilities'!$AK$9:$AK$108,MATCH(C501,'Facilities'!$C$9:$C$108,0)))*R501/(1+INDEX('Facilities'!$K$9:$K$108,MATCH(C501,'Facilities'!$C$9:$C$108,0)))*IF(ABS(1-(1-R501)*(1-INDEX('Facilities'!$R$9:$R$108,MATCH(C501,'Facilities'!$C$9:$C$108,0)))/(1+INDEX('Facilities'!$K$9:$K$108,MATCH(C501,'Facilities'!$C$9:$C$108,0))))&lt;0.000000001,IF(T501=1,MIN(1,AJ501),AJ501),(1-((1-R501)*(1-INDEX('Facilities'!$R$9:$R$108,MATCH(C501,'Facilities'!$C$9:$C$108,0)))/(1+INDEX('Facilities'!$K$9:$K$108,MATCH(C501,'Facilities'!$C$9:$C$108,0))))^IF(T501=1,MIN(1,AJ501),AJ501))/(1-(1-R501)*(1-INDEX('Facilities'!$R$9:$R$108,MATCH(C501,'Facilities'!$C$9:$C$108,0)))/(1+INDEX('Facilities'!$K$9:$K$108,MATCH(C501,'Facilities'!$C$9:$C$108,0)))))+AL501)))</x:f>
      </x:c>
      <x:c r="V501" s="23" t="str">
        <x:f>IF(C501="","",IF(AQ501&lt;&gt;"Ready","Unavailable",IF(C501="","",Q501*INDEX('Facilities'!$I$9:$I$108,MATCH(C501,'Facilities'!$C$9:$C$108,0))*(1-(1-S501)/(1+INDEX('Facilities'!$K$9:$K$108,MATCH(C501,'Facilities'!$C$9:$C$108,0)))^INDEX('Facilities'!$AK$9:$AK$108,MATCH(C501,'Facilities'!$C$9:$C$108,0)))*R501/(1+INDEX('Facilities'!$K$9:$K$108,MATCH(C501,'Facilities'!$C$9:$C$108,0)))*IF(ABS(1-(1-R501)*(1-0)/(1+INDEX('Facilities'!$K$9:$K$108,MATCH(C501,'Facilities'!$C$9:$C$108,0))))&lt;0.000000001,IF(T501=1,MIN(1,AJ501),AJ501),(1-((1-R501)*(1-0)/(1+INDEX('Facilities'!$K$9:$K$108,MATCH(C501,'Facilities'!$C$9:$C$108,0))))^IF(T501=1,MIN(1,AJ501),AJ501))/(1-(1-R501)*(1-0)/(1+INDEX('Facilities'!$K$9:$K$108,MATCH(C501,'Facilities'!$C$9:$C$108,0))))))))</x:f>
      </x:c>
      <x:c r="W501" s="21" t="str">
        <x:f>IF(C501="","",IFERROR(U401,"Unavailable"))</x:f>
      </x:c>
      <x:c r="X501" s="21" t="str">
        <x:f>IF(C501="","",IFERROR(V401,"Unavailable"))</x:f>
      </x:c>
      <x:c r="Y501" s="21" t="str">
        <x:f>IF(C501="","",IF(AQ501&lt;&gt;"Ready","Unavailable",IF(C501="","",U501-W501+V501-X501+N501+AG501)))</x:f>
      </x:c>
      <x:c r="Z501" s="23" t="str">
        <x:f>IF(C501="","",IF(AQ501&lt;&gt;"Ready","Unavailable",IF(C501="","",(G501+O501+L501)/2*INDEX('Facilities'!$T$9:$T$108,MATCH(C501,'Facilities'!$C$9:$C$108,0))+AG501)))</x:f>
      </x:c>
      <x:c r="AA501" s="23" t="str">
        <x:f>IF(C501="","",IF(AQ501&lt;&gt;"Ready","Unavailable",IF(C501="","",O501*(1-IF(INDEX('Facilities'!$AA$9:$AA$108,MATCH(C501,'Facilities'!$C$9:$C$108,0))=0,0,MIN(1,INDEX('Facilities'!$X$9:$X$108,MATCH(C501,'Facilities'!$C$9:$C$108,0))/INDEX('Facilities'!$AA$9:$AA$108,MATCH(C501,'Facilities'!$C$9:$C$108,0)))))*AF501+P501*(1-IF(INDEX('Facilities'!$AA$9:$AA$108,MATCH(C501,'Facilities'!$C$9:$C$108,0))=0,0,MIN(1,INDEX('Facilities'!$X$9:$X$108,MATCH(C501,'Facilities'!$C$9:$C$108,0))/INDEX('Facilities'!$AA$9:$AA$108,MATCH(C501,'Facilities'!$C$9:$C$108,0)))))*INDEX('Facilities'!$AJ$9:$AJ$108,MATCH(C501,'Facilities'!$C$9:$C$108,0))+Q501*INDEX('Facilities'!$AI$9:$AI$108,MATCH(C501,'Facilities'!$C$9:$C$108,0))*AF501)))</x:f>
      </x:c>
      <x:c r="AB501" s="21" t="str">
        <x:f>IF(C501="","",O501+P501-AD501)</x:f>
      </x:c>
      <x:c r="AC501" s="23" t="str">
        <x:f>IF(C501="","",IFERROR(IF(INDEX('Facilities'!$AD$9:$AD$108,MATCH(C501,'Facilities'!$C$9:$C$108,0))=3,0,IF(INDEX('Facilities'!$AN$9:$AN$108,MATCH(C501,'Facilities'!$C$9:$C$108,0))=0,-1,INDEX('Facilities'!$AN$9:$AN$108,MATCH(C501,'Facilities'!$C$9:$C$108,0)))),"Unavailable"))</x:f>
      </x:c>
      <x:c r="AD501" s="21" t="str">
        <x:f>IF(C501="","",IFERROR(G501+H501,"Unavailable"))</x:f>
      </x:c>
      <x:c r="AE501" s="21" t="str">
        <x:f>IF(C501="","",IF(AQ501&lt;&gt;"Ready","Unavailable",IF(C501="","",O501+P501-AD501-J501+K501+M501+N501)))</x:f>
      </x:c>
      <x:c r="AF501" s="30" t="str">
        <x:f>IF(C501="","",IFERROR(INDEX('Facilities'!$S$9:$S$108,MATCH(C501,'Facilities'!$C$9:$C$108,0))*'Scenario Paths'!J75,"Unavailable"))</x:f>
      </x:c>
      <x:c r="AG501" s="23" t="str">
        <x:f>IF(C501="","",IF(AQ501&lt;&gt;"Ready","Unavailable",IF(C501="","",IF(H501&gt;0,MAX(0,H501-AK501)*((1+INDEX('Facilities'!$K$9:$K$108,MATCH(C501,'Facilities'!$C$9:$C$108,0)))^MIN(1,MAX(0,AC501+INDEX('Facilities'!$AK$9:$AK$108,MATCH(C501,'Facilities'!$C$9:$C$108,0))-D501+1))-1),0))))</x:f>
      </x:c>
      <x:c r="AH501" s="21" t="str">
        <x:f>IF(C501="","",IF(AQ501&lt;&gt;"Ready","Unavailable",IF(C501="","",O501+P501)))</x:f>
      </x:c>
      <x:c r="AI501" s="21" t="str">
        <x:f>IF(C501="","",IF(AQ501&lt;&gt;"Ready","Unavailable",IF(C501="","",Z501-Y501)))</x:f>
      </x:c>
      <x:c r="AJ501" s="23" t="str">
        <x:f>IF(C501="","",IFERROR(MAX(0,INDEX('Facilities'!$J$9:$J$108,MATCH(C501,'Facilities'!$C$9:$C$108,0))-D501),"Unavailable"))</x:f>
      </x:c>
      <x:c r="AK501" s="21" t="str">
        <x:f>IF(C501="","",IFERROR(AL401,"Unavailable"))</x:f>
      </x:c>
      <x:c r="AL501" s="23" t="str">
        <x:f>IF(C501="","",IFERROR(IF(P501&gt;0,P501*(1-AM501/(1+INDEX('Facilities'!$K$9:$K$108,MATCH(C501,'Facilities'!$C$9:$C$108,0)))^MAX(0,AC501+INDEX('Facilities'!$AK$9:$AK$108,MATCH(C501,'Facilities'!$C$9:$C$108,0))-D501)),0),"Unavailable"))</x:f>
      </x:c>
      <x:c r="AM501" s="30" t="str">
        <x:f>IF(C501="","",IFERROR(INDEX('Facilities'!$AL$9:$AL$108,MATCH(C501,'Facilities'!$C$9:$C$108,0)),"Unavailable"))</x:f>
      </x:c>
      <x:c r="AN501" s="30" t="str">
        <x:f>IF(C501="","",IFERROR(INDEX(Credit!$T$409:$T$508,MATCH(F501,Credit!$C$409:$C$508,0)),"Unavailable"))</x:f>
      </x:c>
      <x:c r="AO501" s="23" t="str">
        <x:f>IF(C501="","",IF(AQ501&lt;&gt;"Ready","Unavailable",IF(C501="","",O501+P501+Q501*INDEX('Facilities'!$I$9:$I$108,MATCH(C501,'Facilities'!$C$9:$C$108,0)))))</x:f>
      </x:c>
      <x:c r="AP501" s="21" t="str">
        <x:f>IF(C501="","",IF(AQ501&lt;&gt;"Ready","Unavailable",IF(C501="","",AH501-U501)))</x:f>
      </x:c>
      <x:c r="AQ501" s="23" t="str">
        <x:f>IFERROR(IF(C501="","",IF(AND(INDEX('Facilities'!$AF$9:$AF$108,MATCH(C501,'Facilities'!$C$9:$C$108,0))="Ready",INDEX(Credit!$U$409:$U$508,MATCH(F501,Credit!$C$409:$C$508,0))="Ready",ISNUMBER(W501)),"Ready","Review inputs")),"Review inputs")</x:f>
      </x:c>
      <x:c r="AR501" s="23" t="str">
        <x:f>IF(C501="","",IF(AQ501&lt;&gt;"Ready","Unavailable",IF(C501="","",IF(O501=0,0,(IF(AJ501&lt;=1,O501,O501*INDEX('Facilities'!$R$9:$R$108,MATCH(C501,'Facilities'!$C$9:$C$108,0)))+O501*INDEX('Facilities'!$T$9:$T$108,MATCH(C501,'Facilities'!$C$9:$C$108,0)))/12))))</x:f>
      </x:c>
    </x:row>
    <x:row r="502" ht="26" customHeight="1">
      <x:c r="A502" s="1"/>
      <x:c r="B502" s="1"/>
      <x:c r="C502" s="9" t="str">
        <x:f>IF(Facilities!C102="","",Facilities!C102)</x:f>
      </x:c>
      <x:c r="D502" s="3" t="n">
        <x:v>5</x:v>
      </x:c>
      <x:c r="E502" s="9" t="n">
        <x:f>Settings!$F$18+4</x:f>
        <x:v>2031</x:v>
      </x:c>
      <x:c r="F502" s="9" t="str">
        <x:f>IF(C502="","",IFERROR(INDEX('Facilities'!$D$9:$D$108,MATCH(C502,'Facilities'!$C$9:$C$108,0)),"Unavailable"))</x:f>
      </x:c>
      <x:c r="G502" s="21" t="str">
        <x:f>IF(C502="","",IFERROR(O402,"Unavailable"))</x:f>
      </x:c>
      <x:c r="H502" s="21" t="str">
        <x:f>IF(C502="","",IFERROR(P402,"Unavailable"))</x:f>
      </x:c>
      <x:c r="I502" s="21" t="str">
        <x:f>IF(C502="","",IFERROR(Q402,"Unavailable"))</x:f>
      </x:c>
      <x:c r="J502" s="23" t="str">
        <x:f>IF(C502="","",IFERROR(IF(OR(H502&gt;0,AND(AC502&gt;=0,AC502&lt;D502),D502&gt;INDEX('Facilities'!$J$9:$J$108,MATCH(C502,'Facilities'!$C$9:$C$108,0))),0,I502*'Scenario Paths'!J81),"Unavailable"))</x:f>
      </x:c>
      <x:c r="K502" s="23" t="str">
        <x:f>IF(C502="","",IFERROR(IF(OR(H502&gt;0,AND(AC502&gt;=0,AC502=D502)),0,IF(D502&gt;=INDEX('Facilities'!$J$9:$J$108,MATCH(C502,'Facilities'!$C$9:$C$108,0)),G502+J502,MIN(G502+J502,G502*INDEX('Facilities'!$R$9:$R$108,MATCH(C502,'Facilities'!$C$9:$C$108,0))))),"Unavailable"))</x:f>
      </x:c>
      <x:c r="L502" s="21" t="str">
        <x:f>IF(C502="","",IFERROR(IF(AND(AC502=D502,AC502&gt;0),MAX(0,G502+J502-K502),0),"Unavailable"))</x:f>
      </x:c>
      <x:c r="M502" s="23" t="str">
        <x:f>IF(C502="","",IFERROR(IF(AND(AC502&gt;=0,D502&gt;=AC502+INDEX('Facilities'!$AK$9:$AK$108,MATCH(C502,'Facilities'!$C$9:$C$108,0))),(H502+L502)*AM502,0),"Unavailable"))</x:f>
      </x:c>
      <x:c r="N502" s="23" t="str">
        <x:f>IF(C502="","",IFERROR(IF(AND(AC502&gt;=0,D502&gt;=AC502+INDEX('Facilities'!$AK$9:$AK$108,MATCH(C502,'Facilities'!$C$9:$C$108,0))),H502+L502-M502,0),"Unavailable"))</x:f>
      </x:c>
      <x:c r="O502" s="21" t="str">
        <x:f>IF(C502="","",IFERROR(MAX(0,G502+J502-K502-L502),"Unavailable"))</x:f>
      </x:c>
      <x:c r="P502" s="21" t="str">
        <x:f>IF(C502="","",IFERROR(MAX(0,H502+L502-M502-N502),"Unavailable"))</x:f>
      </x:c>
      <x:c r="Q502" s="23" t="str">
        <x:f>IF(C502="","",IFERROR(IF(OR(D502&gt;=INDEX('Facilities'!$J$9:$J$108,MATCH(C502,'Facilities'!$C$9:$C$108,0)),AND(AC502&gt;=0,AC502&lt;=D502)),0,MAX(0,I502-J502)),"Unavailable"))</x:f>
      </x:c>
      <x:c r="R502" s="30" t="str">
        <x:f>IF(C502="","",IFERROR(INDEX(Credit!$Q$409:$Q$508,MATCH(F502,Credit!$C$409:$C$508,0)),"Unavailable"))</x:f>
      </x:c>
      <x:c r="S502" s="30" t="str">
        <x:f>IF(C502="","",IFERROR(INDEX(Credit!$R$409:$R$508,MATCH(F502,Credit!$C$409:$C$508,0)),"Unavailable"))</x:f>
      </x:c>
      <x:c r="T502" s="23" t="str">
        <x:f>IF(C502="","",IFERROR(IF(P502&gt;0,3,IF(OR(INDEX('Facilities'!$AD$9:$AD$108,MATCH(C502,'Facilities'!$C$9:$C$108,0))=2,AND(R502&gt;=INDEX('Facilities'!$L$9:$L$108,MATCH(C502,'Facilities'!$C$9:$C$108,0))*Settings!$F$19,R502-INDEX('Facilities'!$L$9:$L$108,MATCH(C502,'Facilities'!$C$9:$C$108,0))&gt;=Settings!$F$20)),2,1)),"Unavailable"))</x:f>
      </x:c>
      <x:c r="U502" s="23" t="str">
        <x:f>IF(C502="","",IF(AQ502&lt;&gt;"Ready","Unavailable",IF(C502="","",O502*(1-(1-S502)/(1+INDEX('Facilities'!$K$9:$K$108,MATCH(C502,'Facilities'!$C$9:$C$108,0)))^INDEX('Facilities'!$AK$9:$AK$108,MATCH(C502,'Facilities'!$C$9:$C$108,0)))*R502/(1+INDEX('Facilities'!$K$9:$K$108,MATCH(C502,'Facilities'!$C$9:$C$108,0)))*IF(ABS(1-(1-R502)*(1-INDEX('Facilities'!$R$9:$R$108,MATCH(C502,'Facilities'!$C$9:$C$108,0)))/(1+INDEX('Facilities'!$K$9:$K$108,MATCH(C502,'Facilities'!$C$9:$C$108,0))))&lt;0.000000001,IF(T502=1,MIN(1,AJ502),AJ502),(1-((1-R502)*(1-INDEX('Facilities'!$R$9:$R$108,MATCH(C502,'Facilities'!$C$9:$C$108,0)))/(1+INDEX('Facilities'!$K$9:$K$108,MATCH(C502,'Facilities'!$C$9:$C$108,0))))^IF(T502=1,MIN(1,AJ502),AJ502))/(1-(1-R502)*(1-INDEX('Facilities'!$R$9:$R$108,MATCH(C502,'Facilities'!$C$9:$C$108,0)))/(1+INDEX('Facilities'!$K$9:$K$108,MATCH(C502,'Facilities'!$C$9:$C$108,0)))))+AL502)))</x:f>
      </x:c>
      <x:c r="V502" s="23" t="str">
        <x:f>IF(C502="","",IF(AQ502&lt;&gt;"Ready","Unavailable",IF(C502="","",Q502*INDEX('Facilities'!$I$9:$I$108,MATCH(C502,'Facilities'!$C$9:$C$108,0))*(1-(1-S502)/(1+INDEX('Facilities'!$K$9:$K$108,MATCH(C502,'Facilities'!$C$9:$C$108,0)))^INDEX('Facilities'!$AK$9:$AK$108,MATCH(C502,'Facilities'!$C$9:$C$108,0)))*R502/(1+INDEX('Facilities'!$K$9:$K$108,MATCH(C502,'Facilities'!$C$9:$C$108,0)))*IF(ABS(1-(1-R502)*(1-0)/(1+INDEX('Facilities'!$K$9:$K$108,MATCH(C502,'Facilities'!$C$9:$C$108,0))))&lt;0.000000001,IF(T502=1,MIN(1,AJ502),AJ502),(1-((1-R502)*(1-0)/(1+INDEX('Facilities'!$K$9:$K$108,MATCH(C502,'Facilities'!$C$9:$C$108,0))))^IF(T502=1,MIN(1,AJ502),AJ502))/(1-(1-R502)*(1-0)/(1+INDEX('Facilities'!$K$9:$K$108,MATCH(C502,'Facilities'!$C$9:$C$108,0))))))))</x:f>
      </x:c>
      <x:c r="W502" s="21" t="str">
        <x:f>IF(C502="","",IFERROR(U402,"Unavailable"))</x:f>
      </x:c>
      <x:c r="X502" s="21" t="str">
        <x:f>IF(C502="","",IFERROR(V402,"Unavailable"))</x:f>
      </x:c>
      <x:c r="Y502" s="21" t="str">
        <x:f>IF(C502="","",IF(AQ502&lt;&gt;"Ready","Unavailable",IF(C502="","",U502-W502+V502-X502+N502+AG502)))</x:f>
      </x:c>
      <x:c r="Z502" s="23" t="str">
        <x:f>IF(C502="","",IF(AQ502&lt;&gt;"Ready","Unavailable",IF(C502="","",(G502+O502+L502)/2*INDEX('Facilities'!$T$9:$T$108,MATCH(C502,'Facilities'!$C$9:$C$108,0))+AG502)))</x:f>
      </x:c>
      <x:c r="AA502" s="23" t="str">
        <x:f>IF(C502="","",IF(AQ502&lt;&gt;"Ready","Unavailable",IF(C502="","",O502*(1-IF(INDEX('Facilities'!$AA$9:$AA$108,MATCH(C502,'Facilities'!$C$9:$C$108,0))=0,0,MIN(1,INDEX('Facilities'!$X$9:$X$108,MATCH(C502,'Facilities'!$C$9:$C$108,0))/INDEX('Facilities'!$AA$9:$AA$108,MATCH(C502,'Facilities'!$C$9:$C$108,0)))))*AF502+P502*(1-IF(INDEX('Facilities'!$AA$9:$AA$108,MATCH(C502,'Facilities'!$C$9:$C$108,0))=0,0,MIN(1,INDEX('Facilities'!$X$9:$X$108,MATCH(C502,'Facilities'!$C$9:$C$108,0))/INDEX('Facilities'!$AA$9:$AA$108,MATCH(C502,'Facilities'!$C$9:$C$108,0)))))*INDEX('Facilities'!$AJ$9:$AJ$108,MATCH(C502,'Facilities'!$C$9:$C$108,0))+Q502*INDEX('Facilities'!$AI$9:$AI$108,MATCH(C502,'Facilities'!$C$9:$C$108,0))*AF502)))</x:f>
      </x:c>
      <x:c r="AB502" s="21" t="str">
        <x:f>IF(C502="","",O502+P502-AD502)</x:f>
      </x:c>
      <x:c r="AC502" s="23" t="str">
        <x:f>IF(C502="","",IFERROR(IF(INDEX('Facilities'!$AD$9:$AD$108,MATCH(C502,'Facilities'!$C$9:$C$108,0))=3,0,IF(INDEX('Facilities'!$AN$9:$AN$108,MATCH(C502,'Facilities'!$C$9:$C$108,0))=0,-1,INDEX('Facilities'!$AN$9:$AN$108,MATCH(C502,'Facilities'!$C$9:$C$108,0)))),"Unavailable"))</x:f>
      </x:c>
      <x:c r="AD502" s="21" t="str">
        <x:f>IF(C502="","",IFERROR(G502+H502,"Unavailable"))</x:f>
      </x:c>
      <x:c r="AE502" s="21" t="str">
        <x:f>IF(C502="","",IF(AQ502&lt;&gt;"Ready","Unavailable",IF(C502="","",O502+P502-AD502-J502+K502+M502+N502)))</x:f>
      </x:c>
      <x:c r="AF502" s="30" t="str">
        <x:f>IF(C502="","",IFERROR(INDEX('Facilities'!$S$9:$S$108,MATCH(C502,'Facilities'!$C$9:$C$108,0))*'Scenario Paths'!J75,"Unavailable"))</x:f>
      </x:c>
      <x:c r="AG502" s="23" t="str">
        <x:f>IF(C502="","",IF(AQ502&lt;&gt;"Ready","Unavailable",IF(C502="","",IF(H502&gt;0,MAX(0,H502-AK502)*((1+INDEX('Facilities'!$K$9:$K$108,MATCH(C502,'Facilities'!$C$9:$C$108,0)))^MIN(1,MAX(0,AC502+INDEX('Facilities'!$AK$9:$AK$108,MATCH(C502,'Facilities'!$C$9:$C$108,0))-D502+1))-1),0))))</x:f>
      </x:c>
      <x:c r="AH502" s="21" t="str">
        <x:f>IF(C502="","",IF(AQ502&lt;&gt;"Ready","Unavailable",IF(C502="","",O502+P502)))</x:f>
      </x:c>
      <x:c r="AI502" s="21" t="str">
        <x:f>IF(C502="","",IF(AQ502&lt;&gt;"Ready","Unavailable",IF(C502="","",Z502-Y502)))</x:f>
      </x:c>
      <x:c r="AJ502" s="23" t="str">
        <x:f>IF(C502="","",IFERROR(MAX(0,INDEX('Facilities'!$J$9:$J$108,MATCH(C502,'Facilities'!$C$9:$C$108,0))-D502),"Unavailable"))</x:f>
      </x:c>
      <x:c r="AK502" s="21" t="str">
        <x:f>IF(C502="","",IFERROR(AL402,"Unavailable"))</x:f>
      </x:c>
      <x:c r="AL502" s="23" t="str">
        <x:f>IF(C502="","",IFERROR(IF(P502&gt;0,P502*(1-AM502/(1+INDEX('Facilities'!$K$9:$K$108,MATCH(C502,'Facilities'!$C$9:$C$108,0)))^MAX(0,AC502+INDEX('Facilities'!$AK$9:$AK$108,MATCH(C502,'Facilities'!$C$9:$C$108,0))-D502)),0),"Unavailable"))</x:f>
      </x:c>
      <x:c r="AM502" s="30" t="str">
        <x:f>IF(C502="","",IFERROR(INDEX('Facilities'!$AL$9:$AL$108,MATCH(C502,'Facilities'!$C$9:$C$108,0)),"Unavailable"))</x:f>
      </x:c>
      <x:c r="AN502" s="30" t="str">
        <x:f>IF(C502="","",IFERROR(INDEX(Credit!$T$409:$T$508,MATCH(F502,Credit!$C$409:$C$508,0)),"Unavailable"))</x:f>
      </x:c>
      <x:c r="AO502" s="23" t="str">
        <x:f>IF(C502="","",IF(AQ502&lt;&gt;"Ready","Unavailable",IF(C502="","",O502+P502+Q502*INDEX('Facilities'!$I$9:$I$108,MATCH(C502,'Facilities'!$C$9:$C$108,0)))))</x:f>
      </x:c>
      <x:c r="AP502" s="21" t="str">
        <x:f>IF(C502="","",IF(AQ502&lt;&gt;"Ready","Unavailable",IF(C502="","",AH502-U502)))</x:f>
      </x:c>
      <x:c r="AQ502" s="23" t="str">
        <x:f>IFERROR(IF(C502="","",IF(AND(INDEX('Facilities'!$AF$9:$AF$108,MATCH(C502,'Facilities'!$C$9:$C$108,0))="Ready",INDEX(Credit!$U$409:$U$508,MATCH(F502,Credit!$C$409:$C$508,0))="Ready",ISNUMBER(W502)),"Ready","Review inputs")),"Review inputs")</x:f>
      </x:c>
      <x:c r="AR502" s="23" t="str">
        <x:f>IF(C502="","",IF(AQ502&lt;&gt;"Ready","Unavailable",IF(C502="","",IF(O502=0,0,(IF(AJ502&lt;=1,O502,O502*INDEX('Facilities'!$R$9:$R$108,MATCH(C502,'Facilities'!$C$9:$C$108,0)))+O502*INDEX('Facilities'!$T$9:$T$108,MATCH(C502,'Facilities'!$C$9:$C$108,0)))/12))))</x:f>
      </x:c>
    </x:row>
    <x:row r="503" ht="26" customHeight="1">
      <x:c r="A503" s="1"/>
      <x:c r="B503" s="1"/>
      <x:c r="C503" s="9" t="str">
        <x:f>IF(Facilities!C103="","",Facilities!C103)</x:f>
      </x:c>
      <x:c r="D503" s="3" t="n">
        <x:v>5</x:v>
      </x:c>
      <x:c r="E503" s="9" t="n">
        <x:f>Settings!$F$18+4</x:f>
        <x:v>2031</x:v>
      </x:c>
      <x:c r="F503" s="9" t="str">
        <x:f>IF(C503="","",IFERROR(INDEX('Facilities'!$D$9:$D$108,MATCH(C503,'Facilities'!$C$9:$C$108,0)),"Unavailable"))</x:f>
      </x:c>
      <x:c r="G503" s="21" t="str">
        <x:f>IF(C503="","",IFERROR(O403,"Unavailable"))</x:f>
      </x:c>
      <x:c r="H503" s="21" t="str">
        <x:f>IF(C503="","",IFERROR(P403,"Unavailable"))</x:f>
      </x:c>
      <x:c r="I503" s="21" t="str">
        <x:f>IF(C503="","",IFERROR(Q403,"Unavailable"))</x:f>
      </x:c>
      <x:c r="J503" s="23" t="str">
        <x:f>IF(C503="","",IFERROR(IF(OR(H503&gt;0,AND(AC503&gt;=0,AC503&lt;D503),D503&gt;INDEX('Facilities'!$J$9:$J$108,MATCH(C503,'Facilities'!$C$9:$C$108,0))),0,I503*'Scenario Paths'!J81),"Unavailable"))</x:f>
      </x:c>
      <x:c r="K503" s="23" t="str">
        <x:f>IF(C503="","",IFERROR(IF(OR(H503&gt;0,AND(AC503&gt;=0,AC503=D503)),0,IF(D503&gt;=INDEX('Facilities'!$J$9:$J$108,MATCH(C503,'Facilities'!$C$9:$C$108,0)),G503+J503,MIN(G503+J503,G503*INDEX('Facilities'!$R$9:$R$108,MATCH(C503,'Facilities'!$C$9:$C$108,0))))),"Unavailable"))</x:f>
      </x:c>
      <x:c r="L503" s="21" t="str">
        <x:f>IF(C503="","",IFERROR(IF(AND(AC503=D503,AC503&gt;0),MAX(0,G503+J503-K503),0),"Unavailable"))</x:f>
      </x:c>
      <x:c r="M503" s="23" t="str">
        <x:f>IF(C503="","",IFERROR(IF(AND(AC503&gt;=0,D503&gt;=AC503+INDEX('Facilities'!$AK$9:$AK$108,MATCH(C503,'Facilities'!$C$9:$C$108,0))),(H503+L503)*AM503,0),"Unavailable"))</x:f>
      </x:c>
      <x:c r="N503" s="23" t="str">
        <x:f>IF(C503="","",IFERROR(IF(AND(AC503&gt;=0,D503&gt;=AC503+INDEX('Facilities'!$AK$9:$AK$108,MATCH(C503,'Facilities'!$C$9:$C$108,0))),H503+L503-M503,0),"Unavailable"))</x:f>
      </x:c>
      <x:c r="O503" s="21" t="str">
        <x:f>IF(C503="","",IFERROR(MAX(0,G503+J503-K503-L503),"Unavailable"))</x:f>
      </x:c>
      <x:c r="P503" s="21" t="str">
        <x:f>IF(C503="","",IFERROR(MAX(0,H503+L503-M503-N503),"Unavailable"))</x:f>
      </x:c>
      <x:c r="Q503" s="23" t="str">
        <x:f>IF(C503="","",IFERROR(IF(OR(D503&gt;=INDEX('Facilities'!$J$9:$J$108,MATCH(C503,'Facilities'!$C$9:$C$108,0)),AND(AC503&gt;=0,AC503&lt;=D503)),0,MAX(0,I503-J503)),"Unavailable"))</x:f>
      </x:c>
      <x:c r="R503" s="30" t="str">
        <x:f>IF(C503="","",IFERROR(INDEX(Credit!$Q$409:$Q$508,MATCH(F503,Credit!$C$409:$C$508,0)),"Unavailable"))</x:f>
      </x:c>
      <x:c r="S503" s="30" t="str">
        <x:f>IF(C503="","",IFERROR(INDEX(Credit!$R$409:$R$508,MATCH(F503,Credit!$C$409:$C$508,0)),"Unavailable"))</x:f>
      </x:c>
      <x:c r="T503" s="23" t="str">
        <x:f>IF(C503="","",IFERROR(IF(P503&gt;0,3,IF(OR(INDEX('Facilities'!$AD$9:$AD$108,MATCH(C503,'Facilities'!$C$9:$C$108,0))=2,AND(R503&gt;=INDEX('Facilities'!$L$9:$L$108,MATCH(C503,'Facilities'!$C$9:$C$108,0))*Settings!$F$19,R503-INDEX('Facilities'!$L$9:$L$108,MATCH(C503,'Facilities'!$C$9:$C$108,0))&gt;=Settings!$F$20)),2,1)),"Unavailable"))</x:f>
      </x:c>
      <x:c r="U503" s="23" t="str">
        <x:f>IF(C503="","",IF(AQ503&lt;&gt;"Ready","Unavailable",IF(C503="","",O503*(1-(1-S503)/(1+INDEX('Facilities'!$K$9:$K$108,MATCH(C503,'Facilities'!$C$9:$C$108,0)))^INDEX('Facilities'!$AK$9:$AK$108,MATCH(C503,'Facilities'!$C$9:$C$108,0)))*R503/(1+INDEX('Facilities'!$K$9:$K$108,MATCH(C503,'Facilities'!$C$9:$C$108,0)))*IF(ABS(1-(1-R503)*(1-INDEX('Facilities'!$R$9:$R$108,MATCH(C503,'Facilities'!$C$9:$C$108,0)))/(1+INDEX('Facilities'!$K$9:$K$108,MATCH(C503,'Facilities'!$C$9:$C$108,0))))&lt;0.000000001,IF(T503=1,MIN(1,AJ503),AJ503),(1-((1-R503)*(1-INDEX('Facilities'!$R$9:$R$108,MATCH(C503,'Facilities'!$C$9:$C$108,0)))/(1+INDEX('Facilities'!$K$9:$K$108,MATCH(C503,'Facilities'!$C$9:$C$108,0))))^IF(T503=1,MIN(1,AJ503),AJ503))/(1-(1-R503)*(1-INDEX('Facilities'!$R$9:$R$108,MATCH(C503,'Facilities'!$C$9:$C$108,0)))/(1+INDEX('Facilities'!$K$9:$K$108,MATCH(C503,'Facilities'!$C$9:$C$108,0)))))+AL503)))</x:f>
      </x:c>
      <x:c r="V503" s="23" t="str">
        <x:f>IF(C503="","",IF(AQ503&lt;&gt;"Ready","Unavailable",IF(C503="","",Q503*INDEX('Facilities'!$I$9:$I$108,MATCH(C503,'Facilities'!$C$9:$C$108,0))*(1-(1-S503)/(1+INDEX('Facilities'!$K$9:$K$108,MATCH(C503,'Facilities'!$C$9:$C$108,0)))^INDEX('Facilities'!$AK$9:$AK$108,MATCH(C503,'Facilities'!$C$9:$C$108,0)))*R503/(1+INDEX('Facilities'!$K$9:$K$108,MATCH(C503,'Facilities'!$C$9:$C$108,0)))*IF(ABS(1-(1-R503)*(1-0)/(1+INDEX('Facilities'!$K$9:$K$108,MATCH(C503,'Facilities'!$C$9:$C$108,0))))&lt;0.000000001,IF(T503=1,MIN(1,AJ503),AJ503),(1-((1-R503)*(1-0)/(1+INDEX('Facilities'!$K$9:$K$108,MATCH(C503,'Facilities'!$C$9:$C$108,0))))^IF(T503=1,MIN(1,AJ503),AJ503))/(1-(1-R503)*(1-0)/(1+INDEX('Facilities'!$K$9:$K$108,MATCH(C503,'Facilities'!$C$9:$C$108,0))))))))</x:f>
      </x:c>
      <x:c r="W503" s="21" t="str">
        <x:f>IF(C503="","",IFERROR(U403,"Unavailable"))</x:f>
      </x:c>
      <x:c r="X503" s="21" t="str">
        <x:f>IF(C503="","",IFERROR(V403,"Unavailable"))</x:f>
      </x:c>
      <x:c r="Y503" s="21" t="str">
        <x:f>IF(C503="","",IF(AQ503&lt;&gt;"Ready","Unavailable",IF(C503="","",U503-W503+V503-X503+N503+AG503)))</x:f>
      </x:c>
      <x:c r="Z503" s="23" t="str">
        <x:f>IF(C503="","",IF(AQ503&lt;&gt;"Ready","Unavailable",IF(C503="","",(G503+O503+L503)/2*INDEX('Facilities'!$T$9:$T$108,MATCH(C503,'Facilities'!$C$9:$C$108,0))+AG503)))</x:f>
      </x:c>
      <x:c r="AA503" s="23" t="str">
        <x:f>IF(C503="","",IF(AQ503&lt;&gt;"Ready","Unavailable",IF(C503="","",O503*(1-IF(INDEX('Facilities'!$AA$9:$AA$108,MATCH(C503,'Facilities'!$C$9:$C$108,0))=0,0,MIN(1,INDEX('Facilities'!$X$9:$X$108,MATCH(C503,'Facilities'!$C$9:$C$108,0))/INDEX('Facilities'!$AA$9:$AA$108,MATCH(C503,'Facilities'!$C$9:$C$108,0)))))*AF503+P503*(1-IF(INDEX('Facilities'!$AA$9:$AA$108,MATCH(C503,'Facilities'!$C$9:$C$108,0))=0,0,MIN(1,INDEX('Facilities'!$X$9:$X$108,MATCH(C503,'Facilities'!$C$9:$C$108,0))/INDEX('Facilities'!$AA$9:$AA$108,MATCH(C503,'Facilities'!$C$9:$C$108,0)))))*INDEX('Facilities'!$AJ$9:$AJ$108,MATCH(C503,'Facilities'!$C$9:$C$108,0))+Q503*INDEX('Facilities'!$AI$9:$AI$108,MATCH(C503,'Facilities'!$C$9:$C$108,0))*AF503)))</x:f>
      </x:c>
      <x:c r="AB503" s="21" t="str">
        <x:f>IF(C503="","",O503+P503-AD503)</x:f>
      </x:c>
      <x:c r="AC503" s="23" t="str">
        <x:f>IF(C503="","",IFERROR(IF(INDEX('Facilities'!$AD$9:$AD$108,MATCH(C503,'Facilities'!$C$9:$C$108,0))=3,0,IF(INDEX('Facilities'!$AN$9:$AN$108,MATCH(C503,'Facilities'!$C$9:$C$108,0))=0,-1,INDEX('Facilities'!$AN$9:$AN$108,MATCH(C503,'Facilities'!$C$9:$C$108,0)))),"Unavailable"))</x:f>
      </x:c>
      <x:c r="AD503" s="21" t="str">
        <x:f>IF(C503="","",IFERROR(G503+H503,"Unavailable"))</x:f>
      </x:c>
      <x:c r="AE503" s="21" t="str">
        <x:f>IF(C503="","",IF(AQ503&lt;&gt;"Ready","Unavailable",IF(C503="","",O503+P503-AD503-J503+K503+M503+N503)))</x:f>
      </x:c>
      <x:c r="AF503" s="30" t="str">
        <x:f>IF(C503="","",IFERROR(INDEX('Facilities'!$S$9:$S$108,MATCH(C503,'Facilities'!$C$9:$C$108,0))*'Scenario Paths'!J75,"Unavailable"))</x:f>
      </x:c>
      <x:c r="AG503" s="23" t="str">
        <x:f>IF(C503="","",IF(AQ503&lt;&gt;"Ready","Unavailable",IF(C503="","",IF(H503&gt;0,MAX(0,H503-AK503)*((1+INDEX('Facilities'!$K$9:$K$108,MATCH(C503,'Facilities'!$C$9:$C$108,0)))^MIN(1,MAX(0,AC503+INDEX('Facilities'!$AK$9:$AK$108,MATCH(C503,'Facilities'!$C$9:$C$108,0))-D503+1))-1),0))))</x:f>
      </x:c>
      <x:c r="AH503" s="21" t="str">
        <x:f>IF(C503="","",IF(AQ503&lt;&gt;"Ready","Unavailable",IF(C503="","",O503+P503)))</x:f>
      </x:c>
      <x:c r="AI503" s="21" t="str">
        <x:f>IF(C503="","",IF(AQ503&lt;&gt;"Ready","Unavailable",IF(C503="","",Z503-Y503)))</x:f>
      </x:c>
      <x:c r="AJ503" s="23" t="str">
        <x:f>IF(C503="","",IFERROR(MAX(0,INDEX('Facilities'!$J$9:$J$108,MATCH(C503,'Facilities'!$C$9:$C$108,0))-D503),"Unavailable"))</x:f>
      </x:c>
      <x:c r="AK503" s="21" t="str">
        <x:f>IF(C503="","",IFERROR(AL403,"Unavailable"))</x:f>
      </x:c>
      <x:c r="AL503" s="23" t="str">
        <x:f>IF(C503="","",IFERROR(IF(P503&gt;0,P503*(1-AM503/(1+INDEX('Facilities'!$K$9:$K$108,MATCH(C503,'Facilities'!$C$9:$C$108,0)))^MAX(0,AC503+INDEX('Facilities'!$AK$9:$AK$108,MATCH(C503,'Facilities'!$C$9:$C$108,0))-D503)),0),"Unavailable"))</x:f>
      </x:c>
      <x:c r="AM503" s="30" t="str">
        <x:f>IF(C503="","",IFERROR(INDEX('Facilities'!$AL$9:$AL$108,MATCH(C503,'Facilities'!$C$9:$C$108,0)),"Unavailable"))</x:f>
      </x:c>
      <x:c r="AN503" s="30" t="str">
        <x:f>IF(C503="","",IFERROR(INDEX(Credit!$T$409:$T$508,MATCH(F503,Credit!$C$409:$C$508,0)),"Unavailable"))</x:f>
      </x:c>
      <x:c r="AO503" s="23" t="str">
        <x:f>IF(C503="","",IF(AQ503&lt;&gt;"Ready","Unavailable",IF(C503="","",O503+P503+Q503*INDEX('Facilities'!$I$9:$I$108,MATCH(C503,'Facilities'!$C$9:$C$108,0)))))</x:f>
      </x:c>
      <x:c r="AP503" s="21" t="str">
        <x:f>IF(C503="","",IF(AQ503&lt;&gt;"Ready","Unavailable",IF(C503="","",AH503-U503)))</x:f>
      </x:c>
      <x:c r="AQ503" s="23" t="str">
        <x:f>IFERROR(IF(C503="","",IF(AND(INDEX('Facilities'!$AF$9:$AF$108,MATCH(C503,'Facilities'!$C$9:$C$108,0))="Ready",INDEX(Credit!$U$409:$U$508,MATCH(F503,Credit!$C$409:$C$508,0))="Ready",ISNUMBER(W503)),"Ready","Review inputs")),"Review inputs")</x:f>
      </x:c>
      <x:c r="AR503" s="23" t="str">
        <x:f>IF(C503="","",IF(AQ503&lt;&gt;"Ready","Unavailable",IF(C503="","",IF(O503=0,0,(IF(AJ503&lt;=1,O503,O503*INDEX('Facilities'!$R$9:$R$108,MATCH(C503,'Facilities'!$C$9:$C$108,0)))+O503*INDEX('Facilities'!$T$9:$T$108,MATCH(C503,'Facilities'!$C$9:$C$108,0)))/12))))</x:f>
      </x:c>
    </x:row>
    <x:row r="504" ht="26" customHeight="1">
      <x:c r="A504" s="1"/>
      <x:c r="B504" s="1"/>
      <x:c r="C504" s="9" t="str">
        <x:f>IF(Facilities!C104="","",Facilities!C104)</x:f>
      </x:c>
      <x:c r="D504" s="3" t="n">
        <x:v>5</x:v>
      </x:c>
      <x:c r="E504" s="9" t="n">
        <x:f>Settings!$F$18+4</x:f>
        <x:v>2031</x:v>
      </x:c>
      <x:c r="F504" s="9" t="str">
        <x:f>IF(C504="","",IFERROR(INDEX('Facilities'!$D$9:$D$108,MATCH(C504,'Facilities'!$C$9:$C$108,0)),"Unavailable"))</x:f>
      </x:c>
      <x:c r="G504" s="21" t="str">
        <x:f>IF(C504="","",IFERROR(O404,"Unavailable"))</x:f>
      </x:c>
      <x:c r="H504" s="21" t="str">
        <x:f>IF(C504="","",IFERROR(P404,"Unavailable"))</x:f>
      </x:c>
      <x:c r="I504" s="21" t="str">
        <x:f>IF(C504="","",IFERROR(Q404,"Unavailable"))</x:f>
      </x:c>
      <x:c r="J504" s="23" t="str">
        <x:f>IF(C504="","",IFERROR(IF(OR(H504&gt;0,AND(AC504&gt;=0,AC504&lt;D504),D504&gt;INDEX('Facilities'!$J$9:$J$108,MATCH(C504,'Facilities'!$C$9:$C$108,0))),0,I504*'Scenario Paths'!J81),"Unavailable"))</x:f>
      </x:c>
      <x:c r="K504" s="23" t="str">
        <x:f>IF(C504="","",IFERROR(IF(OR(H504&gt;0,AND(AC504&gt;=0,AC504=D504)),0,IF(D504&gt;=INDEX('Facilities'!$J$9:$J$108,MATCH(C504,'Facilities'!$C$9:$C$108,0)),G504+J504,MIN(G504+J504,G504*INDEX('Facilities'!$R$9:$R$108,MATCH(C504,'Facilities'!$C$9:$C$108,0))))),"Unavailable"))</x:f>
      </x:c>
      <x:c r="L504" s="21" t="str">
        <x:f>IF(C504="","",IFERROR(IF(AND(AC504=D504,AC504&gt;0),MAX(0,G504+J504-K504),0),"Unavailable"))</x:f>
      </x:c>
      <x:c r="M504" s="23" t="str">
        <x:f>IF(C504="","",IFERROR(IF(AND(AC504&gt;=0,D504&gt;=AC504+INDEX('Facilities'!$AK$9:$AK$108,MATCH(C504,'Facilities'!$C$9:$C$108,0))),(H504+L504)*AM504,0),"Unavailable"))</x:f>
      </x:c>
      <x:c r="N504" s="23" t="str">
        <x:f>IF(C504="","",IFERROR(IF(AND(AC504&gt;=0,D504&gt;=AC504+INDEX('Facilities'!$AK$9:$AK$108,MATCH(C504,'Facilities'!$C$9:$C$108,0))),H504+L504-M504,0),"Unavailable"))</x:f>
      </x:c>
      <x:c r="O504" s="21" t="str">
        <x:f>IF(C504="","",IFERROR(MAX(0,G504+J504-K504-L504),"Unavailable"))</x:f>
      </x:c>
      <x:c r="P504" s="21" t="str">
        <x:f>IF(C504="","",IFERROR(MAX(0,H504+L504-M504-N504),"Unavailable"))</x:f>
      </x:c>
      <x:c r="Q504" s="23" t="str">
        <x:f>IF(C504="","",IFERROR(IF(OR(D504&gt;=INDEX('Facilities'!$J$9:$J$108,MATCH(C504,'Facilities'!$C$9:$C$108,0)),AND(AC504&gt;=0,AC504&lt;=D504)),0,MAX(0,I504-J504)),"Unavailable"))</x:f>
      </x:c>
      <x:c r="R504" s="30" t="str">
        <x:f>IF(C504="","",IFERROR(INDEX(Credit!$Q$409:$Q$508,MATCH(F504,Credit!$C$409:$C$508,0)),"Unavailable"))</x:f>
      </x:c>
      <x:c r="S504" s="30" t="str">
        <x:f>IF(C504="","",IFERROR(INDEX(Credit!$R$409:$R$508,MATCH(F504,Credit!$C$409:$C$508,0)),"Unavailable"))</x:f>
      </x:c>
      <x:c r="T504" s="23" t="str">
        <x:f>IF(C504="","",IFERROR(IF(P504&gt;0,3,IF(OR(INDEX('Facilities'!$AD$9:$AD$108,MATCH(C504,'Facilities'!$C$9:$C$108,0))=2,AND(R504&gt;=INDEX('Facilities'!$L$9:$L$108,MATCH(C504,'Facilities'!$C$9:$C$108,0))*Settings!$F$19,R504-INDEX('Facilities'!$L$9:$L$108,MATCH(C504,'Facilities'!$C$9:$C$108,0))&gt;=Settings!$F$20)),2,1)),"Unavailable"))</x:f>
      </x:c>
      <x:c r="U504" s="23" t="str">
        <x:f>IF(C504="","",IF(AQ504&lt;&gt;"Ready","Unavailable",IF(C504="","",O504*(1-(1-S504)/(1+INDEX('Facilities'!$K$9:$K$108,MATCH(C504,'Facilities'!$C$9:$C$108,0)))^INDEX('Facilities'!$AK$9:$AK$108,MATCH(C504,'Facilities'!$C$9:$C$108,0)))*R504/(1+INDEX('Facilities'!$K$9:$K$108,MATCH(C504,'Facilities'!$C$9:$C$108,0)))*IF(ABS(1-(1-R504)*(1-INDEX('Facilities'!$R$9:$R$108,MATCH(C504,'Facilities'!$C$9:$C$108,0)))/(1+INDEX('Facilities'!$K$9:$K$108,MATCH(C504,'Facilities'!$C$9:$C$108,0))))&lt;0.000000001,IF(T504=1,MIN(1,AJ504),AJ504),(1-((1-R504)*(1-INDEX('Facilities'!$R$9:$R$108,MATCH(C504,'Facilities'!$C$9:$C$108,0)))/(1+INDEX('Facilities'!$K$9:$K$108,MATCH(C504,'Facilities'!$C$9:$C$108,0))))^IF(T504=1,MIN(1,AJ504),AJ504))/(1-(1-R504)*(1-INDEX('Facilities'!$R$9:$R$108,MATCH(C504,'Facilities'!$C$9:$C$108,0)))/(1+INDEX('Facilities'!$K$9:$K$108,MATCH(C504,'Facilities'!$C$9:$C$108,0)))))+AL504)))</x:f>
      </x:c>
      <x:c r="V504" s="23" t="str">
        <x:f>IF(C504="","",IF(AQ504&lt;&gt;"Ready","Unavailable",IF(C504="","",Q504*INDEX('Facilities'!$I$9:$I$108,MATCH(C504,'Facilities'!$C$9:$C$108,0))*(1-(1-S504)/(1+INDEX('Facilities'!$K$9:$K$108,MATCH(C504,'Facilities'!$C$9:$C$108,0)))^INDEX('Facilities'!$AK$9:$AK$108,MATCH(C504,'Facilities'!$C$9:$C$108,0)))*R504/(1+INDEX('Facilities'!$K$9:$K$108,MATCH(C504,'Facilities'!$C$9:$C$108,0)))*IF(ABS(1-(1-R504)*(1-0)/(1+INDEX('Facilities'!$K$9:$K$108,MATCH(C504,'Facilities'!$C$9:$C$108,0))))&lt;0.000000001,IF(T504=1,MIN(1,AJ504),AJ504),(1-((1-R504)*(1-0)/(1+INDEX('Facilities'!$K$9:$K$108,MATCH(C504,'Facilities'!$C$9:$C$108,0))))^IF(T504=1,MIN(1,AJ504),AJ504))/(1-(1-R504)*(1-0)/(1+INDEX('Facilities'!$K$9:$K$108,MATCH(C504,'Facilities'!$C$9:$C$108,0))))))))</x:f>
      </x:c>
      <x:c r="W504" s="21" t="str">
        <x:f>IF(C504="","",IFERROR(U404,"Unavailable"))</x:f>
      </x:c>
      <x:c r="X504" s="21" t="str">
        <x:f>IF(C504="","",IFERROR(V404,"Unavailable"))</x:f>
      </x:c>
      <x:c r="Y504" s="21" t="str">
        <x:f>IF(C504="","",IF(AQ504&lt;&gt;"Ready","Unavailable",IF(C504="","",U504-W504+V504-X504+N504+AG504)))</x:f>
      </x:c>
      <x:c r="Z504" s="23" t="str">
        <x:f>IF(C504="","",IF(AQ504&lt;&gt;"Ready","Unavailable",IF(C504="","",(G504+O504+L504)/2*INDEX('Facilities'!$T$9:$T$108,MATCH(C504,'Facilities'!$C$9:$C$108,0))+AG504)))</x:f>
      </x:c>
      <x:c r="AA504" s="23" t="str">
        <x:f>IF(C504="","",IF(AQ504&lt;&gt;"Ready","Unavailable",IF(C504="","",O504*(1-IF(INDEX('Facilities'!$AA$9:$AA$108,MATCH(C504,'Facilities'!$C$9:$C$108,0))=0,0,MIN(1,INDEX('Facilities'!$X$9:$X$108,MATCH(C504,'Facilities'!$C$9:$C$108,0))/INDEX('Facilities'!$AA$9:$AA$108,MATCH(C504,'Facilities'!$C$9:$C$108,0)))))*AF504+P504*(1-IF(INDEX('Facilities'!$AA$9:$AA$108,MATCH(C504,'Facilities'!$C$9:$C$108,0))=0,0,MIN(1,INDEX('Facilities'!$X$9:$X$108,MATCH(C504,'Facilities'!$C$9:$C$108,0))/INDEX('Facilities'!$AA$9:$AA$108,MATCH(C504,'Facilities'!$C$9:$C$108,0)))))*INDEX('Facilities'!$AJ$9:$AJ$108,MATCH(C504,'Facilities'!$C$9:$C$108,0))+Q504*INDEX('Facilities'!$AI$9:$AI$108,MATCH(C504,'Facilities'!$C$9:$C$108,0))*AF504)))</x:f>
      </x:c>
      <x:c r="AB504" s="21" t="str">
        <x:f>IF(C504="","",O504+P504-AD504)</x:f>
      </x:c>
      <x:c r="AC504" s="23" t="str">
        <x:f>IF(C504="","",IFERROR(IF(INDEX('Facilities'!$AD$9:$AD$108,MATCH(C504,'Facilities'!$C$9:$C$108,0))=3,0,IF(INDEX('Facilities'!$AN$9:$AN$108,MATCH(C504,'Facilities'!$C$9:$C$108,0))=0,-1,INDEX('Facilities'!$AN$9:$AN$108,MATCH(C504,'Facilities'!$C$9:$C$108,0)))),"Unavailable"))</x:f>
      </x:c>
      <x:c r="AD504" s="21" t="str">
        <x:f>IF(C504="","",IFERROR(G504+H504,"Unavailable"))</x:f>
      </x:c>
      <x:c r="AE504" s="21" t="str">
        <x:f>IF(C504="","",IF(AQ504&lt;&gt;"Ready","Unavailable",IF(C504="","",O504+P504-AD504-J504+K504+M504+N504)))</x:f>
      </x:c>
      <x:c r="AF504" s="30" t="str">
        <x:f>IF(C504="","",IFERROR(INDEX('Facilities'!$S$9:$S$108,MATCH(C504,'Facilities'!$C$9:$C$108,0))*'Scenario Paths'!J75,"Unavailable"))</x:f>
      </x:c>
      <x:c r="AG504" s="23" t="str">
        <x:f>IF(C504="","",IF(AQ504&lt;&gt;"Ready","Unavailable",IF(C504="","",IF(H504&gt;0,MAX(0,H504-AK504)*((1+INDEX('Facilities'!$K$9:$K$108,MATCH(C504,'Facilities'!$C$9:$C$108,0)))^MIN(1,MAX(0,AC504+INDEX('Facilities'!$AK$9:$AK$108,MATCH(C504,'Facilities'!$C$9:$C$108,0))-D504+1))-1),0))))</x:f>
      </x:c>
      <x:c r="AH504" s="21" t="str">
        <x:f>IF(C504="","",IF(AQ504&lt;&gt;"Ready","Unavailable",IF(C504="","",O504+P504)))</x:f>
      </x:c>
      <x:c r="AI504" s="21" t="str">
        <x:f>IF(C504="","",IF(AQ504&lt;&gt;"Ready","Unavailable",IF(C504="","",Z504-Y504)))</x:f>
      </x:c>
      <x:c r="AJ504" s="23" t="str">
        <x:f>IF(C504="","",IFERROR(MAX(0,INDEX('Facilities'!$J$9:$J$108,MATCH(C504,'Facilities'!$C$9:$C$108,0))-D504),"Unavailable"))</x:f>
      </x:c>
      <x:c r="AK504" s="21" t="str">
        <x:f>IF(C504="","",IFERROR(AL404,"Unavailable"))</x:f>
      </x:c>
      <x:c r="AL504" s="23" t="str">
        <x:f>IF(C504="","",IFERROR(IF(P504&gt;0,P504*(1-AM504/(1+INDEX('Facilities'!$K$9:$K$108,MATCH(C504,'Facilities'!$C$9:$C$108,0)))^MAX(0,AC504+INDEX('Facilities'!$AK$9:$AK$108,MATCH(C504,'Facilities'!$C$9:$C$108,0))-D504)),0),"Unavailable"))</x:f>
      </x:c>
      <x:c r="AM504" s="30" t="str">
        <x:f>IF(C504="","",IFERROR(INDEX('Facilities'!$AL$9:$AL$108,MATCH(C504,'Facilities'!$C$9:$C$108,0)),"Unavailable"))</x:f>
      </x:c>
      <x:c r="AN504" s="30" t="str">
        <x:f>IF(C504="","",IFERROR(INDEX(Credit!$T$409:$T$508,MATCH(F504,Credit!$C$409:$C$508,0)),"Unavailable"))</x:f>
      </x:c>
      <x:c r="AO504" s="23" t="str">
        <x:f>IF(C504="","",IF(AQ504&lt;&gt;"Ready","Unavailable",IF(C504="","",O504+P504+Q504*INDEX('Facilities'!$I$9:$I$108,MATCH(C504,'Facilities'!$C$9:$C$108,0)))))</x:f>
      </x:c>
      <x:c r="AP504" s="21" t="str">
        <x:f>IF(C504="","",IF(AQ504&lt;&gt;"Ready","Unavailable",IF(C504="","",AH504-U504)))</x:f>
      </x:c>
      <x:c r="AQ504" s="23" t="str">
        <x:f>IFERROR(IF(C504="","",IF(AND(INDEX('Facilities'!$AF$9:$AF$108,MATCH(C504,'Facilities'!$C$9:$C$108,0))="Ready",INDEX(Credit!$U$409:$U$508,MATCH(F504,Credit!$C$409:$C$508,0))="Ready",ISNUMBER(W504)),"Ready","Review inputs")),"Review inputs")</x:f>
      </x:c>
      <x:c r="AR504" s="23" t="str">
        <x:f>IF(C504="","",IF(AQ504&lt;&gt;"Ready","Unavailable",IF(C504="","",IF(O504=0,0,(IF(AJ504&lt;=1,O504,O504*INDEX('Facilities'!$R$9:$R$108,MATCH(C504,'Facilities'!$C$9:$C$108,0)))+O504*INDEX('Facilities'!$T$9:$T$108,MATCH(C504,'Facilities'!$C$9:$C$108,0)))/12))))</x:f>
      </x:c>
    </x:row>
    <x:row r="505" ht="26" customHeight="1">
      <x:c r="A505" s="1"/>
      <x:c r="B505" s="1"/>
      <x:c r="C505" s="9" t="str">
        <x:f>IF(Facilities!C105="","",Facilities!C105)</x:f>
      </x:c>
      <x:c r="D505" s="3" t="n">
        <x:v>5</x:v>
      </x:c>
      <x:c r="E505" s="9" t="n">
        <x:f>Settings!$F$18+4</x:f>
        <x:v>2031</x:v>
      </x:c>
      <x:c r="F505" s="9" t="str">
        <x:f>IF(C505="","",IFERROR(INDEX('Facilities'!$D$9:$D$108,MATCH(C505,'Facilities'!$C$9:$C$108,0)),"Unavailable"))</x:f>
      </x:c>
      <x:c r="G505" s="21" t="str">
        <x:f>IF(C505="","",IFERROR(O405,"Unavailable"))</x:f>
      </x:c>
      <x:c r="H505" s="21" t="str">
        <x:f>IF(C505="","",IFERROR(P405,"Unavailable"))</x:f>
      </x:c>
      <x:c r="I505" s="21" t="str">
        <x:f>IF(C505="","",IFERROR(Q405,"Unavailable"))</x:f>
      </x:c>
      <x:c r="J505" s="23" t="str">
        <x:f>IF(C505="","",IFERROR(IF(OR(H505&gt;0,AND(AC505&gt;=0,AC505&lt;D505),D505&gt;INDEX('Facilities'!$J$9:$J$108,MATCH(C505,'Facilities'!$C$9:$C$108,0))),0,I505*'Scenario Paths'!J81),"Unavailable"))</x:f>
      </x:c>
      <x:c r="K505" s="23" t="str">
        <x:f>IF(C505="","",IFERROR(IF(OR(H505&gt;0,AND(AC505&gt;=0,AC505=D505)),0,IF(D505&gt;=INDEX('Facilities'!$J$9:$J$108,MATCH(C505,'Facilities'!$C$9:$C$108,0)),G505+J505,MIN(G505+J505,G505*INDEX('Facilities'!$R$9:$R$108,MATCH(C505,'Facilities'!$C$9:$C$108,0))))),"Unavailable"))</x:f>
      </x:c>
      <x:c r="L505" s="21" t="str">
        <x:f>IF(C505="","",IFERROR(IF(AND(AC505=D505,AC505&gt;0),MAX(0,G505+J505-K505),0),"Unavailable"))</x:f>
      </x:c>
      <x:c r="M505" s="23" t="str">
        <x:f>IF(C505="","",IFERROR(IF(AND(AC505&gt;=0,D505&gt;=AC505+INDEX('Facilities'!$AK$9:$AK$108,MATCH(C505,'Facilities'!$C$9:$C$108,0))),(H505+L505)*AM505,0),"Unavailable"))</x:f>
      </x:c>
      <x:c r="N505" s="23" t="str">
        <x:f>IF(C505="","",IFERROR(IF(AND(AC505&gt;=0,D505&gt;=AC505+INDEX('Facilities'!$AK$9:$AK$108,MATCH(C505,'Facilities'!$C$9:$C$108,0))),H505+L505-M505,0),"Unavailable"))</x:f>
      </x:c>
      <x:c r="O505" s="21" t="str">
        <x:f>IF(C505="","",IFERROR(MAX(0,G505+J505-K505-L505),"Unavailable"))</x:f>
      </x:c>
      <x:c r="P505" s="21" t="str">
        <x:f>IF(C505="","",IFERROR(MAX(0,H505+L505-M505-N505),"Unavailable"))</x:f>
      </x:c>
      <x:c r="Q505" s="23" t="str">
        <x:f>IF(C505="","",IFERROR(IF(OR(D505&gt;=INDEX('Facilities'!$J$9:$J$108,MATCH(C505,'Facilities'!$C$9:$C$108,0)),AND(AC505&gt;=0,AC505&lt;=D505)),0,MAX(0,I505-J505)),"Unavailable"))</x:f>
      </x:c>
      <x:c r="R505" s="30" t="str">
        <x:f>IF(C505="","",IFERROR(INDEX(Credit!$Q$409:$Q$508,MATCH(F505,Credit!$C$409:$C$508,0)),"Unavailable"))</x:f>
      </x:c>
      <x:c r="S505" s="30" t="str">
        <x:f>IF(C505="","",IFERROR(INDEX(Credit!$R$409:$R$508,MATCH(F505,Credit!$C$409:$C$508,0)),"Unavailable"))</x:f>
      </x:c>
      <x:c r="T505" s="23" t="str">
        <x:f>IF(C505="","",IFERROR(IF(P505&gt;0,3,IF(OR(INDEX('Facilities'!$AD$9:$AD$108,MATCH(C505,'Facilities'!$C$9:$C$108,0))=2,AND(R505&gt;=INDEX('Facilities'!$L$9:$L$108,MATCH(C505,'Facilities'!$C$9:$C$108,0))*Settings!$F$19,R505-INDEX('Facilities'!$L$9:$L$108,MATCH(C505,'Facilities'!$C$9:$C$108,0))&gt;=Settings!$F$20)),2,1)),"Unavailable"))</x:f>
      </x:c>
      <x:c r="U505" s="23" t="str">
        <x:f>IF(C505="","",IF(AQ505&lt;&gt;"Ready","Unavailable",IF(C505="","",O505*(1-(1-S505)/(1+INDEX('Facilities'!$K$9:$K$108,MATCH(C505,'Facilities'!$C$9:$C$108,0)))^INDEX('Facilities'!$AK$9:$AK$108,MATCH(C505,'Facilities'!$C$9:$C$108,0)))*R505/(1+INDEX('Facilities'!$K$9:$K$108,MATCH(C505,'Facilities'!$C$9:$C$108,0)))*IF(ABS(1-(1-R505)*(1-INDEX('Facilities'!$R$9:$R$108,MATCH(C505,'Facilities'!$C$9:$C$108,0)))/(1+INDEX('Facilities'!$K$9:$K$108,MATCH(C505,'Facilities'!$C$9:$C$108,0))))&lt;0.000000001,IF(T505=1,MIN(1,AJ505),AJ505),(1-((1-R505)*(1-INDEX('Facilities'!$R$9:$R$108,MATCH(C505,'Facilities'!$C$9:$C$108,0)))/(1+INDEX('Facilities'!$K$9:$K$108,MATCH(C505,'Facilities'!$C$9:$C$108,0))))^IF(T505=1,MIN(1,AJ505),AJ505))/(1-(1-R505)*(1-INDEX('Facilities'!$R$9:$R$108,MATCH(C505,'Facilities'!$C$9:$C$108,0)))/(1+INDEX('Facilities'!$K$9:$K$108,MATCH(C505,'Facilities'!$C$9:$C$108,0)))))+AL505)))</x:f>
      </x:c>
      <x:c r="V505" s="23" t="str">
        <x:f>IF(C505="","",IF(AQ505&lt;&gt;"Ready","Unavailable",IF(C505="","",Q505*INDEX('Facilities'!$I$9:$I$108,MATCH(C505,'Facilities'!$C$9:$C$108,0))*(1-(1-S505)/(1+INDEX('Facilities'!$K$9:$K$108,MATCH(C505,'Facilities'!$C$9:$C$108,0)))^INDEX('Facilities'!$AK$9:$AK$108,MATCH(C505,'Facilities'!$C$9:$C$108,0)))*R505/(1+INDEX('Facilities'!$K$9:$K$108,MATCH(C505,'Facilities'!$C$9:$C$108,0)))*IF(ABS(1-(1-R505)*(1-0)/(1+INDEX('Facilities'!$K$9:$K$108,MATCH(C505,'Facilities'!$C$9:$C$108,0))))&lt;0.000000001,IF(T505=1,MIN(1,AJ505),AJ505),(1-((1-R505)*(1-0)/(1+INDEX('Facilities'!$K$9:$K$108,MATCH(C505,'Facilities'!$C$9:$C$108,0))))^IF(T505=1,MIN(1,AJ505),AJ505))/(1-(1-R505)*(1-0)/(1+INDEX('Facilities'!$K$9:$K$108,MATCH(C505,'Facilities'!$C$9:$C$108,0))))))))</x:f>
      </x:c>
      <x:c r="W505" s="21" t="str">
        <x:f>IF(C505="","",IFERROR(U405,"Unavailable"))</x:f>
      </x:c>
      <x:c r="X505" s="21" t="str">
        <x:f>IF(C505="","",IFERROR(V405,"Unavailable"))</x:f>
      </x:c>
      <x:c r="Y505" s="21" t="str">
        <x:f>IF(C505="","",IF(AQ505&lt;&gt;"Ready","Unavailable",IF(C505="","",U505-W505+V505-X505+N505+AG505)))</x:f>
      </x:c>
      <x:c r="Z505" s="23" t="str">
        <x:f>IF(C505="","",IF(AQ505&lt;&gt;"Ready","Unavailable",IF(C505="","",(G505+O505+L505)/2*INDEX('Facilities'!$T$9:$T$108,MATCH(C505,'Facilities'!$C$9:$C$108,0))+AG505)))</x:f>
      </x:c>
      <x:c r="AA505" s="23" t="str">
        <x:f>IF(C505="","",IF(AQ505&lt;&gt;"Ready","Unavailable",IF(C505="","",O505*(1-IF(INDEX('Facilities'!$AA$9:$AA$108,MATCH(C505,'Facilities'!$C$9:$C$108,0))=0,0,MIN(1,INDEX('Facilities'!$X$9:$X$108,MATCH(C505,'Facilities'!$C$9:$C$108,0))/INDEX('Facilities'!$AA$9:$AA$108,MATCH(C505,'Facilities'!$C$9:$C$108,0)))))*AF505+P505*(1-IF(INDEX('Facilities'!$AA$9:$AA$108,MATCH(C505,'Facilities'!$C$9:$C$108,0))=0,0,MIN(1,INDEX('Facilities'!$X$9:$X$108,MATCH(C505,'Facilities'!$C$9:$C$108,0))/INDEX('Facilities'!$AA$9:$AA$108,MATCH(C505,'Facilities'!$C$9:$C$108,0)))))*INDEX('Facilities'!$AJ$9:$AJ$108,MATCH(C505,'Facilities'!$C$9:$C$108,0))+Q505*INDEX('Facilities'!$AI$9:$AI$108,MATCH(C505,'Facilities'!$C$9:$C$108,0))*AF505)))</x:f>
      </x:c>
      <x:c r="AB505" s="21" t="str">
        <x:f>IF(C505="","",O505+P505-AD505)</x:f>
      </x:c>
      <x:c r="AC505" s="23" t="str">
        <x:f>IF(C505="","",IFERROR(IF(INDEX('Facilities'!$AD$9:$AD$108,MATCH(C505,'Facilities'!$C$9:$C$108,0))=3,0,IF(INDEX('Facilities'!$AN$9:$AN$108,MATCH(C505,'Facilities'!$C$9:$C$108,0))=0,-1,INDEX('Facilities'!$AN$9:$AN$108,MATCH(C505,'Facilities'!$C$9:$C$108,0)))),"Unavailable"))</x:f>
      </x:c>
      <x:c r="AD505" s="21" t="str">
        <x:f>IF(C505="","",IFERROR(G505+H505,"Unavailable"))</x:f>
      </x:c>
      <x:c r="AE505" s="21" t="str">
        <x:f>IF(C505="","",IF(AQ505&lt;&gt;"Ready","Unavailable",IF(C505="","",O505+P505-AD505-J505+K505+M505+N505)))</x:f>
      </x:c>
      <x:c r="AF505" s="30" t="str">
        <x:f>IF(C505="","",IFERROR(INDEX('Facilities'!$S$9:$S$108,MATCH(C505,'Facilities'!$C$9:$C$108,0))*'Scenario Paths'!J75,"Unavailable"))</x:f>
      </x:c>
      <x:c r="AG505" s="23" t="str">
        <x:f>IF(C505="","",IF(AQ505&lt;&gt;"Ready","Unavailable",IF(C505="","",IF(H505&gt;0,MAX(0,H505-AK505)*((1+INDEX('Facilities'!$K$9:$K$108,MATCH(C505,'Facilities'!$C$9:$C$108,0)))^MIN(1,MAX(0,AC505+INDEX('Facilities'!$AK$9:$AK$108,MATCH(C505,'Facilities'!$C$9:$C$108,0))-D505+1))-1),0))))</x:f>
      </x:c>
      <x:c r="AH505" s="21" t="str">
        <x:f>IF(C505="","",IF(AQ505&lt;&gt;"Ready","Unavailable",IF(C505="","",O505+P505)))</x:f>
      </x:c>
      <x:c r="AI505" s="21" t="str">
        <x:f>IF(C505="","",IF(AQ505&lt;&gt;"Ready","Unavailable",IF(C505="","",Z505-Y505)))</x:f>
      </x:c>
      <x:c r="AJ505" s="23" t="str">
        <x:f>IF(C505="","",IFERROR(MAX(0,INDEX('Facilities'!$J$9:$J$108,MATCH(C505,'Facilities'!$C$9:$C$108,0))-D505),"Unavailable"))</x:f>
      </x:c>
      <x:c r="AK505" s="21" t="str">
        <x:f>IF(C505="","",IFERROR(AL405,"Unavailable"))</x:f>
      </x:c>
      <x:c r="AL505" s="23" t="str">
        <x:f>IF(C505="","",IFERROR(IF(P505&gt;0,P505*(1-AM505/(1+INDEX('Facilities'!$K$9:$K$108,MATCH(C505,'Facilities'!$C$9:$C$108,0)))^MAX(0,AC505+INDEX('Facilities'!$AK$9:$AK$108,MATCH(C505,'Facilities'!$C$9:$C$108,0))-D505)),0),"Unavailable"))</x:f>
      </x:c>
      <x:c r="AM505" s="30" t="str">
        <x:f>IF(C505="","",IFERROR(INDEX('Facilities'!$AL$9:$AL$108,MATCH(C505,'Facilities'!$C$9:$C$108,0)),"Unavailable"))</x:f>
      </x:c>
      <x:c r="AN505" s="30" t="str">
        <x:f>IF(C505="","",IFERROR(INDEX(Credit!$T$409:$T$508,MATCH(F505,Credit!$C$409:$C$508,0)),"Unavailable"))</x:f>
      </x:c>
      <x:c r="AO505" s="23" t="str">
        <x:f>IF(C505="","",IF(AQ505&lt;&gt;"Ready","Unavailable",IF(C505="","",O505+P505+Q505*INDEX('Facilities'!$I$9:$I$108,MATCH(C505,'Facilities'!$C$9:$C$108,0)))))</x:f>
      </x:c>
      <x:c r="AP505" s="21" t="str">
        <x:f>IF(C505="","",IF(AQ505&lt;&gt;"Ready","Unavailable",IF(C505="","",AH505-U505)))</x:f>
      </x:c>
      <x:c r="AQ505" s="23" t="str">
        <x:f>IFERROR(IF(C505="","",IF(AND(INDEX('Facilities'!$AF$9:$AF$108,MATCH(C505,'Facilities'!$C$9:$C$108,0))="Ready",INDEX(Credit!$U$409:$U$508,MATCH(F505,Credit!$C$409:$C$508,0))="Ready",ISNUMBER(W505)),"Ready","Review inputs")),"Review inputs")</x:f>
      </x:c>
      <x:c r="AR505" s="23" t="str">
        <x:f>IF(C505="","",IF(AQ505&lt;&gt;"Ready","Unavailable",IF(C505="","",IF(O505=0,0,(IF(AJ505&lt;=1,O505,O505*INDEX('Facilities'!$R$9:$R$108,MATCH(C505,'Facilities'!$C$9:$C$108,0)))+O505*INDEX('Facilities'!$T$9:$T$108,MATCH(C505,'Facilities'!$C$9:$C$108,0)))/12))))</x:f>
      </x:c>
    </x:row>
    <x:row r="506" ht="26" customHeight="1">
      <x:c r="A506" s="1"/>
      <x:c r="B506" s="1"/>
      <x:c r="C506" s="9" t="str">
        <x:f>IF(Facilities!C106="","",Facilities!C106)</x:f>
      </x:c>
      <x:c r="D506" s="3" t="n">
        <x:v>5</x:v>
      </x:c>
      <x:c r="E506" s="9" t="n">
        <x:f>Settings!$F$18+4</x:f>
        <x:v>2031</x:v>
      </x:c>
      <x:c r="F506" s="9" t="str">
        <x:f>IF(C506="","",IFERROR(INDEX('Facilities'!$D$9:$D$108,MATCH(C506,'Facilities'!$C$9:$C$108,0)),"Unavailable"))</x:f>
      </x:c>
      <x:c r="G506" s="21" t="str">
        <x:f>IF(C506="","",IFERROR(O406,"Unavailable"))</x:f>
      </x:c>
      <x:c r="H506" s="21" t="str">
        <x:f>IF(C506="","",IFERROR(P406,"Unavailable"))</x:f>
      </x:c>
      <x:c r="I506" s="21" t="str">
        <x:f>IF(C506="","",IFERROR(Q406,"Unavailable"))</x:f>
      </x:c>
      <x:c r="J506" s="23" t="str">
        <x:f>IF(C506="","",IFERROR(IF(OR(H506&gt;0,AND(AC506&gt;=0,AC506&lt;D506),D506&gt;INDEX('Facilities'!$J$9:$J$108,MATCH(C506,'Facilities'!$C$9:$C$108,0))),0,I506*'Scenario Paths'!J81),"Unavailable"))</x:f>
      </x:c>
      <x:c r="K506" s="23" t="str">
        <x:f>IF(C506="","",IFERROR(IF(OR(H506&gt;0,AND(AC506&gt;=0,AC506=D506)),0,IF(D506&gt;=INDEX('Facilities'!$J$9:$J$108,MATCH(C506,'Facilities'!$C$9:$C$108,0)),G506+J506,MIN(G506+J506,G506*INDEX('Facilities'!$R$9:$R$108,MATCH(C506,'Facilities'!$C$9:$C$108,0))))),"Unavailable"))</x:f>
      </x:c>
      <x:c r="L506" s="21" t="str">
        <x:f>IF(C506="","",IFERROR(IF(AND(AC506=D506,AC506&gt;0),MAX(0,G506+J506-K506),0),"Unavailable"))</x:f>
      </x:c>
      <x:c r="M506" s="23" t="str">
        <x:f>IF(C506="","",IFERROR(IF(AND(AC506&gt;=0,D506&gt;=AC506+INDEX('Facilities'!$AK$9:$AK$108,MATCH(C506,'Facilities'!$C$9:$C$108,0))),(H506+L506)*AM506,0),"Unavailable"))</x:f>
      </x:c>
      <x:c r="N506" s="23" t="str">
        <x:f>IF(C506="","",IFERROR(IF(AND(AC506&gt;=0,D506&gt;=AC506+INDEX('Facilities'!$AK$9:$AK$108,MATCH(C506,'Facilities'!$C$9:$C$108,0))),H506+L506-M506,0),"Unavailable"))</x:f>
      </x:c>
      <x:c r="O506" s="21" t="str">
        <x:f>IF(C506="","",IFERROR(MAX(0,G506+J506-K506-L506),"Unavailable"))</x:f>
      </x:c>
      <x:c r="P506" s="21" t="str">
        <x:f>IF(C506="","",IFERROR(MAX(0,H506+L506-M506-N506),"Unavailable"))</x:f>
      </x:c>
      <x:c r="Q506" s="23" t="str">
        <x:f>IF(C506="","",IFERROR(IF(OR(D506&gt;=INDEX('Facilities'!$J$9:$J$108,MATCH(C506,'Facilities'!$C$9:$C$108,0)),AND(AC506&gt;=0,AC506&lt;=D506)),0,MAX(0,I506-J506)),"Unavailable"))</x:f>
      </x:c>
      <x:c r="R506" s="30" t="str">
        <x:f>IF(C506="","",IFERROR(INDEX(Credit!$Q$409:$Q$508,MATCH(F506,Credit!$C$409:$C$508,0)),"Unavailable"))</x:f>
      </x:c>
      <x:c r="S506" s="30" t="str">
        <x:f>IF(C506="","",IFERROR(INDEX(Credit!$R$409:$R$508,MATCH(F506,Credit!$C$409:$C$508,0)),"Unavailable"))</x:f>
      </x:c>
      <x:c r="T506" s="23" t="str">
        <x:f>IF(C506="","",IFERROR(IF(P506&gt;0,3,IF(OR(INDEX('Facilities'!$AD$9:$AD$108,MATCH(C506,'Facilities'!$C$9:$C$108,0))=2,AND(R506&gt;=INDEX('Facilities'!$L$9:$L$108,MATCH(C506,'Facilities'!$C$9:$C$108,0))*Settings!$F$19,R506-INDEX('Facilities'!$L$9:$L$108,MATCH(C506,'Facilities'!$C$9:$C$108,0))&gt;=Settings!$F$20)),2,1)),"Unavailable"))</x:f>
      </x:c>
      <x:c r="U506" s="23" t="str">
        <x:f>IF(C506="","",IF(AQ506&lt;&gt;"Ready","Unavailable",IF(C506="","",O506*(1-(1-S506)/(1+INDEX('Facilities'!$K$9:$K$108,MATCH(C506,'Facilities'!$C$9:$C$108,0)))^INDEX('Facilities'!$AK$9:$AK$108,MATCH(C506,'Facilities'!$C$9:$C$108,0)))*R506/(1+INDEX('Facilities'!$K$9:$K$108,MATCH(C506,'Facilities'!$C$9:$C$108,0)))*IF(ABS(1-(1-R506)*(1-INDEX('Facilities'!$R$9:$R$108,MATCH(C506,'Facilities'!$C$9:$C$108,0)))/(1+INDEX('Facilities'!$K$9:$K$108,MATCH(C506,'Facilities'!$C$9:$C$108,0))))&lt;0.000000001,IF(T506=1,MIN(1,AJ506),AJ506),(1-((1-R506)*(1-INDEX('Facilities'!$R$9:$R$108,MATCH(C506,'Facilities'!$C$9:$C$108,0)))/(1+INDEX('Facilities'!$K$9:$K$108,MATCH(C506,'Facilities'!$C$9:$C$108,0))))^IF(T506=1,MIN(1,AJ506),AJ506))/(1-(1-R506)*(1-INDEX('Facilities'!$R$9:$R$108,MATCH(C506,'Facilities'!$C$9:$C$108,0)))/(1+INDEX('Facilities'!$K$9:$K$108,MATCH(C506,'Facilities'!$C$9:$C$108,0)))))+AL506)))</x:f>
      </x:c>
      <x:c r="V506" s="23" t="str">
        <x:f>IF(C506="","",IF(AQ506&lt;&gt;"Ready","Unavailable",IF(C506="","",Q506*INDEX('Facilities'!$I$9:$I$108,MATCH(C506,'Facilities'!$C$9:$C$108,0))*(1-(1-S506)/(1+INDEX('Facilities'!$K$9:$K$108,MATCH(C506,'Facilities'!$C$9:$C$108,0)))^INDEX('Facilities'!$AK$9:$AK$108,MATCH(C506,'Facilities'!$C$9:$C$108,0)))*R506/(1+INDEX('Facilities'!$K$9:$K$108,MATCH(C506,'Facilities'!$C$9:$C$108,0)))*IF(ABS(1-(1-R506)*(1-0)/(1+INDEX('Facilities'!$K$9:$K$108,MATCH(C506,'Facilities'!$C$9:$C$108,0))))&lt;0.000000001,IF(T506=1,MIN(1,AJ506),AJ506),(1-((1-R506)*(1-0)/(1+INDEX('Facilities'!$K$9:$K$108,MATCH(C506,'Facilities'!$C$9:$C$108,0))))^IF(T506=1,MIN(1,AJ506),AJ506))/(1-(1-R506)*(1-0)/(1+INDEX('Facilities'!$K$9:$K$108,MATCH(C506,'Facilities'!$C$9:$C$108,0))))))))</x:f>
      </x:c>
      <x:c r="W506" s="21" t="str">
        <x:f>IF(C506="","",IFERROR(U406,"Unavailable"))</x:f>
      </x:c>
      <x:c r="X506" s="21" t="str">
        <x:f>IF(C506="","",IFERROR(V406,"Unavailable"))</x:f>
      </x:c>
      <x:c r="Y506" s="21" t="str">
        <x:f>IF(C506="","",IF(AQ506&lt;&gt;"Ready","Unavailable",IF(C506="","",U506-W506+V506-X506+N506+AG506)))</x:f>
      </x:c>
      <x:c r="Z506" s="23" t="str">
        <x:f>IF(C506="","",IF(AQ506&lt;&gt;"Ready","Unavailable",IF(C506="","",(G506+O506+L506)/2*INDEX('Facilities'!$T$9:$T$108,MATCH(C506,'Facilities'!$C$9:$C$108,0))+AG506)))</x:f>
      </x:c>
      <x:c r="AA506" s="23" t="str">
        <x:f>IF(C506="","",IF(AQ506&lt;&gt;"Ready","Unavailable",IF(C506="","",O506*(1-IF(INDEX('Facilities'!$AA$9:$AA$108,MATCH(C506,'Facilities'!$C$9:$C$108,0))=0,0,MIN(1,INDEX('Facilities'!$X$9:$X$108,MATCH(C506,'Facilities'!$C$9:$C$108,0))/INDEX('Facilities'!$AA$9:$AA$108,MATCH(C506,'Facilities'!$C$9:$C$108,0)))))*AF506+P506*(1-IF(INDEX('Facilities'!$AA$9:$AA$108,MATCH(C506,'Facilities'!$C$9:$C$108,0))=0,0,MIN(1,INDEX('Facilities'!$X$9:$X$108,MATCH(C506,'Facilities'!$C$9:$C$108,0))/INDEX('Facilities'!$AA$9:$AA$108,MATCH(C506,'Facilities'!$C$9:$C$108,0)))))*INDEX('Facilities'!$AJ$9:$AJ$108,MATCH(C506,'Facilities'!$C$9:$C$108,0))+Q506*INDEX('Facilities'!$AI$9:$AI$108,MATCH(C506,'Facilities'!$C$9:$C$108,0))*AF506)))</x:f>
      </x:c>
      <x:c r="AB506" s="21" t="str">
        <x:f>IF(C506="","",O506+P506-AD506)</x:f>
      </x:c>
      <x:c r="AC506" s="23" t="str">
        <x:f>IF(C506="","",IFERROR(IF(INDEX('Facilities'!$AD$9:$AD$108,MATCH(C506,'Facilities'!$C$9:$C$108,0))=3,0,IF(INDEX('Facilities'!$AN$9:$AN$108,MATCH(C506,'Facilities'!$C$9:$C$108,0))=0,-1,INDEX('Facilities'!$AN$9:$AN$108,MATCH(C506,'Facilities'!$C$9:$C$108,0)))),"Unavailable"))</x:f>
      </x:c>
      <x:c r="AD506" s="21" t="str">
        <x:f>IF(C506="","",IFERROR(G506+H506,"Unavailable"))</x:f>
      </x:c>
      <x:c r="AE506" s="21" t="str">
        <x:f>IF(C506="","",IF(AQ506&lt;&gt;"Ready","Unavailable",IF(C506="","",O506+P506-AD506-J506+K506+M506+N506)))</x:f>
      </x:c>
      <x:c r="AF506" s="30" t="str">
        <x:f>IF(C506="","",IFERROR(INDEX('Facilities'!$S$9:$S$108,MATCH(C506,'Facilities'!$C$9:$C$108,0))*'Scenario Paths'!J75,"Unavailable"))</x:f>
      </x:c>
      <x:c r="AG506" s="23" t="str">
        <x:f>IF(C506="","",IF(AQ506&lt;&gt;"Ready","Unavailable",IF(C506="","",IF(H506&gt;0,MAX(0,H506-AK506)*((1+INDEX('Facilities'!$K$9:$K$108,MATCH(C506,'Facilities'!$C$9:$C$108,0)))^MIN(1,MAX(0,AC506+INDEX('Facilities'!$AK$9:$AK$108,MATCH(C506,'Facilities'!$C$9:$C$108,0))-D506+1))-1),0))))</x:f>
      </x:c>
      <x:c r="AH506" s="21" t="str">
        <x:f>IF(C506="","",IF(AQ506&lt;&gt;"Ready","Unavailable",IF(C506="","",O506+P506)))</x:f>
      </x:c>
      <x:c r="AI506" s="21" t="str">
        <x:f>IF(C506="","",IF(AQ506&lt;&gt;"Ready","Unavailable",IF(C506="","",Z506-Y506)))</x:f>
      </x:c>
      <x:c r="AJ506" s="23" t="str">
        <x:f>IF(C506="","",IFERROR(MAX(0,INDEX('Facilities'!$J$9:$J$108,MATCH(C506,'Facilities'!$C$9:$C$108,0))-D506),"Unavailable"))</x:f>
      </x:c>
      <x:c r="AK506" s="21" t="str">
        <x:f>IF(C506="","",IFERROR(AL406,"Unavailable"))</x:f>
      </x:c>
      <x:c r="AL506" s="23" t="str">
        <x:f>IF(C506="","",IFERROR(IF(P506&gt;0,P506*(1-AM506/(1+INDEX('Facilities'!$K$9:$K$108,MATCH(C506,'Facilities'!$C$9:$C$108,0)))^MAX(0,AC506+INDEX('Facilities'!$AK$9:$AK$108,MATCH(C506,'Facilities'!$C$9:$C$108,0))-D506)),0),"Unavailable"))</x:f>
      </x:c>
      <x:c r="AM506" s="30" t="str">
        <x:f>IF(C506="","",IFERROR(INDEX('Facilities'!$AL$9:$AL$108,MATCH(C506,'Facilities'!$C$9:$C$108,0)),"Unavailable"))</x:f>
      </x:c>
      <x:c r="AN506" s="30" t="str">
        <x:f>IF(C506="","",IFERROR(INDEX(Credit!$T$409:$T$508,MATCH(F506,Credit!$C$409:$C$508,0)),"Unavailable"))</x:f>
      </x:c>
      <x:c r="AO506" s="23" t="str">
        <x:f>IF(C506="","",IF(AQ506&lt;&gt;"Ready","Unavailable",IF(C506="","",O506+P506+Q506*INDEX('Facilities'!$I$9:$I$108,MATCH(C506,'Facilities'!$C$9:$C$108,0)))))</x:f>
      </x:c>
      <x:c r="AP506" s="21" t="str">
        <x:f>IF(C506="","",IF(AQ506&lt;&gt;"Ready","Unavailable",IF(C506="","",AH506-U506)))</x:f>
      </x:c>
      <x:c r="AQ506" s="23" t="str">
        <x:f>IFERROR(IF(C506="","",IF(AND(INDEX('Facilities'!$AF$9:$AF$108,MATCH(C506,'Facilities'!$C$9:$C$108,0))="Ready",INDEX(Credit!$U$409:$U$508,MATCH(F506,Credit!$C$409:$C$508,0))="Ready",ISNUMBER(W506)),"Ready","Review inputs")),"Review inputs")</x:f>
      </x:c>
      <x:c r="AR506" s="23" t="str">
        <x:f>IF(C506="","",IF(AQ506&lt;&gt;"Ready","Unavailable",IF(C506="","",IF(O506=0,0,(IF(AJ506&lt;=1,O506,O506*INDEX('Facilities'!$R$9:$R$108,MATCH(C506,'Facilities'!$C$9:$C$108,0)))+O506*INDEX('Facilities'!$T$9:$T$108,MATCH(C506,'Facilities'!$C$9:$C$108,0)))/12))))</x:f>
      </x:c>
    </x:row>
    <x:row r="507" ht="26" customHeight="1">
      <x:c r="A507" s="1"/>
      <x:c r="B507" s="1"/>
      <x:c r="C507" s="9" t="str">
        <x:f>IF(Facilities!C107="","",Facilities!C107)</x:f>
      </x:c>
      <x:c r="D507" s="3" t="n">
        <x:v>5</x:v>
      </x:c>
      <x:c r="E507" s="9" t="n">
        <x:f>Settings!$F$18+4</x:f>
        <x:v>2031</x:v>
      </x:c>
      <x:c r="F507" s="9" t="str">
        <x:f>IF(C507="","",IFERROR(INDEX('Facilities'!$D$9:$D$108,MATCH(C507,'Facilities'!$C$9:$C$108,0)),"Unavailable"))</x:f>
      </x:c>
      <x:c r="G507" s="21" t="str">
        <x:f>IF(C507="","",IFERROR(O407,"Unavailable"))</x:f>
      </x:c>
      <x:c r="H507" s="21" t="str">
        <x:f>IF(C507="","",IFERROR(P407,"Unavailable"))</x:f>
      </x:c>
      <x:c r="I507" s="21" t="str">
        <x:f>IF(C507="","",IFERROR(Q407,"Unavailable"))</x:f>
      </x:c>
      <x:c r="J507" s="23" t="str">
        <x:f>IF(C507="","",IFERROR(IF(OR(H507&gt;0,AND(AC507&gt;=0,AC507&lt;D507),D507&gt;INDEX('Facilities'!$J$9:$J$108,MATCH(C507,'Facilities'!$C$9:$C$108,0))),0,I507*'Scenario Paths'!J81),"Unavailable"))</x:f>
      </x:c>
      <x:c r="K507" s="23" t="str">
        <x:f>IF(C507="","",IFERROR(IF(OR(H507&gt;0,AND(AC507&gt;=0,AC507=D507)),0,IF(D507&gt;=INDEX('Facilities'!$J$9:$J$108,MATCH(C507,'Facilities'!$C$9:$C$108,0)),G507+J507,MIN(G507+J507,G507*INDEX('Facilities'!$R$9:$R$108,MATCH(C507,'Facilities'!$C$9:$C$108,0))))),"Unavailable"))</x:f>
      </x:c>
      <x:c r="L507" s="21" t="str">
        <x:f>IF(C507="","",IFERROR(IF(AND(AC507=D507,AC507&gt;0),MAX(0,G507+J507-K507),0),"Unavailable"))</x:f>
      </x:c>
      <x:c r="M507" s="23" t="str">
        <x:f>IF(C507="","",IFERROR(IF(AND(AC507&gt;=0,D507&gt;=AC507+INDEX('Facilities'!$AK$9:$AK$108,MATCH(C507,'Facilities'!$C$9:$C$108,0))),(H507+L507)*AM507,0),"Unavailable"))</x:f>
      </x:c>
      <x:c r="N507" s="23" t="str">
        <x:f>IF(C507="","",IFERROR(IF(AND(AC507&gt;=0,D507&gt;=AC507+INDEX('Facilities'!$AK$9:$AK$108,MATCH(C507,'Facilities'!$C$9:$C$108,0))),H507+L507-M507,0),"Unavailable"))</x:f>
      </x:c>
      <x:c r="O507" s="21" t="str">
        <x:f>IF(C507="","",IFERROR(MAX(0,G507+J507-K507-L507),"Unavailable"))</x:f>
      </x:c>
      <x:c r="P507" s="21" t="str">
        <x:f>IF(C507="","",IFERROR(MAX(0,H507+L507-M507-N507),"Unavailable"))</x:f>
      </x:c>
      <x:c r="Q507" s="23" t="str">
        <x:f>IF(C507="","",IFERROR(IF(OR(D507&gt;=INDEX('Facilities'!$J$9:$J$108,MATCH(C507,'Facilities'!$C$9:$C$108,0)),AND(AC507&gt;=0,AC507&lt;=D507)),0,MAX(0,I507-J507)),"Unavailable"))</x:f>
      </x:c>
      <x:c r="R507" s="30" t="str">
        <x:f>IF(C507="","",IFERROR(INDEX(Credit!$Q$409:$Q$508,MATCH(F507,Credit!$C$409:$C$508,0)),"Unavailable"))</x:f>
      </x:c>
      <x:c r="S507" s="30" t="str">
        <x:f>IF(C507="","",IFERROR(INDEX(Credit!$R$409:$R$508,MATCH(F507,Credit!$C$409:$C$508,0)),"Unavailable"))</x:f>
      </x:c>
      <x:c r="T507" s="23" t="str">
        <x:f>IF(C507="","",IFERROR(IF(P507&gt;0,3,IF(OR(INDEX('Facilities'!$AD$9:$AD$108,MATCH(C507,'Facilities'!$C$9:$C$108,0))=2,AND(R507&gt;=INDEX('Facilities'!$L$9:$L$108,MATCH(C507,'Facilities'!$C$9:$C$108,0))*Settings!$F$19,R507-INDEX('Facilities'!$L$9:$L$108,MATCH(C507,'Facilities'!$C$9:$C$108,0))&gt;=Settings!$F$20)),2,1)),"Unavailable"))</x:f>
      </x:c>
      <x:c r="U507" s="23" t="str">
        <x:f>IF(C507="","",IF(AQ507&lt;&gt;"Ready","Unavailable",IF(C507="","",O507*(1-(1-S507)/(1+INDEX('Facilities'!$K$9:$K$108,MATCH(C507,'Facilities'!$C$9:$C$108,0)))^INDEX('Facilities'!$AK$9:$AK$108,MATCH(C507,'Facilities'!$C$9:$C$108,0)))*R507/(1+INDEX('Facilities'!$K$9:$K$108,MATCH(C507,'Facilities'!$C$9:$C$108,0)))*IF(ABS(1-(1-R507)*(1-INDEX('Facilities'!$R$9:$R$108,MATCH(C507,'Facilities'!$C$9:$C$108,0)))/(1+INDEX('Facilities'!$K$9:$K$108,MATCH(C507,'Facilities'!$C$9:$C$108,0))))&lt;0.000000001,IF(T507=1,MIN(1,AJ507),AJ507),(1-((1-R507)*(1-INDEX('Facilities'!$R$9:$R$108,MATCH(C507,'Facilities'!$C$9:$C$108,0)))/(1+INDEX('Facilities'!$K$9:$K$108,MATCH(C507,'Facilities'!$C$9:$C$108,0))))^IF(T507=1,MIN(1,AJ507),AJ507))/(1-(1-R507)*(1-INDEX('Facilities'!$R$9:$R$108,MATCH(C507,'Facilities'!$C$9:$C$108,0)))/(1+INDEX('Facilities'!$K$9:$K$108,MATCH(C507,'Facilities'!$C$9:$C$108,0)))))+AL507)))</x:f>
      </x:c>
      <x:c r="V507" s="23" t="str">
        <x:f>IF(C507="","",IF(AQ507&lt;&gt;"Ready","Unavailable",IF(C507="","",Q507*INDEX('Facilities'!$I$9:$I$108,MATCH(C507,'Facilities'!$C$9:$C$108,0))*(1-(1-S507)/(1+INDEX('Facilities'!$K$9:$K$108,MATCH(C507,'Facilities'!$C$9:$C$108,0)))^INDEX('Facilities'!$AK$9:$AK$108,MATCH(C507,'Facilities'!$C$9:$C$108,0)))*R507/(1+INDEX('Facilities'!$K$9:$K$108,MATCH(C507,'Facilities'!$C$9:$C$108,0)))*IF(ABS(1-(1-R507)*(1-0)/(1+INDEX('Facilities'!$K$9:$K$108,MATCH(C507,'Facilities'!$C$9:$C$108,0))))&lt;0.000000001,IF(T507=1,MIN(1,AJ507),AJ507),(1-((1-R507)*(1-0)/(1+INDEX('Facilities'!$K$9:$K$108,MATCH(C507,'Facilities'!$C$9:$C$108,0))))^IF(T507=1,MIN(1,AJ507),AJ507))/(1-(1-R507)*(1-0)/(1+INDEX('Facilities'!$K$9:$K$108,MATCH(C507,'Facilities'!$C$9:$C$108,0))))))))</x:f>
      </x:c>
      <x:c r="W507" s="21" t="str">
        <x:f>IF(C507="","",IFERROR(U407,"Unavailable"))</x:f>
      </x:c>
      <x:c r="X507" s="21" t="str">
        <x:f>IF(C507="","",IFERROR(V407,"Unavailable"))</x:f>
      </x:c>
      <x:c r="Y507" s="21" t="str">
        <x:f>IF(C507="","",IF(AQ507&lt;&gt;"Ready","Unavailable",IF(C507="","",U507-W507+V507-X507+N507+AG507)))</x:f>
      </x:c>
      <x:c r="Z507" s="23" t="str">
        <x:f>IF(C507="","",IF(AQ507&lt;&gt;"Ready","Unavailable",IF(C507="","",(G507+O507+L507)/2*INDEX('Facilities'!$T$9:$T$108,MATCH(C507,'Facilities'!$C$9:$C$108,0))+AG507)))</x:f>
      </x:c>
      <x:c r="AA507" s="23" t="str">
        <x:f>IF(C507="","",IF(AQ507&lt;&gt;"Ready","Unavailable",IF(C507="","",O507*(1-IF(INDEX('Facilities'!$AA$9:$AA$108,MATCH(C507,'Facilities'!$C$9:$C$108,0))=0,0,MIN(1,INDEX('Facilities'!$X$9:$X$108,MATCH(C507,'Facilities'!$C$9:$C$108,0))/INDEX('Facilities'!$AA$9:$AA$108,MATCH(C507,'Facilities'!$C$9:$C$108,0)))))*AF507+P507*(1-IF(INDEX('Facilities'!$AA$9:$AA$108,MATCH(C507,'Facilities'!$C$9:$C$108,0))=0,0,MIN(1,INDEX('Facilities'!$X$9:$X$108,MATCH(C507,'Facilities'!$C$9:$C$108,0))/INDEX('Facilities'!$AA$9:$AA$108,MATCH(C507,'Facilities'!$C$9:$C$108,0)))))*INDEX('Facilities'!$AJ$9:$AJ$108,MATCH(C507,'Facilities'!$C$9:$C$108,0))+Q507*INDEX('Facilities'!$AI$9:$AI$108,MATCH(C507,'Facilities'!$C$9:$C$108,0))*AF507)))</x:f>
      </x:c>
      <x:c r="AB507" s="21" t="str">
        <x:f>IF(C507="","",O507+P507-AD507)</x:f>
      </x:c>
      <x:c r="AC507" s="23" t="str">
        <x:f>IF(C507="","",IFERROR(IF(INDEX('Facilities'!$AD$9:$AD$108,MATCH(C507,'Facilities'!$C$9:$C$108,0))=3,0,IF(INDEX('Facilities'!$AN$9:$AN$108,MATCH(C507,'Facilities'!$C$9:$C$108,0))=0,-1,INDEX('Facilities'!$AN$9:$AN$108,MATCH(C507,'Facilities'!$C$9:$C$108,0)))),"Unavailable"))</x:f>
      </x:c>
      <x:c r="AD507" s="21" t="str">
        <x:f>IF(C507="","",IFERROR(G507+H507,"Unavailable"))</x:f>
      </x:c>
      <x:c r="AE507" s="21" t="str">
        <x:f>IF(C507="","",IF(AQ507&lt;&gt;"Ready","Unavailable",IF(C507="","",O507+P507-AD507-J507+K507+M507+N507)))</x:f>
      </x:c>
      <x:c r="AF507" s="30" t="str">
        <x:f>IF(C507="","",IFERROR(INDEX('Facilities'!$S$9:$S$108,MATCH(C507,'Facilities'!$C$9:$C$108,0))*'Scenario Paths'!J75,"Unavailable"))</x:f>
      </x:c>
      <x:c r="AG507" s="23" t="str">
        <x:f>IF(C507="","",IF(AQ507&lt;&gt;"Ready","Unavailable",IF(C507="","",IF(H507&gt;0,MAX(0,H507-AK507)*((1+INDEX('Facilities'!$K$9:$K$108,MATCH(C507,'Facilities'!$C$9:$C$108,0)))^MIN(1,MAX(0,AC507+INDEX('Facilities'!$AK$9:$AK$108,MATCH(C507,'Facilities'!$C$9:$C$108,0))-D507+1))-1),0))))</x:f>
      </x:c>
      <x:c r="AH507" s="21" t="str">
        <x:f>IF(C507="","",IF(AQ507&lt;&gt;"Ready","Unavailable",IF(C507="","",O507+P507)))</x:f>
      </x:c>
      <x:c r="AI507" s="21" t="str">
        <x:f>IF(C507="","",IF(AQ507&lt;&gt;"Ready","Unavailable",IF(C507="","",Z507-Y507)))</x:f>
      </x:c>
      <x:c r="AJ507" s="23" t="str">
        <x:f>IF(C507="","",IFERROR(MAX(0,INDEX('Facilities'!$J$9:$J$108,MATCH(C507,'Facilities'!$C$9:$C$108,0))-D507),"Unavailable"))</x:f>
      </x:c>
      <x:c r="AK507" s="21" t="str">
        <x:f>IF(C507="","",IFERROR(AL407,"Unavailable"))</x:f>
      </x:c>
      <x:c r="AL507" s="23" t="str">
        <x:f>IF(C507="","",IFERROR(IF(P507&gt;0,P507*(1-AM507/(1+INDEX('Facilities'!$K$9:$K$108,MATCH(C507,'Facilities'!$C$9:$C$108,0)))^MAX(0,AC507+INDEX('Facilities'!$AK$9:$AK$108,MATCH(C507,'Facilities'!$C$9:$C$108,0))-D507)),0),"Unavailable"))</x:f>
      </x:c>
      <x:c r="AM507" s="30" t="str">
        <x:f>IF(C507="","",IFERROR(INDEX('Facilities'!$AL$9:$AL$108,MATCH(C507,'Facilities'!$C$9:$C$108,0)),"Unavailable"))</x:f>
      </x:c>
      <x:c r="AN507" s="30" t="str">
        <x:f>IF(C507="","",IFERROR(INDEX(Credit!$T$409:$T$508,MATCH(F507,Credit!$C$409:$C$508,0)),"Unavailable"))</x:f>
      </x:c>
      <x:c r="AO507" s="23" t="str">
        <x:f>IF(C507="","",IF(AQ507&lt;&gt;"Ready","Unavailable",IF(C507="","",O507+P507+Q507*INDEX('Facilities'!$I$9:$I$108,MATCH(C507,'Facilities'!$C$9:$C$108,0)))))</x:f>
      </x:c>
      <x:c r="AP507" s="21" t="str">
        <x:f>IF(C507="","",IF(AQ507&lt;&gt;"Ready","Unavailable",IF(C507="","",AH507-U507)))</x:f>
      </x:c>
      <x:c r="AQ507" s="23" t="str">
        <x:f>IFERROR(IF(C507="","",IF(AND(INDEX('Facilities'!$AF$9:$AF$108,MATCH(C507,'Facilities'!$C$9:$C$108,0))="Ready",INDEX(Credit!$U$409:$U$508,MATCH(F507,Credit!$C$409:$C$508,0))="Ready",ISNUMBER(W507)),"Ready","Review inputs")),"Review inputs")</x:f>
      </x:c>
      <x:c r="AR507" s="23" t="str">
        <x:f>IF(C507="","",IF(AQ507&lt;&gt;"Ready","Unavailable",IF(C507="","",IF(O507=0,0,(IF(AJ507&lt;=1,O507,O507*INDEX('Facilities'!$R$9:$R$108,MATCH(C507,'Facilities'!$C$9:$C$108,0)))+O507*INDEX('Facilities'!$T$9:$T$108,MATCH(C507,'Facilities'!$C$9:$C$108,0)))/12))))</x:f>
      </x:c>
    </x:row>
    <x:row r="508" ht="26" customHeight="1">
      <x:c r="A508" s="1"/>
      <x:c r="B508" s="1"/>
      <x:c r="C508" s="9" t="str">
        <x:f>IF(Facilities!C108="","",Facilities!C108)</x:f>
      </x:c>
      <x:c r="D508" s="3" t="n">
        <x:v>5</x:v>
      </x:c>
      <x:c r="E508" s="9" t="n">
        <x:f>Settings!$F$18+4</x:f>
        <x:v>2031</x:v>
      </x:c>
      <x:c r="F508" s="9" t="str">
        <x:f>IF(C508="","",IFERROR(INDEX('Facilities'!$D$9:$D$108,MATCH(C508,'Facilities'!$C$9:$C$108,0)),"Unavailable"))</x:f>
      </x:c>
      <x:c r="G508" s="21" t="str">
        <x:f>IF(C508="","",IFERROR(O408,"Unavailable"))</x:f>
      </x:c>
      <x:c r="H508" s="21" t="str">
        <x:f>IF(C508="","",IFERROR(P408,"Unavailable"))</x:f>
      </x:c>
      <x:c r="I508" s="21" t="str">
        <x:f>IF(C508="","",IFERROR(Q408,"Unavailable"))</x:f>
      </x:c>
      <x:c r="J508" s="23" t="str">
        <x:f>IF(C508="","",IFERROR(IF(OR(H508&gt;0,AND(AC508&gt;=0,AC508&lt;D508),D508&gt;INDEX('Facilities'!$J$9:$J$108,MATCH(C508,'Facilities'!$C$9:$C$108,0))),0,I508*'Scenario Paths'!J81),"Unavailable"))</x:f>
      </x:c>
      <x:c r="K508" s="23" t="str">
        <x:f>IF(C508="","",IFERROR(IF(OR(H508&gt;0,AND(AC508&gt;=0,AC508=D508)),0,IF(D508&gt;=INDEX('Facilities'!$J$9:$J$108,MATCH(C508,'Facilities'!$C$9:$C$108,0)),G508+J508,MIN(G508+J508,G508*INDEX('Facilities'!$R$9:$R$108,MATCH(C508,'Facilities'!$C$9:$C$108,0))))),"Unavailable"))</x:f>
      </x:c>
      <x:c r="L508" s="21" t="str">
        <x:f>IF(C508="","",IFERROR(IF(AND(AC508=D508,AC508&gt;0),MAX(0,G508+J508-K508),0),"Unavailable"))</x:f>
      </x:c>
      <x:c r="M508" s="23" t="str">
        <x:f>IF(C508="","",IFERROR(IF(AND(AC508&gt;=0,D508&gt;=AC508+INDEX('Facilities'!$AK$9:$AK$108,MATCH(C508,'Facilities'!$C$9:$C$108,0))),(H508+L508)*AM508,0),"Unavailable"))</x:f>
      </x:c>
      <x:c r="N508" s="23" t="str">
        <x:f>IF(C508="","",IFERROR(IF(AND(AC508&gt;=0,D508&gt;=AC508+INDEX('Facilities'!$AK$9:$AK$108,MATCH(C508,'Facilities'!$C$9:$C$108,0))),H508+L508-M508,0),"Unavailable"))</x:f>
      </x:c>
      <x:c r="O508" s="21" t="str">
        <x:f>IF(C508="","",IFERROR(MAX(0,G508+J508-K508-L508),"Unavailable"))</x:f>
      </x:c>
      <x:c r="P508" s="21" t="str">
        <x:f>IF(C508="","",IFERROR(MAX(0,H508+L508-M508-N508),"Unavailable"))</x:f>
      </x:c>
      <x:c r="Q508" s="23" t="str">
        <x:f>IF(C508="","",IFERROR(IF(OR(D508&gt;=INDEX('Facilities'!$J$9:$J$108,MATCH(C508,'Facilities'!$C$9:$C$108,0)),AND(AC508&gt;=0,AC508&lt;=D508)),0,MAX(0,I508-J508)),"Unavailable"))</x:f>
      </x:c>
      <x:c r="R508" s="30" t="str">
        <x:f>IF(C508="","",IFERROR(INDEX(Credit!$Q$409:$Q$508,MATCH(F508,Credit!$C$409:$C$508,0)),"Unavailable"))</x:f>
      </x:c>
      <x:c r="S508" s="30" t="str">
        <x:f>IF(C508="","",IFERROR(INDEX(Credit!$R$409:$R$508,MATCH(F508,Credit!$C$409:$C$508,0)),"Unavailable"))</x:f>
      </x:c>
      <x:c r="T508" s="23" t="str">
        <x:f>IF(C508="","",IFERROR(IF(P508&gt;0,3,IF(OR(INDEX('Facilities'!$AD$9:$AD$108,MATCH(C508,'Facilities'!$C$9:$C$108,0))=2,AND(R508&gt;=INDEX('Facilities'!$L$9:$L$108,MATCH(C508,'Facilities'!$C$9:$C$108,0))*Settings!$F$19,R508-INDEX('Facilities'!$L$9:$L$108,MATCH(C508,'Facilities'!$C$9:$C$108,0))&gt;=Settings!$F$20)),2,1)),"Unavailable"))</x:f>
      </x:c>
      <x:c r="U508" s="23" t="str">
        <x:f>IF(C508="","",IF(AQ508&lt;&gt;"Ready","Unavailable",IF(C508="","",O508*(1-(1-S508)/(1+INDEX('Facilities'!$K$9:$K$108,MATCH(C508,'Facilities'!$C$9:$C$108,0)))^INDEX('Facilities'!$AK$9:$AK$108,MATCH(C508,'Facilities'!$C$9:$C$108,0)))*R508/(1+INDEX('Facilities'!$K$9:$K$108,MATCH(C508,'Facilities'!$C$9:$C$108,0)))*IF(ABS(1-(1-R508)*(1-INDEX('Facilities'!$R$9:$R$108,MATCH(C508,'Facilities'!$C$9:$C$108,0)))/(1+INDEX('Facilities'!$K$9:$K$108,MATCH(C508,'Facilities'!$C$9:$C$108,0))))&lt;0.000000001,IF(T508=1,MIN(1,AJ508),AJ508),(1-((1-R508)*(1-INDEX('Facilities'!$R$9:$R$108,MATCH(C508,'Facilities'!$C$9:$C$108,0)))/(1+INDEX('Facilities'!$K$9:$K$108,MATCH(C508,'Facilities'!$C$9:$C$108,0))))^IF(T508=1,MIN(1,AJ508),AJ508))/(1-(1-R508)*(1-INDEX('Facilities'!$R$9:$R$108,MATCH(C508,'Facilities'!$C$9:$C$108,0)))/(1+INDEX('Facilities'!$K$9:$K$108,MATCH(C508,'Facilities'!$C$9:$C$108,0)))))+AL508)))</x:f>
      </x:c>
      <x:c r="V508" s="23" t="str">
        <x:f>IF(C508="","",IF(AQ508&lt;&gt;"Ready","Unavailable",IF(C508="","",Q508*INDEX('Facilities'!$I$9:$I$108,MATCH(C508,'Facilities'!$C$9:$C$108,0))*(1-(1-S508)/(1+INDEX('Facilities'!$K$9:$K$108,MATCH(C508,'Facilities'!$C$9:$C$108,0)))^INDEX('Facilities'!$AK$9:$AK$108,MATCH(C508,'Facilities'!$C$9:$C$108,0)))*R508/(1+INDEX('Facilities'!$K$9:$K$108,MATCH(C508,'Facilities'!$C$9:$C$108,0)))*IF(ABS(1-(1-R508)*(1-0)/(1+INDEX('Facilities'!$K$9:$K$108,MATCH(C508,'Facilities'!$C$9:$C$108,0))))&lt;0.000000001,IF(T508=1,MIN(1,AJ508),AJ508),(1-((1-R508)*(1-0)/(1+INDEX('Facilities'!$K$9:$K$108,MATCH(C508,'Facilities'!$C$9:$C$108,0))))^IF(T508=1,MIN(1,AJ508),AJ508))/(1-(1-R508)*(1-0)/(1+INDEX('Facilities'!$K$9:$K$108,MATCH(C508,'Facilities'!$C$9:$C$108,0))))))))</x:f>
      </x:c>
      <x:c r="W508" s="21" t="str">
        <x:f>IF(C508="","",IFERROR(U408,"Unavailable"))</x:f>
      </x:c>
      <x:c r="X508" s="21" t="str">
        <x:f>IF(C508="","",IFERROR(V408,"Unavailable"))</x:f>
      </x:c>
      <x:c r="Y508" s="21" t="str">
        <x:f>IF(C508="","",IF(AQ508&lt;&gt;"Ready","Unavailable",IF(C508="","",U508-W508+V508-X508+N508+AG508)))</x:f>
      </x:c>
      <x:c r="Z508" s="23" t="str">
        <x:f>IF(C508="","",IF(AQ508&lt;&gt;"Ready","Unavailable",IF(C508="","",(G508+O508+L508)/2*INDEX('Facilities'!$T$9:$T$108,MATCH(C508,'Facilities'!$C$9:$C$108,0))+AG508)))</x:f>
      </x:c>
      <x:c r="AA508" s="23" t="str">
        <x:f>IF(C508="","",IF(AQ508&lt;&gt;"Ready","Unavailable",IF(C508="","",O508*(1-IF(INDEX('Facilities'!$AA$9:$AA$108,MATCH(C508,'Facilities'!$C$9:$C$108,0))=0,0,MIN(1,INDEX('Facilities'!$X$9:$X$108,MATCH(C508,'Facilities'!$C$9:$C$108,0))/INDEX('Facilities'!$AA$9:$AA$108,MATCH(C508,'Facilities'!$C$9:$C$108,0)))))*AF508+P508*(1-IF(INDEX('Facilities'!$AA$9:$AA$108,MATCH(C508,'Facilities'!$C$9:$C$108,0))=0,0,MIN(1,INDEX('Facilities'!$X$9:$X$108,MATCH(C508,'Facilities'!$C$9:$C$108,0))/INDEX('Facilities'!$AA$9:$AA$108,MATCH(C508,'Facilities'!$C$9:$C$108,0)))))*INDEX('Facilities'!$AJ$9:$AJ$108,MATCH(C508,'Facilities'!$C$9:$C$108,0))+Q508*INDEX('Facilities'!$AI$9:$AI$108,MATCH(C508,'Facilities'!$C$9:$C$108,0))*AF508)))</x:f>
      </x:c>
      <x:c r="AB508" s="21" t="str">
        <x:f>IF(C508="","",O508+P508-AD508)</x:f>
      </x:c>
      <x:c r="AC508" s="23" t="str">
        <x:f>IF(C508="","",IFERROR(IF(INDEX('Facilities'!$AD$9:$AD$108,MATCH(C508,'Facilities'!$C$9:$C$108,0))=3,0,IF(INDEX('Facilities'!$AN$9:$AN$108,MATCH(C508,'Facilities'!$C$9:$C$108,0))=0,-1,INDEX('Facilities'!$AN$9:$AN$108,MATCH(C508,'Facilities'!$C$9:$C$108,0)))),"Unavailable"))</x:f>
      </x:c>
      <x:c r="AD508" s="21" t="str">
        <x:f>IF(C508="","",IFERROR(G508+H508,"Unavailable"))</x:f>
      </x:c>
      <x:c r="AE508" s="21" t="str">
        <x:f>IF(C508="","",IF(AQ508&lt;&gt;"Ready","Unavailable",IF(C508="","",O508+P508-AD508-J508+K508+M508+N508)))</x:f>
      </x:c>
      <x:c r="AF508" s="30" t="str">
        <x:f>IF(C508="","",IFERROR(INDEX('Facilities'!$S$9:$S$108,MATCH(C508,'Facilities'!$C$9:$C$108,0))*'Scenario Paths'!J75,"Unavailable"))</x:f>
      </x:c>
      <x:c r="AG508" s="23" t="str">
        <x:f>IF(C508="","",IF(AQ508&lt;&gt;"Ready","Unavailable",IF(C508="","",IF(H508&gt;0,MAX(0,H508-AK508)*((1+INDEX('Facilities'!$K$9:$K$108,MATCH(C508,'Facilities'!$C$9:$C$108,0)))^MIN(1,MAX(0,AC508+INDEX('Facilities'!$AK$9:$AK$108,MATCH(C508,'Facilities'!$C$9:$C$108,0))-D508+1))-1),0))))</x:f>
      </x:c>
      <x:c r="AH508" s="21" t="str">
        <x:f>IF(C508="","",IF(AQ508&lt;&gt;"Ready","Unavailable",IF(C508="","",O508+P508)))</x:f>
      </x:c>
      <x:c r="AI508" s="21" t="str">
        <x:f>IF(C508="","",IF(AQ508&lt;&gt;"Ready","Unavailable",IF(C508="","",Z508-Y508)))</x:f>
      </x:c>
      <x:c r="AJ508" s="23" t="str">
        <x:f>IF(C508="","",IFERROR(MAX(0,INDEX('Facilities'!$J$9:$J$108,MATCH(C508,'Facilities'!$C$9:$C$108,0))-D508),"Unavailable"))</x:f>
      </x:c>
      <x:c r="AK508" s="21" t="str">
        <x:f>IF(C508="","",IFERROR(AL408,"Unavailable"))</x:f>
      </x:c>
      <x:c r="AL508" s="23" t="str">
        <x:f>IF(C508="","",IFERROR(IF(P508&gt;0,P508*(1-AM508/(1+INDEX('Facilities'!$K$9:$K$108,MATCH(C508,'Facilities'!$C$9:$C$108,0)))^MAX(0,AC508+INDEX('Facilities'!$AK$9:$AK$108,MATCH(C508,'Facilities'!$C$9:$C$108,0))-D508)),0),"Unavailable"))</x:f>
      </x:c>
      <x:c r="AM508" s="30" t="str">
        <x:f>IF(C508="","",IFERROR(INDEX('Facilities'!$AL$9:$AL$108,MATCH(C508,'Facilities'!$C$9:$C$108,0)),"Unavailable"))</x:f>
      </x:c>
      <x:c r="AN508" s="30" t="str">
        <x:f>IF(C508="","",IFERROR(INDEX(Credit!$T$409:$T$508,MATCH(F508,Credit!$C$409:$C$508,0)),"Unavailable"))</x:f>
      </x:c>
      <x:c r="AO508" s="23" t="str">
        <x:f>IF(C508="","",IF(AQ508&lt;&gt;"Ready","Unavailable",IF(C508="","",O508+P508+Q508*INDEX('Facilities'!$I$9:$I$108,MATCH(C508,'Facilities'!$C$9:$C$108,0)))))</x:f>
      </x:c>
      <x:c r="AP508" s="21" t="str">
        <x:f>IF(C508="","",IF(AQ508&lt;&gt;"Ready","Unavailable",IF(C508="","",AH508-U508)))</x:f>
      </x:c>
      <x:c r="AQ508" s="23" t="str">
        <x:f>IFERROR(IF(C508="","",IF(AND(INDEX('Facilities'!$AF$9:$AF$108,MATCH(C508,'Facilities'!$C$9:$C$108,0))="Ready",INDEX(Credit!$U$409:$U$508,MATCH(F508,Credit!$C$409:$C$508,0))="Ready",ISNUMBER(W508)),"Ready","Review inputs")),"Review inputs")</x:f>
      </x:c>
      <x:c r="AR508" s="23" t="str">
        <x:f>IF(C508="","",IF(AQ508&lt;&gt;"Ready","Unavailable",IF(C508="","",IF(O508=0,0,(IF(AJ508&lt;=1,O508,O508*INDEX('Facilities'!$R$9:$R$108,MATCH(C508,'Facilities'!$C$9:$C$108,0)))+O508*INDEX('Facilities'!$T$9:$T$108,MATCH(C508,'Facilities'!$C$9:$C$108,0)))/12))))</x:f>
      </x:c>
    </x:row>
    <x:row r="509" ht="26" customHeight="1">
      <x:c r="A509" s="1"/>
      <x:c r="B509" s="1"/>
      <x:c r="C509" s="3"/>
      <x:c r="D509" s="3"/>
      <x:c r="E509" s="3"/>
      <x:c r="F509" s="3"/>
      <x:c r="G509" s="3"/>
      <x:c r="H509" s="3"/>
      <x:c r="I509" s="3"/>
      <x:c r="J509" s="3"/>
      <x:c r="K509" s="3"/>
      <x:c r="L509" s="3"/>
      <x:c r="M509" s="3"/>
      <x:c r="N509" s="3"/>
      <x:c r="O509" s="3"/>
      <x:c r="P509" s="3"/>
      <x:c r="Q509" s="3"/>
      <x:c r="R509" s="3"/>
      <x:c r="S509" s="3"/>
      <x:c r="T509" s="3"/>
      <x:c r="U509" s="3"/>
      <x:c r="V509" s="3"/>
      <x:c r="W509" s="3"/>
      <x:c r="X509" s="3"/>
      <x:c r="Y509" s="3"/>
      <x:c r="Z509" s="3"/>
      <x:c r="AA509" s="3"/>
      <x:c r="AB509" s="3"/>
      <x:c r="AC509" s="3"/>
      <x:c r="AD509" s="3"/>
      <x:c r="AE509" s="3"/>
      <x:c r="AF509" s="3"/>
      <x:c r="AG509" s="3"/>
      <x:c r="AH509" s="3"/>
      <x:c r="AI509" s="3"/>
      <x:c r="AJ509" s="3"/>
      <x:c r="AK509" s="3"/>
      <x:c r="AL509" s="3"/>
      <x:c r="AM509" s="3"/>
      <x:c r="AN509" s="3"/>
      <x:c r="AO509" s="3"/>
      <x:c r="AP509" s="3"/>
      <x:c r="AQ509" s="3"/>
      <x:c r="AR509" s="3"/>
    </x:row>
    <x:row r="510" ht="26" customHeight="1">
      <x:c r="A510" s="1"/>
      <x:c r="B510" s="1"/>
      <x:c r="C510" s="3"/>
      <x:c r="D510" s="3"/>
      <x:c r="E510" s="3"/>
      <x:c r="F510" s="3"/>
      <x:c r="G510" s="3"/>
      <x:c r="H510" s="3"/>
      <x:c r="I510" s="3"/>
      <x:c r="J510" s="3"/>
      <x:c r="K510" s="3"/>
      <x:c r="L510" s="3"/>
      <x:c r="M510" s="3"/>
      <x:c r="N510" s="3"/>
      <x:c r="O510" s="3"/>
      <x:c r="P510" s="3"/>
      <x:c r="Q510" s="3"/>
      <x:c r="R510" s="3"/>
      <x:c r="S510" s="3"/>
      <x:c r="T510" s="3"/>
      <x:c r="U510" s="3"/>
      <x:c r="V510" s="3"/>
      <x:c r="W510" s="3"/>
      <x:c r="X510" s="3"/>
      <x:c r="Y510" s="3"/>
      <x:c r="Z510" s="3"/>
      <x:c r="AA510" s="3"/>
      <x:c r="AB510" s="3"/>
      <x:c r="AC510" s="3"/>
      <x:c r="AD510" s="3"/>
      <x:c r="AE510" s="3"/>
      <x:c r="AF510" s="3"/>
      <x:c r="AG510" s="3"/>
      <x:c r="AH510" s="3"/>
      <x:c r="AI510" s="3"/>
      <x:c r="AJ510" s="3"/>
      <x:c r="AK510" s="3"/>
      <x:c r="AL510" s="3"/>
      <x:c r="AM510" s="3"/>
      <x:c r="AN510" s="3"/>
      <x:c r="AO510" s="3"/>
      <x:c r="AP510" s="3"/>
      <x:c r="AQ510" s="3"/>
      <x:c r="AR510" s="3"/>
    </x:row>
    <x:row r="511" ht="26" customHeight="1">
      <x:c r="A511" s="1"/>
      <x:c r="B511" s="1"/>
      <x:c r="C511" s="3"/>
      <x:c r="D511" s="3"/>
      <x:c r="E511" s="3"/>
      <x:c r="F511" s="3"/>
      <x:c r="G511" s="3"/>
      <x:c r="H511" s="3"/>
      <x:c r="I511" s="3"/>
      <x:c r="J511" s="3"/>
      <x:c r="K511" s="3"/>
      <x:c r="L511" s="3"/>
      <x:c r="M511" s="3"/>
      <x:c r="N511" s="3"/>
      <x:c r="O511" s="3"/>
      <x:c r="P511" s="3"/>
      <x:c r="Q511" s="3"/>
      <x:c r="R511" s="3"/>
      <x:c r="S511" s="3"/>
      <x:c r="T511" s="3"/>
      <x:c r="U511" s="3"/>
      <x:c r="V511" s="3"/>
      <x:c r="W511" s="3"/>
      <x:c r="X511" s="3"/>
      <x:c r="Y511" s="3"/>
      <x:c r="Z511" s="3"/>
      <x:c r="AA511" s="3"/>
      <x:c r="AB511" s="3"/>
      <x:c r="AC511" s="3"/>
      <x:c r="AD511" s="3"/>
      <x:c r="AE511" s="3"/>
      <x:c r="AF511" s="3"/>
      <x:c r="AG511" s="3"/>
      <x:c r="AH511" s="3"/>
      <x:c r="AI511" s="3"/>
      <x:c r="AJ511" s="3"/>
      <x:c r="AK511" s="3"/>
      <x:c r="AL511" s="3"/>
      <x:c r="AM511" s="3"/>
      <x:c r="AN511" s="3"/>
      <x:c r="AO511" s="3"/>
      <x:c r="AP511" s="3"/>
      <x:c r="AQ511" s="3"/>
      <x:c r="AR511" s="3"/>
    </x:row>
    <x:row r="512" ht="26" customHeight="1">
      <x:c r="A512" s="1"/>
      <x:c r="B512" s="1"/>
      <x:c r="C512" s="3"/>
      <x:c r="D512" s="3"/>
      <x:c r="E512" s="3"/>
      <x:c r="F512" s="3"/>
      <x:c r="G512" s="3"/>
      <x:c r="H512" s="3"/>
      <x:c r="I512" s="3"/>
      <x:c r="J512" s="3"/>
      <x:c r="K512" s="3"/>
      <x:c r="L512" s="3"/>
      <x:c r="M512" s="3"/>
      <x:c r="N512" s="3"/>
      <x:c r="O512" s="3"/>
      <x:c r="P512" s="3"/>
      <x:c r="Q512" s="3"/>
      <x:c r="R512" s="3"/>
      <x:c r="S512" s="3"/>
      <x:c r="T512" s="3"/>
      <x:c r="U512" s="3"/>
      <x:c r="V512" s="3"/>
      <x:c r="W512" s="3"/>
      <x:c r="X512" s="3"/>
      <x:c r="Y512" s="3"/>
      <x:c r="Z512" s="3"/>
      <x:c r="AA512" s="3"/>
      <x:c r="AB512" s="3"/>
      <x:c r="AC512" s="3"/>
      <x:c r="AD512" s="3"/>
      <x:c r="AE512" s="3"/>
      <x:c r="AF512" s="3"/>
      <x:c r="AG512" s="3"/>
      <x:c r="AH512" s="3"/>
      <x:c r="AI512" s="3"/>
      <x:c r="AJ512" s="3"/>
      <x:c r="AK512" s="3"/>
      <x:c r="AL512" s="3"/>
      <x:c r="AM512" s="3"/>
      <x:c r="AN512" s="3"/>
      <x:c r="AO512" s="3"/>
      <x:c r="AP512" s="3"/>
      <x:c r="AQ512" s="3"/>
      <x:c r="AR512" s="3"/>
    </x:row>
  </x:sheetData>
  <x:mergeCells>
    <x:mergeCell ref="C2:H2"/>
    <x:mergeCell ref="C3:M3"/>
    <x:mergeCell ref="C7:F7"/>
    <x:mergeCell ref="G7:J7"/>
    <x:mergeCell ref="K7:N7"/>
    <x:mergeCell ref="C1:D1"/>
    <x:mergeCell ref="E1:F1"/>
    <x:mergeCell ref="G1:H1"/>
    <x:mergeCell ref="I1:J1"/>
    <x:mergeCell ref="K1:L1"/>
    <x:mergeCell ref="M1:N1"/>
  </x:mergeCells>
  <x:conditionalFormatting sqref="AQ9:AQ508">
    <x:cfRule type="containsText" dxfId="112" priority="1" operator="containsText" text="Missing"/>
    <x:cfRule type="containsText" dxfId="113" priority="2" operator="containsText" text="Required"/>
    <x:cfRule type="containsText" dxfId="114" priority="3" operator="containsText" text="required"/>
    <x:cfRule type="containsText" dxfId="115" priority="4" operator="containsText" text="Expired"/>
    <x:cfRule type="containsText" dxfId="116" priority="5" operator="containsText" text="Hold"/>
    <x:cfRule type="containsText" dxfId="117" priority="6" operator="containsText" text="Review"/>
    <x:cfRule type="containsText" dxfId="118" priority="7" operator="containsText" text="Incomplete"/>
    <x:cfRule type="containsText" dxfId="119" priority="8" operator="containsText" text="Pending"/>
    <x:cfRule type="containsText" dxfId="120" priority="9" operator="containsText" text="Unsupported"/>
    <x:cfRule type="containsText" dxfId="121" priority="10" operator="containsText" text="Criteria"/>
    <x:cfRule type="containsText" dxfId="122" priority="11" operator="containsText" text="Fail"/>
    <x:cfRule type="containsText" dxfId="123" priority="12" operator="containsText" text="Stop"/>
    <x:cfRule type="containsText" dxfId="124" priority="13" operator="containsText" text="Breach"/>
    <x:cfRule type="containsText" dxfId="125" priority="14" operator="containsText" text="Invalid"/>
    <x:cfRule type="containsText" dxfId="126" priority="15" operator="containsText" text="Duplicate"/>
    <x:cfRule type="containsText" dxfId="127" priority="16" operator="containsText" text="Not aligned"/>
  </x:conditionalFormatting>
  <x:hyperlinks>
    <x:hyperlink ref="C7" location="'Facility Plan'!G8" display="Loan balances" tooltip="Open Facility Plan"/>
    <x:hyperlink ref="G7" location="'Facility Plan'!U8" display="Allowances and charge" tooltip="Open Facility Plan"/>
    <x:hyperlink ref="K7" location="'Facility Plan'!AA8" display="RWA and reconciliation" tooltip="Open Facility Plan"/>
    <x:hyperlink ref="C1" location="'Overview'!C2" display="Home" tooltip="Open Overview"/>
    <x:hyperlink ref="E1" location="'Customer'!C2" display="Customer" tooltip="Open Customer"/>
    <x:hyperlink ref="G1" location="'Capital'!C2" display="Capital" tooltip="Open Capital"/>
    <x:hyperlink ref="I1" location="'Disclosures'!C2" display="Reporting" tooltip="Open Disclosures"/>
    <x:hyperlink ref="K1" location="'Borrowers'!C8" display="Inputs" tooltip="Open Borrowers"/>
    <x:hyperlink ref="M1" location="'Settings'!C5" display="Settings" tooltip="Open Settings"/>
  </x:hyperlinks>
  <x:pageMargins left="0.7" right="0.7" top="0.75" bottom="0.75" header="0.3" footer="0.3"/>
  <x:tableParts count="1">
    <x:tablePart xmlns:r="http://schemas.openxmlformats.org/officeDocument/2006/relationships" r:id="R723f006714104c15"/>
  </x:tableParts>
</x:worksheet>
</file>

<file path=xl/worksheets/sheet11.xml><?xml version="1.0" encoding="utf-8"?>
<x:worksheet xmlns:x="http://schemas.openxmlformats.org/spreadsheetml/2006/main">
  <x:sheetPr>
    <x:tabColor rgb="FF007F86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2.4000000953674316" hidden="0" customWidth="1"/>
    <x:col min="2" max="2" width="2.4000000953674316" hidden="0" customWidth="1"/>
    <x:col min="3" max="3" width="34" hidden="0" customWidth="1"/>
    <x:col min="4" max="4" width="25" hidden="0" customWidth="1"/>
    <x:col min="5" max="5" width="15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5" hidden="0" customWidth="1"/>
  </x:cols>
  <x:sheetData>
    <x:row r="1" ht="27" customHeight="1">
      <x:c r="A1" s="1"/>
      <x:c r="B1" s="1"/>
      <x:c r="C1" s="50" t="str">
        <x:v>Home</x:v>
      </x:c>
      <x:c r="D1" s="50"/>
      <x:c r="E1" s="63" t="str">
        <x:v>Customer</x:v>
      </x:c>
      <x:c r="F1" s="63"/>
      <x:c r="G1" s="63" t="str">
        <x:v>Capital</x:v>
      </x:c>
      <x:c r="H1" s="63"/>
      <x:c r="I1" s="63" t="str">
        <x:v>Reporting</x:v>
      </x:c>
      <x:c r="J1" s="63"/>
      <x:c r="K1" s="125" t="str">
        <x:v>Inputs</x:v>
      </x:c>
      <x:c r="L1" s="125"/>
      <x:c r="M1" s="125" t="str">
        <x:v>Settings</x:v>
      </x:c>
      <x:c r="N1" s="125"/>
    </x:row>
    <x:row r="2" ht="45" customHeight="1">
      <x:c r="A2" s="1"/>
      <x:c r="B2" s="1"/>
      <x:c r="C2" s="5" t="str">
        <x:v>Scenario paths</x:v>
      </x:c>
      <x:c r="D2" s="5"/>
      <x:c r="E2" s="5"/>
      <x:c r="F2" s="5"/>
      <x:c r="G2" s="5"/>
      <x:c r="H2" s="5"/>
      <x:c r="I2" s="5"/>
      <x:c r="J2" s="5"/>
    </x:row>
    <x:row r="3" ht="32" customHeight="1">
      <x:c r="A3" s="1"/>
      <x:c r="B3" s="1"/>
      <x:c r="C3" s="6" t="str">
        <x:v>Five annual periods. Active rows drive one forecast. Synthetic shocks require calibration.</x:v>
      </x:c>
      <x:c r="D3" s="6"/>
      <x:c r="E3" s="6"/>
      <x:c r="F3" s="6"/>
      <x:c r="G3" s="6"/>
      <x:c r="H3" s="6"/>
      <x:c r="I3" s="6"/>
      <x:c r="J3" s="6"/>
      <x:c r="K3" s="24"/>
      <x:c r="L3" s="24"/>
      <x:c r="M3" s="24"/>
    </x:row>
    <x:row r="4" ht="26" customHeight="1">
      <x:c r="A4" s="1"/>
      <x:c r="B4" s="1"/>
      <x:c r="C4" s="3"/>
      <x:c r="D4" s="3"/>
      <x:c r="E4" s="3"/>
      <x:c r="F4" s="3"/>
      <x:c r="G4" s="3"/>
      <x:c r="H4" s="3"/>
      <x:c r="I4" s="3"/>
      <x:c r="J4" s="3"/>
    </x:row>
    <x:row r="5" ht="26" customHeight="1">
      <x:c r="A5" s="1"/>
      <x:c r="B5" s="1"/>
      <x:c r="C5" s="3" t="str">
        <x:v>Selected scenario</x:v>
      </x:c>
      <x:c r="D5" s="3"/>
      <x:c r="E5" s="3"/>
      <x:c r="F5" s="9" t="str">
        <x:f>Settings!F6</x:f>
        <x:v>Delayed transition</x:v>
      </x:c>
      <x:c r="G5" s="3"/>
      <x:c r="H5" s="3"/>
      <x:c r="I5" s="3"/>
      <x:c r="J5" s="3"/>
    </x:row>
    <x:row r="6" ht="26" customHeight="1">
      <x:c r="A6" s="1"/>
      <x:c r="B6" s="1"/>
      <x:c r="C6" s="3" t="str">
        <x:v>Selected inputs</x:v>
      </x:c>
      <x:c r="D6" s="3"/>
      <x:c r="E6" s="3"/>
      <x:c r="F6" s="3" t="str">
        <x:f>IF(SUM(K9,K15,K21,K27,K33,K39,K45,K51,K57,K63,K69,K75,K81,K90,K96,K102,K108,K114,K120,K126,K132,K138,K144,K150,K156)&lt;&gt;125,"Missing selected assumptions",IF(OR(MIN(F21:J21)&lt;0,MAX(F21:J21)&gt;1,MIN(F27:J27)&lt;0,MAX(F27:J27)&gt;1,MIN(F39:J39)&lt;0,MAX(F39:J39)&gt;1,MIN(F45:J45)&lt;0,MAX(F45:J45)&gt;1,MIN(F63:J63)&lt;0,MAX(F63:J63)&gt;1,MIN(F81:J81)&lt;0,MAX(F81:J81)&gt;1,MIN(F9:J9)&lt;0,MIN(F33:J33)&lt;0,MIN(F51:J51)&lt;0,MIN(F57:J57)&lt;0,MIN(F75:J75)&lt;0,MIN(F15:J15)&lt;-1,MIN(F90:J90)&lt;-1,MIN(F96:J96)&lt;-1,MIN(F102:J102)&lt;-1,MIN(F108:J108)&lt;-1,MIN(F114:J114)&lt;-1,MIN(F120:J120)&lt;-1,MIN(F126:J126)&lt;-1,MIN(F132:J132)&lt;-1,MIN(F138:J138)&lt;-1,MIN(F144:J144)&lt;-1,MIN(F150:J150)&lt;-1,MIN(F156:J156)&lt;-1),"Invalid selected assumptions","Ready"))</x:f>
        <x:v>Ready</x:v>
      </x:c>
      <x:c r="G6" s="3"/>
      <x:c r="H6" s="3"/>
      <x:c r="I6" s="3"/>
      <x:c r="J6" s="3"/>
    </x:row>
    <x:row r="7" ht="26" customHeight="1">
      <x:c r="A7" s="1"/>
      <x:c r="B7" s="1"/>
      <x:c r="C7" s="3"/>
      <x:c r="D7" s="3"/>
      <x:c r="E7" s="3"/>
      <x:c r="F7" s="3"/>
      <x:c r="G7" s="3"/>
      <x:c r="H7" s="3"/>
      <x:c r="I7" s="3"/>
      <x:c r="J7" s="3"/>
    </x:row>
    <x:row r="8" ht="46" customHeight="1">
      <x:c r="A8" s="1"/>
      <x:c r="B8" s="1"/>
      <x:c r="C8" s="15" t="str">
        <x:v>Driver</x:v>
      </x:c>
      <x:c r="D8" s="15" t="str">
        <x:v>Case</x:v>
      </x:c>
      <x:c r="E8" s="15" t="str">
        <x:v>Unit</x:v>
      </x:c>
      <x:c r="F8" s="15" t="n">
        <x:f>Settings!$F$18+0</x:f>
        <x:v>2027</x:v>
      </x:c>
      <x:c r="G8" s="15" t="n">
        <x:f>Settings!$F$18+1</x:f>
        <x:v>2028</x:v>
      </x:c>
      <x:c r="H8" s="15" t="n">
        <x:f>Settings!$F$18+2</x:f>
        <x:v>2029</x:v>
      </x:c>
      <x:c r="I8" s="15" t="n">
        <x:f>Settings!$F$18+3</x:f>
        <x:v>2030</x:v>
      </x:c>
      <x:c r="J8" s="15" t="n">
        <x:f>Settings!$F$18+4</x:f>
        <x:v>2031</x:v>
      </x:c>
      <x:c r="K8" t="str">
        <x:v>Fields entered</x:v>
      </x:c>
    </x:row>
    <x:row r="9" ht="26" customHeight="1">
      <x:c r="A9" s="1"/>
      <x:c r="B9" s="1"/>
      <x:c r="C9" s="12" t="str">
        <x:v>Incremental carbon price</x:v>
      </x:c>
      <x:c r="D9" s="12" t="str">
        <x:v>Active selection</x:v>
      </x:c>
      <x:c r="E9" s="12" t="str">
        <x:v>USD/t</x:v>
      </x:c>
      <x:c r="F9" s="26" t="n">
        <x:f>INDEX(F10:F13,MATCH(Settings!$F$6,$D$10:$D$13,0))</x:f>
        <x:v>15</x:v>
      </x:c>
      <x:c r="G9" s="26" t="n">
        <x:f>INDEX(G10:G13,MATCH(Settings!$F$6,$D$10:$D$13,0))</x:f>
        <x:v>25</x:v>
      </x:c>
      <x:c r="H9" s="26" t="n">
        <x:f>INDEX(H10:H13,MATCH(Settings!$F$6,$D$10:$D$13,0))</x:f>
        <x:v>100</x:v>
      </x:c>
      <x:c r="I9" s="26" t="n">
        <x:f>INDEX(I10:I13,MATCH(Settings!$F$6,$D$10:$D$13,0))</x:f>
        <x:v>130</x:v>
      </x:c>
      <x:c r="J9" s="26" t="n">
        <x:f>INDEX(J10:J13,MATCH(Settings!$F$6,$D$10:$D$13,0))</x:f>
        <x:v>150</x:v>
      </x:c>
      <x:c r="K9" s="29" t="n">
        <x:f>INDEX(K10:K13,MATCH(Settings!$F$6,D10:D13,0))</x:f>
        <x:v>5</x:v>
      </x:c>
    </x:row>
    <x:row r="10" ht="26" customHeight="1">
      <x:c r="A10" s="1"/>
      <x:c r="B10" s="1"/>
      <x:c r="C10" s="3"/>
      <x:c r="D10" s="3" t="str">
        <x:v>Baseline</x:v>
      </x:c>
      <x:c r="E10" s="3"/>
      <x:c r="F10" s="16" t="n">
        <x:v>0</x:v>
      </x:c>
      <x:c r="G10" s="16" t="n">
        <x:v>0</x:v>
      </x:c>
      <x:c r="H10" s="16" t="n">
        <x:v>0</x:v>
      </x:c>
      <x:c r="I10" s="16" t="n">
        <x:v>0</x:v>
      </x:c>
      <x:c r="J10" s="16" t="n">
        <x:v>0</x:v>
      </x:c>
      <x:c r="K10" s="28" t="n">
        <x:f>COUNT(F10:J10)</x:f>
        <x:v>5</x:v>
      </x:c>
    </x:row>
    <x:row r="11" ht="26" customHeight="1">
      <x:c r="A11" s="1"/>
      <x:c r="B11" s="1"/>
      <x:c r="C11" s="3"/>
      <x:c r="D11" s="3" t="str">
        <x:v>Orderly transition</x:v>
      </x:c>
      <x:c r="E11" s="3"/>
      <x:c r="F11" s="16" t="n">
        <x:v>20</x:v>
      </x:c>
      <x:c r="G11" s="16" t="n">
        <x:v>30</x:v>
      </x:c>
      <x:c r="H11" s="16" t="n">
        <x:v>40</x:v>
      </x:c>
      <x:c r="I11" s="16" t="n">
        <x:v>50</x:v>
      </x:c>
      <x:c r="J11" s="16" t="n">
        <x:v>60</x:v>
      </x:c>
      <x:c r="K11" s="28" t="n">
        <x:f>COUNT(F11:J11)</x:f>
        <x:v>5</x:v>
      </x:c>
    </x:row>
    <x:row r="12" ht="26" customHeight="1">
      <x:c r="A12" s="1"/>
      <x:c r="B12" s="1"/>
      <x:c r="C12" s="3"/>
      <x:c r="D12" s="3" t="str">
        <x:v>Delayed transition</x:v>
      </x:c>
      <x:c r="E12" s="3"/>
      <x:c r="F12" s="16" t="n">
        <x:v>15</x:v>
      </x:c>
      <x:c r="G12" s="16" t="n">
        <x:v>25</x:v>
      </x:c>
      <x:c r="H12" s="16" t="n">
        <x:v>100</x:v>
      </x:c>
      <x:c r="I12" s="16" t="n">
        <x:v>130</x:v>
      </x:c>
      <x:c r="J12" s="16" t="n">
        <x:v>150</x:v>
      </x:c>
      <x:c r="K12" s="28" t="n">
        <x:f>COUNT(F12:J12)</x:f>
        <x:v>5</x:v>
      </x:c>
    </x:row>
    <x:row r="13" ht="26" customHeight="1">
      <x:c r="A13" s="1"/>
      <x:c r="B13" s="1"/>
      <x:c r="C13" s="3"/>
      <x:c r="D13" s="3" t="str">
        <x:v>Physical shock</x:v>
      </x:c>
      <x:c r="E13" s="3"/>
      <x:c r="F13" s="16" t="n">
        <x:v>0</x:v>
      </x:c>
      <x:c r="G13" s="16" t="n">
        <x:v>0</x:v>
      </x:c>
      <x:c r="H13" s="16" t="n">
        <x:v>0</x:v>
      </x:c>
      <x:c r="I13" s="16" t="n">
        <x:v>0</x:v>
      </x:c>
      <x:c r="J13" s="16" t="n">
        <x:v>0</x:v>
      </x:c>
      <x:c r="K13" s="28" t="n">
        <x:f>COUNT(F13:J13)</x:f>
        <x:v>5</x:v>
      </x:c>
    </x:row>
    <x:row r="14" ht="26" customHeight="1">
      <x:c r="A14" s="1"/>
      <x:c r="B14" s="1"/>
      <x:c r="C14" s="3"/>
      <x:c r="D14" s="3"/>
      <x:c r="E14" s="3"/>
      <x:c r="F14" s="3"/>
      <x:c r="G14" s="3"/>
      <x:c r="H14" s="3"/>
      <x:c r="I14" s="3"/>
      <x:c r="J14" s="3"/>
    </x:row>
    <x:row r="15" ht="26" customHeight="1">
      <x:c r="A15" s="1"/>
      <x:c r="B15" s="1"/>
      <x:c r="C15" s="12" t="str">
        <x:v>Energy price increase</x:v>
      </x:c>
      <x:c r="D15" s="12" t="str">
        <x:v>Active selection</x:v>
      </x:c>
      <x:c r="E15" s="12" t="str">
        <x:v>%</x:v>
      </x:c>
      <x:c r="F15" s="27" t="n">
        <x:f>INDEX(F16:F19,MATCH(Settings!$F$6,$D$16:$D$19,0))</x:f>
        <x:v>0.05</x:v>
      </x:c>
      <x:c r="G15" s="27" t="n">
        <x:f>INDEX(G16:G19,MATCH(Settings!$F$6,$D$16:$D$19,0))</x:f>
        <x:v>0.1</x:v>
      </x:c>
      <x:c r="H15" s="27" t="n">
        <x:f>INDEX(H16:H19,MATCH(Settings!$F$6,$D$16:$D$19,0))</x:f>
        <x:v>0.3</x:v>
      </x:c>
      <x:c r="I15" s="27" t="n">
        <x:f>INDEX(I16:I19,MATCH(Settings!$F$6,$D$16:$D$19,0))</x:f>
        <x:v>0.25</x:v>
      </x:c>
      <x:c r="J15" s="27" t="n">
        <x:f>INDEX(J16:J19,MATCH(Settings!$F$6,$D$16:$D$19,0))</x:f>
        <x:v>0.18</x:v>
      </x:c>
      <x:c r="K15" s="29" t="n">
        <x:f>INDEX(K16:K19,MATCH(Settings!$F$6,D16:D19,0))</x:f>
        <x:v>5</x:v>
      </x:c>
    </x:row>
    <x:row r="16" ht="26" customHeight="1">
      <x:c r="A16" s="1"/>
      <x:c r="B16" s="1"/>
      <x:c r="C16" s="3"/>
      <x:c r="D16" s="3" t="str">
        <x:v>Baseline</x:v>
      </x:c>
      <x:c r="E16" s="3"/>
      <x:c r="F16" s="11" t="n">
        <x:v>0</x:v>
      </x:c>
      <x:c r="G16" s="11" t="n">
        <x:v>0</x:v>
      </x:c>
      <x:c r="H16" s="11" t="n">
        <x:v>0</x:v>
      </x:c>
      <x:c r="I16" s="11" t="n">
        <x:v>0</x:v>
      </x:c>
      <x:c r="J16" s="11" t="n">
        <x:v>0</x:v>
      </x:c>
      <x:c r="K16" s="28" t="n">
        <x:f>COUNT(F16:J16)</x:f>
        <x:v>5</x:v>
      </x:c>
    </x:row>
    <x:row r="17" ht="26" customHeight="1">
      <x:c r="A17" s="1"/>
      <x:c r="B17" s="1"/>
      <x:c r="C17" s="3"/>
      <x:c r="D17" s="3" t="str">
        <x:v>Orderly transition</x:v>
      </x:c>
      <x:c r="E17" s="3"/>
      <x:c r="F17" s="11" t="n">
        <x:v>0.05</x:v>
      </x:c>
      <x:c r="G17" s="11" t="n">
        <x:v>0.06</x:v>
      </x:c>
      <x:c r="H17" s="11" t="n">
        <x:v>0.08</x:v>
      </x:c>
      <x:c r="I17" s="11" t="n">
        <x:v>0.07</x:v>
      </x:c>
      <x:c r="J17" s="11" t="n">
        <x:v>0.06</x:v>
      </x:c>
      <x:c r="K17" s="28" t="n">
        <x:f>COUNT(F17:J17)</x:f>
        <x:v>5</x:v>
      </x:c>
    </x:row>
    <x:row r="18" ht="26" customHeight="1">
      <x:c r="A18" s="1"/>
      <x:c r="B18" s="1"/>
      <x:c r="C18" s="3"/>
      <x:c r="D18" s="3" t="str">
        <x:v>Delayed transition</x:v>
      </x:c>
      <x:c r="E18" s="3"/>
      <x:c r="F18" s="11" t="n">
        <x:v>0.05</x:v>
      </x:c>
      <x:c r="G18" s="11" t="n">
        <x:v>0.1</x:v>
      </x:c>
      <x:c r="H18" s="11" t="n">
        <x:v>0.3</x:v>
      </x:c>
      <x:c r="I18" s="11" t="n">
        <x:v>0.25</x:v>
      </x:c>
      <x:c r="J18" s="11" t="n">
        <x:v>0.18</x:v>
      </x:c>
      <x:c r="K18" s="28" t="n">
        <x:f>COUNT(F18:J18)</x:f>
        <x:v>5</x:v>
      </x:c>
    </x:row>
    <x:row r="19" ht="26" customHeight="1">
      <x:c r="A19" s="1"/>
      <x:c r="B19" s="1"/>
      <x:c r="C19" s="3"/>
      <x:c r="D19" s="3" t="str">
        <x:v>Physical shock</x:v>
      </x:c>
      <x:c r="E19" s="3"/>
      <x:c r="F19" s="11" t="n">
        <x:v>0.05</x:v>
      </x:c>
      <x:c r="G19" s="11" t="n">
        <x:v>0.08</x:v>
      </x:c>
      <x:c r="H19" s="11" t="n">
        <x:v>0.05</x:v>
      </x:c>
      <x:c r="I19" s="11" t="n">
        <x:v>0.03</x:v>
      </x:c>
      <x:c r="J19" s="11" t="n">
        <x:v>0.02</x:v>
      </x:c>
      <x:c r="K19" s="28" t="n">
        <x:f>COUNT(F19:J19)</x:f>
        <x:v>5</x:v>
      </x:c>
    </x:row>
    <x:row r="20" ht="26" customHeight="1">
      <x:c r="A20" s="1"/>
      <x:c r="B20" s="1"/>
      <x:c r="C20" s="3"/>
      <x:c r="D20" s="3"/>
      <x:c r="E20" s="3"/>
      <x:c r="F20" s="3"/>
      <x:c r="G20" s="3"/>
      <x:c r="H20" s="3"/>
      <x:c r="I20" s="3"/>
      <x:c r="J20" s="3"/>
    </x:row>
    <x:row r="21" ht="26" customHeight="1">
      <x:c r="A21" s="1"/>
      <x:c r="B21" s="1"/>
      <x:c r="C21" s="12" t="str">
        <x:v>Business interruption</x:v>
      </x:c>
      <x:c r="D21" s="12" t="str">
        <x:v>Active selection</x:v>
      </x:c>
      <x:c r="E21" s="12" t="str">
        <x:v>%</x:v>
      </x:c>
      <x:c r="F21" s="27" t="n">
        <x:f>INDEX(F22:F25,MATCH(Settings!$F$6,$D$22:$D$25,0))</x:f>
        <x:v>0.006</x:v>
      </x:c>
      <x:c r="G21" s="27" t="n">
        <x:f>INDEX(G22:G25,MATCH(Settings!$F$6,$D$22:$D$25,0))</x:f>
        <x:v>0.01</x:v>
      </x:c>
      <x:c r="H21" s="27" t="n">
        <x:f>INDEX(H22:H25,MATCH(Settings!$F$6,$D$22:$D$25,0))</x:f>
        <x:v>0.018</x:v>
      </x:c>
      <x:c r="I21" s="27" t="n">
        <x:f>INDEX(I22:I25,MATCH(Settings!$F$6,$D$22:$D$25,0))</x:f>
        <x:v>0.02</x:v>
      </x:c>
      <x:c r="J21" s="27" t="n">
        <x:f>INDEX(J22:J25,MATCH(Settings!$F$6,$D$22:$D$25,0))</x:f>
        <x:v>0.023</x:v>
      </x:c>
      <x:c r="K21" s="29" t="n">
        <x:f>INDEX(K22:K25,MATCH(Settings!$F$6,D22:D25,0))</x:f>
        <x:v>5</x:v>
      </x:c>
    </x:row>
    <x:row r="22" ht="26" customHeight="1">
      <x:c r="A22" s="1"/>
      <x:c r="B22" s="1"/>
      <x:c r="C22" s="3"/>
      <x:c r="D22" s="3" t="str">
        <x:v>Baseline</x:v>
      </x:c>
      <x:c r="E22" s="3"/>
      <x:c r="F22" s="11" t="n">
        <x:v>0</x:v>
      </x:c>
      <x:c r="G22" s="11" t="n">
        <x:v>0</x:v>
      </x:c>
      <x:c r="H22" s="11" t="n">
        <x:v>0</x:v>
      </x:c>
      <x:c r="I22" s="11" t="n">
        <x:v>0</x:v>
      </x:c>
      <x:c r="J22" s="11" t="n">
        <x:v>0</x:v>
      </x:c>
      <x:c r="K22" s="28" t="n">
        <x:f>COUNT(F22:J22)</x:f>
        <x:v>5</x:v>
      </x:c>
    </x:row>
    <x:row r="23" ht="26" customHeight="1">
      <x:c r="A23" s="1"/>
      <x:c r="B23" s="1"/>
      <x:c r="C23" s="3"/>
      <x:c r="D23" s="3" t="str">
        <x:v>Orderly transition</x:v>
      </x:c>
      <x:c r="E23" s="3"/>
      <x:c r="F23" s="11" t="n">
        <x:v>0.005</x:v>
      </x:c>
      <x:c r="G23" s="11" t="n">
        <x:v>0.005</x:v>
      </x:c>
      <x:c r="H23" s="11" t="n">
        <x:v>0.006</x:v>
      </x:c>
      <x:c r="I23" s="11" t="n">
        <x:v>0.007</x:v>
      </x:c>
      <x:c r="J23" s="11" t="n">
        <x:v>0.008</x:v>
      </x:c>
      <x:c r="K23" s="28" t="n">
        <x:f>COUNT(F23:J23)</x:f>
        <x:v>5</x:v>
      </x:c>
    </x:row>
    <x:row r="24" ht="26" customHeight="1">
      <x:c r="A24" s="1"/>
      <x:c r="B24" s="1"/>
      <x:c r="C24" s="3"/>
      <x:c r="D24" s="3" t="str">
        <x:v>Delayed transition</x:v>
      </x:c>
      <x:c r="E24" s="3"/>
      <x:c r="F24" s="11" t="n">
        <x:v>0.006</x:v>
      </x:c>
      <x:c r="G24" s="11" t="n">
        <x:v>0.01</x:v>
      </x:c>
      <x:c r="H24" s="11" t="n">
        <x:v>0.018</x:v>
      </x:c>
      <x:c r="I24" s="11" t="n">
        <x:v>0.02</x:v>
      </x:c>
      <x:c r="J24" s="11" t="n">
        <x:v>0.023</x:v>
      </x:c>
      <x:c r="K24" s="28" t="n">
        <x:f>COUNT(F24:J24)</x:f>
        <x:v>5</x:v>
      </x:c>
    </x:row>
    <x:row r="25" ht="26" customHeight="1">
      <x:c r="A25" s="1"/>
      <x:c r="B25" s="1"/>
      <x:c r="C25" s="3"/>
      <x:c r="D25" s="3" t="str">
        <x:v>Physical shock</x:v>
      </x:c>
      <x:c r="E25" s="3"/>
      <x:c r="F25" s="11" t="n">
        <x:v>0.12</x:v>
      </x:c>
      <x:c r="G25" s="11" t="n">
        <x:v>0.1</x:v>
      </x:c>
      <x:c r="H25" s="11" t="n">
        <x:v>0.08</x:v>
      </x:c>
      <x:c r="I25" s="11" t="n">
        <x:v>0.06</x:v>
      </x:c>
      <x:c r="J25" s="11" t="n">
        <x:v>0.05</x:v>
      </x:c>
      <x:c r="K25" s="28" t="n">
        <x:f>COUNT(F25:J25)</x:f>
        <x:v>5</x:v>
      </x:c>
    </x:row>
    <x:row r="26" ht="26" customHeight="1">
      <x:c r="A26" s="1"/>
      <x:c r="B26" s="1"/>
      <x:c r="C26" s="3"/>
      <x:c r="D26" s="3"/>
      <x:c r="E26" s="3"/>
      <x:c r="F26" s="3"/>
      <x:c r="G26" s="3"/>
      <x:c r="H26" s="3"/>
      <x:c r="I26" s="3"/>
      <x:c r="J26" s="3"/>
    </x:row>
    <x:row r="27" ht="26" customHeight="1">
      <x:c r="A27" s="1"/>
      <x:c r="B27" s="1"/>
      <x:c r="C27" s="12" t="str">
        <x:v>Physical asset damage</x:v>
      </x:c>
      <x:c r="D27" s="12" t="str">
        <x:v>Active selection</x:v>
      </x:c>
      <x:c r="E27" s="12" t="str">
        <x:v>%</x:v>
      </x:c>
      <x:c r="F27" s="27" t="n">
        <x:f>INDEX(F28:F31,MATCH(Settings!$F$6,$D$28:$D$31,0))</x:f>
        <x:v>0.005</x:v>
      </x:c>
      <x:c r="G27" s="27" t="n">
        <x:f>INDEX(G28:G31,MATCH(Settings!$F$6,$D$28:$D$31,0))</x:f>
        <x:v>0.01</x:v>
      </x:c>
      <x:c r="H27" s="27" t="n">
        <x:f>INDEX(H28:H31,MATCH(Settings!$F$6,$D$28:$D$31,0))</x:f>
        <x:v>0.02</x:v>
      </x:c>
      <x:c r="I27" s="27" t="n">
        <x:f>INDEX(I28:I31,MATCH(Settings!$F$6,$D$28:$D$31,0))</x:f>
        <x:v>0.03</x:v>
      </x:c>
      <x:c r="J27" s="27" t="n">
        <x:f>INDEX(J28:J31,MATCH(Settings!$F$6,$D$28:$D$31,0))</x:f>
        <x:v>0.04</x:v>
      </x:c>
      <x:c r="K27" s="29" t="n">
        <x:f>INDEX(K28:K31,MATCH(Settings!$F$6,D28:D31,0))</x:f>
        <x:v>5</x:v>
      </x:c>
    </x:row>
    <x:row r="28" ht="26" customHeight="1">
      <x:c r="A28" s="1"/>
      <x:c r="B28" s="1"/>
      <x:c r="C28" s="3"/>
      <x:c r="D28" s="3" t="str">
        <x:v>Baseline</x:v>
      </x:c>
      <x:c r="E28" s="3"/>
      <x:c r="F28" s="11" t="n">
        <x:v>0</x:v>
      </x:c>
      <x:c r="G28" s="11" t="n">
        <x:v>0</x:v>
      </x:c>
      <x:c r="H28" s="11" t="n">
        <x:v>0</x:v>
      </x:c>
      <x:c r="I28" s="11" t="n">
        <x:v>0</x:v>
      </x:c>
      <x:c r="J28" s="11" t="n">
        <x:v>0</x:v>
      </x:c>
      <x:c r="K28" s="28" t="n">
        <x:f>COUNT(F28:J28)</x:f>
        <x:v>5</x:v>
      </x:c>
    </x:row>
    <x:row r="29" ht="26" customHeight="1">
      <x:c r="A29" s="1"/>
      <x:c r="B29" s="1"/>
      <x:c r="C29" s="3"/>
      <x:c r="D29" s="3" t="str">
        <x:v>Orderly transition</x:v>
      </x:c>
      <x:c r="E29" s="3"/>
      <x:c r="F29" s="11" t="n">
        <x:v>0.002</x:v>
      </x:c>
      <x:c r="G29" s="11" t="n">
        <x:v>0.003</x:v>
      </x:c>
      <x:c r="H29" s="11" t="n">
        <x:v>0.004</x:v>
      </x:c>
      <x:c r="I29" s="11" t="n">
        <x:v>0.005</x:v>
      </x:c>
      <x:c r="J29" s="11" t="n">
        <x:v>0.006</x:v>
      </x:c>
      <x:c r="K29" s="28" t="n">
        <x:f>COUNT(F29:J29)</x:f>
        <x:v>5</x:v>
      </x:c>
    </x:row>
    <x:row r="30" ht="26" customHeight="1">
      <x:c r="A30" s="1"/>
      <x:c r="B30" s="1"/>
      <x:c r="C30" s="3"/>
      <x:c r="D30" s="3" t="str">
        <x:v>Delayed transition</x:v>
      </x:c>
      <x:c r="E30" s="3"/>
      <x:c r="F30" s="11" t="n">
        <x:v>0.005</x:v>
      </x:c>
      <x:c r="G30" s="11" t="n">
        <x:v>0.01</x:v>
      </x:c>
      <x:c r="H30" s="11" t="n">
        <x:v>0.02</x:v>
      </x:c>
      <x:c r="I30" s="11" t="n">
        <x:v>0.03</x:v>
      </x:c>
      <x:c r="J30" s="11" t="n">
        <x:v>0.04</x:v>
      </x:c>
      <x:c r="K30" s="28" t="n">
        <x:f>COUNT(F30:J30)</x:f>
        <x:v>5</x:v>
      </x:c>
    </x:row>
    <x:row r="31" ht="26" customHeight="1">
      <x:c r="A31" s="1"/>
      <x:c r="B31" s="1"/>
      <x:c r="C31" s="3"/>
      <x:c r="D31" s="3" t="str">
        <x:v>Physical shock</x:v>
      </x:c>
      <x:c r="E31" s="3"/>
      <x:c r="F31" s="11" t="n">
        <x:v>0.2</x:v>
      </x:c>
      <x:c r="G31" s="11" t="n">
        <x:v>0.08</x:v>
      </x:c>
      <x:c r="H31" s="11" t="n">
        <x:v>0.06</x:v>
      </x:c>
      <x:c r="I31" s="11" t="n">
        <x:v>0.04</x:v>
      </x:c>
      <x:c r="J31" s="11" t="n">
        <x:v>0.03</x:v>
      </x:c>
      <x:c r="K31" s="28" t="n">
        <x:f>COUNT(F31:J31)</x:f>
        <x:v>5</x:v>
      </x:c>
    </x:row>
    <x:row r="32" ht="26" customHeight="1">
      <x:c r="A32" s="1"/>
      <x:c r="B32" s="1"/>
      <x:c r="C32" s="3"/>
      <x:c r="D32" s="3"/>
      <x:c r="E32" s="3"/>
      <x:c r="F32" s="3"/>
      <x:c r="G32" s="3"/>
      <x:c r="H32" s="3"/>
      <x:c r="I32" s="3"/>
      <x:c r="J32" s="3"/>
    </x:row>
    <x:row r="33" ht="26" customHeight="1">
      <x:c r="A33" s="1"/>
      <x:c r="B33" s="1"/>
      <x:c r="C33" s="12" t="str">
        <x:v>Transition capex / sales</x:v>
      </x:c>
      <x:c r="D33" s="12" t="str">
        <x:v>Active selection</x:v>
      </x:c>
      <x:c r="E33" s="12" t="str">
        <x:v>%</x:v>
      </x:c>
      <x:c r="F33" s="27" t="n">
        <x:f>INDEX(F34:F37,MATCH(Settings!$F$6,$D$34:$D$37,0))</x:f>
        <x:v>0.005</x:v>
      </x:c>
      <x:c r="G33" s="27" t="n">
        <x:f>INDEX(G34:G37,MATCH(Settings!$F$6,$D$34:$D$37,0))</x:f>
        <x:v>0.01</x:v>
      </x:c>
      <x:c r="H33" s="27" t="n">
        <x:f>INDEX(H34:H37,MATCH(Settings!$F$6,$D$34:$D$37,0))</x:f>
        <x:v>0.045</x:v>
      </x:c>
      <x:c r="I33" s="27" t="n">
        <x:f>INDEX(I34:I37,MATCH(Settings!$F$6,$D$34:$D$37,0))</x:f>
        <x:v>0.035</x:v>
      </x:c>
      <x:c r="J33" s="27" t="n">
        <x:f>INDEX(J34:J37,MATCH(Settings!$F$6,$D$34:$D$37,0))</x:f>
        <x:v>0.025</x:v>
      </x:c>
      <x:c r="K33" s="29" t="n">
        <x:f>INDEX(K34:K37,MATCH(Settings!$F$6,D34:D37,0))</x:f>
        <x:v>5</x:v>
      </x:c>
    </x:row>
    <x:row r="34" ht="26" customHeight="1">
      <x:c r="A34" s="1"/>
      <x:c r="B34" s="1"/>
      <x:c r="C34" s="3"/>
      <x:c r="D34" s="3" t="str">
        <x:v>Baseline</x:v>
      </x:c>
      <x:c r="E34" s="3"/>
      <x:c r="F34" s="11" t="n">
        <x:v>0</x:v>
      </x:c>
      <x:c r="G34" s="11" t="n">
        <x:v>0</x:v>
      </x:c>
      <x:c r="H34" s="11" t="n">
        <x:v>0</x:v>
      </x:c>
      <x:c r="I34" s="11" t="n">
        <x:v>0</x:v>
      </x:c>
      <x:c r="J34" s="11" t="n">
        <x:v>0</x:v>
      </x:c>
      <x:c r="K34" s="28" t="n">
        <x:f>COUNT(F34:J34)</x:f>
        <x:v>5</x:v>
      </x:c>
    </x:row>
    <x:row r="35" ht="26" customHeight="1">
      <x:c r="A35" s="1"/>
      <x:c r="B35" s="1"/>
      <x:c r="C35" s="3"/>
      <x:c r="D35" s="3" t="str">
        <x:v>Orderly transition</x:v>
      </x:c>
      <x:c r="E35" s="3"/>
      <x:c r="F35" s="11" t="n">
        <x:v>0.015</x:v>
      </x:c>
      <x:c r="G35" s="11" t="n">
        <x:v>0.015</x:v>
      </x:c>
      <x:c r="H35" s="11" t="n">
        <x:v>0.012</x:v>
      </x:c>
      <x:c r="I35" s="11" t="n">
        <x:v>0.01</x:v>
      </x:c>
      <x:c r="J35" s="11" t="n">
        <x:v>0.008</x:v>
      </x:c>
      <x:c r="K35" s="28" t="n">
        <x:f>COUNT(F35:J35)</x:f>
        <x:v>5</x:v>
      </x:c>
    </x:row>
    <x:row r="36" ht="26" customHeight="1">
      <x:c r="A36" s="1"/>
      <x:c r="B36" s="1"/>
      <x:c r="C36" s="3"/>
      <x:c r="D36" s="3" t="str">
        <x:v>Delayed transition</x:v>
      </x:c>
      <x:c r="E36" s="3"/>
      <x:c r="F36" s="11" t="n">
        <x:v>0.005</x:v>
      </x:c>
      <x:c r="G36" s="11" t="n">
        <x:v>0.01</x:v>
      </x:c>
      <x:c r="H36" s="11" t="n">
        <x:v>0.045</x:v>
      </x:c>
      <x:c r="I36" s="11" t="n">
        <x:v>0.035</x:v>
      </x:c>
      <x:c r="J36" s="11" t="n">
        <x:v>0.025</x:v>
      </x:c>
      <x:c r="K36" s="28" t="n">
        <x:f>COUNT(F36:J36)</x:f>
        <x:v>5</x:v>
      </x:c>
    </x:row>
    <x:row r="37" ht="26" customHeight="1">
      <x:c r="A37" s="1"/>
      <x:c r="B37" s="1"/>
      <x:c r="C37" s="3"/>
      <x:c r="D37" s="3" t="str">
        <x:v>Physical shock</x:v>
      </x:c>
      <x:c r="E37" s="3"/>
      <x:c r="F37" s="11" t="n">
        <x:v>0</x:v>
      </x:c>
      <x:c r="G37" s="11" t="n">
        <x:v>0</x:v>
      </x:c>
      <x:c r="H37" s="11" t="n">
        <x:v>0</x:v>
      </x:c>
      <x:c r="I37" s="11" t="n">
        <x:v>0</x:v>
      </x:c>
      <x:c r="J37" s="11" t="n">
        <x:v>0</x:v>
      </x:c>
      <x:c r="K37" s="28" t="n">
        <x:f>COUNT(F37:J37)</x:f>
        <x:v>5</x:v>
      </x:c>
    </x:row>
    <x:row r="38" ht="26" customHeight="1">
      <x:c r="A38" s="1"/>
      <x:c r="B38" s="1"/>
      <x:c r="C38" s="3"/>
      <x:c r="D38" s="3"/>
      <x:c r="E38" s="3"/>
      <x:c r="F38" s="3"/>
      <x:c r="G38" s="3"/>
      <x:c r="H38" s="3"/>
      <x:c r="I38" s="3"/>
      <x:c r="J38" s="3"/>
    </x:row>
    <x:row r="39" ht="26" customHeight="1">
      <x:c r="A39" s="1"/>
      <x:c r="B39" s="1"/>
      <x:c r="C39" s="12" t="str">
        <x:v>Abatement delivered</x:v>
      </x:c>
      <x:c r="D39" s="12" t="str">
        <x:v>Active selection</x:v>
      </x:c>
      <x:c r="E39" s="12" t="str">
        <x:v>%</x:v>
      </x:c>
      <x:c r="F39" s="27" t="n">
        <x:f>INDEX(F40:F43,MATCH(Settings!$F$6,$D$40:$D$43,0))</x:f>
        <x:v>0.05</x:v>
      </x:c>
      <x:c r="G39" s="27" t="n">
        <x:f>INDEX(G40:G43,MATCH(Settings!$F$6,$D$40:$D$43,0))</x:f>
        <x:v>0.1</x:v>
      </x:c>
      <x:c r="H39" s="27" t="n">
        <x:f>INDEX(H40:H43,MATCH(Settings!$F$6,$D$40:$D$43,0))</x:f>
        <x:v>0.3</x:v>
      </x:c>
      <x:c r="I39" s="27" t="n">
        <x:f>INDEX(I40:I43,MATCH(Settings!$F$6,$D$40:$D$43,0))</x:f>
        <x:v>0.55</x:v>
      </x:c>
      <x:c r="J39" s="27" t="n">
        <x:f>INDEX(J40:J43,MATCH(Settings!$F$6,$D$40:$D$43,0))</x:f>
        <x:v>0.8</x:v>
      </x:c>
      <x:c r="K39" s="29" t="n">
        <x:f>INDEX(K40:K43,MATCH(Settings!$F$6,D40:D43,0))</x:f>
        <x:v>5</x:v>
      </x:c>
    </x:row>
    <x:row r="40" ht="26" customHeight="1">
      <x:c r="A40" s="1"/>
      <x:c r="B40" s="1"/>
      <x:c r="C40" s="3"/>
      <x:c r="D40" s="3" t="str">
        <x:v>Baseline</x:v>
      </x:c>
      <x:c r="E40" s="3"/>
      <x:c r="F40" s="11" t="n">
        <x:v>0</x:v>
      </x:c>
      <x:c r="G40" s="11" t="n">
        <x:v>0</x:v>
      </x:c>
      <x:c r="H40" s="11" t="n">
        <x:v>0</x:v>
      </x:c>
      <x:c r="I40" s="11" t="n">
        <x:v>0</x:v>
      </x:c>
      <x:c r="J40" s="11" t="n">
        <x:v>0</x:v>
      </x:c>
      <x:c r="K40" s="28" t="n">
        <x:f>COUNT(F40:J40)</x:f>
        <x:v>5</x:v>
      </x:c>
    </x:row>
    <x:row r="41" ht="26" customHeight="1">
      <x:c r="A41" s="1"/>
      <x:c r="B41" s="1"/>
      <x:c r="C41" s="3"/>
      <x:c r="D41" s="3" t="str">
        <x:v>Orderly transition</x:v>
      </x:c>
      <x:c r="E41" s="3"/>
      <x:c r="F41" s="11" t="n">
        <x:v>0.2</x:v>
      </x:c>
      <x:c r="G41" s="11" t="n">
        <x:v>0.4</x:v>
      </x:c>
      <x:c r="H41" s="11" t="n">
        <x:v>0.6</x:v>
      </x:c>
      <x:c r="I41" s="11" t="n">
        <x:v>0.8</x:v>
      </x:c>
      <x:c r="J41" s="11" t="n">
        <x:v>1</x:v>
      </x:c>
      <x:c r="K41" s="28" t="n">
        <x:f>COUNT(F41:J41)</x:f>
        <x:v>5</x:v>
      </x:c>
    </x:row>
    <x:row r="42" ht="26" customHeight="1">
      <x:c r="A42" s="1"/>
      <x:c r="B42" s="1"/>
      <x:c r="C42" s="3"/>
      <x:c r="D42" s="3" t="str">
        <x:v>Delayed transition</x:v>
      </x:c>
      <x:c r="E42" s="3"/>
      <x:c r="F42" s="11" t="n">
        <x:v>0.05</x:v>
      </x:c>
      <x:c r="G42" s="11" t="n">
        <x:v>0.1</x:v>
      </x:c>
      <x:c r="H42" s="11" t="n">
        <x:v>0.3</x:v>
      </x:c>
      <x:c r="I42" s="11" t="n">
        <x:v>0.55</x:v>
      </x:c>
      <x:c r="J42" s="11" t="n">
        <x:v>0.8</x:v>
      </x:c>
      <x:c r="K42" s="28" t="n">
        <x:f>COUNT(F42:J42)</x:f>
        <x:v>5</x:v>
      </x:c>
    </x:row>
    <x:row r="43" ht="26" customHeight="1">
      <x:c r="A43" s="1"/>
      <x:c r="B43" s="1"/>
      <x:c r="C43" s="3"/>
      <x:c r="D43" s="3" t="str">
        <x:v>Physical shock</x:v>
      </x:c>
      <x:c r="E43" s="3"/>
      <x:c r="F43" s="11" t="n">
        <x:v>0</x:v>
      </x:c>
      <x:c r="G43" s="11" t="n">
        <x:v>0</x:v>
      </x:c>
      <x:c r="H43" s="11" t="n">
        <x:v>0</x:v>
      </x:c>
      <x:c r="I43" s="11" t="n">
        <x:v>0</x:v>
      </x:c>
      <x:c r="J43" s="11" t="n">
        <x:v>0</x:v>
      </x:c>
      <x:c r="K43" s="28" t="n">
        <x:f>COUNT(F43:J43)</x:f>
        <x:v>5</x:v>
      </x:c>
    </x:row>
    <x:row r="44" ht="26" customHeight="1">
      <x:c r="A44" s="1"/>
      <x:c r="B44" s="1"/>
      <x:c r="C44" s="3"/>
      <x:c r="D44" s="3"/>
      <x:c r="E44" s="3"/>
      <x:c r="F44" s="3"/>
      <x:c r="G44" s="3"/>
      <x:c r="H44" s="3"/>
      <x:c r="I44" s="3"/>
      <x:c r="J44" s="3"/>
    </x:row>
    <x:row r="45" ht="26" customHeight="1">
      <x:c r="A45" s="1"/>
      <x:c r="B45" s="1"/>
      <x:c r="C45" s="12" t="str">
        <x:v>Realised deposit withdrawals</x:v>
      </x:c>
      <x:c r="D45" s="12" t="str">
        <x:v>Active selection</x:v>
      </x:c>
      <x:c r="E45" s="12" t="str">
        <x:v>%</x:v>
      </x:c>
      <x:c r="F45" s="27" t="n">
        <x:f>INDEX(F46:F49,MATCH(Settings!$F$6,$D$46:$D$49,0))</x:f>
        <x:v>0.01</x:v>
      </x:c>
      <x:c r="G45" s="27" t="n">
        <x:f>INDEX(G46:G49,MATCH(Settings!$F$6,$D$46:$D$49,0))</x:f>
        <x:v>0.02</x:v>
      </x:c>
      <x:c r="H45" s="27" t="n">
        <x:f>INDEX(H46:H49,MATCH(Settings!$F$6,$D$46:$D$49,0))</x:f>
        <x:v>0.03</x:v>
      </x:c>
      <x:c r="I45" s="27" t="n">
        <x:f>INDEX(I46:I49,MATCH(Settings!$F$6,$D$46:$D$49,0))</x:f>
        <x:v>0.02</x:v>
      </x:c>
      <x:c r="J45" s="27" t="n">
        <x:f>INDEX(J46:J49,MATCH(Settings!$F$6,$D$46:$D$49,0))</x:f>
        <x:v>0.01</x:v>
      </x:c>
      <x:c r="K45" s="29" t="n">
        <x:f>INDEX(K46:K49,MATCH(Settings!$F$6,D46:D49,0))</x:f>
        <x:v>5</x:v>
      </x:c>
    </x:row>
    <x:row r="46" ht="26" customHeight="1">
      <x:c r="A46" s="1"/>
      <x:c r="B46" s="1"/>
      <x:c r="C46" s="3"/>
      <x:c r="D46" s="3" t="str">
        <x:v>Baseline</x:v>
      </x:c>
      <x:c r="E46" s="3"/>
      <x:c r="F46" s="11" t="n">
        <x:v>0</x:v>
      </x:c>
      <x:c r="G46" s="11" t="n">
        <x:v>0</x:v>
      </x:c>
      <x:c r="H46" s="11" t="n">
        <x:v>0</x:v>
      </x:c>
      <x:c r="I46" s="11" t="n">
        <x:v>0</x:v>
      </x:c>
      <x:c r="J46" s="11" t="n">
        <x:v>0</x:v>
      </x:c>
      <x:c r="K46" s="28" t="n">
        <x:f>COUNT(F46:J46)</x:f>
        <x:v>5</x:v>
      </x:c>
    </x:row>
    <x:row r="47" ht="26" customHeight="1">
      <x:c r="A47" s="1"/>
      <x:c r="B47" s="1"/>
      <x:c r="C47" s="3"/>
      <x:c r="D47" s="3" t="str">
        <x:v>Orderly transition</x:v>
      </x:c>
      <x:c r="E47" s="3"/>
      <x:c r="F47" s="11" t="n">
        <x:v>0.005</x:v>
      </x:c>
      <x:c r="G47" s="11" t="n">
        <x:v>0.005</x:v>
      </x:c>
      <x:c r="H47" s="11" t="n">
        <x:v>0.005</x:v>
      </x:c>
      <x:c r="I47" s="11" t="n">
        <x:v>0.005</x:v>
      </x:c>
      <x:c r="J47" s="11" t="n">
        <x:v>0.005</x:v>
      </x:c>
      <x:c r="K47" s="28" t="n">
        <x:f>COUNT(F47:J47)</x:f>
        <x:v>5</x:v>
      </x:c>
    </x:row>
    <x:row r="48" ht="26" customHeight="1">
      <x:c r="A48" s="1"/>
      <x:c r="B48" s="1"/>
      <x:c r="C48" s="3"/>
      <x:c r="D48" s="3" t="str">
        <x:v>Delayed transition</x:v>
      </x:c>
      <x:c r="E48" s="3"/>
      <x:c r="F48" s="11" t="n">
        <x:v>0.01</x:v>
      </x:c>
      <x:c r="G48" s="11" t="n">
        <x:v>0.02</x:v>
      </x:c>
      <x:c r="H48" s="11" t="n">
        <x:v>0.03</x:v>
      </x:c>
      <x:c r="I48" s="11" t="n">
        <x:v>0.02</x:v>
      </x:c>
      <x:c r="J48" s="11" t="n">
        <x:v>0.01</x:v>
      </x:c>
      <x:c r="K48" s="28" t="n">
        <x:f>COUNT(F48:J48)</x:f>
        <x:v>5</x:v>
      </x:c>
    </x:row>
    <x:row r="49" ht="26" customHeight="1">
      <x:c r="A49" s="1"/>
      <x:c r="B49" s="1"/>
      <x:c r="C49" s="3"/>
      <x:c r="D49" s="3" t="str">
        <x:v>Physical shock</x:v>
      </x:c>
      <x:c r="E49" s="3"/>
      <x:c r="F49" s="11" t="n">
        <x:v>0.08</x:v>
      </x:c>
      <x:c r="G49" s="11" t="n">
        <x:v>0.04</x:v>
      </x:c>
      <x:c r="H49" s="11" t="n">
        <x:v>0.02</x:v>
      </x:c>
      <x:c r="I49" s="11" t="n">
        <x:v>0.01</x:v>
      </x:c>
      <x:c r="J49" s="11" t="n">
        <x:v>0.01</x:v>
      </x:c>
      <x:c r="K49" s="28" t="n">
        <x:f>COUNT(F49:J49)</x:f>
        <x:v>5</x:v>
      </x:c>
    </x:row>
    <x:row r="50" ht="26" customHeight="1">
      <x:c r="A50" s="1"/>
      <x:c r="B50" s="1"/>
      <x:c r="C50" s="3"/>
      <x:c r="D50" s="3"/>
      <x:c r="E50" s="3"/>
      <x:c r="F50" s="3"/>
      <x:c r="G50" s="3"/>
      <x:c r="H50" s="3"/>
      <x:c r="I50" s="3"/>
      <x:c r="J50" s="3"/>
    </x:row>
    <x:row r="51" ht="26" customHeight="1">
      <x:c r="A51" s="1"/>
      <x:c r="B51" s="1"/>
      <x:c r="C51" s="12" t="str">
        <x:v>Direct operational loss</x:v>
      </x:c>
      <x:c r="D51" s="12" t="str">
        <x:v>Active selection</x:v>
      </x:c>
      <x:c r="E51" s="12" t="str">
        <x:v>USD m</x:v>
      </x:c>
      <x:c r="F51" s="26" t="n">
        <x:f>INDEX(F52:F55,MATCH(Settings!$F$6,$D$52:$D$55,0))</x:f>
        <x:v>0.2</x:v>
      </x:c>
      <x:c r="G51" s="26" t="n">
        <x:f>INDEX(G52:G55,MATCH(Settings!$F$6,$D$52:$D$55,0))</x:f>
        <x:v>0.3</x:v>
      </x:c>
      <x:c r="H51" s="26" t="n">
        <x:f>INDEX(H52:H55,MATCH(Settings!$F$6,$D$52:$D$55,0))</x:f>
        <x:v>0.7</x:v>
      </x:c>
      <x:c r="I51" s="26" t="n">
        <x:f>INDEX(I52:I55,MATCH(Settings!$F$6,$D$52:$D$55,0))</x:f>
        <x:v>0.5</x:v>
      </x:c>
      <x:c r="J51" s="26" t="n">
        <x:f>INDEX(J52:J55,MATCH(Settings!$F$6,$D$52:$D$55,0))</x:f>
        <x:v>0.3</x:v>
      </x:c>
      <x:c r="K51" s="29" t="n">
        <x:f>INDEX(K52:K55,MATCH(Settings!$F$6,D52:D55,0))</x:f>
        <x:v>5</x:v>
      </x:c>
    </x:row>
    <x:row r="52" ht="26" customHeight="1">
      <x:c r="A52" s="1"/>
      <x:c r="B52" s="1"/>
      <x:c r="C52" s="3"/>
      <x:c r="D52" s="3" t="str">
        <x:v>Baseline</x:v>
      </x:c>
      <x:c r="E52" s="3"/>
      <x:c r="F52" s="16" t="n">
        <x:v>0</x:v>
      </x:c>
      <x:c r="G52" s="16" t="n">
        <x:v>0</x:v>
      </x:c>
      <x:c r="H52" s="16" t="n">
        <x:v>0</x:v>
      </x:c>
      <x:c r="I52" s="16" t="n">
        <x:v>0</x:v>
      </x:c>
      <x:c r="J52" s="16" t="n">
        <x:v>0</x:v>
      </x:c>
      <x:c r="K52" s="28" t="n">
        <x:f>COUNT(F52:J52)</x:f>
        <x:v>5</x:v>
      </x:c>
    </x:row>
    <x:row r="53" ht="26" customHeight="1">
      <x:c r="A53" s="1"/>
      <x:c r="B53" s="1"/>
      <x:c r="C53" s="3"/>
      <x:c r="D53" s="3" t="str">
        <x:v>Orderly transition</x:v>
      </x:c>
      <x:c r="E53" s="3"/>
      <x:c r="F53" s="16" t="n">
        <x:v>0.1</x:v>
      </x:c>
      <x:c r="G53" s="16" t="n">
        <x:v>0.1</x:v>
      </x:c>
      <x:c r="H53" s="16" t="n">
        <x:v>0.1</x:v>
      </x:c>
      <x:c r="I53" s="16" t="n">
        <x:v>0.1</x:v>
      </x:c>
      <x:c r="J53" s="16" t="n">
        <x:v>0.1</x:v>
      </x:c>
      <x:c r="K53" s="28" t="n">
        <x:f>COUNT(F53:J53)</x:f>
        <x:v>5</x:v>
      </x:c>
    </x:row>
    <x:row r="54" ht="26" customHeight="1">
      <x:c r="A54" s="1"/>
      <x:c r="B54" s="1"/>
      <x:c r="C54" s="3"/>
      <x:c r="D54" s="3" t="str">
        <x:v>Delayed transition</x:v>
      </x:c>
      <x:c r="E54" s="3"/>
      <x:c r="F54" s="16" t="n">
        <x:v>0.2</x:v>
      </x:c>
      <x:c r="G54" s="16" t="n">
        <x:v>0.3</x:v>
      </x:c>
      <x:c r="H54" s="16" t="n">
        <x:v>0.7</x:v>
      </x:c>
      <x:c r="I54" s="16" t="n">
        <x:v>0.5</x:v>
      </x:c>
      <x:c r="J54" s="16" t="n">
        <x:v>0.3</x:v>
      </x:c>
      <x:c r="K54" s="28" t="n">
        <x:f>COUNT(F54:J54)</x:f>
        <x:v>5</x:v>
      </x:c>
    </x:row>
    <x:row r="55" ht="26" customHeight="1">
      <x:c r="A55" s="1"/>
      <x:c r="B55" s="1"/>
      <x:c r="C55" s="3"/>
      <x:c r="D55" s="3" t="str">
        <x:v>Physical shock</x:v>
      </x:c>
      <x:c r="E55" s="3"/>
      <x:c r="F55" s="16" t="n">
        <x:v>1.5</x:v>
      </x:c>
      <x:c r="G55" s="16" t="n">
        <x:v>0.5</x:v>
      </x:c>
      <x:c r="H55" s="16" t="n">
        <x:v>0.3</x:v>
      </x:c>
      <x:c r="I55" s="16" t="n">
        <x:v>0.2</x:v>
      </x:c>
      <x:c r="J55" s="16" t="n">
        <x:v>0.2</x:v>
      </x:c>
      <x:c r="K55" s="28" t="n">
        <x:f>COUNT(F55:J55)</x:f>
        <x:v>5</x:v>
      </x:c>
    </x:row>
    <x:row r="56" ht="26" customHeight="1">
      <x:c r="A56" s="1"/>
      <x:c r="B56" s="1"/>
      <x:c r="C56" s="3"/>
      <x:c r="D56" s="3"/>
      <x:c r="E56" s="3"/>
      <x:c r="F56" s="3"/>
      <x:c r="G56" s="3"/>
      <x:c r="H56" s="3"/>
      <x:c r="I56" s="3"/>
      <x:c r="J56" s="3"/>
    </x:row>
    <x:row r="57" ht="26" customHeight="1">
      <x:c r="A57" s="1"/>
      <x:c r="B57" s="1"/>
      <x:c r="C57" s="12" t="str">
        <x:v>Market loss outside HQLA</x:v>
      </x:c>
      <x:c r="D57" s="12" t="str">
        <x:v>Active selection</x:v>
      </x:c>
      <x:c r="E57" s="12" t="str">
        <x:v>USD m</x:v>
      </x:c>
      <x:c r="F57" s="26" t="n">
        <x:f>INDEX(F58:F61,MATCH(Settings!$F$6,$D$58:$D$61,0))</x:f>
        <x:v>0.1</x:v>
      </x:c>
      <x:c r="G57" s="26" t="n">
        <x:f>INDEX(G58:G61,MATCH(Settings!$F$6,$D$58:$D$61,0))</x:f>
        <x:v>0.2</x:v>
      </x:c>
      <x:c r="H57" s="26" t="n">
        <x:f>INDEX(H58:H61,MATCH(Settings!$F$6,$D$58:$D$61,0))</x:f>
        <x:v>0.7</x:v>
      </x:c>
      <x:c r="I57" s="26" t="n">
        <x:f>INDEX(I58:I61,MATCH(Settings!$F$6,$D$58:$D$61,0))</x:f>
        <x:v>0.3</x:v>
      </x:c>
      <x:c r="J57" s="26" t="n">
        <x:f>INDEX(J58:J61,MATCH(Settings!$F$6,$D$58:$D$61,0))</x:f>
        <x:v>0.2</x:v>
      </x:c>
      <x:c r="K57" s="29" t="n">
        <x:f>INDEX(K58:K61,MATCH(Settings!$F$6,D58:D61,0))</x:f>
        <x:v>5</x:v>
      </x:c>
    </x:row>
    <x:row r="58" ht="26" customHeight="1">
      <x:c r="A58" s="1"/>
      <x:c r="B58" s="1"/>
      <x:c r="C58" s="3"/>
      <x:c r="D58" s="3" t="str">
        <x:v>Baseline</x:v>
      </x:c>
      <x:c r="E58" s="3"/>
      <x:c r="F58" s="16" t="n">
        <x:v>0</x:v>
      </x:c>
      <x:c r="G58" s="16" t="n">
        <x:v>0</x:v>
      </x:c>
      <x:c r="H58" s="16" t="n">
        <x:v>0</x:v>
      </x:c>
      <x:c r="I58" s="16" t="n">
        <x:v>0</x:v>
      </x:c>
      <x:c r="J58" s="16" t="n">
        <x:v>0</x:v>
      </x:c>
      <x:c r="K58" s="28" t="n">
        <x:f>COUNT(F58:J58)</x:f>
        <x:v>5</x:v>
      </x:c>
    </x:row>
    <x:row r="59" ht="26" customHeight="1">
      <x:c r="A59" s="1"/>
      <x:c r="B59" s="1"/>
      <x:c r="C59" s="3"/>
      <x:c r="D59" s="3" t="str">
        <x:v>Orderly transition</x:v>
      </x:c>
      <x:c r="E59" s="3"/>
      <x:c r="F59" s="16" t="n">
        <x:v>0.05</x:v>
      </x:c>
      <x:c r="G59" s="16" t="n">
        <x:v>0.05</x:v>
      </x:c>
      <x:c r="H59" s="16" t="n">
        <x:v>0.05</x:v>
      </x:c>
      <x:c r="I59" s="16" t="n">
        <x:v>0.05</x:v>
      </x:c>
      <x:c r="J59" s="16" t="n">
        <x:v>0.05</x:v>
      </x:c>
      <x:c r="K59" s="28" t="n">
        <x:f>COUNT(F59:J59)</x:f>
        <x:v>5</x:v>
      </x:c>
    </x:row>
    <x:row r="60" ht="26" customHeight="1">
      <x:c r="A60" s="1"/>
      <x:c r="B60" s="1"/>
      <x:c r="C60" s="3"/>
      <x:c r="D60" s="3" t="str">
        <x:v>Delayed transition</x:v>
      </x:c>
      <x:c r="E60" s="3"/>
      <x:c r="F60" s="16" t="n">
        <x:v>0.1</x:v>
      </x:c>
      <x:c r="G60" s="16" t="n">
        <x:v>0.2</x:v>
      </x:c>
      <x:c r="H60" s="16" t="n">
        <x:v>0.7</x:v>
      </x:c>
      <x:c r="I60" s="16" t="n">
        <x:v>0.3</x:v>
      </x:c>
      <x:c r="J60" s="16" t="n">
        <x:v>0.2</x:v>
      </x:c>
      <x:c r="K60" s="28" t="n">
        <x:f>COUNT(F60:J60)</x:f>
        <x:v>5</x:v>
      </x:c>
    </x:row>
    <x:row r="61" ht="26" customHeight="1">
      <x:c r="A61" s="1"/>
      <x:c r="B61" s="1"/>
      <x:c r="C61" s="3"/>
      <x:c r="D61" s="3" t="str">
        <x:v>Physical shock</x:v>
      </x:c>
      <x:c r="E61" s="3"/>
      <x:c r="F61" s="16" t="n">
        <x:v>0.5</x:v>
      </x:c>
      <x:c r="G61" s="16" t="n">
        <x:v>0.2</x:v>
      </x:c>
      <x:c r="H61" s="16" t="n">
        <x:v>0.1</x:v>
      </x:c>
      <x:c r="I61" s="16" t="n">
        <x:v>0.1</x:v>
      </x:c>
      <x:c r="J61" s="16" t="n">
        <x:v>0.1</x:v>
      </x:c>
      <x:c r="K61" s="28" t="n">
        <x:f>COUNT(F61:J61)</x:f>
        <x:v>5</x:v>
      </x:c>
    </x:row>
    <x:row r="62" ht="26" customHeight="1">
      <x:c r="A62" s="1"/>
      <x:c r="B62" s="1"/>
      <x:c r="C62" s="3"/>
      <x:c r="D62" s="3"/>
      <x:c r="E62" s="3"/>
      <x:c r="F62" s="3"/>
      <x:c r="G62" s="3"/>
      <x:c r="H62" s="3"/>
      <x:c r="I62" s="3"/>
      <x:c r="J62" s="3"/>
    </x:row>
    <x:row r="63" ht="26" customHeight="1">
      <x:c r="A63" s="1"/>
      <x:c r="B63" s="1"/>
      <x:c r="C63" s="12" t="str">
        <x:v>Liquid securities price loss</x:v>
      </x:c>
      <x:c r="D63" s="12" t="str">
        <x:v>Active selection</x:v>
      </x:c>
      <x:c r="E63" s="12" t="str">
        <x:v>%</x:v>
      </x:c>
      <x:c r="F63" s="27" t="n">
        <x:f>INDEX(F64:F67,MATCH(Settings!$F$6,$D$64:$D$67,0))</x:f>
        <x:v>0.01</x:v>
      </x:c>
      <x:c r="G63" s="27" t="n">
        <x:f>INDEX(G64:G67,MATCH(Settings!$F$6,$D$64:$D$67,0))</x:f>
        <x:v>0.02</x:v>
      </x:c>
      <x:c r="H63" s="27" t="n">
        <x:f>INDEX(H64:H67,MATCH(Settings!$F$6,$D$64:$D$67,0))</x:f>
        <x:v>0.04</x:v>
      </x:c>
      <x:c r="I63" s="27" t="n">
        <x:f>INDEX(I64:I67,MATCH(Settings!$F$6,$D$64:$D$67,0))</x:f>
        <x:v>0.03</x:v>
      </x:c>
      <x:c r="J63" s="27" t="n">
        <x:f>INDEX(J64:J67,MATCH(Settings!$F$6,$D$64:$D$67,0))</x:f>
        <x:v>0.02</x:v>
      </x:c>
      <x:c r="K63" s="29" t="n">
        <x:f>INDEX(K64:K67,MATCH(Settings!$F$6,D64:D67,0))</x:f>
        <x:v>5</x:v>
      </x:c>
    </x:row>
    <x:row r="64" ht="26" customHeight="1">
      <x:c r="A64" s="1"/>
      <x:c r="B64" s="1"/>
      <x:c r="C64" s="3"/>
      <x:c r="D64" s="3" t="str">
        <x:v>Baseline</x:v>
      </x:c>
      <x:c r="E64" s="3"/>
      <x:c r="F64" s="11" t="n">
        <x:v>0</x:v>
      </x:c>
      <x:c r="G64" s="11" t="n">
        <x:v>0</x:v>
      </x:c>
      <x:c r="H64" s="11" t="n">
        <x:v>0</x:v>
      </x:c>
      <x:c r="I64" s="11" t="n">
        <x:v>0</x:v>
      </x:c>
      <x:c r="J64" s="11" t="n">
        <x:v>0</x:v>
      </x:c>
      <x:c r="K64" s="28" t="n">
        <x:f>COUNT(F64:J64)</x:f>
        <x:v>5</x:v>
      </x:c>
    </x:row>
    <x:row r="65" ht="26" customHeight="1">
      <x:c r="A65" s="1"/>
      <x:c r="B65" s="1"/>
      <x:c r="C65" s="3"/>
      <x:c r="D65" s="3" t="str">
        <x:v>Orderly transition</x:v>
      </x:c>
      <x:c r="E65" s="3"/>
      <x:c r="F65" s="11" t="n">
        <x:v>0.005</x:v>
      </x:c>
      <x:c r="G65" s="11" t="n">
        <x:v>0.005</x:v>
      </x:c>
      <x:c r="H65" s="11" t="n">
        <x:v>0.005</x:v>
      </x:c>
      <x:c r="I65" s="11" t="n">
        <x:v>0.005</x:v>
      </x:c>
      <x:c r="J65" s="11" t="n">
        <x:v>0.005</x:v>
      </x:c>
      <x:c r="K65" s="28" t="n">
        <x:f>COUNT(F65:J65)</x:f>
        <x:v>5</x:v>
      </x:c>
    </x:row>
    <x:row r="66" ht="26" customHeight="1">
      <x:c r="A66" s="1"/>
      <x:c r="B66" s="1"/>
      <x:c r="C66" s="3"/>
      <x:c r="D66" s="3" t="str">
        <x:v>Delayed transition</x:v>
      </x:c>
      <x:c r="E66" s="3"/>
      <x:c r="F66" s="11" t="n">
        <x:v>0.01</x:v>
      </x:c>
      <x:c r="G66" s="11" t="n">
        <x:v>0.02</x:v>
      </x:c>
      <x:c r="H66" s="11" t="n">
        <x:v>0.04</x:v>
      </x:c>
      <x:c r="I66" s="11" t="n">
        <x:v>0.03</x:v>
      </x:c>
      <x:c r="J66" s="11" t="n">
        <x:v>0.02</x:v>
      </x:c>
      <x:c r="K66" s="28" t="n">
        <x:f>COUNT(F66:J66)</x:f>
        <x:v>5</x:v>
      </x:c>
    </x:row>
    <x:row r="67" ht="26" customHeight="1">
      <x:c r="A67" s="1"/>
      <x:c r="B67" s="1"/>
      <x:c r="C67" s="3"/>
      <x:c r="D67" s="3" t="str">
        <x:v>Physical shock</x:v>
      </x:c>
      <x:c r="E67" s="3"/>
      <x:c r="F67" s="11" t="n">
        <x:v>0.04</x:v>
      </x:c>
      <x:c r="G67" s="11" t="n">
        <x:v>0.02</x:v>
      </x:c>
      <x:c r="H67" s="11" t="n">
        <x:v>0.01</x:v>
      </x:c>
      <x:c r="I67" s="11" t="n">
        <x:v>0.01</x:v>
      </x:c>
      <x:c r="J67" s="11" t="n">
        <x:v>0.01</x:v>
      </x:c>
      <x:c r="K67" s="28" t="n">
        <x:f>COUNT(F67:J67)</x:f>
        <x:v>5</x:v>
      </x:c>
    </x:row>
    <x:row r="68" ht="26" customHeight="1">
      <x:c r="A68" s="1"/>
      <x:c r="B68" s="1"/>
      <x:c r="C68" s="3"/>
      <x:c r="D68" s="3"/>
      <x:c r="E68" s="3"/>
      <x:c r="F68" s="3"/>
      <x:c r="G68" s="3"/>
      <x:c r="H68" s="3"/>
      <x:c r="I68" s="3"/>
      <x:c r="J68" s="3"/>
    </x:row>
    <x:row r="69" ht="26" customHeight="1">
      <x:c r="A69" s="1"/>
      <x:c r="B69" s="1"/>
      <x:c r="C69" s="12" t="str">
        <x:v>Funding cost increase</x:v>
      </x:c>
      <x:c r="D69" s="12" t="str">
        <x:v>Active selection</x:v>
      </x:c>
      <x:c r="E69" s="12" t="str">
        <x:v>%</x:v>
      </x:c>
      <x:c r="F69" s="27" t="n">
        <x:f>INDEX(F70:F73,MATCH(Settings!$F$6,$D$70:$D$73,0))</x:f>
        <x:v>0.001</x:v>
      </x:c>
      <x:c r="G69" s="27" t="n">
        <x:f>INDEX(G70:G73,MATCH(Settings!$F$6,$D$70:$D$73,0))</x:f>
        <x:v>0.002</x:v>
      </x:c>
      <x:c r="H69" s="27" t="n">
        <x:f>INDEX(H70:H73,MATCH(Settings!$F$6,$D$70:$D$73,0))</x:f>
        <x:v>0.008</x:v>
      </x:c>
      <x:c r="I69" s="27" t="n">
        <x:f>INDEX(I70:I73,MATCH(Settings!$F$6,$D$70:$D$73,0))</x:f>
        <x:v>0.006</x:v>
      </x:c>
      <x:c r="J69" s="27" t="n">
        <x:f>INDEX(J70:J73,MATCH(Settings!$F$6,$D$70:$D$73,0))</x:f>
        <x:v>0.004</x:v>
      </x:c>
      <x:c r="K69" s="29" t="n">
        <x:f>INDEX(K70:K73,MATCH(Settings!$F$6,D70:D73,0))</x:f>
        <x:v>5</x:v>
      </x:c>
    </x:row>
    <x:row r="70" ht="26" customHeight="1">
      <x:c r="A70" s="1"/>
      <x:c r="B70" s="1"/>
      <x:c r="C70" s="3"/>
      <x:c r="D70" s="3" t="str">
        <x:v>Baseline</x:v>
      </x:c>
      <x:c r="E70" s="3"/>
      <x:c r="F70" s="11" t="n">
        <x:v>0</x:v>
      </x:c>
      <x:c r="G70" s="11" t="n">
        <x:v>0</x:v>
      </x:c>
      <x:c r="H70" s="11" t="n">
        <x:v>0</x:v>
      </x:c>
      <x:c r="I70" s="11" t="n">
        <x:v>0</x:v>
      </x:c>
      <x:c r="J70" s="11" t="n">
        <x:v>0</x:v>
      </x:c>
      <x:c r="K70" s="28" t="n">
        <x:f>COUNT(F70:J70)</x:f>
        <x:v>5</x:v>
      </x:c>
    </x:row>
    <x:row r="71" ht="26" customHeight="1">
      <x:c r="A71" s="1"/>
      <x:c r="B71" s="1"/>
      <x:c r="C71" s="3"/>
      <x:c r="D71" s="3" t="str">
        <x:v>Orderly transition</x:v>
      </x:c>
      <x:c r="E71" s="3"/>
      <x:c r="F71" s="11" t="n">
        <x:v>0.001</x:v>
      </x:c>
      <x:c r="G71" s="11" t="n">
        <x:v>0.001</x:v>
      </x:c>
      <x:c r="H71" s="11" t="n">
        <x:v>0.001</x:v>
      </x:c>
      <x:c r="I71" s="11" t="n">
        <x:v>0.001</x:v>
      </x:c>
      <x:c r="J71" s="11" t="n">
        <x:v>0.001</x:v>
      </x:c>
      <x:c r="K71" s="28" t="n">
        <x:f>COUNT(F71:J71)</x:f>
        <x:v>5</x:v>
      </x:c>
    </x:row>
    <x:row r="72" ht="26" customHeight="1">
      <x:c r="A72" s="1"/>
      <x:c r="B72" s="1"/>
      <x:c r="C72" s="3"/>
      <x:c r="D72" s="3" t="str">
        <x:v>Delayed transition</x:v>
      </x:c>
      <x:c r="E72" s="3"/>
      <x:c r="F72" s="11" t="n">
        <x:v>0.001</x:v>
      </x:c>
      <x:c r="G72" s="11" t="n">
        <x:v>0.002</x:v>
      </x:c>
      <x:c r="H72" s="11" t="n">
        <x:v>0.008</x:v>
      </x:c>
      <x:c r="I72" s="11" t="n">
        <x:v>0.006</x:v>
      </x:c>
      <x:c r="J72" s="11" t="n">
        <x:v>0.004</x:v>
      </x:c>
      <x:c r="K72" s="28" t="n">
        <x:f>COUNT(F72:J72)</x:f>
        <x:v>5</x:v>
      </x:c>
    </x:row>
    <x:row r="73" ht="26" customHeight="1">
      <x:c r="A73" s="1"/>
      <x:c r="B73" s="1"/>
      <x:c r="C73" s="3"/>
      <x:c r="D73" s="3" t="str">
        <x:v>Physical shock</x:v>
      </x:c>
      <x:c r="E73" s="3"/>
      <x:c r="F73" s="11" t="n">
        <x:v>0.003</x:v>
      </x:c>
      <x:c r="G73" s="11" t="n">
        <x:v>0.004</x:v>
      </x:c>
      <x:c r="H73" s="11" t="n">
        <x:v>0.003</x:v>
      </x:c>
      <x:c r="I73" s="11" t="n">
        <x:v>0.002</x:v>
      </x:c>
      <x:c r="J73" s="11" t="n">
        <x:v>0.001</x:v>
      </x:c>
      <x:c r="K73" s="28" t="n">
        <x:f>COUNT(F73:J73)</x:f>
        <x:v>5</x:v>
      </x:c>
    </x:row>
    <x:row r="74" ht="26" customHeight="1">
      <x:c r="A74" s="1"/>
      <x:c r="B74" s="1"/>
      <x:c r="C74" s="3"/>
      <x:c r="D74" s="3"/>
      <x:c r="E74" s="3"/>
      <x:c r="F74" s="3"/>
      <x:c r="G74" s="3"/>
      <x:c r="H74" s="3"/>
      <x:c r="I74" s="3"/>
      <x:c r="J74" s="3"/>
    </x:row>
    <x:row r="75" ht="26" customHeight="1">
      <x:c r="A75" s="1"/>
      <x:c r="B75" s="1"/>
      <x:c r="C75" s="12" t="str">
        <x:v>Approved stress RW multiplier</x:v>
      </x:c>
      <x:c r="D75" s="12" t="str">
        <x:v>Active selection</x:v>
      </x:c>
      <x:c r="E75" s="12" t="str">
        <x:v>x</x:v>
      </x:c>
      <x:c r="F75" s="26" t="n">
        <x:f>INDEX(F76:F79,MATCH(Settings!$F$6,$D$76:$D$79,0))</x:f>
        <x:v>1.02</x:v>
      </x:c>
      <x:c r="G75" s="26" t="n">
        <x:f>INDEX(G76:G79,MATCH(Settings!$F$6,$D$76:$D$79,0))</x:f>
        <x:v>1.05</x:v>
      </x:c>
      <x:c r="H75" s="26" t="n">
        <x:f>INDEX(H76:H79,MATCH(Settings!$F$6,$D$76:$D$79,0))</x:f>
        <x:v>1.2</x:v>
      </x:c>
      <x:c r="I75" s="26" t="n">
        <x:f>INDEX(I76:I79,MATCH(Settings!$F$6,$D$76:$D$79,0))</x:f>
        <x:v>1.25</x:v>
      </x:c>
      <x:c r="J75" s="26" t="n">
        <x:f>INDEX(J76:J79,MATCH(Settings!$F$6,$D$76:$D$79,0))</x:f>
        <x:v>1.25</x:v>
      </x:c>
      <x:c r="K75" s="29" t="n">
        <x:f>INDEX(K76:K79,MATCH(Settings!$F$6,D76:D79,0))</x:f>
        <x:v>5</x:v>
      </x:c>
    </x:row>
    <x:row r="76" ht="26" customHeight="1">
      <x:c r="A76" s="1"/>
      <x:c r="B76" s="1"/>
      <x:c r="C76" s="3"/>
      <x:c r="D76" s="3" t="str">
        <x:v>Baseline</x:v>
      </x:c>
      <x:c r="E76" s="3"/>
      <x:c r="F76" s="16" t="n">
        <x:v>1</x:v>
      </x:c>
      <x:c r="G76" s="16" t="n">
        <x:v>1</x:v>
      </x:c>
      <x:c r="H76" s="16" t="n">
        <x:v>1</x:v>
      </x:c>
      <x:c r="I76" s="16" t="n">
        <x:v>1</x:v>
      </x:c>
      <x:c r="J76" s="16" t="n">
        <x:v>1</x:v>
      </x:c>
      <x:c r="K76" s="28" t="n">
        <x:f>COUNT(F76:J76)</x:f>
        <x:v>5</x:v>
      </x:c>
    </x:row>
    <x:row r="77" ht="26" customHeight="1">
      <x:c r="A77" s="1"/>
      <x:c r="B77" s="1"/>
      <x:c r="C77" s="3"/>
      <x:c r="D77" s="3" t="str">
        <x:v>Orderly transition</x:v>
      </x:c>
      <x:c r="E77" s="3"/>
      <x:c r="F77" s="16" t="n">
        <x:v>1.02</x:v>
      </x:c>
      <x:c r="G77" s="16" t="n">
        <x:v>1.03</x:v>
      </x:c>
      <x:c r="H77" s="16" t="n">
        <x:v>1.04</x:v>
      </x:c>
      <x:c r="I77" s="16" t="n">
        <x:v>1.04</x:v>
      </x:c>
      <x:c r="J77" s="16" t="n">
        <x:v>1.04</x:v>
      </x:c>
      <x:c r="K77" s="28" t="n">
        <x:f>COUNT(F77:J77)</x:f>
        <x:v>5</x:v>
      </x:c>
    </x:row>
    <x:row r="78" ht="26" customHeight="1">
      <x:c r="A78" s="1"/>
      <x:c r="B78" s="1"/>
      <x:c r="C78" s="3"/>
      <x:c r="D78" s="3" t="str">
        <x:v>Delayed transition</x:v>
      </x:c>
      <x:c r="E78" s="3"/>
      <x:c r="F78" s="16" t="n">
        <x:v>1.02</x:v>
      </x:c>
      <x:c r="G78" s="16" t="n">
        <x:v>1.05</x:v>
      </x:c>
      <x:c r="H78" s="16" t="n">
        <x:v>1.2</x:v>
      </x:c>
      <x:c r="I78" s="16" t="n">
        <x:v>1.25</x:v>
      </x:c>
      <x:c r="J78" s="16" t="n">
        <x:v>1.25</x:v>
      </x:c>
      <x:c r="K78" s="28" t="n">
        <x:f>COUNT(F78:J78)</x:f>
        <x:v>5</x:v>
      </x:c>
    </x:row>
    <x:row r="79" ht="26" customHeight="1">
      <x:c r="A79" s="1"/>
      <x:c r="B79" s="1"/>
      <x:c r="C79" s="3"/>
      <x:c r="D79" s="3" t="str">
        <x:v>Physical shock</x:v>
      </x:c>
      <x:c r="E79" s="3"/>
      <x:c r="F79" s="16" t="n">
        <x:v>1.15</x:v>
      </x:c>
      <x:c r="G79" s="16" t="n">
        <x:v>1.1</x:v>
      </x:c>
      <x:c r="H79" s="16" t="n">
        <x:v>1.08</x:v>
      </x:c>
      <x:c r="I79" s="16" t="n">
        <x:v>1.06</x:v>
      </x:c>
      <x:c r="J79" s="16" t="n">
        <x:v>1.04</x:v>
      </x:c>
      <x:c r="K79" s="28" t="n">
        <x:f>COUNT(F79:J79)</x:f>
        <x:v>5</x:v>
      </x:c>
    </x:row>
    <x:row r="80" ht="26" customHeight="1">
      <x:c r="A80" s="1"/>
      <x:c r="B80" s="1"/>
      <x:c r="C80" s="3"/>
      <x:c r="D80" s="3"/>
      <x:c r="E80" s="3"/>
      <x:c r="F80" s="3"/>
      <x:c r="G80" s="3"/>
      <x:c r="H80" s="3"/>
      <x:c r="I80" s="3"/>
      <x:c r="J80" s="3"/>
    </x:row>
    <x:row r="81" ht="26" customHeight="1">
      <x:c r="A81" s="1"/>
      <x:c r="B81" s="1"/>
      <x:c r="C81" s="12" t="str">
        <x:v>Undrawn facility drawdown</x:v>
      </x:c>
      <x:c r="D81" s="12" t="str">
        <x:v>Active selection</x:v>
      </x:c>
      <x:c r="E81" s="12" t="str">
        <x:v>%</x:v>
      </x:c>
      <x:c r="F81" s="27" t="n">
        <x:f>INDEX(F82:F85,MATCH(Settings!$F$6,$D$82:$D$85,0))</x:f>
        <x:v>0.05</x:v>
      </x:c>
      <x:c r="G81" s="27" t="n">
        <x:f>INDEX(G82:G85,MATCH(Settings!$F$6,$D$82:$D$85,0))</x:f>
        <x:v>0.08</x:v>
      </x:c>
      <x:c r="H81" s="27" t="n">
        <x:f>INDEX(H82:H85,MATCH(Settings!$F$6,$D$82:$D$85,0))</x:f>
        <x:v>0.15</x:v>
      </x:c>
      <x:c r="I81" s="27" t="n">
        <x:f>INDEX(I82:I85,MATCH(Settings!$F$6,$D$82:$D$85,0))</x:f>
        <x:v>0.1</x:v>
      </x:c>
      <x:c r="J81" s="27" t="n">
        <x:f>INDEX(J82:J85,MATCH(Settings!$F$6,$D$82:$D$85,0))</x:f>
        <x:v>0.05</x:v>
      </x:c>
      <x:c r="K81" s="29" t="n">
        <x:f>INDEX(K82:K85,MATCH(Settings!$F$6,D82:D85,0))</x:f>
        <x:v>5</x:v>
      </x:c>
    </x:row>
    <x:row r="82" ht="26" customHeight="1">
      <x:c r="A82" s="1"/>
      <x:c r="B82" s="1"/>
      <x:c r="C82" s="3"/>
      <x:c r="D82" s="3" t="str">
        <x:v>Baseline</x:v>
      </x:c>
      <x:c r="E82" s="3"/>
      <x:c r="F82" s="11" t="n">
        <x:v>0.02</x:v>
      </x:c>
      <x:c r="G82" s="11" t="n">
        <x:v>0.02</x:v>
      </x:c>
      <x:c r="H82" s="11" t="n">
        <x:v>0.02</x:v>
      </x:c>
      <x:c r="I82" s="11" t="n">
        <x:v>0.02</x:v>
      </x:c>
      <x:c r="J82" s="11" t="n">
        <x:v>0.02</x:v>
      </x:c>
      <x:c r="K82" s="28" t="n">
        <x:f>COUNT(F82:J82)</x:f>
        <x:v>5</x:v>
      </x:c>
    </x:row>
    <x:row r="83" ht="26" customHeight="1">
      <x:c r="A83" s="1"/>
      <x:c r="B83" s="1"/>
      <x:c r="C83" s="3"/>
      <x:c r="D83" s="3" t="str">
        <x:v>Orderly transition</x:v>
      </x:c>
      <x:c r="E83" s="3"/>
      <x:c r="F83" s="11" t="n">
        <x:v>0.03</x:v>
      </x:c>
      <x:c r="G83" s="11" t="n">
        <x:v>0.03</x:v>
      </x:c>
      <x:c r="H83" s="11" t="n">
        <x:v>0.03</x:v>
      </x:c>
      <x:c r="I83" s="11" t="n">
        <x:v>0.03</x:v>
      </x:c>
      <x:c r="J83" s="11" t="n">
        <x:v>0.03</x:v>
      </x:c>
      <x:c r="K83" s="28" t="n">
        <x:f>COUNT(F83:J83)</x:f>
        <x:v>5</x:v>
      </x:c>
    </x:row>
    <x:row r="84" ht="26" customHeight="1">
      <x:c r="A84" s="1"/>
      <x:c r="B84" s="1"/>
      <x:c r="C84" s="3"/>
      <x:c r="D84" s="3" t="str">
        <x:v>Delayed transition</x:v>
      </x:c>
      <x:c r="E84" s="3"/>
      <x:c r="F84" s="11" t="n">
        <x:v>0.05</x:v>
      </x:c>
      <x:c r="G84" s="11" t="n">
        <x:v>0.08</x:v>
      </x:c>
      <x:c r="H84" s="11" t="n">
        <x:v>0.15</x:v>
      </x:c>
      <x:c r="I84" s="11" t="n">
        <x:v>0.1</x:v>
      </x:c>
      <x:c r="J84" s="11" t="n">
        <x:v>0.05</x:v>
      </x:c>
      <x:c r="K84" s="28" t="n">
        <x:f>COUNT(F84:J84)</x:f>
        <x:v>5</x:v>
      </x:c>
    </x:row>
    <x:row r="85" ht="26" customHeight="1">
      <x:c r="A85" s="1"/>
      <x:c r="B85" s="1"/>
      <x:c r="C85" s="3"/>
      <x:c r="D85" s="3" t="str">
        <x:v>Physical shock</x:v>
      </x:c>
      <x:c r="E85" s="3"/>
      <x:c r="F85" s="11" t="n">
        <x:v>0.2</x:v>
      </x:c>
      <x:c r="G85" s="11" t="n">
        <x:v>0.12</x:v>
      </x:c>
      <x:c r="H85" s="11" t="n">
        <x:v>0.08</x:v>
      </x:c>
      <x:c r="I85" s="11" t="n">
        <x:v>0.05</x:v>
      </x:c>
      <x:c r="J85" s="11" t="n">
        <x:v>0.03</x:v>
      </x:c>
      <x:c r="K85" s="28" t="n">
        <x:f>COUNT(F85:J85)</x:f>
        <x:v>5</x:v>
      </x:c>
    </x:row>
    <x:row r="86" ht="26" customHeight="1">
      <x:c r="A86" s="1"/>
      <x:c r="B86" s="1"/>
      <x:c r="C86" s="3"/>
      <x:c r="D86" s="3"/>
      <x:c r="E86" s="3"/>
      <x:c r="F86" s="3"/>
      <x:c r="G86" s="3"/>
      <x:c r="H86" s="3"/>
      <x:c r="I86" s="3"/>
      <x:c r="J86" s="3"/>
    </x:row>
    <x:row r="87" ht="26" customHeight="1">
      <x:c r="A87" s="1"/>
      <x:c r="B87" s="1"/>
      <x:c r="C87" s="3"/>
      <x:c r="D87" s="3"/>
      <x:c r="E87" s="3"/>
      <x:c r="F87" s="3"/>
      <x:c r="G87" s="3"/>
      <x:c r="H87" s="3"/>
      <x:c r="I87" s="3"/>
      <x:c r="J87" s="3"/>
    </x:row>
    <x:row r="88" ht="26" customHeight="1">
      <x:c r="A88" s="1"/>
      <x:c r="B88" s="1"/>
      <x:c r="C88" s="3"/>
      <x:c r="D88" s="3"/>
      <x:c r="E88" s="3"/>
      <x:c r="F88" s="3"/>
      <x:c r="G88" s="3"/>
      <x:c r="H88" s="3"/>
      <x:c r="I88" s="3"/>
      <x:c r="J88" s="3"/>
    </x:row>
    <x:row r="89" ht="26" customHeight="1">
      <x:c r="A89" s="1"/>
      <x:c r="B89" s="1"/>
      <x:c r="C89" s="3"/>
      <x:c r="D89" s="3"/>
      <x:c r="E89" s="3"/>
      <x:c r="F89" s="3"/>
      <x:c r="G89" s="3"/>
      <x:c r="H89" s="3"/>
      <x:c r="I89" s="3"/>
      <x:c r="J89" s="3"/>
    </x:row>
    <x:row r="90" ht="26" customHeight="1">
      <x:c r="A90" s="1"/>
      <x:c r="B90" s="1"/>
      <x:c r="C90" s="12" t="str">
        <x:v>Cement demand</x:v>
      </x:c>
      <x:c r="D90" s="12" t="str">
        <x:v>Active selection</x:v>
      </x:c>
      <x:c r="E90" s="12" t="str">
        <x:v>%</x:v>
      </x:c>
      <x:c r="F90" s="27" t="n">
        <x:f>INDEX(F91:F94,MATCH(Settings!$F$6,$D$91:$D$94,0))</x:f>
        <x:v>-0.015</x:v>
      </x:c>
      <x:c r="G90" s="27" t="n">
        <x:f>INDEX(G91:G94,MATCH(Settings!$F$6,$D$91:$D$94,0))</x:f>
        <x:v>-0.03</x:v>
      </x:c>
      <x:c r="H90" s="27" t="n">
        <x:f>INDEX(H91:H94,MATCH(Settings!$F$6,$D$91:$D$94,0))</x:f>
        <x:v>-0.045</x:v>
      </x:c>
      <x:c r="I90" s="27" t="n">
        <x:f>INDEX(I91:I94,MATCH(Settings!$F$6,$D$91:$D$94,0))</x:f>
        <x:v>-0.06</x:v>
      </x:c>
      <x:c r="J90" s="27" t="n">
        <x:f>INDEX(J91:J94,MATCH(Settings!$F$6,$D$91:$D$94,0))</x:f>
        <x:v>-0.075</x:v>
      </x:c>
      <x:c r="K90" s="29" t="n">
        <x:f>INDEX(K91:K94,MATCH(Settings!$F$6,D91:D94,0))</x:f>
        <x:v>5</x:v>
      </x:c>
    </x:row>
    <x:row r="91" ht="26" customHeight="1">
      <x:c r="A91" s="1"/>
      <x:c r="B91" s="1"/>
      <x:c r="C91" s="3"/>
      <x:c r="D91" s="3" t="str">
        <x:v>Baseline</x:v>
      </x:c>
      <x:c r="E91" s="3"/>
      <x:c r="F91" s="11" t="n">
        <x:v>0</x:v>
      </x:c>
      <x:c r="G91" s="11" t="n">
        <x:v>0</x:v>
      </x:c>
      <x:c r="H91" s="11" t="n">
        <x:v>0</x:v>
      </x:c>
      <x:c r="I91" s="11" t="n">
        <x:v>0</x:v>
      </x:c>
      <x:c r="J91" s="11" t="n">
        <x:v>0</x:v>
      </x:c>
      <x:c r="K91" s="28" t="n">
        <x:f>COUNT(F91:J91)</x:f>
        <x:v>5</x:v>
      </x:c>
    </x:row>
    <x:row r="92" ht="26" customHeight="1">
      <x:c r="A92" s="1"/>
      <x:c r="B92" s="1"/>
      <x:c r="C92" s="3"/>
      <x:c r="D92" s="3" t="str">
        <x:v>Orderly transition</x:v>
      </x:c>
      <x:c r="E92" s="3"/>
      <x:c r="F92" s="11" t="n">
        <x:v>-0.005</x:v>
      </x:c>
      <x:c r="G92" s="11" t="n">
        <x:v>-0.01</x:v>
      </x:c>
      <x:c r="H92" s="11" t="n">
        <x:v>-0.015</x:v>
      </x:c>
      <x:c r="I92" s="11" t="n">
        <x:v>-0.02</x:v>
      </x:c>
      <x:c r="J92" s="11" t="n">
        <x:v>-0.025</x:v>
      </x:c>
      <x:c r="K92" s="28" t="n">
        <x:f>COUNT(F92:J92)</x:f>
        <x:v>5</x:v>
      </x:c>
    </x:row>
    <x:row r="93" ht="26" customHeight="1">
      <x:c r="A93" s="1"/>
      <x:c r="B93" s="1"/>
      <x:c r="C93" s="3"/>
      <x:c r="D93" s="3" t="str">
        <x:v>Delayed transition</x:v>
      </x:c>
      <x:c r="E93" s="3"/>
      <x:c r="F93" s="11" t="n">
        <x:v>-0.015</x:v>
      </x:c>
      <x:c r="G93" s="11" t="n">
        <x:v>-0.03</x:v>
      </x:c>
      <x:c r="H93" s="11" t="n">
        <x:v>-0.045</x:v>
      </x:c>
      <x:c r="I93" s="11" t="n">
        <x:v>-0.06</x:v>
      </x:c>
      <x:c r="J93" s="11" t="n">
        <x:v>-0.075</x:v>
      </x:c>
      <x:c r="K93" s="28" t="n">
        <x:f>COUNT(F93:J93)</x:f>
        <x:v>5</x:v>
      </x:c>
    </x:row>
    <x:row r="94" ht="26" customHeight="1">
      <x:c r="A94" s="1"/>
      <x:c r="B94" s="1"/>
      <x:c r="C94" s="3"/>
      <x:c r="D94" s="3" t="str">
        <x:v>Physical shock</x:v>
      </x:c>
      <x:c r="E94" s="3"/>
      <x:c r="F94" s="11" t="n">
        <x:v>-0.04</x:v>
      </x:c>
      <x:c r="G94" s="11" t="n">
        <x:v>-0.035</x:v>
      </x:c>
      <x:c r="H94" s="11" t="n">
        <x:v>-0.03</x:v>
      </x:c>
      <x:c r="I94" s="11" t="n">
        <x:v>-0.025</x:v>
      </x:c>
      <x:c r="J94" s="11" t="n">
        <x:v>-0.02</x:v>
      </x:c>
      <x:c r="K94" s="28" t="n">
        <x:f>COUNT(F94:J94)</x:f>
        <x:v>5</x:v>
      </x:c>
    </x:row>
    <x:row r="95" ht="26" customHeight="1">
      <x:c r="A95" s="1"/>
      <x:c r="B95" s="1"/>
      <x:c r="C95" s="3"/>
      <x:c r="D95" s="3"/>
      <x:c r="E95" s="3"/>
      <x:c r="F95" s="3"/>
      <x:c r="G95" s="3"/>
      <x:c r="H95" s="3"/>
      <x:c r="I95" s="3"/>
      <x:c r="J95" s="3"/>
    </x:row>
    <x:row r="96" ht="26" customHeight="1">
      <x:c r="A96" s="1"/>
      <x:c r="B96" s="1"/>
      <x:c r="C96" s="12" t="str">
        <x:v>Solar demand</x:v>
      </x:c>
      <x:c r="D96" s="12" t="str">
        <x:v>Active selection</x:v>
      </x:c>
      <x:c r="E96" s="12" t="str">
        <x:v>%</x:v>
      </x:c>
      <x:c r="F96" s="27" t="n">
        <x:f>INDEX(F97:F100,MATCH(Settings!$F$6,$D$97:$D$100,0))</x:f>
        <x:v>0.015</x:v>
      </x:c>
      <x:c r="G96" s="27" t="n">
        <x:f>INDEX(G97:G100,MATCH(Settings!$F$6,$D$97:$D$100,0))</x:f>
        <x:v>0.03</x:v>
      </x:c>
      <x:c r="H96" s="27" t="n">
        <x:f>INDEX(H97:H100,MATCH(Settings!$F$6,$D$97:$D$100,0))</x:f>
        <x:v>0.045</x:v>
      </x:c>
      <x:c r="I96" s="27" t="n">
        <x:f>INDEX(I97:I100,MATCH(Settings!$F$6,$D$97:$D$100,0))</x:f>
        <x:v>0.06</x:v>
      </x:c>
      <x:c r="J96" s="27" t="n">
        <x:f>INDEX(J97:J100,MATCH(Settings!$F$6,$D$97:$D$100,0))</x:f>
        <x:v>0.075</x:v>
      </x:c>
      <x:c r="K96" s="29" t="n">
        <x:f>INDEX(K97:K100,MATCH(Settings!$F$6,D97:D100,0))</x:f>
        <x:v>5</x:v>
      </x:c>
    </x:row>
    <x:row r="97" ht="26" customHeight="1">
      <x:c r="A97" s="1"/>
      <x:c r="B97" s="1"/>
      <x:c r="C97" s="3"/>
      <x:c r="D97" s="3" t="str">
        <x:v>Baseline</x:v>
      </x:c>
      <x:c r="E97" s="3"/>
      <x:c r="F97" s="11" t="n">
        <x:v>0</x:v>
      </x:c>
      <x:c r="G97" s="11" t="n">
        <x:v>0</x:v>
      </x:c>
      <x:c r="H97" s="11" t="n">
        <x:v>0</x:v>
      </x:c>
      <x:c r="I97" s="11" t="n">
        <x:v>0</x:v>
      </x:c>
      <x:c r="J97" s="11" t="n">
        <x:v>0</x:v>
      </x:c>
      <x:c r="K97" s="28" t="n">
        <x:f>COUNT(F97:J97)</x:f>
        <x:v>5</x:v>
      </x:c>
    </x:row>
    <x:row r="98" ht="26" customHeight="1">
      <x:c r="A98" s="1"/>
      <x:c r="B98" s="1"/>
      <x:c r="C98" s="3"/>
      <x:c r="D98" s="3" t="str">
        <x:v>Orderly transition</x:v>
      </x:c>
      <x:c r="E98" s="3"/>
      <x:c r="F98" s="11" t="n">
        <x:v>0.005</x:v>
      </x:c>
      <x:c r="G98" s="11" t="n">
        <x:v>0.01</x:v>
      </x:c>
      <x:c r="H98" s="11" t="n">
        <x:v>0.015</x:v>
      </x:c>
      <x:c r="I98" s="11" t="n">
        <x:v>0.02</x:v>
      </x:c>
      <x:c r="J98" s="11" t="n">
        <x:v>0.025</x:v>
      </x:c>
      <x:c r="K98" s="28" t="n">
        <x:f>COUNT(F98:J98)</x:f>
        <x:v>5</x:v>
      </x:c>
    </x:row>
    <x:row r="99" ht="26" customHeight="1">
      <x:c r="A99" s="1"/>
      <x:c r="B99" s="1"/>
      <x:c r="C99" s="3"/>
      <x:c r="D99" s="3" t="str">
        <x:v>Delayed transition</x:v>
      </x:c>
      <x:c r="E99" s="3"/>
      <x:c r="F99" s="11" t="n">
        <x:v>0.015</x:v>
      </x:c>
      <x:c r="G99" s="11" t="n">
        <x:v>0.03</x:v>
      </x:c>
      <x:c r="H99" s="11" t="n">
        <x:v>0.045</x:v>
      </x:c>
      <x:c r="I99" s="11" t="n">
        <x:v>0.06</x:v>
      </x:c>
      <x:c r="J99" s="11" t="n">
        <x:v>0.075</x:v>
      </x:c>
      <x:c r="K99" s="28" t="n">
        <x:f>COUNT(F99:J99)</x:f>
        <x:v>5</x:v>
      </x:c>
    </x:row>
    <x:row r="100" ht="26" customHeight="1">
      <x:c r="A100" s="1"/>
      <x:c r="B100" s="1"/>
      <x:c r="C100" s="3"/>
      <x:c r="D100" s="3" t="str">
        <x:v>Physical shock</x:v>
      </x:c>
      <x:c r="E100" s="3"/>
      <x:c r="F100" s="11" t="n">
        <x:v>-0.04</x:v>
      </x:c>
      <x:c r="G100" s="11" t="n">
        <x:v>-0.035</x:v>
      </x:c>
      <x:c r="H100" s="11" t="n">
        <x:v>-0.03</x:v>
      </x:c>
      <x:c r="I100" s="11" t="n">
        <x:v>-0.025</x:v>
      </x:c>
      <x:c r="J100" s="11" t="n">
        <x:v>-0.02</x:v>
      </x:c>
      <x:c r="K100" s="28" t="n">
        <x:f>COUNT(F100:J100)</x:f>
        <x:v>5</x:v>
      </x:c>
    </x:row>
    <x:row r="101" ht="26" customHeight="1">
      <x:c r="A101" s="1"/>
      <x:c r="B101" s="1"/>
      <x:c r="C101" s="3"/>
      <x:c r="D101" s="3"/>
      <x:c r="E101" s="3"/>
      <x:c r="F101" s="3"/>
      <x:c r="G101" s="3"/>
      <x:c r="H101" s="3"/>
      <x:c r="I101" s="3"/>
      <x:c r="J101" s="3"/>
    </x:row>
    <x:row r="102" ht="26" customHeight="1">
      <x:c r="A102" s="1"/>
      <x:c r="B102" s="1"/>
      <x:c r="C102" s="12" t="str">
        <x:v>Logistics demand</x:v>
      </x:c>
      <x:c r="D102" s="12" t="str">
        <x:v>Active selection</x:v>
      </x:c>
      <x:c r="E102" s="12" t="str">
        <x:v>%</x:v>
      </x:c>
      <x:c r="F102" s="27" t="n">
        <x:f>INDEX(F103:F106,MATCH(Settings!$F$6,$D$103:$D$106,0))</x:f>
        <x:v>-0.015</x:v>
      </x:c>
      <x:c r="G102" s="27" t="n">
        <x:f>INDEX(G103:G106,MATCH(Settings!$F$6,$D$103:$D$106,0))</x:f>
        <x:v>-0.03</x:v>
      </x:c>
      <x:c r="H102" s="27" t="n">
        <x:f>INDEX(H103:H106,MATCH(Settings!$F$6,$D$103:$D$106,0))</x:f>
        <x:v>-0.045</x:v>
      </x:c>
      <x:c r="I102" s="27" t="n">
        <x:f>INDEX(I103:I106,MATCH(Settings!$F$6,$D$103:$D$106,0))</x:f>
        <x:v>-0.06</x:v>
      </x:c>
      <x:c r="J102" s="27" t="n">
        <x:f>INDEX(J103:J106,MATCH(Settings!$F$6,$D$103:$D$106,0))</x:f>
        <x:v>-0.075</x:v>
      </x:c>
      <x:c r="K102" s="29" t="n">
        <x:f>INDEX(K103:K106,MATCH(Settings!$F$6,D103:D106,0))</x:f>
        <x:v>5</x:v>
      </x:c>
    </x:row>
    <x:row r="103" ht="26" customHeight="1">
      <x:c r="A103" s="1"/>
      <x:c r="B103" s="1"/>
      <x:c r="C103" s="3"/>
      <x:c r="D103" s="3" t="str">
        <x:v>Baseline</x:v>
      </x:c>
      <x:c r="E103" s="3"/>
      <x:c r="F103" s="11" t="n">
        <x:v>0</x:v>
      </x:c>
      <x:c r="G103" s="11" t="n">
        <x:v>0</x:v>
      </x:c>
      <x:c r="H103" s="11" t="n">
        <x:v>0</x:v>
      </x:c>
      <x:c r="I103" s="11" t="n">
        <x:v>0</x:v>
      </x:c>
      <x:c r="J103" s="11" t="n">
        <x:v>0</x:v>
      </x:c>
      <x:c r="K103" s="28" t="n">
        <x:f>COUNT(F103:J103)</x:f>
        <x:v>5</x:v>
      </x:c>
    </x:row>
    <x:row r="104" ht="26" customHeight="1">
      <x:c r="A104" s="1"/>
      <x:c r="B104" s="1"/>
      <x:c r="C104" s="3"/>
      <x:c r="D104" s="3" t="str">
        <x:v>Orderly transition</x:v>
      </x:c>
      <x:c r="E104" s="3"/>
      <x:c r="F104" s="11" t="n">
        <x:v>-0.005</x:v>
      </x:c>
      <x:c r="G104" s="11" t="n">
        <x:v>-0.01</x:v>
      </x:c>
      <x:c r="H104" s="11" t="n">
        <x:v>-0.015</x:v>
      </x:c>
      <x:c r="I104" s="11" t="n">
        <x:v>-0.02</x:v>
      </x:c>
      <x:c r="J104" s="11" t="n">
        <x:v>-0.025</x:v>
      </x:c>
      <x:c r="K104" s="28" t="n">
        <x:f>COUNT(F104:J104)</x:f>
        <x:v>5</x:v>
      </x:c>
    </x:row>
    <x:row r="105" ht="26" customHeight="1">
      <x:c r="A105" s="1"/>
      <x:c r="B105" s="1"/>
      <x:c r="C105" s="3"/>
      <x:c r="D105" s="3" t="str">
        <x:v>Delayed transition</x:v>
      </x:c>
      <x:c r="E105" s="3"/>
      <x:c r="F105" s="11" t="n">
        <x:v>-0.015</x:v>
      </x:c>
      <x:c r="G105" s="11" t="n">
        <x:v>-0.03</x:v>
      </x:c>
      <x:c r="H105" s="11" t="n">
        <x:v>-0.045</x:v>
      </x:c>
      <x:c r="I105" s="11" t="n">
        <x:v>-0.06</x:v>
      </x:c>
      <x:c r="J105" s="11" t="n">
        <x:v>-0.075</x:v>
      </x:c>
      <x:c r="K105" s="28" t="n">
        <x:f>COUNT(F105:J105)</x:f>
        <x:v>5</x:v>
      </x:c>
    </x:row>
    <x:row r="106" ht="26" customHeight="1">
      <x:c r="A106" s="1"/>
      <x:c r="B106" s="1"/>
      <x:c r="C106" s="3"/>
      <x:c r="D106" s="3" t="str">
        <x:v>Physical shock</x:v>
      </x:c>
      <x:c r="E106" s="3"/>
      <x:c r="F106" s="11" t="n">
        <x:v>-0.04</x:v>
      </x:c>
      <x:c r="G106" s="11" t="n">
        <x:v>-0.035</x:v>
      </x:c>
      <x:c r="H106" s="11" t="n">
        <x:v>-0.03</x:v>
      </x:c>
      <x:c r="I106" s="11" t="n">
        <x:v>-0.025</x:v>
      </x:c>
      <x:c r="J106" s="11" t="n">
        <x:v>-0.02</x:v>
      </x:c>
      <x:c r="K106" s="28" t="n">
        <x:f>COUNT(F106:J106)</x:f>
        <x:v>5</x:v>
      </x:c>
    </x:row>
    <x:row r="107" ht="26" customHeight="1">
      <x:c r="A107" s="1"/>
      <x:c r="B107" s="1"/>
      <x:c r="C107" s="3"/>
      <x:c r="D107" s="3"/>
      <x:c r="E107" s="3"/>
      <x:c r="F107" s="3"/>
      <x:c r="G107" s="3"/>
      <x:c r="H107" s="3"/>
      <x:c r="I107" s="3"/>
      <x:c r="J107" s="3"/>
    </x:row>
    <x:row r="108" ht="26" customHeight="1">
      <x:c r="A108" s="1"/>
      <x:c r="B108" s="1"/>
      <x:c r="C108" s="12" t="str">
        <x:v>Food demand</x:v>
      </x:c>
      <x:c r="D108" s="12" t="str">
        <x:v>Active selection</x:v>
      </x:c>
      <x:c r="E108" s="12" t="str">
        <x:v>%</x:v>
      </x:c>
      <x:c r="F108" s="27" t="n">
        <x:f>INDEX(F109:F112,MATCH(Settings!$F$6,$D$109:$D$112,0))</x:f>
        <x:v>-0.015</x:v>
      </x:c>
      <x:c r="G108" s="27" t="n">
        <x:f>INDEX(G109:G112,MATCH(Settings!$F$6,$D$109:$D$112,0))</x:f>
        <x:v>-0.03</x:v>
      </x:c>
      <x:c r="H108" s="27" t="n">
        <x:f>INDEX(H109:H112,MATCH(Settings!$F$6,$D$109:$D$112,0))</x:f>
        <x:v>-0.045</x:v>
      </x:c>
      <x:c r="I108" s="27" t="n">
        <x:f>INDEX(I109:I112,MATCH(Settings!$F$6,$D$109:$D$112,0))</x:f>
        <x:v>-0.06</x:v>
      </x:c>
      <x:c r="J108" s="27" t="n">
        <x:f>INDEX(J109:J112,MATCH(Settings!$F$6,$D$109:$D$112,0))</x:f>
        <x:v>-0.075</x:v>
      </x:c>
      <x:c r="K108" s="29" t="n">
        <x:f>INDEX(K109:K112,MATCH(Settings!$F$6,D109:D112,0))</x:f>
        <x:v>5</x:v>
      </x:c>
    </x:row>
    <x:row r="109" ht="26" customHeight="1">
      <x:c r="A109" s="1"/>
      <x:c r="B109" s="1"/>
      <x:c r="C109" s="3"/>
      <x:c r="D109" s="3" t="str">
        <x:v>Baseline</x:v>
      </x:c>
      <x:c r="E109" s="3"/>
      <x:c r="F109" s="11" t="n">
        <x:v>0</x:v>
      </x:c>
      <x:c r="G109" s="11" t="n">
        <x:v>0</x:v>
      </x:c>
      <x:c r="H109" s="11" t="n">
        <x:v>0</x:v>
      </x:c>
      <x:c r="I109" s="11" t="n">
        <x:v>0</x:v>
      </x:c>
      <x:c r="J109" s="11" t="n">
        <x:v>0</x:v>
      </x:c>
      <x:c r="K109" s="28" t="n">
        <x:f>COUNT(F109:J109)</x:f>
        <x:v>5</x:v>
      </x:c>
    </x:row>
    <x:row r="110" ht="26" customHeight="1">
      <x:c r="A110" s="1"/>
      <x:c r="B110" s="1"/>
      <x:c r="C110" s="3"/>
      <x:c r="D110" s="3" t="str">
        <x:v>Orderly transition</x:v>
      </x:c>
      <x:c r="E110" s="3"/>
      <x:c r="F110" s="11" t="n">
        <x:v>-0.005</x:v>
      </x:c>
      <x:c r="G110" s="11" t="n">
        <x:v>-0.01</x:v>
      </x:c>
      <x:c r="H110" s="11" t="n">
        <x:v>-0.015</x:v>
      </x:c>
      <x:c r="I110" s="11" t="n">
        <x:v>-0.02</x:v>
      </x:c>
      <x:c r="J110" s="11" t="n">
        <x:v>-0.025</x:v>
      </x:c>
      <x:c r="K110" s="28" t="n">
        <x:f>COUNT(F110:J110)</x:f>
        <x:v>5</x:v>
      </x:c>
    </x:row>
    <x:row r="111" ht="26" customHeight="1">
      <x:c r="A111" s="1"/>
      <x:c r="B111" s="1"/>
      <x:c r="C111" s="3"/>
      <x:c r="D111" s="3" t="str">
        <x:v>Delayed transition</x:v>
      </x:c>
      <x:c r="E111" s="3"/>
      <x:c r="F111" s="11" t="n">
        <x:v>-0.015</x:v>
      </x:c>
      <x:c r="G111" s="11" t="n">
        <x:v>-0.03</x:v>
      </x:c>
      <x:c r="H111" s="11" t="n">
        <x:v>-0.045</x:v>
      </x:c>
      <x:c r="I111" s="11" t="n">
        <x:v>-0.06</x:v>
      </x:c>
      <x:c r="J111" s="11" t="n">
        <x:v>-0.075</x:v>
      </x:c>
      <x:c r="K111" s="28" t="n">
        <x:f>COUNT(F111:J111)</x:f>
        <x:v>5</x:v>
      </x:c>
    </x:row>
    <x:row r="112" ht="26" customHeight="1">
      <x:c r="A112" s="1"/>
      <x:c r="B112" s="1"/>
      <x:c r="C112" s="3"/>
      <x:c r="D112" s="3" t="str">
        <x:v>Physical shock</x:v>
      </x:c>
      <x:c r="E112" s="3"/>
      <x:c r="F112" s="11" t="n">
        <x:v>-0.04</x:v>
      </x:c>
      <x:c r="G112" s="11" t="n">
        <x:v>-0.035</x:v>
      </x:c>
      <x:c r="H112" s="11" t="n">
        <x:v>-0.03</x:v>
      </x:c>
      <x:c r="I112" s="11" t="n">
        <x:v>-0.025</x:v>
      </x:c>
      <x:c r="J112" s="11" t="n">
        <x:v>-0.02</x:v>
      </x:c>
      <x:c r="K112" s="28" t="n">
        <x:f>COUNT(F112:J112)</x:f>
        <x:v>5</x:v>
      </x:c>
    </x:row>
    <x:row r="113" ht="26" customHeight="1">
      <x:c r="A113" s="1"/>
      <x:c r="B113" s="1"/>
      <x:c r="C113" s="3"/>
      <x:c r="D113" s="3"/>
      <x:c r="E113" s="3"/>
      <x:c r="F113" s="3"/>
      <x:c r="G113" s="3"/>
      <x:c r="H113" s="3"/>
      <x:c r="I113" s="3"/>
      <x:c r="J113" s="3"/>
    </x:row>
    <x:row r="114" ht="26" customHeight="1">
      <x:c r="A114" s="1"/>
      <x:c r="B114" s="1"/>
      <x:c r="C114" s="12" t="str">
        <x:v>Property demand</x:v>
      </x:c>
      <x:c r="D114" s="12" t="str">
        <x:v>Active selection</x:v>
      </x:c>
      <x:c r="E114" s="12" t="str">
        <x:v>%</x:v>
      </x:c>
      <x:c r="F114" s="27" t="n">
        <x:f>INDEX(F115:F118,MATCH(Settings!$F$6,$D$115:$D$118,0))</x:f>
        <x:v>-0.015</x:v>
      </x:c>
      <x:c r="G114" s="27" t="n">
        <x:f>INDEX(G115:G118,MATCH(Settings!$F$6,$D$115:$D$118,0))</x:f>
        <x:v>-0.03</x:v>
      </x:c>
      <x:c r="H114" s="27" t="n">
        <x:f>INDEX(H115:H118,MATCH(Settings!$F$6,$D$115:$D$118,0))</x:f>
        <x:v>-0.045</x:v>
      </x:c>
      <x:c r="I114" s="27" t="n">
        <x:f>INDEX(I115:I118,MATCH(Settings!$F$6,$D$115:$D$118,0))</x:f>
        <x:v>-0.06</x:v>
      </x:c>
      <x:c r="J114" s="27" t="n">
        <x:f>INDEX(J115:J118,MATCH(Settings!$F$6,$D$115:$D$118,0))</x:f>
        <x:v>-0.075</x:v>
      </x:c>
      <x:c r="K114" s="29" t="n">
        <x:f>INDEX(K115:K118,MATCH(Settings!$F$6,D115:D118,0))</x:f>
        <x:v>5</x:v>
      </x:c>
    </x:row>
    <x:row r="115" ht="26" customHeight="1">
      <x:c r="A115" s="1"/>
      <x:c r="B115" s="1"/>
      <x:c r="C115" s="3"/>
      <x:c r="D115" s="3" t="str">
        <x:v>Baseline</x:v>
      </x:c>
      <x:c r="E115" s="3"/>
      <x:c r="F115" s="11" t="n">
        <x:v>0</x:v>
      </x:c>
      <x:c r="G115" s="11" t="n">
        <x:v>0</x:v>
      </x:c>
      <x:c r="H115" s="11" t="n">
        <x:v>0</x:v>
      </x:c>
      <x:c r="I115" s="11" t="n">
        <x:v>0</x:v>
      </x:c>
      <x:c r="J115" s="11" t="n">
        <x:v>0</x:v>
      </x:c>
      <x:c r="K115" s="28" t="n">
        <x:f>COUNT(F115:J115)</x:f>
        <x:v>5</x:v>
      </x:c>
    </x:row>
    <x:row r="116" ht="26" customHeight="1">
      <x:c r="A116" s="1"/>
      <x:c r="B116" s="1"/>
      <x:c r="C116" s="3"/>
      <x:c r="D116" s="3" t="str">
        <x:v>Orderly transition</x:v>
      </x:c>
      <x:c r="E116" s="3"/>
      <x:c r="F116" s="11" t="n">
        <x:v>-0.005</x:v>
      </x:c>
      <x:c r="G116" s="11" t="n">
        <x:v>-0.01</x:v>
      </x:c>
      <x:c r="H116" s="11" t="n">
        <x:v>-0.015</x:v>
      </x:c>
      <x:c r="I116" s="11" t="n">
        <x:v>-0.02</x:v>
      </x:c>
      <x:c r="J116" s="11" t="n">
        <x:v>-0.025</x:v>
      </x:c>
      <x:c r="K116" s="28" t="n">
        <x:f>COUNT(F116:J116)</x:f>
        <x:v>5</x:v>
      </x:c>
    </x:row>
    <x:row r="117" ht="26" customHeight="1">
      <x:c r="A117" s="1"/>
      <x:c r="B117" s="1"/>
      <x:c r="C117" s="3"/>
      <x:c r="D117" s="3" t="str">
        <x:v>Delayed transition</x:v>
      </x:c>
      <x:c r="E117" s="3"/>
      <x:c r="F117" s="11" t="n">
        <x:v>-0.015</x:v>
      </x:c>
      <x:c r="G117" s="11" t="n">
        <x:v>-0.03</x:v>
      </x:c>
      <x:c r="H117" s="11" t="n">
        <x:v>-0.045</x:v>
      </x:c>
      <x:c r="I117" s="11" t="n">
        <x:v>-0.06</x:v>
      </x:c>
      <x:c r="J117" s="11" t="n">
        <x:v>-0.075</x:v>
      </x:c>
      <x:c r="K117" s="28" t="n">
        <x:f>COUNT(F117:J117)</x:f>
        <x:v>5</x:v>
      </x:c>
    </x:row>
    <x:row r="118" ht="26" customHeight="1">
      <x:c r="A118" s="1"/>
      <x:c r="B118" s="1"/>
      <x:c r="C118" s="3"/>
      <x:c r="D118" s="3" t="str">
        <x:v>Physical shock</x:v>
      </x:c>
      <x:c r="E118" s="3"/>
      <x:c r="F118" s="11" t="n">
        <x:v>-0.04</x:v>
      </x:c>
      <x:c r="G118" s="11" t="n">
        <x:v>-0.035</x:v>
      </x:c>
      <x:c r="H118" s="11" t="n">
        <x:v>-0.03</x:v>
      </x:c>
      <x:c r="I118" s="11" t="n">
        <x:v>-0.025</x:v>
      </x:c>
      <x:c r="J118" s="11" t="n">
        <x:v>-0.02</x:v>
      </x:c>
      <x:c r="K118" s="28" t="n">
        <x:f>COUNT(F118:J118)</x:f>
        <x:v>5</x:v>
      </x:c>
    </x:row>
    <x:row r="119" ht="26" customHeight="1">
      <x:c r="A119" s="1"/>
      <x:c r="B119" s="1"/>
      <x:c r="C119" s="3"/>
      <x:c r="D119" s="3"/>
      <x:c r="E119" s="3"/>
      <x:c r="F119" s="3"/>
      <x:c r="G119" s="3"/>
      <x:c r="H119" s="3"/>
      <x:c r="I119" s="3"/>
      <x:c r="J119" s="3"/>
    </x:row>
    <x:row r="120" ht="26" customHeight="1">
      <x:c r="A120" s="1"/>
      <x:c r="B120" s="1"/>
      <x:c r="C120" s="12" t="str">
        <x:v>Hospitality demand</x:v>
      </x:c>
      <x:c r="D120" s="12" t="str">
        <x:v>Active selection</x:v>
      </x:c>
      <x:c r="E120" s="12" t="str">
        <x:v>%</x:v>
      </x:c>
      <x:c r="F120" s="27" t="n">
        <x:f>INDEX(F121:F124,MATCH(Settings!$F$6,$D$121:$D$124,0))</x:f>
        <x:v>-0.015</x:v>
      </x:c>
      <x:c r="G120" s="27" t="n">
        <x:f>INDEX(G121:G124,MATCH(Settings!$F$6,$D$121:$D$124,0))</x:f>
        <x:v>-0.03</x:v>
      </x:c>
      <x:c r="H120" s="27" t="n">
        <x:f>INDEX(H121:H124,MATCH(Settings!$F$6,$D$121:$D$124,0))</x:f>
        <x:v>-0.045</x:v>
      </x:c>
      <x:c r="I120" s="27" t="n">
        <x:f>INDEX(I121:I124,MATCH(Settings!$F$6,$D$121:$D$124,0))</x:f>
        <x:v>-0.06</x:v>
      </x:c>
      <x:c r="J120" s="27" t="n">
        <x:f>INDEX(J121:J124,MATCH(Settings!$F$6,$D$121:$D$124,0))</x:f>
        <x:v>-0.075</x:v>
      </x:c>
      <x:c r="K120" s="29" t="n">
        <x:f>INDEX(K121:K124,MATCH(Settings!$F$6,D121:D124,0))</x:f>
        <x:v>5</x:v>
      </x:c>
    </x:row>
    <x:row r="121" ht="26" customHeight="1">
      <x:c r="A121" s="1"/>
      <x:c r="B121" s="1"/>
      <x:c r="C121" s="3"/>
      <x:c r="D121" s="3" t="str">
        <x:v>Baseline</x:v>
      </x:c>
      <x:c r="E121" s="3"/>
      <x:c r="F121" s="11" t="n">
        <x:v>0</x:v>
      </x:c>
      <x:c r="G121" s="11" t="n">
        <x:v>0</x:v>
      </x:c>
      <x:c r="H121" s="11" t="n">
        <x:v>0</x:v>
      </x:c>
      <x:c r="I121" s="11" t="n">
        <x:v>0</x:v>
      </x:c>
      <x:c r="J121" s="11" t="n">
        <x:v>0</x:v>
      </x:c>
      <x:c r="K121" s="28" t="n">
        <x:f>COUNT(F121:J121)</x:f>
        <x:v>5</x:v>
      </x:c>
    </x:row>
    <x:row r="122" ht="26" customHeight="1">
      <x:c r="A122" s="1"/>
      <x:c r="B122" s="1"/>
      <x:c r="C122" s="3"/>
      <x:c r="D122" s="3" t="str">
        <x:v>Orderly transition</x:v>
      </x:c>
      <x:c r="E122" s="3"/>
      <x:c r="F122" s="11" t="n">
        <x:v>-0.005</x:v>
      </x:c>
      <x:c r="G122" s="11" t="n">
        <x:v>-0.01</x:v>
      </x:c>
      <x:c r="H122" s="11" t="n">
        <x:v>-0.015</x:v>
      </x:c>
      <x:c r="I122" s="11" t="n">
        <x:v>-0.02</x:v>
      </x:c>
      <x:c r="J122" s="11" t="n">
        <x:v>-0.025</x:v>
      </x:c>
      <x:c r="K122" s="28" t="n">
        <x:f>COUNT(F122:J122)</x:f>
        <x:v>5</x:v>
      </x:c>
    </x:row>
    <x:row r="123" ht="26" customHeight="1">
      <x:c r="A123" s="1"/>
      <x:c r="B123" s="1"/>
      <x:c r="C123" s="3"/>
      <x:c r="D123" s="3" t="str">
        <x:v>Delayed transition</x:v>
      </x:c>
      <x:c r="E123" s="3"/>
      <x:c r="F123" s="11" t="n">
        <x:v>-0.015</x:v>
      </x:c>
      <x:c r="G123" s="11" t="n">
        <x:v>-0.03</x:v>
      </x:c>
      <x:c r="H123" s="11" t="n">
        <x:v>-0.045</x:v>
      </x:c>
      <x:c r="I123" s="11" t="n">
        <x:v>-0.06</x:v>
      </x:c>
      <x:c r="J123" s="11" t="n">
        <x:v>-0.075</x:v>
      </x:c>
      <x:c r="K123" s="28" t="n">
        <x:f>COUNT(F123:J123)</x:f>
        <x:v>5</x:v>
      </x:c>
    </x:row>
    <x:row r="124" ht="26" customHeight="1">
      <x:c r="A124" s="1"/>
      <x:c r="B124" s="1"/>
      <x:c r="C124" s="3"/>
      <x:c r="D124" s="3" t="str">
        <x:v>Physical shock</x:v>
      </x:c>
      <x:c r="E124" s="3"/>
      <x:c r="F124" s="11" t="n">
        <x:v>-0.04</x:v>
      </x:c>
      <x:c r="G124" s="11" t="n">
        <x:v>-0.035</x:v>
      </x:c>
      <x:c r="H124" s="11" t="n">
        <x:v>-0.03</x:v>
      </x:c>
      <x:c r="I124" s="11" t="n">
        <x:v>-0.025</x:v>
      </x:c>
      <x:c r="J124" s="11" t="n">
        <x:v>-0.02</x:v>
      </x:c>
      <x:c r="K124" s="28" t="n">
        <x:f>COUNT(F124:J124)</x:f>
        <x:v>5</x:v>
      </x:c>
    </x:row>
    <x:row r="125" ht="26" customHeight="1">
      <x:c r="A125" s="1"/>
      <x:c r="B125" s="1"/>
      <x:c r="C125" s="3"/>
      <x:c r="D125" s="3"/>
      <x:c r="E125" s="3"/>
      <x:c r="F125" s="3"/>
      <x:c r="G125" s="3"/>
      <x:c r="H125" s="3"/>
      <x:c r="I125" s="3"/>
      <x:c r="J125" s="3"/>
    </x:row>
    <x:row r="126" ht="26" customHeight="1">
      <x:c r="A126" s="1"/>
      <x:c r="B126" s="1"/>
      <x:c r="C126" s="12" t="str">
        <x:v>Healthcare demand</x:v>
      </x:c>
      <x:c r="D126" s="12" t="str">
        <x:v>Active selection</x:v>
      </x:c>
      <x:c r="E126" s="12" t="str">
        <x:v>%</x:v>
      </x:c>
      <x:c r="F126" s="27" t="n">
        <x:f>INDEX(F127:F130,MATCH(Settings!$F$6,$D$127:$D$130,0))</x:f>
        <x:v>-0.015</x:v>
      </x:c>
      <x:c r="G126" s="27" t="n">
        <x:f>INDEX(G127:G130,MATCH(Settings!$F$6,$D$127:$D$130,0))</x:f>
        <x:v>-0.03</x:v>
      </x:c>
      <x:c r="H126" s="27" t="n">
        <x:f>INDEX(H127:H130,MATCH(Settings!$F$6,$D$127:$D$130,0))</x:f>
        <x:v>-0.045</x:v>
      </x:c>
      <x:c r="I126" s="27" t="n">
        <x:f>INDEX(I127:I130,MATCH(Settings!$F$6,$D$127:$D$130,0))</x:f>
        <x:v>-0.06</x:v>
      </x:c>
      <x:c r="J126" s="27" t="n">
        <x:f>INDEX(J127:J130,MATCH(Settings!$F$6,$D$127:$D$130,0))</x:f>
        <x:v>-0.075</x:v>
      </x:c>
      <x:c r="K126" s="29" t="n">
        <x:f>INDEX(K127:K130,MATCH(Settings!$F$6,D127:D130,0))</x:f>
        <x:v>5</x:v>
      </x:c>
    </x:row>
    <x:row r="127" ht="26" customHeight="1">
      <x:c r="A127" s="1"/>
      <x:c r="B127" s="1"/>
      <x:c r="C127" s="3"/>
      <x:c r="D127" s="3" t="str">
        <x:v>Baseline</x:v>
      </x:c>
      <x:c r="E127" s="3"/>
      <x:c r="F127" s="11" t="n">
        <x:v>0</x:v>
      </x:c>
      <x:c r="G127" s="11" t="n">
        <x:v>0</x:v>
      </x:c>
      <x:c r="H127" s="11" t="n">
        <x:v>0</x:v>
      </x:c>
      <x:c r="I127" s="11" t="n">
        <x:v>0</x:v>
      </x:c>
      <x:c r="J127" s="11" t="n">
        <x:v>0</x:v>
      </x:c>
      <x:c r="K127" s="28" t="n">
        <x:f>COUNT(F127:J127)</x:f>
        <x:v>5</x:v>
      </x:c>
    </x:row>
    <x:row r="128" ht="26" customHeight="1">
      <x:c r="A128" s="1"/>
      <x:c r="B128" s="1"/>
      <x:c r="C128" s="3"/>
      <x:c r="D128" s="3" t="str">
        <x:v>Orderly transition</x:v>
      </x:c>
      <x:c r="E128" s="3"/>
      <x:c r="F128" s="11" t="n">
        <x:v>-0.005</x:v>
      </x:c>
      <x:c r="G128" s="11" t="n">
        <x:v>-0.01</x:v>
      </x:c>
      <x:c r="H128" s="11" t="n">
        <x:v>-0.015</x:v>
      </x:c>
      <x:c r="I128" s="11" t="n">
        <x:v>-0.02</x:v>
      </x:c>
      <x:c r="J128" s="11" t="n">
        <x:v>-0.025</x:v>
      </x:c>
      <x:c r="K128" s="28" t="n">
        <x:f>COUNT(F128:J128)</x:f>
        <x:v>5</x:v>
      </x:c>
    </x:row>
    <x:row r="129" ht="26" customHeight="1">
      <x:c r="A129" s="1"/>
      <x:c r="B129" s="1"/>
      <x:c r="C129" s="3"/>
      <x:c r="D129" s="3" t="str">
        <x:v>Delayed transition</x:v>
      </x:c>
      <x:c r="E129" s="3"/>
      <x:c r="F129" s="11" t="n">
        <x:v>-0.015</x:v>
      </x:c>
      <x:c r="G129" s="11" t="n">
        <x:v>-0.03</x:v>
      </x:c>
      <x:c r="H129" s="11" t="n">
        <x:v>-0.045</x:v>
      </x:c>
      <x:c r="I129" s="11" t="n">
        <x:v>-0.06</x:v>
      </x:c>
      <x:c r="J129" s="11" t="n">
        <x:v>-0.075</x:v>
      </x:c>
      <x:c r="K129" s="28" t="n">
        <x:f>COUNT(F129:J129)</x:f>
        <x:v>5</x:v>
      </x:c>
    </x:row>
    <x:row r="130" ht="26" customHeight="1">
      <x:c r="A130" s="1"/>
      <x:c r="B130" s="1"/>
      <x:c r="C130" s="3"/>
      <x:c r="D130" s="3" t="str">
        <x:v>Physical shock</x:v>
      </x:c>
      <x:c r="E130" s="3"/>
      <x:c r="F130" s="11" t="n">
        <x:v>-0.04</x:v>
      </x:c>
      <x:c r="G130" s="11" t="n">
        <x:v>-0.035</x:v>
      </x:c>
      <x:c r="H130" s="11" t="n">
        <x:v>-0.03</x:v>
      </x:c>
      <x:c r="I130" s="11" t="n">
        <x:v>-0.025</x:v>
      </x:c>
      <x:c r="J130" s="11" t="n">
        <x:v>-0.02</x:v>
      </x:c>
      <x:c r="K130" s="28" t="n">
        <x:f>COUNT(F130:J130)</x:f>
        <x:v>5</x:v>
      </x:c>
    </x:row>
    <x:row r="131" ht="26" customHeight="1">
      <x:c r="A131" s="1"/>
      <x:c r="B131" s="1"/>
      <x:c r="C131" s="3"/>
      <x:c r="D131" s="3"/>
      <x:c r="E131" s="3"/>
      <x:c r="F131" s="3"/>
      <x:c r="G131" s="3"/>
      <x:c r="H131" s="3"/>
      <x:c r="I131" s="3"/>
      <x:c r="J131" s="3"/>
    </x:row>
    <x:row r="132" ht="26" customHeight="1">
      <x:c r="A132" s="1"/>
      <x:c r="B132" s="1"/>
      <x:c r="C132" s="12" t="str">
        <x:v>Manufacturing demand</x:v>
      </x:c>
      <x:c r="D132" s="12" t="str">
        <x:v>Active selection</x:v>
      </x:c>
      <x:c r="E132" s="12" t="str">
        <x:v>%</x:v>
      </x:c>
      <x:c r="F132" s="27" t="n">
        <x:f>INDEX(F133:F136,MATCH(Settings!$F$6,$D$133:$D$136,0))</x:f>
        <x:v>-0.015</x:v>
      </x:c>
      <x:c r="G132" s="27" t="n">
        <x:f>INDEX(G133:G136,MATCH(Settings!$F$6,$D$133:$D$136,0))</x:f>
        <x:v>-0.03</x:v>
      </x:c>
      <x:c r="H132" s="27" t="n">
        <x:f>INDEX(H133:H136,MATCH(Settings!$F$6,$D$133:$D$136,0))</x:f>
        <x:v>-0.045</x:v>
      </x:c>
      <x:c r="I132" s="27" t="n">
        <x:f>INDEX(I133:I136,MATCH(Settings!$F$6,$D$133:$D$136,0))</x:f>
        <x:v>-0.06</x:v>
      </x:c>
      <x:c r="J132" s="27" t="n">
        <x:f>INDEX(J133:J136,MATCH(Settings!$F$6,$D$133:$D$136,0))</x:f>
        <x:v>-0.075</x:v>
      </x:c>
      <x:c r="K132" s="29" t="n">
        <x:f>INDEX(K133:K136,MATCH(Settings!$F$6,D133:D136,0))</x:f>
        <x:v>5</x:v>
      </x:c>
    </x:row>
    <x:row r="133" ht="26" customHeight="1">
      <x:c r="A133" s="1"/>
      <x:c r="B133" s="1"/>
      <x:c r="C133" s="3"/>
      <x:c r="D133" s="3" t="str">
        <x:v>Baseline</x:v>
      </x:c>
      <x:c r="E133" s="3"/>
      <x:c r="F133" s="11" t="n">
        <x:v>0</x:v>
      </x:c>
      <x:c r="G133" s="11" t="n">
        <x:v>0</x:v>
      </x:c>
      <x:c r="H133" s="11" t="n">
        <x:v>0</x:v>
      </x:c>
      <x:c r="I133" s="11" t="n">
        <x:v>0</x:v>
      </x:c>
      <x:c r="J133" s="11" t="n">
        <x:v>0</x:v>
      </x:c>
      <x:c r="K133" s="28" t="n">
        <x:f>COUNT(F133:J133)</x:f>
        <x:v>5</x:v>
      </x:c>
    </x:row>
    <x:row r="134" ht="26" customHeight="1">
      <x:c r="A134" s="1"/>
      <x:c r="B134" s="1"/>
      <x:c r="C134" s="3"/>
      <x:c r="D134" s="3" t="str">
        <x:v>Orderly transition</x:v>
      </x:c>
      <x:c r="E134" s="3"/>
      <x:c r="F134" s="11" t="n">
        <x:v>-0.005</x:v>
      </x:c>
      <x:c r="G134" s="11" t="n">
        <x:v>-0.01</x:v>
      </x:c>
      <x:c r="H134" s="11" t="n">
        <x:v>-0.015</x:v>
      </x:c>
      <x:c r="I134" s="11" t="n">
        <x:v>-0.02</x:v>
      </x:c>
      <x:c r="J134" s="11" t="n">
        <x:v>-0.025</x:v>
      </x:c>
      <x:c r="K134" s="28" t="n">
        <x:f>COUNT(F134:J134)</x:f>
        <x:v>5</x:v>
      </x:c>
    </x:row>
    <x:row r="135" ht="26" customHeight="1">
      <x:c r="A135" s="1"/>
      <x:c r="B135" s="1"/>
      <x:c r="C135" s="3"/>
      <x:c r="D135" s="3" t="str">
        <x:v>Delayed transition</x:v>
      </x:c>
      <x:c r="E135" s="3"/>
      <x:c r="F135" s="11" t="n">
        <x:v>-0.015</x:v>
      </x:c>
      <x:c r="G135" s="11" t="n">
        <x:v>-0.03</x:v>
      </x:c>
      <x:c r="H135" s="11" t="n">
        <x:v>-0.045</x:v>
      </x:c>
      <x:c r="I135" s="11" t="n">
        <x:v>-0.06</x:v>
      </x:c>
      <x:c r="J135" s="11" t="n">
        <x:v>-0.075</x:v>
      </x:c>
      <x:c r="K135" s="28" t="n">
        <x:f>COUNT(F135:J135)</x:f>
        <x:v>5</x:v>
      </x:c>
    </x:row>
    <x:row r="136" ht="26" customHeight="1">
      <x:c r="A136" s="1"/>
      <x:c r="B136" s="1"/>
      <x:c r="C136" s="3"/>
      <x:c r="D136" s="3" t="str">
        <x:v>Physical shock</x:v>
      </x:c>
      <x:c r="E136" s="3"/>
      <x:c r="F136" s="11" t="n">
        <x:v>-0.04</x:v>
      </x:c>
      <x:c r="G136" s="11" t="n">
        <x:v>-0.035</x:v>
      </x:c>
      <x:c r="H136" s="11" t="n">
        <x:v>-0.03</x:v>
      </x:c>
      <x:c r="I136" s="11" t="n">
        <x:v>-0.025</x:v>
      </x:c>
      <x:c r="J136" s="11" t="n">
        <x:v>-0.02</x:v>
      </x:c>
      <x:c r="K136" s="28" t="n">
        <x:f>COUNT(F136:J136)</x:f>
        <x:v>5</x:v>
      </x:c>
    </x:row>
    <x:row r="137" ht="26" customHeight="1">
      <x:c r="A137" s="1"/>
      <x:c r="B137" s="1"/>
      <x:c r="C137" s="3"/>
      <x:c r="D137" s="3"/>
      <x:c r="E137" s="3"/>
      <x:c r="F137" s="3"/>
      <x:c r="G137" s="3"/>
      <x:c r="H137" s="3"/>
      <x:c r="I137" s="3"/>
      <x:c r="J137" s="3"/>
    </x:row>
    <x:row r="138" ht="26" customHeight="1">
      <x:c r="A138" s="1"/>
      <x:c r="B138" s="1"/>
      <x:c r="C138" s="12" t="str">
        <x:v>Agriculture demand</x:v>
      </x:c>
      <x:c r="D138" s="12" t="str">
        <x:v>Active selection</x:v>
      </x:c>
      <x:c r="E138" s="12" t="str">
        <x:v>%</x:v>
      </x:c>
      <x:c r="F138" s="27" t="n">
        <x:f>INDEX(F139:F142,MATCH(Settings!$F$6,$D$139:$D$142,0))</x:f>
        <x:v>-0.015</x:v>
      </x:c>
      <x:c r="G138" s="27" t="n">
        <x:f>INDEX(G139:G142,MATCH(Settings!$F$6,$D$139:$D$142,0))</x:f>
        <x:v>-0.03</x:v>
      </x:c>
      <x:c r="H138" s="27" t="n">
        <x:f>INDEX(H139:H142,MATCH(Settings!$F$6,$D$139:$D$142,0))</x:f>
        <x:v>-0.045</x:v>
      </x:c>
      <x:c r="I138" s="27" t="n">
        <x:f>INDEX(I139:I142,MATCH(Settings!$F$6,$D$139:$D$142,0))</x:f>
        <x:v>-0.06</x:v>
      </x:c>
      <x:c r="J138" s="27" t="n">
        <x:f>INDEX(J139:J142,MATCH(Settings!$F$6,$D$139:$D$142,0))</x:f>
        <x:v>-0.075</x:v>
      </x:c>
      <x:c r="K138" s="29" t="n">
        <x:f>INDEX(K139:K142,MATCH(Settings!$F$6,D139:D142,0))</x:f>
        <x:v>5</x:v>
      </x:c>
    </x:row>
    <x:row r="139" ht="26" customHeight="1">
      <x:c r="A139" s="1"/>
      <x:c r="B139" s="1"/>
      <x:c r="C139" s="3"/>
      <x:c r="D139" s="3" t="str">
        <x:v>Baseline</x:v>
      </x:c>
      <x:c r="E139" s="3"/>
      <x:c r="F139" s="11" t="n">
        <x:v>0</x:v>
      </x:c>
      <x:c r="G139" s="11" t="n">
        <x:v>0</x:v>
      </x:c>
      <x:c r="H139" s="11" t="n">
        <x:v>0</x:v>
      </x:c>
      <x:c r="I139" s="11" t="n">
        <x:v>0</x:v>
      </x:c>
      <x:c r="J139" s="11" t="n">
        <x:v>0</x:v>
      </x:c>
      <x:c r="K139" s="28" t="n">
        <x:f>COUNT(F139:J139)</x:f>
        <x:v>5</x:v>
      </x:c>
    </x:row>
    <x:row r="140" ht="26" customHeight="1">
      <x:c r="A140" s="1"/>
      <x:c r="B140" s="1"/>
      <x:c r="C140" s="3"/>
      <x:c r="D140" s="3" t="str">
        <x:v>Orderly transition</x:v>
      </x:c>
      <x:c r="E140" s="3"/>
      <x:c r="F140" s="11" t="n">
        <x:v>-0.005</x:v>
      </x:c>
      <x:c r="G140" s="11" t="n">
        <x:v>-0.01</x:v>
      </x:c>
      <x:c r="H140" s="11" t="n">
        <x:v>-0.015</x:v>
      </x:c>
      <x:c r="I140" s="11" t="n">
        <x:v>-0.02</x:v>
      </x:c>
      <x:c r="J140" s="11" t="n">
        <x:v>-0.025</x:v>
      </x:c>
      <x:c r="K140" s="28" t="n">
        <x:f>COUNT(F140:J140)</x:f>
        <x:v>5</x:v>
      </x:c>
    </x:row>
    <x:row r="141" ht="26" customHeight="1">
      <x:c r="A141" s="1"/>
      <x:c r="B141" s="1"/>
      <x:c r="C141" s="3"/>
      <x:c r="D141" s="3" t="str">
        <x:v>Delayed transition</x:v>
      </x:c>
      <x:c r="E141" s="3"/>
      <x:c r="F141" s="11" t="n">
        <x:v>-0.015</x:v>
      </x:c>
      <x:c r="G141" s="11" t="n">
        <x:v>-0.03</x:v>
      </x:c>
      <x:c r="H141" s="11" t="n">
        <x:v>-0.045</x:v>
      </x:c>
      <x:c r="I141" s="11" t="n">
        <x:v>-0.06</x:v>
      </x:c>
      <x:c r="J141" s="11" t="n">
        <x:v>-0.075</x:v>
      </x:c>
      <x:c r="K141" s="28" t="n">
        <x:f>COUNT(F141:J141)</x:f>
        <x:v>5</x:v>
      </x:c>
    </x:row>
    <x:row r="142" ht="26" customHeight="1">
      <x:c r="A142" s="1"/>
      <x:c r="B142" s="1"/>
      <x:c r="C142" s="3"/>
      <x:c r="D142" s="3" t="str">
        <x:v>Physical shock</x:v>
      </x:c>
      <x:c r="E142" s="3"/>
      <x:c r="F142" s="11" t="n">
        <x:v>-0.04</x:v>
      </x:c>
      <x:c r="G142" s="11" t="n">
        <x:v>-0.035</x:v>
      </x:c>
      <x:c r="H142" s="11" t="n">
        <x:v>-0.03</x:v>
      </x:c>
      <x:c r="I142" s="11" t="n">
        <x:v>-0.025</x:v>
      </x:c>
      <x:c r="J142" s="11" t="n">
        <x:v>-0.02</x:v>
      </x:c>
      <x:c r="K142" s="28" t="n">
        <x:f>COUNT(F142:J142)</x:f>
        <x:v>5</x:v>
      </x:c>
    </x:row>
    <x:row r="143" ht="26" customHeight="1">
      <x:c r="A143" s="1"/>
      <x:c r="B143" s="1"/>
      <x:c r="C143" s="3"/>
      <x:c r="D143" s="3"/>
      <x:c r="E143" s="3"/>
      <x:c r="F143" s="3"/>
      <x:c r="G143" s="3"/>
      <x:c r="H143" s="3"/>
      <x:c r="I143" s="3"/>
      <x:c r="J143" s="3"/>
    </x:row>
    <x:row r="144" ht="26" customHeight="1">
      <x:c r="A144" s="1"/>
      <x:c r="B144" s="1"/>
      <x:c r="C144" s="12" t="str">
        <x:v>Utilities demand</x:v>
      </x:c>
      <x:c r="D144" s="12" t="str">
        <x:v>Active selection</x:v>
      </x:c>
      <x:c r="E144" s="12" t="str">
        <x:v>%</x:v>
      </x:c>
      <x:c r="F144" s="27" t="n">
        <x:f>INDEX(F145:F148,MATCH(Settings!$F$6,$D$145:$D$148,0))</x:f>
        <x:v>-0.015</x:v>
      </x:c>
      <x:c r="G144" s="27" t="n">
        <x:f>INDEX(G145:G148,MATCH(Settings!$F$6,$D$145:$D$148,0))</x:f>
        <x:v>-0.03</x:v>
      </x:c>
      <x:c r="H144" s="27" t="n">
        <x:f>INDEX(H145:H148,MATCH(Settings!$F$6,$D$145:$D$148,0))</x:f>
        <x:v>-0.045</x:v>
      </x:c>
      <x:c r="I144" s="27" t="n">
        <x:f>INDEX(I145:I148,MATCH(Settings!$F$6,$D$145:$D$148,0))</x:f>
        <x:v>-0.06</x:v>
      </x:c>
      <x:c r="J144" s="27" t="n">
        <x:f>INDEX(J145:J148,MATCH(Settings!$F$6,$D$145:$D$148,0))</x:f>
        <x:v>-0.075</x:v>
      </x:c>
      <x:c r="K144" s="29" t="n">
        <x:f>INDEX(K145:K148,MATCH(Settings!$F$6,D145:D148,0))</x:f>
        <x:v>5</x:v>
      </x:c>
    </x:row>
    <x:row r="145" ht="26" customHeight="1">
      <x:c r="A145" s="1"/>
      <x:c r="B145" s="1"/>
      <x:c r="C145" s="3"/>
      <x:c r="D145" s="3" t="str">
        <x:v>Baseline</x:v>
      </x:c>
      <x:c r="E145" s="3"/>
      <x:c r="F145" s="11" t="n">
        <x:v>0</x:v>
      </x:c>
      <x:c r="G145" s="11" t="n">
        <x:v>0</x:v>
      </x:c>
      <x:c r="H145" s="11" t="n">
        <x:v>0</x:v>
      </x:c>
      <x:c r="I145" s="11" t="n">
        <x:v>0</x:v>
      </x:c>
      <x:c r="J145" s="11" t="n">
        <x:v>0</x:v>
      </x:c>
      <x:c r="K145" s="28" t="n">
        <x:f>COUNT(F145:J145)</x:f>
        <x:v>5</x:v>
      </x:c>
    </x:row>
    <x:row r="146" ht="26" customHeight="1">
      <x:c r="A146" s="1"/>
      <x:c r="B146" s="1"/>
      <x:c r="C146" s="3"/>
      <x:c r="D146" s="3" t="str">
        <x:v>Orderly transition</x:v>
      </x:c>
      <x:c r="E146" s="3"/>
      <x:c r="F146" s="11" t="n">
        <x:v>-0.005</x:v>
      </x:c>
      <x:c r="G146" s="11" t="n">
        <x:v>-0.01</x:v>
      </x:c>
      <x:c r="H146" s="11" t="n">
        <x:v>-0.015</x:v>
      </x:c>
      <x:c r="I146" s="11" t="n">
        <x:v>-0.02</x:v>
      </x:c>
      <x:c r="J146" s="11" t="n">
        <x:v>-0.025</x:v>
      </x:c>
      <x:c r="K146" s="28" t="n">
        <x:f>COUNT(F146:J146)</x:f>
        <x:v>5</x:v>
      </x:c>
    </x:row>
    <x:row r="147" ht="26" customHeight="1">
      <x:c r="A147" s="1"/>
      <x:c r="B147" s="1"/>
      <x:c r="C147" s="3"/>
      <x:c r="D147" s="3" t="str">
        <x:v>Delayed transition</x:v>
      </x:c>
      <x:c r="E147" s="3"/>
      <x:c r="F147" s="11" t="n">
        <x:v>-0.015</x:v>
      </x:c>
      <x:c r="G147" s="11" t="n">
        <x:v>-0.03</x:v>
      </x:c>
      <x:c r="H147" s="11" t="n">
        <x:v>-0.045</x:v>
      </x:c>
      <x:c r="I147" s="11" t="n">
        <x:v>-0.06</x:v>
      </x:c>
      <x:c r="J147" s="11" t="n">
        <x:v>-0.075</x:v>
      </x:c>
      <x:c r="K147" s="28" t="n">
        <x:f>COUNT(F147:J147)</x:f>
        <x:v>5</x:v>
      </x:c>
    </x:row>
    <x:row r="148" ht="26" customHeight="1">
      <x:c r="A148" s="1"/>
      <x:c r="B148" s="1"/>
      <x:c r="C148" s="3"/>
      <x:c r="D148" s="3" t="str">
        <x:v>Physical shock</x:v>
      </x:c>
      <x:c r="E148" s="3"/>
      <x:c r="F148" s="11" t="n">
        <x:v>-0.04</x:v>
      </x:c>
      <x:c r="G148" s="11" t="n">
        <x:v>-0.035</x:v>
      </x:c>
      <x:c r="H148" s="11" t="n">
        <x:v>-0.03</x:v>
      </x:c>
      <x:c r="I148" s="11" t="n">
        <x:v>-0.025</x:v>
      </x:c>
      <x:c r="J148" s="11" t="n">
        <x:v>-0.02</x:v>
      </x:c>
      <x:c r="K148" s="28" t="n">
        <x:f>COUNT(F148:J148)</x:f>
        <x:v>5</x:v>
      </x:c>
    </x:row>
    <x:row r="149" ht="26" customHeight="1">
      <x:c r="A149" s="1"/>
      <x:c r="B149" s="1"/>
      <x:c r="C149" s="3"/>
      <x:c r="D149" s="3"/>
      <x:c r="E149" s="3"/>
      <x:c r="F149" s="3"/>
      <x:c r="G149" s="3"/>
      <x:c r="H149" s="3"/>
      <x:c r="I149" s="3"/>
      <x:c r="J149" s="3"/>
    </x:row>
    <x:row r="150" ht="26" customHeight="1">
      <x:c r="A150" s="1"/>
      <x:c r="B150" s="1"/>
      <x:c r="C150" s="12" t="str">
        <x:v>Technology demand</x:v>
      </x:c>
      <x:c r="D150" s="12" t="str">
        <x:v>Active selection</x:v>
      </x:c>
      <x:c r="E150" s="12" t="str">
        <x:v>%</x:v>
      </x:c>
      <x:c r="F150" s="27" t="n">
        <x:f>INDEX(F151:F154,MATCH(Settings!$F$6,$D$151:$D$154,0))</x:f>
        <x:v>-0.015</x:v>
      </x:c>
      <x:c r="G150" s="27" t="n">
        <x:f>INDEX(G151:G154,MATCH(Settings!$F$6,$D$151:$D$154,0))</x:f>
        <x:v>-0.03</x:v>
      </x:c>
      <x:c r="H150" s="27" t="n">
        <x:f>INDEX(H151:H154,MATCH(Settings!$F$6,$D$151:$D$154,0))</x:f>
        <x:v>-0.045</x:v>
      </x:c>
      <x:c r="I150" s="27" t="n">
        <x:f>INDEX(I151:I154,MATCH(Settings!$F$6,$D$151:$D$154,0))</x:f>
        <x:v>-0.06</x:v>
      </x:c>
      <x:c r="J150" s="27" t="n">
        <x:f>INDEX(J151:J154,MATCH(Settings!$F$6,$D$151:$D$154,0))</x:f>
        <x:v>-0.075</x:v>
      </x:c>
      <x:c r="K150" s="29" t="n">
        <x:f>INDEX(K151:K154,MATCH(Settings!$F$6,D151:D154,0))</x:f>
        <x:v>5</x:v>
      </x:c>
    </x:row>
    <x:row r="151" ht="26" customHeight="1">
      <x:c r="A151" s="1"/>
      <x:c r="B151" s="1"/>
      <x:c r="C151" s="3"/>
      <x:c r="D151" s="3" t="str">
        <x:v>Baseline</x:v>
      </x:c>
      <x:c r="E151" s="3"/>
      <x:c r="F151" s="11" t="n">
        <x:v>0</x:v>
      </x:c>
      <x:c r="G151" s="11" t="n">
        <x:v>0</x:v>
      </x:c>
      <x:c r="H151" s="11" t="n">
        <x:v>0</x:v>
      </x:c>
      <x:c r="I151" s="11" t="n">
        <x:v>0</x:v>
      </x:c>
      <x:c r="J151" s="11" t="n">
        <x:v>0</x:v>
      </x:c>
      <x:c r="K151" s="28" t="n">
        <x:f>COUNT(F151:J151)</x:f>
        <x:v>5</x:v>
      </x:c>
    </x:row>
    <x:row r="152" ht="26" customHeight="1">
      <x:c r="A152" s="1"/>
      <x:c r="B152" s="1"/>
      <x:c r="C152" s="3"/>
      <x:c r="D152" s="3" t="str">
        <x:v>Orderly transition</x:v>
      </x:c>
      <x:c r="E152" s="3"/>
      <x:c r="F152" s="11" t="n">
        <x:v>-0.005</x:v>
      </x:c>
      <x:c r="G152" s="11" t="n">
        <x:v>-0.01</x:v>
      </x:c>
      <x:c r="H152" s="11" t="n">
        <x:v>-0.015</x:v>
      </x:c>
      <x:c r="I152" s="11" t="n">
        <x:v>-0.02</x:v>
      </x:c>
      <x:c r="J152" s="11" t="n">
        <x:v>-0.025</x:v>
      </x:c>
      <x:c r="K152" s="28" t="n">
        <x:f>COUNT(F152:J152)</x:f>
        <x:v>5</x:v>
      </x:c>
    </x:row>
    <x:row r="153" ht="26" customHeight="1">
      <x:c r="A153" s="1"/>
      <x:c r="B153" s="1"/>
      <x:c r="C153" s="3"/>
      <x:c r="D153" s="3" t="str">
        <x:v>Delayed transition</x:v>
      </x:c>
      <x:c r="E153" s="3"/>
      <x:c r="F153" s="11" t="n">
        <x:v>-0.015</x:v>
      </x:c>
      <x:c r="G153" s="11" t="n">
        <x:v>-0.03</x:v>
      </x:c>
      <x:c r="H153" s="11" t="n">
        <x:v>-0.045</x:v>
      </x:c>
      <x:c r="I153" s="11" t="n">
        <x:v>-0.06</x:v>
      </x:c>
      <x:c r="J153" s="11" t="n">
        <x:v>-0.075</x:v>
      </x:c>
      <x:c r="K153" s="28" t="n">
        <x:f>COUNT(F153:J153)</x:f>
        <x:v>5</x:v>
      </x:c>
    </x:row>
    <x:row r="154" ht="26" customHeight="1">
      <x:c r="A154" s="1"/>
      <x:c r="B154" s="1"/>
      <x:c r="C154" s="3"/>
      <x:c r="D154" s="3" t="str">
        <x:v>Physical shock</x:v>
      </x:c>
      <x:c r="E154" s="3"/>
      <x:c r="F154" s="11" t="n">
        <x:v>-0.04</x:v>
      </x:c>
      <x:c r="G154" s="11" t="n">
        <x:v>-0.035</x:v>
      </x:c>
      <x:c r="H154" s="11" t="n">
        <x:v>-0.03</x:v>
      </x:c>
      <x:c r="I154" s="11" t="n">
        <x:v>-0.025</x:v>
      </x:c>
      <x:c r="J154" s="11" t="n">
        <x:v>-0.02</x:v>
      </x:c>
      <x:c r="K154" s="28" t="n">
        <x:f>COUNT(F154:J154)</x:f>
        <x:v>5</x:v>
      </x:c>
    </x:row>
    <x:row r="155" ht="26" customHeight="1">
      <x:c r="A155" s="1"/>
      <x:c r="B155" s="1"/>
      <x:c r="C155" s="3"/>
      <x:c r="D155" s="3"/>
      <x:c r="E155" s="3"/>
      <x:c r="F155" s="3"/>
      <x:c r="G155" s="3"/>
      <x:c r="H155" s="3"/>
      <x:c r="I155" s="3"/>
      <x:c r="J155" s="3"/>
    </x:row>
    <x:row r="156" ht="26" customHeight="1">
      <x:c r="A156" s="1"/>
      <x:c r="B156" s="1"/>
      <x:c r="C156" s="12" t="str">
        <x:v>Transport demand</x:v>
      </x:c>
      <x:c r="D156" s="12" t="str">
        <x:v>Active selection</x:v>
      </x:c>
      <x:c r="E156" s="12" t="str">
        <x:v>%</x:v>
      </x:c>
      <x:c r="F156" s="27" t="n">
        <x:f>INDEX(F157:F160,MATCH(Settings!$F$6,$D$157:$D$160,0))</x:f>
        <x:v>-0.015</x:v>
      </x:c>
      <x:c r="G156" s="27" t="n">
        <x:f>INDEX(G157:G160,MATCH(Settings!$F$6,$D$157:$D$160,0))</x:f>
        <x:v>-0.03</x:v>
      </x:c>
      <x:c r="H156" s="27" t="n">
        <x:f>INDEX(H157:H160,MATCH(Settings!$F$6,$D$157:$D$160,0))</x:f>
        <x:v>-0.045</x:v>
      </x:c>
      <x:c r="I156" s="27" t="n">
        <x:f>INDEX(I157:I160,MATCH(Settings!$F$6,$D$157:$D$160,0))</x:f>
        <x:v>-0.06</x:v>
      </x:c>
      <x:c r="J156" s="27" t="n">
        <x:f>INDEX(J157:J160,MATCH(Settings!$F$6,$D$157:$D$160,0))</x:f>
        <x:v>-0.075</x:v>
      </x:c>
      <x:c r="K156" s="29" t="n">
        <x:f>INDEX(K157:K160,MATCH(Settings!$F$6,D157:D160,0))</x:f>
        <x:v>5</x:v>
      </x:c>
    </x:row>
    <x:row r="157" ht="26" customHeight="1">
      <x:c r="A157" s="1"/>
      <x:c r="B157" s="1"/>
      <x:c r="C157" s="3"/>
      <x:c r="D157" s="3" t="str">
        <x:v>Baseline</x:v>
      </x:c>
      <x:c r="E157" s="3"/>
      <x:c r="F157" s="11" t="n">
        <x:v>0</x:v>
      </x:c>
      <x:c r="G157" s="11" t="n">
        <x:v>0</x:v>
      </x:c>
      <x:c r="H157" s="11" t="n">
        <x:v>0</x:v>
      </x:c>
      <x:c r="I157" s="11" t="n">
        <x:v>0</x:v>
      </x:c>
      <x:c r="J157" s="11" t="n">
        <x:v>0</x:v>
      </x:c>
      <x:c r="K157" s="28" t="n">
        <x:f>COUNT(F157:J157)</x:f>
        <x:v>5</x:v>
      </x:c>
    </x:row>
    <x:row r="158" ht="26" customHeight="1">
      <x:c r="A158" s="1"/>
      <x:c r="B158" s="1"/>
      <x:c r="C158" s="3"/>
      <x:c r="D158" s="3" t="str">
        <x:v>Orderly transition</x:v>
      </x:c>
      <x:c r="E158" s="3"/>
      <x:c r="F158" s="11" t="n">
        <x:v>-0.005</x:v>
      </x:c>
      <x:c r="G158" s="11" t="n">
        <x:v>-0.01</x:v>
      </x:c>
      <x:c r="H158" s="11" t="n">
        <x:v>-0.015</x:v>
      </x:c>
      <x:c r="I158" s="11" t="n">
        <x:v>-0.02</x:v>
      </x:c>
      <x:c r="J158" s="11" t="n">
        <x:v>-0.025</x:v>
      </x:c>
      <x:c r="K158" s="28" t="n">
        <x:f>COUNT(F158:J158)</x:f>
        <x:v>5</x:v>
      </x:c>
    </x:row>
    <x:row r="159" ht="26" customHeight="1">
      <x:c r="A159" s="1"/>
      <x:c r="B159" s="1"/>
      <x:c r="C159" s="3"/>
      <x:c r="D159" s="3" t="str">
        <x:v>Delayed transition</x:v>
      </x:c>
      <x:c r="E159" s="3"/>
      <x:c r="F159" s="11" t="n">
        <x:v>-0.015</x:v>
      </x:c>
      <x:c r="G159" s="11" t="n">
        <x:v>-0.03</x:v>
      </x:c>
      <x:c r="H159" s="11" t="n">
        <x:v>-0.045</x:v>
      </x:c>
      <x:c r="I159" s="11" t="n">
        <x:v>-0.06</x:v>
      </x:c>
      <x:c r="J159" s="11" t="n">
        <x:v>-0.075</x:v>
      </x:c>
      <x:c r="K159" s="28" t="n">
        <x:f>COUNT(F159:J159)</x:f>
        <x:v>5</x:v>
      </x:c>
    </x:row>
    <x:row r="160" ht="26" customHeight="1">
      <x:c r="A160" s="1"/>
      <x:c r="B160" s="1"/>
      <x:c r="C160" s="3"/>
      <x:c r="D160" s="3" t="str">
        <x:v>Physical shock</x:v>
      </x:c>
      <x:c r="E160" s="3"/>
      <x:c r="F160" s="11" t="n">
        <x:v>-0.04</x:v>
      </x:c>
      <x:c r="G160" s="11" t="n">
        <x:v>-0.035</x:v>
      </x:c>
      <x:c r="H160" s="11" t="n">
        <x:v>-0.03</x:v>
      </x:c>
      <x:c r="I160" s="11" t="n">
        <x:v>-0.025</x:v>
      </x:c>
      <x:c r="J160" s="11" t="n">
        <x:v>-0.02</x:v>
      </x:c>
      <x:c r="K160" s="28" t="n">
        <x:f>COUNT(F160:J160)</x:f>
        <x:v>5</x:v>
      </x:c>
    </x:row>
    <x:row r="161" ht="26" customHeight="1">
      <x:c r="A161" s="1"/>
      <x:c r="B161" s="1"/>
      <x:c r="C161" s="3"/>
      <x:c r="D161" s="3"/>
      <x:c r="E161" s="3"/>
      <x:c r="F161" s="3"/>
      <x:c r="G161" s="3"/>
      <x:c r="H161" s="3"/>
      <x:c r="I161" s="3"/>
      <x:c r="J161" s="3"/>
    </x:row>
    <x:row r="162" ht="26" customHeight="1">
      <x:c r="A162" s="1"/>
      <x:c r="B162" s="1"/>
      <x:c r="C162" s="3"/>
      <x:c r="D162" s="3"/>
      <x:c r="E162" s="3"/>
      <x:c r="F162" s="3"/>
      <x:c r="G162" s="3"/>
      <x:c r="H162" s="3"/>
      <x:c r="I162" s="3"/>
      <x:c r="J162" s="3"/>
    </x:row>
    <x:row r="163" ht="26" customHeight="1">
      <x:c r="A163" s="1"/>
      <x:c r="B163" s="1"/>
      <x:c r="C163" s="3"/>
      <x:c r="D163" s="3"/>
      <x:c r="E163" s="3"/>
      <x:c r="F163" s="3"/>
      <x:c r="G163" s="3"/>
      <x:c r="H163" s="3"/>
      <x:c r="I163" s="3"/>
      <x:c r="J163" s="3"/>
    </x:row>
    <x:row r="164" ht="26" customHeight="1">
      <x:c r="A164" s="1"/>
      <x:c r="B164" s="1"/>
      <x:c r="C164" s="3"/>
      <x:c r="D164" s="3"/>
      <x:c r="E164" s="3"/>
      <x:c r="F164" s="3"/>
      <x:c r="G164" s="3"/>
      <x:c r="H164" s="3"/>
      <x:c r="I164" s="3"/>
      <x:c r="J164" s="3"/>
    </x:row>
    <x:row r="165" ht="26" customHeight="1">
      <x:c r="A165" s="1"/>
      <x:c r="B165" s="1"/>
      <x:c r="C165" s="3"/>
      <x:c r="D165" s="3"/>
      <x:c r="E165" s="3"/>
      <x:c r="F165" s="3"/>
      <x:c r="G165" s="3"/>
      <x:c r="H165" s="3"/>
      <x:c r="I165" s="3"/>
      <x:c r="J165" s="3"/>
    </x:row>
    <x:row r="166" ht="26" customHeight="1">
      <x:c r="A166" s="1"/>
      <x:c r="B166" s="1"/>
      <x:c r="C166" s="3"/>
      <x:c r="D166" s="3"/>
      <x:c r="E166" s="3"/>
      <x:c r="F166" s="3"/>
      <x:c r="G166" s="3"/>
      <x:c r="H166" s="3"/>
      <x:c r="I166" s="3"/>
      <x:c r="J166" s="3"/>
    </x:row>
    <x:row r="167" ht="26" customHeight="1">
      <x:c r="A167" s="1"/>
      <x:c r="B167" s="1"/>
      <x:c r="C167" s="3"/>
      <x:c r="D167" s="3"/>
      <x:c r="E167" s="3"/>
      <x:c r="F167" s="3"/>
      <x:c r="G167" s="3"/>
      <x:c r="H167" s="3"/>
      <x:c r="I167" s="3"/>
      <x:c r="J167" s="3"/>
    </x:row>
    <x:row r="168" ht="26" customHeight="1">
      <x:c r="A168" s="1"/>
      <x:c r="B168" s="1"/>
      <x:c r="C168" s="3"/>
      <x:c r="D168" s="3"/>
      <x:c r="E168" s="3"/>
      <x:c r="F168" s="3"/>
      <x:c r="G168" s="3"/>
      <x:c r="H168" s="3"/>
      <x:c r="I168" s="3"/>
      <x:c r="J168" s="3"/>
    </x:row>
    <x:row r="169" ht="26" customHeight="1">
      <x:c r="A169" s="1"/>
      <x:c r="B169" s="1"/>
      <x:c r="C169" s="3"/>
      <x:c r="D169" s="3"/>
      <x:c r="E169" s="3"/>
      <x:c r="F169" s="3"/>
      <x:c r="G169" s="3"/>
      <x:c r="H169" s="3"/>
      <x:c r="I169" s="3"/>
      <x:c r="J169" s="3"/>
    </x:row>
    <x:row r="170" ht="26" customHeight="1">
      <x:c r="A170" s="1"/>
      <x:c r="B170" s="1"/>
      <x:c r="C170" s="3"/>
      <x:c r="D170" s="3"/>
      <x:c r="E170" s="3"/>
      <x:c r="F170" s="3"/>
      <x:c r="G170" s="3"/>
      <x:c r="H170" s="3"/>
      <x:c r="I170" s="3"/>
      <x:c r="J170" s="3"/>
    </x:row>
    <x:row r="171" ht="26" customHeight="1">
      <x:c r="A171" s="1"/>
      <x:c r="B171" s="1"/>
      <x:c r="C171" s="3"/>
      <x:c r="D171" s="3"/>
      <x:c r="E171" s="3"/>
      <x:c r="F171" s="3"/>
      <x:c r="G171" s="3"/>
      <x:c r="H171" s="3"/>
      <x:c r="I171" s="3"/>
      <x:c r="J171" s="3"/>
    </x:row>
    <x:row r="172" ht="26" customHeight="1">
      <x:c r="A172" s="1"/>
      <x:c r="B172" s="1"/>
      <x:c r="C172" s="3"/>
      <x:c r="D172" s="3"/>
      <x:c r="E172" s="3"/>
      <x:c r="F172" s="3"/>
      <x:c r="G172" s="3"/>
      <x:c r="H172" s="3"/>
      <x:c r="I172" s="3"/>
      <x:c r="J172" s="3"/>
    </x:row>
    <x:row r="173" ht="26" customHeight="1">
      <x:c r="A173" s="1"/>
      <x:c r="B173" s="1"/>
      <x:c r="C173" s="3"/>
      <x:c r="D173" s="3"/>
      <x:c r="E173" s="3"/>
      <x:c r="F173" s="3"/>
      <x:c r="G173" s="3"/>
      <x:c r="H173" s="3"/>
      <x:c r="I173" s="3"/>
      <x:c r="J173" s="3"/>
    </x:row>
    <x:row r="174" ht="26" customHeight="1">
      <x:c r="A174" s="1"/>
      <x:c r="B174" s="1"/>
      <x:c r="C174" s="3"/>
      <x:c r="D174" s="3"/>
      <x:c r="E174" s="3"/>
      <x:c r="F174" s="3"/>
      <x:c r="G174" s="3"/>
      <x:c r="H174" s="3"/>
      <x:c r="I174" s="3"/>
      <x:c r="J174" s="3"/>
    </x:row>
    <x:row r="175" ht="26" customHeight="1">
      <x:c r="A175" s="1"/>
      <x:c r="B175" s="1"/>
      <x:c r="C175" s="3"/>
      <x:c r="D175" s="3"/>
      <x:c r="E175" s="3"/>
      <x:c r="F175" s="3"/>
      <x:c r="G175" s="3"/>
      <x:c r="H175" s="3"/>
      <x:c r="I175" s="3"/>
      <x:c r="J175" s="3"/>
    </x:row>
    <x:row r="176" ht="26" customHeight="1">
      <x:c r="A176" s="1"/>
      <x:c r="B176" s="1"/>
      <x:c r="C176" s="3"/>
      <x:c r="D176" s="3"/>
      <x:c r="E176" s="3"/>
      <x:c r="F176" s="3"/>
      <x:c r="G176" s="3"/>
      <x:c r="H176" s="3"/>
      <x:c r="I176" s="3"/>
      <x:c r="J176" s="3"/>
    </x:row>
    <x:row r="177" ht="26" customHeight="1">
      <x:c r="A177" s="1"/>
      <x:c r="B177" s="1"/>
      <x:c r="C177" s="3"/>
      <x:c r="D177" s="3"/>
      <x:c r="E177" s="3"/>
      <x:c r="F177" s="3"/>
      <x:c r="G177" s="3"/>
      <x:c r="H177" s="3"/>
      <x:c r="I177" s="3"/>
      <x:c r="J177" s="3"/>
    </x:row>
    <x:row r="178" ht="26" customHeight="1">
      <x:c r="A178" s="1"/>
      <x:c r="B178" s="1"/>
      <x:c r="C178" s="3"/>
      <x:c r="D178" s="3"/>
      <x:c r="E178" s="3"/>
      <x:c r="F178" s="3"/>
      <x:c r="G178" s="3"/>
      <x:c r="H178" s="3"/>
      <x:c r="I178" s="3"/>
      <x:c r="J178" s="3"/>
    </x:row>
    <x:row r="179" ht="26" customHeight="1">
      <x:c r="A179" s="1"/>
      <x:c r="B179" s="1"/>
      <x:c r="C179" s="3"/>
      <x:c r="D179" s="3"/>
      <x:c r="E179" s="3"/>
      <x:c r="F179" s="3"/>
      <x:c r="G179" s="3"/>
      <x:c r="H179" s="3"/>
      <x:c r="I179" s="3"/>
      <x:c r="J179" s="3"/>
    </x:row>
    <x:row r="180" ht="26" customHeight="1">
      <x:c r="A180" s="1"/>
      <x:c r="B180" s="1"/>
      <x:c r="C180" s="3"/>
      <x:c r="D180" s="3"/>
      <x:c r="E180" s="3"/>
      <x:c r="F180" s="3"/>
      <x:c r="G180" s="3"/>
      <x:c r="H180" s="3"/>
      <x:c r="I180" s="3"/>
      <x:c r="J180" s="3"/>
    </x:row>
    <x:row r="181" ht="26" customHeight="1">
      <x:c r="A181" s="1"/>
      <x:c r="B181" s="1"/>
      <x:c r="C181" s="3"/>
      <x:c r="D181" s="3"/>
      <x:c r="E181" s="3"/>
      <x:c r="F181" s="3"/>
      <x:c r="G181" s="3"/>
      <x:c r="H181" s="3"/>
      <x:c r="I181" s="3"/>
      <x:c r="J181" s="3"/>
    </x:row>
    <x:row r="182" ht="26" customHeight="1">
      <x:c r="A182" s="1"/>
      <x:c r="B182" s="1"/>
      <x:c r="C182" s="3"/>
      <x:c r="D182" s="3"/>
      <x:c r="E182" s="3"/>
      <x:c r="F182" s="3"/>
      <x:c r="G182" s="3"/>
      <x:c r="H182" s="3"/>
      <x:c r="I182" s="3"/>
      <x:c r="J182" s="3"/>
    </x:row>
    <x:row r="183" ht="26" customHeight="1">
      <x:c r="A183" s="1"/>
      <x:c r="B183" s="1"/>
      <x:c r="C183" s="3"/>
      <x:c r="D183" s="3"/>
      <x:c r="E183" s="3"/>
      <x:c r="F183" s="3"/>
      <x:c r="G183" s="3"/>
      <x:c r="H183" s="3"/>
      <x:c r="I183" s="3"/>
      <x:c r="J183" s="3"/>
    </x:row>
    <x:row r="184" ht="26" customHeight="1">
      <x:c r="A184" s="1"/>
      <x:c r="B184" s="1"/>
      <x:c r="C184" s="3"/>
      <x:c r="D184" s="3"/>
      <x:c r="E184" s="3"/>
      <x:c r="F184" s="3"/>
      <x:c r="G184" s="3"/>
      <x:c r="H184" s="3"/>
      <x:c r="I184" s="3"/>
      <x:c r="J184" s="3"/>
    </x:row>
    <x:row r="185" ht="26" customHeight="1">
      <x:c r="A185" s="1"/>
      <x:c r="B185" s="1"/>
      <x:c r="C185" s="3"/>
      <x:c r="D185" s="3"/>
      <x:c r="E185" s="3"/>
      <x:c r="F185" s="3"/>
      <x:c r="G185" s="3"/>
      <x:c r="H185" s="3"/>
      <x:c r="I185" s="3"/>
      <x:c r="J185" s="3"/>
    </x:row>
  </x:sheetData>
  <x:mergeCells>
    <x:mergeCell ref="C2:H2"/>
    <x:mergeCell ref="C3:M3"/>
    <x:mergeCell ref="C1:D1"/>
    <x:mergeCell ref="E1:F1"/>
    <x:mergeCell ref="G1:H1"/>
    <x:mergeCell ref="I1:J1"/>
    <x:mergeCell ref="K1:L1"/>
    <x:mergeCell ref="M1:N1"/>
  </x:mergeCells>
  <x:conditionalFormatting sqref="F6:F6">
    <x:cfRule type="containsText" dxfId="64" priority="1" operator="containsText" text="Missing"/>
    <x:cfRule type="containsText" dxfId="65" priority="2" operator="containsText" text="Required"/>
    <x:cfRule type="containsText" dxfId="66" priority="3" operator="containsText" text="required"/>
    <x:cfRule type="containsText" dxfId="67" priority="4" operator="containsText" text="Expired"/>
    <x:cfRule type="containsText" dxfId="68" priority="5" operator="containsText" text="Hold"/>
    <x:cfRule type="containsText" dxfId="69" priority="6" operator="containsText" text="Review"/>
    <x:cfRule type="containsText" dxfId="70" priority="7" operator="containsText" text="Incomplete"/>
    <x:cfRule type="containsText" dxfId="71" priority="8" operator="containsText" text="Pending"/>
    <x:cfRule type="containsText" dxfId="72" priority="9" operator="containsText" text="Unsupported"/>
    <x:cfRule type="containsText" dxfId="73" priority="10" operator="containsText" text="Criteria"/>
    <x:cfRule type="containsText" dxfId="74" priority="11" operator="containsText" text="Fail"/>
    <x:cfRule type="containsText" dxfId="75" priority="12" operator="containsText" text="Stop"/>
    <x:cfRule type="containsText" dxfId="76" priority="13" operator="containsText" text="Breach"/>
    <x:cfRule type="containsText" dxfId="77" priority="14" operator="containsText" text="Invalid"/>
    <x:cfRule type="containsText" dxfId="78" priority="15" operator="containsText" text="Duplicate"/>
    <x:cfRule type="containsText" dxfId="79" priority="16" operator="containsText" text="Not aligned"/>
  </x:conditionalFormatting>
  <x:hyperlinks>
    <x:hyperlink ref="C1" location="'Overview'!C2" display="Home" tooltip="Open Overview"/>
    <x:hyperlink ref="E1" location="'Customer'!C2" display="Customer" tooltip="Open Customer"/>
    <x:hyperlink ref="G1" location="'Capital'!C2" display="Capital" tooltip="Open Capital"/>
    <x:hyperlink ref="I1" location="'Disclosures'!C2" display="Reporting" tooltip="Open Disclosures"/>
    <x:hyperlink ref="K1" location="'Borrowers'!C8" display="Inputs" tooltip="Open Borrowers"/>
    <x:hyperlink ref="M1" location="'Settings'!C5" display="Settings" tooltip="Open Settings"/>
  </x:hyperlink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Pr>
    <x:tabColor rgb="FF007F86"/>
  </x:sheetPr>
  <x:sheetViews>
    <x:sheetView showGridLines="0" workbookViewId="0">
      <x:pane xSplit="4" ySplit="8" topLeftCell="E9" activePane="bottomRight" state="frozen"/>
    </x:sheetView>
  </x:sheetViews>
  <x:sheetFormatPr defaultRowHeight="15"/>
  <x:cols>
    <x:col min="1" max="1" width="2.4000000953674316" hidden="0" customWidth="1"/>
    <x:col min="2" max="2" width="2.4000000953674316" hidden="0" customWidth="1"/>
    <x:col min="3" max="3" width="17" hidden="0" customWidth="1"/>
    <x:col min="4" max="4" width="28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24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</x:cols>
  <x:sheetData>
    <x:row r="1" ht="27" customHeight="1">
      <x:c r="A1" s="1"/>
      <x:c r="B1" s="1"/>
      <x:c r="C1" s="50" t="str">
        <x:v>Home</x:v>
      </x:c>
      <x:c r="D1" s="50"/>
      <x:c r="E1" s="63" t="str">
        <x:v>Customer</x:v>
      </x:c>
      <x:c r="F1" s="63"/>
      <x:c r="G1" s="63" t="str">
        <x:v>Capital</x:v>
      </x:c>
      <x:c r="H1" s="63"/>
      <x:c r="I1" s="63" t="str">
        <x:v>Reporting</x:v>
      </x:c>
      <x:c r="J1" s="63"/>
      <x:c r="K1" s="63" t="str">
        <x:v>Inputs</x:v>
      </x:c>
      <x:c r="L1" s="63"/>
      <x:c r="M1" s="63" t="str">
        <x:v>Settings</x:v>
      </x:c>
      <x:c r="N1" s="63"/>
      <x:c r="O1" s="3"/>
      <x:c r="P1" s="3"/>
      <x:c r="Q1" s="3"/>
      <x:c r="R1" s="3"/>
      <x:c r="S1" s="3"/>
      <x:c r="T1" s="3"/>
      <x:c r="U1" s="3"/>
      <x:c r="V1" s="3"/>
      <x:c r="W1" s="3"/>
      <x:c r="X1" s="3"/>
    </x:row>
    <x:row r="2" ht="45" customHeight="1">
      <x:c r="A2" s="1"/>
      <x:c r="B2" s="1"/>
      <x:c r="C2" s="5" t="str">
        <x:v>BORROWER ESG &amp; E&amp;S DECISIONS</x:v>
      </x:c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</x:row>
    <x:row r="3" ht="32" customHeight="1">
      <x:c r="A3" s="1"/>
      <x:c r="B3" s="1"/>
      <x:c r="C3" s="6" t="str">
        <x:v>Management quality, materiality and lending conditions • higher score is stronger • scores do not change PD or capital</x:v>
      </x:c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</x:row>
    <x:row r="4" ht="26" customHeight="1">
      <x:c r="A4" s="1"/>
      <x:c r="B4" s="1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</x:row>
    <x:row r="5" ht="26" customHeight="1">
      <x:c r="A5" s="1"/>
      <x:c r="B5" s="1"/>
      <x:c r="C5" s="3" t="str">
        <x:v>Assessed</x:v>
      </x:c>
      <x:c r="D5" s="3"/>
      <x:c r="E5" s="3"/>
      <x:c r="F5" s="3" t="n">
        <x:f>COUNT(P9:P108)</x:f>
        <x:v>24</x:v>
      </x:c>
      <x:c r="G5" s="3"/>
      <x:c r="H5" s="3"/>
      <x:c r="I5" s="3" t="str">
        <x:v>Hold / decline</x:v>
      </x:c>
      <x:c r="J5" s="3"/>
      <x:c r="K5" s="3"/>
      <x:c r="L5" s="3" t="n">
        <x:f>COUNTIF(U9:U108,"Hold — critical issue")+COUNTIF(U9:U108,"Hold — evidence")+COUNTIF(U9:U108,"Decline — prohibited")</x:f>
        <x:v>4</x:v>
      </x:c>
      <x:c r="M5" s="3"/>
      <x:c r="N5" s="3"/>
      <x:c r="O5" s="3" t="str">
        <x:v>Conditions</x:v>
      </x:c>
      <x:c r="P5" s="3"/>
      <x:c r="Q5" s="3"/>
      <x:c r="R5" s="3" t="n">
        <x:f>COUNTIF(U9:U108,"Conditions")</x:f>
        <x:v>12</x:v>
      </x:c>
      <x:c r="S5" s="3"/>
      <x:c r="T5" s="3"/>
      <x:c r="U5" s="3"/>
      <x:c r="V5" s="3"/>
      <x:c r="W5" s="3"/>
      <x:c r="X5" s="3"/>
    </x:row>
    <x:row r="6" ht="26" customHeight="1">
      <x:c r="A6" s="1"/>
      <x:c r="B6" s="1"/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  <x:c r="O6" s="3"/>
      <x:c r="P6" s="3"/>
      <x:c r="Q6" s="3"/>
      <x:c r="R6" s="3"/>
      <x:c r="S6" s="3"/>
      <x:c r="T6" s="3"/>
      <x:c r="U6" s="3"/>
      <x:c r="V6" s="3"/>
      <x:c r="W6" s="3"/>
      <x:c r="X6" s="3"/>
    </x:row>
    <x:row r="7" ht="26" customHeight="1">
      <x:c r="A7" s="1"/>
      <x:c r="B7" s="1"/>
      <x:c r="C7" s="50" t="str">
        <x:v>Issue scores</x:v>
      </x:c>
      <x:c r="D7" s="50"/>
      <x:c r="E7" s="50"/>
      <x:c r="F7" s="50"/>
      <x:c r="G7" s="63" t="str">
        <x:v>Decision and conditions</x:v>
      </x:c>
      <x:c r="H7" s="63"/>
      <x:c r="I7" s="63"/>
      <x:c r="J7" s="63"/>
      <x:c r="K7" s="63" t="str">
        <x:v>Evidence and actions</x:v>
      </x:c>
      <x:c r="L7" s="63"/>
      <x:c r="M7" s="63"/>
      <x:c r="N7" s="63"/>
      <x:c r="O7" s="3"/>
      <x:c r="P7" s="3"/>
      <x:c r="Q7" s="3"/>
      <x:c r="R7" s="3"/>
      <x:c r="S7" s="3"/>
      <x:c r="T7" s="3"/>
      <x:c r="U7" s="3"/>
      <x:c r="V7" s="3"/>
      <x:c r="W7" s="3"/>
      <x:c r="X7" s="3"/>
    </x:row>
    <x:row r="8" ht="46" customHeight="1">
      <x:c r="A8" s="1"/>
      <x:c r="B8" s="1"/>
      <x:c r="C8" s="15" t="str">
        <x:v>Borrower ID</x:v>
      </x:c>
      <x:c r="D8" s="15" t="str">
        <x:v>Borrower</x:v>
      </x:c>
      <x:c r="E8" s="15" t="str">
        <x:v>Country</x:v>
      </x:c>
      <x:c r="F8" s="15" t="str">
        <x:v>Sector</x:v>
      </x:c>
      <x:c r="G8" s="15" t="str">
        <x:v>Inherent E&amp;S risk</x:v>
      </x:c>
      <x:c r="H8" s="15" t="str">
        <x:v>Legal prohibition</x:v>
      </x:c>
      <x:c r="I8" s="15" t="str">
        <x:v>Environment /100</x:v>
      </x:c>
      <x:c r="J8" s="15" t="str">
        <x:v>Social /100</x:v>
      </x:c>
      <x:c r="K8" s="15" t="str">
        <x:v>Governance /100</x:v>
      </x:c>
      <x:c r="L8" s="15" t="str">
        <x:v>Owner</x:v>
      </x:c>
      <x:c r="M8" s="15" t="str">
        <x:v>Review date</x:v>
      </x:c>
      <x:c r="N8" s="15" t="str">
        <x:v>Valid to</x:v>
      </x:c>
      <x:c r="O8" s="15" t="str">
        <x:v>Evidence</x:v>
      </x:c>
      <x:c r="P8" s="15" t="str">
        <x:v>Weighted score</x:v>
      </x:c>
      <x:c r="Q8" s="15" t="str">
        <x:v>Management band</x:v>
      </x:c>
      <x:c r="R8" s="15" t="str">
        <x:v>Critical unresolved</x:v>
      </x:c>
      <x:c r="S8" s="15" t="str">
        <x:v>Actions overdue</x:v>
      </x:c>
      <x:c r="T8" s="15" t="str">
        <x:v>Evidence state</x:v>
      </x:c>
      <x:c r="U8" s="15" t="str">
        <x:v>E&amp;S decision</x:v>
      </x:c>
      <x:c r="V8" s="15" t="str">
        <x:v>Conditions open</x:v>
      </x:c>
      <x:c r="W8" s="15" t="str">
        <x:v>Weight control</x:v>
      </x:c>
      <x:c r="X8" s="15" t="str">
        <x:v>Diligence completed</x:v>
      </x:c>
    </x:row>
    <x:row r="9" ht="38" customHeight="1">
      <x:c r="A9" s="1"/>
      <x:c r="B9" s="1"/>
      <x:c r="C9" s="8" t="str">
        <x:v>B001</x:v>
      </x:c>
      <x:c r="D9" s="9" t="str">
        <x:f>IF(C9="","",IFERROR(INDEX('Borrowers'!$D$9:$D$108,MATCH(C9,'Borrowers'!$C$9:$C$108,0)),""))</x:f>
        <x:v>Demo Nile Cement</x:v>
      </x:c>
      <x:c r="E9" s="9" t="str">
        <x:f>IF(C9="","",IFERROR(INDEX('Borrowers'!$E$9:$E$108,MATCH(C9,'Borrowers'!$C$9:$C$108,0)),""))</x:f>
        <x:v>Egypt</x:v>
      </x:c>
      <x:c r="F9" s="9" t="str">
        <x:f>IF(C9="","",IFERROR(INDEX('Borrowers'!$F$9:$F$108,MATCH(C9,'Borrowers'!$C$9:$C$108,0)),""))</x:f>
        <x:v>Cement</x:v>
      </x:c>
      <x:c r="G9" s="8" t="str">
        <x:v>High</x:v>
      </x:c>
      <x:c r="H9" s="8" t="str">
        <x:v>No</x:v>
      </x:c>
      <x:c r="I9" s="8" t="n">
        <x:v>62</x:v>
      </x:c>
      <x:c r="J9" s="8" t="n">
        <x:v>58</x:v>
      </x:c>
      <x:c r="K9" s="8" t="n">
        <x:v>65</x:v>
      </x:c>
      <x:c r="L9" s="8" t="str">
        <x:v>ESG analyst 1</x:v>
      </x:c>
      <x:c r="M9" s="10" t="n">
        <x:v>46266</x:v>
      </x:c>
      <x:c r="N9" s="10" t="n">
        <x:v>46631</x:v>
      </x:c>
      <x:c r="O9" s="8" t="str">
        <x:v>SYN-ESG-B001</x:v>
      </x:c>
      <x:c r="P9" s="37" t="n">
        <x:f>IF(C9="","",IF(AND(COUNT(I9:K9)=3,MIN(I9:K9)&gt;=0,MAX(I9:K9)&lt;=100,W9="Valid"),I9*IFERROR(INDEX('Taxonomy Rules'!$D$26:$D$37,MATCH(F9,'Taxonomy Rules'!$C$26:$C$37,0)),0)+J9*IFERROR(INDEX('Taxonomy Rules'!$E$26:$E$37,MATCH(F9,'Taxonomy Rules'!$C$26:$C$37,0)),0)+K9*IFERROR(INDEX('Taxonomy Rules'!$F$26:$F$37,MATCH(F9,'Taxonomy Rules'!$C$26:$C$37,0)),0),""))</x:f>
        <x:v>61.6</x:v>
      </x:c>
      <x:c r="Q9" s="3" t="str">
        <x:f>IF(C9="","",IF(ISNUMBER(P9),IF(P9&gt;=80,"Strong",IF(P9&gt;=60,"Developing","Weak")),"Unrated"))</x:f>
        <x:v>Developing</x:v>
      </x:c>
      <x:c r="R9" s="9" t="n">
        <x:f>IF(C9="","",COUNTIFS('Actions'!$D$9:$D$308,C9,'Actions'!$E$9:$E$308,"E&amp;S",'Actions'!$F$9:$F$308,"Critical",'Actions'!$P$9:$P$308,"&lt;&gt;Closed",'Actions'!$C$9:$C$308,"&lt;&gt;"))</x:f>
        <x:v>1</x:v>
      </x:c>
      <x:c r="S9" s="9" t="n">
        <x:f>IF(C9="","",COUNTIFS('Actions'!$D$9:$D$308,C9,'Actions'!$Q$9:$Q$308,"Overdue",'Actions'!$C$9:$C$308,"&lt;&gt;"))</x:f>
        <x:v>1</x:v>
      </x:c>
      <x:c r="T9" s="9" t="str">
        <x:f>IF(C9="","",IF(OR(COUNTIF($C$9:$C$108,C9)&lt;&gt;1,COUNTIF(Borrowers!$C$9:$C$108,C9)&lt;&gt;1),"Key review",IF(OR(L9="",O9="",NOT(OR(G9="High",G9="Moderate",G9="Low")),NOT(OR(H9="Yes",H9="No")),NOT(OR(X9="Standard",X9="Enhanced")),AND(G9="High",X9&lt;&gt;"Enhanced"),NOT(ISNUMBER(M9)),NOT(ISNUMBER(N9)),M9&gt;Settings!$F$8,N9&lt;M9,W9&lt;&gt;"Valid",NOT(ISNUMBER(P9)),COUNTIFS('Actions'!$D$9:$D$308,C9,'Actions'!$S$9:$S$308,"&lt;&gt;Valid",'Actions'!$C$9:$C$308,"&lt;&gt;")&gt;0),"Incomplete",IF(N9&lt;Settings!$F$8,"Expired","Current"))))</x:f>
        <x:v>Current</x:v>
      </x:c>
      <x:c r="U9" s="3" t="str">
        <x:f>IF(C9="","",IF(H9="Yes","Decline — prohibited",IF(R9&gt;0,"Hold — critical issue",IF(T9&lt;&gt;"Current","Hold — evidence",IF(V9&gt;0,"Conditions","Clear")))))</x:f>
        <x:v>Hold — critical issue</x:v>
      </x:c>
      <x:c r="V9" s="9" t="n">
        <x:f>IF(C9="","",COUNTIFS('Actions'!$D$9:$D$308,C9,'Actions'!$E$9:$E$308,"E&amp;S",'Actions'!$P$9:$P$308,"&lt;&gt;Closed",'Actions'!$C$9:$C$308,"&lt;&gt;"))</x:f>
        <x:v>1</x:v>
      </x:c>
      <x:c r="W9" s="9" t="str">
        <x:f>IF(C9="","",IF(COUNTIF('Taxonomy Rules'!$C$26:$C$37,F9)&lt;&gt;1,"Sector missing",IF(AND(IFERROR(INDEX('Taxonomy Rules'!$D$26:$D$37,MATCH(F9,'Taxonomy Rules'!$C$26:$C$37,0)),0)&gt;=0,IFERROR(INDEX('Taxonomy Rules'!$E$26:$E$37,MATCH(F9,'Taxonomy Rules'!$C$26:$C$37,0)),0)&gt;=0,IFERROR(INDEX('Taxonomy Rules'!$F$26:$F$37,MATCH(F9,'Taxonomy Rules'!$C$26:$C$37,0)),0)&gt;=0,ABS(IFERROR(INDEX('Taxonomy Rules'!$D$26:$D$37,MATCH(F9,'Taxonomy Rules'!$C$26:$C$37,0)),0)+IFERROR(INDEX('Taxonomy Rules'!$E$26:$E$37,MATCH(F9,'Taxonomy Rules'!$C$26:$C$37,0)),0)+IFERROR(INDEX('Taxonomy Rules'!$F$26:$F$37,MATCH(F9,'Taxonomy Rules'!$C$26:$C$37,0)),0)-1)&lt;0.000001),"Valid","Check weights")))</x:f>
        <x:v>Valid</x:v>
      </x:c>
      <x:c r="X9" s="8" t="str">
        <x:v>Enhanced</x:v>
      </x:c>
    </x:row>
    <x:row r="10" ht="38" customHeight="1">
      <x:c r="A10" s="1"/>
      <x:c r="B10" s="1"/>
      <x:c r="C10" s="8" t="str">
        <x:v>B002</x:v>
      </x:c>
      <x:c r="D10" s="9" t="str">
        <x:f>IF(C10="","",IFERROR(INDEX('Borrowers'!$D$9:$D$108,MATCH(C10,'Borrowers'!$C$9:$C$108,0)),""))</x:f>
        <x:v>Demo Delta Solar</x:v>
      </x:c>
      <x:c r="E10" s="9" t="str">
        <x:f>IF(C10="","",IFERROR(INDEX('Borrowers'!$E$9:$E$108,MATCH(C10,'Borrowers'!$C$9:$C$108,0)),""))</x:f>
        <x:v>Egypt</x:v>
      </x:c>
      <x:c r="F10" s="9" t="str">
        <x:f>IF(C10="","",IFERROR(INDEX('Borrowers'!$F$9:$F$108,MATCH(C10,'Borrowers'!$C$9:$C$108,0)),""))</x:f>
        <x:v>Solar</x:v>
      </x:c>
      <x:c r="G10" s="8" t="str">
        <x:v>Moderate</x:v>
      </x:c>
      <x:c r="H10" s="8" t="str">
        <x:v>No</x:v>
      </x:c>
      <x:c r="I10" s="8" t="n">
        <x:v>69</x:v>
      </x:c>
      <x:c r="J10" s="8" t="n">
        <x:v>69</x:v>
      </x:c>
      <x:c r="K10" s="8" t="n">
        <x:v>70</x:v>
      </x:c>
      <x:c r="L10" s="8" t="str">
        <x:v>ESG analyst 2</x:v>
      </x:c>
      <x:c r="M10" s="10" t="n">
        <x:v>46266</x:v>
      </x:c>
      <x:c r="N10" s="10" t="n">
        <x:v>46631</x:v>
      </x:c>
      <x:c r="O10" s="8" t="str">
        <x:v>SYN-ESG-B002</x:v>
      </x:c>
      <x:c r="P10" s="37" t="n">
        <x:f>IF(C10="","",IF(AND(COUNT(I10:K10)=3,MIN(I10:K10)&gt;=0,MAX(I10:K10)&lt;=100,W10="Valid"),I10*IFERROR(INDEX('Taxonomy Rules'!$D$26:$D$37,MATCH(F10,'Taxonomy Rules'!$C$26:$C$37,0)),0)+J10*IFERROR(INDEX('Taxonomy Rules'!$E$26:$E$37,MATCH(F10,'Taxonomy Rules'!$C$26:$C$37,0)),0)+K10*IFERROR(INDEX('Taxonomy Rules'!$F$26:$F$37,MATCH(F10,'Taxonomy Rules'!$C$26:$C$37,0)),0),""))</x:f>
        <x:v>69.25</x:v>
      </x:c>
      <x:c r="Q10" s="3" t="str">
        <x:f>IF(C10="","",IF(ISNUMBER(P10),IF(P10&gt;=80,"Strong",IF(P10&gt;=60,"Developing","Weak")),"Unrated"))</x:f>
        <x:v>Developing</x:v>
      </x:c>
      <x:c r="R10" s="9" t="n">
        <x:f>IF(C10="","",COUNTIFS('Actions'!$D$9:$D$308,C10,'Actions'!$E$9:$E$308,"E&amp;S",'Actions'!$F$9:$F$308,"Critical",'Actions'!$P$9:$P$308,"&lt;&gt;Closed",'Actions'!$C$9:$C$308,"&lt;&gt;"))</x:f>
        <x:v>0</x:v>
      </x:c>
      <x:c r="S10" s="9" t="n">
        <x:f>IF(C10="","",COUNTIFS('Actions'!$D$9:$D$308,C10,'Actions'!$Q$9:$Q$308,"Overdue",'Actions'!$C$9:$C$308,"&lt;&gt;"))</x:f>
        <x:v>0</x:v>
      </x:c>
      <x:c r="T10" s="9" t="str">
        <x:f>IF(C10="","",IF(OR(COUNTIF($C$9:$C$108,C10)&lt;&gt;1,COUNTIF(Borrowers!$C$9:$C$108,C10)&lt;&gt;1),"Key review",IF(OR(L10="",O10="",NOT(OR(G10="High",G10="Moderate",G10="Low")),NOT(OR(H10="Yes",H10="No")),NOT(OR(X10="Standard",X10="Enhanced")),AND(G10="High",X10&lt;&gt;"Enhanced"),NOT(ISNUMBER(M10)),NOT(ISNUMBER(N10)),M10&gt;Settings!$F$8,N10&lt;M10,W10&lt;&gt;"Valid",NOT(ISNUMBER(P10)),COUNTIFS('Actions'!$D$9:$D$308,C10,'Actions'!$S$9:$S$308,"&lt;&gt;Valid",'Actions'!$C$9:$C$308,"&lt;&gt;")&gt;0),"Incomplete",IF(N10&lt;Settings!$F$8,"Expired","Current"))))</x:f>
        <x:v>Current</x:v>
      </x:c>
      <x:c r="U10" s="3" t="str">
        <x:f>IF(C10="","",IF(H10="Yes","Decline — prohibited",IF(R10&gt;0,"Hold — critical issue",IF(T10&lt;&gt;"Current","Hold — evidence",IF(V10&gt;0,"Conditions","Clear")))))</x:f>
        <x:v>Clear</x:v>
      </x:c>
      <x:c r="V10" s="9" t="n">
        <x:f>IF(C10="","",COUNTIFS('Actions'!$D$9:$D$308,C10,'Actions'!$E$9:$E$308,"E&amp;S",'Actions'!$P$9:$P$308,"&lt;&gt;Closed",'Actions'!$C$9:$C$308,"&lt;&gt;"))</x:f>
        <x:v>0</x:v>
      </x:c>
      <x:c r="W10" s="9" t="str">
        <x:f>IF(C10="","",IF(COUNTIF('Taxonomy Rules'!$C$26:$C$37,F10)&lt;&gt;1,"Sector missing",IF(AND(IFERROR(INDEX('Taxonomy Rules'!$D$26:$D$37,MATCH(F10,'Taxonomy Rules'!$C$26:$C$37,0)),0)&gt;=0,IFERROR(INDEX('Taxonomy Rules'!$E$26:$E$37,MATCH(F10,'Taxonomy Rules'!$C$26:$C$37,0)),0)&gt;=0,IFERROR(INDEX('Taxonomy Rules'!$F$26:$F$37,MATCH(F10,'Taxonomy Rules'!$C$26:$C$37,0)),0)&gt;=0,ABS(IFERROR(INDEX('Taxonomy Rules'!$D$26:$D$37,MATCH(F10,'Taxonomy Rules'!$C$26:$C$37,0)),0)+IFERROR(INDEX('Taxonomy Rules'!$E$26:$E$37,MATCH(F10,'Taxonomy Rules'!$C$26:$C$37,0)),0)+IFERROR(INDEX('Taxonomy Rules'!$F$26:$F$37,MATCH(F10,'Taxonomy Rules'!$C$26:$C$37,0)),0)-1)&lt;0.000001),"Valid","Check weights")))</x:f>
        <x:v>Valid</x:v>
      </x:c>
      <x:c r="X10" s="8" t="str">
        <x:v>Standard</x:v>
      </x:c>
    </x:row>
    <x:row r="11" ht="38" customHeight="1">
      <x:c r="A11" s="1"/>
      <x:c r="B11" s="1"/>
      <x:c r="C11" s="8" t="str">
        <x:v>B003</x:v>
      </x:c>
      <x:c r="D11" s="9" t="str">
        <x:f>IF(C11="","",IFERROR(INDEX('Borrowers'!$D$9:$D$108,MATCH(C11,'Borrowers'!$C$9:$C$108,0)),""))</x:f>
        <x:v>Demo Alexandria Logistics</x:v>
      </x:c>
      <x:c r="E11" s="9" t="str">
        <x:f>IF(C11="","",IFERROR(INDEX('Borrowers'!$E$9:$E$108,MATCH(C11,'Borrowers'!$C$9:$C$108,0)),""))</x:f>
        <x:v>Egypt</x:v>
      </x:c>
      <x:c r="F11" s="9" t="str">
        <x:f>IF(C11="","",IFERROR(INDEX('Borrowers'!$F$9:$F$108,MATCH(C11,'Borrowers'!$C$9:$C$108,0)),""))</x:f>
        <x:v>Logistics</x:v>
      </x:c>
      <x:c r="G11" s="8" t="str">
        <x:v>Moderate</x:v>
      </x:c>
      <x:c r="H11" s="8" t="str">
        <x:v>No</x:v>
      </x:c>
      <x:c r="I11" s="8" t="n">
        <x:v>76</x:v>
      </x:c>
      <x:c r="J11" s="8" t="n">
        <x:v>80</x:v>
      </x:c>
      <x:c r="K11" s="8" t="n">
        <x:v>75</x:v>
      </x:c>
      <x:c r="L11" s="8" t="str">
        <x:v>ESG analyst 3</x:v>
      </x:c>
      <x:c r="M11" s="10" t="n">
        <x:v>46266</x:v>
      </x:c>
      <x:c r="N11" s="10" t="n">
        <x:v>46631</x:v>
      </x:c>
      <x:c r="O11" s="8" t="str">
        <x:v>SYN-ESG-B003</x:v>
      </x:c>
      <x:c r="P11" s="37" t="n">
        <x:f>IF(C11="","",IF(AND(COUNT(I11:K11)=3,MIN(I11:K11)&gt;=0,MAX(I11:K11)&lt;=100,W11="Valid"),I11*IFERROR(INDEX('Taxonomy Rules'!$D$26:$D$37,MATCH(F11,'Taxonomy Rules'!$C$26:$C$37,0)),0)+J11*IFERROR(INDEX('Taxonomy Rules'!$E$26:$E$37,MATCH(F11,'Taxonomy Rules'!$C$26:$C$37,0)),0)+K11*IFERROR(INDEX('Taxonomy Rules'!$F$26:$F$37,MATCH(F11,'Taxonomy Rules'!$C$26:$C$37,0)),0),""))</x:f>
        <x:v>76.95</x:v>
      </x:c>
      <x:c r="Q11" s="3" t="str">
        <x:f>IF(C11="","",IF(ISNUMBER(P11),IF(P11&gt;=80,"Strong",IF(P11&gt;=60,"Developing","Weak")),"Unrated"))</x:f>
        <x:v>Developing</x:v>
      </x:c>
      <x:c r="R11" s="9" t="n">
        <x:f>IF(C11="","",COUNTIFS('Actions'!$D$9:$D$308,C11,'Actions'!$E$9:$E$308,"E&amp;S",'Actions'!$F$9:$F$308,"Critical",'Actions'!$P$9:$P$308,"&lt;&gt;Closed",'Actions'!$C$9:$C$308,"&lt;&gt;"))</x:f>
        <x:v>0</x:v>
      </x:c>
      <x:c r="S11" s="9" t="n">
        <x:f>IF(C11="","",COUNTIFS('Actions'!$D$9:$D$308,C11,'Actions'!$Q$9:$Q$308,"Overdue",'Actions'!$C$9:$C$308,"&lt;&gt;"))</x:f>
        <x:v>0</x:v>
      </x:c>
      <x:c r="T11" s="9" t="str">
        <x:f>IF(C11="","",IF(OR(COUNTIF($C$9:$C$108,C11)&lt;&gt;1,COUNTIF(Borrowers!$C$9:$C$108,C11)&lt;&gt;1),"Key review",IF(OR(L11="",O11="",NOT(OR(G11="High",G11="Moderate",G11="Low")),NOT(OR(H11="Yes",H11="No")),NOT(OR(X11="Standard",X11="Enhanced")),AND(G11="High",X11&lt;&gt;"Enhanced"),NOT(ISNUMBER(M11)),NOT(ISNUMBER(N11)),M11&gt;Settings!$F$8,N11&lt;M11,W11&lt;&gt;"Valid",NOT(ISNUMBER(P11)),COUNTIFS('Actions'!$D$9:$D$308,C11,'Actions'!$S$9:$S$308,"&lt;&gt;Valid",'Actions'!$C$9:$C$308,"&lt;&gt;")&gt;0),"Incomplete",IF(N11&lt;Settings!$F$8,"Expired","Current"))))</x:f>
        <x:v>Current</x:v>
      </x:c>
      <x:c r="U11" s="3" t="str">
        <x:f>IF(C11="","",IF(H11="Yes","Decline — prohibited",IF(R11&gt;0,"Hold — critical issue",IF(T11&lt;&gt;"Current","Hold — evidence",IF(V11&gt;0,"Conditions","Clear")))))</x:f>
        <x:v>Conditions</x:v>
      </x:c>
      <x:c r="V11" s="9" t="n">
        <x:f>IF(C11="","",COUNTIFS('Actions'!$D$9:$D$308,C11,'Actions'!$E$9:$E$308,"E&amp;S",'Actions'!$P$9:$P$308,"&lt;&gt;Closed",'Actions'!$C$9:$C$308,"&lt;&gt;"))</x:f>
        <x:v>1</x:v>
      </x:c>
      <x:c r="W11" s="9" t="str">
        <x:f>IF(C11="","",IF(COUNTIF('Taxonomy Rules'!$C$26:$C$37,F11)&lt;&gt;1,"Sector missing",IF(AND(IFERROR(INDEX('Taxonomy Rules'!$D$26:$D$37,MATCH(F11,'Taxonomy Rules'!$C$26:$C$37,0)),0)&gt;=0,IFERROR(INDEX('Taxonomy Rules'!$E$26:$E$37,MATCH(F11,'Taxonomy Rules'!$C$26:$C$37,0)),0)&gt;=0,IFERROR(INDEX('Taxonomy Rules'!$F$26:$F$37,MATCH(F11,'Taxonomy Rules'!$C$26:$C$37,0)),0)&gt;=0,ABS(IFERROR(INDEX('Taxonomy Rules'!$D$26:$D$37,MATCH(F11,'Taxonomy Rules'!$C$26:$C$37,0)),0)+IFERROR(INDEX('Taxonomy Rules'!$E$26:$E$37,MATCH(F11,'Taxonomy Rules'!$C$26:$C$37,0)),0)+IFERROR(INDEX('Taxonomy Rules'!$F$26:$F$37,MATCH(F11,'Taxonomy Rules'!$C$26:$C$37,0)),0)-1)&lt;0.000001),"Valid","Check weights")))</x:f>
        <x:v>Valid</x:v>
      </x:c>
      <x:c r="X11" s="8" t="str">
        <x:v>Standard</x:v>
      </x:c>
    </x:row>
    <x:row r="12" ht="38" customHeight="1">
      <x:c r="A12" s="1"/>
      <x:c r="B12" s="1"/>
      <x:c r="C12" s="8" t="str">
        <x:v>B004</x:v>
      </x:c>
      <x:c r="D12" s="9" t="str">
        <x:f>IF(C12="","",IFERROR(INDEX('Borrowers'!$D$9:$D$108,MATCH(C12,'Borrowers'!$C$9:$C$108,0)),""))</x:f>
        <x:v>Demo Oasis Foods</x:v>
      </x:c>
      <x:c r="E12" s="9" t="str">
        <x:f>IF(C12="","",IFERROR(INDEX('Borrowers'!$E$9:$E$108,MATCH(C12,'Borrowers'!$C$9:$C$108,0)),""))</x:f>
        <x:v>Egypt</x:v>
      </x:c>
      <x:c r="F12" s="9" t="str">
        <x:f>IF(C12="","",IFERROR(INDEX('Borrowers'!$F$9:$F$108,MATCH(C12,'Borrowers'!$C$9:$C$108,0)),""))</x:f>
        <x:v>Food</x:v>
      </x:c>
      <x:c r="G12" s="8" t="str">
        <x:v>High</x:v>
      </x:c>
      <x:c r="H12" s="8" t="str">
        <x:v>No</x:v>
      </x:c>
      <x:c r="I12" s="8" t="n">
        <x:v>83</x:v>
      </x:c>
      <x:c r="J12" s="8" t="n">
        <x:v>91</x:v>
      </x:c>
      <x:c r="K12" s="8" t="n">
        <x:v>80</x:v>
      </x:c>
      <x:c r="L12" s="8" t="str">
        <x:v>ESG analyst 1</x:v>
      </x:c>
      <x:c r="M12" s="10" t="n">
        <x:v>46266</x:v>
      </x:c>
      <x:c r="N12" s="10" t="n">
        <x:v>46631</x:v>
      </x:c>
      <x:c r="O12" s="8" t="str">
        <x:v>SYN-ESG-B004</x:v>
      </x:c>
      <x:c r="P12" s="37" t="n">
        <x:f>IF(C12="","",IF(AND(COUNT(I12:K12)=3,MIN(I12:K12)&gt;=0,MAX(I12:K12)&lt;=100,W12="Valid"),I12*IFERROR(INDEX('Taxonomy Rules'!$D$26:$D$37,MATCH(F12,'Taxonomy Rules'!$C$26:$C$37,0)),0)+J12*IFERROR(INDEX('Taxonomy Rules'!$E$26:$E$37,MATCH(F12,'Taxonomy Rules'!$C$26:$C$37,0)),0)+K12*IFERROR(INDEX('Taxonomy Rules'!$F$26:$F$37,MATCH(F12,'Taxonomy Rules'!$C$26:$C$37,0)),0),""))</x:f>
        <x:v>85.05</x:v>
      </x:c>
      <x:c r="Q12" s="3" t="str">
        <x:f>IF(C12="","",IF(ISNUMBER(P12),IF(P12&gt;=80,"Strong",IF(P12&gt;=60,"Developing","Weak")),"Unrated"))</x:f>
        <x:v>Strong</x:v>
      </x:c>
      <x:c r="R12" s="9" t="n">
        <x:f>IF(C12="","",COUNTIFS('Actions'!$D$9:$D$308,C12,'Actions'!$E$9:$E$308,"E&amp;S",'Actions'!$F$9:$F$308,"Critical",'Actions'!$P$9:$P$308,"&lt;&gt;Closed",'Actions'!$C$9:$C$308,"&lt;&gt;"))</x:f>
        <x:v>0</x:v>
      </x:c>
      <x:c r="S12" s="9" t="n">
        <x:f>IF(C12="","",COUNTIFS('Actions'!$D$9:$D$308,C12,'Actions'!$Q$9:$Q$308,"Overdue",'Actions'!$C$9:$C$308,"&lt;&gt;"))</x:f>
        <x:v>0</x:v>
      </x:c>
      <x:c r="T12" s="9" t="str">
        <x:f>IF(C12="","",IF(OR(COUNTIF($C$9:$C$108,C12)&lt;&gt;1,COUNTIF(Borrowers!$C$9:$C$108,C12)&lt;&gt;1),"Key review",IF(OR(L12="",O12="",NOT(OR(G12="High",G12="Moderate",G12="Low")),NOT(OR(H12="Yes",H12="No")),NOT(OR(X12="Standard",X12="Enhanced")),AND(G12="High",X12&lt;&gt;"Enhanced"),NOT(ISNUMBER(M12)),NOT(ISNUMBER(N12)),M12&gt;Settings!$F$8,N12&lt;M12,W12&lt;&gt;"Valid",NOT(ISNUMBER(P12)),COUNTIFS('Actions'!$D$9:$D$308,C12,'Actions'!$S$9:$S$308,"&lt;&gt;Valid",'Actions'!$C$9:$C$308,"&lt;&gt;")&gt;0),"Incomplete",IF(N12&lt;Settings!$F$8,"Expired","Current"))))</x:f>
        <x:v>Current</x:v>
      </x:c>
      <x:c r="U12" s="3" t="str">
        <x:f>IF(C12="","",IF(H12="Yes","Decline — prohibited",IF(R12&gt;0,"Hold — critical issue",IF(T12&lt;&gt;"Current","Hold — evidence",IF(V12&gt;0,"Conditions","Clear")))))</x:f>
        <x:v>Conditions</x:v>
      </x:c>
      <x:c r="V12" s="9" t="n">
        <x:f>IF(C12="","",COUNTIFS('Actions'!$D$9:$D$308,C12,'Actions'!$E$9:$E$308,"E&amp;S",'Actions'!$P$9:$P$308,"&lt;&gt;Closed",'Actions'!$C$9:$C$308,"&lt;&gt;"))</x:f>
        <x:v>1</x:v>
      </x:c>
      <x:c r="W12" s="9" t="str">
        <x:f>IF(C12="","",IF(COUNTIF('Taxonomy Rules'!$C$26:$C$37,F12)&lt;&gt;1,"Sector missing",IF(AND(IFERROR(INDEX('Taxonomy Rules'!$D$26:$D$37,MATCH(F12,'Taxonomy Rules'!$C$26:$C$37,0)),0)&gt;=0,IFERROR(INDEX('Taxonomy Rules'!$E$26:$E$37,MATCH(F12,'Taxonomy Rules'!$C$26:$C$37,0)),0)&gt;=0,IFERROR(INDEX('Taxonomy Rules'!$F$26:$F$37,MATCH(F12,'Taxonomy Rules'!$C$26:$C$37,0)),0)&gt;=0,ABS(IFERROR(INDEX('Taxonomy Rules'!$D$26:$D$37,MATCH(F12,'Taxonomy Rules'!$C$26:$C$37,0)),0)+IFERROR(INDEX('Taxonomy Rules'!$E$26:$E$37,MATCH(F12,'Taxonomy Rules'!$C$26:$C$37,0)),0)+IFERROR(INDEX('Taxonomy Rules'!$F$26:$F$37,MATCH(F12,'Taxonomy Rules'!$C$26:$C$37,0)),0)-1)&lt;0.000001),"Valid","Check weights")))</x:f>
        <x:v>Valid</x:v>
      </x:c>
      <x:c r="X12" s="8" t="str">
        <x:v>Enhanced</x:v>
      </x:c>
    </x:row>
    <x:row r="13" ht="38" customHeight="1">
      <x:c r="A13" s="1"/>
      <x:c r="B13" s="1"/>
      <x:c r="C13" s="8" t="str">
        <x:v>B005</x:v>
      </x:c>
      <x:c r="D13" s="9" t="str">
        <x:f>IF(C13="","",IFERROR(INDEX('Borrowers'!$D$9:$D$108,MATCH(C13,'Borrowers'!$C$9:$C$108,0)),""))</x:f>
        <x:v>Demo Cairo Properties</x:v>
      </x:c>
      <x:c r="E13" s="9" t="str">
        <x:f>IF(C13="","",IFERROR(INDEX('Borrowers'!$E$9:$E$108,MATCH(C13,'Borrowers'!$C$9:$C$108,0)),""))</x:f>
        <x:v>Egypt</x:v>
      </x:c>
      <x:c r="F13" s="9" t="str">
        <x:f>IF(C13="","",IFERROR(INDEX('Borrowers'!$F$9:$F$108,MATCH(C13,'Borrowers'!$C$9:$C$108,0)),""))</x:f>
        <x:v>Property</x:v>
      </x:c>
      <x:c r="G13" s="8" t="str">
        <x:v>High</x:v>
      </x:c>
      <x:c r="H13" s="8" t="str">
        <x:v>No</x:v>
      </x:c>
      <x:c r="I13" s="8" t="n">
        <x:v>90</x:v>
      </x:c>
      <x:c r="J13" s="8" t="n">
        <x:v>67</x:v>
      </x:c>
      <x:c r="K13" s="8" t="n">
        <x:v>85</x:v>
      </x:c>
      <x:c r="L13" s="8" t="str">
        <x:v>ESG analyst 2</x:v>
      </x:c>
      <x:c r="M13" s="10" t="n">
        <x:v>46266</x:v>
      </x:c>
      <x:c r="N13" s="10" t="n">
        <x:v>46631</x:v>
      </x:c>
      <x:c r="O13" s="8" t="str">
        <x:v>SYN-ESG-B005</x:v>
      </x:c>
      <x:c r="P13" s="37" t="n">
        <x:f>IF(C13="","",IF(AND(COUNT(I13:K13)=3,MIN(I13:K13)&gt;=0,MAX(I13:K13)&lt;=100,W13="Valid"),I13*IFERROR(INDEX('Taxonomy Rules'!$D$26:$D$37,MATCH(F13,'Taxonomy Rules'!$C$26:$C$37,0)),0)+J13*IFERROR(INDEX('Taxonomy Rules'!$E$26:$E$37,MATCH(F13,'Taxonomy Rules'!$C$26:$C$37,0)),0)+K13*IFERROR(INDEX('Taxonomy Rules'!$F$26:$F$37,MATCH(F13,'Taxonomy Rules'!$C$26:$C$37,0)),0),""))</x:f>
        <x:v>81.85</x:v>
      </x:c>
      <x:c r="Q13" s="3" t="str">
        <x:f>IF(C13="","",IF(ISNUMBER(P13),IF(P13&gt;=80,"Strong",IF(P13&gt;=60,"Developing","Weak")),"Unrated"))</x:f>
        <x:v>Strong</x:v>
      </x:c>
      <x:c r="R13" s="9" t="n">
        <x:f>IF(C13="","",COUNTIFS('Actions'!$D$9:$D$308,C13,'Actions'!$E$9:$E$308,"E&amp;S",'Actions'!$F$9:$F$308,"Critical",'Actions'!$P$9:$P$308,"&lt;&gt;Closed",'Actions'!$C$9:$C$308,"&lt;&gt;"))</x:f>
        <x:v>0</x:v>
      </x:c>
      <x:c r="S13" s="9" t="n">
        <x:f>IF(C13="","",COUNTIFS('Actions'!$D$9:$D$308,C13,'Actions'!$Q$9:$Q$308,"Overdue",'Actions'!$C$9:$C$308,"&lt;&gt;"))</x:f>
        <x:v>0</x:v>
      </x:c>
      <x:c r="T13" s="9" t="str">
        <x:f>IF(C13="","",IF(OR(COUNTIF($C$9:$C$108,C13)&lt;&gt;1,COUNTIF(Borrowers!$C$9:$C$108,C13)&lt;&gt;1),"Key review",IF(OR(L13="",O13="",NOT(OR(G13="High",G13="Moderate",G13="Low")),NOT(OR(H13="Yes",H13="No")),NOT(OR(X13="Standard",X13="Enhanced")),AND(G13="High",X13&lt;&gt;"Enhanced"),NOT(ISNUMBER(M13)),NOT(ISNUMBER(N13)),M13&gt;Settings!$F$8,N13&lt;M13,W13&lt;&gt;"Valid",NOT(ISNUMBER(P13)),COUNTIFS('Actions'!$D$9:$D$308,C13,'Actions'!$S$9:$S$308,"&lt;&gt;Valid",'Actions'!$C$9:$C$308,"&lt;&gt;")&gt;0),"Incomplete",IF(N13&lt;Settings!$F$8,"Expired","Current"))))</x:f>
        <x:v>Current</x:v>
      </x:c>
      <x:c r="U13" s="3" t="str">
        <x:f>IF(C13="","",IF(H13="Yes","Decline — prohibited",IF(R13&gt;0,"Hold — critical issue",IF(T13&lt;&gt;"Current","Hold — evidence",IF(V13&gt;0,"Conditions","Clear")))))</x:f>
        <x:v>Clear</x:v>
      </x:c>
      <x:c r="V13" s="9" t="n">
        <x:f>IF(C13="","",COUNTIFS('Actions'!$D$9:$D$308,C13,'Actions'!$E$9:$E$308,"E&amp;S",'Actions'!$P$9:$P$308,"&lt;&gt;Closed",'Actions'!$C$9:$C$308,"&lt;&gt;"))</x:f>
        <x:v>0</x:v>
      </x:c>
      <x:c r="W13" s="9" t="str">
        <x:f>IF(C13="","",IF(COUNTIF('Taxonomy Rules'!$C$26:$C$37,F13)&lt;&gt;1,"Sector missing",IF(AND(IFERROR(INDEX('Taxonomy Rules'!$D$26:$D$37,MATCH(F13,'Taxonomy Rules'!$C$26:$C$37,0)),0)&gt;=0,IFERROR(INDEX('Taxonomy Rules'!$E$26:$E$37,MATCH(F13,'Taxonomy Rules'!$C$26:$C$37,0)),0)&gt;=0,IFERROR(INDEX('Taxonomy Rules'!$F$26:$F$37,MATCH(F13,'Taxonomy Rules'!$C$26:$C$37,0)),0)&gt;=0,ABS(IFERROR(INDEX('Taxonomy Rules'!$D$26:$D$37,MATCH(F13,'Taxonomy Rules'!$C$26:$C$37,0)),0)+IFERROR(INDEX('Taxonomy Rules'!$E$26:$E$37,MATCH(F13,'Taxonomy Rules'!$C$26:$C$37,0)),0)+IFERROR(INDEX('Taxonomy Rules'!$F$26:$F$37,MATCH(F13,'Taxonomy Rules'!$C$26:$C$37,0)),0)-1)&lt;0.000001),"Valid","Check weights")))</x:f>
        <x:v>Valid</x:v>
      </x:c>
      <x:c r="X13" s="8" t="str">
        <x:v>Enhanced</x:v>
      </x:c>
    </x:row>
    <x:row r="14" ht="38" customHeight="1">
      <x:c r="A14" s="1"/>
      <x:c r="B14" s="1"/>
      <x:c r="C14" s="8" t="str">
        <x:v>B006</x:v>
      </x:c>
      <x:c r="D14" s="9" t="str">
        <x:f>IF(C14="","",IFERROR(INDEX('Borrowers'!$D$9:$D$108,MATCH(C14,'Borrowers'!$C$9:$C$108,0)),""))</x:f>
        <x:v>Demo Red Sea Hotels</x:v>
      </x:c>
      <x:c r="E14" s="9" t="str">
        <x:f>IF(C14="","",IFERROR(INDEX('Borrowers'!$E$9:$E$108,MATCH(C14,'Borrowers'!$C$9:$C$108,0)),""))</x:f>
        <x:v>Egypt</x:v>
      </x:c>
      <x:c r="F14" s="9" t="str">
        <x:f>IF(C14="","",IFERROR(INDEX('Borrowers'!$F$9:$F$108,MATCH(C14,'Borrowers'!$C$9:$C$108,0)),""))</x:f>
        <x:v>Hospitality</x:v>
      </x:c>
      <x:c r="G14" s="8" t="str">
        <x:v>Moderate</x:v>
      </x:c>
      <x:c r="H14" s="8" t="str">
        <x:v>No</x:v>
      </x:c>
      <x:c r="I14" s="8" t="n">
        <x:v>66</x:v>
      </x:c>
      <x:c r="J14" s="8" t="n">
        <x:v>78</x:v>
      </x:c>
      <x:c r="K14" s="8" t="n">
        <x:v>90</x:v>
      </x:c>
      <x:c r="L14" s="8" t="str">
        <x:v>ESG analyst 3</x:v>
      </x:c>
      <x:c r="M14" s="10" t="n">
        <x:v>46266</x:v>
      </x:c>
      <x:c r="N14" s="10" t="n">
        <x:v>46631</x:v>
      </x:c>
      <x:c r="O14" s="8" t="str">
        <x:v>SYN-ESG-B006</x:v>
      </x:c>
      <x:c r="P14" s="37" t="n">
        <x:f>IF(C14="","",IF(AND(COUNT(I14:K14)=3,MIN(I14:K14)&gt;=0,MAX(I14:K14)&lt;=100,W14="Valid"),I14*IFERROR(INDEX('Taxonomy Rules'!$D$26:$D$37,MATCH(F14,'Taxonomy Rules'!$C$26:$C$37,0)),0)+J14*IFERROR(INDEX('Taxonomy Rules'!$E$26:$E$37,MATCH(F14,'Taxonomy Rules'!$C$26:$C$37,0)),0)+K14*IFERROR(INDEX('Taxonomy Rules'!$F$26:$F$37,MATCH(F14,'Taxonomy Rules'!$C$26:$C$37,0)),0),""))</x:f>
        <x:v>76.8</x:v>
      </x:c>
      <x:c r="Q14" s="3" t="str">
        <x:f>IF(C14="","",IF(ISNUMBER(P14),IF(P14&gt;=80,"Strong",IF(P14&gt;=60,"Developing","Weak")),"Unrated"))</x:f>
        <x:v>Developing</x:v>
      </x:c>
      <x:c r="R14" s="9" t="n">
        <x:f>IF(C14="","",COUNTIFS('Actions'!$D$9:$D$308,C14,'Actions'!$E$9:$E$308,"E&amp;S",'Actions'!$F$9:$F$308,"Critical",'Actions'!$P$9:$P$308,"&lt;&gt;Closed",'Actions'!$C$9:$C$308,"&lt;&gt;"))</x:f>
        <x:v>0</x:v>
      </x:c>
      <x:c r="S14" s="9" t="n">
        <x:f>IF(C14="","",COUNTIFS('Actions'!$D$9:$D$308,C14,'Actions'!$Q$9:$Q$308,"Overdue",'Actions'!$C$9:$C$308,"&lt;&gt;"))</x:f>
        <x:v>0</x:v>
      </x:c>
      <x:c r="T14" s="9" t="str">
        <x:f>IF(C14="","",IF(OR(COUNTIF($C$9:$C$108,C14)&lt;&gt;1,COUNTIF(Borrowers!$C$9:$C$108,C14)&lt;&gt;1),"Key review",IF(OR(L14="",O14="",NOT(OR(G14="High",G14="Moderate",G14="Low")),NOT(OR(H14="Yes",H14="No")),NOT(OR(X14="Standard",X14="Enhanced")),AND(G14="High",X14&lt;&gt;"Enhanced"),NOT(ISNUMBER(M14)),NOT(ISNUMBER(N14)),M14&gt;Settings!$F$8,N14&lt;M14,W14&lt;&gt;"Valid",NOT(ISNUMBER(P14)),COUNTIFS('Actions'!$D$9:$D$308,C14,'Actions'!$S$9:$S$308,"&lt;&gt;Valid",'Actions'!$C$9:$C$308,"&lt;&gt;")&gt;0),"Incomplete",IF(N14&lt;Settings!$F$8,"Expired","Current"))))</x:f>
        <x:v>Current</x:v>
      </x:c>
      <x:c r="U14" s="3" t="str">
        <x:f>IF(C14="","",IF(H14="Yes","Decline — prohibited",IF(R14&gt;0,"Hold — critical issue",IF(T14&lt;&gt;"Current","Hold — evidence",IF(V14&gt;0,"Conditions","Clear")))))</x:f>
        <x:v>Conditions</x:v>
      </x:c>
      <x:c r="V14" s="9" t="n">
        <x:f>IF(C14="","",COUNTIFS('Actions'!$D$9:$D$308,C14,'Actions'!$E$9:$E$308,"E&amp;S",'Actions'!$P$9:$P$308,"&lt;&gt;Closed",'Actions'!$C$9:$C$308,"&lt;&gt;"))</x:f>
        <x:v>1</x:v>
      </x:c>
      <x:c r="W14" s="9" t="str">
        <x:f>IF(C14="","",IF(COUNTIF('Taxonomy Rules'!$C$26:$C$37,F14)&lt;&gt;1,"Sector missing",IF(AND(IFERROR(INDEX('Taxonomy Rules'!$D$26:$D$37,MATCH(F14,'Taxonomy Rules'!$C$26:$C$37,0)),0)&gt;=0,IFERROR(INDEX('Taxonomy Rules'!$E$26:$E$37,MATCH(F14,'Taxonomy Rules'!$C$26:$C$37,0)),0)&gt;=0,IFERROR(INDEX('Taxonomy Rules'!$F$26:$F$37,MATCH(F14,'Taxonomy Rules'!$C$26:$C$37,0)),0)&gt;=0,ABS(IFERROR(INDEX('Taxonomy Rules'!$D$26:$D$37,MATCH(F14,'Taxonomy Rules'!$C$26:$C$37,0)),0)+IFERROR(INDEX('Taxonomy Rules'!$E$26:$E$37,MATCH(F14,'Taxonomy Rules'!$C$26:$C$37,0)),0)+IFERROR(INDEX('Taxonomy Rules'!$F$26:$F$37,MATCH(F14,'Taxonomy Rules'!$C$26:$C$37,0)),0)-1)&lt;0.000001),"Valid","Check weights")))</x:f>
        <x:v>Valid</x:v>
      </x:c>
      <x:c r="X14" s="8" t="str">
        <x:v>Standard</x:v>
      </x:c>
    </x:row>
    <x:row r="15" ht="38" customHeight="1">
      <x:c r="A15" s="1"/>
      <x:c r="B15" s="1"/>
      <x:c r="C15" s="8" t="str">
        <x:v>B007</x:v>
      </x:c>
      <x:c r="D15" s="9" t="str">
        <x:f>IF(C15="","",IFERROR(INDEX('Borrowers'!$D$9:$D$108,MATCH(C15,'Borrowers'!$C$9:$C$108,0)),""))</x:f>
        <x:v>Demo Amman Cement</x:v>
      </x:c>
      <x:c r="E15" s="9" t="str">
        <x:f>IF(C15="","",IFERROR(INDEX('Borrowers'!$E$9:$E$108,MATCH(C15,'Borrowers'!$C$9:$C$108,0)),""))</x:f>
        <x:v>Jordan</x:v>
      </x:c>
      <x:c r="F15" s="9" t="str">
        <x:f>IF(C15="","",IFERROR(INDEX('Borrowers'!$F$9:$F$108,MATCH(C15,'Borrowers'!$C$9:$C$108,0)),""))</x:f>
        <x:v>Cement</x:v>
      </x:c>
      <x:c r="G15" s="8" t="str">
        <x:v>Moderate</x:v>
      </x:c>
      <x:c r="H15" s="8" t="str">
        <x:v>No</x:v>
      </x:c>
      <x:c r="I15" s="8" t="n">
        <x:v>73</x:v>
      </x:c>
      <x:c r="J15" s="8" t="n">
        <x:v>89</x:v>
      </x:c>
      <x:c r="K15" s="8" t="n">
        <x:v>68</x:v>
      </x:c>
      <x:c r="L15" s="8" t="str">
        <x:v>ESG analyst 1</x:v>
      </x:c>
      <x:c r="M15" s="10" t="n">
        <x:v>46266</x:v>
      </x:c>
      <x:c r="N15" s="10" t="n">
        <x:v>46631</x:v>
      </x:c>
      <x:c r="O15" s="8" t="str">
        <x:v>SYN-ESG-B007</x:v>
      </x:c>
      <x:c r="P15" s="37" t="n">
        <x:f>IF(C15="","",IF(AND(COUNT(I15:K15)=3,MIN(I15:K15)&gt;=0,MAX(I15:K15)&lt;=100,W15="Valid"),I15*IFERROR(INDEX('Taxonomy Rules'!$D$26:$D$37,MATCH(F15,'Taxonomy Rules'!$C$26:$C$37,0)),0)+J15*IFERROR(INDEX('Taxonomy Rules'!$E$26:$E$37,MATCH(F15,'Taxonomy Rules'!$C$26:$C$37,0)),0)+K15*IFERROR(INDEX('Taxonomy Rules'!$F$26:$F$37,MATCH(F15,'Taxonomy Rules'!$C$26:$C$37,0)),0),""))</x:f>
        <x:v>76</x:v>
      </x:c>
      <x:c r="Q15" s="3" t="str">
        <x:f>IF(C15="","",IF(ISNUMBER(P15),IF(P15&gt;=80,"Strong",IF(P15&gt;=60,"Developing","Weak")),"Unrated"))</x:f>
        <x:v>Developing</x:v>
      </x:c>
      <x:c r="R15" s="9" t="n">
        <x:f>IF(C15="","",COUNTIFS('Actions'!$D$9:$D$308,C15,'Actions'!$E$9:$E$308,"E&amp;S",'Actions'!$F$9:$F$308,"Critical",'Actions'!$P$9:$P$308,"&lt;&gt;Closed",'Actions'!$C$9:$C$308,"&lt;&gt;"))</x:f>
        <x:v>1</x:v>
      </x:c>
      <x:c r="S15" s="9" t="n">
        <x:f>IF(C15="","",COUNTIFS('Actions'!$D$9:$D$308,C15,'Actions'!$Q$9:$Q$308,"Overdue",'Actions'!$C$9:$C$308,"&lt;&gt;"))</x:f>
        <x:v>0</x:v>
      </x:c>
      <x:c r="T15" s="9" t="str">
        <x:f>IF(C15="","",IF(OR(COUNTIF($C$9:$C$108,C15)&lt;&gt;1,COUNTIF(Borrowers!$C$9:$C$108,C15)&lt;&gt;1),"Key review",IF(OR(L15="",O15="",NOT(OR(G15="High",G15="Moderate",G15="Low")),NOT(OR(H15="Yes",H15="No")),NOT(OR(X15="Standard",X15="Enhanced")),AND(G15="High",X15&lt;&gt;"Enhanced"),NOT(ISNUMBER(M15)),NOT(ISNUMBER(N15)),M15&gt;Settings!$F$8,N15&lt;M15,W15&lt;&gt;"Valid",NOT(ISNUMBER(P15)),COUNTIFS('Actions'!$D$9:$D$308,C15,'Actions'!$S$9:$S$308,"&lt;&gt;Valid",'Actions'!$C$9:$C$308,"&lt;&gt;")&gt;0),"Incomplete",IF(N15&lt;Settings!$F$8,"Expired","Current"))))</x:f>
        <x:v>Current</x:v>
      </x:c>
      <x:c r="U15" s="3" t="str">
        <x:f>IF(C15="","",IF(H15="Yes","Decline — prohibited",IF(R15&gt;0,"Hold — critical issue",IF(T15&lt;&gt;"Current","Hold — evidence",IF(V15&gt;0,"Conditions","Clear")))))</x:f>
        <x:v>Hold — critical issue</x:v>
      </x:c>
      <x:c r="V15" s="9" t="n">
        <x:f>IF(C15="","",COUNTIFS('Actions'!$D$9:$D$308,C15,'Actions'!$E$9:$E$308,"E&amp;S",'Actions'!$P$9:$P$308,"&lt;&gt;Closed",'Actions'!$C$9:$C$308,"&lt;&gt;"))</x:f>
        <x:v>1</x:v>
      </x:c>
      <x:c r="W15" s="9" t="str">
        <x:f>IF(C15="","",IF(COUNTIF('Taxonomy Rules'!$C$26:$C$37,F15)&lt;&gt;1,"Sector missing",IF(AND(IFERROR(INDEX('Taxonomy Rules'!$D$26:$D$37,MATCH(F15,'Taxonomy Rules'!$C$26:$C$37,0)),0)&gt;=0,IFERROR(INDEX('Taxonomy Rules'!$E$26:$E$37,MATCH(F15,'Taxonomy Rules'!$C$26:$C$37,0)),0)&gt;=0,IFERROR(INDEX('Taxonomy Rules'!$F$26:$F$37,MATCH(F15,'Taxonomy Rules'!$C$26:$C$37,0)),0)&gt;=0,ABS(IFERROR(INDEX('Taxonomy Rules'!$D$26:$D$37,MATCH(F15,'Taxonomy Rules'!$C$26:$C$37,0)),0)+IFERROR(INDEX('Taxonomy Rules'!$E$26:$E$37,MATCH(F15,'Taxonomy Rules'!$C$26:$C$37,0)),0)+IFERROR(INDEX('Taxonomy Rules'!$F$26:$F$37,MATCH(F15,'Taxonomy Rules'!$C$26:$C$37,0)),0)-1)&lt;0.000001),"Valid","Check weights")))</x:f>
        <x:v>Valid</x:v>
      </x:c>
      <x:c r="X15" s="8" t="str">
        <x:v>Standard</x:v>
      </x:c>
    </x:row>
    <x:row r="16" ht="38" customHeight="1">
      <x:c r="A16" s="1"/>
      <x:c r="B16" s="1"/>
      <x:c r="C16" s="8" t="str">
        <x:v>B008</x:v>
      </x:c>
      <x:c r="D16" s="9" t="str">
        <x:f>IF(C16="","",IFERROR(INDEX('Borrowers'!$D$9:$D$108,MATCH(C16,'Borrowers'!$C$9:$C$108,0)),""))</x:f>
        <x:v>Demo Petra Solar</x:v>
      </x:c>
      <x:c r="E16" s="9" t="str">
        <x:f>IF(C16="","",IFERROR(INDEX('Borrowers'!$E$9:$E$108,MATCH(C16,'Borrowers'!$C$9:$C$108,0)),""))</x:f>
        <x:v>Jordan</x:v>
      </x:c>
      <x:c r="F16" s="9" t="str">
        <x:f>IF(C16="","",IFERROR(INDEX('Borrowers'!$F$9:$F$108,MATCH(C16,'Borrowers'!$C$9:$C$108,0)),""))</x:f>
        <x:v>Solar</x:v>
      </x:c>
      <x:c r="G16" s="8" t="str">
        <x:v>High</x:v>
      </x:c>
      <x:c r="H16" s="8" t="str">
        <x:v>No</x:v>
      </x:c>
      <x:c r="I16" s="8" t="n">
        <x:v>80</x:v>
      </x:c>
      <x:c r="J16" s="8" t="n">
        <x:v>65</x:v>
      </x:c>
      <x:c r="K16" s="8" t="n">
        <x:v>73</x:v>
      </x:c>
      <x:c r="L16" s="8" t="str">
        <x:v>ESG analyst 2</x:v>
      </x:c>
      <x:c r="M16" s="10" t="n">
        <x:v>46266</x:v>
      </x:c>
      <x:c r="N16" s="10" t="n">
        <x:v>46631</x:v>
      </x:c>
      <x:c r="O16" s="8" t="str">
        <x:v>SYN-ESG-B008</x:v>
      </x:c>
      <x:c r="P16" s="37" t="n">
        <x:f>IF(C16="","",IF(AND(COUNT(I16:K16)=3,MIN(I16:K16)&gt;=0,MAX(I16:K16)&lt;=100,W16="Valid"),I16*IFERROR(INDEX('Taxonomy Rules'!$D$26:$D$37,MATCH(F16,'Taxonomy Rules'!$C$26:$C$37,0)),0)+J16*IFERROR(INDEX('Taxonomy Rules'!$E$26:$E$37,MATCH(F16,'Taxonomy Rules'!$C$26:$C$37,0)),0)+K16*IFERROR(INDEX('Taxonomy Rules'!$F$26:$F$37,MATCH(F16,'Taxonomy Rules'!$C$26:$C$37,0)),0),""))</x:f>
        <x:v>73.75</x:v>
      </x:c>
      <x:c r="Q16" s="3" t="str">
        <x:f>IF(C16="","",IF(ISNUMBER(P16),IF(P16&gt;=80,"Strong",IF(P16&gt;=60,"Developing","Weak")),"Unrated"))</x:f>
        <x:v>Developing</x:v>
      </x:c>
      <x:c r="R16" s="9" t="n">
        <x:f>IF(C16="","",COUNTIFS('Actions'!$D$9:$D$308,C16,'Actions'!$E$9:$E$308,"E&amp;S",'Actions'!$F$9:$F$308,"Critical",'Actions'!$P$9:$P$308,"&lt;&gt;Closed",'Actions'!$C$9:$C$308,"&lt;&gt;"))</x:f>
        <x:v>0</x:v>
      </x:c>
      <x:c r="S16" s="9" t="n">
        <x:f>IF(C16="","",COUNTIFS('Actions'!$D$9:$D$308,C16,'Actions'!$Q$9:$Q$308,"Overdue",'Actions'!$C$9:$C$308,"&lt;&gt;"))</x:f>
        <x:v>0</x:v>
      </x:c>
      <x:c r="T16" s="9" t="str">
        <x:f>IF(C16="","",IF(OR(COUNTIF($C$9:$C$108,C16)&lt;&gt;1,COUNTIF(Borrowers!$C$9:$C$108,C16)&lt;&gt;1),"Key review",IF(OR(L16="",O16="",NOT(OR(G16="High",G16="Moderate",G16="Low")),NOT(OR(H16="Yes",H16="No")),NOT(OR(X16="Standard",X16="Enhanced")),AND(G16="High",X16&lt;&gt;"Enhanced"),NOT(ISNUMBER(M16)),NOT(ISNUMBER(N16)),M16&gt;Settings!$F$8,N16&lt;M16,W16&lt;&gt;"Valid",NOT(ISNUMBER(P16)),COUNTIFS('Actions'!$D$9:$D$308,C16,'Actions'!$S$9:$S$308,"&lt;&gt;Valid",'Actions'!$C$9:$C$308,"&lt;&gt;")&gt;0),"Incomplete",IF(N16&lt;Settings!$F$8,"Expired","Current"))))</x:f>
        <x:v>Current</x:v>
      </x:c>
      <x:c r="U16" s="3" t="str">
        <x:f>IF(C16="","",IF(H16="Yes","Decline — prohibited",IF(R16&gt;0,"Hold — critical issue",IF(T16&lt;&gt;"Current","Hold — evidence",IF(V16&gt;0,"Conditions","Clear")))))</x:f>
        <x:v>Clear</x:v>
      </x:c>
      <x:c r="V16" s="9" t="n">
        <x:f>IF(C16="","",COUNTIFS('Actions'!$D$9:$D$308,C16,'Actions'!$E$9:$E$308,"E&amp;S",'Actions'!$P$9:$P$308,"&lt;&gt;Closed",'Actions'!$C$9:$C$308,"&lt;&gt;"))</x:f>
        <x:v>0</x:v>
      </x:c>
      <x:c r="W16" s="9" t="str">
        <x:f>IF(C16="","",IF(COUNTIF('Taxonomy Rules'!$C$26:$C$37,F16)&lt;&gt;1,"Sector missing",IF(AND(IFERROR(INDEX('Taxonomy Rules'!$D$26:$D$37,MATCH(F16,'Taxonomy Rules'!$C$26:$C$37,0)),0)&gt;=0,IFERROR(INDEX('Taxonomy Rules'!$E$26:$E$37,MATCH(F16,'Taxonomy Rules'!$C$26:$C$37,0)),0)&gt;=0,IFERROR(INDEX('Taxonomy Rules'!$F$26:$F$37,MATCH(F16,'Taxonomy Rules'!$C$26:$C$37,0)),0)&gt;=0,ABS(IFERROR(INDEX('Taxonomy Rules'!$D$26:$D$37,MATCH(F16,'Taxonomy Rules'!$C$26:$C$37,0)),0)+IFERROR(INDEX('Taxonomy Rules'!$E$26:$E$37,MATCH(F16,'Taxonomy Rules'!$C$26:$C$37,0)),0)+IFERROR(INDEX('Taxonomy Rules'!$F$26:$F$37,MATCH(F16,'Taxonomy Rules'!$C$26:$C$37,0)),0)-1)&lt;0.000001),"Valid","Check weights")))</x:f>
        <x:v>Valid</x:v>
      </x:c>
      <x:c r="X16" s="8" t="str">
        <x:v>Enhanced</x:v>
      </x:c>
    </x:row>
    <x:row r="17" ht="38" customHeight="1">
      <x:c r="A17" s="1"/>
      <x:c r="B17" s="1"/>
      <x:c r="C17" s="8" t="str">
        <x:v>B009</x:v>
      </x:c>
      <x:c r="D17" s="9" t="str">
        <x:f>IF(C17="","",IFERROR(INDEX('Borrowers'!$D$9:$D$108,MATCH(C17,'Borrowers'!$C$9:$C$108,0)),""))</x:f>
        <x:v>Demo Levant Freight</x:v>
      </x:c>
      <x:c r="E17" s="9" t="str">
        <x:f>IF(C17="","",IFERROR(INDEX('Borrowers'!$E$9:$E$108,MATCH(C17,'Borrowers'!$C$9:$C$108,0)),""))</x:f>
        <x:v>Jordan</x:v>
      </x:c>
      <x:c r="F17" s="9" t="str">
        <x:f>IF(C17="","",IFERROR(INDEX('Borrowers'!$F$9:$F$108,MATCH(C17,'Borrowers'!$C$9:$C$108,0)),""))</x:f>
        <x:v>Logistics</x:v>
      </x:c>
      <x:c r="G17" s="8" t="str">
        <x:v>High</x:v>
      </x:c>
      <x:c r="H17" s="8" t="str">
        <x:v>No</x:v>
      </x:c>
      <x:c r="I17" s="8" t="n">
        <x:v>87</x:v>
      </x:c>
      <x:c r="J17" s="8" t="n">
        <x:v>76</x:v>
      </x:c>
      <x:c r="K17" s="8" t="n">
        <x:v>78</x:v>
      </x:c>
      <x:c r="L17" s="8" t="str">
        <x:v>ESG analyst 3</x:v>
      </x:c>
      <x:c r="M17" s="10" t="n">
        <x:v>46266</x:v>
      </x:c>
      <x:c r="N17" s="10" t="n">
        <x:v>46631</x:v>
      </x:c>
      <x:c r="O17" s="8" t="str">
        <x:v>SYN-ESG-B009</x:v>
      </x:c>
      <x:c r="P17" s="37" t="n">
        <x:f>IF(C17="","",IF(AND(COUNT(I17:K17)=3,MIN(I17:K17)&gt;=0,MAX(I17:K17)&lt;=100,W17="Valid"),I17*IFERROR(INDEX('Taxonomy Rules'!$D$26:$D$37,MATCH(F17,'Taxonomy Rules'!$C$26:$C$37,0)),0)+J17*IFERROR(INDEX('Taxonomy Rules'!$E$26:$E$37,MATCH(F17,'Taxonomy Rules'!$C$26:$C$37,0)),0)+K17*IFERROR(INDEX('Taxonomy Rules'!$F$26:$F$37,MATCH(F17,'Taxonomy Rules'!$C$26:$C$37,0)),0),""))</x:f>
        <x:v>81.45</x:v>
      </x:c>
      <x:c r="Q17" s="3" t="str">
        <x:f>IF(C17="","",IF(ISNUMBER(P17),IF(P17&gt;=80,"Strong",IF(P17&gt;=60,"Developing","Weak")),"Unrated"))</x:f>
        <x:v>Strong</x:v>
      </x:c>
      <x:c r="R17" s="9" t="n">
        <x:f>IF(C17="","",COUNTIFS('Actions'!$D$9:$D$308,C17,'Actions'!$E$9:$E$308,"E&amp;S",'Actions'!$F$9:$F$308,"Critical",'Actions'!$P$9:$P$308,"&lt;&gt;Closed",'Actions'!$C$9:$C$308,"&lt;&gt;"))</x:f>
        <x:v>0</x:v>
      </x:c>
      <x:c r="S17" s="9" t="n">
        <x:f>IF(C17="","",COUNTIFS('Actions'!$D$9:$D$308,C17,'Actions'!$Q$9:$Q$308,"Overdue",'Actions'!$C$9:$C$308,"&lt;&gt;"))</x:f>
        <x:v>1</x:v>
      </x:c>
      <x:c r="T17" s="9" t="str">
        <x:f>IF(C17="","",IF(OR(COUNTIF($C$9:$C$108,C17)&lt;&gt;1,COUNTIF(Borrowers!$C$9:$C$108,C17)&lt;&gt;1),"Key review",IF(OR(L17="",O17="",NOT(OR(G17="High",G17="Moderate",G17="Low")),NOT(OR(H17="Yes",H17="No")),NOT(OR(X17="Standard",X17="Enhanced")),AND(G17="High",X17&lt;&gt;"Enhanced"),NOT(ISNUMBER(M17)),NOT(ISNUMBER(N17)),M17&gt;Settings!$F$8,N17&lt;M17,W17&lt;&gt;"Valid",NOT(ISNUMBER(P17)),COUNTIFS('Actions'!$D$9:$D$308,C17,'Actions'!$S$9:$S$308,"&lt;&gt;Valid",'Actions'!$C$9:$C$308,"&lt;&gt;")&gt;0),"Incomplete",IF(N17&lt;Settings!$F$8,"Expired","Current"))))</x:f>
        <x:v>Current</x:v>
      </x:c>
      <x:c r="U17" s="3" t="str">
        <x:f>IF(C17="","",IF(H17="Yes","Decline — prohibited",IF(R17&gt;0,"Hold — critical issue",IF(T17&lt;&gt;"Current","Hold — evidence",IF(V17&gt;0,"Conditions","Clear")))))</x:f>
        <x:v>Conditions</x:v>
      </x:c>
      <x:c r="V17" s="9" t="n">
        <x:f>IF(C17="","",COUNTIFS('Actions'!$D$9:$D$308,C17,'Actions'!$E$9:$E$308,"E&amp;S",'Actions'!$P$9:$P$308,"&lt;&gt;Closed",'Actions'!$C$9:$C$308,"&lt;&gt;"))</x:f>
        <x:v>1</x:v>
      </x:c>
      <x:c r="W17" s="9" t="str">
        <x:f>IF(C17="","",IF(COUNTIF('Taxonomy Rules'!$C$26:$C$37,F17)&lt;&gt;1,"Sector missing",IF(AND(IFERROR(INDEX('Taxonomy Rules'!$D$26:$D$37,MATCH(F17,'Taxonomy Rules'!$C$26:$C$37,0)),0)&gt;=0,IFERROR(INDEX('Taxonomy Rules'!$E$26:$E$37,MATCH(F17,'Taxonomy Rules'!$C$26:$C$37,0)),0)&gt;=0,IFERROR(INDEX('Taxonomy Rules'!$F$26:$F$37,MATCH(F17,'Taxonomy Rules'!$C$26:$C$37,0)),0)&gt;=0,ABS(IFERROR(INDEX('Taxonomy Rules'!$D$26:$D$37,MATCH(F17,'Taxonomy Rules'!$C$26:$C$37,0)),0)+IFERROR(INDEX('Taxonomy Rules'!$E$26:$E$37,MATCH(F17,'Taxonomy Rules'!$C$26:$C$37,0)),0)+IFERROR(INDEX('Taxonomy Rules'!$F$26:$F$37,MATCH(F17,'Taxonomy Rules'!$C$26:$C$37,0)),0)-1)&lt;0.000001),"Valid","Check weights")))</x:f>
        <x:v>Valid</x:v>
      </x:c>
      <x:c r="X17" s="8" t="str">
        <x:v>Enhanced</x:v>
      </x:c>
    </x:row>
    <x:row r="18" ht="38" customHeight="1">
      <x:c r="A18" s="1"/>
      <x:c r="B18" s="1"/>
      <x:c r="C18" s="8" t="str">
        <x:v>B010</x:v>
      </x:c>
      <x:c r="D18" s="9" t="str">
        <x:f>IF(C18="","",IFERROR(INDEX('Borrowers'!$D$9:$D$108,MATCH(C18,'Borrowers'!$C$9:$C$108,0)),""))</x:f>
        <x:v>Demo Jordan Foods</x:v>
      </x:c>
      <x:c r="E18" s="9" t="str">
        <x:f>IF(C18="","",IFERROR(INDEX('Borrowers'!$E$9:$E$108,MATCH(C18,'Borrowers'!$C$9:$C$108,0)),""))</x:f>
        <x:v>Jordan</x:v>
      </x:c>
      <x:c r="F18" s="9" t="str">
        <x:f>IF(C18="","",IFERROR(INDEX('Borrowers'!$F$9:$F$108,MATCH(C18,'Borrowers'!$C$9:$C$108,0)),""))</x:f>
        <x:v>Food</x:v>
      </x:c>
      <x:c r="G18" s="8" t="str">
        <x:v>Moderate</x:v>
      </x:c>
      <x:c r="H18" s="8" t="str">
        <x:v>No</x:v>
      </x:c>
      <x:c r="I18" s="8" t="n">
        <x:v>63</x:v>
      </x:c>
      <x:c r="J18" s="8" t="n">
        <x:v>87</x:v>
      </x:c>
      <x:c r="K18" s="8" t="n">
        <x:v>83</x:v>
      </x:c>
      <x:c r="L18" s="8" t="str">
        <x:v>ESG analyst 1</x:v>
      </x:c>
      <x:c r="M18" s="10" t="n">
        <x:v>46266</x:v>
      </x:c>
      <x:c r="N18" s="10" t="n">
        <x:v>46631</x:v>
      </x:c>
      <x:c r="O18" s="8" t="str">
        <x:v>SYN-ESG-B010</x:v>
      </x:c>
      <x:c r="P18" s="37" t="n">
        <x:f>IF(C18="","",IF(AND(COUNT(I18:K18)=3,MIN(I18:K18)&gt;=0,MAX(I18:K18)&lt;=100,W18="Valid"),I18*IFERROR(INDEX('Taxonomy Rules'!$D$26:$D$37,MATCH(F18,'Taxonomy Rules'!$C$26:$C$37,0)),0)+J18*IFERROR(INDEX('Taxonomy Rules'!$E$26:$E$37,MATCH(F18,'Taxonomy Rules'!$C$26:$C$37,0)),0)+K18*IFERROR(INDEX('Taxonomy Rules'!$F$26:$F$37,MATCH(F18,'Taxonomy Rules'!$C$26:$C$37,0)),0),""))</x:f>
        <x:v>76.4</x:v>
      </x:c>
      <x:c r="Q18" s="3" t="str">
        <x:f>IF(C18="","",IF(ISNUMBER(P18),IF(P18&gt;=80,"Strong",IF(P18&gt;=60,"Developing","Weak")),"Unrated"))</x:f>
        <x:v>Developing</x:v>
      </x:c>
      <x:c r="R18" s="9" t="n">
        <x:f>IF(C18="","",COUNTIFS('Actions'!$D$9:$D$308,C18,'Actions'!$E$9:$E$308,"E&amp;S",'Actions'!$F$9:$F$308,"Critical",'Actions'!$P$9:$P$308,"&lt;&gt;Closed",'Actions'!$C$9:$C$308,"&lt;&gt;"))</x:f>
        <x:v>0</x:v>
      </x:c>
      <x:c r="S18" s="9" t="n">
        <x:f>IF(C18="","",COUNTIFS('Actions'!$D$9:$D$308,C18,'Actions'!$Q$9:$Q$308,"Overdue",'Actions'!$C$9:$C$308,"&lt;&gt;"))</x:f>
        <x:v>0</x:v>
      </x:c>
      <x:c r="T18" s="9" t="str">
        <x:f>IF(C18="","",IF(OR(COUNTIF($C$9:$C$108,C18)&lt;&gt;1,COUNTIF(Borrowers!$C$9:$C$108,C18)&lt;&gt;1),"Key review",IF(OR(L18="",O18="",NOT(OR(G18="High",G18="Moderate",G18="Low")),NOT(OR(H18="Yes",H18="No")),NOT(OR(X18="Standard",X18="Enhanced")),AND(G18="High",X18&lt;&gt;"Enhanced"),NOT(ISNUMBER(M18)),NOT(ISNUMBER(N18)),M18&gt;Settings!$F$8,N18&lt;M18,W18&lt;&gt;"Valid",NOT(ISNUMBER(P18)),COUNTIFS('Actions'!$D$9:$D$308,C18,'Actions'!$S$9:$S$308,"&lt;&gt;Valid",'Actions'!$C$9:$C$308,"&lt;&gt;")&gt;0),"Incomplete",IF(N18&lt;Settings!$F$8,"Expired","Current"))))</x:f>
        <x:v>Current</x:v>
      </x:c>
      <x:c r="U18" s="3" t="str">
        <x:f>IF(C18="","",IF(H18="Yes","Decline — prohibited",IF(R18&gt;0,"Hold — critical issue",IF(T18&lt;&gt;"Current","Hold — evidence",IF(V18&gt;0,"Conditions","Clear")))))</x:f>
        <x:v>Conditions</x:v>
      </x:c>
      <x:c r="V18" s="9" t="n">
        <x:f>IF(C18="","",COUNTIFS('Actions'!$D$9:$D$308,C18,'Actions'!$E$9:$E$308,"E&amp;S",'Actions'!$P$9:$P$308,"&lt;&gt;Closed",'Actions'!$C$9:$C$308,"&lt;&gt;"))</x:f>
        <x:v>1</x:v>
      </x:c>
      <x:c r="W18" s="9" t="str">
        <x:f>IF(C18="","",IF(COUNTIF('Taxonomy Rules'!$C$26:$C$37,F18)&lt;&gt;1,"Sector missing",IF(AND(IFERROR(INDEX('Taxonomy Rules'!$D$26:$D$37,MATCH(F18,'Taxonomy Rules'!$C$26:$C$37,0)),0)&gt;=0,IFERROR(INDEX('Taxonomy Rules'!$E$26:$E$37,MATCH(F18,'Taxonomy Rules'!$C$26:$C$37,0)),0)&gt;=0,IFERROR(INDEX('Taxonomy Rules'!$F$26:$F$37,MATCH(F18,'Taxonomy Rules'!$C$26:$C$37,0)),0)&gt;=0,ABS(IFERROR(INDEX('Taxonomy Rules'!$D$26:$D$37,MATCH(F18,'Taxonomy Rules'!$C$26:$C$37,0)),0)+IFERROR(INDEX('Taxonomy Rules'!$E$26:$E$37,MATCH(F18,'Taxonomy Rules'!$C$26:$C$37,0)),0)+IFERROR(INDEX('Taxonomy Rules'!$F$26:$F$37,MATCH(F18,'Taxonomy Rules'!$C$26:$C$37,0)),0)-1)&lt;0.000001),"Valid","Check weights")))</x:f>
        <x:v>Valid</x:v>
      </x:c>
      <x:c r="X18" s="8" t="str">
        <x:v>Standard</x:v>
      </x:c>
    </x:row>
    <x:row r="19" ht="38" customHeight="1">
      <x:c r="A19" s="1"/>
      <x:c r="B19" s="1"/>
      <x:c r="C19" s="8" t="str">
        <x:v>B011</x:v>
      </x:c>
      <x:c r="D19" s="9" t="str">
        <x:f>IF(C19="","",IFERROR(INDEX('Borrowers'!$D$9:$D$108,MATCH(C19,'Borrowers'!$C$9:$C$108,0)),""))</x:f>
        <x:v>Demo Aqaba Properties</x:v>
      </x:c>
      <x:c r="E19" s="9" t="str">
        <x:f>IF(C19="","",IFERROR(INDEX('Borrowers'!$E$9:$E$108,MATCH(C19,'Borrowers'!$C$9:$C$108,0)),""))</x:f>
        <x:v>Jordan</x:v>
      </x:c>
      <x:c r="F19" s="9" t="str">
        <x:f>IF(C19="","",IFERROR(INDEX('Borrowers'!$F$9:$F$108,MATCH(C19,'Borrowers'!$C$9:$C$108,0)),""))</x:f>
        <x:v>Property</x:v>
      </x:c>
      <x:c r="G19" s="8" t="str">
        <x:v>Moderate</x:v>
      </x:c>
      <x:c r="H19" s="8" t="str">
        <x:v>No</x:v>
      </x:c>
      <x:c r="I19" s="8" t="n">
        <x:v>70</x:v>
      </x:c>
      <x:c r="J19" s="8" t="n">
        <x:v>63</x:v>
      </x:c>
      <x:c r="K19" s="8" t="n">
        <x:v>88</x:v>
      </x:c>
      <x:c r="L19" s="8" t="str">
        <x:v>ESG analyst 2</x:v>
      </x:c>
      <x:c r="M19" s="10" t="n">
        <x:v>46266</x:v>
      </x:c>
      <x:c r="N19" s="10" t="n">
        <x:v>46631</x:v>
      </x:c>
      <x:c r="O19" s="8" t="str">
        <x:v>SYN-ESG-B011</x:v>
      </x:c>
      <x:c r="P19" s="37" t="n">
        <x:f>IF(C19="","",IF(AND(COUNT(I19:K19)=3,MIN(I19:K19)&gt;=0,MAX(I19:K19)&lt;=100,W19="Valid"),I19*IFERROR(INDEX('Taxonomy Rules'!$D$26:$D$37,MATCH(F19,'Taxonomy Rules'!$C$26:$C$37,0)),0)+J19*IFERROR(INDEX('Taxonomy Rules'!$E$26:$E$37,MATCH(F19,'Taxonomy Rules'!$C$26:$C$37,0)),0)+K19*IFERROR(INDEX('Taxonomy Rules'!$F$26:$F$37,MATCH(F19,'Taxonomy Rules'!$C$26:$C$37,0)),0),""))</x:f>
        <x:v>72.4</x:v>
      </x:c>
      <x:c r="Q19" s="3" t="str">
        <x:f>IF(C19="","",IF(ISNUMBER(P19),IF(P19&gt;=80,"Strong",IF(P19&gt;=60,"Developing","Weak")),"Unrated"))</x:f>
        <x:v>Developing</x:v>
      </x:c>
      <x:c r="R19" s="9" t="n">
        <x:f>IF(C19="","",COUNTIFS('Actions'!$D$9:$D$308,C19,'Actions'!$E$9:$E$308,"E&amp;S",'Actions'!$F$9:$F$308,"Critical",'Actions'!$P$9:$P$308,"&lt;&gt;Closed",'Actions'!$C$9:$C$308,"&lt;&gt;"))</x:f>
        <x:v>0</x:v>
      </x:c>
      <x:c r="S19" s="9" t="n">
        <x:f>IF(C19="","",COUNTIFS('Actions'!$D$9:$D$308,C19,'Actions'!$Q$9:$Q$308,"Overdue",'Actions'!$C$9:$C$308,"&lt;&gt;"))</x:f>
        <x:v>0</x:v>
      </x:c>
      <x:c r="T19" s="9" t="str">
        <x:f>IF(C19="","",IF(OR(COUNTIF($C$9:$C$108,C19)&lt;&gt;1,COUNTIF(Borrowers!$C$9:$C$108,C19)&lt;&gt;1),"Key review",IF(OR(L19="",O19="",NOT(OR(G19="High",G19="Moderate",G19="Low")),NOT(OR(H19="Yes",H19="No")),NOT(OR(X19="Standard",X19="Enhanced")),AND(G19="High",X19&lt;&gt;"Enhanced"),NOT(ISNUMBER(M19)),NOT(ISNUMBER(N19)),M19&gt;Settings!$F$8,N19&lt;M19,W19&lt;&gt;"Valid",NOT(ISNUMBER(P19)),COUNTIFS('Actions'!$D$9:$D$308,C19,'Actions'!$S$9:$S$308,"&lt;&gt;Valid",'Actions'!$C$9:$C$308,"&lt;&gt;")&gt;0),"Incomplete",IF(N19&lt;Settings!$F$8,"Expired","Current"))))</x:f>
        <x:v>Current</x:v>
      </x:c>
      <x:c r="U19" s="3" t="str">
        <x:f>IF(C19="","",IF(H19="Yes","Decline — prohibited",IF(R19&gt;0,"Hold — critical issue",IF(T19&lt;&gt;"Current","Hold — evidence",IF(V19&gt;0,"Conditions","Clear")))))</x:f>
        <x:v>Clear</x:v>
      </x:c>
      <x:c r="V19" s="9" t="n">
        <x:f>IF(C19="","",COUNTIFS('Actions'!$D$9:$D$308,C19,'Actions'!$E$9:$E$308,"E&amp;S",'Actions'!$P$9:$P$308,"&lt;&gt;Closed",'Actions'!$C$9:$C$308,"&lt;&gt;"))</x:f>
        <x:v>0</x:v>
      </x:c>
      <x:c r="W19" s="9" t="str">
        <x:f>IF(C19="","",IF(COUNTIF('Taxonomy Rules'!$C$26:$C$37,F19)&lt;&gt;1,"Sector missing",IF(AND(IFERROR(INDEX('Taxonomy Rules'!$D$26:$D$37,MATCH(F19,'Taxonomy Rules'!$C$26:$C$37,0)),0)&gt;=0,IFERROR(INDEX('Taxonomy Rules'!$E$26:$E$37,MATCH(F19,'Taxonomy Rules'!$C$26:$C$37,0)),0)&gt;=0,IFERROR(INDEX('Taxonomy Rules'!$F$26:$F$37,MATCH(F19,'Taxonomy Rules'!$C$26:$C$37,0)),0)&gt;=0,ABS(IFERROR(INDEX('Taxonomy Rules'!$D$26:$D$37,MATCH(F19,'Taxonomy Rules'!$C$26:$C$37,0)),0)+IFERROR(INDEX('Taxonomy Rules'!$E$26:$E$37,MATCH(F19,'Taxonomy Rules'!$C$26:$C$37,0)),0)+IFERROR(INDEX('Taxonomy Rules'!$F$26:$F$37,MATCH(F19,'Taxonomy Rules'!$C$26:$C$37,0)),0)-1)&lt;0.000001),"Valid","Check weights")))</x:f>
        <x:v>Valid</x:v>
      </x:c>
      <x:c r="X19" s="8" t="str">
        <x:v>Standard</x:v>
      </x:c>
    </x:row>
    <x:row r="20" ht="38" customHeight="1">
      <x:c r="A20" s="1"/>
      <x:c r="B20" s="1"/>
      <x:c r="C20" s="8" t="str">
        <x:v>B012</x:v>
      </x:c>
      <x:c r="D20" s="9" t="str">
        <x:f>IF(C20="","",IFERROR(INDEX('Borrowers'!$D$9:$D$108,MATCH(C20,'Borrowers'!$C$9:$C$108,0)),""))</x:f>
        <x:v>Demo Amman Healthcare</x:v>
      </x:c>
      <x:c r="E20" s="9" t="str">
        <x:f>IF(C20="","",IFERROR(INDEX('Borrowers'!$E$9:$E$108,MATCH(C20,'Borrowers'!$C$9:$C$108,0)),""))</x:f>
        <x:v>Jordan</x:v>
      </x:c>
      <x:c r="F20" s="9" t="str">
        <x:f>IF(C20="","",IFERROR(INDEX('Borrowers'!$F$9:$F$108,MATCH(C20,'Borrowers'!$C$9:$C$108,0)),""))</x:f>
        <x:v>Healthcare</x:v>
      </x:c>
      <x:c r="G20" s="8" t="str">
        <x:v>High</x:v>
      </x:c>
      <x:c r="H20" s="8" t="str">
        <x:v>No</x:v>
      </x:c>
      <x:c r="I20" s="8" t="n">
        <x:v>77</x:v>
      </x:c>
      <x:c r="J20" s="8" t="n">
        <x:v>74</x:v>
      </x:c>
      <x:c r="K20" s="8" t="n">
        <x:v>66</x:v>
      </x:c>
      <x:c r="L20" s="8" t="str">
        <x:v>ESG analyst 3</x:v>
      </x:c>
      <x:c r="M20" s="10" t="n">
        <x:v>46266</x:v>
      </x:c>
      <x:c r="N20" s="10" t="n">
        <x:v>46631</x:v>
      </x:c>
      <x:c r="O20" s="8" t="str">
        <x:v>SYN-ESG-B012</x:v>
      </x:c>
      <x:c r="P20" s="37" t="n">
        <x:f>IF(C20="","",IF(AND(COUNT(I20:K20)=3,MIN(I20:K20)&gt;=0,MAX(I20:K20)&lt;=100,W20="Valid"),I20*IFERROR(INDEX('Taxonomy Rules'!$D$26:$D$37,MATCH(F20,'Taxonomy Rules'!$C$26:$C$37,0)),0)+J20*IFERROR(INDEX('Taxonomy Rules'!$E$26:$E$37,MATCH(F20,'Taxonomy Rules'!$C$26:$C$37,0)),0)+K20*IFERROR(INDEX('Taxonomy Rules'!$F$26:$F$37,MATCH(F20,'Taxonomy Rules'!$C$26:$C$37,0)),0),""))</x:f>
        <x:v>72.2</x:v>
      </x:c>
      <x:c r="Q20" s="3" t="str">
        <x:f>IF(C20="","",IF(ISNUMBER(P20),IF(P20&gt;=80,"Strong",IF(P20&gt;=60,"Developing","Weak")),"Unrated"))</x:f>
        <x:v>Developing</x:v>
      </x:c>
      <x:c r="R20" s="9" t="n">
        <x:f>IF(C20="","",COUNTIFS('Actions'!$D$9:$D$308,C20,'Actions'!$E$9:$E$308,"E&amp;S",'Actions'!$F$9:$F$308,"Critical",'Actions'!$P$9:$P$308,"&lt;&gt;Closed",'Actions'!$C$9:$C$308,"&lt;&gt;"))</x:f>
        <x:v>0</x:v>
      </x:c>
      <x:c r="S20" s="9" t="n">
        <x:f>IF(C20="","",COUNTIFS('Actions'!$D$9:$D$308,C20,'Actions'!$Q$9:$Q$308,"Overdue",'Actions'!$C$9:$C$308,"&lt;&gt;"))</x:f>
        <x:v>0</x:v>
      </x:c>
      <x:c r="T20" s="9" t="str">
        <x:f>IF(C20="","",IF(OR(COUNTIF($C$9:$C$108,C20)&lt;&gt;1,COUNTIF(Borrowers!$C$9:$C$108,C20)&lt;&gt;1),"Key review",IF(OR(L20="",O20="",NOT(OR(G20="High",G20="Moderate",G20="Low")),NOT(OR(H20="Yes",H20="No")),NOT(OR(X20="Standard",X20="Enhanced")),AND(G20="High",X20&lt;&gt;"Enhanced"),NOT(ISNUMBER(M20)),NOT(ISNUMBER(N20)),M20&gt;Settings!$F$8,N20&lt;M20,W20&lt;&gt;"Valid",NOT(ISNUMBER(P20)),COUNTIFS('Actions'!$D$9:$D$308,C20,'Actions'!$S$9:$S$308,"&lt;&gt;Valid",'Actions'!$C$9:$C$308,"&lt;&gt;")&gt;0),"Incomplete",IF(N20&lt;Settings!$F$8,"Expired","Current"))))</x:f>
        <x:v>Current</x:v>
      </x:c>
      <x:c r="U20" s="3" t="str">
        <x:f>IF(C20="","",IF(H20="Yes","Decline — prohibited",IF(R20&gt;0,"Hold — critical issue",IF(T20&lt;&gt;"Current","Hold — evidence",IF(V20&gt;0,"Conditions","Clear")))))</x:f>
        <x:v>Conditions</x:v>
      </x:c>
      <x:c r="V20" s="9" t="n">
        <x:f>IF(C20="","",COUNTIFS('Actions'!$D$9:$D$308,C20,'Actions'!$E$9:$E$308,"E&amp;S",'Actions'!$P$9:$P$308,"&lt;&gt;Closed",'Actions'!$C$9:$C$308,"&lt;&gt;"))</x:f>
        <x:v>1</x:v>
      </x:c>
      <x:c r="W20" s="9" t="str">
        <x:f>IF(C20="","",IF(COUNTIF('Taxonomy Rules'!$C$26:$C$37,F20)&lt;&gt;1,"Sector missing",IF(AND(IFERROR(INDEX('Taxonomy Rules'!$D$26:$D$37,MATCH(F20,'Taxonomy Rules'!$C$26:$C$37,0)),0)&gt;=0,IFERROR(INDEX('Taxonomy Rules'!$E$26:$E$37,MATCH(F20,'Taxonomy Rules'!$C$26:$C$37,0)),0)&gt;=0,IFERROR(INDEX('Taxonomy Rules'!$F$26:$F$37,MATCH(F20,'Taxonomy Rules'!$C$26:$C$37,0)),0)&gt;=0,ABS(IFERROR(INDEX('Taxonomy Rules'!$D$26:$D$37,MATCH(F20,'Taxonomy Rules'!$C$26:$C$37,0)),0)+IFERROR(INDEX('Taxonomy Rules'!$E$26:$E$37,MATCH(F20,'Taxonomy Rules'!$C$26:$C$37,0)),0)+IFERROR(INDEX('Taxonomy Rules'!$F$26:$F$37,MATCH(F20,'Taxonomy Rules'!$C$26:$C$37,0)),0)-1)&lt;0.000001),"Valid","Check weights")))</x:f>
        <x:v>Valid</x:v>
      </x:c>
      <x:c r="X20" s="8" t="str">
        <x:v>Enhanced</x:v>
      </x:c>
    </x:row>
    <x:row r="21" ht="38" customHeight="1">
      <x:c r="A21" s="1"/>
      <x:c r="B21" s="1"/>
      <x:c r="C21" s="8" t="str">
        <x:v>B013</x:v>
      </x:c>
      <x:c r="D21" s="9" t="str">
        <x:f>IF(C21="","",IFERROR(INDEX('Borrowers'!$D$9:$D$108,MATCH(C21,'Borrowers'!$C$9:$C$108,0)),""))</x:f>
        <x:v>Demo Emirates Materials</x:v>
      </x:c>
      <x:c r="E21" s="9" t="str">
        <x:f>IF(C21="","",IFERROR(INDEX('Borrowers'!$E$9:$E$108,MATCH(C21,'Borrowers'!$C$9:$C$108,0)),""))</x:f>
        <x:v>UAE</x:v>
      </x:c>
      <x:c r="F21" s="9" t="str">
        <x:f>IF(C21="","",IFERROR(INDEX('Borrowers'!$F$9:$F$108,MATCH(C21,'Borrowers'!$C$9:$C$108,0)),""))</x:f>
        <x:v>Cement</x:v>
      </x:c>
      <x:c r="G21" s="8" t="str">
        <x:v>High</x:v>
      </x:c>
      <x:c r="H21" s="8" t="str">
        <x:v>No</x:v>
      </x:c>
      <x:c r="I21" s="8" t="n">
        <x:v>84</x:v>
      </x:c>
      <x:c r="J21" s="8" t="n">
        <x:v>85</x:v>
      </x:c>
      <x:c r="K21" s="8" t="n">
        <x:v>71</x:v>
      </x:c>
      <x:c r="L21" s="8" t="str">
        <x:v>ESG analyst 1</x:v>
      </x:c>
      <x:c r="M21" s="10" t="n">
        <x:v>46266</x:v>
      </x:c>
      <x:c r="N21" s="10" t="n">
        <x:v>46631</x:v>
      </x:c>
      <x:c r="O21" s="8" t="str">
        <x:v>SYN-ESG-B013</x:v>
      </x:c>
      <x:c r="P21" s="37" t="n">
        <x:f>IF(C21="","",IF(AND(COUNT(I21:K21)=3,MIN(I21:K21)&gt;=0,MAX(I21:K21)&lt;=100,W21="Valid"),I21*IFERROR(INDEX('Taxonomy Rules'!$D$26:$D$37,MATCH(F21,'Taxonomy Rules'!$C$26:$C$37,0)),0)+J21*IFERROR(INDEX('Taxonomy Rules'!$E$26:$E$37,MATCH(F21,'Taxonomy Rules'!$C$26:$C$37,0)),0)+K21*IFERROR(INDEX('Taxonomy Rules'!$F$26:$F$37,MATCH(F21,'Taxonomy Rules'!$C$26:$C$37,0)),0),""))</x:f>
        <x:v>81.65</x:v>
      </x:c>
      <x:c r="Q21" s="3" t="str">
        <x:f>IF(C21="","",IF(ISNUMBER(P21),IF(P21&gt;=80,"Strong",IF(P21&gt;=60,"Developing","Weak")),"Unrated"))</x:f>
        <x:v>Strong</x:v>
      </x:c>
      <x:c r="R21" s="9" t="n">
        <x:f>IF(C21="","",COUNTIFS('Actions'!$D$9:$D$308,C21,'Actions'!$E$9:$E$308,"E&amp;S",'Actions'!$F$9:$F$308,"Critical",'Actions'!$P$9:$P$308,"&lt;&gt;Closed",'Actions'!$C$9:$C$308,"&lt;&gt;"))</x:f>
        <x:v>0</x:v>
      </x:c>
      <x:c r="S21" s="9" t="n">
        <x:f>IF(C21="","",COUNTIFS('Actions'!$D$9:$D$308,C21,'Actions'!$Q$9:$Q$308,"Overdue",'Actions'!$C$9:$C$308,"&lt;&gt;"))</x:f>
        <x:v>1</x:v>
      </x:c>
      <x:c r="T21" s="9" t="str">
        <x:f>IF(C21="","",IF(OR(COUNTIF($C$9:$C$108,C21)&lt;&gt;1,COUNTIF(Borrowers!$C$9:$C$108,C21)&lt;&gt;1),"Key review",IF(OR(L21="",O21="",NOT(OR(G21="High",G21="Moderate",G21="Low")),NOT(OR(H21="Yes",H21="No")),NOT(OR(X21="Standard",X21="Enhanced")),AND(G21="High",X21&lt;&gt;"Enhanced"),NOT(ISNUMBER(M21)),NOT(ISNUMBER(N21)),M21&gt;Settings!$F$8,N21&lt;M21,W21&lt;&gt;"Valid",NOT(ISNUMBER(P21)),COUNTIFS('Actions'!$D$9:$D$308,C21,'Actions'!$S$9:$S$308,"&lt;&gt;Valid",'Actions'!$C$9:$C$308,"&lt;&gt;")&gt;0),"Incomplete",IF(N21&lt;Settings!$F$8,"Expired","Current"))))</x:f>
        <x:v>Current</x:v>
      </x:c>
      <x:c r="U21" s="3" t="str">
        <x:f>IF(C21="","",IF(H21="Yes","Decline — prohibited",IF(R21&gt;0,"Hold — critical issue",IF(T21&lt;&gt;"Current","Hold — evidence",IF(V21&gt;0,"Conditions","Clear")))))</x:f>
        <x:v>Conditions</x:v>
      </x:c>
      <x:c r="V21" s="9" t="n">
        <x:f>IF(C21="","",COUNTIFS('Actions'!$D$9:$D$308,C21,'Actions'!$E$9:$E$308,"E&amp;S",'Actions'!$P$9:$P$308,"&lt;&gt;Closed",'Actions'!$C$9:$C$308,"&lt;&gt;"))</x:f>
        <x:v>1</x:v>
      </x:c>
      <x:c r="W21" s="9" t="str">
        <x:f>IF(C21="","",IF(COUNTIF('Taxonomy Rules'!$C$26:$C$37,F21)&lt;&gt;1,"Sector missing",IF(AND(IFERROR(INDEX('Taxonomy Rules'!$D$26:$D$37,MATCH(F21,'Taxonomy Rules'!$C$26:$C$37,0)),0)&gt;=0,IFERROR(INDEX('Taxonomy Rules'!$E$26:$E$37,MATCH(F21,'Taxonomy Rules'!$C$26:$C$37,0)),0)&gt;=0,IFERROR(INDEX('Taxonomy Rules'!$F$26:$F$37,MATCH(F21,'Taxonomy Rules'!$C$26:$C$37,0)),0)&gt;=0,ABS(IFERROR(INDEX('Taxonomy Rules'!$D$26:$D$37,MATCH(F21,'Taxonomy Rules'!$C$26:$C$37,0)),0)+IFERROR(INDEX('Taxonomy Rules'!$E$26:$E$37,MATCH(F21,'Taxonomy Rules'!$C$26:$C$37,0)),0)+IFERROR(INDEX('Taxonomy Rules'!$F$26:$F$37,MATCH(F21,'Taxonomy Rules'!$C$26:$C$37,0)),0)-1)&lt;0.000001),"Valid","Check weights")))</x:f>
        <x:v>Valid</x:v>
      </x:c>
      <x:c r="X21" s="8" t="str">
        <x:v>Enhanced</x:v>
      </x:c>
    </x:row>
    <x:row r="22" ht="38" customHeight="1">
      <x:c r="A22" s="1"/>
      <x:c r="B22" s="1"/>
      <x:c r="C22" s="8" t="str">
        <x:v>B014</x:v>
      </x:c>
      <x:c r="D22" s="9" t="str">
        <x:f>IF(C22="","",IFERROR(INDEX('Borrowers'!$D$9:$D$108,MATCH(C22,'Borrowers'!$C$9:$C$108,0)),""))</x:f>
        <x:v>Demo Desert Solar</x:v>
      </x:c>
      <x:c r="E22" s="9" t="str">
        <x:f>IF(C22="","",IFERROR(INDEX('Borrowers'!$E$9:$E$108,MATCH(C22,'Borrowers'!$C$9:$C$108,0)),""))</x:f>
        <x:v>UAE</x:v>
      </x:c>
      <x:c r="F22" s="9" t="str">
        <x:f>IF(C22="","",IFERROR(INDEX('Borrowers'!$F$9:$F$108,MATCH(C22,'Borrowers'!$C$9:$C$108,0)),""))</x:f>
        <x:v>Solar</x:v>
      </x:c>
      <x:c r="G22" s="8" t="str">
        <x:v>Moderate</x:v>
      </x:c>
      <x:c r="H22" s="8" t="str">
        <x:v>No</x:v>
      </x:c>
      <x:c r="I22" s="8" t="n">
        <x:v>91</x:v>
      </x:c>
      <x:c r="J22" s="8" t="n">
        <x:v>61</x:v>
      </x:c>
      <x:c r="K22" s="8" t="n">
        <x:v>76</x:v>
      </x:c>
      <x:c r="L22" s="8" t="str">
        <x:v>ESG analyst 2</x:v>
      </x:c>
      <x:c r="M22" s="10" t="n">
        <x:v>46266</x:v>
      </x:c>
      <x:c r="N22" s="10" t="n">
        <x:v>46631</x:v>
      </x:c>
      <x:c r="O22" s="8" t="str">
        <x:v>SYN-ESG-B014</x:v>
      </x:c>
      <x:c r="P22" s="37" t="n">
        <x:f>IF(C22="","",IF(AND(COUNT(I22:K22)=3,MIN(I22:K22)&gt;=0,MAX(I22:K22)&lt;=100,W22="Valid"),I22*IFERROR(INDEX('Taxonomy Rules'!$D$26:$D$37,MATCH(F22,'Taxonomy Rules'!$C$26:$C$37,0)),0)+J22*IFERROR(INDEX('Taxonomy Rules'!$E$26:$E$37,MATCH(F22,'Taxonomy Rules'!$C$26:$C$37,0)),0)+K22*IFERROR(INDEX('Taxonomy Rules'!$F$26:$F$37,MATCH(F22,'Taxonomy Rules'!$C$26:$C$37,0)),0),""))</x:f>
        <x:v>78.25</x:v>
      </x:c>
      <x:c r="Q22" s="3" t="str">
        <x:f>IF(C22="","",IF(ISNUMBER(P22),IF(P22&gt;=80,"Strong",IF(P22&gt;=60,"Developing","Weak")),"Unrated"))</x:f>
        <x:v>Developing</x:v>
      </x:c>
      <x:c r="R22" s="9" t="n">
        <x:f>IF(C22="","",COUNTIFS('Actions'!$D$9:$D$308,C22,'Actions'!$E$9:$E$308,"E&amp;S",'Actions'!$F$9:$F$308,"Critical",'Actions'!$P$9:$P$308,"&lt;&gt;Closed",'Actions'!$C$9:$C$308,"&lt;&gt;"))</x:f>
        <x:v>0</x:v>
      </x:c>
      <x:c r="S22" s="9" t="n">
        <x:f>IF(C22="","",COUNTIFS('Actions'!$D$9:$D$308,C22,'Actions'!$Q$9:$Q$308,"Overdue",'Actions'!$C$9:$C$308,"&lt;&gt;"))</x:f>
        <x:v>0</x:v>
      </x:c>
      <x:c r="T22" s="9" t="str">
        <x:f>IF(C22="","",IF(OR(COUNTIF($C$9:$C$108,C22)&lt;&gt;1,COUNTIF(Borrowers!$C$9:$C$108,C22)&lt;&gt;1),"Key review",IF(OR(L22="",O22="",NOT(OR(G22="High",G22="Moderate",G22="Low")),NOT(OR(H22="Yes",H22="No")),NOT(OR(X22="Standard",X22="Enhanced")),AND(G22="High",X22&lt;&gt;"Enhanced"),NOT(ISNUMBER(M22)),NOT(ISNUMBER(N22)),M22&gt;Settings!$F$8,N22&lt;M22,W22&lt;&gt;"Valid",NOT(ISNUMBER(P22)),COUNTIFS('Actions'!$D$9:$D$308,C22,'Actions'!$S$9:$S$308,"&lt;&gt;Valid",'Actions'!$C$9:$C$308,"&lt;&gt;")&gt;0),"Incomplete",IF(N22&lt;Settings!$F$8,"Expired","Current"))))</x:f>
        <x:v>Current</x:v>
      </x:c>
      <x:c r="U22" s="3" t="str">
        <x:f>IF(C22="","",IF(H22="Yes","Decline — prohibited",IF(R22&gt;0,"Hold — critical issue",IF(T22&lt;&gt;"Current","Hold — evidence",IF(V22&gt;0,"Conditions","Clear")))))</x:f>
        <x:v>Clear</x:v>
      </x:c>
      <x:c r="V22" s="9" t="n">
        <x:f>IF(C22="","",COUNTIFS('Actions'!$D$9:$D$308,C22,'Actions'!$E$9:$E$308,"E&amp;S",'Actions'!$P$9:$P$308,"&lt;&gt;Closed",'Actions'!$C$9:$C$308,"&lt;&gt;"))</x:f>
        <x:v>0</x:v>
      </x:c>
      <x:c r="W22" s="9" t="str">
        <x:f>IF(C22="","",IF(COUNTIF('Taxonomy Rules'!$C$26:$C$37,F22)&lt;&gt;1,"Sector missing",IF(AND(IFERROR(INDEX('Taxonomy Rules'!$D$26:$D$37,MATCH(F22,'Taxonomy Rules'!$C$26:$C$37,0)),0)&gt;=0,IFERROR(INDEX('Taxonomy Rules'!$E$26:$E$37,MATCH(F22,'Taxonomy Rules'!$C$26:$C$37,0)),0)&gt;=0,IFERROR(INDEX('Taxonomy Rules'!$F$26:$F$37,MATCH(F22,'Taxonomy Rules'!$C$26:$C$37,0)),0)&gt;=0,ABS(IFERROR(INDEX('Taxonomy Rules'!$D$26:$D$37,MATCH(F22,'Taxonomy Rules'!$C$26:$C$37,0)),0)+IFERROR(INDEX('Taxonomy Rules'!$E$26:$E$37,MATCH(F22,'Taxonomy Rules'!$C$26:$C$37,0)),0)+IFERROR(INDEX('Taxonomy Rules'!$F$26:$F$37,MATCH(F22,'Taxonomy Rules'!$C$26:$C$37,0)),0)-1)&lt;0.000001),"Valid","Check weights")))</x:f>
        <x:v>Valid</x:v>
      </x:c>
      <x:c r="X22" s="8" t="str">
        <x:v>Standard</x:v>
      </x:c>
    </x:row>
    <x:row r="23" ht="38" customHeight="1">
      <x:c r="A23" s="1"/>
      <x:c r="B23" s="1"/>
      <x:c r="C23" s="8" t="str">
        <x:v>B015</x:v>
      </x:c>
      <x:c r="D23" s="9" t="str">
        <x:f>IF(C23="","",IFERROR(INDEX('Borrowers'!$D$9:$D$108,MATCH(C23,'Borrowers'!$C$9:$C$108,0)),""))</x:f>
        <x:v>Demo Gulf Logistics</x:v>
      </x:c>
      <x:c r="E23" s="9" t="str">
        <x:f>IF(C23="","",IFERROR(INDEX('Borrowers'!$E$9:$E$108,MATCH(C23,'Borrowers'!$C$9:$C$108,0)),""))</x:f>
        <x:v>UAE</x:v>
      </x:c>
      <x:c r="F23" s="9" t="str">
        <x:f>IF(C23="","",IFERROR(INDEX('Borrowers'!$F$9:$F$108,MATCH(C23,'Borrowers'!$C$9:$C$108,0)),""))</x:f>
        <x:v>Logistics</x:v>
      </x:c>
      <x:c r="G23" s="8" t="str">
        <x:v>Moderate</x:v>
      </x:c>
      <x:c r="H23" s="8" t="str">
        <x:v>No</x:v>
      </x:c>
      <x:c r="I23" s="8" t="n">
        <x:v>67</x:v>
      </x:c>
      <x:c r="J23" s="8" t="n">
        <x:v>72</x:v>
      </x:c>
      <x:c r="K23" s="8" t="n">
        <x:v>81</x:v>
      </x:c>
      <x:c r="L23" s="8" t="str">
        <x:v>ESG analyst 3</x:v>
      </x:c>
      <x:c r="M23" s="10" t="n">
        <x:v>46266</x:v>
      </x:c>
      <x:c r="N23" s="10" t="n">
        <x:v>46631</x:v>
      </x:c>
      <x:c r="O23" s="8" t="str">
        <x:v>SYN-ESG-B015</x:v>
      </x:c>
      <x:c r="P23" s="37" t="n">
        <x:f>IF(C23="","",IF(AND(COUNT(I23:K23)=3,MIN(I23:K23)&gt;=0,MAX(I23:K23)&lt;=100,W23="Valid"),I23*IFERROR(INDEX('Taxonomy Rules'!$D$26:$D$37,MATCH(F23,'Taxonomy Rules'!$C$26:$C$37,0)),0)+J23*IFERROR(INDEX('Taxonomy Rules'!$E$26:$E$37,MATCH(F23,'Taxonomy Rules'!$C$26:$C$37,0)),0)+K23*IFERROR(INDEX('Taxonomy Rules'!$F$26:$F$37,MATCH(F23,'Taxonomy Rules'!$C$26:$C$37,0)),0),""))</x:f>
        <x:v>72</x:v>
      </x:c>
      <x:c r="Q23" s="3" t="str">
        <x:f>IF(C23="","",IF(ISNUMBER(P23),IF(P23&gt;=80,"Strong",IF(P23&gt;=60,"Developing","Weak")),"Unrated"))</x:f>
        <x:v>Developing</x:v>
      </x:c>
      <x:c r="R23" s="9" t="n">
        <x:f>IF(C23="","",COUNTIFS('Actions'!$D$9:$D$308,C23,'Actions'!$E$9:$E$308,"E&amp;S",'Actions'!$F$9:$F$308,"Critical",'Actions'!$P$9:$P$308,"&lt;&gt;Closed",'Actions'!$C$9:$C$308,"&lt;&gt;"))</x:f>
        <x:v>0</x:v>
      </x:c>
      <x:c r="S23" s="9" t="n">
        <x:f>IF(C23="","",COUNTIFS('Actions'!$D$9:$D$308,C23,'Actions'!$Q$9:$Q$308,"Overdue",'Actions'!$C$9:$C$308,"&lt;&gt;"))</x:f>
        <x:v>0</x:v>
      </x:c>
      <x:c r="T23" s="9" t="str">
        <x:f>IF(C23="","",IF(OR(COUNTIF($C$9:$C$108,C23)&lt;&gt;1,COUNTIF(Borrowers!$C$9:$C$108,C23)&lt;&gt;1),"Key review",IF(OR(L23="",O23="",NOT(OR(G23="High",G23="Moderate",G23="Low")),NOT(OR(H23="Yes",H23="No")),NOT(OR(X23="Standard",X23="Enhanced")),AND(G23="High",X23&lt;&gt;"Enhanced"),NOT(ISNUMBER(M23)),NOT(ISNUMBER(N23)),M23&gt;Settings!$F$8,N23&lt;M23,W23&lt;&gt;"Valid",NOT(ISNUMBER(P23)),COUNTIFS('Actions'!$D$9:$D$308,C23,'Actions'!$S$9:$S$308,"&lt;&gt;Valid",'Actions'!$C$9:$C$308,"&lt;&gt;")&gt;0),"Incomplete",IF(N23&lt;Settings!$F$8,"Expired","Current"))))</x:f>
        <x:v>Current</x:v>
      </x:c>
      <x:c r="U23" s="3" t="str">
        <x:f>IF(C23="","",IF(H23="Yes","Decline — prohibited",IF(R23&gt;0,"Hold — critical issue",IF(T23&lt;&gt;"Current","Hold — evidence",IF(V23&gt;0,"Conditions","Clear")))))</x:f>
        <x:v>Conditions</x:v>
      </x:c>
      <x:c r="V23" s="9" t="n">
        <x:f>IF(C23="","",COUNTIFS('Actions'!$D$9:$D$308,C23,'Actions'!$E$9:$E$308,"E&amp;S",'Actions'!$P$9:$P$308,"&lt;&gt;Closed",'Actions'!$C$9:$C$308,"&lt;&gt;"))</x:f>
        <x:v>1</x:v>
      </x:c>
      <x:c r="W23" s="9" t="str">
        <x:f>IF(C23="","",IF(COUNTIF('Taxonomy Rules'!$C$26:$C$37,F23)&lt;&gt;1,"Sector missing",IF(AND(IFERROR(INDEX('Taxonomy Rules'!$D$26:$D$37,MATCH(F23,'Taxonomy Rules'!$C$26:$C$37,0)),0)&gt;=0,IFERROR(INDEX('Taxonomy Rules'!$E$26:$E$37,MATCH(F23,'Taxonomy Rules'!$C$26:$C$37,0)),0)&gt;=0,IFERROR(INDEX('Taxonomy Rules'!$F$26:$F$37,MATCH(F23,'Taxonomy Rules'!$C$26:$C$37,0)),0)&gt;=0,ABS(IFERROR(INDEX('Taxonomy Rules'!$D$26:$D$37,MATCH(F23,'Taxonomy Rules'!$C$26:$C$37,0)),0)+IFERROR(INDEX('Taxonomy Rules'!$E$26:$E$37,MATCH(F23,'Taxonomy Rules'!$C$26:$C$37,0)),0)+IFERROR(INDEX('Taxonomy Rules'!$F$26:$F$37,MATCH(F23,'Taxonomy Rules'!$C$26:$C$37,0)),0)-1)&lt;0.000001),"Valid","Check weights")))</x:f>
        <x:v>Valid</x:v>
      </x:c>
      <x:c r="X23" s="8" t="str">
        <x:v>Standard</x:v>
      </x:c>
    </x:row>
    <x:row r="24" ht="38" customHeight="1">
      <x:c r="A24" s="1"/>
      <x:c r="B24" s="1"/>
      <x:c r="C24" s="8" t="str">
        <x:v>B016</x:v>
      </x:c>
      <x:c r="D24" s="9" t="str">
        <x:f>IF(C24="","",IFERROR(INDEX('Borrowers'!$D$9:$D$108,MATCH(C24,'Borrowers'!$C$9:$C$108,0)),""))</x:f>
        <x:v>Demo Emirates Foods</x:v>
      </x:c>
      <x:c r="E24" s="9" t="str">
        <x:f>IF(C24="","",IFERROR(INDEX('Borrowers'!$E$9:$E$108,MATCH(C24,'Borrowers'!$C$9:$C$108,0)),""))</x:f>
        <x:v>UAE</x:v>
      </x:c>
      <x:c r="F24" s="9" t="str">
        <x:f>IF(C24="","",IFERROR(INDEX('Borrowers'!$F$9:$F$108,MATCH(C24,'Borrowers'!$C$9:$C$108,0)),""))</x:f>
        <x:v>Food</x:v>
      </x:c>
      <x:c r="G24" s="8" t="str">
        <x:v>High</x:v>
      </x:c>
      <x:c r="H24" s="8" t="str">
        <x:v>No</x:v>
      </x:c>
      <x:c r="I24" s="8" t="n">
        <x:v>74</x:v>
      </x:c>
      <x:c r="J24" s="8" t="n">
        <x:v>83</x:v>
      </x:c>
      <x:c r="K24" s="8" t="n">
        <x:v>86</x:v>
      </x:c>
      <x:c r="L24" s="8" t="str">
        <x:v>ESG analyst 1</x:v>
      </x:c>
      <x:c r="M24" s="10" t="n">
        <x:v>46266</x:v>
      </x:c>
      <x:c r="N24" s="10" t="n">
        <x:v>46265</x:v>
      </x:c>
      <x:c r="O24" s="8" t="str">
        <x:v>SYN-ESG-B016</x:v>
      </x:c>
      <x:c r="P24" s="37" t="n">
        <x:f>IF(C24="","",IF(AND(COUNT(I24:K24)=3,MIN(I24:K24)&gt;=0,MAX(I24:K24)&lt;=100,W24="Valid"),I24*IFERROR(INDEX('Taxonomy Rules'!$D$26:$D$37,MATCH(F24,'Taxonomy Rules'!$C$26:$C$37,0)),0)+J24*IFERROR(INDEX('Taxonomy Rules'!$E$26:$E$37,MATCH(F24,'Taxonomy Rules'!$C$26:$C$37,0)),0)+K24*IFERROR(INDEX('Taxonomy Rules'!$F$26:$F$37,MATCH(F24,'Taxonomy Rules'!$C$26:$C$37,0)),0),""))</x:f>
        <x:v>80.15</x:v>
      </x:c>
      <x:c r="Q24" s="3" t="str">
        <x:f>IF(C24="","",IF(ISNUMBER(P24),IF(P24&gt;=80,"Strong",IF(P24&gt;=60,"Developing","Weak")),"Unrated"))</x:f>
        <x:v>Strong</x:v>
      </x:c>
      <x:c r="R24" s="9" t="n">
        <x:f>IF(C24="","",COUNTIFS('Actions'!$D$9:$D$308,C24,'Actions'!$E$9:$E$308,"E&amp;S",'Actions'!$F$9:$F$308,"Critical",'Actions'!$P$9:$P$308,"&lt;&gt;Closed",'Actions'!$C$9:$C$308,"&lt;&gt;"))</x:f>
        <x:v>0</x:v>
      </x:c>
      <x:c r="S24" s="9" t="n">
        <x:f>IF(C24="","",COUNTIFS('Actions'!$D$9:$D$308,C24,'Actions'!$Q$9:$Q$308,"Overdue",'Actions'!$C$9:$C$308,"&lt;&gt;"))</x:f>
        <x:v>0</x:v>
      </x:c>
      <x:c r="T24" s="9" t="str">
        <x:f>IF(C24="","",IF(OR(COUNTIF($C$9:$C$108,C24)&lt;&gt;1,COUNTIF(Borrowers!$C$9:$C$108,C24)&lt;&gt;1),"Key review",IF(OR(L24="",O24="",NOT(OR(G24="High",G24="Moderate",G24="Low")),NOT(OR(H24="Yes",H24="No")),NOT(OR(X24="Standard",X24="Enhanced")),AND(G24="High",X24&lt;&gt;"Enhanced"),NOT(ISNUMBER(M24)),NOT(ISNUMBER(N24)),M24&gt;Settings!$F$8,N24&lt;M24,W24&lt;&gt;"Valid",NOT(ISNUMBER(P24)),COUNTIFS('Actions'!$D$9:$D$308,C24,'Actions'!$S$9:$S$308,"&lt;&gt;Valid",'Actions'!$C$9:$C$308,"&lt;&gt;")&gt;0),"Incomplete",IF(N24&lt;Settings!$F$8,"Expired","Current"))))</x:f>
        <x:v>Incomplete</x:v>
      </x:c>
      <x:c r="U24" s="3" t="str">
        <x:f>IF(C24="","",IF(H24="Yes","Decline — prohibited",IF(R24&gt;0,"Hold — critical issue",IF(T24&lt;&gt;"Current","Hold — evidence",IF(V24&gt;0,"Conditions","Clear")))))</x:f>
        <x:v>Hold — evidence</x:v>
      </x:c>
      <x:c r="V24" s="9" t="n">
        <x:f>IF(C24="","",COUNTIFS('Actions'!$D$9:$D$308,C24,'Actions'!$E$9:$E$308,"E&amp;S",'Actions'!$P$9:$P$308,"&lt;&gt;Closed",'Actions'!$C$9:$C$308,"&lt;&gt;"))</x:f>
        <x:v>1</x:v>
      </x:c>
      <x:c r="W24" s="9" t="str">
        <x:f>IF(C24="","",IF(COUNTIF('Taxonomy Rules'!$C$26:$C$37,F24)&lt;&gt;1,"Sector missing",IF(AND(IFERROR(INDEX('Taxonomy Rules'!$D$26:$D$37,MATCH(F24,'Taxonomy Rules'!$C$26:$C$37,0)),0)&gt;=0,IFERROR(INDEX('Taxonomy Rules'!$E$26:$E$37,MATCH(F24,'Taxonomy Rules'!$C$26:$C$37,0)),0)&gt;=0,IFERROR(INDEX('Taxonomy Rules'!$F$26:$F$37,MATCH(F24,'Taxonomy Rules'!$C$26:$C$37,0)),0)&gt;=0,ABS(IFERROR(INDEX('Taxonomy Rules'!$D$26:$D$37,MATCH(F24,'Taxonomy Rules'!$C$26:$C$37,0)),0)+IFERROR(INDEX('Taxonomy Rules'!$E$26:$E$37,MATCH(F24,'Taxonomy Rules'!$C$26:$C$37,0)),0)+IFERROR(INDEX('Taxonomy Rules'!$F$26:$F$37,MATCH(F24,'Taxonomy Rules'!$C$26:$C$37,0)),0)-1)&lt;0.000001),"Valid","Check weights")))</x:f>
        <x:v>Valid</x:v>
      </x:c>
      <x:c r="X24" s="8" t="str">
        <x:v>Enhanced</x:v>
      </x:c>
    </x:row>
    <x:row r="25" ht="38" customHeight="1">
      <x:c r="A25" s="1"/>
      <x:c r="B25" s="1"/>
      <x:c r="C25" s="8" t="str">
        <x:v>B017</x:v>
      </x:c>
      <x:c r="D25" s="9" t="str">
        <x:f>IF(C25="","",IFERROR(INDEX('Borrowers'!$D$9:$D$108,MATCH(C25,'Borrowers'!$C$9:$C$108,0)),""))</x:f>
        <x:v>Demo Marina Properties</x:v>
      </x:c>
      <x:c r="E25" s="9" t="str">
        <x:f>IF(C25="","",IFERROR(INDEX('Borrowers'!$E$9:$E$108,MATCH(C25,'Borrowers'!$C$9:$C$108,0)),""))</x:f>
        <x:v>UAE</x:v>
      </x:c>
      <x:c r="F25" s="9" t="str">
        <x:f>IF(C25="","",IFERROR(INDEX('Borrowers'!$F$9:$F$108,MATCH(C25,'Borrowers'!$C$9:$C$108,0)),""))</x:f>
        <x:v>Property</x:v>
      </x:c>
      <x:c r="G25" s="8" t="str">
        <x:v>High</x:v>
      </x:c>
      <x:c r="H25" s="8" t="str">
        <x:v>No</x:v>
      </x:c>
      <x:c r="I25" s="8" t="n">
        <x:v>81</x:v>
      </x:c>
      <x:c r="J25" s="8" t="n">
        <x:v>59</x:v>
      </x:c>
      <x:c r="K25" s="8" t="n">
        <x:v>91</x:v>
      </x:c>
      <x:c r="L25" s="8" t="str">
        <x:v>ESG analyst 2</x:v>
      </x:c>
      <x:c r="M25" s="10" t="n">
        <x:v>46266</x:v>
      </x:c>
      <x:c r="N25" s="10" t="n">
        <x:v>46631</x:v>
      </x:c>
      <x:c r="O25" s="8" t="str">
        <x:v>SYN-ESG-B017</x:v>
      </x:c>
      <x:c r="P25" s="37" t="n">
        <x:f>IF(C25="","",IF(AND(COUNT(I25:K25)=3,MIN(I25:K25)&gt;=0,MAX(I25:K25)&lt;=100,W25="Valid"),I25*IFERROR(INDEX('Taxonomy Rules'!$D$26:$D$37,MATCH(F25,'Taxonomy Rules'!$C$26:$C$37,0)),0)+J25*IFERROR(INDEX('Taxonomy Rules'!$E$26:$E$37,MATCH(F25,'Taxonomy Rules'!$C$26:$C$37,0)),0)+K25*IFERROR(INDEX('Taxonomy Rules'!$F$26:$F$37,MATCH(F25,'Taxonomy Rules'!$C$26:$C$37,0)),0),""))</x:f>
        <x:v>76.9</x:v>
      </x:c>
      <x:c r="Q25" s="3" t="str">
        <x:f>IF(C25="","",IF(ISNUMBER(P25),IF(P25&gt;=80,"Strong",IF(P25&gt;=60,"Developing","Weak")),"Unrated"))</x:f>
        <x:v>Developing</x:v>
      </x:c>
      <x:c r="R25" s="9" t="n">
        <x:f>IF(C25="","",COUNTIFS('Actions'!$D$9:$D$308,C25,'Actions'!$E$9:$E$308,"E&amp;S",'Actions'!$F$9:$F$308,"Critical",'Actions'!$P$9:$P$308,"&lt;&gt;Closed",'Actions'!$C$9:$C$308,"&lt;&gt;"))</x:f>
        <x:v>0</x:v>
      </x:c>
      <x:c r="S25" s="9" t="n">
        <x:f>IF(C25="","",COUNTIFS('Actions'!$D$9:$D$308,C25,'Actions'!$Q$9:$Q$308,"Overdue",'Actions'!$C$9:$C$308,"&lt;&gt;"))</x:f>
        <x:v>0</x:v>
      </x:c>
      <x:c r="T25" s="9" t="str">
        <x:f>IF(C25="","",IF(OR(COUNTIF($C$9:$C$108,C25)&lt;&gt;1,COUNTIF(Borrowers!$C$9:$C$108,C25)&lt;&gt;1),"Key review",IF(OR(L25="",O25="",NOT(OR(G25="High",G25="Moderate",G25="Low")),NOT(OR(H25="Yes",H25="No")),NOT(OR(X25="Standard",X25="Enhanced")),AND(G25="High",X25&lt;&gt;"Enhanced"),NOT(ISNUMBER(M25)),NOT(ISNUMBER(N25)),M25&gt;Settings!$F$8,N25&lt;M25,W25&lt;&gt;"Valid",NOT(ISNUMBER(P25)),COUNTIFS('Actions'!$D$9:$D$308,C25,'Actions'!$S$9:$S$308,"&lt;&gt;Valid",'Actions'!$C$9:$C$308,"&lt;&gt;")&gt;0),"Incomplete",IF(N25&lt;Settings!$F$8,"Expired","Current"))))</x:f>
        <x:v>Current</x:v>
      </x:c>
      <x:c r="U25" s="3" t="str">
        <x:f>IF(C25="","",IF(H25="Yes","Decline — prohibited",IF(R25&gt;0,"Hold — critical issue",IF(T25&lt;&gt;"Current","Hold — evidence",IF(V25&gt;0,"Conditions","Clear")))))</x:f>
        <x:v>Clear</x:v>
      </x:c>
      <x:c r="V25" s="9" t="n">
        <x:f>IF(C25="","",COUNTIFS('Actions'!$D$9:$D$308,C25,'Actions'!$E$9:$E$308,"E&amp;S",'Actions'!$P$9:$P$308,"&lt;&gt;Closed",'Actions'!$C$9:$C$308,"&lt;&gt;"))</x:f>
        <x:v>0</x:v>
      </x:c>
      <x:c r="W25" s="9" t="str">
        <x:f>IF(C25="","",IF(COUNTIF('Taxonomy Rules'!$C$26:$C$37,F25)&lt;&gt;1,"Sector missing",IF(AND(IFERROR(INDEX('Taxonomy Rules'!$D$26:$D$37,MATCH(F25,'Taxonomy Rules'!$C$26:$C$37,0)),0)&gt;=0,IFERROR(INDEX('Taxonomy Rules'!$E$26:$E$37,MATCH(F25,'Taxonomy Rules'!$C$26:$C$37,0)),0)&gt;=0,IFERROR(INDEX('Taxonomy Rules'!$F$26:$F$37,MATCH(F25,'Taxonomy Rules'!$C$26:$C$37,0)),0)&gt;=0,ABS(IFERROR(INDEX('Taxonomy Rules'!$D$26:$D$37,MATCH(F25,'Taxonomy Rules'!$C$26:$C$37,0)),0)+IFERROR(INDEX('Taxonomy Rules'!$E$26:$E$37,MATCH(F25,'Taxonomy Rules'!$C$26:$C$37,0)),0)+IFERROR(INDEX('Taxonomy Rules'!$F$26:$F$37,MATCH(F25,'Taxonomy Rules'!$C$26:$C$37,0)),0)-1)&lt;0.000001),"Valid","Check weights")))</x:f>
        <x:v>Valid</x:v>
      </x:c>
      <x:c r="X25" s="8" t="str">
        <x:v>Enhanced</x:v>
      </x:c>
    </x:row>
    <x:row r="26" ht="38" customHeight="1">
      <x:c r="A26" s="1"/>
      <x:c r="B26" s="1"/>
      <x:c r="C26" s="8" t="str">
        <x:v>B018</x:v>
      </x:c>
      <x:c r="D26" s="9" t="str">
        <x:f>IF(C26="","",IFERROR(INDEX('Borrowers'!$D$9:$D$108,MATCH(C26,'Borrowers'!$C$9:$C$108,0)),""))</x:f>
        <x:v>Demo Gulf Hospitality</x:v>
      </x:c>
      <x:c r="E26" s="9" t="str">
        <x:f>IF(C26="","",IFERROR(INDEX('Borrowers'!$E$9:$E$108,MATCH(C26,'Borrowers'!$C$9:$C$108,0)),""))</x:f>
        <x:v>UAE</x:v>
      </x:c>
      <x:c r="F26" s="9" t="str">
        <x:f>IF(C26="","",IFERROR(INDEX('Borrowers'!$F$9:$F$108,MATCH(C26,'Borrowers'!$C$9:$C$108,0)),""))</x:f>
        <x:v>Hospitality</x:v>
      </x:c>
      <x:c r="G26" s="8" t="str">
        <x:v>Moderate</x:v>
      </x:c>
      <x:c r="H26" s="8" t="str">
        <x:v>No</x:v>
      </x:c>
      <x:c r="I26" s="8" t="n">
        <x:v>88</x:v>
      </x:c>
      <x:c r="J26" s="8" t="n">
        <x:v>70</x:v>
      </x:c>
      <x:c r="K26" s="8" t="n">
        <x:v>69</x:v>
      </x:c>
      <x:c r="L26" s="8" t="str">
        <x:v>ESG analyst 3</x:v>
      </x:c>
      <x:c r="M26" s="10" t="n">
        <x:v>46266</x:v>
      </x:c>
      <x:c r="N26" s="10" t="n">
        <x:v>46631</x:v>
      </x:c>
      <x:c r="O26" s="8" t="str">
        <x:v>SYN-ESG-B018</x:v>
      </x:c>
      <x:c r="P26" s="37" t="n">
        <x:f>IF(C26="","",IF(AND(COUNT(I26:K26)=3,MIN(I26:K26)&gt;=0,MAX(I26:K26)&lt;=100,W26="Valid"),I26*IFERROR(INDEX('Taxonomy Rules'!$D$26:$D$37,MATCH(F26,'Taxonomy Rules'!$C$26:$C$37,0)),0)+J26*IFERROR(INDEX('Taxonomy Rules'!$E$26:$E$37,MATCH(F26,'Taxonomy Rules'!$C$26:$C$37,0)),0)+K26*IFERROR(INDEX('Taxonomy Rules'!$F$26:$F$37,MATCH(F26,'Taxonomy Rules'!$C$26:$C$37,0)),0),""))</x:f>
        <x:v>76.05</x:v>
      </x:c>
      <x:c r="Q26" s="3" t="str">
        <x:f>IF(C26="","",IF(ISNUMBER(P26),IF(P26&gt;=80,"Strong",IF(P26&gt;=60,"Developing","Weak")),"Unrated"))</x:f>
        <x:v>Developing</x:v>
      </x:c>
      <x:c r="R26" s="9" t="n">
        <x:f>IF(C26="","",COUNTIFS('Actions'!$D$9:$D$308,C26,'Actions'!$E$9:$E$308,"E&amp;S",'Actions'!$F$9:$F$308,"Critical",'Actions'!$P$9:$P$308,"&lt;&gt;Closed",'Actions'!$C$9:$C$308,"&lt;&gt;"))</x:f>
        <x:v>0</x:v>
      </x:c>
      <x:c r="S26" s="9" t="n">
        <x:f>IF(C26="","",COUNTIFS('Actions'!$D$9:$D$308,C26,'Actions'!$Q$9:$Q$308,"Overdue",'Actions'!$C$9:$C$308,"&lt;&gt;"))</x:f>
        <x:v>0</x:v>
      </x:c>
      <x:c r="T26" s="9" t="str">
        <x:f>IF(C26="","",IF(OR(COUNTIF($C$9:$C$108,C26)&lt;&gt;1,COUNTIF(Borrowers!$C$9:$C$108,C26)&lt;&gt;1),"Key review",IF(OR(L26="",O26="",NOT(OR(G26="High",G26="Moderate",G26="Low")),NOT(OR(H26="Yes",H26="No")),NOT(OR(X26="Standard",X26="Enhanced")),AND(G26="High",X26&lt;&gt;"Enhanced"),NOT(ISNUMBER(M26)),NOT(ISNUMBER(N26)),M26&gt;Settings!$F$8,N26&lt;M26,W26&lt;&gt;"Valid",NOT(ISNUMBER(P26)),COUNTIFS('Actions'!$D$9:$D$308,C26,'Actions'!$S$9:$S$308,"&lt;&gt;Valid",'Actions'!$C$9:$C$308,"&lt;&gt;")&gt;0),"Incomplete",IF(N26&lt;Settings!$F$8,"Expired","Current"))))</x:f>
        <x:v>Current</x:v>
      </x:c>
      <x:c r="U26" s="3" t="str">
        <x:f>IF(C26="","",IF(H26="Yes","Decline — prohibited",IF(R26&gt;0,"Hold — critical issue",IF(T26&lt;&gt;"Current","Hold — evidence",IF(V26&gt;0,"Conditions","Clear")))))</x:f>
        <x:v>Conditions</x:v>
      </x:c>
      <x:c r="V26" s="9" t="n">
        <x:f>IF(C26="","",COUNTIFS('Actions'!$D$9:$D$308,C26,'Actions'!$E$9:$E$308,"E&amp;S",'Actions'!$P$9:$P$308,"&lt;&gt;Closed",'Actions'!$C$9:$C$308,"&lt;&gt;"))</x:f>
        <x:v>1</x:v>
      </x:c>
      <x:c r="W26" s="9" t="str">
        <x:f>IF(C26="","",IF(COUNTIF('Taxonomy Rules'!$C$26:$C$37,F26)&lt;&gt;1,"Sector missing",IF(AND(IFERROR(INDEX('Taxonomy Rules'!$D$26:$D$37,MATCH(F26,'Taxonomy Rules'!$C$26:$C$37,0)),0)&gt;=0,IFERROR(INDEX('Taxonomy Rules'!$E$26:$E$37,MATCH(F26,'Taxonomy Rules'!$C$26:$C$37,0)),0)&gt;=0,IFERROR(INDEX('Taxonomy Rules'!$F$26:$F$37,MATCH(F26,'Taxonomy Rules'!$C$26:$C$37,0)),0)&gt;=0,ABS(IFERROR(INDEX('Taxonomy Rules'!$D$26:$D$37,MATCH(F26,'Taxonomy Rules'!$C$26:$C$37,0)),0)+IFERROR(INDEX('Taxonomy Rules'!$E$26:$E$37,MATCH(F26,'Taxonomy Rules'!$C$26:$C$37,0)),0)+IFERROR(INDEX('Taxonomy Rules'!$F$26:$F$37,MATCH(F26,'Taxonomy Rules'!$C$26:$C$37,0)),0)-1)&lt;0.000001),"Valid","Check weights")))</x:f>
        <x:v>Valid</x:v>
      </x:c>
      <x:c r="X26" s="8" t="str">
        <x:v>Standard</x:v>
      </x:c>
    </x:row>
    <x:row r="27" ht="38" customHeight="1">
      <x:c r="A27" s="1"/>
      <x:c r="B27" s="1"/>
      <x:c r="C27" s="8" t="str">
        <x:v>B019</x:v>
      </x:c>
      <x:c r="D27" s="9" t="str">
        <x:f>IF(C27="","",IFERROR(INDEX('Borrowers'!$D$9:$D$108,MATCH(C27,'Borrowers'!$C$9:$C$108,0)),""))</x:f>
        <x:v>Demo Nile Textiles</x:v>
      </x:c>
      <x:c r="E27" s="9" t="str">
        <x:f>IF(C27="","",IFERROR(INDEX('Borrowers'!$E$9:$E$108,MATCH(C27,'Borrowers'!$C$9:$C$108,0)),""))</x:f>
        <x:v>Egypt</x:v>
      </x:c>
      <x:c r="F27" s="9" t="str">
        <x:f>IF(C27="","",IFERROR(INDEX('Borrowers'!$F$9:$F$108,MATCH(C27,'Borrowers'!$C$9:$C$108,0)),""))</x:f>
        <x:v>Manufacturing</x:v>
      </x:c>
      <x:c r="G27" s="8" t="str">
        <x:v>Moderate</x:v>
      </x:c>
      <x:c r="H27" s="8" t="str">
        <x:v>No</x:v>
      </x:c>
      <x:c r="I27" s="8" t="n">
        <x:v>64</x:v>
      </x:c>
      <x:c r="J27" s="8" t="n">
        <x:v>81</x:v>
      </x:c>
      <x:c r="K27" s="8" t="n">
        <x:v>74</x:v>
      </x:c>
      <x:c r="L27" s="8" t="str">
        <x:v>ESG analyst 1</x:v>
      </x:c>
      <x:c r="M27" s="10" t="n">
        <x:v>46266</x:v>
      </x:c>
      <x:c r="N27" s="10" t="n">
        <x:v>46631</x:v>
      </x:c>
      <x:c r="O27" s="8" t="str">
        <x:v>SYN-ESG-B019</x:v>
      </x:c>
      <x:c r="P27" s="37" t="n">
        <x:f>IF(C27="","",IF(AND(COUNT(I27:K27)=3,MIN(I27:K27)&gt;=0,MAX(I27:K27)&lt;=100,W27="Valid"),I27*IFERROR(INDEX('Taxonomy Rules'!$D$26:$D$37,MATCH(F27,'Taxonomy Rules'!$C$26:$C$37,0)),0)+J27*IFERROR(INDEX('Taxonomy Rules'!$E$26:$E$37,MATCH(F27,'Taxonomy Rules'!$C$26:$C$37,0)),0)+K27*IFERROR(INDEX('Taxonomy Rules'!$F$26:$F$37,MATCH(F27,'Taxonomy Rules'!$C$26:$C$37,0)),0),""))</x:f>
        <x:v>71.6</x:v>
      </x:c>
      <x:c r="Q27" s="3" t="str">
        <x:f>IF(C27="","",IF(ISNUMBER(P27),IF(P27&gt;=80,"Strong",IF(P27&gt;=60,"Developing","Weak")),"Unrated"))</x:f>
        <x:v>Developing</x:v>
      </x:c>
      <x:c r="R27" s="9" t="n">
        <x:f>IF(C27="","",COUNTIFS('Actions'!$D$9:$D$308,C27,'Actions'!$E$9:$E$308,"E&amp;S",'Actions'!$F$9:$F$308,"Critical",'Actions'!$P$9:$P$308,"&lt;&gt;Closed",'Actions'!$C$9:$C$308,"&lt;&gt;"))</x:f>
        <x:v>1</x:v>
      </x:c>
      <x:c r="S27" s="9" t="n">
        <x:f>IF(C27="","",COUNTIFS('Actions'!$D$9:$D$308,C27,'Actions'!$Q$9:$Q$308,"Overdue",'Actions'!$C$9:$C$308,"&lt;&gt;"))</x:f>
        <x:v>0</x:v>
      </x:c>
      <x:c r="T27" s="9" t="str">
        <x:f>IF(C27="","",IF(OR(COUNTIF($C$9:$C$108,C27)&lt;&gt;1,COUNTIF(Borrowers!$C$9:$C$108,C27)&lt;&gt;1),"Key review",IF(OR(L27="",O27="",NOT(OR(G27="High",G27="Moderate",G27="Low")),NOT(OR(H27="Yes",H27="No")),NOT(OR(X27="Standard",X27="Enhanced")),AND(G27="High",X27&lt;&gt;"Enhanced"),NOT(ISNUMBER(M27)),NOT(ISNUMBER(N27)),M27&gt;Settings!$F$8,N27&lt;M27,W27&lt;&gt;"Valid",NOT(ISNUMBER(P27)),COUNTIFS('Actions'!$D$9:$D$308,C27,'Actions'!$S$9:$S$308,"&lt;&gt;Valid",'Actions'!$C$9:$C$308,"&lt;&gt;")&gt;0),"Incomplete",IF(N27&lt;Settings!$F$8,"Expired","Current"))))</x:f>
        <x:v>Current</x:v>
      </x:c>
      <x:c r="U27" s="3" t="str">
        <x:f>IF(C27="","",IF(H27="Yes","Decline — prohibited",IF(R27&gt;0,"Hold — critical issue",IF(T27&lt;&gt;"Current","Hold — evidence",IF(V27&gt;0,"Conditions","Clear")))))</x:f>
        <x:v>Hold — critical issue</x:v>
      </x:c>
      <x:c r="V27" s="9" t="n">
        <x:f>IF(C27="","",COUNTIFS('Actions'!$D$9:$D$308,C27,'Actions'!$E$9:$E$308,"E&amp;S",'Actions'!$P$9:$P$308,"&lt;&gt;Closed",'Actions'!$C$9:$C$308,"&lt;&gt;"))</x:f>
        <x:v>1</x:v>
      </x:c>
      <x:c r="W27" s="9" t="str">
        <x:f>IF(C27="","",IF(COUNTIF('Taxonomy Rules'!$C$26:$C$37,F27)&lt;&gt;1,"Sector missing",IF(AND(IFERROR(INDEX('Taxonomy Rules'!$D$26:$D$37,MATCH(F27,'Taxonomy Rules'!$C$26:$C$37,0)),0)&gt;=0,IFERROR(INDEX('Taxonomy Rules'!$E$26:$E$37,MATCH(F27,'Taxonomy Rules'!$C$26:$C$37,0)),0)&gt;=0,IFERROR(INDEX('Taxonomy Rules'!$F$26:$F$37,MATCH(F27,'Taxonomy Rules'!$C$26:$C$37,0)),0)&gt;=0,ABS(IFERROR(INDEX('Taxonomy Rules'!$D$26:$D$37,MATCH(F27,'Taxonomy Rules'!$C$26:$C$37,0)),0)+IFERROR(INDEX('Taxonomy Rules'!$E$26:$E$37,MATCH(F27,'Taxonomy Rules'!$C$26:$C$37,0)),0)+IFERROR(INDEX('Taxonomy Rules'!$F$26:$F$37,MATCH(F27,'Taxonomy Rules'!$C$26:$C$37,0)),0)-1)&lt;0.000001),"Valid","Check weights")))</x:f>
        <x:v>Valid</x:v>
      </x:c>
      <x:c r="X27" s="8" t="str">
        <x:v>Standard</x:v>
      </x:c>
    </x:row>
    <x:row r="28" ht="38" customHeight="1">
      <x:c r="A28" s="1"/>
      <x:c r="B28" s="1"/>
      <x:c r="C28" s="8" t="str">
        <x:v>B020</x:v>
      </x:c>
      <x:c r="D28" s="9" t="str">
        <x:f>IF(C28="","",IFERROR(INDEX('Borrowers'!$D$9:$D$108,MATCH(C28,'Borrowers'!$C$9:$C$108,0)),""))</x:f>
        <x:v>Demo Delta Agriculture</x:v>
      </x:c>
      <x:c r="E28" s="9" t="str">
        <x:f>IF(C28="","",IFERROR(INDEX('Borrowers'!$E$9:$E$108,MATCH(C28,'Borrowers'!$C$9:$C$108,0)),""))</x:f>
        <x:v>Egypt</x:v>
      </x:c>
      <x:c r="F28" s="9" t="str">
        <x:f>IF(C28="","",IFERROR(INDEX('Borrowers'!$F$9:$F$108,MATCH(C28,'Borrowers'!$C$9:$C$108,0)),""))</x:f>
        <x:v>Agriculture</x:v>
      </x:c>
      <x:c r="G28" s="8" t="str">
        <x:v>High</x:v>
      </x:c>
      <x:c r="H28" s="8" t="str">
        <x:v>No</x:v>
      </x:c>
      <x:c r="I28" s="8" t="n">
        <x:v>71</x:v>
      </x:c>
      <x:c r="J28" s="8" t="n">
        <x:v>92</x:v>
      </x:c>
      <x:c r="K28" s="8" t="n">
        <x:v>79</x:v>
      </x:c>
      <x:c r="L28" s="8" t="str">
        <x:v>ESG analyst 2</x:v>
      </x:c>
      <x:c r="M28" s="10" t="n">
        <x:v>46266</x:v>
      </x:c>
      <x:c r="N28" s="10" t="n">
        <x:v>46631</x:v>
      </x:c>
      <x:c r="O28" s="8" t="str">
        <x:v>SYN-ESG-B020</x:v>
      </x:c>
      <x:c r="P28" s="37" t="n">
        <x:f>IF(C28="","",IF(AND(COUNT(I28:K28)=3,MIN(I28:K28)&gt;=0,MAX(I28:K28)&lt;=100,W28="Valid"),I28*IFERROR(INDEX('Taxonomy Rules'!$D$26:$D$37,MATCH(F28,'Taxonomy Rules'!$C$26:$C$37,0)),0)+J28*IFERROR(INDEX('Taxonomy Rules'!$E$26:$E$37,MATCH(F28,'Taxonomy Rules'!$C$26:$C$37,0)),0)+K28*IFERROR(INDEX('Taxonomy Rules'!$F$26:$F$37,MATCH(F28,'Taxonomy Rules'!$C$26:$C$37,0)),0),""))</x:f>
        <x:v>78.89999999999999</x:v>
      </x:c>
      <x:c r="Q28" s="3" t="str">
        <x:f>IF(C28="","",IF(ISNUMBER(P28),IF(P28&gt;=80,"Strong",IF(P28&gt;=60,"Developing","Weak")),"Unrated"))</x:f>
        <x:v>Developing</x:v>
      </x:c>
      <x:c r="R28" s="9" t="n">
        <x:f>IF(C28="","",COUNTIFS('Actions'!$D$9:$D$308,C28,'Actions'!$E$9:$E$308,"E&amp;S",'Actions'!$F$9:$F$308,"Critical",'Actions'!$P$9:$P$308,"&lt;&gt;Closed",'Actions'!$C$9:$C$308,"&lt;&gt;"))</x:f>
        <x:v>0</x:v>
      </x:c>
      <x:c r="S28" s="9" t="n">
        <x:f>IF(C28="","",COUNTIFS('Actions'!$D$9:$D$308,C28,'Actions'!$Q$9:$Q$308,"Overdue",'Actions'!$C$9:$C$308,"&lt;&gt;"))</x:f>
        <x:v>0</x:v>
      </x:c>
      <x:c r="T28" s="9" t="str">
        <x:f>IF(C28="","",IF(OR(COUNTIF($C$9:$C$108,C28)&lt;&gt;1,COUNTIF(Borrowers!$C$9:$C$108,C28)&lt;&gt;1),"Key review",IF(OR(L28="",O28="",NOT(OR(G28="High",G28="Moderate",G28="Low")),NOT(OR(H28="Yes",H28="No")),NOT(OR(X28="Standard",X28="Enhanced")),AND(G28="High",X28&lt;&gt;"Enhanced"),NOT(ISNUMBER(M28)),NOT(ISNUMBER(N28)),M28&gt;Settings!$F$8,N28&lt;M28,W28&lt;&gt;"Valid",NOT(ISNUMBER(P28)),COUNTIFS('Actions'!$D$9:$D$308,C28,'Actions'!$S$9:$S$308,"&lt;&gt;Valid",'Actions'!$C$9:$C$308,"&lt;&gt;")&gt;0),"Incomplete",IF(N28&lt;Settings!$F$8,"Expired","Current"))))</x:f>
        <x:v>Current</x:v>
      </x:c>
      <x:c r="U28" s="3" t="str">
        <x:f>IF(C28="","",IF(H28="Yes","Decline — prohibited",IF(R28&gt;0,"Hold — critical issue",IF(T28&lt;&gt;"Current","Hold — evidence",IF(V28&gt;0,"Conditions","Clear")))))</x:f>
        <x:v>Clear</x:v>
      </x:c>
      <x:c r="V28" s="9" t="n">
        <x:f>IF(C28="","",COUNTIFS('Actions'!$D$9:$D$308,C28,'Actions'!$E$9:$E$308,"E&amp;S",'Actions'!$P$9:$P$308,"&lt;&gt;Closed",'Actions'!$C$9:$C$308,"&lt;&gt;"))</x:f>
        <x:v>0</x:v>
      </x:c>
      <x:c r="W28" s="9" t="str">
        <x:f>IF(C28="","",IF(COUNTIF('Taxonomy Rules'!$C$26:$C$37,F28)&lt;&gt;1,"Sector missing",IF(AND(IFERROR(INDEX('Taxonomy Rules'!$D$26:$D$37,MATCH(F28,'Taxonomy Rules'!$C$26:$C$37,0)),0)&gt;=0,IFERROR(INDEX('Taxonomy Rules'!$E$26:$E$37,MATCH(F28,'Taxonomy Rules'!$C$26:$C$37,0)),0)&gt;=0,IFERROR(INDEX('Taxonomy Rules'!$F$26:$F$37,MATCH(F28,'Taxonomy Rules'!$C$26:$C$37,0)),0)&gt;=0,ABS(IFERROR(INDEX('Taxonomy Rules'!$D$26:$D$37,MATCH(F28,'Taxonomy Rules'!$C$26:$C$37,0)),0)+IFERROR(INDEX('Taxonomy Rules'!$E$26:$E$37,MATCH(F28,'Taxonomy Rules'!$C$26:$C$37,0)),0)+IFERROR(INDEX('Taxonomy Rules'!$F$26:$F$37,MATCH(F28,'Taxonomy Rules'!$C$26:$C$37,0)),0)-1)&lt;0.000001),"Valid","Check weights")))</x:f>
        <x:v>Valid</x:v>
      </x:c>
      <x:c r="X28" s="8" t="str">
        <x:v>Enhanced</x:v>
      </x:c>
    </x:row>
    <x:row r="29" ht="38" customHeight="1">
      <x:c r="A29" s="1"/>
      <x:c r="B29" s="1"/>
      <x:c r="C29" s="8" t="str">
        <x:v>B021</x:v>
      </x:c>
      <x:c r="D29" s="9" t="str">
        <x:f>IF(C29="","",IFERROR(INDEX('Borrowers'!$D$9:$D$108,MATCH(C29,'Borrowers'!$C$9:$C$108,0)),""))</x:f>
        <x:v>Demo Sinai Utilities</x:v>
      </x:c>
      <x:c r="E29" s="9" t="str">
        <x:f>IF(C29="","",IFERROR(INDEX('Borrowers'!$E$9:$E$108,MATCH(C29,'Borrowers'!$C$9:$C$108,0)),""))</x:f>
        <x:v>Egypt</x:v>
      </x:c>
      <x:c r="F29" s="9" t="str">
        <x:f>IF(C29="","",IFERROR(INDEX('Borrowers'!$F$9:$F$108,MATCH(C29,'Borrowers'!$C$9:$C$108,0)),""))</x:f>
        <x:v>Utilities</x:v>
      </x:c>
      <x:c r="G29" s="8" t="str">
        <x:v>High</x:v>
      </x:c>
      <x:c r="H29" s="8" t="str">
        <x:v>No</x:v>
      </x:c>
      <x:c r="I29" s="8" t="n">
        <x:v>78</x:v>
      </x:c>
      <x:c r="J29" s="8" t="n">
        <x:v>68</x:v>
      </x:c>
      <x:c r="K29" s="8" t="n">
        <x:v>84</x:v>
      </x:c>
      <x:c r="L29" s="8" t="str">
        <x:v>ESG analyst 3</x:v>
      </x:c>
      <x:c r="M29" s="10" t="n">
        <x:v>46266</x:v>
      </x:c>
      <x:c r="N29" s="10" t="n">
        <x:v>46631</x:v>
      </x:c>
      <x:c r="O29" s="8" t="str">
        <x:v>SYN-ESG-B021</x:v>
      </x:c>
      <x:c r="P29" s="37" t="n">
        <x:f>IF(C29="","",IF(AND(COUNT(I29:K29)=3,MIN(I29:K29)&gt;=0,MAX(I29:K29)&lt;=100,W29="Valid"),I29*IFERROR(INDEX('Taxonomy Rules'!$D$26:$D$37,MATCH(F29,'Taxonomy Rules'!$C$26:$C$37,0)),0)+J29*IFERROR(INDEX('Taxonomy Rules'!$E$26:$E$37,MATCH(F29,'Taxonomy Rules'!$C$26:$C$37,0)),0)+K29*IFERROR(INDEX('Taxonomy Rules'!$F$26:$F$37,MATCH(F29,'Taxonomy Rules'!$C$26:$C$37,0)),0),""))</x:f>
        <x:v>76.7</x:v>
      </x:c>
      <x:c r="Q29" s="3" t="str">
        <x:f>IF(C29="","",IF(ISNUMBER(P29),IF(P29&gt;=80,"Strong",IF(P29&gt;=60,"Developing","Weak")),"Unrated"))</x:f>
        <x:v>Developing</x:v>
      </x:c>
      <x:c r="R29" s="9" t="n">
        <x:f>IF(C29="","",COUNTIFS('Actions'!$D$9:$D$308,C29,'Actions'!$E$9:$E$308,"E&amp;S",'Actions'!$F$9:$F$308,"Critical",'Actions'!$P$9:$P$308,"&lt;&gt;Closed",'Actions'!$C$9:$C$308,"&lt;&gt;"))</x:f>
        <x:v>0</x:v>
      </x:c>
      <x:c r="S29" s="9" t="n">
        <x:f>IF(C29="","",COUNTIFS('Actions'!$D$9:$D$308,C29,'Actions'!$Q$9:$Q$308,"Overdue",'Actions'!$C$9:$C$308,"&lt;&gt;"))</x:f>
        <x:v>1</x:v>
      </x:c>
      <x:c r="T29" s="9" t="str">
        <x:f>IF(C29="","",IF(OR(COUNTIF($C$9:$C$108,C29)&lt;&gt;1,COUNTIF(Borrowers!$C$9:$C$108,C29)&lt;&gt;1),"Key review",IF(OR(L29="",O29="",NOT(OR(G29="High",G29="Moderate",G29="Low")),NOT(OR(H29="Yes",H29="No")),NOT(OR(X29="Standard",X29="Enhanced")),AND(G29="High",X29&lt;&gt;"Enhanced"),NOT(ISNUMBER(M29)),NOT(ISNUMBER(N29)),M29&gt;Settings!$F$8,N29&lt;M29,W29&lt;&gt;"Valid",NOT(ISNUMBER(P29)),COUNTIFS('Actions'!$D$9:$D$308,C29,'Actions'!$S$9:$S$308,"&lt;&gt;Valid",'Actions'!$C$9:$C$308,"&lt;&gt;")&gt;0),"Incomplete",IF(N29&lt;Settings!$F$8,"Expired","Current"))))</x:f>
        <x:v>Current</x:v>
      </x:c>
      <x:c r="U29" s="3" t="str">
        <x:f>IF(C29="","",IF(H29="Yes","Decline — prohibited",IF(R29&gt;0,"Hold — critical issue",IF(T29&lt;&gt;"Current","Hold — evidence",IF(V29&gt;0,"Conditions","Clear")))))</x:f>
        <x:v>Conditions</x:v>
      </x:c>
      <x:c r="V29" s="9" t="n">
        <x:f>IF(C29="","",COUNTIFS('Actions'!$D$9:$D$308,C29,'Actions'!$E$9:$E$308,"E&amp;S",'Actions'!$P$9:$P$308,"&lt;&gt;Closed",'Actions'!$C$9:$C$308,"&lt;&gt;"))</x:f>
        <x:v>1</x:v>
      </x:c>
      <x:c r="W29" s="9" t="str">
        <x:f>IF(C29="","",IF(COUNTIF('Taxonomy Rules'!$C$26:$C$37,F29)&lt;&gt;1,"Sector missing",IF(AND(IFERROR(INDEX('Taxonomy Rules'!$D$26:$D$37,MATCH(F29,'Taxonomy Rules'!$C$26:$C$37,0)),0)&gt;=0,IFERROR(INDEX('Taxonomy Rules'!$E$26:$E$37,MATCH(F29,'Taxonomy Rules'!$C$26:$C$37,0)),0)&gt;=0,IFERROR(INDEX('Taxonomy Rules'!$F$26:$F$37,MATCH(F29,'Taxonomy Rules'!$C$26:$C$37,0)),0)&gt;=0,ABS(IFERROR(INDEX('Taxonomy Rules'!$D$26:$D$37,MATCH(F29,'Taxonomy Rules'!$C$26:$C$37,0)),0)+IFERROR(INDEX('Taxonomy Rules'!$E$26:$E$37,MATCH(F29,'Taxonomy Rules'!$C$26:$C$37,0)),0)+IFERROR(INDEX('Taxonomy Rules'!$F$26:$F$37,MATCH(F29,'Taxonomy Rules'!$C$26:$C$37,0)),0)-1)&lt;0.000001),"Valid","Check weights")))</x:f>
        <x:v>Valid</x:v>
      </x:c>
      <x:c r="X29" s="8" t="str">
        <x:v>Enhanced</x:v>
      </x:c>
    </x:row>
    <x:row r="30" ht="38" customHeight="1">
      <x:c r="A30" s="1"/>
      <x:c r="B30" s="1"/>
      <x:c r="C30" s="8" t="str">
        <x:v>B022</x:v>
      </x:c>
      <x:c r="D30" s="9" t="str">
        <x:f>IF(C30="","",IFERROR(INDEX('Borrowers'!$D$9:$D$108,MATCH(C30,'Borrowers'!$C$9:$C$108,0)),""))</x:f>
        <x:v>Demo Petra Manufacturing</x:v>
      </x:c>
      <x:c r="E30" s="9" t="str">
        <x:f>IF(C30="","",IFERROR(INDEX('Borrowers'!$E$9:$E$108,MATCH(C30,'Borrowers'!$C$9:$C$108,0)),""))</x:f>
        <x:v>Jordan</x:v>
      </x:c>
      <x:c r="F30" s="9" t="str">
        <x:f>IF(C30="","",IFERROR(INDEX('Borrowers'!$F$9:$F$108,MATCH(C30,'Borrowers'!$C$9:$C$108,0)),""))</x:f>
        <x:v>Manufacturing</x:v>
      </x:c>
      <x:c r="G30" s="8" t="str">
        <x:v>Moderate</x:v>
      </x:c>
      <x:c r="H30" s="8" t="str">
        <x:v>No</x:v>
      </x:c>
      <x:c r="I30" s="8" t="n">
        <x:v>85</x:v>
      </x:c>
      <x:c r="J30" s="8" t="n">
        <x:v>79</x:v>
      </x:c>
      <x:c r="K30" s="8" t="n">
        <x:v>89</x:v>
      </x:c>
      <x:c r="L30" s="8" t="str">
        <x:v>ESG analyst 1</x:v>
      </x:c>
      <x:c r="M30" s="10" t="n">
        <x:v>46266</x:v>
      </x:c>
      <x:c r="N30" s="10" t="n">
        <x:v>46631</x:v>
      </x:c>
      <x:c r="O30" s="8" t="str">
        <x:v>SYN-ESG-B022</x:v>
      </x:c>
      <x:c r="P30" s="37" t="n">
        <x:f>IF(C30="","",IF(AND(COUNT(I30:K30)=3,MIN(I30:K30)&gt;=0,MAX(I30:K30)&lt;=100,W30="Valid"),I30*IFERROR(INDEX('Taxonomy Rules'!$D$26:$D$37,MATCH(F30,'Taxonomy Rules'!$C$26:$C$37,0)),0)+J30*IFERROR(INDEX('Taxonomy Rules'!$E$26:$E$37,MATCH(F30,'Taxonomy Rules'!$C$26:$C$37,0)),0)+K30*IFERROR(INDEX('Taxonomy Rules'!$F$26:$F$37,MATCH(F30,'Taxonomy Rules'!$C$26:$C$37,0)),0),""))</x:f>
        <x:v>84.2</x:v>
      </x:c>
      <x:c r="Q30" s="3" t="str">
        <x:f>IF(C30="","",IF(ISNUMBER(P30),IF(P30&gt;=80,"Strong",IF(P30&gt;=60,"Developing","Weak")),"Unrated"))</x:f>
        <x:v>Strong</x:v>
      </x:c>
      <x:c r="R30" s="9" t="n">
        <x:f>IF(C30="","",COUNTIFS('Actions'!$D$9:$D$308,C30,'Actions'!$E$9:$E$308,"E&amp;S",'Actions'!$F$9:$F$308,"Critical",'Actions'!$P$9:$P$308,"&lt;&gt;Closed",'Actions'!$C$9:$C$308,"&lt;&gt;"))</x:f>
        <x:v>0</x:v>
      </x:c>
      <x:c r="S30" s="9" t="n">
        <x:f>IF(C30="","",COUNTIFS('Actions'!$D$9:$D$308,C30,'Actions'!$Q$9:$Q$308,"Overdue",'Actions'!$C$9:$C$308,"&lt;&gt;"))</x:f>
        <x:v>0</x:v>
      </x:c>
      <x:c r="T30" s="9" t="str">
        <x:f>IF(C30="","",IF(OR(COUNTIF($C$9:$C$108,C30)&lt;&gt;1,COUNTIF(Borrowers!$C$9:$C$108,C30)&lt;&gt;1),"Key review",IF(OR(L30="",O30="",NOT(OR(G30="High",G30="Moderate",G30="Low")),NOT(OR(H30="Yes",H30="No")),NOT(OR(X30="Standard",X30="Enhanced")),AND(G30="High",X30&lt;&gt;"Enhanced"),NOT(ISNUMBER(M30)),NOT(ISNUMBER(N30)),M30&gt;Settings!$F$8,N30&lt;M30,W30&lt;&gt;"Valid",NOT(ISNUMBER(P30)),COUNTIFS('Actions'!$D$9:$D$308,C30,'Actions'!$S$9:$S$308,"&lt;&gt;Valid",'Actions'!$C$9:$C$308,"&lt;&gt;")&gt;0),"Incomplete",IF(N30&lt;Settings!$F$8,"Expired","Current"))))</x:f>
        <x:v>Current</x:v>
      </x:c>
      <x:c r="U30" s="3" t="str">
        <x:f>IF(C30="","",IF(H30="Yes","Decline — prohibited",IF(R30&gt;0,"Hold — critical issue",IF(T30&lt;&gt;"Current","Hold — evidence",IF(V30&gt;0,"Conditions","Clear")))))</x:f>
        <x:v>Conditions</x:v>
      </x:c>
      <x:c r="V30" s="9" t="n">
        <x:f>IF(C30="","",COUNTIFS('Actions'!$D$9:$D$308,C30,'Actions'!$E$9:$E$308,"E&amp;S",'Actions'!$P$9:$P$308,"&lt;&gt;Closed",'Actions'!$C$9:$C$308,"&lt;&gt;"))</x:f>
        <x:v>1</x:v>
      </x:c>
      <x:c r="W30" s="9" t="str">
        <x:f>IF(C30="","",IF(COUNTIF('Taxonomy Rules'!$C$26:$C$37,F30)&lt;&gt;1,"Sector missing",IF(AND(IFERROR(INDEX('Taxonomy Rules'!$D$26:$D$37,MATCH(F30,'Taxonomy Rules'!$C$26:$C$37,0)),0)&gt;=0,IFERROR(INDEX('Taxonomy Rules'!$E$26:$E$37,MATCH(F30,'Taxonomy Rules'!$C$26:$C$37,0)),0)&gt;=0,IFERROR(INDEX('Taxonomy Rules'!$F$26:$F$37,MATCH(F30,'Taxonomy Rules'!$C$26:$C$37,0)),0)&gt;=0,ABS(IFERROR(INDEX('Taxonomy Rules'!$D$26:$D$37,MATCH(F30,'Taxonomy Rules'!$C$26:$C$37,0)),0)+IFERROR(INDEX('Taxonomy Rules'!$E$26:$E$37,MATCH(F30,'Taxonomy Rules'!$C$26:$C$37,0)),0)+IFERROR(INDEX('Taxonomy Rules'!$F$26:$F$37,MATCH(F30,'Taxonomy Rules'!$C$26:$C$37,0)),0)-1)&lt;0.000001),"Valid","Check weights")))</x:f>
        <x:v>Valid</x:v>
      </x:c>
      <x:c r="X30" s="8" t="str">
        <x:v>Standard</x:v>
      </x:c>
    </x:row>
    <x:row r="31" ht="38" customHeight="1">
      <x:c r="A31" s="1"/>
      <x:c r="B31" s="1"/>
      <x:c r="C31" s="8" t="str">
        <x:v>B023</x:v>
      </x:c>
      <x:c r="D31" s="9" t="str">
        <x:f>IF(C31="","",IFERROR(INDEX('Borrowers'!$D$9:$D$108,MATCH(C31,'Borrowers'!$C$9:$C$108,0)),""))</x:f>
        <x:v>Demo Gulf Technology</x:v>
      </x:c>
      <x:c r="E31" s="9" t="str">
        <x:f>IF(C31="","",IFERROR(INDEX('Borrowers'!$E$9:$E$108,MATCH(C31,'Borrowers'!$C$9:$C$108,0)),""))</x:f>
        <x:v>UAE</x:v>
      </x:c>
      <x:c r="F31" s="9" t="str">
        <x:f>IF(C31="","",IFERROR(INDEX('Borrowers'!$F$9:$F$108,MATCH(C31,'Borrowers'!$C$9:$C$108,0)),""))</x:f>
        <x:v>Technology</x:v>
      </x:c>
      <x:c r="G31" s="8" t="str">
        <x:v>Moderate</x:v>
      </x:c>
      <x:c r="H31" s="8" t="str">
        <x:v>No</x:v>
      </x:c>
      <x:c r="I31" s="8" t="n">
        <x:v>92</x:v>
      </x:c>
      <x:c r="J31" s="8" t="n">
        <x:v>90</x:v>
      </x:c>
      <x:c r="K31" s="8" t="n">
        <x:v>67</x:v>
      </x:c>
      <x:c r="L31" s="8" t="str">
        <x:v>ESG analyst 2</x:v>
      </x:c>
      <x:c r="M31" s="10" t="n">
        <x:v>46266</x:v>
      </x:c>
      <x:c r="N31" s="10" t="n">
        <x:v>46631</x:v>
      </x:c>
      <x:c r="O31" s="8" t="str">
        <x:v>SYN-ESG-B023</x:v>
      </x:c>
      <x:c r="P31" s="37" t="n">
        <x:f>IF(C31="","",IF(AND(COUNT(I31:K31)=3,MIN(I31:K31)&gt;=0,MAX(I31:K31)&lt;=100,W31="Valid"),I31*IFERROR(INDEX('Taxonomy Rules'!$D$26:$D$37,MATCH(F31,'Taxonomy Rules'!$C$26:$C$37,0)),0)+J31*IFERROR(INDEX('Taxonomy Rules'!$E$26:$E$37,MATCH(F31,'Taxonomy Rules'!$C$26:$C$37,0)),0)+K31*IFERROR(INDEX('Taxonomy Rules'!$F$26:$F$37,MATCH(F31,'Taxonomy Rules'!$C$26:$C$37,0)),0),""))</x:f>
        <x:v>81.2</x:v>
      </x:c>
      <x:c r="Q31" s="3" t="str">
        <x:f>IF(C31="","",IF(ISNUMBER(P31),IF(P31&gt;=80,"Strong",IF(P31&gt;=60,"Developing","Weak")),"Unrated"))</x:f>
        <x:v>Strong</x:v>
      </x:c>
      <x:c r="R31" s="9" t="n">
        <x:f>IF(C31="","",COUNTIFS('Actions'!$D$9:$D$308,C31,'Actions'!$E$9:$E$308,"E&amp;S",'Actions'!$F$9:$F$308,"Critical",'Actions'!$P$9:$P$308,"&lt;&gt;Closed",'Actions'!$C$9:$C$308,"&lt;&gt;"))</x:f>
        <x:v>0</x:v>
      </x:c>
      <x:c r="S31" s="9" t="n">
        <x:f>IF(C31="","",COUNTIFS('Actions'!$D$9:$D$308,C31,'Actions'!$Q$9:$Q$308,"Overdue",'Actions'!$C$9:$C$308,"&lt;&gt;"))</x:f>
        <x:v>0</x:v>
      </x:c>
      <x:c r="T31" s="9" t="str">
        <x:f>IF(C31="","",IF(OR(COUNTIF($C$9:$C$108,C31)&lt;&gt;1,COUNTIF(Borrowers!$C$9:$C$108,C31)&lt;&gt;1),"Key review",IF(OR(L31="",O31="",NOT(OR(G31="High",G31="Moderate",G31="Low")),NOT(OR(H31="Yes",H31="No")),NOT(OR(X31="Standard",X31="Enhanced")),AND(G31="High",X31&lt;&gt;"Enhanced"),NOT(ISNUMBER(M31)),NOT(ISNUMBER(N31)),M31&gt;Settings!$F$8,N31&lt;M31,W31&lt;&gt;"Valid",NOT(ISNUMBER(P31)),COUNTIFS('Actions'!$D$9:$D$308,C31,'Actions'!$S$9:$S$308,"&lt;&gt;Valid",'Actions'!$C$9:$C$308,"&lt;&gt;")&gt;0),"Incomplete",IF(N31&lt;Settings!$F$8,"Expired","Current"))))</x:f>
        <x:v>Current</x:v>
      </x:c>
      <x:c r="U31" s="3" t="str">
        <x:f>IF(C31="","",IF(H31="Yes","Decline — prohibited",IF(R31&gt;0,"Hold — critical issue",IF(T31&lt;&gt;"Current","Hold — evidence",IF(V31&gt;0,"Conditions","Clear")))))</x:f>
        <x:v>Clear</x:v>
      </x:c>
      <x:c r="V31" s="9" t="n">
        <x:f>IF(C31="","",COUNTIFS('Actions'!$D$9:$D$308,C31,'Actions'!$E$9:$E$308,"E&amp;S",'Actions'!$P$9:$P$308,"&lt;&gt;Closed",'Actions'!$C$9:$C$308,"&lt;&gt;"))</x:f>
        <x:v>0</x:v>
      </x:c>
      <x:c r="W31" s="9" t="str">
        <x:f>IF(C31="","",IF(COUNTIF('Taxonomy Rules'!$C$26:$C$37,F31)&lt;&gt;1,"Sector missing",IF(AND(IFERROR(INDEX('Taxonomy Rules'!$D$26:$D$37,MATCH(F31,'Taxonomy Rules'!$C$26:$C$37,0)),0)&gt;=0,IFERROR(INDEX('Taxonomy Rules'!$E$26:$E$37,MATCH(F31,'Taxonomy Rules'!$C$26:$C$37,0)),0)&gt;=0,IFERROR(INDEX('Taxonomy Rules'!$F$26:$F$37,MATCH(F31,'Taxonomy Rules'!$C$26:$C$37,0)),0)&gt;=0,ABS(IFERROR(INDEX('Taxonomy Rules'!$D$26:$D$37,MATCH(F31,'Taxonomy Rules'!$C$26:$C$37,0)),0)+IFERROR(INDEX('Taxonomy Rules'!$E$26:$E$37,MATCH(F31,'Taxonomy Rules'!$C$26:$C$37,0)),0)+IFERROR(INDEX('Taxonomy Rules'!$F$26:$F$37,MATCH(F31,'Taxonomy Rules'!$C$26:$C$37,0)),0)-1)&lt;0.000001),"Valid","Check weights")))</x:f>
        <x:v>Valid</x:v>
      </x:c>
      <x:c r="X31" s="8" t="str">
        <x:v>Standard</x:v>
      </x:c>
    </x:row>
    <x:row r="32" ht="38" customHeight="1">
      <x:c r="A32" s="1"/>
      <x:c r="B32" s="1"/>
      <x:c r="C32" s="8" t="str">
        <x:v>B024</x:v>
      </x:c>
      <x:c r="D32" s="9" t="str">
        <x:f>IF(C32="","",IFERROR(INDEX('Borrowers'!$D$9:$D$108,MATCH(C32,'Borrowers'!$C$9:$C$108,0)),""))</x:f>
        <x:v>Demo Cairo Mobility</x:v>
      </x:c>
      <x:c r="E32" s="9" t="str">
        <x:f>IF(C32="","",IFERROR(INDEX('Borrowers'!$E$9:$E$108,MATCH(C32,'Borrowers'!$C$9:$C$108,0)),""))</x:f>
        <x:v>Egypt</x:v>
      </x:c>
      <x:c r="F32" s="9" t="str">
        <x:f>IF(C32="","",IFERROR(INDEX('Borrowers'!$F$9:$F$108,MATCH(C32,'Borrowers'!$C$9:$C$108,0)),""))</x:f>
        <x:v>Transport</x:v>
      </x:c>
      <x:c r="G32" s="8" t="str">
        <x:v>High</x:v>
      </x:c>
      <x:c r="H32" s="8" t="str">
        <x:v>No</x:v>
      </x:c>
      <x:c r="I32" s="8" t="n">
        <x:v>68</x:v>
      </x:c>
      <x:c r="J32" s="8" t="n">
        <x:v>66</x:v>
      </x:c>
      <x:c r="K32" s="8" t="n">
        <x:v>72</x:v>
      </x:c>
      <x:c r="L32" s="8" t="str">
        <x:v>ESG analyst 3</x:v>
      </x:c>
      <x:c r="M32" s="10" t="n">
        <x:v>46266</x:v>
      </x:c>
      <x:c r="N32" s="10" t="n">
        <x:v>46631</x:v>
      </x:c>
      <x:c r="O32" s="8" t="str">
        <x:v>SYN-ESG-B024</x:v>
      </x:c>
      <x:c r="P32" s="37" t="n">
        <x:f>IF(C32="","",IF(AND(COUNT(I32:K32)=3,MIN(I32:K32)&gt;=0,MAX(I32:K32)&lt;=100,W32="Valid"),I32*IFERROR(INDEX('Taxonomy Rules'!$D$26:$D$37,MATCH(F32,'Taxonomy Rules'!$C$26:$C$37,0)),0)+J32*IFERROR(INDEX('Taxonomy Rules'!$E$26:$E$37,MATCH(F32,'Taxonomy Rules'!$C$26:$C$37,0)),0)+K32*IFERROR(INDEX('Taxonomy Rules'!$F$26:$F$37,MATCH(F32,'Taxonomy Rules'!$C$26:$C$37,0)),0),""))</x:f>
        <x:v>68.4</x:v>
      </x:c>
      <x:c r="Q32" s="3" t="str">
        <x:f>IF(C32="","",IF(ISNUMBER(P32),IF(P32&gt;=80,"Strong",IF(P32&gt;=60,"Developing","Weak")),"Unrated"))</x:f>
        <x:v>Developing</x:v>
      </x:c>
      <x:c r="R32" s="9" t="n">
        <x:f>IF(C32="","",COUNTIFS('Actions'!$D$9:$D$308,C32,'Actions'!$E$9:$E$308,"E&amp;S",'Actions'!$F$9:$F$308,"Critical",'Actions'!$P$9:$P$308,"&lt;&gt;Closed",'Actions'!$C$9:$C$308,"&lt;&gt;"))</x:f>
        <x:v>0</x:v>
      </x:c>
      <x:c r="S32" s="9" t="n">
        <x:f>IF(C32="","",COUNTIFS('Actions'!$D$9:$D$308,C32,'Actions'!$Q$9:$Q$308,"Overdue",'Actions'!$C$9:$C$308,"&lt;&gt;"))</x:f>
        <x:v>0</x:v>
      </x:c>
      <x:c r="T32" s="9" t="str">
        <x:f>IF(C32="","",IF(OR(COUNTIF($C$9:$C$108,C32)&lt;&gt;1,COUNTIF(Borrowers!$C$9:$C$108,C32)&lt;&gt;1),"Key review",IF(OR(L32="",O32="",NOT(OR(G32="High",G32="Moderate",G32="Low")),NOT(OR(H32="Yes",H32="No")),NOT(OR(X32="Standard",X32="Enhanced")),AND(G32="High",X32&lt;&gt;"Enhanced"),NOT(ISNUMBER(M32)),NOT(ISNUMBER(N32)),M32&gt;Settings!$F$8,N32&lt;M32,W32&lt;&gt;"Valid",NOT(ISNUMBER(P32)),COUNTIFS('Actions'!$D$9:$D$308,C32,'Actions'!$S$9:$S$308,"&lt;&gt;Valid",'Actions'!$C$9:$C$308,"&lt;&gt;")&gt;0),"Incomplete",IF(N32&lt;Settings!$F$8,"Expired","Current"))))</x:f>
        <x:v>Current</x:v>
      </x:c>
      <x:c r="U32" s="3" t="str">
        <x:f>IF(C32="","",IF(H32="Yes","Decline — prohibited",IF(R32&gt;0,"Hold — critical issue",IF(T32&lt;&gt;"Current","Hold — evidence",IF(V32&gt;0,"Conditions","Clear")))))</x:f>
        <x:v>Conditions</x:v>
      </x:c>
      <x:c r="V32" s="9" t="n">
        <x:f>IF(C32="","",COUNTIFS('Actions'!$D$9:$D$308,C32,'Actions'!$E$9:$E$308,"E&amp;S",'Actions'!$P$9:$P$308,"&lt;&gt;Closed",'Actions'!$C$9:$C$308,"&lt;&gt;"))</x:f>
        <x:v>1</x:v>
      </x:c>
      <x:c r="W32" s="9" t="str">
        <x:f>IF(C32="","",IF(COUNTIF('Taxonomy Rules'!$C$26:$C$37,F32)&lt;&gt;1,"Sector missing",IF(AND(IFERROR(INDEX('Taxonomy Rules'!$D$26:$D$37,MATCH(F32,'Taxonomy Rules'!$C$26:$C$37,0)),0)&gt;=0,IFERROR(INDEX('Taxonomy Rules'!$E$26:$E$37,MATCH(F32,'Taxonomy Rules'!$C$26:$C$37,0)),0)&gt;=0,IFERROR(INDEX('Taxonomy Rules'!$F$26:$F$37,MATCH(F32,'Taxonomy Rules'!$C$26:$C$37,0)),0)&gt;=0,ABS(IFERROR(INDEX('Taxonomy Rules'!$D$26:$D$37,MATCH(F32,'Taxonomy Rules'!$C$26:$C$37,0)),0)+IFERROR(INDEX('Taxonomy Rules'!$E$26:$E$37,MATCH(F32,'Taxonomy Rules'!$C$26:$C$37,0)),0)+IFERROR(INDEX('Taxonomy Rules'!$F$26:$F$37,MATCH(F32,'Taxonomy Rules'!$C$26:$C$37,0)),0)-1)&lt;0.000001),"Valid","Check weights")))</x:f>
        <x:v>Valid</x:v>
      </x:c>
      <x:c r="X32" s="8" t="str">
        <x:v>Enhanced</x:v>
      </x:c>
    </x:row>
    <x:row r="33" ht="38" customHeight="1">
      <x:c r="A33" s="1"/>
      <x:c r="B33" s="1"/>
      <x:c r="C33" s="8"/>
      <x:c r="D33" s="9" t="str">
        <x:f>IF(C33="","",IFERROR(INDEX('Borrowers'!$D$9:$D$108,MATCH(C33,'Borrowers'!$C$9:$C$108,0)),""))</x:f>
      </x:c>
      <x:c r="E33" s="9" t="str">
        <x:f>IF(C33="","",IFERROR(INDEX('Borrowers'!$E$9:$E$108,MATCH(C33,'Borrowers'!$C$9:$C$108,0)),""))</x:f>
      </x:c>
      <x:c r="F33" s="9" t="str">
        <x:f>IF(C33="","",IFERROR(INDEX('Borrowers'!$F$9:$F$108,MATCH(C33,'Borrowers'!$C$9:$C$108,0)),""))</x:f>
      </x:c>
      <x:c r="G33" s="8"/>
      <x:c r="H33" s="8"/>
      <x:c r="I33" s="8"/>
      <x:c r="J33" s="8"/>
      <x:c r="K33" s="8"/>
      <x:c r="L33" s="8"/>
      <x:c r="M33" s="10"/>
      <x:c r="N33" s="10"/>
      <x:c r="O33" s="8"/>
      <x:c r="P33" s="37" t="str">
        <x:f>IF(C33="","",IF(AND(COUNT(I33:K33)=3,MIN(I33:K33)&gt;=0,MAX(I33:K33)&lt;=100,W33="Valid"),I33*IFERROR(INDEX('Taxonomy Rules'!$D$26:$D$37,MATCH(F33,'Taxonomy Rules'!$C$26:$C$37,0)),0)+J33*IFERROR(INDEX('Taxonomy Rules'!$E$26:$E$37,MATCH(F33,'Taxonomy Rules'!$C$26:$C$37,0)),0)+K33*IFERROR(INDEX('Taxonomy Rules'!$F$26:$F$37,MATCH(F33,'Taxonomy Rules'!$C$26:$C$37,0)),0),""))</x:f>
      </x:c>
      <x:c r="Q33" s="3" t="str">
        <x:f>IF(C33="","",IF(ISNUMBER(P33),IF(P33&gt;=80,"Strong",IF(P33&gt;=60,"Developing","Weak")),"Unrated"))</x:f>
      </x:c>
      <x:c r="R33" s="9" t="str">
        <x:f>IF(C33="","",COUNTIFS('Actions'!$D$9:$D$308,C33,'Actions'!$E$9:$E$308,"E&amp;S",'Actions'!$F$9:$F$308,"Critical",'Actions'!$P$9:$P$308,"&lt;&gt;Closed",'Actions'!$C$9:$C$308,"&lt;&gt;"))</x:f>
      </x:c>
      <x:c r="S33" s="9" t="str">
        <x:f>IF(C33="","",COUNTIFS('Actions'!$D$9:$D$308,C33,'Actions'!$Q$9:$Q$308,"Overdue",'Actions'!$C$9:$C$308,"&lt;&gt;"))</x:f>
      </x:c>
      <x:c r="T33" s="9" t="str">
        <x:f>IF(C33="","",IF(OR(COUNTIF($C$9:$C$108,C33)&lt;&gt;1,COUNTIF(Borrowers!$C$9:$C$108,C33)&lt;&gt;1),"Key review",IF(OR(L33="",O33="",NOT(OR(G33="High",G33="Moderate",G33="Low")),NOT(OR(H33="Yes",H33="No")),NOT(OR(X33="Standard",X33="Enhanced")),AND(G33="High",X33&lt;&gt;"Enhanced"),NOT(ISNUMBER(M33)),NOT(ISNUMBER(N33)),M33&gt;Settings!$F$8,N33&lt;M33,W33&lt;&gt;"Valid",NOT(ISNUMBER(P33)),COUNTIFS('Actions'!$D$9:$D$308,C33,'Actions'!$S$9:$S$308,"&lt;&gt;Valid",'Actions'!$C$9:$C$308,"&lt;&gt;")&gt;0),"Incomplete",IF(N33&lt;Settings!$F$8,"Expired","Current"))))</x:f>
      </x:c>
      <x:c r="U33" s="3" t="str">
        <x:f>IF(C33="","",IF(H33="Yes","Decline — prohibited",IF(R33&gt;0,"Hold — critical issue",IF(T33&lt;&gt;"Current","Hold — evidence",IF(V33&gt;0,"Conditions","Clear")))))</x:f>
      </x:c>
      <x:c r="V33" s="9" t="str">
        <x:f>IF(C33="","",COUNTIFS('Actions'!$D$9:$D$308,C33,'Actions'!$E$9:$E$308,"E&amp;S",'Actions'!$P$9:$P$308,"&lt;&gt;Closed",'Actions'!$C$9:$C$308,"&lt;&gt;"))</x:f>
      </x:c>
      <x:c r="W33" s="9" t="str">
        <x:f>IF(C33="","",IF(COUNTIF('Taxonomy Rules'!$C$26:$C$37,F33)&lt;&gt;1,"Sector missing",IF(AND(IFERROR(INDEX('Taxonomy Rules'!$D$26:$D$37,MATCH(F33,'Taxonomy Rules'!$C$26:$C$37,0)),0)&gt;=0,IFERROR(INDEX('Taxonomy Rules'!$E$26:$E$37,MATCH(F33,'Taxonomy Rules'!$C$26:$C$37,0)),0)&gt;=0,IFERROR(INDEX('Taxonomy Rules'!$F$26:$F$37,MATCH(F33,'Taxonomy Rules'!$C$26:$C$37,0)),0)&gt;=0,ABS(IFERROR(INDEX('Taxonomy Rules'!$D$26:$D$37,MATCH(F33,'Taxonomy Rules'!$C$26:$C$37,0)),0)+IFERROR(INDEX('Taxonomy Rules'!$E$26:$E$37,MATCH(F33,'Taxonomy Rules'!$C$26:$C$37,0)),0)+IFERROR(INDEX('Taxonomy Rules'!$F$26:$F$37,MATCH(F33,'Taxonomy Rules'!$C$26:$C$37,0)),0)-1)&lt;0.000001),"Valid","Check weights")))</x:f>
      </x:c>
      <x:c r="X33" s="8"/>
    </x:row>
    <x:row r="34" ht="38" customHeight="1">
      <x:c r="A34" s="1"/>
      <x:c r="B34" s="1"/>
      <x:c r="C34" s="8"/>
      <x:c r="D34" s="9" t="str">
        <x:f>IF(C34="","",IFERROR(INDEX('Borrowers'!$D$9:$D$108,MATCH(C34,'Borrowers'!$C$9:$C$108,0)),""))</x:f>
      </x:c>
      <x:c r="E34" s="9" t="str">
        <x:f>IF(C34="","",IFERROR(INDEX('Borrowers'!$E$9:$E$108,MATCH(C34,'Borrowers'!$C$9:$C$108,0)),""))</x:f>
      </x:c>
      <x:c r="F34" s="9" t="str">
        <x:f>IF(C34="","",IFERROR(INDEX('Borrowers'!$F$9:$F$108,MATCH(C34,'Borrowers'!$C$9:$C$108,0)),""))</x:f>
      </x:c>
      <x:c r="G34" s="8"/>
      <x:c r="H34" s="8"/>
      <x:c r="I34" s="8"/>
      <x:c r="J34" s="8"/>
      <x:c r="K34" s="8"/>
      <x:c r="L34" s="8"/>
      <x:c r="M34" s="10"/>
      <x:c r="N34" s="10"/>
      <x:c r="O34" s="8"/>
      <x:c r="P34" s="37" t="str">
        <x:f>IF(C34="","",IF(AND(COUNT(I34:K34)=3,MIN(I34:K34)&gt;=0,MAX(I34:K34)&lt;=100,W34="Valid"),I34*IFERROR(INDEX('Taxonomy Rules'!$D$26:$D$37,MATCH(F34,'Taxonomy Rules'!$C$26:$C$37,0)),0)+J34*IFERROR(INDEX('Taxonomy Rules'!$E$26:$E$37,MATCH(F34,'Taxonomy Rules'!$C$26:$C$37,0)),0)+K34*IFERROR(INDEX('Taxonomy Rules'!$F$26:$F$37,MATCH(F34,'Taxonomy Rules'!$C$26:$C$37,0)),0),""))</x:f>
      </x:c>
      <x:c r="Q34" s="3" t="str">
        <x:f>IF(C34="","",IF(ISNUMBER(P34),IF(P34&gt;=80,"Strong",IF(P34&gt;=60,"Developing","Weak")),"Unrated"))</x:f>
      </x:c>
      <x:c r="R34" s="9" t="str">
        <x:f>IF(C34="","",COUNTIFS('Actions'!$D$9:$D$308,C34,'Actions'!$E$9:$E$308,"E&amp;S",'Actions'!$F$9:$F$308,"Critical",'Actions'!$P$9:$P$308,"&lt;&gt;Closed",'Actions'!$C$9:$C$308,"&lt;&gt;"))</x:f>
      </x:c>
      <x:c r="S34" s="9" t="str">
        <x:f>IF(C34="","",COUNTIFS('Actions'!$D$9:$D$308,C34,'Actions'!$Q$9:$Q$308,"Overdue",'Actions'!$C$9:$C$308,"&lt;&gt;"))</x:f>
      </x:c>
      <x:c r="T34" s="9" t="str">
        <x:f>IF(C34="","",IF(OR(COUNTIF($C$9:$C$108,C34)&lt;&gt;1,COUNTIF(Borrowers!$C$9:$C$108,C34)&lt;&gt;1),"Key review",IF(OR(L34="",O34="",NOT(OR(G34="High",G34="Moderate",G34="Low")),NOT(OR(H34="Yes",H34="No")),NOT(OR(X34="Standard",X34="Enhanced")),AND(G34="High",X34&lt;&gt;"Enhanced"),NOT(ISNUMBER(M34)),NOT(ISNUMBER(N34)),M34&gt;Settings!$F$8,N34&lt;M34,W34&lt;&gt;"Valid",NOT(ISNUMBER(P34)),COUNTIFS('Actions'!$D$9:$D$308,C34,'Actions'!$S$9:$S$308,"&lt;&gt;Valid",'Actions'!$C$9:$C$308,"&lt;&gt;")&gt;0),"Incomplete",IF(N34&lt;Settings!$F$8,"Expired","Current"))))</x:f>
      </x:c>
      <x:c r="U34" s="3" t="str">
        <x:f>IF(C34="","",IF(H34="Yes","Decline — prohibited",IF(R34&gt;0,"Hold — critical issue",IF(T34&lt;&gt;"Current","Hold — evidence",IF(V34&gt;0,"Conditions","Clear")))))</x:f>
      </x:c>
      <x:c r="V34" s="9" t="str">
        <x:f>IF(C34="","",COUNTIFS('Actions'!$D$9:$D$308,C34,'Actions'!$E$9:$E$308,"E&amp;S",'Actions'!$P$9:$P$308,"&lt;&gt;Closed",'Actions'!$C$9:$C$308,"&lt;&gt;"))</x:f>
      </x:c>
      <x:c r="W34" s="9" t="str">
        <x:f>IF(C34="","",IF(COUNTIF('Taxonomy Rules'!$C$26:$C$37,F34)&lt;&gt;1,"Sector missing",IF(AND(IFERROR(INDEX('Taxonomy Rules'!$D$26:$D$37,MATCH(F34,'Taxonomy Rules'!$C$26:$C$37,0)),0)&gt;=0,IFERROR(INDEX('Taxonomy Rules'!$E$26:$E$37,MATCH(F34,'Taxonomy Rules'!$C$26:$C$37,0)),0)&gt;=0,IFERROR(INDEX('Taxonomy Rules'!$F$26:$F$37,MATCH(F34,'Taxonomy Rules'!$C$26:$C$37,0)),0)&gt;=0,ABS(IFERROR(INDEX('Taxonomy Rules'!$D$26:$D$37,MATCH(F34,'Taxonomy Rules'!$C$26:$C$37,0)),0)+IFERROR(INDEX('Taxonomy Rules'!$E$26:$E$37,MATCH(F34,'Taxonomy Rules'!$C$26:$C$37,0)),0)+IFERROR(INDEX('Taxonomy Rules'!$F$26:$F$37,MATCH(F34,'Taxonomy Rules'!$C$26:$C$37,0)),0)-1)&lt;0.000001),"Valid","Check weights")))</x:f>
      </x:c>
      <x:c r="X34" s="8"/>
    </x:row>
    <x:row r="35" ht="38" customHeight="1">
      <x:c r="A35" s="1"/>
      <x:c r="B35" s="1"/>
      <x:c r="C35" s="8"/>
      <x:c r="D35" s="9" t="str">
        <x:f>IF(C35="","",IFERROR(INDEX('Borrowers'!$D$9:$D$108,MATCH(C35,'Borrowers'!$C$9:$C$108,0)),""))</x:f>
      </x:c>
      <x:c r="E35" s="9" t="str">
        <x:f>IF(C35="","",IFERROR(INDEX('Borrowers'!$E$9:$E$108,MATCH(C35,'Borrowers'!$C$9:$C$108,0)),""))</x:f>
      </x:c>
      <x:c r="F35" s="9" t="str">
        <x:f>IF(C35="","",IFERROR(INDEX('Borrowers'!$F$9:$F$108,MATCH(C35,'Borrowers'!$C$9:$C$108,0)),""))</x:f>
      </x:c>
      <x:c r="G35" s="8"/>
      <x:c r="H35" s="8"/>
      <x:c r="I35" s="8"/>
      <x:c r="J35" s="8"/>
      <x:c r="K35" s="8"/>
      <x:c r="L35" s="8"/>
      <x:c r="M35" s="10"/>
      <x:c r="N35" s="10"/>
      <x:c r="O35" s="8"/>
      <x:c r="P35" s="37" t="str">
        <x:f>IF(C35="","",IF(AND(COUNT(I35:K35)=3,MIN(I35:K35)&gt;=0,MAX(I35:K35)&lt;=100,W35="Valid"),I35*IFERROR(INDEX('Taxonomy Rules'!$D$26:$D$37,MATCH(F35,'Taxonomy Rules'!$C$26:$C$37,0)),0)+J35*IFERROR(INDEX('Taxonomy Rules'!$E$26:$E$37,MATCH(F35,'Taxonomy Rules'!$C$26:$C$37,0)),0)+K35*IFERROR(INDEX('Taxonomy Rules'!$F$26:$F$37,MATCH(F35,'Taxonomy Rules'!$C$26:$C$37,0)),0),""))</x:f>
      </x:c>
      <x:c r="Q35" s="3" t="str">
        <x:f>IF(C35="","",IF(ISNUMBER(P35),IF(P35&gt;=80,"Strong",IF(P35&gt;=60,"Developing","Weak")),"Unrated"))</x:f>
      </x:c>
      <x:c r="R35" s="9" t="str">
        <x:f>IF(C35="","",COUNTIFS('Actions'!$D$9:$D$308,C35,'Actions'!$E$9:$E$308,"E&amp;S",'Actions'!$F$9:$F$308,"Critical",'Actions'!$P$9:$P$308,"&lt;&gt;Closed",'Actions'!$C$9:$C$308,"&lt;&gt;"))</x:f>
      </x:c>
      <x:c r="S35" s="9" t="str">
        <x:f>IF(C35="","",COUNTIFS('Actions'!$D$9:$D$308,C35,'Actions'!$Q$9:$Q$308,"Overdue",'Actions'!$C$9:$C$308,"&lt;&gt;"))</x:f>
      </x:c>
      <x:c r="T35" s="9" t="str">
        <x:f>IF(C35="","",IF(OR(COUNTIF($C$9:$C$108,C35)&lt;&gt;1,COUNTIF(Borrowers!$C$9:$C$108,C35)&lt;&gt;1),"Key review",IF(OR(L35="",O35="",NOT(OR(G35="High",G35="Moderate",G35="Low")),NOT(OR(H35="Yes",H35="No")),NOT(OR(X35="Standard",X35="Enhanced")),AND(G35="High",X35&lt;&gt;"Enhanced"),NOT(ISNUMBER(M35)),NOT(ISNUMBER(N35)),M35&gt;Settings!$F$8,N35&lt;M35,W35&lt;&gt;"Valid",NOT(ISNUMBER(P35)),COUNTIFS('Actions'!$D$9:$D$308,C35,'Actions'!$S$9:$S$308,"&lt;&gt;Valid",'Actions'!$C$9:$C$308,"&lt;&gt;")&gt;0),"Incomplete",IF(N35&lt;Settings!$F$8,"Expired","Current"))))</x:f>
      </x:c>
      <x:c r="U35" s="3" t="str">
        <x:f>IF(C35="","",IF(H35="Yes","Decline — prohibited",IF(R35&gt;0,"Hold — critical issue",IF(T35&lt;&gt;"Current","Hold — evidence",IF(V35&gt;0,"Conditions","Clear")))))</x:f>
      </x:c>
      <x:c r="V35" s="9" t="str">
        <x:f>IF(C35="","",COUNTIFS('Actions'!$D$9:$D$308,C35,'Actions'!$E$9:$E$308,"E&amp;S",'Actions'!$P$9:$P$308,"&lt;&gt;Closed",'Actions'!$C$9:$C$308,"&lt;&gt;"))</x:f>
      </x:c>
      <x:c r="W35" s="9" t="str">
        <x:f>IF(C35="","",IF(COUNTIF('Taxonomy Rules'!$C$26:$C$37,F35)&lt;&gt;1,"Sector missing",IF(AND(IFERROR(INDEX('Taxonomy Rules'!$D$26:$D$37,MATCH(F35,'Taxonomy Rules'!$C$26:$C$37,0)),0)&gt;=0,IFERROR(INDEX('Taxonomy Rules'!$E$26:$E$37,MATCH(F35,'Taxonomy Rules'!$C$26:$C$37,0)),0)&gt;=0,IFERROR(INDEX('Taxonomy Rules'!$F$26:$F$37,MATCH(F35,'Taxonomy Rules'!$C$26:$C$37,0)),0)&gt;=0,ABS(IFERROR(INDEX('Taxonomy Rules'!$D$26:$D$37,MATCH(F35,'Taxonomy Rules'!$C$26:$C$37,0)),0)+IFERROR(INDEX('Taxonomy Rules'!$E$26:$E$37,MATCH(F35,'Taxonomy Rules'!$C$26:$C$37,0)),0)+IFERROR(INDEX('Taxonomy Rules'!$F$26:$F$37,MATCH(F35,'Taxonomy Rules'!$C$26:$C$37,0)),0)-1)&lt;0.000001),"Valid","Check weights")))</x:f>
      </x:c>
      <x:c r="X35" s="8"/>
    </x:row>
    <x:row r="36" ht="38" customHeight="1">
      <x:c r="A36" s="1"/>
      <x:c r="B36" s="1"/>
      <x:c r="C36" s="8"/>
      <x:c r="D36" s="9" t="str">
        <x:f>IF(C36="","",IFERROR(INDEX('Borrowers'!$D$9:$D$108,MATCH(C36,'Borrowers'!$C$9:$C$108,0)),""))</x:f>
      </x:c>
      <x:c r="E36" s="9" t="str">
        <x:f>IF(C36="","",IFERROR(INDEX('Borrowers'!$E$9:$E$108,MATCH(C36,'Borrowers'!$C$9:$C$108,0)),""))</x:f>
      </x:c>
      <x:c r="F36" s="9" t="str">
        <x:f>IF(C36="","",IFERROR(INDEX('Borrowers'!$F$9:$F$108,MATCH(C36,'Borrowers'!$C$9:$C$108,0)),""))</x:f>
      </x:c>
      <x:c r="G36" s="8"/>
      <x:c r="H36" s="8"/>
      <x:c r="I36" s="8"/>
      <x:c r="J36" s="8"/>
      <x:c r="K36" s="8"/>
      <x:c r="L36" s="8"/>
      <x:c r="M36" s="10"/>
      <x:c r="N36" s="10"/>
      <x:c r="O36" s="8"/>
      <x:c r="P36" s="37" t="str">
        <x:f>IF(C36="","",IF(AND(COUNT(I36:K36)=3,MIN(I36:K36)&gt;=0,MAX(I36:K36)&lt;=100,W36="Valid"),I36*IFERROR(INDEX('Taxonomy Rules'!$D$26:$D$37,MATCH(F36,'Taxonomy Rules'!$C$26:$C$37,0)),0)+J36*IFERROR(INDEX('Taxonomy Rules'!$E$26:$E$37,MATCH(F36,'Taxonomy Rules'!$C$26:$C$37,0)),0)+K36*IFERROR(INDEX('Taxonomy Rules'!$F$26:$F$37,MATCH(F36,'Taxonomy Rules'!$C$26:$C$37,0)),0),""))</x:f>
      </x:c>
      <x:c r="Q36" s="3" t="str">
        <x:f>IF(C36="","",IF(ISNUMBER(P36),IF(P36&gt;=80,"Strong",IF(P36&gt;=60,"Developing","Weak")),"Unrated"))</x:f>
      </x:c>
      <x:c r="R36" s="9" t="str">
        <x:f>IF(C36="","",COUNTIFS('Actions'!$D$9:$D$308,C36,'Actions'!$E$9:$E$308,"E&amp;S",'Actions'!$F$9:$F$308,"Critical",'Actions'!$P$9:$P$308,"&lt;&gt;Closed",'Actions'!$C$9:$C$308,"&lt;&gt;"))</x:f>
      </x:c>
      <x:c r="S36" s="9" t="str">
        <x:f>IF(C36="","",COUNTIFS('Actions'!$D$9:$D$308,C36,'Actions'!$Q$9:$Q$308,"Overdue",'Actions'!$C$9:$C$308,"&lt;&gt;"))</x:f>
      </x:c>
      <x:c r="T36" s="9" t="str">
        <x:f>IF(C36="","",IF(OR(COUNTIF($C$9:$C$108,C36)&lt;&gt;1,COUNTIF(Borrowers!$C$9:$C$108,C36)&lt;&gt;1),"Key review",IF(OR(L36="",O36="",NOT(OR(G36="High",G36="Moderate",G36="Low")),NOT(OR(H36="Yes",H36="No")),NOT(OR(X36="Standard",X36="Enhanced")),AND(G36="High",X36&lt;&gt;"Enhanced"),NOT(ISNUMBER(M36)),NOT(ISNUMBER(N36)),M36&gt;Settings!$F$8,N36&lt;M36,W36&lt;&gt;"Valid",NOT(ISNUMBER(P36)),COUNTIFS('Actions'!$D$9:$D$308,C36,'Actions'!$S$9:$S$308,"&lt;&gt;Valid",'Actions'!$C$9:$C$308,"&lt;&gt;")&gt;0),"Incomplete",IF(N36&lt;Settings!$F$8,"Expired","Current"))))</x:f>
      </x:c>
      <x:c r="U36" s="3" t="str">
        <x:f>IF(C36="","",IF(H36="Yes","Decline — prohibited",IF(R36&gt;0,"Hold — critical issue",IF(T36&lt;&gt;"Current","Hold — evidence",IF(V36&gt;0,"Conditions","Clear")))))</x:f>
      </x:c>
      <x:c r="V36" s="9" t="str">
        <x:f>IF(C36="","",COUNTIFS('Actions'!$D$9:$D$308,C36,'Actions'!$E$9:$E$308,"E&amp;S",'Actions'!$P$9:$P$308,"&lt;&gt;Closed",'Actions'!$C$9:$C$308,"&lt;&gt;"))</x:f>
      </x:c>
      <x:c r="W36" s="9" t="str">
        <x:f>IF(C36="","",IF(COUNTIF('Taxonomy Rules'!$C$26:$C$37,F36)&lt;&gt;1,"Sector missing",IF(AND(IFERROR(INDEX('Taxonomy Rules'!$D$26:$D$37,MATCH(F36,'Taxonomy Rules'!$C$26:$C$37,0)),0)&gt;=0,IFERROR(INDEX('Taxonomy Rules'!$E$26:$E$37,MATCH(F36,'Taxonomy Rules'!$C$26:$C$37,0)),0)&gt;=0,IFERROR(INDEX('Taxonomy Rules'!$F$26:$F$37,MATCH(F36,'Taxonomy Rules'!$C$26:$C$37,0)),0)&gt;=0,ABS(IFERROR(INDEX('Taxonomy Rules'!$D$26:$D$37,MATCH(F36,'Taxonomy Rules'!$C$26:$C$37,0)),0)+IFERROR(INDEX('Taxonomy Rules'!$E$26:$E$37,MATCH(F36,'Taxonomy Rules'!$C$26:$C$37,0)),0)+IFERROR(INDEX('Taxonomy Rules'!$F$26:$F$37,MATCH(F36,'Taxonomy Rules'!$C$26:$C$37,0)),0)-1)&lt;0.000001),"Valid","Check weights")))</x:f>
      </x:c>
      <x:c r="X36" s="8"/>
    </x:row>
    <x:row r="37" ht="38" customHeight="1">
      <x:c r="A37" s="1"/>
      <x:c r="B37" s="1"/>
      <x:c r="C37" s="8"/>
      <x:c r="D37" s="9" t="str">
        <x:f>IF(C37="","",IFERROR(INDEX('Borrowers'!$D$9:$D$108,MATCH(C37,'Borrowers'!$C$9:$C$108,0)),""))</x:f>
      </x:c>
      <x:c r="E37" s="9" t="str">
        <x:f>IF(C37="","",IFERROR(INDEX('Borrowers'!$E$9:$E$108,MATCH(C37,'Borrowers'!$C$9:$C$108,0)),""))</x:f>
      </x:c>
      <x:c r="F37" s="9" t="str">
        <x:f>IF(C37="","",IFERROR(INDEX('Borrowers'!$F$9:$F$108,MATCH(C37,'Borrowers'!$C$9:$C$108,0)),""))</x:f>
      </x:c>
      <x:c r="G37" s="8"/>
      <x:c r="H37" s="8"/>
      <x:c r="I37" s="8"/>
      <x:c r="J37" s="8"/>
      <x:c r="K37" s="8"/>
      <x:c r="L37" s="8"/>
      <x:c r="M37" s="10"/>
      <x:c r="N37" s="10"/>
      <x:c r="O37" s="8"/>
      <x:c r="P37" s="37" t="str">
        <x:f>IF(C37="","",IF(AND(COUNT(I37:K37)=3,MIN(I37:K37)&gt;=0,MAX(I37:K37)&lt;=100,W37="Valid"),I37*IFERROR(INDEX('Taxonomy Rules'!$D$26:$D$37,MATCH(F37,'Taxonomy Rules'!$C$26:$C$37,0)),0)+J37*IFERROR(INDEX('Taxonomy Rules'!$E$26:$E$37,MATCH(F37,'Taxonomy Rules'!$C$26:$C$37,0)),0)+K37*IFERROR(INDEX('Taxonomy Rules'!$F$26:$F$37,MATCH(F37,'Taxonomy Rules'!$C$26:$C$37,0)),0),""))</x:f>
      </x:c>
      <x:c r="Q37" s="3" t="str">
        <x:f>IF(C37="","",IF(ISNUMBER(P37),IF(P37&gt;=80,"Strong",IF(P37&gt;=60,"Developing","Weak")),"Unrated"))</x:f>
      </x:c>
      <x:c r="R37" s="9" t="str">
        <x:f>IF(C37="","",COUNTIFS('Actions'!$D$9:$D$308,C37,'Actions'!$E$9:$E$308,"E&amp;S",'Actions'!$F$9:$F$308,"Critical",'Actions'!$P$9:$P$308,"&lt;&gt;Closed",'Actions'!$C$9:$C$308,"&lt;&gt;"))</x:f>
      </x:c>
      <x:c r="S37" s="9" t="str">
        <x:f>IF(C37="","",COUNTIFS('Actions'!$D$9:$D$308,C37,'Actions'!$Q$9:$Q$308,"Overdue",'Actions'!$C$9:$C$308,"&lt;&gt;"))</x:f>
      </x:c>
      <x:c r="T37" s="9" t="str">
        <x:f>IF(C37="","",IF(OR(COUNTIF($C$9:$C$108,C37)&lt;&gt;1,COUNTIF(Borrowers!$C$9:$C$108,C37)&lt;&gt;1),"Key review",IF(OR(L37="",O37="",NOT(OR(G37="High",G37="Moderate",G37="Low")),NOT(OR(H37="Yes",H37="No")),NOT(OR(X37="Standard",X37="Enhanced")),AND(G37="High",X37&lt;&gt;"Enhanced"),NOT(ISNUMBER(M37)),NOT(ISNUMBER(N37)),M37&gt;Settings!$F$8,N37&lt;M37,W37&lt;&gt;"Valid",NOT(ISNUMBER(P37)),COUNTIFS('Actions'!$D$9:$D$308,C37,'Actions'!$S$9:$S$308,"&lt;&gt;Valid",'Actions'!$C$9:$C$308,"&lt;&gt;")&gt;0),"Incomplete",IF(N37&lt;Settings!$F$8,"Expired","Current"))))</x:f>
      </x:c>
      <x:c r="U37" s="3" t="str">
        <x:f>IF(C37="","",IF(H37="Yes","Decline — prohibited",IF(R37&gt;0,"Hold — critical issue",IF(T37&lt;&gt;"Current","Hold — evidence",IF(V37&gt;0,"Conditions","Clear")))))</x:f>
      </x:c>
      <x:c r="V37" s="9" t="str">
        <x:f>IF(C37="","",COUNTIFS('Actions'!$D$9:$D$308,C37,'Actions'!$E$9:$E$308,"E&amp;S",'Actions'!$P$9:$P$308,"&lt;&gt;Closed",'Actions'!$C$9:$C$308,"&lt;&gt;"))</x:f>
      </x:c>
      <x:c r="W37" s="9" t="str">
        <x:f>IF(C37="","",IF(COUNTIF('Taxonomy Rules'!$C$26:$C$37,F37)&lt;&gt;1,"Sector missing",IF(AND(IFERROR(INDEX('Taxonomy Rules'!$D$26:$D$37,MATCH(F37,'Taxonomy Rules'!$C$26:$C$37,0)),0)&gt;=0,IFERROR(INDEX('Taxonomy Rules'!$E$26:$E$37,MATCH(F37,'Taxonomy Rules'!$C$26:$C$37,0)),0)&gt;=0,IFERROR(INDEX('Taxonomy Rules'!$F$26:$F$37,MATCH(F37,'Taxonomy Rules'!$C$26:$C$37,0)),0)&gt;=0,ABS(IFERROR(INDEX('Taxonomy Rules'!$D$26:$D$37,MATCH(F37,'Taxonomy Rules'!$C$26:$C$37,0)),0)+IFERROR(INDEX('Taxonomy Rules'!$E$26:$E$37,MATCH(F37,'Taxonomy Rules'!$C$26:$C$37,0)),0)+IFERROR(INDEX('Taxonomy Rules'!$F$26:$F$37,MATCH(F37,'Taxonomy Rules'!$C$26:$C$37,0)),0)-1)&lt;0.000001),"Valid","Check weights")))</x:f>
      </x:c>
      <x:c r="X37" s="8"/>
    </x:row>
    <x:row r="38" ht="38" customHeight="1">
      <x:c r="A38" s="1"/>
      <x:c r="B38" s="1"/>
      <x:c r="C38" s="8"/>
      <x:c r="D38" s="9" t="str">
        <x:f>IF(C38="","",IFERROR(INDEX('Borrowers'!$D$9:$D$108,MATCH(C38,'Borrowers'!$C$9:$C$108,0)),""))</x:f>
      </x:c>
      <x:c r="E38" s="9" t="str">
        <x:f>IF(C38="","",IFERROR(INDEX('Borrowers'!$E$9:$E$108,MATCH(C38,'Borrowers'!$C$9:$C$108,0)),""))</x:f>
      </x:c>
      <x:c r="F38" s="9" t="str">
        <x:f>IF(C38="","",IFERROR(INDEX('Borrowers'!$F$9:$F$108,MATCH(C38,'Borrowers'!$C$9:$C$108,0)),""))</x:f>
      </x:c>
      <x:c r="G38" s="8"/>
      <x:c r="H38" s="8"/>
      <x:c r="I38" s="8"/>
      <x:c r="J38" s="8"/>
      <x:c r="K38" s="8"/>
      <x:c r="L38" s="8"/>
      <x:c r="M38" s="10"/>
      <x:c r="N38" s="10"/>
      <x:c r="O38" s="8"/>
      <x:c r="P38" s="37" t="str">
        <x:f>IF(C38="","",IF(AND(COUNT(I38:K38)=3,MIN(I38:K38)&gt;=0,MAX(I38:K38)&lt;=100,W38="Valid"),I38*IFERROR(INDEX('Taxonomy Rules'!$D$26:$D$37,MATCH(F38,'Taxonomy Rules'!$C$26:$C$37,0)),0)+J38*IFERROR(INDEX('Taxonomy Rules'!$E$26:$E$37,MATCH(F38,'Taxonomy Rules'!$C$26:$C$37,0)),0)+K38*IFERROR(INDEX('Taxonomy Rules'!$F$26:$F$37,MATCH(F38,'Taxonomy Rules'!$C$26:$C$37,0)),0),""))</x:f>
      </x:c>
      <x:c r="Q38" s="3" t="str">
        <x:f>IF(C38="","",IF(ISNUMBER(P38),IF(P38&gt;=80,"Strong",IF(P38&gt;=60,"Developing","Weak")),"Unrated"))</x:f>
      </x:c>
      <x:c r="R38" s="9" t="str">
        <x:f>IF(C38="","",COUNTIFS('Actions'!$D$9:$D$308,C38,'Actions'!$E$9:$E$308,"E&amp;S",'Actions'!$F$9:$F$308,"Critical",'Actions'!$P$9:$P$308,"&lt;&gt;Closed",'Actions'!$C$9:$C$308,"&lt;&gt;"))</x:f>
      </x:c>
      <x:c r="S38" s="9" t="str">
        <x:f>IF(C38="","",COUNTIFS('Actions'!$D$9:$D$308,C38,'Actions'!$Q$9:$Q$308,"Overdue",'Actions'!$C$9:$C$308,"&lt;&gt;"))</x:f>
      </x:c>
      <x:c r="T38" s="9" t="str">
        <x:f>IF(C38="","",IF(OR(COUNTIF($C$9:$C$108,C38)&lt;&gt;1,COUNTIF(Borrowers!$C$9:$C$108,C38)&lt;&gt;1),"Key review",IF(OR(L38="",O38="",NOT(OR(G38="High",G38="Moderate",G38="Low")),NOT(OR(H38="Yes",H38="No")),NOT(OR(X38="Standard",X38="Enhanced")),AND(G38="High",X38&lt;&gt;"Enhanced"),NOT(ISNUMBER(M38)),NOT(ISNUMBER(N38)),M38&gt;Settings!$F$8,N38&lt;M38,W38&lt;&gt;"Valid",NOT(ISNUMBER(P38)),COUNTIFS('Actions'!$D$9:$D$308,C38,'Actions'!$S$9:$S$308,"&lt;&gt;Valid",'Actions'!$C$9:$C$308,"&lt;&gt;")&gt;0),"Incomplete",IF(N38&lt;Settings!$F$8,"Expired","Current"))))</x:f>
      </x:c>
      <x:c r="U38" s="3" t="str">
        <x:f>IF(C38="","",IF(H38="Yes","Decline — prohibited",IF(R38&gt;0,"Hold — critical issue",IF(T38&lt;&gt;"Current","Hold — evidence",IF(V38&gt;0,"Conditions","Clear")))))</x:f>
      </x:c>
      <x:c r="V38" s="9" t="str">
        <x:f>IF(C38="","",COUNTIFS('Actions'!$D$9:$D$308,C38,'Actions'!$E$9:$E$308,"E&amp;S",'Actions'!$P$9:$P$308,"&lt;&gt;Closed",'Actions'!$C$9:$C$308,"&lt;&gt;"))</x:f>
      </x:c>
      <x:c r="W38" s="9" t="str">
        <x:f>IF(C38="","",IF(COUNTIF('Taxonomy Rules'!$C$26:$C$37,F38)&lt;&gt;1,"Sector missing",IF(AND(IFERROR(INDEX('Taxonomy Rules'!$D$26:$D$37,MATCH(F38,'Taxonomy Rules'!$C$26:$C$37,0)),0)&gt;=0,IFERROR(INDEX('Taxonomy Rules'!$E$26:$E$37,MATCH(F38,'Taxonomy Rules'!$C$26:$C$37,0)),0)&gt;=0,IFERROR(INDEX('Taxonomy Rules'!$F$26:$F$37,MATCH(F38,'Taxonomy Rules'!$C$26:$C$37,0)),0)&gt;=0,ABS(IFERROR(INDEX('Taxonomy Rules'!$D$26:$D$37,MATCH(F38,'Taxonomy Rules'!$C$26:$C$37,0)),0)+IFERROR(INDEX('Taxonomy Rules'!$E$26:$E$37,MATCH(F38,'Taxonomy Rules'!$C$26:$C$37,0)),0)+IFERROR(INDEX('Taxonomy Rules'!$F$26:$F$37,MATCH(F38,'Taxonomy Rules'!$C$26:$C$37,0)),0)-1)&lt;0.000001),"Valid","Check weights")))</x:f>
      </x:c>
      <x:c r="X38" s="8"/>
    </x:row>
    <x:row r="39" ht="38" customHeight="1">
      <x:c r="A39" s="1"/>
      <x:c r="B39" s="1"/>
      <x:c r="C39" s="8"/>
      <x:c r="D39" s="9" t="str">
        <x:f>IF(C39="","",IFERROR(INDEX('Borrowers'!$D$9:$D$108,MATCH(C39,'Borrowers'!$C$9:$C$108,0)),""))</x:f>
      </x:c>
      <x:c r="E39" s="9" t="str">
        <x:f>IF(C39="","",IFERROR(INDEX('Borrowers'!$E$9:$E$108,MATCH(C39,'Borrowers'!$C$9:$C$108,0)),""))</x:f>
      </x:c>
      <x:c r="F39" s="9" t="str">
        <x:f>IF(C39="","",IFERROR(INDEX('Borrowers'!$F$9:$F$108,MATCH(C39,'Borrowers'!$C$9:$C$108,0)),""))</x:f>
      </x:c>
      <x:c r="G39" s="8"/>
      <x:c r="H39" s="8"/>
      <x:c r="I39" s="8"/>
      <x:c r="J39" s="8"/>
      <x:c r="K39" s="8"/>
      <x:c r="L39" s="8"/>
      <x:c r="M39" s="10"/>
      <x:c r="N39" s="10"/>
      <x:c r="O39" s="8"/>
      <x:c r="P39" s="37" t="str">
        <x:f>IF(C39="","",IF(AND(COUNT(I39:K39)=3,MIN(I39:K39)&gt;=0,MAX(I39:K39)&lt;=100,W39="Valid"),I39*IFERROR(INDEX('Taxonomy Rules'!$D$26:$D$37,MATCH(F39,'Taxonomy Rules'!$C$26:$C$37,0)),0)+J39*IFERROR(INDEX('Taxonomy Rules'!$E$26:$E$37,MATCH(F39,'Taxonomy Rules'!$C$26:$C$37,0)),0)+K39*IFERROR(INDEX('Taxonomy Rules'!$F$26:$F$37,MATCH(F39,'Taxonomy Rules'!$C$26:$C$37,0)),0),""))</x:f>
      </x:c>
      <x:c r="Q39" s="3" t="str">
        <x:f>IF(C39="","",IF(ISNUMBER(P39),IF(P39&gt;=80,"Strong",IF(P39&gt;=60,"Developing","Weak")),"Unrated"))</x:f>
      </x:c>
      <x:c r="R39" s="9" t="str">
        <x:f>IF(C39="","",COUNTIFS('Actions'!$D$9:$D$308,C39,'Actions'!$E$9:$E$308,"E&amp;S",'Actions'!$F$9:$F$308,"Critical",'Actions'!$P$9:$P$308,"&lt;&gt;Closed",'Actions'!$C$9:$C$308,"&lt;&gt;"))</x:f>
      </x:c>
      <x:c r="S39" s="9" t="str">
        <x:f>IF(C39="","",COUNTIFS('Actions'!$D$9:$D$308,C39,'Actions'!$Q$9:$Q$308,"Overdue",'Actions'!$C$9:$C$308,"&lt;&gt;"))</x:f>
      </x:c>
      <x:c r="T39" s="9" t="str">
        <x:f>IF(C39="","",IF(OR(COUNTIF($C$9:$C$108,C39)&lt;&gt;1,COUNTIF(Borrowers!$C$9:$C$108,C39)&lt;&gt;1),"Key review",IF(OR(L39="",O39="",NOT(OR(G39="High",G39="Moderate",G39="Low")),NOT(OR(H39="Yes",H39="No")),NOT(OR(X39="Standard",X39="Enhanced")),AND(G39="High",X39&lt;&gt;"Enhanced"),NOT(ISNUMBER(M39)),NOT(ISNUMBER(N39)),M39&gt;Settings!$F$8,N39&lt;M39,W39&lt;&gt;"Valid",NOT(ISNUMBER(P39)),COUNTIFS('Actions'!$D$9:$D$308,C39,'Actions'!$S$9:$S$308,"&lt;&gt;Valid",'Actions'!$C$9:$C$308,"&lt;&gt;")&gt;0),"Incomplete",IF(N39&lt;Settings!$F$8,"Expired","Current"))))</x:f>
      </x:c>
      <x:c r="U39" s="3" t="str">
        <x:f>IF(C39="","",IF(H39="Yes","Decline — prohibited",IF(R39&gt;0,"Hold — critical issue",IF(T39&lt;&gt;"Current","Hold — evidence",IF(V39&gt;0,"Conditions","Clear")))))</x:f>
      </x:c>
      <x:c r="V39" s="9" t="str">
        <x:f>IF(C39="","",COUNTIFS('Actions'!$D$9:$D$308,C39,'Actions'!$E$9:$E$308,"E&amp;S",'Actions'!$P$9:$P$308,"&lt;&gt;Closed",'Actions'!$C$9:$C$308,"&lt;&gt;"))</x:f>
      </x:c>
      <x:c r="W39" s="9" t="str">
        <x:f>IF(C39="","",IF(COUNTIF('Taxonomy Rules'!$C$26:$C$37,F39)&lt;&gt;1,"Sector missing",IF(AND(IFERROR(INDEX('Taxonomy Rules'!$D$26:$D$37,MATCH(F39,'Taxonomy Rules'!$C$26:$C$37,0)),0)&gt;=0,IFERROR(INDEX('Taxonomy Rules'!$E$26:$E$37,MATCH(F39,'Taxonomy Rules'!$C$26:$C$37,0)),0)&gt;=0,IFERROR(INDEX('Taxonomy Rules'!$F$26:$F$37,MATCH(F39,'Taxonomy Rules'!$C$26:$C$37,0)),0)&gt;=0,ABS(IFERROR(INDEX('Taxonomy Rules'!$D$26:$D$37,MATCH(F39,'Taxonomy Rules'!$C$26:$C$37,0)),0)+IFERROR(INDEX('Taxonomy Rules'!$E$26:$E$37,MATCH(F39,'Taxonomy Rules'!$C$26:$C$37,0)),0)+IFERROR(INDEX('Taxonomy Rules'!$F$26:$F$37,MATCH(F39,'Taxonomy Rules'!$C$26:$C$37,0)),0)-1)&lt;0.000001),"Valid","Check weights")))</x:f>
      </x:c>
      <x:c r="X39" s="8"/>
    </x:row>
    <x:row r="40" ht="38" customHeight="1">
      <x:c r="A40" s="1"/>
      <x:c r="B40" s="1"/>
      <x:c r="C40" s="8"/>
      <x:c r="D40" s="9" t="str">
        <x:f>IF(C40="","",IFERROR(INDEX('Borrowers'!$D$9:$D$108,MATCH(C40,'Borrowers'!$C$9:$C$108,0)),""))</x:f>
      </x:c>
      <x:c r="E40" s="9" t="str">
        <x:f>IF(C40="","",IFERROR(INDEX('Borrowers'!$E$9:$E$108,MATCH(C40,'Borrowers'!$C$9:$C$108,0)),""))</x:f>
      </x:c>
      <x:c r="F40" s="9" t="str">
        <x:f>IF(C40="","",IFERROR(INDEX('Borrowers'!$F$9:$F$108,MATCH(C40,'Borrowers'!$C$9:$C$108,0)),""))</x:f>
      </x:c>
      <x:c r="G40" s="8"/>
      <x:c r="H40" s="8"/>
      <x:c r="I40" s="8"/>
      <x:c r="J40" s="8"/>
      <x:c r="K40" s="8"/>
      <x:c r="L40" s="8"/>
      <x:c r="M40" s="10"/>
      <x:c r="N40" s="10"/>
      <x:c r="O40" s="8"/>
      <x:c r="P40" s="37" t="str">
        <x:f>IF(C40="","",IF(AND(COUNT(I40:K40)=3,MIN(I40:K40)&gt;=0,MAX(I40:K40)&lt;=100,W40="Valid"),I40*IFERROR(INDEX('Taxonomy Rules'!$D$26:$D$37,MATCH(F40,'Taxonomy Rules'!$C$26:$C$37,0)),0)+J40*IFERROR(INDEX('Taxonomy Rules'!$E$26:$E$37,MATCH(F40,'Taxonomy Rules'!$C$26:$C$37,0)),0)+K40*IFERROR(INDEX('Taxonomy Rules'!$F$26:$F$37,MATCH(F40,'Taxonomy Rules'!$C$26:$C$37,0)),0),""))</x:f>
      </x:c>
      <x:c r="Q40" s="3" t="str">
        <x:f>IF(C40="","",IF(ISNUMBER(P40),IF(P40&gt;=80,"Strong",IF(P40&gt;=60,"Developing","Weak")),"Unrated"))</x:f>
      </x:c>
      <x:c r="R40" s="9" t="str">
        <x:f>IF(C40="","",COUNTIFS('Actions'!$D$9:$D$308,C40,'Actions'!$E$9:$E$308,"E&amp;S",'Actions'!$F$9:$F$308,"Critical",'Actions'!$P$9:$P$308,"&lt;&gt;Closed",'Actions'!$C$9:$C$308,"&lt;&gt;"))</x:f>
      </x:c>
      <x:c r="S40" s="9" t="str">
        <x:f>IF(C40="","",COUNTIFS('Actions'!$D$9:$D$308,C40,'Actions'!$Q$9:$Q$308,"Overdue",'Actions'!$C$9:$C$308,"&lt;&gt;"))</x:f>
      </x:c>
      <x:c r="T40" s="9" t="str">
        <x:f>IF(C40="","",IF(OR(COUNTIF($C$9:$C$108,C40)&lt;&gt;1,COUNTIF(Borrowers!$C$9:$C$108,C40)&lt;&gt;1),"Key review",IF(OR(L40="",O40="",NOT(OR(G40="High",G40="Moderate",G40="Low")),NOT(OR(H40="Yes",H40="No")),NOT(OR(X40="Standard",X40="Enhanced")),AND(G40="High",X40&lt;&gt;"Enhanced"),NOT(ISNUMBER(M40)),NOT(ISNUMBER(N40)),M40&gt;Settings!$F$8,N40&lt;M40,W40&lt;&gt;"Valid",NOT(ISNUMBER(P40)),COUNTIFS('Actions'!$D$9:$D$308,C40,'Actions'!$S$9:$S$308,"&lt;&gt;Valid",'Actions'!$C$9:$C$308,"&lt;&gt;")&gt;0),"Incomplete",IF(N40&lt;Settings!$F$8,"Expired","Current"))))</x:f>
      </x:c>
      <x:c r="U40" s="3" t="str">
        <x:f>IF(C40="","",IF(H40="Yes","Decline — prohibited",IF(R40&gt;0,"Hold — critical issue",IF(T40&lt;&gt;"Current","Hold — evidence",IF(V40&gt;0,"Conditions","Clear")))))</x:f>
      </x:c>
      <x:c r="V40" s="9" t="str">
        <x:f>IF(C40="","",COUNTIFS('Actions'!$D$9:$D$308,C40,'Actions'!$E$9:$E$308,"E&amp;S",'Actions'!$P$9:$P$308,"&lt;&gt;Closed",'Actions'!$C$9:$C$308,"&lt;&gt;"))</x:f>
      </x:c>
      <x:c r="W40" s="9" t="str">
        <x:f>IF(C40="","",IF(COUNTIF('Taxonomy Rules'!$C$26:$C$37,F40)&lt;&gt;1,"Sector missing",IF(AND(IFERROR(INDEX('Taxonomy Rules'!$D$26:$D$37,MATCH(F40,'Taxonomy Rules'!$C$26:$C$37,0)),0)&gt;=0,IFERROR(INDEX('Taxonomy Rules'!$E$26:$E$37,MATCH(F40,'Taxonomy Rules'!$C$26:$C$37,0)),0)&gt;=0,IFERROR(INDEX('Taxonomy Rules'!$F$26:$F$37,MATCH(F40,'Taxonomy Rules'!$C$26:$C$37,0)),0)&gt;=0,ABS(IFERROR(INDEX('Taxonomy Rules'!$D$26:$D$37,MATCH(F40,'Taxonomy Rules'!$C$26:$C$37,0)),0)+IFERROR(INDEX('Taxonomy Rules'!$E$26:$E$37,MATCH(F40,'Taxonomy Rules'!$C$26:$C$37,0)),0)+IFERROR(INDEX('Taxonomy Rules'!$F$26:$F$37,MATCH(F40,'Taxonomy Rules'!$C$26:$C$37,0)),0)-1)&lt;0.000001),"Valid","Check weights")))</x:f>
      </x:c>
      <x:c r="X40" s="8"/>
    </x:row>
    <x:row r="41" ht="38" customHeight="1">
      <x:c r="A41" s="1"/>
      <x:c r="B41" s="1"/>
      <x:c r="C41" s="8"/>
      <x:c r="D41" s="9" t="str">
        <x:f>IF(C41="","",IFERROR(INDEX('Borrowers'!$D$9:$D$108,MATCH(C41,'Borrowers'!$C$9:$C$108,0)),""))</x:f>
      </x:c>
      <x:c r="E41" s="9" t="str">
        <x:f>IF(C41="","",IFERROR(INDEX('Borrowers'!$E$9:$E$108,MATCH(C41,'Borrowers'!$C$9:$C$108,0)),""))</x:f>
      </x:c>
      <x:c r="F41" s="9" t="str">
        <x:f>IF(C41="","",IFERROR(INDEX('Borrowers'!$F$9:$F$108,MATCH(C41,'Borrowers'!$C$9:$C$108,0)),""))</x:f>
      </x:c>
      <x:c r="G41" s="8"/>
      <x:c r="H41" s="8"/>
      <x:c r="I41" s="8"/>
      <x:c r="J41" s="8"/>
      <x:c r="K41" s="8"/>
      <x:c r="L41" s="8"/>
      <x:c r="M41" s="10"/>
      <x:c r="N41" s="10"/>
      <x:c r="O41" s="8"/>
      <x:c r="P41" s="37" t="str">
        <x:f>IF(C41="","",IF(AND(COUNT(I41:K41)=3,MIN(I41:K41)&gt;=0,MAX(I41:K41)&lt;=100,W41="Valid"),I41*IFERROR(INDEX('Taxonomy Rules'!$D$26:$D$37,MATCH(F41,'Taxonomy Rules'!$C$26:$C$37,0)),0)+J41*IFERROR(INDEX('Taxonomy Rules'!$E$26:$E$37,MATCH(F41,'Taxonomy Rules'!$C$26:$C$37,0)),0)+K41*IFERROR(INDEX('Taxonomy Rules'!$F$26:$F$37,MATCH(F41,'Taxonomy Rules'!$C$26:$C$37,0)),0),""))</x:f>
      </x:c>
      <x:c r="Q41" s="3" t="str">
        <x:f>IF(C41="","",IF(ISNUMBER(P41),IF(P41&gt;=80,"Strong",IF(P41&gt;=60,"Developing","Weak")),"Unrated"))</x:f>
      </x:c>
      <x:c r="R41" s="9" t="str">
        <x:f>IF(C41="","",COUNTIFS('Actions'!$D$9:$D$308,C41,'Actions'!$E$9:$E$308,"E&amp;S",'Actions'!$F$9:$F$308,"Critical",'Actions'!$P$9:$P$308,"&lt;&gt;Closed",'Actions'!$C$9:$C$308,"&lt;&gt;"))</x:f>
      </x:c>
      <x:c r="S41" s="9" t="str">
        <x:f>IF(C41="","",COUNTIFS('Actions'!$D$9:$D$308,C41,'Actions'!$Q$9:$Q$308,"Overdue",'Actions'!$C$9:$C$308,"&lt;&gt;"))</x:f>
      </x:c>
      <x:c r="T41" s="9" t="str">
        <x:f>IF(C41="","",IF(OR(COUNTIF($C$9:$C$108,C41)&lt;&gt;1,COUNTIF(Borrowers!$C$9:$C$108,C41)&lt;&gt;1),"Key review",IF(OR(L41="",O41="",NOT(OR(G41="High",G41="Moderate",G41="Low")),NOT(OR(H41="Yes",H41="No")),NOT(OR(X41="Standard",X41="Enhanced")),AND(G41="High",X41&lt;&gt;"Enhanced"),NOT(ISNUMBER(M41)),NOT(ISNUMBER(N41)),M41&gt;Settings!$F$8,N41&lt;M41,W41&lt;&gt;"Valid",NOT(ISNUMBER(P41)),COUNTIFS('Actions'!$D$9:$D$308,C41,'Actions'!$S$9:$S$308,"&lt;&gt;Valid",'Actions'!$C$9:$C$308,"&lt;&gt;")&gt;0),"Incomplete",IF(N41&lt;Settings!$F$8,"Expired","Current"))))</x:f>
      </x:c>
      <x:c r="U41" s="3" t="str">
        <x:f>IF(C41="","",IF(H41="Yes","Decline — prohibited",IF(R41&gt;0,"Hold — critical issue",IF(T41&lt;&gt;"Current","Hold — evidence",IF(V41&gt;0,"Conditions","Clear")))))</x:f>
      </x:c>
      <x:c r="V41" s="9" t="str">
        <x:f>IF(C41="","",COUNTIFS('Actions'!$D$9:$D$308,C41,'Actions'!$E$9:$E$308,"E&amp;S",'Actions'!$P$9:$P$308,"&lt;&gt;Closed",'Actions'!$C$9:$C$308,"&lt;&gt;"))</x:f>
      </x:c>
      <x:c r="W41" s="9" t="str">
        <x:f>IF(C41="","",IF(COUNTIF('Taxonomy Rules'!$C$26:$C$37,F41)&lt;&gt;1,"Sector missing",IF(AND(IFERROR(INDEX('Taxonomy Rules'!$D$26:$D$37,MATCH(F41,'Taxonomy Rules'!$C$26:$C$37,0)),0)&gt;=0,IFERROR(INDEX('Taxonomy Rules'!$E$26:$E$37,MATCH(F41,'Taxonomy Rules'!$C$26:$C$37,0)),0)&gt;=0,IFERROR(INDEX('Taxonomy Rules'!$F$26:$F$37,MATCH(F41,'Taxonomy Rules'!$C$26:$C$37,0)),0)&gt;=0,ABS(IFERROR(INDEX('Taxonomy Rules'!$D$26:$D$37,MATCH(F41,'Taxonomy Rules'!$C$26:$C$37,0)),0)+IFERROR(INDEX('Taxonomy Rules'!$E$26:$E$37,MATCH(F41,'Taxonomy Rules'!$C$26:$C$37,0)),0)+IFERROR(INDEX('Taxonomy Rules'!$F$26:$F$37,MATCH(F41,'Taxonomy Rules'!$C$26:$C$37,0)),0)-1)&lt;0.000001),"Valid","Check weights")))</x:f>
      </x:c>
      <x:c r="X41" s="8"/>
    </x:row>
    <x:row r="42" ht="38" customHeight="1">
      <x:c r="A42" s="1"/>
      <x:c r="B42" s="1"/>
      <x:c r="C42" s="8"/>
      <x:c r="D42" s="9" t="str">
        <x:f>IF(C42="","",IFERROR(INDEX('Borrowers'!$D$9:$D$108,MATCH(C42,'Borrowers'!$C$9:$C$108,0)),""))</x:f>
      </x:c>
      <x:c r="E42" s="9" t="str">
        <x:f>IF(C42="","",IFERROR(INDEX('Borrowers'!$E$9:$E$108,MATCH(C42,'Borrowers'!$C$9:$C$108,0)),""))</x:f>
      </x:c>
      <x:c r="F42" s="9" t="str">
        <x:f>IF(C42="","",IFERROR(INDEX('Borrowers'!$F$9:$F$108,MATCH(C42,'Borrowers'!$C$9:$C$108,0)),""))</x:f>
      </x:c>
      <x:c r="G42" s="8"/>
      <x:c r="H42" s="8"/>
      <x:c r="I42" s="8"/>
      <x:c r="J42" s="8"/>
      <x:c r="K42" s="8"/>
      <x:c r="L42" s="8"/>
      <x:c r="M42" s="10"/>
      <x:c r="N42" s="10"/>
      <x:c r="O42" s="8"/>
      <x:c r="P42" s="37" t="str">
        <x:f>IF(C42="","",IF(AND(COUNT(I42:K42)=3,MIN(I42:K42)&gt;=0,MAX(I42:K42)&lt;=100,W42="Valid"),I42*IFERROR(INDEX('Taxonomy Rules'!$D$26:$D$37,MATCH(F42,'Taxonomy Rules'!$C$26:$C$37,0)),0)+J42*IFERROR(INDEX('Taxonomy Rules'!$E$26:$E$37,MATCH(F42,'Taxonomy Rules'!$C$26:$C$37,0)),0)+K42*IFERROR(INDEX('Taxonomy Rules'!$F$26:$F$37,MATCH(F42,'Taxonomy Rules'!$C$26:$C$37,0)),0),""))</x:f>
      </x:c>
      <x:c r="Q42" s="3" t="str">
        <x:f>IF(C42="","",IF(ISNUMBER(P42),IF(P42&gt;=80,"Strong",IF(P42&gt;=60,"Developing","Weak")),"Unrated"))</x:f>
      </x:c>
      <x:c r="R42" s="9" t="str">
        <x:f>IF(C42="","",COUNTIFS('Actions'!$D$9:$D$308,C42,'Actions'!$E$9:$E$308,"E&amp;S",'Actions'!$F$9:$F$308,"Critical",'Actions'!$P$9:$P$308,"&lt;&gt;Closed",'Actions'!$C$9:$C$308,"&lt;&gt;"))</x:f>
      </x:c>
      <x:c r="S42" s="9" t="str">
        <x:f>IF(C42="","",COUNTIFS('Actions'!$D$9:$D$308,C42,'Actions'!$Q$9:$Q$308,"Overdue",'Actions'!$C$9:$C$308,"&lt;&gt;"))</x:f>
      </x:c>
      <x:c r="T42" s="9" t="str">
        <x:f>IF(C42="","",IF(OR(COUNTIF($C$9:$C$108,C42)&lt;&gt;1,COUNTIF(Borrowers!$C$9:$C$108,C42)&lt;&gt;1),"Key review",IF(OR(L42="",O42="",NOT(OR(G42="High",G42="Moderate",G42="Low")),NOT(OR(H42="Yes",H42="No")),NOT(OR(X42="Standard",X42="Enhanced")),AND(G42="High",X42&lt;&gt;"Enhanced"),NOT(ISNUMBER(M42)),NOT(ISNUMBER(N42)),M42&gt;Settings!$F$8,N42&lt;M42,W42&lt;&gt;"Valid",NOT(ISNUMBER(P42)),COUNTIFS('Actions'!$D$9:$D$308,C42,'Actions'!$S$9:$S$308,"&lt;&gt;Valid",'Actions'!$C$9:$C$308,"&lt;&gt;")&gt;0),"Incomplete",IF(N42&lt;Settings!$F$8,"Expired","Current"))))</x:f>
      </x:c>
      <x:c r="U42" s="3" t="str">
        <x:f>IF(C42="","",IF(H42="Yes","Decline — prohibited",IF(R42&gt;0,"Hold — critical issue",IF(T42&lt;&gt;"Current","Hold — evidence",IF(V42&gt;0,"Conditions","Clear")))))</x:f>
      </x:c>
      <x:c r="V42" s="9" t="str">
        <x:f>IF(C42="","",COUNTIFS('Actions'!$D$9:$D$308,C42,'Actions'!$E$9:$E$308,"E&amp;S",'Actions'!$P$9:$P$308,"&lt;&gt;Closed",'Actions'!$C$9:$C$308,"&lt;&gt;"))</x:f>
      </x:c>
      <x:c r="W42" s="9" t="str">
        <x:f>IF(C42="","",IF(COUNTIF('Taxonomy Rules'!$C$26:$C$37,F42)&lt;&gt;1,"Sector missing",IF(AND(IFERROR(INDEX('Taxonomy Rules'!$D$26:$D$37,MATCH(F42,'Taxonomy Rules'!$C$26:$C$37,0)),0)&gt;=0,IFERROR(INDEX('Taxonomy Rules'!$E$26:$E$37,MATCH(F42,'Taxonomy Rules'!$C$26:$C$37,0)),0)&gt;=0,IFERROR(INDEX('Taxonomy Rules'!$F$26:$F$37,MATCH(F42,'Taxonomy Rules'!$C$26:$C$37,0)),0)&gt;=0,ABS(IFERROR(INDEX('Taxonomy Rules'!$D$26:$D$37,MATCH(F42,'Taxonomy Rules'!$C$26:$C$37,0)),0)+IFERROR(INDEX('Taxonomy Rules'!$E$26:$E$37,MATCH(F42,'Taxonomy Rules'!$C$26:$C$37,0)),0)+IFERROR(INDEX('Taxonomy Rules'!$F$26:$F$37,MATCH(F42,'Taxonomy Rules'!$C$26:$C$37,0)),0)-1)&lt;0.000001),"Valid","Check weights")))</x:f>
      </x:c>
      <x:c r="X42" s="8"/>
    </x:row>
    <x:row r="43" ht="38" customHeight="1">
      <x:c r="A43" s="1"/>
      <x:c r="B43" s="1"/>
      <x:c r="C43" s="8"/>
      <x:c r="D43" s="9" t="str">
        <x:f>IF(C43="","",IFERROR(INDEX('Borrowers'!$D$9:$D$108,MATCH(C43,'Borrowers'!$C$9:$C$108,0)),""))</x:f>
      </x:c>
      <x:c r="E43" s="9" t="str">
        <x:f>IF(C43="","",IFERROR(INDEX('Borrowers'!$E$9:$E$108,MATCH(C43,'Borrowers'!$C$9:$C$108,0)),""))</x:f>
      </x:c>
      <x:c r="F43" s="9" t="str">
        <x:f>IF(C43="","",IFERROR(INDEX('Borrowers'!$F$9:$F$108,MATCH(C43,'Borrowers'!$C$9:$C$108,0)),""))</x:f>
      </x:c>
      <x:c r="G43" s="8"/>
      <x:c r="H43" s="8"/>
      <x:c r="I43" s="8"/>
      <x:c r="J43" s="8"/>
      <x:c r="K43" s="8"/>
      <x:c r="L43" s="8"/>
      <x:c r="M43" s="10"/>
      <x:c r="N43" s="10"/>
      <x:c r="O43" s="8"/>
      <x:c r="P43" s="37" t="str">
        <x:f>IF(C43="","",IF(AND(COUNT(I43:K43)=3,MIN(I43:K43)&gt;=0,MAX(I43:K43)&lt;=100,W43="Valid"),I43*IFERROR(INDEX('Taxonomy Rules'!$D$26:$D$37,MATCH(F43,'Taxonomy Rules'!$C$26:$C$37,0)),0)+J43*IFERROR(INDEX('Taxonomy Rules'!$E$26:$E$37,MATCH(F43,'Taxonomy Rules'!$C$26:$C$37,0)),0)+K43*IFERROR(INDEX('Taxonomy Rules'!$F$26:$F$37,MATCH(F43,'Taxonomy Rules'!$C$26:$C$37,0)),0),""))</x:f>
      </x:c>
      <x:c r="Q43" s="3" t="str">
        <x:f>IF(C43="","",IF(ISNUMBER(P43),IF(P43&gt;=80,"Strong",IF(P43&gt;=60,"Developing","Weak")),"Unrated"))</x:f>
      </x:c>
      <x:c r="R43" s="9" t="str">
        <x:f>IF(C43="","",COUNTIFS('Actions'!$D$9:$D$308,C43,'Actions'!$E$9:$E$308,"E&amp;S",'Actions'!$F$9:$F$308,"Critical",'Actions'!$P$9:$P$308,"&lt;&gt;Closed",'Actions'!$C$9:$C$308,"&lt;&gt;"))</x:f>
      </x:c>
      <x:c r="S43" s="9" t="str">
        <x:f>IF(C43="","",COUNTIFS('Actions'!$D$9:$D$308,C43,'Actions'!$Q$9:$Q$308,"Overdue",'Actions'!$C$9:$C$308,"&lt;&gt;"))</x:f>
      </x:c>
      <x:c r="T43" s="9" t="str">
        <x:f>IF(C43="","",IF(OR(COUNTIF($C$9:$C$108,C43)&lt;&gt;1,COUNTIF(Borrowers!$C$9:$C$108,C43)&lt;&gt;1),"Key review",IF(OR(L43="",O43="",NOT(OR(G43="High",G43="Moderate",G43="Low")),NOT(OR(H43="Yes",H43="No")),NOT(OR(X43="Standard",X43="Enhanced")),AND(G43="High",X43&lt;&gt;"Enhanced"),NOT(ISNUMBER(M43)),NOT(ISNUMBER(N43)),M43&gt;Settings!$F$8,N43&lt;M43,W43&lt;&gt;"Valid",NOT(ISNUMBER(P43)),COUNTIFS('Actions'!$D$9:$D$308,C43,'Actions'!$S$9:$S$308,"&lt;&gt;Valid",'Actions'!$C$9:$C$308,"&lt;&gt;")&gt;0),"Incomplete",IF(N43&lt;Settings!$F$8,"Expired","Current"))))</x:f>
      </x:c>
      <x:c r="U43" s="3" t="str">
        <x:f>IF(C43="","",IF(H43="Yes","Decline — prohibited",IF(R43&gt;0,"Hold — critical issue",IF(T43&lt;&gt;"Current","Hold — evidence",IF(V43&gt;0,"Conditions","Clear")))))</x:f>
      </x:c>
      <x:c r="V43" s="9" t="str">
        <x:f>IF(C43="","",COUNTIFS('Actions'!$D$9:$D$308,C43,'Actions'!$E$9:$E$308,"E&amp;S",'Actions'!$P$9:$P$308,"&lt;&gt;Closed",'Actions'!$C$9:$C$308,"&lt;&gt;"))</x:f>
      </x:c>
      <x:c r="W43" s="9" t="str">
        <x:f>IF(C43="","",IF(COUNTIF('Taxonomy Rules'!$C$26:$C$37,F43)&lt;&gt;1,"Sector missing",IF(AND(IFERROR(INDEX('Taxonomy Rules'!$D$26:$D$37,MATCH(F43,'Taxonomy Rules'!$C$26:$C$37,0)),0)&gt;=0,IFERROR(INDEX('Taxonomy Rules'!$E$26:$E$37,MATCH(F43,'Taxonomy Rules'!$C$26:$C$37,0)),0)&gt;=0,IFERROR(INDEX('Taxonomy Rules'!$F$26:$F$37,MATCH(F43,'Taxonomy Rules'!$C$26:$C$37,0)),0)&gt;=0,ABS(IFERROR(INDEX('Taxonomy Rules'!$D$26:$D$37,MATCH(F43,'Taxonomy Rules'!$C$26:$C$37,0)),0)+IFERROR(INDEX('Taxonomy Rules'!$E$26:$E$37,MATCH(F43,'Taxonomy Rules'!$C$26:$C$37,0)),0)+IFERROR(INDEX('Taxonomy Rules'!$F$26:$F$37,MATCH(F43,'Taxonomy Rules'!$C$26:$C$37,0)),0)-1)&lt;0.000001),"Valid","Check weights")))</x:f>
      </x:c>
      <x:c r="X43" s="8"/>
    </x:row>
    <x:row r="44" ht="38" customHeight="1">
      <x:c r="A44" s="1"/>
      <x:c r="B44" s="1"/>
      <x:c r="C44" s="8"/>
      <x:c r="D44" s="9" t="str">
        <x:f>IF(C44="","",IFERROR(INDEX('Borrowers'!$D$9:$D$108,MATCH(C44,'Borrowers'!$C$9:$C$108,0)),""))</x:f>
      </x:c>
      <x:c r="E44" s="9" t="str">
        <x:f>IF(C44="","",IFERROR(INDEX('Borrowers'!$E$9:$E$108,MATCH(C44,'Borrowers'!$C$9:$C$108,0)),""))</x:f>
      </x:c>
      <x:c r="F44" s="9" t="str">
        <x:f>IF(C44="","",IFERROR(INDEX('Borrowers'!$F$9:$F$108,MATCH(C44,'Borrowers'!$C$9:$C$108,0)),""))</x:f>
      </x:c>
      <x:c r="G44" s="8"/>
      <x:c r="H44" s="8"/>
      <x:c r="I44" s="8"/>
      <x:c r="J44" s="8"/>
      <x:c r="K44" s="8"/>
      <x:c r="L44" s="8"/>
      <x:c r="M44" s="10"/>
      <x:c r="N44" s="10"/>
      <x:c r="O44" s="8"/>
      <x:c r="P44" s="37" t="str">
        <x:f>IF(C44="","",IF(AND(COUNT(I44:K44)=3,MIN(I44:K44)&gt;=0,MAX(I44:K44)&lt;=100,W44="Valid"),I44*IFERROR(INDEX('Taxonomy Rules'!$D$26:$D$37,MATCH(F44,'Taxonomy Rules'!$C$26:$C$37,0)),0)+J44*IFERROR(INDEX('Taxonomy Rules'!$E$26:$E$37,MATCH(F44,'Taxonomy Rules'!$C$26:$C$37,0)),0)+K44*IFERROR(INDEX('Taxonomy Rules'!$F$26:$F$37,MATCH(F44,'Taxonomy Rules'!$C$26:$C$37,0)),0),""))</x:f>
      </x:c>
      <x:c r="Q44" s="3" t="str">
        <x:f>IF(C44="","",IF(ISNUMBER(P44),IF(P44&gt;=80,"Strong",IF(P44&gt;=60,"Developing","Weak")),"Unrated"))</x:f>
      </x:c>
      <x:c r="R44" s="9" t="str">
        <x:f>IF(C44="","",COUNTIFS('Actions'!$D$9:$D$308,C44,'Actions'!$E$9:$E$308,"E&amp;S",'Actions'!$F$9:$F$308,"Critical",'Actions'!$P$9:$P$308,"&lt;&gt;Closed",'Actions'!$C$9:$C$308,"&lt;&gt;"))</x:f>
      </x:c>
      <x:c r="S44" s="9" t="str">
        <x:f>IF(C44="","",COUNTIFS('Actions'!$D$9:$D$308,C44,'Actions'!$Q$9:$Q$308,"Overdue",'Actions'!$C$9:$C$308,"&lt;&gt;"))</x:f>
      </x:c>
      <x:c r="T44" s="9" t="str">
        <x:f>IF(C44="","",IF(OR(COUNTIF($C$9:$C$108,C44)&lt;&gt;1,COUNTIF(Borrowers!$C$9:$C$108,C44)&lt;&gt;1),"Key review",IF(OR(L44="",O44="",NOT(OR(G44="High",G44="Moderate",G44="Low")),NOT(OR(H44="Yes",H44="No")),NOT(OR(X44="Standard",X44="Enhanced")),AND(G44="High",X44&lt;&gt;"Enhanced"),NOT(ISNUMBER(M44)),NOT(ISNUMBER(N44)),M44&gt;Settings!$F$8,N44&lt;M44,W44&lt;&gt;"Valid",NOT(ISNUMBER(P44)),COUNTIFS('Actions'!$D$9:$D$308,C44,'Actions'!$S$9:$S$308,"&lt;&gt;Valid",'Actions'!$C$9:$C$308,"&lt;&gt;")&gt;0),"Incomplete",IF(N44&lt;Settings!$F$8,"Expired","Current"))))</x:f>
      </x:c>
      <x:c r="U44" s="3" t="str">
        <x:f>IF(C44="","",IF(H44="Yes","Decline — prohibited",IF(R44&gt;0,"Hold — critical issue",IF(T44&lt;&gt;"Current","Hold — evidence",IF(V44&gt;0,"Conditions","Clear")))))</x:f>
      </x:c>
      <x:c r="V44" s="9" t="str">
        <x:f>IF(C44="","",COUNTIFS('Actions'!$D$9:$D$308,C44,'Actions'!$E$9:$E$308,"E&amp;S",'Actions'!$P$9:$P$308,"&lt;&gt;Closed",'Actions'!$C$9:$C$308,"&lt;&gt;"))</x:f>
      </x:c>
      <x:c r="W44" s="9" t="str">
        <x:f>IF(C44="","",IF(COUNTIF('Taxonomy Rules'!$C$26:$C$37,F44)&lt;&gt;1,"Sector missing",IF(AND(IFERROR(INDEX('Taxonomy Rules'!$D$26:$D$37,MATCH(F44,'Taxonomy Rules'!$C$26:$C$37,0)),0)&gt;=0,IFERROR(INDEX('Taxonomy Rules'!$E$26:$E$37,MATCH(F44,'Taxonomy Rules'!$C$26:$C$37,0)),0)&gt;=0,IFERROR(INDEX('Taxonomy Rules'!$F$26:$F$37,MATCH(F44,'Taxonomy Rules'!$C$26:$C$37,0)),0)&gt;=0,ABS(IFERROR(INDEX('Taxonomy Rules'!$D$26:$D$37,MATCH(F44,'Taxonomy Rules'!$C$26:$C$37,0)),0)+IFERROR(INDEX('Taxonomy Rules'!$E$26:$E$37,MATCH(F44,'Taxonomy Rules'!$C$26:$C$37,0)),0)+IFERROR(INDEX('Taxonomy Rules'!$F$26:$F$37,MATCH(F44,'Taxonomy Rules'!$C$26:$C$37,0)),0)-1)&lt;0.000001),"Valid","Check weights")))</x:f>
      </x:c>
      <x:c r="X44" s="8"/>
    </x:row>
    <x:row r="45" ht="38" customHeight="1">
      <x:c r="A45" s="1"/>
      <x:c r="B45" s="1"/>
      <x:c r="C45" s="8"/>
      <x:c r="D45" s="9" t="str">
        <x:f>IF(C45="","",IFERROR(INDEX('Borrowers'!$D$9:$D$108,MATCH(C45,'Borrowers'!$C$9:$C$108,0)),""))</x:f>
      </x:c>
      <x:c r="E45" s="9" t="str">
        <x:f>IF(C45="","",IFERROR(INDEX('Borrowers'!$E$9:$E$108,MATCH(C45,'Borrowers'!$C$9:$C$108,0)),""))</x:f>
      </x:c>
      <x:c r="F45" s="9" t="str">
        <x:f>IF(C45="","",IFERROR(INDEX('Borrowers'!$F$9:$F$108,MATCH(C45,'Borrowers'!$C$9:$C$108,0)),""))</x:f>
      </x:c>
      <x:c r="G45" s="8"/>
      <x:c r="H45" s="8"/>
      <x:c r="I45" s="8"/>
      <x:c r="J45" s="8"/>
      <x:c r="K45" s="8"/>
      <x:c r="L45" s="8"/>
      <x:c r="M45" s="10"/>
      <x:c r="N45" s="10"/>
      <x:c r="O45" s="8"/>
      <x:c r="P45" s="37" t="str">
        <x:f>IF(C45="","",IF(AND(COUNT(I45:K45)=3,MIN(I45:K45)&gt;=0,MAX(I45:K45)&lt;=100,W45="Valid"),I45*IFERROR(INDEX('Taxonomy Rules'!$D$26:$D$37,MATCH(F45,'Taxonomy Rules'!$C$26:$C$37,0)),0)+J45*IFERROR(INDEX('Taxonomy Rules'!$E$26:$E$37,MATCH(F45,'Taxonomy Rules'!$C$26:$C$37,0)),0)+K45*IFERROR(INDEX('Taxonomy Rules'!$F$26:$F$37,MATCH(F45,'Taxonomy Rules'!$C$26:$C$37,0)),0),""))</x:f>
      </x:c>
      <x:c r="Q45" s="3" t="str">
        <x:f>IF(C45="","",IF(ISNUMBER(P45),IF(P45&gt;=80,"Strong",IF(P45&gt;=60,"Developing","Weak")),"Unrated"))</x:f>
      </x:c>
      <x:c r="R45" s="9" t="str">
        <x:f>IF(C45="","",COUNTIFS('Actions'!$D$9:$D$308,C45,'Actions'!$E$9:$E$308,"E&amp;S",'Actions'!$F$9:$F$308,"Critical",'Actions'!$P$9:$P$308,"&lt;&gt;Closed",'Actions'!$C$9:$C$308,"&lt;&gt;"))</x:f>
      </x:c>
      <x:c r="S45" s="9" t="str">
        <x:f>IF(C45="","",COUNTIFS('Actions'!$D$9:$D$308,C45,'Actions'!$Q$9:$Q$308,"Overdue",'Actions'!$C$9:$C$308,"&lt;&gt;"))</x:f>
      </x:c>
      <x:c r="T45" s="9" t="str">
        <x:f>IF(C45="","",IF(OR(COUNTIF($C$9:$C$108,C45)&lt;&gt;1,COUNTIF(Borrowers!$C$9:$C$108,C45)&lt;&gt;1),"Key review",IF(OR(L45="",O45="",NOT(OR(G45="High",G45="Moderate",G45="Low")),NOT(OR(H45="Yes",H45="No")),NOT(OR(X45="Standard",X45="Enhanced")),AND(G45="High",X45&lt;&gt;"Enhanced"),NOT(ISNUMBER(M45)),NOT(ISNUMBER(N45)),M45&gt;Settings!$F$8,N45&lt;M45,W45&lt;&gt;"Valid",NOT(ISNUMBER(P45)),COUNTIFS('Actions'!$D$9:$D$308,C45,'Actions'!$S$9:$S$308,"&lt;&gt;Valid",'Actions'!$C$9:$C$308,"&lt;&gt;")&gt;0),"Incomplete",IF(N45&lt;Settings!$F$8,"Expired","Current"))))</x:f>
      </x:c>
      <x:c r="U45" s="3" t="str">
        <x:f>IF(C45="","",IF(H45="Yes","Decline — prohibited",IF(R45&gt;0,"Hold — critical issue",IF(T45&lt;&gt;"Current","Hold — evidence",IF(V45&gt;0,"Conditions","Clear")))))</x:f>
      </x:c>
      <x:c r="V45" s="9" t="str">
        <x:f>IF(C45="","",COUNTIFS('Actions'!$D$9:$D$308,C45,'Actions'!$E$9:$E$308,"E&amp;S",'Actions'!$P$9:$P$308,"&lt;&gt;Closed",'Actions'!$C$9:$C$308,"&lt;&gt;"))</x:f>
      </x:c>
      <x:c r="W45" s="9" t="str">
        <x:f>IF(C45="","",IF(COUNTIF('Taxonomy Rules'!$C$26:$C$37,F45)&lt;&gt;1,"Sector missing",IF(AND(IFERROR(INDEX('Taxonomy Rules'!$D$26:$D$37,MATCH(F45,'Taxonomy Rules'!$C$26:$C$37,0)),0)&gt;=0,IFERROR(INDEX('Taxonomy Rules'!$E$26:$E$37,MATCH(F45,'Taxonomy Rules'!$C$26:$C$37,0)),0)&gt;=0,IFERROR(INDEX('Taxonomy Rules'!$F$26:$F$37,MATCH(F45,'Taxonomy Rules'!$C$26:$C$37,0)),0)&gt;=0,ABS(IFERROR(INDEX('Taxonomy Rules'!$D$26:$D$37,MATCH(F45,'Taxonomy Rules'!$C$26:$C$37,0)),0)+IFERROR(INDEX('Taxonomy Rules'!$E$26:$E$37,MATCH(F45,'Taxonomy Rules'!$C$26:$C$37,0)),0)+IFERROR(INDEX('Taxonomy Rules'!$F$26:$F$37,MATCH(F45,'Taxonomy Rules'!$C$26:$C$37,0)),0)-1)&lt;0.000001),"Valid","Check weights")))</x:f>
      </x:c>
      <x:c r="X45" s="8"/>
    </x:row>
    <x:row r="46" ht="38" customHeight="1">
      <x:c r="A46" s="1"/>
      <x:c r="B46" s="1"/>
      <x:c r="C46" s="8"/>
      <x:c r="D46" s="9" t="str">
        <x:f>IF(C46="","",IFERROR(INDEX('Borrowers'!$D$9:$D$108,MATCH(C46,'Borrowers'!$C$9:$C$108,0)),""))</x:f>
      </x:c>
      <x:c r="E46" s="9" t="str">
        <x:f>IF(C46="","",IFERROR(INDEX('Borrowers'!$E$9:$E$108,MATCH(C46,'Borrowers'!$C$9:$C$108,0)),""))</x:f>
      </x:c>
      <x:c r="F46" s="9" t="str">
        <x:f>IF(C46="","",IFERROR(INDEX('Borrowers'!$F$9:$F$108,MATCH(C46,'Borrowers'!$C$9:$C$108,0)),""))</x:f>
      </x:c>
      <x:c r="G46" s="8"/>
      <x:c r="H46" s="8"/>
      <x:c r="I46" s="8"/>
      <x:c r="J46" s="8"/>
      <x:c r="K46" s="8"/>
      <x:c r="L46" s="8"/>
      <x:c r="M46" s="10"/>
      <x:c r="N46" s="10"/>
      <x:c r="O46" s="8"/>
      <x:c r="P46" s="37" t="str">
        <x:f>IF(C46="","",IF(AND(COUNT(I46:K46)=3,MIN(I46:K46)&gt;=0,MAX(I46:K46)&lt;=100,W46="Valid"),I46*IFERROR(INDEX('Taxonomy Rules'!$D$26:$D$37,MATCH(F46,'Taxonomy Rules'!$C$26:$C$37,0)),0)+J46*IFERROR(INDEX('Taxonomy Rules'!$E$26:$E$37,MATCH(F46,'Taxonomy Rules'!$C$26:$C$37,0)),0)+K46*IFERROR(INDEX('Taxonomy Rules'!$F$26:$F$37,MATCH(F46,'Taxonomy Rules'!$C$26:$C$37,0)),0),""))</x:f>
      </x:c>
      <x:c r="Q46" s="3" t="str">
        <x:f>IF(C46="","",IF(ISNUMBER(P46),IF(P46&gt;=80,"Strong",IF(P46&gt;=60,"Developing","Weak")),"Unrated"))</x:f>
      </x:c>
      <x:c r="R46" s="9" t="str">
        <x:f>IF(C46="","",COUNTIFS('Actions'!$D$9:$D$308,C46,'Actions'!$E$9:$E$308,"E&amp;S",'Actions'!$F$9:$F$308,"Critical",'Actions'!$P$9:$P$308,"&lt;&gt;Closed",'Actions'!$C$9:$C$308,"&lt;&gt;"))</x:f>
      </x:c>
      <x:c r="S46" s="9" t="str">
        <x:f>IF(C46="","",COUNTIFS('Actions'!$D$9:$D$308,C46,'Actions'!$Q$9:$Q$308,"Overdue",'Actions'!$C$9:$C$308,"&lt;&gt;"))</x:f>
      </x:c>
      <x:c r="T46" s="9" t="str">
        <x:f>IF(C46="","",IF(OR(COUNTIF($C$9:$C$108,C46)&lt;&gt;1,COUNTIF(Borrowers!$C$9:$C$108,C46)&lt;&gt;1),"Key review",IF(OR(L46="",O46="",NOT(OR(G46="High",G46="Moderate",G46="Low")),NOT(OR(H46="Yes",H46="No")),NOT(OR(X46="Standard",X46="Enhanced")),AND(G46="High",X46&lt;&gt;"Enhanced"),NOT(ISNUMBER(M46)),NOT(ISNUMBER(N46)),M46&gt;Settings!$F$8,N46&lt;M46,W46&lt;&gt;"Valid",NOT(ISNUMBER(P46)),COUNTIFS('Actions'!$D$9:$D$308,C46,'Actions'!$S$9:$S$308,"&lt;&gt;Valid",'Actions'!$C$9:$C$308,"&lt;&gt;")&gt;0),"Incomplete",IF(N46&lt;Settings!$F$8,"Expired","Current"))))</x:f>
      </x:c>
      <x:c r="U46" s="3" t="str">
        <x:f>IF(C46="","",IF(H46="Yes","Decline — prohibited",IF(R46&gt;0,"Hold — critical issue",IF(T46&lt;&gt;"Current","Hold — evidence",IF(V46&gt;0,"Conditions","Clear")))))</x:f>
      </x:c>
      <x:c r="V46" s="9" t="str">
        <x:f>IF(C46="","",COUNTIFS('Actions'!$D$9:$D$308,C46,'Actions'!$E$9:$E$308,"E&amp;S",'Actions'!$P$9:$P$308,"&lt;&gt;Closed",'Actions'!$C$9:$C$308,"&lt;&gt;"))</x:f>
      </x:c>
      <x:c r="W46" s="9" t="str">
        <x:f>IF(C46="","",IF(COUNTIF('Taxonomy Rules'!$C$26:$C$37,F46)&lt;&gt;1,"Sector missing",IF(AND(IFERROR(INDEX('Taxonomy Rules'!$D$26:$D$37,MATCH(F46,'Taxonomy Rules'!$C$26:$C$37,0)),0)&gt;=0,IFERROR(INDEX('Taxonomy Rules'!$E$26:$E$37,MATCH(F46,'Taxonomy Rules'!$C$26:$C$37,0)),0)&gt;=0,IFERROR(INDEX('Taxonomy Rules'!$F$26:$F$37,MATCH(F46,'Taxonomy Rules'!$C$26:$C$37,0)),0)&gt;=0,ABS(IFERROR(INDEX('Taxonomy Rules'!$D$26:$D$37,MATCH(F46,'Taxonomy Rules'!$C$26:$C$37,0)),0)+IFERROR(INDEX('Taxonomy Rules'!$E$26:$E$37,MATCH(F46,'Taxonomy Rules'!$C$26:$C$37,0)),0)+IFERROR(INDEX('Taxonomy Rules'!$F$26:$F$37,MATCH(F46,'Taxonomy Rules'!$C$26:$C$37,0)),0)-1)&lt;0.000001),"Valid","Check weights")))</x:f>
      </x:c>
      <x:c r="X46" s="8"/>
    </x:row>
    <x:row r="47" ht="38" customHeight="1">
      <x:c r="A47" s="1"/>
      <x:c r="B47" s="1"/>
      <x:c r="C47" s="8"/>
      <x:c r="D47" s="9" t="str">
        <x:f>IF(C47="","",IFERROR(INDEX('Borrowers'!$D$9:$D$108,MATCH(C47,'Borrowers'!$C$9:$C$108,0)),""))</x:f>
      </x:c>
      <x:c r="E47" s="9" t="str">
        <x:f>IF(C47="","",IFERROR(INDEX('Borrowers'!$E$9:$E$108,MATCH(C47,'Borrowers'!$C$9:$C$108,0)),""))</x:f>
      </x:c>
      <x:c r="F47" s="9" t="str">
        <x:f>IF(C47="","",IFERROR(INDEX('Borrowers'!$F$9:$F$108,MATCH(C47,'Borrowers'!$C$9:$C$108,0)),""))</x:f>
      </x:c>
      <x:c r="G47" s="8"/>
      <x:c r="H47" s="8"/>
      <x:c r="I47" s="8"/>
      <x:c r="J47" s="8"/>
      <x:c r="K47" s="8"/>
      <x:c r="L47" s="8"/>
      <x:c r="M47" s="10"/>
      <x:c r="N47" s="10"/>
      <x:c r="O47" s="8"/>
      <x:c r="P47" s="37" t="str">
        <x:f>IF(C47="","",IF(AND(COUNT(I47:K47)=3,MIN(I47:K47)&gt;=0,MAX(I47:K47)&lt;=100,W47="Valid"),I47*IFERROR(INDEX('Taxonomy Rules'!$D$26:$D$37,MATCH(F47,'Taxonomy Rules'!$C$26:$C$37,0)),0)+J47*IFERROR(INDEX('Taxonomy Rules'!$E$26:$E$37,MATCH(F47,'Taxonomy Rules'!$C$26:$C$37,0)),0)+K47*IFERROR(INDEX('Taxonomy Rules'!$F$26:$F$37,MATCH(F47,'Taxonomy Rules'!$C$26:$C$37,0)),0),""))</x:f>
      </x:c>
      <x:c r="Q47" s="3" t="str">
        <x:f>IF(C47="","",IF(ISNUMBER(P47),IF(P47&gt;=80,"Strong",IF(P47&gt;=60,"Developing","Weak")),"Unrated"))</x:f>
      </x:c>
      <x:c r="R47" s="9" t="str">
        <x:f>IF(C47="","",COUNTIFS('Actions'!$D$9:$D$308,C47,'Actions'!$E$9:$E$308,"E&amp;S",'Actions'!$F$9:$F$308,"Critical",'Actions'!$P$9:$P$308,"&lt;&gt;Closed",'Actions'!$C$9:$C$308,"&lt;&gt;"))</x:f>
      </x:c>
      <x:c r="S47" s="9" t="str">
        <x:f>IF(C47="","",COUNTIFS('Actions'!$D$9:$D$308,C47,'Actions'!$Q$9:$Q$308,"Overdue",'Actions'!$C$9:$C$308,"&lt;&gt;"))</x:f>
      </x:c>
      <x:c r="T47" s="9" t="str">
        <x:f>IF(C47="","",IF(OR(COUNTIF($C$9:$C$108,C47)&lt;&gt;1,COUNTIF(Borrowers!$C$9:$C$108,C47)&lt;&gt;1),"Key review",IF(OR(L47="",O47="",NOT(OR(G47="High",G47="Moderate",G47="Low")),NOT(OR(H47="Yes",H47="No")),NOT(OR(X47="Standard",X47="Enhanced")),AND(G47="High",X47&lt;&gt;"Enhanced"),NOT(ISNUMBER(M47)),NOT(ISNUMBER(N47)),M47&gt;Settings!$F$8,N47&lt;M47,W47&lt;&gt;"Valid",NOT(ISNUMBER(P47)),COUNTIFS('Actions'!$D$9:$D$308,C47,'Actions'!$S$9:$S$308,"&lt;&gt;Valid",'Actions'!$C$9:$C$308,"&lt;&gt;")&gt;0),"Incomplete",IF(N47&lt;Settings!$F$8,"Expired","Current"))))</x:f>
      </x:c>
      <x:c r="U47" s="3" t="str">
        <x:f>IF(C47="","",IF(H47="Yes","Decline — prohibited",IF(R47&gt;0,"Hold — critical issue",IF(T47&lt;&gt;"Current","Hold — evidence",IF(V47&gt;0,"Conditions","Clear")))))</x:f>
      </x:c>
      <x:c r="V47" s="9" t="str">
        <x:f>IF(C47="","",COUNTIFS('Actions'!$D$9:$D$308,C47,'Actions'!$E$9:$E$308,"E&amp;S",'Actions'!$P$9:$P$308,"&lt;&gt;Closed",'Actions'!$C$9:$C$308,"&lt;&gt;"))</x:f>
      </x:c>
      <x:c r="W47" s="9" t="str">
        <x:f>IF(C47="","",IF(COUNTIF('Taxonomy Rules'!$C$26:$C$37,F47)&lt;&gt;1,"Sector missing",IF(AND(IFERROR(INDEX('Taxonomy Rules'!$D$26:$D$37,MATCH(F47,'Taxonomy Rules'!$C$26:$C$37,0)),0)&gt;=0,IFERROR(INDEX('Taxonomy Rules'!$E$26:$E$37,MATCH(F47,'Taxonomy Rules'!$C$26:$C$37,0)),0)&gt;=0,IFERROR(INDEX('Taxonomy Rules'!$F$26:$F$37,MATCH(F47,'Taxonomy Rules'!$C$26:$C$37,0)),0)&gt;=0,ABS(IFERROR(INDEX('Taxonomy Rules'!$D$26:$D$37,MATCH(F47,'Taxonomy Rules'!$C$26:$C$37,0)),0)+IFERROR(INDEX('Taxonomy Rules'!$E$26:$E$37,MATCH(F47,'Taxonomy Rules'!$C$26:$C$37,0)),0)+IFERROR(INDEX('Taxonomy Rules'!$F$26:$F$37,MATCH(F47,'Taxonomy Rules'!$C$26:$C$37,0)),0)-1)&lt;0.000001),"Valid","Check weights")))</x:f>
      </x:c>
      <x:c r="X47" s="8"/>
    </x:row>
    <x:row r="48" ht="38" customHeight="1">
      <x:c r="A48" s="1"/>
      <x:c r="B48" s="1"/>
      <x:c r="C48" s="8"/>
      <x:c r="D48" s="9" t="str">
        <x:f>IF(C48="","",IFERROR(INDEX('Borrowers'!$D$9:$D$108,MATCH(C48,'Borrowers'!$C$9:$C$108,0)),""))</x:f>
      </x:c>
      <x:c r="E48" s="9" t="str">
        <x:f>IF(C48="","",IFERROR(INDEX('Borrowers'!$E$9:$E$108,MATCH(C48,'Borrowers'!$C$9:$C$108,0)),""))</x:f>
      </x:c>
      <x:c r="F48" s="9" t="str">
        <x:f>IF(C48="","",IFERROR(INDEX('Borrowers'!$F$9:$F$108,MATCH(C48,'Borrowers'!$C$9:$C$108,0)),""))</x:f>
      </x:c>
      <x:c r="G48" s="8"/>
      <x:c r="H48" s="8"/>
      <x:c r="I48" s="8"/>
      <x:c r="J48" s="8"/>
      <x:c r="K48" s="8"/>
      <x:c r="L48" s="8"/>
      <x:c r="M48" s="10"/>
      <x:c r="N48" s="10"/>
      <x:c r="O48" s="8"/>
      <x:c r="P48" s="37" t="str">
        <x:f>IF(C48="","",IF(AND(COUNT(I48:K48)=3,MIN(I48:K48)&gt;=0,MAX(I48:K48)&lt;=100,W48="Valid"),I48*IFERROR(INDEX('Taxonomy Rules'!$D$26:$D$37,MATCH(F48,'Taxonomy Rules'!$C$26:$C$37,0)),0)+J48*IFERROR(INDEX('Taxonomy Rules'!$E$26:$E$37,MATCH(F48,'Taxonomy Rules'!$C$26:$C$37,0)),0)+K48*IFERROR(INDEX('Taxonomy Rules'!$F$26:$F$37,MATCH(F48,'Taxonomy Rules'!$C$26:$C$37,0)),0),""))</x:f>
      </x:c>
      <x:c r="Q48" s="3" t="str">
        <x:f>IF(C48="","",IF(ISNUMBER(P48),IF(P48&gt;=80,"Strong",IF(P48&gt;=60,"Developing","Weak")),"Unrated"))</x:f>
      </x:c>
      <x:c r="R48" s="9" t="str">
        <x:f>IF(C48="","",COUNTIFS('Actions'!$D$9:$D$308,C48,'Actions'!$E$9:$E$308,"E&amp;S",'Actions'!$F$9:$F$308,"Critical",'Actions'!$P$9:$P$308,"&lt;&gt;Closed",'Actions'!$C$9:$C$308,"&lt;&gt;"))</x:f>
      </x:c>
      <x:c r="S48" s="9" t="str">
        <x:f>IF(C48="","",COUNTIFS('Actions'!$D$9:$D$308,C48,'Actions'!$Q$9:$Q$308,"Overdue",'Actions'!$C$9:$C$308,"&lt;&gt;"))</x:f>
      </x:c>
      <x:c r="T48" s="9" t="str">
        <x:f>IF(C48="","",IF(OR(COUNTIF($C$9:$C$108,C48)&lt;&gt;1,COUNTIF(Borrowers!$C$9:$C$108,C48)&lt;&gt;1),"Key review",IF(OR(L48="",O48="",NOT(OR(G48="High",G48="Moderate",G48="Low")),NOT(OR(H48="Yes",H48="No")),NOT(OR(X48="Standard",X48="Enhanced")),AND(G48="High",X48&lt;&gt;"Enhanced"),NOT(ISNUMBER(M48)),NOT(ISNUMBER(N48)),M48&gt;Settings!$F$8,N48&lt;M48,W48&lt;&gt;"Valid",NOT(ISNUMBER(P48)),COUNTIFS('Actions'!$D$9:$D$308,C48,'Actions'!$S$9:$S$308,"&lt;&gt;Valid",'Actions'!$C$9:$C$308,"&lt;&gt;")&gt;0),"Incomplete",IF(N48&lt;Settings!$F$8,"Expired","Current"))))</x:f>
      </x:c>
      <x:c r="U48" s="3" t="str">
        <x:f>IF(C48="","",IF(H48="Yes","Decline — prohibited",IF(R48&gt;0,"Hold — critical issue",IF(T48&lt;&gt;"Current","Hold — evidence",IF(V48&gt;0,"Conditions","Clear")))))</x:f>
      </x:c>
      <x:c r="V48" s="9" t="str">
        <x:f>IF(C48="","",COUNTIFS('Actions'!$D$9:$D$308,C48,'Actions'!$E$9:$E$308,"E&amp;S",'Actions'!$P$9:$P$308,"&lt;&gt;Closed",'Actions'!$C$9:$C$308,"&lt;&gt;"))</x:f>
      </x:c>
      <x:c r="W48" s="9" t="str">
        <x:f>IF(C48="","",IF(COUNTIF('Taxonomy Rules'!$C$26:$C$37,F48)&lt;&gt;1,"Sector missing",IF(AND(IFERROR(INDEX('Taxonomy Rules'!$D$26:$D$37,MATCH(F48,'Taxonomy Rules'!$C$26:$C$37,0)),0)&gt;=0,IFERROR(INDEX('Taxonomy Rules'!$E$26:$E$37,MATCH(F48,'Taxonomy Rules'!$C$26:$C$37,0)),0)&gt;=0,IFERROR(INDEX('Taxonomy Rules'!$F$26:$F$37,MATCH(F48,'Taxonomy Rules'!$C$26:$C$37,0)),0)&gt;=0,ABS(IFERROR(INDEX('Taxonomy Rules'!$D$26:$D$37,MATCH(F48,'Taxonomy Rules'!$C$26:$C$37,0)),0)+IFERROR(INDEX('Taxonomy Rules'!$E$26:$E$37,MATCH(F48,'Taxonomy Rules'!$C$26:$C$37,0)),0)+IFERROR(INDEX('Taxonomy Rules'!$F$26:$F$37,MATCH(F48,'Taxonomy Rules'!$C$26:$C$37,0)),0)-1)&lt;0.000001),"Valid","Check weights")))</x:f>
      </x:c>
      <x:c r="X48" s="8"/>
    </x:row>
    <x:row r="49" ht="38" customHeight="1">
      <x:c r="A49" s="1"/>
      <x:c r="B49" s="1"/>
      <x:c r="C49" s="8"/>
      <x:c r="D49" s="9" t="str">
        <x:f>IF(C49="","",IFERROR(INDEX('Borrowers'!$D$9:$D$108,MATCH(C49,'Borrowers'!$C$9:$C$108,0)),""))</x:f>
      </x:c>
      <x:c r="E49" s="9" t="str">
        <x:f>IF(C49="","",IFERROR(INDEX('Borrowers'!$E$9:$E$108,MATCH(C49,'Borrowers'!$C$9:$C$108,0)),""))</x:f>
      </x:c>
      <x:c r="F49" s="9" t="str">
        <x:f>IF(C49="","",IFERROR(INDEX('Borrowers'!$F$9:$F$108,MATCH(C49,'Borrowers'!$C$9:$C$108,0)),""))</x:f>
      </x:c>
      <x:c r="G49" s="8"/>
      <x:c r="H49" s="8"/>
      <x:c r="I49" s="8"/>
      <x:c r="J49" s="8"/>
      <x:c r="K49" s="8"/>
      <x:c r="L49" s="8"/>
      <x:c r="M49" s="10"/>
      <x:c r="N49" s="10"/>
      <x:c r="O49" s="8"/>
      <x:c r="P49" s="37" t="str">
        <x:f>IF(C49="","",IF(AND(COUNT(I49:K49)=3,MIN(I49:K49)&gt;=0,MAX(I49:K49)&lt;=100,W49="Valid"),I49*IFERROR(INDEX('Taxonomy Rules'!$D$26:$D$37,MATCH(F49,'Taxonomy Rules'!$C$26:$C$37,0)),0)+J49*IFERROR(INDEX('Taxonomy Rules'!$E$26:$E$37,MATCH(F49,'Taxonomy Rules'!$C$26:$C$37,0)),0)+K49*IFERROR(INDEX('Taxonomy Rules'!$F$26:$F$37,MATCH(F49,'Taxonomy Rules'!$C$26:$C$37,0)),0),""))</x:f>
      </x:c>
      <x:c r="Q49" s="3" t="str">
        <x:f>IF(C49="","",IF(ISNUMBER(P49),IF(P49&gt;=80,"Strong",IF(P49&gt;=60,"Developing","Weak")),"Unrated"))</x:f>
      </x:c>
      <x:c r="R49" s="9" t="str">
        <x:f>IF(C49="","",COUNTIFS('Actions'!$D$9:$D$308,C49,'Actions'!$E$9:$E$308,"E&amp;S",'Actions'!$F$9:$F$308,"Critical",'Actions'!$P$9:$P$308,"&lt;&gt;Closed",'Actions'!$C$9:$C$308,"&lt;&gt;"))</x:f>
      </x:c>
      <x:c r="S49" s="9" t="str">
        <x:f>IF(C49="","",COUNTIFS('Actions'!$D$9:$D$308,C49,'Actions'!$Q$9:$Q$308,"Overdue",'Actions'!$C$9:$C$308,"&lt;&gt;"))</x:f>
      </x:c>
      <x:c r="T49" s="9" t="str">
        <x:f>IF(C49="","",IF(OR(COUNTIF($C$9:$C$108,C49)&lt;&gt;1,COUNTIF(Borrowers!$C$9:$C$108,C49)&lt;&gt;1),"Key review",IF(OR(L49="",O49="",NOT(OR(G49="High",G49="Moderate",G49="Low")),NOT(OR(H49="Yes",H49="No")),NOT(OR(X49="Standard",X49="Enhanced")),AND(G49="High",X49&lt;&gt;"Enhanced"),NOT(ISNUMBER(M49)),NOT(ISNUMBER(N49)),M49&gt;Settings!$F$8,N49&lt;M49,W49&lt;&gt;"Valid",NOT(ISNUMBER(P49)),COUNTIFS('Actions'!$D$9:$D$308,C49,'Actions'!$S$9:$S$308,"&lt;&gt;Valid",'Actions'!$C$9:$C$308,"&lt;&gt;")&gt;0),"Incomplete",IF(N49&lt;Settings!$F$8,"Expired","Current"))))</x:f>
      </x:c>
      <x:c r="U49" s="3" t="str">
        <x:f>IF(C49="","",IF(H49="Yes","Decline — prohibited",IF(R49&gt;0,"Hold — critical issue",IF(T49&lt;&gt;"Current","Hold — evidence",IF(V49&gt;0,"Conditions","Clear")))))</x:f>
      </x:c>
      <x:c r="V49" s="9" t="str">
        <x:f>IF(C49="","",COUNTIFS('Actions'!$D$9:$D$308,C49,'Actions'!$E$9:$E$308,"E&amp;S",'Actions'!$P$9:$P$308,"&lt;&gt;Closed",'Actions'!$C$9:$C$308,"&lt;&gt;"))</x:f>
      </x:c>
      <x:c r="W49" s="9" t="str">
        <x:f>IF(C49="","",IF(COUNTIF('Taxonomy Rules'!$C$26:$C$37,F49)&lt;&gt;1,"Sector missing",IF(AND(IFERROR(INDEX('Taxonomy Rules'!$D$26:$D$37,MATCH(F49,'Taxonomy Rules'!$C$26:$C$37,0)),0)&gt;=0,IFERROR(INDEX('Taxonomy Rules'!$E$26:$E$37,MATCH(F49,'Taxonomy Rules'!$C$26:$C$37,0)),0)&gt;=0,IFERROR(INDEX('Taxonomy Rules'!$F$26:$F$37,MATCH(F49,'Taxonomy Rules'!$C$26:$C$37,0)),0)&gt;=0,ABS(IFERROR(INDEX('Taxonomy Rules'!$D$26:$D$37,MATCH(F49,'Taxonomy Rules'!$C$26:$C$37,0)),0)+IFERROR(INDEX('Taxonomy Rules'!$E$26:$E$37,MATCH(F49,'Taxonomy Rules'!$C$26:$C$37,0)),0)+IFERROR(INDEX('Taxonomy Rules'!$F$26:$F$37,MATCH(F49,'Taxonomy Rules'!$C$26:$C$37,0)),0)-1)&lt;0.000001),"Valid","Check weights")))</x:f>
      </x:c>
      <x:c r="X49" s="8"/>
    </x:row>
    <x:row r="50" ht="38" customHeight="1">
      <x:c r="A50" s="1"/>
      <x:c r="B50" s="1"/>
      <x:c r="C50" s="8"/>
      <x:c r="D50" s="9" t="str">
        <x:f>IF(C50="","",IFERROR(INDEX('Borrowers'!$D$9:$D$108,MATCH(C50,'Borrowers'!$C$9:$C$108,0)),""))</x:f>
      </x:c>
      <x:c r="E50" s="9" t="str">
        <x:f>IF(C50="","",IFERROR(INDEX('Borrowers'!$E$9:$E$108,MATCH(C50,'Borrowers'!$C$9:$C$108,0)),""))</x:f>
      </x:c>
      <x:c r="F50" s="9" t="str">
        <x:f>IF(C50="","",IFERROR(INDEX('Borrowers'!$F$9:$F$108,MATCH(C50,'Borrowers'!$C$9:$C$108,0)),""))</x:f>
      </x:c>
      <x:c r="G50" s="8"/>
      <x:c r="H50" s="8"/>
      <x:c r="I50" s="8"/>
      <x:c r="J50" s="8"/>
      <x:c r="K50" s="8"/>
      <x:c r="L50" s="8"/>
      <x:c r="M50" s="10"/>
      <x:c r="N50" s="10"/>
      <x:c r="O50" s="8"/>
      <x:c r="P50" s="37" t="str">
        <x:f>IF(C50="","",IF(AND(COUNT(I50:K50)=3,MIN(I50:K50)&gt;=0,MAX(I50:K50)&lt;=100,W50="Valid"),I50*IFERROR(INDEX('Taxonomy Rules'!$D$26:$D$37,MATCH(F50,'Taxonomy Rules'!$C$26:$C$37,0)),0)+J50*IFERROR(INDEX('Taxonomy Rules'!$E$26:$E$37,MATCH(F50,'Taxonomy Rules'!$C$26:$C$37,0)),0)+K50*IFERROR(INDEX('Taxonomy Rules'!$F$26:$F$37,MATCH(F50,'Taxonomy Rules'!$C$26:$C$37,0)),0),""))</x:f>
      </x:c>
      <x:c r="Q50" s="3" t="str">
        <x:f>IF(C50="","",IF(ISNUMBER(P50),IF(P50&gt;=80,"Strong",IF(P50&gt;=60,"Developing","Weak")),"Unrated"))</x:f>
      </x:c>
      <x:c r="R50" s="9" t="str">
        <x:f>IF(C50="","",COUNTIFS('Actions'!$D$9:$D$308,C50,'Actions'!$E$9:$E$308,"E&amp;S",'Actions'!$F$9:$F$308,"Critical",'Actions'!$P$9:$P$308,"&lt;&gt;Closed",'Actions'!$C$9:$C$308,"&lt;&gt;"))</x:f>
      </x:c>
      <x:c r="S50" s="9" t="str">
        <x:f>IF(C50="","",COUNTIFS('Actions'!$D$9:$D$308,C50,'Actions'!$Q$9:$Q$308,"Overdue",'Actions'!$C$9:$C$308,"&lt;&gt;"))</x:f>
      </x:c>
      <x:c r="T50" s="9" t="str">
        <x:f>IF(C50="","",IF(OR(COUNTIF($C$9:$C$108,C50)&lt;&gt;1,COUNTIF(Borrowers!$C$9:$C$108,C50)&lt;&gt;1),"Key review",IF(OR(L50="",O50="",NOT(OR(G50="High",G50="Moderate",G50="Low")),NOT(OR(H50="Yes",H50="No")),NOT(OR(X50="Standard",X50="Enhanced")),AND(G50="High",X50&lt;&gt;"Enhanced"),NOT(ISNUMBER(M50)),NOT(ISNUMBER(N50)),M50&gt;Settings!$F$8,N50&lt;M50,W50&lt;&gt;"Valid",NOT(ISNUMBER(P50)),COUNTIFS('Actions'!$D$9:$D$308,C50,'Actions'!$S$9:$S$308,"&lt;&gt;Valid",'Actions'!$C$9:$C$308,"&lt;&gt;")&gt;0),"Incomplete",IF(N50&lt;Settings!$F$8,"Expired","Current"))))</x:f>
      </x:c>
      <x:c r="U50" s="3" t="str">
        <x:f>IF(C50="","",IF(H50="Yes","Decline — prohibited",IF(R50&gt;0,"Hold — critical issue",IF(T50&lt;&gt;"Current","Hold — evidence",IF(V50&gt;0,"Conditions","Clear")))))</x:f>
      </x:c>
      <x:c r="V50" s="9" t="str">
        <x:f>IF(C50="","",COUNTIFS('Actions'!$D$9:$D$308,C50,'Actions'!$E$9:$E$308,"E&amp;S",'Actions'!$P$9:$P$308,"&lt;&gt;Closed",'Actions'!$C$9:$C$308,"&lt;&gt;"))</x:f>
      </x:c>
      <x:c r="W50" s="9" t="str">
        <x:f>IF(C50="","",IF(COUNTIF('Taxonomy Rules'!$C$26:$C$37,F50)&lt;&gt;1,"Sector missing",IF(AND(IFERROR(INDEX('Taxonomy Rules'!$D$26:$D$37,MATCH(F50,'Taxonomy Rules'!$C$26:$C$37,0)),0)&gt;=0,IFERROR(INDEX('Taxonomy Rules'!$E$26:$E$37,MATCH(F50,'Taxonomy Rules'!$C$26:$C$37,0)),0)&gt;=0,IFERROR(INDEX('Taxonomy Rules'!$F$26:$F$37,MATCH(F50,'Taxonomy Rules'!$C$26:$C$37,0)),0)&gt;=0,ABS(IFERROR(INDEX('Taxonomy Rules'!$D$26:$D$37,MATCH(F50,'Taxonomy Rules'!$C$26:$C$37,0)),0)+IFERROR(INDEX('Taxonomy Rules'!$E$26:$E$37,MATCH(F50,'Taxonomy Rules'!$C$26:$C$37,0)),0)+IFERROR(INDEX('Taxonomy Rules'!$F$26:$F$37,MATCH(F50,'Taxonomy Rules'!$C$26:$C$37,0)),0)-1)&lt;0.000001),"Valid","Check weights")))</x:f>
      </x:c>
      <x:c r="X50" s="8"/>
    </x:row>
    <x:row r="51" ht="38" customHeight="1">
      <x:c r="A51" s="1"/>
      <x:c r="B51" s="1"/>
      <x:c r="C51" s="8"/>
      <x:c r="D51" s="9" t="str">
        <x:f>IF(C51="","",IFERROR(INDEX('Borrowers'!$D$9:$D$108,MATCH(C51,'Borrowers'!$C$9:$C$108,0)),""))</x:f>
      </x:c>
      <x:c r="E51" s="9" t="str">
        <x:f>IF(C51="","",IFERROR(INDEX('Borrowers'!$E$9:$E$108,MATCH(C51,'Borrowers'!$C$9:$C$108,0)),""))</x:f>
      </x:c>
      <x:c r="F51" s="9" t="str">
        <x:f>IF(C51="","",IFERROR(INDEX('Borrowers'!$F$9:$F$108,MATCH(C51,'Borrowers'!$C$9:$C$108,0)),""))</x:f>
      </x:c>
      <x:c r="G51" s="8"/>
      <x:c r="H51" s="8"/>
      <x:c r="I51" s="8"/>
      <x:c r="J51" s="8"/>
      <x:c r="K51" s="8"/>
      <x:c r="L51" s="8"/>
      <x:c r="M51" s="10"/>
      <x:c r="N51" s="10"/>
      <x:c r="O51" s="8"/>
      <x:c r="P51" s="37" t="str">
        <x:f>IF(C51="","",IF(AND(COUNT(I51:K51)=3,MIN(I51:K51)&gt;=0,MAX(I51:K51)&lt;=100,W51="Valid"),I51*IFERROR(INDEX('Taxonomy Rules'!$D$26:$D$37,MATCH(F51,'Taxonomy Rules'!$C$26:$C$37,0)),0)+J51*IFERROR(INDEX('Taxonomy Rules'!$E$26:$E$37,MATCH(F51,'Taxonomy Rules'!$C$26:$C$37,0)),0)+K51*IFERROR(INDEX('Taxonomy Rules'!$F$26:$F$37,MATCH(F51,'Taxonomy Rules'!$C$26:$C$37,0)),0),""))</x:f>
      </x:c>
      <x:c r="Q51" s="3" t="str">
        <x:f>IF(C51="","",IF(ISNUMBER(P51),IF(P51&gt;=80,"Strong",IF(P51&gt;=60,"Developing","Weak")),"Unrated"))</x:f>
      </x:c>
      <x:c r="R51" s="9" t="str">
        <x:f>IF(C51="","",COUNTIFS('Actions'!$D$9:$D$308,C51,'Actions'!$E$9:$E$308,"E&amp;S",'Actions'!$F$9:$F$308,"Critical",'Actions'!$P$9:$P$308,"&lt;&gt;Closed",'Actions'!$C$9:$C$308,"&lt;&gt;"))</x:f>
      </x:c>
      <x:c r="S51" s="9" t="str">
        <x:f>IF(C51="","",COUNTIFS('Actions'!$D$9:$D$308,C51,'Actions'!$Q$9:$Q$308,"Overdue",'Actions'!$C$9:$C$308,"&lt;&gt;"))</x:f>
      </x:c>
      <x:c r="T51" s="9" t="str">
        <x:f>IF(C51="","",IF(OR(COUNTIF($C$9:$C$108,C51)&lt;&gt;1,COUNTIF(Borrowers!$C$9:$C$108,C51)&lt;&gt;1),"Key review",IF(OR(L51="",O51="",NOT(OR(G51="High",G51="Moderate",G51="Low")),NOT(OR(H51="Yes",H51="No")),NOT(OR(X51="Standard",X51="Enhanced")),AND(G51="High",X51&lt;&gt;"Enhanced"),NOT(ISNUMBER(M51)),NOT(ISNUMBER(N51)),M51&gt;Settings!$F$8,N51&lt;M51,W51&lt;&gt;"Valid",NOT(ISNUMBER(P51)),COUNTIFS('Actions'!$D$9:$D$308,C51,'Actions'!$S$9:$S$308,"&lt;&gt;Valid",'Actions'!$C$9:$C$308,"&lt;&gt;")&gt;0),"Incomplete",IF(N51&lt;Settings!$F$8,"Expired","Current"))))</x:f>
      </x:c>
      <x:c r="U51" s="3" t="str">
        <x:f>IF(C51="","",IF(H51="Yes","Decline — prohibited",IF(R51&gt;0,"Hold — critical issue",IF(T51&lt;&gt;"Current","Hold — evidence",IF(V51&gt;0,"Conditions","Clear")))))</x:f>
      </x:c>
      <x:c r="V51" s="9" t="str">
        <x:f>IF(C51="","",COUNTIFS('Actions'!$D$9:$D$308,C51,'Actions'!$E$9:$E$308,"E&amp;S",'Actions'!$P$9:$P$308,"&lt;&gt;Closed",'Actions'!$C$9:$C$308,"&lt;&gt;"))</x:f>
      </x:c>
      <x:c r="W51" s="9" t="str">
        <x:f>IF(C51="","",IF(COUNTIF('Taxonomy Rules'!$C$26:$C$37,F51)&lt;&gt;1,"Sector missing",IF(AND(IFERROR(INDEX('Taxonomy Rules'!$D$26:$D$37,MATCH(F51,'Taxonomy Rules'!$C$26:$C$37,0)),0)&gt;=0,IFERROR(INDEX('Taxonomy Rules'!$E$26:$E$37,MATCH(F51,'Taxonomy Rules'!$C$26:$C$37,0)),0)&gt;=0,IFERROR(INDEX('Taxonomy Rules'!$F$26:$F$37,MATCH(F51,'Taxonomy Rules'!$C$26:$C$37,0)),0)&gt;=0,ABS(IFERROR(INDEX('Taxonomy Rules'!$D$26:$D$37,MATCH(F51,'Taxonomy Rules'!$C$26:$C$37,0)),0)+IFERROR(INDEX('Taxonomy Rules'!$E$26:$E$37,MATCH(F51,'Taxonomy Rules'!$C$26:$C$37,0)),0)+IFERROR(INDEX('Taxonomy Rules'!$F$26:$F$37,MATCH(F51,'Taxonomy Rules'!$C$26:$C$37,0)),0)-1)&lt;0.000001),"Valid","Check weights")))</x:f>
      </x:c>
      <x:c r="X51" s="8"/>
    </x:row>
    <x:row r="52" ht="38" customHeight="1">
      <x:c r="A52" s="1"/>
      <x:c r="B52" s="1"/>
      <x:c r="C52" s="8"/>
      <x:c r="D52" s="9" t="str">
        <x:f>IF(C52="","",IFERROR(INDEX('Borrowers'!$D$9:$D$108,MATCH(C52,'Borrowers'!$C$9:$C$108,0)),""))</x:f>
      </x:c>
      <x:c r="E52" s="9" t="str">
        <x:f>IF(C52="","",IFERROR(INDEX('Borrowers'!$E$9:$E$108,MATCH(C52,'Borrowers'!$C$9:$C$108,0)),""))</x:f>
      </x:c>
      <x:c r="F52" s="9" t="str">
        <x:f>IF(C52="","",IFERROR(INDEX('Borrowers'!$F$9:$F$108,MATCH(C52,'Borrowers'!$C$9:$C$108,0)),""))</x:f>
      </x:c>
      <x:c r="G52" s="8"/>
      <x:c r="H52" s="8"/>
      <x:c r="I52" s="8"/>
      <x:c r="J52" s="8"/>
      <x:c r="K52" s="8"/>
      <x:c r="L52" s="8"/>
      <x:c r="M52" s="10"/>
      <x:c r="N52" s="10"/>
      <x:c r="O52" s="8"/>
      <x:c r="P52" s="37" t="str">
        <x:f>IF(C52="","",IF(AND(COUNT(I52:K52)=3,MIN(I52:K52)&gt;=0,MAX(I52:K52)&lt;=100,W52="Valid"),I52*IFERROR(INDEX('Taxonomy Rules'!$D$26:$D$37,MATCH(F52,'Taxonomy Rules'!$C$26:$C$37,0)),0)+J52*IFERROR(INDEX('Taxonomy Rules'!$E$26:$E$37,MATCH(F52,'Taxonomy Rules'!$C$26:$C$37,0)),0)+K52*IFERROR(INDEX('Taxonomy Rules'!$F$26:$F$37,MATCH(F52,'Taxonomy Rules'!$C$26:$C$37,0)),0),""))</x:f>
      </x:c>
      <x:c r="Q52" s="3" t="str">
        <x:f>IF(C52="","",IF(ISNUMBER(P52),IF(P52&gt;=80,"Strong",IF(P52&gt;=60,"Developing","Weak")),"Unrated"))</x:f>
      </x:c>
      <x:c r="R52" s="9" t="str">
        <x:f>IF(C52="","",COUNTIFS('Actions'!$D$9:$D$308,C52,'Actions'!$E$9:$E$308,"E&amp;S",'Actions'!$F$9:$F$308,"Critical",'Actions'!$P$9:$P$308,"&lt;&gt;Closed",'Actions'!$C$9:$C$308,"&lt;&gt;"))</x:f>
      </x:c>
      <x:c r="S52" s="9" t="str">
        <x:f>IF(C52="","",COUNTIFS('Actions'!$D$9:$D$308,C52,'Actions'!$Q$9:$Q$308,"Overdue",'Actions'!$C$9:$C$308,"&lt;&gt;"))</x:f>
      </x:c>
      <x:c r="T52" s="9" t="str">
        <x:f>IF(C52="","",IF(OR(COUNTIF($C$9:$C$108,C52)&lt;&gt;1,COUNTIF(Borrowers!$C$9:$C$108,C52)&lt;&gt;1),"Key review",IF(OR(L52="",O52="",NOT(OR(G52="High",G52="Moderate",G52="Low")),NOT(OR(H52="Yes",H52="No")),NOT(OR(X52="Standard",X52="Enhanced")),AND(G52="High",X52&lt;&gt;"Enhanced"),NOT(ISNUMBER(M52)),NOT(ISNUMBER(N52)),M52&gt;Settings!$F$8,N52&lt;M52,W52&lt;&gt;"Valid",NOT(ISNUMBER(P52)),COUNTIFS('Actions'!$D$9:$D$308,C52,'Actions'!$S$9:$S$308,"&lt;&gt;Valid",'Actions'!$C$9:$C$308,"&lt;&gt;")&gt;0),"Incomplete",IF(N52&lt;Settings!$F$8,"Expired","Current"))))</x:f>
      </x:c>
      <x:c r="U52" s="3" t="str">
        <x:f>IF(C52="","",IF(H52="Yes","Decline — prohibited",IF(R52&gt;0,"Hold — critical issue",IF(T52&lt;&gt;"Current","Hold — evidence",IF(V52&gt;0,"Conditions","Clear")))))</x:f>
      </x:c>
      <x:c r="V52" s="9" t="str">
        <x:f>IF(C52="","",COUNTIFS('Actions'!$D$9:$D$308,C52,'Actions'!$E$9:$E$308,"E&amp;S",'Actions'!$P$9:$P$308,"&lt;&gt;Closed",'Actions'!$C$9:$C$308,"&lt;&gt;"))</x:f>
      </x:c>
      <x:c r="W52" s="9" t="str">
        <x:f>IF(C52="","",IF(COUNTIF('Taxonomy Rules'!$C$26:$C$37,F52)&lt;&gt;1,"Sector missing",IF(AND(IFERROR(INDEX('Taxonomy Rules'!$D$26:$D$37,MATCH(F52,'Taxonomy Rules'!$C$26:$C$37,0)),0)&gt;=0,IFERROR(INDEX('Taxonomy Rules'!$E$26:$E$37,MATCH(F52,'Taxonomy Rules'!$C$26:$C$37,0)),0)&gt;=0,IFERROR(INDEX('Taxonomy Rules'!$F$26:$F$37,MATCH(F52,'Taxonomy Rules'!$C$26:$C$37,0)),0)&gt;=0,ABS(IFERROR(INDEX('Taxonomy Rules'!$D$26:$D$37,MATCH(F52,'Taxonomy Rules'!$C$26:$C$37,0)),0)+IFERROR(INDEX('Taxonomy Rules'!$E$26:$E$37,MATCH(F52,'Taxonomy Rules'!$C$26:$C$37,0)),0)+IFERROR(INDEX('Taxonomy Rules'!$F$26:$F$37,MATCH(F52,'Taxonomy Rules'!$C$26:$C$37,0)),0)-1)&lt;0.000001),"Valid","Check weights")))</x:f>
      </x:c>
      <x:c r="X52" s="8"/>
    </x:row>
    <x:row r="53" ht="38" customHeight="1">
      <x:c r="A53" s="1"/>
      <x:c r="B53" s="1"/>
      <x:c r="C53" s="8"/>
      <x:c r="D53" s="9" t="str">
        <x:f>IF(C53="","",IFERROR(INDEX('Borrowers'!$D$9:$D$108,MATCH(C53,'Borrowers'!$C$9:$C$108,0)),""))</x:f>
      </x:c>
      <x:c r="E53" s="9" t="str">
        <x:f>IF(C53="","",IFERROR(INDEX('Borrowers'!$E$9:$E$108,MATCH(C53,'Borrowers'!$C$9:$C$108,0)),""))</x:f>
      </x:c>
      <x:c r="F53" s="9" t="str">
        <x:f>IF(C53="","",IFERROR(INDEX('Borrowers'!$F$9:$F$108,MATCH(C53,'Borrowers'!$C$9:$C$108,0)),""))</x:f>
      </x:c>
      <x:c r="G53" s="8"/>
      <x:c r="H53" s="8"/>
      <x:c r="I53" s="8"/>
      <x:c r="J53" s="8"/>
      <x:c r="K53" s="8"/>
      <x:c r="L53" s="8"/>
      <x:c r="M53" s="10"/>
      <x:c r="N53" s="10"/>
      <x:c r="O53" s="8"/>
      <x:c r="P53" s="37" t="str">
        <x:f>IF(C53="","",IF(AND(COUNT(I53:K53)=3,MIN(I53:K53)&gt;=0,MAX(I53:K53)&lt;=100,W53="Valid"),I53*IFERROR(INDEX('Taxonomy Rules'!$D$26:$D$37,MATCH(F53,'Taxonomy Rules'!$C$26:$C$37,0)),0)+J53*IFERROR(INDEX('Taxonomy Rules'!$E$26:$E$37,MATCH(F53,'Taxonomy Rules'!$C$26:$C$37,0)),0)+K53*IFERROR(INDEX('Taxonomy Rules'!$F$26:$F$37,MATCH(F53,'Taxonomy Rules'!$C$26:$C$37,0)),0),""))</x:f>
      </x:c>
      <x:c r="Q53" s="3" t="str">
        <x:f>IF(C53="","",IF(ISNUMBER(P53),IF(P53&gt;=80,"Strong",IF(P53&gt;=60,"Developing","Weak")),"Unrated"))</x:f>
      </x:c>
      <x:c r="R53" s="9" t="str">
        <x:f>IF(C53="","",COUNTIFS('Actions'!$D$9:$D$308,C53,'Actions'!$E$9:$E$308,"E&amp;S",'Actions'!$F$9:$F$308,"Critical",'Actions'!$P$9:$P$308,"&lt;&gt;Closed",'Actions'!$C$9:$C$308,"&lt;&gt;"))</x:f>
      </x:c>
      <x:c r="S53" s="9" t="str">
        <x:f>IF(C53="","",COUNTIFS('Actions'!$D$9:$D$308,C53,'Actions'!$Q$9:$Q$308,"Overdue",'Actions'!$C$9:$C$308,"&lt;&gt;"))</x:f>
      </x:c>
      <x:c r="T53" s="9" t="str">
        <x:f>IF(C53="","",IF(OR(COUNTIF($C$9:$C$108,C53)&lt;&gt;1,COUNTIF(Borrowers!$C$9:$C$108,C53)&lt;&gt;1),"Key review",IF(OR(L53="",O53="",NOT(OR(G53="High",G53="Moderate",G53="Low")),NOT(OR(H53="Yes",H53="No")),NOT(OR(X53="Standard",X53="Enhanced")),AND(G53="High",X53&lt;&gt;"Enhanced"),NOT(ISNUMBER(M53)),NOT(ISNUMBER(N53)),M53&gt;Settings!$F$8,N53&lt;M53,W53&lt;&gt;"Valid",NOT(ISNUMBER(P53)),COUNTIFS('Actions'!$D$9:$D$308,C53,'Actions'!$S$9:$S$308,"&lt;&gt;Valid",'Actions'!$C$9:$C$308,"&lt;&gt;")&gt;0),"Incomplete",IF(N53&lt;Settings!$F$8,"Expired","Current"))))</x:f>
      </x:c>
      <x:c r="U53" s="3" t="str">
        <x:f>IF(C53="","",IF(H53="Yes","Decline — prohibited",IF(R53&gt;0,"Hold — critical issue",IF(T53&lt;&gt;"Current","Hold — evidence",IF(V53&gt;0,"Conditions","Clear")))))</x:f>
      </x:c>
      <x:c r="V53" s="9" t="str">
        <x:f>IF(C53="","",COUNTIFS('Actions'!$D$9:$D$308,C53,'Actions'!$E$9:$E$308,"E&amp;S",'Actions'!$P$9:$P$308,"&lt;&gt;Closed",'Actions'!$C$9:$C$308,"&lt;&gt;"))</x:f>
      </x:c>
      <x:c r="W53" s="9" t="str">
        <x:f>IF(C53="","",IF(COUNTIF('Taxonomy Rules'!$C$26:$C$37,F53)&lt;&gt;1,"Sector missing",IF(AND(IFERROR(INDEX('Taxonomy Rules'!$D$26:$D$37,MATCH(F53,'Taxonomy Rules'!$C$26:$C$37,0)),0)&gt;=0,IFERROR(INDEX('Taxonomy Rules'!$E$26:$E$37,MATCH(F53,'Taxonomy Rules'!$C$26:$C$37,0)),0)&gt;=0,IFERROR(INDEX('Taxonomy Rules'!$F$26:$F$37,MATCH(F53,'Taxonomy Rules'!$C$26:$C$37,0)),0)&gt;=0,ABS(IFERROR(INDEX('Taxonomy Rules'!$D$26:$D$37,MATCH(F53,'Taxonomy Rules'!$C$26:$C$37,0)),0)+IFERROR(INDEX('Taxonomy Rules'!$E$26:$E$37,MATCH(F53,'Taxonomy Rules'!$C$26:$C$37,0)),0)+IFERROR(INDEX('Taxonomy Rules'!$F$26:$F$37,MATCH(F53,'Taxonomy Rules'!$C$26:$C$37,0)),0)-1)&lt;0.000001),"Valid","Check weights")))</x:f>
      </x:c>
      <x:c r="X53" s="8"/>
    </x:row>
    <x:row r="54" ht="38" customHeight="1">
      <x:c r="A54" s="1"/>
      <x:c r="B54" s="1"/>
      <x:c r="C54" s="8"/>
      <x:c r="D54" s="9" t="str">
        <x:f>IF(C54="","",IFERROR(INDEX('Borrowers'!$D$9:$D$108,MATCH(C54,'Borrowers'!$C$9:$C$108,0)),""))</x:f>
      </x:c>
      <x:c r="E54" s="9" t="str">
        <x:f>IF(C54="","",IFERROR(INDEX('Borrowers'!$E$9:$E$108,MATCH(C54,'Borrowers'!$C$9:$C$108,0)),""))</x:f>
      </x:c>
      <x:c r="F54" s="9" t="str">
        <x:f>IF(C54="","",IFERROR(INDEX('Borrowers'!$F$9:$F$108,MATCH(C54,'Borrowers'!$C$9:$C$108,0)),""))</x:f>
      </x:c>
      <x:c r="G54" s="8"/>
      <x:c r="H54" s="8"/>
      <x:c r="I54" s="8"/>
      <x:c r="J54" s="8"/>
      <x:c r="K54" s="8"/>
      <x:c r="L54" s="8"/>
      <x:c r="M54" s="10"/>
      <x:c r="N54" s="10"/>
      <x:c r="O54" s="8"/>
      <x:c r="P54" s="37" t="str">
        <x:f>IF(C54="","",IF(AND(COUNT(I54:K54)=3,MIN(I54:K54)&gt;=0,MAX(I54:K54)&lt;=100,W54="Valid"),I54*IFERROR(INDEX('Taxonomy Rules'!$D$26:$D$37,MATCH(F54,'Taxonomy Rules'!$C$26:$C$37,0)),0)+J54*IFERROR(INDEX('Taxonomy Rules'!$E$26:$E$37,MATCH(F54,'Taxonomy Rules'!$C$26:$C$37,0)),0)+K54*IFERROR(INDEX('Taxonomy Rules'!$F$26:$F$37,MATCH(F54,'Taxonomy Rules'!$C$26:$C$37,0)),0),""))</x:f>
      </x:c>
      <x:c r="Q54" s="3" t="str">
        <x:f>IF(C54="","",IF(ISNUMBER(P54),IF(P54&gt;=80,"Strong",IF(P54&gt;=60,"Developing","Weak")),"Unrated"))</x:f>
      </x:c>
      <x:c r="R54" s="9" t="str">
        <x:f>IF(C54="","",COUNTIFS('Actions'!$D$9:$D$308,C54,'Actions'!$E$9:$E$308,"E&amp;S",'Actions'!$F$9:$F$308,"Critical",'Actions'!$P$9:$P$308,"&lt;&gt;Closed",'Actions'!$C$9:$C$308,"&lt;&gt;"))</x:f>
      </x:c>
      <x:c r="S54" s="9" t="str">
        <x:f>IF(C54="","",COUNTIFS('Actions'!$D$9:$D$308,C54,'Actions'!$Q$9:$Q$308,"Overdue",'Actions'!$C$9:$C$308,"&lt;&gt;"))</x:f>
      </x:c>
      <x:c r="T54" s="9" t="str">
        <x:f>IF(C54="","",IF(OR(COUNTIF($C$9:$C$108,C54)&lt;&gt;1,COUNTIF(Borrowers!$C$9:$C$108,C54)&lt;&gt;1),"Key review",IF(OR(L54="",O54="",NOT(OR(G54="High",G54="Moderate",G54="Low")),NOT(OR(H54="Yes",H54="No")),NOT(OR(X54="Standard",X54="Enhanced")),AND(G54="High",X54&lt;&gt;"Enhanced"),NOT(ISNUMBER(M54)),NOT(ISNUMBER(N54)),M54&gt;Settings!$F$8,N54&lt;M54,W54&lt;&gt;"Valid",NOT(ISNUMBER(P54)),COUNTIFS('Actions'!$D$9:$D$308,C54,'Actions'!$S$9:$S$308,"&lt;&gt;Valid",'Actions'!$C$9:$C$308,"&lt;&gt;")&gt;0),"Incomplete",IF(N54&lt;Settings!$F$8,"Expired","Current"))))</x:f>
      </x:c>
      <x:c r="U54" s="3" t="str">
        <x:f>IF(C54="","",IF(H54="Yes","Decline — prohibited",IF(R54&gt;0,"Hold — critical issue",IF(T54&lt;&gt;"Current","Hold — evidence",IF(V54&gt;0,"Conditions","Clear")))))</x:f>
      </x:c>
      <x:c r="V54" s="9" t="str">
        <x:f>IF(C54="","",COUNTIFS('Actions'!$D$9:$D$308,C54,'Actions'!$E$9:$E$308,"E&amp;S",'Actions'!$P$9:$P$308,"&lt;&gt;Closed",'Actions'!$C$9:$C$308,"&lt;&gt;"))</x:f>
      </x:c>
      <x:c r="W54" s="9" t="str">
        <x:f>IF(C54="","",IF(COUNTIF('Taxonomy Rules'!$C$26:$C$37,F54)&lt;&gt;1,"Sector missing",IF(AND(IFERROR(INDEX('Taxonomy Rules'!$D$26:$D$37,MATCH(F54,'Taxonomy Rules'!$C$26:$C$37,0)),0)&gt;=0,IFERROR(INDEX('Taxonomy Rules'!$E$26:$E$37,MATCH(F54,'Taxonomy Rules'!$C$26:$C$37,0)),0)&gt;=0,IFERROR(INDEX('Taxonomy Rules'!$F$26:$F$37,MATCH(F54,'Taxonomy Rules'!$C$26:$C$37,0)),0)&gt;=0,ABS(IFERROR(INDEX('Taxonomy Rules'!$D$26:$D$37,MATCH(F54,'Taxonomy Rules'!$C$26:$C$37,0)),0)+IFERROR(INDEX('Taxonomy Rules'!$E$26:$E$37,MATCH(F54,'Taxonomy Rules'!$C$26:$C$37,0)),0)+IFERROR(INDEX('Taxonomy Rules'!$F$26:$F$37,MATCH(F54,'Taxonomy Rules'!$C$26:$C$37,0)),0)-1)&lt;0.000001),"Valid","Check weights")))</x:f>
      </x:c>
      <x:c r="X54" s="8"/>
    </x:row>
    <x:row r="55" ht="38" customHeight="1">
      <x:c r="A55" s="1"/>
      <x:c r="B55" s="1"/>
      <x:c r="C55" s="8"/>
      <x:c r="D55" s="9" t="str">
        <x:f>IF(C55="","",IFERROR(INDEX('Borrowers'!$D$9:$D$108,MATCH(C55,'Borrowers'!$C$9:$C$108,0)),""))</x:f>
      </x:c>
      <x:c r="E55" s="9" t="str">
        <x:f>IF(C55="","",IFERROR(INDEX('Borrowers'!$E$9:$E$108,MATCH(C55,'Borrowers'!$C$9:$C$108,0)),""))</x:f>
      </x:c>
      <x:c r="F55" s="9" t="str">
        <x:f>IF(C55="","",IFERROR(INDEX('Borrowers'!$F$9:$F$108,MATCH(C55,'Borrowers'!$C$9:$C$108,0)),""))</x:f>
      </x:c>
      <x:c r="G55" s="8"/>
      <x:c r="H55" s="8"/>
      <x:c r="I55" s="8"/>
      <x:c r="J55" s="8"/>
      <x:c r="K55" s="8"/>
      <x:c r="L55" s="8"/>
      <x:c r="M55" s="10"/>
      <x:c r="N55" s="10"/>
      <x:c r="O55" s="8"/>
      <x:c r="P55" s="37" t="str">
        <x:f>IF(C55="","",IF(AND(COUNT(I55:K55)=3,MIN(I55:K55)&gt;=0,MAX(I55:K55)&lt;=100,W55="Valid"),I55*IFERROR(INDEX('Taxonomy Rules'!$D$26:$D$37,MATCH(F55,'Taxonomy Rules'!$C$26:$C$37,0)),0)+J55*IFERROR(INDEX('Taxonomy Rules'!$E$26:$E$37,MATCH(F55,'Taxonomy Rules'!$C$26:$C$37,0)),0)+K55*IFERROR(INDEX('Taxonomy Rules'!$F$26:$F$37,MATCH(F55,'Taxonomy Rules'!$C$26:$C$37,0)),0),""))</x:f>
      </x:c>
      <x:c r="Q55" s="3" t="str">
        <x:f>IF(C55="","",IF(ISNUMBER(P55),IF(P55&gt;=80,"Strong",IF(P55&gt;=60,"Developing","Weak")),"Unrated"))</x:f>
      </x:c>
      <x:c r="R55" s="9" t="str">
        <x:f>IF(C55="","",COUNTIFS('Actions'!$D$9:$D$308,C55,'Actions'!$E$9:$E$308,"E&amp;S",'Actions'!$F$9:$F$308,"Critical",'Actions'!$P$9:$P$308,"&lt;&gt;Closed",'Actions'!$C$9:$C$308,"&lt;&gt;"))</x:f>
      </x:c>
      <x:c r="S55" s="9" t="str">
        <x:f>IF(C55="","",COUNTIFS('Actions'!$D$9:$D$308,C55,'Actions'!$Q$9:$Q$308,"Overdue",'Actions'!$C$9:$C$308,"&lt;&gt;"))</x:f>
      </x:c>
      <x:c r="T55" s="9" t="str">
        <x:f>IF(C55="","",IF(OR(COUNTIF($C$9:$C$108,C55)&lt;&gt;1,COUNTIF(Borrowers!$C$9:$C$108,C55)&lt;&gt;1),"Key review",IF(OR(L55="",O55="",NOT(OR(G55="High",G55="Moderate",G55="Low")),NOT(OR(H55="Yes",H55="No")),NOT(OR(X55="Standard",X55="Enhanced")),AND(G55="High",X55&lt;&gt;"Enhanced"),NOT(ISNUMBER(M55)),NOT(ISNUMBER(N55)),M55&gt;Settings!$F$8,N55&lt;M55,W55&lt;&gt;"Valid",NOT(ISNUMBER(P55)),COUNTIFS('Actions'!$D$9:$D$308,C55,'Actions'!$S$9:$S$308,"&lt;&gt;Valid",'Actions'!$C$9:$C$308,"&lt;&gt;")&gt;0),"Incomplete",IF(N55&lt;Settings!$F$8,"Expired","Current"))))</x:f>
      </x:c>
      <x:c r="U55" s="3" t="str">
        <x:f>IF(C55="","",IF(H55="Yes","Decline — prohibited",IF(R55&gt;0,"Hold — critical issue",IF(T55&lt;&gt;"Current","Hold — evidence",IF(V55&gt;0,"Conditions","Clear")))))</x:f>
      </x:c>
      <x:c r="V55" s="9" t="str">
        <x:f>IF(C55="","",COUNTIFS('Actions'!$D$9:$D$308,C55,'Actions'!$E$9:$E$308,"E&amp;S",'Actions'!$P$9:$P$308,"&lt;&gt;Closed",'Actions'!$C$9:$C$308,"&lt;&gt;"))</x:f>
      </x:c>
      <x:c r="W55" s="9" t="str">
        <x:f>IF(C55="","",IF(COUNTIF('Taxonomy Rules'!$C$26:$C$37,F55)&lt;&gt;1,"Sector missing",IF(AND(IFERROR(INDEX('Taxonomy Rules'!$D$26:$D$37,MATCH(F55,'Taxonomy Rules'!$C$26:$C$37,0)),0)&gt;=0,IFERROR(INDEX('Taxonomy Rules'!$E$26:$E$37,MATCH(F55,'Taxonomy Rules'!$C$26:$C$37,0)),0)&gt;=0,IFERROR(INDEX('Taxonomy Rules'!$F$26:$F$37,MATCH(F55,'Taxonomy Rules'!$C$26:$C$37,0)),0)&gt;=0,ABS(IFERROR(INDEX('Taxonomy Rules'!$D$26:$D$37,MATCH(F55,'Taxonomy Rules'!$C$26:$C$37,0)),0)+IFERROR(INDEX('Taxonomy Rules'!$E$26:$E$37,MATCH(F55,'Taxonomy Rules'!$C$26:$C$37,0)),0)+IFERROR(INDEX('Taxonomy Rules'!$F$26:$F$37,MATCH(F55,'Taxonomy Rules'!$C$26:$C$37,0)),0)-1)&lt;0.000001),"Valid","Check weights")))</x:f>
      </x:c>
      <x:c r="X55" s="8"/>
    </x:row>
    <x:row r="56" ht="38" customHeight="1">
      <x:c r="A56" s="1"/>
      <x:c r="B56" s="1"/>
      <x:c r="C56" s="8"/>
      <x:c r="D56" s="9" t="str">
        <x:f>IF(C56="","",IFERROR(INDEX('Borrowers'!$D$9:$D$108,MATCH(C56,'Borrowers'!$C$9:$C$108,0)),""))</x:f>
      </x:c>
      <x:c r="E56" s="9" t="str">
        <x:f>IF(C56="","",IFERROR(INDEX('Borrowers'!$E$9:$E$108,MATCH(C56,'Borrowers'!$C$9:$C$108,0)),""))</x:f>
      </x:c>
      <x:c r="F56" s="9" t="str">
        <x:f>IF(C56="","",IFERROR(INDEX('Borrowers'!$F$9:$F$108,MATCH(C56,'Borrowers'!$C$9:$C$108,0)),""))</x:f>
      </x:c>
      <x:c r="G56" s="8"/>
      <x:c r="H56" s="8"/>
      <x:c r="I56" s="8"/>
      <x:c r="J56" s="8"/>
      <x:c r="K56" s="8"/>
      <x:c r="L56" s="8"/>
      <x:c r="M56" s="10"/>
      <x:c r="N56" s="10"/>
      <x:c r="O56" s="8"/>
      <x:c r="P56" s="37" t="str">
        <x:f>IF(C56="","",IF(AND(COUNT(I56:K56)=3,MIN(I56:K56)&gt;=0,MAX(I56:K56)&lt;=100,W56="Valid"),I56*IFERROR(INDEX('Taxonomy Rules'!$D$26:$D$37,MATCH(F56,'Taxonomy Rules'!$C$26:$C$37,0)),0)+J56*IFERROR(INDEX('Taxonomy Rules'!$E$26:$E$37,MATCH(F56,'Taxonomy Rules'!$C$26:$C$37,0)),0)+K56*IFERROR(INDEX('Taxonomy Rules'!$F$26:$F$37,MATCH(F56,'Taxonomy Rules'!$C$26:$C$37,0)),0),""))</x:f>
      </x:c>
      <x:c r="Q56" s="3" t="str">
        <x:f>IF(C56="","",IF(ISNUMBER(P56),IF(P56&gt;=80,"Strong",IF(P56&gt;=60,"Developing","Weak")),"Unrated"))</x:f>
      </x:c>
      <x:c r="R56" s="9" t="str">
        <x:f>IF(C56="","",COUNTIFS('Actions'!$D$9:$D$308,C56,'Actions'!$E$9:$E$308,"E&amp;S",'Actions'!$F$9:$F$308,"Critical",'Actions'!$P$9:$P$308,"&lt;&gt;Closed",'Actions'!$C$9:$C$308,"&lt;&gt;"))</x:f>
      </x:c>
      <x:c r="S56" s="9" t="str">
        <x:f>IF(C56="","",COUNTIFS('Actions'!$D$9:$D$308,C56,'Actions'!$Q$9:$Q$308,"Overdue",'Actions'!$C$9:$C$308,"&lt;&gt;"))</x:f>
      </x:c>
      <x:c r="T56" s="9" t="str">
        <x:f>IF(C56="","",IF(OR(COUNTIF($C$9:$C$108,C56)&lt;&gt;1,COUNTIF(Borrowers!$C$9:$C$108,C56)&lt;&gt;1),"Key review",IF(OR(L56="",O56="",NOT(OR(G56="High",G56="Moderate",G56="Low")),NOT(OR(H56="Yes",H56="No")),NOT(OR(X56="Standard",X56="Enhanced")),AND(G56="High",X56&lt;&gt;"Enhanced"),NOT(ISNUMBER(M56)),NOT(ISNUMBER(N56)),M56&gt;Settings!$F$8,N56&lt;M56,W56&lt;&gt;"Valid",NOT(ISNUMBER(P56)),COUNTIFS('Actions'!$D$9:$D$308,C56,'Actions'!$S$9:$S$308,"&lt;&gt;Valid",'Actions'!$C$9:$C$308,"&lt;&gt;")&gt;0),"Incomplete",IF(N56&lt;Settings!$F$8,"Expired","Current"))))</x:f>
      </x:c>
      <x:c r="U56" s="3" t="str">
        <x:f>IF(C56="","",IF(H56="Yes","Decline — prohibited",IF(R56&gt;0,"Hold — critical issue",IF(T56&lt;&gt;"Current","Hold — evidence",IF(V56&gt;0,"Conditions","Clear")))))</x:f>
      </x:c>
      <x:c r="V56" s="9" t="str">
        <x:f>IF(C56="","",COUNTIFS('Actions'!$D$9:$D$308,C56,'Actions'!$E$9:$E$308,"E&amp;S",'Actions'!$P$9:$P$308,"&lt;&gt;Closed",'Actions'!$C$9:$C$308,"&lt;&gt;"))</x:f>
      </x:c>
      <x:c r="W56" s="9" t="str">
        <x:f>IF(C56="","",IF(COUNTIF('Taxonomy Rules'!$C$26:$C$37,F56)&lt;&gt;1,"Sector missing",IF(AND(IFERROR(INDEX('Taxonomy Rules'!$D$26:$D$37,MATCH(F56,'Taxonomy Rules'!$C$26:$C$37,0)),0)&gt;=0,IFERROR(INDEX('Taxonomy Rules'!$E$26:$E$37,MATCH(F56,'Taxonomy Rules'!$C$26:$C$37,0)),0)&gt;=0,IFERROR(INDEX('Taxonomy Rules'!$F$26:$F$37,MATCH(F56,'Taxonomy Rules'!$C$26:$C$37,0)),0)&gt;=0,ABS(IFERROR(INDEX('Taxonomy Rules'!$D$26:$D$37,MATCH(F56,'Taxonomy Rules'!$C$26:$C$37,0)),0)+IFERROR(INDEX('Taxonomy Rules'!$E$26:$E$37,MATCH(F56,'Taxonomy Rules'!$C$26:$C$37,0)),0)+IFERROR(INDEX('Taxonomy Rules'!$F$26:$F$37,MATCH(F56,'Taxonomy Rules'!$C$26:$C$37,0)),0)-1)&lt;0.000001),"Valid","Check weights")))</x:f>
      </x:c>
      <x:c r="X56" s="8"/>
    </x:row>
    <x:row r="57" ht="38" customHeight="1">
      <x:c r="A57" s="1"/>
      <x:c r="B57" s="1"/>
      <x:c r="C57" s="8"/>
      <x:c r="D57" s="9" t="str">
        <x:f>IF(C57="","",IFERROR(INDEX('Borrowers'!$D$9:$D$108,MATCH(C57,'Borrowers'!$C$9:$C$108,0)),""))</x:f>
      </x:c>
      <x:c r="E57" s="9" t="str">
        <x:f>IF(C57="","",IFERROR(INDEX('Borrowers'!$E$9:$E$108,MATCH(C57,'Borrowers'!$C$9:$C$108,0)),""))</x:f>
      </x:c>
      <x:c r="F57" s="9" t="str">
        <x:f>IF(C57="","",IFERROR(INDEX('Borrowers'!$F$9:$F$108,MATCH(C57,'Borrowers'!$C$9:$C$108,0)),""))</x:f>
      </x:c>
      <x:c r="G57" s="8"/>
      <x:c r="H57" s="8"/>
      <x:c r="I57" s="8"/>
      <x:c r="J57" s="8"/>
      <x:c r="K57" s="8"/>
      <x:c r="L57" s="8"/>
      <x:c r="M57" s="10"/>
      <x:c r="N57" s="10"/>
      <x:c r="O57" s="8"/>
      <x:c r="P57" s="37" t="str">
        <x:f>IF(C57="","",IF(AND(COUNT(I57:K57)=3,MIN(I57:K57)&gt;=0,MAX(I57:K57)&lt;=100,W57="Valid"),I57*IFERROR(INDEX('Taxonomy Rules'!$D$26:$D$37,MATCH(F57,'Taxonomy Rules'!$C$26:$C$37,0)),0)+J57*IFERROR(INDEX('Taxonomy Rules'!$E$26:$E$37,MATCH(F57,'Taxonomy Rules'!$C$26:$C$37,0)),0)+K57*IFERROR(INDEX('Taxonomy Rules'!$F$26:$F$37,MATCH(F57,'Taxonomy Rules'!$C$26:$C$37,0)),0),""))</x:f>
      </x:c>
      <x:c r="Q57" s="3" t="str">
        <x:f>IF(C57="","",IF(ISNUMBER(P57),IF(P57&gt;=80,"Strong",IF(P57&gt;=60,"Developing","Weak")),"Unrated"))</x:f>
      </x:c>
      <x:c r="R57" s="9" t="str">
        <x:f>IF(C57="","",COUNTIFS('Actions'!$D$9:$D$308,C57,'Actions'!$E$9:$E$308,"E&amp;S",'Actions'!$F$9:$F$308,"Critical",'Actions'!$P$9:$P$308,"&lt;&gt;Closed",'Actions'!$C$9:$C$308,"&lt;&gt;"))</x:f>
      </x:c>
      <x:c r="S57" s="9" t="str">
        <x:f>IF(C57="","",COUNTIFS('Actions'!$D$9:$D$308,C57,'Actions'!$Q$9:$Q$308,"Overdue",'Actions'!$C$9:$C$308,"&lt;&gt;"))</x:f>
      </x:c>
      <x:c r="T57" s="9" t="str">
        <x:f>IF(C57="","",IF(OR(COUNTIF($C$9:$C$108,C57)&lt;&gt;1,COUNTIF(Borrowers!$C$9:$C$108,C57)&lt;&gt;1),"Key review",IF(OR(L57="",O57="",NOT(OR(G57="High",G57="Moderate",G57="Low")),NOT(OR(H57="Yes",H57="No")),NOT(OR(X57="Standard",X57="Enhanced")),AND(G57="High",X57&lt;&gt;"Enhanced"),NOT(ISNUMBER(M57)),NOT(ISNUMBER(N57)),M57&gt;Settings!$F$8,N57&lt;M57,W57&lt;&gt;"Valid",NOT(ISNUMBER(P57)),COUNTIFS('Actions'!$D$9:$D$308,C57,'Actions'!$S$9:$S$308,"&lt;&gt;Valid",'Actions'!$C$9:$C$308,"&lt;&gt;")&gt;0),"Incomplete",IF(N57&lt;Settings!$F$8,"Expired","Current"))))</x:f>
      </x:c>
      <x:c r="U57" s="3" t="str">
        <x:f>IF(C57="","",IF(H57="Yes","Decline — prohibited",IF(R57&gt;0,"Hold — critical issue",IF(T57&lt;&gt;"Current","Hold — evidence",IF(V57&gt;0,"Conditions","Clear")))))</x:f>
      </x:c>
      <x:c r="V57" s="9" t="str">
        <x:f>IF(C57="","",COUNTIFS('Actions'!$D$9:$D$308,C57,'Actions'!$E$9:$E$308,"E&amp;S",'Actions'!$P$9:$P$308,"&lt;&gt;Closed",'Actions'!$C$9:$C$308,"&lt;&gt;"))</x:f>
      </x:c>
      <x:c r="W57" s="9" t="str">
        <x:f>IF(C57="","",IF(COUNTIF('Taxonomy Rules'!$C$26:$C$37,F57)&lt;&gt;1,"Sector missing",IF(AND(IFERROR(INDEX('Taxonomy Rules'!$D$26:$D$37,MATCH(F57,'Taxonomy Rules'!$C$26:$C$37,0)),0)&gt;=0,IFERROR(INDEX('Taxonomy Rules'!$E$26:$E$37,MATCH(F57,'Taxonomy Rules'!$C$26:$C$37,0)),0)&gt;=0,IFERROR(INDEX('Taxonomy Rules'!$F$26:$F$37,MATCH(F57,'Taxonomy Rules'!$C$26:$C$37,0)),0)&gt;=0,ABS(IFERROR(INDEX('Taxonomy Rules'!$D$26:$D$37,MATCH(F57,'Taxonomy Rules'!$C$26:$C$37,0)),0)+IFERROR(INDEX('Taxonomy Rules'!$E$26:$E$37,MATCH(F57,'Taxonomy Rules'!$C$26:$C$37,0)),0)+IFERROR(INDEX('Taxonomy Rules'!$F$26:$F$37,MATCH(F57,'Taxonomy Rules'!$C$26:$C$37,0)),0)-1)&lt;0.000001),"Valid","Check weights")))</x:f>
      </x:c>
      <x:c r="X57" s="8"/>
    </x:row>
    <x:row r="58" ht="38" customHeight="1">
      <x:c r="A58" s="1"/>
      <x:c r="B58" s="1"/>
      <x:c r="C58" s="8"/>
      <x:c r="D58" s="9" t="str">
        <x:f>IF(C58="","",IFERROR(INDEX('Borrowers'!$D$9:$D$108,MATCH(C58,'Borrowers'!$C$9:$C$108,0)),""))</x:f>
      </x:c>
      <x:c r="E58" s="9" t="str">
        <x:f>IF(C58="","",IFERROR(INDEX('Borrowers'!$E$9:$E$108,MATCH(C58,'Borrowers'!$C$9:$C$108,0)),""))</x:f>
      </x:c>
      <x:c r="F58" s="9" t="str">
        <x:f>IF(C58="","",IFERROR(INDEX('Borrowers'!$F$9:$F$108,MATCH(C58,'Borrowers'!$C$9:$C$108,0)),""))</x:f>
      </x:c>
      <x:c r="G58" s="8"/>
      <x:c r="H58" s="8"/>
      <x:c r="I58" s="8"/>
      <x:c r="J58" s="8"/>
      <x:c r="K58" s="8"/>
      <x:c r="L58" s="8"/>
      <x:c r="M58" s="10"/>
      <x:c r="N58" s="10"/>
      <x:c r="O58" s="8"/>
      <x:c r="P58" s="37" t="str">
        <x:f>IF(C58="","",IF(AND(COUNT(I58:K58)=3,MIN(I58:K58)&gt;=0,MAX(I58:K58)&lt;=100,W58="Valid"),I58*IFERROR(INDEX('Taxonomy Rules'!$D$26:$D$37,MATCH(F58,'Taxonomy Rules'!$C$26:$C$37,0)),0)+J58*IFERROR(INDEX('Taxonomy Rules'!$E$26:$E$37,MATCH(F58,'Taxonomy Rules'!$C$26:$C$37,0)),0)+K58*IFERROR(INDEX('Taxonomy Rules'!$F$26:$F$37,MATCH(F58,'Taxonomy Rules'!$C$26:$C$37,0)),0),""))</x:f>
      </x:c>
      <x:c r="Q58" s="3" t="str">
        <x:f>IF(C58="","",IF(ISNUMBER(P58),IF(P58&gt;=80,"Strong",IF(P58&gt;=60,"Developing","Weak")),"Unrated"))</x:f>
      </x:c>
      <x:c r="R58" s="9" t="str">
        <x:f>IF(C58="","",COUNTIFS('Actions'!$D$9:$D$308,C58,'Actions'!$E$9:$E$308,"E&amp;S",'Actions'!$F$9:$F$308,"Critical",'Actions'!$P$9:$P$308,"&lt;&gt;Closed",'Actions'!$C$9:$C$308,"&lt;&gt;"))</x:f>
      </x:c>
      <x:c r="S58" s="9" t="str">
        <x:f>IF(C58="","",COUNTIFS('Actions'!$D$9:$D$308,C58,'Actions'!$Q$9:$Q$308,"Overdue",'Actions'!$C$9:$C$308,"&lt;&gt;"))</x:f>
      </x:c>
      <x:c r="T58" s="9" t="str">
        <x:f>IF(C58="","",IF(OR(COUNTIF($C$9:$C$108,C58)&lt;&gt;1,COUNTIF(Borrowers!$C$9:$C$108,C58)&lt;&gt;1),"Key review",IF(OR(L58="",O58="",NOT(OR(G58="High",G58="Moderate",G58="Low")),NOT(OR(H58="Yes",H58="No")),NOT(OR(X58="Standard",X58="Enhanced")),AND(G58="High",X58&lt;&gt;"Enhanced"),NOT(ISNUMBER(M58)),NOT(ISNUMBER(N58)),M58&gt;Settings!$F$8,N58&lt;M58,W58&lt;&gt;"Valid",NOT(ISNUMBER(P58)),COUNTIFS('Actions'!$D$9:$D$308,C58,'Actions'!$S$9:$S$308,"&lt;&gt;Valid",'Actions'!$C$9:$C$308,"&lt;&gt;")&gt;0),"Incomplete",IF(N58&lt;Settings!$F$8,"Expired","Current"))))</x:f>
      </x:c>
      <x:c r="U58" s="3" t="str">
        <x:f>IF(C58="","",IF(H58="Yes","Decline — prohibited",IF(R58&gt;0,"Hold — critical issue",IF(T58&lt;&gt;"Current","Hold — evidence",IF(V58&gt;0,"Conditions","Clear")))))</x:f>
      </x:c>
      <x:c r="V58" s="9" t="str">
        <x:f>IF(C58="","",COUNTIFS('Actions'!$D$9:$D$308,C58,'Actions'!$E$9:$E$308,"E&amp;S",'Actions'!$P$9:$P$308,"&lt;&gt;Closed",'Actions'!$C$9:$C$308,"&lt;&gt;"))</x:f>
      </x:c>
      <x:c r="W58" s="9" t="str">
        <x:f>IF(C58="","",IF(COUNTIF('Taxonomy Rules'!$C$26:$C$37,F58)&lt;&gt;1,"Sector missing",IF(AND(IFERROR(INDEX('Taxonomy Rules'!$D$26:$D$37,MATCH(F58,'Taxonomy Rules'!$C$26:$C$37,0)),0)&gt;=0,IFERROR(INDEX('Taxonomy Rules'!$E$26:$E$37,MATCH(F58,'Taxonomy Rules'!$C$26:$C$37,0)),0)&gt;=0,IFERROR(INDEX('Taxonomy Rules'!$F$26:$F$37,MATCH(F58,'Taxonomy Rules'!$C$26:$C$37,0)),0)&gt;=0,ABS(IFERROR(INDEX('Taxonomy Rules'!$D$26:$D$37,MATCH(F58,'Taxonomy Rules'!$C$26:$C$37,0)),0)+IFERROR(INDEX('Taxonomy Rules'!$E$26:$E$37,MATCH(F58,'Taxonomy Rules'!$C$26:$C$37,0)),0)+IFERROR(INDEX('Taxonomy Rules'!$F$26:$F$37,MATCH(F58,'Taxonomy Rules'!$C$26:$C$37,0)),0)-1)&lt;0.000001),"Valid","Check weights")))</x:f>
      </x:c>
      <x:c r="X58" s="8"/>
    </x:row>
    <x:row r="59" ht="38" customHeight="1">
      <x:c r="A59" s="1"/>
      <x:c r="B59" s="1"/>
      <x:c r="C59" s="8"/>
      <x:c r="D59" s="9" t="str">
        <x:f>IF(C59="","",IFERROR(INDEX('Borrowers'!$D$9:$D$108,MATCH(C59,'Borrowers'!$C$9:$C$108,0)),""))</x:f>
      </x:c>
      <x:c r="E59" s="9" t="str">
        <x:f>IF(C59="","",IFERROR(INDEX('Borrowers'!$E$9:$E$108,MATCH(C59,'Borrowers'!$C$9:$C$108,0)),""))</x:f>
      </x:c>
      <x:c r="F59" s="9" t="str">
        <x:f>IF(C59="","",IFERROR(INDEX('Borrowers'!$F$9:$F$108,MATCH(C59,'Borrowers'!$C$9:$C$108,0)),""))</x:f>
      </x:c>
      <x:c r="G59" s="8"/>
      <x:c r="H59" s="8"/>
      <x:c r="I59" s="8"/>
      <x:c r="J59" s="8"/>
      <x:c r="K59" s="8"/>
      <x:c r="L59" s="8"/>
      <x:c r="M59" s="10"/>
      <x:c r="N59" s="10"/>
      <x:c r="O59" s="8"/>
      <x:c r="P59" s="37" t="str">
        <x:f>IF(C59="","",IF(AND(COUNT(I59:K59)=3,MIN(I59:K59)&gt;=0,MAX(I59:K59)&lt;=100,W59="Valid"),I59*IFERROR(INDEX('Taxonomy Rules'!$D$26:$D$37,MATCH(F59,'Taxonomy Rules'!$C$26:$C$37,0)),0)+J59*IFERROR(INDEX('Taxonomy Rules'!$E$26:$E$37,MATCH(F59,'Taxonomy Rules'!$C$26:$C$37,0)),0)+K59*IFERROR(INDEX('Taxonomy Rules'!$F$26:$F$37,MATCH(F59,'Taxonomy Rules'!$C$26:$C$37,0)),0),""))</x:f>
      </x:c>
      <x:c r="Q59" s="3" t="str">
        <x:f>IF(C59="","",IF(ISNUMBER(P59),IF(P59&gt;=80,"Strong",IF(P59&gt;=60,"Developing","Weak")),"Unrated"))</x:f>
      </x:c>
      <x:c r="R59" s="9" t="str">
        <x:f>IF(C59="","",COUNTIFS('Actions'!$D$9:$D$308,C59,'Actions'!$E$9:$E$308,"E&amp;S",'Actions'!$F$9:$F$308,"Critical",'Actions'!$P$9:$P$308,"&lt;&gt;Closed",'Actions'!$C$9:$C$308,"&lt;&gt;"))</x:f>
      </x:c>
      <x:c r="S59" s="9" t="str">
        <x:f>IF(C59="","",COUNTIFS('Actions'!$D$9:$D$308,C59,'Actions'!$Q$9:$Q$308,"Overdue",'Actions'!$C$9:$C$308,"&lt;&gt;"))</x:f>
      </x:c>
      <x:c r="T59" s="9" t="str">
        <x:f>IF(C59="","",IF(OR(COUNTIF($C$9:$C$108,C59)&lt;&gt;1,COUNTIF(Borrowers!$C$9:$C$108,C59)&lt;&gt;1),"Key review",IF(OR(L59="",O59="",NOT(OR(G59="High",G59="Moderate",G59="Low")),NOT(OR(H59="Yes",H59="No")),NOT(OR(X59="Standard",X59="Enhanced")),AND(G59="High",X59&lt;&gt;"Enhanced"),NOT(ISNUMBER(M59)),NOT(ISNUMBER(N59)),M59&gt;Settings!$F$8,N59&lt;M59,W59&lt;&gt;"Valid",NOT(ISNUMBER(P59)),COUNTIFS('Actions'!$D$9:$D$308,C59,'Actions'!$S$9:$S$308,"&lt;&gt;Valid",'Actions'!$C$9:$C$308,"&lt;&gt;")&gt;0),"Incomplete",IF(N59&lt;Settings!$F$8,"Expired","Current"))))</x:f>
      </x:c>
      <x:c r="U59" s="3" t="str">
        <x:f>IF(C59="","",IF(H59="Yes","Decline — prohibited",IF(R59&gt;0,"Hold — critical issue",IF(T59&lt;&gt;"Current","Hold — evidence",IF(V59&gt;0,"Conditions","Clear")))))</x:f>
      </x:c>
      <x:c r="V59" s="9" t="str">
        <x:f>IF(C59="","",COUNTIFS('Actions'!$D$9:$D$308,C59,'Actions'!$E$9:$E$308,"E&amp;S",'Actions'!$P$9:$P$308,"&lt;&gt;Closed",'Actions'!$C$9:$C$308,"&lt;&gt;"))</x:f>
      </x:c>
      <x:c r="W59" s="9" t="str">
        <x:f>IF(C59="","",IF(COUNTIF('Taxonomy Rules'!$C$26:$C$37,F59)&lt;&gt;1,"Sector missing",IF(AND(IFERROR(INDEX('Taxonomy Rules'!$D$26:$D$37,MATCH(F59,'Taxonomy Rules'!$C$26:$C$37,0)),0)&gt;=0,IFERROR(INDEX('Taxonomy Rules'!$E$26:$E$37,MATCH(F59,'Taxonomy Rules'!$C$26:$C$37,0)),0)&gt;=0,IFERROR(INDEX('Taxonomy Rules'!$F$26:$F$37,MATCH(F59,'Taxonomy Rules'!$C$26:$C$37,0)),0)&gt;=0,ABS(IFERROR(INDEX('Taxonomy Rules'!$D$26:$D$37,MATCH(F59,'Taxonomy Rules'!$C$26:$C$37,0)),0)+IFERROR(INDEX('Taxonomy Rules'!$E$26:$E$37,MATCH(F59,'Taxonomy Rules'!$C$26:$C$37,0)),0)+IFERROR(INDEX('Taxonomy Rules'!$F$26:$F$37,MATCH(F59,'Taxonomy Rules'!$C$26:$C$37,0)),0)-1)&lt;0.000001),"Valid","Check weights")))</x:f>
      </x:c>
      <x:c r="X59" s="8"/>
    </x:row>
    <x:row r="60" ht="38" customHeight="1">
      <x:c r="A60" s="1"/>
      <x:c r="B60" s="1"/>
      <x:c r="C60" s="8"/>
      <x:c r="D60" s="9" t="str">
        <x:f>IF(C60="","",IFERROR(INDEX('Borrowers'!$D$9:$D$108,MATCH(C60,'Borrowers'!$C$9:$C$108,0)),""))</x:f>
      </x:c>
      <x:c r="E60" s="9" t="str">
        <x:f>IF(C60="","",IFERROR(INDEX('Borrowers'!$E$9:$E$108,MATCH(C60,'Borrowers'!$C$9:$C$108,0)),""))</x:f>
      </x:c>
      <x:c r="F60" s="9" t="str">
        <x:f>IF(C60="","",IFERROR(INDEX('Borrowers'!$F$9:$F$108,MATCH(C60,'Borrowers'!$C$9:$C$108,0)),""))</x:f>
      </x:c>
      <x:c r="G60" s="8"/>
      <x:c r="H60" s="8"/>
      <x:c r="I60" s="8"/>
      <x:c r="J60" s="8"/>
      <x:c r="K60" s="8"/>
      <x:c r="L60" s="8"/>
      <x:c r="M60" s="10"/>
      <x:c r="N60" s="10"/>
      <x:c r="O60" s="8"/>
      <x:c r="P60" s="37" t="str">
        <x:f>IF(C60="","",IF(AND(COUNT(I60:K60)=3,MIN(I60:K60)&gt;=0,MAX(I60:K60)&lt;=100,W60="Valid"),I60*IFERROR(INDEX('Taxonomy Rules'!$D$26:$D$37,MATCH(F60,'Taxonomy Rules'!$C$26:$C$37,0)),0)+J60*IFERROR(INDEX('Taxonomy Rules'!$E$26:$E$37,MATCH(F60,'Taxonomy Rules'!$C$26:$C$37,0)),0)+K60*IFERROR(INDEX('Taxonomy Rules'!$F$26:$F$37,MATCH(F60,'Taxonomy Rules'!$C$26:$C$37,0)),0),""))</x:f>
      </x:c>
      <x:c r="Q60" s="3" t="str">
        <x:f>IF(C60="","",IF(ISNUMBER(P60),IF(P60&gt;=80,"Strong",IF(P60&gt;=60,"Developing","Weak")),"Unrated"))</x:f>
      </x:c>
      <x:c r="R60" s="9" t="str">
        <x:f>IF(C60="","",COUNTIFS('Actions'!$D$9:$D$308,C60,'Actions'!$E$9:$E$308,"E&amp;S",'Actions'!$F$9:$F$308,"Critical",'Actions'!$P$9:$P$308,"&lt;&gt;Closed",'Actions'!$C$9:$C$308,"&lt;&gt;"))</x:f>
      </x:c>
      <x:c r="S60" s="9" t="str">
        <x:f>IF(C60="","",COUNTIFS('Actions'!$D$9:$D$308,C60,'Actions'!$Q$9:$Q$308,"Overdue",'Actions'!$C$9:$C$308,"&lt;&gt;"))</x:f>
      </x:c>
      <x:c r="T60" s="9" t="str">
        <x:f>IF(C60="","",IF(OR(COUNTIF($C$9:$C$108,C60)&lt;&gt;1,COUNTIF(Borrowers!$C$9:$C$108,C60)&lt;&gt;1),"Key review",IF(OR(L60="",O60="",NOT(OR(G60="High",G60="Moderate",G60="Low")),NOT(OR(H60="Yes",H60="No")),NOT(OR(X60="Standard",X60="Enhanced")),AND(G60="High",X60&lt;&gt;"Enhanced"),NOT(ISNUMBER(M60)),NOT(ISNUMBER(N60)),M60&gt;Settings!$F$8,N60&lt;M60,W60&lt;&gt;"Valid",NOT(ISNUMBER(P60)),COUNTIFS('Actions'!$D$9:$D$308,C60,'Actions'!$S$9:$S$308,"&lt;&gt;Valid",'Actions'!$C$9:$C$308,"&lt;&gt;")&gt;0),"Incomplete",IF(N60&lt;Settings!$F$8,"Expired","Current"))))</x:f>
      </x:c>
      <x:c r="U60" s="3" t="str">
        <x:f>IF(C60="","",IF(H60="Yes","Decline — prohibited",IF(R60&gt;0,"Hold — critical issue",IF(T60&lt;&gt;"Current","Hold — evidence",IF(V60&gt;0,"Conditions","Clear")))))</x:f>
      </x:c>
      <x:c r="V60" s="9" t="str">
        <x:f>IF(C60="","",COUNTIFS('Actions'!$D$9:$D$308,C60,'Actions'!$E$9:$E$308,"E&amp;S",'Actions'!$P$9:$P$308,"&lt;&gt;Closed",'Actions'!$C$9:$C$308,"&lt;&gt;"))</x:f>
      </x:c>
      <x:c r="W60" s="9" t="str">
        <x:f>IF(C60="","",IF(COUNTIF('Taxonomy Rules'!$C$26:$C$37,F60)&lt;&gt;1,"Sector missing",IF(AND(IFERROR(INDEX('Taxonomy Rules'!$D$26:$D$37,MATCH(F60,'Taxonomy Rules'!$C$26:$C$37,0)),0)&gt;=0,IFERROR(INDEX('Taxonomy Rules'!$E$26:$E$37,MATCH(F60,'Taxonomy Rules'!$C$26:$C$37,0)),0)&gt;=0,IFERROR(INDEX('Taxonomy Rules'!$F$26:$F$37,MATCH(F60,'Taxonomy Rules'!$C$26:$C$37,0)),0)&gt;=0,ABS(IFERROR(INDEX('Taxonomy Rules'!$D$26:$D$37,MATCH(F60,'Taxonomy Rules'!$C$26:$C$37,0)),0)+IFERROR(INDEX('Taxonomy Rules'!$E$26:$E$37,MATCH(F60,'Taxonomy Rules'!$C$26:$C$37,0)),0)+IFERROR(INDEX('Taxonomy Rules'!$F$26:$F$37,MATCH(F60,'Taxonomy Rules'!$C$26:$C$37,0)),0)-1)&lt;0.000001),"Valid","Check weights")))</x:f>
      </x:c>
      <x:c r="X60" s="8"/>
    </x:row>
    <x:row r="61" ht="38" customHeight="1">
      <x:c r="A61" s="1"/>
      <x:c r="B61" s="1"/>
      <x:c r="C61" s="8"/>
      <x:c r="D61" s="9" t="str">
        <x:f>IF(C61="","",IFERROR(INDEX('Borrowers'!$D$9:$D$108,MATCH(C61,'Borrowers'!$C$9:$C$108,0)),""))</x:f>
      </x:c>
      <x:c r="E61" s="9" t="str">
        <x:f>IF(C61="","",IFERROR(INDEX('Borrowers'!$E$9:$E$108,MATCH(C61,'Borrowers'!$C$9:$C$108,0)),""))</x:f>
      </x:c>
      <x:c r="F61" s="9" t="str">
        <x:f>IF(C61="","",IFERROR(INDEX('Borrowers'!$F$9:$F$108,MATCH(C61,'Borrowers'!$C$9:$C$108,0)),""))</x:f>
      </x:c>
      <x:c r="G61" s="8"/>
      <x:c r="H61" s="8"/>
      <x:c r="I61" s="8"/>
      <x:c r="J61" s="8"/>
      <x:c r="K61" s="8"/>
      <x:c r="L61" s="8"/>
      <x:c r="M61" s="10"/>
      <x:c r="N61" s="10"/>
      <x:c r="O61" s="8"/>
      <x:c r="P61" s="37" t="str">
        <x:f>IF(C61="","",IF(AND(COUNT(I61:K61)=3,MIN(I61:K61)&gt;=0,MAX(I61:K61)&lt;=100,W61="Valid"),I61*IFERROR(INDEX('Taxonomy Rules'!$D$26:$D$37,MATCH(F61,'Taxonomy Rules'!$C$26:$C$37,0)),0)+J61*IFERROR(INDEX('Taxonomy Rules'!$E$26:$E$37,MATCH(F61,'Taxonomy Rules'!$C$26:$C$37,0)),0)+K61*IFERROR(INDEX('Taxonomy Rules'!$F$26:$F$37,MATCH(F61,'Taxonomy Rules'!$C$26:$C$37,0)),0),""))</x:f>
      </x:c>
      <x:c r="Q61" s="3" t="str">
        <x:f>IF(C61="","",IF(ISNUMBER(P61),IF(P61&gt;=80,"Strong",IF(P61&gt;=60,"Developing","Weak")),"Unrated"))</x:f>
      </x:c>
      <x:c r="R61" s="9" t="str">
        <x:f>IF(C61="","",COUNTIFS('Actions'!$D$9:$D$308,C61,'Actions'!$E$9:$E$308,"E&amp;S",'Actions'!$F$9:$F$308,"Critical",'Actions'!$P$9:$P$308,"&lt;&gt;Closed",'Actions'!$C$9:$C$308,"&lt;&gt;"))</x:f>
      </x:c>
      <x:c r="S61" s="9" t="str">
        <x:f>IF(C61="","",COUNTIFS('Actions'!$D$9:$D$308,C61,'Actions'!$Q$9:$Q$308,"Overdue",'Actions'!$C$9:$C$308,"&lt;&gt;"))</x:f>
      </x:c>
      <x:c r="T61" s="9" t="str">
        <x:f>IF(C61="","",IF(OR(COUNTIF($C$9:$C$108,C61)&lt;&gt;1,COUNTIF(Borrowers!$C$9:$C$108,C61)&lt;&gt;1),"Key review",IF(OR(L61="",O61="",NOT(OR(G61="High",G61="Moderate",G61="Low")),NOT(OR(H61="Yes",H61="No")),NOT(OR(X61="Standard",X61="Enhanced")),AND(G61="High",X61&lt;&gt;"Enhanced"),NOT(ISNUMBER(M61)),NOT(ISNUMBER(N61)),M61&gt;Settings!$F$8,N61&lt;M61,W61&lt;&gt;"Valid",NOT(ISNUMBER(P61)),COUNTIFS('Actions'!$D$9:$D$308,C61,'Actions'!$S$9:$S$308,"&lt;&gt;Valid",'Actions'!$C$9:$C$308,"&lt;&gt;")&gt;0),"Incomplete",IF(N61&lt;Settings!$F$8,"Expired","Current"))))</x:f>
      </x:c>
      <x:c r="U61" s="3" t="str">
        <x:f>IF(C61="","",IF(H61="Yes","Decline — prohibited",IF(R61&gt;0,"Hold — critical issue",IF(T61&lt;&gt;"Current","Hold — evidence",IF(V61&gt;0,"Conditions","Clear")))))</x:f>
      </x:c>
      <x:c r="V61" s="9" t="str">
        <x:f>IF(C61="","",COUNTIFS('Actions'!$D$9:$D$308,C61,'Actions'!$E$9:$E$308,"E&amp;S",'Actions'!$P$9:$P$308,"&lt;&gt;Closed",'Actions'!$C$9:$C$308,"&lt;&gt;"))</x:f>
      </x:c>
      <x:c r="W61" s="9" t="str">
        <x:f>IF(C61="","",IF(COUNTIF('Taxonomy Rules'!$C$26:$C$37,F61)&lt;&gt;1,"Sector missing",IF(AND(IFERROR(INDEX('Taxonomy Rules'!$D$26:$D$37,MATCH(F61,'Taxonomy Rules'!$C$26:$C$37,0)),0)&gt;=0,IFERROR(INDEX('Taxonomy Rules'!$E$26:$E$37,MATCH(F61,'Taxonomy Rules'!$C$26:$C$37,0)),0)&gt;=0,IFERROR(INDEX('Taxonomy Rules'!$F$26:$F$37,MATCH(F61,'Taxonomy Rules'!$C$26:$C$37,0)),0)&gt;=0,ABS(IFERROR(INDEX('Taxonomy Rules'!$D$26:$D$37,MATCH(F61,'Taxonomy Rules'!$C$26:$C$37,0)),0)+IFERROR(INDEX('Taxonomy Rules'!$E$26:$E$37,MATCH(F61,'Taxonomy Rules'!$C$26:$C$37,0)),0)+IFERROR(INDEX('Taxonomy Rules'!$F$26:$F$37,MATCH(F61,'Taxonomy Rules'!$C$26:$C$37,0)),0)-1)&lt;0.000001),"Valid","Check weights")))</x:f>
      </x:c>
      <x:c r="X61" s="8"/>
    </x:row>
    <x:row r="62" ht="38" customHeight="1">
      <x:c r="A62" s="1"/>
      <x:c r="B62" s="1"/>
      <x:c r="C62" s="8"/>
      <x:c r="D62" s="9" t="str">
        <x:f>IF(C62="","",IFERROR(INDEX('Borrowers'!$D$9:$D$108,MATCH(C62,'Borrowers'!$C$9:$C$108,0)),""))</x:f>
      </x:c>
      <x:c r="E62" s="9" t="str">
        <x:f>IF(C62="","",IFERROR(INDEX('Borrowers'!$E$9:$E$108,MATCH(C62,'Borrowers'!$C$9:$C$108,0)),""))</x:f>
      </x:c>
      <x:c r="F62" s="9" t="str">
        <x:f>IF(C62="","",IFERROR(INDEX('Borrowers'!$F$9:$F$108,MATCH(C62,'Borrowers'!$C$9:$C$108,0)),""))</x:f>
      </x:c>
      <x:c r="G62" s="8"/>
      <x:c r="H62" s="8"/>
      <x:c r="I62" s="8"/>
      <x:c r="J62" s="8"/>
      <x:c r="K62" s="8"/>
      <x:c r="L62" s="8"/>
      <x:c r="M62" s="10"/>
      <x:c r="N62" s="10"/>
      <x:c r="O62" s="8"/>
      <x:c r="P62" s="37" t="str">
        <x:f>IF(C62="","",IF(AND(COUNT(I62:K62)=3,MIN(I62:K62)&gt;=0,MAX(I62:K62)&lt;=100,W62="Valid"),I62*IFERROR(INDEX('Taxonomy Rules'!$D$26:$D$37,MATCH(F62,'Taxonomy Rules'!$C$26:$C$37,0)),0)+J62*IFERROR(INDEX('Taxonomy Rules'!$E$26:$E$37,MATCH(F62,'Taxonomy Rules'!$C$26:$C$37,0)),0)+K62*IFERROR(INDEX('Taxonomy Rules'!$F$26:$F$37,MATCH(F62,'Taxonomy Rules'!$C$26:$C$37,0)),0),""))</x:f>
      </x:c>
      <x:c r="Q62" s="3" t="str">
        <x:f>IF(C62="","",IF(ISNUMBER(P62),IF(P62&gt;=80,"Strong",IF(P62&gt;=60,"Developing","Weak")),"Unrated"))</x:f>
      </x:c>
      <x:c r="R62" s="9" t="str">
        <x:f>IF(C62="","",COUNTIFS('Actions'!$D$9:$D$308,C62,'Actions'!$E$9:$E$308,"E&amp;S",'Actions'!$F$9:$F$308,"Critical",'Actions'!$P$9:$P$308,"&lt;&gt;Closed",'Actions'!$C$9:$C$308,"&lt;&gt;"))</x:f>
      </x:c>
      <x:c r="S62" s="9" t="str">
        <x:f>IF(C62="","",COUNTIFS('Actions'!$D$9:$D$308,C62,'Actions'!$Q$9:$Q$308,"Overdue",'Actions'!$C$9:$C$308,"&lt;&gt;"))</x:f>
      </x:c>
      <x:c r="T62" s="9" t="str">
        <x:f>IF(C62="","",IF(OR(COUNTIF($C$9:$C$108,C62)&lt;&gt;1,COUNTIF(Borrowers!$C$9:$C$108,C62)&lt;&gt;1),"Key review",IF(OR(L62="",O62="",NOT(OR(G62="High",G62="Moderate",G62="Low")),NOT(OR(H62="Yes",H62="No")),NOT(OR(X62="Standard",X62="Enhanced")),AND(G62="High",X62&lt;&gt;"Enhanced"),NOT(ISNUMBER(M62)),NOT(ISNUMBER(N62)),M62&gt;Settings!$F$8,N62&lt;M62,W62&lt;&gt;"Valid",NOT(ISNUMBER(P62)),COUNTIFS('Actions'!$D$9:$D$308,C62,'Actions'!$S$9:$S$308,"&lt;&gt;Valid",'Actions'!$C$9:$C$308,"&lt;&gt;")&gt;0),"Incomplete",IF(N62&lt;Settings!$F$8,"Expired","Current"))))</x:f>
      </x:c>
      <x:c r="U62" s="3" t="str">
        <x:f>IF(C62="","",IF(H62="Yes","Decline — prohibited",IF(R62&gt;0,"Hold — critical issue",IF(T62&lt;&gt;"Current","Hold — evidence",IF(V62&gt;0,"Conditions","Clear")))))</x:f>
      </x:c>
      <x:c r="V62" s="9" t="str">
        <x:f>IF(C62="","",COUNTIFS('Actions'!$D$9:$D$308,C62,'Actions'!$E$9:$E$308,"E&amp;S",'Actions'!$P$9:$P$308,"&lt;&gt;Closed",'Actions'!$C$9:$C$308,"&lt;&gt;"))</x:f>
      </x:c>
      <x:c r="W62" s="9" t="str">
        <x:f>IF(C62="","",IF(COUNTIF('Taxonomy Rules'!$C$26:$C$37,F62)&lt;&gt;1,"Sector missing",IF(AND(IFERROR(INDEX('Taxonomy Rules'!$D$26:$D$37,MATCH(F62,'Taxonomy Rules'!$C$26:$C$37,0)),0)&gt;=0,IFERROR(INDEX('Taxonomy Rules'!$E$26:$E$37,MATCH(F62,'Taxonomy Rules'!$C$26:$C$37,0)),0)&gt;=0,IFERROR(INDEX('Taxonomy Rules'!$F$26:$F$37,MATCH(F62,'Taxonomy Rules'!$C$26:$C$37,0)),0)&gt;=0,ABS(IFERROR(INDEX('Taxonomy Rules'!$D$26:$D$37,MATCH(F62,'Taxonomy Rules'!$C$26:$C$37,0)),0)+IFERROR(INDEX('Taxonomy Rules'!$E$26:$E$37,MATCH(F62,'Taxonomy Rules'!$C$26:$C$37,0)),0)+IFERROR(INDEX('Taxonomy Rules'!$F$26:$F$37,MATCH(F62,'Taxonomy Rules'!$C$26:$C$37,0)),0)-1)&lt;0.000001),"Valid","Check weights")))</x:f>
      </x:c>
      <x:c r="X62" s="8"/>
    </x:row>
    <x:row r="63" ht="38" customHeight="1">
      <x:c r="A63" s="1"/>
      <x:c r="B63" s="1"/>
      <x:c r="C63" s="8"/>
      <x:c r="D63" s="9" t="str">
        <x:f>IF(C63="","",IFERROR(INDEX('Borrowers'!$D$9:$D$108,MATCH(C63,'Borrowers'!$C$9:$C$108,0)),""))</x:f>
      </x:c>
      <x:c r="E63" s="9" t="str">
        <x:f>IF(C63="","",IFERROR(INDEX('Borrowers'!$E$9:$E$108,MATCH(C63,'Borrowers'!$C$9:$C$108,0)),""))</x:f>
      </x:c>
      <x:c r="F63" s="9" t="str">
        <x:f>IF(C63="","",IFERROR(INDEX('Borrowers'!$F$9:$F$108,MATCH(C63,'Borrowers'!$C$9:$C$108,0)),""))</x:f>
      </x:c>
      <x:c r="G63" s="8"/>
      <x:c r="H63" s="8"/>
      <x:c r="I63" s="8"/>
      <x:c r="J63" s="8"/>
      <x:c r="K63" s="8"/>
      <x:c r="L63" s="8"/>
      <x:c r="M63" s="10"/>
      <x:c r="N63" s="10"/>
      <x:c r="O63" s="8"/>
      <x:c r="P63" s="37" t="str">
        <x:f>IF(C63="","",IF(AND(COUNT(I63:K63)=3,MIN(I63:K63)&gt;=0,MAX(I63:K63)&lt;=100,W63="Valid"),I63*IFERROR(INDEX('Taxonomy Rules'!$D$26:$D$37,MATCH(F63,'Taxonomy Rules'!$C$26:$C$37,0)),0)+J63*IFERROR(INDEX('Taxonomy Rules'!$E$26:$E$37,MATCH(F63,'Taxonomy Rules'!$C$26:$C$37,0)),0)+K63*IFERROR(INDEX('Taxonomy Rules'!$F$26:$F$37,MATCH(F63,'Taxonomy Rules'!$C$26:$C$37,0)),0),""))</x:f>
      </x:c>
      <x:c r="Q63" s="3" t="str">
        <x:f>IF(C63="","",IF(ISNUMBER(P63),IF(P63&gt;=80,"Strong",IF(P63&gt;=60,"Developing","Weak")),"Unrated"))</x:f>
      </x:c>
      <x:c r="R63" s="9" t="str">
        <x:f>IF(C63="","",COUNTIFS('Actions'!$D$9:$D$308,C63,'Actions'!$E$9:$E$308,"E&amp;S",'Actions'!$F$9:$F$308,"Critical",'Actions'!$P$9:$P$308,"&lt;&gt;Closed",'Actions'!$C$9:$C$308,"&lt;&gt;"))</x:f>
      </x:c>
      <x:c r="S63" s="9" t="str">
        <x:f>IF(C63="","",COUNTIFS('Actions'!$D$9:$D$308,C63,'Actions'!$Q$9:$Q$308,"Overdue",'Actions'!$C$9:$C$308,"&lt;&gt;"))</x:f>
      </x:c>
      <x:c r="T63" s="9" t="str">
        <x:f>IF(C63="","",IF(OR(COUNTIF($C$9:$C$108,C63)&lt;&gt;1,COUNTIF(Borrowers!$C$9:$C$108,C63)&lt;&gt;1),"Key review",IF(OR(L63="",O63="",NOT(OR(G63="High",G63="Moderate",G63="Low")),NOT(OR(H63="Yes",H63="No")),NOT(OR(X63="Standard",X63="Enhanced")),AND(G63="High",X63&lt;&gt;"Enhanced"),NOT(ISNUMBER(M63)),NOT(ISNUMBER(N63)),M63&gt;Settings!$F$8,N63&lt;M63,W63&lt;&gt;"Valid",NOT(ISNUMBER(P63)),COUNTIFS('Actions'!$D$9:$D$308,C63,'Actions'!$S$9:$S$308,"&lt;&gt;Valid",'Actions'!$C$9:$C$308,"&lt;&gt;")&gt;0),"Incomplete",IF(N63&lt;Settings!$F$8,"Expired","Current"))))</x:f>
      </x:c>
      <x:c r="U63" s="3" t="str">
        <x:f>IF(C63="","",IF(H63="Yes","Decline — prohibited",IF(R63&gt;0,"Hold — critical issue",IF(T63&lt;&gt;"Current","Hold — evidence",IF(V63&gt;0,"Conditions","Clear")))))</x:f>
      </x:c>
      <x:c r="V63" s="9" t="str">
        <x:f>IF(C63="","",COUNTIFS('Actions'!$D$9:$D$308,C63,'Actions'!$E$9:$E$308,"E&amp;S",'Actions'!$P$9:$P$308,"&lt;&gt;Closed",'Actions'!$C$9:$C$308,"&lt;&gt;"))</x:f>
      </x:c>
      <x:c r="W63" s="9" t="str">
        <x:f>IF(C63="","",IF(COUNTIF('Taxonomy Rules'!$C$26:$C$37,F63)&lt;&gt;1,"Sector missing",IF(AND(IFERROR(INDEX('Taxonomy Rules'!$D$26:$D$37,MATCH(F63,'Taxonomy Rules'!$C$26:$C$37,0)),0)&gt;=0,IFERROR(INDEX('Taxonomy Rules'!$E$26:$E$37,MATCH(F63,'Taxonomy Rules'!$C$26:$C$37,0)),0)&gt;=0,IFERROR(INDEX('Taxonomy Rules'!$F$26:$F$37,MATCH(F63,'Taxonomy Rules'!$C$26:$C$37,0)),0)&gt;=0,ABS(IFERROR(INDEX('Taxonomy Rules'!$D$26:$D$37,MATCH(F63,'Taxonomy Rules'!$C$26:$C$37,0)),0)+IFERROR(INDEX('Taxonomy Rules'!$E$26:$E$37,MATCH(F63,'Taxonomy Rules'!$C$26:$C$37,0)),0)+IFERROR(INDEX('Taxonomy Rules'!$F$26:$F$37,MATCH(F63,'Taxonomy Rules'!$C$26:$C$37,0)),0)-1)&lt;0.000001),"Valid","Check weights")))</x:f>
      </x:c>
      <x:c r="X63" s="8"/>
    </x:row>
    <x:row r="64" ht="38" customHeight="1">
      <x:c r="A64" s="1"/>
      <x:c r="B64" s="1"/>
      <x:c r="C64" s="8"/>
      <x:c r="D64" s="9" t="str">
        <x:f>IF(C64="","",IFERROR(INDEX('Borrowers'!$D$9:$D$108,MATCH(C64,'Borrowers'!$C$9:$C$108,0)),""))</x:f>
      </x:c>
      <x:c r="E64" s="9" t="str">
        <x:f>IF(C64="","",IFERROR(INDEX('Borrowers'!$E$9:$E$108,MATCH(C64,'Borrowers'!$C$9:$C$108,0)),""))</x:f>
      </x:c>
      <x:c r="F64" s="9" t="str">
        <x:f>IF(C64="","",IFERROR(INDEX('Borrowers'!$F$9:$F$108,MATCH(C64,'Borrowers'!$C$9:$C$108,0)),""))</x:f>
      </x:c>
      <x:c r="G64" s="8"/>
      <x:c r="H64" s="8"/>
      <x:c r="I64" s="8"/>
      <x:c r="J64" s="8"/>
      <x:c r="K64" s="8"/>
      <x:c r="L64" s="8"/>
      <x:c r="M64" s="10"/>
      <x:c r="N64" s="10"/>
      <x:c r="O64" s="8"/>
      <x:c r="P64" s="37" t="str">
        <x:f>IF(C64="","",IF(AND(COUNT(I64:K64)=3,MIN(I64:K64)&gt;=0,MAX(I64:K64)&lt;=100,W64="Valid"),I64*IFERROR(INDEX('Taxonomy Rules'!$D$26:$D$37,MATCH(F64,'Taxonomy Rules'!$C$26:$C$37,0)),0)+J64*IFERROR(INDEX('Taxonomy Rules'!$E$26:$E$37,MATCH(F64,'Taxonomy Rules'!$C$26:$C$37,0)),0)+K64*IFERROR(INDEX('Taxonomy Rules'!$F$26:$F$37,MATCH(F64,'Taxonomy Rules'!$C$26:$C$37,0)),0),""))</x:f>
      </x:c>
      <x:c r="Q64" s="3" t="str">
        <x:f>IF(C64="","",IF(ISNUMBER(P64),IF(P64&gt;=80,"Strong",IF(P64&gt;=60,"Developing","Weak")),"Unrated"))</x:f>
      </x:c>
      <x:c r="R64" s="9" t="str">
        <x:f>IF(C64="","",COUNTIFS('Actions'!$D$9:$D$308,C64,'Actions'!$E$9:$E$308,"E&amp;S",'Actions'!$F$9:$F$308,"Critical",'Actions'!$P$9:$P$308,"&lt;&gt;Closed",'Actions'!$C$9:$C$308,"&lt;&gt;"))</x:f>
      </x:c>
      <x:c r="S64" s="9" t="str">
        <x:f>IF(C64="","",COUNTIFS('Actions'!$D$9:$D$308,C64,'Actions'!$Q$9:$Q$308,"Overdue",'Actions'!$C$9:$C$308,"&lt;&gt;"))</x:f>
      </x:c>
      <x:c r="T64" s="9" t="str">
        <x:f>IF(C64="","",IF(OR(COUNTIF($C$9:$C$108,C64)&lt;&gt;1,COUNTIF(Borrowers!$C$9:$C$108,C64)&lt;&gt;1),"Key review",IF(OR(L64="",O64="",NOT(OR(G64="High",G64="Moderate",G64="Low")),NOT(OR(H64="Yes",H64="No")),NOT(OR(X64="Standard",X64="Enhanced")),AND(G64="High",X64&lt;&gt;"Enhanced"),NOT(ISNUMBER(M64)),NOT(ISNUMBER(N64)),M64&gt;Settings!$F$8,N64&lt;M64,W64&lt;&gt;"Valid",NOT(ISNUMBER(P64)),COUNTIFS('Actions'!$D$9:$D$308,C64,'Actions'!$S$9:$S$308,"&lt;&gt;Valid",'Actions'!$C$9:$C$308,"&lt;&gt;")&gt;0),"Incomplete",IF(N64&lt;Settings!$F$8,"Expired","Current"))))</x:f>
      </x:c>
      <x:c r="U64" s="3" t="str">
        <x:f>IF(C64="","",IF(H64="Yes","Decline — prohibited",IF(R64&gt;0,"Hold — critical issue",IF(T64&lt;&gt;"Current","Hold — evidence",IF(V64&gt;0,"Conditions","Clear")))))</x:f>
      </x:c>
      <x:c r="V64" s="9" t="str">
        <x:f>IF(C64="","",COUNTIFS('Actions'!$D$9:$D$308,C64,'Actions'!$E$9:$E$308,"E&amp;S",'Actions'!$P$9:$P$308,"&lt;&gt;Closed",'Actions'!$C$9:$C$308,"&lt;&gt;"))</x:f>
      </x:c>
      <x:c r="W64" s="9" t="str">
        <x:f>IF(C64="","",IF(COUNTIF('Taxonomy Rules'!$C$26:$C$37,F64)&lt;&gt;1,"Sector missing",IF(AND(IFERROR(INDEX('Taxonomy Rules'!$D$26:$D$37,MATCH(F64,'Taxonomy Rules'!$C$26:$C$37,0)),0)&gt;=0,IFERROR(INDEX('Taxonomy Rules'!$E$26:$E$37,MATCH(F64,'Taxonomy Rules'!$C$26:$C$37,0)),0)&gt;=0,IFERROR(INDEX('Taxonomy Rules'!$F$26:$F$37,MATCH(F64,'Taxonomy Rules'!$C$26:$C$37,0)),0)&gt;=0,ABS(IFERROR(INDEX('Taxonomy Rules'!$D$26:$D$37,MATCH(F64,'Taxonomy Rules'!$C$26:$C$37,0)),0)+IFERROR(INDEX('Taxonomy Rules'!$E$26:$E$37,MATCH(F64,'Taxonomy Rules'!$C$26:$C$37,0)),0)+IFERROR(INDEX('Taxonomy Rules'!$F$26:$F$37,MATCH(F64,'Taxonomy Rules'!$C$26:$C$37,0)),0)-1)&lt;0.000001),"Valid","Check weights")))</x:f>
      </x:c>
      <x:c r="X64" s="8"/>
    </x:row>
    <x:row r="65" ht="38" customHeight="1">
      <x:c r="A65" s="1"/>
      <x:c r="B65" s="1"/>
      <x:c r="C65" s="8"/>
      <x:c r="D65" s="9" t="str">
        <x:f>IF(C65="","",IFERROR(INDEX('Borrowers'!$D$9:$D$108,MATCH(C65,'Borrowers'!$C$9:$C$108,0)),""))</x:f>
      </x:c>
      <x:c r="E65" s="9" t="str">
        <x:f>IF(C65="","",IFERROR(INDEX('Borrowers'!$E$9:$E$108,MATCH(C65,'Borrowers'!$C$9:$C$108,0)),""))</x:f>
      </x:c>
      <x:c r="F65" s="9" t="str">
        <x:f>IF(C65="","",IFERROR(INDEX('Borrowers'!$F$9:$F$108,MATCH(C65,'Borrowers'!$C$9:$C$108,0)),""))</x:f>
      </x:c>
      <x:c r="G65" s="8"/>
      <x:c r="H65" s="8"/>
      <x:c r="I65" s="8"/>
      <x:c r="J65" s="8"/>
      <x:c r="K65" s="8"/>
      <x:c r="L65" s="8"/>
      <x:c r="M65" s="10"/>
      <x:c r="N65" s="10"/>
      <x:c r="O65" s="8"/>
      <x:c r="P65" s="37" t="str">
        <x:f>IF(C65="","",IF(AND(COUNT(I65:K65)=3,MIN(I65:K65)&gt;=0,MAX(I65:K65)&lt;=100,W65="Valid"),I65*IFERROR(INDEX('Taxonomy Rules'!$D$26:$D$37,MATCH(F65,'Taxonomy Rules'!$C$26:$C$37,0)),0)+J65*IFERROR(INDEX('Taxonomy Rules'!$E$26:$E$37,MATCH(F65,'Taxonomy Rules'!$C$26:$C$37,0)),0)+K65*IFERROR(INDEX('Taxonomy Rules'!$F$26:$F$37,MATCH(F65,'Taxonomy Rules'!$C$26:$C$37,0)),0),""))</x:f>
      </x:c>
      <x:c r="Q65" s="3" t="str">
        <x:f>IF(C65="","",IF(ISNUMBER(P65),IF(P65&gt;=80,"Strong",IF(P65&gt;=60,"Developing","Weak")),"Unrated"))</x:f>
      </x:c>
      <x:c r="R65" s="9" t="str">
        <x:f>IF(C65="","",COUNTIFS('Actions'!$D$9:$D$308,C65,'Actions'!$E$9:$E$308,"E&amp;S",'Actions'!$F$9:$F$308,"Critical",'Actions'!$P$9:$P$308,"&lt;&gt;Closed",'Actions'!$C$9:$C$308,"&lt;&gt;"))</x:f>
      </x:c>
      <x:c r="S65" s="9" t="str">
        <x:f>IF(C65="","",COUNTIFS('Actions'!$D$9:$D$308,C65,'Actions'!$Q$9:$Q$308,"Overdue",'Actions'!$C$9:$C$308,"&lt;&gt;"))</x:f>
      </x:c>
      <x:c r="T65" s="9" t="str">
        <x:f>IF(C65="","",IF(OR(COUNTIF($C$9:$C$108,C65)&lt;&gt;1,COUNTIF(Borrowers!$C$9:$C$108,C65)&lt;&gt;1),"Key review",IF(OR(L65="",O65="",NOT(OR(G65="High",G65="Moderate",G65="Low")),NOT(OR(H65="Yes",H65="No")),NOT(OR(X65="Standard",X65="Enhanced")),AND(G65="High",X65&lt;&gt;"Enhanced"),NOT(ISNUMBER(M65)),NOT(ISNUMBER(N65)),M65&gt;Settings!$F$8,N65&lt;M65,W65&lt;&gt;"Valid",NOT(ISNUMBER(P65)),COUNTIFS('Actions'!$D$9:$D$308,C65,'Actions'!$S$9:$S$308,"&lt;&gt;Valid",'Actions'!$C$9:$C$308,"&lt;&gt;")&gt;0),"Incomplete",IF(N65&lt;Settings!$F$8,"Expired","Current"))))</x:f>
      </x:c>
      <x:c r="U65" s="3" t="str">
        <x:f>IF(C65="","",IF(H65="Yes","Decline — prohibited",IF(R65&gt;0,"Hold — critical issue",IF(T65&lt;&gt;"Current","Hold — evidence",IF(V65&gt;0,"Conditions","Clear")))))</x:f>
      </x:c>
      <x:c r="V65" s="9" t="str">
        <x:f>IF(C65="","",COUNTIFS('Actions'!$D$9:$D$308,C65,'Actions'!$E$9:$E$308,"E&amp;S",'Actions'!$P$9:$P$308,"&lt;&gt;Closed",'Actions'!$C$9:$C$308,"&lt;&gt;"))</x:f>
      </x:c>
      <x:c r="W65" s="9" t="str">
        <x:f>IF(C65="","",IF(COUNTIF('Taxonomy Rules'!$C$26:$C$37,F65)&lt;&gt;1,"Sector missing",IF(AND(IFERROR(INDEX('Taxonomy Rules'!$D$26:$D$37,MATCH(F65,'Taxonomy Rules'!$C$26:$C$37,0)),0)&gt;=0,IFERROR(INDEX('Taxonomy Rules'!$E$26:$E$37,MATCH(F65,'Taxonomy Rules'!$C$26:$C$37,0)),0)&gt;=0,IFERROR(INDEX('Taxonomy Rules'!$F$26:$F$37,MATCH(F65,'Taxonomy Rules'!$C$26:$C$37,0)),0)&gt;=0,ABS(IFERROR(INDEX('Taxonomy Rules'!$D$26:$D$37,MATCH(F65,'Taxonomy Rules'!$C$26:$C$37,0)),0)+IFERROR(INDEX('Taxonomy Rules'!$E$26:$E$37,MATCH(F65,'Taxonomy Rules'!$C$26:$C$37,0)),0)+IFERROR(INDEX('Taxonomy Rules'!$F$26:$F$37,MATCH(F65,'Taxonomy Rules'!$C$26:$C$37,0)),0)-1)&lt;0.000001),"Valid","Check weights")))</x:f>
      </x:c>
      <x:c r="X65" s="8"/>
    </x:row>
    <x:row r="66" ht="38" customHeight="1">
      <x:c r="A66" s="1"/>
      <x:c r="B66" s="1"/>
      <x:c r="C66" s="8"/>
      <x:c r="D66" s="9" t="str">
        <x:f>IF(C66="","",IFERROR(INDEX('Borrowers'!$D$9:$D$108,MATCH(C66,'Borrowers'!$C$9:$C$108,0)),""))</x:f>
      </x:c>
      <x:c r="E66" s="9" t="str">
        <x:f>IF(C66="","",IFERROR(INDEX('Borrowers'!$E$9:$E$108,MATCH(C66,'Borrowers'!$C$9:$C$108,0)),""))</x:f>
      </x:c>
      <x:c r="F66" s="9" t="str">
        <x:f>IF(C66="","",IFERROR(INDEX('Borrowers'!$F$9:$F$108,MATCH(C66,'Borrowers'!$C$9:$C$108,0)),""))</x:f>
      </x:c>
      <x:c r="G66" s="8"/>
      <x:c r="H66" s="8"/>
      <x:c r="I66" s="8"/>
      <x:c r="J66" s="8"/>
      <x:c r="K66" s="8"/>
      <x:c r="L66" s="8"/>
      <x:c r="M66" s="10"/>
      <x:c r="N66" s="10"/>
      <x:c r="O66" s="8"/>
      <x:c r="P66" s="37" t="str">
        <x:f>IF(C66="","",IF(AND(COUNT(I66:K66)=3,MIN(I66:K66)&gt;=0,MAX(I66:K66)&lt;=100,W66="Valid"),I66*IFERROR(INDEX('Taxonomy Rules'!$D$26:$D$37,MATCH(F66,'Taxonomy Rules'!$C$26:$C$37,0)),0)+J66*IFERROR(INDEX('Taxonomy Rules'!$E$26:$E$37,MATCH(F66,'Taxonomy Rules'!$C$26:$C$37,0)),0)+K66*IFERROR(INDEX('Taxonomy Rules'!$F$26:$F$37,MATCH(F66,'Taxonomy Rules'!$C$26:$C$37,0)),0),""))</x:f>
      </x:c>
      <x:c r="Q66" s="3" t="str">
        <x:f>IF(C66="","",IF(ISNUMBER(P66),IF(P66&gt;=80,"Strong",IF(P66&gt;=60,"Developing","Weak")),"Unrated"))</x:f>
      </x:c>
      <x:c r="R66" s="9" t="str">
        <x:f>IF(C66="","",COUNTIFS('Actions'!$D$9:$D$308,C66,'Actions'!$E$9:$E$308,"E&amp;S",'Actions'!$F$9:$F$308,"Critical",'Actions'!$P$9:$P$308,"&lt;&gt;Closed",'Actions'!$C$9:$C$308,"&lt;&gt;"))</x:f>
      </x:c>
      <x:c r="S66" s="9" t="str">
        <x:f>IF(C66="","",COUNTIFS('Actions'!$D$9:$D$308,C66,'Actions'!$Q$9:$Q$308,"Overdue",'Actions'!$C$9:$C$308,"&lt;&gt;"))</x:f>
      </x:c>
      <x:c r="T66" s="9" t="str">
        <x:f>IF(C66="","",IF(OR(COUNTIF($C$9:$C$108,C66)&lt;&gt;1,COUNTIF(Borrowers!$C$9:$C$108,C66)&lt;&gt;1),"Key review",IF(OR(L66="",O66="",NOT(OR(G66="High",G66="Moderate",G66="Low")),NOT(OR(H66="Yes",H66="No")),NOT(OR(X66="Standard",X66="Enhanced")),AND(G66="High",X66&lt;&gt;"Enhanced"),NOT(ISNUMBER(M66)),NOT(ISNUMBER(N66)),M66&gt;Settings!$F$8,N66&lt;M66,W66&lt;&gt;"Valid",NOT(ISNUMBER(P66)),COUNTIFS('Actions'!$D$9:$D$308,C66,'Actions'!$S$9:$S$308,"&lt;&gt;Valid",'Actions'!$C$9:$C$308,"&lt;&gt;")&gt;0),"Incomplete",IF(N66&lt;Settings!$F$8,"Expired","Current"))))</x:f>
      </x:c>
      <x:c r="U66" s="3" t="str">
        <x:f>IF(C66="","",IF(H66="Yes","Decline — prohibited",IF(R66&gt;0,"Hold — critical issue",IF(T66&lt;&gt;"Current","Hold — evidence",IF(V66&gt;0,"Conditions","Clear")))))</x:f>
      </x:c>
      <x:c r="V66" s="9" t="str">
        <x:f>IF(C66="","",COUNTIFS('Actions'!$D$9:$D$308,C66,'Actions'!$E$9:$E$308,"E&amp;S",'Actions'!$P$9:$P$308,"&lt;&gt;Closed",'Actions'!$C$9:$C$308,"&lt;&gt;"))</x:f>
      </x:c>
      <x:c r="W66" s="9" t="str">
        <x:f>IF(C66="","",IF(COUNTIF('Taxonomy Rules'!$C$26:$C$37,F66)&lt;&gt;1,"Sector missing",IF(AND(IFERROR(INDEX('Taxonomy Rules'!$D$26:$D$37,MATCH(F66,'Taxonomy Rules'!$C$26:$C$37,0)),0)&gt;=0,IFERROR(INDEX('Taxonomy Rules'!$E$26:$E$37,MATCH(F66,'Taxonomy Rules'!$C$26:$C$37,0)),0)&gt;=0,IFERROR(INDEX('Taxonomy Rules'!$F$26:$F$37,MATCH(F66,'Taxonomy Rules'!$C$26:$C$37,0)),0)&gt;=0,ABS(IFERROR(INDEX('Taxonomy Rules'!$D$26:$D$37,MATCH(F66,'Taxonomy Rules'!$C$26:$C$37,0)),0)+IFERROR(INDEX('Taxonomy Rules'!$E$26:$E$37,MATCH(F66,'Taxonomy Rules'!$C$26:$C$37,0)),0)+IFERROR(INDEX('Taxonomy Rules'!$F$26:$F$37,MATCH(F66,'Taxonomy Rules'!$C$26:$C$37,0)),0)-1)&lt;0.000001),"Valid","Check weights")))</x:f>
      </x:c>
      <x:c r="X66" s="8"/>
    </x:row>
    <x:row r="67" ht="38" customHeight="1">
      <x:c r="A67" s="1"/>
      <x:c r="B67" s="1"/>
      <x:c r="C67" s="8"/>
      <x:c r="D67" s="9" t="str">
        <x:f>IF(C67="","",IFERROR(INDEX('Borrowers'!$D$9:$D$108,MATCH(C67,'Borrowers'!$C$9:$C$108,0)),""))</x:f>
      </x:c>
      <x:c r="E67" s="9" t="str">
        <x:f>IF(C67="","",IFERROR(INDEX('Borrowers'!$E$9:$E$108,MATCH(C67,'Borrowers'!$C$9:$C$108,0)),""))</x:f>
      </x:c>
      <x:c r="F67" s="9" t="str">
        <x:f>IF(C67="","",IFERROR(INDEX('Borrowers'!$F$9:$F$108,MATCH(C67,'Borrowers'!$C$9:$C$108,0)),""))</x:f>
      </x:c>
      <x:c r="G67" s="8"/>
      <x:c r="H67" s="8"/>
      <x:c r="I67" s="8"/>
      <x:c r="J67" s="8"/>
      <x:c r="K67" s="8"/>
      <x:c r="L67" s="8"/>
      <x:c r="M67" s="10"/>
      <x:c r="N67" s="10"/>
      <x:c r="O67" s="8"/>
      <x:c r="P67" s="37" t="str">
        <x:f>IF(C67="","",IF(AND(COUNT(I67:K67)=3,MIN(I67:K67)&gt;=0,MAX(I67:K67)&lt;=100,W67="Valid"),I67*IFERROR(INDEX('Taxonomy Rules'!$D$26:$D$37,MATCH(F67,'Taxonomy Rules'!$C$26:$C$37,0)),0)+J67*IFERROR(INDEX('Taxonomy Rules'!$E$26:$E$37,MATCH(F67,'Taxonomy Rules'!$C$26:$C$37,0)),0)+K67*IFERROR(INDEX('Taxonomy Rules'!$F$26:$F$37,MATCH(F67,'Taxonomy Rules'!$C$26:$C$37,0)),0),""))</x:f>
      </x:c>
      <x:c r="Q67" s="3" t="str">
        <x:f>IF(C67="","",IF(ISNUMBER(P67),IF(P67&gt;=80,"Strong",IF(P67&gt;=60,"Developing","Weak")),"Unrated"))</x:f>
      </x:c>
      <x:c r="R67" s="9" t="str">
        <x:f>IF(C67="","",COUNTIFS('Actions'!$D$9:$D$308,C67,'Actions'!$E$9:$E$308,"E&amp;S",'Actions'!$F$9:$F$308,"Critical",'Actions'!$P$9:$P$308,"&lt;&gt;Closed",'Actions'!$C$9:$C$308,"&lt;&gt;"))</x:f>
      </x:c>
      <x:c r="S67" s="9" t="str">
        <x:f>IF(C67="","",COUNTIFS('Actions'!$D$9:$D$308,C67,'Actions'!$Q$9:$Q$308,"Overdue",'Actions'!$C$9:$C$308,"&lt;&gt;"))</x:f>
      </x:c>
      <x:c r="T67" s="9" t="str">
        <x:f>IF(C67="","",IF(OR(COUNTIF($C$9:$C$108,C67)&lt;&gt;1,COUNTIF(Borrowers!$C$9:$C$108,C67)&lt;&gt;1),"Key review",IF(OR(L67="",O67="",NOT(OR(G67="High",G67="Moderate",G67="Low")),NOT(OR(H67="Yes",H67="No")),NOT(OR(X67="Standard",X67="Enhanced")),AND(G67="High",X67&lt;&gt;"Enhanced"),NOT(ISNUMBER(M67)),NOT(ISNUMBER(N67)),M67&gt;Settings!$F$8,N67&lt;M67,W67&lt;&gt;"Valid",NOT(ISNUMBER(P67)),COUNTIFS('Actions'!$D$9:$D$308,C67,'Actions'!$S$9:$S$308,"&lt;&gt;Valid",'Actions'!$C$9:$C$308,"&lt;&gt;")&gt;0),"Incomplete",IF(N67&lt;Settings!$F$8,"Expired","Current"))))</x:f>
      </x:c>
      <x:c r="U67" s="3" t="str">
        <x:f>IF(C67="","",IF(H67="Yes","Decline — prohibited",IF(R67&gt;0,"Hold — critical issue",IF(T67&lt;&gt;"Current","Hold — evidence",IF(V67&gt;0,"Conditions","Clear")))))</x:f>
      </x:c>
      <x:c r="V67" s="9" t="str">
        <x:f>IF(C67="","",COUNTIFS('Actions'!$D$9:$D$308,C67,'Actions'!$E$9:$E$308,"E&amp;S",'Actions'!$P$9:$P$308,"&lt;&gt;Closed",'Actions'!$C$9:$C$308,"&lt;&gt;"))</x:f>
      </x:c>
      <x:c r="W67" s="9" t="str">
        <x:f>IF(C67="","",IF(COUNTIF('Taxonomy Rules'!$C$26:$C$37,F67)&lt;&gt;1,"Sector missing",IF(AND(IFERROR(INDEX('Taxonomy Rules'!$D$26:$D$37,MATCH(F67,'Taxonomy Rules'!$C$26:$C$37,0)),0)&gt;=0,IFERROR(INDEX('Taxonomy Rules'!$E$26:$E$37,MATCH(F67,'Taxonomy Rules'!$C$26:$C$37,0)),0)&gt;=0,IFERROR(INDEX('Taxonomy Rules'!$F$26:$F$37,MATCH(F67,'Taxonomy Rules'!$C$26:$C$37,0)),0)&gt;=0,ABS(IFERROR(INDEX('Taxonomy Rules'!$D$26:$D$37,MATCH(F67,'Taxonomy Rules'!$C$26:$C$37,0)),0)+IFERROR(INDEX('Taxonomy Rules'!$E$26:$E$37,MATCH(F67,'Taxonomy Rules'!$C$26:$C$37,0)),0)+IFERROR(INDEX('Taxonomy Rules'!$F$26:$F$37,MATCH(F67,'Taxonomy Rules'!$C$26:$C$37,0)),0)-1)&lt;0.000001),"Valid","Check weights")))</x:f>
      </x:c>
      <x:c r="X67" s="8"/>
    </x:row>
    <x:row r="68" ht="38" customHeight="1">
      <x:c r="A68" s="1"/>
      <x:c r="B68" s="1"/>
      <x:c r="C68" s="8"/>
      <x:c r="D68" s="9" t="str">
        <x:f>IF(C68="","",IFERROR(INDEX('Borrowers'!$D$9:$D$108,MATCH(C68,'Borrowers'!$C$9:$C$108,0)),""))</x:f>
      </x:c>
      <x:c r="E68" s="9" t="str">
        <x:f>IF(C68="","",IFERROR(INDEX('Borrowers'!$E$9:$E$108,MATCH(C68,'Borrowers'!$C$9:$C$108,0)),""))</x:f>
      </x:c>
      <x:c r="F68" s="9" t="str">
        <x:f>IF(C68="","",IFERROR(INDEX('Borrowers'!$F$9:$F$108,MATCH(C68,'Borrowers'!$C$9:$C$108,0)),""))</x:f>
      </x:c>
      <x:c r="G68" s="8"/>
      <x:c r="H68" s="8"/>
      <x:c r="I68" s="8"/>
      <x:c r="J68" s="8"/>
      <x:c r="K68" s="8"/>
      <x:c r="L68" s="8"/>
      <x:c r="M68" s="10"/>
      <x:c r="N68" s="10"/>
      <x:c r="O68" s="8"/>
      <x:c r="P68" s="37" t="str">
        <x:f>IF(C68="","",IF(AND(COUNT(I68:K68)=3,MIN(I68:K68)&gt;=0,MAX(I68:K68)&lt;=100,W68="Valid"),I68*IFERROR(INDEX('Taxonomy Rules'!$D$26:$D$37,MATCH(F68,'Taxonomy Rules'!$C$26:$C$37,0)),0)+J68*IFERROR(INDEX('Taxonomy Rules'!$E$26:$E$37,MATCH(F68,'Taxonomy Rules'!$C$26:$C$37,0)),0)+K68*IFERROR(INDEX('Taxonomy Rules'!$F$26:$F$37,MATCH(F68,'Taxonomy Rules'!$C$26:$C$37,0)),0),""))</x:f>
      </x:c>
      <x:c r="Q68" s="3" t="str">
        <x:f>IF(C68="","",IF(ISNUMBER(P68),IF(P68&gt;=80,"Strong",IF(P68&gt;=60,"Developing","Weak")),"Unrated"))</x:f>
      </x:c>
      <x:c r="R68" s="9" t="str">
        <x:f>IF(C68="","",COUNTIFS('Actions'!$D$9:$D$308,C68,'Actions'!$E$9:$E$308,"E&amp;S",'Actions'!$F$9:$F$308,"Critical",'Actions'!$P$9:$P$308,"&lt;&gt;Closed",'Actions'!$C$9:$C$308,"&lt;&gt;"))</x:f>
      </x:c>
      <x:c r="S68" s="9" t="str">
        <x:f>IF(C68="","",COUNTIFS('Actions'!$D$9:$D$308,C68,'Actions'!$Q$9:$Q$308,"Overdue",'Actions'!$C$9:$C$308,"&lt;&gt;"))</x:f>
      </x:c>
      <x:c r="T68" s="9" t="str">
        <x:f>IF(C68="","",IF(OR(COUNTIF($C$9:$C$108,C68)&lt;&gt;1,COUNTIF(Borrowers!$C$9:$C$108,C68)&lt;&gt;1),"Key review",IF(OR(L68="",O68="",NOT(OR(G68="High",G68="Moderate",G68="Low")),NOT(OR(H68="Yes",H68="No")),NOT(OR(X68="Standard",X68="Enhanced")),AND(G68="High",X68&lt;&gt;"Enhanced"),NOT(ISNUMBER(M68)),NOT(ISNUMBER(N68)),M68&gt;Settings!$F$8,N68&lt;M68,W68&lt;&gt;"Valid",NOT(ISNUMBER(P68)),COUNTIFS('Actions'!$D$9:$D$308,C68,'Actions'!$S$9:$S$308,"&lt;&gt;Valid",'Actions'!$C$9:$C$308,"&lt;&gt;")&gt;0),"Incomplete",IF(N68&lt;Settings!$F$8,"Expired","Current"))))</x:f>
      </x:c>
      <x:c r="U68" s="3" t="str">
        <x:f>IF(C68="","",IF(H68="Yes","Decline — prohibited",IF(R68&gt;0,"Hold — critical issue",IF(T68&lt;&gt;"Current","Hold — evidence",IF(V68&gt;0,"Conditions","Clear")))))</x:f>
      </x:c>
      <x:c r="V68" s="9" t="str">
        <x:f>IF(C68="","",COUNTIFS('Actions'!$D$9:$D$308,C68,'Actions'!$E$9:$E$308,"E&amp;S",'Actions'!$P$9:$P$308,"&lt;&gt;Closed",'Actions'!$C$9:$C$308,"&lt;&gt;"))</x:f>
      </x:c>
      <x:c r="W68" s="9" t="str">
        <x:f>IF(C68="","",IF(COUNTIF('Taxonomy Rules'!$C$26:$C$37,F68)&lt;&gt;1,"Sector missing",IF(AND(IFERROR(INDEX('Taxonomy Rules'!$D$26:$D$37,MATCH(F68,'Taxonomy Rules'!$C$26:$C$37,0)),0)&gt;=0,IFERROR(INDEX('Taxonomy Rules'!$E$26:$E$37,MATCH(F68,'Taxonomy Rules'!$C$26:$C$37,0)),0)&gt;=0,IFERROR(INDEX('Taxonomy Rules'!$F$26:$F$37,MATCH(F68,'Taxonomy Rules'!$C$26:$C$37,0)),0)&gt;=0,ABS(IFERROR(INDEX('Taxonomy Rules'!$D$26:$D$37,MATCH(F68,'Taxonomy Rules'!$C$26:$C$37,0)),0)+IFERROR(INDEX('Taxonomy Rules'!$E$26:$E$37,MATCH(F68,'Taxonomy Rules'!$C$26:$C$37,0)),0)+IFERROR(INDEX('Taxonomy Rules'!$F$26:$F$37,MATCH(F68,'Taxonomy Rules'!$C$26:$C$37,0)),0)-1)&lt;0.000001),"Valid","Check weights")))</x:f>
      </x:c>
      <x:c r="X68" s="8"/>
    </x:row>
    <x:row r="69" ht="38" customHeight="1">
      <x:c r="A69" s="1"/>
      <x:c r="B69" s="1"/>
      <x:c r="C69" s="8"/>
      <x:c r="D69" s="9" t="str">
        <x:f>IF(C69="","",IFERROR(INDEX('Borrowers'!$D$9:$D$108,MATCH(C69,'Borrowers'!$C$9:$C$108,0)),""))</x:f>
      </x:c>
      <x:c r="E69" s="9" t="str">
        <x:f>IF(C69="","",IFERROR(INDEX('Borrowers'!$E$9:$E$108,MATCH(C69,'Borrowers'!$C$9:$C$108,0)),""))</x:f>
      </x:c>
      <x:c r="F69" s="9" t="str">
        <x:f>IF(C69="","",IFERROR(INDEX('Borrowers'!$F$9:$F$108,MATCH(C69,'Borrowers'!$C$9:$C$108,0)),""))</x:f>
      </x:c>
      <x:c r="G69" s="8"/>
      <x:c r="H69" s="8"/>
      <x:c r="I69" s="8"/>
      <x:c r="J69" s="8"/>
      <x:c r="K69" s="8"/>
      <x:c r="L69" s="8"/>
      <x:c r="M69" s="10"/>
      <x:c r="N69" s="10"/>
      <x:c r="O69" s="8"/>
      <x:c r="P69" s="37" t="str">
        <x:f>IF(C69="","",IF(AND(COUNT(I69:K69)=3,MIN(I69:K69)&gt;=0,MAX(I69:K69)&lt;=100,W69="Valid"),I69*IFERROR(INDEX('Taxonomy Rules'!$D$26:$D$37,MATCH(F69,'Taxonomy Rules'!$C$26:$C$37,0)),0)+J69*IFERROR(INDEX('Taxonomy Rules'!$E$26:$E$37,MATCH(F69,'Taxonomy Rules'!$C$26:$C$37,0)),0)+K69*IFERROR(INDEX('Taxonomy Rules'!$F$26:$F$37,MATCH(F69,'Taxonomy Rules'!$C$26:$C$37,0)),0),""))</x:f>
      </x:c>
      <x:c r="Q69" s="3" t="str">
        <x:f>IF(C69="","",IF(ISNUMBER(P69),IF(P69&gt;=80,"Strong",IF(P69&gt;=60,"Developing","Weak")),"Unrated"))</x:f>
      </x:c>
      <x:c r="R69" s="9" t="str">
        <x:f>IF(C69="","",COUNTIFS('Actions'!$D$9:$D$308,C69,'Actions'!$E$9:$E$308,"E&amp;S",'Actions'!$F$9:$F$308,"Critical",'Actions'!$P$9:$P$308,"&lt;&gt;Closed",'Actions'!$C$9:$C$308,"&lt;&gt;"))</x:f>
      </x:c>
      <x:c r="S69" s="9" t="str">
        <x:f>IF(C69="","",COUNTIFS('Actions'!$D$9:$D$308,C69,'Actions'!$Q$9:$Q$308,"Overdue",'Actions'!$C$9:$C$308,"&lt;&gt;"))</x:f>
      </x:c>
      <x:c r="T69" s="9" t="str">
        <x:f>IF(C69="","",IF(OR(COUNTIF($C$9:$C$108,C69)&lt;&gt;1,COUNTIF(Borrowers!$C$9:$C$108,C69)&lt;&gt;1),"Key review",IF(OR(L69="",O69="",NOT(OR(G69="High",G69="Moderate",G69="Low")),NOT(OR(H69="Yes",H69="No")),NOT(OR(X69="Standard",X69="Enhanced")),AND(G69="High",X69&lt;&gt;"Enhanced"),NOT(ISNUMBER(M69)),NOT(ISNUMBER(N69)),M69&gt;Settings!$F$8,N69&lt;M69,W69&lt;&gt;"Valid",NOT(ISNUMBER(P69)),COUNTIFS('Actions'!$D$9:$D$308,C69,'Actions'!$S$9:$S$308,"&lt;&gt;Valid",'Actions'!$C$9:$C$308,"&lt;&gt;")&gt;0),"Incomplete",IF(N69&lt;Settings!$F$8,"Expired","Current"))))</x:f>
      </x:c>
      <x:c r="U69" s="3" t="str">
        <x:f>IF(C69="","",IF(H69="Yes","Decline — prohibited",IF(R69&gt;0,"Hold — critical issue",IF(T69&lt;&gt;"Current","Hold — evidence",IF(V69&gt;0,"Conditions","Clear")))))</x:f>
      </x:c>
      <x:c r="V69" s="9" t="str">
        <x:f>IF(C69="","",COUNTIFS('Actions'!$D$9:$D$308,C69,'Actions'!$E$9:$E$308,"E&amp;S",'Actions'!$P$9:$P$308,"&lt;&gt;Closed",'Actions'!$C$9:$C$308,"&lt;&gt;"))</x:f>
      </x:c>
      <x:c r="W69" s="9" t="str">
        <x:f>IF(C69="","",IF(COUNTIF('Taxonomy Rules'!$C$26:$C$37,F69)&lt;&gt;1,"Sector missing",IF(AND(IFERROR(INDEX('Taxonomy Rules'!$D$26:$D$37,MATCH(F69,'Taxonomy Rules'!$C$26:$C$37,0)),0)&gt;=0,IFERROR(INDEX('Taxonomy Rules'!$E$26:$E$37,MATCH(F69,'Taxonomy Rules'!$C$26:$C$37,0)),0)&gt;=0,IFERROR(INDEX('Taxonomy Rules'!$F$26:$F$37,MATCH(F69,'Taxonomy Rules'!$C$26:$C$37,0)),0)&gt;=0,ABS(IFERROR(INDEX('Taxonomy Rules'!$D$26:$D$37,MATCH(F69,'Taxonomy Rules'!$C$26:$C$37,0)),0)+IFERROR(INDEX('Taxonomy Rules'!$E$26:$E$37,MATCH(F69,'Taxonomy Rules'!$C$26:$C$37,0)),0)+IFERROR(INDEX('Taxonomy Rules'!$F$26:$F$37,MATCH(F69,'Taxonomy Rules'!$C$26:$C$37,0)),0)-1)&lt;0.000001),"Valid","Check weights")))</x:f>
      </x:c>
      <x:c r="X69" s="8"/>
    </x:row>
    <x:row r="70" ht="38" customHeight="1">
      <x:c r="A70" s="1"/>
      <x:c r="B70" s="1"/>
      <x:c r="C70" s="8"/>
      <x:c r="D70" s="9" t="str">
        <x:f>IF(C70="","",IFERROR(INDEX('Borrowers'!$D$9:$D$108,MATCH(C70,'Borrowers'!$C$9:$C$108,0)),""))</x:f>
      </x:c>
      <x:c r="E70" s="9" t="str">
        <x:f>IF(C70="","",IFERROR(INDEX('Borrowers'!$E$9:$E$108,MATCH(C70,'Borrowers'!$C$9:$C$108,0)),""))</x:f>
      </x:c>
      <x:c r="F70" s="9" t="str">
        <x:f>IF(C70="","",IFERROR(INDEX('Borrowers'!$F$9:$F$108,MATCH(C70,'Borrowers'!$C$9:$C$108,0)),""))</x:f>
      </x:c>
      <x:c r="G70" s="8"/>
      <x:c r="H70" s="8"/>
      <x:c r="I70" s="8"/>
      <x:c r="J70" s="8"/>
      <x:c r="K70" s="8"/>
      <x:c r="L70" s="8"/>
      <x:c r="M70" s="10"/>
      <x:c r="N70" s="10"/>
      <x:c r="O70" s="8"/>
      <x:c r="P70" s="37" t="str">
        <x:f>IF(C70="","",IF(AND(COUNT(I70:K70)=3,MIN(I70:K70)&gt;=0,MAX(I70:K70)&lt;=100,W70="Valid"),I70*IFERROR(INDEX('Taxonomy Rules'!$D$26:$D$37,MATCH(F70,'Taxonomy Rules'!$C$26:$C$37,0)),0)+J70*IFERROR(INDEX('Taxonomy Rules'!$E$26:$E$37,MATCH(F70,'Taxonomy Rules'!$C$26:$C$37,0)),0)+K70*IFERROR(INDEX('Taxonomy Rules'!$F$26:$F$37,MATCH(F70,'Taxonomy Rules'!$C$26:$C$37,0)),0),""))</x:f>
      </x:c>
      <x:c r="Q70" s="3" t="str">
        <x:f>IF(C70="","",IF(ISNUMBER(P70),IF(P70&gt;=80,"Strong",IF(P70&gt;=60,"Developing","Weak")),"Unrated"))</x:f>
      </x:c>
      <x:c r="R70" s="9" t="str">
        <x:f>IF(C70="","",COUNTIFS('Actions'!$D$9:$D$308,C70,'Actions'!$E$9:$E$308,"E&amp;S",'Actions'!$F$9:$F$308,"Critical",'Actions'!$P$9:$P$308,"&lt;&gt;Closed",'Actions'!$C$9:$C$308,"&lt;&gt;"))</x:f>
      </x:c>
      <x:c r="S70" s="9" t="str">
        <x:f>IF(C70="","",COUNTIFS('Actions'!$D$9:$D$308,C70,'Actions'!$Q$9:$Q$308,"Overdue",'Actions'!$C$9:$C$308,"&lt;&gt;"))</x:f>
      </x:c>
      <x:c r="T70" s="9" t="str">
        <x:f>IF(C70="","",IF(OR(COUNTIF($C$9:$C$108,C70)&lt;&gt;1,COUNTIF(Borrowers!$C$9:$C$108,C70)&lt;&gt;1),"Key review",IF(OR(L70="",O70="",NOT(OR(G70="High",G70="Moderate",G70="Low")),NOT(OR(H70="Yes",H70="No")),NOT(OR(X70="Standard",X70="Enhanced")),AND(G70="High",X70&lt;&gt;"Enhanced"),NOT(ISNUMBER(M70)),NOT(ISNUMBER(N70)),M70&gt;Settings!$F$8,N70&lt;M70,W70&lt;&gt;"Valid",NOT(ISNUMBER(P70)),COUNTIFS('Actions'!$D$9:$D$308,C70,'Actions'!$S$9:$S$308,"&lt;&gt;Valid",'Actions'!$C$9:$C$308,"&lt;&gt;")&gt;0),"Incomplete",IF(N70&lt;Settings!$F$8,"Expired","Current"))))</x:f>
      </x:c>
      <x:c r="U70" s="3" t="str">
        <x:f>IF(C70="","",IF(H70="Yes","Decline — prohibited",IF(R70&gt;0,"Hold — critical issue",IF(T70&lt;&gt;"Current","Hold — evidence",IF(V70&gt;0,"Conditions","Clear")))))</x:f>
      </x:c>
      <x:c r="V70" s="9" t="str">
        <x:f>IF(C70="","",COUNTIFS('Actions'!$D$9:$D$308,C70,'Actions'!$E$9:$E$308,"E&amp;S",'Actions'!$P$9:$P$308,"&lt;&gt;Closed",'Actions'!$C$9:$C$308,"&lt;&gt;"))</x:f>
      </x:c>
      <x:c r="W70" s="9" t="str">
        <x:f>IF(C70="","",IF(COUNTIF('Taxonomy Rules'!$C$26:$C$37,F70)&lt;&gt;1,"Sector missing",IF(AND(IFERROR(INDEX('Taxonomy Rules'!$D$26:$D$37,MATCH(F70,'Taxonomy Rules'!$C$26:$C$37,0)),0)&gt;=0,IFERROR(INDEX('Taxonomy Rules'!$E$26:$E$37,MATCH(F70,'Taxonomy Rules'!$C$26:$C$37,0)),0)&gt;=0,IFERROR(INDEX('Taxonomy Rules'!$F$26:$F$37,MATCH(F70,'Taxonomy Rules'!$C$26:$C$37,0)),0)&gt;=0,ABS(IFERROR(INDEX('Taxonomy Rules'!$D$26:$D$37,MATCH(F70,'Taxonomy Rules'!$C$26:$C$37,0)),0)+IFERROR(INDEX('Taxonomy Rules'!$E$26:$E$37,MATCH(F70,'Taxonomy Rules'!$C$26:$C$37,0)),0)+IFERROR(INDEX('Taxonomy Rules'!$F$26:$F$37,MATCH(F70,'Taxonomy Rules'!$C$26:$C$37,0)),0)-1)&lt;0.000001),"Valid","Check weights")))</x:f>
      </x:c>
      <x:c r="X70" s="8"/>
    </x:row>
    <x:row r="71" ht="38" customHeight="1">
      <x:c r="A71" s="1"/>
      <x:c r="B71" s="1"/>
      <x:c r="C71" s="8"/>
      <x:c r="D71" s="9" t="str">
        <x:f>IF(C71="","",IFERROR(INDEX('Borrowers'!$D$9:$D$108,MATCH(C71,'Borrowers'!$C$9:$C$108,0)),""))</x:f>
      </x:c>
      <x:c r="E71" s="9" t="str">
        <x:f>IF(C71="","",IFERROR(INDEX('Borrowers'!$E$9:$E$108,MATCH(C71,'Borrowers'!$C$9:$C$108,0)),""))</x:f>
      </x:c>
      <x:c r="F71" s="9" t="str">
        <x:f>IF(C71="","",IFERROR(INDEX('Borrowers'!$F$9:$F$108,MATCH(C71,'Borrowers'!$C$9:$C$108,0)),""))</x:f>
      </x:c>
      <x:c r="G71" s="8"/>
      <x:c r="H71" s="8"/>
      <x:c r="I71" s="8"/>
      <x:c r="J71" s="8"/>
      <x:c r="K71" s="8"/>
      <x:c r="L71" s="8"/>
      <x:c r="M71" s="10"/>
      <x:c r="N71" s="10"/>
      <x:c r="O71" s="8"/>
      <x:c r="P71" s="37" t="str">
        <x:f>IF(C71="","",IF(AND(COUNT(I71:K71)=3,MIN(I71:K71)&gt;=0,MAX(I71:K71)&lt;=100,W71="Valid"),I71*IFERROR(INDEX('Taxonomy Rules'!$D$26:$D$37,MATCH(F71,'Taxonomy Rules'!$C$26:$C$37,0)),0)+J71*IFERROR(INDEX('Taxonomy Rules'!$E$26:$E$37,MATCH(F71,'Taxonomy Rules'!$C$26:$C$37,0)),0)+K71*IFERROR(INDEX('Taxonomy Rules'!$F$26:$F$37,MATCH(F71,'Taxonomy Rules'!$C$26:$C$37,0)),0),""))</x:f>
      </x:c>
      <x:c r="Q71" s="3" t="str">
        <x:f>IF(C71="","",IF(ISNUMBER(P71),IF(P71&gt;=80,"Strong",IF(P71&gt;=60,"Developing","Weak")),"Unrated"))</x:f>
      </x:c>
      <x:c r="R71" s="9" t="str">
        <x:f>IF(C71="","",COUNTIFS('Actions'!$D$9:$D$308,C71,'Actions'!$E$9:$E$308,"E&amp;S",'Actions'!$F$9:$F$308,"Critical",'Actions'!$P$9:$P$308,"&lt;&gt;Closed",'Actions'!$C$9:$C$308,"&lt;&gt;"))</x:f>
      </x:c>
      <x:c r="S71" s="9" t="str">
        <x:f>IF(C71="","",COUNTIFS('Actions'!$D$9:$D$308,C71,'Actions'!$Q$9:$Q$308,"Overdue",'Actions'!$C$9:$C$308,"&lt;&gt;"))</x:f>
      </x:c>
      <x:c r="T71" s="9" t="str">
        <x:f>IF(C71="","",IF(OR(COUNTIF($C$9:$C$108,C71)&lt;&gt;1,COUNTIF(Borrowers!$C$9:$C$108,C71)&lt;&gt;1),"Key review",IF(OR(L71="",O71="",NOT(OR(G71="High",G71="Moderate",G71="Low")),NOT(OR(H71="Yes",H71="No")),NOT(OR(X71="Standard",X71="Enhanced")),AND(G71="High",X71&lt;&gt;"Enhanced"),NOT(ISNUMBER(M71)),NOT(ISNUMBER(N71)),M71&gt;Settings!$F$8,N71&lt;M71,W71&lt;&gt;"Valid",NOT(ISNUMBER(P71)),COUNTIFS('Actions'!$D$9:$D$308,C71,'Actions'!$S$9:$S$308,"&lt;&gt;Valid",'Actions'!$C$9:$C$308,"&lt;&gt;")&gt;0),"Incomplete",IF(N71&lt;Settings!$F$8,"Expired","Current"))))</x:f>
      </x:c>
      <x:c r="U71" s="3" t="str">
        <x:f>IF(C71="","",IF(H71="Yes","Decline — prohibited",IF(R71&gt;0,"Hold — critical issue",IF(T71&lt;&gt;"Current","Hold — evidence",IF(V71&gt;0,"Conditions","Clear")))))</x:f>
      </x:c>
      <x:c r="V71" s="9" t="str">
        <x:f>IF(C71="","",COUNTIFS('Actions'!$D$9:$D$308,C71,'Actions'!$E$9:$E$308,"E&amp;S",'Actions'!$P$9:$P$308,"&lt;&gt;Closed",'Actions'!$C$9:$C$308,"&lt;&gt;"))</x:f>
      </x:c>
      <x:c r="W71" s="9" t="str">
        <x:f>IF(C71="","",IF(COUNTIF('Taxonomy Rules'!$C$26:$C$37,F71)&lt;&gt;1,"Sector missing",IF(AND(IFERROR(INDEX('Taxonomy Rules'!$D$26:$D$37,MATCH(F71,'Taxonomy Rules'!$C$26:$C$37,0)),0)&gt;=0,IFERROR(INDEX('Taxonomy Rules'!$E$26:$E$37,MATCH(F71,'Taxonomy Rules'!$C$26:$C$37,0)),0)&gt;=0,IFERROR(INDEX('Taxonomy Rules'!$F$26:$F$37,MATCH(F71,'Taxonomy Rules'!$C$26:$C$37,0)),0)&gt;=0,ABS(IFERROR(INDEX('Taxonomy Rules'!$D$26:$D$37,MATCH(F71,'Taxonomy Rules'!$C$26:$C$37,0)),0)+IFERROR(INDEX('Taxonomy Rules'!$E$26:$E$37,MATCH(F71,'Taxonomy Rules'!$C$26:$C$37,0)),0)+IFERROR(INDEX('Taxonomy Rules'!$F$26:$F$37,MATCH(F71,'Taxonomy Rules'!$C$26:$C$37,0)),0)-1)&lt;0.000001),"Valid","Check weights")))</x:f>
      </x:c>
      <x:c r="X71" s="8"/>
    </x:row>
    <x:row r="72" ht="38" customHeight="1">
      <x:c r="A72" s="1"/>
      <x:c r="B72" s="1"/>
      <x:c r="C72" s="8"/>
      <x:c r="D72" s="9" t="str">
        <x:f>IF(C72="","",IFERROR(INDEX('Borrowers'!$D$9:$D$108,MATCH(C72,'Borrowers'!$C$9:$C$108,0)),""))</x:f>
      </x:c>
      <x:c r="E72" s="9" t="str">
        <x:f>IF(C72="","",IFERROR(INDEX('Borrowers'!$E$9:$E$108,MATCH(C72,'Borrowers'!$C$9:$C$108,0)),""))</x:f>
      </x:c>
      <x:c r="F72" s="9" t="str">
        <x:f>IF(C72="","",IFERROR(INDEX('Borrowers'!$F$9:$F$108,MATCH(C72,'Borrowers'!$C$9:$C$108,0)),""))</x:f>
      </x:c>
      <x:c r="G72" s="8"/>
      <x:c r="H72" s="8"/>
      <x:c r="I72" s="8"/>
      <x:c r="J72" s="8"/>
      <x:c r="K72" s="8"/>
      <x:c r="L72" s="8"/>
      <x:c r="M72" s="10"/>
      <x:c r="N72" s="10"/>
      <x:c r="O72" s="8"/>
      <x:c r="P72" s="37" t="str">
        <x:f>IF(C72="","",IF(AND(COUNT(I72:K72)=3,MIN(I72:K72)&gt;=0,MAX(I72:K72)&lt;=100,W72="Valid"),I72*IFERROR(INDEX('Taxonomy Rules'!$D$26:$D$37,MATCH(F72,'Taxonomy Rules'!$C$26:$C$37,0)),0)+J72*IFERROR(INDEX('Taxonomy Rules'!$E$26:$E$37,MATCH(F72,'Taxonomy Rules'!$C$26:$C$37,0)),0)+K72*IFERROR(INDEX('Taxonomy Rules'!$F$26:$F$37,MATCH(F72,'Taxonomy Rules'!$C$26:$C$37,0)),0),""))</x:f>
      </x:c>
      <x:c r="Q72" s="3" t="str">
        <x:f>IF(C72="","",IF(ISNUMBER(P72),IF(P72&gt;=80,"Strong",IF(P72&gt;=60,"Developing","Weak")),"Unrated"))</x:f>
      </x:c>
      <x:c r="R72" s="9" t="str">
        <x:f>IF(C72="","",COUNTIFS('Actions'!$D$9:$D$308,C72,'Actions'!$E$9:$E$308,"E&amp;S",'Actions'!$F$9:$F$308,"Critical",'Actions'!$P$9:$P$308,"&lt;&gt;Closed",'Actions'!$C$9:$C$308,"&lt;&gt;"))</x:f>
      </x:c>
      <x:c r="S72" s="9" t="str">
        <x:f>IF(C72="","",COUNTIFS('Actions'!$D$9:$D$308,C72,'Actions'!$Q$9:$Q$308,"Overdue",'Actions'!$C$9:$C$308,"&lt;&gt;"))</x:f>
      </x:c>
      <x:c r="T72" s="9" t="str">
        <x:f>IF(C72="","",IF(OR(COUNTIF($C$9:$C$108,C72)&lt;&gt;1,COUNTIF(Borrowers!$C$9:$C$108,C72)&lt;&gt;1),"Key review",IF(OR(L72="",O72="",NOT(OR(G72="High",G72="Moderate",G72="Low")),NOT(OR(H72="Yes",H72="No")),NOT(OR(X72="Standard",X72="Enhanced")),AND(G72="High",X72&lt;&gt;"Enhanced"),NOT(ISNUMBER(M72)),NOT(ISNUMBER(N72)),M72&gt;Settings!$F$8,N72&lt;M72,W72&lt;&gt;"Valid",NOT(ISNUMBER(P72)),COUNTIFS('Actions'!$D$9:$D$308,C72,'Actions'!$S$9:$S$308,"&lt;&gt;Valid",'Actions'!$C$9:$C$308,"&lt;&gt;")&gt;0),"Incomplete",IF(N72&lt;Settings!$F$8,"Expired","Current"))))</x:f>
      </x:c>
      <x:c r="U72" s="3" t="str">
        <x:f>IF(C72="","",IF(H72="Yes","Decline — prohibited",IF(R72&gt;0,"Hold — critical issue",IF(T72&lt;&gt;"Current","Hold — evidence",IF(V72&gt;0,"Conditions","Clear")))))</x:f>
      </x:c>
      <x:c r="V72" s="9" t="str">
        <x:f>IF(C72="","",COUNTIFS('Actions'!$D$9:$D$308,C72,'Actions'!$E$9:$E$308,"E&amp;S",'Actions'!$P$9:$P$308,"&lt;&gt;Closed",'Actions'!$C$9:$C$308,"&lt;&gt;"))</x:f>
      </x:c>
      <x:c r="W72" s="9" t="str">
        <x:f>IF(C72="","",IF(COUNTIF('Taxonomy Rules'!$C$26:$C$37,F72)&lt;&gt;1,"Sector missing",IF(AND(IFERROR(INDEX('Taxonomy Rules'!$D$26:$D$37,MATCH(F72,'Taxonomy Rules'!$C$26:$C$37,0)),0)&gt;=0,IFERROR(INDEX('Taxonomy Rules'!$E$26:$E$37,MATCH(F72,'Taxonomy Rules'!$C$26:$C$37,0)),0)&gt;=0,IFERROR(INDEX('Taxonomy Rules'!$F$26:$F$37,MATCH(F72,'Taxonomy Rules'!$C$26:$C$37,0)),0)&gt;=0,ABS(IFERROR(INDEX('Taxonomy Rules'!$D$26:$D$37,MATCH(F72,'Taxonomy Rules'!$C$26:$C$37,0)),0)+IFERROR(INDEX('Taxonomy Rules'!$E$26:$E$37,MATCH(F72,'Taxonomy Rules'!$C$26:$C$37,0)),0)+IFERROR(INDEX('Taxonomy Rules'!$F$26:$F$37,MATCH(F72,'Taxonomy Rules'!$C$26:$C$37,0)),0)-1)&lt;0.000001),"Valid","Check weights")))</x:f>
      </x:c>
      <x:c r="X72" s="8"/>
    </x:row>
    <x:row r="73" ht="38" customHeight="1">
      <x:c r="A73" s="1"/>
      <x:c r="B73" s="1"/>
      <x:c r="C73" s="8"/>
      <x:c r="D73" s="9" t="str">
        <x:f>IF(C73="","",IFERROR(INDEX('Borrowers'!$D$9:$D$108,MATCH(C73,'Borrowers'!$C$9:$C$108,0)),""))</x:f>
      </x:c>
      <x:c r="E73" s="9" t="str">
        <x:f>IF(C73="","",IFERROR(INDEX('Borrowers'!$E$9:$E$108,MATCH(C73,'Borrowers'!$C$9:$C$108,0)),""))</x:f>
      </x:c>
      <x:c r="F73" s="9" t="str">
        <x:f>IF(C73="","",IFERROR(INDEX('Borrowers'!$F$9:$F$108,MATCH(C73,'Borrowers'!$C$9:$C$108,0)),""))</x:f>
      </x:c>
      <x:c r="G73" s="8"/>
      <x:c r="H73" s="8"/>
      <x:c r="I73" s="8"/>
      <x:c r="J73" s="8"/>
      <x:c r="K73" s="8"/>
      <x:c r="L73" s="8"/>
      <x:c r="M73" s="10"/>
      <x:c r="N73" s="10"/>
      <x:c r="O73" s="8"/>
      <x:c r="P73" s="37" t="str">
        <x:f>IF(C73="","",IF(AND(COUNT(I73:K73)=3,MIN(I73:K73)&gt;=0,MAX(I73:K73)&lt;=100,W73="Valid"),I73*IFERROR(INDEX('Taxonomy Rules'!$D$26:$D$37,MATCH(F73,'Taxonomy Rules'!$C$26:$C$37,0)),0)+J73*IFERROR(INDEX('Taxonomy Rules'!$E$26:$E$37,MATCH(F73,'Taxonomy Rules'!$C$26:$C$37,0)),0)+K73*IFERROR(INDEX('Taxonomy Rules'!$F$26:$F$37,MATCH(F73,'Taxonomy Rules'!$C$26:$C$37,0)),0),""))</x:f>
      </x:c>
      <x:c r="Q73" s="3" t="str">
        <x:f>IF(C73="","",IF(ISNUMBER(P73),IF(P73&gt;=80,"Strong",IF(P73&gt;=60,"Developing","Weak")),"Unrated"))</x:f>
      </x:c>
      <x:c r="R73" s="9" t="str">
        <x:f>IF(C73="","",COUNTIFS('Actions'!$D$9:$D$308,C73,'Actions'!$E$9:$E$308,"E&amp;S",'Actions'!$F$9:$F$308,"Critical",'Actions'!$P$9:$P$308,"&lt;&gt;Closed",'Actions'!$C$9:$C$308,"&lt;&gt;"))</x:f>
      </x:c>
      <x:c r="S73" s="9" t="str">
        <x:f>IF(C73="","",COUNTIFS('Actions'!$D$9:$D$308,C73,'Actions'!$Q$9:$Q$308,"Overdue",'Actions'!$C$9:$C$308,"&lt;&gt;"))</x:f>
      </x:c>
      <x:c r="T73" s="9" t="str">
        <x:f>IF(C73="","",IF(OR(COUNTIF($C$9:$C$108,C73)&lt;&gt;1,COUNTIF(Borrowers!$C$9:$C$108,C73)&lt;&gt;1),"Key review",IF(OR(L73="",O73="",NOT(OR(G73="High",G73="Moderate",G73="Low")),NOT(OR(H73="Yes",H73="No")),NOT(OR(X73="Standard",X73="Enhanced")),AND(G73="High",X73&lt;&gt;"Enhanced"),NOT(ISNUMBER(M73)),NOT(ISNUMBER(N73)),M73&gt;Settings!$F$8,N73&lt;M73,W73&lt;&gt;"Valid",NOT(ISNUMBER(P73)),COUNTIFS('Actions'!$D$9:$D$308,C73,'Actions'!$S$9:$S$308,"&lt;&gt;Valid",'Actions'!$C$9:$C$308,"&lt;&gt;")&gt;0),"Incomplete",IF(N73&lt;Settings!$F$8,"Expired","Current"))))</x:f>
      </x:c>
      <x:c r="U73" s="3" t="str">
        <x:f>IF(C73="","",IF(H73="Yes","Decline — prohibited",IF(R73&gt;0,"Hold — critical issue",IF(T73&lt;&gt;"Current","Hold — evidence",IF(V73&gt;0,"Conditions","Clear")))))</x:f>
      </x:c>
      <x:c r="V73" s="9" t="str">
        <x:f>IF(C73="","",COUNTIFS('Actions'!$D$9:$D$308,C73,'Actions'!$E$9:$E$308,"E&amp;S",'Actions'!$P$9:$P$308,"&lt;&gt;Closed",'Actions'!$C$9:$C$308,"&lt;&gt;"))</x:f>
      </x:c>
      <x:c r="W73" s="9" t="str">
        <x:f>IF(C73="","",IF(COUNTIF('Taxonomy Rules'!$C$26:$C$37,F73)&lt;&gt;1,"Sector missing",IF(AND(IFERROR(INDEX('Taxonomy Rules'!$D$26:$D$37,MATCH(F73,'Taxonomy Rules'!$C$26:$C$37,0)),0)&gt;=0,IFERROR(INDEX('Taxonomy Rules'!$E$26:$E$37,MATCH(F73,'Taxonomy Rules'!$C$26:$C$37,0)),0)&gt;=0,IFERROR(INDEX('Taxonomy Rules'!$F$26:$F$37,MATCH(F73,'Taxonomy Rules'!$C$26:$C$37,0)),0)&gt;=0,ABS(IFERROR(INDEX('Taxonomy Rules'!$D$26:$D$37,MATCH(F73,'Taxonomy Rules'!$C$26:$C$37,0)),0)+IFERROR(INDEX('Taxonomy Rules'!$E$26:$E$37,MATCH(F73,'Taxonomy Rules'!$C$26:$C$37,0)),0)+IFERROR(INDEX('Taxonomy Rules'!$F$26:$F$37,MATCH(F73,'Taxonomy Rules'!$C$26:$C$37,0)),0)-1)&lt;0.000001),"Valid","Check weights")))</x:f>
      </x:c>
      <x:c r="X73" s="8"/>
    </x:row>
    <x:row r="74" ht="38" customHeight="1">
      <x:c r="A74" s="1"/>
      <x:c r="B74" s="1"/>
      <x:c r="C74" s="8"/>
      <x:c r="D74" s="9" t="str">
        <x:f>IF(C74="","",IFERROR(INDEX('Borrowers'!$D$9:$D$108,MATCH(C74,'Borrowers'!$C$9:$C$108,0)),""))</x:f>
      </x:c>
      <x:c r="E74" s="9" t="str">
        <x:f>IF(C74="","",IFERROR(INDEX('Borrowers'!$E$9:$E$108,MATCH(C74,'Borrowers'!$C$9:$C$108,0)),""))</x:f>
      </x:c>
      <x:c r="F74" s="9" t="str">
        <x:f>IF(C74="","",IFERROR(INDEX('Borrowers'!$F$9:$F$108,MATCH(C74,'Borrowers'!$C$9:$C$108,0)),""))</x:f>
      </x:c>
      <x:c r="G74" s="8"/>
      <x:c r="H74" s="8"/>
      <x:c r="I74" s="8"/>
      <x:c r="J74" s="8"/>
      <x:c r="K74" s="8"/>
      <x:c r="L74" s="8"/>
      <x:c r="M74" s="10"/>
      <x:c r="N74" s="10"/>
      <x:c r="O74" s="8"/>
      <x:c r="P74" s="37" t="str">
        <x:f>IF(C74="","",IF(AND(COUNT(I74:K74)=3,MIN(I74:K74)&gt;=0,MAX(I74:K74)&lt;=100,W74="Valid"),I74*IFERROR(INDEX('Taxonomy Rules'!$D$26:$D$37,MATCH(F74,'Taxonomy Rules'!$C$26:$C$37,0)),0)+J74*IFERROR(INDEX('Taxonomy Rules'!$E$26:$E$37,MATCH(F74,'Taxonomy Rules'!$C$26:$C$37,0)),0)+K74*IFERROR(INDEX('Taxonomy Rules'!$F$26:$F$37,MATCH(F74,'Taxonomy Rules'!$C$26:$C$37,0)),0),""))</x:f>
      </x:c>
      <x:c r="Q74" s="3" t="str">
        <x:f>IF(C74="","",IF(ISNUMBER(P74),IF(P74&gt;=80,"Strong",IF(P74&gt;=60,"Developing","Weak")),"Unrated"))</x:f>
      </x:c>
      <x:c r="R74" s="9" t="str">
        <x:f>IF(C74="","",COUNTIFS('Actions'!$D$9:$D$308,C74,'Actions'!$E$9:$E$308,"E&amp;S",'Actions'!$F$9:$F$308,"Critical",'Actions'!$P$9:$P$308,"&lt;&gt;Closed",'Actions'!$C$9:$C$308,"&lt;&gt;"))</x:f>
      </x:c>
      <x:c r="S74" s="9" t="str">
        <x:f>IF(C74="","",COUNTIFS('Actions'!$D$9:$D$308,C74,'Actions'!$Q$9:$Q$308,"Overdue",'Actions'!$C$9:$C$308,"&lt;&gt;"))</x:f>
      </x:c>
      <x:c r="T74" s="9" t="str">
        <x:f>IF(C74="","",IF(OR(COUNTIF($C$9:$C$108,C74)&lt;&gt;1,COUNTIF(Borrowers!$C$9:$C$108,C74)&lt;&gt;1),"Key review",IF(OR(L74="",O74="",NOT(OR(G74="High",G74="Moderate",G74="Low")),NOT(OR(H74="Yes",H74="No")),NOT(OR(X74="Standard",X74="Enhanced")),AND(G74="High",X74&lt;&gt;"Enhanced"),NOT(ISNUMBER(M74)),NOT(ISNUMBER(N74)),M74&gt;Settings!$F$8,N74&lt;M74,W74&lt;&gt;"Valid",NOT(ISNUMBER(P74)),COUNTIFS('Actions'!$D$9:$D$308,C74,'Actions'!$S$9:$S$308,"&lt;&gt;Valid",'Actions'!$C$9:$C$308,"&lt;&gt;")&gt;0),"Incomplete",IF(N74&lt;Settings!$F$8,"Expired","Current"))))</x:f>
      </x:c>
      <x:c r="U74" s="3" t="str">
        <x:f>IF(C74="","",IF(H74="Yes","Decline — prohibited",IF(R74&gt;0,"Hold — critical issue",IF(T74&lt;&gt;"Current","Hold — evidence",IF(V74&gt;0,"Conditions","Clear")))))</x:f>
      </x:c>
      <x:c r="V74" s="9" t="str">
        <x:f>IF(C74="","",COUNTIFS('Actions'!$D$9:$D$308,C74,'Actions'!$E$9:$E$308,"E&amp;S",'Actions'!$P$9:$P$308,"&lt;&gt;Closed",'Actions'!$C$9:$C$308,"&lt;&gt;"))</x:f>
      </x:c>
      <x:c r="W74" s="9" t="str">
        <x:f>IF(C74="","",IF(COUNTIF('Taxonomy Rules'!$C$26:$C$37,F74)&lt;&gt;1,"Sector missing",IF(AND(IFERROR(INDEX('Taxonomy Rules'!$D$26:$D$37,MATCH(F74,'Taxonomy Rules'!$C$26:$C$37,0)),0)&gt;=0,IFERROR(INDEX('Taxonomy Rules'!$E$26:$E$37,MATCH(F74,'Taxonomy Rules'!$C$26:$C$37,0)),0)&gt;=0,IFERROR(INDEX('Taxonomy Rules'!$F$26:$F$37,MATCH(F74,'Taxonomy Rules'!$C$26:$C$37,0)),0)&gt;=0,ABS(IFERROR(INDEX('Taxonomy Rules'!$D$26:$D$37,MATCH(F74,'Taxonomy Rules'!$C$26:$C$37,0)),0)+IFERROR(INDEX('Taxonomy Rules'!$E$26:$E$37,MATCH(F74,'Taxonomy Rules'!$C$26:$C$37,0)),0)+IFERROR(INDEX('Taxonomy Rules'!$F$26:$F$37,MATCH(F74,'Taxonomy Rules'!$C$26:$C$37,0)),0)-1)&lt;0.000001),"Valid","Check weights")))</x:f>
      </x:c>
      <x:c r="X74" s="8"/>
    </x:row>
    <x:row r="75" ht="38" customHeight="1">
      <x:c r="A75" s="1"/>
      <x:c r="B75" s="1"/>
      <x:c r="C75" s="8"/>
      <x:c r="D75" s="9" t="str">
        <x:f>IF(C75="","",IFERROR(INDEX('Borrowers'!$D$9:$D$108,MATCH(C75,'Borrowers'!$C$9:$C$108,0)),""))</x:f>
      </x:c>
      <x:c r="E75" s="9" t="str">
        <x:f>IF(C75="","",IFERROR(INDEX('Borrowers'!$E$9:$E$108,MATCH(C75,'Borrowers'!$C$9:$C$108,0)),""))</x:f>
      </x:c>
      <x:c r="F75" s="9" t="str">
        <x:f>IF(C75="","",IFERROR(INDEX('Borrowers'!$F$9:$F$108,MATCH(C75,'Borrowers'!$C$9:$C$108,0)),""))</x:f>
      </x:c>
      <x:c r="G75" s="8"/>
      <x:c r="H75" s="8"/>
      <x:c r="I75" s="8"/>
      <x:c r="J75" s="8"/>
      <x:c r="K75" s="8"/>
      <x:c r="L75" s="8"/>
      <x:c r="M75" s="10"/>
      <x:c r="N75" s="10"/>
      <x:c r="O75" s="8"/>
      <x:c r="P75" s="37" t="str">
        <x:f>IF(C75="","",IF(AND(COUNT(I75:K75)=3,MIN(I75:K75)&gt;=0,MAX(I75:K75)&lt;=100,W75="Valid"),I75*IFERROR(INDEX('Taxonomy Rules'!$D$26:$D$37,MATCH(F75,'Taxonomy Rules'!$C$26:$C$37,0)),0)+J75*IFERROR(INDEX('Taxonomy Rules'!$E$26:$E$37,MATCH(F75,'Taxonomy Rules'!$C$26:$C$37,0)),0)+K75*IFERROR(INDEX('Taxonomy Rules'!$F$26:$F$37,MATCH(F75,'Taxonomy Rules'!$C$26:$C$37,0)),0),""))</x:f>
      </x:c>
      <x:c r="Q75" s="3" t="str">
        <x:f>IF(C75="","",IF(ISNUMBER(P75),IF(P75&gt;=80,"Strong",IF(P75&gt;=60,"Developing","Weak")),"Unrated"))</x:f>
      </x:c>
      <x:c r="R75" s="9" t="str">
        <x:f>IF(C75="","",COUNTIFS('Actions'!$D$9:$D$308,C75,'Actions'!$E$9:$E$308,"E&amp;S",'Actions'!$F$9:$F$308,"Critical",'Actions'!$P$9:$P$308,"&lt;&gt;Closed",'Actions'!$C$9:$C$308,"&lt;&gt;"))</x:f>
      </x:c>
      <x:c r="S75" s="9" t="str">
        <x:f>IF(C75="","",COUNTIFS('Actions'!$D$9:$D$308,C75,'Actions'!$Q$9:$Q$308,"Overdue",'Actions'!$C$9:$C$308,"&lt;&gt;"))</x:f>
      </x:c>
      <x:c r="T75" s="9" t="str">
        <x:f>IF(C75="","",IF(OR(COUNTIF($C$9:$C$108,C75)&lt;&gt;1,COUNTIF(Borrowers!$C$9:$C$108,C75)&lt;&gt;1),"Key review",IF(OR(L75="",O75="",NOT(OR(G75="High",G75="Moderate",G75="Low")),NOT(OR(H75="Yes",H75="No")),NOT(OR(X75="Standard",X75="Enhanced")),AND(G75="High",X75&lt;&gt;"Enhanced"),NOT(ISNUMBER(M75)),NOT(ISNUMBER(N75)),M75&gt;Settings!$F$8,N75&lt;M75,W75&lt;&gt;"Valid",NOT(ISNUMBER(P75)),COUNTIFS('Actions'!$D$9:$D$308,C75,'Actions'!$S$9:$S$308,"&lt;&gt;Valid",'Actions'!$C$9:$C$308,"&lt;&gt;")&gt;0),"Incomplete",IF(N75&lt;Settings!$F$8,"Expired","Current"))))</x:f>
      </x:c>
      <x:c r="U75" s="3" t="str">
        <x:f>IF(C75="","",IF(H75="Yes","Decline — prohibited",IF(R75&gt;0,"Hold — critical issue",IF(T75&lt;&gt;"Current","Hold — evidence",IF(V75&gt;0,"Conditions","Clear")))))</x:f>
      </x:c>
      <x:c r="V75" s="9" t="str">
        <x:f>IF(C75="","",COUNTIFS('Actions'!$D$9:$D$308,C75,'Actions'!$E$9:$E$308,"E&amp;S",'Actions'!$P$9:$P$308,"&lt;&gt;Closed",'Actions'!$C$9:$C$308,"&lt;&gt;"))</x:f>
      </x:c>
      <x:c r="W75" s="9" t="str">
        <x:f>IF(C75="","",IF(COUNTIF('Taxonomy Rules'!$C$26:$C$37,F75)&lt;&gt;1,"Sector missing",IF(AND(IFERROR(INDEX('Taxonomy Rules'!$D$26:$D$37,MATCH(F75,'Taxonomy Rules'!$C$26:$C$37,0)),0)&gt;=0,IFERROR(INDEX('Taxonomy Rules'!$E$26:$E$37,MATCH(F75,'Taxonomy Rules'!$C$26:$C$37,0)),0)&gt;=0,IFERROR(INDEX('Taxonomy Rules'!$F$26:$F$37,MATCH(F75,'Taxonomy Rules'!$C$26:$C$37,0)),0)&gt;=0,ABS(IFERROR(INDEX('Taxonomy Rules'!$D$26:$D$37,MATCH(F75,'Taxonomy Rules'!$C$26:$C$37,0)),0)+IFERROR(INDEX('Taxonomy Rules'!$E$26:$E$37,MATCH(F75,'Taxonomy Rules'!$C$26:$C$37,0)),0)+IFERROR(INDEX('Taxonomy Rules'!$F$26:$F$37,MATCH(F75,'Taxonomy Rules'!$C$26:$C$37,0)),0)-1)&lt;0.000001),"Valid","Check weights")))</x:f>
      </x:c>
      <x:c r="X75" s="8"/>
    </x:row>
    <x:row r="76" ht="38" customHeight="1">
      <x:c r="A76" s="1"/>
      <x:c r="B76" s="1"/>
      <x:c r="C76" s="8"/>
      <x:c r="D76" s="9" t="str">
        <x:f>IF(C76="","",IFERROR(INDEX('Borrowers'!$D$9:$D$108,MATCH(C76,'Borrowers'!$C$9:$C$108,0)),""))</x:f>
      </x:c>
      <x:c r="E76" s="9" t="str">
        <x:f>IF(C76="","",IFERROR(INDEX('Borrowers'!$E$9:$E$108,MATCH(C76,'Borrowers'!$C$9:$C$108,0)),""))</x:f>
      </x:c>
      <x:c r="F76" s="9" t="str">
        <x:f>IF(C76="","",IFERROR(INDEX('Borrowers'!$F$9:$F$108,MATCH(C76,'Borrowers'!$C$9:$C$108,0)),""))</x:f>
      </x:c>
      <x:c r="G76" s="8"/>
      <x:c r="H76" s="8"/>
      <x:c r="I76" s="8"/>
      <x:c r="J76" s="8"/>
      <x:c r="K76" s="8"/>
      <x:c r="L76" s="8"/>
      <x:c r="M76" s="10"/>
      <x:c r="N76" s="10"/>
      <x:c r="O76" s="8"/>
      <x:c r="P76" s="37" t="str">
        <x:f>IF(C76="","",IF(AND(COUNT(I76:K76)=3,MIN(I76:K76)&gt;=0,MAX(I76:K76)&lt;=100,W76="Valid"),I76*IFERROR(INDEX('Taxonomy Rules'!$D$26:$D$37,MATCH(F76,'Taxonomy Rules'!$C$26:$C$37,0)),0)+J76*IFERROR(INDEX('Taxonomy Rules'!$E$26:$E$37,MATCH(F76,'Taxonomy Rules'!$C$26:$C$37,0)),0)+K76*IFERROR(INDEX('Taxonomy Rules'!$F$26:$F$37,MATCH(F76,'Taxonomy Rules'!$C$26:$C$37,0)),0),""))</x:f>
      </x:c>
      <x:c r="Q76" s="3" t="str">
        <x:f>IF(C76="","",IF(ISNUMBER(P76),IF(P76&gt;=80,"Strong",IF(P76&gt;=60,"Developing","Weak")),"Unrated"))</x:f>
      </x:c>
      <x:c r="R76" s="9" t="str">
        <x:f>IF(C76="","",COUNTIFS('Actions'!$D$9:$D$308,C76,'Actions'!$E$9:$E$308,"E&amp;S",'Actions'!$F$9:$F$308,"Critical",'Actions'!$P$9:$P$308,"&lt;&gt;Closed",'Actions'!$C$9:$C$308,"&lt;&gt;"))</x:f>
      </x:c>
      <x:c r="S76" s="9" t="str">
        <x:f>IF(C76="","",COUNTIFS('Actions'!$D$9:$D$308,C76,'Actions'!$Q$9:$Q$308,"Overdue",'Actions'!$C$9:$C$308,"&lt;&gt;"))</x:f>
      </x:c>
      <x:c r="T76" s="9" t="str">
        <x:f>IF(C76="","",IF(OR(COUNTIF($C$9:$C$108,C76)&lt;&gt;1,COUNTIF(Borrowers!$C$9:$C$108,C76)&lt;&gt;1),"Key review",IF(OR(L76="",O76="",NOT(OR(G76="High",G76="Moderate",G76="Low")),NOT(OR(H76="Yes",H76="No")),NOT(OR(X76="Standard",X76="Enhanced")),AND(G76="High",X76&lt;&gt;"Enhanced"),NOT(ISNUMBER(M76)),NOT(ISNUMBER(N76)),M76&gt;Settings!$F$8,N76&lt;M76,W76&lt;&gt;"Valid",NOT(ISNUMBER(P76)),COUNTIFS('Actions'!$D$9:$D$308,C76,'Actions'!$S$9:$S$308,"&lt;&gt;Valid",'Actions'!$C$9:$C$308,"&lt;&gt;")&gt;0),"Incomplete",IF(N76&lt;Settings!$F$8,"Expired","Current"))))</x:f>
      </x:c>
      <x:c r="U76" s="3" t="str">
        <x:f>IF(C76="","",IF(H76="Yes","Decline — prohibited",IF(R76&gt;0,"Hold — critical issue",IF(T76&lt;&gt;"Current","Hold — evidence",IF(V76&gt;0,"Conditions","Clear")))))</x:f>
      </x:c>
      <x:c r="V76" s="9" t="str">
        <x:f>IF(C76="","",COUNTIFS('Actions'!$D$9:$D$308,C76,'Actions'!$E$9:$E$308,"E&amp;S",'Actions'!$P$9:$P$308,"&lt;&gt;Closed",'Actions'!$C$9:$C$308,"&lt;&gt;"))</x:f>
      </x:c>
      <x:c r="W76" s="9" t="str">
        <x:f>IF(C76="","",IF(COUNTIF('Taxonomy Rules'!$C$26:$C$37,F76)&lt;&gt;1,"Sector missing",IF(AND(IFERROR(INDEX('Taxonomy Rules'!$D$26:$D$37,MATCH(F76,'Taxonomy Rules'!$C$26:$C$37,0)),0)&gt;=0,IFERROR(INDEX('Taxonomy Rules'!$E$26:$E$37,MATCH(F76,'Taxonomy Rules'!$C$26:$C$37,0)),0)&gt;=0,IFERROR(INDEX('Taxonomy Rules'!$F$26:$F$37,MATCH(F76,'Taxonomy Rules'!$C$26:$C$37,0)),0)&gt;=0,ABS(IFERROR(INDEX('Taxonomy Rules'!$D$26:$D$37,MATCH(F76,'Taxonomy Rules'!$C$26:$C$37,0)),0)+IFERROR(INDEX('Taxonomy Rules'!$E$26:$E$37,MATCH(F76,'Taxonomy Rules'!$C$26:$C$37,0)),0)+IFERROR(INDEX('Taxonomy Rules'!$F$26:$F$37,MATCH(F76,'Taxonomy Rules'!$C$26:$C$37,0)),0)-1)&lt;0.000001),"Valid","Check weights")))</x:f>
      </x:c>
      <x:c r="X76" s="8"/>
    </x:row>
    <x:row r="77" ht="38" customHeight="1">
      <x:c r="A77" s="1"/>
      <x:c r="B77" s="1"/>
      <x:c r="C77" s="8"/>
      <x:c r="D77" s="9" t="str">
        <x:f>IF(C77="","",IFERROR(INDEX('Borrowers'!$D$9:$D$108,MATCH(C77,'Borrowers'!$C$9:$C$108,0)),""))</x:f>
      </x:c>
      <x:c r="E77" s="9" t="str">
        <x:f>IF(C77="","",IFERROR(INDEX('Borrowers'!$E$9:$E$108,MATCH(C77,'Borrowers'!$C$9:$C$108,0)),""))</x:f>
      </x:c>
      <x:c r="F77" s="9" t="str">
        <x:f>IF(C77="","",IFERROR(INDEX('Borrowers'!$F$9:$F$108,MATCH(C77,'Borrowers'!$C$9:$C$108,0)),""))</x:f>
      </x:c>
      <x:c r="G77" s="8"/>
      <x:c r="H77" s="8"/>
      <x:c r="I77" s="8"/>
      <x:c r="J77" s="8"/>
      <x:c r="K77" s="8"/>
      <x:c r="L77" s="8"/>
      <x:c r="M77" s="10"/>
      <x:c r="N77" s="10"/>
      <x:c r="O77" s="8"/>
      <x:c r="P77" s="37" t="str">
        <x:f>IF(C77="","",IF(AND(COUNT(I77:K77)=3,MIN(I77:K77)&gt;=0,MAX(I77:K77)&lt;=100,W77="Valid"),I77*IFERROR(INDEX('Taxonomy Rules'!$D$26:$D$37,MATCH(F77,'Taxonomy Rules'!$C$26:$C$37,0)),0)+J77*IFERROR(INDEX('Taxonomy Rules'!$E$26:$E$37,MATCH(F77,'Taxonomy Rules'!$C$26:$C$37,0)),0)+K77*IFERROR(INDEX('Taxonomy Rules'!$F$26:$F$37,MATCH(F77,'Taxonomy Rules'!$C$26:$C$37,0)),0),""))</x:f>
      </x:c>
      <x:c r="Q77" s="3" t="str">
        <x:f>IF(C77="","",IF(ISNUMBER(P77),IF(P77&gt;=80,"Strong",IF(P77&gt;=60,"Developing","Weak")),"Unrated"))</x:f>
      </x:c>
      <x:c r="R77" s="9" t="str">
        <x:f>IF(C77="","",COUNTIFS('Actions'!$D$9:$D$308,C77,'Actions'!$E$9:$E$308,"E&amp;S",'Actions'!$F$9:$F$308,"Critical",'Actions'!$P$9:$P$308,"&lt;&gt;Closed",'Actions'!$C$9:$C$308,"&lt;&gt;"))</x:f>
      </x:c>
      <x:c r="S77" s="9" t="str">
        <x:f>IF(C77="","",COUNTIFS('Actions'!$D$9:$D$308,C77,'Actions'!$Q$9:$Q$308,"Overdue",'Actions'!$C$9:$C$308,"&lt;&gt;"))</x:f>
      </x:c>
      <x:c r="T77" s="9" t="str">
        <x:f>IF(C77="","",IF(OR(COUNTIF($C$9:$C$108,C77)&lt;&gt;1,COUNTIF(Borrowers!$C$9:$C$108,C77)&lt;&gt;1),"Key review",IF(OR(L77="",O77="",NOT(OR(G77="High",G77="Moderate",G77="Low")),NOT(OR(H77="Yes",H77="No")),NOT(OR(X77="Standard",X77="Enhanced")),AND(G77="High",X77&lt;&gt;"Enhanced"),NOT(ISNUMBER(M77)),NOT(ISNUMBER(N77)),M77&gt;Settings!$F$8,N77&lt;M77,W77&lt;&gt;"Valid",NOT(ISNUMBER(P77)),COUNTIFS('Actions'!$D$9:$D$308,C77,'Actions'!$S$9:$S$308,"&lt;&gt;Valid",'Actions'!$C$9:$C$308,"&lt;&gt;")&gt;0),"Incomplete",IF(N77&lt;Settings!$F$8,"Expired","Current"))))</x:f>
      </x:c>
      <x:c r="U77" s="3" t="str">
        <x:f>IF(C77="","",IF(H77="Yes","Decline — prohibited",IF(R77&gt;0,"Hold — critical issue",IF(T77&lt;&gt;"Current","Hold — evidence",IF(V77&gt;0,"Conditions","Clear")))))</x:f>
      </x:c>
      <x:c r="V77" s="9" t="str">
        <x:f>IF(C77="","",COUNTIFS('Actions'!$D$9:$D$308,C77,'Actions'!$E$9:$E$308,"E&amp;S",'Actions'!$P$9:$P$308,"&lt;&gt;Closed",'Actions'!$C$9:$C$308,"&lt;&gt;"))</x:f>
      </x:c>
      <x:c r="W77" s="9" t="str">
        <x:f>IF(C77="","",IF(COUNTIF('Taxonomy Rules'!$C$26:$C$37,F77)&lt;&gt;1,"Sector missing",IF(AND(IFERROR(INDEX('Taxonomy Rules'!$D$26:$D$37,MATCH(F77,'Taxonomy Rules'!$C$26:$C$37,0)),0)&gt;=0,IFERROR(INDEX('Taxonomy Rules'!$E$26:$E$37,MATCH(F77,'Taxonomy Rules'!$C$26:$C$37,0)),0)&gt;=0,IFERROR(INDEX('Taxonomy Rules'!$F$26:$F$37,MATCH(F77,'Taxonomy Rules'!$C$26:$C$37,0)),0)&gt;=0,ABS(IFERROR(INDEX('Taxonomy Rules'!$D$26:$D$37,MATCH(F77,'Taxonomy Rules'!$C$26:$C$37,0)),0)+IFERROR(INDEX('Taxonomy Rules'!$E$26:$E$37,MATCH(F77,'Taxonomy Rules'!$C$26:$C$37,0)),0)+IFERROR(INDEX('Taxonomy Rules'!$F$26:$F$37,MATCH(F77,'Taxonomy Rules'!$C$26:$C$37,0)),0)-1)&lt;0.000001),"Valid","Check weights")))</x:f>
      </x:c>
      <x:c r="X77" s="8"/>
    </x:row>
    <x:row r="78" ht="38" customHeight="1">
      <x:c r="A78" s="1"/>
      <x:c r="B78" s="1"/>
      <x:c r="C78" s="8"/>
      <x:c r="D78" s="9" t="str">
        <x:f>IF(C78="","",IFERROR(INDEX('Borrowers'!$D$9:$D$108,MATCH(C78,'Borrowers'!$C$9:$C$108,0)),""))</x:f>
      </x:c>
      <x:c r="E78" s="9" t="str">
        <x:f>IF(C78="","",IFERROR(INDEX('Borrowers'!$E$9:$E$108,MATCH(C78,'Borrowers'!$C$9:$C$108,0)),""))</x:f>
      </x:c>
      <x:c r="F78" s="9" t="str">
        <x:f>IF(C78="","",IFERROR(INDEX('Borrowers'!$F$9:$F$108,MATCH(C78,'Borrowers'!$C$9:$C$108,0)),""))</x:f>
      </x:c>
      <x:c r="G78" s="8"/>
      <x:c r="H78" s="8"/>
      <x:c r="I78" s="8"/>
      <x:c r="J78" s="8"/>
      <x:c r="K78" s="8"/>
      <x:c r="L78" s="8"/>
      <x:c r="M78" s="10"/>
      <x:c r="N78" s="10"/>
      <x:c r="O78" s="8"/>
      <x:c r="P78" s="37" t="str">
        <x:f>IF(C78="","",IF(AND(COUNT(I78:K78)=3,MIN(I78:K78)&gt;=0,MAX(I78:K78)&lt;=100,W78="Valid"),I78*IFERROR(INDEX('Taxonomy Rules'!$D$26:$D$37,MATCH(F78,'Taxonomy Rules'!$C$26:$C$37,0)),0)+J78*IFERROR(INDEX('Taxonomy Rules'!$E$26:$E$37,MATCH(F78,'Taxonomy Rules'!$C$26:$C$37,0)),0)+K78*IFERROR(INDEX('Taxonomy Rules'!$F$26:$F$37,MATCH(F78,'Taxonomy Rules'!$C$26:$C$37,0)),0),""))</x:f>
      </x:c>
      <x:c r="Q78" s="3" t="str">
        <x:f>IF(C78="","",IF(ISNUMBER(P78),IF(P78&gt;=80,"Strong",IF(P78&gt;=60,"Developing","Weak")),"Unrated"))</x:f>
      </x:c>
      <x:c r="R78" s="9" t="str">
        <x:f>IF(C78="","",COUNTIFS('Actions'!$D$9:$D$308,C78,'Actions'!$E$9:$E$308,"E&amp;S",'Actions'!$F$9:$F$308,"Critical",'Actions'!$P$9:$P$308,"&lt;&gt;Closed",'Actions'!$C$9:$C$308,"&lt;&gt;"))</x:f>
      </x:c>
      <x:c r="S78" s="9" t="str">
        <x:f>IF(C78="","",COUNTIFS('Actions'!$D$9:$D$308,C78,'Actions'!$Q$9:$Q$308,"Overdue",'Actions'!$C$9:$C$308,"&lt;&gt;"))</x:f>
      </x:c>
      <x:c r="T78" s="9" t="str">
        <x:f>IF(C78="","",IF(OR(COUNTIF($C$9:$C$108,C78)&lt;&gt;1,COUNTIF(Borrowers!$C$9:$C$108,C78)&lt;&gt;1),"Key review",IF(OR(L78="",O78="",NOT(OR(G78="High",G78="Moderate",G78="Low")),NOT(OR(H78="Yes",H78="No")),NOT(OR(X78="Standard",X78="Enhanced")),AND(G78="High",X78&lt;&gt;"Enhanced"),NOT(ISNUMBER(M78)),NOT(ISNUMBER(N78)),M78&gt;Settings!$F$8,N78&lt;M78,W78&lt;&gt;"Valid",NOT(ISNUMBER(P78)),COUNTIFS('Actions'!$D$9:$D$308,C78,'Actions'!$S$9:$S$308,"&lt;&gt;Valid",'Actions'!$C$9:$C$308,"&lt;&gt;")&gt;0),"Incomplete",IF(N78&lt;Settings!$F$8,"Expired","Current"))))</x:f>
      </x:c>
      <x:c r="U78" s="3" t="str">
        <x:f>IF(C78="","",IF(H78="Yes","Decline — prohibited",IF(R78&gt;0,"Hold — critical issue",IF(T78&lt;&gt;"Current","Hold — evidence",IF(V78&gt;0,"Conditions","Clear")))))</x:f>
      </x:c>
      <x:c r="V78" s="9" t="str">
        <x:f>IF(C78="","",COUNTIFS('Actions'!$D$9:$D$308,C78,'Actions'!$E$9:$E$308,"E&amp;S",'Actions'!$P$9:$P$308,"&lt;&gt;Closed",'Actions'!$C$9:$C$308,"&lt;&gt;"))</x:f>
      </x:c>
      <x:c r="W78" s="9" t="str">
        <x:f>IF(C78="","",IF(COUNTIF('Taxonomy Rules'!$C$26:$C$37,F78)&lt;&gt;1,"Sector missing",IF(AND(IFERROR(INDEX('Taxonomy Rules'!$D$26:$D$37,MATCH(F78,'Taxonomy Rules'!$C$26:$C$37,0)),0)&gt;=0,IFERROR(INDEX('Taxonomy Rules'!$E$26:$E$37,MATCH(F78,'Taxonomy Rules'!$C$26:$C$37,0)),0)&gt;=0,IFERROR(INDEX('Taxonomy Rules'!$F$26:$F$37,MATCH(F78,'Taxonomy Rules'!$C$26:$C$37,0)),0)&gt;=0,ABS(IFERROR(INDEX('Taxonomy Rules'!$D$26:$D$37,MATCH(F78,'Taxonomy Rules'!$C$26:$C$37,0)),0)+IFERROR(INDEX('Taxonomy Rules'!$E$26:$E$37,MATCH(F78,'Taxonomy Rules'!$C$26:$C$37,0)),0)+IFERROR(INDEX('Taxonomy Rules'!$F$26:$F$37,MATCH(F78,'Taxonomy Rules'!$C$26:$C$37,0)),0)-1)&lt;0.000001),"Valid","Check weights")))</x:f>
      </x:c>
      <x:c r="X78" s="8"/>
    </x:row>
    <x:row r="79" ht="38" customHeight="1">
      <x:c r="A79" s="1"/>
      <x:c r="B79" s="1"/>
      <x:c r="C79" s="8"/>
      <x:c r="D79" s="9" t="str">
        <x:f>IF(C79="","",IFERROR(INDEX('Borrowers'!$D$9:$D$108,MATCH(C79,'Borrowers'!$C$9:$C$108,0)),""))</x:f>
      </x:c>
      <x:c r="E79" s="9" t="str">
        <x:f>IF(C79="","",IFERROR(INDEX('Borrowers'!$E$9:$E$108,MATCH(C79,'Borrowers'!$C$9:$C$108,0)),""))</x:f>
      </x:c>
      <x:c r="F79" s="9" t="str">
        <x:f>IF(C79="","",IFERROR(INDEX('Borrowers'!$F$9:$F$108,MATCH(C79,'Borrowers'!$C$9:$C$108,0)),""))</x:f>
      </x:c>
      <x:c r="G79" s="8"/>
      <x:c r="H79" s="8"/>
      <x:c r="I79" s="8"/>
      <x:c r="J79" s="8"/>
      <x:c r="K79" s="8"/>
      <x:c r="L79" s="8"/>
      <x:c r="M79" s="10"/>
      <x:c r="N79" s="10"/>
      <x:c r="O79" s="8"/>
      <x:c r="P79" s="37" t="str">
        <x:f>IF(C79="","",IF(AND(COUNT(I79:K79)=3,MIN(I79:K79)&gt;=0,MAX(I79:K79)&lt;=100,W79="Valid"),I79*IFERROR(INDEX('Taxonomy Rules'!$D$26:$D$37,MATCH(F79,'Taxonomy Rules'!$C$26:$C$37,0)),0)+J79*IFERROR(INDEX('Taxonomy Rules'!$E$26:$E$37,MATCH(F79,'Taxonomy Rules'!$C$26:$C$37,0)),0)+K79*IFERROR(INDEX('Taxonomy Rules'!$F$26:$F$37,MATCH(F79,'Taxonomy Rules'!$C$26:$C$37,0)),0),""))</x:f>
      </x:c>
      <x:c r="Q79" s="3" t="str">
        <x:f>IF(C79="","",IF(ISNUMBER(P79),IF(P79&gt;=80,"Strong",IF(P79&gt;=60,"Developing","Weak")),"Unrated"))</x:f>
      </x:c>
      <x:c r="R79" s="9" t="str">
        <x:f>IF(C79="","",COUNTIFS('Actions'!$D$9:$D$308,C79,'Actions'!$E$9:$E$308,"E&amp;S",'Actions'!$F$9:$F$308,"Critical",'Actions'!$P$9:$P$308,"&lt;&gt;Closed",'Actions'!$C$9:$C$308,"&lt;&gt;"))</x:f>
      </x:c>
      <x:c r="S79" s="9" t="str">
        <x:f>IF(C79="","",COUNTIFS('Actions'!$D$9:$D$308,C79,'Actions'!$Q$9:$Q$308,"Overdue",'Actions'!$C$9:$C$308,"&lt;&gt;"))</x:f>
      </x:c>
      <x:c r="T79" s="9" t="str">
        <x:f>IF(C79="","",IF(OR(COUNTIF($C$9:$C$108,C79)&lt;&gt;1,COUNTIF(Borrowers!$C$9:$C$108,C79)&lt;&gt;1),"Key review",IF(OR(L79="",O79="",NOT(OR(G79="High",G79="Moderate",G79="Low")),NOT(OR(H79="Yes",H79="No")),NOT(OR(X79="Standard",X79="Enhanced")),AND(G79="High",X79&lt;&gt;"Enhanced"),NOT(ISNUMBER(M79)),NOT(ISNUMBER(N79)),M79&gt;Settings!$F$8,N79&lt;M79,W79&lt;&gt;"Valid",NOT(ISNUMBER(P79)),COUNTIFS('Actions'!$D$9:$D$308,C79,'Actions'!$S$9:$S$308,"&lt;&gt;Valid",'Actions'!$C$9:$C$308,"&lt;&gt;")&gt;0),"Incomplete",IF(N79&lt;Settings!$F$8,"Expired","Current"))))</x:f>
      </x:c>
      <x:c r="U79" s="3" t="str">
        <x:f>IF(C79="","",IF(H79="Yes","Decline — prohibited",IF(R79&gt;0,"Hold — critical issue",IF(T79&lt;&gt;"Current","Hold — evidence",IF(V79&gt;0,"Conditions","Clear")))))</x:f>
      </x:c>
      <x:c r="V79" s="9" t="str">
        <x:f>IF(C79="","",COUNTIFS('Actions'!$D$9:$D$308,C79,'Actions'!$E$9:$E$308,"E&amp;S",'Actions'!$P$9:$P$308,"&lt;&gt;Closed",'Actions'!$C$9:$C$308,"&lt;&gt;"))</x:f>
      </x:c>
      <x:c r="W79" s="9" t="str">
        <x:f>IF(C79="","",IF(COUNTIF('Taxonomy Rules'!$C$26:$C$37,F79)&lt;&gt;1,"Sector missing",IF(AND(IFERROR(INDEX('Taxonomy Rules'!$D$26:$D$37,MATCH(F79,'Taxonomy Rules'!$C$26:$C$37,0)),0)&gt;=0,IFERROR(INDEX('Taxonomy Rules'!$E$26:$E$37,MATCH(F79,'Taxonomy Rules'!$C$26:$C$37,0)),0)&gt;=0,IFERROR(INDEX('Taxonomy Rules'!$F$26:$F$37,MATCH(F79,'Taxonomy Rules'!$C$26:$C$37,0)),0)&gt;=0,ABS(IFERROR(INDEX('Taxonomy Rules'!$D$26:$D$37,MATCH(F79,'Taxonomy Rules'!$C$26:$C$37,0)),0)+IFERROR(INDEX('Taxonomy Rules'!$E$26:$E$37,MATCH(F79,'Taxonomy Rules'!$C$26:$C$37,0)),0)+IFERROR(INDEX('Taxonomy Rules'!$F$26:$F$37,MATCH(F79,'Taxonomy Rules'!$C$26:$C$37,0)),0)-1)&lt;0.000001),"Valid","Check weights")))</x:f>
      </x:c>
      <x:c r="X79" s="8"/>
    </x:row>
    <x:row r="80" ht="38" customHeight="1">
      <x:c r="A80" s="1"/>
      <x:c r="B80" s="1"/>
      <x:c r="C80" s="8"/>
      <x:c r="D80" s="9" t="str">
        <x:f>IF(C80="","",IFERROR(INDEX('Borrowers'!$D$9:$D$108,MATCH(C80,'Borrowers'!$C$9:$C$108,0)),""))</x:f>
      </x:c>
      <x:c r="E80" s="9" t="str">
        <x:f>IF(C80="","",IFERROR(INDEX('Borrowers'!$E$9:$E$108,MATCH(C80,'Borrowers'!$C$9:$C$108,0)),""))</x:f>
      </x:c>
      <x:c r="F80" s="9" t="str">
        <x:f>IF(C80="","",IFERROR(INDEX('Borrowers'!$F$9:$F$108,MATCH(C80,'Borrowers'!$C$9:$C$108,0)),""))</x:f>
      </x:c>
      <x:c r="G80" s="8"/>
      <x:c r="H80" s="8"/>
      <x:c r="I80" s="8"/>
      <x:c r="J80" s="8"/>
      <x:c r="K80" s="8"/>
      <x:c r="L80" s="8"/>
      <x:c r="M80" s="10"/>
      <x:c r="N80" s="10"/>
      <x:c r="O80" s="8"/>
      <x:c r="P80" s="37" t="str">
        <x:f>IF(C80="","",IF(AND(COUNT(I80:K80)=3,MIN(I80:K80)&gt;=0,MAX(I80:K80)&lt;=100,W80="Valid"),I80*IFERROR(INDEX('Taxonomy Rules'!$D$26:$D$37,MATCH(F80,'Taxonomy Rules'!$C$26:$C$37,0)),0)+J80*IFERROR(INDEX('Taxonomy Rules'!$E$26:$E$37,MATCH(F80,'Taxonomy Rules'!$C$26:$C$37,0)),0)+K80*IFERROR(INDEX('Taxonomy Rules'!$F$26:$F$37,MATCH(F80,'Taxonomy Rules'!$C$26:$C$37,0)),0),""))</x:f>
      </x:c>
      <x:c r="Q80" s="3" t="str">
        <x:f>IF(C80="","",IF(ISNUMBER(P80),IF(P80&gt;=80,"Strong",IF(P80&gt;=60,"Developing","Weak")),"Unrated"))</x:f>
      </x:c>
      <x:c r="R80" s="9" t="str">
        <x:f>IF(C80="","",COUNTIFS('Actions'!$D$9:$D$308,C80,'Actions'!$E$9:$E$308,"E&amp;S",'Actions'!$F$9:$F$308,"Critical",'Actions'!$P$9:$P$308,"&lt;&gt;Closed",'Actions'!$C$9:$C$308,"&lt;&gt;"))</x:f>
      </x:c>
      <x:c r="S80" s="9" t="str">
        <x:f>IF(C80="","",COUNTIFS('Actions'!$D$9:$D$308,C80,'Actions'!$Q$9:$Q$308,"Overdue",'Actions'!$C$9:$C$308,"&lt;&gt;"))</x:f>
      </x:c>
      <x:c r="T80" s="9" t="str">
        <x:f>IF(C80="","",IF(OR(COUNTIF($C$9:$C$108,C80)&lt;&gt;1,COUNTIF(Borrowers!$C$9:$C$108,C80)&lt;&gt;1),"Key review",IF(OR(L80="",O80="",NOT(OR(G80="High",G80="Moderate",G80="Low")),NOT(OR(H80="Yes",H80="No")),NOT(OR(X80="Standard",X80="Enhanced")),AND(G80="High",X80&lt;&gt;"Enhanced"),NOT(ISNUMBER(M80)),NOT(ISNUMBER(N80)),M80&gt;Settings!$F$8,N80&lt;M80,W80&lt;&gt;"Valid",NOT(ISNUMBER(P80)),COUNTIFS('Actions'!$D$9:$D$308,C80,'Actions'!$S$9:$S$308,"&lt;&gt;Valid",'Actions'!$C$9:$C$308,"&lt;&gt;")&gt;0),"Incomplete",IF(N80&lt;Settings!$F$8,"Expired","Current"))))</x:f>
      </x:c>
      <x:c r="U80" s="3" t="str">
        <x:f>IF(C80="","",IF(H80="Yes","Decline — prohibited",IF(R80&gt;0,"Hold — critical issue",IF(T80&lt;&gt;"Current","Hold — evidence",IF(V80&gt;0,"Conditions","Clear")))))</x:f>
      </x:c>
      <x:c r="V80" s="9" t="str">
        <x:f>IF(C80="","",COUNTIFS('Actions'!$D$9:$D$308,C80,'Actions'!$E$9:$E$308,"E&amp;S",'Actions'!$P$9:$P$308,"&lt;&gt;Closed",'Actions'!$C$9:$C$308,"&lt;&gt;"))</x:f>
      </x:c>
      <x:c r="W80" s="9" t="str">
        <x:f>IF(C80="","",IF(COUNTIF('Taxonomy Rules'!$C$26:$C$37,F80)&lt;&gt;1,"Sector missing",IF(AND(IFERROR(INDEX('Taxonomy Rules'!$D$26:$D$37,MATCH(F80,'Taxonomy Rules'!$C$26:$C$37,0)),0)&gt;=0,IFERROR(INDEX('Taxonomy Rules'!$E$26:$E$37,MATCH(F80,'Taxonomy Rules'!$C$26:$C$37,0)),0)&gt;=0,IFERROR(INDEX('Taxonomy Rules'!$F$26:$F$37,MATCH(F80,'Taxonomy Rules'!$C$26:$C$37,0)),0)&gt;=0,ABS(IFERROR(INDEX('Taxonomy Rules'!$D$26:$D$37,MATCH(F80,'Taxonomy Rules'!$C$26:$C$37,0)),0)+IFERROR(INDEX('Taxonomy Rules'!$E$26:$E$37,MATCH(F80,'Taxonomy Rules'!$C$26:$C$37,0)),0)+IFERROR(INDEX('Taxonomy Rules'!$F$26:$F$37,MATCH(F80,'Taxonomy Rules'!$C$26:$C$37,0)),0)-1)&lt;0.000001),"Valid","Check weights")))</x:f>
      </x:c>
      <x:c r="X80" s="8"/>
    </x:row>
    <x:row r="81" ht="38" customHeight="1">
      <x:c r="A81" s="1"/>
      <x:c r="B81" s="1"/>
      <x:c r="C81" s="8"/>
      <x:c r="D81" s="9" t="str">
        <x:f>IF(C81="","",IFERROR(INDEX('Borrowers'!$D$9:$D$108,MATCH(C81,'Borrowers'!$C$9:$C$108,0)),""))</x:f>
      </x:c>
      <x:c r="E81" s="9" t="str">
        <x:f>IF(C81="","",IFERROR(INDEX('Borrowers'!$E$9:$E$108,MATCH(C81,'Borrowers'!$C$9:$C$108,0)),""))</x:f>
      </x:c>
      <x:c r="F81" s="9" t="str">
        <x:f>IF(C81="","",IFERROR(INDEX('Borrowers'!$F$9:$F$108,MATCH(C81,'Borrowers'!$C$9:$C$108,0)),""))</x:f>
      </x:c>
      <x:c r="G81" s="8"/>
      <x:c r="H81" s="8"/>
      <x:c r="I81" s="8"/>
      <x:c r="J81" s="8"/>
      <x:c r="K81" s="8"/>
      <x:c r="L81" s="8"/>
      <x:c r="M81" s="10"/>
      <x:c r="N81" s="10"/>
      <x:c r="O81" s="8"/>
      <x:c r="P81" s="37" t="str">
        <x:f>IF(C81="","",IF(AND(COUNT(I81:K81)=3,MIN(I81:K81)&gt;=0,MAX(I81:K81)&lt;=100,W81="Valid"),I81*IFERROR(INDEX('Taxonomy Rules'!$D$26:$D$37,MATCH(F81,'Taxonomy Rules'!$C$26:$C$37,0)),0)+J81*IFERROR(INDEX('Taxonomy Rules'!$E$26:$E$37,MATCH(F81,'Taxonomy Rules'!$C$26:$C$37,0)),0)+K81*IFERROR(INDEX('Taxonomy Rules'!$F$26:$F$37,MATCH(F81,'Taxonomy Rules'!$C$26:$C$37,0)),0),""))</x:f>
      </x:c>
      <x:c r="Q81" s="3" t="str">
        <x:f>IF(C81="","",IF(ISNUMBER(P81),IF(P81&gt;=80,"Strong",IF(P81&gt;=60,"Developing","Weak")),"Unrated"))</x:f>
      </x:c>
      <x:c r="R81" s="9" t="str">
        <x:f>IF(C81="","",COUNTIFS('Actions'!$D$9:$D$308,C81,'Actions'!$E$9:$E$308,"E&amp;S",'Actions'!$F$9:$F$308,"Critical",'Actions'!$P$9:$P$308,"&lt;&gt;Closed",'Actions'!$C$9:$C$308,"&lt;&gt;"))</x:f>
      </x:c>
      <x:c r="S81" s="9" t="str">
        <x:f>IF(C81="","",COUNTIFS('Actions'!$D$9:$D$308,C81,'Actions'!$Q$9:$Q$308,"Overdue",'Actions'!$C$9:$C$308,"&lt;&gt;"))</x:f>
      </x:c>
      <x:c r="T81" s="9" t="str">
        <x:f>IF(C81="","",IF(OR(COUNTIF($C$9:$C$108,C81)&lt;&gt;1,COUNTIF(Borrowers!$C$9:$C$108,C81)&lt;&gt;1),"Key review",IF(OR(L81="",O81="",NOT(OR(G81="High",G81="Moderate",G81="Low")),NOT(OR(H81="Yes",H81="No")),NOT(OR(X81="Standard",X81="Enhanced")),AND(G81="High",X81&lt;&gt;"Enhanced"),NOT(ISNUMBER(M81)),NOT(ISNUMBER(N81)),M81&gt;Settings!$F$8,N81&lt;M81,W81&lt;&gt;"Valid",NOT(ISNUMBER(P81)),COUNTIFS('Actions'!$D$9:$D$308,C81,'Actions'!$S$9:$S$308,"&lt;&gt;Valid",'Actions'!$C$9:$C$308,"&lt;&gt;")&gt;0),"Incomplete",IF(N81&lt;Settings!$F$8,"Expired","Current"))))</x:f>
      </x:c>
      <x:c r="U81" s="3" t="str">
        <x:f>IF(C81="","",IF(H81="Yes","Decline — prohibited",IF(R81&gt;0,"Hold — critical issue",IF(T81&lt;&gt;"Current","Hold — evidence",IF(V81&gt;0,"Conditions","Clear")))))</x:f>
      </x:c>
      <x:c r="V81" s="9" t="str">
        <x:f>IF(C81="","",COUNTIFS('Actions'!$D$9:$D$308,C81,'Actions'!$E$9:$E$308,"E&amp;S",'Actions'!$P$9:$P$308,"&lt;&gt;Closed",'Actions'!$C$9:$C$308,"&lt;&gt;"))</x:f>
      </x:c>
      <x:c r="W81" s="9" t="str">
        <x:f>IF(C81="","",IF(COUNTIF('Taxonomy Rules'!$C$26:$C$37,F81)&lt;&gt;1,"Sector missing",IF(AND(IFERROR(INDEX('Taxonomy Rules'!$D$26:$D$37,MATCH(F81,'Taxonomy Rules'!$C$26:$C$37,0)),0)&gt;=0,IFERROR(INDEX('Taxonomy Rules'!$E$26:$E$37,MATCH(F81,'Taxonomy Rules'!$C$26:$C$37,0)),0)&gt;=0,IFERROR(INDEX('Taxonomy Rules'!$F$26:$F$37,MATCH(F81,'Taxonomy Rules'!$C$26:$C$37,0)),0)&gt;=0,ABS(IFERROR(INDEX('Taxonomy Rules'!$D$26:$D$37,MATCH(F81,'Taxonomy Rules'!$C$26:$C$37,0)),0)+IFERROR(INDEX('Taxonomy Rules'!$E$26:$E$37,MATCH(F81,'Taxonomy Rules'!$C$26:$C$37,0)),0)+IFERROR(INDEX('Taxonomy Rules'!$F$26:$F$37,MATCH(F81,'Taxonomy Rules'!$C$26:$C$37,0)),0)-1)&lt;0.000001),"Valid","Check weights")))</x:f>
      </x:c>
      <x:c r="X81" s="8"/>
    </x:row>
    <x:row r="82" ht="38" customHeight="1">
      <x:c r="A82" s="1"/>
      <x:c r="B82" s="1"/>
      <x:c r="C82" s="8"/>
      <x:c r="D82" s="9" t="str">
        <x:f>IF(C82="","",IFERROR(INDEX('Borrowers'!$D$9:$D$108,MATCH(C82,'Borrowers'!$C$9:$C$108,0)),""))</x:f>
      </x:c>
      <x:c r="E82" s="9" t="str">
        <x:f>IF(C82="","",IFERROR(INDEX('Borrowers'!$E$9:$E$108,MATCH(C82,'Borrowers'!$C$9:$C$108,0)),""))</x:f>
      </x:c>
      <x:c r="F82" s="9" t="str">
        <x:f>IF(C82="","",IFERROR(INDEX('Borrowers'!$F$9:$F$108,MATCH(C82,'Borrowers'!$C$9:$C$108,0)),""))</x:f>
      </x:c>
      <x:c r="G82" s="8"/>
      <x:c r="H82" s="8"/>
      <x:c r="I82" s="8"/>
      <x:c r="J82" s="8"/>
      <x:c r="K82" s="8"/>
      <x:c r="L82" s="8"/>
      <x:c r="M82" s="10"/>
      <x:c r="N82" s="10"/>
      <x:c r="O82" s="8"/>
      <x:c r="P82" s="37" t="str">
        <x:f>IF(C82="","",IF(AND(COUNT(I82:K82)=3,MIN(I82:K82)&gt;=0,MAX(I82:K82)&lt;=100,W82="Valid"),I82*IFERROR(INDEX('Taxonomy Rules'!$D$26:$D$37,MATCH(F82,'Taxonomy Rules'!$C$26:$C$37,0)),0)+J82*IFERROR(INDEX('Taxonomy Rules'!$E$26:$E$37,MATCH(F82,'Taxonomy Rules'!$C$26:$C$37,0)),0)+K82*IFERROR(INDEX('Taxonomy Rules'!$F$26:$F$37,MATCH(F82,'Taxonomy Rules'!$C$26:$C$37,0)),0),""))</x:f>
      </x:c>
      <x:c r="Q82" s="3" t="str">
        <x:f>IF(C82="","",IF(ISNUMBER(P82),IF(P82&gt;=80,"Strong",IF(P82&gt;=60,"Developing","Weak")),"Unrated"))</x:f>
      </x:c>
      <x:c r="R82" s="9" t="str">
        <x:f>IF(C82="","",COUNTIFS('Actions'!$D$9:$D$308,C82,'Actions'!$E$9:$E$308,"E&amp;S",'Actions'!$F$9:$F$308,"Critical",'Actions'!$P$9:$P$308,"&lt;&gt;Closed",'Actions'!$C$9:$C$308,"&lt;&gt;"))</x:f>
      </x:c>
      <x:c r="S82" s="9" t="str">
        <x:f>IF(C82="","",COUNTIFS('Actions'!$D$9:$D$308,C82,'Actions'!$Q$9:$Q$308,"Overdue",'Actions'!$C$9:$C$308,"&lt;&gt;"))</x:f>
      </x:c>
      <x:c r="T82" s="9" t="str">
        <x:f>IF(C82="","",IF(OR(COUNTIF($C$9:$C$108,C82)&lt;&gt;1,COUNTIF(Borrowers!$C$9:$C$108,C82)&lt;&gt;1),"Key review",IF(OR(L82="",O82="",NOT(OR(G82="High",G82="Moderate",G82="Low")),NOT(OR(H82="Yes",H82="No")),NOT(OR(X82="Standard",X82="Enhanced")),AND(G82="High",X82&lt;&gt;"Enhanced"),NOT(ISNUMBER(M82)),NOT(ISNUMBER(N82)),M82&gt;Settings!$F$8,N82&lt;M82,W82&lt;&gt;"Valid",NOT(ISNUMBER(P82)),COUNTIFS('Actions'!$D$9:$D$308,C82,'Actions'!$S$9:$S$308,"&lt;&gt;Valid",'Actions'!$C$9:$C$308,"&lt;&gt;")&gt;0),"Incomplete",IF(N82&lt;Settings!$F$8,"Expired","Current"))))</x:f>
      </x:c>
      <x:c r="U82" s="3" t="str">
        <x:f>IF(C82="","",IF(H82="Yes","Decline — prohibited",IF(R82&gt;0,"Hold — critical issue",IF(T82&lt;&gt;"Current","Hold — evidence",IF(V82&gt;0,"Conditions","Clear")))))</x:f>
      </x:c>
      <x:c r="V82" s="9" t="str">
        <x:f>IF(C82="","",COUNTIFS('Actions'!$D$9:$D$308,C82,'Actions'!$E$9:$E$308,"E&amp;S",'Actions'!$P$9:$P$308,"&lt;&gt;Closed",'Actions'!$C$9:$C$308,"&lt;&gt;"))</x:f>
      </x:c>
      <x:c r="W82" s="9" t="str">
        <x:f>IF(C82="","",IF(COUNTIF('Taxonomy Rules'!$C$26:$C$37,F82)&lt;&gt;1,"Sector missing",IF(AND(IFERROR(INDEX('Taxonomy Rules'!$D$26:$D$37,MATCH(F82,'Taxonomy Rules'!$C$26:$C$37,0)),0)&gt;=0,IFERROR(INDEX('Taxonomy Rules'!$E$26:$E$37,MATCH(F82,'Taxonomy Rules'!$C$26:$C$37,0)),0)&gt;=0,IFERROR(INDEX('Taxonomy Rules'!$F$26:$F$37,MATCH(F82,'Taxonomy Rules'!$C$26:$C$37,0)),0)&gt;=0,ABS(IFERROR(INDEX('Taxonomy Rules'!$D$26:$D$37,MATCH(F82,'Taxonomy Rules'!$C$26:$C$37,0)),0)+IFERROR(INDEX('Taxonomy Rules'!$E$26:$E$37,MATCH(F82,'Taxonomy Rules'!$C$26:$C$37,0)),0)+IFERROR(INDEX('Taxonomy Rules'!$F$26:$F$37,MATCH(F82,'Taxonomy Rules'!$C$26:$C$37,0)),0)-1)&lt;0.000001),"Valid","Check weights")))</x:f>
      </x:c>
      <x:c r="X82" s="8"/>
    </x:row>
    <x:row r="83" ht="38" customHeight="1">
      <x:c r="A83" s="1"/>
      <x:c r="B83" s="1"/>
      <x:c r="C83" s="8"/>
      <x:c r="D83" s="9" t="str">
        <x:f>IF(C83="","",IFERROR(INDEX('Borrowers'!$D$9:$D$108,MATCH(C83,'Borrowers'!$C$9:$C$108,0)),""))</x:f>
      </x:c>
      <x:c r="E83" s="9" t="str">
        <x:f>IF(C83="","",IFERROR(INDEX('Borrowers'!$E$9:$E$108,MATCH(C83,'Borrowers'!$C$9:$C$108,0)),""))</x:f>
      </x:c>
      <x:c r="F83" s="9" t="str">
        <x:f>IF(C83="","",IFERROR(INDEX('Borrowers'!$F$9:$F$108,MATCH(C83,'Borrowers'!$C$9:$C$108,0)),""))</x:f>
      </x:c>
      <x:c r="G83" s="8"/>
      <x:c r="H83" s="8"/>
      <x:c r="I83" s="8"/>
      <x:c r="J83" s="8"/>
      <x:c r="K83" s="8"/>
      <x:c r="L83" s="8"/>
      <x:c r="M83" s="10"/>
      <x:c r="N83" s="10"/>
      <x:c r="O83" s="8"/>
      <x:c r="P83" s="37" t="str">
        <x:f>IF(C83="","",IF(AND(COUNT(I83:K83)=3,MIN(I83:K83)&gt;=0,MAX(I83:K83)&lt;=100,W83="Valid"),I83*IFERROR(INDEX('Taxonomy Rules'!$D$26:$D$37,MATCH(F83,'Taxonomy Rules'!$C$26:$C$37,0)),0)+J83*IFERROR(INDEX('Taxonomy Rules'!$E$26:$E$37,MATCH(F83,'Taxonomy Rules'!$C$26:$C$37,0)),0)+K83*IFERROR(INDEX('Taxonomy Rules'!$F$26:$F$37,MATCH(F83,'Taxonomy Rules'!$C$26:$C$37,0)),0),""))</x:f>
      </x:c>
      <x:c r="Q83" s="3" t="str">
        <x:f>IF(C83="","",IF(ISNUMBER(P83),IF(P83&gt;=80,"Strong",IF(P83&gt;=60,"Developing","Weak")),"Unrated"))</x:f>
      </x:c>
      <x:c r="R83" s="9" t="str">
        <x:f>IF(C83="","",COUNTIFS('Actions'!$D$9:$D$308,C83,'Actions'!$E$9:$E$308,"E&amp;S",'Actions'!$F$9:$F$308,"Critical",'Actions'!$P$9:$P$308,"&lt;&gt;Closed",'Actions'!$C$9:$C$308,"&lt;&gt;"))</x:f>
      </x:c>
      <x:c r="S83" s="9" t="str">
        <x:f>IF(C83="","",COUNTIFS('Actions'!$D$9:$D$308,C83,'Actions'!$Q$9:$Q$308,"Overdue",'Actions'!$C$9:$C$308,"&lt;&gt;"))</x:f>
      </x:c>
      <x:c r="T83" s="9" t="str">
        <x:f>IF(C83="","",IF(OR(COUNTIF($C$9:$C$108,C83)&lt;&gt;1,COUNTIF(Borrowers!$C$9:$C$108,C83)&lt;&gt;1),"Key review",IF(OR(L83="",O83="",NOT(OR(G83="High",G83="Moderate",G83="Low")),NOT(OR(H83="Yes",H83="No")),NOT(OR(X83="Standard",X83="Enhanced")),AND(G83="High",X83&lt;&gt;"Enhanced"),NOT(ISNUMBER(M83)),NOT(ISNUMBER(N83)),M83&gt;Settings!$F$8,N83&lt;M83,W83&lt;&gt;"Valid",NOT(ISNUMBER(P83)),COUNTIFS('Actions'!$D$9:$D$308,C83,'Actions'!$S$9:$S$308,"&lt;&gt;Valid",'Actions'!$C$9:$C$308,"&lt;&gt;")&gt;0),"Incomplete",IF(N83&lt;Settings!$F$8,"Expired","Current"))))</x:f>
      </x:c>
      <x:c r="U83" s="3" t="str">
        <x:f>IF(C83="","",IF(H83="Yes","Decline — prohibited",IF(R83&gt;0,"Hold — critical issue",IF(T83&lt;&gt;"Current","Hold — evidence",IF(V83&gt;0,"Conditions","Clear")))))</x:f>
      </x:c>
      <x:c r="V83" s="9" t="str">
        <x:f>IF(C83="","",COUNTIFS('Actions'!$D$9:$D$308,C83,'Actions'!$E$9:$E$308,"E&amp;S",'Actions'!$P$9:$P$308,"&lt;&gt;Closed",'Actions'!$C$9:$C$308,"&lt;&gt;"))</x:f>
      </x:c>
      <x:c r="W83" s="9" t="str">
        <x:f>IF(C83="","",IF(COUNTIF('Taxonomy Rules'!$C$26:$C$37,F83)&lt;&gt;1,"Sector missing",IF(AND(IFERROR(INDEX('Taxonomy Rules'!$D$26:$D$37,MATCH(F83,'Taxonomy Rules'!$C$26:$C$37,0)),0)&gt;=0,IFERROR(INDEX('Taxonomy Rules'!$E$26:$E$37,MATCH(F83,'Taxonomy Rules'!$C$26:$C$37,0)),0)&gt;=0,IFERROR(INDEX('Taxonomy Rules'!$F$26:$F$37,MATCH(F83,'Taxonomy Rules'!$C$26:$C$37,0)),0)&gt;=0,ABS(IFERROR(INDEX('Taxonomy Rules'!$D$26:$D$37,MATCH(F83,'Taxonomy Rules'!$C$26:$C$37,0)),0)+IFERROR(INDEX('Taxonomy Rules'!$E$26:$E$37,MATCH(F83,'Taxonomy Rules'!$C$26:$C$37,0)),0)+IFERROR(INDEX('Taxonomy Rules'!$F$26:$F$37,MATCH(F83,'Taxonomy Rules'!$C$26:$C$37,0)),0)-1)&lt;0.000001),"Valid","Check weights")))</x:f>
      </x:c>
      <x:c r="X83" s="8"/>
    </x:row>
    <x:row r="84" ht="38" customHeight="1">
      <x:c r="A84" s="1"/>
      <x:c r="B84" s="1"/>
      <x:c r="C84" s="8"/>
      <x:c r="D84" s="9" t="str">
        <x:f>IF(C84="","",IFERROR(INDEX('Borrowers'!$D$9:$D$108,MATCH(C84,'Borrowers'!$C$9:$C$108,0)),""))</x:f>
      </x:c>
      <x:c r="E84" s="9" t="str">
        <x:f>IF(C84="","",IFERROR(INDEX('Borrowers'!$E$9:$E$108,MATCH(C84,'Borrowers'!$C$9:$C$108,0)),""))</x:f>
      </x:c>
      <x:c r="F84" s="9" t="str">
        <x:f>IF(C84="","",IFERROR(INDEX('Borrowers'!$F$9:$F$108,MATCH(C84,'Borrowers'!$C$9:$C$108,0)),""))</x:f>
      </x:c>
      <x:c r="G84" s="8"/>
      <x:c r="H84" s="8"/>
      <x:c r="I84" s="8"/>
      <x:c r="J84" s="8"/>
      <x:c r="K84" s="8"/>
      <x:c r="L84" s="8"/>
      <x:c r="M84" s="10"/>
      <x:c r="N84" s="10"/>
      <x:c r="O84" s="8"/>
      <x:c r="P84" s="37" t="str">
        <x:f>IF(C84="","",IF(AND(COUNT(I84:K84)=3,MIN(I84:K84)&gt;=0,MAX(I84:K84)&lt;=100,W84="Valid"),I84*IFERROR(INDEX('Taxonomy Rules'!$D$26:$D$37,MATCH(F84,'Taxonomy Rules'!$C$26:$C$37,0)),0)+J84*IFERROR(INDEX('Taxonomy Rules'!$E$26:$E$37,MATCH(F84,'Taxonomy Rules'!$C$26:$C$37,0)),0)+K84*IFERROR(INDEX('Taxonomy Rules'!$F$26:$F$37,MATCH(F84,'Taxonomy Rules'!$C$26:$C$37,0)),0),""))</x:f>
      </x:c>
      <x:c r="Q84" s="3" t="str">
        <x:f>IF(C84="","",IF(ISNUMBER(P84),IF(P84&gt;=80,"Strong",IF(P84&gt;=60,"Developing","Weak")),"Unrated"))</x:f>
      </x:c>
      <x:c r="R84" s="9" t="str">
        <x:f>IF(C84="","",COUNTIFS('Actions'!$D$9:$D$308,C84,'Actions'!$E$9:$E$308,"E&amp;S",'Actions'!$F$9:$F$308,"Critical",'Actions'!$P$9:$P$308,"&lt;&gt;Closed",'Actions'!$C$9:$C$308,"&lt;&gt;"))</x:f>
      </x:c>
      <x:c r="S84" s="9" t="str">
        <x:f>IF(C84="","",COUNTIFS('Actions'!$D$9:$D$308,C84,'Actions'!$Q$9:$Q$308,"Overdue",'Actions'!$C$9:$C$308,"&lt;&gt;"))</x:f>
      </x:c>
      <x:c r="T84" s="9" t="str">
        <x:f>IF(C84="","",IF(OR(COUNTIF($C$9:$C$108,C84)&lt;&gt;1,COUNTIF(Borrowers!$C$9:$C$108,C84)&lt;&gt;1),"Key review",IF(OR(L84="",O84="",NOT(OR(G84="High",G84="Moderate",G84="Low")),NOT(OR(H84="Yes",H84="No")),NOT(OR(X84="Standard",X84="Enhanced")),AND(G84="High",X84&lt;&gt;"Enhanced"),NOT(ISNUMBER(M84)),NOT(ISNUMBER(N84)),M84&gt;Settings!$F$8,N84&lt;M84,W84&lt;&gt;"Valid",NOT(ISNUMBER(P84)),COUNTIFS('Actions'!$D$9:$D$308,C84,'Actions'!$S$9:$S$308,"&lt;&gt;Valid",'Actions'!$C$9:$C$308,"&lt;&gt;")&gt;0),"Incomplete",IF(N84&lt;Settings!$F$8,"Expired","Current"))))</x:f>
      </x:c>
      <x:c r="U84" s="3" t="str">
        <x:f>IF(C84="","",IF(H84="Yes","Decline — prohibited",IF(R84&gt;0,"Hold — critical issue",IF(T84&lt;&gt;"Current","Hold — evidence",IF(V84&gt;0,"Conditions","Clear")))))</x:f>
      </x:c>
      <x:c r="V84" s="9" t="str">
        <x:f>IF(C84="","",COUNTIFS('Actions'!$D$9:$D$308,C84,'Actions'!$E$9:$E$308,"E&amp;S",'Actions'!$P$9:$P$308,"&lt;&gt;Closed",'Actions'!$C$9:$C$308,"&lt;&gt;"))</x:f>
      </x:c>
      <x:c r="W84" s="9" t="str">
        <x:f>IF(C84="","",IF(COUNTIF('Taxonomy Rules'!$C$26:$C$37,F84)&lt;&gt;1,"Sector missing",IF(AND(IFERROR(INDEX('Taxonomy Rules'!$D$26:$D$37,MATCH(F84,'Taxonomy Rules'!$C$26:$C$37,0)),0)&gt;=0,IFERROR(INDEX('Taxonomy Rules'!$E$26:$E$37,MATCH(F84,'Taxonomy Rules'!$C$26:$C$37,0)),0)&gt;=0,IFERROR(INDEX('Taxonomy Rules'!$F$26:$F$37,MATCH(F84,'Taxonomy Rules'!$C$26:$C$37,0)),0)&gt;=0,ABS(IFERROR(INDEX('Taxonomy Rules'!$D$26:$D$37,MATCH(F84,'Taxonomy Rules'!$C$26:$C$37,0)),0)+IFERROR(INDEX('Taxonomy Rules'!$E$26:$E$37,MATCH(F84,'Taxonomy Rules'!$C$26:$C$37,0)),0)+IFERROR(INDEX('Taxonomy Rules'!$F$26:$F$37,MATCH(F84,'Taxonomy Rules'!$C$26:$C$37,0)),0)-1)&lt;0.000001),"Valid","Check weights")))</x:f>
      </x:c>
      <x:c r="X84" s="8"/>
    </x:row>
    <x:row r="85" ht="38" customHeight="1">
      <x:c r="A85" s="1"/>
      <x:c r="B85" s="1"/>
      <x:c r="C85" s="8"/>
      <x:c r="D85" s="9" t="str">
        <x:f>IF(C85="","",IFERROR(INDEX('Borrowers'!$D$9:$D$108,MATCH(C85,'Borrowers'!$C$9:$C$108,0)),""))</x:f>
      </x:c>
      <x:c r="E85" s="9" t="str">
        <x:f>IF(C85="","",IFERROR(INDEX('Borrowers'!$E$9:$E$108,MATCH(C85,'Borrowers'!$C$9:$C$108,0)),""))</x:f>
      </x:c>
      <x:c r="F85" s="9" t="str">
        <x:f>IF(C85="","",IFERROR(INDEX('Borrowers'!$F$9:$F$108,MATCH(C85,'Borrowers'!$C$9:$C$108,0)),""))</x:f>
      </x:c>
      <x:c r="G85" s="8"/>
      <x:c r="H85" s="8"/>
      <x:c r="I85" s="8"/>
      <x:c r="J85" s="8"/>
      <x:c r="K85" s="8"/>
      <x:c r="L85" s="8"/>
      <x:c r="M85" s="10"/>
      <x:c r="N85" s="10"/>
      <x:c r="O85" s="8"/>
      <x:c r="P85" s="37" t="str">
        <x:f>IF(C85="","",IF(AND(COUNT(I85:K85)=3,MIN(I85:K85)&gt;=0,MAX(I85:K85)&lt;=100,W85="Valid"),I85*IFERROR(INDEX('Taxonomy Rules'!$D$26:$D$37,MATCH(F85,'Taxonomy Rules'!$C$26:$C$37,0)),0)+J85*IFERROR(INDEX('Taxonomy Rules'!$E$26:$E$37,MATCH(F85,'Taxonomy Rules'!$C$26:$C$37,0)),0)+K85*IFERROR(INDEX('Taxonomy Rules'!$F$26:$F$37,MATCH(F85,'Taxonomy Rules'!$C$26:$C$37,0)),0),""))</x:f>
      </x:c>
      <x:c r="Q85" s="3" t="str">
        <x:f>IF(C85="","",IF(ISNUMBER(P85),IF(P85&gt;=80,"Strong",IF(P85&gt;=60,"Developing","Weak")),"Unrated"))</x:f>
      </x:c>
      <x:c r="R85" s="9" t="str">
        <x:f>IF(C85="","",COUNTIFS('Actions'!$D$9:$D$308,C85,'Actions'!$E$9:$E$308,"E&amp;S",'Actions'!$F$9:$F$308,"Critical",'Actions'!$P$9:$P$308,"&lt;&gt;Closed",'Actions'!$C$9:$C$308,"&lt;&gt;"))</x:f>
      </x:c>
      <x:c r="S85" s="9" t="str">
        <x:f>IF(C85="","",COUNTIFS('Actions'!$D$9:$D$308,C85,'Actions'!$Q$9:$Q$308,"Overdue",'Actions'!$C$9:$C$308,"&lt;&gt;"))</x:f>
      </x:c>
      <x:c r="T85" s="9" t="str">
        <x:f>IF(C85="","",IF(OR(COUNTIF($C$9:$C$108,C85)&lt;&gt;1,COUNTIF(Borrowers!$C$9:$C$108,C85)&lt;&gt;1),"Key review",IF(OR(L85="",O85="",NOT(OR(G85="High",G85="Moderate",G85="Low")),NOT(OR(H85="Yes",H85="No")),NOT(OR(X85="Standard",X85="Enhanced")),AND(G85="High",X85&lt;&gt;"Enhanced"),NOT(ISNUMBER(M85)),NOT(ISNUMBER(N85)),M85&gt;Settings!$F$8,N85&lt;M85,W85&lt;&gt;"Valid",NOT(ISNUMBER(P85)),COUNTIFS('Actions'!$D$9:$D$308,C85,'Actions'!$S$9:$S$308,"&lt;&gt;Valid",'Actions'!$C$9:$C$308,"&lt;&gt;")&gt;0),"Incomplete",IF(N85&lt;Settings!$F$8,"Expired","Current"))))</x:f>
      </x:c>
      <x:c r="U85" s="3" t="str">
        <x:f>IF(C85="","",IF(H85="Yes","Decline — prohibited",IF(R85&gt;0,"Hold — critical issue",IF(T85&lt;&gt;"Current","Hold — evidence",IF(V85&gt;0,"Conditions","Clear")))))</x:f>
      </x:c>
      <x:c r="V85" s="9" t="str">
        <x:f>IF(C85="","",COUNTIFS('Actions'!$D$9:$D$308,C85,'Actions'!$E$9:$E$308,"E&amp;S",'Actions'!$P$9:$P$308,"&lt;&gt;Closed",'Actions'!$C$9:$C$308,"&lt;&gt;"))</x:f>
      </x:c>
      <x:c r="W85" s="9" t="str">
        <x:f>IF(C85="","",IF(COUNTIF('Taxonomy Rules'!$C$26:$C$37,F85)&lt;&gt;1,"Sector missing",IF(AND(IFERROR(INDEX('Taxonomy Rules'!$D$26:$D$37,MATCH(F85,'Taxonomy Rules'!$C$26:$C$37,0)),0)&gt;=0,IFERROR(INDEX('Taxonomy Rules'!$E$26:$E$37,MATCH(F85,'Taxonomy Rules'!$C$26:$C$37,0)),0)&gt;=0,IFERROR(INDEX('Taxonomy Rules'!$F$26:$F$37,MATCH(F85,'Taxonomy Rules'!$C$26:$C$37,0)),0)&gt;=0,ABS(IFERROR(INDEX('Taxonomy Rules'!$D$26:$D$37,MATCH(F85,'Taxonomy Rules'!$C$26:$C$37,0)),0)+IFERROR(INDEX('Taxonomy Rules'!$E$26:$E$37,MATCH(F85,'Taxonomy Rules'!$C$26:$C$37,0)),0)+IFERROR(INDEX('Taxonomy Rules'!$F$26:$F$37,MATCH(F85,'Taxonomy Rules'!$C$26:$C$37,0)),0)-1)&lt;0.000001),"Valid","Check weights")))</x:f>
      </x:c>
      <x:c r="X85" s="8"/>
    </x:row>
    <x:row r="86" ht="38" customHeight="1">
      <x:c r="A86" s="1"/>
      <x:c r="B86" s="1"/>
      <x:c r="C86" s="8"/>
      <x:c r="D86" s="9" t="str">
        <x:f>IF(C86="","",IFERROR(INDEX('Borrowers'!$D$9:$D$108,MATCH(C86,'Borrowers'!$C$9:$C$108,0)),""))</x:f>
      </x:c>
      <x:c r="E86" s="9" t="str">
        <x:f>IF(C86="","",IFERROR(INDEX('Borrowers'!$E$9:$E$108,MATCH(C86,'Borrowers'!$C$9:$C$108,0)),""))</x:f>
      </x:c>
      <x:c r="F86" s="9" t="str">
        <x:f>IF(C86="","",IFERROR(INDEX('Borrowers'!$F$9:$F$108,MATCH(C86,'Borrowers'!$C$9:$C$108,0)),""))</x:f>
      </x:c>
      <x:c r="G86" s="8"/>
      <x:c r="H86" s="8"/>
      <x:c r="I86" s="8"/>
      <x:c r="J86" s="8"/>
      <x:c r="K86" s="8"/>
      <x:c r="L86" s="8"/>
      <x:c r="M86" s="10"/>
      <x:c r="N86" s="10"/>
      <x:c r="O86" s="8"/>
      <x:c r="P86" s="37" t="str">
        <x:f>IF(C86="","",IF(AND(COUNT(I86:K86)=3,MIN(I86:K86)&gt;=0,MAX(I86:K86)&lt;=100,W86="Valid"),I86*IFERROR(INDEX('Taxonomy Rules'!$D$26:$D$37,MATCH(F86,'Taxonomy Rules'!$C$26:$C$37,0)),0)+J86*IFERROR(INDEX('Taxonomy Rules'!$E$26:$E$37,MATCH(F86,'Taxonomy Rules'!$C$26:$C$37,0)),0)+K86*IFERROR(INDEX('Taxonomy Rules'!$F$26:$F$37,MATCH(F86,'Taxonomy Rules'!$C$26:$C$37,0)),0),""))</x:f>
      </x:c>
      <x:c r="Q86" s="3" t="str">
        <x:f>IF(C86="","",IF(ISNUMBER(P86),IF(P86&gt;=80,"Strong",IF(P86&gt;=60,"Developing","Weak")),"Unrated"))</x:f>
      </x:c>
      <x:c r="R86" s="9" t="str">
        <x:f>IF(C86="","",COUNTIFS('Actions'!$D$9:$D$308,C86,'Actions'!$E$9:$E$308,"E&amp;S",'Actions'!$F$9:$F$308,"Critical",'Actions'!$P$9:$P$308,"&lt;&gt;Closed",'Actions'!$C$9:$C$308,"&lt;&gt;"))</x:f>
      </x:c>
      <x:c r="S86" s="9" t="str">
        <x:f>IF(C86="","",COUNTIFS('Actions'!$D$9:$D$308,C86,'Actions'!$Q$9:$Q$308,"Overdue",'Actions'!$C$9:$C$308,"&lt;&gt;"))</x:f>
      </x:c>
      <x:c r="T86" s="9" t="str">
        <x:f>IF(C86="","",IF(OR(COUNTIF($C$9:$C$108,C86)&lt;&gt;1,COUNTIF(Borrowers!$C$9:$C$108,C86)&lt;&gt;1),"Key review",IF(OR(L86="",O86="",NOT(OR(G86="High",G86="Moderate",G86="Low")),NOT(OR(H86="Yes",H86="No")),NOT(OR(X86="Standard",X86="Enhanced")),AND(G86="High",X86&lt;&gt;"Enhanced"),NOT(ISNUMBER(M86)),NOT(ISNUMBER(N86)),M86&gt;Settings!$F$8,N86&lt;M86,W86&lt;&gt;"Valid",NOT(ISNUMBER(P86)),COUNTIFS('Actions'!$D$9:$D$308,C86,'Actions'!$S$9:$S$308,"&lt;&gt;Valid",'Actions'!$C$9:$C$308,"&lt;&gt;")&gt;0),"Incomplete",IF(N86&lt;Settings!$F$8,"Expired","Current"))))</x:f>
      </x:c>
      <x:c r="U86" s="3" t="str">
        <x:f>IF(C86="","",IF(H86="Yes","Decline — prohibited",IF(R86&gt;0,"Hold — critical issue",IF(T86&lt;&gt;"Current","Hold — evidence",IF(V86&gt;0,"Conditions","Clear")))))</x:f>
      </x:c>
      <x:c r="V86" s="9" t="str">
        <x:f>IF(C86="","",COUNTIFS('Actions'!$D$9:$D$308,C86,'Actions'!$E$9:$E$308,"E&amp;S",'Actions'!$P$9:$P$308,"&lt;&gt;Closed",'Actions'!$C$9:$C$308,"&lt;&gt;"))</x:f>
      </x:c>
      <x:c r="W86" s="9" t="str">
        <x:f>IF(C86="","",IF(COUNTIF('Taxonomy Rules'!$C$26:$C$37,F86)&lt;&gt;1,"Sector missing",IF(AND(IFERROR(INDEX('Taxonomy Rules'!$D$26:$D$37,MATCH(F86,'Taxonomy Rules'!$C$26:$C$37,0)),0)&gt;=0,IFERROR(INDEX('Taxonomy Rules'!$E$26:$E$37,MATCH(F86,'Taxonomy Rules'!$C$26:$C$37,0)),0)&gt;=0,IFERROR(INDEX('Taxonomy Rules'!$F$26:$F$37,MATCH(F86,'Taxonomy Rules'!$C$26:$C$37,0)),0)&gt;=0,ABS(IFERROR(INDEX('Taxonomy Rules'!$D$26:$D$37,MATCH(F86,'Taxonomy Rules'!$C$26:$C$37,0)),0)+IFERROR(INDEX('Taxonomy Rules'!$E$26:$E$37,MATCH(F86,'Taxonomy Rules'!$C$26:$C$37,0)),0)+IFERROR(INDEX('Taxonomy Rules'!$F$26:$F$37,MATCH(F86,'Taxonomy Rules'!$C$26:$C$37,0)),0)-1)&lt;0.000001),"Valid","Check weights")))</x:f>
      </x:c>
      <x:c r="X86" s="8"/>
    </x:row>
    <x:row r="87" ht="38" customHeight="1">
      <x:c r="A87" s="1"/>
      <x:c r="B87" s="1"/>
      <x:c r="C87" s="8"/>
      <x:c r="D87" s="9" t="str">
        <x:f>IF(C87="","",IFERROR(INDEX('Borrowers'!$D$9:$D$108,MATCH(C87,'Borrowers'!$C$9:$C$108,0)),""))</x:f>
      </x:c>
      <x:c r="E87" s="9" t="str">
        <x:f>IF(C87="","",IFERROR(INDEX('Borrowers'!$E$9:$E$108,MATCH(C87,'Borrowers'!$C$9:$C$108,0)),""))</x:f>
      </x:c>
      <x:c r="F87" s="9" t="str">
        <x:f>IF(C87="","",IFERROR(INDEX('Borrowers'!$F$9:$F$108,MATCH(C87,'Borrowers'!$C$9:$C$108,0)),""))</x:f>
      </x:c>
      <x:c r="G87" s="8"/>
      <x:c r="H87" s="8"/>
      <x:c r="I87" s="8"/>
      <x:c r="J87" s="8"/>
      <x:c r="K87" s="8"/>
      <x:c r="L87" s="8"/>
      <x:c r="M87" s="10"/>
      <x:c r="N87" s="10"/>
      <x:c r="O87" s="8"/>
      <x:c r="P87" s="37" t="str">
        <x:f>IF(C87="","",IF(AND(COUNT(I87:K87)=3,MIN(I87:K87)&gt;=0,MAX(I87:K87)&lt;=100,W87="Valid"),I87*IFERROR(INDEX('Taxonomy Rules'!$D$26:$D$37,MATCH(F87,'Taxonomy Rules'!$C$26:$C$37,0)),0)+J87*IFERROR(INDEX('Taxonomy Rules'!$E$26:$E$37,MATCH(F87,'Taxonomy Rules'!$C$26:$C$37,0)),0)+K87*IFERROR(INDEX('Taxonomy Rules'!$F$26:$F$37,MATCH(F87,'Taxonomy Rules'!$C$26:$C$37,0)),0),""))</x:f>
      </x:c>
      <x:c r="Q87" s="3" t="str">
        <x:f>IF(C87="","",IF(ISNUMBER(P87),IF(P87&gt;=80,"Strong",IF(P87&gt;=60,"Developing","Weak")),"Unrated"))</x:f>
      </x:c>
      <x:c r="R87" s="9" t="str">
        <x:f>IF(C87="","",COUNTIFS('Actions'!$D$9:$D$308,C87,'Actions'!$E$9:$E$308,"E&amp;S",'Actions'!$F$9:$F$308,"Critical",'Actions'!$P$9:$P$308,"&lt;&gt;Closed",'Actions'!$C$9:$C$308,"&lt;&gt;"))</x:f>
      </x:c>
      <x:c r="S87" s="9" t="str">
        <x:f>IF(C87="","",COUNTIFS('Actions'!$D$9:$D$308,C87,'Actions'!$Q$9:$Q$308,"Overdue",'Actions'!$C$9:$C$308,"&lt;&gt;"))</x:f>
      </x:c>
      <x:c r="T87" s="9" t="str">
        <x:f>IF(C87="","",IF(OR(COUNTIF($C$9:$C$108,C87)&lt;&gt;1,COUNTIF(Borrowers!$C$9:$C$108,C87)&lt;&gt;1),"Key review",IF(OR(L87="",O87="",NOT(OR(G87="High",G87="Moderate",G87="Low")),NOT(OR(H87="Yes",H87="No")),NOT(OR(X87="Standard",X87="Enhanced")),AND(G87="High",X87&lt;&gt;"Enhanced"),NOT(ISNUMBER(M87)),NOT(ISNUMBER(N87)),M87&gt;Settings!$F$8,N87&lt;M87,W87&lt;&gt;"Valid",NOT(ISNUMBER(P87)),COUNTIFS('Actions'!$D$9:$D$308,C87,'Actions'!$S$9:$S$308,"&lt;&gt;Valid",'Actions'!$C$9:$C$308,"&lt;&gt;")&gt;0),"Incomplete",IF(N87&lt;Settings!$F$8,"Expired","Current"))))</x:f>
      </x:c>
      <x:c r="U87" s="3" t="str">
        <x:f>IF(C87="","",IF(H87="Yes","Decline — prohibited",IF(R87&gt;0,"Hold — critical issue",IF(T87&lt;&gt;"Current","Hold — evidence",IF(V87&gt;0,"Conditions","Clear")))))</x:f>
      </x:c>
      <x:c r="V87" s="9" t="str">
        <x:f>IF(C87="","",COUNTIFS('Actions'!$D$9:$D$308,C87,'Actions'!$E$9:$E$308,"E&amp;S",'Actions'!$P$9:$P$308,"&lt;&gt;Closed",'Actions'!$C$9:$C$308,"&lt;&gt;"))</x:f>
      </x:c>
      <x:c r="W87" s="9" t="str">
        <x:f>IF(C87="","",IF(COUNTIF('Taxonomy Rules'!$C$26:$C$37,F87)&lt;&gt;1,"Sector missing",IF(AND(IFERROR(INDEX('Taxonomy Rules'!$D$26:$D$37,MATCH(F87,'Taxonomy Rules'!$C$26:$C$37,0)),0)&gt;=0,IFERROR(INDEX('Taxonomy Rules'!$E$26:$E$37,MATCH(F87,'Taxonomy Rules'!$C$26:$C$37,0)),0)&gt;=0,IFERROR(INDEX('Taxonomy Rules'!$F$26:$F$37,MATCH(F87,'Taxonomy Rules'!$C$26:$C$37,0)),0)&gt;=0,ABS(IFERROR(INDEX('Taxonomy Rules'!$D$26:$D$37,MATCH(F87,'Taxonomy Rules'!$C$26:$C$37,0)),0)+IFERROR(INDEX('Taxonomy Rules'!$E$26:$E$37,MATCH(F87,'Taxonomy Rules'!$C$26:$C$37,0)),0)+IFERROR(INDEX('Taxonomy Rules'!$F$26:$F$37,MATCH(F87,'Taxonomy Rules'!$C$26:$C$37,0)),0)-1)&lt;0.000001),"Valid","Check weights")))</x:f>
      </x:c>
      <x:c r="X87" s="8"/>
    </x:row>
    <x:row r="88" ht="38" customHeight="1">
      <x:c r="A88" s="1"/>
      <x:c r="B88" s="1"/>
      <x:c r="C88" s="8"/>
      <x:c r="D88" s="9" t="str">
        <x:f>IF(C88="","",IFERROR(INDEX('Borrowers'!$D$9:$D$108,MATCH(C88,'Borrowers'!$C$9:$C$108,0)),""))</x:f>
      </x:c>
      <x:c r="E88" s="9" t="str">
        <x:f>IF(C88="","",IFERROR(INDEX('Borrowers'!$E$9:$E$108,MATCH(C88,'Borrowers'!$C$9:$C$108,0)),""))</x:f>
      </x:c>
      <x:c r="F88" s="9" t="str">
        <x:f>IF(C88="","",IFERROR(INDEX('Borrowers'!$F$9:$F$108,MATCH(C88,'Borrowers'!$C$9:$C$108,0)),""))</x:f>
      </x:c>
      <x:c r="G88" s="8"/>
      <x:c r="H88" s="8"/>
      <x:c r="I88" s="8"/>
      <x:c r="J88" s="8"/>
      <x:c r="K88" s="8"/>
      <x:c r="L88" s="8"/>
      <x:c r="M88" s="10"/>
      <x:c r="N88" s="10"/>
      <x:c r="O88" s="8"/>
      <x:c r="P88" s="37" t="str">
        <x:f>IF(C88="","",IF(AND(COUNT(I88:K88)=3,MIN(I88:K88)&gt;=0,MAX(I88:K88)&lt;=100,W88="Valid"),I88*IFERROR(INDEX('Taxonomy Rules'!$D$26:$D$37,MATCH(F88,'Taxonomy Rules'!$C$26:$C$37,0)),0)+J88*IFERROR(INDEX('Taxonomy Rules'!$E$26:$E$37,MATCH(F88,'Taxonomy Rules'!$C$26:$C$37,0)),0)+K88*IFERROR(INDEX('Taxonomy Rules'!$F$26:$F$37,MATCH(F88,'Taxonomy Rules'!$C$26:$C$37,0)),0),""))</x:f>
      </x:c>
      <x:c r="Q88" s="3" t="str">
        <x:f>IF(C88="","",IF(ISNUMBER(P88),IF(P88&gt;=80,"Strong",IF(P88&gt;=60,"Developing","Weak")),"Unrated"))</x:f>
      </x:c>
      <x:c r="R88" s="9" t="str">
        <x:f>IF(C88="","",COUNTIFS('Actions'!$D$9:$D$308,C88,'Actions'!$E$9:$E$308,"E&amp;S",'Actions'!$F$9:$F$308,"Critical",'Actions'!$P$9:$P$308,"&lt;&gt;Closed",'Actions'!$C$9:$C$308,"&lt;&gt;"))</x:f>
      </x:c>
      <x:c r="S88" s="9" t="str">
        <x:f>IF(C88="","",COUNTIFS('Actions'!$D$9:$D$308,C88,'Actions'!$Q$9:$Q$308,"Overdue",'Actions'!$C$9:$C$308,"&lt;&gt;"))</x:f>
      </x:c>
      <x:c r="T88" s="9" t="str">
        <x:f>IF(C88="","",IF(OR(COUNTIF($C$9:$C$108,C88)&lt;&gt;1,COUNTIF(Borrowers!$C$9:$C$108,C88)&lt;&gt;1),"Key review",IF(OR(L88="",O88="",NOT(OR(G88="High",G88="Moderate",G88="Low")),NOT(OR(H88="Yes",H88="No")),NOT(OR(X88="Standard",X88="Enhanced")),AND(G88="High",X88&lt;&gt;"Enhanced"),NOT(ISNUMBER(M88)),NOT(ISNUMBER(N88)),M88&gt;Settings!$F$8,N88&lt;M88,W88&lt;&gt;"Valid",NOT(ISNUMBER(P88)),COUNTIFS('Actions'!$D$9:$D$308,C88,'Actions'!$S$9:$S$308,"&lt;&gt;Valid",'Actions'!$C$9:$C$308,"&lt;&gt;")&gt;0),"Incomplete",IF(N88&lt;Settings!$F$8,"Expired","Current"))))</x:f>
      </x:c>
      <x:c r="U88" s="3" t="str">
        <x:f>IF(C88="","",IF(H88="Yes","Decline — prohibited",IF(R88&gt;0,"Hold — critical issue",IF(T88&lt;&gt;"Current","Hold — evidence",IF(V88&gt;0,"Conditions","Clear")))))</x:f>
      </x:c>
      <x:c r="V88" s="9" t="str">
        <x:f>IF(C88="","",COUNTIFS('Actions'!$D$9:$D$308,C88,'Actions'!$E$9:$E$308,"E&amp;S",'Actions'!$P$9:$P$308,"&lt;&gt;Closed",'Actions'!$C$9:$C$308,"&lt;&gt;"))</x:f>
      </x:c>
      <x:c r="W88" s="9" t="str">
        <x:f>IF(C88="","",IF(COUNTIF('Taxonomy Rules'!$C$26:$C$37,F88)&lt;&gt;1,"Sector missing",IF(AND(IFERROR(INDEX('Taxonomy Rules'!$D$26:$D$37,MATCH(F88,'Taxonomy Rules'!$C$26:$C$37,0)),0)&gt;=0,IFERROR(INDEX('Taxonomy Rules'!$E$26:$E$37,MATCH(F88,'Taxonomy Rules'!$C$26:$C$37,0)),0)&gt;=0,IFERROR(INDEX('Taxonomy Rules'!$F$26:$F$37,MATCH(F88,'Taxonomy Rules'!$C$26:$C$37,0)),0)&gt;=0,ABS(IFERROR(INDEX('Taxonomy Rules'!$D$26:$D$37,MATCH(F88,'Taxonomy Rules'!$C$26:$C$37,0)),0)+IFERROR(INDEX('Taxonomy Rules'!$E$26:$E$37,MATCH(F88,'Taxonomy Rules'!$C$26:$C$37,0)),0)+IFERROR(INDEX('Taxonomy Rules'!$F$26:$F$37,MATCH(F88,'Taxonomy Rules'!$C$26:$C$37,0)),0)-1)&lt;0.000001),"Valid","Check weights")))</x:f>
      </x:c>
      <x:c r="X88" s="8"/>
    </x:row>
    <x:row r="89" ht="38" customHeight="1">
      <x:c r="A89" s="1"/>
      <x:c r="B89" s="1"/>
      <x:c r="C89" s="8"/>
      <x:c r="D89" s="9" t="str">
        <x:f>IF(C89="","",IFERROR(INDEX('Borrowers'!$D$9:$D$108,MATCH(C89,'Borrowers'!$C$9:$C$108,0)),""))</x:f>
      </x:c>
      <x:c r="E89" s="9" t="str">
        <x:f>IF(C89="","",IFERROR(INDEX('Borrowers'!$E$9:$E$108,MATCH(C89,'Borrowers'!$C$9:$C$108,0)),""))</x:f>
      </x:c>
      <x:c r="F89" s="9" t="str">
        <x:f>IF(C89="","",IFERROR(INDEX('Borrowers'!$F$9:$F$108,MATCH(C89,'Borrowers'!$C$9:$C$108,0)),""))</x:f>
      </x:c>
      <x:c r="G89" s="8"/>
      <x:c r="H89" s="8"/>
      <x:c r="I89" s="8"/>
      <x:c r="J89" s="8"/>
      <x:c r="K89" s="8"/>
      <x:c r="L89" s="8"/>
      <x:c r="M89" s="10"/>
      <x:c r="N89" s="10"/>
      <x:c r="O89" s="8"/>
      <x:c r="P89" s="37" t="str">
        <x:f>IF(C89="","",IF(AND(COUNT(I89:K89)=3,MIN(I89:K89)&gt;=0,MAX(I89:K89)&lt;=100,W89="Valid"),I89*IFERROR(INDEX('Taxonomy Rules'!$D$26:$D$37,MATCH(F89,'Taxonomy Rules'!$C$26:$C$37,0)),0)+J89*IFERROR(INDEX('Taxonomy Rules'!$E$26:$E$37,MATCH(F89,'Taxonomy Rules'!$C$26:$C$37,0)),0)+K89*IFERROR(INDEX('Taxonomy Rules'!$F$26:$F$37,MATCH(F89,'Taxonomy Rules'!$C$26:$C$37,0)),0),""))</x:f>
      </x:c>
      <x:c r="Q89" s="3" t="str">
        <x:f>IF(C89="","",IF(ISNUMBER(P89),IF(P89&gt;=80,"Strong",IF(P89&gt;=60,"Developing","Weak")),"Unrated"))</x:f>
      </x:c>
      <x:c r="R89" s="9" t="str">
        <x:f>IF(C89="","",COUNTIFS('Actions'!$D$9:$D$308,C89,'Actions'!$E$9:$E$308,"E&amp;S",'Actions'!$F$9:$F$308,"Critical",'Actions'!$P$9:$P$308,"&lt;&gt;Closed",'Actions'!$C$9:$C$308,"&lt;&gt;"))</x:f>
      </x:c>
      <x:c r="S89" s="9" t="str">
        <x:f>IF(C89="","",COUNTIFS('Actions'!$D$9:$D$308,C89,'Actions'!$Q$9:$Q$308,"Overdue",'Actions'!$C$9:$C$308,"&lt;&gt;"))</x:f>
      </x:c>
      <x:c r="T89" s="9" t="str">
        <x:f>IF(C89="","",IF(OR(COUNTIF($C$9:$C$108,C89)&lt;&gt;1,COUNTIF(Borrowers!$C$9:$C$108,C89)&lt;&gt;1),"Key review",IF(OR(L89="",O89="",NOT(OR(G89="High",G89="Moderate",G89="Low")),NOT(OR(H89="Yes",H89="No")),NOT(OR(X89="Standard",X89="Enhanced")),AND(G89="High",X89&lt;&gt;"Enhanced"),NOT(ISNUMBER(M89)),NOT(ISNUMBER(N89)),M89&gt;Settings!$F$8,N89&lt;M89,W89&lt;&gt;"Valid",NOT(ISNUMBER(P89)),COUNTIFS('Actions'!$D$9:$D$308,C89,'Actions'!$S$9:$S$308,"&lt;&gt;Valid",'Actions'!$C$9:$C$308,"&lt;&gt;")&gt;0),"Incomplete",IF(N89&lt;Settings!$F$8,"Expired","Current"))))</x:f>
      </x:c>
      <x:c r="U89" s="3" t="str">
        <x:f>IF(C89="","",IF(H89="Yes","Decline — prohibited",IF(R89&gt;0,"Hold — critical issue",IF(T89&lt;&gt;"Current","Hold — evidence",IF(V89&gt;0,"Conditions","Clear")))))</x:f>
      </x:c>
      <x:c r="V89" s="9" t="str">
        <x:f>IF(C89="","",COUNTIFS('Actions'!$D$9:$D$308,C89,'Actions'!$E$9:$E$308,"E&amp;S",'Actions'!$P$9:$P$308,"&lt;&gt;Closed",'Actions'!$C$9:$C$308,"&lt;&gt;"))</x:f>
      </x:c>
      <x:c r="W89" s="9" t="str">
        <x:f>IF(C89="","",IF(COUNTIF('Taxonomy Rules'!$C$26:$C$37,F89)&lt;&gt;1,"Sector missing",IF(AND(IFERROR(INDEX('Taxonomy Rules'!$D$26:$D$37,MATCH(F89,'Taxonomy Rules'!$C$26:$C$37,0)),0)&gt;=0,IFERROR(INDEX('Taxonomy Rules'!$E$26:$E$37,MATCH(F89,'Taxonomy Rules'!$C$26:$C$37,0)),0)&gt;=0,IFERROR(INDEX('Taxonomy Rules'!$F$26:$F$37,MATCH(F89,'Taxonomy Rules'!$C$26:$C$37,0)),0)&gt;=0,ABS(IFERROR(INDEX('Taxonomy Rules'!$D$26:$D$37,MATCH(F89,'Taxonomy Rules'!$C$26:$C$37,0)),0)+IFERROR(INDEX('Taxonomy Rules'!$E$26:$E$37,MATCH(F89,'Taxonomy Rules'!$C$26:$C$37,0)),0)+IFERROR(INDEX('Taxonomy Rules'!$F$26:$F$37,MATCH(F89,'Taxonomy Rules'!$C$26:$C$37,0)),0)-1)&lt;0.000001),"Valid","Check weights")))</x:f>
      </x:c>
      <x:c r="X89" s="8"/>
    </x:row>
    <x:row r="90" ht="38" customHeight="1">
      <x:c r="A90" s="1"/>
      <x:c r="B90" s="1"/>
      <x:c r="C90" s="8"/>
      <x:c r="D90" s="9" t="str">
        <x:f>IF(C90="","",IFERROR(INDEX('Borrowers'!$D$9:$D$108,MATCH(C90,'Borrowers'!$C$9:$C$108,0)),""))</x:f>
      </x:c>
      <x:c r="E90" s="9" t="str">
        <x:f>IF(C90="","",IFERROR(INDEX('Borrowers'!$E$9:$E$108,MATCH(C90,'Borrowers'!$C$9:$C$108,0)),""))</x:f>
      </x:c>
      <x:c r="F90" s="9" t="str">
        <x:f>IF(C90="","",IFERROR(INDEX('Borrowers'!$F$9:$F$108,MATCH(C90,'Borrowers'!$C$9:$C$108,0)),""))</x:f>
      </x:c>
      <x:c r="G90" s="8"/>
      <x:c r="H90" s="8"/>
      <x:c r="I90" s="8"/>
      <x:c r="J90" s="8"/>
      <x:c r="K90" s="8"/>
      <x:c r="L90" s="8"/>
      <x:c r="M90" s="10"/>
      <x:c r="N90" s="10"/>
      <x:c r="O90" s="8"/>
      <x:c r="P90" s="37" t="str">
        <x:f>IF(C90="","",IF(AND(COUNT(I90:K90)=3,MIN(I90:K90)&gt;=0,MAX(I90:K90)&lt;=100,W90="Valid"),I90*IFERROR(INDEX('Taxonomy Rules'!$D$26:$D$37,MATCH(F90,'Taxonomy Rules'!$C$26:$C$37,0)),0)+J90*IFERROR(INDEX('Taxonomy Rules'!$E$26:$E$37,MATCH(F90,'Taxonomy Rules'!$C$26:$C$37,0)),0)+K90*IFERROR(INDEX('Taxonomy Rules'!$F$26:$F$37,MATCH(F90,'Taxonomy Rules'!$C$26:$C$37,0)),0),""))</x:f>
      </x:c>
      <x:c r="Q90" s="3" t="str">
        <x:f>IF(C90="","",IF(ISNUMBER(P90),IF(P90&gt;=80,"Strong",IF(P90&gt;=60,"Developing","Weak")),"Unrated"))</x:f>
      </x:c>
      <x:c r="R90" s="9" t="str">
        <x:f>IF(C90="","",COUNTIFS('Actions'!$D$9:$D$308,C90,'Actions'!$E$9:$E$308,"E&amp;S",'Actions'!$F$9:$F$308,"Critical",'Actions'!$P$9:$P$308,"&lt;&gt;Closed",'Actions'!$C$9:$C$308,"&lt;&gt;"))</x:f>
      </x:c>
      <x:c r="S90" s="9" t="str">
        <x:f>IF(C90="","",COUNTIFS('Actions'!$D$9:$D$308,C90,'Actions'!$Q$9:$Q$308,"Overdue",'Actions'!$C$9:$C$308,"&lt;&gt;"))</x:f>
      </x:c>
      <x:c r="T90" s="9" t="str">
        <x:f>IF(C90="","",IF(OR(COUNTIF($C$9:$C$108,C90)&lt;&gt;1,COUNTIF(Borrowers!$C$9:$C$108,C90)&lt;&gt;1),"Key review",IF(OR(L90="",O90="",NOT(OR(G90="High",G90="Moderate",G90="Low")),NOT(OR(H90="Yes",H90="No")),NOT(OR(X90="Standard",X90="Enhanced")),AND(G90="High",X90&lt;&gt;"Enhanced"),NOT(ISNUMBER(M90)),NOT(ISNUMBER(N90)),M90&gt;Settings!$F$8,N90&lt;M90,W90&lt;&gt;"Valid",NOT(ISNUMBER(P90)),COUNTIFS('Actions'!$D$9:$D$308,C90,'Actions'!$S$9:$S$308,"&lt;&gt;Valid",'Actions'!$C$9:$C$308,"&lt;&gt;")&gt;0),"Incomplete",IF(N90&lt;Settings!$F$8,"Expired","Current"))))</x:f>
      </x:c>
      <x:c r="U90" s="3" t="str">
        <x:f>IF(C90="","",IF(H90="Yes","Decline — prohibited",IF(R90&gt;0,"Hold — critical issue",IF(T90&lt;&gt;"Current","Hold — evidence",IF(V90&gt;0,"Conditions","Clear")))))</x:f>
      </x:c>
      <x:c r="V90" s="9" t="str">
        <x:f>IF(C90="","",COUNTIFS('Actions'!$D$9:$D$308,C90,'Actions'!$E$9:$E$308,"E&amp;S",'Actions'!$P$9:$P$308,"&lt;&gt;Closed",'Actions'!$C$9:$C$308,"&lt;&gt;"))</x:f>
      </x:c>
      <x:c r="W90" s="9" t="str">
        <x:f>IF(C90="","",IF(COUNTIF('Taxonomy Rules'!$C$26:$C$37,F90)&lt;&gt;1,"Sector missing",IF(AND(IFERROR(INDEX('Taxonomy Rules'!$D$26:$D$37,MATCH(F90,'Taxonomy Rules'!$C$26:$C$37,0)),0)&gt;=0,IFERROR(INDEX('Taxonomy Rules'!$E$26:$E$37,MATCH(F90,'Taxonomy Rules'!$C$26:$C$37,0)),0)&gt;=0,IFERROR(INDEX('Taxonomy Rules'!$F$26:$F$37,MATCH(F90,'Taxonomy Rules'!$C$26:$C$37,0)),0)&gt;=0,ABS(IFERROR(INDEX('Taxonomy Rules'!$D$26:$D$37,MATCH(F90,'Taxonomy Rules'!$C$26:$C$37,0)),0)+IFERROR(INDEX('Taxonomy Rules'!$E$26:$E$37,MATCH(F90,'Taxonomy Rules'!$C$26:$C$37,0)),0)+IFERROR(INDEX('Taxonomy Rules'!$F$26:$F$37,MATCH(F90,'Taxonomy Rules'!$C$26:$C$37,0)),0)-1)&lt;0.000001),"Valid","Check weights")))</x:f>
      </x:c>
      <x:c r="X90" s="8"/>
    </x:row>
    <x:row r="91" ht="38" customHeight="1">
      <x:c r="A91" s="1"/>
      <x:c r="B91" s="1"/>
      <x:c r="C91" s="8"/>
      <x:c r="D91" s="9" t="str">
        <x:f>IF(C91="","",IFERROR(INDEX('Borrowers'!$D$9:$D$108,MATCH(C91,'Borrowers'!$C$9:$C$108,0)),""))</x:f>
      </x:c>
      <x:c r="E91" s="9" t="str">
        <x:f>IF(C91="","",IFERROR(INDEX('Borrowers'!$E$9:$E$108,MATCH(C91,'Borrowers'!$C$9:$C$108,0)),""))</x:f>
      </x:c>
      <x:c r="F91" s="9" t="str">
        <x:f>IF(C91="","",IFERROR(INDEX('Borrowers'!$F$9:$F$108,MATCH(C91,'Borrowers'!$C$9:$C$108,0)),""))</x:f>
      </x:c>
      <x:c r="G91" s="8"/>
      <x:c r="H91" s="8"/>
      <x:c r="I91" s="8"/>
      <x:c r="J91" s="8"/>
      <x:c r="K91" s="8"/>
      <x:c r="L91" s="8"/>
      <x:c r="M91" s="10"/>
      <x:c r="N91" s="10"/>
      <x:c r="O91" s="8"/>
      <x:c r="P91" s="37" t="str">
        <x:f>IF(C91="","",IF(AND(COUNT(I91:K91)=3,MIN(I91:K91)&gt;=0,MAX(I91:K91)&lt;=100,W91="Valid"),I91*IFERROR(INDEX('Taxonomy Rules'!$D$26:$D$37,MATCH(F91,'Taxonomy Rules'!$C$26:$C$37,0)),0)+J91*IFERROR(INDEX('Taxonomy Rules'!$E$26:$E$37,MATCH(F91,'Taxonomy Rules'!$C$26:$C$37,0)),0)+K91*IFERROR(INDEX('Taxonomy Rules'!$F$26:$F$37,MATCH(F91,'Taxonomy Rules'!$C$26:$C$37,0)),0),""))</x:f>
      </x:c>
      <x:c r="Q91" s="3" t="str">
        <x:f>IF(C91="","",IF(ISNUMBER(P91),IF(P91&gt;=80,"Strong",IF(P91&gt;=60,"Developing","Weak")),"Unrated"))</x:f>
      </x:c>
      <x:c r="R91" s="9" t="str">
        <x:f>IF(C91="","",COUNTIFS('Actions'!$D$9:$D$308,C91,'Actions'!$E$9:$E$308,"E&amp;S",'Actions'!$F$9:$F$308,"Critical",'Actions'!$P$9:$P$308,"&lt;&gt;Closed",'Actions'!$C$9:$C$308,"&lt;&gt;"))</x:f>
      </x:c>
      <x:c r="S91" s="9" t="str">
        <x:f>IF(C91="","",COUNTIFS('Actions'!$D$9:$D$308,C91,'Actions'!$Q$9:$Q$308,"Overdue",'Actions'!$C$9:$C$308,"&lt;&gt;"))</x:f>
      </x:c>
      <x:c r="T91" s="9" t="str">
        <x:f>IF(C91="","",IF(OR(COUNTIF($C$9:$C$108,C91)&lt;&gt;1,COUNTIF(Borrowers!$C$9:$C$108,C91)&lt;&gt;1),"Key review",IF(OR(L91="",O91="",NOT(OR(G91="High",G91="Moderate",G91="Low")),NOT(OR(H91="Yes",H91="No")),NOT(OR(X91="Standard",X91="Enhanced")),AND(G91="High",X91&lt;&gt;"Enhanced"),NOT(ISNUMBER(M91)),NOT(ISNUMBER(N91)),M91&gt;Settings!$F$8,N91&lt;M91,W91&lt;&gt;"Valid",NOT(ISNUMBER(P91)),COUNTIFS('Actions'!$D$9:$D$308,C91,'Actions'!$S$9:$S$308,"&lt;&gt;Valid",'Actions'!$C$9:$C$308,"&lt;&gt;")&gt;0),"Incomplete",IF(N91&lt;Settings!$F$8,"Expired","Current"))))</x:f>
      </x:c>
      <x:c r="U91" s="3" t="str">
        <x:f>IF(C91="","",IF(H91="Yes","Decline — prohibited",IF(R91&gt;0,"Hold — critical issue",IF(T91&lt;&gt;"Current","Hold — evidence",IF(V91&gt;0,"Conditions","Clear")))))</x:f>
      </x:c>
      <x:c r="V91" s="9" t="str">
        <x:f>IF(C91="","",COUNTIFS('Actions'!$D$9:$D$308,C91,'Actions'!$E$9:$E$308,"E&amp;S",'Actions'!$P$9:$P$308,"&lt;&gt;Closed",'Actions'!$C$9:$C$308,"&lt;&gt;"))</x:f>
      </x:c>
      <x:c r="W91" s="9" t="str">
        <x:f>IF(C91="","",IF(COUNTIF('Taxonomy Rules'!$C$26:$C$37,F91)&lt;&gt;1,"Sector missing",IF(AND(IFERROR(INDEX('Taxonomy Rules'!$D$26:$D$37,MATCH(F91,'Taxonomy Rules'!$C$26:$C$37,0)),0)&gt;=0,IFERROR(INDEX('Taxonomy Rules'!$E$26:$E$37,MATCH(F91,'Taxonomy Rules'!$C$26:$C$37,0)),0)&gt;=0,IFERROR(INDEX('Taxonomy Rules'!$F$26:$F$37,MATCH(F91,'Taxonomy Rules'!$C$26:$C$37,0)),0)&gt;=0,ABS(IFERROR(INDEX('Taxonomy Rules'!$D$26:$D$37,MATCH(F91,'Taxonomy Rules'!$C$26:$C$37,0)),0)+IFERROR(INDEX('Taxonomy Rules'!$E$26:$E$37,MATCH(F91,'Taxonomy Rules'!$C$26:$C$37,0)),0)+IFERROR(INDEX('Taxonomy Rules'!$F$26:$F$37,MATCH(F91,'Taxonomy Rules'!$C$26:$C$37,0)),0)-1)&lt;0.000001),"Valid","Check weights")))</x:f>
      </x:c>
      <x:c r="X91" s="8"/>
    </x:row>
    <x:row r="92" ht="38" customHeight="1">
      <x:c r="A92" s="1"/>
      <x:c r="B92" s="1"/>
      <x:c r="C92" s="8"/>
      <x:c r="D92" s="9" t="str">
        <x:f>IF(C92="","",IFERROR(INDEX('Borrowers'!$D$9:$D$108,MATCH(C92,'Borrowers'!$C$9:$C$108,0)),""))</x:f>
      </x:c>
      <x:c r="E92" s="9" t="str">
        <x:f>IF(C92="","",IFERROR(INDEX('Borrowers'!$E$9:$E$108,MATCH(C92,'Borrowers'!$C$9:$C$108,0)),""))</x:f>
      </x:c>
      <x:c r="F92" s="9" t="str">
        <x:f>IF(C92="","",IFERROR(INDEX('Borrowers'!$F$9:$F$108,MATCH(C92,'Borrowers'!$C$9:$C$108,0)),""))</x:f>
      </x:c>
      <x:c r="G92" s="8"/>
      <x:c r="H92" s="8"/>
      <x:c r="I92" s="8"/>
      <x:c r="J92" s="8"/>
      <x:c r="K92" s="8"/>
      <x:c r="L92" s="8"/>
      <x:c r="M92" s="10"/>
      <x:c r="N92" s="10"/>
      <x:c r="O92" s="8"/>
      <x:c r="P92" s="37" t="str">
        <x:f>IF(C92="","",IF(AND(COUNT(I92:K92)=3,MIN(I92:K92)&gt;=0,MAX(I92:K92)&lt;=100,W92="Valid"),I92*IFERROR(INDEX('Taxonomy Rules'!$D$26:$D$37,MATCH(F92,'Taxonomy Rules'!$C$26:$C$37,0)),0)+J92*IFERROR(INDEX('Taxonomy Rules'!$E$26:$E$37,MATCH(F92,'Taxonomy Rules'!$C$26:$C$37,0)),0)+K92*IFERROR(INDEX('Taxonomy Rules'!$F$26:$F$37,MATCH(F92,'Taxonomy Rules'!$C$26:$C$37,0)),0),""))</x:f>
      </x:c>
      <x:c r="Q92" s="3" t="str">
        <x:f>IF(C92="","",IF(ISNUMBER(P92),IF(P92&gt;=80,"Strong",IF(P92&gt;=60,"Developing","Weak")),"Unrated"))</x:f>
      </x:c>
      <x:c r="R92" s="9" t="str">
        <x:f>IF(C92="","",COUNTIFS('Actions'!$D$9:$D$308,C92,'Actions'!$E$9:$E$308,"E&amp;S",'Actions'!$F$9:$F$308,"Critical",'Actions'!$P$9:$P$308,"&lt;&gt;Closed",'Actions'!$C$9:$C$308,"&lt;&gt;"))</x:f>
      </x:c>
      <x:c r="S92" s="9" t="str">
        <x:f>IF(C92="","",COUNTIFS('Actions'!$D$9:$D$308,C92,'Actions'!$Q$9:$Q$308,"Overdue",'Actions'!$C$9:$C$308,"&lt;&gt;"))</x:f>
      </x:c>
      <x:c r="T92" s="9" t="str">
        <x:f>IF(C92="","",IF(OR(COUNTIF($C$9:$C$108,C92)&lt;&gt;1,COUNTIF(Borrowers!$C$9:$C$108,C92)&lt;&gt;1),"Key review",IF(OR(L92="",O92="",NOT(OR(G92="High",G92="Moderate",G92="Low")),NOT(OR(H92="Yes",H92="No")),NOT(OR(X92="Standard",X92="Enhanced")),AND(G92="High",X92&lt;&gt;"Enhanced"),NOT(ISNUMBER(M92)),NOT(ISNUMBER(N92)),M92&gt;Settings!$F$8,N92&lt;M92,W92&lt;&gt;"Valid",NOT(ISNUMBER(P92)),COUNTIFS('Actions'!$D$9:$D$308,C92,'Actions'!$S$9:$S$308,"&lt;&gt;Valid",'Actions'!$C$9:$C$308,"&lt;&gt;")&gt;0),"Incomplete",IF(N92&lt;Settings!$F$8,"Expired","Current"))))</x:f>
      </x:c>
      <x:c r="U92" s="3" t="str">
        <x:f>IF(C92="","",IF(H92="Yes","Decline — prohibited",IF(R92&gt;0,"Hold — critical issue",IF(T92&lt;&gt;"Current","Hold — evidence",IF(V92&gt;0,"Conditions","Clear")))))</x:f>
      </x:c>
      <x:c r="V92" s="9" t="str">
        <x:f>IF(C92="","",COUNTIFS('Actions'!$D$9:$D$308,C92,'Actions'!$E$9:$E$308,"E&amp;S",'Actions'!$P$9:$P$308,"&lt;&gt;Closed",'Actions'!$C$9:$C$308,"&lt;&gt;"))</x:f>
      </x:c>
      <x:c r="W92" s="9" t="str">
        <x:f>IF(C92="","",IF(COUNTIF('Taxonomy Rules'!$C$26:$C$37,F92)&lt;&gt;1,"Sector missing",IF(AND(IFERROR(INDEX('Taxonomy Rules'!$D$26:$D$37,MATCH(F92,'Taxonomy Rules'!$C$26:$C$37,0)),0)&gt;=0,IFERROR(INDEX('Taxonomy Rules'!$E$26:$E$37,MATCH(F92,'Taxonomy Rules'!$C$26:$C$37,0)),0)&gt;=0,IFERROR(INDEX('Taxonomy Rules'!$F$26:$F$37,MATCH(F92,'Taxonomy Rules'!$C$26:$C$37,0)),0)&gt;=0,ABS(IFERROR(INDEX('Taxonomy Rules'!$D$26:$D$37,MATCH(F92,'Taxonomy Rules'!$C$26:$C$37,0)),0)+IFERROR(INDEX('Taxonomy Rules'!$E$26:$E$37,MATCH(F92,'Taxonomy Rules'!$C$26:$C$37,0)),0)+IFERROR(INDEX('Taxonomy Rules'!$F$26:$F$37,MATCH(F92,'Taxonomy Rules'!$C$26:$C$37,0)),0)-1)&lt;0.000001),"Valid","Check weights")))</x:f>
      </x:c>
      <x:c r="X92" s="8"/>
    </x:row>
    <x:row r="93" ht="38" customHeight="1">
      <x:c r="A93" s="1"/>
      <x:c r="B93" s="1"/>
      <x:c r="C93" s="8"/>
      <x:c r="D93" s="9" t="str">
        <x:f>IF(C93="","",IFERROR(INDEX('Borrowers'!$D$9:$D$108,MATCH(C93,'Borrowers'!$C$9:$C$108,0)),""))</x:f>
      </x:c>
      <x:c r="E93" s="9" t="str">
        <x:f>IF(C93="","",IFERROR(INDEX('Borrowers'!$E$9:$E$108,MATCH(C93,'Borrowers'!$C$9:$C$108,0)),""))</x:f>
      </x:c>
      <x:c r="F93" s="9" t="str">
        <x:f>IF(C93="","",IFERROR(INDEX('Borrowers'!$F$9:$F$108,MATCH(C93,'Borrowers'!$C$9:$C$108,0)),""))</x:f>
      </x:c>
      <x:c r="G93" s="8"/>
      <x:c r="H93" s="8"/>
      <x:c r="I93" s="8"/>
      <x:c r="J93" s="8"/>
      <x:c r="K93" s="8"/>
      <x:c r="L93" s="8"/>
      <x:c r="M93" s="10"/>
      <x:c r="N93" s="10"/>
      <x:c r="O93" s="8"/>
      <x:c r="P93" s="37" t="str">
        <x:f>IF(C93="","",IF(AND(COUNT(I93:K93)=3,MIN(I93:K93)&gt;=0,MAX(I93:K93)&lt;=100,W93="Valid"),I93*IFERROR(INDEX('Taxonomy Rules'!$D$26:$D$37,MATCH(F93,'Taxonomy Rules'!$C$26:$C$37,0)),0)+J93*IFERROR(INDEX('Taxonomy Rules'!$E$26:$E$37,MATCH(F93,'Taxonomy Rules'!$C$26:$C$37,0)),0)+K93*IFERROR(INDEX('Taxonomy Rules'!$F$26:$F$37,MATCH(F93,'Taxonomy Rules'!$C$26:$C$37,0)),0),""))</x:f>
      </x:c>
      <x:c r="Q93" s="3" t="str">
        <x:f>IF(C93="","",IF(ISNUMBER(P93),IF(P93&gt;=80,"Strong",IF(P93&gt;=60,"Developing","Weak")),"Unrated"))</x:f>
      </x:c>
      <x:c r="R93" s="9" t="str">
        <x:f>IF(C93="","",COUNTIFS('Actions'!$D$9:$D$308,C93,'Actions'!$E$9:$E$308,"E&amp;S",'Actions'!$F$9:$F$308,"Critical",'Actions'!$P$9:$P$308,"&lt;&gt;Closed",'Actions'!$C$9:$C$308,"&lt;&gt;"))</x:f>
      </x:c>
      <x:c r="S93" s="9" t="str">
        <x:f>IF(C93="","",COUNTIFS('Actions'!$D$9:$D$308,C93,'Actions'!$Q$9:$Q$308,"Overdue",'Actions'!$C$9:$C$308,"&lt;&gt;"))</x:f>
      </x:c>
      <x:c r="T93" s="9" t="str">
        <x:f>IF(C93="","",IF(OR(COUNTIF($C$9:$C$108,C93)&lt;&gt;1,COUNTIF(Borrowers!$C$9:$C$108,C93)&lt;&gt;1),"Key review",IF(OR(L93="",O93="",NOT(OR(G93="High",G93="Moderate",G93="Low")),NOT(OR(H93="Yes",H93="No")),NOT(OR(X93="Standard",X93="Enhanced")),AND(G93="High",X93&lt;&gt;"Enhanced"),NOT(ISNUMBER(M93)),NOT(ISNUMBER(N93)),M93&gt;Settings!$F$8,N93&lt;M93,W93&lt;&gt;"Valid",NOT(ISNUMBER(P93)),COUNTIFS('Actions'!$D$9:$D$308,C93,'Actions'!$S$9:$S$308,"&lt;&gt;Valid",'Actions'!$C$9:$C$308,"&lt;&gt;")&gt;0),"Incomplete",IF(N93&lt;Settings!$F$8,"Expired","Current"))))</x:f>
      </x:c>
      <x:c r="U93" s="3" t="str">
        <x:f>IF(C93="","",IF(H93="Yes","Decline — prohibited",IF(R93&gt;0,"Hold — critical issue",IF(T93&lt;&gt;"Current","Hold — evidence",IF(V93&gt;0,"Conditions","Clear")))))</x:f>
      </x:c>
      <x:c r="V93" s="9" t="str">
        <x:f>IF(C93="","",COUNTIFS('Actions'!$D$9:$D$308,C93,'Actions'!$E$9:$E$308,"E&amp;S",'Actions'!$P$9:$P$308,"&lt;&gt;Closed",'Actions'!$C$9:$C$308,"&lt;&gt;"))</x:f>
      </x:c>
      <x:c r="W93" s="9" t="str">
        <x:f>IF(C93="","",IF(COUNTIF('Taxonomy Rules'!$C$26:$C$37,F93)&lt;&gt;1,"Sector missing",IF(AND(IFERROR(INDEX('Taxonomy Rules'!$D$26:$D$37,MATCH(F93,'Taxonomy Rules'!$C$26:$C$37,0)),0)&gt;=0,IFERROR(INDEX('Taxonomy Rules'!$E$26:$E$37,MATCH(F93,'Taxonomy Rules'!$C$26:$C$37,0)),0)&gt;=0,IFERROR(INDEX('Taxonomy Rules'!$F$26:$F$37,MATCH(F93,'Taxonomy Rules'!$C$26:$C$37,0)),0)&gt;=0,ABS(IFERROR(INDEX('Taxonomy Rules'!$D$26:$D$37,MATCH(F93,'Taxonomy Rules'!$C$26:$C$37,0)),0)+IFERROR(INDEX('Taxonomy Rules'!$E$26:$E$37,MATCH(F93,'Taxonomy Rules'!$C$26:$C$37,0)),0)+IFERROR(INDEX('Taxonomy Rules'!$F$26:$F$37,MATCH(F93,'Taxonomy Rules'!$C$26:$C$37,0)),0)-1)&lt;0.000001),"Valid","Check weights")))</x:f>
      </x:c>
      <x:c r="X93" s="8"/>
    </x:row>
    <x:row r="94" ht="38" customHeight="1">
      <x:c r="A94" s="1"/>
      <x:c r="B94" s="1"/>
      <x:c r="C94" s="8"/>
      <x:c r="D94" s="9" t="str">
        <x:f>IF(C94="","",IFERROR(INDEX('Borrowers'!$D$9:$D$108,MATCH(C94,'Borrowers'!$C$9:$C$108,0)),""))</x:f>
      </x:c>
      <x:c r="E94" s="9" t="str">
        <x:f>IF(C94="","",IFERROR(INDEX('Borrowers'!$E$9:$E$108,MATCH(C94,'Borrowers'!$C$9:$C$108,0)),""))</x:f>
      </x:c>
      <x:c r="F94" s="9" t="str">
        <x:f>IF(C94="","",IFERROR(INDEX('Borrowers'!$F$9:$F$108,MATCH(C94,'Borrowers'!$C$9:$C$108,0)),""))</x:f>
      </x:c>
      <x:c r="G94" s="8"/>
      <x:c r="H94" s="8"/>
      <x:c r="I94" s="8"/>
      <x:c r="J94" s="8"/>
      <x:c r="K94" s="8"/>
      <x:c r="L94" s="8"/>
      <x:c r="M94" s="10"/>
      <x:c r="N94" s="10"/>
      <x:c r="O94" s="8"/>
      <x:c r="P94" s="37" t="str">
        <x:f>IF(C94="","",IF(AND(COUNT(I94:K94)=3,MIN(I94:K94)&gt;=0,MAX(I94:K94)&lt;=100,W94="Valid"),I94*IFERROR(INDEX('Taxonomy Rules'!$D$26:$D$37,MATCH(F94,'Taxonomy Rules'!$C$26:$C$37,0)),0)+J94*IFERROR(INDEX('Taxonomy Rules'!$E$26:$E$37,MATCH(F94,'Taxonomy Rules'!$C$26:$C$37,0)),0)+K94*IFERROR(INDEX('Taxonomy Rules'!$F$26:$F$37,MATCH(F94,'Taxonomy Rules'!$C$26:$C$37,0)),0),""))</x:f>
      </x:c>
      <x:c r="Q94" s="3" t="str">
        <x:f>IF(C94="","",IF(ISNUMBER(P94),IF(P94&gt;=80,"Strong",IF(P94&gt;=60,"Developing","Weak")),"Unrated"))</x:f>
      </x:c>
      <x:c r="R94" s="9" t="str">
        <x:f>IF(C94="","",COUNTIFS('Actions'!$D$9:$D$308,C94,'Actions'!$E$9:$E$308,"E&amp;S",'Actions'!$F$9:$F$308,"Critical",'Actions'!$P$9:$P$308,"&lt;&gt;Closed",'Actions'!$C$9:$C$308,"&lt;&gt;"))</x:f>
      </x:c>
      <x:c r="S94" s="9" t="str">
        <x:f>IF(C94="","",COUNTIFS('Actions'!$D$9:$D$308,C94,'Actions'!$Q$9:$Q$308,"Overdue",'Actions'!$C$9:$C$308,"&lt;&gt;"))</x:f>
      </x:c>
      <x:c r="T94" s="9" t="str">
        <x:f>IF(C94="","",IF(OR(COUNTIF($C$9:$C$108,C94)&lt;&gt;1,COUNTIF(Borrowers!$C$9:$C$108,C94)&lt;&gt;1),"Key review",IF(OR(L94="",O94="",NOT(OR(G94="High",G94="Moderate",G94="Low")),NOT(OR(H94="Yes",H94="No")),NOT(OR(X94="Standard",X94="Enhanced")),AND(G94="High",X94&lt;&gt;"Enhanced"),NOT(ISNUMBER(M94)),NOT(ISNUMBER(N94)),M94&gt;Settings!$F$8,N94&lt;M94,W94&lt;&gt;"Valid",NOT(ISNUMBER(P94)),COUNTIFS('Actions'!$D$9:$D$308,C94,'Actions'!$S$9:$S$308,"&lt;&gt;Valid",'Actions'!$C$9:$C$308,"&lt;&gt;")&gt;0),"Incomplete",IF(N94&lt;Settings!$F$8,"Expired","Current"))))</x:f>
      </x:c>
      <x:c r="U94" s="3" t="str">
        <x:f>IF(C94="","",IF(H94="Yes","Decline — prohibited",IF(R94&gt;0,"Hold — critical issue",IF(T94&lt;&gt;"Current","Hold — evidence",IF(V94&gt;0,"Conditions","Clear")))))</x:f>
      </x:c>
      <x:c r="V94" s="9" t="str">
        <x:f>IF(C94="","",COUNTIFS('Actions'!$D$9:$D$308,C94,'Actions'!$E$9:$E$308,"E&amp;S",'Actions'!$P$9:$P$308,"&lt;&gt;Closed",'Actions'!$C$9:$C$308,"&lt;&gt;"))</x:f>
      </x:c>
      <x:c r="W94" s="9" t="str">
        <x:f>IF(C94="","",IF(COUNTIF('Taxonomy Rules'!$C$26:$C$37,F94)&lt;&gt;1,"Sector missing",IF(AND(IFERROR(INDEX('Taxonomy Rules'!$D$26:$D$37,MATCH(F94,'Taxonomy Rules'!$C$26:$C$37,0)),0)&gt;=0,IFERROR(INDEX('Taxonomy Rules'!$E$26:$E$37,MATCH(F94,'Taxonomy Rules'!$C$26:$C$37,0)),0)&gt;=0,IFERROR(INDEX('Taxonomy Rules'!$F$26:$F$37,MATCH(F94,'Taxonomy Rules'!$C$26:$C$37,0)),0)&gt;=0,ABS(IFERROR(INDEX('Taxonomy Rules'!$D$26:$D$37,MATCH(F94,'Taxonomy Rules'!$C$26:$C$37,0)),0)+IFERROR(INDEX('Taxonomy Rules'!$E$26:$E$37,MATCH(F94,'Taxonomy Rules'!$C$26:$C$37,0)),0)+IFERROR(INDEX('Taxonomy Rules'!$F$26:$F$37,MATCH(F94,'Taxonomy Rules'!$C$26:$C$37,0)),0)-1)&lt;0.000001),"Valid","Check weights")))</x:f>
      </x:c>
      <x:c r="X94" s="8"/>
    </x:row>
    <x:row r="95" ht="38" customHeight="1">
      <x:c r="A95" s="1"/>
      <x:c r="B95" s="1"/>
      <x:c r="C95" s="8"/>
      <x:c r="D95" s="9" t="str">
        <x:f>IF(C95="","",IFERROR(INDEX('Borrowers'!$D$9:$D$108,MATCH(C95,'Borrowers'!$C$9:$C$108,0)),""))</x:f>
      </x:c>
      <x:c r="E95" s="9" t="str">
        <x:f>IF(C95="","",IFERROR(INDEX('Borrowers'!$E$9:$E$108,MATCH(C95,'Borrowers'!$C$9:$C$108,0)),""))</x:f>
      </x:c>
      <x:c r="F95" s="9" t="str">
        <x:f>IF(C95="","",IFERROR(INDEX('Borrowers'!$F$9:$F$108,MATCH(C95,'Borrowers'!$C$9:$C$108,0)),""))</x:f>
      </x:c>
      <x:c r="G95" s="8"/>
      <x:c r="H95" s="8"/>
      <x:c r="I95" s="8"/>
      <x:c r="J95" s="8"/>
      <x:c r="K95" s="8"/>
      <x:c r="L95" s="8"/>
      <x:c r="M95" s="10"/>
      <x:c r="N95" s="10"/>
      <x:c r="O95" s="8"/>
      <x:c r="P95" s="37" t="str">
        <x:f>IF(C95="","",IF(AND(COUNT(I95:K95)=3,MIN(I95:K95)&gt;=0,MAX(I95:K95)&lt;=100,W95="Valid"),I95*IFERROR(INDEX('Taxonomy Rules'!$D$26:$D$37,MATCH(F95,'Taxonomy Rules'!$C$26:$C$37,0)),0)+J95*IFERROR(INDEX('Taxonomy Rules'!$E$26:$E$37,MATCH(F95,'Taxonomy Rules'!$C$26:$C$37,0)),0)+K95*IFERROR(INDEX('Taxonomy Rules'!$F$26:$F$37,MATCH(F95,'Taxonomy Rules'!$C$26:$C$37,0)),0),""))</x:f>
      </x:c>
      <x:c r="Q95" s="3" t="str">
        <x:f>IF(C95="","",IF(ISNUMBER(P95),IF(P95&gt;=80,"Strong",IF(P95&gt;=60,"Developing","Weak")),"Unrated"))</x:f>
      </x:c>
      <x:c r="R95" s="9" t="str">
        <x:f>IF(C95="","",COUNTIFS('Actions'!$D$9:$D$308,C95,'Actions'!$E$9:$E$308,"E&amp;S",'Actions'!$F$9:$F$308,"Critical",'Actions'!$P$9:$P$308,"&lt;&gt;Closed",'Actions'!$C$9:$C$308,"&lt;&gt;"))</x:f>
      </x:c>
      <x:c r="S95" s="9" t="str">
        <x:f>IF(C95="","",COUNTIFS('Actions'!$D$9:$D$308,C95,'Actions'!$Q$9:$Q$308,"Overdue",'Actions'!$C$9:$C$308,"&lt;&gt;"))</x:f>
      </x:c>
      <x:c r="T95" s="9" t="str">
        <x:f>IF(C95="","",IF(OR(COUNTIF($C$9:$C$108,C95)&lt;&gt;1,COUNTIF(Borrowers!$C$9:$C$108,C95)&lt;&gt;1),"Key review",IF(OR(L95="",O95="",NOT(OR(G95="High",G95="Moderate",G95="Low")),NOT(OR(H95="Yes",H95="No")),NOT(OR(X95="Standard",X95="Enhanced")),AND(G95="High",X95&lt;&gt;"Enhanced"),NOT(ISNUMBER(M95)),NOT(ISNUMBER(N95)),M95&gt;Settings!$F$8,N95&lt;M95,W95&lt;&gt;"Valid",NOT(ISNUMBER(P95)),COUNTIFS('Actions'!$D$9:$D$308,C95,'Actions'!$S$9:$S$308,"&lt;&gt;Valid",'Actions'!$C$9:$C$308,"&lt;&gt;")&gt;0),"Incomplete",IF(N95&lt;Settings!$F$8,"Expired","Current"))))</x:f>
      </x:c>
      <x:c r="U95" s="3" t="str">
        <x:f>IF(C95="","",IF(H95="Yes","Decline — prohibited",IF(R95&gt;0,"Hold — critical issue",IF(T95&lt;&gt;"Current","Hold — evidence",IF(V95&gt;0,"Conditions","Clear")))))</x:f>
      </x:c>
      <x:c r="V95" s="9" t="str">
        <x:f>IF(C95="","",COUNTIFS('Actions'!$D$9:$D$308,C95,'Actions'!$E$9:$E$308,"E&amp;S",'Actions'!$P$9:$P$308,"&lt;&gt;Closed",'Actions'!$C$9:$C$308,"&lt;&gt;"))</x:f>
      </x:c>
      <x:c r="W95" s="9" t="str">
        <x:f>IF(C95="","",IF(COUNTIF('Taxonomy Rules'!$C$26:$C$37,F95)&lt;&gt;1,"Sector missing",IF(AND(IFERROR(INDEX('Taxonomy Rules'!$D$26:$D$37,MATCH(F95,'Taxonomy Rules'!$C$26:$C$37,0)),0)&gt;=0,IFERROR(INDEX('Taxonomy Rules'!$E$26:$E$37,MATCH(F95,'Taxonomy Rules'!$C$26:$C$37,0)),0)&gt;=0,IFERROR(INDEX('Taxonomy Rules'!$F$26:$F$37,MATCH(F95,'Taxonomy Rules'!$C$26:$C$37,0)),0)&gt;=0,ABS(IFERROR(INDEX('Taxonomy Rules'!$D$26:$D$37,MATCH(F95,'Taxonomy Rules'!$C$26:$C$37,0)),0)+IFERROR(INDEX('Taxonomy Rules'!$E$26:$E$37,MATCH(F95,'Taxonomy Rules'!$C$26:$C$37,0)),0)+IFERROR(INDEX('Taxonomy Rules'!$F$26:$F$37,MATCH(F95,'Taxonomy Rules'!$C$26:$C$37,0)),0)-1)&lt;0.000001),"Valid","Check weights")))</x:f>
      </x:c>
      <x:c r="X95" s="8"/>
    </x:row>
    <x:row r="96" ht="38" customHeight="1">
      <x:c r="A96" s="1"/>
      <x:c r="B96" s="1"/>
      <x:c r="C96" s="8"/>
      <x:c r="D96" s="9" t="str">
        <x:f>IF(C96="","",IFERROR(INDEX('Borrowers'!$D$9:$D$108,MATCH(C96,'Borrowers'!$C$9:$C$108,0)),""))</x:f>
      </x:c>
      <x:c r="E96" s="9" t="str">
        <x:f>IF(C96="","",IFERROR(INDEX('Borrowers'!$E$9:$E$108,MATCH(C96,'Borrowers'!$C$9:$C$108,0)),""))</x:f>
      </x:c>
      <x:c r="F96" s="9" t="str">
        <x:f>IF(C96="","",IFERROR(INDEX('Borrowers'!$F$9:$F$108,MATCH(C96,'Borrowers'!$C$9:$C$108,0)),""))</x:f>
      </x:c>
      <x:c r="G96" s="8"/>
      <x:c r="H96" s="8"/>
      <x:c r="I96" s="8"/>
      <x:c r="J96" s="8"/>
      <x:c r="K96" s="8"/>
      <x:c r="L96" s="8"/>
      <x:c r="M96" s="10"/>
      <x:c r="N96" s="10"/>
      <x:c r="O96" s="8"/>
      <x:c r="P96" s="37" t="str">
        <x:f>IF(C96="","",IF(AND(COUNT(I96:K96)=3,MIN(I96:K96)&gt;=0,MAX(I96:K96)&lt;=100,W96="Valid"),I96*IFERROR(INDEX('Taxonomy Rules'!$D$26:$D$37,MATCH(F96,'Taxonomy Rules'!$C$26:$C$37,0)),0)+J96*IFERROR(INDEX('Taxonomy Rules'!$E$26:$E$37,MATCH(F96,'Taxonomy Rules'!$C$26:$C$37,0)),0)+K96*IFERROR(INDEX('Taxonomy Rules'!$F$26:$F$37,MATCH(F96,'Taxonomy Rules'!$C$26:$C$37,0)),0),""))</x:f>
      </x:c>
      <x:c r="Q96" s="3" t="str">
        <x:f>IF(C96="","",IF(ISNUMBER(P96),IF(P96&gt;=80,"Strong",IF(P96&gt;=60,"Developing","Weak")),"Unrated"))</x:f>
      </x:c>
      <x:c r="R96" s="9" t="str">
        <x:f>IF(C96="","",COUNTIFS('Actions'!$D$9:$D$308,C96,'Actions'!$E$9:$E$308,"E&amp;S",'Actions'!$F$9:$F$308,"Critical",'Actions'!$P$9:$P$308,"&lt;&gt;Closed",'Actions'!$C$9:$C$308,"&lt;&gt;"))</x:f>
      </x:c>
      <x:c r="S96" s="9" t="str">
        <x:f>IF(C96="","",COUNTIFS('Actions'!$D$9:$D$308,C96,'Actions'!$Q$9:$Q$308,"Overdue",'Actions'!$C$9:$C$308,"&lt;&gt;"))</x:f>
      </x:c>
      <x:c r="T96" s="9" t="str">
        <x:f>IF(C96="","",IF(OR(COUNTIF($C$9:$C$108,C96)&lt;&gt;1,COUNTIF(Borrowers!$C$9:$C$108,C96)&lt;&gt;1),"Key review",IF(OR(L96="",O96="",NOT(OR(G96="High",G96="Moderate",G96="Low")),NOT(OR(H96="Yes",H96="No")),NOT(OR(X96="Standard",X96="Enhanced")),AND(G96="High",X96&lt;&gt;"Enhanced"),NOT(ISNUMBER(M96)),NOT(ISNUMBER(N96)),M96&gt;Settings!$F$8,N96&lt;M96,W96&lt;&gt;"Valid",NOT(ISNUMBER(P96)),COUNTIFS('Actions'!$D$9:$D$308,C96,'Actions'!$S$9:$S$308,"&lt;&gt;Valid",'Actions'!$C$9:$C$308,"&lt;&gt;")&gt;0),"Incomplete",IF(N96&lt;Settings!$F$8,"Expired","Current"))))</x:f>
      </x:c>
      <x:c r="U96" s="3" t="str">
        <x:f>IF(C96="","",IF(H96="Yes","Decline — prohibited",IF(R96&gt;0,"Hold — critical issue",IF(T96&lt;&gt;"Current","Hold — evidence",IF(V96&gt;0,"Conditions","Clear")))))</x:f>
      </x:c>
      <x:c r="V96" s="9" t="str">
        <x:f>IF(C96="","",COUNTIFS('Actions'!$D$9:$D$308,C96,'Actions'!$E$9:$E$308,"E&amp;S",'Actions'!$P$9:$P$308,"&lt;&gt;Closed",'Actions'!$C$9:$C$308,"&lt;&gt;"))</x:f>
      </x:c>
      <x:c r="W96" s="9" t="str">
        <x:f>IF(C96="","",IF(COUNTIF('Taxonomy Rules'!$C$26:$C$37,F96)&lt;&gt;1,"Sector missing",IF(AND(IFERROR(INDEX('Taxonomy Rules'!$D$26:$D$37,MATCH(F96,'Taxonomy Rules'!$C$26:$C$37,0)),0)&gt;=0,IFERROR(INDEX('Taxonomy Rules'!$E$26:$E$37,MATCH(F96,'Taxonomy Rules'!$C$26:$C$37,0)),0)&gt;=0,IFERROR(INDEX('Taxonomy Rules'!$F$26:$F$37,MATCH(F96,'Taxonomy Rules'!$C$26:$C$37,0)),0)&gt;=0,ABS(IFERROR(INDEX('Taxonomy Rules'!$D$26:$D$37,MATCH(F96,'Taxonomy Rules'!$C$26:$C$37,0)),0)+IFERROR(INDEX('Taxonomy Rules'!$E$26:$E$37,MATCH(F96,'Taxonomy Rules'!$C$26:$C$37,0)),0)+IFERROR(INDEX('Taxonomy Rules'!$F$26:$F$37,MATCH(F96,'Taxonomy Rules'!$C$26:$C$37,0)),0)-1)&lt;0.000001),"Valid","Check weights")))</x:f>
      </x:c>
      <x:c r="X96" s="8"/>
    </x:row>
    <x:row r="97" ht="38" customHeight="1">
      <x:c r="A97" s="1"/>
      <x:c r="B97" s="1"/>
      <x:c r="C97" s="8"/>
      <x:c r="D97" s="9" t="str">
        <x:f>IF(C97="","",IFERROR(INDEX('Borrowers'!$D$9:$D$108,MATCH(C97,'Borrowers'!$C$9:$C$108,0)),""))</x:f>
      </x:c>
      <x:c r="E97" s="9" t="str">
        <x:f>IF(C97="","",IFERROR(INDEX('Borrowers'!$E$9:$E$108,MATCH(C97,'Borrowers'!$C$9:$C$108,0)),""))</x:f>
      </x:c>
      <x:c r="F97" s="9" t="str">
        <x:f>IF(C97="","",IFERROR(INDEX('Borrowers'!$F$9:$F$108,MATCH(C97,'Borrowers'!$C$9:$C$108,0)),""))</x:f>
      </x:c>
      <x:c r="G97" s="8"/>
      <x:c r="H97" s="8"/>
      <x:c r="I97" s="8"/>
      <x:c r="J97" s="8"/>
      <x:c r="K97" s="8"/>
      <x:c r="L97" s="8"/>
      <x:c r="M97" s="10"/>
      <x:c r="N97" s="10"/>
      <x:c r="O97" s="8"/>
      <x:c r="P97" s="37" t="str">
        <x:f>IF(C97="","",IF(AND(COUNT(I97:K97)=3,MIN(I97:K97)&gt;=0,MAX(I97:K97)&lt;=100,W97="Valid"),I97*IFERROR(INDEX('Taxonomy Rules'!$D$26:$D$37,MATCH(F97,'Taxonomy Rules'!$C$26:$C$37,0)),0)+J97*IFERROR(INDEX('Taxonomy Rules'!$E$26:$E$37,MATCH(F97,'Taxonomy Rules'!$C$26:$C$37,0)),0)+K97*IFERROR(INDEX('Taxonomy Rules'!$F$26:$F$37,MATCH(F97,'Taxonomy Rules'!$C$26:$C$37,0)),0),""))</x:f>
      </x:c>
      <x:c r="Q97" s="3" t="str">
        <x:f>IF(C97="","",IF(ISNUMBER(P97),IF(P97&gt;=80,"Strong",IF(P97&gt;=60,"Developing","Weak")),"Unrated"))</x:f>
      </x:c>
      <x:c r="R97" s="9" t="str">
        <x:f>IF(C97="","",COUNTIFS('Actions'!$D$9:$D$308,C97,'Actions'!$E$9:$E$308,"E&amp;S",'Actions'!$F$9:$F$308,"Critical",'Actions'!$P$9:$P$308,"&lt;&gt;Closed",'Actions'!$C$9:$C$308,"&lt;&gt;"))</x:f>
      </x:c>
      <x:c r="S97" s="9" t="str">
        <x:f>IF(C97="","",COUNTIFS('Actions'!$D$9:$D$308,C97,'Actions'!$Q$9:$Q$308,"Overdue",'Actions'!$C$9:$C$308,"&lt;&gt;"))</x:f>
      </x:c>
      <x:c r="T97" s="9" t="str">
        <x:f>IF(C97="","",IF(OR(COUNTIF($C$9:$C$108,C97)&lt;&gt;1,COUNTIF(Borrowers!$C$9:$C$108,C97)&lt;&gt;1),"Key review",IF(OR(L97="",O97="",NOT(OR(G97="High",G97="Moderate",G97="Low")),NOT(OR(H97="Yes",H97="No")),NOT(OR(X97="Standard",X97="Enhanced")),AND(G97="High",X97&lt;&gt;"Enhanced"),NOT(ISNUMBER(M97)),NOT(ISNUMBER(N97)),M97&gt;Settings!$F$8,N97&lt;M97,W97&lt;&gt;"Valid",NOT(ISNUMBER(P97)),COUNTIFS('Actions'!$D$9:$D$308,C97,'Actions'!$S$9:$S$308,"&lt;&gt;Valid",'Actions'!$C$9:$C$308,"&lt;&gt;")&gt;0),"Incomplete",IF(N97&lt;Settings!$F$8,"Expired","Current"))))</x:f>
      </x:c>
      <x:c r="U97" s="3" t="str">
        <x:f>IF(C97="","",IF(H97="Yes","Decline — prohibited",IF(R97&gt;0,"Hold — critical issue",IF(T97&lt;&gt;"Current","Hold — evidence",IF(V97&gt;0,"Conditions","Clear")))))</x:f>
      </x:c>
      <x:c r="V97" s="9" t="str">
        <x:f>IF(C97="","",COUNTIFS('Actions'!$D$9:$D$308,C97,'Actions'!$E$9:$E$308,"E&amp;S",'Actions'!$P$9:$P$308,"&lt;&gt;Closed",'Actions'!$C$9:$C$308,"&lt;&gt;"))</x:f>
      </x:c>
      <x:c r="W97" s="9" t="str">
        <x:f>IF(C97="","",IF(COUNTIF('Taxonomy Rules'!$C$26:$C$37,F97)&lt;&gt;1,"Sector missing",IF(AND(IFERROR(INDEX('Taxonomy Rules'!$D$26:$D$37,MATCH(F97,'Taxonomy Rules'!$C$26:$C$37,0)),0)&gt;=0,IFERROR(INDEX('Taxonomy Rules'!$E$26:$E$37,MATCH(F97,'Taxonomy Rules'!$C$26:$C$37,0)),0)&gt;=0,IFERROR(INDEX('Taxonomy Rules'!$F$26:$F$37,MATCH(F97,'Taxonomy Rules'!$C$26:$C$37,0)),0)&gt;=0,ABS(IFERROR(INDEX('Taxonomy Rules'!$D$26:$D$37,MATCH(F97,'Taxonomy Rules'!$C$26:$C$37,0)),0)+IFERROR(INDEX('Taxonomy Rules'!$E$26:$E$37,MATCH(F97,'Taxonomy Rules'!$C$26:$C$37,0)),0)+IFERROR(INDEX('Taxonomy Rules'!$F$26:$F$37,MATCH(F97,'Taxonomy Rules'!$C$26:$C$37,0)),0)-1)&lt;0.000001),"Valid","Check weights")))</x:f>
      </x:c>
      <x:c r="X97" s="8"/>
    </x:row>
    <x:row r="98" ht="38" customHeight="1">
      <x:c r="A98" s="1"/>
      <x:c r="B98" s="1"/>
      <x:c r="C98" s="8"/>
      <x:c r="D98" s="9" t="str">
        <x:f>IF(C98="","",IFERROR(INDEX('Borrowers'!$D$9:$D$108,MATCH(C98,'Borrowers'!$C$9:$C$108,0)),""))</x:f>
      </x:c>
      <x:c r="E98" s="9" t="str">
        <x:f>IF(C98="","",IFERROR(INDEX('Borrowers'!$E$9:$E$108,MATCH(C98,'Borrowers'!$C$9:$C$108,0)),""))</x:f>
      </x:c>
      <x:c r="F98" s="9" t="str">
        <x:f>IF(C98="","",IFERROR(INDEX('Borrowers'!$F$9:$F$108,MATCH(C98,'Borrowers'!$C$9:$C$108,0)),""))</x:f>
      </x:c>
      <x:c r="G98" s="8"/>
      <x:c r="H98" s="8"/>
      <x:c r="I98" s="8"/>
      <x:c r="J98" s="8"/>
      <x:c r="K98" s="8"/>
      <x:c r="L98" s="8"/>
      <x:c r="M98" s="10"/>
      <x:c r="N98" s="10"/>
      <x:c r="O98" s="8"/>
      <x:c r="P98" s="37" t="str">
        <x:f>IF(C98="","",IF(AND(COUNT(I98:K98)=3,MIN(I98:K98)&gt;=0,MAX(I98:K98)&lt;=100,W98="Valid"),I98*IFERROR(INDEX('Taxonomy Rules'!$D$26:$D$37,MATCH(F98,'Taxonomy Rules'!$C$26:$C$37,0)),0)+J98*IFERROR(INDEX('Taxonomy Rules'!$E$26:$E$37,MATCH(F98,'Taxonomy Rules'!$C$26:$C$37,0)),0)+K98*IFERROR(INDEX('Taxonomy Rules'!$F$26:$F$37,MATCH(F98,'Taxonomy Rules'!$C$26:$C$37,0)),0),""))</x:f>
      </x:c>
      <x:c r="Q98" s="3" t="str">
        <x:f>IF(C98="","",IF(ISNUMBER(P98),IF(P98&gt;=80,"Strong",IF(P98&gt;=60,"Developing","Weak")),"Unrated"))</x:f>
      </x:c>
      <x:c r="R98" s="9" t="str">
        <x:f>IF(C98="","",COUNTIFS('Actions'!$D$9:$D$308,C98,'Actions'!$E$9:$E$308,"E&amp;S",'Actions'!$F$9:$F$308,"Critical",'Actions'!$P$9:$P$308,"&lt;&gt;Closed",'Actions'!$C$9:$C$308,"&lt;&gt;"))</x:f>
      </x:c>
      <x:c r="S98" s="9" t="str">
        <x:f>IF(C98="","",COUNTIFS('Actions'!$D$9:$D$308,C98,'Actions'!$Q$9:$Q$308,"Overdue",'Actions'!$C$9:$C$308,"&lt;&gt;"))</x:f>
      </x:c>
      <x:c r="T98" s="9" t="str">
        <x:f>IF(C98="","",IF(OR(COUNTIF($C$9:$C$108,C98)&lt;&gt;1,COUNTIF(Borrowers!$C$9:$C$108,C98)&lt;&gt;1),"Key review",IF(OR(L98="",O98="",NOT(OR(G98="High",G98="Moderate",G98="Low")),NOT(OR(H98="Yes",H98="No")),NOT(OR(X98="Standard",X98="Enhanced")),AND(G98="High",X98&lt;&gt;"Enhanced"),NOT(ISNUMBER(M98)),NOT(ISNUMBER(N98)),M98&gt;Settings!$F$8,N98&lt;M98,W98&lt;&gt;"Valid",NOT(ISNUMBER(P98)),COUNTIFS('Actions'!$D$9:$D$308,C98,'Actions'!$S$9:$S$308,"&lt;&gt;Valid",'Actions'!$C$9:$C$308,"&lt;&gt;")&gt;0),"Incomplete",IF(N98&lt;Settings!$F$8,"Expired","Current"))))</x:f>
      </x:c>
      <x:c r="U98" s="3" t="str">
        <x:f>IF(C98="","",IF(H98="Yes","Decline — prohibited",IF(R98&gt;0,"Hold — critical issue",IF(T98&lt;&gt;"Current","Hold — evidence",IF(V98&gt;0,"Conditions","Clear")))))</x:f>
      </x:c>
      <x:c r="V98" s="9" t="str">
        <x:f>IF(C98="","",COUNTIFS('Actions'!$D$9:$D$308,C98,'Actions'!$E$9:$E$308,"E&amp;S",'Actions'!$P$9:$P$308,"&lt;&gt;Closed",'Actions'!$C$9:$C$308,"&lt;&gt;"))</x:f>
      </x:c>
      <x:c r="W98" s="9" t="str">
        <x:f>IF(C98="","",IF(COUNTIF('Taxonomy Rules'!$C$26:$C$37,F98)&lt;&gt;1,"Sector missing",IF(AND(IFERROR(INDEX('Taxonomy Rules'!$D$26:$D$37,MATCH(F98,'Taxonomy Rules'!$C$26:$C$37,0)),0)&gt;=0,IFERROR(INDEX('Taxonomy Rules'!$E$26:$E$37,MATCH(F98,'Taxonomy Rules'!$C$26:$C$37,0)),0)&gt;=0,IFERROR(INDEX('Taxonomy Rules'!$F$26:$F$37,MATCH(F98,'Taxonomy Rules'!$C$26:$C$37,0)),0)&gt;=0,ABS(IFERROR(INDEX('Taxonomy Rules'!$D$26:$D$37,MATCH(F98,'Taxonomy Rules'!$C$26:$C$37,0)),0)+IFERROR(INDEX('Taxonomy Rules'!$E$26:$E$37,MATCH(F98,'Taxonomy Rules'!$C$26:$C$37,0)),0)+IFERROR(INDEX('Taxonomy Rules'!$F$26:$F$37,MATCH(F98,'Taxonomy Rules'!$C$26:$C$37,0)),0)-1)&lt;0.000001),"Valid","Check weights")))</x:f>
      </x:c>
      <x:c r="X98" s="8"/>
    </x:row>
    <x:row r="99" ht="38" customHeight="1">
      <x:c r="A99" s="1"/>
      <x:c r="B99" s="1"/>
      <x:c r="C99" s="8"/>
      <x:c r="D99" s="9" t="str">
        <x:f>IF(C99="","",IFERROR(INDEX('Borrowers'!$D$9:$D$108,MATCH(C99,'Borrowers'!$C$9:$C$108,0)),""))</x:f>
      </x:c>
      <x:c r="E99" s="9" t="str">
        <x:f>IF(C99="","",IFERROR(INDEX('Borrowers'!$E$9:$E$108,MATCH(C99,'Borrowers'!$C$9:$C$108,0)),""))</x:f>
      </x:c>
      <x:c r="F99" s="9" t="str">
        <x:f>IF(C99="","",IFERROR(INDEX('Borrowers'!$F$9:$F$108,MATCH(C99,'Borrowers'!$C$9:$C$108,0)),""))</x:f>
      </x:c>
      <x:c r="G99" s="8"/>
      <x:c r="H99" s="8"/>
      <x:c r="I99" s="8"/>
      <x:c r="J99" s="8"/>
      <x:c r="K99" s="8"/>
      <x:c r="L99" s="8"/>
      <x:c r="M99" s="10"/>
      <x:c r="N99" s="10"/>
      <x:c r="O99" s="8"/>
      <x:c r="P99" s="37" t="str">
        <x:f>IF(C99="","",IF(AND(COUNT(I99:K99)=3,MIN(I99:K99)&gt;=0,MAX(I99:K99)&lt;=100,W99="Valid"),I99*IFERROR(INDEX('Taxonomy Rules'!$D$26:$D$37,MATCH(F99,'Taxonomy Rules'!$C$26:$C$37,0)),0)+J99*IFERROR(INDEX('Taxonomy Rules'!$E$26:$E$37,MATCH(F99,'Taxonomy Rules'!$C$26:$C$37,0)),0)+K99*IFERROR(INDEX('Taxonomy Rules'!$F$26:$F$37,MATCH(F99,'Taxonomy Rules'!$C$26:$C$37,0)),0),""))</x:f>
      </x:c>
      <x:c r="Q99" s="3" t="str">
        <x:f>IF(C99="","",IF(ISNUMBER(P99),IF(P99&gt;=80,"Strong",IF(P99&gt;=60,"Developing","Weak")),"Unrated"))</x:f>
      </x:c>
      <x:c r="R99" s="9" t="str">
        <x:f>IF(C99="","",COUNTIFS('Actions'!$D$9:$D$308,C99,'Actions'!$E$9:$E$308,"E&amp;S",'Actions'!$F$9:$F$308,"Critical",'Actions'!$P$9:$P$308,"&lt;&gt;Closed",'Actions'!$C$9:$C$308,"&lt;&gt;"))</x:f>
      </x:c>
      <x:c r="S99" s="9" t="str">
        <x:f>IF(C99="","",COUNTIFS('Actions'!$D$9:$D$308,C99,'Actions'!$Q$9:$Q$308,"Overdue",'Actions'!$C$9:$C$308,"&lt;&gt;"))</x:f>
      </x:c>
      <x:c r="T99" s="9" t="str">
        <x:f>IF(C99="","",IF(OR(COUNTIF($C$9:$C$108,C99)&lt;&gt;1,COUNTIF(Borrowers!$C$9:$C$108,C99)&lt;&gt;1),"Key review",IF(OR(L99="",O99="",NOT(OR(G99="High",G99="Moderate",G99="Low")),NOT(OR(H99="Yes",H99="No")),NOT(OR(X99="Standard",X99="Enhanced")),AND(G99="High",X99&lt;&gt;"Enhanced"),NOT(ISNUMBER(M99)),NOT(ISNUMBER(N99)),M99&gt;Settings!$F$8,N99&lt;M99,W99&lt;&gt;"Valid",NOT(ISNUMBER(P99)),COUNTIFS('Actions'!$D$9:$D$308,C99,'Actions'!$S$9:$S$308,"&lt;&gt;Valid",'Actions'!$C$9:$C$308,"&lt;&gt;")&gt;0),"Incomplete",IF(N99&lt;Settings!$F$8,"Expired","Current"))))</x:f>
      </x:c>
      <x:c r="U99" s="3" t="str">
        <x:f>IF(C99="","",IF(H99="Yes","Decline — prohibited",IF(R99&gt;0,"Hold — critical issue",IF(T99&lt;&gt;"Current","Hold — evidence",IF(V99&gt;0,"Conditions","Clear")))))</x:f>
      </x:c>
      <x:c r="V99" s="9" t="str">
        <x:f>IF(C99="","",COUNTIFS('Actions'!$D$9:$D$308,C99,'Actions'!$E$9:$E$308,"E&amp;S",'Actions'!$P$9:$P$308,"&lt;&gt;Closed",'Actions'!$C$9:$C$308,"&lt;&gt;"))</x:f>
      </x:c>
      <x:c r="W99" s="9" t="str">
        <x:f>IF(C99="","",IF(COUNTIF('Taxonomy Rules'!$C$26:$C$37,F99)&lt;&gt;1,"Sector missing",IF(AND(IFERROR(INDEX('Taxonomy Rules'!$D$26:$D$37,MATCH(F99,'Taxonomy Rules'!$C$26:$C$37,0)),0)&gt;=0,IFERROR(INDEX('Taxonomy Rules'!$E$26:$E$37,MATCH(F99,'Taxonomy Rules'!$C$26:$C$37,0)),0)&gt;=0,IFERROR(INDEX('Taxonomy Rules'!$F$26:$F$37,MATCH(F99,'Taxonomy Rules'!$C$26:$C$37,0)),0)&gt;=0,ABS(IFERROR(INDEX('Taxonomy Rules'!$D$26:$D$37,MATCH(F99,'Taxonomy Rules'!$C$26:$C$37,0)),0)+IFERROR(INDEX('Taxonomy Rules'!$E$26:$E$37,MATCH(F99,'Taxonomy Rules'!$C$26:$C$37,0)),0)+IFERROR(INDEX('Taxonomy Rules'!$F$26:$F$37,MATCH(F99,'Taxonomy Rules'!$C$26:$C$37,0)),0)-1)&lt;0.000001),"Valid","Check weights")))</x:f>
      </x:c>
      <x:c r="X99" s="8"/>
    </x:row>
    <x:row r="100" ht="38" customHeight="1">
      <x:c r="A100" s="1"/>
      <x:c r="B100" s="1"/>
      <x:c r="C100" s="8"/>
      <x:c r="D100" s="9" t="str">
        <x:f>IF(C100="","",IFERROR(INDEX('Borrowers'!$D$9:$D$108,MATCH(C100,'Borrowers'!$C$9:$C$108,0)),""))</x:f>
      </x:c>
      <x:c r="E100" s="9" t="str">
        <x:f>IF(C100="","",IFERROR(INDEX('Borrowers'!$E$9:$E$108,MATCH(C100,'Borrowers'!$C$9:$C$108,0)),""))</x:f>
      </x:c>
      <x:c r="F100" s="9" t="str">
        <x:f>IF(C100="","",IFERROR(INDEX('Borrowers'!$F$9:$F$108,MATCH(C100,'Borrowers'!$C$9:$C$108,0)),""))</x:f>
      </x:c>
      <x:c r="G100" s="8"/>
      <x:c r="H100" s="8"/>
      <x:c r="I100" s="8"/>
      <x:c r="J100" s="8"/>
      <x:c r="K100" s="8"/>
      <x:c r="L100" s="8"/>
      <x:c r="M100" s="10"/>
      <x:c r="N100" s="10"/>
      <x:c r="O100" s="8"/>
      <x:c r="P100" s="37" t="str">
        <x:f>IF(C100="","",IF(AND(COUNT(I100:K100)=3,MIN(I100:K100)&gt;=0,MAX(I100:K100)&lt;=100,W100="Valid"),I100*IFERROR(INDEX('Taxonomy Rules'!$D$26:$D$37,MATCH(F100,'Taxonomy Rules'!$C$26:$C$37,0)),0)+J100*IFERROR(INDEX('Taxonomy Rules'!$E$26:$E$37,MATCH(F100,'Taxonomy Rules'!$C$26:$C$37,0)),0)+K100*IFERROR(INDEX('Taxonomy Rules'!$F$26:$F$37,MATCH(F100,'Taxonomy Rules'!$C$26:$C$37,0)),0),""))</x:f>
      </x:c>
      <x:c r="Q100" s="3" t="str">
        <x:f>IF(C100="","",IF(ISNUMBER(P100),IF(P100&gt;=80,"Strong",IF(P100&gt;=60,"Developing","Weak")),"Unrated"))</x:f>
      </x:c>
      <x:c r="R100" s="9" t="str">
        <x:f>IF(C100="","",COUNTIFS('Actions'!$D$9:$D$308,C100,'Actions'!$E$9:$E$308,"E&amp;S",'Actions'!$F$9:$F$308,"Critical",'Actions'!$P$9:$P$308,"&lt;&gt;Closed",'Actions'!$C$9:$C$308,"&lt;&gt;"))</x:f>
      </x:c>
      <x:c r="S100" s="9" t="str">
        <x:f>IF(C100="","",COUNTIFS('Actions'!$D$9:$D$308,C100,'Actions'!$Q$9:$Q$308,"Overdue",'Actions'!$C$9:$C$308,"&lt;&gt;"))</x:f>
      </x:c>
      <x:c r="T100" s="9" t="str">
        <x:f>IF(C100="","",IF(OR(COUNTIF($C$9:$C$108,C100)&lt;&gt;1,COUNTIF(Borrowers!$C$9:$C$108,C100)&lt;&gt;1),"Key review",IF(OR(L100="",O100="",NOT(OR(G100="High",G100="Moderate",G100="Low")),NOT(OR(H100="Yes",H100="No")),NOT(OR(X100="Standard",X100="Enhanced")),AND(G100="High",X100&lt;&gt;"Enhanced"),NOT(ISNUMBER(M100)),NOT(ISNUMBER(N100)),M100&gt;Settings!$F$8,N100&lt;M100,W100&lt;&gt;"Valid",NOT(ISNUMBER(P100)),COUNTIFS('Actions'!$D$9:$D$308,C100,'Actions'!$S$9:$S$308,"&lt;&gt;Valid",'Actions'!$C$9:$C$308,"&lt;&gt;")&gt;0),"Incomplete",IF(N100&lt;Settings!$F$8,"Expired","Current"))))</x:f>
      </x:c>
      <x:c r="U100" s="3" t="str">
        <x:f>IF(C100="","",IF(H100="Yes","Decline — prohibited",IF(R100&gt;0,"Hold — critical issue",IF(T100&lt;&gt;"Current","Hold — evidence",IF(V100&gt;0,"Conditions","Clear")))))</x:f>
      </x:c>
      <x:c r="V100" s="9" t="str">
        <x:f>IF(C100="","",COUNTIFS('Actions'!$D$9:$D$308,C100,'Actions'!$E$9:$E$308,"E&amp;S",'Actions'!$P$9:$P$308,"&lt;&gt;Closed",'Actions'!$C$9:$C$308,"&lt;&gt;"))</x:f>
      </x:c>
      <x:c r="W100" s="9" t="str">
        <x:f>IF(C100="","",IF(COUNTIF('Taxonomy Rules'!$C$26:$C$37,F100)&lt;&gt;1,"Sector missing",IF(AND(IFERROR(INDEX('Taxonomy Rules'!$D$26:$D$37,MATCH(F100,'Taxonomy Rules'!$C$26:$C$37,0)),0)&gt;=0,IFERROR(INDEX('Taxonomy Rules'!$E$26:$E$37,MATCH(F100,'Taxonomy Rules'!$C$26:$C$37,0)),0)&gt;=0,IFERROR(INDEX('Taxonomy Rules'!$F$26:$F$37,MATCH(F100,'Taxonomy Rules'!$C$26:$C$37,0)),0)&gt;=0,ABS(IFERROR(INDEX('Taxonomy Rules'!$D$26:$D$37,MATCH(F100,'Taxonomy Rules'!$C$26:$C$37,0)),0)+IFERROR(INDEX('Taxonomy Rules'!$E$26:$E$37,MATCH(F100,'Taxonomy Rules'!$C$26:$C$37,0)),0)+IFERROR(INDEX('Taxonomy Rules'!$F$26:$F$37,MATCH(F100,'Taxonomy Rules'!$C$26:$C$37,0)),0)-1)&lt;0.000001),"Valid","Check weights")))</x:f>
      </x:c>
      <x:c r="X100" s="8"/>
    </x:row>
    <x:row r="101" ht="38" customHeight="1">
      <x:c r="A101" s="1"/>
      <x:c r="B101" s="1"/>
      <x:c r="C101" s="8"/>
      <x:c r="D101" s="9" t="str">
        <x:f>IF(C101="","",IFERROR(INDEX('Borrowers'!$D$9:$D$108,MATCH(C101,'Borrowers'!$C$9:$C$108,0)),""))</x:f>
      </x:c>
      <x:c r="E101" s="9" t="str">
        <x:f>IF(C101="","",IFERROR(INDEX('Borrowers'!$E$9:$E$108,MATCH(C101,'Borrowers'!$C$9:$C$108,0)),""))</x:f>
      </x:c>
      <x:c r="F101" s="9" t="str">
        <x:f>IF(C101="","",IFERROR(INDEX('Borrowers'!$F$9:$F$108,MATCH(C101,'Borrowers'!$C$9:$C$108,0)),""))</x:f>
      </x:c>
      <x:c r="G101" s="8"/>
      <x:c r="H101" s="8"/>
      <x:c r="I101" s="8"/>
      <x:c r="J101" s="8"/>
      <x:c r="K101" s="8"/>
      <x:c r="L101" s="8"/>
      <x:c r="M101" s="10"/>
      <x:c r="N101" s="10"/>
      <x:c r="O101" s="8"/>
      <x:c r="P101" s="37" t="str">
        <x:f>IF(C101="","",IF(AND(COUNT(I101:K101)=3,MIN(I101:K101)&gt;=0,MAX(I101:K101)&lt;=100,W101="Valid"),I101*IFERROR(INDEX('Taxonomy Rules'!$D$26:$D$37,MATCH(F101,'Taxonomy Rules'!$C$26:$C$37,0)),0)+J101*IFERROR(INDEX('Taxonomy Rules'!$E$26:$E$37,MATCH(F101,'Taxonomy Rules'!$C$26:$C$37,0)),0)+K101*IFERROR(INDEX('Taxonomy Rules'!$F$26:$F$37,MATCH(F101,'Taxonomy Rules'!$C$26:$C$37,0)),0),""))</x:f>
      </x:c>
      <x:c r="Q101" s="3" t="str">
        <x:f>IF(C101="","",IF(ISNUMBER(P101),IF(P101&gt;=80,"Strong",IF(P101&gt;=60,"Developing","Weak")),"Unrated"))</x:f>
      </x:c>
      <x:c r="R101" s="9" t="str">
        <x:f>IF(C101="","",COUNTIFS('Actions'!$D$9:$D$308,C101,'Actions'!$E$9:$E$308,"E&amp;S",'Actions'!$F$9:$F$308,"Critical",'Actions'!$P$9:$P$308,"&lt;&gt;Closed",'Actions'!$C$9:$C$308,"&lt;&gt;"))</x:f>
      </x:c>
      <x:c r="S101" s="9" t="str">
        <x:f>IF(C101="","",COUNTIFS('Actions'!$D$9:$D$308,C101,'Actions'!$Q$9:$Q$308,"Overdue",'Actions'!$C$9:$C$308,"&lt;&gt;"))</x:f>
      </x:c>
      <x:c r="T101" s="9" t="str">
        <x:f>IF(C101="","",IF(OR(COUNTIF($C$9:$C$108,C101)&lt;&gt;1,COUNTIF(Borrowers!$C$9:$C$108,C101)&lt;&gt;1),"Key review",IF(OR(L101="",O101="",NOT(OR(G101="High",G101="Moderate",G101="Low")),NOT(OR(H101="Yes",H101="No")),NOT(OR(X101="Standard",X101="Enhanced")),AND(G101="High",X101&lt;&gt;"Enhanced"),NOT(ISNUMBER(M101)),NOT(ISNUMBER(N101)),M101&gt;Settings!$F$8,N101&lt;M101,W101&lt;&gt;"Valid",NOT(ISNUMBER(P101)),COUNTIFS('Actions'!$D$9:$D$308,C101,'Actions'!$S$9:$S$308,"&lt;&gt;Valid",'Actions'!$C$9:$C$308,"&lt;&gt;")&gt;0),"Incomplete",IF(N101&lt;Settings!$F$8,"Expired","Current"))))</x:f>
      </x:c>
      <x:c r="U101" s="3" t="str">
        <x:f>IF(C101="","",IF(H101="Yes","Decline — prohibited",IF(R101&gt;0,"Hold — critical issue",IF(T101&lt;&gt;"Current","Hold — evidence",IF(V101&gt;0,"Conditions","Clear")))))</x:f>
      </x:c>
      <x:c r="V101" s="9" t="str">
        <x:f>IF(C101="","",COUNTIFS('Actions'!$D$9:$D$308,C101,'Actions'!$E$9:$E$308,"E&amp;S",'Actions'!$P$9:$P$308,"&lt;&gt;Closed",'Actions'!$C$9:$C$308,"&lt;&gt;"))</x:f>
      </x:c>
      <x:c r="W101" s="9" t="str">
        <x:f>IF(C101="","",IF(COUNTIF('Taxonomy Rules'!$C$26:$C$37,F101)&lt;&gt;1,"Sector missing",IF(AND(IFERROR(INDEX('Taxonomy Rules'!$D$26:$D$37,MATCH(F101,'Taxonomy Rules'!$C$26:$C$37,0)),0)&gt;=0,IFERROR(INDEX('Taxonomy Rules'!$E$26:$E$37,MATCH(F101,'Taxonomy Rules'!$C$26:$C$37,0)),0)&gt;=0,IFERROR(INDEX('Taxonomy Rules'!$F$26:$F$37,MATCH(F101,'Taxonomy Rules'!$C$26:$C$37,0)),0)&gt;=0,ABS(IFERROR(INDEX('Taxonomy Rules'!$D$26:$D$37,MATCH(F101,'Taxonomy Rules'!$C$26:$C$37,0)),0)+IFERROR(INDEX('Taxonomy Rules'!$E$26:$E$37,MATCH(F101,'Taxonomy Rules'!$C$26:$C$37,0)),0)+IFERROR(INDEX('Taxonomy Rules'!$F$26:$F$37,MATCH(F101,'Taxonomy Rules'!$C$26:$C$37,0)),0)-1)&lt;0.000001),"Valid","Check weights")))</x:f>
      </x:c>
      <x:c r="X101" s="8"/>
    </x:row>
    <x:row r="102" ht="38" customHeight="1">
      <x:c r="A102" s="1"/>
      <x:c r="B102" s="1"/>
      <x:c r="C102" s="8"/>
      <x:c r="D102" s="9" t="str">
        <x:f>IF(C102="","",IFERROR(INDEX('Borrowers'!$D$9:$D$108,MATCH(C102,'Borrowers'!$C$9:$C$108,0)),""))</x:f>
      </x:c>
      <x:c r="E102" s="9" t="str">
        <x:f>IF(C102="","",IFERROR(INDEX('Borrowers'!$E$9:$E$108,MATCH(C102,'Borrowers'!$C$9:$C$108,0)),""))</x:f>
      </x:c>
      <x:c r="F102" s="9" t="str">
        <x:f>IF(C102="","",IFERROR(INDEX('Borrowers'!$F$9:$F$108,MATCH(C102,'Borrowers'!$C$9:$C$108,0)),""))</x:f>
      </x:c>
      <x:c r="G102" s="8"/>
      <x:c r="H102" s="8"/>
      <x:c r="I102" s="8"/>
      <x:c r="J102" s="8"/>
      <x:c r="K102" s="8"/>
      <x:c r="L102" s="8"/>
      <x:c r="M102" s="10"/>
      <x:c r="N102" s="10"/>
      <x:c r="O102" s="8"/>
      <x:c r="P102" s="37" t="str">
        <x:f>IF(C102="","",IF(AND(COUNT(I102:K102)=3,MIN(I102:K102)&gt;=0,MAX(I102:K102)&lt;=100,W102="Valid"),I102*IFERROR(INDEX('Taxonomy Rules'!$D$26:$D$37,MATCH(F102,'Taxonomy Rules'!$C$26:$C$37,0)),0)+J102*IFERROR(INDEX('Taxonomy Rules'!$E$26:$E$37,MATCH(F102,'Taxonomy Rules'!$C$26:$C$37,0)),0)+K102*IFERROR(INDEX('Taxonomy Rules'!$F$26:$F$37,MATCH(F102,'Taxonomy Rules'!$C$26:$C$37,0)),0),""))</x:f>
      </x:c>
      <x:c r="Q102" s="3" t="str">
        <x:f>IF(C102="","",IF(ISNUMBER(P102),IF(P102&gt;=80,"Strong",IF(P102&gt;=60,"Developing","Weak")),"Unrated"))</x:f>
      </x:c>
      <x:c r="R102" s="9" t="str">
        <x:f>IF(C102="","",COUNTIFS('Actions'!$D$9:$D$308,C102,'Actions'!$E$9:$E$308,"E&amp;S",'Actions'!$F$9:$F$308,"Critical",'Actions'!$P$9:$P$308,"&lt;&gt;Closed",'Actions'!$C$9:$C$308,"&lt;&gt;"))</x:f>
      </x:c>
      <x:c r="S102" s="9" t="str">
        <x:f>IF(C102="","",COUNTIFS('Actions'!$D$9:$D$308,C102,'Actions'!$Q$9:$Q$308,"Overdue",'Actions'!$C$9:$C$308,"&lt;&gt;"))</x:f>
      </x:c>
      <x:c r="T102" s="9" t="str">
        <x:f>IF(C102="","",IF(OR(COUNTIF($C$9:$C$108,C102)&lt;&gt;1,COUNTIF(Borrowers!$C$9:$C$108,C102)&lt;&gt;1),"Key review",IF(OR(L102="",O102="",NOT(OR(G102="High",G102="Moderate",G102="Low")),NOT(OR(H102="Yes",H102="No")),NOT(OR(X102="Standard",X102="Enhanced")),AND(G102="High",X102&lt;&gt;"Enhanced"),NOT(ISNUMBER(M102)),NOT(ISNUMBER(N102)),M102&gt;Settings!$F$8,N102&lt;M102,W102&lt;&gt;"Valid",NOT(ISNUMBER(P102)),COUNTIFS('Actions'!$D$9:$D$308,C102,'Actions'!$S$9:$S$308,"&lt;&gt;Valid",'Actions'!$C$9:$C$308,"&lt;&gt;")&gt;0),"Incomplete",IF(N102&lt;Settings!$F$8,"Expired","Current"))))</x:f>
      </x:c>
      <x:c r="U102" s="3" t="str">
        <x:f>IF(C102="","",IF(H102="Yes","Decline — prohibited",IF(R102&gt;0,"Hold — critical issue",IF(T102&lt;&gt;"Current","Hold — evidence",IF(V102&gt;0,"Conditions","Clear")))))</x:f>
      </x:c>
      <x:c r="V102" s="9" t="str">
        <x:f>IF(C102="","",COUNTIFS('Actions'!$D$9:$D$308,C102,'Actions'!$E$9:$E$308,"E&amp;S",'Actions'!$P$9:$P$308,"&lt;&gt;Closed",'Actions'!$C$9:$C$308,"&lt;&gt;"))</x:f>
      </x:c>
      <x:c r="W102" s="9" t="str">
        <x:f>IF(C102="","",IF(COUNTIF('Taxonomy Rules'!$C$26:$C$37,F102)&lt;&gt;1,"Sector missing",IF(AND(IFERROR(INDEX('Taxonomy Rules'!$D$26:$D$37,MATCH(F102,'Taxonomy Rules'!$C$26:$C$37,0)),0)&gt;=0,IFERROR(INDEX('Taxonomy Rules'!$E$26:$E$37,MATCH(F102,'Taxonomy Rules'!$C$26:$C$37,0)),0)&gt;=0,IFERROR(INDEX('Taxonomy Rules'!$F$26:$F$37,MATCH(F102,'Taxonomy Rules'!$C$26:$C$37,0)),0)&gt;=0,ABS(IFERROR(INDEX('Taxonomy Rules'!$D$26:$D$37,MATCH(F102,'Taxonomy Rules'!$C$26:$C$37,0)),0)+IFERROR(INDEX('Taxonomy Rules'!$E$26:$E$37,MATCH(F102,'Taxonomy Rules'!$C$26:$C$37,0)),0)+IFERROR(INDEX('Taxonomy Rules'!$F$26:$F$37,MATCH(F102,'Taxonomy Rules'!$C$26:$C$37,0)),0)-1)&lt;0.000001),"Valid","Check weights")))</x:f>
      </x:c>
      <x:c r="X102" s="8"/>
    </x:row>
    <x:row r="103" ht="38" customHeight="1">
      <x:c r="A103" s="1"/>
      <x:c r="B103" s="1"/>
      <x:c r="C103" s="8"/>
      <x:c r="D103" s="9" t="str">
        <x:f>IF(C103="","",IFERROR(INDEX('Borrowers'!$D$9:$D$108,MATCH(C103,'Borrowers'!$C$9:$C$108,0)),""))</x:f>
      </x:c>
      <x:c r="E103" s="9" t="str">
        <x:f>IF(C103="","",IFERROR(INDEX('Borrowers'!$E$9:$E$108,MATCH(C103,'Borrowers'!$C$9:$C$108,0)),""))</x:f>
      </x:c>
      <x:c r="F103" s="9" t="str">
        <x:f>IF(C103="","",IFERROR(INDEX('Borrowers'!$F$9:$F$108,MATCH(C103,'Borrowers'!$C$9:$C$108,0)),""))</x:f>
      </x:c>
      <x:c r="G103" s="8"/>
      <x:c r="H103" s="8"/>
      <x:c r="I103" s="8"/>
      <x:c r="J103" s="8"/>
      <x:c r="K103" s="8"/>
      <x:c r="L103" s="8"/>
      <x:c r="M103" s="10"/>
      <x:c r="N103" s="10"/>
      <x:c r="O103" s="8"/>
      <x:c r="P103" s="37" t="str">
        <x:f>IF(C103="","",IF(AND(COUNT(I103:K103)=3,MIN(I103:K103)&gt;=0,MAX(I103:K103)&lt;=100,W103="Valid"),I103*IFERROR(INDEX('Taxonomy Rules'!$D$26:$D$37,MATCH(F103,'Taxonomy Rules'!$C$26:$C$37,0)),0)+J103*IFERROR(INDEX('Taxonomy Rules'!$E$26:$E$37,MATCH(F103,'Taxonomy Rules'!$C$26:$C$37,0)),0)+K103*IFERROR(INDEX('Taxonomy Rules'!$F$26:$F$37,MATCH(F103,'Taxonomy Rules'!$C$26:$C$37,0)),0),""))</x:f>
      </x:c>
      <x:c r="Q103" s="3" t="str">
        <x:f>IF(C103="","",IF(ISNUMBER(P103),IF(P103&gt;=80,"Strong",IF(P103&gt;=60,"Developing","Weak")),"Unrated"))</x:f>
      </x:c>
      <x:c r="R103" s="9" t="str">
        <x:f>IF(C103="","",COUNTIFS('Actions'!$D$9:$D$308,C103,'Actions'!$E$9:$E$308,"E&amp;S",'Actions'!$F$9:$F$308,"Critical",'Actions'!$P$9:$P$308,"&lt;&gt;Closed",'Actions'!$C$9:$C$308,"&lt;&gt;"))</x:f>
      </x:c>
      <x:c r="S103" s="9" t="str">
        <x:f>IF(C103="","",COUNTIFS('Actions'!$D$9:$D$308,C103,'Actions'!$Q$9:$Q$308,"Overdue",'Actions'!$C$9:$C$308,"&lt;&gt;"))</x:f>
      </x:c>
      <x:c r="T103" s="9" t="str">
        <x:f>IF(C103="","",IF(OR(COUNTIF($C$9:$C$108,C103)&lt;&gt;1,COUNTIF(Borrowers!$C$9:$C$108,C103)&lt;&gt;1),"Key review",IF(OR(L103="",O103="",NOT(OR(G103="High",G103="Moderate",G103="Low")),NOT(OR(H103="Yes",H103="No")),NOT(OR(X103="Standard",X103="Enhanced")),AND(G103="High",X103&lt;&gt;"Enhanced"),NOT(ISNUMBER(M103)),NOT(ISNUMBER(N103)),M103&gt;Settings!$F$8,N103&lt;M103,W103&lt;&gt;"Valid",NOT(ISNUMBER(P103)),COUNTIFS('Actions'!$D$9:$D$308,C103,'Actions'!$S$9:$S$308,"&lt;&gt;Valid",'Actions'!$C$9:$C$308,"&lt;&gt;")&gt;0),"Incomplete",IF(N103&lt;Settings!$F$8,"Expired","Current"))))</x:f>
      </x:c>
      <x:c r="U103" s="3" t="str">
        <x:f>IF(C103="","",IF(H103="Yes","Decline — prohibited",IF(R103&gt;0,"Hold — critical issue",IF(T103&lt;&gt;"Current","Hold — evidence",IF(V103&gt;0,"Conditions","Clear")))))</x:f>
      </x:c>
      <x:c r="V103" s="9" t="str">
        <x:f>IF(C103="","",COUNTIFS('Actions'!$D$9:$D$308,C103,'Actions'!$E$9:$E$308,"E&amp;S",'Actions'!$P$9:$P$308,"&lt;&gt;Closed",'Actions'!$C$9:$C$308,"&lt;&gt;"))</x:f>
      </x:c>
      <x:c r="W103" s="9" t="str">
        <x:f>IF(C103="","",IF(COUNTIF('Taxonomy Rules'!$C$26:$C$37,F103)&lt;&gt;1,"Sector missing",IF(AND(IFERROR(INDEX('Taxonomy Rules'!$D$26:$D$37,MATCH(F103,'Taxonomy Rules'!$C$26:$C$37,0)),0)&gt;=0,IFERROR(INDEX('Taxonomy Rules'!$E$26:$E$37,MATCH(F103,'Taxonomy Rules'!$C$26:$C$37,0)),0)&gt;=0,IFERROR(INDEX('Taxonomy Rules'!$F$26:$F$37,MATCH(F103,'Taxonomy Rules'!$C$26:$C$37,0)),0)&gt;=0,ABS(IFERROR(INDEX('Taxonomy Rules'!$D$26:$D$37,MATCH(F103,'Taxonomy Rules'!$C$26:$C$37,0)),0)+IFERROR(INDEX('Taxonomy Rules'!$E$26:$E$37,MATCH(F103,'Taxonomy Rules'!$C$26:$C$37,0)),0)+IFERROR(INDEX('Taxonomy Rules'!$F$26:$F$37,MATCH(F103,'Taxonomy Rules'!$C$26:$C$37,0)),0)-1)&lt;0.000001),"Valid","Check weights")))</x:f>
      </x:c>
      <x:c r="X103" s="8"/>
    </x:row>
    <x:row r="104" ht="38" customHeight="1">
      <x:c r="A104" s="1"/>
      <x:c r="B104" s="1"/>
      <x:c r="C104" s="8"/>
      <x:c r="D104" s="9" t="str">
        <x:f>IF(C104="","",IFERROR(INDEX('Borrowers'!$D$9:$D$108,MATCH(C104,'Borrowers'!$C$9:$C$108,0)),""))</x:f>
      </x:c>
      <x:c r="E104" s="9" t="str">
        <x:f>IF(C104="","",IFERROR(INDEX('Borrowers'!$E$9:$E$108,MATCH(C104,'Borrowers'!$C$9:$C$108,0)),""))</x:f>
      </x:c>
      <x:c r="F104" s="9" t="str">
        <x:f>IF(C104="","",IFERROR(INDEX('Borrowers'!$F$9:$F$108,MATCH(C104,'Borrowers'!$C$9:$C$108,0)),""))</x:f>
      </x:c>
      <x:c r="G104" s="8"/>
      <x:c r="H104" s="8"/>
      <x:c r="I104" s="8"/>
      <x:c r="J104" s="8"/>
      <x:c r="K104" s="8"/>
      <x:c r="L104" s="8"/>
      <x:c r="M104" s="10"/>
      <x:c r="N104" s="10"/>
      <x:c r="O104" s="8"/>
      <x:c r="P104" s="37" t="str">
        <x:f>IF(C104="","",IF(AND(COUNT(I104:K104)=3,MIN(I104:K104)&gt;=0,MAX(I104:K104)&lt;=100,W104="Valid"),I104*IFERROR(INDEX('Taxonomy Rules'!$D$26:$D$37,MATCH(F104,'Taxonomy Rules'!$C$26:$C$37,0)),0)+J104*IFERROR(INDEX('Taxonomy Rules'!$E$26:$E$37,MATCH(F104,'Taxonomy Rules'!$C$26:$C$37,0)),0)+K104*IFERROR(INDEX('Taxonomy Rules'!$F$26:$F$37,MATCH(F104,'Taxonomy Rules'!$C$26:$C$37,0)),0),""))</x:f>
      </x:c>
      <x:c r="Q104" s="3" t="str">
        <x:f>IF(C104="","",IF(ISNUMBER(P104),IF(P104&gt;=80,"Strong",IF(P104&gt;=60,"Developing","Weak")),"Unrated"))</x:f>
      </x:c>
      <x:c r="R104" s="9" t="str">
        <x:f>IF(C104="","",COUNTIFS('Actions'!$D$9:$D$308,C104,'Actions'!$E$9:$E$308,"E&amp;S",'Actions'!$F$9:$F$308,"Critical",'Actions'!$P$9:$P$308,"&lt;&gt;Closed",'Actions'!$C$9:$C$308,"&lt;&gt;"))</x:f>
      </x:c>
      <x:c r="S104" s="9" t="str">
        <x:f>IF(C104="","",COUNTIFS('Actions'!$D$9:$D$308,C104,'Actions'!$Q$9:$Q$308,"Overdue",'Actions'!$C$9:$C$308,"&lt;&gt;"))</x:f>
      </x:c>
      <x:c r="T104" s="9" t="str">
        <x:f>IF(C104="","",IF(OR(COUNTIF($C$9:$C$108,C104)&lt;&gt;1,COUNTIF(Borrowers!$C$9:$C$108,C104)&lt;&gt;1),"Key review",IF(OR(L104="",O104="",NOT(OR(G104="High",G104="Moderate",G104="Low")),NOT(OR(H104="Yes",H104="No")),NOT(OR(X104="Standard",X104="Enhanced")),AND(G104="High",X104&lt;&gt;"Enhanced"),NOT(ISNUMBER(M104)),NOT(ISNUMBER(N104)),M104&gt;Settings!$F$8,N104&lt;M104,W104&lt;&gt;"Valid",NOT(ISNUMBER(P104)),COUNTIFS('Actions'!$D$9:$D$308,C104,'Actions'!$S$9:$S$308,"&lt;&gt;Valid",'Actions'!$C$9:$C$308,"&lt;&gt;")&gt;0),"Incomplete",IF(N104&lt;Settings!$F$8,"Expired","Current"))))</x:f>
      </x:c>
      <x:c r="U104" s="3" t="str">
        <x:f>IF(C104="","",IF(H104="Yes","Decline — prohibited",IF(R104&gt;0,"Hold — critical issue",IF(T104&lt;&gt;"Current","Hold — evidence",IF(V104&gt;0,"Conditions","Clear")))))</x:f>
      </x:c>
      <x:c r="V104" s="9" t="str">
        <x:f>IF(C104="","",COUNTIFS('Actions'!$D$9:$D$308,C104,'Actions'!$E$9:$E$308,"E&amp;S",'Actions'!$P$9:$P$308,"&lt;&gt;Closed",'Actions'!$C$9:$C$308,"&lt;&gt;"))</x:f>
      </x:c>
      <x:c r="W104" s="9" t="str">
        <x:f>IF(C104="","",IF(COUNTIF('Taxonomy Rules'!$C$26:$C$37,F104)&lt;&gt;1,"Sector missing",IF(AND(IFERROR(INDEX('Taxonomy Rules'!$D$26:$D$37,MATCH(F104,'Taxonomy Rules'!$C$26:$C$37,0)),0)&gt;=0,IFERROR(INDEX('Taxonomy Rules'!$E$26:$E$37,MATCH(F104,'Taxonomy Rules'!$C$26:$C$37,0)),0)&gt;=0,IFERROR(INDEX('Taxonomy Rules'!$F$26:$F$37,MATCH(F104,'Taxonomy Rules'!$C$26:$C$37,0)),0)&gt;=0,ABS(IFERROR(INDEX('Taxonomy Rules'!$D$26:$D$37,MATCH(F104,'Taxonomy Rules'!$C$26:$C$37,0)),0)+IFERROR(INDEX('Taxonomy Rules'!$E$26:$E$37,MATCH(F104,'Taxonomy Rules'!$C$26:$C$37,0)),0)+IFERROR(INDEX('Taxonomy Rules'!$F$26:$F$37,MATCH(F104,'Taxonomy Rules'!$C$26:$C$37,0)),0)-1)&lt;0.000001),"Valid","Check weights")))</x:f>
      </x:c>
      <x:c r="X104" s="8"/>
    </x:row>
    <x:row r="105" ht="38" customHeight="1">
      <x:c r="A105" s="1"/>
      <x:c r="B105" s="1"/>
      <x:c r="C105" s="8"/>
      <x:c r="D105" s="9" t="str">
        <x:f>IF(C105="","",IFERROR(INDEX('Borrowers'!$D$9:$D$108,MATCH(C105,'Borrowers'!$C$9:$C$108,0)),""))</x:f>
      </x:c>
      <x:c r="E105" s="9" t="str">
        <x:f>IF(C105="","",IFERROR(INDEX('Borrowers'!$E$9:$E$108,MATCH(C105,'Borrowers'!$C$9:$C$108,0)),""))</x:f>
      </x:c>
      <x:c r="F105" s="9" t="str">
        <x:f>IF(C105="","",IFERROR(INDEX('Borrowers'!$F$9:$F$108,MATCH(C105,'Borrowers'!$C$9:$C$108,0)),""))</x:f>
      </x:c>
      <x:c r="G105" s="8"/>
      <x:c r="H105" s="8"/>
      <x:c r="I105" s="8"/>
      <x:c r="J105" s="8"/>
      <x:c r="K105" s="8"/>
      <x:c r="L105" s="8"/>
      <x:c r="M105" s="10"/>
      <x:c r="N105" s="10"/>
      <x:c r="O105" s="8"/>
      <x:c r="P105" s="37" t="str">
        <x:f>IF(C105="","",IF(AND(COUNT(I105:K105)=3,MIN(I105:K105)&gt;=0,MAX(I105:K105)&lt;=100,W105="Valid"),I105*IFERROR(INDEX('Taxonomy Rules'!$D$26:$D$37,MATCH(F105,'Taxonomy Rules'!$C$26:$C$37,0)),0)+J105*IFERROR(INDEX('Taxonomy Rules'!$E$26:$E$37,MATCH(F105,'Taxonomy Rules'!$C$26:$C$37,0)),0)+K105*IFERROR(INDEX('Taxonomy Rules'!$F$26:$F$37,MATCH(F105,'Taxonomy Rules'!$C$26:$C$37,0)),0),""))</x:f>
      </x:c>
      <x:c r="Q105" s="3" t="str">
        <x:f>IF(C105="","",IF(ISNUMBER(P105),IF(P105&gt;=80,"Strong",IF(P105&gt;=60,"Developing","Weak")),"Unrated"))</x:f>
      </x:c>
      <x:c r="R105" s="9" t="str">
        <x:f>IF(C105="","",COUNTIFS('Actions'!$D$9:$D$308,C105,'Actions'!$E$9:$E$308,"E&amp;S",'Actions'!$F$9:$F$308,"Critical",'Actions'!$P$9:$P$308,"&lt;&gt;Closed",'Actions'!$C$9:$C$308,"&lt;&gt;"))</x:f>
      </x:c>
      <x:c r="S105" s="9" t="str">
        <x:f>IF(C105="","",COUNTIFS('Actions'!$D$9:$D$308,C105,'Actions'!$Q$9:$Q$308,"Overdue",'Actions'!$C$9:$C$308,"&lt;&gt;"))</x:f>
      </x:c>
      <x:c r="T105" s="9" t="str">
        <x:f>IF(C105="","",IF(OR(COUNTIF($C$9:$C$108,C105)&lt;&gt;1,COUNTIF(Borrowers!$C$9:$C$108,C105)&lt;&gt;1),"Key review",IF(OR(L105="",O105="",NOT(OR(G105="High",G105="Moderate",G105="Low")),NOT(OR(H105="Yes",H105="No")),NOT(OR(X105="Standard",X105="Enhanced")),AND(G105="High",X105&lt;&gt;"Enhanced"),NOT(ISNUMBER(M105)),NOT(ISNUMBER(N105)),M105&gt;Settings!$F$8,N105&lt;M105,W105&lt;&gt;"Valid",NOT(ISNUMBER(P105)),COUNTIFS('Actions'!$D$9:$D$308,C105,'Actions'!$S$9:$S$308,"&lt;&gt;Valid",'Actions'!$C$9:$C$308,"&lt;&gt;")&gt;0),"Incomplete",IF(N105&lt;Settings!$F$8,"Expired","Current"))))</x:f>
      </x:c>
      <x:c r="U105" s="3" t="str">
        <x:f>IF(C105="","",IF(H105="Yes","Decline — prohibited",IF(R105&gt;0,"Hold — critical issue",IF(T105&lt;&gt;"Current","Hold — evidence",IF(V105&gt;0,"Conditions","Clear")))))</x:f>
      </x:c>
      <x:c r="V105" s="9" t="str">
        <x:f>IF(C105="","",COUNTIFS('Actions'!$D$9:$D$308,C105,'Actions'!$E$9:$E$308,"E&amp;S",'Actions'!$P$9:$P$308,"&lt;&gt;Closed",'Actions'!$C$9:$C$308,"&lt;&gt;"))</x:f>
      </x:c>
      <x:c r="W105" s="9" t="str">
        <x:f>IF(C105="","",IF(COUNTIF('Taxonomy Rules'!$C$26:$C$37,F105)&lt;&gt;1,"Sector missing",IF(AND(IFERROR(INDEX('Taxonomy Rules'!$D$26:$D$37,MATCH(F105,'Taxonomy Rules'!$C$26:$C$37,0)),0)&gt;=0,IFERROR(INDEX('Taxonomy Rules'!$E$26:$E$37,MATCH(F105,'Taxonomy Rules'!$C$26:$C$37,0)),0)&gt;=0,IFERROR(INDEX('Taxonomy Rules'!$F$26:$F$37,MATCH(F105,'Taxonomy Rules'!$C$26:$C$37,0)),0)&gt;=0,ABS(IFERROR(INDEX('Taxonomy Rules'!$D$26:$D$37,MATCH(F105,'Taxonomy Rules'!$C$26:$C$37,0)),0)+IFERROR(INDEX('Taxonomy Rules'!$E$26:$E$37,MATCH(F105,'Taxonomy Rules'!$C$26:$C$37,0)),0)+IFERROR(INDEX('Taxonomy Rules'!$F$26:$F$37,MATCH(F105,'Taxonomy Rules'!$C$26:$C$37,0)),0)-1)&lt;0.000001),"Valid","Check weights")))</x:f>
      </x:c>
      <x:c r="X105" s="8"/>
    </x:row>
    <x:row r="106" ht="38" customHeight="1">
      <x:c r="A106" s="1"/>
      <x:c r="B106" s="1"/>
      <x:c r="C106" s="8"/>
      <x:c r="D106" s="9" t="str">
        <x:f>IF(C106="","",IFERROR(INDEX('Borrowers'!$D$9:$D$108,MATCH(C106,'Borrowers'!$C$9:$C$108,0)),""))</x:f>
      </x:c>
      <x:c r="E106" s="9" t="str">
        <x:f>IF(C106="","",IFERROR(INDEX('Borrowers'!$E$9:$E$108,MATCH(C106,'Borrowers'!$C$9:$C$108,0)),""))</x:f>
      </x:c>
      <x:c r="F106" s="9" t="str">
        <x:f>IF(C106="","",IFERROR(INDEX('Borrowers'!$F$9:$F$108,MATCH(C106,'Borrowers'!$C$9:$C$108,0)),""))</x:f>
      </x:c>
      <x:c r="G106" s="8"/>
      <x:c r="H106" s="8"/>
      <x:c r="I106" s="8"/>
      <x:c r="J106" s="8"/>
      <x:c r="K106" s="8"/>
      <x:c r="L106" s="8"/>
      <x:c r="M106" s="10"/>
      <x:c r="N106" s="10"/>
      <x:c r="O106" s="8"/>
      <x:c r="P106" s="37" t="str">
        <x:f>IF(C106="","",IF(AND(COUNT(I106:K106)=3,MIN(I106:K106)&gt;=0,MAX(I106:K106)&lt;=100,W106="Valid"),I106*IFERROR(INDEX('Taxonomy Rules'!$D$26:$D$37,MATCH(F106,'Taxonomy Rules'!$C$26:$C$37,0)),0)+J106*IFERROR(INDEX('Taxonomy Rules'!$E$26:$E$37,MATCH(F106,'Taxonomy Rules'!$C$26:$C$37,0)),0)+K106*IFERROR(INDEX('Taxonomy Rules'!$F$26:$F$37,MATCH(F106,'Taxonomy Rules'!$C$26:$C$37,0)),0),""))</x:f>
      </x:c>
      <x:c r="Q106" s="3" t="str">
        <x:f>IF(C106="","",IF(ISNUMBER(P106),IF(P106&gt;=80,"Strong",IF(P106&gt;=60,"Developing","Weak")),"Unrated"))</x:f>
      </x:c>
      <x:c r="R106" s="9" t="str">
        <x:f>IF(C106="","",COUNTIFS('Actions'!$D$9:$D$308,C106,'Actions'!$E$9:$E$308,"E&amp;S",'Actions'!$F$9:$F$308,"Critical",'Actions'!$P$9:$P$308,"&lt;&gt;Closed",'Actions'!$C$9:$C$308,"&lt;&gt;"))</x:f>
      </x:c>
      <x:c r="S106" s="9" t="str">
        <x:f>IF(C106="","",COUNTIFS('Actions'!$D$9:$D$308,C106,'Actions'!$Q$9:$Q$308,"Overdue",'Actions'!$C$9:$C$308,"&lt;&gt;"))</x:f>
      </x:c>
      <x:c r="T106" s="9" t="str">
        <x:f>IF(C106="","",IF(OR(COUNTIF($C$9:$C$108,C106)&lt;&gt;1,COUNTIF(Borrowers!$C$9:$C$108,C106)&lt;&gt;1),"Key review",IF(OR(L106="",O106="",NOT(OR(G106="High",G106="Moderate",G106="Low")),NOT(OR(H106="Yes",H106="No")),NOT(OR(X106="Standard",X106="Enhanced")),AND(G106="High",X106&lt;&gt;"Enhanced"),NOT(ISNUMBER(M106)),NOT(ISNUMBER(N106)),M106&gt;Settings!$F$8,N106&lt;M106,W106&lt;&gt;"Valid",NOT(ISNUMBER(P106)),COUNTIFS('Actions'!$D$9:$D$308,C106,'Actions'!$S$9:$S$308,"&lt;&gt;Valid",'Actions'!$C$9:$C$308,"&lt;&gt;")&gt;0),"Incomplete",IF(N106&lt;Settings!$F$8,"Expired","Current"))))</x:f>
      </x:c>
      <x:c r="U106" s="3" t="str">
        <x:f>IF(C106="","",IF(H106="Yes","Decline — prohibited",IF(R106&gt;0,"Hold — critical issue",IF(T106&lt;&gt;"Current","Hold — evidence",IF(V106&gt;0,"Conditions","Clear")))))</x:f>
      </x:c>
      <x:c r="V106" s="9" t="str">
        <x:f>IF(C106="","",COUNTIFS('Actions'!$D$9:$D$308,C106,'Actions'!$E$9:$E$308,"E&amp;S",'Actions'!$P$9:$P$308,"&lt;&gt;Closed",'Actions'!$C$9:$C$308,"&lt;&gt;"))</x:f>
      </x:c>
      <x:c r="W106" s="9" t="str">
        <x:f>IF(C106="","",IF(COUNTIF('Taxonomy Rules'!$C$26:$C$37,F106)&lt;&gt;1,"Sector missing",IF(AND(IFERROR(INDEX('Taxonomy Rules'!$D$26:$D$37,MATCH(F106,'Taxonomy Rules'!$C$26:$C$37,0)),0)&gt;=0,IFERROR(INDEX('Taxonomy Rules'!$E$26:$E$37,MATCH(F106,'Taxonomy Rules'!$C$26:$C$37,0)),0)&gt;=0,IFERROR(INDEX('Taxonomy Rules'!$F$26:$F$37,MATCH(F106,'Taxonomy Rules'!$C$26:$C$37,0)),0)&gt;=0,ABS(IFERROR(INDEX('Taxonomy Rules'!$D$26:$D$37,MATCH(F106,'Taxonomy Rules'!$C$26:$C$37,0)),0)+IFERROR(INDEX('Taxonomy Rules'!$E$26:$E$37,MATCH(F106,'Taxonomy Rules'!$C$26:$C$37,0)),0)+IFERROR(INDEX('Taxonomy Rules'!$F$26:$F$37,MATCH(F106,'Taxonomy Rules'!$C$26:$C$37,0)),0)-1)&lt;0.000001),"Valid","Check weights")))</x:f>
      </x:c>
      <x:c r="X106" s="8"/>
    </x:row>
    <x:row r="107" ht="38" customHeight="1">
      <x:c r="A107" s="1"/>
      <x:c r="B107" s="1"/>
      <x:c r="C107" s="8"/>
      <x:c r="D107" s="9" t="str">
        <x:f>IF(C107="","",IFERROR(INDEX('Borrowers'!$D$9:$D$108,MATCH(C107,'Borrowers'!$C$9:$C$108,0)),""))</x:f>
      </x:c>
      <x:c r="E107" s="9" t="str">
        <x:f>IF(C107="","",IFERROR(INDEX('Borrowers'!$E$9:$E$108,MATCH(C107,'Borrowers'!$C$9:$C$108,0)),""))</x:f>
      </x:c>
      <x:c r="F107" s="9" t="str">
        <x:f>IF(C107="","",IFERROR(INDEX('Borrowers'!$F$9:$F$108,MATCH(C107,'Borrowers'!$C$9:$C$108,0)),""))</x:f>
      </x:c>
      <x:c r="G107" s="8"/>
      <x:c r="H107" s="8"/>
      <x:c r="I107" s="8"/>
      <x:c r="J107" s="8"/>
      <x:c r="K107" s="8"/>
      <x:c r="L107" s="8"/>
      <x:c r="M107" s="10"/>
      <x:c r="N107" s="10"/>
      <x:c r="O107" s="8"/>
      <x:c r="P107" s="37" t="str">
        <x:f>IF(C107="","",IF(AND(COUNT(I107:K107)=3,MIN(I107:K107)&gt;=0,MAX(I107:K107)&lt;=100,W107="Valid"),I107*IFERROR(INDEX('Taxonomy Rules'!$D$26:$D$37,MATCH(F107,'Taxonomy Rules'!$C$26:$C$37,0)),0)+J107*IFERROR(INDEX('Taxonomy Rules'!$E$26:$E$37,MATCH(F107,'Taxonomy Rules'!$C$26:$C$37,0)),0)+K107*IFERROR(INDEX('Taxonomy Rules'!$F$26:$F$37,MATCH(F107,'Taxonomy Rules'!$C$26:$C$37,0)),0),""))</x:f>
      </x:c>
      <x:c r="Q107" s="3" t="str">
        <x:f>IF(C107="","",IF(ISNUMBER(P107),IF(P107&gt;=80,"Strong",IF(P107&gt;=60,"Developing","Weak")),"Unrated"))</x:f>
      </x:c>
      <x:c r="R107" s="9" t="str">
        <x:f>IF(C107="","",COUNTIFS('Actions'!$D$9:$D$308,C107,'Actions'!$E$9:$E$308,"E&amp;S",'Actions'!$F$9:$F$308,"Critical",'Actions'!$P$9:$P$308,"&lt;&gt;Closed",'Actions'!$C$9:$C$308,"&lt;&gt;"))</x:f>
      </x:c>
      <x:c r="S107" s="9" t="str">
        <x:f>IF(C107="","",COUNTIFS('Actions'!$D$9:$D$308,C107,'Actions'!$Q$9:$Q$308,"Overdue",'Actions'!$C$9:$C$308,"&lt;&gt;"))</x:f>
      </x:c>
      <x:c r="T107" s="9" t="str">
        <x:f>IF(C107="","",IF(OR(COUNTIF($C$9:$C$108,C107)&lt;&gt;1,COUNTIF(Borrowers!$C$9:$C$108,C107)&lt;&gt;1),"Key review",IF(OR(L107="",O107="",NOT(OR(G107="High",G107="Moderate",G107="Low")),NOT(OR(H107="Yes",H107="No")),NOT(OR(X107="Standard",X107="Enhanced")),AND(G107="High",X107&lt;&gt;"Enhanced"),NOT(ISNUMBER(M107)),NOT(ISNUMBER(N107)),M107&gt;Settings!$F$8,N107&lt;M107,W107&lt;&gt;"Valid",NOT(ISNUMBER(P107)),COUNTIFS('Actions'!$D$9:$D$308,C107,'Actions'!$S$9:$S$308,"&lt;&gt;Valid",'Actions'!$C$9:$C$308,"&lt;&gt;")&gt;0),"Incomplete",IF(N107&lt;Settings!$F$8,"Expired","Current"))))</x:f>
      </x:c>
      <x:c r="U107" s="3" t="str">
        <x:f>IF(C107="","",IF(H107="Yes","Decline — prohibited",IF(R107&gt;0,"Hold — critical issue",IF(T107&lt;&gt;"Current","Hold — evidence",IF(V107&gt;0,"Conditions","Clear")))))</x:f>
      </x:c>
      <x:c r="V107" s="9" t="str">
        <x:f>IF(C107="","",COUNTIFS('Actions'!$D$9:$D$308,C107,'Actions'!$E$9:$E$308,"E&amp;S",'Actions'!$P$9:$P$308,"&lt;&gt;Closed",'Actions'!$C$9:$C$308,"&lt;&gt;"))</x:f>
      </x:c>
      <x:c r="W107" s="9" t="str">
        <x:f>IF(C107="","",IF(COUNTIF('Taxonomy Rules'!$C$26:$C$37,F107)&lt;&gt;1,"Sector missing",IF(AND(IFERROR(INDEX('Taxonomy Rules'!$D$26:$D$37,MATCH(F107,'Taxonomy Rules'!$C$26:$C$37,0)),0)&gt;=0,IFERROR(INDEX('Taxonomy Rules'!$E$26:$E$37,MATCH(F107,'Taxonomy Rules'!$C$26:$C$37,0)),0)&gt;=0,IFERROR(INDEX('Taxonomy Rules'!$F$26:$F$37,MATCH(F107,'Taxonomy Rules'!$C$26:$C$37,0)),0)&gt;=0,ABS(IFERROR(INDEX('Taxonomy Rules'!$D$26:$D$37,MATCH(F107,'Taxonomy Rules'!$C$26:$C$37,0)),0)+IFERROR(INDEX('Taxonomy Rules'!$E$26:$E$37,MATCH(F107,'Taxonomy Rules'!$C$26:$C$37,0)),0)+IFERROR(INDEX('Taxonomy Rules'!$F$26:$F$37,MATCH(F107,'Taxonomy Rules'!$C$26:$C$37,0)),0)-1)&lt;0.000001),"Valid","Check weights")))</x:f>
      </x:c>
      <x:c r="X107" s="8"/>
    </x:row>
    <x:row r="108" ht="38" customHeight="1">
      <x:c r="A108" s="1"/>
      <x:c r="B108" s="1"/>
      <x:c r="C108" s="8"/>
      <x:c r="D108" s="9" t="str">
        <x:f>IF(C108="","",IFERROR(INDEX('Borrowers'!$D$9:$D$108,MATCH(C108,'Borrowers'!$C$9:$C$108,0)),""))</x:f>
      </x:c>
      <x:c r="E108" s="9" t="str">
        <x:f>IF(C108="","",IFERROR(INDEX('Borrowers'!$E$9:$E$108,MATCH(C108,'Borrowers'!$C$9:$C$108,0)),""))</x:f>
      </x:c>
      <x:c r="F108" s="9" t="str">
        <x:f>IF(C108="","",IFERROR(INDEX('Borrowers'!$F$9:$F$108,MATCH(C108,'Borrowers'!$C$9:$C$108,0)),""))</x:f>
      </x:c>
      <x:c r="G108" s="8"/>
      <x:c r="H108" s="8"/>
      <x:c r="I108" s="8"/>
      <x:c r="J108" s="8"/>
      <x:c r="K108" s="8"/>
      <x:c r="L108" s="8"/>
      <x:c r="M108" s="10"/>
      <x:c r="N108" s="10"/>
      <x:c r="O108" s="8"/>
      <x:c r="P108" s="37" t="str">
        <x:f>IF(C108="","",IF(AND(COUNT(I108:K108)=3,MIN(I108:K108)&gt;=0,MAX(I108:K108)&lt;=100,W108="Valid"),I108*IFERROR(INDEX('Taxonomy Rules'!$D$26:$D$37,MATCH(F108,'Taxonomy Rules'!$C$26:$C$37,0)),0)+J108*IFERROR(INDEX('Taxonomy Rules'!$E$26:$E$37,MATCH(F108,'Taxonomy Rules'!$C$26:$C$37,0)),0)+K108*IFERROR(INDEX('Taxonomy Rules'!$F$26:$F$37,MATCH(F108,'Taxonomy Rules'!$C$26:$C$37,0)),0),""))</x:f>
      </x:c>
      <x:c r="Q108" s="3" t="str">
        <x:f>IF(C108="","",IF(ISNUMBER(P108),IF(P108&gt;=80,"Strong",IF(P108&gt;=60,"Developing","Weak")),"Unrated"))</x:f>
      </x:c>
      <x:c r="R108" s="9" t="str">
        <x:f>IF(C108="","",COUNTIFS('Actions'!$D$9:$D$308,C108,'Actions'!$E$9:$E$308,"E&amp;S",'Actions'!$F$9:$F$308,"Critical",'Actions'!$P$9:$P$308,"&lt;&gt;Closed",'Actions'!$C$9:$C$308,"&lt;&gt;"))</x:f>
      </x:c>
      <x:c r="S108" s="9" t="str">
        <x:f>IF(C108="","",COUNTIFS('Actions'!$D$9:$D$308,C108,'Actions'!$Q$9:$Q$308,"Overdue",'Actions'!$C$9:$C$308,"&lt;&gt;"))</x:f>
      </x:c>
      <x:c r="T108" s="9" t="str">
        <x:f>IF(C108="","",IF(OR(COUNTIF($C$9:$C$108,C108)&lt;&gt;1,COUNTIF(Borrowers!$C$9:$C$108,C108)&lt;&gt;1),"Key review",IF(OR(L108="",O108="",NOT(OR(G108="High",G108="Moderate",G108="Low")),NOT(OR(H108="Yes",H108="No")),NOT(OR(X108="Standard",X108="Enhanced")),AND(G108="High",X108&lt;&gt;"Enhanced"),NOT(ISNUMBER(M108)),NOT(ISNUMBER(N108)),M108&gt;Settings!$F$8,N108&lt;M108,W108&lt;&gt;"Valid",NOT(ISNUMBER(P108)),COUNTIFS('Actions'!$D$9:$D$308,C108,'Actions'!$S$9:$S$308,"&lt;&gt;Valid",'Actions'!$C$9:$C$308,"&lt;&gt;")&gt;0),"Incomplete",IF(N108&lt;Settings!$F$8,"Expired","Current"))))</x:f>
      </x:c>
      <x:c r="U108" s="3" t="str">
        <x:f>IF(C108="","",IF(H108="Yes","Decline — prohibited",IF(R108&gt;0,"Hold — critical issue",IF(T108&lt;&gt;"Current","Hold — evidence",IF(V108&gt;0,"Conditions","Clear")))))</x:f>
      </x:c>
      <x:c r="V108" s="9" t="str">
        <x:f>IF(C108="","",COUNTIFS('Actions'!$D$9:$D$308,C108,'Actions'!$E$9:$E$308,"E&amp;S",'Actions'!$P$9:$P$308,"&lt;&gt;Closed",'Actions'!$C$9:$C$308,"&lt;&gt;"))</x:f>
      </x:c>
      <x:c r="W108" s="9" t="str">
        <x:f>IF(C108="","",IF(COUNTIF('Taxonomy Rules'!$C$26:$C$37,F108)&lt;&gt;1,"Sector missing",IF(AND(IFERROR(INDEX('Taxonomy Rules'!$D$26:$D$37,MATCH(F108,'Taxonomy Rules'!$C$26:$C$37,0)),0)&gt;=0,IFERROR(INDEX('Taxonomy Rules'!$E$26:$E$37,MATCH(F108,'Taxonomy Rules'!$C$26:$C$37,0)),0)&gt;=0,IFERROR(INDEX('Taxonomy Rules'!$F$26:$F$37,MATCH(F108,'Taxonomy Rules'!$C$26:$C$37,0)),0)&gt;=0,ABS(IFERROR(INDEX('Taxonomy Rules'!$D$26:$D$37,MATCH(F108,'Taxonomy Rules'!$C$26:$C$37,0)),0)+IFERROR(INDEX('Taxonomy Rules'!$E$26:$E$37,MATCH(F108,'Taxonomy Rules'!$C$26:$C$37,0)),0)+IFERROR(INDEX('Taxonomy Rules'!$F$26:$F$37,MATCH(F108,'Taxonomy Rules'!$C$26:$C$37,0)),0)-1)&lt;0.000001),"Valid","Check weights")))</x:f>
      </x:c>
      <x:c r="X108" s="8"/>
    </x:row>
  </x:sheetData>
  <x:mergeCells>
    <x:mergeCell ref="C2:H2"/>
    <x:mergeCell ref="C3:M3"/>
    <x:mergeCell ref="C7:F7"/>
    <x:mergeCell ref="G7:J7"/>
    <x:mergeCell ref="K7:N7"/>
    <x:mergeCell ref="C1:D1"/>
    <x:mergeCell ref="E1:F1"/>
    <x:mergeCell ref="G1:H1"/>
    <x:mergeCell ref="I1:J1"/>
    <x:mergeCell ref="K1:L1"/>
    <x:mergeCell ref="M1:N1"/>
  </x:mergeCells>
  <x:conditionalFormatting sqref="T9:U108">
    <x:cfRule type="containsText" dxfId="176" priority="1" operator="containsText" text="Missing"/>
    <x:cfRule type="containsText" dxfId="177" priority="2" operator="containsText" text="Required"/>
    <x:cfRule type="containsText" dxfId="178" priority="3" operator="containsText" text="required"/>
    <x:cfRule type="containsText" dxfId="179" priority="4" operator="containsText" text="Expired"/>
    <x:cfRule type="containsText" dxfId="180" priority="5" operator="containsText" text="Hold"/>
    <x:cfRule type="containsText" dxfId="181" priority="6" operator="containsText" text="Review"/>
    <x:cfRule type="containsText" dxfId="182" priority="7" operator="containsText" text="Incomplete"/>
    <x:cfRule type="containsText" dxfId="183" priority="8" operator="containsText" text="Pending"/>
    <x:cfRule type="containsText" dxfId="184" priority="9" operator="containsText" text="Unsupported"/>
    <x:cfRule type="containsText" dxfId="185" priority="10" operator="containsText" text="Criteria"/>
    <x:cfRule type="containsText" dxfId="186" priority="11" operator="containsText" text="Fail"/>
    <x:cfRule type="containsText" dxfId="187" priority="12" operator="containsText" text="Stop"/>
    <x:cfRule type="containsText" dxfId="188" priority="13" operator="containsText" text="Breach"/>
    <x:cfRule type="containsText" dxfId="189" priority="14" operator="containsText" text="Invalid"/>
    <x:cfRule type="containsText" dxfId="190" priority="15" operator="containsText" text="Duplicate"/>
    <x:cfRule type="containsText" dxfId="191" priority="16" operator="containsText" text="Not aligned"/>
  </x:conditionalFormatting>
  <x:conditionalFormatting sqref="W9:W108">
    <x:cfRule type="containsText" dxfId="192" priority="17" operator="containsText" text="Missing"/>
    <x:cfRule type="containsText" dxfId="193" priority="18" operator="containsText" text="Required"/>
    <x:cfRule type="containsText" dxfId="194" priority="19" operator="containsText" text="required"/>
    <x:cfRule type="containsText" dxfId="195" priority="20" operator="containsText" text="Expired"/>
    <x:cfRule type="containsText" dxfId="196" priority="21" operator="containsText" text="Hold"/>
    <x:cfRule type="containsText" dxfId="197" priority="22" operator="containsText" text="Review"/>
    <x:cfRule type="containsText" dxfId="198" priority="23" operator="containsText" text="Incomplete"/>
    <x:cfRule type="containsText" dxfId="199" priority="24" operator="containsText" text="Pending"/>
    <x:cfRule type="containsText" dxfId="200" priority="25" operator="containsText" text="Unsupported"/>
    <x:cfRule type="containsText" dxfId="201" priority="26" operator="containsText" text="Criteria"/>
    <x:cfRule type="containsText" dxfId="202" priority="27" operator="containsText" text="Fail"/>
    <x:cfRule type="containsText" dxfId="203" priority="28" operator="containsText" text="Stop"/>
    <x:cfRule type="containsText" dxfId="204" priority="29" operator="containsText" text="Breach"/>
    <x:cfRule type="containsText" dxfId="205" priority="30" operator="containsText" text="Invalid"/>
    <x:cfRule type="containsText" dxfId="206" priority="31" operator="containsText" text="Duplicate"/>
    <x:cfRule type="containsText" dxfId="207" priority="32" operator="containsText" text="Not aligned"/>
  </x:conditionalFormatting>
  <x:dataValidations count="5">
    <x:dataValidation type="list" sqref="X9:X108">
      <x:formula1>"Standard,Enhanced,Incomplete"</x:formula1>
    </x:dataValidation>
    <x:dataValidation type="list" sqref="C9:C108">
      <x:formula1>"B001,B002,B003,B004,B005,B006,B007,B008,B009,B010,B011,B012,B013,B014,B015,B016,B017,B018,B019,B020,B021,B022,B023,B024"</x:formula1>
    </x:dataValidation>
    <x:dataValidation type="list" sqref="G9:G108">
      <x:formula1>"High,Moderate,Low"</x:formula1>
    </x:dataValidation>
    <x:dataValidation type="list" sqref="H9:H108">
      <x:formula1>"Yes,No,Unknown"</x:formula1>
    </x:dataValidation>
    <x:dataValidation type="whole" operator="between" sqref="I9:K108">
      <x:formula1>0</x:formula1>
      <x:formula2>100</x:formula2>
    </x:dataValidation>
  </x:dataValidations>
  <x:hyperlinks>
    <x:hyperlink ref="C7" location="'ESG'!H8" display="Issue scores" tooltip="Open ESG"/>
    <x:hyperlink ref="G7" location="'ESG'!P8" display="Decision and conditions" tooltip="Open ESG"/>
    <x:hyperlink ref="K7" location="'Actions'!C8" display="Evidence and actions" tooltip="Open Actions"/>
    <x:hyperlink ref="C1" location="'Overview'!C2" display="Home" tooltip="Open Overview"/>
    <x:hyperlink ref="E1" location="'Customer'!C2" display="Customer" tooltip="Open Customer"/>
    <x:hyperlink ref="G1" location="'Capital'!C2" display="Capital" tooltip="Open Capital"/>
    <x:hyperlink ref="I1" location="'Disclosures'!C2" display="Reporting" tooltip="Open Disclosures"/>
    <x:hyperlink ref="K1" location="'Borrowers'!C8" display="Inputs" tooltip="Open Borrowers"/>
    <x:hyperlink ref="M1" location="'Settings'!C5" display="Settings" tooltip="Open Settings"/>
  </x:hyperlinks>
  <x:pageMargins left="0.7" right="0.7" top="0.75" bottom="0.75" header="0.3" footer="0.3"/>
  <x:tableParts count="1">
    <x:tablePart xmlns:r="http://schemas.openxmlformats.org/officeDocument/2006/relationships" r:id="R9334582daa1248d9"/>
  </x:tableParts>
</x:worksheet>
</file>

<file path=xl/worksheets/sheet13.xml><?xml version="1.0" encoding="utf-8"?>
<x:worksheet xmlns:x="http://schemas.openxmlformats.org/spreadsheetml/2006/main">
  <x:sheetPr>
    <x:tabColor rgb="FF007F86"/>
  </x:sheetPr>
  <x:sheetViews>
    <x:sheetView showGridLines="0" workbookViewId="0">
      <x:pane xSplit="4" ySplit="8" topLeftCell="E9" activePane="bottomRight" state="frozen"/>
    </x:sheetView>
  </x:sheetViews>
  <x:sheetFormatPr defaultRowHeight="15"/>
  <x:cols>
    <x:col min="1" max="1" width="2.4000000953674316" hidden="0" customWidth="1"/>
    <x:col min="2" max="2" width="2.4000000953674316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  <x:col min="29" max="29" width="17" hidden="0" customWidth="1"/>
    <x:col min="30" max="30" width="17" hidden="0" customWidth="1"/>
    <x:col min="31" max="31" width="17" hidden="0" customWidth="1"/>
    <x:col min="32" max="32" width="17" hidden="0" customWidth="1"/>
    <x:col min="33" max="33" width="17" hidden="0" customWidth="1"/>
    <x:col min="34" max="34" width="17" hidden="0" customWidth="1"/>
  </x:cols>
  <x:sheetData>
    <x:row r="1" ht="27" customHeight="1">
      <x:c r="A1" s="1"/>
      <x:c r="B1" s="1"/>
      <x:c r="C1" s="50" t="str">
        <x:v>Home</x:v>
      </x:c>
      <x:c r="D1" s="50"/>
      <x:c r="E1" s="63" t="str">
        <x:v>Customer</x:v>
      </x:c>
      <x:c r="F1" s="63"/>
      <x:c r="G1" s="63" t="str">
        <x:v>Capital</x:v>
      </x:c>
      <x:c r="H1" s="63"/>
      <x:c r="I1" s="63" t="str">
        <x:v>Reporting</x:v>
      </x:c>
      <x:c r="J1" s="63"/>
      <x:c r="K1" s="63" t="str">
        <x:v>Inputs</x:v>
      </x:c>
      <x:c r="L1" s="63"/>
      <x:c r="M1" s="63" t="str">
        <x:v>Settings</x:v>
      </x:c>
      <x:c r="N1" s="6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</x:row>
    <x:row r="2" ht="45" customHeight="1">
      <x:c r="A2" s="1"/>
      <x:c r="B2" s="1"/>
      <x:c r="C2" s="5" t="str">
        <x:v>ACTIVITY CLASSIFICATION &amp; FINANCE</x:v>
      </x:c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  <x:c r="Y2" s="5"/>
      <x:c r="Z2" s="5"/>
      <x:c r="AA2" s="5"/>
      <x:c r="AB2" s="5"/>
      <x:c r="AC2" s="5"/>
      <x:c r="AD2" s="5"/>
      <x:c r="AE2" s="5"/>
      <x:c r="AF2" s="5"/>
      <x:c r="AG2" s="5"/>
      <x:c r="AH2" s="5"/>
    </x:row>
    <x:row r="3" ht="32" customHeight="1">
      <x:c r="A3" s="1"/>
      <x:c r="B3" s="1"/>
      <x:c r="C3" s="6" t="str">
        <x:v>Scheme follows Settings • Jordan outside Jordan is a reference benchmark • financing requires evidenced allocation</x:v>
      </x:c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  <x:c r="AA3" s="3"/>
      <x:c r="AB3" s="3"/>
      <x:c r="AC3" s="3"/>
      <x:c r="AD3" s="3"/>
      <x:c r="AE3" s="3"/>
      <x:c r="AF3" s="3"/>
      <x:c r="AG3" s="3"/>
      <x:c r="AH3" s="3"/>
    </x:row>
    <x:row r="4" ht="26" customHeight="1">
      <x:c r="A4" s="1"/>
      <x:c r="B4" s="1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  <x:c r="Y4" s="3"/>
      <x:c r="Z4" s="3"/>
      <x:c r="AA4" s="3"/>
      <x:c r="AB4" s="3"/>
      <x:c r="AC4" s="3"/>
      <x:c r="AD4" s="3"/>
      <x:c r="AE4" s="3"/>
      <x:c r="AF4" s="3"/>
      <x:c r="AG4" s="3"/>
      <x:c r="AH4" s="3"/>
    </x:row>
    <x:row r="5" ht="26" customHeight="1">
      <x:c r="A5" s="1"/>
      <x:c r="B5" s="1"/>
      <x:c r="C5" s="3" t="str">
        <x:v>Eligible / Green USDm</x:v>
      </x:c>
      <x:c r="D5" s="3"/>
      <x:c r="E5" s="3"/>
      <x:c r="F5" s="3"/>
      <x:c r="G5" s="3"/>
      <x:c r="H5" s="3" t="n">
        <x:f>SUM(AD9:AD108)</x:f>
        <x:v>16.12</x:v>
      </x:c>
      <x:c r="I5" s="3"/>
      <x:c r="J5" s="3"/>
      <x:c r="K5" s="3"/>
      <x:c r="L5" s="3" t="str">
        <x:v>Amber USDm</x:v>
      </x:c>
      <x:c r="M5" s="3"/>
      <x:c r="N5" s="3"/>
      <x:c r="O5" s="3"/>
      <x:c r="P5" s="3" t="n">
        <x:f>SUM(AE9:AE108)</x:f>
        <x:v>0</x:v>
      </x:c>
      <x:c r="Q5" s="3"/>
      <x:c r="R5" s="3"/>
      <x:c r="S5" s="3"/>
      <x:c r="T5" s="3" t="str">
        <x:v>Claims pending</x:v>
      </x:c>
      <x:c r="U5" s="3"/>
      <x:c r="V5" s="3"/>
      <x:c r="W5" s="3"/>
      <x:c r="X5" s="3" t="n">
        <x:f>COUNTIF(AC9:AC108,"Pending")</x:f>
        <x:v>22</x:v>
      </x:c>
      <x:c r="Y5" s="3"/>
      <x:c r="Z5" s="3"/>
      <x:c r="AA5" s="3"/>
      <x:c r="AB5" s="3"/>
      <x:c r="AC5" s="3"/>
      <x:c r="AD5" s="3"/>
      <x:c r="AE5" s="3"/>
      <x:c r="AF5" s="3"/>
      <x:c r="AG5" s="3"/>
      <x:c r="AH5" s="3"/>
    </x:row>
    <x:row r="6" ht="26" customHeight="1">
      <x:c r="A6" s="1"/>
      <x:c r="B6" s="1"/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  <x:c r="O6" s="3"/>
      <x:c r="P6" s="3"/>
      <x:c r="Q6" s="3"/>
      <x:c r="R6" s="3"/>
      <x:c r="S6" s="3"/>
      <x:c r="T6" s="3"/>
      <x:c r="U6" s="3"/>
      <x:c r="V6" s="3"/>
      <x:c r="W6" s="3"/>
      <x:c r="X6" s="3"/>
      <x:c r="Y6" s="3"/>
      <x:c r="Z6" s="3"/>
      <x:c r="AA6" s="3"/>
      <x:c r="AB6" s="3"/>
      <x:c r="AC6" s="3"/>
      <x:c r="AD6" s="3"/>
      <x:c r="AE6" s="3"/>
      <x:c r="AF6" s="3"/>
      <x:c r="AG6" s="3"/>
      <x:c r="AH6" s="3"/>
    </x:row>
    <x:row r="7" ht="26" customHeight="1">
      <x:c r="A7" s="1"/>
      <x:c r="B7" s="1"/>
      <x:c r="C7" s="50" t="str">
        <x:v>Activity and allocation</x:v>
      </x:c>
      <x:c r="D7" s="50"/>
      <x:c r="E7" s="50"/>
      <x:c r="F7" s="50"/>
      <x:c r="G7" s="63" t="str">
        <x:v>Tests and classification</x:v>
      </x:c>
      <x:c r="H7" s="63"/>
      <x:c r="I7" s="63"/>
      <x:c r="J7" s="63"/>
      <x:c r="K7" s="63" t="str">
        <x:v>Evidence tests</x:v>
      </x:c>
      <x:c r="L7" s="63"/>
      <x:c r="M7" s="63"/>
      <x:c r="N7" s="63"/>
      <x:c r="O7" s="3"/>
      <x:c r="P7" s="3"/>
      <x:c r="Q7" s="3"/>
      <x:c r="R7" s="3"/>
      <x:c r="S7" s="3"/>
      <x:c r="T7" s="3"/>
      <x:c r="U7" s="3"/>
      <x:c r="V7" s="3"/>
      <x:c r="W7" s="3"/>
      <x:c r="X7" s="3"/>
      <x:c r="Y7" s="3"/>
      <x:c r="Z7" s="3"/>
      <x:c r="AA7" s="3"/>
      <x:c r="AB7" s="3"/>
      <x:c r="AC7" s="3"/>
      <x:c r="AD7" s="3"/>
      <x:c r="AE7" s="3"/>
      <x:c r="AF7" s="3"/>
      <x:c r="AG7" s="3"/>
      <x:c r="AH7" s="3"/>
    </x:row>
    <x:row r="8" ht="46" customHeight="1">
      <x:c r="A8" s="1"/>
      <x:c r="B8" s="1"/>
      <x:c r="C8" s="15" t="str">
        <x:v>Assessment ID</x:v>
      </x:c>
      <x:c r="D8" s="15" t="str">
        <x:v>Facility ID</x:v>
      </x:c>
      <x:c r="E8" s="15" t="str">
        <x:v>Borrower ID</x:v>
      </x:c>
      <x:c r="F8" s="15" t="str">
        <x:v>Country</x:v>
      </x:c>
      <x:c r="G8" s="15" t="str">
        <x:v>Activity</x:v>
      </x:c>
      <x:c r="H8" s="15" t="str">
        <x:v>Scheme / version</x:v>
      </x:c>
      <x:c r="I8" s="15" t="str">
        <x:v>Use of scheme</x:v>
      </x:c>
      <x:c r="J8" s="15" t="str">
        <x:v>Performance year</x:v>
      </x:c>
      <x:c r="K8" s="15" t="str">
        <x:v>Primary metric</x:v>
      </x:c>
      <x:c r="L8" s="15" t="str">
        <x:v>Secondary metric</x:v>
      </x:c>
      <x:c r="M8" s="15" t="str">
        <x:v>Pathway</x:v>
      </x:c>
      <x:c r="N8" s="15" t="str">
        <x:v>Allocated USDm</x:v>
      </x:c>
      <x:c r="O8" s="15" t="str">
        <x:v>Allocation evidence</x:v>
      </x:c>
      <x:c r="P8" s="15" t="str">
        <x:v>Owner</x:v>
      </x:c>
      <x:c r="Q8" s="15" t="str">
        <x:v>Reviewer</x:v>
      </x:c>
      <x:c r="R8" s="15" t="str">
        <x:v>Review date</x:v>
      </x:c>
      <x:c r="S8" s="15" t="str">
        <x:v>Valid to</x:v>
      </x:c>
      <x:c r="T8" s="15" t="str">
        <x:v>Approval</x:v>
      </x:c>
      <x:c r="U8" s="15" t="str">
        <x:v>Technical route</x:v>
      </x:c>
      <x:c r="V8" s="15" t="str">
        <x:v>Tests required</x:v>
      </x:c>
      <x:c r="W8" s="15" t="str">
        <x:v>Tests complete</x:v>
      </x:c>
      <x:c r="X8" s="15" t="str">
        <x:v>Tests failed</x:v>
      </x:c>
      <x:c r="Y8" s="15" t="str">
        <x:v>Tests unresolved</x:v>
      </x:c>
      <x:c r="Z8" s="15" t="str">
        <x:v>Safeguards</x:v>
      </x:c>
      <x:c r="AA8" s="15" t="str">
        <x:v>Allocation control</x:v>
      </x:c>
      <x:c r="AB8" s="15" t="str">
        <x:v>Classification</x:v>
      </x:c>
      <x:c r="AC8" s="15" t="str">
        <x:v>Claim state</x:v>
      </x:c>
      <x:c r="AD8" s="15" t="str">
        <x:v>Eligible / Green USDm</x:v>
      </x:c>
      <x:c r="AE8" s="15" t="str">
        <x:v>Amber USDm</x:v>
      </x:c>
      <x:c r="AF8" s="15" t="str">
        <x:v>Decision note</x:v>
      </x:c>
      <x:c r="AG8" s="15" t="str">
        <x:v>Source</x:v>
      </x:c>
      <x:c r="AH8" s="15" t="str">
        <x:v>Record control</x:v>
      </x:c>
    </x:row>
    <x:row r="9" ht="26" customHeight="1">
      <x:c r="A9" s="1"/>
      <x:c r="B9" s="1"/>
      <x:c r="C9" s="8" t="str">
        <x:v>TAX-F001</x:v>
      </x:c>
      <x:c r="D9" s="8" t="str">
        <x:v>F001</x:v>
      </x:c>
      <x:c r="E9" s="9" t="str">
        <x:f>IF(C9="","",IFERROR(INDEX('Facilities'!$D$9:$D$108,MATCH(D9,'Facilities'!$C$9:$C$108,0)),""))</x:f>
        <x:v>B001</x:v>
      </x:c>
      <x:c r="F9" s="9" t="str">
        <x:f>IF(C9="","",IFERROR(INDEX('Borrowers'!$E$9:$E$108,MATCH(E9,'Borrowers'!$C$9:$C$108,0)),""))</x:f>
        <x:v>Egypt</x:v>
      </x:c>
      <x:c r="G9" s="9" t="str">
        <x:f>IF(C9="","",IFERROR(INDEX('Facilities'!$W$9:$W$108,MATCH(D9,'Facilities'!$C$9:$C$108,0)),""))</x:f>
        <x:v>Cement</x:v>
      </x:c>
      <x:c r="H9" s="9" t="str">
        <x:f>IF(C9="","",Settings!$F$11)</x:f>
        <x:v>Internal criteria</x:v>
      </x:c>
      <x:c r="I9" s="3" t="str">
        <x:f>IF(C9="","",IF(H9="Jordan 2026",IF(F9="Jordan","Jordan taxonomy","Reference benchmark"),"Internal policy"))</x:f>
        <x:v>Internal policy</x:v>
      </x:c>
      <x:c r="J9" s="8" t="n">
        <x:v>2025</x:v>
      </x:c>
      <x:c r="K9" s="35" t="n">
        <x:v>0.51</x:v>
      </x:c>
      <x:c r="L9" s="35" t="str"/>
      <x:c r="M9" s="8" t="str">
        <x:v>Green</x:v>
      </x:c>
      <x:c r="N9" s="16" t="n">
        <x:v>0</x:v>
      </x:c>
      <x:c r="O9" s="8" t="str"/>
      <x:c r="P9" s="8" t="str">
        <x:v>Taxonomy analyst 1</x:v>
      </x:c>
      <x:c r="Q9" s="8" t="str">
        <x:v>Taxonomy reviewer 1</x:v>
      </x:c>
      <x:c r="R9" s="10" t="n">
        <x:v>46266</x:v>
      </x:c>
      <x:c r="S9" s="10" t="n">
        <x:v>46631</x:v>
      </x:c>
      <x:c r="T9" s="8" t="str">
        <x:v>Approved</x:v>
      </x:c>
      <x:c r="U9" s="9" t="str">
        <x:f>IF(C9="","",IF(V9=0,"Criteria required",IF(OR(NOT(ISNUMBER(J9)),J9&lt;1900,J9&gt;YEAR(Settings!$F$8),IFERROR(MOD(J9,1),1)&lt;&gt;0,NOT(ISNUMBER(K9)),K9&lt;0,AND(H9="Internal criteria",OR(G9="Cement",G9="Building renovation"),OR(NOT(ISNUMBER(IFERROR(INDEX('Taxonomy Rules'!$G$9:$G$20,MATCH(H9&amp;"::"&amp;G9,'Taxonomy Rules'!$C$9:$C$20,0)),0))),IFERROR(INDEX('Taxonomy Rules'!$G$9:$G$20,MATCH(H9&amp;"::"&amp;G9,'Taxonomy Rules'!$C$9:$C$20,0)),0)&lt;=0,AND(G9="Building renovation",IFERROR(INDEX('Taxonomy Rules'!$G$9:$G$20,MATCH(H9&amp;"::"&amp;G9,'Taxonomy Rules'!$C$9:$C$20,0)),0)&gt;1)))),"Criteria required",IF(G9="Solar PV",IF(M9&lt;&gt;"Eligible activity","Criteria required",IF(K9=1,"Pass","Fail")),IF(G9="Cement",IF(M9="Amber",IF(H9="Jordan 2026",IF(YEAR(Settings!$F$8)&lt;2040,"Amber","Fail"),"Criteria required"),IF(M9&lt;&gt;"Green","Criteria required",IF(H9="Jordan 2026",IF(IFERROR(INDEX('Taxonomy Rules'!$P$9:$P$14,MATCH(J9,'Taxonomy Rules'!$O$9:$O$14,0)),0)=0,"Criteria required",IF(K9&lt;=IFERROR(INDEX('Taxonomy Rules'!$P$9:$P$14,MATCH(J9,'Taxonomy Rules'!$O$9:$O$14,0)),0),"Pass","Fail")),IF(K9&lt;=IFERROR(INDEX('Taxonomy Rules'!$G$9:$G$20,MATCH(H9&amp;"::"&amp;G9,'Taxonomy Rules'!$C$9:$C$20,0)),0),"Pass","Fail")))),IF(G9="Building renovation",IF(M9="Whole building",IF(K9=1,"Pass","Fail"),IF(M9&lt;&gt;"Improvement","Criteria required",IF(OR(K9&gt;1,NOT(ISNUMBER(L9)),L9&lt;0,L9&gt;1),"Criteria required",IF(MAX(K9,L9)&lt;IFERROR(INDEX('Taxonomy Rules'!$G$9:$G$20,MATCH(H9&amp;"::"&amp;G9,'Taxonomy Rules'!$C$9:$C$20,0)),0),"Fail",IF(H9="Jordan 2026",IF(YEAR(Settings!$F$8)&lt;2035,"Amber",IF(YEAR(Settings!$F$8)=2035,"Criteria required","Fail")),"Pass"))))),IF(G9="Road freight",IF(M9&lt;&gt;"Zero emissions","Criteria required",IF(AND(K9=0,ISNUMBER(L9),L9=0),"Pass","Fail")),IF(G9="New building",IF(NOT(OR(M9="Green",M9="Amber")),"Criteria required",IF(K9&lt;&gt;1,"Fail",IF(M9="Amber",IF(H9="Jordan 2026",IF(YEAR(Settings!$F$8)&lt;2030,"Amber",IF(YEAR(Settings!$F$8)=2030,"Criteria required","Fail")),"Criteria required"),"Pass"))),IF(G9="Building equipment",IF(M9&lt;&gt;"Equipment","Criteria required",IF(K9=1,"Pass","Fail")),"Criteria required")))))))))</x:f>
        <x:v>Pass</x:v>
      </x:c>
      <x:c r="V9" s="9" t="n">
        <x:f>IF(C9="","",IFERROR(INDEX('Taxonomy Rules'!$J$9:$J$20,MATCH(H9&amp;"::"&amp;G9,'Taxonomy Rules'!$C$9:$C$20,0)),0))</x:f>
        <x:v>13</x:v>
      </x:c>
      <x:c r="W9" s="9" t="n">
        <x:f>IF(C9="","",COUNTIFS('Taxonomy Tests'!$D$9:$D$2008,C9,'Taxonomy Tests'!$Q$9:$Q$2008,"Complete"))</x:f>
        <x:v>13</x:v>
      </x:c>
      <x:c r="X9" s="9" t="n">
        <x:f>IF(C9="","",COUNTIFS('Taxonomy Tests'!$D$9:$D$2008,C9,'Taxonomy Tests'!$P$9:$P$2008,"Fail"))</x:f>
        <x:v>0</x:v>
      </x:c>
      <x:c r="Y9" s="9" t="n">
        <x:f>IF(C9="","",MAX(0,V9-W9)+COUNTIFS('Taxonomy Tests'!$D$9:$D$2008,C9,'Taxonomy Tests'!$R$9:$R$2008,"Duplicate test")+COUNTIFS('Taxonomy Tests'!$D$9:$D$2008,C9,'Taxonomy Tests'!$R$9:$R$2008,"Unexpected test"))</x:f>
        <x:v>0</x:v>
      </x:c>
      <x:c r="Z9" s="9" t="str">
        <x:f>IF(C9="","",IF(X9&gt;0,"Fail",IF(AND(V9&gt;0,W9=V9,Y9=0,COUNTIF('Taxonomy Tests'!$D$9:$D$2008,C9)=V9),"Pass","Pending")))</x:f>
        <x:v>Pass</x:v>
      </x:c>
      <x:c r="AA9" s="9" t="str">
        <x:f>IF(C9="","",IF(COUNTIF(Facilities!$C$9:$C$108,D9)&lt;&gt;1,"Facility key",IF(OR(NOT(ISNUMBER(N9)),N9&lt;0),"Amount required",IF(SUMIF($D$9:$D$108,D9,$N$9:$N$108)&gt;IFERROR(INDEX('Facilities'!$AA$9:$AA$108,MATCH(D9,'Facilities'!$C$9:$C$108,0)),"")+0.000001,"Overallocated",IF(N9=0,"No allocation",IF(O9="","Evidence required","Valid"))))))</x:f>
        <x:v>No allocation</x:v>
      </x:c>
      <x:c r="AB9" s="3" t="str">
        <x:f>IF(C9="","",IF(OR(U9="Fail",Z9="Fail"),IF(H9="Jordan 2026","Red / not aligned","Not eligible"),IF(OR(U9="Criteria required",V9=0),"Criteria required",IF(Z9&lt;&gt;"Pass","Pending",IF(U9="Amber","Amber",IF(H9="Jordan 2026","Green","Eligible (internal)"))))))</x:f>
        <x:v>Eligible (internal)</x:v>
      </x:c>
      <x:c r="AC9" s="9" t="str">
        <x:f>IF(C9="","",IF(T9="Rejected","Rejected",IF(OR(AB9="Red / not aligned",AB9="Not eligible"),"Not eligible",IF(OR(AH9&lt;&gt;"Current",T9&lt;&gt;"Approved",Z9&lt;&gt;"Pass",(COUNTIFS('Actions'!$D$9:$D$308,E9,'Actions'!$E$9:$E$308,"E&amp;S",'Actions'!$F$9:$F$308,"Critical",'Actions'!$P$9:$P$308,"&lt;&gt;Closed",'Actions'!$C$9:$C$308,"&lt;&gt;")+COUNTIFS('Actions'!$D$9:$D$308,E9,'Actions'!$E$9:$E$308,"Taxonomy",'Actions'!$F$9:$F$308,"Critical",'Actions'!$P$9:$P$308,"&lt;&gt;Closed",'Actions'!$C$9:$C$308,"&lt;&gt;")+COUNTIFS('ESG'!$C$9:$C$108,E9,'ESG'!$H$9:$H$108,"Yes"))&gt;0,AND(AB9&lt;&gt;"Green",AB9&lt;&gt;"Amber",AB9&lt;&gt;"Eligible (internal)")),"Pending",IF(AA9="No allocation","Activity only",IF(AA9&lt;&gt;"Valid","Pending","Approved"))))))</x:f>
        <x:v>Pending</x:v>
      </x:c>
      <x:c r="AD9" s="21" t="n">
        <x:f>IF(C9="","",IF(AND(AC9="Approved",OR(AB9="Green",AB9="Eligible (internal)")),N9,0))</x:f>
        <x:v>0</x:v>
      </x:c>
      <x:c r="AE9" s="21" t="n">
        <x:f>IF(C9="","",IF(AND(AC9="Approved",AB9="Amber"),N9,0))</x:f>
        <x:v>0</x:v>
      </x:c>
      <x:c r="AF9" s="9" t="str">
        <x:f>IF(C9="","",IF((COUNTIFS('Actions'!$D$9:$D$308,E9,'Actions'!$E$9:$E$308,"E&amp;S",'Actions'!$F$9:$F$308,"Critical",'Actions'!$P$9:$P$308,"&lt;&gt;Closed",'Actions'!$C$9:$C$308,"&lt;&gt;")+COUNTIFS('Actions'!$D$9:$D$308,E9,'Actions'!$E$9:$E$308,"Taxonomy",'Actions'!$F$9:$F$308,"Critical",'Actions'!$P$9:$P$308,"&lt;&gt;Closed",'Actions'!$C$9:$C$308,"&lt;&gt;")+COUNTIFS('ESG'!$C$9:$C$108,E9,'ESG'!$H$9:$H$108,"Yes"))&gt;0,"Resolve critical E&amp;S / taxonomy issue",IF(AH9&lt;&gt;"Current",AH9,IF(Z9&lt;&gt;"Pass","Review individual tests",IF(U9="Criteria required","Sourced criteria / interpretation required",IF(AA9&lt;&gt;"Valid",AA9,IF(T9&lt;&gt;"Approved","Approval required",I9)))))))</x:f>
        <x:v>Resolve critical E&amp;S / taxonomy issue</x:v>
      </x:c>
      <x:c r="AG9" s="9" t="str">
        <x:f>IF(C9="","",IFERROR(INDEX('Taxonomy Rules'!$L$9:$L$20,MATCH(H9&amp;"::"&amp;G9,'Taxonomy Rules'!$C$9:$C$20,0)),"Unimplemented activity"))</x:f>
        <x:v>S10 pp49–51</x:v>
      </x:c>
      <x:c r="AH9" s="9" t="str">
        <x:f>IF(C9="","",IF(COUNTIF($C$9:$C$108,C9)&lt;&gt;1,"Duplicate ID",IF(OR(COUNTIF(Facilities!$C$9:$C$108,D9)&lt;&gt;1,COUNTIF(Borrowers!$C$9:$C$108,E9)&lt;&gt;1),"Key review",IF(OR(P9="",Q9="",P9=Q9,NOT(ISNUMBER(R9)),NOT(ISNUMBER(S9)),R9&gt;Settings!$F$8,S9&lt;R9),"Review required",IF(S9&lt;Settings!$F$8,"Expired","Current")))))</x:f>
        <x:v>Current</x:v>
      </x:c>
    </x:row>
    <x:row r="10" ht="26" customHeight="1">
      <x:c r="A10" s="1"/>
      <x:c r="B10" s="1"/>
      <x:c r="C10" s="8" t="str">
        <x:v>TAX-F002</x:v>
      </x:c>
      <x:c r="D10" s="8" t="str">
        <x:v>F002</x:v>
      </x:c>
      <x:c r="E10" s="9" t="str">
        <x:f>IF(C10="","",IFERROR(INDEX('Facilities'!$D$9:$D$108,MATCH(D10,'Facilities'!$C$9:$C$108,0)),""))</x:f>
        <x:v>B001</x:v>
      </x:c>
      <x:c r="F10" s="9" t="str">
        <x:f>IF(C10="","",IFERROR(INDEX('Borrowers'!$E$9:$E$108,MATCH(E10,'Borrowers'!$C$9:$C$108,0)),""))</x:f>
        <x:v>Egypt</x:v>
      </x:c>
      <x:c r="G10" s="9" t="str">
        <x:f>IF(C10="","",IFERROR(INDEX('Facilities'!$W$9:$W$108,MATCH(D10,'Facilities'!$C$9:$C$108,0)),""))</x:f>
        <x:v>Cement</x:v>
      </x:c>
      <x:c r="H10" s="9" t="str">
        <x:f>IF(C10="","",Settings!$F$11)</x:f>
        <x:v>Internal criteria</x:v>
      </x:c>
      <x:c r="I10" s="3" t="str">
        <x:f>IF(C10="","",IF(H10="Jordan 2026",IF(F10="Jordan","Jordan taxonomy","Reference benchmark"),"Internal policy"))</x:f>
        <x:v>Internal policy</x:v>
      </x:c>
      <x:c r="J10" s="8" t="n">
        <x:v>2025</x:v>
      </x:c>
      <x:c r="K10" s="35" t="n">
        <x:v>0.51</x:v>
      </x:c>
      <x:c r="L10" s="35" t="str"/>
      <x:c r="M10" s="8" t="str">
        <x:v>Green</x:v>
      </x:c>
      <x:c r="N10" s="16" t="n">
        <x:v>0</x:v>
      </x:c>
      <x:c r="O10" s="8" t="str"/>
      <x:c r="P10" s="8" t="str">
        <x:v>Taxonomy analyst 2</x:v>
      </x:c>
      <x:c r="Q10" s="8" t="str">
        <x:v>Taxonomy reviewer 2</x:v>
      </x:c>
      <x:c r="R10" s="10" t="n">
        <x:v>46266</x:v>
      </x:c>
      <x:c r="S10" s="10" t="n">
        <x:v>46631</x:v>
      </x:c>
      <x:c r="T10" s="8" t="str">
        <x:v>Approved</x:v>
      </x:c>
      <x:c r="U10" s="9" t="str">
        <x:f>IF(C10="","",IF(V10=0,"Criteria required",IF(OR(NOT(ISNUMBER(J10)),J10&lt;1900,J10&gt;YEAR(Settings!$F$8),IFERROR(MOD(J10,1),1)&lt;&gt;0,NOT(ISNUMBER(K10)),K10&lt;0,AND(H10="Internal criteria",OR(G10="Cement",G10="Building renovation"),OR(NOT(ISNUMBER(IFERROR(INDEX('Taxonomy Rules'!$G$9:$G$20,MATCH(H10&amp;"::"&amp;G10,'Taxonomy Rules'!$C$9:$C$20,0)),0))),IFERROR(INDEX('Taxonomy Rules'!$G$9:$G$20,MATCH(H10&amp;"::"&amp;G10,'Taxonomy Rules'!$C$9:$C$20,0)),0)&lt;=0,AND(G10="Building renovation",IFERROR(INDEX('Taxonomy Rules'!$G$9:$G$20,MATCH(H10&amp;"::"&amp;G10,'Taxonomy Rules'!$C$9:$C$20,0)),0)&gt;1)))),"Criteria required",IF(G10="Solar PV",IF(M10&lt;&gt;"Eligible activity","Criteria required",IF(K10=1,"Pass","Fail")),IF(G10="Cement",IF(M10="Amber",IF(H10="Jordan 2026",IF(YEAR(Settings!$F$8)&lt;2040,"Amber","Fail"),"Criteria required"),IF(M10&lt;&gt;"Green","Criteria required",IF(H10="Jordan 2026",IF(IFERROR(INDEX('Taxonomy Rules'!$P$9:$P$14,MATCH(J10,'Taxonomy Rules'!$O$9:$O$14,0)),0)=0,"Criteria required",IF(K10&lt;=IFERROR(INDEX('Taxonomy Rules'!$P$9:$P$14,MATCH(J10,'Taxonomy Rules'!$O$9:$O$14,0)),0),"Pass","Fail")),IF(K10&lt;=IFERROR(INDEX('Taxonomy Rules'!$G$9:$G$20,MATCH(H10&amp;"::"&amp;G10,'Taxonomy Rules'!$C$9:$C$20,0)),0),"Pass","Fail")))),IF(G10="Building renovation",IF(M10="Whole building",IF(K10=1,"Pass","Fail"),IF(M10&lt;&gt;"Improvement","Criteria required",IF(OR(K10&gt;1,NOT(ISNUMBER(L10)),L10&lt;0,L10&gt;1),"Criteria required",IF(MAX(K10,L10)&lt;IFERROR(INDEX('Taxonomy Rules'!$G$9:$G$20,MATCH(H10&amp;"::"&amp;G10,'Taxonomy Rules'!$C$9:$C$20,0)),0),"Fail",IF(H10="Jordan 2026",IF(YEAR(Settings!$F$8)&lt;2035,"Amber",IF(YEAR(Settings!$F$8)=2035,"Criteria required","Fail")),"Pass"))))),IF(G10="Road freight",IF(M10&lt;&gt;"Zero emissions","Criteria required",IF(AND(K10=0,ISNUMBER(L10),L10=0),"Pass","Fail")),IF(G10="New building",IF(NOT(OR(M10="Green",M10="Amber")),"Criteria required",IF(K10&lt;&gt;1,"Fail",IF(M10="Amber",IF(H10="Jordan 2026",IF(YEAR(Settings!$F$8)&lt;2030,"Amber",IF(YEAR(Settings!$F$8)=2030,"Criteria required","Fail")),"Criteria required"),"Pass"))),IF(G10="Building equipment",IF(M10&lt;&gt;"Equipment","Criteria required",IF(K10=1,"Pass","Fail")),"Criteria required")))))))))</x:f>
        <x:v>Pass</x:v>
      </x:c>
      <x:c r="V10" s="9" t="n">
        <x:f>IF(C10="","",IFERROR(INDEX('Taxonomy Rules'!$J$9:$J$20,MATCH(H10&amp;"::"&amp;G10,'Taxonomy Rules'!$C$9:$C$20,0)),0))</x:f>
        <x:v>13</x:v>
      </x:c>
      <x:c r="W10" s="9" t="n">
        <x:f>IF(C10="","",COUNTIFS('Taxonomy Tests'!$D$9:$D$2008,C10,'Taxonomy Tests'!$Q$9:$Q$2008,"Complete"))</x:f>
        <x:v>13</x:v>
      </x:c>
      <x:c r="X10" s="9" t="n">
        <x:f>IF(C10="","",COUNTIFS('Taxonomy Tests'!$D$9:$D$2008,C10,'Taxonomy Tests'!$P$9:$P$2008,"Fail"))</x:f>
        <x:v>0</x:v>
      </x:c>
      <x:c r="Y10" s="9" t="n">
        <x:f>IF(C10="","",MAX(0,V10-W10)+COUNTIFS('Taxonomy Tests'!$D$9:$D$2008,C10,'Taxonomy Tests'!$R$9:$R$2008,"Duplicate test")+COUNTIFS('Taxonomy Tests'!$D$9:$D$2008,C10,'Taxonomy Tests'!$R$9:$R$2008,"Unexpected test"))</x:f>
        <x:v>0</x:v>
      </x:c>
      <x:c r="Z10" s="9" t="str">
        <x:f>IF(C10="","",IF(X10&gt;0,"Fail",IF(AND(V10&gt;0,W10=V10,Y10=0,COUNTIF('Taxonomy Tests'!$D$9:$D$2008,C10)=V10),"Pass","Pending")))</x:f>
        <x:v>Pass</x:v>
      </x:c>
      <x:c r="AA10" s="9" t="str">
        <x:f>IF(C10="","",IF(COUNTIF(Facilities!$C$9:$C$108,D10)&lt;&gt;1,"Facility key",IF(OR(NOT(ISNUMBER(N10)),N10&lt;0),"Amount required",IF(SUMIF($D$9:$D$108,D10,$N$9:$N$108)&gt;IFERROR(INDEX('Facilities'!$AA$9:$AA$108,MATCH(D10,'Facilities'!$C$9:$C$108,0)),"")+0.000001,"Overallocated",IF(N10=0,"No allocation",IF(O10="","Evidence required","Valid"))))))</x:f>
        <x:v>No allocation</x:v>
      </x:c>
      <x:c r="AB10" s="3" t="str">
        <x:f>IF(C10="","",IF(OR(U10="Fail",Z10="Fail"),IF(H10="Jordan 2026","Red / not aligned","Not eligible"),IF(OR(U10="Criteria required",V10=0),"Criteria required",IF(Z10&lt;&gt;"Pass","Pending",IF(U10="Amber","Amber",IF(H10="Jordan 2026","Green","Eligible (internal)"))))))</x:f>
        <x:v>Eligible (internal)</x:v>
      </x:c>
      <x:c r="AC10" s="9" t="str">
        <x:f>IF(C10="","",IF(T10="Rejected","Rejected",IF(OR(AB10="Red / not aligned",AB10="Not eligible"),"Not eligible",IF(OR(AH10&lt;&gt;"Current",T10&lt;&gt;"Approved",Z10&lt;&gt;"Pass",(COUNTIFS('Actions'!$D$9:$D$308,E10,'Actions'!$E$9:$E$308,"E&amp;S",'Actions'!$F$9:$F$308,"Critical",'Actions'!$P$9:$P$308,"&lt;&gt;Closed",'Actions'!$C$9:$C$308,"&lt;&gt;")+COUNTIFS('Actions'!$D$9:$D$308,E10,'Actions'!$E$9:$E$308,"Taxonomy",'Actions'!$F$9:$F$308,"Critical",'Actions'!$P$9:$P$308,"&lt;&gt;Closed",'Actions'!$C$9:$C$308,"&lt;&gt;")+COUNTIFS('ESG'!$C$9:$C$108,E10,'ESG'!$H$9:$H$108,"Yes"))&gt;0,AND(AB10&lt;&gt;"Green",AB10&lt;&gt;"Amber",AB10&lt;&gt;"Eligible (internal)")),"Pending",IF(AA10="No allocation","Activity only",IF(AA10&lt;&gt;"Valid","Pending","Approved"))))))</x:f>
        <x:v>Pending</x:v>
      </x:c>
      <x:c r="AD10" s="21" t="n">
        <x:f>IF(C10="","",IF(AND(AC10="Approved",OR(AB10="Green",AB10="Eligible (internal)")),N10,0))</x:f>
        <x:v>0</x:v>
      </x:c>
      <x:c r="AE10" s="21" t="n">
        <x:f>IF(C10="","",IF(AND(AC10="Approved",AB10="Amber"),N10,0))</x:f>
        <x:v>0</x:v>
      </x:c>
      <x:c r="AF10" s="9" t="str">
        <x:f>IF(C10="","",IF((COUNTIFS('Actions'!$D$9:$D$308,E10,'Actions'!$E$9:$E$308,"E&amp;S",'Actions'!$F$9:$F$308,"Critical",'Actions'!$P$9:$P$308,"&lt;&gt;Closed",'Actions'!$C$9:$C$308,"&lt;&gt;")+COUNTIFS('Actions'!$D$9:$D$308,E10,'Actions'!$E$9:$E$308,"Taxonomy",'Actions'!$F$9:$F$308,"Critical",'Actions'!$P$9:$P$308,"&lt;&gt;Closed",'Actions'!$C$9:$C$308,"&lt;&gt;")+COUNTIFS('ESG'!$C$9:$C$108,E10,'ESG'!$H$9:$H$108,"Yes"))&gt;0,"Resolve critical E&amp;S / taxonomy issue",IF(AH10&lt;&gt;"Current",AH10,IF(Z10&lt;&gt;"Pass","Review individual tests",IF(U10="Criteria required","Sourced criteria / interpretation required",IF(AA10&lt;&gt;"Valid",AA10,IF(T10&lt;&gt;"Approved","Approval required",I10)))))))</x:f>
        <x:v>Resolve critical E&amp;S / taxonomy issue</x:v>
      </x:c>
      <x:c r="AG10" s="9" t="str">
        <x:f>IF(C10="","",IFERROR(INDEX('Taxonomy Rules'!$L$9:$L$20,MATCH(H10&amp;"::"&amp;G10,'Taxonomy Rules'!$C$9:$C$20,0)),"Unimplemented activity"))</x:f>
        <x:v>S10 pp49–51</x:v>
      </x:c>
      <x:c r="AH10" s="9" t="str">
        <x:f>IF(C10="","",IF(COUNTIF($C$9:$C$108,C10)&lt;&gt;1,"Duplicate ID",IF(OR(COUNTIF(Facilities!$C$9:$C$108,D10)&lt;&gt;1,COUNTIF(Borrowers!$C$9:$C$108,E10)&lt;&gt;1),"Key review",IF(OR(P10="",Q10="",P10=Q10,NOT(ISNUMBER(R10)),NOT(ISNUMBER(S10)),R10&gt;Settings!$F$8,S10&lt;R10),"Review required",IF(S10&lt;Settings!$F$8,"Expired","Current")))))</x:f>
        <x:v>Current</x:v>
      </x:c>
    </x:row>
    <x:row r="11" ht="26" customHeight="1">
      <x:c r="A11" s="1"/>
      <x:c r="B11" s="1"/>
      <x:c r="C11" s="8" t="str">
        <x:v>TAX-F003</x:v>
      </x:c>
      <x:c r="D11" s="8" t="str">
        <x:v>F003</x:v>
      </x:c>
      <x:c r="E11" s="9" t="str">
        <x:f>IF(C11="","",IFERROR(INDEX('Facilities'!$D$9:$D$108,MATCH(D11,'Facilities'!$C$9:$C$108,0)),""))</x:f>
        <x:v>B002</x:v>
      </x:c>
      <x:c r="F11" s="9" t="str">
        <x:f>IF(C11="","",IFERROR(INDEX('Borrowers'!$E$9:$E$108,MATCH(E11,'Borrowers'!$C$9:$C$108,0)),""))</x:f>
        <x:v>Egypt</x:v>
      </x:c>
      <x:c r="G11" s="9" t="str">
        <x:f>IF(C11="","",IFERROR(INDEX('Facilities'!$W$9:$W$108,MATCH(D11,'Facilities'!$C$9:$C$108,0)),""))</x:f>
        <x:v>Solar PV</x:v>
      </x:c>
      <x:c r="H11" s="9" t="str">
        <x:f>IF(C11="","",Settings!$F$11)</x:f>
        <x:v>Internal criteria</x:v>
      </x:c>
      <x:c r="I11" s="3" t="str">
        <x:f>IF(C11="","",IF(H11="Jordan 2026",IF(F11="Jordan","Jordan taxonomy","Reference benchmark"),"Internal policy"))</x:f>
        <x:v>Internal policy</x:v>
      </x:c>
      <x:c r="J11" s="8" t="n">
        <x:v>2025</x:v>
      </x:c>
      <x:c r="K11" s="35" t="n">
        <x:v>1</x:v>
      </x:c>
      <x:c r="L11" s="35" t="str"/>
      <x:c r="M11" s="8" t="str">
        <x:v>Eligible activity</x:v>
      </x:c>
      <x:c r="N11" s="16" t="n">
        <x:v>0</x:v>
      </x:c>
      <x:c r="O11" s="8" t="str"/>
      <x:c r="P11" s="8" t="str">
        <x:v>Taxonomy analyst 3</x:v>
      </x:c>
      <x:c r="Q11" s="8" t="str">
        <x:v>Taxonomy reviewer 1</x:v>
      </x:c>
      <x:c r="R11" s="10" t="n">
        <x:v>46266</x:v>
      </x:c>
      <x:c r="S11" s="10" t="n">
        <x:v>46631</x:v>
      </x:c>
      <x:c r="T11" s="8" t="str">
        <x:v>Approved</x:v>
      </x:c>
      <x:c r="U11" s="9" t="str">
        <x:f>IF(C11="","",IF(V11=0,"Criteria required",IF(OR(NOT(ISNUMBER(J11)),J11&lt;1900,J11&gt;YEAR(Settings!$F$8),IFERROR(MOD(J11,1),1)&lt;&gt;0,NOT(ISNUMBER(K11)),K11&lt;0,AND(H11="Internal criteria",OR(G11="Cement",G11="Building renovation"),OR(NOT(ISNUMBER(IFERROR(INDEX('Taxonomy Rules'!$G$9:$G$20,MATCH(H11&amp;"::"&amp;G11,'Taxonomy Rules'!$C$9:$C$20,0)),0))),IFERROR(INDEX('Taxonomy Rules'!$G$9:$G$20,MATCH(H11&amp;"::"&amp;G11,'Taxonomy Rules'!$C$9:$C$20,0)),0)&lt;=0,AND(G11="Building renovation",IFERROR(INDEX('Taxonomy Rules'!$G$9:$G$20,MATCH(H11&amp;"::"&amp;G11,'Taxonomy Rules'!$C$9:$C$20,0)),0)&gt;1)))),"Criteria required",IF(G11="Solar PV",IF(M11&lt;&gt;"Eligible activity","Criteria required",IF(K11=1,"Pass","Fail")),IF(G11="Cement",IF(M11="Amber",IF(H11="Jordan 2026",IF(YEAR(Settings!$F$8)&lt;2040,"Amber","Fail"),"Criteria required"),IF(M11&lt;&gt;"Green","Criteria required",IF(H11="Jordan 2026",IF(IFERROR(INDEX('Taxonomy Rules'!$P$9:$P$14,MATCH(J11,'Taxonomy Rules'!$O$9:$O$14,0)),0)=0,"Criteria required",IF(K11&lt;=IFERROR(INDEX('Taxonomy Rules'!$P$9:$P$14,MATCH(J11,'Taxonomy Rules'!$O$9:$O$14,0)),0),"Pass","Fail")),IF(K11&lt;=IFERROR(INDEX('Taxonomy Rules'!$G$9:$G$20,MATCH(H11&amp;"::"&amp;G11,'Taxonomy Rules'!$C$9:$C$20,0)),0),"Pass","Fail")))),IF(G11="Building renovation",IF(M11="Whole building",IF(K11=1,"Pass","Fail"),IF(M11&lt;&gt;"Improvement","Criteria required",IF(OR(K11&gt;1,NOT(ISNUMBER(L11)),L11&lt;0,L11&gt;1),"Criteria required",IF(MAX(K11,L11)&lt;IFERROR(INDEX('Taxonomy Rules'!$G$9:$G$20,MATCH(H11&amp;"::"&amp;G11,'Taxonomy Rules'!$C$9:$C$20,0)),0),"Fail",IF(H11="Jordan 2026",IF(YEAR(Settings!$F$8)&lt;2035,"Amber",IF(YEAR(Settings!$F$8)=2035,"Criteria required","Fail")),"Pass"))))),IF(G11="Road freight",IF(M11&lt;&gt;"Zero emissions","Criteria required",IF(AND(K11=0,ISNUMBER(L11),L11=0),"Pass","Fail")),IF(G11="New building",IF(NOT(OR(M11="Green",M11="Amber")),"Criteria required",IF(K11&lt;&gt;1,"Fail",IF(M11="Amber",IF(H11="Jordan 2026",IF(YEAR(Settings!$F$8)&lt;2030,"Amber",IF(YEAR(Settings!$F$8)=2030,"Criteria required","Fail")),"Criteria required"),"Pass"))),IF(G11="Building equipment",IF(M11&lt;&gt;"Equipment","Criteria required",IF(K11=1,"Pass","Fail")),"Criteria required")))))))))</x:f>
        <x:v>Pass</x:v>
      </x:c>
      <x:c r="V11" s="9" t="n">
        <x:f>IF(C11="","",IFERROR(INDEX('Taxonomy Rules'!$J$9:$J$20,MATCH(H11&amp;"::"&amp;G11,'Taxonomy Rules'!$C$9:$C$20,0)),0))</x:f>
        <x:v>12</x:v>
      </x:c>
      <x:c r="W11" s="9" t="n">
        <x:f>IF(C11="","",COUNTIFS('Taxonomy Tests'!$D$9:$D$2008,C11,'Taxonomy Tests'!$Q$9:$Q$2008,"Complete"))</x:f>
        <x:v>12</x:v>
      </x:c>
      <x:c r="X11" s="9" t="n">
        <x:f>IF(C11="","",COUNTIFS('Taxonomy Tests'!$D$9:$D$2008,C11,'Taxonomy Tests'!$P$9:$P$2008,"Fail"))</x:f>
        <x:v>0</x:v>
      </x:c>
      <x:c r="Y11" s="9" t="n">
        <x:f>IF(C11="","",MAX(0,V11-W11)+COUNTIFS('Taxonomy Tests'!$D$9:$D$2008,C11,'Taxonomy Tests'!$R$9:$R$2008,"Duplicate test")+COUNTIFS('Taxonomy Tests'!$D$9:$D$2008,C11,'Taxonomy Tests'!$R$9:$R$2008,"Unexpected test"))</x:f>
        <x:v>0</x:v>
      </x:c>
      <x:c r="Z11" s="9" t="str">
        <x:f>IF(C11="","",IF(X11&gt;0,"Fail",IF(AND(V11&gt;0,W11=V11,Y11=0,COUNTIF('Taxonomy Tests'!$D$9:$D$2008,C11)=V11),"Pass","Pending")))</x:f>
        <x:v>Pass</x:v>
      </x:c>
      <x:c r="AA11" s="9" t="str">
        <x:f>IF(C11="","",IF(COUNTIF(Facilities!$C$9:$C$108,D11)&lt;&gt;1,"Facility key",IF(OR(NOT(ISNUMBER(N11)),N11&lt;0),"Amount required",IF(SUMIF($D$9:$D$108,D11,$N$9:$N$108)&gt;IFERROR(INDEX('Facilities'!$AA$9:$AA$108,MATCH(D11,'Facilities'!$C$9:$C$108,0)),"")+0.000001,"Overallocated",IF(N11=0,"No allocation",IF(O11="","Evidence required","Valid"))))))</x:f>
        <x:v>No allocation</x:v>
      </x:c>
      <x:c r="AB11" s="3" t="str">
        <x:f>IF(C11="","",IF(OR(U11="Fail",Z11="Fail"),IF(H11="Jordan 2026","Red / not aligned","Not eligible"),IF(OR(U11="Criteria required",V11=0),"Criteria required",IF(Z11&lt;&gt;"Pass","Pending",IF(U11="Amber","Amber",IF(H11="Jordan 2026","Green","Eligible (internal)"))))))</x:f>
        <x:v>Eligible (internal)</x:v>
      </x:c>
      <x:c r="AC11" s="9" t="str">
        <x:f>IF(C11="","",IF(T11="Rejected","Rejected",IF(OR(AB11="Red / not aligned",AB11="Not eligible"),"Not eligible",IF(OR(AH11&lt;&gt;"Current",T11&lt;&gt;"Approved",Z11&lt;&gt;"Pass",(COUNTIFS('Actions'!$D$9:$D$308,E11,'Actions'!$E$9:$E$308,"E&amp;S",'Actions'!$F$9:$F$308,"Critical",'Actions'!$P$9:$P$308,"&lt;&gt;Closed",'Actions'!$C$9:$C$308,"&lt;&gt;")+COUNTIFS('Actions'!$D$9:$D$308,E11,'Actions'!$E$9:$E$308,"Taxonomy",'Actions'!$F$9:$F$308,"Critical",'Actions'!$P$9:$P$308,"&lt;&gt;Closed",'Actions'!$C$9:$C$308,"&lt;&gt;")+COUNTIFS('ESG'!$C$9:$C$108,E11,'ESG'!$H$9:$H$108,"Yes"))&gt;0,AND(AB11&lt;&gt;"Green",AB11&lt;&gt;"Amber",AB11&lt;&gt;"Eligible (internal)")),"Pending",IF(AA11="No allocation","Activity only",IF(AA11&lt;&gt;"Valid","Pending","Approved"))))))</x:f>
        <x:v>Activity only</x:v>
      </x:c>
      <x:c r="AD11" s="21" t="n">
        <x:f>IF(C11="","",IF(AND(AC11="Approved",OR(AB11="Green",AB11="Eligible (internal)")),N11,0))</x:f>
        <x:v>0</x:v>
      </x:c>
      <x:c r="AE11" s="21" t="n">
        <x:f>IF(C11="","",IF(AND(AC11="Approved",AB11="Amber"),N11,0))</x:f>
        <x:v>0</x:v>
      </x:c>
      <x:c r="AF11" s="9" t="str">
        <x:f>IF(C11="","",IF((COUNTIFS('Actions'!$D$9:$D$308,E11,'Actions'!$E$9:$E$308,"E&amp;S",'Actions'!$F$9:$F$308,"Critical",'Actions'!$P$9:$P$308,"&lt;&gt;Closed",'Actions'!$C$9:$C$308,"&lt;&gt;")+COUNTIFS('Actions'!$D$9:$D$308,E11,'Actions'!$E$9:$E$308,"Taxonomy",'Actions'!$F$9:$F$308,"Critical",'Actions'!$P$9:$P$308,"&lt;&gt;Closed",'Actions'!$C$9:$C$308,"&lt;&gt;")+COUNTIFS('ESG'!$C$9:$C$108,E11,'ESG'!$H$9:$H$108,"Yes"))&gt;0,"Resolve critical E&amp;S / taxonomy issue",IF(AH11&lt;&gt;"Current",AH11,IF(Z11&lt;&gt;"Pass","Review individual tests",IF(U11="Criteria required","Sourced criteria / interpretation required",IF(AA11&lt;&gt;"Valid",AA11,IF(T11&lt;&gt;"Approved","Approval required",I11)))))))</x:f>
        <x:v>No allocation</x:v>
      </x:c>
      <x:c r="AG11" s="9" t="str">
        <x:f>IF(C11="","",IFERROR(INDEX('Taxonomy Rules'!$L$9:$L$20,MATCH(H11&amp;"::"&amp;G11,'Taxonomy Rules'!$C$9:$C$20,0)),"Unimplemented activity"))</x:f>
        <x:v>S10 p86</x:v>
      </x:c>
      <x:c r="AH11" s="9" t="str">
        <x:f>IF(C11="","",IF(COUNTIF($C$9:$C$108,C11)&lt;&gt;1,"Duplicate ID",IF(OR(COUNTIF(Facilities!$C$9:$C$108,D11)&lt;&gt;1,COUNTIF(Borrowers!$C$9:$C$108,E11)&lt;&gt;1),"Key review",IF(OR(P11="",Q11="",P11=Q11,NOT(ISNUMBER(R11)),NOT(ISNUMBER(S11)),R11&gt;Settings!$F$8,S11&lt;R11),"Review required",IF(S11&lt;Settings!$F$8,"Expired","Current")))))</x:f>
        <x:v>Current</x:v>
      </x:c>
    </x:row>
    <x:row r="12" ht="26" customHeight="1">
      <x:c r="A12" s="1"/>
      <x:c r="B12" s="1"/>
      <x:c r="C12" s="8" t="str">
        <x:v>TAX-F004</x:v>
      </x:c>
      <x:c r="D12" s="8" t="str">
        <x:v>F004</x:v>
      </x:c>
      <x:c r="E12" s="9" t="str">
        <x:f>IF(C12="","",IFERROR(INDEX('Facilities'!$D$9:$D$108,MATCH(D12,'Facilities'!$C$9:$C$108,0)),""))</x:f>
        <x:v>B002</x:v>
      </x:c>
      <x:c r="F12" s="9" t="str">
        <x:f>IF(C12="","",IFERROR(INDEX('Borrowers'!$E$9:$E$108,MATCH(E12,'Borrowers'!$C$9:$C$108,0)),""))</x:f>
        <x:v>Egypt</x:v>
      </x:c>
      <x:c r="G12" s="9" t="str">
        <x:f>IF(C12="","",IFERROR(INDEX('Facilities'!$W$9:$W$108,MATCH(D12,'Facilities'!$C$9:$C$108,0)),""))</x:f>
        <x:v>Solar PV</x:v>
      </x:c>
      <x:c r="H12" s="9" t="str">
        <x:f>IF(C12="","",Settings!$F$11)</x:f>
        <x:v>Internal criteria</x:v>
      </x:c>
      <x:c r="I12" s="3" t="str">
        <x:f>IF(C12="","",IF(H12="Jordan 2026",IF(F12="Jordan","Jordan taxonomy","Reference benchmark"),"Internal policy"))</x:f>
        <x:v>Internal policy</x:v>
      </x:c>
      <x:c r="J12" s="8" t="n">
        <x:v>2025</x:v>
      </x:c>
      <x:c r="K12" s="35" t="n">
        <x:v>1</x:v>
      </x:c>
      <x:c r="L12" s="35" t="str"/>
      <x:c r="M12" s="8" t="str">
        <x:v>Eligible activity</x:v>
      </x:c>
      <x:c r="N12" s="38" t="n">
        <x:f>IFERROR(INDEX('Facilities'!$AA$9:$AA$108,MATCH(D12,'Facilities'!$C$9:$C$108,0)),"")*0.8</x:f>
        <x:v>2.2800000000000002</x:v>
      </x:c>
      <x:c r="O12" s="8" t="str">
        <x:v>SYN-ALLOC-F004</x:v>
      </x:c>
      <x:c r="P12" s="8" t="str">
        <x:v>Taxonomy analyst 1</x:v>
      </x:c>
      <x:c r="Q12" s="8" t="str">
        <x:v>Taxonomy reviewer 2</x:v>
      </x:c>
      <x:c r="R12" s="10" t="n">
        <x:v>46266</x:v>
      </x:c>
      <x:c r="S12" s="10" t="n">
        <x:v>46631</x:v>
      </x:c>
      <x:c r="T12" s="8" t="str">
        <x:v>Approved</x:v>
      </x:c>
      <x:c r="U12" s="9" t="str">
        <x:f>IF(C12="","",IF(V12=0,"Criteria required",IF(OR(NOT(ISNUMBER(J12)),J12&lt;1900,J12&gt;YEAR(Settings!$F$8),IFERROR(MOD(J12,1),1)&lt;&gt;0,NOT(ISNUMBER(K12)),K12&lt;0,AND(H12="Internal criteria",OR(G12="Cement",G12="Building renovation"),OR(NOT(ISNUMBER(IFERROR(INDEX('Taxonomy Rules'!$G$9:$G$20,MATCH(H12&amp;"::"&amp;G12,'Taxonomy Rules'!$C$9:$C$20,0)),0))),IFERROR(INDEX('Taxonomy Rules'!$G$9:$G$20,MATCH(H12&amp;"::"&amp;G12,'Taxonomy Rules'!$C$9:$C$20,0)),0)&lt;=0,AND(G12="Building renovation",IFERROR(INDEX('Taxonomy Rules'!$G$9:$G$20,MATCH(H12&amp;"::"&amp;G12,'Taxonomy Rules'!$C$9:$C$20,0)),0)&gt;1)))),"Criteria required",IF(G12="Solar PV",IF(M12&lt;&gt;"Eligible activity","Criteria required",IF(K12=1,"Pass","Fail")),IF(G12="Cement",IF(M12="Amber",IF(H12="Jordan 2026",IF(YEAR(Settings!$F$8)&lt;2040,"Amber","Fail"),"Criteria required"),IF(M12&lt;&gt;"Green","Criteria required",IF(H12="Jordan 2026",IF(IFERROR(INDEX('Taxonomy Rules'!$P$9:$P$14,MATCH(J12,'Taxonomy Rules'!$O$9:$O$14,0)),0)=0,"Criteria required",IF(K12&lt;=IFERROR(INDEX('Taxonomy Rules'!$P$9:$P$14,MATCH(J12,'Taxonomy Rules'!$O$9:$O$14,0)),0),"Pass","Fail")),IF(K12&lt;=IFERROR(INDEX('Taxonomy Rules'!$G$9:$G$20,MATCH(H12&amp;"::"&amp;G12,'Taxonomy Rules'!$C$9:$C$20,0)),0),"Pass","Fail")))),IF(G12="Building renovation",IF(M12="Whole building",IF(K12=1,"Pass","Fail"),IF(M12&lt;&gt;"Improvement","Criteria required",IF(OR(K12&gt;1,NOT(ISNUMBER(L12)),L12&lt;0,L12&gt;1),"Criteria required",IF(MAX(K12,L12)&lt;IFERROR(INDEX('Taxonomy Rules'!$G$9:$G$20,MATCH(H12&amp;"::"&amp;G12,'Taxonomy Rules'!$C$9:$C$20,0)),0),"Fail",IF(H12="Jordan 2026",IF(YEAR(Settings!$F$8)&lt;2035,"Amber",IF(YEAR(Settings!$F$8)=2035,"Criteria required","Fail")),"Pass"))))),IF(G12="Road freight",IF(M12&lt;&gt;"Zero emissions","Criteria required",IF(AND(K12=0,ISNUMBER(L12),L12=0),"Pass","Fail")),IF(G12="New building",IF(NOT(OR(M12="Green",M12="Amber")),"Criteria required",IF(K12&lt;&gt;1,"Fail",IF(M12="Amber",IF(H12="Jordan 2026",IF(YEAR(Settings!$F$8)&lt;2030,"Amber",IF(YEAR(Settings!$F$8)=2030,"Criteria required","Fail")),"Criteria required"),"Pass"))),IF(G12="Building equipment",IF(M12&lt;&gt;"Equipment","Criteria required",IF(K12=1,"Pass","Fail")),"Criteria required")))))))))</x:f>
        <x:v>Pass</x:v>
      </x:c>
      <x:c r="V12" s="9" t="n">
        <x:f>IF(C12="","",IFERROR(INDEX('Taxonomy Rules'!$J$9:$J$20,MATCH(H12&amp;"::"&amp;G12,'Taxonomy Rules'!$C$9:$C$20,0)),0))</x:f>
        <x:v>12</x:v>
      </x:c>
      <x:c r="W12" s="9" t="n">
        <x:f>IF(C12="","",COUNTIFS('Taxonomy Tests'!$D$9:$D$2008,C12,'Taxonomy Tests'!$Q$9:$Q$2008,"Complete"))</x:f>
        <x:v>11</x:v>
      </x:c>
      <x:c r="X12" s="9" t="n">
        <x:f>IF(C12="","",COUNTIFS('Taxonomy Tests'!$D$9:$D$2008,C12,'Taxonomy Tests'!$P$9:$P$2008,"Fail"))</x:f>
        <x:v>0</x:v>
      </x:c>
      <x:c r="Y12" s="9" t="n">
        <x:f>IF(C12="","",MAX(0,V12-W12)+COUNTIFS('Taxonomy Tests'!$D$9:$D$2008,C12,'Taxonomy Tests'!$R$9:$R$2008,"Duplicate test")+COUNTIFS('Taxonomy Tests'!$D$9:$D$2008,C12,'Taxonomy Tests'!$R$9:$R$2008,"Unexpected test"))</x:f>
        <x:v>1</x:v>
      </x:c>
      <x:c r="Z12" s="9" t="str">
        <x:f>IF(C12="","",IF(X12&gt;0,"Fail",IF(AND(V12&gt;0,W12=V12,Y12=0,COUNTIF('Taxonomy Tests'!$D$9:$D$2008,C12)=V12),"Pass","Pending")))</x:f>
        <x:v>Pending</x:v>
      </x:c>
      <x:c r="AA12" s="9" t="str">
        <x:f>IF(C12="","",IF(COUNTIF(Facilities!$C$9:$C$108,D12)&lt;&gt;1,"Facility key",IF(OR(NOT(ISNUMBER(N12)),N12&lt;0),"Amount required",IF(SUMIF($D$9:$D$108,D12,$N$9:$N$108)&gt;IFERROR(INDEX('Facilities'!$AA$9:$AA$108,MATCH(D12,'Facilities'!$C$9:$C$108,0)),"")+0.000001,"Overallocated",IF(N12=0,"No allocation",IF(O12="","Evidence required","Valid"))))))</x:f>
        <x:v>Valid</x:v>
      </x:c>
      <x:c r="AB12" s="3" t="str">
        <x:f>IF(C12="","",IF(OR(U12="Fail",Z12="Fail"),IF(H12="Jordan 2026","Red / not aligned","Not eligible"),IF(OR(U12="Criteria required",V12=0),"Criteria required",IF(Z12&lt;&gt;"Pass","Pending",IF(U12="Amber","Amber",IF(H12="Jordan 2026","Green","Eligible (internal)"))))))</x:f>
        <x:v>Pending</x:v>
      </x:c>
      <x:c r="AC12" s="9" t="str">
        <x:f>IF(C12="","",IF(T12="Rejected","Rejected",IF(OR(AB12="Red / not aligned",AB12="Not eligible"),"Not eligible",IF(OR(AH12&lt;&gt;"Current",T12&lt;&gt;"Approved",Z12&lt;&gt;"Pass",(COUNTIFS('Actions'!$D$9:$D$308,E12,'Actions'!$E$9:$E$308,"E&amp;S",'Actions'!$F$9:$F$308,"Critical",'Actions'!$P$9:$P$308,"&lt;&gt;Closed",'Actions'!$C$9:$C$308,"&lt;&gt;")+COUNTIFS('Actions'!$D$9:$D$308,E12,'Actions'!$E$9:$E$308,"Taxonomy",'Actions'!$F$9:$F$308,"Critical",'Actions'!$P$9:$P$308,"&lt;&gt;Closed",'Actions'!$C$9:$C$308,"&lt;&gt;")+COUNTIFS('ESG'!$C$9:$C$108,E12,'ESG'!$H$9:$H$108,"Yes"))&gt;0,AND(AB12&lt;&gt;"Green",AB12&lt;&gt;"Amber",AB12&lt;&gt;"Eligible (internal)")),"Pending",IF(AA12="No allocation","Activity only",IF(AA12&lt;&gt;"Valid","Pending","Approved"))))))</x:f>
        <x:v>Pending</x:v>
      </x:c>
      <x:c r="AD12" s="21" t="n">
        <x:f>IF(C12="","",IF(AND(AC12="Approved",OR(AB12="Green",AB12="Eligible (internal)")),N12,0))</x:f>
        <x:v>0</x:v>
      </x:c>
      <x:c r="AE12" s="21" t="n">
        <x:f>IF(C12="","",IF(AND(AC12="Approved",AB12="Amber"),N12,0))</x:f>
        <x:v>0</x:v>
      </x:c>
      <x:c r="AF12" s="9" t="str">
        <x:f>IF(C12="","",IF((COUNTIFS('Actions'!$D$9:$D$308,E12,'Actions'!$E$9:$E$308,"E&amp;S",'Actions'!$F$9:$F$308,"Critical",'Actions'!$P$9:$P$308,"&lt;&gt;Closed",'Actions'!$C$9:$C$308,"&lt;&gt;")+COUNTIFS('Actions'!$D$9:$D$308,E12,'Actions'!$E$9:$E$308,"Taxonomy",'Actions'!$F$9:$F$308,"Critical",'Actions'!$P$9:$P$308,"&lt;&gt;Closed",'Actions'!$C$9:$C$308,"&lt;&gt;")+COUNTIFS('ESG'!$C$9:$C$108,E12,'ESG'!$H$9:$H$108,"Yes"))&gt;0,"Resolve critical E&amp;S / taxonomy issue",IF(AH12&lt;&gt;"Current",AH12,IF(Z12&lt;&gt;"Pass","Review individual tests",IF(U12="Criteria required","Sourced criteria / interpretation required",IF(AA12&lt;&gt;"Valid",AA12,IF(T12&lt;&gt;"Approved","Approval required",I12)))))))</x:f>
        <x:v>Review individual tests</x:v>
      </x:c>
      <x:c r="AG12" s="9" t="str">
        <x:f>IF(C12="","",IFERROR(INDEX('Taxonomy Rules'!$L$9:$L$20,MATCH(H12&amp;"::"&amp;G12,'Taxonomy Rules'!$C$9:$C$20,0)),"Unimplemented activity"))</x:f>
        <x:v>S10 p86</x:v>
      </x:c>
      <x:c r="AH12" s="9" t="str">
        <x:f>IF(C12="","",IF(COUNTIF($C$9:$C$108,C12)&lt;&gt;1,"Duplicate ID",IF(OR(COUNTIF(Facilities!$C$9:$C$108,D12)&lt;&gt;1,COUNTIF(Borrowers!$C$9:$C$108,E12)&lt;&gt;1),"Key review",IF(OR(P12="",Q12="",P12=Q12,NOT(ISNUMBER(R12)),NOT(ISNUMBER(S12)),R12&gt;Settings!$F$8,S12&lt;R12),"Review required",IF(S12&lt;Settings!$F$8,"Expired","Current")))))</x:f>
        <x:v>Current</x:v>
      </x:c>
    </x:row>
    <x:row r="13" ht="26" customHeight="1">
      <x:c r="A13" s="1"/>
      <x:c r="B13" s="1"/>
      <x:c r="C13" s="8" t="str">
        <x:v>TAX-F005</x:v>
      </x:c>
      <x:c r="D13" s="8" t="str">
        <x:v>F005</x:v>
      </x:c>
      <x:c r="E13" s="9" t="str">
        <x:f>IF(C13="","",IFERROR(INDEX('Facilities'!$D$9:$D$108,MATCH(D13,'Facilities'!$C$9:$C$108,0)),""))</x:f>
        <x:v>B003</x:v>
      </x:c>
      <x:c r="F13" s="9" t="str">
        <x:f>IF(C13="","",IFERROR(INDEX('Borrowers'!$E$9:$E$108,MATCH(E13,'Borrowers'!$C$9:$C$108,0)),""))</x:f>
        <x:v>Egypt</x:v>
      </x:c>
      <x:c r="G13" s="9" t="str">
        <x:f>IF(C13="","",IFERROR(INDEX('Facilities'!$W$9:$W$108,MATCH(D13,'Facilities'!$C$9:$C$108,0)),""))</x:f>
        <x:v>Road freight</x:v>
      </x:c>
      <x:c r="H13" s="9" t="str">
        <x:f>IF(C13="","",Settings!$F$11)</x:f>
        <x:v>Internal criteria</x:v>
      </x:c>
      <x:c r="I13" s="3" t="str">
        <x:f>IF(C13="","",IF(H13="Jordan 2026",IF(F13="Jordan","Jordan taxonomy","Reference benchmark"),"Internal policy"))</x:f>
        <x:v>Internal policy</x:v>
      </x:c>
      <x:c r="J13" s="8" t="n">
        <x:v>2025</x:v>
      </x:c>
      <x:c r="K13" s="35" t="n">
        <x:v>0</x:v>
      </x:c>
      <x:c r="L13" s="35" t="n">
        <x:v>0</x:v>
      </x:c>
      <x:c r="M13" s="8" t="str">
        <x:v>Zero emissions</x:v>
      </x:c>
      <x:c r="N13" s="16" t="n">
        <x:v>0</x:v>
      </x:c>
      <x:c r="O13" s="8" t="str"/>
      <x:c r="P13" s="8" t="str">
        <x:v>Taxonomy analyst 2</x:v>
      </x:c>
      <x:c r="Q13" s="8" t="str">
        <x:v>Taxonomy reviewer 1</x:v>
      </x:c>
      <x:c r="R13" s="10" t="n">
        <x:v>46266</x:v>
      </x:c>
      <x:c r="S13" s="10" t="n">
        <x:v>46631</x:v>
      </x:c>
      <x:c r="T13" s="8" t="str">
        <x:v>Approved</x:v>
      </x:c>
      <x:c r="U13" s="9" t="str">
        <x:f>IF(C13="","",IF(V13=0,"Criteria required",IF(OR(NOT(ISNUMBER(J13)),J13&lt;1900,J13&gt;YEAR(Settings!$F$8),IFERROR(MOD(J13,1),1)&lt;&gt;0,NOT(ISNUMBER(K13)),K13&lt;0,AND(H13="Internal criteria",OR(G13="Cement",G13="Building renovation"),OR(NOT(ISNUMBER(IFERROR(INDEX('Taxonomy Rules'!$G$9:$G$20,MATCH(H13&amp;"::"&amp;G13,'Taxonomy Rules'!$C$9:$C$20,0)),0))),IFERROR(INDEX('Taxonomy Rules'!$G$9:$G$20,MATCH(H13&amp;"::"&amp;G13,'Taxonomy Rules'!$C$9:$C$20,0)),0)&lt;=0,AND(G13="Building renovation",IFERROR(INDEX('Taxonomy Rules'!$G$9:$G$20,MATCH(H13&amp;"::"&amp;G13,'Taxonomy Rules'!$C$9:$C$20,0)),0)&gt;1)))),"Criteria required",IF(G13="Solar PV",IF(M13&lt;&gt;"Eligible activity","Criteria required",IF(K13=1,"Pass","Fail")),IF(G13="Cement",IF(M13="Amber",IF(H13="Jordan 2026",IF(YEAR(Settings!$F$8)&lt;2040,"Amber","Fail"),"Criteria required"),IF(M13&lt;&gt;"Green","Criteria required",IF(H13="Jordan 2026",IF(IFERROR(INDEX('Taxonomy Rules'!$P$9:$P$14,MATCH(J13,'Taxonomy Rules'!$O$9:$O$14,0)),0)=0,"Criteria required",IF(K13&lt;=IFERROR(INDEX('Taxonomy Rules'!$P$9:$P$14,MATCH(J13,'Taxonomy Rules'!$O$9:$O$14,0)),0),"Pass","Fail")),IF(K13&lt;=IFERROR(INDEX('Taxonomy Rules'!$G$9:$G$20,MATCH(H13&amp;"::"&amp;G13,'Taxonomy Rules'!$C$9:$C$20,0)),0),"Pass","Fail")))),IF(G13="Building renovation",IF(M13="Whole building",IF(K13=1,"Pass","Fail"),IF(M13&lt;&gt;"Improvement","Criteria required",IF(OR(K13&gt;1,NOT(ISNUMBER(L13)),L13&lt;0,L13&gt;1),"Criteria required",IF(MAX(K13,L13)&lt;IFERROR(INDEX('Taxonomy Rules'!$G$9:$G$20,MATCH(H13&amp;"::"&amp;G13,'Taxonomy Rules'!$C$9:$C$20,0)),0),"Fail",IF(H13="Jordan 2026",IF(YEAR(Settings!$F$8)&lt;2035,"Amber",IF(YEAR(Settings!$F$8)=2035,"Criteria required","Fail")),"Pass"))))),IF(G13="Road freight",IF(M13&lt;&gt;"Zero emissions","Criteria required",IF(AND(K13=0,ISNUMBER(L13),L13=0),"Pass","Fail")),IF(G13="New building",IF(NOT(OR(M13="Green",M13="Amber")),"Criteria required",IF(K13&lt;&gt;1,"Fail",IF(M13="Amber",IF(H13="Jordan 2026",IF(YEAR(Settings!$F$8)&lt;2030,"Amber",IF(YEAR(Settings!$F$8)=2030,"Criteria required","Fail")),"Criteria required"),"Pass"))),IF(G13="Building equipment",IF(M13&lt;&gt;"Equipment","Criteria required",IF(K13=1,"Pass","Fail")),"Criteria required")))))))))</x:f>
        <x:v>Pass</x:v>
      </x:c>
      <x:c r="V13" s="9" t="n">
        <x:f>IF(C13="","",IFERROR(INDEX('Taxonomy Rules'!$J$9:$J$20,MATCH(H13&amp;"::"&amp;G13,'Taxonomy Rules'!$C$9:$C$20,0)),0))</x:f>
        <x:v>12</x:v>
      </x:c>
      <x:c r="W13" s="9" t="n">
        <x:f>IF(C13="","",COUNTIFS('Taxonomy Tests'!$D$9:$D$2008,C13,'Taxonomy Tests'!$Q$9:$Q$2008,"Complete"))</x:f>
        <x:v>12</x:v>
      </x:c>
      <x:c r="X13" s="9" t="n">
        <x:f>IF(C13="","",COUNTIFS('Taxonomy Tests'!$D$9:$D$2008,C13,'Taxonomy Tests'!$P$9:$P$2008,"Fail"))</x:f>
        <x:v>0</x:v>
      </x:c>
      <x:c r="Y13" s="9" t="n">
        <x:f>IF(C13="","",MAX(0,V13-W13)+COUNTIFS('Taxonomy Tests'!$D$9:$D$2008,C13,'Taxonomy Tests'!$R$9:$R$2008,"Duplicate test")+COUNTIFS('Taxonomy Tests'!$D$9:$D$2008,C13,'Taxonomy Tests'!$R$9:$R$2008,"Unexpected test"))</x:f>
        <x:v>0</x:v>
      </x:c>
      <x:c r="Z13" s="9" t="str">
        <x:f>IF(C13="","",IF(X13&gt;0,"Fail",IF(AND(V13&gt;0,W13=V13,Y13=0,COUNTIF('Taxonomy Tests'!$D$9:$D$2008,C13)=V13),"Pass","Pending")))</x:f>
        <x:v>Pass</x:v>
      </x:c>
      <x:c r="AA13" s="9" t="str">
        <x:f>IF(C13="","",IF(COUNTIF(Facilities!$C$9:$C$108,D13)&lt;&gt;1,"Facility key",IF(OR(NOT(ISNUMBER(N13)),N13&lt;0),"Amount required",IF(SUMIF($D$9:$D$108,D13,$N$9:$N$108)&gt;IFERROR(INDEX('Facilities'!$AA$9:$AA$108,MATCH(D13,'Facilities'!$C$9:$C$108,0)),"")+0.000001,"Overallocated",IF(N13=0,"No allocation",IF(O13="","Evidence required","Valid"))))))</x:f>
        <x:v>No allocation</x:v>
      </x:c>
      <x:c r="AB13" s="3" t="str">
        <x:f>IF(C13="","",IF(OR(U13="Fail",Z13="Fail"),IF(H13="Jordan 2026","Red / not aligned","Not eligible"),IF(OR(U13="Criteria required",V13=0),"Criteria required",IF(Z13&lt;&gt;"Pass","Pending",IF(U13="Amber","Amber",IF(H13="Jordan 2026","Green","Eligible (internal)"))))))</x:f>
        <x:v>Eligible (internal)</x:v>
      </x:c>
      <x:c r="AC13" s="9" t="str">
        <x:f>IF(C13="","",IF(T13="Rejected","Rejected",IF(OR(AB13="Red / not aligned",AB13="Not eligible"),"Not eligible",IF(OR(AH13&lt;&gt;"Current",T13&lt;&gt;"Approved",Z13&lt;&gt;"Pass",(COUNTIFS('Actions'!$D$9:$D$308,E13,'Actions'!$E$9:$E$308,"E&amp;S",'Actions'!$F$9:$F$308,"Critical",'Actions'!$P$9:$P$308,"&lt;&gt;Closed",'Actions'!$C$9:$C$308,"&lt;&gt;")+COUNTIFS('Actions'!$D$9:$D$308,E13,'Actions'!$E$9:$E$308,"Taxonomy",'Actions'!$F$9:$F$308,"Critical",'Actions'!$P$9:$P$308,"&lt;&gt;Closed",'Actions'!$C$9:$C$308,"&lt;&gt;")+COUNTIFS('ESG'!$C$9:$C$108,E13,'ESG'!$H$9:$H$108,"Yes"))&gt;0,AND(AB13&lt;&gt;"Green",AB13&lt;&gt;"Amber",AB13&lt;&gt;"Eligible (internal)")),"Pending",IF(AA13="No allocation","Activity only",IF(AA13&lt;&gt;"Valid","Pending","Approved"))))))</x:f>
        <x:v>Activity only</x:v>
      </x:c>
      <x:c r="AD13" s="21" t="n">
        <x:f>IF(C13="","",IF(AND(AC13="Approved",OR(AB13="Green",AB13="Eligible (internal)")),N13,0))</x:f>
        <x:v>0</x:v>
      </x:c>
      <x:c r="AE13" s="21" t="n">
        <x:f>IF(C13="","",IF(AND(AC13="Approved",AB13="Amber"),N13,0))</x:f>
        <x:v>0</x:v>
      </x:c>
      <x:c r="AF13" s="9" t="str">
        <x:f>IF(C13="","",IF((COUNTIFS('Actions'!$D$9:$D$308,E13,'Actions'!$E$9:$E$308,"E&amp;S",'Actions'!$F$9:$F$308,"Critical",'Actions'!$P$9:$P$308,"&lt;&gt;Closed",'Actions'!$C$9:$C$308,"&lt;&gt;")+COUNTIFS('Actions'!$D$9:$D$308,E13,'Actions'!$E$9:$E$308,"Taxonomy",'Actions'!$F$9:$F$308,"Critical",'Actions'!$P$9:$P$308,"&lt;&gt;Closed",'Actions'!$C$9:$C$308,"&lt;&gt;")+COUNTIFS('ESG'!$C$9:$C$108,E13,'ESG'!$H$9:$H$108,"Yes"))&gt;0,"Resolve critical E&amp;S / taxonomy issue",IF(AH13&lt;&gt;"Current",AH13,IF(Z13&lt;&gt;"Pass","Review individual tests",IF(U13="Criteria required","Sourced criteria / interpretation required",IF(AA13&lt;&gt;"Valid",AA13,IF(T13&lt;&gt;"Approved","Approval required",I13)))))))</x:f>
        <x:v>No allocation</x:v>
      </x:c>
      <x:c r="AG13" s="9" t="str">
        <x:f>IF(C13="","",IFERROR(INDEX('Taxonomy Rules'!$L$9:$L$20,MATCH(H13&amp;"::"&amp;G13,'Taxonomy Rules'!$C$9:$C$20,0)),"Unimplemented activity"))</x:f>
        <x:v>S10 pp117–118</x:v>
      </x:c>
      <x:c r="AH13" s="9" t="str">
        <x:f>IF(C13="","",IF(COUNTIF($C$9:$C$108,C13)&lt;&gt;1,"Duplicate ID",IF(OR(COUNTIF(Facilities!$C$9:$C$108,D13)&lt;&gt;1,COUNTIF(Borrowers!$C$9:$C$108,E13)&lt;&gt;1),"Key review",IF(OR(P13="",Q13="",P13=Q13,NOT(ISNUMBER(R13)),NOT(ISNUMBER(S13)),R13&gt;Settings!$F$8,S13&lt;R13),"Review required",IF(S13&lt;Settings!$F$8,"Expired","Current")))))</x:f>
        <x:v>Current</x:v>
      </x:c>
    </x:row>
    <x:row r="14" ht="26" customHeight="1">
      <x:c r="A14" s="1"/>
      <x:c r="B14" s="1"/>
      <x:c r="C14" s="8" t="str">
        <x:v>TAX-F006</x:v>
      </x:c>
      <x:c r="D14" s="8" t="str">
        <x:v>F006</x:v>
      </x:c>
      <x:c r="E14" s="9" t="str">
        <x:f>IF(C14="","",IFERROR(INDEX('Facilities'!$D$9:$D$108,MATCH(D14,'Facilities'!$C$9:$C$108,0)),""))</x:f>
        <x:v>B003</x:v>
      </x:c>
      <x:c r="F14" s="9" t="str">
        <x:f>IF(C14="","",IFERROR(INDEX('Borrowers'!$E$9:$E$108,MATCH(E14,'Borrowers'!$C$9:$C$108,0)),""))</x:f>
        <x:v>Egypt</x:v>
      </x:c>
      <x:c r="G14" s="9" t="str">
        <x:f>IF(C14="","",IFERROR(INDEX('Facilities'!$W$9:$W$108,MATCH(D14,'Facilities'!$C$9:$C$108,0)),""))</x:f>
        <x:v>Road freight</x:v>
      </x:c>
      <x:c r="H14" s="9" t="str">
        <x:f>IF(C14="","",Settings!$F$11)</x:f>
        <x:v>Internal criteria</x:v>
      </x:c>
      <x:c r="I14" s="3" t="str">
        <x:f>IF(C14="","",IF(H14="Jordan 2026",IF(F14="Jordan","Jordan taxonomy","Reference benchmark"),"Internal policy"))</x:f>
        <x:v>Internal policy</x:v>
      </x:c>
      <x:c r="J14" s="8" t="n">
        <x:v>2025</x:v>
      </x:c>
      <x:c r="K14" s="35" t="n">
        <x:v>0</x:v>
      </x:c>
      <x:c r="L14" s="35" t="n">
        <x:v>0</x:v>
      </x:c>
      <x:c r="M14" s="8" t="str">
        <x:v>Zero emissions</x:v>
      </x:c>
      <x:c r="N14" s="38" t="n">
        <x:f>IFERROR(INDEX('Facilities'!$AA$9:$AA$108,MATCH(D14,'Facilities'!$C$9:$C$108,0)),"")*0.8</x:f>
        <x:v>2.5600000000000005</x:v>
      </x:c>
      <x:c r="O14" s="8" t="str">
        <x:v>SYN-ALLOC-F006</x:v>
      </x:c>
      <x:c r="P14" s="8" t="str">
        <x:v>Taxonomy analyst 3</x:v>
      </x:c>
      <x:c r="Q14" s="8" t="str">
        <x:v>Taxonomy reviewer 2</x:v>
      </x:c>
      <x:c r="R14" s="10" t="n">
        <x:v>46266</x:v>
      </x:c>
      <x:c r="S14" s="10" t="n">
        <x:v>46631</x:v>
      </x:c>
      <x:c r="T14" s="8" t="str">
        <x:v>Approved</x:v>
      </x:c>
      <x:c r="U14" s="9" t="str">
        <x:f>IF(C14="","",IF(V14=0,"Criteria required",IF(OR(NOT(ISNUMBER(J14)),J14&lt;1900,J14&gt;YEAR(Settings!$F$8),IFERROR(MOD(J14,1),1)&lt;&gt;0,NOT(ISNUMBER(K14)),K14&lt;0,AND(H14="Internal criteria",OR(G14="Cement",G14="Building renovation"),OR(NOT(ISNUMBER(IFERROR(INDEX('Taxonomy Rules'!$G$9:$G$20,MATCH(H14&amp;"::"&amp;G14,'Taxonomy Rules'!$C$9:$C$20,0)),0))),IFERROR(INDEX('Taxonomy Rules'!$G$9:$G$20,MATCH(H14&amp;"::"&amp;G14,'Taxonomy Rules'!$C$9:$C$20,0)),0)&lt;=0,AND(G14="Building renovation",IFERROR(INDEX('Taxonomy Rules'!$G$9:$G$20,MATCH(H14&amp;"::"&amp;G14,'Taxonomy Rules'!$C$9:$C$20,0)),0)&gt;1)))),"Criteria required",IF(G14="Solar PV",IF(M14&lt;&gt;"Eligible activity","Criteria required",IF(K14=1,"Pass","Fail")),IF(G14="Cement",IF(M14="Amber",IF(H14="Jordan 2026",IF(YEAR(Settings!$F$8)&lt;2040,"Amber","Fail"),"Criteria required"),IF(M14&lt;&gt;"Green","Criteria required",IF(H14="Jordan 2026",IF(IFERROR(INDEX('Taxonomy Rules'!$P$9:$P$14,MATCH(J14,'Taxonomy Rules'!$O$9:$O$14,0)),0)=0,"Criteria required",IF(K14&lt;=IFERROR(INDEX('Taxonomy Rules'!$P$9:$P$14,MATCH(J14,'Taxonomy Rules'!$O$9:$O$14,0)),0),"Pass","Fail")),IF(K14&lt;=IFERROR(INDEX('Taxonomy Rules'!$G$9:$G$20,MATCH(H14&amp;"::"&amp;G14,'Taxonomy Rules'!$C$9:$C$20,0)),0),"Pass","Fail")))),IF(G14="Building renovation",IF(M14="Whole building",IF(K14=1,"Pass","Fail"),IF(M14&lt;&gt;"Improvement","Criteria required",IF(OR(K14&gt;1,NOT(ISNUMBER(L14)),L14&lt;0,L14&gt;1),"Criteria required",IF(MAX(K14,L14)&lt;IFERROR(INDEX('Taxonomy Rules'!$G$9:$G$20,MATCH(H14&amp;"::"&amp;G14,'Taxonomy Rules'!$C$9:$C$20,0)),0),"Fail",IF(H14="Jordan 2026",IF(YEAR(Settings!$F$8)&lt;2035,"Amber",IF(YEAR(Settings!$F$8)=2035,"Criteria required","Fail")),"Pass"))))),IF(G14="Road freight",IF(M14&lt;&gt;"Zero emissions","Criteria required",IF(AND(K14=0,ISNUMBER(L14),L14=0),"Pass","Fail")),IF(G14="New building",IF(NOT(OR(M14="Green",M14="Amber")),"Criteria required",IF(K14&lt;&gt;1,"Fail",IF(M14="Amber",IF(H14="Jordan 2026",IF(YEAR(Settings!$F$8)&lt;2030,"Amber",IF(YEAR(Settings!$F$8)=2030,"Criteria required","Fail")),"Criteria required"),"Pass"))),IF(G14="Building equipment",IF(M14&lt;&gt;"Equipment","Criteria required",IF(K14=1,"Pass","Fail")),"Criteria required")))))))))</x:f>
        <x:v>Pass</x:v>
      </x:c>
      <x:c r="V14" s="9" t="n">
        <x:f>IF(C14="","",IFERROR(INDEX('Taxonomy Rules'!$J$9:$J$20,MATCH(H14&amp;"::"&amp;G14,'Taxonomy Rules'!$C$9:$C$20,0)),0))</x:f>
        <x:v>12</x:v>
      </x:c>
      <x:c r="W14" s="9" t="n">
        <x:f>IF(C14="","",COUNTIFS('Taxonomy Tests'!$D$9:$D$2008,C14,'Taxonomy Tests'!$Q$9:$Q$2008,"Complete"))</x:f>
        <x:v>11</x:v>
      </x:c>
      <x:c r="X14" s="9" t="n">
        <x:f>IF(C14="","",COUNTIFS('Taxonomy Tests'!$D$9:$D$2008,C14,'Taxonomy Tests'!$P$9:$P$2008,"Fail"))</x:f>
        <x:v>0</x:v>
      </x:c>
      <x:c r="Y14" s="9" t="n">
        <x:f>IF(C14="","",MAX(0,V14-W14)+COUNTIFS('Taxonomy Tests'!$D$9:$D$2008,C14,'Taxonomy Tests'!$R$9:$R$2008,"Duplicate test")+COUNTIFS('Taxonomy Tests'!$D$9:$D$2008,C14,'Taxonomy Tests'!$R$9:$R$2008,"Unexpected test"))</x:f>
        <x:v>1</x:v>
      </x:c>
      <x:c r="Z14" s="9" t="str">
        <x:f>IF(C14="","",IF(X14&gt;0,"Fail",IF(AND(V14&gt;0,W14=V14,Y14=0,COUNTIF('Taxonomy Tests'!$D$9:$D$2008,C14)=V14),"Pass","Pending")))</x:f>
        <x:v>Pending</x:v>
      </x:c>
      <x:c r="AA14" s="9" t="str">
        <x:f>IF(C14="","",IF(COUNTIF(Facilities!$C$9:$C$108,D14)&lt;&gt;1,"Facility key",IF(OR(NOT(ISNUMBER(N14)),N14&lt;0),"Amount required",IF(SUMIF($D$9:$D$108,D14,$N$9:$N$108)&gt;IFERROR(INDEX('Facilities'!$AA$9:$AA$108,MATCH(D14,'Facilities'!$C$9:$C$108,0)),"")+0.000001,"Overallocated",IF(N14=0,"No allocation",IF(O14="","Evidence required","Valid"))))))</x:f>
        <x:v>Valid</x:v>
      </x:c>
      <x:c r="AB14" s="3" t="str">
        <x:f>IF(C14="","",IF(OR(U14="Fail",Z14="Fail"),IF(H14="Jordan 2026","Red / not aligned","Not eligible"),IF(OR(U14="Criteria required",V14=0),"Criteria required",IF(Z14&lt;&gt;"Pass","Pending",IF(U14="Amber","Amber",IF(H14="Jordan 2026","Green","Eligible (internal)"))))))</x:f>
        <x:v>Pending</x:v>
      </x:c>
      <x:c r="AC14" s="9" t="str">
        <x:f>IF(C14="","",IF(T14="Rejected","Rejected",IF(OR(AB14="Red / not aligned",AB14="Not eligible"),"Not eligible",IF(OR(AH14&lt;&gt;"Current",T14&lt;&gt;"Approved",Z14&lt;&gt;"Pass",(COUNTIFS('Actions'!$D$9:$D$308,E14,'Actions'!$E$9:$E$308,"E&amp;S",'Actions'!$F$9:$F$308,"Critical",'Actions'!$P$9:$P$308,"&lt;&gt;Closed",'Actions'!$C$9:$C$308,"&lt;&gt;")+COUNTIFS('Actions'!$D$9:$D$308,E14,'Actions'!$E$9:$E$308,"Taxonomy",'Actions'!$F$9:$F$308,"Critical",'Actions'!$P$9:$P$308,"&lt;&gt;Closed",'Actions'!$C$9:$C$308,"&lt;&gt;")+COUNTIFS('ESG'!$C$9:$C$108,E14,'ESG'!$H$9:$H$108,"Yes"))&gt;0,AND(AB14&lt;&gt;"Green",AB14&lt;&gt;"Amber",AB14&lt;&gt;"Eligible (internal)")),"Pending",IF(AA14="No allocation","Activity only",IF(AA14&lt;&gt;"Valid","Pending","Approved"))))))</x:f>
        <x:v>Pending</x:v>
      </x:c>
      <x:c r="AD14" s="21" t="n">
        <x:f>IF(C14="","",IF(AND(AC14="Approved",OR(AB14="Green",AB14="Eligible (internal)")),N14,0))</x:f>
        <x:v>0</x:v>
      </x:c>
      <x:c r="AE14" s="21" t="n">
        <x:f>IF(C14="","",IF(AND(AC14="Approved",AB14="Amber"),N14,0))</x:f>
        <x:v>0</x:v>
      </x:c>
      <x:c r="AF14" s="9" t="str">
        <x:f>IF(C14="","",IF((COUNTIFS('Actions'!$D$9:$D$308,E14,'Actions'!$E$9:$E$308,"E&amp;S",'Actions'!$F$9:$F$308,"Critical",'Actions'!$P$9:$P$308,"&lt;&gt;Closed",'Actions'!$C$9:$C$308,"&lt;&gt;")+COUNTIFS('Actions'!$D$9:$D$308,E14,'Actions'!$E$9:$E$308,"Taxonomy",'Actions'!$F$9:$F$308,"Critical",'Actions'!$P$9:$P$308,"&lt;&gt;Closed",'Actions'!$C$9:$C$308,"&lt;&gt;")+COUNTIFS('ESG'!$C$9:$C$108,E14,'ESG'!$H$9:$H$108,"Yes"))&gt;0,"Resolve critical E&amp;S / taxonomy issue",IF(AH14&lt;&gt;"Current",AH14,IF(Z14&lt;&gt;"Pass","Review individual tests",IF(U14="Criteria required","Sourced criteria / interpretation required",IF(AA14&lt;&gt;"Valid",AA14,IF(T14&lt;&gt;"Approved","Approval required",I14)))))))</x:f>
        <x:v>Review individual tests</x:v>
      </x:c>
      <x:c r="AG14" s="9" t="str">
        <x:f>IF(C14="","",IFERROR(INDEX('Taxonomy Rules'!$L$9:$L$20,MATCH(H14&amp;"::"&amp;G14,'Taxonomy Rules'!$C$9:$C$20,0)),"Unimplemented activity"))</x:f>
        <x:v>S10 pp117–118</x:v>
      </x:c>
      <x:c r="AH14" s="9" t="str">
        <x:f>IF(C14="","",IF(COUNTIF($C$9:$C$108,C14)&lt;&gt;1,"Duplicate ID",IF(OR(COUNTIF(Facilities!$C$9:$C$108,D14)&lt;&gt;1,COUNTIF(Borrowers!$C$9:$C$108,E14)&lt;&gt;1),"Key review",IF(OR(P14="",Q14="",P14=Q14,NOT(ISNUMBER(R14)),NOT(ISNUMBER(S14)),R14&gt;Settings!$F$8,S14&lt;R14),"Review required",IF(S14&lt;Settings!$F$8,"Expired","Current")))))</x:f>
        <x:v>Current</x:v>
      </x:c>
    </x:row>
    <x:row r="15" ht="26" customHeight="1">
      <x:c r="A15" s="1"/>
      <x:c r="B15" s="1"/>
      <x:c r="C15" s="8" t="str">
        <x:v>TAX-F007</x:v>
      </x:c>
      <x:c r="D15" s="8" t="str">
        <x:v>F007</x:v>
      </x:c>
      <x:c r="E15" s="9" t="str">
        <x:f>IF(C15="","",IFERROR(INDEX('Facilities'!$D$9:$D$108,MATCH(D15,'Facilities'!$C$9:$C$108,0)),""))</x:f>
        <x:v>B004</x:v>
      </x:c>
      <x:c r="F15" s="9" t="str">
        <x:f>IF(C15="","",IFERROR(INDEX('Borrowers'!$E$9:$E$108,MATCH(E15,'Borrowers'!$C$9:$C$108,0)),""))</x:f>
        <x:v>Egypt</x:v>
      </x:c>
      <x:c r="G15" s="9" t="str">
        <x:f>IF(C15="","",IFERROR(INDEX('Facilities'!$W$9:$W$108,MATCH(D15,'Facilities'!$C$9:$C$108,0)),""))</x:f>
        <x:v>Other</x:v>
      </x:c>
      <x:c r="H15" s="9" t="str">
        <x:f>IF(C15="","",Settings!$F$11)</x:f>
        <x:v>Internal criteria</x:v>
      </x:c>
      <x:c r="I15" s="3" t="str">
        <x:f>IF(C15="","",IF(H15="Jordan 2026",IF(F15="Jordan","Jordan taxonomy","Reference benchmark"),"Internal policy"))</x:f>
        <x:v>Internal policy</x:v>
      </x:c>
      <x:c r="J15" s="8" t="n">
        <x:v>2025</x:v>
      </x:c>
      <x:c r="K15" s="35" t="str"/>
      <x:c r="L15" s="35" t="str"/>
      <x:c r="M15" s="8" t="str">
        <x:v>Unspecified</x:v>
      </x:c>
      <x:c r="N15" s="16" t="n">
        <x:v>0</x:v>
      </x:c>
      <x:c r="O15" s="8" t="str"/>
      <x:c r="P15" s="8" t="str">
        <x:v>Taxonomy analyst 1</x:v>
      </x:c>
      <x:c r="Q15" s="8" t="str">
        <x:v>Taxonomy reviewer 1</x:v>
      </x:c>
      <x:c r="R15" s="10" t="n">
        <x:v>46266</x:v>
      </x:c>
      <x:c r="S15" s="10" t="n">
        <x:v>46631</x:v>
      </x:c>
      <x:c r="T15" s="8" t="str">
        <x:v>Pending</x:v>
      </x:c>
      <x:c r="U15" s="9" t="str">
        <x:f>IF(C15="","",IF(V15=0,"Criteria required",IF(OR(NOT(ISNUMBER(J15)),J15&lt;1900,J15&gt;YEAR(Settings!$F$8),IFERROR(MOD(J15,1),1)&lt;&gt;0,NOT(ISNUMBER(K15)),K15&lt;0,AND(H15="Internal criteria",OR(G15="Cement",G15="Building renovation"),OR(NOT(ISNUMBER(IFERROR(INDEX('Taxonomy Rules'!$G$9:$G$20,MATCH(H15&amp;"::"&amp;G15,'Taxonomy Rules'!$C$9:$C$20,0)),0))),IFERROR(INDEX('Taxonomy Rules'!$G$9:$G$20,MATCH(H15&amp;"::"&amp;G15,'Taxonomy Rules'!$C$9:$C$20,0)),0)&lt;=0,AND(G15="Building renovation",IFERROR(INDEX('Taxonomy Rules'!$G$9:$G$20,MATCH(H15&amp;"::"&amp;G15,'Taxonomy Rules'!$C$9:$C$20,0)),0)&gt;1)))),"Criteria required",IF(G15="Solar PV",IF(M15&lt;&gt;"Eligible activity","Criteria required",IF(K15=1,"Pass","Fail")),IF(G15="Cement",IF(M15="Amber",IF(H15="Jordan 2026",IF(YEAR(Settings!$F$8)&lt;2040,"Amber","Fail"),"Criteria required"),IF(M15&lt;&gt;"Green","Criteria required",IF(H15="Jordan 2026",IF(IFERROR(INDEX('Taxonomy Rules'!$P$9:$P$14,MATCH(J15,'Taxonomy Rules'!$O$9:$O$14,0)),0)=0,"Criteria required",IF(K15&lt;=IFERROR(INDEX('Taxonomy Rules'!$P$9:$P$14,MATCH(J15,'Taxonomy Rules'!$O$9:$O$14,0)),0),"Pass","Fail")),IF(K15&lt;=IFERROR(INDEX('Taxonomy Rules'!$G$9:$G$20,MATCH(H15&amp;"::"&amp;G15,'Taxonomy Rules'!$C$9:$C$20,0)),0),"Pass","Fail")))),IF(G15="Building renovation",IF(M15="Whole building",IF(K15=1,"Pass","Fail"),IF(M15&lt;&gt;"Improvement","Criteria required",IF(OR(K15&gt;1,NOT(ISNUMBER(L15)),L15&lt;0,L15&gt;1),"Criteria required",IF(MAX(K15,L15)&lt;IFERROR(INDEX('Taxonomy Rules'!$G$9:$G$20,MATCH(H15&amp;"::"&amp;G15,'Taxonomy Rules'!$C$9:$C$20,0)),0),"Fail",IF(H15="Jordan 2026",IF(YEAR(Settings!$F$8)&lt;2035,"Amber",IF(YEAR(Settings!$F$8)=2035,"Criteria required","Fail")),"Pass"))))),IF(G15="Road freight",IF(M15&lt;&gt;"Zero emissions","Criteria required",IF(AND(K15=0,ISNUMBER(L15),L15=0),"Pass","Fail")),IF(G15="New building",IF(NOT(OR(M15="Green",M15="Amber")),"Criteria required",IF(K15&lt;&gt;1,"Fail",IF(M15="Amber",IF(H15="Jordan 2026",IF(YEAR(Settings!$F$8)&lt;2030,"Amber",IF(YEAR(Settings!$F$8)=2030,"Criteria required","Fail")),"Criteria required"),"Pass"))),IF(G15="Building equipment",IF(M15&lt;&gt;"Equipment","Criteria required",IF(K15=1,"Pass","Fail")),"Criteria required")))))))))</x:f>
        <x:v>Criteria required</x:v>
      </x:c>
      <x:c r="V15" s="9" t="n">
        <x:f>IF(C15="","",IFERROR(INDEX('Taxonomy Rules'!$J$9:$J$20,MATCH(H15&amp;"::"&amp;G15,'Taxonomy Rules'!$C$9:$C$20,0)),0))</x:f>
        <x:v>0</x:v>
      </x:c>
      <x:c r="W15" s="9" t="n">
        <x:f>IF(C15="","",COUNTIFS('Taxonomy Tests'!$D$9:$D$2008,C15,'Taxonomy Tests'!$Q$9:$Q$2008,"Complete"))</x:f>
        <x:v>0</x:v>
      </x:c>
      <x:c r="X15" s="9" t="n">
        <x:f>IF(C15="","",COUNTIFS('Taxonomy Tests'!$D$9:$D$2008,C15,'Taxonomy Tests'!$P$9:$P$2008,"Fail"))</x:f>
        <x:v>0</x:v>
      </x:c>
      <x:c r="Y15" s="9" t="n">
        <x:f>IF(C15="","",MAX(0,V15-W15)+COUNTIFS('Taxonomy Tests'!$D$9:$D$2008,C15,'Taxonomy Tests'!$R$9:$R$2008,"Duplicate test")+COUNTIFS('Taxonomy Tests'!$D$9:$D$2008,C15,'Taxonomy Tests'!$R$9:$R$2008,"Unexpected test"))</x:f>
        <x:v>0</x:v>
      </x:c>
      <x:c r="Z15" s="9" t="str">
        <x:f>IF(C15="","",IF(X15&gt;0,"Fail",IF(AND(V15&gt;0,W15=V15,Y15=0,COUNTIF('Taxonomy Tests'!$D$9:$D$2008,C15)=V15),"Pass","Pending")))</x:f>
        <x:v>Pending</x:v>
      </x:c>
      <x:c r="AA15" s="9" t="str">
        <x:f>IF(C15="","",IF(COUNTIF(Facilities!$C$9:$C$108,D15)&lt;&gt;1,"Facility key",IF(OR(NOT(ISNUMBER(N15)),N15&lt;0),"Amount required",IF(SUMIF($D$9:$D$108,D15,$N$9:$N$108)&gt;IFERROR(INDEX('Facilities'!$AA$9:$AA$108,MATCH(D15,'Facilities'!$C$9:$C$108,0)),"")+0.000001,"Overallocated",IF(N15=0,"No allocation",IF(O15="","Evidence required","Valid"))))))</x:f>
        <x:v>No allocation</x:v>
      </x:c>
      <x:c r="AB15" s="3" t="str">
        <x:f>IF(C15="","",IF(OR(U15="Fail",Z15="Fail"),IF(H15="Jordan 2026","Red / not aligned","Not eligible"),IF(OR(U15="Criteria required",V15=0),"Criteria required",IF(Z15&lt;&gt;"Pass","Pending",IF(U15="Amber","Amber",IF(H15="Jordan 2026","Green","Eligible (internal)"))))))</x:f>
        <x:v>Criteria required</x:v>
      </x:c>
      <x:c r="AC15" s="9" t="str">
        <x:f>IF(C15="","",IF(T15="Rejected","Rejected",IF(OR(AB15="Red / not aligned",AB15="Not eligible"),"Not eligible",IF(OR(AH15&lt;&gt;"Current",T15&lt;&gt;"Approved",Z15&lt;&gt;"Pass",(COUNTIFS('Actions'!$D$9:$D$308,E15,'Actions'!$E$9:$E$308,"E&amp;S",'Actions'!$F$9:$F$308,"Critical",'Actions'!$P$9:$P$308,"&lt;&gt;Closed",'Actions'!$C$9:$C$308,"&lt;&gt;")+COUNTIFS('Actions'!$D$9:$D$308,E15,'Actions'!$E$9:$E$308,"Taxonomy",'Actions'!$F$9:$F$308,"Critical",'Actions'!$P$9:$P$308,"&lt;&gt;Closed",'Actions'!$C$9:$C$308,"&lt;&gt;")+COUNTIFS('ESG'!$C$9:$C$108,E15,'ESG'!$H$9:$H$108,"Yes"))&gt;0,AND(AB15&lt;&gt;"Green",AB15&lt;&gt;"Amber",AB15&lt;&gt;"Eligible (internal)")),"Pending",IF(AA15="No allocation","Activity only",IF(AA15&lt;&gt;"Valid","Pending","Approved"))))))</x:f>
        <x:v>Pending</x:v>
      </x:c>
      <x:c r="AD15" s="21" t="n">
        <x:f>IF(C15="","",IF(AND(AC15="Approved",OR(AB15="Green",AB15="Eligible (internal)")),N15,0))</x:f>
        <x:v>0</x:v>
      </x:c>
      <x:c r="AE15" s="21" t="n">
        <x:f>IF(C15="","",IF(AND(AC15="Approved",AB15="Amber"),N15,0))</x:f>
        <x:v>0</x:v>
      </x:c>
      <x:c r="AF15" s="9" t="str">
        <x:f>IF(C15="","",IF((COUNTIFS('Actions'!$D$9:$D$308,E15,'Actions'!$E$9:$E$308,"E&amp;S",'Actions'!$F$9:$F$308,"Critical",'Actions'!$P$9:$P$308,"&lt;&gt;Closed",'Actions'!$C$9:$C$308,"&lt;&gt;")+COUNTIFS('Actions'!$D$9:$D$308,E15,'Actions'!$E$9:$E$308,"Taxonomy",'Actions'!$F$9:$F$308,"Critical",'Actions'!$P$9:$P$308,"&lt;&gt;Closed",'Actions'!$C$9:$C$308,"&lt;&gt;")+COUNTIFS('ESG'!$C$9:$C$108,E15,'ESG'!$H$9:$H$108,"Yes"))&gt;0,"Resolve critical E&amp;S / taxonomy issue",IF(AH15&lt;&gt;"Current",AH15,IF(Z15&lt;&gt;"Pass","Review individual tests",IF(U15="Criteria required","Sourced criteria / interpretation required",IF(AA15&lt;&gt;"Valid",AA15,IF(T15&lt;&gt;"Approved","Approval required",I15)))))))</x:f>
        <x:v>Review individual tests</x:v>
      </x:c>
      <x:c r="AG15" s="9" t="str">
        <x:f>IF(C15="","",IFERROR(INDEX('Taxonomy Rules'!$L$9:$L$20,MATCH(H15&amp;"::"&amp;G15,'Taxonomy Rules'!$C$9:$C$20,0)),"Unimplemented activity"))</x:f>
        <x:v>Unimplemented activity</x:v>
      </x:c>
      <x:c r="AH15" s="9" t="str">
        <x:f>IF(C15="","",IF(COUNTIF($C$9:$C$108,C15)&lt;&gt;1,"Duplicate ID",IF(OR(COUNTIF(Facilities!$C$9:$C$108,D15)&lt;&gt;1,COUNTIF(Borrowers!$C$9:$C$108,E15)&lt;&gt;1),"Key review",IF(OR(P15="",Q15="",P15=Q15,NOT(ISNUMBER(R15)),NOT(ISNUMBER(S15)),R15&gt;Settings!$F$8,S15&lt;R15),"Review required",IF(S15&lt;Settings!$F$8,"Expired","Current")))))</x:f>
        <x:v>Current</x:v>
      </x:c>
    </x:row>
    <x:row r="16" ht="26" customHeight="1">
      <x:c r="A16" s="1"/>
      <x:c r="B16" s="1"/>
      <x:c r="C16" s="8" t="str">
        <x:v>TAX-F008</x:v>
      </x:c>
      <x:c r="D16" s="8" t="str">
        <x:v>F008</x:v>
      </x:c>
      <x:c r="E16" s="9" t="str">
        <x:f>IF(C16="","",IFERROR(INDEX('Facilities'!$D$9:$D$108,MATCH(D16,'Facilities'!$C$9:$C$108,0)),""))</x:f>
        <x:v>B004</x:v>
      </x:c>
      <x:c r="F16" s="9" t="str">
        <x:f>IF(C16="","",IFERROR(INDEX('Borrowers'!$E$9:$E$108,MATCH(E16,'Borrowers'!$C$9:$C$108,0)),""))</x:f>
        <x:v>Egypt</x:v>
      </x:c>
      <x:c r="G16" s="9" t="str">
        <x:f>IF(C16="","",IFERROR(INDEX('Facilities'!$W$9:$W$108,MATCH(D16,'Facilities'!$C$9:$C$108,0)),""))</x:f>
        <x:v>Other</x:v>
      </x:c>
      <x:c r="H16" s="9" t="str">
        <x:f>IF(C16="","",Settings!$F$11)</x:f>
        <x:v>Internal criteria</x:v>
      </x:c>
      <x:c r="I16" s="3" t="str">
        <x:f>IF(C16="","",IF(H16="Jordan 2026",IF(F16="Jordan","Jordan taxonomy","Reference benchmark"),"Internal policy"))</x:f>
        <x:v>Internal policy</x:v>
      </x:c>
      <x:c r="J16" s="8" t="n">
        <x:v>2025</x:v>
      </x:c>
      <x:c r="K16" s="35" t="str"/>
      <x:c r="L16" s="35" t="str"/>
      <x:c r="M16" s="8" t="str">
        <x:v>Unspecified</x:v>
      </x:c>
      <x:c r="N16" s="16" t="n">
        <x:v>0</x:v>
      </x:c>
      <x:c r="O16" s="8" t="str"/>
      <x:c r="P16" s="8" t="str">
        <x:v>Taxonomy analyst 2</x:v>
      </x:c>
      <x:c r="Q16" s="8" t="str">
        <x:v>Taxonomy reviewer 2</x:v>
      </x:c>
      <x:c r="R16" s="10" t="n">
        <x:v>46266</x:v>
      </x:c>
      <x:c r="S16" s="10" t="n">
        <x:v>46631</x:v>
      </x:c>
      <x:c r="T16" s="8" t="str">
        <x:v>Pending</x:v>
      </x:c>
      <x:c r="U16" s="9" t="str">
        <x:f>IF(C16="","",IF(V16=0,"Criteria required",IF(OR(NOT(ISNUMBER(J16)),J16&lt;1900,J16&gt;YEAR(Settings!$F$8),IFERROR(MOD(J16,1),1)&lt;&gt;0,NOT(ISNUMBER(K16)),K16&lt;0,AND(H16="Internal criteria",OR(G16="Cement",G16="Building renovation"),OR(NOT(ISNUMBER(IFERROR(INDEX('Taxonomy Rules'!$G$9:$G$20,MATCH(H16&amp;"::"&amp;G16,'Taxonomy Rules'!$C$9:$C$20,0)),0))),IFERROR(INDEX('Taxonomy Rules'!$G$9:$G$20,MATCH(H16&amp;"::"&amp;G16,'Taxonomy Rules'!$C$9:$C$20,0)),0)&lt;=0,AND(G16="Building renovation",IFERROR(INDEX('Taxonomy Rules'!$G$9:$G$20,MATCH(H16&amp;"::"&amp;G16,'Taxonomy Rules'!$C$9:$C$20,0)),0)&gt;1)))),"Criteria required",IF(G16="Solar PV",IF(M16&lt;&gt;"Eligible activity","Criteria required",IF(K16=1,"Pass","Fail")),IF(G16="Cement",IF(M16="Amber",IF(H16="Jordan 2026",IF(YEAR(Settings!$F$8)&lt;2040,"Amber","Fail"),"Criteria required"),IF(M16&lt;&gt;"Green","Criteria required",IF(H16="Jordan 2026",IF(IFERROR(INDEX('Taxonomy Rules'!$P$9:$P$14,MATCH(J16,'Taxonomy Rules'!$O$9:$O$14,0)),0)=0,"Criteria required",IF(K16&lt;=IFERROR(INDEX('Taxonomy Rules'!$P$9:$P$14,MATCH(J16,'Taxonomy Rules'!$O$9:$O$14,0)),0),"Pass","Fail")),IF(K16&lt;=IFERROR(INDEX('Taxonomy Rules'!$G$9:$G$20,MATCH(H16&amp;"::"&amp;G16,'Taxonomy Rules'!$C$9:$C$20,0)),0),"Pass","Fail")))),IF(G16="Building renovation",IF(M16="Whole building",IF(K16=1,"Pass","Fail"),IF(M16&lt;&gt;"Improvement","Criteria required",IF(OR(K16&gt;1,NOT(ISNUMBER(L16)),L16&lt;0,L16&gt;1),"Criteria required",IF(MAX(K16,L16)&lt;IFERROR(INDEX('Taxonomy Rules'!$G$9:$G$20,MATCH(H16&amp;"::"&amp;G16,'Taxonomy Rules'!$C$9:$C$20,0)),0),"Fail",IF(H16="Jordan 2026",IF(YEAR(Settings!$F$8)&lt;2035,"Amber",IF(YEAR(Settings!$F$8)=2035,"Criteria required","Fail")),"Pass"))))),IF(G16="Road freight",IF(M16&lt;&gt;"Zero emissions","Criteria required",IF(AND(K16=0,ISNUMBER(L16),L16=0),"Pass","Fail")),IF(G16="New building",IF(NOT(OR(M16="Green",M16="Amber")),"Criteria required",IF(K16&lt;&gt;1,"Fail",IF(M16="Amber",IF(H16="Jordan 2026",IF(YEAR(Settings!$F$8)&lt;2030,"Amber",IF(YEAR(Settings!$F$8)=2030,"Criteria required","Fail")),"Criteria required"),"Pass"))),IF(G16="Building equipment",IF(M16&lt;&gt;"Equipment","Criteria required",IF(K16=1,"Pass","Fail")),"Criteria required")))))))))</x:f>
        <x:v>Criteria required</x:v>
      </x:c>
      <x:c r="V16" s="9" t="n">
        <x:f>IF(C16="","",IFERROR(INDEX('Taxonomy Rules'!$J$9:$J$20,MATCH(H16&amp;"::"&amp;G16,'Taxonomy Rules'!$C$9:$C$20,0)),0))</x:f>
        <x:v>0</x:v>
      </x:c>
      <x:c r="W16" s="9" t="n">
        <x:f>IF(C16="","",COUNTIFS('Taxonomy Tests'!$D$9:$D$2008,C16,'Taxonomy Tests'!$Q$9:$Q$2008,"Complete"))</x:f>
        <x:v>0</x:v>
      </x:c>
      <x:c r="X16" s="9" t="n">
        <x:f>IF(C16="","",COUNTIFS('Taxonomy Tests'!$D$9:$D$2008,C16,'Taxonomy Tests'!$P$9:$P$2008,"Fail"))</x:f>
        <x:v>0</x:v>
      </x:c>
      <x:c r="Y16" s="9" t="n">
        <x:f>IF(C16="","",MAX(0,V16-W16)+COUNTIFS('Taxonomy Tests'!$D$9:$D$2008,C16,'Taxonomy Tests'!$R$9:$R$2008,"Duplicate test")+COUNTIFS('Taxonomy Tests'!$D$9:$D$2008,C16,'Taxonomy Tests'!$R$9:$R$2008,"Unexpected test"))</x:f>
        <x:v>0</x:v>
      </x:c>
      <x:c r="Z16" s="9" t="str">
        <x:f>IF(C16="","",IF(X16&gt;0,"Fail",IF(AND(V16&gt;0,W16=V16,Y16=0,COUNTIF('Taxonomy Tests'!$D$9:$D$2008,C16)=V16),"Pass","Pending")))</x:f>
        <x:v>Pending</x:v>
      </x:c>
      <x:c r="AA16" s="9" t="str">
        <x:f>IF(C16="","",IF(COUNTIF(Facilities!$C$9:$C$108,D16)&lt;&gt;1,"Facility key",IF(OR(NOT(ISNUMBER(N16)),N16&lt;0),"Amount required",IF(SUMIF($D$9:$D$108,D16,$N$9:$N$108)&gt;IFERROR(INDEX('Facilities'!$AA$9:$AA$108,MATCH(D16,'Facilities'!$C$9:$C$108,0)),"")+0.000001,"Overallocated",IF(N16=0,"No allocation",IF(O16="","Evidence required","Valid"))))))</x:f>
        <x:v>No allocation</x:v>
      </x:c>
      <x:c r="AB16" s="3" t="str">
        <x:f>IF(C16="","",IF(OR(U16="Fail",Z16="Fail"),IF(H16="Jordan 2026","Red / not aligned","Not eligible"),IF(OR(U16="Criteria required",V16=0),"Criteria required",IF(Z16&lt;&gt;"Pass","Pending",IF(U16="Amber","Amber",IF(H16="Jordan 2026","Green","Eligible (internal)"))))))</x:f>
        <x:v>Criteria required</x:v>
      </x:c>
      <x:c r="AC16" s="9" t="str">
        <x:f>IF(C16="","",IF(T16="Rejected","Rejected",IF(OR(AB16="Red / not aligned",AB16="Not eligible"),"Not eligible",IF(OR(AH16&lt;&gt;"Current",T16&lt;&gt;"Approved",Z16&lt;&gt;"Pass",(COUNTIFS('Actions'!$D$9:$D$308,E16,'Actions'!$E$9:$E$308,"E&amp;S",'Actions'!$F$9:$F$308,"Critical",'Actions'!$P$9:$P$308,"&lt;&gt;Closed",'Actions'!$C$9:$C$308,"&lt;&gt;")+COUNTIFS('Actions'!$D$9:$D$308,E16,'Actions'!$E$9:$E$308,"Taxonomy",'Actions'!$F$9:$F$308,"Critical",'Actions'!$P$9:$P$308,"&lt;&gt;Closed",'Actions'!$C$9:$C$308,"&lt;&gt;")+COUNTIFS('ESG'!$C$9:$C$108,E16,'ESG'!$H$9:$H$108,"Yes"))&gt;0,AND(AB16&lt;&gt;"Green",AB16&lt;&gt;"Amber",AB16&lt;&gt;"Eligible (internal)")),"Pending",IF(AA16="No allocation","Activity only",IF(AA16&lt;&gt;"Valid","Pending","Approved"))))))</x:f>
        <x:v>Pending</x:v>
      </x:c>
      <x:c r="AD16" s="21" t="n">
        <x:f>IF(C16="","",IF(AND(AC16="Approved",OR(AB16="Green",AB16="Eligible (internal)")),N16,0))</x:f>
        <x:v>0</x:v>
      </x:c>
      <x:c r="AE16" s="21" t="n">
        <x:f>IF(C16="","",IF(AND(AC16="Approved",AB16="Amber"),N16,0))</x:f>
        <x:v>0</x:v>
      </x:c>
      <x:c r="AF16" s="9" t="str">
        <x:f>IF(C16="","",IF((COUNTIFS('Actions'!$D$9:$D$308,E16,'Actions'!$E$9:$E$308,"E&amp;S",'Actions'!$F$9:$F$308,"Critical",'Actions'!$P$9:$P$308,"&lt;&gt;Closed",'Actions'!$C$9:$C$308,"&lt;&gt;")+COUNTIFS('Actions'!$D$9:$D$308,E16,'Actions'!$E$9:$E$308,"Taxonomy",'Actions'!$F$9:$F$308,"Critical",'Actions'!$P$9:$P$308,"&lt;&gt;Closed",'Actions'!$C$9:$C$308,"&lt;&gt;")+COUNTIFS('ESG'!$C$9:$C$108,E16,'ESG'!$H$9:$H$108,"Yes"))&gt;0,"Resolve critical E&amp;S / taxonomy issue",IF(AH16&lt;&gt;"Current",AH16,IF(Z16&lt;&gt;"Pass","Review individual tests",IF(U16="Criteria required","Sourced criteria / interpretation required",IF(AA16&lt;&gt;"Valid",AA16,IF(T16&lt;&gt;"Approved","Approval required",I16)))))))</x:f>
        <x:v>Review individual tests</x:v>
      </x:c>
      <x:c r="AG16" s="9" t="str">
        <x:f>IF(C16="","",IFERROR(INDEX('Taxonomy Rules'!$L$9:$L$20,MATCH(H16&amp;"::"&amp;G16,'Taxonomy Rules'!$C$9:$C$20,0)),"Unimplemented activity"))</x:f>
        <x:v>Unimplemented activity</x:v>
      </x:c>
      <x:c r="AH16" s="9" t="str">
        <x:f>IF(C16="","",IF(COUNTIF($C$9:$C$108,C16)&lt;&gt;1,"Duplicate ID",IF(OR(COUNTIF(Facilities!$C$9:$C$108,D16)&lt;&gt;1,COUNTIF(Borrowers!$C$9:$C$108,E16)&lt;&gt;1),"Key review",IF(OR(P16="",Q16="",P16=Q16,NOT(ISNUMBER(R16)),NOT(ISNUMBER(S16)),R16&gt;Settings!$F$8,S16&lt;R16),"Review required",IF(S16&lt;Settings!$F$8,"Expired","Current")))))</x:f>
        <x:v>Current</x:v>
      </x:c>
    </x:row>
    <x:row r="17" ht="26" customHeight="1">
      <x:c r="A17" s="1"/>
      <x:c r="B17" s="1"/>
      <x:c r="C17" s="8" t="str">
        <x:v>TAX-F009</x:v>
      </x:c>
      <x:c r="D17" s="8" t="str">
        <x:v>F009</x:v>
      </x:c>
      <x:c r="E17" s="9" t="str">
        <x:f>IF(C17="","",IFERROR(INDEX('Facilities'!$D$9:$D$108,MATCH(D17,'Facilities'!$C$9:$C$108,0)),""))</x:f>
        <x:v>B005</x:v>
      </x:c>
      <x:c r="F17" s="9" t="str">
        <x:f>IF(C17="","",IFERROR(INDEX('Borrowers'!$E$9:$E$108,MATCH(E17,'Borrowers'!$C$9:$C$108,0)),""))</x:f>
        <x:v>Egypt</x:v>
      </x:c>
      <x:c r="G17" s="9" t="str">
        <x:f>IF(C17="","",IFERROR(INDEX('Facilities'!$W$9:$W$108,MATCH(D17,'Facilities'!$C$9:$C$108,0)),""))</x:f>
        <x:v>Building renovation</x:v>
      </x:c>
      <x:c r="H17" s="9" t="str">
        <x:f>IF(C17="","",Settings!$F$11)</x:f>
        <x:v>Internal criteria</x:v>
      </x:c>
      <x:c r="I17" s="3" t="str">
        <x:f>IF(C17="","",IF(H17="Jordan 2026",IF(F17="Jordan","Jordan taxonomy","Reference benchmark"),"Internal policy"))</x:f>
        <x:v>Internal policy</x:v>
      </x:c>
      <x:c r="J17" s="8" t="n">
        <x:v>2025</x:v>
      </x:c>
      <x:c r="K17" s="35" t="n">
        <x:v>0.24</x:v>
      </x:c>
      <x:c r="L17" s="35" t="n">
        <x:v>0.18</x:v>
      </x:c>
      <x:c r="M17" s="8" t="str">
        <x:v>Improvement</x:v>
      </x:c>
      <x:c r="N17" s="16" t="n">
        <x:v>0</x:v>
      </x:c>
      <x:c r="O17" s="8" t="str"/>
      <x:c r="P17" s="8" t="str">
        <x:v>Taxonomy analyst 3</x:v>
      </x:c>
      <x:c r="Q17" s="8" t="str">
        <x:v>Taxonomy reviewer 1</x:v>
      </x:c>
      <x:c r="R17" s="10" t="n">
        <x:v>46266</x:v>
      </x:c>
      <x:c r="S17" s="10" t="n">
        <x:v>46631</x:v>
      </x:c>
      <x:c r="T17" s="8" t="str">
        <x:v>Approved</x:v>
      </x:c>
      <x:c r="U17" s="9" t="str">
        <x:f>IF(C17="","",IF(V17=0,"Criteria required",IF(OR(NOT(ISNUMBER(J17)),J17&lt;1900,J17&gt;YEAR(Settings!$F$8),IFERROR(MOD(J17,1),1)&lt;&gt;0,NOT(ISNUMBER(K17)),K17&lt;0,AND(H17="Internal criteria",OR(G17="Cement",G17="Building renovation"),OR(NOT(ISNUMBER(IFERROR(INDEX('Taxonomy Rules'!$G$9:$G$20,MATCH(H17&amp;"::"&amp;G17,'Taxonomy Rules'!$C$9:$C$20,0)),0))),IFERROR(INDEX('Taxonomy Rules'!$G$9:$G$20,MATCH(H17&amp;"::"&amp;G17,'Taxonomy Rules'!$C$9:$C$20,0)),0)&lt;=0,AND(G17="Building renovation",IFERROR(INDEX('Taxonomy Rules'!$G$9:$G$20,MATCH(H17&amp;"::"&amp;G17,'Taxonomy Rules'!$C$9:$C$20,0)),0)&gt;1)))),"Criteria required",IF(G17="Solar PV",IF(M17&lt;&gt;"Eligible activity","Criteria required",IF(K17=1,"Pass","Fail")),IF(G17="Cement",IF(M17="Amber",IF(H17="Jordan 2026",IF(YEAR(Settings!$F$8)&lt;2040,"Amber","Fail"),"Criteria required"),IF(M17&lt;&gt;"Green","Criteria required",IF(H17="Jordan 2026",IF(IFERROR(INDEX('Taxonomy Rules'!$P$9:$P$14,MATCH(J17,'Taxonomy Rules'!$O$9:$O$14,0)),0)=0,"Criteria required",IF(K17&lt;=IFERROR(INDEX('Taxonomy Rules'!$P$9:$P$14,MATCH(J17,'Taxonomy Rules'!$O$9:$O$14,0)),0),"Pass","Fail")),IF(K17&lt;=IFERROR(INDEX('Taxonomy Rules'!$G$9:$G$20,MATCH(H17&amp;"::"&amp;G17,'Taxonomy Rules'!$C$9:$C$20,0)),0),"Pass","Fail")))),IF(G17="Building renovation",IF(M17="Whole building",IF(K17=1,"Pass","Fail"),IF(M17&lt;&gt;"Improvement","Criteria required",IF(OR(K17&gt;1,NOT(ISNUMBER(L17)),L17&lt;0,L17&gt;1),"Criteria required",IF(MAX(K17,L17)&lt;IFERROR(INDEX('Taxonomy Rules'!$G$9:$G$20,MATCH(H17&amp;"::"&amp;G17,'Taxonomy Rules'!$C$9:$C$20,0)),0),"Fail",IF(H17="Jordan 2026",IF(YEAR(Settings!$F$8)&lt;2035,"Amber",IF(YEAR(Settings!$F$8)=2035,"Criteria required","Fail")),"Pass"))))),IF(G17="Road freight",IF(M17&lt;&gt;"Zero emissions","Criteria required",IF(AND(K17=0,ISNUMBER(L17),L17=0),"Pass","Fail")),IF(G17="New building",IF(NOT(OR(M17="Green",M17="Amber")),"Criteria required",IF(K17&lt;&gt;1,"Fail",IF(M17="Amber",IF(H17="Jordan 2026",IF(YEAR(Settings!$F$8)&lt;2030,"Amber",IF(YEAR(Settings!$F$8)=2030,"Criteria required","Fail")),"Criteria required"),"Pass"))),IF(G17="Building equipment",IF(M17&lt;&gt;"Equipment","Criteria required",IF(K17=1,"Pass","Fail")),"Criteria required")))))))))</x:f>
        <x:v>Pass</x:v>
      </x:c>
      <x:c r="V17" s="9" t="n">
        <x:f>IF(C17="","",IFERROR(INDEX('Taxonomy Rules'!$J$9:$J$20,MATCH(H17&amp;"::"&amp;G17,'Taxonomy Rules'!$C$9:$C$20,0)),0))</x:f>
        <x:v>17</x:v>
      </x:c>
      <x:c r="W17" s="9" t="n">
        <x:f>IF(C17="","",COUNTIFS('Taxonomy Tests'!$D$9:$D$2008,C17,'Taxonomy Tests'!$Q$9:$Q$2008,"Complete"))</x:f>
        <x:v>17</x:v>
      </x:c>
      <x:c r="X17" s="9" t="n">
        <x:f>IF(C17="","",COUNTIFS('Taxonomy Tests'!$D$9:$D$2008,C17,'Taxonomy Tests'!$P$9:$P$2008,"Fail"))</x:f>
        <x:v>0</x:v>
      </x:c>
      <x:c r="Y17" s="9" t="n">
        <x:f>IF(C17="","",MAX(0,V17-W17)+COUNTIFS('Taxonomy Tests'!$D$9:$D$2008,C17,'Taxonomy Tests'!$R$9:$R$2008,"Duplicate test")+COUNTIFS('Taxonomy Tests'!$D$9:$D$2008,C17,'Taxonomy Tests'!$R$9:$R$2008,"Unexpected test"))</x:f>
        <x:v>0</x:v>
      </x:c>
      <x:c r="Z17" s="9" t="str">
        <x:f>IF(C17="","",IF(X17&gt;0,"Fail",IF(AND(V17&gt;0,W17=V17,Y17=0,COUNTIF('Taxonomy Tests'!$D$9:$D$2008,C17)=V17),"Pass","Pending")))</x:f>
        <x:v>Pass</x:v>
      </x:c>
      <x:c r="AA17" s="9" t="str">
        <x:f>IF(C17="","",IF(COUNTIF(Facilities!$C$9:$C$108,D17)&lt;&gt;1,"Facility key",IF(OR(NOT(ISNUMBER(N17)),N17&lt;0),"Amount required",IF(SUMIF($D$9:$D$108,D17,$N$9:$N$108)&gt;IFERROR(INDEX('Facilities'!$AA$9:$AA$108,MATCH(D17,'Facilities'!$C$9:$C$108,0)),"")+0.000001,"Overallocated",IF(N17=0,"No allocation",IF(O17="","Evidence required","Valid"))))))</x:f>
        <x:v>No allocation</x:v>
      </x:c>
      <x:c r="AB17" s="3" t="str">
        <x:f>IF(C17="","",IF(OR(U17="Fail",Z17="Fail"),IF(H17="Jordan 2026","Red / not aligned","Not eligible"),IF(OR(U17="Criteria required",V17=0),"Criteria required",IF(Z17&lt;&gt;"Pass","Pending",IF(U17="Amber","Amber",IF(H17="Jordan 2026","Green","Eligible (internal)"))))))</x:f>
        <x:v>Eligible (internal)</x:v>
      </x:c>
      <x:c r="AC17" s="9" t="str">
        <x:f>IF(C17="","",IF(T17="Rejected","Rejected",IF(OR(AB17="Red / not aligned",AB17="Not eligible"),"Not eligible",IF(OR(AH17&lt;&gt;"Current",T17&lt;&gt;"Approved",Z17&lt;&gt;"Pass",(COUNTIFS('Actions'!$D$9:$D$308,E17,'Actions'!$E$9:$E$308,"E&amp;S",'Actions'!$F$9:$F$308,"Critical",'Actions'!$P$9:$P$308,"&lt;&gt;Closed",'Actions'!$C$9:$C$308,"&lt;&gt;")+COUNTIFS('Actions'!$D$9:$D$308,E17,'Actions'!$E$9:$E$308,"Taxonomy",'Actions'!$F$9:$F$308,"Critical",'Actions'!$P$9:$P$308,"&lt;&gt;Closed",'Actions'!$C$9:$C$308,"&lt;&gt;")+COUNTIFS('ESG'!$C$9:$C$108,E17,'ESG'!$H$9:$H$108,"Yes"))&gt;0,AND(AB17&lt;&gt;"Green",AB17&lt;&gt;"Amber",AB17&lt;&gt;"Eligible (internal)")),"Pending",IF(AA17="No allocation","Activity only",IF(AA17&lt;&gt;"Valid","Pending","Approved"))))))</x:f>
        <x:v>Activity only</x:v>
      </x:c>
      <x:c r="AD17" s="21" t="n">
        <x:f>IF(C17="","",IF(AND(AC17="Approved",OR(AB17="Green",AB17="Eligible (internal)")),N17,0))</x:f>
        <x:v>0</x:v>
      </x:c>
      <x:c r="AE17" s="21" t="n">
        <x:f>IF(C17="","",IF(AND(AC17="Approved",AB17="Amber"),N17,0))</x:f>
        <x:v>0</x:v>
      </x:c>
      <x:c r="AF17" s="9" t="str">
        <x:f>IF(C17="","",IF((COUNTIFS('Actions'!$D$9:$D$308,E17,'Actions'!$E$9:$E$308,"E&amp;S",'Actions'!$F$9:$F$308,"Critical",'Actions'!$P$9:$P$308,"&lt;&gt;Closed",'Actions'!$C$9:$C$308,"&lt;&gt;")+COUNTIFS('Actions'!$D$9:$D$308,E17,'Actions'!$E$9:$E$308,"Taxonomy",'Actions'!$F$9:$F$308,"Critical",'Actions'!$P$9:$P$308,"&lt;&gt;Closed",'Actions'!$C$9:$C$308,"&lt;&gt;")+COUNTIFS('ESG'!$C$9:$C$108,E17,'ESG'!$H$9:$H$108,"Yes"))&gt;0,"Resolve critical E&amp;S / taxonomy issue",IF(AH17&lt;&gt;"Current",AH17,IF(Z17&lt;&gt;"Pass","Review individual tests",IF(U17="Criteria required","Sourced criteria / interpretation required",IF(AA17&lt;&gt;"Valid",AA17,IF(T17&lt;&gt;"Approved","Approval required",I17)))))))</x:f>
        <x:v>No allocation</x:v>
      </x:c>
      <x:c r="AG17" s="9" t="str">
        <x:f>IF(C17="","",IFERROR(INDEX('Taxonomy Rules'!$L$9:$L$20,MATCH(H17&amp;"::"&amp;G17,'Taxonomy Rules'!$C$9:$C$20,0)),"Unimplemented activity"))</x:f>
        <x:v>S10 pp136–137; pp131–133</x:v>
      </x:c>
      <x:c r="AH17" s="9" t="str">
        <x:f>IF(C17="","",IF(COUNTIF($C$9:$C$108,C17)&lt;&gt;1,"Duplicate ID",IF(OR(COUNTIF(Facilities!$C$9:$C$108,D17)&lt;&gt;1,COUNTIF(Borrowers!$C$9:$C$108,E17)&lt;&gt;1),"Key review",IF(OR(P17="",Q17="",P17=Q17,NOT(ISNUMBER(R17)),NOT(ISNUMBER(S17)),R17&gt;Settings!$F$8,S17&lt;R17),"Review required",IF(S17&lt;Settings!$F$8,"Expired","Current")))))</x:f>
        <x:v>Current</x:v>
      </x:c>
    </x:row>
    <x:row r="18" ht="26" customHeight="1">
      <x:c r="A18" s="1"/>
      <x:c r="B18" s="1"/>
      <x:c r="C18" s="8" t="str">
        <x:v>TAX-F010</x:v>
      </x:c>
      <x:c r="D18" s="8" t="str">
        <x:v>F010</x:v>
      </x:c>
      <x:c r="E18" s="9" t="str">
        <x:f>IF(C18="","",IFERROR(INDEX('Facilities'!$D$9:$D$108,MATCH(D18,'Facilities'!$C$9:$C$108,0)),""))</x:f>
        <x:v>B005</x:v>
      </x:c>
      <x:c r="F18" s="9" t="str">
        <x:f>IF(C18="","",IFERROR(INDEX('Borrowers'!$E$9:$E$108,MATCH(E18,'Borrowers'!$C$9:$C$108,0)),""))</x:f>
        <x:v>Egypt</x:v>
      </x:c>
      <x:c r="G18" s="9" t="str">
        <x:f>IF(C18="","",IFERROR(INDEX('Facilities'!$W$9:$W$108,MATCH(D18,'Facilities'!$C$9:$C$108,0)),""))</x:f>
        <x:v>Building renovation</x:v>
      </x:c>
      <x:c r="H18" s="9" t="str">
        <x:f>IF(C18="","",Settings!$F$11)</x:f>
        <x:v>Internal criteria</x:v>
      </x:c>
      <x:c r="I18" s="3" t="str">
        <x:f>IF(C18="","",IF(H18="Jordan 2026",IF(F18="Jordan","Jordan taxonomy","Reference benchmark"),"Internal policy"))</x:f>
        <x:v>Internal policy</x:v>
      </x:c>
      <x:c r="J18" s="8" t="n">
        <x:v>2025</x:v>
      </x:c>
      <x:c r="K18" s="35" t="n">
        <x:v>0.24</x:v>
      </x:c>
      <x:c r="L18" s="35" t="n">
        <x:v>0.18</x:v>
      </x:c>
      <x:c r="M18" s="8" t="str">
        <x:v>Improvement</x:v>
      </x:c>
      <x:c r="N18" s="38" t="n">
        <x:f>IFERROR(INDEX('Facilities'!$AA$9:$AA$108,MATCH(D18,'Facilities'!$C$9:$C$108,0)),"")*0.8</x:f>
        <x:v>3.12</x:v>
      </x:c>
      <x:c r="O18" s="8" t="str">
        <x:v>SYN-ALLOC-F010</x:v>
      </x:c>
      <x:c r="P18" s="8" t="str">
        <x:v>Taxonomy analyst 1</x:v>
      </x:c>
      <x:c r="Q18" s="8" t="str">
        <x:v>Taxonomy reviewer 2</x:v>
      </x:c>
      <x:c r="R18" s="10" t="n">
        <x:v>46266</x:v>
      </x:c>
      <x:c r="S18" s="10" t="n">
        <x:v>46631</x:v>
      </x:c>
      <x:c r="T18" s="8" t="str">
        <x:v>Approved</x:v>
      </x:c>
      <x:c r="U18" s="9" t="str">
        <x:f>IF(C18="","",IF(V18=0,"Criteria required",IF(OR(NOT(ISNUMBER(J18)),J18&lt;1900,J18&gt;YEAR(Settings!$F$8),IFERROR(MOD(J18,1),1)&lt;&gt;0,NOT(ISNUMBER(K18)),K18&lt;0,AND(H18="Internal criteria",OR(G18="Cement",G18="Building renovation"),OR(NOT(ISNUMBER(IFERROR(INDEX('Taxonomy Rules'!$G$9:$G$20,MATCH(H18&amp;"::"&amp;G18,'Taxonomy Rules'!$C$9:$C$20,0)),0))),IFERROR(INDEX('Taxonomy Rules'!$G$9:$G$20,MATCH(H18&amp;"::"&amp;G18,'Taxonomy Rules'!$C$9:$C$20,0)),0)&lt;=0,AND(G18="Building renovation",IFERROR(INDEX('Taxonomy Rules'!$G$9:$G$20,MATCH(H18&amp;"::"&amp;G18,'Taxonomy Rules'!$C$9:$C$20,0)),0)&gt;1)))),"Criteria required",IF(G18="Solar PV",IF(M18&lt;&gt;"Eligible activity","Criteria required",IF(K18=1,"Pass","Fail")),IF(G18="Cement",IF(M18="Amber",IF(H18="Jordan 2026",IF(YEAR(Settings!$F$8)&lt;2040,"Amber","Fail"),"Criteria required"),IF(M18&lt;&gt;"Green","Criteria required",IF(H18="Jordan 2026",IF(IFERROR(INDEX('Taxonomy Rules'!$P$9:$P$14,MATCH(J18,'Taxonomy Rules'!$O$9:$O$14,0)),0)=0,"Criteria required",IF(K18&lt;=IFERROR(INDEX('Taxonomy Rules'!$P$9:$P$14,MATCH(J18,'Taxonomy Rules'!$O$9:$O$14,0)),0),"Pass","Fail")),IF(K18&lt;=IFERROR(INDEX('Taxonomy Rules'!$G$9:$G$20,MATCH(H18&amp;"::"&amp;G18,'Taxonomy Rules'!$C$9:$C$20,0)),0),"Pass","Fail")))),IF(G18="Building renovation",IF(M18="Whole building",IF(K18=1,"Pass","Fail"),IF(M18&lt;&gt;"Improvement","Criteria required",IF(OR(K18&gt;1,NOT(ISNUMBER(L18)),L18&lt;0,L18&gt;1),"Criteria required",IF(MAX(K18,L18)&lt;IFERROR(INDEX('Taxonomy Rules'!$G$9:$G$20,MATCH(H18&amp;"::"&amp;G18,'Taxonomy Rules'!$C$9:$C$20,0)),0),"Fail",IF(H18="Jordan 2026",IF(YEAR(Settings!$F$8)&lt;2035,"Amber",IF(YEAR(Settings!$F$8)=2035,"Criteria required","Fail")),"Pass"))))),IF(G18="Road freight",IF(M18&lt;&gt;"Zero emissions","Criteria required",IF(AND(K18=0,ISNUMBER(L18),L18=0),"Pass","Fail")),IF(G18="New building",IF(NOT(OR(M18="Green",M18="Amber")),"Criteria required",IF(K18&lt;&gt;1,"Fail",IF(M18="Amber",IF(H18="Jordan 2026",IF(YEAR(Settings!$F$8)&lt;2030,"Amber",IF(YEAR(Settings!$F$8)=2030,"Criteria required","Fail")),"Criteria required"),"Pass"))),IF(G18="Building equipment",IF(M18&lt;&gt;"Equipment","Criteria required",IF(K18=1,"Pass","Fail")),"Criteria required")))))))))</x:f>
        <x:v>Pass</x:v>
      </x:c>
      <x:c r="V18" s="9" t="n">
        <x:f>IF(C18="","",IFERROR(INDEX('Taxonomy Rules'!$J$9:$J$20,MATCH(H18&amp;"::"&amp;G18,'Taxonomy Rules'!$C$9:$C$20,0)),0))</x:f>
        <x:v>17</x:v>
      </x:c>
      <x:c r="W18" s="9" t="n">
        <x:f>IF(C18="","",COUNTIFS('Taxonomy Tests'!$D$9:$D$2008,C18,'Taxonomy Tests'!$Q$9:$Q$2008,"Complete"))</x:f>
        <x:v>17</x:v>
      </x:c>
      <x:c r="X18" s="9" t="n">
        <x:f>IF(C18="","",COUNTIFS('Taxonomy Tests'!$D$9:$D$2008,C18,'Taxonomy Tests'!$P$9:$P$2008,"Fail"))</x:f>
        <x:v>0</x:v>
      </x:c>
      <x:c r="Y18" s="9" t="n">
        <x:f>IF(C18="","",MAX(0,V18-W18)+COUNTIFS('Taxonomy Tests'!$D$9:$D$2008,C18,'Taxonomy Tests'!$R$9:$R$2008,"Duplicate test")+COUNTIFS('Taxonomy Tests'!$D$9:$D$2008,C18,'Taxonomy Tests'!$R$9:$R$2008,"Unexpected test"))</x:f>
        <x:v>0</x:v>
      </x:c>
      <x:c r="Z18" s="9" t="str">
        <x:f>IF(C18="","",IF(X18&gt;0,"Fail",IF(AND(V18&gt;0,W18=V18,Y18=0,COUNTIF('Taxonomy Tests'!$D$9:$D$2008,C18)=V18),"Pass","Pending")))</x:f>
        <x:v>Pass</x:v>
      </x:c>
      <x:c r="AA18" s="9" t="str">
        <x:f>IF(C18="","",IF(COUNTIF(Facilities!$C$9:$C$108,D18)&lt;&gt;1,"Facility key",IF(OR(NOT(ISNUMBER(N18)),N18&lt;0),"Amount required",IF(SUMIF($D$9:$D$108,D18,$N$9:$N$108)&gt;IFERROR(INDEX('Facilities'!$AA$9:$AA$108,MATCH(D18,'Facilities'!$C$9:$C$108,0)),"")+0.000001,"Overallocated",IF(N18=0,"No allocation",IF(O18="","Evidence required","Valid"))))))</x:f>
        <x:v>Valid</x:v>
      </x:c>
      <x:c r="AB18" s="3" t="str">
        <x:f>IF(C18="","",IF(OR(U18="Fail",Z18="Fail"),IF(H18="Jordan 2026","Red / not aligned","Not eligible"),IF(OR(U18="Criteria required",V18=0),"Criteria required",IF(Z18&lt;&gt;"Pass","Pending",IF(U18="Amber","Amber",IF(H18="Jordan 2026","Green","Eligible (internal)"))))))</x:f>
        <x:v>Eligible (internal)</x:v>
      </x:c>
      <x:c r="AC18" s="9" t="str">
        <x:f>IF(C18="","",IF(T18="Rejected","Rejected",IF(OR(AB18="Red / not aligned",AB18="Not eligible"),"Not eligible",IF(OR(AH18&lt;&gt;"Current",T18&lt;&gt;"Approved",Z18&lt;&gt;"Pass",(COUNTIFS('Actions'!$D$9:$D$308,E18,'Actions'!$E$9:$E$308,"E&amp;S",'Actions'!$F$9:$F$308,"Critical",'Actions'!$P$9:$P$308,"&lt;&gt;Closed",'Actions'!$C$9:$C$308,"&lt;&gt;")+COUNTIFS('Actions'!$D$9:$D$308,E18,'Actions'!$E$9:$E$308,"Taxonomy",'Actions'!$F$9:$F$308,"Critical",'Actions'!$P$9:$P$308,"&lt;&gt;Closed",'Actions'!$C$9:$C$308,"&lt;&gt;")+COUNTIFS('ESG'!$C$9:$C$108,E18,'ESG'!$H$9:$H$108,"Yes"))&gt;0,AND(AB18&lt;&gt;"Green",AB18&lt;&gt;"Amber",AB18&lt;&gt;"Eligible (internal)")),"Pending",IF(AA18="No allocation","Activity only",IF(AA18&lt;&gt;"Valid","Pending","Approved"))))))</x:f>
        <x:v>Approved</x:v>
      </x:c>
      <x:c r="AD18" s="21" t="n">
        <x:f>IF(C18="","",IF(AND(AC18="Approved",OR(AB18="Green",AB18="Eligible (internal)")),N18,0))</x:f>
        <x:v>3.12</x:v>
      </x:c>
      <x:c r="AE18" s="21" t="n">
        <x:f>IF(C18="","",IF(AND(AC18="Approved",AB18="Amber"),N18,0))</x:f>
        <x:v>0</x:v>
      </x:c>
      <x:c r="AF18" s="9" t="str">
        <x:f>IF(C18="","",IF((COUNTIFS('Actions'!$D$9:$D$308,E18,'Actions'!$E$9:$E$308,"E&amp;S",'Actions'!$F$9:$F$308,"Critical",'Actions'!$P$9:$P$308,"&lt;&gt;Closed",'Actions'!$C$9:$C$308,"&lt;&gt;")+COUNTIFS('Actions'!$D$9:$D$308,E18,'Actions'!$E$9:$E$308,"Taxonomy",'Actions'!$F$9:$F$308,"Critical",'Actions'!$P$9:$P$308,"&lt;&gt;Closed",'Actions'!$C$9:$C$308,"&lt;&gt;")+COUNTIFS('ESG'!$C$9:$C$108,E18,'ESG'!$H$9:$H$108,"Yes"))&gt;0,"Resolve critical E&amp;S / taxonomy issue",IF(AH18&lt;&gt;"Current",AH18,IF(Z18&lt;&gt;"Pass","Review individual tests",IF(U18="Criteria required","Sourced criteria / interpretation required",IF(AA18&lt;&gt;"Valid",AA18,IF(T18&lt;&gt;"Approved","Approval required",I18)))))))</x:f>
        <x:v>Internal policy</x:v>
      </x:c>
      <x:c r="AG18" s="9" t="str">
        <x:f>IF(C18="","",IFERROR(INDEX('Taxonomy Rules'!$L$9:$L$20,MATCH(H18&amp;"::"&amp;G18,'Taxonomy Rules'!$C$9:$C$20,0)),"Unimplemented activity"))</x:f>
        <x:v>S10 pp136–137; pp131–133</x:v>
      </x:c>
      <x:c r="AH18" s="9" t="str">
        <x:f>IF(C18="","",IF(COUNTIF($C$9:$C$108,C18)&lt;&gt;1,"Duplicate ID",IF(OR(COUNTIF(Facilities!$C$9:$C$108,D18)&lt;&gt;1,COUNTIF(Borrowers!$C$9:$C$108,E18)&lt;&gt;1),"Key review",IF(OR(P18="",Q18="",P18=Q18,NOT(ISNUMBER(R18)),NOT(ISNUMBER(S18)),R18&gt;Settings!$F$8,S18&lt;R18),"Review required",IF(S18&lt;Settings!$F$8,"Expired","Current")))))</x:f>
        <x:v>Current</x:v>
      </x:c>
    </x:row>
    <x:row r="19" ht="26" customHeight="1">
      <x:c r="A19" s="1"/>
      <x:c r="B19" s="1"/>
      <x:c r="C19" s="8" t="str">
        <x:v>TAX-F011</x:v>
      </x:c>
      <x:c r="D19" s="8" t="str">
        <x:v>F011</x:v>
      </x:c>
      <x:c r="E19" s="9" t="str">
        <x:f>IF(C19="","",IFERROR(INDEX('Facilities'!$D$9:$D$108,MATCH(D19,'Facilities'!$C$9:$C$108,0)),""))</x:f>
        <x:v>B006</x:v>
      </x:c>
      <x:c r="F19" s="9" t="str">
        <x:f>IF(C19="","",IFERROR(INDEX('Borrowers'!$E$9:$E$108,MATCH(E19,'Borrowers'!$C$9:$C$108,0)),""))</x:f>
        <x:v>Egypt</x:v>
      </x:c>
      <x:c r="G19" s="9" t="str">
        <x:f>IF(C19="","",IFERROR(INDEX('Facilities'!$W$9:$W$108,MATCH(D19,'Facilities'!$C$9:$C$108,0)),""))</x:f>
        <x:v>Other</x:v>
      </x:c>
      <x:c r="H19" s="9" t="str">
        <x:f>IF(C19="","",Settings!$F$11)</x:f>
        <x:v>Internal criteria</x:v>
      </x:c>
      <x:c r="I19" s="3" t="str">
        <x:f>IF(C19="","",IF(H19="Jordan 2026",IF(F19="Jordan","Jordan taxonomy","Reference benchmark"),"Internal policy"))</x:f>
        <x:v>Internal policy</x:v>
      </x:c>
      <x:c r="J19" s="8" t="n">
        <x:v>2025</x:v>
      </x:c>
      <x:c r="K19" s="35" t="str"/>
      <x:c r="L19" s="35" t="str"/>
      <x:c r="M19" s="8" t="str">
        <x:v>Unspecified</x:v>
      </x:c>
      <x:c r="N19" s="16" t="n">
        <x:v>0</x:v>
      </x:c>
      <x:c r="O19" s="8" t="str"/>
      <x:c r="P19" s="8" t="str">
        <x:v>Taxonomy analyst 2</x:v>
      </x:c>
      <x:c r="Q19" s="8" t="str">
        <x:v>Taxonomy reviewer 1</x:v>
      </x:c>
      <x:c r="R19" s="10" t="n">
        <x:v>46266</x:v>
      </x:c>
      <x:c r="S19" s="10" t="n">
        <x:v>46631</x:v>
      </x:c>
      <x:c r="T19" s="8" t="str">
        <x:v>Pending</x:v>
      </x:c>
      <x:c r="U19" s="9" t="str">
        <x:f>IF(C19="","",IF(V19=0,"Criteria required",IF(OR(NOT(ISNUMBER(J19)),J19&lt;1900,J19&gt;YEAR(Settings!$F$8),IFERROR(MOD(J19,1),1)&lt;&gt;0,NOT(ISNUMBER(K19)),K19&lt;0,AND(H19="Internal criteria",OR(G19="Cement",G19="Building renovation"),OR(NOT(ISNUMBER(IFERROR(INDEX('Taxonomy Rules'!$G$9:$G$20,MATCH(H19&amp;"::"&amp;G19,'Taxonomy Rules'!$C$9:$C$20,0)),0))),IFERROR(INDEX('Taxonomy Rules'!$G$9:$G$20,MATCH(H19&amp;"::"&amp;G19,'Taxonomy Rules'!$C$9:$C$20,0)),0)&lt;=0,AND(G19="Building renovation",IFERROR(INDEX('Taxonomy Rules'!$G$9:$G$20,MATCH(H19&amp;"::"&amp;G19,'Taxonomy Rules'!$C$9:$C$20,0)),0)&gt;1)))),"Criteria required",IF(G19="Solar PV",IF(M19&lt;&gt;"Eligible activity","Criteria required",IF(K19=1,"Pass","Fail")),IF(G19="Cement",IF(M19="Amber",IF(H19="Jordan 2026",IF(YEAR(Settings!$F$8)&lt;2040,"Amber","Fail"),"Criteria required"),IF(M19&lt;&gt;"Green","Criteria required",IF(H19="Jordan 2026",IF(IFERROR(INDEX('Taxonomy Rules'!$P$9:$P$14,MATCH(J19,'Taxonomy Rules'!$O$9:$O$14,0)),0)=0,"Criteria required",IF(K19&lt;=IFERROR(INDEX('Taxonomy Rules'!$P$9:$P$14,MATCH(J19,'Taxonomy Rules'!$O$9:$O$14,0)),0),"Pass","Fail")),IF(K19&lt;=IFERROR(INDEX('Taxonomy Rules'!$G$9:$G$20,MATCH(H19&amp;"::"&amp;G19,'Taxonomy Rules'!$C$9:$C$20,0)),0),"Pass","Fail")))),IF(G19="Building renovation",IF(M19="Whole building",IF(K19=1,"Pass","Fail"),IF(M19&lt;&gt;"Improvement","Criteria required",IF(OR(K19&gt;1,NOT(ISNUMBER(L19)),L19&lt;0,L19&gt;1),"Criteria required",IF(MAX(K19,L19)&lt;IFERROR(INDEX('Taxonomy Rules'!$G$9:$G$20,MATCH(H19&amp;"::"&amp;G19,'Taxonomy Rules'!$C$9:$C$20,0)),0),"Fail",IF(H19="Jordan 2026",IF(YEAR(Settings!$F$8)&lt;2035,"Amber",IF(YEAR(Settings!$F$8)=2035,"Criteria required","Fail")),"Pass"))))),IF(G19="Road freight",IF(M19&lt;&gt;"Zero emissions","Criteria required",IF(AND(K19=0,ISNUMBER(L19),L19=0),"Pass","Fail")),IF(G19="New building",IF(NOT(OR(M19="Green",M19="Amber")),"Criteria required",IF(K19&lt;&gt;1,"Fail",IF(M19="Amber",IF(H19="Jordan 2026",IF(YEAR(Settings!$F$8)&lt;2030,"Amber",IF(YEAR(Settings!$F$8)=2030,"Criteria required","Fail")),"Criteria required"),"Pass"))),IF(G19="Building equipment",IF(M19&lt;&gt;"Equipment","Criteria required",IF(K19=1,"Pass","Fail")),"Criteria required")))))))))</x:f>
        <x:v>Criteria required</x:v>
      </x:c>
      <x:c r="V19" s="9" t="n">
        <x:f>IF(C19="","",IFERROR(INDEX('Taxonomy Rules'!$J$9:$J$20,MATCH(H19&amp;"::"&amp;G19,'Taxonomy Rules'!$C$9:$C$20,0)),0))</x:f>
        <x:v>0</x:v>
      </x:c>
      <x:c r="W19" s="9" t="n">
        <x:f>IF(C19="","",COUNTIFS('Taxonomy Tests'!$D$9:$D$2008,C19,'Taxonomy Tests'!$Q$9:$Q$2008,"Complete"))</x:f>
        <x:v>0</x:v>
      </x:c>
      <x:c r="X19" s="9" t="n">
        <x:f>IF(C19="","",COUNTIFS('Taxonomy Tests'!$D$9:$D$2008,C19,'Taxonomy Tests'!$P$9:$P$2008,"Fail"))</x:f>
        <x:v>0</x:v>
      </x:c>
      <x:c r="Y19" s="9" t="n">
        <x:f>IF(C19="","",MAX(0,V19-W19)+COUNTIFS('Taxonomy Tests'!$D$9:$D$2008,C19,'Taxonomy Tests'!$R$9:$R$2008,"Duplicate test")+COUNTIFS('Taxonomy Tests'!$D$9:$D$2008,C19,'Taxonomy Tests'!$R$9:$R$2008,"Unexpected test"))</x:f>
        <x:v>0</x:v>
      </x:c>
      <x:c r="Z19" s="9" t="str">
        <x:f>IF(C19="","",IF(X19&gt;0,"Fail",IF(AND(V19&gt;0,W19=V19,Y19=0,COUNTIF('Taxonomy Tests'!$D$9:$D$2008,C19)=V19),"Pass","Pending")))</x:f>
        <x:v>Pending</x:v>
      </x:c>
      <x:c r="AA19" s="9" t="str">
        <x:f>IF(C19="","",IF(COUNTIF(Facilities!$C$9:$C$108,D19)&lt;&gt;1,"Facility key",IF(OR(NOT(ISNUMBER(N19)),N19&lt;0),"Amount required",IF(SUMIF($D$9:$D$108,D19,$N$9:$N$108)&gt;IFERROR(INDEX('Facilities'!$AA$9:$AA$108,MATCH(D19,'Facilities'!$C$9:$C$108,0)),"")+0.000001,"Overallocated",IF(N19=0,"No allocation",IF(O19="","Evidence required","Valid"))))))</x:f>
        <x:v>No allocation</x:v>
      </x:c>
      <x:c r="AB19" s="3" t="str">
        <x:f>IF(C19="","",IF(OR(U19="Fail",Z19="Fail"),IF(H19="Jordan 2026","Red / not aligned","Not eligible"),IF(OR(U19="Criteria required",V19=0),"Criteria required",IF(Z19&lt;&gt;"Pass","Pending",IF(U19="Amber","Amber",IF(H19="Jordan 2026","Green","Eligible (internal)"))))))</x:f>
        <x:v>Criteria required</x:v>
      </x:c>
      <x:c r="AC19" s="9" t="str">
        <x:f>IF(C19="","",IF(T19="Rejected","Rejected",IF(OR(AB19="Red / not aligned",AB19="Not eligible"),"Not eligible",IF(OR(AH19&lt;&gt;"Current",T19&lt;&gt;"Approved",Z19&lt;&gt;"Pass",(COUNTIFS('Actions'!$D$9:$D$308,E19,'Actions'!$E$9:$E$308,"E&amp;S",'Actions'!$F$9:$F$308,"Critical",'Actions'!$P$9:$P$308,"&lt;&gt;Closed",'Actions'!$C$9:$C$308,"&lt;&gt;")+COUNTIFS('Actions'!$D$9:$D$308,E19,'Actions'!$E$9:$E$308,"Taxonomy",'Actions'!$F$9:$F$308,"Critical",'Actions'!$P$9:$P$308,"&lt;&gt;Closed",'Actions'!$C$9:$C$308,"&lt;&gt;")+COUNTIFS('ESG'!$C$9:$C$108,E19,'ESG'!$H$9:$H$108,"Yes"))&gt;0,AND(AB19&lt;&gt;"Green",AB19&lt;&gt;"Amber",AB19&lt;&gt;"Eligible (internal)")),"Pending",IF(AA19="No allocation","Activity only",IF(AA19&lt;&gt;"Valid","Pending","Approved"))))))</x:f>
        <x:v>Pending</x:v>
      </x:c>
      <x:c r="AD19" s="21" t="n">
        <x:f>IF(C19="","",IF(AND(AC19="Approved",OR(AB19="Green",AB19="Eligible (internal)")),N19,0))</x:f>
        <x:v>0</x:v>
      </x:c>
      <x:c r="AE19" s="21" t="n">
        <x:f>IF(C19="","",IF(AND(AC19="Approved",AB19="Amber"),N19,0))</x:f>
        <x:v>0</x:v>
      </x:c>
      <x:c r="AF19" s="9" t="str">
        <x:f>IF(C19="","",IF((COUNTIFS('Actions'!$D$9:$D$308,E19,'Actions'!$E$9:$E$308,"E&amp;S",'Actions'!$F$9:$F$308,"Critical",'Actions'!$P$9:$P$308,"&lt;&gt;Closed",'Actions'!$C$9:$C$308,"&lt;&gt;")+COUNTIFS('Actions'!$D$9:$D$308,E19,'Actions'!$E$9:$E$308,"Taxonomy",'Actions'!$F$9:$F$308,"Critical",'Actions'!$P$9:$P$308,"&lt;&gt;Closed",'Actions'!$C$9:$C$308,"&lt;&gt;")+COUNTIFS('ESG'!$C$9:$C$108,E19,'ESG'!$H$9:$H$108,"Yes"))&gt;0,"Resolve critical E&amp;S / taxonomy issue",IF(AH19&lt;&gt;"Current",AH19,IF(Z19&lt;&gt;"Pass","Review individual tests",IF(U19="Criteria required","Sourced criteria / interpretation required",IF(AA19&lt;&gt;"Valid",AA19,IF(T19&lt;&gt;"Approved","Approval required",I19)))))))</x:f>
        <x:v>Review individual tests</x:v>
      </x:c>
      <x:c r="AG19" s="9" t="str">
        <x:f>IF(C19="","",IFERROR(INDEX('Taxonomy Rules'!$L$9:$L$20,MATCH(H19&amp;"::"&amp;G19,'Taxonomy Rules'!$C$9:$C$20,0)),"Unimplemented activity"))</x:f>
        <x:v>Unimplemented activity</x:v>
      </x:c>
      <x:c r="AH19" s="9" t="str">
        <x:f>IF(C19="","",IF(COUNTIF($C$9:$C$108,C19)&lt;&gt;1,"Duplicate ID",IF(OR(COUNTIF(Facilities!$C$9:$C$108,D19)&lt;&gt;1,COUNTIF(Borrowers!$C$9:$C$108,E19)&lt;&gt;1),"Key review",IF(OR(P19="",Q19="",P19=Q19,NOT(ISNUMBER(R19)),NOT(ISNUMBER(S19)),R19&gt;Settings!$F$8,S19&lt;R19),"Review required",IF(S19&lt;Settings!$F$8,"Expired","Current")))))</x:f>
        <x:v>Current</x:v>
      </x:c>
    </x:row>
    <x:row r="20" ht="26" customHeight="1">
      <x:c r="A20" s="1"/>
      <x:c r="B20" s="1"/>
      <x:c r="C20" s="8" t="str">
        <x:v>TAX-F012</x:v>
      </x:c>
      <x:c r="D20" s="8" t="str">
        <x:v>F012</x:v>
      </x:c>
      <x:c r="E20" s="9" t="str">
        <x:f>IF(C20="","",IFERROR(INDEX('Facilities'!$D$9:$D$108,MATCH(D20,'Facilities'!$C$9:$C$108,0)),""))</x:f>
        <x:v>B006</x:v>
      </x:c>
      <x:c r="F20" s="9" t="str">
        <x:f>IF(C20="","",IFERROR(INDEX('Borrowers'!$E$9:$E$108,MATCH(E20,'Borrowers'!$C$9:$C$108,0)),""))</x:f>
        <x:v>Egypt</x:v>
      </x:c>
      <x:c r="G20" s="9" t="str">
        <x:f>IF(C20="","",IFERROR(INDEX('Facilities'!$W$9:$W$108,MATCH(D20,'Facilities'!$C$9:$C$108,0)),""))</x:f>
        <x:v>Other</x:v>
      </x:c>
      <x:c r="H20" s="9" t="str">
        <x:f>IF(C20="","",Settings!$F$11)</x:f>
        <x:v>Internal criteria</x:v>
      </x:c>
      <x:c r="I20" s="3" t="str">
        <x:f>IF(C20="","",IF(H20="Jordan 2026",IF(F20="Jordan","Jordan taxonomy","Reference benchmark"),"Internal policy"))</x:f>
        <x:v>Internal policy</x:v>
      </x:c>
      <x:c r="J20" s="8" t="n">
        <x:v>2025</x:v>
      </x:c>
      <x:c r="K20" s="35" t="str"/>
      <x:c r="L20" s="35" t="str"/>
      <x:c r="M20" s="8" t="str">
        <x:v>Unspecified</x:v>
      </x:c>
      <x:c r="N20" s="16" t="n">
        <x:v>0</x:v>
      </x:c>
      <x:c r="O20" s="8" t="str"/>
      <x:c r="P20" s="8" t="str">
        <x:v>Taxonomy analyst 3</x:v>
      </x:c>
      <x:c r="Q20" s="8" t="str">
        <x:v>Taxonomy reviewer 2</x:v>
      </x:c>
      <x:c r="R20" s="10" t="n">
        <x:v>46266</x:v>
      </x:c>
      <x:c r="S20" s="10" t="n">
        <x:v>46631</x:v>
      </x:c>
      <x:c r="T20" s="8" t="str">
        <x:v>Pending</x:v>
      </x:c>
      <x:c r="U20" s="9" t="str">
        <x:f>IF(C20="","",IF(V20=0,"Criteria required",IF(OR(NOT(ISNUMBER(J20)),J20&lt;1900,J20&gt;YEAR(Settings!$F$8),IFERROR(MOD(J20,1),1)&lt;&gt;0,NOT(ISNUMBER(K20)),K20&lt;0,AND(H20="Internal criteria",OR(G20="Cement",G20="Building renovation"),OR(NOT(ISNUMBER(IFERROR(INDEX('Taxonomy Rules'!$G$9:$G$20,MATCH(H20&amp;"::"&amp;G20,'Taxonomy Rules'!$C$9:$C$20,0)),0))),IFERROR(INDEX('Taxonomy Rules'!$G$9:$G$20,MATCH(H20&amp;"::"&amp;G20,'Taxonomy Rules'!$C$9:$C$20,0)),0)&lt;=0,AND(G20="Building renovation",IFERROR(INDEX('Taxonomy Rules'!$G$9:$G$20,MATCH(H20&amp;"::"&amp;G20,'Taxonomy Rules'!$C$9:$C$20,0)),0)&gt;1)))),"Criteria required",IF(G20="Solar PV",IF(M20&lt;&gt;"Eligible activity","Criteria required",IF(K20=1,"Pass","Fail")),IF(G20="Cement",IF(M20="Amber",IF(H20="Jordan 2026",IF(YEAR(Settings!$F$8)&lt;2040,"Amber","Fail"),"Criteria required"),IF(M20&lt;&gt;"Green","Criteria required",IF(H20="Jordan 2026",IF(IFERROR(INDEX('Taxonomy Rules'!$P$9:$P$14,MATCH(J20,'Taxonomy Rules'!$O$9:$O$14,0)),0)=0,"Criteria required",IF(K20&lt;=IFERROR(INDEX('Taxonomy Rules'!$P$9:$P$14,MATCH(J20,'Taxonomy Rules'!$O$9:$O$14,0)),0),"Pass","Fail")),IF(K20&lt;=IFERROR(INDEX('Taxonomy Rules'!$G$9:$G$20,MATCH(H20&amp;"::"&amp;G20,'Taxonomy Rules'!$C$9:$C$20,0)),0),"Pass","Fail")))),IF(G20="Building renovation",IF(M20="Whole building",IF(K20=1,"Pass","Fail"),IF(M20&lt;&gt;"Improvement","Criteria required",IF(OR(K20&gt;1,NOT(ISNUMBER(L20)),L20&lt;0,L20&gt;1),"Criteria required",IF(MAX(K20,L20)&lt;IFERROR(INDEX('Taxonomy Rules'!$G$9:$G$20,MATCH(H20&amp;"::"&amp;G20,'Taxonomy Rules'!$C$9:$C$20,0)),0),"Fail",IF(H20="Jordan 2026",IF(YEAR(Settings!$F$8)&lt;2035,"Amber",IF(YEAR(Settings!$F$8)=2035,"Criteria required","Fail")),"Pass"))))),IF(G20="Road freight",IF(M20&lt;&gt;"Zero emissions","Criteria required",IF(AND(K20=0,ISNUMBER(L20),L20=0),"Pass","Fail")),IF(G20="New building",IF(NOT(OR(M20="Green",M20="Amber")),"Criteria required",IF(K20&lt;&gt;1,"Fail",IF(M20="Amber",IF(H20="Jordan 2026",IF(YEAR(Settings!$F$8)&lt;2030,"Amber",IF(YEAR(Settings!$F$8)=2030,"Criteria required","Fail")),"Criteria required"),"Pass"))),IF(G20="Building equipment",IF(M20&lt;&gt;"Equipment","Criteria required",IF(K20=1,"Pass","Fail")),"Criteria required")))))))))</x:f>
        <x:v>Criteria required</x:v>
      </x:c>
      <x:c r="V20" s="9" t="n">
        <x:f>IF(C20="","",IFERROR(INDEX('Taxonomy Rules'!$J$9:$J$20,MATCH(H20&amp;"::"&amp;G20,'Taxonomy Rules'!$C$9:$C$20,0)),0))</x:f>
        <x:v>0</x:v>
      </x:c>
      <x:c r="W20" s="9" t="n">
        <x:f>IF(C20="","",COUNTIFS('Taxonomy Tests'!$D$9:$D$2008,C20,'Taxonomy Tests'!$Q$9:$Q$2008,"Complete"))</x:f>
        <x:v>0</x:v>
      </x:c>
      <x:c r="X20" s="9" t="n">
        <x:f>IF(C20="","",COUNTIFS('Taxonomy Tests'!$D$9:$D$2008,C20,'Taxonomy Tests'!$P$9:$P$2008,"Fail"))</x:f>
        <x:v>0</x:v>
      </x:c>
      <x:c r="Y20" s="9" t="n">
        <x:f>IF(C20="","",MAX(0,V20-W20)+COUNTIFS('Taxonomy Tests'!$D$9:$D$2008,C20,'Taxonomy Tests'!$R$9:$R$2008,"Duplicate test")+COUNTIFS('Taxonomy Tests'!$D$9:$D$2008,C20,'Taxonomy Tests'!$R$9:$R$2008,"Unexpected test"))</x:f>
        <x:v>0</x:v>
      </x:c>
      <x:c r="Z20" s="9" t="str">
        <x:f>IF(C20="","",IF(X20&gt;0,"Fail",IF(AND(V20&gt;0,W20=V20,Y20=0,COUNTIF('Taxonomy Tests'!$D$9:$D$2008,C20)=V20),"Pass","Pending")))</x:f>
        <x:v>Pending</x:v>
      </x:c>
      <x:c r="AA20" s="9" t="str">
        <x:f>IF(C20="","",IF(COUNTIF(Facilities!$C$9:$C$108,D20)&lt;&gt;1,"Facility key",IF(OR(NOT(ISNUMBER(N20)),N20&lt;0),"Amount required",IF(SUMIF($D$9:$D$108,D20,$N$9:$N$108)&gt;IFERROR(INDEX('Facilities'!$AA$9:$AA$108,MATCH(D20,'Facilities'!$C$9:$C$108,0)),"")+0.000001,"Overallocated",IF(N20=0,"No allocation",IF(O20="","Evidence required","Valid"))))))</x:f>
        <x:v>No allocation</x:v>
      </x:c>
      <x:c r="AB20" s="3" t="str">
        <x:f>IF(C20="","",IF(OR(U20="Fail",Z20="Fail"),IF(H20="Jordan 2026","Red / not aligned","Not eligible"),IF(OR(U20="Criteria required",V20=0),"Criteria required",IF(Z20&lt;&gt;"Pass","Pending",IF(U20="Amber","Amber",IF(H20="Jordan 2026","Green","Eligible (internal)"))))))</x:f>
        <x:v>Criteria required</x:v>
      </x:c>
      <x:c r="AC20" s="9" t="str">
        <x:f>IF(C20="","",IF(T20="Rejected","Rejected",IF(OR(AB20="Red / not aligned",AB20="Not eligible"),"Not eligible",IF(OR(AH20&lt;&gt;"Current",T20&lt;&gt;"Approved",Z20&lt;&gt;"Pass",(COUNTIFS('Actions'!$D$9:$D$308,E20,'Actions'!$E$9:$E$308,"E&amp;S",'Actions'!$F$9:$F$308,"Critical",'Actions'!$P$9:$P$308,"&lt;&gt;Closed",'Actions'!$C$9:$C$308,"&lt;&gt;")+COUNTIFS('Actions'!$D$9:$D$308,E20,'Actions'!$E$9:$E$308,"Taxonomy",'Actions'!$F$9:$F$308,"Critical",'Actions'!$P$9:$P$308,"&lt;&gt;Closed",'Actions'!$C$9:$C$308,"&lt;&gt;")+COUNTIFS('ESG'!$C$9:$C$108,E20,'ESG'!$H$9:$H$108,"Yes"))&gt;0,AND(AB20&lt;&gt;"Green",AB20&lt;&gt;"Amber",AB20&lt;&gt;"Eligible (internal)")),"Pending",IF(AA20="No allocation","Activity only",IF(AA20&lt;&gt;"Valid","Pending","Approved"))))))</x:f>
        <x:v>Pending</x:v>
      </x:c>
      <x:c r="AD20" s="21" t="n">
        <x:f>IF(C20="","",IF(AND(AC20="Approved",OR(AB20="Green",AB20="Eligible (internal)")),N20,0))</x:f>
        <x:v>0</x:v>
      </x:c>
      <x:c r="AE20" s="21" t="n">
        <x:f>IF(C20="","",IF(AND(AC20="Approved",AB20="Amber"),N20,0))</x:f>
        <x:v>0</x:v>
      </x:c>
      <x:c r="AF20" s="9" t="str">
        <x:f>IF(C20="","",IF((COUNTIFS('Actions'!$D$9:$D$308,E20,'Actions'!$E$9:$E$308,"E&amp;S",'Actions'!$F$9:$F$308,"Critical",'Actions'!$P$9:$P$308,"&lt;&gt;Closed",'Actions'!$C$9:$C$308,"&lt;&gt;")+COUNTIFS('Actions'!$D$9:$D$308,E20,'Actions'!$E$9:$E$308,"Taxonomy",'Actions'!$F$9:$F$308,"Critical",'Actions'!$P$9:$P$308,"&lt;&gt;Closed",'Actions'!$C$9:$C$308,"&lt;&gt;")+COUNTIFS('ESG'!$C$9:$C$108,E20,'ESG'!$H$9:$H$108,"Yes"))&gt;0,"Resolve critical E&amp;S / taxonomy issue",IF(AH20&lt;&gt;"Current",AH20,IF(Z20&lt;&gt;"Pass","Review individual tests",IF(U20="Criteria required","Sourced criteria / interpretation required",IF(AA20&lt;&gt;"Valid",AA20,IF(T20&lt;&gt;"Approved","Approval required",I20)))))))</x:f>
        <x:v>Review individual tests</x:v>
      </x:c>
      <x:c r="AG20" s="9" t="str">
        <x:f>IF(C20="","",IFERROR(INDEX('Taxonomy Rules'!$L$9:$L$20,MATCH(H20&amp;"::"&amp;G20,'Taxonomy Rules'!$C$9:$C$20,0)),"Unimplemented activity"))</x:f>
        <x:v>Unimplemented activity</x:v>
      </x:c>
      <x:c r="AH20" s="9" t="str">
        <x:f>IF(C20="","",IF(COUNTIF($C$9:$C$108,C20)&lt;&gt;1,"Duplicate ID",IF(OR(COUNTIF(Facilities!$C$9:$C$108,D20)&lt;&gt;1,COUNTIF(Borrowers!$C$9:$C$108,E20)&lt;&gt;1),"Key review",IF(OR(P20="",Q20="",P20=Q20,NOT(ISNUMBER(R20)),NOT(ISNUMBER(S20)),R20&gt;Settings!$F$8,S20&lt;R20),"Review required",IF(S20&lt;Settings!$F$8,"Expired","Current")))))</x:f>
        <x:v>Current</x:v>
      </x:c>
    </x:row>
    <x:row r="21" ht="26" customHeight="1">
      <x:c r="A21" s="1"/>
      <x:c r="B21" s="1"/>
      <x:c r="C21" s="8" t="str">
        <x:v>TAX-F013</x:v>
      </x:c>
      <x:c r="D21" s="8" t="str">
        <x:v>F013</x:v>
      </x:c>
      <x:c r="E21" s="9" t="str">
        <x:f>IF(C21="","",IFERROR(INDEX('Facilities'!$D$9:$D$108,MATCH(D21,'Facilities'!$C$9:$C$108,0)),""))</x:f>
        <x:v>B007</x:v>
      </x:c>
      <x:c r="F21" s="9" t="str">
        <x:f>IF(C21="","",IFERROR(INDEX('Borrowers'!$E$9:$E$108,MATCH(E21,'Borrowers'!$C$9:$C$108,0)),""))</x:f>
        <x:v>Jordan</x:v>
      </x:c>
      <x:c r="G21" s="9" t="str">
        <x:f>IF(C21="","",IFERROR(INDEX('Facilities'!$W$9:$W$108,MATCH(D21,'Facilities'!$C$9:$C$108,0)),""))</x:f>
        <x:v>Cement</x:v>
      </x:c>
      <x:c r="H21" s="9" t="str">
        <x:f>IF(C21="","",Settings!$F$11)</x:f>
        <x:v>Internal criteria</x:v>
      </x:c>
      <x:c r="I21" s="3" t="str">
        <x:f>IF(C21="","",IF(H21="Jordan 2026",IF(F21="Jordan","Jordan taxonomy","Reference benchmark"),"Internal policy"))</x:f>
        <x:v>Internal policy</x:v>
      </x:c>
      <x:c r="J21" s="8" t="n">
        <x:v>2025</x:v>
      </x:c>
      <x:c r="K21" s="35" t="n">
        <x:v>0.51</x:v>
      </x:c>
      <x:c r="L21" s="35" t="str"/>
      <x:c r="M21" s="8" t="str">
        <x:v>Green</x:v>
      </x:c>
      <x:c r="N21" s="16" t="n">
        <x:v>0</x:v>
      </x:c>
      <x:c r="O21" s="8" t="str"/>
      <x:c r="P21" s="8" t="str">
        <x:v>Taxonomy analyst 1</x:v>
      </x:c>
      <x:c r="Q21" s="8" t="str">
        <x:v>Taxonomy reviewer 1</x:v>
      </x:c>
      <x:c r="R21" s="10" t="n">
        <x:v>46266</x:v>
      </x:c>
      <x:c r="S21" s="10" t="n">
        <x:v>46631</x:v>
      </x:c>
      <x:c r="T21" s="8" t="str">
        <x:v>Approved</x:v>
      </x:c>
      <x:c r="U21" s="9" t="str">
        <x:f>IF(C21="","",IF(V21=0,"Criteria required",IF(OR(NOT(ISNUMBER(J21)),J21&lt;1900,J21&gt;YEAR(Settings!$F$8),IFERROR(MOD(J21,1),1)&lt;&gt;0,NOT(ISNUMBER(K21)),K21&lt;0,AND(H21="Internal criteria",OR(G21="Cement",G21="Building renovation"),OR(NOT(ISNUMBER(IFERROR(INDEX('Taxonomy Rules'!$G$9:$G$20,MATCH(H21&amp;"::"&amp;G21,'Taxonomy Rules'!$C$9:$C$20,0)),0))),IFERROR(INDEX('Taxonomy Rules'!$G$9:$G$20,MATCH(H21&amp;"::"&amp;G21,'Taxonomy Rules'!$C$9:$C$20,0)),0)&lt;=0,AND(G21="Building renovation",IFERROR(INDEX('Taxonomy Rules'!$G$9:$G$20,MATCH(H21&amp;"::"&amp;G21,'Taxonomy Rules'!$C$9:$C$20,0)),0)&gt;1)))),"Criteria required",IF(G21="Solar PV",IF(M21&lt;&gt;"Eligible activity","Criteria required",IF(K21=1,"Pass","Fail")),IF(G21="Cement",IF(M21="Amber",IF(H21="Jordan 2026",IF(YEAR(Settings!$F$8)&lt;2040,"Amber","Fail"),"Criteria required"),IF(M21&lt;&gt;"Green","Criteria required",IF(H21="Jordan 2026",IF(IFERROR(INDEX('Taxonomy Rules'!$P$9:$P$14,MATCH(J21,'Taxonomy Rules'!$O$9:$O$14,0)),0)=0,"Criteria required",IF(K21&lt;=IFERROR(INDEX('Taxonomy Rules'!$P$9:$P$14,MATCH(J21,'Taxonomy Rules'!$O$9:$O$14,0)),0),"Pass","Fail")),IF(K21&lt;=IFERROR(INDEX('Taxonomy Rules'!$G$9:$G$20,MATCH(H21&amp;"::"&amp;G21,'Taxonomy Rules'!$C$9:$C$20,0)),0),"Pass","Fail")))),IF(G21="Building renovation",IF(M21="Whole building",IF(K21=1,"Pass","Fail"),IF(M21&lt;&gt;"Improvement","Criteria required",IF(OR(K21&gt;1,NOT(ISNUMBER(L21)),L21&lt;0,L21&gt;1),"Criteria required",IF(MAX(K21,L21)&lt;IFERROR(INDEX('Taxonomy Rules'!$G$9:$G$20,MATCH(H21&amp;"::"&amp;G21,'Taxonomy Rules'!$C$9:$C$20,0)),0),"Fail",IF(H21="Jordan 2026",IF(YEAR(Settings!$F$8)&lt;2035,"Amber",IF(YEAR(Settings!$F$8)=2035,"Criteria required","Fail")),"Pass"))))),IF(G21="Road freight",IF(M21&lt;&gt;"Zero emissions","Criteria required",IF(AND(K21=0,ISNUMBER(L21),L21=0),"Pass","Fail")),IF(G21="New building",IF(NOT(OR(M21="Green",M21="Amber")),"Criteria required",IF(K21&lt;&gt;1,"Fail",IF(M21="Amber",IF(H21="Jordan 2026",IF(YEAR(Settings!$F$8)&lt;2030,"Amber",IF(YEAR(Settings!$F$8)=2030,"Criteria required","Fail")),"Criteria required"),"Pass"))),IF(G21="Building equipment",IF(M21&lt;&gt;"Equipment","Criteria required",IF(K21=1,"Pass","Fail")),"Criteria required")))))))))</x:f>
        <x:v>Pass</x:v>
      </x:c>
      <x:c r="V21" s="9" t="n">
        <x:f>IF(C21="","",IFERROR(INDEX('Taxonomy Rules'!$J$9:$J$20,MATCH(H21&amp;"::"&amp;G21,'Taxonomy Rules'!$C$9:$C$20,0)),0))</x:f>
        <x:v>13</x:v>
      </x:c>
      <x:c r="W21" s="9" t="n">
        <x:f>IF(C21="","",COUNTIFS('Taxonomy Tests'!$D$9:$D$2008,C21,'Taxonomy Tests'!$Q$9:$Q$2008,"Complete"))</x:f>
        <x:v>13</x:v>
      </x:c>
      <x:c r="X21" s="9" t="n">
        <x:f>IF(C21="","",COUNTIFS('Taxonomy Tests'!$D$9:$D$2008,C21,'Taxonomy Tests'!$P$9:$P$2008,"Fail"))</x:f>
        <x:v>0</x:v>
      </x:c>
      <x:c r="Y21" s="9" t="n">
        <x:f>IF(C21="","",MAX(0,V21-W21)+COUNTIFS('Taxonomy Tests'!$D$9:$D$2008,C21,'Taxonomy Tests'!$R$9:$R$2008,"Duplicate test")+COUNTIFS('Taxonomy Tests'!$D$9:$D$2008,C21,'Taxonomy Tests'!$R$9:$R$2008,"Unexpected test"))</x:f>
        <x:v>0</x:v>
      </x:c>
      <x:c r="Z21" s="9" t="str">
        <x:f>IF(C21="","",IF(X21&gt;0,"Fail",IF(AND(V21&gt;0,W21=V21,Y21=0,COUNTIF('Taxonomy Tests'!$D$9:$D$2008,C21)=V21),"Pass","Pending")))</x:f>
        <x:v>Pass</x:v>
      </x:c>
      <x:c r="AA21" s="9" t="str">
        <x:f>IF(C21="","",IF(COUNTIF(Facilities!$C$9:$C$108,D21)&lt;&gt;1,"Facility key",IF(OR(NOT(ISNUMBER(N21)),N21&lt;0),"Amount required",IF(SUMIF($D$9:$D$108,D21,$N$9:$N$108)&gt;IFERROR(INDEX('Facilities'!$AA$9:$AA$108,MATCH(D21,'Facilities'!$C$9:$C$108,0)),"")+0.000001,"Overallocated",IF(N21=0,"No allocation",IF(O21="","Evidence required","Valid"))))))</x:f>
        <x:v>No allocation</x:v>
      </x:c>
      <x:c r="AB21" s="3" t="str">
        <x:f>IF(C21="","",IF(OR(U21="Fail",Z21="Fail"),IF(H21="Jordan 2026","Red / not aligned","Not eligible"),IF(OR(U21="Criteria required",V21=0),"Criteria required",IF(Z21&lt;&gt;"Pass","Pending",IF(U21="Amber","Amber",IF(H21="Jordan 2026","Green","Eligible (internal)"))))))</x:f>
        <x:v>Eligible (internal)</x:v>
      </x:c>
      <x:c r="AC21" s="9" t="str">
        <x:f>IF(C21="","",IF(T21="Rejected","Rejected",IF(OR(AB21="Red / not aligned",AB21="Not eligible"),"Not eligible",IF(OR(AH21&lt;&gt;"Current",T21&lt;&gt;"Approved",Z21&lt;&gt;"Pass",(COUNTIFS('Actions'!$D$9:$D$308,E21,'Actions'!$E$9:$E$308,"E&amp;S",'Actions'!$F$9:$F$308,"Critical",'Actions'!$P$9:$P$308,"&lt;&gt;Closed",'Actions'!$C$9:$C$308,"&lt;&gt;")+COUNTIFS('Actions'!$D$9:$D$308,E21,'Actions'!$E$9:$E$308,"Taxonomy",'Actions'!$F$9:$F$308,"Critical",'Actions'!$P$9:$P$308,"&lt;&gt;Closed",'Actions'!$C$9:$C$308,"&lt;&gt;")+COUNTIFS('ESG'!$C$9:$C$108,E21,'ESG'!$H$9:$H$108,"Yes"))&gt;0,AND(AB21&lt;&gt;"Green",AB21&lt;&gt;"Amber",AB21&lt;&gt;"Eligible (internal)")),"Pending",IF(AA21="No allocation","Activity only",IF(AA21&lt;&gt;"Valid","Pending","Approved"))))))</x:f>
        <x:v>Pending</x:v>
      </x:c>
      <x:c r="AD21" s="21" t="n">
        <x:f>IF(C21="","",IF(AND(AC21="Approved",OR(AB21="Green",AB21="Eligible (internal)")),N21,0))</x:f>
        <x:v>0</x:v>
      </x:c>
      <x:c r="AE21" s="21" t="n">
        <x:f>IF(C21="","",IF(AND(AC21="Approved",AB21="Amber"),N21,0))</x:f>
        <x:v>0</x:v>
      </x:c>
      <x:c r="AF21" s="9" t="str">
        <x:f>IF(C21="","",IF((COUNTIFS('Actions'!$D$9:$D$308,E21,'Actions'!$E$9:$E$308,"E&amp;S",'Actions'!$F$9:$F$308,"Critical",'Actions'!$P$9:$P$308,"&lt;&gt;Closed",'Actions'!$C$9:$C$308,"&lt;&gt;")+COUNTIFS('Actions'!$D$9:$D$308,E21,'Actions'!$E$9:$E$308,"Taxonomy",'Actions'!$F$9:$F$308,"Critical",'Actions'!$P$9:$P$308,"&lt;&gt;Closed",'Actions'!$C$9:$C$308,"&lt;&gt;")+COUNTIFS('ESG'!$C$9:$C$108,E21,'ESG'!$H$9:$H$108,"Yes"))&gt;0,"Resolve critical E&amp;S / taxonomy issue",IF(AH21&lt;&gt;"Current",AH21,IF(Z21&lt;&gt;"Pass","Review individual tests",IF(U21="Criteria required","Sourced criteria / interpretation required",IF(AA21&lt;&gt;"Valid",AA21,IF(T21&lt;&gt;"Approved","Approval required",I21)))))))</x:f>
        <x:v>Resolve critical E&amp;S / taxonomy issue</x:v>
      </x:c>
      <x:c r="AG21" s="9" t="str">
        <x:f>IF(C21="","",IFERROR(INDEX('Taxonomy Rules'!$L$9:$L$20,MATCH(H21&amp;"::"&amp;G21,'Taxonomy Rules'!$C$9:$C$20,0)),"Unimplemented activity"))</x:f>
        <x:v>S10 pp49–51</x:v>
      </x:c>
      <x:c r="AH21" s="9" t="str">
        <x:f>IF(C21="","",IF(COUNTIF($C$9:$C$108,C21)&lt;&gt;1,"Duplicate ID",IF(OR(COUNTIF(Facilities!$C$9:$C$108,D21)&lt;&gt;1,COUNTIF(Borrowers!$C$9:$C$108,E21)&lt;&gt;1),"Key review",IF(OR(P21="",Q21="",P21=Q21,NOT(ISNUMBER(R21)),NOT(ISNUMBER(S21)),R21&gt;Settings!$F$8,S21&lt;R21),"Review required",IF(S21&lt;Settings!$F$8,"Expired","Current")))))</x:f>
        <x:v>Current</x:v>
      </x:c>
    </x:row>
    <x:row r="22" ht="26" customHeight="1">
      <x:c r="A22" s="1"/>
      <x:c r="B22" s="1"/>
      <x:c r="C22" s="8" t="str">
        <x:v>TAX-F014</x:v>
      </x:c>
      <x:c r="D22" s="8" t="str">
        <x:v>F014</x:v>
      </x:c>
      <x:c r="E22" s="9" t="str">
        <x:f>IF(C22="","",IFERROR(INDEX('Facilities'!$D$9:$D$108,MATCH(D22,'Facilities'!$C$9:$C$108,0)),""))</x:f>
        <x:v>B007</x:v>
      </x:c>
      <x:c r="F22" s="9" t="str">
        <x:f>IF(C22="","",IFERROR(INDEX('Borrowers'!$E$9:$E$108,MATCH(E22,'Borrowers'!$C$9:$C$108,0)),""))</x:f>
        <x:v>Jordan</x:v>
      </x:c>
      <x:c r="G22" s="9" t="str">
        <x:f>IF(C22="","",IFERROR(INDEX('Facilities'!$W$9:$W$108,MATCH(D22,'Facilities'!$C$9:$C$108,0)),""))</x:f>
        <x:v>Cement</x:v>
      </x:c>
      <x:c r="H22" s="9" t="str">
        <x:f>IF(C22="","",Settings!$F$11)</x:f>
        <x:v>Internal criteria</x:v>
      </x:c>
      <x:c r="I22" s="3" t="str">
        <x:f>IF(C22="","",IF(H22="Jordan 2026",IF(F22="Jordan","Jordan taxonomy","Reference benchmark"),"Internal policy"))</x:f>
        <x:v>Internal policy</x:v>
      </x:c>
      <x:c r="J22" s="8" t="n">
        <x:v>2025</x:v>
      </x:c>
      <x:c r="K22" s="35" t="n">
        <x:v>0.51</x:v>
      </x:c>
      <x:c r="L22" s="35" t="str"/>
      <x:c r="M22" s="8" t="str">
        <x:v>Green</x:v>
      </x:c>
      <x:c r="N22" s="16" t="n">
        <x:v>0</x:v>
      </x:c>
      <x:c r="O22" s="8" t="str"/>
      <x:c r="P22" s="8" t="str">
        <x:v>Taxonomy analyst 2</x:v>
      </x:c>
      <x:c r="Q22" s="8" t="str">
        <x:v>Taxonomy reviewer 2</x:v>
      </x:c>
      <x:c r="R22" s="10" t="n">
        <x:v>46266</x:v>
      </x:c>
      <x:c r="S22" s="10" t="n">
        <x:v>46631</x:v>
      </x:c>
      <x:c r="T22" s="8" t="str">
        <x:v>Approved</x:v>
      </x:c>
      <x:c r="U22" s="9" t="str">
        <x:f>IF(C22="","",IF(V22=0,"Criteria required",IF(OR(NOT(ISNUMBER(J22)),J22&lt;1900,J22&gt;YEAR(Settings!$F$8),IFERROR(MOD(J22,1),1)&lt;&gt;0,NOT(ISNUMBER(K22)),K22&lt;0,AND(H22="Internal criteria",OR(G22="Cement",G22="Building renovation"),OR(NOT(ISNUMBER(IFERROR(INDEX('Taxonomy Rules'!$G$9:$G$20,MATCH(H22&amp;"::"&amp;G22,'Taxonomy Rules'!$C$9:$C$20,0)),0))),IFERROR(INDEX('Taxonomy Rules'!$G$9:$G$20,MATCH(H22&amp;"::"&amp;G22,'Taxonomy Rules'!$C$9:$C$20,0)),0)&lt;=0,AND(G22="Building renovation",IFERROR(INDEX('Taxonomy Rules'!$G$9:$G$20,MATCH(H22&amp;"::"&amp;G22,'Taxonomy Rules'!$C$9:$C$20,0)),0)&gt;1)))),"Criteria required",IF(G22="Solar PV",IF(M22&lt;&gt;"Eligible activity","Criteria required",IF(K22=1,"Pass","Fail")),IF(G22="Cement",IF(M22="Amber",IF(H22="Jordan 2026",IF(YEAR(Settings!$F$8)&lt;2040,"Amber","Fail"),"Criteria required"),IF(M22&lt;&gt;"Green","Criteria required",IF(H22="Jordan 2026",IF(IFERROR(INDEX('Taxonomy Rules'!$P$9:$P$14,MATCH(J22,'Taxonomy Rules'!$O$9:$O$14,0)),0)=0,"Criteria required",IF(K22&lt;=IFERROR(INDEX('Taxonomy Rules'!$P$9:$P$14,MATCH(J22,'Taxonomy Rules'!$O$9:$O$14,0)),0),"Pass","Fail")),IF(K22&lt;=IFERROR(INDEX('Taxonomy Rules'!$G$9:$G$20,MATCH(H22&amp;"::"&amp;G22,'Taxonomy Rules'!$C$9:$C$20,0)),0),"Pass","Fail")))),IF(G22="Building renovation",IF(M22="Whole building",IF(K22=1,"Pass","Fail"),IF(M22&lt;&gt;"Improvement","Criteria required",IF(OR(K22&gt;1,NOT(ISNUMBER(L22)),L22&lt;0,L22&gt;1),"Criteria required",IF(MAX(K22,L22)&lt;IFERROR(INDEX('Taxonomy Rules'!$G$9:$G$20,MATCH(H22&amp;"::"&amp;G22,'Taxonomy Rules'!$C$9:$C$20,0)),0),"Fail",IF(H22="Jordan 2026",IF(YEAR(Settings!$F$8)&lt;2035,"Amber",IF(YEAR(Settings!$F$8)=2035,"Criteria required","Fail")),"Pass"))))),IF(G22="Road freight",IF(M22&lt;&gt;"Zero emissions","Criteria required",IF(AND(K22=0,ISNUMBER(L22),L22=0),"Pass","Fail")),IF(G22="New building",IF(NOT(OR(M22="Green",M22="Amber")),"Criteria required",IF(K22&lt;&gt;1,"Fail",IF(M22="Amber",IF(H22="Jordan 2026",IF(YEAR(Settings!$F$8)&lt;2030,"Amber",IF(YEAR(Settings!$F$8)=2030,"Criteria required","Fail")),"Criteria required"),"Pass"))),IF(G22="Building equipment",IF(M22&lt;&gt;"Equipment","Criteria required",IF(K22=1,"Pass","Fail")),"Criteria required")))))))))</x:f>
        <x:v>Pass</x:v>
      </x:c>
      <x:c r="V22" s="9" t="n">
        <x:f>IF(C22="","",IFERROR(INDEX('Taxonomy Rules'!$J$9:$J$20,MATCH(H22&amp;"::"&amp;G22,'Taxonomy Rules'!$C$9:$C$20,0)),0))</x:f>
        <x:v>13</x:v>
      </x:c>
      <x:c r="W22" s="9" t="n">
        <x:f>IF(C22="","",COUNTIFS('Taxonomy Tests'!$D$9:$D$2008,C22,'Taxonomy Tests'!$Q$9:$Q$2008,"Complete"))</x:f>
        <x:v>13</x:v>
      </x:c>
      <x:c r="X22" s="9" t="n">
        <x:f>IF(C22="","",COUNTIFS('Taxonomy Tests'!$D$9:$D$2008,C22,'Taxonomy Tests'!$P$9:$P$2008,"Fail"))</x:f>
        <x:v>0</x:v>
      </x:c>
      <x:c r="Y22" s="9" t="n">
        <x:f>IF(C22="","",MAX(0,V22-W22)+COUNTIFS('Taxonomy Tests'!$D$9:$D$2008,C22,'Taxonomy Tests'!$R$9:$R$2008,"Duplicate test")+COUNTIFS('Taxonomy Tests'!$D$9:$D$2008,C22,'Taxonomy Tests'!$R$9:$R$2008,"Unexpected test"))</x:f>
        <x:v>0</x:v>
      </x:c>
      <x:c r="Z22" s="9" t="str">
        <x:f>IF(C22="","",IF(X22&gt;0,"Fail",IF(AND(V22&gt;0,W22=V22,Y22=0,COUNTIF('Taxonomy Tests'!$D$9:$D$2008,C22)=V22),"Pass","Pending")))</x:f>
        <x:v>Pass</x:v>
      </x:c>
      <x:c r="AA22" s="9" t="str">
        <x:f>IF(C22="","",IF(COUNTIF(Facilities!$C$9:$C$108,D22)&lt;&gt;1,"Facility key",IF(OR(NOT(ISNUMBER(N22)),N22&lt;0),"Amount required",IF(SUMIF($D$9:$D$108,D22,$N$9:$N$108)&gt;IFERROR(INDEX('Facilities'!$AA$9:$AA$108,MATCH(D22,'Facilities'!$C$9:$C$108,0)),"")+0.000001,"Overallocated",IF(N22=0,"No allocation",IF(O22="","Evidence required","Valid"))))))</x:f>
        <x:v>No allocation</x:v>
      </x:c>
      <x:c r="AB22" s="3" t="str">
        <x:f>IF(C22="","",IF(OR(U22="Fail",Z22="Fail"),IF(H22="Jordan 2026","Red / not aligned","Not eligible"),IF(OR(U22="Criteria required",V22=0),"Criteria required",IF(Z22&lt;&gt;"Pass","Pending",IF(U22="Amber","Amber",IF(H22="Jordan 2026","Green","Eligible (internal)"))))))</x:f>
        <x:v>Eligible (internal)</x:v>
      </x:c>
      <x:c r="AC22" s="9" t="str">
        <x:f>IF(C22="","",IF(T22="Rejected","Rejected",IF(OR(AB22="Red / not aligned",AB22="Not eligible"),"Not eligible",IF(OR(AH22&lt;&gt;"Current",T22&lt;&gt;"Approved",Z22&lt;&gt;"Pass",(COUNTIFS('Actions'!$D$9:$D$308,E22,'Actions'!$E$9:$E$308,"E&amp;S",'Actions'!$F$9:$F$308,"Critical",'Actions'!$P$9:$P$308,"&lt;&gt;Closed",'Actions'!$C$9:$C$308,"&lt;&gt;")+COUNTIFS('Actions'!$D$9:$D$308,E22,'Actions'!$E$9:$E$308,"Taxonomy",'Actions'!$F$9:$F$308,"Critical",'Actions'!$P$9:$P$308,"&lt;&gt;Closed",'Actions'!$C$9:$C$308,"&lt;&gt;")+COUNTIFS('ESG'!$C$9:$C$108,E22,'ESG'!$H$9:$H$108,"Yes"))&gt;0,AND(AB22&lt;&gt;"Green",AB22&lt;&gt;"Amber",AB22&lt;&gt;"Eligible (internal)")),"Pending",IF(AA22="No allocation","Activity only",IF(AA22&lt;&gt;"Valid","Pending","Approved"))))))</x:f>
        <x:v>Pending</x:v>
      </x:c>
      <x:c r="AD22" s="21" t="n">
        <x:f>IF(C22="","",IF(AND(AC22="Approved",OR(AB22="Green",AB22="Eligible (internal)")),N22,0))</x:f>
        <x:v>0</x:v>
      </x:c>
      <x:c r="AE22" s="21" t="n">
        <x:f>IF(C22="","",IF(AND(AC22="Approved",AB22="Amber"),N22,0))</x:f>
        <x:v>0</x:v>
      </x:c>
      <x:c r="AF22" s="9" t="str">
        <x:f>IF(C22="","",IF((COUNTIFS('Actions'!$D$9:$D$308,E22,'Actions'!$E$9:$E$308,"E&amp;S",'Actions'!$F$9:$F$308,"Critical",'Actions'!$P$9:$P$308,"&lt;&gt;Closed",'Actions'!$C$9:$C$308,"&lt;&gt;")+COUNTIFS('Actions'!$D$9:$D$308,E22,'Actions'!$E$9:$E$308,"Taxonomy",'Actions'!$F$9:$F$308,"Critical",'Actions'!$P$9:$P$308,"&lt;&gt;Closed",'Actions'!$C$9:$C$308,"&lt;&gt;")+COUNTIFS('ESG'!$C$9:$C$108,E22,'ESG'!$H$9:$H$108,"Yes"))&gt;0,"Resolve critical E&amp;S / taxonomy issue",IF(AH22&lt;&gt;"Current",AH22,IF(Z22&lt;&gt;"Pass","Review individual tests",IF(U22="Criteria required","Sourced criteria / interpretation required",IF(AA22&lt;&gt;"Valid",AA22,IF(T22&lt;&gt;"Approved","Approval required",I22)))))))</x:f>
        <x:v>Resolve critical E&amp;S / taxonomy issue</x:v>
      </x:c>
      <x:c r="AG22" s="9" t="str">
        <x:f>IF(C22="","",IFERROR(INDEX('Taxonomy Rules'!$L$9:$L$20,MATCH(H22&amp;"::"&amp;G22,'Taxonomy Rules'!$C$9:$C$20,0)),"Unimplemented activity"))</x:f>
        <x:v>S10 pp49–51</x:v>
      </x:c>
      <x:c r="AH22" s="9" t="str">
        <x:f>IF(C22="","",IF(COUNTIF($C$9:$C$108,C22)&lt;&gt;1,"Duplicate ID",IF(OR(COUNTIF(Facilities!$C$9:$C$108,D22)&lt;&gt;1,COUNTIF(Borrowers!$C$9:$C$108,E22)&lt;&gt;1),"Key review",IF(OR(P22="",Q22="",P22=Q22,NOT(ISNUMBER(R22)),NOT(ISNUMBER(S22)),R22&gt;Settings!$F$8,S22&lt;R22),"Review required",IF(S22&lt;Settings!$F$8,"Expired","Current")))))</x:f>
        <x:v>Current</x:v>
      </x:c>
    </x:row>
    <x:row r="23" ht="26" customHeight="1">
      <x:c r="A23" s="1"/>
      <x:c r="B23" s="1"/>
      <x:c r="C23" s="8" t="str">
        <x:v>TAX-F015</x:v>
      </x:c>
      <x:c r="D23" s="8" t="str">
        <x:v>F015</x:v>
      </x:c>
      <x:c r="E23" s="9" t="str">
        <x:f>IF(C23="","",IFERROR(INDEX('Facilities'!$D$9:$D$108,MATCH(D23,'Facilities'!$C$9:$C$108,0)),""))</x:f>
        <x:v>B008</x:v>
      </x:c>
      <x:c r="F23" s="9" t="str">
        <x:f>IF(C23="","",IFERROR(INDEX('Borrowers'!$E$9:$E$108,MATCH(E23,'Borrowers'!$C$9:$C$108,0)),""))</x:f>
        <x:v>Jordan</x:v>
      </x:c>
      <x:c r="G23" s="9" t="str">
        <x:f>IF(C23="","",IFERROR(INDEX('Facilities'!$W$9:$W$108,MATCH(D23,'Facilities'!$C$9:$C$108,0)),""))</x:f>
        <x:v>Solar PV</x:v>
      </x:c>
      <x:c r="H23" s="9" t="str">
        <x:f>IF(C23="","",Settings!$F$11)</x:f>
        <x:v>Internal criteria</x:v>
      </x:c>
      <x:c r="I23" s="3" t="str">
        <x:f>IF(C23="","",IF(H23="Jordan 2026",IF(F23="Jordan","Jordan taxonomy","Reference benchmark"),"Internal policy"))</x:f>
        <x:v>Internal policy</x:v>
      </x:c>
      <x:c r="J23" s="8" t="n">
        <x:v>2025</x:v>
      </x:c>
      <x:c r="K23" s="35" t="n">
        <x:v>1</x:v>
      </x:c>
      <x:c r="L23" s="35" t="str"/>
      <x:c r="M23" s="8" t="str">
        <x:v>Eligible activity</x:v>
      </x:c>
      <x:c r="N23" s="16" t="n">
        <x:v>0</x:v>
      </x:c>
      <x:c r="O23" s="8" t="str"/>
      <x:c r="P23" s="8" t="str">
        <x:v>Taxonomy analyst 3</x:v>
      </x:c>
      <x:c r="Q23" s="8" t="str">
        <x:v>Taxonomy reviewer 1</x:v>
      </x:c>
      <x:c r="R23" s="10" t="n">
        <x:v>46266</x:v>
      </x:c>
      <x:c r="S23" s="10" t="n">
        <x:v>46631</x:v>
      </x:c>
      <x:c r="T23" s="8" t="str">
        <x:v>Approved</x:v>
      </x:c>
      <x:c r="U23" s="9" t="str">
        <x:f>IF(C23="","",IF(V23=0,"Criteria required",IF(OR(NOT(ISNUMBER(J23)),J23&lt;1900,J23&gt;YEAR(Settings!$F$8),IFERROR(MOD(J23,1),1)&lt;&gt;0,NOT(ISNUMBER(K23)),K23&lt;0,AND(H23="Internal criteria",OR(G23="Cement",G23="Building renovation"),OR(NOT(ISNUMBER(IFERROR(INDEX('Taxonomy Rules'!$G$9:$G$20,MATCH(H23&amp;"::"&amp;G23,'Taxonomy Rules'!$C$9:$C$20,0)),0))),IFERROR(INDEX('Taxonomy Rules'!$G$9:$G$20,MATCH(H23&amp;"::"&amp;G23,'Taxonomy Rules'!$C$9:$C$20,0)),0)&lt;=0,AND(G23="Building renovation",IFERROR(INDEX('Taxonomy Rules'!$G$9:$G$20,MATCH(H23&amp;"::"&amp;G23,'Taxonomy Rules'!$C$9:$C$20,0)),0)&gt;1)))),"Criteria required",IF(G23="Solar PV",IF(M23&lt;&gt;"Eligible activity","Criteria required",IF(K23=1,"Pass","Fail")),IF(G23="Cement",IF(M23="Amber",IF(H23="Jordan 2026",IF(YEAR(Settings!$F$8)&lt;2040,"Amber","Fail"),"Criteria required"),IF(M23&lt;&gt;"Green","Criteria required",IF(H23="Jordan 2026",IF(IFERROR(INDEX('Taxonomy Rules'!$P$9:$P$14,MATCH(J23,'Taxonomy Rules'!$O$9:$O$14,0)),0)=0,"Criteria required",IF(K23&lt;=IFERROR(INDEX('Taxonomy Rules'!$P$9:$P$14,MATCH(J23,'Taxonomy Rules'!$O$9:$O$14,0)),0),"Pass","Fail")),IF(K23&lt;=IFERROR(INDEX('Taxonomy Rules'!$G$9:$G$20,MATCH(H23&amp;"::"&amp;G23,'Taxonomy Rules'!$C$9:$C$20,0)),0),"Pass","Fail")))),IF(G23="Building renovation",IF(M23="Whole building",IF(K23=1,"Pass","Fail"),IF(M23&lt;&gt;"Improvement","Criteria required",IF(OR(K23&gt;1,NOT(ISNUMBER(L23)),L23&lt;0,L23&gt;1),"Criteria required",IF(MAX(K23,L23)&lt;IFERROR(INDEX('Taxonomy Rules'!$G$9:$G$20,MATCH(H23&amp;"::"&amp;G23,'Taxonomy Rules'!$C$9:$C$20,0)),0),"Fail",IF(H23="Jordan 2026",IF(YEAR(Settings!$F$8)&lt;2035,"Amber",IF(YEAR(Settings!$F$8)=2035,"Criteria required","Fail")),"Pass"))))),IF(G23="Road freight",IF(M23&lt;&gt;"Zero emissions","Criteria required",IF(AND(K23=0,ISNUMBER(L23),L23=0),"Pass","Fail")),IF(G23="New building",IF(NOT(OR(M23="Green",M23="Amber")),"Criteria required",IF(K23&lt;&gt;1,"Fail",IF(M23="Amber",IF(H23="Jordan 2026",IF(YEAR(Settings!$F$8)&lt;2030,"Amber",IF(YEAR(Settings!$F$8)=2030,"Criteria required","Fail")),"Criteria required"),"Pass"))),IF(G23="Building equipment",IF(M23&lt;&gt;"Equipment","Criteria required",IF(K23=1,"Pass","Fail")),"Criteria required")))))))))</x:f>
        <x:v>Pass</x:v>
      </x:c>
      <x:c r="V23" s="9" t="n">
        <x:f>IF(C23="","",IFERROR(INDEX('Taxonomy Rules'!$J$9:$J$20,MATCH(H23&amp;"::"&amp;G23,'Taxonomy Rules'!$C$9:$C$20,0)),0))</x:f>
        <x:v>12</x:v>
      </x:c>
      <x:c r="W23" s="9" t="n">
        <x:f>IF(C23="","",COUNTIFS('Taxonomy Tests'!$D$9:$D$2008,C23,'Taxonomy Tests'!$Q$9:$Q$2008,"Complete"))</x:f>
        <x:v>12</x:v>
      </x:c>
      <x:c r="X23" s="9" t="n">
        <x:f>IF(C23="","",COUNTIFS('Taxonomy Tests'!$D$9:$D$2008,C23,'Taxonomy Tests'!$P$9:$P$2008,"Fail"))</x:f>
        <x:v>0</x:v>
      </x:c>
      <x:c r="Y23" s="9" t="n">
        <x:f>IF(C23="","",MAX(0,V23-W23)+COUNTIFS('Taxonomy Tests'!$D$9:$D$2008,C23,'Taxonomy Tests'!$R$9:$R$2008,"Duplicate test")+COUNTIFS('Taxonomy Tests'!$D$9:$D$2008,C23,'Taxonomy Tests'!$R$9:$R$2008,"Unexpected test"))</x:f>
        <x:v>0</x:v>
      </x:c>
      <x:c r="Z23" s="9" t="str">
        <x:f>IF(C23="","",IF(X23&gt;0,"Fail",IF(AND(V23&gt;0,W23=V23,Y23=0,COUNTIF('Taxonomy Tests'!$D$9:$D$2008,C23)=V23),"Pass","Pending")))</x:f>
        <x:v>Pass</x:v>
      </x:c>
      <x:c r="AA23" s="9" t="str">
        <x:f>IF(C23="","",IF(COUNTIF(Facilities!$C$9:$C$108,D23)&lt;&gt;1,"Facility key",IF(OR(NOT(ISNUMBER(N23)),N23&lt;0),"Amount required",IF(SUMIF($D$9:$D$108,D23,$N$9:$N$108)&gt;IFERROR(INDEX('Facilities'!$AA$9:$AA$108,MATCH(D23,'Facilities'!$C$9:$C$108,0)),"")+0.000001,"Overallocated",IF(N23=0,"No allocation",IF(O23="","Evidence required","Valid"))))))</x:f>
        <x:v>No allocation</x:v>
      </x:c>
      <x:c r="AB23" s="3" t="str">
        <x:f>IF(C23="","",IF(OR(U23="Fail",Z23="Fail"),IF(H23="Jordan 2026","Red / not aligned","Not eligible"),IF(OR(U23="Criteria required",V23=0),"Criteria required",IF(Z23&lt;&gt;"Pass","Pending",IF(U23="Amber","Amber",IF(H23="Jordan 2026","Green","Eligible (internal)"))))))</x:f>
        <x:v>Eligible (internal)</x:v>
      </x:c>
      <x:c r="AC23" s="9" t="str">
        <x:f>IF(C23="","",IF(T23="Rejected","Rejected",IF(OR(AB23="Red / not aligned",AB23="Not eligible"),"Not eligible",IF(OR(AH23&lt;&gt;"Current",T23&lt;&gt;"Approved",Z23&lt;&gt;"Pass",(COUNTIFS('Actions'!$D$9:$D$308,E23,'Actions'!$E$9:$E$308,"E&amp;S",'Actions'!$F$9:$F$308,"Critical",'Actions'!$P$9:$P$308,"&lt;&gt;Closed",'Actions'!$C$9:$C$308,"&lt;&gt;")+COUNTIFS('Actions'!$D$9:$D$308,E23,'Actions'!$E$9:$E$308,"Taxonomy",'Actions'!$F$9:$F$308,"Critical",'Actions'!$P$9:$P$308,"&lt;&gt;Closed",'Actions'!$C$9:$C$308,"&lt;&gt;")+COUNTIFS('ESG'!$C$9:$C$108,E23,'ESG'!$H$9:$H$108,"Yes"))&gt;0,AND(AB23&lt;&gt;"Green",AB23&lt;&gt;"Amber",AB23&lt;&gt;"Eligible (internal)")),"Pending",IF(AA23="No allocation","Activity only",IF(AA23&lt;&gt;"Valid","Pending","Approved"))))))</x:f>
        <x:v>Activity only</x:v>
      </x:c>
      <x:c r="AD23" s="21" t="n">
        <x:f>IF(C23="","",IF(AND(AC23="Approved",OR(AB23="Green",AB23="Eligible (internal)")),N23,0))</x:f>
        <x:v>0</x:v>
      </x:c>
      <x:c r="AE23" s="21" t="n">
        <x:f>IF(C23="","",IF(AND(AC23="Approved",AB23="Amber"),N23,0))</x:f>
        <x:v>0</x:v>
      </x:c>
      <x:c r="AF23" s="9" t="str">
        <x:f>IF(C23="","",IF((COUNTIFS('Actions'!$D$9:$D$308,E23,'Actions'!$E$9:$E$308,"E&amp;S",'Actions'!$F$9:$F$308,"Critical",'Actions'!$P$9:$P$308,"&lt;&gt;Closed",'Actions'!$C$9:$C$308,"&lt;&gt;")+COUNTIFS('Actions'!$D$9:$D$308,E23,'Actions'!$E$9:$E$308,"Taxonomy",'Actions'!$F$9:$F$308,"Critical",'Actions'!$P$9:$P$308,"&lt;&gt;Closed",'Actions'!$C$9:$C$308,"&lt;&gt;")+COUNTIFS('ESG'!$C$9:$C$108,E23,'ESG'!$H$9:$H$108,"Yes"))&gt;0,"Resolve critical E&amp;S / taxonomy issue",IF(AH23&lt;&gt;"Current",AH23,IF(Z23&lt;&gt;"Pass","Review individual tests",IF(U23="Criteria required","Sourced criteria / interpretation required",IF(AA23&lt;&gt;"Valid",AA23,IF(T23&lt;&gt;"Approved","Approval required",I23)))))))</x:f>
        <x:v>No allocation</x:v>
      </x:c>
      <x:c r="AG23" s="9" t="str">
        <x:f>IF(C23="","",IFERROR(INDEX('Taxonomy Rules'!$L$9:$L$20,MATCH(H23&amp;"::"&amp;G23,'Taxonomy Rules'!$C$9:$C$20,0)),"Unimplemented activity"))</x:f>
        <x:v>S10 p86</x:v>
      </x:c>
      <x:c r="AH23" s="9" t="str">
        <x:f>IF(C23="","",IF(COUNTIF($C$9:$C$108,C23)&lt;&gt;1,"Duplicate ID",IF(OR(COUNTIF(Facilities!$C$9:$C$108,D23)&lt;&gt;1,COUNTIF(Borrowers!$C$9:$C$108,E23)&lt;&gt;1),"Key review",IF(OR(P23="",Q23="",P23=Q23,NOT(ISNUMBER(R23)),NOT(ISNUMBER(S23)),R23&gt;Settings!$F$8,S23&lt;R23),"Review required",IF(S23&lt;Settings!$F$8,"Expired","Current")))))</x:f>
        <x:v>Current</x:v>
      </x:c>
    </x:row>
    <x:row r="24" ht="26" customHeight="1">
      <x:c r="A24" s="1"/>
      <x:c r="B24" s="1"/>
      <x:c r="C24" s="8" t="str">
        <x:v>TAX-F016</x:v>
      </x:c>
      <x:c r="D24" s="8" t="str">
        <x:v>F016</x:v>
      </x:c>
      <x:c r="E24" s="9" t="str">
        <x:f>IF(C24="","",IFERROR(INDEX('Facilities'!$D$9:$D$108,MATCH(D24,'Facilities'!$C$9:$C$108,0)),""))</x:f>
        <x:v>B008</x:v>
      </x:c>
      <x:c r="F24" s="9" t="str">
        <x:f>IF(C24="","",IFERROR(INDEX('Borrowers'!$E$9:$E$108,MATCH(E24,'Borrowers'!$C$9:$C$108,0)),""))</x:f>
        <x:v>Jordan</x:v>
      </x:c>
      <x:c r="G24" s="9" t="str">
        <x:f>IF(C24="","",IFERROR(INDEX('Facilities'!$W$9:$W$108,MATCH(D24,'Facilities'!$C$9:$C$108,0)),""))</x:f>
        <x:v>Solar PV</x:v>
      </x:c>
      <x:c r="H24" s="9" t="str">
        <x:f>IF(C24="","",Settings!$F$11)</x:f>
        <x:v>Internal criteria</x:v>
      </x:c>
      <x:c r="I24" s="3" t="str">
        <x:f>IF(C24="","",IF(H24="Jordan 2026",IF(F24="Jordan","Jordan taxonomy","Reference benchmark"),"Internal policy"))</x:f>
        <x:v>Internal policy</x:v>
      </x:c>
      <x:c r="J24" s="8" t="n">
        <x:v>2025</x:v>
      </x:c>
      <x:c r="K24" s="35" t="n">
        <x:v>1</x:v>
      </x:c>
      <x:c r="L24" s="35" t="str"/>
      <x:c r="M24" s="8" t="str">
        <x:v>Eligible activity</x:v>
      </x:c>
      <x:c r="N24" s="38" t="n">
        <x:f>IFERROR(INDEX('Facilities'!$AA$9:$AA$108,MATCH(D24,'Facilities'!$C$9:$C$108,0)),"")*0.8</x:f>
        <x:v>3.9599999999999995</x:v>
      </x:c>
      <x:c r="O24" s="8" t="str">
        <x:v>SYN-ALLOC-F016</x:v>
      </x:c>
      <x:c r="P24" s="8" t="str">
        <x:v>Taxonomy analyst 1</x:v>
      </x:c>
      <x:c r="Q24" s="8" t="str">
        <x:v>Taxonomy reviewer 2</x:v>
      </x:c>
      <x:c r="R24" s="10" t="n">
        <x:v>46266</x:v>
      </x:c>
      <x:c r="S24" s="10" t="n">
        <x:v>46631</x:v>
      </x:c>
      <x:c r="T24" s="8" t="str">
        <x:v>Approved</x:v>
      </x:c>
      <x:c r="U24" s="9" t="str">
        <x:f>IF(C24="","",IF(V24=0,"Criteria required",IF(OR(NOT(ISNUMBER(J24)),J24&lt;1900,J24&gt;YEAR(Settings!$F$8),IFERROR(MOD(J24,1),1)&lt;&gt;0,NOT(ISNUMBER(K24)),K24&lt;0,AND(H24="Internal criteria",OR(G24="Cement",G24="Building renovation"),OR(NOT(ISNUMBER(IFERROR(INDEX('Taxonomy Rules'!$G$9:$G$20,MATCH(H24&amp;"::"&amp;G24,'Taxonomy Rules'!$C$9:$C$20,0)),0))),IFERROR(INDEX('Taxonomy Rules'!$G$9:$G$20,MATCH(H24&amp;"::"&amp;G24,'Taxonomy Rules'!$C$9:$C$20,0)),0)&lt;=0,AND(G24="Building renovation",IFERROR(INDEX('Taxonomy Rules'!$G$9:$G$20,MATCH(H24&amp;"::"&amp;G24,'Taxonomy Rules'!$C$9:$C$20,0)),0)&gt;1)))),"Criteria required",IF(G24="Solar PV",IF(M24&lt;&gt;"Eligible activity","Criteria required",IF(K24=1,"Pass","Fail")),IF(G24="Cement",IF(M24="Amber",IF(H24="Jordan 2026",IF(YEAR(Settings!$F$8)&lt;2040,"Amber","Fail"),"Criteria required"),IF(M24&lt;&gt;"Green","Criteria required",IF(H24="Jordan 2026",IF(IFERROR(INDEX('Taxonomy Rules'!$P$9:$P$14,MATCH(J24,'Taxonomy Rules'!$O$9:$O$14,0)),0)=0,"Criteria required",IF(K24&lt;=IFERROR(INDEX('Taxonomy Rules'!$P$9:$P$14,MATCH(J24,'Taxonomy Rules'!$O$9:$O$14,0)),0),"Pass","Fail")),IF(K24&lt;=IFERROR(INDEX('Taxonomy Rules'!$G$9:$G$20,MATCH(H24&amp;"::"&amp;G24,'Taxonomy Rules'!$C$9:$C$20,0)),0),"Pass","Fail")))),IF(G24="Building renovation",IF(M24="Whole building",IF(K24=1,"Pass","Fail"),IF(M24&lt;&gt;"Improvement","Criteria required",IF(OR(K24&gt;1,NOT(ISNUMBER(L24)),L24&lt;0,L24&gt;1),"Criteria required",IF(MAX(K24,L24)&lt;IFERROR(INDEX('Taxonomy Rules'!$G$9:$G$20,MATCH(H24&amp;"::"&amp;G24,'Taxonomy Rules'!$C$9:$C$20,0)),0),"Fail",IF(H24="Jordan 2026",IF(YEAR(Settings!$F$8)&lt;2035,"Amber",IF(YEAR(Settings!$F$8)=2035,"Criteria required","Fail")),"Pass"))))),IF(G24="Road freight",IF(M24&lt;&gt;"Zero emissions","Criteria required",IF(AND(K24=0,ISNUMBER(L24),L24=0),"Pass","Fail")),IF(G24="New building",IF(NOT(OR(M24="Green",M24="Amber")),"Criteria required",IF(K24&lt;&gt;1,"Fail",IF(M24="Amber",IF(H24="Jordan 2026",IF(YEAR(Settings!$F$8)&lt;2030,"Amber",IF(YEAR(Settings!$F$8)=2030,"Criteria required","Fail")),"Criteria required"),"Pass"))),IF(G24="Building equipment",IF(M24&lt;&gt;"Equipment","Criteria required",IF(K24=1,"Pass","Fail")),"Criteria required")))))))))</x:f>
        <x:v>Pass</x:v>
      </x:c>
      <x:c r="V24" s="9" t="n">
        <x:f>IF(C24="","",IFERROR(INDEX('Taxonomy Rules'!$J$9:$J$20,MATCH(H24&amp;"::"&amp;G24,'Taxonomy Rules'!$C$9:$C$20,0)),0))</x:f>
        <x:v>12</x:v>
      </x:c>
      <x:c r="W24" s="9" t="n">
        <x:f>IF(C24="","",COUNTIFS('Taxonomy Tests'!$D$9:$D$2008,C24,'Taxonomy Tests'!$Q$9:$Q$2008,"Complete"))</x:f>
        <x:v>12</x:v>
      </x:c>
      <x:c r="X24" s="9" t="n">
        <x:f>IF(C24="","",COUNTIFS('Taxonomy Tests'!$D$9:$D$2008,C24,'Taxonomy Tests'!$P$9:$P$2008,"Fail"))</x:f>
        <x:v>0</x:v>
      </x:c>
      <x:c r="Y24" s="9" t="n">
        <x:f>IF(C24="","",MAX(0,V24-W24)+COUNTIFS('Taxonomy Tests'!$D$9:$D$2008,C24,'Taxonomy Tests'!$R$9:$R$2008,"Duplicate test")+COUNTIFS('Taxonomy Tests'!$D$9:$D$2008,C24,'Taxonomy Tests'!$R$9:$R$2008,"Unexpected test"))</x:f>
        <x:v>0</x:v>
      </x:c>
      <x:c r="Z24" s="9" t="str">
        <x:f>IF(C24="","",IF(X24&gt;0,"Fail",IF(AND(V24&gt;0,W24=V24,Y24=0,COUNTIF('Taxonomy Tests'!$D$9:$D$2008,C24)=V24),"Pass","Pending")))</x:f>
        <x:v>Pass</x:v>
      </x:c>
      <x:c r="AA24" s="9" t="str">
        <x:f>IF(C24="","",IF(COUNTIF(Facilities!$C$9:$C$108,D24)&lt;&gt;1,"Facility key",IF(OR(NOT(ISNUMBER(N24)),N24&lt;0),"Amount required",IF(SUMIF($D$9:$D$108,D24,$N$9:$N$108)&gt;IFERROR(INDEX('Facilities'!$AA$9:$AA$108,MATCH(D24,'Facilities'!$C$9:$C$108,0)),"")+0.000001,"Overallocated",IF(N24=0,"No allocation",IF(O24="","Evidence required","Valid"))))))</x:f>
        <x:v>Valid</x:v>
      </x:c>
      <x:c r="AB24" s="3" t="str">
        <x:f>IF(C24="","",IF(OR(U24="Fail",Z24="Fail"),IF(H24="Jordan 2026","Red / not aligned","Not eligible"),IF(OR(U24="Criteria required",V24=0),"Criteria required",IF(Z24&lt;&gt;"Pass","Pending",IF(U24="Amber","Amber",IF(H24="Jordan 2026","Green","Eligible (internal)"))))))</x:f>
        <x:v>Eligible (internal)</x:v>
      </x:c>
      <x:c r="AC24" s="9" t="str">
        <x:f>IF(C24="","",IF(T24="Rejected","Rejected",IF(OR(AB24="Red / not aligned",AB24="Not eligible"),"Not eligible",IF(OR(AH24&lt;&gt;"Current",T24&lt;&gt;"Approved",Z24&lt;&gt;"Pass",(COUNTIFS('Actions'!$D$9:$D$308,E24,'Actions'!$E$9:$E$308,"E&amp;S",'Actions'!$F$9:$F$308,"Critical",'Actions'!$P$9:$P$308,"&lt;&gt;Closed",'Actions'!$C$9:$C$308,"&lt;&gt;")+COUNTIFS('Actions'!$D$9:$D$308,E24,'Actions'!$E$9:$E$308,"Taxonomy",'Actions'!$F$9:$F$308,"Critical",'Actions'!$P$9:$P$308,"&lt;&gt;Closed",'Actions'!$C$9:$C$308,"&lt;&gt;")+COUNTIFS('ESG'!$C$9:$C$108,E24,'ESG'!$H$9:$H$108,"Yes"))&gt;0,AND(AB24&lt;&gt;"Green",AB24&lt;&gt;"Amber",AB24&lt;&gt;"Eligible (internal)")),"Pending",IF(AA24="No allocation","Activity only",IF(AA24&lt;&gt;"Valid","Pending","Approved"))))))</x:f>
        <x:v>Approved</x:v>
      </x:c>
      <x:c r="AD24" s="21" t="n">
        <x:f>IF(C24="","",IF(AND(AC24="Approved",OR(AB24="Green",AB24="Eligible (internal)")),N24,0))</x:f>
        <x:v>3.9599999999999995</x:v>
      </x:c>
      <x:c r="AE24" s="21" t="n">
        <x:f>IF(C24="","",IF(AND(AC24="Approved",AB24="Amber"),N24,0))</x:f>
        <x:v>0</x:v>
      </x:c>
      <x:c r="AF24" s="9" t="str">
        <x:f>IF(C24="","",IF((COUNTIFS('Actions'!$D$9:$D$308,E24,'Actions'!$E$9:$E$308,"E&amp;S",'Actions'!$F$9:$F$308,"Critical",'Actions'!$P$9:$P$308,"&lt;&gt;Closed",'Actions'!$C$9:$C$308,"&lt;&gt;")+COUNTIFS('Actions'!$D$9:$D$308,E24,'Actions'!$E$9:$E$308,"Taxonomy",'Actions'!$F$9:$F$308,"Critical",'Actions'!$P$9:$P$308,"&lt;&gt;Closed",'Actions'!$C$9:$C$308,"&lt;&gt;")+COUNTIFS('ESG'!$C$9:$C$108,E24,'ESG'!$H$9:$H$108,"Yes"))&gt;0,"Resolve critical E&amp;S / taxonomy issue",IF(AH24&lt;&gt;"Current",AH24,IF(Z24&lt;&gt;"Pass","Review individual tests",IF(U24="Criteria required","Sourced criteria / interpretation required",IF(AA24&lt;&gt;"Valid",AA24,IF(T24&lt;&gt;"Approved","Approval required",I24)))))))</x:f>
        <x:v>Internal policy</x:v>
      </x:c>
      <x:c r="AG24" s="9" t="str">
        <x:f>IF(C24="","",IFERROR(INDEX('Taxonomy Rules'!$L$9:$L$20,MATCH(H24&amp;"::"&amp;G24,'Taxonomy Rules'!$C$9:$C$20,0)),"Unimplemented activity"))</x:f>
        <x:v>S10 p86</x:v>
      </x:c>
      <x:c r="AH24" s="9" t="str">
        <x:f>IF(C24="","",IF(COUNTIF($C$9:$C$108,C24)&lt;&gt;1,"Duplicate ID",IF(OR(COUNTIF(Facilities!$C$9:$C$108,D24)&lt;&gt;1,COUNTIF(Borrowers!$C$9:$C$108,E24)&lt;&gt;1),"Key review",IF(OR(P24="",Q24="",P24=Q24,NOT(ISNUMBER(R24)),NOT(ISNUMBER(S24)),R24&gt;Settings!$F$8,S24&lt;R24),"Review required",IF(S24&lt;Settings!$F$8,"Expired","Current")))))</x:f>
        <x:v>Current</x:v>
      </x:c>
    </x:row>
    <x:row r="25" ht="26" customHeight="1">
      <x:c r="A25" s="1"/>
      <x:c r="B25" s="1"/>
      <x:c r="C25" s="8" t="str">
        <x:v>TAX-F017</x:v>
      </x:c>
      <x:c r="D25" s="8" t="str">
        <x:v>F017</x:v>
      </x:c>
      <x:c r="E25" s="9" t="str">
        <x:f>IF(C25="","",IFERROR(INDEX('Facilities'!$D$9:$D$108,MATCH(D25,'Facilities'!$C$9:$C$108,0)),""))</x:f>
        <x:v>B009</x:v>
      </x:c>
      <x:c r="F25" s="9" t="str">
        <x:f>IF(C25="","",IFERROR(INDEX('Borrowers'!$E$9:$E$108,MATCH(E25,'Borrowers'!$C$9:$C$108,0)),""))</x:f>
        <x:v>Jordan</x:v>
      </x:c>
      <x:c r="G25" s="9" t="str">
        <x:f>IF(C25="","",IFERROR(INDEX('Facilities'!$W$9:$W$108,MATCH(D25,'Facilities'!$C$9:$C$108,0)),""))</x:f>
        <x:v>Road freight</x:v>
      </x:c>
      <x:c r="H25" s="9" t="str">
        <x:f>IF(C25="","",Settings!$F$11)</x:f>
        <x:v>Internal criteria</x:v>
      </x:c>
      <x:c r="I25" s="3" t="str">
        <x:f>IF(C25="","",IF(H25="Jordan 2026",IF(F25="Jordan","Jordan taxonomy","Reference benchmark"),"Internal policy"))</x:f>
        <x:v>Internal policy</x:v>
      </x:c>
      <x:c r="J25" s="8" t="n">
        <x:v>2025</x:v>
      </x:c>
      <x:c r="K25" s="35" t="n">
        <x:v>0</x:v>
      </x:c>
      <x:c r="L25" s="35" t="n">
        <x:v>0</x:v>
      </x:c>
      <x:c r="M25" s="8" t="str">
        <x:v>Zero emissions</x:v>
      </x:c>
      <x:c r="N25" s="16" t="n">
        <x:v>0</x:v>
      </x:c>
      <x:c r="O25" s="8" t="str"/>
      <x:c r="P25" s="8" t="str">
        <x:v>Taxonomy analyst 2</x:v>
      </x:c>
      <x:c r="Q25" s="8" t="str">
        <x:v>Taxonomy reviewer 1</x:v>
      </x:c>
      <x:c r="R25" s="10" t="n">
        <x:v>46266</x:v>
      </x:c>
      <x:c r="S25" s="10" t="n">
        <x:v>46631</x:v>
      </x:c>
      <x:c r="T25" s="8" t="str">
        <x:v>Approved</x:v>
      </x:c>
      <x:c r="U25" s="9" t="str">
        <x:f>IF(C25="","",IF(V25=0,"Criteria required",IF(OR(NOT(ISNUMBER(J25)),J25&lt;1900,J25&gt;YEAR(Settings!$F$8),IFERROR(MOD(J25,1),1)&lt;&gt;0,NOT(ISNUMBER(K25)),K25&lt;0,AND(H25="Internal criteria",OR(G25="Cement",G25="Building renovation"),OR(NOT(ISNUMBER(IFERROR(INDEX('Taxonomy Rules'!$G$9:$G$20,MATCH(H25&amp;"::"&amp;G25,'Taxonomy Rules'!$C$9:$C$20,0)),0))),IFERROR(INDEX('Taxonomy Rules'!$G$9:$G$20,MATCH(H25&amp;"::"&amp;G25,'Taxonomy Rules'!$C$9:$C$20,0)),0)&lt;=0,AND(G25="Building renovation",IFERROR(INDEX('Taxonomy Rules'!$G$9:$G$20,MATCH(H25&amp;"::"&amp;G25,'Taxonomy Rules'!$C$9:$C$20,0)),0)&gt;1)))),"Criteria required",IF(G25="Solar PV",IF(M25&lt;&gt;"Eligible activity","Criteria required",IF(K25=1,"Pass","Fail")),IF(G25="Cement",IF(M25="Amber",IF(H25="Jordan 2026",IF(YEAR(Settings!$F$8)&lt;2040,"Amber","Fail"),"Criteria required"),IF(M25&lt;&gt;"Green","Criteria required",IF(H25="Jordan 2026",IF(IFERROR(INDEX('Taxonomy Rules'!$P$9:$P$14,MATCH(J25,'Taxonomy Rules'!$O$9:$O$14,0)),0)=0,"Criteria required",IF(K25&lt;=IFERROR(INDEX('Taxonomy Rules'!$P$9:$P$14,MATCH(J25,'Taxonomy Rules'!$O$9:$O$14,0)),0),"Pass","Fail")),IF(K25&lt;=IFERROR(INDEX('Taxonomy Rules'!$G$9:$G$20,MATCH(H25&amp;"::"&amp;G25,'Taxonomy Rules'!$C$9:$C$20,0)),0),"Pass","Fail")))),IF(G25="Building renovation",IF(M25="Whole building",IF(K25=1,"Pass","Fail"),IF(M25&lt;&gt;"Improvement","Criteria required",IF(OR(K25&gt;1,NOT(ISNUMBER(L25)),L25&lt;0,L25&gt;1),"Criteria required",IF(MAX(K25,L25)&lt;IFERROR(INDEX('Taxonomy Rules'!$G$9:$G$20,MATCH(H25&amp;"::"&amp;G25,'Taxonomy Rules'!$C$9:$C$20,0)),0),"Fail",IF(H25="Jordan 2026",IF(YEAR(Settings!$F$8)&lt;2035,"Amber",IF(YEAR(Settings!$F$8)=2035,"Criteria required","Fail")),"Pass"))))),IF(G25="Road freight",IF(M25&lt;&gt;"Zero emissions","Criteria required",IF(AND(K25=0,ISNUMBER(L25),L25=0),"Pass","Fail")),IF(G25="New building",IF(NOT(OR(M25="Green",M25="Amber")),"Criteria required",IF(K25&lt;&gt;1,"Fail",IF(M25="Amber",IF(H25="Jordan 2026",IF(YEAR(Settings!$F$8)&lt;2030,"Amber",IF(YEAR(Settings!$F$8)=2030,"Criteria required","Fail")),"Criteria required"),"Pass"))),IF(G25="Building equipment",IF(M25&lt;&gt;"Equipment","Criteria required",IF(K25=1,"Pass","Fail")),"Criteria required")))))))))</x:f>
        <x:v>Pass</x:v>
      </x:c>
      <x:c r="V25" s="9" t="n">
        <x:f>IF(C25="","",IFERROR(INDEX('Taxonomy Rules'!$J$9:$J$20,MATCH(H25&amp;"::"&amp;G25,'Taxonomy Rules'!$C$9:$C$20,0)),0))</x:f>
        <x:v>12</x:v>
      </x:c>
      <x:c r="W25" s="9" t="n">
        <x:f>IF(C25="","",COUNTIFS('Taxonomy Tests'!$D$9:$D$2008,C25,'Taxonomy Tests'!$Q$9:$Q$2008,"Complete"))</x:f>
        <x:v>12</x:v>
      </x:c>
      <x:c r="X25" s="9" t="n">
        <x:f>IF(C25="","",COUNTIFS('Taxonomy Tests'!$D$9:$D$2008,C25,'Taxonomy Tests'!$P$9:$P$2008,"Fail"))</x:f>
        <x:v>0</x:v>
      </x:c>
      <x:c r="Y25" s="9" t="n">
        <x:f>IF(C25="","",MAX(0,V25-W25)+COUNTIFS('Taxonomy Tests'!$D$9:$D$2008,C25,'Taxonomy Tests'!$R$9:$R$2008,"Duplicate test")+COUNTIFS('Taxonomy Tests'!$D$9:$D$2008,C25,'Taxonomy Tests'!$R$9:$R$2008,"Unexpected test"))</x:f>
        <x:v>0</x:v>
      </x:c>
      <x:c r="Z25" s="9" t="str">
        <x:f>IF(C25="","",IF(X25&gt;0,"Fail",IF(AND(V25&gt;0,W25=V25,Y25=0,COUNTIF('Taxonomy Tests'!$D$9:$D$2008,C25)=V25),"Pass","Pending")))</x:f>
        <x:v>Pass</x:v>
      </x:c>
      <x:c r="AA25" s="9" t="str">
        <x:f>IF(C25="","",IF(COUNTIF(Facilities!$C$9:$C$108,D25)&lt;&gt;1,"Facility key",IF(OR(NOT(ISNUMBER(N25)),N25&lt;0),"Amount required",IF(SUMIF($D$9:$D$108,D25,$N$9:$N$108)&gt;IFERROR(INDEX('Facilities'!$AA$9:$AA$108,MATCH(D25,'Facilities'!$C$9:$C$108,0)),"")+0.000001,"Overallocated",IF(N25=0,"No allocation",IF(O25="","Evidence required","Valid"))))))</x:f>
        <x:v>No allocation</x:v>
      </x:c>
      <x:c r="AB25" s="3" t="str">
        <x:f>IF(C25="","",IF(OR(U25="Fail",Z25="Fail"),IF(H25="Jordan 2026","Red / not aligned","Not eligible"),IF(OR(U25="Criteria required",V25=0),"Criteria required",IF(Z25&lt;&gt;"Pass","Pending",IF(U25="Amber","Amber",IF(H25="Jordan 2026","Green","Eligible (internal)"))))))</x:f>
        <x:v>Eligible (internal)</x:v>
      </x:c>
      <x:c r="AC25" s="9" t="str">
        <x:f>IF(C25="","",IF(T25="Rejected","Rejected",IF(OR(AB25="Red / not aligned",AB25="Not eligible"),"Not eligible",IF(OR(AH25&lt;&gt;"Current",T25&lt;&gt;"Approved",Z25&lt;&gt;"Pass",(COUNTIFS('Actions'!$D$9:$D$308,E25,'Actions'!$E$9:$E$308,"E&amp;S",'Actions'!$F$9:$F$308,"Critical",'Actions'!$P$9:$P$308,"&lt;&gt;Closed",'Actions'!$C$9:$C$308,"&lt;&gt;")+COUNTIFS('Actions'!$D$9:$D$308,E25,'Actions'!$E$9:$E$308,"Taxonomy",'Actions'!$F$9:$F$308,"Critical",'Actions'!$P$9:$P$308,"&lt;&gt;Closed",'Actions'!$C$9:$C$308,"&lt;&gt;")+COUNTIFS('ESG'!$C$9:$C$108,E25,'ESG'!$H$9:$H$108,"Yes"))&gt;0,AND(AB25&lt;&gt;"Green",AB25&lt;&gt;"Amber",AB25&lt;&gt;"Eligible (internal)")),"Pending",IF(AA25="No allocation","Activity only",IF(AA25&lt;&gt;"Valid","Pending","Approved"))))))</x:f>
        <x:v>Activity only</x:v>
      </x:c>
      <x:c r="AD25" s="21" t="n">
        <x:f>IF(C25="","",IF(AND(AC25="Approved",OR(AB25="Green",AB25="Eligible (internal)")),N25,0))</x:f>
        <x:v>0</x:v>
      </x:c>
      <x:c r="AE25" s="21" t="n">
        <x:f>IF(C25="","",IF(AND(AC25="Approved",AB25="Amber"),N25,0))</x:f>
        <x:v>0</x:v>
      </x:c>
      <x:c r="AF25" s="9" t="str">
        <x:f>IF(C25="","",IF((COUNTIFS('Actions'!$D$9:$D$308,E25,'Actions'!$E$9:$E$308,"E&amp;S",'Actions'!$F$9:$F$308,"Critical",'Actions'!$P$9:$P$308,"&lt;&gt;Closed",'Actions'!$C$9:$C$308,"&lt;&gt;")+COUNTIFS('Actions'!$D$9:$D$308,E25,'Actions'!$E$9:$E$308,"Taxonomy",'Actions'!$F$9:$F$308,"Critical",'Actions'!$P$9:$P$308,"&lt;&gt;Closed",'Actions'!$C$9:$C$308,"&lt;&gt;")+COUNTIFS('ESG'!$C$9:$C$108,E25,'ESG'!$H$9:$H$108,"Yes"))&gt;0,"Resolve critical E&amp;S / taxonomy issue",IF(AH25&lt;&gt;"Current",AH25,IF(Z25&lt;&gt;"Pass","Review individual tests",IF(U25="Criteria required","Sourced criteria / interpretation required",IF(AA25&lt;&gt;"Valid",AA25,IF(T25&lt;&gt;"Approved","Approval required",I25)))))))</x:f>
        <x:v>No allocation</x:v>
      </x:c>
      <x:c r="AG25" s="9" t="str">
        <x:f>IF(C25="","",IFERROR(INDEX('Taxonomy Rules'!$L$9:$L$20,MATCH(H25&amp;"::"&amp;G25,'Taxonomy Rules'!$C$9:$C$20,0)),"Unimplemented activity"))</x:f>
        <x:v>S10 pp117–118</x:v>
      </x:c>
      <x:c r="AH25" s="9" t="str">
        <x:f>IF(C25="","",IF(COUNTIF($C$9:$C$108,C25)&lt;&gt;1,"Duplicate ID",IF(OR(COUNTIF(Facilities!$C$9:$C$108,D25)&lt;&gt;1,COUNTIF(Borrowers!$C$9:$C$108,E25)&lt;&gt;1),"Key review",IF(OR(P25="",Q25="",P25=Q25,NOT(ISNUMBER(R25)),NOT(ISNUMBER(S25)),R25&gt;Settings!$F$8,S25&lt;R25),"Review required",IF(S25&lt;Settings!$F$8,"Expired","Current")))))</x:f>
        <x:v>Current</x:v>
      </x:c>
    </x:row>
    <x:row r="26" ht="26" customHeight="1">
      <x:c r="A26" s="1"/>
      <x:c r="B26" s="1"/>
      <x:c r="C26" s="8" t="str">
        <x:v>TAX-F018</x:v>
      </x:c>
      <x:c r="D26" s="8" t="str">
        <x:v>F018</x:v>
      </x:c>
      <x:c r="E26" s="9" t="str">
        <x:f>IF(C26="","",IFERROR(INDEX('Facilities'!$D$9:$D$108,MATCH(D26,'Facilities'!$C$9:$C$108,0)),""))</x:f>
        <x:v>B009</x:v>
      </x:c>
      <x:c r="F26" s="9" t="str">
        <x:f>IF(C26="","",IFERROR(INDEX('Borrowers'!$E$9:$E$108,MATCH(E26,'Borrowers'!$C$9:$C$108,0)),""))</x:f>
        <x:v>Jordan</x:v>
      </x:c>
      <x:c r="G26" s="9" t="str">
        <x:f>IF(C26="","",IFERROR(INDEX('Facilities'!$W$9:$W$108,MATCH(D26,'Facilities'!$C$9:$C$108,0)),""))</x:f>
        <x:v>Road freight</x:v>
      </x:c>
      <x:c r="H26" s="9" t="str">
        <x:f>IF(C26="","",Settings!$F$11)</x:f>
        <x:v>Internal criteria</x:v>
      </x:c>
      <x:c r="I26" s="3" t="str">
        <x:f>IF(C26="","",IF(H26="Jordan 2026",IF(F26="Jordan","Jordan taxonomy","Reference benchmark"),"Internal policy"))</x:f>
        <x:v>Internal policy</x:v>
      </x:c>
      <x:c r="J26" s="8" t="n">
        <x:v>2025</x:v>
      </x:c>
      <x:c r="K26" s="35" t="n">
        <x:v>0</x:v>
      </x:c>
      <x:c r="L26" s="35" t="n">
        <x:v>0</x:v>
      </x:c>
      <x:c r="M26" s="8" t="str">
        <x:v>Zero emissions</x:v>
      </x:c>
      <x:c r="N26" s="38" t="n">
        <x:f>IFERROR(INDEX('Facilities'!$AA$9:$AA$108,MATCH(D26,'Facilities'!$C$9:$C$108,0)),"")*0.8</x:f>
        <x:v>4.24</x:v>
      </x:c>
      <x:c r="O26" s="8" t="str">
        <x:v>SYN-ALLOC-F018</x:v>
      </x:c>
      <x:c r="P26" s="8" t="str">
        <x:v>Taxonomy analyst 3</x:v>
      </x:c>
      <x:c r="Q26" s="8" t="str">
        <x:v>Taxonomy reviewer 2</x:v>
      </x:c>
      <x:c r="R26" s="10" t="n">
        <x:v>46266</x:v>
      </x:c>
      <x:c r="S26" s="10" t="n">
        <x:v>46631</x:v>
      </x:c>
      <x:c r="T26" s="8" t="str">
        <x:v>Approved</x:v>
      </x:c>
      <x:c r="U26" s="9" t="str">
        <x:f>IF(C26="","",IF(V26=0,"Criteria required",IF(OR(NOT(ISNUMBER(J26)),J26&lt;1900,J26&gt;YEAR(Settings!$F$8),IFERROR(MOD(J26,1),1)&lt;&gt;0,NOT(ISNUMBER(K26)),K26&lt;0,AND(H26="Internal criteria",OR(G26="Cement",G26="Building renovation"),OR(NOT(ISNUMBER(IFERROR(INDEX('Taxonomy Rules'!$G$9:$G$20,MATCH(H26&amp;"::"&amp;G26,'Taxonomy Rules'!$C$9:$C$20,0)),0))),IFERROR(INDEX('Taxonomy Rules'!$G$9:$G$20,MATCH(H26&amp;"::"&amp;G26,'Taxonomy Rules'!$C$9:$C$20,0)),0)&lt;=0,AND(G26="Building renovation",IFERROR(INDEX('Taxonomy Rules'!$G$9:$G$20,MATCH(H26&amp;"::"&amp;G26,'Taxonomy Rules'!$C$9:$C$20,0)),0)&gt;1)))),"Criteria required",IF(G26="Solar PV",IF(M26&lt;&gt;"Eligible activity","Criteria required",IF(K26=1,"Pass","Fail")),IF(G26="Cement",IF(M26="Amber",IF(H26="Jordan 2026",IF(YEAR(Settings!$F$8)&lt;2040,"Amber","Fail"),"Criteria required"),IF(M26&lt;&gt;"Green","Criteria required",IF(H26="Jordan 2026",IF(IFERROR(INDEX('Taxonomy Rules'!$P$9:$P$14,MATCH(J26,'Taxonomy Rules'!$O$9:$O$14,0)),0)=0,"Criteria required",IF(K26&lt;=IFERROR(INDEX('Taxonomy Rules'!$P$9:$P$14,MATCH(J26,'Taxonomy Rules'!$O$9:$O$14,0)),0),"Pass","Fail")),IF(K26&lt;=IFERROR(INDEX('Taxonomy Rules'!$G$9:$G$20,MATCH(H26&amp;"::"&amp;G26,'Taxonomy Rules'!$C$9:$C$20,0)),0),"Pass","Fail")))),IF(G26="Building renovation",IF(M26="Whole building",IF(K26=1,"Pass","Fail"),IF(M26&lt;&gt;"Improvement","Criteria required",IF(OR(K26&gt;1,NOT(ISNUMBER(L26)),L26&lt;0,L26&gt;1),"Criteria required",IF(MAX(K26,L26)&lt;IFERROR(INDEX('Taxonomy Rules'!$G$9:$G$20,MATCH(H26&amp;"::"&amp;G26,'Taxonomy Rules'!$C$9:$C$20,0)),0),"Fail",IF(H26="Jordan 2026",IF(YEAR(Settings!$F$8)&lt;2035,"Amber",IF(YEAR(Settings!$F$8)=2035,"Criteria required","Fail")),"Pass"))))),IF(G26="Road freight",IF(M26&lt;&gt;"Zero emissions","Criteria required",IF(AND(K26=0,ISNUMBER(L26),L26=0),"Pass","Fail")),IF(G26="New building",IF(NOT(OR(M26="Green",M26="Amber")),"Criteria required",IF(K26&lt;&gt;1,"Fail",IF(M26="Amber",IF(H26="Jordan 2026",IF(YEAR(Settings!$F$8)&lt;2030,"Amber",IF(YEAR(Settings!$F$8)=2030,"Criteria required","Fail")),"Criteria required"),"Pass"))),IF(G26="Building equipment",IF(M26&lt;&gt;"Equipment","Criteria required",IF(K26=1,"Pass","Fail")),"Criteria required")))))))))</x:f>
        <x:v>Pass</x:v>
      </x:c>
      <x:c r="V26" s="9" t="n">
        <x:f>IF(C26="","",IFERROR(INDEX('Taxonomy Rules'!$J$9:$J$20,MATCH(H26&amp;"::"&amp;G26,'Taxonomy Rules'!$C$9:$C$20,0)),0))</x:f>
        <x:v>12</x:v>
      </x:c>
      <x:c r="W26" s="9" t="n">
        <x:f>IF(C26="","",COUNTIFS('Taxonomy Tests'!$D$9:$D$2008,C26,'Taxonomy Tests'!$Q$9:$Q$2008,"Complete"))</x:f>
        <x:v>12</x:v>
      </x:c>
      <x:c r="X26" s="9" t="n">
        <x:f>IF(C26="","",COUNTIFS('Taxonomy Tests'!$D$9:$D$2008,C26,'Taxonomy Tests'!$P$9:$P$2008,"Fail"))</x:f>
        <x:v>0</x:v>
      </x:c>
      <x:c r="Y26" s="9" t="n">
        <x:f>IF(C26="","",MAX(0,V26-W26)+COUNTIFS('Taxonomy Tests'!$D$9:$D$2008,C26,'Taxonomy Tests'!$R$9:$R$2008,"Duplicate test")+COUNTIFS('Taxonomy Tests'!$D$9:$D$2008,C26,'Taxonomy Tests'!$R$9:$R$2008,"Unexpected test"))</x:f>
        <x:v>0</x:v>
      </x:c>
      <x:c r="Z26" s="9" t="str">
        <x:f>IF(C26="","",IF(X26&gt;0,"Fail",IF(AND(V26&gt;0,W26=V26,Y26=0,COUNTIF('Taxonomy Tests'!$D$9:$D$2008,C26)=V26),"Pass","Pending")))</x:f>
        <x:v>Pass</x:v>
      </x:c>
      <x:c r="AA26" s="9" t="str">
        <x:f>IF(C26="","",IF(COUNTIF(Facilities!$C$9:$C$108,D26)&lt;&gt;1,"Facility key",IF(OR(NOT(ISNUMBER(N26)),N26&lt;0),"Amount required",IF(SUMIF($D$9:$D$108,D26,$N$9:$N$108)&gt;IFERROR(INDEX('Facilities'!$AA$9:$AA$108,MATCH(D26,'Facilities'!$C$9:$C$108,0)),"")+0.000001,"Overallocated",IF(N26=0,"No allocation",IF(O26="","Evidence required","Valid"))))))</x:f>
        <x:v>Valid</x:v>
      </x:c>
      <x:c r="AB26" s="3" t="str">
        <x:f>IF(C26="","",IF(OR(U26="Fail",Z26="Fail"),IF(H26="Jordan 2026","Red / not aligned","Not eligible"),IF(OR(U26="Criteria required",V26=0),"Criteria required",IF(Z26&lt;&gt;"Pass","Pending",IF(U26="Amber","Amber",IF(H26="Jordan 2026","Green","Eligible (internal)"))))))</x:f>
        <x:v>Eligible (internal)</x:v>
      </x:c>
      <x:c r="AC26" s="9" t="str">
        <x:f>IF(C26="","",IF(T26="Rejected","Rejected",IF(OR(AB26="Red / not aligned",AB26="Not eligible"),"Not eligible",IF(OR(AH26&lt;&gt;"Current",T26&lt;&gt;"Approved",Z26&lt;&gt;"Pass",(COUNTIFS('Actions'!$D$9:$D$308,E26,'Actions'!$E$9:$E$308,"E&amp;S",'Actions'!$F$9:$F$308,"Critical",'Actions'!$P$9:$P$308,"&lt;&gt;Closed",'Actions'!$C$9:$C$308,"&lt;&gt;")+COUNTIFS('Actions'!$D$9:$D$308,E26,'Actions'!$E$9:$E$308,"Taxonomy",'Actions'!$F$9:$F$308,"Critical",'Actions'!$P$9:$P$308,"&lt;&gt;Closed",'Actions'!$C$9:$C$308,"&lt;&gt;")+COUNTIFS('ESG'!$C$9:$C$108,E26,'ESG'!$H$9:$H$108,"Yes"))&gt;0,AND(AB26&lt;&gt;"Green",AB26&lt;&gt;"Amber",AB26&lt;&gt;"Eligible (internal)")),"Pending",IF(AA26="No allocation","Activity only",IF(AA26&lt;&gt;"Valid","Pending","Approved"))))))</x:f>
        <x:v>Approved</x:v>
      </x:c>
      <x:c r="AD26" s="21" t="n">
        <x:f>IF(C26="","",IF(AND(AC26="Approved",OR(AB26="Green",AB26="Eligible (internal)")),N26,0))</x:f>
        <x:v>4.24</x:v>
      </x:c>
      <x:c r="AE26" s="21" t="n">
        <x:f>IF(C26="","",IF(AND(AC26="Approved",AB26="Amber"),N26,0))</x:f>
        <x:v>0</x:v>
      </x:c>
      <x:c r="AF26" s="9" t="str">
        <x:f>IF(C26="","",IF((COUNTIFS('Actions'!$D$9:$D$308,E26,'Actions'!$E$9:$E$308,"E&amp;S",'Actions'!$F$9:$F$308,"Critical",'Actions'!$P$9:$P$308,"&lt;&gt;Closed",'Actions'!$C$9:$C$308,"&lt;&gt;")+COUNTIFS('Actions'!$D$9:$D$308,E26,'Actions'!$E$9:$E$308,"Taxonomy",'Actions'!$F$9:$F$308,"Critical",'Actions'!$P$9:$P$308,"&lt;&gt;Closed",'Actions'!$C$9:$C$308,"&lt;&gt;")+COUNTIFS('ESG'!$C$9:$C$108,E26,'ESG'!$H$9:$H$108,"Yes"))&gt;0,"Resolve critical E&amp;S / taxonomy issue",IF(AH26&lt;&gt;"Current",AH26,IF(Z26&lt;&gt;"Pass","Review individual tests",IF(U26="Criteria required","Sourced criteria / interpretation required",IF(AA26&lt;&gt;"Valid",AA26,IF(T26&lt;&gt;"Approved","Approval required",I26)))))))</x:f>
        <x:v>Internal policy</x:v>
      </x:c>
      <x:c r="AG26" s="9" t="str">
        <x:f>IF(C26="","",IFERROR(INDEX('Taxonomy Rules'!$L$9:$L$20,MATCH(H26&amp;"::"&amp;G26,'Taxonomy Rules'!$C$9:$C$20,0)),"Unimplemented activity"))</x:f>
        <x:v>S10 pp117–118</x:v>
      </x:c>
      <x:c r="AH26" s="9" t="str">
        <x:f>IF(C26="","",IF(COUNTIF($C$9:$C$108,C26)&lt;&gt;1,"Duplicate ID",IF(OR(COUNTIF(Facilities!$C$9:$C$108,D26)&lt;&gt;1,COUNTIF(Borrowers!$C$9:$C$108,E26)&lt;&gt;1),"Key review",IF(OR(P26="",Q26="",P26=Q26,NOT(ISNUMBER(R26)),NOT(ISNUMBER(S26)),R26&gt;Settings!$F$8,S26&lt;R26),"Review required",IF(S26&lt;Settings!$F$8,"Expired","Current")))))</x:f>
        <x:v>Current</x:v>
      </x:c>
    </x:row>
    <x:row r="27" ht="26" customHeight="1">
      <x:c r="A27" s="1"/>
      <x:c r="B27" s="1"/>
      <x:c r="C27" s="8" t="str">
        <x:v>TAX-F019</x:v>
      </x:c>
      <x:c r="D27" s="8" t="str">
        <x:v>F019</x:v>
      </x:c>
      <x:c r="E27" s="9" t="str">
        <x:f>IF(C27="","",IFERROR(INDEX('Facilities'!$D$9:$D$108,MATCH(D27,'Facilities'!$C$9:$C$108,0)),""))</x:f>
        <x:v>B010</x:v>
      </x:c>
      <x:c r="F27" s="9" t="str">
        <x:f>IF(C27="","",IFERROR(INDEX('Borrowers'!$E$9:$E$108,MATCH(E27,'Borrowers'!$C$9:$C$108,0)),""))</x:f>
        <x:v>Jordan</x:v>
      </x:c>
      <x:c r="G27" s="9" t="str">
        <x:f>IF(C27="","",IFERROR(INDEX('Facilities'!$W$9:$W$108,MATCH(D27,'Facilities'!$C$9:$C$108,0)),""))</x:f>
        <x:v>Other</x:v>
      </x:c>
      <x:c r="H27" s="9" t="str">
        <x:f>IF(C27="","",Settings!$F$11)</x:f>
        <x:v>Internal criteria</x:v>
      </x:c>
      <x:c r="I27" s="3" t="str">
        <x:f>IF(C27="","",IF(H27="Jordan 2026",IF(F27="Jordan","Jordan taxonomy","Reference benchmark"),"Internal policy"))</x:f>
        <x:v>Internal policy</x:v>
      </x:c>
      <x:c r="J27" s="8" t="n">
        <x:v>2025</x:v>
      </x:c>
      <x:c r="K27" s="35" t="str"/>
      <x:c r="L27" s="35" t="str"/>
      <x:c r="M27" s="8" t="str">
        <x:v>Unspecified</x:v>
      </x:c>
      <x:c r="N27" s="16" t="n">
        <x:v>0</x:v>
      </x:c>
      <x:c r="O27" s="8" t="str"/>
      <x:c r="P27" s="8" t="str">
        <x:v>Taxonomy analyst 1</x:v>
      </x:c>
      <x:c r="Q27" s="8" t="str">
        <x:v>Taxonomy reviewer 1</x:v>
      </x:c>
      <x:c r="R27" s="10" t="n">
        <x:v>46266</x:v>
      </x:c>
      <x:c r="S27" s="10" t="n">
        <x:v>46631</x:v>
      </x:c>
      <x:c r="T27" s="8" t="str">
        <x:v>Pending</x:v>
      </x:c>
      <x:c r="U27" s="9" t="str">
        <x:f>IF(C27="","",IF(V27=0,"Criteria required",IF(OR(NOT(ISNUMBER(J27)),J27&lt;1900,J27&gt;YEAR(Settings!$F$8),IFERROR(MOD(J27,1),1)&lt;&gt;0,NOT(ISNUMBER(K27)),K27&lt;0,AND(H27="Internal criteria",OR(G27="Cement",G27="Building renovation"),OR(NOT(ISNUMBER(IFERROR(INDEX('Taxonomy Rules'!$G$9:$G$20,MATCH(H27&amp;"::"&amp;G27,'Taxonomy Rules'!$C$9:$C$20,0)),0))),IFERROR(INDEX('Taxonomy Rules'!$G$9:$G$20,MATCH(H27&amp;"::"&amp;G27,'Taxonomy Rules'!$C$9:$C$20,0)),0)&lt;=0,AND(G27="Building renovation",IFERROR(INDEX('Taxonomy Rules'!$G$9:$G$20,MATCH(H27&amp;"::"&amp;G27,'Taxonomy Rules'!$C$9:$C$20,0)),0)&gt;1)))),"Criteria required",IF(G27="Solar PV",IF(M27&lt;&gt;"Eligible activity","Criteria required",IF(K27=1,"Pass","Fail")),IF(G27="Cement",IF(M27="Amber",IF(H27="Jordan 2026",IF(YEAR(Settings!$F$8)&lt;2040,"Amber","Fail"),"Criteria required"),IF(M27&lt;&gt;"Green","Criteria required",IF(H27="Jordan 2026",IF(IFERROR(INDEX('Taxonomy Rules'!$P$9:$P$14,MATCH(J27,'Taxonomy Rules'!$O$9:$O$14,0)),0)=0,"Criteria required",IF(K27&lt;=IFERROR(INDEX('Taxonomy Rules'!$P$9:$P$14,MATCH(J27,'Taxonomy Rules'!$O$9:$O$14,0)),0),"Pass","Fail")),IF(K27&lt;=IFERROR(INDEX('Taxonomy Rules'!$G$9:$G$20,MATCH(H27&amp;"::"&amp;G27,'Taxonomy Rules'!$C$9:$C$20,0)),0),"Pass","Fail")))),IF(G27="Building renovation",IF(M27="Whole building",IF(K27=1,"Pass","Fail"),IF(M27&lt;&gt;"Improvement","Criteria required",IF(OR(K27&gt;1,NOT(ISNUMBER(L27)),L27&lt;0,L27&gt;1),"Criteria required",IF(MAX(K27,L27)&lt;IFERROR(INDEX('Taxonomy Rules'!$G$9:$G$20,MATCH(H27&amp;"::"&amp;G27,'Taxonomy Rules'!$C$9:$C$20,0)),0),"Fail",IF(H27="Jordan 2026",IF(YEAR(Settings!$F$8)&lt;2035,"Amber",IF(YEAR(Settings!$F$8)=2035,"Criteria required","Fail")),"Pass"))))),IF(G27="Road freight",IF(M27&lt;&gt;"Zero emissions","Criteria required",IF(AND(K27=0,ISNUMBER(L27),L27=0),"Pass","Fail")),IF(G27="New building",IF(NOT(OR(M27="Green",M27="Amber")),"Criteria required",IF(K27&lt;&gt;1,"Fail",IF(M27="Amber",IF(H27="Jordan 2026",IF(YEAR(Settings!$F$8)&lt;2030,"Amber",IF(YEAR(Settings!$F$8)=2030,"Criteria required","Fail")),"Criteria required"),"Pass"))),IF(G27="Building equipment",IF(M27&lt;&gt;"Equipment","Criteria required",IF(K27=1,"Pass","Fail")),"Criteria required")))))))))</x:f>
        <x:v>Criteria required</x:v>
      </x:c>
      <x:c r="V27" s="9" t="n">
        <x:f>IF(C27="","",IFERROR(INDEX('Taxonomy Rules'!$J$9:$J$20,MATCH(H27&amp;"::"&amp;G27,'Taxonomy Rules'!$C$9:$C$20,0)),0))</x:f>
        <x:v>0</x:v>
      </x:c>
      <x:c r="W27" s="9" t="n">
        <x:f>IF(C27="","",COUNTIFS('Taxonomy Tests'!$D$9:$D$2008,C27,'Taxonomy Tests'!$Q$9:$Q$2008,"Complete"))</x:f>
        <x:v>0</x:v>
      </x:c>
      <x:c r="X27" s="9" t="n">
        <x:f>IF(C27="","",COUNTIFS('Taxonomy Tests'!$D$9:$D$2008,C27,'Taxonomy Tests'!$P$9:$P$2008,"Fail"))</x:f>
        <x:v>0</x:v>
      </x:c>
      <x:c r="Y27" s="9" t="n">
        <x:f>IF(C27="","",MAX(0,V27-W27)+COUNTIFS('Taxonomy Tests'!$D$9:$D$2008,C27,'Taxonomy Tests'!$R$9:$R$2008,"Duplicate test")+COUNTIFS('Taxonomy Tests'!$D$9:$D$2008,C27,'Taxonomy Tests'!$R$9:$R$2008,"Unexpected test"))</x:f>
        <x:v>0</x:v>
      </x:c>
      <x:c r="Z27" s="9" t="str">
        <x:f>IF(C27="","",IF(X27&gt;0,"Fail",IF(AND(V27&gt;0,W27=V27,Y27=0,COUNTIF('Taxonomy Tests'!$D$9:$D$2008,C27)=V27),"Pass","Pending")))</x:f>
        <x:v>Pending</x:v>
      </x:c>
      <x:c r="AA27" s="9" t="str">
        <x:f>IF(C27="","",IF(COUNTIF(Facilities!$C$9:$C$108,D27)&lt;&gt;1,"Facility key",IF(OR(NOT(ISNUMBER(N27)),N27&lt;0),"Amount required",IF(SUMIF($D$9:$D$108,D27,$N$9:$N$108)&gt;IFERROR(INDEX('Facilities'!$AA$9:$AA$108,MATCH(D27,'Facilities'!$C$9:$C$108,0)),"")+0.000001,"Overallocated",IF(N27=0,"No allocation",IF(O27="","Evidence required","Valid"))))))</x:f>
        <x:v>No allocation</x:v>
      </x:c>
      <x:c r="AB27" s="3" t="str">
        <x:f>IF(C27="","",IF(OR(U27="Fail",Z27="Fail"),IF(H27="Jordan 2026","Red / not aligned","Not eligible"),IF(OR(U27="Criteria required",V27=0),"Criteria required",IF(Z27&lt;&gt;"Pass","Pending",IF(U27="Amber","Amber",IF(H27="Jordan 2026","Green","Eligible (internal)"))))))</x:f>
        <x:v>Criteria required</x:v>
      </x:c>
      <x:c r="AC27" s="9" t="str">
        <x:f>IF(C27="","",IF(T27="Rejected","Rejected",IF(OR(AB27="Red / not aligned",AB27="Not eligible"),"Not eligible",IF(OR(AH27&lt;&gt;"Current",T27&lt;&gt;"Approved",Z27&lt;&gt;"Pass",(COUNTIFS('Actions'!$D$9:$D$308,E27,'Actions'!$E$9:$E$308,"E&amp;S",'Actions'!$F$9:$F$308,"Critical",'Actions'!$P$9:$P$308,"&lt;&gt;Closed",'Actions'!$C$9:$C$308,"&lt;&gt;")+COUNTIFS('Actions'!$D$9:$D$308,E27,'Actions'!$E$9:$E$308,"Taxonomy",'Actions'!$F$9:$F$308,"Critical",'Actions'!$P$9:$P$308,"&lt;&gt;Closed",'Actions'!$C$9:$C$308,"&lt;&gt;")+COUNTIFS('ESG'!$C$9:$C$108,E27,'ESG'!$H$9:$H$108,"Yes"))&gt;0,AND(AB27&lt;&gt;"Green",AB27&lt;&gt;"Amber",AB27&lt;&gt;"Eligible (internal)")),"Pending",IF(AA27="No allocation","Activity only",IF(AA27&lt;&gt;"Valid","Pending","Approved"))))))</x:f>
        <x:v>Pending</x:v>
      </x:c>
      <x:c r="AD27" s="21" t="n">
        <x:f>IF(C27="","",IF(AND(AC27="Approved",OR(AB27="Green",AB27="Eligible (internal)")),N27,0))</x:f>
        <x:v>0</x:v>
      </x:c>
      <x:c r="AE27" s="21" t="n">
        <x:f>IF(C27="","",IF(AND(AC27="Approved",AB27="Amber"),N27,0))</x:f>
        <x:v>0</x:v>
      </x:c>
      <x:c r="AF27" s="9" t="str">
        <x:f>IF(C27="","",IF((COUNTIFS('Actions'!$D$9:$D$308,E27,'Actions'!$E$9:$E$308,"E&amp;S",'Actions'!$F$9:$F$308,"Critical",'Actions'!$P$9:$P$308,"&lt;&gt;Closed",'Actions'!$C$9:$C$308,"&lt;&gt;")+COUNTIFS('Actions'!$D$9:$D$308,E27,'Actions'!$E$9:$E$308,"Taxonomy",'Actions'!$F$9:$F$308,"Critical",'Actions'!$P$9:$P$308,"&lt;&gt;Closed",'Actions'!$C$9:$C$308,"&lt;&gt;")+COUNTIFS('ESG'!$C$9:$C$108,E27,'ESG'!$H$9:$H$108,"Yes"))&gt;0,"Resolve critical E&amp;S / taxonomy issue",IF(AH27&lt;&gt;"Current",AH27,IF(Z27&lt;&gt;"Pass","Review individual tests",IF(U27="Criteria required","Sourced criteria / interpretation required",IF(AA27&lt;&gt;"Valid",AA27,IF(T27&lt;&gt;"Approved","Approval required",I27)))))))</x:f>
        <x:v>Review individual tests</x:v>
      </x:c>
      <x:c r="AG27" s="9" t="str">
        <x:f>IF(C27="","",IFERROR(INDEX('Taxonomy Rules'!$L$9:$L$20,MATCH(H27&amp;"::"&amp;G27,'Taxonomy Rules'!$C$9:$C$20,0)),"Unimplemented activity"))</x:f>
        <x:v>Unimplemented activity</x:v>
      </x:c>
      <x:c r="AH27" s="9" t="str">
        <x:f>IF(C27="","",IF(COUNTIF($C$9:$C$108,C27)&lt;&gt;1,"Duplicate ID",IF(OR(COUNTIF(Facilities!$C$9:$C$108,D27)&lt;&gt;1,COUNTIF(Borrowers!$C$9:$C$108,E27)&lt;&gt;1),"Key review",IF(OR(P27="",Q27="",P27=Q27,NOT(ISNUMBER(R27)),NOT(ISNUMBER(S27)),R27&gt;Settings!$F$8,S27&lt;R27),"Review required",IF(S27&lt;Settings!$F$8,"Expired","Current")))))</x:f>
        <x:v>Current</x:v>
      </x:c>
    </x:row>
    <x:row r="28" ht="26" customHeight="1">
      <x:c r="A28" s="1"/>
      <x:c r="B28" s="1"/>
      <x:c r="C28" s="8" t="str">
        <x:v>TAX-F020</x:v>
      </x:c>
      <x:c r="D28" s="8" t="str">
        <x:v>F020</x:v>
      </x:c>
      <x:c r="E28" s="9" t="str">
        <x:f>IF(C28="","",IFERROR(INDEX('Facilities'!$D$9:$D$108,MATCH(D28,'Facilities'!$C$9:$C$108,0)),""))</x:f>
        <x:v>B010</x:v>
      </x:c>
      <x:c r="F28" s="9" t="str">
        <x:f>IF(C28="","",IFERROR(INDEX('Borrowers'!$E$9:$E$108,MATCH(E28,'Borrowers'!$C$9:$C$108,0)),""))</x:f>
        <x:v>Jordan</x:v>
      </x:c>
      <x:c r="G28" s="9" t="str">
        <x:f>IF(C28="","",IFERROR(INDEX('Facilities'!$W$9:$W$108,MATCH(D28,'Facilities'!$C$9:$C$108,0)),""))</x:f>
        <x:v>Other</x:v>
      </x:c>
      <x:c r="H28" s="9" t="str">
        <x:f>IF(C28="","",Settings!$F$11)</x:f>
        <x:v>Internal criteria</x:v>
      </x:c>
      <x:c r="I28" s="3" t="str">
        <x:f>IF(C28="","",IF(H28="Jordan 2026",IF(F28="Jordan","Jordan taxonomy","Reference benchmark"),"Internal policy"))</x:f>
        <x:v>Internal policy</x:v>
      </x:c>
      <x:c r="J28" s="8" t="n">
        <x:v>2025</x:v>
      </x:c>
      <x:c r="K28" s="35" t="str"/>
      <x:c r="L28" s="35" t="str"/>
      <x:c r="M28" s="8" t="str">
        <x:v>Unspecified</x:v>
      </x:c>
      <x:c r="N28" s="16" t="n">
        <x:v>0</x:v>
      </x:c>
      <x:c r="O28" s="8" t="str"/>
      <x:c r="P28" s="8" t="str">
        <x:v>Taxonomy analyst 2</x:v>
      </x:c>
      <x:c r="Q28" s="8" t="str">
        <x:v>Taxonomy reviewer 2</x:v>
      </x:c>
      <x:c r="R28" s="10" t="n">
        <x:v>46266</x:v>
      </x:c>
      <x:c r="S28" s="10" t="n">
        <x:v>46631</x:v>
      </x:c>
      <x:c r="T28" s="8" t="str">
        <x:v>Pending</x:v>
      </x:c>
      <x:c r="U28" s="9" t="str">
        <x:f>IF(C28="","",IF(V28=0,"Criteria required",IF(OR(NOT(ISNUMBER(J28)),J28&lt;1900,J28&gt;YEAR(Settings!$F$8),IFERROR(MOD(J28,1),1)&lt;&gt;0,NOT(ISNUMBER(K28)),K28&lt;0,AND(H28="Internal criteria",OR(G28="Cement",G28="Building renovation"),OR(NOT(ISNUMBER(IFERROR(INDEX('Taxonomy Rules'!$G$9:$G$20,MATCH(H28&amp;"::"&amp;G28,'Taxonomy Rules'!$C$9:$C$20,0)),0))),IFERROR(INDEX('Taxonomy Rules'!$G$9:$G$20,MATCH(H28&amp;"::"&amp;G28,'Taxonomy Rules'!$C$9:$C$20,0)),0)&lt;=0,AND(G28="Building renovation",IFERROR(INDEX('Taxonomy Rules'!$G$9:$G$20,MATCH(H28&amp;"::"&amp;G28,'Taxonomy Rules'!$C$9:$C$20,0)),0)&gt;1)))),"Criteria required",IF(G28="Solar PV",IF(M28&lt;&gt;"Eligible activity","Criteria required",IF(K28=1,"Pass","Fail")),IF(G28="Cement",IF(M28="Amber",IF(H28="Jordan 2026",IF(YEAR(Settings!$F$8)&lt;2040,"Amber","Fail"),"Criteria required"),IF(M28&lt;&gt;"Green","Criteria required",IF(H28="Jordan 2026",IF(IFERROR(INDEX('Taxonomy Rules'!$P$9:$P$14,MATCH(J28,'Taxonomy Rules'!$O$9:$O$14,0)),0)=0,"Criteria required",IF(K28&lt;=IFERROR(INDEX('Taxonomy Rules'!$P$9:$P$14,MATCH(J28,'Taxonomy Rules'!$O$9:$O$14,0)),0),"Pass","Fail")),IF(K28&lt;=IFERROR(INDEX('Taxonomy Rules'!$G$9:$G$20,MATCH(H28&amp;"::"&amp;G28,'Taxonomy Rules'!$C$9:$C$20,0)),0),"Pass","Fail")))),IF(G28="Building renovation",IF(M28="Whole building",IF(K28=1,"Pass","Fail"),IF(M28&lt;&gt;"Improvement","Criteria required",IF(OR(K28&gt;1,NOT(ISNUMBER(L28)),L28&lt;0,L28&gt;1),"Criteria required",IF(MAX(K28,L28)&lt;IFERROR(INDEX('Taxonomy Rules'!$G$9:$G$20,MATCH(H28&amp;"::"&amp;G28,'Taxonomy Rules'!$C$9:$C$20,0)),0),"Fail",IF(H28="Jordan 2026",IF(YEAR(Settings!$F$8)&lt;2035,"Amber",IF(YEAR(Settings!$F$8)=2035,"Criteria required","Fail")),"Pass"))))),IF(G28="Road freight",IF(M28&lt;&gt;"Zero emissions","Criteria required",IF(AND(K28=0,ISNUMBER(L28),L28=0),"Pass","Fail")),IF(G28="New building",IF(NOT(OR(M28="Green",M28="Amber")),"Criteria required",IF(K28&lt;&gt;1,"Fail",IF(M28="Amber",IF(H28="Jordan 2026",IF(YEAR(Settings!$F$8)&lt;2030,"Amber",IF(YEAR(Settings!$F$8)=2030,"Criteria required","Fail")),"Criteria required"),"Pass"))),IF(G28="Building equipment",IF(M28&lt;&gt;"Equipment","Criteria required",IF(K28=1,"Pass","Fail")),"Criteria required")))))))))</x:f>
        <x:v>Criteria required</x:v>
      </x:c>
      <x:c r="V28" s="9" t="n">
        <x:f>IF(C28="","",IFERROR(INDEX('Taxonomy Rules'!$J$9:$J$20,MATCH(H28&amp;"::"&amp;G28,'Taxonomy Rules'!$C$9:$C$20,0)),0))</x:f>
        <x:v>0</x:v>
      </x:c>
      <x:c r="W28" s="9" t="n">
        <x:f>IF(C28="","",COUNTIFS('Taxonomy Tests'!$D$9:$D$2008,C28,'Taxonomy Tests'!$Q$9:$Q$2008,"Complete"))</x:f>
        <x:v>0</x:v>
      </x:c>
      <x:c r="X28" s="9" t="n">
        <x:f>IF(C28="","",COUNTIFS('Taxonomy Tests'!$D$9:$D$2008,C28,'Taxonomy Tests'!$P$9:$P$2008,"Fail"))</x:f>
        <x:v>0</x:v>
      </x:c>
      <x:c r="Y28" s="9" t="n">
        <x:f>IF(C28="","",MAX(0,V28-W28)+COUNTIFS('Taxonomy Tests'!$D$9:$D$2008,C28,'Taxonomy Tests'!$R$9:$R$2008,"Duplicate test")+COUNTIFS('Taxonomy Tests'!$D$9:$D$2008,C28,'Taxonomy Tests'!$R$9:$R$2008,"Unexpected test"))</x:f>
        <x:v>0</x:v>
      </x:c>
      <x:c r="Z28" s="9" t="str">
        <x:f>IF(C28="","",IF(X28&gt;0,"Fail",IF(AND(V28&gt;0,W28=V28,Y28=0,COUNTIF('Taxonomy Tests'!$D$9:$D$2008,C28)=V28),"Pass","Pending")))</x:f>
        <x:v>Pending</x:v>
      </x:c>
      <x:c r="AA28" s="9" t="str">
        <x:f>IF(C28="","",IF(COUNTIF(Facilities!$C$9:$C$108,D28)&lt;&gt;1,"Facility key",IF(OR(NOT(ISNUMBER(N28)),N28&lt;0),"Amount required",IF(SUMIF($D$9:$D$108,D28,$N$9:$N$108)&gt;IFERROR(INDEX('Facilities'!$AA$9:$AA$108,MATCH(D28,'Facilities'!$C$9:$C$108,0)),"")+0.000001,"Overallocated",IF(N28=0,"No allocation",IF(O28="","Evidence required","Valid"))))))</x:f>
        <x:v>No allocation</x:v>
      </x:c>
      <x:c r="AB28" s="3" t="str">
        <x:f>IF(C28="","",IF(OR(U28="Fail",Z28="Fail"),IF(H28="Jordan 2026","Red / not aligned","Not eligible"),IF(OR(U28="Criteria required",V28=0),"Criteria required",IF(Z28&lt;&gt;"Pass","Pending",IF(U28="Amber","Amber",IF(H28="Jordan 2026","Green","Eligible (internal)"))))))</x:f>
        <x:v>Criteria required</x:v>
      </x:c>
      <x:c r="AC28" s="9" t="str">
        <x:f>IF(C28="","",IF(T28="Rejected","Rejected",IF(OR(AB28="Red / not aligned",AB28="Not eligible"),"Not eligible",IF(OR(AH28&lt;&gt;"Current",T28&lt;&gt;"Approved",Z28&lt;&gt;"Pass",(COUNTIFS('Actions'!$D$9:$D$308,E28,'Actions'!$E$9:$E$308,"E&amp;S",'Actions'!$F$9:$F$308,"Critical",'Actions'!$P$9:$P$308,"&lt;&gt;Closed",'Actions'!$C$9:$C$308,"&lt;&gt;")+COUNTIFS('Actions'!$D$9:$D$308,E28,'Actions'!$E$9:$E$308,"Taxonomy",'Actions'!$F$9:$F$308,"Critical",'Actions'!$P$9:$P$308,"&lt;&gt;Closed",'Actions'!$C$9:$C$308,"&lt;&gt;")+COUNTIFS('ESG'!$C$9:$C$108,E28,'ESG'!$H$9:$H$108,"Yes"))&gt;0,AND(AB28&lt;&gt;"Green",AB28&lt;&gt;"Amber",AB28&lt;&gt;"Eligible (internal)")),"Pending",IF(AA28="No allocation","Activity only",IF(AA28&lt;&gt;"Valid","Pending","Approved"))))))</x:f>
        <x:v>Pending</x:v>
      </x:c>
      <x:c r="AD28" s="21" t="n">
        <x:f>IF(C28="","",IF(AND(AC28="Approved",OR(AB28="Green",AB28="Eligible (internal)")),N28,0))</x:f>
        <x:v>0</x:v>
      </x:c>
      <x:c r="AE28" s="21" t="n">
        <x:f>IF(C28="","",IF(AND(AC28="Approved",AB28="Amber"),N28,0))</x:f>
        <x:v>0</x:v>
      </x:c>
      <x:c r="AF28" s="9" t="str">
        <x:f>IF(C28="","",IF((COUNTIFS('Actions'!$D$9:$D$308,E28,'Actions'!$E$9:$E$308,"E&amp;S",'Actions'!$F$9:$F$308,"Critical",'Actions'!$P$9:$P$308,"&lt;&gt;Closed",'Actions'!$C$9:$C$308,"&lt;&gt;")+COUNTIFS('Actions'!$D$9:$D$308,E28,'Actions'!$E$9:$E$308,"Taxonomy",'Actions'!$F$9:$F$308,"Critical",'Actions'!$P$9:$P$308,"&lt;&gt;Closed",'Actions'!$C$9:$C$308,"&lt;&gt;")+COUNTIFS('ESG'!$C$9:$C$108,E28,'ESG'!$H$9:$H$108,"Yes"))&gt;0,"Resolve critical E&amp;S / taxonomy issue",IF(AH28&lt;&gt;"Current",AH28,IF(Z28&lt;&gt;"Pass","Review individual tests",IF(U28="Criteria required","Sourced criteria / interpretation required",IF(AA28&lt;&gt;"Valid",AA28,IF(T28&lt;&gt;"Approved","Approval required",I28)))))))</x:f>
        <x:v>Review individual tests</x:v>
      </x:c>
      <x:c r="AG28" s="9" t="str">
        <x:f>IF(C28="","",IFERROR(INDEX('Taxonomy Rules'!$L$9:$L$20,MATCH(H28&amp;"::"&amp;G28,'Taxonomy Rules'!$C$9:$C$20,0)),"Unimplemented activity"))</x:f>
        <x:v>Unimplemented activity</x:v>
      </x:c>
      <x:c r="AH28" s="9" t="str">
        <x:f>IF(C28="","",IF(COUNTIF($C$9:$C$108,C28)&lt;&gt;1,"Duplicate ID",IF(OR(COUNTIF(Facilities!$C$9:$C$108,D28)&lt;&gt;1,COUNTIF(Borrowers!$C$9:$C$108,E28)&lt;&gt;1),"Key review",IF(OR(P28="",Q28="",P28=Q28,NOT(ISNUMBER(R28)),NOT(ISNUMBER(S28)),R28&gt;Settings!$F$8,S28&lt;R28),"Review required",IF(S28&lt;Settings!$F$8,"Expired","Current")))))</x:f>
        <x:v>Current</x:v>
      </x:c>
    </x:row>
    <x:row r="29" ht="26" customHeight="1">
      <x:c r="A29" s="1"/>
      <x:c r="B29" s="1"/>
      <x:c r="C29" s="8" t="str">
        <x:v>TAX-F021</x:v>
      </x:c>
      <x:c r="D29" s="8" t="str">
        <x:v>F021</x:v>
      </x:c>
      <x:c r="E29" s="9" t="str">
        <x:f>IF(C29="","",IFERROR(INDEX('Facilities'!$D$9:$D$108,MATCH(D29,'Facilities'!$C$9:$C$108,0)),""))</x:f>
        <x:v>B011</x:v>
      </x:c>
      <x:c r="F29" s="9" t="str">
        <x:f>IF(C29="","",IFERROR(INDEX('Borrowers'!$E$9:$E$108,MATCH(E29,'Borrowers'!$C$9:$C$108,0)),""))</x:f>
        <x:v>Jordan</x:v>
      </x:c>
      <x:c r="G29" s="9" t="str">
        <x:f>IF(C29="","",IFERROR(INDEX('Facilities'!$W$9:$W$108,MATCH(D29,'Facilities'!$C$9:$C$108,0)),""))</x:f>
        <x:v>Building renovation</x:v>
      </x:c>
      <x:c r="H29" s="9" t="str">
        <x:f>IF(C29="","",Settings!$F$11)</x:f>
        <x:v>Internal criteria</x:v>
      </x:c>
      <x:c r="I29" s="3" t="str">
        <x:f>IF(C29="","",IF(H29="Jordan 2026",IF(F29="Jordan","Jordan taxonomy","Reference benchmark"),"Internal policy"))</x:f>
        <x:v>Internal policy</x:v>
      </x:c>
      <x:c r="J29" s="8" t="n">
        <x:v>2025</x:v>
      </x:c>
      <x:c r="K29" s="35" t="n">
        <x:v>0.24</x:v>
      </x:c>
      <x:c r="L29" s="35" t="n">
        <x:v>0.18</x:v>
      </x:c>
      <x:c r="M29" s="8" t="str">
        <x:v>Improvement</x:v>
      </x:c>
      <x:c r="N29" s="16" t="n">
        <x:v>0</x:v>
      </x:c>
      <x:c r="O29" s="8" t="str"/>
      <x:c r="P29" s="8" t="str">
        <x:v>Taxonomy analyst 3</x:v>
      </x:c>
      <x:c r="Q29" s="8" t="str">
        <x:v>Taxonomy reviewer 1</x:v>
      </x:c>
      <x:c r="R29" s="10" t="n">
        <x:v>46266</x:v>
      </x:c>
      <x:c r="S29" s="10" t="n">
        <x:v>46631</x:v>
      </x:c>
      <x:c r="T29" s="8" t="str">
        <x:v>Approved</x:v>
      </x:c>
      <x:c r="U29" s="9" t="str">
        <x:f>IF(C29="","",IF(V29=0,"Criteria required",IF(OR(NOT(ISNUMBER(J29)),J29&lt;1900,J29&gt;YEAR(Settings!$F$8),IFERROR(MOD(J29,1),1)&lt;&gt;0,NOT(ISNUMBER(K29)),K29&lt;0,AND(H29="Internal criteria",OR(G29="Cement",G29="Building renovation"),OR(NOT(ISNUMBER(IFERROR(INDEX('Taxonomy Rules'!$G$9:$G$20,MATCH(H29&amp;"::"&amp;G29,'Taxonomy Rules'!$C$9:$C$20,0)),0))),IFERROR(INDEX('Taxonomy Rules'!$G$9:$G$20,MATCH(H29&amp;"::"&amp;G29,'Taxonomy Rules'!$C$9:$C$20,0)),0)&lt;=0,AND(G29="Building renovation",IFERROR(INDEX('Taxonomy Rules'!$G$9:$G$20,MATCH(H29&amp;"::"&amp;G29,'Taxonomy Rules'!$C$9:$C$20,0)),0)&gt;1)))),"Criteria required",IF(G29="Solar PV",IF(M29&lt;&gt;"Eligible activity","Criteria required",IF(K29=1,"Pass","Fail")),IF(G29="Cement",IF(M29="Amber",IF(H29="Jordan 2026",IF(YEAR(Settings!$F$8)&lt;2040,"Amber","Fail"),"Criteria required"),IF(M29&lt;&gt;"Green","Criteria required",IF(H29="Jordan 2026",IF(IFERROR(INDEX('Taxonomy Rules'!$P$9:$P$14,MATCH(J29,'Taxonomy Rules'!$O$9:$O$14,0)),0)=0,"Criteria required",IF(K29&lt;=IFERROR(INDEX('Taxonomy Rules'!$P$9:$P$14,MATCH(J29,'Taxonomy Rules'!$O$9:$O$14,0)),0),"Pass","Fail")),IF(K29&lt;=IFERROR(INDEX('Taxonomy Rules'!$G$9:$G$20,MATCH(H29&amp;"::"&amp;G29,'Taxonomy Rules'!$C$9:$C$20,0)),0),"Pass","Fail")))),IF(G29="Building renovation",IF(M29="Whole building",IF(K29=1,"Pass","Fail"),IF(M29&lt;&gt;"Improvement","Criteria required",IF(OR(K29&gt;1,NOT(ISNUMBER(L29)),L29&lt;0,L29&gt;1),"Criteria required",IF(MAX(K29,L29)&lt;IFERROR(INDEX('Taxonomy Rules'!$G$9:$G$20,MATCH(H29&amp;"::"&amp;G29,'Taxonomy Rules'!$C$9:$C$20,0)),0),"Fail",IF(H29="Jordan 2026",IF(YEAR(Settings!$F$8)&lt;2035,"Amber",IF(YEAR(Settings!$F$8)=2035,"Criteria required","Fail")),"Pass"))))),IF(G29="Road freight",IF(M29&lt;&gt;"Zero emissions","Criteria required",IF(AND(K29=0,ISNUMBER(L29),L29=0),"Pass","Fail")),IF(G29="New building",IF(NOT(OR(M29="Green",M29="Amber")),"Criteria required",IF(K29&lt;&gt;1,"Fail",IF(M29="Amber",IF(H29="Jordan 2026",IF(YEAR(Settings!$F$8)&lt;2030,"Amber",IF(YEAR(Settings!$F$8)=2030,"Criteria required","Fail")),"Criteria required"),"Pass"))),IF(G29="Building equipment",IF(M29&lt;&gt;"Equipment","Criteria required",IF(K29=1,"Pass","Fail")),"Criteria required")))))))))</x:f>
        <x:v>Pass</x:v>
      </x:c>
      <x:c r="V29" s="9" t="n">
        <x:f>IF(C29="","",IFERROR(INDEX('Taxonomy Rules'!$J$9:$J$20,MATCH(H29&amp;"::"&amp;G29,'Taxonomy Rules'!$C$9:$C$20,0)),0))</x:f>
        <x:v>17</x:v>
      </x:c>
      <x:c r="W29" s="9" t="n">
        <x:f>IF(C29="","",COUNTIFS('Taxonomy Tests'!$D$9:$D$2008,C29,'Taxonomy Tests'!$Q$9:$Q$2008,"Complete"))</x:f>
        <x:v>17</x:v>
      </x:c>
      <x:c r="X29" s="9" t="n">
        <x:f>IF(C29="","",COUNTIFS('Taxonomy Tests'!$D$9:$D$2008,C29,'Taxonomy Tests'!$P$9:$P$2008,"Fail"))</x:f>
        <x:v>0</x:v>
      </x:c>
      <x:c r="Y29" s="9" t="n">
        <x:f>IF(C29="","",MAX(0,V29-W29)+COUNTIFS('Taxonomy Tests'!$D$9:$D$2008,C29,'Taxonomy Tests'!$R$9:$R$2008,"Duplicate test")+COUNTIFS('Taxonomy Tests'!$D$9:$D$2008,C29,'Taxonomy Tests'!$R$9:$R$2008,"Unexpected test"))</x:f>
        <x:v>0</x:v>
      </x:c>
      <x:c r="Z29" s="9" t="str">
        <x:f>IF(C29="","",IF(X29&gt;0,"Fail",IF(AND(V29&gt;0,W29=V29,Y29=0,COUNTIF('Taxonomy Tests'!$D$9:$D$2008,C29)=V29),"Pass","Pending")))</x:f>
        <x:v>Pass</x:v>
      </x:c>
      <x:c r="AA29" s="9" t="str">
        <x:f>IF(C29="","",IF(COUNTIF(Facilities!$C$9:$C$108,D29)&lt;&gt;1,"Facility key",IF(OR(NOT(ISNUMBER(N29)),N29&lt;0),"Amount required",IF(SUMIF($D$9:$D$108,D29,$N$9:$N$108)&gt;IFERROR(INDEX('Facilities'!$AA$9:$AA$108,MATCH(D29,'Facilities'!$C$9:$C$108,0)),"")+0.000001,"Overallocated",IF(N29=0,"No allocation",IF(O29="","Evidence required","Valid"))))))</x:f>
        <x:v>No allocation</x:v>
      </x:c>
      <x:c r="AB29" s="3" t="str">
        <x:f>IF(C29="","",IF(OR(U29="Fail",Z29="Fail"),IF(H29="Jordan 2026","Red / not aligned","Not eligible"),IF(OR(U29="Criteria required",V29=0),"Criteria required",IF(Z29&lt;&gt;"Pass","Pending",IF(U29="Amber","Amber",IF(H29="Jordan 2026","Green","Eligible (internal)"))))))</x:f>
        <x:v>Eligible (internal)</x:v>
      </x:c>
      <x:c r="AC29" s="9" t="str">
        <x:f>IF(C29="","",IF(T29="Rejected","Rejected",IF(OR(AB29="Red / not aligned",AB29="Not eligible"),"Not eligible",IF(OR(AH29&lt;&gt;"Current",T29&lt;&gt;"Approved",Z29&lt;&gt;"Pass",(COUNTIFS('Actions'!$D$9:$D$308,E29,'Actions'!$E$9:$E$308,"E&amp;S",'Actions'!$F$9:$F$308,"Critical",'Actions'!$P$9:$P$308,"&lt;&gt;Closed",'Actions'!$C$9:$C$308,"&lt;&gt;")+COUNTIFS('Actions'!$D$9:$D$308,E29,'Actions'!$E$9:$E$308,"Taxonomy",'Actions'!$F$9:$F$308,"Critical",'Actions'!$P$9:$P$308,"&lt;&gt;Closed",'Actions'!$C$9:$C$308,"&lt;&gt;")+COUNTIFS('ESG'!$C$9:$C$108,E29,'ESG'!$H$9:$H$108,"Yes"))&gt;0,AND(AB29&lt;&gt;"Green",AB29&lt;&gt;"Amber",AB29&lt;&gt;"Eligible (internal)")),"Pending",IF(AA29="No allocation","Activity only",IF(AA29&lt;&gt;"Valid","Pending","Approved"))))))</x:f>
        <x:v>Activity only</x:v>
      </x:c>
      <x:c r="AD29" s="21" t="n">
        <x:f>IF(C29="","",IF(AND(AC29="Approved",OR(AB29="Green",AB29="Eligible (internal)")),N29,0))</x:f>
        <x:v>0</x:v>
      </x:c>
      <x:c r="AE29" s="21" t="n">
        <x:f>IF(C29="","",IF(AND(AC29="Approved",AB29="Amber"),N29,0))</x:f>
        <x:v>0</x:v>
      </x:c>
      <x:c r="AF29" s="9" t="str">
        <x:f>IF(C29="","",IF((COUNTIFS('Actions'!$D$9:$D$308,E29,'Actions'!$E$9:$E$308,"E&amp;S",'Actions'!$F$9:$F$308,"Critical",'Actions'!$P$9:$P$308,"&lt;&gt;Closed",'Actions'!$C$9:$C$308,"&lt;&gt;")+COUNTIFS('Actions'!$D$9:$D$308,E29,'Actions'!$E$9:$E$308,"Taxonomy",'Actions'!$F$9:$F$308,"Critical",'Actions'!$P$9:$P$308,"&lt;&gt;Closed",'Actions'!$C$9:$C$308,"&lt;&gt;")+COUNTIFS('ESG'!$C$9:$C$108,E29,'ESG'!$H$9:$H$108,"Yes"))&gt;0,"Resolve critical E&amp;S / taxonomy issue",IF(AH29&lt;&gt;"Current",AH29,IF(Z29&lt;&gt;"Pass","Review individual tests",IF(U29="Criteria required","Sourced criteria / interpretation required",IF(AA29&lt;&gt;"Valid",AA29,IF(T29&lt;&gt;"Approved","Approval required",I29)))))))</x:f>
        <x:v>No allocation</x:v>
      </x:c>
      <x:c r="AG29" s="9" t="str">
        <x:f>IF(C29="","",IFERROR(INDEX('Taxonomy Rules'!$L$9:$L$20,MATCH(H29&amp;"::"&amp;G29,'Taxonomy Rules'!$C$9:$C$20,0)),"Unimplemented activity"))</x:f>
        <x:v>S10 pp136–137; pp131–133</x:v>
      </x:c>
      <x:c r="AH29" s="9" t="str">
        <x:f>IF(C29="","",IF(COUNTIF($C$9:$C$108,C29)&lt;&gt;1,"Duplicate ID",IF(OR(COUNTIF(Facilities!$C$9:$C$108,D29)&lt;&gt;1,COUNTIF(Borrowers!$C$9:$C$108,E29)&lt;&gt;1),"Key review",IF(OR(P29="",Q29="",P29=Q29,NOT(ISNUMBER(R29)),NOT(ISNUMBER(S29)),R29&gt;Settings!$F$8,S29&lt;R29),"Review required",IF(S29&lt;Settings!$F$8,"Expired","Current")))))</x:f>
        <x:v>Current</x:v>
      </x:c>
    </x:row>
    <x:row r="30" ht="26" customHeight="1">
      <x:c r="A30" s="1"/>
      <x:c r="B30" s="1"/>
      <x:c r="C30" s="8" t="str">
        <x:v>TAX-F022</x:v>
      </x:c>
      <x:c r="D30" s="8" t="str">
        <x:v>F022</x:v>
      </x:c>
      <x:c r="E30" s="9" t="str">
        <x:f>IF(C30="","",IFERROR(INDEX('Facilities'!$D$9:$D$108,MATCH(D30,'Facilities'!$C$9:$C$108,0)),""))</x:f>
        <x:v>B011</x:v>
      </x:c>
      <x:c r="F30" s="9" t="str">
        <x:f>IF(C30="","",IFERROR(INDEX('Borrowers'!$E$9:$E$108,MATCH(E30,'Borrowers'!$C$9:$C$108,0)),""))</x:f>
        <x:v>Jordan</x:v>
      </x:c>
      <x:c r="G30" s="9" t="str">
        <x:f>IF(C30="","",IFERROR(INDEX('Facilities'!$W$9:$W$108,MATCH(D30,'Facilities'!$C$9:$C$108,0)),""))</x:f>
        <x:v>Building renovation</x:v>
      </x:c>
      <x:c r="H30" s="9" t="str">
        <x:f>IF(C30="","",Settings!$F$11)</x:f>
        <x:v>Internal criteria</x:v>
      </x:c>
      <x:c r="I30" s="3" t="str">
        <x:f>IF(C30="","",IF(H30="Jordan 2026",IF(F30="Jordan","Jordan taxonomy","Reference benchmark"),"Internal policy"))</x:f>
        <x:v>Internal policy</x:v>
      </x:c>
      <x:c r="J30" s="8" t="n">
        <x:v>2025</x:v>
      </x:c>
      <x:c r="K30" s="35" t="n">
        <x:v>0.24</x:v>
      </x:c>
      <x:c r="L30" s="35" t="n">
        <x:v>0.18</x:v>
      </x:c>
      <x:c r="M30" s="8" t="str">
        <x:v>Improvement</x:v>
      </x:c>
      <x:c r="N30" s="38" t="n">
        <x:f>IFERROR(INDEX('Facilities'!$AA$9:$AA$108,MATCH(D30,'Facilities'!$C$9:$C$108,0)),"")*0.8</x:f>
        <x:v>4.800000000000001</x:v>
      </x:c>
      <x:c r="O30" s="8" t="str">
        <x:v>SYN-ALLOC-F022</x:v>
      </x:c>
      <x:c r="P30" s="8" t="str">
        <x:v>Taxonomy analyst 1</x:v>
      </x:c>
      <x:c r="Q30" s="8" t="str">
        <x:v>Taxonomy reviewer 2</x:v>
      </x:c>
      <x:c r="R30" s="10" t="n">
        <x:v>46266</x:v>
      </x:c>
      <x:c r="S30" s="10" t="n">
        <x:v>46631</x:v>
      </x:c>
      <x:c r="T30" s="8" t="str">
        <x:v>Approved</x:v>
      </x:c>
      <x:c r="U30" s="9" t="str">
        <x:f>IF(C30="","",IF(V30=0,"Criteria required",IF(OR(NOT(ISNUMBER(J30)),J30&lt;1900,J30&gt;YEAR(Settings!$F$8),IFERROR(MOD(J30,1),1)&lt;&gt;0,NOT(ISNUMBER(K30)),K30&lt;0,AND(H30="Internal criteria",OR(G30="Cement",G30="Building renovation"),OR(NOT(ISNUMBER(IFERROR(INDEX('Taxonomy Rules'!$G$9:$G$20,MATCH(H30&amp;"::"&amp;G30,'Taxonomy Rules'!$C$9:$C$20,0)),0))),IFERROR(INDEX('Taxonomy Rules'!$G$9:$G$20,MATCH(H30&amp;"::"&amp;G30,'Taxonomy Rules'!$C$9:$C$20,0)),0)&lt;=0,AND(G30="Building renovation",IFERROR(INDEX('Taxonomy Rules'!$G$9:$G$20,MATCH(H30&amp;"::"&amp;G30,'Taxonomy Rules'!$C$9:$C$20,0)),0)&gt;1)))),"Criteria required",IF(G30="Solar PV",IF(M30&lt;&gt;"Eligible activity","Criteria required",IF(K30=1,"Pass","Fail")),IF(G30="Cement",IF(M30="Amber",IF(H30="Jordan 2026",IF(YEAR(Settings!$F$8)&lt;2040,"Amber","Fail"),"Criteria required"),IF(M30&lt;&gt;"Green","Criteria required",IF(H30="Jordan 2026",IF(IFERROR(INDEX('Taxonomy Rules'!$P$9:$P$14,MATCH(J30,'Taxonomy Rules'!$O$9:$O$14,0)),0)=0,"Criteria required",IF(K30&lt;=IFERROR(INDEX('Taxonomy Rules'!$P$9:$P$14,MATCH(J30,'Taxonomy Rules'!$O$9:$O$14,0)),0),"Pass","Fail")),IF(K30&lt;=IFERROR(INDEX('Taxonomy Rules'!$G$9:$G$20,MATCH(H30&amp;"::"&amp;G30,'Taxonomy Rules'!$C$9:$C$20,0)),0),"Pass","Fail")))),IF(G30="Building renovation",IF(M30="Whole building",IF(K30=1,"Pass","Fail"),IF(M30&lt;&gt;"Improvement","Criteria required",IF(OR(K30&gt;1,NOT(ISNUMBER(L30)),L30&lt;0,L30&gt;1),"Criteria required",IF(MAX(K30,L30)&lt;IFERROR(INDEX('Taxonomy Rules'!$G$9:$G$20,MATCH(H30&amp;"::"&amp;G30,'Taxonomy Rules'!$C$9:$C$20,0)),0),"Fail",IF(H30="Jordan 2026",IF(YEAR(Settings!$F$8)&lt;2035,"Amber",IF(YEAR(Settings!$F$8)=2035,"Criteria required","Fail")),"Pass"))))),IF(G30="Road freight",IF(M30&lt;&gt;"Zero emissions","Criteria required",IF(AND(K30=0,ISNUMBER(L30),L30=0),"Pass","Fail")),IF(G30="New building",IF(NOT(OR(M30="Green",M30="Amber")),"Criteria required",IF(K30&lt;&gt;1,"Fail",IF(M30="Amber",IF(H30="Jordan 2026",IF(YEAR(Settings!$F$8)&lt;2030,"Amber",IF(YEAR(Settings!$F$8)=2030,"Criteria required","Fail")),"Criteria required"),"Pass"))),IF(G30="Building equipment",IF(M30&lt;&gt;"Equipment","Criteria required",IF(K30=1,"Pass","Fail")),"Criteria required")))))))))</x:f>
        <x:v>Pass</x:v>
      </x:c>
      <x:c r="V30" s="9" t="n">
        <x:f>IF(C30="","",IFERROR(INDEX('Taxonomy Rules'!$J$9:$J$20,MATCH(H30&amp;"::"&amp;G30,'Taxonomy Rules'!$C$9:$C$20,0)),0))</x:f>
        <x:v>17</x:v>
      </x:c>
      <x:c r="W30" s="9" t="n">
        <x:f>IF(C30="","",COUNTIFS('Taxonomy Tests'!$D$9:$D$2008,C30,'Taxonomy Tests'!$Q$9:$Q$2008,"Complete"))</x:f>
        <x:v>17</x:v>
      </x:c>
      <x:c r="X30" s="9" t="n">
        <x:f>IF(C30="","",COUNTIFS('Taxonomy Tests'!$D$9:$D$2008,C30,'Taxonomy Tests'!$P$9:$P$2008,"Fail"))</x:f>
        <x:v>0</x:v>
      </x:c>
      <x:c r="Y30" s="9" t="n">
        <x:f>IF(C30="","",MAX(0,V30-W30)+COUNTIFS('Taxonomy Tests'!$D$9:$D$2008,C30,'Taxonomy Tests'!$R$9:$R$2008,"Duplicate test")+COUNTIFS('Taxonomy Tests'!$D$9:$D$2008,C30,'Taxonomy Tests'!$R$9:$R$2008,"Unexpected test"))</x:f>
        <x:v>0</x:v>
      </x:c>
      <x:c r="Z30" s="9" t="str">
        <x:f>IF(C30="","",IF(X30&gt;0,"Fail",IF(AND(V30&gt;0,W30=V30,Y30=0,COUNTIF('Taxonomy Tests'!$D$9:$D$2008,C30)=V30),"Pass","Pending")))</x:f>
        <x:v>Pass</x:v>
      </x:c>
      <x:c r="AA30" s="9" t="str">
        <x:f>IF(C30="","",IF(COUNTIF(Facilities!$C$9:$C$108,D30)&lt;&gt;1,"Facility key",IF(OR(NOT(ISNUMBER(N30)),N30&lt;0),"Amount required",IF(SUMIF($D$9:$D$108,D30,$N$9:$N$108)&gt;IFERROR(INDEX('Facilities'!$AA$9:$AA$108,MATCH(D30,'Facilities'!$C$9:$C$108,0)),"")+0.000001,"Overallocated",IF(N30=0,"No allocation",IF(O30="","Evidence required","Valid"))))))</x:f>
        <x:v>Valid</x:v>
      </x:c>
      <x:c r="AB30" s="3" t="str">
        <x:f>IF(C30="","",IF(OR(U30="Fail",Z30="Fail"),IF(H30="Jordan 2026","Red / not aligned","Not eligible"),IF(OR(U30="Criteria required",V30=0),"Criteria required",IF(Z30&lt;&gt;"Pass","Pending",IF(U30="Amber","Amber",IF(H30="Jordan 2026","Green","Eligible (internal)"))))))</x:f>
        <x:v>Eligible (internal)</x:v>
      </x:c>
      <x:c r="AC30" s="9" t="str">
        <x:f>IF(C30="","",IF(T30="Rejected","Rejected",IF(OR(AB30="Red / not aligned",AB30="Not eligible"),"Not eligible",IF(OR(AH30&lt;&gt;"Current",T30&lt;&gt;"Approved",Z30&lt;&gt;"Pass",(COUNTIFS('Actions'!$D$9:$D$308,E30,'Actions'!$E$9:$E$308,"E&amp;S",'Actions'!$F$9:$F$308,"Critical",'Actions'!$P$9:$P$308,"&lt;&gt;Closed",'Actions'!$C$9:$C$308,"&lt;&gt;")+COUNTIFS('Actions'!$D$9:$D$308,E30,'Actions'!$E$9:$E$308,"Taxonomy",'Actions'!$F$9:$F$308,"Critical",'Actions'!$P$9:$P$308,"&lt;&gt;Closed",'Actions'!$C$9:$C$308,"&lt;&gt;")+COUNTIFS('ESG'!$C$9:$C$108,E30,'ESG'!$H$9:$H$108,"Yes"))&gt;0,AND(AB30&lt;&gt;"Green",AB30&lt;&gt;"Amber",AB30&lt;&gt;"Eligible (internal)")),"Pending",IF(AA30="No allocation","Activity only",IF(AA30&lt;&gt;"Valid","Pending","Approved"))))))</x:f>
        <x:v>Approved</x:v>
      </x:c>
      <x:c r="AD30" s="21" t="n">
        <x:f>IF(C30="","",IF(AND(AC30="Approved",OR(AB30="Green",AB30="Eligible (internal)")),N30,0))</x:f>
        <x:v>4.800000000000001</x:v>
      </x:c>
      <x:c r="AE30" s="21" t="n">
        <x:f>IF(C30="","",IF(AND(AC30="Approved",AB30="Amber"),N30,0))</x:f>
        <x:v>0</x:v>
      </x:c>
      <x:c r="AF30" s="9" t="str">
        <x:f>IF(C30="","",IF((COUNTIFS('Actions'!$D$9:$D$308,E30,'Actions'!$E$9:$E$308,"E&amp;S",'Actions'!$F$9:$F$308,"Critical",'Actions'!$P$9:$P$308,"&lt;&gt;Closed",'Actions'!$C$9:$C$308,"&lt;&gt;")+COUNTIFS('Actions'!$D$9:$D$308,E30,'Actions'!$E$9:$E$308,"Taxonomy",'Actions'!$F$9:$F$308,"Critical",'Actions'!$P$9:$P$308,"&lt;&gt;Closed",'Actions'!$C$9:$C$308,"&lt;&gt;")+COUNTIFS('ESG'!$C$9:$C$108,E30,'ESG'!$H$9:$H$108,"Yes"))&gt;0,"Resolve critical E&amp;S / taxonomy issue",IF(AH30&lt;&gt;"Current",AH30,IF(Z30&lt;&gt;"Pass","Review individual tests",IF(U30="Criteria required","Sourced criteria / interpretation required",IF(AA30&lt;&gt;"Valid",AA30,IF(T30&lt;&gt;"Approved","Approval required",I30)))))))</x:f>
        <x:v>Internal policy</x:v>
      </x:c>
      <x:c r="AG30" s="9" t="str">
        <x:f>IF(C30="","",IFERROR(INDEX('Taxonomy Rules'!$L$9:$L$20,MATCH(H30&amp;"::"&amp;G30,'Taxonomy Rules'!$C$9:$C$20,0)),"Unimplemented activity"))</x:f>
        <x:v>S10 pp136–137; pp131–133</x:v>
      </x:c>
      <x:c r="AH30" s="9" t="str">
        <x:f>IF(C30="","",IF(COUNTIF($C$9:$C$108,C30)&lt;&gt;1,"Duplicate ID",IF(OR(COUNTIF(Facilities!$C$9:$C$108,D30)&lt;&gt;1,COUNTIF(Borrowers!$C$9:$C$108,E30)&lt;&gt;1),"Key review",IF(OR(P30="",Q30="",P30=Q30,NOT(ISNUMBER(R30)),NOT(ISNUMBER(S30)),R30&gt;Settings!$F$8,S30&lt;R30),"Review required",IF(S30&lt;Settings!$F$8,"Expired","Current")))))</x:f>
        <x:v>Current</x:v>
      </x:c>
    </x:row>
    <x:row r="31" ht="26" customHeight="1">
      <x:c r="A31" s="1"/>
      <x:c r="B31" s="1"/>
      <x:c r="C31" s="8" t="str">
        <x:v>TAX-F023</x:v>
      </x:c>
      <x:c r="D31" s="8" t="str">
        <x:v>F023</x:v>
      </x:c>
      <x:c r="E31" s="9" t="str">
        <x:f>IF(C31="","",IFERROR(INDEX('Facilities'!$D$9:$D$108,MATCH(D31,'Facilities'!$C$9:$C$108,0)),""))</x:f>
        <x:v>B012</x:v>
      </x:c>
      <x:c r="F31" s="9" t="str">
        <x:f>IF(C31="","",IFERROR(INDEX('Borrowers'!$E$9:$E$108,MATCH(E31,'Borrowers'!$C$9:$C$108,0)),""))</x:f>
        <x:v>Jordan</x:v>
      </x:c>
      <x:c r="G31" s="9" t="str">
        <x:f>IF(C31="","",IFERROR(INDEX('Facilities'!$W$9:$W$108,MATCH(D31,'Facilities'!$C$9:$C$108,0)),""))</x:f>
        <x:v>Other</x:v>
      </x:c>
      <x:c r="H31" s="9" t="str">
        <x:f>IF(C31="","",Settings!$F$11)</x:f>
        <x:v>Internal criteria</x:v>
      </x:c>
      <x:c r="I31" s="3" t="str">
        <x:f>IF(C31="","",IF(H31="Jordan 2026",IF(F31="Jordan","Jordan taxonomy","Reference benchmark"),"Internal policy"))</x:f>
        <x:v>Internal policy</x:v>
      </x:c>
      <x:c r="J31" s="8" t="n">
        <x:v>2025</x:v>
      </x:c>
      <x:c r="K31" s="35" t="str"/>
      <x:c r="L31" s="35" t="str"/>
      <x:c r="M31" s="8" t="str">
        <x:v>Unspecified</x:v>
      </x:c>
      <x:c r="N31" s="16" t="n">
        <x:v>0</x:v>
      </x:c>
      <x:c r="O31" s="8" t="str"/>
      <x:c r="P31" s="8" t="str">
        <x:v>Taxonomy analyst 2</x:v>
      </x:c>
      <x:c r="Q31" s="8" t="str">
        <x:v>Taxonomy reviewer 1</x:v>
      </x:c>
      <x:c r="R31" s="10" t="n">
        <x:v>46266</x:v>
      </x:c>
      <x:c r="S31" s="10" t="n">
        <x:v>46631</x:v>
      </x:c>
      <x:c r="T31" s="8" t="str">
        <x:v>Pending</x:v>
      </x:c>
      <x:c r="U31" s="9" t="str">
        <x:f>IF(C31="","",IF(V31=0,"Criteria required",IF(OR(NOT(ISNUMBER(J31)),J31&lt;1900,J31&gt;YEAR(Settings!$F$8),IFERROR(MOD(J31,1),1)&lt;&gt;0,NOT(ISNUMBER(K31)),K31&lt;0,AND(H31="Internal criteria",OR(G31="Cement",G31="Building renovation"),OR(NOT(ISNUMBER(IFERROR(INDEX('Taxonomy Rules'!$G$9:$G$20,MATCH(H31&amp;"::"&amp;G31,'Taxonomy Rules'!$C$9:$C$20,0)),0))),IFERROR(INDEX('Taxonomy Rules'!$G$9:$G$20,MATCH(H31&amp;"::"&amp;G31,'Taxonomy Rules'!$C$9:$C$20,0)),0)&lt;=0,AND(G31="Building renovation",IFERROR(INDEX('Taxonomy Rules'!$G$9:$G$20,MATCH(H31&amp;"::"&amp;G31,'Taxonomy Rules'!$C$9:$C$20,0)),0)&gt;1)))),"Criteria required",IF(G31="Solar PV",IF(M31&lt;&gt;"Eligible activity","Criteria required",IF(K31=1,"Pass","Fail")),IF(G31="Cement",IF(M31="Amber",IF(H31="Jordan 2026",IF(YEAR(Settings!$F$8)&lt;2040,"Amber","Fail"),"Criteria required"),IF(M31&lt;&gt;"Green","Criteria required",IF(H31="Jordan 2026",IF(IFERROR(INDEX('Taxonomy Rules'!$P$9:$P$14,MATCH(J31,'Taxonomy Rules'!$O$9:$O$14,0)),0)=0,"Criteria required",IF(K31&lt;=IFERROR(INDEX('Taxonomy Rules'!$P$9:$P$14,MATCH(J31,'Taxonomy Rules'!$O$9:$O$14,0)),0),"Pass","Fail")),IF(K31&lt;=IFERROR(INDEX('Taxonomy Rules'!$G$9:$G$20,MATCH(H31&amp;"::"&amp;G31,'Taxonomy Rules'!$C$9:$C$20,0)),0),"Pass","Fail")))),IF(G31="Building renovation",IF(M31="Whole building",IF(K31=1,"Pass","Fail"),IF(M31&lt;&gt;"Improvement","Criteria required",IF(OR(K31&gt;1,NOT(ISNUMBER(L31)),L31&lt;0,L31&gt;1),"Criteria required",IF(MAX(K31,L31)&lt;IFERROR(INDEX('Taxonomy Rules'!$G$9:$G$20,MATCH(H31&amp;"::"&amp;G31,'Taxonomy Rules'!$C$9:$C$20,0)),0),"Fail",IF(H31="Jordan 2026",IF(YEAR(Settings!$F$8)&lt;2035,"Amber",IF(YEAR(Settings!$F$8)=2035,"Criteria required","Fail")),"Pass"))))),IF(G31="Road freight",IF(M31&lt;&gt;"Zero emissions","Criteria required",IF(AND(K31=0,ISNUMBER(L31),L31=0),"Pass","Fail")),IF(G31="New building",IF(NOT(OR(M31="Green",M31="Amber")),"Criteria required",IF(K31&lt;&gt;1,"Fail",IF(M31="Amber",IF(H31="Jordan 2026",IF(YEAR(Settings!$F$8)&lt;2030,"Amber",IF(YEAR(Settings!$F$8)=2030,"Criteria required","Fail")),"Criteria required"),"Pass"))),IF(G31="Building equipment",IF(M31&lt;&gt;"Equipment","Criteria required",IF(K31=1,"Pass","Fail")),"Criteria required")))))))))</x:f>
        <x:v>Criteria required</x:v>
      </x:c>
      <x:c r="V31" s="9" t="n">
        <x:f>IF(C31="","",IFERROR(INDEX('Taxonomy Rules'!$J$9:$J$20,MATCH(H31&amp;"::"&amp;G31,'Taxonomy Rules'!$C$9:$C$20,0)),0))</x:f>
        <x:v>0</x:v>
      </x:c>
      <x:c r="W31" s="9" t="n">
        <x:f>IF(C31="","",COUNTIFS('Taxonomy Tests'!$D$9:$D$2008,C31,'Taxonomy Tests'!$Q$9:$Q$2008,"Complete"))</x:f>
        <x:v>0</x:v>
      </x:c>
      <x:c r="X31" s="9" t="n">
        <x:f>IF(C31="","",COUNTIFS('Taxonomy Tests'!$D$9:$D$2008,C31,'Taxonomy Tests'!$P$9:$P$2008,"Fail"))</x:f>
        <x:v>0</x:v>
      </x:c>
      <x:c r="Y31" s="9" t="n">
        <x:f>IF(C31="","",MAX(0,V31-W31)+COUNTIFS('Taxonomy Tests'!$D$9:$D$2008,C31,'Taxonomy Tests'!$R$9:$R$2008,"Duplicate test")+COUNTIFS('Taxonomy Tests'!$D$9:$D$2008,C31,'Taxonomy Tests'!$R$9:$R$2008,"Unexpected test"))</x:f>
        <x:v>0</x:v>
      </x:c>
      <x:c r="Z31" s="9" t="str">
        <x:f>IF(C31="","",IF(X31&gt;0,"Fail",IF(AND(V31&gt;0,W31=V31,Y31=0,COUNTIF('Taxonomy Tests'!$D$9:$D$2008,C31)=V31),"Pass","Pending")))</x:f>
        <x:v>Pending</x:v>
      </x:c>
      <x:c r="AA31" s="9" t="str">
        <x:f>IF(C31="","",IF(COUNTIF(Facilities!$C$9:$C$108,D31)&lt;&gt;1,"Facility key",IF(OR(NOT(ISNUMBER(N31)),N31&lt;0),"Amount required",IF(SUMIF($D$9:$D$108,D31,$N$9:$N$108)&gt;IFERROR(INDEX('Facilities'!$AA$9:$AA$108,MATCH(D31,'Facilities'!$C$9:$C$108,0)),"")+0.000001,"Overallocated",IF(N31=0,"No allocation",IF(O31="","Evidence required","Valid"))))))</x:f>
        <x:v>No allocation</x:v>
      </x:c>
      <x:c r="AB31" s="3" t="str">
        <x:f>IF(C31="","",IF(OR(U31="Fail",Z31="Fail"),IF(H31="Jordan 2026","Red / not aligned","Not eligible"),IF(OR(U31="Criteria required",V31=0),"Criteria required",IF(Z31&lt;&gt;"Pass","Pending",IF(U31="Amber","Amber",IF(H31="Jordan 2026","Green","Eligible (internal)"))))))</x:f>
        <x:v>Criteria required</x:v>
      </x:c>
      <x:c r="AC31" s="9" t="str">
        <x:f>IF(C31="","",IF(T31="Rejected","Rejected",IF(OR(AB31="Red / not aligned",AB31="Not eligible"),"Not eligible",IF(OR(AH31&lt;&gt;"Current",T31&lt;&gt;"Approved",Z31&lt;&gt;"Pass",(COUNTIFS('Actions'!$D$9:$D$308,E31,'Actions'!$E$9:$E$308,"E&amp;S",'Actions'!$F$9:$F$308,"Critical",'Actions'!$P$9:$P$308,"&lt;&gt;Closed",'Actions'!$C$9:$C$308,"&lt;&gt;")+COUNTIFS('Actions'!$D$9:$D$308,E31,'Actions'!$E$9:$E$308,"Taxonomy",'Actions'!$F$9:$F$308,"Critical",'Actions'!$P$9:$P$308,"&lt;&gt;Closed",'Actions'!$C$9:$C$308,"&lt;&gt;")+COUNTIFS('ESG'!$C$9:$C$108,E31,'ESG'!$H$9:$H$108,"Yes"))&gt;0,AND(AB31&lt;&gt;"Green",AB31&lt;&gt;"Amber",AB31&lt;&gt;"Eligible (internal)")),"Pending",IF(AA31="No allocation","Activity only",IF(AA31&lt;&gt;"Valid","Pending","Approved"))))))</x:f>
        <x:v>Pending</x:v>
      </x:c>
      <x:c r="AD31" s="21" t="n">
        <x:f>IF(C31="","",IF(AND(AC31="Approved",OR(AB31="Green",AB31="Eligible (internal)")),N31,0))</x:f>
        <x:v>0</x:v>
      </x:c>
      <x:c r="AE31" s="21" t="n">
        <x:f>IF(C31="","",IF(AND(AC31="Approved",AB31="Amber"),N31,0))</x:f>
        <x:v>0</x:v>
      </x:c>
      <x:c r="AF31" s="9" t="str">
        <x:f>IF(C31="","",IF((COUNTIFS('Actions'!$D$9:$D$308,E31,'Actions'!$E$9:$E$308,"E&amp;S",'Actions'!$F$9:$F$308,"Critical",'Actions'!$P$9:$P$308,"&lt;&gt;Closed",'Actions'!$C$9:$C$308,"&lt;&gt;")+COUNTIFS('Actions'!$D$9:$D$308,E31,'Actions'!$E$9:$E$308,"Taxonomy",'Actions'!$F$9:$F$308,"Critical",'Actions'!$P$9:$P$308,"&lt;&gt;Closed",'Actions'!$C$9:$C$308,"&lt;&gt;")+COUNTIFS('ESG'!$C$9:$C$108,E31,'ESG'!$H$9:$H$108,"Yes"))&gt;0,"Resolve critical E&amp;S / taxonomy issue",IF(AH31&lt;&gt;"Current",AH31,IF(Z31&lt;&gt;"Pass","Review individual tests",IF(U31="Criteria required","Sourced criteria / interpretation required",IF(AA31&lt;&gt;"Valid",AA31,IF(T31&lt;&gt;"Approved","Approval required",I31)))))))</x:f>
        <x:v>Review individual tests</x:v>
      </x:c>
      <x:c r="AG31" s="9" t="str">
        <x:f>IF(C31="","",IFERROR(INDEX('Taxonomy Rules'!$L$9:$L$20,MATCH(H31&amp;"::"&amp;G31,'Taxonomy Rules'!$C$9:$C$20,0)),"Unimplemented activity"))</x:f>
        <x:v>Unimplemented activity</x:v>
      </x:c>
      <x:c r="AH31" s="9" t="str">
        <x:f>IF(C31="","",IF(COUNTIF($C$9:$C$108,C31)&lt;&gt;1,"Duplicate ID",IF(OR(COUNTIF(Facilities!$C$9:$C$108,D31)&lt;&gt;1,COUNTIF(Borrowers!$C$9:$C$108,E31)&lt;&gt;1),"Key review",IF(OR(P31="",Q31="",P31=Q31,NOT(ISNUMBER(R31)),NOT(ISNUMBER(S31)),R31&gt;Settings!$F$8,S31&lt;R31),"Review required",IF(S31&lt;Settings!$F$8,"Expired","Current")))))</x:f>
        <x:v>Current</x:v>
      </x:c>
    </x:row>
    <x:row r="32" ht="26" customHeight="1">
      <x:c r="A32" s="1"/>
      <x:c r="B32" s="1"/>
      <x:c r="C32" s="8" t="str">
        <x:v>TAX-F024</x:v>
      </x:c>
      <x:c r="D32" s="8" t="str">
        <x:v>F024</x:v>
      </x:c>
      <x:c r="E32" s="9" t="str">
        <x:f>IF(C32="","",IFERROR(INDEX('Facilities'!$D$9:$D$108,MATCH(D32,'Facilities'!$C$9:$C$108,0)),""))</x:f>
        <x:v>B012</x:v>
      </x:c>
      <x:c r="F32" s="9" t="str">
        <x:f>IF(C32="","",IFERROR(INDEX('Borrowers'!$E$9:$E$108,MATCH(E32,'Borrowers'!$C$9:$C$108,0)),""))</x:f>
        <x:v>Jordan</x:v>
      </x:c>
      <x:c r="G32" s="9" t="str">
        <x:f>IF(C32="","",IFERROR(INDEX('Facilities'!$W$9:$W$108,MATCH(D32,'Facilities'!$C$9:$C$108,0)),""))</x:f>
        <x:v>Other</x:v>
      </x:c>
      <x:c r="H32" s="9" t="str">
        <x:f>IF(C32="","",Settings!$F$11)</x:f>
        <x:v>Internal criteria</x:v>
      </x:c>
      <x:c r="I32" s="3" t="str">
        <x:f>IF(C32="","",IF(H32="Jordan 2026",IF(F32="Jordan","Jordan taxonomy","Reference benchmark"),"Internal policy"))</x:f>
        <x:v>Internal policy</x:v>
      </x:c>
      <x:c r="J32" s="8" t="n">
        <x:v>2025</x:v>
      </x:c>
      <x:c r="K32" s="35" t="str"/>
      <x:c r="L32" s="35" t="str"/>
      <x:c r="M32" s="8" t="str">
        <x:v>Unspecified</x:v>
      </x:c>
      <x:c r="N32" s="16" t="n">
        <x:v>0</x:v>
      </x:c>
      <x:c r="O32" s="8" t="str"/>
      <x:c r="P32" s="8" t="str">
        <x:v>Taxonomy analyst 3</x:v>
      </x:c>
      <x:c r="Q32" s="8" t="str">
        <x:v>Taxonomy reviewer 2</x:v>
      </x:c>
      <x:c r="R32" s="10" t="n">
        <x:v>46266</x:v>
      </x:c>
      <x:c r="S32" s="10" t="n">
        <x:v>46631</x:v>
      </x:c>
      <x:c r="T32" s="8" t="str">
        <x:v>Pending</x:v>
      </x:c>
      <x:c r="U32" s="9" t="str">
        <x:f>IF(C32="","",IF(V32=0,"Criteria required",IF(OR(NOT(ISNUMBER(J32)),J32&lt;1900,J32&gt;YEAR(Settings!$F$8),IFERROR(MOD(J32,1),1)&lt;&gt;0,NOT(ISNUMBER(K32)),K32&lt;0,AND(H32="Internal criteria",OR(G32="Cement",G32="Building renovation"),OR(NOT(ISNUMBER(IFERROR(INDEX('Taxonomy Rules'!$G$9:$G$20,MATCH(H32&amp;"::"&amp;G32,'Taxonomy Rules'!$C$9:$C$20,0)),0))),IFERROR(INDEX('Taxonomy Rules'!$G$9:$G$20,MATCH(H32&amp;"::"&amp;G32,'Taxonomy Rules'!$C$9:$C$20,0)),0)&lt;=0,AND(G32="Building renovation",IFERROR(INDEX('Taxonomy Rules'!$G$9:$G$20,MATCH(H32&amp;"::"&amp;G32,'Taxonomy Rules'!$C$9:$C$20,0)),0)&gt;1)))),"Criteria required",IF(G32="Solar PV",IF(M32&lt;&gt;"Eligible activity","Criteria required",IF(K32=1,"Pass","Fail")),IF(G32="Cement",IF(M32="Amber",IF(H32="Jordan 2026",IF(YEAR(Settings!$F$8)&lt;2040,"Amber","Fail"),"Criteria required"),IF(M32&lt;&gt;"Green","Criteria required",IF(H32="Jordan 2026",IF(IFERROR(INDEX('Taxonomy Rules'!$P$9:$P$14,MATCH(J32,'Taxonomy Rules'!$O$9:$O$14,0)),0)=0,"Criteria required",IF(K32&lt;=IFERROR(INDEX('Taxonomy Rules'!$P$9:$P$14,MATCH(J32,'Taxonomy Rules'!$O$9:$O$14,0)),0),"Pass","Fail")),IF(K32&lt;=IFERROR(INDEX('Taxonomy Rules'!$G$9:$G$20,MATCH(H32&amp;"::"&amp;G32,'Taxonomy Rules'!$C$9:$C$20,0)),0),"Pass","Fail")))),IF(G32="Building renovation",IF(M32="Whole building",IF(K32=1,"Pass","Fail"),IF(M32&lt;&gt;"Improvement","Criteria required",IF(OR(K32&gt;1,NOT(ISNUMBER(L32)),L32&lt;0,L32&gt;1),"Criteria required",IF(MAX(K32,L32)&lt;IFERROR(INDEX('Taxonomy Rules'!$G$9:$G$20,MATCH(H32&amp;"::"&amp;G32,'Taxonomy Rules'!$C$9:$C$20,0)),0),"Fail",IF(H32="Jordan 2026",IF(YEAR(Settings!$F$8)&lt;2035,"Amber",IF(YEAR(Settings!$F$8)=2035,"Criteria required","Fail")),"Pass"))))),IF(G32="Road freight",IF(M32&lt;&gt;"Zero emissions","Criteria required",IF(AND(K32=0,ISNUMBER(L32),L32=0),"Pass","Fail")),IF(G32="New building",IF(NOT(OR(M32="Green",M32="Amber")),"Criteria required",IF(K32&lt;&gt;1,"Fail",IF(M32="Amber",IF(H32="Jordan 2026",IF(YEAR(Settings!$F$8)&lt;2030,"Amber",IF(YEAR(Settings!$F$8)=2030,"Criteria required","Fail")),"Criteria required"),"Pass"))),IF(G32="Building equipment",IF(M32&lt;&gt;"Equipment","Criteria required",IF(K32=1,"Pass","Fail")),"Criteria required")))))))))</x:f>
        <x:v>Criteria required</x:v>
      </x:c>
      <x:c r="V32" s="9" t="n">
        <x:f>IF(C32="","",IFERROR(INDEX('Taxonomy Rules'!$J$9:$J$20,MATCH(H32&amp;"::"&amp;G32,'Taxonomy Rules'!$C$9:$C$20,0)),0))</x:f>
        <x:v>0</x:v>
      </x:c>
      <x:c r="W32" s="9" t="n">
        <x:f>IF(C32="","",COUNTIFS('Taxonomy Tests'!$D$9:$D$2008,C32,'Taxonomy Tests'!$Q$9:$Q$2008,"Complete"))</x:f>
        <x:v>0</x:v>
      </x:c>
      <x:c r="X32" s="9" t="n">
        <x:f>IF(C32="","",COUNTIFS('Taxonomy Tests'!$D$9:$D$2008,C32,'Taxonomy Tests'!$P$9:$P$2008,"Fail"))</x:f>
        <x:v>0</x:v>
      </x:c>
      <x:c r="Y32" s="9" t="n">
        <x:f>IF(C32="","",MAX(0,V32-W32)+COUNTIFS('Taxonomy Tests'!$D$9:$D$2008,C32,'Taxonomy Tests'!$R$9:$R$2008,"Duplicate test")+COUNTIFS('Taxonomy Tests'!$D$9:$D$2008,C32,'Taxonomy Tests'!$R$9:$R$2008,"Unexpected test"))</x:f>
        <x:v>0</x:v>
      </x:c>
      <x:c r="Z32" s="9" t="str">
        <x:f>IF(C32="","",IF(X32&gt;0,"Fail",IF(AND(V32&gt;0,W32=V32,Y32=0,COUNTIF('Taxonomy Tests'!$D$9:$D$2008,C32)=V32),"Pass","Pending")))</x:f>
        <x:v>Pending</x:v>
      </x:c>
      <x:c r="AA32" s="9" t="str">
        <x:f>IF(C32="","",IF(COUNTIF(Facilities!$C$9:$C$108,D32)&lt;&gt;1,"Facility key",IF(OR(NOT(ISNUMBER(N32)),N32&lt;0),"Amount required",IF(SUMIF($D$9:$D$108,D32,$N$9:$N$108)&gt;IFERROR(INDEX('Facilities'!$AA$9:$AA$108,MATCH(D32,'Facilities'!$C$9:$C$108,0)),"")+0.000001,"Overallocated",IF(N32=0,"No allocation",IF(O32="","Evidence required","Valid"))))))</x:f>
        <x:v>No allocation</x:v>
      </x:c>
      <x:c r="AB32" s="3" t="str">
        <x:f>IF(C32="","",IF(OR(U32="Fail",Z32="Fail"),IF(H32="Jordan 2026","Red / not aligned","Not eligible"),IF(OR(U32="Criteria required",V32=0),"Criteria required",IF(Z32&lt;&gt;"Pass","Pending",IF(U32="Amber","Amber",IF(H32="Jordan 2026","Green","Eligible (internal)"))))))</x:f>
        <x:v>Criteria required</x:v>
      </x:c>
      <x:c r="AC32" s="9" t="str">
        <x:f>IF(C32="","",IF(T32="Rejected","Rejected",IF(OR(AB32="Red / not aligned",AB32="Not eligible"),"Not eligible",IF(OR(AH32&lt;&gt;"Current",T32&lt;&gt;"Approved",Z32&lt;&gt;"Pass",(COUNTIFS('Actions'!$D$9:$D$308,E32,'Actions'!$E$9:$E$308,"E&amp;S",'Actions'!$F$9:$F$308,"Critical",'Actions'!$P$9:$P$308,"&lt;&gt;Closed",'Actions'!$C$9:$C$308,"&lt;&gt;")+COUNTIFS('Actions'!$D$9:$D$308,E32,'Actions'!$E$9:$E$308,"Taxonomy",'Actions'!$F$9:$F$308,"Critical",'Actions'!$P$9:$P$308,"&lt;&gt;Closed",'Actions'!$C$9:$C$308,"&lt;&gt;")+COUNTIFS('ESG'!$C$9:$C$108,E32,'ESG'!$H$9:$H$108,"Yes"))&gt;0,AND(AB32&lt;&gt;"Green",AB32&lt;&gt;"Amber",AB32&lt;&gt;"Eligible (internal)")),"Pending",IF(AA32="No allocation","Activity only",IF(AA32&lt;&gt;"Valid","Pending","Approved"))))))</x:f>
        <x:v>Pending</x:v>
      </x:c>
      <x:c r="AD32" s="21" t="n">
        <x:f>IF(C32="","",IF(AND(AC32="Approved",OR(AB32="Green",AB32="Eligible (internal)")),N32,0))</x:f>
        <x:v>0</x:v>
      </x:c>
      <x:c r="AE32" s="21" t="n">
        <x:f>IF(C32="","",IF(AND(AC32="Approved",AB32="Amber"),N32,0))</x:f>
        <x:v>0</x:v>
      </x:c>
      <x:c r="AF32" s="9" t="str">
        <x:f>IF(C32="","",IF((COUNTIFS('Actions'!$D$9:$D$308,E32,'Actions'!$E$9:$E$308,"E&amp;S",'Actions'!$F$9:$F$308,"Critical",'Actions'!$P$9:$P$308,"&lt;&gt;Closed",'Actions'!$C$9:$C$308,"&lt;&gt;")+COUNTIFS('Actions'!$D$9:$D$308,E32,'Actions'!$E$9:$E$308,"Taxonomy",'Actions'!$F$9:$F$308,"Critical",'Actions'!$P$9:$P$308,"&lt;&gt;Closed",'Actions'!$C$9:$C$308,"&lt;&gt;")+COUNTIFS('ESG'!$C$9:$C$108,E32,'ESG'!$H$9:$H$108,"Yes"))&gt;0,"Resolve critical E&amp;S / taxonomy issue",IF(AH32&lt;&gt;"Current",AH32,IF(Z32&lt;&gt;"Pass","Review individual tests",IF(U32="Criteria required","Sourced criteria / interpretation required",IF(AA32&lt;&gt;"Valid",AA32,IF(T32&lt;&gt;"Approved","Approval required",I32)))))))</x:f>
        <x:v>Review individual tests</x:v>
      </x:c>
      <x:c r="AG32" s="9" t="str">
        <x:f>IF(C32="","",IFERROR(INDEX('Taxonomy Rules'!$L$9:$L$20,MATCH(H32&amp;"::"&amp;G32,'Taxonomy Rules'!$C$9:$C$20,0)),"Unimplemented activity"))</x:f>
        <x:v>Unimplemented activity</x:v>
      </x:c>
      <x:c r="AH32" s="9" t="str">
        <x:f>IF(C32="","",IF(COUNTIF($C$9:$C$108,C32)&lt;&gt;1,"Duplicate ID",IF(OR(COUNTIF(Facilities!$C$9:$C$108,D32)&lt;&gt;1,COUNTIF(Borrowers!$C$9:$C$108,E32)&lt;&gt;1),"Key review",IF(OR(P32="",Q32="",P32=Q32,NOT(ISNUMBER(R32)),NOT(ISNUMBER(S32)),R32&gt;Settings!$F$8,S32&lt;R32),"Review required",IF(S32&lt;Settings!$F$8,"Expired","Current")))))</x:f>
        <x:v>Current</x:v>
      </x:c>
    </x:row>
    <x:row r="33" ht="26" customHeight="1">
      <x:c r="A33" s="1"/>
      <x:c r="B33" s="1"/>
      <x:c r="C33" s="8" t="str">
        <x:v>TAX-F025</x:v>
      </x:c>
      <x:c r="D33" s="8" t="str">
        <x:v>F025</x:v>
      </x:c>
      <x:c r="E33" s="9" t="str">
        <x:f>IF(C33="","",IFERROR(INDEX('Facilities'!$D$9:$D$108,MATCH(D33,'Facilities'!$C$9:$C$108,0)),""))</x:f>
        <x:v>B013</x:v>
      </x:c>
      <x:c r="F33" s="9" t="str">
        <x:f>IF(C33="","",IFERROR(INDEX('Borrowers'!$E$9:$E$108,MATCH(E33,'Borrowers'!$C$9:$C$108,0)),""))</x:f>
        <x:v>UAE</x:v>
      </x:c>
      <x:c r="G33" s="9" t="str">
        <x:f>IF(C33="","",IFERROR(INDEX('Facilities'!$W$9:$W$108,MATCH(D33,'Facilities'!$C$9:$C$108,0)),""))</x:f>
        <x:v>Cement</x:v>
      </x:c>
      <x:c r="H33" s="9" t="str">
        <x:f>IF(C33="","",Settings!$F$11)</x:f>
        <x:v>Internal criteria</x:v>
      </x:c>
      <x:c r="I33" s="3" t="str">
        <x:f>IF(C33="","",IF(H33="Jordan 2026",IF(F33="Jordan","Jordan taxonomy","Reference benchmark"),"Internal policy"))</x:f>
        <x:v>Internal policy</x:v>
      </x:c>
      <x:c r="J33" s="8" t="n">
        <x:v>2025</x:v>
      </x:c>
      <x:c r="K33" s="35" t="n">
        <x:v>0.51</x:v>
      </x:c>
      <x:c r="L33" s="35" t="str"/>
      <x:c r="M33" s="8" t="str">
        <x:v>Green</x:v>
      </x:c>
      <x:c r="N33" s="16" t="n">
        <x:v>0</x:v>
      </x:c>
      <x:c r="O33" s="8" t="str"/>
      <x:c r="P33" s="8" t="str">
        <x:v>Taxonomy analyst 1</x:v>
      </x:c>
      <x:c r="Q33" s="8" t="str">
        <x:v>Taxonomy reviewer 1</x:v>
      </x:c>
      <x:c r="R33" s="10" t="n">
        <x:v>46266</x:v>
      </x:c>
      <x:c r="S33" s="10" t="n">
        <x:v>46631</x:v>
      </x:c>
      <x:c r="T33" s="8" t="str">
        <x:v>Approved</x:v>
      </x:c>
      <x:c r="U33" s="9" t="str">
        <x:f>IF(C33="","",IF(V33=0,"Criteria required",IF(OR(NOT(ISNUMBER(J33)),J33&lt;1900,J33&gt;YEAR(Settings!$F$8),IFERROR(MOD(J33,1),1)&lt;&gt;0,NOT(ISNUMBER(K33)),K33&lt;0,AND(H33="Internal criteria",OR(G33="Cement",G33="Building renovation"),OR(NOT(ISNUMBER(IFERROR(INDEX('Taxonomy Rules'!$G$9:$G$20,MATCH(H33&amp;"::"&amp;G33,'Taxonomy Rules'!$C$9:$C$20,0)),0))),IFERROR(INDEX('Taxonomy Rules'!$G$9:$G$20,MATCH(H33&amp;"::"&amp;G33,'Taxonomy Rules'!$C$9:$C$20,0)),0)&lt;=0,AND(G33="Building renovation",IFERROR(INDEX('Taxonomy Rules'!$G$9:$G$20,MATCH(H33&amp;"::"&amp;G33,'Taxonomy Rules'!$C$9:$C$20,0)),0)&gt;1)))),"Criteria required",IF(G33="Solar PV",IF(M33&lt;&gt;"Eligible activity","Criteria required",IF(K33=1,"Pass","Fail")),IF(G33="Cement",IF(M33="Amber",IF(H33="Jordan 2026",IF(YEAR(Settings!$F$8)&lt;2040,"Amber","Fail"),"Criteria required"),IF(M33&lt;&gt;"Green","Criteria required",IF(H33="Jordan 2026",IF(IFERROR(INDEX('Taxonomy Rules'!$P$9:$P$14,MATCH(J33,'Taxonomy Rules'!$O$9:$O$14,0)),0)=0,"Criteria required",IF(K33&lt;=IFERROR(INDEX('Taxonomy Rules'!$P$9:$P$14,MATCH(J33,'Taxonomy Rules'!$O$9:$O$14,0)),0),"Pass","Fail")),IF(K33&lt;=IFERROR(INDEX('Taxonomy Rules'!$G$9:$G$20,MATCH(H33&amp;"::"&amp;G33,'Taxonomy Rules'!$C$9:$C$20,0)),0),"Pass","Fail")))),IF(G33="Building renovation",IF(M33="Whole building",IF(K33=1,"Pass","Fail"),IF(M33&lt;&gt;"Improvement","Criteria required",IF(OR(K33&gt;1,NOT(ISNUMBER(L33)),L33&lt;0,L33&gt;1),"Criteria required",IF(MAX(K33,L33)&lt;IFERROR(INDEX('Taxonomy Rules'!$G$9:$G$20,MATCH(H33&amp;"::"&amp;G33,'Taxonomy Rules'!$C$9:$C$20,0)),0),"Fail",IF(H33="Jordan 2026",IF(YEAR(Settings!$F$8)&lt;2035,"Amber",IF(YEAR(Settings!$F$8)=2035,"Criteria required","Fail")),"Pass"))))),IF(G33="Road freight",IF(M33&lt;&gt;"Zero emissions","Criteria required",IF(AND(K33=0,ISNUMBER(L33),L33=0),"Pass","Fail")),IF(G33="New building",IF(NOT(OR(M33="Green",M33="Amber")),"Criteria required",IF(K33&lt;&gt;1,"Fail",IF(M33="Amber",IF(H33="Jordan 2026",IF(YEAR(Settings!$F$8)&lt;2030,"Amber",IF(YEAR(Settings!$F$8)=2030,"Criteria required","Fail")),"Criteria required"),"Pass"))),IF(G33="Building equipment",IF(M33&lt;&gt;"Equipment","Criteria required",IF(K33=1,"Pass","Fail")),"Criteria required")))))))))</x:f>
        <x:v>Pass</x:v>
      </x:c>
      <x:c r="V33" s="9" t="n">
        <x:f>IF(C33="","",IFERROR(INDEX('Taxonomy Rules'!$J$9:$J$20,MATCH(H33&amp;"::"&amp;G33,'Taxonomy Rules'!$C$9:$C$20,0)),0))</x:f>
        <x:v>13</x:v>
      </x:c>
      <x:c r="W33" s="9" t="n">
        <x:f>IF(C33="","",COUNTIFS('Taxonomy Tests'!$D$9:$D$2008,C33,'Taxonomy Tests'!$Q$9:$Q$2008,"Complete"))</x:f>
        <x:v>13</x:v>
      </x:c>
      <x:c r="X33" s="9" t="n">
        <x:f>IF(C33="","",COUNTIFS('Taxonomy Tests'!$D$9:$D$2008,C33,'Taxonomy Tests'!$P$9:$P$2008,"Fail"))</x:f>
        <x:v>0</x:v>
      </x:c>
      <x:c r="Y33" s="9" t="n">
        <x:f>IF(C33="","",MAX(0,V33-W33)+COUNTIFS('Taxonomy Tests'!$D$9:$D$2008,C33,'Taxonomy Tests'!$R$9:$R$2008,"Duplicate test")+COUNTIFS('Taxonomy Tests'!$D$9:$D$2008,C33,'Taxonomy Tests'!$R$9:$R$2008,"Unexpected test"))</x:f>
        <x:v>0</x:v>
      </x:c>
      <x:c r="Z33" s="9" t="str">
        <x:f>IF(C33="","",IF(X33&gt;0,"Fail",IF(AND(V33&gt;0,W33=V33,Y33=0,COUNTIF('Taxonomy Tests'!$D$9:$D$2008,C33)=V33),"Pass","Pending")))</x:f>
        <x:v>Pass</x:v>
      </x:c>
      <x:c r="AA33" s="9" t="str">
        <x:f>IF(C33="","",IF(COUNTIF(Facilities!$C$9:$C$108,D33)&lt;&gt;1,"Facility key",IF(OR(NOT(ISNUMBER(N33)),N33&lt;0),"Amount required",IF(SUMIF($D$9:$D$108,D33,$N$9:$N$108)&gt;IFERROR(INDEX('Facilities'!$AA$9:$AA$108,MATCH(D33,'Facilities'!$C$9:$C$108,0)),"")+0.000001,"Overallocated",IF(N33=0,"No allocation",IF(O33="","Evidence required","Valid"))))))</x:f>
        <x:v>No allocation</x:v>
      </x:c>
      <x:c r="AB33" s="3" t="str">
        <x:f>IF(C33="","",IF(OR(U33="Fail",Z33="Fail"),IF(H33="Jordan 2026","Red / not aligned","Not eligible"),IF(OR(U33="Criteria required",V33=0),"Criteria required",IF(Z33&lt;&gt;"Pass","Pending",IF(U33="Amber","Amber",IF(H33="Jordan 2026","Green","Eligible (internal)"))))))</x:f>
        <x:v>Eligible (internal)</x:v>
      </x:c>
      <x:c r="AC33" s="9" t="str">
        <x:f>IF(C33="","",IF(T33="Rejected","Rejected",IF(OR(AB33="Red / not aligned",AB33="Not eligible"),"Not eligible",IF(OR(AH33&lt;&gt;"Current",T33&lt;&gt;"Approved",Z33&lt;&gt;"Pass",(COUNTIFS('Actions'!$D$9:$D$308,E33,'Actions'!$E$9:$E$308,"E&amp;S",'Actions'!$F$9:$F$308,"Critical",'Actions'!$P$9:$P$308,"&lt;&gt;Closed",'Actions'!$C$9:$C$308,"&lt;&gt;")+COUNTIFS('Actions'!$D$9:$D$308,E33,'Actions'!$E$9:$E$308,"Taxonomy",'Actions'!$F$9:$F$308,"Critical",'Actions'!$P$9:$P$308,"&lt;&gt;Closed",'Actions'!$C$9:$C$308,"&lt;&gt;")+COUNTIFS('ESG'!$C$9:$C$108,E33,'ESG'!$H$9:$H$108,"Yes"))&gt;0,AND(AB33&lt;&gt;"Green",AB33&lt;&gt;"Amber",AB33&lt;&gt;"Eligible (internal)")),"Pending",IF(AA33="No allocation","Activity only",IF(AA33&lt;&gt;"Valid","Pending","Approved"))))))</x:f>
        <x:v>Activity only</x:v>
      </x:c>
      <x:c r="AD33" s="21" t="n">
        <x:f>IF(C33="","",IF(AND(AC33="Approved",OR(AB33="Green",AB33="Eligible (internal)")),N33,0))</x:f>
        <x:v>0</x:v>
      </x:c>
      <x:c r="AE33" s="21" t="n">
        <x:f>IF(C33="","",IF(AND(AC33="Approved",AB33="Amber"),N33,0))</x:f>
        <x:v>0</x:v>
      </x:c>
      <x:c r="AF33" s="9" t="str">
        <x:f>IF(C33="","",IF((COUNTIFS('Actions'!$D$9:$D$308,E33,'Actions'!$E$9:$E$308,"E&amp;S",'Actions'!$F$9:$F$308,"Critical",'Actions'!$P$9:$P$308,"&lt;&gt;Closed",'Actions'!$C$9:$C$308,"&lt;&gt;")+COUNTIFS('Actions'!$D$9:$D$308,E33,'Actions'!$E$9:$E$308,"Taxonomy",'Actions'!$F$9:$F$308,"Critical",'Actions'!$P$9:$P$308,"&lt;&gt;Closed",'Actions'!$C$9:$C$308,"&lt;&gt;")+COUNTIFS('ESG'!$C$9:$C$108,E33,'ESG'!$H$9:$H$108,"Yes"))&gt;0,"Resolve critical E&amp;S / taxonomy issue",IF(AH33&lt;&gt;"Current",AH33,IF(Z33&lt;&gt;"Pass","Review individual tests",IF(U33="Criteria required","Sourced criteria / interpretation required",IF(AA33&lt;&gt;"Valid",AA33,IF(T33&lt;&gt;"Approved","Approval required",I33)))))))</x:f>
        <x:v>No allocation</x:v>
      </x:c>
      <x:c r="AG33" s="9" t="str">
        <x:f>IF(C33="","",IFERROR(INDEX('Taxonomy Rules'!$L$9:$L$20,MATCH(H33&amp;"::"&amp;G33,'Taxonomy Rules'!$C$9:$C$20,0)),"Unimplemented activity"))</x:f>
        <x:v>S10 pp49–51</x:v>
      </x:c>
      <x:c r="AH33" s="9" t="str">
        <x:f>IF(C33="","",IF(COUNTIF($C$9:$C$108,C33)&lt;&gt;1,"Duplicate ID",IF(OR(COUNTIF(Facilities!$C$9:$C$108,D33)&lt;&gt;1,COUNTIF(Borrowers!$C$9:$C$108,E33)&lt;&gt;1),"Key review",IF(OR(P33="",Q33="",P33=Q33,NOT(ISNUMBER(R33)),NOT(ISNUMBER(S33)),R33&gt;Settings!$F$8,S33&lt;R33),"Review required",IF(S33&lt;Settings!$F$8,"Expired","Current")))))</x:f>
        <x:v>Current</x:v>
      </x:c>
    </x:row>
    <x:row r="34" ht="26" customHeight="1">
      <x:c r="A34" s="1"/>
      <x:c r="B34" s="1"/>
      <x:c r="C34" s="8" t="str">
        <x:v>TAX-F026</x:v>
      </x:c>
      <x:c r="D34" s="8" t="str">
        <x:v>F026</x:v>
      </x:c>
      <x:c r="E34" s="9" t="str">
        <x:f>IF(C34="","",IFERROR(INDEX('Facilities'!$D$9:$D$108,MATCH(D34,'Facilities'!$C$9:$C$108,0)),""))</x:f>
        <x:v>B014</x:v>
      </x:c>
      <x:c r="F34" s="9" t="str">
        <x:f>IF(C34="","",IFERROR(INDEX('Borrowers'!$E$9:$E$108,MATCH(E34,'Borrowers'!$C$9:$C$108,0)),""))</x:f>
        <x:v>UAE</x:v>
      </x:c>
      <x:c r="G34" s="9" t="str">
        <x:f>IF(C34="","",IFERROR(INDEX('Facilities'!$W$9:$W$108,MATCH(D34,'Facilities'!$C$9:$C$108,0)),""))</x:f>
        <x:v>Solar PV</x:v>
      </x:c>
      <x:c r="H34" s="9" t="str">
        <x:f>IF(C34="","",Settings!$F$11)</x:f>
        <x:v>Internal criteria</x:v>
      </x:c>
      <x:c r="I34" s="3" t="str">
        <x:f>IF(C34="","",IF(H34="Jordan 2026",IF(F34="Jordan","Jordan taxonomy","Reference benchmark"),"Internal policy"))</x:f>
        <x:v>Internal policy</x:v>
      </x:c>
      <x:c r="J34" s="8" t="n">
        <x:v>2025</x:v>
      </x:c>
      <x:c r="K34" s="35" t="n">
        <x:v>1</x:v>
      </x:c>
      <x:c r="L34" s="35" t="str"/>
      <x:c r="M34" s="8" t="str">
        <x:v>Eligible activity</x:v>
      </x:c>
      <x:c r="N34" s="16" t="n">
        <x:v>0</x:v>
      </x:c>
      <x:c r="O34" s="8" t="str"/>
      <x:c r="P34" s="8" t="str">
        <x:v>Taxonomy analyst 2</x:v>
      </x:c>
      <x:c r="Q34" s="8" t="str">
        <x:v>Taxonomy reviewer 2</x:v>
      </x:c>
      <x:c r="R34" s="10" t="n">
        <x:v>46266</x:v>
      </x:c>
      <x:c r="S34" s="10" t="n">
        <x:v>46631</x:v>
      </x:c>
      <x:c r="T34" s="8" t="str">
        <x:v>Approved</x:v>
      </x:c>
      <x:c r="U34" s="9" t="str">
        <x:f>IF(C34="","",IF(V34=0,"Criteria required",IF(OR(NOT(ISNUMBER(J34)),J34&lt;1900,J34&gt;YEAR(Settings!$F$8),IFERROR(MOD(J34,1),1)&lt;&gt;0,NOT(ISNUMBER(K34)),K34&lt;0,AND(H34="Internal criteria",OR(G34="Cement",G34="Building renovation"),OR(NOT(ISNUMBER(IFERROR(INDEX('Taxonomy Rules'!$G$9:$G$20,MATCH(H34&amp;"::"&amp;G34,'Taxonomy Rules'!$C$9:$C$20,0)),0))),IFERROR(INDEX('Taxonomy Rules'!$G$9:$G$20,MATCH(H34&amp;"::"&amp;G34,'Taxonomy Rules'!$C$9:$C$20,0)),0)&lt;=0,AND(G34="Building renovation",IFERROR(INDEX('Taxonomy Rules'!$G$9:$G$20,MATCH(H34&amp;"::"&amp;G34,'Taxonomy Rules'!$C$9:$C$20,0)),0)&gt;1)))),"Criteria required",IF(G34="Solar PV",IF(M34&lt;&gt;"Eligible activity","Criteria required",IF(K34=1,"Pass","Fail")),IF(G34="Cement",IF(M34="Amber",IF(H34="Jordan 2026",IF(YEAR(Settings!$F$8)&lt;2040,"Amber","Fail"),"Criteria required"),IF(M34&lt;&gt;"Green","Criteria required",IF(H34="Jordan 2026",IF(IFERROR(INDEX('Taxonomy Rules'!$P$9:$P$14,MATCH(J34,'Taxonomy Rules'!$O$9:$O$14,0)),0)=0,"Criteria required",IF(K34&lt;=IFERROR(INDEX('Taxonomy Rules'!$P$9:$P$14,MATCH(J34,'Taxonomy Rules'!$O$9:$O$14,0)),0),"Pass","Fail")),IF(K34&lt;=IFERROR(INDEX('Taxonomy Rules'!$G$9:$G$20,MATCH(H34&amp;"::"&amp;G34,'Taxonomy Rules'!$C$9:$C$20,0)),0),"Pass","Fail")))),IF(G34="Building renovation",IF(M34="Whole building",IF(K34=1,"Pass","Fail"),IF(M34&lt;&gt;"Improvement","Criteria required",IF(OR(K34&gt;1,NOT(ISNUMBER(L34)),L34&lt;0,L34&gt;1),"Criteria required",IF(MAX(K34,L34)&lt;IFERROR(INDEX('Taxonomy Rules'!$G$9:$G$20,MATCH(H34&amp;"::"&amp;G34,'Taxonomy Rules'!$C$9:$C$20,0)),0),"Fail",IF(H34="Jordan 2026",IF(YEAR(Settings!$F$8)&lt;2035,"Amber",IF(YEAR(Settings!$F$8)=2035,"Criteria required","Fail")),"Pass"))))),IF(G34="Road freight",IF(M34&lt;&gt;"Zero emissions","Criteria required",IF(AND(K34=0,ISNUMBER(L34),L34=0),"Pass","Fail")),IF(G34="New building",IF(NOT(OR(M34="Green",M34="Amber")),"Criteria required",IF(K34&lt;&gt;1,"Fail",IF(M34="Amber",IF(H34="Jordan 2026",IF(YEAR(Settings!$F$8)&lt;2030,"Amber",IF(YEAR(Settings!$F$8)=2030,"Criteria required","Fail")),"Criteria required"),"Pass"))),IF(G34="Building equipment",IF(M34&lt;&gt;"Equipment","Criteria required",IF(K34=1,"Pass","Fail")),"Criteria required")))))))))</x:f>
        <x:v>Pass</x:v>
      </x:c>
      <x:c r="V34" s="9" t="n">
        <x:f>IF(C34="","",IFERROR(INDEX('Taxonomy Rules'!$J$9:$J$20,MATCH(H34&amp;"::"&amp;G34,'Taxonomy Rules'!$C$9:$C$20,0)),0))</x:f>
        <x:v>12</x:v>
      </x:c>
      <x:c r="W34" s="9" t="n">
        <x:f>IF(C34="","",COUNTIFS('Taxonomy Tests'!$D$9:$D$2008,C34,'Taxonomy Tests'!$Q$9:$Q$2008,"Complete"))</x:f>
        <x:v>12</x:v>
      </x:c>
      <x:c r="X34" s="9" t="n">
        <x:f>IF(C34="","",COUNTIFS('Taxonomy Tests'!$D$9:$D$2008,C34,'Taxonomy Tests'!$P$9:$P$2008,"Fail"))</x:f>
        <x:v>0</x:v>
      </x:c>
      <x:c r="Y34" s="9" t="n">
        <x:f>IF(C34="","",MAX(0,V34-W34)+COUNTIFS('Taxonomy Tests'!$D$9:$D$2008,C34,'Taxonomy Tests'!$R$9:$R$2008,"Duplicate test")+COUNTIFS('Taxonomy Tests'!$D$9:$D$2008,C34,'Taxonomy Tests'!$R$9:$R$2008,"Unexpected test"))</x:f>
        <x:v>0</x:v>
      </x:c>
      <x:c r="Z34" s="9" t="str">
        <x:f>IF(C34="","",IF(X34&gt;0,"Fail",IF(AND(V34&gt;0,W34=V34,Y34=0,COUNTIF('Taxonomy Tests'!$D$9:$D$2008,C34)=V34),"Pass","Pending")))</x:f>
        <x:v>Pass</x:v>
      </x:c>
      <x:c r="AA34" s="9" t="str">
        <x:f>IF(C34="","",IF(COUNTIF(Facilities!$C$9:$C$108,D34)&lt;&gt;1,"Facility key",IF(OR(NOT(ISNUMBER(N34)),N34&lt;0),"Amount required",IF(SUMIF($D$9:$D$108,D34,$N$9:$N$108)&gt;IFERROR(INDEX('Facilities'!$AA$9:$AA$108,MATCH(D34,'Facilities'!$C$9:$C$108,0)),"")+0.000001,"Overallocated",IF(N34=0,"No allocation",IF(O34="","Evidence required","Valid"))))))</x:f>
        <x:v>No allocation</x:v>
      </x:c>
      <x:c r="AB34" s="3" t="str">
        <x:f>IF(C34="","",IF(OR(U34="Fail",Z34="Fail"),IF(H34="Jordan 2026","Red / not aligned","Not eligible"),IF(OR(U34="Criteria required",V34=0),"Criteria required",IF(Z34&lt;&gt;"Pass","Pending",IF(U34="Amber","Amber",IF(H34="Jordan 2026","Green","Eligible (internal)"))))))</x:f>
        <x:v>Eligible (internal)</x:v>
      </x:c>
      <x:c r="AC34" s="9" t="str">
        <x:f>IF(C34="","",IF(T34="Rejected","Rejected",IF(OR(AB34="Red / not aligned",AB34="Not eligible"),"Not eligible",IF(OR(AH34&lt;&gt;"Current",T34&lt;&gt;"Approved",Z34&lt;&gt;"Pass",(COUNTIFS('Actions'!$D$9:$D$308,E34,'Actions'!$E$9:$E$308,"E&amp;S",'Actions'!$F$9:$F$308,"Critical",'Actions'!$P$9:$P$308,"&lt;&gt;Closed",'Actions'!$C$9:$C$308,"&lt;&gt;")+COUNTIFS('Actions'!$D$9:$D$308,E34,'Actions'!$E$9:$E$308,"Taxonomy",'Actions'!$F$9:$F$308,"Critical",'Actions'!$P$9:$P$308,"&lt;&gt;Closed",'Actions'!$C$9:$C$308,"&lt;&gt;")+COUNTIFS('ESG'!$C$9:$C$108,E34,'ESG'!$H$9:$H$108,"Yes"))&gt;0,AND(AB34&lt;&gt;"Green",AB34&lt;&gt;"Amber",AB34&lt;&gt;"Eligible (internal)")),"Pending",IF(AA34="No allocation","Activity only",IF(AA34&lt;&gt;"Valid","Pending","Approved"))))))</x:f>
        <x:v>Activity only</x:v>
      </x:c>
      <x:c r="AD34" s="21" t="n">
        <x:f>IF(C34="","",IF(AND(AC34="Approved",OR(AB34="Green",AB34="Eligible (internal)")),N34,0))</x:f>
        <x:v>0</x:v>
      </x:c>
      <x:c r="AE34" s="21" t="n">
        <x:f>IF(C34="","",IF(AND(AC34="Approved",AB34="Amber"),N34,0))</x:f>
        <x:v>0</x:v>
      </x:c>
      <x:c r="AF34" s="9" t="str">
        <x:f>IF(C34="","",IF((COUNTIFS('Actions'!$D$9:$D$308,E34,'Actions'!$E$9:$E$308,"E&amp;S",'Actions'!$F$9:$F$308,"Critical",'Actions'!$P$9:$P$308,"&lt;&gt;Closed",'Actions'!$C$9:$C$308,"&lt;&gt;")+COUNTIFS('Actions'!$D$9:$D$308,E34,'Actions'!$E$9:$E$308,"Taxonomy",'Actions'!$F$9:$F$308,"Critical",'Actions'!$P$9:$P$308,"&lt;&gt;Closed",'Actions'!$C$9:$C$308,"&lt;&gt;")+COUNTIFS('ESG'!$C$9:$C$108,E34,'ESG'!$H$9:$H$108,"Yes"))&gt;0,"Resolve critical E&amp;S / taxonomy issue",IF(AH34&lt;&gt;"Current",AH34,IF(Z34&lt;&gt;"Pass","Review individual tests",IF(U34="Criteria required","Sourced criteria / interpretation required",IF(AA34&lt;&gt;"Valid",AA34,IF(T34&lt;&gt;"Approved","Approval required",I34)))))))</x:f>
        <x:v>No allocation</x:v>
      </x:c>
      <x:c r="AG34" s="9" t="str">
        <x:f>IF(C34="","",IFERROR(INDEX('Taxonomy Rules'!$L$9:$L$20,MATCH(H34&amp;"::"&amp;G34,'Taxonomy Rules'!$C$9:$C$20,0)),"Unimplemented activity"))</x:f>
        <x:v>S10 p86</x:v>
      </x:c>
      <x:c r="AH34" s="9" t="str">
        <x:f>IF(C34="","",IF(COUNTIF($C$9:$C$108,C34)&lt;&gt;1,"Duplicate ID",IF(OR(COUNTIF(Facilities!$C$9:$C$108,D34)&lt;&gt;1,COUNTIF(Borrowers!$C$9:$C$108,E34)&lt;&gt;1),"Key review",IF(OR(P34="",Q34="",P34=Q34,NOT(ISNUMBER(R34)),NOT(ISNUMBER(S34)),R34&gt;Settings!$F$8,S34&lt;R34),"Review required",IF(S34&lt;Settings!$F$8,"Expired","Current")))))</x:f>
        <x:v>Current</x:v>
      </x:c>
    </x:row>
    <x:row r="35" ht="26" customHeight="1">
      <x:c r="A35" s="1"/>
      <x:c r="B35" s="1"/>
      <x:c r="C35" s="8" t="str">
        <x:v>TAX-F027</x:v>
      </x:c>
      <x:c r="D35" s="8" t="str">
        <x:v>F027</x:v>
      </x:c>
      <x:c r="E35" s="9" t="str">
        <x:f>IF(C35="","",IFERROR(INDEX('Facilities'!$D$9:$D$108,MATCH(D35,'Facilities'!$C$9:$C$108,0)),""))</x:f>
        <x:v>B015</x:v>
      </x:c>
      <x:c r="F35" s="9" t="str">
        <x:f>IF(C35="","",IFERROR(INDEX('Borrowers'!$E$9:$E$108,MATCH(E35,'Borrowers'!$C$9:$C$108,0)),""))</x:f>
        <x:v>UAE</x:v>
      </x:c>
      <x:c r="G35" s="9" t="str">
        <x:f>IF(C35="","",IFERROR(INDEX('Facilities'!$W$9:$W$108,MATCH(D35,'Facilities'!$C$9:$C$108,0)),""))</x:f>
        <x:v>Road freight</x:v>
      </x:c>
      <x:c r="H35" s="9" t="str">
        <x:f>IF(C35="","",Settings!$F$11)</x:f>
        <x:v>Internal criteria</x:v>
      </x:c>
      <x:c r="I35" s="3" t="str">
        <x:f>IF(C35="","",IF(H35="Jordan 2026",IF(F35="Jordan","Jordan taxonomy","Reference benchmark"),"Internal policy"))</x:f>
        <x:v>Internal policy</x:v>
      </x:c>
      <x:c r="J35" s="8" t="n">
        <x:v>2025</x:v>
      </x:c>
      <x:c r="K35" s="35" t="n">
        <x:v>0</x:v>
      </x:c>
      <x:c r="L35" s="35" t="n">
        <x:v>0</x:v>
      </x:c>
      <x:c r="M35" s="8" t="str">
        <x:v>Zero emissions</x:v>
      </x:c>
      <x:c r="N35" s="16" t="n">
        <x:v>0</x:v>
      </x:c>
      <x:c r="O35" s="8" t="str"/>
      <x:c r="P35" s="8" t="str">
        <x:v>Taxonomy analyst 3</x:v>
      </x:c>
      <x:c r="Q35" s="8" t="str">
        <x:v>Taxonomy reviewer 1</x:v>
      </x:c>
      <x:c r="R35" s="10" t="n">
        <x:v>46266</x:v>
      </x:c>
      <x:c r="S35" s="10" t="n">
        <x:v>46631</x:v>
      </x:c>
      <x:c r="T35" s="8" t="str">
        <x:v>Approved</x:v>
      </x:c>
      <x:c r="U35" s="9" t="str">
        <x:f>IF(C35="","",IF(V35=0,"Criteria required",IF(OR(NOT(ISNUMBER(J35)),J35&lt;1900,J35&gt;YEAR(Settings!$F$8),IFERROR(MOD(J35,1),1)&lt;&gt;0,NOT(ISNUMBER(K35)),K35&lt;0,AND(H35="Internal criteria",OR(G35="Cement",G35="Building renovation"),OR(NOT(ISNUMBER(IFERROR(INDEX('Taxonomy Rules'!$G$9:$G$20,MATCH(H35&amp;"::"&amp;G35,'Taxonomy Rules'!$C$9:$C$20,0)),0))),IFERROR(INDEX('Taxonomy Rules'!$G$9:$G$20,MATCH(H35&amp;"::"&amp;G35,'Taxonomy Rules'!$C$9:$C$20,0)),0)&lt;=0,AND(G35="Building renovation",IFERROR(INDEX('Taxonomy Rules'!$G$9:$G$20,MATCH(H35&amp;"::"&amp;G35,'Taxonomy Rules'!$C$9:$C$20,0)),0)&gt;1)))),"Criteria required",IF(G35="Solar PV",IF(M35&lt;&gt;"Eligible activity","Criteria required",IF(K35=1,"Pass","Fail")),IF(G35="Cement",IF(M35="Amber",IF(H35="Jordan 2026",IF(YEAR(Settings!$F$8)&lt;2040,"Amber","Fail"),"Criteria required"),IF(M35&lt;&gt;"Green","Criteria required",IF(H35="Jordan 2026",IF(IFERROR(INDEX('Taxonomy Rules'!$P$9:$P$14,MATCH(J35,'Taxonomy Rules'!$O$9:$O$14,0)),0)=0,"Criteria required",IF(K35&lt;=IFERROR(INDEX('Taxonomy Rules'!$P$9:$P$14,MATCH(J35,'Taxonomy Rules'!$O$9:$O$14,0)),0),"Pass","Fail")),IF(K35&lt;=IFERROR(INDEX('Taxonomy Rules'!$G$9:$G$20,MATCH(H35&amp;"::"&amp;G35,'Taxonomy Rules'!$C$9:$C$20,0)),0),"Pass","Fail")))),IF(G35="Building renovation",IF(M35="Whole building",IF(K35=1,"Pass","Fail"),IF(M35&lt;&gt;"Improvement","Criteria required",IF(OR(K35&gt;1,NOT(ISNUMBER(L35)),L35&lt;0,L35&gt;1),"Criteria required",IF(MAX(K35,L35)&lt;IFERROR(INDEX('Taxonomy Rules'!$G$9:$G$20,MATCH(H35&amp;"::"&amp;G35,'Taxonomy Rules'!$C$9:$C$20,0)),0),"Fail",IF(H35="Jordan 2026",IF(YEAR(Settings!$F$8)&lt;2035,"Amber",IF(YEAR(Settings!$F$8)=2035,"Criteria required","Fail")),"Pass"))))),IF(G35="Road freight",IF(M35&lt;&gt;"Zero emissions","Criteria required",IF(AND(K35=0,ISNUMBER(L35),L35=0),"Pass","Fail")),IF(G35="New building",IF(NOT(OR(M35="Green",M35="Amber")),"Criteria required",IF(K35&lt;&gt;1,"Fail",IF(M35="Amber",IF(H35="Jordan 2026",IF(YEAR(Settings!$F$8)&lt;2030,"Amber",IF(YEAR(Settings!$F$8)=2030,"Criteria required","Fail")),"Criteria required"),"Pass"))),IF(G35="Building equipment",IF(M35&lt;&gt;"Equipment","Criteria required",IF(K35=1,"Pass","Fail")),"Criteria required")))))))))</x:f>
        <x:v>Pass</x:v>
      </x:c>
      <x:c r="V35" s="9" t="n">
        <x:f>IF(C35="","",IFERROR(INDEX('Taxonomy Rules'!$J$9:$J$20,MATCH(H35&amp;"::"&amp;G35,'Taxonomy Rules'!$C$9:$C$20,0)),0))</x:f>
        <x:v>12</x:v>
      </x:c>
      <x:c r="W35" s="9" t="n">
        <x:f>IF(C35="","",COUNTIFS('Taxonomy Tests'!$D$9:$D$2008,C35,'Taxonomy Tests'!$Q$9:$Q$2008,"Complete"))</x:f>
        <x:v>12</x:v>
      </x:c>
      <x:c r="X35" s="9" t="n">
        <x:f>IF(C35="","",COUNTIFS('Taxonomy Tests'!$D$9:$D$2008,C35,'Taxonomy Tests'!$P$9:$P$2008,"Fail"))</x:f>
        <x:v>0</x:v>
      </x:c>
      <x:c r="Y35" s="9" t="n">
        <x:f>IF(C35="","",MAX(0,V35-W35)+COUNTIFS('Taxonomy Tests'!$D$9:$D$2008,C35,'Taxonomy Tests'!$R$9:$R$2008,"Duplicate test")+COUNTIFS('Taxonomy Tests'!$D$9:$D$2008,C35,'Taxonomy Tests'!$R$9:$R$2008,"Unexpected test"))</x:f>
        <x:v>0</x:v>
      </x:c>
      <x:c r="Z35" s="9" t="str">
        <x:f>IF(C35="","",IF(X35&gt;0,"Fail",IF(AND(V35&gt;0,W35=V35,Y35=0,COUNTIF('Taxonomy Tests'!$D$9:$D$2008,C35)=V35),"Pass","Pending")))</x:f>
        <x:v>Pass</x:v>
      </x:c>
      <x:c r="AA35" s="9" t="str">
        <x:f>IF(C35="","",IF(COUNTIF(Facilities!$C$9:$C$108,D35)&lt;&gt;1,"Facility key",IF(OR(NOT(ISNUMBER(N35)),N35&lt;0),"Amount required",IF(SUMIF($D$9:$D$108,D35,$N$9:$N$108)&gt;IFERROR(INDEX('Facilities'!$AA$9:$AA$108,MATCH(D35,'Facilities'!$C$9:$C$108,0)),"")+0.000001,"Overallocated",IF(N35=0,"No allocation",IF(O35="","Evidence required","Valid"))))))</x:f>
        <x:v>No allocation</x:v>
      </x:c>
      <x:c r="AB35" s="3" t="str">
        <x:f>IF(C35="","",IF(OR(U35="Fail",Z35="Fail"),IF(H35="Jordan 2026","Red / not aligned","Not eligible"),IF(OR(U35="Criteria required",V35=0),"Criteria required",IF(Z35&lt;&gt;"Pass","Pending",IF(U35="Amber","Amber",IF(H35="Jordan 2026","Green","Eligible (internal)"))))))</x:f>
        <x:v>Eligible (internal)</x:v>
      </x:c>
      <x:c r="AC35" s="9" t="str">
        <x:f>IF(C35="","",IF(T35="Rejected","Rejected",IF(OR(AB35="Red / not aligned",AB35="Not eligible"),"Not eligible",IF(OR(AH35&lt;&gt;"Current",T35&lt;&gt;"Approved",Z35&lt;&gt;"Pass",(COUNTIFS('Actions'!$D$9:$D$308,E35,'Actions'!$E$9:$E$308,"E&amp;S",'Actions'!$F$9:$F$308,"Critical",'Actions'!$P$9:$P$308,"&lt;&gt;Closed",'Actions'!$C$9:$C$308,"&lt;&gt;")+COUNTIFS('Actions'!$D$9:$D$308,E35,'Actions'!$E$9:$E$308,"Taxonomy",'Actions'!$F$9:$F$308,"Critical",'Actions'!$P$9:$P$308,"&lt;&gt;Closed",'Actions'!$C$9:$C$308,"&lt;&gt;")+COUNTIFS('ESG'!$C$9:$C$108,E35,'ESG'!$H$9:$H$108,"Yes"))&gt;0,AND(AB35&lt;&gt;"Green",AB35&lt;&gt;"Amber",AB35&lt;&gt;"Eligible (internal)")),"Pending",IF(AA35="No allocation","Activity only",IF(AA35&lt;&gt;"Valid","Pending","Approved"))))))</x:f>
        <x:v>Activity only</x:v>
      </x:c>
      <x:c r="AD35" s="21" t="n">
        <x:f>IF(C35="","",IF(AND(AC35="Approved",OR(AB35="Green",AB35="Eligible (internal)")),N35,0))</x:f>
        <x:v>0</x:v>
      </x:c>
      <x:c r="AE35" s="21" t="n">
        <x:f>IF(C35="","",IF(AND(AC35="Approved",AB35="Amber"),N35,0))</x:f>
        <x:v>0</x:v>
      </x:c>
      <x:c r="AF35" s="9" t="str">
        <x:f>IF(C35="","",IF((COUNTIFS('Actions'!$D$9:$D$308,E35,'Actions'!$E$9:$E$308,"E&amp;S",'Actions'!$F$9:$F$308,"Critical",'Actions'!$P$9:$P$308,"&lt;&gt;Closed",'Actions'!$C$9:$C$308,"&lt;&gt;")+COUNTIFS('Actions'!$D$9:$D$308,E35,'Actions'!$E$9:$E$308,"Taxonomy",'Actions'!$F$9:$F$308,"Critical",'Actions'!$P$9:$P$308,"&lt;&gt;Closed",'Actions'!$C$9:$C$308,"&lt;&gt;")+COUNTIFS('ESG'!$C$9:$C$108,E35,'ESG'!$H$9:$H$108,"Yes"))&gt;0,"Resolve critical E&amp;S / taxonomy issue",IF(AH35&lt;&gt;"Current",AH35,IF(Z35&lt;&gt;"Pass","Review individual tests",IF(U35="Criteria required","Sourced criteria / interpretation required",IF(AA35&lt;&gt;"Valid",AA35,IF(T35&lt;&gt;"Approved","Approval required",I35)))))))</x:f>
        <x:v>No allocation</x:v>
      </x:c>
      <x:c r="AG35" s="9" t="str">
        <x:f>IF(C35="","",IFERROR(INDEX('Taxonomy Rules'!$L$9:$L$20,MATCH(H35&amp;"::"&amp;G35,'Taxonomy Rules'!$C$9:$C$20,0)),"Unimplemented activity"))</x:f>
        <x:v>S10 pp117–118</x:v>
      </x:c>
      <x:c r="AH35" s="9" t="str">
        <x:f>IF(C35="","",IF(COUNTIF($C$9:$C$108,C35)&lt;&gt;1,"Duplicate ID",IF(OR(COUNTIF(Facilities!$C$9:$C$108,D35)&lt;&gt;1,COUNTIF(Borrowers!$C$9:$C$108,E35)&lt;&gt;1),"Key review",IF(OR(P35="",Q35="",P35=Q35,NOT(ISNUMBER(R35)),NOT(ISNUMBER(S35)),R35&gt;Settings!$F$8,S35&lt;R35),"Review required",IF(S35&lt;Settings!$F$8,"Expired","Current")))))</x:f>
        <x:v>Current</x:v>
      </x:c>
    </x:row>
    <x:row r="36" ht="26" customHeight="1">
      <x:c r="A36" s="1"/>
      <x:c r="B36" s="1"/>
      <x:c r="C36" s="8" t="str">
        <x:v>TAX-F028</x:v>
      </x:c>
      <x:c r="D36" s="8" t="str">
        <x:v>F028</x:v>
      </x:c>
      <x:c r="E36" s="9" t="str">
        <x:f>IF(C36="","",IFERROR(INDEX('Facilities'!$D$9:$D$108,MATCH(D36,'Facilities'!$C$9:$C$108,0)),""))</x:f>
        <x:v>B016</x:v>
      </x:c>
      <x:c r="F36" s="9" t="str">
        <x:f>IF(C36="","",IFERROR(INDEX('Borrowers'!$E$9:$E$108,MATCH(E36,'Borrowers'!$C$9:$C$108,0)),""))</x:f>
        <x:v>UAE</x:v>
      </x:c>
      <x:c r="G36" s="9" t="str">
        <x:f>IF(C36="","",IFERROR(INDEX('Facilities'!$W$9:$W$108,MATCH(D36,'Facilities'!$C$9:$C$108,0)),""))</x:f>
        <x:v>Other</x:v>
      </x:c>
      <x:c r="H36" s="9" t="str">
        <x:f>IF(C36="","",Settings!$F$11)</x:f>
        <x:v>Internal criteria</x:v>
      </x:c>
      <x:c r="I36" s="3" t="str">
        <x:f>IF(C36="","",IF(H36="Jordan 2026",IF(F36="Jordan","Jordan taxonomy","Reference benchmark"),"Internal policy"))</x:f>
        <x:v>Internal policy</x:v>
      </x:c>
      <x:c r="J36" s="8" t="n">
        <x:v>2025</x:v>
      </x:c>
      <x:c r="K36" s="35" t="str"/>
      <x:c r="L36" s="35" t="str"/>
      <x:c r="M36" s="8" t="str">
        <x:v>Unspecified</x:v>
      </x:c>
      <x:c r="N36" s="16" t="n">
        <x:v>0</x:v>
      </x:c>
      <x:c r="O36" s="8" t="str"/>
      <x:c r="P36" s="8" t="str">
        <x:v>Taxonomy analyst 1</x:v>
      </x:c>
      <x:c r="Q36" s="8" t="str">
        <x:v>Taxonomy reviewer 2</x:v>
      </x:c>
      <x:c r="R36" s="10" t="n">
        <x:v>46266</x:v>
      </x:c>
      <x:c r="S36" s="10" t="n">
        <x:v>46631</x:v>
      </x:c>
      <x:c r="T36" s="8" t="str">
        <x:v>Pending</x:v>
      </x:c>
      <x:c r="U36" s="9" t="str">
        <x:f>IF(C36="","",IF(V36=0,"Criteria required",IF(OR(NOT(ISNUMBER(J36)),J36&lt;1900,J36&gt;YEAR(Settings!$F$8),IFERROR(MOD(J36,1),1)&lt;&gt;0,NOT(ISNUMBER(K36)),K36&lt;0,AND(H36="Internal criteria",OR(G36="Cement",G36="Building renovation"),OR(NOT(ISNUMBER(IFERROR(INDEX('Taxonomy Rules'!$G$9:$G$20,MATCH(H36&amp;"::"&amp;G36,'Taxonomy Rules'!$C$9:$C$20,0)),0))),IFERROR(INDEX('Taxonomy Rules'!$G$9:$G$20,MATCH(H36&amp;"::"&amp;G36,'Taxonomy Rules'!$C$9:$C$20,0)),0)&lt;=0,AND(G36="Building renovation",IFERROR(INDEX('Taxonomy Rules'!$G$9:$G$20,MATCH(H36&amp;"::"&amp;G36,'Taxonomy Rules'!$C$9:$C$20,0)),0)&gt;1)))),"Criteria required",IF(G36="Solar PV",IF(M36&lt;&gt;"Eligible activity","Criteria required",IF(K36=1,"Pass","Fail")),IF(G36="Cement",IF(M36="Amber",IF(H36="Jordan 2026",IF(YEAR(Settings!$F$8)&lt;2040,"Amber","Fail"),"Criteria required"),IF(M36&lt;&gt;"Green","Criteria required",IF(H36="Jordan 2026",IF(IFERROR(INDEX('Taxonomy Rules'!$P$9:$P$14,MATCH(J36,'Taxonomy Rules'!$O$9:$O$14,0)),0)=0,"Criteria required",IF(K36&lt;=IFERROR(INDEX('Taxonomy Rules'!$P$9:$P$14,MATCH(J36,'Taxonomy Rules'!$O$9:$O$14,0)),0),"Pass","Fail")),IF(K36&lt;=IFERROR(INDEX('Taxonomy Rules'!$G$9:$G$20,MATCH(H36&amp;"::"&amp;G36,'Taxonomy Rules'!$C$9:$C$20,0)),0),"Pass","Fail")))),IF(G36="Building renovation",IF(M36="Whole building",IF(K36=1,"Pass","Fail"),IF(M36&lt;&gt;"Improvement","Criteria required",IF(OR(K36&gt;1,NOT(ISNUMBER(L36)),L36&lt;0,L36&gt;1),"Criteria required",IF(MAX(K36,L36)&lt;IFERROR(INDEX('Taxonomy Rules'!$G$9:$G$20,MATCH(H36&amp;"::"&amp;G36,'Taxonomy Rules'!$C$9:$C$20,0)),0),"Fail",IF(H36="Jordan 2026",IF(YEAR(Settings!$F$8)&lt;2035,"Amber",IF(YEAR(Settings!$F$8)=2035,"Criteria required","Fail")),"Pass"))))),IF(G36="Road freight",IF(M36&lt;&gt;"Zero emissions","Criteria required",IF(AND(K36=0,ISNUMBER(L36),L36=0),"Pass","Fail")),IF(G36="New building",IF(NOT(OR(M36="Green",M36="Amber")),"Criteria required",IF(K36&lt;&gt;1,"Fail",IF(M36="Amber",IF(H36="Jordan 2026",IF(YEAR(Settings!$F$8)&lt;2030,"Amber",IF(YEAR(Settings!$F$8)=2030,"Criteria required","Fail")),"Criteria required"),"Pass"))),IF(G36="Building equipment",IF(M36&lt;&gt;"Equipment","Criteria required",IF(K36=1,"Pass","Fail")),"Criteria required")))))))))</x:f>
        <x:v>Criteria required</x:v>
      </x:c>
      <x:c r="V36" s="9" t="n">
        <x:f>IF(C36="","",IFERROR(INDEX('Taxonomy Rules'!$J$9:$J$20,MATCH(H36&amp;"::"&amp;G36,'Taxonomy Rules'!$C$9:$C$20,0)),0))</x:f>
        <x:v>0</x:v>
      </x:c>
      <x:c r="W36" s="9" t="n">
        <x:f>IF(C36="","",COUNTIFS('Taxonomy Tests'!$D$9:$D$2008,C36,'Taxonomy Tests'!$Q$9:$Q$2008,"Complete"))</x:f>
        <x:v>0</x:v>
      </x:c>
      <x:c r="X36" s="9" t="n">
        <x:f>IF(C36="","",COUNTIFS('Taxonomy Tests'!$D$9:$D$2008,C36,'Taxonomy Tests'!$P$9:$P$2008,"Fail"))</x:f>
        <x:v>0</x:v>
      </x:c>
      <x:c r="Y36" s="9" t="n">
        <x:f>IF(C36="","",MAX(0,V36-W36)+COUNTIFS('Taxonomy Tests'!$D$9:$D$2008,C36,'Taxonomy Tests'!$R$9:$R$2008,"Duplicate test")+COUNTIFS('Taxonomy Tests'!$D$9:$D$2008,C36,'Taxonomy Tests'!$R$9:$R$2008,"Unexpected test"))</x:f>
        <x:v>0</x:v>
      </x:c>
      <x:c r="Z36" s="9" t="str">
        <x:f>IF(C36="","",IF(X36&gt;0,"Fail",IF(AND(V36&gt;0,W36=V36,Y36=0,COUNTIF('Taxonomy Tests'!$D$9:$D$2008,C36)=V36),"Pass","Pending")))</x:f>
        <x:v>Pending</x:v>
      </x:c>
      <x:c r="AA36" s="9" t="str">
        <x:f>IF(C36="","",IF(COUNTIF(Facilities!$C$9:$C$108,D36)&lt;&gt;1,"Facility key",IF(OR(NOT(ISNUMBER(N36)),N36&lt;0),"Amount required",IF(SUMIF($D$9:$D$108,D36,$N$9:$N$108)&gt;IFERROR(INDEX('Facilities'!$AA$9:$AA$108,MATCH(D36,'Facilities'!$C$9:$C$108,0)),"")+0.000001,"Overallocated",IF(N36=0,"No allocation",IF(O36="","Evidence required","Valid"))))))</x:f>
        <x:v>No allocation</x:v>
      </x:c>
      <x:c r="AB36" s="3" t="str">
        <x:f>IF(C36="","",IF(OR(U36="Fail",Z36="Fail"),IF(H36="Jordan 2026","Red / not aligned","Not eligible"),IF(OR(U36="Criteria required",V36=0),"Criteria required",IF(Z36&lt;&gt;"Pass","Pending",IF(U36="Amber","Amber",IF(H36="Jordan 2026","Green","Eligible (internal)"))))))</x:f>
        <x:v>Criteria required</x:v>
      </x:c>
      <x:c r="AC36" s="9" t="str">
        <x:f>IF(C36="","",IF(T36="Rejected","Rejected",IF(OR(AB36="Red / not aligned",AB36="Not eligible"),"Not eligible",IF(OR(AH36&lt;&gt;"Current",T36&lt;&gt;"Approved",Z36&lt;&gt;"Pass",(COUNTIFS('Actions'!$D$9:$D$308,E36,'Actions'!$E$9:$E$308,"E&amp;S",'Actions'!$F$9:$F$308,"Critical",'Actions'!$P$9:$P$308,"&lt;&gt;Closed",'Actions'!$C$9:$C$308,"&lt;&gt;")+COUNTIFS('Actions'!$D$9:$D$308,E36,'Actions'!$E$9:$E$308,"Taxonomy",'Actions'!$F$9:$F$308,"Critical",'Actions'!$P$9:$P$308,"&lt;&gt;Closed",'Actions'!$C$9:$C$308,"&lt;&gt;")+COUNTIFS('ESG'!$C$9:$C$108,E36,'ESG'!$H$9:$H$108,"Yes"))&gt;0,AND(AB36&lt;&gt;"Green",AB36&lt;&gt;"Amber",AB36&lt;&gt;"Eligible (internal)")),"Pending",IF(AA36="No allocation","Activity only",IF(AA36&lt;&gt;"Valid","Pending","Approved"))))))</x:f>
        <x:v>Pending</x:v>
      </x:c>
      <x:c r="AD36" s="21" t="n">
        <x:f>IF(C36="","",IF(AND(AC36="Approved",OR(AB36="Green",AB36="Eligible (internal)")),N36,0))</x:f>
        <x:v>0</x:v>
      </x:c>
      <x:c r="AE36" s="21" t="n">
        <x:f>IF(C36="","",IF(AND(AC36="Approved",AB36="Amber"),N36,0))</x:f>
        <x:v>0</x:v>
      </x:c>
      <x:c r="AF36" s="9" t="str">
        <x:f>IF(C36="","",IF((COUNTIFS('Actions'!$D$9:$D$308,E36,'Actions'!$E$9:$E$308,"E&amp;S",'Actions'!$F$9:$F$308,"Critical",'Actions'!$P$9:$P$308,"&lt;&gt;Closed",'Actions'!$C$9:$C$308,"&lt;&gt;")+COUNTIFS('Actions'!$D$9:$D$308,E36,'Actions'!$E$9:$E$308,"Taxonomy",'Actions'!$F$9:$F$308,"Critical",'Actions'!$P$9:$P$308,"&lt;&gt;Closed",'Actions'!$C$9:$C$308,"&lt;&gt;")+COUNTIFS('ESG'!$C$9:$C$108,E36,'ESG'!$H$9:$H$108,"Yes"))&gt;0,"Resolve critical E&amp;S / taxonomy issue",IF(AH36&lt;&gt;"Current",AH36,IF(Z36&lt;&gt;"Pass","Review individual tests",IF(U36="Criteria required","Sourced criteria / interpretation required",IF(AA36&lt;&gt;"Valid",AA36,IF(T36&lt;&gt;"Approved","Approval required",I36)))))))</x:f>
        <x:v>Review individual tests</x:v>
      </x:c>
      <x:c r="AG36" s="9" t="str">
        <x:f>IF(C36="","",IFERROR(INDEX('Taxonomy Rules'!$L$9:$L$20,MATCH(H36&amp;"::"&amp;G36,'Taxonomy Rules'!$C$9:$C$20,0)),"Unimplemented activity"))</x:f>
        <x:v>Unimplemented activity</x:v>
      </x:c>
      <x:c r="AH36" s="9" t="str">
        <x:f>IF(C36="","",IF(COUNTIF($C$9:$C$108,C36)&lt;&gt;1,"Duplicate ID",IF(OR(COUNTIF(Facilities!$C$9:$C$108,D36)&lt;&gt;1,COUNTIF(Borrowers!$C$9:$C$108,E36)&lt;&gt;1),"Key review",IF(OR(P36="",Q36="",P36=Q36,NOT(ISNUMBER(R36)),NOT(ISNUMBER(S36)),R36&gt;Settings!$F$8,S36&lt;R36),"Review required",IF(S36&lt;Settings!$F$8,"Expired","Current")))))</x:f>
        <x:v>Current</x:v>
      </x:c>
    </x:row>
    <x:row r="37" ht="26" customHeight="1">
      <x:c r="A37" s="1"/>
      <x:c r="B37" s="1"/>
      <x:c r="C37" s="8" t="str">
        <x:v>TAX-F029</x:v>
      </x:c>
      <x:c r="D37" s="8" t="str">
        <x:v>F029</x:v>
      </x:c>
      <x:c r="E37" s="9" t="str">
        <x:f>IF(C37="","",IFERROR(INDEX('Facilities'!$D$9:$D$108,MATCH(D37,'Facilities'!$C$9:$C$108,0)),""))</x:f>
        <x:v>B017</x:v>
      </x:c>
      <x:c r="F37" s="9" t="str">
        <x:f>IF(C37="","",IFERROR(INDEX('Borrowers'!$E$9:$E$108,MATCH(E37,'Borrowers'!$C$9:$C$108,0)),""))</x:f>
        <x:v>UAE</x:v>
      </x:c>
      <x:c r="G37" s="9" t="str">
        <x:f>IF(C37="","",IFERROR(INDEX('Facilities'!$W$9:$W$108,MATCH(D37,'Facilities'!$C$9:$C$108,0)),""))</x:f>
        <x:v>Building renovation</x:v>
      </x:c>
      <x:c r="H37" s="9" t="str">
        <x:f>IF(C37="","",Settings!$F$11)</x:f>
        <x:v>Internal criteria</x:v>
      </x:c>
      <x:c r="I37" s="3" t="str">
        <x:f>IF(C37="","",IF(H37="Jordan 2026",IF(F37="Jordan","Jordan taxonomy","Reference benchmark"),"Internal policy"))</x:f>
        <x:v>Internal policy</x:v>
      </x:c>
      <x:c r="J37" s="8" t="n">
        <x:v>2025</x:v>
      </x:c>
      <x:c r="K37" s="35" t="n">
        <x:v>0.24</x:v>
      </x:c>
      <x:c r="L37" s="35" t="n">
        <x:v>0.18</x:v>
      </x:c>
      <x:c r="M37" s="8" t="str">
        <x:v>Improvement</x:v>
      </x:c>
      <x:c r="N37" s="16" t="n">
        <x:v>0</x:v>
      </x:c>
      <x:c r="O37" s="8" t="str"/>
      <x:c r="P37" s="8" t="str">
        <x:v>Taxonomy analyst 2</x:v>
      </x:c>
      <x:c r="Q37" s="8" t="str">
        <x:v>Taxonomy reviewer 1</x:v>
      </x:c>
      <x:c r="R37" s="10" t="n">
        <x:v>46266</x:v>
      </x:c>
      <x:c r="S37" s="10" t="n">
        <x:v>46631</x:v>
      </x:c>
      <x:c r="T37" s="8" t="str">
        <x:v>Approved</x:v>
      </x:c>
      <x:c r="U37" s="9" t="str">
        <x:f>IF(C37="","",IF(V37=0,"Criteria required",IF(OR(NOT(ISNUMBER(J37)),J37&lt;1900,J37&gt;YEAR(Settings!$F$8),IFERROR(MOD(J37,1),1)&lt;&gt;0,NOT(ISNUMBER(K37)),K37&lt;0,AND(H37="Internal criteria",OR(G37="Cement",G37="Building renovation"),OR(NOT(ISNUMBER(IFERROR(INDEX('Taxonomy Rules'!$G$9:$G$20,MATCH(H37&amp;"::"&amp;G37,'Taxonomy Rules'!$C$9:$C$20,0)),0))),IFERROR(INDEX('Taxonomy Rules'!$G$9:$G$20,MATCH(H37&amp;"::"&amp;G37,'Taxonomy Rules'!$C$9:$C$20,0)),0)&lt;=0,AND(G37="Building renovation",IFERROR(INDEX('Taxonomy Rules'!$G$9:$G$20,MATCH(H37&amp;"::"&amp;G37,'Taxonomy Rules'!$C$9:$C$20,0)),0)&gt;1)))),"Criteria required",IF(G37="Solar PV",IF(M37&lt;&gt;"Eligible activity","Criteria required",IF(K37=1,"Pass","Fail")),IF(G37="Cement",IF(M37="Amber",IF(H37="Jordan 2026",IF(YEAR(Settings!$F$8)&lt;2040,"Amber","Fail"),"Criteria required"),IF(M37&lt;&gt;"Green","Criteria required",IF(H37="Jordan 2026",IF(IFERROR(INDEX('Taxonomy Rules'!$P$9:$P$14,MATCH(J37,'Taxonomy Rules'!$O$9:$O$14,0)),0)=0,"Criteria required",IF(K37&lt;=IFERROR(INDEX('Taxonomy Rules'!$P$9:$P$14,MATCH(J37,'Taxonomy Rules'!$O$9:$O$14,0)),0),"Pass","Fail")),IF(K37&lt;=IFERROR(INDEX('Taxonomy Rules'!$G$9:$G$20,MATCH(H37&amp;"::"&amp;G37,'Taxonomy Rules'!$C$9:$C$20,0)),0),"Pass","Fail")))),IF(G37="Building renovation",IF(M37="Whole building",IF(K37=1,"Pass","Fail"),IF(M37&lt;&gt;"Improvement","Criteria required",IF(OR(K37&gt;1,NOT(ISNUMBER(L37)),L37&lt;0,L37&gt;1),"Criteria required",IF(MAX(K37,L37)&lt;IFERROR(INDEX('Taxonomy Rules'!$G$9:$G$20,MATCH(H37&amp;"::"&amp;G37,'Taxonomy Rules'!$C$9:$C$20,0)),0),"Fail",IF(H37="Jordan 2026",IF(YEAR(Settings!$F$8)&lt;2035,"Amber",IF(YEAR(Settings!$F$8)=2035,"Criteria required","Fail")),"Pass"))))),IF(G37="Road freight",IF(M37&lt;&gt;"Zero emissions","Criteria required",IF(AND(K37=0,ISNUMBER(L37),L37=0),"Pass","Fail")),IF(G37="New building",IF(NOT(OR(M37="Green",M37="Amber")),"Criteria required",IF(K37&lt;&gt;1,"Fail",IF(M37="Amber",IF(H37="Jordan 2026",IF(YEAR(Settings!$F$8)&lt;2030,"Amber",IF(YEAR(Settings!$F$8)=2030,"Criteria required","Fail")),"Criteria required"),"Pass"))),IF(G37="Building equipment",IF(M37&lt;&gt;"Equipment","Criteria required",IF(K37=1,"Pass","Fail")),"Criteria required")))))))))</x:f>
        <x:v>Pass</x:v>
      </x:c>
      <x:c r="V37" s="9" t="n">
        <x:f>IF(C37="","",IFERROR(INDEX('Taxonomy Rules'!$J$9:$J$20,MATCH(H37&amp;"::"&amp;G37,'Taxonomy Rules'!$C$9:$C$20,0)),0))</x:f>
        <x:v>17</x:v>
      </x:c>
      <x:c r="W37" s="9" t="n">
        <x:f>IF(C37="","",COUNTIFS('Taxonomy Tests'!$D$9:$D$2008,C37,'Taxonomy Tests'!$Q$9:$Q$2008,"Complete"))</x:f>
        <x:v>17</x:v>
      </x:c>
      <x:c r="X37" s="9" t="n">
        <x:f>IF(C37="","",COUNTIFS('Taxonomy Tests'!$D$9:$D$2008,C37,'Taxonomy Tests'!$P$9:$P$2008,"Fail"))</x:f>
        <x:v>0</x:v>
      </x:c>
      <x:c r="Y37" s="9" t="n">
        <x:f>IF(C37="","",MAX(0,V37-W37)+COUNTIFS('Taxonomy Tests'!$D$9:$D$2008,C37,'Taxonomy Tests'!$R$9:$R$2008,"Duplicate test")+COUNTIFS('Taxonomy Tests'!$D$9:$D$2008,C37,'Taxonomy Tests'!$R$9:$R$2008,"Unexpected test"))</x:f>
        <x:v>0</x:v>
      </x:c>
      <x:c r="Z37" s="9" t="str">
        <x:f>IF(C37="","",IF(X37&gt;0,"Fail",IF(AND(V37&gt;0,W37=V37,Y37=0,COUNTIF('Taxonomy Tests'!$D$9:$D$2008,C37)=V37),"Pass","Pending")))</x:f>
        <x:v>Pass</x:v>
      </x:c>
      <x:c r="AA37" s="9" t="str">
        <x:f>IF(C37="","",IF(COUNTIF(Facilities!$C$9:$C$108,D37)&lt;&gt;1,"Facility key",IF(OR(NOT(ISNUMBER(N37)),N37&lt;0),"Amount required",IF(SUMIF($D$9:$D$108,D37,$N$9:$N$108)&gt;IFERROR(INDEX('Facilities'!$AA$9:$AA$108,MATCH(D37,'Facilities'!$C$9:$C$108,0)),"")+0.000001,"Overallocated",IF(N37=0,"No allocation",IF(O37="","Evidence required","Valid"))))))</x:f>
        <x:v>No allocation</x:v>
      </x:c>
      <x:c r="AB37" s="3" t="str">
        <x:f>IF(C37="","",IF(OR(U37="Fail",Z37="Fail"),IF(H37="Jordan 2026","Red / not aligned","Not eligible"),IF(OR(U37="Criteria required",V37=0),"Criteria required",IF(Z37&lt;&gt;"Pass","Pending",IF(U37="Amber","Amber",IF(H37="Jordan 2026","Green","Eligible (internal)"))))))</x:f>
        <x:v>Eligible (internal)</x:v>
      </x:c>
      <x:c r="AC37" s="9" t="str">
        <x:f>IF(C37="","",IF(T37="Rejected","Rejected",IF(OR(AB37="Red / not aligned",AB37="Not eligible"),"Not eligible",IF(OR(AH37&lt;&gt;"Current",T37&lt;&gt;"Approved",Z37&lt;&gt;"Pass",(COUNTIFS('Actions'!$D$9:$D$308,E37,'Actions'!$E$9:$E$308,"E&amp;S",'Actions'!$F$9:$F$308,"Critical",'Actions'!$P$9:$P$308,"&lt;&gt;Closed",'Actions'!$C$9:$C$308,"&lt;&gt;")+COUNTIFS('Actions'!$D$9:$D$308,E37,'Actions'!$E$9:$E$308,"Taxonomy",'Actions'!$F$9:$F$308,"Critical",'Actions'!$P$9:$P$308,"&lt;&gt;Closed",'Actions'!$C$9:$C$308,"&lt;&gt;")+COUNTIFS('ESG'!$C$9:$C$108,E37,'ESG'!$H$9:$H$108,"Yes"))&gt;0,AND(AB37&lt;&gt;"Green",AB37&lt;&gt;"Amber",AB37&lt;&gt;"Eligible (internal)")),"Pending",IF(AA37="No allocation","Activity only",IF(AA37&lt;&gt;"Valid","Pending","Approved"))))))</x:f>
        <x:v>Activity only</x:v>
      </x:c>
      <x:c r="AD37" s="21" t="n">
        <x:f>IF(C37="","",IF(AND(AC37="Approved",OR(AB37="Green",AB37="Eligible (internal)")),N37,0))</x:f>
        <x:v>0</x:v>
      </x:c>
      <x:c r="AE37" s="21" t="n">
        <x:f>IF(C37="","",IF(AND(AC37="Approved",AB37="Amber"),N37,0))</x:f>
        <x:v>0</x:v>
      </x:c>
      <x:c r="AF37" s="9" t="str">
        <x:f>IF(C37="","",IF((COUNTIFS('Actions'!$D$9:$D$308,E37,'Actions'!$E$9:$E$308,"E&amp;S",'Actions'!$F$9:$F$308,"Critical",'Actions'!$P$9:$P$308,"&lt;&gt;Closed",'Actions'!$C$9:$C$308,"&lt;&gt;")+COUNTIFS('Actions'!$D$9:$D$308,E37,'Actions'!$E$9:$E$308,"Taxonomy",'Actions'!$F$9:$F$308,"Critical",'Actions'!$P$9:$P$308,"&lt;&gt;Closed",'Actions'!$C$9:$C$308,"&lt;&gt;")+COUNTIFS('ESG'!$C$9:$C$108,E37,'ESG'!$H$9:$H$108,"Yes"))&gt;0,"Resolve critical E&amp;S / taxonomy issue",IF(AH37&lt;&gt;"Current",AH37,IF(Z37&lt;&gt;"Pass","Review individual tests",IF(U37="Criteria required","Sourced criteria / interpretation required",IF(AA37&lt;&gt;"Valid",AA37,IF(T37&lt;&gt;"Approved","Approval required",I37)))))))</x:f>
        <x:v>No allocation</x:v>
      </x:c>
      <x:c r="AG37" s="9" t="str">
        <x:f>IF(C37="","",IFERROR(INDEX('Taxonomy Rules'!$L$9:$L$20,MATCH(H37&amp;"::"&amp;G37,'Taxonomy Rules'!$C$9:$C$20,0)),"Unimplemented activity"))</x:f>
        <x:v>S10 pp136–137; pp131–133</x:v>
      </x:c>
      <x:c r="AH37" s="9" t="str">
        <x:f>IF(C37="","",IF(COUNTIF($C$9:$C$108,C37)&lt;&gt;1,"Duplicate ID",IF(OR(COUNTIF(Facilities!$C$9:$C$108,D37)&lt;&gt;1,COUNTIF(Borrowers!$C$9:$C$108,E37)&lt;&gt;1),"Key review",IF(OR(P37="",Q37="",P37=Q37,NOT(ISNUMBER(R37)),NOT(ISNUMBER(S37)),R37&gt;Settings!$F$8,S37&lt;R37),"Review required",IF(S37&lt;Settings!$F$8,"Expired","Current")))))</x:f>
        <x:v>Current</x:v>
      </x:c>
    </x:row>
    <x:row r="38" ht="26" customHeight="1">
      <x:c r="A38" s="1"/>
      <x:c r="B38" s="1"/>
      <x:c r="C38" s="8" t="str">
        <x:v>TAX-F030</x:v>
      </x:c>
      <x:c r="D38" s="8" t="str">
        <x:v>F030</x:v>
      </x:c>
      <x:c r="E38" s="9" t="str">
        <x:f>IF(C38="","",IFERROR(INDEX('Facilities'!$D$9:$D$108,MATCH(D38,'Facilities'!$C$9:$C$108,0)),""))</x:f>
        <x:v>B018</x:v>
      </x:c>
      <x:c r="F38" s="9" t="str">
        <x:f>IF(C38="","",IFERROR(INDEX('Borrowers'!$E$9:$E$108,MATCH(E38,'Borrowers'!$C$9:$C$108,0)),""))</x:f>
        <x:v>UAE</x:v>
      </x:c>
      <x:c r="G38" s="9" t="str">
        <x:f>IF(C38="","",IFERROR(INDEX('Facilities'!$W$9:$W$108,MATCH(D38,'Facilities'!$C$9:$C$108,0)),""))</x:f>
        <x:v>Other</x:v>
      </x:c>
      <x:c r="H38" s="9" t="str">
        <x:f>IF(C38="","",Settings!$F$11)</x:f>
        <x:v>Internal criteria</x:v>
      </x:c>
      <x:c r="I38" s="3" t="str">
        <x:f>IF(C38="","",IF(H38="Jordan 2026",IF(F38="Jordan","Jordan taxonomy","Reference benchmark"),"Internal policy"))</x:f>
        <x:v>Internal policy</x:v>
      </x:c>
      <x:c r="J38" s="8" t="n">
        <x:v>2025</x:v>
      </x:c>
      <x:c r="K38" s="35" t="str"/>
      <x:c r="L38" s="35" t="str"/>
      <x:c r="M38" s="8" t="str">
        <x:v>Unspecified</x:v>
      </x:c>
      <x:c r="N38" s="16" t="n">
        <x:v>0</x:v>
      </x:c>
      <x:c r="O38" s="8" t="str"/>
      <x:c r="P38" s="8" t="str">
        <x:v>Taxonomy analyst 3</x:v>
      </x:c>
      <x:c r="Q38" s="8" t="str">
        <x:v>Taxonomy reviewer 2</x:v>
      </x:c>
      <x:c r="R38" s="10" t="n">
        <x:v>46266</x:v>
      </x:c>
      <x:c r="S38" s="10" t="n">
        <x:v>46631</x:v>
      </x:c>
      <x:c r="T38" s="8" t="str">
        <x:v>Pending</x:v>
      </x:c>
      <x:c r="U38" s="9" t="str">
        <x:f>IF(C38="","",IF(V38=0,"Criteria required",IF(OR(NOT(ISNUMBER(J38)),J38&lt;1900,J38&gt;YEAR(Settings!$F$8),IFERROR(MOD(J38,1),1)&lt;&gt;0,NOT(ISNUMBER(K38)),K38&lt;0,AND(H38="Internal criteria",OR(G38="Cement",G38="Building renovation"),OR(NOT(ISNUMBER(IFERROR(INDEX('Taxonomy Rules'!$G$9:$G$20,MATCH(H38&amp;"::"&amp;G38,'Taxonomy Rules'!$C$9:$C$20,0)),0))),IFERROR(INDEX('Taxonomy Rules'!$G$9:$G$20,MATCH(H38&amp;"::"&amp;G38,'Taxonomy Rules'!$C$9:$C$20,0)),0)&lt;=0,AND(G38="Building renovation",IFERROR(INDEX('Taxonomy Rules'!$G$9:$G$20,MATCH(H38&amp;"::"&amp;G38,'Taxonomy Rules'!$C$9:$C$20,0)),0)&gt;1)))),"Criteria required",IF(G38="Solar PV",IF(M38&lt;&gt;"Eligible activity","Criteria required",IF(K38=1,"Pass","Fail")),IF(G38="Cement",IF(M38="Amber",IF(H38="Jordan 2026",IF(YEAR(Settings!$F$8)&lt;2040,"Amber","Fail"),"Criteria required"),IF(M38&lt;&gt;"Green","Criteria required",IF(H38="Jordan 2026",IF(IFERROR(INDEX('Taxonomy Rules'!$P$9:$P$14,MATCH(J38,'Taxonomy Rules'!$O$9:$O$14,0)),0)=0,"Criteria required",IF(K38&lt;=IFERROR(INDEX('Taxonomy Rules'!$P$9:$P$14,MATCH(J38,'Taxonomy Rules'!$O$9:$O$14,0)),0),"Pass","Fail")),IF(K38&lt;=IFERROR(INDEX('Taxonomy Rules'!$G$9:$G$20,MATCH(H38&amp;"::"&amp;G38,'Taxonomy Rules'!$C$9:$C$20,0)),0),"Pass","Fail")))),IF(G38="Building renovation",IF(M38="Whole building",IF(K38=1,"Pass","Fail"),IF(M38&lt;&gt;"Improvement","Criteria required",IF(OR(K38&gt;1,NOT(ISNUMBER(L38)),L38&lt;0,L38&gt;1),"Criteria required",IF(MAX(K38,L38)&lt;IFERROR(INDEX('Taxonomy Rules'!$G$9:$G$20,MATCH(H38&amp;"::"&amp;G38,'Taxonomy Rules'!$C$9:$C$20,0)),0),"Fail",IF(H38="Jordan 2026",IF(YEAR(Settings!$F$8)&lt;2035,"Amber",IF(YEAR(Settings!$F$8)=2035,"Criteria required","Fail")),"Pass"))))),IF(G38="Road freight",IF(M38&lt;&gt;"Zero emissions","Criteria required",IF(AND(K38=0,ISNUMBER(L38),L38=0),"Pass","Fail")),IF(G38="New building",IF(NOT(OR(M38="Green",M38="Amber")),"Criteria required",IF(K38&lt;&gt;1,"Fail",IF(M38="Amber",IF(H38="Jordan 2026",IF(YEAR(Settings!$F$8)&lt;2030,"Amber",IF(YEAR(Settings!$F$8)=2030,"Criteria required","Fail")),"Criteria required"),"Pass"))),IF(G38="Building equipment",IF(M38&lt;&gt;"Equipment","Criteria required",IF(K38=1,"Pass","Fail")),"Criteria required")))))))))</x:f>
        <x:v>Criteria required</x:v>
      </x:c>
      <x:c r="V38" s="9" t="n">
        <x:f>IF(C38="","",IFERROR(INDEX('Taxonomy Rules'!$J$9:$J$20,MATCH(H38&amp;"::"&amp;G38,'Taxonomy Rules'!$C$9:$C$20,0)),0))</x:f>
        <x:v>0</x:v>
      </x:c>
      <x:c r="W38" s="9" t="n">
        <x:f>IF(C38="","",COUNTIFS('Taxonomy Tests'!$D$9:$D$2008,C38,'Taxonomy Tests'!$Q$9:$Q$2008,"Complete"))</x:f>
        <x:v>0</x:v>
      </x:c>
      <x:c r="X38" s="9" t="n">
        <x:f>IF(C38="","",COUNTIFS('Taxonomy Tests'!$D$9:$D$2008,C38,'Taxonomy Tests'!$P$9:$P$2008,"Fail"))</x:f>
        <x:v>0</x:v>
      </x:c>
      <x:c r="Y38" s="9" t="n">
        <x:f>IF(C38="","",MAX(0,V38-W38)+COUNTIFS('Taxonomy Tests'!$D$9:$D$2008,C38,'Taxonomy Tests'!$R$9:$R$2008,"Duplicate test")+COUNTIFS('Taxonomy Tests'!$D$9:$D$2008,C38,'Taxonomy Tests'!$R$9:$R$2008,"Unexpected test"))</x:f>
        <x:v>0</x:v>
      </x:c>
      <x:c r="Z38" s="9" t="str">
        <x:f>IF(C38="","",IF(X38&gt;0,"Fail",IF(AND(V38&gt;0,W38=V38,Y38=0,COUNTIF('Taxonomy Tests'!$D$9:$D$2008,C38)=V38),"Pass","Pending")))</x:f>
        <x:v>Pending</x:v>
      </x:c>
      <x:c r="AA38" s="9" t="str">
        <x:f>IF(C38="","",IF(COUNTIF(Facilities!$C$9:$C$108,D38)&lt;&gt;1,"Facility key",IF(OR(NOT(ISNUMBER(N38)),N38&lt;0),"Amount required",IF(SUMIF($D$9:$D$108,D38,$N$9:$N$108)&gt;IFERROR(INDEX('Facilities'!$AA$9:$AA$108,MATCH(D38,'Facilities'!$C$9:$C$108,0)),"")+0.000001,"Overallocated",IF(N38=0,"No allocation",IF(O38="","Evidence required","Valid"))))))</x:f>
        <x:v>No allocation</x:v>
      </x:c>
      <x:c r="AB38" s="3" t="str">
        <x:f>IF(C38="","",IF(OR(U38="Fail",Z38="Fail"),IF(H38="Jordan 2026","Red / not aligned","Not eligible"),IF(OR(U38="Criteria required",V38=0),"Criteria required",IF(Z38&lt;&gt;"Pass","Pending",IF(U38="Amber","Amber",IF(H38="Jordan 2026","Green","Eligible (internal)"))))))</x:f>
        <x:v>Criteria required</x:v>
      </x:c>
      <x:c r="AC38" s="9" t="str">
        <x:f>IF(C38="","",IF(T38="Rejected","Rejected",IF(OR(AB38="Red / not aligned",AB38="Not eligible"),"Not eligible",IF(OR(AH38&lt;&gt;"Current",T38&lt;&gt;"Approved",Z38&lt;&gt;"Pass",(COUNTIFS('Actions'!$D$9:$D$308,E38,'Actions'!$E$9:$E$308,"E&amp;S",'Actions'!$F$9:$F$308,"Critical",'Actions'!$P$9:$P$308,"&lt;&gt;Closed",'Actions'!$C$9:$C$308,"&lt;&gt;")+COUNTIFS('Actions'!$D$9:$D$308,E38,'Actions'!$E$9:$E$308,"Taxonomy",'Actions'!$F$9:$F$308,"Critical",'Actions'!$P$9:$P$308,"&lt;&gt;Closed",'Actions'!$C$9:$C$308,"&lt;&gt;")+COUNTIFS('ESG'!$C$9:$C$108,E38,'ESG'!$H$9:$H$108,"Yes"))&gt;0,AND(AB38&lt;&gt;"Green",AB38&lt;&gt;"Amber",AB38&lt;&gt;"Eligible (internal)")),"Pending",IF(AA38="No allocation","Activity only",IF(AA38&lt;&gt;"Valid","Pending","Approved"))))))</x:f>
        <x:v>Pending</x:v>
      </x:c>
      <x:c r="AD38" s="21" t="n">
        <x:f>IF(C38="","",IF(AND(AC38="Approved",OR(AB38="Green",AB38="Eligible (internal)")),N38,0))</x:f>
        <x:v>0</x:v>
      </x:c>
      <x:c r="AE38" s="21" t="n">
        <x:f>IF(C38="","",IF(AND(AC38="Approved",AB38="Amber"),N38,0))</x:f>
        <x:v>0</x:v>
      </x:c>
      <x:c r="AF38" s="9" t="str">
        <x:f>IF(C38="","",IF((COUNTIFS('Actions'!$D$9:$D$308,E38,'Actions'!$E$9:$E$308,"E&amp;S",'Actions'!$F$9:$F$308,"Critical",'Actions'!$P$9:$P$308,"&lt;&gt;Closed",'Actions'!$C$9:$C$308,"&lt;&gt;")+COUNTIFS('Actions'!$D$9:$D$308,E38,'Actions'!$E$9:$E$308,"Taxonomy",'Actions'!$F$9:$F$308,"Critical",'Actions'!$P$9:$P$308,"&lt;&gt;Closed",'Actions'!$C$9:$C$308,"&lt;&gt;")+COUNTIFS('ESG'!$C$9:$C$108,E38,'ESG'!$H$9:$H$108,"Yes"))&gt;0,"Resolve critical E&amp;S / taxonomy issue",IF(AH38&lt;&gt;"Current",AH38,IF(Z38&lt;&gt;"Pass","Review individual tests",IF(U38="Criteria required","Sourced criteria / interpretation required",IF(AA38&lt;&gt;"Valid",AA38,IF(T38&lt;&gt;"Approved","Approval required",I38)))))))</x:f>
        <x:v>Review individual tests</x:v>
      </x:c>
      <x:c r="AG38" s="9" t="str">
        <x:f>IF(C38="","",IFERROR(INDEX('Taxonomy Rules'!$L$9:$L$20,MATCH(H38&amp;"::"&amp;G38,'Taxonomy Rules'!$C$9:$C$20,0)),"Unimplemented activity"))</x:f>
        <x:v>Unimplemented activity</x:v>
      </x:c>
      <x:c r="AH38" s="9" t="str">
        <x:f>IF(C38="","",IF(COUNTIF($C$9:$C$108,C38)&lt;&gt;1,"Duplicate ID",IF(OR(COUNTIF(Facilities!$C$9:$C$108,D38)&lt;&gt;1,COUNTIF(Borrowers!$C$9:$C$108,E38)&lt;&gt;1),"Key review",IF(OR(P38="",Q38="",P38=Q38,NOT(ISNUMBER(R38)),NOT(ISNUMBER(S38)),R38&gt;Settings!$F$8,S38&lt;R38),"Review required",IF(S38&lt;Settings!$F$8,"Expired","Current")))))</x:f>
        <x:v>Current</x:v>
      </x:c>
    </x:row>
    <x:row r="39" ht="26" customHeight="1">
      <x:c r="A39" s="1"/>
      <x:c r="B39" s="1"/>
      <x:c r="C39" s="8" t="str">
        <x:v>TAX-F031</x:v>
      </x:c>
      <x:c r="D39" s="8" t="str">
        <x:v>F031</x:v>
      </x:c>
      <x:c r="E39" s="9" t="str">
        <x:f>IF(C39="","",IFERROR(INDEX('Facilities'!$D$9:$D$108,MATCH(D39,'Facilities'!$C$9:$C$108,0)),""))</x:f>
        <x:v>B019</x:v>
      </x:c>
      <x:c r="F39" s="9" t="str">
        <x:f>IF(C39="","",IFERROR(INDEX('Borrowers'!$E$9:$E$108,MATCH(E39,'Borrowers'!$C$9:$C$108,0)),""))</x:f>
        <x:v>Egypt</x:v>
      </x:c>
      <x:c r="G39" s="9" t="str">
        <x:f>IF(C39="","",IFERROR(INDEX('Facilities'!$W$9:$W$108,MATCH(D39,'Facilities'!$C$9:$C$108,0)),""))</x:f>
        <x:v>Other</x:v>
      </x:c>
      <x:c r="H39" s="9" t="str">
        <x:f>IF(C39="","",Settings!$F$11)</x:f>
        <x:v>Internal criteria</x:v>
      </x:c>
      <x:c r="I39" s="3" t="str">
        <x:f>IF(C39="","",IF(H39="Jordan 2026",IF(F39="Jordan","Jordan taxonomy","Reference benchmark"),"Internal policy"))</x:f>
        <x:v>Internal policy</x:v>
      </x:c>
      <x:c r="J39" s="8" t="n">
        <x:v>2025</x:v>
      </x:c>
      <x:c r="K39" s="35" t="str"/>
      <x:c r="L39" s="35" t="str"/>
      <x:c r="M39" s="8" t="str">
        <x:v>Unspecified</x:v>
      </x:c>
      <x:c r="N39" s="16" t="n">
        <x:v>0</x:v>
      </x:c>
      <x:c r="O39" s="8" t="str"/>
      <x:c r="P39" s="8" t="str">
        <x:v>Taxonomy analyst 1</x:v>
      </x:c>
      <x:c r="Q39" s="8" t="str">
        <x:v>Taxonomy reviewer 1</x:v>
      </x:c>
      <x:c r="R39" s="10" t="n">
        <x:v>46266</x:v>
      </x:c>
      <x:c r="S39" s="10" t="n">
        <x:v>46631</x:v>
      </x:c>
      <x:c r="T39" s="8" t="str">
        <x:v>Pending</x:v>
      </x:c>
      <x:c r="U39" s="9" t="str">
        <x:f>IF(C39="","",IF(V39=0,"Criteria required",IF(OR(NOT(ISNUMBER(J39)),J39&lt;1900,J39&gt;YEAR(Settings!$F$8),IFERROR(MOD(J39,1),1)&lt;&gt;0,NOT(ISNUMBER(K39)),K39&lt;0,AND(H39="Internal criteria",OR(G39="Cement",G39="Building renovation"),OR(NOT(ISNUMBER(IFERROR(INDEX('Taxonomy Rules'!$G$9:$G$20,MATCH(H39&amp;"::"&amp;G39,'Taxonomy Rules'!$C$9:$C$20,0)),0))),IFERROR(INDEX('Taxonomy Rules'!$G$9:$G$20,MATCH(H39&amp;"::"&amp;G39,'Taxonomy Rules'!$C$9:$C$20,0)),0)&lt;=0,AND(G39="Building renovation",IFERROR(INDEX('Taxonomy Rules'!$G$9:$G$20,MATCH(H39&amp;"::"&amp;G39,'Taxonomy Rules'!$C$9:$C$20,0)),0)&gt;1)))),"Criteria required",IF(G39="Solar PV",IF(M39&lt;&gt;"Eligible activity","Criteria required",IF(K39=1,"Pass","Fail")),IF(G39="Cement",IF(M39="Amber",IF(H39="Jordan 2026",IF(YEAR(Settings!$F$8)&lt;2040,"Amber","Fail"),"Criteria required"),IF(M39&lt;&gt;"Green","Criteria required",IF(H39="Jordan 2026",IF(IFERROR(INDEX('Taxonomy Rules'!$P$9:$P$14,MATCH(J39,'Taxonomy Rules'!$O$9:$O$14,0)),0)=0,"Criteria required",IF(K39&lt;=IFERROR(INDEX('Taxonomy Rules'!$P$9:$P$14,MATCH(J39,'Taxonomy Rules'!$O$9:$O$14,0)),0),"Pass","Fail")),IF(K39&lt;=IFERROR(INDEX('Taxonomy Rules'!$G$9:$G$20,MATCH(H39&amp;"::"&amp;G39,'Taxonomy Rules'!$C$9:$C$20,0)),0),"Pass","Fail")))),IF(G39="Building renovation",IF(M39="Whole building",IF(K39=1,"Pass","Fail"),IF(M39&lt;&gt;"Improvement","Criteria required",IF(OR(K39&gt;1,NOT(ISNUMBER(L39)),L39&lt;0,L39&gt;1),"Criteria required",IF(MAX(K39,L39)&lt;IFERROR(INDEX('Taxonomy Rules'!$G$9:$G$20,MATCH(H39&amp;"::"&amp;G39,'Taxonomy Rules'!$C$9:$C$20,0)),0),"Fail",IF(H39="Jordan 2026",IF(YEAR(Settings!$F$8)&lt;2035,"Amber",IF(YEAR(Settings!$F$8)=2035,"Criteria required","Fail")),"Pass"))))),IF(G39="Road freight",IF(M39&lt;&gt;"Zero emissions","Criteria required",IF(AND(K39=0,ISNUMBER(L39),L39=0),"Pass","Fail")),IF(G39="New building",IF(NOT(OR(M39="Green",M39="Amber")),"Criteria required",IF(K39&lt;&gt;1,"Fail",IF(M39="Amber",IF(H39="Jordan 2026",IF(YEAR(Settings!$F$8)&lt;2030,"Amber",IF(YEAR(Settings!$F$8)=2030,"Criteria required","Fail")),"Criteria required"),"Pass"))),IF(G39="Building equipment",IF(M39&lt;&gt;"Equipment","Criteria required",IF(K39=1,"Pass","Fail")),"Criteria required")))))))))</x:f>
        <x:v>Criteria required</x:v>
      </x:c>
      <x:c r="V39" s="9" t="n">
        <x:f>IF(C39="","",IFERROR(INDEX('Taxonomy Rules'!$J$9:$J$20,MATCH(H39&amp;"::"&amp;G39,'Taxonomy Rules'!$C$9:$C$20,0)),0))</x:f>
        <x:v>0</x:v>
      </x:c>
      <x:c r="W39" s="9" t="n">
        <x:f>IF(C39="","",COUNTIFS('Taxonomy Tests'!$D$9:$D$2008,C39,'Taxonomy Tests'!$Q$9:$Q$2008,"Complete"))</x:f>
        <x:v>0</x:v>
      </x:c>
      <x:c r="X39" s="9" t="n">
        <x:f>IF(C39="","",COUNTIFS('Taxonomy Tests'!$D$9:$D$2008,C39,'Taxonomy Tests'!$P$9:$P$2008,"Fail"))</x:f>
        <x:v>0</x:v>
      </x:c>
      <x:c r="Y39" s="9" t="n">
        <x:f>IF(C39="","",MAX(0,V39-W39)+COUNTIFS('Taxonomy Tests'!$D$9:$D$2008,C39,'Taxonomy Tests'!$R$9:$R$2008,"Duplicate test")+COUNTIFS('Taxonomy Tests'!$D$9:$D$2008,C39,'Taxonomy Tests'!$R$9:$R$2008,"Unexpected test"))</x:f>
        <x:v>0</x:v>
      </x:c>
      <x:c r="Z39" s="9" t="str">
        <x:f>IF(C39="","",IF(X39&gt;0,"Fail",IF(AND(V39&gt;0,W39=V39,Y39=0,COUNTIF('Taxonomy Tests'!$D$9:$D$2008,C39)=V39),"Pass","Pending")))</x:f>
        <x:v>Pending</x:v>
      </x:c>
      <x:c r="AA39" s="9" t="str">
        <x:f>IF(C39="","",IF(COUNTIF(Facilities!$C$9:$C$108,D39)&lt;&gt;1,"Facility key",IF(OR(NOT(ISNUMBER(N39)),N39&lt;0),"Amount required",IF(SUMIF($D$9:$D$108,D39,$N$9:$N$108)&gt;IFERROR(INDEX('Facilities'!$AA$9:$AA$108,MATCH(D39,'Facilities'!$C$9:$C$108,0)),"")+0.000001,"Overallocated",IF(N39=0,"No allocation",IF(O39="","Evidence required","Valid"))))))</x:f>
        <x:v>No allocation</x:v>
      </x:c>
      <x:c r="AB39" s="3" t="str">
        <x:f>IF(C39="","",IF(OR(U39="Fail",Z39="Fail"),IF(H39="Jordan 2026","Red / not aligned","Not eligible"),IF(OR(U39="Criteria required",V39=0),"Criteria required",IF(Z39&lt;&gt;"Pass","Pending",IF(U39="Amber","Amber",IF(H39="Jordan 2026","Green","Eligible (internal)"))))))</x:f>
        <x:v>Criteria required</x:v>
      </x:c>
      <x:c r="AC39" s="9" t="str">
        <x:f>IF(C39="","",IF(T39="Rejected","Rejected",IF(OR(AB39="Red / not aligned",AB39="Not eligible"),"Not eligible",IF(OR(AH39&lt;&gt;"Current",T39&lt;&gt;"Approved",Z39&lt;&gt;"Pass",(COUNTIFS('Actions'!$D$9:$D$308,E39,'Actions'!$E$9:$E$308,"E&amp;S",'Actions'!$F$9:$F$308,"Critical",'Actions'!$P$9:$P$308,"&lt;&gt;Closed",'Actions'!$C$9:$C$308,"&lt;&gt;")+COUNTIFS('Actions'!$D$9:$D$308,E39,'Actions'!$E$9:$E$308,"Taxonomy",'Actions'!$F$9:$F$308,"Critical",'Actions'!$P$9:$P$308,"&lt;&gt;Closed",'Actions'!$C$9:$C$308,"&lt;&gt;")+COUNTIFS('ESG'!$C$9:$C$108,E39,'ESG'!$H$9:$H$108,"Yes"))&gt;0,AND(AB39&lt;&gt;"Green",AB39&lt;&gt;"Amber",AB39&lt;&gt;"Eligible (internal)")),"Pending",IF(AA39="No allocation","Activity only",IF(AA39&lt;&gt;"Valid","Pending","Approved"))))))</x:f>
        <x:v>Pending</x:v>
      </x:c>
      <x:c r="AD39" s="21" t="n">
        <x:f>IF(C39="","",IF(AND(AC39="Approved",OR(AB39="Green",AB39="Eligible (internal)")),N39,0))</x:f>
        <x:v>0</x:v>
      </x:c>
      <x:c r="AE39" s="21" t="n">
        <x:f>IF(C39="","",IF(AND(AC39="Approved",AB39="Amber"),N39,0))</x:f>
        <x:v>0</x:v>
      </x:c>
      <x:c r="AF39" s="9" t="str">
        <x:f>IF(C39="","",IF((COUNTIFS('Actions'!$D$9:$D$308,E39,'Actions'!$E$9:$E$308,"E&amp;S",'Actions'!$F$9:$F$308,"Critical",'Actions'!$P$9:$P$308,"&lt;&gt;Closed",'Actions'!$C$9:$C$308,"&lt;&gt;")+COUNTIFS('Actions'!$D$9:$D$308,E39,'Actions'!$E$9:$E$308,"Taxonomy",'Actions'!$F$9:$F$308,"Critical",'Actions'!$P$9:$P$308,"&lt;&gt;Closed",'Actions'!$C$9:$C$308,"&lt;&gt;")+COUNTIFS('ESG'!$C$9:$C$108,E39,'ESG'!$H$9:$H$108,"Yes"))&gt;0,"Resolve critical E&amp;S / taxonomy issue",IF(AH39&lt;&gt;"Current",AH39,IF(Z39&lt;&gt;"Pass","Review individual tests",IF(U39="Criteria required","Sourced criteria / interpretation required",IF(AA39&lt;&gt;"Valid",AA39,IF(T39&lt;&gt;"Approved","Approval required",I39)))))))</x:f>
        <x:v>Resolve critical E&amp;S / taxonomy issue</x:v>
      </x:c>
      <x:c r="AG39" s="9" t="str">
        <x:f>IF(C39="","",IFERROR(INDEX('Taxonomy Rules'!$L$9:$L$20,MATCH(H39&amp;"::"&amp;G39,'Taxonomy Rules'!$C$9:$C$20,0)),"Unimplemented activity"))</x:f>
        <x:v>Unimplemented activity</x:v>
      </x:c>
      <x:c r="AH39" s="9" t="str">
        <x:f>IF(C39="","",IF(COUNTIF($C$9:$C$108,C39)&lt;&gt;1,"Duplicate ID",IF(OR(COUNTIF(Facilities!$C$9:$C$108,D39)&lt;&gt;1,COUNTIF(Borrowers!$C$9:$C$108,E39)&lt;&gt;1),"Key review",IF(OR(P39="",Q39="",P39=Q39,NOT(ISNUMBER(R39)),NOT(ISNUMBER(S39)),R39&gt;Settings!$F$8,S39&lt;R39),"Review required",IF(S39&lt;Settings!$F$8,"Expired","Current")))))</x:f>
        <x:v>Current</x:v>
      </x:c>
    </x:row>
    <x:row r="40" ht="26" customHeight="1">
      <x:c r="A40" s="1"/>
      <x:c r="B40" s="1"/>
      <x:c r="C40" s="8" t="str">
        <x:v>TAX-F032</x:v>
      </x:c>
      <x:c r="D40" s="8" t="str">
        <x:v>F032</x:v>
      </x:c>
      <x:c r="E40" s="9" t="str">
        <x:f>IF(C40="","",IFERROR(INDEX('Facilities'!$D$9:$D$108,MATCH(D40,'Facilities'!$C$9:$C$108,0)),""))</x:f>
        <x:v>B020</x:v>
      </x:c>
      <x:c r="F40" s="9" t="str">
        <x:f>IF(C40="","",IFERROR(INDEX('Borrowers'!$E$9:$E$108,MATCH(E40,'Borrowers'!$C$9:$C$108,0)),""))</x:f>
        <x:v>Egypt</x:v>
      </x:c>
      <x:c r="G40" s="9" t="str">
        <x:f>IF(C40="","",IFERROR(INDEX('Facilities'!$W$9:$W$108,MATCH(D40,'Facilities'!$C$9:$C$108,0)),""))</x:f>
        <x:v>Other</x:v>
      </x:c>
      <x:c r="H40" s="9" t="str">
        <x:f>IF(C40="","",Settings!$F$11)</x:f>
        <x:v>Internal criteria</x:v>
      </x:c>
      <x:c r="I40" s="3" t="str">
        <x:f>IF(C40="","",IF(H40="Jordan 2026",IF(F40="Jordan","Jordan taxonomy","Reference benchmark"),"Internal policy"))</x:f>
        <x:v>Internal policy</x:v>
      </x:c>
      <x:c r="J40" s="8" t="n">
        <x:v>2025</x:v>
      </x:c>
      <x:c r="K40" s="35" t="str"/>
      <x:c r="L40" s="35" t="str"/>
      <x:c r="M40" s="8" t="str">
        <x:v>Unspecified</x:v>
      </x:c>
      <x:c r="N40" s="16" t="n">
        <x:v>0</x:v>
      </x:c>
      <x:c r="O40" s="8" t="str"/>
      <x:c r="P40" s="8" t="str">
        <x:v>Taxonomy analyst 2</x:v>
      </x:c>
      <x:c r="Q40" s="8" t="str">
        <x:v>Taxonomy reviewer 2</x:v>
      </x:c>
      <x:c r="R40" s="10" t="n">
        <x:v>46266</x:v>
      </x:c>
      <x:c r="S40" s="10" t="n">
        <x:v>46631</x:v>
      </x:c>
      <x:c r="T40" s="8" t="str">
        <x:v>Pending</x:v>
      </x:c>
      <x:c r="U40" s="9" t="str">
        <x:f>IF(C40="","",IF(V40=0,"Criteria required",IF(OR(NOT(ISNUMBER(J40)),J40&lt;1900,J40&gt;YEAR(Settings!$F$8),IFERROR(MOD(J40,1),1)&lt;&gt;0,NOT(ISNUMBER(K40)),K40&lt;0,AND(H40="Internal criteria",OR(G40="Cement",G40="Building renovation"),OR(NOT(ISNUMBER(IFERROR(INDEX('Taxonomy Rules'!$G$9:$G$20,MATCH(H40&amp;"::"&amp;G40,'Taxonomy Rules'!$C$9:$C$20,0)),0))),IFERROR(INDEX('Taxonomy Rules'!$G$9:$G$20,MATCH(H40&amp;"::"&amp;G40,'Taxonomy Rules'!$C$9:$C$20,0)),0)&lt;=0,AND(G40="Building renovation",IFERROR(INDEX('Taxonomy Rules'!$G$9:$G$20,MATCH(H40&amp;"::"&amp;G40,'Taxonomy Rules'!$C$9:$C$20,0)),0)&gt;1)))),"Criteria required",IF(G40="Solar PV",IF(M40&lt;&gt;"Eligible activity","Criteria required",IF(K40=1,"Pass","Fail")),IF(G40="Cement",IF(M40="Amber",IF(H40="Jordan 2026",IF(YEAR(Settings!$F$8)&lt;2040,"Amber","Fail"),"Criteria required"),IF(M40&lt;&gt;"Green","Criteria required",IF(H40="Jordan 2026",IF(IFERROR(INDEX('Taxonomy Rules'!$P$9:$P$14,MATCH(J40,'Taxonomy Rules'!$O$9:$O$14,0)),0)=0,"Criteria required",IF(K40&lt;=IFERROR(INDEX('Taxonomy Rules'!$P$9:$P$14,MATCH(J40,'Taxonomy Rules'!$O$9:$O$14,0)),0),"Pass","Fail")),IF(K40&lt;=IFERROR(INDEX('Taxonomy Rules'!$G$9:$G$20,MATCH(H40&amp;"::"&amp;G40,'Taxonomy Rules'!$C$9:$C$20,0)),0),"Pass","Fail")))),IF(G40="Building renovation",IF(M40="Whole building",IF(K40=1,"Pass","Fail"),IF(M40&lt;&gt;"Improvement","Criteria required",IF(OR(K40&gt;1,NOT(ISNUMBER(L40)),L40&lt;0,L40&gt;1),"Criteria required",IF(MAX(K40,L40)&lt;IFERROR(INDEX('Taxonomy Rules'!$G$9:$G$20,MATCH(H40&amp;"::"&amp;G40,'Taxonomy Rules'!$C$9:$C$20,0)),0),"Fail",IF(H40="Jordan 2026",IF(YEAR(Settings!$F$8)&lt;2035,"Amber",IF(YEAR(Settings!$F$8)=2035,"Criteria required","Fail")),"Pass"))))),IF(G40="Road freight",IF(M40&lt;&gt;"Zero emissions","Criteria required",IF(AND(K40=0,ISNUMBER(L40),L40=0),"Pass","Fail")),IF(G40="New building",IF(NOT(OR(M40="Green",M40="Amber")),"Criteria required",IF(K40&lt;&gt;1,"Fail",IF(M40="Amber",IF(H40="Jordan 2026",IF(YEAR(Settings!$F$8)&lt;2030,"Amber",IF(YEAR(Settings!$F$8)=2030,"Criteria required","Fail")),"Criteria required"),"Pass"))),IF(G40="Building equipment",IF(M40&lt;&gt;"Equipment","Criteria required",IF(K40=1,"Pass","Fail")),"Criteria required")))))))))</x:f>
        <x:v>Criteria required</x:v>
      </x:c>
      <x:c r="V40" s="9" t="n">
        <x:f>IF(C40="","",IFERROR(INDEX('Taxonomy Rules'!$J$9:$J$20,MATCH(H40&amp;"::"&amp;G40,'Taxonomy Rules'!$C$9:$C$20,0)),0))</x:f>
        <x:v>0</x:v>
      </x:c>
      <x:c r="W40" s="9" t="n">
        <x:f>IF(C40="","",COUNTIFS('Taxonomy Tests'!$D$9:$D$2008,C40,'Taxonomy Tests'!$Q$9:$Q$2008,"Complete"))</x:f>
        <x:v>0</x:v>
      </x:c>
      <x:c r="X40" s="9" t="n">
        <x:f>IF(C40="","",COUNTIFS('Taxonomy Tests'!$D$9:$D$2008,C40,'Taxonomy Tests'!$P$9:$P$2008,"Fail"))</x:f>
        <x:v>0</x:v>
      </x:c>
      <x:c r="Y40" s="9" t="n">
        <x:f>IF(C40="","",MAX(0,V40-W40)+COUNTIFS('Taxonomy Tests'!$D$9:$D$2008,C40,'Taxonomy Tests'!$R$9:$R$2008,"Duplicate test")+COUNTIFS('Taxonomy Tests'!$D$9:$D$2008,C40,'Taxonomy Tests'!$R$9:$R$2008,"Unexpected test"))</x:f>
        <x:v>0</x:v>
      </x:c>
      <x:c r="Z40" s="9" t="str">
        <x:f>IF(C40="","",IF(X40&gt;0,"Fail",IF(AND(V40&gt;0,W40=V40,Y40=0,COUNTIF('Taxonomy Tests'!$D$9:$D$2008,C40)=V40),"Pass","Pending")))</x:f>
        <x:v>Pending</x:v>
      </x:c>
      <x:c r="AA40" s="9" t="str">
        <x:f>IF(C40="","",IF(COUNTIF(Facilities!$C$9:$C$108,D40)&lt;&gt;1,"Facility key",IF(OR(NOT(ISNUMBER(N40)),N40&lt;0),"Amount required",IF(SUMIF($D$9:$D$108,D40,$N$9:$N$108)&gt;IFERROR(INDEX('Facilities'!$AA$9:$AA$108,MATCH(D40,'Facilities'!$C$9:$C$108,0)),"")+0.000001,"Overallocated",IF(N40=0,"No allocation",IF(O40="","Evidence required","Valid"))))))</x:f>
        <x:v>No allocation</x:v>
      </x:c>
      <x:c r="AB40" s="3" t="str">
        <x:f>IF(C40="","",IF(OR(U40="Fail",Z40="Fail"),IF(H40="Jordan 2026","Red / not aligned","Not eligible"),IF(OR(U40="Criteria required",V40=0),"Criteria required",IF(Z40&lt;&gt;"Pass","Pending",IF(U40="Amber","Amber",IF(H40="Jordan 2026","Green","Eligible (internal)"))))))</x:f>
        <x:v>Criteria required</x:v>
      </x:c>
      <x:c r="AC40" s="9" t="str">
        <x:f>IF(C40="","",IF(T40="Rejected","Rejected",IF(OR(AB40="Red / not aligned",AB40="Not eligible"),"Not eligible",IF(OR(AH40&lt;&gt;"Current",T40&lt;&gt;"Approved",Z40&lt;&gt;"Pass",(COUNTIFS('Actions'!$D$9:$D$308,E40,'Actions'!$E$9:$E$308,"E&amp;S",'Actions'!$F$9:$F$308,"Critical",'Actions'!$P$9:$P$308,"&lt;&gt;Closed",'Actions'!$C$9:$C$308,"&lt;&gt;")+COUNTIFS('Actions'!$D$9:$D$308,E40,'Actions'!$E$9:$E$308,"Taxonomy",'Actions'!$F$9:$F$308,"Critical",'Actions'!$P$9:$P$308,"&lt;&gt;Closed",'Actions'!$C$9:$C$308,"&lt;&gt;")+COUNTIFS('ESG'!$C$9:$C$108,E40,'ESG'!$H$9:$H$108,"Yes"))&gt;0,AND(AB40&lt;&gt;"Green",AB40&lt;&gt;"Amber",AB40&lt;&gt;"Eligible (internal)")),"Pending",IF(AA40="No allocation","Activity only",IF(AA40&lt;&gt;"Valid","Pending","Approved"))))))</x:f>
        <x:v>Pending</x:v>
      </x:c>
      <x:c r="AD40" s="21" t="n">
        <x:f>IF(C40="","",IF(AND(AC40="Approved",OR(AB40="Green",AB40="Eligible (internal)")),N40,0))</x:f>
        <x:v>0</x:v>
      </x:c>
      <x:c r="AE40" s="21" t="n">
        <x:f>IF(C40="","",IF(AND(AC40="Approved",AB40="Amber"),N40,0))</x:f>
        <x:v>0</x:v>
      </x:c>
      <x:c r="AF40" s="9" t="str">
        <x:f>IF(C40="","",IF((COUNTIFS('Actions'!$D$9:$D$308,E40,'Actions'!$E$9:$E$308,"E&amp;S",'Actions'!$F$9:$F$308,"Critical",'Actions'!$P$9:$P$308,"&lt;&gt;Closed",'Actions'!$C$9:$C$308,"&lt;&gt;")+COUNTIFS('Actions'!$D$9:$D$308,E40,'Actions'!$E$9:$E$308,"Taxonomy",'Actions'!$F$9:$F$308,"Critical",'Actions'!$P$9:$P$308,"&lt;&gt;Closed",'Actions'!$C$9:$C$308,"&lt;&gt;")+COUNTIFS('ESG'!$C$9:$C$108,E40,'ESG'!$H$9:$H$108,"Yes"))&gt;0,"Resolve critical E&amp;S / taxonomy issue",IF(AH40&lt;&gt;"Current",AH40,IF(Z40&lt;&gt;"Pass","Review individual tests",IF(U40="Criteria required","Sourced criteria / interpretation required",IF(AA40&lt;&gt;"Valid",AA40,IF(T40&lt;&gt;"Approved","Approval required",I40)))))))</x:f>
        <x:v>Review individual tests</x:v>
      </x:c>
      <x:c r="AG40" s="9" t="str">
        <x:f>IF(C40="","",IFERROR(INDEX('Taxonomy Rules'!$L$9:$L$20,MATCH(H40&amp;"::"&amp;G40,'Taxonomy Rules'!$C$9:$C$20,0)),"Unimplemented activity"))</x:f>
        <x:v>Unimplemented activity</x:v>
      </x:c>
      <x:c r="AH40" s="9" t="str">
        <x:f>IF(C40="","",IF(COUNTIF($C$9:$C$108,C40)&lt;&gt;1,"Duplicate ID",IF(OR(COUNTIF(Facilities!$C$9:$C$108,D40)&lt;&gt;1,COUNTIF(Borrowers!$C$9:$C$108,E40)&lt;&gt;1),"Key review",IF(OR(P40="",Q40="",P40=Q40,NOT(ISNUMBER(R40)),NOT(ISNUMBER(S40)),R40&gt;Settings!$F$8,S40&lt;R40),"Review required",IF(S40&lt;Settings!$F$8,"Expired","Current")))))</x:f>
        <x:v>Current</x:v>
      </x:c>
    </x:row>
    <x:row r="41" ht="26" customHeight="1">
      <x:c r="A41" s="1"/>
      <x:c r="B41" s="1"/>
      <x:c r="C41" s="8" t="str">
        <x:v>TAX-F033</x:v>
      </x:c>
      <x:c r="D41" s="8" t="str">
        <x:v>F033</x:v>
      </x:c>
      <x:c r="E41" s="9" t="str">
        <x:f>IF(C41="","",IFERROR(INDEX('Facilities'!$D$9:$D$108,MATCH(D41,'Facilities'!$C$9:$C$108,0)),""))</x:f>
        <x:v>B021</x:v>
      </x:c>
      <x:c r="F41" s="9" t="str">
        <x:f>IF(C41="","",IFERROR(INDEX('Borrowers'!$E$9:$E$108,MATCH(E41,'Borrowers'!$C$9:$C$108,0)),""))</x:f>
        <x:v>Egypt</x:v>
      </x:c>
      <x:c r="G41" s="9" t="str">
        <x:f>IF(C41="","",IFERROR(INDEX('Facilities'!$W$9:$W$108,MATCH(D41,'Facilities'!$C$9:$C$108,0)),""))</x:f>
        <x:v>Other</x:v>
      </x:c>
      <x:c r="H41" s="9" t="str">
        <x:f>IF(C41="","",Settings!$F$11)</x:f>
        <x:v>Internal criteria</x:v>
      </x:c>
      <x:c r="I41" s="3" t="str">
        <x:f>IF(C41="","",IF(H41="Jordan 2026",IF(F41="Jordan","Jordan taxonomy","Reference benchmark"),"Internal policy"))</x:f>
        <x:v>Internal policy</x:v>
      </x:c>
      <x:c r="J41" s="8" t="n">
        <x:v>2025</x:v>
      </x:c>
      <x:c r="K41" s="35" t="str"/>
      <x:c r="L41" s="35" t="str"/>
      <x:c r="M41" s="8" t="str">
        <x:v>Unspecified</x:v>
      </x:c>
      <x:c r="N41" s="16" t="n">
        <x:v>0</x:v>
      </x:c>
      <x:c r="O41" s="8" t="str"/>
      <x:c r="P41" s="8" t="str">
        <x:v>Taxonomy analyst 3</x:v>
      </x:c>
      <x:c r="Q41" s="8" t="str">
        <x:v>Taxonomy reviewer 1</x:v>
      </x:c>
      <x:c r="R41" s="10" t="n">
        <x:v>46266</x:v>
      </x:c>
      <x:c r="S41" s="10" t="n">
        <x:v>46631</x:v>
      </x:c>
      <x:c r="T41" s="8" t="str">
        <x:v>Pending</x:v>
      </x:c>
      <x:c r="U41" s="9" t="str">
        <x:f>IF(C41="","",IF(V41=0,"Criteria required",IF(OR(NOT(ISNUMBER(J41)),J41&lt;1900,J41&gt;YEAR(Settings!$F$8),IFERROR(MOD(J41,1),1)&lt;&gt;0,NOT(ISNUMBER(K41)),K41&lt;0,AND(H41="Internal criteria",OR(G41="Cement",G41="Building renovation"),OR(NOT(ISNUMBER(IFERROR(INDEX('Taxonomy Rules'!$G$9:$G$20,MATCH(H41&amp;"::"&amp;G41,'Taxonomy Rules'!$C$9:$C$20,0)),0))),IFERROR(INDEX('Taxonomy Rules'!$G$9:$G$20,MATCH(H41&amp;"::"&amp;G41,'Taxonomy Rules'!$C$9:$C$20,0)),0)&lt;=0,AND(G41="Building renovation",IFERROR(INDEX('Taxonomy Rules'!$G$9:$G$20,MATCH(H41&amp;"::"&amp;G41,'Taxonomy Rules'!$C$9:$C$20,0)),0)&gt;1)))),"Criteria required",IF(G41="Solar PV",IF(M41&lt;&gt;"Eligible activity","Criteria required",IF(K41=1,"Pass","Fail")),IF(G41="Cement",IF(M41="Amber",IF(H41="Jordan 2026",IF(YEAR(Settings!$F$8)&lt;2040,"Amber","Fail"),"Criteria required"),IF(M41&lt;&gt;"Green","Criteria required",IF(H41="Jordan 2026",IF(IFERROR(INDEX('Taxonomy Rules'!$P$9:$P$14,MATCH(J41,'Taxonomy Rules'!$O$9:$O$14,0)),0)=0,"Criteria required",IF(K41&lt;=IFERROR(INDEX('Taxonomy Rules'!$P$9:$P$14,MATCH(J41,'Taxonomy Rules'!$O$9:$O$14,0)),0),"Pass","Fail")),IF(K41&lt;=IFERROR(INDEX('Taxonomy Rules'!$G$9:$G$20,MATCH(H41&amp;"::"&amp;G41,'Taxonomy Rules'!$C$9:$C$20,0)),0),"Pass","Fail")))),IF(G41="Building renovation",IF(M41="Whole building",IF(K41=1,"Pass","Fail"),IF(M41&lt;&gt;"Improvement","Criteria required",IF(OR(K41&gt;1,NOT(ISNUMBER(L41)),L41&lt;0,L41&gt;1),"Criteria required",IF(MAX(K41,L41)&lt;IFERROR(INDEX('Taxonomy Rules'!$G$9:$G$20,MATCH(H41&amp;"::"&amp;G41,'Taxonomy Rules'!$C$9:$C$20,0)),0),"Fail",IF(H41="Jordan 2026",IF(YEAR(Settings!$F$8)&lt;2035,"Amber",IF(YEAR(Settings!$F$8)=2035,"Criteria required","Fail")),"Pass"))))),IF(G41="Road freight",IF(M41&lt;&gt;"Zero emissions","Criteria required",IF(AND(K41=0,ISNUMBER(L41),L41=0),"Pass","Fail")),IF(G41="New building",IF(NOT(OR(M41="Green",M41="Amber")),"Criteria required",IF(K41&lt;&gt;1,"Fail",IF(M41="Amber",IF(H41="Jordan 2026",IF(YEAR(Settings!$F$8)&lt;2030,"Amber",IF(YEAR(Settings!$F$8)=2030,"Criteria required","Fail")),"Criteria required"),"Pass"))),IF(G41="Building equipment",IF(M41&lt;&gt;"Equipment","Criteria required",IF(K41=1,"Pass","Fail")),"Criteria required")))))))))</x:f>
        <x:v>Criteria required</x:v>
      </x:c>
      <x:c r="V41" s="9" t="n">
        <x:f>IF(C41="","",IFERROR(INDEX('Taxonomy Rules'!$J$9:$J$20,MATCH(H41&amp;"::"&amp;G41,'Taxonomy Rules'!$C$9:$C$20,0)),0))</x:f>
        <x:v>0</x:v>
      </x:c>
      <x:c r="W41" s="9" t="n">
        <x:f>IF(C41="","",COUNTIFS('Taxonomy Tests'!$D$9:$D$2008,C41,'Taxonomy Tests'!$Q$9:$Q$2008,"Complete"))</x:f>
        <x:v>0</x:v>
      </x:c>
      <x:c r="X41" s="9" t="n">
        <x:f>IF(C41="","",COUNTIFS('Taxonomy Tests'!$D$9:$D$2008,C41,'Taxonomy Tests'!$P$9:$P$2008,"Fail"))</x:f>
        <x:v>0</x:v>
      </x:c>
      <x:c r="Y41" s="9" t="n">
        <x:f>IF(C41="","",MAX(0,V41-W41)+COUNTIFS('Taxonomy Tests'!$D$9:$D$2008,C41,'Taxonomy Tests'!$R$9:$R$2008,"Duplicate test")+COUNTIFS('Taxonomy Tests'!$D$9:$D$2008,C41,'Taxonomy Tests'!$R$9:$R$2008,"Unexpected test"))</x:f>
        <x:v>0</x:v>
      </x:c>
      <x:c r="Z41" s="9" t="str">
        <x:f>IF(C41="","",IF(X41&gt;0,"Fail",IF(AND(V41&gt;0,W41=V41,Y41=0,COUNTIF('Taxonomy Tests'!$D$9:$D$2008,C41)=V41),"Pass","Pending")))</x:f>
        <x:v>Pending</x:v>
      </x:c>
      <x:c r="AA41" s="9" t="str">
        <x:f>IF(C41="","",IF(COUNTIF(Facilities!$C$9:$C$108,D41)&lt;&gt;1,"Facility key",IF(OR(NOT(ISNUMBER(N41)),N41&lt;0),"Amount required",IF(SUMIF($D$9:$D$108,D41,$N$9:$N$108)&gt;IFERROR(INDEX('Facilities'!$AA$9:$AA$108,MATCH(D41,'Facilities'!$C$9:$C$108,0)),"")+0.000001,"Overallocated",IF(N41=0,"No allocation",IF(O41="","Evidence required","Valid"))))))</x:f>
        <x:v>No allocation</x:v>
      </x:c>
      <x:c r="AB41" s="3" t="str">
        <x:f>IF(C41="","",IF(OR(U41="Fail",Z41="Fail"),IF(H41="Jordan 2026","Red / not aligned","Not eligible"),IF(OR(U41="Criteria required",V41=0),"Criteria required",IF(Z41&lt;&gt;"Pass","Pending",IF(U41="Amber","Amber",IF(H41="Jordan 2026","Green","Eligible (internal)"))))))</x:f>
        <x:v>Criteria required</x:v>
      </x:c>
      <x:c r="AC41" s="9" t="str">
        <x:f>IF(C41="","",IF(T41="Rejected","Rejected",IF(OR(AB41="Red / not aligned",AB41="Not eligible"),"Not eligible",IF(OR(AH41&lt;&gt;"Current",T41&lt;&gt;"Approved",Z41&lt;&gt;"Pass",(COUNTIFS('Actions'!$D$9:$D$308,E41,'Actions'!$E$9:$E$308,"E&amp;S",'Actions'!$F$9:$F$308,"Critical",'Actions'!$P$9:$P$308,"&lt;&gt;Closed",'Actions'!$C$9:$C$308,"&lt;&gt;")+COUNTIFS('Actions'!$D$9:$D$308,E41,'Actions'!$E$9:$E$308,"Taxonomy",'Actions'!$F$9:$F$308,"Critical",'Actions'!$P$9:$P$308,"&lt;&gt;Closed",'Actions'!$C$9:$C$308,"&lt;&gt;")+COUNTIFS('ESG'!$C$9:$C$108,E41,'ESG'!$H$9:$H$108,"Yes"))&gt;0,AND(AB41&lt;&gt;"Green",AB41&lt;&gt;"Amber",AB41&lt;&gt;"Eligible (internal)")),"Pending",IF(AA41="No allocation","Activity only",IF(AA41&lt;&gt;"Valid","Pending","Approved"))))))</x:f>
        <x:v>Pending</x:v>
      </x:c>
      <x:c r="AD41" s="21" t="n">
        <x:f>IF(C41="","",IF(AND(AC41="Approved",OR(AB41="Green",AB41="Eligible (internal)")),N41,0))</x:f>
        <x:v>0</x:v>
      </x:c>
      <x:c r="AE41" s="21" t="n">
        <x:f>IF(C41="","",IF(AND(AC41="Approved",AB41="Amber"),N41,0))</x:f>
        <x:v>0</x:v>
      </x:c>
      <x:c r="AF41" s="9" t="str">
        <x:f>IF(C41="","",IF((COUNTIFS('Actions'!$D$9:$D$308,E41,'Actions'!$E$9:$E$308,"E&amp;S",'Actions'!$F$9:$F$308,"Critical",'Actions'!$P$9:$P$308,"&lt;&gt;Closed",'Actions'!$C$9:$C$308,"&lt;&gt;")+COUNTIFS('Actions'!$D$9:$D$308,E41,'Actions'!$E$9:$E$308,"Taxonomy",'Actions'!$F$9:$F$308,"Critical",'Actions'!$P$9:$P$308,"&lt;&gt;Closed",'Actions'!$C$9:$C$308,"&lt;&gt;")+COUNTIFS('ESG'!$C$9:$C$108,E41,'ESG'!$H$9:$H$108,"Yes"))&gt;0,"Resolve critical E&amp;S / taxonomy issue",IF(AH41&lt;&gt;"Current",AH41,IF(Z41&lt;&gt;"Pass","Review individual tests",IF(U41="Criteria required","Sourced criteria / interpretation required",IF(AA41&lt;&gt;"Valid",AA41,IF(T41&lt;&gt;"Approved","Approval required",I41)))))))</x:f>
        <x:v>Review individual tests</x:v>
      </x:c>
      <x:c r="AG41" s="9" t="str">
        <x:f>IF(C41="","",IFERROR(INDEX('Taxonomy Rules'!$L$9:$L$20,MATCH(H41&amp;"::"&amp;G41,'Taxonomy Rules'!$C$9:$C$20,0)),"Unimplemented activity"))</x:f>
        <x:v>Unimplemented activity</x:v>
      </x:c>
      <x:c r="AH41" s="9" t="str">
        <x:f>IF(C41="","",IF(COUNTIF($C$9:$C$108,C41)&lt;&gt;1,"Duplicate ID",IF(OR(COUNTIF(Facilities!$C$9:$C$108,D41)&lt;&gt;1,COUNTIF(Borrowers!$C$9:$C$108,E41)&lt;&gt;1),"Key review",IF(OR(P41="",Q41="",P41=Q41,NOT(ISNUMBER(R41)),NOT(ISNUMBER(S41)),R41&gt;Settings!$F$8,S41&lt;R41),"Review required",IF(S41&lt;Settings!$F$8,"Expired","Current")))))</x:f>
        <x:v>Current</x:v>
      </x:c>
    </x:row>
    <x:row r="42" ht="26" customHeight="1">
      <x:c r="A42" s="1"/>
      <x:c r="B42" s="1"/>
      <x:c r="C42" s="8" t="str">
        <x:v>TAX-F034</x:v>
      </x:c>
      <x:c r="D42" s="8" t="str">
        <x:v>F034</x:v>
      </x:c>
      <x:c r="E42" s="9" t="str">
        <x:f>IF(C42="","",IFERROR(INDEX('Facilities'!$D$9:$D$108,MATCH(D42,'Facilities'!$C$9:$C$108,0)),""))</x:f>
        <x:v>B022</x:v>
      </x:c>
      <x:c r="F42" s="9" t="str">
        <x:f>IF(C42="","",IFERROR(INDEX('Borrowers'!$E$9:$E$108,MATCH(E42,'Borrowers'!$C$9:$C$108,0)),""))</x:f>
        <x:v>Jordan</x:v>
      </x:c>
      <x:c r="G42" s="9" t="str">
        <x:f>IF(C42="","",IFERROR(INDEX('Facilities'!$W$9:$W$108,MATCH(D42,'Facilities'!$C$9:$C$108,0)),""))</x:f>
        <x:v>Other</x:v>
      </x:c>
      <x:c r="H42" s="9" t="str">
        <x:f>IF(C42="","",Settings!$F$11)</x:f>
        <x:v>Internal criteria</x:v>
      </x:c>
      <x:c r="I42" s="3" t="str">
        <x:f>IF(C42="","",IF(H42="Jordan 2026",IF(F42="Jordan","Jordan taxonomy","Reference benchmark"),"Internal policy"))</x:f>
        <x:v>Internal policy</x:v>
      </x:c>
      <x:c r="J42" s="8" t="n">
        <x:v>2025</x:v>
      </x:c>
      <x:c r="K42" s="35" t="str"/>
      <x:c r="L42" s="35" t="str"/>
      <x:c r="M42" s="8" t="str">
        <x:v>Unspecified</x:v>
      </x:c>
      <x:c r="N42" s="16" t="n">
        <x:v>0</x:v>
      </x:c>
      <x:c r="O42" s="8" t="str"/>
      <x:c r="P42" s="8" t="str">
        <x:v>Taxonomy analyst 1</x:v>
      </x:c>
      <x:c r="Q42" s="8" t="str">
        <x:v>Taxonomy reviewer 2</x:v>
      </x:c>
      <x:c r="R42" s="10" t="n">
        <x:v>46266</x:v>
      </x:c>
      <x:c r="S42" s="10" t="n">
        <x:v>46631</x:v>
      </x:c>
      <x:c r="T42" s="8" t="str">
        <x:v>Pending</x:v>
      </x:c>
      <x:c r="U42" s="9" t="str">
        <x:f>IF(C42="","",IF(V42=0,"Criteria required",IF(OR(NOT(ISNUMBER(J42)),J42&lt;1900,J42&gt;YEAR(Settings!$F$8),IFERROR(MOD(J42,1),1)&lt;&gt;0,NOT(ISNUMBER(K42)),K42&lt;0,AND(H42="Internal criteria",OR(G42="Cement",G42="Building renovation"),OR(NOT(ISNUMBER(IFERROR(INDEX('Taxonomy Rules'!$G$9:$G$20,MATCH(H42&amp;"::"&amp;G42,'Taxonomy Rules'!$C$9:$C$20,0)),0))),IFERROR(INDEX('Taxonomy Rules'!$G$9:$G$20,MATCH(H42&amp;"::"&amp;G42,'Taxonomy Rules'!$C$9:$C$20,0)),0)&lt;=0,AND(G42="Building renovation",IFERROR(INDEX('Taxonomy Rules'!$G$9:$G$20,MATCH(H42&amp;"::"&amp;G42,'Taxonomy Rules'!$C$9:$C$20,0)),0)&gt;1)))),"Criteria required",IF(G42="Solar PV",IF(M42&lt;&gt;"Eligible activity","Criteria required",IF(K42=1,"Pass","Fail")),IF(G42="Cement",IF(M42="Amber",IF(H42="Jordan 2026",IF(YEAR(Settings!$F$8)&lt;2040,"Amber","Fail"),"Criteria required"),IF(M42&lt;&gt;"Green","Criteria required",IF(H42="Jordan 2026",IF(IFERROR(INDEX('Taxonomy Rules'!$P$9:$P$14,MATCH(J42,'Taxonomy Rules'!$O$9:$O$14,0)),0)=0,"Criteria required",IF(K42&lt;=IFERROR(INDEX('Taxonomy Rules'!$P$9:$P$14,MATCH(J42,'Taxonomy Rules'!$O$9:$O$14,0)),0),"Pass","Fail")),IF(K42&lt;=IFERROR(INDEX('Taxonomy Rules'!$G$9:$G$20,MATCH(H42&amp;"::"&amp;G42,'Taxonomy Rules'!$C$9:$C$20,0)),0),"Pass","Fail")))),IF(G42="Building renovation",IF(M42="Whole building",IF(K42=1,"Pass","Fail"),IF(M42&lt;&gt;"Improvement","Criteria required",IF(OR(K42&gt;1,NOT(ISNUMBER(L42)),L42&lt;0,L42&gt;1),"Criteria required",IF(MAX(K42,L42)&lt;IFERROR(INDEX('Taxonomy Rules'!$G$9:$G$20,MATCH(H42&amp;"::"&amp;G42,'Taxonomy Rules'!$C$9:$C$20,0)),0),"Fail",IF(H42="Jordan 2026",IF(YEAR(Settings!$F$8)&lt;2035,"Amber",IF(YEAR(Settings!$F$8)=2035,"Criteria required","Fail")),"Pass"))))),IF(G42="Road freight",IF(M42&lt;&gt;"Zero emissions","Criteria required",IF(AND(K42=0,ISNUMBER(L42),L42=0),"Pass","Fail")),IF(G42="New building",IF(NOT(OR(M42="Green",M42="Amber")),"Criteria required",IF(K42&lt;&gt;1,"Fail",IF(M42="Amber",IF(H42="Jordan 2026",IF(YEAR(Settings!$F$8)&lt;2030,"Amber",IF(YEAR(Settings!$F$8)=2030,"Criteria required","Fail")),"Criteria required"),"Pass"))),IF(G42="Building equipment",IF(M42&lt;&gt;"Equipment","Criteria required",IF(K42=1,"Pass","Fail")),"Criteria required")))))))))</x:f>
        <x:v>Criteria required</x:v>
      </x:c>
      <x:c r="V42" s="9" t="n">
        <x:f>IF(C42="","",IFERROR(INDEX('Taxonomy Rules'!$J$9:$J$20,MATCH(H42&amp;"::"&amp;G42,'Taxonomy Rules'!$C$9:$C$20,0)),0))</x:f>
        <x:v>0</x:v>
      </x:c>
      <x:c r="W42" s="9" t="n">
        <x:f>IF(C42="","",COUNTIFS('Taxonomy Tests'!$D$9:$D$2008,C42,'Taxonomy Tests'!$Q$9:$Q$2008,"Complete"))</x:f>
        <x:v>0</x:v>
      </x:c>
      <x:c r="X42" s="9" t="n">
        <x:f>IF(C42="","",COUNTIFS('Taxonomy Tests'!$D$9:$D$2008,C42,'Taxonomy Tests'!$P$9:$P$2008,"Fail"))</x:f>
        <x:v>0</x:v>
      </x:c>
      <x:c r="Y42" s="9" t="n">
        <x:f>IF(C42="","",MAX(0,V42-W42)+COUNTIFS('Taxonomy Tests'!$D$9:$D$2008,C42,'Taxonomy Tests'!$R$9:$R$2008,"Duplicate test")+COUNTIFS('Taxonomy Tests'!$D$9:$D$2008,C42,'Taxonomy Tests'!$R$9:$R$2008,"Unexpected test"))</x:f>
        <x:v>0</x:v>
      </x:c>
      <x:c r="Z42" s="9" t="str">
        <x:f>IF(C42="","",IF(X42&gt;0,"Fail",IF(AND(V42&gt;0,W42=V42,Y42=0,COUNTIF('Taxonomy Tests'!$D$9:$D$2008,C42)=V42),"Pass","Pending")))</x:f>
        <x:v>Pending</x:v>
      </x:c>
      <x:c r="AA42" s="9" t="str">
        <x:f>IF(C42="","",IF(COUNTIF(Facilities!$C$9:$C$108,D42)&lt;&gt;1,"Facility key",IF(OR(NOT(ISNUMBER(N42)),N42&lt;0),"Amount required",IF(SUMIF($D$9:$D$108,D42,$N$9:$N$108)&gt;IFERROR(INDEX('Facilities'!$AA$9:$AA$108,MATCH(D42,'Facilities'!$C$9:$C$108,0)),"")+0.000001,"Overallocated",IF(N42=0,"No allocation",IF(O42="","Evidence required","Valid"))))))</x:f>
        <x:v>No allocation</x:v>
      </x:c>
      <x:c r="AB42" s="3" t="str">
        <x:f>IF(C42="","",IF(OR(U42="Fail",Z42="Fail"),IF(H42="Jordan 2026","Red / not aligned","Not eligible"),IF(OR(U42="Criteria required",V42=0),"Criteria required",IF(Z42&lt;&gt;"Pass","Pending",IF(U42="Amber","Amber",IF(H42="Jordan 2026","Green","Eligible (internal)"))))))</x:f>
        <x:v>Criteria required</x:v>
      </x:c>
      <x:c r="AC42" s="9" t="str">
        <x:f>IF(C42="","",IF(T42="Rejected","Rejected",IF(OR(AB42="Red / not aligned",AB42="Not eligible"),"Not eligible",IF(OR(AH42&lt;&gt;"Current",T42&lt;&gt;"Approved",Z42&lt;&gt;"Pass",(COUNTIFS('Actions'!$D$9:$D$308,E42,'Actions'!$E$9:$E$308,"E&amp;S",'Actions'!$F$9:$F$308,"Critical",'Actions'!$P$9:$P$308,"&lt;&gt;Closed",'Actions'!$C$9:$C$308,"&lt;&gt;")+COUNTIFS('Actions'!$D$9:$D$308,E42,'Actions'!$E$9:$E$308,"Taxonomy",'Actions'!$F$9:$F$308,"Critical",'Actions'!$P$9:$P$308,"&lt;&gt;Closed",'Actions'!$C$9:$C$308,"&lt;&gt;")+COUNTIFS('ESG'!$C$9:$C$108,E42,'ESG'!$H$9:$H$108,"Yes"))&gt;0,AND(AB42&lt;&gt;"Green",AB42&lt;&gt;"Amber",AB42&lt;&gt;"Eligible (internal)")),"Pending",IF(AA42="No allocation","Activity only",IF(AA42&lt;&gt;"Valid","Pending","Approved"))))))</x:f>
        <x:v>Pending</x:v>
      </x:c>
      <x:c r="AD42" s="21" t="n">
        <x:f>IF(C42="","",IF(AND(AC42="Approved",OR(AB42="Green",AB42="Eligible (internal)")),N42,0))</x:f>
        <x:v>0</x:v>
      </x:c>
      <x:c r="AE42" s="21" t="n">
        <x:f>IF(C42="","",IF(AND(AC42="Approved",AB42="Amber"),N42,0))</x:f>
        <x:v>0</x:v>
      </x:c>
      <x:c r="AF42" s="9" t="str">
        <x:f>IF(C42="","",IF((COUNTIFS('Actions'!$D$9:$D$308,E42,'Actions'!$E$9:$E$308,"E&amp;S",'Actions'!$F$9:$F$308,"Critical",'Actions'!$P$9:$P$308,"&lt;&gt;Closed",'Actions'!$C$9:$C$308,"&lt;&gt;")+COUNTIFS('Actions'!$D$9:$D$308,E42,'Actions'!$E$9:$E$308,"Taxonomy",'Actions'!$F$9:$F$308,"Critical",'Actions'!$P$9:$P$308,"&lt;&gt;Closed",'Actions'!$C$9:$C$308,"&lt;&gt;")+COUNTIFS('ESG'!$C$9:$C$108,E42,'ESG'!$H$9:$H$108,"Yes"))&gt;0,"Resolve critical E&amp;S / taxonomy issue",IF(AH42&lt;&gt;"Current",AH42,IF(Z42&lt;&gt;"Pass","Review individual tests",IF(U42="Criteria required","Sourced criteria / interpretation required",IF(AA42&lt;&gt;"Valid",AA42,IF(T42&lt;&gt;"Approved","Approval required",I42)))))))</x:f>
        <x:v>Review individual tests</x:v>
      </x:c>
      <x:c r="AG42" s="9" t="str">
        <x:f>IF(C42="","",IFERROR(INDEX('Taxonomy Rules'!$L$9:$L$20,MATCH(H42&amp;"::"&amp;G42,'Taxonomy Rules'!$C$9:$C$20,0)),"Unimplemented activity"))</x:f>
        <x:v>Unimplemented activity</x:v>
      </x:c>
      <x:c r="AH42" s="9" t="str">
        <x:f>IF(C42="","",IF(COUNTIF($C$9:$C$108,C42)&lt;&gt;1,"Duplicate ID",IF(OR(COUNTIF(Facilities!$C$9:$C$108,D42)&lt;&gt;1,COUNTIF(Borrowers!$C$9:$C$108,E42)&lt;&gt;1),"Key review",IF(OR(P42="",Q42="",P42=Q42,NOT(ISNUMBER(R42)),NOT(ISNUMBER(S42)),R42&gt;Settings!$F$8,S42&lt;R42),"Review required",IF(S42&lt;Settings!$F$8,"Expired","Current")))))</x:f>
        <x:v>Current</x:v>
      </x:c>
    </x:row>
    <x:row r="43" ht="26" customHeight="1">
      <x:c r="A43" s="1"/>
      <x:c r="B43" s="1"/>
      <x:c r="C43" s="8" t="str">
        <x:v>TAX-F035</x:v>
      </x:c>
      <x:c r="D43" s="8" t="str">
        <x:v>F035</x:v>
      </x:c>
      <x:c r="E43" s="9" t="str">
        <x:f>IF(C43="","",IFERROR(INDEX('Facilities'!$D$9:$D$108,MATCH(D43,'Facilities'!$C$9:$C$108,0)),""))</x:f>
        <x:v>B023</x:v>
      </x:c>
      <x:c r="F43" s="9" t="str">
        <x:f>IF(C43="","",IFERROR(INDEX('Borrowers'!$E$9:$E$108,MATCH(E43,'Borrowers'!$C$9:$C$108,0)),""))</x:f>
        <x:v>UAE</x:v>
      </x:c>
      <x:c r="G43" s="9" t="str">
        <x:f>IF(C43="","",IFERROR(INDEX('Facilities'!$W$9:$W$108,MATCH(D43,'Facilities'!$C$9:$C$108,0)),""))</x:f>
        <x:v>Other</x:v>
      </x:c>
      <x:c r="H43" s="9" t="str">
        <x:f>IF(C43="","",Settings!$F$11)</x:f>
        <x:v>Internal criteria</x:v>
      </x:c>
      <x:c r="I43" s="3" t="str">
        <x:f>IF(C43="","",IF(H43="Jordan 2026",IF(F43="Jordan","Jordan taxonomy","Reference benchmark"),"Internal policy"))</x:f>
        <x:v>Internal policy</x:v>
      </x:c>
      <x:c r="J43" s="8" t="n">
        <x:v>2025</x:v>
      </x:c>
      <x:c r="K43" s="35" t="str"/>
      <x:c r="L43" s="35" t="str"/>
      <x:c r="M43" s="8" t="str">
        <x:v>Unspecified</x:v>
      </x:c>
      <x:c r="N43" s="16" t="n">
        <x:v>0</x:v>
      </x:c>
      <x:c r="O43" s="8" t="str"/>
      <x:c r="P43" s="8" t="str">
        <x:v>Taxonomy analyst 2</x:v>
      </x:c>
      <x:c r="Q43" s="8" t="str">
        <x:v>Taxonomy reviewer 1</x:v>
      </x:c>
      <x:c r="R43" s="10" t="n">
        <x:v>46266</x:v>
      </x:c>
      <x:c r="S43" s="10" t="n">
        <x:v>46631</x:v>
      </x:c>
      <x:c r="T43" s="8" t="str">
        <x:v>Pending</x:v>
      </x:c>
      <x:c r="U43" s="9" t="str">
        <x:f>IF(C43="","",IF(V43=0,"Criteria required",IF(OR(NOT(ISNUMBER(J43)),J43&lt;1900,J43&gt;YEAR(Settings!$F$8),IFERROR(MOD(J43,1),1)&lt;&gt;0,NOT(ISNUMBER(K43)),K43&lt;0,AND(H43="Internal criteria",OR(G43="Cement",G43="Building renovation"),OR(NOT(ISNUMBER(IFERROR(INDEX('Taxonomy Rules'!$G$9:$G$20,MATCH(H43&amp;"::"&amp;G43,'Taxonomy Rules'!$C$9:$C$20,0)),0))),IFERROR(INDEX('Taxonomy Rules'!$G$9:$G$20,MATCH(H43&amp;"::"&amp;G43,'Taxonomy Rules'!$C$9:$C$20,0)),0)&lt;=0,AND(G43="Building renovation",IFERROR(INDEX('Taxonomy Rules'!$G$9:$G$20,MATCH(H43&amp;"::"&amp;G43,'Taxonomy Rules'!$C$9:$C$20,0)),0)&gt;1)))),"Criteria required",IF(G43="Solar PV",IF(M43&lt;&gt;"Eligible activity","Criteria required",IF(K43=1,"Pass","Fail")),IF(G43="Cement",IF(M43="Amber",IF(H43="Jordan 2026",IF(YEAR(Settings!$F$8)&lt;2040,"Amber","Fail"),"Criteria required"),IF(M43&lt;&gt;"Green","Criteria required",IF(H43="Jordan 2026",IF(IFERROR(INDEX('Taxonomy Rules'!$P$9:$P$14,MATCH(J43,'Taxonomy Rules'!$O$9:$O$14,0)),0)=0,"Criteria required",IF(K43&lt;=IFERROR(INDEX('Taxonomy Rules'!$P$9:$P$14,MATCH(J43,'Taxonomy Rules'!$O$9:$O$14,0)),0),"Pass","Fail")),IF(K43&lt;=IFERROR(INDEX('Taxonomy Rules'!$G$9:$G$20,MATCH(H43&amp;"::"&amp;G43,'Taxonomy Rules'!$C$9:$C$20,0)),0),"Pass","Fail")))),IF(G43="Building renovation",IF(M43="Whole building",IF(K43=1,"Pass","Fail"),IF(M43&lt;&gt;"Improvement","Criteria required",IF(OR(K43&gt;1,NOT(ISNUMBER(L43)),L43&lt;0,L43&gt;1),"Criteria required",IF(MAX(K43,L43)&lt;IFERROR(INDEX('Taxonomy Rules'!$G$9:$G$20,MATCH(H43&amp;"::"&amp;G43,'Taxonomy Rules'!$C$9:$C$20,0)),0),"Fail",IF(H43="Jordan 2026",IF(YEAR(Settings!$F$8)&lt;2035,"Amber",IF(YEAR(Settings!$F$8)=2035,"Criteria required","Fail")),"Pass"))))),IF(G43="Road freight",IF(M43&lt;&gt;"Zero emissions","Criteria required",IF(AND(K43=0,ISNUMBER(L43),L43=0),"Pass","Fail")),IF(G43="New building",IF(NOT(OR(M43="Green",M43="Amber")),"Criteria required",IF(K43&lt;&gt;1,"Fail",IF(M43="Amber",IF(H43="Jordan 2026",IF(YEAR(Settings!$F$8)&lt;2030,"Amber",IF(YEAR(Settings!$F$8)=2030,"Criteria required","Fail")),"Criteria required"),"Pass"))),IF(G43="Building equipment",IF(M43&lt;&gt;"Equipment","Criteria required",IF(K43=1,"Pass","Fail")),"Criteria required")))))))))</x:f>
        <x:v>Criteria required</x:v>
      </x:c>
      <x:c r="V43" s="9" t="n">
        <x:f>IF(C43="","",IFERROR(INDEX('Taxonomy Rules'!$J$9:$J$20,MATCH(H43&amp;"::"&amp;G43,'Taxonomy Rules'!$C$9:$C$20,0)),0))</x:f>
        <x:v>0</x:v>
      </x:c>
      <x:c r="W43" s="9" t="n">
        <x:f>IF(C43="","",COUNTIFS('Taxonomy Tests'!$D$9:$D$2008,C43,'Taxonomy Tests'!$Q$9:$Q$2008,"Complete"))</x:f>
        <x:v>0</x:v>
      </x:c>
      <x:c r="X43" s="9" t="n">
        <x:f>IF(C43="","",COUNTIFS('Taxonomy Tests'!$D$9:$D$2008,C43,'Taxonomy Tests'!$P$9:$P$2008,"Fail"))</x:f>
        <x:v>0</x:v>
      </x:c>
      <x:c r="Y43" s="9" t="n">
        <x:f>IF(C43="","",MAX(0,V43-W43)+COUNTIFS('Taxonomy Tests'!$D$9:$D$2008,C43,'Taxonomy Tests'!$R$9:$R$2008,"Duplicate test")+COUNTIFS('Taxonomy Tests'!$D$9:$D$2008,C43,'Taxonomy Tests'!$R$9:$R$2008,"Unexpected test"))</x:f>
        <x:v>0</x:v>
      </x:c>
      <x:c r="Z43" s="9" t="str">
        <x:f>IF(C43="","",IF(X43&gt;0,"Fail",IF(AND(V43&gt;0,W43=V43,Y43=0,COUNTIF('Taxonomy Tests'!$D$9:$D$2008,C43)=V43),"Pass","Pending")))</x:f>
        <x:v>Pending</x:v>
      </x:c>
      <x:c r="AA43" s="9" t="str">
        <x:f>IF(C43="","",IF(COUNTIF(Facilities!$C$9:$C$108,D43)&lt;&gt;1,"Facility key",IF(OR(NOT(ISNUMBER(N43)),N43&lt;0),"Amount required",IF(SUMIF($D$9:$D$108,D43,$N$9:$N$108)&gt;IFERROR(INDEX('Facilities'!$AA$9:$AA$108,MATCH(D43,'Facilities'!$C$9:$C$108,0)),"")+0.000001,"Overallocated",IF(N43=0,"No allocation",IF(O43="","Evidence required","Valid"))))))</x:f>
        <x:v>No allocation</x:v>
      </x:c>
      <x:c r="AB43" s="3" t="str">
        <x:f>IF(C43="","",IF(OR(U43="Fail",Z43="Fail"),IF(H43="Jordan 2026","Red / not aligned","Not eligible"),IF(OR(U43="Criteria required",V43=0),"Criteria required",IF(Z43&lt;&gt;"Pass","Pending",IF(U43="Amber","Amber",IF(H43="Jordan 2026","Green","Eligible (internal)"))))))</x:f>
        <x:v>Criteria required</x:v>
      </x:c>
      <x:c r="AC43" s="9" t="str">
        <x:f>IF(C43="","",IF(T43="Rejected","Rejected",IF(OR(AB43="Red / not aligned",AB43="Not eligible"),"Not eligible",IF(OR(AH43&lt;&gt;"Current",T43&lt;&gt;"Approved",Z43&lt;&gt;"Pass",(COUNTIFS('Actions'!$D$9:$D$308,E43,'Actions'!$E$9:$E$308,"E&amp;S",'Actions'!$F$9:$F$308,"Critical",'Actions'!$P$9:$P$308,"&lt;&gt;Closed",'Actions'!$C$9:$C$308,"&lt;&gt;")+COUNTIFS('Actions'!$D$9:$D$308,E43,'Actions'!$E$9:$E$308,"Taxonomy",'Actions'!$F$9:$F$308,"Critical",'Actions'!$P$9:$P$308,"&lt;&gt;Closed",'Actions'!$C$9:$C$308,"&lt;&gt;")+COUNTIFS('ESG'!$C$9:$C$108,E43,'ESG'!$H$9:$H$108,"Yes"))&gt;0,AND(AB43&lt;&gt;"Green",AB43&lt;&gt;"Amber",AB43&lt;&gt;"Eligible (internal)")),"Pending",IF(AA43="No allocation","Activity only",IF(AA43&lt;&gt;"Valid","Pending","Approved"))))))</x:f>
        <x:v>Pending</x:v>
      </x:c>
      <x:c r="AD43" s="21" t="n">
        <x:f>IF(C43="","",IF(AND(AC43="Approved",OR(AB43="Green",AB43="Eligible (internal)")),N43,0))</x:f>
        <x:v>0</x:v>
      </x:c>
      <x:c r="AE43" s="21" t="n">
        <x:f>IF(C43="","",IF(AND(AC43="Approved",AB43="Amber"),N43,0))</x:f>
        <x:v>0</x:v>
      </x:c>
      <x:c r="AF43" s="9" t="str">
        <x:f>IF(C43="","",IF((COUNTIFS('Actions'!$D$9:$D$308,E43,'Actions'!$E$9:$E$308,"E&amp;S",'Actions'!$F$9:$F$308,"Critical",'Actions'!$P$9:$P$308,"&lt;&gt;Closed",'Actions'!$C$9:$C$308,"&lt;&gt;")+COUNTIFS('Actions'!$D$9:$D$308,E43,'Actions'!$E$9:$E$308,"Taxonomy",'Actions'!$F$9:$F$308,"Critical",'Actions'!$P$9:$P$308,"&lt;&gt;Closed",'Actions'!$C$9:$C$308,"&lt;&gt;")+COUNTIFS('ESG'!$C$9:$C$108,E43,'ESG'!$H$9:$H$108,"Yes"))&gt;0,"Resolve critical E&amp;S / taxonomy issue",IF(AH43&lt;&gt;"Current",AH43,IF(Z43&lt;&gt;"Pass","Review individual tests",IF(U43="Criteria required","Sourced criteria / interpretation required",IF(AA43&lt;&gt;"Valid",AA43,IF(T43&lt;&gt;"Approved","Approval required",I43)))))))</x:f>
        <x:v>Review individual tests</x:v>
      </x:c>
      <x:c r="AG43" s="9" t="str">
        <x:f>IF(C43="","",IFERROR(INDEX('Taxonomy Rules'!$L$9:$L$20,MATCH(H43&amp;"::"&amp;G43,'Taxonomy Rules'!$C$9:$C$20,0)),"Unimplemented activity"))</x:f>
        <x:v>Unimplemented activity</x:v>
      </x:c>
      <x:c r="AH43" s="9" t="str">
        <x:f>IF(C43="","",IF(COUNTIF($C$9:$C$108,C43)&lt;&gt;1,"Duplicate ID",IF(OR(COUNTIF(Facilities!$C$9:$C$108,D43)&lt;&gt;1,COUNTIF(Borrowers!$C$9:$C$108,E43)&lt;&gt;1),"Key review",IF(OR(P43="",Q43="",P43=Q43,NOT(ISNUMBER(R43)),NOT(ISNUMBER(S43)),R43&gt;Settings!$F$8,S43&lt;R43),"Review required",IF(S43&lt;Settings!$F$8,"Expired","Current")))))</x:f>
        <x:v>Current</x:v>
      </x:c>
    </x:row>
    <x:row r="44" ht="26" customHeight="1">
      <x:c r="A44" s="1"/>
      <x:c r="B44" s="1"/>
      <x:c r="C44" s="8" t="str">
        <x:v>TAX-F036</x:v>
      </x:c>
      <x:c r="D44" s="8" t="str">
        <x:v>F036</x:v>
      </x:c>
      <x:c r="E44" s="9" t="str">
        <x:f>IF(C44="","",IFERROR(INDEX('Facilities'!$D$9:$D$108,MATCH(D44,'Facilities'!$C$9:$C$108,0)),""))</x:f>
        <x:v>B024</x:v>
      </x:c>
      <x:c r="F44" s="9" t="str">
        <x:f>IF(C44="","",IFERROR(INDEX('Borrowers'!$E$9:$E$108,MATCH(E44,'Borrowers'!$C$9:$C$108,0)),""))</x:f>
        <x:v>Egypt</x:v>
      </x:c>
      <x:c r="G44" s="9" t="str">
        <x:f>IF(C44="","",IFERROR(INDEX('Facilities'!$W$9:$W$108,MATCH(D44,'Facilities'!$C$9:$C$108,0)),""))</x:f>
        <x:v>Other</x:v>
      </x:c>
      <x:c r="H44" s="9" t="str">
        <x:f>IF(C44="","",Settings!$F$11)</x:f>
        <x:v>Internal criteria</x:v>
      </x:c>
      <x:c r="I44" s="3" t="str">
        <x:f>IF(C44="","",IF(H44="Jordan 2026",IF(F44="Jordan","Jordan taxonomy","Reference benchmark"),"Internal policy"))</x:f>
        <x:v>Internal policy</x:v>
      </x:c>
      <x:c r="J44" s="8" t="n">
        <x:v>2025</x:v>
      </x:c>
      <x:c r="K44" s="35" t="str"/>
      <x:c r="L44" s="35" t="str"/>
      <x:c r="M44" s="8" t="str">
        <x:v>Unspecified</x:v>
      </x:c>
      <x:c r="N44" s="16" t="n">
        <x:v>0</x:v>
      </x:c>
      <x:c r="O44" s="8" t="str"/>
      <x:c r="P44" s="8" t="str">
        <x:v>Taxonomy analyst 3</x:v>
      </x:c>
      <x:c r="Q44" s="8" t="str">
        <x:v>Taxonomy reviewer 2</x:v>
      </x:c>
      <x:c r="R44" s="10" t="n">
        <x:v>46266</x:v>
      </x:c>
      <x:c r="S44" s="10" t="n">
        <x:v>46631</x:v>
      </x:c>
      <x:c r="T44" s="8" t="str">
        <x:v>Pending</x:v>
      </x:c>
      <x:c r="U44" s="9" t="str">
        <x:f>IF(C44="","",IF(V44=0,"Criteria required",IF(OR(NOT(ISNUMBER(J44)),J44&lt;1900,J44&gt;YEAR(Settings!$F$8),IFERROR(MOD(J44,1),1)&lt;&gt;0,NOT(ISNUMBER(K44)),K44&lt;0,AND(H44="Internal criteria",OR(G44="Cement",G44="Building renovation"),OR(NOT(ISNUMBER(IFERROR(INDEX('Taxonomy Rules'!$G$9:$G$20,MATCH(H44&amp;"::"&amp;G44,'Taxonomy Rules'!$C$9:$C$20,0)),0))),IFERROR(INDEX('Taxonomy Rules'!$G$9:$G$20,MATCH(H44&amp;"::"&amp;G44,'Taxonomy Rules'!$C$9:$C$20,0)),0)&lt;=0,AND(G44="Building renovation",IFERROR(INDEX('Taxonomy Rules'!$G$9:$G$20,MATCH(H44&amp;"::"&amp;G44,'Taxonomy Rules'!$C$9:$C$20,0)),0)&gt;1)))),"Criteria required",IF(G44="Solar PV",IF(M44&lt;&gt;"Eligible activity","Criteria required",IF(K44=1,"Pass","Fail")),IF(G44="Cement",IF(M44="Amber",IF(H44="Jordan 2026",IF(YEAR(Settings!$F$8)&lt;2040,"Amber","Fail"),"Criteria required"),IF(M44&lt;&gt;"Green","Criteria required",IF(H44="Jordan 2026",IF(IFERROR(INDEX('Taxonomy Rules'!$P$9:$P$14,MATCH(J44,'Taxonomy Rules'!$O$9:$O$14,0)),0)=0,"Criteria required",IF(K44&lt;=IFERROR(INDEX('Taxonomy Rules'!$P$9:$P$14,MATCH(J44,'Taxonomy Rules'!$O$9:$O$14,0)),0),"Pass","Fail")),IF(K44&lt;=IFERROR(INDEX('Taxonomy Rules'!$G$9:$G$20,MATCH(H44&amp;"::"&amp;G44,'Taxonomy Rules'!$C$9:$C$20,0)),0),"Pass","Fail")))),IF(G44="Building renovation",IF(M44="Whole building",IF(K44=1,"Pass","Fail"),IF(M44&lt;&gt;"Improvement","Criteria required",IF(OR(K44&gt;1,NOT(ISNUMBER(L44)),L44&lt;0,L44&gt;1),"Criteria required",IF(MAX(K44,L44)&lt;IFERROR(INDEX('Taxonomy Rules'!$G$9:$G$20,MATCH(H44&amp;"::"&amp;G44,'Taxonomy Rules'!$C$9:$C$20,0)),0),"Fail",IF(H44="Jordan 2026",IF(YEAR(Settings!$F$8)&lt;2035,"Amber",IF(YEAR(Settings!$F$8)=2035,"Criteria required","Fail")),"Pass"))))),IF(G44="Road freight",IF(M44&lt;&gt;"Zero emissions","Criteria required",IF(AND(K44=0,ISNUMBER(L44),L44=0),"Pass","Fail")),IF(G44="New building",IF(NOT(OR(M44="Green",M44="Amber")),"Criteria required",IF(K44&lt;&gt;1,"Fail",IF(M44="Amber",IF(H44="Jordan 2026",IF(YEAR(Settings!$F$8)&lt;2030,"Amber",IF(YEAR(Settings!$F$8)=2030,"Criteria required","Fail")),"Criteria required"),"Pass"))),IF(G44="Building equipment",IF(M44&lt;&gt;"Equipment","Criteria required",IF(K44=1,"Pass","Fail")),"Criteria required")))))))))</x:f>
        <x:v>Criteria required</x:v>
      </x:c>
      <x:c r="V44" s="9" t="n">
        <x:f>IF(C44="","",IFERROR(INDEX('Taxonomy Rules'!$J$9:$J$20,MATCH(H44&amp;"::"&amp;G44,'Taxonomy Rules'!$C$9:$C$20,0)),0))</x:f>
        <x:v>0</x:v>
      </x:c>
      <x:c r="W44" s="9" t="n">
        <x:f>IF(C44="","",COUNTIFS('Taxonomy Tests'!$D$9:$D$2008,C44,'Taxonomy Tests'!$Q$9:$Q$2008,"Complete"))</x:f>
        <x:v>0</x:v>
      </x:c>
      <x:c r="X44" s="9" t="n">
        <x:f>IF(C44="","",COUNTIFS('Taxonomy Tests'!$D$9:$D$2008,C44,'Taxonomy Tests'!$P$9:$P$2008,"Fail"))</x:f>
        <x:v>0</x:v>
      </x:c>
      <x:c r="Y44" s="9" t="n">
        <x:f>IF(C44="","",MAX(0,V44-W44)+COUNTIFS('Taxonomy Tests'!$D$9:$D$2008,C44,'Taxonomy Tests'!$R$9:$R$2008,"Duplicate test")+COUNTIFS('Taxonomy Tests'!$D$9:$D$2008,C44,'Taxonomy Tests'!$R$9:$R$2008,"Unexpected test"))</x:f>
        <x:v>0</x:v>
      </x:c>
      <x:c r="Z44" s="9" t="str">
        <x:f>IF(C44="","",IF(X44&gt;0,"Fail",IF(AND(V44&gt;0,W44=V44,Y44=0,COUNTIF('Taxonomy Tests'!$D$9:$D$2008,C44)=V44),"Pass","Pending")))</x:f>
        <x:v>Pending</x:v>
      </x:c>
      <x:c r="AA44" s="9" t="str">
        <x:f>IF(C44="","",IF(COUNTIF(Facilities!$C$9:$C$108,D44)&lt;&gt;1,"Facility key",IF(OR(NOT(ISNUMBER(N44)),N44&lt;0),"Amount required",IF(SUMIF($D$9:$D$108,D44,$N$9:$N$108)&gt;IFERROR(INDEX('Facilities'!$AA$9:$AA$108,MATCH(D44,'Facilities'!$C$9:$C$108,0)),"")+0.000001,"Overallocated",IF(N44=0,"No allocation",IF(O44="","Evidence required","Valid"))))))</x:f>
        <x:v>No allocation</x:v>
      </x:c>
      <x:c r="AB44" s="3" t="str">
        <x:f>IF(C44="","",IF(OR(U44="Fail",Z44="Fail"),IF(H44="Jordan 2026","Red / not aligned","Not eligible"),IF(OR(U44="Criteria required",V44=0),"Criteria required",IF(Z44&lt;&gt;"Pass","Pending",IF(U44="Amber","Amber",IF(H44="Jordan 2026","Green","Eligible (internal)"))))))</x:f>
        <x:v>Criteria required</x:v>
      </x:c>
      <x:c r="AC44" s="9" t="str">
        <x:f>IF(C44="","",IF(T44="Rejected","Rejected",IF(OR(AB44="Red / not aligned",AB44="Not eligible"),"Not eligible",IF(OR(AH44&lt;&gt;"Current",T44&lt;&gt;"Approved",Z44&lt;&gt;"Pass",(COUNTIFS('Actions'!$D$9:$D$308,E44,'Actions'!$E$9:$E$308,"E&amp;S",'Actions'!$F$9:$F$308,"Critical",'Actions'!$P$9:$P$308,"&lt;&gt;Closed",'Actions'!$C$9:$C$308,"&lt;&gt;")+COUNTIFS('Actions'!$D$9:$D$308,E44,'Actions'!$E$9:$E$308,"Taxonomy",'Actions'!$F$9:$F$308,"Critical",'Actions'!$P$9:$P$308,"&lt;&gt;Closed",'Actions'!$C$9:$C$308,"&lt;&gt;")+COUNTIFS('ESG'!$C$9:$C$108,E44,'ESG'!$H$9:$H$108,"Yes"))&gt;0,AND(AB44&lt;&gt;"Green",AB44&lt;&gt;"Amber",AB44&lt;&gt;"Eligible (internal)")),"Pending",IF(AA44="No allocation","Activity only",IF(AA44&lt;&gt;"Valid","Pending","Approved"))))))</x:f>
        <x:v>Pending</x:v>
      </x:c>
      <x:c r="AD44" s="21" t="n">
        <x:f>IF(C44="","",IF(AND(AC44="Approved",OR(AB44="Green",AB44="Eligible (internal)")),N44,0))</x:f>
        <x:v>0</x:v>
      </x:c>
      <x:c r="AE44" s="21" t="n">
        <x:f>IF(C44="","",IF(AND(AC44="Approved",AB44="Amber"),N44,0))</x:f>
        <x:v>0</x:v>
      </x:c>
      <x:c r="AF44" s="9" t="str">
        <x:f>IF(C44="","",IF((COUNTIFS('Actions'!$D$9:$D$308,E44,'Actions'!$E$9:$E$308,"E&amp;S",'Actions'!$F$9:$F$308,"Critical",'Actions'!$P$9:$P$308,"&lt;&gt;Closed",'Actions'!$C$9:$C$308,"&lt;&gt;")+COUNTIFS('Actions'!$D$9:$D$308,E44,'Actions'!$E$9:$E$308,"Taxonomy",'Actions'!$F$9:$F$308,"Critical",'Actions'!$P$9:$P$308,"&lt;&gt;Closed",'Actions'!$C$9:$C$308,"&lt;&gt;")+COUNTIFS('ESG'!$C$9:$C$108,E44,'ESG'!$H$9:$H$108,"Yes"))&gt;0,"Resolve critical E&amp;S / taxonomy issue",IF(AH44&lt;&gt;"Current",AH44,IF(Z44&lt;&gt;"Pass","Review individual tests",IF(U44="Criteria required","Sourced criteria / interpretation required",IF(AA44&lt;&gt;"Valid",AA44,IF(T44&lt;&gt;"Approved","Approval required",I44)))))))</x:f>
        <x:v>Review individual tests</x:v>
      </x:c>
      <x:c r="AG44" s="9" t="str">
        <x:f>IF(C44="","",IFERROR(INDEX('Taxonomy Rules'!$L$9:$L$20,MATCH(H44&amp;"::"&amp;G44,'Taxonomy Rules'!$C$9:$C$20,0)),"Unimplemented activity"))</x:f>
        <x:v>Unimplemented activity</x:v>
      </x:c>
      <x:c r="AH44" s="9" t="str">
        <x:f>IF(C44="","",IF(COUNTIF($C$9:$C$108,C44)&lt;&gt;1,"Duplicate ID",IF(OR(COUNTIF(Facilities!$C$9:$C$108,D44)&lt;&gt;1,COUNTIF(Borrowers!$C$9:$C$108,E44)&lt;&gt;1),"Key review",IF(OR(P44="",Q44="",P44=Q44,NOT(ISNUMBER(R44)),NOT(ISNUMBER(S44)),R44&gt;Settings!$F$8,S44&lt;R44),"Review required",IF(S44&lt;Settings!$F$8,"Expired","Current")))))</x:f>
        <x:v>Current</x:v>
      </x:c>
    </x:row>
    <x:row r="45" ht="26" customHeight="1">
      <x:c r="A45" s="1"/>
      <x:c r="B45" s="1"/>
      <x:c r="C45" s="8"/>
      <x:c r="D45" s="8"/>
      <x:c r="E45" s="9" t="str">
        <x:f>IF(C45="","",IFERROR(INDEX('Facilities'!$D$9:$D$108,MATCH(D45,'Facilities'!$C$9:$C$108,0)),""))</x:f>
      </x:c>
      <x:c r="F45" s="9" t="str">
        <x:f>IF(C45="","",IFERROR(INDEX('Borrowers'!$E$9:$E$108,MATCH(E45,'Borrowers'!$C$9:$C$108,0)),""))</x:f>
      </x:c>
      <x:c r="G45" s="9" t="str">
        <x:f>IF(C45="","",IFERROR(INDEX('Facilities'!$W$9:$W$108,MATCH(D45,'Facilities'!$C$9:$C$108,0)),""))</x:f>
      </x:c>
      <x:c r="H45" s="9" t="str">
        <x:f>IF(C45="","",Settings!$F$11)</x:f>
      </x:c>
      <x:c r="I45" s="3" t="str">
        <x:f>IF(C45="","",IF(H45="Jordan 2026",IF(F45="Jordan","Jordan taxonomy","Reference benchmark"),"Internal policy"))</x:f>
      </x:c>
      <x:c r="J45" s="8"/>
      <x:c r="K45" s="35"/>
      <x:c r="L45" s="35"/>
      <x:c r="M45" s="8"/>
      <x:c r="N45" s="16"/>
      <x:c r="O45" s="8"/>
      <x:c r="P45" s="8"/>
      <x:c r="Q45" s="8"/>
      <x:c r="R45" s="10"/>
      <x:c r="S45" s="10"/>
      <x:c r="T45" s="8"/>
      <x:c r="U45" s="9" t="str">
        <x:f>IF(C45="","",IF(V45=0,"Criteria required",IF(OR(NOT(ISNUMBER(J45)),J45&lt;1900,J45&gt;YEAR(Settings!$F$8),IFERROR(MOD(J45,1),1)&lt;&gt;0,NOT(ISNUMBER(K45)),K45&lt;0,AND(H45="Internal criteria",OR(G45="Cement",G45="Building renovation"),OR(NOT(ISNUMBER(IFERROR(INDEX('Taxonomy Rules'!$G$9:$G$20,MATCH(H45&amp;"::"&amp;G45,'Taxonomy Rules'!$C$9:$C$20,0)),0))),IFERROR(INDEX('Taxonomy Rules'!$G$9:$G$20,MATCH(H45&amp;"::"&amp;G45,'Taxonomy Rules'!$C$9:$C$20,0)),0)&lt;=0,AND(G45="Building renovation",IFERROR(INDEX('Taxonomy Rules'!$G$9:$G$20,MATCH(H45&amp;"::"&amp;G45,'Taxonomy Rules'!$C$9:$C$20,0)),0)&gt;1)))),"Criteria required",IF(G45="Solar PV",IF(M45&lt;&gt;"Eligible activity","Criteria required",IF(K45=1,"Pass","Fail")),IF(G45="Cement",IF(M45="Amber",IF(H45="Jordan 2026",IF(YEAR(Settings!$F$8)&lt;2040,"Amber","Fail"),"Criteria required"),IF(M45&lt;&gt;"Green","Criteria required",IF(H45="Jordan 2026",IF(IFERROR(INDEX('Taxonomy Rules'!$P$9:$P$14,MATCH(J45,'Taxonomy Rules'!$O$9:$O$14,0)),0)=0,"Criteria required",IF(K45&lt;=IFERROR(INDEX('Taxonomy Rules'!$P$9:$P$14,MATCH(J45,'Taxonomy Rules'!$O$9:$O$14,0)),0),"Pass","Fail")),IF(K45&lt;=IFERROR(INDEX('Taxonomy Rules'!$G$9:$G$20,MATCH(H45&amp;"::"&amp;G45,'Taxonomy Rules'!$C$9:$C$20,0)),0),"Pass","Fail")))),IF(G45="Building renovation",IF(M45="Whole building",IF(K45=1,"Pass","Fail"),IF(M45&lt;&gt;"Improvement","Criteria required",IF(OR(K45&gt;1,NOT(ISNUMBER(L45)),L45&lt;0,L45&gt;1),"Criteria required",IF(MAX(K45,L45)&lt;IFERROR(INDEX('Taxonomy Rules'!$G$9:$G$20,MATCH(H45&amp;"::"&amp;G45,'Taxonomy Rules'!$C$9:$C$20,0)),0),"Fail",IF(H45="Jordan 2026",IF(YEAR(Settings!$F$8)&lt;2035,"Amber",IF(YEAR(Settings!$F$8)=2035,"Criteria required","Fail")),"Pass"))))),IF(G45="Road freight",IF(M45&lt;&gt;"Zero emissions","Criteria required",IF(AND(K45=0,ISNUMBER(L45),L45=0),"Pass","Fail")),IF(G45="New building",IF(NOT(OR(M45="Green",M45="Amber")),"Criteria required",IF(K45&lt;&gt;1,"Fail",IF(M45="Amber",IF(H45="Jordan 2026",IF(YEAR(Settings!$F$8)&lt;2030,"Amber",IF(YEAR(Settings!$F$8)=2030,"Criteria required","Fail")),"Criteria required"),"Pass"))),IF(G45="Building equipment",IF(M45&lt;&gt;"Equipment","Criteria required",IF(K45=1,"Pass","Fail")),"Criteria required")))))))))</x:f>
      </x:c>
      <x:c r="V45" s="9" t="str">
        <x:f>IF(C45="","",IFERROR(INDEX('Taxonomy Rules'!$J$9:$J$20,MATCH(H45&amp;"::"&amp;G45,'Taxonomy Rules'!$C$9:$C$20,0)),0))</x:f>
      </x:c>
      <x:c r="W45" s="9" t="str">
        <x:f>IF(C45="","",COUNTIFS('Taxonomy Tests'!$D$9:$D$2008,C45,'Taxonomy Tests'!$Q$9:$Q$2008,"Complete"))</x:f>
      </x:c>
      <x:c r="X45" s="9" t="str">
        <x:f>IF(C45="","",COUNTIFS('Taxonomy Tests'!$D$9:$D$2008,C45,'Taxonomy Tests'!$P$9:$P$2008,"Fail"))</x:f>
      </x:c>
      <x:c r="Y45" s="9" t="str">
        <x:f>IF(C45="","",MAX(0,V45-W45)+COUNTIFS('Taxonomy Tests'!$D$9:$D$2008,C45,'Taxonomy Tests'!$R$9:$R$2008,"Duplicate test")+COUNTIFS('Taxonomy Tests'!$D$9:$D$2008,C45,'Taxonomy Tests'!$R$9:$R$2008,"Unexpected test"))</x:f>
      </x:c>
      <x:c r="Z45" s="9" t="str">
        <x:f>IF(C45="","",IF(X45&gt;0,"Fail",IF(AND(V45&gt;0,W45=V45,Y45=0,COUNTIF('Taxonomy Tests'!$D$9:$D$2008,C45)=V45),"Pass","Pending")))</x:f>
      </x:c>
      <x:c r="AA45" s="9" t="str">
        <x:f>IF(C45="","",IF(COUNTIF(Facilities!$C$9:$C$108,D45)&lt;&gt;1,"Facility key",IF(OR(NOT(ISNUMBER(N45)),N45&lt;0),"Amount required",IF(SUMIF($D$9:$D$108,D45,$N$9:$N$108)&gt;IFERROR(INDEX('Facilities'!$AA$9:$AA$108,MATCH(D45,'Facilities'!$C$9:$C$108,0)),"")+0.000001,"Overallocated",IF(N45=0,"No allocation",IF(O45="","Evidence required","Valid"))))))</x:f>
      </x:c>
      <x:c r="AB45" s="3" t="str">
        <x:f>IF(C45="","",IF(OR(U45="Fail",Z45="Fail"),IF(H45="Jordan 2026","Red / not aligned","Not eligible"),IF(OR(U45="Criteria required",V45=0),"Criteria required",IF(Z45&lt;&gt;"Pass","Pending",IF(U45="Amber","Amber",IF(H45="Jordan 2026","Green","Eligible (internal)"))))))</x:f>
      </x:c>
      <x:c r="AC45" s="9" t="str">
        <x:f>IF(C45="","",IF(T45="Rejected","Rejected",IF(OR(AB45="Red / not aligned",AB45="Not eligible"),"Not eligible",IF(OR(AH45&lt;&gt;"Current",T45&lt;&gt;"Approved",Z45&lt;&gt;"Pass",(COUNTIFS('Actions'!$D$9:$D$308,E45,'Actions'!$E$9:$E$308,"E&amp;S",'Actions'!$F$9:$F$308,"Critical",'Actions'!$P$9:$P$308,"&lt;&gt;Closed",'Actions'!$C$9:$C$308,"&lt;&gt;")+COUNTIFS('Actions'!$D$9:$D$308,E45,'Actions'!$E$9:$E$308,"Taxonomy",'Actions'!$F$9:$F$308,"Critical",'Actions'!$P$9:$P$308,"&lt;&gt;Closed",'Actions'!$C$9:$C$308,"&lt;&gt;")+COUNTIFS('ESG'!$C$9:$C$108,E45,'ESG'!$H$9:$H$108,"Yes"))&gt;0,AND(AB45&lt;&gt;"Green",AB45&lt;&gt;"Amber",AB45&lt;&gt;"Eligible (internal)")),"Pending",IF(AA45="No allocation","Activity only",IF(AA45&lt;&gt;"Valid","Pending","Approved"))))))</x:f>
      </x:c>
      <x:c r="AD45" s="21" t="str">
        <x:f>IF(C45="","",IF(AND(AC45="Approved",OR(AB45="Green",AB45="Eligible (internal)")),N45,0))</x:f>
      </x:c>
      <x:c r="AE45" s="21" t="str">
        <x:f>IF(C45="","",IF(AND(AC45="Approved",AB45="Amber"),N45,0))</x:f>
      </x:c>
      <x:c r="AF45" s="9" t="str">
        <x:f>IF(C45="","",IF((COUNTIFS('Actions'!$D$9:$D$308,E45,'Actions'!$E$9:$E$308,"E&amp;S",'Actions'!$F$9:$F$308,"Critical",'Actions'!$P$9:$P$308,"&lt;&gt;Closed",'Actions'!$C$9:$C$308,"&lt;&gt;")+COUNTIFS('Actions'!$D$9:$D$308,E45,'Actions'!$E$9:$E$308,"Taxonomy",'Actions'!$F$9:$F$308,"Critical",'Actions'!$P$9:$P$308,"&lt;&gt;Closed",'Actions'!$C$9:$C$308,"&lt;&gt;")+COUNTIFS('ESG'!$C$9:$C$108,E45,'ESG'!$H$9:$H$108,"Yes"))&gt;0,"Resolve critical E&amp;S / taxonomy issue",IF(AH45&lt;&gt;"Current",AH45,IF(Z45&lt;&gt;"Pass","Review individual tests",IF(U45="Criteria required","Sourced criteria / interpretation required",IF(AA45&lt;&gt;"Valid",AA45,IF(T45&lt;&gt;"Approved","Approval required",I45)))))))</x:f>
      </x:c>
      <x:c r="AG45" s="9" t="str">
        <x:f>IF(C45="","",IFERROR(INDEX('Taxonomy Rules'!$L$9:$L$20,MATCH(H45&amp;"::"&amp;G45,'Taxonomy Rules'!$C$9:$C$20,0)),"Unimplemented activity"))</x:f>
      </x:c>
      <x:c r="AH45" s="9" t="str">
        <x:f>IF(C45="","",IF(COUNTIF($C$9:$C$108,C45)&lt;&gt;1,"Duplicate ID",IF(OR(COUNTIF(Facilities!$C$9:$C$108,D45)&lt;&gt;1,COUNTIF(Borrowers!$C$9:$C$108,E45)&lt;&gt;1),"Key review",IF(OR(P45="",Q45="",P45=Q45,NOT(ISNUMBER(R45)),NOT(ISNUMBER(S45)),R45&gt;Settings!$F$8,S45&lt;R45),"Review required",IF(S45&lt;Settings!$F$8,"Expired","Current")))))</x:f>
      </x:c>
    </x:row>
    <x:row r="46" ht="26" customHeight="1">
      <x:c r="A46" s="1"/>
      <x:c r="B46" s="1"/>
      <x:c r="C46" s="8"/>
      <x:c r="D46" s="8"/>
      <x:c r="E46" s="9" t="str">
        <x:f>IF(C46="","",IFERROR(INDEX('Facilities'!$D$9:$D$108,MATCH(D46,'Facilities'!$C$9:$C$108,0)),""))</x:f>
      </x:c>
      <x:c r="F46" s="9" t="str">
        <x:f>IF(C46="","",IFERROR(INDEX('Borrowers'!$E$9:$E$108,MATCH(E46,'Borrowers'!$C$9:$C$108,0)),""))</x:f>
      </x:c>
      <x:c r="G46" s="9" t="str">
        <x:f>IF(C46="","",IFERROR(INDEX('Facilities'!$W$9:$W$108,MATCH(D46,'Facilities'!$C$9:$C$108,0)),""))</x:f>
      </x:c>
      <x:c r="H46" s="9" t="str">
        <x:f>IF(C46="","",Settings!$F$11)</x:f>
      </x:c>
      <x:c r="I46" s="3" t="str">
        <x:f>IF(C46="","",IF(H46="Jordan 2026",IF(F46="Jordan","Jordan taxonomy","Reference benchmark"),"Internal policy"))</x:f>
      </x:c>
      <x:c r="J46" s="8"/>
      <x:c r="K46" s="35"/>
      <x:c r="L46" s="35"/>
      <x:c r="M46" s="8"/>
      <x:c r="N46" s="16"/>
      <x:c r="O46" s="8"/>
      <x:c r="P46" s="8"/>
      <x:c r="Q46" s="8"/>
      <x:c r="R46" s="10"/>
      <x:c r="S46" s="10"/>
      <x:c r="T46" s="8"/>
      <x:c r="U46" s="9" t="str">
        <x:f>IF(C46="","",IF(V46=0,"Criteria required",IF(OR(NOT(ISNUMBER(J46)),J46&lt;1900,J46&gt;YEAR(Settings!$F$8),IFERROR(MOD(J46,1),1)&lt;&gt;0,NOT(ISNUMBER(K46)),K46&lt;0,AND(H46="Internal criteria",OR(G46="Cement",G46="Building renovation"),OR(NOT(ISNUMBER(IFERROR(INDEX('Taxonomy Rules'!$G$9:$G$20,MATCH(H46&amp;"::"&amp;G46,'Taxonomy Rules'!$C$9:$C$20,0)),0))),IFERROR(INDEX('Taxonomy Rules'!$G$9:$G$20,MATCH(H46&amp;"::"&amp;G46,'Taxonomy Rules'!$C$9:$C$20,0)),0)&lt;=0,AND(G46="Building renovation",IFERROR(INDEX('Taxonomy Rules'!$G$9:$G$20,MATCH(H46&amp;"::"&amp;G46,'Taxonomy Rules'!$C$9:$C$20,0)),0)&gt;1)))),"Criteria required",IF(G46="Solar PV",IF(M46&lt;&gt;"Eligible activity","Criteria required",IF(K46=1,"Pass","Fail")),IF(G46="Cement",IF(M46="Amber",IF(H46="Jordan 2026",IF(YEAR(Settings!$F$8)&lt;2040,"Amber","Fail"),"Criteria required"),IF(M46&lt;&gt;"Green","Criteria required",IF(H46="Jordan 2026",IF(IFERROR(INDEX('Taxonomy Rules'!$P$9:$P$14,MATCH(J46,'Taxonomy Rules'!$O$9:$O$14,0)),0)=0,"Criteria required",IF(K46&lt;=IFERROR(INDEX('Taxonomy Rules'!$P$9:$P$14,MATCH(J46,'Taxonomy Rules'!$O$9:$O$14,0)),0),"Pass","Fail")),IF(K46&lt;=IFERROR(INDEX('Taxonomy Rules'!$G$9:$G$20,MATCH(H46&amp;"::"&amp;G46,'Taxonomy Rules'!$C$9:$C$20,0)),0),"Pass","Fail")))),IF(G46="Building renovation",IF(M46="Whole building",IF(K46=1,"Pass","Fail"),IF(M46&lt;&gt;"Improvement","Criteria required",IF(OR(K46&gt;1,NOT(ISNUMBER(L46)),L46&lt;0,L46&gt;1),"Criteria required",IF(MAX(K46,L46)&lt;IFERROR(INDEX('Taxonomy Rules'!$G$9:$G$20,MATCH(H46&amp;"::"&amp;G46,'Taxonomy Rules'!$C$9:$C$20,0)),0),"Fail",IF(H46="Jordan 2026",IF(YEAR(Settings!$F$8)&lt;2035,"Amber",IF(YEAR(Settings!$F$8)=2035,"Criteria required","Fail")),"Pass"))))),IF(G46="Road freight",IF(M46&lt;&gt;"Zero emissions","Criteria required",IF(AND(K46=0,ISNUMBER(L46),L46=0),"Pass","Fail")),IF(G46="New building",IF(NOT(OR(M46="Green",M46="Amber")),"Criteria required",IF(K46&lt;&gt;1,"Fail",IF(M46="Amber",IF(H46="Jordan 2026",IF(YEAR(Settings!$F$8)&lt;2030,"Amber",IF(YEAR(Settings!$F$8)=2030,"Criteria required","Fail")),"Criteria required"),"Pass"))),IF(G46="Building equipment",IF(M46&lt;&gt;"Equipment","Criteria required",IF(K46=1,"Pass","Fail")),"Criteria required")))))))))</x:f>
      </x:c>
      <x:c r="V46" s="9" t="str">
        <x:f>IF(C46="","",IFERROR(INDEX('Taxonomy Rules'!$J$9:$J$20,MATCH(H46&amp;"::"&amp;G46,'Taxonomy Rules'!$C$9:$C$20,0)),0))</x:f>
      </x:c>
      <x:c r="W46" s="9" t="str">
        <x:f>IF(C46="","",COUNTIFS('Taxonomy Tests'!$D$9:$D$2008,C46,'Taxonomy Tests'!$Q$9:$Q$2008,"Complete"))</x:f>
      </x:c>
      <x:c r="X46" s="9" t="str">
        <x:f>IF(C46="","",COUNTIFS('Taxonomy Tests'!$D$9:$D$2008,C46,'Taxonomy Tests'!$P$9:$P$2008,"Fail"))</x:f>
      </x:c>
      <x:c r="Y46" s="9" t="str">
        <x:f>IF(C46="","",MAX(0,V46-W46)+COUNTIFS('Taxonomy Tests'!$D$9:$D$2008,C46,'Taxonomy Tests'!$R$9:$R$2008,"Duplicate test")+COUNTIFS('Taxonomy Tests'!$D$9:$D$2008,C46,'Taxonomy Tests'!$R$9:$R$2008,"Unexpected test"))</x:f>
      </x:c>
      <x:c r="Z46" s="9" t="str">
        <x:f>IF(C46="","",IF(X46&gt;0,"Fail",IF(AND(V46&gt;0,W46=V46,Y46=0,COUNTIF('Taxonomy Tests'!$D$9:$D$2008,C46)=V46),"Pass","Pending")))</x:f>
      </x:c>
      <x:c r="AA46" s="9" t="str">
        <x:f>IF(C46="","",IF(COUNTIF(Facilities!$C$9:$C$108,D46)&lt;&gt;1,"Facility key",IF(OR(NOT(ISNUMBER(N46)),N46&lt;0),"Amount required",IF(SUMIF($D$9:$D$108,D46,$N$9:$N$108)&gt;IFERROR(INDEX('Facilities'!$AA$9:$AA$108,MATCH(D46,'Facilities'!$C$9:$C$108,0)),"")+0.000001,"Overallocated",IF(N46=0,"No allocation",IF(O46="","Evidence required","Valid"))))))</x:f>
      </x:c>
      <x:c r="AB46" s="3" t="str">
        <x:f>IF(C46="","",IF(OR(U46="Fail",Z46="Fail"),IF(H46="Jordan 2026","Red / not aligned","Not eligible"),IF(OR(U46="Criteria required",V46=0),"Criteria required",IF(Z46&lt;&gt;"Pass","Pending",IF(U46="Amber","Amber",IF(H46="Jordan 2026","Green","Eligible (internal)"))))))</x:f>
      </x:c>
      <x:c r="AC46" s="9" t="str">
        <x:f>IF(C46="","",IF(T46="Rejected","Rejected",IF(OR(AB46="Red / not aligned",AB46="Not eligible"),"Not eligible",IF(OR(AH46&lt;&gt;"Current",T46&lt;&gt;"Approved",Z46&lt;&gt;"Pass",(COUNTIFS('Actions'!$D$9:$D$308,E46,'Actions'!$E$9:$E$308,"E&amp;S",'Actions'!$F$9:$F$308,"Critical",'Actions'!$P$9:$P$308,"&lt;&gt;Closed",'Actions'!$C$9:$C$308,"&lt;&gt;")+COUNTIFS('Actions'!$D$9:$D$308,E46,'Actions'!$E$9:$E$308,"Taxonomy",'Actions'!$F$9:$F$308,"Critical",'Actions'!$P$9:$P$308,"&lt;&gt;Closed",'Actions'!$C$9:$C$308,"&lt;&gt;")+COUNTIFS('ESG'!$C$9:$C$108,E46,'ESG'!$H$9:$H$108,"Yes"))&gt;0,AND(AB46&lt;&gt;"Green",AB46&lt;&gt;"Amber",AB46&lt;&gt;"Eligible (internal)")),"Pending",IF(AA46="No allocation","Activity only",IF(AA46&lt;&gt;"Valid","Pending","Approved"))))))</x:f>
      </x:c>
      <x:c r="AD46" s="21" t="str">
        <x:f>IF(C46="","",IF(AND(AC46="Approved",OR(AB46="Green",AB46="Eligible (internal)")),N46,0))</x:f>
      </x:c>
      <x:c r="AE46" s="21" t="str">
        <x:f>IF(C46="","",IF(AND(AC46="Approved",AB46="Amber"),N46,0))</x:f>
      </x:c>
      <x:c r="AF46" s="9" t="str">
        <x:f>IF(C46="","",IF((COUNTIFS('Actions'!$D$9:$D$308,E46,'Actions'!$E$9:$E$308,"E&amp;S",'Actions'!$F$9:$F$308,"Critical",'Actions'!$P$9:$P$308,"&lt;&gt;Closed",'Actions'!$C$9:$C$308,"&lt;&gt;")+COUNTIFS('Actions'!$D$9:$D$308,E46,'Actions'!$E$9:$E$308,"Taxonomy",'Actions'!$F$9:$F$308,"Critical",'Actions'!$P$9:$P$308,"&lt;&gt;Closed",'Actions'!$C$9:$C$308,"&lt;&gt;")+COUNTIFS('ESG'!$C$9:$C$108,E46,'ESG'!$H$9:$H$108,"Yes"))&gt;0,"Resolve critical E&amp;S / taxonomy issue",IF(AH46&lt;&gt;"Current",AH46,IF(Z46&lt;&gt;"Pass","Review individual tests",IF(U46="Criteria required","Sourced criteria / interpretation required",IF(AA46&lt;&gt;"Valid",AA46,IF(T46&lt;&gt;"Approved","Approval required",I46)))))))</x:f>
      </x:c>
      <x:c r="AG46" s="9" t="str">
        <x:f>IF(C46="","",IFERROR(INDEX('Taxonomy Rules'!$L$9:$L$20,MATCH(H46&amp;"::"&amp;G46,'Taxonomy Rules'!$C$9:$C$20,0)),"Unimplemented activity"))</x:f>
      </x:c>
      <x:c r="AH46" s="9" t="str">
        <x:f>IF(C46="","",IF(COUNTIF($C$9:$C$108,C46)&lt;&gt;1,"Duplicate ID",IF(OR(COUNTIF(Facilities!$C$9:$C$108,D46)&lt;&gt;1,COUNTIF(Borrowers!$C$9:$C$108,E46)&lt;&gt;1),"Key review",IF(OR(P46="",Q46="",P46=Q46,NOT(ISNUMBER(R46)),NOT(ISNUMBER(S46)),R46&gt;Settings!$F$8,S46&lt;R46),"Review required",IF(S46&lt;Settings!$F$8,"Expired","Current")))))</x:f>
      </x:c>
    </x:row>
    <x:row r="47" ht="26" customHeight="1">
      <x:c r="A47" s="1"/>
      <x:c r="B47" s="1"/>
      <x:c r="C47" s="8"/>
      <x:c r="D47" s="8"/>
      <x:c r="E47" s="9" t="str">
        <x:f>IF(C47="","",IFERROR(INDEX('Facilities'!$D$9:$D$108,MATCH(D47,'Facilities'!$C$9:$C$108,0)),""))</x:f>
      </x:c>
      <x:c r="F47" s="9" t="str">
        <x:f>IF(C47="","",IFERROR(INDEX('Borrowers'!$E$9:$E$108,MATCH(E47,'Borrowers'!$C$9:$C$108,0)),""))</x:f>
      </x:c>
      <x:c r="G47" s="9" t="str">
        <x:f>IF(C47="","",IFERROR(INDEX('Facilities'!$W$9:$W$108,MATCH(D47,'Facilities'!$C$9:$C$108,0)),""))</x:f>
      </x:c>
      <x:c r="H47" s="9" t="str">
        <x:f>IF(C47="","",Settings!$F$11)</x:f>
      </x:c>
      <x:c r="I47" s="3" t="str">
        <x:f>IF(C47="","",IF(H47="Jordan 2026",IF(F47="Jordan","Jordan taxonomy","Reference benchmark"),"Internal policy"))</x:f>
      </x:c>
      <x:c r="J47" s="8"/>
      <x:c r="K47" s="35"/>
      <x:c r="L47" s="35"/>
      <x:c r="M47" s="8"/>
      <x:c r="N47" s="16"/>
      <x:c r="O47" s="8"/>
      <x:c r="P47" s="8"/>
      <x:c r="Q47" s="8"/>
      <x:c r="R47" s="10"/>
      <x:c r="S47" s="10"/>
      <x:c r="T47" s="8"/>
      <x:c r="U47" s="9" t="str">
        <x:f>IF(C47="","",IF(V47=0,"Criteria required",IF(OR(NOT(ISNUMBER(J47)),J47&lt;1900,J47&gt;YEAR(Settings!$F$8),IFERROR(MOD(J47,1),1)&lt;&gt;0,NOT(ISNUMBER(K47)),K47&lt;0,AND(H47="Internal criteria",OR(G47="Cement",G47="Building renovation"),OR(NOT(ISNUMBER(IFERROR(INDEX('Taxonomy Rules'!$G$9:$G$20,MATCH(H47&amp;"::"&amp;G47,'Taxonomy Rules'!$C$9:$C$20,0)),0))),IFERROR(INDEX('Taxonomy Rules'!$G$9:$G$20,MATCH(H47&amp;"::"&amp;G47,'Taxonomy Rules'!$C$9:$C$20,0)),0)&lt;=0,AND(G47="Building renovation",IFERROR(INDEX('Taxonomy Rules'!$G$9:$G$20,MATCH(H47&amp;"::"&amp;G47,'Taxonomy Rules'!$C$9:$C$20,0)),0)&gt;1)))),"Criteria required",IF(G47="Solar PV",IF(M47&lt;&gt;"Eligible activity","Criteria required",IF(K47=1,"Pass","Fail")),IF(G47="Cement",IF(M47="Amber",IF(H47="Jordan 2026",IF(YEAR(Settings!$F$8)&lt;2040,"Amber","Fail"),"Criteria required"),IF(M47&lt;&gt;"Green","Criteria required",IF(H47="Jordan 2026",IF(IFERROR(INDEX('Taxonomy Rules'!$P$9:$P$14,MATCH(J47,'Taxonomy Rules'!$O$9:$O$14,0)),0)=0,"Criteria required",IF(K47&lt;=IFERROR(INDEX('Taxonomy Rules'!$P$9:$P$14,MATCH(J47,'Taxonomy Rules'!$O$9:$O$14,0)),0),"Pass","Fail")),IF(K47&lt;=IFERROR(INDEX('Taxonomy Rules'!$G$9:$G$20,MATCH(H47&amp;"::"&amp;G47,'Taxonomy Rules'!$C$9:$C$20,0)),0),"Pass","Fail")))),IF(G47="Building renovation",IF(M47="Whole building",IF(K47=1,"Pass","Fail"),IF(M47&lt;&gt;"Improvement","Criteria required",IF(OR(K47&gt;1,NOT(ISNUMBER(L47)),L47&lt;0,L47&gt;1),"Criteria required",IF(MAX(K47,L47)&lt;IFERROR(INDEX('Taxonomy Rules'!$G$9:$G$20,MATCH(H47&amp;"::"&amp;G47,'Taxonomy Rules'!$C$9:$C$20,0)),0),"Fail",IF(H47="Jordan 2026",IF(YEAR(Settings!$F$8)&lt;2035,"Amber",IF(YEAR(Settings!$F$8)=2035,"Criteria required","Fail")),"Pass"))))),IF(G47="Road freight",IF(M47&lt;&gt;"Zero emissions","Criteria required",IF(AND(K47=0,ISNUMBER(L47),L47=0),"Pass","Fail")),IF(G47="New building",IF(NOT(OR(M47="Green",M47="Amber")),"Criteria required",IF(K47&lt;&gt;1,"Fail",IF(M47="Amber",IF(H47="Jordan 2026",IF(YEAR(Settings!$F$8)&lt;2030,"Amber",IF(YEAR(Settings!$F$8)=2030,"Criteria required","Fail")),"Criteria required"),"Pass"))),IF(G47="Building equipment",IF(M47&lt;&gt;"Equipment","Criteria required",IF(K47=1,"Pass","Fail")),"Criteria required")))))))))</x:f>
      </x:c>
      <x:c r="V47" s="9" t="str">
        <x:f>IF(C47="","",IFERROR(INDEX('Taxonomy Rules'!$J$9:$J$20,MATCH(H47&amp;"::"&amp;G47,'Taxonomy Rules'!$C$9:$C$20,0)),0))</x:f>
      </x:c>
      <x:c r="W47" s="9" t="str">
        <x:f>IF(C47="","",COUNTIFS('Taxonomy Tests'!$D$9:$D$2008,C47,'Taxonomy Tests'!$Q$9:$Q$2008,"Complete"))</x:f>
      </x:c>
      <x:c r="X47" s="9" t="str">
        <x:f>IF(C47="","",COUNTIFS('Taxonomy Tests'!$D$9:$D$2008,C47,'Taxonomy Tests'!$P$9:$P$2008,"Fail"))</x:f>
      </x:c>
      <x:c r="Y47" s="9" t="str">
        <x:f>IF(C47="","",MAX(0,V47-W47)+COUNTIFS('Taxonomy Tests'!$D$9:$D$2008,C47,'Taxonomy Tests'!$R$9:$R$2008,"Duplicate test")+COUNTIFS('Taxonomy Tests'!$D$9:$D$2008,C47,'Taxonomy Tests'!$R$9:$R$2008,"Unexpected test"))</x:f>
      </x:c>
      <x:c r="Z47" s="9" t="str">
        <x:f>IF(C47="","",IF(X47&gt;0,"Fail",IF(AND(V47&gt;0,W47=V47,Y47=0,COUNTIF('Taxonomy Tests'!$D$9:$D$2008,C47)=V47),"Pass","Pending")))</x:f>
      </x:c>
      <x:c r="AA47" s="9" t="str">
        <x:f>IF(C47="","",IF(COUNTIF(Facilities!$C$9:$C$108,D47)&lt;&gt;1,"Facility key",IF(OR(NOT(ISNUMBER(N47)),N47&lt;0),"Amount required",IF(SUMIF($D$9:$D$108,D47,$N$9:$N$108)&gt;IFERROR(INDEX('Facilities'!$AA$9:$AA$108,MATCH(D47,'Facilities'!$C$9:$C$108,0)),"")+0.000001,"Overallocated",IF(N47=0,"No allocation",IF(O47="","Evidence required","Valid"))))))</x:f>
      </x:c>
      <x:c r="AB47" s="3" t="str">
        <x:f>IF(C47="","",IF(OR(U47="Fail",Z47="Fail"),IF(H47="Jordan 2026","Red / not aligned","Not eligible"),IF(OR(U47="Criteria required",V47=0),"Criteria required",IF(Z47&lt;&gt;"Pass","Pending",IF(U47="Amber","Amber",IF(H47="Jordan 2026","Green","Eligible (internal)"))))))</x:f>
      </x:c>
      <x:c r="AC47" s="9" t="str">
        <x:f>IF(C47="","",IF(T47="Rejected","Rejected",IF(OR(AB47="Red / not aligned",AB47="Not eligible"),"Not eligible",IF(OR(AH47&lt;&gt;"Current",T47&lt;&gt;"Approved",Z47&lt;&gt;"Pass",(COUNTIFS('Actions'!$D$9:$D$308,E47,'Actions'!$E$9:$E$308,"E&amp;S",'Actions'!$F$9:$F$308,"Critical",'Actions'!$P$9:$P$308,"&lt;&gt;Closed",'Actions'!$C$9:$C$308,"&lt;&gt;")+COUNTIFS('Actions'!$D$9:$D$308,E47,'Actions'!$E$9:$E$308,"Taxonomy",'Actions'!$F$9:$F$308,"Critical",'Actions'!$P$9:$P$308,"&lt;&gt;Closed",'Actions'!$C$9:$C$308,"&lt;&gt;")+COUNTIFS('ESG'!$C$9:$C$108,E47,'ESG'!$H$9:$H$108,"Yes"))&gt;0,AND(AB47&lt;&gt;"Green",AB47&lt;&gt;"Amber",AB47&lt;&gt;"Eligible (internal)")),"Pending",IF(AA47="No allocation","Activity only",IF(AA47&lt;&gt;"Valid","Pending","Approved"))))))</x:f>
      </x:c>
      <x:c r="AD47" s="21" t="str">
        <x:f>IF(C47="","",IF(AND(AC47="Approved",OR(AB47="Green",AB47="Eligible (internal)")),N47,0))</x:f>
      </x:c>
      <x:c r="AE47" s="21" t="str">
        <x:f>IF(C47="","",IF(AND(AC47="Approved",AB47="Amber"),N47,0))</x:f>
      </x:c>
      <x:c r="AF47" s="9" t="str">
        <x:f>IF(C47="","",IF((COUNTIFS('Actions'!$D$9:$D$308,E47,'Actions'!$E$9:$E$308,"E&amp;S",'Actions'!$F$9:$F$308,"Critical",'Actions'!$P$9:$P$308,"&lt;&gt;Closed",'Actions'!$C$9:$C$308,"&lt;&gt;")+COUNTIFS('Actions'!$D$9:$D$308,E47,'Actions'!$E$9:$E$308,"Taxonomy",'Actions'!$F$9:$F$308,"Critical",'Actions'!$P$9:$P$308,"&lt;&gt;Closed",'Actions'!$C$9:$C$308,"&lt;&gt;")+COUNTIFS('ESG'!$C$9:$C$108,E47,'ESG'!$H$9:$H$108,"Yes"))&gt;0,"Resolve critical E&amp;S / taxonomy issue",IF(AH47&lt;&gt;"Current",AH47,IF(Z47&lt;&gt;"Pass","Review individual tests",IF(U47="Criteria required","Sourced criteria / interpretation required",IF(AA47&lt;&gt;"Valid",AA47,IF(T47&lt;&gt;"Approved","Approval required",I47)))))))</x:f>
      </x:c>
      <x:c r="AG47" s="9" t="str">
        <x:f>IF(C47="","",IFERROR(INDEX('Taxonomy Rules'!$L$9:$L$20,MATCH(H47&amp;"::"&amp;G47,'Taxonomy Rules'!$C$9:$C$20,0)),"Unimplemented activity"))</x:f>
      </x:c>
      <x:c r="AH47" s="9" t="str">
        <x:f>IF(C47="","",IF(COUNTIF($C$9:$C$108,C47)&lt;&gt;1,"Duplicate ID",IF(OR(COUNTIF(Facilities!$C$9:$C$108,D47)&lt;&gt;1,COUNTIF(Borrowers!$C$9:$C$108,E47)&lt;&gt;1),"Key review",IF(OR(P47="",Q47="",P47=Q47,NOT(ISNUMBER(R47)),NOT(ISNUMBER(S47)),R47&gt;Settings!$F$8,S47&lt;R47),"Review required",IF(S47&lt;Settings!$F$8,"Expired","Current")))))</x:f>
      </x:c>
    </x:row>
    <x:row r="48" ht="26" customHeight="1">
      <x:c r="A48" s="1"/>
      <x:c r="B48" s="1"/>
      <x:c r="C48" s="8"/>
      <x:c r="D48" s="8"/>
      <x:c r="E48" s="9" t="str">
        <x:f>IF(C48="","",IFERROR(INDEX('Facilities'!$D$9:$D$108,MATCH(D48,'Facilities'!$C$9:$C$108,0)),""))</x:f>
      </x:c>
      <x:c r="F48" s="9" t="str">
        <x:f>IF(C48="","",IFERROR(INDEX('Borrowers'!$E$9:$E$108,MATCH(E48,'Borrowers'!$C$9:$C$108,0)),""))</x:f>
      </x:c>
      <x:c r="G48" s="9" t="str">
        <x:f>IF(C48="","",IFERROR(INDEX('Facilities'!$W$9:$W$108,MATCH(D48,'Facilities'!$C$9:$C$108,0)),""))</x:f>
      </x:c>
      <x:c r="H48" s="9" t="str">
        <x:f>IF(C48="","",Settings!$F$11)</x:f>
      </x:c>
      <x:c r="I48" s="3" t="str">
        <x:f>IF(C48="","",IF(H48="Jordan 2026",IF(F48="Jordan","Jordan taxonomy","Reference benchmark"),"Internal policy"))</x:f>
      </x:c>
      <x:c r="J48" s="8"/>
      <x:c r="K48" s="35"/>
      <x:c r="L48" s="35"/>
      <x:c r="M48" s="8"/>
      <x:c r="N48" s="16"/>
      <x:c r="O48" s="8"/>
      <x:c r="P48" s="8"/>
      <x:c r="Q48" s="8"/>
      <x:c r="R48" s="10"/>
      <x:c r="S48" s="10"/>
      <x:c r="T48" s="8"/>
      <x:c r="U48" s="9" t="str">
        <x:f>IF(C48="","",IF(V48=0,"Criteria required",IF(OR(NOT(ISNUMBER(J48)),J48&lt;1900,J48&gt;YEAR(Settings!$F$8),IFERROR(MOD(J48,1),1)&lt;&gt;0,NOT(ISNUMBER(K48)),K48&lt;0,AND(H48="Internal criteria",OR(G48="Cement",G48="Building renovation"),OR(NOT(ISNUMBER(IFERROR(INDEX('Taxonomy Rules'!$G$9:$G$20,MATCH(H48&amp;"::"&amp;G48,'Taxonomy Rules'!$C$9:$C$20,0)),0))),IFERROR(INDEX('Taxonomy Rules'!$G$9:$G$20,MATCH(H48&amp;"::"&amp;G48,'Taxonomy Rules'!$C$9:$C$20,0)),0)&lt;=0,AND(G48="Building renovation",IFERROR(INDEX('Taxonomy Rules'!$G$9:$G$20,MATCH(H48&amp;"::"&amp;G48,'Taxonomy Rules'!$C$9:$C$20,0)),0)&gt;1)))),"Criteria required",IF(G48="Solar PV",IF(M48&lt;&gt;"Eligible activity","Criteria required",IF(K48=1,"Pass","Fail")),IF(G48="Cement",IF(M48="Amber",IF(H48="Jordan 2026",IF(YEAR(Settings!$F$8)&lt;2040,"Amber","Fail"),"Criteria required"),IF(M48&lt;&gt;"Green","Criteria required",IF(H48="Jordan 2026",IF(IFERROR(INDEX('Taxonomy Rules'!$P$9:$P$14,MATCH(J48,'Taxonomy Rules'!$O$9:$O$14,0)),0)=0,"Criteria required",IF(K48&lt;=IFERROR(INDEX('Taxonomy Rules'!$P$9:$P$14,MATCH(J48,'Taxonomy Rules'!$O$9:$O$14,0)),0),"Pass","Fail")),IF(K48&lt;=IFERROR(INDEX('Taxonomy Rules'!$G$9:$G$20,MATCH(H48&amp;"::"&amp;G48,'Taxonomy Rules'!$C$9:$C$20,0)),0),"Pass","Fail")))),IF(G48="Building renovation",IF(M48="Whole building",IF(K48=1,"Pass","Fail"),IF(M48&lt;&gt;"Improvement","Criteria required",IF(OR(K48&gt;1,NOT(ISNUMBER(L48)),L48&lt;0,L48&gt;1),"Criteria required",IF(MAX(K48,L48)&lt;IFERROR(INDEX('Taxonomy Rules'!$G$9:$G$20,MATCH(H48&amp;"::"&amp;G48,'Taxonomy Rules'!$C$9:$C$20,0)),0),"Fail",IF(H48="Jordan 2026",IF(YEAR(Settings!$F$8)&lt;2035,"Amber",IF(YEAR(Settings!$F$8)=2035,"Criteria required","Fail")),"Pass"))))),IF(G48="Road freight",IF(M48&lt;&gt;"Zero emissions","Criteria required",IF(AND(K48=0,ISNUMBER(L48),L48=0),"Pass","Fail")),IF(G48="New building",IF(NOT(OR(M48="Green",M48="Amber")),"Criteria required",IF(K48&lt;&gt;1,"Fail",IF(M48="Amber",IF(H48="Jordan 2026",IF(YEAR(Settings!$F$8)&lt;2030,"Amber",IF(YEAR(Settings!$F$8)=2030,"Criteria required","Fail")),"Criteria required"),"Pass"))),IF(G48="Building equipment",IF(M48&lt;&gt;"Equipment","Criteria required",IF(K48=1,"Pass","Fail")),"Criteria required")))))))))</x:f>
      </x:c>
      <x:c r="V48" s="9" t="str">
        <x:f>IF(C48="","",IFERROR(INDEX('Taxonomy Rules'!$J$9:$J$20,MATCH(H48&amp;"::"&amp;G48,'Taxonomy Rules'!$C$9:$C$20,0)),0))</x:f>
      </x:c>
      <x:c r="W48" s="9" t="str">
        <x:f>IF(C48="","",COUNTIFS('Taxonomy Tests'!$D$9:$D$2008,C48,'Taxonomy Tests'!$Q$9:$Q$2008,"Complete"))</x:f>
      </x:c>
      <x:c r="X48" s="9" t="str">
        <x:f>IF(C48="","",COUNTIFS('Taxonomy Tests'!$D$9:$D$2008,C48,'Taxonomy Tests'!$P$9:$P$2008,"Fail"))</x:f>
      </x:c>
      <x:c r="Y48" s="9" t="str">
        <x:f>IF(C48="","",MAX(0,V48-W48)+COUNTIFS('Taxonomy Tests'!$D$9:$D$2008,C48,'Taxonomy Tests'!$R$9:$R$2008,"Duplicate test")+COUNTIFS('Taxonomy Tests'!$D$9:$D$2008,C48,'Taxonomy Tests'!$R$9:$R$2008,"Unexpected test"))</x:f>
      </x:c>
      <x:c r="Z48" s="9" t="str">
        <x:f>IF(C48="","",IF(X48&gt;0,"Fail",IF(AND(V48&gt;0,W48=V48,Y48=0,COUNTIF('Taxonomy Tests'!$D$9:$D$2008,C48)=V48),"Pass","Pending")))</x:f>
      </x:c>
      <x:c r="AA48" s="9" t="str">
        <x:f>IF(C48="","",IF(COUNTIF(Facilities!$C$9:$C$108,D48)&lt;&gt;1,"Facility key",IF(OR(NOT(ISNUMBER(N48)),N48&lt;0),"Amount required",IF(SUMIF($D$9:$D$108,D48,$N$9:$N$108)&gt;IFERROR(INDEX('Facilities'!$AA$9:$AA$108,MATCH(D48,'Facilities'!$C$9:$C$108,0)),"")+0.000001,"Overallocated",IF(N48=0,"No allocation",IF(O48="","Evidence required","Valid"))))))</x:f>
      </x:c>
      <x:c r="AB48" s="3" t="str">
        <x:f>IF(C48="","",IF(OR(U48="Fail",Z48="Fail"),IF(H48="Jordan 2026","Red / not aligned","Not eligible"),IF(OR(U48="Criteria required",V48=0),"Criteria required",IF(Z48&lt;&gt;"Pass","Pending",IF(U48="Amber","Amber",IF(H48="Jordan 2026","Green","Eligible (internal)"))))))</x:f>
      </x:c>
      <x:c r="AC48" s="9" t="str">
        <x:f>IF(C48="","",IF(T48="Rejected","Rejected",IF(OR(AB48="Red / not aligned",AB48="Not eligible"),"Not eligible",IF(OR(AH48&lt;&gt;"Current",T48&lt;&gt;"Approved",Z48&lt;&gt;"Pass",(COUNTIFS('Actions'!$D$9:$D$308,E48,'Actions'!$E$9:$E$308,"E&amp;S",'Actions'!$F$9:$F$308,"Critical",'Actions'!$P$9:$P$308,"&lt;&gt;Closed",'Actions'!$C$9:$C$308,"&lt;&gt;")+COUNTIFS('Actions'!$D$9:$D$308,E48,'Actions'!$E$9:$E$308,"Taxonomy",'Actions'!$F$9:$F$308,"Critical",'Actions'!$P$9:$P$308,"&lt;&gt;Closed",'Actions'!$C$9:$C$308,"&lt;&gt;")+COUNTIFS('ESG'!$C$9:$C$108,E48,'ESG'!$H$9:$H$108,"Yes"))&gt;0,AND(AB48&lt;&gt;"Green",AB48&lt;&gt;"Amber",AB48&lt;&gt;"Eligible (internal)")),"Pending",IF(AA48="No allocation","Activity only",IF(AA48&lt;&gt;"Valid","Pending","Approved"))))))</x:f>
      </x:c>
      <x:c r="AD48" s="21" t="str">
        <x:f>IF(C48="","",IF(AND(AC48="Approved",OR(AB48="Green",AB48="Eligible (internal)")),N48,0))</x:f>
      </x:c>
      <x:c r="AE48" s="21" t="str">
        <x:f>IF(C48="","",IF(AND(AC48="Approved",AB48="Amber"),N48,0))</x:f>
      </x:c>
      <x:c r="AF48" s="9" t="str">
        <x:f>IF(C48="","",IF((COUNTIFS('Actions'!$D$9:$D$308,E48,'Actions'!$E$9:$E$308,"E&amp;S",'Actions'!$F$9:$F$308,"Critical",'Actions'!$P$9:$P$308,"&lt;&gt;Closed",'Actions'!$C$9:$C$308,"&lt;&gt;")+COUNTIFS('Actions'!$D$9:$D$308,E48,'Actions'!$E$9:$E$308,"Taxonomy",'Actions'!$F$9:$F$308,"Critical",'Actions'!$P$9:$P$308,"&lt;&gt;Closed",'Actions'!$C$9:$C$308,"&lt;&gt;")+COUNTIFS('ESG'!$C$9:$C$108,E48,'ESG'!$H$9:$H$108,"Yes"))&gt;0,"Resolve critical E&amp;S / taxonomy issue",IF(AH48&lt;&gt;"Current",AH48,IF(Z48&lt;&gt;"Pass","Review individual tests",IF(U48="Criteria required","Sourced criteria / interpretation required",IF(AA48&lt;&gt;"Valid",AA48,IF(T48&lt;&gt;"Approved","Approval required",I48)))))))</x:f>
      </x:c>
      <x:c r="AG48" s="9" t="str">
        <x:f>IF(C48="","",IFERROR(INDEX('Taxonomy Rules'!$L$9:$L$20,MATCH(H48&amp;"::"&amp;G48,'Taxonomy Rules'!$C$9:$C$20,0)),"Unimplemented activity"))</x:f>
      </x:c>
      <x:c r="AH48" s="9" t="str">
        <x:f>IF(C48="","",IF(COUNTIF($C$9:$C$108,C48)&lt;&gt;1,"Duplicate ID",IF(OR(COUNTIF(Facilities!$C$9:$C$108,D48)&lt;&gt;1,COUNTIF(Borrowers!$C$9:$C$108,E48)&lt;&gt;1),"Key review",IF(OR(P48="",Q48="",P48=Q48,NOT(ISNUMBER(R48)),NOT(ISNUMBER(S48)),R48&gt;Settings!$F$8,S48&lt;R48),"Review required",IF(S48&lt;Settings!$F$8,"Expired","Current")))))</x:f>
      </x:c>
    </x:row>
    <x:row r="49" ht="26" customHeight="1">
      <x:c r="A49" s="1"/>
      <x:c r="B49" s="1"/>
      <x:c r="C49" s="8"/>
      <x:c r="D49" s="8"/>
      <x:c r="E49" s="9" t="str">
        <x:f>IF(C49="","",IFERROR(INDEX('Facilities'!$D$9:$D$108,MATCH(D49,'Facilities'!$C$9:$C$108,0)),""))</x:f>
      </x:c>
      <x:c r="F49" s="9" t="str">
        <x:f>IF(C49="","",IFERROR(INDEX('Borrowers'!$E$9:$E$108,MATCH(E49,'Borrowers'!$C$9:$C$108,0)),""))</x:f>
      </x:c>
      <x:c r="G49" s="9" t="str">
        <x:f>IF(C49="","",IFERROR(INDEX('Facilities'!$W$9:$W$108,MATCH(D49,'Facilities'!$C$9:$C$108,0)),""))</x:f>
      </x:c>
      <x:c r="H49" s="9" t="str">
        <x:f>IF(C49="","",Settings!$F$11)</x:f>
      </x:c>
      <x:c r="I49" s="3" t="str">
        <x:f>IF(C49="","",IF(H49="Jordan 2026",IF(F49="Jordan","Jordan taxonomy","Reference benchmark"),"Internal policy"))</x:f>
      </x:c>
      <x:c r="J49" s="8"/>
      <x:c r="K49" s="35"/>
      <x:c r="L49" s="35"/>
      <x:c r="M49" s="8"/>
      <x:c r="N49" s="16"/>
      <x:c r="O49" s="8"/>
      <x:c r="P49" s="8"/>
      <x:c r="Q49" s="8"/>
      <x:c r="R49" s="10"/>
      <x:c r="S49" s="10"/>
      <x:c r="T49" s="8"/>
      <x:c r="U49" s="9" t="str">
        <x:f>IF(C49="","",IF(V49=0,"Criteria required",IF(OR(NOT(ISNUMBER(J49)),J49&lt;1900,J49&gt;YEAR(Settings!$F$8),IFERROR(MOD(J49,1),1)&lt;&gt;0,NOT(ISNUMBER(K49)),K49&lt;0,AND(H49="Internal criteria",OR(G49="Cement",G49="Building renovation"),OR(NOT(ISNUMBER(IFERROR(INDEX('Taxonomy Rules'!$G$9:$G$20,MATCH(H49&amp;"::"&amp;G49,'Taxonomy Rules'!$C$9:$C$20,0)),0))),IFERROR(INDEX('Taxonomy Rules'!$G$9:$G$20,MATCH(H49&amp;"::"&amp;G49,'Taxonomy Rules'!$C$9:$C$20,0)),0)&lt;=0,AND(G49="Building renovation",IFERROR(INDEX('Taxonomy Rules'!$G$9:$G$20,MATCH(H49&amp;"::"&amp;G49,'Taxonomy Rules'!$C$9:$C$20,0)),0)&gt;1)))),"Criteria required",IF(G49="Solar PV",IF(M49&lt;&gt;"Eligible activity","Criteria required",IF(K49=1,"Pass","Fail")),IF(G49="Cement",IF(M49="Amber",IF(H49="Jordan 2026",IF(YEAR(Settings!$F$8)&lt;2040,"Amber","Fail"),"Criteria required"),IF(M49&lt;&gt;"Green","Criteria required",IF(H49="Jordan 2026",IF(IFERROR(INDEX('Taxonomy Rules'!$P$9:$P$14,MATCH(J49,'Taxonomy Rules'!$O$9:$O$14,0)),0)=0,"Criteria required",IF(K49&lt;=IFERROR(INDEX('Taxonomy Rules'!$P$9:$P$14,MATCH(J49,'Taxonomy Rules'!$O$9:$O$14,0)),0),"Pass","Fail")),IF(K49&lt;=IFERROR(INDEX('Taxonomy Rules'!$G$9:$G$20,MATCH(H49&amp;"::"&amp;G49,'Taxonomy Rules'!$C$9:$C$20,0)),0),"Pass","Fail")))),IF(G49="Building renovation",IF(M49="Whole building",IF(K49=1,"Pass","Fail"),IF(M49&lt;&gt;"Improvement","Criteria required",IF(OR(K49&gt;1,NOT(ISNUMBER(L49)),L49&lt;0,L49&gt;1),"Criteria required",IF(MAX(K49,L49)&lt;IFERROR(INDEX('Taxonomy Rules'!$G$9:$G$20,MATCH(H49&amp;"::"&amp;G49,'Taxonomy Rules'!$C$9:$C$20,0)),0),"Fail",IF(H49="Jordan 2026",IF(YEAR(Settings!$F$8)&lt;2035,"Amber",IF(YEAR(Settings!$F$8)=2035,"Criteria required","Fail")),"Pass"))))),IF(G49="Road freight",IF(M49&lt;&gt;"Zero emissions","Criteria required",IF(AND(K49=0,ISNUMBER(L49),L49=0),"Pass","Fail")),IF(G49="New building",IF(NOT(OR(M49="Green",M49="Amber")),"Criteria required",IF(K49&lt;&gt;1,"Fail",IF(M49="Amber",IF(H49="Jordan 2026",IF(YEAR(Settings!$F$8)&lt;2030,"Amber",IF(YEAR(Settings!$F$8)=2030,"Criteria required","Fail")),"Criteria required"),"Pass"))),IF(G49="Building equipment",IF(M49&lt;&gt;"Equipment","Criteria required",IF(K49=1,"Pass","Fail")),"Criteria required")))))))))</x:f>
      </x:c>
      <x:c r="V49" s="9" t="str">
        <x:f>IF(C49="","",IFERROR(INDEX('Taxonomy Rules'!$J$9:$J$20,MATCH(H49&amp;"::"&amp;G49,'Taxonomy Rules'!$C$9:$C$20,0)),0))</x:f>
      </x:c>
      <x:c r="W49" s="9" t="str">
        <x:f>IF(C49="","",COUNTIFS('Taxonomy Tests'!$D$9:$D$2008,C49,'Taxonomy Tests'!$Q$9:$Q$2008,"Complete"))</x:f>
      </x:c>
      <x:c r="X49" s="9" t="str">
        <x:f>IF(C49="","",COUNTIFS('Taxonomy Tests'!$D$9:$D$2008,C49,'Taxonomy Tests'!$P$9:$P$2008,"Fail"))</x:f>
      </x:c>
      <x:c r="Y49" s="9" t="str">
        <x:f>IF(C49="","",MAX(0,V49-W49)+COUNTIFS('Taxonomy Tests'!$D$9:$D$2008,C49,'Taxonomy Tests'!$R$9:$R$2008,"Duplicate test")+COUNTIFS('Taxonomy Tests'!$D$9:$D$2008,C49,'Taxonomy Tests'!$R$9:$R$2008,"Unexpected test"))</x:f>
      </x:c>
      <x:c r="Z49" s="9" t="str">
        <x:f>IF(C49="","",IF(X49&gt;0,"Fail",IF(AND(V49&gt;0,W49=V49,Y49=0,COUNTIF('Taxonomy Tests'!$D$9:$D$2008,C49)=V49),"Pass","Pending")))</x:f>
      </x:c>
      <x:c r="AA49" s="9" t="str">
        <x:f>IF(C49="","",IF(COUNTIF(Facilities!$C$9:$C$108,D49)&lt;&gt;1,"Facility key",IF(OR(NOT(ISNUMBER(N49)),N49&lt;0),"Amount required",IF(SUMIF($D$9:$D$108,D49,$N$9:$N$108)&gt;IFERROR(INDEX('Facilities'!$AA$9:$AA$108,MATCH(D49,'Facilities'!$C$9:$C$108,0)),"")+0.000001,"Overallocated",IF(N49=0,"No allocation",IF(O49="","Evidence required","Valid"))))))</x:f>
      </x:c>
      <x:c r="AB49" s="3" t="str">
        <x:f>IF(C49="","",IF(OR(U49="Fail",Z49="Fail"),IF(H49="Jordan 2026","Red / not aligned","Not eligible"),IF(OR(U49="Criteria required",V49=0),"Criteria required",IF(Z49&lt;&gt;"Pass","Pending",IF(U49="Amber","Amber",IF(H49="Jordan 2026","Green","Eligible (internal)"))))))</x:f>
      </x:c>
      <x:c r="AC49" s="9" t="str">
        <x:f>IF(C49="","",IF(T49="Rejected","Rejected",IF(OR(AB49="Red / not aligned",AB49="Not eligible"),"Not eligible",IF(OR(AH49&lt;&gt;"Current",T49&lt;&gt;"Approved",Z49&lt;&gt;"Pass",(COUNTIFS('Actions'!$D$9:$D$308,E49,'Actions'!$E$9:$E$308,"E&amp;S",'Actions'!$F$9:$F$308,"Critical",'Actions'!$P$9:$P$308,"&lt;&gt;Closed",'Actions'!$C$9:$C$308,"&lt;&gt;")+COUNTIFS('Actions'!$D$9:$D$308,E49,'Actions'!$E$9:$E$308,"Taxonomy",'Actions'!$F$9:$F$308,"Critical",'Actions'!$P$9:$P$308,"&lt;&gt;Closed",'Actions'!$C$9:$C$308,"&lt;&gt;")+COUNTIFS('ESG'!$C$9:$C$108,E49,'ESG'!$H$9:$H$108,"Yes"))&gt;0,AND(AB49&lt;&gt;"Green",AB49&lt;&gt;"Amber",AB49&lt;&gt;"Eligible (internal)")),"Pending",IF(AA49="No allocation","Activity only",IF(AA49&lt;&gt;"Valid","Pending","Approved"))))))</x:f>
      </x:c>
      <x:c r="AD49" s="21" t="str">
        <x:f>IF(C49="","",IF(AND(AC49="Approved",OR(AB49="Green",AB49="Eligible (internal)")),N49,0))</x:f>
      </x:c>
      <x:c r="AE49" s="21" t="str">
        <x:f>IF(C49="","",IF(AND(AC49="Approved",AB49="Amber"),N49,0))</x:f>
      </x:c>
      <x:c r="AF49" s="9" t="str">
        <x:f>IF(C49="","",IF((COUNTIFS('Actions'!$D$9:$D$308,E49,'Actions'!$E$9:$E$308,"E&amp;S",'Actions'!$F$9:$F$308,"Critical",'Actions'!$P$9:$P$308,"&lt;&gt;Closed",'Actions'!$C$9:$C$308,"&lt;&gt;")+COUNTIFS('Actions'!$D$9:$D$308,E49,'Actions'!$E$9:$E$308,"Taxonomy",'Actions'!$F$9:$F$308,"Critical",'Actions'!$P$9:$P$308,"&lt;&gt;Closed",'Actions'!$C$9:$C$308,"&lt;&gt;")+COUNTIFS('ESG'!$C$9:$C$108,E49,'ESG'!$H$9:$H$108,"Yes"))&gt;0,"Resolve critical E&amp;S / taxonomy issue",IF(AH49&lt;&gt;"Current",AH49,IF(Z49&lt;&gt;"Pass","Review individual tests",IF(U49="Criteria required","Sourced criteria / interpretation required",IF(AA49&lt;&gt;"Valid",AA49,IF(T49&lt;&gt;"Approved","Approval required",I49)))))))</x:f>
      </x:c>
      <x:c r="AG49" s="9" t="str">
        <x:f>IF(C49="","",IFERROR(INDEX('Taxonomy Rules'!$L$9:$L$20,MATCH(H49&amp;"::"&amp;G49,'Taxonomy Rules'!$C$9:$C$20,0)),"Unimplemented activity"))</x:f>
      </x:c>
      <x:c r="AH49" s="9" t="str">
        <x:f>IF(C49="","",IF(COUNTIF($C$9:$C$108,C49)&lt;&gt;1,"Duplicate ID",IF(OR(COUNTIF(Facilities!$C$9:$C$108,D49)&lt;&gt;1,COUNTIF(Borrowers!$C$9:$C$108,E49)&lt;&gt;1),"Key review",IF(OR(P49="",Q49="",P49=Q49,NOT(ISNUMBER(R49)),NOT(ISNUMBER(S49)),R49&gt;Settings!$F$8,S49&lt;R49),"Review required",IF(S49&lt;Settings!$F$8,"Expired","Current")))))</x:f>
      </x:c>
    </x:row>
    <x:row r="50" ht="26" customHeight="1">
      <x:c r="A50" s="1"/>
      <x:c r="B50" s="1"/>
      <x:c r="C50" s="8"/>
      <x:c r="D50" s="8"/>
      <x:c r="E50" s="9" t="str">
        <x:f>IF(C50="","",IFERROR(INDEX('Facilities'!$D$9:$D$108,MATCH(D50,'Facilities'!$C$9:$C$108,0)),""))</x:f>
      </x:c>
      <x:c r="F50" s="9" t="str">
        <x:f>IF(C50="","",IFERROR(INDEX('Borrowers'!$E$9:$E$108,MATCH(E50,'Borrowers'!$C$9:$C$108,0)),""))</x:f>
      </x:c>
      <x:c r="G50" s="9" t="str">
        <x:f>IF(C50="","",IFERROR(INDEX('Facilities'!$W$9:$W$108,MATCH(D50,'Facilities'!$C$9:$C$108,0)),""))</x:f>
      </x:c>
      <x:c r="H50" s="9" t="str">
        <x:f>IF(C50="","",Settings!$F$11)</x:f>
      </x:c>
      <x:c r="I50" s="3" t="str">
        <x:f>IF(C50="","",IF(H50="Jordan 2026",IF(F50="Jordan","Jordan taxonomy","Reference benchmark"),"Internal policy"))</x:f>
      </x:c>
      <x:c r="J50" s="8"/>
      <x:c r="K50" s="35"/>
      <x:c r="L50" s="35"/>
      <x:c r="M50" s="8"/>
      <x:c r="N50" s="16"/>
      <x:c r="O50" s="8"/>
      <x:c r="P50" s="8"/>
      <x:c r="Q50" s="8"/>
      <x:c r="R50" s="10"/>
      <x:c r="S50" s="10"/>
      <x:c r="T50" s="8"/>
      <x:c r="U50" s="9" t="str">
        <x:f>IF(C50="","",IF(V50=0,"Criteria required",IF(OR(NOT(ISNUMBER(J50)),J50&lt;1900,J50&gt;YEAR(Settings!$F$8),IFERROR(MOD(J50,1),1)&lt;&gt;0,NOT(ISNUMBER(K50)),K50&lt;0,AND(H50="Internal criteria",OR(G50="Cement",G50="Building renovation"),OR(NOT(ISNUMBER(IFERROR(INDEX('Taxonomy Rules'!$G$9:$G$20,MATCH(H50&amp;"::"&amp;G50,'Taxonomy Rules'!$C$9:$C$20,0)),0))),IFERROR(INDEX('Taxonomy Rules'!$G$9:$G$20,MATCH(H50&amp;"::"&amp;G50,'Taxonomy Rules'!$C$9:$C$20,0)),0)&lt;=0,AND(G50="Building renovation",IFERROR(INDEX('Taxonomy Rules'!$G$9:$G$20,MATCH(H50&amp;"::"&amp;G50,'Taxonomy Rules'!$C$9:$C$20,0)),0)&gt;1)))),"Criteria required",IF(G50="Solar PV",IF(M50&lt;&gt;"Eligible activity","Criteria required",IF(K50=1,"Pass","Fail")),IF(G50="Cement",IF(M50="Amber",IF(H50="Jordan 2026",IF(YEAR(Settings!$F$8)&lt;2040,"Amber","Fail"),"Criteria required"),IF(M50&lt;&gt;"Green","Criteria required",IF(H50="Jordan 2026",IF(IFERROR(INDEX('Taxonomy Rules'!$P$9:$P$14,MATCH(J50,'Taxonomy Rules'!$O$9:$O$14,0)),0)=0,"Criteria required",IF(K50&lt;=IFERROR(INDEX('Taxonomy Rules'!$P$9:$P$14,MATCH(J50,'Taxonomy Rules'!$O$9:$O$14,0)),0),"Pass","Fail")),IF(K50&lt;=IFERROR(INDEX('Taxonomy Rules'!$G$9:$G$20,MATCH(H50&amp;"::"&amp;G50,'Taxonomy Rules'!$C$9:$C$20,0)),0),"Pass","Fail")))),IF(G50="Building renovation",IF(M50="Whole building",IF(K50=1,"Pass","Fail"),IF(M50&lt;&gt;"Improvement","Criteria required",IF(OR(K50&gt;1,NOT(ISNUMBER(L50)),L50&lt;0,L50&gt;1),"Criteria required",IF(MAX(K50,L50)&lt;IFERROR(INDEX('Taxonomy Rules'!$G$9:$G$20,MATCH(H50&amp;"::"&amp;G50,'Taxonomy Rules'!$C$9:$C$20,0)),0),"Fail",IF(H50="Jordan 2026",IF(YEAR(Settings!$F$8)&lt;2035,"Amber",IF(YEAR(Settings!$F$8)=2035,"Criteria required","Fail")),"Pass"))))),IF(G50="Road freight",IF(M50&lt;&gt;"Zero emissions","Criteria required",IF(AND(K50=0,ISNUMBER(L50),L50=0),"Pass","Fail")),IF(G50="New building",IF(NOT(OR(M50="Green",M50="Amber")),"Criteria required",IF(K50&lt;&gt;1,"Fail",IF(M50="Amber",IF(H50="Jordan 2026",IF(YEAR(Settings!$F$8)&lt;2030,"Amber",IF(YEAR(Settings!$F$8)=2030,"Criteria required","Fail")),"Criteria required"),"Pass"))),IF(G50="Building equipment",IF(M50&lt;&gt;"Equipment","Criteria required",IF(K50=1,"Pass","Fail")),"Criteria required")))))))))</x:f>
      </x:c>
      <x:c r="V50" s="9" t="str">
        <x:f>IF(C50="","",IFERROR(INDEX('Taxonomy Rules'!$J$9:$J$20,MATCH(H50&amp;"::"&amp;G50,'Taxonomy Rules'!$C$9:$C$20,0)),0))</x:f>
      </x:c>
      <x:c r="W50" s="9" t="str">
        <x:f>IF(C50="","",COUNTIFS('Taxonomy Tests'!$D$9:$D$2008,C50,'Taxonomy Tests'!$Q$9:$Q$2008,"Complete"))</x:f>
      </x:c>
      <x:c r="X50" s="9" t="str">
        <x:f>IF(C50="","",COUNTIFS('Taxonomy Tests'!$D$9:$D$2008,C50,'Taxonomy Tests'!$P$9:$P$2008,"Fail"))</x:f>
      </x:c>
      <x:c r="Y50" s="9" t="str">
        <x:f>IF(C50="","",MAX(0,V50-W50)+COUNTIFS('Taxonomy Tests'!$D$9:$D$2008,C50,'Taxonomy Tests'!$R$9:$R$2008,"Duplicate test")+COUNTIFS('Taxonomy Tests'!$D$9:$D$2008,C50,'Taxonomy Tests'!$R$9:$R$2008,"Unexpected test"))</x:f>
      </x:c>
      <x:c r="Z50" s="9" t="str">
        <x:f>IF(C50="","",IF(X50&gt;0,"Fail",IF(AND(V50&gt;0,W50=V50,Y50=0,COUNTIF('Taxonomy Tests'!$D$9:$D$2008,C50)=V50),"Pass","Pending")))</x:f>
      </x:c>
      <x:c r="AA50" s="9" t="str">
        <x:f>IF(C50="","",IF(COUNTIF(Facilities!$C$9:$C$108,D50)&lt;&gt;1,"Facility key",IF(OR(NOT(ISNUMBER(N50)),N50&lt;0),"Amount required",IF(SUMIF($D$9:$D$108,D50,$N$9:$N$108)&gt;IFERROR(INDEX('Facilities'!$AA$9:$AA$108,MATCH(D50,'Facilities'!$C$9:$C$108,0)),"")+0.000001,"Overallocated",IF(N50=0,"No allocation",IF(O50="","Evidence required","Valid"))))))</x:f>
      </x:c>
      <x:c r="AB50" s="3" t="str">
        <x:f>IF(C50="","",IF(OR(U50="Fail",Z50="Fail"),IF(H50="Jordan 2026","Red / not aligned","Not eligible"),IF(OR(U50="Criteria required",V50=0),"Criteria required",IF(Z50&lt;&gt;"Pass","Pending",IF(U50="Amber","Amber",IF(H50="Jordan 2026","Green","Eligible (internal)"))))))</x:f>
      </x:c>
      <x:c r="AC50" s="9" t="str">
        <x:f>IF(C50="","",IF(T50="Rejected","Rejected",IF(OR(AB50="Red / not aligned",AB50="Not eligible"),"Not eligible",IF(OR(AH50&lt;&gt;"Current",T50&lt;&gt;"Approved",Z50&lt;&gt;"Pass",(COUNTIFS('Actions'!$D$9:$D$308,E50,'Actions'!$E$9:$E$308,"E&amp;S",'Actions'!$F$9:$F$308,"Critical",'Actions'!$P$9:$P$308,"&lt;&gt;Closed",'Actions'!$C$9:$C$308,"&lt;&gt;")+COUNTIFS('Actions'!$D$9:$D$308,E50,'Actions'!$E$9:$E$308,"Taxonomy",'Actions'!$F$9:$F$308,"Critical",'Actions'!$P$9:$P$308,"&lt;&gt;Closed",'Actions'!$C$9:$C$308,"&lt;&gt;")+COUNTIFS('ESG'!$C$9:$C$108,E50,'ESG'!$H$9:$H$108,"Yes"))&gt;0,AND(AB50&lt;&gt;"Green",AB50&lt;&gt;"Amber",AB50&lt;&gt;"Eligible (internal)")),"Pending",IF(AA50="No allocation","Activity only",IF(AA50&lt;&gt;"Valid","Pending","Approved"))))))</x:f>
      </x:c>
      <x:c r="AD50" s="21" t="str">
        <x:f>IF(C50="","",IF(AND(AC50="Approved",OR(AB50="Green",AB50="Eligible (internal)")),N50,0))</x:f>
      </x:c>
      <x:c r="AE50" s="21" t="str">
        <x:f>IF(C50="","",IF(AND(AC50="Approved",AB50="Amber"),N50,0))</x:f>
      </x:c>
      <x:c r="AF50" s="9" t="str">
        <x:f>IF(C50="","",IF((COUNTIFS('Actions'!$D$9:$D$308,E50,'Actions'!$E$9:$E$308,"E&amp;S",'Actions'!$F$9:$F$308,"Critical",'Actions'!$P$9:$P$308,"&lt;&gt;Closed",'Actions'!$C$9:$C$308,"&lt;&gt;")+COUNTIFS('Actions'!$D$9:$D$308,E50,'Actions'!$E$9:$E$308,"Taxonomy",'Actions'!$F$9:$F$308,"Critical",'Actions'!$P$9:$P$308,"&lt;&gt;Closed",'Actions'!$C$9:$C$308,"&lt;&gt;")+COUNTIFS('ESG'!$C$9:$C$108,E50,'ESG'!$H$9:$H$108,"Yes"))&gt;0,"Resolve critical E&amp;S / taxonomy issue",IF(AH50&lt;&gt;"Current",AH50,IF(Z50&lt;&gt;"Pass","Review individual tests",IF(U50="Criteria required","Sourced criteria / interpretation required",IF(AA50&lt;&gt;"Valid",AA50,IF(T50&lt;&gt;"Approved","Approval required",I50)))))))</x:f>
      </x:c>
      <x:c r="AG50" s="9" t="str">
        <x:f>IF(C50="","",IFERROR(INDEX('Taxonomy Rules'!$L$9:$L$20,MATCH(H50&amp;"::"&amp;G50,'Taxonomy Rules'!$C$9:$C$20,0)),"Unimplemented activity"))</x:f>
      </x:c>
      <x:c r="AH50" s="9" t="str">
        <x:f>IF(C50="","",IF(COUNTIF($C$9:$C$108,C50)&lt;&gt;1,"Duplicate ID",IF(OR(COUNTIF(Facilities!$C$9:$C$108,D50)&lt;&gt;1,COUNTIF(Borrowers!$C$9:$C$108,E50)&lt;&gt;1),"Key review",IF(OR(P50="",Q50="",P50=Q50,NOT(ISNUMBER(R50)),NOT(ISNUMBER(S50)),R50&gt;Settings!$F$8,S50&lt;R50),"Review required",IF(S50&lt;Settings!$F$8,"Expired","Current")))))</x:f>
      </x:c>
    </x:row>
    <x:row r="51" ht="26" customHeight="1">
      <x:c r="A51" s="1"/>
      <x:c r="B51" s="1"/>
      <x:c r="C51" s="8"/>
      <x:c r="D51" s="8"/>
      <x:c r="E51" s="9" t="str">
        <x:f>IF(C51="","",IFERROR(INDEX('Facilities'!$D$9:$D$108,MATCH(D51,'Facilities'!$C$9:$C$108,0)),""))</x:f>
      </x:c>
      <x:c r="F51" s="9" t="str">
        <x:f>IF(C51="","",IFERROR(INDEX('Borrowers'!$E$9:$E$108,MATCH(E51,'Borrowers'!$C$9:$C$108,0)),""))</x:f>
      </x:c>
      <x:c r="G51" s="9" t="str">
        <x:f>IF(C51="","",IFERROR(INDEX('Facilities'!$W$9:$W$108,MATCH(D51,'Facilities'!$C$9:$C$108,0)),""))</x:f>
      </x:c>
      <x:c r="H51" s="9" t="str">
        <x:f>IF(C51="","",Settings!$F$11)</x:f>
      </x:c>
      <x:c r="I51" s="3" t="str">
        <x:f>IF(C51="","",IF(H51="Jordan 2026",IF(F51="Jordan","Jordan taxonomy","Reference benchmark"),"Internal policy"))</x:f>
      </x:c>
      <x:c r="J51" s="8"/>
      <x:c r="K51" s="35"/>
      <x:c r="L51" s="35"/>
      <x:c r="M51" s="8"/>
      <x:c r="N51" s="16"/>
      <x:c r="O51" s="8"/>
      <x:c r="P51" s="8"/>
      <x:c r="Q51" s="8"/>
      <x:c r="R51" s="10"/>
      <x:c r="S51" s="10"/>
      <x:c r="T51" s="8"/>
      <x:c r="U51" s="9" t="str">
        <x:f>IF(C51="","",IF(V51=0,"Criteria required",IF(OR(NOT(ISNUMBER(J51)),J51&lt;1900,J51&gt;YEAR(Settings!$F$8),IFERROR(MOD(J51,1),1)&lt;&gt;0,NOT(ISNUMBER(K51)),K51&lt;0,AND(H51="Internal criteria",OR(G51="Cement",G51="Building renovation"),OR(NOT(ISNUMBER(IFERROR(INDEX('Taxonomy Rules'!$G$9:$G$20,MATCH(H51&amp;"::"&amp;G51,'Taxonomy Rules'!$C$9:$C$20,0)),0))),IFERROR(INDEX('Taxonomy Rules'!$G$9:$G$20,MATCH(H51&amp;"::"&amp;G51,'Taxonomy Rules'!$C$9:$C$20,0)),0)&lt;=0,AND(G51="Building renovation",IFERROR(INDEX('Taxonomy Rules'!$G$9:$G$20,MATCH(H51&amp;"::"&amp;G51,'Taxonomy Rules'!$C$9:$C$20,0)),0)&gt;1)))),"Criteria required",IF(G51="Solar PV",IF(M51&lt;&gt;"Eligible activity","Criteria required",IF(K51=1,"Pass","Fail")),IF(G51="Cement",IF(M51="Amber",IF(H51="Jordan 2026",IF(YEAR(Settings!$F$8)&lt;2040,"Amber","Fail"),"Criteria required"),IF(M51&lt;&gt;"Green","Criteria required",IF(H51="Jordan 2026",IF(IFERROR(INDEX('Taxonomy Rules'!$P$9:$P$14,MATCH(J51,'Taxonomy Rules'!$O$9:$O$14,0)),0)=0,"Criteria required",IF(K51&lt;=IFERROR(INDEX('Taxonomy Rules'!$P$9:$P$14,MATCH(J51,'Taxonomy Rules'!$O$9:$O$14,0)),0),"Pass","Fail")),IF(K51&lt;=IFERROR(INDEX('Taxonomy Rules'!$G$9:$G$20,MATCH(H51&amp;"::"&amp;G51,'Taxonomy Rules'!$C$9:$C$20,0)),0),"Pass","Fail")))),IF(G51="Building renovation",IF(M51="Whole building",IF(K51=1,"Pass","Fail"),IF(M51&lt;&gt;"Improvement","Criteria required",IF(OR(K51&gt;1,NOT(ISNUMBER(L51)),L51&lt;0,L51&gt;1),"Criteria required",IF(MAX(K51,L51)&lt;IFERROR(INDEX('Taxonomy Rules'!$G$9:$G$20,MATCH(H51&amp;"::"&amp;G51,'Taxonomy Rules'!$C$9:$C$20,0)),0),"Fail",IF(H51="Jordan 2026",IF(YEAR(Settings!$F$8)&lt;2035,"Amber",IF(YEAR(Settings!$F$8)=2035,"Criteria required","Fail")),"Pass"))))),IF(G51="Road freight",IF(M51&lt;&gt;"Zero emissions","Criteria required",IF(AND(K51=0,ISNUMBER(L51),L51=0),"Pass","Fail")),IF(G51="New building",IF(NOT(OR(M51="Green",M51="Amber")),"Criteria required",IF(K51&lt;&gt;1,"Fail",IF(M51="Amber",IF(H51="Jordan 2026",IF(YEAR(Settings!$F$8)&lt;2030,"Amber",IF(YEAR(Settings!$F$8)=2030,"Criteria required","Fail")),"Criteria required"),"Pass"))),IF(G51="Building equipment",IF(M51&lt;&gt;"Equipment","Criteria required",IF(K51=1,"Pass","Fail")),"Criteria required")))))))))</x:f>
      </x:c>
      <x:c r="V51" s="9" t="str">
        <x:f>IF(C51="","",IFERROR(INDEX('Taxonomy Rules'!$J$9:$J$20,MATCH(H51&amp;"::"&amp;G51,'Taxonomy Rules'!$C$9:$C$20,0)),0))</x:f>
      </x:c>
      <x:c r="W51" s="9" t="str">
        <x:f>IF(C51="","",COUNTIFS('Taxonomy Tests'!$D$9:$D$2008,C51,'Taxonomy Tests'!$Q$9:$Q$2008,"Complete"))</x:f>
      </x:c>
      <x:c r="X51" s="9" t="str">
        <x:f>IF(C51="","",COUNTIFS('Taxonomy Tests'!$D$9:$D$2008,C51,'Taxonomy Tests'!$P$9:$P$2008,"Fail"))</x:f>
      </x:c>
      <x:c r="Y51" s="9" t="str">
        <x:f>IF(C51="","",MAX(0,V51-W51)+COUNTIFS('Taxonomy Tests'!$D$9:$D$2008,C51,'Taxonomy Tests'!$R$9:$R$2008,"Duplicate test")+COUNTIFS('Taxonomy Tests'!$D$9:$D$2008,C51,'Taxonomy Tests'!$R$9:$R$2008,"Unexpected test"))</x:f>
      </x:c>
      <x:c r="Z51" s="9" t="str">
        <x:f>IF(C51="","",IF(X51&gt;0,"Fail",IF(AND(V51&gt;0,W51=V51,Y51=0,COUNTIF('Taxonomy Tests'!$D$9:$D$2008,C51)=V51),"Pass","Pending")))</x:f>
      </x:c>
      <x:c r="AA51" s="9" t="str">
        <x:f>IF(C51="","",IF(COUNTIF(Facilities!$C$9:$C$108,D51)&lt;&gt;1,"Facility key",IF(OR(NOT(ISNUMBER(N51)),N51&lt;0),"Amount required",IF(SUMIF($D$9:$D$108,D51,$N$9:$N$108)&gt;IFERROR(INDEX('Facilities'!$AA$9:$AA$108,MATCH(D51,'Facilities'!$C$9:$C$108,0)),"")+0.000001,"Overallocated",IF(N51=0,"No allocation",IF(O51="","Evidence required","Valid"))))))</x:f>
      </x:c>
      <x:c r="AB51" s="3" t="str">
        <x:f>IF(C51="","",IF(OR(U51="Fail",Z51="Fail"),IF(H51="Jordan 2026","Red / not aligned","Not eligible"),IF(OR(U51="Criteria required",V51=0),"Criteria required",IF(Z51&lt;&gt;"Pass","Pending",IF(U51="Amber","Amber",IF(H51="Jordan 2026","Green","Eligible (internal)"))))))</x:f>
      </x:c>
      <x:c r="AC51" s="9" t="str">
        <x:f>IF(C51="","",IF(T51="Rejected","Rejected",IF(OR(AB51="Red / not aligned",AB51="Not eligible"),"Not eligible",IF(OR(AH51&lt;&gt;"Current",T51&lt;&gt;"Approved",Z51&lt;&gt;"Pass",(COUNTIFS('Actions'!$D$9:$D$308,E51,'Actions'!$E$9:$E$308,"E&amp;S",'Actions'!$F$9:$F$308,"Critical",'Actions'!$P$9:$P$308,"&lt;&gt;Closed",'Actions'!$C$9:$C$308,"&lt;&gt;")+COUNTIFS('Actions'!$D$9:$D$308,E51,'Actions'!$E$9:$E$308,"Taxonomy",'Actions'!$F$9:$F$308,"Critical",'Actions'!$P$9:$P$308,"&lt;&gt;Closed",'Actions'!$C$9:$C$308,"&lt;&gt;")+COUNTIFS('ESG'!$C$9:$C$108,E51,'ESG'!$H$9:$H$108,"Yes"))&gt;0,AND(AB51&lt;&gt;"Green",AB51&lt;&gt;"Amber",AB51&lt;&gt;"Eligible (internal)")),"Pending",IF(AA51="No allocation","Activity only",IF(AA51&lt;&gt;"Valid","Pending","Approved"))))))</x:f>
      </x:c>
      <x:c r="AD51" s="21" t="str">
        <x:f>IF(C51="","",IF(AND(AC51="Approved",OR(AB51="Green",AB51="Eligible (internal)")),N51,0))</x:f>
      </x:c>
      <x:c r="AE51" s="21" t="str">
        <x:f>IF(C51="","",IF(AND(AC51="Approved",AB51="Amber"),N51,0))</x:f>
      </x:c>
      <x:c r="AF51" s="9" t="str">
        <x:f>IF(C51="","",IF((COUNTIFS('Actions'!$D$9:$D$308,E51,'Actions'!$E$9:$E$308,"E&amp;S",'Actions'!$F$9:$F$308,"Critical",'Actions'!$P$9:$P$308,"&lt;&gt;Closed",'Actions'!$C$9:$C$308,"&lt;&gt;")+COUNTIFS('Actions'!$D$9:$D$308,E51,'Actions'!$E$9:$E$308,"Taxonomy",'Actions'!$F$9:$F$308,"Critical",'Actions'!$P$9:$P$308,"&lt;&gt;Closed",'Actions'!$C$9:$C$308,"&lt;&gt;")+COUNTIFS('ESG'!$C$9:$C$108,E51,'ESG'!$H$9:$H$108,"Yes"))&gt;0,"Resolve critical E&amp;S / taxonomy issue",IF(AH51&lt;&gt;"Current",AH51,IF(Z51&lt;&gt;"Pass","Review individual tests",IF(U51="Criteria required","Sourced criteria / interpretation required",IF(AA51&lt;&gt;"Valid",AA51,IF(T51&lt;&gt;"Approved","Approval required",I51)))))))</x:f>
      </x:c>
      <x:c r="AG51" s="9" t="str">
        <x:f>IF(C51="","",IFERROR(INDEX('Taxonomy Rules'!$L$9:$L$20,MATCH(H51&amp;"::"&amp;G51,'Taxonomy Rules'!$C$9:$C$20,0)),"Unimplemented activity"))</x:f>
      </x:c>
      <x:c r="AH51" s="9" t="str">
        <x:f>IF(C51="","",IF(COUNTIF($C$9:$C$108,C51)&lt;&gt;1,"Duplicate ID",IF(OR(COUNTIF(Facilities!$C$9:$C$108,D51)&lt;&gt;1,COUNTIF(Borrowers!$C$9:$C$108,E51)&lt;&gt;1),"Key review",IF(OR(P51="",Q51="",P51=Q51,NOT(ISNUMBER(R51)),NOT(ISNUMBER(S51)),R51&gt;Settings!$F$8,S51&lt;R51),"Review required",IF(S51&lt;Settings!$F$8,"Expired","Current")))))</x:f>
      </x:c>
    </x:row>
    <x:row r="52" ht="26" customHeight="1">
      <x:c r="A52" s="1"/>
      <x:c r="B52" s="1"/>
      <x:c r="C52" s="8"/>
      <x:c r="D52" s="8"/>
      <x:c r="E52" s="9" t="str">
        <x:f>IF(C52="","",IFERROR(INDEX('Facilities'!$D$9:$D$108,MATCH(D52,'Facilities'!$C$9:$C$108,0)),""))</x:f>
      </x:c>
      <x:c r="F52" s="9" t="str">
        <x:f>IF(C52="","",IFERROR(INDEX('Borrowers'!$E$9:$E$108,MATCH(E52,'Borrowers'!$C$9:$C$108,0)),""))</x:f>
      </x:c>
      <x:c r="G52" s="9" t="str">
        <x:f>IF(C52="","",IFERROR(INDEX('Facilities'!$W$9:$W$108,MATCH(D52,'Facilities'!$C$9:$C$108,0)),""))</x:f>
      </x:c>
      <x:c r="H52" s="9" t="str">
        <x:f>IF(C52="","",Settings!$F$11)</x:f>
      </x:c>
      <x:c r="I52" s="3" t="str">
        <x:f>IF(C52="","",IF(H52="Jordan 2026",IF(F52="Jordan","Jordan taxonomy","Reference benchmark"),"Internal policy"))</x:f>
      </x:c>
      <x:c r="J52" s="8"/>
      <x:c r="K52" s="35"/>
      <x:c r="L52" s="35"/>
      <x:c r="M52" s="8"/>
      <x:c r="N52" s="16"/>
      <x:c r="O52" s="8"/>
      <x:c r="P52" s="8"/>
      <x:c r="Q52" s="8"/>
      <x:c r="R52" s="10"/>
      <x:c r="S52" s="10"/>
      <x:c r="T52" s="8"/>
      <x:c r="U52" s="9" t="str">
        <x:f>IF(C52="","",IF(V52=0,"Criteria required",IF(OR(NOT(ISNUMBER(J52)),J52&lt;1900,J52&gt;YEAR(Settings!$F$8),IFERROR(MOD(J52,1),1)&lt;&gt;0,NOT(ISNUMBER(K52)),K52&lt;0,AND(H52="Internal criteria",OR(G52="Cement",G52="Building renovation"),OR(NOT(ISNUMBER(IFERROR(INDEX('Taxonomy Rules'!$G$9:$G$20,MATCH(H52&amp;"::"&amp;G52,'Taxonomy Rules'!$C$9:$C$20,0)),0))),IFERROR(INDEX('Taxonomy Rules'!$G$9:$G$20,MATCH(H52&amp;"::"&amp;G52,'Taxonomy Rules'!$C$9:$C$20,0)),0)&lt;=0,AND(G52="Building renovation",IFERROR(INDEX('Taxonomy Rules'!$G$9:$G$20,MATCH(H52&amp;"::"&amp;G52,'Taxonomy Rules'!$C$9:$C$20,0)),0)&gt;1)))),"Criteria required",IF(G52="Solar PV",IF(M52&lt;&gt;"Eligible activity","Criteria required",IF(K52=1,"Pass","Fail")),IF(G52="Cement",IF(M52="Amber",IF(H52="Jordan 2026",IF(YEAR(Settings!$F$8)&lt;2040,"Amber","Fail"),"Criteria required"),IF(M52&lt;&gt;"Green","Criteria required",IF(H52="Jordan 2026",IF(IFERROR(INDEX('Taxonomy Rules'!$P$9:$P$14,MATCH(J52,'Taxonomy Rules'!$O$9:$O$14,0)),0)=0,"Criteria required",IF(K52&lt;=IFERROR(INDEX('Taxonomy Rules'!$P$9:$P$14,MATCH(J52,'Taxonomy Rules'!$O$9:$O$14,0)),0),"Pass","Fail")),IF(K52&lt;=IFERROR(INDEX('Taxonomy Rules'!$G$9:$G$20,MATCH(H52&amp;"::"&amp;G52,'Taxonomy Rules'!$C$9:$C$20,0)),0),"Pass","Fail")))),IF(G52="Building renovation",IF(M52="Whole building",IF(K52=1,"Pass","Fail"),IF(M52&lt;&gt;"Improvement","Criteria required",IF(OR(K52&gt;1,NOT(ISNUMBER(L52)),L52&lt;0,L52&gt;1),"Criteria required",IF(MAX(K52,L52)&lt;IFERROR(INDEX('Taxonomy Rules'!$G$9:$G$20,MATCH(H52&amp;"::"&amp;G52,'Taxonomy Rules'!$C$9:$C$20,0)),0),"Fail",IF(H52="Jordan 2026",IF(YEAR(Settings!$F$8)&lt;2035,"Amber",IF(YEAR(Settings!$F$8)=2035,"Criteria required","Fail")),"Pass"))))),IF(G52="Road freight",IF(M52&lt;&gt;"Zero emissions","Criteria required",IF(AND(K52=0,ISNUMBER(L52),L52=0),"Pass","Fail")),IF(G52="New building",IF(NOT(OR(M52="Green",M52="Amber")),"Criteria required",IF(K52&lt;&gt;1,"Fail",IF(M52="Amber",IF(H52="Jordan 2026",IF(YEAR(Settings!$F$8)&lt;2030,"Amber",IF(YEAR(Settings!$F$8)=2030,"Criteria required","Fail")),"Criteria required"),"Pass"))),IF(G52="Building equipment",IF(M52&lt;&gt;"Equipment","Criteria required",IF(K52=1,"Pass","Fail")),"Criteria required")))))))))</x:f>
      </x:c>
      <x:c r="V52" s="9" t="str">
        <x:f>IF(C52="","",IFERROR(INDEX('Taxonomy Rules'!$J$9:$J$20,MATCH(H52&amp;"::"&amp;G52,'Taxonomy Rules'!$C$9:$C$20,0)),0))</x:f>
      </x:c>
      <x:c r="W52" s="9" t="str">
        <x:f>IF(C52="","",COUNTIFS('Taxonomy Tests'!$D$9:$D$2008,C52,'Taxonomy Tests'!$Q$9:$Q$2008,"Complete"))</x:f>
      </x:c>
      <x:c r="X52" s="9" t="str">
        <x:f>IF(C52="","",COUNTIFS('Taxonomy Tests'!$D$9:$D$2008,C52,'Taxonomy Tests'!$P$9:$P$2008,"Fail"))</x:f>
      </x:c>
      <x:c r="Y52" s="9" t="str">
        <x:f>IF(C52="","",MAX(0,V52-W52)+COUNTIFS('Taxonomy Tests'!$D$9:$D$2008,C52,'Taxonomy Tests'!$R$9:$R$2008,"Duplicate test")+COUNTIFS('Taxonomy Tests'!$D$9:$D$2008,C52,'Taxonomy Tests'!$R$9:$R$2008,"Unexpected test"))</x:f>
      </x:c>
      <x:c r="Z52" s="9" t="str">
        <x:f>IF(C52="","",IF(X52&gt;0,"Fail",IF(AND(V52&gt;0,W52=V52,Y52=0,COUNTIF('Taxonomy Tests'!$D$9:$D$2008,C52)=V52),"Pass","Pending")))</x:f>
      </x:c>
      <x:c r="AA52" s="9" t="str">
        <x:f>IF(C52="","",IF(COUNTIF(Facilities!$C$9:$C$108,D52)&lt;&gt;1,"Facility key",IF(OR(NOT(ISNUMBER(N52)),N52&lt;0),"Amount required",IF(SUMIF($D$9:$D$108,D52,$N$9:$N$108)&gt;IFERROR(INDEX('Facilities'!$AA$9:$AA$108,MATCH(D52,'Facilities'!$C$9:$C$108,0)),"")+0.000001,"Overallocated",IF(N52=0,"No allocation",IF(O52="","Evidence required","Valid"))))))</x:f>
      </x:c>
      <x:c r="AB52" s="3" t="str">
        <x:f>IF(C52="","",IF(OR(U52="Fail",Z52="Fail"),IF(H52="Jordan 2026","Red / not aligned","Not eligible"),IF(OR(U52="Criteria required",V52=0),"Criteria required",IF(Z52&lt;&gt;"Pass","Pending",IF(U52="Amber","Amber",IF(H52="Jordan 2026","Green","Eligible (internal)"))))))</x:f>
      </x:c>
      <x:c r="AC52" s="9" t="str">
        <x:f>IF(C52="","",IF(T52="Rejected","Rejected",IF(OR(AB52="Red / not aligned",AB52="Not eligible"),"Not eligible",IF(OR(AH52&lt;&gt;"Current",T52&lt;&gt;"Approved",Z52&lt;&gt;"Pass",(COUNTIFS('Actions'!$D$9:$D$308,E52,'Actions'!$E$9:$E$308,"E&amp;S",'Actions'!$F$9:$F$308,"Critical",'Actions'!$P$9:$P$308,"&lt;&gt;Closed",'Actions'!$C$9:$C$308,"&lt;&gt;")+COUNTIFS('Actions'!$D$9:$D$308,E52,'Actions'!$E$9:$E$308,"Taxonomy",'Actions'!$F$9:$F$308,"Critical",'Actions'!$P$9:$P$308,"&lt;&gt;Closed",'Actions'!$C$9:$C$308,"&lt;&gt;")+COUNTIFS('ESG'!$C$9:$C$108,E52,'ESG'!$H$9:$H$108,"Yes"))&gt;0,AND(AB52&lt;&gt;"Green",AB52&lt;&gt;"Amber",AB52&lt;&gt;"Eligible (internal)")),"Pending",IF(AA52="No allocation","Activity only",IF(AA52&lt;&gt;"Valid","Pending","Approved"))))))</x:f>
      </x:c>
      <x:c r="AD52" s="21" t="str">
        <x:f>IF(C52="","",IF(AND(AC52="Approved",OR(AB52="Green",AB52="Eligible (internal)")),N52,0))</x:f>
      </x:c>
      <x:c r="AE52" s="21" t="str">
        <x:f>IF(C52="","",IF(AND(AC52="Approved",AB52="Amber"),N52,0))</x:f>
      </x:c>
      <x:c r="AF52" s="9" t="str">
        <x:f>IF(C52="","",IF((COUNTIFS('Actions'!$D$9:$D$308,E52,'Actions'!$E$9:$E$308,"E&amp;S",'Actions'!$F$9:$F$308,"Critical",'Actions'!$P$9:$P$308,"&lt;&gt;Closed",'Actions'!$C$9:$C$308,"&lt;&gt;")+COUNTIFS('Actions'!$D$9:$D$308,E52,'Actions'!$E$9:$E$308,"Taxonomy",'Actions'!$F$9:$F$308,"Critical",'Actions'!$P$9:$P$308,"&lt;&gt;Closed",'Actions'!$C$9:$C$308,"&lt;&gt;")+COUNTIFS('ESG'!$C$9:$C$108,E52,'ESG'!$H$9:$H$108,"Yes"))&gt;0,"Resolve critical E&amp;S / taxonomy issue",IF(AH52&lt;&gt;"Current",AH52,IF(Z52&lt;&gt;"Pass","Review individual tests",IF(U52="Criteria required","Sourced criteria / interpretation required",IF(AA52&lt;&gt;"Valid",AA52,IF(T52&lt;&gt;"Approved","Approval required",I52)))))))</x:f>
      </x:c>
      <x:c r="AG52" s="9" t="str">
        <x:f>IF(C52="","",IFERROR(INDEX('Taxonomy Rules'!$L$9:$L$20,MATCH(H52&amp;"::"&amp;G52,'Taxonomy Rules'!$C$9:$C$20,0)),"Unimplemented activity"))</x:f>
      </x:c>
      <x:c r="AH52" s="9" t="str">
        <x:f>IF(C52="","",IF(COUNTIF($C$9:$C$108,C52)&lt;&gt;1,"Duplicate ID",IF(OR(COUNTIF(Facilities!$C$9:$C$108,D52)&lt;&gt;1,COUNTIF(Borrowers!$C$9:$C$108,E52)&lt;&gt;1),"Key review",IF(OR(P52="",Q52="",P52=Q52,NOT(ISNUMBER(R52)),NOT(ISNUMBER(S52)),R52&gt;Settings!$F$8,S52&lt;R52),"Review required",IF(S52&lt;Settings!$F$8,"Expired","Current")))))</x:f>
      </x:c>
    </x:row>
    <x:row r="53" ht="26" customHeight="1">
      <x:c r="A53" s="1"/>
      <x:c r="B53" s="1"/>
      <x:c r="C53" s="8"/>
      <x:c r="D53" s="8"/>
      <x:c r="E53" s="9" t="str">
        <x:f>IF(C53="","",IFERROR(INDEX('Facilities'!$D$9:$D$108,MATCH(D53,'Facilities'!$C$9:$C$108,0)),""))</x:f>
      </x:c>
      <x:c r="F53" s="9" t="str">
        <x:f>IF(C53="","",IFERROR(INDEX('Borrowers'!$E$9:$E$108,MATCH(E53,'Borrowers'!$C$9:$C$108,0)),""))</x:f>
      </x:c>
      <x:c r="G53" s="9" t="str">
        <x:f>IF(C53="","",IFERROR(INDEX('Facilities'!$W$9:$W$108,MATCH(D53,'Facilities'!$C$9:$C$108,0)),""))</x:f>
      </x:c>
      <x:c r="H53" s="9" t="str">
        <x:f>IF(C53="","",Settings!$F$11)</x:f>
      </x:c>
      <x:c r="I53" s="3" t="str">
        <x:f>IF(C53="","",IF(H53="Jordan 2026",IF(F53="Jordan","Jordan taxonomy","Reference benchmark"),"Internal policy"))</x:f>
      </x:c>
      <x:c r="J53" s="8"/>
      <x:c r="K53" s="35"/>
      <x:c r="L53" s="35"/>
      <x:c r="M53" s="8"/>
      <x:c r="N53" s="16"/>
      <x:c r="O53" s="8"/>
      <x:c r="P53" s="8"/>
      <x:c r="Q53" s="8"/>
      <x:c r="R53" s="10"/>
      <x:c r="S53" s="10"/>
      <x:c r="T53" s="8"/>
      <x:c r="U53" s="9" t="str">
        <x:f>IF(C53="","",IF(V53=0,"Criteria required",IF(OR(NOT(ISNUMBER(J53)),J53&lt;1900,J53&gt;YEAR(Settings!$F$8),IFERROR(MOD(J53,1),1)&lt;&gt;0,NOT(ISNUMBER(K53)),K53&lt;0,AND(H53="Internal criteria",OR(G53="Cement",G53="Building renovation"),OR(NOT(ISNUMBER(IFERROR(INDEX('Taxonomy Rules'!$G$9:$G$20,MATCH(H53&amp;"::"&amp;G53,'Taxonomy Rules'!$C$9:$C$20,0)),0))),IFERROR(INDEX('Taxonomy Rules'!$G$9:$G$20,MATCH(H53&amp;"::"&amp;G53,'Taxonomy Rules'!$C$9:$C$20,0)),0)&lt;=0,AND(G53="Building renovation",IFERROR(INDEX('Taxonomy Rules'!$G$9:$G$20,MATCH(H53&amp;"::"&amp;G53,'Taxonomy Rules'!$C$9:$C$20,0)),0)&gt;1)))),"Criteria required",IF(G53="Solar PV",IF(M53&lt;&gt;"Eligible activity","Criteria required",IF(K53=1,"Pass","Fail")),IF(G53="Cement",IF(M53="Amber",IF(H53="Jordan 2026",IF(YEAR(Settings!$F$8)&lt;2040,"Amber","Fail"),"Criteria required"),IF(M53&lt;&gt;"Green","Criteria required",IF(H53="Jordan 2026",IF(IFERROR(INDEX('Taxonomy Rules'!$P$9:$P$14,MATCH(J53,'Taxonomy Rules'!$O$9:$O$14,0)),0)=0,"Criteria required",IF(K53&lt;=IFERROR(INDEX('Taxonomy Rules'!$P$9:$P$14,MATCH(J53,'Taxonomy Rules'!$O$9:$O$14,0)),0),"Pass","Fail")),IF(K53&lt;=IFERROR(INDEX('Taxonomy Rules'!$G$9:$G$20,MATCH(H53&amp;"::"&amp;G53,'Taxonomy Rules'!$C$9:$C$20,0)),0),"Pass","Fail")))),IF(G53="Building renovation",IF(M53="Whole building",IF(K53=1,"Pass","Fail"),IF(M53&lt;&gt;"Improvement","Criteria required",IF(OR(K53&gt;1,NOT(ISNUMBER(L53)),L53&lt;0,L53&gt;1),"Criteria required",IF(MAX(K53,L53)&lt;IFERROR(INDEX('Taxonomy Rules'!$G$9:$G$20,MATCH(H53&amp;"::"&amp;G53,'Taxonomy Rules'!$C$9:$C$20,0)),0),"Fail",IF(H53="Jordan 2026",IF(YEAR(Settings!$F$8)&lt;2035,"Amber",IF(YEAR(Settings!$F$8)=2035,"Criteria required","Fail")),"Pass"))))),IF(G53="Road freight",IF(M53&lt;&gt;"Zero emissions","Criteria required",IF(AND(K53=0,ISNUMBER(L53),L53=0),"Pass","Fail")),IF(G53="New building",IF(NOT(OR(M53="Green",M53="Amber")),"Criteria required",IF(K53&lt;&gt;1,"Fail",IF(M53="Amber",IF(H53="Jordan 2026",IF(YEAR(Settings!$F$8)&lt;2030,"Amber",IF(YEAR(Settings!$F$8)=2030,"Criteria required","Fail")),"Criteria required"),"Pass"))),IF(G53="Building equipment",IF(M53&lt;&gt;"Equipment","Criteria required",IF(K53=1,"Pass","Fail")),"Criteria required")))))))))</x:f>
      </x:c>
      <x:c r="V53" s="9" t="str">
        <x:f>IF(C53="","",IFERROR(INDEX('Taxonomy Rules'!$J$9:$J$20,MATCH(H53&amp;"::"&amp;G53,'Taxonomy Rules'!$C$9:$C$20,0)),0))</x:f>
      </x:c>
      <x:c r="W53" s="9" t="str">
        <x:f>IF(C53="","",COUNTIFS('Taxonomy Tests'!$D$9:$D$2008,C53,'Taxonomy Tests'!$Q$9:$Q$2008,"Complete"))</x:f>
      </x:c>
      <x:c r="X53" s="9" t="str">
        <x:f>IF(C53="","",COUNTIFS('Taxonomy Tests'!$D$9:$D$2008,C53,'Taxonomy Tests'!$P$9:$P$2008,"Fail"))</x:f>
      </x:c>
      <x:c r="Y53" s="9" t="str">
        <x:f>IF(C53="","",MAX(0,V53-W53)+COUNTIFS('Taxonomy Tests'!$D$9:$D$2008,C53,'Taxonomy Tests'!$R$9:$R$2008,"Duplicate test")+COUNTIFS('Taxonomy Tests'!$D$9:$D$2008,C53,'Taxonomy Tests'!$R$9:$R$2008,"Unexpected test"))</x:f>
      </x:c>
      <x:c r="Z53" s="9" t="str">
        <x:f>IF(C53="","",IF(X53&gt;0,"Fail",IF(AND(V53&gt;0,W53=V53,Y53=0,COUNTIF('Taxonomy Tests'!$D$9:$D$2008,C53)=V53),"Pass","Pending")))</x:f>
      </x:c>
      <x:c r="AA53" s="9" t="str">
        <x:f>IF(C53="","",IF(COUNTIF(Facilities!$C$9:$C$108,D53)&lt;&gt;1,"Facility key",IF(OR(NOT(ISNUMBER(N53)),N53&lt;0),"Amount required",IF(SUMIF($D$9:$D$108,D53,$N$9:$N$108)&gt;IFERROR(INDEX('Facilities'!$AA$9:$AA$108,MATCH(D53,'Facilities'!$C$9:$C$108,0)),"")+0.000001,"Overallocated",IF(N53=0,"No allocation",IF(O53="","Evidence required","Valid"))))))</x:f>
      </x:c>
      <x:c r="AB53" s="3" t="str">
        <x:f>IF(C53="","",IF(OR(U53="Fail",Z53="Fail"),IF(H53="Jordan 2026","Red / not aligned","Not eligible"),IF(OR(U53="Criteria required",V53=0),"Criteria required",IF(Z53&lt;&gt;"Pass","Pending",IF(U53="Amber","Amber",IF(H53="Jordan 2026","Green","Eligible (internal)"))))))</x:f>
      </x:c>
      <x:c r="AC53" s="9" t="str">
        <x:f>IF(C53="","",IF(T53="Rejected","Rejected",IF(OR(AB53="Red / not aligned",AB53="Not eligible"),"Not eligible",IF(OR(AH53&lt;&gt;"Current",T53&lt;&gt;"Approved",Z53&lt;&gt;"Pass",(COUNTIFS('Actions'!$D$9:$D$308,E53,'Actions'!$E$9:$E$308,"E&amp;S",'Actions'!$F$9:$F$308,"Critical",'Actions'!$P$9:$P$308,"&lt;&gt;Closed",'Actions'!$C$9:$C$308,"&lt;&gt;")+COUNTIFS('Actions'!$D$9:$D$308,E53,'Actions'!$E$9:$E$308,"Taxonomy",'Actions'!$F$9:$F$308,"Critical",'Actions'!$P$9:$P$308,"&lt;&gt;Closed",'Actions'!$C$9:$C$308,"&lt;&gt;")+COUNTIFS('ESG'!$C$9:$C$108,E53,'ESG'!$H$9:$H$108,"Yes"))&gt;0,AND(AB53&lt;&gt;"Green",AB53&lt;&gt;"Amber",AB53&lt;&gt;"Eligible (internal)")),"Pending",IF(AA53="No allocation","Activity only",IF(AA53&lt;&gt;"Valid","Pending","Approved"))))))</x:f>
      </x:c>
      <x:c r="AD53" s="21" t="str">
        <x:f>IF(C53="","",IF(AND(AC53="Approved",OR(AB53="Green",AB53="Eligible (internal)")),N53,0))</x:f>
      </x:c>
      <x:c r="AE53" s="21" t="str">
        <x:f>IF(C53="","",IF(AND(AC53="Approved",AB53="Amber"),N53,0))</x:f>
      </x:c>
      <x:c r="AF53" s="9" t="str">
        <x:f>IF(C53="","",IF((COUNTIFS('Actions'!$D$9:$D$308,E53,'Actions'!$E$9:$E$308,"E&amp;S",'Actions'!$F$9:$F$308,"Critical",'Actions'!$P$9:$P$308,"&lt;&gt;Closed",'Actions'!$C$9:$C$308,"&lt;&gt;")+COUNTIFS('Actions'!$D$9:$D$308,E53,'Actions'!$E$9:$E$308,"Taxonomy",'Actions'!$F$9:$F$308,"Critical",'Actions'!$P$9:$P$308,"&lt;&gt;Closed",'Actions'!$C$9:$C$308,"&lt;&gt;")+COUNTIFS('ESG'!$C$9:$C$108,E53,'ESG'!$H$9:$H$108,"Yes"))&gt;0,"Resolve critical E&amp;S / taxonomy issue",IF(AH53&lt;&gt;"Current",AH53,IF(Z53&lt;&gt;"Pass","Review individual tests",IF(U53="Criteria required","Sourced criteria / interpretation required",IF(AA53&lt;&gt;"Valid",AA53,IF(T53&lt;&gt;"Approved","Approval required",I53)))))))</x:f>
      </x:c>
      <x:c r="AG53" s="9" t="str">
        <x:f>IF(C53="","",IFERROR(INDEX('Taxonomy Rules'!$L$9:$L$20,MATCH(H53&amp;"::"&amp;G53,'Taxonomy Rules'!$C$9:$C$20,0)),"Unimplemented activity"))</x:f>
      </x:c>
      <x:c r="AH53" s="9" t="str">
        <x:f>IF(C53="","",IF(COUNTIF($C$9:$C$108,C53)&lt;&gt;1,"Duplicate ID",IF(OR(COUNTIF(Facilities!$C$9:$C$108,D53)&lt;&gt;1,COUNTIF(Borrowers!$C$9:$C$108,E53)&lt;&gt;1),"Key review",IF(OR(P53="",Q53="",P53=Q53,NOT(ISNUMBER(R53)),NOT(ISNUMBER(S53)),R53&gt;Settings!$F$8,S53&lt;R53),"Review required",IF(S53&lt;Settings!$F$8,"Expired","Current")))))</x:f>
      </x:c>
    </x:row>
    <x:row r="54" ht="26" customHeight="1">
      <x:c r="A54" s="1"/>
      <x:c r="B54" s="1"/>
      <x:c r="C54" s="8"/>
      <x:c r="D54" s="8"/>
      <x:c r="E54" s="9" t="str">
        <x:f>IF(C54="","",IFERROR(INDEX('Facilities'!$D$9:$D$108,MATCH(D54,'Facilities'!$C$9:$C$108,0)),""))</x:f>
      </x:c>
      <x:c r="F54" s="9" t="str">
        <x:f>IF(C54="","",IFERROR(INDEX('Borrowers'!$E$9:$E$108,MATCH(E54,'Borrowers'!$C$9:$C$108,0)),""))</x:f>
      </x:c>
      <x:c r="G54" s="9" t="str">
        <x:f>IF(C54="","",IFERROR(INDEX('Facilities'!$W$9:$W$108,MATCH(D54,'Facilities'!$C$9:$C$108,0)),""))</x:f>
      </x:c>
      <x:c r="H54" s="9" t="str">
        <x:f>IF(C54="","",Settings!$F$11)</x:f>
      </x:c>
      <x:c r="I54" s="3" t="str">
        <x:f>IF(C54="","",IF(H54="Jordan 2026",IF(F54="Jordan","Jordan taxonomy","Reference benchmark"),"Internal policy"))</x:f>
      </x:c>
      <x:c r="J54" s="8"/>
      <x:c r="K54" s="35"/>
      <x:c r="L54" s="35"/>
      <x:c r="M54" s="8"/>
      <x:c r="N54" s="16"/>
      <x:c r="O54" s="8"/>
      <x:c r="P54" s="8"/>
      <x:c r="Q54" s="8"/>
      <x:c r="R54" s="10"/>
      <x:c r="S54" s="10"/>
      <x:c r="T54" s="8"/>
      <x:c r="U54" s="9" t="str">
        <x:f>IF(C54="","",IF(V54=0,"Criteria required",IF(OR(NOT(ISNUMBER(J54)),J54&lt;1900,J54&gt;YEAR(Settings!$F$8),IFERROR(MOD(J54,1),1)&lt;&gt;0,NOT(ISNUMBER(K54)),K54&lt;0,AND(H54="Internal criteria",OR(G54="Cement",G54="Building renovation"),OR(NOT(ISNUMBER(IFERROR(INDEX('Taxonomy Rules'!$G$9:$G$20,MATCH(H54&amp;"::"&amp;G54,'Taxonomy Rules'!$C$9:$C$20,0)),0))),IFERROR(INDEX('Taxonomy Rules'!$G$9:$G$20,MATCH(H54&amp;"::"&amp;G54,'Taxonomy Rules'!$C$9:$C$20,0)),0)&lt;=0,AND(G54="Building renovation",IFERROR(INDEX('Taxonomy Rules'!$G$9:$G$20,MATCH(H54&amp;"::"&amp;G54,'Taxonomy Rules'!$C$9:$C$20,0)),0)&gt;1)))),"Criteria required",IF(G54="Solar PV",IF(M54&lt;&gt;"Eligible activity","Criteria required",IF(K54=1,"Pass","Fail")),IF(G54="Cement",IF(M54="Amber",IF(H54="Jordan 2026",IF(YEAR(Settings!$F$8)&lt;2040,"Amber","Fail"),"Criteria required"),IF(M54&lt;&gt;"Green","Criteria required",IF(H54="Jordan 2026",IF(IFERROR(INDEX('Taxonomy Rules'!$P$9:$P$14,MATCH(J54,'Taxonomy Rules'!$O$9:$O$14,0)),0)=0,"Criteria required",IF(K54&lt;=IFERROR(INDEX('Taxonomy Rules'!$P$9:$P$14,MATCH(J54,'Taxonomy Rules'!$O$9:$O$14,0)),0),"Pass","Fail")),IF(K54&lt;=IFERROR(INDEX('Taxonomy Rules'!$G$9:$G$20,MATCH(H54&amp;"::"&amp;G54,'Taxonomy Rules'!$C$9:$C$20,0)),0),"Pass","Fail")))),IF(G54="Building renovation",IF(M54="Whole building",IF(K54=1,"Pass","Fail"),IF(M54&lt;&gt;"Improvement","Criteria required",IF(OR(K54&gt;1,NOT(ISNUMBER(L54)),L54&lt;0,L54&gt;1),"Criteria required",IF(MAX(K54,L54)&lt;IFERROR(INDEX('Taxonomy Rules'!$G$9:$G$20,MATCH(H54&amp;"::"&amp;G54,'Taxonomy Rules'!$C$9:$C$20,0)),0),"Fail",IF(H54="Jordan 2026",IF(YEAR(Settings!$F$8)&lt;2035,"Amber",IF(YEAR(Settings!$F$8)=2035,"Criteria required","Fail")),"Pass"))))),IF(G54="Road freight",IF(M54&lt;&gt;"Zero emissions","Criteria required",IF(AND(K54=0,ISNUMBER(L54),L54=0),"Pass","Fail")),IF(G54="New building",IF(NOT(OR(M54="Green",M54="Amber")),"Criteria required",IF(K54&lt;&gt;1,"Fail",IF(M54="Amber",IF(H54="Jordan 2026",IF(YEAR(Settings!$F$8)&lt;2030,"Amber",IF(YEAR(Settings!$F$8)=2030,"Criteria required","Fail")),"Criteria required"),"Pass"))),IF(G54="Building equipment",IF(M54&lt;&gt;"Equipment","Criteria required",IF(K54=1,"Pass","Fail")),"Criteria required")))))))))</x:f>
      </x:c>
      <x:c r="V54" s="9" t="str">
        <x:f>IF(C54="","",IFERROR(INDEX('Taxonomy Rules'!$J$9:$J$20,MATCH(H54&amp;"::"&amp;G54,'Taxonomy Rules'!$C$9:$C$20,0)),0))</x:f>
      </x:c>
      <x:c r="W54" s="9" t="str">
        <x:f>IF(C54="","",COUNTIFS('Taxonomy Tests'!$D$9:$D$2008,C54,'Taxonomy Tests'!$Q$9:$Q$2008,"Complete"))</x:f>
      </x:c>
      <x:c r="X54" s="9" t="str">
        <x:f>IF(C54="","",COUNTIFS('Taxonomy Tests'!$D$9:$D$2008,C54,'Taxonomy Tests'!$P$9:$P$2008,"Fail"))</x:f>
      </x:c>
      <x:c r="Y54" s="9" t="str">
        <x:f>IF(C54="","",MAX(0,V54-W54)+COUNTIFS('Taxonomy Tests'!$D$9:$D$2008,C54,'Taxonomy Tests'!$R$9:$R$2008,"Duplicate test")+COUNTIFS('Taxonomy Tests'!$D$9:$D$2008,C54,'Taxonomy Tests'!$R$9:$R$2008,"Unexpected test"))</x:f>
      </x:c>
      <x:c r="Z54" s="9" t="str">
        <x:f>IF(C54="","",IF(X54&gt;0,"Fail",IF(AND(V54&gt;0,W54=V54,Y54=0,COUNTIF('Taxonomy Tests'!$D$9:$D$2008,C54)=V54),"Pass","Pending")))</x:f>
      </x:c>
      <x:c r="AA54" s="9" t="str">
        <x:f>IF(C54="","",IF(COUNTIF(Facilities!$C$9:$C$108,D54)&lt;&gt;1,"Facility key",IF(OR(NOT(ISNUMBER(N54)),N54&lt;0),"Amount required",IF(SUMIF($D$9:$D$108,D54,$N$9:$N$108)&gt;IFERROR(INDEX('Facilities'!$AA$9:$AA$108,MATCH(D54,'Facilities'!$C$9:$C$108,0)),"")+0.000001,"Overallocated",IF(N54=0,"No allocation",IF(O54="","Evidence required","Valid"))))))</x:f>
      </x:c>
      <x:c r="AB54" s="3" t="str">
        <x:f>IF(C54="","",IF(OR(U54="Fail",Z54="Fail"),IF(H54="Jordan 2026","Red / not aligned","Not eligible"),IF(OR(U54="Criteria required",V54=0),"Criteria required",IF(Z54&lt;&gt;"Pass","Pending",IF(U54="Amber","Amber",IF(H54="Jordan 2026","Green","Eligible (internal)"))))))</x:f>
      </x:c>
      <x:c r="AC54" s="9" t="str">
        <x:f>IF(C54="","",IF(T54="Rejected","Rejected",IF(OR(AB54="Red / not aligned",AB54="Not eligible"),"Not eligible",IF(OR(AH54&lt;&gt;"Current",T54&lt;&gt;"Approved",Z54&lt;&gt;"Pass",(COUNTIFS('Actions'!$D$9:$D$308,E54,'Actions'!$E$9:$E$308,"E&amp;S",'Actions'!$F$9:$F$308,"Critical",'Actions'!$P$9:$P$308,"&lt;&gt;Closed",'Actions'!$C$9:$C$308,"&lt;&gt;")+COUNTIFS('Actions'!$D$9:$D$308,E54,'Actions'!$E$9:$E$308,"Taxonomy",'Actions'!$F$9:$F$308,"Critical",'Actions'!$P$9:$P$308,"&lt;&gt;Closed",'Actions'!$C$9:$C$308,"&lt;&gt;")+COUNTIFS('ESG'!$C$9:$C$108,E54,'ESG'!$H$9:$H$108,"Yes"))&gt;0,AND(AB54&lt;&gt;"Green",AB54&lt;&gt;"Amber",AB54&lt;&gt;"Eligible (internal)")),"Pending",IF(AA54="No allocation","Activity only",IF(AA54&lt;&gt;"Valid","Pending","Approved"))))))</x:f>
      </x:c>
      <x:c r="AD54" s="21" t="str">
        <x:f>IF(C54="","",IF(AND(AC54="Approved",OR(AB54="Green",AB54="Eligible (internal)")),N54,0))</x:f>
      </x:c>
      <x:c r="AE54" s="21" t="str">
        <x:f>IF(C54="","",IF(AND(AC54="Approved",AB54="Amber"),N54,0))</x:f>
      </x:c>
      <x:c r="AF54" s="9" t="str">
        <x:f>IF(C54="","",IF((COUNTIFS('Actions'!$D$9:$D$308,E54,'Actions'!$E$9:$E$308,"E&amp;S",'Actions'!$F$9:$F$308,"Critical",'Actions'!$P$9:$P$308,"&lt;&gt;Closed",'Actions'!$C$9:$C$308,"&lt;&gt;")+COUNTIFS('Actions'!$D$9:$D$308,E54,'Actions'!$E$9:$E$308,"Taxonomy",'Actions'!$F$9:$F$308,"Critical",'Actions'!$P$9:$P$308,"&lt;&gt;Closed",'Actions'!$C$9:$C$308,"&lt;&gt;")+COUNTIFS('ESG'!$C$9:$C$108,E54,'ESG'!$H$9:$H$108,"Yes"))&gt;0,"Resolve critical E&amp;S / taxonomy issue",IF(AH54&lt;&gt;"Current",AH54,IF(Z54&lt;&gt;"Pass","Review individual tests",IF(U54="Criteria required","Sourced criteria / interpretation required",IF(AA54&lt;&gt;"Valid",AA54,IF(T54&lt;&gt;"Approved","Approval required",I54)))))))</x:f>
      </x:c>
      <x:c r="AG54" s="9" t="str">
        <x:f>IF(C54="","",IFERROR(INDEX('Taxonomy Rules'!$L$9:$L$20,MATCH(H54&amp;"::"&amp;G54,'Taxonomy Rules'!$C$9:$C$20,0)),"Unimplemented activity"))</x:f>
      </x:c>
      <x:c r="AH54" s="9" t="str">
        <x:f>IF(C54="","",IF(COUNTIF($C$9:$C$108,C54)&lt;&gt;1,"Duplicate ID",IF(OR(COUNTIF(Facilities!$C$9:$C$108,D54)&lt;&gt;1,COUNTIF(Borrowers!$C$9:$C$108,E54)&lt;&gt;1),"Key review",IF(OR(P54="",Q54="",P54=Q54,NOT(ISNUMBER(R54)),NOT(ISNUMBER(S54)),R54&gt;Settings!$F$8,S54&lt;R54),"Review required",IF(S54&lt;Settings!$F$8,"Expired","Current")))))</x:f>
      </x:c>
    </x:row>
    <x:row r="55" ht="26" customHeight="1">
      <x:c r="A55" s="1"/>
      <x:c r="B55" s="1"/>
      <x:c r="C55" s="8"/>
      <x:c r="D55" s="8"/>
      <x:c r="E55" s="9" t="str">
        <x:f>IF(C55="","",IFERROR(INDEX('Facilities'!$D$9:$D$108,MATCH(D55,'Facilities'!$C$9:$C$108,0)),""))</x:f>
      </x:c>
      <x:c r="F55" s="9" t="str">
        <x:f>IF(C55="","",IFERROR(INDEX('Borrowers'!$E$9:$E$108,MATCH(E55,'Borrowers'!$C$9:$C$108,0)),""))</x:f>
      </x:c>
      <x:c r="G55" s="9" t="str">
        <x:f>IF(C55="","",IFERROR(INDEX('Facilities'!$W$9:$W$108,MATCH(D55,'Facilities'!$C$9:$C$108,0)),""))</x:f>
      </x:c>
      <x:c r="H55" s="9" t="str">
        <x:f>IF(C55="","",Settings!$F$11)</x:f>
      </x:c>
      <x:c r="I55" s="3" t="str">
        <x:f>IF(C55="","",IF(H55="Jordan 2026",IF(F55="Jordan","Jordan taxonomy","Reference benchmark"),"Internal policy"))</x:f>
      </x:c>
      <x:c r="J55" s="8"/>
      <x:c r="K55" s="35"/>
      <x:c r="L55" s="35"/>
      <x:c r="M55" s="8"/>
      <x:c r="N55" s="16"/>
      <x:c r="O55" s="8"/>
      <x:c r="P55" s="8"/>
      <x:c r="Q55" s="8"/>
      <x:c r="R55" s="10"/>
      <x:c r="S55" s="10"/>
      <x:c r="T55" s="8"/>
      <x:c r="U55" s="9" t="str">
        <x:f>IF(C55="","",IF(V55=0,"Criteria required",IF(OR(NOT(ISNUMBER(J55)),J55&lt;1900,J55&gt;YEAR(Settings!$F$8),IFERROR(MOD(J55,1),1)&lt;&gt;0,NOT(ISNUMBER(K55)),K55&lt;0,AND(H55="Internal criteria",OR(G55="Cement",G55="Building renovation"),OR(NOT(ISNUMBER(IFERROR(INDEX('Taxonomy Rules'!$G$9:$G$20,MATCH(H55&amp;"::"&amp;G55,'Taxonomy Rules'!$C$9:$C$20,0)),0))),IFERROR(INDEX('Taxonomy Rules'!$G$9:$G$20,MATCH(H55&amp;"::"&amp;G55,'Taxonomy Rules'!$C$9:$C$20,0)),0)&lt;=0,AND(G55="Building renovation",IFERROR(INDEX('Taxonomy Rules'!$G$9:$G$20,MATCH(H55&amp;"::"&amp;G55,'Taxonomy Rules'!$C$9:$C$20,0)),0)&gt;1)))),"Criteria required",IF(G55="Solar PV",IF(M55&lt;&gt;"Eligible activity","Criteria required",IF(K55=1,"Pass","Fail")),IF(G55="Cement",IF(M55="Amber",IF(H55="Jordan 2026",IF(YEAR(Settings!$F$8)&lt;2040,"Amber","Fail"),"Criteria required"),IF(M55&lt;&gt;"Green","Criteria required",IF(H55="Jordan 2026",IF(IFERROR(INDEX('Taxonomy Rules'!$P$9:$P$14,MATCH(J55,'Taxonomy Rules'!$O$9:$O$14,0)),0)=0,"Criteria required",IF(K55&lt;=IFERROR(INDEX('Taxonomy Rules'!$P$9:$P$14,MATCH(J55,'Taxonomy Rules'!$O$9:$O$14,0)),0),"Pass","Fail")),IF(K55&lt;=IFERROR(INDEX('Taxonomy Rules'!$G$9:$G$20,MATCH(H55&amp;"::"&amp;G55,'Taxonomy Rules'!$C$9:$C$20,0)),0),"Pass","Fail")))),IF(G55="Building renovation",IF(M55="Whole building",IF(K55=1,"Pass","Fail"),IF(M55&lt;&gt;"Improvement","Criteria required",IF(OR(K55&gt;1,NOT(ISNUMBER(L55)),L55&lt;0,L55&gt;1),"Criteria required",IF(MAX(K55,L55)&lt;IFERROR(INDEX('Taxonomy Rules'!$G$9:$G$20,MATCH(H55&amp;"::"&amp;G55,'Taxonomy Rules'!$C$9:$C$20,0)),0),"Fail",IF(H55="Jordan 2026",IF(YEAR(Settings!$F$8)&lt;2035,"Amber",IF(YEAR(Settings!$F$8)=2035,"Criteria required","Fail")),"Pass"))))),IF(G55="Road freight",IF(M55&lt;&gt;"Zero emissions","Criteria required",IF(AND(K55=0,ISNUMBER(L55),L55=0),"Pass","Fail")),IF(G55="New building",IF(NOT(OR(M55="Green",M55="Amber")),"Criteria required",IF(K55&lt;&gt;1,"Fail",IF(M55="Amber",IF(H55="Jordan 2026",IF(YEAR(Settings!$F$8)&lt;2030,"Amber",IF(YEAR(Settings!$F$8)=2030,"Criteria required","Fail")),"Criteria required"),"Pass"))),IF(G55="Building equipment",IF(M55&lt;&gt;"Equipment","Criteria required",IF(K55=1,"Pass","Fail")),"Criteria required")))))))))</x:f>
      </x:c>
      <x:c r="V55" s="9" t="str">
        <x:f>IF(C55="","",IFERROR(INDEX('Taxonomy Rules'!$J$9:$J$20,MATCH(H55&amp;"::"&amp;G55,'Taxonomy Rules'!$C$9:$C$20,0)),0))</x:f>
      </x:c>
      <x:c r="W55" s="9" t="str">
        <x:f>IF(C55="","",COUNTIFS('Taxonomy Tests'!$D$9:$D$2008,C55,'Taxonomy Tests'!$Q$9:$Q$2008,"Complete"))</x:f>
      </x:c>
      <x:c r="X55" s="9" t="str">
        <x:f>IF(C55="","",COUNTIFS('Taxonomy Tests'!$D$9:$D$2008,C55,'Taxonomy Tests'!$P$9:$P$2008,"Fail"))</x:f>
      </x:c>
      <x:c r="Y55" s="9" t="str">
        <x:f>IF(C55="","",MAX(0,V55-W55)+COUNTIFS('Taxonomy Tests'!$D$9:$D$2008,C55,'Taxonomy Tests'!$R$9:$R$2008,"Duplicate test")+COUNTIFS('Taxonomy Tests'!$D$9:$D$2008,C55,'Taxonomy Tests'!$R$9:$R$2008,"Unexpected test"))</x:f>
      </x:c>
      <x:c r="Z55" s="9" t="str">
        <x:f>IF(C55="","",IF(X55&gt;0,"Fail",IF(AND(V55&gt;0,W55=V55,Y55=0,COUNTIF('Taxonomy Tests'!$D$9:$D$2008,C55)=V55),"Pass","Pending")))</x:f>
      </x:c>
      <x:c r="AA55" s="9" t="str">
        <x:f>IF(C55="","",IF(COUNTIF(Facilities!$C$9:$C$108,D55)&lt;&gt;1,"Facility key",IF(OR(NOT(ISNUMBER(N55)),N55&lt;0),"Amount required",IF(SUMIF($D$9:$D$108,D55,$N$9:$N$108)&gt;IFERROR(INDEX('Facilities'!$AA$9:$AA$108,MATCH(D55,'Facilities'!$C$9:$C$108,0)),"")+0.000001,"Overallocated",IF(N55=0,"No allocation",IF(O55="","Evidence required","Valid"))))))</x:f>
      </x:c>
      <x:c r="AB55" s="3" t="str">
        <x:f>IF(C55="","",IF(OR(U55="Fail",Z55="Fail"),IF(H55="Jordan 2026","Red / not aligned","Not eligible"),IF(OR(U55="Criteria required",V55=0),"Criteria required",IF(Z55&lt;&gt;"Pass","Pending",IF(U55="Amber","Amber",IF(H55="Jordan 2026","Green","Eligible (internal)"))))))</x:f>
      </x:c>
      <x:c r="AC55" s="9" t="str">
        <x:f>IF(C55="","",IF(T55="Rejected","Rejected",IF(OR(AB55="Red / not aligned",AB55="Not eligible"),"Not eligible",IF(OR(AH55&lt;&gt;"Current",T55&lt;&gt;"Approved",Z55&lt;&gt;"Pass",(COUNTIFS('Actions'!$D$9:$D$308,E55,'Actions'!$E$9:$E$308,"E&amp;S",'Actions'!$F$9:$F$308,"Critical",'Actions'!$P$9:$P$308,"&lt;&gt;Closed",'Actions'!$C$9:$C$308,"&lt;&gt;")+COUNTIFS('Actions'!$D$9:$D$308,E55,'Actions'!$E$9:$E$308,"Taxonomy",'Actions'!$F$9:$F$308,"Critical",'Actions'!$P$9:$P$308,"&lt;&gt;Closed",'Actions'!$C$9:$C$308,"&lt;&gt;")+COUNTIFS('ESG'!$C$9:$C$108,E55,'ESG'!$H$9:$H$108,"Yes"))&gt;0,AND(AB55&lt;&gt;"Green",AB55&lt;&gt;"Amber",AB55&lt;&gt;"Eligible (internal)")),"Pending",IF(AA55="No allocation","Activity only",IF(AA55&lt;&gt;"Valid","Pending","Approved"))))))</x:f>
      </x:c>
      <x:c r="AD55" s="21" t="str">
        <x:f>IF(C55="","",IF(AND(AC55="Approved",OR(AB55="Green",AB55="Eligible (internal)")),N55,0))</x:f>
      </x:c>
      <x:c r="AE55" s="21" t="str">
        <x:f>IF(C55="","",IF(AND(AC55="Approved",AB55="Amber"),N55,0))</x:f>
      </x:c>
      <x:c r="AF55" s="9" t="str">
        <x:f>IF(C55="","",IF((COUNTIFS('Actions'!$D$9:$D$308,E55,'Actions'!$E$9:$E$308,"E&amp;S",'Actions'!$F$9:$F$308,"Critical",'Actions'!$P$9:$P$308,"&lt;&gt;Closed",'Actions'!$C$9:$C$308,"&lt;&gt;")+COUNTIFS('Actions'!$D$9:$D$308,E55,'Actions'!$E$9:$E$308,"Taxonomy",'Actions'!$F$9:$F$308,"Critical",'Actions'!$P$9:$P$308,"&lt;&gt;Closed",'Actions'!$C$9:$C$308,"&lt;&gt;")+COUNTIFS('ESG'!$C$9:$C$108,E55,'ESG'!$H$9:$H$108,"Yes"))&gt;0,"Resolve critical E&amp;S / taxonomy issue",IF(AH55&lt;&gt;"Current",AH55,IF(Z55&lt;&gt;"Pass","Review individual tests",IF(U55="Criteria required","Sourced criteria / interpretation required",IF(AA55&lt;&gt;"Valid",AA55,IF(T55&lt;&gt;"Approved","Approval required",I55)))))))</x:f>
      </x:c>
      <x:c r="AG55" s="9" t="str">
        <x:f>IF(C55="","",IFERROR(INDEX('Taxonomy Rules'!$L$9:$L$20,MATCH(H55&amp;"::"&amp;G55,'Taxonomy Rules'!$C$9:$C$20,0)),"Unimplemented activity"))</x:f>
      </x:c>
      <x:c r="AH55" s="9" t="str">
        <x:f>IF(C55="","",IF(COUNTIF($C$9:$C$108,C55)&lt;&gt;1,"Duplicate ID",IF(OR(COUNTIF(Facilities!$C$9:$C$108,D55)&lt;&gt;1,COUNTIF(Borrowers!$C$9:$C$108,E55)&lt;&gt;1),"Key review",IF(OR(P55="",Q55="",P55=Q55,NOT(ISNUMBER(R55)),NOT(ISNUMBER(S55)),R55&gt;Settings!$F$8,S55&lt;R55),"Review required",IF(S55&lt;Settings!$F$8,"Expired","Current")))))</x:f>
      </x:c>
    </x:row>
    <x:row r="56" ht="26" customHeight="1">
      <x:c r="A56" s="1"/>
      <x:c r="B56" s="1"/>
      <x:c r="C56" s="8"/>
      <x:c r="D56" s="8"/>
      <x:c r="E56" s="9" t="str">
        <x:f>IF(C56="","",IFERROR(INDEX('Facilities'!$D$9:$D$108,MATCH(D56,'Facilities'!$C$9:$C$108,0)),""))</x:f>
      </x:c>
      <x:c r="F56" s="9" t="str">
        <x:f>IF(C56="","",IFERROR(INDEX('Borrowers'!$E$9:$E$108,MATCH(E56,'Borrowers'!$C$9:$C$108,0)),""))</x:f>
      </x:c>
      <x:c r="G56" s="9" t="str">
        <x:f>IF(C56="","",IFERROR(INDEX('Facilities'!$W$9:$W$108,MATCH(D56,'Facilities'!$C$9:$C$108,0)),""))</x:f>
      </x:c>
      <x:c r="H56" s="9" t="str">
        <x:f>IF(C56="","",Settings!$F$11)</x:f>
      </x:c>
      <x:c r="I56" s="3" t="str">
        <x:f>IF(C56="","",IF(H56="Jordan 2026",IF(F56="Jordan","Jordan taxonomy","Reference benchmark"),"Internal policy"))</x:f>
      </x:c>
      <x:c r="J56" s="8"/>
      <x:c r="K56" s="35"/>
      <x:c r="L56" s="35"/>
      <x:c r="M56" s="8"/>
      <x:c r="N56" s="16"/>
      <x:c r="O56" s="8"/>
      <x:c r="P56" s="8"/>
      <x:c r="Q56" s="8"/>
      <x:c r="R56" s="10"/>
      <x:c r="S56" s="10"/>
      <x:c r="T56" s="8"/>
      <x:c r="U56" s="9" t="str">
        <x:f>IF(C56="","",IF(V56=0,"Criteria required",IF(OR(NOT(ISNUMBER(J56)),J56&lt;1900,J56&gt;YEAR(Settings!$F$8),IFERROR(MOD(J56,1),1)&lt;&gt;0,NOT(ISNUMBER(K56)),K56&lt;0,AND(H56="Internal criteria",OR(G56="Cement",G56="Building renovation"),OR(NOT(ISNUMBER(IFERROR(INDEX('Taxonomy Rules'!$G$9:$G$20,MATCH(H56&amp;"::"&amp;G56,'Taxonomy Rules'!$C$9:$C$20,0)),0))),IFERROR(INDEX('Taxonomy Rules'!$G$9:$G$20,MATCH(H56&amp;"::"&amp;G56,'Taxonomy Rules'!$C$9:$C$20,0)),0)&lt;=0,AND(G56="Building renovation",IFERROR(INDEX('Taxonomy Rules'!$G$9:$G$20,MATCH(H56&amp;"::"&amp;G56,'Taxonomy Rules'!$C$9:$C$20,0)),0)&gt;1)))),"Criteria required",IF(G56="Solar PV",IF(M56&lt;&gt;"Eligible activity","Criteria required",IF(K56=1,"Pass","Fail")),IF(G56="Cement",IF(M56="Amber",IF(H56="Jordan 2026",IF(YEAR(Settings!$F$8)&lt;2040,"Amber","Fail"),"Criteria required"),IF(M56&lt;&gt;"Green","Criteria required",IF(H56="Jordan 2026",IF(IFERROR(INDEX('Taxonomy Rules'!$P$9:$P$14,MATCH(J56,'Taxonomy Rules'!$O$9:$O$14,0)),0)=0,"Criteria required",IF(K56&lt;=IFERROR(INDEX('Taxonomy Rules'!$P$9:$P$14,MATCH(J56,'Taxonomy Rules'!$O$9:$O$14,0)),0),"Pass","Fail")),IF(K56&lt;=IFERROR(INDEX('Taxonomy Rules'!$G$9:$G$20,MATCH(H56&amp;"::"&amp;G56,'Taxonomy Rules'!$C$9:$C$20,0)),0),"Pass","Fail")))),IF(G56="Building renovation",IF(M56="Whole building",IF(K56=1,"Pass","Fail"),IF(M56&lt;&gt;"Improvement","Criteria required",IF(OR(K56&gt;1,NOT(ISNUMBER(L56)),L56&lt;0,L56&gt;1),"Criteria required",IF(MAX(K56,L56)&lt;IFERROR(INDEX('Taxonomy Rules'!$G$9:$G$20,MATCH(H56&amp;"::"&amp;G56,'Taxonomy Rules'!$C$9:$C$20,0)),0),"Fail",IF(H56="Jordan 2026",IF(YEAR(Settings!$F$8)&lt;2035,"Amber",IF(YEAR(Settings!$F$8)=2035,"Criteria required","Fail")),"Pass"))))),IF(G56="Road freight",IF(M56&lt;&gt;"Zero emissions","Criteria required",IF(AND(K56=0,ISNUMBER(L56),L56=0),"Pass","Fail")),IF(G56="New building",IF(NOT(OR(M56="Green",M56="Amber")),"Criteria required",IF(K56&lt;&gt;1,"Fail",IF(M56="Amber",IF(H56="Jordan 2026",IF(YEAR(Settings!$F$8)&lt;2030,"Amber",IF(YEAR(Settings!$F$8)=2030,"Criteria required","Fail")),"Criteria required"),"Pass"))),IF(G56="Building equipment",IF(M56&lt;&gt;"Equipment","Criteria required",IF(K56=1,"Pass","Fail")),"Criteria required")))))))))</x:f>
      </x:c>
      <x:c r="V56" s="9" t="str">
        <x:f>IF(C56="","",IFERROR(INDEX('Taxonomy Rules'!$J$9:$J$20,MATCH(H56&amp;"::"&amp;G56,'Taxonomy Rules'!$C$9:$C$20,0)),0))</x:f>
      </x:c>
      <x:c r="W56" s="9" t="str">
        <x:f>IF(C56="","",COUNTIFS('Taxonomy Tests'!$D$9:$D$2008,C56,'Taxonomy Tests'!$Q$9:$Q$2008,"Complete"))</x:f>
      </x:c>
      <x:c r="X56" s="9" t="str">
        <x:f>IF(C56="","",COUNTIFS('Taxonomy Tests'!$D$9:$D$2008,C56,'Taxonomy Tests'!$P$9:$P$2008,"Fail"))</x:f>
      </x:c>
      <x:c r="Y56" s="9" t="str">
        <x:f>IF(C56="","",MAX(0,V56-W56)+COUNTIFS('Taxonomy Tests'!$D$9:$D$2008,C56,'Taxonomy Tests'!$R$9:$R$2008,"Duplicate test")+COUNTIFS('Taxonomy Tests'!$D$9:$D$2008,C56,'Taxonomy Tests'!$R$9:$R$2008,"Unexpected test"))</x:f>
      </x:c>
      <x:c r="Z56" s="9" t="str">
        <x:f>IF(C56="","",IF(X56&gt;0,"Fail",IF(AND(V56&gt;0,W56=V56,Y56=0,COUNTIF('Taxonomy Tests'!$D$9:$D$2008,C56)=V56),"Pass","Pending")))</x:f>
      </x:c>
      <x:c r="AA56" s="9" t="str">
        <x:f>IF(C56="","",IF(COUNTIF(Facilities!$C$9:$C$108,D56)&lt;&gt;1,"Facility key",IF(OR(NOT(ISNUMBER(N56)),N56&lt;0),"Amount required",IF(SUMIF($D$9:$D$108,D56,$N$9:$N$108)&gt;IFERROR(INDEX('Facilities'!$AA$9:$AA$108,MATCH(D56,'Facilities'!$C$9:$C$108,0)),"")+0.000001,"Overallocated",IF(N56=0,"No allocation",IF(O56="","Evidence required","Valid"))))))</x:f>
      </x:c>
      <x:c r="AB56" s="3" t="str">
        <x:f>IF(C56="","",IF(OR(U56="Fail",Z56="Fail"),IF(H56="Jordan 2026","Red / not aligned","Not eligible"),IF(OR(U56="Criteria required",V56=0),"Criteria required",IF(Z56&lt;&gt;"Pass","Pending",IF(U56="Amber","Amber",IF(H56="Jordan 2026","Green","Eligible (internal)"))))))</x:f>
      </x:c>
      <x:c r="AC56" s="9" t="str">
        <x:f>IF(C56="","",IF(T56="Rejected","Rejected",IF(OR(AB56="Red / not aligned",AB56="Not eligible"),"Not eligible",IF(OR(AH56&lt;&gt;"Current",T56&lt;&gt;"Approved",Z56&lt;&gt;"Pass",(COUNTIFS('Actions'!$D$9:$D$308,E56,'Actions'!$E$9:$E$308,"E&amp;S",'Actions'!$F$9:$F$308,"Critical",'Actions'!$P$9:$P$308,"&lt;&gt;Closed",'Actions'!$C$9:$C$308,"&lt;&gt;")+COUNTIFS('Actions'!$D$9:$D$308,E56,'Actions'!$E$9:$E$308,"Taxonomy",'Actions'!$F$9:$F$308,"Critical",'Actions'!$P$9:$P$308,"&lt;&gt;Closed",'Actions'!$C$9:$C$308,"&lt;&gt;")+COUNTIFS('ESG'!$C$9:$C$108,E56,'ESG'!$H$9:$H$108,"Yes"))&gt;0,AND(AB56&lt;&gt;"Green",AB56&lt;&gt;"Amber",AB56&lt;&gt;"Eligible (internal)")),"Pending",IF(AA56="No allocation","Activity only",IF(AA56&lt;&gt;"Valid","Pending","Approved"))))))</x:f>
      </x:c>
      <x:c r="AD56" s="21" t="str">
        <x:f>IF(C56="","",IF(AND(AC56="Approved",OR(AB56="Green",AB56="Eligible (internal)")),N56,0))</x:f>
      </x:c>
      <x:c r="AE56" s="21" t="str">
        <x:f>IF(C56="","",IF(AND(AC56="Approved",AB56="Amber"),N56,0))</x:f>
      </x:c>
      <x:c r="AF56" s="9" t="str">
        <x:f>IF(C56="","",IF((COUNTIFS('Actions'!$D$9:$D$308,E56,'Actions'!$E$9:$E$308,"E&amp;S",'Actions'!$F$9:$F$308,"Critical",'Actions'!$P$9:$P$308,"&lt;&gt;Closed",'Actions'!$C$9:$C$308,"&lt;&gt;")+COUNTIFS('Actions'!$D$9:$D$308,E56,'Actions'!$E$9:$E$308,"Taxonomy",'Actions'!$F$9:$F$308,"Critical",'Actions'!$P$9:$P$308,"&lt;&gt;Closed",'Actions'!$C$9:$C$308,"&lt;&gt;")+COUNTIFS('ESG'!$C$9:$C$108,E56,'ESG'!$H$9:$H$108,"Yes"))&gt;0,"Resolve critical E&amp;S / taxonomy issue",IF(AH56&lt;&gt;"Current",AH56,IF(Z56&lt;&gt;"Pass","Review individual tests",IF(U56="Criteria required","Sourced criteria / interpretation required",IF(AA56&lt;&gt;"Valid",AA56,IF(T56&lt;&gt;"Approved","Approval required",I56)))))))</x:f>
      </x:c>
      <x:c r="AG56" s="9" t="str">
        <x:f>IF(C56="","",IFERROR(INDEX('Taxonomy Rules'!$L$9:$L$20,MATCH(H56&amp;"::"&amp;G56,'Taxonomy Rules'!$C$9:$C$20,0)),"Unimplemented activity"))</x:f>
      </x:c>
      <x:c r="AH56" s="9" t="str">
        <x:f>IF(C56="","",IF(COUNTIF($C$9:$C$108,C56)&lt;&gt;1,"Duplicate ID",IF(OR(COUNTIF(Facilities!$C$9:$C$108,D56)&lt;&gt;1,COUNTIF(Borrowers!$C$9:$C$108,E56)&lt;&gt;1),"Key review",IF(OR(P56="",Q56="",P56=Q56,NOT(ISNUMBER(R56)),NOT(ISNUMBER(S56)),R56&gt;Settings!$F$8,S56&lt;R56),"Review required",IF(S56&lt;Settings!$F$8,"Expired","Current")))))</x:f>
      </x:c>
    </x:row>
    <x:row r="57" ht="26" customHeight="1">
      <x:c r="A57" s="1"/>
      <x:c r="B57" s="1"/>
      <x:c r="C57" s="8"/>
      <x:c r="D57" s="8"/>
      <x:c r="E57" s="9" t="str">
        <x:f>IF(C57="","",IFERROR(INDEX('Facilities'!$D$9:$D$108,MATCH(D57,'Facilities'!$C$9:$C$108,0)),""))</x:f>
      </x:c>
      <x:c r="F57" s="9" t="str">
        <x:f>IF(C57="","",IFERROR(INDEX('Borrowers'!$E$9:$E$108,MATCH(E57,'Borrowers'!$C$9:$C$108,0)),""))</x:f>
      </x:c>
      <x:c r="G57" s="9" t="str">
        <x:f>IF(C57="","",IFERROR(INDEX('Facilities'!$W$9:$W$108,MATCH(D57,'Facilities'!$C$9:$C$108,0)),""))</x:f>
      </x:c>
      <x:c r="H57" s="9" t="str">
        <x:f>IF(C57="","",Settings!$F$11)</x:f>
      </x:c>
      <x:c r="I57" s="3" t="str">
        <x:f>IF(C57="","",IF(H57="Jordan 2026",IF(F57="Jordan","Jordan taxonomy","Reference benchmark"),"Internal policy"))</x:f>
      </x:c>
      <x:c r="J57" s="8"/>
      <x:c r="K57" s="35"/>
      <x:c r="L57" s="35"/>
      <x:c r="M57" s="8"/>
      <x:c r="N57" s="16"/>
      <x:c r="O57" s="8"/>
      <x:c r="P57" s="8"/>
      <x:c r="Q57" s="8"/>
      <x:c r="R57" s="10"/>
      <x:c r="S57" s="10"/>
      <x:c r="T57" s="8"/>
      <x:c r="U57" s="9" t="str">
        <x:f>IF(C57="","",IF(V57=0,"Criteria required",IF(OR(NOT(ISNUMBER(J57)),J57&lt;1900,J57&gt;YEAR(Settings!$F$8),IFERROR(MOD(J57,1),1)&lt;&gt;0,NOT(ISNUMBER(K57)),K57&lt;0,AND(H57="Internal criteria",OR(G57="Cement",G57="Building renovation"),OR(NOT(ISNUMBER(IFERROR(INDEX('Taxonomy Rules'!$G$9:$G$20,MATCH(H57&amp;"::"&amp;G57,'Taxonomy Rules'!$C$9:$C$20,0)),0))),IFERROR(INDEX('Taxonomy Rules'!$G$9:$G$20,MATCH(H57&amp;"::"&amp;G57,'Taxonomy Rules'!$C$9:$C$20,0)),0)&lt;=0,AND(G57="Building renovation",IFERROR(INDEX('Taxonomy Rules'!$G$9:$G$20,MATCH(H57&amp;"::"&amp;G57,'Taxonomy Rules'!$C$9:$C$20,0)),0)&gt;1)))),"Criteria required",IF(G57="Solar PV",IF(M57&lt;&gt;"Eligible activity","Criteria required",IF(K57=1,"Pass","Fail")),IF(G57="Cement",IF(M57="Amber",IF(H57="Jordan 2026",IF(YEAR(Settings!$F$8)&lt;2040,"Amber","Fail"),"Criteria required"),IF(M57&lt;&gt;"Green","Criteria required",IF(H57="Jordan 2026",IF(IFERROR(INDEX('Taxonomy Rules'!$P$9:$P$14,MATCH(J57,'Taxonomy Rules'!$O$9:$O$14,0)),0)=0,"Criteria required",IF(K57&lt;=IFERROR(INDEX('Taxonomy Rules'!$P$9:$P$14,MATCH(J57,'Taxonomy Rules'!$O$9:$O$14,0)),0),"Pass","Fail")),IF(K57&lt;=IFERROR(INDEX('Taxonomy Rules'!$G$9:$G$20,MATCH(H57&amp;"::"&amp;G57,'Taxonomy Rules'!$C$9:$C$20,0)),0),"Pass","Fail")))),IF(G57="Building renovation",IF(M57="Whole building",IF(K57=1,"Pass","Fail"),IF(M57&lt;&gt;"Improvement","Criteria required",IF(OR(K57&gt;1,NOT(ISNUMBER(L57)),L57&lt;0,L57&gt;1),"Criteria required",IF(MAX(K57,L57)&lt;IFERROR(INDEX('Taxonomy Rules'!$G$9:$G$20,MATCH(H57&amp;"::"&amp;G57,'Taxonomy Rules'!$C$9:$C$20,0)),0),"Fail",IF(H57="Jordan 2026",IF(YEAR(Settings!$F$8)&lt;2035,"Amber",IF(YEAR(Settings!$F$8)=2035,"Criteria required","Fail")),"Pass"))))),IF(G57="Road freight",IF(M57&lt;&gt;"Zero emissions","Criteria required",IF(AND(K57=0,ISNUMBER(L57),L57=0),"Pass","Fail")),IF(G57="New building",IF(NOT(OR(M57="Green",M57="Amber")),"Criteria required",IF(K57&lt;&gt;1,"Fail",IF(M57="Amber",IF(H57="Jordan 2026",IF(YEAR(Settings!$F$8)&lt;2030,"Amber",IF(YEAR(Settings!$F$8)=2030,"Criteria required","Fail")),"Criteria required"),"Pass"))),IF(G57="Building equipment",IF(M57&lt;&gt;"Equipment","Criteria required",IF(K57=1,"Pass","Fail")),"Criteria required")))))))))</x:f>
      </x:c>
      <x:c r="V57" s="9" t="str">
        <x:f>IF(C57="","",IFERROR(INDEX('Taxonomy Rules'!$J$9:$J$20,MATCH(H57&amp;"::"&amp;G57,'Taxonomy Rules'!$C$9:$C$20,0)),0))</x:f>
      </x:c>
      <x:c r="W57" s="9" t="str">
        <x:f>IF(C57="","",COUNTIFS('Taxonomy Tests'!$D$9:$D$2008,C57,'Taxonomy Tests'!$Q$9:$Q$2008,"Complete"))</x:f>
      </x:c>
      <x:c r="X57" s="9" t="str">
        <x:f>IF(C57="","",COUNTIFS('Taxonomy Tests'!$D$9:$D$2008,C57,'Taxonomy Tests'!$P$9:$P$2008,"Fail"))</x:f>
      </x:c>
      <x:c r="Y57" s="9" t="str">
        <x:f>IF(C57="","",MAX(0,V57-W57)+COUNTIFS('Taxonomy Tests'!$D$9:$D$2008,C57,'Taxonomy Tests'!$R$9:$R$2008,"Duplicate test")+COUNTIFS('Taxonomy Tests'!$D$9:$D$2008,C57,'Taxonomy Tests'!$R$9:$R$2008,"Unexpected test"))</x:f>
      </x:c>
      <x:c r="Z57" s="9" t="str">
        <x:f>IF(C57="","",IF(X57&gt;0,"Fail",IF(AND(V57&gt;0,W57=V57,Y57=0,COUNTIF('Taxonomy Tests'!$D$9:$D$2008,C57)=V57),"Pass","Pending")))</x:f>
      </x:c>
      <x:c r="AA57" s="9" t="str">
        <x:f>IF(C57="","",IF(COUNTIF(Facilities!$C$9:$C$108,D57)&lt;&gt;1,"Facility key",IF(OR(NOT(ISNUMBER(N57)),N57&lt;0),"Amount required",IF(SUMIF($D$9:$D$108,D57,$N$9:$N$108)&gt;IFERROR(INDEX('Facilities'!$AA$9:$AA$108,MATCH(D57,'Facilities'!$C$9:$C$108,0)),"")+0.000001,"Overallocated",IF(N57=0,"No allocation",IF(O57="","Evidence required","Valid"))))))</x:f>
      </x:c>
      <x:c r="AB57" s="3" t="str">
        <x:f>IF(C57="","",IF(OR(U57="Fail",Z57="Fail"),IF(H57="Jordan 2026","Red / not aligned","Not eligible"),IF(OR(U57="Criteria required",V57=0),"Criteria required",IF(Z57&lt;&gt;"Pass","Pending",IF(U57="Amber","Amber",IF(H57="Jordan 2026","Green","Eligible (internal)"))))))</x:f>
      </x:c>
      <x:c r="AC57" s="9" t="str">
        <x:f>IF(C57="","",IF(T57="Rejected","Rejected",IF(OR(AB57="Red / not aligned",AB57="Not eligible"),"Not eligible",IF(OR(AH57&lt;&gt;"Current",T57&lt;&gt;"Approved",Z57&lt;&gt;"Pass",(COUNTIFS('Actions'!$D$9:$D$308,E57,'Actions'!$E$9:$E$308,"E&amp;S",'Actions'!$F$9:$F$308,"Critical",'Actions'!$P$9:$P$308,"&lt;&gt;Closed",'Actions'!$C$9:$C$308,"&lt;&gt;")+COUNTIFS('Actions'!$D$9:$D$308,E57,'Actions'!$E$9:$E$308,"Taxonomy",'Actions'!$F$9:$F$308,"Critical",'Actions'!$P$9:$P$308,"&lt;&gt;Closed",'Actions'!$C$9:$C$308,"&lt;&gt;")+COUNTIFS('ESG'!$C$9:$C$108,E57,'ESG'!$H$9:$H$108,"Yes"))&gt;0,AND(AB57&lt;&gt;"Green",AB57&lt;&gt;"Amber",AB57&lt;&gt;"Eligible (internal)")),"Pending",IF(AA57="No allocation","Activity only",IF(AA57&lt;&gt;"Valid","Pending","Approved"))))))</x:f>
      </x:c>
      <x:c r="AD57" s="21" t="str">
        <x:f>IF(C57="","",IF(AND(AC57="Approved",OR(AB57="Green",AB57="Eligible (internal)")),N57,0))</x:f>
      </x:c>
      <x:c r="AE57" s="21" t="str">
        <x:f>IF(C57="","",IF(AND(AC57="Approved",AB57="Amber"),N57,0))</x:f>
      </x:c>
      <x:c r="AF57" s="9" t="str">
        <x:f>IF(C57="","",IF((COUNTIFS('Actions'!$D$9:$D$308,E57,'Actions'!$E$9:$E$308,"E&amp;S",'Actions'!$F$9:$F$308,"Critical",'Actions'!$P$9:$P$308,"&lt;&gt;Closed",'Actions'!$C$9:$C$308,"&lt;&gt;")+COUNTIFS('Actions'!$D$9:$D$308,E57,'Actions'!$E$9:$E$308,"Taxonomy",'Actions'!$F$9:$F$308,"Critical",'Actions'!$P$9:$P$308,"&lt;&gt;Closed",'Actions'!$C$9:$C$308,"&lt;&gt;")+COUNTIFS('ESG'!$C$9:$C$108,E57,'ESG'!$H$9:$H$108,"Yes"))&gt;0,"Resolve critical E&amp;S / taxonomy issue",IF(AH57&lt;&gt;"Current",AH57,IF(Z57&lt;&gt;"Pass","Review individual tests",IF(U57="Criteria required","Sourced criteria / interpretation required",IF(AA57&lt;&gt;"Valid",AA57,IF(T57&lt;&gt;"Approved","Approval required",I57)))))))</x:f>
      </x:c>
      <x:c r="AG57" s="9" t="str">
        <x:f>IF(C57="","",IFERROR(INDEX('Taxonomy Rules'!$L$9:$L$20,MATCH(H57&amp;"::"&amp;G57,'Taxonomy Rules'!$C$9:$C$20,0)),"Unimplemented activity"))</x:f>
      </x:c>
      <x:c r="AH57" s="9" t="str">
        <x:f>IF(C57="","",IF(COUNTIF($C$9:$C$108,C57)&lt;&gt;1,"Duplicate ID",IF(OR(COUNTIF(Facilities!$C$9:$C$108,D57)&lt;&gt;1,COUNTIF(Borrowers!$C$9:$C$108,E57)&lt;&gt;1),"Key review",IF(OR(P57="",Q57="",P57=Q57,NOT(ISNUMBER(R57)),NOT(ISNUMBER(S57)),R57&gt;Settings!$F$8,S57&lt;R57),"Review required",IF(S57&lt;Settings!$F$8,"Expired","Current")))))</x:f>
      </x:c>
    </x:row>
    <x:row r="58" ht="26" customHeight="1">
      <x:c r="A58" s="1"/>
      <x:c r="B58" s="1"/>
      <x:c r="C58" s="8"/>
      <x:c r="D58" s="8"/>
      <x:c r="E58" s="9" t="str">
        <x:f>IF(C58="","",IFERROR(INDEX('Facilities'!$D$9:$D$108,MATCH(D58,'Facilities'!$C$9:$C$108,0)),""))</x:f>
      </x:c>
      <x:c r="F58" s="9" t="str">
        <x:f>IF(C58="","",IFERROR(INDEX('Borrowers'!$E$9:$E$108,MATCH(E58,'Borrowers'!$C$9:$C$108,0)),""))</x:f>
      </x:c>
      <x:c r="G58" s="9" t="str">
        <x:f>IF(C58="","",IFERROR(INDEX('Facilities'!$W$9:$W$108,MATCH(D58,'Facilities'!$C$9:$C$108,0)),""))</x:f>
      </x:c>
      <x:c r="H58" s="9" t="str">
        <x:f>IF(C58="","",Settings!$F$11)</x:f>
      </x:c>
      <x:c r="I58" s="3" t="str">
        <x:f>IF(C58="","",IF(H58="Jordan 2026",IF(F58="Jordan","Jordan taxonomy","Reference benchmark"),"Internal policy"))</x:f>
      </x:c>
      <x:c r="J58" s="8"/>
      <x:c r="K58" s="35"/>
      <x:c r="L58" s="35"/>
      <x:c r="M58" s="8"/>
      <x:c r="N58" s="16"/>
      <x:c r="O58" s="8"/>
      <x:c r="P58" s="8"/>
      <x:c r="Q58" s="8"/>
      <x:c r="R58" s="10"/>
      <x:c r="S58" s="10"/>
      <x:c r="T58" s="8"/>
      <x:c r="U58" s="9" t="str">
        <x:f>IF(C58="","",IF(V58=0,"Criteria required",IF(OR(NOT(ISNUMBER(J58)),J58&lt;1900,J58&gt;YEAR(Settings!$F$8),IFERROR(MOD(J58,1),1)&lt;&gt;0,NOT(ISNUMBER(K58)),K58&lt;0,AND(H58="Internal criteria",OR(G58="Cement",G58="Building renovation"),OR(NOT(ISNUMBER(IFERROR(INDEX('Taxonomy Rules'!$G$9:$G$20,MATCH(H58&amp;"::"&amp;G58,'Taxonomy Rules'!$C$9:$C$20,0)),0))),IFERROR(INDEX('Taxonomy Rules'!$G$9:$G$20,MATCH(H58&amp;"::"&amp;G58,'Taxonomy Rules'!$C$9:$C$20,0)),0)&lt;=0,AND(G58="Building renovation",IFERROR(INDEX('Taxonomy Rules'!$G$9:$G$20,MATCH(H58&amp;"::"&amp;G58,'Taxonomy Rules'!$C$9:$C$20,0)),0)&gt;1)))),"Criteria required",IF(G58="Solar PV",IF(M58&lt;&gt;"Eligible activity","Criteria required",IF(K58=1,"Pass","Fail")),IF(G58="Cement",IF(M58="Amber",IF(H58="Jordan 2026",IF(YEAR(Settings!$F$8)&lt;2040,"Amber","Fail"),"Criteria required"),IF(M58&lt;&gt;"Green","Criteria required",IF(H58="Jordan 2026",IF(IFERROR(INDEX('Taxonomy Rules'!$P$9:$P$14,MATCH(J58,'Taxonomy Rules'!$O$9:$O$14,0)),0)=0,"Criteria required",IF(K58&lt;=IFERROR(INDEX('Taxonomy Rules'!$P$9:$P$14,MATCH(J58,'Taxonomy Rules'!$O$9:$O$14,0)),0),"Pass","Fail")),IF(K58&lt;=IFERROR(INDEX('Taxonomy Rules'!$G$9:$G$20,MATCH(H58&amp;"::"&amp;G58,'Taxonomy Rules'!$C$9:$C$20,0)),0),"Pass","Fail")))),IF(G58="Building renovation",IF(M58="Whole building",IF(K58=1,"Pass","Fail"),IF(M58&lt;&gt;"Improvement","Criteria required",IF(OR(K58&gt;1,NOT(ISNUMBER(L58)),L58&lt;0,L58&gt;1),"Criteria required",IF(MAX(K58,L58)&lt;IFERROR(INDEX('Taxonomy Rules'!$G$9:$G$20,MATCH(H58&amp;"::"&amp;G58,'Taxonomy Rules'!$C$9:$C$20,0)),0),"Fail",IF(H58="Jordan 2026",IF(YEAR(Settings!$F$8)&lt;2035,"Amber",IF(YEAR(Settings!$F$8)=2035,"Criteria required","Fail")),"Pass"))))),IF(G58="Road freight",IF(M58&lt;&gt;"Zero emissions","Criteria required",IF(AND(K58=0,ISNUMBER(L58),L58=0),"Pass","Fail")),IF(G58="New building",IF(NOT(OR(M58="Green",M58="Amber")),"Criteria required",IF(K58&lt;&gt;1,"Fail",IF(M58="Amber",IF(H58="Jordan 2026",IF(YEAR(Settings!$F$8)&lt;2030,"Amber",IF(YEAR(Settings!$F$8)=2030,"Criteria required","Fail")),"Criteria required"),"Pass"))),IF(G58="Building equipment",IF(M58&lt;&gt;"Equipment","Criteria required",IF(K58=1,"Pass","Fail")),"Criteria required")))))))))</x:f>
      </x:c>
      <x:c r="V58" s="9" t="str">
        <x:f>IF(C58="","",IFERROR(INDEX('Taxonomy Rules'!$J$9:$J$20,MATCH(H58&amp;"::"&amp;G58,'Taxonomy Rules'!$C$9:$C$20,0)),0))</x:f>
      </x:c>
      <x:c r="W58" s="9" t="str">
        <x:f>IF(C58="","",COUNTIFS('Taxonomy Tests'!$D$9:$D$2008,C58,'Taxonomy Tests'!$Q$9:$Q$2008,"Complete"))</x:f>
      </x:c>
      <x:c r="X58" s="9" t="str">
        <x:f>IF(C58="","",COUNTIFS('Taxonomy Tests'!$D$9:$D$2008,C58,'Taxonomy Tests'!$P$9:$P$2008,"Fail"))</x:f>
      </x:c>
      <x:c r="Y58" s="9" t="str">
        <x:f>IF(C58="","",MAX(0,V58-W58)+COUNTIFS('Taxonomy Tests'!$D$9:$D$2008,C58,'Taxonomy Tests'!$R$9:$R$2008,"Duplicate test")+COUNTIFS('Taxonomy Tests'!$D$9:$D$2008,C58,'Taxonomy Tests'!$R$9:$R$2008,"Unexpected test"))</x:f>
      </x:c>
      <x:c r="Z58" s="9" t="str">
        <x:f>IF(C58="","",IF(X58&gt;0,"Fail",IF(AND(V58&gt;0,W58=V58,Y58=0,COUNTIF('Taxonomy Tests'!$D$9:$D$2008,C58)=V58),"Pass","Pending")))</x:f>
      </x:c>
      <x:c r="AA58" s="9" t="str">
        <x:f>IF(C58="","",IF(COUNTIF(Facilities!$C$9:$C$108,D58)&lt;&gt;1,"Facility key",IF(OR(NOT(ISNUMBER(N58)),N58&lt;0),"Amount required",IF(SUMIF($D$9:$D$108,D58,$N$9:$N$108)&gt;IFERROR(INDEX('Facilities'!$AA$9:$AA$108,MATCH(D58,'Facilities'!$C$9:$C$108,0)),"")+0.000001,"Overallocated",IF(N58=0,"No allocation",IF(O58="","Evidence required","Valid"))))))</x:f>
      </x:c>
      <x:c r="AB58" s="3" t="str">
        <x:f>IF(C58="","",IF(OR(U58="Fail",Z58="Fail"),IF(H58="Jordan 2026","Red / not aligned","Not eligible"),IF(OR(U58="Criteria required",V58=0),"Criteria required",IF(Z58&lt;&gt;"Pass","Pending",IF(U58="Amber","Amber",IF(H58="Jordan 2026","Green","Eligible (internal)"))))))</x:f>
      </x:c>
      <x:c r="AC58" s="9" t="str">
        <x:f>IF(C58="","",IF(T58="Rejected","Rejected",IF(OR(AB58="Red / not aligned",AB58="Not eligible"),"Not eligible",IF(OR(AH58&lt;&gt;"Current",T58&lt;&gt;"Approved",Z58&lt;&gt;"Pass",(COUNTIFS('Actions'!$D$9:$D$308,E58,'Actions'!$E$9:$E$308,"E&amp;S",'Actions'!$F$9:$F$308,"Critical",'Actions'!$P$9:$P$308,"&lt;&gt;Closed",'Actions'!$C$9:$C$308,"&lt;&gt;")+COUNTIFS('Actions'!$D$9:$D$308,E58,'Actions'!$E$9:$E$308,"Taxonomy",'Actions'!$F$9:$F$308,"Critical",'Actions'!$P$9:$P$308,"&lt;&gt;Closed",'Actions'!$C$9:$C$308,"&lt;&gt;")+COUNTIFS('ESG'!$C$9:$C$108,E58,'ESG'!$H$9:$H$108,"Yes"))&gt;0,AND(AB58&lt;&gt;"Green",AB58&lt;&gt;"Amber",AB58&lt;&gt;"Eligible (internal)")),"Pending",IF(AA58="No allocation","Activity only",IF(AA58&lt;&gt;"Valid","Pending","Approved"))))))</x:f>
      </x:c>
      <x:c r="AD58" s="21" t="str">
        <x:f>IF(C58="","",IF(AND(AC58="Approved",OR(AB58="Green",AB58="Eligible (internal)")),N58,0))</x:f>
      </x:c>
      <x:c r="AE58" s="21" t="str">
        <x:f>IF(C58="","",IF(AND(AC58="Approved",AB58="Amber"),N58,0))</x:f>
      </x:c>
      <x:c r="AF58" s="9" t="str">
        <x:f>IF(C58="","",IF((COUNTIFS('Actions'!$D$9:$D$308,E58,'Actions'!$E$9:$E$308,"E&amp;S",'Actions'!$F$9:$F$308,"Critical",'Actions'!$P$9:$P$308,"&lt;&gt;Closed",'Actions'!$C$9:$C$308,"&lt;&gt;")+COUNTIFS('Actions'!$D$9:$D$308,E58,'Actions'!$E$9:$E$308,"Taxonomy",'Actions'!$F$9:$F$308,"Critical",'Actions'!$P$9:$P$308,"&lt;&gt;Closed",'Actions'!$C$9:$C$308,"&lt;&gt;")+COUNTIFS('ESG'!$C$9:$C$108,E58,'ESG'!$H$9:$H$108,"Yes"))&gt;0,"Resolve critical E&amp;S / taxonomy issue",IF(AH58&lt;&gt;"Current",AH58,IF(Z58&lt;&gt;"Pass","Review individual tests",IF(U58="Criteria required","Sourced criteria / interpretation required",IF(AA58&lt;&gt;"Valid",AA58,IF(T58&lt;&gt;"Approved","Approval required",I58)))))))</x:f>
      </x:c>
      <x:c r="AG58" s="9" t="str">
        <x:f>IF(C58="","",IFERROR(INDEX('Taxonomy Rules'!$L$9:$L$20,MATCH(H58&amp;"::"&amp;G58,'Taxonomy Rules'!$C$9:$C$20,0)),"Unimplemented activity"))</x:f>
      </x:c>
      <x:c r="AH58" s="9" t="str">
        <x:f>IF(C58="","",IF(COUNTIF($C$9:$C$108,C58)&lt;&gt;1,"Duplicate ID",IF(OR(COUNTIF(Facilities!$C$9:$C$108,D58)&lt;&gt;1,COUNTIF(Borrowers!$C$9:$C$108,E58)&lt;&gt;1),"Key review",IF(OR(P58="",Q58="",P58=Q58,NOT(ISNUMBER(R58)),NOT(ISNUMBER(S58)),R58&gt;Settings!$F$8,S58&lt;R58),"Review required",IF(S58&lt;Settings!$F$8,"Expired","Current")))))</x:f>
      </x:c>
    </x:row>
    <x:row r="59" ht="26" customHeight="1">
      <x:c r="A59" s="1"/>
      <x:c r="B59" s="1"/>
      <x:c r="C59" s="8"/>
      <x:c r="D59" s="8"/>
      <x:c r="E59" s="9" t="str">
        <x:f>IF(C59="","",IFERROR(INDEX('Facilities'!$D$9:$D$108,MATCH(D59,'Facilities'!$C$9:$C$108,0)),""))</x:f>
      </x:c>
      <x:c r="F59" s="9" t="str">
        <x:f>IF(C59="","",IFERROR(INDEX('Borrowers'!$E$9:$E$108,MATCH(E59,'Borrowers'!$C$9:$C$108,0)),""))</x:f>
      </x:c>
      <x:c r="G59" s="9" t="str">
        <x:f>IF(C59="","",IFERROR(INDEX('Facilities'!$W$9:$W$108,MATCH(D59,'Facilities'!$C$9:$C$108,0)),""))</x:f>
      </x:c>
      <x:c r="H59" s="9" t="str">
        <x:f>IF(C59="","",Settings!$F$11)</x:f>
      </x:c>
      <x:c r="I59" s="3" t="str">
        <x:f>IF(C59="","",IF(H59="Jordan 2026",IF(F59="Jordan","Jordan taxonomy","Reference benchmark"),"Internal policy"))</x:f>
      </x:c>
      <x:c r="J59" s="8"/>
      <x:c r="K59" s="35"/>
      <x:c r="L59" s="35"/>
      <x:c r="M59" s="8"/>
      <x:c r="N59" s="16"/>
      <x:c r="O59" s="8"/>
      <x:c r="P59" s="8"/>
      <x:c r="Q59" s="8"/>
      <x:c r="R59" s="10"/>
      <x:c r="S59" s="10"/>
      <x:c r="T59" s="8"/>
      <x:c r="U59" s="9" t="str">
        <x:f>IF(C59="","",IF(V59=0,"Criteria required",IF(OR(NOT(ISNUMBER(J59)),J59&lt;1900,J59&gt;YEAR(Settings!$F$8),IFERROR(MOD(J59,1),1)&lt;&gt;0,NOT(ISNUMBER(K59)),K59&lt;0,AND(H59="Internal criteria",OR(G59="Cement",G59="Building renovation"),OR(NOT(ISNUMBER(IFERROR(INDEX('Taxonomy Rules'!$G$9:$G$20,MATCH(H59&amp;"::"&amp;G59,'Taxonomy Rules'!$C$9:$C$20,0)),0))),IFERROR(INDEX('Taxonomy Rules'!$G$9:$G$20,MATCH(H59&amp;"::"&amp;G59,'Taxonomy Rules'!$C$9:$C$20,0)),0)&lt;=0,AND(G59="Building renovation",IFERROR(INDEX('Taxonomy Rules'!$G$9:$G$20,MATCH(H59&amp;"::"&amp;G59,'Taxonomy Rules'!$C$9:$C$20,0)),0)&gt;1)))),"Criteria required",IF(G59="Solar PV",IF(M59&lt;&gt;"Eligible activity","Criteria required",IF(K59=1,"Pass","Fail")),IF(G59="Cement",IF(M59="Amber",IF(H59="Jordan 2026",IF(YEAR(Settings!$F$8)&lt;2040,"Amber","Fail"),"Criteria required"),IF(M59&lt;&gt;"Green","Criteria required",IF(H59="Jordan 2026",IF(IFERROR(INDEX('Taxonomy Rules'!$P$9:$P$14,MATCH(J59,'Taxonomy Rules'!$O$9:$O$14,0)),0)=0,"Criteria required",IF(K59&lt;=IFERROR(INDEX('Taxonomy Rules'!$P$9:$P$14,MATCH(J59,'Taxonomy Rules'!$O$9:$O$14,0)),0),"Pass","Fail")),IF(K59&lt;=IFERROR(INDEX('Taxonomy Rules'!$G$9:$G$20,MATCH(H59&amp;"::"&amp;G59,'Taxonomy Rules'!$C$9:$C$20,0)),0),"Pass","Fail")))),IF(G59="Building renovation",IF(M59="Whole building",IF(K59=1,"Pass","Fail"),IF(M59&lt;&gt;"Improvement","Criteria required",IF(OR(K59&gt;1,NOT(ISNUMBER(L59)),L59&lt;0,L59&gt;1),"Criteria required",IF(MAX(K59,L59)&lt;IFERROR(INDEX('Taxonomy Rules'!$G$9:$G$20,MATCH(H59&amp;"::"&amp;G59,'Taxonomy Rules'!$C$9:$C$20,0)),0),"Fail",IF(H59="Jordan 2026",IF(YEAR(Settings!$F$8)&lt;2035,"Amber",IF(YEAR(Settings!$F$8)=2035,"Criteria required","Fail")),"Pass"))))),IF(G59="Road freight",IF(M59&lt;&gt;"Zero emissions","Criteria required",IF(AND(K59=0,ISNUMBER(L59),L59=0),"Pass","Fail")),IF(G59="New building",IF(NOT(OR(M59="Green",M59="Amber")),"Criteria required",IF(K59&lt;&gt;1,"Fail",IF(M59="Amber",IF(H59="Jordan 2026",IF(YEAR(Settings!$F$8)&lt;2030,"Amber",IF(YEAR(Settings!$F$8)=2030,"Criteria required","Fail")),"Criteria required"),"Pass"))),IF(G59="Building equipment",IF(M59&lt;&gt;"Equipment","Criteria required",IF(K59=1,"Pass","Fail")),"Criteria required")))))))))</x:f>
      </x:c>
      <x:c r="V59" s="9" t="str">
        <x:f>IF(C59="","",IFERROR(INDEX('Taxonomy Rules'!$J$9:$J$20,MATCH(H59&amp;"::"&amp;G59,'Taxonomy Rules'!$C$9:$C$20,0)),0))</x:f>
      </x:c>
      <x:c r="W59" s="9" t="str">
        <x:f>IF(C59="","",COUNTIFS('Taxonomy Tests'!$D$9:$D$2008,C59,'Taxonomy Tests'!$Q$9:$Q$2008,"Complete"))</x:f>
      </x:c>
      <x:c r="X59" s="9" t="str">
        <x:f>IF(C59="","",COUNTIFS('Taxonomy Tests'!$D$9:$D$2008,C59,'Taxonomy Tests'!$P$9:$P$2008,"Fail"))</x:f>
      </x:c>
      <x:c r="Y59" s="9" t="str">
        <x:f>IF(C59="","",MAX(0,V59-W59)+COUNTIFS('Taxonomy Tests'!$D$9:$D$2008,C59,'Taxonomy Tests'!$R$9:$R$2008,"Duplicate test")+COUNTIFS('Taxonomy Tests'!$D$9:$D$2008,C59,'Taxonomy Tests'!$R$9:$R$2008,"Unexpected test"))</x:f>
      </x:c>
      <x:c r="Z59" s="9" t="str">
        <x:f>IF(C59="","",IF(X59&gt;0,"Fail",IF(AND(V59&gt;0,W59=V59,Y59=0,COUNTIF('Taxonomy Tests'!$D$9:$D$2008,C59)=V59),"Pass","Pending")))</x:f>
      </x:c>
      <x:c r="AA59" s="9" t="str">
        <x:f>IF(C59="","",IF(COUNTIF(Facilities!$C$9:$C$108,D59)&lt;&gt;1,"Facility key",IF(OR(NOT(ISNUMBER(N59)),N59&lt;0),"Amount required",IF(SUMIF($D$9:$D$108,D59,$N$9:$N$108)&gt;IFERROR(INDEX('Facilities'!$AA$9:$AA$108,MATCH(D59,'Facilities'!$C$9:$C$108,0)),"")+0.000001,"Overallocated",IF(N59=0,"No allocation",IF(O59="","Evidence required","Valid"))))))</x:f>
      </x:c>
      <x:c r="AB59" s="3" t="str">
        <x:f>IF(C59="","",IF(OR(U59="Fail",Z59="Fail"),IF(H59="Jordan 2026","Red / not aligned","Not eligible"),IF(OR(U59="Criteria required",V59=0),"Criteria required",IF(Z59&lt;&gt;"Pass","Pending",IF(U59="Amber","Amber",IF(H59="Jordan 2026","Green","Eligible (internal)"))))))</x:f>
      </x:c>
      <x:c r="AC59" s="9" t="str">
        <x:f>IF(C59="","",IF(T59="Rejected","Rejected",IF(OR(AB59="Red / not aligned",AB59="Not eligible"),"Not eligible",IF(OR(AH59&lt;&gt;"Current",T59&lt;&gt;"Approved",Z59&lt;&gt;"Pass",(COUNTIFS('Actions'!$D$9:$D$308,E59,'Actions'!$E$9:$E$308,"E&amp;S",'Actions'!$F$9:$F$308,"Critical",'Actions'!$P$9:$P$308,"&lt;&gt;Closed",'Actions'!$C$9:$C$308,"&lt;&gt;")+COUNTIFS('Actions'!$D$9:$D$308,E59,'Actions'!$E$9:$E$308,"Taxonomy",'Actions'!$F$9:$F$308,"Critical",'Actions'!$P$9:$P$308,"&lt;&gt;Closed",'Actions'!$C$9:$C$308,"&lt;&gt;")+COUNTIFS('ESG'!$C$9:$C$108,E59,'ESG'!$H$9:$H$108,"Yes"))&gt;0,AND(AB59&lt;&gt;"Green",AB59&lt;&gt;"Amber",AB59&lt;&gt;"Eligible (internal)")),"Pending",IF(AA59="No allocation","Activity only",IF(AA59&lt;&gt;"Valid","Pending","Approved"))))))</x:f>
      </x:c>
      <x:c r="AD59" s="21" t="str">
        <x:f>IF(C59="","",IF(AND(AC59="Approved",OR(AB59="Green",AB59="Eligible (internal)")),N59,0))</x:f>
      </x:c>
      <x:c r="AE59" s="21" t="str">
        <x:f>IF(C59="","",IF(AND(AC59="Approved",AB59="Amber"),N59,0))</x:f>
      </x:c>
      <x:c r="AF59" s="9" t="str">
        <x:f>IF(C59="","",IF((COUNTIFS('Actions'!$D$9:$D$308,E59,'Actions'!$E$9:$E$308,"E&amp;S",'Actions'!$F$9:$F$308,"Critical",'Actions'!$P$9:$P$308,"&lt;&gt;Closed",'Actions'!$C$9:$C$308,"&lt;&gt;")+COUNTIFS('Actions'!$D$9:$D$308,E59,'Actions'!$E$9:$E$308,"Taxonomy",'Actions'!$F$9:$F$308,"Critical",'Actions'!$P$9:$P$308,"&lt;&gt;Closed",'Actions'!$C$9:$C$308,"&lt;&gt;")+COUNTIFS('ESG'!$C$9:$C$108,E59,'ESG'!$H$9:$H$108,"Yes"))&gt;0,"Resolve critical E&amp;S / taxonomy issue",IF(AH59&lt;&gt;"Current",AH59,IF(Z59&lt;&gt;"Pass","Review individual tests",IF(U59="Criteria required","Sourced criteria / interpretation required",IF(AA59&lt;&gt;"Valid",AA59,IF(T59&lt;&gt;"Approved","Approval required",I59)))))))</x:f>
      </x:c>
      <x:c r="AG59" s="9" t="str">
        <x:f>IF(C59="","",IFERROR(INDEX('Taxonomy Rules'!$L$9:$L$20,MATCH(H59&amp;"::"&amp;G59,'Taxonomy Rules'!$C$9:$C$20,0)),"Unimplemented activity"))</x:f>
      </x:c>
      <x:c r="AH59" s="9" t="str">
        <x:f>IF(C59="","",IF(COUNTIF($C$9:$C$108,C59)&lt;&gt;1,"Duplicate ID",IF(OR(COUNTIF(Facilities!$C$9:$C$108,D59)&lt;&gt;1,COUNTIF(Borrowers!$C$9:$C$108,E59)&lt;&gt;1),"Key review",IF(OR(P59="",Q59="",P59=Q59,NOT(ISNUMBER(R59)),NOT(ISNUMBER(S59)),R59&gt;Settings!$F$8,S59&lt;R59),"Review required",IF(S59&lt;Settings!$F$8,"Expired","Current")))))</x:f>
      </x:c>
    </x:row>
    <x:row r="60" ht="26" customHeight="1">
      <x:c r="A60" s="1"/>
      <x:c r="B60" s="1"/>
      <x:c r="C60" s="8"/>
      <x:c r="D60" s="8"/>
      <x:c r="E60" s="9" t="str">
        <x:f>IF(C60="","",IFERROR(INDEX('Facilities'!$D$9:$D$108,MATCH(D60,'Facilities'!$C$9:$C$108,0)),""))</x:f>
      </x:c>
      <x:c r="F60" s="9" t="str">
        <x:f>IF(C60="","",IFERROR(INDEX('Borrowers'!$E$9:$E$108,MATCH(E60,'Borrowers'!$C$9:$C$108,0)),""))</x:f>
      </x:c>
      <x:c r="G60" s="9" t="str">
        <x:f>IF(C60="","",IFERROR(INDEX('Facilities'!$W$9:$W$108,MATCH(D60,'Facilities'!$C$9:$C$108,0)),""))</x:f>
      </x:c>
      <x:c r="H60" s="9" t="str">
        <x:f>IF(C60="","",Settings!$F$11)</x:f>
      </x:c>
      <x:c r="I60" s="3" t="str">
        <x:f>IF(C60="","",IF(H60="Jordan 2026",IF(F60="Jordan","Jordan taxonomy","Reference benchmark"),"Internal policy"))</x:f>
      </x:c>
      <x:c r="J60" s="8"/>
      <x:c r="K60" s="35"/>
      <x:c r="L60" s="35"/>
      <x:c r="M60" s="8"/>
      <x:c r="N60" s="16"/>
      <x:c r="O60" s="8"/>
      <x:c r="P60" s="8"/>
      <x:c r="Q60" s="8"/>
      <x:c r="R60" s="10"/>
      <x:c r="S60" s="10"/>
      <x:c r="T60" s="8"/>
      <x:c r="U60" s="9" t="str">
        <x:f>IF(C60="","",IF(V60=0,"Criteria required",IF(OR(NOT(ISNUMBER(J60)),J60&lt;1900,J60&gt;YEAR(Settings!$F$8),IFERROR(MOD(J60,1),1)&lt;&gt;0,NOT(ISNUMBER(K60)),K60&lt;0,AND(H60="Internal criteria",OR(G60="Cement",G60="Building renovation"),OR(NOT(ISNUMBER(IFERROR(INDEX('Taxonomy Rules'!$G$9:$G$20,MATCH(H60&amp;"::"&amp;G60,'Taxonomy Rules'!$C$9:$C$20,0)),0))),IFERROR(INDEX('Taxonomy Rules'!$G$9:$G$20,MATCH(H60&amp;"::"&amp;G60,'Taxonomy Rules'!$C$9:$C$20,0)),0)&lt;=0,AND(G60="Building renovation",IFERROR(INDEX('Taxonomy Rules'!$G$9:$G$20,MATCH(H60&amp;"::"&amp;G60,'Taxonomy Rules'!$C$9:$C$20,0)),0)&gt;1)))),"Criteria required",IF(G60="Solar PV",IF(M60&lt;&gt;"Eligible activity","Criteria required",IF(K60=1,"Pass","Fail")),IF(G60="Cement",IF(M60="Amber",IF(H60="Jordan 2026",IF(YEAR(Settings!$F$8)&lt;2040,"Amber","Fail"),"Criteria required"),IF(M60&lt;&gt;"Green","Criteria required",IF(H60="Jordan 2026",IF(IFERROR(INDEX('Taxonomy Rules'!$P$9:$P$14,MATCH(J60,'Taxonomy Rules'!$O$9:$O$14,0)),0)=0,"Criteria required",IF(K60&lt;=IFERROR(INDEX('Taxonomy Rules'!$P$9:$P$14,MATCH(J60,'Taxonomy Rules'!$O$9:$O$14,0)),0),"Pass","Fail")),IF(K60&lt;=IFERROR(INDEX('Taxonomy Rules'!$G$9:$G$20,MATCH(H60&amp;"::"&amp;G60,'Taxonomy Rules'!$C$9:$C$20,0)),0),"Pass","Fail")))),IF(G60="Building renovation",IF(M60="Whole building",IF(K60=1,"Pass","Fail"),IF(M60&lt;&gt;"Improvement","Criteria required",IF(OR(K60&gt;1,NOT(ISNUMBER(L60)),L60&lt;0,L60&gt;1),"Criteria required",IF(MAX(K60,L60)&lt;IFERROR(INDEX('Taxonomy Rules'!$G$9:$G$20,MATCH(H60&amp;"::"&amp;G60,'Taxonomy Rules'!$C$9:$C$20,0)),0),"Fail",IF(H60="Jordan 2026",IF(YEAR(Settings!$F$8)&lt;2035,"Amber",IF(YEAR(Settings!$F$8)=2035,"Criteria required","Fail")),"Pass"))))),IF(G60="Road freight",IF(M60&lt;&gt;"Zero emissions","Criteria required",IF(AND(K60=0,ISNUMBER(L60),L60=0),"Pass","Fail")),IF(G60="New building",IF(NOT(OR(M60="Green",M60="Amber")),"Criteria required",IF(K60&lt;&gt;1,"Fail",IF(M60="Amber",IF(H60="Jordan 2026",IF(YEAR(Settings!$F$8)&lt;2030,"Amber",IF(YEAR(Settings!$F$8)=2030,"Criteria required","Fail")),"Criteria required"),"Pass"))),IF(G60="Building equipment",IF(M60&lt;&gt;"Equipment","Criteria required",IF(K60=1,"Pass","Fail")),"Criteria required")))))))))</x:f>
      </x:c>
      <x:c r="V60" s="9" t="str">
        <x:f>IF(C60="","",IFERROR(INDEX('Taxonomy Rules'!$J$9:$J$20,MATCH(H60&amp;"::"&amp;G60,'Taxonomy Rules'!$C$9:$C$20,0)),0))</x:f>
      </x:c>
      <x:c r="W60" s="9" t="str">
        <x:f>IF(C60="","",COUNTIFS('Taxonomy Tests'!$D$9:$D$2008,C60,'Taxonomy Tests'!$Q$9:$Q$2008,"Complete"))</x:f>
      </x:c>
      <x:c r="X60" s="9" t="str">
        <x:f>IF(C60="","",COUNTIFS('Taxonomy Tests'!$D$9:$D$2008,C60,'Taxonomy Tests'!$P$9:$P$2008,"Fail"))</x:f>
      </x:c>
      <x:c r="Y60" s="9" t="str">
        <x:f>IF(C60="","",MAX(0,V60-W60)+COUNTIFS('Taxonomy Tests'!$D$9:$D$2008,C60,'Taxonomy Tests'!$R$9:$R$2008,"Duplicate test")+COUNTIFS('Taxonomy Tests'!$D$9:$D$2008,C60,'Taxonomy Tests'!$R$9:$R$2008,"Unexpected test"))</x:f>
      </x:c>
      <x:c r="Z60" s="9" t="str">
        <x:f>IF(C60="","",IF(X60&gt;0,"Fail",IF(AND(V60&gt;0,W60=V60,Y60=0,COUNTIF('Taxonomy Tests'!$D$9:$D$2008,C60)=V60),"Pass","Pending")))</x:f>
      </x:c>
      <x:c r="AA60" s="9" t="str">
        <x:f>IF(C60="","",IF(COUNTIF(Facilities!$C$9:$C$108,D60)&lt;&gt;1,"Facility key",IF(OR(NOT(ISNUMBER(N60)),N60&lt;0),"Amount required",IF(SUMIF($D$9:$D$108,D60,$N$9:$N$108)&gt;IFERROR(INDEX('Facilities'!$AA$9:$AA$108,MATCH(D60,'Facilities'!$C$9:$C$108,0)),"")+0.000001,"Overallocated",IF(N60=0,"No allocation",IF(O60="","Evidence required","Valid"))))))</x:f>
      </x:c>
      <x:c r="AB60" s="3" t="str">
        <x:f>IF(C60="","",IF(OR(U60="Fail",Z60="Fail"),IF(H60="Jordan 2026","Red / not aligned","Not eligible"),IF(OR(U60="Criteria required",V60=0),"Criteria required",IF(Z60&lt;&gt;"Pass","Pending",IF(U60="Amber","Amber",IF(H60="Jordan 2026","Green","Eligible (internal)"))))))</x:f>
      </x:c>
      <x:c r="AC60" s="9" t="str">
        <x:f>IF(C60="","",IF(T60="Rejected","Rejected",IF(OR(AB60="Red / not aligned",AB60="Not eligible"),"Not eligible",IF(OR(AH60&lt;&gt;"Current",T60&lt;&gt;"Approved",Z60&lt;&gt;"Pass",(COUNTIFS('Actions'!$D$9:$D$308,E60,'Actions'!$E$9:$E$308,"E&amp;S",'Actions'!$F$9:$F$308,"Critical",'Actions'!$P$9:$P$308,"&lt;&gt;Closed",'Actions'!$C$9:$C$308,"&lt;&gt;")+COUNTIFS('Actions'!$D$9:$D$308,E60,'Actions'!$E$9:$E$308,"Taxonomy",'Actions'!$F$9:$F$308,"Critical",'Actions'!$P$9:$P$308,"&lt;&gt;Closed",'Actions'!$C$9:$C$308,"&lt;&gt;")+COUNTIFS('ESG'!$C$9:$C$108,E60,'ESG'!$H$9:$H$108,"Yes"))&gt;0,AND(AB60&lt;&gt;"Green",AB60&lt;&gt;"Amber",AB60&lt;&gt;"Eligible (internal)")),"Pending",IF(AA60="No allocation","Activity only",IF(AA60&lt;&gt;"Valid","Pending","Approved"))))))</x:f>
      </x:c>
      <x:c r="AD60" s="21" t="str">
        <x:f>IF(C60="","",IF(AND(AC60="Approved",OR(AB60="Green",AB60="Eligible (internal)")),N60,0))</x:f>
      </x:c>
      <x:c r="AE60" s="21" t="str">
        <x:f>IF(C60="","",IF(AND(AC60="Approved",AB60="Amber"),N60,0))</x:f>
      </x:c>
      <x:c r="AF60" s="9" t="str">
        <x:f>IF(C60="","",IF((COUNTIFS('Actions'!$D$9:$D$308,E60,'Actions'!$E$9:$E$308,"E&amp;S",'Actions'!$F$9:$F$308,"Critical",'Actions'!$P$9:$P$308,"&lt;&gt;Closed",'Actions'!$C$9:$C$308,"&lt;&gt;")+COUNTIFS('Actions'!$D$9:$D$308,E60,'Actions'!$E$9:$E$308,"Taxonomy",'Actions'!$F$9:$F$308,"Critical",'Actions'!$P$9:$P$308,"&lt;&gt;Closed",'Actions'!$C$9:$C$308,"&lt;&gt;")+COUNTIFS('ESG'!$C$9:$C$108,E60,'ESG'!$H$9:$H$108,"Yes"))&gt;0,"Resolve critical E&amp;S / taxonomy issue",IF(AH60&lt;&gt;"Current",AH60,IF(Z60&lt;&gt;"Pass","Review individual tests",IF(U60="Criteria required","Sourced criteria / interpretation required",IF(AA60&lt;&gt;"Valid",AA60,IF(T60&lt;&gt;"Approved","Approval required",I60)))))))</x:f>
      </x:c>
      <x:c r="AG60" s="9" t="str">
        <x:f>IF(C60="","",IFERROR(INDEX('Taxonomy Rules'!$L$9:$L$20,MATCH(H60&amp;"::"&amp;G60,'Taxonomy Rules'!$C$9:$C$20,0)),"Unimplemented activity"))</x:f>
      </x:c>
      <x:c r="AH60" s="9" t="str">
        <x:f>IF(C60="","",IF(COUNTIF($C$9:$C$108,C60)&lt;&gt;1,"Duplicate ID",IF(OR(COUNTIF(Facilities!$C$9:$C$108,D60)&lt;&gt;1,COUNTIF(Borrowers!$C$9:$C$108,E60)&lt;&gt;1),"Key review",IF(OR(P60="",Q60="",P60=Q60,NOT(ISNUMBER(R60)),NOT(ISNUMBER(S60)),R60&gt;Settings!$F$8,S60&lt;R60),"Review required",IF(S60&lt;Settings!$F$8,"Expired","Current")))))</x:f>
      </x:c>
    </x:row>
    <x:row r="61" ht="26" customHeight="1">
      <x:c r="A61" s="1"/>
      <x:c r="B61" s="1"/>
      <x:c r="C61" s="8"/>
      <x:c r="D61" s="8"/>
      <x:c r="E61" s="9" t="str">
        <x:f>IF(C61="","",IFERROR(INDEX('Facilities'!$D$9:$D$108,MATCH(D61,'Facilities'!$C$9:$C$108,0)),""))</x:f>
      </x:c>
      <x:c r="F61" s="9" t="str">
        <x:f>IF(C61="","",IFERROR(INDEX('Borrowers'!$E$9:$E$108,MATCH(E61,'Borrowers'!$C$9:$C$108,0)),""))</x:f>
      </x:c>
      <x:c r="G61" s="9" t="str">
        <x:f>IF(C61="","",IFERROR(INDEX('Facilities'!$W$9:$W$108,MATCH(D61,'Facilities'!$C$9:$C$108,0)),""))</x:f>
      </x:c>
      <x:c r="H61" s="9" t="str">
        <x:f>IF(C61="","",Settings!$F$11)</x:f>
      </x:c>
      <x:c r="I61" s="3" t="str">
        <x:f>IF(C61="","",IF(H61="Jordan 2026",IF(F61="Jordan","Jordan taxonomy","Reference benchmark"),"Internal policy"))</x:f>
      </x:c>
      <x:c r="J61" s="8"/>
      <x:c r="K61" s="35"/>
      <x:c r="L61" s="35"/>
      <x:c r="M61" s="8"/>
      <x:c r="N61" s="16"/>
      <x:c r="O61" s="8"/>
      <x:c r="P61" s="8"/>
      <x:c r="Q61" s="8"/>
      <x:c r="R61" s="10"/>
      <x:c r="S61" s="10"/>
      <x:c r="T61" s="8"/>
      <x:c r="U61" s="9" t="str">
        <x:f>IF(C61="","",IF(V61=0,"Criteria required",IF(OR(NOT(ISNUMBER(J61)),J61&lt;1900,J61&gt;YEAR(Settings!$F$8),IFERROR(MOD(J61,1),1)&lt;&gt;0,NOT(ISNUMBER(K61)),K61&lt;0,AND(H61="Internal criteria",OR(G61="Cement",G61="Building renovation"),OR(NOT(ISNUMBER(IFERROR(INDEX('Taxonomy Rules'!$G$9:$G$20,MATCH(H61&amp;"::"&amp;G61,'Taxonomy Rules'!$C$9:$C$20,0)),0))),IFERROR(INDEX('Taxonomy Rules'!$G$9:$G$20,MATCH(H61&amp;"::"&amp;G61,'Taxonomy Rules'!$C$9:$C$20,0)),0)&lt;=0,AND(G61="Building renovation",IFERROR(INDEX('Taxonomy Rules'!$G$9:$G$20,MATCH(H61&amp;"::"&amp;G61,'Taxonomy Rules'!$C$9:$C$20,0)),0)&gt;1)))),"Criteria required",IF(G61="Solar PV",IF(M61&lt;&gt;"Eligible activity","Criteria required",IF(K61=1,"Pass","Fail")),IF(G61="Cement",IF(M61="Amber",IF(H61="Jordan 2026",IF(YEAR(Settings!$F$8)&lt;2040,"Amber","Fail"),"Criteria required"),IF(M61&lt;&gt;"Green","Criteria required",IF(H61="Jordan 2026",IF(IFERROR(INDEX('Taxonomy Rules'!$P$9:$P$14,MATCH(J61,'Taxonomy Rules'!$O$9:$O$14,0)),0)=0,"Criteria required",IF(K61&lt;=IFERROR(INDEX('Taxonomy Rules'!$P$9:$P$14,MATCH(J61,'Taxonomy Rules'!$O$9:$O$14,0)),0),"Pass","Fail")),IF(K61&lt;=IFERROR(INDEX('Taxonomy Rules'!$G$9:$G$20,MATCH(H61&amp;"::"&amp;G61,'Taxonomy Rules'!$C$9:$C$20,0)),0),"Pass","Fail")))),IF(G61="Building renovation",IF(M61="Whole building",IF(K61=1,"Pass","Fail"),IF(M61&lt;&gt;"Improvement","Criteria required",IF(OR(K61&gt;1,NOT(ISNUMBER(L61)),L61&lt;0,L61&gt;1),"Criteria required",IF(MAX(K61,L61)&lt;IFERROR(INDEX('Taxonomy Rules'!$G$9:$G$20,MATCH(H61&amp;"::"&amp;G61,'Taxonomy Rules'!$C$9:$C$20,0)),0),"Fail",IF(H61="Jordan 2026",IF(YEAR(Settings!$F$8)&lt;2035,"Amber",IF(YEAR(Settings!$F$8)=2035,"Criteria required","Fail")),"Pass"))))),IF(G61="Road freight",IF(M61&lt;&gt;"Zero emissions","Criteria required",IF(AND(K61=0,ISNUMBER(L61),L61=0),"Pass","Fail")),IF(G61="New building",IF(NOT(OR(M61="Green",M61="Amber")),"Criteria required",IF(K61&lt;&gt;1,"Fail",IF(M61="Amber",IF(H61="Jordan 2026",IF(YEAR(Settings!$F$8)&lt;2030,"Amber",IF(YEAR(Settings!$F$8)=2030,"Criteria required","Fail")),"Criteria required"),"Pass"))),IF(G61="Building equipment",IF(M61&lt;&gt;"Equipment","Criteria required",IF(K61=1,"Pass","Fail")),"Criteria required")))))))))</x:f>
      </x:c>
      <x:c r="V61" s="9" t="str">
        <x:f>IF(C61="","",IFERROR(INDEX('Taxonomy Rules'!$J$9:$J$20,MATCH(H61&amp;"::"&amp;G61,'Taxonomy Rules'!$C$9:$C$20,0)),0))</x:f>
      </x:c>
      <x:c r="W61" s="9" t="str">
        <x:f>IF(C61="","",COUNTIFS('Taxonomy Tests'!$D$9:$D$2008,C61,'Taxonomy Tests'!$Q$9:$Q$2008,"Complete"))</x:f>
      </x:c>
      <x:c r="X61" s="9" t="str">
        <x:f>IF(C61="","",COUNTIFS('Taxonomy Tests'!$D$9:$D$2008,C61,'Taxonomy Tests'!$P$9:$P$2008,"Fail"))</x:f>
      </x:c>
      <x:c r="Y61" s="9" t="str">
        <x:f>IF(C61="","",MAX(0,V61-W61)+COUNTIFS('Taxonomy Tests'!$D$9:$D$2008,C61,'Taxonomy Tests'!$R$9:$R$2008,"Duplicate test")+COUNTIFS('Taxonomy Tests'!$D$9:$D$2008,C61,'Taxonomy Tests'!$R$9:$R$2008,"Unexpected test"))</x:f>
      </x:c>
      <x:c r="Z61" s="9" t="str">
        <x:f>IF(C61="","",IF(X61&gt;0,"Fail",IF(AND(V61&gt;0,W61=V61,Y61=0,COUNTIF('Taxonomy Tests'!$D$9:$D$2008,C61)=V61),"Pass","Pending")))</x:f>
      </x:c>
      <x:c r="AA61" s="9" t="str">
        <x:f>IF(C61="","",IF(COUNTIF(Facilities!$C$9:$C$108,D61)&lt;&gt;1,"Facility key",IF(OR(NOT(ISNUMBER(N61)),N61&lt;0),"Amount required",IF(SUMIF($D$9:$D$108,D61,$N$9:$N$108)&gt;IFERROR(INDEX('Facilities'!$AA$9:$AA$108,MATCH(D61,'Facilities'!$C$9:$C$108,0)),"")+0.000001,"Overallocated",IF(N61=0,"No allocation",IF(O61="","Evidence required","Valid"))))))</x:f>
      </x:c>
      <x:c r="AB61" s="3" t="str">
        <x:f>IF(C61="","",IF(OR(U61="Fail",Z61="Fail"),IF(H61="Jordan 2026","Red / not aligned","Not eligible"),IF(OR(U61="Criteria required",V61=0),"Criteria required",IF(Z61&lt;&gt;"Pass","Pending",IF(U61="Amber","Amber",IF(H61="Jordan 2026","Green","Eligible (internal)"))))))</x:f>
      </x:c>
      <x:c r="AC61" s="9" t="str">
        <x:f>IF(C61="","",IF(T61="Rejected","Rejected",IF(OR(AB61="Red / not aligned",AB61="Not eligible"),"Not eligible",IF(OR(AH61&lt;&gt;"Current",T61&lt;&gt;"Approved",Z61&lt;&gt;"Pass",(COUNTIFS('Actions'!$D$9:$D$308,E61,'Actions'!$E$9:$E$308,"E&amp;S",'Actions'!$F$9:$F$308,"Critical",'Actions'!$P$9:$P$308,"&lt;&gt;Closed",'Actions'!$C$9:$C$308,"&lt;&gt;")+COUNTIFS('Actions'!$D$9:$D$308,E61,'Actions'!$E$9:$E$308,"Taxonomy",'Actions'!$F$9:$F$308,"Critical",'Actions'!$P$9:$P$308,"&lt;&gt;Closed",'Actions'!$C$9:$C$308,"&lt;&gt;")+COUNTIFS('ESG'!$C$9:$C$108,E61,'ESG'!$H$9:$H$108,"Yes"))&gt;0,AND(AB61&lt;&gt;"Green",AB61&lt;&gt;"Amber",AB61&lt;&gt;"Eligible (internal)")),"Pending",IF(AA61="No allocation","Activity only",IF(AA61&lt;&gt;"Valid","Pending","Approved"))))))</x:f>
      </x:c>
      <x:c r="AD61" s="21" t="str">
        <x:f>IF(C61="","",IF(AND(AC61="Approved",OR(AB61="Green",AB61="Eligible (internal)")),N61,0))</x:f>
      </x:c>
      <x:c r="AE61" s="21" t="str">
        <x:f>IF(C61="","",IF(AND(AC61="Approved",AB61="Amber"),N61,0))</x:f>
      </x:c>
      <x:c r="AF61" s="9" t="str">
        <x:f>IF(C61="","",IF((COUNTIFS('Actions'!$D$9:$D$308,E61,'Actions'!$E$9:$E$308,"E&amp;S",'Actions'!$F$9:$F$308,"Critical",'Actions'!$P$9:$P$308,"&lt;&gt;Closed",'Actions'!$C$9:$C$308,"&lt;&gt;")+COUNTIFS('Actions'!$D$9:$D$308,E61,'Actions'!$E$9:$E$308,"Taxonomy",'Actions'!$F$9:$F$308,"Critical",'Actions'!$P$9:$P$308,"&lt;&gt;Closed",'Actions'!$C$9:$C$308,"&lt;&gt;")+COUNTIFS('ESG'!$C$9:$C$108,E61,'ESG'!$H$9:$H$108,"Yes"))&gt;0,"Resolve critical E&amp;S / taxonomy issue",IF(AH61&lt;&gt;"Current",AH61,IF(Z61&lt;&gt;"Pass","Review individual tests",IF(U61="Criteria required","Sourced criteria / interpretation required",IF(AA61&lt;&gt;"Valid",AA61,IF(T61&lt;&gt;"Approved","Approval required",I61)))))))</x:f>
      </x:c>
      <x:c r="AG61" s="9" t="str">
        <x:f>IF(C61="","",IFERROR(INDEX('Taxonomy Rules'!$L$9:$L$20,MATCH(H61&amp;"::"&amp;G61,'Taxonomy Rules'!$C$9:$C$20,0)),"Unimplemented activity"))</x:f>
      </x:c>
      <x:c r="AH61" s="9" t="str">
        <x:f>IF(C61="","",IF(COUNTIF($C$9:$C$108,C61)&lt;&gt;1,"Duplicate ID",IF(OR(COUNTIF(Facilities!$C$9:$C$108,D61)&lt;&gt;1,COUNTIF(Borrowers!$C$9:$C$108,E61)&lt;&gt;1),"Key review",IF(OR(P61="",Q61="",P61=Q61,NOT(ISNUMBER(R61)),NOT(ISNUMBER(S61)),R61&gt;Settings!$F$8,S61&lt;R61),"Review required",IF(S61&lt;Settings!$F$8,"Expired","Current")))))</x:f>
      </x:c>
    </x:row>
    <x:row r="62" ht="26" customHeight="1">
      <x:c r="A62" s="1"/>
      <x:c r="B62" s="1"/>
      <x:c r="C62" s="8"/>
      <x:c r="D62" s="8"/>
      <x:c r="E62" s="9" t="str">
        <x:f>IF(C62="","",IFERROR(INDEX('Facilities'!$D$9:$D$108,MATCH(D62,'Facilities'!$C$9:$C$108,0)),""))</x:f>
      </x:c>
      <x:c r="F62" s="9" t="str">
        <x:f>IF(C62="","",IFERROR(INDEX('Borrowers'!$E$9:$E$108,MATCH(E62,'Borrowers'!$C$9:$C$108,0)),""))</x:f>
      </x:c>
      <x:c r="G62" s="9" t="str">
        <x:f>IF(C62="","",IFERROR(INDEX('Facilities'!$W$9:$W$108,MATCH(D62,'Facilities'!$C$9:$C$108,0)),""))</x:f>
      </x:c>
      <x:c r="H62" s="9" t="str">
        <x:f>IF(C62="","",Settings!$F$11)</x:f>
      </x:c>
      <x:c r="I62" s="3" t="str">
        <x:f>IF(C62="","",IF(H62="Jordan 2026",IF(F62="Jordan","Jordan taxonomy","Reference benchmark"),"Internal policy"))</x:f>
      </x:c>
      <x:c r="J62" s="8"/>
      <x:c r="K62" s="35"/>
      <x:c r="L62" s="35"/>
      <x:c r="M62" s="8"/>
      <x:c r="N62" s="16"/>
      <x:c r="O62" s="8"/>
      <x:c r="P62" s="8"/>
      <x:c r="Q62" s="8"/>
      <x:c r="R62" s="10"/>
      <x:c r="S62" s="10"/>
      <x:c r="T62" s="8"/>
      <x:c r="U62" s="9" t="str">
        <x:f>IF(C62="","",IF(V62=0,"Criteria required",IF(OR(NOT(ISNUMBER(J62)),J62&lt;1900,J62&gt;YEAR(Settings!$F$8),IFERROR(MOD(J62,1),1)&lt;&gt;0,NOT(ISNUMBER(K62)),K62&lt;0,AND(H62="Internal criteria",OR(G62="Cement",G62="Building renovation"),OR(NOT(ISNUMBER(IFERROR(INDEX('Taxonomy Rules'!$G$9:$G$20,MATCH(H62&amp;"::"&amp;G62,'Taxonomy Rules'!$C$9:$C$20,0)),0))),IFERROR(INDEX('Taxonomy Rules'!$G$9:$G$20,MATCH(H62&amp;"::"&amp;G62,'Taxonomy Rules'!$C$9:$C$20,0)),0)&lt;=0,AND(G62="Building renovation",IFERROR(INDEX('Taxonomy Rules'!$G$9:$G$20,MATCH(H62&amp;"::"&amp;G62,'Taxonomy Rules'!$C$9:$C$20,0)),0)&gt;1)))),"Criteria required",IF(G62="Solar PV",IF(M62&lt;&gt;"Eligible activity","Criteria required",IF(K62=1,"Pass","Fail")),IF(G62="Cement",IF(M62="Amber",IF(H62="Jordan 2026",IF(YEAR(Settings!$F$8)&lt;2040,"Amber","Fail"),"Criteria required"),IF(M62&lt;&gt;"Green","Criteria required",IF(H62="Jordan 2026",IF(IFERROR(INDEX('Taxonomy Rules'!$P$9:$P$14,MATCH(J62,'Taxonomy Rules'!$O$9:$O$14,0)),0)=0,"Criteria required",IF(K62&lt;=IFERROR(INDEX('Taxonomy Rules'!$P$9:$P$14,MATCH(J62,'Taxonomy Rules'!$O$9:$O$14,0)),0),"Pass","Fail")),IF(K62&lt;=IFERROR(INDEX('Taxonomy Rules'!$G$9:$G$20,MATCH(H62&amp;"::"&amp;G62,'Taxonomy Rules'!$C$9:$C$20,0)),0),"Pass","Fail")))),IF(G62="Building renovation",IF(M62="Whole building",IF(K62=1,"Pass","Fail"),IF(M62&lt;&gt;"Improvement","Criteria required",IF(OR(K62&gt;1,NOT(ISNUMBER(L62)),L62&lt;0,L62&gt;1),"Criteria required",IF(MAX(K62,L62)&lt;IFERROR(INDEX('Taxonomy Rules'!$G$9:$G$20,MATCH(H62&amp;"::"&amp;G62,'Taxonomy Rules'!$C$9:$C$20,0)),0),"Fail",IF(H62="Jordan 2026",IF(YEAR(Settings!$F$8)&lt;2035,"Amber",IF(YEAR(Settings!$F$8)=2035,"Criteria required","Fail")),"Pass"))))),IF(G62="Road freight",IF(M62&lt;&gt;"Zero emissions","Criteria required",IF(AND(K62=0,ISNUMBER(L62),L62=0),"Pass","Fail")),IF(G62="New building",IF(NOT(OR(M62="Green",M62="Amber")),"Criteria required",IF(K62&lt;&gt;1,"Fail",IF(M62="Amber",IF(H62="Jordan 2026",IF(YEAR(Settings!$F$8)&lt;2030,"Amber",IF(YEAR(Settings!$F$8)=2030,"Criteria required","Fail")),"Criteria required"),"Pass"))),IF(G62="Building equipment",IF(M62&lt;&gt;"Equipment","Criteria required",IF(K62=1,"Pass","Fail")),"Criteria required")))))))))</x:f>
      </x:c>
      <x:c r="V62" s="9" t="str">
        <x:f>IF(C62="","",IFERROR(INDEX('Taxonomy Rules'!$J$9:$J$20,MATCH(H62&amp;"::"&amp;G62,'Taxonomy Rules'!$C$9:$C$20,0)),0))</x:f>
      </x:c>
      <x:c r="W62" s="9" t="str">
        <x:f>IF(C62="","",COUNTIFS('Taxonomy Tests'!$D$9:$D$2008,C62,'Taxonomy Tests'!$Q$9:$Q$2008,"Complete"))</x:f>
      </x:c>
      <x:c r="X62" s="9" t="str">
        <x:f>IF(C62="","",COUNTIFS('Taxonomy Tests'!$D$9:$D$2008,C62,'Taxonomy Tests'!$P$9:$P$2008,"Fail"))</x:f>
      </x:c>
      <x:c r="Y62" s="9" t="str">
        <x:f>IF(C62="","",MAX(0,V62-W62)+COUNTIFS('Taxonomy Tests'!$D$9:$D$2008,C62,'Taxonomy Tests'!$R$9:$R$2008,"Duplicate test")+COUNTIFS('Taxonomy Tests'!$D$9:$D$2008,C62,'Taxonomy Tests'!$R$9:$R$2008,"Unexpected test"))</x:f>
      </x:c>
      <x:c r="Z62" s="9" t="str">
        <x:f>IF(C62="","",IF(X62&gt;0,"Fail",IF(AND(V62&gt;0,W62=V62,Y62=0,COUNTIF('Taxonomy Tests'!$D$9:$D$2008,C62)=V62),"Pass","Pending")))</x:f>
      </x:c>
      <x:c r="AA62" s="9" t="str">
        <x:f>IF(C62="","",IF(COUNTIF(Facilities!$C$9:$C$108,D62)&lt;&gt;1,"Facility key",IF(OR(NOT(ISNUMBER(N62)),N62&lt;0),"Amount required",IF(SUMIF($D$9:$D$108,D62,$N$9:$N$108)&gt;IFERROR(INDEX('Facilities'!$AA$9:$AA$108,MATCH(D62,'Facilities'!$C$9:$C$108,0)),"")+0.000001,"Overallocated",IF(N62=0,"No allocation",IF(O62="","Evidence required","Valid"))))))</x:f>
      </x:c>
      <x:c r="AB62" s="3" t="str">
        <x:f>IF(C62="","",IF(OR(U62="Fail",Z62="Fail"),IF(H62="Jordan 2026","Red / not aligned","Not eligible"),IF(OR(U62="Criteria required",V62=0),"Criteria required",IF(Z62&lt;&gt;"Pass","Pending",IF(U62="Amber","Amber",IF(H62="Jordan 2026","Green","Eligible (internal)"))))))</x:f>
      </x:c>
      <x:c r="AC62" s="9" t="str">
        <x:f>IF(C62="","",IF(T62="Rejected","Rejected",IF(OR(AB62="Red / not aligned",AB62="Not eligible"),"Not eligible",IF(OR(AH62&lt;&gt;"Current",T62&lt;&gt;"Approved",Z62&lt;&gt;"Pass",(COUNTIFS('Actions'!$D$9:$D$308,E62,'Actions'!$E$9:$E$308,"E&amp;S",'Actions'!$F$9:$F$308,"Critical",'Actions'!$P$9:$P$308,"&lt;&gt;Closed",'Actions'!$C$9:$C$308,"&lt;&gt;")+COUNTIFS('Actions'!$D$9:$D$308,E62,'Actions'!$E$9:$E$308,"Taxonomy",'Actions'!$F$9:$F$308,"Critical",'Actions'!$P$9:$P$308,"&lt;&gt;Closed",'Actions'!$C$9:$C$308,"&lt;&gt;")+COUNTIFS('ESG'!$C$9:$C$108,E62,'ESG'!$H$9:$H$108,"Yes"))&gt;0,AND(AB62&lt;&gt;"Green",AB62&lt;&gt;"Amber",AB62&lt;&gt;"Eligible (internal)")),"Pending",IF(AA62="No allocation","Activity only",IF(AA62&lt;&gt;"Valid","Pending","Approved"))))))</x:f>
      </x:c>
      <x:c r="AD62" s="21" t="str">
        <x:f>IF(C62="","",IF(AND(AC62="Approved",OR(AB62="Green",AB62="Eligible (internal)")),N62,0))</x:f>
      </x:c>
      <x:c r="AE62" s="21" t="str">
        <x:f>IF(C62="","",IF(AND(AC62="Approved",AB62="Amber"),N62,0))</x:f>
      </x:c>
      <x:c r="AF62" s="9" t="str">
        <x:f>IF(C62="","",IF((COUNTIFS('Actions'!$D$9:$D$308,E62,'Actions'!$E$9:$E$308,"E&amp;S",'Actions'!$F$9:$F$308,"Critical",'Actions'!$P$9:$P$308,"&lt;&gt;Closed",'Actions'!$C$9:$C$308,"&lt;&gt;")+COUNTIFS('Actions'!$D$9:$D$308,E62,'Actions'!$E$9:$E$308,"Taxonomy",'Actions'!$F$9:$F$308,"Critical",'Actions'!$P$9:$P$308,"&lt;&gt;Closed",'Actions'!$C$9:$C$308,"&lt;&gt;")+COUNTIFS('ESG'!$C$9:$C$108,E62,'ESG'!$H$9:$H$108,"Yes"))&gt;0,"Resolve critical E&amp;S / taxonomy issue",IF(AH62&lt;&gt;"Current",AH62,IF(Z62&lt;&gt;"Pass","Review individual tests",IF(U62="Criteria required","Sourced criteria / interpretation required",IF(AA62&lt;&gt;"Valid",AA62,IF(T62&lt;&gt;"Approved","Approval required",I62)))))))</x:f>
      </x:c>
      <x:c r="AG62" s="9" t="str">
        <x:f>IF(C62="","",IFERROR(INDEX('Taxonomy Rules'!$L$9:$L$20,MATCH(H62&amp;"::"&amp;G62,'Taxonomy Rules'!$C$9:$C$20,0)),"Unimplemented activity"))</x:f>
      </x:c>
      <x:c r="AH62" s="9" t="str">
        <x:f>IF(C62="","",IF(COUNTIF($C$9:$C$108,C62)&lt;&gt;1,"Duplicate ID",IF(OR(COUNTIF(Facilities!$C$9:$C$108,D62)&lt;&gt;1,COUNTIF(Borrowers!$C$9:$C$108,E62)&lt;&gt;1),"Key review",IF(OR(P62="",Q62="",P62=Q62,NOT(ISNUMBER(R62)),NOT(ISNUMBER(S62)),R62&gt;Settings!$F$8,S62&lt;R62),"Review required",IF(S62&lt;Settings!$F$8,"Expired","Current")))))</x:f>
      </x:c>
    </x:row>
    <x:row r="63" ht="26" customHeight="1">
      <x:c r="A63" s="1"/>
      <x:c r="B63" s="1"/>
      <x:c r="C63" s="8"/>
      <x:c r="D63" s="8"/>
      <x:c r="E63" s="9" t="str">
        <x:f>IF(C63="","",IFERROR(INDEX('Facilities'!$D$9:$D$108,MATCH(D63,'Facilities'!$C$9:$C$108,0)),""))</x:f>
      </x:c>
      <x:c r="F63" s="9" t="str">
        <x:f>IF(C63="","",IFERROR(INDEX('Borrowers'!$E$9:$E$108,MATCH(E63,'Borrowers'!$C$9:$C$108,0)),""))</x:f>
      </x:c>
      <x:c r="G63" s="9" t="str">
        <x:f>IF(C63="","",IFERROR(INDEX('Facilities'!$W$9:$W$108,MATCH(D63,'Facilities'!$C$9:$C$108,0)),""))</x:f>
      </x:c>
      <x:c r="H63" s="9" t="str">
        <x:f>IF(C63="","",Settings!$F$11)</x:f>
      </x:c>
      <x:c r="I63" s="3" t="str">
        <x:f>IF(C63="","",IF(H63="Jordan 2026",IF(F63="Jordan","Jordan taxonomy","Reference benchmark"),"Internal policy"))</x:f>
      </x:c>
      <x:c r="J63" s="8"/>
      <x:c r="K63" s="35"/>
      <x:c r="L63" s="35"/>
      <x:c r="M63" s="8"/>
      <x:c r="N63" s="16"/>
      <x:c r="O63" s="8"/>
      <x:c r="P63" s="8"/>
      <x:c r="Q63" s="8"/>
      <x:c r="R63" s="10"/>
      <x:c r="S63" s="10"/>
      <x:c r="T63" s="8"/>
      <x:c r="U63" s="9" t="str">
        <x:f>IF(C63="","",IF(V63=0,"Criteria required",IF(OR(NOT(ISNUMBER(J63)),J63&lt;1900,J63&gt;YEAR(Settings!$F$8),IFERROR(MOD(J63,1),1)&lt;&gt;0,NOT(ISNUMBER(K63)),K63&lt;0,AND(H63="Internal criteria",OR(G63="Cement",G63="Building renovation"),OR(NOT(ISNUMBER(IFERROR(INDEX('Taxonomy Rules'!$G$9:$G$20,MATCH(H63&amp;"::"&amp;G63,'Taxonomy Rules'!$C$9:$C$20,0)),0))),IFERROR(INDEX('Taxonomy Rules'!$G$9:$G$20,MATCH(H63&amp;"::"&amp;G63,'Taxonomy Rules'!$C$9:$C$20,0)),0)&lt;=0,AND(G63="Building renovation",IFERROR(INDEX('Taxonomy Rules'!$G$9:$G$20,MATCH(H63&amp;"::"&amp;G63,'Taxonomy Rules'!$C$9:$C$20,0)),0)&gt;1)))),"Criteria required",IF(G63="Solar PV",IF(M63&lt;&gt;"Eligible activity","Criteria required",IF(K63=1,"Pass","Fail")),IF(G63="Cement",IF(M63="Amber",IF(H63="Jordan 2026",IF(YEAR(Settings!$F$8)&lt;2040,"Amber","Fail"),"Criteria required"),IF(M63&lt;&gt;"Green","Criteria required",IF(H63="Jordan 2026",IF(IFERROR(INDEX('Taxonomy Rules'!$P$9:$P$14,MATCH(J63,'Taxonomy Rules'!$O$9:$O$14,0)),0)=0,"Criteria required",IF(K63&lt;=IFERROR(INDEX('Taxonomy Rules'!$P$9:$P$14,MATCH(J63,'Taxonomy Rules'!$O$9:$O$14,0)),0),"Pass","Fail")),IF(K63&lt;=IFERROR(INDEX('Taxonomy Rules'!$G$9:$G$20,MATCH(H63&amp;"::"&amp;G63,'Taxonomy Rules'!$C$9:$C$20,0)),0),"Pass","Fail")))),IF(G63="Building renovation",IF(M63="Whole building",IF(K63=1,"Pass","Fail"),IF(M63&lt;&gt;"Improvement","Criteria required",IF(OR(K63&gt;1,NOT(ISNUMBER(L63)),L63&lt;0,L63&gt;1),"Criteria required",IF(MAX(K63,L63)&lt;IFERROR(INDEX('Taxonomy Rules'!$G$9:$G$20,MATCH(H63&amp;"::"&amp;G63,'Taxonomy Rules'!$C$9:$C$20,0)),0),"Fail",IF(H63="Jordan 2026",IF(YEAR(Settings!$F$8)&lt;2035,"Amber",IF(YEAR(Settings!$F$8)=2035,"Criteria required","Fail")),"Pass"))))),IF(G63="Road freight",IF(M63&lt;&gt;"Zero emissions","Criteria required",IF(AND(K63=0,ISNUMBER(L63),L63=0),"Pass","Fail")),IF(G63="New building",IF(NOT(OR(M63="Green",M63="Amber")),"Criteria required",IF(K63&lt;&gt;1,"Fail",IF(M63="Amber",IF(H63="Jordan 2026",IF(YEAR(Settings!$F$8)&lt;2030,"Amber",IF(YEAR(Settings!$F$8)=2030,"Criteria required","Fail")),"Criteria required"),"Pass"))),IF(G63="Building equipment",IF(M63&lt;&gt;"Equipment","Criteria required",IF(K63=1,"Pass","Fail")),"Criteria required")))))))))</x:f>
      </x:c>
      <x:c r="V63" s="9" t="str">
        <x:f>IF(C63="","",IFERROR(INDEX('Taxonomy Rules'!$J$9:$J$20,MATCH(H63&amp;"::"&amp;G63,'Taxonomy Rules'!$C$9:$C$20,0)),0))</x:f>
      </x:c>
      <x:c r="W63" s="9" t="str">
        <x:f>IF(C63="","",COUNTIFS('Taxonomy Tests'!$D$9:$D$2008,C63,'Taxonomy Tests'!$Q$9:$Q$2008,"Complete"))</x:f>
      </x:c>
      <x:c r="X63" s="9" t="str">
        <x:f>IF(C63="","",COUNTIFS('Taxonomy Tests'!$D$9:$D$2008,C63,'Taxonomy Tests'!$P$9:$P$2008,"Fail"))</x:f>
      </x:c>
      <x:c r="Y63" s="9" t="str">
        <x:f>IF(C63="","",MAX(0,V63-W63)+COUNTIFS('Taxonomy Tests'!$D$9:$D$2008,C63,'Taxonomy Tests'!$R$9:$R$2008,"Duplicate test")+COUNTIFS('Taxonomy Tests'!$D$9:$D$2008,C63,'Taxonomy Tests'!$R$9:$R$2008,"Unexpected test"))</x:f>
      </x:c>
      <x:c r="Z63" s="9" t="str">
        <x:f>IF(C63="","",IF(X63&gt;0,"Fail",IF(AND(V63&gt;0,W63=V63,Y63=0,COUNTIF('Taxonomy Tests'!$D$9:$D$2008,C63)=V63),"Pass","Pending")))</x:f>
      </x:c>
      <x:c r="AA63" s="9" t="str">
        <x:f>IF(C63="","",IF(COUNTIF(Facilities!$C$9:$C$108,D63)&lt;&gt;1,"Facility key",IF(OR(NOT(ISNUMBER(N63)),N63&lt;0),"Amount required",IF(SUMIF($D$9:$D$108,D63,$N$9:$N$108)&gt;IFERROR(INDEX('Facilities'!$AA$9:$AA$108,MATCH(D63,'Facilities'!$C$9:$C$108,0)),"")+0.000001,"Overallocated",IF(N63=0,"No allocation",IF(O63="","Evidence required","Valid"))))))</x:f>
      </x:c>
      <x:c r="AB63" s="3" t="str">
        <x:f>IF(C63="","",IF(OR(U63="Fail",Z63="Fail"),IF(H63="Jordan 2026","Red / not aligned","Not eligible"),IF(OR(U63="Criteria required",V63=0),"Criteria required",IF(Z63&lt;&gt;"Pass","Pending",IF(U63="Amber","Amber",IF(H63="Jordan 2026","Green","Eligible (internal)"))))))</x:f>
      </x:c>
      <x:c r="AC63" s="9" t="str">
        <x:f>IF(C63="","",IF(T63="Rejected","Rejected",IF(OR(AB63="Red / not aligned",AB63="Not eligible"),"Not eligible",IF(OR(AH63&lt;&gt;"Current",T63&lt;&gt;"Approved",Z63&lt;&gt;"Pass",(COUNTIFS('Actions'!$D$9:$D$308,E63,'Actions'!$E$9:$E$308,"E&amp;S",'Actions'!$F$9:$F$308,"Critical",'Actions'!$P$9:$P$308,"&lt;&gt;Closed",'Actions'!$C$9:$C$308,"&lt;&gt;")+COUNTIFS('Actions'!$D$9:$D$308,E63,'Actions'!$E$9:$E$308,"Taxonomy",'Actions'!$F$9:$F$308,"Critical",'Actions'!$P$9:$P$308,"&lt;&gt;Closed",'Actions'!$C$9:$C$308,"&lt;&gt;")+COUNTIFS('ESG'!$C$9:$C$108,E63,'ESG'!$H$9:$H$108,"Yes"))&gt;0,AND(AB63&lt;&gt;"Green",AB63&lt;&gt;"Amber",AB63&lt;&gt;"Eligible (internal)")),"Pending",IF(AA63="No allocation","Activity only",IF(AA63&lt;&gt;"Valid","Pending","Approved"))))))</x:f>
      </x:c>
      <x:c r="AD63" s="21" t="str">
        <x:f>IF(C63="","",IF(AND(AC63="Approved",OR(AB63="Green",AB63="Eligible (internal)")),N63,0))</x:f>
      </x:c>
      <x:c r="AE63" s="21" t="str">
        <x:f>IF(C63="","",IF(AND(AC63="Approved",AB63="Amber"),N63,0))</x:f>
      </x:c>
      <x:c r="AF63" s="9" t="str">
        <x:f>IF(C63="","",IF((COUNTIFS('Actions'!$D$9:$D$308,E63,'Actions'!$E$9:$E$308,"E&amp;S",'Actions'!$F$9:$F$308,"Critical",'Actions'!$P$9:$P$308,"&lt;&gt;Closed",'Actions'!$C$9:$C$308,"&lt;&gt;")+COUNTIFS('Actions'!$D$9:$D$308,E63,'Actions'!$E$9:$E$308,"Taxonomy",'Actions'!$F$9:$F$308,"Critical",'Actions'!$P$9:$P$308,"&lt;&gt;Closed",'Actions'!$C$9:$C$308,"&lt;&gt;")+COUNTIFS('ESG'!$C$9:$C$108,E63,'ESG'!$H$9:$H$108,"Yes"))&gt;0,"Resolve critical E&amp;S / taxonomy issue",IF(AH63&lt;&gt;"Current",AH63,IF(Z63&lt;&gt;"Pass","Review individual tests",IF(U63="Criteria required","Sourced criteria / interpretation required",IF(AA63&lt;&gt;"Valid",AA63,IF(T63&lt;&gt;"Approved","Approval required",I63)))))))</x:f>
      </x:c>
      <x:c r="AG63" s="9" t="str">
        <x:f>IF(C63="","",IFERROR(INDEX('Taxonomy Rules'!$L$9:$L$20,MATCH(H63&amp;"::"&amp;G63,'Taxonomy Rules'!$C$9:$C$20,0)),"Unimplemented activity"))</x:f>
      </x:c>
      <x:c r="AH63" s="9" t="str">
        <x:f>IF(C63="","",IF(COUNTIF($C$9:$C$108,C63)&lt;&gt;1,"Duplicate ID",IF(OR(COUNTIF(Facilities!$C$9:$C$108,D63)&lt;&gt;1,COUNTIF(Borrowers!$C$9:$C$108,E63)&lt;&gt;1),"Key review",IF(OR(P63="",Q63="",P63=Q63,NOT(ISNUMBER(R63)),NOT(ISNUMBER(S63)),R63&gt;Settings!$F$8,S63&lt;R63),"Review required",IF(S63&lt;Settings!$F$8,"Expired","Current")))))</x:f>
      </x:c>
    </x:row>
    <x:row r="64" ht="26" customHeight="1">
      <x:c r="A64" s="1"/>
      <x:c r="B64" s="1"/>
      <x:c r="C64" s="8"/>
      <x:c r="D64" s="8"/>
      <x:c r="E64" s="9" t="str">
        <x:f>IF(C64="","",IFERROR(INDEX('Facilities'!$D$9:$D$108,MATCH(D64,'Facilities'!$C$9:$C$108,0)),""))</x:f>
      </x:c>
      <x:c r="F64" s="9" t="str">
        <x:f>IF(C64="","",IFERROR(INDEX('Borrowers'!$E$9:$E$108,MATCH(E64,'Borrowers'!$C$9:$C$108,0)),""))</x:f>
      </x:c>
      <x:c r="G64" s="9" t="str">
        <x:f>IF(C64="","",IFERROR(INDEX('Facilities'!$W$9:$W$108,MATCH(D64,'Facilities'!$C$9:$C$108,0)),""))</x:f>
      </x:c>
      <x:c r="H64" s="9" t="str">
        <x:f>IF(C64="","",Settings!$F$11)</x:f>
      </x:c>
      <x:c r="I64" s="3" t="str">
        <x:f>IF(C64="","",IF(H64="Jordan 2026",IF(F64="Jordan","Jordan taxonomy","Reference benchmark"),"Internal policy"))</x:f>
      </x:c>
      <x:c r="J64" s="8"/>
      <x:c r="K64" s="35"/>
      <x:c r="L64" s="35"/>
      <x:c r="M64" s="8"/>
      <x:c r="N64" s="16"/>
      <x:c r="O64" s="8"/>
      <x:c r="P64" s="8"/>
      <x:c r="Q64" s="8"/>
      <x:c r="R64" s="10"/>
      <x:c r="S64" s="10"/>
      <x:c r="T64" s="8"/>
      <x:c r="U64" s="9" t="str">
        <x:f>IF(C64="","",IF(V64=0,"Criteria required",IF(OR(NOT(ISNUMBER(J64)),J64&lt;1900,J64&gt;YEAR(Settings!$F$8),IFERROR(MOD(J64,1),1)&lt;&gt;0,NOT(ISNUMBER(K64)),K64&lt;0,AND(H64="Internal criteria",OR(G64="Cement",G64="Building renovation"),OR(NOT(ISNUMBER(IFERROR(INDEX('Taxonomy Rules'!$G$9:$G$20,MATCH(H64&amp;"::"&amp;G64,'Taxonomy Rules'!$C$9:$C$20,0)),0))),IFERROR(INDEX('Taxonomy Rules'!$G$9:$G$20,MATCH(H64&amp;"::"&amp;G64,'Taxonomy Rules'!$C$9:$C$20,0)),0)&lt;=0,AND(G64="Building renovation",IFERROR(INDEX('Taxonomy Rules'!$G$9:$G$20,MATCH(H64&amp;"::"&amp;G64,'Taxonomy Rules'!$C$9:$C$20,0)),0)&gt;1)))),"Criteria required",IF(G64="Solar PV",IF(M64&lt;&gt;"Eligible activity","Criteria required",IF(K64=1,"Pass","Fail")),IF(G64="Cement",IF(M64="Amber",IF(H64="Jordan 2026",IF(YEAR(Settings!$F$8)&lt;2040,"Amber","Fail"),"Criteria required"),IF(M64&lt;&gt;"Green","Criteria required",IF(H64="Jordan 2026",IF(IFERROR(INDEX('Taxonomy Rules'!$P$9:$P$14,MATCH(J64,'Taxonomy Rules'!$O$9:$O$14,0)),0)=0,"Criteria required",IF(K64&lt;=IFERROR(INDEX('Taxonomy Rules'!$P$9:$P$14,MATCH(J64,'Taxonomy Rules'!$O$9:$O$14,0)),0),"Pass","Fail")),IF(K64&lt;=IFERROR(INDEX('Taxonomy Rules'!$G$9:$G$20,MATCH(H64&amp;"::"&amp;G64,'Taxonomy Rules'!$C$9:$C$20,0)),0),"Pass","Fail")))),IF(G64="Building renovation",IF(M64="Whole building",IF(K64=1,"Pass","Fail"),IF(M64&lt;&gt;"Improvement","Criteria required",IF(OR(K64&gt;1,NOT(ISNUMBER(L64)),L64&lt;0,L64&gt;1),"Criteria required",IF(MAX(K64,L64)&lt;IFERROR(INDEX('Taxonomy Rules'!$G$9:$G$20,MATCH(H64&amp;"::"&amp;G64,'Taxonomy Rules'!$C$9:$C$20,0)),0),"Fail",IF(H64="Jordan 2026",IF(YEAR(Settings!$F$8)&lt;2035,"Amber",IF(YEAR(Settings!$F$8)=2035,"Criteria required","Fail")),"Pass"))))),IF(G64="Road freight",IF(M64&lt;&gt;"Zero emissions","Criteria required",IF(AND(K64=0,ISNUMBER(L64),L64=0),"Pass","Fail")),IF(G64="New building",IF(NOT(OR(M64="Green",M64="Amber")),"Criteria required",IF(K64&lt;&gt;1,"Fail",IF(M64="Amber",IF(H64="Jordan 2026",IF(YEAR(Settings!$F$8)&lt;2030,"Amber",IF(YEAR(Settings!$F$8)=2030,"Criteria required","Fail")),"Criteria required"),"Pass"))),IF(G64="Building equipment",IF(M64&lt;&gt;"Equipment","Criteria required",IF(K64=1,"Pass","Fail")),"Criteria required")))))))))</x:f>
      </x:c>
      <x:c r="V64" s="9" t="str">
        <x:f>IF(C64="","",IFERROR(INDEX('Taxonomy Rules'!$J$9:$J$20,MATCH(H64&amp;"::"&amp;G64,'Taxonomy Rules'!$C$9:$C$20,0)),0))</x:f>
      </x:c>
      <x:c r="W64" s="9" t="str">
        <x:f>IF(C64="","",COUNTIFS('Taxonomy Tests'!$D$9:$D$2008,C64,'Taxonomy Tests'!$Q$9:$Q$2008,"Complete"))</x:f>
      </x:c>
      <x:c r="X64" s="9" t="str">
        <x:f>IF(C64="","",COUNTIFS('Taxonomy Tests'!$D$9:$D$2008,C64,'Taxonomy Tests'!$P$9:$P$2008,"Fail"))</x:f>
      </x:c>
      <x:c r="Y64" s="9" t="str">
        <x:f>IF(C64="","",MAX(0,V64-W64)+COUNTIFS('Taxonomy Tests'!$D$9:$D$2008,C64,'Taxonomy Tests'!$R$9:$R$2008,"Duplicate test")+COUNTIFS('Taxonomy Tests'!$D$9:$D$2008,C64,'Taxonomy Tests'!$R$9:$R$2008,"Unexpected test"))</x:f>
      </x:c>
      <x:c r="Z64" s="9" t="str">
        <x:f>IF(C64="","",IF(X64&gt;0,"Fail",IF(AND(V64&gt;0,W64=V64,Y64=0,COUNTIF('Taxonomy Tests'!$D$9:$D$2008,C64)=V64),"Pass","Pending")))</x:f>
      </x:c>
      <x:c r="AA64" s="9" t="str">
        <x:f>IF(C64="","",IF(COUNTIF(Facilities!$C$9:$C$108,D64)&lt;&gt;1,"Facility key",IF(OR(NOT(ISNUMBER(N64)),N64&lt;0),"Amount required",IF(SUMIF($D$9:$D$108,D64,$N$9:$N$108)&gt;IFERROR(INDEX('Facilities'!$AA$9:$AA$108,MATCH(D64,'Facilities'!$C$9:$C$108,0)),"")+0.000001,"Overallocated",IF(N64=0,"No allocation",IF(O64="","Evidence required","Valid"))))))</x:f>
      </x:c>
      <x:c r="AB64" s="3" t="str">
        <x:f>IF(C64="","",IF(OR(U64="Fail",Z64="Fail"),IF(H64="Jordan 2026","Red / not aligned","Not eligible"),IF(OR(U64="Criteria required",V64=0),"Criteria required",IF(Z64&lt;&gt;"Pass","Pending",IF(U64="Amber","Amber",IF(H64="Jordan 2026","Green","Eligible (internal)"))))))</x:f>
      </x:c>
      <x:c r="AC64" s="9" t="str">
        <x:f>IF(C64="","",IF(T64="Rejected","Rejected",IF(OR(AB64="Red / not aligned",AB64="Not eligible"),"Not eligible",IF(OR(AH64&lt;&gt;"Current",T64&lt;&gt;"Approved",Z64&lt;&gt;"Pass",(COUNTIFS('Actions'!$D$9:$D$308,E64,'Actions'!$E$9:$E$308,"E&amp;S",'Actions'!$F$9:$F$308,"Critical",'Actions'!$P$9:$P$308,"&lt;&gt;Closed",'Actions'!$C$9:$C$308,"&lt;&gt;")+COUNTIFS('Actions'!$D$9:$D$308,E64,'Actions'!$E$9:$E$308,"Taxonomy",'Actions'!$F$9:$F$308,"Critical",'Actions'!$P$9:$P$308,"&lt;&gt;Closed",'Actions'!$C$9:$C$308,"&lt;&gt;")+COUNTIFS('ESG'!$C$9:$C$108,E64,'ESG'!$H$9:$H$108,"Yes"))&gt;0,AND(AB64&lt;&gt;"Green",AB64&lt;&gt;"Amber",AB64&lt;&gt;"Eligible (internal)")),"Pending",IF(AA64="No allocation","Activity only",IF(AA64&lt;&gt;"Valid","Pending","Approved"))))))</x:f>
      </x:c>
      <x:c r="AD64" s="21" t="str">
        <x:f>IF(C64="","",IF(AND(AC64="Approved",OR(AB64="Green",AB64="Eligible (internal)")),N64,0))</x:f>
      </x:c>
      <x:c r="AE64" s="21" t="str">
        <x:f>IF(C64="","",IF(AND(AC64="Approved",AB64="Amber"),N64,0))</x:f>
      </x:c>
      <x:c r="AF64" s="9" t="str">
        <x:f>IF(C64="","",IF((COUNTIFS('Actions'!$D$9:$D$308,E64,'Actions'!$E$9:$E$308,"E&amp;S",'Actions'!$F$9:$F$308,"Critical",'Actions'!$P$9:$P$308,"&lt;&gt;Closed",'Actions'!$C$9:$C$308,"&lt;&gt;")+COUNTIFS('Actions'!$D$9:$D$308,E64,'Actions'!$E$9:$E$308,"Taxonomy",'Actions'!$F$9:$F$308,"Critical",'Actions'!$P$9:$P$308,"&lt;&gt;Closed",'Actions'!$C$9:$C$308,"&lt;&gt;")+COUNTIFS('ESG'!$C$9:$C$108,E64,'ESG'!$H$9:$H$108,"Yes"))&gt;0,"Resolve critical E&amp;S / taxonomy issue",IF(AH64&lt;&gt;"Current",AH64,IF(Z64&lt;&gt;"Pass","Review individual tests",IF(U64="Criteria required","Sourced criteria / interpretation required",IF(AA64&lt;&gt;"Valid",AA64,IF(T64&lt;&gt;"Approved","Approval required",I64)))))))</x:f>
      </x:c>
      <x:c r="AG64" s="9" t="str">
        <x:f>IF(C64="","",IFERROR(INDEX('Taxonomy Rules'!$L$9:$L$20,MATCH(H64&amp;"::"&amp;G64,'Taxonomy Rules'!$C$9:$C$20,0)),"Unimplemented activity"))</x:f>
      </x:c>
      <x:c r="AH64" s="9" t="str">
        <x:f>IF(C64="","",IF(COUNTIF($C$9:$C$108,C64)&lt;&gt;1,"Duplicate ID",IF(OR(COUNTIF(Facilities!$C$9:$C$108,D64)&lt;&gt;1,COUNTIF(Borrowers!$C$9:$C$108,E64)&lt;&gt;1),"Key review",IF(OR(P64="",Q64="",P64=Q64,NOT(ISNUMBER(R64)),NOT(ISNUMBER(S64)),R64&gt;Settings!$F$8,S64&lt;R64),"Review required",IF(S64&lt;Settings!$F$8,"Expired","Current")))))</x:f>
      </x:c>
    </x:row>
    <x:row r="65" ht="26" customHeight="1">
      <x:c r="A65" s="1"/>
      <x:c r="B65" s="1"/>
      <x:c r="C65" s="8"/>
      <x:c r="D65" s="8"/>
      <x:c r="E65" s="9" t="str">
        <x:f>IF(C65="","",IFERROR(INDEX('Facilities'!$D$9:$D$108,MATCH(D65,'Facilities'!$C$9:$C$108,0)),""))</x:f>
      </x:c>
      <x:c r="F65" s="9" t="str">
        <x:f>IF(C65="","",IFERROR(INDEX('Borrowers'!$E$9:$E$108,MATCH(E65,'Borrowers'!$C$9:$C$108,0)),""))</x:f>
      </x:c>
      <x:c r="G65" s="9" t="str">
        <x:f>IF(C65="","",IFERROR(INDEX('Facilities'!$W$9:$W$108,MATCH(D65,'Facilities'!$C$9:$C$108,0)),""))</x:f>
      </x:c>
      <x:c r="H65" s="9" t="str">
        <x:f>IF(C65="","",Settings!$F$11)</x:f>
      </x:c>
      <x:c r="I65" s="3" t="str">
        <x:f>IF(C65="","",IF(H65="Jordan 2026",IF(F65="Jordan","Jordan taxonomy","Reference benchmark"),"Internal policy"))</x:f>
      </x:c>
      <x:c r="J65" s="8"/>
      <x:c r="K65" s="35"/>
      <x:c r="L65" s="35"/>
      <x:c r="M65" s="8"/>
      <x:c r="N65" s="16"/>
      <x:c r="O65" s="8"/>
      <x:c r="P65" s="8"/>
      <x:c r="Q65" s="8"/>
      <x:c r="R65" s="10"/>
      <x:c r="S65" s="10"/>
      <x:c r="T65" s="8"/>
      <x:c r="U65" s="9" t="str">
        <x:f>IF(C65="","",IF(V65=0,"Criteria required",IF(OR(NOT(ISNUMBER(J65)),J65&lt;1900,J65&gt;YEAR(Settings!$F$8),IFERROR(MOD(J65,1),1)&lt;&gt;0,NOT(ISNUMBER(K65)),K65&lt;0,AND(H65="Internal criteria",OR(G65="Cement",G65="Building renovation"),OR(NOT(ISNUMBER(IFERROR(INDEX('Taxonomy Rules'!$G$9:$G$20,MATCH(H65&amp;"::"&amp;G65,'Taxonomy Rules'!$C$9:$C$20,0)),0))),IFERROR(INDEX('Taxonomy Rules'!$G$9:$G$20,MATCH(H65&amp;"::"&amp;G65,'Taxonomy Rules'!$C$9:$C$20,0)),0)&lt;=0,AND(G65="Building renovation",IFERROR(INDEX('Taxonomy Rules'!$G$9:$G$20,MATCH(H65&amp;"::"&amp;G65,'Taxonomy Rules'!$C$9:$C$20,0)),0)&gt;1)))),"Criteria required",IF(G65="Solar PV",IF(M65&lt;&gt;"Eligible activity","Criteria required",IF(K65=1,"Pass","Fail")),IF(G65="Cement",IF(M65="Amber",IF(H65="Jordan 2026",IF(YEAR(Settings!$F$8)&lt;2040,"Amber","Fail"),"Criteria required"),IF(M65&lt;&gt;"Green","Criteria required",IF(H65="Jordan 2026",IF(IFERROR(INDEX('Taxonomy Rules'!$P$9:$P$14,MATCH(J65,'Taxonomy Rules'!$O$9:$O$14,0)),0)=0,"Criteria required",IF(K65&lt;=IFERROR(INDEX('Taxonomy Rules'!$P$9:$P$14,MATCH(J65,'Taxonomy Rules'!$O$9:$O$14,0)),0),"Pass","Fail")),IF(K65&lt;=IFERROR(INDEX('Taxonomy Rules'!$G$9:$G$20,MATCH(H65&amp;"::"&amp;G65,'Taxonomy Rules'!$C$9:$C$20,0)),0),"Pass","Fail")))),IF(G65="Building renovation",IF(M65="Whole building",IF(K65=1,"Pass","Fail"),IF(M65&lt;&gt;"Improvement","Criteria required",IF(OR(K65&gt;1,NOT(ISNUMBER(L65)),L65&lt;0,L65&gt;1),"Criteria required",IF(MAX(K65,L65)&lt;IFERROR(INDEX('Taxonomy Rules'!$G$9:$G$20,MATCH(H65&amp;"::"&amp;G65,'Taxonomy Rules'!$C$9:$C$20,0)),0),"Fail",IF(H65="Jordan 2026",IF(YEAR(Settings!$F$8)&lt;2035,"Amber",IF(YEAR(Settings!$F$8)=2035,"Criteria required","Fail")),"Pass"))))),IF(G65="Road freight",IF(M65&lt;&gt;"Zero emissions","Criteria required",IF(AND(K65=0,ISNUMBER(L65),L65=0),"Pass","Fail")),IF(G65="New building",IF(NOT(OR(M65="Green",M65="Amber")),"Criteria required",IF(K65&lt;&gt;1,"Fail",IF(M65="Amber",IF(H65="Jordan 2026",IF(YEAR(Settings!$F$8)&lt;2030,"Amber",IF(YEAR(Settings!$F$8)=2030,"Criteria required","Fail")),"Criteria required"),"Pass"))),IF(G65="Building equipment",IF(M65&lt;&gt;"Equipment","Criteria required",IF(K65=1,"Pass","Fail")),"Criteria required")))))))))</x:f>
      </x:c>
      <x:c r="V65" s="9" t="str">
        <x:f>IF(C65="","",IFERROR(INDEX('Taxonomy Rules'!$J$9:$J$20,MATCH(H65&amp;"::"&amp;G65,'Taxonomy Rules'!$C$9:$C$20,0)),0))</x:f>
      </x:c>
      <x:c r="W65" s="9" t="str">
        <x:f>IF(C65="","",COUNTIFS('Taxonomy Tests'!$D$9:$D$2008,C65,'Taxonomy Tests'!$Q$9:$Q$2008,"Complete"))</x:f>
      </x:c>
      <x:c r="X65" s="9" t="str">
        <x:f>IF(C65="","",COUNTIFS('Taxonomy Tests'!$D$9:$D$2008,C65,'Taxonomy Tests'!$P$9:$P$2008,"Fail"))</x:f>
      </x:c>
      <x:c r="Y65" s="9" t="str">
        <x:f>IF(C65="","",MAX(0,V65-W65)+COUNTIFS('Taxonomy Tests'!$D$9:$D$2008,C65,'Taxonomy Tests'!$R$9:$R$2008,"Duplicate test")+COUNTIFS('Taxonomy Tests'!$D$9:$D$2008,C65,'Taxonomy Tests'!$R$9:$R$2008,"Unexpected test"))</x:f>
      </x:c>
      <x:c r="Z65" s="9" t="str">
        <x:f>IF(C65="","",IF(X65&gt;0,"Fail",IF(AND(V65&gt;0,W65=V65,Y65=0,COUNTIF('Taxonomy Tests'!$D$9:$D$2008,C65)=V65),"Pass","Pending")))</x:f>
      </x:c>
      <x:c r="AA65" s="9" t="str">
        <x:f>IF(C65="","",IF(COUNTIF(Facilities!$C$9:$C$108,D65)&lt;&gt;1,"Facility key",IF(OR(NOT(ISNUMBER(N65)),N65&lt;0),"Amount required",IF(SUMIF($D$9:$D$108,D65,$N$9:$N$108)&gt;IFERROR(INDEX('Facilities'!$AA$9:$AA$108,MATCH(D65,'Facilities'!$C$9:$C$108,0)),"")+0.000001,"Overallocated",IF(N65=0,"No allocation",IF(O65="","Evidence required","Valid"))))))</x:f>
      </x:c>
      <x:c r="AB65" s="3" t="str">
        <x:f>IF(C65="","",IF(OR(U65="Fail",Z65="Fail"),IF(H65="Jordan 2026","Red / not aligned","Not eligible"),IF(OR(U65="Criteria required",V65=0),"Criteria required",IF(Z65&lt;&gt;"Pass","Pending",IF(U65="Amber","Amber",IF(H65="Jordan 2026","Green","Eligible (internal)"))))))</x:f>
      </x:c>
      <x:c r="AC65" s="9" t="str">
        <x:f>IF(C65="","",IF(T65="Rejected","Rejected",IF(OR(AB65="Red / not aligned",AB65="Not eligible"),"Not eligible",IF(OR(AH65&lt;&gt;"Current",T65&lt;&gt;"Approved",Z65&lt;&gt;"Pass",(COUNTIFS('Actions'!$D$9:$D$308,E65,'Actions'!$E$9:$E$308,"E&amp;S",'Actions'!$F$9:$F$308,"Critical",'Actions'!$P$9:$P$308,"&lt;&gt;Closed",'Actions'!$C$9:$C$308,"&lt;&gt;")+COUNTIFS('Actions'!$D$9:$D$308,E65,'Actions'!$E$9:$E$308,"Taxonomy",'Actions'!$F$9:$F$308,"Critical",'Actions'!$P$9:$P$308,"&lt;&gt;Closed",'Actions'!$C$9:$C$308,"&lt;&gt;")+COUNTIFS('ESG'!$C$9:$C$108,E65,'ESG'!$H$9:$H$108,"Yes"))&gt;0,AND(AB65&lt;&gt;"Green",AB65&lt;&gt;"Amber",AB65&lt;&gt;"Eligible (internal)")),"Pending",IF(AA65="No allocation","Activity only",IF(AA65&lt;&gt;"Valid","Pending","Approved"))))))</x:f>
      </x:c>
      <x:c r="AD65" s="21" t="str">
        <x:f>IF(C65="","",IF(AND(AC65="Approved",OR(AB65="Green",AB65="Eligible (internal)")),N65,0))</x:f>
      </x:c>
      <x:c r="AE65" s="21" t="str">
        <x:f>IF(C65="","",IF(AND(AC65="Approved",AB65="Amber"),N65,0))</x:f>
      </x:c>
      <x:c r="AF65" s="9" t="str">
        <x:f>IF(C65="","",IF((COUNTIFS('Actions'!$D$9:$D$308,E65,'Actions'!$E$9:$E$308,"E&amp;S",'Actions'!$F$9:$F$308,"Critical",'Actions'!$P$9:$P$308,"&lt;&gt;Closed",'Actions'!$C$9:$C$308,"&lt;&gt;")+COUNTIFS('Actions'!$D$9:$D$308,E65,'Actions'!$E$9:$E$308,"Taxonomy",'Actions'!$F$9:$F$308,"Critical",'Actions'!$P$9:$P$308,"&lt;&gt;Closed",'Actions'!$C$9:$C$308,"&lt;&gt;")+COUNTIFS('ESG'!$C$9:$C$108,E65,'ESG'!$H$9:$H$108,"Yes"))&gt;0,"Resolve critical E&amp;S / taxonomy issue",IF(AH65&lt;&gt;"Current",AH65,IF(Z65&lt;&gt;"Pass","Review individual tests",IF(U65="Criteria required","Sourced criteria / interpretation required",IF(AA65&lt;&gt;"Valid",AA65,IF(T65&lt;&gt;"Approved","Approval required",I65)))))))</x:f>
      </x:c>
      <x:c r="AG65" s="9" t="str">
        <x:f>IF(C65="","",IFERROR(INDEX('Taxonomy Rules'!$L$9:$L$20,MATCH(H65&amp;"::"&amp;G65,'Taxonomy Rules'!$C$9:$C$20,0)),"Unimplemented activity"))</x:f>
      </x:c>
      <x:c r="AH65" s="9" t="str">
        <x:f>IF(C65="","",IF(COUNTIF($C$9:$C$108,C65)&lt;&gt;1,"Duplicate ID",IF(OR(COUNTIF(Facilities!$C$9:$C$108,D65)&lt;&gt;1,COUNTIF(Borrowers!$C$9:$C$108,E65)&lt;&gt;1),"Key review",IF(OR(P65="",Q65="",P65=Q65,NOT(ISNUMBER(R65)),NOT(ISNUMBER(S65)),R65&gt;Settings!$F$8,S65&lt;R65),"Review required",IF(S65&lt;Settings!$F$8,"Expired","Current")))))</x:f>
      </x:c>
    </x:row>
    <x:row r="66" ht="26" customHeight="1">
      <x:c r="A66" s="1"/>
      <x:c r="B66" s="1"/>
      <x:c r="C66" s="8"/>
      <x:c r="D66" s="8"/>
      <x:c r="E66" s="9" t="str">
        <x:f>IF(C66="","",IFERROR(INDEX('Facilities'!$D$9:$D$108,MATCH(D66,'Facilities'!$C$9:$C$108,0)),""))</x:f>
      </x:c>
      <x:c r="F66" s="9" t="str">
        <x:f>IF(C66="","",IFERROR(INDEX('Borrowers'!$E$9:$E$108,MATCH(E66,'Borrowers'!$C$9:$C$108,0)),""))</x:f>
      </x:c>
      <x:c r="G66" s="9" t="str">
        <x:f>IF(C66="","",IFERROR(INDEX('Facilities'!$W$9:$W$108,MATCH(D66,'Facilities'!$C$9:$C$108,0)),""))</x:f>
      </x:c>
      <x:c r="H66" s="9" t="str">
        <x:f>IF(C66="","",Settings!$F$11)</x:f>
      </x:c>
      <x:c r="I66" s="3" t="str">
        <x:f>IF(C66="","",IF(H66="Jordan 2026",IF(F66="Jordan","Jordan taxonomy","Reference benchmark"),"Internal policy"))</x:f>
      </x:c>
      <x:c r="J66" s="8"/>
      <x:c r="K66" s="35"/>
      <x:c r="L66" s="35"/>
      <x:c r="M66" s="8"/>
      <x:c r="N66" s="16"/>
      <x:c r="O66" s="8"/>
      <x:c r="P66" s="8"/>
      <x:c r="Q66" s="8"/>
      <x:c r="R66" s="10"/>
      <x:c r="S66" s="10"/>
      <x:c r="T66" s="8"/>
      <x:c r="U66" s="9" t="str">
        <x:f>IF(C66="","",IF(V66=0,"Criteria required",IF(OR(NOT(ISNUMBER(J66)),J66&lt;1900,J66&gt;YEAR(Settings!$F$8),IFERROR(MOD(J66,1),1)&lt;&gt;0,NOT(ISNUMBER(K66)),K66&lt;0,AND(H66="Internal criteria",OR(G66="Cement",G66="Building renovation"),OR(NOT(ISNUMBER(IFERROR(INDEX('Taxonomy Rules'!$G$9:$G$20,MATCH(H66&amp;"::"&amp;G66,'Taxonomy Rules'!$C$9:$C$20,0)),0))),IFERROR(INDEX('Taxonomy Rules'!$G$9:$G$20,MATCH(H66&amp;"::"&amp;G66,'Taxonomy Rules'!$C$9:$C$20,0)),0)&lt;=0,AND(G66="Building renovation",IFERROR(INDEX('Taxonomy Rules'!$G$9:$G$20,MATCH(H66&amp;"::"&amp;G66,'Taxonomy Rules'!$C$9:$C$20,0)),0)&gt;1)))),"Criteria required",IF(G66="Solar PV",IF(M66&lt;&gt;"Eligible activity","Criteria required",IF(K66=1,"Pass","Fail")),IF(G66="Cement",IF(M66="Amber",IF(H66="Jordan 2026",IF(YEAR(Settings!$F$8)&lt;2040,"Amber","Fail"),"Criteria required"),IF(M66&lt;&gt;"Green","Criteria required",IF(H66="Jordan 2026",IF(IFERROR(INDEX('Taxonomy Rules'!$P$9:$P$14,MATCH(J66,'Taxonomy Rules'!$O$9:$O$14,0)),0)=0,"Criteria required",IF(K66&lt;=IFERROR(INDEX('Taxonomy Rules'!$P$9:$P$14,MATCH(J66,'Taxonomy Rules'!$O$9:$O$14,0)),0),"Pass","Fail")),IF(K66&lt;=IFERROR(INDEX('Taxonomy Rules'!$G$9:$G$20,MATCH(H66&amp;"::"&amp;G66,'Taxonomy Rules'!$C$9:$C$20,0)),0),"Pass","Fail")))),IF(G66="Building renovation",IF(M66="Whole building",IF(K66=1,"Pass","Fail"),IF(M66&lt;&gt;"Improvement","Criteria required",IF(OR(K66&gt;1,NOT(ISNUMBER(L66)),L66&lt;0,L66&gt;1),"Criteria required",IF(MAX(K66,L66)&lt;IFERROR(INDEX('Taxonomy Rules'!$G$9:$G$20,MATCH(H66&amp;"::"&amp;G66,'Taxonomy Rules'!$C$9:$C$20,0)),0),"Fail",IF(H66="Jordan 2026",IF(YEAR(Settings!$F$8)&lt;2035,"Amber",IF(YEAR(Settings!$F$8)=2035,"Criteria required","Fail")),"Pass"))))),IF(G66="Road freight",IF(M66&lt;&gt;"Zero emissions","Criteria required",IF(AND(K66=0,ISNUMBER(L66),L66=0),"Pass","Fail")),IF(G66="New building",IF(NOT(OR(M66="Green",M66="Amber")),"Criteria required",IF(K66&lt;&gt;1,"Fail",IF(M66="Amber",IF(H66="Jordan 2026",IF(YEAR(Settings!$F$8)&lt;2030,"Amber",IF(YEAR(Settings!$F$8)=2030,"Criteria required","Fail")),"Criteria required"),"Pass"))),IF(G66="Building equipment",IF(M66&lt;&gt;"Equipment","Criteria required",IF(K66=1,"Pass","Fail")),"Criteria required")))))))))</x:f>
      </x:c>
      <x:c r="V66" s="9" t="str">
        <x:f>IF(C66="","",IFERROR(INDEX('Taxonomy Rules'!$J$9:$J$20,MATCH(H66&amp;"::"&amp;G66,'Taxonomy Rules'!$C$9:$C$20,0)),0))</x:f>
      </x:c>
      <x:c r="W66" s="9" t="str">
        <x:f>IF(C66="","",COUNTIFS('Taxonomy Tests'!$D$9:$D$2008,C66,'Taxonomy Tests'!$Q$9:$Q$2008,"Complete"))</x:f>
      </x:c>
      <x:c r="X66" s="9" t="str">
        <x:f>IF(C66="","",COUNTIFS('Taxonomy Tests'!$D$9:$D$2008,C66,'Taxonomy Tests'!$P$9:$P$2008,"Fail"))</x:f>
      </x:c>
      <x:c r="Y66" s="9" t="str">
        <x:f>IF(C66="","",MAX(0,V66-W66)+COUNTIFS('Taxonomy Tests'!$D$9:$D$2008,C66,'Taxonomy Tests'!$R$9:$R$2008,"Duplicate test")+COUNTIFS('Taxonomy Tests'!$D$9:$D$2008,C66,'Taxonomy Tests'!$R$9:$R$2008,"Unexpected test"))</x:f>
      </x:c>
      <x:c r="Z66" s="9" t="str">
        <x:f>IF(C66="","",IF(X66&gt;0,"Fail",IF(AND(V66&gt;0,W66=V66,Y66=0,COUNTIF('Taxonomy Tests'!$D$9:$D$2008,C66)=V66),"Pass","Pending")))</x:f>
      </x:c>
      <x:c r="AA66" s="9" t="str">
        <x:f>IF(C66="","",IF(COUNTIF(Facilities!$C$9:$C$108,D66)&lt;&gt;1,"Facility key",IF(OR(NOT(ISNUMBER(N66)),N66&lt;0),"Amount required",IF(SUMIF($D$9:$D$108,D66,$N$9:$N$108)&gt;IFERROR(INDEX('Facilities'!$AA$9:$AA$108,MATCH(D66,'Facilities'!$C$9:$C$108,0)),"")+0.000001,"Overallocated",IF(N66=0,"No allocation",IF(O66="","Evidence required","Valid"))))))</x:f>
      </x:c>
      <x:c r="AB66" s="3" t="str">
        <x:f>IF(C66="","",IF(OR(U66="Fail",Z66="Fail"),IF(H66="Jordan 2026","Red / not aligned","Not eligible"),IF(OR(U66="Criteria required",V66=0),"Criteria required",IF(Z66&lt;&gt;"Pass","Pending",IF(U66="Amber","Amber",IF(H66="Jordan 2026","Green","Eligible (internal)"))))))</x:f>
      </x:c>
      <x:c r="AC66" s="9" t="str">
        <x:f>IF(C66="","",IF(T66="Rejected","Rejected",IF(OR(AB66="Red / not aligned",AB66="Not eligible"),"Not eligible",IF(OR(AH66&lt;&gt;"Current",T66&lt;&gt;"Approved",Z66&lt;&gt;"Pass",(COUNTIFS('Actions'!$D$9:$D$308,E66,'Actions'!$E$9:$E$308,"E&amp;S",'Actions'!$F$9:$F$308,"Critical",'Actions'!$P$9:$P$308,"&lt;&gt;Closed",'Actions'!$C$9:$C$308,"&lt;&gt;")+COUNTIFS('Actions'!$D$9:$D$308,E66,'Actions'!$E$9:$E$308,"Taxonomy",'Actions'!$F$9:$F$308,"Critical",'Actions'!$P$9:$P$308,"&lt;&gt;Closed",'Actions'!$C$9:$C$308,"&lt;&gt;")+COUNTIFS('ESG'!$C$9:$C$108,E66,'ESG'!$H$9:$H$108,"Yes"))&gt;0,AND(AB66&lt;&gt;"Green",AB66&lt;&gt;"Amber",AB66&lt;&gt;"Eligible (internal)")),"Pending",IF(AA66="No allocation","Activity only",IF(AA66&lt;&gt;"Valid","Pending","Approved"))))))</x:f>
      </x:c>
      <x:c r="AD66" s="21" t="str">
        <x:f>IF(C66="","",IF(AND(AC66="Approved",OR(AB66="Green",AB66="Eligible (internal)")),N66,0))</x:f>
      </x:c>
      <x:c r="AE66" s="21" t="str">
        <x:f>IF(C66="","",IF(AND(AC66="Approved",AB66="Amber"),N66,0))</x:f>
      </x:c>
      <x:c r="AF66" s="9" t="str">
        <x:f>IF(C66="","",IF((COUNTIFS('Actions'!$D$9:$D$308,E66,'Actions'!$E$9:$E$308,"E&amp;S",'Actions'!$F$9:$F$308,"Critical",'Actions'!$P$9:$P$308,"&lt;&gt;Closed",'Actions'!$C$9:$C$308,"&lt;&gt;")+COUNTIFS('Actions'!$D$9:$D$308,E66,'Actions'!$E$9:$E$308,"Taxonomy",'Actions'!$F$9:$F$308,"Critical",'Actions'!$P$9:$P$308,"&lt;&gt;Closed",'Actions'!$C$9:$C$308,"&lt;&gt;")+COUNTIFS('ESG'!$C$9:$C$108,E66,'ESG'!$H$9:$H$108,"Yes"))&gt;0,"Resolve critical E&amp;S / taxonomy issue",IF(AH66&lt;&gt;"Current",AH66,IF(Z66&lt;&gt;"Pass","Review individual tests",IF(U66="Criteria required","Sourced criteria / interpretation required",IF(AA66&lt;&gt;"Valid",AA66,IF(T66&lt;&gt;"Approved","Approval required",I66)))))))</x:f>
      </x:c>
      <x:c r="AG66" s="9" t="str">
        <x:f>IF(C66="","",IFERROR(INDEX('Taxonomy Rules'!$L$9:$L$20,MATCH(H66&amp;"::"&amp;G66,'Taxonomy Rules'!$C$9:$C$20,0)),"Unimplemented activity"))</x:f>
      </x:c>
      <x:c r="AH66" s="9" t="str">
        <x:f>IF(C66="","",IF(COUNTIF($C$9:$C$108,C66)&lt;&gt;1,"Duplicate ID",IF(OR(COUNTIF(Facilities!$C$9:$C$108,D66)&lt;&gt;1,COUNTIF(Borrowers!$C$9:$C$108,E66)&lt;&gt;1),"Key review",IF(OR(P66="",Q66="",P66=Q66,NOT(ISNUMBER(R66)),NOT(ISNUMBER(S66)),R66&gt;Settings!$F$8,S66&lt;R66),"Review required",IF(S66&lt;Settings!$F$8,"Expired","Current")))))</x:f>
      </x:c>
    </x:row>
    <x:row r="67" ht="26" customHeight="1">
      <x:c r="A67" s="1"/>
      <x:c r="B67" s="1"/>
      <x:c r="C67" s="8"/>
      <x:c r="D67" s="8"/>
      <x:c r="E67" s="9" t="str">
        <x:f>IF(C67="","",IFERROR(INDEX('Facilities'!$D$9:$D$108,MATCH(D67,'Facilities'!$C$9:$C$108,0)),""))</x:f>
      </x:c>
      <x:c r="F67" s="9" t="str">
        <x:f>IF(C67="","",IFERROR(INDEX('Borrowers'!$E$9:$E$108,MATCH(E67,'Borrowers'!$C$9:$C$108,0)),""))</x:f>
      </x:c>
      <x:c r="G67" s="9" t="str">
        <x:f>IF(C67="","",IFERROR(INDEX('Facilities'!$W$9:$W$108,MATCH(D67,'Facilities'!$C$9:$C$108,0)),""))</x:f>
      </x:c>
      <x:c r="H67" s="9" t="str">
        <x:f>IF(C67="","",Settings!$F$11)</x:f>
      </x:c>
      <x:c r="I67" s="3" t="str">
        <x:f>IF(C67="","",IF(H67="Jordan 2026",IF(F67="Jordan","Jordan taxonomy","Reference benchmark"),"Internal policy"))</x:f>
      </x:c>
      <x:c r="J67" s="8"/>
      <x:c r="K67" s="35"/>
      <x:c r="L67" s="35"/>
      <x:c r="M67" s="8"/>
      <x:c r="N67" s="16"/>
      <x:c r="O67" s="8"/>
      <x:c r="P67" s="8"/>
      <x:c r="Q67" s="8"/>
      <x:c r="R67" s="10"/>
      <x:c r="S67" s="10"/>
      <x:c r="T67" s="8"/>
      <x:c r="U67" s="9" t="str">
        <x:f>IF(C67="","",IF(V67=0,"Criteria required",IF(OR(NOT(ISNUMBER(J67)),J67&lt;1900,J67&gt;YEAR(Settings!$F$8),IFERROR(MOD(J67,1),1)&lt;&gt;0,NOT(ISNUMBER(K67)),K67&lt;0,AND(H67="Internal criteria",OR(G67="Cement",G67="Building renovation"),OR(NOT(ISNUMBER(IFERROR(INDEX('Taxonomy Rules'!$G$9:$G$20,MATCH(H67&amp;"::"&amp;G67,'Taxonomy Rules'!$C$9:$C$20,0)),0))),IFERROR(INDEX('Taxonomy Rules'!$G$9:$G$20,MATCH(H67&amp;"::"&amp;G67,'Taxonomy Rules'!$C$9:$C$20,0)),0)&lt;=0,AND(G67="Building renovation",IFERROR(INDEX('Taxonomy Rules'!$G$9:$G$20,MATCH(H67&amp;"::"&amp;G67,'Taxonomy Rules'!$C$9:$C$20,0)),0)&gt;1)))),"Criteria required",IF(G67="Solar PV",IF(M67&lt;&gt;"Eligible activity","Criteria required",IF(K67=1,"Pass","Fail")),IF(G67="Cement",IF(M67="Amber",IF(H67="Jordan 2026",IF(YEAR(Settings!$F$8)&lt;2040,"Amber","Fail"),"Criteria required"),IF(M67&lt;&gt;"Green","Criteria required",IF(H67="Jordan 2026",IF(IFERROR(INDEX('Taxonomy Rules'!$P$9:$P$14,MATCH(J67,'Taxonomy Rules'!$O$9:$O$14,0)),0)=0,"Criteria required",IF(K67&lt;=IFERROR(INDEX('Taxonomy Rules'!$P$9:$P$14,MATCH(J67,'Taxonomy Rules'!$O$9:$O$14,0)),0),"Pass","Fail")),IF(K67&lt;=IFERROR(INDEX('Taxonomy Rules'!$G$9:$G$20,MATCH(H67&amp;"::"&amp;G67,'Taxonomy Rules'!$C$9:$C$20,0)),0),"Pass","Fail")))),IF(G67="Building renovation",IF(M67="Whole building",IF(K67=1,"Pass","Fail"),IF(M67&lt;&gt;"Improvement","Criteria required",IF(OR(K67&gt;1,NOT(ISNUMBER(L67)),L67&lt;0,L67&gt;1),"Criteria required",IF(MAX(K67,L67)&lt;IFERROR(INDEX('Taxonomy Rules'!$G$9:$G$20,MATCH(H67&amp;"::"&amp;G67,'Taxonomy Rules'!$C$9:$C$20,0)),0),"Fail",IF(H67="Jordan 2026",IF(YEAR(Settings!$F$8)&lt;2035,"Amber",IF(YEAR(Settings!$F$8)=2035,"Criteria required","Fail")),"Pass"))))),IF(G67="Road freight",IF(M67&lt;&gt;"Zero emissions","Criteria required",IF(AND(K67=0,ISNUMBER(L67),L67=0),"Pass","Fail")),IF(G67="New building",IF(NOT(OR(M67="Green",M67="Amber")),"Criteria required",IF(K67&lt;&gt;1,"Fail",IF(M67="Amber",IF(H67="Jordan 2026",IF(YEAR(Settings!$F$8)&lt;2030,"Amber",IF(YEAR(Settings!$F$8)=2030,"Criteria required","Fail")),"Criteria required"),"Pass"))),IF(G67="Building equipment",IF(M67&lt;&gt;"Equipment","Criteria required",IF(K67=1,"Pass","Fail")),"Criteria required")))))))))</x:f>
      </x:c>
      <x:c r="V67" s="9" t="str">
        <x:f>IF(C67="","",IFERROR(INDEX('Taxonomy Rules'!$J$9:$J$20,MATCH(H67&amp;"::"&amp;G67,'Taxonomy Rules'!$C$9:$C$20,0)),0))</x:f>
      </x:c>
      <x:c r="W67" s="9" t="str">
        <x:f>IF(C67="","",COUNTIFS('Taxonomy Tests'!$D$9:$D$2008,C67,'Taxonomy Tests'!$Q$9:$Q$2008,"Complete"))</x:f>
      </x:c>
      <x:c r="X67" s="9" t="str">
        <x:f>IF(C67="","",COUNTIFS('Taxonomy Tests'!$D$9:$D$2008,C67,'Taxonomy Tests'!$P$9:$P$2008,"Fail"))</x:f>
      </x:c>
      <x:c r="Y67" s="9" t="str">
        <x:f>IF(C67="","",MAX(0,V67-W67)+COUNTIFS('Taxonomy Tests'!$D$9:$D$2008,C67,'Taxonomy Tests'!$R$9:$R$2008,"Duplicate test")+COUNTIFS('Taxonomy Tests'!$D$9:$D$2008,C67,'Taxonomy Tests'!$R$9:$R$2008,"Unexpected test"))</x:f>
      </x:c>
      <x:c r="Z67" s="9" t="str">
        <x:f>IF(C67="","",IF(X67&gt;0,"Fail",IF(AND(V67&gt;0,W67=V67,Y67=0,COUNTIF('Taxonomy Tests'!$D$9:$D$2008,C67)=V67),"Pass","Pending")))</x:f>
      </x:c>
      <x:c r="AA67" s="9" t="str">
        <x:f>IF(C67="","",IF(COUNTIF(Facilities!$C$9:$C$108,D67)&lt;&gt;1,"Facility key",IF(OR(NOT(ISNUMBER(N67)),N67&lt;0),"Amount required",IF(SUMIF($D$9:$D$108,D67,$N$9:$N$108)&gt;IFERROR(INDEX('Facilities'!$AA$9:$AA$108,MATCH(D67,'Facilities'!$C$9:$C$108,0)),"")+0.000001,"Overallocated",IF(N67=0,"No allocation",IF(O67="","Evidence required","Valid"))))))</x:f>
      </x:c>
      <x:c r="AB67" s="3" t="str">
        <x:f>IF(C67="","",IF(OR(U67="Fail",Z67="Fail"),IF(H67="Jordan 2026","Red / not aligned","Not eligible"),IF(OR(U67="Criteria required",V67=0),"Criteria required",IF(Z67&lt;&gt;"Pass","Pending",IF(U67="Amber","Amber",IF(H67="Jordan 2026","Green","Eligible (internal)"))))))</x:f>
      </x:c>
      <x:c r="AC67" s="9" t="str">
        <x:f>IF(C67="","",IF(T67="Rejected","Rejected",IF(OR(AB67="Red / not aligned",AB67="Not eligible"),"Not eligible",IF(OR(AH67&lt;&gt;"Current",T67&lt;&gt;"Approved",Z67&lt;&gt;"Pass",(COUNTIFS('Actions'!$D$9:$D$308,E67,'Actions'!$E$9:$E$308,"E&amp;S",'Actions'!$F$9:$F$308,"Critical",'Actions'!$P$9:$P$308,"&lt;&gt;Closed",'Actions'!$C$9:$C$308,"&lt;&gt;")+COUNTIFS('Actions'!$D$9:$D$308,E67,'Actions'!$E$9:$E$308,"Taxonomy",'Actions'!$F$9:$F$308,"Critical",'Actions'!$P$9:$P$308,"&lt;&gt;Closed",'Actions'!$C$9:$C$308,"&lt;&gt;")+COUNTIFS('ESG'!$C$9:$C$108,E67,'ESG'!$H$9:$H$108,"Yes"))&gt;0,AND(AB67&lt;&gt;"Green",AB67&lt;&gt;"Amber",AB67&lt;&gt;"Eligible (internal)")),"Pending",IF(AA67="No allocation","Activity only",IF(AA67&lt;&gt;"Valid","Pending","Approved"))))))</x:f>
      </x:c>
      <x:c r="AD67" s="21" t="str">
        <x:f>IF(C67="","",IF(AND(AC67="Approved",OR(AB67="Green",AB67="Eligible (internal)")),N67,0))</x:f>
      </x:c>
      <x:c r="AE67" s="21" t="str">
        <x:f>IF(C67="","",IF(AND(AC67="Approved",AB67="Amber"),N67,0))</x:f>
      </x:c>
      <x:c r="AF67" s="9" t="str">
        <x:f>IF(C67="","",IF((COUNTIFS('Actions'!$D$9:$D$308,E67,'Actions'!$E$9:$E$308,"E&amp;S",'Actions'!$F$9:$F$308,"Critical",'Actions'!$P$9:$P$308,"&lt;&gt;Closed",'Actions'!$C$9:$C$308,"&lt;&gt;")+COUNTIFS('Actions'!$D$9:$D$308,E67,'Actions'!$E$9:$E$308,"Taxonomy",'Actions'!$F$9:$F$308,"Critical",'Actions'!$P$9:$P$308,"&lt;&gt;Closed",'Actions'!$C$9:$C$308,"&lt;&gt;")+COUNTIFS('ESG'!$C$9:$C$108,E67,'ESG'!$H$9:$H$108,"Yes"))&gt;0,"Resolve critical E&amp;S / taxonomy issue",IF(AH67&lt;&gt;"Current",AH67,IF(Z67&lt;&gt;"Pass","Review individual tests",IF(U67="Criteria required","Sourced criteria / interpretation required",IF(AA67&lt;&gt;"Valid",AA67,IF(T67&lt;&gt;"Approved","Approval required",I67)))))))</x:f>
      </x:c>
      <x:c r="AG67" s="9" t="str">
        <x:f>IF(C67="","",IFERROR(INDEX('Taxonomy Rules'!$L$9:$L$20,MATCH(H67&amp;"::"&amp;G67,'Taxonomy Rules'!$C$9:$C$20,0)),"Unimplemented activity"))</x:f>
      </x:c>
      <x:c r="AH67" s="9" t="str">
        <x:f>IF(C67="","",IF(COUNTIF($C$9:$C$108,C67)&lt;&gt;1,"Duplicate ID",IF(OR(COUNTIF(Facilities!$C$9:$C$108,D67)&lt;&gt;1,COUNTIF(Borrowers!$C$9:$C$108,E67)&lt;&gt;1),"Key review",IF(OR(P67="",Q67="",P67=Q67,NOT(ISNUMBER(R67)),NOT(ISNUMBER(S67)),R67&gt;Settings!$F$8,S67&lt;R67),"Review required",IF(S67&lt;Settings!$F$8,"Expired","Current")))))</x:f>
      </x:c>
    </x:row>
    <x:row r="68" ht="26" customHeight="1">
      <x:c r="A68" s="1"/>
      <x:c r="B68" s="1"/>
      <x:c r="C68" s="8"/>
      <x:c r="D68" s="8"/>
      <x:c r="E68" s="9" t="str">
        <x:f>IF(C68="","",IFERROR(INDEX('Facilities'!$D$9:$D$108,MATCH(D68,'Facilities'!$C$9:$C$108,0)),""))</x:f>
      </x:c>
      <x:c r="F68" s="9" t="str">
        <x:f>IF(C68="","",IFERROR(INDEX('Borrowers'!$E$9:$E$108,MATCH(E68,'Borrowers'!$C$9:$C$108,0)),""))</x:f>
      </x:c>
      <x:c r="G68" s="9" t="str">
        <x:f>IF(C68="","",IFERROR(INDEX('Facilities'!$W$9:$W$108,MATCH(D68,'Facilities'!$C$9:$C$108,0)),""))</x:f>
      </x:c>
      <x:c r="H68" s="9" t="str">
        <x:f>IF(C68="","",Settings!$F$11)</x:f>
      </x:c>
      <x:c r="I68" s="3" t="str">
        <x:f>IF(C68="","",IF(H68="Jordan 2026",IF(F68="Jordan","Jordan taxonomy","Reference benchmark"),"Internal policy"))</x:f>
      </x:c>
      <x:c r="J68" s="8"/>
      <x:c r="K68" s="35"/>
      <x:c r="L68" s="35"/>
      <x:c r="M68" s="8"/>
      <x:c r="N68" s="16"/>
      <x:c r="O68" s="8"/>
      <x:c r="P68" s="8"/>
      <x:c r="Q68" s="8"/>
      <x:c r="R68" s="10"/>
      <x:c r="S68" s="10"/>
      <x:c r="T68" s="8"/>
      <x:c r="U68" s="9" t="str">
        <x:f>IF(C68="","",IF(V68=0,"Criteria required",IF(OR(NOT(ISNUMBER(J68)),J68&lt;1900,J68&gt;YEAR(Settings!$F$8),IFERROR(MOD(J68,1),1)&lt;&gt;0,NOT(ISNUMBER(K68)),K68&lt;0,AND(H68="Internal criteria",OR(G68="Cement",G68="Building renovation"),OR(NOT(ISNUMBER(IFERROR(INDEX('Taxonomy Rules'!$G$9:$G$20,MATCH(H68&amp;"::"&amp;G68,'Taxonomy Rules'!$C$9:$C$20,0)),0))),IFERROR(INDEX('Taxonomy Rules'!$G$9:$G$20,MATCH(H68&amp;"::"&amp;G68,'Taxonomy Rules'!$C$9:$C$20,0)),0)&lt;=0,AND(G68="Building renovation",IFERROR(INDEX('Taxonomy Rules'!$G$9:$G$20,MATCH(H68&amp;"::"&amp;G68,'Taxonomy Rules'!$C$9:$C$20,0)),0)&gt;1)))),"Criteria required",IF(G68="Solar PV",IF(M68&lt;&gt;"Eligible activity","Criteria required",IF(K68=1,"Pass","Fail")),IF(G68="Cement",IF(M68="Amber",IF(H68="Jordan 2026",IF(YEAR(Settings!$F$8)&lt;2040,"Amber","Fail"),"Criteria required"),IF(M68&lt;&gt;"Green","Criteria required",IF(H68="Jordan 2026",IF(IFERROR(INDEX('Taxonomy Rules'!$P$9:$P$14,MATCH(J68,'Taxonomy Rules'!$O$9:$O$14,0)),0)=0,"Criteria required",IF(K68&lt;=IFERROR(INDEX('Taxonomy Rules'!$P$9:$P$14,MATCH(J68,'Taxonomy Rules'!$O$9:$O$14,0)),0),"Pass","Fail")),IF(K68&lt;=IFERROR(INDEX('Taxonomy Rules'!$G$9:$G$20,MATCH(H68&amp;"::"&amp;G68,'Taxonomy Rules'!$C$9:$C$20,0)),0),"Pass","Fail")))),IF(G68="Building renovation",IF(M68="Whole building",IF(K68=1,"Pass","Fail"),IF(M68&lt;&gt;"Improvement","Criteria required",IF(OR(K68&gt;1,NOT(ISNUMBER(L68)),L68&lt;0,L68&gt;1),"Criteria required",IF(MAX(K68,L68)&lt;IFERROR(INDEX('Taxonomy Rules'!$G$9:$G$20,MATCH(H68&amp;"::"&amp;G68,'Taxonomy Rules'!$C$9:$C$20,0)),0),"Fail",IF(H68="Jordan 2026",IF(YEAR(Settings!$F$8)&lt;2035,"Amber",IF(YEAR(Settings!$F$8)=2035,"Criteria required","Fail")),"Pass"))))),IF(G68="Road freight",IF(M68&lt;&gt;"Zero emissions","Criteria required",IF(AND(K68=0,ISNUMBER(L68),L68=0),"Pass","Fail")),IF(G68="New building",IF(NOT(OR(M68="Green",M68="Amber")),"Criteria required",IF(K68&lt;&gt;1,"Fail",IF(M68="Amber",IF(H68="Jordan 2026",IF(YEAR(Settings!$F$8)&lt;2030,"Amber",IF(YEAR(Settings!$F$8)=2030,"Criteria required","Fail")),"Criteria required"),"Pass"))),IF(G68="Building equipment",IF(M68&lt;&gt;"Equipment","Criteria required",IF(K68=1,"Pass","Fail")),"Criteria required")))))))))</x:f>
      </x:c>
      <x:c r="V68" s="9" t="str">
        <x:f>IF(C68="","",IFERROR(INDEX('Taxonomy Rules'!$J$9:$J$20,MATCH(H68&amp;"::"&amp;G68,'Taxonomy Rules'!$C$9:$C$20,0)),0))</x:f>
      </x:c>
      <x:c r="W68" s="9" t="str">
        <x:f>IF(C68="","",COUNTIFS('Taxonomy Tests'!$D$9:$D$2008,C68,'Taxonomy Tests'!$Q$9:$Q$2008,"Complete"))</x:f>
      </x:c>
      <x:c r="X68" s="9" t="str">
        <x:f>IF(C68="","",COUNTIFS('Taxonomy Tests'!$D$9:$D$2008,C68,'Taxonomy Tests'!$P$9:$P$2008,"Fail"))</x:f>
      </x:c>
      <x:c r="Y68" s="9" t="str">
        <x:f>IF(C68="","",MAX(0,V68-W68)+COUNTIFS('Taxonomy Tests'!$D$9:$D$2008,C68,'Taxonomy Tests'!$R$9:$R$2008,"Duplicate test")+COUNTIFS('Taxonomy Tests'!$D$9:$D$2008,C68,'Taxonomy Tests'!$R$9:$R$2008,"Unexpected test"))</x:f>
      </x:c>
      <x:c r="Z68" s="9" t="str">
        <x:f>IF(C68="","",IF(X68&gt;0,"Fail",IF(AND(V68&gt;0,W68=V68,Y68=0,COUNTIF('Taxonomy Tests'!$D$9:$D$2008,C68)=V68),"Pass","Pending")))</x:f>
      </x:c>
      <x:c r="AA68" s="9" t="str">
        <x:f>IF(C68="","",IF(COUNTIF(Facilities!$C$9:$C$108,D68)&lt;&gt;1,"Facility key",IF(OR(NOT(ISNUMBER(N68)),N68&lt;0),"Amount required",IF(SUMIF($D$9:$D$108,D68,$N$9:$N$108)&gt;IFERROR(INDEX('Facilities'!$AA$9:$AA$108,MATCH(D68,'Facilities'!$C$9:$C$108,0)),"")+0.000001,"Overallocated",IF(N68=0,"No allocation",IF(O68="","Evidence required","Valid"))))))</x:f>
      </x:c>
      <x:c r="AB68" s="3" t="str">
        <x:f>IF(C68="","",IF(OR(U68="Fail",Z68="Fail"),IF(H68="Jordan 2026","Red / not aligned","Not eligible"),IF(OR(U68="Criteria required",V68=0),"Criteria required",IF(Z68&lt;&gt;"Pass","Pending",IF(U68="Amber","Amber",IF(H68="Jordan 2026","Green","Eligible (internal)"))))))</x:f>
      </x:c>
      <x:c r="AC68" s="9" t="str">
        <x:f>IF(C68="","",IF(T68="Rejected","Rejected",IF(OR(AB68="Red / not aligned",AB68="Not eligible"),"Not eligible",IF(OR(AH68&lt;&gt;"Current",T68&lt;&gt;"Approved",Z68&lt;&gt;"Pass",(COUNTIFS('Actions'!$D$9:$D$308,E68,'Actions'!$E$9:$E$308,"E&amp;S",'Actions'!$F$9:$F$308,"Critical",'Actions'!$P$9:$P$308,"&lt;&gt;Closed",'Actions'!$C$9:$C$308,"&lt;&gt;")+COUNTIFS('Actions'!$D$9:$D$308,E68,'Actions'!$E$9:$E$308,"Taxonomy",'Actions'!$F$9:$F$308,"Critical",'Actions'!$P$9:$P$308,"&lt;&gt;Closed",'Actions'!$C$9:$C$308,"&lt;&gt;")+COUNTIFS('ESG'!$C$9:$C$108,E68,'ESG'!$H$9:$H$108,"Yes"))&gt;0,AND(AB68&lt;&gt;"Green",AB68&lt;&gt;"Amber",AB68&lt;&gt;"Eligible (internal)")),"Pending",IF(AA68="No allocation","Activity only",IF(AA68&lt;&gt;"Valid","Pending","Approved"))))))</x:f>
      </x:c>
      <x:c r="AD68" s="21" t="str">
        <x:f>IF(C68="","",IF(AND(AC68="Approved",OR(AB68="Green",AB68="Eligible (internal)")),N68,0))</x:f>
      </x:c>
      <x:c r="AE68" s="21" t="str">
        <x:f>IF(C68="","",IF(AND(AC68="Approved",AB68="Amber"),N68,0))</x:f>
      </x:c>
      <x:c r="AF68" s="9" t="str">
        <x:f>IF(C68="","",IF((COUNTIFS('Actions'!$D$9:$D$308,E68,'Actions'!$E$9:$E$308,"E&amp;S",'Actions'!$F$9:$F$308,"Critical",'Actions'!$P$9:$P$308,"&lt;&gt;Closed",'Actions'!$C$9:$C$308,"&lt;&gt;")+COUNTIFS('Actions'!$D$9:$D$308,E68,'Actions'!$E$9:$E$308,"Taxonomy",'Actions'!$F$9:$F$308,"Critical",'Actions'!$P$9:$P$308,"&lt;&gt;Closed",'Actions'!$C$9:$C$308,"&lt;&gt;")+COUNTIFS('ESG'!$C$9:$C$108,E68,'ESG'!$H$9:$H$108,"Yes"))&gt;0,"Resolve critical E&amp;S / taxonomy issue",IF(AH68&lt;&gt;"Current",AH68,IF(Z68&lt;&gt;"Pass","Review individual tests",IF(U68="Criteria required","Sourced criteria / interpretation required",IF(AA68&lt;&gt;"Valid",AA68,IF(T68&lt;&gt;"Approved","Approval required",I68)))))))</x:f>
      </x:c>
      <x:c r="AG68" s="9" t="str">
        <x:f>IF(C68="","",IFERROR(INDEX('Taxonomy Rules'!$L$9:$L$20,MATCH(H68&amp;"::"&amp;G68,'Taxonomy Rules'!$C$9:$C$20,0)),"Unimplemented activity"))</x:f>
      </x:c>
      <x:c r="AH68" s="9" t="str">
        <x:f>IF(C68="","",IF(COUNTIF($C$9:$C$108,C68)&lt;&gt;1,"Duplicate ID",IF(OR(COUNTIF(Facilities!$C$9:$C$108,D68)&lt;&gt;1,COUNTIF(Borrowers!$C$9:$C$108,E68)&lt;&gt;1),"Key review",IF(OR(P68="",Q68="",P68=Q68,NOT(ISNUMBER(R68)),NOT(ISNUMBER(S68)),R68&gt;Settings!$F$8,S68&lt;R68),"Review required",IF(S68&lt;Settings!$F$8,"Expired","Current")))))</x:f>
      </x:c>
    </x:row>
    <x:row r="69" ht="26" customHeight="1">
      <x:c r="A69" s="1"/>
      <x:c r="B69" s="1"/>
      <x:c r="C69" s="8"/>
      <x:c r="D69" s="8"/>
      <x:c r="E69" s="9" t="str">
        <x:f>IF(C69="","",IFERROR(INDEX('Facilities'!$D$9:$D$108,MATCH(D69,'Facilities'!$C$9:$C$108,0)),""))</x:f>
      </x:c>
      <x:c r="F69" s="9" t="str">
        <x:f>IF(C69="","",IFERROR(INDEX('Borrowers'!$E$9:$E$108,MATCH(E69,'Borrowers'!$C$9:$C$108,0)),""))</x:f>
      </x:c>
      <x:c r="G69" s="9" t="str">
        <x:f>IF(C69="","",IFERROR(INDEX('Facilities'!$W$9:$W$108,MATCH(D69,'Facilities'!$C$9:$C$108,0)),""))</x:f>
      </x:c>
      <x:c r="H69" s="9" t="str">
        <x:f>IF(C69="","",Settings!$F$11)</x:f>
      </x:c>
      <x:c r="I69" s="3" t="str">
        <x:f>IF(C69="","",IF(H69="Jordan 2026",IF(F69="Jordan","Jordan taxonomy","Reference benchmark"),"Internal policy"))</x:f>
      </x:c>
      <x:c r="J69" s="8"/>
      <x:c r="K69" s="35"/>
      <x:c r="L69" s="35"/>
      <x:c r="M69" s="8"/>
      <x:c r="N69" s="16"/>
      <x:c r="O69" s="8"/>
      <x:c r="P69" s="8"/>
      <x:c r="Q69" s="8"/>
      <x:c r="R69" s="10"/>
      <x:c r="S69" s="10"/>
      <x:c r="T69" s="8"/>
      <x:c r="U69" s="9" t="str">
        <x:f>IF(C69="","",IF(V69=0,"Criteria required",IF(OR(NOT(ISNUMBER(J69)),J69&lt;1900,J69&gt;YEAR(Settings!$F$8),IFERROR(MOD(J69,1),1)&lt;&gt;0,NOT(ISNUMBER(K69)),K69&lt;0,AND(H69="Internal criteria",OR(G69="Cement",G69="Building renovation"),OR(NOT(ISNUMBER(IFERROR(INDEX('Taxonomy Rules'!$G$9:$G$20,MATCH(H69&amp;"::"&amp;G69,'Taxonomy Rules'!$C$9:$C$20,0)),0))),IFERROR(INDEX('Taxonomy Rules'!$G$9:$G$20,MATCH(H69&amp;"::"&amp;G69,'Taxonomy Rules'!$C$9:$C$20,0)),0)&lt;=0,AND(G69="Building renovation",IFERROR(INDEX('Taxonomy Rules'!$G$9:$G$20,MATCH(H69&amp;"::"&amp;G69,'Taxonomy Rules'!$C$9:$C$20,0)),0)&gt;1)))),"Criteria required",IF(G69="Solar PV",IF(M69&lt;&gt;"Eligible activity","Criteria required",IF(K69=1,"Pass","Fail")),IF(G69="Cement",IF(M69="Amber",IF(H69="Jordan 2026",IF(YEAR(Settings!$F$8)&lt;2040,"Amber","Fail"),"Criteria required"),IF(M69&lt;&gt;"Green","Criteria required",IF(H69="Jordan 2026",IF(IFERROR(INDEX('Taxonomy Rules'!$P$9:$P$14,MATCH(J69,'Taxonomy Rules'!$O$9:$O$14,0)),0)=0,"Criteria required",IF(K69&lt;=IFERROR(INDEX('Taxonomy Rules'!$P$9:$P$14,MATCH(J69,'Taxonomy Rules'!$O$9:$O$14,0)),0),"Pass","Fail")),IF(K69&lt;=IFERROR(INDEX('Taxonomy Rules'!$G$9:$G$20,MATCH(H69&amp;"::"&amp;G69,'Taxonomy Rules'!$C$9:$C$20,0)),0),"Pass","Fail")))),IF(G69="Building renovation",IF(M69="Whole building",IF(K69=1,"Pass","Fail"),IF(M69&lt;&gt;"Improvement","Criteria required",IF(OR(K69&gt;1,NOT(ISNUMBER(L69)),L69&lt;0,L69&gt;1),"Criteria required",IF(MAX(K69,L69)&lt;IFERROR(INDEX('Taxonomy Rules'!$G$9:$G$20,MATCH(H69&amp;"::"&amp;G69,'Taxonomy Rules'!$C$9:$C$20,0)),0),"Fail",IF(H69="Jordan 2026",IF(YEAR(Settings!$F$8)&lt;2035,"Amber",IF(YEAR(Settings!$F$8)=2035,"Criteria required","Fail")),"Pass"))))),IF(G69="Road freight",IF(M69&lt;&gt;"Zero emissions","Criteria required",IF(AND(K69=0,ISNUMBER(L69),L69=0),"Pass","Fail")),IF(G69="New building",IF(NOT(OR(M69="Green",M69="Amber")),"Criteria required",IF(K69&lt;&gt;1,"Fail",IF(M69="Amber",IF(H69="Jordan 2026",IF(YEAR(Settings!$F$8)&lt;2030,"Amber",IF(YEAR(Settings!$F$8)=2030,"Criteria required","Fail")),"Criteria required"),"Pass"))),IF(G69="Building equipment",IF(M69&lt;&gt;"Equipment","Criteria required",IF(K69=1,"Pass","Fail")),"Criteria required")))))))))</x:f>
      </x:c>
      <x:c r="V69" s="9" t="str">
        <x:f>IF(C69="","",IFERROR(INDEX('Taxonomy Rules'!$J$9:$J$20,MATCH(H69&amp;"::"&amp;G69,'Taxonomy Rules'!$C$9:$C$20,0)),0))</x:f>
      </x:c>
      <x:c r="W69" s="9" t="str">
        <x:f>IF(C69="","",COUNTIFS('Taxonomy Tests'!$D$9:$D$2008,C69,'Taxonomy Tests'!$Q$9:$Q$2008,"Complete"))</x:f>
      </x:c>
      <x:c r="X69" s="9" t="str">
        <x:f>IF(C69="","",COUNTIFS('Taxonomy Tests'!$D$9:$D$2008,C69,'Taxonomy Tests'!$P$9:$P$2008,"Fail"))</x:f>
      </x:c>
      <x:c r="Y69" s="9" t="str">
        <x:f>IF(C69="","",MAX(0,V69-W69)+COUNTIFS('Taxonomy Tests'!$D$9:$D$2008,C69,'Taxonomy Tests'!$R$9:$R$2008,"Duplicate test")+COUNTIFS('Taxonomy Tests'!$D$9:$D$2008,C69,'Taxonomy Tests'!$R$9:$R$2008,"Unexpected test"))</x:f>
      </x:c>
      <x:c r="Z69" s="9" t="str">
        <x:f>IF(C69="","",IF(X69&gt;0,"Fail",IF(AND(V69&gt;0,W69=V69,Y69=0,COUNTIF('Taxonomy Tests'!$D$9:$D$2008,C69)=V69),"Pass","Pending")))</x:f>
      </x:c>
      <x:c r="AA69" s="9" t="str">
        <x:f>IF(C69="","",IF(COUNTIF(Facilities!$C$9:$C$108,D69)&lt;&gt;1,"Facility key",IF(OR(NOT(ISNUMBER(N69)),N69&lt;0),"Amount required",IF(SUMIF($D$9:$D$108,D69,$N$9:$N$108)&gt;IFERROR(INDEX('Facilities'!$AA$9:$AA$108,MATCH(D69,'Facilities'!$C$9:$C$108,0)),"")+0.000001,"Overallocated",IF(N69=0,"No allocation",IF(O69="","Evidence required","Valid"))))))</x:f>
      </x:c>
      <x:c r="AB69" s="3" t="str">
        <x:f>IF(C69="","",IF(OR(U69="Fail",Z69="Fail"),IF(H69="Jordan 2026","Red / not aligned","Not eligible"),IF(OR(U69="Criteria required",V69=0),"Criteria required",IF(Z69&lt;&gt;"Pass","Pending",IF(U69="Amber","Amber",IF(H69="Jordan 2026","Green","Eligible (internal)"))))))</x:f>
      </x:c>
      <x:c r="AC69" s="9" t="str">
        <x:f>IF(C69="","",IF(T69="Rejected","Rejected",IF(OR(AB69="Red / not aligned",AB69="Not eligible"),"Not eligible",IF(OR(AH69&lt;&gt;"Current",T69&lt;&gt;"Approved",Z69&lt;&gt;"Pass",(COUNTIFS('Actions'!$D$9:$D$308,E69,'Actions'!$E$9:$E$308,"E&amp;S",'Actions'!$F$9:$F$308,"Critical",'Actions'!$P$9:$P$308,"&lt;&gt;Closed",'Actions'!$C$9:$C$308,"&lt;&gt;")+COUNTIFS('Actions'!$D$9:$D$308,E69,'Actions'!$E$9:$E$308,"Taxonomy",'Actions'!$F$9:$F$308,"Critical",'Actions'!$P$9:$P$308,"&lt;&gt;Closed",'Actions'!$C$9:$C$308,"&lt;&gt;")+COUNTIFS('ESG'!$C$9:$C$108,E69,'ESG'!$H$9:$H$108,"Yes"))&gt;0,AND(AB69&lt;&gt;"Green",AB69&lt;&gt;"Amber",AB69&lt;&gt;"Eligible (internal)")),"Pending",IF(AA69="No allocation","Activity only",IF(AA69&lt;&gt;"Valid","Pending","Approved"))))))</x:f>
      </x:c>
      <x:c r="AD69" s="21" t="str">
        <x:f>IF(C69="","",IF(AND(AC69="Approved",OR(AB69="Green",AB69="Eligible (internal)")),N69,0))</x:f>
      </x:c>
      <x:c r="AE69" s="21" t="str">
        <x:f>IF(C69="","",IF(AND(AC69="Approved",AB69="Amber"),N69,0))</x:f>
      </x:c>
      <x:c r="AF69" s="9" t="str">
        <x:f>IF(C69="","",IF((COUNTIFS('Actions'!$D$9:$D$308,E69,'Actions'!$E$9:$E$308,"E&amp;S",'Actions'!$F$9:$F$308,"Critical",'Actions'!$P$9:$P$308,"&lt;&gt;Closed",'Actions'!$C$9:$C$308,"&lt;&gt;")+COUNTIFS('Actions'!$D$9:$D$308,E69,'Actions'!$E$9:$E$308,"Taxonomy",'Actions'!$F$9:$F$308,"Critical",'Actions'!$P$9:$P$308,"&lt;&gt;Closed",'Actions'!$C$9:$C$308,"&lt;&gt;")+COUNTIFS('ESG'!$C$9:$C$108,E69,'ESG'!$H$9:$H$108,"Yes"))&gt;0,"Resolve critical E&amp;S / taxonomy issue",IF(AH69&lt;&gt;"Current",AH69,IF(Z69&lt;&gt;"Pass","Review individual tests",IF(U69="Criteria required","Sourced criteria / interpretation required",IF(AA69&lt;&gt;"Valid",AA69,IF(T69&lt;&gt;"Approved","Approval required",I69)))))))</x:f>
      </x:c>
      <x:c r="AG69" s="9" t="str">
        <x:f>IF(C69="","",IFERROR(INDEX('Taxonomy Rules'!$L$9:$L$20,MATCH(H69&amp;"::"&amp;G69,'Taxonomy Rules'!$C$9:$C$20,0)),"Unimplemented activity"))</x:f>
      </x:c>
      <x:c r="AH69" s="9" t="str">
        <x:f>IF(C69="","",IF(COUNTIF($C$9:$C$108,C69)&lt;&gt;1,"Duplicate ID",IF(OR(COUNTIF(Facilities!$C$9:$C$108,D69)&lt;&gt;1,COUNTIF(Borrowers!$C$9:$C$108,E69)&lt;&gt;1),"Key review",IF(OR(P69="",Q69="",P69=Q69,NOT(ISNUMBER(R69)),NOT(ISNUMBER(S69)),R69&gt;Settings!$F$8,S69&lt;R69),"Review required",IF(S69&lt;Settings!$F$8,"Expired","Current")))))</x:f>
      </x:c>
    </x:row>
    <x:row r="70" ht="26" customHeight="1">
      <x:c r="A70" s="1"/>
      <x:c r="B70" s="1"/>
      <x:c r="C70" s="8"/>
      <x:c r="D70" s="8"/>
      <x:c r="E70" s="9" t="str">
        <x:f>IF(C70="","",IFERROR(INDEX('Facilities'!$D$9:$D$108,MATCH(D70,'Facilities'!$C$9:$C$108,0)),""))</x:f>
      </x:c>
      <x:c r="F70" s="9" t="str">
        <x:f>IF(C70="","",IFERROR(INDEX('Borrowers'!$E$9:$E$108,MATCH(E70,'Borrowers'!$C$9:$C$108,0)),""))</x:f>
      </x:c>
      <x:c r="G70" s="9" t="str">
        <x:f>IF(C70="","",IFERROR(INDEX('Facilities'!$W$9:$W$108,MATCH(D70,'Facilities'!$C$9:$C$108,0)),""))</x:f>
      </x:c>
      <x:c r="H70" s="9" t="str">
        <x:f>IF(C70="","",Settings!$F$11)</x:f>
      </x:c>
      <x:c r="I70" s="3" t="str">
        <x:f>IF(C70="","",IF(H70="Jordan 2026",IF(F70="Jordan","Jordan taxonomy","Reference benchmark"),"Internal policy"))</x:f>
      </x:c>
      <x:c r="J70" s="8"/>
      <x:c r="K70" s="35"/>
      <x:c r="L70" s="35"/>
      <x:c r="M70" s="8"/>
      <x:c r="N70" s="16"/>
      <x:c r="O70" s="8"/>
      <x:c r="P70" s="8"/>
      <x:c r="Q70" s="8"/>
      <x:c r="R70" s="10"/>
      <x:c r="S70" s="10"/>
      <x:c r="T70" s="8"/>
      <x:c r="U70" s="9" t="str">
        <x:f>IF(C70="","",IF(V70=0,"Criteria required",IF(OR(NOT(ISNUMBER(J70)),J70&lt;1900,J70&gt;YEAR(Settings!$F$8),IFERROR(MOD(J70,1),1)&lt;&gt;0,NOT(ISNUMBER(K70)),K70&lt;0,AND(H70="Internal criteria",OR(G70="Cement",G70="Building renovation"),OR(NOT(ISNUMBER(IFERROR(INDEX('Taxonomy Rules'!$G$9:$G$20,MATCH(H70&amp;"::"&amp;G70,'Taxonomy Rules'!$C$9:$C$20,0)),0))),IFERROR(INDEX('Taxonomy Rules'!$G$9:$G$20,MATCH(H70&amp;"::"&amp;G70,'Taxonomy Rules'!$C$9:$C$20,0)),0)&lt;=0,AND(G70="Building renovation",IFERROR(INDEX('Taxonomy Rules'!$G$9:$G$20,MATCH(H70&amp;"::"&amp;G70,'Taxonomy Rules'!$C$9:$C$20,0)),0)&gt;1)))),"Criteria required",IF(G70="Solar PV",IF(M70&lt;&gt;"Eligible activity","Criteria required",IF(K70=1,"Pass","Fail")),IF(G70="Cement",IF(M70="Amber",IF(H70="Jordan 2026",IF(YEAR(Settings!$F$8)&lt;2040,"Amber","Fail"),"Criteria required"),IF(M70&lt;&gt;"Green","Criteria required",IF(H70="Jordan 2026",IF(IFERROR(INDEX('Taxonomy Rules'!$P$9:$P$14,MATCH(J70,'Taxonomy Rules'!$O$9:$O$14,0)),0)=0,"Criteria required",IF(K70&lt;=IFERROR(INDEX('Taxonomy Rules'!$P$9:$P$14,MATCH(J70,'Taxonomy Rules'!$O$9:$O$14,0)),0),"Pass","Fail")),IF(K70&lt;=IFERROR(INDEX('Taxonomy Rules'!$G$9:$G$20,MATCH(H70&amp;"::"&amp;G70,'Taxonomy Rules'!$C$9:$C$20,0)),0),"Pass","Fail")))),IF(G70="Building renovation",IF(M70="Whole building",IF(K70=1,"Pass","Fail"),IF(M70&lt;&gt;"Improvement","Criteria required",IF(OR(K70&gt;1,NOT(ISNUMBER(L70)),L70&lt;0,L70&gt;1),"Criteria required",IF(MAX(K70,L70)&lt;IFERROR(INDEX('Taxonomy Rules'!$G$9:$G$20,MATCH(H70&amp;"::"&amp;G70,'Taxonomy Rules'!$C$9:$C$20,0)),0),"Fail",IF(H70="Jordan 2026",IF(YEAR(Settings!$F$8)&lt;2035,"Amber",IF(YEAR(Settings!$F$8)=2035,"Criteria required","Fail")),"Pass"))))),IF(G70="Road freight",IF(M70&lt;&gt;"Zero emissions","Criteria required",IF(AND(K70=0,ISNUMBER(L70),L70=0),"Pass","Fail")),IF(G70="New building",IF(NOT(OR(M70="Green",M70="Amber")),"Criteria required",IF(K70&lt;&gt;1,"Fail",IF(M70="Amber",IF(H70="Jordan 2026",IF(YEAR(Settings!$F$8)&lt;2030,"Amber",IF(YEAR(Settings!$F$8)=2030,"Criteria required","Fail")),"Criteria required"),"Pass"))),IF(G70="Building equipment",IF(M70&lt;&gt;"Equipment","Criteria required",IF(K70=1,"Pass","Fail")),"Criteria required")))))))))</x:f>
      </x:c>
      <x:c r="V70" s="9" t="str">
        <x:f>IF(C70="","",IFERROR(INDEX('Taxonomy Rules'!$J$9:$J$20,MATCH(H70&amp;"::"&amp;G70,'Taxonomy Rules'!$C$9:$C$20,0)),0))</x:f>
      </x:c>
      <x:c r="W70" s="9" t="str">
        <x:f>IF(C70="","",COUNTIFS('Taxonomy Tests'!$D$9:$D$2008,C70,'Taxonomy Tests'!$Q$9:$Q$2008,"Complete"))</x:f>
      </x:c>
      <x:c r="X70" s="9" t="str">
        <x:f>IF(C70="","",COUNTIFS('Taxonomy Tests'!$D$9:$D$2008,C70,'Taxonomy Tests'!$P$9:$P$2008,"Fail"))</x:f>
      </x:c>
      <x:c r="Y70" s="9" t="str">
        <x:f>IF(C70="","",MAX(0,V70-W70)+COUNTIFS('Taxonomy Tests'!$D$9:$D$2008,C70,'Taxonomy Tests'!$R$9:$R$2008,"Duplicate test")+COUNTIFS('Taxonomy Tests'!$D$9:$D$2008,C70,'Taxonomy Tests'!$R$9:$R$2008,"Unexpected test"))</x:f>
      </x:c>
      <x:c r="Z70" s="9" t="str">
        <x:f>IF(C70="","",IF(X70&gt;0,"Fail",IF(AND(V70&gt;0,W70=V70,Y70=0,COUNTIF('Taxonomy Tests'!$D$9:$D$2008,C70)=V70),"Pass","Pending")))</x:f>
      </x:c>
      <x:c r="AA70" s="9" t="str">
        <x:f>IF(C70="","",IF(COUNTIF(Facilities!$C$9:$C$108,D70)&lt;&gt;1,"Facility key",IF(OR(NOT(ISNUMBER(N70)),N70&lt;0),"Amount required",IF(SUMIF($D$9:$D$108,D70,$N$9:$N$108)&gt;IFERROR(INDEX('Facilities'!$AA$9:$AA$108,MATCH(D70,'Facilities'!$C$9:$C$108,0)),"")+0.000001,"Overallocated",IF(N70=0,"No allocation",IF(O70="","Evidence required","Valid"))))))</x:f>
      </x:c>
      <x:c r="AB70" s="3" t="str">
        <x:f>IF(C70="","",IF(OR(U70="Fail",Z70="Fail"),IF(H70="Jordan 2026","Red / not aligned","Not eligible"),IF(OR(U70="Criteria required",V70=0),"Criteria required",IF(Z70&lt;&gt;"Pass","Pending",IF(U70="Amber","Amber",IF(H70="Jordan 2026","Green","Eligible (internal)"))))))</x:f>
      </x:c>
      <x:c r="AC70" s="9" t="str">
        <x:f>IF(C70="","",IF(T70="Rejected","Rejected",IF(OR(AB70="Red / not aligned",AB70="Not eligible"),"Not eligible",IF(OR(AH70&lt;&gt;"Current",T70&lt;&gt;"Approved",Z70&lt;&gt;"Pass",(COUNTIFS('Actions'!$D$9:$D$308,E70,'Actions'!$E$9:$E$308,"E&amp;S",'Actions'!$F$9:$F$308,"Critical",'Actions'!$P$9:$P$308,"&lt;&gt;Closed",'Actions'!$C$9:$C$308,"&lt;&gt;")+COUNTIFS('Actions'!$D$9:$D$308,E70,'Actions'!$E$9:$E$308,"Taxonomy",'Actions'!$F$9:$F$308,"Critical",'Actions'!$P$9:$P$308,"&lt;&gt;Closed",'Actions'!$C$9:$C$308,"&lt;&gt;")+COUNTIFS('ESG'!$C$9:$C$108,E70,'ESG'!$H$9:$H$108,"Yes"))&gt;0,AND(AB70&lt;&gt;"Green",AB70&lt;&gt;"Amber",AB70&lt;&gt;"Eligible (internal)")),"Pending",IF(AA70="No allocation","Activity only",IF(AA70&lt;&gt;"Valid","Pending","Approved"))))))</x:f>
      </x:c>
      <x:c r="AD70" s="21" t="str">
        <x:f>IF(C70="","",IF(AND(AC70="Approved",OR(AB70="Green",AB70="Eligible (internal)")),N70,0))</x:f>
      </x:c>
      <x:c r="AE70" s="21" t="str">
        <x:f>IF(C70="","",IF(AND(AC70="Approved",AB70="Amber"),N70,0))</x:f>
      </x:c>
      <x:c r="AF70" s="9" t="str">
        <x:f>IF(C70="","",IF((COUNTIFS('Actions'!$D$9:$D$308,E70,'Actions'!$E$9:$E$308,"E&amp;S",'Actions'!$F$9:$F$308,"Critical",'Actions'!$P$9:$P$308,"&lt;&gt;Closed",'Actions'!$C$9:$C$308,"&lt;&gt;")+COUNTIFS('Actions'!$D$9:$D$308,E70,'Actions'!$E$9:$E$308,"Taxonomy",'Actions'!$F$9:$F$308,"Critical",'Actions'!$P$9:$P$308,"&lt;&gt;Closed",'Actions'!$C$9:$C$308,"&lt;&gt;")+COUNTIFS('ESG'!$C$9:$C$108,E70,'ESG'!$H$9:$H$108,"Yes"))&gt;0,"Resolve critical E&amp;S / taxonomy issue",IF(AH70&lt;&gt;"Current",AH70,IF(Z70&lt;&gt;"Pass","Review individual tests",IF(U70="Criteria required","Sourced criteria / interpretation required",IF(AA70&lt;&gt;"Valid",AA70,IF(T70&lt;&gt;"Approved","Approval required",I70)))))))</x:f>
      </x:c>
      <x:c r="AG70" s="9" t="str">
        <x:f>IF(C70="","",IFERROR(INDEX('Taxonomy Rules'!$L$9:$L$20,MATCH(H70&amp;"::"&amp;G70,'Taxonomy Rules'!$C$9:$C$20,0)),"Unimplemented activity"))</x:f>
      </x:c>
      <x:c r="AH70" s="9" t="str">
        <x:f>IF(C70="","",IF(COUNTIF($C$9:$C$108,C70)&lt;&gt;1,"Duplicate ID",IF(OR(COUNTIF(Facilities!$C$9:$C$108,D70)&lt;&gt;1,COUNTIF(Borrowers!$C$9:$C$108,E70)&lt;&gt;1),"Key review",IF(OR(P70="",Q70="",P70=Q70,NOT(ISNUMBER(R70)),NOT(ISNUMBER(S70)),R70&gt;Settings!$F$8,S70&lt;R70),"Review required",IF(S70&lt;Settings!$F$8,"Expired","Current")))))</x:f>
      </x:c>
    </x:row>
    <x:row r="71" ht="26" customHeight="1">
      <x:c r="A71" s="1"/>
      <x:c r="B71" s="1"/>
      <x:c r="C71" s="8"/>
      <x:c r="D71" s="8"/>
      <x:c r="E71" s="9" t="str">
        <x:f>IF(C71="","",IFERROR(INDEX('Facilities'!$D$9:$D$108,MATCH(D71,'Facilities'!$C$9:$C$108,0)),""))</x:f>
      </x:c>
      <x:c r="F71" s="9" t="str">
        <x:f>IF(C71="","",IFERROR(INDEX('Borrowers'!$E$9:$E$108,MATCH(E71,'Borrowers'!$C$9:$C$108,0)),""))</x:f>
      </x:c>
      <x:c r="G71" s="9" t="str">
        <x:f>IF(C71="","",IFERROR(INDEX('Facilities'!$W$9:$W$108,MATCH(D71,'Facilities'!$C$9:$C$108,0)),""))</x:f>
      </x:c>
      <x:c r="H71" s="9" t="str">
        <x:f>IF(C71="","",Settings!$F$11)</x:f>
      </x:c>
      <x:c r="I71" s="3" t="str">
        <x:f>IF(C71="","",IF(H71="Jordan 2026",IF(F71="Jordan","Jordan taxonomy","Reference benchmark"),"Internal policy"))</x:f>
      </x:c>
      <x:c r="J71" s="8"/>
      <x:c r="K71" s="35"/>
      <x:c r="L71" s="35"/>
      <x:c r="M71" s="8"/>
      <x:c r="N71" s="16"/>
      <x:c r="O71" s="8"/>
      <x:c r="P71" s="8"/>
      <x:c r="Q71" s="8"/>
      <x:c r="R71" s="10"/>
      <x:c r="S71" s="10"/>
      <x:c r="T71" s="8"/>
      <x:c r="U71" s="9" t="str">
        <x:f>IF(C71="","",IF(V71=0,"Criteria required",IF(OR(NOT(ISNUMBER(J71)),J71&lt;1900,J71&gt;YEAR(Settings!$F$8),IFERROR(MOD(J71,1),1)&lt;&gt;0,NOT(ISNUMBER(K71)),K71&lt;0,AND(H71="Internal criteria",OR(G71="Cement",G71="Building renovation"),OR(NOT(ISNUMBER(IFERROR(INDEX('Taxonomy Rules'!$G$9:$G$20,MATCH(H71&amp;"::"&amp;G71,'Taxonomy Rules'!$C$9:$C$20,0)),0))),IFERROR(INDEX('Taxonomy Rules'!$G$9:$G$20,MATCH(H71&amp;"::"&amp;G71,'Taxonomy Rules'!$C$9:$C$20,0)),0)&lt;=0,AND(G71="Building renovation",IFERROR(INDEX('Taxonomy Rules'!$G$9:$G$20,MATCH(H71&amp;"::"&amp;G71,'Taxonomy Rules'!$C$9:$C$20,0)),0)&gt;1)))),"Criteria required",IF(G71="Solar PV",IF(M71&lt;&gt;"Eligible activity","Criteria required",IF(K71=1,"Pass","Fail")),IF(G71="Cement",IF(M71="Amber",IF(H71="Jordan 2026",IF(YEAR(Settings!$F$8)&lt;2040,"Amber","Fail"),"Criteria required"),IF(M71&lt;&gt;"Green","Criteria required",IF(H71="Jordan 2026",IF(IFERROR(INDEX('Taxonomy Rules'!$P$9:$P$14,MATCH(J71,'Taxonomy Rules'!$O$9:$O$14,0)),0)=0,"Criteria required",IF(K71&lt;=IFERROR(INDEX('Taxonomy Rules'!$P$9:$P$14,MATCH(J71,'Taxonomy Rules'!$O$9:$O$14,0)),0),"Pass","Fail")),IF(K71&lt;=IFERROR(INDEX('Taxonomy Rules'!$G$9:$G$20,MATCH(H71&amp;"::"&amp;G71,'Taxonomy Rules'!$C$9:$C$20,0)),0),"Pass","Fail")))),IF(G71="Building renovation",IF(M71="Whole building",IF(K71=1,"Pass","Fail"),IF(M71&lt;&gt;"Improvement","Criteria required",IF(OR(K71&gt;1,NOT(ISNUMBER(L71)),L71&lt;0,L71&gt;1),"Criteria required",IF(MAX(K71,L71)&lt;IFERROR(INDEX('Taxonomy Rules'!$G$9:$G$20,MATCH(H71&amp;"::"&amp;G71,'Taxonomy Rules'!$C$9:$C$20,0)),0),"Fail",IF(H71="Jordan 2026",IF(YEAR(Settings!$F$8)&lt;2035,"Amber",IF(YEAR(Settings!$F$8)=2035,"Criteria required","Fail")),"Pass"))))),IF(G71="Road freight",IF(M71&lt;&gt;"Zero emissions","Criteria required",IF(AND(K71=0,ISNUMBER(L71),L71=0),"Pass","Fail")),IF(G71="New building",IF(NOT(OR(M71="Green",M71="Amber")),"Criteria required",IF(K71&lt;&gt;1,"Fail",IF(M71="Amber",IF(H71="Jordan 2026",IF(YEAR(Settings!$F$8)&lt;2030,"Amber",IF(YEAR(Settings!$F$8)=2030,"Criteria required","Fail")),"Criteria required"),"Pass"))),IF(G71="Building equipment",IF(M71&lt;&gt;"Equipment","Criteria required",IF(K71=1,"Pass","Fail")),"Criteria required")))))))))</x:f>
      </x:c>
      <x:c r="V71" s="9" t="str">
        <x:f>IF(C71="","",IFERROR(INDEX('Taxonomy Rules'!$J$9:$J$20,MATCH(H71&amp;"::"&amp;G71,'Taxonomy Rules'!$C$9:$C$20,0)),0))</x:f>
      </x:c>
      <x:c r="W71" s="9" t="str">
        <x:f>IF(C71="","",COUNTIFS('Taxonomy Tests'!$D$9:$D$2008,C71,'Taxonomy Tests'!$Q$9:$Q$2008,"Complete"))</x:f>
      </x:c>
      <x:c r="X71" s="9" t="str">
        <x:f>IF(C71="","",COUNTIFS('Taxonomy Tests'!$D$9:$D$2008,C71,'Taxonomy Tests'!$P$9:$P$2008,"Fail"))</x:f>
      </x:c>
      <x:c r="Y71" s="9" t="str">
        <x:f>IF(C71="","",MAX(0,V71-W71)+COUNTIFS('Taxonomy Tests'!$D$9:$D$2008,C71,'Taxonomy Tests'!$R$9:$R$2008,"Duplicate test")+COUNTIFS('Taxonomy Tests'!$D$9:$D$2008,C71,'Taxonomy Tests'!$R$9:$R$2008,"Unexpected test"))</x:f>
      </x:c>
      <x:c r="Z71" s="9" t="str">
        <x:f>IF(C71="","",IF(X71&gt;0,"Fail",IF(AND(V71&gt;0,W71=V71,Y71=0,COUNTIF('Taxonomy Tests'!$D$9:$D$2008,C71)=V71),"Pass","Pending")))</x:f>
      </x:c>
      <x:c r="AA71" s="9" t="str">
        <x:f>IF(C71="","",IF(COUNTIF(Facilities!$C$9:$C$108,D71)&lt;&gt;1,"Facility key",IF(OR(NOT(ISNUMBER(N71)),N71&lt;0),"Amount required",IF(SUMIF($D$9:$D$108,D71,$N$9:$N$108)&gt;IFERROR(INDEX('Facilities'!$AA$9:$AA$108,MATCH(D71,'Facilities'!$C$9:$C$108,0)),"")+0.000001,"Overallocated",IF(N71=0,"No allocation",IF(O71="","Evidence required","Valid"))))))</x:f>
      </x:c>
      <x:c r="AB71" s="3" t="str">
        <x:f>IF(C71="","",IF(OR(U71="Fail",Z71="Fail"),IF(H71="Jordan 2026","Red / not aligned","Not eligible"),IF(OR(U71="Criteria required",V71=0),"Criteria required",IF(Z71&lt;&gt;"Pass","Pending",IF(U71="Amber","Amber",IF(H71="Jordan 2026","Green","Eligible (internal)"))))))</x:f>
      </x:c>
      <x:c r="AC71" s="9" t="str">
        <x:f>IF(C71="","",IF(T71="Rejected","Rejected",IF(OR(AB71="Red / not aligned",AB71="Not eligible"),"Not eligible",IF(OR(AH71&lt;&gt;"Current",T71&lt;&gt;"Approved",Z71&lt;&gt;"Pass",(COUNTIFS('Actions'!$D$9:$D$308,E71,'Actions'!$E$9:$E$308,"E&amp;S",'Actions'!$F$9:$F$308,"Critical",'Actions'!$P$9:$P$308,"&lt;&gt;Closed",'Actions'!$C$9:$C$308,"&lt;&gt;")+COUNTIFS('Actions'!$D$9:$D$308,E71,'Actions'!$E$9:$E$308,"Taxonomy",'Actions'!$F$9:$F$308,"Critical",'Actions'!$P$9:$P$308,"&lt;&gt;Closed",'Actions'!$C$9:$C$308,"&lt;&gt;")+COUNTIFS('ESG'!$C$9:$C$108,E71,'ESG'!$H$9:$H$108,"Yes"))&gt;0,AND(AB71&lt;&gt;"Green",AB71&lt;&gt;"Amber",AB71&lt;&gt;"Eligible (internal)")),"Pending",IF(AA71="No allocation","Activity only",IF(AA71&lt;&gt;"Valid","Pending","Approved"))))))</x:f>
      </x:c>
      <x:c r="AD71" s="21" t="str">
        <x:f>IF(C71="","",IF(AND(AC71="Approved",OR(AB71="Green",AB71="Eligible (internal)")),N71,0))</x:f>
      </x:c>
      <x:c r="AE71" s="21" t="str">
        <x:f>IF(C71="","",IF(AND(AC71="Approved",AB71="Amber"),N71,0))</x:f>
      </x:c>
      <x:c r="AF71" s="9" t="str">
        <x:f>IF(C71="","",IF((COUNTIFS('Actions'!$D$9:$D$308,E71,'Actions'!$E$9:$E$308,"E&amp;S",'Actions'!$F$9:$F$308,"Critical",'Actions'!$P$9:$P$308,"&lt;&gt;Closed",'Actions'!$C$9:$C$308,"&lt;&gt;")+COUNTIFS('Actions'!$D$9:$D$308,E71,'Actions'!$E$9:$E$308,"Taxonomy",'Actions'!$F$9:$F$308,"Critical",'Actions'!$P$9:$P$308,"&lt;&gt;Closed",'Actions'!$C$9:$C$308,"&lt;&gt;")+COUNTIFS('ESG'!$C$9:$C$108,E71,'ESG'!$H$9:$H$108,"Yes"))&gt;0,"Resolve critical E&amp;S / taxonomy issue",IF(AH71&lt;&gt;"Current",AH71,IF(Z71&lt;&gt;"Pass","Review individual tests",IF(U71="Criteria required","Sourced criteria / interpretation required",IF(AA71&lt;&gt;"Valid",AA71,IF(T71&lt;&gt;"Approved","Approval required",I71)))))))</x:f>
      </x:c>
      <x:c r="AG71" s="9" t="str">
        <x:f>IF(C71="","",IFERROR(INDEX('Taxonomy Rules'!$L$9:$L$20,MATCH(H71&amp;"::"&amp;G71,'Taxonomy Rules'!$C$9:$C$20,0)),"Unimplemented activity"))</x:f>
      </x:c>
      <x:c r="AH71" s="9" t="str">
        <x:f>IF(C71="","",IF(COUNTIF($C$9:$C$108,C71)&lt;&gt;1,"Duplicate ID",IF(OR(COUNTIF(Facilities!$C$9:$C$108,D71)&lt;&gt;1,COUNTIF(Borrowers!$C$9:$C$108,E71)&lt;&gt;1),"Key review",IF(OR(P71="",Q71="",P71=Q71,NOT(ISNUMBER(R71)),NOT(ISNUMBER(S71)),R71&gt;Settings!$F$8,S71&lt;R71),"Review required",IF(S71&lt;Settings!$F$8,"Expired","Current")))))</x:f>
      </x:c>
    </x:row>
    <x:row r="72" ht="26" customHeight="1">
      <x:c r="A72" s="1"/>
      <x:c r="B72" s="1"/>
      <x:c r="C72" s="8"/>
      <x:c r="D72" s="8"/>
      <x:c r="E72" s="9" t="str">
        <x:f>IF(C72="","",IFERROR(INDEX('Facilities'!$D$9:$D$108,MATCH(D72,'Facilities'!$C$9:$C$108,0)),""))</x:f>
      </x:c>
      <x:c r="F72" s="9" t="str">
        <x:f>IF(C72="","",IFERROR(INDEX('Borrowers'!$E$9:$E$108,MATCH(E72,'Borrowers'!$C$9:$C$108,0)),""))</x:f>
      </x:c>
      <x:c r="G72" s="9" t="str">
        <x:f>IF(C72="","",IFERROR(INDEX('Facilities'!$W$9:$W$108,MATCH(D72,'Facilities'!$C$9:$C$108,0)),""))</x:f>
      </x:c>
      <x:c r="H72" s="9" t="str">
        <x:f>IF(C72="","",Settings!$F$11)</x:f>
      </x:c>
      <x:c r="I72" s="3" t="str">
        <x:f>IF(C72="","",IF(H72="Jordan 2026",IF(F72="Jordan","Jordan taxonomy","Reference benchmark"),"Internal policy"))</x:f>
      </x:c>
      <x:c r="J72" s="8"/>
      <x:c r="K72" s="35"/>
      <x:c r="L72" s="35"/>
      <x:c r="M72" s="8"/>
      <x:c r="N72" s="16"/>
      <x:c r="O72" s="8"/>
      <x:c r="P72" s="8"/>
      <x:c r="Q72" s="8"/>
      <x:c r="R72" s="10"/>
      <x:c r="S72" s="10"/>
      <x:c r="T72" s="8"/>
      <x:c r="U72" s="9" t="str">
        <x:f>IF(C72="","",IF(V72=0,"Criteria required",IF(OR(NOT(ISNUMBER(J72)),J72&lt;1900,J72&gt;YEAR(Settings!$F$8),IFERROR(MOD(J72,1),1)&lt;&gt;0,NOT(ISNUMBER(K72)),K72&lt;0,AND(H72="Internal criteria",OR(G72="Cement",G72="Building renovation"),OR(NOT(ISNUMBER(IFERROR(INDEX('Taxonomy Rules'!$G$9:$G$20,MATCH(H72&amp;"::"&amp;G72,'Taxonomy Rules'!$C$9:$C$20,0)),0))),IFERROR(INDEX('Taxonomy Rules'!$G$9:$G$20,MATCH(H72&amp;"::"&amp;G72,'Taxonomy Rules'!$C$9:$C$20,0)),0)&lt;=0,AND(G72="Building renovation",IFERROR(INDEX('Taxonomy Rules'!$G$9:$G$20,MATCH(H72&amp;"::"&amp;G72,'Taxonomy Rules'!$C$9:$C$20,0)),0)&gt;1)))),"Criteria required",IF(G72="Solar PV",IF(M72&lt;&gt;"Eligible activity","Criteria required",IF(K72=1,"Pass","Fail")),IF(G72="Cement",IF(M72="Amber",IF(H72="Jordan 2026",IF(YEAR(Settings!$F$8)&lt;2040,"Amber","Fail"),"Criteria required"),IF(M72&lt;&gt;"Green","Criteria required",IF(H72="Jordan 2026",IF(IFERROR(INDEX('Taxonomy Rules'!$P$9:$P$14,MATCH(J72,'Taxonomy Rules'!$O$9:$O$14,0)),0)=0,"Criteria required",IF(K72&lt;=IFERROR(INDEX('Taxonomy Rules'!$P$9:$P$14,MATCH(J72,'Taxonomy Rules'!$O$9:$O$14,0)),0),"Pass","Fail")),IF(K72&lt;=IFERROR(INDEX('Taxonomy Rules'!$G$9:$G$20,MATCH(H72&amp;"::"&amp;G72,'Taxonomy Rules'!$C$9:$C$20,0)),0),"Pass","Fail")))),IF(G72="Building renovation",IF(M72="Whole building",IF(K72=1,"Pass","Fail"),IF(M72&lt;&gt;"Improvement","Criteria required",IF(OR(K72&gt;1,NOT(ISNUMBER(L72)),L72&lt;0,L72&gt;1),"Criteria required",IF(MAX(K72,L72)&lt;IFERROR(INDEX('Taxonomy Rules'!$G$9:$G$20,MATCH(H72&amp;"::"&amp;G72,'Taxonomy Rules'!$C$9:$C$20,0)),0),"Fail",IF(H72="Jordan 2026",IF(YEAR(Settings!$F$8)&lt;2035,"Amber",IF(YEAR(Settings!$F$8)=2035,"Criteria required","Fail")),"Pass"))))),IF(G72="Road freight",IF(M72&lt;&gt;"Zero emissions","Criteria required",IF(AND(K72=0,ISNUMBER(L72),L72=0),"Pass","Fail")),IF(G72="New building",IF(NOT(OR(M72="Green",M72="Amber")),"Criteria required",IF(K72&lt;&gt;1,"Fail",IF(M72="Amber",IF(H72="Jordan 2026",IF(YEAR(Settings!$F$8)&lt;2030,"Amber",IF(YEAR(Settings!$F$8)=2030,"Criteria required","Fail")),"Criteria required"),"Pass"))),IF(G72="Building equipment",IF(M72&lt;&gt;"Equipment","Criteria required",IF(K72=1,"Pass","Fail")),"Criteria required")))))))))</x:f>
      </x:c>
      <x:c r="V72" s="9" t="str">
        <x:f>IF(C72="","",IFERROR(INDEX('Taxonomy Rules'!$J$9:$J$20,MATCH(H72&amp;"::"&amp;G72,'Taxonomy Rules'!$C$9:$C$20,0)),0))</x:f>
      </x:c>
      <x:c r="W72" s="9" t="str">
        <x:f>IF(C72="","",COUNTIFS('Taxonomy Tests'!$D$9:$D$2008,C72,'Taxonomy Tests'!$Q$9:$Q$2008,"Complete"))</x:f>
      </x:c>
      <x:c r="X72" s="9" t="str">
        <x:f>IF(C72="","",COUNTIFS('Taxonomy Tests'!$D$9:$D$2008,C72,'Taxonomy Tests'!$P$9:$P$2008,"Fail"))</x:f>
      </x:c>
      <x:c r="Y72" s="9" t="str">
        <x:f>IF(C72="","",MAX(0,V72-W72)+COUNTIFS('Taxonomy Tests'!$D$9:$D$2008,C72,'Taxonomy Tests'!$R$9:$R$2008,"Duplicate test")+COUNTIFS('Taxonomy Tests'!$D$9:$D$2008,C72,'Taxonomy Tests'!$R$9:$R$2008,"Unexpected test"))</x:f>
      </x:c>
      <x:c r="Z72" s="9" t="str">
        <x:f>IF(C72="","",IF(X72&gt;0,"Fail",IF(AND(V72&gt;0,W72=V72,Y72=0,COUNTIF('Taxonomy Tests'!$D$9:$D$2008,C72)=V72),"Pass","Pending")))</x:f>
      </x:c>
      <x:c r="AA72" s="9" t="str">
        <x:f>IF(C72="","",IF(COUNTIF(Facilities!$C$9:$C$108,D72)&lt;&gt;1,"Facility key",IF(OR(NOT(ISNUMBER(N72)),N72&lt;0),"Amount required",IF(SUMIF($D$9:$D$108,D72,$N$9:$N$108)&gt;IFERROR(INDEX('Facilities'!$AA$9:$AA$108,MATCH(D72,'Facilities'!$C$9:$C$108,0)),"")+0.000001,"Overallocated",IF(N72=0,"No allocation",IF(O72="","Evidence required","Valid"))))))</x:f>
      </x:c>
      <x:c r="AB72" s="3" t="str">
        <x:f>IF(C72="","",IF(OR(U72="Fail",Z72="Fail"),IF(H72="Jordan 2026","Red / not aligned","Not eligible"),IF(OR(U72="Criteria required",V72=0),"Criteria required",IF(Z72&lt;&gt;"Pass","Pending",IF(U72="Amber","Amber",IF(H72="Jordan 2026","Green","Eligible (internal)"))))))</x:f>
      </x:c>
      <x:c r="AC72" s="9" t="str">
        <x:f>IF(C72="","",IF(T72="Rejected","Rejected",IF(OR(AB72="Red / not aligned",AB72="Not eligible"),"Not eligible",IF(OR(AH72&lt;&gt;"Current",T72&lt;&gt;"Approved",Z72&lt;&gt;"Pass",(COUNTIFS('Actions'!$D$9:$D$308,E72,'Actions'!$E$9:$E$308,"E&amp;S",'Actions'!$F$9:$F$308,"Critical",'Actions'!$P$9:$P$308,"&lt;&gt;Closed",'Actions'!$C$9:$C$308,"&lt;&gt;")+COUNTIFS('Actions'!$D$9:$D$308,E72,'Actions'!$E$9:$E$308,"Taxonomy",'Actions'!$F$9:$F$308,"Critical",'Actions'!$P$9:$P$308,"&lt;&gt;Closed",'Actions'!$C$9:$C$308,"&lt;&gt;")+COUNTIFS('ESG'!$C$9:$C$108,E72,'ESG'!$H$9:$H$108,"Yes"))&gt;0,AND(AB72&lt;&gt;"Green",AB72&lt;&gt;"Amber",AB72&lt;&gt;"Eligible (internal)")),"Pending",IF(AA72="No allocation","Activity only",IF(AA72&lt;&gt;"Valid","Pending","Approved"))))))</x:f>
      </x:c>
      <x:c r="AD72" s="21" t="str">
        <x:f>IF(C72="","",IF(AND(AC72="Approved",OR(AB72="Green",AB72="Eligible (internal)")),N72,0))</x:f>
      </x:c>
      <x:c r="AE72" s="21" t="str">
        <x:f>IF(C72="","",IF(AND(AC72="Approved",AB72="Amber"),N72,0))</x:f>
      </x:c>
      <x:c r="AF72" s="9" t="str">
        <x:f>IF(C72="","",IF((COUNTIFS('Actions'!$D$9:$D$308,E72,'Actions'!$E$9:$E$308,"E&amp;S",'Actions'!$F$9:$F$308,"Critical",'Actions'!$P$9:$P$308,"&lt;&gt;Closed",'Actions'!$C$9:$C$308,"&lt;&gt;")+COUNTIFS('Actions'!$D$9:$D$308,E72,'Actions'!$E$9:$E$308,"Taxonomy",'Actions'!$F$9:$F$308,"Critical",'Actions'!$P$9:$P$308,"&lt;&gt;Closed",'Actions'!$C$9:$C$308,"&lt;&gt;")+COUNTIFS('ESG'!$C$9:$C$108,E72,'ESG'!$H$9:$H$108,"Yes"))&gt;0,"Resolve critical E&amp;S / taxonomy issue",IF(AH72&lt;&gt;"Current",AH72,IF(Z72&lt;&gt;"Pass","Review individual tests",IF(U72="Criteria required","Sourced criteria / interpretation required",IF(AA72&lt;&gt;"Valid",AA72,IF(T72&lt;&gt;"Approved","Approval required",I72)))))))</x:f>
      </x:c>
      <x:c r="AG72" s="9" t="str">
        <x:f>IF(C72="","",IFERROR(INDEX('Taxonomy Rules'!$L$9:$L$20,MATCH(H72&amp;"::"&amp;G72,'Taxonomy Rules'!$C$9:$C$20,0)),"Unimplemented activity"))</x:f>
      </x:c>
      <x:c r="AH72" s="9" t="str">
        <x:f>IF(C72="","",IF(COUNTIF($C$9:$C$108,C72)&lt;&gt;1,"Duplicate ID",IF(OR(COUNTIF(Facilities!$C$9:$C$108,D72)&lt;&gt;1,COUNTIF(Borrowers!$C$9:$C$108,E72)&lt;&gt;1),"Key review",IF(OR(P72="",Q72="",P72=Q72,NOT(ISNUMBER(R72)),NOT(ISNUMBER(S72)),R72&gt;Settings!$F$8,S72&lt;R72),"Review required",IF(S72&lt;Settings!$F$8,"Expired","Current")))))</x:f>
      </x:c>
    </x:row>
    <x:row r="73" ht="26" customHeight="1">
      <x:c r="A73" s="1"/>
      <x:c r="B73" s="1"/>
      <x:c r="C73" s="8"/>
      <x:c r="D73" s="8"/>
      <x:c r="E73" s="9" t="str">
        <x:f>IF(C73="","",IFERROR(INDEX('Facilities'!$D$9:$D$108,MATCH(D73,'Facilities'!$C$9:$C$108,0)),""))</x:f>
      </x:c>
      <x:c r="F73" s="9" t="str">
        <x:f>IF(C73="","",IFERROR(INDEX('Borrowers'!$E$9:$E$108,MATCH(E73,'Borrowers'!$C$9:$C$108,0)),""))</x:f>
      </x:c>
      <x:c r="G73" s="9" t="str">
        <x:f>IF(C73="","",IFERROR(INDEX('Facilities'!$W$9:$W$108,MATCH(D73,'Facilities'!$C$9:$C$108,0)),""))</x:f>
      </x:c>
      <x:c r="H73" s="9" t="str">
        <x:f>IF(C73="","",Settings!$F$11)</x:f>
      </x:c>
      <x:c r="I73" s="3" t="str">
        <x:f>IF(C73="","",IF(H73="Jordan 2026",IF(F73="Jordan","Jordan taxonomy","Reference benchmark"),"Internal policy"))</x:f>
      </x:c>
      <x:c r="J73" s="8"/>
      <x:c r="K73" s="35"/>
      <x:c r="L73" s="35"/>
      <x:c r="M73" s="8"/>
      <x:c r="N73" s="16"/>
      <x:c r="O73" s="8"/>
      <x:c r="P73" s="8"/>
      <x:c r="Q73" s="8"/>
      <x:c r="R73" s="10"/>
      <x:c r="S73" s="10"/>
      <x:c r="T73" s="8"/>
      <x:c r="U73" s="9" t="str">
        <x:f>IF(C73="","",IF(V73=0,"Criteria required",IF(OR(NOT(ISNUMBER(J73)),J73&lt;1900,J73&gt;YEAR(Settings!$F$8),IFERROR(MOD(J73,1),1)&lt;&gt;0,NOT(ISNUMBER(K73)),K73&lt;0,AND(H73="Internal criteria",OR(G73="Cement",G73="Building renovation"),OR(NOT(ISNUMBER(IFERROR(INDEX('Taxonomy Rules'!$G$9:$G$20,MATCH(H73&amp;"::"&amp;G73,'Taxonomy Rules'!$C$9:$C$20,0)),0))),IFERROR(INDEX('Taxonomy Rules'!$G$9:$G$20,MATCH(H73&amp;"::"&amp;G73,'Taxonomy Rules'!$C$9:$C$20,0)),0)&lt;=0,AND(G73="Building renovation",IFERROR(INDEX('Taxonomy Rules'!$G$9:$G$20,MATCH(H73&amp;"::"&amp;G73,'Taxonomy Rules'!$C$9:$C$20,0)),0)&gt;1)))),"Criteria required",IF(G73="Solar PV",IF(M73&lt;&gt;"Eligible activity","Criteria required",IF(K73=1,"Pass","Fail")),IF(G73="Cement",IF(M73="Amber",IF(H73="Jordan 2026",IF(YEAR(Settings!$F$8)&lt;2040,"Amber","Fail"),"Criteria required"),IF(M73&lt;&gt;"Green","Criteria required",IF(H73="Jordan 2026",IF(IFERROR(INDEX('Taxonomy Rules'!$P$9:$P$14,MATCH(J73,'Taxonomy Rules'!$O$9:$O$14,0)),0)=0,"Criteria required",IF(K73&lt;=IFERROR(INDEX('Taxonomy Rules'!$P$9:$P$14,MATCH(J73,'Taxonomy Rules'!$O$9:$O$14,0)),0),"Pass","Fail")),IF(K73&lt;=IFERROR(INDEX('Taxonomy Rules'!$G$9:$G$20,MATCH(H73&amp;"::"&amp;G73,'Taxonomy Rules'!$C$9:$C$20,0)),0),"Pass","Fail")))),IF(G73="Building renovation",IF(M73="Whole building",IF(K73=1,"Pass","Fail"),IF(M73&lt;&gt;"Improvement","Criteria required",IF(OR(K73&gt;1,NOT(ISNUMBER(L73)),L73&lt;0,L73&gt;1),"Criteria required",IF(MAX(K73,L73)&lt;IFERROR(INDEX('Taxonomy Rules'!$G$9:$G$20,MATCH(H73&amp;"::"&amp;G73,'Taxonomy Rules'!$C$9:$C$20,0)),0),"Fail",IF(H73="Jordan 2026",IF(YEAR(Settings!$F$8)&lt;2035,"Amber",IF(YEAR(Settings!$F$8)=2035,"Criteria required","Fail")),"Pass"))))),IF(G73="Road freight",IF(M73&lt;&gt;"Zero emissions","Criteria required",IF(AND(K73=0,ISNUMBER(L73),L73=0),"Pass","Fail")),IF(G73="New building",IF(NOT(OR(M73="Green",M73="Amber")),"Criteria required",IF(K73&lt;&gt;1,"Fail",IF(M73="Amber",IF(H73="Jordan 2026",IF(YEAR(Settings!$F$8)&lt;2030,"Amber",IF(YEAR(Settings!$F$8)=2030,"Criteria required","Fail")),"Criteria required"),"Pass"))),IF(G73="Building equipment",IF(M73&lt;&gt;"Equipment","Criteria required",IF(K73=1,"Pass","Fail")),"Criteria required")))))))))</x:f>
      </x:c>
      <x:c r="V73" s="9" t="str">
        <x:f>IF(C73="","",IFERROR(INDEX('Taxonomy Rules'!$J$9:$J$20,MATCH(H73&amp;"::"&amp;G73,'Taxonomy Rules'!$C$9:$C$20,0)),0))</x:f>
      </x:c>
      <x:c r="W73" s="9" t="str">
        <x:f>IF(C73="","",COUNTIFS('Taxonomy Tests'!$D$9:$D$2008,C73,'Taxonomy Tests'!$Q$9:$Q$2008,"Complete"))</x:f>
      </x:c>
      <x:c r="X73" s="9" t="str">
        <x:f>IF(C73="","",COUNTIFS('Taxonomy Tests'!$D$9:$D$2008,C73,'Taxonomy Tests'!$P$9:$P$2008,"Fail"))</x:f>
      </x:c>
      <x:c r="Y73" s="9" t="str">
        <x:f>IF(C73="","",MAX(0,V73-W73)+COUNTIFS('Taxonomy Tests'!$D$9:$D$2008,C73,'Taxonomy Tests'!$R$9:$R$2008,"Duplicate test")+COUNTIFS('Taxonomy Tests'!$D$9:$D$2008,C73,'Taxonomy Tests'!$R$9:$R$2008,"Unexpected test"))</x:f>
      </x:c>
      <x:c r="Z73" s="9" t="str">
        <x:f>IF(C73="","",IF(X73&gt;0,"Fail",IF(AND(V73&gt;0,W73=V73,Y73=0,COUNTIF('Taxonomy Tests'!$D$9:$D$2008,C73)=V73),"Pass","Pending")))</x:f>
      </x:c>
      <x:c r="AA73" s="9" t="str">
        <x:f>IF(C73="","",IF(COUNTIF(Facilities!$C$9:$C$108,D73)&lt;&gt;1,"Facility key",IF(OR(NOT(ISNUMBER(N73)),N73&lt;0),"Amount required",IF(SUMIF($D$9:$D$108,D73,$N$9:$N$108)&gt;IFERROR(INDEX('Facilities'!$AA$9:$AA$108,MATCH(D73,'Facilities'!$C$9:$C$108,0)),"")+0.000001,"Overallocated",IF(N73=0,"No allocation",IF(O73="","Evidence required","Valid"))))))</x:f>
      </x:c>
      <x:c r="AB73" s="3" t="str">
        <x:f>IF(C73="","",IF(OR(U73="Fail",Z73="Fail"),IF(H73="Jordan 2026","Red / not aligned","Not eligible"),IF(OR(U73="Criteria required",V73=0),"Criteria required",IF(Z73&lt;&gt;"Pass","Pending",IF(U73="Amber","Amber",IF(H73="Jordan 2026","Green","Eligible (internal)"))))))</x:f>
      </x:c>
      <x:c r="AC73" s="9" t="str">
        <x:f>IF(C73="","",IF(T73="Rejected","Rejected",IF(OR(AB73="Red / not aligned",AB73="Not eligible"),"Not eligible",IF(OR(AH73&lt;&gt;"Current",T73&lt;&gt;"Approved",Z73&lt;&gt;"Pass",(COUNTIFS('Actions'!$D$9:$D$308,E73,'Actions'!$E$9:$E$308,"E&amp;S",'Actions'!$F$9:$F$308,"Critical",'Actions'!$P$9:$P$308,"&lt;&gt;Closed",'Actions'!$C$9:$C$308,"&lt;&gt;")+COUNTIFS('Actions'!$D$9:$D$308,E73,'Actions'!$E$9:$E$308,"Taxonomy",'Actions'!$F$9:$F$308,"Critical",'Actions'!$P$9:$P$308,"&lt;&gt;Closed",'Actions'!$C$9:$C$308,"&lt;&gt;")+COUNTIFS('ESG'!$C$9:$C$108,E73,'ESG'!$H$9:$H$108,"Yes"))&gt;0,AND(AB73&lt;&gt;"Green",AB73&lt;&gt;"Amber",AB73&lt;&gt;"Eligible (internal)")),"Pending",IF(AA73="No allocation","Activity only",IF(AA73&lt;&gt;"Valid","Pending","Approved"))))))</x:f>
      </x:c>
      <x:c r="AD73" s="21" t="str">
        <x:f>IF(C73="","",IF(AND(AC73="Approved",OR(AB73="Green",AB73="Eligible (internal)")),N73,0))</x:f>
      </x:c>
      <x:c r="AE73" s="21" t="str">
        <x:f>IF(C73="","",IF(AND(AC73="Approved",AB73="Amber"),N73,0))</x:f>
      </x:c>
      <x:c r="AF73" s="9" t="str">
        <x:f>IF(C73="","",IF((COUNTIFS('Actions'!$D$9:$D$308,E73,'Actions'!$E$9:$E$308,"E&amp;S",'Actions'!$F$9:$F$308,"Critical",'Actions'!$P$9:$P$308,"&lt;&gt;Closed",'Actions'!$C$9:$C$308,"&lt;&gt;")+COUNTIFS('Actions'!$D$9:$D$308,E73,'Actions'!$E$9:$E$308,"Taxonomy",'Actions'!$F$9:$F$308,"Critical",'Actions'!$P$9:$P$308,"&lt;&gt;Closed",'Actions'!$C$9:$C$308,"&lt;&gt;")+COUNTIFS('ESG'!$C$9:$C$108,E73,'ESG'!$H$9:$H$108,"Yes"))&gt;0,"Resolve critical E&amp;S / taxonomy issue",IF(AH73&lt;&gt;"Current",AH73,IF(Z73&lt;&gt;"Pass","Review individual tests",IF(U73="Criteria required","Sourced criteria / interpretation required",IF(AA73&lt;&gt;"Valid",AA73,IF(T73&lt;&gt;"Approved","Approval required",I73)))))))</x:f>
      </x:c>
      <x:c r="AG73" s="9" t="str">
        <x:f>IF(C73="","",IFERROR(INDEX('Taxonomy Rules'!$L$9:$L$20,MATCH(H73&amp;"::"&amp;G73,'Taxonomy Rules'!$C$9:$C$20,0)),"Unimplemented activity"))</x:f>
      </x:c>
      <x:c r="AH73" s="9" t="str">
        <x:f>IF(C73="","",IF(COUNTIF($C$9:$C$108,C73)&lt;&gt;1,"Duplicate ID",IF(OR(COUNTIF(Facilities!$C$9:$C$108,D73)&lt;&gt;1,COUNTIF(Borrowers!$C$9:$C$108,E73)&lt;&gt;1),"Key review",IF(OR(P73="",Q73="",P73=Q73,NOT(ISNUMBER(R73)),NOT(ISNUMBER(S73)),R73&gt;Settings!$F$8,S73&lt;R73),"Review required",IF(S73&lt;Settings!$F$8,"Expired","Current")))))</x:f>
      </x:c>
    </x:row>
    <x:row r="74" ht="26" customHeight="1">
      <x:c r="A74" s="1"/>
      <x:c r="B74" s="1"/>
      <x:c r="C74" s="8"/>
      <x:c r="D74" s="8"/>
      <x:c r="E74" s="9" t="str">
        <x:f>IF(C74="","",IFERROR(INDEX('Facilities'!$D$9:$D$108,MATCH(D74,'Facilities'!$C$9:$C$108,0)),""))</x:f>
      </x:c>
      <x:c r="F74" s="9" t="str">
        <x:f>IF(C74="","",IFERROR(INDEX('Borrowers'!$E$9:$E$108,MATCH(E74,'Borrowers'!$C$9:$C$108,0)),""))</x:f>
      </x:c>
      <x:c r="G74" s="9" t="str">
        <x:f>IF(C74="","",IFERROR(INDEX('Facilities'!$W$9:$W$108,MATCH(D74,'Facilities'!$C$9:$C$108,0)),""))</x:f>
      </x:c>
      <x:c r="H74" s="9" t="str">
        <x:f>IF(C74="","",Settings!$F$11)</x:f>
      </x:c>
      <x:c r="I74" s="3" t="str">
        <x:f>IF(C74="","",IF(H74="Jordan 2026",IF(F74="Jordan","Jordan taxonomy","Reference benchmark"),"Internal policy"))</x:f>
      </x:c>
      <x:c r="J74" s="8"/>
      <x:c r="K74" s="35"/>
      <x:c r="L74" s="35"/>
      <x:c r="M74" s="8"/>
      <x:c r="N74" s="16"/>
      <x:c r="O74" s="8"/>
      <x:c r="P74" s="8"/>
      <x:c r="Q74" s="8"/>
      <x:c r="R74" s="10"/>
      <x:c r="S74" s="10"/>
      <x:c r="T74" s="8"/>
      <x:c r="U74" s="9" t="str">
        <x:f>IF(C74="","",IF(V74=0,"Criteria required",IF(OR(NOT(ISNUMBER(J74)),J74&lt;1900,J74&gt;YEAR(Settings!$F$8),IFERROR(MOD(J74,1),1)&lt;&gt;0,NOT(ISNUMBER(K74)),K74&lt;0,AND(H74="Internal criteria",OR(G74="Cement",G74="Building renovation"),OR(NOT(ISNUMBER(IFERROR(INDEX('Taxonomy Rules'!$G$9:$G$20,MATCH(H74&amp;"::"&amp;G74,'Taxonomy Rules'!$C$9:$C$20,0)),0))),IFERROR(INDEX('Taxonomy Rules'!$G$9:$G$20,MATCH(H74&amp;"::"&amp;G74,'Taxonomy Rules'!$C$9:$C$20,0)),0)&lt;=0,AND(G74="Building renovation",IFERROR(INDEX('Taxonomy Rules'!$G$9:$G$20,MATCH(H74&amp;"::"&amp;G74,'Taxonomy Rules'!$C$9:$C$20,0)),0)&gt;1)))),"Criteria required",IF(G74="Solar PV",IF(M74&lt;&gt;"Eligible activity","Criteria required",IF(K74=1,"Pass","Fail")),IF(G74="Cement",IF(M74="Amber",IF(H74="Jordan 2026",IF(YEAR(Settings!$F$8)&lt;2040,"Amber","Fail"),"Criteria required"),IF(M74&lt;&gt;"Green","Criteria required",IF(H74="Jordan 2026",IF(IFERROR(INDEX('Taxonomy Rules'!$P$9:$P$14,MATCH(J74,'Taxonomy Rules'!$O$9:$O$14,0)),0)=0,"Criteria required",IF(K74&lt;=IFERROR(INDEX('Taxonomy Rules'!$P$9:$P$14,MATCH(J74,'Taxonomy Rules'!$O$9:$O$14,0)),0),"Pass","Fail")),IF(K74&lt;=IFERROR(INDEX('Taxonomy Rules'!$G$9:$G$20,MATCH(H74&amp;"::"&amp;G74,'Taxonomy Rules'!$C$9:$C$20,0)),0),"Pass","Fail")))),IF(G74="Building renovation",IF(M74="Whole building",IF(K74=1,"Pass","Fail"),IF(M74&lt;&gt;"Improvement","Criteria required",IF(OR(K74&gt;1,NOT(ISNUMBER(L74)),L74&lt;0,L74&gt;1),"Criteria required",IF(MAX(K74,L74)&lt;IFERROR(INDEX('Taxonomy Rules'!$G$9:$G$20,MATCH(H74&amp;"::"&amp;G74,'Taxonomy Rules'!$C$9:$C$20,0)),0),"Fail",IF(H74="Jordan 2026",IF(YEAR(Settings!$F$8)&lt;2035,"Amber",IF(YEAR(Settings!$F$8)=2035,"Criteria required","Fail")),"Pass"))))),IF(G74="Road freight",IF(M74&lt;&gt;"Zero emissions","Criteria required",IF(AND(K74=0,ISNUMBER(L74),L74=0),"Pass","Fail")),IF(G74="New building",IF(NOT(OR(M74="Green",M74="Amber")),"Criteria required",IF(K74&lt;&gt;1,"Fail",IF(M74="Amber",IF(H74="Jordan 2026",IF(YEAR(Settings!$F$8)&lt;2030,"Amber",IF(YEAR(Settings!$F$8)=2030,"Criteria required","Fail")),"Criteria required"),"Pass"))),IF(G74="Building equipment",IF(M74&lt;&gt;"Equipment","Criteria required",IF(K74=1,"Pass","Fail")),"Criteria required")))))))))</x:f>
      </x:c>
      <x:c r="V74" s="9" t="str">
        <x:f>IF(C74="","",IFERROR(INDEX('Taxonomy Rules'!$J$9:$J$20,MATCH(H74&amp;"::"&amp;G74,'Taxonomy Rules'!$C$9:$C$20,0)),0))</x:f>
      </x:c>
      <x:c r="W74" s="9" t="str">
        <x:f>IF(C74="","",COUNTIFS('Taxonomy Tests'!$D$9:$D$2008,C74,'Taxonomy Tests'!$Q$9:$Q$2008,"Complete"))</x:f>
      </x:c>
      <x:c r="X74" s="9" t="str">
        <x:f>IF(C74="","",COUNTIFS('Taxonomy Tests'!$D$9:$D$2008,C74,'Taxonomy Tests'!$P$9:$P$2008,"Fail"))</x:f>
      </x:c>
      <x:c r="Y74" s="9" t="str">
        <x:f>IF(C74="","",MAX(0,V74-W74)+COUNTIFS('Taxonomy Tests'!$D$9:$D$2008,C74,'Taxonomy Tests'!$R$9:$R$2008,"Duplicate test")+COUNTIFS('Taxonomy Tests'!$D$9:$D$2008,C74,'Taxonomy Tests'!$R$9:$R$2008,"Unexpected test"))</x:f>
      </x:c>
      <x:c r="Z74" s="9" t="str">
        <x:f>IF(C74="","",IF(X74&gt;0,"Fail",IF(AND(V74&gt;0,W74=V74,Y74=0,COUNTIF('Taxonomy Tests'!$D$9:$D$2008,C74)=V74),"Pass","Pending")))</x:f>
      </x:c>
      <x:c r="AA74" s="9" t="str">
        <x:f>IF(C74="","",IF(COUNTIF(Facilities!$C$9:$C$108,D74)&lt;&gt;1,"Facility key",IF(OR(NOT(ISNUMBER(N74)),N74&lt;0),"Amount required",IF(SUMIF($D$9:$D$108,D74,$N$9:$N$108)&gt;IFERROR(INDEX('Facilities'!$AA$9:$AA$108,MATCH(D74,'Facilities'!$C$9:$C$108,0)),"")+0.000001,"Overallocated",IF(N74=0,"No allocation",IF(O74="","Evidence required","Valid"))))))</x:f>
      </x:c>
      <x:c r="AB74" s="3" t="str">
        <x:f>IF(C74="","",IF(OR(U74="Fail",Z74="Fail"),IF(H74="Jordan 2026","Red / not aligned","Not eligible"),IF(OR(U74="Criteria required",V74=0),"Criteria required",IF(Z74&lt;&gt;"Pass","Pending",IF(U74="Amber","Amber",IF(H74="Jordan 2026","Green","Eligible (internal)"))))))</x:f>
      </x:c>
      <x:c r="AC74" s="9" t="str">
        <x:f>IF(C74="","",IF(T74="Rejected","Rejected",IF(OR(AB74="Red / not aligned",AB74="Not eligible"),"Not eligible",IF(OR(AH74&lt;&gt;"Current",T74&lt;&gt;"Approved",Z74&lt;&gt;"Pass",(COUNTIFS('Actions'!$D$9:$D$308,E74,'Actions'!$E$9:$E$308,"E&amp;S",'Actions'!$F$9:$F$308,"Critical",'Actions'!$P$9:$P$308,"&lt;&gt;Closed",'Actions'!$C$9:$C$308,"&lt;&gt;")+COUNTIFS('Actions'!$D$9:$D$308,E74,'Actions'!$E$9:$E$308,"Taxonomy",'Actions'!$F$9:$F$308,"Critical",'Actions'!$P$9:$P$308,"&lt;&gt;Closed",'Actions'!$C$9:$C$308,"&lt;&gt;")+COUNTIFS('ESG'!$C$9:$C$108,E74,'ESG'!$H$9:$H$108,"Yes"))&gt;0,AND(AB74&lt;&gt;"Green",AB74&lt;&gt;"Amber",AB74&lt;&gt;"Eligible (internal)")),"Pending",IF(AA74="No allocation","Activity only",IF(AA74&lt;&gt;"Valid","Pending","Approved"))))))</x:f>
      </x:c>
      <x:c r="AD74" s="21" t="str">
        <x:f>IF(C74="","",IF(AND(AC74="Approved",OR(AB74="Green",AB74="Eligible (internal)")),N74,0))</x:f>
      </x:c>
      <x:c r="AE74" s="21" t="str">
        <x:f>IF(C74="","",IF(AND(AC74="Approved",AB74="Amber"),N74,0))</x:f>
      </x:c>
      <x:c r="AF74" s="9" t="str">
        <x:f>IF(C74="","",IF((COUNTIFS('Actions'!$D$9:$D$308,E74,'Actions'!$E$9:$E$308,"E&amp;S",'Actions'!$F$9:$F$308,"Critical",'Actions'!$P$9:$P$308,"&lt;&gt;Closed",'Actions'!$C$9:$C$308,"&lt;&gt;")+COUNTIFS('Actions'!$D$9:$D$308,E74,'Actions'!$E$9:$E$308,"Taxonomy",'Actions'!$F$9:$F$308,"Critical",'Actions'!$P$9:$P$308,"&lt;&gt;Closed",'Actions'!$C$9:$C$308,"&lt;&gt;")+COUNTIFS('ESG'!$C$9:$C$108,E74,'ESG'!$H$9:$H$108,"Yes"))&gt;0,"Resolve critical E&amp;S / taxonomy issue",IF(AH74&lt;&gt;"Current",AH74,IF(Z74&lt;&gt;"Pass","Review individual tests",IF(U74="Criteria required","Sourced criteria / interpretation required",IF(AA74&lt;&gt;"Valid",AA74,IF(T74&lt;&gt;"Approved","Approval required",I74)))))))</x:f>
      </x:c>
      <x:c r="AG74" s="9" t="str">
        <x:f>IF(C74="","",IFERROR(INDEX('Taxonomy Rules'!$L$9:$L$20,MATCH(H74&amp;"::"&amp;G74,'Taxonomy Rules'!$C$9:$C$20,0)),"Unimplemented activity"))</x:f>
      </x:c>
      <x:c r="AH74" s="9" t="str">
        <x:f>IF(C74="","",IF(COUNTIF($C$9:$C$108,C74)&lt;&gt;1,"Duplicate ID",IF(OR(COUNTIF(Facilities!$C$9:$C$108,D74)&lt;&gt;1,COUNTIF(Borrowers!$C$9:$C$108,E74)&lt;&gt;1),"Key review",IF(OR(P74="",Q74="",P74=Q74,NOT(ISNUMBER(R74)),NOT(ISNUMBER(S74)),R74&gt;Settings!$F$8,S74&lt;R74),"Review required",IF(S74&lt;Settings!$F$8,"Expired","Current")))))</x:f>
      </x:c>
    </x:row>
    <x:row r="75" ht="26" customHeight="1">
      <x:c r="A75" s="1"/>
      <x:c r="B75" s="1"/>
      <x:c r="C75" s="8"/>
      <x:c r="D75" s="8"/>
      <x:c r="E75" s="9" t="str">
        <x:f>IF(C75="","",IFERROR(INDEX('Facilities'!$D$9:$D$108,MATCH(D75,'Facilities'!$C$9:$C$108,0)),""))</x:f>
      </x:c>
      <x:c r="F75" s="9" t="str">
        <x:f>IF(C75="","",IFERROR(INDEX('Borrowers'!$E$9:$E$108,MATCH(E75,'Borrowers'!$C$9:$C$108,0)),""))</x:f>
      </x:c>
      <x:c r="G75" s="9" t="str">
        <x:f>IF(C75="","",IFERROR(INDEX('Facilities'!$W$9:$W$108,MATCH(D75,'Facilities'!$C$9:$C$108,0)),""))</x:f>
      </x:c>
      <x:c r="H75" s="9" t="str">
        <x:f>IF(C75="","",Settings!$F$11)</x:f>
      </x:c>
      <x:c r="I75" s="3" t="str">
        <x:f>IF(C75="","",IF(H75="Jordan 2026",IF(F75="Jordan","Jordan taxonomy","Reference benchmark"),"Internal policy"))</x:f>
      </x:c>
      <x:c r="J75" s="8"/>
      <x:c r="K75" s="35"/>
      <x:c r="L75" s="35"/>
      <x:c r="M75" s="8"/>
      <x:c r="N75" s="16"/>
      <x:c r="O75" s="8"/>
      <x:c r="P75" s="8"/>
      <x:c r="Q75" s="8"/>
      <x:c r="R75" s="10"/>
      <x:c r="S75" s="10"/>
      <x:c r="T75" s="8"/>
      <x:c r="U75" s="9" t="str">
        <x:f>IF(C75="","",IF(V75=0,"Criteria required",IF(OR(NOT(ISNUMBER(J75)),J75&lt;1900,J75&gt;YEAR(Settings!$F$8),IFERROR(MOD(J75,1),1)&lt;&gt;0,NOT(ISNUMBER(K75)),K75&lt;0,AND(H75="Internal criteria",OR(G75="Cement",G75="Building renovation"),OR(NOT(ISNUMBER(IFERROR(INDEX('Taxonomy Rules'!$G$9:$G$20,MATCH(H75&amp;"::"&amp;G75,'Taxonomy Rules'!$C$9:$C$20,0)),0))),IFERROR(INDEX('Taxonomy Rules'!$G$9:$G$20,MATCH(H75&amp;"::"&amp;G75,'Taxonomy Rules'!$C$9:$C$20,0)),0)&lt;=0,AND(G75="Building renovation",IFERROR(INDEX('Taxonomy Rules'!$G$9:$G$20,MATCH(H75&amp;"::"&amp;G75,'Taxonomy Rules'!$C$9:$C$20,0)),0)&gt;1)))),"Criteria required",IF(G75="Solar PV",IF(M75&lt;&gt;"Eligible activity","Criteria required",IF(K75=1,"Pass","Fail")),IF(G75="Cement",IF(M75="Amber",IF(H75="Jordan 2026",IF(YEAR(Settings!$F$8)&lt;2040,"Amber","Fail"),"Criteria required"),IF(M75&lt;&gt;"Green","Criteria required",IF(H75="Jordan 2026",IF(IFERROR(INDEX('Taxonomy Rules'!$P$9:$P$14,MATCH(J75,'Taxonomy Rules'!$O$9:$O$14,0)),0)=0,"Criteria required",IF(K75&lt;=IFERROR(INDEX('Taxonomy Rules'!$P$9:$P$14,MATCH(J75,'Taxonomy Rules'!$O$9:$O$14,0)),0),"Pass","Fail")),IF(K75&lt;=IFERROR(INDEX('Taxonomy Rules'!$G$9:$G$20,MATCH(H75&amp;"::"&amp;G75,'Taxonomy Rules'!$C$9:$C$20,0)),0),"Pass","Fail")))),IF(G75="Building renovation",IF(M75="Whole building",IF(K75=1,"Pass","Fail"),IF(M75&lt;&gt;"Improvement","Criteria required",IF(OR(K75&gt;1,NOT(ISNUMBER(L75)),L75&lt;0,L75&gt;1),"Criteria required",IF(MAX(K75,L75)&lt;IFERROR(INDEX('Taxonomy Rules'!$G$9:$G$20,MATCH(H75&amp;"::"&amp;G75,'Taxonomy Rules'!$C$9:$C$20,0)),0),"Fail",IF(H75="Jordan 2026",IF(YEAR(Settings!$F$8)&lt;2035,"Amber",IF(YEAR(Settings!$F$8)=2035,"Criteria required","Fail")),"Pass"))))),IF(G75="Road freight",IF(M75&lt;&gt;"Zero emissions","Criteria required",IF(AND(K75=0,ISNUMBER(L75),L75=0),"Pass","Fail")),IF(G75="New building",IF(NOT(OR(M75="Green",M75="Amber")),"Criteria required",IF(K75&lt;&gt;1,"Fail",IF(M75="Amber",IF(H75="Jordan 2026",IF(YEAR(Settings!$F$8)&lt;2030,"Amber",IF(YEAR(Settings!$F$8)=2030,"Criteria required","Fail")),"Criteria required"),"Pass"))),IF(G75="Building equipment",IF(M75&lt;&gt;"Equipment","Criteria required",IF(K75=1,"Pass","Fail")),"Criteria required")))))))))</x:f>
      </x:c>
      <x:c r="V75" s="9" t="str">
        <x:f>IF(C75="","",IFERROR(INDEX('Taxonomy Rules'!$J$9:$J$20,MATCH(H75&amp;"::"&amp;G75,'Taxonomy Rules'!$C$9:$C$20,0)),0))</x:f>
      </x:c>
      <x:c r="W75" s="9" t="str">
        <x:f>IF(C75="","",COUNTIFS('Taxonomy Tests'!$D$9:$D$2008,C75,'Taxonomy Tests'!$Q$9:$Q$2008,"Complete"))</x:f>
      </x:c>
      <x:c r="X75" s="9" t="str">
        <x:f>IF(C75="","",COUNTIFS('Taxonomy Tests'!$D$9:$D$2008,C75,'Taxonomy Tests'!$P$9:$P$2008,"Fail"))</x:f>
      </x:c>
      <x:c r="Y75" s="9" t="str">
        <x:f>IF(C75="","",MAX(0,V75-W75)+COUNTIFS('Taxonomy Tests'!$D$9:$D$2008,C75,'Taxonomy Tests'!$R$9:$R$2008,"Duplicate test")+COUNTIFS('Taxonomy Tests'!$D$9:$D$2008,C75,'Taxonomy Tests'!$R$9:$R$2008,"Unexpected test"))</x:f>
      </x:c>
      <x:c r="Z75" s="9" t="str">
        <x:f>IF(C75="","",IF(X75&gt;0,"Fail",IF(AND(V75&gt;0,W75=V75,Y75=0,COUNTIF('Taxonomy Tests'!$D$9:$D$2008,C75)=V75),"Pass","Pending")))</x:f>
      </x:c>
      <x:c r="AA75" s="9" t="str">
        <x:f>IF(C75="","",IF(COUNTIF(Facilities!$C$9:$C$108,D75)&lt;&gt;1,"Facility key",IF(OR(NOT(ISNUMBER(N75)),N75&lt;0),"Amount required",IF(SUMIF($D$9:$D$108,D75,$N$9:$N$108)&gt;IFERROR(INDEX('Facilities'!$AA$9:$AA$108,MATCH(D75,'Facilities'!$C$9:$C$108,0)),"")+0.000001,"Overallocated",IF(N75=0,"No allocation",IF(O75="","Evidence required","Valid"))))))</x:f>
      </x:c>
      <x:c r="AB75" s="3" t="str">
        <x:f>IF(C75="","",IF(OR(U75="Fail",Z75="Fail"),IF(H75="Jordan 2026","Red / not aligned","Not eligible"),IF(OR(U75="Criteria required",V75=0),"Criteria required",IF(Z75&lt;&gt;"Pass","Pending",IF(U75="Amber","Amber",IF(H75="Jordan 2026","Green","Eligible (internal)"))))))</x:f>
      </x:c>
      <x:c r="AC75" s="9" t="str">
        <x:f>IF(C75="","",IF(T75="Rejected","Rejected",IF(OR(AB75="Red / not aligned",AB75="Not eligible"),"Not eligible",IF(OR(AH75&lt;&gt;"Current",T75&lt;&gt;"Approved",Z75&lt;&gt;"Pass",(COUNTIFS('Actions'!$D$9:$D$308,E75,'Actions'!$E$9:$E$308,"E&amp;S",'Actions'!$F$9:$F$308,"Critical",'Actions'!$P$9:$P$308,"&lt;&gt;Closed",'Actions'!$C$9:$C$308,"&lt;&gt;")+COUNTIFS('Actions'!$D$9:$D$308,E75,'Actions'!$E$9:$E$308,"Taxonomy",'Actions'!$F$9:$F$308,"Critical",'Actions'!$P$9:$P$308,"&lt;&gt;Closed",'Actions'!$C$9:$C$308,"&lt;&gt;")+COUNTIFS('ESG'!$C$9:$C$108,E75,'ESG'!$H$9:$H$108,"Yes"))&gt;0,AND(AB75&lt;&gt;"Green",AB75&lt;&gt;"Amber",AB75&lt;&gt;"Eligible (internal)")),"Pending",IF(AA75="No allocation","Activity only",IF(AA75&lt;&gt;"Valid","Pending","Approved"))))))</x:f>
      </x:c>
      <x:c r="AD75" s="21" t="str">
        <x:f>IF(C75="","",IF(AND(AC75="Approved",OR(AB75="Green",AB75="Eligible (internal)")),N75,0))</x:f>
      </x:c>
      <x:c r="AE75" s="21" t="str">
        <x:f>IF(C75="","",IF(AND(AC75="Approved",AB75="Amber"),N75,0))</x:f>
      </x:c>
      <x:c r="AF75" s="9" t="str">
        <x:f>IF(C75="","",IF((COUNTIFS('Actions'!$D$9:$D$308,E75,'Actions'!$E$9:$E$308,"E&amp;S",'Actions'!$F$9:$F$308,"Critical",'Actions'!$P$9:$P$308,"&lt;&gt;Closed",'Actions'!$C$9:$C$308,"&lt;&gt;")+COUNTIFS('Actions'!$D$9:$D$308,E75,'Actions'!$E$9:$E$308,"Taxonomy",'Actions'!$F$9:$F$308,"Critical",'Actions'!$P$9:$P$308,"&lt;&gt;Closed",'Actions'!$C$9:$C$308,"&lt;&gt;")+COUNTIFS('ESG'!$C$9:$C$108,E75,'ESG'!$H$9:$H$108,"Yes"))&gt;0,"Resolve critical E&amp;S / taxonomy issue",IF(AH75&lt;&gt;"Current",AH75,IF(Z75&lt;&gt;"Pass","Review individual tests",IF(U75="Criteria required","Sourced criteria / interpretation required",IF(AA75&lt;&gt;"Valid",AA75,IF(T75&lt;&gt;"Approved","Approval required",I75)))))))</x:f>
      </x:c>
      <x:c r="AG75" s="9" t="str">
        <x:f>IF(C75="","",IFERROR(INDEX('Taxonomy Rules'!$L$9:$L$20,MATCH(H75&amp;"::"&amp;G75,'Taxonomy Rules'!$C$9:$C$20,0)),"Unimplemented activity"))</x:f>
      </x:c>
      <x:c r="AH75" s="9" t="str">
        <x:f>IF(C75="","",IF(COUNTIF($C$9:$C$108,C75)&lt;&gt;1,"Duplicate ID",IF(OR(COUNTIF(Facilities!$C$9:$C$108,D75)&lt;&gt;1,COUNTIF(Borrowers!$C$9:$C$108,E75)&lt;&gt;1),"Key review",IF(OR(P75="",Q75="",P75=Q75,NOT(ISNUMBER(R75)),NOT(ISNUMBER(S75)),R75&gt;Settings!$F$8,S75&lt;R75),"Review required",IF(S75&lt;Settings!$F$8,"Expired","Current")))))</x:f>
      </x:c>
    </x:row>
    <x:row r="76" ht="26" customHeight="1">
      <x:c r="A76" s="1"/>
      <x:c r="B76" s="1"/>
      <x:c r="C76" s="8"/>
      <x:c r="D76" s="8"/>
      <x:c r="E76" s="9" t="str">
        <x:f>IF(C76="","",IFERROR(INDEX('Facilities'!$D$9:$D$108,MATCH(D76,'Facilities'!$C$9:$C$108,0)),""))</x:f>
      </x:c>
      <x:c r="F76" s="9" t="str">
        <x:f>IF(C76="","",IFERROR(INDEX('Borrowers'!$E$9:$E$108,MATCH(E76,'Borrowers'!$C$9:$C$108,0)),""))</x:f>
      </x:c>
      <x:c r="G76" s="9" t="str">
        <x:f>IF(C76="","",IFERROR(INDEX('Facilities'!$W$9:$W$108,MATCH(D76,'Facilities'!$C$9:$C$108,0)),""))</x:f>
      </x:c>
      <x:c r="H76" s="9" t="str">
        <x:f>IF(C76="","",Settings!$F$11)</x:f>
      </x:c>
      <x:c r="I76" s="3" t="str">
        <x:f>IF(C76="","",IF(H76="Jordan 2026",IF(F76="Jordan","Jordan taxonomy","Reference benchmark"),"Internal policy"))</x:f>
      </x:c>
      <x:c r="J76" s="8"/>
      <x:c r="K76" s="35"/>
      <x:c r="L76" s="35"/>
      <x:c r="M76" s="8"/>
      <x:c r="N76" s="16"/>
      <x:c r="O76" s="8"/>
      <x:c r="P76" s="8"/>
      <x:c r="Q76" s="8"/>
      <x:c r="R76" s="10"/>
      <x:c r="S76" s="10"/>
      <x:c r="T76" s="8"/>
      <x:c r="U76" s="9" t="str">
        <x:f>IF(C76="","",IF(V76=0,"Criteria required",IF(OR(NOT(ISNUMBER(J76)),J76&lt;1900,J76&gt;YEAR(Settings!$F$8),IFERROR(MOD(J76,1),1)&lt;&gt;0,NOT(ISNUMBER(K76)),K76&lt;0,AND(H76="Internal criteria",OR(G76="Cement",G76="Building renovation"),OR(NOT(ISNUMBER(IFERROR(INDEX('Taxonomy Rules'!$G$9:$G$20,MATCH(H76&amp;"::"&amp;G76,'Taxonomy Rules'!$C$9:$C$20,0)),0))),IFERROR(INDEX('Taxonomy Rules'!$G$9:$G$20,MATCH(H76&amp;"::"&amp;G76,'Taxonomy Rules'!$C$9:$C$20,0)),0)&lt;=0,AND(G76="Building renovation",IFERROR(INDEX('Taxonomy Rules'!$G$9:$G$20,MATCH(H76&amp;"::"&amp;G76,'Taxonomy Rules'!$C$9:$C$20,0)),0)&gt;1)))),"Criteria required",IF(G76="Solar PV",IF(M76&lt;&gt;"Eligible activity","Criteria required",IF(K76=1,"Pass","Fail")),IF(G76="Cement",IF(M76="Amber",IF(H76="Jordan 2026",IF(YEAR(Settings!$F$8)&lt;2040,"Amber","Fail"),"Criteria required"),IF(M76&lt;&gt;"Green","Criteria required",IF(H76="Jordan 2026",IF(IFERROR(INDEX('Taxonomy Rules'!$P$9:$P$14,MATCH(J76,'Taxonomy Rules'!$O$9:$O$14,0)),0)=0,"Criteria required",IF(K76&lt;=IFERROR(INDEX('Taxonomy Rules'!$P$9:$P$14,MATCH(J76,'Taxonomy Rules'!$O$9:$O$14,0)),0),"Pass","Fail")),IF(K76&lt;=IFERROR(INDEX('Taxonomy Rules'!$G$9:$G$20,MATCH(H76&amp;"::"&amp;G76,'Taxonomy Rules'!$C$9:$C$20,0)),0),"Pass","Fail")))),IF(G76="Building renovation",IF(M76="Whole building",IF(K76=1,"Pass","Fail"),IF(M76&lt;&gt;"Improvement","Criteria required",IF(OR(K76&gt;1,NOT(ISNUMBER(L76)),L76&lt;0,L76&gt;1),"Criteria required",IF(MAX(K76,L76)&lt;IFERROR(INDEX('Taxonomy Rules'!$G$9:$G$20,MATCH(H76&amp;"::"&amp;G76,'Taxonomy Rules'!$C$9:$C$20,0)),0),"Fail",IF(H76="Jordan 2026",IF(YEAR(Settings!$F$8)&lt;2035,"Amber",IF(YEAR(Settings!$F$8)=2035,"Criteria required","Fail")),"Pass"))))),IF(G76="Road freight",IF(M76&lt;&gt;"Zero emissions","Criteria required",IF(AND(K76=0,ISNUMBER(L76),L76=0),"Pass","Fail")),IF(G76="New building",IF(NOT(OR(M76="Green",M76="Amber")),"Criteria required",IF(K76&lt;&gt;1,"Fail",IF(M76="Amber",IF(H76="Jordan 2026",IF(YEAR(Settings!$F$8)&lt;2030,"Amber",IF(YEAR(Settings!$F$8)=2030,"Criteria required","Fail")),"Criteria required"),"Pass"))),IF(G76="Building equipment",IF(M76&lt;&gt;"Equipment","Criteria required",IF(K76=1,"Pass","Fail")),"Criteria required")))))))))</x:f>
      </x:c>
      <x:c r="V76" s="9" t="str">
        <x:f>IF(C76="","",IFERROR(INDEX('Taxonomy Rules'!$J$9:$J$20,MATCH(H76&amp;"::"&amp;G76,'Taxonomy Rules'!$C$9:$C$20,0)),0))</x:f>
      </x:c>
      <x:c r="W76" s="9" t="str">
        <x:f>IF(C76="","",COUNTIFS('Taxonomy Tests'!$D$9:$D$2008,C76,'Taxonomy Tests'!$Q$9:$Q$2008,"Complete"))</x:f>
      </x:c>
      <x:c r="X76" s="9" t="str">
        <x:f>IF(C76="","",COUNTIFS('Taxonomy Tests'!$D$9:$D$2008,C76,'Taxonomy Tests'!$P$9:$P$2008,"Fail"))</x:f>
      </x:c>
      <x:c r="Y76" s="9" t="str">
        <x:f>IF(C76="","",MAX(0,V76-W76)+COUNTIFS('Taxonomy Tests'!$D$9:$D$2008,C76,'Taxonomy Tests'!$R$9:$R$2008,"Duplicate test")+COUNTIFS('Taxonomy Tests'!$D$9:$D$2008,C76,'Taxonomy Tests'!$R$9:$R$2008,"Unexpected test"))</x:f>
      </x:c>
      <x:c r="Z76" s="9" t="str">
        <x:f>IF(C76="","",IF(X76&gt;0,"Fail",IF(AND(V76&gt;0,W76=V76,Y76=0,COUNTIF('Taxonomy Tests'!$D$9:$D$2008,C76)=V76),"Pass","Pending")))</x:f>
      </x:c>
      <x:c r="AA76" s="9" t="str">
        <x:f>IF(C76="","",IF(COUNTIF(Facilities!$C$9:$C$108,D76)&lt;&gt;1,"Facility key",IF(OR(NOT(ISNUMBER(N76)),N76&lt;0),"Amount required",IF(SUMIF($D$9:$D$108,D76,$N$9:$N$108)&gt;IFERROR(INDEX('Facilities'!$AA$9:$AA$108,MATCH(D76,'Facilities'!$C$9:$C$108,0)),"")+0.000001,"Overallocated",IF(N76=0,"No allocation",IF(O76="","Evidence required","Valid"))))))</x:f>
      </x:c>
      <x:c r="AB76" s="3" t="str">
        <x:f>IF(C76="","",IF(OR(U76="Fail",Z76="Fail"),IF(H76="Jordan 2026","Red / not aligned","Not eligible"),IF(OR(U76="Criteria required",V76=0),"Criteria required",IF(Z76&lt;&gt;"Pass","Pending",IF(U76="Amber","Amber",IF(H76="Jordan 2026","Green","Eligible (internal)"))))))</x:f>
      </x:c>
      <x:c r="AC76" s="9" t="str">
        <x:f>IF(C76="","",IF(T76="Rejected","Rejected",IF(OR(AB76="Red / not aligned",AB76="Not eligible"),"Not eligible",IF(OR(AH76&lt;&gt;"Current",T76&lt;&gt;"Approved",Z76&lt;&gt;"Pass",(COUNTIFS('Actions'!$D$9:$D$308,E76,'Actions'!$E$9:$E$308,"E&amp;S",'Actions'!$F$9:$F$308,"Critical",'Actions'!$P$9:$P$308,"&lt;&gt;Closed",'Actions'!$C$9:$C$308,"&lt;&gt;")+COUNTIFS('Actions'!$D$9:$D$308,E76,'Actions'!$E$9:$E$308,"Taxonomy",'Actions'!$F$9:$F$308,"Critical",'Actions'!$P$9:$P$308,"&lt;&gt;Closed",'Actions'!$C$9:$C$308,"&lt;&gt;")+COUNTIFS('ESG'!$C$9:$C$108,E76,'ESG'!$H$9:$H$108,"Yes"))&gt;0,AND(AB76&lt;&gt;"Green",AB76&lt;&gt;"Amber",AB76&lt;&gt;"Eligible (internal)")),"Pending",IF(AA76="No allocation","Activity only",IF(AA76&lt;&gt;"Valid","Pending","Approved"))))))</x:f>
      </x:c>
      <x:c r="AD76" s="21" t="str">
        <x:f>IF(C76="","",IF(AND(AC76="Approved",OR(AB76="Green",AB76="Eligible (internal)")),N76,0))</x:f>
      </x:c>
      <x:c r="AE76" s="21" t="str">
        <x:f>IF(C76="","",IF(AND(AC76="Approved",AB76="Amber"),N76,0))</x:f>
      </x:c>
      <x:c r="AF76" s="9" t="str">
        <x:f>IF(C76="","",IF((COUNTIFS('Actions'!$D$9:$D$308,E76,'Actions'!$E$9:$E$308,"E&amp;S",'Actions'!$F$9:$F$308,"Critical",'Actions'!$P$9:$P$308,"&lt;&gt;Closed",'Actions'!$C$9:$C$308,"&lt;&gt;")+COUNTIFS('Actions'!$D$9:$D$308,E76,'Actions'!$E$9:$E$308,"Taxonomy",'Actions'!$F$9:$F$308,"Critical",'Actions'!$P$9:$P$308,"&lt;&gt;Closed",'Actions'!$C$9:$C$308,"&lt;&gt;")+COUNTIFS('ESG'!$C$9:$C$108,E76,'ESG'!$H$9:$H$108,"Yes"))&gt;0,"Resolve critical E&amp;S / taxonomy issue",IF(AH76&lt;&gt;"Current",AH76,IF(Z76&lt;&gt;"Pass","Review individual tests",IF(U76="Criteria required","Sourced criteria / interpretation required",IF(AA76&lt;&gt;"Valid",AA76,IF(T76&lt;&gt;"Approved","Approval required",I76)))))))</x:f>
      </x:c>
      <x:c r="AG76" s="9" t="str">
        <x:f>IF(C76="","",IFERROR(INDEX('Taxonomy Rules'!$L$9:$L$20,MATCH(H76&amp;"::"&amp;G76,'Taxonomy Rules'!$C$9:$C$20,0)),"Unimplemented activity"))</x:f>
      </x:c>
      <x:c r="AH76" s="9" t="str">
        <x:f>IF(C76="","",IF(COUNTIF($C$9:$C$108,C76)&lt;&gt;1,"Duplicate ID",IF(OR(COUNTIF(Facilities!$C$9:$C$108,D76)&lt;&gt;1,COUNTIF(Borrowers!$C$9:$C$108,E76)&lt;&gt;1),"Key review",IF(OR(P76="",Q76="",P76=Q76,NOT(ISNUMBER(R76)),NOT(ISNUMBER(S76)),R76&gt;Settings!$F$8,S76&lt;R76),"Review required",IF(S76&lt;Settings!$F$8,"Expired","Current")))))</x:f>
      </x:c>
    </x:row>
    <x:row r="77" ht="26" customHeight="1">
      <x:c r="A77" s="1"/>
      <x:c r="B77" s="1"/>
      <x:c r="C77" s="8"/>
      <x:c r="D77" s="8"/>
      <x:c r="E77" s="9" t="str">
        <x:f>IF(C77="","",IFERROR(INDEX('Facilities'!$D$9:$D$108,MATCH(D77,'Facilities'!$C$9:$C$108,0)),""))</x:f>
      </x:c>
      <x:c r="F77" s="9" t="str">
        <x:f>IF(C77="","",IFERROR(INDEX('Borrowers'!$E$9:$E$108,MATCH(E77,'Borrowers'!$C$9:$C$108,0)),""))</x:f>
      </x:c>
      <x:c r="G77" s="9" t="str">
        <x:f>IF(C77="","",IFERROR(INDEX('Facilities'!$W$9:$W$108,MATCH(D77,'Facilities'!$C$9:$C$108,0)),""))</x:f>
      </x:c>
      <x:c r="H77" s="9" t="str">
        <x:f>IF(C77="","",Settings!$F$11)</x:f>
      </x:c>
      <x:c r="I77" s="3" t="str">
        <x:f>IF(C77="","",IF(H77="Jordan 2026",IF(F77="Jordan","Jordan taxonomy","Reference benchmark"),"Internal policy"))</x:f>
      </x:c>
      <x:c r="J77" s="8"/>
      <x:c r="K77" s="35"/>
      <x:c r="L77" s="35"/>
      <x:c r="M77" s="8"/>
      <x:c r="N77" s="16"/>
      <x:c r="O77" s="8"/>
      <x:c r="P77" s="8"/>
      <x:c r="Q77" s="8"/>
      <x:c r="R77" s="10"/>
      <x:c r="S77" s="10"/>
      <x:c r="T77" s="8"/>
      <x:c r="U77" s="9" t="str">
        <x:f>IF(C77="","",IF(V77=0,"Criteria required",IF(OR(NOT(ISNUMBER(J77)),J77&lt;1900,J77&gt;YEAR(Settings!$F$8),IFERROR(MOD(J77,1),1)&lt;&gt;0,NOT(ISNUMBER(K77)),K77&lt;0,AND(H77="Internal criteria",OR(G77="Cement",G77="Building renovation"),OR(NOT(ISNUMBER(IFERROR(INDEX('Taxonomy Rules'!$G$9:$G$20,MATCH(H77&amp;"::"&amp;G77,'Taxonomy Rules'!$C$9:$C$20,0)),0))),IFERROR(INDEX('Taxonomy Rules'!$G$9:$G$20,MATCH(H77&amp;"::"&amp;G77,'Taxonomy Rules'!$C$9:$C$20,0)),0)&lt;=0,AND(G77="Building renovation",IFERROR(INDEX('Taxonomy Rules'!$G$9:$G$20,MATCH(H77&amp;"::"&amp;G77,'Taxonomy Rules'!$C$9:$C$20,0)),0)&gt;1)))),"Criteria required",IF(G77="Solar PV",IF(M77&lt;&gt;"Eligible activity","Criteria required",IF(K77=1,"Pass","Fail")),IF(G77="Cement",IF(M77="Amber",IF(H77="Jordan 2026",IF(YEAR(Settings!$F$8)&lt;2040,"Amber","Fail"),"Criteria required"),IF(M77&lt;&gt;"Green","Criteria required",IF(H77="Jordan 2026",IF(IFERROR(INDEX('Taxonomy Rules'!$P$9:$P$14,MATCH(J77,'Taxonomy Rules'!$O$9:$O$14,0)),0)=0,"Criteria required",IF(K77&lt;=IFERROR(INDEX('Taxonomy Rules'!$P$9:$P$14,MATCH(J77,'Taxonomy Rules'!$O$9:$O$14,0)),0),"Pass","Fail")),IF(K77&lt;=IFERROR(INDEX('Taxonomy Rules'!$G$9:$G$20,MATCH(H77&amp;"::"&amp;G77,'Taxonomy Rules'!$C$9:$C$20,0)),0),"Pass","Fail")))),IF(G77="Building renovation",IF(M77="Whole building",IF(K77=1,"Pass","Fail"),IF(M77&lt;&gt;"Improvement","Criteria required",IF(OR(K77&gt;1,NOT(ISNUMBER(L77)),L77&lt;0,L77&gt;1),"Criteria required",IF(MAX(K77,L77)&lt;IFERROR(INDEX('Taxonomy Rules'!$G$9:$G$20,MATCH(H77&amp;"::"&amp;G77,'Taxonomy Rules'!$C$9:$C$20,0)),0),"Fail",IF(H77="Jordan 2026",IF(YEAR(Settings!$F$8)&lt;2035,"Amber",IF(YEAR(Settings!$F$8)=2035,"Criteria required","Fail")),"Pass"))))),IF(G77="Road freight",IF(M77&lt;&gt;"Zero emissions","Criteria required",IF(AND(K77=0,ISNUMBER(L77),L77=0),"Pass","Fail")),IF(G77="New building",IF(NOT(OR(M77="Green",M77="Amber")),"Criteria required",IF(K77&lt;&gt;1,"Fail",IF(M77="Amber",IF(H77="Jordan 2026",IF(YEAR(Settings!$F$8)&lt;2030,"Amber",IF(YEAR(Settings!$F$8)=2030,"Criteria required","Fail")),"Criteria required"),"Pass"))),IF(G77="Building equipment",IF(M77&lt;&gt;"Equipment","Criteria required",IF(K77=1,"Pass","Fail")),"Criteria required")))))))))</x:f>
      </x:c>
      <x:c r="V77" s="9" t="str">
        <x:f>IF(C77="","",IFERROR(INDEX('Taxonomy Rules'!$J$9:$J$20,MATCH(H77&amp;"::"&amp;G77,'Taxonomy Rules'!$C$9:$C$20,0)),0))</x:f>
      </x:c>
      <x:c r="W77" s="9" t="str">
        <x:f>IF(C77="","",COUNTIFS('Taxonomy Tests'!$D$9:$D$2008,C77,'Taxonomy Tests'!$Q$9:$Q$2008,"Complete"))</x:f>
      </x:c>
      <x:c r="X77" s="9" t="str">
        <x:f>IF(C77="","",COUNTIFS('Taxonomy Tests'!$D$9:$D$2008,C77,'Taxonomy Tests'!$P$9:$P$2008,"Fail"))</x:f>
      </x:c>
      <x:c r="Y77" s="9" t="str">
        <x:f>IF(C77="","",MAX(0,V77-W77)+COUNTIFS('Taxonomy Tests'!$D$9:$D$2008,C77,'Taxonomy Tests'!$R$9:$R$2008,"Duplicate test")+COUNTIFS('Taxonomy Tests'!$D$9:$D$2008,C77,'Taxonomy Tests'!$R$9:$R$2008,"Unexpected test"))</x:f>
      </x:c>
      <x:c r="Z77" s="9" t="str">
        <x:f>IF(C77="","",IF(X77&gt;0,"Fail",IF(AND(V77&gt;0,W77=V77,Y77=0,COUNTIF('Taxonomy Tests'!$D$9:$D$2008,C77)=V77),"Pass","Pending")))</x:f>
      </x:c>
      <x:c r="AA77" s="9" t="str">
        <x:f>IF(C77="","",IF(COUNTIF(Facilities!$C$9:$C$108,D77)&lt;&gt;1,"Facility key",IF(OR(NOT(ISNUMBER(N77)),N77&lt;0),"Amount required",IF(SUMIF($D$9:$D$108,D77,$N$9:$N$108)&gt;IFERROR(INDEX('Facilities'!$AA$9:$AA$108,MATCH(D77,'Facilities'!$C$9:$C$108,0)),"")+0.000001,"Overallocated",IF(N77=0,"No allocation",IF(O77="","Evidence required","Valid"))))))</x:f>
      </x:c>
      <x:c r="AB77" s="3" t="str">
        <x:f>IF(C77="","",IF(OR(U77="Fail",Z77="Fail"),IF(H77="Jordan 2026","Red / not aligned","Not eligible"),IF(OR(U77="Criteria required",V77=0),"Criteria required",IF(Z77&lt;&gt;"Pass","Pending",IF(U77="Amber","Amber",IF(H77="Jordan 2026","Green","Eligible (internal)"))))))</x:f>
      </x:c>
      <x:c r="AC77" s="9" t="str">
        <x:f>IF(C77="","",IF(T77="Rejected","Rejected",IF(OR(AB77="Red / not aligned",AB77="Not eligible"),"Not eligible",IF(OR(AH77&lt;&gt;"Current",T77&lt;&gt;"Approved",Z77&lt;&gt;"Pass",(COUNTIFS('Actions'!$D$9:$D$308,E77,'Actions'!$E$9:$E$308,"E&amp;S",'Actions'!$F$9:$F$308,"Critical",'Actions'!$P$9:$P$308,"&lt;&gt;Closed",'Actions'!$C$9:$C$308,"&lt;&gt;")+COUNTIFS('Actions'!$D$9:$D$308,E77,'Actions'!$E$9:$E$308,"Taxonomy",'Actions'!$F$9:$F$308,"Critical",'Actions'!$P$9:$P$308,"&lt;&gt;Closed",'Actions'!$C$9:$C$308,"&lt;&gt;")+COUNTIFS('ESG'!$C$9:$C$108,E77,'ESG'!$H$9:$H$108,"Yes"))&gt;0,AND(AB77&lt;&gt;"Green",AB77&lt;&gt;"Amber",AB77&lt;&gt;"Eligible (internal)")),"Pending",IF(AA77="No allocation","Activity only",IF(AA77&lt;&gt;"Valid","Pending","Approved"))))))</x:f>
      </x:c>
      <x:c r="AD77" s="21" t="str">
        <x:f>IF(C77="","",IF(AND(AC77="Approved",OR(AB77="Green",AB77="Eligible (internal)")),N77,0))</x:f>
      </x:c>
      <x:c r="AE77" s="21" t="str">
        <x:f>IF(C77="","",IF(AND(AC77="Approved",AB77="Amber"),N77,0))</x:f>
      </x:c>
      <x:c r="AF77" s="9" t="str">
        <x:f>IF(C77="","",IF((COUNTIFS('Actions'!$D$9:$D$308,E77,'Actions'!$E$9:$E$308,"E&amp;S",'Actions'!$F$9:$F$308,"Critical",'Actions'!$P$9:$P$308,"&lt;&gt;Closed",'Actions'!$C$9:$C$308,"&lt;&gt;")+COUNTIFS('Actions'!$D$9:$D$308,E77,'Actions'!$E$9:$E$308,"Taxonomy",'Actions'!$F$9:$F$308,"Critical",'Actions'!$P$9:$P$308,"&lt;&gt;Closed",'Actions'!$C$9:$C$308,"&lt;&gt;")+COUNTIFS('ESG'!$C$9:$C$108,E77,'ESG'!$H$9:$H$108,"Yes"))&gt;0,"Resolve critical E&amp;S / taxonomy issue",IF(AH77&lt;&gt;"Current",AH77,IF(Z77&lt;&gt;"Pass","Review individual tests",IF(U77="Criteria required","Sourced criteria / interpretation required",IF(AA77&lt;&gt;"Valid",AA77,IF(T77&lt;&gt;"Approved","Approval required",I77)))))))</x:f>
      </x:c>
      <x:c r="AG77" s="9" t="str">
        <x:f>IF(C77="","",IFERROR(INDEX('Taxonomy Rules'!$L$9:$L$20,MATCH(H77&amp;"::"&amp;G77,'Taxonomy Rules'!$C$9:$C$20,0)),"Unimplemented activity"))</x:f>
      </x:c>
      <x:c r="AH77" s="9" t="str">
        <x:f>IF(C77="","",IF(COUNTIF($C$9:$C$108,C77)&lt;&gt;1,"Duplicate ID",IF(OR(COUNTIF(Facilities!$C$9:$C$108,D77)&lt;&gt;1,COUNTIF(Borrowers!$C$9:$C$108,E77)&lt;&gt;1),"Key review",IF(OR(P77="",Q77="",P77=Q77,NOT(ISNUMBER(R77)),NOT(ISNUMBER(S77)),R77&gt;Settings!$F$8,S77&lt;R77),"Review required",IF(S77&lt;Settings!$F$8,"Expired","Current")))))</x:f>
      </x:c>
    </x:row>
    <x:row r="78" ht="26" customHeight="1">
      <x:c r="A78" s="1"/>
      <x:c r="B78" s="1"/>
      <x:c r="C78" s="8"/>
      <x:c r="D78" s="8"/>
      <x:c r="E78" s="9" t="str">
        <x:f>IF(C78="","",IFERROR(INDEX('Facilities'!$D$9:$D$108,MATCH(D78,'Facilities'!$C$9:$C$108,0)),""))</x:f>
      </x:c>
      <x:c r="F78" s="9" t="str">
        <x:f>IF(C78="","",IFERROR(INDEX('Borrowers'!$E$9:$E$108,MATCH(E78,'Borrowers'!$C$9:$C$108,0)),""))</x:f>
      </x:c>
      <x:c r="G78" s="9" t="str">
        <x:f>IF(C78="","",IFERROR(INDEX('Facilities'!$W$9:$W$108,MATCH(D78,'Facilities'!$C$9:$C$108,0)),""))</x:f>
      </x:c>
      <x:c r="H78" s="9" t="str">
        <x:f>IF(C78="","",Settings!$F$11)</x:f>
      </x:c>
      <x:c r="I78" s="3" t="str">
        <x:f>IF(C78="","",IF(H78="Jordan 2026",IF(F78="Jordan","Jordan taxonomy","Reference benchmark"),"Internal policy"))</x:f>
      </x:c>
      <x:c r="J78" s="8"/>
      <x:c r="K78" s="35"/>
      <x:c r="L78" s="35"/>
      <x:c r="M78" s="8"/>
      <x:c r="N78" s="16"/>
      <x:c r="O78" s="8"/>
      <x:c r="P78" s="8"/>
      <x:c r="Q78" s="8"/>
      <x:c r="R78" s="10"/>
      <x:c r="S78" s="10"/>
      <x:c r="T78" s="8"/>
      <x:c r="U78" s="9" t="str">
        <x:f>IF(C78="","",IF(V78=0,"Criteria required",IF(OR(NOT(ISNUMBER(J78)),J78&lt;1900,J78&gt;YEAR(Settings!$F$8),IFERROR(MOD(J78,1),1)&lt;&gt;0,NOT(ISNUMBER(K78)),K78&lt;0,AND(H78="Internal criteria",OR(G78="Cement",G78="Building renovation"),OR(NOT(ISNUMBER(IFERROR(INDEX('Taxonomy Rules'!$G$9:$G$20,MATCH(H78&amp;"::"&amp;G78,'Taxonomy Rules'!$C$9:$C$20,0)),0))),IFERROR(INDEX('Taxonomy Rules'!$G$9:$G$20,MATCH(H78&amp;"::"&amp;G78,'Taxonomy Rules'!$C$9:$C$20,0)),0)&lt;=0,AND(G78="Building renovation",IFERROR(INDEX('Taxonomy Rules'!$G$9:$G$20,MATCH(H78&amp;"::"&amp;G78,'Taxonomy Rules'!$C$9:$C$20,0)),0)&gt;1)))),"Criteria required",IF(G78="Solar PV",IF(M78&lt;&gt;"Eligible activity","Criteria required",IF(K78=1,"Pass","Fail")),IF(G78="Cement",IF(M78="Amber",IF(H78="Jordan 2026",IF(YEAR(Settings!$F$8)&lt;2040,"Amber","Fail"),"Criteria required"),IF(M78&lt;&gt;"Green","Criteria required",IF(H78="Jordan 2026",IF(IFERROR(INDEX('Taxonomy Rules'!$P$9:$P$14,MATCH(J78,'Taxonomy Rules'!$O$9:$O$14,0)),0)=0,"Criteria required",IF(K78&lt;=IFERROR(INDEX('Taxonomy Rules'!$P$9:$P$14,MATCH(J78,'Taxonomy Rules'!$O$9:$O$14,0)),0),"Pass","Fail")),IF(K78&lt;=IFERROR(INDEX('Taxonomy Rules'!$G$9:$G$20,MATCH(H78&amp;"::"&amp;G78,'Taxonomy Rules'!$C$9:$C$20,0)),0),"Pass","Fail")))),IF(G78="Building renovation",IF(M78="Whole building",IF(K78=1,"Pass","Fail"),IF(M78&lt;&gt;"Improvement","Criteria required",IF(OR(K78&gt;1,NOT(ISNUMBER(L78)),L78&lt;0,L78&gt;1),"Criteria required",IF(MAX(K78,L78)&lt;IFERROR(INDEX('Taxonomy Rules'!$G$9:$G$20,MATCH(H78&amp;"::"&amp;G78,'Taxonomy Rules'!$C$9:$C$20,0)),0),"Fail",IF(H78="Jordan 2026",IF(YEAR(Settings!$F$8)&lt;2035,"Amber",IF(YEAR(Settings!$F$8)=2035,"Criteria required","Fail")),"Pass"))))),IF(G78="Road freight",IF(M78&lt;&gt;"Zero emissions","Criteria required",IF(AND(K78=0,ISNUMBER(L78),L78=0),"Pass","Fail")),IF(G78="New building",IF(NOT(OR(M78="Green",M78="Amber")),"Criteria required",IF(K78&lt;&gt;1,"Fail",IF(M78="Amber",IF(H78="Jordan 2026",IF(YEAR(Settings!$F$8)&lt;2030,"Amber",IF(YEAR(Settings!$F$8)=2030,"Criteria required","Fail")),"Criteria required"),"Pass"))),IF(G78="Building equipment",IF(M78&lt;&gt;"Equipment","Criteria required",IF(K78=1,"Pass","Fail")),"Criteria required")))))))))</x:f>
      </x:c>
      <x:c r="V78" s="9" t="str">
        <x:f>IF(C78="","",IFERROR(INDEX('Taxonomy Rules'!$J$9:$J$20,MATCH(H78&amp;"::"&amp;G78,'Taxonomy Rules'!$C$9:$C$20,0)),0))</x:f>
      </x:c>
      <x:c r="W78" s="9" t="str">
        <x:f>IF(C78="","",COUNTIFS('Taxonomy Tests'!$D$9:$D$2008,C78,'Taxonomy Tests'!$Q$9:$Q$2008,"Complete"))</x:f>
      </x:c>
      <x:c r="X78" s="9" t="str">
        <x:f>IF(C78="","",COUNTIFS('Taxonomy Tests'!$D$9:$D$2008,C78,'Taxonomy Tests'!$P$9:$P$2008,"Fail"))</x:f>
      </x:c>
      <x:c r="Y78" s="9" t="str">
        <x:f>IF(C78="","",MAX(0,V78-W78)+COUNTIFS('Taxonomy Tests'!$D$9:$D$2008,C78,'Taxonomy Tests'!$R$9:$R$2008,"Duplicate test")+COUNTIFS('Taxonomy Tests'!$D$9:$D$2008,C78,'Taxonomy Tests'!$R$9:$R$2008,"Unexpected test"))</x:f>
      </x:c>
      <x:c r="Z78" s="9" t="str">
        <x:f>IF(C78="","",IF(X78&gt;0,"Fail",IF(AND(V78&gt;0,W78=V78,Y78=0,COUNTIF('Taxonomy Tests'!$D$9:$D$2008,C78)=V78),"Pass","Pending")))</x:f>
      </x:c>
      <x:c r="AA78" s="9" t="str">
        <x:f>IF(C78="","",IF(COUNTIF(Facilities!$C$9:$C$108,D78)&lt;&gt;1,"Facility key",IF(OR(NOT(ISNUMBER(N78)),N78&lt;0),"Amount required",IF(SUMIF($D$9:$D$108,D78,$N$9:$N$108)&gt;IFERROR(INDEX('Facilities'!$AA$9:$AA$108,MATCH(D78,'Facilities'!$C$9:$C$108,0)),"")+0.000001,"Overallocated",IF(N78=0,"No allocation",IF(O78="","Evidence required","Valid"))))))</x:f>
      </x:c>
      <x:c r="AB78" s="3" t="str">
        <x:f>IF(C78="","",IF(OR(U78="Fail",Z78="Fail"),IF(H78="Jordan 2026","Red / not aligned","Not eligible"),IF(OR(U78="Criteria required",V78=0),"Criteria required",IF(Z78&lt;&gt;"Pass","Pending",IF(U78="Amber","Amber",IF(H78="Jordan 2026","Green","Eligible (internal)"))))))</x:f>
      </x:c>
      <x:c r="AC78" s="9" t="str">
        <x:f>IF(C78="","",IF(T78="Rejected","Rejected",IF(OR(AB78="Red / not aligned",AB78="Not eligible"),"Not eligible",IF(OR(AH78&lt;&gt;"Current",T78&lt;&gt;"Approved",Z78&lt;&gt;"Pass",(COUNTIFS('Actions'!$D$9:$D$308,E78,'Actions'!$E$9:$E$308,"E&amp;S",'Actions'!$F$9:$F$308,"Critical",'Actions'!$P$9:$P$308,"&lt;&gt;Closed",'Actions'!$C$9:$C$308,"&lt;&gt;")+COUNTIFS('Actions'!$D$9:$D$308,E78,'Actions'!$E$9:$E$308,"Taxonomy",'Actions'!$F$9:$F$308,"Critical",'Actions'!$P$9:$P$308,"&lt;&gt;Closed",'Actions'!$C$9:$C$308,"&lt;&gt;")+COUNTIFS('ESG'!$C$9:$C$108,E78,'ESG'!$H$9:$H$108,"Yes"))&gt;0,AND(AB78&lt;&gt;"Green",AB78&lt;&gt;"Amber",AB78&lt;&gt;"Eligible (internal)")),"Pending",IF(AA78="No allocation","Activity only",IF(AA78&lt;&gt;"Valid","Pending","Approved"))))))</x:f>
      </x:c>
      <x:c r="AD78" s="21" t="str">
        <x:f>IF(C78="","",IF(AND(AC78="Approved",OR(AB78="Green",AB78="Eligible (internal)")),N78,0))</x:f>
      </x:c>
      <x:c r="AE78" s="21" t="str">
        <x:f>IF(C78="","",IF(AND(AC78="Approved",AB78="Amber"),N78,0))</x:f>
      </x:c>
      <x:c r="AF78" s="9" t="str">
        <x:f>IF(C78="","",IF((COUNTIFS('Actions'!$D$9:$D$308,E78,'Actions'!$E$9:$E$308,"E&amp;S",'Actions'!$F$9:$F$308,"Critical",'Actions'!$P$9:$P$308,"&lt;&gt;Closed",'Actions'!$C$9:$C$308,"&lt;&gt;")+COUNTIFS('Actions'!$D$9:$D$308,E78,'Actions'!$E$9:$E$308,"Taxonomy",'Actions'!$F$9:$F$308,"Critical",'Actions'!$P$9:$P$308,"&lt;&gt;Closed",'Actions'!$C$9:$C$308,"&lt;&gt;")+COUNTIFS('ESG'!$C$9:$C$108,E78,'ESG'!$H$9:$H$108,"Yes"))&gt;0,"Resolve critical E&amp;S / taxonomy issue",IF(AH78&lt;&gt;"Current",AH78,IF(Z78&lt;&gt;"Pass","Review individual tests",IF(U78="Criteria required","Sourced criteria / interpretation required",IF(AA78&lt;&gt;"Valid",AA78,IF(T78&lt;&gt;"Approved","Approval required",I78)))))))</x:f>
      </x:c>
      <x:c r="AG78" s="9" t="str">
        <x:f>IF(C78="","",IFERROR(INDEX('Taxonomy Rules'!$L$9:$L$20,MATCH(H78&amp;"::"&amp;G78,'Taxonomy Rules'!$C$9:$C$20,0)),"Unimplemented activity"))</x:f>
      </x:c>
      <x:c r="AH78" s="9" t="str">
        <x:f>IF(C78="","",IF(COUNTIF($C$9:$C$108,C78)&lt;&gt;1,"Duplicate ID",IF(OR(COUNTIF(Facilities!$C$9:$C$108,D78)&lt;&gt;1,COUNTIF(Borrowers!$C$9:$C$108,E78)&lt;&gt;1),"Key review",IF(OR(P78="",Q78="",P78=Q78,NOT(ISNUMBER(R78)),NOT(ISNUMBER(S78)),R78&gt;Settings!$F$8,S78&lt;R78),"Review required",IF(S78&lt;Settings!$F$8,"Expired","Current")))))</x:f>
      </x:c>
    </x:row>
    <x:row r="79" ht="26" customHeight="1">
      <x:c r="A79" s="1"/>
      <x:c r="B79" s="1"/>
      <x:c r="C79" s="8"/>
      <x:c r="D79" s="8"/>
      <x:c r="E79" s="9" t="str">
        <x:f>IF(C79="","",IFERROR(INDEX('Facilities'!$D$9:$D$108,MATCH(D79,'Facilities'!$C$9:$C$108,0)),""))</x:f>
      </x:c>
      <x:c r="F79" s="9" t="str">
        <x:f>IF(C79="","",IFERROR(INDEX('Borrowers'!$E$9:$E$108,MATCH(E79,'Borrowers'!$C$9:$C$108,0)),""))</x:f>
      </x:c>
      <x:c r="G79" s="9" t="str">
        <x:f>IF(C79="","",IFERROR(INDEX('Facilities'!$W$9:$W$108,MATCH(D79,'Facilities'!$C$9:$C$108,0)),""))</x:f>
      </x:c>
      <x:c r="H79" s="9" t="str">
        <x:f>IF(C79="","",Settings!$F$11)</x:f>
      </x:c>
      <x:c r="I79" s="3" t="str">
        <x:f>IF(C79="","",IF(H79="Jordan 2026",IF(F79="Jordan","Jordan taxonomy","Reference benchmark"),"Internal policy"))</x:f>
      </x:c>
      <x:c r="J79" s="8"/>
      <x:c r="K79" s="35"/>
      <x:c r="L79" s="35"/>
      <x:c r="M79" s="8"/>
      <x:c r="N79" s="16"/>
      <x:c r="O79" s="8"/>
      <x:c r="P79" s="8"/>
      <x:c r="Q79" s="8"/>
      <x:c r="R79" s="10"/>
      <x:c r="S79" s="10"/>
      <x:c r="T79" s="8"/>
      <x:c r="U79" s="9" t="str">
        <x:f>IF(C79="","",IF(V79=0,"Criteria required",IF(OR(NOT(ISNUMBER(J79)),J79&lt;1900,J79&gt;YEAR(Settings!$F$8),IFERROR(MOD(J79,1),1)&lt;&gt;0,NOT(ISNUMBER(K79)),K79&lt;0,AND(H79="Internal criteria",OR(G79="Cement",G79="Building renovation"),OR(NOT(ISNUMBER(IFERROR(INDEX('Taxonomy Rules'!$G$9:$G$20,MATCH(H79&amp;"::"&amp;G79,'Taxonomy Rules'!$C$9:$C$20,0)),0))),IFERROR(INDEX('Taxonomy Rules'!$G$9:$G$20,MATCH(H79&amp;"::"&amp;G79,'Taxonomy Rules'!$C$9:$C$20,0)),0)&lt;=0,AND(G79="Building renovation",IFERROR(INDEX('Taxonomy Rules'!$G$9:$G$20,MATCH(H79&amp;"::"&amp;G79,'Taxonomy Rules'!$C$9:$C$20,0)),0)&gt;1)))),"Criteria required",IF(G79="Solar PV",IF(M79&lt;&gt;"Eligible activity","Criteria required",IF(K79=1,"Pass","Fail")),IF(G79="Cement",IF(M79="Amber",IF(H79="Jordan 2026",IF(YEAR(Settings!$F$8)&lt;2040,"Amber","Fail"),"Criteria required"),IF(M79&lt;&gt;"Green","Criteria required",IF(H79="Jordan 2026",IF(IFERROR(INDEX('Taxonomy Rules'!$P$9:$P$14,MATCH(J79,'Taxonomy Rules'!$O$9:$O$14,0)),0)=0,"Criteria required",IF(K79&lt;=IFERROR(INDEX('Taxonomy Rules'!$P$9:$P$14,MATCH(J79,'Taxonomy Rules'!$O$9:$O$14,0)),0),"Pass","Fail")),IF(K79&lt;=IFERROR(INDEX('Taxonomy Rules'!$G$9:$G$20,MATCH(H79&amp;"::"&amp;G79,'Taxonomy Rules'!$C$9:$C$20,0)),0),"Pass","Fail")))),IF(G79="Building renovation",IF(M79="Whole building",IF(K79=1,"Pass","Fail"),IF(M79&lt;&gt;"Improvement","Criteria required",IF(OR(K79&gt;1,NOT(ISNUMBER(L79)),L79&lt;0,L79&gt;1),"Criteria required",IF(MAX(K79,L79)&lt;IFERROR(INDEX('Taxonomy Rules'!$G$9:$G$20,MATCH(H79&amp;"::"&amp;G79,'Taxonomy Rules'!$C$9:$C$20,0)),0),"Fail",IF(H79="Jordan 2026",IF(YEAR(Settings!$F$8)&lt;2035,"Amber",IF(YEAR(Settings!$F$8)=2035,"Criteria required","Fail")),"Pass"))))),IF(G79="Road freight",IF(M79&lt;&gt;"Zero emissions","Criteria required",IF(AND(K79=0,ISNUMBER(L79),L79=0),"Pass","Fail")),IF(G79="New building",IF(NOT(OR(M79="Green",M79="Amber")),"Criteria required",IF(K79&lt;&gt;1,"Fail",IF(M79="Amber",IF(H79="Jordan 2026",IF(YEAR(Settings!$F$8)&lt;2030,"Amber",IF(YEAR(Settings!$F$8)=2030,"Criteria required","Fail")),"Criteria required"),"Pass"))),IF(G79="Building equipment",IF(M79&lt;&gt;"Equipment","Criteria required",IF(K79=1,"Pass","Fail")),"Criteria required")))))))))</x:f>
      </x:c>
      <x:c r="V79" s="9" t="str">
        <x:f>IF(C79="","",IFERROR(INDEX('Taxonomy Rules'!$J$9:$J$20,MATCH(H79&amp;"::"&amp;G79,'Taxonomy Rules'!$C$9:$C$20,0)),0))</x:f>
      </x:c>
      <x:c r="W79" s="9" t="str">
        <x:f>IF(C79="","",COUNTIFS('Taxonomy Tests'!$D$9:$D$2008,C79,'Taxonomy Tests'!$Q$9:$Q$2008,"Complete"))</x:f>
      </x:c>
      <x:c r="X79" s="9" t="str">
        <x:f>IF(C79="","",COUNTIFS('Taxonomy Tests'!$D$9:$D$2008,C79,'Taxonomy Tests'!$P$9:$P$2008,"Fail"))</x:f>
      </x:c>
      <x:c r="Y79" s="9" t="str">
        <x:f>IF(C79="","",MAX(0,V79-W79)+COUNTIFS('Taxonomy Tests'!$D$9:$D$2008,C79,'Taxonomy Tests'!$R$9:$R$2008,"Duplicate test")+COUNTIFS('Taxonomy Tests'!$D$9:$D$2008,C79,'Taxonomy Tests'!$R$9:$R$2008,"Unexpected test"))</x:f>
      </x:c>
      <x:c r="Z79" s="9" t="str">
        <x:f>IF(C79="","",IF(X79&gt;0,"Fail",IF(AND(V79&gt;0,W79=V79,Y79=0,COUNTIF('Taxonomy Tests'!$D$9:$D$2008,C79)=V79),"Pass","Pending")))</x:f>
      </x:c>
      <x:c r="AA79" s="9" t="str">
        <x:f>IF(C79="","",IF(COUNTIF(Facilities!$C$9:$C$108,D79)&lt;&gt;1,"Facility key",IF(OR(NOT(ISNUMBER(N79)),N79&lt;0),"Amount required",IF(SUMIF($D$9:$D$108,D79,$N$9:$N$108)&gt;IFERROR(INDEX('Facilities'!$AA$9:$AA$108,MATCH(D79,'Facilities'!$C$9:$C$108,0)),"")+0.000001,"Overallocated",IF(N79=0,"No allocation",IF(O79="","Evidence required","Valid"))))))</x:f>
      </x:c>
      <x:c r="AB79" s="3" t="str">
        <x:f>IF(C79="","",IF(OR(U79="Fail",Z79="Fail"),IF(H79="Jordan 2026","Red / not aligned","Not eligible"),IF(OR(U79="Criteria required",V79=0),"Criteria required",IF(Z79&lt;&gt;"Pass","Pending",IF(U79="Amber","Amber",IF(H79="Jordan 2026","Green","Eligible (internal)"))))))</x:f>
      </x:c>
      <x:c r="AC79" s="9" t="str">
        <x:f>IF(C79="","",IF(T79="Rejected","Rejected",IF(OR(AB79="Red / not aligned",AB79="Not eligible"),"Not eligible",IF(OR(AH79&lt;&gt;"Current",T79&lt;&gt;"Approved",Z79&lt;&gt;"Pass",(COUNTIFS('Actions'!$D$9:$D$308,E79,'Actions'!$E$9:$E$308,"E&amp;S",'Actions'!$F$9:$F$308,"Critical",'Actions'!$P$9:$P$308,"&lt;&gt;Closed",'Actions'!$C$9:$C$308,"&lt;&gt;")+COUNTIFS('Actions'!$D$9:$D$308,E79,'Actions'!$E$9:$E$308,"Taxonomy",'Actions'!$F$9:$F$308,"Critical",'Actions'!$P$9:$P$308,"&lt;&gt;Closed",'Actions'!$C$9:$C$308,"&lt;&gt;")+COUNTIFS('ESG'!$C$9:$C$108,E79,'ESG'!$H$9:$H$108,"Yes"))&gt;0,AND(AB79&lt;&gt;"Green",AB79&lt;&gt;"Amber",AB79&lt;&gt;"Eligible (internal)")),"Pending",IF(AA79="No allocation","Activity only",IF(AA79&lt;&gt;"Valid","Pending","Approved"))))))</x:f>
      </x:c>
      <x:c r="AD79" s="21" t="str">
        <x:f>IF(C79="","",IF(AND(AC79="Approved",OR(AB79="Green",AB79="Eligible (internal)")),N79,0))</x:f>
      </x:c>
      <x:c r="AE79" s="21" t="str">
        <x:f>IF(C79="","",IF(AND(AC79="Approved",AB79="Amber"),N79,0))</x:f>
      </x:c>
      <x:c r="AF79" s="9" t="str">
        <x:f>IF(C79="","",IF((COUNTIFS('Actions'!$D$9:$D$308,E79,'Actions'!$E$9:$E$308,"E&amp;S",'Actions'!$F$9:$F$308,"Critical",'Actions'!$P$9:$P$308,"&lt;&gt;Closed",'Actions'!$C$9:$C$308,"&lt;&gt;")+COUNTIFS('Actions'!$D$9:$D$308,E79,'Actions'!$E$9:$E$308,"Taxonomy",'Actions'!$F$9:$F$308,"Critical",'Actions'!$P$9:$P$308,"&lt;&gt;Closed",'Actions'!$C$9:$C$308,"&lt;&gt;")+COUNTIFS('ESG'!$C$9:$C$108,E79,'ESG'!$H$9:$H$108,"Yes"))&gt;0,"Resolve critical E&amp;S / taxonomy issue",IF(AH79&lt;&gt;"Current",AH79,IF(Z79&lt;&gt;"Pass","Review individual tests",IF(U79="Criteria required","Sourced criteria / interpretation required",IF(AA79&lt;&gt;"Valid",AA79,IF(T79&lt;&gt;"Approved","Approval required",I79)))))))</x:f>
      </x:c>
      <x:c r="AG79" s="9" t="str">
        <x:f>IF(C79="","",IFERROR(INDEX('Taxonomy Rules'!$L$9:$L$20,MATCH(H79&amp;"::"&amp;G79,'Taxonomy Rules'!$C$9:$C$20,0)),"Unimplemented activity"))</x:f>
      </x:c>
      <x:c r="AH79" s="9" t="str">
        <x:f>IF(C79="","",IF(COUNTIF($C$9:$C$108,C79)&lt;&gt;1,"Duplicate ID",IF(OR(COUNTIF(Facilities!$C$9:$C$108,D79)&lt;&gt;1,COUNTIF(Borrowers!$C$9:$C$108,E79)&lt;&gt;1),"Key review",IF(OR(P79="",Q79="",P79=Q79,NOT(ISNUMBER(R79)),NOT(ISNUMBER(S79)),R79&gt;Settings!$F$8,S79&lt;R79),"Review required",IF(S79&lt;Settings!$F$8,"Expired","Current")))))</x:f>
      </x:c>
    </x:row>
    <x:row r="80" ht="26" customHeight="1">
      <x:c r="A80" s="1"/>
      <x:c r="B80" s="1"/>
      <x:c r="C80" s="8"/>
      <x:c r="D80" s="8"/>
      <x:c r="E80" s="9" t="str">
        <x:f>IF(C80="","",IFERROR(INDEX('Facilities'!$D$9:$D$108,MATCH(D80,'Facilities'!$C$9:$C$108,0)),""))</x:f>
      </x:c>
      <x:c r="F80" s="9" t="str">
        <x:f>IF(C80="","",IFERROR(INDEX('Borrowers'!$E$9:$E$108,MATCH(E80,'Borrowers'!$C$9:$C$108,0)),""))</x:f>
      </x:c>
      <x:c r="G80" s="9" t="str">
        <x:f>IF(C80="","",IFERROR(INDEX('Facilities'!$W$9:$W$108,MATCH(D80,'Facilities'!$C$9:$C$108,0)),""))</x:f>
      </x:c>
      <x:c r="H80" s="9" t="str">
        <x:f>IF(C80="","",Settings!$F$11)</x:f>
      </x:c>
      <x:c r="I80" s="3" t="str">
        <x:f>IF(C80="","",IF(H80="Jordan 2026",IF(F80="Jordan","Jordan taxonomy","Reference benchmark"),"Internal policy"))</x:f>
      </x:c>
      <x:c r="J80" s="8"/>
      <x:c r="K80" s="35"/>
      <x:c r="L80" s="35"/>
      <x:c r="M80" s="8"/>
      <x:c r="N80" s="16"/>
      <x:c r="O80" s="8"/>
      <x:c r="P80" s="8"/>
      <x:c r="Q80" s="8"/>
      <x:c r="R80" s="10"/>
      <x:c r="S80" s="10"/>
      <x:c r="T80" s="8"/>
      <x:c r="U80" s="9" t="str">
        <x:f>IF(C80="","",IF(V80=0,"Criteria required",IF(OR(NOT(ISNUMBER(J80)),J80&lt;1900,J80&gt;YEAR(Settings!$F$8),IFERROR(MOD(J80,1),1)&lt;&gt;0,NOT(ISNUMBER(K80)),K80&lt;0,AND(H80="Internal criteria",OR(G80="Cement",G80="Building renovation"),OR(NOT(ISNUMBER(IFERROR(INDEX('Taxonomy Rules'!$G$9:$G$20,MATCH(H80&amp;"::"&amp;G80,'Taxonomy Rules'!$C$9:$C$20,0)),0))),IFERROR(INDEX('Taxonomy Rules'!$G$9:$G$20,MATCH(H80&amp;"::"&amp;G80,'Taxonomy Rules'!$C$9:$C$20,0)),0)&lt;=0,AND(G80="Building renovation",IFERROR(INDEX('Taxonomy Rules'!$G$9:$G$20,MATCH(H80&amp;"::"&amp;G80,'Taxonomy Rules'!$C$9:$C$20,0)),0)&gt;1)))),"Criteria required",IF(G80="Solar PV",IF(M80&lt;&gt;"Eligible activity","Criteria required",IF(K80=1,"Pass","Fail")),IF(G80="Cement",IF(M80="Amber",IF(H80="Jordan 2026",IF(YEAR(Settings!$F$8)&lt;2040,"Amber","Fail"),"Criteria required"),IF(M80&lt;&gt;"Green","Criteria required",IF(H80="Jordan 2026",IF(IFERROR(INDEX('Taxonomy Rules'!$P$9:$P$14,MATCH(J80,'Taxonomy Rules'!$O$9:$O$14,0)),0)=0,"Criteria required",IF(K80&lt;=IFERROR(INDEX('Taxonomy Rules'!$P$9:$P$14,MATCH(J80,'Taxonomy Rules'!$O$9:$O$14,0)),0),"Pass","Fail")),IF(K80&lt;=IFERROR(INDEX('Taxonomy Rules'!$G$9:$G$20,MATCH(H80&amp;"::"&amp;G80,'Taxonomy Rules'!$C$9:$C$20,0)),0),"Pass","Fail")))),IF(G80="Building renovation",IF(M80="Whole building",IF(K80=1,"Pass","Fail"),IF(M80&lt;&gt;"Improvement","Criteria required",IF(OR(K80&gt;1,NOT(ISNUMBER(L80)),L80&lt;0,L80&gt;1),"Criteria required",IF(MAX(K80,L80)&lt;IFERROR(INDEX('Taxonomy Rules'!$G$9:$G$20,MATCH(H80&amp;"::"&amp;G80,'Taxonomy Rules'!$C$9:$C$20,0)),0),"Fail",IF(H80="Jordan 2026",IF(YEAR(Settings!$F$8)&lt;2035,"Amber",IF(YEAR(Settings!$F$8)=2035,"Criteria required","Fail")),"Pass"))))),IF(G80="Road freight",IF(M80&lt;&gt;"Zero emissions","Criteria required",IF(AND(K80=0,ISNUMBER(L80),L80=0),"Pass","Fail")),IF(G80="New building",IF(NOT(OR(M80="Green",M80="Amber")),"Criteria required",IF(K80&lt;&gt;1,"Fail",IF(M80="Amber",IF(H80="Jordan 2026",IF(YEAR(Settings!$F$8)&lt;2030,"Amber",IF(YEAR(Settings!$F$8)=2030,"Criteria required","Fail")),"Criteria required"),"Pass"))),IF(G80="Building equipment",IF(M80&lt;&gt;"Equipment","Criteria required",IF(K80=1,"Pass","Fail")),"Criteria required")))))))))</x:f>
      </x:c>
      <x:c r="V80" s="9" t="str">
        <x:f>IF(C80="","",IFERROR(INDEX('Taxonomy Rules'!$J$9:$J$20,MATCH(H80&amp;"::"&amp;G80,'Taxonomy Rules'!$C$9:$C$20,0)),0))</x:f>
      </x:c>
      <x:c r="W80" s="9" t="str">
        <x:f>IF(C80="","",COUNTIFS('Taxonomy Tests'!$D$9:$D$2008,C80,'Taxonomy Tests'!$Q$9:$Q$2008,"Complete"))</x:f>
      </x:c>
      <x:c r="X80" s="9" t="str">
        <x:f>IF(C80="","",COUNTIFS('Taxonomy Tests'!$D$9:$D$2008,C80,'Taxonomy Tests'!$P$9:$P$2008,"Fail"))</x:f>
      </x:c>
      <x:c r="Y80" s="9" t="str">
        <x:f>IF(C80="","",MAX(0,V80-W80)+COUNTIFS('Taxonomy Tests'!$D$9:$D$2008,C80,'Taxonomy Tests'!$R$9:$R$2008,"Duplicate test")+COUNTIFS('Taxonomy Tests'!$D$9:$D$2008,C80,'Taxonomy Tests'!$R$9:$R$2008,"Unexpected test"))</x:f>
      </x:c>
      <x:c r="Z80" s="9" t="str">
        <x:f>IF(C80="","",IF(X80&gt;0,"Fail",IF(AND(V80&gt;0,W80=V80,Y80=0,COUNTIF('Taxonomy Tests'!$D$9:$D$2008,C80)=V80),"Pass","Pending")))</x:f>
      </x:c>
      <x:c r="AA80" s="9" t="str">
        <x:f>IF(C80="","",IF(COUNTIF(Facilities!$C$9:$C$108,D80)&lt;&gt;1,"Facility key",IF(OR(NOT(ISNUMBER(N80)),N80&lt;0),"Amount required",IF(SUMIF($D$9:$D$108,D80,$N$9:$N$108)&gt;IFERROR(INDEX('Facilities'!$AA$9:$AA$108,MATCH(D80,'Facilities'!$C$9:$C$108,0)),"")+0.000001,"Overallocated",IF(N80=0,"No allocation",IF(O80="","Evidence required","Valid"))))))</x:f>
      </x:c>
      <x:c r="AB80" s="3" t="str">
        <x:f>IF(C80="","",IF(OR(U80="Fail",Z80="Fail"),IF(H80="Jordan 2026","Red / not aligned","Not eligible"),IF(OR(U80="Criteria required",V80=0),"Criteria required",IF(Z80&lt;&gt;"Pass","Pending",IF(U80="Amber","Amber",IF(H80="Jordan 2026","Green","Eligible (internal)"))))))</x:f>
      </x:c>
      <x:c r="AC80" s="9" t="str">
        <x:f>IF(C80="","",IF(T80="Rejected","Rejected",IF(OR(AB80="Red / not aligned",AB80="Not eligible"),"Not eligible",IF(OR(AH80&lt;&gt;"Current",T80&lt;&gt;"Approved",Z80&lt;&gt;"Pass",(COUNTIFS('Actions'!$D$9:$D$308,E80,'Actions'!$E$9:$E$308,"E&amp;S",'Actions'!$F$9:$F$308,"Critical",'Actions'!$P$9:$P$308,"&lt;&gt;Closed",'Actions'!$C$9:$C$308,"&lt;&gt;")+COUNTIFS('Actions'!$D$9:$D$308,E80,'Actions'!$E$9:$E$308,"Taxonomy",'Actions'!$F$9:$F$308,"Critical",'Actions'!$P$9:$P$308,"&lt;&gt;Closed",'Actions'!$C$9:$C$308,"&lt;&gt;")+COUNTIFS('ESG'!$C$9:$C$108,E80,'ESG'!$H$9:$H$108,"Yes"))&gt;0,AND(AB80&lt;&gt;"Green",AB80&lt;&gt;"Amber",AB80&lt;&gt;"Eligible (internal)")),"Pending",IF(AA80="No allocation","Activity only",IF(AA80&lt;&gt;"Valid","Pending","Approved"))))))</x:f>
      </x:c>
      <x:c r="AD80" s="21" t="str">
        <x:f>IF(C80="","",IF(AND(AC80="Approved",OR(AB80="Green",AB80="Eligible (internal)")),N80,0))</x:f>
      </x:c>
      <x:c r="AE80" s="21" t="str">
        <x:f>IF(C80="","",IF(AND(AC80="Approved",AB80="Amber"),N80,0))</x:f>
      </x:c>
      <x:c r="AF80" s="9" t="str">
        <x:f>IF(C80="","",IF((COUNTIFS('Actions'!$D$9:$D$308,E80,'Actions'!$E$9:$E$308,"E&amp;S",'Actions'!$F$9:$F$308,"Critical",'Actions'!$P$9:$P$308,"&lt;&gt;Closed",'Actions'!$C$9:$C$308,"&lt;&gt;")+COUNTIFS('Actions'!$D$9:$D$308,E80,'Actions'!$E$9:$E$308,"Taxonomy",'Actions'!$F$9:$F$308,"Critical",'Actions'!$P$9:$P$308,"&lt;&gt;Closed",'Actions'!$C$9:$C$308,"&lt;&gt;")+COUNTIFS('ESG'!$C$9:$C$108,E80,'ESG'!$H$9:$H$108,"Yes"))&gt;0,"Resolve critical E&amp;S / taxonomy issue",IF(AH80&lt;&gt;"Current",AH80,IF(Z80&lt;&gt;"Pass","Review individual tests",IF(U80="Criteria required","Sourced criteria / interpretation required",IF(AA80&lt;&gt;"Valid",AA80,IF(T80&lt;&gt;"Approved","Approval required",I80)))))))</x:f>
      </x:c>
      <x:c r="AG80" s="9" t="str">
        <x:f>IF(C80="","",IFERROR(INDEX('Taxonomy Rules'!$L$9:$L$20,MATCH(H80&amp;"::"&amp;G80,'Taxonomy Rules'!$C$9:$C$20,0)),"Unimplemented activity"))</x:f>
      </x:c>
      <x:c r="AH80" s="9" t="str">
        <x:f>IF(C80="","",IF(COUNTIF($C$9:$C$108,C80)&lt;&gt;1,"Duplicate ID",IF(OR(COUNTIF(Facilities!$C$9:$C$108,D80)&lt;&gt;1,COUNTIF(Borrowers!$C$9:$C$108,E80)&lt;&gt;1),"Key review",IF(OR(P80="",Q80="",P80=Q80,NOT(ISNUMBER(R80)),NOT(ISNUMBER(S80)),R80&gt;Settings!$F$8,S80&lt;R80),"Review required",IF(S80&lt;Settings!$F$8,"Expired","Current")))))</x:f>
      </x:c>
    </x:row>
    <x:row r="81" ht="26" customHeight="1">
      <x:c r="A81" s="1"/>
      <x:c r="B81" s="1"/>
      <x:c r="C81" s="8"/>
      <x:c r="D81" s="8"/>
      <x:c r="E81" s="9" t="str">
        <x:f>IF(C81="","",IFERROR(INDEX('Facilities'!$D$9:$D$108,MATCH(D81,'Facilities'!$C$9:$C$108,0)),""))</x:f>
      </x:c>
      <x:c r="F81" s="9" t="str">
        <x:f>IF(C81="","",IFERROR(INDEX('Borrowers'!$E$9:$E$108,MATCH(E81,'Borrowers'!$C$9:$C$108,0)),""))</x:f>
      </x:c>
      <x:c r="G81" s="9" t="str">
        <x:f>IF(C81="","",IFERROR(INDEX('Facilities'!$W$9:$W$108,MATCH(D81,'Facilities'!$C$9:$C$108,0)),""))</x:f>
      </x:c>
      <x:c r="H81" s="9" t="str">
        <x:f>IF(C81="","",Settings!$F$11)</x:f>
      </x:c>
      <x:c r="I81" s="3" t="str">
        <x:f>IF(C81="","",IF(H81="Jordan 2026",IF(F81="Jordan","Jordan taxonomy","Reference benchmark"),"Internal policy"))</x:f>
      </x:c>
      <x:c r="J81" s="8"/>
      <x:c r="K81" s="35"/>
      <x:c r="L81" s="35"/>
      <x:c r="M81" s="8"/>
      <x:c r="N81" s="16"/>
      <x:c r="O81" s="8"/>
      <x:c r="P81" s="8"/>
      <x:c r="Q81" s="8"/>
      <x:c r="R81" s="10"/>
      <x:c r="S81" s="10"/>
      <x:c r="T81" s="8"/>
      <x:c r="U81" s="9" t="str">
        <x:f>IF(C81="","",IF(V81=0,"Criteria required",IF(OR(NOT(ISNUMBER(J81)),J81&lt;1900,J81&gt;YEAR(Settings!$F$8),IFERROR(MOD(J81,1),1)&lt;&gt;0,NOT(ISNUMBER(K81)),K81&lt;0,AND(H81="Internal criteria",OR(G81="Cement",G81="Building renovation"),OR(NOT(ISNUMBER(IFERROR(INDEX('Taxonomy Rules'!$G$9:$G$20,MATCH(H81&amp;"::"&amp;G81,'Taxonomy Rules'!$C$9:$C$20,0)),0))),IFERROR(INDEX('Taxonomy Rules'!$G$9:$G$20,MATCH(H81&amp;"::"&amp;G81,'Taxonomy Rules'!$C$9:$C$20,0)),0)&lt;=0,AND(G81="Building renovation",IFERROR(INDEX('Taxonomy Rules'!$G$9:$G$20,MATCH(H81&amp;"::"&amp;G81,'Taxonomy Rules'!$C$9:$C$20,0)),0)&gt;1)))),"Criteria required",IF(G81="Solar PV",IF(M81&lt;&gt;"Eligible activity","Criteria required",IF(K81=1,"Pass","Fail")),IF(G81="Cement",IF(M81="Amber",IF(H81="Jordan 2026",IF(YEAR(Settings!$F$8)&lt;2040,"Amber","Fail"),"Criteria required"),IF(M81&lt;&gt;"Green","Criteria required",IF(H81="Jordan 2026",IF(IFERROR(INDEX('Taxonomy Rules'!$P$9:$P$14,MATCH(J81,'Taxonomy Rules'!$O$9:$O$14,0)),0)=0,"Criteria required",IF(K81&lt;=IFERROR(INDEX('Taxonomy Rules'!$P$9:$P$14,MATCH(J81,'Taxonomy Rules'!$O$9:$O$14,0)),0),"Pass","Fail")),IF(K81&lt;=IFERROR(INDEX('Taxonomy Rules'!$G$9:$G$20,MATCH(H81&amp;"::"&amp;G81,'Taxonomy Rules'!$C$9:$C$20,0)),0),"Pass","Fail")))),IF(G81="Building renovation",IF(M81="Whole building",IF(K81=1,"Pass","Fail"),IF(M81&lt;&gt;"Improvement","Criteria required",IF(OR(K81&gt;1,NOT(ISNUMBER(L81)),L81&lt;0,L81&gt;1),"Criteria required",IF(MAX(K81,L81)&lt;IFERROR(INDEX('Taxonomy Rules'!$G$9:$G$20,MATCH(H81&amp;"::"&amp;G81,'Taxonomy Rules'!$C$9:$C$20,0)),0),"Fail",IF(H81="Jordan 2026",IF(YEAR(Settings!$F$8)&lt;2035,"Amber",IF(YEAR(Settings!$F$8)=2035,"Criteria required","Fail")),"Pass"))))),IF(G81="Road freight",IF(M81&lt;&gt;"Zero emissions","Criteria required",IF(AND(K81=0,ISNUMBER(L81),L81=0),"Pass","Fail")),IF(G81="New building",IF(NOT(OR(M81="Green",M81="Amber")),"Criteria required",IF(K81&lt;&gt;1,"Fail",IF(M81="Amber",IF(H81="Jordan 2026",IF(YEAR(Settings!$F$8)&lt;2030,"Amber",IF(YEAR(Settings!$F$8)=2030,"Criteria required","Fail")),"Criteria required"),"Pass"))),IF(G81="Building equipment",IF(M81&lt;&gt;"Equipment","Criteria required",IF(K81=1,"Pass","Fail")),"Criteria required")))))))))</x:f>
      </x:c>
      <x:c r="V81" s="9" t="str">
        <x:f>IF(C81="","",IFERROR(INDEX('Taxonomy Rules'!$J$9:$J$20,MATCH(H81&amp;"::"&amp;G81,'Taxonomy Rules'!$C$9:$C$20,0)),0))</x:f>
      </x:c>
      <x:c r="W81" s="9" t="str">
        <x:f>IF(C81="","",COUNTIFS('Taxonomy Tests'!$D$9:$D$2008,C81,'Taxonomy Tests'!$Q$9:$Q$2008,"Complete"))</x:f>
      </x:c>
      <x:c r="X81" s="9" t="str">
        <x:f>IF(C81="","",COUNTIFS('Taxonomy Tests'!$D$9:$D$2008,C81,'Taxonomy Tests'!$P$9:$P$2008,"Fail"))</x:f>
      </x:c>
      <x:c r="Y81" s="9" t="str">
        <x:f>IF(C81="","",MAX(0,V81-W81)+COUNTIFS('Taxonomy Tests'!$D$9:$D$2008,C81,'Taxonomy Tests'!$R$9:$R$2008,"Duplicate test")+COUNTIFS('Taxonomy Tests'!$D$9:$D$2008,C81,'Taxonomy Tests'!$R$9:$R$2008,"Unexpected test"))</x:f>
      </x:c>
      <x:c r="Z81" s="9" t="str">
        <x:f>IF(C81="","",IF(X81&gt;0,"Fail",IF(AND(V81&gt;0,W81=V81,Y81=0,COUNTIF('Taxonomy Tests'!$D$9:$D$2008,C81)=V81),"Pass","Pending")))</x:f>
      </x:c>
      <x:c r="AA81" s="9" t="str">
        <x:f>IF(C81="","",IF(COUNTIF(Facilities!$C$9:$C$108,D81)&lt;&gt;1,"Facility key",IF(OR(NOT(ISNUMBER(N81)),N81&lt;0),"Amount required",IF(SUMIF($D$9:$D$108,D81,$N$9:$N$108)&gt;IFERROR(INDEX('Facilities'!$AA$9:$AA$108,MATCH(D81,'Facilities'!$C$9:$C$108,0)),"")+0.000001,"Overallocated",IF(N81=0,"No allocation",IF(O81="","Evidence required","Valid"))))))</x:f>
      </x:c>
      <x:c r="AB81" s="3" t="str">
        <x:f>IF(C81="","",IF(OR(U81="Fail",Z81="Fail"),IF(H81="Jordan 2026","Red / not aligned","Not eligible"),IF(OR(U81="Criteria required",V81=0),"Criteria required",IF(Z81&lt;&gt;"Pass","Pending",IF(U81="Amber","Amber",IF(H81="Jordan 2026","Green","Eligible (internal)"))))))</x:f>
      </x:c>
      <x:c r="AC81" s="9" t="str">
        <x:f>IF(C81="","",IF(T81="Rejected","Rejected",IF(OR(AB81="Red / not aligned",AB81="Not eligible"),"Not eligible",IF(OR(AH81&lt;&gt;"Current",T81&lt;&gt;"Approved",Z81&lt;&gt;"Pass",(COUNTIFS('Actions'!$D$9:$D$308,E81,'Actions'!$E$9:$E$308,"E&amp;S",'Actions'!$F$9:$F$308,"Critical",'Actions'!$P$9:$P$308,"&lt;&gt;Closed",'Actions'!$C$9:$C$308,"&lt;&gt;")+COUNTIFS('Actions'!$D$9:$D$308,E81,'Actions'!$E$9:$E$308,"Taxonomy",'Actions'!$F$9:$F$308,"Critical",'Actions'!$P$9:$P$308,"&lt;&gt;Closed",'Actions'!$C$9:$C$308,"&lt;&gt;")+COUNTIFS('ESG'!$C$9:$C$108,E81,'ESG'!$H$9:$H$108,"Yes"))&gt;0,AND(AB81&lt;&gt;"Green",AB81&lt;&gt;"Amber",AB81&lt;&gt;"Eligible (internal)")),"Pending",IF(AA81="No allocation","Activity only",IF(AA81&lt;&gt;"Valid","Pending","Approved"))))))</x:f>
      </x:c>
      <x:c r="AD81" s="21" t="str">
        <x:f>IF(C81="","",IF(AND(AC81="Approved",OR(AB81="Green",AB81="Eligible (internal)")),N81,0))</x:f>
      </x:c>
      <x:c r="AE81" s="21" t="str">
        <x:f>IF(C81="","",IF(AND(AC81="Approved",AB81="Amber"),N81,0))</x:f>
      </x:c>
      <x:c r="AF81" s="9" t="str">
        <x:f>IF(C81="","",IF((COUNTIFS('Actions'!$D$9:$D$308,E81,'Actions'!$E$9:$E$308,"E&amp;S",'Actions'!$F$9:$F$308,"Critical",'Actions'!$P$9:$P$308,"&lt;&gt;Closed",'Actions'!$C$9:$C$308,"&lt;&gt;")+COUNTIFS('Actions'!$D$9:$D$308,E81,'Actions'!$E$9:$E$308,"Taxonomy",'Actions'!$F$9:$F$308,"Critical",'Actions'!$P$9:$P$308,"&lt;&gt;Closed",'Actions'!$C$9:$C$308,"&lt;&gt;")+COUNTIFS('ESG'!$C$9:$C$108,E81,'ESG'!$H$9:$H$108,"Yes"))&gt;0,"Resolve critical E&amp;S / taxonomy issue",IF(AH81&lt;&gt;"Current",AH81,IF(Z81&lt;&gt;"Pass","Review individual tests",IF(U81="Criteria required","Sourced criteria / interpretation required",IF(AA81&lt;&gt;"Valid",AA81,IF(T81&lt;&gt;"Approved","Approval required",I81)))))))</x:f>
      </x:c>
      <x:c r="AG81" s="9" t="str">
        <x:f>IF(C81="","",IFERROR(INDEX('Taxonomy Rules'!$L$9:$L$20,MATCH(H81&amp;"::"&amp;G81,'Taxonomy Rules'!$C$9:$C$20,0)),"Unimplemented activity"))</x:f>
      </x:c>
      <x:c r="AH81" s="9" t="str">
        <x:f>IF(C81="","",IF(COUNTIF($C$9:$C$108,C81)&lt;&gt;1,"Duplicate ID",IF(OR(COUNTIF(Facilities!$C$9:$C$108,D81)&lt;&gt;1,COUNTIF(Borrowers!$C$9:$C$108,E81)&lt;&gt;1),"Key review",IF(OR(P81="",Q81="",P81=Q81,NOT(ISNUMBER(R81)),NOT(ISNUMBER(S81)),R81&gt;Settings!$F$8,S81&lt;R81),"Review required",IF(S81&lt;Settings!$F$8,"Expired","Current")))))</x:f>
      </x:c>
    </x:row>
    <x:row r="82" ht="26" customHeight="1">
      <x:c r="A82" s="1"/>
      <x:c r="B82" s="1"/>
      <x:c r="C82" s="8"/>
      <x:c r="D82" s="8"/>
      <x:c r="E82" s="9" t="str">
        <x:f>IF(C82="","",IFERROR(INDEX('Facilities'!$D$9:$D$108,MATCH(D82,'Facilities'!$C$9:$C$108,0)),""))</x:f>
      </x:c>
      <x:c r="F82" s="9" t="str">
        <x:f>IF(C82="","",IFERROR(INDEX('Borrowers'!$E$9:$E$108,MATCH(E82,'Borrowers'!$C$9:$C$108,0)),""))</x:f>
      </x:c>
      <x:c r="G82" s="9" t="str">
        <x:f>IF(C82="","",IFERROR(INDEX('Facilities'!$W$9:$W$108,MATCH(D82,'Facilities'!$C$9:$C$108,0)),""))</x:f>
      </x:c>
      <x:c r="H82" s="9" t="str">
        <x:f>IF(C82="","",Settings!$F$11)</x:f>
      </x:c>
      <x:c r="I82" s="3" t="str">
        <x:f>IF(C82="","",IF(H82="Jordan 2026",IF(F82="Jordan","Jordan taxonomy","Reference benchmark"),"Internal policy"))</x:f>
      </x:c>
      <x:c r="J82" s="8"/>
      <x:c r="K82" s="35"/>
      <x:c r="L82" s="35"/>
      <x:c r="M82" s="8"/>
      <x:c r="N82" s="16"/>
      <x:c r="O82" s="8"/>
      <x:c r="P82" s="8"/>
      <x:c r="Q82" s="8"/>
      <x:c r="R82" s="10"/>
      <x:c r="S82" s="10"/>
      <x:c r="T82" s="8"/>
      <x:c r="U82" s="9" t="str">
        <x:f>IF(C82="","",IF(V82=0,"Criteria required",IF(OR(NOT(ISNUMBER(J82)),J82&lt;1900,J82&gt;YEAR(Settings!$F$8),IFERROR(MOD(J82,1),1)&lt;&gt;0,NOT(ISNUMBER(K82)),K82&lt;0,AND(H82="Internal criteria",OR(G82="Cement",G82="Building renovation"),OR(NOT(ISNUMBER(IFERROR(INDEX('Taxonomy Rules'!$G$9:$G$20,MATCH(H82&amp;"::"&amp;G82,'Taxonomy Rules'!$C$9:$C$20,0)),0))),IFERROR(INDEX('Taxonomy Rules'!$G$9:$G$20,MATCH(H82&amp;"::"&amp;G82,'Taxonomy Rules'!$C$9:$C$20,0)),0)&lt;=0,AND(G82="Building renovation",IFERROR(INDEX('Taxonomy Rules'!$G$9:$G$20,MATCH(H82&amp;"::"&amp;G82,'Taxonomy Rules'!$C$9:$C$20,0)),0)&gt;1)))),"Criteria required",IF(G82="Solar PV",IF(M82&lt;&gt;"Eligible activity","Criteria required",IF(K82=1,"Pass","Fail")),IF(G82="Cement",IF(M82="Amber",IF(H82="Jordan 2026",IF(YEAR(Settings!$F$8)&lt;2040,"Amber","Fail"),"Criteria required"),IF(M82&lt;&gt;"Green","Criteria required",IF(H82="Jordan 2026",IF(IFERROR(INDEX('Taxonomy Rules'!$P$9:$P$14,MATCH(J82,'Taxonomy Rules'!$O$9:$O$14,0)),0)=0,"Criteria required",IF(K82&lt;=IFERROR(INDEX('Taxonomy Rules'!$P$9:$P$14,MATCH(J82,'Taxonomy Rules'!$O$9:$O$14,0)),0),"Pass","Fail")),IF(K82&lt;=IFERROR(INDEX('Taxonomy Rules'!$G$9:$G$20,MATCH(H82&amp;"::"&amp;G82,'Taxonomy Rules'!$C$9:$C$20,0)),0),"Pass","Fail")))),IF(G82="Building renovation",IF(M82="Whole building",IF(K82=1,"Pass","Fail"),IF(M82&lt;&gt;"Improvement","Criteria required",IF(OR(K82&gt;1,NOT(ISNUMBER(L82)),L82&lt;0,L82&gt;1),"Criteria required",IF(MAX(K82,L82)&lt;IFERROR(INDEX('Taxonomy Rules'!$G$9:$G$20,MATCH(H82&amp;"::"&amp;G82,'Taxonomy Rules'!$C$9:$C$20,0)),0),"Fail",IF(H82="Jordan 2026",IF(YEAR(Settings!$F$8)&lt;2035,"Amber",IF(YEAR(Settings!$F$8)=2035,"Criteria required","Fail")),"Pass"))))),IF(G82="Road freight",IF(M82&lt;&gt;"Zero emissions","Criteria required",IF(AND(K82=0,ISNUMBER(L82),L82=0),"Pass","Fail")),IF(G82="New building",IF(NOT(OR(M82="Green",M82="Amber")),"Criteria required",IF(K82&lt;&gt;1,"Fail",IF(M82="Amber",IF(H82="Jordan 2026",IF(YEAR(Settings!$F$8)&lt;2030,"Amber",IF(YEAR(Settings!$F$8)=2030,"Criteria required","Fail")),"Criteria required"),"Pass"))),IF(G82="Building equipment",IF(M82&lt;&gt;"Equipment","Criteria required",IF(K82=1,"Pass","Fail")),"Criteria required")))))))))</x:f>
      </x:c>
      <x:c r="V82" s="9" t="str">
        <x:f>IF(C82="","",IFERROR(INDEX('Taxonomy Rules'!$J$9:$J$20,MATCH(H82&amp;"::"&amp;G82,'Taxonomy Rules'!$C$9:$C$20,0)),0))</x:f>
      </x:c>
      <x:c r="W82" s="9" t="str">
        <x:f>IF(C82="","",COUNTIFS('Taxonomy Tests'!$D$9:$D$2008,C82,'Taxonomy Tests'!$Q$9:$Q$2008,"Complete"))</x:f>
      </x:c>
      <x:c r="X82" s="9" t="str">
        <x:f>IF(C82="","",COUNTIFS('Taxonomy Tests'!$D$9:$D$2008,C82,'Taxonomy Tests'!$P$9:$P$2008,"Fail"))</x:f>
      </x:c>
      <x:c r="Y82" s="9" t="str">
        <x:f>IF(C82="","",MAX(0,V82-W82)+COUNTIFS('Taxonomy Tests'!$D$9:$D$2008,C82,'Taxonomy Tests'!$R$9:$R$2008,"Duplicate test")+COUNTIFS('Taxonomy Tests'!$D$9:$D$2008,C82,'Taxonomy Tests'!$R$9:$R$2008,"Unexpected test"))</x:f>
      </x:c>
      <x:c r="Z82" s="9" t="str">
        <x:f>IF(C82="","",IF(X82&gt;0,"Fail",IF(AND(V82&gt;0,W82=V82,Y82=0,COUNTIF('Taxonomy Tests'!$D$9:$D$2008,C82)=V82),"Pass","Pending")))</x:f>
      </x:c>
      <x:c r="AA82" s="9" t="str">
        <x:f>IF(C82="","",IF(COUNTIF(Facilities!$C$9:$C$108,D82)&lt;&gt;1,"Facility key",IF(OR(NOT(ISNUMBER(N82)),N82&lt;0),"Amount required",IF(SUMIF($D$9:$D$108,D82,$N$9:$N$108)&gt;IFERROR(INDEX('Facilities'!$AA$9:$AA$108,MATCH(D82,'Facilities'!$C$9:$C$108,0)),"")+0.000001,"Overallocated",IF(N82=0,"No allocation",IF(O82="","Evidence required","Valid"))))))</x:f>
      </x:c>
      <x:c r="AB82" s="3" t="str">
        <x:f>IF(C82="","",IF(OR(U82="Fail",Z82="Fail"),IF(H82="Jordan 2026","Red / not aligned","Not eligible"),IF(OR(U82="Criteria required",V82=0),"Criteria required",IF(Z82&lt;&gt;"Pass","Pending",IF(U82="Amber","Amber",IF(H82="Jordan 2026","Green","Eligible (internal)"))))))</x:f>
      </x:c>
      <x:c r="AC82" s="9" t="str">
        <x:f>IF(C82="","",IF(T82="Rejected","Rejected",IF(OR(AB82="Red / not aligned",AB82="Not eligible"),"Not eligible",IF(OR(AH82&lt;&gt;"Current",T82&lt;&gt;"Approved",Z82&lt;&gt;"Pass",(COUNTIFS('Actions'!$D$9:$D$308,E82,'Actions'!$E$9:$E$308,"E&amp;S",'Actions'!$F$9:$F$308,"Critical",'Actions'!$P$9:$P$308,"&lt;&gt;Closed",'Actions'!$C$9:$C$308,"&lt;&gt;")+COUNTIFS('Actions'!$D$9:$D$308,E82,'Actions'!$E$9:$E$308,"Taxonomy",'Actions'!$F$9:$F$308,"Critical",'Actions'!$P$9:$P$308,"&lt;&gt;Closed",'Actions'!$C$9:$C$308,"&lt;&gt;")+COUNTIFS('ESG'!$C$9:$C$108,E82,'ESG'!$H$9:$H$108,"Yes"))&gt;0,AND(AB82&lt;&gt;"Green",AB82&lt;&gt;"Amber",AB82&lt;&gt;"Eligible (internal)")),"Pending",IF(AA82="No allocation","Activity only",IF(AA82&lt;&gt;"Valid","Pending","Approved"))))))</x:f>
      </x:c>
      <x:c r="AD82" s="21" t="str">
        <x:f>IF(C82="","",IF(AND(AC82="Approved",OR(AB82="Green",AB82="Eligible (internal)")),N82,0))</x:f>
      </x:c>
      <x:c r="AE82" s="21" t="str">
        <x:f>IF(C82="","",IF(AND(AC82="Approved",AB82="Amber"),N82,0))</x:f>
      </x:c>
      <x:c r="AF82" s="9" t="str">
        <x:f>IF(C82="","",IF((COUNTIFS('Actions'!$D$9:$D$308,E82,'Actions'!$E$9:$E$308,"E&amp;S",'Actions'!$F$9:$F$308,"Critical",'Actions'!$P$9:$P$308,"&lt;&gt;Closed",'Actions'!$C$9:$C$308,"&lt;&gt;")+COUNTIFS('Actions'!$D$9:$D$308,E82,'Actions'!$E$9:$E$308,"Taxonomy",'Actions'!$F$9:$F$308,"Critical",'Actions'!$P$9:$P$308,"&lt;&gt;Closed",'Actions'!$C$9:$C$308,"&lt;&gt;")+COUNTIFS('ESG'!$C$9:$C$108,E82,'ESG'!$H$9:$H$108,"Yes"))&gt;0,"Resolve critical E&amp;S / taxonomy issue",IF(AH82&lt;&gt;"Current",AH82,IF(Z82&lt;&gt;"Pass","Review individual tests",IF(U82="Criteria required","Sourced criteria / interpretation required",IF(AA82&lt;&gt;"Valid",AA82,IF(T82&lt;&gt;"Approved","Approval required",I82)))))))</x:f>
      </x:c>
      <x:c r="AG82" s="9" t="str">
        <x:f>IF(C82="","",IFERROR(INDEX('Taxonomy Rules'!$L$9:$L$20,MATCH(H82&amp;"::"&amp;G82,'Taxonomy Rules'!$C$9:$C$20,0)),"Unimplemented activity"))</x:f>
      </x:c>
      <x:c r="AH82" s="9" t="str">
        <x:f>IF(C82="","",IF(COUNTIF($C$9:$C$108,C82)&lt;&gt;1,"Duplicate ID",IF(OR(COUNTIF(Facilities!$C$9:$C$108,D82)&lt;&gt;1,COUNTIF(Borrowers!$C$9:$C$108,E82)&lt;&gt;1),"Key review",IF(OR(P82="",Q82="",P82=Q82,NOT(ISNUMBER(R82)),NOT(ISNUMBER(S82)),R82&gt;Settings!$F$8,S82&lt;R82),"Review required",IF(S82&lt;Settings!$F$8,"Expired","Current")))))</x:f>
      </x:c>
    </x:row>
    <x:row r="83" ht="26" customHeight="1">
      <x:c r="A83" s="1"/>
      <x:c r="B83" s="1"/>
      <x:c r="C83" s="8"/>
      <x:c r="D83" s="8"/>
      <x:c r="E83" s="9" t="str">
        <x:f>IF(C83="","",IFERROR(INDEX('Facilities'!$D$9:$D$108,MATCH(D83,'Facilities'!$C$9:$C$108,0)),""))</x:f>
      </x:c>
      <x:c r="F83" s="9" t="str">
        <x:f>IF(C83="","",IFERROR(INDEX('Borrowers'!$E$9:$E$108,MATCH(E83,'Borrowers'!$C$9:$C$108,0)),""))</x:f>
      </x:c>
      <x:c r="G83" s="9" t="str">
        <x:f>IF(C83="","",IFERROR(INDEX('Facilities'!$W$9:$W$108,MATCH(D83,'Facilities'!$C$9:$C$108,0)),""))</x:f>
      </x:c>
      <x:c r="H83" s="9" t="str">
        <x:f>IF(C83="","",Settings!$F$11)</x:f>
      </x:c>
      <x:c r="I83" s="3" t="str">
        <x:f>IF(C83="","",IF(H83="Jordan 2026",IF(F83="Jordan","Jordan taxonomy","Reference benchmark"),"Internal policy"))</x:f>
      </x:c>
      <x:c r="J83" s="8"/>
      <x:c r="K83" s="35"/>
      <x:c r="L83" s="35"/>
      <x:c r="M83" s="8"/>
      <x:c r="N83" s="16"/>
      <x:c r="O83" s="8"/>
      <x:c r="P83" s="8"/>
      <x:c r="Q83" s="8"/>
      <x:c r="R83" s="10"/>
      <x:c r="S83" s="10"/>
      <x:c r="T83" s="8"/>
      <x:c r="U83" s="9" t="str">
        <x:f>IF(C83="","",IF(V83=0,"Criteria required",IF(OR(NOT(ISNUMBER(J83)),J83&lt;1900,J83&gt;YEAR(Settings!$F$8),IFERROR(MOD(J83,1),1)&lt;&gt;0,NOT(ISNUMBER(K83)),K83&lt;0,AND(H83="Internal criteria",OR(G83="Cement",G83="Building renovation"),OR(NOT(ISNUMBER(IFERROR(INDEX('Taxonomy Rules'!$G$9:$G$20,MATCH(H83&amp;"::"&amp;G83,'Taxonomy Rules'!$C$9:$C$20,0)),0))),IFERROR(INDEX('Taxonomy Rules'!$G$9:$G$20,MATCH(H83&amp;"::"&amp;G83,'Taxonomy Rules'!$C$9:$C$20,0)),0)&lt;=0,AND(G83="Building renovation",IFERROR(INDEX('Taxonomy Rules'!$G$9:$G$20,MATCH(H83&amp;"::"&amp;G83,'Taxonomy Rules'!$C$9:$C$20,0)),0)&gt;1)))),"Criteria required",IF(G83="Solar PV",IF(M83&lt;&gt;"Eligible activity","Criteria required",IF(K83=1,"Pass","Fail")),IF(G83="Cement",IF(M83="Amber",IF(H83="Jordan 2026",IF(YEAR(Settings!$F$8)&lt;2040,"Amber","Fail"),"Criteria required"),IF(M83&lt;&gt;"Green","Criteria required",IF(H83="Jordan 2026",IF(IFERROR(INDEX('Taxonomy Rules'!$P$9:$P$14,MATCH(J83,'Taxonomy Rules'!$O$9:$O$14,0)),0)=0,"Criteria required",IF(K83&lt;=IFERROR(INDEX('Taxonomy Rules'!$P$9:$P$14,MATCH(J83,'Taxonomy Rules'!$O$9:$O$14,0)),0),"Pass","Fail")),IF(K83&lt;=IFERROR(INDEX('Taxonomy Rules'!$G$9:$G$20,MATCH(H83&amp;"::"&amp;G83,'Taxonomy Rules'!$C$9:$C$20,0)),0),"Pass","Fail")))),IF(G83="Building renovation",IF(M83="Whole building",IF(K83=1,"Pass","Fail"),IF(M83&lt;&gt;"Improvement","Criteria required",IF(OR(K83&gt;1,NOT(ISNUMBER(L83)),L83&lt;0,L83&gt;1),"Criteria required",IF(MAX(K83,L83)&lt;IFERROR(INDEX('Taxonomy Rules'!$G$9:$G$20,MATCH(H83&amp;"::"&amp;G83,'Taxonomy Rules'!$C$9:$C$20,0)),0),"Fail",IF(H83="Jordan 2026",IF(YEAR(Settings!$F$8)&lt;2035,"Amber",IF(YEAR(Settings!$F$8)=2035,"Criteria required","Fail")),"Pass"))))),IF(G83="Road freight",IF(M83&lt;&gt;"Zero emissions","Criteria required",IF(AND(K83=0,ISNUMBER(L83),L83=0),"Pass","Fail")),IF(G83="New building",IF(NOT(OR(M83="Green",M83="Amber")),"Criteria required",IF(K83&lt;&gt;1,"Fail",IF(M83="Amber",IF(H83="Jordan 2026",IF(YEAR(Settings!$F$8)&lt;2030,"Amber",IF(YEAR(Settings!$F$8)=2030,"Criteria required","Fail")),"Criteria required"),"Pass"))),IF(G83="Building equipment",IF(M83&lt;&gt;"Equipment","Criteria required",IF(K83=1,"Pass","Fail")),"Criteria required")))))))))</x:f>
      </x:c>
      <x:c r="V83" s="9" t="str">
        <x:f>IF(C83="","",IFERROR(INDEX('Taxonomy Rules'!$J$9:$J$20,MATCH(H83&amp;"::"&amp;G83,'Taxonomy Rules'!$C$9:$C$20,0)),0))</x:f>
      </x:c>
      <x:c r="W83" s="9" t="str">
        <x:f>IF(C83="","",COUNTIFS('Taxonomy Tests'!$D$9:$D$2008,C83,'Taxonomy Tests'!$Q$9:$Q$2008,"Complete"))</x:f>
      </x:c>
      <x:c r="X83" s="9" t="str">
        <x:f>IF(C83="","",COUNTIFS('Taxonomy Tests'!$D$9:$D$2008,C83,'Taxonomy Tests'!$P$9:$P$2008,"Fail"))</x:f>
      </x:c>
      <x:c r="Y83" s="9" t="str">
        <x:f>IF(C83="","",MAX(0,V83-W83)+COUNTIFS('Taxonomy Tests'!$D$9:$D$2008,C83,'Taxonomy Tests'!$R$9:$R$2008,"Duplicate test")+COUNTIFS('Taxonomy Tests'!$D$9:$D$2008,C83,'Taxonomy Tests'!$R$9:$R$2008,"Unexpected test"))</x:f>
      </x:c>
      <x:c r="Z83" s="9" t="str">
        <x:f>IF(C83="","",IF(X83&gt;0,"Fail",IF(AND(V83&gt;0,W83=V83,Y83=0,COUNTIF('Taxonomy Tests'!$D$9:$D$2008,C83)=V83),"Pass","Pending")))</x:f>
      </x:c>
      <x:c r="AA83" s="9" t="str">
        <x:f>IF(C83="","",IF(COUNTIF(Facilities!$C$9:$C$108,D83)&lt;&gt;1,"Facility key",IF(OR(NOT(ISNUMBER(N83)),N83&lt;0),"Amount required",IF(SUMIF($D$9:$D$108,D83,$N$9:$N$108)&gt;IFERROR(INDEX('Facilities'!$AA$9:$AA$108,MATCH(D83,'Facilities'!$C$9:$C$108,0)),"")+0.000001,"Overallocated",IF(N83=0,"No allocation",IF(O83="","Evidence required","Valid"))))))</x:f>
      </x:c>
      <x:c r="AB83" s="3" t="str">
        <x:f>IF(C83="","",IF(OR(U83="Fail",Z83="Fail"),IF(H83="Jordan 2026","Red / not aligned","Not eligible"),IF(OR(U83="Criteria required",V83=0),"Criteria required",IF(Z83&lt;&gt;"Pass","Pending",IF(U83="Amber","Amber",IF(H83="Jordan 2026","Green","Eligible (internal)"))))))</x:f>
      </x:c>
      <x:c r="AC83" s="9" t="str">
        <x:f>IF(C83="","",IF(T83="Rejected","Rejected",IF(OR(AB83="Red / not aligned",AB83="Not eligible"),"Not eligible",IF(OR(AH83&lt;&gt;"Current",T83&lt;&gt;"Approved",Z83&lt;&gt;"Pass",(COUNTIFS('Actions'!$D$9:$D$308,E83,'Actions'!$E$9:$E$308,"E&amp;S",'Actions'!$F$9:$F$308,"Critical",'Actions'!$P$9:$P$308,"&lt;&gt;Closed",'Actions'!$C$9:$C$308,"&lt;&gt;")+COUNTIFS('Actions'!$D$9:$D$308,E83,'Actions'!$E$9:$E$308,"Taxonomy",'Actions'!$F$9:$F$308,"Critical",'Actions'!$P$9:$P$308,"&lt;&gt;Closed",'Actions'!$C$9:$C$308,"&lt;&gt;")+COUNTIFS('ESG'!$C$9:$C$108,E83,'ESG'!$H$9:$H$108,"Yes"))&gt;0,AND(AB83&lt;&gt;"Green",AB83&lt;&gt;"Amber",AB83&lt;&gt;"Eligible (internal)")),"Pending",IF(AA83="No allocation","Activity only",IF(AA83&lt;&gt;"Valid","Pending","Approved"))))))</x:f>
      </x:c>
      <x:c r="AD83" s="21" t="str">
        <x:f>IF(C83="","",IF(AND(AC83="Approved",OR(AB83="Green",AB83="Eligible (internal)")),N83,0))</x:f>
      </x:c>
      <x:c r="AE83" s="21" t="str">
        <x:f>IF(C83="","",IF(AND(AC83="Approved",AB83="Amber"),N83,0))</x:f>
      </x:c>
      <x:c r="AF83" s="9" t="str">
        <x:f>IF(C83="","",IF((COUNTIFS('Actions'!$D$9:$D$308,E83,'Actions'!$E$9:$E$308,"E&amp;S",'Actions'!$F$9:$F$308,"Critical",'Actions'!$P$9:$P$308,"&lt;&gt;Closed",'Actions'!$C$9:$C$308,"&lt;&gt;")+COUNTIFS('Actions'!$D$9:$D$308,E83,'Actions'!$E$9:$E$308,"Taxonomy",'Actions'!$F$9:$F$308,"Critical",'Actions'!$P$9:$P$308,"&lt;&gt;Closed",'Actions'!$C$9:$C$308,"&lt;&gt;")+COUNTIFS('ESG'!$C$9:$C$108,E83,'ESG'!$H$9:$H$108,"Yes"))&gt;0,"Resolve critical E&amp;S / taxonomy issue",IF(AH83&lt;&gt;"Current",AH83,IF(Z83&lt;&gt;"Pass","Review individual tests",IF(U83="Criteria required","Sourced criteria / interpretation required",IF(AA83&lt;&gt;"Valid",AA83,IF(T83&lt;&gt;"Approved","Approval required",I83)))))))</x:f>
      </x:c>
      <x:c r="AG83" s="9" t="str">
        <x:f>IF(C83="","",IFERROR(INDEX('Taxonomy Rules'!$L$9:$L$20,MATCH(H83&amp;"::"&amp;G83,'Taxonomy Rules'!$C$9:$C$20,0)),"Unimplemented activity"))</x:f>
      </x:c>
      <x:c r="AH83" s="9" t="str">
        <x:f>IF(C83="","",IF(COUNTIF($C$9:$C$108,C83)&lt;&gt;1,"Duplicate ID",IF(OR(COUNTIF(Facilities!$C$9:$C$108,D83)&lt;&gt;1,COUNTIF(Borrowers!$C$9:$C$108,E83)&lt;&gt;1),"Key review",IF(OR(P83="",Q83="",P83=Q83,NOT(ISNUMBER(R83)),NOT(ISNUMBER(S83)),R83&gt;Settings!$F$8,S83&lt;R83),"Review required",IF(S83&lt;Settings!$F$8,"Expired","Current")))))</x:f>
      </x:c>
    </x:row>
    <x:row r="84" ht="26" customHeight="1">
      <x:c r="A84" s="1"/>
      <x:c r="B84" s="1"/>
      <x:c r="C84" s="8"/>
      <x:c r="D84" s="8"/>
      <x:c r="E84" s="9" t="str">
        <x:f>IF(C84="","",IFERROR(INDEX('Facilities'!$D$9:$D$108,MATCH(D84,'Facilities'!$C$9:$C$108,0)),""))</x:f>
      </x:c>
      <x:c r="F84" s="9" t="str">
        <x:f>IF(C84="","",IFERROR(INDEX('Borrowers'!$E$9:$E$108,MATCH(E84,'Borrowers'!$C$9:$C$108,0)),""))</x:f>
      </x:c>
      <x:c r="G84" s="9" t="str">
        <x:f>IF(C84="","",IFERROR(INDEX('Facilities'!$W$9:$W$108,MATCH(D84,'Facilities'!$C$9:$C$108,0)),""))</x:f>
      </x:c>
      <x:c r="H84" s="9" t="str">
        <x:f>IF(C84="","",Settings!$F$11)</x:f>
      </x:c>
      <x:c r="I84" s="3" t="str">
        <x:f>IF(C84="","",IF(H84="Jordan 2026",IF(F84="Jordan","Jordan taxonomy","Reference benchmark"),"Internal policy"))</x:f>
      </x:c>
      <x:c r="J84" s="8"/>
      <x:c r="K84" s="35"/>
      <x:c r="L84" s="35"/>
      <x:c r="M84" s="8"/>
      <x:c r="N84" s="16"/>
      <x:c r="O84" s="8"/>
      <x:c r="P84" s="8"/>
      <x:c r="Q84" s="8"/>
      <x:c r="R84" s="10"/>
      <x:c r="S84" s="10"/>
      <x:c r="T84" s="8"/>
      <x:c r="U84" s="9" t="str">
        <x:f>IF(C84="","",IF(V84=0,"Criteria required",IF(OR(NOT(ISNUMBER(J84)),J84&lt;1900,J84&gt;YEAR(Settings!$F$8),IFERROR(MOD(J84,1),1)&lt;&gt;0,NOT(ISNUMBER(K84)),K84&lt;0,AND(H84="Internal criteria",OR(G84="Cement",G84="Building renovation"),OR(NOT(ISNUMBER(IFERROR(INDEX('Taxonomy Rules'!$G$9:$G$20,MATCH(H84&amp;"::"&amp;G84,'Taxonomy Rules'!$C$9:$C$20,0)),0))),IFERROR(INDEX('Taxonomy Rules'!$G$9:$G$20,MATCH(H84&amp;"::"&amp;G84,'Taxonomy Rules'!$C$9:$C$20,0)),0)&lt;=0,AND(G84="Building renovation",IFERROR(INDEX('Taxonomy Rules'!$G$9:$G$20,MATCH(H84&amp;"::"&amp;G84,'Taxonomy Rules'!$C$9:$C$20,0)),0)&gt;1)))),"Criteria required",IF(G84="Solar PV",IF(M84&lt;&gt;"Eligible activity","Criteria required",IF(K84=1,"Pass","Fail")),IF(G84="Cement",IF(M84="Amber",IF(H84="Jordan 2026",IF(YEAR(Settings!$F$8)&lt;2040,"Amber","Fail"),"Criteria required"),IF(M84&lt;&gt;"Green","Criteria required",IF(H84="Jordan 2026",IF(IFERROR(INDEX('Taxonomy Rules'!$P$9:$P$14,MATCH(J84,'Taxonomy Rules'!$O$9:$O$14,0)),0)=0,"Criteria required",IF(K84&lt;=IFERROR(INDEX('Taxonomy Rules'!$P$9:$P$14,MATCH(J84,'Taxonomy Rules'!$O$9:$O$14,0)),0),"Pass","Fail")),IF(K84&lt;=IFERROR(INDEX('Taxonomy Rules'!$G$9:$G$20,MATCH(H84&amp;"::"&amp;G84,'Taxonomy Rules'!$C$9:$C$20,0)),0),"Pass","Fail")))),IF(G84="Building renovation",IF(M84="Whole building",IF(K84=1,"Pass","Fail"),IF(M84&lt;&gt;"Improvement","Criteria required",IF(OR(K84&gt;1,NOT(ISNUMBER(L84)),L84&lt;0,L84&gt;1),"Criteria required",IF(MAX(K84,L84)&lt;IFERROR(INDEX('Taxonomy Rules'!$G$9:$G$20,MATCH(H84&amp;"::"&amp;G84,'Taxonomy Rules'!$C$9:$C$20,0)),0),"Fail",IF(H84="Jordan 2026",IF(YEAR(Settings!$F$8)&lt;2035,"Amber",IF(YEAR(Settings!$F$8)=2035,"Criteria required","Fail")),"Pass"))))),IF(G84="Road freight",IF(M84&lt;&gt;"Zero emissions","Criteria required",IF(AND(K84=0,ISNUMBER(L84),L84=0),"Pass","Fail")),IF(G84="New building",IF(NOT(OR(M84="Green",M84="Amber")),"Criteria required",IF(K84&lt;&gt;1,"Fail",IF(M84="Amber",IF(H84="Jordan 2026",IF(YEAR(Settings!$F$8)&lt;2030,"Amber",IF(YEAR(Settings!$F$8)=2030,"Criteria required","Fail")),"Criteria required"),"Pass"))),IF(G84="Building equipment",IF(M84&lt;&gt;"Equipment","Criteria required",IF(K84=1,"Pass","Fail")),"Criteria required")))))))))</x:f>
      </x:c>
      <x:c r="V84" s="9" t="str">
        <x:f>IF(C84="","",IFERROR(INDEX('Taxonomy Rules'!$J$9:$J$20,MATCH(H84&amp;"::"&amp;G84,'Taxonomy Rules'!$C$9:$C$20,0)),0))</x:f>
      </x:c>
      <x:c r="W84" s="9" t="str">
        <x:f>IF(C84="","",COUNTIFS('Taxonomy Tests'!$D$9:$D$2008,C84,'Taxonomy Tests'!$Q$9:$Q$2008,"Complete"))</x:f>
      </x:c>
      <x:c r="X84" s="9" t="str">
        <x:f>IF(C84="","",COUNTIFS('Taxonomy Tests'!$D$9:$D$2008,C84,'Taxonomy Tests'!$P$9:$P$2008,"Fail"))</x:f>
      </x:c>
      <x:c r="Y84" s="9" t="str">
        <x:f>IF(C84="","",MAX(0,V84-W84)+COUNTIFS('Taxonomy Tests'!$D$9:$D$2008,C84,'Taxonomy Tests'!$R$9:$R$2008,"Duplicate test")+COUNTIFS('Taxonomy Tests'!$D$9:$D$2008,C84,'Taxonomy Tests'!$R$9:$R$2008,"Unexpected test"))</x:f>
      </x:c>
      <x:c r="Z84" s="9" t="str">
        <x:f>IF(C84="","",IF(X84&gt;0,"Fail",IF(AND(V84&gt;0,W84=V84,Y84=0,COUNTIF('Taxonomy Tests'!$D$9:$D$2008,C84)=V84),"Pass","Pending")))</x:f>
      </x:c>
      <x:c r="AA84" s="9" t="str">
        <x:f>IF(C84="","",IF(COUNTIF(Facilities!$C$9:$C$108,D84)&lt;&gt;1,"Facility key",IF(OR(NOT(ISNUMBER(N84)),N84&lt;0),"Amount required",IF(SUMIF($D$9:$D$108,D84,$N$9:$N$108)&gt;IFERROR(INDEX('Facilities'!$AA$9:$AA$108,MATCH(D84,'Facilities'!$C$9:$C$108,0)),"")+0.000001,"Overallocated",IF(N84=0,"No allocation",IF(O84="","Evidence required","Valid"))))))</x:f>
      </x:c>
      <x:c r="AB84" s="3" t="str">
        <x:f>IF(C84="","",IF(OR(U84="Fail",Z84="Fail"),IF(H84="Jordan 2026","Red / not aligned","Not eligible"),IF(OR(U84="Criteria required",V84=0),"Criteria required",IF(Z84&lt;&gt;"Pass","Pending",IF(U84="Amber","Amber",IF(H84="Jordan 2026","Green","Eligible (internal)"))))))</x:f>
      </x:c>
      <x:c r="AC84" s="9" t="str">
        <x:f>IF(C84="","",IF(T84="Rejected","Rejected",IF(OR(AB84="Red / not aligned",AB84="Not eligible"),"Not eligible",IF(OR(AH84&lt;&gt;"Current",T84&lt;&gt;"Approved",Z84&lt;&gt;"Pass",(COUNTIFS('Actions'!$D$9:$D$308,E84,'Actions'!$E$9:$E$308,"E&amp;S",'Actions'!$F$9:$F$308,"Critical",'Actions'!$P$9:$P$308,"&lt;&gt;Closed",'Actions'!$C$9:$C$308,"&lt;&gt;")+COUNTIFS('Actions'!$D$9:$D$308,E84,'Actions'!$E$9:$E$308,"Taxonomy",'Actions'!$F$9:$F$308,"Critical",'Actions'!$P$9:$P$308,"&lt;&gt;Closed",'Actions'!$C$9:$C$308,"&lt;&gt;")+COUNTIFS('ESG'!$C$9:$C$108,E84,'ESG'!$H$9:$H$108,"Yes"))&gt;0,AND(AB84&lt;&gt;"Green",AB84&lt;&gt;"Amber",AB84&lt;&gt;"Eligible (internal)")),"Pending",IF(AA84="No allocation","Activity only",IF(AA84&lt;&gt;"Valid","Pending","Approved"))))))</x:f>
      </x:c>
      <x:c r="AD84" s="21" t="str">
        <x:f>IF(C84="","",IF(AND(AC84="Approved",OR(AB84="Green",AB84="Eligible (internal)")),N84,0))</x:f>
      </x:c>
      <x:c r="AE84" s="21" t="str">
        <x:f>IF(C84="","",IF(AND(AC84="Approved",AB84="Amber"),N84,0))</x:f>
      </x:c>
      <x:c r="AF84" s="9" t="str">
        <x:f>IF(C84="","",IF((COUNTIFS('Actions'!$D$9:$D$308,E84,'Actions'!$E$9:$E$308,"E&amp;S",'Actions'!$F$9:$F$308,"Critical",'Actions'!$P$9:$P$308,"&lt;&gt;Closed",'Actions'!$C$9:$C$308,"&lt;&gt;")+COUNTIFS('Actions'!$D$9:$D$308,E84,'Actions'!$E$9:$E$308,"Taxonomy",'Actions'!$F$9:$F$308,"Critical",'Actions'!$P$9:$P$308,"&lt;&gt;Closed",'Actions'!$C$9:$C$308,"&lt;&gt;")+COUNTIFS('ESG'!$C$9:$C$108,E84,'ESG'!$H$9:$H$108,"Yes"))&gt;0,"Resolve critical E&amp;S / taxonomy issue",IF(AH84&lt;&gt;"Current",AH84,IF(Z84&lt;&gt;"Pass","Review individual tests",IF(U84="Criteria required","Sourced criteria / interpretation required",IF(AA84&lt;&gt;"Valid",AA84,IF(T84&lt;&gt;"Approved","Approval required",I84)))))))</x:f>
      </x:c>
      <x:c r="AG84" s="9" t="str">
        <x:f>IF(C84="","",IFERROR(INDEX('Taxonomy Rules'!$L$9:$L$20,MATCH(H84&amp;"::"&amp;G84,'Taxonomy Rules'!$C$9:$C$20,0)),"Unimplemented activity"))</x:f>
      </x:c>
      <x:c r="AH84" s="9" t="str">
        <x:f>IF(C84="","",IF(COUNTIF($C$9:$C$108,C84)&lt;&gt;1,"Duplicate ID",IF(OR(COUNTIF(Facilities!$C$9:$C$108,D84)&lt;&gt;1,COUNTIF(Borrowers!$C$9:$C$108,E84)&lt;&gt;1),"Key review",IF(OR(P84="",Q84="",P84=Q84,NOT(ISNUMBER(R84)),NOT(ISNUMBER(S84)),R84&gt;Settings!$F$8,S84&lt;R84),"Review required",IF(S84&lt;Settings!$F$8,"Expired","Current")))))</x:f>
      </x:c>
    </x:row>
    <x:row r="85" ht="26" customHeight="1">
      <x:c r="A85" s="1"/>
      <x:c r="B85" s="1"/>
      <x:c r="C85" s="8"/>
      <x:c r="D85" s="8"/>
      <x:c r="E85" s="9" t="str">
        <x:f>IF(C85="","",IFERROR(INDEX('Facilities'!$D$9:$D$108,MATCH(D85,'Facilities'!$C$9:$C$108,0)),""))</x:f>
      </x:c>
      <x:c r="F85" s="9" t="str">
        <x:f>IF(C85="","",IFERROR(INDEX('Borrowers'!$E$9:$E$108,MATCH(E85,'Borrowers'!$C$9:$C$108,0)),""))</x:f>
      </x:c>
      <x:c r="G85" s="9" t="str">
        <x:f>IF(C85="","",IFERROR(INDEX('Facilities'!$W$9:$W$108,MATCH(D85,'Facilities'!$C$9:$C$108,0)),""))</x:f>
      </x:c>
      <x:c r="H85" s="9" t="str">
        <x:f>IF(C85="","",Settings!$F$11)</x:f>
      </x:c>
      <x:c r="I85" s="3" t="str">
        <x:f>IF(C85="","",IF(H85="Jordan 2026",IF(F85="Jordan","Jordan taxonomy","Reference benchmark"),"Internal policy"))</x:f>
      </x:c>
      <x:c r="J85" s="8"/>
      <x:c r="K85" s="35"/>
      <x:c r="L85" s="35"/>
      <x:c r="M85" s="8"/>
      <x:c r="N85" s="16"/>
      <x:c r="O85" s="8"/>
      <x:c r="P85" s="8"/>
      <x:c r="Q85" s="8"/>
      <x:c r="R85" s="10"/>
      <x:c r="S85" s="10"/>
      <x:c r="T85" s="8"/>
      <x:c r="U85" s="9" t="str">
        <x:f>IF(C85="","",IF(V85=0,"Criteria required",IF(OR(NOT(ISNUMBER(J85)),J85&lt;1900,J85&gt;YEAR(Settings!$F$8),IFERROR(MOD(J85,1),1)&lt;&gt;0,NOT(ISNUMBER(K85)),K85&lt;0,AND(H85="Internal criteria",OR(G85="Cement",G85="Building renovation"),OR(NOT(ISNUMBER(IFERROR(INDEX('Taxonomy Rules'!$G$9:$G$20,MATCH(H85&amp;"::"&amp;G85,'Taxonomy Rules'!$C$9:$C$20,0)),0))),IFERROR(INDEX('Taxonomy Rules'!$G$9:$G$20,MATCH(H85&amp;"::"&amp;G85,'Taxonomy Rules'!$C$9:$C$20,0)),0)&lt;=0,AND(G85="Building renovation",IFERROR(INDEX('Taxonomy Rules'!$G$9:$G$20,MATCH(H85&amp;"::"&amp;G85,'Taxonomy Rules'!$C$9:$C$20,0)),0)&gt;1)))),"Criteria required",IF(G85="Solar PV",IF(M85&lt;&gt;"Eligible activity","Criteria required",IF(K85=1,"Pass","Fail")),IF(G85="Cement",IF(M85="Amber",IF(H85="Jordan 2026",IF(YEAR(Settings!$F$8)&lt;2040,"Amber","Fail"),"Criteria required"),IF(M85&lt;&gt;"Green","Criteria required",IF(H85="Jordan 2026",IF(IFERROR(INDEX('Taxonomy Rules'!$P$9:$P$14,MATCH(J85,'Taxonomy Rules'!$O$9:$O$14,0)),0)=0,"Criteria required",IF(K85&lt;=IFERROR(INDEX('Taxonomy Rules'!$P$9:$P$14,MATCH(J85,'Taxonomy Rules'!$O$9:$O$14,0)),0),"Pass","Fail")),IF(K85&lt;=IFERROR(INDEX('Taxonomy Rules'!$G$9:$G$20,MATCH(H85&amp;"::"&amp;G85,'Taxonomy Rules'!$C$9:$C$20,0)),0),"Pass","Fail")))),IF(G85="Building renovation",IF(M85="Whole building",IF(K85=1,"Pass","Fail"),IF(M85&lt;&gt;"Improvement","Criteria required",IF(OR(K85&gt;1,NOT(ISNUMBER(L85)),L85&lt;0,L85&gt;1),"Criteria required",IF(MAX(K85,L85)&lt;IFERROR(INDEX('Taxonomy Rules'!$G$9:$G$20,MATCH(H85&amp;"::"&amp;G85,'Taxonomy Rules'!$C$9:$C$20,0)),0),"Fail",IF(H85="Jordan 2026",IF(YEAR(Settings!$F$8)&lt;2035,"Amber",IF(YEAR(Settings!$F$8)=2035,"Criteria required","Fail")),"Pass"))))),IF(G85="Road freight",IF(M85&lt;&gt;"Zero emissions","Criteria required",IF(AND(K85=0,ISNUMBER(L85),L85=0),"Pass","Fail")),IF(G85="New building",IF(NOT(OR(M85="Green",M85="Amber")),"Criteria required",IF(K85&lt;&gt;1,"Fail",IF(M85="Amber",IF(H85="Jordan 2026",IF(YEAR(Settings!$F$8)&lt;2030,"Amber",IF(YEAR(Settings!$F$8)=2030,"Criteria required","Fail")),"Criteria required"),"Pass"))),IF(G85="Building equipment",IF(M85&lt;&gt;"Equipment","Criteria required",IF(K85=1,"Pass","Fail")),"Criteria required")))))))))</x:f>
      </x:c>
      <x:c r="V85" s="9" t="str">
        <x:f>IF(C85="","",IFERROR(INDEX('Taxonomy Rules'!$J$9:$J$20,MATCH(H85&amp;"::"&amp;G85,'Taxonomy Rules'!$C$9:$C$20,0)),0))</x:f>
      </x:c>
      <x:c r="W85" s="9" t="str">
        <x:f>IF(C85="","",COUNTIFS('Taxonomy Tests'!$D$9:$D$2008,C85,'Taxonomy Tests'!$Q$9:$Q$2008,"Complete"))</x:f>
      </x:c>
      <x:c r="X85" s="9" t="str">
        <x:f>IF(C85="","",COUNTIFS('Taxonomy Tests'!$D$9:$D$2008,C85,'Taxonomy Tests'!$P$9:$P$2008,"Fail"))</x:f>
      </x:c>
      <x:c r="Y85" s="9" t="str">
        <x:f>IF(C85="","",MAX(0,V85-W85)+COUNTIFS('Taxonomy Tests'!$D$9:$D$2008,C85,'Taxonomy Tests'!$R$9:$R$2008,"Duplicate test")+COUNTIFS('Taxonomy Tests'!$D$9:$D$2008,C85,'Taxonomy Tests'!$R$9:$R$2008,"Unexpected test"))</x:f>
      </x:c>
      <x:c r="Z85" s="9" t="str">
        <x:f>IF(C85="","",IF(X85&gt;0,"Fail",IF(AND(V85&gt;0,W85=V85,Y85=0,COUNTIF('Taxonomy Tests'!$D$9:$D$2008,C85)=V85),"Pass","Pending")))</x:f>
      </x:c>
      <x:c r="AA85" s="9" t="str">
        <x:f>IF(C85="","",IF(COUNTIF(Facilities!$C$9:$C$108,D85)&lt;&gt;1,"Facility key",IF(OR(NOT(ISNUMBER(N85)),N85&lt;0),"Amount required",IF(SUMIF($D$9:$D$108,D85,$N$9:$N$108)&gt;IFERROR(INDEX('Facilities'!$AA$9:$AA$108,MATCH(D85,'Facilities'!$C$9:$C$108,0)),"")+0.000001,"Overallocated",IF(N85=0,"No allocation",IF(O85="","Evidence required","Valid"))))))</x:f>
      </x:c>
      <x:c r="AB85" s="3" t="str">
        <x:f>IF(C85="","",IF(OR(U85="Fail",Z85="Fail"),IF(H85="Jordan 2026","Red / not aligned","Not eligible"),IF(OR(U85="Criteria required",V85=0),"Criteria required",IF(Z85&lt;&gt;"Pass","Pending",IF(U85="Amber","Amber",IF(H85="Jordan 2026","Green","Eligible (internal)"))))))</x:f>
      </x:c>
      <x:c r="AC85" s="9" t="str">
        <x:f>IF(C85="","",IF(T85="Rejected","Rejected",IF(OR(AB85="Red / not aligned",AB85="Not eligible"),"Not eligible",IF(OR(AH85&lt;&gt;"Current",T85&lt;&gt;"Approved",Z85&lt;&gt;"Pass",(COUNTIFS('Actions'!$D$9:$D$308,E85,'Actions'!$E$9:$E$308,"E&amp;S",'Actions'!$F$9:$F$308,"Critical",'Actions'!$P$9:$P$308,"&lt;&gt;Closed",'Actions'!$C$9:$C$308,"&lt;&gt;")+COUNTIFS('Actions'!$D$9:$D$308,E85,'Actions'!$E$9:$E$308,"Taxonomy",'Actions'!$F$9:$F$308,"Critical",'Actions'!$P$9:$P$308,"&lt;&gt;Closed",'Actions'!$C$9:$C$308,"&lt;&gt;")+COUNTIFS('ESG'!$C$9:$C$108,E85,'ESG'!$H$9:$H$108,"Yes"))&gt;0,AND(AB85&lt;&gt;"Green",AB85&lt;&gt;"Amber",AB85&lt;&gt;"Eligible (internal)")),"Pending",IF(AA85="No allocation","Activity only",IF(AA85&lt;&gt;"Valid","Pending","Approved"))))))</x:f>
      </x:c>
      <x:c r="AD85" s="21" t="str">
        <x:f>IF(C85="","",IF(AND(AC85="Approved",OR(AB85="Green",AB85="Eligible (internal)")),N85,0))</x:f>
      </x:c>
      <x:c r="AE85" s="21" t="str">
        <x:f>IF(C85="","",IF(AND(AC85="Approved",AB85="Amber"),N85,0))</x:f>
      </x:c>
      <x:c r="AF85" s="9" t="str">
        <x:f>IF(C85="","",IF((COUNTIFS('Actions'!$D$9:$D$308,E85,'Actions'!$E$9:$E$308,"E&amp;S",'Actions'!$F$9:$F$308,"Critical",'Actions'!$P$9:$P$308,"&lt;&gt;Closed",'Actions'!$C$9:$C$308,"&lt;&gt;")+COUNTIFS('Actions'!$D$9:$D$308,E85,'Actions'!$E$9:$E$308,"Taxonomy",'Actions'!$F$9:$F$308,"Critical",'Actions'!$P$9:$P$308,"&lt;&gt;Closed",'Actions'!$C$9:$C$308,"&lt;&gt;")+COUNTIFS('ESG'!$C$9:$C$108,E85,'ESG'!$H$9:$H$108,"Yes"))&gt;0,"Resolve critical E&amp;S / taxonomy issue",IF(AH85&lt;&gt;"Current",AH85,IF(Z85&lt;&gt;"Pass","Review individual tests",IF(U85="Criteria required","Sourced criteria / interpretation required",IF(AA85&lt;&gt;"Valid",AA85,IF(T85&lt;&gt;"Approved","Approval required",I85)))))))</x:f>
      </x:c>
      <x:c r="AG85" s="9" t="str">
        <x:f>IF(C85="","",IFERROR(INDEX('Taxonomy Rules'!$L$9:$L$20,MATCH(H85&amp;"::"&amp;G85,'Taxonomy Rules'!$C$9:$C$20,0)),"Unimplemented activity"))</x:f>
      </x:c>
      <x:c r="AH85" s="9" t="str">
        <x:f>IF(C85="","",IF(COUNTIF($C$9:$C$108,C85)&lt;&gt;1,"Duplicate ID",IF(OR(COUNTIF(Facilities!$C$9:$C$108,D85)&lt;&gt;1,COUNTIF(Borrowers!$C$9:$C$108,E85)&lt;&gt;1),"Key review",IF(OR(P85="",Q85="",P85=Q85,NOT(ISNUMBER(R85)),NOT(ISNUMBER(S85)),R85&gt;Settings!$F$8,S85&lt;R85),"Review required",IF(S85&lt;Settings!$F$8,"Expired","Current")))))</x:f>
      </x:c>
    </x:row>
    <x:row r="86" ht="26" customHeight="1">
      <x:c r="A86" s="1"/>
      <x:c r="B86" s="1"/>
      <x:c r="C86" s="8"/>
      <x:c r="D86" s="8"/>
      <x:c r="E86" s="9" t="str">
        <x:f>IF(C86="","",IFERROR(INDEX('Facilities'!$D$9:$D$108,MATCH(D86,'Facilities'!$C$9:$C$108,0)),""))</x:f>
      </x:c>
      <x:c r="F86" s="9" t="str">
        <x:f>IF(C86="","",IFERROR(INDEX('Borrowers'!$E$9:$E$108,MATCH(E86,'Borrowers'!$C$9:$C$108,0)),""))</x:f>
      </x:c>
      <x:c r="G86" s="9" t="str">
        <x:f>IF(C86="","",IFERROR(INDEX('Facilities'!$W$9:$W$108,MATCH(D86,'Facilities'!$C$9:$C$108,0)),""))</x:f>
      </x:c>
      <x:c r="H86" s="9" t="str">
        <x:f>IF(C86="","",Settings!$F$11)</x:f>
      </x:c>
      <x:c r="I86" s="3" t="str">
        <x:f>IF(C86="","",IF(H86="Jordan 2026",IF(F86="Jordan","Jordan taxonomy","Reference benchmark"),"Internal policy"))</x:f>
      </x:c>
      <x:c r="J86" s="8"/>
      <x:c r="K86" s="35"/>
      <x:c r="L86" s="35"/>
      <x:c r="M86" s="8"/>
      <x:c r="N86" s="16"/>
      <x:c r="O86" s="8"/>
      <x:c r="P86" s="8"/>
      <x:c r="Q86" s="8"/>
      <x:c r="R86" s="10"/>
      <x:c r="S86" s="10"/>
      <x:c r="T86" s="8"/>
      <x:c r="U86" s="9" t="str">
        <x:f>IF(C86="","",IF(V86=0,"Criteria required",IF(OR(NOT(ISNUMBER(J86)),J86&lt;1900,J86&gt;YEAR(Settings!$F$8),IFERROR(MOD(J86,1),1)&lt;&gt;0,NOT(ISNUMBER(K86)),K86&lt;0,AND(H86="Internal criteria",OR(G86="Cement",G86="Building renovation"),OR(NOT(ISNUMBER(IFERROR(INDEX('Taxonomy Rules'!$G$9:$G$20,MATCH(H86&amp;"::"&amp;G86,'Taxonomy Rules'!$C$9:$C$20,0)),0))),IFERROR(INDEX('Taxonomy Rules'!$G$9:$G$20,MATCH(H86&amp;"::"&amp;G86,'Taxonomy Rules'!$C$9:$C$20,0)),0)&lt;=0,AND(G86="Building renovation",IFERROR(INDEX('Taxonomy Rules'!$G$9:$G$20,MATCH(H86&amp;"::"&amp;G86,'Taxonomy Rules'!$C$9:$C$20,0)),0)&gt;1)))),"Criteria required",IF(G86="Solar PV",IF(M86&lt;&gt;"Eligible activity","Criteria required",IF(K86=1,"Pass","Fail")),IF(G86="Cement",IF(M86="Amber",IF(H86="Jordan 2026",IF(YEAR(Settings!$F$8)&lt;2040,"Amber","Fail"),"Criteria required"),IF(M86&lt;&gt;"Green","Criteria required",IF(H86="Jordan 2026",IF(IFERROR(INDEX('Taxonomy Rules'!$P$9:$P$14,MATCH(J86,'Taxonomy Rules'!$O$9:$O$14,0)),0)=0,"Criteria required",IF(K86&lt;=IFERROR(INDEX('Taxonomy Rules'!$P$9:$P$14,MATCH(J86,'Taxonomy Rules'!$O$9:$O$14,0)),0),"Pass","Fail")),IF(K86&lt;=IFERROR(INDEX('Taxonomy Rules'!$G$9:$G$20,MATCH(H86&amp;"::"&amp;G86,'Taxonomy Rules'!$C$9:$C$20,0)),0),"Pass","Fail")))),IF(G86="Building renovation",IF(M86="Whole building",IF(K86=1,"Pass","Fail"),IF(M86&lt;&gt;"Improvement","Criteria required",IF(OR(K86&gt;1,NOT(ISNUMBER(L86)),L86&lt;0,L86&gt;1),"Criteria required",IF(MAX(K86,L86)&lt;IFERROR(INDEX('Taxonomy Rules'!$G$9:$G$20,MATCH(H86&amp;"::"&amp;G86,'Taxonomy Rules'!$C$9:$C$20,0)),0),"Fail",IF(H86="Jordan 2026",IF(YEAR(Settings!$F$8)&lt;2035,"Amber",IF(YEAR(Settings!$F$8)=2035,"Criteria required","Fail")),"Pass"))))),IF(G86="Road freight",IF(M86&lt;&gt;"Zero emissions","Criteria required",IF(AND(K86=0,ISNUMBER(L86),L86=0),"Pass","Fail")),IF(G86="New building",IF(NOT(OR(M86="Green",M86="Amber")),"Criteria required",IF(K86&lt;&gt;1,"Fail",IF(M86="Amber",IF(H86="Jordan 2026",IF(YEAR(Settings!$F$8)&lt;2030,"Amber",IF(YEAR(Settings!$F$8)=2030,"Criteria required","Fail")),"Criteria required"),"Pass"))),IF(G86="Building equipment",IF(M86&lt;&gt;"Equipment","Criteria required",IF(K86=1,"Pass","Fail")),"Criteria required")))))))))</x:f>
      </x:c>
      <x:c r="V86" s="9" t="str">
        <x:f>IF(C86="","",IFERROR(INDEX('Taxonomy Rules'!$J$9:$J$20,MATCH(H86&amp;"::"&amp;G86,'Taxonomy Rules'!$C$9:$C$20,0)),0))</x:f>
      </x:c>
      <x:c r="W86" s="9" t="str">
        <x:f>IF(C86="","",COUNTIFS('Taxonomy Tests'!$D$9:$D$2008,C86,'Taxonomy Tests'!$Q$9:$Q$2008,"Complete"))</x:f>
      </x:c>
      <x:c r="X86" s="9" t="str">
        <x:f>IF(C86="","",COUNTIFS('Taxonomy Tests'!$D$9:$D$2008,C86,'Taxonomy Tests'!$P$9:$P$2008,"Fail"))</x:f>
      </x:c>
      <x:c r="Y86" s="9" t="str">
        <x:f>IF(C86="","",MAX(0,V86-W86)+COUNTIFS('Taxonomy Tests'!$D$9:$D$2008,C86,'Taxonomy Tests'!$R$9:$R$2008,"Duplicate test")+COUNTIFS('Taxonomy Tests'!$D$9:$D$2008,C86,'Taxonomy Tests'!$R$9:$R$2008,"Unexpected test"))</x:f>
      </x:c>
      <x:c r="Z86" s="9" t="str">
        <x:f>IF(C86="","",IF(X86&gt;0,"Fail",IF(AND(V86&gt;0,W86=V86,Y86=0,COUNTIF('Taxonomy Tests'!$D$9:$D$2008,C86)=V86),"Pass","Pending")))</x:f>
      </x:c>
      <x:c r="AA86" s="9" t="str">
        <x:f>IF(C86="","",IF(COUNTIF(Facilities!$C$9:$C$108,D86)&lt;&gt;1,"Facility key",IF(OR(NOT(ISNUMBER(N86)),N86&lt;0),"Amount required",IF(SUMIF($D$9:$D$108,D86,$N$9:$N$108)&gt;IFERROR(INDEX('Facilities'!$AA$9:$AA$108,MATCH(D86,'Facilities'!$C$9:$C$108,0)),"")+0.000001,"Overallocated",IF(N86=0,"No allocation",IF(O86="","Evidence required","Valid"))))))</x:f>
      </x:c>
      <x:c r="AB86" s="3" t="str">
        <x:f>IF(C86="","",IF(OR(U86="Fail",Z86="Fail"),IF(H86="Jordan 2026","Red / not aligned","Not eligible"),IF(OR(U86="Criteria required",V86=0),"Criteria required",IF(Z86&lt;&gt;"Pass","Pending",IF(U86="Amber","Amber",IF(H86="Jordan 2026","Green","Eligible (internal)"))))))</x:f>
      </x:c>
      <x:c r="AC86" s="9" t="str">
        <x:f>IF(C86="","",IF(T86="Rejected","Rejected",IF(OR(AB86="Red / not aligned",AB86="Not eligible"),"Not eligible",IF(OR(AH86&lt;&gt;"Current",T86&lt;&gt;"Approved",Z86&lt;&gt;"Pass",(COUNTIFS('Actions'!$D$9:$D$308,E86,'Actions'!$E$9:$E$308,"E&amp;S",'Actions'!$F$9:$F$308,"Critical",'Actions'!$P$9:$P$308,"&lt;&gt;Closed",'Actions'!$C$9:$C$308,"&lt;&gt;")+COUNTIFS('Actions'!$D$9:$D$308,E86,'Actions'!$E$9:$E$308,"Taxonomy",'Actions'!$F$9:$F$308,"Critical",'Actions'!$P$9:$P$308,"&lt;&gt;Closed",'Actions'!$C$9:$C$308,"&lt;&gt;")+COUNTIFS('ESG'!$C$9:$C$108,E86,'ESG'!$H$9:$H$108,"Yes"))&gt;0,AND(AB86&lt;&gt;"Green",AB86&lt;&gt;"Amber",AB86&lt;&gt;"Eligible (internal)")),"Pending",IF(AA86="No allocation","Activity only",IF(AA86&lt;&gt;"Valid","Pending","Approved"))))))</x:f>
      </x:c>
      <x:c r="AD86" s="21" t="str">
        <x:f>IF(C86="","",IF(AND(AC86="Approved",OR(AB86="Green",AB86="Eligible (internal)")),N86,0))</x:f>
      </x:c>
      <x:c r="AE86" s="21" t="str">
        <x:f>IF(C86="","",IF(AND(AC86="Approved",AB86="Amber"),N86,0))</x:f>
      </x:c>
      <x:c r="AF86" s="9" t="str">
        <x:f>IF(C86="","",IF((COUNTIFS('Actions'!$D$9:$D$308,E86,'Actions'!$E$9:$E$308,"E&amp;S",'Actions'!$F$9:$F$308,"Critical",'Actions'!$P$9:$P$308,"&lt;&gt;Closed",'Actions'!$C$9:$C$308,"&lt;&gt;")+COUNTIFS('Actions'!$D$9:$D$308,E86,'Actions'!$E$9:$E$308,"Taxonomy",'Actions'!$F$9:$F$308,"Critical",'Actions'!$P$9:$P$308,"&lt;&gt;Closed",'Actions'!$C$9:$C$308,"&lt;&gt;")+COUNTIFS('ESG'!$C$9:$C$108,E86,'ESG'!$H$9:$H$108,"Yes"))&gt;0,"Resolve critical E&amp;S / taxonomy issue",IF(AH86&lt;&gt;"Current",AH86,IF(Z86&lt;&gt;"Pass","Review individual tests",IF(U86="Criteria required","Sourced criteria / interpretation required",IF(AA86&lt;&gt;"Valid",AA86,IF(T86&lt;&gt;"Approved","Approval required",I86)))))))</x:f>
      </x:c>
      <x:c r="AG86" s="9" t="str">
        <x:f>IF(C86="","",IFERROR(INDEX('Taxonomy Rules'!$L$9:$L$20,MATCH(H86&amp;"::"&amp;G86,'Taxonomy Rules'!$C$9:$C$20,0)),"Unimplemented activity"))</x:f>
      </x:c>
      <x:c r="AH86" s="9" t="str">
        <x:f>IF(C86="","",IF(COUNTIF($C$9:$C$108,C86)&lt;&gt;1,"Duplicate ID",IF(OR(COUNTIF(Facilities!$C$9:$C$108,D86)&lt;&gt;1,COUNTIF(Borrowers!$C$9:$C$108,E86)&lt;&gt;1),"Key review",IF(OR(P86="",Q86="",P86=Q86,NOT(ISNUMBER(R86)),NOT(ISNUMBER(S86)),R86&gt;Settings!$F$8,S86&lt;R86),"Review required",IF(S86&lt;Settings!$F$8,"Expired","Current")))))</x:f>
      </x:c>
    </x:row>
    <x:row r="87" ht="26" customHeight="1">
      <x:c r="A87" s="1"/>
      <x:c r="B87" s="1"/>
      <x:c r="C87" s="8"/>
      <x:c r="D87" s="8"/>
      <x:c r="E87" s="9" t="str">
        <x:f>IF(C87="","",IFERROR(INDEX('Facilities'!$D$9:$D$108,MATCH(D87,'Facilities'!$C$9:$C$108,0)),""))</x:f>
      </x:c>
      <x:c r="F87" s="9" t="str">
        <x:f>IF(C87="","",IFERROR(INDEX('Borrowers'!$E$9:$E$108,MATCH(E87,'Borrowers'!$C$9:$C$108,0)),""))</x:f>
      </x:c>
      <x:c r="G87" s="9" t="str">
        <x:f>IF(C87="","",IFERROR(INDEX('Facilities'!$W$9:$W$108,MATCH(D87,'Facilities'!$C$9:$C$108,0)),""))</x:f>
      </x:c>
      <x:c r="H87" s="9" t="str">
        <x:f>IF(C87="","",Settings!$F$11)</x:f>
      </x:c>
      <x:c r="I87" s="3" t="str">
        <x:f>IF(C87="","",IF(H87="Jordan 2026",IF(F87="Jordan","Jordan taxonomy","Reference benchmark"),"Internal policy"))</x:f>
      </x:c>
      <x:c r="J87" s="8"/>
      <x:c r="K87" s="35"/>
      <x:c r="L87" s="35"/>
      <x:c r="M87" s="8"/>
      <x:c r="N87" s="16"/>
      <x:c r="O87" s="8"/>
      <x:c r="P87" s="8"/>
      <x:c r="Q87" s="8"/>
      <x:c r="R87" s="10"/>
      <x:c r="S87" s="10"/>
      <x:c r="T87" s="8"/>
      <x:c r="U87" s="9" t="str">
        <x:f>IF(C87="","",IF(V87=0,"Criteria required",IF(OR(NOT(ISNUMBER(J87)),J87&lt;1900,J87&gt;YEAR(Settings!$F$8),IFERROR(MOD(J87,1),1)&lt;&gt;0,NOT(ISNUMBER(K87)),K87&lt;0,AND(H87="Internal criteria",OR(G87="Cement",G87="Building renovation"),OR(NOT(ISNUMBER(IFERROR(INDEX('Taxonomy Rules'!$G$9:$G$20,MATCH(H87&amp;"::"&amp;G87,'Taxonomy Rules'!$C$9:$C$20,0)),0))),IFERROR(INDEX('Taxonomy Rules'!$G$9:$G$20,MATCH(H87&amp;"::"&amp;G87,'Taxonomy Rules'!$C$9:$C$20,0)),0)&lt;=0,AND(G87="Building renovation",IFERROR(INDEX('Taxonomy Rules'!$G$9:$G$20,MATCH(H87&amp;"::"&amp;G87,'Taxonomy Rules'!$C$9:$C$20,0)),0)&gt;1)))),"Criteria required",IF(G87="Solar PV",IF(M87&lt;&gt;"Eligible activity","Criteria required",IF(K87=1,"Pass","Fail")),IF(G87="Cement",IF(M87="Amber",IF(H87="Jordan 2026",IF(YEAR(Settings!$F$8)&lt;2040,"Amber","Fail"),"Criteria required"),IF(M87&lt;&gt;"Green","Criteria required",IF(H87="Jordan 2026",IF(IFERROR(INDEX('Taxonomy Rules'!$P$9:$P$14,MATCH(J87,'Taxonomy Rules'!$O$9:$O$14,0)),0)=0,"Criteria required",IF(K87&lt;=IFERROR(INDEX('Taxonomy Rules'!$P$9:$P$14,MATCH(J87,'Taxonomy Rules'!$O$9:$O$14,0)),0),"Pass","Fail")),IF(K87&lt;=IFERROR(INDEX('Taxonomy Rules'!$G$9:$G$20,MATCH(H87&amp;"::"&amp;G87,'Taxonomy Rules'!$C$9:$C$20,0)),0),"Pass","Fail")))),IF(G87="Building renovation",IF(M87="Whole building",IF(K87=1,"Pass","Fail"),IF(M87&lt;&gt;"Improvement","Criteria required",IF(OR(K87&gt;1,NOT(ISNUMBER(L87)),L87&lt;0,L87&gt;1),"Criteria required",IF(MAX(K87,L87)&lt;IFERROR(INDEX('Taxonomy Rules'!$G$9:$G$20,MATCH(H87&amp;"::"&amp;G87,'Taxonomy Rules'!$C$9:$C$20,0)),0),"Fail",IF(H87="Jordan 2026",IF(YEAR(Settings!$F$8)&lt;2035,"Amber",IF(YEAR(Settings!$F$8)=2035,"Criteria required","Fail")),"Pass"))))),IF(G87="Road freight",IF(M87&lt;&gt;"Zero emissions","Criteria required",IF(AND(K87=0,ISNUMBER(L87),L87=0),"Pass","Fail")),IF(G87="New building",IF(NOT(OR(M87="Green",M87="Amber")),"Criteria required",IF(K87&lt;&gt;1,"Fail",IF(M87="Amber",IF(H87="Jordan 2026",IF(YEAR(Settings!$F$8)&lt;2030,"Amber",IF(YEAR(Settings!$F$8)=2030,"Criteria required","Fail")),"Criteria required"),"Pass"))),IF(G87="Building equipment",IF(M87&lt;&gt;"Equipment","Criteria required",IF(K87=1,"Pass","Fail")),"Criteria required")))))))))</x:f>
      </x:c>
      <x:c r="V87" s="9" t="str">
        <x:f>IF(C87="","",IFERROR(INDEX('Taxonomy Rules'!$J$9:$J$20,MATCH(H87&amp;"::"&amp;G87,'Taxonomy Rules'!$C$9:$C$20,0)),0))</x:f>
      </x:c>
      <x:c r="W87" s="9" t="str">
        <x:f>IF(C87="","",COUNTIFS('Taxonomy Tests'!$D$9:$D$2008,C87,'Taxonomy Tests'!$Q$9:$Q$2008,"Complete"))</x:f>
      </x:c>
      <x:c r="X87" s="9" t="str">
        <x:f>IF(C87="","",COUNTIFS('Taxonomy Tests'!$D$9:$D$2008,C87,'Taxonomy Tests'!$P$9:$P$2008,"Fail"))</x:f>
      </x:c>
      <x:c r="Y87" s="9" t="str">
        <x:f>IF(C87="","",MAX(0,V87-W87)+COUNTIFS('Taxonomy Tests'!$D$9:$D$2008,C87,'Taxonomy Tests'!$R$9:$R$2008,"Duplicate test")+COUNTIFS('Taxonomy Tests'!$D$9:$D$2008,C87,'Taxonomy Tests'!$R$9:$R$2008,"Unexpected test"))</x:f>
      </x:c>
      <x:c r="Z87" s="9" t="str">
        <x:f>IF(C87="","",IF(X87&gt;0,"Fail",IF(AND(V87&gt;0,W87=V87,Y87=0,COUNTIF('Taxonomy Tests'!$D$9:$D$2008,C87)=V87),"Pass","Pending")))</x:f>
      </x:c>
      <x:c r="AA87" s="9" t="str">
        <x:f>IF(C87="","",IF(COUNTIF(Facilities!$C$9:$C$108,D87)&lt;&gt;1,"Facility key",IF(OR(NOT(ISNUMBER(N87)),N87&lt;0),"Amount required",IF(SUMIF($D$9:$D$108,D87,$N$9:$N$108)&gt;IFERROR(INDEX('Facilities'!$AA$9:$AA$108,MATCH(D87,'Facilities'!$C$9:$C$108,0)),"")+0.000001,"Overallocated",IF(N87=0,"No allocation",IF(O87="","Evidence required","Valid"))))))</x:f>
      </x:c>
      <x:c r="AB87" s="3" t="str">
        <x:f>IF(C87="","",IF(OR(U87="Fail",Z87="Fail"),IF(H87="Jordan 2026","Red / not aligned","Not eligible"),IF(OR(U87="Criteria required",V87=0),"Criteria required",IF(Z87&lt;&gt;"Pass","Pending",IF(U87="Amber","Amber",IF(H87="Jordan 2026","Green","Eligible (internal)"))))))</x:f>
      </x:c>
      <x:c r="AC87" s="9" t="str">
        <x:f>IF(C87="","",IF(T87="Rejected","Rejected",IF(OR(AB87="Red / not aligned",AB87="Not eligible"),"Not eligible",IF(OR(AH87&lt;&gt;"Current",T87&lt;&gt;"Approved",Z87&lt;&gt;"Pass",(COUNTIFS('Actions'!$D$9:$D$308,E87,'Actions'!$E$9:$E$308,"E&amp;S",'Actions'!$F$9:$F$308,"Critical",'Actions'!$P$9:$P$308,"&lt;&gt;Closed",'Actions'!$C$9:$C$308,"&lt;&gt;")+COUNTIFS('Actions'!$D$9:$D$308,E87,'Actions'!$E$9:$E$308,"Taxonomy",'Actions'!$F$9:$F$308,"Critical",'Actions'!$P$9:$P$308,"&lt;&gt;Closed",'Actions'!$C$9:$C$308,"&lt;&gt;")+COUNTIFS('ESG'!$C$9:$C$108,E87,'ESG'!$H$9:$H$108,"Yes"))&gt;0,AND(AB87&lt;&gt;"Green",AB87&lt;&gt;"Amber",AB87&lt;&gt;"Eligible (internal)")),"Pending",IF(AA87="No allocation","Activity only",IF(AA87&lt;&gt;"Valid","Pending","Approved"))))))</x:f>
      </x:c>
      <x:c r="AD87" s="21" t="str">
        <x:f>IF(C87="","",IF(AND(AC87="Approved",OR(AB87="Green",AB87="Eligible (internal)")),N87,0))</x:f>
      </x:c>
      <x:c r="AE87" s="21" t="str">
        <x:f>IF(C87="","",IF(AND(AC87="Approved",AB87="Amber"),N87,0))</x:f>
      </x:c>
      <x:c r="AF87" s="9" t="str">
        <x:f>IF(C87="","",IF((COUNTIFS('Actions'!$D$9:$D$308,E87,'Actions'!$E$9:$E$308,"E&amp;S",'Actions'!$F$9:$F$308,"Critical",'Actions'!$P$9:$P$308,"&lt;&gt;Closed",'Actions'!$C$9:$C$308,"&lt;&gt;")+COUNTIFS('Actions'!$D$9:$D$308,E87,'Actions'!$E$9:$E$308,"Taxonomy",'Actions'!$F$9:$F$308,"Critical",'Actions'!$P$9:$P$308,"&lt;&gt;Closed",'Actions'!$C$9:$C$308,"&lt;&gt;")+COUNTIFS('ESG'!$C$9:$C$108,E87,'ESG'!$H$9:$H$108,"Yes"))&gt;0,"Resolve critical E&amp;S / taxonomy issue",IF(AH87&lt;&gt;"Current",AH87,IF(Z87&lt;&gt;"Pass","Review individual tests",IF(U87="Criteria required","Sourced criteria / interpretation required",IF(AA87&lt;&gt;"Valid",AA87,IF(T87&lt;&gt;"Approved","Approval required",I87)))))))</x:f>
      </x:c>
      <x:c r="AG87" s="9" t="str">
        <x:f>IF(C87="","",IFERROR(INDEX('Taxonomy Rules'!$L$9:$L$20,MATCH(H87&amp;"::"&amp;G87,'Taxonomy Rules'!$C$9:$C$20,0)),"Unimplemented activity"))</x:f>
      </x:c>
      <x:c r="AH87" s="9" t="str">
        <x:f>IF(C87="","",IF(COUNTIF($C$9:$C$108,C87)&lt;&gt;1,"Duplicate ID",IF(OR(COUNTIF(Facilities!$C$9:$C$108,D87)&lt;&gt;1,COUNTIF(Borrowers!$C$9:$C$108,E87)&lt;&gt;1),"Key review",IF(OR(P87="",Q87="",P87=Q87,NOT(ISNUMBER(R87)),NOT(ISNUMBER(S87)),R87&gt;Settings!$F$8,S87&lt;R87),"Review required",IF(S87&lt;Settings!$F$8,"Expired","Current")))))</x:f>
      </x:c>
    </x:row>
    <x:row r="88" ht="26" customHeight="1">
      <x:c r="A88" s="1"/>
      <x:c r="B88" s="1"/>
      <x:c r="C88" s="8"/>
      <x:c r="D88" s="8"/>
      <x:c r="E88" s="9" t="str">
        <x:f>IF(C88="","",IFERROR(INDEX('Facilities'!$D$9:$D$108,MATCH(D88,'Facilities'!$C$9:$C$108,0)),""))</x:f>
      </x:c>
      <x:c r="F88" s="9" t="str">
        <x:f>IF(C88="","",IFERROR(INDEX('Borrowers'!$E$9:$E$108,MATCH(E88,'Borrowers'!$C$9:$C$108,0)),""))</x:f>
      </x:c>
      <x:c r="G88" s="9" t="str">
        <x:f>IF(C88="","",IFERROR(INDEX('Facilities'!$W$9:$W$108,MATCH(D88,'Facilities'!$C$9:$C$108,0)),""))</x:f>
      </x:c>
      <x:c r="H88" s="9" t="str">
        <x:f>IF(C88="","",Settings!$F$11)</x:f>
      </x:c>
      <x:c r="I88" s="3" t="str">
        <x:f>IF(C88="","",IF(H88="Jordan 2026",IF(F88="Jordan","Jordan taxonomy","Reference benchmark"),"Internal policy"))</x:f>
      </x:c>
      <x:c r="J88" s="8"/>
      <x:c r="K88" s="35"/>
      <x:c r="L88" s="35"/>
      <x:c r="M88" s="8"/>
      <x:c r="N88" s="16"/>
      <x:c r="O88" s="8"/>
      <x:c r="P88" s="8"/>
      <x:c r="Q88" s="8"/>
      <x:c r="R88" s="10"/>
      <x:c r="S88" s="10"/>
      <x:c r="T88" s="8"/>
      <x:c r="U88" s="9" t="str">
        <x:f>IF(C88="","",IF(V88=0,"Criteria required",IF(OR(NOT(ISNUMBER(J88)),J88&lt;1900,J88&gt;YEAR(Settings!$F$8),IFERROR(MOD(J88,1),1)&lt;&gt;0,NOT(ISNUMBER(K88)),K88&lt;0,AND(H88="Internal criteria",OR(G88="Cement",G88="Building renovation"),OR(NOT(ISNUMBER(IFERROR(INDEX('Taxonomy Rules'!$G$9:$G$20,MATCH(H88&amp;"::"&amp;G88,'Taxonomy Rules'!$C$9:$C$20,0)),0))),IFERROR(INDEX('Taxonomy Rules'!$G$9:$G$20,MATCH(H88&amp;"::"&amp;G88,'Taxonomy Rules'!$C$9:$C$20,0)),0)&lt;=0,AND(G88="Building renovation",IFERROR(INDEX('Taxonomy Rules'!$G$9:$G$20,MATCH(H88&amp;"::"&amp;G88,'Taxonomy Rules'!$C$9:$C$20,0)),0)&gt;1)))),"Criteria required",IF(G88="Solar PV",IF(M88&lt;&gt;"Eligible activity","Criteria required",IF(K88=1,"Pass","Fail")),IF(G88="Cement",IF(M88="Amber",IF(H88="Jordan 2026",IF(YEAR(Settings!$F$8)&lt;2040,"Amber","Fail"),"Criteria required"),IF(M88&lt;&gt;"Green","Criteria required",IF(H88="Jordan 2026",IF(IFERROR(INDEX('Taxonomy Rules'!$P$9:$P$14,MATCH(J88,'Taxonomy Rules'!$O$9:$O$14,0)),0)=0,"Criteria required",IF(K88&lt;=IFERROR(INDEX('Taxonomy Rules'!$P$9:$P$14,MATCH(J88,'Taxonomy Rules'!$O$9:$O$14,0)),0),"Pass","Fail")),IF(K88&lt;=IFERROR(INDEX('Taxonomy Rules'!$G$9:$G$20,MATCH(H88&amp;"::"&amp;G88,'Taxonomy Rules'!$C$9:$C$20,0)),0),"Pass","Fail")))),IF(G88="Building renovation",IF(M88="Whole building",IF(K88=1,"Pass","Fail"),IF(M88&lt;&gt;"Improvement","Criteria required",IF(OR(K88&gt;1,NOT(ISNUMBER(L88)),L88&lt;0,L88&gt;1),"Criteria required",IF(MAX(K88,L88)&lt;IFERROR(INDEX('Taxonomy Rules'!$G$9:$G$20,MATCH(H88&amp;"::"&amp;G88,'Taxonomy Rules'!$C$9:$C$20,0)),0),"Fail",IF(H88="Jordan 2026",IF(YEAR(Settings!$F$8)&lt;2035,"Amber",IF(YEAR(Settings!$F$8)=2035,"Criteria required","Fail")),"Pass"))))),IF(G88="Road freight",IF(M88&lt;&gt;"Zero emissions","Criteria required",IF(AND(K88=0,ISNUMBER(L88),L88=0),"Pass","Fail")),IF(G88="New building",IF(NOT(OR(M88="Green",M88="Amber")),"Criteria required",IF(K88&lt;&gt;1,"Fail",IF(M88="Amber",IF(H88="Jordan 2026",IF(YEAR(Settings!$F$8)&lt;2030,"Amber",IF(YEAR(Settings!$F$8)=2030,"Criteria required","Fail")),"Criteria required"),"Pass"))),IF(G88="Building equipment",IF(M88&lt;&gt;"Equipment","Criteria required",IF(K88=1,"Pass","Fail")),"Criteria required")))))))))</x:f>
      </x:c>
      <x:c r="V88" s="9" t="str">
        <x:f>IF(C88="","",IFERROR(INDEX('Taxonomy Rules'!$J$9:$J$20,MATCH(H88&amp;"::"&amp;G88,'Taxonomy Rules'!$C$9:$C$20,0)),0))</x:f>
      </x:c>
      <x:c r="W88" s="9" t="str">
        <x:f>IF(C88="","",COUNTIFS('Taxonomy Tests'!$D$9:$D$2008,C88,'Taxonomy Tests'!$Q$9:$Q$2008,"Complete"))</x:f>
      </x:c>
      <x:c r="X88" s="9" t="str">
        <x:f>IF(C88="","",COUNTIFS('Taxonomy Tests'!$D$9:$D$2008,C88,'Taxonomy Tests'!$P$9:$P$2008,"Fail"))</x:f>
      </x:c>
      <x:c r="Y88" s="9" t="str">
        <x:f>IF(C88="","",MAX(0,V88-W88)+COUNTIFS('Taxonomy Tests'!$D$9:$D$2008,C88,'Taxonomy Tests'!$R$9:$R$2008,"Duplicate test")+COUNTIFS('Taxonomy Tests'!$D$9:$D$2008,C88,'Taxonomy Tests'!$R$9:$R$2008,"Unexpected test"))</x:f>
      </x:c>
      <x:c r="Z88" s="9" t="str">
        <x:f>IF(C88="","",IF(X88&gt;0,"Fail",IF(AND(V88&gt;0,W88=V88,Y88=0,COUNTIF('Taxonomy Tests'!$D$9:$D$2008,C88)=V88),"Pass","Pending")))</x:f>
      </x:c>
      <x:c r="AA88" s="9" t="str">
        <x:f>IF(C88="","",IF(COUNTIF(Facilities!$C$9:$C$108,D88)&lt;&gt;1,"Facility key",IF(OR(NOT(ISNUMBER(N88)),N88&lt;0),"Amount required",IF(SUMIF($D$9:$D$108,D88,$N$9:$N$108)&gt;IFERROR(INDEX('Facilities'!$AA$9:$AA$108,MATCH(D88,'Facilities'!$C$9:$C$108,0)),"")+0.000001,"Overallocated",IF(N88=0,"No allocation",IF(O88="","Evidence required","Valid"))))))</x:f>
      </x:c>
      <x:c r="AB88" s="3" t="str">
        <x:f>IF(C88="","",IF(OR(U88="Fail",Z88="Fail"),IF(H88="Jordan 2026","Red / not aligned","Not eligible"),IF(OR(U88="Criteria required",V88=0),"Criteria required",IF(Z88&lt;&gt;"Pass","Pending",IF(U88="Amber","Amber",IF(H88="Jordan 2026","Green","Eligible (internal)"))))))</x:f>
      </x:c>
      <x:c r="AC88" s="9" t="str">
        <x:f>IF(C88="","",IF(T88="Rejected","Rejected",IF(OR(AB88="Red / not aligned",AB88="Not eligible"),"Not eligible",IF(OR(AH88&lt;&gt;"Current",T88&lt;&gt;"Approved",Z88&lt;&gt;"Pass",(COUNTIFS('Actions'!$D$9:$D$308,E88,'Actions'!$E$9:$E$308,"E&amp;S",'Actions'!$F$9:$F$308,"Critical",'Actions'!$P$9:$P$308,"&lt;&gt;Closed",'Actions'!$C$9:$C$308,"&lt;&gt;")+COUNTIFS('Actions'!$D$9:$D$308,E88,'Actions'!$E$9:$E$308,"Taxonomy",'Actions'!$F$9:$F$308,"Critical",'Actions'!$P$9:$P$308,"&lt;&gt;Closed",'Actions'!$C$9:$C$308,"&lt;&gt;")+COUNTIFS('ESG'!$C$9:$C$108,E88,'ESG'!$H$9:$H$108,"Yes"))&gt;0,AND(AB88&lt;&gt;"Green",AB88&lt;&gt;"Amber",AB88&lt;&gt;"Eligible (internal)")),"Pending",IF(AA88="No allocation","Activity only",IF(AA88&lt;&gt;"Valid","Pending","Approved"))))))</x:f>
      </x:c>
      <x:c r="AD88" s="21" t="str">
        <x:f>IF(C88="","",IF(AND(AC88="Approved",OR(AB88="Green",AB88="Eligible (internal)")),N88,0))</x:f>
      </x:c>
      <x:c r="AE88" s="21" t="str">
        <x:f>IF(C88="","",IF(AND(AC88="Approved",AB88="Amber"),N88,0))</x:f>
      </x:c>
      <x:c r="AF88" s="9" t="str">
        <x:f>IF(C88="","",IF((COUNTIFS('Actions'!$D$9:$D$308,E88,'Actions'!$E$9:$E$308,"E&amp;S",'Actions'!$F$9:$F$308,"Critical",'Actions'!$P$9:$P$308,"&lt;&gt;Closed",'Actions'!$C$9:$C$308,"&lt;&gt;")+COUNTIFS('Actions'!$D$9:$D$308,E88,'Actions'!$E$9:$E$308,"Taxonomy",'Actions'!$F$9:$F$308,"Critical",'Actions'!$P$9:$P$308,"&lt;&gt;Closed",'Actions'!$C$9:$C$308,"&lt;&gt;")+COUNTIFS('ESG'!$C$9:$C$108,E88,'ESG'!$H$9:$H$108,"Yes"))&gt;0,"Resolve critical E&amp;S / taxonomy issue",IF(AH88&lt;&gt;"Current",AH88,IF(Z88&lt;&gt;"Pass","Review individual tests",IF(U88="Criteria required","Sourced criteria / interpretation required",IF(AA88&lt;&gt;"Valid",AA88,IF(T88&lt;&gt;"Approved","Approval required",I88)))))))</x:f>
      </x:c>
      <x:c r="AG88" s="9" t="str">
        <x:f>IF(C88="","",IFERROR(INDEX('Taxonomy Rules'!$L$9:$L$20,MATCH(H88&amp;"::"&amp;G88,'Taxonomy Rules'!$C$9:$C$20,0)),"Unimplemented activity"))</x:f>
      </x:c>
      <x:c r="AH88" s="9" t="str">
        <x:f>IF(C88="","",IF(COUNTIF($C$9:$C$108,C88)&lt;&gt;1,"Duplicate ID",IF(OR(COUNTIF(Facilities!$C$9:$C$108,D88)&lt;&gt;1,COUNTIF(Borrowers!$C$9:$C$108,E88)&lt;&gt;1),"Key review",IF(OR(P88="",Q88="",P88=Q88,NOT(ISNUMBER(R88)),NOT(ISNUMBER(S88)),R88&gt;Settings!$F$8,S88&lt;R88),"Review required",IF(S88&lt;Settings!$F$8,"Expired","Current")))))</x:f>
      </x:c>
    </x:row>
    <x:row r="89" ht="26" customHeight="1">
      <x:c r="A89" s="1"/>
      <x:c r="B89" s="1"/>
      <x:c r="C89" s="8"/>
      <x:c r="D89" s="8"/>
      <x:c r="E89" s="9" t="str">
        <x:f>IF(C89="","",IFERROR(INDEX('Facilities'!$D$9:$D$108,MATCH(D89,'Facilities'!$C$9:$C$108,0)),""))</x:f>
      </x:c>
      <x:c r="F89" s="9" t="str">
        <x:f>IF(C89="","",IFERROR(INDEX('Borrowers'!$E$9:$E$108,MATCH(E89,'Borrowers'!$C$9:$C$108,0)),""))</x:f>
      </x:c>
      <x:c r="G89" s="9" t="str">
        <x:f>IF(C89="","",IFERROR(INDEX('Facilities'!$W$9:$W$108,MATCH(D89,'Facilities'!$C$9:$C$108,0)),""))</x:f>
      </x:c>
      <x:c r="H89" s="9" t="str">
        <x:f>IF(C89="","",Settings!$F$11)</x:f>
      </x:c>
      <x:c r="I89" s="3" t="str">
        <x:f>IF(C89="","",IF(H89="Jordan 2026",IF(F89="Jordan","Jordan taxonomy","Reference benchmark"),"Internal policy"))</x:f>
      </x:c>
      <x:c r="J89" s="8"/>
      <x:c r="K89" s="35"/>
      <x:c r="L89" s="35"/>
      <x:c r="M89" s="8"/>
      <x:c r="N89" s="16"/>
      <x:c r="O89" s="8"/>
      <x:c r="P89" s="8"/>
      <x:c r="Q89" s="8"/>
      <x:c r="R89" s="10"/>
      <x:c r="S89" s="10"/>
      <x:c r="T89" s="8"/>
      <x:c r="U89" s="9" t="str">
        <x:f>IF(C89="","",IF(V89=0,"Criteria required",IF(OR(NOT(ISNUMBER(J89)),J89&lt;1900,J89&gt;YEAR(Settings!$F$8),IFERROR(MOD(J89,1),1)&lt;&gt;0,NOT(ISNUMBER(K89)),K89&lt;0,AND(H89="Internal criteria",OR(G89="Cement",G89="Building renovation"),OR(NOT(ISNUMBER(IFERROR(INDEX('Taxonomy Rules'!$G$9:$G$20,MATCH(H89&amp;"::"&amp;G89,'Taxonomy Rules'!$C$9:$C$20,0)),0))),IFERROR(INDEX('Taxonomy Rules'!$G$9:$G$20,MATCH(H89&amp;"::"&amp;G89,'Taxonomy Rules'!$C$9:$C$20,0)),0)&lt;=0,AND(G89="Building renovation",IFERROR(INDEX('Taxonomy Rules'!$G$9:$G$20,MATCH(H89&amp;"::"&amp;G89,'Taxonomy Rules'!$C$9:$C$20,0)),0)&gt;1)))),"Criteria required",IF(G89="Solar PV",IF(M89&lt;&gt;"Eligible activity","Criteria required",IF(K89=1,"Pass","Fail")),IF(G89="Cement",IF(M89="Amber",IF(H89="Jordan 2026",IF(YEAR(Settings!$F$8)&lt;2040,"Amber","Fail"),"Criteria required"),IF(M89&lt;&gt;"Green","Criteria required",IF(H89="Jordan 2026",IF(IFERROR(INDEX('Taxonomy Rules'!$P$9:$P$14,MATCH(J89,'Taxonomy Rules'!$O$9:$O$14,0)),0)=0,"Criteria required",IF(K89&lt;=IFERROR(INDEX('Taxonomy Rules'!$P$9:$P$14,MATCH(J89,'Taxonomy Rules'!$O$9:$O$14,0)),0),"Pass","Fail")),IF(K89&lt;=IFERROR(INDEX('Taxonomy Rules'!$G$9:$G$20,MATCH(H89&amp;"::"&amp;G89,'Taxonomy Rules'!$C$9:$C$20,0)),0),"Pass","Fail")))),IF(G89="Building renovation",IF(M89="Whole building",IF(K89=1,"Pass","Fail"),IF(M89&lt;&gt;"Improvement","Criteria required",IF(OR(K89&gt;1,NOT(ISNUMBER(L89)),L89&lt;0,L89&gt;1),"Criteria required",IF(MAX(K89,L89)&lt;IFERROR(INDEX('Taxonomy Rules'!$G$9:$G$20,MATCH(H89&amp;"::"&amp;G89,'Taxonomy Rules'!$C$9:$C$20,0)),0),"Fail",IF(H89="Jordan 2026",IF(YEAR(Settings!$F$8)&lt;2035,"Amber",IF(YEAR(Settings!$F$8)=2035,"Criteria required","Fail")),"Pass"))))),IF(G89="Road freight",IF(M89&lt;&gt;"Zero emissions","Criteria required",IF(AND(K89=0,ISNUMBER(L89),L89=0),"Pass","Fail")),IF(G89="New building",IF(NOT(OR(M89="Green",M89="Amber")),"Criteria required",IF(K89&lt;&gt;1,"Fail",IF(M89="Amber",IF(H89="Jordan 2026",IF(YEAR(Settings!$F$8)&lt;2030,"Amber",IF(YEAR(Settings!$F$8)=2030,"Criteria required","Fail")),"Criteria required"),"Pass"))),IF(G89="Building equipment",IF(M89&lt;&gt;"Equipment","Criteria required",IF(K89=1,"Pass","Fail")),"Criteria required")))))))))</x:f>
      </x:c>
      <x:c r="V89" s="9" t="str">
        <x:f>IF(C89="","",IFERROR(INDEX('Taxonomy Rules'!$J$9:$J$20,MATCH(H89&amp;"::"&amp;G89,'Taxonomy Rules'!$C$9:$C$20,0)),0))</x:f>
      </x:c>
      <x:c r="W89" s="9" t="str">
        <x:f>IF(C89="","",COUNTIFS('Taxonomy Tests'!$D$9:$D$2008,C89,'Taxonomy Tests'!$Q$9:$Q$2008,"Complete"))</x:f>
      </x:c>
      <x:c r="X89" s="9" t="str">
        <x:f>IF(C89="","",COUNTIFS('Taxonomy Tests'!$D$9:$D$2008,C89,'Taxonomy Tests'!$P$9:$P$2008,"Fail"))</x:f>
      </x:c>
      <x:c r="Y89" s="9" t="str">
        <x:f>IF(C89="","",MAX(0,V89-W89)+COUNTIFS('Taxonomy Tests'!$D$9:$D$2008,C89,'Taxonomy Tests'!$R$9:$R$2008,"Duplicate test")+COUNTIFS('Taxonomy Tests'!$D$9:$D$2008,C89,'Taxonomy Tests'!$R$9:$R$2008,"Unexpected test"))</x:f>
      </x:c>
      <x:c r="Z89" s="9" t="str">
        <x:f>IF(C89="","",IF(X89&gt;0,"Fail",IF(AND(V89&gt;0,W89=V89,Y89=0,COUNTIF('Taxonomy Tests'!$D$9:$D$2008,C89)=V89),"Pass","Pending")))</x:f>
      </x:c>
      <x:c r="AA89" s="9" t="str">
        <x:f>IF(C89="","",IF(COUNTIF(Facilities!$C$9:$C$108,D89)&lt;&gt;1,"Facility key",IF(OR(NOT(ISNUMBER(N89)),N89&lt;0),"Amount required",IF(SUMIF($D$9:$D$108,D89,$N$9:$N$108)&gt;IFERROR(INDEX('Facilities'!$AA$9:$AA$108,MATCH(D89,'Facilities'!$C$9:$C$108,0)),"")+0.000001,"Overallocated",IF(N89=0,"No allocation",IF(O89="","Evidence required","Valid"))))))</x:f>
      </x:c>
      <x:c r="AB89" s="3" t="str">
        <x:f>IF(C89="","",IF(OR(U89="Fail",Z89="Fail"),IF(H89="Jordan 2026","Red / not aligned","Not eligible"),IF(OR(U89="Criteria required",V89=0),"Criteria required",IF(Z89&lt;&gt;"Pass","Pending",IF(U89="Amber","Amber",IF(H89="Jordan 2026","Green","Eligible (internal)"))))))</x:f>
      </x:c>
      <x:c r="AC89" s="9" t="str">
        <x:f>IF(C89="","",IF(T89="Rejected","Rejected",IF(OR(AB89="Red / not aligned",AB89="Not eligible"),"Not eligible",IF(OR(AH89&lt;&gt;"Current",T89&lt;&gt;"Approved",Z89&lt;&gt;"Pass",(COUNTIFS('Actions'!$D$9:$D$308,E89,'Actions'!$E$9:$E$308,"E&amp;S",'Actions'!$F$9:$F$308,"Critical",'Actions'!$P$9:$P$308,"&lt;&gt;Closed",'Actions'!$C$9:$C$308,"&lt;&gt;")+COUNTIFS('Actions'!$D$9:$D$308,E89,'Actions'!$E$9:$E$308,"Taxonomy",'Actions'!$F$9:$F$308,"Critical",'Actions'!$P$9:$P$308,"&lt;&gt;Closed",'Actions'!$C$9:$C$308,"&lt;&gt;")+COUNTIFS('ESG'!$C$9:$C$108,E89,'ESG'!$H$9:$H$108,"Yes"))&gt;0,AND(AB89&lt;&gt;"Green",AB89&lt;&gt;"Amber",AB89&lt;&gt;"Eligible (internal)")),"Pending",IF(AA89="No allocation","Activity only",IF(AA89&lt;&gt;"Valid","Pending","Approved"))))))</x:f>
      </x:c>
      <x:c r="AD89" s="21" t="str">
        <x:f>IF(C89="","",IF(AND(AC89="Approved",OR(AB89="Green",AB89="Eligible (internal)")),N89,0))</x:f>
      </x:c>
      <x:c r="AE89" s="21" t="str">
        <x:f>IF(C89="","",IF(AND(AC89="Approved",AB89="Amber"),N89,0))</x:f>
      </x:c>
      <x:c r="AF89" s="9" t="str">
        <x:f>IF(C89="","",IF((COUNTIFS('Actions'!$D$9:$D$308,E89,'Actions'!$E$9:$E$308,"E&amp;S",'Actions'!$F$9:$F$308,"Critical",'Actions'!$P$9:$P$308,"&lt;&gt;Closed",'Actions'!$C$9:$C$308,"&lt;&gt;")+COUNTIFS('Actions'!$D$9:$D$308,E89,'Actions'!$E$9:$E$308,"Taxonomy",'Actions'!$F$9:$F$308,"Critical",'Actions'!$P$9:$P$308,"&lt;&gt;Closed",'Actions'!$C$9:$C$308,"&lt;&gt;")+COUNTIFS('ESG'!$C$9:$C$108,E89,'ESG'!$H$9:$H$108,"Yes"))&gt;0,"Resolve critical E&amp;S / taxonomy issue",IF(AH89&lt;&gt;"Current",AH89,IF(Z89&lt;&gt;"Pass","Review individual tests",IF(U89="Criteria required","Sourced criteria / interpretation required",IF(AA89&lt;&gt;"Valid",AA89,IF(T89&lt;&gt;"Approved","Approval required",I89)))))))</x:f>
      </x:c>
      <x:c r="AG89" s="9" t="str">
        <x:f>IF(C89="","",IFERROR(INDEX('Taxonomy Rules'!$L$9:$L$20,MATCH(H89&amp;"::"&amp;G89,'Taxonomy Rules'!$C$9:$C$20,0)),"Unimplemented activity"))</x:f>
      </x:c>
      <x:c r="AH89" s="9" t="str">
        <x:f>IF(C89="","",IF(COUNTIF($C$9:$C$108,C89)&lt;&gt;1,"Duplicate ID",IF(OR(COUNTIF(Facilities!$C$9:$C$108,D89)&lt;&gt;1,COUNTIF(Borrowers!$C$9:$C$108,E89)&lt;&gt;1),"Key review",IF(OR(P89="",Q89="",P89=Q89,NOT(ISNUMBER(R89)),NOT(ISNUMBER(S89)),R89&gt;Settings!$F$8,S89&lt;R89),"Review required",IF(S89&lt;Settings!$F$8,"Expired","Current")))))</x:f>
      </x:c>
    </x:row>
    <x:row r="90" ht="26" customHeight="1">
      <x:c r="A90" s="1"/>
      <x:c r="B90" s="1"/>
      <x:c r="C90" s="8"/>
      <x:c r="D90" s="8"/>
      <x:c r="E90" s="9" t="str">
        <x:f>IF(C90="","",IFERROR(INDEX('Facilities'!$D$9:$D$108,MATCH(D90,'Facilities'!$C$9:$C$108,0)),""))</x:f>
      </x:c>
      <x:c r="F90" s="9" t="str">
        <x:f>IF(C90="","",IFERROR(INDEX('Borrowers'!$E$9:$E$108,MATCH(E90,'Borrowers'!$C$9:$C$108,0)),""))</x:f>
      </x:c>
      <x:c r="G90" s="9" t="str">
        <x:f>IF(C90="","",IFERROR(INDEX('Facilities'!$W$9:$W$108,MATCH(D90,'Facilities'!$C$9:$C$108,0)),""))</x:f>
      </x:c>
      <x:c r="H90" s="9" t="str">
        <x:f>IF(C90="","",Settings!$F$11)</x:f>
      </x:c>
      <x:c r="I90" s="3" t="str">
        <x:f>IF(C90="","",IF(H90="Jordan 2026",IF(F90="Jordan","Jordan taxonomy","Reference benchmark"),"Internal policy"))</x:f>
      </x:c>
      <x:c r="J90" s="8"/>
      <x:c r="K90" s="35"/>
      <x:c r="L90" s="35"/>
      <x:c r="M90" s="8"/>
      <x:c r="N90" s="16"/>
      <x:c r="O90" s="8"/>
      <x:c r="P90" s="8"/>
      <x:c r="Q90" s="8"/>
      <x:c r="R90" s="10"/>
      <x:c r="S90" s="10"/>
      <x:c r="T90" s="8"/>
      <x:c r="U90" s="9" t="str">
        <x:f>IF(C90="","",IF(V90=0,"Criteria required",IF(OR(NOT(ISNUMBER(J90)),J90&lt;1900,J90&gt;YEAR(Settings!$F$8),IFERROR(MOD(J90,1),1)&lt;&gt;0,NOT(ISNUMBER(K90)),K90&lt;0,AND(H90="Internal criteria",OR(G90="Cement",G90="Building renovation"),OR(NOT(ISNUMBER(IFERROR(INDEX('Taxonomy Rules'!$G$9:$G$20,MATCH(H90&amp;"::"&amp;G90,'Taxonomy Rules'!$C$9:$C$20,0)),0))),IFERROR(INDEX('Taxonomy Rules'!$G$9:$G$20,MATCH(H90&amp;"::"&amp;G90,'Taxonomy Rules'!$C$9:$C$20,0)),0)&lt;=0,AND(G90="Building renovation",IFERROR(INDEX('Taxonomy Rules'!$G$9:$G$20,MATCH(H90&amp;"::"&amp;G90,'Taxonomy Rules'!$C$9:$C$20,0)),0)&gt;1)))),"Criteria required",IF(G90="Solar PV",IF(M90&lt;&gt;"Eligible activity","Criteria required",IF(K90=1,"Pass","Fail")),IF(G90="Cement",IF(M90="Amber",IF(H90="Jordan 2026",IF(YEAR(Settings!$F$8)&lt;2040,"Amber","Fail"),"Criteria required"),IF(M90&lt;&gt;"Green","Criteria required",IF(H90="Jordan 2026",IF(IFERROR(INDEX('Taxonomy Rules'!$P$9:$P$14,MATCH(J90,'Taxonomy Rules'!$O$9:$O$14,0)),0)=0,"Criteria required",IF(K90&lt;=IFERROR(INDEX('Taxonomy Rules'!$P$9:$P$14,MATCH(J90,'Taxonomy Rules'!$O$9:$O$14,0)),0),"Pass","Fail")),IF(K90&lt;=IFERROR(INDEX('Taxonomy Rules'!$G$9:$G$20,MATCH(H90&amp;"::"&amp;G90,'Taxonomy Rules'!$C$9:$C$20,0)),0),"Pass","Fail")))),IF(G90="Building renovation",IF(M90="Whole building",IF(K90=1,"Pass","Fail"),IF(M90&lt;&gt;"Improvement","Criteria required",IF(OR(K90&gt;1,NOT(ISNUMBER(L90)),L90&lt;0,L90&gt;1),"Criteria required",IF(MAX(K90,L90)&lt;IFERROR(INDEX('Taxonomy Rules'!$G$9:$G$20,MATCH(H90&amp;"::"&amp;G90,'Taxonomy Rules'!$C$9:$C$20,0)),0),"Fail",IF(H90="Jordan 2026",IF(YEAR(Settings!$F$8)&lt;2035,"Amber",IF(YEAR(Settings!$F$8)=2035,"Criteria required","Fail")),"Pass"))))),IF(G90="Road freight",IF(M90&lt;&gt;"Zero emissions","Criteria required",IF(AND(K90=0,ISNUMBER(L90),L90=0),"Pass","Fail")),IF(G90="New building",IF(NOT(OR(M90="Green",M90="Amber")),"Criteria required",IF(K90&lt;&gt;1,"Fail",IF(M90="Amber",IF(H90="Jordan 2026",IF(YEAR(Settings!$F$8)&lt;2030,"Amber",IF(YEAR(Settings!$F$8)=2030,"Criteria required","Fail")),"Criteria required"),"Pass"))),IF(G90="Building equipment",IF(M90&lt;&gt;"Equipment","Criteria required",IF(K90=1,"Pass","Fail")),"Criteria required")))))))))</x:f>
      </x:c>
      <x:c r="V90" s="9" t="str">
        <x:f>IF(C90="","",IFERROR(INDEX('Taxonomy Rules'!$J$9:$J$20,MATCH(H90&amp;"::"&amp;G90,'Taxonomy Rules'!$C$9:$C$20,0)),0))</x:f>
      </x:c>
      <x:c r="W90" s="9" t="str">
        <x:f>IF(C90="","",COUNTIFS('Taxonomy Tests'!$D$9:$D$2008,C90,'Taxonomy Tests'!$Q$9:$Q$2008,"Complete"))</x:f>
      </x:c>
      <x:c r="X90" s="9" t="str">
        <x:f>IF(C90="","",COUNTIFS('Taxonomy Tests'!$D$9:$D$2008,C90,'Taxonomy Tests'!$P$9:$P$2008,"Fail"))</x:f>
      </x:c>
      <x:c r="Y90" s="9" t="str">
        <x:f>IF(C90="","",MAX(0,V90-W90)+COUNTIFS('Taxonomy Tests'!$D$9:$D$2008,C90,'Taxonomy Tests'!$R$9:$R$2008,"Duplicate test")+COUNTIFS('Taxonomy Tests'!$D$9:$D$2008,C90,'Taxonomy Tests'!$R$9:$R$2008,"Unexpected test"))</x:f>
      </x:c>
      <x:c r="Z90" s="9" t="str">
        <x:f>IF(C90="","",IF(X90&gt;0,"Fail",IF(AND(V90&gt;0,W90=V90,Y90=0,COUNTIF('Taxonomy Tests'!$D$9:$D$2008,C90)=V90),"Pass","Pending")))</x:f>
      </x:c>
      <x:c r="AA90" s="9" t="str">
        <x:f>IF(C90="","",IF(COUNTIF(Facilities!$C$9:$C$108,D90)&lt;&gt;1,"Facility key",IF(OR(NOT(ISNUMBER(N90)),N90&lt;0),"Amount required",IF(SUMIF($D$9:$D$108,D90,$N$9:$N$108)&gt;IFERROR(INDEX('Facilities'!$AA$9:$AA$108,MATCH(D90,'Facilities'!$C$9:$C$108,0)),"")+0.000001,"Overallocated",IF(N90=0,"No allocation",IF(O90="","Evidence required","Valid"))))))</x:f>
      </x:c>
      <x:c r="AB90" s="3" t="str">
        <x:f>IF(C90="","",IF(OR(U90="Fail",Z90="Fail"),IF(H90="Jordan 2026","Red / not aligned","Not eligible"),IF(OR(U90="Criteria required",V90=0),"Criteria required",IF(Z90&lt;&gt;"Pass","Pending",IF(U90="Amber","Amber",IF(H90="Jordan 2026","Green","Eligible (internal)"))))))</x:f>
      </x:c>
      <x:c r="AC90" s="9" t="str">
        <x:f>IF(C90="","",IF(T90="Rejected","Rejected",IF(OR(AB90="Red / not aligned",AB90="Not eligible"),"Not eligible",IF(OR(AH90&lt;&gt;"Current",T90&lt;&gt;"Approved",Z90&lt;&gt;"Pass",(COUNTIFS('Actions'!$D$9:$D$308,E90,'Actions'!$E$9:$E$308,"E&amp;S",'Actions'!$F$9:$F$308,"Critical",'Actions'!$P$9:$P$308,"&lt;&gt;Closed",'Actions'!$C$9:$C$308,"&lt;&gt;")+COUNTIFS('Actions'!$D$9:$D$308,E90,'Actions'!$E$9:$E$308,"Taxonomy",'Actions'!$F$9:$F$308,"Critical",'Actions'!$P$9:$P$308,"&lt;&gt;Closed",'Actions'!$C$9:$C$308,"&lt;&gt;")+COUNTIFS('ESG'!$C$9:$C$108,E90,'ESG'!$H$9:$H$108,"Yes"))&gt;0,AND(AB90&lt;&gt;"Green",AB90&lt;&gt;"Amber",AB90&lt;&gt;"Eligible (internal)")),"Pending",IF(AA90="No allocation","Activity only",IF(AA90&lt;&gt;"Valid","Pending","Approved"))))))</x:f>
      </x:c>
      <x:c r="AD90" s="21" t="str">
        <x:f>IF(C90="","",IF(AND(AC90="Approved",OR(AB90="Green",AB90="Eligible (internal)")),N90,0))</x:f>
      </x:c>
      <x:c r="AE90" s="21" t="str">
        <x:f>IF(C90="","",IF(AND(AC90="Approved",AB90="Amber"),N90,0))</x:f>
      </x:c>
      <x:c r="AF90" s="9" t="str">
        <x:f>IF(C90="","",IF((COUNTIFS('Actions'!$D$9:$D$308,E90,'Actions'!$E$9:$E$308,"E&amp;S",'Actions'!$F$9:$F$308,"Critical",'Actions'!$P$9:$P$308,"&lt;&gt;Closed",'Actions'!$C$9:$C$308,"&lt;&gt;")+COUNTIFS('Actions'!$D$9:$D$308,E90,'Actions'!$E$9:$E$308,"Taxonomy",'Actions'!$F$9:$F$308,"Critical",'Actions'!$P$9:$P$308,"&lt;&gt;Closed",'Actions'!$C$9:$C$308,"&lt;&gt;")+COUNTIFS('ESG'!$C$9:$C$108,E90,'ESG'!$H$9:$H$108,"Yes"))&gt;0,"Resolve critical E&amp;S / taxonomy issue",IF(AH90&lt;&gt;"Current",AH90,IF(Z90&lt;&gt;"Pass","Review individual tests",IF(U90="Criteria required","Sourced criteria / interpretation required",IF(AA90&lt;&gt;"Valid",AA90,IF(T90&lt;&gt;"Approved","Approval required",I90)))))))</x:f>
      </x:c>
      <x:c r="AG90" s="9" t="str">
        <x:f>IF(C90="","",IFERROR(INDEX('Taxonomy Rules'!$L$9:$L$20,MATCH(H90&amp;"::"&amp;G90,'Taxonomy Rules'!$C$9:$C$20,0)),"Unimplemented activity"))</x:f>
      </x:c>
      <x:c r="AH90" s="9" t="str">
        <x:f>IF(C90="","",IF(COUNTIF($C$9:$C$108,C90)&lt;&gt;1,"Duplicate ID",IF(OR(COUNTIF(Facilities!$C$9:$C$108,D90)&lt;&gt;1,COUNTIF(Borrowers!$C$9:$C$108,E90)&lt;&gt;1),"Key review",IF(OR(P90="",Q90="",P90=Q90,NOT(ISNUMBER(R90)),NOT(ISNUMBER(S90)),R90&gt;Settings!$F$8,S90&lt;R90),"Review required",IF(S90&lt;Settings!$F$8,"Expired","Current")))))</x:f>
      </x:c>
    </x:row>
    <x:row r="91" ht="26" customHeight="1">
      <x:c r="A91" s="1"/>
      <x:c r="B91" s="1"/>
      <x:c r="C91" s="8"/>
      <x:c r="D91" s="8"/>
      <x:c r="E91" s="9" t="str">
        <x:f>IF(C91="","",IFERROR(INDEX('Facilities'!$D$9:$D$108,MATCH(D91,'Facilities'!$C$9:$C$108,0)),""))</x:f>
      </x:c>
      <x:c r="F91" s="9" t="str">
        <x:f>IF(C91="","",IFERROR(INDEX('Borrowers'!$E$9:$E$108,MATCH(E91,'Borrowers'!$C$9:$C$108,0)),""))</x:f>
      </x:c>
      <x:c r="G91" s="9" t="str">
        <x:f>IF(C91="","",IFERROR(INDEX('Facilities'!$W$9:$W$108,MATCH(D91,'Facilities'!$C$9:$C$108,0)),""))</x:f>
      </x:c>
      <x:c r="H91" s="9" t="str">
        <x:f>IF(C91="","",Settings!$F$11)</x:f>
      </x:c>
      <x:c r="I91" s="3" t="str">
        <x:f>IF(C91="","",IF(H91="Jordan 2026",IF(F91="Jordan","Jordan taxonomy","Reference benchmark"),"Internal policy"))</x:f>
      </x:c>
      <x:c r="J91" s="8"/>
      <x:c r="K91" s="35"/>
      <x:c r="L91" s="35"/>
      <x:c r="M91" s="8"/>
      <x:c r="N91" s="16"/>
      <x:c r="O91" s="8"/>
      <x:c r="P91" s="8"/>
      <x:c r="Q91" s="8"/>
      <x:c r="R91" s="10"/>
      <x:c r="S91" s="10"/>
      <x:c r="T91" s="8"/>
      <x:c r="U91" s="9" t="str">
        <x:f>IF(C91="","",IF(V91=0,"Criteria required",IF(OR(NOT(ISNUMBER(J91)),J91&lt;1900,J91&gt;YEAR(Settings!$F$8),IFERROR(MOD(J91,1),1)&lt;&gt;0,NOT(ISNUMBER(K91)),K91&lt;0,AND(H91="Internal criteria",OR(G91="Cement",G91="Building renovation"),OR(NOT(ISNUMBER(IFERROR(INDEX('Taxonomy Rules'!$G$9:$G$20,MATCH(H91&amp;"::"&amp;G91,'Taxonomy Rules'!$C$9:$C$20,0)),0))),IFERROR(INDEX('Taxonomy Rules'!$G$9:$G$20,MATCH(H91&amp;"::"&amp;G91,'Taxonomy Rules'!$C$9:$C$20,0)),0)&lt;=0,AND(G91="Building renovation",IFERROR(INDEX('Taxonomy Rules'!$G$9:$G$20,MATCH(H91&amp;"::"&amp;G91,'Taxonomy Rules'!$C$9:$C$20,0)),0)&gt;1)))),"Criteria required",IF(G91="Solar PV",IF(M91&lt;&gt;"Eligible activity","Criteria required",IF(K91=1,"Pass","Fail")),IF(G91="Cement",IF(M91="Amber",IF(H91="Jordan 2026",IF(YEAR(Settings!$F$8)&lt;2040,"Amber","Fail"),"Criteria required"),IF(M91&lt;&gt;"Green","Criteria required",IF(H91="Jordan 2026",IF(IFERROR(INDEX('Taxonomy Rules'!$P$9:$P$14,MATCH(J91,'Taxonomy Rules'!$O$9:$O$14,0)),0)=0,"Criteria required",IF(K91&lt;=IFERROR(INDEX('Taxonomy Rules'!$P$9:$P$14,MATCH(J91,'Taxonomy Rules'!$O$9:$O$14,0)),0),"Pass","Fail")),IF(K91&lt;=IFERROR(INDEX('Taxonomy Rules'!$G$9:$G$20,MATCH(H91&amp;"::"&amp;G91,'Taxonomy Rules'!$C$9:$C$20,0)),0),"Pass","Fail")))),IF(G91="Building renovation",IF(M91="Whole building",IF(K91=1,"Pass","Fail"),IF(M91&lt;&gt;"Improvement","Criteria required",IF(OR(K91&gt;1,NOT(ISNUMBER(L91)),L91&lt;0,L91&gt;1),"Criteria required",IF(MAX(K91,L91)&lt;IFERROR(INDEX('Taxonomy Rules'!$G$9:$G$20,MATCH(H91&amp;"::"&amp;G91,'Taxonomy Rules'!$C$9:$C$20,0)),0),"Fail",IF(H91="Jordan 2026",IF(YEAR(Settings!$F$8)&lt;2035,"Amber",IF(YEAR(Settings!$F$8)=2035,"Criteria required","Fail")),"Pass"))))),IF(G91="Road freight",IF(M91&lt;&gt;"Zero emissions","Criteria required",IF(AND(K91=0,ISNUMBER(L91),L91=0),"Pass","Fail")),IF(G91="New building",IF(NOT(OR(M91="Green",M91="Amber")),"Criteria required",IF(K91&lt;&gt;1,"Fail",IF(M91="Amber",IF(H91="Jordan 2026",IF(YEAR(Settings!$F$8)&lt;2030,"Amber",IF(YEAR(Settings!$F$8)=2030,"Criteria required","Fail")),"Criteria required"),"Pass"))),IF(G91="Building equipment",IF(M91&lt;&gt;"Equipment","Criteria required",IF(K91=1,"Pass","Fail")),"Criteria required")))))))))</x:f>
      </x:c>
      <x:c r="V91" s="9" t="str">
        <x:f>IF(C91="","",IFERROR(INDEX('Taxonomy Rules'!$J$9:$J$20,MATCH(H91&amp;"::"&amp;G91,'Taxonomy Rules'!$C$9:$C$20,0)),0))</x:f>
      </x:c>
      <x:c r="W91" s="9" t="str">
        <x:f>IF(C91="","",COUNTIFS('Taxonomy Tests'!$D$9:$D$2008,C91,'Taxonomy Tests'!$Q$9:$Q$2008,"Complete"))</x:f>
      </x:c>
      <x:c r="X91" s="9" t="str">
        <x:f>IF(C91="","",COUNTIFS('Taxonomy Tests'!$D$9:$D$2008,C91,'Taxonomy Tests'!$P$9:$P$2008,"Fail"))</x:f>
      </x:c>
      <x:c r="Y91" s="9" t="str">
        <x:f>IF(C91="","",MAX(0,V91-W91)+COUNTIFS('Taxonomy Tests'!$D$9:$D$2008,C91,'Taxonomy Tests'!$R$9:$R$2008,"Duplicate test")+COUNTIFS('Taxonomy Tests'!$D$9:$D$2008,C91,'Taxonomy Tests'!$R$9:$R$2008,"Unexpected test"))</x:f>
      </x:c>
      <x:c r="Z91" s="9" t="str">
        <x:f>IF(C91="","",IF(X91&gt;0,"Fail",IF(AND(V91&gt;0,W91=V91,Y91=0,COUNTIF('Taxonomy Tests'!$D$9:$D$2008,C91)=V91),"Pass","Pending")))</x:f>
      </x:c>
      <x:c r="AA91" s="9" t="str">
        <x:f>IF(C91="","",IF(COUNTIF(Facilities!$C$9:$C$108,D91)&lt;&gt;1,"Facility key",IF(OR(NOT(ISNUMBER(N91)),N91&lt;0),"Amount required",IF(SUMIF($D$9:$D$108,D91,$N$9:$N$108)&gt;IFERROR(INDEX('Facilities'!$AA$9:$AA$108,MATCH(D91,'Facilities'!$C$9:$C$108,0)),"")+0.000001,"Overallocated",IF(N91=0,"No allocation",IF(O91="","Evidence required","Valid"))))))</x:f>
      </x:c>
      <x:c r="AB91" s="3" t="str">
        <x:f>IF(C91="","",IF(OR(U91="Fail",Z91="Fail"),IF(H91="Jordan 2026","Red / not aligned","Not eligible"),IF(OR(U91="Criteria required",V91=0),"Criteria required",IF(Z91&lt;&gt;"Pass","Pending",IF(U91="Amber","Amber",IF(H91="Jordan 2026","Green","Eligible (internal)"))))))</x:f>
      </x:c>
      <x:c r="AC91" s="9" t="str">
        <x:f>IF(C91="","",IF(T91="Rejected","Rejected",IF(OR(AB91="Red / not aligned",AB91="Not eligible"),"Not eligible",IF(OR(AH91&lt;&gt;"Current",T91&lt;&gt;"Approved",Z91&lt;&gt;"Pass",(COUNTIFS('Actions'!$D$9:$D$308,E91,'Actions'!$E$9:$E$308,"E&amp;S",'Actions'!$F$9:$F$308,"Critical",'Actions'!$P$9:$P$308,"&lt;&gt;Closed",'Actions'!$C$9:$C$308,"&lt;&gt;")+COUNTIFS('Actions'!$D$9:$D$308,E91,'Actions'!$E$9:$E$308,"Taxonomy",'Actions'!$F$9:$F$308,"Critical",'Actions'!$P$9:$P$308,"&lt;&gt;Closed",'Actions'!$C$9:$C$308,"&lt;&gt;")+COUNTIFS('ESG'!$C$9:$C$108,E91,'ESG'!$H$9:$H$108,"Yes"))&gt;0,AND(AB91&lt;&gt;"Green",AB91&lt;&gt;"Amber",AB91&lt;&gt;"Eligible (internal)")),"Pending",IF(AA91="No allocation","Activity only",IF(AA91&lt;&gt;"Valid","Pending","Approved"))))))</x:f>
      </x:c>
      <x:c r="AD91" s="21" t="str">
        <x:f>IF(C91="","",IF(AND(AC91="Approved",OR(AB91="Green",AB91="Eligible (internal)")),N91,0))</x:f>
      </x:c>
      <x:c r="AE91" s="21" t="str">
        <x:f>IF(C91="","",IF(AND(AC91="Approved",AB91="Amber"),N91,0))</x:f>
      </x:c>
      <x:c r="AF91" s="9" t="str">
        <x:f>IF(C91="","",IF((COUNTIFS('Actions'!$D$9:$D$308,E91,'Actions'!$E$9:$E$308,"E&amp;S",'Actions'!$F$9:$F$308,"Critical",'Actions'!$P$9:$P$308,"&lt;&gt;Closed",'Actions'!$C$9:$C$308,"&lt;&gt;")+COUNTIFS('Actions'!$D$9:$D$308,E91,'Actions'!$E$9:$E$308,"Taxonomy",'Actions'!$F$9:$F$308,"Critical",'Actions'!$P$9:$P$308,"&lt;&gt;Closed",'Actions'!$C$9:$C$308,"&lt;&gt;")+COUNTIFS('ESG'!$C$9:$C$108,E91,'ESG'!$H$9:$H$108,"Yes"))&gt;0,"Resolve critical E&amp;S / taxonomy issue",IF(AH91&lt;&gt;"Current",AH91,IF(Z91&lt;&gt;"Pass","Review individual tests",IF(U91="Criteria required","Sourced criteria / interpretation required",IF(AA91&lt;&gt;"Valid",AA91,IF(T91&lt;&gt;"Approved","Approval required",I91)))))))</x:f>
      </x:c>
      <x:c r="AG91" s="9" t="str">
        <x:f>IF(C91="","",IFERROR(INDEX('Taxonomy Rules'!$L$9:$L$20,MATCH(H91&amp;"::"&amp;G91,'Taxonomy Rules'!$C$9:$C$20,0)),"Unimplemented activity"))</x:f>
      </x:c>
      <x:c r="AH91" s="9" t="str">
        <x:f>IF(C91="","",IF(COUNTIF($C$9:$C$108,C91)&lt;&gt;1,"Duplicate ID",IF(OR(COUNTIF(Facilities!$C$9:$C$108,D91)&lt;&gt;1,COUNTIF(Borrowers!$C$9:$C$108,E91)&lt;&gt;1),"Key review",IF(OR(P91="",Q91="",P91=Q91,NOT(ISNUMBER(R91)),NOT(ISNUMBER(S91)),R91&gt;Settings!$F$8,S91&lt;R91),"Review required",IF(S91&lt;Settings!$F$8,"Expired","Current")))))</x:f>
      </x:c>
    </x:row>
    <x:row r="92" ht="26" customHeight="1">
      <x:c r="A92" s="1"/>
      <x:c r="B92" s="1"/>
      <x:c r="C92" s="8"/>
      <x:c r="D92" s="8"/>
      <x:c r="E92" s="9" t="str">
        <x:f>IF(C92="","",IFERROR(INDEX('Facilities'!$D$9:$D$108,MATCH(D92,'Facilities'!$C$9:$C$108,0)),""))</x:f>
      </x:c>
      <x:c r="F92" s="9" t="str">
        <x:f>IF(C92="","",IFERROR(INDEX('Borrowers'!$E$9:$E$108,MATCH(E92,'Borrowers'!$C$9:$C$108,0)),""))</x:f>
      </x:c>
      <x:c r="G92" s="9" t="str">
        <x:f>IF(C92="","",IFERROR(INDEX('Facilities'!$W$9:$W$108,MATCH(D92,'Facilities'!$C$9:$C$108,0)),""))</x:f>
      </x:c>
      <x:c r="H92" s="9" t="str">
        <x:f>IF(C92="","",Settings!$F$11)</x:f>
      </x:c>
      <x:c r="I92" s="3" t="str">
        <x:f>IF(C92="","",IF(H92="Jordan 2026",IF(F92="Jordan","Jordan taxonomy","Reference benchmark"),"Internal policy"))</x:f>
      </x:c>
      <x:c r="J92" s="8"/>
      <x:c r="K92" s="35"/>
      <x:c r="L92" s="35"/>
      <x:c r="M92" s="8"/>
      <x:c r="N92" s="16"/>
      <x:c r="O92" s="8"/>
      <x:c r="P92" s="8"/>
      <x:c r="Q92" s="8"/>
      <x:c r="R92" s="10"/>
      <x:c r="S92" s="10"/>
      <x:c r="T92" s="8"/>
      <x:c r="U92" s="9" t="str">
        <x:f>IF(C92="","",IF(V92=0,"Criteria required",IF(OR(NOT(ISNUMBER(J92)),J92&lt;1900,J92&gt;YEAR(Settings!$F$8),IFERROR(MOD(J92,1),1)&lt;&gt;0,NOT(ISNUMBER(K92)),K92&lt;0,AND(H92="Internal criteria",OR(G92="Cement",G92="Building renovation"),OR(NOT(ISNUMBER(IFERROR(INDEX('Taxonomy Rules'!$G$9:$G$20,MATCH(H92&amp;"::"&amp;G92,'Taxonomy Rules'!$C$9:$C$20,0)),0))),IFERROR(INDEX('Taxonomy Rules'!$G$9:$G$20,MATCH(H92&amp;"::"&amp;G92,'Taxonomy Rules'!$C$9:$C$20,0)),0)&lt;=0,AND(G92="Building renovation",IFERROR(INDEX('Taxonomy Rules'!$G$9:$G$20,MATCH(H92&amp;"::"&amp;G92,'Taxonomy Rules'!$C$9:$C$20,0)),0)&gt;1)))),"Criteria required",IF(G92="Solar PV",IF(M92&lt;&gt;"Eligible activity","Criteria required",IF(K92=1,"Pass","Fail")),IF(G92="Cement",IF(M92="Amber",IF(H92="Jordan 2026",IF(YEAR(Settings!$F$8)&lt;2040,"Amber","Fail"),"Criteria required"),IF(M92&lt;&gt;"Green","Criteria required",IF(H92="Jordan 2026",IF(IFERROR(INDEX('Taxonomy Rules'!$P$9:$P$14,MATCH(J92,'Taxonomy Rules'!$O$9:$O$14,0)),0)=0,"Criteria required",IF(K92&lt;=IFERROR(INDEX('Taxonomy Rules'!$P$9:$P$14,MATCH(J92,'Taxonomy Rules'!$O$9:$O$14,0)),0),"Pass","Fail")),IF(K92&lt;=IFERROR(INDEX('Taxonomy Rules'!$G$9:$G$20,MATCH(H92&amp;"::"&amp;G92,'Taxonomy Rules'!$C$9:$C$20,0)),0),"Pass","Fail")))),IF(G92="Building renovation",IF(M92="Whole building",IF(K92=1,"Pass","Fail"),IF(M92&lt;&gt;"Improvement","Criteria required",IF(OR(K92&gt;1,NOT(ISNUMBER(L92)),L92&lt;0,L92&gt;1),"Criteria required",IF(MAX(K92,L92)&lt;IFERROR(INDEX('Taxonomy Rules'!$G$9:$G$20,MATCH(H92&amp;"::"&amp;G92,'Taxonomy Rules'!$C$9:$C$20,0)),0),"Fail",IF(H92="Jordan 2026",IF(YEAR(Settings!$F$8)&lt;2035,"Amber",IF(YEAR(Settings!$F$8)=2035,"Criteria required","Fail")),"Pass"))))),IF(G92="Road freight",IF(M92&lt;&gt;"Zero emissions","Criteria required",IF(AND(K92=0,ISNUMBER(L92),L92=0),"Pass","Fail")),IF(G92="New building",IF(NOT(OR(M92="Green",M92="Amber")),"Criteria required",IF(K92&lt;&gt;1,"Fail",IF(M92="Amber",IF(H92="Jordan 2026",IF(YEAR(Settings!$F$8)&lt;2030,"Amber",IF(YEAR(Settings!$F$8)=2030,"Criteria required","Fail")),"Criteria required"),"Pass"))),IF(G92="Building equipment",IF(M92&lt;&gt;"Equipment","Criteria required",IF(K92=1,"Pass","Fail")),"Criteria required")))))))))</x:f>
      </x:c>
      <x:c r="V92" s="9" t="str">
        <x:f>IF(C92="","",IFERROR(INDEX('Taxonomy Rules'!$J$9:$J$20,MATCH(H92&amp;"::"&amp;G92,'Taxonomy Rules'!$C$9:$C$20,0)),0))</x:f>
      </x:c>
      <x:c r="W92" s="9" t="str">
        <x:f>IF(C92="","",COUNTIFS('Taxonomy Tests'!$D$9:$D$2008,C92,'Taxonomy Tests'!$Q$9:$Q$2008,"Complete"))</x:f>
      </x:c>
      <x:c r="X92" s="9" t="str">
        <x:f>IF(C92="","",COUNTIFS('Taxonomy Tests'!$D$9:$D$2008,C92,'Taxonomy Tests'!$P$9:$P$2008,"Fail"))</x:f>
      </x:c>
      <x:c r="Y92" s="9" t="str">
        <x:f>IF(C92="","",MAX(0,V92-W92)+COUNTIFS('Taxonomy Tests'!$D$9:$D$2008,C92,'Taxonomy Tests'!$R$9:$R$2008,"Duplicate test")+COUNTIFS('Taxonomy Tests'!$D$9:$D$2008,C92,'Taxonomy Tests'!$R$9:$R$2008,"Unexpected test"))</x:f>
      </x:c>
      <x:c r="Z92" s="9" t="str">
        <x:f>IF(C92="","",IF(X92&gt;0,"Fail",IF(AND(V92&gt;0,W92=V92,Y92=0,COUNTIF('Taxonomy Tests'!$D$9:$D$2008,C92)=V92),"Pass","Pending")))</x:f>
      </x:c>
      <x:c r="AA92" s="9" t="str">
        <x:f>IF(C92="","",IF(COUNTIF(Facilities!$C$9:$C$108,D92)&lt;&gt;1,"Facility key",IF(OR(NOT(ISNUMBER(N92)),N92&lt;0),"Amount required",IF(SUMIF($D$9:$D$108,D92,$N$9:$N$108)&gt;IFERROR(INDEX('Facilities'!$AA$9:$AA$108,MATCH(D92,'Facilities'!$C$9:$C$108,0)),"")+0.000001,"Overallocated",IF(N92=0,"No allocation",IF(O92="","Evidence required","Valid"))))))</x:f>
      </x:c>
      <x:c r="AB92" s="3" t="str">
        <x:f>IF(C92="","",IF(OR(U92="Fail",Z92="Fail"),IF(H92="Jordan 2026","Red / not aligned","Not eligible"),IF(OR(U92="Criteria required",V92=0),"Criteria required",IF(Z92&lt;&gt;"Pass","Pending",IF(U92="Amber","Amber",IF(H92="Jordan 2026","Green","Eligible (internal)"))))))</x:f>
      </x:c>
      <x:c r="AC92" s="9" t="str">
        <x:f>IF(C92="","",IF(T92="Rejected","Rejected",IF(OR(AB92="Red / not aligned",AB92="Not eligible"),"Not eligible",IF(OR(AH92&lt;&gt;"Current",T92&lt;&gt;"Approved",Z92&lt;&gt;"Pass",(COUNTIFS('Actions'!$D$9:$D$308,E92,'Actions'!$E$9:$E$308,"E&amp;S",'Actions'!$F$9:$F$308,"Critical",'Actions'!$P$9:$P$308,"&lt;&gt;Closed",'Actions'!$C$9:$C$308,"&lt;&gt;")+COUNTIFS('Actions'!$D$9:$D$308,E92,'Actions'!$E$9:$E$308,"Taxonomy",'Actions'!$F$9:$F$308,"Critical",'Actions'!$P$9:$P$308,"&lt;&gt;Closed",'Actions'!$C$9:$C$308,"&lt;&gt;")+COUNTIFS('ESG'!$C$9:$C$108,E92,'ESG'!$H$9:$H$108,"Yes"))&gt;0,AND(AB92&lt;&gt;"Green",AB92&lt;&gt;"Amber",AB92&lt;&gt;"Eligible (internal)")),"Pending",IF(AA92="No allocation","Activity only",IF(AA92&lt;&gt;"Valid","Pending","Approved"))))))</x:f>
      </x:c>
      <x:c r="AD92" s="21" t="str">
        <x:f>IF(C92="","",IF(AND(AC92="Approved",OR(AB92="Green",AB92="Eligible (internal)")),N92,0))</x:f>
      </x:c>
      <x:c r="AE92" s="21" t="str">
        <x:f>IF(C92="","",IF(AND(AC92="Approved",AB92="Amber"),N92,0))</x:f>
      </x:c>
      <x:c r="AF92" s="9" t="str">
        <x:f>IF(C92="","",IF((COUNTIFS('Actions'!$D$9:$D$308,E92,'Actions'!$E$9:$E$308,"E&amp;S",'Actions'!$F$9:$F$308,"Critical",'Actions'!$P$9:$P$308,"&lt;&gt;Closed",'Actions'!$C$9:$C$308,"&lt;&gt;")+COUNTIFS('Actions'!$D$9:$D$308,E92,'Actions'!$E$9:$E$308,"Taxonomy",'Actions'!$F$9:$F$308,"Critical",'Actions'!$P$9:$P$308,"&lt;&gt;Closed",'Actions'!$C$9:$C$308,"&lt;&gt;")+COUNTIFS('ESG'!$C$9:$C$108,E92,'ESG'!$H$9:$H$108,"Yes"))&gt;0,"Resolve critical E&amp;S / taxonomy issue",IF(AH92&lt;&gt;"Current",AH92,IF(Z92&lt;&gt;"Pass","Review individual tests",IF(U92="Criteria required","Sourced criteria / interpretation required",IF(AA92&lt;&gt;"Valid",AA92,IF(T92&lt;&gt;"Approved","Approval required",I92)))))))</x:f>
      </x:c>
      <x:c r="AG92" s="9" t="str">
        <x:f>IF(C92="","",IFERROR(INDEX('Taxonomy Rules'!$L$9:$L$20,MATCH(H92&amp;"::"&amp;G92,'Taxonomy Rules'!$C$9:$C$20,0)),"Unimplemented activity"))</x:f>
      </x:c>
      <x:c r="AH92" s="9" t="str">
        <x:f>IF(C92="","",IF(COUNTIF($C$9:$C$108,C92)&lt;&gt;1,"Duplicate ID",IF(OR(COUNTIF(Facilities!$C$9:$C$108,D92)&lt;&gt;1,COUNTIF(Borrowers!$C$9:$C$108,E92)&lt;&gt;1),"Key review",IF(OR(P92="",Q92="",P92=Q92,NOT(ISNUMBER(R92)),NOT(ISNUMBER(S92)),R92&gt;Settings!$F$8,S92&lt;R92),"Review required",IF(S92&lt;Settings!$F$8,"Expired","Current")))))</x:f>
      </x:c>
    </x:row>
    <x:row r="93" ht="26" customHeight="1">
      <x:c r="A93" s="1"/>
      <x:c r="B93" s="1"/>
      <x:c r="C93" s="8"/>
      <x:c r="D93" s="8"/>
      <x:c r="E93" s="9" t="str">
        <x:f>IF(C93="","",IFERROR(INDEX('Facilities'!$D$9:$D$108,MATCH(D93,'Facilities'!$C$9:$C$108,0)),""))</x:f>
      </x:c>
      <x:c r="F93" s="9" t="str">
        <x:f>IF(C93="","",IFERROR(INDEX('Borrowers'!$E$9:$E$108,MATCH(E93,'Borrowers'!$C$9:$C$108,0)),""))</x:f>
      </x:c>
      <x:c r="G93" s="9" t="str">
        <x:f>IF(C93="","",IFERROR(INDEX('Facilities'!$W$9:$W$108,MATCH(D93,'Facilities'!$C$9:$C$108,0)),""))</x:f>
      </x:c>
      <x:c r="H93" s="9" t="str">
        <x:f>IF(C93="","",Settings!$F$11)</x:f>
      </x:c>
      <x:c r="I93" s="3" t="str">
        <x:f>IF(C93="","",IF(H93="Jordan 2026",IF(F93="Jordan","Jordan taxonomy","Reference benchmark"),"Internal policy"))</x:f>
      </x:c>
      <x:c r="J93" s="8"/>
      <x:c r="K93" s="35"/>
      <x:c r="L93" s="35"/>
      <x:c r="M93" s="8"/>
      <x:c r="N93" s="16"/>
      <x:c r="O93" s="8"/>
      <x:c r="P93" s="8"/>
      <x:c r="Q93" s="8"/>
      <x:c r="R93" s="10"/>
      <x:c r="S93" s="10"/>
      <x:c r="T93" s="8"/>
      <x:c r="U93" s="9" t="str">
        <x:f>IF(C93="","",IF(V93=0,"Criteria required",IF(OR(NOT(ISNUMBER(J93)),J93&lt;1900,J93&gt;YEAR(Settings!$F$8),IFERROR(MOD(J93,1),1)&lt;&gt;0,NOT(ISNUMBER(K93)),K93&lt;0,AND(H93="Internal criteria",OR(G93="Cement",G93="Building renovation"),OR(NOT(ISNUMBER(IFERROR(INDEX('Taxonomy Rules'!$G$9:$G$20,MATCH(H93&amp;"::"&amp;G93,'Taxonomy Rules'!$C$9:$C$20,0)),0))),IFERROR(INDEX('Taxonomy Rules'!$G$9:$G$20,MATCH(H93&amp;"::"&amp;G93,'Taxonomy Rules'!$C$9:$C$20,0)),0)&lt;=0,AND(G93="Building renovation",IFERROR(INDEX('Taxonomy Rules'!$G$9:$G$20,MATCH(H93&amp;"::"&amp;G93,'Taxonomy Rules'!$C$9:$C$20,0)),0)&gt;1)))),"Criteria required",IF(G93="Solar PV",IF(M93&lt;&gt;"Eligible activity","Criteria required",IF(K93=1,"Pass","Fail")),IF(G93="Cement",IF(M93="Amber",IF(H93="Jordan 2026",IF(YEAR(Settings!$F$8)&lt;2040,"Amber","Fail"),"Criteria required"),IF(M93&lt;&gt;"Green","Criteria required",IF(H93="Jordan 2026",IF(IFERROR(INDEX('Taxonomy Rules'!$P$9:$P$14,MATCH(J93,'Taxonomy Rules'!$O$9:$O$14,0)),0)=0,"Criteria required",IF(K93&lt;=IFERROR(INDEX('Taxonomy Rules'!$P$9:$P$14,MATCH(J93,'Taxonomy Rules'!$O$9:$O$14,0)),0),"Pass","Fail")),IF(K93&lt;=IFERROR(INDEX('Taxonomy Rules'!$G$9:$G$20,MATCH(H93&amp;"::"&amp;G93,'Taxonomy Rules'!$C$9:$C$20,0)),0),"Pass","Fail")))),IF(G93="Building renovation",IF(M93="Whole building",IF(K93=1,"Pass","Fail"),IF(M93&lt;&gt;"Improvement","Criteria required",IF(OR(K93&gt;1,NOT(ISNUMBER(L93)),L93&lt;0,L93&gt;1),"Criteria required",IF(MAX(K93,L93)&lt;IFERROR(INDEX('Taxonomy Rules'!$G$9:$G$20,MATCH(H93&amp;"::"&amp;G93,'Taxonomy Rules'!$C$9:$C$20,0)),0),"Fail",IF(H93="Jordan 2026",IF(YEAR(Settings!$F$8)&lt;2035,"Amber",IF(YEAR(Settings!$F$8)=2035,"Criteria required","Fail")),"Pass"))))),IF(G93="Road freight",IF(M93&lt;&gt;"Zero emissions","Criteria required",IF(AND(K93=0,ISNUMBER(L93),L93=0),"Pass","Fail")),IF(G93="New building",IF(NOT(OR(M93="Green",M93="Amber")),"Criteria required",IF(K93&lt;&gt;1,"Fail",IF(M93="Amber",IF(H93="Jordan 2026",IF(YEAR(Settings!$F$8)&lt;2030,"Amber",IF(YEAR(Settings!$F$8)=2030,"Criteria required","Fail")),"Criteria required"),"Pass"))),IF(G93="Building equipment",IF(M93&lt;&gt;"Equipment","Criteria required",IF(K93=1,"Pass","Fail")),"Criteria required")))))))))</x:f>
      </x:c>
      <x:c r="V93" s="9" t="str">
        <x:f>IF(C93="","",IFERROR(INDEX('Taxonomy Rules'!$J$9:$J$20,MATCH(H93&amp;"::"&amp;G93,'Taxonomy Rules'!$C$9:$C$20,0)),0))</x:f>
      </x:c>
      <x:c r="W93" s="9" t="str">
        <x:f>IF(C93="","",COUNTIFS('Taxonomy Tests'!$D$9:$D$2008,C93,'Taxonomy Tests'!$Q$9:$Q$2008,"Complete"))</x:f>
      </x:c>
      <x:c r="X93" s="9" t="str">
        <x:f>IF(C93="","",COUNTIFS('Taxonomy Tests'!$D$9:$D$2008,C93,'Taxonomy Tests'!$P$9:$P$2008,"Fail"))</x:f>
      </x:c>
      <x:c r="Y93" s="9" t="str">
        <x:f>IF(C93="","",MAX(0,V93-W93)+COUNTIFS('Taxonomy Tests'!$D$9:$D$2008,C93,'Taxonomy Tests'!$R$9:$R$2008,"Duplicate test")+COUNTIFS('Taxonomy Tests'!$D$9:$D$2008,C93,'Taxonomy Tests'!$R$9:$R$2008,"Unexpected test"))</x:f>
      </x:c>
      <x:c r="Z93" s="9" t="str">
        <x:f>IF(C93="","",IF(X93&gt;0,"Fail",IF(AND(V93&gt;0,W93=V93,Y93=0,COUNTIF('Taxonomy Tests'!$D$9:$D$2008,C93)=V93),"Pass","Pending")))</x:f>
      </x:c>
      <x:c r="AA93" s="9" t="str">
        <x:f>IF(C93="","",IF(COUNTIF(Facilities!$C$9:$C$108,D93)&lt;&gt;1,"Facility key",IF(OR(NOT(ISNUMBER(N93)),N93&lt;0),"Amount required",IF(SUMIF($D$9:$D$108,D93,$N$9:$N$108)&gt;IFERROR(INDEX('Facilities'!$AA$9:$AA$108,MATCH(D93,'Facilities'!$C$9:$C$108,0)),"")+0.000001,"Overallocated",IF(N93=0,"No allocation",IF(O93="","Evidence required","Valid"))))))</x:f>
      </x:c>
      <x:c r="AB93" s="3" t="str">
        <x:f>IF(C93="","",IF(OR(U93="Fail",Z93="Fail"),IF(H93="Jordan 2026","Red / not aligned","Not eligible"),IF(OR(U93="Criteria required",V93=0),"Criteria required",IF(Z93&lt;&gt;"Pass","Pending",IF(U93="Amber","Amber",IF(H93="Jordan 2026","Green","Eligible (internal)"))))))</x:f>
      </x:c>
      <x:c r="AC93" s="9" t="str">
        <x:f>IF(C93="","",IF(T93="Rejected","Rejected",IF(OR(AB93="Red / not aligned",AB93="Not eligible"),"Not eligible",IF(OR(AH93&lt;&gt;"Current",T93&lt;&gt;"Approved",Z93&lt;&gt;"Pass",(COUNTIFS('Actions'!$D$9:$D$308,E93,'Actions'!$E$9:$E$308,"E&amp;S",'Actions'!$F$9:$F$308,"Critical",'Actions'!$P$9:$P$308,"&lt;&gt;Closed",'Actions'!$C$9:$C$308,"&lt;&gt;")+COUNTIFS('Actions'!$D$9:$D$308,E93,'Actions'!$E$9:$E$308,"Taxonomy",'Actions'!$F$9:$F$308,"Critical",'Actions'!$P$9:$P$308,"&lt;&gt;Closed",'Actions'!$C$9:$C$308,"&lt;&gt;")+COUNTIFS('ESG'!$C$9:$C$108,E93,'ESG'!$H$9:$H$108,"Yes"))&gt;0,AND(AB93&lt;&gt;"Green",AB93&lt;&gt;"Amber",AB93&lt;&gt;"Eligible (internal)")),"Pending",IF(AA93="No allocation","Activity only",IF(AA93&lt;&gt;"Valid","Pending","Approved"))))))</x:f>
      </x:c>
      <x:c r="AD93" s="21" t="str">
        <x:f>IF(C93="","",IF(AND(AC93="Approved",OR(AB93="Green",AB93="Eligible (internal)")),N93,0))</x:f>
      </x:c>
      <x:c r="AE93" s="21" t="str">
        <x:f>IF(C93="","",IF(AND(AC93="Approved",AB93="Amber"),N93,0))</x:f>
      </x:c>
      <x:c r="AF93" s="9" t="str">
        <x:f>IF(C93="","",IF((COUNTIFS('Actions'!$D$9:$D$308,E93,'Actions'!$E$9:$E$308,"E&amp;S",'Actions'!$F$9:$F$308,"Critical",'Actions'!$P$9:$P$308,"&lt;&gt;Closed",'Actions'!$C$9:$C$308,"&lt;&gt;")+COUNTIFS('Actions'!$D$9:$D$308,E93,'Actions'!$E$9:$E$308,"Taxonomy",'Actions'!$F$9:$F$308,"Critical",'Actions'!$P$9:$P$308,"&lt;&gt;Closed",'Actions'!$C$9:$C$308,"&lt;&gt;")+COUNTIFS('ESG'!$C$9:$C$108,E93,'ESG'!$H$9:$H$108,"Yes"))&gt;0,"Resolve critical E&amp;S / taxonomy issue",IF(AH93&lt;&gt;"Current",AH93,IF(Z93&lt;&gt;"Pass","Review individual tests",IF(U93="Criteria required","Sourced criteria / interpretation required",IF(AA93&lt;&gt;"Valid",AA93,IF(T93&lt;&gt;"Approved","Approval required",I93)))))))</x:f>
      </x:c>
      <x:c r="AG93" s="9" t="str">
        <x:f>IF(C93="","",IFERROR(INDEX('Taxonomy Rules'!$L$9:$L$20,MATCH(H93&amp;"::"&amp;G93,'Taxonomy Rules'!$C$9:$C$20,0)),"Unimplemented activity"))</x:f>
      </x:c>
      <x:c r="AH93" s="9" t="str">
        <x:f>IF(C93="","",IF(COUNTIF($C$9:$C$108,C93)&lt;&gt;1,"Duplicate ID",IF(OR(COUNTIF(Facilities!$C$9:$C$108,D93)&lt;&gt;1,COUNTIF(Borrowers!$C$9:$C$108,E93)&lt;&gt;1),"Key review",IF(OR(P93="",Q93="",P93=Q93,NOT(ISNUMBER(R93)),NOT(ISNUMBER(S93)),R93&gt;Settings!$F$8,S93&lt;R93),"Review required",IF(S93&lt;Settings!$F$8,"Expired","Current")))))</x:f>
      </x:c>
    </x:row>
    <x:row r="94" ht="26" customHeight="1">
      <x:c r="A94" s="1"/>
      <x:c r="B94" s="1"/>
      <x:c r="C94" s="8"/>
      <x:c r="D94" s="8"/>
      <x:c r="E94" s="9" t="str">
        <x:f>IF(C94="","",IFERROR(INDEX('Facilities'!$D$9:$D$108,MATCH(D94,'Facilities'!$C$9:$C$108,0)),""))</x:f>
      </x:c>
      <x:c r="F94" s="9" t="str">
        <x:f>IF(C94="","",IFERROR(INDEX('Borrowers'!$E$9:$E$108,MATCH(E94,'Borrowers'!$C$9:$C$108,0)),""))</x:f>
      </x:c>
      <x:c r="G94" s="9" t="str">
        <x:f>IF(C94="","",IFERROR(INDEX('Facilities'!$W$9:$W$108,MATCH(D94,'Facilities'!$C$9:$C$108,0)),""))</x:f>
      </x:c>
      <x:c r="H94" s="9" t="str">
        <x:f>IF(C94="","",Settings!$F$11)</x:f>
      </x:c>
      <x:c r="I94" s="3" t="str">
        <x:f>IF(C94="","",IF(H94="Jordan 2026",IF(F94="Jordan","Jordan taxonomy","Reference benchmark"),"Internal policy"))</x:f>
      </x:c>
      <x:c r="J94" s="8"/>
      <x:c r="K94" s="35"/>
      <x:c r="L94" s="35"/>
      <x:c r="M94" s="8"/>
      <x:c r="N94" s="16"/>
      <x:c r="O94" s="8"/>
      <x:c r="P94" s="8"/>
      <x:c r="Q94" s="8"/>
      <x:c r="R94" s="10"/>
      <x:c r="S94" s="10"/>
      <x:c r="T94" s="8"/>
      <x:c r="U94" s="9" t="str">
        <x:f>IF(C94="","",IF(V94=0,"Criteria required",IF(OR(NOT(ISNUMBER(J94)),J94&lt;1900,J94&gt;YEAR(Settings!$F$8),IFERROR(MOD(J94,1),1)&lt;&gt;0,NOT(ISNUMBER(K94)),K94&lt;0,AND(H94="Internal criteria",OR(G94="Cement",G94="Building renovation"),OR(NOT(ISNUMBER(IFERROR(INDEX('Taxonomy Rules'!$G$9:$G$20,MATCH(H94&amp;"::"&amp;G94,'Taxonomy Rules'!$C$9:$C$20,0)),0))),IFERROR(INDEX('Taxonomy Rules'!$G$9:$G$20,MATCH(H94&amp;"::"&amp;G94,'Taxonomy Rules'!$C$9:$C$20,0)),0)&lt;=0,AND(G94="Building renovation",IFERROR(INDEX('Taxonomy Rules'!$G$9:$G$20,MATCH(H94&amp;"::"&amp;G94,'Taxonomy Rules'!$C$9:$C$20,0)),0)&gt;1)))),"Criteria required",IF(G94="Solar PV",IF(M94&lt;&gt;"Eligible activity","Criteria required",IF(K94=1,"Pass","Fail")),IF(G94="Cement",IF(M94="Amber",IF(H94="Jordan 2026",IF(YEAR(Settings!$F$8)&lt;2040,"Amber","Fail"),"Criteria required"),IF(M94&lt;&gt;"Green","Criteria required",IF(H94="Jordan 2026",IF(IFERROR(INDEX('Taxonomy Rules'!$P$9:$P$14,MATCH(J94,'Taxonomy Rules'!$O$9:$O$14,0)),0)=0,"Criteria required",IF(K94&lt;=IFERROR(INDEX('Taxonomy Rules'!$P$9:$P$14,MATCH(J94,'Taxonomy Rules'!$O$9:$O$14,0)),0),"Pass","Fail")),IF(K94&lt;=IFERROR(INDEX('Taxonomy Rules'!$G$9:$G$20,MATCH(H94&amp;"::"&amp;G94,'Taxonomy Rules'!$C$9:$C$20,0)),0),"Pass","Fail")))),IF(G94="Building renovation",IF(M94="Whole building",IF(K94=1,"Pass","Fail"),IF(M94&lt;&gt;"Improvement","Criteria required",IF(OR(K94&gt;1,NOT(ISNUMBER(L94)),L94&lt;0,L94&gt;1),"Criteria required",IF(MAX(K94,L94)&lt;IFERROR(INDEX('Taxonomy Rules'!$G$9:$G$20,MATCH(H94&amp;"::"&amp;G94,'Taxonomy Rules'!$C$9:$C$20,0)),0),"Fail",IF(H94="Jordan 2026",IF(YEAR(Settings!$F$8)&lt;2035,"Amber",IF(YEAR(Settings!$F$8)=2035,"Criteria required","Fail")),"Pass"))))),IF(G94="Road freight",IF(M94&lt;&gt;"Zero emissions","Criteria required",IF(AND(K94=0,ISNUMBER(L94),L94=0),"Pass","Fail")),IF(G94="New building",IF(NOT(OR(M94="Green",M94="Amber")),"Criteria required",IF(K94&lt;&gt;1,"Fail",IF(M94="Amber",IF(H94="Jordan 2026",IF(YEAR(Settings!$F$8)&lt;2030,"Amber",IF(YEAR(Settings!$F$8)=2030,"Criteria required","Fail")),"Criteria required"),"Pass"))),IF(G94="Building equipment",IF(M94&lt;&gt;"Equipment","Criteria required",IF(K94=1,"Pass","Fail")),"Criteria required")))))))))</x:f>
      </x:c>
      <x:c r="V94" s="9" t="str">
        <x:f>IF(C94="","",IFERROR(INDEX('Taxonomy Rules'!$J$9:$J$20,MATCH(H94&amp;"::"&amp;G94,'Taxonomy Rules'!$C$9:$C$20,0)),0))</x:f>
      </x:c>
      <x:c r="W94" s="9" t="str">
        <x:f>IF(C94="","",COUNTIFS('Taxonomy Tests'!$D$9:$D$2008,C94,'Taxonomy Tests'!$Q$9:$Q$2008,"Complete"))</x:f>
      </x:c>
      <x:c r="X94" s="9" t="str">
        <x:f>IF(C94="","",COUNTIFS('Taxonomy Tests'!$D$9:$D$2008,C94,'Taxonomy Tests'!$P$9:$P$2008,"Fail"))</x:f>
      </x:c>
      <x:c r="Y94" s="9" t="str">
        <x:f>IF(C94="","",MAX(0,V94-W94)+COUNTIFS('Taxonomy Tests'!$D$9:$D$2008,C94,'Taxonomy Tests'!$R$9:$R$2008,"Duplicate test")+COUNTIFS('Taxonomy Tests'!$D$9:$D$2008,C94,'Taxonomy Tests'!$R$9:$R$2008,"Unexpected test"))</x:f>
      </x:c>
      <x:c r="Z94" s="9" t="str">
        <x:f>IF(C94="","",IF(X94&gt;0,"Fail",IF(AND(V94&gt;0,W94=V94,Y94=0,COUNTIF('Taxonomy Tests'!$D$9:$D$2008,C94)=V94),"Pass","Pending")))</x:f>
      </x:c>
      <x:c r="AA94" s="9" t="str">
        <x:f>IF(C94="","",IF(COUNTIF(Facilities!$C$9:$C$108,D94)&lt;&gt;1,"Facility key",IF(OR(NOT(ISNUMBER(N94)),N94&lt;0),"Amount required",IF(SUMIF($D$9:$D$108,D94,$N$9:$N$108)&gt;IFERROR(INDEX('Facilities'!$AA$9:$AA$108,MATCH(D94,'Facilities'!$C$9:$C$108,0)),"")+0.000001,"Overallocated",IF(N94=0,"No allocation",IF(O94="","Evidence required","Valid"))))))</x:f>
      </x:c>
      <x:c r="AB94" s="3" t="str">
        <x:f>IF(C94="","",IF(OR(U94="Fail",Z94="Fail"),IF(H94="Jordan 2026","Red / not aligned","Not eligible"),IF(OR(U94="Criteria required",V94=0),"Criteria required",IF(Z94&lt;&gt;"Pass","Pending",IF(U94="Amber","Amber",IF(H94="Jordan 2026","Green","Eligible (internal)"))))))</x:f>
      </x:c>
      <x:c r="AC94" s="9" t="str">
        <x:f>IF(C94="","",IF(T94="Rejected","Rejected",IF(OR(AB94="Red / not aligned",AB94="Not eligible"),"Not eligible",IF(OR(AH94&lt;&gt;"Current",T94&lt;&gt;"Approved",Z94&lt;&gt;"Pass",(COUNTIFS('Actions'!$D$9:$D$308,E94,'Actions'!$E$9:$E$308,"E&amp;S",'Actions'!$F$9:$F$308,"Critical",'Actions'!$P$9:$P$308,"&lt;&gt;Closed",'Actions'!$C$9:$C$308,"&lt;&gt;")+COUNTIFS('Actions'!$D$9:$D$308,E94,'Actions'!$E$9:$E$308,"Taxonomy",'Actions'!$F$9:$F$308,"Critical",'Actions'!$P$9:$P$308,"&lt;&gt;Closed",'Actions'!$C$9:$C$308,"&lt;&gt;")+COUNTIFS('ESG'!$C$9:$C$108,E94,'ESG'!$H$9:$H$108,"Yes"))&gt;0,AND(AB94&lt;&gt;"Green",AB94&lt;&gt;"Amber",AB94&lt;&gt;"Eligible (internal)")),"Pending",IF(AA94="No allocation","Activity only",IF(AA94&lt;&gt;"Valid","Pending","Approved"))))))</x:f>
      </x:c>
      <x:c r="AD94" s="21" t="str">
        <x:f>IF(C94="","",IF(AND(AC94="Approved",OR(AB94="Green",AB94="Eligible (internal)")),N94,0))</x:f>
      </x:c>
      <x:c r="AE94" s="21" t="str">
        <x:f>IF(C94="","",IF(AND(AC94="Approved",AB94="Amber"),N94,0))</x:f>
      </x:c>
      <x:c r="AF94" s="9" t="str">
        <x:f>IF(C94="","",IF((COUNTIFS('Actions'!$D$9:$D$308,E94,'Actions'!$E$9:$E$308,"E&amp;S",'Actions'!$F$9:$F$308,"Critical",'Actions'!$P$9:$P$308,"&lt;&gt;Closed",'Actions'!$C$9:$C$308,"&lt;&gt;")+COUNTIFS('Actions'!$D$9:$D$308,E94,'Actions'!$E$9:$E$308,"Taxonomy",'Actions'!$F$9:$F$308,"Critical",'Actions'!$P$9:$P$308,"&lt;&gt;Closed",'Actions'!$C$9:$C$308,"&lt;&gt;")+COUNTIFS('ESG'!$C$9:$C$108,E94,'ESG'!$H$9:$H$108,"Yes"))&gt;0,"Resolve critical E&amp;S / taxonomy issue",IF(AH94&lt;&gt;"Current",AH94,IF(Z94&lt;&gt;"Pass","Review individual tests",IF(U94="Criteria required","Sourced criteria / interpretation required",IF(AA94&lt;&gt;"Valid",AA94,IF(T94&lt;&gt;"Approved","Approval required",I94)))))))</x:f>
      </x:c>
      <x:c r="AG94" s="9" t="str">
        <x:f>IF(C94="","",IFERROR(INDEX('Taxonomy Rules'!$L$9:$L$20,MATCH(H94&amp;"::"&amp;G94,'Taxonomy Rules'!$C$9:$C$20,0)),"Unimplemented activity"))</x:f>
      </x:c>
      <x:c r="AH94" s="9" t="str">
        <x:f>IF(C94="","",IF(COUNTIF($C$9:$C$108,C94)&lt;&gt;1,"Duplicate ID",IF(OR(COUNTIF(Facilities!$C$9:$C$108,D94)&lt;&gt;1,COUNTIF(Borrowers!$C$9:$C$108,E94)&lt;&gt;1),"Key review",IF(OR(P94="",Q94="",P94=Q94,NOT(ISNUMBER(R94)),NOT(ISNUMBER(S94)),R94&gt;Settings!$F$8,S94&lt;R94),"Review required",IF(S94&lt;Settings!$F$8,"Expired","Current")))))</x:f>
      </x:c>
    </x:row>
    <x:row r="95" ht="26" customHeight="1">
      <x:c r="A95" s="1"/>
      <x:c r="B95" s="1"/>
      <x:c r="C95" s="8"/>
      <x:c r="D95" s="8"/>
      <x:c r="E95" s="9" t="str">
        <x:f>IF(C95="","",IFERROR(INDEX('Facilities'!$D$9:$D$108,MATCH(D95,'Facilities'!$C$9:$C$108,0)),""))</x:f>
      </x:c>
      <x:c r="F95" s="9" t="str">
        <x:f>IF(C95="","",IFERROR(INDEX('Borrowers'!$E$9:$E$108,MATCH(E95,'Borrowers'!$C$9:$C$108,0)),""))</x:f>
      </x:c>
      <x:c r="G95" s="9" t="str">
        <x:f>IF(C95="","",IFERROR(INDEX('Facilities'!$W$9:$W$108,MATCH(D95,'Facilities'!$C$9:$C$108,0)),""))</x:f>
      </x:c>
      <x:c r="H95" s="9" t="str">
        <x:f>IF(C95="","",Settings!$F$11)</x:f>
      </x:c>
      <x:c r="I95" s="3" t="str">
        <x:f>IF(C95="","",IF(H95="Jordan 2026",IF(F95="Jordan","Jordan taxonomy","Reference benchmark"),"Internal policy"))</x:f>
      </x:c>
      <x:c r="J95" s="8"/>
      <x:c r="K95" s="35"/>
      <x:c r="L95" s="35"/>
      <x:c r="M95" s="8"/>
      <x:c r="N95" s="16"/>
      <x:c r="O95" s="8"/>
      <x:c r="P95" s="8"/>
      <x:c r="Q95" s="8"/>
      <x:c r="R95" s="10"/>
      <x:c r="S95" s="10"/>
      <x:c r="T95" s="8"/>
      <x:c r="U95" s="9" t="str">
        <x:f>IF(C95="","",IF(V95=0,"Criteria required",IF(OR(NOT(ISNUMBER(J95)),J95&lt;1900,J95&gt;YEAR(Settings!$F$8),IFERROR(MOD(J95,1),1)&lt;&gt;0,NOT(ISNUMBER(K95)),K95&lt;0,AND(H95="Internal criteria",OR(G95="Cement",G95="Building renovation"),OR(NOT(ISNUMBER(IFERROR(INDEX('Taxonomy Rules'!$G$9:$G$20,MATCH(H95&amp;"::"&amp;G95,'Taxonomy Rules'!$C$9:$C$20,0)),0))),IFERROR(INDEX('Taxonomy Rules'!$G$9:$G$20,MATCH(H95&amp;"::"&amp;G95,'Taxonomy Rules'!$C$9:$C$20,0)),0)&lt;=0,AND(G95="Building renovation",IFERROR(INDEX('Taxonomy Rules'!$G$9:$G$20,MATCH(H95&amp;"::"&amp;G95,'Taxonomy Rules'!$C$9:$C$20,0)),0)&gt;1)))),"Criteria required",IF(G95="Solar PV",IF(M95&lt;&gt;"Eligible activity","Criteria required",IF(K95=1,"Pass","Fail")),IF(G95="Cement",IF(M95="Amber",IF(H95="Jordan 2026",IF(YEAR(Settings!$F$8)&lt;2040,"Amber","Fail"),"Criteria required"),IF(M95&lt;&gt;"Green","Criteria required",IF(H95="Jordan 2026",IF(IFERROR(INDEX('Taxonomy Rules'!$P$9:$P$14,MATCH(J95,'Taxonomy Rules'!$O$9:$O$14,0)),0)=0,"Criteria required",IF(K95&lt;=IFERROR(INDEX('Taxonomy Rules'!$P$9:$P$14,MATCH(J95,'Taxonomy Rules'!$O$9:$O$14,0)),0),"Pass","Fail")),IF(K95&lt;=IFERROR(INDEX('Taxonomy Rules'!$G$9:$G$20,MATCH(H95&amp;"::"&amp;G95,'Taxonomy Rules'!$C$9:$C$20,0)),0),"Pass","Fail")))),IF(G95="Building renovation",IF(M95="Whole building",IF(K95=1,"Pass","Fail"),IF(M95&lt;&gt;"Improvement","Criteria required",IF(OR(K95&gt;1,NOT(ISNUMBER(L95)),L95&lt;0,L95&gt;1),"Criteria required",IF(MAX(K95,L95)&lt;IFERROR(INDEX('Taxonomy Rules'!$G$9:$G$20,MATCH(H95&amp;"::"&amp;G95,'Taxonomy Rules'!$C$9:$C$20,0)),0),"Fail",IF(H95="Jordan 2026",IF(YEAR(Settings!$F$8)&lt;2035,"Amber",IF(YEAR(Settings!$F$8)=2035,"Criteria required","Fail")),"Pass"))))),IF(G95="Road freight",IF(M95&lt;&gt;"Zero emissions","Criteria required",IF(AND(K95=0,ISNUMBER(L95),L95=0),"Pass","Fail")),IF(G95="New building",IF(NOT(OR(M95="Green",M95="Amber")),"Criteria required",IF(K95&lt;&gt;1,"Fail",IF(M95="Amber",IF(H95="Jordan 2026",IF(YEAR(Settings!$F$8)&lt;2030,"Amber",IF(YEAR(Settings!$F$8)=2030,"Criteria required","Fail")),"Criteria required"),"Pass"))),IF(G95="Building equipment",IF(M95&lt;&gt;"Equipment","Criteria required",IF(K95=1,"Pass","Fail")),"Criteria required")))))))))</x:f>
      </x:c>
      <x:c r="V95" s="9" t="str">
        <x:f>IF(C95="","",IFERROR(INDEX('Taxonomy Rules'!$J$9:$J$20,MATCH(H95&amp;"::"&amp;G95,'Taxonomy Rules'!$C$9:$C$20,0)),0))</x:f>
      </x:c>
      <x:c r="W95" s="9" t="str">
        <x:f>IF(C95="","",COUNTIFS('Taxonomy Tests'!$D$9:$D$2008,C95,'Taxonomy Tests'!$Q$9:$Q$2008,"Complete"))</x:f>
      </x:c>
      <x:c r="X95" s="9" t="str">
        <x:f>IF(C95="","",COUNTIFS('Taxonomy Tests'!$D$9:$D$2008,C95,'Taxonomy Tests'!$P$9:$P$2008,"Fail"))</x:f>
      </x:c>
      <x:c r="Y95" s="9" t="str">
        <x:f>IF(C95="","",MAX(0,V95-W95)+COUNTIFS('Taxonomy Tests'!$D$9:$D$2008,C95,'Taxonomy Tests'!$R$9:$R$2008,"Duplicate test")+COUNTIFS('Taxonomy Tests'!$D$9:$D$2008,C95,'Taxonomy Tests'!$R$9:$R$2008,"Unexpected test"))</x:f>
      </x:c>
      <x:c r="Z95" s="9" t="str">
        <x:f>IF(C95="","",IF(X95&gt;0,"Fail",IF(AND(V95&gt;0,W95=V95,Y95=0,COUNTIF('Taxonomy Tests'!$D$9:$D$2008,C95)=V95),"Pass","Pending")))</x:f>
      </x:c>
      <x:c r="AA95" s="9" t="str">
        <x:f>IF(C95="","",IF(COUNTIF(Facilities!$C$9:$C$108,D95)&lt;&gt;1,"Facility key",IF(OR(NOT(ISNUMBER(N95)),N95&lt;0),"Amount required",IF(SUMIF($D$9:$D$108,D95,$N$9:$N$108)&gt;IFERROR(INDEX('Facilities'!$AA$9:$AA$108,MATCH(D95,'Facilities'!$C$9:$C$108,0)),"")+0.000001,"Overallocated",IF(N95=0,"No allocation",IF(O95="","Evidence required","Valid"))))))</x:f>
      </x:c>
      <x:c r="AB95" s="3" t="str">
        <x:f>IF(C95="","",IF(OR(U95="Fail",Z95="Fail"),IF(H95="Jordan 2026","Red / not aligned","Not eligible"),IF(OR(U95="Criteria required",V95=0),"Criteria required",IF(Z95&lt;&gt;"Pass","Pending",IF(U95="Amber","Amber",IF(H95="Jordan 2026","Green","Eligible (internal)"))))))</x:f>
      </x:c>
      <x:c r="AC95" s="9" t="str">
        <x:f>IF(C95="","",IF(T95="Rejected","Rejected",IF(OR(AB95="Red / not aligned",AB95="Not eligible"),"Not eligible",IF(OR(AH95&lt;&gt;"Current",T95&lt;&gt;"Approved",Z95&lt;&gt;"Pass",(COUNTIFS('Actions'!$D$9:$D$308,E95,'Actions'!$E$9:$E$308,"E&amp;S",'Actions'!$F$9:$F$308,"Critical",'Actions'!$P$9:$P$308,"&lt;&gt;Closed",'Actions'!$C$9:$C$308,"&lt;&gt;")+COUNTIFS('Actions'!$D$9:$D$308,E95,'Actions'!$E$9:$E$308,"Taxonomy",'Actions'!$F$9:$F$308,"Critical",'Actions'!$P$9:$P$308,"&lt;&gt;Closed",'Actions'!$C$9:$C$308,"&lt;&gt;")+COUNTIFS('ESG'!$C$9:$C$108,E95,'ESG'!$H$9:$H$108,"Yes"))&gt;0,AND(AB95&lt;&gt;"Green",AB95&lt;&gt;"Amber",AB95&lt;&gt;"Eligible (internal)")),"Pending",IF(AA95="No allocation","Activity only",IF(AA95&lt;&gt;"Valid","Pending","Approved"))))))</x:f>
      </x:c>
      <x:c r="AD95" s="21" t="str">
        <x:f>IF(C95="","",IF(AND(AC95="Approved",OR(AB95="Green",AB95="Eligible (internal)")),N95,0))</x:f>
      </x:c>
      <x:c r="AE95" s="21" t="str">
        <x:f>IF(C95="","",IF(AND(AC95="Approved",AB95="Amber"),N95,0))</x:f>
      </x:c>
      <x:c r="AF95" s="9" t="str">
        <x:f>IF(C95="","",IF((COUNTIFS('Actions'!$D$9:$D$308,E95,'Actions'!$E$9:$E$308,"E&amp;S",'Actions'!$F$9:$F$308,"Critical",'Actions'!$P$9:$P$308,"&lt;&gt;Closed",'Actions'!$C$9:$C$308,"&lt;&gt;")+COUNTIFS('Actions'!$D$9:$D$308,E95,'Actions'!$E$9:$E$308,"Taxonomy",'Actions'!$F$9:$F$308,"Critical",'Actions'!$P$9:$P$308,"&lt;&gt;Closed",'Actions'!$C$9:$C$308,"&lt;&gt;")+COUNTIFS('ESG'!$C$9:$C$108,E95,'ESG'!$H$9:$H$108,"Yes"))&gt;0,"Resolve critical E&amp;S / taxonomy issue",IF(AH95&lt;&gt;"Current",AH95,IF(Z95&lt;&gt;"Pass","Review individual tests",IF(U95="Criteria required","Sourced criteria / interpretation required",IF(AA95&lt;&gt;"Valid",AA95,IF(T95&lt;&gt;"Approved","Approval required",I95)))))))</x:f>
      </x:c>
      <x:c r="AG95" s="9" t="str">
        <x:f>IF(C95="","",IFERROR(INDEX('Taxonomy Rules'!$L$9:$L$20,MATCH(H95&amp;"::"&amp;G95,'Taxonomy Rules'!$C$9:$C$20,0)),"Unimplemented activity"))</x:f>
      </x:c>
      <x:c r="AH95" s="9" t="str">
        <x:f>IF(C95="","",IF(COUNTIF($C$9:$C$108,C95)&lt;&gt;1,"Duplicate ID",IF(OR(COUNTIF(Facilities!$C$9:$C$108,D95)&lt;&gt;1,COUNTIF(Borrowers!$C$9:$C$108,E95)&lt;&gt;1),"Key review",IF(OR(P95="",Q95="",P95=Q95,NOT(ISNUMBER(R95)),NOT(ISNUMBER(S95)),R95&gt;Settings!$F$8,S95&lt;R95),"Review required",IF(S95&lt;Settings!$F$8,"Expired","Current")))))</x:f>
      </x:c>
    </x:row>
    <x:row r="96" ht="26" customHeight="1">
      <x:c r="A96" s="1"/>
      <x:c r="B96" s="1"/>
      <x:c r="C96" s="8"/>
      <x:c r="D96" s="8"/>
      <x:c r="E96" s="9" t="str">
        <x:f>IF(C96="","",IFERROR(INDEX('Facilities'!$D$9:$D$108,MATCH(D96,'Facilities'!$C$9:$C$108,0)),""))</x:f>
      </x:c>
      <x:c r="F96" s="9" t="str">
        <x:f>IF(C96="","",IFERROR(INDEX('Borrowers'!$E$9:$E$108,MATCH(E96,'Borrowers'!$C$9:$C$108,0)),""))</x:f>
      </x:c>
      <x:c r="G96" s="9" t="str">
        <x:f>IF(C96="","",IFERROR(INDEX('Facilities'!$W$9:$W$108,MATCH(D96,'Facilities'!$C$9:$C$108,0)),""))</x:f>
      </x:c>
      <x:c r="H96" s="9" t="str">
        <x:f>IF(C96="","",Settings!$F$11)</x:f>
      </x:c>
      <x:c r="I96" s="3" t="str">
        <x:f>IF(C96="","",IF(H96="Jordan 2026",IF(F96="Jordan","Jordan taxonomy","Reference benchmark"),"Internal policy"))</x:f>
      </x:c>
      <x:c r="J96" s="8"/>
      <x:c r="K96" s="35"/>
      <x:c r="L96" s="35"/>
      <x:c r="M96" s="8"/>
      <x:c r="N96" s="16"/>
      <x:c r="O96" s="8"/>
      <x:c r="P96" s="8"/>
      <x:c r="Q96" s="8"/>
      <x:c r="R96" s="10"/>
      <x:c r="S96" s="10"/>
      <x:c r="T96" s="8"/>
      <x:c r="U96" s="9" t="str">
        <x:f>IF(C96="","",IF(V96=0,"Criteria required",IF(OR(NOT(ISNUMBER(J96)),J96&lt;1900,J96&gt;YEAR(Settings!$F$8),IFERROR(MOD(J96,1),1)&lt;&gt;0,NOT(ISNUMBER(K96)),K96&lt;0,AND(H96="Internal criteria",OR(G96="Cement",G96="Building renovation"),OR(NOT(ISNUMBER(IFERROR(INDEX('Taxonomy Rules'!$G$9:$G$20,MATCH(H96&amp;"::"&amp;G96,'Taxonomy Rules'!$C$9:$C$20,0)),0))),IFERROR(INDEX('Taxonomy Rules'!$G$9:$G$20,MATCH(H96&amp;"::"&amp;G96,'Taxonomy Rules'!$C$9:$C$20,0)),0)&lt;=0,AND(G96="Building renovation",IFERROR(INDEX('Taxonomy Rules'!$G$9:$G$20,MATCH(H96&amp;"::"&amp;G96,'Taxonomy Rules'!$C$9:$C$20,0)),0)&gt;1)))),"Criteria required",IF(G96="Solar PV",IF(M96&lt;&gt;"Eligible activity","Criteria required",IF(K96=1,"Pass","Fail")),IF(G96="Cement",IF(M96="Amber",IF(H96="Jordan 2026",IF(YEAR(Settings!$F$8)&lt;2040,"Amber","Fail"),"Criteria required"),IF(M96&lt;&gt;"Green","Criteria required",IF(H96="Jordan 2026",IF(IFERROR(INDEX('Taxonomy Rules'!$P$9:$P$14,MATCH(J96,'Taxonomy Rules'!$O$9:$O$14,0)),0)=0,"Criteria required",IF(K96&lt;=IFERROR(INDEX('Taxonomy Rules'!$P$9:$P$14,MATCH(J96,'Taxonomy Rules'!$O$9:$O$14,0)),0),"Pass","Fail")),IF(K96&lt;=IFERROR(INDEX('Taxonomy Rules'!$G$9:$G$20,MATCH(H96&amp;"::"&amp;G96,'Taxonomy Rules'!$C$9:$C$20,0)),0),"Pass","Fail")))),IF(G96="Building renovation",IF(M96="Whole building",IF(K96=1,"Pass","Fail"),IF(M96&lt;&gt;"Improvement","Criteria required",IF(OR(K96&gt;1,NOT(ISNUMBER(L96)),L96&lt;0,L96&gt;1),"Criteria required",IF(MAX(K96,L96)&lt;IFERROR(INDEX('Taxonomy Rules'!$G$9:$G$20,MATCH(H96&amp;"::"&amp;G96,'Taxonomy Rules'!$C$9:$C$20,0)),0),"Fail",IF(H96="Jordan 2026",IF(YEAR(Settings!$F$8)&lt;2035,"Amber",IF(YEAR(Settings!$F$8)=2035,"Criteria required","Fail")),"Pass"))))),IF(G96="Road freight",IF(M96&lt;&gt;"Zero emissions","Criteria required",IF(AND(K96=0,ISNUMBER(L96),L96=0),"Pass","Fail")),IF(G96="New building",IF(NOT(OR(M96="Green",M96="Amber")),"Criteria required",IF(K96&lt;&gt;1,"Fail",IF(M96="Amber",IF(H96="Jordan 2026",IF(YEAR(Settings!$F$8)&lt;2030,"Amber",IF(YEAR(Settings!$F$8)=2030,"Criteria required","Fail")),"Criteria required"),"Pass"))),IF(G96="Building equipment",IF(M96&lt;&gt;"Equipment","Criteria required",IF(K96=1,"Pass","Fail")),"Criteria required")))))))))</x:f>
      </x:c>
      <x:c r="V96" s="9" t="str">
        <x:f>IF(C96="","",IFERROR(INDEX('Taxonomy Rules'!$J$9:$J$20,MATCH(H96&amp;"::"&amp;G96,'Taxonomy Rules'!$C$9:$C$20,0)),0))</x:f>
      </x:c>
      <x:c r="W96" s="9" t="str">
        <x:f>IF(C96="","",COUNTIFS('Taxonomy Tests'!$D$9:$D$2008,C96,'Taxonomy Tests'!$Q$9:$Q$2008,"Complete"))</x:f>
      </x:c>
      <x:c r="X96" s="9" t="str">
        <x:f>IF(C96="","",COUNTIFS('Taxonomy Tests'!$D$9:$D$2008,C96,'Taxonomy Tests'!$P$9:$P$2008,"Fail"))</x:f>
      </x:c>
      <x:c r="Y96" s="9" t="str">
        <x:f>IF(C96="","",MAX(0,V96-W96)+COUNTIFS('Taxonomy Tests'!$D$9:$D$2008,C96,'Taxonomy Tests'!$R$9:$R$2008,"Duplicate test")+COUNTIFS('Taxonomy Tests'!$D$9:$D$2008,C96,'Taxonomy Tests'!$R$9:$R$2008,"Unexpected test"))</x:f>
      </x:c>
      <x:c r="Z96" s="9" t="str">
        <x:f>IF(C96="","",IF(X96&gt;0,"Fail",IF(AND(V96&gt;0,W96=V96,Y96=0,COUNTIF('Taxonomy Tests'!$D$9:$D$2008,C96)=V96),"Pass","Pending")))</x:f>
      </x:c>
      <x:c r="AA96" s="9" t="str">
        <x:f>IF(C96="","",IF(COUNTIF(Facilities!$C$9:$C$108,D96)&lt;&gt;1,"Facility key",IF(OR(NOT(ISNUMBER(N96)),N96&lt;0),"Amount required",IF(SUMIF($D$9:$D$108,D96,$N$9:$N$108)&gt;IFERROR(INDEX('Facilities'!$AA$9:$AA$108,MATCH(D96,'Facilities'!$C$9:$C$108,0)),"")+0.000001,"Overallocated",IF(N96=0,"No allocation",IF(O96="","Evidence required","Valid"))))))</x:f>
      </x:c>
      <x:c r="AB96" s="3" t="str">
        <x:f>IF(C96="","",IF(OR(U96="Fail",Z96="Fail"),IF(H96="Jordan 2026","Red / not aligned","Not eligible"),IF(OR(U96="Criteria required",V96=0),"Criteria required",IF(Z96&lt;&gt;"Pass","Pending",IF(U96="Amber","Amber",IF(H96="Jordan 2026","Green","Eligible (internal)"))))))</x:f>
      </x:c>
      <x:c r="AC96" s="9" t="str">
        <x:f>IF(C96="","",IF(T96="Rejected","Rejected",IF(OR(AB96="Red / not aligned",AB96="Not eligible"),"Not eligible",IF(OR(AH96&lt;&gt;"Current",T96&lt;&gt;"Approved",Z96&lt;&gt;"Pass",(COUNTIFS('Actions'!$D$9:$D$308,E96,'Actions'!$E$9:$E$308,"E&amp;S",'Actions'!$F$9:$F$308,"Critical",'Actions'!$P$9:$P$308,"&lt;&gt;Closed",'Actions'!$C$9:$C$308,"&lt;&gt;")+COUNTIFS('Actions'!$D$9:$D$308,E96,'Actions'!$E$9:$E$308,"Taxonomy",'Actions'!$F$9:$F$308,"Critical",'Actions'!$P$9:$P$308,"&lt;&gt;Closed",'Actions'!$C$9:$C$308,"&lt;&gt;")+COUNTIFS('ESG'!$C$9:$C$108,E96,'ESG'!$H$9:$H$108,"Yes"))&gt;0,AND(AB96&lt;&gt;"Green",AB96&lt;&gt;"Amber",AB96&lt;&gt;"Eligible (internal)")),"Pending",IF(AA96="No allocation","Activity only",IF(AA96&lt;&gt;"Valid","Pending","Approved"))))))</x:f>
      </x:c>
      <x:c r="AD96" s="21" t="str">
        <x:f>IF(C96="","",IF(AND(AC96="Approved",OR(AB96="Green",AB96="Eligible (internal)")),N96,0))</x:f>
      </x:c>
      <x:c r="AE96" s="21" t="str">
        <x:f>IF(C96="","",IF(AND(AC96="Approved",AB96="Amber"),N96,0))</x:f>
      </x:c>
      <x:c r="AF96" s="9" t="str">
        <x:f>IF(C96="","",IF((COUNTIFS('Actions'!$D$9:$D$308,E96,'Actions'!$E$9:$E$308,"E&amp;S",'Actions'!$F$9:$F$308,"Critical",'Actions'!$P$9:$P$308,"&lt;&gt;Closed",'Actions'!$C$9:$C$308,"&lt;&gt;")+COUNTIFS('Actions'!$D$9:$D$308,E96,'Actions'!$E$9:$E$308,"Taxonomy",'Actions'!$F$9:$F$308,"Critical",'Actions'!$P$9:$P$308,"&lt;&gt;Closed",'Actions'!$C$9:$C$308,"&lt;&gt;")+COUNTIFS('ESG'!$C$9:$C$108,E96,'ESG'!$H$9:$H$108,"Yes"))&gt;0,"Resolve critical E&amp;S / taxonomy issue",IF(AH96&lt;&gt;"Current",AH96,IF(Z96&lt;&gt;"Pass","Review individual tests",IF(U96="Criteria required","Sourced criteria / interpretation required",IF(AA96&lt;&gt;"Valid",AA96,IF(T96&lt;&gt;"Approved","Approval required",I96)))))))</x:f>
      </x:c>
      <x:c r="AG96" s="9" t="str">
        <x:f>IF(C96="","",IFERROR(INDEX('Taxonomy Rules'!$L$9:$L$20,MATCH(H96&amp;"::"&amp;G96,'Taxonomy Rules'!$C$9:$C$20,0)),"Unimplemented activity"))</x:f>
      </x:c>
      <x:c r="AH96" s="9" t="str">
        <x:f>IF(C96="","",IF(COUNTIF($C$9:$C$108,C96)&lt;&gt;1,"Duplicate ID",IF(OR(COUNTIF(Facilities!$C$9:$C$108,D96)&lt;&gt;1,COUNTIF(Borrowers!$C$9:$C$108,E96)&lt;&gt;1),"Key review",IF(OR(P96="",Q96="",P96=Q96,NOT(ISNUMBER(R96)),NOT(ISNUMBER(S96)),R96&gt;Settings!$F$8,S96&lt;R96),"Review required",IF(S96&lt;Settings!$F$8,"Expired","Current")))))</x:f>
      </x:c>
    </x:row>
    <x:row r="97" ht="26" customHeight="1">
      <x:c r="A97" s="1"/>
      <x:c r="B97" s="1"/>
      <x:c r="C97" s="8"/>
      <x:c r="D97" s="8"/>
      <x:c r="E97" s="9" t="str">
        <x:f>IF(C97="","",IFERROR(INDEX('Facilities'!$D$9:$D$108,MATCH(D97,'Facilities'!$C$9:$C$108,0)),""))</x:f>
      </x:c>
      <x:c r="F97" s="9" t="str">
        <x:f>IF(C97="","",IFERROR(INDEX('Borrowers'!$E$9:$E$108,MATCH(E97,'Borrowers'!$C$9:$C$108,0)),""))</x:f>
      </x:c>
      <x:c r="G97" s="9" t="str">
        <x:f>IF(C97="","",IFERROR(INDEX('Facilities'!$W$9:$W$108,MATCH(D97,'Facilities'!$C$9:$C$108,0)),""))</x:f>
      </x:c>
      <x:c r="H97" s="9" t="str">
        <x:f>IF(C97="","",Settings!$F$11)</x:f>
      </x:c>
      <x:c r="I97" s="3" t="str">
        <x:f>IF(C97="","",IF(H97="Jordan 2026",IF(F97="Jordan","Jordan taxonomy","Reference benchmark"),"Internal policy"))</x:f>
      </x:c>
      <x:c r="J97" s="8"/>
      <x:c r="K97" s="35"/>
      <x:c r="L97" s="35"/>
      <x:c r="M97" s="8"/>
      <x:c r="N97" s="16"/>
      <x:c r="O97" s="8"/>
      <x:c r="P97" s="8"/>
      <x:c r="Q97" s="8"/>
      <x:c r="R97" s="10"/>
      <x:c r="S97" s="10"/>
      <x:c r="T97" s="8"/>
      <x:c r="U97" s="9" t="str">
        <x:f>IF(C97="","",IF(V97=0,"Criteria required",IF(OR(NOT(ISNUMBER(J97)),J97&lt;1900,J97&gt;YEAR(Settings!$F$8),IFERROR(MOD(J97,1),1)&lt;&gt;0,NOT(ISNUMBER(K97)),K97&lt;0,AND(H97="Internal criteria",OR(G97="Cement",G97="Building renovation"),OR(NOT(ISNUMBER(IFERROR(INDEX('Taxonomy Rules'!$G$9:$G$20,MATCH(H97&amp;"::"&amp;G97,'Taxonomy Rules'!$C$9:$C$20,0)),0))),IFERROR(INDEX('Taxonomy Rules'!$G$9:$G$20,MATCH(H97&amp;"::"&amp;G97,'Taxonomy Rules'!$C$9:$C$20,0)),0)&lt;=0,AND(G97="Building renovation",IFERROR(INDEX('Taxonomy Rules'!$G$9:$G$20,MATCH(H97&amp;"::"&amp;G97,'Taxonomy Rules'!$C$9:$C$20,0)),0)&gt;1)))),"Criteria required",IF(G97="Solar PV",IF(M97&lt;&gt;"Eligible activity","Criteria required",IF(K97=1,"Pass","Fail")),IF(G97="Cement",IF(M97="Amber",IF(H97="Jordan 2026",IF(YEAR(Settings!$F$8)&lt;2040,"Amber","Fail"),"Criteria required"),IF(M97&lt;&gt;"Green","Criteria required",IF(H97="Jordan 2026",IF(IFERROR(INDEX('Taxonomy Rules'!$P$9:$P$14,MATCH(J97,'Taxonomy Rules'!$O$9:$O$14,0)),0)=0,"Criteria required",IF(K97&lt;=IFERROR(INDEX('Taxonomy Rules'!$P$9:$P$14,MATCH(J97,'Taxonomy Rules'!$O$9:$O$14,0)),0),"Pass","Fail")),IF(K97&lt;=IFERROR(INDEX('Taxonomy Rules'!$G$9:$G$20,MATCH(H97&amp;"::"&amp;G97,'Taxonomy Rules'!$C$9:$C$20,0)),0),"Pass","Fail")))),IF(G97="Building renovation",IF(M97="Whole building",IF(K97=1,"Pass","Fail"),IF(M97&lt;&gt;"Improvement","Criteria required",IF(OR(K97&gt;1,NOT(ISNUMBER(L97)),L97&lt;0,L97&gt;1),"Criteria required",IF(MAX(K97,L97)&lt;IFERROR(INDEX('Taxonomy Rules'!$G$9:$G$20,MATCH(H97&amp;"::"&amp;G97,'Taxonomy Rules'!$C$9:$C$20,0)),0),"Fail",IF(H97="Jordan 2026",IF(YEAR(Settings!$F$8)&lt;2035,"Amber",IF(YEAR(Settings!$F$8)=2035,"Criteria required","Fail")),"Pass"))))),IF(G97="Road freight",IF(M97&lt;&gt;"Zero emissions","Criteria required",IF(AND(K97=0,ISNUMBER(L97),L97=0),"Pass","Fail")),IF(G97="New building",IF(NOT(OR(M97="Green",M97="Amber")),"Criteria required",IF(K97&lt;&gt;1,"Fail",IF(M97="Amber",IF(H97="Jordan 2026",IF(YEAR(Settings!$F$8)&lt;2030,"Amber",IF(YEAR(Settings!$F$8)=2030,"Criteria required","Fail")),"Criteria required"),"Pass"))),IF(G97="Building equipment",IF(M97&lt;&gt;"Equipment","Criteria required",IF(K97=1,"Pass","Fail")),"Criteria required")))))))))</x:f>
      </x:c>
      <x:c r="V97" s="9" t="str">
        <x:f>IF(C97="","",IFERROR(INDEX('Taxonomy Rules'!$J$9:$J$20,MATCH(H97&amp;"::"&amp;G97,'Taxonomy Rules'!$C$9:$C$20,0)),0))</x:f>
      </x:c>
      <x:c r="W97" s="9" t="str">
        <x:f>IF(C97="","",COUNTIFS('Taxonomy Tests'!$D$9:$D$2008,C97,'Taxonomy Tests'!$Q$9:$Q$2008,"Complete"))</x:f>
      </x:c>
      <x:c r="X97" s="9" t="str">
        <x:f>IF(C97="","",COUNTIFS('Taxonomy Tests'!$D$9:$D$2008,C97,'Taxonomy Tests'!$P$9:$P$2008,"Fail"))</x:f>
      </x:c>
      <x:c r="Y97" s="9" t="str">
        <x:f>IF(C97="","",MAX(0,V97-W97)+COUNTIFS('Taxonomy Tests'!$D$9:$D$2008,C97,'Taxonomy Tests'!$R$9:$R$2008,"Duplicate test")+COUNTIFS('Taxonomy Tests'!$D$9:$D$2008,C97,'Taxonomy Tests'!$R$9:$R$2008,"Unexpected test"))</x:f>
      </x:c>
      <x:c r="Z97" s="9" t="str">
        <x:f>IF(C97="","",IF(X97&gt;0,"Fail",IF(AND(V97&gt;0,W97=V97,Y97=0,COUNTIF('Taxonomy Tests'!$D$9:$D$2008,C97)=V97),"Pass","Pending")))</x:f>
      </x:c>
      <x:c r="AA97" s="9" t="str">
        <x:f>IF(C97="","",IF(COUNTIF(Facilities!$C$9:$C$108,D97)&lt;&gt;1,"Facility key",IF(OR(NOT(ISNUMBER(N97)),N97&lt;0),"Amount required",IF(SUMIF($D$9:$D$108,D97,$N$9:$N$108)&gt;IFERROR(INDEX('Facilities'!$AA$9:$AA$108,MATCH(D97,'Facilities'!$C$9:$C$108,0)),"")+0.000001,"Overallocated",IF(N97=0,"No allocation",IF(O97="","Evidence required","Valid"))))))</x:f>
      </x:c>
      <x:c r="AB97" s="3" t="str">
        <x:f>IF(C97="","",IF(OR(U97="Fail",Z97="Fail"),IF(H97="Jordan 2026","Red / not aligned","Not eligible"),IF(OR(U97="Criteria required",V97=0),"Criteria required",IF(Z97&lt;&gt;"Pass","Pending",IF(U97="Amber","Amber",IF(H97="Jordan 2026","Green","Eligible (internal)"))))))</x:f>
      </x:c>
      <x:c r="AC97" s="9" t="str">
        <x:f>IF(C97="","",IF(T97="Rejected","Rejected",IF(OR(AB97="Red / not aligned",AB97="Not eligible"),"Not eligible",IF(OR(AH97&lt;&gt;"Current",T97&lt;&gt;"Approved",Z97&lt;&gt;"Pass",(COUNTIFS('Actions'!$D$9:$D$308,E97,'Actions'!$E$9:$E$308,"E&amp;S",'Actions'!$F$9:$F$308,"Critical",'Actions'!$P$9:$P$308,"&lt;&gt;Closed",'Actions'!$C$9:$C$308,"&lt;&gt;")+COUNTIFS('Actions'!$D$9:$D$308,E97,'Actions'!$E$9:$E$308,"Taxonomy",'Actions'!$F$9:$F$308,"Critical",'Actions'!$P$9:$P$308,"&lt;&gt;Closed",'Actions'!$C$9:$C$308,"&lt;&gt;")+COUNTIFS('ESG'!$C$9:$C$108,E97,'ESG'!$H$9:$H$108,"Yes"))&gt;0,AND(AB97&lt;&gt;"Green",AB97&lt;&gt;"Amber",AB97&lt;&gt;"Eligible (internal)")),"Pending",IF(AA97="No allocation","Activity only",IF(AA97&lt;&gt;"Valid","Pending","Approved"))))))</x:f>
      </x:c>
      <x:c r="AD97" s="21" t="str">
        <x:f>IF(C97="","",IF(AND(AC97="Approved",OR(AB97="Green",AB97="Eligible (internal)")),N97,0))</x:f>
      </x:c>
      <x:c r="AE97" s="21" t="str">
        <x:f>IF(C97="","",IF(AND(AC97="Approved",AB97="Amber"),N97,0))</x:f>
      </x:c>
      <x:c r="AF97" s="9" t="str">
        <x:f>IF(C97="","",IF((COUNTIFS('Actions'!$D$9:$D$308,E97,'Actions'!$E$9:$E$308,"E&amp;S",'Actions'!$F$9:$F$308,"Critical",'Actions'!$P$9:$P$308,"&lt;&gt;Closed",'Actions'!$C$9:$C$308,"&lt;&gt;")+COUNTIFS('Actions'!$D$9:$D$308,E97,'Actions'!$E$9:$E$308,"Taxonomy",'Actions'!$F$9:$F$308,"Critical",'Actions'!$P$9:$P$308,"&lt;&gt;Closed",'Actions'!$C$9:$C$308,"&lt;&gt;")+COUNTIFS('ESG'!$C$9:$C$108,E97,'ESG'!$H$9:$H$108,"Yes"))&gt;0,"Resolve critical E&amp;S / taxonomy issue",IF(AH97&lt;&gt;"Current",AH97,IF(Z97&lt;&gt;"Pass","Review individual tests",IF(U97="Criteria required","Sourced criteria / interpretation required",IF(AA97&lt;&gt;"Valid",AA97,IF(T97&lt;&gt;"Approved","Approval required",I97)))))))</x:f>
      </x:c>
      <x:c r="AG97" s="9" t="str">
        <x:f>IF(C97="","",IFERROR(INDEX('Taxonomy Rules'!$L$9:$L$20,MATCH(H97&amp;"::"&amp;G97,'Taxonomy Rules'!$C$9:$C$20,0)),"Unimplemented activity"))</x:f>
      </x:c>
      <x:c r="AH97" s="9" t="str">
        <x:f>IF(C97="","",IF(COUNTIF($C$9:$C$108,C97)&lt;&gt;1,"Duplicate ID",IF(OR(COUNTIF(Facilities!$C$9:$C$108,D97)&lt;&gt;1,COUNTIF(Borrowers!$C$9:$C$108,E97)&lt;&gt;1),"Key review",IF(OR(P97="",Q97="",P97=Q97,NOT(ISNUMBER(R97)),NOT(ISNUMBER(S97)),R97&gt;Settings!$F$8,S97&lt;R97),"Review required",IF(S97&lt;Settings!$F$8,"Expired","Current")))))</x:f>
      </x:c>
    </x:row>
    <x:row r="98" ht="26" customHeight="1">
      <x:c r="A98" s="1"/>
      <x:c r="B98" s="1"/>
      <x:c r="C98" s="8"/>
      <x:c r="D98" s="8"/>
      <x:c r="E98" s="9" t="str">
        <x:f>IF(C98="","",IFERROR(INDEX('Facilities'!$D$9:$D$108,MATCH(D98,'Facilities'!$C$9:$C$108,0)),""))</x:f>
      </x:c>
      <x:c r="F98" s="9" t="str">
        <x:f>IF(C98="","",IFERROR(INDEX('Borrowers'!$E$9:$E$108,MATCH(E98,'Borrowers'!$C$9:$C$108,0)),""))</x:f>
      </x:c>
      <x:c r="G98" s="9" t="str">
        <x:f>IF(C98="","",IFERROR(INDEX('Facilities'!$W$9:$W$108,MATCH(D98,'Facilities'!$C$9:$C$108,0)),""))</x:f>
      </x:c>
      <x:c r="H98" s="9" t="str">
        <x:f>IF(C98="","",Settings!$F$11)</x:f>
      </x:c>
      <x:c r="I98" s="3" t="str">
        <x:f>IF(C98="","",IF(H98="Jordan 2026",IF(F98="Jordan","Jordan taxonomy","Reference benchmark"),"Internal policy"))</x:f>
      </x:c>
      <x:c r="J98" s="8"/>
      <x:c r="K98" s="35"/>
      <x:c r="L98" s="35"/>
      <x:c r="M98" s="8"/>
      <x:c r="N98" s="16"/>
      <x:c r="O98" s="8"/>
      <x:c r="P98" s="8"/>
      <x:c r="Q98" s="8"/>
      <x:c r="R98" s="10"/>
      <x:c r="S98" s="10"/>
      <x:c r="T98" s="8"/>
      <x:c r="U98" s="9" t="str">
        <x:f>IF(C98="","",IF(V98=0,"Criteria required",IF(OR(NOT(ISNUMBER(J98)),J98&lt;1900,J98&gt;YEAR(Settings!$F$8),IFERROR(MOD(J98,1),1)&lt;&gt;0,NOT(ISNUMBER(K98)),K98&lt;0,AND(H98="Internal criteria",OR(G98="Cement",G98="Building renovation"),OR(NOT(ISNUMBER(IFERROR(INDEX('Taxonomy Rules'!$G$9:$G$20,MATCH(H98&amp;"::"&amp;G98,'Taxonomy Rules'!$C$9:$C$20,0)),0))),IFERROR(INDEX('Taxonomy Rules'!$G$9:$G$20,MATCH(H98&amp;"::"&amp;G98,'Taxonomy Rules'!$C$9:$C$20,0)),0)&lt;=0,AND(G98="Building renovation",IFERROR(INDEX('Taxonomy Rules'!$G$9:$G$20,MATCH(H98&amp;"::"&amp;G98,'Taxonomy Rules'!$C$9:$C$20,0)),0)&gt;1)))),"Criteria required",IF(G98="Solar PV",IF(M98&lt;&gt;"Eligible activity","Criteria required",IF(K98=1,"Pass","Fail")),IF(G98="Cement",IF(M98="Amber",IF(H98="Jordan 2026",IF(YEAR(Settings!$F$8)&lt;2040,"Amber","Fail"),"Criteria required"),IF(M98&lt;&gt;"Green","Criteria required",IF(H98="Jordan 2026",IF(IFERROR(INDEX('Taxonomy Rules'!$P$9:$P$14,MATCH(J98,'Taxonomy Rules'!$O$9:$O$14,0)),0)=0,"Criteria required",IF(K98&lt;=IFERROR(INDEX('Taxonomy Rules'!$P$9:$P$14,MATCH(J98,'Taxonomy Rules'!$O$9:$O$14,0)),0),"Pass","Fail")),IF(K98&lt;=IFERROR(INDEX('Taxonomy Rules'!$G$9:$G$20,MATCH(H98&amp;"::"&amp;G98,'Taxonomy Rules'!$C$9:$C$20,0)),0),"Pass","Fail")))),IF(G98="Building renovation",IF(M98="Whole building",IF(K98=1,"Pass","Fail"),IF(M98&lt;&gt;"Improvement","Criteria required",IF(OR(K98&gt;1,NOT(ISNUMBER(L98)),L98&lt;0,L98&gt;1),"Criteria required",IF(MAX(K98,L98)&lt;IFERROR(INDEX('Taxonomy Rules'!$G$9:$G$20,MATCH(H98&amp;"::"&amp;G98,'Taxonomy Rules'!$C$9:$C$20,0)),0),"Fail",IF(H98="Jordan 2026",IF(YEAR(Settings!$F$8)&lt;2035,"Amber",IF(YEAR(Settings!$F$8)=2035,"Criteria required","Fail")),"Pass"))))),IF(G98="Road freight",IF(M98&lt;&gt;"Zero emissions","Criteria required",IF(AND(K98=0,ISNUMBER(L98),L98=0),"Pass","Fail")),IF(G98="New building",IF(NOT(OR(M98="Green",M98="Amber")),"Criteria required",IF(K98&lt;&gt;1,"Fail",IF(M98="Amber",IF(H98="Jordan 2026",IF(YEAR(Settings!$F$8)&lt;2030,"Amber",IF(YEAR(Settings!$F$8)=2030,"Criteria required","Fail")),"Criteria required"),"Pass"))),IF(G98="Building equipment",IF(M98&lt;&gt;"Equipment","Criteria required",IF(K98=1,"Pass","Fail")),"Criteria required")))))))))</x:f>
      </x:c>
      <x:c r="V98" s="9" t="str">
        <x:f>IF(C98="","",IFERROR(INDEX('Taxonomy Rules'!$J$9:$J$20,MATCH(H98&amp;"::"&amp;G98,'Taxonomy Rules'!$C$9:$C$20,0)),0))</x:f>
      </x:c>
      <x:c r="W98" s="9" t="str">
        <x:f>IF(C98="","",COUNTIFS('Taxonomy Tests'!$D$9:$D$2008,C98,'Taxonomy Tests'!$Q$9:$Q$2008,"Complete"))</x:f>
      </x:c>
      <x:c r="X98" s="9" t="str">
        <x:f>IF(C98="","",COUNTIFS('Taxonomy Tests'!$D$9:$D$2008,C98,'Taxonomy Tests'!$P$9:$P$2008,"Fail"))</x:f>
      </x:c>
      <x:c r="Y98" s="9" t="str">
        <x:f>IF(C98="","",MAX(0,V98-W98)+COUNTIFS('Taxonomy Tests'!$D$9:$D$2008,C98,'Taxonomy Tests'!$R$9:$R$2008,"Duplicate test")+COUNTIFS('Taxonomy Tests'!$D$9:$D$2008,C98,'Taxonomy Tests'!$R$9:$R$2008,"Unexpected test"))</x:f>
      </x:c>
      <x:c r="Z98" s="9" t="str">
        <x:f>IF(C98="","",IF(X98&gt;0,"Fail",IF(AND(V98&gt;0,W98=V98,Y98=0,COUNTIF('Taxonomy Tests'!$D$9:$D$2008,C98)=V98),"Pass","Pending")))</x:f>
      </x:c>
      <x:c r="AA98" s="9" t="str">
        <x:f>IF(C98="","",IF(COUNTIF(Facilities!$C$9:$C$108,D98)&lt;&gt;1,"Facility key",IF(OR(NOT(ISNUMBER(N98)),N98&lt;0),"Amount required",IF(SUMIF($D$9:$D$108,D98,$N$9:$N$108)&gt;IFERROR(INDEX('Facilities'!$AA$9:$AA$108,MATCH(D98,'Facilities'!$C$9:$C$108,0)),"")+0.000001,"Overallocated",IF(N98=0,"No allocation",IF(O98="","Evidence required","Valid"))))))</x:f>
      </x:c>
      <x:c r="AB98" s="3" t="str">
        <x:f>IF(C98="","",IF(OR(U98="Fail",Z98="Fail"),IF(H98="Jordan 2026","Red / not aligned","Not eligible"),IF(OR(U98="Criteria required",V98=0),"Criteria required",IF(Z98&lt;&gt;"Pass","Pending",IF(U98="Amber","Amber",IF(H98="Jordan 2026","Green","Eligible (internal)"))))))</x:f>
      </x:c>
      <x:c r="AC98" s="9" t="str">
        <x:f>IF(C98="","",IF(T98="Rejected","Rejected",IF(OR(AB98="Red / not aligned",AB98="Not eligible"),"Not eligible",IF(OR(AH98&lt;&gt;"Current",T98&lt;&gt;"Approved",Z98&lt;&gt;"Pass",(COUNTIFS('Actions'!$D$9:$D$308,E98,'Actions'!$E$9:$E$308,"E&amp;S",'Actions'!$F$9:$F$308,"Critical",'Actions'!$P$9:$P$308,"&lt;&gt;Closed",'Actions'!$C$9:$C$308,"&lt;&gt;")+COUNTIFS('Actions'!$D$9:$D$308,E98,'Actions'!$E$9:$E$308,"Taxonomy",'Actions'!$F$9:$F$308,"Critical",'Actions'!$P$9:$P$308,"&lt;&gt;Closed",'Actions'!$C$9:$C$308,"&lt;&gt;")+COUNTIFS('ESG'!$C$9:$C$108,E98,'ESG'!$H$9:$H$108,"Yes"))&gt;0,AND(AB98&lt;&gt;"Green",AB98&lt;&gt;"Amber",AB98&lt;&gt;"Eligible (internal)")),"Pending",IF(AA98="No allocation","Activity only",IF(AA98&lt;&gt;"Valid","Pending","Approved"))))))</x:f>
      </x:c>
      <x:c r="AD98" s="21" t="str">
        <x:f>IF(C98="","",IF(AND(AC98="Approved",OR(AB98="Green",AB98="Eligible (internal)")),N98,0))</x:f>
      </x:c>
      <x:c r="AE98" s="21" t="str">
        <x:f>IF(C98="","",IF(AND(AC98="Approved",AB98="Amber"),N98,0))</x:f>
      </x:c>
      <x:c r="AF98" s="9" t="str">
        <x:f>IF(C98="","",IF((COUNTIFS('Actions'!$D$9:$D$308,E98,'Actions'!$E$9:$E$308,"E&amp;S",'Actions'!$F$9:$F$308,"Critical",'Actions'!$P$9:$P$308,"&lt;&gt;Closed",'Actions'!$C$9:$C$308,"&lt;&gt;")+COUNTIFS('Actions'!$D$9:$D$308,E98,'Actions'!$E$9:$E$308,"Taxonomy",'Actions'!$F$9:$F$308,"Critical",'Actions'!$P$9:$P$308,"&lt;&gt;Closed",'Actions'!$C$9:$C$308,"&lt;&gt;")+COUNTIFS('ESG'!$C$9:$C$108,E98,'ESG'!$H$9:$H$108,"Yes"))&gt;0,"Resolve critical E&amp;S / taxonomy issue",IF(AH98&lt;&gt;"Current",AH98,IF(Z98&lt;&gt;"Pass","Review individual tests",IF(U98="Criteria required","Sourced criteria / interpretation required",IF(AA98&lt;&gt;"Valid",AA98,IF(T98&lt;&gt;"Approved","Approval required",I98)))))))</x:f>
      </x:c>
      <x:c r="AG98" s="9" t="str">
        <x:f>IF(C98="","",IFERROR(INDEX('Taxonomy Rules'!$L$9:$L$20,MATCH(H98&amp;"::"&amp;G98,'Taxonomy Rules'!$C$9:$C$20,0)),"Unimplemented activity"))</x:f>
      </x:c>
      <x:c r="AH98" s="9" t="str">
        <x:f>IF(C98="","",IF(COUNTIF($C$9:$C$108,C98)&lt;&gt;1,"Duplicate ID",IF(OR(COUNTIF(Facilities!$C$9:$C$108,D98)&lt;&gt;1,COUNTIF(Borrowers!$C$9:$C$108,E98)&lt;&gt;1),"Key review",IF(OR(P98="",Q98="",P98=Q98,NOT(ISNUMBER(R98)),NOT(ISNUMBER(S98)),R98&gt;Settings!$F$8,S98&lt;R98),"Review required",IF(S98&lt;Settings!$F$8,"Expired","Current")))))</x:f>
      </x:c>
    </x:row>
    <x:row r="99" ht="26" customHeight="1">
      <x:c r="A99" s="1"/>
      <x:c r="B99" s="1"/>
      <x:c r="C99" s="8"/>
      <x:c r="D99" s="8"/>
      <x:c r="E99" s="9" t="str">
        <x:f>IF(C99="","",IFERROR(INDEX('Facilities'!$D$9:$D$108,MATCH(D99,'Facilities'!$C$9:$C$108,0)),""))</x:f>
      </x:c>
      <x:c r="F99" s="9" t="str">
        <x:f>IF(C99="","",IFERROR(INDEX('Borrowers'!$E$9:$E$108,MATCH(E99,'Borrowers'!$C$9:$C$108,0)),""))</x:f>
      </x:c>
      <x:c r="G99" s="9" t="str">
        <x:f>IF(C99="","",IFERROR(INDEX('Facilities'!$W$9:$W$108,MATCH(D99,'Facilities'!$C$9:$C$108,0)),""))</x:f>
      </x:c>
      <x:c r="H99" s="9" t="str">
        <x:f>IF(C99="","",Settings!$F$11)</x:f>
      </x:c>
      <x:c r="I99" s="3" t="str">
        <x:f>IF(C99="","",IF(H99="Jordan 2026",IF(F99="Jordan","Jordan taxonomy","Reference benchmark"),"Internal policy"))</x:f>
      </x:c>
      <x:c r="J99" s="8"/>
      <x:c r="K99" s="35"/>
      <x:c r="L99" s="35"/>
      <x:c r="M99" s="8"/>
      <x:c r="N99" s="16"/>
      <x:c r="O99" s="8"/>
      <x:c r="P99" s="8"/>
      <x:c r="Q99" s="8"/>
      <x:c r="R99" s="10"/>
      <x:c r="S99" s="10"/>
      <x:c r="T99" s="8"/>
      <x:c r="U99" s="9" t="str">
        <x:f>IF(C99="","",IF(V99=0,"Criteria required",IF(OR(NOT(ISNUMBER(J99)),J99&lt;1900,J99&gt;YEAR(Settings!$F$8),IFERROR(MOD(J99,1),1)&lt;&gt;0,NOT(ISNUMBER(K99)),K99&lt;0,AND(H99="Internal criteria",OR(G99="Cement",G99="Building renovation"),OR(NOT(ISNUMBER(IFERROR(INDEX('Taxonomy Rules'!$G$9:$G$20,MATCH(H99&amp;"::"&amp;G99,'Taxonomy Rules'!$C$9:$C$20,0)),0))),IFERROR(INDEX('Taxonomy Rules'!$G$9:$G$20,MATCH(H99&amp;"::"&amp;G99,'Taxonomy Rules'!$C$9:$C$20,0)),0)&lt;=0,AND(G99="Building renovation",IFERROR(INDEX('Taxonomy Rules'!$G$9:$G$20,MATCH(H99&amp;"::"&amp;G99,'Taxonomy Rules'!$C$9:$C$20,0)),0)&gt;1)))),"Criteria required",IF(G99="Solar PV",IF(M99&lt;&gt;"Eligible activity","Criteria required",IF(K99=1,"Pass","Fail")),IF(G99="Cement",IF(M99="Amber",IF(H99="Jordan 2026",IF(YEAR(Settings!$F$8)&lt;2040,"Amber","Fail"),"Criteria required"),IF(M99&lt;&gt;"Green","Criteria required",IF(H99="Jordan 2026",IF(IFERROR(INDEX('Taxonomy Rules'!$P$9:$P$14,MATCH(J99,'Taxonomy Rules'!$O$9:$O$14,0)),0)=0,"Criteria required",IF(K99&lt;=IFERROR(INDEX('Taxonomy Rules'!$P$9:$P$14,MATCH(J99,'Taxonomy Rules'!$O$9:$O$14,0)),0),"Pass","Fail")),IF(K99&lt;=IFERROR(INDEX('Taxonomy Rules'!$G$9:$G$20,MATCH(H99&amp;"::"&amp;G99,'Taxonomy Rules'!$C$9:$C$20,0)),0),"Pass","Fail")))),IF(G99="Building renovation",IF(M99="Whole building",IF(K99=1,"Pass","Fail"),IF(M99&lt;&gt;"Improvement","Criteria required",IF(OR(K99&gt;1,NOT(ISNUMBER(L99)),L99&lt;0,L99&gt;1),"Criteria required",IF(MAX(K99,L99)&lt;IFERROR(INDEX('Taxonomy Rules'!$G$9:$G$20,MATCH(H99&amp;"::"&amp;G99,'Taxonomy Rules'!$C$9:$C$20,0)),0),"Fail",IF(H99="Jordan 2026",IF(YEAR(Settings!$F$8)&lt;2035,"Amber",IF(YEAR(Settings!$F$8)=2035,"Criteria required","Fail")),"Pass"))))),IF(G99="Road freight",IF(M99&lt;&gt;"Zero emissions","Criteria required",IF(AND(K99=0,ISNUMBER(L99),L99=0),"Pass","Fail")),IF(G99="New building",IF(NOT(OR(M99="Green",M99="Amber")),"Criteria required",IF(K99&lt;&gt;1,"Fail",IF(M99="Amber",IF(H99="Jordan 2026",IF(YEAR(Settings!$F$8)&lt;2030,"Amber",IF(YEAR(Settings!$F$8)=2030,"Criteria required","Fail")),"Criteria required"),"Pass"))),IF(G99="Building equipment",IF(M99&lt;&gt;"Equipment","Criteria required",IF(K99=1,"Pass","Fail")),"Criteria required")))))))))</x:f>
      </x:c>
      <x:c r="V99" s="9" t="str">
        <x:f>IF(C99="","",IFERROR(INDEX('Taxonomy Rules'!$J$9:$J$20,MATCH(H99&amp;"::"&amp;G99,'Taxonomy Rules'!$C$9:$C$20,0)),0))</x:f>
      </x:c>
      <x:c r="W99" s="9" t="str">
        <x:f>IF(C99="","",COUNTIFS('Taxonomy Tests'!$D$9:$D$2008,C99,'Taxonomy Tests'!$Q$9:$Q$2008,"Complete"))</x:f>
      </x:c>
      <x:c r="X99" s="9" t="str">
        <x:f>IF(C99="","",COUNTIFS('Taxonomy Tests'!$D$9:$D$2008,C99,'Taxonomy Tests'!$P$9:$P$2008,"Fail"))</x:f>
      </x:c>
      <x:c r="Y99" s="9" t="str">
        <x:f>IF(C99="","",MAX(0,V99-W99)+COUNTIFS('Taxonomy Tests'!$D$9:$D$2008,C99,'Taxonomy Tests'!$R$9:$R$2008,"Duplicate test")+COUNTIFS('Taxonomy Tests'!$D$9:$D$2008,C99,'Taxonomy Tests'!$R$9:$R$2008,"Unexpected test"))</x:f>
      </x:c>
      <x:c r="Z99" s="9" t="str">
        <x:f>IF(C99="","",IF(X99&gt;0,"Fail",IF(AND(V99&gt;0,W99=V99,Y99=0,COUNTIF('Taxonomy Tests'!$D$9:$D$2008,C99)=V99),"Pass","Pending")))</x:f>
      </x:c>
      <x:c r="AA99" s="9" t="str">
        <x:f>IF(C99="","",IF(COUNTIF(Facilities!$C$9:$C$108,D99)&lt;&gt;1,"Facility key",IF(OR(NOT(ISNUMBER(N99)),N99&lt;0),"Amount required",IF(SUMIF($D$9:$D$108,D99,$N$9:$N$108)&gt;IFERROR(INDEX('Facilities'!$AA$9:$AA$108,MATCH(D99,'Facilities'!$C$9:$C$108,0)),"")+0.000001,"Overallocated",IF(N99=0,"No allocation",IF(O99="","Evidence required","Valid"))))))</x:f>
      </x:c>
      <x:c r="AB99" s="3" t="str">
        <x:f>IF(C99="","",IF(OR(U99="Fail",Z99="Fail"),IF(H99="Jordan 2026","Red / not aligned","Not eligible"),IF(OR(U99="Criteria required",V99=0),"Criteria required",IF(Z99&lt;&gt;"Pass","Pending",IF(U99="Amber","Amber",IF(H99="Jordan 2026","Green","Eligible (internal)"))))))</x:f>
      </x:c>
      <x:c r="AC99" s="9" t="str">
        <x:f>IF(C99="","",IF(T99="Rejected","Rejected",IF(OR(AB99="Red / not aligned",AB99="Not eligible"),"Not eligible",IF(OR(AH99&lt;&gt;"Current",T99&lt;&gt;"Approved",Z99&lt;&gt;"Pass",(COUNTIFS('Actions'!$D$9:$D$308,E99,'Actions'!$E$9:$E$308,"E&amp;S",'Actions'!$F$9:$F$308,"Critical",'Actions'!$P$9:$P$308,"&lt;&gt;Closed",'Actions'!$C$9:$C$308,"&lt;&gt;")+COUNTIFS('Actions'!$D$9:$D$308,E99,'Actions'!$E$9:$E$308,"Taxonomy",'Actions'!$F$9:$F$308,"Critical",'Actions'!$P$9:$P$308,"&lt;&gt;Closed",'Actions'!$C$9:$C$308,"&lt;&gt;")+COUNTIFS('ESG'!$C$9:$C$108,E99,'ESG'!$H$9:$H$108,"Yes"))&gt;0,AND(AB99&lt;&gt;"Green",AB99&lt;&gt;"Amber",AB99&lt;&gt;"Eligible (internal)")),"Pending",IF(AA99="No allocation","Activity only",IF(AA99&lt;&gt;"Valid","Pending","Approved"))))))</x:f>
      </x:c>
      <x:c r="AD99" s="21" t="str">
        <x:f>IF(C99="","",IF(AND(AC99="Approved",OR(AB99="Green",AB99="Eligible (internal)")),N99,0))</x:f>
      </x:c>
      <x:c r="AE99" s="21" t="str">
        <x:f>IF(C99="","",IF(AND(AC99="Approved",AB99="Amber"),N99,0))</x:f>
      </x:c>
      <x:c r="AF99" s="9" t="str">
        <x:f>IF(C99="","",IF((COUNTIFS('Actions'!$D$9:$D$308,E99,'Actions'!$E$9:$E$308,"E&amp;S",'Actions'!$F$9:$F$308,"Critical",'Actions'!$P$9:$P$308,"&lt;&gt;Closed",'Actions'!$C$9:$C$308,"&lt;&gt;")+COUNTIFS('Actions'!$D$9:$D$308,E99,'Actions'!$E$9:$E$308,"Taxonomy",'Actions'!$F$9:$F$308,"Critical",'Actions'!$P$9:$P$308,"&lt;&gt;Closed",'Actions'!$C$9:$C$308,"&lt;&gt;")+COUNTIFS('ESG'!$C$9:$C$108,E99,'ESG'!$H$9:$H$108,"Yes"))&gt;0,"Resolve critical E&amp;S / taxonomy issue",IF(AH99&lt;&gt;"Current",AH99,IF(Z99&lt;&gt;"Pass","Review individual tests",IF(U99="Criteria required","Sourced criteria / interpretation required",IF(AA99&lt;&gt;"Valid",AA99,IF(T99&lt;&gt;"Approved","Approval required",I99)))))))</x:f>
      </x:c>
      <x:c r="AG99" s="9" t="str">
        <x:f>IF(C99="","",IFERROR(INDEX('Taxonomy Rules'!$L$9:$L$20,MATCH(H99&amp;"::"&amp;G99,'Taxonomy Rules'!$C$9:$C$20,0)),"Unimplemented activity"))</x:f>
      </x:c>
      <x:c r="AH99" s="9" t="str">
        <x:f>IF(C99="","",IF(COUNTIF($C$9:$C$108,C99)&lt;&gt;1,"Duplicate ID",IF(OR(COUNTIF(Facilities!$C$9:$C$108,D99)&lt;&gt;1,COUNTIF(Borrowers!$C$9:$C$108,E99)&lt;&gt;1),"Key review",IF(OR(P99="",Q99="",P99=Q99,NOT(ISNUMBER(R99)),NOT(ISNUMBER(S99)),R99&gt;Settings!$F$8,S99&lt;R99),"Review required",IF(S99&lt;Settings!$F$8,"Expired","Current")))))</x:f>
      </x:c>
    </x:row>
    <x:row r="100" ht="26" customHeight="1">
      <x:c r="A100" s="1"/>
      <x:c r="B100" s="1"/>
      <x:c r="C100" s="8"/>
      <x:c r="D100" s="8"/>
      <x:c r="E100" s="9" t="str">
        <x:f>IF(C100="","",IFERROR(INDEX('Facilities'!$D$9:$D$108,MATCH(D100,'Facilities'!$C$9:$C$108,0)),""))</x:f>
      </x:c>
      <x:c r="F100" s="9" t="str">
        <x:f>IF(C100="","",IFERROR(INDEX('Borrowers'!$E$9:$E$108,MATCH(E100,'Borrowers'!$C$9:$C$108,0)),""))</x:f>
      </x:c>
      <x:c r="G100" s="9" t="str">
        <x:f>IF(C100="","",IFERROR(INDEX('Facilities'!$W$9:$W$108,MATCH(D100,'Facilities'!$C$9:$C$108,0)),""))</x:f>
      </x:c>
      <x:c r="H100" s="9" t="str">
        <x:f>IF(C100="","",Settings!$F$11)</x:f>
      </x:c>
      <x:c r="I100" s="3" t="str">
        <x:f>IF(C100="","",IF(H100="Jordan 2026",IF(F100="Jordan","Jordan taxonomy","Reference benchmark"),"Internal policy"))</x:f>
      </x:c>
      <x:c r="J100" s="8"/>
      <x:c r="K100" s="35"/>
      <x:c r="L100" s="35"/>
      <x:c r="M100" s="8"/>
      <x:c r="N100" s="16"/>
      <x:c r="O100" s="8"/>
      <x:c r="P100" s="8"/>
      <x:c r="Q100" s="8"/>
      <x:c r="R100" s="10"/>
      <x:c r="S100" s="10"/>
      <x:c r="T100" s="8"/>
      <x:c r="U100" s="9" t="str">
        <x:f>IF(C100="","",IF(V100=0,"Criteria required",IF(OR(NOT(ISNUMBER(J100)),J100&lt;1900,J100&gt;YEAR(Settings!$F$8),IFERROR(MOD(J100,1),1)&lt;&gt;0,NOT(ISNUMBER(K100)),K100&lt;0,AND(H100="Internal criteria",OR(G100="Cement",G100="Building renovation"),OR(NOT(ISNUMBER(IFERROR(INDEX('Taxonomy Rules'!$G$9:$G$20,MATCH(H100&amp;"::"&amp;G100,'Taxonomy Rules'!$C$9:$C$20,0)),0))),IFERROR(INDEX('Taxonomy Rules'!$G$9:$G$20,MATCH(H100&amp;"::"&amp;G100,'Taxonomy Rules'!$C$9:$C$20,0)),0)&lt;=0,AND(G100="Building renovation",IFERROR(INDEX('Taxonomy Rules'!$G$9:$G$20,MATCH(H100&amp;"::"&amp;G100,'Taxonomy Rules'!$C$9:$C$20,0)),0)&gt;1)))),"Criteria required",IF(G100="Solar PV",IF(M100&lt;&gt;"Eligible activity","Criteria required",IF(K100=1,"Pass","Fail")),IF(G100="Cement",IF(M100="Amber",IF(H100="Jordan 2026",IF(YEAR(Settings!$F$8)&lt;2040,"Amber","Fail"),"Criteria required"),IF(M100&lt;&gt;"Green","Criteria required",IF(H100="Jordan 2026",IF(IFERROR(INDEX('Taxonomy Rules'!$P$9:$P$14,MATCH(J100,'Taxonomy Rules'!$O$9:$O$14,0)),0)=0,"Criteria required",IF(K100&lt;=IFERROR(INDEX('Taxonomy Rules'!$P$9:$P$14,MATCH(J100,'Taxonomy Rules'!$O$9:$O$14,0)),0),"Pass","Fail")),IF(K100&lt;=IFERROR(INDEX('Taxonomy Rules'!$G$9:$G$20,MATCH(H100&amp;"::"&amp;G100,'Taxonomy Rules'!$C$9:$C$20,0)),0),"Pass","Fail")))),IF(G100="Building renovation",IF(M100="Whole building",IF(K100=1,"Pass","Fail"),IF(M100&lt;&gt;"Improvement","Criteria required",IF(OR(K100&gt;1,NOT(ISNUMBER(L100)),L100&lt;0,L100&gt;1),"Criteria required",IF(MAX(K100,L100)&lt;IFERROR(INDEX('Taxonomy Rules'!$G$9:$G$20,MATCH(H100&amp;"::"&amp;G100,'Taxonomy Rules'!$C$9:$C$20,0)),0),"Fail",IF(H100="Jordan 2026",IF(YEAR(Settings!$F$8)&lt;2035,"Amber",IF(YEAR(Settings!$F$8)=2035,"Criteria required","Fail")),"Pass"))))),IF(G100="Road freight",IF(M100&lt;&gt;"Zero emissions","Criteria required",IF(AND(K100=0,ISNUMBER(L100),L100=0),"Pass","Fail")),IF(G100="New building",IF(NOT(OR(M100="Green",M100="Amber")),"Criteria required",IF(K100&lt;&gt;1,"Fail",IF(M100="Amber",IF(H100="Jordan 2026",IF(YEAR(Settings!$F$8)&lt;2030,"Amber",IF(YEAR(Settings!$F$8)=2030,"Criteria required","Fail")),"Criteria required"),"Pass"))),IF(G100="Building equipment",IF(M100&lt;&gt;"Equipment","Criteria required",IF(K100=1,"Pass","Fail")),"Criteria required")))))))))</x:f>
      </x:c>
      <x:c r="V100" s="9" t="str">
        <x:f>IF(C100="","",IFERROR(INDEX('Taxonomy Rules'!$J$9:$J$20,MATCH(H100&amp;"::"&amp;G100,'Taxonomy Rules'!$C$9:$C$20,0)),0))</x:f>
      </x:c>
      <x:c r="W100" s="9" t="str">
        <x:f>IF(C100="","",COUNTIFS('Taxonomy Tests'!$D$9:$D$2008,C100,'Taxonomy Tests'!$Q$9:$Q$2008,"Complete"))</x:f>
      </x:c>
      <x:c r="X100" s="9" t="str">
        <x:f>IF(C100="","",COUNTIFS('Taxonomy Tests'!$D$9:$D$2008,C100,'Taxonomy Tests'!$P$9:$P$2008,"Fail"))</x:f>
      </x:c>
      <x:c r="Y100" s="9" t="str">
        <x:f>IF(C100="","",MAX(0,V100-W100)+COUNTIFS('Taxonomy Tests'!$D$9:$D$2008,C100,'Taxonomy Tests'!$R$9:$R$2008,"Duplicate test")+COUNTIFS('Taxonomy Tests'!$D$9:$D$2008,C100,'Taxonomy Tests'!$R$9:$R$2008,"Unexpected test"))</x:f>
      </x:c>
      <x:c r="Z100" s="9" t="str">
        <x:f>IF(C100="","",IF(X100&gt;0,"Fail",IF(AND(V100&gt;0,W100=V100,Y100=0,COUNTIF('Taxonomy Tests'!$D$9:$D$2008,C100)=V100),"Pass","Pending")))</x:f>
      </x:c>
      <x:c r="AA100" s="9" t="str">
        <x:f>IF(C100="","",IF(COUNTIF(Facilities!$C$9:$C$108,D100)&lt;&gt;1,"Facility key",IF(OR(NOT(ISNUMBER(N100)),N100&lt;0),"Amount required",IF(SUMIF($D$9:$D$108,D100,$N$9:$N$108)&gt;IFERROR(INDEX('Facilities'!$AA$9:$AA$108,MATCH(D100,'Facilities'!$C$9:$C$108,0)),"")+0.000001,"Overallocated",IF(N100=0,"No allocation",IF(O100="","Evidence required","Valid"))))))</x:f>
      </x:c>
      <x:c r="AB100" s="3" t="str">
        <x:f>IF(C100="","",IF(OR(U100="Fail",Z100="Fail"),IF(H100="Jordan 2026","Red / not aligned","Not eligible"),IF(OR(U100="Criteria required",V100=0),"Criteria required",IF(Z100&lt;&gt;"Pass","Pending",IF(U100="Amber","Amber",IF(H100="Jordan 2026","Green","Eligible (internal)"))))))</x:f>
      </x:c>
      <x:c r="AC100" s="9" t="str">
        <x:f>IF(C100="","",IF(T100="Rejected","Rejected",IF(OR(AB100="Red / not aligned",AB100="Not eligible"),"Not eligible",IF(OR(AH100&lt;&gt;"Current",T100&lt;&gt;"Approved",Z100&lt;&gt;"Pass",(COUNTIFS('Actions'!$D$9:$D$308,E100,'Actions'!$E$9:$E$308,"E&amp;S",'Actions'!$F$9:$F$308,"Critical",'Actions'!$P$9:$P$308,"&lt;&gt;Closed",'Actions'!$C$9:$C$308,"&lt;&gt;")+COUNTIFS('Actions'!$D$9:$D$308,E100,'Actions'!$E$9:$E$308,"Taxonomy",'Actions'!$F$9:$F$308,"Critical",'Actions'!$P$9:$P$308,"&lt;&gt;Closed",'Actions'!$C$9:$C$308,"&lt;&gt;")+COUNTIFS('ESG'!$C$9:$C$108,E100,'ESG'!$H$9:$H$108,"Yes"))&gt;0,AND(AB100&lt;&gt;"Green",AB100&lt;&gt;"Amber",AB100&lt;&gt;"Eligible (internal)")),"Pending",IF(AA100="No allocation","Activity only",IF(AA100&lt;&gt;"Valid","Pending","Approved"))))))</x:f>
      </x:c>
      <x:c r="AD100" s="21" t="str">
        <x:f>IF(C100="","",IF(AND(AC100="Approved",OR(AB100="Green",AB100="Eligible (internal)")),N100,0))</x:f>
      </x:c>
      <x:c r="AE100" s="21" t="str">
        <x:f>IF(C100="","",IF(AND(AC100="Approved",AB100="Amber"),N100,0))</x:f>
      </x:c>
      <x:c r="AF100" s="9" t="str">
        <x:f>IF(C100="","",IF((COUNTIFS('Actions'!$D$9:$D$308,E100,'Actions'!$E$9:$E$308,"E&amp;S",'Actions'!$F$9:$F$308,"Critical",'Actions'!$P$9:$P$308,"&lt;&gt;Closed",'Actions'!$C$9:$C$308,"&lt;&gt;")+COUNTIFS('Actions'!$D$9:$D$308,E100,'Actions'!$E$9:$E$308,"Taxonomy",'Actions'!$F$9:$F$308,"Critical",'Actions'!$P$9:$P$308,"&lt;&gt;Closed",'Actions'!$C$9:$C$308,"&lt;&gt;")+COUNTIFS('ESG'!$C$9:$C$108,E100,'ESG'!$H$9:$H$108,"Yes"))&gt;0,"Resolve critical E&amp;S / taxonomy issue",IF(AH100&lt;&gt;"Current",AH100,IF(Z100&lt;&gt;"Pass","Review individual tests",IF(U100="Criteria required","Sourced criteria / interpretation required",IF(AA100&lt;&gt;"Valid",AA100,IF(T100&lt;&gt;"Approved","Approval required",I100)))))))</x:f>
      </x:c>
      <x:c r="AG100" s="9" t="str">
        <x:f>IF(C100="","",IFERROR(INDEX('Taxonomy Rules'!$L$9:$L$20,MATCH(H100&amp;"::"&amp;G100,'Taxonomy Rules'!$C$9:$C$20,0)),"Unimplemented activity"))</x:f>
      </x:c>
      <x:c r="AH100" s="9" t="str">
        <x:f>IF(C100="","",IF(COUNTIF($C$9:$C$108,C100)&lt;&gt;1,"Duplicate ID",IF(OR(COUNTIF(Facilities!$C$9:$C$108,D100)&lt;&gt;1,COUNTIF(Borrowers!$C$9:$C$108,E100)&lt;&gt;1),"Key review",IF(OR(P100="",Q100="",P100=Q100,NOT(ISNUMBER(R100)),NOT(ISNUMBER(S100)),R100&gt;Settings!$F$8,S100&lt;R100),"Review required",IF(S100&lt;Settings!$F$8,"Expired","Current")))))</x:f>
      </x:c>
    </x:row>
    <x:row r="101" ht="26" customHeight="1">
      <x:c r="A101" s="1"/>
      <x:c r="B101" s="1"/>
      <x:c r="C101" s="8"/>
      <x:c r="D101" s="8"/>
      <x:c r="E101" s="9" t="str">
        <x:f>IF(C101="","",IFERROR(INDEX('Facilities'!$D$9:$D$108,MATCH(D101,'Facilities'!$C$9:$C$108,0)),""))</x:f>
      </x:c>
      <x:c r="F101" s="9" t="str">
        <x:f>IF(C101="","",IFERROR(INDEX('Borrowers'!$E$9:$E$108,MATCH(E101,'Borrowers'!$C$9:$C$108,0)),""))</x:f>
      </x:c>
      <x:c r="G101" s="9" t="str">
        <x:f>IF(C101="","",IFERROR(INDEX('Facilities'!$W$9:$W$108,MATCH(D101,'Facilities'!$C$9:$C$108,0)),""))</x:f>
      </x:c>
      <x:c r="H101" s="9" t="str">
        <x:f>IF(C101="","",Settings!$F$11)</x:f>
      </x:c>
      <x:c r="I101" s="3" t="str">
        <x:f>IF(C101="","",IF(H101="Jordan 2026",IF(F101="Jordan","Jordan taxonomy","Reference benchmark"),"Internal policy"))</x:f>
      </x:c>
      <x:c r="J101" s="8"/>
      <x:c r="K101" s="35"/>
      <x:c r="L101" s="35"/>
      <x:c r="M101" s="8"/>
      <x:c r="N101" s="16"/>
      <x:c r="O101" s="8"/>
      <x:c r="P101" s="8"/>
      <x:c r="Q101" s="8"/>
      <x:c r="R101" s="10"/>
      <x:c r="S101" s="10"/>
      <x:c r="T101" s="8"/>
      <x:c r="U101" s="9" t="str">
        <x:f>IF(C101="","",IF(V101=0,"Criteria required",IF(OR(NOT(ISNUMBER(J101)),J101&lt;1900,J101&gt;YEAR(Settings!$F$8),IFERROR(MOD(J101,1),1)&lt;&gt;0,NOT(ISNUMBER(K101)),K101&lt;0,AND(H101="Internal criteria",OR(G101="Cement",G101="Building renovation"),OR(NOT(ISNUMBER(IFERROR(INDEX('Taxonomy Rules'!$G$9:$G$20,MATCH(H101&amp;"::"&amp;G101,'Taxonomy Rules'!$C$9:$C$20,0)),0))),IFERROR(INDEX('Taxonomy Rules'!$G$9:$G$20,MATCH(H101&amp;"::"&amp;G101,'Taxonomy Rules'!$C$9:$C$20,0)),0)&lt;=0,AND(G101="Building renovation",IFERROR(INDEX('Taxonomy Rules'!$G$9:$G$20,MATCH(H101&amp;"::"&amp;G101,'Taxonomy Rules'!$C$9:$C$20,0)),0)&gt;1)))),"Criteria required",IF(G101="Solar PV",IF(M101&lt;&gt;"Eligible activity","Criteria required",IF(K101=1,"Pass","Fail")),IF(G101="Cement",IF(M101="Amber",IF(H101="Jordan 2026",IF(YEAR(Settings!$F$8)&lt;2040,"Amber","Fail"),"Criteria required"),IF(M101&lt;&gt;"Green","Criteria required",IF(H101="Jordan 2026",IF(IFERROR(INDEX('Taxonomy Rules'!$P$9:$P$14,MATCH(J101,'Taxonomy Rules'!$O$9:$O$14,0)),0)=0,"Criteria required",IF(K101&lt;=IFERROR(INDEX('Taxonomy Rules'!$P$9:$P$14,MATCH(J101,'Taxonomy Rules'!$O$9:$O$14,0)),0),"Pass","Fail")),IF(K101&lt;=IFERROR(INDEX('Taxonomy Rules'!$G$9:$G$20,MATCH(H101&amp;"::"&amp;G101,'Taxonomy Rules'!$C$9:$C$20,0)),0),"Pass","Fail")))),IF(G101="Building renovation",IF(M101="Whole building",IF(K101=1,"Pass","Fail"),IF(M101&lt;&gt;"Improvement","Criteria required",IF(OR(K101&gt;1,NOT(ISNUMBER(L101)),L101&lt;0,L101&gt;1),"Criteria required",IF(MAX(K101,L101)&lt;IFERROR(INDEX('Taxonomy Rules'!$G$9:$G$20,MATCH(H101&amp;"::"&amp;G101,'Taxonomy Rules'!$C$9:$C$20,0)),0),"Fail",IF(H101="Jordan 2026",IF(YEAR(Settings!$F$8)&lt;2035,"Amber",IF(YEAR(Settings!$F$8)=2035,"Criteria required","Fail")),"Pass"))))),IF(G101="Road freight",IF(M101&lt;&gt;"Zero emissions","Criteria required",IF(AND(K101=0,ISNUMBER(L101),L101=0),"Pass","Fail")),IF(G101="New building",IF(NOT(OR(M101="Green",M101="Amber")),"Criteria required",IF(K101&lt;&gt;1,"Fail",IF(M101="Amber",IF(H101="Jordan 2026",IF(YEAR(Settings!$F$8)&lt;2030,"Amber",IF(YEAR(Settings!$F$8)=2030,"Criteria required","Fail")),"Criteria required"),"Pass"))),IF(G101="Building equipment",IF(M101&lt;&gt;"Equipment","Criteria required",IF(K101=1,"Pass","Fail")),"Criteria required")))))))))</x:f>
      </x:c>
      <x:c r="V101" s="9" t="str">
        <x:f>IF(C101="","",IFERROR(INDEX('Taxonomy Rules'!$J$9:$J$20,MATCH(H101&amp;"::"&amp;G101,'Taxonomy Rules'!$C$9:$C$20,0)),0))</x:f>
      </x:c>
      <x:c r="W101" s="9" t="str">
        <x:f>IF(C101="","",COUNTIFS('Taxonomy Tests'!$D$9:$D$2008,C101,'Taxonomy Tests'!$Q$9:$Q$2008,"Complete"))</x:f>
      </x:c>
      <x:c r="X101" s="9" t="str">
        <x:f>IF(C101="","",COUNTIFS('Taxonomy Tests'!$D$9:$D$2008,C101,'Taxonomy Tests'!$P$9:$P$2008,"Fail"))</x:f>
      </x:c>
      <x:c r="Y101" s="9" t="str">
        <x:f>IF(C101="","",MAX(0,V101-W101)+COUNTIFS('Taxonomy Tests'!$D$9:$D$2008,C101,'Taxonomy Tests'!$R$9:$R$2008,"Duplicate test")+COUNTIFS('Taxonomy Tests'!$D$9:$D$2008,C101,'Taxonomy Tests'!$R$9:$R$2008,"Unexpected test"))</x:f>
      </x:c>
      <x:c r="Z101" s="9" t="str">
        <x:f>IF(C101="","",IF(X101&gt;0,"Fail",IF(AND(V101&gt;0,W101=V101,Y101=0,COUNTIF('Taxonomy Tests'!$D$9:$D$2008,C101)=V101),"Pass","Pending")))</x:f>
      </x:c>
      <x:c r="AA101" s="9" t="str">
        <x:f>IF(C101="","",IF(COUNTIF(Facilities!$C$9:$C$108,D101)&lt;&gt;1,"Facility key",IF(OR(NOT(ISNUMBER(N101)),N101&lt;0),"Amount required",IF(SUMIF($D$9:$D$108,D101,$N$9:$N$108)&gt;IFERROR(INDEX('Facilities'!$AA$9:$AA$108,MATCH(D101,'Facilities'!$C$9:$C$108,0)),"")+0.000001,"Overallocated",IF(N101=0,"No allocation",IF(O101="","Evidence required","Valid"))))))</x:f>
      </x:c>
      <x:c r="AB101" s="3" t="str">
        <x:f>IF(C101="","",IF(OR(U101="Fail",Z101="Fail"),IF(H101="Jordan 2026","Red / not aligned","Not eligible"),IF(OR(U101="Criteria required",V101=0),"Criteria required",IF(Z101&lt;&gt;"Pass","Pending",IF(U101="Amber","Amber",IF(H101="Jordan 2026","Green","Eligible (internal)"))))))</x:f>
      </x:c>
      <x:c r="AC101" s="9" t="str">
        <x:f>IF(C101="","",IF(T101="Rejected","Rejected",IF(OR(AB101="Red / not aligned",AB101="Not eligible"),"Not eligible",IF(OR(AH101&lt;&gt;"Current",T101&lt;&gt;"Approved",Z101&lt;&gt;"Pass",(COUNTIFS('Actions'!$D$9:$D$308,E101,'Actions'!$E$9:$E$308,"E&amp;S",'Actions'!$F$9:$F$308,"Critical",'Actions'!$P$9:$P$308,"&lt;&gt;Closed",'Actions'!$C$9:$C$308,"&lt;&gt;")+COUNTIFS('Actions'!$D$9:$D$308,E101,'Actions'!$E$9:$E$308,"Taxonomy",'Actions'!$F$9:$F$308,"Critical",'Actions'!$P$9:$P$308,"&lt;&gt;Closed",'Actions'!$C$9:$C$308,"&lt;&gt;")+COUNTIFS('ESG'!$C$9:$C$108,E101,'ESG'!$H$9:$H$108,"Yes"))&gt;0,AND(AB101&lt;&gt;"Green",AB101&lt;&gt;"Amber",AB101&lt;&gt;"Eligible (internal)")),"Pending",IF(AA101="No allocation","Activity only",IF(AA101&lt;&gt;"Valid","Pending","Approved"))))))</x:f>
      </x:c>
      <x:c r="AD101" s="21" t="str">
        <x:f>IF(C101="","",IF(AND(AC101="Approved",OR(AB101="Green",AB101="Eligible (internal)")),N101,0))</x:f>
      </x:c>
      <x:c r="AE101" s="21" t="str">
        <x:f>IF(C101="","",IF(AND(AC101="Approved",AB101="Amber"),N101,0))</x:f>
      </x:c>
      <x:c r="AF101" s="9" t="str">
        <x:f>IF(C101="","",IF((COUNTIFS('Actions'!$D$9:$D$308,E101,'Actions'!$E$9:$E$308,"E&amp;S",'Actions'!$F$9:$F$308,"Critical",'Actions'!$P$9:$P$308,"&lt;&gt;Closed",'Actions'!$C$9:$C$308,"&lt;&gt;")+COUNTIFS('Actions'!$D$9:$D$308,E101,'Actions'!$E$9:$E$308,"Taxonomy",'Actions'!$F$9:$F$308,"Critical",'Actions'!$P$9:$P$308,"&lt;&gt;Closed",'Actions'!$C$9:$C$308,"&lt;&gt;")+COUNTIFS('ESG'!$C$9:$C$108,E101,'ESG'!$H$9:$H$108,"Yes"))&gt;0,"Resolve critical E&amp;S / taxonomy issue",IF(AH101&lt;&gt;"Current",AH101,IF(Z101&lt;&gt;"Pass","Review individual tests",IF(U101="Criteria required","Sourced criteria / interpretation required",IF(AA101&lt;&gt;"Valid",AA101,IF(T101&lt;&gt;"Approved","Approval required",I101)))))))</x:f>
      </x:c>
      <x:c r="AG101" s="9" t="str">
        <x:f>IF(C101="","",IFERROR(INDEX('Taxonomy Rules'!$L$9:$L$20,MATCH(H101&amp;"::"&amp;G101,'Taxonomy Rules'!$C$9:$C$20,0)),"Unimplemented activity"))</x:f>
      </x:c>
      <x:c r="AH101" s="9" t="str">
        <x:f>IF(C101="","",IF(COUNTIF($C$9:$C$108,C101)&lt;&gt;1,"Duplicate ID",IF(OR(COUNTIF(Facilities!$C$9:$C$108,D101)&lt;&gt;1,COUNTIF(Borrowers!$C$9:$C$108,E101)&lt;&gt;1),"Key review",IF(OR(P101="",Q101="",P101=Q101,NOT(ISNUMBER(R101)),NOT(ISNUMBER(S101)),R101&gt;Settings!$F$8,S101&lt;R101),"Review required",IF(S101&lt;Settings!$F$8,"Expired","Current")))))</x:f>
      </x:c>
    </x:row>
    <x:row r="102" ht="26" customHeight="1">
      <x:c r="A102" s="1"/>
      <x:c r="B102" s="1"/>
      <x:c r="C102" s="8"/>
      <x:c r="D102" s="8"/>
      <x:c r="E102" s="9" t="str">
        <x:f>IF(C102="","",IFERROR(INDEX('Facilities'!$D$9:$D$108,MATCH(D102,'Facilities'!$C$9:$C$108,0)),""))</x:f>
      </x:c>
      <x:c r="F102" s="9" t="str">
        <x:f>IF(C102="","",IFERROR(INDEX('Borrowers'!$E$9:$E$108,MATCH(E102,'Borrowers'!$C$9:$C$108,0)),""))</x:f>
      </x:c>
      <x:c r="G102" s="9" t="str">
        <x:f>IF(C102="","",IFERROR(INDEX('Facilities'!$W$9:$W$108,MATCH(D102,'Facilities'!$C$9:$C$108,0)),""))</x:f>
      </x:c>
      <x:c r="H102" s="9" t="str">
        <x:f>IF(C102="","",Settings!$F$11)</x:f>
      </x:c>
      <x:c r="I102" s="3" t="str">
        <x:f>IF(C102="","",IF(H102="Jordan 2026",IF(F102="Jordan","Jordan taxonomy","Reference benchmark"),"Internal policy"))</x:f>
      </x:c>
      <x:c r="J102" s="8"/>
      <x:c r="K102" s="35"/>
      <x:c r="L102" s="35"/>
      <x:c r="M102" s="8"/>
      <x:c r="N102" s="16"/>
      <x:c r="O102" s="8"/>
      <x:c r="P102" s="8"/>
      <x:c r="Q102" s="8"/>
      <x:c r="R102" s="10"/>
      <x:c r="S102" s="10"/>
      <x:c r="T102" s="8"/>
      <x:c r="U102" s="9" t="str">
        <x:f>IF(C102="","",IF(V102=0,"Criteria required",IF(OR(NOT(ISNUMBER(J102)),J102&lt;1900,J102&gt;YEAR(Settings!$F$8),IFERROR(MOD(J102,1),1)&lt;&gt;0,NOT(ISNUMBER(K102)),K102&lt;0,AND(H102="Internal criteria",OR(G102="Cement",G102="Building renovation"),OR(NOT(ISNUMBER(IFERROR(INDEX('Taxonomy Rules'!$G$9:$G$20,MATCH(H102&amp;"::"&amp;G102,'Taxonomy Rules'!$C$9:$C$20,0)),0))),IFERROR(INDEX('Taxonomy Rules'!$G$9:$G$20,MATCH(H102&amp;"::"&amp;G102,'Taxonomy Rules'!$C$9:$C$20,0)),0)&lt;=0,AND(G102="Building renovation",IFERROR(INDEX('Taxonomy Rules'!$G$9:$G$20,MATCH(H102&amp;"::"&amp;G102,'Taxonomy Rules'!$C$9:$C$20,0)),0)&gt;1)))),"Criteria required",IF(G102="Solar PV",IF(M102&lt;&gt;"Eligible activity","Criteria required",IF(K102=1,"Pass","Fail")),IF(G102="Cement",IF(M102="Amber",IF(H102="Jordan 2026",IF(YEAR(Settings!$F$8)&lt;2040,"Amber","Fail"),"Criteria required"),IF(M102&lt;&gt;"Green","Criteria required",IF(H102="Jordan 2026",IF(IFERROR(INDEX('Taxonomy Rules'!$P$9:$P$14,MATCH(J102,'Taxonomy Rules'!$O$9:$O$14,0)),0)=0,"Criteria required",IF(K102&lt;=IFERROR(INDEX('Taxonomy Rules'!$P$9:$P$14,MATCH(J102,'Taxonomy Rules'!$O$9:$O$14,0)),0),"Pass","Fail")),IF(K102&lt;=IFERROR(INDEX('Taxonomy Rules'!$G$9:$G$20,MATCH(H102&amp;"::"&amp;G102,'Taxonomy Rules'!$C$9:$C$20,0)),0),"Pass","Fail")))),IF(G102="Building renovation",IF(M102="Whole building",IF(K102=1,"Pass","Fail"),IF(M102&lt;&gt;"Improvement","Criteria required",IF(OR(K102&gt;1,NOT(ISNUMBER(L102)),L102&lt;0,L102&gt;1),"Criteria required",IF(MAX(K102,L102)&lt;IFERROR(INDEX('Taxonomy Rules'!$G$9:$G$20,MATCH(H102&amp;"::"&amp;G102,'Taxonomy Rules'!$C$9:$C$20,0)),0),"Fail",IF(H102="Jordan 2026",IF(YEAR(Settings!$F$8)&lt;2035,"Amber",IF(YEAR(Settings!$F$8)=2035,"Criteria required","Fail")),"Pass"))))),IF(G102="Road freight",IF(M102&lt;&gt;"Zero emissions","Criteria required",IF(AND(K102=0,ISNUMBER(L102),L102=0),"Pass","Fail")),IF(G102="New building",IF(NOT(OR(M102="Green",M102="Amber")),"Criteria required",IF(K102&lt;&gt;1,"Fail",IF(M102="Amber",IF(H102="Jordan 2026",IF(YEAR(Settings!$F$8)&lt;2030,"Amber",IF(YEAR(Settings!$F$8)=2030,"Criteria required","Fail")),"Criteria required"),"Pass"))),IF(G102="Building equipment",IF(M102&lt;&gt;"Equipment","Criteria required",IF(K102=1,"Pass","Fail")),"Criteria required")))))))))</x:f>
      </x:c>
      <x:c r="V102" s="9" t="str">
        <x:f>IF(C102="","",IFERROR(INDEX('Taxonomy Rules'!$J$9:$J$20,MATCH(H102&amp;"::"&amp;G102,'Taxonomy Rules'!$C$9:$C$20,0)),0))</x:f>
      </x:c>
      <x:c r="W102" s="9" t="str">
        <x:f>IF(C102="","",COUNTIFS('Taxonomy Tests'!$D$9:$D$2008,C102,'Taxonomy Tests'!$Q$9:$Q$2008,"Complete"))</x:f>
      </x:c>
      <x:c r="X102" s="9" t="str">
        <x:f>IF(C102="","",COUNTIFS('Taxonomy Tests'!$D$9:$D$2008,C102,'Taxonomy Tests'!$P$9:$P$2008,"Fail"))</x:f>
      </x:c>
      <x:c r="Y102" s="9" t="str">
        <x:f>IF(C102="","",MAX(0,V102-W102)+COUNTIFS('Taxonomy Tests'!$D$9:$D$2008,C102,'Taxonomy Tests'!$R$9:$R$2008,"Duplicate test")+COUNTIFS('Taxonomy Tests'!$D$9:$D$2008,C102,'Taxonomy Tests'!$R$9:$R$2008,"Unexpected test"))</x:f>
      </x:c>
      <x:c r="Z102" s="9" t="str">
        <x:f>IF(C102="","",IF(X102&gt;0,"Fail",IF(AND(V102&gt;0,W102=V102,Y102=0,COUNTIF('Taxonomy Tests'!$D$9:$D$2008,C102)=V102),"Pass","Pending")))</x:f>
      </x:c>
      <x:c r="AA102" s="9" t="str">
        <x:f>IF(C102="","",IF(COUNTIF(Facilities!$C$9:$C$108,D102)&lt;&gt;1,"Facility key",IF(OR(NOT(ISNUMBER(N102)),N102&lt;0),"Amount required",IF(SUMIF($D$9:$D$108,D102,$N$9:$N$108)&gt;IFERROR(INDEX('Facilities'!$AA$9:$AA$108,MATCH(D102,'Facilities'!$C$9:$C$108,0)),"")+0.000001,"Overallocated",IF(N102=0,"No allocation",IF(O102="","Evidence required","Valid"))))))</x:f>
      </x:c>
      <x:c r="AB102" s="3" t="str">
        <x:f>IF(C102="","",IF(OR(U102="Fail",Z102="Fail"),IF(H102="Jordan 2026","Red / not aligned","Not eligible"),IF(OR(U102="Criteria required",V102=0),"Criteria required",IF(Z102&lt;&gt;"Pass","Pending",IF(U102="Amber","Amber",IF(H102="Jordan 2026","Green","Eligible (internal)"))))))</x:f>
      </x:c>
      <x:c r="AC102" s="9" t="str">
        <x:f>IF(C102="","",IF(T102="Rejected","Rejected",IF(OR(AB102="Red / not aligned",AB102="Not eligible"),"Not eligible",IF(OR(AH102&lt;&gt;"Current",T102&lt;&gt;"Approved",Z102&lt;&gt;"Pass",(COUNTIFS('Actions'!$D$9:$D$308,E102,'Actions'!$E$9:$E$308,"E&amp;S",'Actions'!$F$9:$F$308,"Critical",'Actions'!$P$9:$P$308,"&lt;&gt;Closed",'Actions'!$C$9:$C$308,"&lt;&gt;")+COUNTIFS('Actions'!$D$9:$D$308,E102,'Actions'!$E$9:$E$308,"Taxonomy",'Actions'!$F$9:$F$308,"Critical",'Actions'!$P$9:$P$308,"&lt;&gt;Closed",'Actions'!$C$9:$C$308,"&lt;&gt;")+COUNTIFS('ESG'!$C$9:$C$108,E102,'ESG'!$H$9:$H$108,"Yes"))&gt;0,AND(AB102&lt;&gt;"Green",AB102&lt;&gt;"Amber",AB102&lt;&gt;"Eligible (internal)")),"Pending",IF(AA102="No allocation","Activity only",IF(AA102&lt;&gt;"Valid","Pending","Approved"))))))</x:f>
      </x:c>
      <x:c r="AD102" s="21" t="str">
        <x:f>IF(C102="","",IF(AND(AC102="Approved",OR(AB102="Green",AB102="Eligible (internal)")),N102,0))</x:f>
      </x:c>
      <x:c r="AE102" s="21" t="str">
        <x:f>IF(C102="","",IF(AND(AC102="Approved",AB102="Amber"),N102,0))</x:f>
      </x:c>
      <x:c r="AF102" s="9" t="str">
        <x:f>IF(C102="","",IF((COUNTIFS('Actions'!$D$9:$D$308,E102,'Actions'!$E$9:$E$308,"E&amp;S",'Actions'!$F$9:$F$308,"Critical",'Actions'!$P$9:$P$308,"&lt;&gt;Closed",'Actions'!$C$9:$C$308,"&lt;&gt;")+COUNTIFS('Actions'!$D$9:$D$308,E102,'Actions'!$E$9:$E$308,"Taxonomy",'Actions'!$F$9:$F$308,"Critical",'Actions'!$P$9:$P$308,"&lt;&gt;Closed",'Actions'!$C$9:$C$308,"&lt;&gt;")+COUNTIFS('ESG'!$C$9:$C$108,E102,'ESG'!$H$9:$H$108,"Yes"))&gt;0,"Resolve critical E&amp;S / taxonomy issue",IF(AH102&lt;&gt;"Current",AH102,IF(Z102&lt;&gt;"Pass","Review individual tests",IF(U102="Criteria required","Sourced criteria / interpretation required",IF(AA102&lt;&gt;"Valid",AA102,IF(T102&lt;&gt;"Approved","Approval required",I102)))))))</x:f>
      </x:c>
      <x:c r="AG102" s="9" t="str">
        <x:f>IF(C102="","",IFERROR(INDEX('Taxonomy Rules'!$L$9:$L$20,MATCH(H102&amp;"::"&amp;G102,'Taxonomy Rules'!$C$9:$C$20,0)),"Unimplemented activity"))</x:f>
      </x:c>
      <x:c r="AH102" s="9" t="str">
        <x:f>IF(C102="","",IF(COUNTIF($C$9:$C$108,C102)&lt;&gt;1,"Duplicate ID",IF(OR(COUNTIF(Facilities!$C$9:$C$108,D102)&lt;&gt;1,COUNTIF(Borrowers!$C$9:$C$108,E102)&lt;&gt;1),"Key review",IF(OR(P102="",Q102="",P102=Q102,NOT(ISNUMBER(R102)),NOT(ISNUMBER(S102)),R102&gt;Settings!$F$8,S102&lt;R102),"Review required",IF(S102&lt;Settings!$F$8,"Expired","Current")))))</x:f>
      </x:c>
    </x:row>
    <x:row r="103" ht="26" customHeight="1">
      <x:c r="A103" s="1"/>
      <x:c r="B103" s="1"/>
      <x:c r="C103" s="8"/>
      <x:c r="D103" s="8"/>
      <x:c r="E103" s="9" t="str">
        <x:f>IF(C103="","",IFERROR(INDEX('Facilities'!$D$9:$D$108,MATCH(D103,'Facilities'!$C$9:$C$108,0)),""))</x:f>
      </x:c>
      <x:c r="F103" s="9" t="str">
        <x:f>IF(C103="","",IFERROR(INDEX('Borrowers'!$E$9:$E$108,MATCH(E103,'Borrowers'!$C$9:$C$108,0)),""))</x:f>
      </x:c>
      <x:c r="G103" s="9" t="str">
        <x:f>IF(C103="","",IFERROR(INDEX('Facilities'!$W$9:$W$108,MATCH(D103,'Facilities'!$C$9:$C$108,0)),""))</x:f>
      </x:c>
      <x:c r="H103" s="9" t="str">
        <x:f>IF(C103="","",Settings!$F$11)</x:f>
      </x:c>
      <x:c r="I103" s="3" t="str">
        <x:f>IF(C103="","",IF(H103="Jordan 2026",IF(F103="Jordan","Jordan taxonomy","Reference benchmark"),"Internal policy"))</x:f>
      </x:c>
      <x:c r="J103" s="8"/>
      <x:c r="K103" s="35"/>
      <x:c r="L103" s="35"/>
      <x:c r="M103" s="8"/>
      <x:c r="N103" s="16"/>
      <x:c r="O103" s="8"/>
      <x:c r="P103" s="8"/>
      <x:c r="Q103" s="8"/>
      <x:c r="R103" s="10"/>
      <x:c r="S103" s="10"/>
      <x:c r="T103" s="8"/>
      <x:c r="U103" s="9" t="str">
        <x:f>IF(C103="","",IF(V103=0,"Criteria required",IF(OR(NOT(ISNUMBER(J103)),J103&lt;1900,J103&gt;YEAR(Settings!$F$8),IFERROR(MOD(J103,1),1)&lt;&gt;0,NOT(ISNUMBER(K103)),K103&lt;0,AND(H103="Internal criteria",OR(G103="Cement",G103="Building renovation"),OR(NOT(ISNUMBER(IFERROR(INDEX('Taxonomy Rules'!$G$9:$G$20,MATCH(H103&amp;"::"&amp;G103,'Taxonomy Rules'!$C$9:$C$20,0)),0))),IFERROR(INDEX('Taxonomy Rules'!$G$9:$G$20,MATCH(H103&amp;"::"&amp;G103,'Taxonomy Rules'!$C$9:$C$20,0)),0)&lt;=0,AND(G103="Building renovation",IFERROR(INDEX('Taxonomy Rules'!$G$9:$G$20,MATCH(H103&amp;"::"&amp;G103,'Taxonomy Rules'!$C$9:$C$20,0)),0)&gt;1)))),"Criteria required",IF(G103="Solar PV",IF(M103&lt;&gt;"Eligible activity","Criteria required",IF(K103=1,"Pass","Fail")),IF(G103="Cement",IF(M103="Amber",IF(H103="Jordan 2026",IF(YEAR(Settings!$F$8)&lt;2040,"Amber","Fail"),"Criteria required"),IF(M103&lt;&gt;"Green","Criteria required",IF(H103="Jordan 2026",IF(IFERROR(INDEX('Taxonomy Rules'!$P$9:$P$14,MATCH(J103,'Taxonomy Rules'!$O$9:$O$14,0)),0)=0,"Criteria required",IF(K103&lt;=IFERROR(INDEX('Taxonomy Rules'!$P$9:$P$14,MATCH(J103,'Taxonomy Rules'!$O$9:$O$14,0)),0),"Pass","Fail")),IF(K103&lt;=IFERROR(INDEX('Taxonomy Rules'!$G$9:$G$20,MATCH(H103&amp;"::"&amp;G103,'Taxonomy Rules'!$C$9:$C$20,0)),0),"Pass","Fail")))),IF(G103="Building renovation",IF(M103="Whole building",IF(K103=1,"Pass","Fail"),IF(M103&lt;&gt;"Improvement","Criteria required",IF(OR(K103&gt;1,NOT(ISNUMBER(L103)),L103&lt;0,L103&gt;1),"Criteria required",IF(MAX(K103,L103)&lt;IFERROR(INDEX('Taxonomy Rules'!$G$9:$G$20,MATCH(H103&amp;"::"&amp;G103,'Taxonomy Rules'!$C$9:$C$20,0)),0),"Fail",IF(H103="Jordan 2026",IF(YEAR(Settings!$F$8)&lt;2035,"Amber",IF(YEAR(Settings!$F$8)=2035,"Criteria required","Fail")),"Pass"))))),IF(G103="Road freight",IF(M103&lt;&gt;"Zero emissions","Criteria required",IF(AND(K103=0,ISNUMBER(L103),L103=0),"Pass","Fail")),IF(G103="New building",IF(NOT(OR(M103="Green",M103="Amber")),"Criteria required",IF(K103&lt;&gt;1,"Fail",IF(M103="Amber",IF(H103="Jordan 2026",IF(YEAR(Settings!$F$8)&lt;2030,"Amber",IF(YEAR(Settings!$F$8)=2030,"Criteria required","Fail")),"Criteria required"),"Pass"))),IF(G103="Building equipment",IF(M103&lt;&gt;"Equipment","Criteria required",IF(K103=1,"Pass","Fail")),"Criteria required")))))))))</x:f>
      </x:c>
      <x:c r="V103" s="9" t="str">
        <x:f>IF(C103="","",IFERROR(INDEX('Taxonomy Rules'!$J$9:$J$20,MATCH(H103&amp;"::"&amp;G103,'Taxonomy Rules'!$C$9:$C$20,0)),0))</x:f>
      </x:c>
      <x:c r="W103" s="9" t="str">
        <x:f>IF(C103="","",COUNTIFS('Taxonomy Tests'!$D$9:$D$2008,C103,'Taxonomy Tests'!$Q$9:$Q$2008,"Complete"))</x:f>
      </x:c>
      <x:c r="X103" s="9" t="str">
        <x:f>IF(C103="","",COUNTIFS('Taxonomy Tests'!$D$9:$D$2008,C103,'Taxonomy Tests'!$P$9:$P$2008,"Fail"))</x:f>
      </x:c>
      <x:c r="Y103" s="9" t="str">
        <x:f>IF(C103="","",MAX(0,V103-W103)+COUNTIFS('Taxonomy Tests'!$D$9:$D$2008,C103,'Taxonomy Tests'!$R$9:$R$2008,"Duplicate test")+COUNTIFS('Taxonomy Tests'!$D$9:$D$2008,C103,'Taxonomy Tests'!$R$9:$R$2008,"Unexpected test"))</x:f>
      </x:c>
      <x:c r="Z103" s="9" t="str">
        <x:f>IF(C103="","",IF(X103&gt;0,"Fail",IF(AND(V103&gt;0,W103=V103,Y103=0,COUNTIF('Taxonomy Tests'!$D$9:$D$2008,C103)=V103),"Pass","Pending")))</x:f>
      </x:c>
      <x:c r="AA103" s="9" t="str">
        <x:f>IF(C103="","",IF(COUNTIF(Facilities!$C$9:$C$108,D103)&lt;&gt;1,"Facility key",IF(OR(NOT(ISNUMBER(N103)),N103&lt;0),"Amount required",IF(SUMIF($D$9:$D$108,D103,$N$9:$N$108)&gt;IFERROR(INDEX('Facilities'!$AA$9:$AA$108,MATCH(D103,'Facilities'!$C$9:$C$108,0)),"")+0.000001,"Overallocated",IF(N103=0,"No allocation",IF(O103="","Evidence required","Valid"))))))</x:f>
      </x:c>
      <x:c r="AB103" s="3" t="str">
        <x:f>IF(C103="","",IF(OR(U103="Fail",Z103="Fail"),IF(H103="Jordan 2026","Red / not aligned","Not eligible"),IF(OR(U103="Criteria required",V103=0),"Criteria required",IF(Z103&lt;&gt;"Pass","Pending",IF(U103="Amber","Amber",IF(H103="Jordan 2026","Green","Eligible (internal)"))))))</x:f>
      </x:c>
      <x:c r="AC103" s="9" t="str">
        <x:f>IF(C103="","",IF(T103="Rejected","Rejected",IF(OR(AB103="Red / not aligned",AB103="Not eligible"),"Not eligible",IF(OR(AH103&lt;&gt;"Current",T103&lt;&gt;"Approved",Z103&lt;&gt;"Pass",(COUNTIFS('Actions'!$D$9:$D$308,E103,'Actions'!$E$9:$E$308,"E&amp;S",'Actions'!$F$9:$F$308,"Critical",'Actions'!$P$9:$P$308,"&lt;&gt;Closed",'Actions'!$C$9:$C$308,"&lt;&gt;")+COUNTIFS('Actions'!$D$9:$D$308,E103,'Actions'!$E$9:$E$308,"Taxonomy",'Actions'!$F$9:$F$308,"Critical",'Actions'!$P$9:$P$308,"&lt;&gt;Closed",'Actions'!$C$9:$C$308,"&lt;&gt;")+COUNTIFS('ESG'!$C$9:$C$108,E103,'ESG'!$H$9:$H$108,"Yes"))&gt;0,AND(AB103&lt;&gt;"Green",AB103&lt;&gt;"Amber",AB103&lt;&gt;"Eligible (internal)")),"Pending",IF(AA103="No allocation","Activity only",IF(AA103&lt;&gt;"Valid","Pending","Approved"))))))</x:f>
      </x:c>
      <x:c r="AD103" s="21" t="str">
        <x:f>IF(C103="","",IF(AND(AC103="Approved",OR(AB103="Green",AB103="Eligible (internal)")),N103,0))</x:f>
      </x:c>
      <x:c r="AE103" s="21" t="str">
        <x:f>IF(C103="","",IF(AND(AC103="Approved",AB103="Amber"),N103,0))</x:f>
      </x:c>
      <x:c r="AF103" s="9" t="str">
        <x:f>IF(C103="","",IF((COUNTIFS('Actions'!$D$9:$D$308,E103,'Actions'!$E$9:$E$308,"E&amp;S",'Actions'!$F$9:$F$308,"Critical",'Actions'!$P$9:$P$308,"&lt;&gt;Closed",'Actions'!$C$9:$C$308,"&lt;&gt;")+COUNTIFS('Actions'!$D$9:$D$308,E103,'Actions'!$E$9:$E$308,"Taxonomy",'Actions'!$F$9:$F$308,"Critical",'Actions'!$P$9:$P$308,"&lt;&gt;Closed",'Actions'!$C$9:$C$308,"&lt;&gt;")+COUNTIFS('ESG'!$C$9:$C$108,E103,'ESG'!$H$9:$H$108,"Yes"))&gt;0,"Resolve critical E&amp;S / taxonomy issue",IF(AH103&lt;&gt;"Current",AH103,IF(Z103&lt;&gt;"Pass","Review individual tests",IF(U103="Criteria required","Sourced criteria / interpretation required",IF(AA103&lt;&gt;"Valid",AA103,IF(T103&lt;&gt;"Approved","Approval required",I103)))))))</x:f>
      </x:c>
      <x:c r="AG103" s="9" t="str">
        <x:f>IF(C103="","",IFERROR(INDEX('Taxonomy Rules'!$L$9:$L$20,MATCH(H103&amp;"::"&amp;G103,'Taxonomy Rules'!$C$9:$C$20,0)),"Unimplemented activity"))</x:f>
      </x:c>
      <x:c r="AH103" s="9" t="str">
        <x:f>IF(C103="","",IF(COUNTIF($C$9:$C$108,C103)&lt;&gt;1,"Duplicate ID",IF(OR(COUNTIF(Facilities!$C$9:$C$108,D103)&lt;&gt;1,COUNTIF(Borrowers!$C$9:$C$108,E103)&lt;&gt;1),"Key review",IF(OR(P103="",Q103="",P103=Q103,NOT(ISNUMBER(R103)),NOT(ISNUMBER(S103)),R103&gt;Settings!$F$8,S103&lt;R103),"Review required",IF(S103&lt;Settings!$F$8,"Expired","Current")))))</x:f>
      </x:c>
    </x:row>
    <x:row r="104" ht="26" customHeight="1">
      <x:c r="A104" s="1"/>
      <x:c r="B104" s="1"/>
      <x:c r="C104" s="8"/>
      <x:c r="D104" s="8"/>
      <x:c r="E104" s="9" t="str">
        <x:f>IF(C104="","",IFERROR(INDEX('Facilities'!$D$9:$D$108,MATCH(D104,'Facilities'!$C$9:$C$108,0)),""))</x:f>
      </x:c>
      <x:c r="F104" s="9" t="str">
        <x:f>IF(C104="","",IFERROR(INDEX('Borrowers'!$E$9:$E$108,MATCH(E104,'Borrowers'!$C$9:$C$108,0)),""))</x:f>
      </x:c>
      <x:c r="G104" s="9" t="str">
        <x:f>IF(C104="","",IFERROR(INDEX('Facilities'!$W$9:$W$108,MATCH(D104,'Facilities'!$C$9:$C$108,0)),""))</x:f>
      </x:c>
      <x:c r="H104" s="9" t="str">
        <x:f>IF(C104="","",Settings!$F$11)</x:f>
      </x:c>
      <x:c r="I104" s="3" t="str">
        <x:f>IF(C104="","",IF(H104="Jordan 2026",IF(F104="Jordan","Jordan taxonomy","Reference benchmark"),"Internal policy"))</x:f>
      </x:c>
      <x:c r="J104" s="8"/>
      <x:c r="K104" s="35"/>
      <x:c r="L104" s="35"/>
      <x:c r="M104" s="8"/>
      <x:c r="N104" s="16"/>
      <x:c r="O104" s="8"/>
      <x:c r="P104" s="8"/>
      <x:c r="Q104" s="8"/>
      <x:c r="R104" s="10"/>
      <x:c r="S104" s="10"/>
      <x:c r="T104" s="8"/>
      <x:c r="U104" s="9" t="str">
        <x:f>IF(C104="","",IF(V104=0,"Criteria required",IF(OR(NOT(ISNUMBER(J104)),J104&lt;1900,J104&gt;YEAR(Settings!$F$8),IFERROR(MOD(J104,1),1)&lt;&gt;0,NOT(ISNUMBER(K104)),K104&lt;0,AND(H104="Internal criteria",OR(G104="Cement",G104="Building renovation"),OR(NOT(ISNUMBER(IFERROR(INDEX('Taxonomy Rules'!$G$9:$G$20,MATCH(H104&amp;"::"&amp;G104,'Taxonomy Rules'!$C$9:$C$20,0)),0))),IFERROR(INDEX('Taxonomy Rules'!$G$9:$G$20,MATCH(H104&amp;"::"&amp;G104,'Taxonomy Rules'!$C$9:$C$20,0)),0)&lt;=0,AND(G104="Building renovation",IFERROR(INDEX('Taxonomy Rules'!$G$9:$G$20,MATCH(H104&amp;"::"&amp;G104,'Taxonomy Rules'!$C$9:$C$20,0)),0)&gt;1)))),"Criteria required",IF(G104="Solar PV",IF(M104&lt;&gt;"Eligible activity","Criteria required",IF(K104=1,"Pass","Fail")),IF(G104="Cement",IF(M104="Amber",IF(H104="Jordan 2026",IF(YEAR(Settings!$F$8)&lt;2040,"Amber","Fail"),"Criteria required"),IF(M104&lt;&gt;"Green","Criteria required",IF(H104="Jordan 2026",IF(IFERROR(INDEX('Taxonomy Rules'!$P$9:$P$14,MATCH(J104,'Taxonomy Rules'!$O$9:$O$14,0)),0)=0,"Criteria required",IF(K104&lt;=IFERROR(INDEX('Taxonomy Rules'!$P$9:$P$14,MATCH(J104,'Taxonomy Rules'!$O$9:$O$14,0)),0),"Pass","Fail")),IF(K104&lt;=IFERROR(INDEX('Taxonomy Rules'!$G$9:$G$20,MATCH(H104&amp;"::"&amp;G104,'Taxonomy Rules'!$C$9:$C$20,0)),0),"Pass","Fail")))),IF(G104="Building renovation",IF(M104="Whole building",IF(K104=1,"Pass","Fail"),IF(M104&lt;&gt;"Improvement","Criteria required",IF(OR(K104&gt;1,NOT(ISNUMBER(L104)),L104&lt;0,L104&gt;1),"Criteria required",IF(MAX(K104,L104)&lt;IFERROR(INDEX('Taxonomy Rules'!$G$9:$G$20,MATCH(H104&amp;"::"&amp;G104,'Taxonomy Rules'!$C$9:$C$20,0)),0),"Fail",IF(H104="Jordan 2026",IF(YEAR(Settings!$F$8)&lt;2035,"Amber",IF(YEAR(Settings!$F$8)=2035,"Criteria required","Fail")),"Pass"))))),IF(G104="Road freight",IF(M104&lt;&gt;"Zero emissions","Criteria required",IF(AND(K104=0,ISNUMBER(L104),L104=0),"Pass","Fail")),IF(G104="New building",IF(NOT(OR(M104="Green",M104="Amber")),"Criteria required",IF(K104&lt;&gt;1,"Fail",IF(M104="Amber",IF(H104="Jordan 2026",IF(YEAR(Settings!$F$8)&lt;2030,"Amber",IF(YEAR(Settings!$F$8)=2030,"Criteria required","Fail")),"Criteria required"),"Pass"))),IF(G104="Building equipment",IF(M104&lt;&gt;"Equipment","Criteria required",IF(K104=1,"Pass","Fail")),"Criteria required")))))))))</x:f>
      </x:c>
      <x:c r="V104" s="9" t="str">
        <x:f>IF(C104="","",IFERROR(INDEX('Taxonomy Rules'!$J$9:$J$20,MATCH(H104&amp;"::"&amp;G104,'Taxonomy Rules'!$C$9:$C$20,0)),0))</x:f>
      </x:c>
      <x:c r="W104" s="9" t="str">
        <x:f>IF(C104="","",COUNTIFS('Taxonomy Tests'!$D$9:$D$2008,C104,'Taxonomy Tests'!$Q$9:$Q$2008,"Complete"))</x:f>
      </x:c>
      <x:c r="X104" s="9" t="str">
        <x:f>IF(C104="","",COUNTIFS('Taxonomy Tests'!$D$9:$D$2008,C104,'Taxonomy Tests'!$P$9:$P$2008,"Fail"))</x:f>
      </x:c>
      <x:c r="Y104" s="9" t="str">
        <x:f>IF(C104="","",MAX(0,V104-W104)+COUNTIFS('Taxonomy Tests'!$D$9:$D$2008,C104,'Taxonomy Tests'!$R$9:$R$2008,"Duplicate test")+COUNTIFS('Taxonomy Tests'!$D$9:$D$2008,C104,'Taxonomy Tests'!$R$9:$R$2008,"Unexpected test"))</x:f>
      </x:c>
      <x:c r="Z104" s="9" t="str">
        <x:f>IF(C104="","",IF(X104&gt;0,"Fail",IF(AND(V104&gt;0,W104=V104,Y104=0,COUNTIF('Taxonomy Tests'!$D$9:$D$2008,C104)=V104),"Pass","Pending")))</x:f>
      </x:c>
      <x:c r="AA104" s="9" t="str">
        <x:f>IF(C104="","",IF(COUNTIF(Facilities!$C$9:$C$108,D104)&lt;&gt;1,"Facility key",IF(OR(NOT(ISNUMBER(N104)),N104&lt;0),"Amount required",IF(SUMIF($D$9:$D$108,D104,$N$9:$N$108)&gt;IFERROR(INDEX('Facilities'!$AA$9:$AA$108,MATCH(D104,'Facilities'!$C$9:$C$108,0)),"")+0.000001,"Overallocated",IF(N104=0,"No allocation",IF(O104="","Evidence required","Valid"))))))</x:f>
      </x:c>
      <x:c r="AB104" s="3" t="str">
        <x:f>IF(C104="","",IF(OR(U104="Fail",Z104="Fail"),IF(H104="Jordan 2026","Red / not aligned","Not eligible"),IF(OR(U104="Criteria required",V104=0),"Criteria required",IF(Z104&lt;&gt;"Pass","Pending",IF(U104="Amber","Amber",IF(H104="Jordan 2026","Green","Eligible (internal)"))))))</x:f>
      </x:c>
      <x:c r="AC104" s="9" t="str">
        <x:f>IF(C104="","",IF(T104="Rejected","Rejected",IF(OR(AB104="Red / not aligned",AB104="Not eligible"),"Not eligible",IF(OR(AH104&lt;&gt;"Current",T104&lt;&gt;"Approved",Z104&lt;&gt;"Pass",(COUNTIFS('Actions'!$D$9:$D$308,E104,'Actions'!$E$9:$E$308,"E&amp;S",'Actions'!$F$9:$F$308,"Critical",'Actions'!$P$9:$P$308,"&lt;&gt;Closed",'Actions'!$C$9:$C$308,"&lt;&gt;")+COUNTIFS('Actions'!$D$9:$D$308,E104,'Actions'!$E$9:$E$308,"Taxonomy",'Actions'!$F$9:$F$308,"Critical",'Actions'!$P$9:$P$308,"&lt;&gt;Closed",'Actions'!$C$9:$C$308,"&lt;&gt;")+COUNTIFS('ESG'!$C$9:$C$108,E104,'ESG'!$H$9:$H$108,"Yes"))&gt;0,AND(AB104&lt;&gt;"Green",AB104&lt;&gt;"Amber",AB104&lt;&gt;"Eligible (internal)")),"Pending",IF(AA104="No allocation","Activity only",IF(AA104&lt;&gt;"Valid","Pending","Approved"))))))</x:f>
      </x:c>
      <x:c r="AD104" s="21" t="str">
        <x:f>IF(C104="","",IF(AND(AC104="Approved",OR(AB104="Green",AB104="Eligible (internal)")),N104,0))</x:f>
      </x:c>
      <x:c r="AE104" s="21" t="str">
        <x:f>IF(C104="","",IF(AND(AC104="Approved",AB104="Amber"),N104,0))</x:f>
      </x:c>
      <x:c r="AF104" s="9" t="str">
        <x:f>IF(C104="","",IF((COUNTIFS('Actions'!$D$9:$D$308,E104,'Actions'!$E$9:$E$308,"E&amp;S",'Actions'!$F$9:$F$308,"Critical",'Actions'!$P$9:$P$308,"&lt;&gt;Closed",'Actions'!$C$9:$C$308,"&lt;&gt;")+COUNTIFS('Actions'!$D$9:$D$308,E104,'Actions'!$E$9:$E$308,"Taxonomy",'Actions'!$F$9:$F$308,"Critical",'Actions'!$P$9:$P$308,"&lt;&gt;Closed",'Actions'!$C$9:$C$308,"&lt;&gt;")+COUNTIFS('ESG'!$C$9:$C$108,E104,'ESG'!$H$9:$H$108,"Yes"))&gt;0,"Resolve critical E&amp;S / taxonomy issue",IF(AH104&lt;&gt;"Current",AH104,IF(Z104&lt;&gt;"Pass","Review individual tests",IF(U104="Criteria required","Sourced criteria / interpretation required",IF(AA104&lt;&gt;"Valid",AA104,IF(T104&lt;&gt;"Approved","Approval required",I104)))))))</x:f>
      </x:c>
      <x:c r="AG104" s="9" t="str">
        <x:f>IF(C104="","",IFERROR(INDEX('Taxonomy Rules'!$L$9:$L$20,MATCH(H104&amp;"::"&amp;G104,'Taxonomy Rules'!$C$9:$C$20,0)),"Unimplemented activity"))</x:f>
      </x:c>
      <x:c r="AH104" s="9" t="str">
        <x:f>IF(C104="","",IF(COUNTIF($C$9:$C$108,C104)&lt;&gt;1,"Duplicate ID",IF(OR(COUNTIF(Facilities!$C$9:$C$108,D104)&lt;&gt;1,COUNTIF(Borrowers!$C$9:$C$108,E104)&lt;&gt;1),"Key review",IF(OR(P104="",Q104="",P104=Q104,NOT(ISNUMBER(R104)),NOT(ISNUMBER(S104)),R104&gt;Settings!$F$8,S104&lt;R104),"Review required",IF(S104&lt;Settings!$F$8,"Expired","Current")))))</x:f>
      </x:c>
    </x:row>
    <x:row r="105" ht="26" customHeight="1">
      <x:c r="A105" s="1"/>
      <x:c r="B105" s="1"/>
      <x:c r="C105" s="8"/>
      <x:c r="D105" s="8"/>
      <x:c r="E105" s="9" t="str">
        <x:f>IF(C105="","",IFERROR(INDEX('Facilities'!$D$9:$D$108,MATCH(D105,'Facilities'!$C$9:$C$108,0)),""))</x:f>
      </x:c>
      <x:c r="F105" s="9" t="str">
        <x:f>IF(C105="","",IFERROR(INDEX('Borrowers'!$E$9:$E$108,MATCH(E105,'Borrowers'!$C$9:$C$108,0)),""))</x:f>
      </x:c>
      <x:c r="G105" s="9" t="str">
        <x:f>IF(C105="","",IFERROR(INDEX('Facilities'!$W$9:$W$108,MATCH(D105,'Facilities'!$C$9:$C$108,0)),""))</x:f>
      </x:c>
      <x:c r="H105" s="9" t="str">
        <x:f>IF(C105="","",Settings!$F$11)</x:f>
      </x:c>
      <x:c r="I105" s="3" t="str">
        <x:f>IF(C105="","",IF(H105="Jordan 2026",IF(F105="Jordan","Jordan taxonomy","Reference benchmark"),"Internal policy"))</x:f>
      </x:c>
      <x:c r="J105" s="8"/>
      <x:c r="K105" s="35"/>
      <x:c r="L105" s="35"/>
      <x:c r="M105" s="8"/>
      <x:c r="N105" s="16"/>
      <x:c r="O105" s="8"/>
      <x:c r="P105" s="8"/>
      <x:c r="Q105" s="8"/>
      <x:c r="R105" s="10"/>
      <x:c r="S105" s="10"/>
      <x:c r="T105" s="8"/>
      <x:c r="U105" s="9" t="str">
        <x:f>IF(C105="","",IF(V105=0,"Criteria required",IF(OR(NOT(ISNUMBER(J105)),J105&lt;1900,J105&gt;YEAR(Settings!$F$8),IFERROR(MOD(J105,1),1)&lt;&gt;0,NOT(ISNUMBER(K105)),K105&lt;0,AND(H105="Internal criteria",OR(G105="Cement",G105="Building renovation"),OR(NOT(ISNUMBER(IFERROR(INDEX('Taxonomy Rules'!$G$9:$G$20,MATCH(H105&amp;"::"&amp;G105,'Taxonomy Rules'!$C$9:$C$20,0)),0))),IFERROR(INDEX('Taxonomy Rules'!$G$9:$G$20,MATCH(H105&amp;"::"&amp;G105,'Taxonomy Rules'!$C$9:$C$20,0)),0)&lt;=0,AND(G105="Building renovation",IFERROR(INDEX('Taxonomy Rules'!$G$9:$G$20,MATCH(H105&amp;"::"&amp;G105,'Taxonomy Rules'!$C$9:$C$20,0)),0)&gt;1)))),"Criteria required",IF(G105="Solar PV",IF(M105&lt;&gt;"Eligible activity","Criteria required",IF(K105=1,"Pass","Fail")),IF(G105="Cement",IF(M105="Amber",IF(H105="Jordan 2026",IF(YEAR(Settings!$F$8)&lt;2040,"Amber","Fail"),"Criteria required"),IF(M105&lt;&gt;"Green","Criteria required",IF(H105="Jordan 2026",IF(IFERROR(INDEX('Taxonomy Rules'!$P$9:$P$14,MATCH(J105,'Taxonomy Rules'!$O$9:$O$14,0)),0)=0,"Criteria required",IF(K105&lt;=IFERROR(INDEX('Taxonomy Rules'!$P$9:$P$14,MATCH(J105,'Taxonomy Rules'!$O$9:$O$14,0)),0),"Pass","Fail")),IF(K105&lt;=IFERROR(INDEX('Taxonomy Rules'!$G$9:$G$20,MATCH(H105&amp;"::"&amp;G105,'Taxonomy Rules'!$C$9:$C$20,0)),0),"Pass","Fail")))),IF(G105="Building renovation",IF(M105="Whole building",IF(K105=1,"Pass","Fail"),IF(M105&lt;&gt;"Improvement","Criteria required",IF(OR(K105&gt;1,NOT(ISNUMBER(L105)),L105&lt;0,L105&gt;1),"Criteria required",IF(MAX(K105,L105)&lt;IFERROR(INDEX('Taxonomy Rules'!$G$9:$G$20,MATCH(H105&amp;"::"&amp;G105,'Taxonomy Rules'!$C$9:$C$20,0)),0),"Fail",IF(H105="Jordan 2026",IF(YEAR(Settings!$F$8)&lt;2035,"Amber",IF(YEAR(Settings!$F$8)=2035,"Criteria required","Fail")),"Pass"))))),IF(G105="Road freight",IF(M105&lt;&gt;"Zero emissions","Criteria required",IF(AND(K105=0,ISNUMBER(L105),L105=0),"Pass","Fail")),IF(G105="New building",IF(NOT(OR(M105="Green",M105="Amber")),"Criteria required",IF(K105&lt;&gt;1,"Fail",IF(M105="Amber",IF(H105="Jordan 2026",IF(YEAR(Settings!$F$8)&lt;2030,"Amber",IF(YEAR(Settings!$F$8)=2030,"Criteria required","Fail")),"Criteria required"),"Pass"))),IF(G105="Building equipment",IF(M105&lt;&gt;"Equipment","Criteria required",IF(K105=1,"Pass","Fail")),"Criteria required")))))))))</x:f>
      </x:c>
      <x:c r="V105" s="9" t="str">
        <x:f>IF(C105="","",IFERROR(INDEX('Taxonomy Rules'!$J$9:$J$20,MATCH(H105&amp;"::"&amp;G105,'Taxonomy Rules'!$C$9:$C$20,0)),0))</x:f>
      </x:c>
      <x:c r="W105" s="9" t="str">
        <x:f>IF(C105="","",COUNTIFS('Taxonomy Tests'!$D$9:$D$2008,C105,'Taxonomy Tests'!$Q$9:$Q$2008,"Complete"))</x:f>
      </x:c>
      <x:c r="X105" s="9" t="str">
        <x:f>IF(C105="","",COUNTIFS('Taxonomy Tests'!$D$9:$D$2008,C105,'Taxonomy Tests'!$P$9:$P$2008,"Fail"))</x:f>
      </x:c>
      <x:c r="Y105" s="9" t="str">
        <x:f>IF(C105="","",MAX(0,V105-W105)+COUNTIFS('Taxonomy Tests'!$D$9:$D$2008,C105,'Taxonomy Tests'!$R$9:$R$2008,"Duplicate test")+COUNTIFS('Taxonomy Tests'!$D$9:$D$2008,C105,'Taxonomy Tests'!$R$9:$R$2008,"Unexpected test"))</x:f>
      </x:c>
      <x:c r="Z105" s="9" t="str">
        <x:f>IF(C105="","",IF(X105&gt;0,"Fail",IF(AND(V105&gt;0,W105=V105,Y105=0,COUNTIF('Taxonomy Tests'!$D$9:$D$2008,C105)=V105),"Pass","Pending")))</x:f>
      </x:c>
      <x:c r="AA105" s="9" t="str">
        <x:f>IF(C105="","",IF(COUNTIF(Facilities!$C$9:$C$108,D105)&lt;&gt;1,"Facility key",IF(OR(NOT(ISNUMBER(N105)),N105&lt;0),"Amount required",IF(SUMIF($D$9:$D$108,D105,$N$9:$N$108)&gt;IFERROR(INDEX('Facilities'!$AA$9:$AA$108,MATCH(D105,'Facilities'!$C$9:$C$108,0)),"")+0.000001,"Overallocated",IF(N105=0,"No allocation",IF(O105="","Evidence required","Valid"))))))</x:f>
      </x:c>
      <x:c r="AB105" s="3" t="str">
        <x:f>IF(C105="","",IF(OR(U105="Fail",Z105="Fail"),IF(H105="Jordan 2026","Red / not aligned","Not eligible"),IF(OR(U105="Criteria required",V105=0),"Criteria required",IF(Z105&lt;&gt;"Pass","Pending",IF(U105="Amber","Amber",IF(H105="Jordan 2026","Green","Eligible (internal)"))))))</x:f>
      </x:c>
      <x:c r="AC105" s="9" t="str">
        <x:f>IF(C105="","",IF(T105="Rejected","Rejected",IF(OR(AB105="Red / not aligned",AB105="Not eligible"),"Not eligible",IF(OR(AH105&lt;&gt;"Current",T105&lt;&gt;"Approved",Z105&lt;&gt;"Pass",(COUNTIFS('Actions'!$D$9:$D$308,E105,'Actions'!$E$9:$E$308,"E&amp;S",'Actions'!$F$9:$F$308,"Critical",'Actions'!$P$9:$P$308,"&lt;&gt;Closed",'Actions'!$C$9:$C$308,"&lt;&gt;")+COUNTIFS('Actions'!$D$9:$D$308,E105,'Actions'!$E$9:$E$308,"Taxonomy",'Actions'!$F$9:$F$308,"Critical",'Actions'!$P$9:$P$308,"&lt;&gt;Closed",'Actions'!$C$9:$C$308,"&lt;&gt;")+COUNTIFS('ESG'!$C$9:$C$108,E105,'ESG'!$H$9:$H$108,"Yes"))&gt;0,AND(AB105&lt;&gt;"Green",AB105&lt;&gt;"Amber",AB105&lt;&gt;"Eligible (internal)")),"Pending",IF(AA105="No allocation","Activity only",IF(AA105&lt;&gt;"Valid","Pending","Approved"))))))</x:f>
      </x:c>
      <x:c r="AD105" s="21" t="str">
        <x:f>IF(C105="","",IF(AND(AC105="Approved",OR(AB105="Green",AB105="Eligible (internal)")),N105,0))</x:f>
      </x:c>
      <x:c r="AE105" s="21" t="str">
        <x:f>IF(C105="","",IF(AND(AC105="Approved",AB105="Amber"),N105,0))</x:f>
      </x:c>
      <x:c r="AF105" s="9" t="str">
        <x:f>IF(C105="","",IF((COUNTIFS('Actions'!$D$9:$D$308,E105,'Actions'!$E$9:$E$308,"E&amp;S",'Actions'!$F$9:$F$308,"Critical",'Actions'!$P$9:$P$308,"&lt;&gt;Closed",'Actions'!$C$9:$C$308,"&lt;&gt;")+COUNTIFS('Actions'!$D$9:$D$308,E105,'Actions'!$E$9:$E$308,"Taxonomy",'Actions'!$F$9:$F$308,"Critical",'Actions'!$P$9:$P$308,"&lt;&gt;Closed",'Actions'!$C$9:$C$308,"&lt;&gt;")+COUNTIFS('ESG'!$C$9:$C$108,E105,'ESG'!$H$9:$H$108,"Yes"))&gt;0,"Resolve critical E&amp;S / taxonomy issue",IF(AH105&lt;&gt;"Current",AH105,IF(Z105&lt;&gt;"Pass","Review individual tests",IF(U105="Criteria required","Sourced criteria / interpretation required",IF(AA105&lt;&gt;"Valid",AA105,IF(T105&lt;&gt;"Approved","Approval required",I105)))))))</x:f>
      </x:c>
      <x:c r="AG105" s="9" t="str">
        <x:f>IF(C105="","",IFERROR(INDEX('Taxonomy Rules'!$L$9:$L$20,MATCH(H105&amp;"::"&amp;G105,'Taxonomy Rules'!$C$9:$C$20,0)),"Unimplemented activity"))</x:f>
      </x:c>
      <x:c r="AH105" s="9" t="str">
        <x:f>IF(C105="","",IF(COUNTIF($C$9:$C$108,C105)&lt;&gt;1,"Duplicate ID",IF(OR(COUNTIF(Facilities!$C$9:$C$108,D105)&lt;&gt;1,COUNTIF(Borrowers!$C$9:$C$108,E105)&lt;&gt;1),"Key review",IF(OR(P105="",Q105="",P105=Q105,NOT(ISNUMBER(R105)),NOT(ISNUMBER(S105)),R105&gt;Settings!$F$8,S105&lt;R105),"Review required",IF(S105&lt;Settings!$F$8,"Expired","Current")))))</x:f>
      </x:c>
    </x:row>
    <x:row r="106" ht="26" customHeight="1">
      <x:c r="A106" s="1"/>
      <x:c r="B106" s="1"/>
      <x:c r="C106" s="8"/>
      <x:c r="D106" s="8"/>
      <x:c r="E106" s="9" t="str">
        <x:f>IF(C106="","",IFERROR(INDEX('Facilities'!$D$9:$D$108,MATCH(D106,'Facilities'!$C$9:$C$108,0)),""))</x:f>
      </x:c>
      <x:c r="F106" s="9" t="str">
        <x:f>IF(C106="","",IFERROR(INDEX('Borrowers'!$E$9:$E$108,MATCH(E106,'Borrowers'!$C$9:$C$108,0)),""))</x:f>
      </x:c>
      <x:c r="G106" s="9" t="str">
        <x:f>IF(C106="","",IFERROR(INDEX('Facilities'!$W$9:$W$108,MATCH(D106,'Facilities'!$C$9:$C$108,0)),""))</x:f>
      </x:c>
      <x:c r="H106" s="9" t="str">
        <x:f>IF(C106="","",Settings!$F$11)</x:f>
      </x:c>
      <x:c r="I106" s="3" t="str">
        <x:f>IF(C106="","",IF(H106="Jordan 2026",IF(F106="Jordan","Jordan taxonomy","Reference benchmark"),"Internal policy"))</x:f>
      </x:c>
      <x:c r="J106" s="8"/>
      <x:c r="K106" s="35"/>
      <x:c r="L106" s="35"/>
      <x:c r="M106" s="8"/>
      <x:c r="N106" s="16"/>
      <x:c r="O106" s="8"/>
      <x:c r="P106" s="8"/>
      <x:c r="Q106" s="8"/>
      <x:c r="R106" s="10"/>
      <x:c r="S106" s="10"/>
      <x:c r="T106" s="8"/>
      <x:c r="U106" s="9" t="str">
        <x:f>IF(C106="","",IF(V106=0,"Criteria required",IF(OR(NOT(ISNUMBER(J106)),J106&lt;1900,J106&gt;YEAR(Settings!$F$8),IFERROR(MOD(J106,1),1)&lt;&gt;0,NOT(ISNUMBER(K106)),K106&lt;0,AND(H106="Internal criteria",OR(G106="Cement",G106="Building renovation"),OR(NOT(ISNUMBER(IFERROR(INDEX('Taxonomy Rules'!$G$9:$G$20,MATCH(H106&amp;"::"&amp;G106,'Taxonomy Rules'!$C$9:$C$20,0)),0))),IFERROR(INDEX('Taxonomy Rules'!$G$9:$G$20,MATCH(H106&amp;"::"&amp;G106,'Taxonomy Rules'!$C$9:$C$20,0)),0)&lt;=0,AND(G106="Building renovation",IFERROR(INDEX('Taxonomy Rules'!$G$9:$G$20,MATCH(H106&amp;"::"&amp;G106,'Taxonomy Rules'!$C$9:$C$20,0)),0)&gt;1)))),"Criteria required",IF(G106="Solar PV",IF(M106&lt;&gt;"Eligible activity","Criteria required",IF(K106=1,"Pass","Fail")),IF(G106="Cement",IF(M106="Amber",IF(H106="Jordan 2026",IF(YEAR(Settings!$F$8)&lt;2040,"Amber","Fail"),"Criteria required"),IF(M106&lt;&gt;"Green","Criteria required",IF(H106="Jordan 2026",IF(IFERROR(INDEX('Taxonomy Rules'!$P$9:$P$14,MATCH(J106,'Taxonomy Rules'!$O$9:$O$14,0)),0)=0,"Criteria required",IF(K106&lt;=IFERROR(INDEX('Taxonomy Rules'!$P$9:$P$14,MATCH(J106,'Taxonomy Rules'!$O$9:$O$14,0)),0),"Pass","Fail")),IF(K106&lt;=IFERROR(INDEX('Taxonomy Rules'!$G$9:$G$20,MATCH(H106&amp;"::"&amp;G106,'Taxonomy Rules'!$C$9:$C$20,0)),0),"Pass","Fail")))),IF(G106="Building renovation",IF(M106="Whole building",IF(K106=1,"Pass","Fail"),IF(M106&lt;&gt;"Improvement","Criteria required",IF(OR(K106&gt;1,NOT(ISNUMBER(L106)),L106&lt;0,L106&gt;1),"Criteria required",IF(MAX(K106,L106)&lt;IFERROR(INDEX('Taxonomy Rules'!$G$9:$G$20,MATCH(H106&amp;"::"&amp;G106,'Taxonomy Rules'!$C$9:$C$20,0)),0),"Fail",IF(H106="Jordan 2026",IF(YEAR(Settings!$F$8)&lt;2035,"Amber",IF(YEAR(Settings!$F$8)=2035,"Criteria required","Fail")),"Pass"))))),IF(G106="Road freight",IF(M106&lt;&gt;"Zero emissions","Criteria required",IF(AND(K106=0,ISNUMBER(L106),L106=0),"Pass","Fail")),IF(G106="New building",IF(NOT(OR(M106="Green",M106="Amber")),"Criteria required",IF(K106&lt;&gt;1,"Fail",IF(M106="Amber",IF(H106="Jordan 2026",IF(YEAR(Settings!$F$8)&lt;2030,"Amber",IF(YEAR(Settings!$F$8)=2030,"Criteria required","Fail")),"Criteria required"),"Pass"))),IF(G106="Building equipment",IF(M106&lt;&gt;"Equipment","Criteria required",IF(K106=1,"Pass","Fail")),"Criteria required")))))))))</x:f>
      </x:c>
      <x:c r="V106" s="9" t="str">
        <x:f>IF(C106="","",IFERROR(INDEX('Taxonomy Rules'!$J$9:$J$20,MATCH(H106&amp;"::"&amp;G106,'Taxonomy Rules'!$C$9:$C$20,0)),0))</x:f>
      </x:c>
      <x:c r="W106" s="9" t="str">
        <x:f>IF(C106="","",COUNTIFS('Taxonomy Tests'!$D$9:$D$2008,C106,'Taxonomy Tests'!$Q$9:$Q$2008,"Complete"))</x:f>
      </x:c>
      <x:c r="X106" s="9" t="str">
        <x:f>IF(C106="","",COUNTIFS('Taxonomy Tests'!$D$9:$D$2008,C106,'Taxonomy Tests'!$P$9:$P$2008,"Fail"))</x:f>
      </x:c>
      <x:c r="Y106" s="9" t="str">
        <x:f>IF(C106="","",MAX(0,V106-W106)+COUNTIFS('Taxonomy Tests'!$D$9:$D$2008,C106,'Taxonomy Tests'!$R$9:$R$2008,"Duplicate test")+COUNTIFS('Taxonomy Tests'!$D$9:$D$2008,C106,'Taxonomy Tests'!$R$9:$R$2008,"Unexpected test"))</x:f>
      </x:c>
      <x:c r="Z106" s="9" t="str">
        <x:f>IF(C106="","",IF(X106&gt;0,"Fail",IF(AND(V106&gt;0,W106=V106,Y106=0,COUNTIF('Taxonomy Tests'!$D$9:$D$2008,C106)=V106),"Pass","Pending")))</x:f>
      </x:c>
      <x:c r="AA106" s="9" t="str">
        <x:f>IF(C106="","",IF(COUNTIF(Facilities!$C$9:$C$108,D106)&lt;&gt;1,"Facility key",IF(OR(NOT(ISNUMBER(N106)),N106&lt;0),"Amount required",IF(SUMIF($D$9:$D$108,D106,$N$9:$N$108)&gt;IFERROR(INDEX('Facilities'!$AA$9:$AA$108,MATCH(D106,'Facilities'!$C$9:$C$108,0)),"")+0.000001,"Overallocated",IF(N106=0,"No allocation",IF(O106="","Evidence required","Valid"))))))</x:f>
      </x:c>
      <x:c r="AB106" s="3" t="str">
        <x:f>IF(C106="","",IF(OR(U106="Fail",Z106="Fail"),IF(H106="Jordan 2026","Red / not aligned","Not eligible"),IF(OR(U106="Criteria required",V106=0),"Criteria required",IF(Z106&lt;&gt;"Pass","Pending",IF(U106="Amber","Amber",IF(H106="Jordan 2026","Green","Eligible (internal)"))))))</x:f>
      </x:c>
      <x:c r="AC106" s="9" t="str">
        <x:f>IF(C106="","",IF(T106="Rejected","Rejected",IF(OR(AB106="Red / not aligned",AB106="Not eligible"),"Not eligible",IF(OR(AH106&lt;&gt;"Current",T106&lt;&gt;"Approved",Z106&lt;&gt;"Pass",(COUNTIFS('Actions'!$D$9:$D$308,E106,'Actions'!$E$9:$E$308,"E&amp;S",'Actions'!$F$9:$F$308,"Critical",'Actions'!$P$9:$P$308,"&lt;&gt;Closed",'Actions'!$C$9:$C$308,"&lt;&gt;")+COUNTIFS('Actions'!$D$9:$D$308,E106,'Actions'!$E$9:$E$308,"Taxonomy",'Actions'!$F$9:$F$308,"Critical",'Actions'!$P$9:$P$308,"&lt;&gt;Closed",'Actions'!$C$9:$C$308,"&lt;&gt;")+COUNTIFS('ESG'!$C$9:$C$108,E106,'ESG'!$H$9:$H$108,"Yes"))&gt;0,AND(AB106&lt;&gt;"Green",AB106&lt;&gt;"Amber",AB106&lt;&gt;"Eligible (internal)")),"Pending",IF(AA106="No allocation","Activity only",IF(AA106&lt;&gt;"Valid","Pending","Approved"))))))</x:f>
      </x:c>
      <x:c r="AD106" s="21" t="str">
        <x:f>IF(C106="","",IF(AND(AC106="Approved",OR(AB106="Green",AB106="Eligible (internal)")),N106,0))</x:f>
      </x:c>
      <x:c r="AE106" s="21" t="str">
        <x:f>IF(C106="","",IF(AND(AC106="Approved",AB106="Amber"),N106,0))</x:f>
      </x:c>
      <x:c r="AF106" s="9" t="str">
        <x:f>IF(C106="","",IF((COUNTIFS('Actions'!$D$9:$D$308,E106,'Actions'!$E$9:$E$308,"E&amp;S",'Actions'!$F$9:$F$308,"Critical",'Actions'!$P$9:$P$308,"&lt;&gt;Closed",'Actions'!$C$9:$C$308,"&lt;&gt;")+COUNTIFS('Actions'!$D$9:$D$308,E106,'Actions'!$E$9:$E$308,"Taxonomy",'Actions'!$F$9:$F$308,"Critical",'Actions'!$P$9:$P$308,"&lt;&gt;Closed",'Actions'!$C$9:$C$308,"&lt;&gt;")+COUNTIFS('ESG'!$C$9:$C$108,E106,'ESG'!$H$9:$H$108,"Yes"))&gt;0,"Resolve critical E&amp;S / taxonomy issue",IF(AH106&lt;&gt;"Current",AH106,IF(Z106&lt;&gt;"Pass","Review individual tests",IF(U106="Criteria required","Sourced criteria / interpretation required",IF(AA106&lt;&gt;"Valid",AA106,IF(T106&lt;&gt;"Approved","Approval required",I106)))))))</x:f>
      </x:c>
      <x:c r="AG106" s="9" t="str">
        <x:f>IF(C106="","",IFERROR(INDEX('Taxonomy Rules'!$L$9:$L$20,MATCH(H106&amp;"::"&amp;G106,'Taxonomy Rules'!$C$9:$C$20,0)),"Unimplemented activity"))</x:f>
      </x:c>
      <x:c r="AH106" s="9" t="str">
        <x:f>IF(C106="","",IF(COUNTIF($C$9:$C$108,C106)&lt;&gt;1,"Duplicate ID",IF(OR(COUNTIF(Facilities!$C$9:$C$108,D106)&lt;&gt;1,COUNTIF(Borrowers!$C$9:$C$108,E106)&lt;&gt;1),"Key review",IF(OR(P106="",Q106="",P106=Q106,NOT(ISNUMBER(R106)),NOT(ISNUMBER(S106)),R106&gt;Settings!$F$8,S106&lt;R106),"Review required",IF(S106&lt;Settings!$F$8,"Expired","Current")))))</x:f>
      </x:c>
    </x:row>
    <x:row r="107" ht="26" customHeight="1">
      <x:c r="A107" s="1"/>
      <x:c r="B107" s="1"/>
      <x:c r="C107" s="8"/>
      <x:c r="D107" s="8"/>
      <x:c r="E107" s="9" t="str">
        <x:f>IF(C107="","",IFERROR(INDEX('Facilities'!$D$9:$D$108,MATCH(D107,'Facilities'!$C$9:$C$108,0)),""))</x:f>
      </x:c>
      <x:c r="F107" s="9" t="str">
        <x:f>IF(C107="","",IFERROR(INDEX('Borrowers'!$E$9:$E$108,MATCH(E107,'Borrowers'!$C$9:$C$108,0)),""))</x:f>
      </x:c>
      <x:c r="G107" s="9" t="str">
        <x:f>IF(C107="","",IFERROR(INDEX('Facilities'!$W$9:$W$108,MATCH(D107,'Facilities'!$C$9:$C$108,0)),""))</x:f>
      </x:c>
      <x:c r="H107" s="9" t="str">
        <x:f>IF(C107="","",Settings!$F$11)</x:f>
      </x:c>
      <x:c r="I107" s="3" t="str">
        <x:f>IF(C107="","",IF(H107="Jordan 2026",IF(F107="Jordan","Jordan taxonomy","Reference benchmark"),"Internal policy"))</x:f>
      </x:c>
      <x:c r="J107" s="8"/>
      <x:c r="K107" s="35"/>
      <x:c r="L107" s="35"/>
      <x:c r="M107" s="8"/>
      <x:c r="N107" s="16"/>
      <x:c r="O107" s="8"/>
      <x:c r="P107" s="8"/>
      <x:c r="Q107" s="8"/>
      <x:c r="R107" s="10"/>
      <x:c r="S107" s="10"/>
      <x:c r="T107" s="8"/>
      <x:c r="U107" s="9" t="str">
        <x:f>IF(C107="","",IF(V107=0,"Criteria required",IF(OR(NOT(ISNUMBER(J107)),J107&lt;1900,J107&gt;YEAR(Settings!$F$8),IFERROR(MOD(J107,1),1)&lt;&gt;0,NOT(ISNUMBER(K107)),K107&lt;0,AND(H107="Internal criteria",OR(G107="Cement",G107="Building renovation"),OR(NOT(ISNUMBER(IFERROR(INDEX('Taxonomy Rules'!$G$9:$G$20,MATCH(H107&amp;"::"&amp;G107,'Taxonomy Rules'!$C$9:$C$20,0)),0))),IFERROR(INDEX('Taxonomy Rules'!$G$9:$G$20,MATCH(H107&amp;"::"&amp;G107,'Taxonomy Rules'!$C$9:$C$20,0)),0)&lt;=0,AND(G107="Building renovation",IFERROR(INDEX('Taxonomy Rules'!$G$9:$G$20,MATCH(H107&amp;"::"&amp;G107,'Taxonomy Rules'!$C$9:$C$20,0)),0)&gt;1)))),"Criteria required",IF(G107="Solar PV",IF(M107&lt;&gt;"Eligible activity","Criteria required",IF(K107=1,"Pass","Fail")),IF(G107="Cement",IF(M107="Amber",IF(H107="Jordan 2026",IF(YEAR(Settings!$F$8)&lt;2040,"Amber","Fail"),"Criteria required"),IF(M107&lt;&gt;"Green","Criteria required",IF(H107="Jordan 2026",IF(IFERROR(INDEX('Taxonomy Rules'!$P$9:$P$14,MATCH(J107,'Taxonomy Rules'!$O$9:$O$14,0)),0)=0,"Criteria required",IF(K107&lt;=IFERROR(INDEX('Taxonomy Rules'!$P$9:$P$14,MATCH(J107,'Taxonomy Rules'!$O$9:$O$14,0)),0),"Pass","Fail")),IF(K107&lt;=IFERROR(INDEX('Taxonomy Rules'!$G$9:$G$20,MATCH(H107&amp;"::"&amp;G107,'Taxonomy Rules'!$C$9:$C$20,0)),0),"Pass","Fail")))),IF(G107="Building renovation",IF(M107="Whole building",IF(K107=1,"Pass","Fail"),IF(M107&lt;&gt;"Improvement","Criteria required",IF(OR(K107&gt;1,NOT(ISNUMBER(L107)),L107&lt;0,L107&gt;1),"Criteria required",IF(MAX(K107,L107)&lt;IFERROR(INDEX('Taxonomy Rules'!$G$9:$G$20,MATCH(H107&amp;"::"&amp;G107,'Taxonomy Rules'!$C$9:$C$20,0)),0),"Fail",IF(H107="Jordan 2026",IF(YEAR(Settings!$F$8)&lt;2035,"Amber",IF(YEAR(Settings!$F$8)=2035,"Criteria required","Fail")),"Pass"))))),IF(G107="Road freight",IF(M107&lt;&gt;"Zero emissions","Criteria required",IF(AND(K107=0,ISNUMBER(L107),L107=0),"Pass","Fail")),IF(G107="New building",IF(NOT(OR(M107="Green",M107="Amber")),"Criteria required",IF(K107&lt;&gt;1,"Fail",IF(M107="Amber",IF(H107="Jordan 2026",IF(YEAR(Settings!$F$8)&lt;2030,"Amber",IF(YEAR(Settings!$F$8)=2030,"Criteria required","Fail")),"Criteria required"),"Pass"))),IF(G107="Building equipment",IF(M107&lt;&gt;"Equipment","Criteria required",IF(K107=1,"Pass","Fail")),"Criteria required")))))))))</x:f>
      </x:c>
      <x:c r="V107" s="9" t="str">
        <x:f>IF(C107="","",IFERROR(INDEX('Taxonomy Rules'!$J$9:$J$20,MATCH(H107&amp;"::"&amp;G107,'Taxonomy Rules'!$C$9:$C$20,0)),0))</x:f>
      </x:c>
      <x:c r="W107" s="9" t="str">
        <x:f>IF(C107="","",COUNTIFS('Taxonomy Tests'!$D$9:$D$2008,C107,'Taxonomy Tests'!$Q$9:$Q$2008,"Complete"))</x:f>
      </x:c>
      <x:c r="X107" s="9" t="str">
        <x:f>IF(C107="","",COUNTIFS('Taxonomy Tests'!$D$9:$D$2008,C107,'Taxonomy Tests'!$P$9:$P$2008,"Fail"))</x:f>
      </x:c>
      <x:c r="Y107" s="9" t="str">
        <x:f>IF(C107="","",MAX(0,V107-W107)+COUNTIFS('Taxonomy Tests'!$D$9:$D$2008,C107,'Taxonomy Tests'!$R$9:$R$2008,"Duplicate test")+COUNTIFS('Taxonomy Tests'!$D$9:$D$2008,C107,'Taxonomy Tests'!$R$9:$R$2008,"Unexpected test"))</x:f>
      </x:c>
      <x:c r="Z107" s="9" t="str">
        <x:f>IF(C107="","",IF(X107&gt;0,"Fail",IF(AND(V107&gt;0,W107=V107,Y107=0,COUNTIF('Taxonomy Tests'!$D$9:$D$2008,C107)=V107),"Pass","Pending")))</x:f>
      </x:c>
      <x:c r="AA107" s="9" t="str">
        <x:f>IF(C107="","",IF(COUNTIF(Facilities!$C$9:$C$108,D107)&lt;&gt;1,"Facility key",IF(OR(NOT(ISNUMBER(N107)),N107&lt;0),"Amount required",IF(SUMIF($D$9:$D$108,D107,$N$9:$N$108)&gt;IFERROR(INDEX('Facilities'!$AA$9:$AA$108,MATCH(D107,'Facilities'!$C$9:$C$108,0)),"")+0.000001,"Overallocated",IF(N107=0,"No allocation",IF(O107="","Evidence required","Valid"))))))</x:f>
      </x:c>
      <x:c r="AB107" s="3" t="str">
        <x:f>IF(C107="","",IF(OR(U107="Fail",Z107="Fail"),IF(H107="Jordan 2026","Red / not aligned","Not eligible"),IF(OR(U107="Criteria required",V107=0),"Criteria required",IF(Z107&lt;&gt;"Pass","Pending",IF(U107="Amber","Amber",IF(H107="Jordan 2026","Green","Eligible (internal)"))))))</x:f>
      </x:c>
      <x:c r="AC107" s="9" t="str">
        <x:f>IF(C107="","",IF(T107="Rejected","Rejected",IF(OR(AB107="Red / not aligned",AB107="Not eligible"),"Not eligible",IF(OR(AH107&lt;&gt;"Current",T107&lt;&gt;"Approved",Z107&lt;&gt;"Pass",(COUNTIFS('Actions'!$D$9:$D$308,E107,'Actions'!$E$9:$E$308,"E&amp;S",'Actions'!$F$9:$F$308,"Critical",'Actions'!$P$9:$P$308,"&lt;&gt;Closed",'Actions'!$C$9:$C$308,"&lt;&gt;")+COUNTIFS('Actions'!$D$9:$D$308,E107,'Actions'!$E$9:$E$308,"Taxonomy",'Actions'!$F$9:$F$308,"Critical",'Actions'!$P$9:$P$308,"&lt;&gt;Closed",'Actions'!$C$9:$C$308,"&lt;&gt;")+COUNTIFS('ESG'!$C$9:$C$108,E107,'ESG'!$H$9:$H$108,"Yes"))&gt;0,AND(AB107&lt;&gt;"Green",AB107&lt;&gt;"Amber",AB107&lt;&gt;"Eligible (internal)")),"Pending",IF(AA107="No allocation","Activity only",IF(AA107&lt;&gt;"Valid","Pending","Approved"))))))</x:f>
      </x:c>
      <x:c r="AD107" s="21" t="str">
        <x:f>IF(C107="","",IF(AND(AC107="Approved",OR(AB107="Green",AB107="Eligible (internal)")),N107,0))</x:f>
      </x:c>
      <x:c r="AE107" s="21" t="str">
        <x:f>IF(C107="","",IF(AND(AC107="Approved",AB107="Amber"),N107,0))</x:f>
      </x:c>
      <x:c r="AF107" s="9" t="str">
        <x:f>IF(C107="","",IF((COUNTIFS('Actions'!$D$9:$D$308,E107,'Actions'!$E$9:$E$308,"E&amp;S",'Actions'!$F$9:$F$308,"Critical",'Actions'!$P$9:$P$308,"&lt;&gt;Closed",'Actions'!$C$9:$C$308,"&lt;&gt;")+COUNTIFS('Actions'!$D$9:$D$308,E107,'Actions'!$E$9:$E$308,"Taxonomy",'Actions'!$F$9:$F$308,"Critical",'Actions'!$P$9:$P$308,"&lt;&gt;Closed",'Actions'!$C$9:$C$308,"&lt;&gt;")+COUNTIFS('ESG'!$C$9:$C$108,E107,'ESG'!$H$9:$H$108,"Yes"))&gt;0,"Resolve critical E&amp;S / taxonomy issue",IF(AH107&lt;&gt;"Current",AH107,IF(Z107&lt;&gt;"Pass","Review individual tests",IF(U107="Criteria required","Sourced criteria / interpretation required",IF(AA107&lt;&gt;"Valid",AA107,IF(T107&lt;&gt;"Approved","Approval required",I107)))))))</x:f>
      </x:c>
      <x:c r="AG107" s="9" t="str">
        <x:f>IF(C107="","",IFERROR(INDEX('Taxonomy Rules'!$L$9:$L$20,MATCH(H107&amp;"::"&amp;G107,'Taxonomy Rules'!$C$9:$C$20,0)),"Unimplemented activity"))</x:f>
      </x:c>
      <x:c r="AH107" s="9" t="str">
        <x:f>IF(C107="","",IF(COUNTIF($C$9:$C$108,C107)&lt;&gt;1,"Duplicate ID",IF(OR(COUNTIF(Facilities!$C$9:$C$108,D107)&lt;&gt;1,COUNTIF(Borrowers!$C$9:$C$108,E107)&lt;&gt;1),"Key review",IF(OR(P107="",Q107="",P107=Q107,NOT(ISNUMBER(R107)),NOT(ISNUMBER(S107)),R107&gt;Settings!$F$8,S107&lt;R107),"Review required",IF(S107&lt;Settings!$F$8,"Expired","Current")))))</x:f>
      </x:c>
    </x:row>
    <x:row r="108" ht="26" customHeight="1">
      <x:c r="A108" s="1"/>
      <x:c r="B108" s="1"/>
      <x:c r="C108" s="8"/>
      <x:c r="D108" s="8"/>
      <x:c r="E108" s="9" t="str">
        <x:f>IF(C108="","",IFERROR(INDEX('Facilities'!$D$9:$D$108,MATCH(D108,'Facilities'!$C$9:$C$108,0)),""))</x:f>
      </x:c>
      <x:c r="F108" s="9" t="str">
        <x:f>IF(C108="","",IFERROR(INDEX('Borrowers'!$E$9:$E$108,MATCH(E108,'Borrowers'!$C$9:$C$108,0)),""))</x:f>
      </x:c>
      <x:c r="G108" s="9" t="str">
        <x:f>IF(C108="","",IFERROR(INDEX('Facilities'!$W$9:$W$108,MATCH(D108,'Facilities'!$C$9:$C$108,0)),""))</x:f>
      </x:c>
      <x:c r="H108" s="9" t="str">
        <x:f>IF(C108="","",Settings!$F$11)</x:f>
      </x:c>
      <x:c r="I108" s="3" t="str">
        <x:f>IF(C108="","",IF(H108="Jordan 2026",IF(F108="Jordan","Jordan taxonomy","Reference benchmark"),"Internal policy"))</x:f>
      </x:c>
      <x:c r="J108" s="8"/>
      <x:c r="K108" s="35"/>
      <x:c r="L108" s="35"/>
      <x:c r="M108" s="8"/>
      <x:c r="N108" s="16"/>
      <x:c r="O108" s="8"/>
      <x:c r="P108" s="8"/>
      <x:c r="Q108" s="8"/>
      <x:c r="R108" s="10"/>
      <x:c r="S108" s="10"/>
      <x:c r="T108" s="8"/>
      <x:c r="U108" s="9" t="str">
        <x:f>IF(C108="","",IF(V108=0,"Criteria required",IF(OR(NOT(ISNUMBER(J108)),J108&lt;1900,J108&gt;YEAR(Settings!$F$8),IFERROR(MOD(J108,1),1)&lt;&gt;0,NOT(ISNUMBER(K108)),K108&lt;0,AND(H108="Internal criteria",OR(G108="Cement",G108="Building renovation"),OR(NOT(ISNUMBER(IFERROR(INDEX('Taxonomy Rules'!$G$9:$G$20,MATCH(H108&amp;"::"&amp;G108,'Taxonomy Rules'!$C$9:$C$20,0)),0))),IFERROR(INDEX('Taxonomy Rules'!$G$9:$G$20,MATCH(H108&amp;"::"&amp;G108,'Taxonomy Rules'!$C$9:$C$20,0)),0)&lt;=0,AND(G108="Building renovation",IFERROR(INDEX('Taxonomy Rules'!$G$9:$G$20,MATCH(H108&amp;"::"&amp;G108,'Taxonomy Rules'!$C$9:$C$20,0)),0)&gt;1)))),"Criteria required",IF(G108="Solar PV",IF(M108&lt;&gt;"Eligible activity","Criteria required",IF(K108=1,"Pass","Fail")),IF(G108="Cement",IF(M108="Amber",IF(H108="Jordan 2026",IF(YEAR(Settings!$F$8)&lt;2040,"Amber","Fail"),"Criteria required"),IF(M108&lt;&gt;"Green","Criteria required",IF(H108="Jordan 2026",IF(IFERROR(INDEX('Taxonomy Rules'!$P$9:$P$14,MATCH(J108,'Taxonomy Rules'!$O$9:$O$14,0)),0)=0,"Criteria required",IF(K108&lt;=IFERROR(INDEX('Taxonomy Rules'!$P$9:$P$14,MATCH(J108,'Taxonomy Rules'!$O$9:$O$14,0)),0),"Pass","Fail")),IF(K108&lt;=IFERROR(INDEX('Taxonomy Rules'!$G$9:$G$20,MATCH(H108&amp;"::"&amp;G108,'Taxonomy Rules'!$C$9:$C$20,0)),0),"Pass","Fail")))),IF(G108="Building renovation",IF(M108="Whole building",IF(K108=1,"Pass","Fail"),IF(M108&lt;&gt;"Improvement","Criteria required",IF(OR(K108&gt;1,NOT(ISNUMBER(L108)),L108&lt;0,L108&gt;1),"Criteria required",IF(MAX(K108,L108)&lt;IFERROR(INDEX('Taxonomy Rules'!$G$9:$G$20,MATCH(H108&amp;"::"&amp;G108,'Taxonomy Rules'!$C$9:$C$20,0)),0),"Fail",IF(H108="Jordan 2026",IF(YEAR(Settings!$F$8)&lt;2035,"Amber",IF(YEAR(Settings!$F$8)=2035,"Criteria required","Fail")),"Pass"))))),IF(G108="Road freight",IF(M108&lt;&gt;"Zero emissions","Criteria required",IF(AND(K108=0,ISNUMBER(L108),L108=0),"Pass","Fail")),IF(G108="New building",IF(NOT(OR(M108="Green",M108="Amber")),"Criteria required",IF(K108&lt;&gt;1,"Fail",IF(M108="Amber",IF(H108="Jordan 2026",IF(YEAR(Settings!$F$8)&lt;2030,"Amber",IF(YEAR(Settings!$F$8)=2030,"Criteria required","Fail")),"Criteria required"),"Pass"))),IF(G108="Building equipment",IF(M108&lt;&gt;"Equipment","Criteria required",IF(K108=1,"Pass","Fail")),"Criteria required")))))))))</x:f>
      </x:c>
      <x:c r="V108" s="9" t="str">
        <x:f>IF(C108="","",IFERROR(INDEX('Taxonomy Rules'!$J$9:$J$20,MATCH(H108&amp;"::"&amp;G108,'Taxonomy Rules'!$C$9:$C$20,0)),0))</x:f>
      </x:c>
      <x:c r="W108" s="9" t="str">
        <x:f>IF(C108="","",COUNTIFS('Taxonomy Tests'!$D$9:$D$2008,C108,'Taxonomy Tests'!$Q$9:$Q$2008,"Complete"))</x:f>
      </x:c>
      <x:c r="X108" s="9" t="str">
        <x:f>IF(C108="","",COUNTIFS('Taxonomy Tests'!$D$9:$D$2008,C108,'Taxonomy Tests'!$P$9:$P$2008,"Fail"))</x:f>
      </x:c>
      <x:c r="Y108" s="9" t="str">
        <x:f>IF(C108="","",MAX(0,V108-W108)+COUNTIFS('Taxonomy Tests'!$D$9:$D$2008,C108,'Taxonomy Tests'!$R$9:$R$2008,"Duplicate test")+COUNTIFS('Taxonomy Tests'!$D$9:$D$2008,C108,'Taxonomy Tests'!$R$9:$R$2008,"Unexpected test"))</x:f>
      </x:c>
      <x:c r="Z108" s="9" t="str">
        <x:f>IF(C108="","",IF(X108&gt;0,"Fail",IF(AND(V108&gt;0,W108=V108,Y108=0,COUNTIF('Taxonomy Tests'!$D$9:$D$2008,C108)=V108),"Pass","Pending")))</x:f>
      </x:c>
      <x:c r="AA108" s="9" t="str">
        <x:f>IF(C108="","",IF(COUNTIF(Facilities!$C$9:$C$108,D108)&lt;&gt;1,"Facility key",IF(OR(NOT(ISNUMBER(N108)),N108&lt;0),"Amount required",IF(SUMIF($D$9:$D$108,D108,$N$9:$N$108)&gt;IFERROR(INDEX('Facilities'!$AA$9:$AA$108,MATCH(D108,'Facilities'!$C$9:$C$108,0)),"")+0.000001,"Overallocated",IF(N108=0,"No allocation",IF(O108="","Evidence required","Valid"))))))</x:f>
      </x:c>
      <x:c r="AB108" s="3" t="str">
        <x:f>IF(C108="","",IF(OR(U108="Fail",Z108="Fail"),IF(H108="Jordan 2026","Red / not aligned","Not eligible"),IF(OR(U108="Criteria required",V108=0),"Criteria required",IF(Z108&lt;&gt;"Pass","Pending",IF(U108="Amber","Amber",IF(H108="Jordan 2026","Green","Eligible (internal)"))))))</x:f>
      </x:c>
      <x:c r="AC108" s="9" t="str">
        <x:f>IF(C108="","",IF(T108="Rejected","Rejected",IF(OR(AB108="Red / not aligned",AB108="Not eligible"),"Not eligible",IF(OR(AH108&lt;&gt;"Current",T108&lt;&gt;"Approved",Z108&lt;&gt;"Pass",(COUNTIFS('Actions'!$D$9:$D$308,E108,'Actions'!$E$9:$E$308,"E&amp;S",'Actions'!$F$9:$F$308,"Critical",'Actions'!$P$9:$P$308,"&lt;&gt;Closed",'Actions'!$C$9:$C$308,"&lt;&gt;")+COUNTIFS('Actions'!$D$9:$D$308,E108,'Actions'!$E$9:$E$308,"Taxonomy",'Actions'!$F$9:$F$308,"Critical",'Actions'!$P$9:$P$308,"&lt;&gt;Closed",'Actions'!$C$9:$C$308,"&lt;&gt;")+COUNTIFS('ESG'!$C$9:$C$108,E108,'ESG'!$H$9:$H$108,"Yes"))&gt;0,AND(AB108&lt;&gt;"Green",AB108&lt;&gt;"Amber",AB108&lt;&gt;"Eligible (internal)")),"Pending",IF(AA108="No allocation","Activity only",IF(AA108&lt;&gt;"Valid","Pending","Approved"))))))</x:f>
      </x:c>
      <x:c r="AD108" s="21" t="str">
        <x:f>IF(C108="","",IF(AND(AC108="Approved",OR(AB108="Green",AB108="Eligible (internal)")),N108,0))</x:f>
      </x:c>
      <x:c r="AE108" s="21" t="str">
        <x:f>IF(C108="","",IF(AND(AC108="Approved",AB108="Amber"),N108,0))</x:f>
      </x:c>
      <x:c r="AF108" s="9" t="str">
        <x:f>IF(C108="","",IF((COUNTIFS('Actions'!$D$9:$D$308,E108,'Actions'!$E$9:$E$308,"E&amp;S",'Actions'!$F$9:$F$308,"Critical",'Actions'!$P$9:$P$308,"&lt;&gt;Closed",'Actions'!$C$9:$C$308,"&lt;&gt;")+COUNTIFS('Actions'!$D$9:$D$308,E108,'Actions'!$E$9:$E$308,"Taxonomy",'Actions'!$F$9:$F$308,"Critical",'Actions'!$P$9:$P$308,"&lt;&gt;Closed",'Actions'!$C$9:$C$308,"&lt;&gt;")+COUNTIFS('ESG'!$C$9:$C$108,E108,'ESG'!$H$9:$H$108,"Yes"))&gt;0,"Resolve critical E&amp;S / taxonomy issue",IF(AH108&lt;&gt;"Current",AH108,IF(Z108&lt;&gt;"Pass","Review individual tests",IF(U108="Criteria required","Sourced criteria / interpretation required",IF(AA108&lt;&gt;"Valid",AA108,IF(T108&lt;&gt;"Approved","Approval required",I108)))))))</x:f>
      </x:c>
      <x:c r="AG108" s="9" t="str">
        <x:f>IF(C108="","",IFERROR(INDEX('Taxonomy Rules'!$L$9:$L$20,MATCH(H108&amp;"::"&amp;G108,'Taxonomy Rules'!$C$9:$C$20,0)),"Unimplemented activity"))</x:f>
      </x:c>
      <x:c r="AH108" s="9" t="str">
        <x:f>IF(C108="","",IF(COUNTIF($C$9:$C$108,C108)&lt;&gt;1,"Duplicate ID",IF(OR(COUNTIF(Facilities!$C$9:$C$108,D108)&lt;&gt;1,COUNTIF(Borrowers!$C$9:$C$108,E108)&lt;&gt;1),"Key review",IF(OR(P108="",Q108="",P108=Q108,NOT(ISNUMBER(R108)),NOT(ISNUMBER(S108)),R108&gt;Settings!$F$8,S108&lt;R108),"Review required",IF(S108&lt;Settings!$F$8,"Expired","Current")))))</x:f>
      </x:c>
    </x:row>
  </x:sheetData>
  <x:mergeCells>
    <x:mergeCell ref="C2:H2"/>
    <x:mergeCell ref="C3:M3"/>
    <x:mergeCell ref="C7:F7"/>
    <x:mergeCell ref="G7:J7"/>
    <x:mergeCell ref="K7:N7"/>
    <x:mergeCell ref="C1:D1"/>
    <x:mergeCell ref="E1:F1"/>
    <x:mergeCell ref="G1:H1"/>
    <x:mergeCell ref="I1:J1"/>
    <x:mergeCell ref="K1:L1"/>
    <x:mergeCell ref="M1:N1"/>
  </x:mergeCells>
  <x:conditionalFormatting sqref="Z9:AC108">
    <x:cfRule type="containsText" dxfId="208" priority="1" operator="containsText" text="Missing"/>
    <x:cfRule type="containsText" dxfId="209" priority="2" operator="containsText" text="Required"/>
    <x:cfRule type="containsText" dxfId="210" priority="3" operator="containsText" text="required"/>
    <x:cfRule type="containsText" dxfId="211" priority="4" operator="containsText" text="Expired"/>
    <x:cfRule type="containsText" dxfId="212" priority="5" operator="containsText" text="Hold"/>
    <x:cfRule type="containsText" dxfId="213" priority="6" operator="containsText" text="Review"/>
    <x:cfRule type="containsText" dxfId="214" priority="7" operator="containsText" text="Incomplete"/>
    <x:cfRule type="containsText" dxfId="215" priority="8" operator="containsText" text="Pending"/>
    <x:cfRule type="containsText" dxfId="216" priority="9" operator="containsText" text="Unsupported"/>
    <x:cfRule type="containsText" dxfId="217" priority="10" operator="containsText" text="Criteria"/>
    <x:cfRule type="containsText" dxfId="218" priority="11" operator="containsText" text="Fail"/>
    <x:cfRule type="containsText" dxfId="219" priority="12" operator="containsText" text="Stop"/>
    <x:cfRule type="containsText" dxfId="220" priority="13" operator="containsText" text="Breach"/>
    <x:cfRule type="containsText" dxfId="221" priority="14" operator="containsText" text="Invalid"/>
    <x:cfRule type="containsText" dxfId="222" priority="15" operator="containsText" text="Duplicate"/>
    <x:cfRule type="containsText" dxfId="223" priority="16" operator="containsText" text="Not aligned"/>
  </x:conditionalFormatting>
  <x:conditionalFormatting sqref="AH9:AH108">
    <x:cfRule type="containsText" dxfId="224" priority="17" operator="containsText" text="Missing"/>
    <x:cfRule type="containsText" dxfId="225" priority="18" operator="containsText" text="Required"/>
    <x:cfRule type="containsText" dxfId="226" priority="19" operator="containsText" text="required"/>
    <x:cfRule type="containsText" dxfId="227" priority="20" operator="containsText" text="Expired"/>
    <x:cfRule type="containsText" dxfId="228" priority="21" operator="containsText" text="Hold"/>
    <x:cfRule type="containsText" dxfId="229" priority="22" operator="containsText" text="Review"/>
    <x:cfRule type="containsText" dxfId="230" priority="23" operator="containsText" text="Incomplete"/>
    <x:cfRule type="containsText" dxfId="231" priority="24" operator="containsText" text="Pending"/>
    <x:cfRule type="containsText" dxfId="232" priority="25" operator="containsText" text="Unsupported"/>
    <x:cfRule type="containsText" dxfId="233" priority="26" operator="containsText" text="Criteria"/>
    <x:cfRule type="containsText" dxfId="234" priority="27" operator="containsText" text="Fail"/>
    <x:cfRule type="containsText" dxfId="235" priority="28" operator="containsText" text="Stop"/>
    <x:cfRule type="containsText" dxfId="236" priority="29" operator="containsText" text="Breach"/>
    <x:cfRule type="containsText" dxfId="237" priority="30" operator="containsText" text="Invalid"/>
    <x:cfRule type="containsText" dxfId="238" priority="31" operator="containsText" text="Duplicate"/>
    <x:cfRule type="containsText" dxfId="239" priority="32" operator="containsText" text="Not aligned"/>
  </x:conditionalFormatting>
  <x:dataValidations count="3">
    <x:dataValidation type="list" sqref="D9:D108">
      <x:formula1>"F001,F002,F003,F004,F005,F006,F007,F008,F009,F010,F011,F012,F013,F014,F015,F016,F017,F018,F019,F020,F021,F022,F023,F024,F025,F026,F027,F028,F029,F030,F031,F032,F033,F034,F035,F036"</x:formula1>
    </x:dataValidation>
    <x:dataValidation type="list" sqref="M9:M108">
      <x:formula1>"Eligible activity,Green,Amber,Improvement,Whole building,Zero emissions,Equipment,Unspecified"</x:formula1>
    </x:dataValidation>
    <x:dataValidation type="list" sqref="T9:T108">
      <x:formula1>"Pending,Approved,Rejected"</x:formula1>
    </x:dataValidation>
  </x:dataValidations>
  <x:hyperlinks>
    <x:hyperlink ref="C7" location="'Taxonomy'!G8" display="Activity and allocation" tooltip="Open Taxonomy"/>
    <x:hyperlink ref="G7" location="'Taxonomy'!U8" display="Tests and classification" tooltip="Open Taxonomy"/>
    <x:hyperlink ref="K7" location="'Taxonomy Tests'!C8" display="Evidence tests" tooltip="Open Taxonomy Tests"/>
    <x:hyperlink ref="C1" location="'Overview'!C2" display="Home" tooltip="Open Overview"/>
    <x:hyperlink ref="E1" location="'Customer'!C2" display="Customer" tooltip="Open Customer"/>
    <x:hyperlink ref="G1" location="'Capital'!C2" display="Capital" tooltip="Open Capital"/>
    <x:hyperlink ref="I1" location="'Disclosures'!C2" display="Reporting" tooltip="Open Disclosures"/>
    <x:hyperlink ref="K1" location="'Borrowers'!C8" display="Inputs" tooltip="Open Borrowers"/>
    <x:hyperlink ref="M1" location="'Settings'!C5" display="Settings" tooltip="Open Settings"/>
  </x:hyperlinks>
  <x:pageMargins left="0.7" right="0.7" top="0.75" bottom="0.75" header="0.3" footer="0.3"/>
  <x:tableParts count="1">
    <x:tablePart xmlns:r="http://schemas.openxmlformats.org/officeDocument/2006/relationships" r:id="R37003548c1c0478b"/>
  </x:tableParts>
</x:worksheet>
</file>

<file path=xl/worksheets/sheet14.xml><?xml version="1.0" encoding="utf-8"?>
<x:worksheet xmlns:x="http://schemas.openxmlformats.org/spreadsheetml/2006/main">
  <x:sheetPr>
    <x:tabColor rgb="FF007F86"/>
  </x:sheetPr>
  <x:sheetViews>
    <x:sheetView showGridLines="0" workbookViewId="0">
      <x:pane xSplit="4" ySplit="8" topLeftCell="E9" activePane="bottomRight" state="frozen"/>
    </x:sheetView>
  </x:sheetViews>
  <x:sheetFormatPr defaultRowHeight="15"/>
  <x:cols>
    <x:col min="1" max="1" width="2.4000000953674316" hidden="0" customWidth="1"/>
    <x:col min="2" max="2" width="2.4000000953674316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48" hidden="0" customWidth="1"/>
    <x:col min="8" max="8" width="25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</x:cols>
  <x:sheetData>
    <x:row r="1" ht="27" customHeight="1">
      <x:c r="A1" s="1"/>
      <x:c r="B1" s="1"/>
      <x:c r="C1" s="50" t="str">
        <x:v>Home</x:v>
      </x:c>
      <x:c r="D1" s="50"/>
      <x:c r="E1" s="63" t="str">
        <x:v>Customer</x:v>
      </x:c>
      <x:c r="F1" s="63"/>
      <x:c r="G1" s="63" t="str">
        <x:v>Capital</x:v>
      </x:c>
      <x:c r="H1" s="63"/>
      <x:c r="I1" s="63" t="str">
        <x:v>Reporting</x:v>
      </x:c>
      <x:c r="J1" s="63"/>
      <x:c r="K1" s="63" t="str">
        <x:v>Inputs</x:v>
      </x:c>
      <x:c r="L1" s="63"/>
      <x:c r="M1" s="63" t="str">
        <x:v>Settings</x:v>
      </x:c>
      <x:c r="N1" s="63"/>
      <x:c r="O1" s="3"/>
      <x:c r="P1" s="3"/>
      <x:c r="Q1" s="3"/>
      <x:c r="R1" s="3"/>
      <x:c r="S1" s="3"/>
      <x:c r="T1" s="3"/>
      <x:c r="U1" s="3"/>
    </x:row>
    <x:row r="2" ht="45" customHeight="1">
      <x:c r="A2" s="1"/>
      <x:c r="B2" s="1"/>
      <x:c r="C2" s="5" t="str">
        <x:v>ACTION &amp; EVIDENCE REGISTER</x:v>
      </x:c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</x:row>
    <x:row r="3" ht="32" customHeight="1">
      <x:c r="A3" s="1"/>
      <x:c r="B3" s="1"/>
      <x:c r="C3" s="6" t="str">
        <x:v>Closure requires evidence, an independent verifier and a valid verification date • feeds E&amp;S decisions</x:v>
      </x:c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3"/>
      <x:c r="O3" s="3"/>
      <x:c r="P3" s="3"/>
      <x:c r="Q3" s="3"/>
      <x:c r="R3" s="3"/>
      <x:c r="S3" s="3"/>
      <x:c r="T3" s="3"/>
      <x:c r="U3" s="3"/>
    </x:row>
    <x:row r="4" ht="26" customHeight="1">
      <x:c r="A4" s="1"/>
      <x:c r="B4" s="1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</x:row>
    <x:row r="5" ht="26" customHeight="1">
      <x:c r="A5" s="1"/>
      <x:c r="B5" s="1"/>
      <x:c r="C5" s="3" t="str">
        <x:v>Open / unverified</x:v>
      </x:c>
      <x:c r="D5" s="3"/>
      <x:c r="E5" s="3"/>
      <x:c r="F5" s="3" t="n">
        <x:f>COUNTIF(P9:P308,"Open")+COUNTIF(P9:P308,"Closure pending")+COUNTIF(P9:P308,"Review")</x:f>
        <x:v>16</x:v>
      </x:c>
      <x:c r="G5" s="3"/>
      <x:c r="H5" s="3"/>
      <x:c r="I5" s="3" t="str">
        <x:v>Critical unresolved</x:v>
      </x:c>
      <x:c r="J5" s="3"/>
      <x:c r="K5" s="3"/>
      <x:c r="L5" s="3" t="n">
        <x:f>COUNTIFS(F9:F308,"Critical",P9:P308,"&lt;&gt;Closed",C9:C308,"&lt;&gt;")</x:f>
        <x:v>3</x:v>
      </x:c>
      <x:c r="M5" s="3"/>
      <x:c r="N5" s="3"/>
      <x:c r="O5" s="3" t="str">
        <x:v>Overdue</x:v>
      </x:c>
      <x:c r="P5" s="3"/>
      <x:c r="Q5" s="3"/>
      <x:c r="R5" s="3" t="n">
        <x:f>COUNTIF(Q9:Q308,"Overdue")</x:f>
        <x:v>4</x:v>
      </x:c>
      <x:c r="S5" s="3"/>
      <x:c r="T5" s="3"/>
      <x:c r="U5" s="3"/>
    </x:row>
    <x:row r="6" ht="26" customHeight="1">
      <x:c r="A6" s="1"/>
      <x:c r="B6" s="1"/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  <x:c r="O6" s="3"/>
      <x:c r="P6" s="3"/>
      <x:c r="Q6" s="3"/>
      <x:c r="R6" s="3"/>
      <x:c r="S6" s="3"/>
      <x:c r="T6" s="3"/>
      <x:c r="U6" s="3"/>
    </x:row>
    <x:row r="7" ht="26" customHeight="1">
      <x:c r="A7" s="1"/>
      <x:c r="B7" s="1"/>
      <x:c r="C7" s="50" t="str">
        <x:v>Owner and due date</x:v>
      </x:c>
      <x:c r="D7" s="50"/>
      <x:c r="E7" s="50"/>
      <x:c r="F7" s="50"/>
      <x:c r="G7" s="63" t="str">
        <x:v>Closure evidence</x:v>
      </x:c>
      <x:c r="H7" s="63"/>
      <x:c r="I7" s="63"/>
      <x:c r="J7" s="63"/>
      <x:c r="K7" s="63" t="str">
        <x:v>Decision status</x:v>
      </x:c>
      <x:c r="L7" s="63"/>
      <x:c r="M7" s="63"/>
      <x:c r="N7" s="63"/>
      <x:c r="O7" s="3"/>
      <x:c r="P7" s="3"/>
      <x:c r="Q7" s="3"/>
      <x:c r="R7" s="3"/>
      <x:c r="S7" s="3"/>
      <x:c r="T7" s="3"/>
      <x:c r="U7" s="3"/>
    </x:row>
    <x:row r="8" ht="46" customHeight="1">
      <x:c r="A8" s="1"/>
      <x:c r="B8" s="1"/>
      <x:c r="C8" s="15" t="str">
        <x:v>Action ID</x:v>
      </x:c>
      <x:c r="D8" s="15" t="str">
        <x:v>Borrower ID</x:v>
      </x:c>
      <x:c r="E8" s="15" t="str">
        <x:v>Domain</x:v>
      </x:c>
      <x:c r="F8" s="15" t="str">
        <x:v>Severity</x:v>
      </x:c>
      <x:c r="G8" s="15" t="str">
        <x:v>Required action</x:v>
      </x:c>
      <x:c r="H8" s="15" t="str">
        <x:v>Owner</x:v>
      </x:c>
      <x:c r="I8" s="15" t="str">
        <x:v>Due date</x:v>
      </x:c>
      <x:c r="J8" s="15" t="str">
        <x:v>State entered</x:v>
      </x:c>
      <x:c r="K8" s="15" t="str">
        <x:v>Closure evidence</x:v>
      </x:c>
      <x:c r="L8" s="15" t="str">
        <x:v>Verifier</x:v>
      </x:c>
      <x:c r="M8" s="15" t="str">
        <x:v>Verified date</x:v>
      </x:c>
      <x:c r="N8" s="15" t="str">
        <x:v>Opened date</x:v>
      </x:c>
      <x:c r="O8" s="15" t="str">
        <x:v>Valid closure</x:v>
      </x:c>
      <x:c r="P8" s="15" t="str">
        <x:v>Decision state</x:v>
      </x:c>
      <x:c r="Q8" s="15" t="str">
        <x:v>Overdue</x:v>
      </x:c>
      <x:c r="R8" s="15" t="str">
        <x:v>Days overdue</x:v>
      </x:c>
      <x:c r="S8" s="15" t="str">
        <x:v>Key control</x:v>
      </x:c>
      <x:c r="T8" s="15" t="str">
        <x:v>Borrower</x:v>
      </x:c>
      <x:c r="U8" s="15" t="str">
        <x:v>Source</x:v>
      </x:c>
    </x:row>
    <x:row r="9" ht="42" customHeight="1">
      <x:c r="A9" s="1"/>
      <x:c r="B9" s="1"/>
      <x:c r="C9" s="8" t="str">
        <x:v>ACT-B001</x:v>
      </x:c>
      <x:c r="D9" s="8" t="str">
        <x:v>B001</x:v>
      </x:c>
      <x:c r="E9" s="8" t="str">
        <x:v>E&amp;S</x:v>
      </x:c>
      <x:c r="F9" s="8" t="str">
        <x:v>Critical</x:v>
      </x:c>
      <x:c r="G9" s="8" t="str">
        <x:v>Resolve material labour / safety finding</x:v>
      </x:c>
      <x:c r="H9" s="8" t="str">
        <x:v>Relationship manager 1</x:v>
      </x:c>
      <x:c r="I9" s="10" t="n">
        <x:v>46265</x:v>
      </x:c>
      <x:c r="J9" s="8" t="str">
        <x:v>Open</x:v>
      </x:c>
      <x:c r="K9" s="8" t="str"/>
      <x:c r="L9" s="8" t="str"/>
      <x:c r="M9" s="10" t="str"/>
      <x:c r="N9" s="10" t="n">
        <x:v>46204</x:v>
      </x:c>
      <x:c r="O9" s="9" t="str">
        <x:f>IF(C9="","",IF(AND(S9="Valid",J9="Closed",K9&lt;&gt;"",L9&lt;&gt;"",L9&lt;&gt;H9,ISNUMBER(M9),M9&gt;=N9,M9&lt;=Settings!$F$8),"Verified","Unverified"))</x:f>
        <x:v>Unverified</x:v>
      </x:c>
      <x:c r="P9" s="3" t="str">
        <x:f>IF(C9="","",IF(S9&lt;&gt;"Valid","Review",IF(O9="Verified","Closed",IF(J9="Closed","Closure pending",IF(OR(J9="Open",J9="In progress"),"Open","Review")))))</x:f>
        <x:v>Open</x:v>
      </x:c>
      <x:c r="Q9" s="9" t="str">
        <x:f>IF(C9="","",IF(AND(P9&lt;&gt;"Closed",ISNUMBER(I9),I9&lt;Settings!$F$8),"Overdue","Current"))</x:f>
        <x:v>Overdue</x:v>
      </x:c>
      <x:c r="R9" s="9" t="n">
        <x:f>IF(C9="","",IF(Q9="Overdue",Settings!$F$8-I9,0))</x:f>
        <x:v>122</x:v>
      </x:c>
      <x:c r="S9" s="9" t="str">
        <x:f>IF(C9="","",IF(COUNTIF($C$9:$C$308,C9)&lt;&gt;1,"Duplicate ID",IF(COUNTIF(Borrowers!$C$9:$C$108,D9)&lt;&gt;1,"Borrower key",IF(OR(NOT(OR(E9="E&amp;S",E9="Taxonomy",E9="Climate",E9="Data")),NOT(OR(F9="Critical",F9="High",F9="Moderate",F9="Low")),NOT(OR(J9="Open",J9="In progress",J9="Closed")),G9="",H9="",NOT(ISNUMBER(I9)),NOT(ISNUMBER(N9)),I9&lt;N9,N9&gt;Settings!$F$8),"Incomplete","Valid"))))</x:f>
        <x:v>Valid</x:v>
      </x:c>
      <x:c r="T9" s="9" t="str">
        <x:f>IF(C9="","",IFERROR(INDEX('Borrowers'!$D$9:$D$108,MATCH(D9,'Borrowers'!$C$9:$C$108,0)),""))</x:f>
        <x:v>Demo Nile Cement</x:v>
      </x:c>
      <x:c r="U9" s="3" t="str">
        <x:f>IF(C9="","","S01 ESRMS I.4–9; bank decision policy")</x:f>
        <x:v>S01 ESRMS I.4–9; bank decision policy</x:v>
      </x:c>
    </x:row>
    <x:row r="10" ht="42" customHeight="1">
      <x:c r="A10" s="1"/>
      <x:c r="B10" s="1"/>
      <x:c r="C10" s="8" t="str">
        <x:v>ACT-B002</x:v>
      </x:c>
      <x:c r="D10" s="8" t="str">
        <x:v>B002</x:v>
      </x:c>
      <x:c r="E10" s="8" t="str">
        <x:v>E&amp;S</x:v>
      </x:c>
      <x:c r="F10" s="8" t="str">
        <x:v>Moderate</x:v>
      </x:c>
      <x:c r="G10" s="8" t="str">
        <x:v>Complete environmental and social evidence review</x:v>
      </x:c>
      <x:c r="H10" s="8" t="str">
        <x:v>Relationship manager 2</x:v>
      </x:c>
      <x:c r="I10" s="10" t="n">
        <x:v>46477</x:v>
      </x:c>
      <x:c r="J10" s="8" t="str">
        <x:v>Closed</x:v>
      </x:c>
      <x:c r="K10" s="8" t="str">
        <x:v>SYN-CLOSE-B002</x:v>
      </x:c>
      <x:c r="L10" s="8" t="str">
        <x:v>ESG assurance 2</x:v>
      </x:c>
      <x:c r="M10" s="10" t="n">
        <x:v>46280</x:v>
      </x:c>
      <x:c r="N10" s="10" t="n">
        <x:v>46204</x:v>
      </x:c>
      <x:c r="O10" s="9" t="str">
        <x:f>IF(C10="","",IF(AND(S10="Valid",J10="Closed",K10&lt;&gt;"",L10&lt;&gt;"",L10&lt;&gt;H10,ISNUMBER(M10),M10&gt;=N10,M10&lt;=Settings!$F$8),"Verified","Unverified"))</x:f>
        <x:v>Verified</x:v>
      </x:c>
      <x:c r="P10" s="3" t="str">
        <x:f>IF(C10="","",IF(S10&lt;&gt;"Valid","Review",IF(O10="Verified","Closed",IF(J10="Closed","Closure pending",IF(OR(J10="Open",J10="In progress"),"Open","Review")))))</x:f>
        <x:v>Closed</x:v>
      </x:c>
      <x:c r="Q10" s="9" t="str">
        <x:f>IF(C10="","",IF(AND(P10&lt;&gt;"Closed",ISNUMBER(I10),I10&lt;Settings!$F$8),"Overdue","Current"))</x:f>
        <x:v>Current</x:v>
      </x:c>
      <x:c r="R10" s="9" t="n">
        <x:f>IF(C10="","",IF(Q10="Overdue",Settings!$F$8-I10,0))</x:f>
        <x:v>0</x:v>
      </x:c>
      <x:c r="S10" s="9" t="str">
        <x:f>IF(C10="","",IF(COUNTIF($C$9:$C$308,C10)&lt;&gt;1,"Duplicate ID",IF(COUNTIF(Borrowers!$C$9:$C$108,D10)&lt;&gt;1,"Borrower key",IF(OR(NOT(OR(E10="E&amp;S",E10="Taxonomy",E10="Climate",E10="Data")),NOT(OR(F10="Critical",F10="High",F10="Moderate",F10="Low")),NOT(OR(J10="Open",J10="In progress",J10="Closed")),G10="",H10="",NOT(ISNUMBER(I10)),NOT(ISNUMBER(N10)),I10&lt;N10,N10&gt;Settings!$F$8),"Incomplete","Valid"))))</x:f>
        <x:v>Valid</x:v>
      </x:c>
      <x:c r="T10" s="9" t="str">
        <x:f>IF(C10="","",IFERROR(INDEX('Borrowers'!$D$9:$D$108,MATCH(D10,'Borrowers'!$C$9:$C$108,0)),""))</x:f>
        <x:v>Demo Delta Solar</x:v>
      </x:c>
      <x:c r="U10" s="3" t="str">
        <x:f>IF(C10="","","S01 ESRMS I.4–9; bank decision policy")</x:f>
        <x:v>S01 ESRMS I.4–9; bank decision policy</x:v>
      </x:c>
    </x:row>
    <x:row r="11" ht="42" customHeight="1">
      <x:c r="A11" s="1"/>
      <x:c r="B11" s="1"/>
      <x:c r="C11" s="8" t="str">
        <x:v>ACT-B003</x:v>
      </x:c>
      <x:c r="D11" s="8" t="str">
        <x:v>B003</x:v>
      </x:c>
      <x:c r="E11" s="8" t="str">
        <x:v>E&amp;S</x:v>
      </x:c>
      <x:c r="F11" s="8" t="str">
        <x:v>Moderate</x:v>
      </x:c>
      <x:c r="G11" s="8" t="str">
        <x:v>Complete environmental and social evidence review</x:v>
      </x:c>
      <x:c r="H11" s="8" t="str">
        <x:v>Relationship manager 3</x:v>
      </x:c>
      <x:c r="I11" s="10" t="n">
        <x:v>46477</x:v>
      </x:c>
      <x:c r="J11" s="8" t="str">
        <x:v>Open</x:v>
      </x:c>
      <x:c r="K11" s="8" t="str"/>
      <x:c r="L11" s="8" t="str"/>
      <x:c r="M11" s="10" t="str"/>
      <x:c r="N11" s="10" t="n">
        <x:v>46204</x:v>
      </x:c>
      <x:c r="O11" s="9" t="str">
        <x:f>IF(C11="","",IF(AND(S11="Valid",J11="Closed",K11&lt;&gt;"",L11&lt;&gt;"",L11&lt;&gt;H11,ISNUMBER(M11),M11&gt;=N11,M11&lt;=Settings!$F$8),"Verified","Unverified"))</x:f>
        <x:v>Unverified</x:v>
      </x:c>
      <x:c r="P11" s="3" t="str">
        <x:f>IF(C11="","",IF(S11&lt;&gt;"Valid","Review",IF(O11="Verified","Closed",IF(J11="Closed","Closure pending",IF(OR(J11="Open",J11="In progress"),"Open","Review")))))</x:f>
        <x:v>Open</x:v>
      </x:c>
      <x:c r="Q11" s="9" t="str">
        <x:f>IF(C11="","",IF(AND(P11&lt;&gt;"Closed",ISNUMBER(I11),I11&lt;Settings!$F$8),"Overdue","Current"))</x:f>
        <x:v>Current</x:v>
      </x:c>
      <x:c r="R11" s="9" t="n">
        <x:f>IF(C11="","",IF(Q11="Overdue",Settings!$F$8-I11,0))</x:f>
        <x:v>0</x:v>
      </x:c>
      <x:c r="S11" s="9" t="str">
        <x:f>IF(C11="","",IF(COUNTIF($C$9:$C$308,C11)&lt;&gt;1,"Duplicate ID",IF(COUNTIF(Borrowers!$C$9:$C$108,D11)&lt;&gt;1,"Borrower key",IF(OR(NOT(OR(E11="E&amp;S",E11="Taxonomy",E11="Climate",E11="Data")),NOT(OR(F11="Critical",F11="High",F11="Moderate",F11="Low")),NOT(OR(J11="Open",J11="In progress",J11="Closed")),G11="",H11="",NOT(ISNUMBER(I11)),NOT(ISNUMBER(N11)),I11&lt;N11,N11&gt;Settings!$F$8),"Incomplete","Valid"))))</x:f>
        <x:v>Valid</x:v>
      </x:c>
      <x:c r="T11" s="9" t="str">
        <x:f>IF(C11="","",IFERROR(INDEX('Borrowers'!$D$9:$D$108,MATCH(D11,'Borrowers'!$C$9:$C$108,0)),""))</x:f>
        <x:v>Demo Alexandria Logistics</x:v>
      </x:c>
      <x:c r="U11" s="3" t="str">
        <x:f>IF(C11="","","S01 ESRMS I.4–9; bank decision policy")</x:f>
        <x:v>S01 ESRMS I.4–9; bank decision policy</x:v>
      </x:c>
    </x:row>
    <x:row r="12" ht="42" customHeight="1">
      <x:c r="A12" s="1"/>
      <x:c r="B12" s="1"/>
      <x:c r="C12" s="8" t="str">
        <x:v>ACT-B004</x:v>
      </x:c>
      <x:c r="D12" s="8" t="str">
        <x:v>B004</x:v>
      </x:c>
      <x:c r="E12" s="8" t="str">
        <x:v>E&amp;S</x:v>
      </x:c>
      <x:c r="F12" s="8" t="str">
        <x:v>High</x:v>
      </x:c>
      <x:c r="G12" s="8" t="str">
        <x:v>Complete environmental and social evidence review</x:v>
      </x:c>
      <x:c r="H12" s="8" t="str">
        <x:v>Relationship manager 4</x:v>
      </x:c>
      <x:c r="I12" s="10" t="n">
        <x:v>46477</x:v>
      </x:c>
      <x:c r="J12" s="8" t="str">
        <x:v>Open</x:v>
      </x:c>
      <x:c r="K12" s="8" t="str"/>
      <x:c r="L12" s="8" t="str"/>
      <x:c r="M12" s="10" t="str"/>
      <x:c r="N12" s="10" t="n">
        <x:v>46204</x:v>
      </x:c>
      <x:c r="O12" s="9" t="str">
        <x:f>IF(C12="","",IF(AND(S12="Valid",J12="Closed",K12&lt;&gt;"",L12&lt;&gt;"",L12&lt;&gt;H12,ISNUMBER(M12),M12&gt;=N12,M12&lt;=Settings!$F$8),"Verified","Unverified"))</x:f>
        <x:v>Unverified</x:v>
      </x:c>
      <x:c r="P12" s="3" t="str">
        <x:f>IF(C12="","",IF(S12&lt;&gt;"Valid","Review",IF(O12="Verified","Closed",IF(J12="Closed","Closure pending",IF(OR(J12="Open",J12="In progress"),"Open","Review")))))</x:f>
        <x:v>Open</x:v>
      </x:c>
      <x:c r="Q12" s="9" t="str">
        <x:f>IF(C12="","",IF(AND(P12&lt;&gt;"Closed",ISNUMBER(I12),I12&lt;Settings!$F$8),"Overdue","Current"))</x:f>
        <x:v>Current</x:v>
      </x:c>
      <x:c r="R12" s="9" t="n">
        <x:f>IF(C12="","",IF(Q12="Overdue",Settings!$F$8-I12,0))</x:f>
        <x:v>0</x:v>
      </x:c>
      <x:c r="S12" s="9" t="str">
        <x:f>IF(C12="","",IF(COUNTIF($C$9:$C$308,C12)&lt;&gt;1,"Duplicate ID",IF(COUNTIF(Borrowers!$C$9:$C$108,D12)&lt;&gt;1,"Borrower key",IF(OR(NOT(OR(E12="E&amp;S",E12="Taxonomy",E12="Climate",E12="Data")),NOT(OR(F12="Critical",F12="High",F12="Moderate",F12="Low")),NOT(OR(J12="Open",J12="In progress",J12="Closed")),G12="",H12="",NOT(ISNUMBER(I12)),NOT(ISNUMBER(N12)),I12&lt;N12,N12&gt;Settings!$F$8),"Incomplete","Valid"))))</x:f>
        <x:v>Valid</x:v>
      </x:c>
      <x:c r="T12" s="9" t="str">
        <x:f>IF(C12="","",IFERROR(INDEX('Borrowers'!$D$9:$D$108,MATCH(D12,'Borrowers'!$C$9:$C$108,0)),""))</x:f>
        <x:v>Demo Oasis Foods</x:v>
      </x:c>
      <x:c r="U12" s="3" t="str">
        <x:f>IF(C12="","","S01 ESRMS I.4–9; bank decision policy")</x:f>
        <x:v>S01 ESRMS I.4–9; bank decision policy</x:v>
      </x:c>
    </x:row>
    <x:row r="13" ht="42" customHeight="1">
      <x:c r="A13" s="1"/>
      <x:c r="B13" s="1"/>
      <x:c r="C13" s="8" t="str">
        <x:v>ACT-B005</x:v>
      </x:c>
      <x:c r="D13" s="8" t="str">
        <x:v>B005</x:v>
      </x:c>
      <x:c r="E13" s="8" t="str">
        <x:v>E&amp;S</x:v>
      </x:c>
      <x:c r="F13" s="8" t="str">
        <x:v>Moderate</x:v>
      </x:c>
      <x:c r="G13" s="8" t="str">
        <x:v>Complete environmental and social evidence review</x:v>
      </x:c>
      <x:c r="H13" s="8" t="str">
        <x:v>Relationship manager 1</x:v>
      </x:c>
      <x:c r="I13" s="10" t="n">
        <x:v>46265</x:v>
      </x:c>
      <x:c r="J13" s="8" t="str">
        <x:v>Closed</x:v>
      </x:c>
      <x:c r="K13" s="8" t="str">
        <x:v>SYN-CLOSE-B005</x:v>
      </x:c>
      <x:c r="L13" s="8" t="str">
        <x:v>ESG assurance 2</x:v>
      </x:c>
      <x:c r="M13" s="10" t="n">
        <x:v>46280</x:v>
      </x:c>
      <x:c r="N13" s="10" t="n">
        <x:v>46204</x:v>
      </x:c>
      <x:c r="O13" s="9" t="str">
        <x:f>IF(C13="","",IF(AND(S13="Valid",J13="Closed",K13&lt;&gt;"",L13&lt;&gt;"",L13&lt;&gt;H13,ISNUMBER(M13),M13&gt;=N13,M13&lt;=Settings!$F$8),"Verified","Unverified"))</x:f>
        <x:v>Verified</x:v>
      </x:c>
      <x:c r="P13" s="3" t="str">
        <x:f>IF(C13="","",IF(S13&lt;&gt;"Valid","Review",IF(O13="Verified","Closed",IF(J13="Closed","Closure pending",IF(OR(J13="Open",J13="In progress"),"Open","Review")))))</x:f>
        <x:v>Closed</x:v>
      </x:c>
      <x:c r="Q13" s="9" t="str">
        <x:f>IF(C13="","",IF(AND(P13&lt;&gt;"Closed",ISNUMBER(I13),I13&lt;Settings!$F$8),"Overdue","Current"))</x:f>
        <x:v>Current</x:v>
      </x:c>
      <x:c r="R13" s="9" t="n">
        <x:f>IF(C13="","",IF(Q13="Overdue",Settings!$F$8-I13,0))</x:f>
        <x:v>0</x:v>
      </x:c>
      <x:c r="S13" s="9" t="str">
        <x:f>IF(C13="","",IF(COUNTIF($C$9:$C$308,C13)&lt;&gt;1,"Duplicate ID",IF(COUNTIF(Borrowers!$C$9:$C$108,D13)&lt;&gt;1,"Borrower key",IF(OR(NOT(OR(E13="E&amp;S",E13="Taxonomy",E13="Climate",E13="Data")),NOT(OR(F13="Critical",F13="High",F13="Moderate",F13="Low")),NOT(OR(J13="Open",J13="In progress",J13="Closed")),G13="",H13="",NOT(ISNUMBER(I13)),NOT(ISNUMBER(N13)),I13&lt;N13,N13&gt;Settings!$F$8),"Incomplete","Valid"))))</x:f>
        <x:v>Valid</x:v>
      </x:c>
      <x:c r="T13" s="9" t="str">
        <x:f>IF(C13="","",IFERROR(INDEX('Borrowers'!$D$9:$D$108,MATCH(D13,'Borrowers'!$C$9:$C$108,0)),""))</x:f>
        <x:v>Demo Cairo Properties</x:v>
      </x:c>
      <x:c r="U13" s="3" t="str">
        <x:f>IF(C13="","","S01 ESRMS I.4–9; bank decision policy")</x:f>
        <x:v>S01 ESRMS I.4–9; bank decision policy</x:v>
      </x:c>
    </x:row>
    <x:row r="14" ht="42" customHeight="1">
      <x:c r="A14" s="1"/>
      <x:c r="B14" s="1"/>
      <x:c r="C14" s="8" t="str">
        <x:v>ACT-B006</x:v>
      </x:c>
      <x:c r="D14" s="8" t="str">
        <x:v>B006</x:v>
      </x:c>
      <x:c r="E14" s="8" t="str">
        <x:v>E&amp;S</x:v>
      </x:c>
      <x:c r="F14" s="8" t="str">
        <x:v>Moderate</x:v>
      </x:c>
      <x:c r="G14" s="8" t="str">
        <x:v>Complete environmental and social evidence review</x:v>
      </x:c>
      <x:c r="H14" s="8" t="str">
        <x:v>Relationship manager 2</x:v>
      </x:c>
      <x:c r="I14" s="10" t="n">
        <x:v>46477</x:v>
      </x:c>
      <x:c r="J14" s="8" t="str">
        <x:v>Open</x:v>
      </x:c>
      <x:c r="K14" s="8" t="str"/>
      <x:c r="L14" s="8" t="str"/>
      <x:c r="M14" s="10" t="str"/>
      <x:c r="N14" s="10" t="n">
        <x:v>46204</x:v>
      </x:c>
      <x:c r="O14" s="9" t="str">
        <x:f>IF(C14="","",IF(AND(S14="Valid",J14="Closed",K14&lt;&gt;"",L14&lt;&gt;"",L14&lt;&gt;H14,ISNUMBER(M14),M14&gt;=N14,M14&lt;=Settings!$F$8),"Verified","Unverified"))</x:f>
        <x:v>Unverified</x:v>
      </x:c>
      <x:c r="P14" s="3" t="str">
        <x:f>IF(C14="","",IF(S14&lt;&gt;"Valid","Review",IF(O14="Verified","Closed",IF(J14="Closed","Closure pending",IF(OR(J14="Open",J14="In progress"),"Open","Review")))))</x:f>
        <x:v>Open</x:v>
      </x:c>
      <x:c r="Q14" s="9" t="str">
        <x:f>IF(C14="","",IF(AND(P14&lt;&gt;"Closed",ISNUMBER(I14),I14&lt;Settings!$F$8),"Overdue","Current"))</x:f>
        <x:v>Current</x:v>
      </x:c>
      <x:c r="R14" s="9" t="n">
        <x:f>IF(C14="","",IF(Q14="Overdue",Settings!$F$8-I14,0))</x:f>
        <x:v>0</x:v>
      </x:c>
      <x:c r="S14" s="9" t="str">
        <x:f>IF(C14="","",IF(COUNTIF($C$9:$C$308,C14)&lt;&gt;1,"Duplicate ID",IF(COUNTIF(Borrowers!$C$9:$C$108,D14)&lt;&gt;1,"Borrower key",IF(OR(NOT(OR(E14="E&amp;S",E14="Taxonomy",E14="Climate",E14="Data")),NOT(OR(F14="Critical",F14="High",F14="Moderate",F14="Low")),NOT(OR(J14="Open",J14="In progress",J14="Closed")),G14="",H14="",NOT(ISNUMBER(I14)),NOT(ISNUMBER(N14)),I14&lt;N14,N14&gt;Settings!$F$8),"Incomplete","Valid"))))</x:f>
        <x:v>Valid</x:v>
      </x:c>
      <x:c r="T14" s="9" t="str">
        <x:f>IF(C14="","",IFERROR(INDEX('Borrowers'!$D$9:$D$108,MATCH(D14,'Borrowers'!$C$9:$C$108,0)),""))</x:f>
        <x:v>Demo Red Sea Hotels</x:v>
      </x:c>
      <x:c r="U14" s="3" t="str">
        <x:f>IF(C14="","","S01 ESRMS I.4–9; bank decision policy")</x:f>
        <x:v>S01 ESRMS I.4–9; bank decision policy</x:v>
      </x:c>
    </x:row>
    <x:row r="15" ht="42" customHeight="1">
      <x:c r="A15" s="1"/>
      <x:c r="B15" s="1"/>
      <x:c r="C15" s="8" t="str">
        <x:v>ACT-B007</x:v>
      </x:c>
      <x:c r="D15" s="8" t="str">
        <x:v>B007</x:v>
      </x:c>
      <x:c r="E15" s="8" t="str">
        <x:v>E&amp;S</x:v>
      </x:c>
      <x:c r="F15" s="8" t="str">
        <x:v>Critical</x:v>
      </x:c>
      <x:c r="G15" s="8" t="str">
        <x:v>Resolve material labour / safety finding</x:v>
      </x:c>
      <x:c r="H15" s="8" t="str">
        <x:v>Relationship manager 3</x:v>
      </x:c>
      <x:c r="I15" s="10" t="n">
        <x:v>46477</x:v>
      </x:c>
      <x:c r="J15" s="8" t="str">
        <x:v>Open</x:v>
      </x:c>
      <x:c r="K15" s="8" t="str"/>
      <x:c r="L15" s="8" t="str"/>
      <x:c r="M15" s="10" t="str"/>
      <x:c r="N15" s="10" t="n">
        <x:v>46204</x:v>
      </x:c>
      <x:c r="O15" s="9" t="str">
        <x:f>IF(C15="","",IF(AND(S15="Valid",J15="Closed",K15&lt;&gt;"",L15&lt;&gt;"",L15&lt;&gt;H15,ISNUMBER(M15),M15&gt;=N15,M15&lt;=Settings!$F$8),"Verified","Unverified"))</x:f>
        <x:v>Unverified</x:v>
      </x:c>
      <x:c r="P15" s="3" t="str">
        <x:f>IF(C15="","",IF(S15&lt;&gt;"Valid","Review",IF(O15="Verified","Closed",IF(J15="Closed","Closure pending",IF(OR(J15="Open",J15="In progress"),"Open","Review")))))</x:f>
        <x:v>Open</x:v>
      </x:c>
      <x:c r="Q15" s="9" t="str">
        <x:f>IF(C15="","",IF(AND(P15&lt;&gt;"Closed",ISNUMBER(I15),I15&lt;Settings!$F$8),"Overdue","Current"))</x:f>
        <x:v>Current</x:v>
      </x:c>
      <x:c r="R15" s="9" t="n">
        <x:f>IF(C15="","",IF(Q15="Overdue",Settings!$F$8-I15,0))</x:f>
        <x:v>0</x:v>
      </x:c>
      <x:c r="S15" s="9" t="str">
        <x:f>IF(C15="","",IF(COUNTIF($C$9:$C$308,C15)&lt;&gt;1,"Duplicate ID",IF(COUNTIF(Borrowers!$C$9:$C$108,D15)&lt;&gt;1,"Borrower key",IF(OR(NOT(OR(E15="E&amp;S",E15="Taxonomy",E15="Climate",E15="Data")),NOT(OR(F15="Critical",F15="High",F15="Moderate",F15="Low")),NOT(OR(J15="Open",J15="In progress",J15="Closed")),G15="",H15="",NOT(ISNUMBER(I15)),NOT(ISNUMBER(N15)),I15&lt;N15,N15&gt;Settings!$F$8),"Incomplete","Valid"))))</x:f>
        <x:v>Valid</x:v>
      </x:c>
      <x:c r="T15" s="9" t="str">
        <x:f>IF(C15="","",IFERROR(INDEX('Borrowers'!$D$9:$D$108,MATCH(D15,'Borrowers'!$C$9:$C$108,0)),""))</x:f>
        <x:v>Demo Amman Cement</x:v>
      </x:c>
      <x:c r="U15" s="3" t="str">
        <x:f>IF(C15="","","S01 ESRMS I.4–9; bank decision policy")</x:f>
        <x:v>S01 ESRMS I.4–9; bank decision policy</x:v>
      </x:c>
    </x:row>
    <x:row r="16" ht="42" customHeight="1">
      <x:c r="A16" s="1"/>
      <x:c r="B16" s="1"/>
      <x:c r="C16" s="8" t="str">
        <x:v>ACT-B008</x:v>
      </x:c>
      <x:c r="D16" s="8" t="str">
        <x:v>B008</x:v>
      </x:c>
      <x:c r="E16" s="8" t="str">
        <x:v>E&amp;S</x:v>
      </x:c>
      <x:c r="F16" s="8" t="str">
        <x:v>Moderate</x:v>
      </x:c>
      <x:c r="G16" s="8" t="str">
        <x:v>Complete environmental and social evidence review</x:v>
      </x:c>
      <x:c r="H16" s="8" t="str">
        <x:v>Relationship manager 4</x:v>
      </x:c>
      <x:c r="I16" s="10" t="n">
        <x:v>46477</x:v>
      </x:c>
      <x:c r="J16" s="8" t="str">
        <x:v>Closed</x:v>
      </x:c>
      <x:c r="K16" s="8" t="str">
        <x:v>SYN-CLOSE-B008</x:v>
      </x:c>
      <x:c r="L16" s="8" t="str">
        <x:v>ESG assurance 2</x:v>
      </x:c>
      <x:c r="M16" s="10" t="n">
        <x:v>46280</x:v>
      </x:c>
      <x:c r="N16" s="10" t="n">
        <x:v>46204</x:v>
      </x:c>
      <x:c r="O16" s="9" t="str">
        <x:f>IF(C16="","",IF(AND(S16="Valid",J16="Closed",K16&lt;&gt;"",L16&lt;&gt;"",L16&lt;&gt;H16,ISNUMBER(M16),M16&gt;=N16,M16&lt;=Settings!$F$8),"Verified","Unverified"))</x:f>
        <x:v>Verified</x:v>
      </x:c>
      <x:c r="P16" s="3" t="str">
        <x:f>IF(C16="","",IF(S16&lt;&gt;"Valid","Review",IF(O16="Verified","Closed",IF(J16="Closed","Closure pending",IF(OR(J16="Open",J16="In progress"),"Open","Review")))))</x:f>
        <x:v>Closed</x:v>
      </x:c>
      <x:c r="Q16" s="9" t="str">
        <x:f>IF(C16="","",IF(AND(P16&lt;&gt;"Closed",ISNUMBER(I16),I16&lt;Settings!$F$8),"Overdue","Current"))</x:f>
        <x:v>Current</x:v>
      </x:c>
      <x:c r="R16" s="9" t="n">
        <x:f>IF(C16="","",IF(Q16="Overdue",Settings!$F$8-I16,0))</x:f>
        <x:v>0</x:v>
      </x:c>
      <x:c r="S16" s="9" t="str">
        <x:f>IF(C16="","",IF(COUNTIF($C$9:$C$308,C16)&lt;&gt;1,"Duplicate ID",IF(COUNTIF(Borrowers!$C$9:$C$108,D16)&lt;&gt;1,"Borrower key",IF(OR(NOT(OR(E16="E&amp;S",E16="Taxonomy",E16="Climate",E16="Data")),NOT(OR(F16="Critical",F16="High",F16="Moderate",F16="Low")),NOT(OR(J16="Open",J16="In progress",J16="Closed")),G16="",H16="",NOT(ISNUMBER(I16)),NOT(ISNUMBER(N16)),I16&lt;N16,N16&gt;Settings!$F$8),"Incomplete","Valid"))))</x:f>
        <x:v>Valid</x:v>
      </x:c>
      <x:c r="T16" s="9" t="str">
        <x:f>IF(C16="","",IFERROR(INDEX('Borrowers'!$D$9:$D$108,MATCH(D16,'Borrowers'!$C$9:$C$108,0)),""))</x:f>
        <x:v>Demo Petra Solar</x:v>
      </x:c>
      <x:c r="U16" s="3" t="str">
        <x:f>IF(C16="","","S01 ESRMS I.4–9; bank decision policy")</x:f>
        <x:v>S01 ESRMS I.4–9; bank decision policy</x:v>
      </x:c>
    </x:row>
    <x:row r="17" ht="42" customHeight="1">
      <x:c r="A17" s="1"/>
      <x:c r="B17" s="1"/>
      <x:c r="C17" s="8" t="str">
        <x:v>ACT-B009</x:v>
      </x:c>
      <x:c r="D17" s="8" t="str">
        <x:v>B009</x:v>
      </x:c>
      <x:c r="E17" s="8" t="str">
        <x:v>E&amp;S</x:v>
      </x:c>
      <x:c r="F17" s="8" t="str">
        <x:v>Moderate</x:v>
      </x:c>
      <x:c r="G17" s="8" t="str">
        <x:v>Complete environmental and social evidence review</x:v>
      </x:c>
      <x:c r="H17" s="8" t="str">
        <x:v>Relationship manager 1</x:v>
      </x:c>
      <x:c r="I17" s="10" t="n">
        <x:v>46265</x:v>
      </x:c>
      <x:c r="J17" s="8" t="str">
        <x:v>Open</x:v>
      </x:c>
      <x:c r="K17" s="8" t="str"/>
      <x:c r="L17" s="8" t="str"/>
      <x:c r="M17" s="10" t="str"/>
      <x:c r="N17" s="10" t="n">
        <x:v>46204</x:v>
      </x:c>
      <x:c r="O17" s="9" t="str">
        <x:f>IF(C17="","",IF(AND(S17="Valid",J17="Closed",K17&lt;&gt;"",L17&lt;&gt;"",L17&lt;&gt;H17,ISNUMBER(M17),M17&gt;=N17,M17&lt;=Settings!$F$8),"Verified","Unverified"))</x:f>
        <x:v>Unverified</x:v>
      </x:c>
      <x:c r="P17" s="3" t="str">
        <x:f>IF(C17="","",IF(S17&lt;&gt;"Valid","Review",IF(O17="Verified","Closed",IF(J17="Closed","Closure pending",IF(OR(J17="Open",J17="In progress"),"Open","Review")))))</x:f>
        <x:v>Open</x:v>
      </x:c>
      <x:c r="Q17" s="9" t="str">
        <x:f>IF(C17="","",IF(AND(P17&lt;&gt;"Closed",ISNUMBER(I17),I17&lt;Settings!$F$8),"Overdue","Current"))</x:f>
        <x:v>Overdue</x:v>
      </x:c>
      <x:c r="R17" s="9" t="n">
        <x:f>IF(C17="","",IF(Q17="Overdue",Settings!$F$8-I17,0))</x:f>
        <x:v>122</x:v>
      </x:c>
      <x:c r="S17" s="9" t="str">
        <x:f>IF(C17="","",IF(COUNTIF($C$9:$C$308,C17)&lt;&gt;1,"Duplicate ID",IF(COUNTIF(Borrowers!$C$9:$C$108,D17)&lt;&gt;1,"Borrower key",IF(OR(NOT(OR(E17="E&amp;S",E17="Taxonomy",E17="Climate",E17="Data")),NOT(OR(F17="Critical",F17="High",F17="Moderate",F17="Low")),NOT(OR(J17="Open",J17="In progress",J17="Closed")),G17="",H17="",NOT(ISNUMBER(I17)),NOT(ISNUMBER(N17)),I17&lt;N17,N17&gt;Settings!$F$8),"Incomplete","Valid"))))</x:f>
        <x:v>Valid</x:v>
      </x:c>
      <x:c r="T17" s="9" t="str">
        <x:f>IF(C17="","",IFERROR(INDEX('Borrowers'!$D$9:$D$108,MATCH(D17,'Borrowers'!$C$9:$C$108,0)),""))</x:f>
        <x:v>Demo Levant Freight</x:v>
      </x:c>
      <x:c r="U17" s="3" t="str">
        <x:f>IF(C17="","","S01 ESRMS I.4–9; bank decision policy")</x:f>
        <x:v>S01 ESRMS I.4–9; bank decision policy</x:v>
      </x:c>
    </x:row>
    <x:row r="18" ht="42" customHeight="1">
      <x:c r="A18" s="1"/>
      <x:c r="B18" s="1"/>
      <x:c r="C18" s="8" t="str">
        <x:v>ACT-B010</x:v>
      </x:c>
      <x:c r="D18" s="8" t="str">
        <x:v>B010</x:v>
      </x:c>
      <x:c r="E18" s="8" t="str">
        <x:v>E&amp;S</x:v>
      </x:c>
      <x:c r="F18" s="8" t="str">
        <x:v>High</x:v>
      </x:c>
      <x:c r="G18" s="8" t="str">
        <x:v>Complete environmental and social evidence review</x:v>
      </x:c>
      <x:c r="H18" s="8" t="str">
        <x:v>Relationship manager 2</x:v>
      </x:c>
      <x:c r="I18" s="10" t="n">
        <x:v>46477</x:v>
      </x:c>
      <x:c r="J18" s="8" t="str">
        <x:v>Open</x:v>
      </x:c>
      <x:c r="K18" s="8" t="str"/>
      <x:c r="L18" s="8" t="str"/>
      <x:c r="M18" s="10" t="str"/>
      <x:c r="N18" s="10" t="n">
        <x:v>46204</x:v>
      </x:c>
      <x:c r="O18" s="9" t="str">
        <x:f>IF(C18="","",IF(AND(S18="Valid",J18="Closed",K18&lt;&gt;"",L18&lt;&gt;"",L18&lt;&gt;H18,ISNUMBER(M18),M18&gt;=N18,M18&lt;=Settings!$F$8),"Verified","Unverified"))</x:f>
        <x:v>Unverified</x:v>
      </x:c>
      <x:c r="P18" s="3" t="str">
        <x:f>IF(C18="","",IF(S18&lt;&gt;"Valid","Review",IF(O18="Verified","Closed",IF(J18="Closed","Closure pending",IF(OR(J18="Open",J18="In progress"),"Open","Review")))))</x:f>
        <x:v>Open</x:v>
      </x:c>
      <x:c r="Q18" s="9" t="str">
        <x:f>IF(C18="","",IF(AND(P18&lt;&gt;"Closed",ISNUMBER(I18),I18&lt;Settings!$F$8),"Overdue","Current"))</x:f>
        <x:v>Current</x:v>
      </x:c>
      <x:c r="R18" s="9" t="n">
        <x:f>IF(C18="","",IF(Q18="Overdue",Settings!$F$8-I18,0))</x:f>
        <x:v>0</x:v>
      </x:c>
      <x:c r="S18" s="9" t="str">
        <x:f>IF(C18="","",IF(COUNTIF($C$9:$C$308,C18)&lt;&gt;1,"Duplicate ID",IF(COUNTIF(Borrowers!$C$9:$C$108,D18)&lt;&gt;1,"Borrower key",IF(OR(NOT(OR(E18="E&amp;S",E18="Taxonomy",E18="Climate",E18="Data")),NOT(OR(F18="Critical",F18="High",F18="Moderate",F18="Low")),NOT(OR(J18="Open",J18="In progress",J18="Closed")),G18="",H18="",NOT(ISNUMBER(I18)),NOT(ISNUMBER(N18)),I18&lt;N18,N18&gt;Settings!$F$8),"Incomplete","Valid"))))</x:f>
        <x:v>Valid</x:v>
      </x:c>
      <x:c r="T18" s="9" t="str">
        <x:f>IF(C18="","",IFERROR(INDEX('Borrowers'!$D$9:$D$108,MATCH(D18,'Borrowers'!$C$9:$C$108,0)),""))</x:f>
        <x:v>Demo Jordan Foods</x:v>
      </x:c>
      <x:c r="U18" s="3" t="str">
        <x:f>IF(C18="","","S01 ESRMS I.4–9; bank decision policy")</x:f>
        <x:v>S01 ESRMS I.4–9; bank decision policy</x:v>
      </x:c>
    </x:row>
    <x:row r="19" ht="42" customHeight="1">
      <x:c r="A19" s="1"/>
      <x:c r="B19" s="1"/>
      <x:c r="C19" s="8" t="str">
        <x:v>ACT-B011</x:v>
      </x:c>
      <x:c r="D19" s="8" t="str">
        <x:v>B011</x:v>
      </x:c>
      <x:c r="E19" s="8" t="str">
        <x:v>E&amp;S</x:v>
      </x:c>
      <x:c r="F19" s="8" t="str">
        <x:v>Moderate</x:v>
      </x:c>
      <x:c r="G19" s="8" t="str">
        <x:v>Complete environmental and social evidence review</x:v>
      </x:c>
      <x:c r="H19" s="8" t="str">
        <x:v>Relationship manager 3</x:v>
      </x:c>
      <x:c r="I19" s="10" t="n">
        <x:v>46477</x:v>
      </x:c>
      <x:c r="J19" s="8" t="str">
        <x:v>Closed</x:v>
      </x:c>
      <x:c r="K19" s="8" t="str">
        <x:v>SYN-CLOSE-B011</x:v>
      </x:c>
      <x:c r="L19" s="8" t="str">
        <x:v>ESG assurance 2</x:v>
      </x:c>
      <x:c r="M19" s="10" t="n">
        <x:v>46280</x:v>
      </x:c>
      <x:c r="N19" s="10" t="n">
        <x:v>46204</x:v>
      </x:c>
      <x:c r="O19" s="9" t="str">
        <x:f>IF(C19="","",IF(AND(S19="Valid",J19="Closed",K19&lt;&gt;"",L19&lt;&gt;"",L19&lt;&gt;H19,ISNUMBER(M19),M19&gt;=N19,M19&lt;=Settings!$F$8),"Verified","Unverified"))</x:f>
        <x:v>Verified</x:v>
      </x:c>
      <x:c r="P19" s="3" t="str">
        <x:f>IF(C19="","",IF(S19&lt;&gt;"Valid","Review",IF(O19="Verified","Closed",IF(J19="Closed","Closure pending",IF(OR(J19="Open",J19="In progress"),"Open","Review")))))</x:f>
        <x:v>Closed</x:v>
      </x:c>
      <x:c r="Q19" s="9" t="str">
        <x:f>IF(C19="","",IF(AND(P19&lt;&gt;"Closed",ISNUMBER(I19),I19&lt;Settings!$F$8),"Overdue","Current"))</x:f>
        <x:v>Current</x:v>
      </x:c>
      <x:c r="R19" s="9" t="n">
        <x:f>IF(C19="","",IF(Q19="Overdue",Settings!$F$8-I19,0))</x:f>
        <x:v>0</x:v>
      </x:c>
      <x:c r="S19" s="9" t="str">
        <x:f>IF(C19="","",IF(COUNTIF($C$9:$C$308,C19)&lt;&gt;1,"Duplicate ID",IF(COUNTIF(Borrowers!$C$9:$C$108,D19)&lt;&gt;1,"Borrower key",IF(OR(NOT(OR(E19="E&amp;S",E19="Taxonomy",E19="Climate",E19="Data")),NOT(OR(F19="Critical",F19="High",F19="Moderate",F19="Low")),NOT(OR(J19="Open",J19="In progress",J19="Closed")),G19="",H19="",NOT(ISNUMBER(I19)),NOT(ISNUMBER(N19)),I19&lt;N19,N19&gt;Settings!$F$8),"Incomplete","Valid"))))</x:f>
        <x:v>Valid</x:v>
      </x:c>
      <x:c r="T19" s="9" t="str">
        <x:f>IF(C19="","",IFERROR(INDEX('Borrowers'!$D$9:$D$108,MATCH(D19,'Borrowers'!$C$9:$C$108,0)),""))</x:f>
        <x:v>Demo Aqaba Properties</x:v>
      </x:c>
      <x:c r="U19" s="3" t="str">
        <x:f>IF(C19="","","S01 ESRMS I.4–9; bank decision policy")</x:f>
        <x:v>S01 ESRMS I.4–9; bank decision policy</x:v>
      </x:c>
    </x:row>
    <x:row r="20" ht="42" customHeight="1">
      <x:c r="A20" s="1"/>
      <x:c r="B20" s="1"/>
      <x:c r="C20" s="8" t="str">
        <x:v>ACT-B012</x:v>
      </x:c>
      <x:c r="D20" s="8" t="str">
        <x:v>B012</x:v>
      </x:c>
      <x:c r="E20" s="8" t="str">
        <x:v>E&amp;S</x:v>
      </x:c>
      <x:c r="F20" s="8" t="str">
        <x:v>Moderate</x:v>
      </x:c>
      <x:c r="G20" s="8" t="str">
        <x:v>Complete environmental and social evidence review</x:v>
      </x:c>
      <x:c r="H20" s="8" t="str">
        <x:v>Relationship manager 4</x:v>
      </x:c>
      <x:c r="I20" s="10" t="n">
        <x:v>46477</x:v>
      </x:c>
      <x:c r="J20" s="8" t="str">
        <x:v>Open</x:v>
      </x:c>
      <x:c r="K20" s="8" t="str"/>
      <x:c r="L20" s="8" t="str"/>
      <x:c r="M20" s="10" t="str"/>
      <x:c r="N20" s="10" t="n">
        <x:v>46204</x:v>
      </x:c>
      <x:c r="O20" s="9" t="str">
        <x:f>IF(C20="","",IF(AND(S20="Valid",J20="Closed",K20&lt;&gt;"",L20&lt;&gt;"",L20&lt;&gt;H20,ISNUMBER(M20),M20&gt;=N20,M20&lt;=Settings!$F$8),"Verified","Unverified"))</x:f>
        <x:v>Unverified</x:v>
      </x:c>
      <x:c r="P20" s="3" t="str">
        <x:f>IF(C20="","",IF(S20&lt;&gt;"Valid","Review",IF(O20="Verified","Closed",IF(J20="Closed","Closure pending",IF(OR(J20="Open",J20="In progress"),"Open","Review")))))</x:f>
        <x:v>Open</x:v>
      </x:c>
      <x:c r="Q20" s="9" t="str">
        <x:f>IF(C20="","",IF(AND(P20&lt;&gt;"Closed",ISNUMBER(I20),I20&lt;Settings!$F$8),"Overdue","Current"))</x:f>
        <x:v>Current</x:v>
      </x:c>
      <x:c r="R20" s="9" t="n">
        <x:f>IF(C20="","",IF(Q20="Overdue",Settings!$F$8-I20,0))</x:f>
        <x:v>0</x:v>
      </x:c>
      <x:c r="S20" s="9" t="str">
        <x:f>IF(C20="","",IF(COUNTIF($C$9:$C$308,C20)&lt;&gt;1,"Duplicate ID",IF(COUNTIF(Borrowers!$C$9:$C$108,D20)&lt;&gt;1,"Borrower key",IF(OR(NOT(OR(E20="E&amp;S",E20="Taxonomy",E20="Climate",E20="Data")),NOT(OR(F20="Critical",F20="High",F20="Moderate",F20="Low")),NOT(OR(J20="Open",J20="In progress",J20="Closed")),G20="",H20="",NOT(ISNUMBER(I20)),NOT(ISNUMBER(N20)),I20&lt;N20,N20&gt;Settings!$F$8),"Incomplete","Valid"))))</x:f>
        <x:v>Valid</x:v>
      </x:c>
      <x:c r="T20" s="9" t="str">
        <x:f>IF(C20="","",IFERROR(INDEX('Borrowers'!$D$9:$D$108,MATCH(D20,'Borrowers'!$C$9:$C$108,0)),""))</x:f>
        <x:v>Demo Amman Healthcare</x:v>
      </x:c>
      <x:c r="U20" s="3" t="str">
        <x:f>IF(C20="","","S01 ESRMS I.4–9; bank decision policy")</x:f>
        <x:v>S01 ESRMS I.4–9; bank decision policy</x:v>
      </x:c>
    </x:row>
    <x:row r="21" ht="42" customHeight="1">
      <x:c r="A21" s="1"/>
      <x:c r="B21" s="1"/>
      <x:c r="C21" s="8" t="str">
        <x:v>ACT-B013</x:v>
      </x:c>
      <x:c r="D21" s="8" t="str">
        <x:v>B013</x:v>
      </x:c>
      <x:c r="E21" s="8" t="str">
        <x:v>E&amp;S</x:v>
      </x:c>
      <x:c r="F21" s="8" t="str">
        <x:v>High</x:v>
      </x:c>
      <x:c r="G21" s="8" t="str">
        <x:v>Complete environmental and social evidence review</x:v>
      </x:c>
      <x:c r="H21" s="8" t="str">
        <x:v>Relationship manager 1</x:v>
      </x:c>
      <x:c r="I21" s="10" t="n">
        <x:v>46265</x:v>
      </x:c>
      <x:c r="J21" s="8" t="str">
        <x:v>Open</x:v>
      </x:c>
      <x:c r="K21" s="8" t="str"/>
      <x:c r="L21" s="8" t="str"/>
      <x:c r="M21" s="10" t="str"/>
      <x:c r="N21" s="10" t="n">
        <x:v>46204</x:v>
      </x:c>
      <x:c r="O21" s="9" t="str">
        <x:f>IF(C21="","",IF(AND(S21="Valid",J21="Closed",K21&lt;&gt;"",L21&lt;&gt;"",L21&lt;&gt;H21,ISNUMBER(M21),M21&gt;=N21,M21&lt;=Settings!$F$8),"Verified","Unverified"))</x:f>
        <x:v>Unverified</x:v>
      </x:c>
      <x:c r="P21" s="3" t="str">
        <x:f>IF(C21="","",IF(S21&lt;&gt;"Valid","Review",IF(O21="Verified","Closed",IF(J21="Closed","Closure pending",IF(OR(J21="Open",J21="In progress"),"Open","Review")))))</x:f>
        <x:v>Open</x:v>
      </x:c>
      <x:c r="Q21" s="9" t="str">
        <x:f>IF(C21="","",IF(AND(P21&lt;&gt;"Closed",ISNUMBER(I21),I21&lt;Settings!$F$8),"Overdue","Current"))</x:f>
        <x:v>Overdue</x:v>
      </x:c>
      <x:c r="R21" s="9" t="n">
        <x:f>IF(C21="","",IF(Q21="Overdue",Settings!$F$8-I21,0))</x:f>
        <x:v>122</x:v>
      </x:c>
      <x:c r="S21" s="9" t="str">
        <x:f>IF(C21="","",IF(COUNTIF($C$9:$C$308,C21)&lt;&gt;1,"Duplicate ID",IF(COUNTIF(Borrowers!$C$9:$C$108,D21)&lt;&gt;1,"Borrower key",IF(OR(NOT(OR(E21="E&amp;S",E21="Taxonomy",E21="Climate",E21="Data")),NOT(OR(F21="Critical",F21="High",F21="Moderate",F21="Low")),NOT(OR(J21="Open",J21="In progress",J21="Closed")),G21="",H21="",NOT(ISNUMBER(I21)),NOT(ISNUMBER(N21)),I21&lt;N21,N21&gt;Settings!$F$8),"Incomplete","Valid"))))</x:f>
        <x:v>Valid</x:v>
      </x:c>
      <x:c r="T21" s="9" t="str">
        <x:f>IF(C21="","",IFERROR(INDEX('Borrowers'!$D$9:$D$108,MATCH(D21,'Borrowers'!$C$9:$C$108,0)),""))</x:f>
        <x:v>Demo Emirates Materials</x:v>
      </x:c>
      <x:c r="U21" s="3" t="str">
        <x:f>IF(C21="","","S01 ESRMS I.4–9; bank decision policy")</x:f>
        <x:v>S01 ESRMS I.4–9; bank decision policy</x:v>
      </x:c>
    </x:row>
    <x:row r="22" ht="42" customHeight="1">
      <x:c r="A22" s="1"/>
      <x:c r="B22" s="1"/>
      <x:c r="C22" s="8" t="str">
        <x:v>ACT-B014</x:v>
      </x:c>
      <x:c r="D22" s="8" t="str">
        <x:v>B014</x:v>
      </x:c>
      <x:c r="E22" s="8" t="str">
        <x:v>E&amp;S</x:v>
      </x:c>
      <x:c r="F22" s="8" t="str">
        <x:v>Moderate</x:v>
      </x:c>
      <x:c r="G22" s="8" t="str">
        <x:v>Complete environmental and social evidence review</x:v>
      </x:c>
      <x:c r="H22" s="8" t="str">
        <x:v>Relationship manager 2</x:v>
      </x:c>
      <x:c r="I22" s="10" t="n">
        <x:v>46477</x:v>
      </x:c>
      <x:c r="J22" s="8" t="str">
        <x:v>Closed</x:v>
      </x:c>
      <x:c r="K22" s="8" t="str">
        <x:v>SYN-CLOSE-B014</x:v>
      </x:c>
      <x:c r="L22" s="8" t="str">
        <x:v>ESG assurance 2</x:v>
      </x:c>
      <x:c r="M22" s="10" t="n">
        <x:v>46280</x:v>
      </x:c>
      <x:c r="N22" s="10" t="n">
        <x:v>46204</x:v>
      </x:c>
      <x:c r="O22" s="9" t="str">
        <x:f>IF(C22="","",IF(AND(S22="Valid",J22="Closed",K22&lt;&gt;"",L22&lt;&gt;"",L22&lt;&gt;H22,ISNUMBER(M22),M22&gt;=N22,M22&lt;=Settings!$F$8),"Verified","Unverified"))</x:f>
        <x:v>Verified</x:v>
      </x:c>
      <x:c r="P22" s="3" t="str">
        <x:f>IF(C22="","",IF(S22&lt;&gt;"Valid","Review",IF(O22="Verified","Closed",IF(J22="Closed","Closure pending",IF(OR(J22="Open",J22="In progress"),"Open","Review")))))</x:f>
        <x:v>Closed</x:v>
      </x:c>
      <x:c r="Q22" s="9" t="str">
        <x:f>IF(C22="","",IF(AND(P22&lt;&gt;"Closed",ISNUMBER(I22),I22&lt;Settings!$F$8),"Overdue","Current"))</x:f>
        <x:v>Current</x:v>
      </x:c>
      <x:c r="R22" s="9" t="n">
        <x:f>IF(C22="","",IF(Q22="Overdue",Settings!$F$8-I22,0))</x:f>
        <x:v>0</x:v>
      </x:c>
      <x:c r="S22" s="9" t="str">
        <x:f>IF(C22="","",IF(COUNTIF($C$9:$C$308,C22)&lt;&gt;1,"Duplicate ID",IF(COUNTIF(Borrowers!$C$9:$C$108,D22)&lt;&gt;1,"Borrower key",IF(OR(NOT(OR(E22="E&amp;S",E22="Taxonomy",E22="Climate",E22="Data")),NOT(OR(F22="Critical",F22="High",F22="Moderate",F22="Low")),NOT(OR(J22="Open",J22="In progress",J22="Closed")),G22="",H22="",NOT(ISNUMBER(I22)),NOT(ISNUMBER(N22)),I22&lt;N22,N22&gt;Settings!$F$8),"Incomplete","Valid"))))</x:f>
        <x:v>Valid</x:v>
      </x:c>
      <x:c r="T22" s="9" t="str">
        <x:f>IF(C22="","",IFERROR(INDEX('Borrowers'!$D$9:$D$108,MATCH(D22,'Borrowers'!$C$9:$C$108,0)),""))</x:f>
        <x:v>Demo Desert Solar</x:v>
      </x:c>
      <x:c r="U22" s="3" t="str">
        <x:f>IF(C22="","","S01 ESRMS I.4–9; bank decision policy")</x:f>
        <x:v>S01 ESRMS I.4–9; bank decision policy</x:v>
      </x:c>
    </x:row>
    <x:row r="23" ht="42" customHeight="1">
      <x:c r="A23" s="1"/>
      <x:c r="B23" s="1"/>
      <x:c r="C23" s="8" t="str">
        <x:v>ACT-B015</x:v>
      </x:c>
      <x:c r="D23" s="8" t="str">
        <x:v>B015</x:v>
      </x:c>
      <x:c r="E23" s="8" t="str">
        <x:v>E&amp;S</x:v>
      </x:c>
      <x:c r="F23" s="8" t="str">
        <x:v>Moderate</x:v>
      </x:c>
      <x:c r="G23" s="8" t="str">
        <x:v>Complete environmental and social evidence review</x:v>
      </x:c>
      <x:c r="H23" s="8" t="str">
        <x:v>Relationship manager 3</x:v>
      </x:c>
      <x:c r="I23" s="10" t="n">
        <x:v>46477</x:v>
      </x:c>
      <x:c r="J23" s="8" t="str">
        <x:v>Open</x:v>
      </x:c>
      <x:c r="K23" s="8" t="str"/>
      <x:c r="L23" s="8" t="str"/>
      <x:c r="M23" s="10" t="str"/>
      <x:c r="N23" s="10" t="n">
        <x:v>46204</x:v>
      </x:c>
      <x:c r="O23" s="9" t="str">
        <x:f>IF(C23="","",IF(AND(S23="Valid",J23="Closed",K23&lt;&gt;"",L23&lt;&gt;"",L23&lt;&gt;H23,ISNUMBER(M23),M23&gt;=N23,M23&lt;=Settings!$F$8),"Verified","Unverified"))</x:f>
        <x:v>Unverified</x:v>
      </x:c>
      <x:c r="P23" s="3" t="str">
        <x:f>IF(C23="","",IF(S23&lt;&gt;"Valid","Review",IF(O23="Verified","Closed",IF(J23="Closed","Closure pending",IF(OR(J23="Open",J23="In progress"),"Open","Review")))))</x:f>
        <x:v>Open</x:v>
      </x:c>
      <x:c r="Q23" s="9" t="str">
        <x:f>IF(C23="","",IF(AND(P23&lt;&gt;"Closed",ISNUMBER(I23),I23&lt;Settings!$F$8),"Overdue","Current"))</x:f>
        <x:v>Current</x:v>
      </x:c>
      <x:c r="R23" s="9" t="n">
        <x:f>IF(C23="","",IF(Q23="Overdue",Settings!$F$8-I23,0))</x:f>
        <x:v>0</x:v>
      </x:c>
      <x:c r="S23" s="9" t="str">
        <x:f>IF(C23="","",IF(COUNTIF($C$9:$C$308,C23)&lt;&gt;1,"Duplicate ID",IF(COUNTIF(Borrowers!$C$9:$C$108,D23)&lt;&gt;1,"Borrower key",IF(OR(NOT(OR(E23="E&amp;S",E23="Taxonomy",E23="Climate",E23="Data")),NOT(OR(F23="Critical",F23="High",F23="Moderate",F23="Low")),NOT(OR(J23="Open",J23="In progress",J23="Closed")),G23="",H23="",NOT(ISNUMBER(I23)),NOT(ISNUMBER(N23)),I23&lt;N23,N23&gt;Settings!$F$8),"Incomplete","Valid"))))</x:f>
        <x:v>Valid</x:v>
      </x:c>
      <x:c r="T23" s="9" t="str">
        <x:f>IF(C23="","",IFERROR(INDEX('Borrowers'!$D$9:$D$108,MATCH(D23,'Borrowers'!$C$9:$C$108,0)),""))</x:f>
        <x:v>Demo Gulf Logistics</x:v>
      </x:c>
      <x:c r="U23" s="3" t="str">
        <x:f>IF(C23="","","S01 ESRMS I.4–9; bank decision policy")</x:f>
        <x:v>S01 ESRMS I.4–9; bank decision policy</x:v>
      </x:c>
    </x:row>
    <x:row r="24" ht="42" customHeight="1">
      <x:c r="A24" s="1"/>
      <x:c r="B24" s="1"/>
      <x:c r="C24" s="8" t="str">
        <x:v>ACT-B016</x:v>
      </x:c>
      <x:c r="D24" s="8" t="str">
        <x:v>B016</x:v>
      </x:c>
      <x:c r="E24" s="8" t="str">
        <x:v>E&amp;S</x:v>
      </x:c>
      <x:c r="F24" s="8" t="str">
        <x:v>High</x:v>
      </x:c>
      <x:c r="G24" s="8" t="str">
        <x:v>Complete environmental and social evidence review</x:v>
      </x:c>
      <x:c r="H24" s="8" t="str">
        <x:v>Relationship manager 4</x:v>
      </x:c>
      <x:c r="I24" s="10" t="n">
        <x:v>46477</x:v>
      </x:c>
      <x:c r="J24" s="8" t="str">
        <x:v>Open</x:v>
      </x:c>
      <x:c r="K24" s="8" t="str"/>
      <x:c r="L24" s="8" t="str"/>
      <x:c r="M24" s="10" t="str"/>
      <x:c r="N24" s="10" t="n">
        <x:v>46204</x:v>
      </x:c>
      <x:c r="O24" s="9" t="str">
        <x:f>IF(C24="","",IF(AND(S24="Valid",J24="Closed",K24&lt;&gt;"",L24&lt;&gt;"",L24&lt;&gt;H24,ISNUMBER(M24),M24&gt;=N24,M24&lt;=Settings!$F$8),"Verified","Unverified"))</x:f>
        <x:v>Unverified</x:v>
      </x:c>
      <x:c r="P24" s="3" t="str">
        <x:f>IF(C24="","",IF(S24&lt;&gt;"Valid","Review",IF(O24="Verified","Closed",IF(J24="Closed","Closure pending",IF(OR(J24="Open",J24="In progress"),"Open","Review")))))</x:f>
        <x:v>Open</x:v>
      </x:c>
      <x:c r="Q24" s="9" t="str">
        <x:f>IF(C24="","",IF(AND(P24&lt;&gt;"Closed",ISNUMBER(I24),I24&lt;Settings!$F$8),"Overdue","Current"))</x:f>
        <x:v>Current</x:v>
      </x:c>
      <x:c r="R24" s="9" t="n">
        <x:f>IF(C24="","",IF(Q24="Overdue",Settings!$F$8-I24,0))</x:f>
        <x:v>0</x:v>
      </x:c>
      <x:c r="S24" s="9" t="str">
        <x:f>IF(C24="","",IF(COUNTIF($C$9:$C$308,C24)&lt;&gt;1,"Duplicate ID",IF(COUNTIF(Borrowers!$C$9:$C$108,D24)&lt;&gt;1,"Borrower key",IF(OR(NOT(OR(E24="E&amp;S",E24="Taxonomy",E24="Climate",E24="Data")),NOT(OR(F24="Critical",F24="High",F24="Moderate",F24="Low")),NOT(OR(J24="Open",J24="In progress",J24="Closed")),G24="",H24="",NOT(ISNUMBER(I24)),NOT(ISNUMBER(N24)),I24&lt;N24,N24&gt;Settings!$F$8),"Incomplete","Valid"))))</x:f>
        <x:v>Valid</x:v>
      </x:c>
      <x:c r="T24" s="9" t="str">
        <x:f>IF(C24="","",IFERROR(INDEX('Borrowers'!$D$9:$D$108,MATCH(D24,'Borrowers'!$C$9:$C$108,0)),""))</x:f>
        <x:v>Demo Emirates Foods</x:v>
      </x:c>
      <x:c r="U24" s="3" t="str">
        <x:f>IF(C24="","","S01 ESRMS I.4–9; bank decision policy")</x:f>
        <x:v>S01 ESRMS I.4–9; bank decision policy</x:v>
      </x:c>
    </x:row>
    <x:row r="25" ht="42" customHeight="1">
      <x:c r="A25" s="1"/>
      <x:c r="B25" s="1"/>
      <x:c r="C25" s="8" t="str">
        <x:v>ACT-B017</x:v>
      </x:c>
      <x:c r="D25" s="8" t="str">
        <x:v>B017</x:v>
      </x:c>
      <x:c r="E25" s="8" t="str">
        <x:v>E&amp;S</x:v>
      </x:c>
      <x:c r="F25" s="8" t="str">
        <x:v>Moderate</x:v>
      </x:c>
      <x:c r="G25" s="8" t="str">
        <x:v>Complete environmental and social evidence review</x:v>
      </x:c>
      <x:c r="H25" s="8" t="str">
        <x:v>Relationship manager 1</x:v>
      </x:c>
      <x:c r="I25" s="10" t="n">
        <x:v>46265</x:v>
      </x:c>
      <x:c r="J25" s="8" t="str">
        <x:v>Closed</x:v>
      </x:c>
      <x:c r="K25" s="8" t="str">
        <x:v>SYN-CLOSE-B017</x:v>
      </x:c>
      <x:c r="L25" s="8" t="str">
        <x:v>ESG assurance 2</x:v>
      </x:c>
      <x:c r="M25" s="10" t="n">
        <x:v>46280</x:v>
      </x:c>
      <x:c r="N25" s="10" t="n">
        <x:v>46204</x:v>
      </x:c>
      <x:c r="O25" s="9" t="str">
        <x:f>IF(C25="","",IF(AND(S25="Valid",J25="Closed",K25&lt;&gt;"",L25&lt;&gt;"",L25&lt;&gt;H25,ISNUMBER(M25),M25&gt;=N25,M25&lt;=Settings!$F$8),"Verified","Unverified"))</x:f>
        <x:v>Verified</x:v>
      </x:c>
      <x:c r="P25" s="3" t="str">
        <x:f>IF(C25="","",IF(S25&lt;&gt;"Valid","Review",IF(O25="Verified","Closed",IF(J25="Closed","Closure pending",IF(OR(J25="Open",J25="In progress"),"Open","Review")))))</x:f>
        <x:v>Closed</x:v>
      </x:c>
      <x:c r="Q25" s="9" t="str">
        <x:f>IF(C25="","",IF(AND(P25&lt;&gt;"Closed",ISNUMBER(I25),I25&lt;Settings!$F$8),"Overdue","Current"))</x:f>
        <x:v>Current</x:v>
      </x:c>
      <x:c r="R25" s="9" t="n">
        <x:f>IF(C25="","",IF(Q25="Overdue",Settings!$F$8-I25,0))</x:f>
        <x:v>0</x:v>
      </x:c>
      <x:c r="S25" s="9" t="str">
        <x:f>IF(C25="","",IF(COUNTIF($C$9:$C$308,C25)&lt;&gt;1,"Duplicate ID",IF(COUNTIF(Borrowers!$C$9:$C$108,D25)&lt;&gt;1,"Borrower key",IF(OR(NOT(OR(E25="E&amp;S",E25="Taxonomy",E25="Climate",E25="Data")),NOT(OR(F25="Critical",F25="High",F25="Moderate",F25="Low")),NOT(OR(J25="Open",J25="In progress",J25="Closed")),G25="",H25="",NOT(ISNUMBER(I25)),NOT(ISNUMBER(N25)),I25&lt;N25,N25&gt;Settings!$F$8),"Incomplete","Valid"))))</x:f>
        <x:v>Valid</x:v>
      </x:c>
      <x:c r="T25" s="9" t="str">
        <x:f>IF(C25="","",IFERROR(INDEX('Borrowers'!$D$9:$D$108,MATCH(D25,'Borrowers'!$C$9:$C$108,0)),""))</x:f>
        <x:v>Demo Marina Properties</x:v>
      </x:c>
      <x:c r="U25" s="3" t="str">
        <x:f>IF(C25="","","S01 ESRMS I.4–9; bank decision policy")</x:f>
        <x:v>S01 ESRMS I.4–9; bank decision policy</x:v>
      </x:c>
    </x:row>
    <x:row r="26" ht="42" customHeight="1">
      <x:c r="A26" s="1"/>
      <x:c r="B26" s="1"/>
      <x:c r="C26" s="8" t="str">
        <x:v>ACT-B018</x:v>
      </x:c>
      <x:c r="D26" s="8" t="str">
        <x:v>B018</x:v>
      </x:c>
      <x:c r="E26" s="8" t="str">
        <x:v>E&amp;S</x:v>
      </x:c>
      <x:c r="F26" s="8" t="str">
        <x:v>Moderate</x:v>
      </x:c>
      <x:c r="G26" s="8" t="str">
        <x:v>Complete environmental and social evidence review</x:v>
      </x:c>
      <x:c r="H26" s="8" t="str">
        <x:v>Relationship manager 2</x:v>
      </x:c>
      <x:c r="I26" s="10" t="n">
        <x:v>46477</x:v>
      </x:c>
      <x:c r="J26" s="8" t="str">
        <x:v>Open</x:v>
      </x:c>
      <x:c r="K26" s="8" t="str"/>
      <x:c r="L26" s="8" t="str"/>
      <x:c r="M26" s="10" t="str"/>
      <x:c r="N26" s="10" t="n">
        <x:v>46204</x:v>
      </x:c>
      <x:c r="O26" s="9" t="str">
        <x:f>IF(C26="","",IF(AND(S26="Valid",J26="Closed",K26&lt;&gt;"",L26&lt;&gt;"",L26&lt;&gt;H26,ISNUMBER(M26),M26&gt;=N26,M26&lt;=Settings!$F$8),"Verified","Unverified"))</x:f>
        <x:v>Unverified</x:v>
      </x:c>
      <x:c r="P26" s="3" t="str">
        <x:f>IF(C26="","",IF(S26&lt;&gt;"Valid","Review",IF(O26="Verified","Closed",IF(J26="Closed","Closure pending",IF(OR(J26="Open",J26="In progress"),"Open","Review")))))</x:f>
        <x:v>Open</x:v>
      </x:c>
      <x:c r="Q26" s="9" t="str">
        <x:f>IF(C26="","",IF(AND(P26&lt;&gt;"Closed",ISNUMBER(I26),I26&lt;Settings!$F$8),"Overdue","Current"))</x:f>
        <x:v>Current</x:v>
      </x:c>
      <x:c r="R26" s="9" t="n">
        <x:f>IF(C26="","",IF(Q26="Overdue",Settings!$F$8-I26,0))</x:f>
        <x:v>0</x:v>
      </x:c>
      <x:c r="S26" s="9" t="str">
        <x:f>IF(C26="","",IF(COUNTIF($C$9:$C$308,C26)&lt;&gt;1,"Duplicate ID",IF(COUNTIF(Borrowers!$C$9:$C$108,D26)&lt;&gt;1,"Borrower key",IF(OR(NOT(OR(E26="E&amp;S",E26="Taxonomy",E26="Climate",E26="Data")),NOT(OR(F26="Critical",F26="High",F26="Moderate",F26="Low")),NOT(OR(J26="Open",J26="In progress",J26="Closed")),G26="",H26="",NOT(ISNUMBER(I26)),NOT(ISNUMBER(N26)),I26&lt;N26,N26&gt;Settings!$F$8),"Incomplete","Valid"))))</x:f>
        <x:v>Valid</x:v>
      </x:c>
      <x:c r="T26" s="9" t="str">
        <x:f>IF(C26="","",IFERROR(INDEX('Borrowers'!$D$9:$D$108,MATCH(D26,'Borrowers'!$C$9:$C$108,0)),""))</x:f>
        <x:v>Demo Gulf Hospitality</x:v>
      </x:c>
      <x:c r="U26" s="3" t="str">
        <x:f>IF(C26="","","S01 ESRMS I.4–9; bank decision policy")</x:f>
        <x:v>S01 ESRMS I.4–9; bank decision policy</x:v>
      </x:c>
    </x:row>
    <x:row r="27" ht="42" customHeight="1">
      <x:c r="A27" s="1"/>
      <x:c r="B27" s="1"/>
      <x:c r="C27" s="8" t="str">
        <x:v>ACT-B019</x:v>
      </x:c>
      <x:c r="D27" s="8" t="str">
        <x:v>B019</x:v>
      </x:c>
      <x:c r="E27" s="8" t="str">
        <x:v>E&amp;S</x:v>
      </x:c>
      <x:c r="F27" s="8" t="str">
        <x:v>Critical</x:v>
      </x:c>
      <x:c r="G27" s="8" t="str">
        <x:v>Resolve material labour / safety finding</x:v>
      </x:c>
      <x:c r="H27" s="8" t="str">
        <x:v>Relationship manager 3</x:v>
      </x:c>
      <x:c r="I27" s="10" t="n">
        <x:v>46477</x:v>
      </x:c>
      <x:c r="J27" s="8" t="str">
        <x:v>Open</x:v>
      </x:c>
      <x:c r="K27" s="8" t="str"/>
      <x:c r="L27" s="8" t="str"/>
      <x:c r="M27" s="10" t="str"/>
      <x:c r="N27" s="10" t="n">
        <x:v>46204</x:v>
      </x:c>
      <x:c r="O27" s="9" t="str">
        <x:f>IF(C27="","",IF(AND(S27="Valid",J27="Closed",K27&lt;&gt;"",L27&lt;&gt;"",L27&lt;&gt;H27,ISNUMBER(M27),M27&gt;=N27,M27&lt;=Settings!$F$8),"Verified","Unverified"))</x:f>
        <x:v>Unverified</x:v>
      </x:c>
      <x:c r="P27" s="3" t="str">
        <x:f>IF(C27="","",IF(S27&lt;&gt;"Valid","Review",IF(O27="Verified","Closed",IF(J27="Closed","Closure pending",IF(OR(J27="Open",J27="In progress"),"Open","Review")))))</x:f>
        <x:v>Open</x:v>
      </x:c>
      <x:c r="Q27" s="9" t="str">
        <x:f>IF(C27="","",IF(AND(P27&lt;&gt;"Closed",ISNUMBER(I27),I27&lt;Settings!$F$8),"Overdue","Current"))</x:f>
        <x:v>Current</x:v>
      </x:c>
      <x:c r="R27" s="9" t="n">
        <x:f>IF(C27="","",IF(Q27="Overdue",Settings!$F$8-I27,0))</x:f>
        <x:v>0</x:v>
      </x:c>
      <x:c r="S27" s="9" t="str">
        <x:f>IF(C27="","",IF(COUNTIF($C$9:$C$308,C27)&lt;&gt;1,"Duplicate ID",IF(COUNTIF(Borrowers!$C$9:$C$108,D27)&lt;&gt;1,"Borrower key",IF(OR(NOT(OR(E27="E&amp;S",E27="Taxonomy",E27="Climate",E27="Data")),NOT(OR(F27="Critical",F27="High",F27="Moderate",F27="Low")),NOT(OR(J27="Open",J27="In progress",J27="Closed")),G27="",H27="",NOT(ISNUMBER(I27)),NOT(ISNUMBER(N27)),I27&lt;N27,N27&gt;Settings!$F$8),"Incomplete","Valid"))))</x:f>
        <x:v>Valid</x:v>
      </x:c>
      <x:c r="T27" s="9" t="str">
        <x:f>IF(C27="","",IFERROR(INDEX('Borrowers'!$D$9:$D$108,MATCH(D27,'Borrowers'!$C$9:$C$108,0)),""))</x:f>
        <x:v>Demo Nile Textiles</x:v>
      </x:c>
      <x:c r="U27" s="3" t="str">
        <x:f>IF(C27="","","S01 ESRMS I.4–9; bank decision policy")</x:f>
        <x:v>S01 ESRMS I.4–9; bank decision policy</x:v>
      </x:c>
    </x:row>
    <x:row r="28" ht="42" customHeight="1">
      <x:c r="A28" s="1"/>
      <x:c r="B28" s="1"/>
      <x:c r="C28" s="8" t="str">
        <x:v>ACT-B020</x:v>
      </x:c>
      <x:c r="D28" s="8" t="str">
        <x:v>B020</x:v>
      </x:c>
      <x:c r="E28" s="8" t="str">
        <x:v>E&amp;S</x:v>
      </x:c>
      <x:c r="F28" s="8" t="str">
        <x:v>Moderate</x:v>
      </x:c>
      <x:c r="G28" s="8" t="str">
        <x:v>Complete environmental and social evidence review</x:v>
      </x:c>
      <x:c r="H28" s="8" t="str">
        <x:v>Relationship manager 4</x:v>
      </x:c>
      <x:c r="I28" s="10" t="n">
        <x:v>46477</x:v>
      </x:c>
      <x:c r="J28" s="8" t="str">
        <x:v>Closed</x:v>
      </x:c>
      <x:c r="K28" s="8" t="str">
        <x:v>SYN-CLOSE-B020</x:v>
      </x:c>
      <x:c r="L28" s="8" t="str">
        <x:v>ESG assurance 2</x:v>
      </x:c>
      <x:c r="M28" s="10" t="n">
        <x:v>46280</x:v>
      </x:c>
      <x:c r="N28" s="10" t="n">
        <x:v>46204</x:v>
      </x:c>
      <x:c r="O28" s="9" t="str">
        <x:f>IF(C28="","",IF(AND(S28="Valid",J28="Closed",K28&lt;&gt;"",L28&lt;&gt;"",L28&lt;&gt;H28,ISNUMBER(M28),M28&gt;=N28,M28&lt;=Settings!$F$8),"Verified","Unverified"))</x:f>
        <x:v>Verified</x:v>
      </x:c>
      <x:c r="P28" s="3" t="str">
        <x:f>IF(C28="","",IF(S28&lt;&gt;"Valid","Review",IF(O28="Verified","Closed",IF(J28="Closed","Closure pending",IF(OR(J28="Open",J28="In progress"),"Open","Review")))))</x:f>
        <x:v>Closed</x:v>
      </x:c>
      <x:c r="Q28" s="9" t="str">
        <x:f>IF(C28="","",IF(AND(P28&lt;&gt;"Closed",ISNUMBER(I28),I28&lt;Settings!$F$8),"Overdue","Current"))</x:f>
        <x:v>Current</x:v>
      </x:c>
      <x:c r="R28" s="9" t="n">
        <x:f>IF(C28="","",IF(Q28="Overdue",Settings!$F$8-I28,0))</x:f>
        <x:v>0</x:v>
      </x:c>
      <x:c r="S28" s="9" t="str">
        <x:f>IF(C28="","",IF(COUNTIF($C$9:$C$308,C28)&lt;&gt;1,"Duplicate ID",IF(COUNTIF(Borrowers!$C$9:$C$108,D28)&lt;&gt;1,"Borrower key",IF(OR(NOT(OR(E28="E&amp;S",E28="Taxonomy",E28="Climate",E28="Data")),NOT(OR(F28="Critical",F28="High",F28="Moderate",F28="Low")),NOT(OR(J28="Open",J28="In progress",J28="Closed")),G28="",H28="",NOT(ISNUMBER(I28)),NOT(ISNUMBER(N28)),I28&lt;N28,N28&gt;Settings!$F$8),"Incomplete","Valid"))))</x:f>
        <x:v>Valid</x:v>
      </x:c>
      <x:c r="T28" s="9" t="str">
        <x:f>IF(C28="","",IFERROR(INDEX('Borrowers'!$D$9:$D$108,MATCH(D28,'Borrowers'!$C$9:$C$108,0)),""))</x:f>
        <x:v>Demo Delta Agriculture</x:v>
      </x:c>
      <x:c r="U28" s="3" t="str">
        <x:f>IF(C28="","","S01 ESRMS I.4–9; bank decision policy")</x:f>
        <x:v>S01 ESRMS I.4–9; bank decision policy</x:v>
      </x:c>
    </x:row>
    <x:row r="29" ht="42" customHeight="1">
      <x:c r="A29" s="1"/>
      <x:c r="B29" s="1"/>
      <x:c r="C29" s="8" t="str">
        <x:v>ACT-B021</x:v>
      </x:c>
      <x:c r="D29" s="8" t="str">
        <x:v>B021</x:v>
      </x:c>
      <x:c r="E29" s="8" t="str">
        <x:v>E&amp;S</x:v>
      </x:c>
      <x:c r="F29" s="8" t="str">
        <x:v>Moderate</x:v>
      </x:c>
      <x:c r="G29" s="8" t="str">
        <x:v>Complete environmental and social evidence review</x:v>
      </x:c>
      <x:c r="H29" s="8" t="str">
        <x:v>Relationship manager 1</x:v>
      </x:c>
      <x:c r="I29" s="10" t="n">
        <x:v>46265</x:v>
      </x:c>
      <x:c r="J29" s="8" t="str">
        <x:v>Open</x:v>
      </x:c>
      <x:c r="K29" s="8" t="str"/>
      <x:c r="L29" s="8" t="str"/>
      <x:c r="M29" s="10" t="str"/>
      <x:c r="N29" s="10" t="n">
        <x:v>46204</x:v>
      </x:c>
      <x:c r="O29" s="9" t="str">
        <x:f>IF(C29="","",IF(AND(S29="Valid",J29="Closed",K29&lt;&gt;"",L29&lt;&gt;"",L29&lt;&gt;H29,ISNUMBER(M29),M29&gt;=N29,M29&lt;=Settings!$F$8),"Verified","Unverified"))</x:f>
        <x:v>Unverified</x:v>
      </x:c>
      <x:c r="P29" s="3" t="str">
        <x:f>IF(C29="","",IF(S29&lt;&gt;"Valid","Review",IF(O29="Verified","Closed",IF(J29="Closed","Closure pending",IF(OR(J29="Open",J29="In progress"),"Open","Review")))))</x:f>
        <x:v>Open</x:v>
      </x:c>
      <x:c r="Q29" s="9" t="str">
        <x:f>IF(C29="","",IF(AND(P29&lt;&gt;"Closed",ISNUMBER(I29),I29&lt;Settings!$F$8),"Overdue","Current"))</x:f>
        <x:v>Overdue</x:v>
      </x:c>
      <x:c r="R29" s="9" t="n">
        <x:f>IF(C29="","",IF(Q29="Overdue",Settings!$F$8-I29,0))</x:f>
        <x:v>122</x:v>
      </x:c>
      <x:c r="S29" s="9" t="str">
        <x:f>IF(C29="","",IF(COUNTIF($C$9:$C$308,C29)&lt;&gt;1,"Duplicate ID",IF(COUNTIF(Borrowers!$C$9:$C$108,D29)&lt;&gt;1,"Borrower key",IF(OR(NOT(OR(E29="E&amp;S",E29="Taxonomy",E29="Climate",E29="Data")),NOT(OR(F29="Critical",F29="High",F29="Moderate",F29="Low")),NOT(OR(J29="Open",J29="In progress",J29="Closed")),G29="",H29="",NOT(ISNUMBER(I29)),NOT(ISNUMBER(N29)),I29&lt;N29,N29&gt;Settings!$F$8),"Incomplete","Valid"))))</x:f>
        <x:v>Valid</x:v>
      </x:c>
      <x:c r="T29" s="9" t="str">
        <x:f>IF(C29="","",IFERROR(INDEX('Borrowers'!$D$9:$D$108,MATCH(D29,'Borrowers'!$C$9:$C$108,0)),""))</x:f>
        <x:v>Demo Sinai Utilities</x:v>
      </x:c>
      <x:c r="U29" s="3" t="str">
        <x:f>IF(C29="","","S01 ESRMS I.4–9; bank decision policy")</x:f>
        <x:v>S01 ESRMS I.4–9; bank decision policy</x:v>
      </x:c>
    </x:row>
    <x:row r="30" ht="42" customHeight="1">
      <x:c r="A30" s="1"/>
      <x:c r="B30" s="1"/>
      <x:c r="C30" s="8" t="str">
        <x:v>ACT-B022</x:v>
      </x:c>
      <x:c r="D30" s="8" t="str">
        <x:v>B022</x:v>
      </x:c>
      <x:c r="E30" s="8" t="str">
        <x:v>E&amp;S</x:v>
      </x:c>
      <x:c r="F30" s="8" t="str">
        <x:v>High</x:v>
      </x:c>
      <x:c r="G30" s="8" t="str">
        <x:v>Complete environmental and social evidence review</x:v>
      </x:c>
      <x:c r="H30" s="8" t="str">
        <x:v>Relationship manager 2</x:v>
      </x:c>
      <x:c r="I30" s="10" t="n">
        <x:v>46477</x:v>
      </x:c>
      <x:c r="J30" s="8" t="str">
        <x:v>Open</x:v>
      </x:c>
      <x:c r="K30" s="8" t="str"/>
      <x:c r="L30" s="8" t="str"/>
      <x:c r="M30" s="10" t="str"/>
      <x:c r="N30" s="10" t="n">
        <x:v>46204</x:v>
      </x:c>
      <x:c r="O30" s="9" t="str">
        <x:f>IF(C30="","",IF(AND(S30="Valid",J30="Closed",K30&lt;&gt;"",L30&lt;&gt;"",L30&lt;&gt;H30,ISNUMBER(M30),M30&gt;=N30,M30&lt;=Settings!$F$8),"Verified","Unverified"))</x:f>
        <x:v>Unverified</x:v>
      </x:c>
      <x:c r="P30" s="3" t="str">
        <x:f>IF(C30="","",IF(S30&lt;&gt;"Valid","Review",IF(O30="Verified","Closed",IF(J30="Closed","Closure pending",IF(OR(J30="Open",J30="In progress"),"Open","Review")))))</x:f>
        <x:v>Open</x:v>
      </x:c>
      <x:c r="Q30" s="9" t="str">
        <x:f>IF(C30="","",IF(AND(P30&lt;&gt;"Closed",ISNUMBER(I30),I30&lt;Settings!$F$8),"Overdue","Current"))</x:f>
        <x:v>Current</x:v>
      </x:c>
      <x:c r="R30" s="9" t="n">
        <x:f>IF(C30="","",IF(Q30="Overdue",Settings!$F$8-I30,0))</x:f>
        <x:v>0</x:v>
      </x:c>
      <x:c r="S30" s="9" t="str">
        <x:f>IF(C30="","",IF(COUNTIF($C$9:$C$308,C30)&lt;&gt;1,"Duplicate ID",IF(COUNTIF(Borrowers!$C$9:$C$108,D30)&lt;&gt;1,"Borrower key",IF(OR(NOT(OR(E30="E&amp;S",E30="Taxonomy",E30="Climate",E30="Data")),NOT(OR(F30="Critical",F30="High",F30="Moderate",F30="Low")),NOT(OR(J30="Open",J30="In progress",J30="Closed")),G30="",H30="",NOT(ISNUMBER(I30)),NOT(ISNUMBER(N30)),I30&lt;N30,N30&gt;Settings!$F$8),"Incomplete","Valid"))))</x:f>
        <x:v>Valid</x:v>
      </x:c>
      <x:c r="T30" s="9" t="str">
        <x:f>IF(C30="","",IFERROR(INDEX('Borrowers'!$D$9:$D$108,MATCH(D30,'Borrowers'!$C$9:$C$108,0)),""))</x:f>
        <x:v>Demo Petra Manufacturing</x:v>
      </x:c>
      <x:c r="U30" s="3" t="str">
        <x:f>IF(C30="","","S01 ESRMS I.4–9; bank decision policy")</x:f>
        <x:v>S01 ESRMS I.4–9; bank decision policy</x:v>
      </x:c>
    </x:row>
    <x:row r="31" ht="42" customHeight="1">
      <x:c r="A31" s="1"/>
      <x:c r="B31" s="1"/>
      <x:c r="C31" s="8" t="str">
        <x:v>ACT-B023</x:v>
      </x:c>
      <x:c r="D31" s="8" t="str">
        <x:v>B023</x:v>
      </x:c>
      <x:c r="E31" s="8" t="str">
        <x:v>E&amp;S</x:v>
      </x:c>
      <x:c r="F31" s="8" t="str">
        <x:v>Moderate</x:v>
      </x:c>
      <x:c r="G31" s="8" t="str">
        <x:v>Complete environmental and social evidence review</x:v>
      </x:c>
      <x:c r="H31" s="8" t="str">
        <x:v>Relationship manager 3</x:v>
      </x:c>
      <x:c r="I31" s="10" t="n">
        <x:v>46477</x:v>
      </x:c>
      <x:c r="J31" s="8" t="str">
        <x:v>Closed</x:v>
      </x:c>
      <x:c r="K31" s="8" t="str">
        <x:v>SYN-CLOSE-B023</x:v>
      </x:c>
      <x:c r="L31" s="8" t="str">
        <x:v>ESG assurance 2</x:v>
      </x:c>
      <x:c r="M31" s="10" t="n">
        <x:v>46280</x:v>
      </x:c>
      <x:c r="N31" s="10" t="n">
        <x:v>46204</x:v>
      </x:c>
      <x:c r="O31" s="9" t="str">
        <x:f>IF(C31="","",IF(AND(S31="Valid",J31="Closed",K31&lt;&gt;"",L31&lt;&gt;"",L31&lt;&gt;H31,ISNUMBER(M31),M31&gt;=N31,M31&lt;=Settings!$F$8),"Verified","Unverified"))</x:f>
        <x:v>Verified</x:v>
      </x:c>
      <x:c r="P31" s="3" t="str">
        <x:f>IF(C31="","",IF(S31&lt;&gt;"Valid","Review",IF(O31="Verified","Closed",IF(J31="Closed","Closure pending",IF(OR(J31="Open",J31="In progress"),"Open","Review")))))</x:f>
        <x:v>Closed</x:v>
      </x:c>
      <x:c r="Q31" s="9" t="str">
        <x:f>IF(C31="","",IF(AND(P31&lt;&gt;"Closed",ISNUMBER(I31),I31&lt;Settings!$F$8),"Overdue","Current"))</x:f>
        <x:v>Current</x:v>
      </x:c>
      <x:c r="R31" s="9" t="n">
        <x:f>IF(C31="","",IF(Q31="Overdue",Settings!$F$8-I31,0))</x:f>
        <x:v>0</x:v>
      </x:c>
      <x:c r="S31" s="9" t="str">
        <x:f>IF(C31="","",IF(COUNTIF($C$9:$C$308,C31)&lt;&gt;1,"Duplicate ID",IF(COUNTIF(Borrowers!$C$9:$C$108,D31)&lt;&gt;1,"Borrower key",IF(OR(NOT(OR(E31="E&amp;S",E31="Taxonomy",E31="Climate",E31="Data")),NOT(OR(F31="Critical",F31="High",F31="Moderate",F31="Low")),NOT(OR(J31="Open",J31="In progress",J31="Closed")),G31="",H31="",NOT(ISNUMBER(I31)),NOT(ISNUMBER(N31)),I31&lt;N31,N31&gt;Settings!$F$8),"Incomplete","Valid"))))</x:f>
        <x:v>Valid</x:v>
      </x:c>
      <x:c r="T31" s="9" t="str">
        <x:f>IF(C31="","",IFERROR(INDEX('Borrowers'!$D$9:$D$108,MATCH(D31,'Borrowers'!$C$9:$C$108,0)),""))</x:f>
        <x:v>Demo Gulf Technology</x:v>
      </x:c>
      <x:c r="U31" s="3" t="str">
        <x:f>IF(C31="","","S01 ESRMS I.4–9; bank decision policy")</x:f>
        <x:v>S01 ESRMS I.4–9; bank decision policy</x:v>
      </x:c>
    </x:row>
    <x:row r="32" ht="42" customHeight="1">
      <x:c r="A32" s="1"/>
      <x:c r="B32" s="1"/>
      <x:c r="C32" s="8" t="str">
        <x:v>ACT-B024</x:v>
      </x:c>
      <x:c r="D32" s="8" t="str">
        <x:v>B024</x:v>
      </x:c>
      <x:c r="E32" s="8" t="str">
        <x:v>E&amp;S</x:v>
      </x:c>
      <x:c r="F32" s="8" t="str">
        <x:v>Moderate</x:v>
      </x:c>
      <x:c r="G32" s="8" t="str">
        <x:v>Complete environmental and social evidence review</x:v>
      </x:c>
      <x:c r="H32" s="8" t="str">
        <x:v>Relationship manager 4</x:v>
      </x:c>
      <x:c r="I32" s="10" t="n">
        <x:v>46477</x:v>
      </x:c>
      <x:c r="J32" s="8" t="str">
        <x:v>Open</x:v>
      </x:c>
      <x:c r="K32" s="8" t="str"/>
      <x:c r="L32" s="8" t="str"/>
      <x:c r="M32" s="10" t="str"/>
      <x:c r="N32" s="10" t="n">
        <x:v>46204</x:v>
      </x:c>
      <x:c r="O32" s="9" t="str">
        <x:f>IF(C32="","",IF(AND(S32="Valid",J32="Closed",K32&lt;&gt;"",L32&lt;&gt;"",L32&lt;&gt;H32,ISNUMBER(M32),M32&gt;=N32,M32&lt;=Settings!$F$8),"Verified","Unverified"))</x:f>
        <x:v>Unverified</x:v>
      </x:c>
      <x:c r="P32" s="3" t="str">
        <x:f>IF(C32="","",IF(S32&lt;&gt;"Valid","Review",IF(O32="Verified","Closed",IF(J32="Closed","Closure pending",IF(OR(J32="Open",J32="In progress"),"Open","Review")))))</x:f>
        <x:v>Open</x:v>
      </x:c>
      <x:c r="Q32" s="9" t="str">
        <x:f>IF(C32="","",IF(AND(P32&lt;&gt;"Closed",ISNUMBER(I32),I32&lt;Settings!$F$8),"Overdue","Current"))</x:f>
        <x:v>Current</x:v>
      </x:c>
      <x:c r="R32" s="9" t="n">
        <x:f>IF(C32="","",IF(Q32="Overdue",Settings!$F$8-I32,0))</x:f>
        <x:v>0</x:v>
      </x:c>
      <x:c r="S32" s="9" t="str">
        <x:f>IF(C32="","",IF(COUNTIF($C$9:$C$308,C32)&lt;&gt;1,"Duplicate ID",IF(COUNTIF(Borrowers!$C$9:$C$108,D32)&lt;&gt;1,"Borrower key",IF(OR(NOT(OR(E32="E&amp;S",E32="Taxonomy",E32="Climate",E32="Data")),NOT(OR(F32="Critical",F32="High",F32="Moderate",F32="Low")),NOT(OR(J32="Open",J32="In progress",J32="Closed")),G32="",H32="",NOT(ISNUMBER(I32)),NOT(ISNUMBER(N32)),I32&lt;N32,N32&gt;Settings!$F$8),"Incomplete","Valid"))))</x:f>
        <x:v>Valid</x:v>
      </x:c>
      <x:c r="T32" s="9" t="str">
        <x:f>IF(C32="","",IFERROR(INDEX('Borrowers'!$D$9:$D$108,MATCH(D32,'Borrowers'!$C$9:$C$108,0)),""))</x:f>
        <x:v>Demo Cairo Mobility</x:v>
      </x:c>
      <x:c r="U32" s="3" t="str">
        <x:f>IF(C32="","","S01 ESRMS I.4–9; bank decision policy")</x:f>
        <x:v>S01 ESRMS I.4–9; bank decision policy</x:v>
      </x:c>
    </x:row>
    <x:row r="33" ht="42" customHeight="1">
      <x:c r="A33" s="1"/>
      <x:c r="B33" s="1"/>
      <x:c r="C33" s="8"/>
      <x:c r="D33" s="8"/>
      <x:c r="E33" s="8"/>
      <x:c r="F33" s="8"/>
      <x:c r="G33" s="8"/>
      <x:c r="H33" s="8"/>
      <x:c r="I33" s="10"/>
      <x:c r="J33" s="8"/>
      <x:c r="K33" s="8"/>
      <x:c r="L33" s="8"/>
      <x:c r="M33" s="10"/>
      <x:c r="N33" s="10"/>
      <x:c r="O33" s="9" t="str">
        <x:f>IF(C33="","",IF(AND(S33="Valid",J33="Closed",K33&lt;&gt;"",L33&lt;&gt;"",L33&lt;&gt;H33,ISNUMBER(M33),M33&gt;=N33,M33&lt;=Settings!$F$8),"Verified","Unverified"))</x:f>
      </x:c>
      <x:c r="P33" s="3" t="str">
        <x:f>IF(C33="","",IF(S33&lt;&gt;"Valid","Review",IF(O33="Verified","Closed",IF(J33="Closed","Closure pending",IF(OR(J33="Open",J33="In progress"),"Open","Review")))))</x:f>
      </x:c>
      <x:c r="Q33" s="9" t="str">
        <x:f>IF(C33="","",IF(AND(P33&lt;&gt;"Closed",ISNUMBER(I33),I33&lt;Settings!$F$8),"Overdue","Current"))</x:f>
      </x:c>
      <x:c r="R33" s="9" t="str">
        <x:f>IF(C33="","",IF(Q33="Overdue",Settings!$F$8-I33,0))</x:f>
      </x:c>
      <x:c r="S33" s="9" t="str">
        <x:f>IF(C33="","",IF(COUNTIF($C$9:$C$308,C33)&lt;&gt;1,"Duplicate ID",IF(COUNTIF(Borrowers!$C$9:$C$108,D33)&lt;&gt;1,"Borrower key",IF(OR(NOT(OR(E33="E&amp;S",E33="Taxonomy",E33="Climate",E33="Data")),NOT(OR(F33="Critical",F33="High",F33="Moderate",F33="Low")),NOT(OR(J33="Open",J33="In progress",J33="Closed")),G33="",H33="",NOT(ISNUMBER(I33)),NOT(ISNUMBER(N33)),I33&lt;N33,N33&gt;Settings!$F$8),"Incomplete","Valid"))))</x:f>
      </x:c>
      <x:c r="T33" s="9" t="str">
        <x:f>IF(C33="","",IFERROR(INDEX('Borrowers'!$D$9:$D$108,MATCH(D33,'Borrowers'!$C$9:$C$108,0)),""))</x:f>
      </x:c>
      <x:c r="U33" s="3" t="str">
        <x:f>IF(C33="","","S01 ESRMS I.4–9; bank decision policy")</x:f>
      </x:c>
    </x:row>
    <x:row r="34" ht="42" customHeight="1">
      <x:c r="A34" s="1"/>
      <x:c r="B34" s="1"/>
      <x:c r="C34" s="8"/>
      <x:c r="D34" s="8"/>
      <x:c r="E34" s="8"/>
      <x:c r="F34" s="8"/>
      <x:c r="G34" s="8"/>
      <x:c r="H34" s="8"/>
      <x:c r="I34" s="10"/>
      <x:c r="J34" s="8"/>
      <x:c r="K34" s="8"/>
      <x:c r="L34" s="8"/>
      <x:c r="M34" s="10"/>
      <x:c r="N34" s="10"/>
      <x:c r="O34" s="9" t="str">
        <x:f>IF(C34="","",IF(AND(S34="Valid",J34="Closed",K34&lt;&gt;"",L34&lt;&gt;"",L34&lt;&gt;H34,ISNUMBER(M34),M34&gt;=N34,M34&lt;=Settings!$F$8),"Verified","Unverified"))</x:f>
      </x:c>
      <x:c r="P34" s="3" t="str">
        <x:f>IF(C34="","",IF(S34&lt;&gt;"Valid","Review",IF(O34="Verified","Closed",IF(J34="Closed","Closure pending",IF(OR(J34="Open",J34="In progress"),"Open","Review")))))</x:f>
      </x:c>
      <x:c r="Q34" s="9" t="str">
        <x:f>IF(C34="","",IF(AND(P34&lt;&gt;"Closed",ISNUMBER(I34),I34&lt;Settings!$F$8),"Overdue","Current"))</x:f>
      </x:c>
      <x:c r="R34" s="9" t="str">
        <x:f>IF(C34="","",IF(Q34="Overdue",Settings!$F$8-I34,0))</x:f>
      </x:c>
      <x:c r="S34" s="9" t="str">
        <x:f>IF(C34="","",IF(COUNTIF($C$9:$C$308,C34)&lt;&gt;1,"Duplicate ID",IF(COUNTIF(Borrowers!$C$9:$C$108,D34)&lt;&gt;1,"Borrower key",IF(OR(NOT(OR(E34="E&amp;S",E34="Taxonomy",E34="Climate",E34="Data")),NOT(OR(F34="Critical",F34="High",F34="Moderate",F34="Low")),NOT(OR(J34="Open",J34="In progress",J34="Closed")),G34="",H34="",NOT(ISNUMBER(I34)),NOT(ISNUMBER(N34)),I34&lt;N34,N34&gt;Settings!$F$8),"Incomplete","Valid"))))</x:f>
      </x:c>
      <x:c r="T34" s="9" t="str">
        <x:f>IF(C34="","",IFERROR(INDEX('Borrowers'!$D$9:$D$108,MATCH(D34,'Borrowers'!$C$9:$C$108,0)),""))</x:f>
      </x:c>
      <x:c r="U34" s="3" t="str">
        <x:f>IF(C34="","","S01 ESRMS I.4–9; bank decision policy")</x:f>
      </x:c>
    </x:row>
    <x:row r="35" ht="42" customHeight="1">
      <x:c r="A35" s="1"/>
      <x:c r="B35" s="1"/>
      <x:c r="C35" s="8"/>
      <x:c r="D35" s="8"/>
      <x:c r="E35" s="8"/>
      <x:c r="F35" s="8"/>
      <x:c r="G35" s="8"/>
      <x:c r="H35" s="8"/>
      <x:c r="I35" s="10"/>
      <x:c r="J35" s="8"/>
      <x:c r="K35" s="8"/>
      <x:c r="L35" s="8"/>
      <x:c r="M35" s="10"/>
      <x:c r="N35" s="10"/>
      <x:c r="O35" s="9" t="str">
        <x:f>IF(C35="","",IF(AND(S35="Valid",J35="Closed",K35&lt;&gt;"",L35&lt;&gt;"",L35&lt;&gt;H35,ISNUMBER(M35),M35&gt;=N35,M35&lt;=Settings!$F$8),"Verified","Unverified"))</x:f>
      </x:c>
      <x:c r="P35" s="3" t="str">
        <x:f>IF(C35="","",IF(S35&lt;&gt;"Valid","Review",IF(O35="Verified","Closed",IF(J35="Closed","Closure pending",IF(OR(J35="Open",J35="In progress"),"Open","Review")))))</x:f>
      </x:c>
      <x:c r="Q35" s="9" t="str">
        <x:f>IF(C35="","",IF(AND(P35&lt;&gt;"Closed",ISNUMBER(I35),I35&lt;Settings!$F$8),"Overdue","Current"))</x:f>
      </x:c>
      <x:c r="R35" s="9" t="str">
        <x:f>IF(C35="","",IF(Q35="Overdue",Settings!$F$8-I35,0))</x:f>
      </x:c>
      <x:c r="S35" s="9" t="str">
        <x:f>IF(C35="","",IF(COUNTIF($C$9:$C$308,C35)&lt;&gt;1,"Duplicate ID",IF(COUNTIF(Borrowers!$C$9:$C$108,D35)&lt;&gt;1,"Borrower key",IF(OR(NOT(OR(E35="E&amp;S",E35="Taxonomy",E35="Climate",E35="Data")),NOT(OR(F35="Critical",F35="High",F35="Moderate",F35="Low")),NOT(OR(J35="Open",J35="In progress",J35="Closed")),G35="",H35="",NOT(ISNUMBER(I35)),NOT(ISNUMBER(N35)),I35&lt;N35,N35&gt;Settings!$F$8),"Incomplete","Valid"))))</x:f>
      </x:c>
      <x:c r="T35" s="9" t="str">
        <x:f>IF(C35="","",IFERROR(INDEX('Borrowers'!$D$9:$D$108,MATCH(D35,'Borrowers'!$C$9:$C$108,0)),""))</x:f>
      </x:c>
      <x:c r="U35" s="3" t="str">
        <x:f>IF(C35="","","S01 ESRMS I.4–9; bank decision policy")</x:f>
      </x:c>
    </x:row>
    <x:row r="36" ht="42" customHeight="1">
      <x:c r="A36" s="1"/>
      <x:c r="B36" s="1"/>
      <x:c r="C36" s="8"/>
      <x:c r="D36" s="8"/>
      <x:c r="E36" s="8"/>
      <x:c r="F36" s="8"/>
      <x:c r="G36" s="8"/>
      <x:c r="H36" s="8"/>
      <x:c r="I36" s="10"/>
      <x:c r="J36" s="8"/>
      <x:c r="K36" s="8"/>
      <x:c r="L36" s="8"/>
      <x:c r="M36" s="10"/>
      <x:c r="N36" s="10"/>
      <x:c r="O36" s="9" t="str">
        <x:f>IF(C36="","",IF(AND(S36="Valid",J36="Closed",K36&lt;&gt;"",L36&lt;&gt;"",L36&lt;&gt;H36,ISNUMBER(M36),M36&gt;=N36,M36&lt;=Settings!$F$8),"Verified","Unverified"))</x:f>
      </x:c>
      <x:c r="P36" s="3" t="str">
        <x:f>IF(C36="","",IF(S36&lt;&gt;"Valid","Review",IF(O36="Verified","Closed",IF(J36="Closed","Closure pending",IF(OR(J36="Open",J36="In progress"),"Open","Review")))))</x:f>
      </x:c>
      <x:c r="Q36" s="9" t="str">
        <x:f>IF(C36="","",IF(AND(P36&lt;&gt;"Closed",ISNUMBER(I36),I36&lt;Settings!$F$8),"Overdue","Current"))</x:f>
      </x:c>
      <x:c r="R36" s="9" t="str">
        <x:f>IF(C36="","",IF(Q36="Overdue",Settings!$F$8-I36,0))</x:f>
      </x:c>
      <x:c r="S36" s="9" t="str">
        <x:f>IF(C36="","",IF(COUNTIF($C$9:$C$308,C36)&lt;&gt;1,"Duplicate ID",IF(COUNTIF(Borrowers!$C$9:$C$108,D36)&lt;&gt;1,"Borrower key",IF(OR(NOT(OR(E36="E&amp;S",E36="Taxonomy",E36="Climate",E36="Data")),NOT(OR(F36="Critical",F36="High",F36="Moderate",F36="Low")),NOT(OR(J36="Open",J36="In progress",J36="Closed")),G36="",H36="",NOT(ISNUMBER(I36)),NOT(ISNUMBER(N36)),I36&lt;N36,N36&gt;Settings!$F$8),"Incomplete","Valid"))))</x:f>
      </x:c>
      <x:c r="T36" s="9" t="str">
        <x:f>IF(C36="","",IFERROR(INDEX('Borrowers'!$D$9:$D$108,MATCH(D36,'Borrowers'!$C$9:$C$108,0)),""))</x:f>
      </x:c>
      <x:c r="U36" s="3" t="str">
        <x:f>IF(C36="","","S01 ESRMS I.4–9; bank decision policy")</x:f>
      </x:c>
    </x:row>
    <x:row r="37" ht="42" customHeight="1">
      <x:c r="A37" s="1"/>
      <x:c r="B37" s="1"/>
      <x:c r="C37" s="8"/>
      <x:c r="D37" s="8"/>
      <x:c r="E37" s="8"/>
      <x:c r="F37" s="8"/>
      <x:c r="G37" s="8"/>
      <x:c r="H37" s="8"/>
      <x:c r="I37" s="10"/>
      <x:c r="J37" s="8"/>
      <x:c r="K37" s="8"/>
      <x:c r="L37" s="8"/>
      <x:c r="M37" s="10"/>
      <x:c r="N37" s="10"/>
      <x:c r="O37" s="9" t="str">
        <x:f>IF(C37="","",IF(AND(S37="Valid",J37="Closed",K37&lt;&gt;"",L37&lt;&gt;"",L37&lt;&gt;H37,ISNUMBER(M37),M37&gt;=N37,M37&lt;=Settings!$F$8),"Verified","Unverified"))</x:f>
      </x:c>
      <x:c r="P37" s="3" t="str">
        <x:f>IF(C37="","",IF(S37&lt;&gt;"Valid","Review",IF(O37="Verified","Closed",IF(J37="Closed","Closure pending",IF(OR(J37="Open",J37="In progress"),"Open","Review")))))</x:f>
      </x:c>
      <x:c r="Q37" s="9" t="str">
        <x:f>IF(C37="","",IF(AND(P37&lt;&gt;"Closed",ISNUMBER(I37),I37&lt;Settings!$F$8),"Overdue","Current"))</x:f>
      </x:c>
      <x:c r="R37" s="9" t="str">
        <x:f>IF(C37="","",IF(Q37="Overdue",Settings!$F$8-I37,0))</x:f>
      </x:c>
      <x:c r="S37" s="9" t="str">
        <x:f>IF(C37="","",IF(COUNTIF($C$9:$C$308,C37)&lt;&gt;1,"Duplicate ID",IF(COUNTIF(Borrowers!$C$9:$C$108,D37)&lt;&gt;1,"Borrower key",IF(OR(NOT(OR(E37="E&amp;S",E37="Taxonomy",E37="Climate",E37="Data")),NOT(OR(F37="Critical",F37="High",F37="Moderate",F37="Low")),NOT(OR(J37="Open",J37="In progress",J37="Closed")),G37="",H37="",NOT(ISNUMBER(I37)),NOT(ISNUMBER(N37)),I37&lt;N37,N37&gt;Settings!$F$8),"Incomplete","Valid"))))</x:f>
      </x:c>
      <x:c r="T37" s="9" t="str">
        <x:f>IF(C37="","",IFERROR(INDEX('Borrowers'!$D$9:$D$108,MATCH(D37,'Borrowers'!$C$9:$C$108,0)),""))</x:f>
      </x:c>
      <x:c r="U37" s="3" t="str">
        <x:f>IF(C37="","","S01 ESRMS I.4–9; bank decision policy")</x:f>
      </x:c>
    </x:row>
    <x:row r="38" ht="42" customHeight="1">
      <x:c r="A38" s="1"/>
      <x:c r="B38" s="1"/>
      <x:c r="C38" s="8"/>
      <x:c r="D38" s="8"/>
      <x:c r="E38" s="8"/>
      <x:c r="F38" s="8"/>
      <x:c r="G38" s="8"/>
      <x:c r="H38" s="8"/>
      <x:c r="I38" s="10"/>
      <x:c r="J38" s="8"/>
      <x:c r="K38" s="8"/>
      <x:c r="L38" s="8"/>
      <x:c r="M38" s="10"/>
      <x:c r="N38" s="10"/>
      <x:c r="O38" s="9" t="str">
        <x:f>IF(C38="","",IF(AND(S38="Valid",J38="Closed",K38&lt;&gt;"",L38&lt;&gt;"",L38&lt;&gt;H38,ISNUMBER(M38),M38&gt;=N38,M38&lt;=Settings!$F$8),"Verified","Unverified"))</x:f>
      </x:c>
      <x:c r="P38" s="3" t="str">
        <x:f>IF(C38="","",IF(S38&lt;&gt;"Valid","Review",IF(O38="Verified","Closed",IF(J38="Closed","Closure pending",IF(OR(J38="Open",J38="In progress"),"Open","Review")))))</x:f>
      </x:c>
      <x:c r="Q38" s="9" t="str">
        <x:f>IF(C38="","",IF(AND(P38&lt;&gt;"Closed",ISNUMBER(I38),I38&lt;Settings!$F$8),"Overdue","Current"))</x:f>
      </x:c>
      <x:c r="R38" s="9" t="str">
        <x:f>IF(C38="","",IF(Q38="Overdue",Settings!$F$8-I38,0))</x:f>
      </x:c>
      <x:c r="S38" s="9" t="str">
        <x:f>IF(C38="","",IF(COUNTIF($C$9:$C$308,C38)&lt;&gt;1,"Duplicate ID",IF(COUNTIF(Borrowers!$C$9:$C$108,D38)&lt;&gt;1,"Borrower key",IF(OR(NOT(OR(E38="E&amp;S",E38="Taxonomy",E38="Climate",E38="Data")),NOT(OR(F38="Critical",F38="High",F38="Moderate",F38="Low")),NOT(OR(J38="Open",J38="In progress",J38="Closed")),G38="",H38="",NOT(ISNUMBER(I38)),NOT(ISNUMBER(N38)),I38&lt;N38,N38&gt;Settings!$F$8),"Incomplete","Valid"))))</x:f>
      </x:c>
      <x:c r="T38" s="9" t="str">
        <x:f>IF(C38="","",IFERROR(INDEX('Borrowers'!$D$9:$D$108,MATCH(D38,'Borrowers'!$C$9:$C$108,0)),""))</x:f>
      </x:c>
      <x:c r="U38" s="3" t="str">
        <x:f>IF(C38="","","S01 ESRMS I.4–9; bank decision policy")</x:f>
      </x:c>
    </x:row>
    <x:row r="39" ht="42" customHeight="1">
      <x:c r="A39" s="1"/>
      <x:c r="B39" s="1"/>
      <x:c r="C39" s="8"/>
      <x:c r="D39" s="8"/>
      <x:c r="E39" s="8"/>
      <x:c r="F39" s="8"/>
      <x:c r="G39" s="8"/>
      <x:c r="H39" s="8"/>
      <x:c r="I39" s="10"/>
      <x:c r="J39" s="8"/>
      <x:c r="K39" s="8"/>
      <x:c r="L39" s="8"/>
      <x:c r="M39" s="10"/>
      <x:c r="N39" s="10"/>
      <x:c r="O39" s="9" t="str">
        <x:f>IF(C39="","",IF(AND(S39="Valid",J39="Closed",K39&lt;&gt;"",L39&lt;&gt;"",L39&lt;&gt;H39,ISNUMBER(M39),M39&gt;=N39,M39&lt;=Settings!$F$8),"Verified","Unverified"))</x:f>
      </x:c>
      <x:c r="P39" s="3" t="str">
        <x:f>IF(C39="","",IF(S39&lt;&gt;"Valid","Review",IF(O39="Verified","Closed",IF(J39="Closed","Closure pending",IF(OR(J39="Open",J39="In progress"),"Open","Review")))))</x:f>
      </x:c>
      <x:c r="Q39" s="9" t="str">
        <x:f>IF(C39="","",IF(AND(P39&lt;&gt;"Closed",ISNUMBER(I39),I39&lt;Settings!$F$8),"Overdue","Current"))</x:f>
      </x:c>
      <x:c r="R39" s="9" t="str">
        <x:f>IF(C39="","",IF(Q39="Overdue",Settings!$F$8-I39,0))</x:f>
      </x:c>
      <x:c r="S39" s="9" t="str">
        <x:f>IF(C39="","",IF(COUNTIF($C$9:$C$308,C39)&lt;&gt;1,"Duplicate ID",IF(COUNTIF(Borrowers!$C$9:$C$108,D39)&lt;&gt;1,"Borrower key",IF(OR(NOT(OR(E39="E&amp;S",E39="Taxonomy",E39="Climate",E39="Data")),NOT(OR(F39="Critical",F39="High",F39="Moderate",F39="Low")),NOT(OR(J39="Open",J39="In progress",J39="Closed")),G39="",H39="",NOT(ISNUMBER(I39)),NOT(ISNUMBER(N39)),I39&lt;N39,N39&gt;Settings!$F$8),"Incomplete","Valid"))))</x:f>
      </x:c>
      <x:c r="T39" s="9" t="str">
        <x:f>IF(C39="","",IFERROR(INDEX('Borrowers'!$D$9:$D$108,MATCH(D39,'Borrowers'!$C$9:$C$108,0)),""))</x:f>
      </x:c>
      <x:c r="U39" s="3" t="str">
        <x:f>IF(C39="","","S01 ESRMS I.4–9; bank decision policy")</x:f>
      </x:c>
    </x:row>
    <x:row r="40" ht="42" customHeight="1">
      <x:c r="A40" s="1"/>
      <x:c r="B40" s="1"/>
      <x:c r="C40" s="8"/>
      <x:c r="D40" s="8"/>
      <x:c r="E40" s="8"/>
      <x:c r="F40" s="8"/>
      <x:c r="G40" s="8"/>
      <x:c r="H40" s="8"/>
      <x:c r="I40" s="10"/>
      <x:c r="J40" s="8"/>
      <x:c r="K40" s="8"/>
      <x:c r="L40" s="8"/>
      <x:c r="M40" s="10"/>
      <x:c r="N40" s="10"/>
      <x:c r="O40" s="9" t="str">
        <x:f>IF(C40="","",IF(AND(S40="Valid",J40="Closed",K40&lt;&gt;"",L40&lt;&gt;"",L40&lt;&gt;H40,ISNUMBER(M40),M40&gt;=N40,M40&lt;=Settings!$F$8),"Verified","Unverified"))</x:f>
      </x:c>
      <x:c r="P40" s="3" t="str">
        <x:f>IF(C40="","",IF(S40&lt;&gt;"Valid","Review",IF(O40="Verified","Closed",IF(J40="Closed","Closure pending",IF(OR(J40="Open",J40="In progress"),"Open","Review")))))</x:f>
      </x:c>
      <x:c r="Q40" s="9" t="str">
        <x:f>IF(C40="","",IF(AND(P40&lt;&gt;"Closed",ISNUMBER(I40),I40&lt;Settings!$F$8),"Overdue","Current"))</x:f>
      </x:c>
      <x:c r="R40" s="9" t="str">
        <x:f>IF(C40="","",IF(Q40="Overdue",Settings!$F$8-I40,0))</x:f>
      </x:c>
      <x:c r="S40" s="9" t="str">
        <x:f>IF(C40="","",IF(COUNTIF($C$9:$C$308,C40)&lt;&gt;1,"Duplicate ID",IF(COUNTIF(Borrowers!$C$9:$C$108,D40)&lt;&gt;1,"Borrower key",IF(OR(NOT(OR(E40="E&amp;S",E40="Taxonomy",E40="Climate",E40="Data")),NOT(OR(F40="Critical",F40="High",F40="Moderate",F40="Low")),NOT(OR(J40="Open",J40="In progress",J40="Closed")),G40="",H40="",NOT(ISNUMBER(I40)),NOT(ISNUMBER(N40)),I40&lt;N40,N40&gt;Settings!$F$8),"Incomplete","Valid"))))</x:f>
      </x:c>
      <x:c r="T40" s="9" t="str">
        <x:f>IF(C40="","",IFERROR(INDEX('Borrowers'!$D$9:$D$108,MATCH(D40,'Borrowers'!$C$9:$C$108,0)),""))</x:f>
      </x:c>
      <x:c r="U40" s="3" t="str">
        <x:f>IF(C40="","","S01 ESRMS I.4–9; bank decision policy")</x:f>
      </x:c>
    </x:row>
    <x:row r="41" ht="42" customHeight="1">
      <x:c r="A41" s="1"/>
      <x:c r="B41" s="1"/>
      <x:c r="C41" s="8"/>
      <x:c r="D41" s="8"/>
      <x:c r="E41" s="8"/>
      <x:c r="F41" s="8"/>
      <x:c r="G41" s="8"/>
      <x:c r="H41" s="8"/>
      <x:c r="I41" s="10"/>
      <x:c r="J41" s="8"/>
      <x:c r="K41" s="8"/>
      <x:c r="L41" s="8"/>
      <x:c r="M41" s="10"/>
      <x:c r="N41" s="10"/>
      <x:c r="O41" s="9" t="str">
        <x:f>IF(C41="","",IF(AND(S41="Valid",J41="Closed",K41&lt;&gt;"",L41&lt;&gt;"",L41&lt;&gt;H41,ISNUMBER(M41),M41&gt;=N41,M41&lt;=Settings!$F$8),"Verified","Unverified"))</x:f>
      </x:c>
      <x:c r="P41" s="3" t="str">
        <x:f>IF(C41="","",IF(S41&lt;&gt;"Valid","Review",IF(O41="Verified","Closed",IF(J41="Closed","Closure pending",IF(OR(J41="Open",J41="In progress"),"Open","Review")))))</x:f>
      </x:c>
      <x:c r="Q41" s="9" t="str">
        <x:f>IF(C41="","",IF(AND(P41&lt;&gt;"Closed",ISNUMBER(I41),I41&lt;Settings!$F$8),"Overdue","Current"))</x:f>
      </x:c>
      <x:c r="R41" s="9" t="str">
        <x:f>IF(C41="","",IF(Q41="Overdue",Settings!$F$8-I41,0))</x:f>
      </x:c>
      <x:c r="S41" s="9" t="str">
        <x:f>IF(C41="","",IF(COUNTIF($C$9:$C$308,C41)&lt;&gt;1,"Duplicate ID",IF(COUNTIF(Borrowers!$C$9:$C$108,D41)&lt;&gt;1,"Borrower key",IF(OR(NOT(OR(E41="E&amp;S",E41="Taxonomy",E41="Climate",E41="Data")),NOT(OR(F41="Critical",F41="High",F41="Moderate",F41="Low")),NOT(OR(J41="Open",J41="In progress",J41="Closed")),G41="",H41="",NOT(ISNUMBER(I41)),NOT(ISNUMBER(N41)),I41&lt;N41,N41&gt;Settings!$F$8),"Incomplete","Valid"))))</x:f>
      </x:c>
      <x:c r="T41" s="9" t="str">
        <x:f>IF(C41="","",IFERROR(INDEX('Borrowers'!$D$9:$D$108,MATCH(D41,'Borrowers'!$C$9:$C$108,0)),""))</x:f>
      </x:c>
      <x:c r="U41" s="3" t="str">
        <x:f>IF(C41="","","S01 ESRMS I.4–9; bank decision policy")</x:f>
      </x:c>
    </x:row>
    <x:row r="42" ht="42" customHeight="1">
      <x:c r="A42" s="1"/>
      <x:c r="B42" s="1"/>
      <x:c r="C42" s="8"/>
      <x:c r="D42" s="8"/>
      <x:c r="E42" s="8"/>
      <x:c r="F42" s="8"/>
      <x:c r="G42" s="8"/>
      <x:c r="H42" s="8"/>
      <x:c r="I42" s="10"/>
      <x:c r="J42" s="8"/>
      <x:c r="K42" s="8"/>
      <x:c r="L42" s="8"/>
      <x:c r="M42" s="10"/>
      <x:c r="N42" s="10"/>
      <x:c r="O42" s="9" t="str">
        <x:f>IF(C42="","",IF(AND(S42="Valid",J42="Closed",K42&lt;&gt;"",L42&lt;&gt;"",L42&lt;&gt;H42,ISNUMBER(M42),M42&gt;=N42,M42&lt;=Settings!$F$8),"Verified","Unverified"))</x:f>
      </x:c>
      <x:c r="P42" s="3" t="str">
        <x:f>IF(C42="","",IF(S42&lt;&gt;"Valid","Review",IF(O42="Verified","Closed",IF(J42="Closed","Closure pending",IF(OR(J42="Open",J42="In progress"),"Open","Review")))))</x:f>
      </x:c>
      <x:c r="Q42" s="9" t="str">
        <x:f>IF(C42="","",IF(AND(P42&lt;&gt;"Closed",ISNUMBER(I42),I42&lt;Settings!$F$8),"Overdue","Current"))</x:f>
      </x:c>
      <x:c r="R42" s="9" t="str">
        <x:f>IF(C42="","",IF(Q42="Overdue",Settings!$F$8-I42,0))</x:f>
      </x:c>
      <x:c r="S42" s="9" t="str">
        <x:f>IF(C42="","",IF(COUNTIF($C$9:$C$308,C42)&lt;&gt;1,"Duplicate ID",IF(COUNTIF(Borrowers!$C$9:$C$108,D42)&lt;&gt;1,"Borrower key",IF(OR(NOT(OR(E42="E&amp;S",E42="Taxonomy",E42="Climate",E42="Data")),NOT(OR(F42="Critical",F42="High",F42="Moderate",F42="Low")),NOT(OR(J42="Open",J42="In progress",J42="Closed")),G42="",H42="",NOT(ISNUMBER(I42)),NOT(ISNUMBER(N42)),I42&lt;N42,N42&gt;Settings!$F$8),"Incomplete","Valid"))))</x:f>
      </x:c>
      <x:c r="T42" s="9" t="str">
        <x:f>IF(C42="","",IFERROR(INDEX('Borrowers'!$D$9:$D$108,MATCH(D42,'Borrowers'!$C$9:$C$108,0)),""))</x:f>
      </x:c>
      <x:c r="U42" s="3" t="str">
        <x:f>IF(C42="","","S01 ESRMS I.4–9; bank decision policy")</x:f>
      </x:c>
    </x:row>
    <x:row r="43" ht="42" customHeight="1">
      <x:c r="A43" s="1"/>
      <x:c r="B43" s="1"/>
      <x:c r="C43" s="8"/>
      <x:c r="D43" s="8"/>
      <x:c r="E43" s="8"/>
      <x:c r="F43" s="8"/>
      <x:c r="G43" s="8"/>
      <x:c r="H43" s="8"/>
      <x:c r="I43" s="10"/>
      <x:c r="J43" s="8"/>
      <x:c r="K43" s="8"/>
      <x:c r="L43" s="8"/>
      <x:c r="M43" s="10"/>
      <x:c r="N43" s="10"/>
      <x:c r="O43" s="9" t="str">
        <x:f>IF(C43="","",IF(AND(S43="Valid",J43="Closed",K43&lt;&gt;"",L43&lt;&gt;"",L43&lt;&gt;H43,ISNUMBER(M43),M43&gt;=N43,M43&lt;=Settings!$F$8),"Verified","Unverified"))</x:f>
      </x:c>
      <x:c r="P43" s="3" t="str">
        <x:f>IF(C43="","",IF(S43&lt;&gt;"Valid","Review",IF(O43="Verified","Closed",IF(J43="Closed","Closure pending",IF(OR(J43="Open",J43="In progress"),"Open","Review")))))</x:f>
      </x:c>
      <x:c r="Q43" s="9" t="str">
        <x:f>IF(C43="","",IF(AND(P43&lt;&gt;"Closed",ISNUMBER(I43),I43&lt;Settings!$F$8),"Overdue","Current"))</x:f>
      </x:c>
      <x:c r="R43" s="9" t="str">
        <x:f>IF(C43="","",IF(Q43="Overdue",Settings!$F$8-I43,0))</x:f>
      </x:c>
      <x:c r="S43" s="9" t="str">
        <x:f>IF(C43="","",IF(COUNTIF($C$9:$C$308,C43)&lt;&gt;1,"Duplicate ID",IF(COUNTIF(Borrowers!$C$9:$C$108,D43)&lt;&gt;1,"Borrower key",IF(OR(NOT(OR(E43="E&amp;S",E43="Taxonomy",E43="Climate",E43="Data")),NOT(OR(F43="Critical",F43="High",F43="Moderate",F43="Low")),NOT(OR(J43="Open",J43="In progress",J43="Closed")),G43="",H43="",NOT(ISNUMBER(I43)),NOT(ISNUMBER(N43)),I43&lt;N43,N43&gt;Settings!$F$8),"Incomplete","Valid"))))</x:f>
      </x:c>
      <x:c r="T43" s="9" t="str">
        <x:f>IF(C43="","",IFERROR(INDEX('Borrowers'!$D$9:$D$108,MATCH(D43,'Borrowers'!$C$9:$C$108,0)),""))</x:f>
      </x:c>
      <x:c r="U43" s="3" t="str">
        <x:f>IF(C43="","","S01 ESRMS I.4–9; bank decision policy")</x:f>
      </x:c>
    </x:row>
    <x:row r="44" ht="42" customHeight="1">
      <x:c r="A44" s="1"/>
      <x:c r="B44" s="1"/>
      <x:c r="C44" s="8"/>
      <x:c r="D44" s="8"/>
      <x:c r="E44" s="8"/>
      <x:c r="F44" s="8"/>
      <x:c r="G44" s="8"/>
      <x:c r="H44" s="8"/>
      <x:c r="I44" s="10"/>
      <x:c r="J44" s="8"/>
      <x:c r="K44" s="8"/>
      <x:c r="L44" s="8"/>
      <x:c r="M44" s="10"/>
      <x:c r="N44" s="10"/>
      <x:c r="O44" s="9" t="str">
        <x:f>IF(C44="","",IF(AND(S44="Valid",J44="Closed",K44&lt;&gt;"",L44&lt;&gt;"",L44&lt;&gt;H44,ISNUMBER(M44),M44&gt;=N44,M44&lt;=Settings!$F$8),"Verified","Unverified"))</x:f>
      </x:c>
      <x:c r="P44" s="3" t="str">
        <x:f>IF(C44="","",IF(S44&lt;&gt;"Valid","Review",IF(O44="Verified","Closed",IF(J44="Closed","Closure pending",IF(OR(J44="Open",J44="In progress"),"Open","Review")))))</x:f>
      </x:c>
      <x:c r="Q44" s="9" t="str">
        <x:f>IF(C44="","",IF(AND(P44&lt;&gt;"Closed",ISNUMBER(I44),I44&lt;Settings!$F$8),"Overdue","Current"))</x:f>
      </x:c>
      <x:c r="R44" s="9" t="str">
        <x:f>IF(C44="","",IF(Q44="Overdue",Settings!$F$8-I44,0))</x:f>
      </x:c>
      <x:c r="S44" s="9" t="str">
        <x:f>IF(C44="","",IF(COUNTIF($C$9:$C$308,C44)&lt;&gt;1,"Duplicate ID",IF(COUNTIF(Borrowers!$C$9:$C$108,D44)&lt;&gt;1,"Borrower key",IF(OR(NOT(OR(E44="E&amp;S",E44="Taxonomy",E44="Climate",E44="Data")),NOT(OR(F44="Critical",F44="High",F44="Moderate",F44="Low")),NOT(OR(J44="Open",J44="In progress",J44="Closed")),G44="",H44="",NOT(ISNUMBER(I44)),NOT(ISNUMBER(N44)),I44&lt;N44,N44&gt;Settings!$F$8),"Incomplete","Valid"))))</x:f>
      </x:c>
      <x:c r="T44" s="9" t="str">
        <x:f>IF(C44="","",IFERROR(INDEX('Borrowers'!$D$9:$D$108,MATCH(D44,'Borrowers'!$C$9:$C$108,0)),""))</x:f>
      </x:c>
      <x:c r="U44" s="3" t="str">
        <x:f>IF(C44="","","S01 ESRMS I.4–9; bank decision policy")</x:f>
      </x:c>
    </x:row>
    <x:row r="45" ht="42" customHeight="1">
      <x:c r="A45" s="1"/>
      <x:c r="B45" s="1"/>
      <x:c r="C45" s="8"/>
      <x:c r="D45" s="8"/>
      <x:c r="E45" s="8"/>
      <x:c r="F45" s="8"/>
      <x:c r="G45" s="8"/>
      <x:c r="H45" s="8"/>
      <x:c r="I45" s="10"/>
      <x:c r="J45" s="8"/>
      <x:c r="K45" s="8"/>
      <x:c r="L45" s="8"/>
      <x:c r="M45" s="10"/>
      <x:c r="N45" s="10"/>
      <x:c r="O45" s="9" t="str">
        <x:f>IF(C45="","",IF(AND(S45="Valid",J45="Closed",K45&lt;&gt;"",L45&lt;&gt;"",L45&lt;&gt;H45,ISNUMBER(M45),M45&gt;=N45,M45&lt;=Settings!$F$8),"Verified","Unverified"))</x:f>
      </x:c>
      <x:c r="P45" s="3" t="str">
        <x:f>IF(C45="","",IF(S45&lt;&gt;"Valid","Review",IF(O45="Verified","Closed",IF(J45="Closed","Closure pending",IF(OR(J45="Open",J45="In progress"),"Open","Review")))))</x:f>
      </x:c>
      <x:c r="Q45" s="9" t="str">
        <x:f>IF(C45="","",IF(AND(P45&lt;&gt;"Closed",ISNUMBER(I45),I45&lt;Settings!$F$8),"Overdue","Current"))</x:f>
      </x:c>
      <x:c r="R45" s="9" t="str">
        <x:f>IF(C45="","",IF(Q45="Overdue",Settings!$F$8-I45,0))</x:f>
      </x:c>
      <x:c r="S45" s="9" t="str">
        <x:f>IF(C45="","",IF(COUNTIF($C$9:$C$308,C45)&lt;&gt;1,"Duplicate ID",IF(COUNTIF(Borrowers!$C$9:$C$108,D45)&lt;&gt;1,"Borrower key",IF(OR(NOT(OR(E45="E&amp;S",E45="Taxonomy",E45="Climate",E45="Data")),NOT(OR(F45="Critical",F45="High",F45="Moderate",F45="Low")),NOT(OR(J45="Open",J45="In progress",J45="Closed")),G45="",H45="",NOT(ISNUMBER(I45)),NOT(ISNUMBER(N45)),I45&lt;N45,N45&gt;Settings!$F$8),"Incomplete","Valid"))))</x:f>
      </x:c>
      <x:c r="T45" s="9" t="str">
        <x:f>IF(C45="","",IFERROR(INDEX('Borrowers'!$D$9:$D$108,MATCH(D45,'Borrowers'!$C$9:$C$108,0)),""))</x:f>
      </x:c>
      <x:c r="U45" s="3" t="str">
        <x:f>IF(C45="","","S01 ESRMS I.4–9; bank decision policy")</x:f>
      </x:c>
    </x:row>
    <x:row r="46" ht="42" customHeight="1">
      <x:c r="A46" s="1"/>
      <x:c r="B46" s="1"/>
      <x:c r="C46" s="8"/>
      <x:c r="D46" s="8"/>
      <x:c r="E46" s="8"/>
      <x:c r="F46" s="8"/>
      <x:c r="G46" s="8"/>
      <x:c r="H46" s="8"/>
      <x:c r="I46" s="10"/>
      <x:c r="J46" s="8"/>
      <x:c r="K46" s="8"/>
      <x:c r="L46" s="8"/>
      <x:c r="M46" s="10"/>
      <x:c r="N46" s="10"/>
      <x:c r="O46" s="9" t="str">
        <x:f>IF(C46="","",IF(AND(S46="Valid",J46="Closed",K46&lt;&gt;"",L46&lt;&gt;"",L46&lt;&gt;H46,ISNUMBER(M46),M46&gt;=N46,M46&lt;=Settings!$F$8),"Verified","Unverified"))</x:f>
      </x:c>
      <x:c r="P46" s="3" t="str">
        <x:f>IF(C46="","",IF(S46&lt;&gt;"Valid","Review",IF(O46="Verified","Closed",IF(J46="Closed","Closure pending",IF(OR(J46="Open",J46="In progress"),"Open","Review")))))</x:f>
      </x:c>
      <x:c r="Q46" s="9" t="str">
        <x:f>IF(C46="","",IF(AND(P46&lt;&gt;"Closed",ISNUMBER(I46),I46&lt;Settings!$F$8),"Overdue","Current"))</x:f>
      </x:c>
      <x:c r="R46" s="9" t="str">
        <x:f>IF(C46="","",IF(Q46="Overdue",Settings!$F$8-I46,0))</x:f>
      </x:c>
      <x:c r="S46" s="9" t="str">
        <x:f>IF(C46="","",IF(COUNTIF($C$9:$C$308,C46)&lt;&gt;1,"Duplicate ID",IF(COUNTIF(Borrowers!$C$9:$C$108,D46)&lt;&gt;1,"Borrower key",IF(OR(NOT(OR(E46="E&amp;S",E46="Taxonomy",E46="Climate",E46="Data")),NOT(OR(F46="Critical",F46="High",F46="Moderate",F46="Low")),NOT(OR(J46="Open",J46="In progress",J46="Closed")),G46="",H46="",NOT(ISNUMBER(I46)),NOT(ISNUMBER(N46)),I46&lt;N46,N46&gt;Settings!$F$8),"Incomplete","Valid"))))</x:f>
      </x:c>
      <x:c r="T46" s="9" t="str">
        <x:f>IF(C46="","",IFERROR(INDEX('Borrowers'!$D$9:$D$108,MATCH(D46,'Borrowers'!$C$9:$C$108,0)),""))</x:f>
      </x:c>
      <x:c r="U46" s="3" t="str">
        <x:f>IF(C46="","","S01 ESRMS I.4–9; bank decision policy")</x:f>
      </x:c>
    </x:row>
    <x:row r="47" ht="42" customHeight="1">
      <x:c r="A47" s="1"/>
      <x:c r="B47" s="1"/>
      <x:c r="C47" s="8"/>
      <x:c r="D47" s="8"/>
      <x:c r="E47" s="8"/>
      <x:c r="F47" s="8"/>
      <x:c r="G47" s="8"/>
      <x:c r="H47" s="8"/>
      <x:c r="I47" s="10"/>
      <x:c r="J47" s="8"/>
      <x:c r="K47" s="8"/>
      <x:c r="L47" s="8"/>
      <x:c r="M47" s="10"/>
      <x:c r="N47" s="10"/>
      <x:c r="O47" s="9" t="str">
        <x:f>IF(C47="","",IF(AND(S47="Valid",J47="Closed",K47&lt;&gt;"",L47&lt;&gt;"",L47&lt;&gt;H47,ISNUMBER(M47),M47&gt;=N47,M47&lt;=Settings!$F$8),"Verified","Unverified"))</x:f>
      </x:c>
      <x:c r="P47" s="3" t="str">
        <x:f>IF(C47="","",IF(S47&lt;&gt;"Valid","Review",IF(O47="Verified","Closed",IF(J47="Closed","Closure pending",IF(OR(J47="Open",J47="In progress"),"Open","Review")))))</x:f>
      </x:c>
      <x:c r="Q47" s="9" t="str">
        <x:f>IF(C47="","",IF(AND(P47&lt;&gt;"Closed",ISNUMBER(I47),I47&lt;Settings!$F$8),"Overdue","Current"))</x:f>
      </x:c>
      <x:c r="R47" s="9" t="str">
        <x:f>IF(C47="","",IF(Q47="Overdue",Settings!$F$8-I47,0))</x:f>
      </x:c>
      <x:c r="S47" s="9" t="str">
        <x:f>IF(C47="","",IF(COUNTIF($C$9:$C$308,C47)&lt;&gt;1,"Duplicate ID",IF(COUNTIF(Borrowers!$C$9:$C$108,D47)&lt;&gt;1,"Borrower key",IF(OR(NOT(OR(E47="E&amp;S",E47="Taxonomy",E47="Climate",E47="Data")),NOT(OR(F47="Critical",F47="High",F47="Moderate",F47="Low")),NOT(OR(J47="Open",J47="In progress",J47="Closed")),G47="",H47="",NOT(ISNUMBER(I47)),NOT(ISNUMBER(N47)),I47&lt;N47,N47&gt;Settings!$F$8),"Incomplete","Valid"))))</x:f>
      </x:c>
      <x:c r="T47" s="9" t="str">
        <x:f>IF(C47="","",IFERROR(INDEX('Borrowers'!$D$9:$D$108,MATCH(D47,'Borrowers'!$C$9:$C$108,0)),""))</x:f>
      </x:c>
      <x:c r="U47" s="3" t="str">
        <x:f>IF(C47="","","S01 ESRMS I.4–9; bank decision policy")</x:f>
      </x:c>
    </x:row>
    <x:row r="48" ht="42" customHeight="1">
      <x:c r="A48" s="1"/>
      <x:c r="B48" s="1"/>
      <x:c r="C48" s="8"/>
      <x:c r="D48" s="8"/>
      <x:c r="E48" s="8"/>
      <x:c r="F48" s="8"/>
      <x:c r="G48" s="8"/>
      <x:c r="H48" s="8"/>
      <x:c r="I48" s="10"/>
      <x:c r="J48" s="8"/>
      <x:c r="K48" s="8"/>
      <x:c r="L48" s="8"/>
      <x:c r="M48" s="10"/>
      <x:c r="N48" s="10"/>
      <x:c r="O48" s="9" t="str">
        <x:f>IF(C48="","",IF(AND(S48="Valid",J48="Closed",K48&lt;&gt;"",L48&lt;&gt;"",L48&lt;&gt;H48,ISNUMBER(M48),M48&gt;=N48,M48&lt;=Settings!$F$8),"Verified","Unverified"))</x:f>
      </x:c>
      <x:c r="P48" s="3" t="str">
        <x:f>IF(C48="","",IF(S48&lt;&gt;"Valid","Review",IF(O48="Verified","Closed",IF(J48="Closed","Closure pending",IF(OR(J48="Open",J48="In progress"),"Open","Review")))))</x:f>
      </x:c>
      <x:c r="Q48" s="9" t="str">
        <x:f>IF(C48="","",IF(AND(P48&lt;&gt;"Closed",ISNUMBER(I48),I48&lt;Settings!$F$8),"Overdue","Current"))</x:f>
      </x:c>
      <x:c r="R48" s="9" t="str">
        <x:f>IF(C48="","",IF(Q48="Overdue",Settings!$F$8-I48,0))</x:f>
      </x:c>
      <x:c r="S48" s="9" t="str">
        <x:f>IF(C48="","",IF(COUNTIF($C$9:$C$308,C48)&lt;&gt;1,"Duplicate ID",IF(COUNTIF(Borrowers!$C$9:$C$108,D48)&lt;&gt;1,"Borrower key",IF(OR(NOT(OR(E48="E&amp;S",E48="Taxonomy",E48="Climate",E48="Data")),NOT(OR(F48="Critical",F48="High",F48="Moderate",F48="Low")),NOT(OR(J48="Open",J48="In progress",J48="Closed")),G48="",H48="",NOT(ISNUMBER(I48)),NOT(ISNUMBER(N48)),I48&lt;N48,N48&gt;Settings!$F$8),"Incomplete","Valid"))))</x:f>
      </x:c>
      <x:c r="T48" s="9" t="str">
        <x:f>IF(C48="","",IFERROR(INDEX('Borrowers'!$D$9:$D$108,MATCH(D48,'Borrowers'!$C$9:$C$108,0)),""))</x:f>
      </x:c>
      <x:c r="U48" s="3" t="str">
        <x:f>IF(C48="","","S01 ESRMS I.4–9; bank decision policy")</x:f>
      </x:c>
    </x:row>
    <x:row r="49" ht="42" customHeight="1">
      <x:c r="A49" s="1"/>
      <x:c r="B49" s="1"/>
      <x:c r="C49" s="8"/>
      <x:c r="D49" s="8"/>
      <x:c r="E49" s="8"/>
      <x:c r="F49" s="8"/>
      <x:c r="G49" s="8"/>
      <x:c r="H49" s="8"/>
      <x:c r="I49" s="10"/>
      <x:c r="J49" s="8"/>
      <x:c r="K49" s="8"/>
      <x:c r="L49" s="8"/>
      <x:c r="M49" s="10"/>
      <x:c r="N49" s="10"/>
      <x:c r="O49" s="9" t="str">
        <x:f>IF(C49="","",IF(AND(S49="Valid",J49="Closed",K49&lt;&gt;"",L49&lt;&gt;"",L49&lt;&gt;H49,ISNUMBER(M49),M49&gt;=N49,M49&lt;=Settings!$F$8),"Verified","Unverified"))</x:f>
      </x:c>
      <x:c r="P49" s="3" t="str">
        <x:f>IF(C49="","",IF(S49&lt;&gt;"Valid","Review",IF(O49="Verified","Closed",IF(J49="Closed","Closure pending",IF(OR(J49="Open",J49="In progress"),"Open","Review")))))</x:f>
      </x:c>
      <x:c r="Q49" s="9" t="str">
        <x:f>IF(C49="","",IF(AND(P49&lt;&gt;"Closed",ISNUMBER(I49),I49&lt;Settings!$F$8),"Overdue","Current"))</x:f>
      </x:c>
      <x:c r="R49" s="9" t="str">
        <x:f>IF(C49="","",IF(Q49="Overdue",Settings!$F$8-I49,0))</x:f>
      </x:c>
      <x:c r="S49" s="9" t="str">
        <x:f>IF(C49="","",IF(COUNTIF($C$9:$C$308,C49)&lt;&gt;1,"Duplicate ID",IF(COUNTIF(Borrowers!$C$9:$C$108,D49)&lt;&gt;1,"Borrower key",IF(OR(NOT(OR(E49="E&amp;S",E49="Taxonomy",E49="Climate",E49="Data")),NOT(OR(F49="Critical",F49="High",F49="Moderate",F49="Low")),NOT(OR(J49="Open",J49="In progress",J49="Closed")),G49="",H49="",NOT(ISNUMBER(I49)),NOT(ISNUMBER(N49)),I49&lt;N49,N49&gt;Settings!$F$8),"Incomplete","Valid"))))</x:f>
      </x:c>
      <x:c r="T49" s="9" t="str">
        <x:f>IF(C49="","",IFERROR(INDEX('Borrowers'!$D$9:$D$108,MATCH(D49,'Borrowers'!$C$9:$C$108,0)),""))</x:f>
      </x:c>
      <x:c r="U49" s="3" t="str">
        <x:f>IF(C49="","","S01 ESRMS I.4–9; bank decision policy")</x:f>
      </x:c>
    </x:row>
    <x:row r="50" ht="42" customHeight="1">
      <x:c r="A50" s="1"/>
      <x:c r="B50" s="1"/>
      <x:c r="C50" s="8"/>
      <x:c r="D50" s="8"/>
      <x:c r="E50" s="8"/>
      <x:c r="F50" s="8"/>
      <x:c r="G50" s="8"/>
      <x:c r="H50" s="8"/>
      <x:c r="I50" s="10"/>
      <x:c r="J50" s="8"/>
      <x:c r="K50" s="8"/>
      <x:c r="L50" s="8"/>
      <x:c r="M50" s="10"/>
      <x:c r="N50" s="10"/>
      <x:c r="O50" s="9" t="str">
        <x:f>IF(C50="","",IF(AND(S50="Valid",J50="Closed",K50&lt;&gt;"",L50&lt;&gt;"",L50&lt;&gt;H50,ISNUMBER(M50),M50&gt;=N50,M50&lt;=Settings!$F$8),"Verified","Unverified"))</x:f>
      </x:c>
      <x:c r="P50" s="3" t="str">
        <x:f>IF(C50="","",IF(S50&lt;&gt;"Valid","Review",IF(O50="Verified","Closed",IF(J50="Closed","Closure pending",IF(OR(J50="Open",J50="In progress"),"Open","Review")))))</x:f>
      </x:c>
      <x:c r="Q50" s="9" t="str">
        <x:f>IF(C50="","",IF(AND(P50&lt;&gt;"Closed",ISNUMBER(I50),I50&lt;Settings!$F$8),"Overdue","Current"))</x:f>
      </x:c>
      <x:c r="R50" s="9" t="str">
        <x:f>IF(C50="","",IF(Q50="Overdue",Settings!$F$8-I50,0))</x:f>
      </x:c>
      <x:c r="S50" s="9" t="str">
        <x:f>IF(C50="","",IF(COUNTIF($C$9:$C$308,C50)&lt;&gt;1,"Duplicate ID",IF(COUNTIF(Borrowers!$C$9:$C$108,D50)&lt;&gt;1,"Borrower key",IF(OR(NOT(OR(E50="E&amp;S",E50="Taxonomy",E50="Climate",E50="Data")),NOT(OR(F50="Critical",F50="High",F50="Moderate",F50="Low")),NOT(OR(J50="Open",J50="In progress",J50="Closed")),G50="",H50="",NOT(ISNUMBER(I50)),NOT(ISNUMBER(N50)),I50&lt;N50,N50&gt;Settings!$F$8),"Incomplete","Valid"))))</x:f>
      </x:c>
      <x:c r="T50" s="9" t="str">
        <x:f>IF(C50="","",IFERROR(INDEX('Borrowers'!$D$9:$D$108,MATCH(D50,'Borrowers'!$C$9:$C$108,0)),""))</x:f>
      </x:c>
      <x:c r="U50" s="3" t="str">
        <x:f>IF(C50="","","S01 ESRMS I.4–9; bank decision policy")</x:f>
      </x:c>
    </x:row>
    <x:row r="51" ht="42" customHeight="1">
      <x:c r="A51" s="1"/>
      <x:c r="B51" s="1"/>
      <x:c r="C51" s="8"/>
      <x:c r="D51" s="8"/>
      <x:c r="E51" s="8"/>
      <x:c r="F51" s="8"/>
      <x:c r="G51" s="8"/>
      <x:c r="H51" s="8"/>
      <x:c r="I51" s="10"/>
      <x:c r="J51" s="8"/>
      <x:c r="K51" s="8"/>
      <x:c r="L51" s="8"/>
      <x:c r="M51" s="10"/>
      <x:c r="N51" s="10"/>
      <x:c r="O51" s="9" t="str">
        <x:f>IF(C51="","",IF(AND(S51="Valid",J51="Closed",K51&lt;&gt;"",L51&lt;&gt;"",L51&lt;&gt;H51,ISNUMBER(M51),M51&gt;=N51,M51&lt;=Settings!$F$8),"Verified","Unverified"))</x:f>
      </x:c>
      <x:c r="P51" s="3" t="str">
        <x:f>IF(C51="","",IF(S51&lt;&gt;"Valid","Review",IF(O51="Verified","Closed",IF(J51="Closed","Closure pending",IF(OR(J51="Open",J51="In progress"),"Open","Review")))))</x:f>
      </x:c>
      <x:c r="Q51" s="9" t="str">
        <x:f>IF(C51="","",IF(AND(P51&lt;&gt;"Closed",ISNUMBER(I51),I51&lt;Settings!$F$8),"Overdue","Current"))</x:f>
      </x:c>
      <x:c r="R51" s="9" t="str">
        <x:f>IF(C51="","",IF(Q51="Overdue",Settings!$F$8-I51,0))</x:f>
      </x:c>
      <x:c r="S51" s="9" t="str">
        <x:f>IF(C51="","",IF(COUNTIF($C$9:$C$308,C51)&lt;&gt;1,"Duplicate ID",IF(COUNTIF(Borrowers!$C$9:$C$108,D51)&lt;&gt;1,"Borrower key",IF(OR(NOT(OR(E51="E&amp;S",E51="Taxonomy",E51="Climate",E51="Data")),NOT(OR(F51="Critical",F51="High",F51="Moderate",F51="Low")),NOT(OR(J51="Open",J51="In progress",J51="Closed")),G51="",H51="",NOT(ISNUMBER(I51)),NOT(ISNUMBER(N51)),I51&lt;N51,N51&gt;Settings!$F$8),"Incomplete","Valid"))))</x:f>
      </x:c>
      <x:c r="T51" s="9" t="str">
        <x:f>IF(C51="","",IFERROR(INDEX('Borrowers'!$D$9:$D$108,MATCH(D51,'Borrowers'!$C$9:$C$108,0)),""))</x:f>
      </x:c>
      <x:c r="U51" s="3" t="str">
        <x:f>IF(C51="","","S01 ESRMS I.4–9; bank decision policy")</x:f>
      </x:c>
    </x:row>
    <x:row r="52" ht="42" customHeight="1">
      <x:c r="A52" s="1"/>
      <x:c r="B52" s="1"/>
      <x:c r="C52" s="8"/>
      <x:c r="D52" s="8"/>
      <x:c r="E52" s="8"/>
      <x:c r="F52" s="8"/>
      <x:c r="G52" s="8"/>
      <x:c r="H52" s="8"/>
      <x:c r="I52" s="10"/>
      <x:c r="J52" s="8"/>
      <x:c r="K52" s="8"/>
      <x:c r="L52" s="8"/>
      <x:c r="M52" s="10"/>
      <x:c r="N52" s="10"/>
      <x:c r="O52" s="9" t="str">
        <x:f>IF(C52="","",IF(AND(S52="Valid",J52="Closed",K52&lt;&gt;"",L52&lt;&gt;"",L52&lt;&gt;H52,ISNUMBER(M52),M52&gt;=N52,M52&lt;=Settings!$F$8),"Verified","Unverified"))</x:f>
      </x:c>
      <x:c r="P52" s="3" t="str">
        <x:f>IF(C52="","",IF(S52&lt;&gt;"Valid","Review",IF(O52="Verified","Closed",IF(J52="Closed","Closure pending",IF(OR(J52="Open",J52="In progress"),"Open","Review")))))</x:f>
      </x:c>
      <x:c r="Q52" s="9" t="str">
        <x:f>IF(C52="","",IF(AND(P52&lt;&gt;"Closed",ISNUMBER(I52),I52&lt;Settings!$F$8),"Overdue","Current"))</x:f>
      </x:c>
      <x:c r="R52" s="9" t="str">
        <x:f>IF(C52="","",IF(Q52="Overdue",Settings!$F$8-I52,0))</x:f>
      </x:c>
      <x:c r="S52" s="9" t="str">
        <x:f>IF(C52="","",IF(COUNTIF($C$9:$C$308,C52)&lt;&gt;1,"Duplicate ID",IF(COUNTIF(Borrowers!$C$9:$C$108,D52)&lt;&gt;1,"Borrower key",IF(OR(NOT(OR(E52="E&amp;S",E52="Taxonomy",E52="Climate",E52="Data")),NOT(OR(F52="Critical",F52="High",F52="Moderate",F52="Low")),NOT(OR(J52="Open",J52="In progress",J52="Closed")),G52="",H52="",NOT(ISNUMBER(I52)),NOT(ISNUMBER(N52)),I52&lt;N52,N52&gt;Settings!$F$8),"Incomplete","Valid"))))</x:f>
      </x:c>
      <x:c r="T52" s="9" t="str">
        <x:f>IF(C52="","",IFERROR(INDEX('Borrowers'!$D$9:$D$108,MATCH(D52,'Borrowers'!$C$9:$C$108,0)),""))</x:f>
      </x:c>
      <x:c r="U52" s="3" t="str">
        <x:f>IF(C52="","","S01 ESRMS I.4–9; bank decision policy")</x:f>
      </x:c>
    </x:row>
    <x:row r="53" ht="42" customHeight="1">
      <x:c r="A53" s="1"/>
      <x:c r="B53" s="1"/>
      <x:c r="C53" s="8"/>
      <x:c r="D53" s="8"/>
      <x:c r="E53" s="8"/>
      <x:c r="F53" s="8"/>
      <x:c r="G53" s="8"/>
      <x:c r="H53" s="8"/>
      <x:c r="I53" s="10"/>
      <x:c r="J53" s="8"/>
      <x:c r="K53" s="8"/>
      <x:c r="L53" s="8"/>
      <x:c r="M53" s="10"/>
      <x:c r="N53" s="10"/>
      <x:c r="O53" s="9" t="str">
        <x:f>IF(C53="","",IF(AND(S53="Valid",J53="Closed",K53&lt;&gt;"",L53&lt;&gt;"",L53&lt;&gt;H53,ISNUMBER(M53),M53&gt;=N53,M53&lt;=Settings!$F$8),"Verified","Unverified"))</x:f>
      </x:c>
      <x:c r="P53" s="3" t="str">
        <x:f>IF(C53="","",IF(S53&lt;&gt;"Valid","Review",IF(O53="Verified","Closed",IF(J53="Closed","Closure pending",IF(OR(J53="Open",J53="In progress"),"Open","Review")))))</x:f>
      </x:c>
      <x:c r="Q53" s="9" t="str">
        <x:f>IF(C53="","",IF(AND(P53&lt;&gt;"Closed",ISNUMBER(I53),I53&lt;Settings!$F$8),"Overdue","Current"))</x:f>
      </x:c>
      <x:c r="R53" s="9" t="str">
        <x:f>IF(C53="","",IF(Q53="Overdue",Settings!$F$8-I53,0))</x:f>
      </x:c>
      <x:c r="S53" s="9" t="str">
        <x:f>IF(C53="","",IF(COUNTIF($C$9:$C$308,C53)&lt;&gt;1,"Duplicate ID",IF(COUNTIF(Borrowers!$C$9:$C$108,D53)&lt;&gt;1,"Borrower key",IF(OR(NOT(OR(E53="E&amp;S",E53="Taxonomy",E53="Climate",E53="Data")),NOT(OR(F53="Critical",F53="High",F53="Moderate",F53="Low")),NOT(OR(J53="Open",J53="In progress",J53="Closed")),G53="",H53="",NOT(ISNUMBER(I53)),NOT(ISNUMBER(N53)),I53&lt;N53,N53&gt;Settings!$F$8),"Incomplete","Valid"))))</x:f>
      </x:c>
      <x:c r="T53" s="9" t="str">
        <x:f>IF(C53="","",IFERROR(INDEX('Borrowers'!$D$9:$D$108,MATCH(D53,'Borrowers'!$C$9:$C$108,0)),""))</x:f>
      </x:c>
      <x:c r="U53" s="3" t="str">
        <x:f>IF(C53="","","S01 ESRMS I.4–9; bank decision policy")</x:f>
      </x:c>
    </x:row>
    <x:row r="54" ht="42" customHeight="1">
      <x:c r="A54" s="1"/>
      <x:c r="B54" s="1"/>
      <x:c r="C54" s="8"/>
      <x:c r="D54" s="8"/>
      <x:c r="E54" s="8"/>
      <x:c r="F54" s="8"/>
      <x:c r="G54" s="8"/>
      <x:c r="H54" s="8"/>
      <x:c r="I54" s="10"/>
      <x:c r="J54" s="8"/>
      <x:c r="K54" s="8"/>
      <x:c r="L54" s="8"/>
      <x:c r="M54" s="10"/>
      <x:c r="N54" s="10"/>
      <x:c r="O54" s="9" t="str">
        <x:f>IF(C54="","",IF(AND(S54="Valid",J54="Closed",K54&lt;&gt;"",L54&lt;&gt;"",L54&lt;&gt;H54,ISNUMBER(M54),M54&gt;=N54,M54&lt;=Settings!$F$8),"Verified","Unverified"))</x:f>
      </x:c>
      <x:c r="P54" s="3" t="str">
        <x:f>IF(C54="","",IF(S54&lt;&gt;"Valid","Review",IF(O54="Verified","Closed",IF(J54="Closed","Closure pending",IF(OR(J54="Open",J54="In progress"),"Open","Review")))))</x:f>
      </x:c>
      <x:c r="Q54" s="9" t="str">
        <x:f>IF(C54="","",IF(AND(P54&lt;&gt;"Closed",ISNUMBER(I54),I54&lt;Settings!$F$8),"Overdue","Current"))</x:f>
      </x:c>
      <x:c r="R54" s="9" t="str">
        <x:f>IF(C54="","",IF(Q54="Overdue",Settings!$F$8-I54,0))</x:f>
      </x:c>
      <x:c r="S54" s="9" t="str">
        <x:f>IF(C54="","",IF(COUNTIF($C$9:$C$308,C54)&lt;&gt;1,"Duplicate ID",IF(COUNTIF(Borrowers!$C$9:$C$108,D54)&lt;&gt;1,"Borrower key",IF(OR(NOT(OR(E54="E&amp;S",E54="Taxonomy",E54="Climate",E54="Data")),NOT(OR(F54="Critical",F54="High",F54="Moderate",F54="Low")),NOT(OR(J54="Open",J54="In progress",J54="Closed")),G54="",H54="",NOT(ISNUMBER(I54)),NOT(ISNUMBER(N54)),I54&lt;N54,N54&gt;Settings!$F$8),"Incomplete","Valid"))))</x:f>
      </x:c>
      <x:c r="T54" s="9" t="str">
        <x:f>IF(C54="","",IFERROR(INDEX('Borrowers'!$D$9:$D$108,MATCH(D54,'Borrowers'!$C$9:$C$108,0)),""))</x:f>
      </x:c>
      <x:c r="U54" s="3" t="str">
        <x:f>IF(C54="","","S01 ESRMS I.4–9; bank decision policy")</x:f>
      </x:c>
    </x:row>
    <x:row r="55" ht="42" customHeight="1">
      <x:c r="A55" s="1"/>
      <x:c r="B55" s="1"/>
      <x:c r="C55" s="8"/>
      <x:c r="D55" s="8"/>
      <x:c r="E55" s="8"/>
      <x:c r="F55" s="8"/>
      <x:c r="G55" s="8"/>
      <x:c r="H55" s="8"/>
      <x:c r="I55" s="10"/>
      <x:c r="J55" s="8"/>
      <x:c r="K55" s="8"/>
      <x:c r="L55" s="8"/>
      <x:c r="M55" s="10"/>
      <x:c r="N55" s="10"/>
      <x:c r="O55" s="9" t="str">
        <x:f>IF(C55="","",IF(AND(S55="Valid",J55="Closed",K55&lt;&gt;"",L55&lt;&gt;"",L55&lt;&gt;H55,ISNUMBER(M55),M55&gt;=N55,M55&lt;=Settings!$F$8),"Verified","Unverified"))</x:f>
      </x:c>
      <x:c r="P55" s="3" t="str">
        <x:f>IF(C55="","",IF(S55&lt;&gt;"Valid","Review",IF(O55="Verified","Closed",IF(J55="Closed","Closure pending",IF(OR(J55="Open",J55="In progress"),"Open","Review")))))</x:f>
      </x:c>
      <x:c r="Q55" s="9" t="str">
        <x:f>IF(C55="","",IF(AND(P55&lt;&gt;"Closed",ISNUMBER(I55),I55&lt;Settings!$F$8),"Overdue","Current"))</x:f>
      </x:c>
      <x:c r="R55" s="9" t="str">
        <x:f>IF(C55="","",IF(Q55="Overdue",Settings!$F$8-I55,0))</x:f>
      </x:c>
      <x:c r="S55" s="9" t="str">
        <x:f>IF(C55="","",IF(COUNTIF($C$9:$C$308,C55)&lt;&gt;1,"Duplicate ID",IF(COUNTIF(Borrowers!$C$9:$C$108,D55)&lt;&gt;1,"Borrower key",IF(OR(NOT(OR(E55="E&amp;S",E55="Taxonomy",E55="Climate",E55="Data")),NOT(OR(F55="Critical",F55="High",F55="Moderate",F55="Low")),NOT(OR(J55="Open",J55="In progress",J55="Closed")),G55="",H55="",NOT(ISNUMBER(I55)),NOT(ISNUMBER(N55)),I55&lt;N55,N55&gt;Settings!$F$8),"Incomplete","Valid"))))</x:f>
      </x:c>
      <x:c r="T55" s="9" t="str">
        <x:f>IF(C55="","",IFERROR(INDEX('Borrowers'!$D$9:$D$108,MATCH(D55,'Borrowers'!$C$9:$C$108,0)),""))</x:f>
      </x:c>
      <x:c r="U55" s="3" t="str">
        <x:f>IF(C55="","","S01 ESRMS I.4–9; bank decision policy")</x:f>
      </x:c>
    </x:row>
    <x:row r="56" ht="42" customHeight="1">
      <x:c r="A56" s="1"/>
      <x:c r="B56" s="1"/>
      <x:c r="C56" s="8"/>
      <x:c r="D56" s="8"/>
      <x:c r="E56" s="8"/>
      <x:c r="F56" s="8"/>
      <x:c r="G56" s="8"/>
      <x:c r="H56" s="8"/>
      <x:c r="I56" s="10"/>
      <x:c r="J56" s="8"/>
      <x:c r="K56" s="8"/>
      <x:c r="L56" s="8"/>
      <x:c r="M56" s="10"/>
      <x:c r="N56" s="10"/>
      <x:c r="O56" s="9" t="str">
        <x:f>IF(C56="","",IF(AND(S56="Valid",J56="Closed",K56&lt;&gt;"",L56&lt;&gt;"",L56&lt;&gt;H56,ISNUMBER(M56),M56&gt;=N56,M56&lt;=Settings!$F$8),"Verified","Unverified"))</x:f>
      </x:c>
      <x:c r="P56" s="3" t="str">
        <x:f>IF(C56="","",IF(S56&lt;&gt;"Valid","Review",IF(O56="Verified","Closed",IF(J56="Closed","Closure pending",IF(OR(J56="Open",J56="In progress"),"Open","Review")))))</x:f>
      </x:c>
      <x:c r="Q56" s="9" t="str">
        <x:f>IF(C56="","",IF(AND(P56&lt;&gt;"Closed",ISNUMBER(I56),I56&lt;Settings!$F$8),"Overdue","Current"))</x:f>
      </x:c>
      <x:c r="R56" s="9" t="str">
        <x:f>IF(C56="","",IF(Q56="Overdue",Settings!$F$8-I56,0))</x:f>
      </x:c>
      <x:c r="S56" s="9" t="str">
        <x:f>IF(C56="","",IF(COUNTIF($C$9:$C$308,C56)&lt;&gt;1,"Duplicate ID",IF(COUNTIF(Borrowers!$C$9:$C$108,D56)&lt;&gt;1,"Borrower key",IF(OR(NOT(OR(E56="E&amp;S",E56="Taxonomy",E56="Climate",E56="Data")),NOT(OR(F56="Critical",F56="High",F56="Moderate",F56="Low")),NOT(OR(J56="Open",J56="In progress",J56="Closed")),G56="",H56="",NOT(ISNUMBER(I56)),NOT(ISNUMBER(N56)),I56&lt;N56,N56&gt;Settings!$F$8),"Incomplete","Valid"))))</x:f>
      </x:c>
      <x:c r="T56" s="9" t="str">
        <x:f>IF(C56="","",IFERROR(INDEX('Borrowers'!$D$9:$D$108,MATCH(D56,'Borrowers'!$C$9:$C$108,0)),""))</x:f>
      </x:c>
      <x:c r="U56" s="3" t="str">
        <x:f>IF(C56="","","S01 ESRMS I.4–9; bank decision policy")</x:f>
      </x:c>
    </x:row>
    <x:row r="57" ht="42" customHeight="1">
      <x:c r="A57" s="1"/>
      <x:c r="B57" s="1"/>
      <x:c r="C57" s="8"/>
      <x:c r="D57" s="8"/>
      <x:c r="E57" s="8"/>
      <x:c r="F57" s="8"/>
      <x:c r="G57" s="8"/>
      <x:c r="H57" s="8"/>
      <x:c r="I57" s="10"/>
      <x:c r="J57" s="8"/>
      <x:c r="K57" s="8"/>
      <x:c r="L57" s="8"/>
      <x:c r="M57" s="10"/>
      <x:c r="N57" s="10"/>
      <x:c r="O57" s="9" t="str">
        <x:f>IF(C57="","",IF(AND(S57="Valid",J57="Closed",K57&lt;&gt;"",L57&lt;&gt;"",L57&lt;&gt;H57,ISNUMBER(M57),M57&gt;=N57,M57&lt;=Settings!$F$8),"Verified","Unverified"))</x:f>
      </x:c>
      <x:c r="P57" s="3" t="str">
        <x:f>IF(C57="","",IF(S57&lt;&gt;"Valid","Review",IF(O57="Verified","Closed",IF(J57="Closed","Closure pending",IF(OR(J57="Open",J57="In progress"),"Open","Review")))))</x:f>
      </x:c>
      <x:c r="Q57" s="9" t="str">
        <x:f>IF(C57="","",IF(AND(P57&lt;&gt;"Closed",ISNUMBER(I57),I57&lt;Settings!$F$8),"Overdue","Current"))</x:f>
      </x:c>
      <x:c r="R57" s="9" t="str">
        <x:f>IF(C57="","",IF(Q57="Overdue",Settings!$F$8-I57,0))</x:f>
      </x:c>
      <x:c r="S57" s="9" t="str">
        <x:f>IF(C57="","",IF(COUNTIF($C$9:$C$308,C57)&lt;&gt;1,"Duplicate ID",IF(COUNTIF(Borrowers!$C$9:$C$108,D57)&lt;&gt;1,"Borrower key",IF(OR(NOT(OR(E57="E&amp;S",E57="Taxonomy",E57="Climate",E57="Data")),NOT(OR(F57="Critical",F57="High",F57="Moderate",F57="Low")),NOT(OR(J57="Open",J57="In progress",J57="Closed")),G57="",H57="",NOT(ISNUMBER(I57)),NOT(ISNUMBER(N57)),I57&lt;N57,N57&gt;Settings!$F$8),"Incomplete","Valid"))))</x:f>
      </x:c>
      <x:c r="T57" s="9" t="str">
        <x:f>IF(C57="","",IFERROR(INDEX('Borrowers'!$D$9:$D$108,MATCH(D57,'Borrowers'!$C$9:$C$108,0)),""))</x:f>
      </x:c>
      <x:c r="U57" s="3" t="str">
        <x:f>IF(C57="","","S01 ESRMS I.4–9; bank decision policy")</x:f>
      </x:c>
    </x:row>
    <x:row r="58" ht="42" customHeight="1">
      <x:c r="A58" s="1"/>
      <x:c r="B58" s="1"/>
      <x:c r="C58" s="8"/>
      <x:c r="D58" s="8"/>
      <x:c r="E58" s="8"/>
      <x:c r="F58" s="8"/>
      <x:c r="G58" s="8"/>
      <x:c r="H58" s="8"/>
      <x:c r="I58" s="10"/>
      <x:c r="J58" s="8"/>
      <x:c r="K58" s="8"/>
      <x:c r="L58" s="8"/>
      <x:c r="M58" s="10"/>
      <x:c r="N58" s="10"/>
      <x:c r="O58" s="9" t="str">
        <x:f>IF(C58="","",IF(AND(S58="Valid",J58="Closed",K58&lt;&gt;"",L58&lt;&gt;"",L58&lt;&gt;H58,ISNUMBER(M58),M58&gt;=N58,M58&lt;=Settings!$F$8),"Verified","Unverified"))</x:f>
      </x:c>
      <x:c r="P58" s="3" t="str">
        <x:f>IF(C58="","",IF(S58&lt;&gt;"Valid","Review",IF(O58="Verified","Closed",IF(J58="Closed","Closure pending",IF(OR(J58="Open",J58="In progress"),"Open","Review")))))</x:f>
      </x:c>
      <x:c r="Q58" s="9" t="str">
        <x:f>IF(C58="","",IF(AND(P58&lt;&gt;"Closed",ISNUMBER(I58),I58&lt;Settings!$F$8),"Overdue","Current"))</x:f>
      </x:c>
      <x:c r="R58" s="9" t="str">
        <x:f>IF(C58="","",IF(Q58="Overdue",Settings!$F$8-I58,0))</x:f>
      </x:c>
      <x:c r="S58" s="9" t="str">
        <x:f>IF(C58="","",IF(COUNTIF($C$9:$C$308,C58)&lt;&gt;1,"Duplicate ID",IF(COUNTIF(Borrowers!$C$9:$C$108,D58)&lt;&gt;1,"Borrower key",IF(OR(NOT(OR(E58="E&amp;S",E58="Taxonomy",E58="Climate",E58="Data")),NOT(OR(F58="Critical",F58="High",F58="Moderate",F58="Low")),NOT(OR(J58="Open",J58="In progress",J58="Closed")),G58="",H58="",NOT(ISNUMBER(I58)),NOT(ISNUMBER(N58)),I58&lt;N58,N58&gt;Settings!$F$8),"Incomplete","Valid"))))</x:f>
      </x:c>
      <x:c r="T58" s="9" t="str">
        <x:f>IF(C58="","",IFERROR(INDEX('Borrowers'!$D$9:$D$108,MATCH(D58,'Borrowers'!$C$9:$C$108,0)),""))</x:f>
      </x:c>
      <x:c r="U58" s="3" t="str">
        <x:f>IF(C58="","","S01 ESRMS I.4–9; bank decision policy")</x:f>
      </x:c>
    </x:row>
    <x:row r="59" ht="42" customHeight="1">
      <x:c r="A59" s="1"/>
      <x:c r="B59" s="1"/>
      <x:c r="C59" s="8"/>
      <x:c r="D59" s="8"/>
      <x:c r="E59" s="8"/>
      <x:c r="F59" s="8"/>
      <x:c r="G59" s="8"/>
      <x:c r="H59" s="8"/>
      <x:c r="I59" s="10"/>
      <x:c r="J59" s="8"/>
      <x:c r="K59" s="8"/>
      <x:c r="L59" s="8"/>
      <x:c r="M59" s="10"/>
      <x:c r="N59" s="10"/>
      <x:c r="O59" s="9" t="str">
        <x:f>IF(C59="","",IF(AND(S59="Valid",J59="Closed",K59&lt;&gt;"",L59&lt;&gt;"",L59&lt;&gt;H59,ISNUMBER(M59),M59&gt;=N59,M59&lt;=Settings!$F$8),"Verified","Unverified"))</x:f>
      </x:c>
      <x:c r="P59" s="3" t="str">
        <x:f>IF(C59="","",IF(S59&lt;&gt;"Valid","Review",IF(O59="Verified","Closed",IF(J59="Closed","Closure pending",IF(OR(J59="Open",J59="In progress"),"Open","Review")))))</x:f>
      </x:c>
      <x:c r="Q59" s="9" t="str">
        <x:f>IF(C59="","",IF(AND(P59&lt;&gt;"Closed",ISNUMBER(I59),I59&lt;Settings!$F$8),"Overdue","Current"))</x:f>
      </x:c>
      <x:c r="R59" s="9" t="str">
        <x:f>IF(C59="","",IF(Q59="Overdue",Settings!$F$8-I59,0))</x:f>
      </x:c>
      <x:c r="S59" s="9" t="str">
        <x:f>IF(C59="","",IF(COUNTIF($C$9:$C$308,C59)&lt;&gt;1,"Duplicate ID",IF(COUNTIF(Borrowers!$C$9:$C$108,D59)&lt;&gt;1,"Borrower key",IF(OR(NOT(OR(E59="E&amp;S",E59="Taxonomy",E59="Climate",E59="Data")),NOT(OR(F59="Critical",F59="High",F59="Moderate",F59="Low")),NOT(OR(J59="Open",J59="In progress",J59="Closed")),G59="",H59="",NOT(ISNUMBER(I59)),NOT(ISNUMBER(N59)),I59&lt;N59,N59&gt;Settings!$F$8),"Incomplete","Valid"))))</x:f>
      </x:c>
      <x:c r="T59" s="9" t="str">
        <x:f>IF(C59="","",IFERROR(INDEX('Borrowers'!$D$9:$D$108,MATCH(D59,'Borrowers'!$C$9:$C$108,0)),""))</x:f>
      </x:c>
      <x:c r="U59" s="3" t="str">
        <x:f>IF(C59="","","S01 ESRMS I.4–9; bank decision policy")</x:f>
      </x:c>
    </x:row>
    <x:row r="60" ht="42" customHeight="1">
      <x:c r="A60" s="1"/>
      <x:c r="B60" s="1"/>
      <x:c r="C60" s="8"/>
      <x:c r="D60" s="8"/>
      <x:c r="E60" s="8"/>
      <x:c r="F60" s="8"/>
      <x:c r="G60" s="8"/>
      <x:c r="H60" s="8"/>
      <x:c r="I60" s="10"/>
      <x:c r="J60" s="8"/>
      <x:c r="K60" s="8"/>
      <x:c r="L60" s="8"/>
      <x:c r="M60" s="10"/>
      <x:c r="N60" s="10"/>
      <x:c r="O60" s="9" t="str">
        <x:f>IF(C60="","",IF(AND(S60="Valid",J60="Closed",K60&lt;&gt;"",L60&lt;&gt;"",L60&lt;&gt;H60,ISNUMBER(M60),M60&gt;=N60,M60&lt;=Settings!$F$8),"Verified","Unverified"))</x:f>
      </x:c>
      <x:c r="P60" s="3" t="str">
        <x:f>IF(C60="","",IF(S60&lt;&gt;"Valid","Review",IF(O60="Verified","Closed",IF(J60="Closed","Closure pending",IF(OR(J60="Open",J60="In progress"),"Open","Review")))))</x:f>
      </x:c>
      <x:c r="Q60" s="9" t="str">
        <x:f>IF(C60="","",IF(AND(P60&lt;&gt;"Closed",ISNUMBER(I60),I60&lt;Settings!$F$8),"Overdue","Current"))</x:f>
      </x:c>
      <x:c r="R60" s="9" t="str">
        <x:f>IF(C60="","",IF(Q60="Overdue",Settings!$F$8-I60,0))</x:f>
      </x:c>
      <x:c r="S60" s="9" t="str">
        <x:f>IF(C60="","",IF(COUNTIF($C$9:$C$308,C60)&lt;&gt;1,"Duplicate ID",IF(COUNTIF(Borrowers!$C$9:$C$108,D60)&lt;&gt;1,"Borrower key",IF(OR(NOT(OR(E60="E&amp;S",E60="Taxonomy",E60="Climate",E60="Data")),NOT(OR(F60="Critical",F60="High",F60="Moderate",F60="Low")),NOT(OR(J60="Open",J60="In progress",J60="Closed")),G60="",H60="",NOT(ISNUMBER(I60)),NOT(ISNUMBER(N60)),I60&lt;N60,N60&gt;Settings!$F$8),"Incomplete","Valid"))))</x:f>
      </x:c>
      <x:c r="T60" s="9" t="str">
        <x:f>IF(C60="","",IFERROR(INDEX('Borrowers'!$D$9:$D$108,MATCH(D60,'Borrowers'!$C$9:$C$108,0)),""))</x:f>
      </x:c>
      <x:c r="U60" s="3" t="str">
        <x:f>IF(C60="","","S01 ESRMS I.4–9; bank decision policy")</x:f>
      </x:c>
    </x:row>
    <x:row r="61" ht="42" customHeight="1">
      <x:c r="A61" s="1"/>
      <x:c r="B61" s="1"/>
      <x:c r="C61" s="8"/>
      <x:c r="D61" s="8"/>
      <x:c r="E61" s="8"/>
      <x:c r="F61" s="8"/>
      <x:c r="G61" s="8"/>
      <x:c r="H61" s="8"/>
      <x:c r="I61" s="10"/>
      <x:c r="J61" s="8"/>
      <x:c r="K61" s="8"/>
      <x:c r="L61" s="8"/>
      <x:c r="M61" s="10"/>
      <x:c r="N61" s="10"/>
      <x:c r="O61" s="9" t="str">
        <x:f>IF(C61="","",IF(AND(S61="Valid",J61="Closed",K61&lt;&gt;"",L61&lt;&gt;"",L61&lt;&gt;H61,ISNUMBER(M61),M61&gt;=N61,M61&lt;=Settings!$F$8),"Verified","Unverified"))</x:f>
      </x:c>
      <x:c r="P61" s="3" t="str">
        <x:f>IF(C61="","",IF(S61&lt;&gt;"Valid","Review",IF(O61="Verified","Closed",IF(J61="Closed","Closure pending",IF(OR(J61="Open",J61="In progress"),"Open","Review")))))</x:f>
      </x:c>
      <x:c r="Q61" s="9" t="str">
        <x:f>IF(C61="","",IF(AND(P61&lt;&gt;"Closed",ISNUMBER(I61),I61&lt;Settings!$F$8),"Overdue","Current"))</x:f>
      </x:c>
      <x:c r="R61" s="9" t="str">
        <x:f>IF(C61="","",IF(Q61="Overdue",Settings!$F$8-I61,0))</x:f>
      </x:c>
      <x:c r="S61" s="9" t="str">
        <x:f>IF(C61="","",IF(COUNTIF($C$9:$C$308,C61)&lt;&gt;1,"Duplicate ID",IF(COUNTIF(Borrowers!$C$9:$C$108,D61)&lt;&gt;1,"Borrower key",IF(OR(NOT(OR(E61="E&amp;S",E61="Taxonomy",E61="Climate",E61="Data")),NOT(OR(F61="Critical",F61="High",F61="Moderate",F61="Low")),NOT(OR(J61="Open",J61="In progress",J61="Closed")),G61="",H61="",NOT(ISNUMBER(I61)),NOT(ISNUMBER(N61)),I61&lt;N61,N61&gt;Settings!$F$8),"Incomplete","Valid"))))</x:f>
      </x:c>
      <x:c r="T61" s="9" t="str">
        <x:f>IF(C61="","",IFERROR(INDEX('Borrowers'!$D$9:$D$108,MATCH(D61,'Borrowers'!$C$9:$C$108,0)),""))</x:f>
      </x:c>
      <x:c r="U61" s="3" t="str">
        <x:f>IF(C61="","","S01 ESRMS I.4–9; bank decision policy")</x:f>
      </x:c>
    </x:row>
    <x:row r="62" ht="42" customHeight="1">
      <x:c r="A62" s="1"/>
      <x:c r="B62" s="1"/>
      <x:c r="C62" s="8"/>
      <x:c r="D62" s="8"/>
      <x:c r="E62" s="8"/>
      <x:c r="F62" s="8"/>
      <x:c r="G62" s="8"/>
      <x:c r="H62" s="8"/>
      <x:c r="I62" s="10"/>
      <x:c r="J62" s="8"/>
      <x:c r="K62" s="8"/>
      <x:c r="L62" s="8"/>
      <x:c r="M62" s="10"/>
      <x:c r="N62" s="10"/>
      <x:c r="O62" s="9" t="str">
        <x:f>IF(C62="","",IF(AND(S62="Valid",J62="Closed",K62&lt;&gt;"",L62&lt;&gt;"",L62&lt;&gt;H62,ISNUMBER(M62),M62&gt;=N62,M62&lt;=Settings!$F$8),"Verified","Unverified"))</x:f>
      </x:c>
      <x:c r="P62" s="3" t="str">
        <x:f>IF(C62="","",IF(S62&lt;&gt;"Valid","Review",IF(O62="Verified","Closed",IF(J62="Closed","Closure pending",IF(OR(J62="Open",J62="In progress"),"Open","Review")))))</x:f>
      </x:c>
      <x:c r="Q62" s="9" t="str">
        <x:f>IF(C62="","",IF(AND(P62&lt;&gt;"Closed",ISNUMBER(I62),I62&lt;Settings!$F$8),"Overdue","Current"))</x:f>
      </x:c>
      <x:c r="R62" s="9" t="str">
        <x:f>IF(C62="","",IF(Q62="Overdue",Settings!$F$8-I62,0))</x:f>
      </x:c>
      <x:c r="S62" s="9" t="str">
        <x:f>IF(C62="","",IF(COUNTIF($C$9:$C$308,C62)&lt;&gt;1,"Duplicate ID",IF(COUNTIF(Borrowers!$C$9:$C$108,D62)&lt;&gt;1,"Borrower key",IF(OR(NOT(OR(E62="E&amp;S",E62="Taxonomy",E62="Climate",E62="Data")),NOT(OR(F62="Critical",F62="High",F62="Moderate",F62="Low")),NOT(OR(J62="Open",J62="In progress",J62="Closed")),G62="",H62="",NOT(ISNUMBER(I62)),NOT(ISNUMBER(N62)),I62&lt;N62,N62&gt;Settings!$F$8),"Incomplete","Valid"))))</x:f>
      </x:c>
      <x:c r="T62" s="9" t="str">
        <x:f>IF(C62="","",IFERROR(INDEX('Borrowers'!$D$9:$D$108,MATCH(D62,'Borrowers'!$C$9:$C$108,0)),""))</x:f>
      </x:c>
      <x:c r="U62" s="3" t="str">
        <x:f>IF(C62="","","S01 ESRMS I.4–9; bank decision policy")</x:f>
      </x:c>
    </x:row>
    <x:row r="63" ht="42" customHeight="1">
      <x:c r="A63" s="1"/>
      <x:c r="B63" s="1"/>
      <x:c r="C63" s="8"/>
      <x:c r="D63" s="8"/>
      <x:c r="E63" s="8"/>
      <x:c r="F63" s="8"/>
      <x:c r="G63" s="8"/>
      <x:c r="H63" s="8"/>
      <x:c r="I63" s="10"/>
      <x:c r="J63" s="8"/>
      <x:c r="K63" s="8"/>
      <x:c r="L63" s="8"/>
      <x:c r="M63" s="10"/>
      <x:c r="N63" s="10"/>
      <x:c r="O63" s="9" t="str">
        <x:f>IF(C63="","",IF(AND(S63="Valid",J63="Closed",K63&lt;&gt;"",L63&lt;&gt;"",L63&lt;&gt;H63,ISNUMBER(M63),M63&gt;=N63,M63&lt;=Settings!$F$8),"Verified","Unverified"))</x:f>
      </x:c>
      <x:c r="P63" s="3" t="str">
        <x:f>IF(C63="","",IF(S63&lt;&gt;"Valid","Review",IF(O63="Verified","Closed",IF(J63="Closed","Closure pending",IF(OR(J63="Open",J63="In progress"),"Open","Review")))))</x:f>
      </x:c>
      <x:c r="Q63" s="9" t="str">
        <x:f>IF(C63="","",IF(AND(P63&lt;&gt;"Closed",ISNUMBER(I63),I63&lt;Settings!$F$8),"Overdue","Current"))</x:f>
      </x:c>
      <x:c r="R63" s="9" t="str">
        <x:f>IF(C63="","",IF(Q63="Overdue",Settings!$F$8-I63,0))</x:f>
      </x:c>
      <x:c r="S63" s="9" t="str">
        <x:f>IF(C63="","",IF(COUNTIF($C$9:$C$308,C63)&lt;&gt;1,"Duplicate ID",IF(COUNTIF(Borrowers!$C$9:$C$108,D63)&lt;&gt;1,"Borrower key",IF(OR(NOT(OR(E63="E&amp;S",E63="Taxonomy",E63="Climate",E63="Data")),NOT(OR(F63="Critical",F63="High",F63="Moderate",F63="Low")),NOT(OR(J63="Open",J63="In progress",J63="Closed")),G63="",H63="",NOT(ISNUMBER(I63)),NOT(ISNUMBER(N63)),I63&lt;N63,N63&gt;Settings!$F$8),"Incomplete","Valid"))))</x:f>
      </x:c>
      <x:c r="T63" s="9" t="str">
        <x:f>IF(C63="","",IFERROR(INDEX('Borrowers'!$D$9:$D$108,MATCH(D63,'Borrowers'!$C$9:$C$108,0)),""))</x:f>
      </x:c>
      <x:c r="U63" s="3" t="str">
        <x:f>IF(C63="","","S01 ESRMS I.4–9; bank decision policy")</x:f>
      </x:c>
    </x:row>
    <x:row r="64" ht="42" customHeight="1">
      <x:c r="A64" s="1"/>
      <x:c r="B64" s="1"/>
      <x:c r="C64" s="8"/>
      <x:c r="D64" s="8"/>
      <x:c r="E64" s="8"/>
      <x:c r="F64" s="8"/>
      <x:c r="G64" s="8"/>
      <x:c r="H64" s="8"/>
      <x:c r="I64" s="10"/>
      <x:c r="J64" s="8"/>
      <x:c r="K64" s="8"/>
      <x:c r="L64" s="8"/>
      <x:c r="M64" s="10"/>
      <x:c r="N64" s="10"/>
      <x:c r="O64" s="9" t="str">
        <x:f>IF(C64="","",IF(AND(S64="Valid",J64="Closed",K64&lt;&gt;"",L64&lt;&gt;"",L64&lt;&gt;H64,ISNUMBER(M64),M64&gt;=N64,M64&lt;=Settings!$F$8),"Verified","Unverified"))</x:f>
      </x:c>
      <x:c r="P64" s="3" t="str">
        <x:f>IF(C64="","",IF(S64&lt;&gt;"Valid","Review",IF(O64="Verified","Closed",IF(J64="Closed","Closure pending",IF(OR(J64="Open",J64="In progress"),"Open","Review")))))</x:f>
      </x:c>
      <x:c r="Q64" s="9" t="str">
        <x:f>IF(C64="","",IF(AND(P64&lt;&gt;"Closed",ISNUMBER(I64),I64&lt;Settings!$F$8),"Overdue","Current"))</x:f>
      </x:c>
      <x:c r="R64" s="9" t="str">
        <x:f>IF(C64="","",IF(Q64="Overdue",Settings!$F$8-I64,0))</x:f>
      </x:c>
      <x:c r="S64" s="9" t="str">
        <x:f>IF(C64="","",IF(COUNTIF($C$9:$C$308,C64)&lt;&gt;1,"Duplicate ID",IF(COUNTIF(Borrowers!$C$9:$C$108,D64)&lt;&gt;1,"Borrower key",IF(OR(NOT(OR(E64="E&amp;S",E64="Taxonomy",E64="Climate",E64="Data")),NOT(OR(F64="Critical",F64="High",F64="Moderate",F64="Low")),NOT(OR(J64="Open",J64="In progress",J64="Closed")),G64="",H64="",NOT(ISNUMBER(I64)),NOT(ISNUMBER(N64)),I64&lt;N64,N64&gt;Settings!$F$8),"Incomplete","Valid"))))</x:f>
      </x:c>
      <x:c r="T64" s="9" t="str">
        <x:f>IF(C64="","",IFERROR(INDEX('Borrowers'!$D$9:$D$108,MATCH(D64,'Borrowers'!$C$9:$C$108,0)),""))</x:f>
      </x:c>
      <x:c r="U64" s="3" t="str">
        <x:f>IF(C64="","","S01 ESRMS I.4–9; bank decision policy")</x:f>
      </x:c>
    </x:row>
    <x:row r="65" ht="42" customHeight="1">
      <x:c r="A65" s="1"/>
      <x:c r="B65" s="1"/>
      <x:c r="C65" s="8"/>
      <x:c r="D65" s="8"/>
      <x:c r="E65" s="8"/>
      <x:c r="F65" s="8"/>
      <x:c r="G65" s="8"/>
      <x:c r="H65" s="8"/>
      <x:c r="I65" s="10"/>
      <x:c r="J65" s="8"/>
      <x:c r="K65" s="8"/>
      <x:c r="L65" s="8"/>
      <x:c r="M65" s="10"/>
      <x:c r="N65" s="10"/>
      <x:c r="O65" s="9" t="str">
        <x:f>IF(C65="","",IF(AND(S65="Valid",J65="Closed",K65&lt;&gt;"",L65&lt;&gt;"",L65&lt;&gt;H65,ISNUMBER(M65),M65&gt;=N65,M65&lt;=Settings!$F$8),"Verified","Unverified"))</x:f>
      </x:c>
      <x:c r="P65" s="3" t="str">
        <x:f>IF(C65="","",IF(S65&lt;&gt;"Valid","Review",IF(O65="Verified","Closed",IF(J65="Closed","Closure pending",IF(OR(J65="Open",J65="In progress"),"Open","Review")))))</x:f>
      </x:c>
      <x:c r="Q65" s="9" t="str">
        <x:f>IF(C65="","",IF(AND(P65&lt;&gt;"Closed",ISNUMBER(I65),I65&lt;Settings!$F$8),"Overdue","Current"))</x:f>
      </x:c>
      <x:c r="R65" s="9" t="str">
        <x:f>IF(C65="","",IF(Q65="Overdue",Settings!$F$8-I65,0))</x:f>
      </x:c>
      <x:c r="S65" s="9" t="str">
        <x:f>IF(C65="","",IF(COUNTIF($C$9:$C$308,C65)&lt;&gt;1,"Duplicate ID",IF(COUNTIF(Borrowers!$C$9:$C$108,D65)&lt;&gt;1,"Borrower key",IF(OR(NOT(OR(E65="E&amp;S",E65="Taxonomy",E65="Climate",E65="Data")),NOT(OR(F65="Critical",F65="High",F65="Moderate",F65="Low")),NOT(OR(J65="Open",J65="In progress",J65="Closed")),G65="",H65="",NOT(ISNUMBER(I65)),NOT(ISNUMBER(N65)),I65&lt;N65,N65&gt;Settings!$F$8),"Incomplete","Valid"))))</x:f>
      </x:c>
      <x:c r="T65" s="9" t="str">
        <x:f>IF(C65="","",IFERROR(INDEX('Borrowers'!$D$9:$D$108,MATCH(D65,'Borrowers'!$C$9:$C$108,0)),""))</x:f>
      </x:c>
      <x:c r="U65" s="3" t="str">
        <x:f>IF(C65="","","S01 ESRMS I.4–9; bank decision policy")</x:f>
      </x:c>
    </x:row>
    <x:row r="66" ht="42" customHeight="1">
      <x:c r="A66" s="1"/>
      <x:c r="B66" s="1"/>
      <x:c r="C66" s="8"/>
      <x:c r="D66" s="8"/>
      <x:c r="E66" s="8"/>
      <x:c r="F66" s="8"/>
      <x:c r="G66" s="8"/>
      <x:c r="H66" s="8"/>
      <x:c r="I66" s="10"/>
      <x:c r="J66" s="8"/>
      <x:c r="K66" s="8"/>
      <x:c r="L66" s="8"/>
      <x:c r="M66" s="10"/>
      <x:c r="N66" s="10"/>
      <x:c r="O66" s="9" t="str">
        <x:f>IF(C66="","",IF(AND(S66="Valid",J66="Closed",K66&lt;&gt;"",L66&lt;&gt;"",L66&lt;&gt;H66,ISNUMBER(M66),M66&gt;=N66,M66&lt;=Settings!$F$8),"Verified","Unverified"))</x:f>
      </x:c>
      <x:c r="P66" s="3" t="str">
        <x:f>IF(C66="","",IF(S66&lt;&gt;"Valid","Review",IF(O66="Verified","Closed",IF(J66="Closed","Closure pending",IF(OR(J66="Open",J66="In progress"),"Open","Review")))))</x:f>
      </x:c>
      <x:c r="Q66" s="9" t="str">
        <x:f>IF(C66="","",IF(AND(P66&lt;&gt;"Closed",ISNUMBER(I66),I66&lt;Settings!$F$8),"Overdue","Current"))</x:f>
      </x:c>
      <x:c r="R66" s="9" t="str">
        <x:f>IF(C66="","",IF(Q66="Overdue",Settings!$F$8-I66,0))</x:f>
      </x:c>
      <x:c r="S66" s="9" t="str">
        <x:f>IF(C66="","",IF(COUNTIF($C$9:$C$308,C66)&lt;&gt;1,"Duplicate ID",IF(COUNTIF(Borrowers!$C$9:$C$108,D66)&lt;&gt;1,"Borrower key",IF(OR(NOT(OR(E66="E&amp;S",E66="Taxonomy",E66="Climate",E66="Data")),NOT(OR(F66="Critical",F66="High",F66="Moderate",F66="Low")),NOT(OR(J66="Open",J66="In progress",J66="Closed")),G66="",H66="",NOT(ISNUMBER(I66)),NOT(ISNUMBER(N66)),I66&lt;N66,N66&gt;Settings!$F$8),"Incomplete","Valid"))))</x:f>
      </x:c>
      <x:c r="T66" s="9" t="str">
        <x:f>IF(C66="","",IFERROR(INDEX('Borrowers'!$D$9:$D$108,MATCH(D66,'Borrowers'!$C$9:$C$108,0)),""))</x:f>
      </x:c>
      <x:c r="U66" s="3" t="str">
        <x:f>IF(C66="","","S01 ESRMS I.4–9; bank decision policy")</x:f>
      </x:c>
    </x:row>
    <x:row r="67" ht="42" customHeight="1">
      <x:c r="A67" s="1"/>
      <x:c r="B67" s="1"/>
      <x:c r="C67" s="8"/>
      <x:c r="D67" s="8"/>
      <x:c r="E67" s="8"/>
      <x:c r="F67" s="8"/>
      <x:c r="G67" s="8"/>
      <x:c r="H67" s="8"/>
      <x:c r="I67" s="10"/>
      <x:c r="J67" s="8"/>
      <x:c r="K67" s="8"/>
      <x:c r="L67" s="8"/>
      <x:c r="M67" s="10"/>
      <x:c r="N67" s="10"/>
      <x:c r="O67" s="9" t="str">
        <x:f>IF(C67="","",IF(AND(S67="Valid",J67="Closed",K67&lt;&gt;"",L67&lt;&gt;"",L67&lt;&gt;H67,ISNUMBER(M67),M67&gt;=N67,M67&lt;=Settings!$F$8),"Verified","Unverified"))</x:f>
      </x:c>
      <x:c r="P67" s="3" t="str">
        <x:f>IF(C67="","",IF(S67&lt;&gt;"Valid","Review",IF(O67="Verified","Closed",IF(J67="Closed","Closure pending",IF(OR(J67="Open",J67="In progress"),"Open","Review")))))</x:f>
      </x:c>
      <x:c r="Q67" s="9" t="str">
        <x:f>IF(C67="","",IF(AND(P67&lt;&gt;"Closed",ISNUMBER(I67),I67&lt;Settings!$F$8),"Overdue","Current"))</x:f>
      </x:c>
      <x:c r="R67" s="9" t="str">
        <x:f>IF(C67="","",IF(Q67="Overdue",Settings!$F$8-I67,0))</x:f>
      </x:c>
      <x:c r="S67" s="9" t="str">
        <x:f>IF(C67="","",IF(COUNTIF($C$9:$C$308,C67)&lt;&gt;1,"Duplicate ID",IF(COUNTIF(Borrowers!$C$9:$C$108,D67)&lt;&gt;1,"Borrower key",IF(OR(NOT(OR(E67="E&amp;S",E67="Taxonomy",E67="Climate",E67="Data")),NOT(OR(F67="Critical",F67="High",F67="Moderate",F67="Low")),NOT(OR(J67="Open",J67="In progress",J67="Closed")),G67="",H67="",NOT(ISNUMBER(I67)),NOT(ISNUMBER(N67)),I67&lt;N67,N67&gt;Settings!$F$8),"Incomplete","Valid"))))</x:f>
      </x:c>
      <x:c r="T67" s="9" t="str">
        <x:f>IF(C67="","",IFERROR(INDEX('Borrowers'!$D$9:$D$108,MATCH(D67,'Borrowers'!$C$9:$C$108,0)),""))</x:f>
      </x:c>
      <x:c r="U67" s="3" t="str">
        <x:f>IF(C67="","","S01 ESRMS I.4–9; bank decision policy")</x:f>
      </x:c>
    </x:row>
    <x:row r="68" ht="42" customHeight="1">
      <x:c r="A68" s="1"/>
      <x:c r="B68" s="1"/>
      <x:c r="C68" s="8"/>
      <x:c r="D68" s="8"/>
      <x:c r="E68" s="8"/>
      <x:c r="F68" s="8"/>
      <x:c r="G68" s="8"/>
      <x:c r="H68" s="8"/>
      <x:c r="I68" s="10"/>
      <x:c r="J68" s="8"/>
      <x:c r="K68" s="8"/>
      <x:c r="L68" s="8"/>
      <x:c r="M68" s="10"/>
      <x:c r="N68" s="10"/>
      <x:c r="O68" s="9" t="str">
        <x:f>IF(C68="","",IF(AND(S68="Valid",J68="Closed",K68&lt;&gt;"",L68&lt;&gt;"",L68&lt;&gt;H68,ISNUMBER(M68),M68&gt;=N68,M68&lt;=Settings!$F$8),"Verified","Unverified"))</x:f>
      </x:c>
      <x:c r="P68" s="3" t="str">
        <x:f>IF(C68="","",IF(S68&lt;&gt;"Valid","Review",IF(O68="Verified","Closed",IF(J68="Closed","Closure pending",IF(OR(J68="Open",J68="In progress"),"Open","Review")))))</x:f>
      </x:c>
      <x:c r="Q68" s="9" t="str">
        <x:f>IF(C68="","",IF(AND(P68&lt;&gt;"Closed",ISNUMBER(I68),I68&lt;Settings!$F$8),"Overdue","Current"))</x:f>
      </x:c>
      <x:c r="R68" s="9" t="str">
        <x:f>IF(C68="","",IF(Q68="Overdue",Settings!$F$8-I68,0))</x:f>
      </x:c>
      <x:c r="S68" s="9" t="str">
        <x:f>IF(C68="","",IF(COUNTIF($C$9:$C$308,C68)&lt;&gt;1,"Duplicate ID",IF(COUNTIF(Borrowers!$C$9:$C$108,D68)&lt;&gt;1,"Borrower key",IF(OR(NOT(OR(E68="E&amp;S",E68="Taxonomy",E68="Climate",E68="Data")),NOT(OR(F68="Critical",F68="High",F68="Moderate",F68="Low")),NOT(OR(J68="Open",J68="In progress",J68="Closed")),G68="",H68="",NOT(ISNUMBER(I68)),NOT(ISNUMBER(N68)),I68&lt;N68,N68&gt;Settings!$F$8),"Incomplete","Valid"))))</x:f>
      </x:c>
      <x:c r="T68" s="9" t="str">
        <x:f>IF(C68="","",IFERROR(INDEX('Borrowers'!$D$9:$D$108,MATCH(D68,'Borrowers'!$C$9:$C$108,0)),""))</x:f>
      </x:c>
      <x:c r="U68" s="3" t="str">
        <x:f>IF(C68="","","S01 ESRMS I.4–9; bank decision policy")</x:f>
      </x:c>
    </x:row>
    <x:row r="69" ht="42" customHeight="1">
      <x:c r="A69" s="1"/>
      <x:c r="B69" s="1"/>
      <x:c r="C69" s="8"/>
      <x:c r="D69" s="8"/>
      <x:c r="E69" s="8"/>
      <x:c r="F69" s="8"/>
      <x:c r="G69" s="8"/>
      <x:c r="H69" s="8"/>
      <x:c r="I69" s="10"/>
      <x:c r="J69" s="8"/>
      <x:c r="K69" s="8"/>
      <x:c r="L69" s="8"/>
      <x:c r="M69" s="10"/>
      <x:c r="N69" s="10"/>
      <x:c r="O69" s="9" t="str">
        <x:f>IF(C69="","",IF(AND(S69="Valid",J69="Closed",K69&lt;&gt;"",L69&lt;&gt;"",L69&lt;&gt;H69,ISNUMBER(M69),M69&gt;=N69,M69&lt;=Settings!$F$8),"Verified","Unverified"))</x:f>
      </x:c>
      <x:c r="P69" s="3" t="str">
        <x:f>IF(C69="","",IF(S69&lt;&gt;"Valid","Review",IF(O69="Verified","Closed",IF(J69="Closed","Closure pending",IF(OR(J69="Open",J69="In progress"),"Open","Review")))))</x:f>
      </x:c>
      <x:c r="Q69" s="9" t="str">
        <x:f>IF(C69="","",IF(AND(P69&lt;&gt;"Closed",ISNUMBER(I69),I69&lt;Settings!$F$8),"Overdue","Current"))</x:f>
      </x:c>
      <x:c r="R69" s="9" t="str">
        <x:f>IF(C69="","",IF(Q69="Overdue",Settings!$F$8-I69,0))</x:f>
      </x:c>
      <x:c r="S69" s="9" t="str">
        <x:f>IF(C69="","",IF(COUNTIF($C$9:$C$308,C69)&lt;&gt;1,"Duplicate ID",IF(COUNTIF(Borrowers!$C$9:$C$108,D69)&lt;&gt;1,"Borrower key",IF(OR(NOT(OR(E69="E&amp;S",E69="Taxonomy",E69="Climate",E69="Data")),NOT(OR(F69="Critical",F69="High",F69="Moderate",F69="Low")),NOT(OR(J69="Open",J69="In progress",J69="Closed")),G69="",H69="",NOT(ISNUMBER(I69)),NOT(ISNUMBER(N69)),I69&lt;N69,N69&gt;Settings!$F$8),"Incomplete","Valid"))))</x:f>
      </x:c>
      <x:c r="T69" s="9" t="str">
        <x:f>IF(C69="","",IFERROR(INDEX('Borrowers'!$D$9:$D$108,MATCH(D69,'Borrowers'!$C$9:$C$108,0)),""))</x:f>
      </x:c>
      <x:c r="U69" s="3" t="str">
        <x:f>IF(C69="","","S01 ESRMS I.4–9; bank decision policy")</x:f>
      </x:c>
    </x:row>
    <x:row r="70" ht="42" customHeight="1">
      <x:c r="A70" s="1"/>
      <x:c r="B70" s="1"/>
      <x:c r="C70" s="8"/>
      <x:c r="D70" s="8"/>
      <x:c r="E70" s="8"/>
      <x:c r="F70" s="8"/>
      <x:c r="G70" s="8"/>
      <x:c r="H70" s="8"/>
      <x:c r="I70" s="10"/>
      <x:c r="J70" s="8"/>
      <x:c r="K70" s="8"/>
      <x:c r="L70" s="8"/>
      <x:c r="M70" s="10"/>
      <x:c r="N70" s="10"/>
      <x:c r="O70" s="9" t="str">
        <x:f>IF(C70="","",IF(AND(S70="Valid",J70="Closed",K70&lt;&gt;"",L70&lt;&gt;"",L70&lt;&gt;H70,ISNUMBER(M70),M70&gt;=N70,M70&lt;=Settings!$F$8),"Verified","Unverified"))</x:f>
      </x:c>
      <x:c r="P70" s="3" t="str">
        <x:f>IF(C70="","",IF(S70&lt;&gt;"Valid","Review",IF(O70="Verified","Closed",IF(J70="Closed","Closure pending",IF(OR(J70="Open",J70="In progress"),"Open","Review")))))</x:f>
      </x:c>
      <x:c r="Q70" s="9" t="str">
        <x:f>IF(C70="","",IF(AND(P70&lt;&gt;"Closed",ISNUMBER(I70),I70&lt;Settings!$F$8),"Overdue","Current"))</x:f>
      </x:c>
      <x:c r="R70" s="9" t="str">
        <x:f>IF(C70="","",IF(Q70="Overdue",Settings!$F$8-I70,0))</x:f>
      </x:c>
      <x:c r="S70" s="9" t="str">
        <x:f>IF(C70="","",IF(COUNTIF($C$9:$C$308,C70)&lt;&gt;1,"Duplicate ID",IF(COUNTIF(Borrowers!$C$9:$C$108,D70)&lt;&gt;1,"Borrower key",IF(OR(NOT(OR(E70="E&amp;S",E70="Taxonomy",E70="Climate",E70="Data")),NOT(OR(F70="Critical",F70="High",F70="Moderate",F70="Low")),NOT(OR(J70="Open",J70="In progress",J70="Closed")),G70="",H70="",NOT(ISNUMBER(I70)),NOT(ISNUMBER(N70)),I70&lt;N70,N70&gt;Settings!$F$8),"Incomplete","Valid"))))</x:f>
      </x:c>
      <x:c r="T70" s="9" t="str">
        <x:f>IF(C70="","",IFERROR(INDEX('Borrowers'!$D$9:$D$108,MATCH(D70,'Borrowers'!$C$9:$C$108,0)),""))</x:f>
      </x:c>
      <x:c r="U70" s="3" t="str">
        <x:f>IF(C70="","","S01 ESRMS I.4–9; bank decision policy")</x:f>
      </x:c>
    </x:row>
    <x:row r="71" ht="42" customHeight="1">
      <x:c r="A71" s="1"/>
      <x:c r="B71" s="1"/>
      <x:c r="C71" s="8"/>
      <x:c r="D71" s="8"/>
      <x:c r="E71" s="8"/>
      <x:c r="F71" s="8"/>
      <x:c r="G71" s="8"/>
      <x:c r="H71" s="8"/>
      <x:c r="I71" s="10"/>
      <x:c r="J71" s="8"/>
      <x:c r="K71" s="8"/>
      <x:c r="L71" s="8"/>
      <x:c r="M71" s="10"/>
      <x:c r="N71" s="10"/>
      <x:c r="O71" s="9" t="str">
        <x:f>IF(C71="","",IF(AND(S71="Valid",J71="Closed",K71&lt;&gt;"",L71&lt;&gt;"",L71&lt;&gt;H71,ISNUMBER(M71),M71&gt;=N71,M71&lt;=Settings!$F$8),"Verified","Unverified"))</x:f>
      </x:c>
      <x:c r="P71" s="3" t="str">
        <x:f>IF(C71="","",IF(S71&lt;&gt;"Valid","Review",IF(O71="Verified","Closed",IF(J71="Closed","Closure pending",IF(OR(J71="Open",J71="In progress"),"Open","Review")))))</x:f>
      </x:c>
      <x:c r="Q71" s="9" t="str">
        <x:f>IF(C71="","",IF(AND(P71&lt;&gt;"Closed",ISNUMBER(I71),I71&lt;Settings!$F$8),"Overdue","Current"))</x:f>
      </x:c>
      <x:c r="R71" s="9" t="str">
        <x:f>IF(C71="","",IF(Q71="Overdue",Settings!$F$8-I71,0))</x:f>
      </x:c>
      <x:c r="S71" s="9" t="str">
        <x:f>IF(C71="","",IF(COUNTIF($C$9:$C$308,C71)&lt;&gt;1,"Duplicate ID",IF(COUNTIF(Borrowers!$C$9:$C$108,D71)&lt;&gt;1,"Borrower key",IF(OR(NOT(OR(E71="E&amp;S",E71="Taxonomy",E71="Climate",E71="Data")),NOT(OR(F71="Critical",F71="High",F71="Moderate",F71="Low")),NOT(OR(J71="Open",J71="In progress",J71="Closed")),G71="",H71="",NOT(ISNUMBER(I71)),NOT(ISNUMBER(N71)),I71&lt;N71,N71&gt;Settings!$F$8),"Incomplete","Valid"))))</x:f>
      </x:c>
      <x:c r="T71" s="9" t="str">
        <x:f>IF(C71="","",IFERROR(INDEX('Borrowers'!$D$9:$D$108,MATCH(D71,'Borrowers'!$C$9:$C$108,0)),""))</x:f>
      </x:c>
      <x:c r="U71" s="3" t="str">
        <x:f>IF(C71="","","S01 ESRMS I.4–9; bank decision policy")</x:f>
      </x:c>
    </x:row>
    <x:row r="72" ht="42" customHeight="1">
      <x:c r="A72" s="1"/>
      <x:c r="B72" s="1"/>
      <x:c r="C72" s="8"/>
      <x:c r="D72" s="8"/>
      <x:c r="E72" s="8"/>
      <x:c r="F72" s="8"/>
      <x:c r="G72" s="8"/>
      <x:c r="H72" s="8"/>
      <x:c r="I72" s="10"/>
      <x:c r="J72" s="8"/>
      <x:c r="K72" s="8"/>
      <x:c r="L72" s="8"/>
      <x:c r="M72" s="10"/>
      <x:c r="N72" s="10"/>
      <x:c r="O72" s="9" t="str">
        <x:f>IF(C72="","",IF(AND(S72="Valid",J72="Closed",K72&lt;&gt;"",L72&lt;&gt;"",L72&lt;&gt;H72,ISNUMBER(M72),M72&gt;=N72,M72&lt;=Settings!$F$8),"Verified","Unverified"))</x:f>
      </x:c>
      <x:c r="P72" s="3" t="str">
        <x:f>IF(C72="","",IF(S72&lt;&gt;"Valid","Review",IF(O72="Verified","Closed",IF(J72="Closed","Closure pending",IF(OR(J72="Open",J72="In progress"),"Open","Review")))))</x:f>
      </x:c>
      <x:c r="Q72" s="9" t="str">
        <x:f>IF(C72="","",IF(AND(P72&lt;&gt;"Closed",ISNUMBER(I72),I72&lt;Settings!$F$8),"Overdue","Current"))</x:f>
      </x:c>
      <x:c r="R72" s="9" t="str">
        <x:f>IF(C72="","",IF(Q72="Overdue",Settings!$F$8-I72,0))</x:f>
      </x:c>
      <x:c r="S72" s="9" t="str">
        <x:f>IF(C72="","",IF(COUNTIF($C$9:$C$308,C72)&lt;&gt;1,"Duplicate ID",IF(COUNTIF(Borrowers!$C$9:$C$108,D72)&lt;&gt;1,"Borrower key",IF(OR(NOT(OR(E72="E&amp;S",E72="Taxonomy",E72="Climate",E72="Data")),NOT(OR(F72="Critical",F72="High",F72="Moderate",F72="Low")),NOT(OR(J72="Open",J72="In progress",J72="Closed")),G72="",H72="",NOT(ISNUMBER(I72)),NOT(ISNUMBER(N72)),I72&lt;N72,N72&gt;Settings!$F$8),"Incomplete","Valid"))))</x:f>
      </x:c>
      <x:c r="T72" s="9" t="str">
        <x:f>IF(C72="","",IFERROR(INDEX('Borrowers'!$D$9:$D$108,MATCH(D72,'Borrowers'!$C$9:$C$108,0)),""))</x:f>
      </x:c>
      <x:c r="U72" s="3" t="str">
        <x:f>IF(C72="","","S01 ESRMS I.4–9; bank decision policy")</x:f>
      </x:c>
    </x:row>
    <x:row r="73" ht="42" customHeight="1">
      <x:c r="A73" s="1"/>
      <x:c r="B73" s="1"/>
      <x:c r="C73" s="8"/>
      <x:c r="D73" s="8"/>
      <x:c r="E73" s="8"/>
      <x:c r="F73" s="8"/>
      <x:c r="G73" s="8"/>
      <x:c r="H73" s="8"/>
      <x:c r="I73" s="10"/>
      <x:c r="J73" s="8"/>
      <x:c r="K73" s="8"/>
      <x:c r="L73" s="8"/>
      <x:c r="M73" s="10"/>
      <x:c r="N73" s="10"/>
      <x:c r="O73" s="9" t="str">
        <x:f>IF(C73="","",IF(AND(S73="Valid",J73="Closed",K73&lt;&gt;"",L73&lt;&gt;"",L73&lt;&gt;H73,ISNUMBER(M73),M73&gt;=N73,M73&lt;=Settings!$F$8),"Verified","Unverified"))</x:f>
      </x:c>
      <x:c r="P73" s="3" t="str">
        <x:f>IF(C73="","",IF(S73&lt;&gt;"Valid","Review",IF(O73="Verified","Closed",IF(J73="Closed","Closure pending",IF(OR(J73="Open",J73="In progress"),"Open","Review")))))</x:f>
      </x:c>
      <x:c r="Q73" s="9" t="str">
        <x:f>IF(C73="","",IF(AND(P73&lt;&gt;"Closed",ISNUMBER(I73),I73&lt;Settings!$F$8),"Overdue","Current"))</x:f>
      </x:c>
      <x:c r="R73" s="9" t="str">
        <x:f>IF(C73="","",IF(Q73="Overdue",Settings!$F$8-I73,0))</x:f>
      </x:c>
      <x:c r="S73" s="9" t="str">
        <x:f>IF(C73="","",IF(COUNTIF($C$9:$C$308,C73)&lt;&gt;1,"Duplicate ID",IF(COUNTIF(Borrowers!$C$9:$C$108,D73)&lt;&gt;1,"Borrower key",IF(OR(NOT(OR(E73="E&amp;S",E73="Taxonomy",E73="Climate",E73="Data")),NOT(OR(F73="Critical",F73="High",F73="Moderate",F73="Low")),NOT(OR(J73="Open",J73="In progress",J73="Closed")),G73="",H73="",NOT(ISNUMBER(I73)),NOT(ISNUMBER(N73)),I73&lt;N73,N73&gt;Settings!$F$8),"Incomplete","Valid"))))</x:f>
      </x:c>
      <x:c r="T73" s="9" t="str">
        <x:f>IF(C73="","",IFERROR(INDEX('Borrowers'!$D$9:$D$108,MATCH(D73,'Borrowers'!$C$9:$C$108,0)),""))</x:f>
      </x:c>
      <x:c r="U73" s="3" t="str">
        <x:f>IF(C73="","","S01 ESRMS I.4–9; bank decision policy")</x:f>
      </x:c>
    </x:row>
    <x:row r="74" ht="42" customHeight="1">
      <x:c r="A74" s="1"/>
      <x:c r="B74" s="1"/>
      <x:c r="C74" s="8"/>
      <x:c r="D74" s="8"/>
      <x:c r="E74" s="8"/>
      <x:c r="F74" s="8"/>
      <x:c r="G74" s="8"/>
      <x:c r="H74" s="8"/>
      <x:c r="I74" s="10"/>
      <x:c r="J74" s="8"/>
      <x:c r="K74" s="8"/>
      <x:c r="L74" s="8"/>
      <x:c r="M74" s="10"/>
      <x:c r="N74" s="10"/>
      <x:c r="O74" s="9" t="str">
        <x:f>IF(C74="","",IF(AND(S74="Valid",J74="Closed",K74&lt;&gt;"",L74&lt;&gt;"",L74&lt;&gt;H74,ISNUMBER(M74),M74&gt;=N74,M74&lt;=Settings!$F$8),"Verified","Unverified"))</x:f>
      </x:c>
      <x:c r="P74" s="3" t="str">
        <x:f>IF(C74="","",IF(S74&lt;&gt;"Valid","Review",IF(O74="Verified","Closed",IF(J74="Closed","Closure pending",IF(OR(J74="Open",J74="In progress"),"Open","Review")))))</x:f>
      </x:c>
      <x:c r="Q74" s="9" t="str">
        <x:f>IF(C74="","",IF(AND(P74&lt;&gt;"Closed",ISNUMBER(I74),I74&lt;Settings!$F$8),"Overdue","Current"))</x:f>
      </x:c>
      <x:c r="R74" s="9" t="str">
        <x:f>IF(C74="","",IF(Q74="Overdue",Settings!$F$8-I74,0))</x:f>
      </x:c>
      <x:c r="S74" s="9" t="str">
        <x:f>IF(C74="","",IF(COUNTIF($C$9:$C$308,C74)&lt;&gt;1,"Duplicate ID",IF(COUNTIF(Borrowers!$C$9:$C$108,D74)&lt;&gt;1,"Borrower key",IF(OR(NOT(OR(E74="E&amp;S",E74="Taxonomy",E74="Climate",E74="Data")),NOT(OR(F74="Critical",F74="High",F74="Moderate",F74="Low")),NOT(OR(J74="Open",J74="In progress",J74="Closed")),G74="",H74="",NOT(ISNUMBER(I74)),NOT(ISNUMBER(N74)),I74&lt;N74,N74&gt;Settings!$F$8),"Incomplete","Valid"))))</x:f>
      </x:c>
      <x:c r="T74" s="9" t="str">
        <x:f>IF(C74="","",IFERROR(INDEX('Borrowers'!$D$9:$D$108,MATCH(D74,'Borrowers'!$C$9:$C$108,0)),""))</x:f>
      </x:c>
      <x:c r="U74" s="3" t="str">
        <x:f>IF(C74="","","S01 ESRMS I.4–9; bank decision policy")</x:f>
      </x:c>
    </x:row>
    <x:row r="75" ht="42" customHeight="1">
      <x:c r="A75" s="1"/>
      <x:c r="B75" s="1"/>
      <x:c r="C75" s="8"/>
      <x:c r="D75" s="8"/>
      <x:c r="E75" s="8"/>
      <x:c r="F75" s="8"/>
      <x:c r="G75" s="8"/>
      <x:c r="H75" s="8"/>
      <x:c r="I75" s="10"/>
      <x:c r="J75" s="8"/>
      <x:c r="K75" s="8"/>
      <x:c r="L75" s="8"/>
      <x:c r="M75" s="10"/>
      <x:c r="N75" s="10"/>
      <x:c r="O75" s="9" t="str">
        <x:f>IF(C75="","",IF(AND(S75="Valid",J75="Closed",K75&lt;&gt;"",L75&lt;&gt;"",L75&lt;&gt;H75,ISNUMBER(M75),M75&gt;=N75,M75&lt;=Settings!$F$8),"Verified","Unverified"))</x:f>
      </x:c>
      <x:c r="P75" s="3" t="str">
        <x:f>IF(C75="","",IF(S75&lt;&gt;"Valid","Review",IF(O75="Verified","Closed",IF(J75="Closed","Closure pending",IF(OR(J75="Open",J75="In progress"),"Open","Review")))))</x:f>
      </x:c>
      <x:c r="Q75" s="9" t="str">
        <x:f>IF(C75="","",IF(AND(P75&lt;&gt;"Closed",ISNUMBER(I75),I75&lt;Settings!$F$8),"Overdue","Current"))</x:f>
      </x:c>
      <x:c r="R75" s="9" t="str">
        <x:f>IF(C75="","",IF(Q75="Overdue",Settings!$F$8-I75,0))</x:f>
      </x:c>
      <x:c r="S75" s="9" t="str">
        <x:f>IF(C75="","",IF(COUNTIF($C$9:$C$308,C75)&lt;&gt;1,"Duplicate ID",IF(COUNTIF(Borrowers!$C$9:$C$108,D75)&lt;&gt;1,"Borrower key",IF(OR(NOT(OR(E75="E&amp;S",E75="Taxonomy",E75="Climate",E75="Data")),NOT(OR(F75="Critical",F75="High",F75="Moderate",F75="Low")),NOT(OR(J75="Open",J75="In progress",J75="Closed")),G75="",H75="",NOT(ISNUMBER(I75)),NOT(ISNUMBER(N75)),I75&lt;N75,N75&gt;Settings!$F$8),"Incomplete","Valid"))))</x:f>
      </x:c>
      <x:c r="T75" s="9" t="str">
        <x:f>IF(C75="","",IFERROR(INDEX('Borrowers'!$D$9:$D$108,MATCH(D75,'Borrowers'!$C$9:$C$108,0)),""))</x:f>
      </x:c>
      <x:c r="U75" s="3" t="str">
        <x:f>IF(C75="","","S01 ESRMS I.4–9; bank decision policy")</x:f>
      </x:c>
    </x:row>
    <x:row r="76" ht="42" customHeight="1">
      <x:c r="A76" s="1"/>
      <x:c r="B76" s="1"/>
      <x:c r="C76" s="8"/>
      <x:c r="D76" s="8"/>
      <x:c r="E76" s="8"/>
      <x:c r="F76" s="8"/>
      <x:c r="G76" s="8"/>
      <x:c r="H76" s="8"/>
      <x:c r="I76" s="10"/>
      <x:c r="J76" s="8"/>
      <x:c r="K76" s="8"/>
      <x:c r="L76" s="8"/>
      <x:c r="M76" s="10"/>
      <x:c r="N76" s="10"/>
      <x:c r="O76" s="9" t="str">
        <x:f>IF(C76="","",IF(AND(S76="Valid",J76="Closed",K76&lt;&gt;"",L76&lt;&gt;"",L76&lt;&gt;H76,ISNUMBER(M76),M76&gt;=N76,M76&lt;=Settings!$F$8),"Verified","Unverified"))</x:f>
      </x:c>
      <x:c r="P76" s="3" t="str">
        <x:f>IF(C76="","",IF(S76&lt;&gt;"Valid","Review",IF(O76="Verified","Closed",IF(J76="Closed","Closure pending",IF(OR(J76="Open",J76="In progress"),"Open","Review")))))</x:f>
      </x:c>
      <x:c r="Q76" s="9" t="str">
        <x:f>IF(C76="","",IF(AND(P76&lt;&gt;"Closed",ISNUMBER(I76),I76&lt;Settings!$F$8),"Overdue","Current"))</x:f>
      </x:c>
      <x:c r="R76" s="9" t="str">
        <x:f>IF(C76="","",IF(Q76="Overdue",Settings!$F$8-I76,0))</x:f>
      </x:c>
      <x:c r="S76" s="9" t="str">
        <x:f>IF(C76="","",IF(COUNTIF($C$9:$C$308,C76)&lt;&gt;1,"Duplicate ID",IF(COUNTIF(Borrowers!$C$9:$C$108,D76)&lt;&gt;1,"Borrower key",IF(OR(NOT(OR(E76="E&amp;S",E76="Taxonomy",E76="Climate",E76="Data")),NOT(OR(F76="Critical",F76="High",F76="Moderate",F76="Low")),NOT(OR(J76="Open",J76="In progress",J76="Closed")),G76="",H76="",NOT(ISNUMBER(I76)),NOT(ISNUMBER(N76)),I76&lt;N76,N76&gt;Settings!$F$8),"Incomplete","Valid"))))</x:f>
      </x:c>
      <x:c r="T76" s="9" t="str">
        <x:f>IF(C76="","",IFERROR(INDEX('Borrowers'!$D$9:$D$108,MATCH(D76,'Borrowers'!$C$9:$C$108,0)),""))</x:f>
      </x:c>
      <x:c r="U76" s="3" t="str">
        <x:f>IF(C76="","","S01 ESRMS I.4–9; bank decision policy")</x:f>
      </x:c>
    </x:row>
    <x:row r="77" ht="42" customHeight="1">
      <x:c r="A77" s="1"/>
      <x:c r="B77" s="1"/>
      <x:c r="C77" s="8"/>
      <x:c r="D77" s="8"/>
      <x:c r="E77" s="8"/>
      <x:c r="F77" s="8"/>
      <x:c r="G77" s="8"/>
      <x:c r="H77" s="8"/>
      <x:c r="I77" s="10"/>
      <x:c r="J77" s="8"/>
      <x:c r="K77" s="8"/>
      <x:c r="L77" s="8"/>
      <x:c r="M77" s="10"/>
      <x:c r="N77" s="10"/>
      <x:c r="O77" s="9" t="str">
        <x:f>IF(C77="","",IF(AND(S77="Valid",J77="Closed",K77&lt;&gt;"",L77&lt;&gt;"",L77&lt;&gt;H77,ISNUMBER(M77),M77&gt;=N77,M77&lt;=Settings!$F$8),"Verified","Unverified"))</x:f>
      </x:c>
      <x:c r="P77" s="3" t="str">
        <x:f>IF(C77="","",IF(S77&lt;&gt;"Valid","Review",IF(O77="Verified","Closed",IF(J77="Closed","Closure pending",IF(OR(J77="Open",J77="In progress"),"Open","Review")))))</x:f>
      </x:c>
      <x:c r="Q77" s="9" t="str">
        <x:f>IF(C77="","",IF(AND(P77&lt;&gt;"Closed",ISNUMBER(I77),I77&lt;Settings!$F$8),"Overdue","Current"))</x:f>
      </x:c>
      <x:c r="R77" s="9" t="str">
        <x:f>IF(C77="","",IF(Q77="Overdue",Settings!$F$8-I77,0))</x:f>
      </x:c>
      <x:c r="S77" s="9" t="str">
        <x:f>IF(C77="","",IF(COUNTIF($C$9:$C$308,C77)&lt;&gt;1,"Duplicate ID",IF(COUNTIF(Borrowers!$C$9:$C$108,D77)&lt;&gt;1,"Borrower key",IF(OR(NOT(OR(E77="E&amp;S",E77="Taxonomy",E77="Climate",E77="Data")),NOT(OR(F77="Critical",F77="High",F77="Moderate",F77="Low")),NOT(OR(J77="Open",J77="In progress",J77="Closed")),G77="",H77="",NOT(ISNUMBER(I77)),NOT(ISNUMBER(N77)),I77&lt;N77,N77&gt;Settings!$F$8),"Incomplete","Valid"))))</x:f>
      </x:c>
      <x:c r="T77" s="9" t="str">
        <x:f>IF(C77="","",IFERROR(INDEX('Borrowers'!$D$9:$D$108,MATCH(D77,'Borrowers'!$C$9:$C$108,0)),""))</x:f>
      </x:c>
      <x:c r="U77" s="3" t="str">
        <x:f>IF(C77="","","S01 ESRMS I.4–9; bank decision policy")</x:f>
      </x:c>
    </x:row>
    <x:row r="78" ht="42" customHeight="1">
      <x:c r="A78" s="1"/>
      <x:c r="B78" s="1"/>
      <x:c r="C78" s="8"/>
      <x:c r="D78" s="8"/>
      <x:c r="E78" s="8"/>
      <x:c r="F78" s="8"/>
      <x:c r="G78" s="8"/>
      <x:c r="H78" s="8"/>
      <x:c r="I78" s="10"/>
      <x:c r="J78" s="8"/>
      <x:c r="K78" s="8"/>
      <x:c r="L78" s="8"/>
      <x:c r="M78" s="10"/>
      <x:c r="N78" s="10"/>
      <x:c r="O78" s="9" t="str">
        <x:f>IF(C78="","",IF(AND(S78="Valid",J78="Closed",K78&lt;&gt;"",L78&lt;&gt;"",L78&lt;&gt;H78,ISNUMBER(M78),M78&gt;=N78,M78&lt;=Settings!$F$8),"Verified","Unverified"))</x:f>
      </x:c>
      <x:c r="P78" s="3" t="str">
        <x:f>IF(C78="","",IF(S78&lt;&gt;"Valid","Review",IF(O78="Verified","Closed",IF(J78="Closed","Closure pending",IF(OR(J78="Open",J78="In progress"),"Open","Review")))))</x:f>
      </x:c>
      <x:c r="Q78" s="9" t="str">
        <x:f>IF(C78="","",IF(AND(P78&lt;&gt;"Closed",ISNUMBER(I78),I78&lt;Settings!$F$8),"Overdue","Current"))</x:f>
      </x:c>
      <x:c r="R78" s="9" t="str">
        <x:f>IF(C78="","",IF(Q78="Overdue",Settings!$F$8-I78,0))</x:f>
      </x:c>
      <x:c r="S78" s="9" t="str">
        <x:f>IF(C78="","",IF(COUNTIF($C$9:$C$308,C78)&lt;&gt;1,"Duplicate ID",IF(COUNTIF(Borrowers!$C$9:$C$108,D78)&lt;&gt;1,"Borrower key",IF(OR(NOT(OR(E78="E&amp;S",E78="Taxonomy",E78="Climate",E78="Data")),NOT(OR(F78="Critical",F78="High",F78="Moderate",F78="Low")),NOT(OR(J78="Open",J78="In progress",J78="Closed")),G78="",H78="",NOT(ISNUMBER(I78)),NOT(ISNUMBER(N78)),I78&lt;N78,N78&gt;Settings!$F$8),"Incomplete","Valid"))))</x:f>
      </x:c>
      <x:c r="T78" s="9" t="str">
        <x:f>IF(C78="","",IFERROR(INDEX('Borrowers'!$D$9:$D$108,MATCH(D78,'Borrowers'!$C$9:$C$108,0)),""))</x:f>
      </x:c>
      <x:c r="U78" s="3" t="str">
        <x:f>IF(C78="","","S01 ESRMS I.4–9; bank decision policy")</x:f>
      </x:c>
    </x:row>
    <x:row r="79" ht="42" customHeight="1">
      <x:c r="A79" s="1"/>
      <x:c r="B79" s="1"/>
      <x:c r="C79" s="8"/>
      <x:c r="D79" s="8"/>
      <x:c r="E79" s="8"/>
      <x:c r="F79" s="8"/>
      <x:c r="G79" s="8"/>
      <x:c r="H79" s="8"/>
      <x:c r="I79" s="10"/>
      <x:c r="J79" s="8"/>
      <x:c r="K79" s="8"/>
      <x:c r="L79" s="8"/>
      <x:c r="M79" s="10"/>
      <x:c r="N79" s="10"/>
      <x:c r="O79" s="9" t="str">
        <x:f>IF(C79="","",IF(AND(S79="Valid",J79="Closed",K79&lt;&gt;"",L79&lt;&gt;"",L79&lt;&gt;H79,ISNUMBER(M79),M79&gt;=N79,M79&lt;=Settings!$F$8),"Verified","Unverified"))</x:f>
      </x:c>
      <x:c r="P79" s="3" t="str">
        <x:f>IF(C79="","",IF(S79&lt;&gt;"Valid","Review",IF(O79="Verified","Closed",IF(J79="Closed","Closure pending",IF(OR(J79="Open",J79="In progress"),"Open","Review")))))</x:f>
      </x:c>
      <x:c r="Q79" s="9" t="str">
        <x:f>IF(C79="","",IF(AND(P79&lt;&gt;"Closed",ISNUMBER(I79),I79&lt;Settings!$F$8),"Overdue","Current"))</x:f>
      </x:c>
      <x:c r="R79" s="9" t="str">
        <x:f>IF(C79="","",IF(Q79="Overdue",Settings!$F$8-I79,0))</x:f>
      </x:c>
      <x:c r="S79" s="9" t="str">
        <x:f>IF(C79="","",IF(COUNTIF($C$9:$C$308,C79)&lt;&gt;1,"Duplicate ID",IF(COUNTIF(Borrowers!$C$9:$C$108,D79)&lt;&gt;1,"Borrower key",IF(OR(NOT(OR(E79="E&amp;S",E79="Taxonomy",E79="Climate",E79="Data")),NOT(OR(F79="Critical",F79="High",F79="Moderate",F79="Low")),NOT(OR(J79="Open",J79="In progress",J79="Closed")),G79="",H79="",NOT(ISNUMBER(I79)),NOT(ISNUMBER(N79)),I79&lt;N79,N79&gt;Settings!$F$8),"Incomplete","Valid"))))</x:f>
      </x:c>
      <x:c r="T79" s="9" t="str">
        <x:f>IF(C79="","",IFERROR(INDEX('Borrowers'!$D$9:$D$108,MATCH(D79,'Borrowers'!$C$9:$C$108,0)),""))</x:f>
      </x:c>
      <x:c r="U79" s="3" t="str">
        <x:f>IF(C79="","","S01 ESRMS I.4–9; bank decision policy")</x:f>
      </x:c>
    </x:row>
    <x:row r="80" ht="42" customHeight="1">
      <x:c r="A80" s="1"/>
      <x:c r="B80" s="1"/>
      <x:c r="C80" s="8"/>
      <x:c r="D80" s="8"/>
      <x:c r="E80" s="8"/>
      <x:c r="F80" s="8"/>
      <x:c r="G80" s="8"/>
      <x:c r="H80" s="8"/>
      <x:c r="I80" s="10"/>
      <x:c r="J80" s="8"/>
      <x:c r="K80" s="8"/>
      <x:c r="L80" s="8"/>
      <x:c r="M80" s="10"/>
      <x:c r="N80" s="10"/>
      <x:c r="O80" s="9" t="str">
        <x:f>IF(C80="","",IF(AND(S80="Valid",J80="Closed",K80&lt;&gt;"",L80&lt;&gt;"",L80&lt;&gt;H80,ISNUMBER(M80),M80&gt;=N80,M80&lt;=Settings!$F$8),"Verified","Unverified"))</x:f>
      </x:c>
      <x:c r="P80" s="3" t="str">
        <x:f>IF(C80="","",IF(S80&lt;&gt;"Valid","Review",IF(O80="Verified","Closed",IF(J80="Closed","Closure pending",IF(OR(J80="Open",J80="In progress"),"Open","Review")))))</x:f>
      </x:c>
      <x:c r="Q80" s="9" t="str">
        <x:f>IF(C80="","",IF(AND(P80&lt;&gt;"Closed",ISNUMBER(I80),I80&lt;Settings!$F$8),"Overdue","Current"))</x:f>
      </x:c>
      <x:c r="R80" s="9" t="str">
        <x:f>IF(C80="","",IF(Q80="Overdue",Settings!$F$8-I80,0))</x:f>
      </x:c>
      <x:c r="S80" s="9" t="str">
        <x:f>IF(C80="","",IF(COUNTIF($C$9:$C$308,C80)&lt;&gt;1,"Duplicate ID",IF(COUNTIF(Borrowers!$C$9:$C$108,D80)&lt;&gt;1,"Borrower key",IF(OR(NOT(OR(E80="E&amp;S",E80="Taxonomy",E80="Climate",E80="Data")),NOT(OR(F80="Critical",F80="High",F80="Moderate",F80="Low")),NOT(OR(J80="Open",J80="In progress",J80="Closed")),G80="",H80="",NOT(ISNUMBER(I80)),NOT(ISNUMBER(N80)),I80&lt;N80,N80&gt;Settings!$F$8),"Incomplete","Valid"))))</x:f>
      </x:c>
      <x:c r="T80" s="9" t="str">
        <x:f>IF(C80="","",IFERROR(INDEX('Borrowers'!$D$9:$D$108,MATCH(D80,'Borrowers'!$C$9:$C$108,0)),""))</x:f>
      </x:c>
      <x:c r="U80" s="3" t="str">
        <x:f>IF(C80="","","S01 ESRMS I.4–9; bank decision policy")</x:f>
      </x:c>
    </x:row>
    <x:row r="81" ht="42" customHeight="1">
      <x:c r="A81" s="1"/>
      <x:c r="B81" s="1"/>
      <x:c r="C81" s="8"/>
      <x:c r="D81" s="8"/>
      <x:c r="E81" s="8"/>
      <x:c r="F81" s="8"/>
      <x:c r="G81" s="8"/>
      <x:c r="H81" s="8"/>
      <x:c r="I81" s="10"/>
      <x:c r="J81" s="8"/>
      <x:c r="K81" s="8"/>
      <x:c r="L81" s="8"/>
      <x:c r="M81" s="10"/>
      <x:c r="N81" s="10"/>
      <x:c r="O81" s="9" t="str">
        <x:f>IF(C81="","",IF(AND(S81="Valid",J81="Closed",K81&lt;&gt;"",L81&lt;&gt;"",L81&lt;&gt;H81,ISNUMBER(M81),M81&gt;=N81,M81&lt;=Settings!$F$8),"Verified","Unverified"))</x:f>
      </x:c>
      <x:c r="P81" s="3" t="str">
        <x:f>IF(C81="","",IF(S81&lt;&gt;"Valid","Review",IF(O81="Verified","Closed",IF(J81="Closed","Closure pending",IF(OR(J81="Open",J81="In progress"),"Open","Review")))))</x:f>
      </x:c>
      <x:c r="Q81" s="9" t="str">
        <x:f>IF(C81="","",IF(AND(P81&lt;&gt;"Closed",ISNUMBER(I81),I81&lt;Settings!$F$8),"Overdue","Current"))</x:f>
      </x:c>
      <x:c r="R81" s="9" t="str">
        <x:f>IF(C81="","",IF(Q81="Overdue",Settings!$F$8-I81,0))</x:f>
      </x:c>
      <x:c r="S81" s="9" t="str">
        <x:f>IF(C81="","",IF(COUNTIF($C$9:$C$308,C81)&lt;&gt;1,"Duplicate ID",IF(COUNTIF(Borrowers!$C$9:$C$108,D81)&lt;&gt;1,"Borrower key",IF(OR(NOT(OR(E81="E&amp;S",E81="Taxonomy",E81="Climate",E81="Data")),NOT(OR(F81="Critical",F81="High",F81="Moderate",F81="Low")),NOT(OR(J81="Open",J81="In progress",J81="Closed")),G81="",H81="",NOT(ISNUMBER(I81)),NOT(ISNUMBER(N81)),I81&lt;N81,N81&gt;Settings!$F$8),"Incomplete","Valid"))))</x:f>
      </x:c>
      <x:c r="T81" s="9" t="str">
        <x:f>IF(C81="","",IFERROR(INDEX('Borrowers'!$D$9:$D$108,MATCH(D81,'Borrowers'!$C$9:$C$108,0)),""))</x:f>
      </x:c>
      <x:c r="U81" s="3" t="str">
        <x:f>IF(C81="","","S01 ESRMS I.4–9; bank decision policy")</x:f>
      </x:c>
    </x:row>
    <x:row r="82" ht="42" customHeight="1">
      <x:c r="A82" s="1"/>
      <x:c r="B82" s="1"/>
      <x:c r="C82" s="8"/>
      <x:c r="D82" s="8"/>
      <x:c r="E82" s="8"/>
      <x:c r="F82" s="8"/>
      <x:c r="G82" s="8"/>
      <x:c r="H82" s="8"/>
      <x:c r="I82" s="10"/>
      <x:c r="J82" s="8"/>
      <x:c r="K82" s="8"/>
      <x:c r="L82" s="8"/>
      <x:c r="M82" s="10"/>
      <x:c r="N82" s="10"/>
      <x:c r="O82" s="9" t="str">
        <x:f>IF(C82="","",IF(AND(S82="Valid",J82="Closed",K82&lt;&gt;"",L82&lt;&gt;"",L82&lt;&gt;H82,ISNUMBER(M82),M82&gt;=N82,M82&lt;=Settings!$F$8),"Verified","Unverified"))</x:f>
      </x:c>
      <x:c r="P82" s="3" t="str">
        <x:f>IF(C82="","",IF(S82&lt;&gt;"Valid","Review",IF(O82="Verified","Closed",IF(J82="Closed","Closure pending",IF(OR(J82="Open",J82="In progress"),"Open","Review")))))</x:f>
      </x:c>
      <x:c r="Q82" s="9" t="str">
        <x:f>IF(C82="","",IF(AND(P82&lt;&gt;"Closed",ISNUMBER(I82),I82&lt;Settings!$F$8),"Overdue","Current"))</x:f>
      </x:c>
      <x:c r="R82" s="9" t="str">
        <x:f>IF(C82="","",IF(Q82="Overdue",Settings!$F$8-I82,0))</x:f>
      </x:c>
      <x:c r="S82" s="9" t="str">
        <x:f>IF(C82="","",IF(COUNTIF($C$9:$C$308,C82)&lt;&gt;1,"Duplicate ID",IF(COUNTIF(Borrowers!$C$9:$C$108,D82)&lt;&gt;1,"Borrower key",IF(OR(NOT(OR(E82="E&amp;S",E82="Taxonomy",E82="Climate",E82="Data")),NOT(OR(F82="Critical",F82="High",F82="Moderate",F82="Low")),NOT(OR(J82="Open",J82="In progress",J82="Closed")),G82="",H82="",NOT(ISNUMBER(I82)),NOT(ISNUMBER(N82)),I82&lt;N82,N82&gt;Settings!$F$8),"Incomplete","Valid"))))</x:f>
      </x:c>
      <x:c r="T82" s="9" t="str">
        <x:f>IF(C82="","",IFERROR(INDEX('Borrowers'!$D$9:$D$108,MATCH(D82,'Borrowers'!$C$9:$C$108,0)),""))</x:f>
      </x:c>
      <x:c r="U82" s="3" t="str">
        <x:f>IF(C82="","","S01 ESRMS I.4–9; bank decision policy")</x:f>
      </x:c>
    </x:row>
    <x:row r="83" ht="42" customHeight="1">
      <x:c r="A83" s="1"/>
      <x:c r="B83" s="1"/>
      <x:c r="C83" s="8"/>
      <x:c r="D83" s="8"/>
      <x:c r="E83" s="8"/>
      <x:c r="F83" s="8"/>
      <x:c r="G83" s="8"/>
      <x:c r="H83" s="8"/>
      <x:c r="I83" s="10"/>
      <x:c r="J83" s="8"/>
      <x:c r="K83" s="8"/>
      <x:c r="L83" s="8"/>
      <x:c r="M83" s="10"/>
      <x:c r="N83" s="10"/>
      <x:c r="O83" s="9" t="str">
        <x:f>IF(C83="","",IF(AND(S83="Valid",J83="Closed",K83&lt;&gt;"",L83&lt;&gt;"",L83&lt;&gt;H83,ISNUMBER(M83),M83&gt;=N83,M83&lt;=Settings!$F$8),"Verified","Unverified"))</x:f>
      </x:c>
      <x:c r="P83" s="3" t="str">
        <x:f>IF(C83="","",IF(S83&lt;&gt;"Valid","Review",IF(O83="Verified","Closed",IF(J83="Closed","Closure pending",IF(OR(J83="Open",J83="In progress"),"Open","Review")))))</x:f>
      </x:c>
      <x:c r="Q83" s="9" t="str">
        <x:f>IF(C83="","",IF(AND(P83&lt;&gt;"Closed",ISNUMBER(I83),I83&lt;Settings!$F$8),"Overdue","Current"))</x:f>
      </x:c>
      <x:c r="R83" s="9" t="str">
        <x:f>IF(C83="","",IF(Q83="Overdue",Settings!$F$8-I83,0))</x:f>
      </x:c>
      <x:c r="S83" s="9" t="str">
        <x:f>IF(C83="","",IF(COUNTIF($C$9:$C$308,C83)&lt;&gt;1,"Duplicate ID",IF(COUNTIF(Borrowers!$C$9:$C$108,D83)&lt;&gt;1,"Borrower key",IF(OR(NOT(OR(E83="E&amp;S",E83="Taxonomy",E83="Climate",E83="Data")),NOT(OR(F83="Critical",F83="High",F83="Moderate",F83="Low")),NOT(OR(J83="Open",J83="In progress",J83="Closed")),G83="",H83="",NOT(ISNUMBER(I83)),NOT(ISNUMBER(N83)),I83&lt;N83,N83&gt;Settings!$F$8),"Incomplete","Valid"))))</x:f>
      </x:c>
      <x:c r="T83" s="9" t="str">
        <x:f>IF(C83="","",IFERROR(INDEX('Borrowers'!$D$9:$D$108,MATCH(D83,'Borrowers'!$C$9:$C$108,0)),""))</x:f>
      </x:c>
      <x:c r="U83" s="3" t="str">
        <x:f>IF(C83="","","S01 ESRMS I.4–9; bank decision policy")</x:f>
      </x:c>
    </x:row>
    <x:row r="84" ht="42" customHeight="1">
      <x:c r="A84" s="1"/>
      <x:c r="B84" s="1"/>
      <x:c r="C84" s="8"/>
      <x:c r="D84" s="8"/>
      <x:c r="E84" s="8"/>
      <x:c r="F84" s="8"/>
      <x:c r="G84" s="8"/>
      <x:c r="H84" s="8"/>
      <x:c r="I84" s="10"/>
      <x:c r="J84" s="8"/>
      <x:c r="K84" s="8"/>
      <x:c r="L84" s="8"/>
      <x:c r="M84" s="10"/>
      <x:c r="N84" s="10"/>
      <x:c r="O84" s="9" t="str">
        <x:f>IF(C84="","",IF(AND(S84="Valid",J84="Closed",K84&lt;&gt;"",L84&lt;&gt;"",L84&lt;&gt;H84,ISNUMBER(M84),M84&gt;=N84,M84&lt;=Settings!$F$8),"Verified","Unverified"))</x:f>
      </x:c>
      <x:c r="P84" s="3" t="str">
        <x:f>IF(C84="","",IF(S84&lt;&gt;"Valid","Review",IF(O84="Verified","Closed",IF(J84="Closed","Closure pending",IF(OR(J84="Open",J84="In progress"),"Open","Review")))))</x:f>
      </x:c>
      <x:c r="Q84" s="9" t="str">
        <x:f>IF(C84="","",IF(AND(P84&lt;&gt;"Closed",ISNUMBER(I84),I84&lt;Settings!$F$8),"Overdue","Current"))</x:f>
      </x:c>
      <x:c r="R84" s="9" t="str">
        <x:f>IF(C84="","",IF(Q84="Overdue",Settings!$F$8-I84,0))</x:f>
      </x:c>
      <x:c r="S84" s="9" t="str">
        <x:f>IF(C84="","",IF(COUNTIF($C$9:$C$308,C84)&lt;&gt;1,"Duplicate ID",IF(COUNTIF(Borrowers!$C$9:$C$108,D84)&lt;&gt;1,"Borrower key",IF(OR(NOT(OR(E84="E&amp;S",E84="Taxonomy",E84="Climate",E84="Data")),NOT(OR(F84="Critical",F84="High",F84="Moderate",F84="Low")),NOT(OR(J84="Open",J84="In progress",J84="Closed")),G84="",H84="",NOT(ISNUMBER(I84)),NOT(ISNUMBER(N84)),I84&lt;N84,N84&gt;Settings!$F$8),"Incomplete","Valid"))))</x:f>
      </x:c>
      <x:c r="T84" s="9" t="str">
        <x:f>IF(C84="","",IFERROR(INDEX('Borrowers'!$D$9:$D$108,MATCH(D84,'Borrowers'!$C$9:$C$108,0)),""))</x:f>
      </x:c>
      <x:c r="U84" s="3" t="str">
        <x:f>IF(C84="","","S01 ESRMS I.4–9; bank decision policy")</x:f>
      </x:c>
    </x:row>
    <x:row r="85" ht="42" customHeight="1">
      <x:c r="A85" s="1"/>
      <x:c r="B85" s="1"/>
      <x:c r="C85" s="8"/>
      <x:c r="D85" s="8"/>
      <x:c r="E85" s="8"/>
      <x:c r="F85" s="8"/>
      <x:c r="G85" s="8"/>
      <x:c r="H85" s="8"/>
      <x:c r="I85" s="10"/>
      <x:c r="J85" s="8"/>
      <x:c r="K85" s="8"/>
      <x:c r="L85" s="8"/>
      <x:c r="M85" s="10"/>
      <x:c r="N85" s="10"/>
      <x:c r="O85" s="9" t="str">
        <x:f>IF(C85="","",IF(AND(S85="Valid",J85="Closed",K85&lt;&gt;"",L85&lt;&gt;"",L85&lt;&gt;H85,ISNUMBER(M85),M85&gt;=N85,M85&lt;=Settings!$F$8),"Verified","Unverified"))</x:f>
      </x:c>
      <x:c r="P85" s="3" t="str">
        <x:f>IF(C85="","",IF(S85&lt;&gt;"Valid","Review",IF(O85="Verified","Closed",IF(J85="Closed","Closure pending",IF(OR(J85="Open",J85="In progress"),"Open","Review")))))</x:f>
      </x:c>
      <x:c r="Q85" s="9" t="str">
        <x:f>IF(C85="","",IF(AND(P85&lt;&gt;"Closed",ISNUMBER(I85),I85&lt;Settings!$F$8),"Overdue","Current"))</x:f>
      </x:c>
      <x:c r="R85" s="9" t="str">
        <x:f>IF(C85="","",IF(Q85="Overdue",Settings!$F$8-I85,0))</x:f>
      </x:c>
      <x:c r="S85" s="9" t="str">
        <x:f>IF(C85="","",IF(COUNTIF($C$9:$C$308,C85)&lt;&gt;1,"Duplicate ID",IF(COUNTIF(Borrowers!$C$9:$C$108,D85)&lt;&gt;1,"Borrower key",IF(OR(NOT(OR(E85="E&amp;S",E85="Taxonomy",E85="Climate",E85="Data")),NOT(OR(F85="Critical",F85="High",F85="Moderate",F85="Low")),NOT(OR(J85="Open",J85="In progress",J85="Closed")),G85="",H85="",NOT(ISNUMBER(I85)),NOT(ISNUMBER(N85)),I85&lt;N85,N85&gt;Settings!$F$8),"Incomplete","Valid"))))</x:f>
      </x:c>
      <x:c r="T85" s="9" t="str">
        <x:f>IF(C85="","",IFERROR(INDEX('Borrowers'!$D$9:$D$108,MATCH(D85,'Borrowers'!$C$9:$C$108,0)),""))</x:f>
      </x:c>
      <x:c r="U85" s="3" t="str">
        <x:f>IF(C85="","","S01 ESRMS I.4–9; bank decision policy")</x:f>
      </x:c>
    </x:row>
    <x:row r="86" ht="42" customHeight="1">
      <x:c r="A86" s="1"/>
      <x:c r="B86" s="1"/>
      <x:c r="C86" s="8"/>
      <x:c r="D86" s="8"/>
      <x:c r="E86" s="8"/>
      <x:c r="F86" s="8"/>
      <x:c r="G86" s="8"/>
      <x:c r="H86" s="8"/>
      <x:c r="I86" s="10"/>
      <x:c r="J86" s="8"/>
      <x:c r="K86" s="8"/>
      <x:c r="L86" s="8"/>
      <x:c r="M86" s="10"/>
      <x:c r="N86" s="10"/>
      <x:c r="O86" s="9" t="str">
        <x:f>IF(C86="","",IF(AND(S86="Valid",J86="Closed",K86&lt;&gt;"",L86&lt;&gt;"",L86&lt;&gt;H86,ISNUMBER(M86),M86&gt;=N86,M86&lt;=Settings!$F$8),"Verified","Unverified"))</x:f>
      </x:c>
      <x:c r="P86" s="3" t="str">
        <x:f>IF(C86="","",IF(S86&lt;&gt;"Valid","Review",IF(O86="Verified","Closed",IF(J86="Closed","Closure pending",IF(OR(J86="Open",J86="In progress"),"Open","Review")))))</x:f>
      </x:c>
      <x:c r="Q86" s="9" t="str">
        <x:f>IF(C86="","",IF(AND(P86&lt;&gt;"Closed",ISNUMBER(I86),I86&lt;Settings!$F$8),"Overdue","Current"))</x:f>
      </x:c>
      <x:c r="R86" s="9" t="str">
        <x:f>IF(C86="","",IF(Q86="Overdue",Settings!$F$8-I86,0))</x:f>
      </x:c>
      <x:c r="S86" s="9" t="str">
        <x:f>IF(C86="","",IF(COUNTIF($C$9:$C$308,C86)&lt;&gt;1,"Duplicate ID",IF(COUNTIF(Borrowers!$C$9:$C$108,D86)&lt;&gt;1,"Borrower key",IF(OR(NOT(OR(E86="E&amp;S",E86="Taxonomy",E86="Climate",E86="Data")),NOT(OR(F86="Critical",F86="High",F86="Moderate",F86="Low")),NOT(OR(J86="Open",J86="In progress",J86="Closed")),G86="",H86="",NOT(ISNUMBER(I86)),NOT(ISNUMBER(N86)),I86&lt;N86,N86&gt;Settings!$F$8),"Incomplete","Valid"))))</x:f>
      </x:c>
      <x:c r="T86" s="9" t="str">
        <x:f>IF(C86="","",IFERROR(INDEX('Borrowers'!$D$9:$D$108,MATCH(D86,'Borrowers'!$C$9:$C$108,0)),""))</x:f>
      </x:c>
      <x:c r="U86" s="3" t="str">
        <x:f>IF(C86="","","S01 ESRMS I.4–9; bank decision policy")</x:f>
      </x:c>
    </x:row>
    <x:row r="87" ht="42" customHeight="1">
      <x:c r="A87" s="1"/>
      <x:c r="B87" s="1"/>
      <x:c r="C87" s="8"/>
      <x:c r="D87" s="8"/>
      <x:c r="E87" s="8"/>
      <x:c r="F87" s="8"/>
      <x:c r="G87" s="8"/>
      <x:c r="H87" s="8"/>
      <x:c r="I87" s="10"/>
      <x:c r="J87" s="8"/>
      <x:c r="K87" s="8"/>
      <x:c r="L87" s="8"/>
      <x:c r="M87" s="10"/>
      <x:c r="N87" s="10"/>
      <x:c r="O87" s="9" t="str">
        <x:f>IF(C87="","",IF(AND(S87="Valid",J87="Closed",K87&lt;&gt;"",L87&lt;&gt;"",L87&lt;&gt;H87,ISNUMBER(M87),M87&gt;=N87,M87&lt;=Settings!$F$8),"Verified","Unverified"))</x:f>
      </x:c>
      <x:c r="P87" s="3" t="str">
        <x:f>IF(C87="","",IF(S87&lt;&gt;"Valid","Review",IF(O87="Verified","Closed",IF(J87="Closed","Closure pending",IF(OR(J87="Open",J87="In progress"),"Open","Review")))))</x:f>
      </x:c>
      <x:c r="Q87" s="9" t="str">
        <x:f>IF(C87="","",IF(AND(P87&lt;&gt;"Closed",ISNUMBER(I87),I87&lt;Settings!$F$8),"Overdue","Current"))</x:f>
      </x:c>
      <x:c r="R87" s="9" t="str">
        <x:f>IF(C87="","",IF(Q87="Overdue",Settings!$F$8-I87,0))</x:f>
      </x:c>
      <x:c r="S87" s="9" t="str">
        <x:f>IF(C87="","",IF(COUNTIF($C$9:$C$308,C87)&lt;&gt;1,"Duplicate ID",IF(COUNTIF(Borrowers!$C$9:$C$108,D87)&lt;&gt;1,"Borrower key",IF(OR(NOT(OR(E87="E&amp;S",E87="Taxonomy",E87="Climate",E87="Data")),NOT(OR(F87="Critical",F87="High",F87="Moderate",F87="Low")),NOT(OR(J87="Open",J87="In progress",J87="Closed")),G87="",H87="",NOT(ISNUMBER(I87)),NOT(ISNUMBER(N87)),I87&lt;N87,N87&gt;Settings!$F$8),"Incomplete","Valid"))))</x:f>
      </x:c>
      <x:c r="T87" s="9" t="str">
        <x:f>IF(C87="","",IFERROR(INDEX('Borrowers'!$D$9:$D$108,MATCH(D87,'Borrowers'!$C$9:$C$108,0)),""))</x:f>
      </x:c>
      <x:c r="U87" s="3" t="str">
        <x:f>IF(C87="","","S01 ESRMS I.4–9; bank decision policy")</x:f>
      </x:c>
    </x:row>
    <x:row r="88" ht="42" customHeight="1">
      <x:c r="A88" s="1"/>
      <x:c r="B88" s="1"/>
      <x:c r="C88" s="8"/>
      <x:c r="D88" s="8"/>
      <x:c r="E88" s="8"/>
      <x:c r="F88" s="8"/>
      <x:c r="G88" s="8"/>
      <x:c r="H88" s="8"/>
      <x:c r="I88" s="10"/>
      <x:c r="J88" s="8"/>
      <x:c r="K88" s="8"/>
      <x:c r="L88" s="8"/>
      <x:c r="M88" s="10"/>
      <x:c r="N88" s="10"/>
      <x:c r="O88" s="9" t="str">
        <x:f>IF(C88="","",IF(AND(S88="Valid",J88="Closed",K88&lt;&gt;"",L88&lt;&gt;"",L88&lt;&gt;H88,ISNUMBER(M88),M88&gt;=N88,M88&lt;=Settings!$F$8),"Verified","Unverified"))</x:f>
      </x:c>
      <x:c r="P88" s="3" t="str">
        <x:f>IF(C88="","",IF(S88&lt;&gt;"Valid","Review",IF(O88="Verified","Closed",IF(J88="Closed","Closure pending",IF(OR(J88="Open",J88="In progress"),"Open","Review")))))</x:f>
      </x:c>
      <x:c r="Q88" s="9" t="str">
        <x:f>IF(C88="","",IF(AND(P88&lt;&gt;"Closed",ISNUMBER(I88),I88&lt;Settings!$F$8),"Overdue","Current"))</x:f>
      </x:c>
      <x:c r="R88" s="9" t="str">
        <x:f>IF(C88="","",IF(Q88="Overdue",Settings!$F$8-I88,0))</x:f>
      </x:c>
      <x:c r="S88" s="9" t="str">
        <x:f>IF(C88="","",IF(COUNTIF($C$9:$C$308,C88)&lt;&gt;1,"Duplicate ID",IF(COUNTIF(Borrowers!$C$9:$C$108,D88)&lt;&gt;1,"Borrower key",IF(OR(NOT(OR(E88="E&amp;S",E88="Taxonomy",E88="Climate",E88="Data")),NOT(OR(F88="Critical",F88="High",F88="Moderate",F88="Low")),NOT(OR(J88="Open",J88="In progress",J88="Closed")),G88="",H88="",NOT(ISNUMBER(I88)),NOT(ISNUMBER(N88)),I88&lt;N88,N88&gt;Settings!$F$8),"Incomplete","Valid"))))</x:f>
      </x:c>
      <x:c r="T88" s="9" t="str">
        <x:f>IF(C88="","",IFERROR(INDEX('Borrowers'!$D$9:$D$108,MATCH(D88,'Borrowers'!$C$9:$C$108,0)),""))</x:f>
      </x:c>
      <x:c r="U88" s="3" t="str">
        <x:f>IF(C88="","","S01 ESRMS I.4–9; bank decision policy")</x:f>
      </x:c>
    </x:row>
    <x:row r="89" ht="42" customHeight="1">
      <x:c r="A89" s="1"/>
      <x:c r="B89" s="1"/>
      <x:c r="C89" s="8"/>
      <x:c r="D89" s="8"/>
      <x:c r="E89" s="8"/>
      <x:c r="F89" s="8"/>
      <x:c r="G89" s="8"/>
      <x:c r="H89" s="8"/>
      <x:c r="I89" s="10"/>
      <x:c r="J89" s="8"/>
      <x:c r="K89" s="8"/>
      <x:c r="L89" s="8"/>
      <x:c r="M89" s="10"/>
      <x:c r="N89" s="10"/>
      <x:c r="O89" s="9" t="str">
        <x:f>IF(C89="","",IF(AND(S89="Valid",J89="Closed",K89&lt;&gt;"",L89&lt;&gt;"",L89&lt;&gt;H89,ISNUMBER(M89),M89&gt;=N89,M89&lt;=Settings!$F$8),"Verified","Unverified"))</x:f>
      </x:c>
      <x:c r="P89" s="3" t="str">
        <x:f>IF(C89="","",IF(S89&lt;&gt;"Valid","Review",IF(O89="Verified","Closed",IF(J89="Closed","Closure pending",IF(OR(J89="Open",J89="In progress"),"Open","Review")))))</x:f>
      </x:c>
      <x:c r="Q89" s="9" t="str">
        <x:f>IF(C89="","",IF(AND(P89&lt;&gt;"Closed",ISNUMBER(I89),I89&lt;Settings!$F$8),"Overdue","Current"))</x:f>
      </x:c>
      <x:c r="R89" s="9" t="str">
        <x:f>IF(C89="","",IF(Q89="Overdue",Settings!$F$8-I89,0))</x:f>
      </x:c>
      <x:c r="S89" s="9" t="str">
        <x:f>IF(C89="","",IF(COUNTIF($C$9:$C$308,C89)&lt;&gt;1,"Duplicate ID",IF(COUNTIF(Borrowers!$C$9:$C$108,D89)&lt;&gt;1,"Borrower key",IF(OR(NOT(OR(E89="E&amp;S",E89="Taxonomy",E89="Climate",E89="Data")),NOT(OR(F89="Critical",F89="High",F89="Moderate",F89="Low")),NOT(OR(J89="Open",J89="In progress",J89="Closed")),G89="",H89="",NOT(ISNUMBER(I89)),NOT(ISNUMBER(N89)),I89&lt;N89,N89&gt;Settings!$F$8),"Incomplete","Valid"))))</x:f>
      </x:c>
      <x:c r="T89" s="9" t="str">
        <x:f>IF(C89="","",IFERROR(INDEX('Borrowers'!$D$9:$D$108,MATCH(D89,'Borrowers'!$C$9:$C$108,0)),""))</x:f>
      </x:c>
      <x:c r="U89" s="3" t="str">
        <x:f>IF(C89="","","S01 ESRMS I.4–9; bank decision policy")</x:f>
      </x:c>
    </x:row>
    <x:row r="90" ht="42" customHeight="1">
      <x:c r="A90" s="1"/>
      <x:c r="B90" s="1"/>
      <x:c r="C90" s="8"/>
      <x:c r="D90" s="8"/>
      <x:c r="E90" s="8"/>
      <x:c r="F90" s="8"/>
      <x:c r="G90" s="8"/>
      <x:c r="H90" s="8"/>
      <x:c r="I90" s="10"/>
      <x:c r="J90" s="8"/>
      <x:c r="K90" s="8"/>
      <x:c r="L90" s="8"/>
      <x:c r="M90" s="10"/>
      <x:c r="N90" s="10"/>
      <x:c r="O90" s="9" t="str">
        <x:f>IF(C90="","",IF(AND(S90="Valid",J90="Closed",K90&lt;&gt;"",L90&lt;&gt;"",L90&lt;&gt;H90,ISNUMBER(M90),M90&gt;=N90,M90&lt;=Settings!$F$8),"Verified","Unverified"))</x:f>
      </x:c>
      <x:c r="P90" s="3" t="str">
        <x:f>IF(C90="","",IF(S90&lt;&gt;"Valid","Review",IF(O90="Verified","Closed",IF(J90="Closed","Closure pending",IF(OR(J90="Open",J90="In progress"),"Open","Review")))))</x:f>
      </x:c>
      <x:c r="Q90" s="9" t="str">
        <x:f>IF(C90="","",IF(AND(P90&lt;&gt;"Closed",ISNUMBER(I90),I90&lt;Settings!$F$8),"Overdue","Current"))</x:f>
      </x:c>
      <x:c r="R90" s="9" t="str">
        <x:f>IF(C90="","",IF(Q90="Overdue",Settings!$F$8-I90,0))</x:f>
      </x:c>
      <x:c r="S90" s="9" t="str">
        <x:f>IF(C90="","",IF(COUNTIF($C$9:$C$308,C90)&lt;&gt;1,"Duplicate ID",IF(COUNTIF(Borrowers!$C$9:$C$108,D90)&lt;&gt;1,"Borrower key",IF(OR(NOT(OR(E90="E&amp;S",E90="Taxonomy",E90="Climate",E90="Data")),NOT(OR(F90="Critical",F90="High",F90="Moderate",F90="Low")),NOT(OR(J90="Open",J90="In progress",J90="Closed")),G90="",H90="",NOT(ISNUMBER(I90)),NOT(ISNUMBER(N90)),I90&lt;N90,N90&gt;Settings!$F$8),"Incomplete","Valid"))))</x:f>
      </x:c>
      <x:c r="T90" s="9" t="str">
        <x:f>IF(C90="","",IFERROR(INDEX('Borrowers'!$D$9:$D$108,MATCH(D90,'Borrowers'!$C$9:$C$108,0)),""))</x:f>
      </x:c>
      <x:c r="U90" s="3" t="str">
        <x:f>IF(C90="","","S01 ESRMS I.4–9; bank decision policy")</x:f>
      </x:c>
    </x:row>
    <x:row r="91" ht="42" customHeight="1">
      <x:c r="A91" s="1"/>
      <x:c r="B91" s="1"/>
      <x:c r="C91" s="8"/>
      <x:c r="D91" s="8"/>
      <x:c r="E91" s="8"/>
      <x:c r="F91" s="8"/>
      <x:c r="G91" s="8"/>
      <x:c r="H91" s="8"/>
      <x:c r="I91" s="10"/>
      <x:c r="J91" s="8"/>
      <x:c r="K91" s="8"/>
      <x:c r="L91" s="8"/>
      <x:c r="M91" s="10"/>
      <x:c r="N91" s="10"/>
      <x:c r="O91" s="9" t="str">
        <x:f>IF(C91="","",IF(AND(S91="Valid",J91="Closed",K91&lt;&gt;"",L91&lt;&gt;"",L91&lt;&gt;H91,ISNUMBER(M91),M91&gt;=N91,M91&lt;=Settings!$F$8),"Verified","Unverified"))</x:f>
      </x:c>
      <x:c r="P91" s="3" t="str">
        <x:f>IF(C91="","",IF(S91&lt;&gt;"Valid","Review",IF(O91="Verified","Closed",IF(J91="Closed","Closure pending",IF(OR(J91="Open",J91="In progress"),"Open","Review")))))</x:f>
      </x:c>
      <x:c r="Q91" s="9" t="str">
        <x:f>IF(C91="","",IF(AND(P91&lt;&gt;"Closed",ISNUMBER(I91),I91&lt;Settings!$F$8),"Overdue","Current"))</x:f>
      </x:c>
      <x:c r="R91" s="9" t="str">
        <x:f>IF(C91="","",IF(Q91="Overdue",Settings!$F$8-I91,0))</x:f>
      </x:c>
      <x:c r="S91" s="9" t="str">
        <x:f>IF(C91="","",IF(COUNTIF($C$9:$C$308,C91)&lt;&gt;1,"Duplicate ID",IF(COUNTIF(Borrowers!$C$9:$C$108,D91)&lt;&gt;1,"Borrower key",IF(OR(NOT(OR(E91="E&amp;S",E91="Taxonomy",E91="Climate",E91="Data")),NOT(OR(F91="Critical",F91="High",F91="Moderate",F91="Low")),NOT(OR(J91="Open",J91="In progress",J91="Closed")),G91="",H91="",NOT(ISNUMBER(I91)),NOT(ISNUMBER(N91)),I91&lt;N91,N91&gt;Settings!$F$8),"Incomplete","Valid"))))</x:f>
      </x:c>
      <x:c r="T91" s="9" t="str">
        <x:f>IF(C91="","",IFERROR(INDEX('Borrowers'!$D$9:$D$108,MATCH(D91,'Borrowers'!$C$9:$C$108,0)),""))</x:f>
      </x:c>
      <x:c r="U91" s="3" t="str">
        <x:f>IF(C91="","","S01 ESRMS I.4–9; bank decision policy")</x:f>
      </x:c>
    </x:row>
    <x:row r="92" ht="42" customHeight="1">
      <x:c r="A92" s="1"/>
      <x:c r="B92" s="1"/>
      <x:c r="C92" s="8"/>
      <x:c r="D92" s="8"/>
      <x:c r="E92" s="8"/>
      <x:c r="F92" s="8"/>
      <x:c r="G92" s="8"/>
      <x:c r="H92" s="8"/>
      <x:c r="I92" s="10"/>
      <x:c r="J92" s="8"/>
      <x:c r="K92" s="8"/>
      <x:c r="L92" s="8"/>
      <x:c r="M92" s="10"/>
      <x:c r="N92" s="10"/>
      <x:c r="O92" s="9" t="str">
        <x:f>IF(C92="","",IF(AND(S92="Valid",J92="Closed",K92&lt;&gt;"",L92&lt;&gt;"",L92&lt;&gt;H92,ISNUMBER(M92),M92&gt;=N92,M92&lt;=Settings!$F$8),"Verified","Unverified"))</x:f>
      </x:c>
      <x:c r="P92" s="3" t="str">
        <x:f>IF(C92="","",IF(S92&lt;&gt;"Valid","Review",IF(O92="Verified","Closed",IF(J92="Closed","Closure pending",IF(OR(J92="Open",J92="In progress"),"Open","Review")))))</x:f>
      </x:c>
      <x:c r="Q92" s="9" t="str">
        <x:f>IF(C92="","",IF(AND(P92&lt;&gt;"Closed",ISNUMBER(I92),I92&lt;Settings!$F$8),"Overdue","Current"))</x:f>
      </x:c>
      <x:c r="R92" s="9" t="str">
        <x:f>IF(C92="","",IF(Q92="Overdue",Settings!$F$8-I92,0))</x:f>
      </x:c>
      <x:c r="S92" s="9" t="str">
        <x:f>IF(C92="","",IF(COUNTIF($C$9:$C$308,C92)&lt;&gt;1,"Duplicate ID",IF(COUNTIF(Borrowers!$C$9:$C$108,D92)&lt;&gt;1,"Borrower key",IF(OR(NOT(OR(E92="E&amp;S",E92="Taxonomy",E92="Climate",E92="Data")),NOT(OR(F92="Critical",F92="High",F92="Moderate",F92="Low")),NOT(OR(J92="Open",J92="In progress",J92="Closed")),G92="",H92="",NOT(ISNUMBER(I92)),NOT(ISNUMBER(N92)),I92&lt;N92,N92&gt;Settings!$F$8),"Incomplete","Valid"))))</x:f>
      </x:c>
      <x:c r="T92" s="9" t="str">
        <x:f>IF(C92="","",IFERROR(INDEX('Borrowers'!$D$9:$D$108,MATCH(D92,'Borrowers'!$C$9:$C$108,0)),""))</x:f>
      </x:c>
      <x:c r="U92" s="3" t="str">
        <x:f>IF(C92="","","S01 ESRMS I.4–9; bank decision policy")</x:f>
      </x:c>
    </x:row>
    <x:row r="93" ht="42" customHeight="1">
      <x:c r="A93" s="1"/>
      <x:c r="B93" s="1"/>
      <x:c r="C93" s="8"/>
      <x:c r="D93" s="8"/>
      <x:c r="E93" s="8"/>
      <x:c r="F93" s="8"/>
      <x:c r="G93" s="8"/>
      <x:c r="H93" s="8"/>
      <x:c r="I93" s="10"/>
      <x:c r="J93" s="8"/>
      <x:c r="K93" s="8"/>
      <x:c r="L93" s="8"/>
      <x:c r="M93" s="10"/>
      <x:c r="N93" s="10"/>
      <x:c r="O93" s="9" t="str">
        <x:f>IF(C93="","",IF(AND(S93="Valid",J93="Closed",K93&lt;&gt;"",L93&lt;&gt;"",L93&lt;&gt;H93,ISNUMBER(M93),M93&gt;=N93,M93&lt;=Settings!$F$8),"Verified","Unverified"))</x:f>
      </x:c>
      <x:c r="P93" s="3" t="str">
        <x:f>IF(C93="","",IF(S93&lt;&gt;"Valid","Review",IF(O93="Verified","Closed",IF(J93="Closed","Closure pending",IF(OR(J93="Open",J93="In progress"),"Open","Review")))))</x:f>
      </x:c>
      <x:c r="Q93" s="9" t="str">
        <x:f>IF(C93="","",IF(AND(P93&lt;&gt;"Closed",ISNUMBER(I93),I93&lt;Settings!$F$8),"Overdue","Current"))</x:f>
      </x:c>
      <x:c r="R93" s="9" t="str">
        <x:f>IF(C93="","",IF(Q93="Overdue",Settings!$F$8-I93,0))</x:f>
      </x:c>
      <x:c r="S93" s="9" t="str">
        <x:f>IF(C93="","",IF(COUNTIF($C$9:$C$308,C93)&lt;&gt;1,"Duplicate ID",IF(COUNTIF(Borrowers!$C$9:$C$108,D93)&lt;&gt;1,"Borrower key",IF(OR(NOT(OR(E93="E&amp;S",E93="Taxonomy",E93="Climate",E93="Data")),NOT(OR(F93="Critical",F93="High",F93="Moderate",F93="Low")),NOT(OR(J93="Open",J93="In progress",J93="Closed")),G93="",H93="",NOT(ISNUMBER(I93)),NOT(ISNUMBER(N93)),I93&lt;N93,N93&gt;Settings!$F$8),"Incomplete","Valid"))))</x:f>
      </x:c>
      <x:c r="T93" s="9" t="str">
        <x:f>IF(C93="","",IFERROR(INDEX('Borrowers'!$D$9:$D$108,MATCH(D93,'Borrowers'!$C$9:$C$108,0)),""))</x:f>
      </x:c>
      <x:c r="U93" s="3" t="str">
        <x:f>IF(C93="","","S01 ESRMS I.4–9; bank decision policy")</x:f>
      </x:c>
    </x:row>
    <x:row r="94" ht="42" customHeight="1">
      <x:c r="A94" s="1"/>
      <x:c r="B94" s="1"/>
      <x:c r="C94" s="8"/>
      <x:c r="D94" s="8"/>
      <x:c r="E94" s="8"/>
      <x:c r="F94" s="8"/>
      <x:c r="G94" s="8"/>
      <x:c r="H94" s="8"/>
      <x:c r="I94" s="10"/>
      <x:c r="J94" s="8"/>
      <x:c r="K94" s="8"/>
      <x:c r="L94" s="8"/>
      <x:c r="M94" s="10"/>
      <x:c r="N94" s="10"/>
      <x:c r="O94" s="9" t="str">
        <x:f>IF(C94="","",IF(AND(S94="Valid",J94="Closed",K94&lt;&gt;"",L94&lt;&gt;"",L94&lt;&gt;H94,ISNUMBER(M94),M94&gt;=N94,M94&lt;=Settings!$F$8),"Verified","Unverified"))</x:f>
      </x:c>
      <x:c r="P94" s="3" t="str">
        <x:f>IF(C94="","",IF(S94&lt;&gt;"Valid","Review",IF(O94="Verified","Closed",IF(J94="Closed","Closure pending",IF(OR(J94="Open",J94="In progress"),"Open","Review")))))</x:f>
      </x:c>
      <x:c r="Q94" s="9" t="str">
        <x:f>IF(C94="","",IF(AND(P94&lt;&gt;"Closed",ISNUMBER(I94),I94&lt;Settings!$F$8),"Overdue","Current"))</x:f>
      </x:c>
      <x:c r="R94" s="9" t="str">
        <x:f>IF(C94="","",IF(Q94="Overdue",Settings!$F$8-I94,0))</x:f>
      </x:c>
      <x:c r="S94" s="9" t="str">
        <x:f>IF(C94="","",IF(COUNTIF($C$9:$C$308,C94)&lt;&gt;1,"Duplicate ID",IF(COUNTIF(Borrowers!$C$9:$C$108,D94)&lt;&gt;1,"Borrower key",IF(OR(NOT(OR(E94="E&amp;S",E94="Taxonomy",E94="Climate",E94="Data")),NOT(OR(F94="Critical",F94="High",F94="Moderate",F94="Low")),NOT(OR(J94="Open",J94="In progress",J94="Closed")),G94="",H94="",NOT(ISNUMBER(I94)),NOT(ISNUMBER(N94)),I94&lt;N94,N94&gt;Settings!$F$8),"Incomplete","Valid"))))</x:f>
      </x:c>
      <x:c r="T94" s="9" t="str">
        <x:f>IF(C94="","",IFERROR(INDEX('Borrowers'!$D$9:$D$108,MATCH(D94,'Borrowers'!$C$9:$C$108,0)),""))</x:f>
      </x:c>
      <x:c r="U94" s="3" t="str">
        <x:f>IF(C94="","","S01 ESRMS I.4–9; bank decision policy")</x:f>
      </x:c>
    </x:row>
    <x:row r="95" ht="42" customHeight="1">
      <x:c r="A95" s="1"/>
      <x:c r="B95" s="1"/>
      <x:c r="C95" s="8"/>
      <x:c r="D95" s="8"/>
      <x:c r="E95" s="8"/>
      <x:c r="F95" s="8"/>
      <x:c r="G95" s="8"/>
      <x:c r="H95" s="8"/>
      <x:c r="I95" s="10"/>
      <x:c r="J95" s="8"/>
      <x:c r="K95" s="8"/>
      <x:c r="L95" s="8"/>
      <x:c r="M95" s="10"/>
      <x:c r="N95" s="10"/>
      <x:c r="O95" s="9" t="str">
        <x:f>IF(C95="","",IF(AND(S95="Valid",J95="Closed",K95&lt;&gt;"",L95&lt;&gt;"",L95&lt;&gt;H95,ISNUMBER(M95),M95&gt;=N95,M95&lt;=Settings!$F$8),"Verified","Unverified"))</x:f>
      </x:c>
      <x:c r="P95" s="3" t="str">
        <x:f>IF(C95="","",IF(S95&lt;&gt;"Valid","Review",IF(O95="Verified","Closed",IF(J95="Closed","Closure pending",IF(OR(J95="Open",J95="In progress"),"Open","Review")))))</x:f>
      </x:c>
      <x:c r="Q95" s="9" t="str">
        <x:f>IF(C95="","",IF(AND(P95&lt;&gt;"Closed",ISNUMBER(I95),I95&lt;Settings!$F$8),"Overdue","Current"))</x:f>
      </x:c>
      <x:c r="R95" s="9" t="str">
        <x:f>IF(C95="","",IF(Q95="Overdue",Settings!$F$8-I95,0))</x:f>
      </x:c>
      <x:c r="S95" s="9" t="str">
        <x:f>IF(C95="","",IF(COUNTIF($C$9:$C$308,C95)&lt;&gt;1,"Duplicate ID",IF(COUNTIF(Borrowers!$C$9:$C$108,D95)&lt;&gt;1,"Borrower key",IF(OR(NOT(OR(E95="E&amp;S",E95="Taxonomy",E95="Climate",E95="Data")),NOT(OR(F95="Critical",F95="High",F95="Moderate",F95="Low")),NOT(OR(J95="Open",J95="In progress",J95="Closed")),G95="",H95="",NOT(ISNUMBER(I95)),NOT(ISNUMBER(N95)),I95&lt;N95,N95&gt;Settings!$F$8),"Incomplete","Valid"))))</x:f>
      </x:c>
      <x:c r="T95" s="9" t="str">
        <x:f>IF(C95="","",IFERROR(INDEX('Borrowers'!$D$9:$D$108,MATCH(D95,'Borrowers'!$C$9:$C$108,0)),""))</x:f>
      </x:c>
      <x:c r="U95" s="3" t="str">
        <x:f>IF(C95="","","S01 ESRMS I.4–9; bank decision policy")</x:f>
      </x:c>
    </x:row>
    <x:row r="96" ht="42" customHeight="1">
      <x:c r="A96" s="1"/>
      <x:c r="B96" s="1"/>
      <x:c r="C96" s="8"/>
      <x:c r="D96" s="8"/>
      <x:c r="E96" s="8"/>
      <x:c r="F96" s="8"/>
      <x:c r="G96" s="8"/>
      <x:c r="H96" s="8"/>
      <x:c r="I96" s="10"/>
      <x:c r="J96" s="8"/>
      <x:c r="K96" s="8"/>
      <x:c r="L96" s="8"/>
      <x:c r="M96" s="10"/>
      <x:c r="N96" s="10"/>
      <x:c r="O96" s="9" t="str">
        <x:f>IF(C96="","",IF(AND(S96="Valid",J96="Closed",K96&lt;&gt;"",L96&lt;&gt;"",L96&lt;&gt;H96,ISNUMBER(M96),M96&gt;=N96,M96&lt;=Settings!$F$8),"Verified","Unverified"))</x:f>
      </x:c>
      <x:c r="P96" s="3" t="str">
        <x:f>IF(C96="","",IF(S96&lt;&gt;"Valid","Review",IF(O96="Verified","Closed",IF(J96="Closed","Closure pending",IF(OR(J96="Open",J96="In progress"),"Open","Review")))))</x:f>
      </x:c>
      <x:c r="Q96" s="9" t="str">
        <x:f>IF(C96="","",IF(AND(P96&lt;&gt;"Closed",ISNUMBER(I96),I96&lt;Settings!$F$8),"Overdue","Current"))</x:f>
      </x:c>
      <x:c r="R96" s="9" t="str">
        <x:f>IF(C96="","",IF(Q96="Overdue",Settings!$F$8-I96,0))</x:f>
      </x:c>
      <x:c r="S96" s="9" t="str">
        <x:f>IF(C96="","",IF(COUNTIF($C$9:$C$308,C96)&lt;&gt;1,"Duplicate ID",IF(COUNTIF(Borrowers!$C$9:$C$108,D96)&lt;&gt;1,"Borrower key",IF(OR(NOT(OR(E96="E&amp;S",E96="Taxonomy",E96="Climate",E96="Data")),NOT(OR(F96="Critical",F96="High",F96="Moderate",F96="Low")),NOT(OR(J96="Open",J96="In progress",J96="Closed")),G96="",H96="",NOT(ISNUMBER(I96)),NOT(ISNUMBER(N96)),I96&lt;N96,N96&gt;Settings!$F$8),"Incomplete","Valid"))))</x:f>
      </x:c>
      <x:c r="T96" s="9" t="str">
        <x:f>IF(C96="","",IFERROR(INDEX('Borrowers'!$D$9:$D$108,MATCH(D96,'Borrowers'!$C$9:$C$108,0)),""))</x:f>
      </x:c>
      <x:c r="U96" s="3" t="str">
        <x:f>IF(C96="","","S01 ESRMS I.4–9; bank decision policy")</x:f>
      </x:c>
    </x:row>
    <x:row r="97" ht="42" customHeight="1">
      <x:c r="A97" s="1"/>
      <x:c r="B97" s="1"/>
      <x:c r="C97" s="8"/>
      <x:c r="D97" s="8"/>
      <x:c r="E97" s="8"/>
      <x:c r="F97" s="8"/>
      <x:c r="G97" s="8"/>
      <x:c r="H97" s="8"/>
      <x:c r="I97" s="10"/>
      <x:c r="J97" s="8"/>
      <x:c r="K97" s="8"/>
      <x:c r="L97" s="8"/>
      <x:c r="M97" s="10"/>
      <x:c r="N97" s="10"/>
      <x:c r="O97" s="9" t="str">
        <x:f>IF(C97="","",IF(AND(S97="Valid",J97="Closed",K97&lt;&gt;"",L97&lt;&gt;"",L97&lt;&gt;H97,ISNUMBER(M97),M97&gt;=N97,M97&lt;=Settings!$F$8),"Verified","Unverified"))</x:f>
      </x:c>
      <x:c r="P97" s="3" t="str">
        <x:f>IF(C97="","",IF(S97&lt;&gt;"Valid","Review",IF(O97="Verified","Closed",IF(J97="Closed","Closure pending",IF(OR(J97="Open",J97="In progress"),"Open","Review")))))</x:f>
      </x:c>
      <x:c r="Q97" s="9" t="str">
        <x:f>IF(C97="","",IF(AND(P97&lt;&gt;"Closed",ISNUMBER(I97),I97&lt;Settings!$F$8),"Overdue","Current"))</x:f>
      </x:c>
      <x:c r="R97" s="9" t="str">
        <x:f>IF(C97="","",IF(Q97="Overdue",Settings!$F$8-I97,0))</x:f>
      </x:c>
      <x:c r="S97" s="9" t="str">
        <x:f>IF(C97="","",IF(COUNTIF($C$9:$C$308,C97)&lt;&gt;1,"Duplicate ID",IF(COUNTIF(Borrowers!$C$9:$C$108,D97)&lt;&gt;1,"Borrower key",IF(OR(NOT(OR(E97="E&amp;S",E97="Taxonomy",E97="Climate",E97="Data")),NOT(OR(F97="Critical",F97="High",F97="Moderate",F97="Low")),NOT(OR(J97="Open",J97="In progress",J97="Closed")),G97="",H97="",NOT(ISNUMBER(I97)),NOT(ISNUMBER(N97)),I97&lt;N97,N97&gt;Settings!$F$8),"Incomplete","Valid"))))</x:f>
      </x:c>
      <x:c r="T97" s="9" t="str">
        <x:f>IF(C97="","",IFERROR(INDEX('Borrowers'!$D$9:$D$108,MATCH(D97,'Borrowers'!$C$9:$C$108,0)),""))</x:f>
      </x:c>
      <x:c r="U97" s="3" t="str">
        <x:f>IF(C97="","","S01 ESRMS I.4–9; bank decision policy")</x:f>
      </x:c>
    </x:row>
    <x:row r="98" ht="42" customHeight="1">
      <x:c r="A98" s="1"/>
      <x:c r="B98" s="1"/>
      <x:c r="C98" s="8"/>
      <x:c r="D98" s="8"/>
      <x:c r="E98" s="8"/>
      <x:c r="F98" s="8"/>
      <x:c r="G98" s="8"/>
      <x:c r="H98" s="8"/>
      <x:c r="I98" s="10"/>
      <x:c r="J98" s="8"/>
      <x:c r="K98" s="8"/>
      <x:c r="L98" s="8"/>
      <x:c r="M98" s="10"/>
      <x:c r="N98" s="10"/>
      <x:c r="O98" s="9" t="str">
        <x:f>IF(C98="","",IF(AND(S98="Valid",J98="Closed",K98&lt;&gt;"",L98&lt;&gt;"",L98&lt;&gt;H98,ISNUMBER(M98),M98&gt;=N98,M98&lt;=Settings!$F$8),"Verified","Unverified"))</x:f>
      </x:c>
      <x:c r="P98" s="3" t="str">
        <x:f>IF(C98="","",IF(S98&lt;&gt;"Valid","Review",IF(O98="Verified","Closed",IF(J98="Closed","Closure pending",IF(OR(J98="Open",J98="In progress"),"Open","Review")))))</x:f>
      </x:c>
      <x:c r="Q98" s="9" t="str">
        <x:f>IF(C98="","",IF(AND(P98&lt;&gt;"Closed",ISNUMBER(I98),I98&lt;Settings!$F$8),"Overdue","Current"))</x:f>
      </x:c>
      <x:c r="R98" s="9" t="str">
        <x:f>IF(C98="","",IF(Q98="Overdue",Settings!$F$8-I98,0))</x:f>
      </x:c>
      <x:c r="S98" s="9" t="str">
        <x:f>IF(C98="","",IF(COUNTIF($C$9:$C$308,C98)&lt;&gt;1,"Duplicate ID",IF(COUNTIF(Borrowers!$C$9:$C$108,D98)&lt;&gt;1,"Borrower key",IF(OR(NOT(OR(E98="E&amp;S",E98="Taxonomy",E98="Climate",E98="Data")),NOT(OR(F98="Critical",F98="High",F98="Moderate",F98="Low")),NOT(OR(J98="Open",J98="In progress",J98="Closed")),G98="",H98="",NOT(ISNUMBER(I98)),NOT(ISNUMBER(N98)),I98&lt;N98,N98&gt;Settings!$F$8),"Incomplete","Valid"))))</x:f>
      </x:c>
      <x:c r="T98" s="9" t="str">
        <x:f>IF(C98="","",IFERROR(INDEX('Borrowers'!$D$9:$D$108,MATCH(D98,'Borrowers'!$C$9:$C$108,0)),""))</x:f>
      </x:c>
      <x:c r="U98" s="3" t="str">
        <x:f>IF(C98="","","S01 ESRMS I.4–9; bank decision policy")</x:f>
      </x:c>
    </x:row>
    <x:row r="99" ht="42" customHeight="1">
      <x:c r="A99" s="1"/>
      <x:c r="B99" s="1"/>
      <x:c r="C99" s="8"/>
      <x:c r="D99" s="8"/>
      <x:c r="E99" s="8"/>
      <x:c r="F99" s="8"/>
      <x:c r="G99" s="8"/>
      <x:c r="H99" s="8"/>
      <x:c r="I99" s="10"/>
      <x:c r="J99" s="8"/>
      <x:c r="K99" s="8"/>
      <x:c r="L99" s="8"/>
      <x:c r="M99" s="10"/>
      <x:c r="N99" s="10"/>
      <x:c r="O99" s="9" t="str">
        <x:f>IF(C99="","",IF(AND(S99="Valid",J99="Closed",K99&lt;&gt;"",L99&lt;&gt;"",L99&lt;&gt;H99,ISNUMBER(M99),M99&gt;=N99,M99&lt;=Settings!$F$8),"Verified","Unverified"))</x:f>
      </x:c>
      <x:c r="P99" s="3" t="str">
        <x:f>IF(C99="","",IF(S99&lt;&gt;"Valid","Review",IF(O99="Verified","Closed",IF(J99="Closed","Closure pending",IF(OR(J99="Open",J99="In progress"),"Open","Review")))))</x:f>
      </x:c>
      <x:c r="Q99" s="9" t="str">
        <x:f>IF(C99="","",IF(AND(P99&lt;&gt;"Closed",ISNUMBER(I99),I99&lt;Settings!$F$8),"Overdue","Current"))</x:f>
      </x:c>
      <x:c r="R99" s="9" t="str">
        <x:f>IF(C99="","",IF(Q99="Overdue",Settings!$F$8-I99,0))</x:f>
      </x:c>
      <x:c r="S99" s="9" t="str">
        <x:f>IF(C99="","",IF(COUNTIF($C$9:$C$308,C99)&lt;&gt;1,"Duplicate ID",IF(COUNTIF(Borrowers!$C$9:$C$108,D99)&lt;&gt;1,"Borrower key",IF(OR(NOT(OR(E99="E&amp;S",E99="Taxonomy",E99="Climate",E99="Data")),NOT(OR(F99="Critical",F99="High",F99="Moderate",F99="Low")),NOT(OR(J99="Open",J99="In progress",J99="Closed")),G99="",H99="",NOT(ISNUMBER(I99)),NOT(ISNUMBER(N99)),I99&lt;N99,N99&gt;Settings!$F$8),"Incomplete","Valid"))))</x:f>
      </x:c>
      <x:c r="T99" s="9" t="str">
        <x:f>IF(C99="","",IFERROR(INDEX('Borrowers'!$D$9:$D$108,MATCH(D99,'Borrowers'!$C$9:$C$108,0)),""))</x:f>
      </x:c>
      <x:c r="U99" s="3" t="str">
        <x:f>IF(C99="","","S01 ESRMS I.4–9; bank decision policy")</x:f>
      </x:c>
    </x:row>
    <x:row r="100" ht="42" customHeight="1">
      <x:c r="A100" s="1"/>
      <x:c r="B100" s="1"/>
      <x:c r="C100" s="8"/>
      <x:c r="D100" s="8"/>
      <x:c r="E100" s="8"/>
      <x:c r="F100" s="8"/>
      <x:c r="G100" s="8"/>
      <x:c r="H100" s="8"/>
      <x:c r="I100" s="10"/>
      <x:c r="J100" s="8"/>
      <x:c r="K100" s="8"/>
      <x:c r="L100" s="8"/>
      <x:c r="M100" s="10"/>
      <x:c r="N100" s="10"/>
      <x:c r="O100" s="9" t="str">
        <x:f>IF(C100="","",IF(AND(S100="Valid",J100="Closed",K100&lt;&gt;"",L100&lt;&gt;"",L100&lt;&gt;H100,ISNUMBER(M100),M100&gt;=N100,M100&lt;=Settings!$F$8),"Verified","Unverified"))</x:f>
      </x:c>
      <x:c r="P100" s="3" t="str">
        <x:f>IF(C100="","",IF(S100&lt;&gt;"Valid","Review",IF(O100="Verified","Closed",IF(J100="Closed","Closure pending",IF(OR(J100="Open",J100="In progress"),"Open","Review")))))</x:f>
      </x:c>
      <x:c r="Q100" s="9" t="str">
        <x:f>IF(C100="","",IF(AND(P100&lt;&gt;"Closed",ISNUMBER(I100),I100&lt;Settings!$F$8),"Overdue","Current"))</x:f>
      </x:c>
      <x:c r="R100" s="9" t="str">
        <x:f>IF(C100="","",IF(Q100="Overdue",Settings!$F$8-I100,0))</x:f>
      </x:c>
      <x:c r="S100" s="9" t="str">
        <x:f>IF(C100="","",IF(COUNTIF($C$9:$C$308,C100)&lt;&gt;1,"Duplicate ID",IF(COUNTIF(Borrowers!$C$9:$C$108,D100)&lt;&gt;1,"Borrower key",IF(OR(NOT(OR(E100="E&amp;S",E100="Taxonomy",E100="Climate",E100="Data")),NOT(OR(F100="Critical",F100="High",F100="Moderate",F100="Low")),NOT(OR(J100="Open",J100="In progress",J100="Closed")),G100="",H100="",NOT(ISNUMBER(I100)),NOT(ISNUMBER(N100)),I100&lt;N100,N100&gt;Settings!$F$8),"Incomplete","Valid"))))</x:f>
      </x:c>
      <x:c r="T100" s="9" t="str">
        <x:f>IF(C100="","",IFERROR(INDEX('Borrowers'!$D$9:$D$108,MATCH(D100,'Borrowers'!$C$9:$C$108,0)),""))</x:f>
      </x:c>
      <x:c r="U100" s="3" t="str">
        <x:f>IF(C100="","","S01 ESRMS I.4–9; bank decision policy")</x:f>
      </x:c>
    </x:row>
    <x:row r="101" ht="42" customHeight="1">
      <x:c r="A101" s="1"/>
      <x:c r="B101" s="1"/>
      <x:c r="C101" s="8"/>
      <x:c r="D101" s="8"/>
      <x:c r="E101" s="8"/>
      <x:c r="F101" s="8"/>
      <x:c r="G101" s="8"/>
      <x:c r="H101" s="8"/>
      <x:c r="I101" s="10"/>
      <x:c r="J101" s="8"/>
      <x:c r="K101" s="8"/>
      <x:c r="L101" s="8"/>
      <x:c r="M101" s="10"/>
      <x:c r="N101" s="10"/>
      <x:c r="O101" s="9" t="str">
        <x:f>IF(C101="","",IF(AND(S101="Valid",J101="Closed",K101&lt;&gt;"",L101&lt;&gt;"",L101&lt;&gt;H101,ISNUMBER(M101),M101&gt;=N101,M101&lt;=Settings!$F$8),"Verified","Unverified"))</x:f>
      </x:c>
      <x:c r="P101" s="3" t="str">
        <x:f>IF(C101="","",IF(S101&lt;&gt;"Valid","Review",IF(O101="Verified","Closed",IF(J101="Closed","Closure pending",IF(OR(J101="Open",J101="In progress"),"Open","Review")))))</x:f>
      </x:c>
      <x:c r="Q101" s="9" t="str">
        <x:f>IF(C101="","",IF(AND(P101&lt;&gt;"Closed",ISNUMBER(I101),I101&lt;Settings!$F$8),"Overdue","Current"))</x:f>
      </x:c>
      <x:c r="R101" s="9" t="str">
        <x:f>IF(C101="","",IF(Q101="Overdue",Settings!$F$8-I101,0))</x:f>
      </x:c>
      <x:c r="S101" s="9" t="str">
        <x:f>IF(C101="","",IF(COUNTIF($C$9:$C$308,C101)&lt;&gt;1,"Duplicate ID",IF(COUNTIF(Borrowers!$C$9:$C$108,D101)&lt;&gt;1,"Borrower key",IF(OR(NOT(OR(E101="E&amp;S",E101="Taxonomy",E101="Climate",E101="Data")),NOT(OR(F101="Critical",F101="High",F101="Moderate",F101="Low")),NOT(OR(J101="Open",J101="In progress",J101="Closed")),G101="",H101="",NOT(ISNUMBER(I101)),NOT(ISNUMBER(N101)),I101&lt;N101,N101&gt;Settings!$F$8),"Incomplete","Valid"))))</x:f>
      </x:c>
      <x:c r="T101" s="9" t="str">
        <x:f>IF(C101="","",IFERROR(INDEX('Borrowers'!$D$9:$D$108,MATCH(D101,'Borrowers'!$C$9:$C$108,0)),""))</x:f>
      </x:c>
      <x:c r="U101" s="3" t="str">
        <x:f>IF(C101="","","S01 ESRMS I.4–9; bank decision policy")</x:f>
      </x:c>
    </x:row>
    <x:row r="102" ht="42" customHeight="1">
      <x:c r="A102" s="1"/>
      <x:c r="B102" s="1"/>
      <x:c r="C102" s="8"/>
      <x:c r="D102" s="8"/>
      <x:c r="E102" s="8"/>
      <x:c r="F102" s="8"/>
      <x:c r="G102" s="8"/>
      <x:c r="H102" s="8"/>
      <x:c r="I102" s="10"/>
      <x:c r="J102" s="8"/>
      <x:c r="K102" s="8"/>
      <x:c r="L102" s="8"/>
      <x:c r="M102" s="10"/>
      <x:c r="N102" s="10"/>
      <x:c r="O102" s="9" t="str">
        <x:f>IF(C102="","",IF(AND(S102="Valid",J102="Closed",K102&lt;&gt;"",L102&lt;&gt;"",L102&lt;&gt;H102,ISNUMBER(M102),M102&gt;=N102,M102&lt;=Settings!$F$8),"Verified","Unverified"))</x:f>
      </x:c>
      <x:c r="P102" s="3" t="str">
        <x:f>IF(C102="","",IF(S102&lt;&gt;"Valid","Review",IF(O102="Verified","Closed",IF(J102="Closed","Closure pending",IF(OR(J102="Open",J102="In progress"),"Open","Review")))))</x:f>
      </x:c>
      <x:c r="Q102" s="9" t="str">
        <x:f>IF(C102="","",IF(AND(P102&lt;&gt;"Closed",ISNUMBER(I102),I102&lt;Settings!$F$8),"Overdue","Current"))</x:f>
      </x:c>
      <x:c r="R102" s="9" t="str">
        <x:f>IF(C102="","",IF(Q102="Overdue",Settings!$F$8-I102,0))</x:f>
      </x:c>
      <x:c r="S102" s="9" t="str">
        <x:f>IF(C102="","",IF(COUNTIF($C$9:$C$308,C102)&lt;&gt;1,"Duplicate ID",IF(COUNTIF(Borrowers!$C$9:$C$108,D102)&lt;&gt;1,"Borrower key",IF(OR(NOT(OR(E102="E&amp;S",E102="Taxonomy",E102="Climate",E102="Data")),NOT(OR(F102="Critical",F102="High",F102="Moderate",F102="Low")),NOT(OR(J102="Open",J102="In progress",J102="Closed")),G102="",H102="",NOT(ISNUMBER(I102)),NOT(ISNUMBER(N102)),I102&lt;N102,N102&gt;Settings!$F$8),"Incomplete","Valid"))))</x:f>
      </x:c>
      <x:c r="T102" s="9" t="str">
        <x:f>IF(C102="","",IFERROR(INDEX('Borrowers'!$D$9:$D$108,MATCH(D102,'Borrowers'!$C$9:$C$108,0)),""))</x:f>
      </x:c>
      <x:c r="U102" s="3" t="str">
        <x:f>IF(C102="","","S01 ESRMS I.4–9; bank decision policy")</x:f>
      </x:c>
    </x:row>
    <x:row r="103" ht="42" customHeight="1">
      <x:c r="A103" s="1"/>
      <x:c r="B103" s="1"/>
      <x:c r="C103" s="8"/>
      <x:c r="D103" s="8"/>
      <x:c r="E103" s="8"/>
      <x:c r="F103" s="8"/>
      <x:c r="G103" s="8"/>
      <x:c r="H103" s="8"/>
      <x:c r="I103" s="10"/>
      <x:c r="J103" s="8"/>
      <x:c r="K103" s="8"/>
      <x:c r="L103" s="8"/>
      <x:c r="M103" s="10"/>
      <x:c r="N103" s="10"/>
      <x:c r="O103" s="9" t="str">
        <x:f>IF(C103="","",IF(AND(S103="Valid",J103="Closed",K103&lt;&gt;"",L103&lt;&gt;"",L103&lt;&gt;H103,ISNUMBER(M103),M103&gt;=N103,M103&lt;=Settings!$F$8),"Verified","Unverified"))</x:f>
      </x:c>
      <x:c r="P103" s="3" t="str">
        <x:f>IF(C103="","",IF(S103&lt;&gt;"Valid","Review",IF(O103="Verified","Closed",IF(J103="Closed","Closure pending",IF(OR(J103="Open",J103="In progress"),"Open","Review")))))</x:f>
      </x:c>
      <x:c r="Q103" s="9" t="str">
        <x:f>IF(C103="","",IF(AND(P103&lt;&gt;"Closed",ISNUMBER(I103),I103&lt;Settings!$F$8),"Overdue","Current"))</x:f>
      </x:c>
      <x:c r="R103" s="9" t="str">
        <x:f>IF(C103="","",IF(Q103="Overdue",Settings!$F$8-I103,0))</x:f>
      </x:c>
      <x:c r="S103" s="9" t="str">
        <x:f>IF(C103="","",IF(COUNTIF($C$9:$C$308,C103)&lt;&gt;1,"Duplicate ID",IF(COUNTIF(Borrowers!$C$9:$C$108,D103)&lt;&gt;1,"Borrower key",IF(OR(NOT(OR(E103="E&amp;S",E103="Taxonomy",E103="Climate",E103="Data")),NOT(OR(F103="Critical",F103="High",F103="Moderate",F103="Low")),NOT(OR(J103="Open",J103="In progress",J103="Closed")),G103="",H103="",NOT(ISNUMBER(I103)),NOT(ISNUMBER(N103)),I103&lt;N103,N103&gt;Settings!$F$8),"Incomplete","Valid"))))</x:f>
      </x:c>
      <x:c r="T103" s="9" t="str">
        <x:f>IF(C103="","",IFERROR(INDEX('Borrowers'!$D$9:$D$108,MATCH(D103,'Borrowers'!$C$9:$C$108,0)),""))</x:f>
      </x:c>
      <x:c r="U103" s="3" t="str">
        <x:f>IF(C103="","","S01 ESRMS I.4–9; bank decision policy")</x:f>
      </x:c>
    </x:row>
    <x:row r="104" ht="42" customHeight="1">
      <x:c r="A104" s="1"/>
      <x:c r="B104" s="1"/>
      <x:c r="C104" s="8"/>
      <x:c r="D104" s="8"/>
      <x:c r="E104" s="8"/>
      <x:c r="F104" s="8"/>
      <x:c r="G104" s="8"/>
      <x:c r="H104" s="8"/>
      <x:c r="I104" s="10"/>
      <x:c r="J104" s="8"/>
      <x:c r="K104" s="8"/>
      <x:c r="L104" s="8"/>
      <x:c r="M104" s="10"/>
      <x:c r="N104" s="10"/>
      <x:c r="O104" s="9" t="str">
        <x:f>IF(C104="","",IF(AND(S104="Valid",J104="Closed",K104&lt;&gt;"",L104&lt;&gt;"",L104&lt;&gt;H104,ISNUMBER(M104),M104&gt;=N104,M104&lt;=Settings!$F$8),"Verified","Unverified"))</x:f>
      </x:c>
      <x:c r="P104" s="3" t="str">
        <x:f>IF(C104="","",IF(S104&lt;&gt;"Valid","Review",IF(O104="Verified","Closed",IF(J104="Closed","Closure pending",IF(OR(J104="Open",J104="In progress"),"Open","Review")))))</x:f>
      </x:c>
      <x:c r="Q104" s="9" t="str">
        <x:f>IF(C104="","",IF(AND(P104&lt;&gt;"Closed",ISNUMBER(I104),I104&lt;Settings!$F$8),"Overdue","Current"))</x:f>
      </x:c>
      <x:c r="R104" s="9" t="str">
        <x:f>IF(C104="","",IF(Q104="Overdue",Settings!$F$8-I104,0))</x:f>
      </x:c>
      <x:c r="S104" s="9" t="str">
        <x:f>IF(C104="","",IF(COUNTIF($C$9:$C$308,C104)&lt;&gt;1,"Duplicate ID",IF(COUNTIF(Borrowers!$C$9:$C$108,D104)&lt;&gt;1,"Borrower key",IF(OR(NOT(OR(E104="E&amp;S",E104="Taxonomy",E104="Climate",E104="Data")),NOT(OR(F104="Critical",F104="High",F104="Moderate",F104="Low")),NOT(OR(J104="Open",J104="In progress",J104="Closed")),G104="",H104="",NOT(ISNUMBER(I104)),NOT(ISNUMBER(N104)),I104&lt;N104,N104&gt;Settings!$F$8),"Incomplete","Valid"))))</x:f>
      </x:c>
      <x:c r="T104" s="9" t="str">
        <x:f>IF(C104="","",IFERROR(INDEX('Borrowers'!$D$9:$D$108,MATCH(D104,'Borrowers'!$C$9:$C$108,0)),""))</x:f>
      </x:c>
      <x:c r="U104" s="3" t="str">
        <x:f>IF(C104="","","S01 ESRMS I.4–9; bank decision policy")</x:f>
      </x:c>
    </x:row>
    <x:row r="105" ht="42" customHeight="1">
      <x:c r="A105" s="1"/>
      <x:c r="B105" s="1"/>
      <x:c r="C105" s="8"/>
      <x:c r="D105" s="8"/>
      <x:c r="E105" s="8"/>
      <x:c r="F105" s="8"/>
      <x:c r="G105" s="8"/>
      <x:c r="H105" s="8"/>
      <x:c r="I105" s="10"/>
      <x:c r="J105" s="8"/>
      <x:c r="K105" s="8"/>
      <x:c r="L105" s="8"/>
      <x:c r="M105" s="10"/>
      <x:c r="N105" s="10"/>
      <x:c r="O105" s="9" t="str">
        <x:f>IF(C105="","",IF(AND(S105="Valid",J105="Closed",K105&lt;&gt;"",L105&lt;&gt;"",L105&lt;&gt;H105,ISNUMBER(M105),M105&gt;=N105,M105&lt;=Settings!$F$8),"Verified","Unverified"))</x:f>
      </x:c>
      <x:c r="P105" s="3" t="str">
        <x:f>IF(C105="","",IF(S105&lt;&gt;"Valid","Review",IF(O105="Verified","Closed",IF(J105="Closed","Closure pending",IF(OR(J105="Open",J105="In progress"),"Open","Review")))))</x:f>
      </x:c>
      <x:c r="Q105" s="9" t="str">
        <x:f>IF(C105="","",IF(AND(P105&lt;&gt;"Closed",ISNUMBER(I105),I105&lt;Settings!$F$8),"Overdue","Current"))</x:f>
      </x:c>
      <x:c r="R105" s="9" t="str">
        <x:f>IF(C105="","",IF(Q105="Overdue",Settings!$F$8-I105,0))</x:f>
      </x:c>
      <x:c r="S105" s="9" t="str">
        <x:f>IF(C105="","",IF(COUNTIF($C$9:$C$308,C105)&lt;&gt;1,"Duplicate ID",IF(COUNTIF(Borrowers!$C$9:$C$108,D105)&lt;&gt;1,"Borrower key",IF(OR(NOT(OR(E105="E&amp;S",E105="Taxonomy",E105="Climate",E105="Data")),NOT(OR(F105="Critical",F105="High",F105="Moderate",F105="Low")),NOT(OR(J105="Open",J105="In progress",J105="Closed")),G105="",H105="",NOT(ISNUMBER(I105)),NOT(ISNUMBER(N105)),I105&lt;N105,N105&gt;Settings!$F$8),"Incomplete","Valid"))))</x:f>
      </x:c>
      <x:c r="T105" s="9" t="str">
        <x:f>IF(C105="","",IFERROR(INDEX('Borrowers'!$D$9:$D$108,MATCH(D105,'Borrowers'!$C$9:$C$108,0)),""))</x:f>
      </x:c>
      <x:c r="U105" s="3" t="str">
        <x:f>IF(C105="","","S01 ESRMS I.4–9; bank decision policy")</x:f>
      </x:c>
    </x:row>
    <x:row r="106" ht="42" customHeight="1">
      <x:c r="A106" s="1"/>
      <x:c r="B106" s="1"/>
      <x:c r="C106" s="8"/>
      <x:c r="D106" s="8"/>
      <x:c r="E106" s="8"/>
      <x:c r="F106" s="8"/>
      <x:c r="G106" s="8"/>
      <x:c r="H106" s="8"/>
      <x:c r="I106" s="10"/>
      <x:c r="J106" s="8"/>
      <x:c r="K106" s="8"/>
      <x:c r="L106" s="8"/>
      <x:c r="M106" s="10"/>
      <x:c r="N106" s="10"/>
      <x:c r="O106" s="9" t="str">
        <x:f>IF(C106="","",IF(AND(S106="Valid",J106="Closed",K106&lt;&gt;"",L106&lt;&gt;"",L106&lt;&gt;H106,ISNUMBER(M106),M106&gt;=N106,M106&lt;=Settings!$F$8),"Verified","Unverified"))</x:f>
      </x:c>
      <x:c r="P106" s="3" t="str">
        <x:f>IF(C106="","",IF(S106&lt;&gt;"Valid","Review",IF(O106="Verified","Closed",IF(J106="Closed","Closure pending",IF(OR(J106="Open",J106="In progress"),"Open","Review")))))</x:f>
      </x:c>
      <x:c r="Q106" s="9" t="str">
        <x:f>IF(C106="","",IF(AND(P106&lt;&gt;"Closed",ISNUMBER(I106),I106&lt;Settings!$F$8),"Overdue","Current"))</x:f>
      </x:c>
      <x:c r="R106" s="9" t="str">
        <x:f>IF(C106="","",IF(Q106="Overdue",Settings!$F$8-I106,0))</x:f>
      </x:c>
      <x:c r="S106" s="9" t="str">
        <x:f>IF(C106="","",IF(COUNTIF($C$9:$C$308,C106)&lt;&gt;1,"Duplicate ID",IF(COUNTIF(Borrowers!$C$9:$C$108,D106)&lt;&gt;1,"Borrower key",IF(OR(NOT(OR(E106="E&amp;S",E106="Taxonomy",E106="Climate",E106="Data")),NOT(OR(F106="Critical",F106="High",F106="Moderate",F106="Low")),NOT(OR(J106="Open",J106="In progress",J106="Closed")),G106="",H106="",NOT(ISNUMBER(I106)),NOT(ISNUMBER(N106)),I106&lt;N106,N106&gt;Settings!$F$8),"Incomplete","Valid"))))</x:f>
      </x:c>
      <x:c r="T106" s="9" t="str">
        <x:f>IF(C106="","",IFERROR(INDEX('Borrowers'!$D$9:$D$108,MATCH(D106,'Borrowers'!$C$9:$C$108,0)),""))</x:f>
      </x:c>
      <x:c r="U106" s="3" t="str">
        <x:f>IF(C106="","","S01 ESRMS I.4–9; bank decision policy")</x:f>
      </x:c>
    </x:row>
    <x:row r="107" ht="42" customHeight="1">
      <x:c r="A107" s="1"/>
      <x:c r="B107" s="1"/>
      <x:c r="C107" s="8"/>
      <x:c r="D107" s="8"/>
      <x:c r="E107" s="8"/>
      <x:c r="F107" s="8"/>
      <x:c r="G107" s="8"/>
      <x:c r="H107" s="8"/>
      <x:c r="I107" s="10"/>
      <x:c r="J107" s="8"/>
      <x:c r="K107" s="8"/>
      <x:c r="L107" s="8"/>
      <x:c r="M107" s="10"/>
      <x:c r="N107" s="10"/>
      <x:c r="O107" s="9" t="str">
        <x:f>IF(C107="","",IF(AND(S107="Valid",J107="Closed",K107&lt;&gt;"",L107&lt;&gt;"",L107&lt;&gt;H107,ISNUMBER(M107),M107&gt;=N107,M107&lt;=Settings!$F$8),"Verified","Unverified"))</x:f>
      </x:c>
      <x:c r="P107" s="3" t="str">
        <x:f>IF(C107="","",IF(S107&lt;&gt;"Valid","Review",IF(O107="Verified","Closed",IF(J107="Closed","Closure pending",IF(OR(J107="Open",J107="In progress"),"Open","Review")))))</x:f>
      </x:c>
      <x:c r="Q107" s="9" t="str">
        <x:f>IF(C107="","",IF(AND(P107&lt;&gt;"Closed",ISNUMBER(I107),I107&lt;Settings!$F$8),"Overdue","Current"))</x:f>
      </x:c>
      <x:c r="R107" s="9" t="str">
        <x:f>IF(C107="","",IF(Q107="Overdue",Settings!$F$8-I107,0))</x:f>
      </x:c>
      <x:c r="S107" s="9" t="str">
        <x:f>IF(C107="","",IF(COUNTIF($C$9:$C$308,C107)&lt;&gt;1,"Duplicate ID",IF(COUNTIF(Borrowers!$C$9:$C$108,D107)&lt;&gt;1,"Borrower key",IF(OR(NOT(OR(E107="E&amp;S",E107="Taxonomy",E107="Climate",E107="Data")),NOT(OR(F107="Critical",F107="High",F107="Moderate",F107="Low")),NOT(OR(J107="Open",J107="In progress",J107="Closed")),G107="",H107="",NOT(ISNUMBER(I107)),NOT(ISNUMBER(N107)),I107&lt;N107,N107&gt;Settings!$F$8),"Incomplete","Valid"))))</x:f>
      </x:c>
      <x:c r="T107" s="9" t="str">
        <x:f>IF(C107="","",IFERROR(INDEX('Borrowers'!$D$9:$D$108,MATCH(D107,'Borrowers'!$C$9:$C$108,0)),""))</x:f>
      </x:c>
      <x:c r="U107" s="3" t="str">
        <x:f>IF(C107="","","S01 ESRMS I.4–9; bank decision policy")</x:f>
      </x:c>
    </x:row>
    <x:row r="108" ht="42" customHeight="1">
      <x:c r="A108" s="1"/>
      <x:c r="B108" s="1"/>
      <x:c r="C108" s="8"/>
      <x:c r="D108" s="8"/>
      <x:c r="E108" s="8"/>
      <x:c r="F108" s="8"/>
      <x:c r="G108" s="8"/>
      <x:c r="H108" s="8"/>
      <x:c r="I108" s="10"/>
      <x:c r="J108" s="8"/>
      <x:c r="K108" s="8"/>
      <x:c r="L108" s="8"/>
      <x:c r="M108" s="10"/>
      <x:c r="N108" s="10"/>
      <x:c r="O108" s="9" t="str">
        <x:f>IF(C108="","",IF(AND(S108="Valid",J108="Closed",K108&lt;&gt;"",L108&lt;&gt;"",L108&lt;&gt;H108,ISNUMBER(M108),M108&gt;=N108,M108&lt;=Settings!$F$8),"Verified","Unverified"))</x:f>
      </x:c>
      <x:c r="P108" s="3" t="str">
        <x:f>IF(C108="","",IF(S108&lt;&gt;"Valid","Review",IF(O108="Verified","Closed",IF(J108="Closed","Closure pending",IF(OR(J108="Open",J108="In progress"),"Open","Review")))))</x:f>
      </x:c>
      <x:c r="Q108" s="9" t="str">
        <x:f>IF(C108="","",IF(AND(P108&lt;&gt;"Closed",ISNUMBER(I108),I108&lt;Settings!$F$8),"Overdue","Current"))</x:f>
      </x:c>
      <x:c r="R108" s="9" t="str">
        <x:f>IF(C108="","",IF(Q108="Overdue",Settings!$F$8-I108,0))</x:f>
      </x:c>
      <x:c r="S108" s="9" t="str">
        <x:f>IF(C108="","",IF(COUNTIF($C$9:$C$308,C108)&lt;&gt;1,"Duplicate ID",IF(COUNTIF(Borrowers!$C$9:$C$108,D108)&lt;&gt;1,"Borrower key",IF(OR(NOT(OR(E108="E&amp;S",E108="Taxonomy",E108="Climate",E108="Data")),NOT(OR(F108="Critical",F108="High",F108="Moderate",F108="Low")),NOT(OR(J108="Open",J108="In progress",J108="Closed")),G108="",H108="",NOT(ISNUMBER(I108)),NOT(ISNUMBER(N108)),I108&lt;N108,N108&gt;Settings!$F$8),"Incomplete","Valid"))))</x:f>
      </x:c>
      <x:c r="T108" s="9" t="str">
        <x:f>IF(C108="","",IFERROR(INDEX('Borrowers'!$D$9:$D$108,MATCH(D108,'Borrowers'!$C$9:$C$108,0)),""))</x:f>
      </x:c>
      <x:c r="U108" s="3" t="str">
        <x:f>IF(C108="","","S01 ESRMS I.4–9; bank decision policy")</x:f>
      </x:c>
    </x:row>
    <x:row r="109" ht="42" customHeight="1">
      <x:c r="A109" s="1"/>
      <x:c r="B109" s="1"/>
      <x:c r="C109" s="8"/>
      <x:c r="D109" s="8"/>
      <x:c r="E109" s="8"/>
      <x:c r="F109" s="8"/>
      <x:c r="G109" s="8"/>
      <x:c r="H109" s="8"/>
      <x:c r="I109" s="10"/>
      <x:c r="J109" s="8"/>
      <x:c r="K109" s="8"/>
      <x:c r="L109" s="8"/>
      <x:c r="M109" s="10"/>
      <x:c r="N109" s="10"/>
      <x:c r="O109" s="9" t="str">
        <x:f>IF(C109="","",IF(AND(S109="Valid",J109="Closed",K109&lt;&gt;"",L109&lt;&gt;"",L109&lt;&gt;H109,ISNUMBER(M109),M109&gt;=N109,M109&lt;=Settings!$F$8),"Verified","Unverified"))</x:f>
      </x:c>
      <x:c r="P109" s="3" t="str">
        <x:f>IF(C109="","",IF(S109&lt;&gt;"Valid","Review",IF(O109="Verified","Closed",IF(J109="Closed","Closure pending",IF(OR(J109="Open",J109="In progress"),"Open","Review")))))</x:f>
      </x:c>
      <x:c r="Q109" s="9" t="str">
        <x:f>IF(C109="","",IF(AND(P109&lt;&gt;"Closed",ISNUMBER(I109),I109&lt;Settings!$F$8),"Overdue","Current"))</x:f>
      </x:c>
      <x:c r="R109" s="9" t="str">
        <x:f>IF(C109="","",IF(Q109="Overdue",Settings!$F$8-I109,0))</x:f>
      </x:c>
      <x:c r="S109" s="9" t="str">
        <x:f>IF(C109="","",IF(COUNTIF($C$9:$C$308,C109)&lt;&gt;1,"Duplicate ID",IF(COUNTIF(Borrowers!$C$9:$C$108,D109)&lt;&gt;1,"Borrower key",IF(OR(NOT(OR(E109="E&amp;S",E109="Taxonomy",E109="Climate",E109="Data")),NOT(OR(F109="Critical",F109="High",F109="Moderate",F109="Low")),NOT(OR(J109="Open",J109="In progress",J109="Closed")),G109="",H109="",NOT(ISNUMBER(I109)),NOT(ISNUMBER(N109)),I109&lt;N109,N109&gt;Settings!$F$8),"Incomplete","Valid"))))</x:f>
      </x:c>
      <x:c r="T109" s="9" t="str">
        <x:f>IF(C109="","",IFERROR(INDEX('Borrowers'!$D$9:$D$108,MATCH(D109,'Borrowers'!$C$9:$C$108,0)),""))</x:f>
      </x:c>
      <x:c r="U109" s="3" t="str">
        <x:f>IF(C109="","","S01 ESRMS I.4–9; bank decision policy")</x:f>
      </x:c>
    </x:row>
    <x:row r="110" ht="42" customHeight="1">
      <x:c r="A110" s="1"/>
      <x:c r="B110" s="1"/>
      <x:c r="C110" s="8"/>
      <x:c r="D110" s="8"/>
      <x:c r="E110" s="8"/>
      <x:c r="F110" s="8"/>
      <x:c r="G110" s="8"/>
      <x:c r="H110" s="8"/>
      <x:c r="I110" s="10"/>
      <x:c r="J110" s="8"/>
      <x:c r="K110" s="8"/>
      <x:c r="L110" s="8"/>
      <x:c r="M110" s="10"/>
      <x:c r="N110" s="10"/>
      <x:c r="O110" s="9" t="str">
        <x:f>IF(C110="","",IF(AND(S110="Valid",J110="Closed",K110&lt;&gt;"",L110&lt;&gt;"",L110&lt;&gt;H110,ISNUMBER(M110),M110&gt;=N110,M110&lt;=Settings!$F$8),"Verified","Unverified"))</x:f>
      </x:c>
      <x:c r="P110" s="3" t="str">
        <x:f>IF(C110="","",IF(S110&lt;&gt;"Valid","Review",IF(O110="Verified","Closed",IF(J110="Closed","Closure pending",IF(OR(J110="Open",J110="In progress"),"Open","Review")))))</x:f>
      </x:c>
      <x:c r="Q110" s="9" t="str">
        <x:f>IF(C110="","",IF(AND(P110&lt;&gt;"Closed",ISNUMBER(I110),I110&lt;Settings!$F$8),"Overdue","Current"))</x:f>
      </x:c>
      <x:c r="R110" s="9" t="str">
        <x:f>IF(C110="","",IF(Q110="Overdue",Settings!$F$8-I110,0))</x:f>
      </x:c>
      <x:c r="S110" s="9" t="str">
        <x:f>IF(C110="","",IF(COUNTIF($C$9:$C$308,C110)&lt;&gt;1,"Duplicate ID",IF(COUNTIF(Borrowers!$C$9:$C$108,D110)&lt;&gt;1,"Borrower key",IF(OR(NOT(OR(E110="E&amp;S",E110="Taxonomy",E110="Climate",E110="Data")),NOT(OR(F110="Critical",F110="High",F110="Moderate",F110="Low")),NOT(OR(J110="Open",J110="In progress",J110="Closed")),G110="",H110="",NOT(ISNUMBER(I110)),NOT(ISNUMBER(N110)),I110&lt;N110,N110&gt;Settings!$F$8),"Incomplete","Valid"))))</x:f>
      </x:c>
      <x:c r="T110" s="9" t="str">
        <x:f>IF(C110="","",IFERROR(INDEX('Borrowers'!$D$9:$D$108,MATCH(D110,'Borrowers'!$C$9:$C$108,0)),""))</x:f>
      </x:c>
      <x:c r="U110" s="3" t="str">
        <x:f>IF(C110="","","S01 ESRMS I.4–9; bank decision policy")</x:f>
      </x:c>
    </x:row>
    <x:row r="111" ht="42" customHeight="1">
      <x:c r="A111" s="1"/>
      <x:c r="B111" s="1"/>
      <x:c r="C111" s="8"/>
      <x:c r="D111" s="8"/>
      <x:c r="E111" s="8"/>
      <x:c r="F111" s="8"/>
      <x:c r="G111" s="8"/>
      <x:c r="H111" s="8"/>
      <x:c r="I111" s="10"/>
      <x:c r="J111" s="8"/>
      <x:c r="K111" s="8"/>
      <x:c r="L111" s="8"/>
      <x:c r="M111" s="10"/>
      <x:c r="N111" s="10"/>
      <x:c r="O111" s="9" t="str">
        <x:f>IF(C111="","",IF(AND(S111="Valid",J111="Closed",K111&lt;&gt;"",L111&lt;&gt;"",L111&lt;&gt;H111,ISNUMBER(M111),M111&gt;=N111,M111&lt;=Settings!$F$8),"Verified","Unverified"))</x:f>
      </x:c>
      <x:c r="P111" s="3" t="str">
        <x:f>IF(C111="","",IF(S111&lt;&gt;"Valid","Review",IF(O111="Verified","Closed",IF(J111="Closed","Closure pending",IF(OR(J111="Open",J111="In progress"),"Open","Review")))))</x:f>
      </x:c>
      <x:c r="Q111" s="9" t="str">
        <x:f>IF(C111="","",IF(AND(P111&lt;&gt;"Closed",ISNUMBER(I111),I111&lt;Settings!$F$8),"Overdue","Current"))</x:f>
      </x:c>
      <x:c r="R111" s="9" t="str">
        <x:f>IF(C111="","",IF(Q111="Overdue",Settings!$F$8-I111,0))</x:f>
      </x:c>
      <x:c r="S111" s="9" t="str">
        <x:f>IF(C111="","",IF(COUNTIF($C$9:$C$308,C111)&lt;&gt;1,"Duplicate ID",IF(COUNTIF(Borrowers!$C$9:$C$108,D111)&lt;&gt;1,"Borrower key",IF(OR(NOT(OR(E111="E&amp;S",E111="Taxonomy",E111="Climate",E111="Data")),NOT(OR(F111="Critical",F111="High",F111="Moderate",F111="Low")),NOT(OR(J111="Open",J111="In progress",J111="Closed")),G111="",H111="",NOT(ISNUMBER(I111)),NOT(ISNUMBER(N111)),I111&lt;N111,N111&gt;Settings!$F$8),"Incomplete","Valid"))))</x:f>
      </x:c>
      <x:c r="T111" s="9" t="str">
        <x:f>IF(C111="","",IFERROR(INDEX('Borrowers'!$D$9:$D$108,MATCH(D111,'Borrowers'!$C$9:$C$108,0)),""))</x:f>
      </x:c>
      <x:c r="U111" s="3" t="str">
        <x:f>IF(C111="","","S01 ESRMS I.4–9; bank decision policy")</x:f>
      </x:c>
    </x:row>
    <x:row r="112" ht="42" customHeight="1">
      <x:c r="A112" s="1"/>
      <x:c r="B112" s="1"/>
      <x:c r="C112" s="8"/>
      <x:c r="D112" s="8"/>
      <x:c r="E112" s="8"/>
      <x:c r="F112" s="8"/>
      <x:c r="G112" s="8"/>
      <x:c r="H112" s="8"/>
      <x:c r="I112" s="10"/>
      <x:c r="J112" s="8"/>
      <x:c r="K112" s="8"/>
      <x:c r="L112" s="8"/>
      <x:c r="M112" s="10"/>
      <x:c r="N112" s="10"/>
      <x:c r="O112" s="9" t="str">
        <x:f>IF(C112="","",IF(AND(S112="Valid",J112="Closed",K112&lt;&gt;"",L112&lt;&gt;"",L112&lt;&gt;H112,ISNUMBER(M112),M112&gt;=N112,M112&lt;=Settings!$F$8),"Verified","Unverified"))</x:f>
      </x:c>
      <x:c r="P112" s="3" t="str">
        <x:f>IF(C112="","",IF(S112&lt;&gt;"Valid","Review",IF(O112="Verified","Closed",IF(J112="Closed","Closure pending",IF(OR(J112="Open",J112="In progress"),"Open","Review")))))</x:f>
      </x:c>
      <x:c r="Q112" s="9" t="str">
        <x:f>IF(C112="","",IF(AND(P112&lt;&gt;"Closed",ISNUMBER(I112),I112&lt;Settings!$F$8),"Overdue","Current"))</x:f>
      </x:c>
      <x:c r="R112" s="9" t="str">
        <x:f>IF(C112="","",IF(Q112="Overdue",Settings!$F$8-I112,0))</x:f>
      </x:c>
      <x:c r="S112" s="9" t="str">
        <x:f>IF(C112="","",IF(COUNTIF($C$9:$C$308,C112)&lt;&gt;1,"Duplicate ID",IF(COUNTIF(Borrowers!$C$9:$C$108,D112)&lt;&gt;1,"Borrower key",IF(OR(NOT(OR(E112="E&amp;S",E112="Taxonomy",E112="Climate",E112="Data")),NOT(OR(F112="Critical",F112="High",F112="Moderate",F112="Low")),NOT(OR(J112="Open",J112="In progress",J112="Closed")),G112="",H112="",NOT(ISNUMBER(I112)),NOT(ISNUMBER(N112)),I112&lt;N112,N112&gt;Settings!$F$8),"Incomplete","Valid"))))</x:f>
      </x:c>
      <x:c r="T112" s="9" t="str">
        <x:f>IF(C112="","",IFERROR(INDEX('Borrowers'!$D$9:$D$108,MATCH(D112,'Borrowers'!$C$9:$C$108,0)),""))</x:f>
      </x:c>
      <x:c r="U112" s="3" t="str">
        <x:f>IF(C112="","","S01 ESRMS I.4–9; bank decision policy")</x:f>
      </x:c>
    </x:row>
    <x:row r="113" ht="42" customHeight="1">
      <x:c r="A113" s="1"/>
      <x:c r="B113" s="1"/>
      <x:c r="C113" s="8"/>
      <x:c r="D113" s="8"/>
      <x:c r="E113" s="8"/>
      <x:c r="F113" s="8"/>
      <x:c r="G113" s="8"/>
      <x:c r="H113" s="8"/>
      <x:c r="I113" s="10"/>
      <x:c r="J113" s="8"/>
      <x:c r="K113" s="8"/>
      <x:c r="L113" s="8"/>
      <x:c r="M113" s="10"/>
      <x:c r="N113" s="10"/>
      <x:c r="O113" s="9" t="str">
        <x:f>IF(C113="","",IF(AND(S113="Valid",J113="Closed",K113&lt;&gt;"",L113&lt;&gt;"",L113&lt;&gt;H113,ISNUMBER(M113),M113&gt;=N113,M113&lt;=Settings!$F$8),"Verified","Unverified"))</x:f>
      </x:c>
      <x:c r="P113" s="3" t="str">
        <x:f>IF(C113="","",IF(S113&lt;&gt;"Valid","Review",IF(O113="Verified","Closed",IF(J113="Closed","Closure pending",IF(OR(J113="Open",J113="In progress"),"Open","Review")))))</x:f>
      </x:c>
      <x:c r="Q113" s="9" t="str">
        <x:f>IF(C113="","",IF(AND(P113&lt;&gt;"Closed",ISNUMBER(I113),I113&lt;Settings!$F$8),"Overdue","Current"))</x:f>
      </x:c>
      <x:c r="R113" s="9" t="str">
        <x:f>IF(C113="","",IF(Q113="Overdue",Settings!$F$8-I113,0))</x:f>
      </x:c>
      <x:c r="S113" s="9" t="str">
        <x:f>IF(C113="","",IF(COUNTIF($C$9:$C$308,C113)&lt;&gt;1,"Duplicate ID",IF(COUNTIF(Borrowers!$C$9:$C$108,D113)&lt;&gt;1,"Borrower key",IF(OR(NOT(OR(E113="E&amp;S",E113="Taxonomy",E113="Climate",E113="Data")),NOT(OR(F113="Critical",F113="High",F113="Moderate",F113="Low")),NOT(OR(J113="Open",J113="In progress",J113="Closed")),G113="",H113="",NOT(ISNUMBER(I113)),NOT(ISNUMBER(N113)),I113&lt;N113,N113&gt;Settings!$F$8),"Incomplete","Valid"))))</x:f>
      </x:c>
      <x:c r="T113" s="9" t="str">
        <x:f>IF(C113="","",IFERROR(INDEX('Borrowers'!$D$9:$D$108,MATCH(D113,'Borrowers'!$C$9:$C$108,0)),""))</x:f>
      </x:c>
      <x:c r="U113" s="3" t="str">
        <x:f>IF(C113="","","S01 ESRMS I.4–9; bank decision policy")</x:f>
      </x:c>
    </x:row>
    <x:row r="114" ht="42" customHeight="1">
      <x:c r="A114" s="1"/>
      <x:c r="B114" s="1"/>
      <x:c r="C114" s="8"/>
      <x:c r="D114" s="8"/>
      <x:c r="E114" s="8"/>
      <x:c r="F114" s="8"/>
      <x:c r="G114" s="8"/>
      <x:c r="H114" s="8"/>
      <x:c r="I114" s="10"/>
      <x:c r="J114" s="8"/>
      <x:c r="K114" s="8"/>
      <x:c r="L114" s="8"/>
      <x:c r="M114" s="10"/>
      <x:c r="N114" s="10"/>
      <x:c r="O114" s="9" t="str">
        <x:f>IF(C114="","",IF(AND(S114="Valid",J114="Closed",K114&lt;&gt;"",L114&lt;&gt;"",L114&lt;&gt;H114,ISNUMBER(M114),M114&gt;=N114,M114&lt;=Settings!$F$8),"Verified","Unverified"))</x:f>
      </x:c>
      <x:c r="P114" s="3" t="str">
        <x:f>IF(C114="","",IF(S114&lt;&gt;"Valid","Review",IF(O114="Verified","Closed",IF(J114="Closed","Closure pending",IF(OR(J114="Open",J114="In progress"),"Open","Review")))))</x:f>
      </x:c>
      <x:c r="Q114" s="9" t="str">
        <x:f>IF(C114="","",IF(AND(P114&lt;&gt;"Closed",ISNUMBER(I114),I114&lt;Settings!$F$8),"Overdue","Current"))</x:f>
      </x:c>
      <x:c r="R114" s="9" t="str">
        <x:f>IF(C114="","",IF(Q114="Overdue",Settings!$F$8-I114,0))</x:f>
      </x:c>
      <x:c r="S114" s="9" t="str">
        <x:f>IF(C114="","",IF(COUNTIF($C$9:$C$308,C114)&lt;&gt;1,"Duplicate ID",IF(COUNTIF(Borrowers!$C$9:$C$108,D114)&lt;&gt;1,"Borrower key",IF(OR(NOT(OR(E114="E&amp;S",E114="Taxonomy",E114="Climate",E114="Data")),NOT(OR(F114="Critical",F114="High",F114="Moderate",F114="Low")),NOT(OR(J114="Open",J114="In progress",J114="Closed")),G114="",H114="",NOT(ISNUMBER(I114)),NOT(ISNUMBER(N114)),I114&lt;N114,N114&gt;Settings!$F$8),"Incomplete","Valid"))))</x:f>
      </x:c>
      <x:c r="T114" s="9" t="str">
        <x:f>IF(C114="","",IFERROR(INDEX('Borrowers'!$D$9:$D$108,MATCH(D114,'Borrowers'!$C$9:$C$108,0)),""))</x:f>
      </x:c>
      <x:c r="U114" s="3" t="str">
        <x:f>IF(C114="","","S01 ESRMS I.4–9; bank decision policy")</x:f>
      </x:c>
    </x:row>
    <x:row r="115" ht="42" customHeight="1">
      <x:c r="A115" s="1"/>
      <x:c r="B115" s="1"/>
      <x:c r="C115" s="8"/>
      <x:c r="D115" s="8"/>
      <x:c r="E115" s="8"/>
      <x:c r="F115" s="8"/>
      <x:c r="G115" s="8"/>
      <x:c r="H115" s="8"/>
      <x:c r="I115" s="10"/>
      <x:c r="J115" s="8"/>
      <x:c r="K115" s="8"/>
      <x:c r="L115" s="8"/>
      <x:c r="M115" s="10"/>
      <x:c r="N115" s="10"/>
      <x:c r="O115" s="9" t="str">
        <x:f>IF(C115="","",IF(AND(S115="Valid",J115="Closed",K115&lt;&gt;"",L115&lt;&gt;"",L115&lt;&gt;H115,ISNUMBER(M115),M115&gt;=N115,M115&lt;=Settings!$F$8),"Verified","Unverified"))</x:f>
      </x:c>
      <x:c r="P115" s="3" t="str">
        <x:f>IF(C115="","",IF(S115&lt;&gt;"Valid","Review",IF(O115="Verified","Closed",IF(J115="Closed","Closure pending",IF(OR(J115="Open",J115="In progress"),"Open","Review")))))</x:f>
      </x:c>
      <x:c r="Q115" s="9" t="str">
        <x:f>IF(C115="","",IF(AND(P115&lt;&gt;"Closed",ISNUMBER(I115),I115&lt;Settings!$F$8),"Overdue","Current"))</x:f>
      </x:c>
      <x:c r="R115" s="9" t="str">
        <x:f>IF(C115="","",IF(Q115="Overdue",Settings!$F$8-I115,0))</x:f>
      </x:c>
      <x:c r="S115" s="9" t="str">
        <x:f>IF(C115="","",IF(COUNTIF($C$9:$C$308,C115)&lt;&gt;1,"Duplicate ID",IF(COUNTIF(Borrowers!$C$9:$C$108,D115)&lt;&gt;1,"Borrower key",IF(OR(NOT(OR(E115="E&amp;S",E115="Taxonomy",E115="Climate",E115="Data")),NOT(OR(F115="Critical",F115="High",F115="Moderate",F115="Low")),NOT(OR(J115="Open",J115="In progress",J115="Closed")),G115="",H115="",NOT(ISNUMBER(I115)),NOT(ISNUMBER(N115)),I115&lt;N115,N115&gt;Settings!$F$8),"Incomplete","Valid"))))</x:f>
      </x:c>
      <x:c r="T115" s="9" t="str">
        <x:f>IF(C115="","",IFERROR(INDEX('Borrowers'!$D$9:$D$108,MATCH(D115,'Borrowers'!$C$9:$C$108,0)),""))</x:f>
      </x:c>
      <x:c r="U115" s="3" t="str">
        <x:f>IF(C115="","","S01 ESRMS I.4–9; bank decision policy")</x:f>
      </x:c>
    </x:row>
    <x:row r="116" ht="42" customHeight="1">
      <x:c r="A116" s="1"/>
      <x:c r="B116" s="1"/>
      <x:c r="C116" s="8"/>
      <x:c r="D116" s="8"/>
      <x:c r="E116" s="8"/>
      <x:c r="F116" s="8"/>
      <x:c r="G116" s="8"/>
      <x:c r="H116" s="8"/>
      <x:c r="I116" s="10"/>
      <x:c r="J116" s="8"/>
      <x:c r="K116" s="8"/>
      <x:c r="L116" s="8"/>
      <x:c r="M116" s="10"/>
      <x:c r="N116" s="10"/>
      <x:c r="O116" s="9" t="str">
        <x:f>IF(C116="","",IF(AND(S116="Valid",J116="Closed",K116&lt;&gt;"",L116&lt;&gt;"",L116&lt;&gt;H116,ISNUMBER(M116),M116&gt;=N116,M116&lt;=Settings!$F$8),"Verified","Unverified"))</x:f>
      </x:c>
      <x:c r="P116" s="3" t="str">
        <x:f>IF(C116="","",IF(S116&lt;&gt;"Valid","Review",IF(O116="Verified","Closed",IF(J116="Closed","Closure pending",IF(OR(J116="Open",J116="In progress"),"Open","Review")))))</x:f>
      </x:c>
      <x:c r="Q116" s="9" t="str">
        <x:f>IF(C116="","",IF(AND(P116&lt;&gt;"Closed",ISNUMBER(I116),I116&lt;Settings!$F$8),"Overdue","Current"))</x:f>
      </x:c>
      <x:c r="R116" s="9" t="str">
        <x:f>IF(C116="","",IF(Q116="Overdue",Settings!$F$8-I116,0))</x:f>
      </x:c>
      <x:c r="S116" s="9" t="str">
        <x:f>IF(C116="","",IF(COUNTIF($C$9:$C$308,C116)&lt;&gt;1,"Duplicate ID",IF(COUNTIF(Borrowers!$C$9:$C$108,D116)&lt;&gt;1,"Borrower key",IF(OR(NOT(OR(E116="E&amp;S",E116="Taxonomy",E116="Climate",E116="Data")),NOT(OR(F116="Critical",F116="High",F116="Moderate",F116="Low")),NOT(OR(J116="Open",J116="In progress",J116="Closed")),G116="",H116="",NOT(ISNUMBER(I116)),NOT(ISNUMBER(N116)),I116&lt;N116,N116&gt;Settings!$F$8),"Incomplete","Valid"))))</x:f>
      </x:c>
      <x:c r="T116" s="9" t="str">
        <x:f>IF(C116="","",IFERROR(INDEX('Borrowers'!$D$9:$D$108,MATCH(D116,'Borrowers'!$C$9:$C$108,0)),""))</x:f>
      </x:c>
      <x:c r="U116" s="3" t="str">
        <x:f>IF(C116="","","S01 ESRMS I.4–9; bank decision policy")</x:f>
      </x:c>
    </x:row>
    <x:row r="117" ht="42" customHeight="1">
      <x:c r="A117" s="1"/>
      <x:c r="B117" s="1"/>
      <x:c r="C117" s="8"/>
      <x:c r="D117" s="8"/>
      <x:c r="E117" s="8"/>
      <x:c r="F117" s="8"/>
      <x:c r="G117" s="8"/>
      <x:c r="H117" s="8"/>
      <x:c r="I117" s="10"/>
      <x:c r="J117" s="8"/>
      <x:c r="K117" s="8"/>
      <x:c r="L117" s="8"/>
      <x:c r="M117" s="10"/>
      <x:c r="N117" s="10"/>
      <x:c r="O117" s="9" t="str">
        <x:f>IF(C117="","",IF(AND(S117="Valid",J117="Closed",K117&lt;&gt;"",L117&lt;&gt;"",L117&lt;&gt;H117,ISNUMBER(M117),M117&gt;=N117,M117&lt;=Settings!$F$8),"Verified","Unverified"))</x:f>
      </x:c>
      <x:c r="P117" s="3" t="str">
        <x:f>IF(C117="","",IF(S117&lt;&gt;"Valid","Review",IF(O117="Verified","Closed",IF(J117="Closed","Closure pending",IF(OR(J117="Open",J117="In progress"),"Open","Review")))))</x:f>
      </x:c>
      <x:c r="Q117" s="9" t="str">
        <x:f>IF(C117="","",IF(AND(P117&lt;&gt;"Closed",ISNUMBER(I117),I117&lt;Settings!$F$8),"Overdue","Current"))</x:f>
      </x:c>
      <x:c r="R117" s="9" t="str">
        <x:f>IF(C117="","",IF(Q117="Overdue",Settings!$F$8-I117,0))</x:f>
      </x:c>
      <x:c r="S117" s="9" t="str">
        <x:f>IF(C117="","",IF(COUNTIF($C$9:$C$308,C117)&lt;&gt;1,"Duplicate ID",IF(COUNTIF(Borrowers!$C$9:$C$108,D117)&lt;&gt;1,"Borrower key",IF(OR(NOT(OR(E117="E&amp;S",E117="Taxonomy",E117="Climate",E117="Data")),NOT(OR(F117="Critical",F117="High",F117="Moderate",F117="Low")),NOT(OR(J117="Open",J117="In progress",J117="Closed")),G117="",H117="",NOT(ISNUMBER(I117)),NOT(ISNUMBER(N117)),I117&lt;N117,N117&gt;Settings!$F$8),"Incomplete","Valid"))))</x:f>
      </x:c>
      <x:c r="T117" s="9" t="str">
        <x:f>IF(C117="","",IFERROR(INDEX('Borrowers'!$D$9:$D$108,MATCH(D117,'Borrowers'!$C$9:$C$108,0)),""))</x:f>
      </x:c>
      <x:c r="U117" s="3" t="str">
        <x:f>IF(C117="","","S01 ESRMS I.4–9; bank decision policy")</x:f>
      </x:c>
    </x:row>
    <x:row r="118" ht="42" customHeight="1">
      <x:c r="A118" s="1"/>
      <x:c r="B118" s="1"/>
      <x:c r="C118" s="8"/>
      <x:c r="D118" s="8"/>
      <x:c r="E118" s="8"/>
      <x:c r="F118" s="8"/>
      <x:c r="G118" s="8"/>
      <x:c r="H118" s="8"/>
      <x:c r="I118" s="10"/>
      <x:c r="J118" s="8"/>
      <x:c r="K118" s="8"/>
      <x:c r="L118" s="8"/>
      <x:c r="M118" s="10"/>
      <x:c r="N118" s="10"/>
      <x:c r="O118" s="9" t="str">
        <x:f>IF(C118="","",IF(AND(S118="Valid",J118="Closed",K118&lt;&gt;"",L118&lt;&gt;"",L118&lt;&gt;H118,ISNUMBER(M118),M118&gt;=N118,M118&lt;=Settings!$F$8),"Verified","Unverified"))</x:f>
      </x:c>
      <x:c r="P118" s="3" t="str">
        <x:f>IF(C118="","",IF(S118&lt;&gt;"Valid","Review",IF(O118="Verified","Closed",IF(J118="Closed","Closure pending",IF(OR(J118="Open",J118="In progress"),"Open","Review")))))</x:f>
      </x:c>
      <x:c r="Q118" s="9" t="str">
        <x:f>IF(C118="","",IF(AND(P118&lt;&gt;"Closed",ISNUMBER(I118),I118&lt;Settings!$F$8),"Overdue","Current"))</x:f>
      </x:c>
      <x:c r="R118" s="9" t="str">
        <x:f>IF(C118="","",IF(Q118="Overdue",Settings!$F$8-I118,0))</x:f>
      </x:c>
      <x:c r="S118" s="9" t="str">
        <x:f>IF(C118="","",IF(COUNTIF($C$9:$C$308,C118)&lt;&gt;1,"Duplicate ID",IF(COUNTIF(Borrowers!$C$9:$C$108,D118)&lt;&gt;1,"Borrower key",IF(OR(NOT(OR(E118="E&amp;S",E118="Taxonomy",E118="Climate",E118="Data")),NOT(OR(F118="Critical",F118="High",F118="Moderate",F118="Low")),NOT(OR(J118="Open",J118="In progress",J118="Closed")),G118="",H118="",NOT(ISNUMBER(I118)),NOT(ISNUMBER(N118)),I118&lt;N118,N118&gt;Settings!$F$8),"Incomplete","Valid"))))</x:f>
      </x:c>
      <x:c r="T118" s="9" t="str">
        <x:f>IF(C118="","",IFERROR(INDEX('Borrowers'!$D$9:$D$108,MATCH(D118,'Borrowers'!$C$9:$C$108,0)),""))</x:f>
      </x:c>
      <x:c r="U118" s="3" t="str">
        <x:f>IF(C118="","","S01 ESRMS I.4–9; bank decision policy")</x:f>
      </x:c>
    </x:row>
    <x:row r="119" ht="42" customHeight="1">
      <x:c r="A119" s="1"/>
      <x:c r="B119" s="1"/>
      <x:c r="C119" s="8"/>
      <x:c r="D119" s="8"/>
      <x:c r="E119" s="8"/>
      <x:c r="F119" s="8"/>
      <x:c r="G119" s="8"/>
      <x:c r="H119" s="8"/>
      <x:c r="I119" s="10"/>
      <x:c r="J119" s="8"/>
      <x:c r="K119" s="8"/>
      <x:c r="L119" s="8"/>
      <x:c r="M119" s="10"/>
      <x:c r="N119" s="10"/>
      <x:c r="O119" s="9" t="str">
        <x:f>IF(C119="","",IF(AND(S119="Valid",J119="Closed",K119&lt;&gt;"",L119&lt;&gt;"",L119&lt;&gt;H119,ISNUMBER(M119),M119&gt;=N119,M119&lt;=Settings!$F$8),"Verified","Unverified"))</x:f>
      </x:c>
      <x:c r="P119" s="3" t="str">
        <x:f>IF(C119="","",IF(S119&lt;&gt;"Valid","Review",IF(O119="Verified","Closed",IF(J119="Closed","Closure pending",IF(OR(J119="Open",J119="In progress"),"Open","Review")))))</x:f>
      </x:c>
      <x:c r="Q119" s="9" t="str">
        <x:f>IF(C119="","",IF(AND(P119&lt;&gt;"Closed",ISNUMBER(I119),I119&lt;Settings!$F$8),"Overdue","Current"))</x:f>
      </x:c>
      <x:c r="R119" s="9" t="str">
        <x:f>IF(C119="","",IF(Q119="Overdue",Settings!$F$8-I119,0))</x:f>
      </x:c>
      <x:c r="S119" s="9" t="str">
        <x:f>IF(C119="","",IF(COUNTIF($C$9:$C$308,C119)&lt;&gt;1,"Duplicate ID",IF(COUNTIF(Borrowers!$C$9:$C$108,D119)&lt;&gt;1,"Borrower key",IF(OR(NOT(OR(E119="E&amp;S",E119="Taxonomy",E119="Climate",E119="Data")),NOT(OR(F119="Critical",F119="High",F119="Moderate",F119="Low")),NOT(OR(J119="Open",J119="In progress",J119="Closed")),G119="",H119="",NOT(ISNUMBER(I119)),NOT(ISNUMBER(N119)),I119&lt;N119,N119&gt;Settings!$F$8),"Incomplete","Valid"))))</x:f>
      </x:c>
      <x:c r="T119" s="9" t="str">
        <x:f>IF(C119="","",IFERROR(INDEX('Borrowers'!$D$9:$D$108,MATCH(D119,'Borrowers'!$C$9:$C$108,0)),""))</x:f>
      </x:c>
      <x:c r="U119" s="3" t="str">
        <x:f>IF(C119="","","S01 ESRMS I.4–9; bank decision policy")</x:f>
      </x:c>
    </x:row>
    <x:row r="120" ht="42" customHeight="1">
      <x:c r="A120" s="1"/>
      <x:c r="B120" s="1"/>
      <x:c r="C120" s="8"/>
      <x:c r="D120" s="8"/>
      <x:c r="E120" s="8"/>
      <x:c r="F120" s="8"/>
      <x:c r="G120" s="8"/>
      <x:c r="H120" s="8"/>
      <x:c r="I120" s="10"/>
      <x:c r="J120" s="8"/>
      <x:c r="K120" s="8"/>
      <x:c r="L120" s="8"/>
      <x:c r="M120" s="10"/>
      <x:c r="N120" s="10"/>
      <x:c r="O120" s="9" t="str">
        <x:f>IF(C120="","",IF(AND(S120="Valid",J120="Closed",K120&lt;&gt;"",L120&lt;&gt;"",L120&lt;&gt;H120,ISNUMBER(M120),M120&gt;=N120,M120&lt;=Settings!$F$8),"Verified","Unverified"))</x:f>
      </x:c>
      <x:c r="P120" s="3" t="str">
        <x:f>IF(C120="","",IF(S120&lt;&gt;"Valid","Review",IF(O120="Verified","Closed",IF(J120="Closed","Closure pending",IF(OR(J120="Open",J120="In progress"),"Open","Review")))))</x:f>
      </x:c>
      <x:c r="Q120" s="9" t="str">
        <x:f>IF(C120="","",IF(AND(P120&lt;&gt;"Closed",ISNUMBER(I120),I120&lt;Settings!$F$8),"Overdue","Current"))</x:f>
      </x:c>
      <x:c r="R120" s="9" t="str">
        <x:f>IF(C120="","",IF(Q120="Overdue",Settings!$F$8-I120,0))</x:f>
      </x:c>
      <x:c r="S120" s="9" t="str">
        <x:f>IF(C120="","",IF(COUNTIF($C$9:$C$308,C120)&lt;&gt;1,"Duplicate ID",IF(COUNTIF(Borrowers!$C$9:$C$108,D120)&lt;&gt;1,"Borrower key",IF(OR(NOT(OR(E120="E&amp;S",E120="Taxonomy",E120="Climate",E120="Data")),NOT(OR(F120="Critical",F120="High",F120="Moderate",F120="Low")),NOT(OR(J120="Open",J120="In progress",J120="Closed")),G120="",H120="",NOT(ISNUMBER(I120)),NOT(ISNUMBER(N120)),I120&lt;N120,N120&gt;Settings!$F$8),"Incomplete","Valid"))))</x:f>
      </x:c>
      <x:c r="T120" s="9" t="str">
        <x:f>IF(C120="","",IFERROR(INDEX('Borrowers'!$D$9:$D$108,MATCH(D120,'Borrowers'!$C$9:$C$108,0)),""))</x:f>
      </x:c>
      <x:c r="U120" s="3" t="str">
        <x:f>IF(C120="","","S01 ESRMS I.4–9; bank decision policy")</x:f>
      </x:c>
    </x:row>
    <x:row r="121" ht="42" customHeight="1">
      <x:c r="A121" s="1"/>
      <x:c r="B121" s="1"/>
      <x:c r="C121" s="8"/>
      <x:c r="D121" s="8"/>
      <x:c r="E121" s="8"/>
      <x:c r="F121" s="8"/>
      <x:c r="G121" s="8"/>
      <x:c r="H121" s="8"/>
      <x:c r="I121" s="10"/>
      <x:c r="J121" s="8"/>
      <x:c r="K121" s="8"/>
      <x:c r="L121" s="8"/>
      <x:c r="M121" s="10"/>
      <x:c r="N121" s="10"/>
      <x:c r="O121" s="9" t="str">
        <x:f>IF(C121="","",IF(AND(S121="Valid",J121="Closed",K121&lt;&gt;"",L121&lt;&gt;"",L121&lt;&gt;H121,ISNUMBER(M121),M121&gt;=N121,M121&lt;=Settings!$F$8),"Verified","Unverified"))</x:f>
      </x:c>
      <x:c r="P121" s="3" t="str">
        <x:f>IF(C121="","",IF(S121&lt;&gt;"Valid","Review",IF(O121="Verified","Closed",IF(J121="Closed","Closure pending",IF(OR(J121="Open",J121="In progress"),"Open","Review")))))</x:f>
      </x:c>
      <x:c r="Q121" s="9" t="str">
        <x:f>IF(C121="","",IF(AND(P121&lt;&gt;"Closed",ISNUMBER(I121),I121&lt;Settings!$F$8),"Overdue","Current"))</x:f>
      </x:c>
      <x:c r="R121" s="9" t="str">
        <x:f>IF(C121="","",IF(Q121="Overdue",Settings!$F$8-I121,0))</x:f>
      </x:c>
      <x:c r="S121" s="9" t="str">
        <x:f>IF(C121="","",IF(COUNTIF($C$9:$C$308,C121)&lt;&gt;1,"Duplicate ID",IF(COUNTIF(Borrowers!$C$9:$C$108,D121)&lt;&gt;1,"Borrower key",IF(OR(NOT(OR(E121="E&amp;S",E121="Taxonomy",E121="Climate",E121="Data")),NOT(OR(F121="Critical",F121="High",F121="Moderate",F121="Low")),NOT(OR(J121="Open",J121="In progress",J121="Closed")),G121="",H121="",NOT(ISNUMBER(I121)),NOT(ISNUMBER(N121)),I121&lt;N121,N121&gt;Settings!$F$8),"Incomplete","Valid"))))</x:f>
      </x:c>
      <x:c r="T121" s="9" t="str">
        <x:f>IF(C121="","",IFERROR(INDEX('Borrowers'!$D$9:$D$108,MATCH(D121,'Borrowers'!$C$9:$C$108,0)),""))</x:f>
      </x:c>
      <x:c r="U121" s="3" t="str">
        <x:f>IF(C121="","","S01 ESRMS I.4–9; bank decision policy")</x:f>
      </x:c>
    </x:row>
    <x:row r="122" ht="42" customHeight="1">
      <x:c r="A122" s="1"/>
      <x:c r="B122" s="1"/>
      <x:c r="C122" s="8"/>
      <x:c r="D122" s="8"/>
      <x:c r="E122" s="8"/>
      <x:c r="F122" s="8"/>
      <x:c r="G122" s="8"/>
      <x:c r="H122" s="8"/>
      <x:c r="I122" s="10"/>
      <x:c r="J122" s="8"/>
      <x:c r="K122" s="8"/>
      <x:c r="L122" s="8"/>
      <x:c r="M122" s="10"/>
      <x:c r="N122" s="10"/>
      <x:c r="O122" s="9" t="str">
        <x:f>IF(C122="","",IF(AND(S122="Valid",J122="Closed",K122&lt;&gt;"",L122&lt;&gt;"",L122&lt;&gt;H122,ISNUMBER(M122),M122&gt;=N122,M122&lt;=Settings!$F$8),"Verified","Unverified"))</x:f>
      </x:c>
      <x:c r="P122" s="3" t="str">
        <x:f>IF(C122="","",IF(S122&lt;&gt;"Valid","Review",IF(O122="Verified","Closed",IF(J122="Closed","Closure pending",IF(OR(J122="Open",J122="In progress"),"Open","Review")))))</x:f>
      </x:c>
      <x:c r="Q122" s="9" t="str">
        <x:f>IF(C122="","",IF(AND(P122&lt;&gt;"Closed",ISNUMBER(I122),I122&lt;Settings!$F$8),"Overdue","Current"))</x:f>
      </x:c>
      <x:c r="R122" s="9" t="str">
        <x:f>IF(C122="","",IF(Q122="Overdue",Settings!$F$8-I122,0))</x:f>
      </x:c>
      <x:c r="S122" s="9" t="str">
        <x:f>IF(C122="","",IF(COUNTIF($C$9:$C$308,C122)&lt;&gt;1,"Duplicate ID",IF(COUNTIF(Borrowers!$C$9:$C$108,D122)&lt;&gt;1,"Borrower key",IF(OR(NOT(OR(E122="E&amp;S",E122="Taxonomy",E122="Climate",E122="Data")),NOT(OR(F122="Critical",F122="High",F122="Moderate",F122="Low")),NOT(OR(J122="Open",J122="In progress",J122="Closed")),G122="",H122="",NOT(ISNUMBER(I122)),NOT(ISNUMBER(N122)),I122&lt;N122,N122&gt;Settings!$F$8),"Incomplete","Valid"))))</x:f>
      </x:c>
      <x:c r="T122" s="9" t="str">
        <x:f>IF(C122="","",IFERROR(INDEX('Borrowers'!$D$9:$D$108,MATCH(D122,'Borrowers'!$C$9:$C$108,0)),""))</x:f>
      </x:c>
      <x:c r="U122" s="3" t="str">
        <x:f>IF(C122="","","S01 ESRMS I.4–9; bank decision policy")</x:f>
      </x:c>
    </x:row>
    <x:row r="123" ht="42" customHeight="1">
      <x:c r="A123" s="1"/>
      <x:c r="B123" s="1"/>
      <x:c r="C123" s="8"/>
      <x:c r="D123" s="8"/>
      <x:c r="E123" s="8"/>
      <x:c r="F123" s="8"/>
      <x:c r="G123" s="8"/>
      <x:c r="H123" s="8"/>
      <x:c r="I123" s="10"/>
      <x:c r="J123" s="8"/>
      <x:c r="K123" s="8"/>
      <x:c r="L123" s="8"/>
      <x:c r="M123" s="10"/>
      <x:c r="N123" s="10"/>
      <x:c r="O123" s="9" t="str">
        <x:f>IF(C123="","",IF(AND(S123="Valid",J123="Closed",K123&lt;&gt;"",L123&lt;&gt;"",L123&lt;&gt;H123,ISNUMBER(M123),M123&gt;=N123,M123&lt;=Settings!$F$8),"Verified","Unverified"))</x:f>
      </x:c>
      <x:c r="P123" s="3" t="str">
        <x:f>IF(C123="","",IF(S123&lt;&gt;"Valid","Review",IF(O123="Verified","Closed",IF(J123="Closed","Closure pending",IF(OR(J123="Open",J123="In progress"),"Open","Review")))))</x:f>
      </x:c>
      <x:c r="Q123" s="9" t="str">
        <x:f>IF(C123="","",IF(AND(P123&lt;&gt;"Closed",ISNUMBER(I123),I123&lt;Settings!$F$8),"Overdue","Current"))</x:f>
      </x:c>
      <x:c r="R123" s="9" t="str">
        <x:f>IF(C123="","",IF(Q123="Overdue",Settings!$F$8-I123,0))</x:f>
      </x:c>
      <x:c r="S123" s="9" t="str">
        <x:f>IF(C123="","",IF(COUNTIF($C$9:$C$308,C123)&lt;&gt;1,"Duplicate ID",IF(COUNTIF(Borrowers!$C$9:$C$108,D123)&lt;&gt;1,"Borrower key",IF(OR(NOT(OR(E123="E&amp;S",E123="Taxonomy",E123="Climate",E123="Data")),NOT(OR(F123="Critical",F123="High",F123="Moderate",F123="Low")),NOT(OR(J123="Open",J123="In progress",J123="Closed")),G123="",H123="",NOT(ISNUMBER(I123)),NOT(ISNUMBER(N123)),I123&lt;N123,N123&gt;Settings!$F$8),"Incomplete","Valid"))))</x:f>
      </x:c>
      <x:c r="T123" s="9" t="str">
        <x:f>IF(C123="","",IFERROR(INDEX('Borrowers'!$D$9:$D$108,MATCH(D123,'Borrowers'!$C$9:$C$108,0)),""))</x:f>
      </x:c>
      <x:c r="U123" s="3" t="str">
        <x:f>IF(C123="","","S01 ESRMS I.4–9; bank decision policy")</x:f>
      </x:c>
    </x:row>
    <x:row r="124" ht="42" customHeight="1">
      <x:c r="A124" s="1"/>
      <x:c r="B124" s="1"/>
      <x:c r="C124" s="8"/>
      <x:c r="D124" s="8"/>
      <x:c r="E124" s="8"/>
      <x:c r="F124" s="8"/>
      <x:c r="G124" s="8"/>
      <x:c r="H124" s="8"/>
      <x:c r="I124" s="10"/>
      <x:c r="J124" s="8"/>
      <x:c r="K124" s="8"/>
      <x:c r="L124" s="8"/>
      <x:c r="M124" s="10"/>
      <x:c r="N124" s="10"/>
      <x:c r="O124" s="9" t="str">
        <x:f>IF(C124="","",IF(AND(S124="Valid",J124="Closed",K124&lt;&gt;"",L124&lt;&gt;"",L124&lt;&gt;H124,ISNUMBER(M124),M124&gt;=N124,M124&lt;=Settings!$F$8),"Verified","Unverified"))</x:f>
      </x:c>
      <x:c r="P124" s="3" t="str">
        <x:f>IF(C124="","",IF(S124&lt;&gt;"Valid","Review",IF(O124="Verified","Closed",IF(J124="Closed","Closure pending",IF(OR(J124="Open",J124="In progress"),"Open","Review")))))</x:f>
      </x:c>
      <x:c r="Q124" s="9" t="str">
        <x:f>IF(C124="","",IF(AND(P124&lt;&gt;"Closed",ISNUMBER(I124),I124&lt;Settings!$F$8),"Overdue","Current"))</x:f>
      </x:c>
      <x:c r="R124" s="9" t="str">
        <x:f>IF(C124="","",IF(Q124="Overdue",Settings!$F$8-I124,0))</x:f>
      </x:c>
      <x:c r="S124" s="9" t="str">
        <x:f>IF(C124="","",IF(COUNTIF($C$9:$C$308,C124)&lt;&gt;1,"Duplicate ID",IF(COUNTIF(Borrowers!$C$9:$C$108,D124)&lt;&gt;1,"Borrower key",IF(OR(NOT(OR(E124="E&amp;S",E124="Taxonomy",E124="Climate",E124="Data")),NOT(OR(F124="Critical",F124="High",F124="Moderate",F124="Low")),NOT(OR(J124="Open",J124="In progress",J124="Closed")),G124="",H124="",NOT(ISNUMBER(I124)),NOT(ISNUMBER(N124)),I124&lt;N124,N124&gt;Settings!$F$8),"Incomplete","Valid"))))</x:f>
      </x:c>
      <x:c r="T124" s="9" t="str">
        <x:f>IF(C124="","",IFERROR(INDEX('Borrowers'!$D$9:$D$108,MATCH(D124,'Borrowers'!$C$9:$C$108,0)),""))</x:f>
      </x:c>
      <x:c r="U124" s="3" t="str">
        <x:f>IF(C124="","","S01 ESRMS I.4–9; bank decision policy")</x:f>
      </x:c>
    </x:row>
    <x:row r="125" ht="42" customHeight="1">
      <x:c r="A125" s="1"/>
      <x:c r="B125" s="1"/>
      <x:c r="C125" s="8"/>
      <x:c r="D125" s="8"/>
      <x:c r="E125" s="8"/>
      <x:c r="F125" s="8"/>
      <x:c r="G125" s="8"/>
      <x:c r="H125" s="8"/>
      <x:c r="I125" s="10"/>
      <x:c r="J125" s="8"/>
      <x:c r="K125" s="8"/>
      <x:c r="L125" s="8"/>
      <x:c r="M125" s="10"/>
      <x:c r="N125" s="10"/>
      <x:c r="O125" s="9" t="str">
        <x:f>IF(C125="","",IF(AND(S125="Valid",J125="Closed",K125&lt;&gt;"",L125&lt;&gt;"",L125&lt;&gt;H125,ISNUMBER(M125),M125&gt;=N125,M125&lt;=Settings!$F$8),"Verified","Unverified"))</x:f>
      </x:c>
      <x:c r="P125" s="3" t="str">
        <x:f>IF(C125="","",IF(S125&lt;&gt;"Valid","Review",IF(O125="Verified","Closed",IF(J125="Closed","Closure pending",IF(OR(J125="Open",J125="In progress"),"Open","Review")))))</x:f>
      </x:c>
      <x:c r="Q125" s="9" t="str">
        <x:f>IF(C125="","",IF(AND(P125&lt;&gt;"Closed",ISNUMBER(I125),I125&lt;Settings!$F$8),"Overdue","Current"))</x:f>
      </x:c>
      <x:c r="R125" s="9" t="str">
        <x:f>IF(C125="","",IF(Q125="Overdue",Settings!$F$8-I125,0))</x:f>
      </x:c>
      <x:c r="S125" s="9" t="str">
        <x:f>IF(C125="","",IF(COUNTIF($C$9:$C$308,C125)&lt;&gt;1,"Duplicate ID",IF(COUNTIF(Borrowers!$C$9:$C$108,D125)&lt;&gt;1,"Borrower key",IF(OR(NOT(OR(E125="E&amp;S",E125="Taxonomy",E125="Climate",E125="Data")),NOT(OR(F125="Critical",F125="High",F125="Moderate",F125="Low")),NOT(OR(J125="Open",J125="In progress",J125="Closed")),G125="",H125="",NOT(ISNUMBER(I125)),NOT(ISNUMBER(N125)),I125&lt;N125,N125&gt;Settings!$F$8),"Incomplete","Valid"))))</x:f>
      </x:c>
      <x:c r="T125" s="9" t="str">
        <x:f>IF(C125="","",IFERROR(INDEX('Borrowers'!$D$9:$D$108,MATCH(D125,'Borrowers'!$C$9:$C$108,0)),""))</x:f>
      </x:c>
      <x:c r="U125" s="3" t="str">
        <x:f>IF(C125="","","S01 ESRMS I.4–9; bank decision policy")</x:f>
      </x:c>
    </x:row>
    <x:row r="126" ht="42" customHeight="1">
      <x:c r="A126" s="1"/>
      <x:c r="B126" s="1"/>
      <x:c r="C126" s="8"/>
      <x:c r="D126" s="8"/>
      <x:c r="E126" s="8"/>
      <x:c r="F126" s="8"/>
      <x:c r="G126" s="8"/>
      <x:c r="H126" s="8"/>
      <x:c r="I126" s="10"/>
      <x:c r="J126" s="8"/>
      <x:c r="K126" s="8"/>
      <x:c r="L126" s="8"/>
      <x:c r="M126" s="10"/>
      <x:c r="N126" s="10"/>
      <x:c r="O126" s="9" t="str">
        <x:f>IF(C126="","",IF(AND(S126="Valid",J126="Closed",K126&lt;&gt;"",L126&lt;&gt;"",L126&lt;&gt;H126,ISNUMBER(M126),M126&gt;=N126,M126&lt;=Settings!$F$8),"Verified","Unverified"))</x:f>
      </x:c>
      <x:c r="P126" s="3" t="str">
        <x:f>IF(C126="","",IF(S126&lt;&gt;"Valid","Review",IF(O126="Verified","Closed",IF(J126="Closed","Closure pending",IF(OR(J126="Open",J126="In progress"),"Open","Review")))))</x:f>
      </x:c>
      <x:c r="Q126" s="9" t="str">
        <x:f>IF(C126="","",IF(AND(P126&lt;&gt;"Closed",ISNUMBER(I126),I126&lt;Settings!$F$8),"Overdue","Current"))</x:f>
      </x:c>
      <x:c r="R126" s="9" t="str">
        <x:f>IF(C126="","",IF(Q126="Overdue",Settings!$F$8-I126,0))</x:f>
      </x:c>
      <x:c r="S126" s="9" t="str">
        <x:f>IF(C126="","",IF(COUNTIF($C$9:$C$308,C126)&lt;&gt;1,"Duplicate ID",IF(COUNTIF(Borrowers!$C$9:$C$108,D126)&lt;&gt;1,"Borrower key",IF(OR(NOT(OR(E126="E&amp;S",E126="Taxonomy",E126="Climate",E126="Data")),NOT(OR(F126="Critical",F126="High",F126="Moderate",F126="Low")),NOT(OR(J126="Open",J126="In progress",J126="Closed")),G126="",H126="",NOT(ISNUMBER(I126)),NOT(ISNUMBER(N126)),I126&lt;N126,N126&gt;Settings!$F$8),"Incomplete","Valid"))))</x:f>
      </x:c>
      <x:c r="T126" s="9" t="str">
        <x:f>IF(C126="","",IFERROR(INDEX('Borrowers'!$D$9:$D$108,MATCH(D126,'Borrowers'!$C$9:$C$108,0)),""))</x:f>
      </x:c>
      <x:c r="U126" s="3" t="str">
        <x:f>IF(C126="","","S01 ESRMS I.4–9; bank decision policy")</x:f>
      </x:c>
    </x:row>
    <x:row r="127" ht="42" customHeight="1">
      <x:c r="A127" s="1"/>
      <x:c r="B127" s="1"/>
      <x:c r="C127" s="8"/>
      <x:c r="D127" s="8"/>
      <x:c r="E127" s="8"/>
      <x:c r="F127" s="8"/>
      <x:c r="G127" s="8"/>
      <x:c r="H127" s="8"/>
      <x:c r="I127" s="10"/>
      <x:c r="J127" s="8"/>
      <x:c r="K127" s="8"/>
      <x:c r="L127" s="8"/>
      <x:c r="M127" s="10"/>
      <x:c r="N127" s="10"/>
      <x:c r="O127" s="9" t="str">
        <x:f>IF(C127="","",IF(AND(S127="Valid",J127="Closed",K127&lt;&gt;"",L127&lt;&gt;"",L127&lt;&gt;H127,ISNUMBER(M127),M127&gt;=N127,M127&lt;=Settings!$F$8),"Verified","Unverified"))</x:f>
      </x:c>
      <x:c r="P127" s="3" t="str">
        <x:f>IF(C127="","",IF(S127&lt;&gt;"Valid","Review",IF(O127="Verified","Closed",IF(J127="Closed","Closure pending",IF(OR(J127="Open",J127="In progress"),"Open","Review")))))</x:f>
      </x:c>
      <x:c r="Q127" s="9" t="str">
        <x:f>IF(C127="","",IF(AND(P127&lt;&gt;"Closed",ISNUMBER(I127),I127&lt;Settings!$F$8),"Overdue","Current"))</x:f>
      </x:c>
      <x:c r="R127" s="9" t="str">
        <x:f>IF(C127="","",IF(Q127="Overdue",Settings!$F$8-I127,0))</x:f>
      </x:c>
      <x:c r="S127" s="9" t="str">
        <x:f>IF(C127="","",IF(COUNTIF($C$9:$C$308,C127)&lt;&gt;1,"Duplicate ID",IF(COUNTIF(Borrowers!$C$9:$C$108,D127)&lt;&gt;1,"Borrower key",IF(OR(NOT(OR(E127="E&amp;S",E127="Taxonomy",E127="Climate",E127="Data")),NOT(OR(F127="Critical",F127="High",F127="Moderate",F127="Low")),NOT(OR(J127="Open",J127="In progress",J127="Closed")),G127="",H127="",NOT(ISNUMBER(I127)),NOT(ISNUMBER(N127)),I127&lt;N127,N127&gt;Settings!$F$8),"Incomplete","Valid"))))</x:f>
      </x:c>
      <x:c r="T127" s="9" t="str">
        <x:f>IF(C127="","",IFERROR(INDEX('Borrowers'!$D$9:$D$108,MATCH(D127,'Borrowers'!$C$9:$C$108,0)),""))</x:f>
      </x:c>
      <x:c r="U127" s="3" t="str">
        <x:f>IF(C127="","","S01 ESRMS I.4–9; bank decision policy")</x:f>
      </x:c>
    </x:row>
    <x:row r="128" ht="42" customHeight="1">
      <x:c r="A128" s="1"/>
      <x:c r="B128" s="1"/>
      <x:c r="C128" s="8"/>
      <x:c r="D128" s="8"/>
      <x:c r="E128" s="8"/>
      <x:c r="F128" s="8"/>
      <x:c r="G128" s="8"/>
      <x:c r="H128" s="8"/>
      <x:c r="I128" s="10"/>
      <x:c r="J128" s="8"/>
      <x:c r="K128" s="8"/>
      <x:c r="L128" s="8"/>
      <x:c r="M128" s="10"/>
      <x:c r="N128" s="10"/>
      <x:c r="O128" s="9" t="str">
        <x:f>IF(C128="","",IF(AND(S128="Valid",J128="Closed",K128&lt;&gt;"",L128&lt;&gt;"",L128&lt;&gt;H128,ISNUMBER(M128),M128&gt;=N128,M128&lt;=Settings!$F$8),"Verified","Unverified"))</x:f>
      </x:c>
      <x:c r="P128" s="3" t="str">
        <x:f>IF(C128="","",IF(S128&lt;&gt;"Valid","Review",IF(O128="Verified","Closed",IF(J128="Closed","Closure pending",IF(OR(J128="Open",J128="In progress"),"Open","Review")))))</x:f>
      </x:c>
      <x:c r="Q128" s="9" t="str">
        <x:f>IF(C128="","",IF(AND(P128&lt;&gt;"Closed",ISNUMBER(I128),I128&lt;Settings!$F$8),"Overdue","Current"))</x:f>
      </x:c>
      <x:c r="R128" s="9" t="str">
        <x:f>IF(C128="","",IF(Q128="Overdue",Settings!$F$8-I128,0))</x:f>
      </x:c>
      <x:c r="S128" s="9" t="str">
        <x:f>IF(C128="","",IF(COUNTIF($C$9:$C$308,C128)&lt;&gt;1,"Duplicate ID",IF(COUNTIF(Borrowers!$C$9:$C$108,D128)&lt;&gt;1,"Borrower key",IF(OR(NOT(OR(E128="E&amp;S",E128="Taxonomy",E128="Climate",E128="Data")),NOT(OR(F128="Critical",F128="High",F128="Moderate",F128="Low")),NOT(OR(J128="Open",J128="In progress",J128="Closed")),G128="",H128="",NOT(ISNUMBER(I128)),NOT(ISNUMBER(N128)),I128&lt;N128,N128&gt;Settings!$F$8),"Incomplete","Valid"))))</x:f>
      </x:c>
      <x:c r="T128" s="9" t="str">
        <x:f>IF(C128="","",IFERROR(INDEX('Borrowers'!$D$9:$D$108,MATCH(D128,'Borrowers'!$C$9:$C$108,0)),""))</x:f>
      </x:c>
      <x:c r="U128" s="3" t="str">
        <x:f>IF(C128="","","S01 ESRMS I.4–9; bank decision policy")</x:f>
      </x:c>
    </x:row>
    <x:row r="129" ht="42" customHeight="1">
      <x:c r="A129" s="1"/>
      <x:c r="B129" s="1"/>
      <x:c r="C129" s="8"/>
      <x:c r="D129" s="8"/>
      <x:c r="E129" s="8"/>
      <x:c r="F129" s="8"/>
      <x:c r="G129" s="8"/>
      <x:c r="H129" s="8"/>
      <x:c r="I129" s="10"/>
      <x:c r="J129" s="8"/>
      <x:c r="K129" s="8"/>
      <x:c r="L129" s="8"/>
      <x:c r="M129" s="10"/>
      <x:c r="N129" s="10"/>
      <x:c r="O129" s="9" t="str">
        <x:f>IF(C129="","",IF(AND(S129="Valid",J129="Closed",K129&lt;&gt;"",L129&lt;&gt;"",L129&lt;&gt;H129,ISNUMBER(M129),M129&gt;=N129,M129&lt;=Settings!$F$8),"Verified","Unverified"))</x:f>
      </x:c>
      <x:c r="P129" s="3" t="str">
        <x:f>IF(C129="","",IF(S129&lt;&gt;"Valid","Review",IF(O129="Verified","Closed",IF(J129="Closed","Closure pending",IF(OR(J129="Open",J129="In progress"),"Open","Review")))))</x:f>
      </x:c>
      <x:c r="Q129" s="9" t="str">
        <x:f>IF(C129="","",IF(AND(P129&lt;&gt;"Closed",ISNUMBER(I129),I129&lt;Settings!$F$8),"Overdue","Current"))</x:f>
      </x:c>
      <x:c r="R129" s="9" t="str">
        <x:f>IF(C129="","",IF(Q129="Overdue",Settings!$F$8-I129,0))</x:f>
      </x:c>
      <x:c r="S129" s="9" t="str">
        <x:f>IF(C129="","",IF(COUNTIF($C$9:$C$308,C129)&lt;&gt;1,"Duplicate ID",IF(COUNTIF(Borrowers!$C$9:$C$108,D129)&lt;&gt;1,"Borrower key",IF(OR(NOT(OR(E129="E&amp;S",E129="Taxonomy",E129="Climate",E129="Data")),NOT(OR(F129="Critical",F129="High",F129="Moderate",F129="Low")),NOT(OR(J129="Open",J129="In progress",J129="Closed")),G129="",H129="",NOT(ISNUMBER(I129)),NOT(ISNUMBER(N129)),I129&lt;N129,N129&gt;Settings!$F$8),"Incomplete","Valid"))))</x:f>
      </x:c>
      <x:c r="T129" s="9" t="str">
        <x:f>IF(C129="","",IFERROR(INDEX('Borrowers'!$D$9:$D$108,MATCH(D129,'Borrowers'!$C$9:$C$108,0)),""))</x:f>
      </x:c>
      <x:c r="U129" s="3" t="str">
        <x:f>IF(C129="","","S01 ESRMS I.4–9; bank decision policy")</x:f>
      </x:c>
    </x:row>
    <x:row r="130" ht="42" customHeight="1">
      <x:c r="A130" s="1"/>
      <x:c r="B130" s="1"/>
      <x:c r="C130" s="8"/>
      <x:c r="D130" s="8"/>
      <x:c r="E130" s="8"/>
      <x:c r="F130" s="8"/>
      <x:c r="G130" s="8"/>
      <x:c r="H130" s="8"/>
      <x:c r="I130" s="10"/>
      <x:c r="J130" s="8"/>
      <x:c r="K130" s="8"/>
      <x:c r="L130" s="8"/>
      <x:c r="M130" s="10"/>
      <x:c r="N130" s="10"/>
      <x:c r="O130" s="9" t="str">
        <x:f>IF(C130="","",IF(AND(S130="Valid",J130="Closed",K130&lt;&gt;"",L130&lt;&gt;"",L130&lt;&gt;H130,ISNUMBER(M130),M130&gt;=N130,M130&lt;=Settings!$F$8),"Verified","Unverified"))</x:f>
      </x:c>
      <x:c r="P130" s="3" t="str">
        <x:f>IF(C130="","",IF(S130&lt;&gt;"Valid","Review",IF(O130="Verified","Closed",IF(J130="Closed","Closure pending",IF(OR(J130="Open",J130="In progress"),"Open","Review")))))</x:f>
      </x:c>
      <x:c r="Q130" s="9" t="str">
        <x:f>IF(C130="","",IF(AND(P130&lt;&gt;"Closed",ISNUMBER(I130),I130&lt;Settings!$F$8),"Overdue","Current"))</x:f>
      </x:c>
      <x:c r="R130" s="9" t="str">
        <x:f>IF(C130="","",IF(Q130="Overdue",Settings!$F$8-I130,0))</x:f>
      </x:c>
      <x:c r="S130" s="9" t="str">
        <x:f>IF(C130="","",IF(COUNTIF($C$9:$C$308,C130)&lt;&gt;1,"Duplicate ID",IF(COUNTIF(Borrowers!$C$9:$C$108,D130)&lt;&gt;1,"Borrower key",IF(OR(NOT(OR(E130="E&amp;S",E130="Taxonomy",E130="Climate",E130="Data")),NOT(OR(F130="Critical",F130="High",F130="Moderate",F130="Low")),NOT(OR(J130="Open",J130="In progress",J130="Closed")),G130="",H130="",NOT(ISNUMBER(I130)),NOT(ISNUMBER(N130)),I130&lt;N130,N130&gt;Settings!$F$8),"Incomplete","Valid"))))</x:f>
      </x:c>
      <x:c r="T130" s="9" t="str">
        <x:f>IF(C130="","",IFERROR(INDEX('Borrowers'!$D$9:$D$108,MATCH(D130,'Borrowers'!$C$9:$C$108,0)),""))</x:f>
      </x:c>
      <x:c r="U130" s="3" t="str">
        <x:f>IF(C130="","","S01 ESRMS I.4–9; bank decision policy")</x:f>
      </x:c>
    </x:row>
    <x:row r="131" ht="42" customHeight="1">
      <x:c r="A131" s="1"/>
      <x:c r="B131" s="1"/>
      <x:c r="C131" s="8"/>
      <x:c r="D131" s="8"/>
      <x:c r="E131" s="8"/>
      <x:c r="F131" s="8"/>
      <x:c r="G131" s="8"/>
      <x:c r="H131" s="8"/>
      <x:c r="I131" s="10"/>
      <x:c r="J131" s="8"/>
      <x:c r="K131" s="8"/>
      <x:c r="L131" s="8"/>
      <x:c r="M131" s="10"/>
      <x:c r="N131" s="10"/>
      <x:c r="O131" s="9" t="str">
        <x:f>IF(C131="","",IF(AND(S131="Valid",J131="Closed",K131&lt;&gt;"",L131&lt;&gt;"",L131&lt;&gt;H131,ISNUMBER(M131),M131&gt;=N131,M131&lt;=Settings!$F$8),"Verified","Unverified"))</x:f>
      </x:c>
      <x:c r="P131" s="3" t="str">
        <x:f>IF(C131="","",IF(S131&lt;&gt;"Valid","Review",IF(O131="Verified","Closed",IF(J131="Closed","Closure pending",IF(OR(J131="Open",J131="In progress"),"Open","Review")))))</x:f>
      </x:c>
      <x:c r="Q131" s="9" t="str">
        <x:f>IF(C131="","",IF(AND(P131&lt;&gt;"Closed",ISNUMBER(I131),I131&lt;Settings!$F$8),"Overdue","Current"))</x:f>
      </x:c>
      <x:c r="R131" s="9" t="str">
        <x:f>IF(C131="","",IF(Q131="Overdue",Settings!$F$8-I131,0))</x:f>
      </x:c>
      <x:c r="S131" s="9" t="str">
        <x:f>IF(C131="","",IF(COUNTIF($C$9:$C$308,C131)&lt;&gt;1,"Duplicate ID",IF(COUNTIF(Borrowers!$C$9:$C$108,D131)&lt;&gt;1,"Borrower key",IF(OR(NOT(OR(E131="E&amp;S",E131="Taxonomy",E131="Climate",E131="Data")),NOT(OR(F131="Critical",F131="High",F131="Moderate",F131="Low")),NOT(OR(J131="Open",J131="In progress",J131="Closed")),G131="",H131="",NOT(ISNUMBER(I131)),NOT(ISNUMBER(N131)),I131&lt;N131,N131&gt;Settings!$F$8),"Incomplete","Valid"))))</x:f>
      </x:c>
      <x:c r="T131" s="9" t="str">
        <x:f>IF(C131="","",IFERROR(INDEX('Borrowers'!$D$9:$D$108,MATCH(D131,'Borrowers'!$C$9:$C$108,0)),""))</x:f>
      </x:c>
      <x:c r="U131" s="3" t="str">
        <x:f>IF(C131="","","S01 ESRMS I.4–9; bank decision policy")</x:f>
      </x:c>
    </x:row>
    <x:row r="132" ht="42" customHeight="1">
      <x:c r="A132" s="1"/>
      <x:c r="B132" s="1"/>
      <x:c r="C132" s="8"/>
      <x:c r="D132" s="8"/>
      <x:c r="E132" s="8"/>
      <x:c r="F132" s="8"/>
      <x:c r="G132" s="8"/>
      <x:c r="H132" s="8"/>
      <x:c r="I132" s="10"/>
      <x:c r="J132" s="8"/>
      <x:c r="K132" s="8"/>
      <x:c r="L132" s="8"/>
      <x:c r="M132" s="10"/>
      <x:c r="N132" s="10"/>
      <x:c r="O132" s="9" t="str">
        <x:f>IF(C132="","",IF(AND(S132="Valid",J132="Closed",K132&lt;&gt;"",L132&lt;&gt;"",L132&lt;&gt;H132,ISNUMBER(M132),M132&gt;=N132,M132&lt;=Settings!$F$8),"Verified","Unverified"))</x:f>
      </x:c>
      <x:c r="P132" s="3" t="str">
        <x:f>IF(C132="","",IF(S132&lt;&gt;"Valid","Review",IF(O132="Verified","Closed",IF(J132="Closed","Closure pending",IF(OR(J132="Open",J132="In progress"),"Open","Review")))))</x:f>
      </x:c>
      <x:c r="Q132" s="9" t="str">
        <x:f>IF(C132="","",IF(AND(P132&lt;&gt;"Closed",ISNUMBER(I132),I132&lt;Settings!$F$8),"Overdue","Current"))</x:f>
      </x:c>
      <x:c r="R132" s="9" t="str">
        <x:f>IF(C132="","",IF(Q132="Overdue",Settings!$F$8-I132,0))</x:f>
      </x:c>
      <x:c r="S132" s="9" t="str">
        <x:f>IF(C132="","",IF(COUNTIF($C$9:$C$308,C132)&lt;&gt;1,"Duplicate ID",IF(COUNTIF(Borrowers!$C$9:$C$108,D132)&lt;&gt;1,"Borrower key",IF(OR(NOT(OR(E132="E&amp;S",E132="Taxonomy",E132="Climate",E132="Data")),NOT(OR(F132="Critical",F132="High",F132="Moderate",F132="Low")),NOT(OR(J132="Open",J132="In progress",J132="Closed")),G132="",H132="",NOT(ISNUMBER(I132)),NOT(ISNUMBER(N132)),I132&lt;N132,N132&gt;Settings!$F$8),"Incomplete","Valid"))))</x:f>
      </x:c>
      <x:c r="T132" s="9" t="str">
        <x:f>IF(C132="","",IFERROR(INDEX('Borrowers'!$D$9:$D$108,MATCH(D132,'Borrowers'!$C$9:$C$108,0)),""))</x:f>
      </x:c>
      <x:c r="U132" s="3" t="str">
        <x:f>IF(C132="","","S01 ESRMS I.4–9; bank decision policy")</x:f>
      </x:c>
    </x:row>
    <x:row r="133" ht="42" customHeight="1">
      <x:c r="A133" s="1"/>
      <x:c r="B133" s="1"/>
      <x:c r="C133" s="8"/>
      <x:c r="D133" s="8"/>
      <x:c r="E133" s="8"/>
      <x:c r="F133" s="8"/>
      <x:c r="G133" s="8"/>
      <x:c r="H133" s="8"/>
      <x:c r="I133" s="10"/>
      <x:c r="J133" s="8"/>
      <x:c r="K133" s="8"/>
      <x:c r="L133" s="8"/>
      <x:c r="M133" s="10"/>
      <x:c r="N133" s="10"/>
      <x:c r="O133" s="9" t="str">
        <x:f>IF(C133="","",IF(AND(S133="Valid",J133="Closed",K133&lt;&gt;"",L133&lt;&gt;"",L133&lt;&gt;H133,ISNUMBER(M133),M133&gt;=N133,M133&lt;=Settings!$F$8),"Verified","Unverified"))</x:f>
      </x:c>
      <x:c r="P133" s="3" t="str">
        <x:f>IF(C133="","",IF(S133&lt;&gt;"Valid","Review",IF(O133="Verified","Closed",IF(J133="Closed","Closure pending",IF(OR(J133="Open",J133="In progress"),"Open","Review")))))</x:f>
      </x:c>
      <x:c r="Q133" s="9" t="str">
        <x:f>IF(C133="","",IF(AND(P133&lt;&gt;"Closed",ISNUMBER(I133),I133&lt;Settings!$F$8),"Overdue","Current"))</x:f>
      </x:c>
      <x:c r="R133" s="9" t="str">
        <x:f>IF(C133="","",IF(Q133="Overdue",Settings!$F$8-I133,0))</x:f>
      </x:c>
      <x:c r="S133" s="9" t="str">
        <x:f>IF(C133="","",IF(COUNTIF($C$9:$C$308,C133)&lt;&gt;1,"Duplicate ID",IF(COUNTIF(Borrowers!$C$9:$C$108,D133)&lt;&gt;1,"Borrower key",IF(OR(NOT(OR(E133="E&amp;S",E133="Taxonomy",E133="Climate",E133="Data")),NOT(OR(F133="Critical",F133="High",F133="Moderate",F133="Low")),NOT(OR(J133="Open",J133="In progress",J133="Closed")),G133="",H133="",NOT(ISNUMBER(I133)),NOT(ISNUMBER(N133)),I133&lt;N133,N133&gt;Settings!$F$8),"Incomplete","Valid"))))</x:f>
      </x:c>
      <x:c r="T133" s="9" t="str">
        <x:f>IF(C133="","",IFERROR(INDEX('Borrowers'!$D$9:$D$108,MATCH(D133,'Borrowers'!$C$9:$C$108,0)),""))</x:f>
      </x:c>
      <x:c r="U133" s="3" t="str">
        <x:f>IF(C133="","","S01 ESRMS I.4–9; bank decision policy")</x:f>
      </x:c>
    </x:row>
    <x:row r="134" ht="42" customHeight="1">
      <x:c r="A134" s="1"/>
      <x:c r="B134" s="1"/>
      <x:c r="C134" s="8"/>
      <x:c r="D134" s="8"/>
      <x:c r="E134" s="8"/>
      <x:c r="F134" s="8"/>
      <x:c r="G134" s="8"/>
      <x:c r="H134" s="8"/>
      <x:c r="I134" s="10"/>
      <x:c r="J134" s="8"/>
      <x:c r="K134" s="8"/>
      <x:c r="L134" s="8"/>
      <x:c r="M134" s="10"/>
      <x:c r="N134" s="10"/>
      <x:c r="O134" s="9" t="str">
        <x:f>IF(C134="","",IF(AND(S134="Valid",J134="Closed",K134&lt;&gt;"",L134&lt;&gt;"",L134&lt;&gt;H134,ISNUMBER(M134),M134&gt;=N134,M134&lt;=Settings!$F$8),"Verified","Unverified"))</x:f>
      </x:c>
      <x:c r="P134" s="3" t="str">
        <x:f>IF(C134="","",IF(S134&lt;&gt;"Valid","Review",IF(O134="Verified","Closed",IF(J134="Closed","Closure pending",IF(OR(J134="Open",J134="In progress"),"Open","Review")))))</x:f>
      </x:c>
      <x:c r="Q134" s="9" t="str">
        <x:f>IF(C134="","",IF(AND(P134&lt;&gt;"Closed",ISNUMBER(I134),I134&lt;Settings!$F$8),"Overdue","Current"))</x:f>
      </x:c>
      <x:c r="R134" s="9" t="str">
        <x:f>IF(C134="","",IF(Q134="Overdue",Settings!$F$8-I134,0))</x:f>
      </x:c>
      <x:c r="S134" s="9" t="str">
        <x:f>IF(C134="","",IF(COUNTIF($C$9:$C$308,C134)&lt;&gt;1,"Duplicate ID",IF(COUNTIF(Borrowers!$C$9:$C$108,D134)&lt;&gt;1,"Borrower key",IF(OR(NOT(OR(E134="E&amp;S",E134="Taxonomy",E134="Climate",E134="Data")),NOT(OR(F134="Critical",F134="High",F134="Moderate",F134="Low")),NOT(OR(J134="Open",J134="In progress",J134="Closed")),G134="",H134="",NOT(ISNUMBER(I134)),NOT(ISNUMBER(N134)),I134&lt;N134,N134&gt;Settings!$F$8),"Incomplete","Valid"))))</x:f>
      </x:c>
      <x:c r="T134" s="9" t="str">
        <x:f>IF(C134="","",IFERROR(INDEX('Borrowers'!$D$9:$D$108,MATCH(D134,'Borrowers'!$C$9:$C$108,0)),""))</x:f>
      </x:c>
      <x:c r="U134" s="3" t="str">
        <x:f>IF(C134="","","S01 ESRMS I.4–9; bank decision policy")</x:f>
      </x:c>
    </x:row>
    <x:row r="135" ht="42" customHeight="1">
      <x:c r="A135" s="1"/>
      <x:c r="B135" s="1"/>
      <x:c r="C135" s="8"/>
      <x:c r="D135" s="8"/>
      <x:c r="E135" s="8"/>
      <x:c r="F135" s="8"/>
      <x:c r="G135" s="8"/>
      <x:c r="H135" s="8"/>
      <x:c r="I135" s="10"/>
      <x:c r="J135" s="8"/>
      <x:c r="K135" s="8"/>
      <x:c r="L135" s="8"/>
      <x:c r="M135" s="10"/>
      <x:c r="N135" s="10"/>
      <x:c r="O135" s="9" t="str">
        <x:f>IF(C135="","",IF(AND(S135="Valid",J135="Closed",K135&lt;&gt;"",L135&lt;&gt;"",L135&lt;&gt;H135,ISNUMBER(M135),M135&gt;=N135,M135&lt;=Settings!$F$8),"Verified","Unverified"))</x:f>
      </x:c>
      <x:c r="P135" s="3" t="str">
        <x:f>IF(C135="","",IF(S135&lt;&gt;"Valid","Review",IF(O135="Verified","Closed",IF(J135="Closed","Closure pending",IF(OR(J135="Open",J135="In progress"),"Open","Review")))))</x:f>
      </x:c>
      <x:c r="Q135" s="9" t="str">
        <x:f>IF(C135="","",IF(AND(P135&lt;&gt;"Closed",ISNUMBER(I135),I135&lt;Settings!$F$8),"Overdue","Current"))</x:f>
      </x:c>
      <x:c r="R135" s="9" t="str">
        <x:f>IF(C135="","",IF(Q135="Overdue",Settings!$F$8-I135,0))</x:f>
      </x:c>
      <x:c r="S135" s="9" t="str">
        <x:f>IF(C135="","",IF(COUNTIF($C$9:$C$308,C135)&lt;&gt;1,"Duplicate ID",IF(COUNTIF(Borrowers!$C$9:$C$108,D135)&lt;&gt;1,"Borrower key",IF(OR(NOT(OR(E135="E&amp;S",E135="Taxonomy",E135="Climate",E135="Data")),NOT(OR(F135="Critical",F135="High",F135="Moderate",F135="Low")),NOT(OR(J135="Open",J135="In progress",J135="Closed")),G135="",H135="",NOT(ISNUMBER(I135)),NOT(ISNUMBER(N135)),I135&lt;N135,N135&gt;Settings!$F$8),"Incomplete","Valid"))))</x:f>
      </x:c>
      <x:c r="T135" s="9" t="str">
        <x:f>IF(C135="","",IFERROR(INDEX('Borrowers'!$D$9:$D$108,MATCH(D135,'Borrowers'!$C$9:$C$108,0)),""))</x:f>
      </x:c>
      <x:c r="U135" s="3" t="str">
        <x:f>IF(C135="","","S01 ESRMS I.4–9; bank decision policy")</x:f>
      </x:c>
    </x:row>
    <x:row r="136" ht="42" customHeight="1">
      <x:c r="A136" s="1"/>
      <x:c r="B136" s="1"/>
      <x:c r="C136" s="8"/>
      <x:c r="D136" s="8"/>
      <x:c r="E136" s="8"/>
      <x:c r="F136" s="8"/>
      <x:c r="G136" s="8"/>
      <x:c r="H136" s="8"/>
      <x:c r="I136" s="10"/>
      <x:c r="J136" s="8"/>
      <x:c r="K136" s="8"/>
      <x:c r="L136" s="8"/>
      <x:c r="M136" s="10"/>
      <x:c r="N136" s="10"/>
      <x:c r="O136" s="9" t="str">
        <x:f>IF(C136="","",IF(AND(S136="Valid",J136="Closed",K136&lt;&gt;"",L136&lt;&gt;"",L136&lt;&gt;H136,ISNUMBER(M136),M136&gt;=N136,M136&lt;=Settings!$F$8),"Verified","Unverified"))</x:f>
      </x:c>
      <x:c r="P136" s="3" t="str">
        <x:f>IF(C136="","",IF(S136&lt;&gt;"Valid","Review",IF(O136="Verified","Closed",IF(J136="Closed","Closure pending",IF(OR(J136="Open",J136="In progress"),"Open","Review")))))</x:f>
      </x:c>
      <x:c r="Q136" s="9" t="str">
        <x:f>IF(C136="","",IF(AND(P136&lt;&gt;"Closed",ISNUMBER(I136),I136&lt;Settings!$F$8),"Overdue","Current"))</x:f>
      </x:c>
      <x:c r="R136" s="9" t="str">
        <x:f>IF(C136="","",IF(Q136="Overdue",Settings!$F$8-I136,0))</x:f>
      </x:c>
      <x:c r="S136" s="9" t="str">
        <x:f>IF(C136="","",IF(COUNTIF($C$9:$C$308,C136)&lt;&gt;1,"Duplicate ID",IF(COUNTIF(Borrowers!$C$9:$C$108,D136)&lt;&gt;1,"Borrower key",IF(OR(NOT(OR(E136="E&amp;S",E136="Taxonomy",E136="Climate",E136="Data")),NOT(OR(F136="Critical",F136="High",F136="Moderate",F136="Low")),NOT(OR(J136="Open",J136="In progress",J136="Closed")),G136="",H136="",NOT(ISNUMBER(I136)),NOT(ISNUMBER(N136)),I136&lt;N136,N136&gt;Settings!$F$8),"Incomplete","Valid"))))</x:f>
      </x:c>
      <x:c r="T136" s="9" t="str">
        <x:f>IF(C136="","",IFERROR(INDEX('Borrowers'!$D$9:$D$108,MATCH(D136,'Borrowers'!$C$9:$C$108,0)),""))</x:f>
      </x:c>
      <x:c r="U136" s="3" t="str">
        <x:f>IF(C136="","","S01 ESRMS I.4–9; bank decision policy")</x:f>
      </x:c>
    </x:row>
    <x:row r="137" ht="42" customHeight="1">
      <x:c r="A137" s="1"/>
      <x:c r="B137" s="1"/>
      <x:c r="C137" s="8"/>
      <x:c r="D137" s="8"/>
      <x:c r="E137" s="8"/>
      <x:c r="F137" s="8"/>
      <x:c r="G137" s="8"/>
      <x:c r="H137" s="8"/>
      <x:c r="I137" s="10"/>
      <x:c r="J137" s="8"/>
      <x:c r="K137" s="8"/>
      <x:c r="L137" s="8"/>
      <x:c r="M137" s="10"/>
      <x:c r="N137" s="10"/>
      <x:c r="O137" s="9" t="str">
        <x:f>IF(C137="","",IF(AND(S137="Valid",J137="Closed",K137&lt;&gt;"",L137&lt;&gt;"",L137&lt;&gt;H137,ISNUMBER(M137),M137&gt;=N137,M137&lt;=Settings!$F$8),"Verified","Unverified"))</x:f>
      </x:c>
      <x:c r="P137" s="3" t="str">
        <x:f>IF(C137="","",IF(S137&lt;&gt;"Valid","Review",IF(O137="Verified","Closed",IF(J137="Closed","Closure pending",IF(OR(J137="Open",J137="In progress"),"Open","Review")))))</x:f>
      </x:c>
      <x:c r="Q137" s="9" t="str">
        <x:f>IF(C137="","",IF(AND(P137&lt;&gt;"Closed",ISNUMBER(I137),I137&lt;Settings!$F$8),"Overdue","Current"))</x:f>
      </x:c>
      <x:c r="R137" s="9" t="str">
        <x:f>IF(C137="","",IF(Q137="Overdue",Settings!$F$8-I137,0))</x:f>
      </x:c>
      <x:c r="S137" s="9" t="str">
        <x:f>IF(C137="","",IF(COUNTIF($C$9:$C$308,C137)&lt;&gt;1,"Duplicate ID",IF(COUNTIF(Borrowers!$C$9:$C$108,D137)&lt;&gt;1,"Borrower key",IF(OR(NOT(OR(E137="E&amp;S",E137="Taxonomy",E137="Climate",E137="Data")),NOT(OR(F137="Critical",F137="High",F137="Moderate",F137="Low")),NOT(OR(J137="Open",J137="In progress",J137="Closed")),G137="",H137="",NOT(ISNUMBER(I137)),NOT(ISNUMBER(N137)),I137&lt;N137,N137&gt;Settings!$F$8),"Incomplete","Valid"))))</x:f>
      </x:c>
      <x:c r="T137" s="9" t="str">
        <x:f>IF(C137="","",IFERROR(INDEX('Borrowers'!$D$9:$D$108,MATCH(D137,'Borrowers'!$C$9:$C$108,0)),""))</x:f>
      </x:c>
      <x:c r="U137" s="3" t="str">
        <x:f>IF(C137="","","S01 ESRMS I.4–9; bank decision policy")</x:f>
      </x:c>
    </x:row>
    <x:row r="138" ht="42" customHeight="1">
      <x:c r="A138" s="1"/>
      <x:c r="B138" s="1"/>
      <x:c r="C138" s="8"/>
      <x:c r="D138" s="8"/>
      <x:c r="E138" s="8"/>
      <x:c r="F138" s="8"/>
      <x:c r="G138" s="8"/>
      <x:c r="H138" s="8"/>
      <x:c r="I138" s="10"/>
      <x:c r="J138" s="8"/>
      <x:c r="K138" s="8"/>
      <x:c r="L138" s="8"/>
      <x:c r="M138" s="10"/>
      <x:c r="N138" s="10"/>
      <x:c r="O138" s="9" t="str">
        <x:f>IF(C138="","",IF(AND(S138="Valid",J138="Closed",K138&lt;&gt;"",L138&lt;&gt;"",L138&lt;&gt;H138,ISNUMBER(M138),M138&gt;=N138,M138&lt;=Settings!$F$8),"Verified","Unverified"))</x:f>
      </x:c>
      <x:c r="P138" s="3" t="str">
        <x:f>IF(C138="","",IF(S138&lt;&gt;"Valid","Review",IF(O138="Verified","Closed",IF(J138="Closed","Closure pending",IF(OR(J138="Open",J138="In progress"),"Open","Review")))))</x:f>
      </x:c>
      <x:c r="Q138" s="9" t="str">
        <x:f>IF(C138="","",IF(AND(P138&lt;&gt;"Closed",ISNUMBER(I138),I138&lt;Settings!$F$8),"Overdue","Current"))</x:f>
      </x:c>
      <x:c r="R138" s="9" t="str">
        <x:f>IF(C138="","",IF(Q138="Overdue",Settings!$F$8-I138,0))</x:f>
      </x:c>
      <x:c r="S138" s="9" t="str">
        <x:f>IF(C138="","",IF(COUNTIF($C$9:$C$308,C138)&lt;&gt;1,"Duplicate ID",IF(COUNTIF(Borrowers!$C$9:$C$108,D138)&lt;&gt;1,"Borrower key",IF(OR(NOT(OR(E138="E&amp;S",E138="Taxonomy",E138="Climate",E138="Data")),NOT(OR(F138="Critical",F138="High",F138="Moderate",F138="Low")),NOT(OR(J138="Open",J138="In progress",J138="Closed")),G138="",H138="",NOT(ISNUMBER(I138)),NOT(ISNUMBER(N138)),I138&lt;N138,N138&gt;Settings!$F$8),"Incomplete","Valid"))))</x:f>
      </x:c>
      <x:c r="T138" s="9" t="str">
        <x:f>IF(C138="","",IFERROR(INDEX('Borrowers'!$D$9:$D$108,MATCH(D138,'Borrowers'!$C$9:$C$108,0)),""))</x:f>
      </x:c>
      <x:c r="U138" s="3" t="str">
        <x:f>IF(C138="","","S01 ESRMS I.4–9; bank decision policy")</x:f>
      </x:c>
    </x:row>
    <x:row r="139" ht="42" customHeight="1">
      <x:c r="A139" s="1"/>
      <x:c r="B139" s="1"/>
      <x:c r="C139" s="8"/>
      <x:c r="D139" s="8"/>
      <x:c r="E139" s="8"/>
      <x:c r="F139" s="8"/>
      <x:c r="G139" s="8"/>
      <x:c r="H139" s="8"/>
      <x:c r="I139" s="10"/>
      <x:c r="J139" s="8"/>
      <x:c r="K139" s="8"/>
      <x:c r="L139" s="8"/>
      <x:c r="M139" s="10"/>
      <x:c r="N139" s="10"/>
      <x:c r="O139" s="9" t="str">
        <x:f>IF(C139="","",IF(AND(S139="Valid",J139="Closed",K139&lt;&gt;"",L139&lt;&gt;"",L139&lt;&gt;H139,ISNUMBER(M139),M139&gt;=N139,M139&lt;=Settings!$F$8),"Verified","Unverified"))</x:f>
      </x:c>
      <x:c r="P139" s="3" t="str">
        <x:f>IF(C139="","",IF(S139&lt;&gt;"Valid","Review",IF(O139="Verified","Closed",IF(J139="Closed","Closure pending",IF(OR(J139="Open",J139="In progress"),"Open","Review")))))</x:f>
      </x:c>
      <x:c r="Q139" s="9" t="str">
        <x:f>IF(C139="","",IF(AND(P139&lt;&gt;"Closed",ISNUMBER(I139),I139&lt;Settings!$F$8),"Overdue","Current"))</x:f>
      </x:c>
      <x:c r="R139" s="9" t="str">
        <x:f>IF(C139="","",IF(Q139="Overdue",Settings!$F$8-I139,0))</x:f>
      </x:c>
      <x:c r="S139" s="9" t="str">
        <x:f>IF(C139="","",IF(COUNTIF($C$9:$C$308,C139)&lt;&gt;1,"Duplicate ID",IF(COUNTIF(Borrowers!$C$9:$C$108,D139)&lt;&gt;1,"Borrower key",IF(OR(NOT(OR(E139="E&amp;S",E139="Taxonomy",E139="Climate",E139="Data")),NOT(OR(F139="Critical",F139="High",F139="Moderate",F139="Low")),NOT(OR(J139="Open",J139="In progress",J139="Closed")),G139="",H139="",NOT(ISNUMBER(I139)),NOT(ISNUMBER(N139)),I139&lt;N139,N139&gt;Settings!$F$8),"Incomplete","Valid"))))</x:f>
      </x:c>
      <x:c r="T139" s="9" t="str">
        <x:f>IF(C139="","",IFERROR(INDEX('Borrowers'!$D$9:$D$108,MATCH(D139,'Borrowers'!$C$9:$C$108,0)),""))</x:f>
      </x:c>
      <x:c r="U139" s="3" t="str">
        <x:f>IF(C139="","","S01 ESRMS I.4–9; bank decision policy")</x:f>
      </x:c>
    </x:row>
    <x:row r="140" ht="42" customHeight="1">
      <x:c r="A140" s="1"/>
      <x:c r="B140" s="1"/>
      <x:c r="C140" s="8"/>
      <x:c r="D140" s="8"/>
      <x:c r="E140" s="8"/>
      <x:c r="F140" s="8"/>
      <x:c r="G140" s="8"/>
      <x:c r="H140" s="8"/>
      <x:c r="I140" s="10"/>
      <x:c r="J140" s="8"/>
      <x:c r="K140" s="8"/>
      <x:c r="L140" s="8"/>
      <x:c r="M140" s="10"/>
      <x:c r="N140" s="10"/>
      <x:c r="O140" s="9" t="str">
        <x:f>IF(C140="","",IF(AND(S140="Valid",J140="Closed",K140&lt;&gt;"",L140&lt;&gt;"",L140&lt;&gt;H140,ISNUMBER(M140),M140&gt;=N140,M140&lt;=Settings!$F$8),"Verified","Unverified"))</x:f>
      </x:c>
      <x:c r="P140" s="3" t="str">
        <x:f>IF(C140="","",IF(S140&lt;&gt;"Valid","Review",IF(O140="Verified","Closed",IF(J140="Closed","Closure pending",IF(OR(J140="Open",J140="In progress"),"Open","Review")))))</x:f>
      </x:c>
      <x:c r="Q140" s="9" t="str">
        <x:f>IF(C140="","",IF(AND(P140&lt;&gt;"Closed",ISNUMBER(I140),I140&lt;Settings!$F$8),"Overdue","Current"))</x:f>
      </x:c>
      <x:c r="R140" s="9" t="str">
        <x:f>IF(C140="","",IF(Q140="Overdue",Settings!$F$8-I140,0))</x:f>
      </x:c>
      <x:c r="S140" s="9" t="str">
        <x:f>IF(C140="","",IF(COUNTIF($C$9:$C$308,C140)&lt;&gt;1,"Duplicate ID",IF(COUNTIF(Borrowers!$C$9:$C$108,D140)&lt;&gt;1,"Borrower key",IF(OR(NOT(OR(E140="E&amp;S",E140="Taxonomy",E140="Climate",E140="Data")),NOT(OR(F140="Critical",F140="High",F140="Moderate",F140="Low")),NOT(OR(J140="Open",J140="In progress",J140="Closed")),G140="",H140="",NOT(ISNUMBER(I140)),NOT(ISNUMBER(N140)),I140&lt;N140,N140&gt;Settings!$F$8),"Incomplete","Valid"))))</x:f>
      </x:c>
      <x:c r="T140" s="9" t="str">
        <x:f>IF(C140="","",IFERROR(INDEX('Borrowers'!$D$9:$D$108,MATCH(D140,'Borrowers'!$C$9:$C$108,0)),""))</x:f>
      </x:c>
      <x:c r="U140" s="3" t="str">
        <x:f>IF(C140="","","S01 ESRMS I.4–9; bank decision policy")</x:f>
      </x:c>
    </x:row>
    <x:row r="141" ht="42" customHeight="1">
      <x:c r="A141" s="1"/>
      <x:c r="B141" s="1"/>
      <x:c r="C141" s="8"/>
      <x:c r="D141" s="8"/>
      <x:c r="E141" s="8"/>
      <x:c r="F141" s="8"/>
      <x:c r="G141" s="8"/>
      <x:c r="H141" s="8"/>
      <x:c r="I141" s="10"/>
      <x:c r="J141" s="8"/>
      <x:c r="K141" s="8"/>
      <x:c r="L141" s="8"/>
      <x:c r="M141" s="10"/>
      <x:c r="N141" s="10"/>
      <x:c r="O141" s="9" t="str">
        <x:f>IF(C141="","",IF(AND(S141="Valid",J141="Closed",K141&lt;&gt;"",L141&lt;&gt;"",L141&lt;&gt;H141,ISNUMBER(M141),M141&gt;=N141,M141&lt;=Settings!$F$8),"Verified","Unverified"))</x:f>
      </x:c>
      <x:c r="P141" s="3" t="str">
        <x:f>IF(C141="","",IF(S141&lt;&gt;"Valid","Review",IF(O141="Verified","Closed",IF(J141="Closed","Closure pending",IF(OR(J141="Open",J141="In progress"),"Open","Review")))))</x:f>
      </x:c>
      <x:c r="Q141" s="9" t="str">
        <x:f>IF(C141="","",IF(AND(P141&lt;&gt;"Closed",ISNUMBER(I141),I141&lt;Settings!$F$8),"Overdue","Current"))</x:f>
      </x:c>
      <x:c r="R141" s="9" t="str">
        <x:f>IF(C141="","",IF(Q141="Overdue",Settings!$F$8-I141,0))</x:f>
      </x:c>
      <x:c r="S141" s="9" t="str">
        <x:f>IF(C141="","",IF(COUNTIF($C$9:$C$308,C141)&lt;&gt;1,"Duplicate ID",IF(COUNTIF(Borrowers!$C$9:$C$108,D141)&lt;&gt;1,"Borrower key",IF(OR(NOT(OR(E141="E&amp;S",E141="Taxonomy",E141="Climate",E141="Data")),NOT(OR(F141="Critical",F141="High",F141="Moderate",F141="Low")),NOT(OR(J141="Open",J141="In progress",J141="Closed")),G141="",H141="",NOT(ISNUMBER(I141)),NOT(ISNUMBER(N141)),I141&lt;N141,N141&gt;Settings!$F$8),"Incomplete","Valid"))))</x:f>
      </x:c>
      <x:c r="T141" s="9" t="str">
        <x:f>IF(C141="","",IFERROR(INDEX('Borrowers'!$D$9:$D$108,MATCH(D141,'Borrowers'!$C$9:$C$108,0)),""))</x:f>
      </x:c>
      <x:c r="U141" s="3" t="str">
        <x:f>IF(C141="","","S01 ESRMS I.4–9; bank decision policy")</x:f>
      </x:c>
    </x:row>
    <x:row r="142" ht="42" customHeight="1">
      <x:c r="A142" s="1"/>
      <x:c r="B142" s="1"/>
      <x:c r="C142" s="8"/>
      <x:c r="D142" s="8"/>
      <x:c r="E142" s="8"/>
      <x:c r="F142" s="8"/>
      <x:c r="G142" s="8"/>
      <x:c r="H142" s="8"/>
      <x:c r="I142" s="10"/>
      <x:c r="J142" s="8"/>
      <x:c r="K142" s="8"/>
      <x:c r="L142" s="8"/>
      <x:c r="M142" s="10"/>
      <x:c r="N142" s="10"/>
      <x:c r="O142" s="9" t="str">
        <x:f>IF(C142="","",IF(AND(S142="Valid",J142="Closed",K142&lt;&gt;"",L142&lt;&gt;"",L142&lt;&gt;H142,ISNUMBER(M142),M142&gt;=N142,M142&lt;=Settings!$F$8),"Verified","Unverified"))</x:f>
      </x:c>
      <x:c r="P142" s="3" t="str">
        <x:f>IF(C142="","",IF(S142&lt;&gt;"Valid","Review",IF(O142="Verified","Closed",IF(J142="Closed","Closure pending",IF(OR(J142="Open",J142="In progress"),"Open","Review")))))</x:f>
      </x:c>
      <x:c r="Q142" s="9" t="str">
        <x:f>IF(C142="","",IF(AND(P142&lt;&gt;"Closed",ISNUMBER(I142),I142&lt;Settings!$F$8),"Overdue","Current"))</x:f>
      </x:c>
      <x:c r="R142" s="9" t="str">
        <x:f>IF(C142="","",IF(Q142="Overdue",Settings!$F$8-I142,0))</x:f>
      </x:c>
      <x:c r="S142" s="9" t="str">
        <x:f>IF(C142="","",IF(COUNTIF($C$9:$C$308,C142)&lt;&gt;1,"Duplicate ID",IF(COUNTIF(Borrowers!$C$9:$C$108,D142)&lt;&gt;1,"Borrower key",IF(OR(NOT(OR(E142="E&amp;S",E142="Taxonomy",E142="Climate",E142="Data")),NOT(OR(F142="Critical",F142="High",F142="Moderate",F142="Low")),NOT(OR(J142="Open",J142="In progress",J142="Closed")),G142="",H142="",NOT(ISNUMBER(I142)),NOT(ISNUMBER(N142)),I142&lt;N142,N142&gt;Settings!$F$8),"Incomplete","Valid"))))</x:f>
      </x:c>
      <x:c r="T142" s="9" t="str">
        <x:f>IF(C142="","",IFERROR(INDEX('Borrowers'!$D$9:$D$108,MATCH(D142,'Borrowers'!$C$9:$C$108,0)),""))</x:f>
      </x:c>
      <x:c r="U142" s="3" t="str">
        <x:f>IF(C142="","","S01 ESRMS I.4–9; bank decision policy")</x:f>
      </x:c>
    </x:row>
    <x:row r="143" ht="42" customHeight="1">
      <x:c r="A143" s="1"/>
      <x:c r="B143" s="1"/>
      <x:c r="C143" s="8"/>
      <x:c r="D143" s="8"/>
      <x:c r="E143" s="8"/>
      <x:c r="F143" s="8"/>
      <x:c r="G143" s="8"/>
      <x:c r="H143" s="8"/>
      <x:c r="I143" s="10"/>
      <x:c r="J143" s="8"/>
      <x:c r="K143" s="8"/>
      <x:c r="L143" s="8"/>
      <x:c r="M143" s="10"/>
      <x:c r="N143" s="10"/>
      <x:c r="O143" s="9" t="str">
        <x:f>IF(C143="","",IF(AND(S143="Valid",J143="Closed",K143&lt;&gt;"",L143&lt;&gt;"",L143&lt;&gt;H143,ISNUMBER(M143),M143&gt;=N143,M143&lt;=Settings!$F$8),"Verified","Unverified"))</x:f>
      </x:c>
      <x:c r="P143" s="3" t="str">
        <x:f>IF(C143="","",IF(S143&lt;&gt;"Valid","Review",IF(O143="Verified","Closed",IF(J143="Closed","Closure pending",IF(OR(J143="Open",J143="In progress"),"Open","Review")))))</x:f>
      </x:c>
      <x:c r="Q143" s="9" t="str">
        <x:f>IF(C143="","",IF(AND(P143&lt;&gt;"Closed",ISNUMBER(I143),I143&lt;Settings!$F$8),"Overdue","Current"))</x:f>
      </x:c>
      <x:c r="R143" s="9" t="str">
        <x:f>IF(C143="","",IF(Q143="Overdue",Settings!$F$8-I143,0))</x:f>
      </x:c>
      <x:c r="S143" s="9" t="str">
        <x:f>IF(C143="","",IF(COUNTIF($C$9:$C$308,C143)&lt;&gt;1,"Duplicate ID",IF(COUNTIF(Borrowers!$C$9:$C$108,D143)&lt;&gt;1,"Borrower key",IF(OR(NOT(OR(E143="E&amp;S",E143="Taxonomy",E143="Climate",E143="Data")),NOT(OR(F143="Critical",F143="High",F143="Moderate",F143="Low")),NOT(OR(J143="Open",J143="In progress",J143="Closed")),G143="",H143="",NOT(ISNUMBER(I143)),NOT(ISNUMBER(N143)),I143&lt;N143,N143&gt;Settings!$F$8),"Incomplete","Valid"))))</x:f>
      </x:c>
      <x:c r="T143" s="9" t="str">
        <x:f>IF(C143="","",IFERROR(INDEX('Borrowers'!$D$9:$D$108,MATCH(D143,'Borrowers'!$C$9:$C$108,0)),""))</x:f>
      </x:c>
      <x:c r="U143" s="3" t="str">
        <x:f>IF(C143="","","S01 ESRMS I.4–9; bank decision policy")</x:f>
      </x:c>
    </x:row>
    <x:row r="144" ht="42" customHeight="1">
      <x:c r="A144" s="1"/>
      <x:c r="B144" s="1"/>
      <x:c r="C144" s="8"/>
      <x:c r="D144" s="8"/>
      <x:c r="E144" s="8"/>
      <x:c r="F144" s="8"/>
      <x:c r="G144" s="8"/>
      <x:c r="H144" s="8"/>
      <x:c r="I144" s="10"/>
      <x:c r="J144" s="8"/>
      <x:c r="K144" s="8"/>
      <x:c r="L144" s="8"/>
      <x:c r="M144" s="10"/>
      <x:c r="N144" s="10"/>
      <x:c r="O144" s="9" t="str">
        <x:f>IF(C144="","",IF(AND(S144="Valid",J144="Closed",K144&lt;&gt;"",L144&lt;&gt;"",L144&lt;&gt;H144,ISNUMBER(M144),M144&gt;=N144,M144&lt;=Settings!$F$8),"Verified","Unverified"))</x:f>
      </x:c>
      <x:c r="P144" s="3" t="str">
        <x:f>IF(C144="","",IF(S144&lt;&gt;"Valid","Review",IF(O144="Verified","Closed",IF(J144="Closed","Closure pending",IF(OR(J144="Open",J144="In progress"),"Open","Review")))))</x:f>
      </x:c>
      <x:c r="Q144" s="9" t="str">
        <x:f>IF(C144="","",IF(AND(P144&lt;&gt;"Closed",ISNUMBER(I144),I144&lt;Settings!$F$8),"Overdue","Current"))</x:f>
      </x:c>
      <x:c r="R144" s="9" t="str">
        <x:f>IF(C144="","",IF(Q144="Overdue",Settings!$F$8-I144,0))</x:f>
      </x:c>
      <x:c r="S144" s="9" t="str">
        <x:f>IF(C144="","",IF(COUNTIF($C$9:$C$308,C144)&lt;&gt;1,"Duplicate ID",IF(COUNTIF(Borrowers!$C$9:$C$108,D144)&lt;&gt;1,"Borrower key",IF(OR(NOT(OR(E144="E&amp;S",E144="Taxonomy",E144="Climate",E144="Data")),NOT(OR(F144="Critical",F144="High",F144="Moderate",F144="Low")),NOT(OR(J144="Open",J144="In progress",J144="Closed")),G144="",H144="",NOT(ISNUMBER(I144)),NOT(ISNUMBER(N144)),I144&lt;N144,N144&gt;Settings!$F$8),"Incomplete","Valid"))))</x:f>
      </x:c>
      <x:c r="T144" s="9" t="str">
        <x:f>IF(C144="","",IFERROR(INDEX('Borrowers'!$D$9:$D$108,MATCH(D144,'Borrowers'!$C$9:$C$108,0)),""))</x:f>
      </x:c>
      <x:c r="U144" s="3" t="str">
        <x:f>IF(C144="","","S01 ESRMS I.4–9; bank decision policy")</x:f>
      </x:c>
    </x:row>
    <x:row r="145" ht="42" customHeight="1">
      <x:c r="A145" s="1"/>
      <x:c r="B145" s="1"/>
      <x:c r="C145" s="8"/>
      <x:c r="D145" s="8"/>
      <x:c r="E145" s="8"/>
      <x:c r="F145" s="8"/>
      <x:c r="G145" s="8"/>
      <x:c r="H145" s="8"/>
      <x:c r="I145" s="10"/>
      <x:c r="J145" s="8"/>
      <x:c r="K145" s="8"/>
      <x:c r="L145" s="8"/>
      <x:c r="M145" s="10"/>
      <x:c r="N145" s="10"/>
      <x:c r="O145" s="9" t="str">
        <x:f>IF(C145="","",IF(AND(S145="Valid",J145="Closed",K145&lt;&gt;"",L145&lt;&gt;"",L145&lt;&gt;H145,ISNUMBER(M145),M145&gt;=N145,M145&lt;=Settings!$F$8),"Verified","Unverified"))</x:f>
      </x:c>
      <x:c r="P145" s="3" t="str">
        <x:f>IF(C145="","",IF(S145&lt;&gt;"Valid","Review",IF(O145="Verified","Closed",IF(J145="Closed","Closure pending",IF(OR(J145="Open",J145="In progress"),"Open","Review")))))</x:f>
      </x:c>
      <x:c r="Q145" s="9" t="str">
        <x:f>IF(C145="","",IF(AND(P145&lt;&gt;"Closed",ISNUMBER(I145),I145&lt;Settings!$F$8),"Overdue","Current"))</x:f>
      </x:c>
      <x:c r="R145" s="9" t="str">
        <x:f>IF(C145="","",IF(Q145="Overdue",Settings!$F$8-I145,0))</x:f>
      </x:c>
      <x:c r="S145" s="9" t="str">
        <x:f>IF(C145="","",IF(COUNTIF($C$9:$C$308,C145)&lt;&gt;1,"Duplicate ID",IF(COUNTIF(Borrowers!$C$9:$C$108,D145)&lt;&gt;1,"Borrower key",IF(OR(NOT(OR(E145="E&amp;S",E145="Taxonomy",E145="Climate",E145="Data")),NOT(OR(F145="Critical",F145="High",F145="Moderate",F145="Low")),NOT(OR(J145="Open",J145="In progress",J145="Closed")),G145="",H145="",NOT(ISNUMBER(I145)),NOT(ISNUMBER(N145)),I145&lt;N145,N145&gt;Settings!$F$8),"Incomplete","Valid"))))</x:f>
      </x:c>
      <x:c r="T145" s="9" t="str">
        <x:f>IF(C145="","",IFERROR(INDEX('Borrowers'!$D$9:$D$108,MATCH(D145,'Borrowers'!$C$9:$C$108,0)),""))</x:f>
      </x:c>
      <x:c r="U145" s="3" t="str">
        <x:f>IF(C145="","","S01 ESRMS I.4–9; bank decision policy")</x:f>
      </x:c>
    </x:row>
    <x:row r="146" ht="42" customHeight="1">
      <x:c r="A146" s="1"/>
      <x:c r="B146" s="1"/>
      <x:c r="C146" s="8"/>
      <x:c r="D146" s="8"/>
      <x:c r="E146" s="8"/>
      <x:c r="F146" s="8"/>
      <x:c r="G146" s="8"/>
      <x:c r="H146" s="8"/>
      <x:c r="I146" s="10"/>
      <x:c r="J146" s="8"/>
      <x:c r="K146" s="8"/>
      <x:c r="L146" s="8"/>
      <x:c r="M146" s="10"/>
      <x:c r="N146" s="10"/>
      <x:c r="O146" s="9" t="str">
        <x:f>IF(C146="","",IF(AND(S146="Valid",J146="Closed",K146&lt;&gt;"",L146&lt;&gt;"",L146&lt;&gt;H146,ISNUMBER(M146),M146&gt;=N146,M146&lt;=Settings!$F$8),"Verified","Unverified"))</x:f>
      </x:c>
      <x:c r="P146" s="3" t="str">
        <x:f>IF(C146="","",IF(S146&lt;&gt;"Valid","Review",IF(O146="Verified","Closed",IF(J146="Closed","Closure pending",IF(OR(J146="Open",J146="In progress"),"Open","Review")))))</x:f>
      </x:c>
      <x:c r="Q146" s="9" t="str">
        <x:f>IF(C146="","",IF(AND(P146&lt;&gt;"Closed",ISNUMBER(I146),I146&lt;Settings!$F$8),"Overdue","Current"))</x:f>
      </x:c>
      <x:c r="R146" s="9" t="str">
        <x:f>IF(C146="","",IF(Q146="Overdue",Settings!$F$8-I146,0))</x:f>
      </x:c>
      <x:c r="S146" s="9" t="str">
        <x:f>IF(C146="","",IF(COUNTIF($C$9:$C$308,C146)&lt;&gt;1,"Duplicate ID",IF(COUNTIF(Borrowers!$C$9:$C$108,D146)&lt;&gt;1,"Borrower key",IF(OR(NOT(OR(E146="E&amp;S",E146="Taxonomy",E146="Climate",E146="Data")),NOT(OR(F146="Critical",F146="High",F146="Moderate",F146="Low")),NOT(OR(J146="Open",J146="In progress",J146="Closed")),G146="",H146="",NOT(ISNUMBER(I146)),NOT(ISNUMBER(N146)),I146&lt;N146,N146&gt;Settings!$F$8),"Incomplete","Valid"))))</x:f>
      </x:c>
      <x:c r="T146" s="9" t="str">
        <x:f>IF(C146="","",IFERROR(INDEX('Borrowers'!$D$9:$D$108,MATCH(D146,'Borrowers'!$C$9:$C$108,0)),""))</x:f>
      </x:c>
      <x:c r="U146" s="3" t="str">
        <x:f>IF(C146="","","S01 ESRMS I.4–9; bank decision policy")</x:f>
      </x:c>
    </x:row>
    <x:row r="147" ht="42" customHeight="1">
      <x:c r="A147" s="1"/>
      <x:c r="B147" s="1"/>
      <x:c r="C147" s="8"/>
      <x:c r="D147" s="8"/>
      <x:c r="E147" s="8"/>
      <x:c r="F147" s="8"/>
      <x:c r="G147" s="8"/>
      <x:c r="H147" s="8"/>
      <x:c r="I147" s="10"/>
      <x:c r="J147" s="8"/>
      <x:c r="K147" s="8"/>
      <x:c r="L147" s="8"/>
      <x:c r="M147" s="10"/>
      <x:c r="N147" s="10"/>
      <x:c r="O147" s="9" t="str">
        <x:f>IF(C147="","",IF(AND(S147="Valid",J147="Closed",K147&lt;&gt;"",L147&lt;&gt;"",L147&lt;&gt;H147,ISNUMBER(M147),M147&gt;=N147,M147&lt;=Settings!$F$8),"Verified","Unverified"))</x:f>
      </x:c>
      <x:c r="P147" s="3" t="str">
        <x:f>IF(C147="","",IF(S147&lt;&gt;"Valid","Review",IF(O147="Verified","Closed",IF(J147="Closed","Closure pending",IF(OR(J147="Open",J147="In progress"),"Open","Review")))))</x:f>
      </x:c>
      <x:c r="Q147" s="9" t="str">
        <x:f>IF(C147="","",IF(AND(P147&lt;&gt;"Closed",ISNUMBER(I147),I147&lt;Settings!$F$8),"Overdue","Current"))</x:f>
      </x:c>
      <x:c r="R147" s="9" t="str">
        <x:f>IF(C147="","",IF(Q147="Overdue",Settings!$F$8-I147,0))</x:f>
      </x:c>
      <x:c r="S147" s="9" t="str">
        <x:f>IF(C147="","",IF(COUNTIF($C$9:$C$308,C147)&lt;&gt;1,"Duplicate ID",IF(COUNTIF(Borrowers!$C$9:$C$108,D147)&lt;&gt;1,"Borrower key",IF(OR(NOT(OR(E147="E&amp;S",E147="Taxonomy",E147="Climate",E147="Data")),NOT(OR(F147="Critical",F147="High",F147="Moderate",F147="Low")),NOT(OR(J147="Open",J147="In progress",J147="Closed")),G147="",H147="",NOT(ISNUMBER(I147)),NOT(ISNUMBER(N147)),I147&lt;N147,N147&gt;Settings!$F$8),"Incomplete","Valid"))))</x:f>
      </x:c>
      <x:c r="T147" s="9" t="str">
        <x:f>IF(C147="","",IFERROR(INDEX('Borrowers'!$D$9:$D$108,MATCH(D147,'Borrowers'!$C$9:$C$108,0)),""))</x:f>
      </x:c>
      <x:c r="U147" s="3" t="str">
        <x:f>IF(C147="","","S01 ESRMS I.4–9; bank decision policy")</x:f>
      </x:c>
    </x:row>
    <x:row r="148" ht="42" customHeight="1">
      <x:c r="A148" s="1"/>
      <x:c r="B148" s="1"/>
      <x:c r="C148" s="8"/>
      <x:c r="D148" s="8"/>
      <x:c r="E148" s="8"/>
      <x:c r="F148" s="8"/>
      <x:c r="G148" s="8"/>
      <x:c r="H148" s="8"/>
      <x:c r="I148" s="10"/>
      <x:c r="J148" s="8"/>
      <x:c r="K148" s="8"/>
      <x:c r="L148" s="8"/>
      <x:c r="M148" s="10"/>
      <x:c r="N148" s="10"/>
      <x:c r="O148" s="9" t="str">
        <x:f>IF(C148="","",IF(AND(S148="Valid",J148="Closed",K148&lt;&gt;"",L148&lt;&gt;"",L148&lt;&gt;H148,ISNUMBER(M148),M148&gt;=N148,M148&lt;=Settings!$F$8),"Verified","Unverified"))</x:f>
      </x:c>
      <x:c r="P148" s="3" t="str">
        <x:f>IF(C148="","",IF(S148&lt;&gt;"Valid","Review",IF(O148="Verified","Closed",IF(J148="Closed","Closure pending",IF(OR(J148="Open",J148="In progress"),"Open","Review")))))</x:f>
      </x:c>
      <x:c r="Q148" s="9" t="str">
        <x:f>IF(C148="","",IF(AND(P148&lt;&gt;"Closed",ISNUMBER(I148),I148&lt;Settings!$F$8),"Overdue","Current"))</x:f>
      </x:c>
      <x:c r="R148" s="9" t="str">
        <x:f>IF(C148="","",IF(Q148="Overdue",Settings!$F$8-I148,0))</x:f>
      </x:c>
      <x:c r="S148" s="9" t="str">
        <x:f>IF(C148="","",IF(COUNTIF($C$9:$C$308,C148)&lt;&gt;1,"Duplicate ID",IF(COUNTIF(Borrowers!$C$9:$C$108,D148)&lt;&gt;1,"Borrower key",IF(OR(NOT(OR(E148="E&amp;S",E148="Taxonomy",E148="Climate",E148="Data")),NOT(OR(F148="Critical",F148="High",F148="Moderate",F148="Low")),NOT(OR(J148="Open",J148="In progress",J148="Closed")),G148="",H148="",NOT(ISNUMBER(I148)),NOT(ISNUMBER(N148)),I148&lt;N148,N148&gt;Settings!$F$8),"Incomplete","Valid"))))</x:f>
      </x:c>
      <x:c r="T148" s="9" t="str">
        <x:f>IF(C148="","",IFERROR(INDEX('Borrowers'!$D$9:$D$108,MATCH(D148,'Borrowers'!$C$9:$C$108,0)),""))</x:f>
      </x:c>
      <x:c r="U148" s="3" t="str">
        <x:f>IF(C148="","","S01 ESRMS I.4–9; bank decision policy")</x:f>
      </x:c>
    </x:row>
    <x:row r="149" ht="42" customHeight="1">
      <x:c r="A149" s="1"/>
      <x:c r="B149" s="1"/>
      <x:c r="C149" s="8"/>
      <x:c r="D149" s="8"/>
      <x:c r="E149" s="8"/>
      <x:c r="F149" s="8"/>
      <x:c r="G149" s="8"/>
      <x:c r="H149" s="8"/>
      <x:c r="I149" s="10"/>
      <x:c r="J149" s="8"/>
      <x:c r="K149" s="8"/>
      <x:c r="L149" s="8"/>
      <x:c r="M149" s="10"/>
      <x:c r="N149" s="10"/>
      <x:c r="O149" s="9" t="str">
        <x:f>IF(C149="","",IF(AND(S149="Valid",J149="Closed",K149&lt;&gt;"",L149&lt;&gt;"",L149&lt;&gt;H149,ISNUMBER(M149),M149&gt;=N149,M149&lt;=Settings!$F$8),"Verified","Unverified"))</x:f>
      </x:c>
      <x:c r="P149" s="3" t="str">
        <x:f>IF(C149="","",IF(S149&lt;&gt;"Valid","Review",IF(O149="Verified","Closed",IF(J149="Closed","Closure pending",IF(OR(J149="Open",J149="In progress"),"Open","Review")))))</x:f>
      </x:c>
      <x:c r="Q149" s="9" t="str">
        <x:f>IF(C149="","",IF(AND(P149&lt;&gt;"Closed",ISNUMBER(I149),I149&lt;Settings!$F$8),"Overdue","Current"))</x:f>
      </x:c>
      <x:c r="R149" s="9" t="str">
        <x:f>IF(C149="","",IF(Q149="Overdue",Settings!$F$8-I149,0))</x:f>
      </x:c>
      <x:c r="S149" s="9" t="str">
        <x:f>IF(C149="","",IF(COUNTIF($C$9:$C$308,C149)&lt;&gt;1,"Duplicate ID",IF(COUNTIF(Borrowers!$C$9:$C$108,D149)&lt;&gt;1,"Borrower key",IF(OR(NOT(OR(E149="E&amp;S",E149="Taxonomy",E149="Climate",E149="Data")),NOT(OR(F149="Critical",F149="High",F149="Moderate",F149="Low")),NOT(OR(J149="Open",J149="In progress",J149="Closed")),G149="",H149="",NOT(ISNUMBER(I149)),NOT(ISNUMBER(N149)),I149&lt;N149,N149&gt;Settings!$F$8),"Incomplete","Valid"))))</x:f>
      </x:c>
      <x:c r="T149" s="9" t="str">
        <x:f>IF(C149="","",IFERROR(INDEX('Borrowers'!$D$9:$D$108,MATCH(D149,'Borrowers'!$C$9:$C$108,0)),""))</x:f>
      </x:c>
      <x:c r="U149" s="3" t="str">
        <x:f>IF(C149="","","S01 ESRMS I.4–9; bank decision policy")</x:f>
      </x:c>
    </x:row>
    <x:row r="150" ht="42" customHeight="1">
      <x:c r="A150" s="1"/>
      <x:c r="B150" s="1"/>
      <x:c r="C150" s="8"/>
      <x:c r="D150" s="8"/>
      <x:c r="E150" s="8"/>
      <x:c r="F150" s="8"/>
      <x:c r="G150" s="8"/>
      <x:c r="H150" s="8"/>
      <x:c r="I150" s="10"/>
      <x:c r="J150" s="8"/>
      <x:c r="K150" s="8"/>
      <x:c r="L150" s="8"/>
      <x:c r="M150" s="10"/>
      <x:c r="N150" s="10"/>
      <x:c r="O150" s="9" t="str">
        <x:f>IF(C150="","",IF(AND(S150="Valid",J150="Closed",K150&lt;&gt;"",L150&lt;&gt;"",L150&lt;&gt;H150,ISNUMBER(M150),M150&gt;=N150,M150&lt;=Settings!$F$8),"Verified","Unverified"))</x:f>
      </x:c>
      <x:c r="P150" s="3" t="str">
        <x:f>IF(C150="","",IF(S150&lt;&gt;"Valid","Review",IF(O150="Verified","Closed",IF(J150="Closed","Closure pending",IF(OR(J150="Open",J150="In progress"),"Open","Review")))))</x:f>
      </x:c>
      <x:c r="Q150" s="9" t="str">
        <x:f>IF(C150="","",IF(AND(P150&lt;&gt;"Closed",ISNUMBER(I150),I150&lt;Settings!$F$8),"Overdue","Current"))</x:f>
      </x:c>
      <x:c r="R150" s="9" t="str">
        <x:f>IF(C150="","",IF(Q150="Overdue",Settings!$F$8-I150,0))</x:f>
      </x:c>
      <x:c r="S150" s="9" t="str">
        <x:f>IF(C150="","",IF(COUNTIF($C$9:$C$308,C150)&lt;&gt;1,"Duplicate ID",IF(COUNTIF(Borrowers!$C$9:$C$108,D150)&lt;&gt;1,"Borrower key",IF(OR(NOT(OR(E150="E&amp;S",E150="Taxonomy",E150="Climate",E150="Data")),NOT(OR(F150="Critical",F150="High",F150="Moderate",F150="Low")),NOT(OR(J150="Open",J150="In progress",J150="Closed")),G150="",H150="",NOT(ISNUMBER(I150)),NOT(ISNUMBER(N150)),I150&lt;N150,N150&gt;Settings!$F$8),"Incomplete","Valid"))))</x:f>
      </x:c>
      <x:c r="T150" s="9" t="str">
        <x:f>IF(C150="","",IFERROR(INDEX('Borrowers'!$D$9:$D$108,MATCH(D150,'Borrowers'!$C$9:$C$108,0)),""))</x:f>
      </x:c>
      <x:c r="U150" s="3" t="str">
        <x:f>IF(C150="","","S01 ESRMS I.4–9; bank decision policy")</x:f>
      </x:c>
    </x:row>
    <x:row r="151" ht="42" customHeight="1">
      <x:c r="A151" s="1"/>
      <x:c r="B151" s="1"/>
      <x:c r="C151" s="8"/>
      <x:c r="D151" s="8"/>
      <x:c r="E151" s="8"/>
      <x:c r="F151" s="8"/>
      <x:c r="G151" s="8"/>
      <x:c r="H151" s="8"/>
      <x:c r="I151" s="10"/>
      <x:c r="J151" s="8"/>
      <x:c r="K151" s="8"/>
      <x:c r="L151" s="8"/>
      <x:c r="M151" s="10"/>
      <x:c r="N151" s="10"/>
      <x:c r="O151" s="9" t="str">
        <x:f>IF(C151="","",IF(AND(S151="Valid",J151="Closed",K151&lt;&gt;"",L151&lt;&gt;"",L151&lt;&gt;H151,ISNUMBER(M151),M151&gt;=N151,M151&lt;=Settings!$F$8),"Verified","Unverified"))</x:f>
      </x:c>
      <x:c r="P151" s="3" t="str">
        <x:f>IF(C151="","",IF(S151&lt;&gt;"Valid","Review",IF(O151="Verified","Closed",IF(J151="Closed","Closure pending",IF(OR(J151="Open",J151="In progress"),"Open","Review")))))</x:f>
      </x:c>
      <x:c r="Q151" s="9" t="str">
        <x:f>IF(C151="","",IF(AND(P151&lt;&gt;"Closed",ISNUMBER(I151),I151&lt;Settings!$F$8),"Overdue","Current"))</x:f>
      </x:c>
      <x:c r="R151" s="9" t="str">
        <x:f>IF(C151="","",IF(Q151="Overdue",Settings!$F$8-I151,0))</x:f>
      </x:c>
      <x:c r="S151" s="9" t="str">
        <x:f>IF(C151="","",IF(COUNTIF($C$9:$C$308,C151)&lt;&gt;1,"Duplicate ID",IF(COUNTIF(Borrowers!$C$9:$C$108,D151)&lt;&gt;1,"Borrower key",IF(OR(NOT(OR(E151="E&amp;S",E151="Taxonomy",E151="Climate",E151="Data")),NOT(OR(F151="Critical",F151="High",F151="Moderate",F151="Low")),NOT(OR(J151="Open",J151="In progress",J151="Closed")),G151="",H151="",NOT(ISNUMBER(I151)),NOT(ISNUMBER(N151)),I151&lt;N151,N151&gt;Settings!$F$8),"Incomplete","Valid"))))</x:f>
      </x:c>
      <x:c r="T151" s="9" t="str">
        <x:f>IF(C151="","",IFERROR(INDEX('Borrowers'!$D$9:$D$108,MATCH(D151,'Borrowers'!$C$9:$C$108,0)),""))</x:f>
      </x:c>
      <x:c r="U151" s="3" t="str">
        <x:f>IF(C151="","","S01 ESRMS I.4–9; bank decision policy")</x:f>
      </x:c>
    </x:row>
    <x:row r="152" ht="42" customHeight="1">
      <x:c r="A152" s="1"/>
      <x:c r="B152" s="1"/>
      <x:c r="C152" s="8"/>
      <x:c r="D152" s="8"/>
      <x:c r="E152" s="8"/>
      <x:c r="F152" s="8"/>
      <x:c r="G152" s="8"/>
      <x:c r="H152" s="8"/>
      <x:c r="I152" s="10"/>
      <x:c r="J152" s="8"/>
      <x:c r="K152" s="8"/>
      <x:c r="L152" s="8"/>
      <x:c r="M152" s="10"/>
      <x:c r="N152" s="10"/>
      <x:c r="O152" s="9" t="str">
        <x:f>IF(C152="","",IF(AND(S152="Valid",J152="Closed",K152&lt;&gt;"",L152&lt;&gt;"",L152&lt;&gt;H152,ISNUMBER(M152),M152&gt;=N152,M152&lt;=Settings!$F$8),"Verified","Unverified"))</x:f>
      </x:c>
      <x:c r="P152" s="3" t="str">
        <x:f>IF(C152="","",IF(S152&lt;&gt;"Valid","Review",IF(O152="Verified","Closed",IF(J152="Closed","Closure pending",IF(OR(J152="Open",J152="In progress"),"Open","Review")))))</x:f>
      </x:c>
      <x:c r="Q152" s="9" t="str">
        <x:f>IF(C152="","",IF(AND(P152&lt;&gt;"Closed",ISNUMBER(I152),I152&lt;Settings!$F$8),"Overdue","Current"))</x:f>
      </x:c>
      <x:c r="R152" s="9" t="str">
        <x:f>IF(C152="","",IF(Q152="Overdue",Settings!$F$8-I152,0))</x:f>
      </x:c>
      <x:c r="S152" s="9" t="str">
        <x:f>IF(C152="","",IF(COUNTIF($C$9:$C$308,C152)&lt;&gt;1,"Duplicate ID",IF(COUNTIF(Borrowers!$C$9:$C$108,D152)&lt;&gt;1,"Borrower key",IF(OR(NOT(OR(E152="E&amp;S",E152="Taxonomy",E152="Climate",E152="Data")),NOT(OR(F152="Critical",F152="High",F152="Moderate",F152="Low")),NOT(OR(J152="Open",J152="In progress",J152="Closed")),G152="",H152="",NOT(ISNUMBER(I152)),NOT(ISNUMBER(N152)),I152&lt;N152,N152&gt;Settings!$F$8),"Incomplete","Valid"))))</x:f>
      </x:c>
      <x:c r="T152" s="9" t="str">
        <x:f>IF(C152="","",IFERROR(INDEX('Borrowers'!$D$9:$D$108,MATCH(D152,'Borrowers'!$C$9:$C$108,0)),""))</x:f>
      </x:c>
      <x:c r="U152" s="3" t="str">
        <x:f>IF(C152="","","S01 ESRMS I.4–9; bank decision policy")</x:f>
      </x:c>
    </x:row>
    <x:row r="153" ht="42" customHeight="1">
      <x:c r="A153" s="1"/>
      <x:c r="B153" s="1"/>
      <x:c r="C153" s="8"/>
      <x:c r="D153" s="8"/>
      <x:c r="E153" s="8"/>
      <x:c r="F153" s="8"/>
      <x:c r="G153" s="8"/>
      <x:c r="H153" s="8"/>
      <x:c r="I153" s="10"/>
      <x:c r="J153" s="8"/>
      <x:c r="K153" s="8"/>
      <x:c r="L153" s="8"/>
      <x:c r="M153" s="10"/>
      <x:c r="N153" s="10"/>
      <x:c r="O153" s="9" t="str">
        <x:f>IF(C153="","",IF(AND(S153="Valid",J153="Closed",K153&lt;&gt;"",L153&lt;&gt;"",L153&lt;&gt;H153,ISNUMBER(M153),M153&gt;=N153,M153&lt;=Settings!$F$8),"Verified","Unverified"))</x:f>
      </x:c>
      <x:c r="P153" s="3" t="str">
        <x:f>IF(C153="","",IF(S153&lt;&gt;"Valid","Review",IF(O153="Verified","Closed",IF(J153="Closed","Closure pending",IF(OR(J153="Open",J153="In progress"),"Open","Review")))))</x:f>
      </x:c>
      <x:c r="Q153" s="9" t="str">
        <x:f>IF(C153="","",IF(AND(P153&lt;&gt;"Closed",ISNUMBER(I153),I153&lt;Settings!$F$8),"Overdue","Current"))</x:f>
      </x:c>
      <x:c r="R153" s="9" t="str">
        <x:f>IF(C153="","",IF(Q153="Overdue",Settings!$F$8-I153,0))</x:f>
      </x:c>
      <x:c r="S153" s="9" t="str">
        <x:f>IF(C153="","",IF(COUNTIF($C$9:$C$308,C153)&lt;&gt;1,"Duplicate ID",IF(COUNTIF(Borrowers!$C$9:$C$108,D153)&lt;&gt;1,"Borrower key",IF(OR(NOT(OR(E153="E&amp;S",E153="Taxonomy",E153="Climate",E153="Data")),NOT(OR(F153="Critical",F153="High",F153="Moderate",F153="Low")),NOT(OR(J153="Open",J153="In progress",J153="Closed")),G153="",H153="",NOT(ISNUMBER(I153)),NOT(ISNUMBER(N153)),I153&lt;N153,N153&gt;Settings!$F$8),"Incomplete","Valid"))))</x:f>
      </x:c>
      <x:c r="T153" s="9" t="str">
        <x:f>IF(C153="","",IFERROR(INDEX('Borrowers'!$D$9:$D$108,MATCH(D153,'Borrowers'!$C$9:$C$108,0)),""))</x:f>
      </x:c>
      <x:c r="U153" s="3" t="str">
        <x:f>IF(C153="","","S01 ESRMS I.4–9; bank decision policy")</x:f>
      </x:c>
    </x:row>
    <x:row r="154" ht="42" customHeight="1">
      <x:c r="A154" s="1"/>
      <x:c r="B154" s="1"/>
      <x:c r="C154" s="8"/>
      <x:c r="D154" s="8"/>
      <x:c r="E154" s="8"/>
      <x:c r="F154" s="8"/>
      <x:c r="G154" s="8"/>
      <x:c r="H154" s="8"/>
      <x:c r="I154" s="10"/>
      <x:c r="J154" s="8"/>
      <x:c r="K154" s="8"/>
      <x:c r="L154" s="8"/>
      <x:c r="M154" s="10"/>
      <x:c r="N154" s="10"/>
      <x:c r="O154" s="9" t="str">
        <x:f>IF(C154="","",IF(AND(S154="Valid",J154="Closed",K154&lt;&gt;"",L154&lt;&gt;"",L154&lt;&gt;H154,ISNUMBER(M154),M154&gt;=N154,M154&lt;=Settings!$F$8),"Verified","Unverified"))</x:f>
      </x:c>
      <x:c r="P154" s="3" t="str">
        <x:f>IF(C154="","",IF(S154&lt;&gt;"Valid","Review",IF(O154="Verified","Closed",IF(J154="Closed","Closure pending",IF(OR(J154="Open",J154="In progress"),"Open","Review")))))</x:f>
      </x:c>
      <x:c r="Q154" s="9" t="str">
        <x:f>IF(C154="","",IF(AND(P154&lt;&gt;"Closed",ISNUMBER(I154),I154&lt;Settings!$F$8),"Overdue","Current"))</x:f>
      </x:c>
      <x:c r="R154" s="9" t="str">
        <x:f>IF(C154="","",IF(Q154="Overdue",Settings!$F$8-I154,0))</x:f>
      </x:c>
      <x:c r="S154" s="9" t="str">
        <x:f>IF(C154="","",IF(COUNTIF($C$9:$C$308,C154)&lt;&gt;1,"Duplicate ID",IF(COUNTIF(Borrowers!$C$9:$C$108,D154)&lt;&gt;1,"Borrower key",IF(OR(NOT(OR(E154="E&amp;S",E154="Taxonomy",E154="Climate",E154="Data")),NOT(OR(F154="Critical",F154="High",F154="Moderate",F154="Low")),NOT(OR(J154="Open",J154="In progress",J154="Closed")),G154="",H154="",NOT(ISNUMBER(I154)),NOT(ISNUMBER(N154)),I154&lt;N154,N154&gt;Settings!$F$8),"Incomplete","Valid"))))</x:f>
      </x:c>
      <x:c r="T154" s="9" t="str">
        <x:f>IF(C154="","",IFERROR(INDEX('Borrowers'!$D$9:$D$108,MATCH(D154,'Borrowers'!$C$9:$C$108,0)),""))</x:f>
      </x:c>
      <x:c r="U154" s="3" t="str">
        <x:f>IF(C154="","","S01 ESRMS I.4–9; bank decision policy")</x:f>
      </x:c>
    </x:row>
    <x:row r="155" ht="42" customHeight="1">
      <x:c r="A155" s="1"/>
      <x:c r="B155" s="1"/>
      <x:c r="C155" s="8"/>
      <x:c r="D155" s="8"/>
      <x:c r="E155" s="8"/>
      <x:c r="F155" s="8"/>
      <x:c r="G155" s="8"/>
      <x:c r="H155" s="8"/>
      <x:c r="I155" s="10"/>
      <x:c r="J155" s="8"/>
      <x:c r="K155" s="8"/>
      <x:c r="L155" s="8"/>
      <x:c r="M155" s="10"/>
      <x:c r="N155" s="10"/>
      <x:c r="O155" s="9" t="str">
        <x:f>IF(C155="","",IF(AND(S155="Valid",J155="Closed",K155&lt;&gt;"",L155&lt;&gt;"",L155&lt;&gt;H155,ISNUMBER(M155),M155&gt;=N155,M155&lt;=Settings!$F$8),"Verified","Unverified"))</x:f>
      </x:c>
      <x:c r="P155" s="3" t="str">
        <x:f>IF(C155="","",IF(S155&lt;&gt;"Valid","Review",IF(O155="Verified","Closed",IF(J155="Closed","Closure pending",IF(OR(J155="Open",J155="In progress"),"Open","Review")))))</x:f>
      </x:c>
      <x:c r="Q155" s="9" t="str">
        <x:f>IF(C155="","",IF(AND(P155&lt;&gt;"Closed",ISNUMBER(I155),I155&lt;Settings!$F$8),"Overdue","Current"))</x:f>
      </x:c>
      <x:c r="R155" s="9" t="str">
        <x:f>IF(C155="","",IF(Q155="Overdue",Settings!$F$8-I155,0))</x:f>
      </x:c>
      <x:c r="S155" s="9" t="str">
        <x:f>IF(C155="","",IF(COUNTIF($C$9:$C$308,C155)&lt;&gt;1,"Duplicate ID",IF(COUNTIF(Borrowers!$C$9:$C$108,D155)&lt;&gt;1,"Borrower key",IF(OR(NOT(OR(E155="E&amp;S",E155="Taxonomy",E155="Climate",E155="Data")),NOT(OR(F155="Critical",F155="High",F155="Moderate",F155="Low")),NOT(OR(J155="Open",J155="In progress",J155="Closed")),G155="",H155="",NOT(ISNUMBER(I155)),NOT(ISNUMBER(N155)),I155&lt;N155,N155&gt;Settings!$F$8),"Incomplete","Valid"))))</x:f>
      </x:c>
      <x:c r="T155" s="9" t="str">
        <x:f>IF(C155="","",IFERROR(INDEX('Borrowers'!$D$9:$D$108,MATCH(D155,'Borrowers'!$C$9:$C$108,0)),""))</x:f>
      </x:c>
      <x:c r="U155" s="3" t="str">
        <x:f>IF(C155="","","S01 ESRMS I.4–9; bank decision policy")</x:f>
      </x:c>
    </x:row>
    <x:row r="156" ht="42" customHeight="1">
      <x:c r="A156" s="1"/>
      <x:c r="B156" s="1"/>
      <x:c r="C156" s="8"/>
      <x:c r="D156" s="8"/>
      <x:c r="E156" s="8"/>
      <x:c r="F156" s="8"/>
      <x:c r="G156" s="8"/>
      <x:c r="H156" s="8"/>
      <x:c r="I156" s="10"/>
      <x:c r="J156" s="8"/>
      <x:c r="K156" s="8"/>
      <x:c r="L156" s="8"/>
      <x:c r="M156" s="10"/>
      <x:c r="N156" s="10"/>
      <x:c r="O156" s="9" t="str">
        <x:f>IF(C156="","",IF(AND(S156="Valid",J156="Closed",K156&lt;&gt;"",L156&lt;&gt;"",L156&lt;&gt;H156,ISNUMBER(M156),M156&gt;=N156,M156&lt;=Settings!$F$8),"Verified","Unverified"))</x:f>
      </x:c>
      <x:c r="P156" s="3" t="str">
        <x:f>IF(C156="","",IF(S156&lt;&gt;"Valid","Review",IF(O156="Verified","Closed",IF(J156="Closed","Closure pending",IF(OR(J156="Open",J156="In progress"),"Open","Review")))))</x:f>
      </x:c>
      <x:c r="Q156" s="9" t="str">
        <x:f>IF(C156="","",IF(AND(P156&lt;&gt;"Closed",ISNUMBER(I156),I156&lt;Settings!$F$8),"Overdue","Current"))</x:f>
      </x:c>
      <x:c r="R156" s="9" t="str">
        <x:f>IF(C156="","",IF(Q156="Overdue",Settings!$F$8-I156,0))</x:f>
      </x:c>
      <x:c r="S156" s="9" t="str">
        <x:f>IF(C156="","",IF(COUNTIF($C$9:$C$308,C156)&lt;&gt;1,"Duplicate ID",IF(COUNTIF(Borrowers!$C$9:$C$108,D156)&lt;&gt;1,"Borrower key",IF(OR(NOT(OR(E156="E&amp;S",E156="Taxonomy",E156="Climate",E156="Data")),NOT(OR(F156="Critical",F156="High",F156="Moderate",F156="Low")),NOT(OR(J156="Open",J156="In progress",J156="Closed")),G156="",H156="",NOT(ISNUMBER(I156)),NOT(ISNUMBER(N156)),I156&lt;N156,N156&gt;Settings!$F$8),"Incomplete","Valid"))))</x:f>
      </x:c>
      <x:c r="T156" s="9" t="str">
        <x:f>IF(C156="","",IFERROR(INDEX('Borrowers'!$D$9:$D$108,MATCH(D156,'Borrowers'!$C$9:$C$108,0)),""))</x:f>
      </x:c>
      <x:c r="U156" s="3" t="str">
        <x:f>IF(C156="","","S01 ESRMS I.4–9; bank decision policy")</x:f>
      </x:c>
    </x:row>
    <x:row r="157" ht="42" customHeight="1">
      <x:c r="A157" s="1"/>
      <x:c r="B157" s="1"/>
      <x:c r="C157" s="8"/>
      <x:c r="D157" s="8"/>
      <x:c r="E157" s="8"/>
      <x:c r="F157" s="8"/>
      <x:c r="G157" s="8"/>
      <x:c r="H157" s="8"/>
      <x:c r="I157" s="10"/>
      <x:c r="J157" s="8"/>
      <x:c r="K157" s="8"/>
      <x:c r="L157" s="8"/>
      <x:c r="M157" s="10"/>
      <x:c r="N157" s="10"/>
      <x:c r="O157" s="9" t="str">
        <x:f>IF(C157="","",IF(AND(S157="Valid",J157="Closed",K157&lt;&gt;"",L157&lt;&gt;"",L157&lt;&gt;H157,ISNUMBER(M157),M157&gt;=N157,M157&lt;=Settings!$F$8),"Verified","Unverified"))</x:f>
      </x:c>
      <x:c r="P157" s="3" t="str">
        <x:f>IF(C157="","",IF(S157&lt;&gt;"Valid","Review",IF(O157="Verified","Closed",IF(J157="Closed","Closure pending",IF(OR(J157="Open",J157="In progress"),"Open","Review")))))</x:f>
      </x:c>
      <x:c r="Q157" s="9" t="str">
        <x:f>IF(C157="","",IF(AND(P157&lt;&gt;"Closed",ISNUMBER(I157),I157&lt;Settings!$F$8),"Overdue","Current"))</x:f>
      </x:c>
      <x:c r="R157" s="9" t="str">
        <x:f>IF(C157="","",IF(Q157="Overdue",Settings!$F$8-I157,0))</x:f>
      </x:c>
      <x:c r="S157" s="9" t="str">
        <x:f>IF(C157="","",IF(COUNTIF($C$9:$C$308,C157)&lt;&gt;1,"Duplicate ID",IF(COUNTIF(Borrowers!$C$9:$C$108,D157)&lt;&gt;1,"Borrower key",IF(OR(NOT(OR(E157="E&amp;S",E157="Taxonomy",E157="Climate",E157="Data")),NOT(OR(F157="Critical",F157="High",F157="Moderate",F157="Low")),NOT(OR(J157="Open",J157="In progress",J157="Closed")),G157="",H157="",NOT(ISNUMBER(I157)),NOT(ISNUMBER(N157)),I157&lt;N157,N157&gt;Settings!$F$8),"Incomplete","Valid"))))</x:f>
      </x:c>
      <x:c r="T157" s="9" t="str">
        <x:f>IF(C157="","",IFERROR(INDEX('Borrowers'!$D$9:$D$108,MATCH(D157,'Borrowers'!$C$9:$C$108,0)),""))</x:f>
      </x:c>
      <x:c r="U157" s="3" t="str">
        <x:f>IF(C157="","","S01 ESRMS I.4–9; bank decision policy")</x:f>
      </x:c>
    </x:row>
    <x:row r="158" ht="42" customHeight="1">
      <x:c r="A158" s="1"/>
      <x:c r="B158" s="1"/>
      <x:c r="C158" s="8"/>
      <x:c r="D158" s="8"/>
      <x:c r="E158" s="8"/>
      <x:c r="F158" s="8"/>
      <x:c r="G158" s="8"/>
      <x:c r="H158" s="8"/>
      <x:c r="I158" s="10"/>
      <x:c r="J158" s="8"/>
      <x:c r="K158" s="8"/>
      <x:c r="L158" s="8"/>
      <x:c r="M158" s="10"/>
      <x:c r="N158" s="10"/>
      <x:c r="O158" s="9" t="str">
        <x:f>IF(C158="","",IF(AND(S158="Valid",J158="Closed",K158&lt;&gt;"",L158&lt;&gt;"",L158&lt;&gt;H158,ISNUMBER(M158),M158&gt;=N158,M158&lt;=Settings!$F$8),"Verified","Unverified"))</x:f>
      </x:c>
      <x:c r="P158" s="3" t="str">
        <x:f>IF(C158="","",IF(S158&lt;&gt;"Valid","Review",IF(O158="Verified","Closed",IF(J158="Closed","Closure pending",IF(OR(J158="Open",J158="In progress"),"Open","Review")))))</x:f>
      </x:c>
      <x:c r="Q158" s="9" t="str">
        <x:f>IF(C158="","",IF(AND(P158&lt;&gt;"Closed",ISNUMBER(I158),I158&lt;Settings!$F$8),"Overdue","Current"))</x:f>
      </x:c>
      <x:c r="R158" s="9" t="str">
        <x:f>IF(C158="","",IF(Q158="Overdue",Settings!$F$8-I158,0))</x:f>
      </x:c>
      <x:c r="S158" s="9" t="str">
        <x:f>IF(C158="","",IF(COUNTIF($C$9:$C$308,C158)&lt;&gt;1,"Duplicate ID",IF(COUNTIF(Borrowers!$C$9:$C$108,D158)&lt;&gt;1,"Borrower key",IF(OR(NOT(OR(E158="E&amp;S",E158="Taxonomy",E158="Climate",E158="Data")),NOT(OR(F158="Critical",F158="High",F158="Moderate",F158="Low")),NOT(OR(J158="Open",J158="In progress",J158="Closed")),G158="",H158="",NOT(ISNUMBER(I158)),NOT(ISNUMBER(N158)),I158&lt;N158,N158&gt;Settings!$F$8),"Incomplete","Valid"))))</x:f>
      </x:c>
      <x:c r="T158" s="9" t="str">
        <x:f>IF(C158="","",IFERROR(INDEX('Borrowers'!$D$9:$D$108,MATCH(D158,'Borrowers'!$C$9:$C$108,0)),""))</x:f>
      </x:c>
      <x:c r="U158" s="3" t="str">
        <x:f>IF(C158="","","S01 ESRMS I.4–9; bank decision policy")</x:f>
      </x:c>
    </x:row>
    <x:row r="159" ht="42" customHeight="1">
      <x:c r="A159" s="1"/>
      <x:c r="B159" s="1"/>
      <x:c r="C159" s="8"/>
      <x:c r="D159" s="8"/>
      <x:c r="E159" s="8"/>
      <x:c r="F159" s="8"/>
      <x:c r="G159" s="8"/>
      <x:c r="H159" s="8"/>
      <x:c r="I159" s="10"/>
      <x:c r="J159" s="8"/>
      <x:c r="K159" s="8"/>
      <x:c r="L159" s="8"/>
      <x:c r="M159" s="10"/>
      <x:c r="N159" s="10"/>
      <x:c r="O159" s="9" t="str">
        <x:f>IF(C159="","",IF(AND(S159="Valid",J159="Closed",K159&lt;&gt;"",L159&lt;&gt;"",L159&lt;&gt;H159,ISNUMBER(M159),M159&gt;=N159,M159&lt;=Settings!$F$8),"Verified","Unverified"))</x:f>
      </x:c>
      <x:c r="P159" s="3" t="str">
        <x:f>IF(C159="","",IF(S159&lt;&gt;"Valid","Review",IF(O159="Verified","Closed",IF(J159="Closed","Closure pending",IF(OR(J159="Open",J159="In progress"),"Open","Review")))))</x:f>
      </x:c>
      <x:c r="Q159" s="9" t="str">
        <x:f>IF(C159="","",IF(AND(P159&lt;&gt;"Closed",ISNUMBER(I159),I159&lt;Settings!$F$8),"Overdue","Current"))</x:f>
      </x:c>
      <x:c r="R159" s="9" t="str">
        <x:f>IF(C159="","",IF(Q159="Overdue",Settings!$F$8-I159,0))</x:f>
      </x:c>
      <x:c r="S159" s="9" t="str">
        <x:f>IF(C159="","",IF(COUNTIF($C$9:$C$308,C159)&lt;&gt;1,"Duplicate ID",IF(COUNTIF(Borrowers!$C$9:$C$108,D159)&lt;&gt;1,"Borrower key",IF(OR(NOT(OR(E159="E&amp;S",E159="Taxonomy",E159="Climate",E159="Data")),NOT(OR(F159="Critical",F159="High",F159="Moderate",F159="Low")),NOT(OR(J159="Open",J159="In progress",J159="Closed")),G159="",H159="",NOT(ISNUMBER(I159)),NOT(ISNUMBER(N159)),I159&lt;N159,N159&gt;Settings!$F$8),"Incomplete","Valid"))))</x:f>
      </x:c>
      <x:c r="T159" s="9" t="str">
        <x:f>IF(C159="","",IFERROR(INDEX('Borrowers'!$D$9:$D$108,MATCH(D159,'Borrowers'!$C$9:$C$108,0)),""))</x:f>
      </x:c>
      <x:c r="U159" s="3" t="str">
        <x:f>IF(C159="","","S01 ESRMS I.4–9; bank decision policy")</x:f>
      </x:c>
    </x:row>
    <x:row r="160" ht="42" customHeight="1">
      <x:c r="A160" s="1"/>
      <x:c r="B160" s="1"/>
      <x:c r="C160" s="8"/>
      <x:c r="D160" s="8"/>
      <x:c r="E160" s="8"/>
      <x:c r="F160" s="8"/>
      <x:c r="G160" s="8"/>
      <x:c r="H160" s="8"/>
      <x:c r="I160" s="10"/>
      <x:c r="J160" s="8"/>
      <x:c r="K160" s="8"/>
      <x:c r="L160" s="8"/>
      <x:c r="M160" s="10"/>
      <x:c r="N160" s="10"/>
      <x:c r="O160" s="9" t="str">
        <x:f>IF(C160="","",IF(AND(S160="Valid",J160="Closed",K160&lt;&gt;"",L160&lt;&gt;"",L160&lt;&gt;H160,ISNUMBER(M160),M160&gt;=N160,M160&lt;=Settings!$F$8),"Verified","Unverified"))</x:f>
      </x:c>
      <x:c r="P160" s="3" t="str">
        <x:f>IF(C160="","",IF(S160&lt;&gt;"Valid","Review",IF(O160="Verified","Closed",IF(J160="Closed","Closure pending",IF(OR(J160="Open",J160="In progress"),"Open","Review")))))</x:f>
      </x:c>
      <x:c r="Q160" s="9" t="str">
        <x:f>IF(C160="","",IF(AND(P160&lt;&gt;"Closed",ISNUMBER(I160),I160&lt;Settings!$F$8),"Overdue","Current"))</x:f>
      </x:c>
      <x:c r="R160" s="9" t="str">
        <x:f>IF(C160="","",IF(Q160="Overdue",Settings!$F$8-I160,0))</x:f>
      </x:c>
      <x:c r="S160" s="9" t="str">
        <x:f>IF(C160="","",IF(COUNTIF($C$9:$C$308,C160)&lt;&gt;1,"Duplicate ID",IF(COUNTIF(Borrowers!$C$9:$C$108,D160)&lt;&gt;1,"Borrower key",IF(OR(NOT(OR(E160="E&amp;S",E160="Taxonomy",E160="Climate",E160="Data")),NOT(OR(F160="Critical",F160="High",F160="Moderate",F160="Low")),NOT(OR(J160="Open",J160="In progress",J160="Closed")),G160="",H160="",NOT(ISNUMBER(I160)),NOT(ISNUMBER(N160)),I160&lt;N160,N160&gt;Settings!$F$8),"Incomplete","Valid"))))</x:f>
      </x:c>
      <x:c r="T160" s="9" t="str">
        <x:f>IF(C160="","",IFERROR(INDEX('Borrowers'!$D$9:$D$108,MATCH(D160,'Borrowers'!$C$9:$C$108,0)),""))</x:f>
      </x:c>
      <x:c r="U160" s="3" t="str">
        <x:f>IF(C160="","","S01 ESRMS I.4–9; bank decision policy")</x:f>
      </x:c>
    </x:row>
    <x:row r="161" ht="42" customHeight="1">
      <x:c r="A161" s="1"/>
      <x:c r="B161" s="1"/>
      <x:c r="C161" s="8"/>
      <x:c r="D161" s="8"/>
      <x:c r="E161" s="8"/>
      <x:c r="F161" s="8"/>
      <x:c r="G161" s="8"/>
      <x:c r="H161" s="8"/>
      <x:c r="I161" s="10"/>
      <x:c r="J161" s="8"/>
      <x:c r="K161" s="8"/>
      <x:c r="L161" s="8"/>
      <x:c r="M161" s="10"/>
      <x:c r="N161" s="10"/>
      <x:c r="O161" s="9" t="str">
        <x:f>IF(C161="","",IF(AND(S161="Valid",J161="Closed",K161&lt;&gt;"",L161&lt;&gt;"",L161&lt;&gt;H161,ISNUMBER(M161),M161&gt;=N161,M161&lt;=Settings!$F$8),"Verified","Unverified"))</x:f>
      </x:c>
      <x:c r="P161" s="3" t="str">
        <x:f>IF(C161="","",IF(S161&lt;&gt;"Valid","Review",IF(O161="Verified","Closed",IF(J161="Closed","Closure pending",IF(OR(J161="Open",J161="In progress"),"Open","Review")))))</x:f>
      </x:c>
      <x:c r="Q161" s="9" t="str">
        <x:f>IF(C161="","",IF(AND(P161&lt;&gt;"Closed",ISNUMBER(I161),I161&lt;Settings!$F$8),"Overdue","Current"))</x:f>
      </x:c>
      <x:c r="R161" s="9" t="str">
        <x:f>IF(C161="","",IF(Q161="Overdue",Settings!$F$8-I161,0))</x:f>
      </x:c>
      <x:c r="S161" s="9" t="str">
        <x:f>IF(C161="","",IF(COUNTIF($C$9:$C$308,C161)&lt;&gt;1,"Duplicate ID",IF(COUNTIF(Borrowers!$C$9:$C$108,D161)&lt;&gt;1,"Borrower key",IF(OR(NOT(OR(E161="E&amp;S",E161="Taxonomy",E161="Climate",E161="Data")),NOT(OR(F161="Critical",F161="High",F161="Moderate",F161="Low")),NOT(OR(J161="Open",J161="In progress",J161="Closed")),G161="",H161="",NOT(ISNUMBER(I161)),NOT(ISNUMBER(N161)),I161&lt;N161,N161&gt;Settings!$F$8),"Incomplete","Valid"))))</x:f>
      </x:c>
      <x:c r="T161" s="9" t="str">
        <x:f>IF(C161="","",IFERROR(INDEX('Borrowers'!$D$9:$D$108,MATCH(D161,'Borrowers'!$C$9:$C$108,0)),""))</x:f>
      </x:c>
      <x:c r="U161" s="3" t="str">
        <x:f>IF(C161="","","S01 ESRMS I.4–9; bank decision policy")</x:f>
      </x:c>
    </x:row>
    <x:row r="162" ht="42" customHeight="1">
      <x:c r="A162" s="1"/>
      <x:c r="B162" s="1"/>
      <x:c r="C162" s="8"/>
      <x:c r="D162" s="8"/>
      <x:c r="E162" s="8"/>
      <x:c r="F162" s="8"/>
      <x:c r="G162" s="8"/>
      <x:c r="H162" s="8"/>
      <x:c r="I162" s="10"/>
      <x:c r="J162" s="8"/>
      <x:c r="K162" s="8"/>
      <x:c r="L162" s="8"/>
      <x:c r="M162" s="10"/>
      <x:c r="N162" s="10"/>
      <x:c r="O162" s="9" t="str">
        <x:f>IF(C162="","",IF(AND(S162="Valid",J162="Closed",K162&lt;&gt;"",L162&lt;&gt;"",L162&lt;&gt;H162,ISNUMBER(M162),M162&gt;=N162,M162&lt;=Settings!$F$8),"Verified","Unverified"))</x:f>
      </x:c>
      <x:c r="P162" s="3" t="str">
        <x:f>IF(C162="","",IF(S162&lt;&gt;"Valid","Review",IF(O162="Verified","Closed",IF(J162="Closed","Closure pending",IF(OR(J162="Open",J162="In progress"),"Open","Review")))))</x:f>
      </x:c>
      <x:c r="Q162" s="9" t="str">
        <x:f>IF(C162="","",IF(AND(P162&lt;&gt;"Closed",ISNUMBER(I162),I162&lt;Settings!$F$8),"Overdue","Current"))</x:f>
      </x:c>
      <x:c r="R162" s="9" t="str">
        <x:f>IF(C162="","",IF(Q162="Overdue",Settings!$F$8-I162,0))</x:f>
      </x:c>
      <x:c r="S162" s="9" t="str">
        <x:f>IF(C162="","",IF(COUNTIF($C$9:$C$308,C162)&lt;&gt;1,"Duplicate ID",IF(COUNTIF(Borrowers!$C$9:$C$108,D162)&lt;&gt;1,"Borrower key",IF(OR(NOT(OR(E162="E&amp;S",E162="Taxonomy",E162="Climate",E162="Data")),NOT(OR(F162="Critical",F162="High",F162="Moderate",F162="Low")),NOT(OR(J162="Open",J162="In progress",J162="Closed")),G162="",H162="",NOT(ISNUMBER(I162)),NOT(ISNUMBER(N162)),I162&lt;N162,N162&gt;Settings!$F$8),"Incomplete","Valid"))))</x:f>
      </x:c>
      <x:c r="T162" s="9" t="str">
        <x:f>IF(C162="","",IFERROR(INDEX('Borrowers'!$D$9:$D$108,MATCH(D162,'Borrowers'!$C$9:$C$108,0)),""))</x:f>
      </x:c>
      <x:c r="U162" s="3" t="str">
        <x:f>IF(C162="","","S01 ESRMS I.4–9; bank decision policy")</x:f>
      </x:c>
    </x:row>
    <x:row r="163" ht="42" customHeight="1">
      <x:c r="A163" s="1"/>
      <x:c r="B163" s="1"/>
      <x:c r="C163" s="8"/>
      <x:c r="D163" s="8"/>
      <x:c r="E163" s="8"/>
      <x:c r="F163" s="8"/>
      <x:c r="G163" s="8"/>
      <x:c r="H163" s="8"/>
      <x:c r="I163" s="10"/>
      <x:c r="J163" s="8"/>
      <x:c r="K163" s="8"/>
      <x:c r="L163" s="8"/>
      <x:c r="M163" s="10"/>
      <x:c r="N163" s="10"/>
      <x:c r="O163" s="9" t="str">
        <x:f>IF(C163="","",IF(AND(S163="Valid",J163="Closed",K163&lt;&gt;"",L163&lt;&gt;"",L163&lt;&gt;H163,ISNUMBER(M163),M163&gt;=N163,M163&lt;=Settings!$F$8),"Verified","Unverified"))</x:f>
      </x:c>
      <x:c r="P163" s="3" t="str">
        <x:f>IF(C163="","",IF(S163&lt;&gt;"Valid","Review",IF(O163="Verified","Closed",IF(J163="Closed","Closure pending",IF(OR(J163="Open",J163="In progress"),"Open","Review")))))</x:f>
      </x:c>
      <x:c r="Q163" s="9" t="str">
        <x:f>IF(C163="","",IF(AND(P163&lt;&gt;"Closed",ISNUMBER(I163),I163&lt;Settings!$F$8),"Overdue","Current"))</x:f>
      </x:c>
      <x:c r="R163" s="9" t="str">
        <x:f>IF(C163="","",IF(Q163="Overdue",Settings!$F$8-I163,0))</x:f>
      </x:c>
      <x:c r="S163" s="9" t="str">
        <x:f>IF(C163="","",IF(COUNTIF($C$9:$C$308,C163)&lt;&gt;1,"Duplicate ID",IF(COUNTIF(Borrowers!$C$9:$C$108,D163)&lt;&gt;1,"Borrower key",IF(OR(NOT(OR(E163="E&amp;S",E163="Taxonomy",E163="Climate",E163="Data")),NOT(OR(F163="Critical",F163="High",F163="Moderate",F163="Low")),NOT(OR(J163="Open",J163="In progress",J163="Closed")),G163="",H163="",NOT(ISNUMBER(I163)),NOT(ISNUMBER(N163)),I163&lt;N163,N163&gt;Settings!$F$8),"Incomplete","Valid"))))</x:f>
      </x:c>
      <x:c r="T163" s="9" t="str">
        <x:f>IF(C163="","",IFERROR(INDEX('Borrowers'!$D$9:$D$108,MATCH(D163,'Borrowers'!$C$9:$C$108,0)),""))</x:f>
      </x:c>
      <x:c r="U163" s="3" t="str">
        <x:f>IF(C163="","","S01 ESRMS I.4–9; bank decision policy")</x:f>
      </x:c>
    </x:row>
    <x:row r="164" ht="42" customHeight="1">
      <x:c r="A164" s="1"/>
      <x:c r="B164" s="1"/>
      <x:c r="C164" s="8"/>
      <x:c r="D164" s="8"/>
      <x:c r="E164" s="8"/>
      <x:c r="F164" s="8"/>
      <x:c r="G164" s="8"/>
      <x:c r="H164" s="8"/>
      <x:c r="I164" s="10"/>
      <x:c r="J164" s="8"/>
      <x:c r="K164" s="8"/>
      <x:c r="L164" s="8"/>
      <x:c r="M164" s="10"/>
      <x:c r="N164" s="10"/>
      <x:c r="O164" s="9" t="str">
        <x:f>IF(C164="","",IF(AND(S164="Valid",J164="Closed",K164&lt;&gt;"",L164&lt;&gt;"",L164&lt;&gt;H164,ISNUMBER(M164),M164&gt;=N164,M164&lt;=Settings!$F$8),"Verified","Unverified"))</x:f>
      </x:c>
      <x:c r="P164" s="3" t="str">
        <x:f>IF(C164="","",IF(S164&lt;&gt;"Valid","Review",IF(O164="Verified","Closed",IF(J164="Closed","Closure pending",IF(OR(J164="Open",J164="In progress"),"Open","Review")))))</x:f>
      </x:c>
      <x:c r="Q164" s="9" t="str">
        <x:f>IF(C164="","",IF(AND(P164&lt;&gt;"Closed",ISNUMBER(I164),I164&lt;Settings!$F$8),"Overdue","Current"))</x:f>
      </x:c>
      <x:c r="R164" s="9" t="str">
        <x:f>IF(C164="","",IF(Q164="Overdue",Settings!$F$8-I164,0))</x:f>
      </x:c>
      <x:c r="S164" s="9" t="str">
        <x:f>IF(C164="","",IF(COUNTIF($C$9:$C$308,C164)&lt;&gt;1,"Duplicate ID",IF(COUNTIF(Borrowers!$C$9:$C$108,D164)&lt;&gt;1,"Borrower key",IF(OR(NOT(OR(E164="E&amp;S",E164="Taxonomy",E164="Climate",E164="Data")),NOT(OR(F164="Critical",F164="High",F164="Moderate",F164="Low")),NOT(OR(J164="Open",J164="In progress",J164="Closed")),G164="",H164="",NOT(ISNUMBER(I164)),NOT(ISNUMBER(N164)),I164&lt;N164,N164&gt;Settings!$F$8),"Incomplete","Valid"))))</x:f>
      </x:c>
      <x:c r="T164" s="9" t="str">
        <x:f>IF(C164="","",IFERROR(INDEX('Borrowers'!$D$9:$D$108,MATCH(D164,'Borrowers'!$C$9:$C$108,0)),""))</x:f>
      </x:c>
      <x:c r="U164" s="3" t="str">
        <x:f>IF(C164="","","S01 ESRMS I.4–9; bank decision policy")</x:f>
      </x:c>
    </x:row>
    <x:row r="165" ht="42" customHeight="1">
      <x:c r="A165" s="1"/>
      <x:c r="B165" s="1"/>
      <x:c r="C165" s="8"/>
      <x:c r="D165" s="8"/>
      <x:c r="E165" s="8"/>
      <x:c r="F165" s="8"/>
      <x:c r="G165" s="8"/>
      <x:c r="H165" s="8"/>
      <x:c r="I165" s="10"/>
      <x:c r="J165" s="8"/>
      <x:c r="K165" s="8"/>
      <x:c r="L165" s="8"/>
      <x:c r="M165" s="10"/>
      <x:c r="N165" s="10"/>
      <x:c r="O165" s="9" t="str">
        <x:f>IF(C165="","",IF(AND(S165="Valid",J165="Closed",K165&lt;&gt;"",L165&lt;&gt;"",L165&lt;&gt;H165,ISNUMBER(M165),M165&gt;=N165,M165&lt;=Settings!$F$8),"Verified","Unverified"))</x:f>
      </x:c>
      <x:c r="P165" s="3" t="str">
        <x:f>IF(C165="","",IF(S165&lt;&gt;"Valid","Review",IF(O165="Verified","Closed",IF(J165="Closed","Closure pending",IF(OR(J165="Open",J165="In progress"),"Open","Review")))))</x:f>
      </x:c>
      <x:c r="Q165" s="9" t="str">
        <x:f>IF(C165="","",IF(AND(P165&lt;&gt;"Closed",ISNUMBER(I165),I165&lt;Settings!$F$8),"Overdue","Current"))</x:f>
      </x:c>
      <x:c r="R165" s="9" t="str">
        <x:f>IF(C165="","",IF(Q165="Overdue",Settings!$F$8-I165,0))</x:f>
      </x:c>
      <x:c r="S165" s="9" t="str">
        <x:f>IF(C165="","",IF(COUNTIF($C$9:$C$308,C165)&lt;&gt;1,"Duplicate ID",IF(COUNTIF(Borrowers!$C$9:$C$108,D165)&lt;&gt;1,"Borrower key",IF(OR(NOT(OR(E165="E&amp;S",E165="Taxonomy",E165="Climate",E165="Data")),NOT(OR(F165="Critical",F165="High",F165="Moderate",F165="Low")),NOT(OR(J165="Open",J165="In progress",J165="Closed")),G165="",H165="",NOT(ISNUMBER(I165)),NOT(ISNUMBER(N165)),I165&lt;N165,N165&gt;Settings!$F$8),"Incomplete","Valid"))))</x:f>
      </x:c>
      <x:c r="T165" s="9" t="str">
        <x:f>IF(C165="","",IFERROR(INDEX('Borrowers'!$D$9:$D$108,MATCH(D165,'Borrowers'!$C$9:$C$108,0)),""))</x:f>
      </x:c>
      <x:c r="U165" s="3" t="str">
        <x:f>IF(C165="","","S01 ESRMS I.4–9; bank decision policy")</x:f>
      </x:c>
    </x:row>
    <x:row r="166" ht="42" customHeight="1">
      <x:c r="A166" s="1"/>
      <x:c r="B166" s="1"/>
      <x:c r="C166" s="8"/>
      <x:c r="D166" s="8"/>
      <x:c r="E166" s="8"/>
      <x:c r="F166" s="8"/>
      <x:c r="G166" s="8"/>
      <x:c r="H166" s="8"/>
      <x:c r="I166" s="10"/>
      <x:c r="J166" s="8"/>
      <x:c r="K166" s="8"/>
      <x:c r="L166" s="8"/>
      <x:c r="M166" s="10"/>
      <x:c r="N166" s="10"/>
      <x:c r="O166" s="9" t="str">
        <x:f>IF(C166="","",IF(AND(S166="Valid",J166="Closed",K166&lt;&gt;"",L166&lt;&gt;"",L166&lt;&gt;H166,ISNUMBER(M166),M166&gt;=N166,M166&lt;=Settings!$F$8),"Verified","Unverified"))</x:f>
      </x:c>
      <x:c r="P166" s="3" t="str">
        <x:f>IF(C166="","",IF(S166&lt;&gt;"Valid","Review",IF(O166="Verified","Closed",IF(J166="Closed","Closure pending",IF(OR(J166="Open",J166="In progress"),"Open","Review")))))</x:f>
      </x:c>
      <x:c r="Q166" s="9" t="str">
        <x:f>IF(C166="","",IF(AND(P166&lt;&gt;"Closed",ISNUMBER(I166),I166&lt;Settings!$F$8),"Overdue","Current"))</x:f>
      </x:c>
      <x:c r="R166" s="9" t="str">
        <x:f>IF(C166="","",IF(Q166="Overdue",Settings!$F$8-I166,0))</x:f>
      </x:c>
      <x:c r="S166" s="9" t="str">
        <x:f>IF(C166="","",IF(COUNTIF($C$9:$C$308,C166)&lt;&gt;1,"Duplicate ID",IF(COUNTIF(Borrowers!$C$9:$C$108,D166)&lt;&gt;1,"Borrower key",IF(OR(NOT(OR(E166="E&amp;S",E166="Taxonomy",E166="Climate",E166="Data")),NOT(OR(F166="Critical",F166="High",F166="Moderate",F166="Low")),NOT(OR(J166="Open",J166="In progress",J166="Closed")),G166="",H166="",NOT(ISNUMBER(I166)),NOT(ISNUMBER(N166)),I166&lt;N166,N166&gt;Settings!$F$8),"Incomplete","Valid"))))</x:f>
      </x:c>
      <x:c r="T166" s="9" t="str">
        <x:f>IF(C166="","",IFERROR(INDEX('Borrowers'!$D$9:$D$108,MATCH(D166,'Borrowers'!$C$9:$C$108,0)),""))</x:f>
      </x:c>
      <x:c r="U166" s="3" t="str">
        <x:f>IF(C166="","","S01 ESRMS I.4–9; bank decision policy")</x:f>
      </x:c>
    </x:row>
    <x:row r="167" ht="42" customHeight="1">
      <x:c r="A167" s="1"/>
      <x:c r="B167" s="1"/>
      <x:c r="C167" s="8"/>
      <x:c r="D167" s="8"/>
      <x:c r="E167" s="8"/>
      <x:c r="F167" s="8"/>
      <x:c r="G167" s="8"/>
      <x:c r="H167" s="8"/>
      <x:c r="I167" s="10"/>
      <x:c r="J167" s="8"/>
      <x:c r="K167" s="8"/>
      <x:c r="L167" s="8"/>
      <x:c r="M167" s="10"/>
      <x:c r="N167" s="10"/>
      <x:c r="O167" s="9" t="str">
        <x:f>IF(C167="","",IF(AND(S167="Valid",J167="Closed",K167&lt;&gt;"",L167&lt;&gt;"",L167&lt;&gt;H167,ISNUMBER(M167),M167&gt;=N167,M167&lt;=Settings!$F$8),"Verified","Unverified"))</x:f>
      </x:c>
      <x:c r="P167" s="3" t="str">
        <x:f>IF(C167="","",IF(S167&lt;&gt;"Valid","Review",IF(O167="Verified","Closed",IF(J167="Closed","Closure pending",IF(OR(J167="Open",J167="In progress"),"Open","Review")))))</x:f>
      </x:c>
      <x:c r="Q167" s="9" t="str">
        <x:f>IF(C167="","",IF(AND(P167&lt;&gt;"Closed",ISNUMBER(I167),I167&lt;Settings!$F$8),"Overdue","Current"))</x:f>
      </x:c>
      <x:c r="R167" s="9" t="str">
        <x:f>IF(C167="","",IF(Q167="Overdue",Settings!$F$8-I167,0))</x:f>
      </x:c>
      <x:c r="S167" s="9" t="str">
        <x:f>IF(C167="","",IF(COUNTIF($C$9:$C$308,C167)&lt;&gt;1,"Duplicate ID",IF(COUNTIF(Borrowers!$C$9:$C$108,D167)&lt;&gt;1,"Borrower key",IF(OR(NOT(OR(E167="E&amp;S",E167="Taxonomy",E167="Climate",E167="Data")),NOT(OR(F167="Critical",F167="High",F167="Moderate",F167="Low")),NOT(OR(J167="Open",J167="In progress",J167="Closed")),G167="",H167="",NOT(ISNUMBER(I167)),NOT(ISNUMBER(N167)),I167&lt;N167,N167&gt;Settings!$F$8),"Incomplete","Valid"))))</x:f>
      </x:c>
      <x:c r="T167" s="9" t="str">
        <x:f>IF(C167="","",IFERROR(INDEX('Borrowers'!$D$9:$D$108,MATCH(D167,'Borrowers'!$C$9:$C$108,0)),""))</x:f>
      </x:c>
      <x:c r="U167" s="3" t="str">
        <x:f>IF(C167="","","S01 ESRMS I.4–9; bank decision policy")</x:f>
      </x:c>
    </x:row>
    <x:row r="168" ht="42" customHeight="1">
      <x:c r="A168" s="1"/>
      <x:c r="B168" s="1"/>
      <x:c r="C168" s="8"/>
      <x:c r="D168" s="8"/>
      <x:c r="E168" s="8"/>
      <x:c r="F168" s="8"/>
      <x:c r="G168" s="8"/>
      <x:c r="H168" s="8"/>
      <x:c r="I168" s="10"/>
      <x:c r="J168" s="8"/>
      <x:c r="K168" s="8"/>
      <x:c r="L168" s="8"/>
      <x:c r="M168" s="10"/>
      <x:c r="N168" s="10"/>
      <x:c r="O168" s="9" t="str">
        <x:f>IF(C168="","",IF(AND(S168="Valid",J168="Closed",K168&lt;&gt;"",L168&lt;&gt;"",L168&lt;&gt;H168,ISNUMBER(M168),M168&gt;=N168,M168&lt;=Settings!$F$8),"Verified","Unverified"))</x:f>
      </x:c>
      <x:c r="P168" s="3" t="str">
        <x:f>IF(C168="","",IF(S168&lt;&gt;"Valid","Review",IF(O168="Verified","Closed",IF(J168="Closed","Closure pending",IF(OR(J168="Open",J168="In progress"),"Open","Review")))))</x:f>
      </x:c>
      <x:c r="Q168" s="9" t="str">
        <x:f>IF(C168="","",IF(AND(P168&lt;&gt;"Closed",ISNUMBER(I168),I168&lt;Settings!$F$8),"Overdue","Current"))</x:f>
      </x:c>
      <x:c r="R168" s="9" t="str">
        <x:f>IF(C168="","",IF(Q168="Overdue",Settings!$F$8-I168,0))</x:f>
      </x:c>
      <x:c r="S168" s="9" t="str">
        <x:f>IF(C168="","",IF(COUNTIF($C$9:$C$308,C168)&lt;&gt;1,"Duplicate ID",IF(COUNTIF(Borrowers!$C$9:$C$108,D168)&lt;&gt;1,"Borrower key",IF(OR(NOT(OR(E168="E&amp;S",E168="Taxonomy",E168="Climate",E168="Data")),NOT(OR(F168="Critical",F168="High",F168="Moderate",F168="Low")),NOT(OR(J168="Open",J168="In progress",J168="Closed")),G168="",H168="",NOT(ISNUMBER(I168)),NOT(ISNUMBER(N168)),I168&lt;N168,N168&gt;Settings!$F$8),"Incomplete","Valid"))))</x:f>
      </x:c>
      <x:c r="T168" s="9" t="str">
        <x:f>IF(C168="","",IFERROR(INDEX('Borrowers'!$D$9:$D$108,MATCH(D168,'Borrowers'!$C$9:$C$108,0)),""))</x:f>
      </x:c>
      <x:c r="U168" s="3" t="str">
        <x:f>IF(C168="","","S01 ESRMS I.4–9; bank decision policy")</x:f>
      </x:c>
    </x:row>
    <x:row r="169" ht="42" customHeight="1">
      <x:c r="A169" s="1"/>
      <x:c r="B169" s="1"/>
      <x:c r="C169" s="8"/>
      <x:c r="D169" s="8"/>
      <x:c r="E169" s="8"/>
      <x:c r="F169" s="8"/>
      <x:c r="G169" s="8"/>
      <x:c r="H169" s="8"/>
      <x:c r="I169" s="10"/>
      <x:c r="J169" s="8"/>
      <x:c r="K169" s="8"/>
      <x:c r="L169" s="8"/>
      <x:c r="M169" s="10"/>
      <x:c r="N169" s="10"/>
      <x:c r="O169" s="9" t="str">
        <x:f>IF(C169="","",IF(AND(S169="Valid",J169="Closed",K169&lt;&gt;"",L169&lt;&gt;"",L169&lt;&gt;H169,ISNUMBER(M169),M169&gt;=N169,M169&lt;=Settings!$F$8),"Verified","Unverified"))</x:f>
      </x:c>
      <x:c r="P169" s="3" t="str">
        <x:f>IF(C169="","",IF(S169&lt;&gt;"Valid","Review",IF(O169="Verified","Closed",IF(J169="Closed","Closure pending",IF(OR(J169="Open",J169="In progress"),"Open","Review")))))</x:f>
      </x:c>
      <x:c r="Q169" s="9" t="str">
        <x:f>IF(C169="","",IF(AND(P169&lt;&gt;"Closed",ISNUMBER(I169),I169&lt;Settings!$F$8),"Overdue","Current"))</x:f>
      </x:c>
      <x:c r="R169" s="9" t="str">
        <x:f>IF(C169="","",IF(Q169="Overdue",Settings!$F$8-I169,0))</x:f>
      </x:c>
      <x:c r="S169" s="9" t="str">
        <x:f>IF(C169="","",IF(COUNTIF($C$9:$C$308,C169)&lt;&gt;1,"Duplicate ID",IF(COUNTIF(Borrowers!$C$9:$C$108,D169)&lt;&gt;1,"Borrower key",IF(OR(NOT(OR(E169="E&amp;S",E169="Taxonomy",E169="Climate",E169="Data")),NOT(OR(F169="Critical",F169="High",F169="Moderate",F169="Low")),NOT(OR(J169="Open",J169="In progress",J169="Closed")),G169="",H169="",NOT(ISNUMBER(I169)),NOT(ISNUMBER(N169)),I169&lt;N169,N169&gt;Settings!$F$8),"Incomplete","Valid"))))</x:f>
      </x:c>
      <x:c r="T169" s="9" t="str">
        <x:f>IF(C169="","",IFERROR(INDEX('Borrowers'!$D$9:$D$108,MATCH(D169,'Borrowers'!$C$9:$C$108,0)),""))</x:f>
      </x:c>
      <x:c r="U169" s="3" t="str">
        <x:f>IF(C169="","","S01 ESRMS I.4–9; bank decision policy")</x:f>
      </x:c>
    </x:row>
    <x:row r="170" ht="42" customHeight="1">
      <x:c r="A170" s="1"/>
      <x:c r="B170" s="1"/>
      <x:c r="C170" s="8"/>
      <x:c r="D170" s="8"/>
      <x:c r="E170" s="8"/>
      <x:c r="F170" s="8"/>
      <x:c r="G170" s="8"/>
      <x:c r="H170" s="8"/>
      <x:c r="I170" s="10"/>
      <x:c r="J170" s="8"/>
      <x:c r="K170" s="8"/>
      <x:c r="L170" s="8"/>
      <x:c r="M170" s="10"/>
      <x:c r="N170" s="10"/>
      <x:c r="O170" s="9" t="str">
        <x:f>IF(C170="","",IF(AND(S170="Valid",J170="Closed",K170&lt;&gt;"",L170&lt;&gt;"",L170&lt;&gt;H170,ISNUMBER(M170),M170&gt;=N170,M170&lt;=Settings!$F$8),"Verified","Unverified"))</x:f>
      </x:c>
      <x:c r="P170" s="3" t="str">
        <x:f>IF(C170="","",IF(S170&lt;&gt;"Valid","Review",IF(O170="Verified","Closed",IF(J170="Closed","Closure pending",IF(OR(J170="Open",J170="In progress"),"Open","Review")))))</x:f>
      </x:c>
      <x:c r="Q170" s="9" t="str">
        <x:f>IF(C170="","",IF(AND(P170&lt;&gt;"Closed",ISNUMBER(I170),I170&lt;Settings!$F$8),"Overdue","Current"))</x:f>
      </x:c>
      <x:c r="R170" s="9" t="str">
        <x:f>IF(C170="","",IF(Q170="Overdue",Settings!$F$8-I170,0))</x:f>
      </x:c>
      <x:c r="S170" s="9" t="str">
        <x:f>IF(C170="","",IF(COUNTIF($C$9:$C$308,C170)&lt;&gt;1,"Duplicate ID",IF(COUNTIF(Borrowers!$C$9:$C$108,D170)&lt;&gt;1,"Borrower key",IF(OR(NOT(OR(E170="E&amp;S",E170="Taxonomy",E170="Climate",E170="Data")),NOT(OR(F170="Critical",F170="High",F170="Moderate",F170="Low")),NOT(OR(J170="Open",J170="In progress",J170="Closed")),G170="",H170="",NOT(ISNUMBER(I170)),NOT(ISNUMBER(N170)),I170&lt;N170,N170&gt;Settings!$F$8),"Incomplete","Valid"))))</x:f>
      </x:c>
      <x:c r="T170" s="9" t="str">
        <x:f>IF(C170="","",IFERROR(INDEX('Borrowers'!$D$9:$D$108,MATCH(D170,'Borrowers'!$C$9:$C$108,0)),""))</x:f>
      </x:c>
      <x:c r="U170" s="3" t="str">
        <x:f>IF(C170="","","S01 ESRMS I.4–9; bank decision policy")</x:f>
      </x:c>
    </x:row>
    <x:row r="171" ht="42" customHeight="1">
      <x:c r="A171" s="1"/>
      <x:c r="B171" s="1"/>
      <x:c r="C171" s="8"/>
      <x:c r="D171" s="8"/>
      <x:c r="E171" s="8"/>
      <x:c r="F171" s="8"/>
      <x:c r="G171" s="8"/>
      <x:c r="H171" s="8"/>
      <x:c r="I171" s="10"/>
      <x:c r="J171" s="8"/>
      <x:c r="K171" s="8"/>
      <x:c r="L171" s="8"/>
      <x:c r="M171" s="10"/>
      <x:c r="N171" s="10"/>
      <x:c r="O171" s="9" t="str">
        <x:f>IF(C171="","",IF(AND(S171="Valid",J171="Closed",K171&lt;&gt;"",L171&lt;&gt;"",L171&lt;&gt;H171,ISNUMBER(M171),M171&gt;=N171,M171&lt;=Settings!$F$8),"Verified","Unverified"))</x:f>
      </x:c>
      <x:c r="P171" s="3" t="str">
        <x:f>IF(C171="","",IF(S171&lt;&gt;"Valid","Review",IF(O171="Verified","Closed",IF(J171="Closed","Closure pending",IF(OR(J171="Open",J171="In progress"),"Open","Review")))))</x:f>
      </x:c>
      <x:c r="Q171" s="9" t="str">
        <x:f>IF(C171="","",IF(AND(P171&lt;&gt;"Closed",ISNUMBER(I171),I171&lt;Settings!$F$8),"Overdue","Current"))</x:f>
      </x:c>
      <x:c r="R171" s="9" t="str">
        <x:f>IF(C171="","",IF(Q171="Overdue",Settings!$F$8-I171,0))</x:f>
      </x:c>
      <x:c r="S171" s="9" t="str">
        <x:f>IF(C171="","",IF(COUNTIF($C$9:$C$308,C171)&lt;&gt;1,"Duplicate ID",IF(COUNTIF(Borrowers!$C$9:$C$108,D171)&lt;&gt;1,"Borrower key",IF(OR(NOT(OR(E171="E&amp;S",E171="Taxonomy",E171="Climate",E171="Data")),NOT(OR(F171="Critical",F171="High",F171="Moderate",F171="Low")),NOT(OR(J171="Open",J171="In progress",J171="Closed")),G171="",H171="",NOT(ISNUMBER(I171)),NOT(ISNUMBER(N171)),I171&lt;N171,N171&gt;Settings!$F$8),"Incomplete","Valid"))))</x:f>
      </x:c>
      <x:c r="T171" s="9" t="str">
        <x:f>IF(C171="","",IFERROR(INDEX('Borrowers'!$D$9:$D$108,MATCH(D171,'Borrowers'!$C$9:$C$108,0)),""))</x:f>
      </x:c>
      <x:c r="U171" s="3" t="str">
        <x:f>IF(C171="","","S01 ESRMS I.4–9; bank decision policy")</x:f>
      </x:c>
    </x:row>
    <x:row r="172" ht="42" customHeight="1">
      <x:c r="A172" s="1"/>
      <x:c r="B172" s="1"/>
      <x:c r="C172" s="8"/>
      <x:c r="D172" s="8"/>
      <x:c r="E172" s="8"/>
      <x:c r="F172" s="8"/>
      <x:c r="G172" s="8"/>
      <x:c r="H172" s="8"/>
      <x:c r="I172" s="10"/>
      <x:c r="J172" s="8"/>
      <x:c r="K172" s="8"/>
      <x:c r="L172" s="8"/>
      <x:c r="M172" s="10"/>
      <x:c r="N172" s="10"/>
      <x:c r="O172" s="9" t="str">
        <x:f>IF(C172="","",IF(AND(S172="Valid",J172="Closed",K172&lt;&gt;"",L172&lt;&gt;"",L172&lt;&gt;H172,ISNUMBER(M172),M172&gt;=N172,M172&lt;=Settings!$F$8),"Verified","Unverified"))</x:f>
      </x:c>
      <x:c r="P172" s="3" t="str">
        <x:f>IF(C172="","",IF(S172&lt;&gt;"Valid","Review",IF(O172="Verified","Closed",IF(J172="Closed","Closure pending",IF(OR(J172="Open",J172="In progress"),"Open","Review")))))</x:f>
      </x:c>
      <x:c r="Q172" s="9" t="str">
        <x:f>IF(C172="","",IF(AND(P172&lt;&gt;"Closed",ISNUMBER(I172),I172&lt;Settings!$F$8),"Overdue","Current"))</x:f>
      </x:c>
      <x:c r="R172" s="9" t="str">
        <x:f>IF(C172="","",IF(Q172="Overdue",Settings!$F$8-I172,0))</x:f>
      </x:c>
      <x:c r="S172" s="9" t="str">
        <x:f>IF(C172="","",IF(COUNTIF($C$9:$C$308,C172)&lt;&gt;1,"Duplicate ID",IF(COUNTIF(Borrowers!$C$9:$C$108,D172)&lt;&gt;1,"Borrower key",IF(OR(NOT(OR(E172="E&amp;S",E172="Taxonomy",E172="Climate",E172="Data")),NOT(OR(F172="Critical",F172="High",F172="Moderate",F172="Low")),NOT(OR(J172="Open",J172="In progress",J172="Closed")),G172="",H172="",NOT(ISNUMBER(I172)),NOT(ISNUMBER(N172)),I172&lt;N172,N172&gt;Settings!$F$8),"Incomplete","Valid"))))</x:f>
      </x:c>
      <x:c r="T172" s="9" t="str">
        <x:f>IF(C172="","",IFERROR(INDEX('Borrowers'!$D$9:$D$108,MATCH(D172,'Borrowers'!$C$9:$C$108,0)),""))</x:f>
      </x:c>
      <x:c r="U172" s="3" t="str">
        <x:f>IF(C172="","","S01 ESRMS I.4–9; bank decision policy")</x:f>
      </x:c>
    </x:row>
    <x:row r="173" ht="42" customHeight="1">
      <x:c r="A173" s="1"/>
      <x:c r="B173" s="1"/>
      <x:c r="C173" s="8"/>
      <x:c r="D173" s="8"/>
      <x:c r="E173" s="8"/>
      <x:c r="F173" s="8"/>
      <x:c r="G173" s="8"/>
      <x:c r="H173" s="8"/>
      <x:c r="I173" s="10"/>
      <x:c r="J173" s="8"/>
      <x:c r="K173" s="8"/>
      <x:c r="L173" s="8"/>
      <x:c r="M173" s="10"/>
      <x:c r="N173" s="10"/>
      <x:c r="O173" s="9" t="str">
        <x:f>IF(C173="","",IF(AND(S173="Valid",J173="Closed",K173&lt;&gt;"",L173&lt;&gt;"",L173&lt;&gt;H173,ISNUMBER(M173),M173&gt;=N173,M173&lt;=Settings!$F$8),"Verified","Unverified"))</x:f>
      </x:c>
      <x:c r="P173" s="3" t="str">
        <x:f>IF(C173="","",IF(S173&lt;&gt;"Valid","Review",IF(O173="Verified","Closed",IF(J173="Closed","Closure pending",IF(OR(J173="Open",J173="In progress"),"Open","Review")))))</x:f>
      </x:c>
      <x:c r="Q173" s="9" t="str">
        <x:f>IF(C173="","",IF(AND(P173&lt;&gt;"Closed",ISNUMBER(I173),I173&lt;Settings!$F$8),"Overdue","Current"))</x:f>
      </x:c>
      <x:c r="R173" s="9" t="str">
        <x:f>IF(C173="","",IF(Q173="Overdue",Settings!$F$8-I173,0))</x:f>
      </x:c>
      <x:c r="S173" s="9" t="str">
        <x:f>IF(C173="","",IF(COUNTIF($C$9:$C$308,C173)&lt;&gt;1,"Duplicate ID",IF(COUNTIF(Borrowers!$C$9:$C$108,D173)&lt;&gt;1,"Borrower key",IF(OR(NOT(OR(E173="E&amp;S",E173="Taxonomy",E173="Climate",E173="Data")),NOT(OR(F173="Critical",F173="High",F173="Moderate",F173="Low")),NOT(OR(J173="Open",J173="In progress",J173="Closed")),G173="",H173="",NOT(ISNUMBER(I173)),NOT(ISNUMBER(N173)),I173&lt;N173,N173&gt;Settings!$F$8),"Incomplete","Valid"))))</x:f>
      </x:c>
      <x:c r="T173" s="9" t="str">
        <x:f>IF(C173="","",IFERROR(INDEX('Borrowers'!$D$9:$D$108,MATCH(D173,'Borrowers'!$C$9:$C$108,0)),""))</x:f>
      </x:c>
      <x:c r="U173" s="3" t="str">
        <x:f>IF(C173="","","S01 ESRMS I.4–9; bank decision policy")</x:f>
      </x:c>
    </x:row>
    <x:row r="174" ht="42" customHeight="1">
      <x:c r="A174" s="1"/>
      <x:c r="B174" s="1"/>
      <x:c r="C174" s="8"/>
      <x:c r="D174" s="8"/>
      <x:c r="E174" s="8"/>
      <x:c r="F174" s="8"/>
      <x:c r="G174" s="8"/>
      <x:c r="H174" s="8"/>
      <x:c r="I174" s="10"/>
      <x:c r="J174" s="8"/>
      <x:c r="K174" s="8"/>
      <x:c r="L174" s="8"/>
      <x:c r="M174" s="10"/>
      <x:c r="N174" s="10"/>
      <x:c r="O174" s="9" t="str">
        <x:f>IF(C174="","",IF(AND(S174="Valid",J174="Closed",K174&lt;&gt;"",L174&lt;&gt;"",L174&lt;&gt;H174,ISNUMBER(M174),M174&gt;=N174,M174&lt;=Settings!$F$8),"Verified","Unverified"))</x:f>
      </x:c>
      <x:c r="P174" s="3" t="str">
        <x:f>IF(C174="","",IF(S174&lt;&gt;"Valid","Review",IF(O174="Verified","Closed",IF(J174="Closed","Closure pending",IF(OR(J174="Open",J174="In progress"),"Open","Review")))))</x:f>
      </x:c>
      <x:c r="Q174" s="9" t="str">
        <x:f>IF(C174="","",IF(AND(P174&lt;&gt;"Closed",ISNUMBER(I174),I174&lt;Settings!$F$8),"Overdue","Current"))</x:f>
      </x:c>
      <x:c r="R174" s="9" t="str">
        <x:f>IF(C174="","",IF(Q174="Overdue",Settings!$F$8-I174,0))</x:f>
      </x:c>
      <x:c r="S174" s="9" t="str">
        <x:f>IF(C174="","",IF(COUNTIF($C$9:$C$308,C174)&lt;&gt;1,"Duplicate ID",IF(COUNTIF(Borrowers!$C$9:$C$108,D174)&lt;&gt;1,"Borrower key",IF(OR(NOT(OR(E174="E&amp;S",E174="Taxonomy",E174="Climate",E174="Data")),NOT(OR(F174="Critical",F174="High",F174="Moderate",F174="Low")),NOT(OR(J174="Open",J174="In progress",J174="Closed")),G174="",H174="",NOT(ISNUMBER(I174)),NOT(ISNUMBER(N174)),I174&lt;N174,N174&gt;Settings!$F$8),"Incomplete","Valid"))))</x:f>
      </x:c>
      <x:c r="T174" s="9" t="str">
        <x:f>IF(C174="","",IFERROR(INDEX('Borrowers'!$D$9:$D$108,MATCH(D174,'Borrowers'!$C$9:$C$108,0)),""))</x:f>
      </x:c>
      <x:c r="U174" s="3" t="str">
        <x:f>IF(C174="","","S01 ESRMS I.4–9; bank decision policy")</x:f>
      </x:c>
    </x:row>
    <x:row r="175" ht="42" customHeight="1">
      <x:c r="A175" s="1"/>
      <x:c r="B175" s="1"/>
      <x:c r="C175" s="8"/>
      <x:c r="D175" s="8"/>
      <x:c r="E175" s="8"/>
      <x:c r="F175" s="8"/>
      <x:c r="G175" s="8"/>
      <x:c r="H175" s="8"/>
      <x:c r="I175" s="10"/>
      <x:c r="J175" s="8"/>
      <x:c r="K175" s="8"/>
      <x:c r="L175" s="8"/>
      <x:c r="M175" s="10"/>
      <x:c r="N175" s="10"/>
      <x:c r="O175" s="9" t="str">
        <x:f>IF(C175="","",IF(AND(S175="Valid",J175="Closed",K175&lt;&gt;"",L175&lt;&gt;"",L175&lt;&gt;H175,ISNUMBER(M175),M175&gt;=N175,M175&lt;=Settings!$F$8),"Verified","Unverified"))</x:f>
      </x:c>
      <x:c r="P175" s="3" t="str">
        <x:f>IF(C175="","",IF(S175&lt;&gt;"Valid","Review",IF(O175="Verified","Closed",IF(J175="Closed","Closure pending",IF(OR(J175="Open",J175="In progress"),"Open","Review")))))</x:f>
      </x:c>
      <x:c r="Q175" s="9" t="str">
        <x:f>IF(C175="","",IF(AND(P175&lt;&gt;"Closed",ISNUMBER(I175),I175&lt;Settings!$F$8),"Overdue","Current"))</x:f>
      </x:c>
      <x:c r="R175" s="9" t="str">
        <x:f>IF(C175="","",IF(Q175="Overdue",Settings!$F$8-I175,0))</x:f>
      </x:c>
      <x:c r="S175" s="9" t="str">
        <x:f>IF(C175="","",IF(COUNTIF($C$9:$C$308,C175)&lt;&gt;1,"Duplicate ID",IF(COUNTIF(Borrowers!$C$9:$C$108,D175)&lt;&gt;1,"Borrower key",IF(OR(NOT(OR(E175="E&amp;S",E175="Taxonomy",E175="Climate",E175="Data")),NOT(OR(F175="Critical",F175="High",F175="Moderate",F175="Low")),NOT(OR(J175="Open",J175="In progress",J175="Closed")),G175="",H175="",NOT(ISNUMBER(I175)),NOT(ISNUMBER(N175)),I175&lt;N175,N175&gt;Settings!$F$8),"Incomplete","Valid"))))</x:f>
      </x:c>
      <x:c r="T175" s="9" t="str">
        <x:f>IF(C175="","",IFERROR(INDEX('Borrowers'!$D$9:$D$108,MATCH(D175,'Borrowers'!$C$9:$C$108,0)),""))</x:f>
      </x:c>
      <x:c r="U175" s="3" t="str">
        <x:f>IF(C175="","","S01 ESRMS I.4–9; bank decision policy")</x:f>
      </x:c>
    </x:row>
    <x:row r="176" ht="42" customHeight="1">
      <x:c r="A176" s="1"/>
      <x:c r="B176" s="1"/>
      <x:c r="C176" s="8"/>
      <x:c r="D176" s="8"/>
      <x:c r="E176" s="8"/>
      <x:c r="F176" s="8"/>
      <x:c r="G176" s="8"/>
      <x:c r="H176" s="8"/>
      <x:c r="I176" s="10"/>
      <x:c r="J176" s="8"/>
      <x:c r="K176" s="8"/>
      <x:c r="L176" s="8"/>
      <x:c r="M176" s="10"/>
      <x:c r="N176" s="10"/>
      <x:c r="O176" s="9" t="str">
        <x:f>IF(C176="","",IF(AND(S176="Valid",J176="Closed",K176&lt;&gt;"",L176&lt;&gt;"",L176&lt;&gt;H176,ISNUMBER(M176),M176&gt;=N176,M176&lt;=Settings!$F$8),"Verified","Unverified"))</x:f>
      </x:c>
      <x:c r="P176" s="3" t="str">
        <x:f>IF(C176="","",IF(S176&lt;&gt;"Valid","Review",IF(O176="Verified","Closed",IF(J176="Closed","Closure pending",IF(OR(J176="Open",J176="In progress"),"Open","Review")))))</x:f>
      </x:c>
      <x:c r="Q176" s="9" t="str">
        <x:f>IF(C176="","",IF(AND(P176&lt;&gt;"Closed",ISNUMBER(I176),I176&lt;Settings!$F$8),"Overdue","Current"))</x:f>
      </x:c>
      <x:c r="R176" s="9" t="str">
        <x:f>IF(C176="","",IF(Q176="Overdue",Settings!$F$8-I176,0))</x:f>
      </x:c>
      <x:c r="S176" s="9" t="str">
        <x:f>IF(C176="","",IF(COUNTIF($C$9:$C$308,C176)&lt;&gt;1,"Duplicate ID",IF(COUNTIF(Borrowers!$C$9:$C$108,D176)&lt;&gt;1,"Borrower key",IF(OR(NOT(OR(E176="E&amp;S",E176="Taxonomy",E176="Climate",E176="Data")),NOT(OR(F176="Critical",F176="High",F176="Moderate",F176="Low")),NOT(OR(J176="Open",J176="In progress",J176="Closed")),G176="",H176="",NOT(ISNUMBER(I176)),NOT(ISNUMBER(N176)),I176&lt;N176,N176&gt;Settings!$F$8),"Incomplete","Valid"))))</x:f>
      </x:c>
      <x:c r="T176" s="9" t="str">
        <x:f>IF(C176="","",IFERROR(INDEX('Borrowers'!$D$9:$D$108,MATCH(D176,'Borrowers'!$C$9:$C$108,0)),""))</x:f>
      </x:c>
      <x:c r="U176" s="3" t="str">
        <x:f>IF(C176="","","S01 ESRMS I.4–9; bank decision policy")</x:f>
      </x:c>
    </x:row>
    <x:row r="177" ht="42" customHeight="1">
      <x:c r="A177" s="1"/>
      <x:c r="B177" s="1"/>
      <x:c r="C177" s="8"/>
      <x:c r="D177" s="8"/>
      <x:c r="E177" s="8"/>
      <x:c r="F177" s="8"/>
      <x:c r="G177" s="8"/>
      <x:c r="H177" s="8"/>
      <x:c r="I177" s="10"/>
      <x:c r="J177" s="8"/>
      <x:c r="K177" s="8"/>
      <x:c r="L177" s="8"/>
      <x:c r="M177" s="10"/>
      <x:c r="N177" s="10"/>
      <x:c r="O177" s="9" t="str">
        <x:f>IF(C177="","",IF(AND(S177="Valid",J177="Closed",K177&lt;&gt;"",L177&lt;&gt;"",L177&lt;&gt;H177,ISNUMBER(M177),M177&gt;=N177,M177&lt;=Settings!$F$8),"Verified","Unverified"))</x:f>
      </x:c>
      <x:c r="P177" s="3" t="str">
        <x:f>IF(C177="","",IF(S177&lt;&gt;"Valid","Review",IF(O177="Verified","Closed",IF(J177="Closed","Closure pending",IF(OR(J177="Open",J177="In progress"),"Open","Review")))))</x:f>
      </x:c>
      <x:c r="Q177" s="9" t="str">
        <x:f>IF(C177="","",IF(AND(P177&lt;&gt;"Closed",ISNUMBER(I177),I177&lt;Settings!$F$8),"Overdue","Current"))</x:f>
      </x:c>
      <x:c r="R177" s="9" t="str">
        <x:f>IF(C177="","",IF(Q177="Overdue",Settings!$F$8-I177,0))</x:f>
      </x:c>
      <x:c r="S177" s="9" t="str">
        <x:f>IF(C177="","",IF(COUNTIF($C$9:$C$308,C177)&lt;&gt;1,"Duplicate ID",IF(COUNTIF(Borrowers!$C$9:$C$108,D177)&lt;&gt;1,"Borrower key",IF(OR(NOT(OR(E177="E&amp;S",E177="Taxonomy",E177="Climate",E177="Data")),NOT(OR(F177="Critical",F177="High",F177="Moderate",F177="Low")),NOT(OR(J177="Open",J177="In progress",J177="Closed")),G177="",H177="",NOT(ISNUMBER(I177)),NOT(ISNUMBER(N177)),I177&lt;N177,N177&gt;Settings!$F$8),"Incomplete","Valid"))))</x:f>
      </x:c>
      <x:c r="T177" s="9" t="str">
        <x:f>IF(C177="","",IFERROR(INDEX('Borrowers'!$D$9:$D$108,MATCH(D177,'Borrowers'!$C$9:$C$108,0)),""))</x:f>
      </x:c>
      <x:c r="U177" s="3" t="str">
        <x:f>IF(C177="","","S01 ESRMS I.4–9; bank decision policy")</x:f>
      </x:c>
    </x:row>
    <x:row r="178" ht="42" customHeight="1">
      <x:c r="A178" s="1"/>
      <x:c r="B178" s="1"/>
      <x:c r="C178" s="8"/>
      <x:c r="D178" s="8"/>
      <x:c r="E178" s="8"/>
      <x:c r="F178" s="8"/>
      <x:c r="G178" s="8"/>
      <x:c r="H178" s="8"/>
      <x:c r="I178" s="10"/>
      <x:c r="J178" s="8"/>
      <x:c r="K178" s="8"/>
      <x:c r="L178" s="8"/>
      <x:c r="M178" s="10"/>
      <x:c r="N178" s="10"/>
      <x:c r="O178" s="9" t="str">
        <x:f>IF(C178="","",IF(AND(S178="Valid",J178="Closed",K178&lt;&gt;"",L178&lt;&gt;"",L178&lt;&gt;H178,ISNUMBER(M178),M178&gt;=N178,M178&lt;=Settings!$F$8),"Verified","Unverified"))</x:f>
      </x:c>
      <x:c r="P178" s="3" t="str">
        <x:f>IF(C178="","",IF(S178&lt;&gt;"Valid","Review",IF(O178="Verified","Closed",IF(J178="Closed","Closure pending",IF(OR(J178="Open",J178="In progress"),"Open","Review")))))</x:f>
      </x:c>
      <x:c r="Q178" s="9" t="str">
        <x:f>IF(C178="","",IF(AND(P178&lt;&gt;"Closed",ISNUMBER(I178),I178&lt;Settings!$F$8),"Overdue","Current"))</x:f>
      </x:c>
      <x:c r="R178" s="9" t="str">
        <x:f>IF(C178="","",IF(Q178="Overdue",Settings!$F$8-I178,0))</x:f>
      </x:c>
      <x:c r="S178" s="9" t="str">
        <x:f>IF(C178="","",IF(COUNTIF($C$9:$C$308,C178)&lt;&gt;1,"Duplicate ID",IF(COUNTIF(Borrowers!$C$9:$C$108,D178)&lt;&gt;1,"Borrower key",IF(OR(NOT(OR(E178="E&amp;S",E178="Taxonomy",E178="Climate",E178="Data")),NOT(OR(F178="Critical",F178="High",F178="Moderate",F178="Low")),NOT(OR(J178="Open",J178="In progress",J178="Closed")),G178="",H178="",NOT(ISNUMBER(I178)),NOT(ISNUMBER(N178)),I178&lt;N178,N178&gt;Settings!$F$8),"Incomplete","Valid"))))</x:f>
      </x:c>
      <x:c r="T178" s="9" t="str">
        <x:f>IF(C178="","",IFERROR(INDEX('Borrowers'!$D$9:$D$108,MATCH(D178,'Borrowers'!$C$9:$C$108,0)),""))</x:f>
      </x:c>
      <x:c r="U178" s="3" t="str">
        <x:f>IF(C178="","","S01 ESRMS I.4–9; bank decision policy")</x:f>
      </x:c>
    </x:row>
    <x:row r="179" ht="42" customHeight="1">
      <x:c r="A179" s="1"/>
      <x:c r="B179" s="1"/>
      <x:c r="C179" s="8"/>
      <x:c r="D179" s="8"/>
      <x:c r="E179" s="8"/>
      <x:c r="F179" s="8"/>
      <x:c r="G179" s="8"/>
      <x:c r="H179" s="8"/>
      <x:c r="I179" s="10"/>
      <x:c r="J179" s="8"/>
      <x:c r="K179" s="8"/>
      <x:c r="L179" s="8"/>
      <x:c r="M179" s="10"/>
      <x:c r="N179" s="10"/>
      <x:c r="O179" s="9" t="str">
        <x:f>IF(C179="","",IF(AND(S179="Valid",J179="Closed",K179&lt;&gt;"",L179&lt;&gt;"",L179&lt;&gt;H179,ISNUMBER(M179),M179&gt;=N179,M179&lt;=Settings!$F$8),"Verified","Unverified"))</x:f>
      </x:c>
      <x:c r="P179" s="3" t="str">
        <x:f>IF(C179="","",IF(S179&lt;&gt;"Valid","Review",IF(O179="Verified","Closed",IF(J179="Closed","Closure pending",IF(OR(J179="Open",J179="In progress"),"Open","Review")))))</x:f>
      </x:c>
      <x:c r="Q179" s="9" t="str">
        <x:f>IF(C179="","",IF(AND(P179&lt;&gt;"Closed",ISNUMBER(I179),I179&lt;Settings!$F$8),"Overdue","Current"))</x:f>
      </x:c>
      <x:c r="R179" s="9" t="str">
        <x:f>IF(C179="","",IF(Q179="Overdue",Settings!$F$8-I179,0))</x:f>
      </x:c>
      <x:c r="S179" s="9" t="str">
        <x:f>IF(C179="","",IF(COUNTIF($C$9:$C$308,C179)&lt;&gt;1,"Duplicate ID",IF(COUNTIF(Borrowers!$C$9:$C$108,D179)&lt;&gt;1,"Borrower key",IF(OR(NOT(OR(E179="E&amp;S",E179="Taxonomy",E179="Climate",E179="Data")),NOT(OR(F179="Critical",F179="High",F179="Moderate",F179="Low")),NOT(OR(J179="Open",J179="In progress",J179="Closed")),G179="",H179="",NOT(ISNUMBER(I179)),NOT(ISNUMBER(N179)),I179&lt;N179,N179&gt;Settings!$F$8),"Incomplete","Valid"))))</x:f>
      </x:c>
      <x:c r="T179" s="9" t="str">
        <x:f>IF(C179="","",IFERROR(INDEX('Borrowers'!$D$9:$D$108,MATCH(D179,'Borrowers'!$C$9:$C$108,0)),""))</x:f>
      </x:c>
      <x:c r="U179" s="3" t="str">
        <x:f>IF(C179="","","S01 ESRMS I.4–9; bank decision policy")</x:f>
      </x:c>
    </x:row>
    <x:row r="180" ht="42" customHeight="1">
      <x:c r="A180" s="1"/>
      <x:c r="B180" s="1"/>
      <x:c r="C180" s="8"/>
      <x:c r="D180" s="8"/>
      <x:c r="E180" s="8"/>
      <x:c r="F180" s="8"/>
      <x:c r="G180" s="8"/>
      <x:c r="H180" s="8"/>
      <x:c r="I180" s="10"/>
      <x:c r="J180" s="8"/>
      <x:c r="K180" s="8"/>
      <x:c r="L180" s="8"/>
      <x:c r="M180" s="10"/>
      <x:c r="N180" s="10"/>
      <x:c r="O180" s="9" t="str">
        <x:f>IF(C180="","",IF(AND(S180="Valid",J180="Closed",K180&lt;&gt;"",L180&lt;&gt;"",L180&lt;&gt;H180,ISNUMBER(M180),M180&gt;=N180,M180&lt;=Settings!$F$8),"Verified","Unverified"))</x:f>
      </x:c>
      <x:c r="P180" s="3" t="str">
        <x:f>IF(C180="","",IF(S180&lt;&gt;"Valid","Review",IF(O180="Verified","Closed",IF(J180="Closed","Closure pending",IF(OR(J180="Open",J180="In progress"),"Open","Review")))))</x:f>
      </x:c>
      <x:c r="Q180" s="9" t="str">
        <x:f>IF(C180="","",IF(AND(P180&lt;&gt;"Closed",ISNUMBER(I180),I180&lt;Settings!$F$8),"Overdue","Current"))</x:f>
      </x:c>
      <x:c r="R180" s="9" t="str">
        <x:f>IF(C180="","",IF(Q180="Overdue",Settings!$F$8-I180,0))</x:f>
      </x:c>
      <x:c r="S180" s="9" t="str">
        <x:f>IF(C180="","",IF(COUNTIF($C$9:$C$308,C180)&lt;&gt;1,"Duplicate ID",IF(COUNTIF(Borrowers!$C$9:$C$108,D180)&lt;&gt;1,"Borrower key",IF(OR(NOT(OR(E180="E&amp;S",E180="Taxonomy",E180="Climate",E180="Data")),NOT(OR(F180="Critical",F180="High",F180="Moderate",F180="Low")),NOT(OR(J180="Open",J180="In progress",J180="Closed")),G180="",H180="",NOT(ISNUMBER(I180)),NOT(ISNUMBER(N180)),I180&lt;N180,N180&gt;Settings!$F$8),"Incomplete","Valid"))))</x:f>
      </x:c>
      <x:c r="T180" s="9" t="str">
        <x:f>IF(C180="","",IFERROR(INDEX('Borrowers'!$D$9:$D$108,MATCH(D180,'Borrowers'!$C$9:$C$108,0)),""))</x:f>
      </x:c>
      <x:c r="U180" s="3" t="str">
        <x:f>IF(C180="","","S01 ESRMS I.4–9; bank decision policy")</x:f>
      </x:c>
    </x:row>
    <x:row r="181" ht="42" customHeight="1">
      <x:c r="A181" s="1"/>
      <x:c r="B181" s="1"/>
      <x:c r="C181" s="8"/>
      <x:c r="D181" s="8"/>
      <x:c r="E181" s="8"/>
      <x:c r="F181" s="8"/>
      <x:c r="G181" s="8"/>
      <x:c r="H181" s="8"/>
      <x:c r="I181" s="10"/>
      <x:c r="J181" s="8"/>
      <x:c r="K181" s="8"/>
      <x:c r="L181" s="8"/>
      <x:c r="M181" s="10"/>
      <x:c r="N181" s="10"/>
      <x:c r="O181" s="9" t="str">
        <x:f>IF(C181="","",IF(AND(S181="Valid",J181="Closed",K181&lt;&gt;"",L181&lt;&gt;"",L181&lt;&gt;H181,ISNUMBER(M181),M181&gt;=N181,M181&lt;=Settings!$F$8),"Verified","Unverified"))</x:f>
      </x:c>
      <x:c r="P181" s="3" t="str">
        <x:f>IF(C181="","",IF(S181&lt;&gt;"Valid","Review",IF(O181="Verified","Closed",IF(J181="Closed","Closure pending",IF(OR(J181="Open",J181="In progress"),"Open","Review")))))</x:f>
      </x:c>
      <x:c r="Q181" s="9" t="str">
        <x:f>IF(C181="","",IF(AND(P181&lt;&gt;"Closed",ISNUMBER(I181),I181&lt;Settings!$F$8),"Overdue","Current"))</x:f>
      </x:c>
      <x:c r="R181" s="9" t="str">
        <x:f>IF(C181="","",IF(Q181="Overdue",Settings!$F$8-I181,0))</x:f>
      </x:c>
      <x:c r="S181" s="9" t="str">
        <x:f>IF(C181="","",IF(COUNTIF($C$9:$C$308,C181)&lt;&gt;1,"Duplicate ID",IF(COUNTIF(Borrowers!$C$9:$C$108,D181)&lt;&gt;1,"Borrower key",IF(OR(NOT(OR(E181="E&amp;S",E181="Taxonomy",E181="Climate",E181="Data")),NOT(OR(F181="Critical",F181="High",F181="Moderate",F181="Low")),NOT(OR(J181="Open",J181="In progress",J181="Closed")),G181="",H181="",NOT(ISNUMBER(I181)),NOT(ISNUMBER(N181)),I181&lt;N181,N181&gt;Settings!$F$8),"Incomplete","Valid"))))</x:f>
      </x:c>
      <x:c r="T181" s="9" t="str">
        <x:f>IF(C181="","",IFERROR(INDEX('Borrowers'!$D$9:$D$108,MATCH(D181,'Borrowers'!$C$9:$C$108,0)),""))</x:f>
      </x:c>
      <x:c r="U181" s="3" t="str">
        <x:f>IF(C181="","","S01 ESRMS I.4–9; bank decision policy")</x:f>
      </x:c>
    </x:row>
    <x:row r="182" ht="42" customHeight="1">
      <x:c r="A182" s="1"/>
      <x:c r="B182" s="1"/>
      <x:c r="C182" s="8"/>
      <x:c r="D182" s="8"/>
      <x:c r="E182" s="8"/>
      <x:c r="F182" s="8"/>
      <x:c r="G182" s="8"/>
      <x:c r="H182" s="8"/>
      <x:c r="I182" s="10"/>
      <x:c r="J182" s="8"/>
      <x:c r="K182" s="8"/>
      <x:c r="L182" s="8"/>
      <x:c r="M182" s="10"/>
      <x:c r="N182" s="10"/>
      <x:c r="O182" s="9" t="str">
        <x:f>IF(C182="","",IF(AND(S182="Valid",J182="Closed",K182&lt;&gt;"",L182&lt;&gt;"",L182&lt;&gt;H182,ISNUMBER(M182),M182&gt;=N182,M182&lt;=Settings!$F$8),"Verified","Unverified"))</x:f>
      </x:c>
      <x:c r="P182" s="3" t="str">
        <x:f>IF(C182="","",IF(S182&lt;&gt;"Valid","Review",IF(O182="Verified","Closed",IF(J182="Closed","Closure pending",IF(OR(J182="Open",J182="In progress"),"Open","Review")))))</x:f>
      </x:c>
      <x:c r="Q182" s="9" t="str">
        <x:f>IF(C182="","",IF(AND(P182&lt;&gt;"Closed",ISNUMBER(I182),I182&lt;Settings!$F$8),"Overdue","Current"))</x:f>
      </x:c>
      <x:c r="R182" s="9" t="str">
        <x:f>IF(C182="","",IF(Q182="Overdue",Settings!$F$8-I182,0))</x:f>
      </x:c>
      <x:c r="S182" s="9" t="str">
        <x:f>IF(C182="","",IF(COUNTIF($C$9:$C$308,C182)&lt;&gt;1,"Duplicate ID",IF(COUNTIF(Borrowers!$C$9:$C$108,D182)&lt;&gt;1,"Borrower key",IF(OR(NOT(OR(E182="E&amp;S",E182="Taxonomy",E182="Climate",E182="Data")),NOT(OR(F182="Critical",F182="High",F182="Moderate",F182="Low")),NOT(OR(J182="Open",J182="In progress",J182="Closed")),G182="",H182="",NOT(ISNUMBER(I182)),NOT(ISNUMBER(N182)),I182&lt;N182,N182&gt;Settings!$F$8),"Incomplete","Valid"))))</x:f>
      </x:c>
      <x:c r="T182" s="9" t="str">
        <x:f>IF(C182="","",IFERROR(INDEX('Borrowers'!$D$9:$D$108,MATCH(D182,'Borrowers'!$C$9:$C$108,0)),""))</x:f>
      </x:c>
      <x:c r="U182" s="3" t="str">
        <x:f>IF(C182="","","S01 ESRMS I.4–9; bank decision policy")</x:f>
      </x:c>
    </x:row>
    <x:row r="183" ht="42" customHeight="1">
      <x:c r="A183" s="1"/>
      <x:c r="B183" s="1"/>
      <x:c r="C183" s="8"/>
      <x:c r="D183" s="8"/>
      <x:c r="E183" s="8"/>
      <x:c r="F183" s="8"/>
      <x:c r="G183" s="8"/>
      <x:c r="H183" s="8"/>
      <x:c r="I183" s="10"/>
      <x:c r="J183" s="8"/>
      <x:c r="K183" s="8"/>
      <x:c r="L183" s="8"/>
      <x:c r="M183" s="10"/>
      <x:c r="N183" s="10"/>
      <x:c r="O183" s="9" t="str">
        <x:f>IF(C183="","",IF(AND(S183="Valid",J183="Closed",K183&lt;&gt;"",L183&lt;&gt;"",L183&lt;&gt;H183,ISNUMBER(M183),M183&gt;=N183,M183&lt;=Settings!$F$8),"Verified","Unverified"))</x:f>
      </x:c>
      <x:c r="P183" s="3" t="str">
        <x:f>IF(C183="","",IF(S183&lt;&gt;"Valid","Review",IF(O183="Verified","Closed",IF(J183="Closed","Closure pending",IF(OR(J183="Open",J183="In progress"),"Open","Review")))))</x:f>
      </x:c>
      <x:c r="Q183" s="9" t="str">
        <x:f>IF(C183="","",IF(AND(P183&lt;&gt;"Closed",ISNUMBER(I183),I183&lt;Settings!$F$8),"Overdue","Current"))</x:f>
      </x:c>
      <x:c r="R183" s="9" t="str">
        <x:f>IF(C183="","",IF(Q183="Overdue",Settings!$F$8-I183,0))</x:f>
      </x:c>
      <x:c r="S183" s="9" t="str">
        <x:f>IF(C183="","",IF(COUNTIF($C$9:$C$308,C183)&lt;&gt;1,"Duplicate ID",IF(COUNTIF(Borrowers!$C$9:$C$108,D183)&lt;&gt;1,"Borrower key",IF(OR(NOT(OR(E183="E&amp;S",E183="Taxonomy",E183="Climate",E183="Data")),NOT(OR(F183="Critical",F183="High",F183="Moderate",F183="Low")),NOT(OR(J183="Open",J183="In progress",J183="Closed")),G183="",H183="",NOT(ISNUMBER(I183)),NOT(ISNUMBER(N183)),I183&lt;N183,N183&gt;Settings!$F$8),"Incomplete","Valid"))))</x:f>
      </x:c>
      <x:c r="T183" s="9" t="str">
        <x:f>IF(C183="","",IFERROR(INDEX('Borrowers'!$D$9:$D$108,MATCH(D183,'Borrowers'!$C$9:$C$108,0)),""))</x:f>
      </x:c>
      <x:c r="U183" s="3" t="str">
        <x:f>IF(C183="","","S01 ESRMS I.4–9; bank decision policy")</x:f>
      </x:c>
    </x:row>
    <x:row r="184" ht="42" customHeight="1">
      <x:c r="A184" s="1"/>
      <x:c r="B184" s="1"/>
      <x:c r="C184" s="8"/>
      <x:c r="D184" s="8"/>
      <x:c r="E184" s="8"/>
      <x:c r="F184" s="8"/>
      <x:c r="G184" s="8"/>
      <x:c r="H184" s="8"/>
      <x:c r="I184" s="10"/>
      <x:c r="J184" s="8"/>
      <x:c r="K184" s="8"/>
      <x:c r="L184" s="8"/>
      <x:c r="M184" s="10"/>
      <x:c r="N184" s="10"/>
      <x:c r="O184" s="9" t="str">
        <x:f>IF(C184="","",IF(AND(S184="Valid",J184="Closed",K184&lt;&gt;"",L184&lt;&gt;"",L184&lt;&gt;H184,ISNUMBER(M184),M184&gt;=N184,M184&lt;=Settings!$F$8),"Verified","Unverified"))</x:f>
      </x:c>
      <x:c r="P184" s="3" t="str">
        <x:f>IF(C184="","",IF(S184&lt;&gt;"Valid","Review",IF(O184="Verified","Closed",IF(J184="Closed","Closure pending",IF(OR(J184="Open",J184="In progress"),"Open","Review")))))</x:f>
      </x:c>
      <x:c r="Q184" s="9" t="str">
        <x:f>IF(C184="","",IF(AND(P184&lt;&gt;"Closed",ISNUMBER(I184),I184&lt;Settings!$F$8),"Overdue","Current"))</x:f>
      </x:c>
      <x:c r="R184" s="9" t="str">
        <x:f>IF(C184="","",IF(Q184="Overdue",Settings!$F$8-I184,0))</x:f>
      </x:c>
      <x:c r="S184" s="9" t="str">
        <x:f>IF(C184="","",IF(COUNTIF($C$9:$C$308,C184)&lt;&gt;1,"Duplicate ID",IF(COUNTIF(Borrowers!$C$9:$C$108,D184)&lt;&gt;1,"Borrower key",IF(OR(NOT(OR(E184="E&amp;S",E184="Taxonomy",E184="Climate",E184="Data")),NOT(OR(F184="Critical",F184="High",F184="Moderate",F184="Low")),NOT(OR(J184="Open",J184="In progress",J184="Closed")),G184="",H184="",NOT(ISNUMBER(I184)),NOT(ISNUMBER(N184)),I184&lt;N184,N184&gt;Settings!$F$8),"Incomplete","Valid"))))</x:f>
      </x:c>
      <x:c r="T184" s="9" t="str">
        <x:f>IF(C184="","",IFERROR(INDEX('Borrowers'!$D$9:$D$108,MATCH(D184,'Borrowers'!$C$9:$C$108,0)),""))</x:f>
      </x:c>
      <x:c r="U184" s="3" t="str">
        <x:f>IF(C184="","","S01 ESRMS I.4–9; bank decision policy")</x:f>
      </x:c>
    </x:row>
    <x:row r="185" ht="42" customHeight="1">
      <x:c r="A185" s="1"/>
      <x:c r="B185" s="1"/>
      <x:c r="C185" s="8"/>
      <x:c r="D185" s="8"/>
      <x:c r="E185" s="8"/>
      <x:c r="F185" s="8"/>
      <x:c r="G185" s="8"/>
      <x:c r="H185" s="8"/>
      <x:c r="I185" s="10"/>
      <x:c r="J185" s="8"/>
      <x:c r="K185" s="8"/>
      <x:c r="L185" s="8"/>
      <x:c r="M185" s="10"/>
      <x:c r="N185" s="10"/>
      <x:c r="O185" s="9" t="str">
        <x:f>IF(C185="","",IF(AND(S185="Valid",J185="Closed",K185&lt;&gt;"",L185&lt;&gt;"",L185&lt;&gt;H185,ISNUMBER(M185),M185&gt;=N185,M185&lt;=Settings!$F$8),"Verified","Unverified"))</x:f>
      </x:c>
      <x:c r="P185" s="3" t="str">
        <x:f>IF(C185="","",IF(S185&lt;&gt;"Valid","Review",IF(O185="Verified","Closed",IF(J185="Closed","Closure pending",IF(OR(J185="Open",J185="In progress"),"Open","Review")))))</x:f>
      </x:c>
      <x:c r="Q185" s="9" t="str">
        <x:f>IF(C185="","",IF(AND(P185&lt;&gt;"Closed",ISNUMBER(I185),I185&lt;Settings!$F$8),"Overdue","Current"))</x:f>
      </x:c>
      <x:c r="R185" s="9" t="str">
        <x:f>IF(C185="","",IF(Q185="Overdue",Settings!$F$8-I185,0))</x:f>
      </x:c>
      <x:c r="S185" s="9" t="str">
        <x:f>IF(C185="","",IF(COUNTIF($C$9:$C$308,C185)&lt;&gt;1,"Duplicate ID",IF(COUNTIF(Borrowers!$C$9:$C$108,D185)&lt;&gt;1,"Borrower key",IF(OR(NOT(OR(E185="E&amp;S",E185="Taxonomy",E185="Climate",E185="Data")),NOT(OR(F185="Critical",F185="High",F185="Moderate",F185="Low")),NOT(OR(J185="Open",J185="In progress",J185="Closed")),G185="",H185="",NOT(ISNUMBER(I185)),NOT(ISNUMBER(N185)),I185&lt;N185,N185&gt;Settings!$F$8),"Incomplete","Valid"))))</x:f>
      </x:c>
      <x:c r="T185" s="9" t="str">
        <x:f>IF(C185="","",IFERROR(INDEX('Borrowers'!$D$9:$D$108,MATCH(D185,'Borrowers'!$C$9:$C$108,0)),""))</x:f>
      </x:c>
      <x:c r="U185" s="3" t="str">
        <x:f>IF(C185="","","S01 ESRMS I.4–9; bank decision policy")</x:f>
      </x:c>
    </x:row>
    <x:row r="186" ht="42" customHeight="1">
      <x:c r="A186" s="1"/>
      <x:c r="B186" s="1"/>
      <x:c r="C186" s="8"/>
      <x:c r="D186" s="8"/>
      <x:c r="E186" s="8"/>
      <x:c r="F186" s="8"/>
      <x:c r="G186" s="8"/>
      <x:c r="H186" s="8"/>
      <x:c r="I186" s="10"/>
      <x:c r="J186" s="8"/>
      <x:c r="K186" s="8"/>
      <x:c r="L186" s="8"/>
      <x:c r="M186" s="10"/>
      <x:c r="N186" s="10"/>
      <x:c r="O186" s="9" t="str">
        <x:f>IF(C186="","",IF(AND(S186="Valid",J186="Closed",K186&lt;&gt;"",L186&lt;&gt;"",L186&lt;&gt;H186,ISNUMBER(M186),M186&gt;=N186,M186&lt;=Settings!$F$8),"Verified","Unverified"))</x:f>
      </x:c>
      <x:c r="P186" s="3" t="str">
        <x:f>IF(C186="","",IF(S186&lt;&gt;"Valid","Review",IF(O186="Verified","Closed",IF(J186="Closed","Closure pending",IF(OR(J186="Open",J186="In progress"),"Open","Review")))))</x:f>
      </x:c>
      <x:c r="Q186" s="9" t="str">
        <x:f>IF(C186="","",IF(AND(P186&lt;&gt;"Closed",ISNUMBER(I186),I186&lt;Settings!$F$8),"Overdue","Current"))</x:f>
      </x:c>
      <x:c r="R186" s="9" t="str">
        <x:f>IF(C186="","",IF(Q186="Overdue",Settings!$F$8-I186,0))</x:f>
      </x:c>
      <x:c r="S186" s="9" t="str">
        <x:f>IF(C186="","",IF(COUNTIF($C$9:$C$308,C186)&lt;&gt;1,"Duplicate ID",IF(COUNTIF(Borrowers!$C$9:$C$108,D186)&lt;&gt;1,"Borrower key",IF(OR(NOT(OR(E186="E&amp;S",E186="Taxonomy",E186="Climate",E186="Data")),NOT(OR(F186="Critical",F186="High",F186="Moderate",F186="Low")),NOT(OR(J186="Open",J186="In progress",J186="Closed")),G186="",H186="",NOT(ISNUMBER(I186)),NOT(ISNUMBER(N186)),I186&lt;N186,N186&gt;Settings!$F$8),"Incomplete","Valid"))))</x:f>
      </x:c>
      <x:c r="T186" s="9" t="str">
        <x:f>IF(C186="","",IFERROR(INDEX('Borrowers'!$D$9:$D$108,MATCH(D186,'Borrowers'!$C$9:$C$108,0)),""))</x:f>
      </x:c>
      <x:c r="U186" s="3" t="str">
        <x:f>IF(C186="","","S01 ESRMS I.4–9; bank decision policy")</x:f>
      </x:c>
    </x:row>
    <x:row r="187" ht="42" customHeight="1">
      <x:c r="A187" s="1"/>
      <x:c r="B187" s="1"/>
      <x:c r="C187" s="8"/>
      <x:c r="D187" s="8"/>
      <x:c r="E187" s="8"/>
      <x:c r="F187" s="8"/>
      <x:c r="G187" s="8"/>
      <x:c r="H187" s="8"/>
      <x:c r="I187" s="10"/>
      <x:c r="J187" s="8"/>
      <x:c r="K187" s="8"/>
      <x:c r="L187" s="8"/>
      <x:c r="M187" s="10"/>
      <x:c r="N187" s="10"/>
      <x:c r="O187" s="9" t="str">
        <x:f>IF(C187="","",IF(AND(S187="Valid",J187="Closed",K187&lt;&gt;"",L187&lt;&gt;"",L187&lt;&gt;H187,ISNUMBER(M187),M187&gt;=N187,M187&lt;=Settings!$F$8),"Verified","Unverified"))</x:f>
      </x:c>
      <x:c r="P187" s="3" t="str">
        <x:f>IF(C187="","",IF(S187&lt;&gt;"Valid","Review",IF(O187="Verified","Closed",IF(J187="Closed","Closure pending",IF(OR(J187="Open",J187="In progress"),"Open","Review")))))</x:f>
      </x:c>
      <x:c r="Q187" s="9" t="str">
        <x:f>IF(C187="","",IF(AND(P187&lt;&gt;"Closed",ISNUMBER(I187),I187&lt;Settings!$F$8),"Overdue","Current"))</x:f>
      </x:c>
      <x:c r="R187" s="9" t="str">
        <x:f>IF(C187="","",IF(Q187="Overdue",Settings!$F$8-I187,0))</x:f>
      </x:c>
      <x:c r="S187" s="9" t="str">
        <x:f>IF(C187="","",IF(COUNTIF($C$9:$C$308,C187)&lt;&gt;1,"Duplicate ID",IF(COUNTIF(Borrowers!$C$9:$C$108,D187)&lt;&gt;1,"Borrower key",IF(OR(NOT(OR(E187="E&amp;S",E187="Taxonomy",E187="Climate",E187="Data")),NOT(OR(F187="Critical",F187="High",F187="Moderate",F187="Low")),NOT(OR(J187="Open",J187="In progress",J187="Closed")),G187="",H187="",NOT(ISNUMBER(I187)),NOT(ISNUMBER(N187)),I187&lt;N187,N187&gt;Settings!$F$8),"Incomplete","Valid"))))</x:f>
      </x:c>
      <x:c r="T187" s="9" t="str">
        <x:f>IF(C187="","",IFERROR(INDEX('Borrowers'!$D$9:$D$108,MATCH(D187,'Borrowers'!$C$9:$C$108,0)),""))</x:f>
      </x:c>
      <x:c r="U187" s="3" t="str">
        <x:f>IF(C187="","","S01 ESRMS I.4–9; bank decision policy")</x:f>
      </x:c>
    </x:row>
    <x:row r="188" ht="42" customHeight="1">
      <x:c r="A188" s="1"/>
      <x:c r="B188" s="1"/>
      <x:c r="C188" s="8"/>
      <x:c r="D188" s="8"/>
      <x:c r="E188" s="8"/>
      <x:c r="F188" s="8"/>
      <x:c r="G188" s="8"/>
      <x:c r="H188" s="8"/>
      <x:c r="I188" s="10"/>
      <x:c r="J188" s="8"/>
      <x:c r="K188" s="8"/>
      <x:c r="L188" s="8"/>
      <x:c r="M188" s="10"/>
      <x:c r="N188" s="10"/>
      <x:c r="O188" s="9" t="str">
        <x:f>IF(C188="","",IF(AND(S188="Valid",J188="Closed",K188&lt;&gt;"",L188&lt;&gt;"",L188&lt;&gt;H188,ISNUMBER(M188),M188&gt;=N188,M188&lt;=Settings!$F$8),"Verified","Unverified"))</x:f>
      </x:c>
      <x:c r="P188" s="3" t="str">
        <x:f>IF(C188="","",IF(S188&lt;&gt;"Valid","Review",IF(O188="Verified","Closed",IF(J188="Closed","Closure pending",IF(OR(J188="Open",J188="In progress"),"Open","Review")))))</x:f>
      </x:c>
      <x:c r="Q188" s="9" t="str">
        <x:f>IF(C188="","",IF(AND(P188&lt;&gt;"Closed",ISNUMBER(I188),I188&lt;Settings!$F$8),"Overdue","Current"))</x:f>
      </x:c>
      <x:c r="R188" s="9" t="str">
        <x:f>IF(C188="","",IF(Q188="Overdue",Settings!$F$8-I188,0))</x:f>
      </x:c>
      <x:c r="S188" s="9" t="str">
        <x:f>IF(C188="","",IF(COUNTIF($C$9:$C$308,C188)&lt;&gt;1,"Duplicate ID",IF(COUNTIF(Borrowers!$C$9:$C$108,D188)&lt;&gt;1,"Borrower key",IF(OR(NOT(OR(E188="E&amp;S",E188="Taxonomy",E188="Climate",E188="Data")),NOT(OR(F188="Critical",F188="High",F188="Moderate",F188="Low")),NOT(OR(J188="Open",J188="In progress",J188="Closed")),G188="",H188="",NOT(ISNUMBER(I188)),NOT(ISNUMBER(N188)),I188&lt;N188,N188&gt;Settings!$F$8),"Incomplete","Valid"))))</x:f>
      </x:c>
      <x:c r="T188" s="9" t="str">
        <x:f>IF(C188="","",IFERROR(INDEX('Borrowers'!$D$9:$D$108,MATCH(D188,'Borrowers'!$C$9:$C$108,0)),""))</x:f>
      </x:c>
      <x:c r="U188" s="3" t="str">
        <x:f>IF(C188="","","S01 ESRMS I.4–9; bank decision policy")</x:f>
      </x:c>
    </x:row>
    <x:row r="189" ht="42" customHeight="1">
      <x:c r="A189" s="1"/>
      <x:c r="B189" s="1"/>
      <x:c r="C189" s="8"/>
      <x:c r="D189" s="8"/>
      <x:c r="E189" s="8"/>
      <x:c r="F189" s="8"/>
      <x:c r="G189" s="8"/>
      <x:c r="H189" s="8"/>
      <x:c r="I189" s="10"/>
      <x:c r="J189" s="8"/>
      <x:c r="K189" s="8"/>
      <x:c r="L189" s="8"/>
      <x:c r="M189" s="10"/>
      <x:c r="N189" s="10"/>
      <x:c r="O189" s="9" t="str">
        <x:f>IF(C189="","",IF(AND(S189="Valid",J189="Closed",K189&lt;&gt;"",L189&lt;&gt;"",L189&lt;&gt;H189,ISNUMBER(M189),M189&gt;=N189,M189&lt;=Settings!$F$8),"Verified","Unverified"))</x:f>
      </x:c>
      <x:c r="P189" s="3" t="str">
        <x:f>IF(C189="","",IF(S189&lt;&gt;"Valid","Review",IF(O189="Verified","Closed",IF(J189="Closed","Closure pending",IF(OR(J189="Open",J189="In progress"),"Open","Review")))))</x:f>
      </x:c>
      <x:c r="Q189" s="9" t="str">
        <x:f>IF(C189="","",IF(AND(P189&lt;&gt;"Closed",ISNUMBER(I189),I189&lt;Settings!$F$8),"Overdue","Current"))</x:f>
      </x:c>
      <x:c r="R189" s="9" t="str">
        <x:f>IF(C189="","",IF(Q189="Overdue",Settings!$F$8-I189,0))</x:f>
      </x:c>
      <x:c r="S189" s="9" t="str">
        <x:f>IF(C189="","",IF(COUNTIF($C$9:$C$308,C189)&lt;&gt;1,"Duplicate ID",IF(COUNTIF(Borrowers!$C$9:$C$108,D189)&lt;&gt;1,"Borrower key",IF(OR(NOT(OR(E189="E&amp;S",E189="Taxonomy",E189="Climate",E189="Data")),NOT(OR(F189="Critical",F189="High",F189="Moderate",F189="Low")),NOT(OR(J189="Open",J189="In progress",J189="Closed")),G189="",H189="",NOT(ISNUMBER(I189)),NOT(ISNUMBER(N189)),I189&lt;N189,N189&gt;Settings!$F$8),"Incomplete","Valid"))))</x:f>
      </x:c>
      <x:c r="T189" s="9" t="str">
        <x:f>IF(C189="","",IFERROR(INDEX('Borrowers'!$D$9:$D$108,MATCH(D189,'Borrowers'!$C$9:$C$108,0)),""))</x:f>
      </x:c>
      <x:c r="U189" s="3" t="str">
        <x:f>IF(C189="","","S01 ESRMS I.4–9; bank decision policy")</x:f>
      </x:c>
    </x:row>
    <x:row r="190" ht="42" customHeight="1">
      <x:c r="A190" s="1"/>
      <x:c r="B190" s="1"/>
      <x:c r="C190" s="8"/>
      <x:c r="D190" s="8"/>
      <x:c r="E190" s="8"/>
      <x:c r="F190" s="8"/>
      <x:c r="G190" s="8"/>
      <x:c r="H190" s="8"/>
      <x:c r="I190" s="10"/>
      <x:c r="J190" s="8"/>
      <x:c r="K190" s="8"/>
      <x:c r="L190" s="8"/>
      <x:c r="M190" s="10"/>
      <x:c r="N190" s="10"/>
      <x:c r="O190" s="9" t="str">
        <x:f>IF(C190="","",IF(AND(S190="Valid",J190="Closed",K190&lt;&gt;"",L190&lt;&gt;"",L190&lt;&gt;H190,ISNUMBER(M190),M190&gt;=N190,M190&lt;=Settings!$F$8),"Verified","Unverified"))</x:f>
      </x:c>
      <x:c r="P190" s="3" t="str">
        <x:f>IF(C190="","",IF(S190&lt;&gt;"Valid","Review",IF(O190="Verified","Closed",IF(J190="Closed","Closure pending",IF(OR(J190="Open",J190="In progress"),"Open","Review")))))</x:f>
      </x:c>
      <x:c r="Q190" s="9" t="str">
        <x:f>IF(C190="","",IF(AND(P190&lt;&gt;"Closed",ISNUMBER(I190),I190&lt;Settings!$F$8),"Overdue","Current"))</x:f>
      </x:c>
      <x:c r="R190" s="9" t="str">
        <x:f>IF(C190="","",IF(Q190="Overdue",Settings!$F$8-I190,0))</x:f>
      </x:c>
      <x:c r="S190" s="9" t="str">
        <x:f>IF(C190="","",IF(COUNTIF($C$9:$C$308,C190)&lt;&gt;1,"Duplicate ID",IF(COUNTIF(Borrowers!$C$9:$C$108,D190)&lt;&gt;1,"Borrower key",IF(OR(NOT(OR(E190="E&amp;S",E190="Taxonomy",E190="Climate",E190="Data")),NOT(OR(F190="Critical",F190="High",F190="Moderate",F190="Low")),NOT(OR(J190="Open",J190="In progress",J190="Closed")),G190="",H190="",NOT(ISNUMBER(I190)),NOT(ISNUMBER(N190)),I190&lt;N190,N190&gt;Settings!$F$8),"Incomplete","Valid"))))</x:f>
      </x:c>
      <x:c r="T190" s="9" t="str">
        <x:f>IF(C190="","",IFERROR(INDEX('Borrowers'!$D$9:$D$108,MATCH(D190,'Borrowers'!$C$9:$C$108,0)),""))</x:f>
      </x:c>
      <x:c r="U190" s="3" t="str">
        <x:f>IF(C190="","","S01 ESRMS I.4–9; bank decision policy")</x:f>
      </x:c>
    </x:row>
    <x:row r="191" ht="42" customHeight="1">
      <x:c r="A191" s="1"/>
      <x:c r="B191" s="1"/>
      <x:c r="C191" s="8"/>
      <x:c r="D191" s="8"/>
      <x:c r="E191" s="8"/>
      <x:c r="F191" s="8"/>
      <x:c r="G191" s="8"/>
      <x:c r="H191" s="8"/>
      <x:c r="I191" s="10"/>
      <x:c r="J191" s="8"/>
      <x:c r="K191" s="8"/>
      <x:c r="L191" s="8"/>
      <x:c r="M191" s="10"/>
      <x:c r="N191" s="10"/>
      <x:c r="O191" s="9" t="str">
        <x:f>IF(C191="","",IF(AND(S191="Valid",J191="Closed",K191&lt;&gt;"",L191&lt;&gt;"",L191&lt;&gt;H191,ISNUMBER(M191),M191&gt;=N191,M191&lt;=Settings!$F$8),"Verified","Unverified"))</x:f>
      </x:c>
      <x:c r="P191" s="3" t="str">
        <x:f>IF(C191="","",IF(S191&lt;&gt;"Valid","Review",IF(O191="Verified","Closed",IF(J191="Closed","Closure pending",IF(OR(J191="Open",J191="In progress"),"Open","Review")))))</x:f>
      </x:c>
      <x:c r="Q191" s="9" t="str">
        <x:f>IF(C191="","",IF(AND(P191&lt;&gt;"Closed",ISNUMBER(I191),I191&lt;Settings!$F$8),"Overdue","Current"))</x:f>
      </x:c>
      <x:c r="R191" s="9" t="str">
        <x:f>IF(C191="","",IF(Q191="Overdue",Settings!$F$8-I191,0))</x:f>
      </x:c>
      <x:c r="S191" s="9" t="str">
        <x:f>IF(C191="","",IF(COUNTIF($C$9:$C$308,C191)&lt;&gt;1,"Duplicate ID",IF(COUNTIF(Borrowers!$C$9:$C$108,D191)&lt;&gt;1,"Borrower key",IF(OR(NOT(OR(E191="E&amp;S",E191="Taxonomy",E191="Climate",E191="Data")),NOT(OR(F191="Critical",F191="High",F191="Moderate",F191="Low")),NOT(OR(J191="Open",J191="In progress",J191="Closed")),G191="",H191="",NOT(ISNUMBER(I191)),NOT(ISNUMBER(N191)),I191&lt;N191,N191&gt;Settings!$F$8),"Incomplete","Valid"))))</x:f>
      </x:c>
      <x:c r="T191" s="9" t="str">
        <x:f>IF(C191="","",IFERROR(INDEX('Borrowers'!$D$9:$D$108,MATCH(D191,'Borrowers'!$C$9:$C$108,0)),""))</x:f>
      </x:c>
      <x:c r="U191" s="3" t="str">
        <x:f>IF(C191="","","S01 ESRMS I.4–9; bank decision policy")</x:f>
      </x:c>
    </x:row>
    <x:row r="192" ht="42" customHeight="1">
      <x:c r="A192" s="1"/>
      <x:c r="B192" s="1"/>
      <x:c r="C192" s="8"/>
      <x:c r="D192" s="8"/>
      <x:c r="E192" s="8"/>
      <x:c r="F192" s="8"/>
      <x:c r="G192" s="8"/>
      <x:c r="H192" s="8"/>
      <x:c r="I192" s="10"/>
      <x:c r="J192" s="8"/>
      <x:c r="K192" s="8"/>
      <x:c r="L192" s="8"/>
      <x:c r="M192" s="10"/>
      <x:c r="N192" s="10"/>
      <x:c r="O192" s="9" t="str">
        <x:f>IF(C192="","",IF(AND(S192="Valid",J192="Closed",K192&lt;&gt;"",L192&lt;&gt;"",L192&lt;&gt;H192,ISNUMBER(M192),M192&gt;=N192,M192&lt;=Settings!$F$8),"Verified","Unverified"))</x:f>
      </x:c>
      <x:c r="P192" s="3" t="str">
        <x:f>IF(C192="","",IF(S192&lt;&gt;"Valid","Review",IF(O192="Verified","Closed",IF(J192="Closed","Closure pending",IF(OR(J192="Open",J192="In progress"),"Open","Review")))))</x:f>
      </x:c>
      <x:c r="Q192" s="9" t="str">
        <x:f>IF(C192="","",IF(AND(P192&lt;&gt;"Closed",ISNUMBER(I192),I192&lt;Settings!$F$8),"Overdue","Current"))</x:f>
      </x:c>
      <x:c r="R192" s="9" t="str">
        <x:f>IF(C192="","",IF(Q192="Overdue",Settings!$F$8-I192,0))</x:f>
      </x:c>
      <x:c r="S192" s="9" t="str">
        <x:f>IF(C192="","",IF(COUNTIF($C$9:$C$308,C192)&lt;&gt;1,"Duplicate ID",IF(COUNTIF(Borrowers!$C$9:$C$108,D192)&lt;&gt;1,"Borrower key",IF(OR(NOT(OR(E192="E&amp;S",E192="Taxonomy",E192="Climate",E192="Data")),NOT(OR(F192="Critical",F192="High",F192="Moderate",F192="Low")),NOT(OR(J192="Open",J192="In progress",J192="Closed")),G192="",H192="",NOT(ISNUMBER(I192)),NOT(ISNUMBER(N192)),I192&lt;N192,N192&gt;Settings!$F$8),"Incomplete","Valid"))))</x:f>
      </x:c>
      <x:c r="T192" s="9" t="str">
        <x:f>IF(C192="","",IFERROR(INDEX('Borrowers'!$D$9:$D$108,MATCH(D192,'Borrowers'!$C$9:$C$108,0)),""))</x:f>
      </x:c>
      <x:c r="U192" s="3" t="str">
        <x:f>IF(C192="","","S01 ESRMS I.4–9; bank decision policy")</x:f>
      </x:c>
    </x:row>
    <x:row r="193" ht="42" customHeight="1">
      <x:c r="A193" s="1"/>
      <x:c r="B193" s="1"/>
      <x:c r="C193" s="8"/>
      <x:c r="D193" s="8"/>
      <x:c r="E193" s="8"/>
      <x:c r="F193" s="8"/>
      <x:c r="G193" s="8"/>
      <x:c r="H193" s="8"/>
      <x:c r="I193" s="10"/>
      <x:c r="J193" s="8"/>
      <x:c r="K193" s="8"/>
      <x:c r="L193" s="8"/>
      <x:c r="M193" s="10"/>
      <x:c r="N193" s="10"/>
      <x:c r="O193" s="9" t="str">
        <x:f>IF(C193="","",IF(AND(S193="Valid",J193="Closed",K193&lt;&gt;"",L193&lt;&gt;"",L193&lt;&gt;H193,ISNUMBER(M193),M193&gt;=N193,M193&lt;=Settings!$F$8),"Verified","Unverified"))</x:f>
      </x:c>
      <x:c r="P193" s="3" t="str">
        <x:f>IF(C193="","",IF(S193&lt;&gt;"Valid","Review",IF(O193="Verified","Closed",IF(J193="Closed","Closure pending",IF(OR(J193="Open",J193="In progress"),"Open","Review")))))</x:f>
      </x:c>
      <x:c r="Q193" s="9" t="str">
        <x:f>IF(C193="","",IF(AND(P193&lt;&gt;"Closed",ISNUMBER(I193),I193&lt;Settings!$F$8),"Overdue","Current"))</x:f>
      </x:c>
      <x:c r="R193" s="9" t="str">
        <x:f>IF(C193="","",IF(Q193="Overdue",Settings!$F$8-I193,0))</x:f>
      </x:c>
      <x:c r="S193" s="9" t="str">
        <x:f>IF(C193="","",IF(COUNTIF($C$9:$C$308,C193)&lt;&gt;1,"Duplicate ID",IF(COUNTIF(Borrowers!$C$9:$C$108,D193)&lt;&gt;1,"Borrower key",IF(OR(NOT(OR(E193="E&amp;S",E193="Taxonomy",E193="Climate",E193="Data")),NOT(OR(F193="Critical",F193="High",F193="Moderate",F193="Low")),NOT(OR(J193="Open",J193="In progress",J193="Closed")),G193="",H193="",NOT(ISNUMBER(I193)),NOT(ISNUMBER(N193)),I193&lt;N193,N193&gt;Settings!$F$8),"Incomplete","Valid"))))</x:f>
      </x:c>
      <x:c r="T193" s="9" t="str">
        <x:f>IF(C193="","",IFERROR(INDEX('Borrowers'!$D$9:$D$108,MATCH(D193,'Borrowers'!$C$9:$C$108,0)),""))</x:f>
      </x:c>
      <x:c r="U193" s="3" t="str">
        <x:f>IF(C193="","","S01 ESRMS I.4–9; bank decision policy")</x:f>
      </x:c>
    </x:row>
    <x:row r="194" ht="42" customHeight="1">
      <x:c r="A194" s="1"/>
      <x:c r="B194" s="1"/>
      <x:c r="C194" s="8"/>
      <x:c r="D194" s="8"/>
      <x:c r="E194" s="8"/>
      <x:c r="F194" s="8"/>
      <x:c r="G194" s="8"/>
      <x:c r="H194" s="8"/>
      <x:c r="I194" s="10"/>
      <x:c r="J194" s="8"/>
      <x:c r="K194" s="8"/>
      <x:c r="L194" s="8"/>
      <x:c r="M194" s="10"/>
      <x:c r="N194" s="10"/>
      <x:c r="O194" s="9" t="str">
        <x:f>IF(C194="","",IF(AND(S194="Valid",J194="Closed",K194&lt;&gt;"",L194&lt;&gt;"",L194&lt;&gt;H194,ISNUMBER(M194),M194&gt;=N194,M194&lt;=Settings!$F$8),"Verified","Unverified"))</x:f>
      </x:c>
      <x:c r="P194" s="3" t="str">
        <x:f>IF(C194="","",IF(S194&lt;&gt;"Valid","Review",IF(O194="Verified","Closed",IF(J194="Closed","Closure pending",IF(OR(J194="Open",J194="In progress"),"Open","Review")))))</x:f>
      </x:c>
      <x:c r="Q194" s="9" t="str">
        <x:f>IF(C194="","",IF(AND(P194&lt;&gt;"Closed",ISNUMBER(I194),I194&lt;Settings!$F$8),"Overdue","Current"))</x:f>
      </x:c>
      <x:c r="R194" s="9" t="str">
        <x:f>IF(C194="","",IF(Q194="Overdue",Settings!$F$8-I194,0))</x:f>
      </x:c>
      <x:c r="S194" s="9" t="str">
        <x:f>IF(C194="","",IF(COUNTIF($C$9:$C$308,C194)&lt;&gt;1,"Duplicate ID",IF(COUNTIF(Borrowers!$C$9:$C$108,D194)&lt;&gt;1,"Borrower key",IF(OR(NOT(OR(E194="E&amp;S",E194="Taxonomy",E194="Climate",E194="Data")),NOT(OR(F194="Critical",F194="High",F194="Moderate",F194="Low")),NOT(OR(J194="Open",J194="In progress",J194="Closed")),G194="",H194="",NOT(ISNUMBER(I194)),NOT(ISNUMBER(N194)),I194&lt;N194,N194&gt;Settings!$F$8),"Incomplete","Valid"))))</x:f>
      </x:c>
      <x:c r="T194" s="9" t="str">
        <x:f>IF(C194="","",IFERROR(INDEX('Borrowers'!$D$9:$D$108,MATCH(D194,'Borrowers'!$C$9:$C$108,0)),""))</x:f>
      </x:c>
      <x:c r="U194" s="3" t="str">
        <x:f>IF(C194="","","S01 ESRMS I.4–9; bank decision policy")</x:f>
      </x:c>
    </x:row>
    <x:row r="195" ht="42" customHeight="1">
      <x:c r="A195" s="1"/>
      <x:c r="B195" s="1"/>
      <x:c r="C195" s="8"/>
      <x:c r="D195" s="8"/>
      <x:c r="E195" s="8"/>
      <x:c r="F195" s="8"/>
      <x:c r="G195" s="8"/>
      <x:c r="H195" s="8"/>
      <x:c r="I195" s="10"/>
      <x:c r="J195" s="8"/>
      <x:c r="K195" s="8"/>
      <x:c r="L195" s="8"/>
      <x:c r="M195" s="10"/>
      <x:c r="N195" s="10"/>
      <x:c r="O195" s="9" t="str">
        <x:f>IF(C195="","",IF(AND(S195="Valid",J195="Closed",K195&lt;&gt;"",L195&lt;&gt;"",L195&lt;&gt;H195,ISNUMBER(M195),M195&gt;=N195,M195&lt;=Settings!$F$8),"Verified","Unverified"))</x:f>
      </x:c>
      <x:c r="P195" s="3" t="str">
        <x:f>IF(C195="","",IF(S195&lt;&gt;"Valid","Review",IF(O195="Verified","Closed",IF(J195="Closed","Closure pending",IF(OR(J195="Open",J195="In progress"),"Open","Review")))))</x:f>
      </x:c>
      <x:c r="Q195" s="9" t="str">
        <x:f>IF(C195="","",IF(AND(P195&lt;&gt;"Closed",ISNUMBER(I195),I195&lt;Settings!$F$8),"Overdue","Current"))</x:f>
      </x:c>
      <x:c r="R195" s="9" t="str">
        <x:f>IF(C195="","",IF(Q195="Overdue",Settings!$F$8-I195,0))</x:f>
      </x:c>
      <x:c r="S195" s="9" t="str">
        <x:f>IF(C195="","",IF(COUNTIF($C$9:$C$308,C195)&lt;&gt;1,"Duplicate ID",IF(COUNTIF(Borrowers!$C$9:$C$108,D195)&lt;&gt;1,"Borrower key",IF(OR(NOT(OR(E195="E&amp;S",E195="Taxonomy",E195="Climate",E195="Data")),NOT(OR(F195="Critical",F195="High",F195="Moderate",F195="Low")),NOT(OR(J195="Open",J195="In progress",J195="Closed")),G195="",H195="",NOT(ISNUMBER(I195)),NOT(ISNUMBER(N195)),I195&lt;N195,N195&gt;Settings!$F$8),"Incomplete","Valid"))))</x:f>
      </x:c>
      <x:c r="T195" s="9" t="str">
        <x:f>IF(C195="","",IFERROR(INDEX('Borrowers'!$D$9:$D$108,MATCH(D195,'Borrowers'!$C$9:$C$108,0)),""))</x:f>
      </x:c>
      <x:c r="U195" s="3" t="str">
        <x:f>IF(C195="","","S01 ESRMS I.4–9; bank decision policy")</x:f>
      </x:c>
    </x:row>
    <x:row r="196" ht="42" customHeight="1">
      <x:c r="A196" s="1"/>
      <x:c r="B196" s="1"/>
      <x:c r="C196" s="8"/>
      <x:c r="D196" s="8"/>
      <x:c r="E196" s="8"/>
      <x:c r="F196" s="8"/>
      <x:c r="G196" s="8"/>
      <x:c r="H196" s="8"/>
      <x:c r="I196" s="10"/>
      <x:c r="J196" s="8"/>
      <x:c r="K196" s="8"/>
      <x:c r="L196" s="8"/>
      <x:c r="M196" s="10"/>
      <x:c r="N196" s="10"/>
      <x:c r="O196" s="9" t="str">
        <x:f>IF(C196="","",IF(AND(S196="Valid",J196="Closed",K196&lt;&gt;"",L196&lt;&gt;"",L196&lt;&gt;H196,ISNUMBER(M196),M196&gt;=N196,M196&lt;=Settings!$F$8),"Verified","Unverified"))</x:f>
      </x:c>
      <x:c r="P196" s="3" t="str">
        <x:f>IF(C196="","",IF(S196&lt;&gt;"Valid","Review",IF(O196="Verified","Closed",IF(J196="Closed","Closure pending",IF(OR(J196="Open",J196="In progress"),"Open","Review")))))</x:f>
      </x:c>
      <x:c r="Q196" s="9" t="str">
        <x:f>IF(C196="","",IF(AND(P196&lt;&gt;"Closed",ISNUMBER(I196),I196&lt;Settings!$F$8),"Overdue","Current"))</x:f>
      </x:c>
      <x:c r="R196" s="9" t="str">
        <x:f>IF(C196="","",IF(Q196="Overdue",Settings!$F$8-I196,0))</x:f>
      </x:c>
      <x:c r="S196" s="9" t="str">
        <x:f>IF(C196="","",IF(COUNTIF($C$9:$C$308,C196)&lt;&gt;1,"Duplicate ID",IF(COUNTIF(Borrowers!$C$9:$C$108,D196)&lt;&gt;1,"Borrower key",IF(OR(NOT(OR(E196="E&amp;S",E196="Taxonomy",E196="Climate",E196="Data")),NOT(OR(F196="Critical",F196="High",F196="Moderate",F196="Low")),NOT(OR(J196="Open",J196="In progress",J196="Closed")),G196="",H196="",NOT(ISNUMBER(I196)),NOT(ISNUMBER(N196)),I196&lt;N196,N196&gt;Settings!$F$8),"Incomplete","Valid"))))</x:f>
      </x:c>
      <x:c r="T196" s="9" t="str">
        <x:f>IF(C196="","",IFERROR(INDEX('Borrowers'!$D$9:$D$108,MATCH(D196,'Borrowers'!$C$9:$C$108,0)),""))</x:f>
      </x:c>
      <x:c r="U196" s="3" t="str">
        <x:f>IF(C196="","","S01 ESRMS I.4–9; bank decision policy")</x:f>
      </x:c>
    </x:row>
    <x:row r="197" ht="42" customHeight="1">
      <x:c r="A197" s="1"/>
      <x:c r="B197" s="1"/>
      <x:c r="C197" s="8"/>
      <x:c r="D197" s="8"/>
      <x:c r="E197" s="8"/>
      <x:c r="F197" s="8"/>
      <x:c r="G197" s="8"/>
      <x:c r="H197" s="8"/>
      <x:c r="I197" s="10"/>
      <x:c r="J197" s="8"/>
      <x:c r="K197" s="8"/>
      <x:c r="L197" s="8"/>
      <x:c r="M197" s="10"/>
      <x:c r="N197" s="10"/>
      <x:c r="O197" s="9" t="str">
        <x:f>IF(C197="","",IF(AND(S197="Valid",J197="Closed",K197&lt;&gt;"",L197&lt;&gt;"",L197&lt;&gt;H197,ISNUMBER(M197),M197&gt;=N197,M197&lt;=Settings!$F$8),"Verified","Unverified"))</x:f>
      </x:c>
      <x:c r="P197" s="3" t="str">
        <x:f>IF(C197="","",IF(S197&lt;&gt;"Valid","Review",IF(O197="Verified","Closed",IF(J197="Closed","Closure pending",IF(OR(J197="Open",J197="In progress"),"Open","Review")))))</x:f>
      </x:c>
      <x:c r="Q197" s="9" t="str">
        <x:f>IF(C197="","",IF(AND(P197&lt;&gt;"Closed",ISNUMBER(I197),I197&lt;Settings!$F$8),"Overdue","Current"))</x:f>
      </x:c>
      <x:c r="R197" s="9" t="str">
        <x:f>IF(C197="","",IF(Q197="Overdue",Settings!$F$8-I197,0))</x:f>
      </x:c>
      <x:c r="S197" s="9" t="str">
        <x:f>IF(C197="","",IF(COUNTIF($C$9:$C$308,C197)&lt;&gt;1,"Duplicate ID",IF(COUNTIF(Borrowers!$C$9:$C$108,D197)&lt;&gt;1,"Borrower key",IF(OR(NOT(OR(E197="E&amp;S",E197="Taxonomy",E197="Climate",E197="Data")),NOT(OR(F197="Critical",F197="High",F197="Moderate",F197="Low")),NOT(OR(J197="Open",J197="In progress",J197="Closed")),G197="",H197="",NOT(ISNUMBER(I197)),NOT(ISNUMBER(N197)),I197&lt;N197,N197&gt;Settings!$F$8),"Incomplete","Valid"))))</x:f>
      </x:c>
      <x:c r="T197" s="9" t="str">
        <x:f>IF(C197="","",IFERROR(INDEX('Borrowers'!$D$9:$D$108,MATCH(D197,'Borrowers'!$C$9:$C$108,0)),""))</x:f>
      </x:c>
      <x:c r="U197" s="3" t="str">
        <x:f>IF(C197="","","S01 ESRMS I.4–9; bank decision policy")</x:f>
      </x:c>
    </x:row>
    <x:row r="198" ht="42" customHeight="1">
      <x:c r="A198" s="1"/>
      <x:c r="B198" s="1"/>
      <x:c r="C198" s="8"/>
      <x:c r="D198" s="8"/>
      <x:c r="E198" s="8"/>
      <x:c r="F198" s="8"/>
      <x:c r="G198" s="8"/>
      <x:c r="H198" s="8"/>
      <x:c r="I198" s="10"/>
      <x:c r="J198" s="8"/>
      <x:c r="K198" s="8"/>
      <x:c r="L198" s="8"/>
      <x:c r="M198" s="10"/>
      <x:c r="N198" s="10"/>
      <x:c r="O198" s="9" t="str">
        <x:f>IF(C198="","",IF(AND(S198="Valid",J198="Closed",K198&lt;&gt;"",L198&lt;&gt;"",L198&lt;&gt;H198,ISNUMBER(M198),M198&gt;=N198,M198&lt;=Settings!$F$8),"Verified","Unverified"))</x:f>
      </x:c>
      <x:c r="P198" s="3" t="str">
        <x:f>IF(C198="","",IF(S198&lt;&gt;"Valid","Review",IF(O198="Verified","Closed",IF(J198="Closed","Closure pending",IF(OR(J198="Open",J198="In progress"),"Open","Review")))))</x:f>
      </x:c>
      <x:c r="Q198" s="9" t="str">
        <x:f>IF(C198="","",IF(AND(P198&lt;&gt;"Closed",ISNUMBER(I198),I198&lt;Settings!$F$8),"Overdue","Current"))</x:f>
      </x:c>
      <x:c r="R198" s="9" t="str">
        <x:f>IF(C198="","",IF(Q198="Overdue",Settings!$F$8-I198,0))</x:f>
      </x:c>
      <x:c r="S198" s="9" t="str">
        <x:f>IF(C198="","",IF(COUNTIF($C$9:$C$308,C198)&lt;&gt;1,"Duplicate ID",IF(COUNTIF(Borrowers!$C$9:$C$108,D198)&lt;&gt;1,"Borrower key",IF(OR(NOT(OR(E198="E&amp;S",E198="Taxonomy",E198="Climate",E198="Data")),NOT(OR(F198="Critical",F198="High",F198="Moderate",F198="Low")),NOT(OR(J198="Open",J198="In progress",J198="Closed")),G198="",H198="",NOT(ISNUMBER(I198)),NOT(ISNUMBER(N198)),I198&lt;N198,N198&gt;Settings!$F$8),"Incomplete","Valid"))))</x:f>
      </x:c>
      <x:c r="T198" s="9" t="str">
        <x:f>IF(C198="","",IFERROR(INDEX('Borrowers'!$D$9:$D$108,MATCH(D198,'Borrowers'!$C$9:$C$108,0)),""))</x:f>
      </x:c>
      <x:c r="U198" s="3" t="str">
        <x:f>IF(C198="","","S01 ESRMS I.4–9; bank decision policy")</x:f>
      </x:c>
    </x:row>
    <x:row r="199" ht="42" customHeight="1">
      <x:c r="A199" s="1"/>
      <x:c r="B199" s="1"/>
      <x:c r="C199" s="8"/>
      <x:c r="D199" s="8"/>
      <x:c r="E199" s="8"/>
      <x:c r="F199" s="8"/>
      <x:c r="G199" s="8"/>
      <x:c r="H199" s="8"/>
      <x:c r="I199" s="10"/>
      <x:c r="J199" s="8"/>
      <x:c r="K199" s="8"/>
      <x:c r="L199" s="8"/>
      <x:c r="M199" s="10"/>
      <x:c r="N199" s="10"/>
      <x:c r="O199" s="9" t="str">
        <x:f>IF(C199="","",IF(AND(S199="Valid",J199="Closed",K199&lt;&gt;"",L199&lt;&gt;"",L199&lt;&gt;H199,ISNUMBER(M199),M199&gt;=N199,M199&lt;=Settings!$F$8),"Verified","Unverified"))</x:f>
      </x:c>
      <x:c r="P199" s="3" t="str">
        <x:f>IF(C199="","",IF(S199&lt;&gt;"Valid","Review",IF(O199="Verified","Closed",IF(J199="Closed","Closure pending",IF(OR(J199="Open",J199="In progress"),"Open","Review")))))</x:f>
      </x:c>
      <x:c r="Q199" s="9" t="str">
        <x:f>IF(C199="","",IF(AND(P199&lt;&gt;"Closed",ISNUMBER(I199),I199&lt;Settings!$F$8),"Overdue","Current"))</x:f>
      </x:c>
      <x:c r="R199" s="9" t="str">
        <x:f>IF(C199="","",IF(Q199="Overdue",Settings!$F$8-I199,0))</x:f>
      </x:c>
      <x:c r="S199" s="9" t="str">
        <x:f>IF(C199="","",IF(COUNTIF($C$9:$C$308,C199)&lt;&gt;1,"Duplicate ID",IF(COUNTIF(Borrowers!$C$9:$C$108,D199)&lt;&gt;1,"Borrower key",IF(OR(NOT(OR(E199="E&amp;S",E199="Taxonomy",E199="Climate",E199="Data")),NOT(OR(F199="Critical",F199="High",F199="Moderate",F199="Low")),NOT(OR(J199="Open",J199="In progress",J199="Closed")),G199="",H199="",NOT(ISNUMBER(I199)),NOT(ISNUMBER(N199)),I199&lt;N199,N199&gt;Settings!$F$8),"Incomplete","Valid"))))</x:f>
      </x:c>
      <x:c r="T199" s="9" t="str">
        <x:f>IF(C199="","",IFERROR(INDEX('Borrowers'!$D$9:$D$108,MATCH(D199,'Borrowers'!$C$9:$C$108,0)),""))</x:f>
      </x:c>
      <x:c r="U199" s="3" t="str">
        <x:f>IF(C199="","","S01 ESRMS I.4–9; bank decision policy")</x:f>
      </x:c>
    </x:row>
    <x:row r="200" ht="42" customHeight="1">
      <x:c r="A200" s="1"/>
      <x:c r="B200" s="1"/>
      <x:c r="C200" s="8"/>
      <x:c r="D200" s="8"/>
      <x:c r="E200" s="8"/>
      <x:c r="F200" s="8"/>
      <x:c r="G200" s="8"/>
      <x:c r="H200" s="8"/>
      <x:c r="I200" s="10"/>
      <x:c r="J200" s="8"/>
      <x:c r="K200" s="8"/>
      <x:c r="L200" s="8"/>
      <x:c r="M200" s="10"/>
      <x:c r="N200" s="10"/>
      <x:c r="O200" s="9" t="str">
        <x:f>IF(C200="","",IF(AND(S200="Valid",J200="Closed",K200&lt;&gt;"",L200&lt;&gt;"",L200&lt;&gt;H200,ISNUMBER(M200),M200&gt;=N200,M200&lt;=Settings!$F$8),"Verified","Unverified"))</x:f>
      </x:c>
      <x:c r="P200" s="3" t="str">
        <x:f>IF(C200="","",IF(S200&lt;&gt;"Valid","Review",IF(O200="Verified","Closed",IF(J200="Closed","Closure pending",IF(OR(J200="Open",J200="In progress"),"Open","Review")))))</x:f>
      </x:c>
      <x:c r="Q200" s="9" t="str">
        <x:f>IF(C200="","",IF(AND(P200&lt;&gt;"Closed",ISNUMBER(I200),I200&lt;Settings!$F$8),"Overdue","Current"))</x:f>
      </x:c>
      <x:c r="R200" s="9" t="str">
        <x:f>IF(C200="","",IF(Q200="Overdue",Settings!$F$8-I200,0))</x:f>
      </x:c>
      <x:c r="S200" s="9" t="str">
        <x:f>IF(C200="","",IF(COUNTIF($C$9:$C$308,C200)&lt;&gt;1,"Duplicate ID",IF(COUNTIF(Borrowers!$C$9:$C$108,D200)&lt;&gt;1,"Borrower key",IF(OR(NOT(OR(E200="E&amp;S",E200="Taxonomy",E200="Climate",E200="Data")),NOT(OR(F200="Critical",F200="High",F200="Moderate",F200="Low")),NOT(OR(J200="Open",J200="In progress",J200="Closed")),G200="",H200="",NOT(ISNUMBER(I200)),NOT(ISNUMBER(N200)),I200&lt;N200,N200&gt;Settings!$F$8),"Incomplete","Valid"))))</x:f>
      </x:c>
      <x:c r="T200" s="9" t="str">
        <x:f>IF(C200="","",IFERROR(INDEX('Borrowers'!$D$9:$D$108,MATCH(D200,'Borrowers'!$C$9:$C$108,0)),""))</x:f>
      </x:c>
      <x:c r="U200" s="3" t="str">
        <x:f>IF(C200="","","S01 ESRMS I.4–9; bank decision policy")</x:f>
      </x:c>
    </x:row>
    <x:row r="201" ht="42" customHeight="1">
      <x:c r="A201" s="1"/>
      <x:c r="B201" s="1"/>
      <x:c r="C201" s="8"/>
      <x:c r="D201" s="8"/>
      <x:c r="E201" s="8"/>
      <x:c r="F201" s="8"/>
      <x:c r="G201" s="8"/>
      <x:c r="H201" s="8"/>
      <x:c r="I201" s="10"/>
      <x:c r="J201" s="8"/>
      <x:c r="K201" s="8"/>
      <x:c r="L201" s="8"/>
      <x:c r="M201" s="10"/>
      <x:c r="N201" s="10"/>
      <x:c r="O201" s="9" t="str">
        <x:f>IF(C201="","",IF(AND(S201="Valid",J201="Closed",K201&lt;&gt;"",L201&lt;&gt;"",L201&lt;&gt;H201,ISNUMBER(M201),M201&gt;=N201,M201&lt;=Settings!$F$8),"Verified","Unverified"))</x:f>
      </x:c>
      <x:c r="P201" s="3" t="str">
        <x:f>IF(C201="","",IF(S201&lt;&gt;"Valid","Review",IF(O201="Verified","Closed",IF(J201="Closed","Closure pending",IF(OR(J201="Open",J201="In progress"),"Open","Review")))))</x:f>
      </x:c>
      <x:c r="Q201" s="9" t="str">
        <x:f>IF(C201="","",IF(AND(P201&lt;&gt;"Closed",ISNUMBER(I201),I201&lt;Settings!$F$8),"Overdue","Current"))</x:f>
      </x:c>
      <x:c r="R201" s="9" t="str">
        <x:f>IF(C201="","",IF(Q201="Overdue",Settings!$F$8-I201,0))</x:f>
      </x:c>
      <x:c r="S201" s="9" t="str">
        <x:f>IF(C201="","",IF(COUNTIF($C$9:$C$308,C201)&lt;&gt;1,"Duplicate ID",IF(COUNTIF(Borrowers!$C$9:$C$108,D201)&lt;&gt;1,"Borrower key",IF(OR(NOT(OR(E201="E&amp;S",E201="Taxonomy",E201="Climate",E201="Data")),NOT(OR(F201="Critical",F201="High",F201="Moderate",F201="Low")),NOT(OR(J201="Open",J201="In progress",J201="Closed")),G201="",H201="",NOT(ISNUMBER(I201)),NOT(ISNUMBER(N201)),I201&lt;N201,N201&gt;Settings!$F$8),"Incomplete","Valid"))))</x:f>
      </x:c>
      <x:c r="T201" s="9" t="str">
        <x:f>IF(C201="","",IFERROR(INDEX('Borrowers'!$D$9:$D$108,MATCH(D201,'Borrowers'!$C$9:$C$108,0)),""))</x:f>
      </x:c>
      <x:c r="U201" s="3" t="str">
        <x:f>IF(C201="","","S01 ESRMS I.4–9; bank decision policy")</x:f>
      </x:c>
    </x:row>
    <x:row r="202" ht="42" customHeight="1">
      <x:c r="A202" s="1"/>
      <x:c r="B202" s="1"/>
      <x:c r="C202" s="8"/>
      <x:c r="D202" s="8"/>
      <x:c r="E202" s="8"/>
      <x:c r="F202" s="8"/>
      <x:c r="G202" s="8"/>
      <x:c r="H202" s="8"/>
      <x:c r="I202" s="10"/>
      <x:c r="J202" s="8"/>
      <x:c r="K202" s="8"/>
      <x:c r="L202" s="8"/>
      <x:c r="M202" s="10"/>
      <x:c r="N202" s="10"/>
      <x:c r="O202" s="9" t="str">
        <x:f>IF(C202="","",IF(AND(S202="Valid",J202="Closed",K202&lt;&gt;"",L202&lt;&gt;"",L202&lt;&gt;H202,ISNUMBER(M202),M202&gt;=N202,M202&lt;=Settings!$F$8),"Verified","Unverified"))</x:f>
      </x:c>
      <x:c r="P202" s="3" t="str">
        <x:f>IF(C202="","",IF(S202&lt;&gt;"Valid","Review",IF(O202="Verified","Closed",IF(J202="Closed","Closure pending",IF(OR(J202="Open",J202="In progress"),"Open","Review")))))</x:f>
      </x:c>
      <x:c r="Q202" s="9" t="str">
        <x:f>IF(C202="","",IF(AND(P202&lt;&gt;"Closed",ISNUMBER(I202),I202&lt;Settings!$F$8),"Overdue","Current"))</x:f>
      </x:c>
      <x:c r="R202" s="9" t="str">
        <x:f>IF(C202="","",IF(Q202="Overdue",Settings!$F$8-I202,0))</x:f>
      </x:c>
      <x:c r="S202" s="9" t="str">
        <x:f>IF(C202="","",IF(COUNTIF($C$9:$C$308,C202)&lt;&gt;1,"Duplicate ID",IF(COUNTIF(Borrowers!$C$9:$C$108,D202)&lt;&gt;1,"Borrower key",IF(OR(NOT(OR(E202="E&amp;S",E202="Taxonomy",E202="Climate",E202="Data")),NOT(OR(F202="Critical",F202="High",F202="Moderate",F202="Low")),NOT(OR(J202="Open",J202="In progress",J202="Closed")),G202="",H202="",NOT(ISNUMBER(I202)),NOT(ISNUMBER(N202)),I202&lt;N202,N202&gt;Settings!$F$8),"Incomplete","Valid"))))</x:f>
      </x:c>
      <x:c r="T202" s="9" t="str">
        <x:f>IF(C202="","",IFERROR(INDEX('Borrowers'!$D$9:$D$108,MATCH(D202,'Borrowers'!$C$9:$C$108,0)),""))</x:f>
      </x:c>
      <x:c r="U202" s="3" t="str">
        <x:f>IF(C202="","","S01 ESRMS I.4–9; bank decision policy")</x:f>
      </x:c>
    </x:row>
    <x:row r="203" ht="42" customHeight="1">
      <x:c r="A203" s="1"/>
      <x:c r="B203" s="1"/>
      <x:c r="C203" s="8"/>
      <x:c r="D203" s="8"/>
      <x:c r="E203" s="8"/>
      <x:c r="F203" s="8"/>
      <x:c r="G203" s="8"/>
      <x:c r="H203" s="8"/>
      <x:c r="I203" s="10"/>
      <x:c r="J203" s="8"/>
      <x:c r="K203" s="8"/>
      <x:c r="L203" s="8"/>
      <x:c r="M203" s="10"/>
      <x:c r="N203" s="10"/>
      <x:c r="O203" s="9" t="str">
        <x:f>IF(C203="","",IF(AND(S203="Valid",J203="Closed",K203&lt;&gt;"",L203&lt;&gt;"",L203&lt;&gt;H203,ISNUMBER(M203),M203&gt;=N203,M203&lt;=Settings!$F$8),"Verified","Unverified"))</x:f>
      </x:c>
      <x:c r="P203" s="3" t="str">
        <x:f>IF(C203="","",IF(S203&lt;&gt;"Valid","Review",IF(O203="Verified","Closed",IF(J203="Closed","Closure pending",IF(OR(J203="Open",J203="In progress"),"Open","Review")))))</x:f>
      </x:c>
      <x:c r="Q203" s="9" t="str">
        <x:f>IF(C203="","",IF(AND(P203&lt;&gt;"Closed",ISNUMBER(I203),I203&lt;Settings!$F$8),"Overdue","Current"))</x:f>
      </x:c>
      <x:c r="R203" s="9" t="str">
        <x:f>IF(C203="","",IF(Q203="Overdue",Settings!$F$8-I203,0))</x:f>
      </x:c>
      <x:c r="S203" s="9" t="str">
        <x:f>IF(C203="","",IF(COUNTIF($C$9:$C$308,C203)&lt;&gt;1,"Duplicate ID",IF(COUNTIF(Borrowers!$C$9:$C$108,D203)&lt;&gt;1,"Borrower key",IF(OR(NOT(OR(E203="E&amp;S",E203="Taxonomy",E203="Climate",E203="Data")),NOT(OR(F203="Critical",F203="High",F203="Moderate",F203="Low")),NOT(OR(J203="Open",J203="In progress",J203="Closed")),G203="",H203="",NOT(ISNUMBER(I203)),NOT(ISNUMBER(N203)),I203&lt;N203,N203&gt;Settings!$F$8),"Incomplete","Valid"))))</x:f>
      </x:c>
      <x:c r="T203" s="9" t="str">
        <x:f>IF(C203="","",IFERROR(INDEX('Borrowers'!$D$9:$D$108,MATCH(D203,'Borrowers'!$C$9:$C$108,0)),""))</x:f>
      </x:c>
      <x:c r="U203" s="3" t="str">
        <x:f>IF(C203="","","S01 ESRMS I.4–9; bank decision policy")</x:f>
      </x:c>
    </x:row>
    <x:row r="204" ht="42" customHeight="1">
      <x:c r="A204" s="1"/>
      <x:c r="B204" s="1"/>
      <x:c r="C204" s="8"/>
      <x:c r="D204" s="8"/>
      <x:c r="E204" s="8"/>
      <x:c r="F204" s="8"/>
      <x:c r="G204" s="8"/>
      <x:c r="H204" s="8"/>
      <x:c r="I204" s="10"/>
      <x:c r="J204" s="8"/>
      <x:c r="K204" s="8"/>
      <x:c r="L204" s="8"/>
      <x:c r="M204" s="10"/>
      <x:c r="N204" s="10"/>
      <x:c r="O204" s="9" t="str">
        <x:f>IF(C204="","",IF(AND(S204="Valid",J204="Closed",K204&lt;&gt;"",L204&lt;&gt;"",L204&lt;&gt;H204,ISNUMBER(M204),M204&gt;=N204,M204&lt;=Settings!$F$8),"Verified","Unverified"))</x:f>
      </x:c>
      <x:c r="P204" s="3" t="str">
        <x:f>IF(C204="","",IF(S204&lt;&gt;"Valid","Review",IF(O204="Verified","Closed",IF(J204="Closed","Closure pending",IF(OR(J204="Open",J204="In progress"),"Open","Review")))))</x:f>
      </x:c>
      <x:c r="Q204" s="9" t="str">
        <x:f>IF(C204="","",IF(AND(P204&lt;&gt;"Closed",ISNUMBER(I204),I204&lt;Settings!$F$8),"Overdue","Current"))</x:f>
      </x:c>
      <x:c r="R204" s="9" t="str">
        <x:f>IF(C204="","",IF(Q204="Overdue",Settings!$F$8-I204,0))</x:f>
      </x:c>
      <x:c r="S204" s="9" t="str">
        <x:f>IF(C204="","",IF(COUNTIF($C$9:$C$308,C204)&lt;&gt;1,"Duplicate ID",IF(COUNTIF(Borrowers!$C$9:$C$108,D204)&lt;&gt;1,"Borrower key",IF(OR(NOT(OR(E204="E&amp;S",E204="Taxonomy",E204="Climate",E204="Data")),NOT(OR(F204="Critical",F204="High",F204="Moderate",F204="Low")),NOT(OR(J204="Open",J204="In progress",J204="Closed")),G204="",H204="",NOT(ISNUMBER(I204)),NOT(ISNUMBER(N204)),I204&lt;N204,N204&gt;Settings!$F$8),"Incomplete","Valid"))))</x:f>
      </x:c>
      <x:c r="T204" s="9" t="str">
        <x:f>IF(C204="","",IFERROR(INDEX('Borrowers'!$D$9:$D$108,MATCH(D204,'Borrowers'!$C$9:$C$108,0)),""))</x:f>
      </x:c>
      <x:c r="U204" s="3" t="str">
        <x:f>IF(C204="","","S01 ESRMS I.4–9; bank decision policy")</x:f>
      </x:c>
    </x:row>
    <x:row r="205" ht="42" customHeight="1">
      <x:c r="A205" s="1"/>
      <x:c r="B205" s="1"/>
      <x:c r="C205" s="8"/>
      <x:c r="D205" s="8"/>
      <x:c r="E205" s="8"/>
      <x:c r="F205" s="8"/>
      <x:c r="G205" s="8"/>
      <x:c r="H205" s="8"/>
      <x:c r="I205" s="10"/>
      <x:c r="J205" s="8"/>
      <x:c r="K205" s="8"/>
      <x:c r="L205" s="8"/>
      <x:c r="M205" s="10"/>
      <x:c r="N205" s="10"/>
      <x:c r="O205" s="9" t="str">
        <x:f>IF(C205="","",IF(AND(S205="Valid",J205="Closed",K205&lt;&gt;"",L205&lt;&gt;"",L205&lt;&gt;H205,ISNUMBER(M205),M205&gt;=N205,M205&lt;=Settings!$F$8),"Verified","Unverified"))</x:f>
      </x:c>
      <x:c r="P205" s="3" t="str">
        <x:f>IF(C205="","",IF(S205&lt;&gt;"Valid","Review",IF(O205="Verified","Closed",IF(J205="Closed","Closure pending",IF(OR(J205="Open",J205="In progress"),"Open","Review")))))</x:f>
      </x:c>
      <x:c r="Q205" s="9" t="str">
        <x:f>IF(C205="","",IF(AND(P205&lt;&gt;"Closed",ISNUMBER(I205),I205&lt;Settings!$F$8),"Overdue","Current"))</x:f>
      </x:c>
      <x:c r="R205" s="9" t="str">
        <x:f>IF(C205="","",IF(Q205="Overdue",Settings!$F$8-I205,0))</x:f>
      </x:c>
      <x:c r="S205" s="9" t="str">
        <x:f>IF(C205="","",IF(COUNTIF($C$9:$C$308,C205)&lt;&gt;1,"Duplicate ID",IF(COUNTIF(Borrowers!$C$9:$C$108,D205)&lt;&gt;1,"Borrower key",IF(OR(NOT(OR(E205="E&amp;S",E205="Taxonomy",E205="Climate",E205="Data")),NOT(OR(F205="Critical",F205="High",F205="Moderate",F205="Low")),NOT(OR(J205="Open",J205="In progress",J205="Closed")),G205="",H205="",NOT(ISNUMBER(I205)),NOT(ISNUMBER(N205)),I205&lt;N205,N205&gt;Settings!$F$8),"Incomplete","Valid"))))</x:f>
      </x:c>
      <x:c r="T205" s="9" t="str">
        <x:f>IF(C205="","",IFERROR(INDEX('Borrowers'!$D$9:$D$108,MATCH(D205,'Borrowers'!$C$9:$C$108,0)),""))</x:f>
      </x:c>
      <x:c r="U205" s="3" t="str">
        <x:f>IF(C205="","","S01 ESRMS I.4–9; bank decision policy")</x:f>
      </x:c>
    </x:row>
    <x:row r="206" ht="42" customHeight="1">
      <x:c r="A206" s="1"/>
      <x:c r="B206" s="1"/>
      <x:c r="C206" s="8"/>
      <x:c r="D206" s="8"/>
      <x:c r="E206" s="8"/>
      <x:c r="F206" s="8"/>
      <x:c r="G206" s="8"/>
      <x:c r="H206" s="8"/>
      <x:c r="I206" s="10"/>
      <x:c r="J206" s="8"/>
      <x:c r="K206" s="8"/>
      <x:c r="L206" s="8"/>
      <x:c r="M206" s="10"/>
      <x:c r="N206" s="10"/>
      <x:c r="O206" s="9" t="str">
        <x:f>IF(C206="","",IF(AND(S206="Valid",J206="Closed",K206&lt;&gt;"",L206&lt;&gt;"",L206&lt;&gt;H206,ISNUMBER(M206),M206&gt;=N206,M206&lt;=Settings!$F$8),"Verified","Unverified"))</x:f>
      </x:c>
      <x:c r="P206" s="3" t="str">
        <x:f>IF(C206="","",IF(S206&lt;&gt;"Valid","Review",IF(O206="Verified","Closed",IF(J206="Closed","Closure pending",IF(OR(J206="Open",J206="In progress"),"Open","Review")))))</x:f>
      </x:c>
      <x:c r="Q206" s="9" t="str">
        <x:f>IF(C206="","",IF(AND(P206&lt;&gt;"Closed",ISNUMBER(I206),I206&lt;Settings!$F$8),"Overdue","Current"))</x:f>
      </x:c>
      <x:c r="R206" s="9" t="str">
        <x:f>IF(C206="","",IF(Q206="Overdue",Settings!$F$8-I206,0))</x:f>
      </x:c>
      <x:c r="S206" s="9" t="str">
        <x:f>IF(C206="","",IF(COUNTIF($C$9:$C$308,C206)&lt;&gt;1,"Duplicate ID",IF(COUNTIF(Borrowers!$C$9:$C$108,D206)&lt;&gt;1,"Borrower key",IF(OR(NOT(OR(E206="E&amp;S",E206="Taxonomy",E206="Climate",E206="Data")),NOT(OR(F206="Critical",F206="High",F206="Moderate",F206="Low")),NOT(OR(J206="Open",J206="In progress",J206="Closed")),G206="",H206="",NOT(ISNUMBER(I206)),NOT(ISNUMBER(N206)),I206&lt;N206,N206&gt;Settings!$F$8),"Incomplete","Valid"))))</x:f>
      </x:c>
      <x:c r="T206" s="9" t="str">
        <x:f>IF(C206="","",IFERROR(INDEX('Borrowers'!$D$9:$D$108,MATCH(D206,'Borrowers'!$C$9:$C$108,0)),""))</x:f>
      </x:c>
      <x:c r="U206" s="3" t="str">
        <x:f>IF(C206="","","S01 ESRMS I.4–9; bank decision policy")</x:f>
      </x:c>
    </x:row>
    <x:row r="207" ht="42" customHeight="1">
      <x:c r="A207" s="1"/>
      <x:c r="B207" s="1"/>
      <x:c r="C207" s="8"/>
      <x:c r="D207" s="8"/>
      <x:c r="E207" s="8"/>
      <x:c r="F207" s="8"/>
      <x:c r="G207" s="8"/>
      <x:c r="H207" s="8"/>
      <x:c r="I207" s="10"/>
      <x:c r="J207" s="8"/>
      <x:c r="K207" s="8"/>
      <x:c r="L207" s="8"/>
      <x:c r="M207" s="10"/>
      <x:c r="N207" s="10"/>
      <x:c r="O207" s="9" t="str">
        <x:f>IF(C207="","",IF(AND(S207="Valid",J207="Closed",K207&lt;&gt;"",L207&lt;&gt;"",L207&lt;&gt;H207,ISNUMBER(M207),M207&gt;=N207,M207&lt;=Settings!$F$8),"Verified","Unverified"))</x:f>
      </x:c>
      <x:c r="P207" s="3" t="str">
        <x:f>IF(C207="","",IF(S207&lt;&gt;"Valid","Review",IF(O207="Verified","Closed",IF(J207="Closed","Closure pending",IF(OR(J207="Open",J207="In progress"),"Open","Review")))))</x:f>
      </x:c>
      <x:c r="Q207" s="9" t="str">
        <x:f>IF(C207="","",IF(AND(P207&lt;&gt;"Closed",ISNUMBER(I207),I207&lt;Settings!$F$8),"Overdue","Current"))</x:f>
      </x:c>
      <x:c r="R207" s="9" t="str">
        <x:f>IF(C207="","",IF(Q207="Overdue",Settings!$F$8-I207,0))</x:f>
      </x:c>
      <x:c r="S207" s="9" t="str">
        <x:f>IF(C207="","",IF(COUNTIF($C$9:$C$308,C207)&lt;&gt;1,"Duplicate ID",IF(COUNTIF(Borrowers!$C$9:$C$108,D207)&lt;&gt;1,"Borrower key",IF(OR(NOT(OR(E207="E&amp;S",E207="Taxonomy",E207="Climate",E207="Data")),NOT(OR(F207="Critical",F207="High",F207="Moderate",F207="Low")),NOT(OR(J207="Open",J207="In progress",J207="Closed")),G207="",H207="",NOT(ISNUMBER(I207)),NOT(ISNUMBER(N207)),I207&lt;N207,N207&gt;Settings!$F$8),"Incomplete","Valid"))))</x:f>
      </x:c>
      <x:c r="T207" s="9" t="str">
        <x:f>IF(C207="","",IFERROR(INDEX('Borrowers'!$D$9:$D$108,MATCH(D207,'Borrowers'!$C$9:$C$108,0)),""))</x:f>
      </x:c>
      <x:c r="U207" s="3" t="str">
        <x:f>IF(C207="","","S01 ESRMS I.4–9; bank decision policy")</x:f>
      </x:c>
    </x:row>
    <x:row r="208" ht="42" customHeight="1">
      <x:c r="A208" s="1"/>
      <x:c r="B208" s="1"/>
      <x:c r="C208" s="8"/>
      <x:c r="D208" s="8"/>
      <x:c r="E208" s="8"/>
      <x:c r="F208" s="8"/>
      <x:c r="G208" s="8"/>
      <x:c r="H208" s="8"/>
      <x:c r="I208" s="10"/>
      <x:c r="J208" s="8"/>
      <x:c r="K208" s="8"/>
      <x:c r="L208" s="8"/>
      <x:c r="M208" s="10"/>
      <x:c r="N208" s="10"/>
      <x:c r="O208" s="9" t="str">
        <x:f>IF(C208="","",IF(AND(S208="Valid",J208="Closed",K208&lt;&gt;"",L208&lt;&gt;"",L208&lt;&gt;H208,ISNUMBER(M208),M208&gt;=N208,M208&lt;=Settings!$F$8),"Verified","Unverified"))</x:f>
      </x:c>
      <x:c r="P208" s="3" t="str">
        <x:f>IF(C208="","",IF(S208&lt;&gt;"Valid","Review",IF(O208="Verified","Closed",IF(J208="Closed","Closure pending",IF(OR(J208="Open",J208="In progress"),"Open","Review")))))</x:f>
      </x:c>
      <x:c r="Q208" s="9" t="str">
        <x:f>IF(C208="","",IF(AND(P208&lt;&gt;"Closed",ISNUMBER(I208),I208&lt;Settings!$F$8),"Overdue","Current"))</x:f>
      </x:c>
      <x:c r="R208" s="9" t="str">
        <x:f>IF(C208="","",IF(Q208="Overdue",Settings!$F$8-I208,0))</x:f>
      </x:c>
      <x:c r="S208" s="9" t="str">
        <x:f>IF(C208="","",IF(COUNTIF($C$9:$C$308,C208)&lt;&gt;1,"Duplicate ID",IF(COUNTIF(Borrowers!$C$9:$C$108,D208)&lt;&gt;1,"Borrower key",IF(OR(NOT(OR(E208="E&amp;S",E208="Taxonomy",E208="Climate",E208="Data")),NOT(OR(F208="Critical",F208="High",F208="Moderate",F208="Low")),NOT(OR(J208="Open",J208="In progress",J208="Closed")),G208="",H208="",NOT(ISNUMBER(I208)),NOT(ISNUMBER(N208)),I208&lt;N208,N208&gt;Settings!$F$8),"Incomplete","Valid"))))</x:f>
      </x:c>
      <x:c r="T208" s="9" t="str">
        <x:f>IF(C208="","",IFERROR(INDEX('Borrowers'!$D$9:$D$108,MATCH(D208,'Borrowers'!$C$9:$C$108,0)),""))</x:f>
      </x:c>
      <x:c r="U208" s="3" t="str">
        <x:f>IF(C208="","","S01 ESRMS I.4–9; bank decision policy")</x:f>
      </x:c>
    </x:row>
    <x:row r="209" ht="42" customHeight="1">
      <x:c r="A209" s="1"/>
      <x:c r="B209" s="1"/>
      <x:c r="C209" s="8"/>
      <x:c r="D209" s="8"/>
      <x:c r="E209" s="8"/>
      <x:c r="F209" s="8"/>
      <x:c r="G209" s="8"/>
      <x:c r="H209" s="8"/>
      <x:c r="I209" s="10"/>
      <x:c r="J209" s="8"/>
      <x:c r="K209" s="8"/>
      <x:c r="L209" s="8"/>
      <x:c r="M209" s="10"/>
      <x:c r="N209" s="10"/>
      <x:c r="O209" s="9" t="str">
        <x:f>IF(C209="","",IF(AND(S209="Valid",J209="Closed",K209&lt;&gt;"",L209&lt;&gt;"",L209&lt;&gt;H209,ISNUMBER(M209),M209&gt;=N209,M209&lt;=Settings!$F$8),"Verified","Unverified"))</x:f>
      </x:c>
      <x:c r="P209" s="3" t="str">
        <x:f>IF(C209="","",IF(S209&lt;&gt;"Valid","Review",IF(O209="Verified","Closed",IF(J209="Closed","Closure pending",IF(OR(J209="Open",J209="In progress"),"Open","Review")))))</x:f>
      </x:c>
      <x:c r="Q209" s="9" t="str">
        <x:f>IF(C209="","",IF(AND(P209&lt;&gt;"Closed",ISNUMBER(I209),I209&lt;Settings!$F$8),"Overdue","Current"))</x:f>
      </x:c>
      <x:c r="R209" s="9" t="str">
        <x:f>IF(C209="","",IF(Q209="Overdue",Settings!$F$8-I209,0))</x:f>
      </x:c>
      <x:c r="S209" s="9" t="str">
        <x:f>IF(C209="","",IF(COUNTIF($C$9:$C$308,C209)&lt;&gt;1,"Duplicate ID",IF(COUNTIF(Borrowers!$C$9:$C$108,D209)&lt;&gt;1,"Borrower key",IF(OR(NOT(OR(E209="E&amp;S",E209="Taxonomy",E209="Climate",E209="Data")),NOT(OR(F209="Critical",F209="High",F209="Moderate",F209="Low")),NOT(OR(J209="Open",J209="In progress",J209="Closed")),G209="",H209="",NOT(ISNUMBER(I209)),NOT(ISNUMBER(N209)),I209&lt;N209,N209&gt;Settings!$F$8),"Incomplete","Valid"))))</x:f>
      </x:c>
      <x:c r="T209" s="9" t="str">
        <x:f>IF(C209="","",IFERROR(INDEX('Borrowers'!$D$9:$D$108,MATCH(D209,'Borrowers'!$C$9:$C$108,0)),""))</x:f>
      </x:c>
      <x:c r="U209" s="3" t="str">
        <x:f>IF(C209="","","S01 ESRMS I.4–9; bank decision policy")</x:f>
      </x:c>
    </x:row>
    <x:row r="210" ht="42" customHeight="1">
      <x:c r="A210" s="1"/>
      <x:c r="B210" s="1"/>
      <x:c r="C210" s="8"/>
      <x:c r="D210" s="8"/>
      <x:c r="E210" s="8"/>
      <x:c r="F210" s="8"/>
      <x:c r="G210" s="8"/>
      <x:c r="H210" s="8"/>
      <x:c r="I210" s="10"/>
      <x:c r="J210" s="8"/>
      <x:c r="K210" s="8"/>
      <x:c r="L210" s="8"/>
      <x:c r="M210" s="10"/>
      <x:c r="N210" s="10"/>
      <x:c r="O210" s="9" t="str">
        <x:f>IF(C210="","",IF(AND(S210="Valid",J210="Closed",K210&lt;&gt;"",L210&lt;&gt;"",L210&lt;&gt;H210,ISNUMBER(M210),M210&gt;=N210,M210&lt;=Settings!$F$8),"Verified","Unverified"))</x:f>
      </x:c>
      <x:c r="P210" s="3" t="str">
        <x:f>IF(C210="","",IF(S210&lt;&gt;"Valid","Review",IF(O210="Verified","Closed",IF(J210="Closed","Closure pending",IF(OR(J210="Open",J210="In progress"),"Open","Review")))))</x:f>
      </x:c>
      <x:c r="Q210" s="9" t="str">
        <x:f>IF(C210="","",IF(AND(P210&lt;&gt;"Closed",ISNUMBER(I210),I210&lt;Settings!$F$8),"Overdue","Current"))</x:f>
      </x:c>
      <x:c r="R210" s="9" t="str">
        <x:f>IF(C210="","",IF(Q210="Overdue",Settings!$F$8-I210,0))</x:f>
      </x:c>
      <x:c r="S210" s="9" t="str">
        <x:f>IF(C210="","",IF(COUNTIF($C$9:$C$308,C210)&lt;&gt;1,"Duplicate ID",IF(COUNTIF(Borrowers!$C$9:$C$108,D210)&lt;&gt;1,"Borrower key",IF(OR(NOT(OR(E210="E&amp;S",E210="Taxonomy",E210="Climate",E210="Data")),NOT(OR(F210="Critical",F210="High",F210="Moderate",F210="Low")),NOT(OR(J210="Open",J210="In progress",J210="Closed")),G210="",H210="",NOT(ISNUMBER(I210)),NOT(ISNUMBER(N210)),I210&lt;N210,N210&gt;Settings!$F$8),"Incomplete","Valid"))))</x:f>
      </x:c>
      <x:c r="T210" s="9" t="str">
        <x:f>IF(C210="","",IFERROR(INDEX('Borrowers'!$D$9:$D$108,MATCH(D210,'Borrowers'!$C$9:$C$108,0)),""))</x:f>
      </x:c>
      <x:c r="U210" s="3" t="str">
        <x:f>IF(C210="","","S01 ESRMS I.4–9; bank decision policy")</x:f>
      </x:c>
    </x:row>
    <x:row r="211" ht="42" customHeight="1">
      <x:c r="A211" s="1"/>
      <x:c r="B211" s="1"/>
      <x:c r="C211" s="8"/>
      <x:c r="D211" s="8"/>
      <x:c r="E211" s="8"/>
      <x:c r="F211" s="8"/>
      <x:c r="G211" s="8"/>
      <x:c r="H211" s="8"/>
      <x:c r="I211" s="10"/>
      <x:c r="J211" s="8"/>
      <x:c r="K211" s="8"/>
      <x:c r="L211" s="8"/>
      <x:c r="M211" s="10"/>
      <x:c r="N211" s="10"/>
      <x:c r="O211" s="9" t="str">
        <x:f>IF(C211="","",IF(AND(S211="Valid",J211="Closed",K211&lt;&gt;"",L211&lt;&gt;"",L211&lt;&gt;H211,ISNUMBER(M211),M211&gt;=N211,M211&lt;=Settings!$F$8),"Verified","Unverified"))</x:f>
      </x:c>
      <x:c r="P211" s="3" t="str">
        <x:f>IF(C211="","",IF(S211&lt;&gt;"Valid","Review",IF(O211="Verified","Closed",IF(J211="Closed","Closure pending",IF(OR(J211="Open",J211="In progress"),"Open","Review")))))</x:f>
      </x:c>
      <x:c r="Q211" s="9" t="str">
        <x:f>IF(C211="","",IF(AND(P211&lt;&gt;"Closed",ISNUMBER(I211),I211&lt;Settings!$F$8),"Overdue","Current"))</x:f>
      </x:c>
      <x:c r="R211" s="9" t="str">
        <x:f>IF(C211="","",IF(Q211="Overdue",Settings!$F$8-I211,0))</x:f>
      </x:c>
      <x:c r="S211" s="9" t="str">
        <x:f>IF(C211="","",IF(COUNTIF($C$9:$C$308,C211)&lt;&gt;1,"Duplicate ID",IF(COUNTIF(Borrowers!$C$9:$C$108,D211)&lt;&gt;1,"Borrower key",IF(OR(NOT(OR(E211="E&amp;S",E211="Taxonomy",E211="Climate",E211="Data")),NOT(OR(F211="Critical",F211="High",F211="Moderate",F211="Low")),NOT(OR(J211="Open",J211="In progress",J211="Closed")),G211="",H211="",NOT(ISNUMBER(I211)),NOT(ISNUMBER(N211)),I211&lt;N211,N211&gt;Settings!$F$8),"Incomplete","Valid"))))</x:f>
      </x:c>
      <x:c r="T211" s="9" t="str">
        <x:f>IF(C211="","",IFERROR(INDEX('Borrowers'!$D$9:$D$108,MATCH(D211,'Borrowers'!$C$9:$C$108,0)),""))</x:f>
      </x:c>
      <x:c r="U211" s="3" t="str">
        <x:f>IF(C211="","","S01 ESRMS I.4–9; bank decision policy")</x:f>
      </x:c>
    </x:row>
    <x:row r="212" ht="42" customHeight="1">
      <x:c r="A212" s="1"/>
      <x:c r="B212" s="1"/>
      <x:c r="C212" s="8"/>
      <x:c r="D212" s="8"/>
      <x:c r="E212" s="8"/>
      <x:c r="F212" s="8"/>
      <x:c r="G212" s="8"/>
      <x:c r="H212" s="8"/>
      <x:c r="I212" s="10"/>
      <x:c r="J212" s="8"/>
      <x:c r="K212" s="8"/>
      <x:c r="L212" s="8"/>
      <x:c r="M212" s="10"/>
      <x:c r="N212" s="10"/>
      <x:c r="O212" s="9" t="str">
        <x:f>IF(C212="","",IF(AND(S212="Valid",J212="Closed",K212&lt;&gt;"",L212&lt;&gt;"",L212&lt;&gt;H212,ISNUMBER(M212),M212&gt;=N212,M212&lt;=Settings!$F$8),"Verified","Unverified"))</x:f>
      </x:c>
      <x:c r="P212" s="3" t="str">
        <x:f>IF(C212="","",IF(S212&lt;&gt;"Valid","Review",IF(O212="Verified","Closed",IF(J212="Closed","Closure pending",IF(OR(J212="Open",J212="In progress"),"Open","Review")))))</x:f>
      </x:c>
      <x:c r="Q212" s="9" t="str">
        <x:f>IF(C212="","",IF(AND(P212&lt;&gt;"Closed",ISNUMBER(I212),I212&lt;Settings!$F$8),"Overdue","Current"))</x:f>
      </x:c>
      <x:c r="R212" s="9" t="str">
        <x:f>IF(C212="","",IF(Q212="Overdue",Settings!$F$8-I212,0))</x:f>
      </x:c>
      <x:c r="S212" s="9" t="str">
        <x:f>IF(C212="","",IF(COUNTIF($C$9:$C$308,C212)&lt;&gt;1,"Duplicate ID",IF(COUNTIF(Borrowers!$C$9:$C$108,D212)&lt;&gt;1,"Borrower key",IF(OR(NOT(OR(E212="E&amp;S",E212="Taxonomy",E212="Climate",E212="Data")),NOT(OR(F212="Critical",F212="High",F212="Moderate",F212="Low")),NOT(OR(J212="Open",J212="In progress",J212="Closed")),G212="",H212="",NOT(ISNUMBER(I212)),NOT(ISNUMBER(N212)),I212&lt;N212,N212&gt;Settings!$F$8),"Incomplete","Valid"))))</x:f>
      </x:c>
      <x:c r="T212" s="9" t="str">
        <x:f>IF(C212="","",IFERROR(INDEX('Borrowers'!$D$9:$D$108,MATCH(D212,'Borrowers'!$C$9:$C$108,0)),""))</x:f>
      </x:c>
      <x:c r="U212" s="3" t="str">
        <x:f>IF(C212="","","S01 ESRMS I.4–9; bank decision policy")</x:f>
      </x:c>
    </x:row>
    <x:row r="213" ht="42" customHeight="1">
      <x:c r="A213" s="1"/>
      <x:c r="B213" s="1"/>
      <x:c r="C213" s="8"/>
      <x:c r="D213" s="8"/>
      <x:c r="E213" s="8"/>
      <x:c r="F213" s="8"/>
      <x:c r="G213" s="8"/>
      <x:c r="H213" s="8"/>
      <x:c r="I213" s="10"/>
      <x:c r="J213" s="8"/>
      <x:c r="K213" s="8"/>
      <x:c r="L213" s="8"/>
      <x:c r="M213" s="10"/>
      <x:c r="N213" s="10"/>
      <x:c r="O213" s="9" t="str">
        <x:f>IF(C213="","",IF(AND(S213="Valid",J213="Closed",K213&lt;&gt;"",L213&lt;&gt;"",L213&lt;&gt;H213,ISNUMBER(M213),M213&gt;=N213,M213&lt;=Settings!$F$8),"Verified","Unverified"))</x:f>
      </x:c>
      <x:c r="P213" s="3" t="str">
        <x:f>IF(C213="","",IF(S213&lt;&gt;"Valid","Review",IF(O213="Verified","Closed",IF(J213="Closed","Closure pending",IF(OR(J213="Open",J213="In progress"),"Open","Review")))))</x:f>
      </x:c>
      <x:c r="Q213" s="9" t="str">
        <x:f>IF(C213="","",IF(AND(P213&lt;&gt;"Closed",ISNUMBER(I213),I213&lt;Settings!$F$8),"Overdue","Current"))</x:f>
      </x:c>
      <x:c r="R213" s="9" t="str">
        <x:f>IF(C213="","",IF(Q213="Overdue",Settings!$F$8-I213,0))</x:f>
      </x:c>
      <x:c r="S213" s="9" t="str">
        <x:f>IF(C213="","",IF(COUNTIF($C$9:$C$308,C213)&lt;&gt;1,"Duplicate ID",IF(COUNTIF(Borrowers!$C$9:$C$108,D213)&lt;&gt;1,"Borrower key",IF(OR(NOT(OR(E213="E&amp;S",E213="Taxonomy",E213="Climate",E213="Data")),NOT(OR(F213="Critical",F213="High",F213="Moderate",F213="Low")),NOT(OR(J213="Open",J213="In progress",J213="Closed")),G213="",H213="",NOT(ISNUMBER(I213)),NOT(ISNUMBER(N213)),I213&lt;N213,N213&gt;Settings!$F$8),"Incomplete","Valid"))))</x:f>
      </x:c>
      <x:c r="T213" s="9" t="str">
        <x:f>IF(C213="","",IFERROR(INDEX('Borrowers'!$D$9:$D$108,MATCH(D213,'Borrowers'!$C$9:$C$108,0)),""))</x:f>
      </x:c>
      <x:c r="U213" s="3" t="str">
        <x:f>IF(C213="","","S01 ESRMS I.4–9; bank decision policy")</x:f>
      </x:c>
    </x:row>
    <x:row r="214" ht="42" customHeight="1">
      <x:c r="A214" s="1"/>
      <x:c r="B214" s="1"/>
      <x:c r="C214" s="8"/>
      <x:c r="D214" s="8"/>
      <x:c r="E214" s="8"/>
      <x:c r="F214" s="8"/>
      <x:c r="G214" s="8"/>
      <x:c r="H214" s="8"/>
      <x:c r="I214" s="10"/>
      <x:c r="J214" s="8"/>
      <x:c r="K214" s="8"/>
      <x:c r="L214" s="8"/>
      <x:c r="M214" s="10"/>
      <x:c r="N214" s="10"/>
      <x:c r="O214" s="9" t="str">
        <x:f>IF(C214="","",IF(AND(S214="Valid",J214="Closed",K214&lt;&gt;"",L214&lt;&gt;"",L214&lt;&gt;H214,ISNUMBER(M214),M214&gt;=N214,M214&lt;=Settings!$F$8),"Verified","Unverified"))</x:f>
      </x:c>
      <x:c r="P214" s="3" t="str">
        <x:f>IF(C214="","",IF(S214&lt;&gt;"Valid","Review",IF(O214="Verified","Closed",IF(J214="Closed","Closure pending",IF(OR(J214="Open",J214="In progress"),"Open","Review")))))</x:f>
      </x:c>
      <x:c r="Q214" s="9" t="str">
        <x:f>IF(C214="","",IF(AND(P214&lt;&gt;"Closed",ISNUMBER(I214),I214&lt;Settings!$F$8),"Overdue","Current"))</x:f>
      </x:c>
      <x:c r="R214" s="9" t="str">
        <x:f>IF(C214="","",IF(Q214="Overdue",Settings!$F$8-I214,0))</x:f>
      </x:c>
      <x:c r="S214" s="9" t="str">
        <x:f>IF(C214="","",IF(COUNTIF($C$9:$C$308,C214)&lt;&gt;1,"Duplicate ID",IF(COUNTIF(Borrowers!$C$9:$C$108,D214)&lt;&gt;1,"Borrower key",IF(OR(NOT(OR(E214="E&amp;S",E214="Taxonomy",E214="Climate",E214="Data")),NOT(OR(F214="Critical",F214="High",F214="Moderate",F214="Low")),NOT(OR(J214="Open",J214="In progress",J214="Closed")),G214="",H214="",NOT(ISNUMBER(I214)),NOT(ISNUMBER(N214)),I214&lt;N214,N214&gt;Settings!$F$8),"Incomplete","Valid"))))</x:f>
      </x:c>
      <x:c r="T214" s="9" t="str">
        <x:f>IF(C214="","",IFERROR(INDEX('Borrowers'!$D$9:$D$108,MATCH(D214,'Borrowers'!$C$9:$C$108,0)),""))</x:f>
      </x:c>
      <x:c r="U214" s="3" t="str">
        <x:f>IF(C214="","","S01 ESRMS I.4–9; bank decision policy")</x:f>
      </x:c>
    </x:row>
    <x:row r="215" ht="42" customHeight="1">
      <x:c r="A215" s="1"/>
      <x:c r="B215" s="1"/>
      <x:c r="C215" s="8"/>
      <x:c r="D215" s="8"/>
      <x:c r="E215" s="8"/>
      <x:c r="F215" s="8"/>
      <x:c r="G215" s="8"/>
      <x:c r="H215" s="8"/>
      <x:c r="I215" s="10"/>
      <x:c r="J215" s="8"/>
      <x:c r="K215" s="8"/>
      <x:c r="L215" s="8"/>
      <x:c r="M215" s="10"/>
      <x:c r="N215" s="10"/>
      <x:c r="O215" s="9" t="str">
        <x:f>IF(C215="","",IF(AND(S215="Valid",J215="Closed",K215&lt;&gt;"",L215&lt;&gt;"",L215&lt;&gt;H215,ISNUMBER(M215),M215&gt;=N215,M215&lt;=Settings!$F$8),"Verified","Unverified"))</x:f>
      </x:c>
      <x:c r="P215" s="3" t="str">
        <x:f>IF(C215="","",IF(S215&lt;&gt;"Valid","Review",IF(O215="Verified","Closed",IF(J215="Closed","Closure pending",IF(OR(J215="Open",J215="In progress"),"Open","Review")))))</x:f>
      </x:c>
      <x:c r="Q215" s="9" t="str">
        <x:f>IF(C215="","",IF(AND(P215&lt;&gt;"Closed",ISNUMBER(I215),I215&lt;Settings!$F$8),"Overdue","Current"))</x:f>
      </x:c>
      <x:c r="R215" s="9" t="str">
        <x:f>IF(C215="","",IF(Q215="Overdue",Settings!$F$8-I215,0))</x:f>
      </x:c>
      <x:c r="S215" s="9" t="str">
        <x:f>IF(C215="","",IF(COUNTIF($C$9:$C$308,C215)&lt;&gt;1,"Duplicate ID",IF(COUNTIF(Borrowers!$C$9:$C$108,D215)&lt;&gt;1,"Borrower key",IF(OR(NOT(OR(E215="E&amp;S",E215="Taxonomy",E215="Climate",E215="Data")),NOT(OR(F215="Critical",F215="High",F215="Moderate",F215="Low")),NOT(OR(J215="Open",J215="In progress",J215="Closed")),G215="",H215="",NOT(ISNUMBER(I215)),NOT(ISNUMBER(N215)),I215&lt;N215,N215&gt;Settings!$F$8),"Incomplete","Valid"))))</x:f>
      </x:c>
      <x:c r="T215" s="9" t="str">
        <x:f>IF(C215="","",IFERROR(INDEX('Borrowers'!$D$9:$D$108,MATCH(D215,'Borrowers'!$C$9:$C$108,0)),""))</x:f>
      </x:c>
      <x:c r="U215" s="3" t="str">
        <x:f>IF(C215="","","S01 ESRMS I.4–9; bank decision policy")</x:f>
      </x:c>
    </x:row>
    <x:row r="216" ht="42" customHeight="1">
      <x:c r="A216" s="1"/>
      <x:c r="B216" s="1"/>
      <x:c r="C216" s="8"/>
      <x:c r="D216" s="8"/>
      <x:c r="E216" s="8"/>
      <x:c r="F216" s="8"/>
      <x:c r="G216" s="8"/>
      <x:c r="H216" s="8"/>
      <x:c r="I216" s="10"/>
      <x:c r="J216" s="8"/>
      <x:c r="K216" s="8"/>
      <x:c r="L216" s="8"/>
      <x:c r="M216" s="10"/>
      <x:c r="N216" s="10"/>
      <x:c r="O216" s="9" t="str">
        <x:f>IF(C216="","",IF(AND(S216="Valid",J216="Closed",K216&lt;&gt;"",L216&lt;&gt;"",L216&lt;&gt;H216,ISNUMBER(M216),M216&gt;=N216,M216&lt;=Settings!$F$8),"Verified","Unverified"))</x:f>
      </x:c>
      <x:c r="P216" s="3" t="str">
        <x:f>IF(C216="","",IF(S216&lt;&gt;"Valid","Review",IF(O216="Verified","Closed",IF(J216="Closed","Closure pending",IF(OR(J216="Open",J216="In progress"),"Open","Review")))))</x:f>
      </x:c>
      <x:c r="Q216" s="9" t="str">
        <x:f>IF(C216="","",IF(AND(P216&lt;&gt;"Closed",ISNUMBER(I216),I216&lt;Settings!$F$8),"Overdue","Current"))</x:f>
      </x:c>
      <x:c r="R216" s="9" t="str">
        <x:f>IF(C216="","",IF(Q216="Overdue",Settings!$F$8-I216,0))</x:f>
      </x:c>
      <x:c r="S216" s="9" t="str">
        <x:f>IF(C216="","",IF(COUNTIF($C$9:$C$308,C216)&lt;&gt;1,"Duplicate ID",IF(COUNTIF(Borrowers!$C$9:$C$108,D216)&lt;&gt;1,"Borrower key",IF(OR(NOT(OR(E216="E&amp;S",E216="Taxonomy",E216="Climate",E216="Data")),NOT(OR(F216="Critical",F216="High",F216="Moderate",F216="Low")),NOT(OR(J216="Open",J216="In progress",J216="Closed")),G216="",H216="",NOT(ISNUMBER(I216)),NOT(ISNUMBER(N216)),I216&lt;N216,N216&gt;Settings!$F$8),"Incomplete","Valid"))))</x:f>
      </x:c>
      <x:c r="T216" s="9" t="str">
        <x:f>IF(C216="","",IFERROR(INDEX('Borrowers'!$D$9:$D$108,MATCH(D216,'Borrowers'!$C$9:$C$108,0)),""))</x:f>
      </x:c>
      <x:c r="U216" s="3" t="str">
        <x:f>IF(C216="","","S01 ESRMS I.4–9; bank decision policy")</x:f>
      </x:c>
    </x:row>
    <x:row r="217" ht="42" customHeight="1">
      <x:c r="A217" s="1"/>
      <x:c r="B217" s="1"/>
      <x:c r="C217" s="8"/>
      <x:c r="D217" s="8"/>
      <x:c r="E217" s="8"/>
      <x:c r="F217" s="8"/>
      <x:c r="G217" s="8"/>
      <x:c r="H217" s="8"/>
      <x:c r="I217" s="10"/>
      <x:c r="J217" s="8"/>
      <x:c r="K217" s="8"/>
      <x:c r="L217" s="8"/>
      <x:c r="M217" s="10"/>
      <x:c r="N217" s="10"/>
      <x:c r="O217" s="9" t="str">
        <x:f>IF(C217="","",IF(AND(S217="Valid",J217="Closed",K217&lt;&gt;"",L217&lt;&gt;"",L217&lt;&gt;H217,ISNUMBER(M217),M217&gt;=N217,M217&lt;=Settings!$F$8),"Verified","Unverified"))</x:f>
      </x:c>
      <x:c r="P217" s="3" t="str">
        <x:f>IF(C217="","",IF(S217&lt;&gt;"Valid","Review",IF(O217="Verified","Closed",IF(J217="Closed","Closure pending",IF(OR(J217="Open",J217="In progress"),"Open","Review")))))</x:f>
      </x:c>
      <x:c r="Q217" s="9" t="str">
        <x:f>IF(C217="","",IF(AND(P217&lt;&gt;"Closed",ISNUMBER(I217),I217&lt;Settings!$F$8),"Overdue","Current"))</x:f>
      </x:c>
      <x:c r="R217" s="9" t="str">
        <x:f>IF(C217="","",IF(Q217="Overdue",Settings!$F$8-I217,0))</x:f>
      </x:c>
      <x:c r="S217" s="9" t="str">
        <x:f>IF(C217="","",IF(COUNTIF($C$9:$C$308,C217)&lt;&gt;1,"Duplicate ID",IF(COUNTIF(Borrowers!$C$9:$C$108,D217)&lt;&gt;1,"Borrower key",IF(OR(NOT(OR(E217="E&amp;S",E217="Taxonomy",E217="Climate",E217="Data")),NOT(OR(F217="Critical",F217="High",F217="Moderate",F217="Low")),NOT(OR(J217="Open",J217="In progress",J217="Closed")),G217="",H217="",NOT(ISNUMBER(I217)),NOT(ISNUMBER(N217)),I217&lt;N217,N217&gt;Settings!$F$8),"Incomplete","Valid"))))</x:f>
      </x:c>
      <x:c r="T217" s="9" t="str">
        <x:f>IF(C217="","",IFERROR(INDEX('Borrowers'!$D$9:$D$108,MATCH(D217,'Borrowers'!$C$9:$C$108,0)),""))</x:f>
      </x:c>
      <x:c r="U217" s="3" t="str">
        <x:f>IF(C217="","","S01 ESRMS I.4–9; bank decision policy")</x:f>
      </x:c>
    </x:row>
    <x:row r="218" ht="42" customHeight="1">
      <x:c r="A218" s="1"/>
      <x:c r="B218" s="1"/>
      <x:c r="C218" s="8"/>
      <x:c r="D218" s="8"/>
      <x:c r="E218" s="8"/>
      <x:c r="F218" s="8"/>
      <x:c r="G218" s="8"/>
      <x:c r="H218" s="8"/>
      <x:c r="I218" s="10"/>
      <x:c r="J218" s="8"/>
      <x:c r="K218" s="8"/>
      <x:c r="L218" s="8"/>
      <x:c r="M218" s="10"/>
      <x:c r="N218" s="10"/>
      <x:c r="O218" s="9" t="str">
        <x:f>IF(C218="","",IF(AND(S218="Valid",J218="Closed",K218&lt;&gt;"",L218&lt;&gt;"",L218&lt;&gt;H218,ISNUMBER(M218),M218&gt;=N218,M218&lt;=Settings!$F$8),"Verified","Unverified"))</x:f>
      </x:c>
      <x:c r="P218" s="3" t="str">
        <x:f>IF(C218="","",IF(S218&lt;&gt;"Valid","Review",IF(O218="Verified","Closed",IF(J218="Closed","Closure pending",IF(OR(J218="Open",J218="In progress"),"Open","Review")))))</x:f>
      </x:c>
      <x:c r="Q218" s="9" t="str">
        <x:f>IF(C218="","",IF(AND(P218&lt;&gt;"Closed",ISNUMBER(I218),I218&lt;Settings!$F$8),"Overdue","Current"))</x:f>
      </x:c>
      <x:c r="R218" s="9" t="str">
        <x:f>IF(C218="","",IF(Q218="Overdue",Settings!$F$8-I218,0))</x:f>
      </x:c>
      <x:c r="S218" s="9" t="str">
        <x:f>IF(C218="","",IF(COUNTIF($C$9:$C$308,C218)&lt;&gt;1,"Duplicate ID",IF(COUNTIF(Borrowers!$C$9:$C$108,D218)&lt;&gt;1,"Borrower key",IF(OR(NOT(OR(E218="E&amp;S",E218="Taxonomy",E218="Climate",E218="Data")),NOT(OR(F218="Critical",F218="High",F218="Moderate",F218="Low")),NOT(OR(J218="Open",J218="In progress",J218="Closed")),G218="",H218="",NOT(ISNUMBER(I218)),NOT(ISNUMBER(N218)),I218&lt;N218,N218&gt;Settings!$F$8),"Incomplete","Valid"))))</x:f>
      </x:c>
      <x:c r="T218" s="9" t="str">
        <x:f>IF(C218="","",IFERROR(INDEX('Borrowers'!$D$9:$D$108,MATCH(D218,'Borrowers'!$C$9:$C$108,0)),""))</x:f>
      </x:c>
      <x:c r="U218" s="3" t="str">
        <x:f>IF(C218="","","S01 ESRMS I.4–9; bank decision policy")</x:f>
      </x:c>
    </x:row>
    <x:row r="219" ht="42" customHeight="1">
      <x:c r="A219" s="1"/>
      <x:c r="B219" s="1"/>
      <x:c r="C219" s="8"/>
      <x:c r="D219" s="8"/>
      <x:c r="E219" s="8"/>
      <x:c r="F219" s="8"/>
      <x:c r="G219" s="8"/>
      <x:c r="H219" s="8"/>
      <x:c r="I219" s="10"/>
      <x:c r="J219" s="8"/>
      <x:c r="K219" s="8"/>
      <x:c r="L219" s="8"/>
      <x:c r="M219" s="10"/>
      <x:c r="N219" s="10"/>
      <x:c r="O219" s="9" t="str">
        <x:f>IF(C219="","",IF(AND(S219="Valid",J219="Closed",K219&lt;&gt;"",L219&lt;&gt;"",L219&lt;&gt;H219,ISNUMBER(M219),M219&gt;=N219,M219&lt;=Settings!$F$8),"Verified","Unverified"))</x:f>
      </x:c>
      <x:c r="P219" s="3" t="str">
        <x:f>IF(C219="","",IF(S219&lt;&gt;"Valid","Review",IF(O219="Verified","Closed",IF(J219="Closed","Closure pending",IF(OR(J219="Open",J219="In progress"),"Open","Review")))))</x:f>
      </x:c>
      <x:c r="Q219" s="9" t="str">
        <x:f>IF(C219="","",IF(AND(P219&lt;&gt;"Closed",ISNUMBER(I219),I219&lt;Settings!$F$8),"Overdue","Current"))</x:f>
      </x:c>
      <x:c r="R219" s="9" t="str">
        <x:f>IF(C219="","",IF(Q219="Overdue",Settings!$F$8-I219,0))</x:f>
      </x:c>
      <x:c r="S219" s="9" t="str">
        <x:f>IF(C219="","",IF(COUNTIF($C$9:$C$308,C219)&lt;&gt;1,"Duplicate ID",IF(COUNTIF(Borrowers!$C$9:$C$108,D219)&lt;&gt;1,"Borrower key",IF(OR(NOT(OR(E219="E&amp;S",E219="Taxonomy",E219="Climate",E219="Data")),NOT(OR(F219="Critical",F219="High",F219="Moderate",F219="Low")),NOT(OR(J219="Open",J219="In progress",J219="Closed")),G219="",H219="",NOT(ISNUMBER(I219)),NOT(ISNUMBER(N219)),I219&lt;N219,N219&gt;Settings!$F$8),"Incomplete","Valid"))))</x:f>
      </x:c>
      <x:c r="T219" s="9" t="str">
        <x:f>IF(C219="","",IFERROR(INDEX('Borrowers'!$D$9:$D$108,MATCH(D219,'Borrowers'!$C$9:$C$108,0)),""))</x:f>
      </x:c>
      <x:c r="U219" s="3" t="str">
        <x:f>IF(C219="","","S01 ESRMS I.4–9; bank decision policy")</x:f>
      </x:c>
    </x:row>
    <x:row r="220" ht="42" customHeight="1">
      <x:c r="A220" s="1"/>
      <x:c r="B220" s="1"/>
      <x:c r="C220" s="8"/>
      <x:c r="D220" s="8"/>
      <x:c r="E220" s="8"/>
      <x:c r="F220" s="8"/>
      <x:c r="G220" s="8"/>
      <x:c r="H220" s="8"/>
      <x:c r="I220" s="10"/>
      <x:c r="J220" s="8"/>
      <x:c r="K220" s="8"/>
      <x:c r="L220" s="8"/>
      <x:c r="M220" s="10"/>
      <x:c r="N220" s="10"/>
      <x:c r="O220" s="9" t="str">
        <x:f>IF(C220="","",IF(AND(S220="Valid",J220="Closed",K220&lt;&gt;"",L220&lt;&gt;"",L220&lt;&gt;H220,ISNUMBER(M220),M220&gt;=N220,M220&lt;=Settings!$F$8),"Verified","Unverified"))</x:f>
      </x:c>
      <x:c r="P220" s="3" t="str">
        <x:f>IF(C220="","",IF(S220&lt;&gt;"Valid","Review",IF(O220="Verified","Closed",IF(J220="Closed","Closure pending",IF(OR(J220="Open",J220="In progress"),"Open","Review")))))</x:f>
      </x:c>
      <x:c r="Q220" s="9" t="str">
        <x:f>IF(C220="","",IF(AND(P220&lt;&gt;"Closed",ISNUMBER(I220),I220&lt;Settings!$F$8),"Overdue","Current"))</x:f>
      </x:c>
      <x:c r="R220" s="9" t="str">
        <x:f>IF(C220="","",IF(Q220="Overdue",Settings!$F$8-I220,0))</x:f>
      </x:c>
      <x:c r="S220" s="9" t="str">
        <x:f>IF(C220="","",IF(COUNTIF($C$9:$C$308,C220)&lt;&gt;1,"Duplicate ID",IF(COUNTIF(Borrowers!$C$9:$C$108,D220)&lt;&gt;1,"Borrower key",IF(OR(NOT(OR(E220="E&amp;S",E220="Taxonomy",E220="Climate",E220="Data")),NOT(OR(F220="Critical",F220="High",F220="Moderate",F220="Low")),NOT(OR(J220="Open",J220="In progress",J220="Closed")),G220="",H220="",NOT(ISNUMBER(I220)),NOT(ISNUMBER(N220)),I220&lt;N220,N220&gt;Settings!$F$8),"Incomplete","Valid"))))</x:f>
      </x:c>
      <x:c r="T220" s="9" t="str">
        <x:f>IF(C220="","",IFERROR(INDEX('Borrowers'!$D$9:$D$108,MATCH(D220,'Borrowers'!$C$9:$C$108,0)),""))</x:f>
      </x:c>
      <x:c r="U220" s="3" t="str">
        <x:f>IF(C220="","","S01 ESRMS I.4–9; bank decision policy")</x:f>
      </x:c>
    </x:row>
    <x:row r="221" ht="42" customHeight="1">
      <x:c r="A221" s="1"/>
      <x:c r="B221" s="1"/>
      <x:c r="C221" s="8"/>
      <x:c r="D221" s="8"/>
      <x:c r="E221" s="8"/>
      <x:c r="F221" s="8"/>
      <x:c r="G221" s="8"/>
      <x:c r="H221" s="8"/>
      <x:c r="I221" s="10"/>
      <x:c r="J221" s="8"/>
      <x:c r="K221" s="8"/>
      <x:c r="L221" s="8"/>
      <x:c r="M221" s="10"/>
      <x:c r="N221" s="10"/>
      <x:c r="O221" s="9" t="str">
        <x:f>IF(C221="","",IF(AND(S221="Valid",J221="Closed",K221&lt;&gt;"",L221&lt;&gt;"",L221&lt;&gt;H221,ISNUMBER(M221),M221&gt;=N221,M221&lt;=Settings!$F$8),"Verified","Unverified"))</x:f>
      </x:c>
      <x:c r="P221" s="3" t="str">
        <x:f>IF(C221="","",IF(S221&lt;&gt;"Valid","Review",IF(O221="Verified","Closed",IF(J221="Closed","Closure pending",IF(OR(J221="Open",J221="In progress"),"Open","Review")))))</x:f>
      </x:c>
      <x:c r="Q221" s="9" t="str">
        <x:f>IF(C221="","",IF(AND(P221&lt;&gt;"Closed",ISNUMBER(I221),I221&lt;Settings!$F$8),"Overdue","Current"))</x:f>
      </x:c>
      <x:c r="R221" s="9" t="str">
        <x:f>IF(C221="","",IF(Q221="Overdue",Settings!$F$8-I221,0))</x:f>
      </x:c>
      <x:c r="S221" s="9" t="str">
        <x:f>IF(C221="","",IF(COUNTIF($C$9:$C$308,C221)&lt;&gt;1,"Duplicate ID",IF(COUNTIF(Borrowers!$C$9:$C$108,D221)&lt;&gt;1,"Borrower key",IF(OR(NOT(OR(E221="E&amp;S",E221="Taxonomy",E221="Climate",E221="Data")),NOT(OR(F221="Critical",F221="High",F221="Moderate",F221="Low")),NOT(OR(J221="Open",J221="In progress",J221="Closed")),G221="",H221="",NOT(ISNUMBER(I221)),NOT(ISNUMBER(N221)),I221&lt;N221,N221&gt;Settings!$F$8),"Incomplete","Valid"))))</x:f>
      </x:c>
      <x:c r="T221" s="9" t="str">
        <x:f>IF(C221="","",IFERROR(INDEX('Borrowers'!$D$9:$D$108,MATCH(D221,'Borrowers'!$C$9:$C$108,0)),""))</x:f>
      </x:c>
      <x:c r="U221" s="3" t="str">
        <x:f>IF(C221="","","S01 ESRMS I.4–9; bank decision policy")</x:f>
      </x:c>
    </x:row>
    <x:row r="222" ht="42" customHeight="1">
      <x:c r="A222" s="1"/>
      <x:c r="B222" s="1"/>
      <x:c r="C222" s="8"/>
      <x:c r="D222" s="8"/>
      <x:c r="E222" s="8"/>
      <x:c r="F222" s="8"/>
      <x:c r="G222" s="8"/>
      <x:c r="H222" s="8"/>
      <x:c r="I222" s="10"/>
      <x:c r="J222" s="8"/>
      <x:c r="K222" s="8"/>
      <x:c r="L222" s="8"/>
      <x:c r="M222" s="10"/>
      <x:c r="N222" s="10"/>
      <x:c r="O222" s="9" t="str">
        <x:f>IF(C222="","",IF(AND(S222="Valid",J222="Closed",K222&lt;&gt;"",L222&lt;&gt;"",L222&lt;&gt;H222,ISNUMBER(M222),M222&gt;=N222,M222&lt;=Settings!$F$8),"Verified","Unverified"))</x:f>
      </x:c>
      <x:c r="P222" s="3" t="str">
        <x:f>IF(C222="","",IF(S222&lt;&gt;"Valid","Review",IF(O222="Verified","Closed",IF(J222="Closed","Closure pending",IF(OR(J222="Open",J222="In progress"),"Open","Review")))))</x:f>
      </x:c>
      <x:c r="Q222" s="9" t="str">
        <x:f>IF(C222="","",IF(AND(P222&lt;&gt;"Closed",ISNUMBER(I222),I222&lt;Settings!$F$8),"Overdue","Current"))</x:f>
      </x:c>
      <x:c r="R222" s="9" t="str">
        <x:f>IF(C222="","",IF(Q222="Overdue",Settings!$F$8-I222,0))</x:f>
      </x:c>
      <x:c r="S222" s="9" t="str">
        <x:f>IF(C222="","",IF(COUNTIF($C$9:$C$308,C222)&lt;&gt;1,"Duplicate ID",IF(COUNTIF(Borrowers!$C$9:$C$108,D222)&lt;&gt;1,"Borrower key",IF(OR(NOT(OR(E222="E&amp;S",E222="Taxonomy",E222="Climate",E222="Data")),NOT(OR(F222="Critical",F222="High",F222="Moderate",F222="Low")),NOT(OR(J222="Open",J222="In progress",J222="Closed")),G222="",H222="",NOT(ISNUMBER(I222)),NOT(ISNUMBER(N222)),I222&lt;N222,N222&gt;Settings!$F$8),"Incomplete","Valid"))))</x:f>
      </x:c>
      <x:c r="T222" s="9" t="str">
        <x:f>IF(C222="","",IFERROR(INDEX('Borrowers'!$D$9:$D$108,MATCH(D222,'Borrowers'!$C$9:$C$108,0)),""))</x:f>
      </x:c>
      <x:c r="U222" s="3" t="str">
        <x:f>IF(C222="","","S01 ESRMS I.4–9; bank decision policy")</x:f>
      </x:c>
    </x:row>
    <x:row r="223" ht="42" customHeight="1">
      <x:c r="A223" s="1"/>
      <x:c r="B223" s="1"/>
      <x:c r="C223" s="8"/>
      <x:c r="D223" s="8"/>
      <x:c r="E223" s="8"/>
      <x:c r="F223" s="8"/>
      <x:c r="G223" s="8"/>
      <x:c r="H223" s="8"/>
      <x:c r="I223" s="10"/>
      <x:c r="J223" s="8"/>
      <x:c r="K223" s="8"/>
      <x:c r="L223" s="8"/>
      <x:c r="M223" s="10"/>
      <x:c r="N223" s="10"/>
      <x:c r="O223" s="9" t="str">
        <x:f>IF(C223="","",IF(AND(S223="Valid",J223="Closed",K223&lt;&gt;"",L223&lt;&gt;"",L223&lt;&gt;H223,ISNUMBER(M223),M223&gt;=N223,M223&lt;=Settings!$F$8),"Verified","Unverified"))</x:f>
      </x:c>
      <x:c r="P223" s="3" t="str">
        <x:f>IF(C223="","",IF(S223&lt;&gt;"Valid","Review",IF(O223="Verified","Closed",IF(J223="Closed","Closure pending",IF(OR(J223="Open",J223="In progress"),"Open","Review")))))</x:f>
      </x:c>
      <x:c r="Q223" s="9" t="str">
        <x:f>IF(C223="","",IF(AND(P223&lt;&gt;"Closed",ISNUMBER(I223),I223&lt;Settings!$F$8),"Overdue","Current"))</x:f>
      </x:c>
      <x:c r="R223" s="9" t="str">
        <x:f>IF(C223="","",IF(Q223="Overdue",Settings!$F$8-I223,0))</x:f>
      </x:c>
      <x:c r="S223" s="9" t="str">
        <x:f>IF(C223="","",IF(COUNTIF($C$9:$C$308,C223)&lt;&gt;1,"Duplicate ID",IF(COUNTIF(Borrowers!$C$9:$C$108,D223)&lt;&gt;1,"Borrower key",IF(OR(NOT(OR(E223="E&amp;S",E223="Taxonomy",E223="Climate",E223="Data")),NOT(OR(F223="Critical",F223="High",F223="Moderate",F223="Low")),NOT(OR(J223="Open",J223="In progress",J223="Closed")),G223="",H223="",NOT(ISNUMBER(I223)),NOT(ISNUMBER(N223)),I223&lt;N223,N223&gt;Settings!$F$8),"Incomplete","Valid"))))</x:f>
      </x:c>
      <x:c r="T223" s="9" t="str">
        <x:f>IF(C223="","",IFERROR(INDEX('Borrowers'!$D$9:$D$108,MATCH(D223,'Borrowers'!$C$9:$C$108,0)),""))</x:f>
      </x:c>
      <x:c r="U223" s="3" t="str">
        <x:f>IF(C223="","","S01 ESRMS I.4–9; bank decision policy")</x:f>
      </x:c>
    </x:row>
    <x:row r="224" ht="42" customHeight="1">
      <x:c r="A224" s="1"/>
      <x:c r="B224" s="1"/>
      <x:c r="C224" s="8"/>
      <x:c r="D224" s="8"/>
      <x:c r="E224" s="8"/>
      <x:c r="F224" s="8"/>
      <x:c r="G224" s="8"/>
      <x:c r="H224" s="8"/>
      <x:c r="I224" s="10"/>
      <x:c r="J224" s="8"/>
      <x:c r="K224" s="8"/>
      <x:c r="L224" s="8"/>
      <x:c r="M224" s="10"/>
      <x:c r="N224" s="10"/>
      <x:c r="O224" s="9" t="str">
        <x:f>IF(C224="","",IF(AND(S224="Valid",J224="Closed",K224&lt;&gt;"",L224&lt;&gt;"",L224&lt;&gt;H224,ISNUMBER(M224),M224&gt;=N224,M224&lt;=Settings!$F$8),"Verified","Unverified"))</x:f>
      </x:c>
      <x:c r="P224" s="3" t="str">
        <x:f>IF(C224="","",IF(S224&lt;&gt;"Valid","Review",IF(O224="Verified","Closed",IF(J224="Closed","Closure pending",IF(OR(J224="Open",J224="In progress"),"Open","Review")))))</x:f>
      </x:c>
      <x:c r="Q224" s="9" t="str">
        <x:f>IF(C224="","",IF(AND(P224&lt;&gt;"Closed",ISNUMBER(I224),I224&lt;Settings!$F$8),"Overdue","Current"))</x:f>
      </x:c>
      <x:c r="R224" s="9" t="str">
        <x:f>IF(C224="","",IF(Q224="Overdue",Settings!$F$8-I224,0))</x:f>
      </x:c>
      <x:c r="S224" s="9" t="str">
        <x:f>IF(C224="","",IF(COUNTIF($C$9:$C$308,C224)&lt;&gt;1,"Duplicate ID",IF(COUNTIF(Borrowers!$C$9:$C$108,D224)&lt;&gt;1,"Borrower key",IF(OR(NOT(OR(E224="E&amp;S",E224="Taxonomy",E224="Climate",E224="Data")),NOT(OR(F224="Critical",F224="High",F224="Moderate",F224="Low")),NOT(OR(J224="Open",J224="In progress",J224="Closed")),G224="",H224="",NOT(ISNUMBER(I224)),NOT(ISNUMBER(N224)),I224&lt;N224,N224&gt;Settings!$F$8),"Incomplete","Valid"))))</x:f>
      </x:c>
      <x:c r="T224" s="9" t="str">
        <x:f>IF(C224="","",IFERROR(INDEX('Borrowers'!$D$9:$D$108,MATCH(D224,'Borrowers'!$C$9:$C$108,0)),""))</x:f>
      </x:c>
      <x:c r="U224" s="3" t="str">
        <x:f>IF(C224="","","S01 ESRMS I.4–9; bank decision policy")</x:f>
      </x:c>
    </x:row>
    <x:row r="225" ht="42" customHeight="1">
      <x:c r="A225" s="1"/>
      <x:c r="B225" s="1"/>
      <x:c r="C225" s="8"/>
      <x:c r="D225" s="8"/>
      <x:c r="E225" s="8"/>
      <x:c r="F225" s="8"/>
      <x:c r="G225" s="8"/>
      <x:c r="H225" s="8"/>
      <x:c r="I225" s="10"/>
      <x:c r="J225" s="8"/>
      <x:c r="K225" s="8"/>
      <x:c r="L225" s="8"/>
      <x:c r="M225" s="10"/>
      <x:c r="N225" s="10"/>
      <x:c r="O225" s="9" t="str">
        <x:f>IF(C225="","",IF(AND(S225="Valid",J225="Closed",K225&lt;&gt;"",L225&lt;&gt;"",L225&lt;&gt;H225,ISNUMBER(M225),M225&gt;=N225,M225&lt;=Settings!$F$8),"Verified","Unverified"))</x:f>
      </x:c>
      <x:c r="P225" s="3" t="str">
        <x:f>IF(C225="","",IF(S225&lt;&gt;"Valid","Review",IF(O225="Verified","Closed",IF(J225="Closed","Closure pending",IF(OR(J225="Open",J225="In progress"),"Open","Review")))))</x:f>
      </x:c>
      <x:c r="Q225" s="9" t="str">
        <x:f>IF(C225="","",IF(AND(P225&lt;&gt;"Closed",ISNUMBER(I225),I225&lt;Settings!$F$8),"Overdue","Current"))</x:f>
      </x:c>
      <x:c r="R225" s="9" t="str">
        <x:f>IF(C225="","",IF(Q225="Overdue",Settings!$F$8-I225,0))</x:f>
      </x:c>
      <x:c r="S225" s="9" t="str">
        <x:f>IF(C225="","",IF(COUNTIF($C$9:$C$308,C225)&lt;&gt;1,"Duplicate ID",IF(COUNTIF(Borrowers!$C$9:$C$108,D225)&lt;&gt;1,"Borrower key",IF(OR(NOT(OR(E225="E&amp;S",E225="Taxonomy",E225="Climate",E225="Data")),NOT(OR(F225="Critical",F225="High",F225="Moderate",F225="Low")),NOT(OR(J225="Open",J225="In progress",J225="Closed")),G225="",H225="",NOT(ISNUMBER(I225)),NOT(ISNUMBER(N225)),I225&lt;N225,N225&gt;Settings!$F$8),"Incomplete","Valid"))))</x:f>
      </x:c>
      <x:c r="T225" s="9" t="str">
        <x:f>IF(C225="","",IFERROR(INDEX('Borrowers'!$D$9:$D$108,MATCH(D225,'Borrowers'!$C$9:$C$108,0)),""))</x:f>
      </x:c>
      <x:c r="U225" s="3" t="str">
        <x:f>IF(C225="","","S01 ESRMS I.4–9; bank decision policy")</x:f>
      </x:c>
    </x:row>
    <x:row r="226" ht="42" customHeight="1">
      <x:c r="A226" s="1"/>
      <x:c r="B226" s="1"/>
      <x:c r="C226" s="8"/>
      <x:c r="D226" s="8"/>
      <x:c r="E226" s="8"/>
      <x:c r="F226" s="8"/>
      <x:c r="G226" s="8"/>
      <x:c r="H226" s="8"/>
      <x:c r="I226" s="10"/>
      <x:c r="J226" s="8"/>
      <x:c r="K226" s="8"/>
      <x:c r="L226" s="8"/>
      <x:c r="M226" s="10"/>
      <x:c r="N226" s="10"/>
      <x:c r="O226" s="9" t="str">
        <x:f>IF(C226="","",IF(AND(S226="Valid",J226="Closed",K226&lt;&gt;"",L226&lt;&gt;"",L226&lt;&gt;H226,ISNUMBER(M226),M226&gt;=N226,M226&lt;=Settings!$F$8),"Verified","Unverified"))</x:f>
      </x:c>
      <x:c r="P226" s="3" t="str">
        <x:f>IF(C226="","",IF(S226&lt;&gt;"Valid","Review",IF(O226="Verified","Closed",IF(J226="Closed","Closure pending",IF(OR(J226="Open",J226="In progress"),"Open","Review")))))</x:f>
      </x:c>
      <x:c r="Q226" s="9" t="str">
        <x:f>IF(C226="","",IF(AND(P226&lt;&gt;"Closed",ISNUMBER(I226),I226&lt;Settings!$F$8),"Overdue","Current"))</x:f>
      </x:c>
      <x:c r="R226" s="9" t="str">
        <x:f>IF(C226="","",IF(Q226="Overdue",Settings!$F$8-I226,0))</x:f>
      </x:c>
      <x:c r="S226" s="9" t="str">
        <x:f>IF(C226="","",IF(COUNTIF($C$9:$C$308,C226)&lt;&gt;1,"Duplicate ID",IF(COUNTIF(Borrowers!$C$9:$C$108,D226)&lt;&gt;1,"Borrower key",IF(OR(NOT(OR(E226="E&amp;S",E226="Taxonomy",E226="Climate",E226="Data")),NOT(OR(F226="Critical",F226="High",F226="Moderate",F226="Low")),NOT(OR(J226="Open",J226="In progress",J226="Closed")),G226="",H226="",NOT(ISNUMBER(I226)),NOT(ISNUMBER(N226)),I226&lt;N226,N226&gt;Settings!$F$8),"Incomplete","Valid"))))</x:f>
      </x:c>
      <x:c r="T226" s="9" t="str">
        <x:f>IF(C226="","",IFERROR(INDEX('Borrowers'!$D$9:$D$108,MATCH(D226,'Borrowers'!$C$9:$C$108,0)),""))</x:f>
      </x:c>
      <x:c r="U226" s="3" t="str">
        <x:f>IF(C226="","","S01 ESRMS I.4–9; bank decision policy")</x:f>
      </x:c>
    </x:row>
    <x:row r="227" ht="42" customHeight="1">
      <x:c r="A227" s="1"/>
      <x:c r="B227" s="1"/>
      <x:c r="C227" s="8"/>
      <x:c r="D227" s="8"/>
      <x:c r="E227" s="8"/>
      <x:c r="F227" s="8"/>
      <x:c r="G227" s="8"/>
      <x:c r="H227" s="8"/>
      <x:c r="I227" s="10"/>
      <x:c r="J227" s="8"/>
      <x:c r="K227" s="8"/>
      <x:c r="L227" s="8"/>
      <x:c r="M227" s="10"/>
      <x:c r="N227" s="10"/>
      <x:c r="O227" s="9" t="str">
        <x:f>IF(C227="","",IF(AND(S227="Valid",J227="Closed",K227&lt;&gt;"",L227&lt;&gt;"",L227&lt;&gt;H227,ISNUMBER(M227),M227&gt;=N227,M227&lt;=Settings!$F$8),"Verified","Unverified"))</x:f>
      </x:c>
      <x:c r="P227" s="3" t="str">
        <x:f>IF(C227="","",IF(S227&lt;&gt;"Valid","Review",IF(O227="Verified","Closed",IF(J227="Closed","Closure pending",IF(OR(J227="Open",J227="In progress"),"Open","Review")))))</x:f>
      </x:c>
      <x:c r="Q227" s="9" t="str">
        <x:f>IF(C227="","",IF(AND(P227&lt;&gt;"Closed",ISNUMBER(I227),I227&lt;Settings!$F$8),"Overdue","Current"))</x:f>
      </x:c>
      <x:c r="R227" s="9" t="str">
        <x:f>IF(C227="","",IF(Q227="Overdue",Settings!$F$8-I227,0))</x:f>
      </x:c>
      <x:c r="S227" s="9" t="str">
        <x:f>IF(C227="","",IF(COUNTIF($C$9:$C$308,C227)&lt;&gt;1,"Duplicate ID",IF(COUNTIF(Borrowers!$C$9:$C$108,D227)&lt;&gt;1,"Borrower key",IF(OR(NOT(OR(E227="E&amp;S",E227="Taxonomy",E227="Climate",E227="Data")),NOT(OR(F227="Critical",F227="High",F227="Moderate",F227="Low")),NOT(OR(J227="Open",J227="In progress",J227="Closed")),G227="",H227="",NOT(ISNUMBER(I227)),NOT(ISNUMBER(N227)),I227&lt;N227,N227&gt;Settings!$F$8),"Incomplete","Valid"))))</x:f>
      </x:c>
      <x:c r="T227" s="9" t="str">
        <x:f>IF(C227="","",IFERROR(INDEX('Borrowers'!$D$9:$D$108,MATCH(D227,'Borrowers'!$C$9:$C$108,0)),""))</x:f>
      </x:c>
      <x:c r="U227" s="3" t="str">
        <x:f>IF(C227="","","S01 ESRMS I.4–9; bank decision policy")</x:f>
      </x:c>
    </x:row>
    <x:row r="228" ht="42" customHeight="1">
      <x:c r="A228" s="1"/>
      <x:c r="B228" s="1"/>
      <x:c r="C228" s="8"/>
      <x:c r="D228" s="8"/>
      <x:c r="E228" s="8"/>
      <x:c r="F228" s="8"/>
      <x:c r="G228" s="8"/>
      <x:c r="H228" s="8"/>
      <x:c r="I228" s="10"/>
      <x:c r="J228" s="8"/>
      <x:c r="K228" s="8"/>
      <x:c r="L228" s="8"/>
      <x:c r="M228" s="10"/>
      <x:c r="N228" s="10"/>
      <x:c r="O228" s="9" t="str">
        <x:f>IF(C228="","",IF(AND(S228="Valid",J228="Closed",K228&lt;&gt;"",L228&lt;&gt;"",L228&lt;&gt;H228,ISNUMBER(M228),M228&gt;=N228,M228&lt;=Settings!$F$8),"Verified","Unverified"))</x:f>
      </x:c>
      <x:c r="P228" s="3" t="str">
        <x:f>IF(C228="","",IF(S228&lt;&gt;"Valid","Review",IF(O228="Verified","Closed",IF(J228="Closed","Closure pending",IF(OR(J228="Open",J228="In progress"),"Open","Review")))))</x:f>
      </x:c>
      <x:c r="Q228" s="9" t="str">
        <x:f>IF(C228="","",IF(AND(P228&lt;&gt;"Closed",ISNUMBER(I228),I228&lt;Settings!$F$8),"Overdue","Current"))</x:f>
      </x:c>
      <x:c r="R228" s="9" t="str">
        <x:f>IF(C228="","",IF(Q228="Overdue",Settings!$F$8-I228,0))</x:f>
      </x:c>
      <x:c r="S228" s="9" t="str">
        <x:f>IF(C228="","",IF(COUNTIF($C$9:$C$308,C228)&lt;&gt;1,"Duplicate ID",IF(COUNTIF(Borrowers!$C$9:$C$108,D228)&lt;&gt;1,"Borrower key",IF(OR(NOT(OR(E228="E&amp;S",E228="Taxonomy",E228="Climate",E228="Data")),NOT(OR(F228="Critical",F228="High",F228="Moderate",F228="Low")),NOT(OR(J228="Open",J228="In progress",J228="Closed")),G228="",H228="",NOT(ISNUMBER(I228)),NOT(ISNUMBER(N228)),I228&lt;N228,N228&gt;Settings!$F$8),"Incomplete","Valid"))))</x:f>
      </x:c>
      <x:c r="T228" s="9" t="str">
        <x:f>IF(C228="","",IFERROR(INDEX('Borrowers'!$D$9:$D$108,MATCH(D228,'Borrowers'!$C$9:$C$108,0)),""))</x:f>
      </x:c>
      <x:c r="U228" s="3" t="str">
        <x:f>IF(C228="","","S01 ESRMS I.4–9; bank decision policy")</x:f>
      </x:c>
    </x:row>
    <x:row r="229" ht="42" customHeight="1">
      <x:c r="A229" s="1"/>
      <x:c r="B229" s="1"/>
      <x:c r="C229" s="8"/>
      <x:c r="D229" s="8"/>
      <x:c r="E229" s="8"/>
      <x:c r="F229" s="8"/>
      <x:c r="G229" s="8"/>
      <x:c r="H229" s="8"/>
      <x:c r="I229" s="10"/>
      <x:c r="J229" s="8"/>
      <x:c r="K229" s="8"/>
      <x:c r="L229" s="8"/>
      <x:c r="M229" s="10"/>
      <x:c r="N229" s="10"/>
      <x:c r="O229" s="9" t="str">
        <x:f>IF(C229="","",IF(AND(S229="Valid",J229="Closed",K229&lt;&gt;"",L229&lt;&gt;"",L229&lt;&gt;H229,ISNUMBER(M229),M229&gt;=N229,M229&lt;=Settings!$F$8),"Verified","Unverified"))</x:f>
      </x:c>
      <x:c r="P229" s="3" t="str">
        <x:f>IF(C229="","",IF(S229&lt;&gt;"Valid","Review",IF(O229="Verified","Closed",IF(J229="Closed","Closure pending",IF(OR(J229="Open",J229="In progress"),"Open","Review")))))</x:f>
      </x:c>
      <x:c r="Q229" s="9" t="str">
        <x:f>IF(C229="","",IF(AND(P229&lt;&gt;"Closed",ISNUMBER(I229),I229&lt;Settings!$F$8),"Overdue","Current"))</x:f>
      </x:c>
      <x:c r="R229" s="9" t="str">
        <x:f>IF(C229="","",IF(Q229="Overdue",Settings!$F$8-I229,0))</x:f>
      </x:c>
      <x:c r="S229" s="9" t="str">
        <x:f>IF(C229="","",IF(COUNTIF($C$9:$C$308,C229)&lt;&gt;1,"Duplicate ID",IF(COUNTIF(Borrowers!$C$9:$C$108,D229)&lt;&gt;1,"Borrower key",IF(OR(NOT(OR(E229="E&amp;S",E229="Taxonomy",E229="Climate",E229="Data")),NOT(OR(F229="Critical",F229="High",F229="Moderate",F229="Low")),NOT(OR(J229="Open",J229="In progress",J229="Closed")),G229="",H229="",NOT(ISNUMBER(I229)),NOT(ISNUMBER(N229)),I229&lt;N229,N229&gt;Settings!$F$8),"Incomplete","Valid"))))</x:f>
      </x:c>
      <x:c r="T229" s="9" t="str">
        <x:f>IF(C229="","",IFERROR(INDEX('Borrowers'!$D$9:$D$108,MATCH(D229,'Borrowers'!$C$9:$C$108,0)),""))</x:f>
      </x:c>
      <x:c r="U229" s="3" t="str">
        <x:f>IF(C229="","","S01 ESRMS I.4–9; bank decision policy")</x:f>
      </x:c>
    </x:row>
    <x:row r="230" ht="42" customHeight="1">
      <x:c r="A230" s="1"/>
      <x:c r="B230" s="1"/>
      <x:c r="C230" s="8"/>
      <x:c r="D230" s="8"/>
      <x:c r="E230" s="8"/>
      <x:c r="F230" s="8"/>
      <x:c r="G230" s="8"/>
      <x:c r="H230" s="8"/>
      <x:c r="I230" s="10"/>
      <x:c r="J230" s="8"/>
      <x:c r="K230" s="8"/>
      <x:c r="L230" s="8"/>
      <x:c r="M230" s="10"/>
      <x:c r="N230" s="10"/>
      <x:c r="O230" s="9" t="str">
        <x:f>IF(C230="","",IF(AND(S230="Valid",J230="Closed",K230&lt;&gt;"",L230&lt;&gt;"",L230&lt;&gt;H230,ISNUMBER(M230),M230&gt;=N230,M230&lt;=Settings!$F$8),"Verified","Unverified"))</x:f>
      </x:c>
      <x:c r="P230" s="3" t="str">
        <x:f>IF(C230="","",IF(S230&lt;&gt;"Valid","Review",IF(O230="Verified","Closed",IF(J230="Closed","Closure pending",IF(OR(J230="Open",J230="In progress"),"Open","Review")))))</x:f>
      </x:c>
      <x:c r="Q230" s="9" t="str">
        <x:f>IF(C230="","",IF(AND(P230&lt;&gt;"Closed",ISNUMBER(I230),I230&lt;Settings!$F$8),"Overdue","Current"))</x:f>
      </x:c>
      <x:c r="R230" s="9" t="str">
        <x:f>IF(C230="","",IF(Q230="Overdue",Settings!$F$8-I230,0))</x:f>
      </x:c>
      <x:c r="S230" s="9" t="str">
        <x:f>IF(C230="","",IF(COUNTIF($C$9:$C$308,C230)&lt;&gt;1,"Duplicate ID",IF(COUNTIF(Borrowers!$C$9:$C$108,D230)&lt;&gt;1,"Borrower key",IF(OR(NOT(OR(E230="E&amp;S",E230="Taxonomy",E230="Climate",E230="Data")),NOT(OR(F230="Critical",F230="High",F230="Moderate",F230="Low")),NOT(OR(J230="Open",J230="In progress",J230="Closed")),G230="",H230="",NOT(ISNUMBER(I230)),NOT(ISNUMBER(N230)),I230&lt;N230,N230&gt;Settings!$F$8),"Incomplete","Valid"))))</x:f>
      </x:c>
      <x:c r="T230" s="9" t="str">
        <x:f>IF(C230="","",IFERROR(INDEX('Borrowers'!$D$9:$D$108,MATCH(D230,'Borrowers'!$C$9:$C$108,0)),""))</x:f>
      </x:c>
      <x:c r="U230" s="3" t="str">
        <x:f>IF(C230="","","S01 ESRMS I.4–9; bank decision policy")</x:f>
      </x:c>
    </x:row>
    <x:row r="231" ht="42" customHeight="1">
      <x:c r="A231" s="1"/>
      <x:c r="B231" s="1"/>
      <x:c r="C231" s="8"/>
      <x:c r="D231" s="8"/>
      <x:c r="E231" s="8"/>
      <x:c r="F231" s="8"/>
      <x:c r="G231" s="8"/>
      <x:c r="H231" s="8"/>
      <x:c r="I231" s="10"/>
      <x:c r="J231" s="8"/>
      <x:c r="K231" s="8"/>
      <x:c r="L231" s="8"/>
      <x:c r="M231" s="10"/>
      <x:c r="N231" s="10"/>
      <x:c r="O231" s="9" t="str">
        <x:f>IF(C231="","",IF(AND(S231="Valid",J231="Closed",K231&lt;&gt;"",L231&lt;&gt;"",L231&lt;&gt;H231,ISNUMBER(M231),M231&gt;=N231,M231&lt;=Settings!$F$8),"Verified","Unverified"))</x:f>
      </x:c>
      <x:c r="P231" s="3" t="str">
        <x:f>IF(C231="","",IF(S231&lt;&gt;"Valid","Review",IF(O231="Verified","Closed",IF(J231="Closed","Closure pending",IF(OR(J231="Open",J231="In progress"),"Open","Review")))))</x:f>
      </x:c>
      <x:c r="Q231" s="9" t="str">
        <x:f>IF(C231="","",IF(AND(P231&lt;&gt;"Closed",ISNUMBER(I231),I231&lt;Settings!$F$8),"Overdue","Current"))</x:f>
      </x:c>
      <x:c r="R231" s="9" t="str">
        <x:f>IF(C231="","",IF(Q231="Overdue",Settings!$F$8-I231,0))</x:f>
      </x:c>
      <x:c r="S231" s="9" t="str">
        <x:f>IF(C231="","",IF(COUNTIF($C$9:$C$308,C231)&lt;&gt;1,"Duplicate ID",IF(COUNTIF(Borrowers!$C$9:$C$108,D231)&lt;&gt;1,"Borrower key",IF(OR(NOT(OR(E231="E&amp;S",E231="Taxonomy",E231="Climate",E231="Data")),NOT(OR(F231="Critical",F231="High",F231="Moderate",F231="Low")),NOT(OR(J231="Open",J231="In progress",J231="Closed")),G231="",H231="",NOT(ISNUMBER(I231)),NOT(ISNUMBER(N231)),I231&lt;N231,N231&gt;Settings!$F$8),"Incomplete","Valid"))))</x:f>
      </x:c>
      <x:c r="T231" s="9" t="str">
        <x:f>IF(C231="","",IFERROR(INDEX('Borrowers'!$D$9:$D$108,MATCH(D231,'Borrowers'!$C$9:$C$108,0)),""))</x:f>
      </x:c>
      <x:c r="U231" s="3" t="str">
        <x:f>IF(C231="","","S01 ESRMS I.4–9; bank decision policy")</x:f>
      </x:c>
    </x:row>
    <x:row r="232" ht="42" customHeight="1">
      <x:c r="A232" s="1"/>
      <x:c r="B232" s="1"/>
      <x:c r="C232" s="8"/>
      <x:c r="D232" s="8"/>
      <x:c r="E232" s="8"/>
      <x:c r="F232" s="8"/>
      <x:c r="G232" s="8"/>
      <x:c r="H232" s="8"/>
      <x:c r="I232" s="10"/>
      <x:c r="J232" s="8"/>
      <x:c r="K232" s="8"/>
      <x:c r="L232" s="8"/>
      <x:c r="M232" s="10"/>
      <x:c r="N232" s="10"/>
      <x:c r="O232" s="9" t="str">
        <x:f>IF(C232="","",IF(AND(S232="Valid",J232="Closed",K232&lt;&gt;"",L232&lt;&gt;"",L232&lt;&gt;H232,ISNUMBER(M232),M232&gt;=N232,M232&lt;=Settings!$F$8),"Verified","Unverified"))</x:f>
      </x:c>
      <x:c r="P232" s="3" t="str">
        <x:f>IF(C232="","",IF(S232&lt;&gt;"Valid","Review",IF(O232="Verified","Closed",IF(J232="Closed","Closure pending",IF(OR(J232="Open",J232="In progress"),"Open","Review")))))</x:f>
      </x:c>
      <x:c r="Q232" s="9" t="str">
        <x:f>IF(C232="","",IF(AND(P232&lt;&gt;"Closed",ISNUMBER(I232),I232&lt;Settings!$F$8),"Overdue","Current"))</x:f>
      </x:c>
      <x:c r="R232" s="9" t="str">
        <x:f>IF(C232="","",IF(Q232="Overdue",Settings!$F$8-I232,0))</x:f>
      </x:c>
      <x:c r="S232" s="9" t="str">
        <x:f>IF(C232="","",IF(COUNTIF($C$9:$C$308,C232)&lt;&gt;1,"Duplicate ID",IF(COUNTIF(Borrowers!$C$9:$C$108,D232)&lt;&gt;1,"Borrower key",IF(OR(NOT(OR(E232="E&amp;S",E232="Taxonomy",E232="Climate",E232="Data")),NOT(OR(F232="Critical",F232="High",F232="Moderate",F232="Low")),NOT(OR(J232="Open",J232="In progress",J232="Closed")),G232="",H232="",NOT(ISNUMBER(I232)),NOT(ISNUMBER(N232)),I232&lt;N232,N232&gt;Settings!$F$8),"Incomplete","Valid"))))</x:f>
      </x:c>
      <x:c r="T232" s="9" t="str">
        <x:f>IF(C232="","",IFERROR(INDEX('Borrowers'!$D$9:$D$108,MATCH(D232,'Borrowers'!$C$9:$C$108,0)),""))</x:f>
      </x:c>
      <x:c r="U232" s="3" t="str">
        <x:f>IF(C232="","","S01 ESRMS I.4–9; bank decision policy")</x:f>
      </x:c>
    </x:row>
    <x:row r="233" ht="42" customHeight="1">
      <x:c r="A233" s="1"/>
      <x:c r="B233" s="1"/>
      <x:c r="C233" s="8"/>
      <x:c r="D233" s="8"/>
      <x:c r="E233" s="8"/>
      <x:c r="F233" s="8"/>
      <x:c r="G233" s="8"/>
      <x:c r="H233" s="8"/>
      <x:c r="I233" s="10"/>
      <x:c r="J233" s="8"/>
      <x:c r="K233" s="8"/>
      <x:c r="L233" s="8"/>
      <x:c r="M233" s="10"/>
      <x:c r="N233" s="10"/>
      <x:c r="O233" s="9" t="str">
        <x:f>IF(C233="","",IF(AND(S233="Valid",J233="Closed",K233&lt;&gt;"",L233&lt;&gt;"",L233&lt;&gt;H233,ISNUMBER(M233),M233&gt;=N233,M233&lt;=Settings!$F$8),"Verified","Unverified"))</x:f>
      </x:c>
      <x:c r="P233" s="3" t="str">
        <x:f>IF(C233="","",IF(S233&lt;&gt;"Valid","Review",IF(O233="Verified","Closed",IF(J233="Closed","Closure pending",IF(OR(J233="Open",J233="In progress"),"Open","Review")))))</x:f>
      </x:c>
      <x:c r="Q233" s="9" t="str">
        <x:f>IF(C233="","",IF(AND(P233&lt;&gt;"Closed",ISNUMBER(I233),I233&lt;Settings!$F$8),"Overdue","Current"))</x:f>
      </x:c>
      <x:c r="R233" s="9" t="str">
        <x:f>IF(C233="","",IF(Q233="Overdue",Settings!$F$8-I233,0))</x:f>
      </x:c>
      <x:c r="S233" s="9" t="str">
        <x:f>IF(C233="","",IF(COUNTIF($C$9:$C$308,C233)&lt;&gt;1,"Duplicate ID",IF(COUNTIF(Borrowers!$C$9:$C$108,D233)&lt;&gt;1,"Borrower key",IF(OR(NOT(OR(E233="E&amp;S",E233="Taxonomy",E233="Climate",E233="Data")),NOT(OR(F233="Critical",F233="High",F233="Moderate",F233="Low")),NOT(OR(J233="Open",J233="In progress",J233="Closed")),G233="",H233="",NOT(ISNUMBER(I233)),NOT(ISNUMBER(N233)),I233&lt;N233,N233&gt;Settings!$F$8),"Incomplete","Valid"))))</x:f>
      </x:c>
      <x:c r="T233" s="9" t="str">
        <x:f>IF(C233="","",IFERROR(INDEX('Borrowers'!$D$9:$D$108,MATCH(D233,'Borrowers'!$C$9:$C$108,0)),""))</x:f>
      </x:c>
      <x:c r="U233" s="3" t="str">
        <x:f>IF(C233="","","S01 ESRMS I.4–9; bank decision policy")</x:f>
      </x:c>
    </x:row>
    <x:row r="234" ht="42" customHeight="1">
      <x:c r="A234" s="1"/>
      <x:c r="B234" s="1"/>
      <x:c r="C234" s="8"/>
      <x:c r="D234" s="8"/>
      <x:c r="E234" s="8"/>
      <x:c r="F234" s="8"/>
      <x:c r="G234" s="8"/>
      <x:c r="H234" s="8"/>
      <x:c r="I234" s="10"/>
      <x:c r="J234" s="8"/>
      <x:c r="K234" s="8"/>
      <x:c r="L234" s="8"/>
      <x:c r="M234" s="10"/>
      <x:c r="N234" s="10"/>
      <x:c r="O234" s="9" t="str">
        <x:f>IF(C234="","",IF(AND(S234="Valid",J234="Closed",K234&lt;&gt;"",L234&lt;&gt;"",L234&lt;&gt;H234,ISNUMBER(M234),M234&gt;=N234,M234&lt;=Settings!$F$8),"Verified","Unverified"))</x:f>
      </x:c>
      <x:c r="P234" s="3" t="str">
        <x:f>IF(C234="","",IF(S234&lt;&gt;"Valid","Review",IF(O234="Verified","Closed",IF(J234="Closed","Closure pending",IF(OR(J234="Open",J234="In progress"),"Open","Review")))))</x:f>
      </x:c>
      <x:c r="Q234" s="9" t="str">
        <x:f>IF(C234="","",IF(AND(P234&lt;&gt;"Closed",ISNUMBER(I234),I234&lt;Settings!$F$8),"Overdue","Current"))</x:f>
      </x:c>
      <x:c r="R234" s="9" t="str">
        <x:f>IF(C234="","",IF(Q234="Overdue",Settings!$F$8-I234,0))</x:f>
      </x:c>
      <x:c r="S234" s="9" t="str">
        <x:f>IF(C234="","",IF(COUNTIF($C$9:$C$308,C234)&lt;&gt;1,"Duplicate ID",IF(COUNTIF(Borrowers!$C$9:$C$108,D234)&lt;&gt;1,"Borrower key",IF(OR(NOT(OR(E234="E&amp;S",E234="Taxonomy",E234="Climate",E234="Data")),NOT(OR(F234="Critical",F234="High",F234="Moderate",F234="Low")),NOT(OR(J234="Open",J234="In progress",J234="Closed")),G234="",H234="",NOT(ISNUMBER(I234)),NOT(ISNUMBER(N234)),I234&lt;N234,N234&gt;Settings!$F$8),"Incomplete","Valid"))))</x:f>
      </x:c>
      <x:c r="T234" s="9" t="str">
        <x:f>IF(C234="","",IFERROR(INDEX('Borrowers'!$D$9:$D$108,MATCH(D234,'Borrowers'!$C$9:$C$108,0)),""))</x:f>
      </x:c>
      <x:c r="U234" s="3" t="str">
        <x:f>IF(C234="","","S01 ESRMS I.4–9; bank decision policy")</x:f>
      </x:c>
    </x:row>
    <x:row r="235" ht="42" customHeight="1">
      <x:c r="A235" s="1"/>
      <x:c r="B235" s="1"/>
      <x:c r="C235" s="8"/>
      <x:c r="D235" s="8"/>
      <x:c r="E235" s="8"/>
      <x:c r="F235" s="8"/>
      <x:c r="G235" s="8"/>
      <x:c r="H235" s="8"/>
      <x:c r="I235" s="10"/>
      <x:c r="J235" s="8"/>
      <x:c r="K235" s="8"/>
      <x:c r="L235" s="8"/>
      <x:c r="M235" s="10"/>
      <x:c r="N235" s="10"/>
      <x:c r="O235" s="9" t="str">
        <x:f>IF(C235="","",IF(AND(S235="Valid",J235="Closed",K235&lt;&gt;"",L235&lt;&gt;"",L235&lt;&gt;H235,ISNUMBER(M235),M235&gt;=N235,M235&lt;=Settings!$F$8),"Verified","Unverified"))</x:f>
      </x:c>
      <x:c r="P235" s="3" t="str">
        <x:f>IF(C235="","",IF(S235&lt;&gt;"Valid","Review",IF(O235="Verified","Closed",IF(J235="Closed","Closure pending",IF(OR(J235="Open",J235="In progress"),"Open","Review")))))</x:f>
      </x:c>
      <x:c r="Q235" s="9" t="str">
        <x:f>IF(C235="","",IF(AND(P235&lt;&gt;"Closed",ISNUMBER(I235),I235&lt;Settings!$F$8),"Overdue","Current"))</x:f>
      </x:c>
      <x:c r="R235" s="9" t="str">
        <x:f>IF(C235="","",IF(Q235="Overdue",Settings!$F$8-I235,0))</x:f>
      </x:c>
      <x:c r="S235" s="9" t="str">
        <x:f>IF(C235="","",IF(COUNTIF($C$9:$C$308,C235)&lt;&gt;1,"Duplicate ID",IF(COUNTIF(Borrowers!$C$9:$C$108,D235)&lt;&gt;1,"Borrower key",IF(OR(NOT(OR(E235="E&amp;S",E235="Taxonomy",E235="Climate",E235="Data")),NOT(OR(F235="Critical",F235="High",F235="Moderate",F235="Low")),NOT(OR(J235="Open",J235="In progress",J235="Closed")),G235="",H235="",NOT(ISNUMBER(I235)),NOT(ISNUMBER(N235)),I235&lt;N235,N235&gt;Settings!$F$8),"Incomplete","Valid"))))</x:f>
      </x:c>
      <x:c r="T235" s="9" t="str">
        <x:f>IF(C235="","",IFERROR(INDEX('Borrowers'!$D$9:$D$108,MATCH(D235,'Borrowers'!$C$9:$C$108,0)),""))</x:f>
      </x:c>
      <x:c r="U235" s="3" t="str">
        <x:f>IF(C235="","","S01 ESRMS I.4–9; bank decision policy")</x:f>
      </x:c>
    </x:row>
    <x:row r="236" ht="42" customHeight="1">
      <x:c r="A236" s="1"/>
      <x:c r="B236" s="1"/>
      <x:c r="C236" s="8"/>
      <x:c r="D236" s="8"/>
      <x:c r="E236" s="8"/>
      <x:c r="F236" s="8"/>
      <x:c r="G236" s="8"/>
      <x:c r="H236" s="8"/>
      <x:c r="I236" s="10"/>
      <x:c r="J236" s="8"/>
      <x:c r="K236" s="8"/>
      <x:c r="L236" s="8"/>
      <x:c r="M236" s="10"/>
      <x:c r="N236" s="10"/>
      <x:c r="O236" s="9" t="str">
        <x:f>IF(C236="","",IF(AND(S236="Valid",J236="Closed",K236&lt;&gt;"",L236&lt;&gt;"",L236&lt;&gt;H236,ISNUMBER(M236),M236&gt;=N236,M236&lt;=Settings!$F$8),"Verified","Unverified"))</x:f>
      </x:c>
      <x:c r="P236" s="3" t="str">
        <x:f>IF(C236="","",IF(S236&lt;&gt;"Valid","Review",IF(O236="Verified","Closed",IF(J236="Closed","Closure pending",IF(OR(J236="Open",J236="In progress"),"Open","Review")))))</x:f>
      </x:c>
      <x:c r="Q236" s="9" t="str">
        <x:f>IF(C236="","",IF(AND(P236&lt;&gt;"Closed",ISNUMBER(I236),I236&lt;Settings!$F$8),"Overdue","Current"))</x:f>
      </x:c>
      <x:c r="R236" s="9" t="str">
        <x:f>IF(C236="","",IF(Q236="Overdue",Settings!$F$8-I236,0))</x:f>
      </x:c>
      <x:c r="S236" s="9" t="str">
        <x:f>IF(C236="","",IF(COUNTIF($C$9:$C$308,C236)&lt;&gt;1,"Duplicate ID",IF(COUNTIF(Borrowers!$C$9:$C$108,D236)&lt;&gt;1,"Borrower key",IF(OR(NOT(OR(E236="E&amp;S",E236="Taxonomy",E236="Climate",E236="Data")),NOT(OR(F236="Critical",F236="High",F236="Moderate",F236="Low")),NOT(OR(J236="Open",J236="In progress",J236="Closed")),G236="",H236="",NOT(ISNUMBER(I236)),NOT(ISNUMBER(N236)),I236&lt;N236,N236&gt;Settings!$F$8),"Incomplete","Valid"))))</x:f>
      </x:c>
      <x:c r="T236" s="9" t="str">
        <x:f>IF(C236="","",IFERROR(INDEX('Borrowers'!$D$9:$D$108,MATCH(D236,'Borrowers'!$C$9:$C$108,0)),""))</x:f>
      </x:c>
      <x:c r="U236" s="3" t="str">
        <x:f>IF(C236="","","S01 ESRMS I.4–9; bank decision policy")</x:f>
      </x:c>
    </x:row>
    <x:row r="237" ht="42" customHeight="1">
      <x:c r="A237" s="1"/>
      <x:c r="B237" s="1"/>
      <x:c r="C237" s="8"/>
      <x:c r="D237" s="8"/>
      <x:c r="E237" s="8"/>
      <x:c r="F237" s="8"/>
      <x:c r="G237" s="8"/>
      <x:c r="H237" s="8"/>
      <x:c r="I237" s="10"/>
      <x:c r="J237" s="8"/>
      <x:c r="K237" s="8"/>
      <x:c r="L237" s="8"/>
      <x:c r="M237" s="10"/>
      <x:c r="N237" s="10"/>
      <x:c r="O237" s="9" t="str">
        <x:f>IF(C237="","",IF(AND(S237="Valid",J237="Closed",K237&lt;&gt;"",L237&lt;&gt;"",L237&lt;&gt;H237,ISNUMBER(M237),M237&gt;=N237,M237&lt;=Settings!$F$8),"Verified","Unverified"))</x:f>
      </x:c>
      <x:c r="P237" s="3" t="str">
        <x:f>IF(C237="","",IF(S237&lt;&gt;"Valid","Review",IF(O237="Verified","Closed",IF(J237="Closed","Closure pending",IF(OR(J237="Open",J237="In progress"),"Open","Review")))))</x:f>
      </x:c>
      <x:c r="Q237" s="9" t="str">
        <x:f>IF(C237="","",IF(AND(P237&lt;&gt;"Closed",ISNUMBER(I237),I237&lt;Settings!$F$8),"Overdue","Current"))</x:f>
      </x:c>
      <x:c r="R237" s="9" t="str">
        <x:f>IF(C237="","",IF(Q237="Overdue",Settings!$F$8-I237,0))</x:f>
      </x:c>
      <x:c r="S237" s="9" t="str">
        <x:f>IF(C237="","",IF(COUNTIF($C$9:$C$308,C237)&lt;&gt;1,"Duplicate ID",IF(COUNTIF(Borrowers!$C$9:$C$108,D237)&lt;&gt;1,"Borrower key",IF(OR(NOT(OR(E237="E&amp;S",E237="Taxonomy",E237="Climate",E237="Data")),NOT(OR(F237="Critical",F237="High",F237="Moderate",F237="Low")),NOT(OR(J237="Open",J237="In progress",J237="Closed")),G237="",H237="",NOT(ISNUMBER(I237)),NOT(ISNUMBER(N237)),I237&lt;N237,N237&gt;Settings!$F$8),"Incomplete","Valid"))))</x:f>
      </x:c>
      <x:c r="T237" s="9" t="str">
        <x:f>IF(C237="","",IFERROR(INDEX('Borrowers'!$D$9:$D$108,MATCH(D237,'Borrowers'!$C$9:$C$108,0)),""))</x:f>
      </x:c>
      <x:c r="U237" s="3" t="str">
        <x:f>IF(C237="","","S01 ESRMS I.4–9; bank decision policy")</x:f>
      </x:c>
    </x:row>
    <x:row r="238" ht="42" customHeight="1">
      <x:c r="A238" s="1"/>
      <x:c r="B238" s="1"/>
      <x:c r="C238" s="8"/>
      <x:c r="D238" s="8"/>
      <x:c r="E238" s="8"/>
      <x:c r="F238" s="8"/>
      <x:c r="G238" s="8"/>
      <x:c r="H238" s="8"/>
      <x:c r="I238" s="10"/>
      <x:c r="J238" s="8"/>
      <x:c r="K238" s="8"/>
      <x:c r="L238" s="8"/>
      <x:c r="M238" s="10"/>
      <x:c r="N238" s="10"/>
      <x:c r="O238" s="9" t="str">
        <x:f>IF(C238="","",IF(AND(S238="Valid",J238="Closed",K238&lt;&gt;"",L238&lt;&gt;"",L238&lt;&gt;H238,ISNUMBER(M238),M238&gt;=N238,M238&lt;=Settings!$F$8),"Verified","Unverified"))</x:f>
      </x:c>
      <x:c r="P238" s="3" t="str">
        <x:f>IF(C238="","",IF(S238&lt;&gt;"Valid","Review",IF(O238="Verified","Closed",IF(J238="Closed","Closure pending",IF(OR(J238="Open",J238="In progress"),"Open","Review")))))</x:f>
      </x:c>
      <x:c r="Q238" s="9" t="str">
        <x:f>IF(C238="","",IF(AND(P238&lt;&gt;"Closed",ISNUMBER(I238),I238&lt;Settings!$F$8),"Overdue","Current"))</x:f>
      </x:c>
      <x:c r="R238" s="9" t="str">
        <x:f>IF(C238="","",IF(Q238="Overdue",Settings!$F$8-I238,0))</x:f>
      </x:c>
      <x:c r="S238" s="9" t="str">
        <x:f>IF(C238="","",IF(COUNTIF($C$9:$C$308,C238)&lt;&gt;1,"Duplicate ID",IF(COUNTIF(Borrowers!$C$9:$C$108,D238)&lt;&gt;1,"Borrower key",IF(OR(NOT(OR(E238="E&amp;S",E238="Taxonomy",E238="Climate",E238="Data")),NOT(OR(F238="Critical",F238="High",F238="Moderate",F238="Low")),NOT(OR(J238="Open",J238="In progress",J238="Closed")),G238="",H238="",NOT(ISNUMBER(I238)),NOT(ISNUMBER(N238)),I238&lt;N238,N238&gt;Settings!$F$8),"Incomplete","Valid"))))</x:f>
      </x:c>
      <x:c r="T238" s="9" t="str">
        <x:f>IF(C238="","",IFERROR(INDEX('Borrowers'!$D$9:$D$108,MATCH(D238,'Borrowers'!$C$9:$C$108,0)),""))</x:f>
      </x:c>
      <x:c r="U238" s="3" t="str">
        <x:f>IF(C238="","","S01 ESRMS I.4–9; bank decision policy")</x:f>
      </x:c>
    </x:row>
    <x:row r="239" ht="42" customHeight="1">
      <x:c r="A239" s="1"/>
      <x:c r="B239" s="1"/>
      <x:c r="C239" s="8"/>
      <x:c r="D239" s="8"/>
      <x:c r="E239" s="8"/>
      <x:c r="F239" s="8"/>
      <x:c r="G239" s="8"/>
      <x:c r="H239" s="8"/>
      <x:c r="I239" s="10"/>
      <x:c r="J239" s="8"/>
      <x:c r="K239" s="8"/>
      <x:c r="L239" s="8"/>
      <x:c r="M239" s="10"/>
      <x:c r="N239" s="10"/>
      <x:c r="O239" s="9" t="str">
        <x:f>IF(C239="","",IF(AND(S239="Valid",J239="Closed",K239&lt;&gt;"",L239&lt;&gt;"",L239&lt;&gt;H239,ISNUMBER(M239),M239&gt;=N239,M239&lt;=Settings!$F$8),"Verified","Unverified"))</x:f>
      </x:c>
      <x:c r="P239" s="3" t="str">
        <x:f>IF(C239="","",IF(S239&lt;&gt;"Valid","Review",IF(O239="Verified","Closed",IF(J239="Closed","Closure pending",IF(OR(J239="Open",J239="In progress"),"Open","Review")))))</x:f>
      </x:c>
      <x:c r="Q239" s="9" t="str">
        <x:f>IF(C239="","",IF(AND(P239&lt;&gt;"Closed",ISNUMBER(I239),I239&lt;Settings!$F$8),"Overdue","Current"))</x:f>
      </x:c>
      <x:c r="R239" s="9" t="str">
        <x:f>IF(C239="","",IF(Q239="Overdue",Settings!$F$8-I239,0))</x:f>
      </x:c>
      <x:c r="S239" s="9" t="str">
        <x:f>IF(C239="","",IF(COUNTIF($C$9:$C$308,C239)&lt;&gt;1,"Duplicate ID",IF(COUNTIF(Borrowers!$C$9:$C$108,D239)&lt;&gt;1,"Borrower key",IF(OR(NOT(OR(E239="E&amp;S",E239="Taxonomy",E239="Climate",E239="Data")),NOT(OR(F239="Critical",F239="High",F239="Moderate",F239="Low")),NOT(OR(J239="Open",J239="In progress",J239="Closed")),G239="",H239="",NOT(ISNUMBER(I239)),NOT(ISNUMBER(N239)),I239&lt;N239,N239&gt;Settings!$F$8),"Incomplete","Valid"))))</x:f>
      </x:c>
      <x:c r="T239" s="9" t="str">
        <x:f>IF(C239="","",IFERROR(INDEX('Borrowers'!$D$9:$D$108,MATCH(D239,'Borrowers'!$C$9:$C$108,0)),""))</x:f>
      </x:c>
      <x:c r="U239" s="3" t="str">
        <x:f>IF(C239="","","S01 ESRMS I.4–9; bank decision policy")</x:f>
      </x:c>
    </x:row>
    <x:row r="240" ht="42" customHeight="1">
      <x:c r="A240" s="1"/>
      <x:c r="B240" s="1"/>
      <x:c r="C240" s="8"/>
      <x:c r="D240" s="8"/>
      <x:c r="E240" s="8"/>
      <x:c r="F240" s="8"/>
      <x:c r="G240" s="8"/>
      <x:c r="H240" s="8"/>
      <x:c r="I240" s="10"/>
      <x:c r="J240" s="8"/>
      <x:c r="K240" s="8"/>
      <x:c r="L240" s="8"/>
      <x:c r="M240" s="10"/>
      <x:c r="N240" s="10"/>
      <x:c r="O240" s="9" t="str">
        <x:f>IF(C240="","",IF(AND(S240="Valid",J240="Closed",K240&lt;&gt;"",L240&lt;&gt;"",L240&lt;&gt;H240,ISNUMBER(M240),M240&gt;=N240,M240&lt;=Settings!$F$8),"Verified","Unverified"))</x:f>
      </x:c>
      <x:c r="P240" s="3" t="str">
        <x:f>IF(C240="","",IF(S240&lt;&gt;"Valid","Review",IF(O240="Verified","Closed",IF(J240="Closed","Closure pending",IF(OR(J240="Open",J240="In progress"),"Open","Review")))))</x:f>
      </x:c>
      <x:c r="Q240" s="9" t="str">
        <x:f>IF(C240="","",IF(AND(P240&lt;&gt;"Closed",ISNUMBER(I240),I240&lt;Settings!$F$8),"Overdue","Current"))</x:f>
      </x:c>
      <x:c r="R240" s="9" t="str">
        <x:f>IF(C240="","",IF(Q240="Overdue",Settings!$F$8-I240,0))</x:f>
      </x:c>
      <x:c r="S240" s="9" t="str">
        <x:f>IF(C240="","",IF(COUNTIF($C$9:$C$308,C240)&lt;&gt;1,"Duplicate ID",IF(COUNTIF(Borrowers!$C$9:$C$108,D240)&lt;&gt;1,"Borrower key",IF(OR(NOT(OR(E240="E&amp;S",E240="Taxonomy",E240="Climate",E240="Data")),NOT(OR(F240="Critical",F240="High",F240="Moderate",F240="Low")),NOT(OR(J240="Open",J240="In progress",J240="Closed")),G240="",H240="",NOT(ISNUMBER(I240)),NOT(ISNUMBER(N240)),I240&lt;N240,N240&gt;Settings!$F$8),"Incomplete","Valid"))))</x:f>
      </x:c>
      <x:c r="T240" s="9" t="str">
        <x:f>IF(C240="","",IFERROR(INDEX('Borrowers'!$D$9:$D$108,MATCH(D240,'Borrowers'!$C$9:$C$108,0)),""))</x:f>
      </x:c>
      <x:c r="U240" s="3" t="str">
        <x:f>IF(C240="","","S01 ESRMS I.4–9; bank decision policy")</x:f>
      </x:c>
    </x:row>
    <x:row r="241" ht="42" customHeight="1">
      <x:c r="A241" s="1"/>
      <x:c r="B241" s="1"/>
      <x:c r="C241" s="8"/>
      <x:c r="D241" s="8"/>
      <x:c r="E241" s="8"/>
      <x:c r="F241" s="8"/>
      <x:c r="G241" s="8"/>
      <x:c r="H241" s="8"/>
      <x:c r="I241" s="10"/>
      <x:c r="J241" s="8"/>
      <x:c r="K241" s="8"/>
      <x:c r="L241" s="8"/>
      <x:c r="M241" s="10"/>
      <x:c r="N241" s="10"/>
      <x:c r="O241" s="9" t="str">
        <x:f>IF(C241="","",IF(AND(S241="Valid",J241="Closed",K241&lt;&gt;"",L241&lt;&gt;"",L241&lt;&gt;H241,ISNUMBER(M241),M241&gt;=N241,M241&lt;=Settings!$F$8),"Verified","Unverified"))</x:f>
      </x:c>
      <x:c r="P241" s="3" t="str">
        <x:f>IF(C241="","",IF(S241&lt;&gt;"Valid","Review",IF(O241="Verified","Closed",IF(J241="Closed","Closure pending",IF(OR(J241="Open",J241="In progress"),"Open","Review")))))</x:f>
      </x:c>
      <x:c r="Q241" s="9" t="str">
        <x:f>IF(C241="","",IF(AND(P241&lt;&gt;"Closed",ISNUMBER(I241),I241&lt;Settings!$F$8),"Overdue","Current"))</x:f>
      </x:c>
      <x:c r="R241" s="9" t="str">
        <x:f>IF(C241="","",IF(Q241="Overdue",Settings!$F$8-I241,0))</x:f>
      </x:c>
      <x:c r="S241" s="9" t="str">
        <x:f>IF(C241="","",IF(COUNTIF($C$9:$C$308,C241)&lt;&gt;1,"Duplicate ID",IF(COUNTIF(Borrowers!$C$9:$C$108,D241)&lt;&gt;1,"Borrower key",IF(OR(NOT(OR(E241="E&amp;S",E241="Taxonomy",E241="Climate",E241="Data")),NOT(OR(F241="Critical",F241="High",F241="Moderate",F241="Low")),NOT(OR(J241="Open",J241="In progress",J241="Closed")),G241="",H241="",NOT(ISNUMBER(I241)),NOT(ISNUMBER(N241)),I241&lt;N241,N241&gt;Settings!$F$8),"Incomplete","Valid"))))</x:f>
      </x:c>
      <x:c r="T241" s="9" t="str">
        <x:f>IF(C241="","",IFERROR(INDEX('Borrowers'!$D$9:$D$108,MATCH(D241,'Borrowers'!$C$9:$C$108,0)),""))</x:f>
      </x:c>
      <x:c r="U241" s="3" t="str">
        <x:f>IF(C241="","","S01 ESRMS I.4–9; bank decision policy")</x:f>
      </x:c>
    </x:row>
    <x:row r="242" ht="42" customHeight="1">
      <x:c r="A242" s="1"/>
      <x:c r="B242" s="1"/>
      <x:c r="C242" s="8"/>
      <x:c r="D242" s="8"/>
      <x:c r="E242" s="8"/>
      <x:c r="F242" s="8"/>
      <x:c r="G242" s="8"/>
      <x:c r="H242" s="8"/>
      <x:c r="I242" s="10"/>
      <x:c r="J242" s="8"/>
      <x:c r="K242" s="8"/>
      <x:c r="L242" s="8"/>
      <x:c r="M242" s="10"/>
      <x:c r="N242" s="10"/>
      <x:c r="O242" s="9" t="str">
        <x:f>IF(C242="","",IF(AND(S242="Valid",J242="Closed",K242&lt;&gt;"",L242&lt;&gt;"",L242&lt;&gt;H242,ISNUMBER(M242),M242&gt;=N242,M242&lt;=Settings!$F$8),"Verified","Unverified"))</x:f>
      </x:c>
      <x:c r="P242" s="3" t="str">
        <x:f>IF(C242="","",IF(S242&lt;&gt;"Valid","Review",IF(O242="Verified","Closed",IF(J242="Closed","Closure pending",IF(OR(J242="Open",J242="In progress"),"Open","Review")))))</x:f>
      </x:c>
      <x:c r="Q242" s="9" t="str">
        <x:f>IF(C242="","",IF(AND(P242&lt;&gt;"Closed",ISNUMBER(I242),I242&lt;Settings!$F$8),"Overdue","Current"))</x:f>
      </x:c>
      <x:c r="R242" s="9" t="str">
        <x:f>IF(C242="","",IF(Q242="Overdue",Settings!$F$8-I242,0))</x:f>
      </x:c>
      <x:c r="S242" s="9" t="str">
        <x:f>IF(C242="","",IF(COUNTIF($C$9:$C$308,C242)&lt;&gt;1,"Duplicate ID",IF(COUNTIF(Borrowers!$C$9:$C$108,D242)&lt;&gt;1,"Borrower key",IF(OR(NOT(OR(E242="E&amp;S",E242="Taxonomy",E242="Climate",E242="Data")),NOT(OR(F242="Critical",F242="High",F242="Moderate",F242="Low")),NOT(OR(J242="Open",J242="In progress",J242="Closed")),G242="",H242="",NOT(ISNUMBER(I242)),NOT(ISNUMBER(N242)),I242&lt;N242,N242&gt;Settings!$F$8),"Incomplete","Valid"))))</x:f>
      </x:c>
      <x:c r="T242" s="9" t="str">
        <x:f>IF(C242="","",IFERROR(INDEX('Borrowers'!$D$9:$D$108,MATCH(D242,'Borrowers'!$C$9:$C$108,0)),""))</x:f>
      </x:c>
      <x:c r="U242" s="3" t="str">
        <x:f>IF(C242="","","S01 ESRMS I.4–9; bank decision policy")</x:f>
      </x:c>
    </x:row>
    <x:row r="243" ht="42" customHeight="1">
      <x:c r="A243" s="1"/>
      <x:c r="B243" s="1"/>
      <x:c r="C243" s="8"/>
      <x:c r="D243" s="8"/>
      <x:c r="E243" s="8"/>
      <x:c r="F243" s="8"/>
      <x:c r="G243" s="8"/>
      <x:c r="H243" s="8"/>
      <x:c r="I243" s="10"/>
      <x:c r="J243" s="8"/>
      <x:c r="K243" s="8"/>
      <x:c r="L243" s="8"/>
      <x:c r="M243" s="10"/>
      <x:c r="N243" s="10"/>
      <x:c r="O243" s="9" t="str">
        <x:f>IF(C243="","",IF(AND(S243="Valid",J243="Closed",K243&lt;&gt;"",L243&lt;&gt;"",L243&lt;&gt;H243,ISNUMBER(M243),M243&gt;=N243,M243&lt;=Settings!$F$8),"Verified","Unverified"))</x:f>
      </x:c>
      <x:c r="P243" s="3" t="str">
        <x:f>IF(C243="","",IF(S243&lt;&gt;"Valid","Review",IF(O243="Verified","Closed",IF(J243="Closed","Closure pending",IF(OR(J243="Open",J243="In progress"),"Open","Review")))))</x:f>
      </x:c>
      <x:c r="Q243" s="9" t="str">
        <x:f>IF(C243="","",IF(AND(P243&lt;&gt;"Closed",ISNUMBER(I243),I243&lt;Settings!$F$8),"Overdue","Current"))</x:f>
      </x:c>
      <x:c r="R243" s="9" t="str">
        <x:f>IF(C243="","",IF(Q243="Overdue",Settings!$F$8-I243,0))</x:f>
      </x:c>
      <x:c r="S243" s="9" t="str">
        <x:f>IF(C243="","",IF(COUNTIF($C$9:$C$308,C243)&lt;&gt;1,"Duplicate ID",IF(COUNTIF(Borrowers!$C$9:$C$108,D243)&lt;&gt;1,"Borrower key",IF(OR(NOT(OR(E243="E&amp;S",E243="Taxonomy",E243="Climate",E243="Data")),NOT(OR(F243="Critical",F243="High",F243="Moderate",F243="Low")),NOT(OR(J243="Open",J243="In progress",J243="Closed")),G243="",H243="",NOT(ISNUMBER(I243)),NOT(ISNUMBER(N243)),I243&lt;N243,N243&gt;Settings!$F$8),"Incomplete","Valid"))))</x:f>
      </x:c>
      <x:c r="T243" s="9" t="str">
        <x:f>IF(C243="","",IFERROR(INDEX('Borrowers'!$D$9:$D$108,MATCH(D243,'Borrowers'!$C$9:$C$108,0)),""))</x:f>
      </x:c>
      <x:c r="U243" s="3" t="str">
        <x:f>IF(C243="","","S01 ESRMS I.4–9; bank decision policy")</x:f>
      </x:c>
    </x:row>
    <x:row r="244" ht="42" customHeight="1">
      <x:c r="A244" s="1"/>
      <x:c r="B244" s="1"/>
      <x:c r="C244" s="8"/>
      <x:c r="D244" s="8"/>
      <x:c r="E244" s="8"/>
      <x:c r="F244" s="8"/>
      <x:c r="G244" s="8"/>
      <x:c r="H244" s="8"/>
      <x:c r="I244" s="10"/>
      <x:c r="J244" s="8"/>
      <x:c r="K244" s="8"/>
      <x:c r="L244" s="8"/>
      <x:c r="M244" s="10"/>
      <x:c r="N244" s="10"/>
      <x:c r="O244" s="9" t="str">
        <x:f>IF(C244="","",IF(AND(S244="Valid",J244="Closed",K244&lt;&gt;"",L244&lt;&gt;"",L244&lt;&gt;H244,ISNUMBER(M244),M244&gt;=N244,M244&lt;=Settings!$F$8),"Verified","Unverified"))</x:f>
      </x:c>
      <x:c r="P244" s="3" t="str">
        <x:f>IF(C244="","",IF(S244&lt;&gt;"Valid","Review",IF(O244="Verified","Closed",IF(J244="Closed","Closure pending",IF(OR(J244="Open",J244="In progress"),"Open","Review")))))</x:f>
      </x:c>
      <x:c r="Q244" s="9" t="str">
        <x:f>IF(C244="","",IF(AND(P244&lt;&gt;"Closed",ISNUMBER(I244),I244&lt;Settings!$F$8),"Overdue","Current"))</x:f>
      </x:c>
      <x:c r="R244" s="9" t="str">
        <x:f>IF(C244="","",IF(Q244="Overdue",Settings!$F$8-I244,0))</x:f>
      </x:c>
      <x:c r="S244" s="9" t="str">
        <x:f>IF(C244="","",IF(COUNTIF($C$9:$C$308,C244)&lt;&gt;1,"Duplicate ID",IF(COUNTIF(Borrowers!$C$9:$C$108,D244)&lt;&gt;1,"Borrower key",IF(OR(NOT(OR(E244="E&amp;S",E244="Taxonomy",E244="Climate",E244="Data")),NOT(OR(F244="Critical",F244="High",F244="Moderate",F244="Low")),NOT(OR(J244="Open",J244="In progress",J244="Closed")),G244="",H244="",NOT(ISNUMBER(I244)),NOT(ISNUMBER(N244)),I244&lt;N244,N244&gt;Settings!$F$8),"Incomplete","Valid"))))</x:f>
      </x:c>
      <x:c r="T244" s="9" t="str">
        <x:f>IF(C244="","",IFERROR(INDEX('Borrowers'!$D$9:$D$108,MATCH(D244,'Borrowers'!$C$9:$C$108,0)),""))</x:f>
      </x:c>
      <x:c r="U244" s="3" t="str">
        <x:f>IF(C244="","","S01 ESRMS I.4–9; bank decision policy")</x:f>
      </x:c>
    </x:row>
    <x:row r="245" ht="42" customHeight="1">
      <x:c r="A245" s="1"/>
      <x:c r="B245" s="1"/>
      <x:c r="C245" s="8"/>
      <x:c r="D245" s="8"/>
      <x:c r="E245" s="8"/>
      <x:c r="F245" s="8"/>
      <x:c r="G245" s="8"/>
      <x:c r="H245" s="8"/>
      <x:c r="I245" s="10"/>
      <x:c r="J245" s="8"/>
      <x:c r="K245" s="8"/>
      <x:c r="L245" s="8"/>
      <x:c r="M245" s="10"/>
      <x:c r="N245" s="10"/>
      <x:c r="O245" s="9" t="str">
        <x:f>IF(C245="","",IF(AND(S245="Valid",J245="Closed",K245&lt;&gt;"",L245&lt;&gt;"",L245&lt;&gt;H245,ISNUMBER(M245),M245&gt;=N245,M245&lt;=Settings!$F$8),"Verified","Unverified"))</x:f>
      </x:c>
      <x:c r="P245" s="3" t="str">
        <x:f>IF(C245="","",IF(S245&lt;&gt;"Valid","Review",IF(O245="Verified","Closed",IF(J245="Closed","Closure pending",IF(OR(J245="Open",J245="In progress"),"Open","Review")))))</x:f>
      </x:c>
      <x:c r="Q245" s="9" t="str">
        <x:f>IF(C245="","",IF(AND(P245&lt;&gt;"Closed",ISNUMBER(I245),I245&lt;Settings!$F$8),"Overdue","Current"))</x:f>
      </x:c>
      <x:c r="R245" s="9" t="str">
        <x:f>IF(C245="","",IF(Q245="Overdue",Settings!$F$8-I245,0))</x:f>
      </x:c>
      <x:c r="S245" s="9" t="str">
        <x:f>IF(C245="","",IF(COUNTIF($C$9:$C$308,C245)&lt;&gt;1,"Duplicate ID",IF(COUNTIF(Borrowers!$C$9:$C$108,D245)&lt;&gt;1,"Borrower key",IF(OR(NOT(OR(E245="E&amp;S",E245="Taxonomy",E245="Climate",E245="Data")),NOT(OR(F245="Critical",F245="High",F245="Moderate",F245="Low")),NOT(OR(J245="Open",J245="In progress",J245="Closed")),G245="",H245="",NOT(ISNUMBER(I245)),NOT(ISNUMBER(N245)),I245&lt;N245,N245&gt;Settings!$F$8),"Incomplete","Valid"))))</x:f>
      </x:c>
      <x:c r="T245" s="9" t="str">
        <x:f>IF(C245="","",IFERROR(INDEX('Borrowers'!$D$9:$D$108,MATCH(D245,'Borrowers'!$C$9:$C$108,0)),""))</x:f>
      </x:c>
      <x:c r="U245" s="3" t="str">
        <x:f>IF(C245="","","S01 ESRMS I.4–9; bank decision policy")</x:f>
      </x:c>
    </x:row>
    <x:row r="246" ht="42" customHeight="1">
      <x:c r="A246" s="1"/>
      <x:c r="B246" s="1"/>
      <x:c r="C246" s="8"/>
      <x:c r="D246" s="8"/>
      <x:c r="E246" s="8"/>
      <x:c r="F246" s="8"/>
      <x:c r="G246" s="8"/>
      <x:c r="H246" s="8"/>
      <x:c r="I246" s="10"/>
      <x:c r="J246" s="8"/>
      <x:c r="K246" s="8"/>
      <x:c r="L246" s="8"/>
      <x:c r="M246" s="10"/>
      <x:c r="N246" s="10"/>
      <x:c r="O246" s="9" t="str">
        <x:f>IF(C246="","",IF(AND(S246="Valid",J246="Closed",K246&lt;&gt;"",L246&lt;&gt;"",L246&lt;&gt;H246,ISNUMBER(M246),M246&gt;=N246,M246&lt;=Settings!$F$8),"Verified","Unverified"))</x:f>
      </x:c>
      <x:c r="P246" s="3" t="str">
        <x:f>IF(C246="","",IF(S246&lt;&gt;"Valid","Review",IF(O246="Verified","Closed",IF(J246="Closed","Closure pending",IF(OR(J246="Open",J246="In progress"),"Open","Review")))))</x:f>
      </x:c>
      <x:c r="Q246" s="9" t="str">
        <x:f>IF(C246="","",IF(AND(P246&lt;&gt;"Closed",ISNUMBER(I246),I246&lt;Settings!$F$8),"Overdue","Current"))</x:f>
      </x:c>
      <x:c r="R246" s="9" t="str">
        <x:f>IF(C246="","",IF(Q246="Overdue",Settings!$F$8-I246,0))</x:f>
      </x:c>
      <x:c r="S246" s="9" t="str">
        <x:f>IF(C246="","",IF(COUNTIF($C$9:$C$308,C246)&lt;&gt;1,"Duplicate ID",IF(COUNTIF(Borrowers!$C$9:$C$108,D246)&lt;&gt;1,"Borrower key",IF(OR(NOT(OR(E246="E&amp;S",E246="Taxonomy",E246="Climate",E246="Data")),NOT(OR(F246="Critical",F246="High",F246="Moderate",F246="Low")),NOT(OR(J246="Open",J246="In progress",J246="Closed")),G246="",H246="",NOT(ISNUMBER(I246)),NOT(ISNUMBER(N246)),I246&lt;N246,N246&gt;Settings!$F$8),"Incomplete","Valid"))))</x:f>
      </x:c>
      <x:c r="T246" s="9" t="str">
        <x:f>IF(C246="","",IFERROR(INDEX('Borrowers'!$D$9:$D$108,MATCH(D246,'Borrowers'!$C$9:$C$108,0)),""))</x:f>
      </x:c>
      <x:c r="U246" s="3" t="str">
        <x:f>IF(C246="","","S01 ESRMS I.4–9; bank decision policy")</x:f>
      </x:c>
    </x:row>
    <x:row r="247" ht="42" customHeight="1">
      <x:c r="A247" s="1"/>
      <x:c r="B247" s="1"/>
      <x:c r="C247" s="8"/>
      <x:c r="D247" s="8"/>
      <x:c r="E247" s="8"/>
      <x:c r="F247" s="8"/>
      <x:c r="G247" s="8"/>
      <x:c r="H247" s="8"/>
      <x:c r="I247" s="10"/>
      <x:c r="J247" s="8"/>
      <x:c r="K247" s="8"/>
      <x:c r="L247" s="8"/>
      <x:c r="M247" s="10"/>
      <x:c r="N247" s="10"/>
      <x:c r="O247" s="9" t="str">
        <x:f>IF(C247="","",IF(AND(S247="Valid",J247="Closed",K247&lt;&gt;"",L247&lt;&gt;"",L247&lt;&gt;H247,ISNUMBER(M247),M247&gt;=N247,M247&lt;=Settings!$F$8),"Verified","Unverified"))</x:f>
      </x:c>
      <x:c r="P247" s="3" t="str">
        <x:f>IF(C247="","",IF(S247&lt;&gt;"Valid","Review",IF(O247="Verified","Closed",IF(J247="Closed","Closure pending",IF(OR(J247="Open",J247="In progress"),"Open","Review")))))</x:f>
      </x:c>
      <x:c r="Q247" s="9" t="str">
        <x:f>IF(C247="","",IF(AND(P247&lt;&gt;"Closed",ISNUMBER(I247),I247&lt;Settings!$F$8),"Overdue","Current"))</x:f>
      </x:c>
      <x:c r="R247" s="9" t="str">
        <x:f>IF(C247="","",IF(Q247="Overdue",Settings!$F$8-I247,0))</x:f>
      </x:c>
      <x:c r="S247" s="9" t="str">
        <x:f>IF(C247="","",IF(COUNTIF($C$9:$C$308,C247)&lt;&gt;1,"Duplicate ID",IF(COUNTIF(Borrowers!$C$9:$C$108,D247)&lt;&gt;1,"Borrower key",IF(OR(NOT(OR(E247="E&amp;S",E247="Taxonomy",E247="Climate",E247="Data")),NOT(OR(F247="Critical",F247="High",F247="Moderate",F247="Low")),NOT(OR(J247="Open",J247="In progress",J247="Closed")),G247="",H247="",NOT(ISNUMBER(I247)),NOT(ISNUMBER(N247)),I247&lt;N247,N247&gt;Settings!$F$8),"Incomplete","Valid"))))</x:f>
      </x:c>
      <x:c r="T247" s="9" t="str">
        <x:f>IF(C247="","",IFERROR(INDEX('Borrowers'!$D$9:$D$108,MATCH(D247,'Borrowers'!$C$9:$C$108,0)),""))</x:f>
      </x:c>
      <x:c r="U247" s="3" t="str">
        <x:f>IF(C247="","","S01 ESRMS I.4–9; bank decision policy")</x:f>
      </x:c>
    </x:row>
    <x:row r="248" ht="42" customHeight="1">
      <x:c r="A248" s="1"/>
      <x:c r="B248" s="1"/>
      <x:c r="C248" s="8"/>
      <x:c r="D248" s="8"/>
      <x:c r="E248" s="8"/>
      <x:c r="F248" s="8"/>
      <x:c r="G248" s="8"/>
      <x:c r="H248" s="8"/>
      <x:c r="I248" s="10"/>
      <x:c r="J248" s="8"/>
      <x:c r="K248" s="8"/>
      <x:c r="L248" s="8"/>
      <x:c r="M248" s="10"/>
      <x:c r="N248" s="10"/>
      <x:c r="O248" s="9" t="str">
        <x:f>IF(C248="","",IF(AND(S248="Valid",J248="Closed",K248&lt;&gt;"",L248&lt;&gt;"",L248&lt;&gt;H248,ISNUMBER(M248),M248&gt;=N248,M248&lt;=Settings!$F$8),"Verified","Unverified"))</x:f>
      </x:c>
      <x:c r="P248" s="3" t="str">
        <x:f>IF(C248="","",IF(S248&lt;&gt;"Valid","Review",IF(O248="Verified","Closed",IF(J248="Closed","Closure pending",IF(OR(J248="Open",J248="In progress"),"Open","Review")))))</x:f>
      </x:c>
      <x:c r="Q248" s="9" t="str">
        <x:f>IF(C248="","",IF(AND(P248&lt;&gt;"Closed",ISNUMBER(I248),I248&lt;Settings!$F$8),"Overdue","Current"))</x:f>
      </x:c>
      <x:c r="R248" s="9" t="str">
        <x:f>IF(C248="","",IF(Q248="Overdue",Settings!$F$8-I248,0))</x:f>
      </x:c>
      <x:c r="S248" s="9" t="str">
        <x:f>IF(C248="","",IF(COUNTIF($C$9:$C$308,C248)&lt;&gt;1,"Duplicate ID",IF(COUNTIF(Borrowers!$C$9:$C$108,D248)&lt;&gt;1,"Borrower key",IF(OR(NOT(OR(E248="E&amp;S",E248="Taxonomy",E248="Climate",E248="Data")),NOT(OR(F248="Critical",F248="High",F248="Moderate",F248="Low")),NOT(OR(J248="Open",J248="In progress",J248="Closed")),G248="",H248="",NOT(ISNUMBER(I248)),NOT(ISNUMBER(N248)),I248&lt;N248,N248&gt;Settings!$F$8),"Incomplete","Valid"))))</x:f>
      </x:c>
      <x:c r="T248" s="9" t="str">
        <x:f>IF(C248="","",IFERROR(INDEX('Borrowers'!$D$9:$D$108,MATCH(D248,'Borrowers'!$C$9:$C$108,0)),""))</x:f>
      </x:c>
      <x:c r="U248" s="3" t="str">
        <x:f>IF(C248="","","S01 ESRMS I.4–9; bank decision policy")</x:f>
      </x:c>
    </x:row>
    <x:row r="249" ht="42" customHeight="1">
      <x:c r="A249" s="1"/>
      <x:c r="B249" s="1"/>
      <x:c r="C249" s="8"/>
      <x:c r="D249" s="8"/>
      <x:c r="E249" s="8"/>
      <x:c r="F249" s="8"/>
      <x:c r="G249" s="8"/>
      <x:c r="H249" s="8"/>
      <x:c r="I249" s="10"/>
      <x:c r="J249" s="8"/>
      <x:c r="K249" s="8"/>
      <x:c r="L249" s="8"/>
      <x:c r="M249" s="10"/>
      <x:c r="N249" s="10"/>
      <x:c r="O249" s="9" t="str">
        <x:f>IF(C249="","",IF(AND(S249="Valid",J249="Closed",K249&lt;&gt;"",L249&lt;&gt;"",L249&lt;&gt;H249,ISNUMBER(M249),M249&gt;=N249,M249&lt;=Settings!$F$8),"Verified","Unverified"))</x:f>
      </x:c>
      <x:c r="P249" s="3" t="str">
        <x:f>IF(C249="","",IF(S249&lt;&gt;"Valid","Review",IF(O249="Verified","Closed",IF(J249="Closed","Closure pending",IF(OR(J249="Open",J249="In progress"),"Open","Review")))))</x:f>
      </x:c>
      <x:c r="Q249" s="9" t="str">
        <x:f>IF(C249="","",IF(AND(P249&lt;&gt;"Closed",ISNUMBER(I249),I249&lt;Settings!$F$8),"Overdue","Current"))</x:f>
      </x:c>
      <x:c r="R249" s="9" t="str">
        <x:f>IF(C249="","",IF(Q249="Overdue",Settings!$F$8-I249,0))</x:f>
      </x:c>
      <x:c r="S249" s="9" t="str">
        <x:f>IF(C249="","",IF(COUNTIF($C$9:$C$308,C249)&lt;&gt;1,"Duplicate ID",IF(COUNTIF(Borrowers!$C$9:$C$108,D249)&lt;&gt;1,"Borrower key",IF(OR(NOT(OR(E249="E&amp;S",E249="Taxonomy",E249="Climate",E249="Data")),NOT(OR(F249="Critical",F249="High",F249="Moderate",F249="Low")),NOT(OR(J249="Open",J249="In progress",J249="Closed")),G249="",H249="",NOT(ISNUMBER(I249)),NOT(ISNUMBER(N249)),I249&lt;N249,N249&gt;Settings!$F$8),"Incomplete","Valid"))))</x:f>
      </x:c>
      <x:c r="T249" s="9" t="str">
        <x:f>IF(C249="","",IFERROR(INDEX('Borrowers'!$D$9:$D$108,MATCH(D249,'Borrowers'!$C$9:$C$108,0)),""))</x:f>
      </x:c>
      <x:c r="U249" s="3" t="str">
        <x:f>IF(C249="","","S01 ESRMS I.4–9; bank decision policy")</x:f>
      </x:c>
    </x:row>
    <x:row r="250" ht="42" customHeight="1">
      <x:c r="A250" s="1"/>
      <x:c r="B250" s="1"/>
      <x:c r="C250" s="8"/>
      <x:c r="D250" s="8"/>
      <x:c r="E250" s="8"/>
      <x:c r="F250" s="8"/>
      <x:c r="G250" s="8"/>
      <x:c r="H250" s="8"/>
      <x:c r="I250" s="10"/>
      <x:c r="J250" s="8"/>
      <x:c r="K250" s="8"/>
      <x:c r="L250" s="8"/>
      <x:c r="M250" s="10"/>
      <x:c r="N250" s="10"/>
      <x:c r="O250" s="9" t="str">
        <x:f>IF(C250="","",IF(AND(S250="Valid",J250="Closed",K250&lt;&gt;"",L250&lt;&gt;"",L250&lt;&gt;H250,ISNUMBER(M250),M250&gt;=N250,M250&lt;=Settings!$F$8),"Verified","Unverified"))</x:f>
      </x:c>
      <x:c r="P250" s="3" t="str">
        <x:f>IF(C250="","",IF(S250&lt;&gt;"Valid","Review",IF(O250="Verified","Closed",IF(J250="Closed","Closure pending",IF(OR(J250="Open",J250="In progress"),"Open","Review")))))</x:f>
      </x:c>
      <x:c r="Q250" s="9" t="str">
        <x:f>IF(C250="","",IF(AND(P250&lt;&gt;"Closed",ISNUMBER(I250),I250&lt;Settings!$F$8),"Overdue","Current"))</x:f>
      </x:c>
      <x:c r="R250" s="9" t="str">
        <x:f>IF(C250="","",IF(Q250="Overdue",Settings!$F$8-I250,0))</x:f>
      </x:c>
      <x:c r="S250" s="9" t="str">
        <x:f>IF(C250="","",IF(COUNTIF($C$9:$C$308,C250)&lt;&gt;1,"Duplicate ID",IF(COUNTIF(Borrowers!$C$9:$C$108,D250)&lt;&gt;1,"Borrower key",IF(OR(NOT(OR(E250="E&amp;S",E250="Taxonomy",E250="Climate",E250="Data")),NOT(OR(F250="Critical",F250="High",F250="Moderate",F250="Low")),NOT(OR(J250="Open",J250="In progress",J250="Closed")),G250="",H250="",NOT(ISNUMBER(I250)),NOT(ISNUMBER(N250)),I250&lt;N250,N250&gt;Settings!$F$8),"Incomplete","Valid"))))</x:f>
      </x:c>
      <x:c r="T250" s="9" t="str">
        <x:f>IF(C250="","",IFERROR(INDEX('Borrowers'!$D$9:$D$108,MATCH(D250,'Borrowers'!$C$9:$C$108,0)),""))</x:f>
      </x:c>
      <x:c r="U250" s="3" t="str">
        <x:f>IF(C250="","","S01 ESRMS I.4–9; bank decision policy")</x:f>
      </x:c>
    </x:row>
    <x:row r="251" ht="42" customHeight="1">
      <x:c r="A251" s="1"/>
      <x:c r="B251" s="1"/>
      <x:c r="C251" s="8"/>
      <x:c r="D251" s="8"/>
      <x:c r="E251" s="8"/>
      <x:c r="F251" s="8"/>
      <x:c r="G251" s="8"/>
      <x:c r="H251" s="8"/>
      <x:c r="I251" s="10"/>
      <x:c r="J251" s="8"/>
      <x:c r="K251" s="8"/>
      <x:c r="L251" s="8"/>
      <x:c r="M251" s="10"/>
      <x:c r="N251" s="10"/>
      <x:c r="O251" s="9" t="str">
        <x:f>IF(C251="","",IF(AND(S251="Valid",J251="Closed",K251&lt;&gt;"",L251&lt;&gt;"",L251&lt;&gt;H251,ISNUMBER(M251),M251&gt;=N251,M251&lt;=Settings!$F$8),"Verified","Unverified"))</x:f>
      </x:c>
      <x:c r="P251" s="3" t="str">
        <x:f>IF(C251="","",IF(S251&lt;&gt;"Valid","Review",IF(O251="Verified","Closed",IF(J251="Closed","Closure pending",IF(OR(J251="Open",J251="In progress"),"Open","Review")))))</x:f>
      </x:c>
      <x:c r="Q251" s="9" t="str">
        <x:f>IF(C251="","",IF(AND(P251&lt;&gt;"Closed",ISNUMBER(I251),I251&lt;Settings!$F$8),"Overdue","Current"))</x:f>
      </x:c>
      <x:c r="R251" s="9" t="str">
        <x:f>IF(C251="","",IF(Q251="Overdue",Settings!$F$8-I251,0))</x:f>
      </x:c>
      <x:c r="S251" s="9" t="str">
        <x:f>IF(C251="","",IF(COUNTIF($C$9:$C$308,C251)&lt;&gt;1,"Duplicate ID",IF(COUNTIF(Borrowers!$C$9:$C$108,D251)&lt;&gt;1,"Borrower key",IF(OR(NOT(OR(E251="E&amp;S",E251="Taxonomy",E251="Climate",E251="Data")),NOT(OR(F251="Critical",F251="High",F251="Moderate",F251="Low")),NOT(OR(J251="Open",J251="In progress",J251="Closed")),G251="",H251="",NOT(ISNUMBER(I251)),NOT(ISNUMBER(N251)),I251&lt;N251,N251&gt;Settings!$F$8),"Incomplete","Valid"))))</x:f>
      </x:c>
      <x:c r="T251" s="9" t="str">
        <x:f>IF(C251="","",IFERROR(INDEX('Borrowers'!$D$9:$D$108,MATCH(D251,'Borrowers'!$C$9:$C$108,0)),""))</x:f>
      </x:c>
      <x:c r="U251" s="3" t="str">
        <x:f>IF(C251="","","S01 ESRMS I.4–9; bank decision policy")</x:f>
      </x:c>
    </x:row>
    <x:row r="252" ht="42" customHeight="1">
      <x:c r="A252" s="1"/>
      <x:c r="B252" s="1"/>
      <x:c r="C252" s="8"/>
      <x:c r="D252" s="8"/>
      <x:c r="E252" s="8"/>
      <x:c r="F252" s="8"/>
      <x:c r="G252" s="8"/>
      <x:c r="H252" s="8"/>
      <x:c r="I252" s="10"/>
      <x:c r="J252" s="8"/>
      <x:c r="K252" s="8"/>
      <x:c r="L252" s="8"/>
      <x:c r="M252" s="10"/>
      <x:c r="N252" s="10"/>
      <x:c r="O252" s="9" t="str">
        <x:f>IF(C252="","",IF(AND(S252="Valid",J252="Closed",K252&lt;&gt;"",L252&lt;&gt;"",L252&lt;&gt;H252,ISNUMBER(M252),M252&gt;=N252,M252&lt;=Settings!$F$8),"Verified","Unverified"))</x:f>
      </x:c>
      <x:c r="P252" s="3" t="str">
        <x:f>IF(C252="","",IF(S252&lt;&gt;"Valid","Review",IF(O252="Verified","Closed",IF(J252="Closed","Closure pending",IF(OR(J252="Open",J252="In progress"),"Open","Review")))))</x:f>
      </x:c>
      <x:c r="Q252" s="9" t="str">
        <x:f>IF(C252="","",IF(AND(P252&lt;&gt;"Closed",ISNUMBER(I252),I252&lt;Settings!$F$8),"Overdue","Current"))</x:f>
      </x:c>
      <x:c r="R252" s="9" t="str">
        <x:f>IF(C252="","",IF(Q252="Overdue",Settings!$F$8-I252,0))</x:f>
      </x:c>
      <x:c r="S252" s="9" t="str">
        <x:f>IF(C252="","",IF(COUNTIF($C$9:$C$308,C252)&lt;&gt;1,"Duplicate ID",IF(COUNTIF(Borrowers!$C$9:$C$108,D252)&lt;&gt;1,"Borrower key",IF(OR(NOT(OR(E252="E&amp;S",E252="Taxonomy",E252="Climate",E252="Data")),NOT(OR(F252="Critical",F252="High",F252="Moderate",F252="Low")),NOT(OR(J252="Open",J252="In progress",J252="Closed")),G252="",H252="",NOT(ISNUMBER(I252)),NOT(ISNUMBER(N252)),I252&lt;N252,N252&gt;Settings!$F$8),"Incomplete","Valid"))))</x:f>
      </x:c>
      <x:c r="T252" s="9" t="str">
        <x:f>IF(C252="","",IFERROR(INDEX('Borrowers'!$D$9:$D$108,MATCH(D252,'Borrowers'!$C$9:$C$108,0)),""))</x:f>
      </x:c>
      <x:c r="U252" s="3" t="str">
        <x:f>IF(C252="","","S01 ESRMS I.4–9; bank decision policy")</x:f>
      </x:c>
    </x:row>
    <x:row r="253" ht="42" customHeight="1">
      <x:c r="A253" s="1"/>
      <x:c r="B253" s="1"/>
      <x:c r="C253" s="8"/>
      <x:c r="D253" s="8"/>
      <x:c r="E253" s="8"/>
      <x:c r="F253" s="8"/>
      <x:c r="G253" s="8"/>
      <x:c r="H253" s="8"/>
      <x:c r="I253" s="10"/>
      <x:c r="J253" s="8"/>
      <x:c r="K253" s="8"/>
      <x:c r="L253" s="8"/>
      <x:c r="M253" s="10"/>
      <x:c r="N253" s="10"/>
      <x:c r="O253" s="9" t="str">
        <x:f>IF(C253="","",IF(AND(S253="Valid",J253="Closed",K253&lt;&gt;"",L253&lt;&gt;"",L253&lt;&gt;H253,ISNUMBER(M253),M253&gt;=N253,M253&lt;=Settings!$F$8),"Verified","Unverified"))</x:f>
      </x:c>
      <x:c r="P253" s="3" t="str">
        <x:f>IF(C253="","",IF(S253&lt;&gt;"Valid","Review",IF(O253="Verified","Closed",IF(J253="Closed","Closure pending",IF(OR(J253="Open",J253="In progress"),"Open","Review")))))</x:f>
      </x:c>
      <x:c r="Q253" s="9" t="str">
        <x:f>IF(C253="","",IF(AND(P253&lt;&gt;"Closed",ISNUMBER(I253),I253&lt;Settings!$F$8),"Overdue","Current"))</x:f>
      </x:c>
      <x:c r="R253" s="9" t="str">
        <x:f>IF(C253="","",IF(Q253="Overdue",Settings!$F$8-I253,0))</x:f>
      </x:c>
      <x:c r="S253" s="9" t="str">
        <x:f>IF(C253="","",IF(COUNTIF($C$9:$C$308,C253)&lt;&gt;1,"Duplicate ID",IF(COUNTIF(Borrowers!$C$9:$C$108,D253)&lt;&gt;1,"Borrower key",IF(OR(NOT(OR(E253="E&amp;S",E253="Taxonomy",E253="Climate",E253="Data")),NOT(OR(F253="Critical",F253="High",F253="Moderate",F253="Low")),NOT(OR(J253="Open",J253="In progress",J253="Closed")),G253="",H253="",NOT(ISNUMBER(I253)),NOT(ISNUMBER(N253)),I253&lt;N253,N253&gt;Settings!$F$8),"Incomplete","Valid"))))</x:f>
      </x:c>
      <x:c r="T253" s="9" t="str">
        <x:f>IF(C253="","",IFERROR(INDEX('Borrowers'!$D$9:$D$108,MATCH(D253,'Borrowers'!$C$9:$C$108,0)),""))</x:f>
      </x:c>
      <x:c r="U253" s="3" t="str">
        <x:f>IF(C253="","","S01 ESRMS I.4–9; bank decision policy")</x:f>
      </x:c>
    </x:row>
    <x:row r="254" ht="42" customHeight="1">
      <x:c r="A254" s="1"/>
      <x:c r="B254" s="1"/>
      <x:c r="C254" s="8"/>
      <x:c r="D254" s="8"/>
      <x:c r="E254" s="8"/>
      <x:c r="F254" s="8"/>
      <x:c r="G254" s="8"/>
      <x:c r="H254" s="8"/>
      <x:c r="I254" s="10"/>
      <x:c r="J254" s="8"/>
      <x:c r="K254" s="8"/>
      <x:c r="L254" s="8"/>
      <x:c r="M254" s="10"/>
      <x:c r="N254" s="10"/>
      <x:c r="O254" s="9" t="str">
        <x:f>IF(C254="","",IF(AND(S254="Valid",J254="Closed",K254&lt;&gt;"",L254&lt;&gt;"",L254&lt;&gt;H254,ISNUMBER(M254),M254&gt;=N254,M254&lt;=Settings!$F$8),"Verified","Unverified"))</x:f>
      </x:c>
      <x:c r="P254" s="3" t="str">
        <x:f>IF(C254="","",IF(S254&lt;&gt;"Valid","Review",IF(O254="Verified","Closed",IF(J254="Closed","Closure pending",IF(OR(J254="Open",J254="In progress"),"Open","Review")))))</x:f>
      </x:c>
      <x:c r="Q254" s="9" t="str">
        <x:f>IF(C254="","",IF(AND(P254&lt;&gt;"Closed",ISNUMBER(I254),I254&lt;Settings!$F$8),"Overdue","Current"))</x:f>
      </x:c>
      <x:c r="R254" s="9" t="str">
        <x:f>IF(C254="","",IF(Q254="Overdue",Settings!$F$8-I254,0))</x:f>
      </x:c>
      <x:c r="S254" s="9" t="str">
        <x:f>IF(C254="","",IF(COUNTIF($C$9:$C$308,C254)&lt;&gt;1,"Duplicate ID",IF(COUNTIF(Borrowers!$C$9:$C$108,D254)&lt;&gt;1,"Borrower key",IF(OR(NOT(OR(E254="E&amp;S",E254="Taxonomy",E254="Climate",E254="Data")),NOT(OR(F254="Critical",F254="High",F254="Moderate",F254="Low")),NOT(OR(J254="Open",J254="In progress",J254="Closed")),G254="",H254="",NOT(ISNUMBER(I254)),NOT(ISNUMBER(N254)),I254&lt;N254,N254&gt;Settings!$F$8),"Incomplete","Valid"))))</x:f>
      </x:c>
      <x:c r="T254" s="9" t="str">
        <x:f>IF(C254="","",IFERROR(INDEX('Borrowers'!$D$9:$D$108,MATCH(D254,'Borrowers'!$C$9:$C$108,0)),""))</x:f>
      </x:c>
      <x:c r="U254" s="3" t="str">
        <x:f>IF(C254="","","S01 ESRMS I.4–9; bank decision policy")</x:f>
      </x:c>
    </x:row>
    <x:row r="255" ht="42" customHeight="1">
      <x:c r="A255" s="1"/>
      <x:c r="B255" s="1"/>
      <x:c r="C255" s="8"/>
      <x:c r="D255" s="8"/>
      <x:c r="E255" s="8"/>
      <x:c r="F255" s="8"/>
      <x:c r="G255" s="8"/>
      <x:c r="H255" s="8"/>
      <x:c r="I255" s="10"/>
      <x:c r="J255" s="8"/>
      <x:c r="K255" s="8"/>
      <x:c r="L255" s="8"/>
      <x:c r="M255" s="10"/>
      <x:c r="N255" s="10"/>
      <x:c r="O255" s="9" t="str">
        <x:f>IF(C255="","",IF(AND(S255="Valid",J255="Closed",K255&lt;&gt;"",L255&lt;&gt;"",L255&lt;&gt;H255,ISNUMBER(M255),M255&gt;=N255,M255&lt;=Settings!$F$8),"Verified","Unverified"))</x:f>
      </x:c>
      <x:c r="P255" s="3" t="str">
        <x:f>IF(C255="","",IF(S255&lt;&gt;"Valid","Review",IF(O255="Verified","Closed",IF(J255="Closed","Closure pending",IF(OR(J255="Open",J255="In progress"),"Open","Review")))))</x:f>
      </x:c>
      <x:c r="Q255" s="9" t="str">
        <x:f>IF(C255="","",IF(AND(P255&lt;&gt;"Closed",ISNUMBER(I255),I255&lt;Settings!$F$8),"Overdue","Current"))</x:f>
      </x:c>
      <x:c r="R255" s="9" t="str">
        <x:f>IF(C255="","",IF(Q255="Overdue",Settings!$F$8-I255,0))</x:f>
      </x:c>
      <x:c r="S255" s="9" t="str">
        <x:f>IF(C255="","",IF(COUNTIF($C$9:$C$308,C255)&lt;&gt;1,"Duplicate ID",IF(COUNTIF(Borrowers!$C$9:$C$108,D255)&lt;&gt;1,"Borrower key",IF(OR(NOT(OR(E255="E&amp;S",E255="Taxonomy",E255="Climate",E255="Data")),NOT(OR(F255="Critical",F255="High",F255="Moderate",F255="Low")),NOT(OR(J255="Open",J255="In progress",J255="Closed")),G255="",H255="",NOT(ISNUMBER(I255)),NOT(ISNUMBER(N255)),I255&lt;N255,N255&gt;Settings!$F$8),"Incomplete","Valid"))))</x:f>
      </x:c>
      <x:c r="T255" s="9" t="str">
        <x:f>IF(C255="","",IFERROR(INDEX('Borrowers'!$D$9:$D$108,MATCH(D255,'Borrowers'!$C$9:$C$108,0)),""))</x:f>
      </x:c>
      <x:c r="U255" s="3" t="str">
        <x:f>IF(C255="","","S01 ESRMS I.4–9; bank decision policy")</x:f>
      </x:c>
    </x:row>
    <x:row r="256" ht="42" customHeight="1">
      <x:c r="A256" s="1"/>
      <x:c r="B256" s="1"/>
      <x:c r="C256" s="8"/>
      <x:c r="D256" s="8"/>
      <x:c r="E256" s="8"/>
      <x:c r="F256" s="8"/>
      <x:c r="G256" s="8"/>
      <x:c r="H256" s="8"/>
      <x:c r="I256" s="10"/>
      <x:c r="J256" s="8"/>
      <x:c r="K256" s="8"/>
      <x:c r="L256" s="8"/>
      <x:c r="M256" s="10"/>
      <x:c r="N256" s="10"/>
      <x:c r="O256" s="9" t="str">
        <x:f>IF(C256="","",IF(AND(S256="Valid",J256="Closed",K256&lt;&gt;"",L256&lt;&gt;"",L256&lt;&gt;H256,ISNUMBER(M256),M256&gt;=N256,M256&lt;=Settings!$F$8),"Verified","Unverified"))</x:f>
      </x:c>
      <x:c r="P256" s="3" t="str">
        <x:f>IF(C256="","",IF(S256&lt;&gt;"Valid","Review",IF(O256="Verified","Closed",IF(J256="Closed","Closure pending",IF(OR(J256="Open",J256="In progress"),"Open","Review")))))</x:f>
      </x:c>
      <x:c r="Q256" s="9" t="str">
        <x:f>IF(C256="","",IF(AND(P256&lt;&gt;"Closed",ISNUMBER(I256),I256&lt;Settings!$F$8),"Overdue","Current"))</x:f>
      </x:c>
      <x:c r="R256" s="9" t="str">
        <x:f>IF(C256="","",IF(Q256="Overdue",Settings!$F$8-I256,0))</x:f>
      </x:c>
      <x:c r="S256" s="9" t="str">
        <x:f>IF(C256="","",IF(COUNTIF($C$9:$C$308,C256)&lt;&gt;1,"Duplicate ID",IF(COUNTIF(Borrowers!$C$9:$C$108,D256)&lt;&gt;1,"Borrower key",IF(OR(NOT(OR(E256="E&amp;S",E256="Taxonomy",E256="Climate",E256="Data")),NOT(OR(F256="Critical",F256="High",F256="Moderate",F256="Low")),NOT(OR(J256="Open",J256="In progress",J256="Closed")),G256="",H256="",NOT(ISNUMBER(I256)),NOT(ISNUMBER(N256)),I256&lt;N256,N256&gt;Settings!$F$8),"Incomplete","Valid"))))</x:f>
      </x:c>
      <x:c r="T256" s="9" t="str">
        <x:f>IF(C256="","",IFERROR(INDEX('Borrowers'!$D$9:$D$108,MATCH(D256,'Borrowers'!$C$9:$C$108,0)),""))</x:f>
      </x:c>
      <x:c r="U256" s="3" t="str">
        <x:f>IF(C256="","","S01 ESRMS I.4–9; bank decision policy")</x:f>
      </x:c>
    </x:row>
    <x:row r="257" ht="42" customHeight="1">
      <x:c r="A257" s="1"/>
      <x:c r="B257" s="1"/>
      <x:c r="C257" s="8"/>
      <x:c r="D257" s="8"/>
      <x:c r="E257" s="8"/>
      <x:c r="F257" s="8"/>
      <x:c r="G257" s="8"/>
      <x:c r="H257" s="8"/>
      <x:c r="I257" s="10"/>
      <x:c r="J257" s="8"/>
      <x:c r="K257" s="8"/>
      <x:c r="L257" s="8"/>
      <x:c r="M257" s="10"/>
      <x:c r="N257" s="10"/>
      <x:c r="O257" s="9" t="str">
        <x:f>IF(C257="","",IF(AND(S257="Valid",J257="Closed",K257&lt;&gt;"",L257&lt;&gt;"",L257&lt;&gt;H257,ISNUMBER(M257),M257&gt;=N257,M257&lt;=Settings!$F$8),"Verified","Unverified"))</x:f>
      </x:c>
      <x:c r="P257" s="3" t="str">
        <x:f>IF(C257="","",IF(S257&lt;&gt;"Valid","Review",IF(O257="Verified","Closed",IF(J257="Closed","Closure pending",IF(OR(J257="Open",J257="In progress"),"Open","Review")))))</x:f>
      </x:c>
      <x:c r="Q257" s="9" t="str">
        <x:f>IF(C257="","",IF(AND(P257&lt;&gt;"Closed",ISNUMBER(I257),I257&lt;Settings!$F$8),"Overdue","Current"))</x:f>
      </x:c>
      <x:c r="R257" s="9" t="str">
        <x:f>IF(C257="","",IF(Q257="Overdue",Settings!$F$8-I257,0))</x:f>
      </x:c>
      <x:c r="S257" s="9" t="str">
        <x:f>IF(C257="","",IF(COUNTIF($C$9:$C$308,C257)&lt;&gt;1,"Duplicate ID",IF(COUNTIF(Borrowers!$C$9:$C$108,D257)&lt;&gt;1,"Borrower key",IF(OR(NOT(OR(E257="E&amp;S",E257="Taxonomy",E257="Climate",E257="Data")),NOT(OR(F257="Critical",F257="High",F257="Moderate",F257="Low")),NOT(OR(J257="Open",J257="In progress",J257="Closed")),G257="",H257="",NOT(ISNUMBER(I257)),NOT(ISNUMBER(N257)),I257&lt;N257,N257&gt;Settings!$F$8),"Incomplete","Valid"))))</x:f>
      </x:c>
      <x:c r="T257" s="9" t="str">
        <x:f>IF(C257="","",IFERROR(INDEX('Borrowers'!$D$9:$D$108,MATCH(D257,'Borrowers'!$C$9:$C$108,0)),""))</x:f>
      </x:c>
      <x:c r="U257" s="3" t="str">
        <x:f>IF(C257="","","S01 ESRMS I.4–9; bank decision policy")</x:f>
      </x:c>
    </x:row>
    <x:row r="258" ht="42" customHeight="1">
      <x:c r="A258" s="1"/>
      <x:c r="B258" s="1"/>
      <x:c r="C258" s="8"/>
      <x:c r="D258" s="8"/>
      <x:c r="E258" s="8"/>
      <x:c r="F258" s="8"/>
      <x:c r="G258" s="8"/>
      <x:c r="H258" s="8"/>
      <x:c r="I258" s="10"/>
      <x:c r="J258" s="8"/>
      <x:c r="K258" s="8"/>
      <x:c r="L258" s="8"/>
      <x:c r="M258" s="10"/>
      <x:c r="N258" s="10"/>
      <x:c r="O258" s="9" t="str">
        <x:f>IF(C258="","",IF(AND(S258="Valid",J258="Closed",K258&lt;&gt;"",L258&lt;&gt;"",L258&lt;&gt;H258,ISNUMBER(M258),M258&gt;=N258,M258&lt;=Settings!$F$8),"Verified","Unverified"))</x:f>
      </x:c>
      <x:c r="P258" s="3" t="str">
        <x:f>IF(C258="","",IF(S258&lt;&gt;"Valid","Review",IF(O258="Verified","Closed",IF(J258="Closed","Closure pending",IF(OR(J258="Open",J258="In progress"),"Open","Review")))))</x:f>
      </x:c>
      <x:c r="Q258" s="9" t="str">
        <x:f>IF(C258="","",IF(AND(P258&lt;&gt;"Closed",ISNUMBER(I258),I258&lt;Settings!$F$8),"Overdue","Current"))</x:f>
      </x:c>
      <x:c r="R258" s="9" t="str">
        <x:f>IF(C258="","",IF(Q258="Overdue",Settings!$F$8-I258,0))</x:f>
      </x:c>
      <x:c r="S258" s="9" t="str">
        <x:f>IF(C258="","",IF(COUNTIF($C$9:$C$308,C258)&lt;&gt;1,"Duplicate ID",IF(COUNTIF(Borrowers!$C$9:$C$108,D258)&lt;&gt;1,"Borrower key",IF(OR(NOT(OR(E258="E&amp;S",E258="Taxonomy",E258="Climate",E258="Data")),NOT(OR(F258="Critical",F258="High",F258="Moderate",F258="Low")),NOT(OR(J258="Open",J258="In progress",J258="Closed")),G258="",H258="",NOT(ISNUMBER(I258)),NOT(ISNUMBER(N258)),I258&lt;N258,N258&gt;Settings!$F$8),"Incomplete","Valid"))))</x:f>
      </x:c>
      <x:c r="T258" s="9" t="str">
        <x:f>IF(C258="","",IFERROR(INDEX('Borrowers'!$D$9:$D$108,MATCH(D258,'Borrowers'!$C$9:$C$108,0)),""))</x:f>
      </x:c>
      <x:c r="U258" s="3" t="str">
        <x:f>IF(C258="","","S01 ESRMS I.4–9; bank decision policy")</x:f>
      </x:c>
    </x:row>
    <x:row r="259" ht="42" customHeight="1">
      <x:c r="A259" s="1"/>
      <x:c r="B259" s="1"/>
      <x:c r="C259" s="8"/>
      <x:c r="D259" s="8"/>
      <x:c r="E259" s="8"/>
      <x:c r="F259" s="8"/>
      <x:c r="G259" s="8"/>
      <x:c r="H259" s="8"/>
      <x:c r="I259" s="10"/>
      <x:c r="J259" s="8"/>
      <x:c r="K259" s="8"/>
      <x:c r="L259" s="8"/>
      <x:c r="M259" s="10"/>
      <x:c r="N259" s="10"/>
      <x:c r="O259" s="9" t="str">
        <x:f>IF(C259="","",IF(AND(S259="Valid",J259="Closed",K259&lt;&gt;"",L259&lt;&gt;"",L259&lt;&gt;H259,ISNUMBER(M259),M259&gt;=N259,M259&lt;=Settings!$F$8),"Verified","Unverified"))</x:f>
      </x:c>
      <x:c r="P259" s="3" t="str">
        <x:f>IF(C259="","",IF(S259&lt;&gt;"Valid","Review",IF(O259="Verified","Closed",IF(J259="Closed","Closure pending",IF(OR(J259="Open",J259="In progress"),"Open","Review")))))</x:f>
      </x:c>
      <x:c r="Q259" s="9" t="str">
        <x:f>IF(C259="","",IF(AND(P259&lt;&gt;"Closed",ISNUMBER(I259),I259&lt;Settings!$F$8),"Overdue","Current"))</x:f>
      </x:c>
      <x:c r="R259" s="9" t="str">
        <x:f>IF(C259="","",IF(Q259="Overdue",Settings!$F$8-I259,0))</x:f>
      </x:c>
      <x:c r="S259" s="9" t="str">
        <x:f>IF(C259="","",IF(COUNTIF($C$9:$C$308,C259)&lt;&gt;1,"Duplicate ID",IF(COUNTIF(Borrowers!$C$9:$C$108,D259)&lt;&gt;1,"Borrower key",IF(OR(NOT(OR(E259="E&amp;S",E259="Taxonomy",E259="Climate",E259="Data")),NOT(OR(F259="Critical",F259="High",F259="Moderate",F259="Low")),NOT(OR(J259="Open",J259="In progress",J259="Closed")),G259="",H259="",NOT(ISNUMBER(I259)),NOT(ISNUMBER(N259)),I259&lt;N259,N259&gt;Settings!$F$8),"Incomplete","Valid"))))</x:f>
      </x:c>
      <x:c r="T259" s="9" t="str">
        <x:f>IF(C259="","",IFERROR(INDEX('Borrowers'!$D$9:$D$108,MATCH(D259,'Borrowers'!$C$9:$C$108,0)),""))</x:f>
      </x:c>
      <x:c r="U259" s="3" t="str">
        <x:f>IF(C259="","","S01 ESRMS I.4–9; bank decision policy")</x:f>
      </x:c>
    </x:row>
    <x:row r="260" ht="42" customHeight="1">
      <x:c r="A260" s="1"/>
      <x:c r="B260" s="1"/>
      <x:c r="C260" s="8"/>
      <x:c r="D260" s="8"/>
      <x:c r="E260" s="8"/>
      <x:c r="F260" s="8"/>
      <x:c r="G260" s="8"/>
      <x:c r="H260" s="8"/>
      <x:c r="I260" s="10"/>
      <x:c r="J260" s="8"/>
      <x:c r="K260" s="8"/>
      <x:c r="L260" s="8"/>
      <x:c r="M260" s="10"/>
      <x:c r="N260" s="10"/>
      <x:c r="O260" s="9" t="str">
        <x:f>IF(C260="","",IF(AND(S260="Valid",J260="Closed",K260&lt;&gt;"",L260&lt;&gt;"",L260&lt;&gt;H260,ISNUMBER(M260),M260&gt;=N260,M260&lt;=Settings!$F$8),"Verified","Unverified"))</x:f>
      </x:c>
      <x:c r="P260" s="3" t="str">
        <x:f>IF(C260="","",IF(S260&lt;&gt;"Valid","Review",IF(O260="Verified","Closed",IF(J260="Closed","Closure pending",IF(OR(J260="Open",J260="In progress"),"Open","Review")))))</x:f>
      </x:c>
      <x:c r="Q260" s="9" t="str">
        <x:f>IF(C260="","",IF(AND(P260&lt;&gt;"Closed",ISNUMBER(I260),I260&lt;Settings!$F$8),"Overdue","Current"))</x:f>
      </x:c>
      <x:c r="R260" s="9" t="str">
        <x:f>IF(C260="","",IF(Q260="Overdue",Settings!$F$8-I260,0))</x:f>
      </x:c>
      <x:c r="S260" s="9" t="str">
        <x:f>IF(C260="","",IF(COUNTIF($C$9:$C$308,C260)&lt;&gt;1,"Duplicate ID",IF(COUNTIF(Borrowers!$C$9:$C$108,D260)&lt;&gt;1,"Borrower key",IF(OR(NOT(OR(E260="E&amp;S",E260="Taxonomy",E260="Climate",E260="Data")),NOT(OR(F260="Critical",F260="High",F260="Moderate",F260="Low")),NOT(OR(J260="Open",J260="In progress",J260="Closed")),G260="",H260="",NOT(ISNUMBER(I260)),NOT(ISNUMBER(N260)),I260&lt;N260,N260&gt;Settings!$F$8),"Incomplete","Valid"))))</x:f>
      </x:c>
      <x:c r="T260" s="9" t="str">
        <x:f>IF(C260="","",IFERROR(INDEX('Borrowers'!$D$9:$D$108,MATCH(D260,'Borrowers'!$C$9:$C$108,0)),""))</x:f>
      </x:c>
      <x:c r="U260" s="3" t="str">
        <x:f>IF(C260="","","S01 ESRMS I.4–9; bank decision policy")</x:f>
      </x:c>
    </x:row>
    <x:row r="261" ht="42" customHeight="1">
      <x:c r="A261" s="1"/>
      <x:c r="B261" s="1"/>
      <x:c r="C261" s="8"/>
      <x:c r="D261" s="8"/>
      <x:c r="E261" s="8"/>
      <x:c r="F261" s="8"/>
      <x:c r="G261" s="8"/>
      <x:c r="H261" s="8"/>
      <x:c r="I261" s="10"/>
      <x:c r="J261" s="8"/>
      <x:c r="K261" s="8"/>
      <x:c r="L261" s="8"/>
      <x:c r="M261" s="10"/>
      <x:c r="N261" s="10"/>
      <x:c r="O261" s="9" t="str">
        <x:f>IF(C261="","",IF(AND(S261="Valid",J261="Closed",K261&lt;&gt;"",L261&lt;&gt;"",L261&lt;&gt;H261,ISNUMBER(M261),M261&gt;=N261,M261&lt;=Settings!$F$8),"Verified","Unverified"))</x:f>
      </x:c>
      <x:c r="P261" s="3" t="str">
        <x:f>IF(C261="","",IF(S261&lt;&gt;"Valid","Review",IF(O261="Verified","Closed",IF(J261="Closed","Closure pending",IF(OR(J261="Open",J261="In progress"),"Open","Review")))))</x:f>
      </x:c>
      <x:c r="Q261" s="9" t="str">
        <x:f>IF(C261="","",IF(AND(P261&lt;&gt;"Closed",ISNUMBER(I261),I261&lt;Settings!$F$8),"Overdue","Current"))</x:f>
      </x:c>
      <x:c r="R261" s="9" t="str">
        <x:f>IF(C261="","",IF(Q261="Overdue",Settings!$F$8-I261,0))</x:f>
      </x:c>
      <x:c r="S261" s="9" t="str">
        <x:f>IF(C261="","",IF(COUNTIF($C$9:$C$308,C261)&lt;&gt;1,"Duplicate ID",IF(COUNTIF(Borrowers!$C$9:$C$108,D261)&lt;&gt;1,"Borrower key",IF(OR(NOT(OR(E261="E&amp;S",E261="Taxonomy",E261="Climate",E261="Data")),NOT(OR(F261="Critical",F261="High",F261="Moderate",F261="Low")),NOT(OR(J261="Open",J261="In progress",J261="Closed")),G261="",H261="",NOT(ISNUMBER(I261)),NOT(ISNUMBER(N261)),I261&lt;N261,N261&gt;Settings!$F$8),"Incomplete","Valid"))))</x:f>
      </x:c>
      <x:c r="T261" s="9" t="str">
        <x:f>IF(C261="","",IFERROR(INDEX('Borrowers'!$D$9:$D$108,MATCH(D261,'Borrowers'!$C$9:$C$108,0)),""))</x:f>
      </x:c>
      <x:c r="U261" s="3" t="str">
        <x:f>IF(C261="","","S01 ESRMS I.4–9; bank decision policy")</x:f>
      </x:c>
    </x:row>
    <x:row r="262" ht="42" customHeight="1">
      <x:c r="A262" s="1"/>
      <x:c r="B262" s="1"/>
      <x:c r="C262" s="8"/>
      <x:c r="D262" s="8"/>
      <x:c r="E262" s="8"/>
      <x:c r="F262" s="8"/>
      <x:c r="G262" s="8"/>
      <x:c r="H262" s="8"/>
      <x:c r="I262" s="10"/>
      <x:c r="J262" s="8"/>
      <x:c r="K262" s="8"/>
      <x:c r="L262" s="8"/>
      <x:c r="M262" s="10"/>
      <x:c r="N262" s="10"/>
      <x:c r="O262" s="9" t="str">
        <x:f>IF(C262="","",IF(AND(S262="Valid",J262="Closed",K262&lt;&gt;"",L262&lt;&gt;"",L262&lt;&gt;H262,ISNUMBER(M262),M262&gt;=N262,M262&lt;=Settings!$F$8),"Verified","Unverified"))</x:f>
      </x:c>
      <x:c r="P262" s="3" t="str">
        <x:f>IF(C262="","",IF(S262&lt;&gt;"Valid","Review",IF(O262="Verified","Closed",IF(J262="Closed","Closure pending",IF(OR(J262="Open",J262="In progress"),"Open","Review")))))</x:f>
      </x:c>
      <x:c r="Q262" s="9" t="str">
        <x:f>IF(C262="","",IF(AND(P262&lt;&gt;"Closed",ISNUMBER(I262),I262&lt;Settings!$F$8),"Overdue","Current"))</x:f>
      </x:c>
      <x:c r="R262" s="9" t="str">
        <x:f>IF(C262="","",IF(Q262="Overdue",Settings!$F$8-I262,0))</x:f>
      </x:c>
      <x:c r="S262" s="9" t="str">
        <x:f>IF(C262="","",IF(COUNTIF($C$9:$C$308,C262)&lt;&gt;1,"Duplicate ID",IF(COUNTIF(Borrowers!$C$9:$C$108,D262)&lt;&gt;1,"Borrower key",IF(OR(NOT(OR(E262="E&amp;S",E262="Taxonomy",E262="Climate",E262="Data")),NOT(OR(F262="Critical",F262="High",F262="Moderate",F262="Low")),NOT(OR(J262="Open",J262="In progress",J262="Closed")),G262="",H262="",NOT(ISNUMBER(I262)),NOT(ISNUMBER(N262)),I262&lt;N262,N262&gt;Settings!$F$8),"Incomplete","Valid"))))</x:f>
      </x:c>
      <x:c r="T262" s="9" t="str">
        <x:f>IF(C262="","",IFERROR(INDEX('Borrowers'!$D$9:$D$108,MATCH(D262,'Borrowers'!$C$9:$C$108,0)),""))</x:f>
      </x:c>
      <x:c r="U262" s="3" t="str">
        <x:f>IF(C262="","","S01 ESRMS I.4–9; bank decision policy")</x:f>
      </x:c>
    </x:row>
    <x:row r="263" ht="42" customHeight="1">
      <x:c r="A263" s="1"/>
      <x:c r="B263" s="1"/>
      <x:c r="C263" s="8"/>
      <x:c r="D263" s="8"/>
      <x:c r="E263" s="8"/>
      <x:c r="F263" s="8"/>
      <x:c r="G263" s="8"/>
      <x:c r="H263" s="8"/>
      <x:c r="I263" s="10"/>
      <x:c r="J263" s="8"/>
      <x:c r="K263" s="8"/>
      <x:c r="L263" s="8"/>
      <x:c r="M263" s="10"/>
      <x:c r="N263" s="10"/>
      <x:c r="O263" s="9" t="str">
        <x:f>IF(C263="","",IF(AND(S263="Valid",J263="Closed",K263&lt;&gt;"",L263&lt;&gt;"",L263&lt;&gt;H263,ISNUMBER(M263),M263&gt;=N263,M263&lt;=Settings!$F$8),"Verified","Unverified"))</x:f>
      </x:c>
      <x:c r="P263" s="3" t="str">
        <x:f>IF(C263="","",IF(S263&lt;&gt;"Valid","Review",IF(O263="Verified","Closed",IF(J263="Closed","Closure pending",IF(OR(J263="Open",J263="In progress"),"Open","Review")))))</x:f>
      </x:c>
      <x:c r="Q263" s="9" t="str">
        <x:f>IF(C263="","",IF(AND(P263&lt;&gt;"Closed",ISNUMBER(I263),I263&lt;Settings!$F$8),"Overdue","Current"))</x:f>
      </x:c>
      <x:c r="R263" s="9" t="str">
        <x:f>IF(C263="","",IF(Q263="Overdue",Settings!$F$8-I263,0))</x:f>
      </x:c>
      <x:c r="S263" s="9" t="str">
        <x:f>IF(C263="","",IF(COUNTIF($C$9:$C$308,C263)&lt;&gt;1,"Duplicate ID",IF(COUNTIF(Borrowers!$C$9:$C$108,D263)&lt;&gt;1,"Borrower key",IF(OR(NOT(OR(E263="E&amp;S",E263="Taxonomy",E263="Climate",E263="Data")),NOT(OR(F263="Critical",F263="High",F263="Moderate",F263="Low")),NOT(OR(J263="Open",J263="In progress",J263="Closed")),G263="",H263="",NOT(ISNUMBER(I263)),NOT(ISNUMBER(N263)),I263&lt;N263,N263&gt;Settings!$F$8),"Incomplete","Valid"))))</x:f>
      </x:c>
      <x:c r="T263" s="9" t="str">
        <x:f>IF(C263="","",IFERROR(INDEX('Borrowers'!$D$9:$D$108,MATCH(D263,'Borrowers'!$C$9:$C$108,0)),""))</x:f>
      </x:c>
      <x:c r="U263" s="3" t="str">
        <x:f>IF(C263="","","S01 ESRMS I.4–9; bank decision policy")</x:f>
      </x:c>
    </x:row>
    <x:row r="264" ht="42" customHeight="1">
      <x:c r="A264" s="1"/>
      <x:c r="B264" s="1"/>
      <x:c r="C264" s="8"/>
      <x:c r="D264" s="8"/>
      <x:c r="E264" s="8"/>
      <x:c r="F264" s="8"/>
      <x:c r="G264" s="8"/>
      <x:c r="H264" s="8"/>
      <x:c r="I264" s="10"/>
      <x:c r="J264" s="8"/>
      <x:c r="K264" s="8"/>
      <x:c r="L264" s="8"/>
      <x:c r="M264" s="10"/>
      <x:c r="N264" s="10"/>
      <x:c r="O264" s="9" t="str">
        <x:f>IF(C264="","",IF(AND(S264="Valid",J264="Closed",K264&lt;&gt;"",L264&lt;&gt;"",L264&lt;&gt;H264,ISNUMBER(M264),M264&gt;=N264,M264&lt;=Settings!$F$8),"Verified","Unverified"))</x:f>
      </x:c>
      <x:c r="P264" s="3" t="str">
        <x:f>IF(C264="","",IF(S264&lt;&gt;"Valid","Review",IF(O264="Verified","Closed",IF(J264="Closed","Closure pending",IF(OR(J264="Open",J264="In progress"),"Open","Review")))))</x:f>
      </x:c>
      <x:c r="Q264" s="9" t="str">
        <x:f>IF(C264="","",IF(AND(P264&lt;&gt;"Closed",ISNUMBER(I264),I264&lt;Settings!$F$8),"Overdue","Current"))</x:f>
      </x:c>
      <x:c r="R264" s="9" t="str">
        <x:f>IF(C264="","",IF(Q264="Overdue",Settings!$F$8-I264,0))</x:f>
      </x:c>
      <x:c r="S264" s="9" t="str">
        <x:f>IF(C264="","",IF(COUNTIF($C$9:$C$308,C264)&lt;&gt;1,"Duplicate ID",IF(COUNTIF(Borrowers!$C$9:$C$108,D264)&lt;&gt;1,"Borrower key",IF(OR(NOT(OR(E264="E&amp;S",E264="Taxonomy",E264="Climate",E264="Data")),NOT(OR(F264="Critical",F264="High",F264="Moderate",F264="Low")),NOT(OR(J264="Open",J264="In progress",J264="Closed")),G264="",H264="",NOT(ISNUMBER(I264)),NOT(ISNUMBER(N264)),I264&lt;N264,N264&gt;Settings!$F$8),"Incomplete","Valid"))))</x:f>
      </x:c>
      <x:c r="T264" s="9" t="str">
        <x:f>IF(C264="","",IFERROR(INDEX('Borrowers'!$D$9:$D$108,MATCH(D264,'Borrowers'!$C$9:$C$108,0)),""))</x:f>
      </x:c>
      <x:c r="U264" s="3" t="str">
        <x:f>IF(C264="","","S01 ESRMS I.4–9; bank decision policy")</x:f>
      </x:c>
    </x:row>
    <x:row r="265" ht="42" customHeight="1">
      <x:c r="A265" s="1"/>
      <x:c r="B265" s="1"/>
      <x:c r="C265" s="8"/>
      <x:c r="D265" s="8"/>
      <x:c r="E265" s="8"/>
      <x:c r="F265" s="8"/>
      <x:c r="G265" s="8"/>
      <x:c r="H265" s="8"/>
      <x:c r="I265" s="10"/>
      <x:c r="J265" s="8"/>
      <x:c r="K265" s="8"/>
      <x:c r="L265" s="8"/>
      <x:c r="M265" s="10"/>
      <x:c r="N265" s="10"/>
      <x:c r="O265" s="9" t="str">
        <x:f>IF(C265="","",IF(AND(S265="Valid",J265="Closed",K265&lt;&gt;"",L265&lt;&gt;"",L265&lt;&gt;H265,ISNUMBER(M265),M265&gt;=N265,M265&lt;=Settings!$F$8),"Verified","Unverified"))</x:f>
      </x:c>
      <x:c r="P265" s="3" t="str">
        <x:f>IF(C265="","",IF(S265&lt;&gt;"Valid","Review",IF(O265="Verified","Closed",IF(J265="Closed","Closure pending",IF(OR(J265="Open",J265="In progress"),"Open","Review")))))</x:f>
      </x:c>
      <x:c r="Q265" s="9" t="str">
        <x:f>IF(C265="","",IF(AND(P265&lt;&gt;"Closed",ISNUMBER(I265),I265&lt;Settings!$F$8),"Overdue","Current"))</x:f>
      </x:c>
      <x:c r="R265" s="9" t="str">
        <x:f>IF(C265="","",IF(Q265="Overdue",Settings!$F$8-I265,0))</x:f>
      </x:c>
      <x:c r="S265" s="9" t="str">
        <x:f>IF(C265="","",IF(COUNTIF($C$9:$C$308,C265)&lt;&gt;1,"Duplicate ID",IF(COUNTIF(Borrowers!$C$9:$C$108,D265)&lt;&gt;1,"Borrower key",IF(OR(NOT(OR(E265="E&amp;S",E265="Taxonomy",E265="Climate",E265="Data")),NOT(OR(F265="Critical",F265="High",F265="Moderate",F265="Low")),NOT(OR(J265="Open",J265="In progress",J265="Closed")),G265="",H265="",NOT(ISNUMBER(I265)),NOT(ISNUMBER(N265)),I265&lt;N265,N265&gt;Settings!$F$8),"Incomplete","Valid"))))</x:f>
      </x:c>
      <x:c r="T265" s="9" t="str">
        <x:f>IF(C265="","",IFERROR(INDEX('Borrowers'!$D$9:$D$108,MATCH(D265,'Borrowers'!$C$9:$C$108,0)),""))</x:f>
      </x:c>
      <x:c r="U265" s="3" t="str">
        <x:f>IF(C265="","","S01 ESRMS I.4–9; bank decision policy")</x:f>
      </x:c>
    </x:row>
    <x:row r="266" ht="42" customHeight="1">
      <x:c r="A266" s="1"/>
      <x:c r="B266" s="1"/>
      <x:c r="C266" s="8"/>
      <x:c r="D266" s="8"/>
      <x:c r="E266" s="8"/>
      <x:c r="F266" s="8"/>
      <x:c r="G266" s="8"/>
      <x:c r="H266" s="8"/>
      <x:c r="I266" s="10"/>
      <x:c r="J266" s="8"/>
      <x:c r="K266" s="8"/>
      <x:c r="L266" s="8"/>
      <x:c r="M266" s="10"/>
      <x:c r="N266" s="10"/>
      <x:c r="O266" s="9" t="str">
        <x:f>IF(C266="","",IF(AND(S266="Valid",J266="Closed",K266&lt;&gt;"",L266&lt;&gt;"",L266&lt;&gt;H266,ISNUMBER(M266),M266&gt;=N266,M266&lt;=Settings!$F$8),"Verified","Unverified"))</x:f>
      </x:c>
      <x:c r="P266" s="3" t="str">
        <x:f>IF(C266="","",IF(S266&lt;&gt;"Valid","Review",IF(O266="Verified","Closed",IF(J266="Closed","Closure pending",IF(OR(J266="Open",J266="In progress"),"Open","Review")))))</x:f>
      </x:c>
      <x:c r="Q266" s="9" t="str">
        <x:f>IF(C266="","",IF(AND(P266&lt;&gt;"Closed",ISNUMBER(I266),I266&lt;Settings!$F$8),"Overdue","Current"))</x:f>
      </x:c>
      <x:c r="R266" s="9" t="str">
        <x:f>IF(C266="","",IF(Q266="Overdue",Settings!$F$8-I266,0))</x:f>
      </x:c>
      <x:c r="S266" s="9" t="str">
        <x:f>IF(C266="","",IF(COUNTIF($C$9:$C$308,C266)&lt;&gt;1,"Duplicate ID",IF(COUNTIF(Borrowers!$C$9:$C$108,D266)&lt;&gt;1,"Borrower key",IF(OR(NOT(OR(E266="E&amp;S",E266="Taxonomy",E266="Climate",E266="Data")),NOT(OR(F266="Critical",F266="High",F266="Moderate",F266="Low")),NOT(OR(J266="Open",J266="In progress",J266="Closed")),G266="",H266="",NOT(ISNUMBER(I266)),NOT(ISNUMBER(N266)),I266&lt;N266,N266&gt;Settings!$F$8),"Incomplete","Valid"))))</x:f>
      </x:c>
      <x:c r="T266" s="9" t="str">
        <x:f>IF(C266="","",IFERROR(INDEX('Borrowers'!$D$9:$D$108,MATCH(D266,'Borrowers'!$C$9:$C$108,0)),""))</x:f>
      </x:c>
      <x:c r="U266" s="3" t="str">
        <x:f>IF(C266="","","S01 ESRMS I.4–9; bank decision policy")</x:f>
      </x:c>
    </x:row>
    <x:row r="267" ht="42" customHeight="1">
      <x:c r="A267" s="1"/>
      <x:c r="B267" s="1"/>
      <x:c r="C267" s="8"/>
      <x:c r="D267" s="8"/>
      <x:c r="E267" s="8"/>
      <x:c r="F267" s="8"/>
      <x:c r="G267" s="8"/>
      <x:c r="H267" s="8"/>
      <x:c r="I267" s="10"/>
      <x:c r="J267" s="8"/>
      <x:c r="K267" s="8"/>
      <x:c r="L267" s="8"/>
      <x:c r="M267" s="10"/>
      <x:c r="N267" s="10"/>
      <x:c r="O267" s="9" t="str">
        <x:f>IF(C267="","",IF(AND(S267="Valid",J267="Closed",K267&lt;&gt;"",L267&lt;&gt;"",L267&lt;&gt;H267,ISNUMBER(M267),M267&gt;=N267,M267&lt;=Settings!$F$8),"Verified","Unverified"))</x:f>
      </x:c>
      <x:c r="P267" s="3" t="str">
        <x:f>IF(C267="","",IF(S267&lt;&gt;"Valid","Review",IF(O267="Verified","Closed",IF(J267="Closed","Closure pending",IF(OR(J267="Open",J267="In progress"),"Open","Review")))))</x:f>
      </x:c>
      <x:c r="Q267" s="9" t="str">
        <x:f>IF(C267="","",IF(AND(P267&lt;&gt;"Closed",ISNUMBER(I267),I267&lt;Settings!$F$8),"Overdue","Current"))</x:f>
      </x:c>
      <x:c r="R267" s="9" t="str">
        <x:f>IF(C267="","",IF(Q267="Overdue",Settings!$F$8-I267,0))</x:f>
      </x:c>
      <x:c r="S267" s="9" t="str">
        <x:f>IF(C267="","",IF(COUNTIF($C$9:$C$308,C267)&lt;&gt;1,"Duplicate ID",IF(COUNTIF(Borrowers!$C$9:$C$108,D267)&lt;&gt;1,"Borrower key",IF(OR(NOT(OR(E267="E&amp;S",E267="Taxonomy",E267="Climate",E267="Data")),NOT(OR(F267="Critical",F267="High",F267="Moderate",F267="Low")),NOT(OR(J267="Open",J267="In progress",J267="Closed")),G267="",H267="",NOT(ISNUMBER(I267)),NOT(ISNUMBER(N267)),I267&lt;N267,N267&gt;Settings!$F$8),"Incomplete","Valid"))))</x:f>
      </x:c>
      <x:c r="T267" s="9" t="str">
        <x:f>IF(C267="","",IFERROR(INDEX('Borrowers'!$D$9:$D$108,MATCH(D267,'Borrowers'!$C$9:$C$108,0)),""))</x:f>
      </x:c>
      <x:c r="U267" s="3" t="str">
        <x:f>IF(C267="","","S01 ESRMS I.4–9; bank decision policy")</x:f>
      </x:c>
    </x:row>
    <x:row r="268" ht="42" customHeight="1">
      <x:c r="A268" s="1"/>
      <x:c r="B268" s="1"/>
      <x:c r="C268" s="8"/>
      <x:c r="D268" s="8"/>
      <x:c r="E268" s="8"/>
      <x:c r="F268" s="8"/>
      <x:c r="G268" s="8"/>
      <x:c r="H268" s="8"/>
      <x:c r="I268" s="10"/>
      <x:c r="J268" s="8"/>
      <x:c r="K268" s="8"/>
      <x:c r="L268" s="8"/>
      <x:c r="M268" s="10"/>
      <x:c r="N268" s="10"/>
      <x:c r="O268" s="9" t="str">
        <x:f>IF(C268="","",IF(AND(S268="Valid",J268="Closed",K268&lt;&gt;"",L268&lt;&gt;"",L268&lt;&gt;H268,ISNUMBER(M268),M268&gt;=N268,M268&lt;=Settings!$F$8),"Verified","Unverified"))</x:f>
      </x:c>
      <x:c r="P268" s="3" t="str">
        <x:f>IF(C268="","",IF(S268&lt;&gt;"Valid","Review",IF(O268="Verified","Closed",IF(J268="Closed","Closure pending",IF(OR(J268="Open",J268="In progress"),"Open","Review")))))</x:f>
      </x:c>
      <x:c r="Q268" s="9" t="str">
        <x:f>IF(C268="","",IF(AND(P268&lt;&gt;"Closed",ISNUMBER(I268),I268&lt;Settings!$F$8),"Overdue","Current"))</x:f>
      </x:c>
      <x:c r="R268" s="9" t="str">
        <x:f>IF(C268="","",IF(Q268="Overdue",Settings!$F$8-I268,0))</x:f>
      </x:c>
      <x:c r="S268" s="9" t="str">
        <x:f>IF(C268="","",IF(COUNTIF($C$9:$C$308,C268)&lt;&gt;1,"Duplicate ID",IF(COUNTIF(Borrowers!$C$9:$C$108,D268)&lt;&gt;1,"Borrower key",IF(OR(NOT(OR(E268="E&amp;S",E268="Taxonomy",E268="Climate",E268="Data")),NOT(OR(F268="Critical",F268="High",F268="Moderate",F268="Low")),NOT(OR(J268="Open",J268="In progress",J268="Closed")),G268="",H268="",NOT(ISNUMBER(I268)),NOT(ISNUMBER(N268)),I268&lt;N268,N268&gt;Settings!$F$8),"Incomplete","Valid"))))</x:f>
      </x:c>
      <x:c r="T268" s="9" t="str">
        <x:f>IF(C268="","",IFERROR(INDEX('Borrowers'!$D$9:$D$108,MATCH(D268,'Borrowers'!$C$9:$C$108,0)),""))</x:f>
      </x:c>
      <x:c r="U268" s="3" t="str">
        <x:f>IF(C268="","","S01 ESRMS I.4–9; bank decision policy")</x:f>
      </x:c>
    </x:row>
    <x:row r="269" ht="42" customHeight="1">
      <x:c r="A269" s="1"/>
      <x:c r="B269" s="1"/>
      <x:c r="C269" s="8"/>
      <x:c r="D269" s="8"/>
      <x:c r="E269" s="8"/>
      <x:c r="F269" s="8"/>
      <x:c r="G269" s="8"/>
      <x:c r="H269" s="8"/>
      <x:c r="I269" s="10"/>
      <x:c r="J269" s="8"/>
      <x:c r="K269" s="8"/>
      <x:c r="L269" s="8"/>
      <x:c r="M269" s="10"/>
      <x:c r="N269" s="10"/>
      <x:c r="O269" s="9" t="str">
        <x:f>IF(C269="","",IF(AND(S269="Valid",J269="Closed",K269&lt;&gt;"",L269&lt;&gt;"",L269&lt;&gt;H269,ISNUMBER(M269),M269&gt;=N269,M269&lt;=Settings!$F$8),"Verified","Unverified"))</x:f>
      </x:c>
      <x:c r="P269" s="3" t="str">
        <x:f>IF(C269="","",IF(S269&lt;&gt;"Valid","Review",IF(O269="Verified","Closed",IF(J269="Closed","Closure pending",IF(OR(J269="Open",J269="In progress"),"Open","Review")))))</x:f>
      </x:c>
      <x:c r="Q269" s="9" t="str">
        <x:f>IF(C269="","",IF(AND(P269&lt;&gt;"Closed",ISNUMBER(I269),I269&lt;Settings!$F$8),"Overdue","Current"))</x:f>
      </x:c>
      <x:c r="R269" s="9" t="str">
        <x:f>IF(C269="","",IF(Q269="Overdue",Settings!$F$8-I269,0))</x:f>
      </x:c>
      <x:c r="S269" s="9" t="str">
        <x:f>IF(C269="","",IF(COUNTIF($C$9:$C$308,C269)&lt;&gt;1,"Duplicate ID",IF(COUNTIF(Borrowers!$C$9:$C$108,D269)&lt;&gt;1,"Borrower key",IF(OR(NOT(OR(E269="E&amp;S",E269="Taxonomy",E269="Climate",E269="Data")),NOT(OR(F269="Critical",F269="High",F269="Moderate",F269="Low")),NOT(OR(J269="Open",J269="In progress",J269="Closed")),G269="",H269="",NOT(ISNUMBER(I269)),NOT(ISNUMBER(N269)),I269&lt;N269,N269&gt;Settings!$F$8),"Incomplete","Valid"))))</x:f>
      </x:c>
      <x:c r="T269" s="9" t="str">
        <x:f>IF(C269="","",IFERROR(INDEX('Borrowers'!$D$9:$D$108,MATCH(D269,'Borrowers'!$C$9:$C$108,0)),""))</x:f>
      </x:c>
      <x:c r="U269" s="3" t="str">
        <x:f>IF(C269="","","S01 ESRMS I.4–9; bank decision policy")</x:f>
      </x:c>
    </x:row>
    <x:row r="270" ht="42" customHeight="1">
      <x:c r="A270" s="1"/>
      <x:c r="B270" s="1"/>
      <x:c r="C270" s="8"/>
      <x:c r="D270" s="8"/>
      <x:c r="E270" s="8"/>
      <x:c r="F270" s="8"/>
      <x:c r="G270" s="8"/>
      <x:c r="H270" s="8"/>
      <x:c r="I270" s="10"/>
      <x:c r="J270" s="8"/>
      <x:c r="K270" s="8"/>
      <x:c r="L270" s="8"/>
      <x:c r="M270" s="10"/>
      <x:c r="N270" s="10"/>
      <x:c r="O270" s="9" t="str">
        <x:f>IF(C270="","",IF(AND(S270="Valid",J270="Closed",K270&lt;&gt;"",L270&lt;&gt;"",L270&lt;&gt;H270,ISNUMBER(M270),M270&gt;=N270,M270&lt;=Settings!$F$8),"Verified","Unverified"))</x:f>
      </x:c>
      <x:c r="P270" s="3" t="str">
        <x:f>IF(C270="","",IF(S270&lt;&gt;"Valid","Review",IF(O270="Verified","Closed",IF(J270="Closed","Closure pending",IF(OR(J270="Open",J270="In progress"),"Open","Review")))))</x:f>
      </x:c>
      <x:c r="Q270" s="9" t="str">
        <x:f>IF(C270="","",IF(AND(P270&lt;&gt;"Closed",ISNUMBER(I270),I270&lt;Settings!$F$8),"Overdue","Current"))</x:f>
      </x:c>
      <x:c r="R270" s="9" t="str">
        <x:f>IF(C270="","",IF(Q270="Overdue",Settings!$F$8-I270,0))</x:f>
      </x:c>
      <x:c r="S270" s="9" t="str">
        <x:f>IF(C270="","",IF(COUNTIF($C$9:$C$308,C270)&lt;&gt;1,"Duplicate ID",IF(COUNTIF(Borrowers!$C$9:$C$108,D270)&lt;&gt;1,"Borrower key",IF(OR(NOT(OR(E270="E&amp;S",E270="Taxonomy",E270="Climate",E270="Data")),NOT(OR(F270="Critical",F270="High",F270="Moderate",F270="Low")),NOT(OR(J270="Open",J270="In progress",J270="Closed")),G270="",H270="",NOT(ISNUMBER(I270)),NOT(ISNUMBER(N270)),I270&lt;N270,N270&gt;Settings!$F$8),"Incomplete","Valid"))))</x:f>
      </x:c>
      <x:c r="T270" s="9" t="str">
        <x:f>IF(C270="","",IFERROR(INDEX('Borrowers'!$D$9:$D$108,MATCH(D270,'Borrowers'!$C$9:$C$108,0)),""))</x:f>
      </x:c>
      <x:c r="U270" s="3" t="str">
        <x:f>IF(C270="","","S01 ESRMS I.4–9; bank decision policy")</x:f>
      </x:c>
    </x:row>
    <x:row r="271" ht="42" customHeight="1">
      <x:c r="A271" s="1"/>
      <x:c r="B271" s="1"/>
      <x:c r="C271" s="8"/>
      <x:c r="D271" s="8"/>
      <x:c r="E271" s="8"/>
      <x:c r="F271" s="8"/>
      <x:c r="G271" s="8"/>
      <x:c r="H271" s="8"/>
      <x:c r="I271" s="10"/>
      <x:c r="J271" s="8"/>
      <x:c r="K271" s="8"/>
      <x:c r="L271" s="8"/>
      <x:c r="M271" s="10"/>
      <x:c r="N271" s="10"/>
      <x:c r="O271" s="9" t="str">
        <x:f>IF(C271="","",IF(AND(S271="Valid",J271="Closed",K271&lt;&gt;"",L271&lt;&gt;"",L271&lt;&gt;H271,ISNUMBER(M271),M271&gt;=N271,M271&lt;=Settings!$F$8),"Verified","Unverified"))</x:f>
      </x:c>
      <x:c r="P271" s="3" t="str">
        <x:f>IF(C271="","",IF(S271&lt;&gt;"Valid","Review",IF(O271="Verified","Closed",IF(J271="Closed","Closure pending",IF(OR(J271="Open",J271="In progress"),"Open","Review")))))</x:f>
      </x:c>
      <x:c r="Q271" s="9" t="str">
        <x:f>IF(C271="","",IF(AND(P271&lt;&gt;"Closed",ISNUMBER(I271),I271&lt;Settings!$F$8),"Overdue","Current"))</x:f>
      </x:c>
      <x:c r="R271" s="9" t="str">
        <x:f>IF(C271="","",IF(Q271="Overdue",Settings!$F$8-I271,0))</x:f>
      </x:c>
      <x:c r="S271" s="9" t="str">
        <x:f>IF(C271="","",IF(COUNTIF($C$9:$C$308,C271)&lt;&gt;1,"Duplicate ID",IF(COUNTIF(Borrowers!$C$9:$C$108,D271)&lt;&gt;1,"Borrower key",IF(OR(NOT(OR(E271="E&amp;S",E271="Taxonomy",E271="Climate",E271="Data")),NOT(OR(F271="Critical",F271="High",F271="Moderate",F271="Low")),NOT(OR(J271="Open",J271="In progress",J271="Closed")),G271="",H271="",NOT(ISNUMBER(I271)),NOT(ISNUMBER(N271)),I271&lt;N271,N271&gt;Settings!$F$8),"Incomplete","Valid"))))</x:f>
      </x:c>
      <x:c r="T271" s="9" t="str">
        <x:f>IF(C271="","",IFERROR(INDEX('Borrowers'!$D$9:$D$108,MATCH(D271,'Borrowers'!$C$9:$C$108,0)),""))</x:f>
      </x:c>
      <x:c r="U271" s="3" t="str">
        <x:f>IF(C271="","","S01 ESRMS I.4–9; bank decision policy")</x:f>
      </x:c>
    </x:row>
    <x:row r="272" ht="42" customHeight="1">
      <x:c r="A272" s="1"/>
      <x:c r="B272" s="1"/>
      <x:c r="C272" s="8"/>
      <x:c r="D272" s="8"/>
      <x:c r="E272" s="8"/>
      <x:c r="F272" s="8"/>
      <x:c r="G272" s="8"/>
      <x:c r="H272" s="8"/>
      <x:c r="I272" s="10"/>
      <x:c r="J272" s="8"/>
      <x:c r="K272" s="8"/>
      <x:c r="L272" s="8"/>
      <x:c r="M272" s="10"/>
      <x:c r="N272" s="10"/>
      <x:c r="O272" s="9" t="str">
        <x:f>IF(C272="","",IF(AND(S272="Valid",J272="Closed",K272&lt;&gt;"",L272&lt;&gt;"",L272&lt;&gt;H272,ISNUMBER(M272),M272&gt;=N272,M272&lt;=Settings!$F$8),"Verified","Unverified"))</x:f>
      </x:c>
      <x:c r="P272" s="3" t="str">
        <x:f>IF(C272="","",IF(S272&lt;&gt;"Valid","Review",IF(O272="Verified","Closed",IF(J272="Closed","Closure pending",IF(OR(J272="Open",J272="In progress"),"Open","Review")))))</x:f>
      </x:c>
      <x:c r="Q272" s="9" t="str">
        <x:f>IF(C272="","",IF(AND(P272&lt;&gt;"Closed",ISNUMBER(I272),I272&lt;Settings!$F$8),"Overdue","Current"))</x:f>
      </x:c>
      <x:c r="R272" s="9" t="str">
        <x:f>IF(C272="","",IF(Q272="Overdue",Settings!$F$8-I272,0))</x:f>
      </x:c>
      <x:c r="S272" s="9" t="str">
        <x:f>IF(C272="","",IF(COUNTIF($C$9:$C$308,C272)&lt;&gt;1,"Duplicate ID",IF(COUNTIF(Borrowers!$C$9:$C$108,D272)&lt;&gt;1,"Borrower key",IF(OR(NOT(OR(E272="E&amp;S",E272="Taxonomy",E272="Climate",E272="Data")),NOT(OR(F272="Critical",F272="High",F272="Moderate",F272="Low")),NOT(OR(J272="Open",J272="In progress",J272="Closed")),G272="",H272="",NOT(ISNUMBER(I272)),NOT(ISNUMBER(N272)),I272&lt;N272,N272&gt;Settings!$F$8),"Incomplete","Valid"))))</x:f>
      </x:c>
      <x:c r="T272" s="9" t="str">
        <x:f>IF(C272="","",IFERROR(INDEX('Borrowers'!$D$9:$D$108,MATCH(D272,'Borrowers'!$C$9:$C$108,0)),""))</x:f>
      </x:c>
      <x:c r="U272" s="3" t="str">
        <x:f>IF(C272="","","S01 ESRMS I.4–9; bank decision policy")</x:f>
      </x:c>
    </x:row>
    <x:row r="273" ht="42" customHeight="1">
      <x:c r="A273" s="1"/>
      <x:c r="B273" s="1"/>
      <x:c r="C273" s="8"/>
      <x:c r="D273" s="8"/>
      <x:c r="E273" s="8"/>
      <x:c r="F273" s="8"/>
      <x:c r="G273" s="8"/>
      <x:c r="H273" s="8"/>
      <x:c r="I273" s="10"/>
      <x:c r="J273" s="8"/>
      <x:c r="K273" s="8"/>
      <x:c r="L273" s="8"/>
      <x:c r="M273" s="10"/>
      <x:c r="N273" s="10"/>
      <x:c r="O273" s="9" t="str">
        <x:f>IF(C273="","",IF(AND(S273="Valid",J273="Closed",K273&lt;&gt;"",L273&lt;&gt;"",L273&lt;&gt;H273,ISNUMBER(M273),M273&gt;=N273,M273&lt;=Settings!$F$8),"Verified","Unverified"))</x:f>
      </x:c>
      <x:c r="P273" s="3" t="str">
        <x:f>IF(C273="","",IF(S273&lt;&gt;"Valid","Review",IF(O273="Verified","Closed",IF(J273="Closed","Closure pending",IF(OR(J273="Open",J273="In progress"),"Open","Review")))))</x:f>
      </x:c>
      <x:c r="Q273" s="9" t="str">
        <x:f>IF(C273="","",IF(AND(P273&lt;&gt;"Closed",ISNUMBER(I273),I273&lt;Settings!$F$8),"Overdue","Current"))</x:f>
      </x:c>
      <x:c r="R273" s="9" t="str">
        <x:f>IF(C273="","",IF(Q273="Overdue",Settings!$F$8-I273,0))</x:f>
      </x:c>
      <x:c r="S273" s="9" t="str">
        <x:f>IF(C273="","",IF(COUNTIF($C$9:$C$308,C273)&lt;&gt;1,"Duplicate ID",IF(COUNTIF(Borrowers!$C$9:$C$108,D273)&lt;&gt;1,"Borrower key",IF(OR(NOT(OR(E273="E&amp;S",E273="Taxonomy",E273="Climate",E273="Data")),NOT(OR(F273="Critical",F273="High",F273="Moderate",F273="Low")),NOT(OR(J273="Open",J273="In progress",J273="Closed")),G273="",H273="",NOT(ISNUMBER(I273)),NOT(ISNUMBER(N273)),I273&lt;N273,N273&gt;Settings!$F$8),"Incomplete","Valid"))))</x:f>
      </x:c>
      <x:c r="T273" s="9" t="str">
        <x:f>IF(C273="","",IFERROR(INDEX('Borrowers'!$D$9:$D$108,MATCH(D273,'Borrowers'!$C$9:$C$108,0)),""))</x:f>
      </x:c>
      <x:c r="U273" s="3" t="str">
        <x:f>IF(C273="","","S01 ESRMS I.4–9; bank decision policy")</x:f>
      </x:c>
    </x:row>
    <x:row r="274" ht="42" customHeight="1">
      <x:c r="A274" s="1"/>
      <x:c r="B274" s="1"/>
      <x:c r="C274" s="8"/>
      <x:c r="D274" s="8"/>
      <x:c r="E274" s="8"/>
      <x:c r="F274" s="8"/>
      <x:c r="G274" s="8"/>
      <x:c r="H274" s="8"/>
      <x:c r="I274" s="10"/>
      <x:c r="J274" s="8"/>
      <x:c r="K274" s="8"/>
      <x:c r="L274" s="8"/>
      <x:c r="M274" s="10"/>
      <x:c r="N274" s="10"/>
      <x:c r="O274" s="9" t="str">
        <x:f>IF(C274="","",IF(AND(S274="Valid",J274="Closed",K274&lt;&gt;"",L274&lt;&gt;"",L274&lt;&gt;H274,ISNUMBER(M274),M274&gt;=N274,M274&lt;=Settings!$F$8),"Verified","Unverified"))</x:f>
      </x:c>
      <x:c r="P274" s="3" t="str">
        <x:f>IF(C274="","",IF(S274&lt;&gt;"Valid","Review",IF(O274="Verified","Closed",IF(J274="Closed","Closure pending",IF(OR(J274="Open",J274="In progress"),"Open","Review")))))</x:f>
      </x:c>
      <x:c r="Q274" s="9" t="str">
        <x:f>IF(C274="","",IF(AND(P274&lt;&gt;"Closed",ISNUMBER(I274),I274&lt;Settings!$F$8),"Overdue","Current"))</x:f>
      </x:c>
      <x:c r="R274" s="9" t="str">
        <x:f>IF(C274="","",IF(Q274="Overdue",Settings!$F$8-I274,0))</x:f>
      </x:c>
      <x:c r="S274" s="9" t="str">
        <x:f>IF(C274="","",IF(COUNTIF($C$9:$C$308,C274)&lt;&gt;1,"Duplicate ID",IF(COUNTIF(Borrowers!$C$9:$C$108,D274)&lt;&gt;1,"Borrower key",IF(OR(NOT(OR(E274="E&amp;S",E274="Taxonomy",E274="Climate",E274="Data")),NOT(OR(F274="Critical",F274="High",F274="Moderate",F274="Low")),NOT(OR(J274="Open",J274="In progress",J274="Closed")),G274="",H274="",NOT(ISNUMBER(I274)),NOT(ISNUMBER(N274)),I274&lt;N274,N274&gt;Settings!$F$8),"Incomplete","Valid"))))</x:f>
      </x:c>
      <x:c r="T274" s="9" t="str">
        <x:f>IF(C274="","",IFERROR(INDEX('Borrowers'!$D$9:$D$108,MATCH(D274,'Borrowers'!$C$9:$C$108,0)),""))</x:f>
      </x:c>
      <x:c r="U274" s="3" t="str">
        <x:f>IF(C274="","","S01 ESRMS I.4–9; bank decision policy")</x:f>
      </x:c>
    </x:row>
    <x:row r="275" ht="42" customHeight="1">
      <x:c r="A275" s="1"/>
      <x:c r="B275" s="1"/>
      <x:c r="C275" s="8"/>
      <x:c r="D275" s="8"/>
      <x:c r="E275" s="8"/>
      <x:c r="F275" s="8"/>
      <x:c r="G275" s="8"/>
      <x:c r="H275" s="8"/>
      <x:c r="I275" s="10"/>
      <x:c r="J275" s="8"/>
      <x:c r="K275" s="8"/>
      <x:c r="L275" s="8"/>
      <x:c r="M275" s="10"/>
      <x:c r="N275" s="10"/>
      <x:c r="O275" s="9" t="str">
        <x:f>IF(C275="","",IF(AND(S275="Valid",J275="Closed",K275&lt;&gt;"",L275&lt;&gt;"",L275&lt;&gt;H275,ISNUMBER(M275),M275&gt;=N275,M275&lt;=Settings!$F$8),"Verified","Unverified"))</x:f>
      </x:c>
      <x:c r="P275" s="3" t="str">
        <x:f>IF(C275="","",IF(S275&lt;&gt;"Valid","Review",IF(O275="Verified","Closed",IF(J275="Closed","Closure pending",IF(OR(J275="Open",J275="In progress"),"Open","Review")))))</x:f>
      </x:c>
      <x:c r="Q275" s="9" t="str">
        <x:f>IF(C275="","",IF(AND(P275&lt;&gt;"Closed",ISNUMBER(I275),I275&lt;Settings!$F$8),"Overdue","Current"))</x:f>
      </x:c>
      <x:c r="R275" s="9" t="str">
        <x:f>IF(C275="","",IF(Q275="Overdue",Settings!$F$8-I275,0))</x:f>
      </x:c>
      <x:c r="S275" s="9" t="str">
        <x:f>IF(C275="","",IF(COUNTIF($C$9:$C$308,C275)&lt;&gt;1,"Duplicate ID",IF(COUNTIF(Borrowers!$C$9:$C$108,D275)&lt;&gt;1,"Borrower key",IF(OR(NOT(OR(E275="E&amp;S",E275="Taxonomy",E275="Climate",E275="Data")),NOT(OR(F275="Critical",F275="High",F275="Moderate",F275="Low")),NOT(OR(J275="Open",J275="In progress",J275="Closed")),G275="",H275="",NOT(ISNUMBER(I275)),NOT(ISNUMBER(N275)),I275&lt;N275,N275&gt;Settings!$F$8),"Incomplete","Valid"))))</x:f>
      </x:c>
      <x:c r="T275" s="9" t="str">
        <x:f>IF(C275="","",IFERROR(INDEX('Borrowers'!$D$9:$D$108,MATCH(D275,'Borrowers'!$C$9:$C$108,0)),""))</x:f>
      </x:c>
      <x:c r="U275" s="3" t="str">
        <x:f>IF(C275="","","S01 ESRMS I.4–9; bank decision policy")</x:f>
      </x:c>
    </x:row>
    <x:row r="276" ht="42" customHeight="1">
      <x:c r="A276" s="1"/>
      <x:c r="B276" s="1"/>
      <x:c r="C276" s="8"/>
      <x:c r="D276" s="8"/>
      <x:c r="E276" s="8"/>
      <x:c r="F276" s="8"/>
      <x:c r="G276" s="8"/>
      <x:c r="H276" s="8"/>
      <x:c r="I276" s="10"/>
      <x:c r="J276" s="8"/>
      <x:c r="K276" s="8"/>
      <x:c r="L276" s="8"/>
      <x:c r="M276" s="10"/>
      <x:c r="N276" s="10"/>
      <x:c r="O276" s="9" t="str">
        <x:f>IF(C276="","",IF(AND(S276="Valid",J276="Closed",K276&lt;&gt;"",L276&lt;&gt;"",L276&lt;&gt;H276,ISNUMBER(M276),M276&gt;=N276,M276&lt;=Settings!$F$8),"Verified","Unverified"))</x:f>
      </x:c>
      <x:c r="P276" s="3" t="str">
        <x:f>IF(C276="","",IF(S276&lt;&gt;"Valid","Review",IF(O276="Verified","Closed",IF(J276="Closed","Closure pending",IF(OR(J276="Open",J276="In progress"),"Open","Review")))))</x:f>
      </x:c>
      <x:c r="Q276" s="9" t="str">
        <x:f>IF(C276="","",IF(AND(P276&lt;&gt;"Closed",ISNUMBER(I276),I276&lt;Settings!$F$8),"Overdue","Current"))</x:f>
      </x:c>
      <x:c r="R276" s="9" t="str">
        <x:f>IF(C276="","",IF(Q276="Overdue",Settings!$F$8-I276,0))</x:f>
      </x:c>
      <x:c r="S276" s="9" t="str">
        <x:f>IF(C276="","",IF(COUNTIF($C$9:$C$308,C276)&lt;&gt;1,"Duplicate ID",IF(COUNTIF(Borrowers!$C$9:$C$108,D276)&lt;&gt;1,"Borrower key",IF(OR(NOT(OR(E276="E&amp;S",E276="Taxonomy",E276="Climate",E276="Data")),NOT(OR(F276="Critical",F276="High",F276="Moderate",F276="Low")),NOT(OR(J276="Open",J276="In progress",J276="Closed")),G276="",H276="",NOT(ISNUMBER(I276)),NOT(ISNUMBER(N276)),I276&lt;N276,N276&gt;Settings!$F$8),"Incomplete","Valid"))))</x:f>
      </x:c>
      <x:c r="T276" s="9" t="str">
        <x:f>IF(C276="","",IFERROR(INDEX('Borrowers'!$D$9:$D$108,MATCH(D276,'Borrowers'!$C$9:$C$108,0)),""))</x:f>
      </x:c>
      <x:c r="U276" s="3" t="str">
        <x:f>IF(C276="","","S01 ESRMS I.4–9; bank decision policy")</x:f>
      </x:c>
    </x:row>
    <x:row r="277" ht="42" customHeight="1">
      <x:c r="A277" s="1"/>
      <x:c r="B277" s="1"/>
      <x:c r="C277" s="8"/>
      <x:c r="D277" s="8"/>
      <x:c r="E277" s="8"/>
      <x:c r="F277" s="8"/>
      <x:c r="G277" s="8"/>
      <x:c r="H277" s="8"/>
      <x:c r="I277" s="10"/>
      <x:c r="J277" s="8"/>
      <x:c r="K277" s="8"/>
      <x:c r="L277" s="8"/>
      <x:c r="M277" s="10"/>
      <x:c r="N277" s="10"/>
      <x:c r="O277" s="9" t="str">
        <x:f>IF(C277="","",IF(AND(S277="Valid",J277="Closed",K277&lt;&gt;"",L277&lt;&gt;"",L277&lt;&gt;H277,ISNUMBER(M277),M277&gt;=N277,M277&lt;=Settings!$F$8),"Verified","Unverified"))</x:f>
      </x:c>
      <x:c r="P277" s="3" t="str">
        <x:f>IF(C277="","",IF(S277&lt;&gt;"Valid","Review",IF(O277="Verified","Closed",IF(J277="Closed","Closure pending",IF(OR(J277="Open",J277="In progress"),"Open","Review")))))</x:f>
      </x:c>
      <x:c r="Q277" s="9" t="str">
        <x:f>IF(C277="","",IF(AND(P277&lt;&gt;"Closed",ISNUMBER(I277),I277&lt;Settings!$F$8),"Overdue","Current"))</x:f>
      </x:c>
      <x:c r="R277" s="9" t="str">
        <x:f>IF(C277="","",IF(Q277="Overdue",Settings!$F$8-I277,0))</x:f>
      </x:c>
      <x:c r="S277" s="9" t="str">
        <x:f>IF(C277="","",IF(COUNTIF($C$9:$C$308,C277)&lt;&gt;1,"Duplicate ID",IF(COUNTIF(Borrowers!$C$9:$C$108,D277)&lt;&gt;1,"Borrower key",IF(OR(NOT(OR(E277="E&amp;S",E277="Taxonomy",E277="Climate",E277="Data")),NOT(OR(F277="Critical",F277="High",F277="Moderate",F277="Low")),NOT(OR(J277="Open",J277="In progress",J277="Closed")),G277="",H277="",NOT(ISNUMBER(I277)),NOT(ISNUMBER(N277)),I277&lt;N277,N277&gt;Settings!$F$8),"Incomplete","Valid"))))</x:f>
      </x:c>
      <x:c r="T277" s="9" t="str">
        <x:f>IF(C277="","",IFERROR(INDEX('Borrowers'!$D$9:$D$108,MATCH(D277,'Borrowers'!$C$9:$C$108,0)),""))</x:f>
      </x:c>
      <x:c r="U277" s="3" t="str">
        <x:f>IF(C277="","","S01 ESRMS I.4–9; bank decision policy")</x:f>
      </x:c>
    </x:row>
    <x:row r="278" ht="42" customHeight="1">
      <x:c r="A278" s="1"/>
      <x:c r="B278" s="1"/>
      <x:c r="C278" s="8"/>
      <x:c r="D278" s="8"/>
      <x:c r="E278" s="8"/>
      <x:c r="F278" s="8"/>
      <x:c r="G278" s="8"/>
      <x:c r="H278" s="8"/>
      <x:c r="I278" s="10"/>
      <x:c r="J278" s="8"/>
      <x:c r="K278" s="8"/>
      <x:c r="L278" s="8"/>
      <x:c r="M278" s="10"/>
      <x:c r="N278" s="10"/>
      <x:c r="O278" s="9" t="str">
        <x:f>IF(C278="","",IF(AND(S278="Valid",J278="Closed",K278&lt;&gt;"",L278&lt;&gt;"",L278&lt;&gt;H278,ISNUMBER(M278),M278&gt;=N278,M278&lt;=Settings!$F$8),"Verified","Unverified"))</x:f>
      </x:c>
      <x:c r="P278" s="3" t="str">
        <x:f>IF(C278="","",IF(S278&lt;&gt;"Valid","Review",IF(O278="Verified","Closed",IF(J278="Closed","Closure pending",IF(OR(J278="Open",J278="In progress"),"Open","Review")))))</x:f>
      </x:c>
      <x:c r="Q278" s="9" t="str">
        <x:f>IF(C278="","",IF(AND(P278&lt;&gt;"Closed",ISNUMBER(I278),I278&lt;Settings!$F$8),"Overdue","Current"))</x:f>
      </x:c>
      <x:c r="R278" s="9" t="str">
        <x:f>IF(C278="","",IF(Q278="Overdue",Settings!$F$8-I278,0))</x:f>
      </x:c>
      <x:c r="S278" s="9" t="str">
        <x:f>IF(C278="","",IF(COUNTIF($C$9:$C$308,C278)&lt;&gt;1,"Duplicate ID",IF(COUNTIF(Borrowers!$C$9:$C$108,D278)&lt;&gt;1,"Borrower key",IF(OR(NOT(OR(E278="E&amp;S",E278="Taxonomy",E278="Climate",E278="Data")),NOT(OR(F278="Critical",F278="High",F278="Moderate",F278="Low")),NOT(OR(J278="Open",J278="In progress",J278="Closed")),G278="",H278="",NOT(ISNUMBER(I278)),NOT(ISNUMBER(N278)),I278&lt;N278,N278&gt;Settings!$F$8),"Incomplete","Valid"))))</x:f>
      </x:c>
      <x:c r="T278" s="9" t="str">
        <x:f>IF(C278="","",IFERROR(INDEX('Borrowers'!$D$9:$D$108,MATCH(D278,'Borrowers'!$C$9:$C$108,0)),""))</x:f>
      </x:c>
      <x:c r="U278" s="3" t="str">
        <x:f>IF(C278="","","S01 ESRMS I.4–9; bank decision policy")</x:f>
      </x:c>
    </x:row>
    <x:row r="279" ht="42" customHeight="1">
      <x:c r="A279" s="1"/>
      <x:c r="B279" s="1"/>
      <x:c r="C279" s="8"/>
      <x:c r="D279" s="8"/>
      <x:c r="E279" s="8"/>
      <x:c r="F279" s="8"/>
      <x:c r="G279" s="8"/>
      <x:c r="H279" s="8"/>
      <x:c r="I279" s="10"/>
      <x:c r="J279" s="8"/>
      <x:c r="K279" s="8"/>
      <x:c r="L279" s="8"/>
      <x:c r="M279" s="10"/>
      <x:c r="N279" s="10"/>
      <x:c r="O279" s="9" t="str">
        <x:f>IF(C279="","",IF(AND(S279="Valid",J279="Closed",K279&lt;&gt;"",L279&lt;&gt;"",L279&lt;&gt;H279,ISNUMBER(M279),M279&gt;=N279,M279&lt;=Settings!$F$8),"Verified","Unverified"))</x:f>
      </x:c>
      <x:c r="P279" s="3" t="str">
        <x:f>IF(C279="","",IF(S279&lt;&gt;"Valid","Review",IF(O279="Verified","Closed",IF(J279="Closed","Closure pending",IF(OR(J279="Open",J279="In progress"),"Open","Review")))))</x:f>
      </x:c>
      <x:c r="Q279" s="9" t="str">
        <x:f>IF(C279="","",IF(AND(P279&lt;&gt;"Closed",ISNUMBER(I279),I279&lt;Settings!$F$8),"Overdue","Current"))</x:f>
      </x:c>
      <x:c r="R279" s="9" t="str">
        <x:f>IF(C279="","",IF(Q279="Overdue",Settings!$F$8-I279,0))</x:f>
      </x:c>
      <x:c r="S279" s="9" t="str">
        <x:f>IF(C279="","",IF(COUNTIF($C$9:$C$308,C279)&lt;&gt;1,"Duplicate ID",IF(COUNTIF(Borrowers!$C$9:$C$108,D279)&lt;&gt;1,"Borrower key",IF(OR(NOT(OR(E279="E&amp;S",E279="Taxonomy",E279="Climate",E279="Data")),NOT(OR(F279="Critical",F279="High",F279="Moderate",F279="Low")),NOT(OR(J279="Open",J279="In progress",J279="Closed")),G279="",H279="",NOT(ISNUMBER(I279)),NOT(ISNUMBER(N279)),I279&lt;N279,N279&gt;Settings!$F$8),"Incomplete","Valid"))))</x:f>
      </x:c>
      <x:c r="T279" s="9" t="str">
        <x:f>IF(C279="","",IFERROR(INDEX('Borrowers'!$D$9:$D$108,MATCH(D279,'Borrowers'!$C$9:$C$108,0)),""))</x:f>
      </x:c>
      <x:c r="U279" s="3" t="str">
        <x:f>IF(C279="","","S01 ESRMS I.4–9; bank decision policy")</x:f>
      </x:c>
    </x:row>
    <x:row r="280" ht="42" customHeight="1">
      <x:c r="A280" s="1"/>
      <x:c r="B280" s="1"/>
      <x:c r="C280" s="8"/>
      <x:c r="D280" s="8"/>
      <x:c r="E280" s="8"/>
      <x:c r="F280" s="8"/>
      <x:c r="G280" s="8"/>
      <x:c r="H280" s="8"/>
      <x:c r="I280" s="10"/>
      <x:c r="J280" s="8"/>
      <x:c r="K280" s="8"/>
      <x:c r="L280" s="8"/>
      <x:c r="M280" s="10"/>
      <x:c r="N280" s="10"/>
      <x:c r="O280" s="9" t="str">
        <x:f>IF(C280="","",IF(AND(S280="Valid",J280="Closed",K280&lt;&gt;"",L280&lt;&gt;"",L280&lt;&gt;H280,ISNUMBER(M280),M280&gt;=N280,M280&lt;=Settings!$F$8),"Verified","Unverified"))</x:f>
      </x:c>
      <x:c r="P280" s="3" t="str">
        <x:f>IF(C280="","",IF(S280&lt;&gt;"Valid","Review",IF(O280="Verified","Closed",IF(J280="Closed","Closure pending",IF(OR(J280="Open",J280="In progress"),"Open","Review")))))</x:f>
      </x:c>
      <x:c r="Q280" s="9" t="str">
        <x:f>IF(C280="","",IF(AND(P280&lt;&gt;"Closed",ISNUMBER(I280),I280&lt;Settings!$F$8),"Overdue","Current"))</x:f>
      </x:c>
      <x:c r="R280" s="9" t="str">
        <x:f>IF(C280="","",IF(Q280="Overdue",Settings!$F$8-I280,0))</x:f>
      </x:c>
      <x:c r="S280" s="9" t="str">
        <x:f>IF(C280="","",IF(COUNTIF($C$9:$C$308,C280)&lt;&gt;1,"Duplicate ID",IF(COUNTIF(Borrowers!$C$9:$C$108,D280)&lt;&gt;1,"Borrower key",IF(OR(NOT(OR(E280="E&amp;S",E280="Taxonomy",E280="Climate",E280="Data")),NOT(OR(F280="Critical",F280="High",F280="Moderate",F280="Low")),NOT(OR(J280="Open",J280="In progress",J280="Closed")),G280="",H280="",NOT(ISNUMBER(I280)),NOT(ISNUMBER(N280)),I280&lt;N280,N280&gt;Settings!$F$8),"Incomplete","Valid"))))</x:f>
      </x:c>
      <x:c r="T280" s="9" t="str">
        <x:f>IF(C280="","",IFERROR(INDEX('Borrowers'!$D$9:$D$108,MATCH(D280,'Borrowers'!$C$9:$C$108,0)),""))</x:f>
      </x:c>
      <x:c r="U280" s="3" t="str">
        <x:f>IF(C280="","","S01 ESRMS I.4–9; bank decision policy")</x:f>
      </x:c>
    </x:row>
    <x:row r="281" ht="42" customHeight="1">
      <x:c r="A281" s="1"/>
      <x:c r="B281" s="1"/>
      <x:c r="C281" s="8"/>
      <x:c r="D281" s="8"/>
      <x:c r="E281" s="8"/>
      <x:c r="F281" s="8"/>
      <x:c r="G281" s="8"/>
      <x:c r="H281" s="8"/>
      <x:c r="I281" s="10"/>
      <x:c r="J281" s="8"/>
      <x:c r="K281" s="8"/>
      <x:c r="L281" s="8"/>
      <x:c r="M281" s="10"/>
      <x:c r="N281" s="10"/>
      <x:c r="O281" s="9" t="str">
        <x:f>IF(C281="","",IF(AND(S281="Valid",J281="Closed",K281&lt;&gt;"",L281&lt;&gt;"",L281&lt;&gt;H281,ISNUMBER(M281),M281&gt;=N281,M281&lt;=Settings!$F$8),"Verified","Unverified"))</x:f>
      </x:c>
      <x:c r="P281" s="3" t="str">
        <x:f>IF(C281="","",IF(S281&lt;&gt;"Valid","Review",IF(O281="Verified","Closed",IF(J281="Closed","Closure pending",IF(OR(J281="Open",J281="In progress"),"Open","Review")))))</x:f>
      </x:c>
      <x:c r="Q281" s="9" t="str">
        <x:f>IF(C281="","",IF(AND(P281&lt;&gt;"Closed",ISNUMBER(I281),I281&lt;Settings!$F$8),"Overdue","Current"))</x:f>
      </x:c>
      <x:c r="R281" s="9" t="str">
        <x:f>IF(C281="","",IF(Q281="Overdue",Settings!$F$8-I281,0))</x:f>
      </x:c>
      <x:c r="S281" s="9" t="str">
        <x:f>IF(C281="","",IF(COUNTIF($C$9:$C$308,C281)&lt;&gt;1,"Duplicate ID",IF(COUNTIF(Borrowers!$C$9:$C$108,D281)&lt;&gt;1,"Borrower key",IF(OR(NOT(OR(E281="E&amp;S",E281="Taxonomy",E281="Climate",E281="Data")),NOT(OR(F281="Critical",F281="High",F281="Moderate",F281="Low")),NOT(OR(J281="Open",J281="In progress",J281="Closed")),G281="",H281="",NOT(ISNUMBER(I281)),NOT(ISNUMBER(N281)),I281&lt;N281,N281&gt;Settings!$F$8),"Incomplete","Valid"))))</x:f>
      </x:c>
      <x:c r="T281" s="9" t="str">
        <x:f>IF(C281="","",IFERROR(INDEX('Borrowers'!$D$9:$D$108,MATCH(D281,'Borrowers'!$C$9:$C$108,0)),""))</x:f>
      </x:c>
      <x:c r="U281" s="3" t="str">
        <x:f>IF(C281="","","S01 ESRMS I.4–9; bank decision policy")</x:f>
      </x:c>
    </x:row>
    <x:row r="282" ht="42" customHeight="1">
      <x:c r="A282" s="1"/>
      <x:c r="B282" s="1"/>
      <x:c r="C282" s="8"/>
      <x:c r="D282" s="8"/>
      <x:c r="E282" s="8"/>
      <x:c r="F282" s="8"/>
      <x:c r="G282" s="8"/>
      <x:c r="H282" s="8"/>
      <x:c r="I282" s="10"/>
      <x:c r="J282" s="8"/>
      <x:c r="K282" s="8"/>
      <x:c r="L282" s="8"/>
      <x:c r="M282" s="10"/>
      <x:c r="N282" s="10"/>
      <x:c r="O282" s="9" t="str">
        <x:f>IF(C282="","",IF(AND(S282="Valid",J282="Closed",K282&lt;&gt;"",L282&lt;&gt;"",L282&lt;&gt;H282,ISNUMBER(M282),M282&gt;=N282,M282&lt;=Settings!$F$8),"Verified","Unverified"))</x:f>
      </x:c>
      <x:c r="P282" s="3" t="str">
        <x:f>IF(C282="","",IF(S282&lt;&gt;"Valid","Review",IF(O282="Verified","Closed",IF(J282="Closed","Closure pending",IF(OR(J282="Open",J282="In progress"),"Open","Review")))))</x:f>
      </x:c>
      <x:c r="Q282" s="9" t="str">
        <x:f>IF(C282="","",IF(AND(P282&lt;&gt;"Closed",ISNUMBER(I282),I282&lt;Settings!$F$8),"Overdue","Current"))</x:f>
      </x:c>
      <x:c r="R282" s="9" t="str">
        <x:f>IF(C282="","",IF(Q282="Overdue",Settings!$F$8-I282,0))</x:f>
      </x:c>
      <x:c r="S282" s="9" t="str">
        <x:f>IF(C282="","",IF(COUNTIF($C$9:$C$308,C282)&lt;&gt;1,"Duplicate ID",IF(COUNTIF(Borrowers!$C$9:$C$108,D282)&lt;&gt;1,"Borrower key",IF(OR(NOT(OR(E282="E&amp;S",E282="Taxonomy",E282="Climate",E282="Data")),NOT(OR(F282="Critical",F282="High",F282="Moderate",F282="Low")),NOT(OR(J282="Open",J282="In progress",J282="Closed")),G282="",H282="",NOT(ISNUMBER(I282)),NOT(ISNUMBER(N282)),I282&lt;N282,N282&gt;Settings!$F$8),"Incomplete","Valid"))))</x:f>
      </x:c>
      <x:c r="T282" s="9" t="str">
        <x:f>IF(C282="","",IFERROR(INDEX('Borrowers'!$D$9:$D$108,MATCH(D282,'Borrowers'!$C$9:$C$108,0)),""))</x:f>
      </x:c>
      <x:c r="U282" s="3" t="str">
        <x:f>IF(C282="","","S01 ESRMS I.4–9; bank decision policy")</x:f>
      </x:c>
    </x:row>
    <x:row r="283" ht="42" customHeight="1">
      <x:c r="A283" s="1"/>
      <x:c r="B283" s="1"/>
      <x:c r="C283" s="8"/>
      <x:c r="D283" s="8"/>
      <x:c r="E283" s="8"/>
      <x:c r="F283" s="8"/>
      <x:c r="G283" s="8"/>
      <x:c r="H283" s="8"/>
      <x:c r="I283" s="10"/>
      <x:c r="J283" s="8"/>
      <x:c r="K283" s="8"/>
      <x:c r="L283" s="8"/>
      <x:c r="M283" s="10"/>
      <x:c r="N283" s="10"/>
      <x:c r="O283" s="9" t="str">
        <x:f>IF(C283="","",IF(AND(S283="Valid",J283="Closed",K283&lt;&gt;"",L283&lt;&gt;"",L283&lt;&gt;H283,ISNUMBER(M283),M283&gt;=N283,M283&lt;=Settings!$F$8),"Verified","Unverified"))</x:f>
      </x:c>
      <x:c r="P283" s="3" t="str">
        <x:f>IF(C283="","",IF(S283&lt;&gt;"Valid","Review",IF(O283="Verified","Closed",IF(J283="Closed","Closure pending",IF(OR(J283="Open",J283="In progress"),"Open","Review")))))</x:f>
      </x:c>
      <x:c r="Q283" s="9" t="str">
        <x:f>IF(C283="","",IF(AND(P283&lt;&gt;"Closed",ISNUMBER(I283),I283&lt;Settings!$F$8),"Overdue","Current"))</x:f>
      </x:c>
      <x:c r="R283" s="9" t="str">
        <x:f>IF(C283="","",IF(Q283="Overdue",Settings!$F$8-I283,0))</x:f>
      </x:c>
      <x:c r="S283" s="9" t="str">
        <x:f>IF(C283="","",IF(COUNTIF($C$9:$C$308,C283)&lt;&gt;1,"Duplicate ID",IF(COUNTIF(Borrowers!$C$9:$C$108,D283)&lt;&gt;1,"Borrower key",IF(OR(NOT(OR(E283="E&amp;S",E283="Taxonomy",E283="Climate",E283="Data")),NOT(OR(F283="Critical",F283="High",F283="Moderate",F283="Low")),NOT(OR(J283="Open",J283="In progress",J283="Closed")),G283="",H283="",NOT(ISNUMBER(I283)),NOT(ISNUMBER(N283)),I283&lt;N283,N283&gt;Settings!$F$8),"Incomplete","Valid"))))</x:f>
      </x:c>
      <x:c r="T283" s="9" t="str">
        <x:f>IF(C283="","",IFERROR(INDEX('Borrowers'!$D$9:$D$108,MATCH(D283,'Borrowers'!$C$9:$C$108,0)),""))</x:f>
      </x:c>
      <x:c r="U283" s="3" t="str">
        <x:f>IF(C283="","","S01 ESRMS I.4–9; bank decision policy")</x:f>
      </x:c>
    </x:row>
    <x:row r="284" ht="42" customHeight="1">
      <x:c r="A284" s="1"/>
      <x:c r="B284" s="1"/>
      <x:c r="C284" s="8"/>
      <x:c r="D284" s="8"/>
      <x:c r="E284" s="8"/>
      <x:c r="F284" s="8"/>
      <x:c r="G284" s="8"/>
      <x:c r="H284" s="8"/>
      <x:c r="I284" s="10"/>
      <x:c r="J284" s="8"/>
      <x:c r="K284" s="8"/>
      <x:c r="L284" s="8"/>
      <x:c r="M284" s="10"/>
      <x:c r="N284" s="10"/>
      <x:c r="O284" s="9" t="str">
        <x:f>IF(C284="","",IF(AND(S284="Valid",J284="Closed",K284&lt;&gt;"",L284&lt;&gt;"",L284&lt;&gt;H284,ISNUMBER(M284),M284&gt;=N284,M284&lt;=Settings!$F$8),"Verified","Unverified"))</x:f>
      </x:c>
      <x:c r="P284" s="3" t="str">
        <x:f>IF(C284="","",IF(S284&lt;&gt;"Valid","Review",IF(O284="Verified","Closed",IF(J284="Closed","Closure pending",IF(OR(J284="Open",J284="In progress"),"Open","Review")))))</x:f>
      </x:c>
      <x:c r="Q284" s="9" t="str">
        <x:f>IF(C284="","",IF(AND(P284&lt;&gt;"Closed",ISNUMBER(I284),I284&lt;Settings!$F$8),"Overdue","Current"))</x:f>
      </x:c>
      <x:c r="R284" s="9" t="str">
        <x:f>IF(C284="","",IF(Q284="Overdue",Settings!$F$8-I284,0))</x:f>
      </x:c>
      <x:c r="S284" s="9" t="str">
        <x:f>IF(C284="","",IF(COUNTIF($C$9:$C$308,C284)&lt;&gt;1,"Duplicate ID",IF(COUNTIF(Borrowers!$C$9:$C$108,D284)&lt;&gt;1,"Borrower key",IF(OR(NOT(OR(E284="E&amp;S",E284="Taxonomy",E284="Climate",E284="Data")),NOT(OR(F284="Critical",F284="High",F284="Moderate",F284="Low")),NOT(OR(J284="Open",J284="In progress",J284="Closed")),G284="",H284="",NOT(ISNUMBER(I284)),NOT(ISNUMBER(N284)),I284&lt;N284,N284&gt;Settings!$F$8),"Incomplete","Valid"))))</x:f>
      </x:c>
      <x:c r="T284" s="9" t="str">
        <x:f>IF(C284="","",IFERROR(INDEX('Borrowers'!$D$9:$D$108,MATCH(D284,'Borrowers'!$C$9:$C$108,0)),""))</x:f>
      </x:c>
      <x:c r="U284" s="3" t="str">
        <x:f>IF(C284="","","S01 ESRMS I.4–9; bank decision policy")</x:f>
      </x:c>
    </x:row>
    <x:row r="285" ht="42" customHeight="1">
      <x:c r="A285" s="1"/>
      <x:c r="B285" s="1"/>
      <x:c r="C285" s="8"/>
      <x:c r="D285" s="8"/>
      <x:c r="E285" s="8"/>
      <x:c r="F285" s="8"/>
      <x:c r="G285" s="8"/>
      <x:c r="H285" s="8"/>
      <x:c r="I285" s="10"/>
      <x:c r="J285" s="8"/>
      <x:c r="K285" s="8"/>
      <x:c r="L285" s="8"/>
      <x:c r="M285" s="10"/>
      <x:c r="N285" s="10"/>
      <x:c r="O285" s="9" t="str">
        <x:f>IF(C285="","",IF(AND(S285="Valid",J285="Closed",K285&lt;&gt;"",L285&lt;&gt;"",L285&lt;&gt;H285,ISNUMBER(M285),M285&gt;=N285,M285&lt;=Settings!$F$8),"Verified","Unverified"))</x:f>
      </x:c>
      <x:c r="P285" s="3" t="str">
        <x:f>IF(C285="","",IF(S285&lt;&gt;"Valid","Review",IF(O285="Verified","Closed",IF(J285="Closed","Closure pending",IF(OR(J285="Open",J285="In progress"),"Open","Review")))))</x:f>
      </x:c>
      <x:c r="Q285" s="9" t="str">
        <x:f>IF(C285="","",IF(AND(P285&lt;&gt;"Closed",ISNUMBER(I285),I285&lt;Settings!$F$8),"Overdue","Current"))</x:f>
      </x:c>
      <x:c r="R285" s="9" t="str">
        <x:f>IF(C285="","",IF(Q285="Overdue",Settings!$F$8-I285,0))</x:f>
      </x:c>
      <x:c r="S285" s="9" t="str">
        <x:f>IF(C285="","",IF(COUNTIF($C$9:$C$308,C285)&lt;&gt;1,"Duplicate ID",IF(COUNTIF(Borrowers!$C$9:$C$108,D285)&lt;&gt;1,"Borrower key",IF(OR(NOT(OR(E285="E&amp;S",E285="Taxonomy",E285="Climate",E285="Data")),NOT(OR(F285="Critical",F285="High",F285="Moderate",F285="Low")),NOT(OR(J285="Open",J285="In progress",J285="Closed")),G285="",H285="",NOT(ISNUMBER(I285)),NOT(ISNUMBER(N285)),I285&lt;N285,N285&gt;Settings!$F$8),"Incomplete","Valid"))))</x:f>
      </x:c>
      <x:c r="T285" s="9" t="str">
        <x:f>IF(C285="","",IFERROR(INDEX('Borrowers'!$D$9:$D$108,MATCH(D285,'Borrowers'!$C$9:$C$108,0)),""))</x:f>
      </x:c>
      <x:c r="U285" s="3" t="str">
        <x:f>IF(C285="","","S01 ESRMS I.4–9; bank decision policy")</x:f>
      </x:c>
    </x:row>
    <x:row r="286" ht="42" customHeight="1">
      <x:c r="A286" s="1"/>
      <x:c r="B286" s="1"/>
      <x:c r="C286" s="8"/>
      <x:c r="D286" s="8"/>
      <x:c r="E286" s="8"/>
      <x:c r="F286" s="8"/>
      <x:c r="G286" s="8"/>
      <x:c r="H286" s="8"/>
      <x:c r="I286" s="10"/>
      <x:c r="J286" s="8"/>
      <x:c r="K286" s="8"/>
      <x:c r="L286" s="8"/>
      <x:c r="M286" s="10"/>
      <x:c r="N286" s="10"/>
      <x:c r="O286" s="9" t="str">
        <x:f>IF(C286="","",IF(AND(S286="Valid",J286="Closed",K286&lt;&gt;"",L286&lt;&gt;"",L286&lt;&gt;H286,ISNUMBER(M286),M286&gt;=N286,M286&lt;=Settings!$F$8),"Verified","Unverified"))</x:f>
      </x:c>
      <x:c r="P286" s="3" t="str">
        <x:f>IF(C286="","",IF(S286&lt;&gt;"Valid","Review",IF(O286="Verified","Closed",IF(J286="Closed","Closure pending",IF(OR(J286="Open",J286="In progress"),"Open","Review")))))</x:f>
      </x:c>
      <x:c r="Q286" s="9" t="str">
        <x:f>IF(C286="","",IF(AND(P286&lt;&gt;"Closed",ISNUMBER(I286),I286&lt;Settings!$F$8),"Overdue","Current"))</x:f>
      </x:c>
      <x:c r="R286" s="9" t="str">
        <x:f>IF(C286="","",IF(Q286="Overdue",Settings!$F$8-I286,0))</x:f>
      </x:c>
      <x:c r="S286" s="9" t="str">
        <x:f>IF(C286="","",IF(COUNTIF($C$9:$C$308,C286)&lt;&gt;1,"Duplicate ID",IF(COUNTIF(Borrowers!$C$9:$C$108,D286)&lt;&gt;1,"Borrower key",IF(OR(NOT(OR(E286="E&amp;S",E286="Taxonomy",E286="Climate",E286="Data")),NOT(OR(F286="Critical",F286="High",F286="Moderate",F286="Low")),NOT(OR(J286="Open",J286="In progress",J286="Closed")),G286="",H286="",NOT(ISNUMBER(I286)),NOT(ISNUMBER(N286)),I286&lt;N286,N286&gt;Settings!$F$8),"Incomplete","Valid"))))</x:f>
      </x:c>
      <x:c r="T286" s="9" t="str">
        <x:f>IF(C286="","",IFERROR(INDEX('Borrowers'!$D$9:$D$108,MATCH(D286,'Borrowers'!$C$9:$C$108,0)),""))</x:f>
      </x:c>
      <x:c r="U286" s="3" t="str">
        <x:f>IF(C286="","","S01 ESRMS I.4–9; bank decision policy")</x:f>
      </x:c>
    </x:row>
    <x:row r="287" ht="42" customHeight="1">
      <x:c r="A287" s="1"/>
      <x:c r="B287" s="1"/>
      <x:c r="C287" s="8"/>
      <x:c r="D287" s="8"/>
      <x:c r="E287" s="8"/>
      <x:c r="F287" s="8"/>
      <x:c r="G287" s="8"/>
      <x:c r="H287" s="8"/>
      <x:c r="I287" s="10"/>
      <x:c r="J287" s="8"/>
      <x:c r="K287" s="8"/>
      <x:c r="L287" s="8"/>
      <x:c r="M287" s="10"/>
      <x:c r="N287" s="10"/>
      <x:c r="O287" s="9" t="str">
        <x:f>IF(C287="","",IF(AND(S287="Valid",J287="Closed",K287&lt;&gt;"",L287&lt;&gt;"",L287&lt;&gt;H287,ISNUMBER(M287),M287&gt;=N287,M287&lt;=Settings!$F$8),"Verified","Unverified"))</x:f>
      </x:c>
      <x:c r="P287" s="3" t="str">
        <x:f>IF(C287="","",IF(S287&lt;&gt;"Valid","Review",IF(O287="Verified","Closed",IF(J287="Closed","Closure pending",IF(OR(J287="Open",J287="In progress"),"Open","Review")))))</x:f>
      </x:c>
      <x:c r="Q287" s="9" t="str">
        <x:f>IF(C287="","",IF(AND(P287&lt;&gt;"Closed",ISNUMBER(I287),I287&lt;Settings!$F$8),"Overdue","Current"))</x:f>
      </x:c>
      <x:c r="R287" s="9" t="str">
        <x:f>IF(C287="","",IF(Q287="Overdue",Settings!$F$8-I287,0))</x:f>
      </x:c>
      <x:c r="S287" s="9" t="str">
        <x:f>IF(C287="","",IF(COUNTIF($C$9:$C$308,C287)&lt;&gt;1,"Duplicate ID",IF(COUNTIF(Borrowers!$C$9:$C$108,D287)&lt;&gt;1,"Borrower key",IF(OR(NOT(OR(E287="E&amp;S",E287="Taxonomy",E287="Climate",E287="Data")),NOT(OR(F287="Critical",F287="High",F287="Moderate",F287="Low")),NOT(OR(J287="Open",J287="In progress",J287="Closed")),G287="",H287="",NOT(ISNUMBER(I287)),NOT(ISNUMBER(N287)),I287&lt;N287,N287&gt;Settings!$F$8),"Incomplete","Valid"))))</x:f>
      </x:c>
      <x:c r="T287" s="9" t="str">
        <x:f>IF(C287="","",IFERROR(INDEX('Borrowers'!$D$9:$D$108,MATCH(D287,'Borrowers'!$C$9:$C$108,0)),""))</x:f>
      </x:c>
      <x:c r="U287" s="3" t="str">
        <x:f>IF(C287="","","S01 ESRMS I.4–9; bank decision policy")</x:f>
      </x:c>
    </x:row>
    <x:row r="288" ht="42" customHeight="1">
      <x:c r="A288" s="1"/>
      <x:c r="B288" s="1"/>
      <x:c r="C288" s="8"/>
      <x:c r="D288" s="8"/>
      <x:c r="E288" s="8"/>
      <x:c r="F288" s="8"/>
      <x:c r="G288" s="8"/>
      <x:c r="H288" s="8"/>
      <x:c r="I288" s="10"/>
      <x:c r="J288" s="8"/>
      <x:c r="K288" s="8"/>
      <x:c r="L288" s="8"/>
      <x:c r="M288" s="10"/>
      <x:c r="N288" s="10"/>
      <x:c r="O288" s="9" t="str">
        <x:f>IF(C288="","",IF(AND(S288="Valid",J288="Closed",K288&lt;&gt;"",L288&lt;&gt;"",L288&lt;&gt;H288,ISNUMBER(M288),M288&gt;=N288,M288&lt;=Settings!$F$8),"Verified","Unverified"))</x:f>
      </x:c>
      <x:c r="P288" s="3" t="str">
        <x:f>IF(C288="","",IF(S288&lt;&gt;"Valid","Review",IF(O288="Verified","Closed",IF(J288="Closed","Closure pending",IF(OR(J288="Open",J288="In progress"),"Open","Review")))))</x:f>
      </x:c>
      <x:c r="Q288" s="9" t="str">
        <x:f>IF(C288="","",IF(AND(P288&lt;&gt;"Closed",ISNUMBER(I288),I288&lt;Settings!$F$8),"Overdue","Current"))</x:f>
      </x:c>
      <x:c r="R288" s="9" t="str">
        <x:f>IF(C288="","",IF(Q288="Overdue",Settings!$F$8-I288,0))</x:f>
      </x:c>
      <x:c r="S288" s="9" t="str">
        <x:f>IF(C288="","",IF(COUNTIF($C$9:$C$308,C288)&lt;&gt;1,"Duplicate ID",IF(COUNTIF(Borrowers!$C$9:$C$108,D288)&lt;&gt;1,"Borrower key",IF(OR(NOT(OR(E288="E&amp;S",E288="Taxonomy",E288="Climate",E288="Data")),NOT(OR(F288="Critical",F288="High",F288="Moderate",F288="Low")),NOT(OR(J288="Open",J288="In progress",J288="Closed")),G288="",H288="",NOT(ISNUMBER(I288)),NOT(ISNUMBER(N288)),I288&lt;N288,N288&gt;Settings!$F$8),"Incomplete","Valid"))))</x:f>
      </x:c>
      <x:c r="T288" s="9" t="str">
        <x:f>IF(C288="","",IFERROR(INDEX('Borrowers'!$D$9:$D$108,MATCH(D288,'Borrowers'!$C$9:$C$108,0)),""))</x:f>
      </x:c>
      <x:c r="U288" s="3" t="str">
        <x:f>IF(C288="","","S01 ESRMS I.4–9; bank decision policy")</x:f>
      </x:c>
    </x:row>
    <x:row r="289" ht="42" customHeight="1">
      <x:c r="A289" s="1"/>
      <x:c r="B289" s="1"/>
      <x:c r="C289" s="8"/>
      <x:c r="D289" s="8"/>
      <x:c r="E289" s="8"/>
      <x:c r="F289" s="8"/>
      <x:c r="G289" s="8"/>
      <x:c r="H289" s="8"/>
      <x:c r="I289" s="10"/>
      <x:c r="J289" s="8"/>
      <x:c r="K289" s="8"/>
      <x:c r="L289" s="8"/>
      <x:c r="M289" s="10"/>
      <x:c r="N289" s="10"/>
      <x:c r="O289" s="9" t="str">
        <x:f>IF(C289="","",IF(AND(S289="Valid",J289="Closed",K289&lt;&gt;"",L289&lt;&gt;"",L289&lt;&gt;H289,ISNUMBER(M289),M289&gt;=N289,M289&lt;=Settings!$F$8),"Verified","Unverified"))</x:f>
      </x:c>
      <x:c r="P289" s="3" t="str">
        <x:f>IF(C289="","",IF(S289&lt;&gt;"Valid","Review",IF(O289="Verified","Closed",IF(J289="Closed","Closure pending",IF(OR(J289="Open",J289="In progress"),"Open","Review")))))</x:f>
      </x:c>
      <x:c r="Q289" s="9" t="str">
        <x:f>IF(C289="","",IF(AND(P289&lt;&gt;"Closed",ISNUMBER(I289),I289&lt;Settings!$F$8),"Overdue","Current"))</x:f>
      </x:c>
      <x:c r="R289" s="9" t="str">
        <x:f>IF(C289="","",IF(Q289="Overdue",Settings!$F$8-I289,0))</x:f>
      </x:c>
      <x:c r="S289" s="9" t="str">
        <x:f>IF(C289="","",IF(COUNTIF($C$9:$C$308,C289)&lt;&gt;1,"Duplicate ID",IF(COUNTIF(Borrowers!$C$9:$C$108,D289)&lt;&gt;1,"Borrower key",IF(OR(NOT(OR(E289="E&amp;S",E289="Taxonomy",E289="Climate",E289="Data")),NOT(OR(F289="Critical",F289="High",F289="Moderate",F289="Low")),NOT(OR(J289="Open",J289="In progress",J289="Closed")),G289="",H289="",NOT(ISNUMBER(I289)),NOT(ISNUMBER(N289)),I289&lt;N289,N289&gt;Settings!$F$8),"Incomplete","Valid"))))</x:f>
      </x:c>
      <x:c r="T289" s="9" t="str">
        <x:f>IF(C289="","",IFERROR(INDEX('Borrowers'!$D$9:$D$108,MATCH(D289,'Borrowers'!$C$9:$C$108,0)),""))</x:f>
      </x:c>
      <x:c r="U289" s="3" t="str">
        <x:f>IF(C289="","","S01 ESRMS I.4–9; bank decision policy")</x:f>
      </x:c>
    </x:row>
    <x:row r="290" ht="42" customHeight="1">
      <x:c r="A290" s="1"/>
      <x:c r="B290" s="1"/>
      <x:c r="C290" s="8"/>
      <x:c r="D290" s="8"/>
      <x:c r="E290" s="8"/>
      <x:c r="F290" s="8"/>
      <x:c r="G290" s="8"/>
      <x:c r="H290" s="8"/>
      <x:c r="I290" s="10"/>
      <x:c r="J290" s="8"/>
      <x:c r="K290" s="8"/>
      <x:c r="L290" s="8"/>
      <x:c r="M290" s="10"/>
      <x:c r="N290" s="10"/>
      <x:c r="O290" s="9" t="str">
        <x:f>IF(C290="","",IF(AND(S290="Valid",J290="Closed",K290&lt;&gt;"",L290&lt;&gt;"",L290&lt;&gt;H290,ISNUMBER(M290),M290&gt;=N290,M290&lt;=Settings!$F$8),"Verified","Unverified"))</x:f>
      </x:c>
      <x:c r="P290" s="3" t="str">
        <x:f>IF(C290="","",IF(S290&lt;&gt;"Valid","Review",IF(O290="Verified","Closed",IF(J290="Closed","Closure pending",IF(OR(J290="Open",J290="In progress"),"Open","Review")))))</x:f>
      </x:c>
      <x:c r="Q290" s="9" t="str">
        <x:f>IF(C290="","",IF(AND(P290&lt;&gt;"Closed",ISNUMBER(I290),I290&lt;Settings!$F$8),"Overdue","Current"))</x:f>
      </x:c>
      <x:c r="R290" s="9" t="str">
        <x:f>IF(C290="","",IF(Q290="Overdue",Settings!$F$8-I290,0))</x:f>
      </x:c>
      <x:c r="S290" s="9" t="str">
        <x:f>IF(C290="","",IF(COUNTIF($C$9:$C$308,C290)&lt;&gt;1,"Duplicate ID",IF(COUNTIF(Borrowers!$C$9:$C$108,D290)&lt;&gt;1,"Borrower key",IF(OR(NOT(OR(E290="E&amp;S",E290="Taxonomy",E290="Climate",E290="Data")),NOT(OR(F290="Critical",F290="High",F290="Moderate",F290="Low")),NOT(OR(J290="Open",J290="In progress",J290="Closed")),G290="",H290="",NOT(ISNUMBER(I290)),NOT(ISNUMBER(N290)),I290&lt;N290,N290&gt;Settings!$F$8),"Incomplete","Valid"))))</x:f>
      </x:c>
      <x:c r="T290" s="9" t="str">
        <x:f>IF(C290="","",IFERROR(INDEX('Borrowers'!$D$9:$D$108,MATCH(D290,'Borrowers'!$C$9:$C$108,0)),""))</x:f>
      </x:c>
      <x:c r="U290" s="3" t="str">
        <x:f>IF(C290="","","S01 ESRMS I.4–9; bank decision policy")</x:f>
      </x:c>
    </x:row>
    <x:row r="291" ht="42" customHeight="1">
      <x:c r="A291" s="1"/>
      <x:c r="B291" s="1"/>
      <x:c r="C291" s="8"/>
      <x:c r="D291" s="8"/>
      <x:c r="E291" s="8"/>
      <x:c r="F291" s="8"/>
      <x:c r="G291" s="8"/>
      <x:c r="H291" s="8"/>
      <x:c r="I291" s="10"/>
      <x:c r="J291" s="8"/>
      <x:c r="K291" s="8"/>
      <x:c r="L291" s="8"/>
      <x:c r="M291" s="10"/>
      <x:c r="N291" s="10"/>
      <x:c r="O291" s="9" t="str">
        <x:f>IF(C291="","",IF(AND(S291="Valid",J291="Closed",K291&lt;&gt;"",L291&lt;&gt;"",L291&lt;&gt;H291,ISNUMBER(M291),M291&gt;=N291,M291&lt;=Settings!$F$8),"Verified","Unverified"))</x:f>
      </x:c>
      <x:c r="P291" s="3" t="str">
        <x:f>IF(C291="","",IF(S291&lt;&gt;"Valid","Review",IF(O291="Verified","Closed",IF(J291="Closed","Closure pending",IF(OR(J291="Open",J291="In progress"),"Open","Review")))))</x:f>
      </x:c>
      <x:c r="Q291" s="9" t="str">
        <x:f>IF(C291="","",IF(AND(P291&lt;&gt;"Closed",ISNUMBER(I291),I291&lt;Settings!$F$8),"Overdue","Current"))</x:f>
      </x:c>
      <x:c r="R291" s="9" t="str">
        <x:f>IF(C291="","",IF(Q291="Overdue",Settings!$F$8-I291,0))</x:f>
      </x:c>
      <x:c r="S291" s="9" t="str">
        <x:f>IF(C291="","",IF(COUNTIF($C$9:$C$308,C291)&lt;&gt;1,"Duplicate ID",IF(COUNTIF(Borrowers!$C$9:$C$108,D291)&lt;&gt;1,"Borrower key",IF(OR(NOT(OR(E291="E&amp;S",E291="Taxonomy",E291="Climate",E291="Data")),NOT(OR(F291="Critical",F291="High",F291="Moderate",F291="Low")),NOT(OR(J291="Open",J291="In progress",J291="Closed")),G291="",H291="",NOT(ISNUMBER(I291)),NOT(ISNUMBER(N291)),I291&lt;N291,N291&gt;Settings!$F$8),"Incomplete","Valid"))))</x:f>
      </x:c>
      <x:c r="T291" s="9" t="str">
        <x:f>IF(C291="","",IFERROR(INDEX('Borrowers'!$D$9:$D$108,MATCH(D291,'Borrowers'!$C$9:$C$108,0)),""))</x:f>
      </x:c>
      <x:c r="U291" s="3" t="str">
        <x:f>IF(C291="","","S01 ESRMS I.4–9; bank decision policy")</x:f>
      </x:c>
    </x:row>
    <x:row r="292" ht="42" customHeight="1">
      <x:c r="A292" s="1"/>
      <x:c r="B292" s="1"/>
      <x:c r="C292" s="8"/>
      <x:c r="D292" s="8"/>
      <x:c r="E292" s="8"/>
      <x:c r="F292" s="8"/>
      <x:c r="G292" s="8"/>
      <x:c r="H292" s="8"/>
      <x:c r="I292" s="10"/>
      <x:c r="J292" s="8"/>
      <x:c r="K292" s="8"/>
      <x:c r="L292" s="8"/>
      <x:c r="M292" s="10"/>
      <x:c r="N292" s="10"/>
      <x:c r="O292" s="9" t="str">
        <x:f>IF(C292="","",IF(AND(S292="Valid",J292="Closed",K292&lt;&gt;"",L292&lt;&gt;"",L292&lt;&gt;H292,ISNUMBER(M292),M292&gt;=N292,M292&lt;=Settings!$F$8),"Verified","Unverified"))</x:f>
      </x:c>
      <x:c r="P292" s="3" t="str">
        <x:f>IF(C292="","",IF(S292&lt;&gt;"Valid","Review",IF(O292="Verified","Closed",IF(J292="Closed","Closure pending",IF(OR(J292="Open",J292="In progress"),"Open","Review")))))</x:f>
      </x:c>
      <x:c r="Q292" s="9" t="str">
        <x:f>IF(C292="","",IF(AND(P292&lt;&gt;"Closed",ISNUMBER(I292),I292&lt;Settings!$F$8),"Overdue","Current"))</x:f>
      </x:c>
      <x:c r="R292" s="9" t="str">
        <x:f>IF(C292="","",IF(Q292="Overdue",Settings!$F$8-I292,0))</x:f>
      </x:c>
      <x:c r="S292" s="9" t="str">
        <x:f>IF(C292="","",IF(COUNTIF($C$9:$C$308,C292)&lt;&gt;1,"Duplicate ID",IF(COUNTIF(Borrowers!$C$9:$C$108,D292)&lt;&gt;1,"Borrower key",IF(OR(NOT(OR(E292="E&amp;S",E292="Taxonomy",E292="Climate",E292="Data")),NOT(OR(F292="Critical",F292="High",F292="Moderate",F292="Low")),NOT(OR(J292="Open",J292="In progress",J292="Closed")),G292="",H292="",NOT(ISNUMBER(I292)),NOT(ISNUMBER(N292)),I292&lt;N292,N292&gt;Settings!$F$8),"Incomplete","Valid"))))</x:f>
      </x:c>
      <x:c r="T292" s="9" t="str">
        <x:f>IF(C292="","",IFERROR(INDEX('Borrowers'!$D$9:$D$108,MATCH(D292,'Borrowers'!$C$9:$C$108,0)),""))</x:f>
      </x:c>
      <x:c r="U292" s="3" t="str">
        <x:f>IF(C292="","","S01 ESRMS I.4–9; bank decision policy")</x:f>
      </x:c>
    </x:row>
    <x:row r="293" ht="42" customHeight="1">
      <x:c r="A293" s="1"/>
      <x:c r="B293" s="1"/>
      <x:c r="C293" s="8"/>
      <x:c r="D293" s="8"/>
      <x:c r="E293" s="8"/>
      <x:c r="F293" s="8"/>
      <x:c r="G293" s="8"/>
      <x:c r="H293" s="8"/>
      <x:c r="I293" s="10"/>
      <x:c r="J293" s="8"/>
      <x:c r="K293" s="8"/>
      <x:c r="L293" s="8"/>
      <x:c r="M293" s="10"/>
      <x:c r="N293" s="10"/>
      <x:c r="O293" s="9" t="str">
        <x:f>IF(C293="","",IF(AND(S293="Valid",J293="Closed",K293&lt;&gt;"",L293&lt;&gt;"",L293&lt;&gt;H293,ISNUMBER(M293),M293&gt;=N293,M293&lt;=Settings!$F$8),"Verified","Unverified"))</x:f>
      </x:c>
      <x:c r="P293" s="3" t="str">
        <x:f>IF(C293="","",IF(S293&lt;&gt;"Valid","Review",IF(O293="Verified","Closed",IF(J293="Closed","Closure pending",IF(OR(J293="Open",J293="In progress"),"Open","Review")))))</x:f>
      </x:c>
      <x:c r="Q293" s="9" t="str">
        <x:f>IF(C293="","",IF(AND(P293&lt;&gt;"Closed",ISNUMBER(I293),I293&lt;Settings!$F$8),"Overdue","Current"))</x:f>
      </x:c>
      <x:c r="R293" s="9" t="str">
        <x:f>IF(C293="","",IF(Q293="Overdue",Settings!$F$8-I293,0))</x:f>
      </x:c>
      <x:c r="S293" s="9" t="str">
        <x:f>IF(C293="","",IF(COUNTIF($C$9:$C$308,C293)&lt;&gt;1,"Duplicate ID",IF(COUNTIF(Borrowers!$C$9:$C$108,D293)&lt;&gt;1,"Borrower key",IF(OR(NOT(OR(E293="E&amp;S",E293="Taxonomy",E293="Climate",E293="Data")),NOT(OR(F293="Critical",F293="High",F293="Moderate",F293="Low")),NOT(OR(J293="Open",J293="In progress",J293="Closed")),G293="",H293="",NOT(ISNUMBER(I293)),NOT(ISNUMBER(N293)),I293&lt;N293,N293&gt;Settings!$F$8),"Incomplete","Valid"))))</x:f>
      </x:c>
      <x:c r="T293" s="9" t="str">
        <x:f>IF(C293="","",IFERROR(INDEX('Borrowers'!$D$9:$D$108,MATCH(D293,'Borrowers'!$C$9:$C$108,0)),""))</x:f>
      </x:c>
      <x:c r="U293" s="3" t="str">
        <x:f>IF(C293="","","S01 ESRMS I.4–9; bank decision policy")</x:f>
      </x:c>
    </x:row>
    <x:row r="294" ht="42" customHeight="1">
      <x:c r="A294" s="1"/>
      <x:c r="B294" s="1"/>
      <x:c r="C294" s="8"/>
      <x:c r="D294" s="8"/>
      <x:c r="E294" s="8"/>
      <x:c r="F294" s="8"/>
      <x:c r="G294" s="8"/>
      <x:c r="H294" s="8"/>
      <x:c r="I294" s="10"/>
      <x:c r="J294" s="8"/>
      <x:c r="K294" s="8"/>
      <x:c r="L294" s="8"/>
      <x:c r="M294" s="10"/>
      <x:c r="N294" s="10"/>
      <x:c r="O294" s="9" t="str">
        <x:f>IF(C294="","",IF(AND(S294="Valid",J294="Closed",K294&lt;&gt;"",L294&lt;&gt;"",L294&lt;&gt;H294,ISNUMBER(M294),M294&gt;=N294,M294&lt;=Settings!$F$8),"Verified","Unverified"))</x:f>
      </x:c>
      <x:c r="P294" s="3" t="str">
        <x:f>IF(C294="","",IF(S294&lt;&gt;"Valid","Review",IF(O294="Verified","Closed",IF(J294="Closed","Closure pending",IF(OR(J294="Open",J294="In progress"),"Open","Review")))))</x:f>
      </x:c>
      <x:c r="Q294" s="9" t="str">
        <x:f>IF(C294="","",IF(AND(P294&lt;&gt;"Closed",ISNUMBER(I294),I294&lt;Settings!$F$8),"Overdue","Current"))</x:f>
      </x:c>
      <x:c r="R294" s="9" t="str">
        <x:f>IF(C294="","",IF(Q294="Overdue",Settings!$F$8-I294,0))</x:f>
      </x:c>
      <x:c r="S294" s="9" t="str">
        <x:f>IF(C294="","",IF(COUNTIF($C$9:$C$308,C294)&lt;&gt;1,"Duplicate ID",IF(COUNTIF(Borrowers!$C$9:$C$108,D294)&lt;&gt;1,"Borrower key",IF(OR(NOT(OR(E294="E&amp;S",E294="Taxonomy",E294="Climate",E294="Data")),NOT(OR(F294="Critical",F294="High",F294="Moderate",F294="Low")),NOT(OR(J294="Open",J294="In progress",J294="Closed")),G294="",H294="",NOT(ISNUMBER(I294)),NOT(ISNUMBER(N294)),I294&lt;N294,N294&gt;Settings!$F$8),"Incomplete","Valid"))))</x:f>
      </x:c>
      <x:c r="T294" s="9" t="str">
        <x:f>IF(C294="","",IFERROR(INDEX('Borrowers'!$D$9:$D$108,MATCH(D294,'Borrowers'!$C$9:$C$108,0)),""))</x:f>
      </x:c>
      <x:c r="U294" s="3" t="str">
        <x:f>IF(C294="","","S01 ESRMS I.4–9; bank decision policy")</x:f>
      </x:c>
    </x:row>
    <x:row r="295" ht="42" customHeight="1">
      <x:c r="A295" s="1"/>
      <x:c r="B295" s="1"/>
      <x:c r="C295" s="8"/>
      <x:c r="D295" s="8"/>
      <x:c r="E295" s="8"/>
      <x:c r="F295" s="8"/>
      <x:c r="G295" s="8"/>
      <x:c r="H295" s="8"/>
      <x:c r="I295" s="10"/>
      <x:c r="J295" s="8"/>
      <x:c r="K295" s="8"/>
      <x:c r="L295" s="8"/>
      <x:c r="M295" s="10"/>
      <x:c r="N295" s="10"/>
      <x:c r="O295" s="9" t="str">
        <x:f>IF(C295="","",IF(AND(S295="Valid",J295="Closed",K295&lt;&gt;"",L295&lt;&gt;"",L295&lt;&gt;H295,ISNUMBER(M295),M295&gt;=N295,M295&lt;=Settings!$F$8),"Verified","Unverified"))</x:f>
      </x:c>
      <x:c r="P295" s="3" t="str">
        <x:f>IF(C295="","",IF(S295&lt;&gt;"Valid","Review",IF(O295="Verified","Closed",IF(J295="Closed","Closure pending",IF(OR(J295="Open",J295="In progress"),"Open","Review")))))</x:f>
      </x:c>
      <x:c r="Q295" s="9" t="str">
        <x:f>IF(C295="","",IF(AND(P295&lt;&gt;"Closed",ISNUMBER(I295),I295&lt;Settings!$F$8),"Overdue","Current"))</x:f>
      </x:c>
      <x:c r="R295" s="9" t="str">
        <x:f>IF(C295="","",IF(Q295="Overdue",Settings!$F$8-I295,0))</x:f>
      </x:c>
      <x:c r="S295" s="9" t="str">
        <x:f>IF(C295="","",IF(COUNTIF($C$9:$C$308,C295)&lt;&gt;1,"Duplicate ID",IF(COUNTIF(Borrowers!$C$9:$C$108,D295)&lt;&gt;1,"Borrower key",IF(OR(NOT(OR(E295="E&amp;S",E295="Taxonomy",E295="Climate",E295="Data")),NOT(OR(F295="Critical",F295="High",F295="Moderate",F295="Low")),NOT(OR(J295="Open",J295="In progress",J295="Closed")),G295="",H295="",NOT(ISNUMBER(I295)),NOT(ISNUMBER(N295)),I295&lt;N295,N295&gt;Settings!$F$8),"Incomplete","Valid"))))</x:f>
      </x:c>
      <x:c r="T295" s="9" t="str">
        <x:f>IF(C295="","",IFERROR(INDEX('Borrowers'!$D$9:$D$108,MATCH(D295,'Borrowers'!$C$9:$C$108,0)),""))</x:f>
      </x:c>
      <x:c r="U295" s="3" t="str">
        <x:f>IF(C295="","","S01 ESRMS I.4–9; bank decision policy")</x:f>
      </x:c>
    </x:row>
    <x:row r="296" ht="42" customHeight="1">
      <x:c r="A296" s="1"/>
      <x:c r="B296" s="1"/>
      <x:c r="C296" s="8"/>
      <x:c r="D296" s="8"/>
      <x:c r="E296" s="8"/>
      <x:c r="F296" s="8"/>
      <x:c r="G296" s="8"/>
      <x:c r="H296" s="8"/>
      <x:c r="I296" s="10"/>
      <x:c r="J296" s="8"/>
      <x:c r="K296" s="8"/>
      <x:c r="L296" s="8"/>
      <x:c r="M296" s="10"/>
      <x:c r="N296" s="10"/>
      <x:c r="O296" s="9" t="str">
        <x:f>IF(C296="","",IF(AND(S296="Valid",J296="Closed",K296&lt;&gt;"",L296&lt;&gt;"",L296&lt;&gt;H296,ISNUMBER(M296),M296&gt;=N296,M296&lt;=Settings!$F$8),"Verified","Unverified"))</x:f>
      </x:c>
      <x:c r="P296" s="3" t="str">
        <x:f>IF(C296="","",IF(S296&lt;&gt;"Valid","Review",IF(O296="Verified","Closed",IF(J296="Closed","Closure pending",IF(OR(J296="Open",J296="In progress"),"Open","Review")))))</x:f>
      </x:c>
      <x:c r="Q296" s="9" t="str">
        <x:f>IF(C296="","",IF(AND(P296&lt;&gt;"Closed",ISNUMBER(I296),I296&lt;Settings!$F$8),"Overdue","Current"))</x:f>
      </x:c>
      <x:c r="R296" s="9" t="str">
        <x:f>IF(C296="","",IF(Q296="Overdue",Settings!$F$8-I296,0))</x:f>
      </x:c>
      <x:c r="S296" s="9" t="str">
        <x:f>IF(C296="","",IF(COUNTIF($C$9:$C$308,C296)&lt;&gt;1,"Duplicate ID",IF(COUNTIF(Borrowers!$C$9:$C$108,D296)&lt;&gt;1,"Borrower key",IF(OR(NOT(OR(E296="E&amp;S",E296="Taxonomy",E296="Climate",E296="Data")),NOT(OR(F296="Critical",F296="High",F296="Moderate",F296="Low")),NOT(OR(J296="Open",J296="In progress",J296="Closed")),G296="",H296="",NOT(ISNUMBER(I296)),NOT(ISNUMBER(N296)),I296&lt;N296,N296&gt;Settings!$F$8),"Incomplete","Valid"))))</x:f>
      </x:c>
      <x:c r="T296" s="9" t="str">
        <x:f>IF(C296="","",IFERROR(INDEX('Borrowers'!$D$9:$D$108,MATCH(D296,'Borrowers'!$C$9:$C$108,0)),""))</x:f>
      </x:c>
      <x:c r="U296" s="3" t="str">
        <x:f>IF(C296="","","S01 ESRMS I.4–9; bank decision policy")</x:f>
      </x:c>
    </x:row>
    <x:row r="297" ht="42" customHeight="1">
      <x:c r="A297" s="1"/>
      <x:c r="B297" s="1"/>
      <x:c r="C297" s="8"/>
      <x:c r="D297" s="8"/>
      <x:c r="E297" s="8"/>
      <x:c r="F297" s="8"/>
      <x:c r="G297" s="8"/>
      <x:c r="H297" s="8"/>
      <x:c r="I297" s="10"/>
      <x:c r="J297" s="8"/>
      <x:c r="K297" s="8"/>
      <x:c r="L297" s="8"/>
      <x:c r="M297" s="10"/>
      <x:c r="N297" s="10"/>
      <x:c r="O297" s="9" t="str">
        <x:f>IF(C297="","",IF(AND(S297="Valid",J297="Closed",K297&lt;&gt;"",L297&lt;&gt;"",L297&lt;&gt;H297,ISNUMBER(M297),M297&gt;=N297,M297&lt;=Settings!$F$8),"Verified","Unverified"))</x:f>
      </x:c>
      <x:c r="P297" s="3" t="str">
        <x:f>IF(C297="","",IF(S297&lt;&gt;"Valid","Review",IF(O297="Verified","Closed",IF(J297="Closed","Closure pending",IF(OR(J297="Open",J297="In progress"),"Open","Review")))))</x:f>
      </x:c>
      <x:c r="Q297" s="9" t="str">
        <x:f>IF(C297="","",IF(AND(P297&lt;&gt;"Closed",ISNUMBER(I297),I297&lt;Settings!$F$8),"Overdue","Current"))</x:f>
      </x:c>
      <x:c r="R297" s="9" t="str">
        <x:f>IF(C297="","",IF(Q297="Overdue",Settings!$F$8-I297,0))</x:f>
      </x:c>
      <x:c r="S297" s="9" t="str">
        <x:f>IF(C297="","",IF(COUNTIF($C$9:$C$308,C297)&lt;&gt;1,"Duplicate ID",IF(COUNTIF(Borrowers!$C$9:$C$108,D297)&lt;&gt;1,"Borrower key",IF(OR(NOT(OR(E297="E&amp;S",E297="Taxonomy",E297="Climate",E297="Data")),NOT(OR(F297="Critical",F297="High",F297="Moderate",F297="Low")),NOT(OR(J297="Open",J297="In progress",J297="Closed")),G297="",H297="",NOT(ISNUMBER(I297)),NOT(ISNUMBER(N297)),I297&lt;N297,N297&gt;Settings!$F$8),"Incomplete","Valid"))))</x:f>
      </x:c>
      <x:c r="T297" s="9" t="str">
        <x:f>IF(C297="","",IFERROR(INDEX('Borrowers'!$D$9:$D$108,MATCH(D297,'Borrowers'!$C$9:$C$108,0)),""))</x:f>
      </x:c>
      <x:c r="U297" s="3" t="str">
        <x:f>IF(C297="","","S01 ESRMS I.4–9; bank decision policy")</x:f>
      </x:c>
    </x:row>
    <x:row r="298" ht="42" customHeight="1">
      <x:c r="A298" s="1"/>
      <x:c r="B298" s="1"/>
      <x:c r="C298" s="8"/>
      <x:c r="D298" s="8"/>
      <x:c r="E298" s="8"/>
      <x:c r="F298" s="8"/>
      <x:c r="G298" s="8"/>
      <x:c r="H298" s="8"/>
      <x:c r="I298" s="10"/>
      <x:c r="J298" s="8"/>
      <x:c r="K298" s="8"/>
      <x:c r="L298" s="8"/>
      <x:c r="M298" s="10"/>
      <x:c r="N298" s="10"/>
      <x:c r="O298" s="9" t="str">
        <x:f>IF(C298="","",IF(AND(S298="Valid",J298="Closed",K298&lt;&gt;"",L298&lt;&gt;"",L298&lt;&gt;H298,ISNUMBER(M298),M298&gt;=N298,M298&lt;=Settings!$F$8),"Verified","Unverified"))</x:f>
      </x:c>
      <x:c r="P298" s="3" t="str">
        <x:f>IF(C298="","",IF(S298&lt;&gt;"Valid","Review",IF(O298="Verified","Closed",IF(J298="Closed","Closure pending",IF(OR(J298="Open",J298="In progress"),"Open","Review")))))</x:f>
      </x:c>
      <x:c r="Q298" s="9" t="str">
        <x:f>IF(C298="","",IF(AND(P298&lt;&gt;"Closed",ISNUMBER(I298),I298&lt;Settings!$F$8),"Overdue","Current"))</x:f>
      </x:c>
      <x:c r="R298" s="9" t="str">
        <x:f>IF(C298="","",IF(Q298="Overdue",Settings!$F$8-I298,0))</x:f>
      </x:c>
      <x:c r="S298" s="9" t="str">
        <x:f>IF(C298="","",IF(COUNTIF($C$9:$C$308,C298)&lt;&gt;1,"Duplicate ID",IF(COUNTIF(Borrowers!$C$9:$C$108,D298)&lt;&gt;1,"Borrower key",IF(OR(NOT(OR(E298="E&amp;S",E298="Taxonomy",E298="Climate",E298="Data")),NOT(OR(F298="Critical",F298="High",F298="Moderate",F298="Low")),NOT(OR(J298="Open",J298="In progress",J298="Closed")),G298="",H298="",NOT(ISNUMBER(I298)),NOT(ISNUMBER(N298)),I298&lt;N298,N298&gt;Settings!$F$8),"Incomplete","Valid"))))</x:f>
      </x:c>
      <x:c r="T298" s="9" t="str">
        <x:f>IF(C298="","",IFERROR(INDEX('Borrowers'!$D$9:$D$108,MATCH(D298,'Borrowers'!$C$9:$C$108,0)),""))</x:f>
      </x:c>
      <x:c r="U298" s="3" t="str">
        <x:f>IF(C298="","","S01 ESRMS I.4–9; bank decision policy")</x:f>
      </x:c>
    </x:row>
    <x:row r="299" ht="42" customHeight="1">
      <x:c r="A299" s="1"/>
      <x:c r="B299" s="1"/>
      <x:c r="C299" s="8"/>
      <x:c r="D299" s="8"/>
      <x:c r="E299" s="8"/>
      <x:c r="F299" s="8"/>
      <x:c r="G299" s="8"/>
      <x:c r="H299" s="8"/>
      <x:c r="I299" s="10"/>
      <x:c r="J299" s="8"/>
      <x:c r="K299" s="8"/>
      <x:c r="L299" s="8"/>
      <x:c r="M299" s="10"/>
      <x:c r="N299" s="10"/>
      <x:c r="O299" s="9" t="str">
        <x:f>IF(C299="","",IF(AND(S299="Valid",J299="Closed",K299&lt;&gt;"",L299&lt;&gt;"",L299&lt;&gt;H299,ISNUMBER(M299),M299&gt;=N299,M299&lt;=Settings!$F$8),"Verified","Unverified"))</x:f>
      </x:c>
      <x:c r="P299" s="3" t="str">
        <x:f>IF(C299="","",IF(S299&lt;&gt;"Valid","Review",IF(O299="Verified","Closed",IF(J299="Closed","Closure pending",IF(OR(J299="Open",J299="In progress"),"Open","Review")))))</x:f>
      </x:c>
      <x:c r="Q299" s="9" t="str">
        <x:f>IF(C299="","",IF(AND(P299&lt;&gt;"Closed",ISNUMBER(I299),I299&lt;Settings!$F$8),"Overdue","Current"))</x:f>
      </x:c>
      <x:c r="R299" s="9" t="str">
        <x:f>IF(C299="","",IF(Q299="Overdue",Settings!$F$8-I299,0))</x:f>
      </x:c>
      <x:c r="S299" s="9" t="str">
        <x:f>IF(C299="","",IF(COUNTIF($C$9:$C$308,C299)&lt;&gt;1,"Duplicate ID",IF(COUNTIF(Borrowers!$C$9:$C$108,D299)&lt;&gt;1,"Borrower key",IF(OR(NOT(OR(E299="E&amp;S",E299="Taxonomy",E299="Climate",E299="Data")),NOT(OR(F299="Critical",F299="High",F299="Moderate",F299="Low")),NOT(OR(J299="Open",J299="In progress",J299="Closed")),G299="",H299="",NOT(ISNUMBER(I299)),NOT(ISNUMBER(N299)),I299&lt;N299,N299&gt;Settings!$F$8),"Incomplete","Valid"))))</x:f>
      </x:c>
      <x:c r="T299" s="9" t="str">
        <x:f>IF(C299="","",IFERROR(INDEX('Borrowers'!$D$9:$D$108,MATCH(D299,'Borrowers'!$C$9:$C$108,0)),""))</x:f>
      </x:c>
      <x:c r="U299" s="3" t="str">
        <x:f>IF(C299="","","S01 ESRMS I.4–9; bank decision policy")</x:f>
      </x:c>
    </x:row>
    <x:row r="300" ht="42" customHeight="1">
      <x:c r="A300" s="1"/>
      <x:c r="B300" s="1"/>
      <x:c r="C300" s="8"/>
      <x:c r="D300" s="8"/>
      <x:c r="E300" s="8"/>
      <x:c r="F300" s="8"/>
      <x:c r="G300" s="8"/>
      <x:c r="H300" s="8"/>
      <x:c r="I300" s="10"/>
      <x:c r="J300" s="8"/>
      <x:c r="K300" s="8"/>
      <x:c r="L300" s="8"/>
      <x:c r="M300" s="10"/>
      <x:c r="N300" s="10"/>
      <x:c r="O300" s="9" t="str">
        <x:f>IF(C300="","",IF(AND(S300="Valid",J300="Closed",K300&lt;&gt;"",L300&lt;&gt;"",L300&lt;&gt;H300,ISNUMBER(M300),M300&gt;=N300,M300&lt;=Settings!$F$8),"Verified","Unverified"))</x:f>
      </x:c>
      <x:c r="P300" s="3" t="str">
        <x:f>IF(C300="","",IF(S300&lt;&gt;"Valid","Review",IF(O300="Verified","Closed",IF(J300="Closed","Closure pending",IF(OR(J300="Open",J300="In progress"),"Open","Review")))))</x:f>
      </x:c>
      <x:c r="Q300" s="9" t="str">
        <x:f>IF(C300="","",IF(AND(P300&lt;&gt;"Closed",ISNUMBER(I300),I300&lt;Settings!$F$8),"Overdue","Current"))</x:f>
      </x:c>
      <x:c r="R300" s="9" t="str">
        <x:f>IF(C300="","",IF(Q300="Overdue",Settings!$F$8-I300,0))</x:f>
      </x:c>
      <x:c r="S300" s="9" t="str">
        <x:f>IF(C300="","",IF(COUNTIF($C$9:$C$308,C300)&lt;&gt;1,"Duplicate ID",IF(COUNTIF(Borrowers!$C$9:$C$108,D300)&lt;&gt;1,"Borrower key",IF(OR(NOT(OR(E300="E&amp;S",E300="Taxonomy",E300="Climate",E300="Data")),NOT(OR(F300="Critical",F300="High",F300="Moderate",F300="Low")),NOT(OR(J300="Open",J300="In progress",J300="Closed")),G300="",H300="",NOT(ISNUMBER(I300)),NOT(ISNUMBER(N300)),I300&lt;N300,N300&gt;Settings!$F$8),"Incomplete","Valid"))))</x:f>
      </x:c>
      <x:c r="T300" s="9" t="str">
        <x:f>IF(C300="","",IFERROR(INDEX('Borrowers'!$D$9:$D$108,MATCH(D300,'Borrowers'!$C$9:$C$108,0)),""))</x:f>
      </x:c>
      <x:c r="U300" s="3" t="str">
        <x:f>IF(C300="","","S01 ESRMS I.4–9; bank decision policy")</x:f>
      </x:c>
    </x:row>
    <x:row r="301" ht="42" customHeight="1">
      <x:c r="A301" s="1"/>
      <x:c r="B301" s="1"/>
      <x:c r="C301" s="8"/>
      <x:c r="D301" s="8"/>
      <x:c r="E301" s="8"/>
      <x:c r="F301" s="8"/>
      <x:c r="G301" s="8"/>
      <x:c r="H301" s="8"/>
      <x:c r="I301" s="10"/>
      <x:c r="J301" s="8"/>
      <x:c r="K301" s="8"/>
      <x:c r="L301" s="8"/>
      <x:c r="M301" s="10"/>
      <x:c r="N301" s="10"/>
      <x:c r="O301" s="9" t="str">
        <x:f>IF(C301="","",IF(AND(S301="Valid",J301="Closed",K301&lt;&gt;"",L301&lt;&gt;"",L301&lt;&gt;H301,ISNUMBER(M301),M301&gt;=N301,M301&lt;=Settings!$F$8),"Verified","Unverified"))</x:f>
      </x:c>
      <x:c r="P301" s="3" t="str">
        <x:f>IF(C301="","",IF(S301&lt;&gt;"Valid","Review",IF(O301="Verified","Closed",IF(J301="Closed","Closure pending",IF(OR(J301="Open",J301="In progress"),"Open","Review")))))</x:f>
      </x:c>
      <x:c r="Q301" s="9" t="str">
        <x:f>IF(C301="","",IF(AND(P301&lt;&gt;"Closed",ISNUMBER(I301),I301&lt;Settings!$F$8),"Overdue","Current"))</x:f>
      </x:c>
      <x:c r="R301" s="9" t="str">
        <x:f>IF(C301="","",IF(Q301="Overdue",Settings!$F$8-I301,0))</x:f>
      </x:c>
      <x:c r="S301" s="9" t="str">
        <x:f>IF(C301="","",IF(COUNTIF($C$9:$C$308,C301)&lt;&gt;1,"Duplicate ID",IF(COUNTIF(Borrowers!$C$9:$C$108,D301)&lt;&gt;1,"Borrower key",IF(OR(NOT(OR(E301="E&amp;S",E301="Taxonomy",E301="Climate",E301="Data")),NOT(OR(F301="Critical",F301="High",F301="Moderate",F301="Low")),NOT(OR(J301="Open",J301="In progress",J301="Closed")),G301="",H301="",NOT(ISNUMBER(I301)),NOT(ISNUMBER(N301)),I301&lt;N301,N301&gt;Settings!$F$8),"Incomplete","Valid"))))</x:f>
      </x:c>
      <x:c r="T301" s="9" t="str">
        <x:f>IF(C301="","",IFERROR(INDEX('Borrowers'!$D$9:$D$108,MATCH(D301,'Borrowers'!$C$9:$C$108,0)),""))</x:f>
      </x:c>
      <x:c r="U301" s="3" t="str">
        <x:f>IF(C301="","","S01 ESRMS I.4–9; bank decision policy")</x:f>
      </x:c>
    </x:row>
    <x:row r="302" ht="42" customHeight="1">
      <x:c r="A302" s="1"/>
      <x:c r="B302" s="1"/>
      <x:c r="C302" s="8"/>
      <x:c r="D302" s="8"/>
      <x:c r="E302" s="8"/>
      <x:c r="F302" s="8"/>
      <x:c r="G302" s="8"/>
      <x:c r="H302" s="8"/>
      <x:c r="I302" s="10"/>
      <x:c r="J302" s="8"/>
      <x:c r="K302" s="8"/>
      <x:c r="L302" s="8"/>
      <x:c r="M302" s="10"/>
      <x:c r="N302" s="10"/>
      <x:c r="O302" s="9" t="str">
        <x:f>IF(C302="","",IF(AND(S302="Valid",J302="Closed",K302&lt;&gt;"",L302&lt;&gt;"",L302&lt;&gt;H302,ISNUMBER(M302),M302&gt;=N302,M302&lt;=Settings!$F$8),"Verified","Unverified"))</x:f>
      </x:c>
      <x:c r="P302" s="3" t="str">
        <x:f>IF(C302="","",IF(S302&lt;&gt;"Valid","Review",IF(O302="Verified","Closed",IF(J302="Closed","Closure pending",IF(OR(J302="Open",J302="In progress"),"Open","Review")))))</x:f>
      </x:c>
      <x:c r="Q302" s="9" t="str">
        <x:f>IF(C302="","",IF(AND(P302&lt;&gt;"Closed",ISNUMBER(I302),I302&lt;Settings!$F$8),"Overdue","Current"))</x:f>
      </x:c>
      <x:c r="R302" s="9" t="str">
        <x:f>IF(C302="","",IF(Q302="Overdue",Settings!$F$8-I302,0))</x:f>
      </x:c>
      <x:c r="S302" s="9" t="str">
        <x:f>IF(C302="","",IF(COUNTIF($C$9:$C$308,C302)&lt;&gt;1,"Duplicate ID",IF(COUNTIF(Borrowers!$C$9:$C$108,D302)&lt;&gt;1,"Borrower key",IF(OR(NOT(OR(E302="E&amp;S",E302="Taxonomy",E302="Climate",E302="Data")),NOT(OR(F302="Critical",F302="High",F302="Moderate",F302="Low")),NOT(OR(J302="Open",J302="In progress",J302="Closed")),G302="",H302="",NOT(ISNUMBER(I302)),NOT(ISNUMBER(N302)),I302&lt;N302,N302&gt;Settings!$F$8),"Incomplete","Valid"))))</x:f>
      </x:c>
      <x:c r="T302" s="9" t="str">
        <x:f>IF(C302="","",IFERROR(INDEX('Borrowers'!$D$9:$D$108,MATCH(D302,'Borrowers'!$C$9:$C$108,0)),""))</x:f>
      </x:c>
      <x:c r="U302" s="3" t="str">
        <x:f>IF(C302="","","S01 ESRMS I.4–9; bank decision policy")</x:f>
      </x:c>
    </x:row>
    <x:row r="303" ht="42" customHeight="1">
      <x:c r="A303" s="1"/>
      <x:c r="B303" s="1"/>
      <x:c r="C303" s="8"/>
      <x:c r="D303" s="8"/>
      <x:c r="E303" s="8"/>
      <x:c r="F303" s="8"/>
      <x:c r="G303" s="8"/>
      <x:c r="H303" s="8"/>
      <x:c r="I303" s="10"/>
      <x:c r="J303" s="8"/>
      <x:c r="K303" s="8"/>
      <x:c r="L303" s="8"/>
      <x:c r="M303" s="10"/>
      <x:c r="N303" s="10"/>
      <x:c r="O303" s="9" t="str">
        <x:f>IF(C303="","",IF(AND(S303="Valid",J303="Closed",K303&lt;&gt;"",L303&lt;&gt;"",L303&lt;&gt;H303,ISNUMBER(M303),M303&gt;=N303,M303&lt;=Settings!$F$8),"Verified","Unverified"))</x:f>
      </x:c>
      <x:c r="P303" s="3" t="str">
        <x:f>IF(C303="","",IF(S303&lt;&gt;"Valid","Review",IF(O303="Verified","Closed",IF(J303="Closed","Closure pending",IF(OR(J303="Open",J303="In progress"),"Open","Review")))))</x:f>
      </x:c>
      <x:c r="Q303" s="9" t="str">
        <x:f>IF(C303="","",IF(AND(P303&lt;&gt;"Closed",ISNUMBER(I303),I303&lt;Settings!$F$8),"Overdue","Current"))</x:f>
      </x:c>
      <x:c r="R303" s="9" t="str">
        <x:f>IF(C303="","",IF(Q303="Overdue",Settings!$F$8-I303,0))</x:f>
      </x:c>
      <x:c r="S303" s="9" t="str">
        <x:f>IF(C303="","",IF(COUNTIF($C$9:$C$308,C303)&lt;&gt;1,"Duplicate ID",IF(COUNTIF(Borrowers!$C$9:$C$108,D303)&lt;&gt;1,"Borrower key",IF(OR(NOT(OR(E303="E&amp;S",E303="Taxonomy",E303="Climate",E303="Data")),NOT(OR(F303="Critical",F303="High",F303="Moderate",F303="Low")),NOT(OR(J303="Open",J303="In progress",J303="Closed")),G303="",H303="",NOT(ISNUMBER(I303)),NOT(ISNUMBER(N303)),I303&lt;N303,N303&gt;Settings!$F$8),"Incomplete","Valid"))))</x:f>
      </x:c>
      <x:c r="T303" s="9" t="str">
        <x:f>IF(C303="","",IFERROR(INDEX('Borrowers'!$D$9:$D$108,MATCH(D303,'Borrowers'!$C$9:$C$108,0)),""))</x:f>
      </x:c>
      <x:c r="U303" s="3" t="str">
        <x:f>IF(C303="","","S01 ESRMS I.4–9; bank decision policy")</x:f>
      </x:c>
    </x:row>
    <x:row r="304" ht="42" customHeight="1">
      <x:c r="A304" s="1"/>
      <x:c r="B304" s="1"/>
      <x:c r="C304" s="8"/>
      <x:c r="D304" s="8"/>
      <x:c r="E304" s="8"/>
      <x:c r="F304" s="8"/>
      <x:c r="G304" s="8"/>
      <x:c r="H304" s="8"/>
      <x:c r="I304" s="10"/>
      <x:c r="J304" s="8"/>
      <x:c r="K304" s="8"/>
      <x:c r="L304" s="8"/>
      <x:c r="M304" s="10"/>
      <x:c r="N304" s="10"/>
      <x:c r="O304" s="9" t="str">
        <x:f>IF(C304="","",IF(AND(S304="Valid",J304="Closed",K304&lt;&gt;"",L304&lt;&gt;"",L304&lt;&gt;H304,ISNUMBER(M304),M304&gt;=N304,M304&lt;=Settings!$F$8),"Verified","Unverified"))</x:f>
      </x:c>
      <x:c r="P304" s="3" t="str">
        <x:f>IF(C304="","",IF(S304&lt;&gt;"Valid","Review",IF(O304="Verified","Closed",IF(J304="Closed","Closure pending",IF(OR(J304="Open",J304="In progress"),"Open","Review")))))</x:f>
      </x:c>
      <x:c r="Q304" s="9" t="str">
        <x:f>IF(C304="","",IF(AND(P304&lt;&gt;"Closed",ISNUMBER(I304),I304&lt;Settings!$F$8),"Overdue","Current"))</x:f>
      </x:c>
      <x:c r="R304" s="9" t="str">
        <x:f>IF(C304="","",IF(Q304="Overdue",Settings!$F$8-I304,0))</x:f>
      </x:c>
      <x:c r="S304" s="9" t="str">
        <x:f>IF(C304="","",IF(COUNTIF($C$9:$C$308,C304)&lt;&gt;1,"Duplicate ID",IF(COUNTIF(Borrowers!$C$9:$C$108,D304)&lt;&gt;1,"Borrower key",IF(OR(NOT(OR(E304="E&amp;S",E304="Taxonomy",E304="Climate",E304="Data")),NOT(OR(F304="Critical",F304="High",F304="Moderate",F304="Low")),NOT(OR(J304="Open",J304="In progress",J304="Closed")),G304="",H304="",NOT(ISNUMBER(I304)),NOT(ISNUMBER(N304)),I304&lt;N304,N304&gt;Settings!$F$8),"Incomplete","Valid"))))</x:f>
      </x:c>
      <x:c r="T304" s="9" t="str">
        <x:f>IF(C304="","",IFERROR(INDEX('Borrowers'!$D$9:$D$108,MATCH(D304,'Borrowers'!$C$9:$C$108,0)),""))</x:f>
      </x:c>
      <x:c r="U304" s="3" t="str">
        <x:f>IF(C304="","","S01 ESRMS I.4–9; bank decision policy")</x:f>
      </x:c>
    </x:row>
    <x:row r="305" ht="42" customHeight="1">
      <x:c r="A305" s="1"/>
      <x:c r="B305" s="1"/>
      <x:c r="C305" s="8"/>
      <x:c r="D305" s="8"/>
      <x:c r="E305" s="8"/>
      <x:c r="F305" s="8"/>
      <x:c r="G305" s="8"/>
      <x:c r="H305" s="8"/>
      <x:c r="I305" s="10"/>
      <x:c r="J305" s="8"/>
      <x:c r="K305" s="8"/>
      <x:c r="L305" s="8"/>
      <x:c r="M305" s="10"/>
      <x:c r="N305" s="10"/>
      <x:c r="O305" s="9" t="str">
        <x:f>IF(C305="","",IF(AND(S305="Valid",J305="Closed",K305&lt;&gt;"",L305&lt;&gt;"",L305&lt;&gt;H305,ISNUMBER(M305),M305&gt;=N305,M305&lt;=Settings!$F$8),"Verified","Unverified"))</x:f>
      </x:c>
      <x:c r="P305" s="3" t="str">
        <x:f>IF(C305="","",IF(S305&lt;&gt;"Valid","Review",IF(O305="Verified","Closed",IF(J305="Closed","Closure pending",IF(OR(J305="Open",J305="In progress"),"Open","Review")))))</x:f>
      </x:c>
      <x:c r="Q305" s="9" t="str">
        <x:f>IF(C305="","",IF(AND(P305&lt;&gt;"Closed",ISNUMBER(I305),I305&lt;Settings!$F$8),"Overdue","Current"))</x:f>
      </x:c>
      <x:c r="R305" s="9" t="str">
        <x:f>IF(C305="","",IF(Q305="Overdue",Settings!$F$8-I305,0))</x:f>
      </x:c>
      <x:c r="S305" s="9" t="str">
        <x:f>IF(C305="","",IF(COUNTIF($C$9:$C$308,C305)&lt;&gt;1,"Duplicate ID",IF(COUNTIF(Borrowers!$C$9:$C$108,D305)&lt;&gt;1,"Borrower key",IF(OR(NOT(OR(E305="E&amp;S",E305="Taxonomy",E305="Climate",E305="Data")),NOT(OR(F305="Critical",F305="High",F305="Moderate",F305="Low")),NOT(OR(J305="Open",J305="In progress",J305="Closed")),G305="",H305="",NOT(ISNUMBER(I305)),NOT(ISNUMBER(N305)),I305&lt;N305,N305&gt;Settings!$F$8),"Incomplete","Valid"))))</x:f>
      </x:c>
      <x:c r="T305" s="9" t="str">
        <x:f>IF(C305="","",IFERROR(INDEX('Borrowers'!$D$9:$D$108,MATCH(D305,'Borrowers'!$C$9:$C$108,0)),""))</x:f>
      </x:c>
      <x:c r="U305" s="3" t="str">
        <x:f>IF(C305="","","S01 ESRMS I.4–9; bank decision policy")</x:f>
      </x:c>
    </x:row>
    <x:row r="306" ht="42" customHeight="1">
      <x:c r="A306" s="1"/>
      <x:c r="B306" s="1"/>
      <x:c r="C306" s="8"/>
      <x:c r="D306" s="8"/>
      <x:c r="E306" s="8"/>
      <x:c r="F306" s="8"/>
      <x:c r="G306" s="8"/>
      <x:c r="H306" s="8"/>
      <x:c r="I306" s="10"/>
      <x:c r="J306" s="8"/>
      <x:c r="K306" s="8"/>
      <x:c r="L306" s="8"/>
      <x:c r="M306" s="10"/>
      <x:c r="N306" s="10"/>
      <x:c r="O306" s="9" t="str">
        <x:f>IF(C306="","",IF(AND(S306="Valid",J306="Closed",K306&lt;&gt;"",L306&lt;&gt;"",L306&lt;&gt;H306,ISNUMBER(M306),M306&gt;=N306,M306&lt;=Settings!$F$8),"Verified","Unverified"))</x:f>
      </x:c>
      <x:c r="P306" s="3" t="str">
        <x:f>IF(C306="","",IF(S306&lt;&gt;"Valid","Review",IF(O306="Verified","Closed",IF(J306="Closed","Closure pending",IF(OR(J306="Open",J306="In progress"),"Open","Review")))))</x:f>
      </x:c>
      <x:c r="Q306" s="9" t="str">
        <x:f>IF(C306="","",IF(AND(P306&lt;&gt;"Closed",ISNUMBER(I306),I306&lt;Settings!$F$8),"Overdue","Current"))</x:f>
      </x:c>
      <x:c r="R306" s="9" t="str">
        <x:f>IF(C306="","",IF(Q306="Overdue",Settings!$F$8-I306,0))</x:f>
      </x:c>
      <x:c r="S306" s="9" t="str">
        <x:f>IF(C306="","",IF(COUNTIF($C$9:$C$308,C306)&lt;&gt;1,"Duplicate ID",IF(COUNTIF(Borrowers!$C$9:$C$108,D306)&lt;&gt;1,"Borrower key",IF(OR(NOT(OR(E306="E&amp;S",E306="Taxonomy",E306="Climate",E306="Data")),NOT(OR(F306="Critical",F306="High",F306="Moderate",F306="Low")),NOT(OR(J306="Open",J306="In progress",J306="Closed")),G306="",H306="",NOT(ISNUMBER(I306)),NOT(ISNUMBER(N306)),I306&lt;N306,N306&gt;Settings!$F$8),"Incomplete","Valid"))))</x:f>
      </x:c>
      <x:c r="T306" s="9" t="str">
        <x:f>IF(C306="","",IFERROR(INDEX('Borrowers'!$D$9:$D$108,MATCH(D306,'Borrowers'!$C$9:$C$108,0)),""))</x:f>
      </x:c>
      <x:c r="U306" s="3" t="str">
        <x:f>IF(C306="","","S01 ESRMS I.4–9; bank decision policy")</x:f>
      </x:c>
    </x:row>
    <x:row r="307" ht="42" customHeight="1">
      <x:c r="A307" s="1"/>
      <x:c r="B307" s="1"/>
      <x:c r="C307" s="8"/>
      <x:c r="D307" s="8"/>
      <x:c r="E307" s="8"/>
      <x:c r="F307" s="8"/>
      <x:c r="G307" s="8"/>
      <x:c r="H307" s="8"/>
      <x:c r="I307" s="10"/>
      <x:c r="J307" s="8"/>
      <x:c r="K307" s="8"/>
      <x:c r="L307" s="8"/>
      <x:c r="M307" s="10"/>
      <x:c r="N307" s="10"/>
      <x:c r="O307" s="9" t="str">
        <x:f>IF(C307="","",IF(AND(S307="Valid",J307="Closed",K307&lt;&gt;"",L307&lt;&gt;"",L307&lt;&gt;H307,ISNUMBER(M307),M307&gt;=N307,M307&lt;=Settings!$F$8),"Verified","Unverified"))</x:f>
      </x:c>
      <x:c r="P307" s="3" t="str">
        <x:f>IF(C307="","",IF(S307&lt;&gt;"Valid","Review",IF(O307="Verified","Closed",IF(J307="Closed","Closure pending",IF(OR(J307="Open",J307="In progress"),"Open","Review")))))</x:f>
      </x:c>
      <x:c r="Q307" s="9" t="str">
        <x:f>IF(C307="","",IF(AND(P307&lt;&gt;"Closed",ISNUMBER(I307),I307&lt;Settings!$F$8),"Overdue","Current"))</x:f>
      </x:c>
      <x:c r="R307" s="9" t="str">
        <x:f>IF(C307="","",IF(Q307="Overdue",Settings!$F$8-I307,0))</x:f>
      </x:c>
      <x:c r="S307" s="9" t="str">
        <x:f>IF(C307="","",IF(COUNTIF($C$9:$C$308,C307)&lt;&gt;1,"Duplicate ID",IF(COUNTIF(Borrowers!$C$9:$C$108,D307)&lt;&gt;1,"Borrower key",IF(OR(NOT(OR(E307="E&amp;S",E307="Taxonomy",E307="Climate",E307="Data")),NOT(OR(F307="Critical",F307="High",F307="Moderate",F307="Low")),NOT(OR(J307="Open",J307="In progress",J307="Closed")),G307="",H307="",NOT(ISNUMBER(I307)),NOT(ISNUMBER(N307)),I307&lt;N307,N307&gt;Settings!$F$8),"Incomplete","Valid"))))</x:f>
      </x:c>
      <x:c r="T307" s="9" t="str">
        <x:f>IF(C307="","",IFERROR(INDEX('Borrowers'!$D$9:$D$108,MATCH(D307,'Borrowers'!$C$9:$C$108,0)),""))</x:f>
      </x:c>
      <x:c r="U307" s="3" t="str">
        <x:f>IF(C307="","","S01 ESRMS I.4–9; bank decision policy")</x:f>
      </x:c>
    </x:row>
    <x:row r="308" ht="42" customHeight="1">
      <x:c r="A308" s="1"/>
      <x:c r="B308" s="1"/>
      <x:c r="C308" s="8"/>
      <x:c r="D308" s="8"/>
      <x:c r="E308" s="8"/>
      <x:c r="F308" s="8"/>
      <x:c r="G308" s="8"/>
      <x:c r="H308" s="8"/>
      <x:c r="I308" s="10"/>
      <x:c r="J308" s="8"/>
      <x:c r="K308" s="8"/>
      <x:c r="L308" s="8"/>
      <x:c r="M308" s="10"/>
      <x:c r="N308" s="10"/>
      <x:c r="O308" s="9" t="str">
        <x:f>IF(C308="","",IF(AND(S308="Valid",J308="Closed",K308&lt;&gt;"",L308&lt;&gt;"",L308&lt;&gt;H308,ISNUMBER(M308),M308&gt;=N308,M308&lt;=Settings!$F$8),"Verified","Unverified"))</x:f>
      </x:c>
      <x:c r="P308" s="3" t="str">
        <x:f>IF(C308="","",IF(S308&lt;&gt;"Valid","Review",IF(O308="Verified","Closed",IF(J308="Closed","Closure pending",IF(OR(J308="Open",J308="In progress"),"Open","Review")))))</x:f>
      </x:c>
      <x:c r="Q308" s="9" t="str">
        <x:f>IF(C308="","",IF(AND(P308&lt;&gt;"Closed",ISNUMBER(I308),I308&lt;Settings!$F$8),"Overdue","Current"))</x:f>
      </x:c>
      <x:c r="R308" s="9" t="str">
        <x:f>IF(C308="","",IF(Q308="Overdue",Settings!$F$8-I308,0))</x:f>
      </x:c>
      <x:c r="S308" s="9" t="str">
        <x:f>IF(C308="","",IF(COUNTIF($C$9:$C$308,C308)&lt;&gt;1,"Duplicate ID",IF(COUNTIF(Borrowers!$C$9:$C$108,D308)&lt;&gt;1,"Borrower key",IF(OR(NOT(OR(E308="E&amp;S",E308="Taxonomy",E308="Climate",E308="Data")),NOT(OR(F308="Critical",F308="High",F308="Moderate",F308="Low")),NOT(OR(J308="Open",J308="In progress",J308="Closed")),G308="",H308="",NOT(ISNUMBER(I308)),NOT(ISNUMBER(N308)),I308&lt;N308,N308&gt;Settings!$F$8),"Incomplete","Valid"))))</x:f>
      </x:c>
      <x:c r="T308" s="9" t="str">
        <x:f>IF(C308="","",IFERROR(INDEX('Borrowers'!$D$9:$D$108,MATCH(D308,'Borrowers'!$C$9:$C$108,0)),""))</x:f>
      </x:c>
      <x:c r="U308" s="3" t="str">
        <x:f>IF(C308="","","S01 ESRMS I.4–9; bank decision policy")</x:f>
      </x:c>
    </x:row>
  </x:sheetData>
  <x:mergeCells>
    <x:mergeCell ref="C2:H2"/>
    <x:mergeCell ref="C3:M3"/>
    <x:mergeCell ref="C7:F7"/>
    <x:mergeCell ref="G7:J7"/>
    <x:mergeCell ref="K7:N7"/>
    <x:mergeCell ref="C1:D1"/>
    <x:mergeCell ref="E1:F1"/>
    <x:mergeCell ref="G1:H1"/>
    <x:mergeCell ref="I1:J1"/>
    <x:mergeCell ref="K1:L1"/>
    <x:mergeCell ref="M1:N1"/>
  </x:mergeCells>
  <x:conditionalFormatting sqref="O9:Q308">
    <x:cfRule type="containsText" dxfId="144" priority="1" operator="containsText" text="Missing"/>
    <x:cfRule type="containsText" dxfId="145" priority="2" operator="containsText" text="Required"/>
    <x:cfRule type="containsText" dxfId="146" priority="3" operator="containsText" text="required"/>
    <x:cfRule type="containsText" dxfId="147" priority="4" operator="containsText" text="Expired"/>
    <x:cfRule type="containsText" dxfId="148" priority="5" operator="containsText" text="Hold"/>
    <x:cfRule type="containsText" dxfId="149" priority="6" operator="containsText" text="Review"/>
    <x:cfRule type="containsText" dxfId="150" priority="7" operator="containsText" text="Incomplete"/>
    <x:cfRule type="containsText" dxfId="151" priority="8" operator="containsText" text="Pending"/>
    <x:cfRule type="containsText" dxfId="152" priority="9" operator="containsText" text="Unsupported"/>
    <x:cfRule type="containsText" dxfId="153" priority="10" operator="containsText" text="Criteria"/>
    <x:cfRule type="containsText" dxfId="154" priority="11" operator="containsText" text="Fail"/>
    <x:cfRule type="containsText" dxfId="155" priority="12" operator="containsText" text="Stop"/>
    <x:cfRule type="containsText" dxfId="156" priority="13" operator="containsText" text="Breach"/>
    <x:cfRule type="containsText" dxfId="157" priority="14" operator="containsText" text="Invalid"/>
    <x:cfRule type="containsText" dxfId="158" priority="15" operator="containsText" text="Duplicate"/>
    <x:cfRule type="containsText" dxfId="159" priority="16" operator="containsText" text="Not aligned"/>
  </x:conditionalFormatting>
  <x:conditionalFormatting sqref="S9:S308">
    <x:cfRule type="containsText" dxfId="160" priority="17" operator="containsText" text="Missing"/>
    <x:cfRule type="containsText" dxfId="161" priority="18" operator="containsText" text="Required"/>
    <x:cfRule type="containsText" dxfId="162" priority="19" operator="containsText" text="required"/>
    <x:cfRule type="containsText" dxfId="163" priority="20" operator="containsText" text="Expired"/>
    <x:cfRule type="containsText" dxfId="164" priority="21" operator="containsText" text="Hold"/>
    <x:cfRule type="containsText" dxfId="165" priority="22" operator="containsText" text="Review"/>
    <x:cfRule type="containsText" dxfId="166" priority="23" operator="containsText" text="Incomplete"/>
    <x:cfRule type="containsText" dxfId="167" priority="24" operator="containsText" text="Pending"/>
    <x:cfRule type="containsText" dxfId="168" priority="25" operator="containsText" text="Unsupported"/>
    <x:cfRule type="containsText" dxfId="169" priority="26" operator="containsText" text="Criteria"/>
    <x:cfRule type="containsText" dxfId="170" priority="27" operator="containsText" text="Fail"/>
    <x:cfRule type="containsText" dxfId="171" priority="28" operator="containsText" text="Stop"/>
    <x:cfRule type="containsText" dxfId="172" priority="29" operator="containsText" text="Breach"/>
    <x:cfRule type="containsText" dxfId="173" priority="30" operator="containsText" text="Invalid"/>
    <x:cfRule type="containsText" dxfId="174" priority="31" operator="containsText" text="Duplicate"/>
    <x:cfRule type="containsText" dxfId="175" priority="32" operator="containsText" text="Not aligned"/>
  </x:conditionalFormatting>
  <x:dataValidations count="4">
    <x:dataValidation type="list" sqref="D9:D308">
      <x:formula1>"B001,B002,B003,B004,B005,B006,B007,B008,B009,B010,B011,B012,B013,B014,B015,B016,B017,B018,B019,B020,B021,B022,B023,B024"</x:formula1>
    </x:dataValidation>
    <x:dataValidation type="list" sqref="E9:E308">
      <x:formula1>"E&amp;S,Taxonomy,Climate,Data"</x:formula1>
    </x:dataValidation>
    <x:dataValidation type="list" sqref="F9:F308">
      <x:formula1>"Critical,High,Moderate,Low"</x:formula1>
    </x:dataValidation>
    <x:dataValidation type="list" sqref="J9:J308">
      <x:formula1>"Open,In progress,Closed"</x:formula1>
    </x:dataValidation>
  </x:dataValidations>
  <x:hyperlinks>
    <x:hyperlink ref="C7" location="'Actions'!G8" display="Owner and due date" tooltip="Open Actions"/>
    <x:hyperlink ref="G7" location="'Actions'!K8" display="Closure evidence" tooltip="Open Actions"/>
    <x:hyperlink ref="K7" location="'Actions'!O8" display="Decision status" tooltip="Open Actions"/>
    <x:hyperlink ref="C1" location="'Overview'!C2" display="Home" tooltip="Open Overview"/>
    <x:hyperlink ref="E1" location="'Customer'!C2" display="Customer" tooltip="Open Customer"/>
    <x:hyperlink ref="G1" location="'Capital'!C2" display="Capital" tooltip="Open Capital"/>
    <x:hyperlink ref="I1" location="'Disclosures'!C2" display="Reporting" tooltip="Open Disclosures"/>
    <x:hyperlink ref="K1" location="'Borrowers'!C8" display="Inputs" tooltip="Open Borrowers"/>
    <x:hyperlink ref="M1" location="'Settings'!C5" display="Settings" tooltip="Open Settings"/>
  </x:hyperlinks>
  <x:pageMargins left="0.7" right="0.7" top="0.75" bottom="0.75" header="0.3" footer="0.3"/>
  <x:tableParts count="1">
    <x:tablePart xmlns:r="http://schemas.openxmlformats.org/officeDocument/2006/relationships" r:id="Re07a596a9d1b4ccb"/>
  </x:tableParts>
</x:worksheet>
</file>

<file path=xl/worksheets/sheet15.xml><?xml version="1.0" encoding="utf-8"?>
<x:worksheet xmlns:x="http://schemas.openxmlformats.org/spreadsheetml/2006/main">
  <x:sheetPr>
    <x:tabColor rgb="FF007F86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2.4000000953674316" hidden="0" customWidth="1"/>
    <x:col min="2" max="2" width="2.4000000953674316" hidden="0" customWidth="1"/>
    <x:col min="3" max="3" width="17" hidden="0" customWidth="1"/>
    <x:col min="4" max="4" width="17" hidden="0" customWidth="1"/>
    <x:col min="5" max="5" width="17" hidden="0" customWidth="1"/>
    <x:col min="6" max="6" width="58" hidden="0" customWidth="1"/>
    <x:col min="7" max="7" width="25" hidden="0" customWidth="1"/>
    <x:col min="8" max="8" width="25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</x:cols>
  <x:sheetData>
    <x:row r="1" ht="27" customHeight="1">
      <x:c r="A1" s="1"/>
      <x:c r="B1" s="1"/>
      <x:c r="C1" s="50" t="str">
        <x:v>Home</x:v>
      </x:c>
      <x:c r="D1" s="50"/>
      <x:c r="E1" s="63" t="str">
        <x:v>Customer</x:v>
      </x:c>
      <x:c r="F1" s="63"/>
      <x:c r="G1" s="63" t="str">
        <x:v>Capital</x:v>
      </x:c>
      <x:c r="H1" s="63"/>
      <x:c r="I1" s="63" t="str">
        <x:v>Reporting</x:v>
      </x:c>
      <x:c r="J1" s="63"/>
      <x:c r="K1" s="63" t="str">
        <x:v>Inputs</x:v>
      </x:c>
      <x:c r="L1" s="63"/>
      <x:c r="M1" s="63" t="str">
        <x:v>Settings</x:v>
      </x:c>
      <x:c r="N1" s="63"/>
      <x:c r="O1" s="3"/>
      <x:c r="P1" s="3"/>
      <x:c r="Q1" s="3"/>
      <x:c r="R1" s="3"/>
      <x:c r="S1" s="3"/>
      <x:c r="T1" s="3"/>
      <x:c r="U1" s="3"/>
    </x:row>
    <x:row r="2" ht="45" customHeight="1">
      <x:c r="A2" s="1"/>
      <x:c r="B2" s="1"/>
      <x:c r="C2" s="5" t="str">
        <x:v>BANK READINESS &amp; CONTROL OWNERSHIP</x:v>
      </x:c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</x:row>
    <x:row r="3" ht="32" customHeight="1">
      <x:c r="A3" s="1"/>
      <x:c r="B3" s="1"/>
      <x:c r="C3" s="6" t="str">
        <x:v>Internal target dates • jurisdiction-specific scope • verified evidence supports readiness, not legal certification</x:v>
      </x:c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3"/>
      <x:c r="O3" s="3"/>
      <x:c r="P3" s="3"/>
      <x:c r="Q3" s="3"/>
      <x:c r="R3" s="3"/>
      <x:c r="S3" s="3"/>
      <x:c r="T3" s="3"/>
      <x:c r="U3" s="3"/>
    </x:row>
    <x:row r="4" ht="26" customHeight="1">
      <x:c r="A4" s="1"/>
      <x:c r="B4" s="1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</x:row>
    <x:row r="5" ht="26" customHeight="1">
      <x:c r="A5" s="1"/>
      <x:c r="B5" s="1"/>
      <x:c r="C5" s="3" t="str">
        <x:v>Applicable controls</x:v>
      </x:c>
      <x:c r="D5" s="3"/>
      <x:c r="E5" s="3"/>
      <x:c r="F5" s="3"/>
      <x:c r="G5" s="3" t="n">
        <x:f>COUNTIF(N9:N108,"Yes")</x:f>
        <x:v>11</x:v>
      </x:c>
      <x:c r="H5" s="3"/>
      <x:c r="I5" s="3"/>
      <x:c r="J5" s="3"/>
      <x:c r="K5" s="3" t="str">
        <x:v>Verified</x:v>
      </x:c>
      <x:c r="L5" s="3"/>
      <x:c r="M5" s="3"/>
      <x:c r="N5" s="3" t="n">
        <x:f>COUNTIF(O9:O108,"Verified")</x:f>
        <x:v>4</x:v>
      </x:c>
      <x:c r="O5" s="3"/>
      <x:c r="P5" s="3"/>
      <x:c r="Q5" s="3" t="str">
        <x:v>Readiness</x:v>
      </x:c>
      <x:c r="R5" s="3"/>
      <x:c r="S5" s="3"/>
      <x:c r="T5" s="17" t="n">
        <x:f>IF(G5=0,0,N5/G5)</x:f>
        <x:v>0.36363636363636365</x:v>
      </x:c>
      <x:c r="U5" s="3"/>
    </x:row>
    <x:row r="6" ht="26" customHeight="1">
      <x:c r="A6" s="1"/>
      <x:c r="B6" s="1"/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  <x:c r="O6" s="3"/>
      <x:c r="P6" s="3"/>
      <x:c r="Q6" s="3"/>
      <x:c r="R6" s="3"/>
      <x:c r="S6" s="3"/>
      <x:c r="T6" s="3"/>
      <x:c r="U6" s="3"/>
    </x:row>
    <x:row r="7" ht="26" customHeight="1">
      <x:c r="A7" s="1"/>
      <x:c r="B7" s="1"/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3"/>
      <x:c r="Q7" s="3"/>
      <x:c r="R7" s="3"/>
      <x:c r="S7" s="3"/>
      <x:c r="T7" s="3"/>
      <x:c r="U7" s="3"/>
    </x:row>
    <x:row r="8" ht="46" customHeight="1">
      <x:c r="A8" s="1"/>
      <x:c r="B8" s="1"/>
      <x:c r="C8" s="15" t="str">
        <x:v>Control ID</x:v>
      </x:c>
      <x:c r="D8" s="15" t="str">
        <x:v>Jurisdiction</x:v>
      </x:c>
      <x:c r="E8" s="15" t="str">
        <x:v>Control area</x:v>
      </x:c>
      <x:c r="F8" s="15" t="str">
        <x:v>Requirement / outcome</x:v>
      </x:c>
      <x:c r="G8" s="15" t="str">
        <x:v>Owner</x:v>
      </x:c>
      <x:c r="H8" s="15" t="str">
        <x:v>Approver</x:v>
      </x:c>
      <x:c r="I8" s="15" t="str">
        <x:v>Internal target date</x:v>
      </x:c>
      <x:c r="J8" s="15" t="str">
        <x:v>State entered</x:v>
      </x:c>
      <x:c r="K8" s="15" t="str">
        <x:v>Evidence</x:v>
      </x:c>
      <x:c r="L8" s="15" t="str">
        <x:v>Last reviewed</x:v>
      </x:c>
      <x:c r="M8" s="15" t="str">
        <x:v>Valid to</x:v>
      </x:c>
      <x:c r="N8" s="15" t="str">
        <x:v>Applies</x:v>
      </x:c>
      <x:c r="O8" s="15" t="str">
        <x:v>Readiness</x:v>
      </x:c>
      <x:c r="P8" s="15" t="str">
        <x:v>Overdue</x:v>
      </x:c>
      <x:c r="Q8" s="15" t="str">
        <x:v>Days overdue</x:v>
      </x:c>
      <x:c r="R8" s="15" t="str">
        <x:v>Key control</x:v>
      </x:c>
      <x:c r="S8" s="15" t="str">
        <x:v>Reference</x:v>
      </x:c>
      <x:c r="T8" s="15" t="str">
        <x:v>Authority</x:v>
      </x:c>
      <x:c r="U8" s="15" t="str">
        <x:v>Completion</x:v>
      </x:c>
    </x:row>
    <x:row r="9" ht="48" customHeight="1">
      <x:c r="A9" s="1"/>
      <x:c r="B9" s="1"/>
      <x:c r="C9" s="8" t="str">
        <x:v>EG-01</x:v>
      </x:c>
      <x:c r="D9" s="8" t="str">
        <x:v>Egypt</x:v>
      </x:c>
      <x:c r="E9" s="8" t="str">
        <x:v>Governance</x:v>
      </x:c>
      <x:c r="F9" s="8" t="str">
        <x:v>Approved ESRMS, responsibilities and escalation</x:v>
      </x:c>
      <x:c r="G9" s="8" t="str">
        <x:v>Chief Risk Officer</x:v>
      </x:c>
      <x:c r="H9" s="8" t="str">
        <x:v>Board risk committee</x:v>
      </x:c>
      <x:c r="I9" s="10" t="n">
        <x:v>46388</x:v>
      </x:c>
      <x:c r="J9" s="8" t="str">
        <x:v>Implemented</x:v>
      </x:c>
      <x:c r="K9" s="8" t="str">
        <x:v>SYN-CONTROL-EG-01</x:v>
      </x:c>
      <x:c r="L9" s="10" t="n">
        <x:v>46266</x:v>
      </x:c>
      <x:c r="M9" s="10" t="n">
        <x:v>46631</x:v>
      </x:c>
      <x:c r="N9" s="9" t="str">
        <x:f>IF(C9="","",IF(OR(D9=Settings!$F$9,D9="Global"),"Yes","No"))</x:f>
        <x:v>Yes</x:v>
      </x:c>
      <x:c r="O9" s="9" t="str">
        <x:f>IF(C9="","",IF(N9="No","Outside selection",IF(R9&lt;&gt;"Valid","Review",IF(J9&lt;&gt;"Implemented","Open",IF(OR(K9="",NOT(ISNUMBER(L9)),NOT(ISNUMBER(M9)),L9&gt;Settings!$F$8,M9&lt;L9),"Evidence required",IF(M9&lt;Settings!$F$8,"Expired","Verified"))))))</x:f>
        <x:v>Verified</x:v>
      </x:c>
      <x:c r="P9" s="9" t="str">
        <x:f>IF(C9="","",IF(AND(N9="Yes",O9&lt;&gt;"Verified",ISNUMBER(I9),I9&lt;Settings!$F$8),"Overdue","Current"))</x:f>
        <x:v>Current</x:v>
      </x:c>
      <x:c r="Q9" s="9" t="n">
        <x:f>IF(C9="","",IF(P9="Overdue",Settings!$F$8-I9,0))</x:f>
        <x:v>0</x:v>
      </x:c>
      <x:c r="R9" s="3" t="str">
        <x:f>IF(C9="","",IF(COUNTIF($C$9:$C$108,C9)&lt;&gt;1,"Duplicate ID",IF(OR(D9="",E9="",F9="",G9="",H9="",G9=H9,NOT(ISNUMBER(I9)),S9="",T9=""),"Incomplete","Valid")))</x:f>
        <x:v>Valid</x:v>
      </x:c>
      <x:c r="S9" s="8" t="str">
        <x:v>S01 I.1–3</x:v>
      </x:c>
      <x:c r="T9" s="8" t="str">
        <x:v>Supplied CBE translation: January 2028 deadline; official Arabic authentication pending</x:v>
      </x:c>
      <x:c r="U9" s="17" t="n">
        <x:f>IF(C9="","",IF(O9="Verified",1,0))</x:f>
        <x:v>1</x:v>
      </x:c>
    </x:row>
    <x:row r="10" ht="48" customHeight="1">
      <x:c r="A10" s="1"/>
      <x:c r="B10" s="1"/>
      <x:c r="C10" s="8" t="str">
        <x:v>EG-02</x:v>
      </x:c>
      <x:c r="D10" s="8" t="str">
        <x:v>Egypt</x:v>
      </x:c>
      <x:c r="E10" s="8" t="str">
        <x:v>Credit process</x:v>
      </x:c>
      <x:c r="F10" s="8" t="str">
        <x:v>Screening, categorisation and proportionate E&amp;S diligence</x:v>
      </x:c>
      <x:c r="G10" s="8" t="str">
        <x:v>Head of Credit</x:v>
      </x:c>
      <x:c r="H10" s="8" t="str">
        <x:v>Chief Risk Officer</x:v>
      </x:c>
      <x:c r="I10" s="10" t="n">
        <x:v>46388</x:v>
      </x:c>
      <x:c r="J10" s="8" t="str">
        <x:v>Implemented</x:v>
      </x:c>
      <x:c r="K10" s="8" t="str">
        <x:v>SYN-CONTROL-EG-02</x:v>
      </x:c>
      <x:c r="L10" s="10" t="n">
        <x:v>46266</x:v>
      </x:c>
      <x:c r="M10" s="10" t="n">
        <x:v>46631</x:v>
      </x:c>
      <x:c r="N10" s="9" t="str">
        <x:f>IF(C10="","",IF(OR(D10=Settings!$F$9,D10="Global"),"Yes","No"))</x:f>
        <x:v>Yes</x:v>
      </x:c>
      <x:c r="O10" s="9" t="str">
        <x:f>IF(C10="","",IF(N10="No","Outside selection",IF(R10&lt;&gt;"Valid","Review",IF(J10&lt;&gt;"Implemented","Open",IF(OR(K10="",NOT(ISNUMBER(L10)),NOT(ISNUMBER(M10)),L10&gt;Settings!$F$8,M10&lt;L10),"Evidence required",IF(M10&lt;Settings!$F$8,"Expired","Verified"))))))</x:f>
        <x:v>Verified</x:v>
      </x:c>
      <x:c r="P10" s="9" t="str">
        <x:f>IF(C10="","",IF(AND(N10="Yes",O10&lt;&gt;"Verified",ISNUMBER(I10),I10&lt;Settings!$F$8),"Overdue","Current"))</x:f>
        <x:v>Current</x:v>
      </x:c>
      <x:c r="Q10" s="9" t="n">
        <x:f>IF(C10="","",IF(P10="Overdue",Settings!$F$8-I10,0))</x:f>
        <x:v>0</x:v>
      </x:c>
      <x:c r="R10" s="3" t="str">
        <x:f>IF(C10="","",IF(COUNTIF($C$9:$C$108,C10)&lt;&gt;1,"Duplicate ID",IF(OR(D10="",E10="",F10="",G10="",H10="",G10=H10,NOT(ISNUMBER(I10)),S10="",T10=""),"Incomplete","Valid")))</x:f>
        <x:v>Valid</x:v>
      </x:c>
      <x:c r="S10" s="8" t="str">
        <x:v>S01 I.4–7</x:v>
      </x:c>
      <x:c r="T10" s="8" t="str">
        <x:v>Supplied CBE translation</x:v>
      </x:c>
      <x:c r="U10" s="17" t="n">
        <x:f>IF(C10="","",IF(O10="Verified",1,0))</x:f>
        <x:v>1</x:v>
      </x:c>
    </x:row>
    <x:row r="11" ht="48" customHeight="1">
      <x:c r="A11" s="1"/>
      <x:c r="B11" s="1"/>
      <x:c r="C11" s="8" t="str">
        <x:v>EG-03</x:v>
      </x:c>
      <x:c r="D11" s="8" t="str">
        <x:v>Egypt</x:v>
      </x:c>
      <x:c r="E11" s="8" t="str">
        <x:v>Monitoring</x:v>
      </x:c>
      <x:c r="F11" s="8" t="str">
        <x:v>ESAP, covenants, incidents and escalation monitored</x:v>
      </x:c>
      <x:c r="G11" s="8" t="str">
        <x:v>Head of Credit</x:v>
      </x:c>
      <x:c r="H11" s="8" t="str">
        <x:v>Chief Risk Officer</x:v>
      </x:c>
      <x:c r="I11" s="10" t="n">
        <x:v>46388</x:v>
      </x:c>
      <x:c r="J11" s="8" t="str">
        <x:v>In progress</x:v>
      </x:c>
      <x:c r="K11" s="8" t="str"/>
      <x:c r="L11" s="10" t="str"/>
      <x:c r="M11" s="10" t="str"/>
      <x:c r="N11" s="9" t="str">
        <x:f>IF(C11="","",IF(OR(D11=Settings!$F$9,D11="Global"),"Yes","No"))</x:f>
        <x:v>Yes</x:v>
      </x:c>
      <x:c r="O11" s="9" t="str">
        <x:f>IF(C11="","",IF(N11="No","Outside selection",IF(R11&lt;&gt;"Valid","Review",IF(J11&lt;&gt;"Implemented","Open",IF(OR(K11="",NOT(ISNUMBER(L11)),NOT(ISNUMBER(M11)),L11&gt;Settings!$F$8,M11&lt;L11),"Evidence required",IF(M11&lt;Settings!$F$8,"Expired","Verified"))))))</x:f>
        <x:v>Open</x:v>
      </x:c>
      <x:c r="P11" s="9" t="str">
        <x:f>IF(C11="","",IF(AND(N11="Yes",O11&lt;&gt;"Verified",ISNUMBER(I11),I11&lt;Settings!$F$8),"Overdue","Current"))</x:f>
        <x:v>Current</x:v>
      </x:c>
      <x:c r="Q11" s="9" t="n">
        <x:f>IF(C11="","",IF(P11="Overdue",Settings!$F$8-I11,0))</x:f>
        <x:v>0</x:v>
      </x:c>
      <x:c r="R11" s="3" t="str">
        <x:f>IF(C11="","",IF(COUNTIF($C$9:$C$108,C11)&lt;&gt;1,"Duplicate ID",IF(OR(D11="",E11="",F11="",G11="",H11="",G11=H11,NOT(ISNUMBER(I11)),S11="",T11=""),"Incomplete","Valid")))</x:f>
        <x:v>Valid</x:v>
      </x:c>
      <x:c r="S11" s="8" t="str">
        <x:v>S01 I.8–9</x:v>
      </x:c>
      <x:c r="T11" s="8" t="str">
        <x:v>Supplied CBE translation</x:v>
      </x:c>
      <x:c r="U11" s="17" t="n">
        <x:f>IF(C11="","",IF(O11="Verified",1,0))</x:f>
        <x:v>0</x:v>
      </x:c>
    </x:row>
    <x:row r="12" ht="48" customHeight="1">
      <x:c r="A12" s="1"/>
      <x:c r="B12" s="1"/>
      <x:c r="C12" s="8" t="str">
        <x:v>EG-04</x:v>
      </x:c>
      <x:c r="D12" s="8" t="str">
        <x:v>Egypt</x:v>
      </x:c>
      <x:c r="E12" s="8" t="str">
        <x:v>Capability</x:v>
      </x:c>
      <x:c r="F12" s="8" t="str">
        <x:v>Training, management information and periodic ESRMS review</x:v>
      </x:c>
      <x:c r="G12" s="8" t="str">
        <x:v>Head of ESG</x:v>
      </x:c>
      <x:c r="H12" s="8" t="str">
        <x:v>Chief Risk Officer</x:v>
      </x:c>
      <x:c r="I12" s="10" t="n">
        <x:v>46388</x:v>
      </x:c>
      <x:c r="J12" s="8" t="str">
        <x:v>In progress</x:v>
      </x:c>
      <x:c r="K12" s="8" t="str"/>
      <x:c r="L12" s="10" t="str"/>
      <x:c r="M12" s="10" t="str"/>
      <x:c r="N12" s="9" t="str">
        <x:f>IF(C12="","",IF(OR(D12=Settings!$F$9,D12="Global"),"Yes","No"))</x:f>
        <x:v>Yes</x:v>
      </x:c>
      <x:c r="O12" s="9" t="str">
        <x:f>IF(C12="","",IF(N12="No","Outside selection",IF(R12&lt;&gt;"Valid","Review",IF(J12&lt;&gt;"Implemented","Open",IF(OR(K12="",NOT(ISNUMBER(L12)),NOT(ISNUMBER(M12)),L12&gt;Settings!$F$8,M12&lt;L12),"Evidence required",IF(M12&lt;Settings!$F$8,"Expired","Verified"))))))</x:f>
        <x:v>Open</x:v>
      </x:c>
      <x:c r="P12" s="9" t="str">
        <x:f>IF(C12="","",IF(AND(N12="Yes",O12&lt;&gt;"Verified",ISNUMBER(I12),I12&lt;Settings!$F$8),"Overdue","Current"))</x:f>
        <x:v>Current</x:v>
      </x:c>
      <x:c r="Q12" s="9" t="n">
        <x:f>IF(C12="","",IF(P12="Overdue",Settings!$F$8-I12,0))</x:f>
        <x:v>0</x:v>
      </x:c>
      <x:c r="R12" s="3" t="str">
        <x:f>IF(C12="","",IF(COUNTIF($C$9:$C$108,C12)&lt;&gt;1,"Duplicate ID",IF(OR(D12="",E12="",F12="",G12="",H12="",G12=H12,NOT(ISNUMBER(I12)),S12="",T12=""),"Incomplete","Valid")))</x:f>
        <x:v>Valid</x:v>
      </x:c>
      <x:c r="S12" s="8" t="str">
        <x:v>S01 I.10–11</x:v>
      </x:c>
      <x:c r="T12" s="8" t="str">
        <x:v>Supplied CBE translation</x:v>
      </x:c>
      <x:c r="U12" s="17" t="n">
        <x:f>IF(C12="","",IF(O12="Verified",1,0))</x:f>
        <x:v>0</x:v>
      </x:c>
    </x:row>
    <x:row r="13" ht="48" customHeight="1">
      <x:c r="A13" s="1"/>
      <x:c r="B13" s="1"/>
      <x:c r="C13" s="8" t="str">
        <x:v>EG-05</x:v>
      </x:c>
      <x:c r="D13" s="8" t="str">
        <x:v>Egypt</x:v>
      </x:c>
      <x:c r="E13" s="8" t="str">
        <x:v>Climate risk</x:v>
      </x:c>
      <x:c r="F13" s="8" t="str">
        <x:v>Climate identification, scenarios and management procedures</x:v>
      </x:c>
      <x:c r="G13" s="8" t="str">
        <x:v>Head of Risk Analytics</x:v>
      </x:c>
      <x:c r="H13" s="8" t="str">
        <x:v>Chief Risk Officer</x:v>
      </x:c>
      <x:c r="I13" s="10" t="n">
        <x:v>46568</x:v>
      </x:c>
      <x:c r="J13" s="8" t="str">
        <x:v>Planned</x:v>
      </x:c>
      <x:c r="K13" s="8" t="str"/>
      <x:c r="L13" s="10" t="str"/>
      <x:c r="M13" s="10" t="str"/>
      <x:c r="N13" s="9" t="str">
        <x:f>IF(C13="","",IF(OR(D13=Settings!$F$9,D13="Global"),"Yes","No"))</x:f>
        <x:v>Yes</x:v>
      </x:c>
      <x:c r="O13" s="9" t="str">
        <x:f>IF(C13="","",IF(N13="No","Outside selection",IF(R13&lt;&gt;"Valid","Review",IF(J13&lt;&gt;"Implemented","Open",IF(OR(K13="",NOT(ISNUMBER(L13)),NOT(ISNUMBER(M13)),L13&gt;Settings!$F$8,M13&lt;L13),"Evidence required",IF(M13&lt;Settings!$F$8,"Expired","Verified"))))))</x:f>
        <x:v>Open</x:v>
      </x:c>
      <x:c r="P13" s="9" t="str">
        <x:f>IF(C13="","",IF(AND(N13="Yes",O13&lt;&gt;"Verified",ISNUMBER(I13),I13&lt;Settings!$F$8),"Overdue","Current"))</x:f>
        <x:v>Current</x:v>
      </x:c>
      <x:c r="Q13" s="9" t="n">
        <x:f>IF(C13="","",IF(P13="Overdue",Settings!$F$8-I13,0))</x:f>
        <x:v>0</x:v>
      </x:c>
      <x:c r="R13" s="3" t="str">
        <x:f>IF(C13="","",IF(COUNTIF($C$9:$C$108,C13)&lt;&gt;1,"Duplicate ID",IF(OR(D13="",E13="",F13="",G13="",H13="",G13=H13,NOT(ISNUMBER(I13)),S13="",T13=""),"Incomplete","Valid")))</x:f>
        <x:v>Valid</x:v>
      </x:c>
      <x:c r="S13" s="8" t="str">
        <x:v>S01 II.1–7</x:v>
      </x:c>
      <x:c r="T13" s="8" t="str">
        <x:v>Climate manual guidance; confirm local scope</x:v>
      </x:c>
      <x:c r="U13" s="17" t="n">
        <x:f>IF(C13="","",IF(O13="Verified",1,0))</x:f>
        <x:v>0</x:v>
      </x:c>
    </x:row>
    <x:row r="14" ht="48" customHeight="1">
      <x:c r="A14" s="1"/>
      <x:c r="B14" s="1"/>
      <x:c r="C14" s="8" t="str">
        <x:v>EG-06</x:v>
      </x:c>
      <x:c r="D14" s="8" t="str">
        <x:v>Egypt</x:v>
      </x:c>
      <x:c r="E14" s="8" t="str">
        <x:v>Sustainable finance</x:v>
      </x:c>
      <x:c r="F14" s="8" t="str">
        <x:v>Independent sustainability function, board oversight and credit / investment policy integration</x:v>
      </x:c>
      <x:c r="G14" s="8" t="str">
        <x:v>Head of Sustainable Finance</x:v>
      </x:c>
      <x:c r="H14" s="8" t="str">
        <x:v>Chief Executive Officer</x:v>
      </x:c>
      <x:c r="I14" s="10" t="n">
        <x:v>46387</x:v>
      </x:c>
      <x:c r="J14" s="8" t="str">
        <x:v>Implemented</x:v>
      </x:c>
      <x:c r="K14" s="8" t="str">
        <x:v>SYN-CONTROL-EG-06</x:v>
      </x:c>
      <x:c r="L14" s="10" t="n">
        <x:v>46266</x:v>
      </x:c>
      <x:c r="M14" s="10" t="n">
        <x:v>46631</x:v>
      </x:c>
      <x:c r="N14" s="9" t="str">
        <x:f>IF(C14="","",IF(OR(D14=Settings!$F$9,D14="Global"),"Yes","No"))</x:f>
        <x:v>Yes</x:v>
      </x:c>
      <x:c r="O14" s="9" t="str">
        <x:f>IF(C14="","",IF(N14="No","Outside selection",IF(R14&lt;&gt;"Valid","Review",IF(J14&lt;&gt;"Implemented","Open",IF(OR(K14="",NOT(ISNUMBER(L14)),NOT(ISNUMBER(M14)),L14&gt;Settings!$F$8,M14&lt;L14),"Evidence required",IF(M14&lt;Settings!$F$8,"Expired","Verified"))))))</x:f>
        <x:v>Verified</x:v>
      </x:c>
      <x:c r="P14" s="9" t="str">
        <x:f>IF(C14="","",IF(AND(N14="Yes",O14&lt;&gt;"Verified",ISNUMBER(I14),I14&lt;Settings!$F$8),"Overdue","Current"))</x:f>
        <x:v>Current</x:v>
      </x:c>
      <x:c r="Q14" s="9" t="n">
        <x:f>IF(C14="","",IF(P14="Overdue",Settings!$F$8-I14,0))</x:f>
        <x:v>0</x:v>
      </x:c>
      <x:c r="R14" s="3" t="str">
        <x:f>IF(C14="","",IF(COUNTIF($C$9:$C$108,C14)&lt;&gt;1,"Duplicate ID",IF(OR(D14="",E14="",F14="",G14="",H14="",G14=H14,NOT(ISNUMBER(I14)),S14="",T14=""),"Incomplete","Valid")))</x:f>
        <x:v>Valid</x:v>
      </x:c>
      <x:c r="S14" s="8" t="str">
        <x:v>CBE 3 Nov2022 items1–4,6; profile EG-SF-2022</x:v>
      </x:c>
      <x:c r="T14" s="8" t="str">
        <x:v>Binding CBE framework; confirm entity scope</x:v>
      </x:c>
      <x:c r="U14" s="17" t="n">
        <x:f>IF(C14="","",IF(O14="Verified",1,0))</x:f>
        <x:v>1</x:v>
      </x:c>
    </x:row>
    <x:row r="15" ht="48" customHeight="1">
      <x:c r="A15" s="1"/>
      <x:c r="B15" s="1"/>
      <x:c r="C15" s="8" t="str">
        <x:v>EG-07</x:v>
      </x:c>
      <x:c r="D15" s="8" t="str">
        <x:v>Egypt</x:v>
      </x:c>
      <x:c r="E15" s="8" t="str">
        <x:v>Reporting</x:v>
      </x:c>
      <x:c r="F15" s="8" t="str">
        <x:v>Quarterly quantitative, semiannual status and annual board-approved GRI report controls</x:v>
      </x:c>
      <x:c r="G15" s="8" t="str">
        <x:v>Head of Reporting</x:v>
      </x:c>
      <x:c r="H15" s="8" t="str">
        <x:v>Chief Financial Officer</x:v>
      </x:c>
      <x:c r="I15" s="10" t="n">
        <x:v>46387</x:v>
      </x:c>
      <x:c r="J15" s="8" t="str">
        <x:v>In progress</x:v>
      </x:c>
      <x:c r="K15" s="8" t="str"/>
      <x:c r="L15" s="10" t="str"/>
      <x:c r="M15" s="10" t="str"/>
      <x:c r="N15" s="9" t="str">
        <x:f>IF(C15="","",IF(OR(D15=Settings!$F$9,D15="Global"),"Yes","No"))</x:f>
        <x:v>Yes</x:v>
      </x:c>
      <x:c r="O15" s="9" t="str">
        <x:f>IF(C15="","",IF(N15="No","Outside selection",IF(R15&lt;&gt;"Valid","Review",IF(J15&lt;&gt;"Implemented","Open",IF(OR(K15="",NOT(ISNUMBER(L15)),NOT(ISNUMBER(M15)),L15&gt;Settings!$F$8,M15&lt;L15),"Evidence required",IF(M15&lt;Settings!$F$8,"Expired","Verified"))))))</x:f>
        <x:v>Open</x:v>
      </x:c>
      <x:c r="P15" s="9" t="str">
        <x:f>IF(C15="","",IF(AND(N15="Yes",O15&lt;&gt;"Verified",ISNUMBER(I15),I15&lt;Settings!$F$8),"Overdue","Current"))</x:f>
        <x:v>Current</x:v>
      </x:c>
      <x:c r="Q15" s="9" t="n">
        <x:f>IF(C15="","",IF(P15="Overdue",Settings!$F$8-I15,0))</x:f>
        <x:v>0</x:v>
      </x:c>
      <x:c r="R15" s="3" t="str">
        <x:f>IF(C15="","",IF(COUNTIF($C$9:$C$108,C15)&lt;&gt;1,"Duplicate ID",IF(OR(D15="",E15="",F15="",G15="",H15="",G15=H15,NOT(ISNUMBER(I15)),S15="",T15=""),"Incomplete","Valid")))</x:f>
        <x:v>Valid</x:v>
      </x:c>
      <x:c r="S15" s="8" t="str">
        <x:v>CBE 2022 item5; profile EG-REPORT-2022</x:v>
      </x:c>
      <x:c r="T15" s="8" t="str">
        <x:v>Binding CBE framework; applicable templates separately verified</x:v>
      </x:c>
      <x:c r="U15" s="17" t="n">
        <x:f>IF(C15="","",IF(O15="Verified",1,0))</x:f>
        <x:v>0</x:v>
      </x:c>
    </x:row>
    <x:row r="16" ht="48" customHeight="1">
      <x:c r="A16" s="1"/>
      <x:c r="B16" s="1"/>
      <x:c r="C16" s="8" t="str">
        <x:v>EG-08</x:v>
      </x:c>
      <x:c r="D16" s="8" t="str">
        <x:v>Egypt</x:v>
      </x:c>
      <x:c r="E16" s="8" t="str">
        <x:v>Exporting clients</x:v>
      </x:c>
      <x:c r="F16" s="8" t="str">
        <x:v>Identify clients and reporting scope affected by CBAM directive</x:v>
      </x:c>
      <x:c r="G16" s="8" t="str">
        <x:v>Head of Corporate Banking</x:v>
      </x:c>
      <x:c r="H16" s="8" t="str">
        <x:v>Head of Reporting</x:v>
      </x:c>
      <x:c r="I16" s="10" t="n">
        <x:v>46387</x:v>
      </x:c>
      <x:c r="J16" s="8" t="str">
        <x:v>Planned</x:v>
      </x:c>
      <x:c r="K16" s="8" t="str"/>
      <x:c r="L16" s="10" t="str"/>
      <x:c r="M16" s="10" t="str"/>
      <x:c r="N16" s="9" t="str">
        <x:f>IF(C16="","",IF(OR(D16=Settings!$F$9,D16="Global"),"Yes","No"))</x:f>
        <x:v>Yes</x:v>
      </x:c>
      <x:c r="O16" s="9" t="str">
        <x:f>IF(C16="","",IF(N16="No","Outside selection",IF(R16&lt;&gt;"Valid","Review",IF(J16&lt;&gt;"Implemented","Open",IF(OR(K16="",NOT(ISNUMBER(L16)),NOT(ISNUMBER(M16)),L16&gt;Settings!$F$8,M16&lt;L16),"Evidence required",IF(M16&lt;Settings!$F$8,"Expired","Verified"))))))</x:f>
        <x:v>Open</x:v>
      </x:c>
      <x:c r="P16" s="9" t="str">
        <x:f>IF(C16="","",IF(AND(N16="Yes",O16&lt;&gt;"Verified",ISNUMBER(I16),I16&lt;Settings!$F$8),"Overdue","Current"))</x:f>
        <x:v>Current</x:v>
      </x:c>
      <x:c r="Q16" s="9" t="n">
        <x:f>IF(C16="","",IF(P16="Overdue",Settings!$F$8-I16,0))</x:f>
        <x:v>0</x:v>
      </x:c>
      <x:c r="R16" s="3" t="str">
        <x:f>IF(C16="","",IF(COUNTIF($C$9:$C$108,C16)&lt;&gt;1,"Duplicate ID",IF(OR(D16="",E16="",F16="",G16="",H16="",G16=H16,NOT(ISNUMBER(I16)),S16="",T16=""),"Incomplete","Valid")))</x:f>
        <x:v>Valid</x:v>
      </x:c>
      <x:c r="S16" s="8" t="str">
        <x:v>CBE 15 Jun2025; profile EG-CBAM-2025</x:v>
      </x:c>
      <x:c r="T16" s="8" t="str">
        <x:v>Binding directive; detailed reporting fields require current circular</x:v>
      </x:c>
      <x:c r="U16" s="17" t="n">
        <x:f>IF(C16="","",IF(O16="Verified",1,0))</x:f>
        <x:v>0</x:v>
      </x:c>
    </x:row>
    <x:row r="17" ht="48" customHeight="1">
      <x:c r="A17" s="1"/>
      <x:c r="B17" s="1"/>
      <x:c r="C17" s="8" t="str">
        <x:v>JO-01</x:v>
      </x:c>
      <x:c r="D17" s="8" t="str">
        <x:v>Jordan</x:v>
      </x:c>
      <x:c r="E17" s="8" t="str">
        <x:v>Governance</x:v>
      </x:c>
      <x:c r="F17" s="8" t="str">
        <x:v>Board oversight, strategy, risk appetite and three lines</x:v>
      </x:c>
      <x:c r="G17" s="8" t="str">
        <x:v>Chief Risk Officer</x:v>
      </x:c>
      <x:c r="H17" s="8" t="str">
        <x:v>Board risk committee</x:v>
      </x:c>
      <x:c r="I17" s="10" t="n">
        <x:v>46387</x:v>
      </x:c>
      <x:c r="J17" s="8" t="str">
        <x:v>Implemented</x:v>
      </x:c>
      <x:c r="K17" s="8" t="str">
        <x:v>SYN-CONTROL-JO-01</x:v>
      </x:c>
      <x:c r="L17" s="10" t="n">
        <x:v>46266</x:v>
      </x:c>
      <x:c r="M17" s="10" t="n">
        <x:v>46631</x:v>
      </x:c>
      <x:c r="N17" s="9" t="str">
        <x:f>IF(C17="","",IF(OR(D17=Settings!$F$9,D17="Global"),"Yes","No"))</x:f>
        <x:v>No</x:v>
      </x:c>
      <x:c r="O17" s="9" t="str">
        <x:f>IF(C17="","",IF(N17="No","Outside selection",IF(R17&lt;&gt;"Valid","Review",IF(J17&lt;&gt;"Implemented","Open",IF(OR(K17="",NOT(ISNUMBER(L17)),NOT(ISNUMBER(M17)),L17&gt;Settings!$F$8,M17&lt;L17),"Evidence required",IF(M17&lt;Settings!$F$8,"Expired","Verified"))))))</x:f>
        <x:v>Outside selection</x:v>
      </x:c>
      <x:c r="P17" s="9" t="str">
        <x:f>IF(C17="","",IF(AND(N17="Yes",O17&lt;&gt;"Verified",ISNUMBER(I17),I17&lt;Settings!$F$8),"Overdue","Current"))</x:f>
        <x:v>Current</x:v>
      </x:c>
      <x:c r="Q17" s="9" t="n">
        <x:f>IF(C17="","",IF(P17="Overdue",Settings!$F$8-I17,0))</x:f>
        <x:v>0</x:v>
      </x:c>
      <x:c r="R17" s="3" t="str">
        <x:f>IF(C17="","",IF(COUNTIF($C$9:$C$108,C17)&lt;&gt;1,"Duplicate ID",IF(OR(D17="",E17="",F17="",G17="",H17="",G17=H17,NOT(ISNUMBER(I17)),S17="",T17=""),"Incomplete","Valid")))</x:f>
        <x:v>Valid</x:v>
      </x:c>
      <x:c r="S17" s="8" t="str">
        <x:v>S02 Arts4–8 / S03</x:v>
      </x:c>
      <x:c r="T17" s="8" t="str">
        <x:v>CBJ No2/2025; covered entities only</x:v>
      </x:c>
      <x:c r="U17" s="17" t="n">
        <x:f>IF(C17="","",IF(O17="Verified",1,0))</x:f>
        <x:v>0</x:v>
      </x:c>
    </x:row>
    <x:row r="18" ht="48" customHeight="1">
      <x:c r="A18" s="1"/>
      <x:c r="B18" s="1"/>
      <x:c r="C18" s="8" t="str">
        <x:v>JO-02</x:v>
      </x:c>
      <x:c r="D18" s="8" t="str">
        <x:v>Jordan</x:v>
      </x:c>
      <x:c r="E18" s="8" t="str">
        <x:v>Climate risk</x:v>
      </x:c>
      <x:c r="F18" s="8" t="str">
        <x:v>Scenarios, ICAAP integration and climate data coverage</x:v>
      </x:c>
      <x:c r="G18" s="8" t="str">
        <x:v>Head of Risk Analytics</x:v>
      </x:c>
      <x:c r="H18" s="8" t="str">
        <x:v>Chief Risk Officer</x:v>
      </x:c>
      <x:c r="I18" s="10" t="n">
        <x:v>46387</x:v>
      </x:c>
      <x:c r="J18" s="8" t="str">
        <x:v>In progress</x:v>
      </x:c>
      <x:c r="K18" s="8" t="str"/>
      <x:c r="L18" s="10" t="str"/>
      <x:c r="M18" s="10" t="str"/>
      <x:c r="N18" s="9" t="str">
        <x:f>IF(C18="","",IF(OR(D18=Settings!$F$9,D18="Global"),"Yes","No"))</x:f>
        <x:v>No</x:v>
      </x:c>
      <x:c r="O18" s="9" t="str">
        <x:f>IF(C18="","",IF(N18="No","Outside selection",IF(R18&lt;&gt;"Valid","Review",IF(J18&lt;&gt;"Implemented","Open",IF(OR(K18="",NOT(ISNUMBER(L18)),NOT(ISNUMBER(M18)),L18&gt;Settings!$F$8,M18&lt;L18),"Evidence required",IF(M18&lt;Settings!$F$8,"Expired","Verified"))))))</x:f>
        <x:v>Outside selection</x:v>
      </x:c>
      <x:c r="P18" s="9" t="str">
        <x:f>IF(C18="","",IF(AND(N18="Yes",O18&lt;&gt;"Verified",ISNUMBER(I18),I18&lt;Settings!$F$8),"Overdue","Current"))</x:f>
        <x:v>Current</x:v>
      </x:c>
      <x:c r="Q18" s="9" t="n">
        <x:f>IF(C18="","",IF(P18="Overdue",Settings!$F$8-I18,0))</x:f>
        <x:v>0</x:v>
      </x:c>
      <x:c r="R18" s="3" t="str">
        <x:f>IF(C18="","",IF(COUNTIF($C$9:$C$108,C18)&lt;&gt;1,"Duplicate ID",IF(OR(D18="",E18="",F18="",G18="",H18="",G18=H18,NOT(ISNUMBER(I18)),S18="",T18=""),"Incomplete","Valid")))</x:f>
        <x:v>Valid</x:v>
      </x:c>
      <x:c r="S18" s="8" t="str">
        <x:v>S02 Arts8–10 / S03</x:v>
      </x:c>
      <x:c r="T18" s="8" t="str">
        <x:v>CBJ No2/2025; covered entities only</x:v>
      </x:c>
      <x:c r="U18" s="17" t="n">
        <x:f>IF(C18="","",IF(O18="Verified",1,0))</x:f>
        <x:v>0</x:v>
      </x:c>
    </x:row>
    <x:row r="19" ht="48" customHeight="1">
      <x:c r="A19" s="1"/>
      <x:c r="B19" s="1"/>
      <x:c r="C19" s="8" t="str">
        <x:v>JO-03</x:v>
      </x:c>
      <x:c r="D19" s="8" t="str">
        <x:v>Jordan</x:v>
      </x:c>
      <x:c r="E19" s="8" t="str">
        <x:v>Disclosure</x:v>
      </x:c>
      <x:c r="F19" s="8" t="str">
        <x:v>Entity boundary, phase-in and public/supervisor outputs mapped</x:v>
      </x:c>
      <x:c r="G19" s="8" t="str">
        <x:v>Head of Reporting</x:v>
      </x:c>
      <x:c r="H19" s="8" t="str">
        <x:v>Chief Financial Officer</x:v>
      </x:c>
      <x:c r="I19" s="10" t="n">
        <x:v>46387</x:v>
      </x:c>
      <x:c r="J19" s="8" t="str">
        <x:v>Planned</x:v>
      </x:c>
      <x:c r="K19" s="8" t="str"/>
      <x:c r="L19" s="10" t="str"/>
      <x:c r="M19" s="10" t="str"/>
      <x:c r="N19" s="9" t="str">
        <x:f>IF(C19="","",IF(OR(D19=Settings!$F$9,D19="Global"),"Yes","No"))</x:f>
        <x:v>No</x:v>
      </x:c>
      <x:c r="O19" s="9" t="str">
        <x:f>IF(C19="","",IF(N19="No","Outside selection",IF(R19&lt;&gt;"Valid","Review",IF(J19&lt;&gt;"Implemented","Open",IF(OR(K19="",NOT(ISNUMBER(L19)),NOT(ISNUMBER(M19)),L19&gt;Settings!$F$8,M19&lt;L19),"Evidence required",IF(M19&lt;Settings!$F$8,"Expired","Verified"))))))</x:f>
        <x:v>Outside selection</x:v>
      </x:c>
      <x:c r="P19" s="9" t="str">
        <x:f>IF(C19="","",IF(AND(N19="Yes",O19&lt;&gt;"Verified",ISNUMBER(I19),I19&lt;Settings!$F$8),"Overdue","Current"))</x:f>
        <x:v>Current</x:v>
      </x:c>
      <x:c r="Q19" s="9" t="n">
        <x:f>IF(C19="","",IF(P19="Overdue",Settings!$F$8-I19,0))</x:f>
        <x:v>0</x:v>
      </x:c>
      <x:c r="R19" s="3" t="str">
        <x:f>IF(C19="","",IF(COUNTIF($C$9:$C$108,C19)&lt;&gt;1,"Duplicate ID",IF(OR(D19="",E19="",F19="",G19="",H19="",G19=H19,NOT(ISNUMBER(I19)),S19="",T19=""),"Incomplete","Valid")))</x:f>
        <x:v>Valid</x:v>
      </x:c>
      <x:c r="S19" s="8" t="str">
        <x:v>S04 main rules + Annexes1/2</x:v>
      </x:c>
      <x:c r="T19" s="8" t="str">
        <x:v>CBJ No1/2026; entity/phase assessment required</x:v>
      </x:c>
      <x:c r="U19" s="17" t="n">
        <x:f>IF(C19="","",IF(O19="Verified",1,0))</x:f>
        <x:v>0</x:v>
      </x:c>
    </x:row>
    <x:row r="20" ht="48" customHeight="1">
      <x:c r="A20" s="1"/>
      <x:c r="B20" s="1"/>
      <x:c r="C20" s="8" t="str">
        <x:v>JO-04</x:v>
      </x:c>
      <x:c r="D20" s="8" t="str">
        <x:v>Jordan</x:v>
      </x:c>
      <x:c r="E20" s="8" t="str">
        <x:v>Taxonomy</x:v>
      </x:c>
      <x:c r="F20" s="8" t="str">
        <x:v>Activity evidence, DNSH and MSS independently reviewed</x:v>
      </x:c>
      <x:c r="G20" s="8" t="str">
        <x:v>Head of ESG</x:v>
      </x:c>
      <x:c r="H20" s="8" t="str">
        <x:v>Chief Risk Officer</x:v>
      </x:c>
      <x:c r="I20" s="10" t="n">
        <x:v>46387</x:v>
      </x:c>
      <x:c r="J20" s="8" t="str">
        <x:v>In progress</x:v>
      </x:c>
      <x:c r="K20" s="8" t="str"/>
      <x:c r="L20" s="10" t="str"/>
      <x:c r="M20" s="10" t="str"/>
      <x:c r="N20" s="9" t="str">
        <x:f>IF(C20="","",IF(OR(D20=Settings!$F$9,D20="Global"),"Yes","No"))</x:f>
        <x:v>No</x:v>
      </x:c>
      <x:c r="O20" s="9" t="str">
        <x:f>IF(C20="","",IF(N20="No","Outside selection",IF(R20&lt;&gt;"Valid","Review",IF(J20&lt;&gt;"Implemented","Open",IF(OR(K20="",NOT(ISNUMBER(L20)),NOT(ISNUMBER(M20)),L20&gt;Settings!$F$8,M20&lt;L20),"Evidence required",IF(M20&lt;Settings!$F$8,"Expired","Verified"))))))</x:f>
        <x:v>Outside selection</x:v>
      </x:c>
      <x:c r="P20" s="9" t="str">
        <x:f>IF(C20="","",IF(AND(N20="Yes",O20&lt;&gt;"Verified",ISNUMBER(I20),I20&lt;Settings!$F$8),"Overdue","Current"))</x:f>
        <x:v>Current</x:v>
      </x:c>
      <x:c r="Q20" s="9" t="n">
        <x:f>IF(C20="","",IF(P20="Overdue",Settings!$F$8-I20,0))</x:f>
        <x:v>0</x:v>
      </x:c>
      <x:c r="R20" s="3" t="str">
        <x:f>IF(C20="","",IF(COUNTIF($C$9:$C$108,C20)&lt;&gt;1,"Duplicate ID",IF(OR(D20="",E20="",F20="",G20="",H20="",G20=H20,NOT(ISNUMBER(I20)),S20="",T20=""),"Incomplete","Valid")))</x:f>
        <x:v>Valid</x:v>
      </x:c>
      <x:c r="S20" s="8" t="str">
        <x:v>S10 pp28–32</x:v>
      </x:c>
      <x:c r="T20" s="8" t="str">
        <x:v>Jordan taxonomy; scope of claim controlled</x:v>
      </x:c>
      <x:c r="U20" s="17" t="n">
        <x:f>IF(C20="","",IF(O20="Verified",1,0))</x:f>
        <x:v>0</x:v>
      </x:c>
    </x:row>
    <x:row r="21" ht="48" customHeight="1">
      <x:c r="A21" s="1"/>
      <x:c r="B21" s="1"/>
      <x:c r="C21" s="8" t="str">
        <x:v>AE-01</x:v>
      </x:c>
      <x:c r="D21" s="8" t="str">
        <x:v>UAE</x:v>
      </x:c>
      <x:c r="E21" s="8" t="str">
        <x:v>Governance</x:v>
      </x:c>
      <x:c r="F21" s="8" t="str">
        <x:v>Board oversight, climate strategy and annual climate appetite review</x:v>
      </x:c>
      <x:c r="G21" s="8" t="str">
        <x:v>Chief Risk Officer</x:v>
      </x:c>
      <x:c r="H21" s="8" t="str">
        <x:v>Board risk committee</x:v>
      </x:c>
      <x:c r="I21" s="10" t="n">
        <x:v>46387</x:v>
      </x:c>
      <x:c r="J21" s="8" t="str">
        <x:v>Implemented</x:v>
      </x:c>
      <x:c r="K21" s="8" t="str">
        <x:v>SYN-CONTROL-AE-01</x:v>
      </x:c>
      <x:c r="L21" s="10" t="n">
        <x:v>46266</x:v>
      </x:c>
      <x:c r="M21" s="10" t="n">
        <x:v>46631</x:v>
      </x:c>
      <x:c r="N21" s="9" t="str">
        <x:f>IF(C21="","",IF(OR(D21=Settings!$F$9,D21="Global"),"Yes","No"))</x:f>
        <x:v>No</x:v>
      </x:c>
      <x:c r="O21" s="9" t="str">
        <x:f>IF(C21="","",IF(N21="No","Outside selection",IF(R21&lt;&gt;"Valid","Review",IF(J21&lt;&gt;"Implemented","Open",IF(OR(K21="",NOT(ISNUMBER(L21)),NOT(ISNUMBER(M21)),L21&gt;Settings!$F$8,M21&lt;L21),"Evidence required",IF(M21&lt;Settings!$F$8,"Expired","Verified"))))))</x:f>
        <x:v>Outside selection</x:v>
      </x:c>
      <x:c r="P21" s="9" t="str">
        <x:f>IF(C21="","",IF(AND(N21="Yes",O21&lt;&gt;"Verified",ISNUMBER(I21),I21&lt;Settings!$F$8),"Overdue","Current"))</x:f>
        <x:v>Current</x:v>
      </x:c>
      <x:c r="Q21" s="9" t="n">
        <x:f>IF(C21="","",IF(P21="Overdue",Settings!$F$8-I21,0))</x:f>
        <x:v>0</x:v>
      </x:c>
      <x:c r="R21" s="3" t="str">
        <x:f>IF(C21="","",IF(COUNTIF($C$9:$C$108,C21)&lt;&gt;1,"Duplicate ID",IF(OR(D21="",E21="",F21="",G21="",H21="",G21=H21,NOT(ISNUMBER(I21)),S21="",T21=""),"Incomplete","Valid")))</x:f>
        <x:v>Valid</x:v>
      </x:c>
      <x:c r="S21" s="8" t="str">
        <x:v>CBUAE C8/2025 Arts2–3; profile AE-CRM-2025</x:v>
      </x:c>
      <x:c r="T21" s="8" t="str">
        <x:v>Binding CBUAE regulation; covered solo / group scope</x:v>
      </x:c>
      <x:c r="U21" s="17" t="n">
        <x:f>IF(C21="","",IF(O21="Verified",1,0))</x:f>
        <x:v>0</x:v>
      </x:c>
    </x:row>
    <x:row r="22" ht="48" customHeight="1">
      <x:c r="A22" s="1"/>
      <x:c r="B22" s="1"/>
      <x:c r="C22" s="8" t="str">
        <x:v>AE-02</x:v>
      </x:c>
      <x:c r="D22" s="8" t="str">
        <x:v>UAE</x:v>
      </x:c>
      <x:c r="E22" s="8" t="str">
        <x:v>Climate risk</x:v>
      </x:c>
      <x:c r="F22" s="8" t="str">
        <x:v>Climate data and risk management across customer / portfolio life cycle</x:v>
      </x:c>
      <x:c r="G22" s="8" t="str">
        <x:v>Head of Risk Analytics</x:v>
      </x:c>
      <x:c r="H22" s="8" t="str">
        <x:v>Chief Risk Officer</x:v>
      </x:c>
      <x:c r="I22" s="10" t="n">
        <x:v>46387</x:v>
      </x:c>
      <x:c r="J22" s="8" t="str">
        <x:v>In progress</x:v>
      </x:c>
      <x:c r="K22" s="8" t="str"/>
      <x:c r="L22" s="10" t="str"/>
      <x:c r="M22" s="10" t="str"/>
      <x:c r="N22" s="9" t="str">
        <x:f>IF(C22="","",IF(OR(D22=Settings!$F$9,D22="Global"),"Yes","No"))</x:f>
        <x:v>No</x:v>
      </x:c>
      <x:c r="O22" s="9" t="str">
        <x:f>IF(C22="","",IF(N22="No","Outside selection",IF(R22&lt;&gt;"Valid","Review",IF(J22&lt;&gt;"Implemented","Open",IF(OR(K22="",NOT(ISNUMBER(L22)),NOT(ISNUMBER(M22)),L22&gt;Settings!$F$8,M22&lt;L22),"Evidence required",IF(M22&lt;Settings!$F$8,"Expired","Verified"))))))</x:f>
        <x:v>Outside selection</x:v>
      </x:c>
      <x:c r="P22" s="9" t="str">
        <x:f>IF(C22="","",IF(AND(N22="Yes",O22&lt;&gt;"Verified",ISNUMBER(I22),I22&lt;Settings!$F$8),"Overdue","Current"))</x:f>
        <x:v>Current</x:v>
      </x:c>
      <x:c r="Q22" s="9" t="n">
        <x:f>IF(C22="","",IF(P22="Overdue",Settings!$F$8-I22,0))</x:f>
        <x:v>0</x:v>
      </x:c>
      <x:c r="R22" s="3" t="str">
        <x:f>IF(C22="","",IF(COUNTIF($C$9:$C$108,C22)&lt;&gt;1,"Duplicate ID",IF(OR(D22="",E22="",F22="",G22="",H22="",G22=H22,NOT(ISNUMBER(I22)),S22="",T22=""),"Incomplete","Valid")))</x:f>
        <x:v>Valid</x:v>
      </x:c>
      <x:c r="S22" s="8" t="str">
        <x:v>CBUAE C8/2025 Arts3–4; profile AE-CRM-2025</x:v>
      </x:c>
      <x:c r="T22" s="8" t="str">
        <x:v>Binding CBUAE regulation; supervisory acceptance of proportionality</x:v>
      </x:c>
      <x:c r="U22" s="17" t="n">
        <x:f>IF(C22="","",IF(O22="Verified",1,0))</x:f>
        <x:v>0</x:v>
      </x:c>
    </x:row>
    <x:row r="23" ht="48" customHeight="1">
      <x:c r="A23" s="1"/>
      <x:c r="B23" s="1"/>
      <x:c r="C23" s="8" t="str">
        <x:v>AE-03</x:v>
      </x:c>
      <x:c r="D23" s="8" t="str">
        <x:v>UAE</x:v>
      </x:c>
      <x:c r="E23" s="8" t="str">
        <x:v>Capital planning</x:v>
      </x:c>
      <x:c r="F23" s="8" t="str">
        <x:v>Climate impacts included in ICAAP and relevant scenario assessment</x:v>
      </x:c>
      <x:c r="G23" s="8" t="str">
        <x:v>Head of Risk Analytics</x:v>
      </x:c>
      <x:c r="H23" s="8" t="str">
        <x:v>Chief Risk Officer</x:v>
      </x:c>
      <x:c r="I23" s="10" t="n">
        <x:v>46387</x:v>
      </x:c>
      <x:c r="J23" s="8" t="str">
        <x:v>In progress</x:v>
      </x:c>
      <x:c r="K23" s="8" t="str"/>
      <x:c r="L23" s="10" t="str"/>
      <x:c r="M23" s="10" t="str"/>
      <x:c r="N23" s="9" t="str">
        <x:f>IF(C23="","",IF(OR(D23=Settings!$F$9,D23="Global"),"Yes","No"))</x:f>
        <x:v>No</x:v>
      </x:c>
      <x:c r="O23" s="9" t="str">
        <x:f>IF(C23="","",IF(N23="No","Outside selection",IF(R23&lt;&gt;"Valid","Review",IF(J23&lt;&gt;"Implemented","Open",IF(OR(K23="",NOT(ISNUMBER(L23)),NOT(ISNUMBER(M23)),L23&gt;Settings!$F$8,M23&lt;L23),"Evidence required",IF(M23&lt;Settings!$F$8,"Expired","Verified"))))))</x:f>
        <x:v>Outside selection</x:v>
      </x:c>
      <x:c r="P23" s="9" t="str">
        <x:f>IF(C23="","",IF(AND(N23="Yes",O23&lt;&gt;"Verified",ISNUMBER(I23),I23&lt;Settings!$F$8),"Overdue","Current"))</x:f>
        <x:v>Current</x:v>
      </x:c>
      <x:c r="Q23" s="9" t="n">
        <x:f>IF(C23="","",IF(P23="Overdue",Settings!$F$8-I23,0))</x:f>
        <x:v>0</x:v>
      </x:c>
      <x:c r="R23" s="3" t="str">
        <x:f>IF(C23="","",IF(COUNTIF($C$9:$C$108,C23)&lt;&gt;1,"Duplicate ID",IF(OR(D23="",E23="",F23="",G23="",H23="",G23=H23,NOT(ISNUMBER(I23)),S23="",T23=""),"Incomplete","Valid")))</x:f>
        <x:v>Valid</x:v>
      </x:c>
      <x:c r="S23" s="8" t="str">
        <x:v>CBUAE C8/2025 Arts4–5; profile AE-CRM-2025</x:v>
      </x:c>
      <x:c r="T23" s="8" t="str">
        <x:v>Binding CBUAE regulation; no automatic score-to-capital formula</x:v>
      </x:c>
      <x:c r="U23" s="17" t="n">
        <x:f>IF(C23="","",IF(O23="Verified",1,0))</x:f>
        <x:v>0</x:v>
      </x:c>
    </x:row>
    <x:row r="24" ht="48" customHeight="1">
      <x:c r="A24" s="1"/>
      <x:c r="B24" s="1"/>
      <x:c r="C24" s="8" t="str">
        <x:v>AE-04</x:v>
      </x:c>
      <x:c r="D24" s="8" t="str">
        <x:v>UAE</x:v>
      </x:c>
      <x:c r="E24" s="8" t="str">
        <x:v>Product governance</x:v>
      </x:c>
      <x:c r="F24" s="8" t="str">
        <x:v>Evidence and governance for green product labels and communications</x:v>
      </x:c>
      <x:c r="G24" s="8" t="str">
        <x:v>Head of Sustainable Finance</x:v>
      </x:c>
      <x:c r="H24" s="8" t="str">
        <x:v>Chief Risk Officer</x:v>
      </x:c>
      <x:c r="I24" s="10" t="n">
        <x:v>46387</x:v>
      </x:c>
      <x:c r="J24" s="8" t="str">
        <x:v>Planned</x:v>
      </x:c>
      <x:c r="K24" s="8" t="str"/>
      <x:c r="L24" s="10" t="str"/>
      <x:c r="M24" s="10" t="str"/>
      <x:c r="N24" s="9" t="str">
        <x:f>IF(C24="","",IF(OR(D24=Settings!$F$9,D24="Global"),"Yes","No"))</x:f>
        <x:v>No</x:v>
      </x:c>
      <x:c r="O24" s="9" t="str">
        <x:f>IF(C24="","",IF(N24="No","Outside selection",IF(R24&lt;&gt;"Valid","Review",IF(J24&lt;&gt;"Implemented","Open",IF(OR(K24="",NOT(ISNUMBER(L24)),NOT(ISNUMBER(M24)),L24&gt;Settings!$F$8,M24&lt;L24),"Evidence required",IF(M24&lt;Settings!$F$8,"Expired","Verified"))))))</x:f>
        <x:v>Outside selection</x:v>
      </x:c>
      <x:c r="P24" s="9" t="str">
        <x:f>IF(C24="","",IF(AND(N24="Yes",O24&lt;&gt;"Verified",ISNUMBER(I24),I24&lt;Settings!$F$8),"Overdue","Current"))</x:f>
        <x:v>Current</x:v>
      </x:c>
      <x:c r="Q24" s="9" t="n">
        <x:f>IF(C24="","",IF(P24="Overdue",Settings!$F$8-I24,0))</x:f>
        <x:v>0</x:v>
      </x:c>
      <x:c r="R24" s="3" t="str">
        <x:f>IF(C24="","",IF(COUNTIF($C$9:$C$108,C24)&lt;&gt;1,"Duplicate ID",IF(OR(D24="",E24="",F24="",G24="",H24="",G24=H24,NOT(ISNUMBER(I24)),S24="",T24=""),"Incomplete","Valid")))</x:f>
        <x:v>Valid</x:v>
      </x:c>
      <x:c r="S24" s="8" t="str">
        <x:v>CBUAE C8/2025 Arts3–4; profile AE-CRM-2025</x:v>
      </x:c>
      <x:c r="T24" s="8" t="str">
        <x:v>Binding CBUAE regulation; scheme-specific criteria remain separate</x:v>
      </x:c>
      <x:c r="U24" s="17" t="n">
        <x:f>IF(C24="","",IF(O24="Verified",1,0))</x:f>
        <x:v>0</x:v>
      </x:c>
    </x:row>
    <x:row r="25" ht="48" customHeight="1">
      <x:c r="A25" s="1"/>
      <x:c r="B25" s="1"/>
      <x:c r="C25" s="8" t="str">
        <x:v>AE-05</x:v>
      </x:c>
      <x:c r="D25" s="8" t="str">
        <x:v>UAE</x:v>
      </x:c>
      <x:c r="E25" s="8" t="str">
        <x:v>Compliance plan</x:v>
      </x:c>
      <x:c r="F25" s="8" t="str">
        <x:v>If unable to demonstrate full compliance, submit plan for CBUAE assessment</x:v>
      </x:c>
      <x:c r="G25" s="8" t="str">
        <x:v>Chief Risk Officer</x:v>
      </x:c>
      <x:c r="H25" s="8" t="str">
        <x:v>Board risk committee</x:v>
      </x:c>
      <x:c r="I25" s="10" t="n">
        <x:v>46387</x:v>
      </x:c>
      <x:c r="J25" s="8" t="str">
        <x:v>Planned</x:v>
      </x:c>
      <x:c r="K25" s="8" t="str"/>
      <x:c r="L25" s="10" t="str"/>
      <x:c r="M25" s="10" t="str"/>
      <x:c r="N25" s="9" t="str">
        <x:f>IF(C25="","",IF(OR(D25=Settings!$F$9,D25="Global"),"Yes","No"))</x:f>
        <x:v>No</x:v>
      </x:c>
      <x:c r="O25" s="9" t="str">
        <x:f>IF(C25="","",IF(N25="No","Outside selection",IF(R25&lt;&gt;"Valid","Review",IF(J25&lt;&gt;"Implemented","Open",IF(OR(K25="",NOT(ISNUMBER(L25)),NOT(ISNUMBER(M25)),L25&gt;Settings!$F$8,M25&lt;L25),"Evidence required",IF(M25&lt;Settings!$F$8,"Expired","Verified"))))))</x:f>
        <x:v>Outside selection</x:v>
      </x:c>
      <x:c r="P25" s="9" t="str">
        <x:f>IF(C25="","",IF(AND(N25="Yes",O25&lt;&gt;"Verified",ISNUMBER(I25),I25&lt;Settings!$F$8),"Overdue","Current"))</x:f>
        <x:v>Current</x:v>
      </x:c>
      <x:c r="Q25" s="9" t="n">
        <x:f>IF(C25="","",IF(P25="Overdue",Settings!$F$8-I25,0))</x:f>
        <x:v>0</x:v>
      </x:c>
      <x:c r="R25" s="3" t="str">
        <x:f>IF(C25="","",IF(COUNTIF($C$9:$C$108,C25)&lt;&gt;1,"Duplicate ID",IF(OR(D25="",E25="",F25="",G25="",H25="",G25=H25,NOT(ISNUMBER(I25)),S25="",T25=""),"Incomplete","Valid")))</x:f>
        <x:v>Valid</x:v>
      </x:c>
      <x:c r="S25" s="8" t="str">
        <x:v>CBUAE C8/2025 Art8; profile AE-CRM-2025</x:v>
      </x:c>
      <x:c r="T25" s="8" t="str">
        <x:v>Binding regulation in force; no invented grace date</x:v>
      </x:c>
      <x:c r="U25" s="17" t="n">
        <x:f>IF(C25="","",IF(O25="Verified",1,0))</x:f>
        <x:v>0</x:v>
      </x:c>
    </x:row>
    <x:row r="26" ht="48" customHeight="1">
      <x:c r="A26" s="1"/>
      <x:c r="B26" s="1"/>
      <x:c r="C26" s="8" t="str">
        <x:v>GL-01</x:v>
      </x:c>
      <x:c r="D26" s="8" t="str">
        <x:v>Global</x:v>
      </x:c>
      <x:c r="E26" s="8" t="str">
        <x:v>Data</x:v>
      </x:c>
      <x:c r="F26" s="8" t="str">
        <x:v>Inventory boundaries, source evidence and data quality</x:v>
      </x:c>
      <x:c r="G26" s="8" t="str">
        <x:v>Head of ESG Data</x:v>
      </x:c>
      <x:c r="H26" s="8" t="str">
        <x:v>Head of ESG</x:v>
      </x:c>
      <x:c r="I26" s="10" t="n">
        <x:v>46387</x:v>
      </x:c>
      <x:c r="J26" s="8" t="str">
        <x:v>Implemented</x:v>
      </x:c>
      <x:c r="K26" s="8" t="str">
        <x:v>SYN-CONTROL-GL-01</x:v>
      </x:c>
      <x:c r="L26" s="10" t="n">
        <x:v>46266</x:v>
      </x:c>
      <x:c r="M26" s="10" t="n">
        <x:v>46631</x:v>
      </x:c>
      <x:c r="N26" s="9" t="str">
        <x:f>IF(C26="","",IF(OR(D26=Settings!$F$9,D26="Global"),"Yes","No"))</x:f>
        <x:v>Yes</x:v>
      </x:c>
      <x:c r="O26" s="9" t="str">
        <x:f>IF(C26="","",IF(N26="No","Outside selection",IF(R26&lt;&gt;"Valid","Review",IF(J26&lt;&gt;"Implemented","Open",IF(OR(K26="",NOT(ISNUMBER(L26)),NOT(ISNUMBER(M26)),L26&gt;Settings!$F$8,M26&lt;L26),"Evidence required",IF(M26&lt;Settings!$F$8,"Expired","Verified"))))))</x:f>
        <x:v>Verified</x:v>
      </x:c>
      <x:c r="P26" s="9" t="str">
        <x:f>IF(C26="","",IF(AND(N26="Yes",O26&lt;&gt;"Verified",ISNUMBER(I26),I26&lt;Settings!$F$8),"Overdue","Current"))</x:f>
        <x:v>Current</x:v>
      </x:c>
      <x:c r="Q26" s="9" t="n">
        <x:f>IF(C26="","",IF(P26="Overdue",Settings!$F$8-I26,0))</x:f>
        <x:v>0</x:v>
      </x:c>
      <x:c r="R26" s="3" t="str">
        <x:f>IF(C26="","",IF(COUNTIF($C$9:$C$108,C26)&lt;&gt;1,"Duplicate ID",IF(OR(D26="",E26="",F26="",G26="",H26="",G26=H26,NOT(ISNUMBER(I26)),S26="",T26=""),"Incomplete","Valid")))</x:f>
        <x:v>Valid</x:v>
      </x:c>
      <x:c r="S26" s="8" t="str">
        <x:v>S26–S36</x:v>
      </x:c>
      <x:c r="T26" s="8" t="str">
        <x:v>Method standards / chosen version</x:v>
      </x:c>
      <x:c r="U26" s="17" t="n">
        <x:f>IF(C26="","",IF(O26="Verified",1,0))</x:f>
        <x:v>1</x:v>
      </x:c>
    </x:row>
    <x:row r="27" ht="48" customHeight="1">
      <x:c r="A27" s="1"/>
      <x:c r="B27" s="1"/>
      <x:c r="C27" s="8" t="str">
        <x:v>GL-02</x:v>
      </x:c>
      <x:c r="D27" s="8" t="str">
        <x:v>Global</x:v>
      </x:c>
      <x:c r="E27" s="8" t="str">
        <x:v>Reporting</x:v>
      </x:c>
      <x:c r="F27" s="8" t="str">
        <x:v>Material matters, targets and reporting perimeter approved</x:v>
      </x:c>
      <x:c r="G27" s="8" t="str">
        <x:v>Head of Reporting</x:v>
      </x:c>
      <x:c r="H27" s="8" t="str">
        <x:v>Chief Financial Officer</x:v>
      </x:c>
      <x:c r="I27" s="10" t="n">
        <x:v>46387</x:v>
      </x:c>
      <x:c r="J27" s="8" t="str">
        <x:v>In progress</x:v>
      </x:c>
      <x:c r="K27" s="8" t="str"/>
      <x:c r="L27" s="10" t="str"/>
      <x:c r="M27" s="10" t="str"/>
      <x:c r="N27" s="9" t="str">
        <x:f>IF(C27="","",IF(OR(D27=Settings!$F$9,D27="Global"),"Yes","No"))</x:f>
        <x:v>Yes</x:v>
      </x:c>
      <x:c r="O27" s="9" t="str">
        <x:f>IF(C27="","",IF(N27="No","Outside selection",IF(R27&lt;&gt;"Valid","Review",IF(J27&lt;&gt;"Implemented","Open",IF(OR(K27="",NOT(ISNUMBER(L27)),NOT(ISNUMBER(M27)),L27&gt;Settings!$F$8,M27&lt;L27),"Evidence required",IF(M27&lt;Settings!$F$8,"Expired","Verified"))))))</x:f>
        <x:v>Open</x:v>
      </x:c>
      <x:c r="P27" s="9" t="str">
        <x:f>IF(C27="","",IF(AND(N27="Yes",O27&lt;&gt;"Verified",ISNUMBER(I27),I27&lt;Settings!$F$8),"Overdue","Current"))</x:f>
        <x:v>Current</x:v>
      </x:c>
      <x:c r="Q27" s="9" t="n">
        <x:f>IF(C27="","",IF(P27="Overdue",Settings!$F$8-I27,0))</x:f>
        <x:v>0</x:v>
      </x:c>
      <x:c r="R27" s="3" t="str">
        <x:f>IF(C27="","",IF(COUNTIF($C$9:$C$108,C27)&lt;&gt;1,"Duplicate ID",IF(OR(D27="",E27="",F27="",G27="",H27="",G27=H27,NOT(ISNUMBER(I27)),S27="",T27=""),"Incomplete","Valid")))</x:f>
        <x:v>Valid</x:v>
      </x:c>
      <x:c r="S27" s="8" t="str">
        <x:v>S06 / S13 / framework Part10</x:v>
      </x:c>
      <x:c r="T27" s="8" t="str">
        <x:v>Reporting guidance; local applicability separate</x:v>
      </x:c>
      <x:c r="U27" s="17" t="n">
        <x:f>IF(C27="","",IF(O27="Verified",1,0))</x:f>
        <x:v>0</x:v>
      </x:c>
    </x:row>
    <x:row r="28" ht="48" customHeight="1">
      <x:c r="A28" s="1"/>
      <x:c r="B28" s="1"/>
      <x:c r="C28" s="8" t="str">
        <x:v>GL-03</x:v>
      </x:c>
      <x:c r="D28" s="8" t="str">
        <x:v>Global</x:v>
      </x:c>
      <x:c r="E28" s="8" t="str">
        <x:v>Validation</x:v>
      </x:c>
      <x:c r="F28" s="8" t="str">
        <x:v>Model limitations, overlays and independent validation tracked</x:v>
      </x:c>
      <x:c r="G28" s="8" t="str">
        <x:v>Model Risk Head</x:v>
      </x:c>
      <x:c r="H28" s="8" t="str">
        <x:v>Chief Risk Officer</x:v>
      </x:c>
      <x:c r="I28" s="10" t="n">
        <x:v>46387</x:v>
      </x:c>
      <x:c r="J28" s="8" t="str">
        <x:v>Planned</x:v>
      </x:c>
      <x:c r="K28" s="8" t="str"/>
      <x:c r="L28" s="10" t="str"/>
      <x:c r="M28" s="10" t="str"/>
      <x:c r="N28" s="9" t="str">
        <x:f>IF(C28="","",IF(OR(D28=Settings!$F$9,D28="Global"),"Yes","No"))</x:f>
        <x:v>Yes</x:v>
      </x:c>
      <x:c r="O28" s="9" t="str">
        <x:f>IF(C28="","",IF(N28="No","Outside selection",IF(R28&lt;&gt;"Valid","Review",IF(J28&lt;&gt;"Implemented","Open",IF(OR(K28="",NOT(ISNUMBER(L28)),NOT(ISNUMBER(M28)),L28&gt;Settings!$F$8,M28&lt;L28),"Evidence required",IF(M28&lt;Settings!$F$8,"Expired","Verified"))))))</x:f>
        <x:v>Open</x:v>
      </x:c>
      <x:c r="P28" s="9" t="str">
        <x:f>IF(C28="","",IF(AND(N28="Yes",O28&lt;&gt;"Verified",ISNUMBER(I28),I28&lt;Settings!$F$8),"Overdue","Current"))</x:f>
        <x:v>Current</x:v>
      </x:c>
      <x:c r="Q28" s="9" t="n">
        <x:f>IF(C28="","",IF(P28="Overdue",Settings!$F$8-I28,0))</x:f>
        <x:v>0</x:v>
      </x:c>
      <x:c r="R28" s="3" t="str">
        <x:f>IF(C28="","",IF(COUNTIF($C$9:$C$108,C28)&lt;&gt;1,"Duplicate ID",IF(OR(D28="",E28="",F28="",G28="",H28="",G28=H28,NOT(ISNUMBER(I28)),S28="",T28=""),"Incomplete","Valid")))</x:f>
        <x:v>Valid</x:v>
      </x:c>
      <x:c r="S28" s="8" t="str">
        <x:v>S14–S22; bank policy</x:v>
      </x:c>
      <x:c r="T28" s="8" t="str">
        <x:v>Methodological guidance / internal control</x:v>
      </x:c>
      <x:c r="U28" s="17" t="n">
        <x:f>IF(C28="","",IF(O28="Verified",1,0))</x:f>
        <x:v>0</x:v>
      </x:c>
    </x:row>
    <x:row r="29" ht="48" customHeight="1">
      <x:c r="A29" s="1"/>
      <x:c r="B29" s="1"/>
      <x:c r="C29" s="8"/>
      <x:c r="D29" s="8"/>
      <x:c r="E29" s="8"/>
      <x:c r="F29" s="8"/>
      <x:c r="G29" s="8"/>
      <x:c r="H29" s="8"/>
      <x:c r="I29" s="10"/>
      <x:c r="J29" s="8"/>
      <x:c r="K29" s="8"/>
      <x:c r="L29" s="10"/>
      <x:c r="M29" s="10"/>
      <x:c r="N29" s="9" t="str">
        <x:f>IF(C29="","",IF(OR(D29=Settings!$F$9,D29="Global"),"Yes","No"))</x:f>
      </x:c>
      <x:c r="O29" s="9" t="str">
        <x:f>IF(C29="","",IF(N29="No","Outside selection",IF(R29&lt;&gt;"Valid","Review",IF(J29&lt;&gt;"Implemented","Open",IF(OR(K29="",NOT(ISNUMBER(L29)),NOT(ISNUMBER(M29)),L29&gt;Settings!$F$8,M29&lt;L29),"Evidence required",IF(M29&lt;Settings!$F$8,"Expired","Verified"))))))</x:f>
      </x:c>
      <x:c r="P29" s="9" t="str">
        <x:f>IF(C29="","",IF(AND(N29="Yes",O29&lt;&gt;"Verified",ISNUMBER(I29),I29&lt;Settings!$F$8),"Overdue","Current"))</x:f>
      </x:c>
      <x:c r="Q29" s="9" t="str">
        <x:f>IF(C29="","",IF(P29="Overdue",Settings!$F$8-I29,0))</x:f>
      </x:c>
      <x:c r="R29" s="3" t="str">
        <x:f>IF(C29="","",IF(COUNTIF($C$9:$C$108,C29)&lt;&gt;1,"Duplicate ID",IF(OR(D29="",E29="",F29="",G29="",H29="",G29=H29,NOT(ISNUMBER(I29)),S29="",T29=""),"Incomplete","Valid")))</x:f>
      </x:c>
      <x:c r="S29" s="8"/>
      <x:c r="T29" s="8"/>
      <x:c r="U29" s="17" t="str">
        <x:f>IF(C29="","",IF(O29="Verified",1,0))</x:f>
      </x:c>
    </x:row>
    <x:row r="30" ht="48" customHeight="1">
      <x:c r="A30" s="1"/>
      <x:c r="B30" s="1"/>
      <x:c r="C30" s="8"/>
      <x:c r="D30" s="8"/>
      <x:c r="E30" s="8"/>
      <x:c r="F30" s="8"/>
      <x:c r="G30" s="8"/>
      <x:c r="H30" s="8"/>
      <x:c r="I30" s="10"/>
      <x:c r="J30" s="8"/>
      <x:c r="K30" s="8"/>
      <x:c r="L30" s="10"/>
      <x:c r="M30" s="10"/>
      <x:c r="N30" s="9" t="str">
        <x:f>IF(C30="","",IF(OR(D30=Settings!$F$9,D30="Global"),"Yes","No"))</x:f>
      </x:c>
      <x:c r="O30" s="9" t="str">
        <x:f>IF(C30="","",IF(N30="No","Outside selection",IF(R30&lt;&gt;"Valid","Review",IF(J30&lt;&gt;"Implemented","Open",IF(OR(K30="",NOT(ISNUMBER(L30)),NOT(ISNUMBER(M30)),L30&gt;Settings!$F$8,M30&lt;L30),"Evidence required",IF(M30&lt;Settings!$F$8,"Expired","Verified"))))))</x:f>
      </x:c>
      <x:c r="P30" s="9" t="str">
        <x:f>IF(C30="","",IF(AND(N30="Yes",O30&lt;&gt;"Verified",ISNUMBER(I30),I30&lt;Settings!$F$8),"Overdue","Current"))</x:f>
      </x:c>
      <x:c r="Q30" s="9" t="str">
        <x:f>IF(C30="","",IF(P30="Overdue",Settings!$F$8-I30,0))</x:f>
      </x:c>
      <x:c r="R30" s="3" t="str">
        <x:f>IF(C30="","",IF(COUNTIF($C$9:$C$108,C30)&lt;&gt;1,"Duplicate ID",IF(OR(D30="",E30="",F30="",G30="",H30="",G30=H30,NOT(ISNUMBER(I30)),S30="",T30=""),"Incomplete","Valid")))</x:f>
      </x:c>
      <x:c r="S30" s="8"/>
      <x:c r="T30" s="8"/>
      <x:c r="U30" s="17" t="str">
        <x:f>IF(C30="","",IF(O30="Verified",1,0))</x:f>
      </x:c>
    </x:row>
    <x:row r="31" ht="48" customHeight="1">
      <x:c r="A31" s="1"/>
      <x:c r="B31" s="1"/>
      <x:c r="C31" s="8"/>
      <x:c r="D31" s="8"/>
      <x:c r="E31" s="8"/>
      <x:c r="F31" s="8"/>
      <x:c r="G31" s="8"/>
      <x:c r="H31" s="8"/>
      <x:c r="I31" s="10"/>
      <x:c r="J31" s="8"/>
      <x:c r="K31" s="8"/>
      <x:c r="L31" s="10"/>
      <x:c r="M31" s="10"/>
      <x:c r="N31" s="9" t="str">
        <x:f>IF(C31="","",IF(OR(D31=Settings!$F$9,D31="Global"),"Yes","No"))</x:f>
      </x:c>
      <x:c r="O31" s="9" t="str">
        <x:f>IF(C31="","",IF(N31="No","Outside selection",IF(R31&lt;&gt;"Valid","Review",IF(J31&lt;&gt;"Implemented","Open",IF(OR(K31="",NOT(ISNUMBER(L31)),NOT(ISNUMBER(M31)),L31&gt;Settings!$F$8,M31&lt;L31),"Evidence required",IF(M31&lt;Settings!$F$8,"Expired","Verified"))))))</x:f>
      </x:c>
      <x:c r="P31" s="9" t="str">
        <x:f>IF(C31="","",IF(AND(N31="Yes",O31&lt;&gt;"Verified",ISNUMBER(I31),I31&lt;Settings!$F$8),"Overdue","Current"))</x:f>
      </x:c>
      <x:c r="Q31" s="9" t="str">
        <x:f>IF(C31="","",IF(P31="Overdue",Settings!$F$8-I31,0))</x:f>
      </x:c>
      <x:c r="R31" s="3" t="str">
        <x:f>IF(C31="","",IF(COUNTIF($C$9:$C$108,C31)&lt;&gt;1,"Duplicate ID",IF(OR(D31="",E31="",F31="",G31="",H31="",G31=H31,NOT(ISNUMBER(I31)),S31="",T31=""),"Incomplete","Valid")))</x:f>
      </x:c>
      <x:c r="S31" s="8"/>
      <x:c r="T31" s="8"/>
      <x:c r="U31" s="17" t="str">
        <x:f>IF(C31="","",IF(O31="Verified",1,0))</x:f>
      </x:c>
    </x:row>
    <x:row r="32" ht="48" customHeight="1">
      <x:c r="A32" s="1"/>
      <x:c r="B32" s="1"/>
      <x:c r="C32" s="8"/>
      <x:c r="D32" s="8"/>
      <x:c r="E32" s="8"/>
      <x:c r="F32" s="8"/>
      <x:c r="G32" s="8"/>
      <x:c r="H32" s="8"/>
      <x:c r="I32" s="10"/>
      <x:c r="J32" s="8"/>
      <x:c r="K32" s="8"/>
      <x:c r="L32" s="10"/>
      <x:c r="M32" s="10"/>
      <x:c r="N32" s="9" t="str">
        <x:f>IF(C32="","",IF(OR(D32=Settings!$F$9,D32="Global"),"Yes","No"))</x:f>
      </x:c>
      <x:c r="O32" s="9" t="str">
        <x:f>IF(C32="","",IF(N32="No","Outside selection",IF(R32&lt;&gt;"Valid","Review",IF(J32&lt;&gt;"Implemented","Open",IF(OR(K32="",NOT(ISNUMBER(L32)),NOT(ISNUMBER(M32)),L32&gt;Settings!$F$8,M32&lt;L32),"Evidence required",IF(M32&lt;Settings!$F$8,"Expired","Verified"))))))</x:f>
      </x:c>
      <x:c r="P32" s="9" t="str">
        <x:f>IF(C32="","",IF(AND(N32="Yes",O32&lt;&gt;"Verified",ISNUMBER(I32),I32&lt;Settings!$F$8),"Overdue","Current"))</x:f>
      </x:c>
      <x:c r="Q32" s="9" t="str">
        <x:f>IF(C32="","",IF(P32="Overdue",Settings!$F$8-I32,0))</x:f>
      </x:c>
      <x:c r="R32" s="3" t="str">
        <x:f>IF(C32="","",IF(COUNTIF($C$9:$C$108,C32)&lt;&gt;1,"Duplicate ID",IF(OR(D32="",E32="",F32="",G32="",H32="",G32=H32,NOT(ISNUMBER(I32)),S32="",T32=""),"Incomplete","Valid")))</x:f>
      </x:c>
      <x:c r="S32" s="8"/>
      <x:c r="T32" s="8"/>
      <x:c r="U32" s="17" t="str">
        <x:f>IF(C32="","",IF(O32="Verified",1,0))</x:f>
      </x:c>
    </x:row>
    <x:row r="33" ht="48" customHeight="1">
      <x:c r="A33" s="1"/>
      <x:c r="B33" s="1"/>
      <x:c r="C33" s="8"/>
      <x:c r="D33" s="8"/>
      <x:c r="E33" s="8"/>
      <x:c r="F33" s="8"/>
      <x:c r="G33" s="8"/>
      <x:c r="H33" s="8"/>
      <x:c r="I33" s="10"/>
      <x:c r="J33" s="8"/>
      <x:c r="K33" s="8"/>
      <x:c r="L33" s="10"/>
      <x:c r="M33" s="10"/>
      <x:c r="N33" s="9" t="str">
        <x:f>IF(C33="","",IF(OR(D33=Settings!$F$9,D33="Global"),"Yes","No"))</x:f>
      </x:c>
      <x:c r="O33" s="9" t="str">
        <x:f>IF(C33="","",IF(N33="No","Outside selection",IF(R33&lt;&gt;"Valid","Review",IF(J33&lt;&gt;"Implemented","Open",IF(OR(K33="",NOT(ISNUMBER(L33)),NOT(ISNUMBER(M33)),L33&gt;Settings!$F$8,M33&lt;L33),"Evidence required",IF(M33&lt;Settings!$F$8,"Expired","Verified"))))))</x:f>
      </x:c>
      <x:c r="P33" s="9" t="str">
        <x:f>IF(C33="","",IF(AND(N33="Yes",O33&lt;&gt;"Verified",ISNUMBER(I33),I33&lt;Settings!$F$8),"Overdue","Current"))</x:f>
      </x:c>
      <x:c r="Q33" s="9" t="str">
        <x:f>IF(C33="","",IF(P33="Overdue",Settings!$F$8-I33,0))</x:f>
      </x:c>
      <x:c r="R33" s="3" t="str">
        <x:f>IF(C33="","",IF(COUNTIF($C$9:$C$108,C33)&lt;&gt;1,"Duplicate ID",IF(OR(D33="",E33="",F33="",G33="",H33="",G33=H33,NOT(ISNUMBER(I33)),S33="",T33=""),"Incomplete","Valid")))</x:f>
      </x:c>
      <x:c r="S33" s="8"/>
      <x:c r="T33" s="8"/>
      <x:c r="U33" s="17" t="str">
        <x:f>IF(C33="","",IF(O33="Verified",1,0))</x:f>
      </x:c>
    </x:row>
    <x:row r="34" ht="48" customHeight="1">
      <x:c r="A34" s="1"/>
      <x:c r="B34" s="1"/>
      <x:c r="C34" s="8"/>
      <x:c r="D34" s="8"/>
      <x:c r="E34" s="8"/>
      <x:c r="F34" s="8"/>
      <x:c r="G34" s="8"/>
      <x:c r="H34" s="8"/>
      <x:c r="I34" s="10"/>
      <x:c r="J34" s="8"/>
      <x:c r="K34" s="8"/>
      <x:c r="L34" s="10"/>
      <x:c r="M34" s="10"/>
      <x:c r="N34" s="9" t="str">
        <x:f>IF(C34="","",IF(OR(D34=Settings!$F$9,D34="Global"),"Yes","No"))</x:f>
      </x:c>
      <x:c r="O34" s="9" t="str">
        <x:f>IF(C34="","",IF(N34="No","Outside selection",IF(R34&lt;&gt;"Valid","Review",IF(J34&lt;&gt;"Implemented","Open",IF(OR(K34="",NOT(ISNUMBER(L34)),NOT(ISNUMBER(M34)),L34&gt;Settings!$F$8,M34&lt;L34),"Evidence required",IF(M34&lt;Settings!$F$8,"Expired","Verified"))))))</x:f>
      </x:c>
      <x:c r="P34" s="9" t="str">
        <x:f>IF(C34="","",IF(AND(N34="Yes",O34&lt;&gt;"Verified",ISNUMBER(I34),I34&lt;Settings!$F$8),"Overdue","Current"))</x:f>
      </x:c>
      <x:c r="Q34" s="9" t="str">
        <x:f>IF(C34="","",IF(P34="Overdue",Settings!$F$8-I34,0))</x:f>
      </x:c>
      <x:c r="R34" s="3" t="str">
        <x:f>IF(C34="","",IF(COUNTIF($C$9:$C$108,C34)&lt;&gt;1,"Duplicate ID",IF(OR(D34="",E34="",F34="",G34="",H34="",G34=H34,NOT(ISNUMBER(I34)),S34="",T34=""),"Incomplete","Valid")))</x:f>
      </x:c>
      <x:c r="S34" s="8"/>
      <x:c r="T34" s="8"/>
      <x:c r="U34" s="17" t="str">
        <x:f>IF(C34="","",IF(O34="Verified",1,0))</x:f>
      </x:c>
    </x:row>
    <x:row r="35" ht="48" customHeight="1">
      <x:c r="A35" s="1"/>
      <x:c r="B35" s="1"/>
      <x:c r="C35" s="8"/>
      <x:c r="D35" s="8"/>
      <x:c r="E35" s="8"/>
      <x:c r="F35" s="8"/>
      <x:c r="G35" s="8"/>
      <x:c r="H35" s="8"/>
      <x:c r="I35" s="10"/>
      <x:c r="J35" s="8"/>
      <x:c r="K35" s="8"/>
      <x:c r="L35" s="10"/>
      <x:c r="M35" s="10"/>
      <x:c r="N35" s="9" t="str">
        <x:f>IF(C35="","",IF(OR(D35=Settings!$F$9,D35="Global"),"Yes","No"))</x:f>
      </x:c>
      <x:c r="O35" s="9" t="str">
        <x:f>IF(C35="","",IF(N35="No","Outside selection",IF(R35&lt;&gt;"Valid","Review",IF(J35&lt;&gt;"Implemented","Open",IF(OR(K35="",NOT(ISNUMBER(L35)),NOT(ISNUMBER(M35)),L35&gt;Settings!$F$8,M35&lt;L35),"Evidence required",IF(M35&lt;Settings!$F$8,"Expired","Verified"))))))</x:f>
      </x:c>
      <x:c r="P35" s="9" t="str">
        <x:f>IF(C35="","",IF(AND(N35="Yes",O35&lt;&gt;"Verified",ISNUMBER(I35),I35&lt;Settings!$F$8),"Overdue","Current"))</x:f>
      </x:c>
      <x:c r="Q35" s="9" t="str">
        <x:f>IF(C35="","",IF(P35="Overdue",Settings!$F$8-I35,0))</x:f>
      </x:c>
      <x:c r="R35" s="3" t="str">
        <x:f>IF(C35="","",IF(COUNTIF($C$9:$C$108,C35)&lt;&gt;1,"Duplicate ID",IF(OR(D35="",E35="",F35="",G35="",H35="",G35=H35,NOT(ISNUMBER(I35)),S35="",T35=""),"Incomplete","Valid")))</x:f>
      </x:c>
      <x:c r="S35" s="8"/>
      <x:c r="T35" s="8"/>
      <x:c r="U35" s="17" t="str">
        <x:f>IF(C35="","",IF(O35="Verified",1,0))</x:f>
      </x:c>
    </x:row>
    <x:row r="36" ht="48" customHeight="1">
      <x:c r="A36" s="1"/>
      <x:c r="B36" s="1"/>
      <x:c r="C36" s="8"/>
      <x:c r="D36" s="8"/>
      <x:c r="E36" s="8"/>
      <x:c r="F36" s="8"/>
      <x:c r="G36" s="8"/>
      <x:c r="H36" s="8"/>
      <x:c r="I36" s="10"/>
      <x:c r="J36" s="8"/>
      <x:c r="K36" s="8"/>
      <x:c r="L36" s="10"/>
      <x:c r="M36" s="10"/>
      <x:c r="N36" s="9" t="str">
        <x:f>IF(C36="","",IF(OR(D36=Settings!$F$9,D36="Global"),"Yes","No"))</x:f>
      </x:c>
      <x:c r="O36" s="9" t="str">
        <x:f>IF(C36="","",IF(N36="No","Outside selection",IF(R36&lt;&gt;"Valid","Review",IF(J36&lt;&gt;"Implemented","Open",IF(OR(K36="",NOT(ISNUMBER(L36)),NOT(ISNUMBER(M36)),L36&gt;Settings!$F$8,M36&lt;L36),"Evidence required",IF(M36&lt;Settings!$F$8,"Expired","Verified"))))))</x:f>
      </x:c>
      <x:c r="P36" s="9" t="str">
        <x:f>IF(C36="","",IF(AND(N36="Yes",O36&lt;&gt;"Verified",ISNUMBER(I36),I36&lt;Settings!$F$8),"Overdue","Current"))</x:f>
      </x:c>
      <x:c r="Q36" s="9" t="str">
        <x:f>IF(C36="","",IF(P36="Overdue",Settings!$F$8-I36,0))</x:f>
      </x:c>
      <x:c r="R36" s="3" t="str">
        <x:f>IF(C36="","",IF(COUNTIF($C$9:$C$108,C36)&lt;&gt;1,"Duplicate ID",IF(OR(D36="",E36="",F36="",G36="",H36="",G36=H36,NOT(ISNUMBER(I36)),S36="",T36=""),"Incomplete","Valid")))</x:f>
      </x:c>
      <x:c r="S36" s="8"/>
      <x:c r="T36" s="8"/>
      <x:c r="U36" s="17" t="str">
        <x:f>IF(C36="","",IF(O36="Verified",1,0))</x:f>
      </x:c>
    </x:row>
    <x:row r="37" ht="48" customHeight="1">
      <x:c r="A37" s="1"/>
      <x:c r="B37" s="1"/>
      <x:c r="C37" s="8"/>
      <x:c r="D37" s="8"/>
      <x:c r="E37" s="8"/>
      <x:c r="F37" s="8"/>
      <x:c r="G37" s="8"/>
      <x:c r="H37" s="8"/>
      <x:c r="I37" s="10"/>
      <x:c r="J37" s="8"/>
      <x:c r="K37" s="8"/>
      <x:c r="L37" s="10"/>
      <x:c r="M37" s="10"/>
      <x:c r="N37" s="9" t="str">
        <x:f>IF(C37="","",IF(OR(D37=Settings!$F$9,D37="Global"),"Yes","No"))</x:f>
      </x:c>
      <x:c r="O37" s="9" t="str">
        <x:f>IF(C37="","",IF(N37="No","Outside selection",IF(R37&lt;&gt;"Valid","Review",IF(J37&lt;&gt;"Implemented","Open",IF(OR(K37="",NOT(ISNUMBER(L37)),NOT(ISNUMBER(M37)),L37&gt;Settings!$F$8,M37&lt;L37),"Evidence required",IF(M37&lt;Settings!$F$8,"Expired","Verified"))))))</x:f>
      </x:c>
      <x:c r="P37" s="9" t="str">
        <x:f>IF(C37="","",IF(AND(N37="Yes",O37&lt;&gt;"Verified",ISNUMBER(I37),I37&lt;Settings!$F$8),"Overdue","Current"))</x:f>
      </x:c>
      <x:c r="Q37" s="9" t="str">
        <x:f>IF(C37="","",IF(P37="Overdue",Settings!$F$8-I37,0))</x:f>
      </x:c>
      <x:c r="R37" s="3" t="str">
        <x:f>IF(C37="","",IF(COUNTIF($C$9:$C$108,C37)&lt;&gt;1,"Duplicate ID",IF(OR(D37="",E37="",F37="",G37="",H37="",G37=H37,NOT(ISNUMBER(I37)),S37="",T37=""),"Incomplete","Valid")))</x:f>
      </x:c>
      <x:c r="S37" s="8"/>
      <x:c r="T37" s="8"/>
      <x:c r="U37" s="17" t="str">
        <x:f>IF(C37="","",IF(O37="Verified",1,0))</x:f>
      </x:c>
    </x:row>
    <x:row r="38" ht="48" customHeight="1">
      <x:c r="A38" s="1"/>
      <x:c r="B38" s="1"/>
      <x:c r="C38" s="8"/>
      <x:c r="D38" s="8"/>
      <x:c r="E38" s="8"/>
      <x:c r="F38" s="8"/>
      <x:c r="G38" s="8"/>
      <x:c r="H38" s="8"/>
      <x:c r="I38" s="10"/>
      <x:c r="J38" s="8"/>
      <x:c r="K38" s="8"/>
      <x:c r="L38" s="10"/>
      <x:c r="M38" s="10"/>
      <x:c r="N38" s="9" t="str">
        <x:f>IF(C38="","",IF(OR(D38=Settings!$F$9,D38="Global"),"Yes","No"))</x:f>
      </x:c>
      <x:c r="O38" s="9" t="str">
        <x:f>IF(C38="","",IF(N38="No","Outside selection",IF(R38&lt;&gt;"Valid","Review",IF(J38&lt;&gt;"Implemented","Open",IF(OR(K38="",NOT(ISNUMBER(L38)),NOT(ISNUMBER(M38)),L38&gt;Settings!$F$8,M38&lt;L38),"Evidence required",IF(M38&lt;Settings!$F$8,"Expired","Verified"))))))</x:f>
      </x:c>
      <x:c r="P38" s="9" t="str">
        <x:f>IF(C38="","",IF(AND(N38="Yes",O38&lt;&gt;"Verified",ISNUMBER(I38),I38&lt;Settings!$F$8),"Overdue","Current"))</x:f>
      </x:c>
      <x:c r="Q38" s="9" t="str">
        <x:f>IF(C38="","",IF(P38="Overdue",Settings!$F$8-I38,0))</x:f>
      </x:c>
      <x:c r="R38" s="3" t="str">
        <x:f>IF(C38="","",IF(COUNTIF($C$9:$C$108,C38)&lt;&gt;1,"Duplicate ID",IF(OR(D38="",E38="",F38="",G38="",H38="",G38=H38,NOT(ISNUMBER(I38)),S38="",T38=""),"Incomplete","Valid")))</x:f>
      </x:c>
      <x:c r="S38" s="8"/>
      <x:c r="T38" s="8"/>
      <x:c r="U38" s="17" t="str">
        <x:f>IF(C38="","",IF(O38="Verified",1,0))</x:f>
      </x:c>
    </x:row>
    <x:row r="39" ht="48" customHeight="1">
      <x:c r="A39" s="1"/>
      <x:c r="B39" s="1"/>
      <x:c r="C39" s="8"/>
      <x:c r="D39" s="8"/>
      <x:c r="E39" s="8"/>
      <x:c r="F39" s="8"/>
      <x:c r="G39" s="8"/>
      <x:c r="H39" s="8"/>
      <x:c r="I39" s="10"/>
      <x:c r="J39" s="8"/>
      <x:c r="K39" s="8"/>
      <x:c r="L39" s="10"/>
      <x:c r="M39" s="10"/>
      <x:c r="N39" s="9" t="str">
        <x:f>IF(C39="","",IF(OR(D39=Settings!$F$9,D39="Global"),"Yes","No"))</x:f>
      </x:c>
      <x:c r="O39" s="9" t="str">
        <x:f>IF(C39="","",IF(N39="No","Outside selection",IF(R39&lt;&gt;"Valid","Review",IF(J39&lt;&gt;"Implemented","Open",IF(OR(K39="",NOT(ISNUMBER(L39)),NOT(ISNUMBER(M39)),L39&gt;Settings!$F$8,M39&lt;L39),"Evidence required",IF(M39&lt;Settings!$F$8,"Expired","Verified"))))))</x:f>
      </x:c>
      <x:c r="P39" s="9" t="str">
        <x:f>IF(C39="","",IF(AND(N39="Yes",O39&lt;&gt;"Verified",ISNUMBER(I39),I39&lt;Settings!$F$8),"Overdue","Current"))</x:f>
      </x:c>
      <x:c r="Q39" s="9" t="str">
        <x:f>IF(C39="","",IF(P39="Overdue",Settings!$F$8-I39,0))</x:f>
      </x:c>
      <x:c r="R39" s="3" t="str">
        <x:f>IF(C39="","",IF(COUNTIF($C$9:$C$108,C39)&lt;&gt;1,"Duplicate ID",IF(OR(D39="",E39="",F39="",G39="",H39="",G39=H39,NOT(ISNUMBER(I39)),S39="",T39=""),"Incomplete","Valid")))</x:f>
      </x:c>
      <x:c r="S39" s="8"/>
      <x:c r="T39" s="8"/>
      <x:c r="U39" s="17" t="str">
        <x:f>IF(C39="","",IF(O39="Verified",1,0))</x:f>
      </x:c>
    </x:row>
    <x:row r="40" ht="48" customHeight="1">
      <x:c r="A40" s="1"/>
      <x:c r="B40" s="1"/>
      <x:c r="C40" s="8"/>
      <x:c r="D40" s="8"/>
      <x:c r="E40" s="8"/>
      <x:c r="F40" s="8"/>
      <x:c r="G40" s="8"/>
      <x:c r="H40" s="8"/>
      <x:c r="I40" s="10"/>
      <x:c r="J40" s="8"/>
      <x:c r="K40" s="8"/>
      <x:c r="L40" s="10"/>
      <x:c r="M40" s="10"/>
      <x:c r="N40" s="9" t="str">
        <x:f>IF(C40="","",IF(OR(D40=Settings!$F$9,D40="Global"),"Yes","No"))</x:f>
      </x:c>
      <x:c r="O40" s="9" t="str">
        <x:f>IF(C40="","",IF(N40="No","Outside selection",IF(R40&lt;&gt;"Valid","Review",IF(J40&lt;&gt;"Implemented","Open",IF(OR(K40="",NOT(ISNUMBER(L40)),NOT(ISNUMBER(M40)),L40&gt;Settings!$F$8,M40&lt;L40),"Evidence required",IF(M40&lt;Settings!$F$8,"Expired","Verified"))))))</x:f>
      </x:c>
      <x:c r="P40" s="9" t="str">
        <x:f>IF(C40="","",IF(AND(N40="Yes",O40&lt;&gt;"Verified",ISNUMBER(I40),I40&lt;Settings!$F$8),"Overdue","Current"))</x:f>
      </x:c>
      <x:c r="Q40" s="9" t="str">
        <x:f>IF(C40="","",IF(P40="Overdue",Settings!$F$8-I40,0))</x:f>
      </x:c>
      <x:c r="R40" s="3" t="str">
        <x:f>IF(C40="","",IF(COUNTIF($C$9:$C$108,C40)&lt;&gt;1,"Duplicate ID",IF(OR(D40="",E40="",F40="",G40="",H40="",G40=H40,NOT(ISNUMBER(I40)),S40="",T40=""),"Incomplete","Valid")))</x:f>
      </x:c>
      <x:c r="S40" s="8"/>
      <x:c r="T40" s="8"/>
      <x:c r="U40" s="17" t="str">
        <x:f>IF(C40="","",IF(O40="Verified",1,0))</x:f>
      </x:c>
    </x:row>
    <x:row r="41" ht="48" customHeight="1">
      <x:c r="A41" s="1"/>
      <x:c r="B41" s="1"/>
      <x:c r="C41" s="8"/>
      <x:c r="D41" s="8"/>
      <x:c r="E41" s="8"/>
      <x:c r="F41" s="8"/>
      <x:c r="G41" s="8"/>
      <x:c r="H41" s="8"/>
      <x:c r="I41" s="10"/>
      <x:c r="J41" s="8"/>
      <x:c r="K41" s="8"/>
      <x:c r="L41" s="10"/>
      <x:c r="M41" s="10"/>
      <x:c r="N41" s="9" t="str">
        <x:f>IF(C41="","",IF(OR(D41=Settings!$F$9,D41="Global"),"Yes","No"))</x:f>
      </x:c>
      <x:c r="O41" s="9" t="str">
        <x:f>IF(C41="","",IF(N41="No","Outside selection",IF(R41&lt;&gt;"Valid","Review",IF(J41&lt;&gt;"Implemented","Open",IF(OR(K41="",NOT(ISNUMBER(L41)),NOT(ISNUMBER(M41)),L41&gt;Settings!$F$8,M41&lt;L41),"Evidence required",IF(M41&lt;Settings!$F$8,"Expired","Verified"))))))</x:f>
      </x:c>
      <x:c r="P41" s="9" t="str">
        <x:f>IF(C41="","",IF(AND(N41="Yes",O41&lt;&gt;"Verified",ISNUMBER(I41),I41&lt;Settings!$F$8),"Overdue","Current"))</x:f>
      </x:c>
      <x:c r="Q41" s="9" t="str">
        <x:f>IF(C41="","",IF(P41="Overdue",Settings!$F$8-I41,0))</x:f>
      </x:c>
      <x:c r="R41" s="3" t="str">
        <x:f>IF(C41="","",IF(COUNTIF($C$9:$C$108,C41)&lt;&gt;1,"Duplicate ID",IF(OR(D41="",E41="",F41="",G41="",H41="",G41=H41,NOT(ISNUMBER(I41)),S41="",T41=""),"Incomplete","Valid")))</x:f>
      </x:c>
      <x:c r="S41" s="8"/>
      <x:c r="T41" s="8"/>
      <x:c r="U41" s="17" t="str">
        <x:f>IF(C41="","",IF(O41="Verified",1,0))</x:f>
      </x:c>
    </x:row>
    <x:row r="42" ht="48" customHeight="1">
      <x:c r="A42" s="1"/>
      <x:c r="B42" s="1"/>
      <x:c r="C42" s="8"/>
      <x:c r="D42" s="8"/>
      <x:c r="E42" s="8"/>
      <x:c r="F42" s="8"/>
      <x:c r="G42" s="8"/>
      <x:c r="H42" s="8"/>
      <x:c r="I42" s="10"/>
      <x:c r="J42" s="8"/>
      <x:c r="K42" s="8"/>
      <x:c r="L42" s="10"/>
      <x:c r="M42" s="10"/>
      <x:c r="N42" s="9" t="str">
        <x:f>IF(C42="","",IF(OR(D42=Settings!$F$9,D42="Global"),"Yes","No"))</x:f>
      </x:c>
      <x:c r="O42" s="9" t="str">
        <x:f>IF(C42="","",IF(N42="No","Outside selection",IF(R42&lt;&gt;"Valid","Review",IF(J42&lt;&gt;"Implemented","Open",IF(OR(K42="",NOT(ISNUMBER(L42)),NOT(ISNUMBER(M42)),L42&gt;Settings!$F$8,M42&lt;L42),"Evidence required",IF(M42&lt;Settings!$F$8,"Expired","Verified"))))))</x:f>
      </x:c>
      <x:c r="P42" s="9" t="str">
        <x:f>IF(C42="","",IF(AND(N42="Yes",O42&lt;&gt;"Verified",ISNUMBER(I42),I42&lt;Settings!$F$8),"Overdue","Current"))</x:f>
      </x:c>
      <x:c r="Q42" s="9" t="str">
        <x:f>IF(C42="","",IF(P42="Overdue",Settings!$F$8-I42,0))</x:f>
      </x:c>
      <x:c r="R42" s="3" t="str">
        <x:f>IF(C42="","",IF(COUNTIF($C$9:$C$108,C42)&lt;&gt;1,"Duplicate ID",IF(OR(D42="",E42="",F42="",G42="",H42="",G42=H42,NOT(ISNUMBER(I42)),S42="",T42=""),"Incomplete","Valid")))</x:f>
      </x:c>
      <x:c r="S42" s="8"/>
      <x:c r="T42" s="8"/>
      <x:c r="U42" s="17" t="str">
        <x:f>IF(C42="","",IF(O42="Verified",1,0))</x:f>
      </x:c>
    </x:row>
    <x:row r="43" ht="48" customHeight="1">
      <x:c r="A43" s="1"/>
      <x:c r="B43" s="1"/>
      <x:c r="C43" s="8"/>
      <x:c r="D43" s="8"/>
      <x:c r="E43" s="8"/>
      <x:c r="F43" s="8"/>
      <x:c r="G43" s="8"/>
      <x:c r="H43" s="8"/>
      <x:c r="I43" s="10"/>
      <x:c r="J43" s="8"/>
      <x:c r="K43" s="8"/>
      <x:c r="L43" s="10"/>
      <x:c r="M43" s="10"/>
      <x:c r="N43" s="9" t="str">
        <x:f>IF(C43="","",IF(OR(D43=Settings!$F$9,D43="Global"),"Yes","No"))</x:f>
      </x:c>
      <x:c r="O43" s="9" t="str">
        <x:f>IF(C43="","",IF(N43="No","Outside selection",IF(R43&lt;&gt;"Valid","Review",IF(J43&lt;&gt;"Implemented","Open",IF(OR(K43="",NOT(ISNUMBER(L43)),NOT(ISNUMBER(M43)),L43&gt;Settings!$F$8,M43&lt;L43),"Evidence required",IF(M43&lt;Settings!$F$8,"Expired","Verified"))))))</x:f>
      </x:c>
      <x:c r="P43" s="9" t="str">
        <x:f>IF(C43="","",IF(AND(N43="Yes",O43&lt;&gt;"Verified",ISNUMBER(I43),I43&lt;Settings!$F$8),"Overdue","Current"))</x:f>
      </x:c>
      <x:c r="Q43" s="9" t="str">
        <x:f>IF(C43="","",IF(P43="Overdue",Settings!$F$8-I43,0))</x:f>
      </x:c>
      <x:c r="R43" s="3" t="str">
        <x:f>IF(C43="","",IF(COUNTIF($C$9:$C$108,C43)&lt;&gt;1,"Duplicate ID",IF(OR(D43="",E43="",F43="",G43="",H43="",G43=H43,NOT(ISNUMBER(I43)),S43="",T43=""),"Incomplete","Valid")))</x:f>
      </x:c>
      <x:c r="S43" s="8"/>
      <x:c r="T43" s="8"/>
      <x:c r="U43" s="17" t="str">
        <x:f>IF(C43="","",IF(O43="Verified",1,0))</x:f>
      </x:c>
    </x:row>
    <x:row r="44" ht="48" customHeight="1">
      <x:c r="A44" s="1"/>
      <x:c r="B44" s="1"/>
      <x:c r="C44" s="8"/>
      <x:c r="D44" s="8"/>
      <x:c r="E44" s="8"/>
      <x:c r="F44" s="8"/>
      <x:c r="G44" s="8"/>
      <x:c r="H44" s="8"/>
      <x:c r="I44" s="10"/>
      <x:c r="J44" s="8"/>
      <x:c r="K44" s="8"/>
      <x:c r="L44" s="10"/>
      <x:c r="M44" s="10"/>
      <x:c r="N44" s="9" t="str">
        <x:f>IF(C44="","",IF(OR(D44=Settings!$F$9,D44="Global"),"Yes","No"))</x:f>
      </x:c>
      <x:c r="O44" s="9" t="str">
        <x:f>IF(C44="","",IF(N44="No","Outside selection",IF(R44&lt;&gt;"Valid","Review",IF(J44&lt;&gt;"Implemented","Open",IF(OR(K44="",NOT(ISNUMBER(L44)),NOT(ISNUMBER(M44)),L44&gt;Settings!$F$8,M44&lt;L44),"Evidence required",IF(M44&lt;Settings!$F$8,"Expired","Verified"))))))</x:f>
      </x:c>
      <x:c r="P44" s="9" t="str">
        <x:f>IF(C44="","",IF(AND(N44="Yes",O44&lt;&gt;"Verified",ISNUMBER(I44),I44&lt;Settings!$F$8),"Overdue","Current"))</x:f>
      </x:c>
      <x:c r="Q44" s="9" t="str">
        <x:f>IF(C44="","",IF(P44="Overdue",Settings!$F$8-I44,0))</x:f>
      </x:c>
      <x:c r="R44" s="3" t="str">
        <x:f>IF(C44="","",IF(COUNTIF($C$9:$C$108,C44)&lt;&gt;1,"Duplicate ID",IF(OR(D44="",E44="",F44="",G44="",H44="",G44=H44,NOT(ISNUMBER(I44)),S44="",T44=""),"Incomplete","Valid")))</x:f>
      </x:c>
      <x:c r="S44" s="8"/>
      <x:c r="T44" s="8"/>
      <x:c r="U44" s="17" t="str">
        <x:f>IF(C44="","",IF(O44="Verified",1,0))</x:f>
      </x:c>
    </x:row>
    <x:row r="45" ht="48" customHeight="1">
      <x:c r="A45" s="1"/>
      <x:c r="B45" s="1"/>
      <x:c r="C45" s="8"/>
      <x:c r="D45" s="8"/>
      <x:c r="E45" s="8"/>
      <x:c r="F45" s="8"/>
      <x:c r="G45" s="8"/>
      <x:c r="H45" s="8"/>
      <x:c r="I45" s="10"/>
      <x:c r="J45" s="8"/>
      <x:c r="K45" s="8"/>
      <x:c r="L45" s="10"/>
      <x:c r="M45" s="10"/>
      <x:c r="N45" s="9" t="str">
        <x:f>IF(C45="","",IF(OR(D45=Settings!$F$9,D45="Global"),"Yes","No"))</x:f>
      </x:c>
      <x:c r="O45" s="9" t="str">
        <x:f>IF(C45="","",IF(N45="No","Outside selection",IF(R45&lt;&gt;"Valid","Review",IF(J45&lt;&gt;"Implemented","Open",IF(OR(K45="",NOT(ISNUMBER(L45)),NOT(ISNUMBER(M45)),L45&gt;Settings!$F$8,M45&lt;L45),"Evidence required",IF(M45&lt;Settings!$F$8,"Expired","Verified"))))))</x:f>
      </x:c>
      <x:c r="P45" s="9" t="str">
        <x:f>IF(C45="","",IF(AND(N45="Yes",O45&lt;&gt;"Verified",ISNUMBER(I45),I45&lt;Settings!$F$8),"Overdue","Current"))</x:f>
      </x:c>
      <x:c r="Q45" s="9" t="str">
        <x:f>IF(C45="","",IF(P45="Overdue",Settings!$F$8-I45,0))</x:f>
      </x:c>
      <x:c r="R45" s="3" t="str">
        <x:f>IF(C45="","",IF(COUNTIF($C$9:$C$108,C45)&lt;&gt;1,"Duplicate ID",IF(OR(D45="",E45="",F45="",G45="",H45="",G45=H45,NOT(ISNUMBER(I45)),S45="",T45=""),"Incomplete","Valid")))</x:f>
      </x:c>
      <x:c r="S45" s="8"/>
      <x:c r="T45" s="8"/>
      <x:c r="U45" s="17" t="str">
        <x:f>IF(C45="","",IF(O45="Verified",1,0))</x:f>
      </x:c>
    </x:row>
    <x:row r="46" ht="48" customHeight="1">
      <x:c r="A46" s="1"/>
      <x:c r="B46" s="1"/>
      <x:c r="C46" s="8"/>
      <x:c r="D46" s="8"/>
      <x:c r="E46" s="8"/>
      <x:c r="F46" s="8"/>
      <x:c r="G46" s="8"/>
      <x:c r="H46" s="8"/>
      <x:c r="I46" s="10"/>
      <x:c r="J46" s="8"/>
      <x:c r="K46" s="8"/>
      <x:c r="L46" s="10"/>
      <x:c r="M46" s="10"/>
      <x:c r="N46" s="9" t="str">
        <x:f>IF(C46="","",IF(OR(D46=Settings!$F$9,D46="Global"),"Yes","No"))</x:f>
      </x:c>
      <x:c r="O46" s="9" t="str">
        <x:f>IF(C46="","",IF(N46="No","Outside selection",IF(R46&lt;&gt;"Valid","Review",IF(J46&lt;&gt;"Implemented","Open",IF(OR(K46="",NOT(ISNUMBER(L46)),NOT(ISNUMBER(M46)),L46&gt;Settings!$F$8,M46&lt;L46),"Evidence required",IF(M46&lt;Settings!$F$8,"Expired","Verified"))))))</x:f>
      </x:c>
      <x:c r="P46" s="9" t="str">
        <x:f>IF(C46="","",IF(AND(N46="Yes",O46&lt;&gt;"Verified",ISNUMBER(I46),I46&lt;Settings!$F$8),"Overdue","Current"))</x:f>
      </x:c>
      <x:c r="Q46" s="9" t="str">
        <x:f>IF(C46="","",IF(P46="Overdue",Settings!$F$8-I46,0))</x:f>
      </x:c>
      <x:c r="R46" s="3" t="str">
        <x:f>IF(C46="","",IF(COUNTIF($C$9:$C$108,C46)&lt;&gt;1,"Duplicate ID",IF(OR(D46="",E46="",F46="",G46="",H46="",G46=H46,NOT(ISNUMBER(I46)),S46="",T46=""),"Incomplete","Valid")))</x:f>
      </x:c>
      <x:c r="S46" s="8"/>
      <x:c r="T46" s="8"/>
      <x:c r="U46" s="17" t="str">
        <x:f>IF(C46="","",IF(O46="Verified",1,0))</x:f>
      </x:c>
    </x:row>
    <x:row r="47" ht="48" customHeight="1">
      <x:c r="A47" s="1"/>
      <x:c r="B47" s="1"/>
      <x:c r="C47" s="8"/>
      <x:c r="D47" s="8"/>
      <x:c r="E47" s="8"/>
      <x:c r="F47" s="8"/>
      <x:c r="G47" s="8"/>
      <x:c r="H47" s="8"/>
      <x:c r="I47" s="10"/>
      <x:c r="J47" s="8"/>
      <x:c r="K47" s="8"/>
      <x:c r="L47" s="10"/>
      <x:c r="M47" s="10"/>
      <x:c r="N47" s="9" t="str">
        <x:f>IF(C47="","",IF(OR(D47=Settings!$F$9,D47="Global"),"Yes","No"))</x:f>
      </x:c>
      <x:c r="O47" s="9" t="str">
        <x:f>IF(C47="","",IF(N47="No","Outside selection",IF(R47&lt;&gt;"Valid","Review",IF(J47&lt;&gt;"Implemented","Open",IF(OR(K47="",NOT(ISNUMBER(L47)),NOT(ISNUMBER(M47)),L47&gt;Settings!$F$8,M47&lt;L47),"Evidence required",IF(M47&lt;Settings!$F$8,"Expired","Verified"))))))</x:f>
      </x:c>
      <x:c r="P47" s="9" t="str">
        <x:f>IF(C47="","",IF(AND(N47="Yes",O47&lt;&gt;"Verified",ISNUMBER(I47),I47&lt;Settings!$F$8),"Overdue","Current"))</x:f>
      </x:c>
      <x:c r="Q47" s="9" t="str">
        <x:f>IF(C47="","",IF(P47="Overdue",Settings!$F$8-I47,0))</x:f>
      </x:c>
      <x:c r="R47" s="3" t="str">
        <x:f>IF(C47="","",IF(COUNTIF($C$9:$C$108,C47)&lt;&gt;1,"Duplicate ID",IF(OR(D47="",E47="",F47="",G47="",H47="",G47=H47,NOT(ISNUMBER(I47)),S47="",T47=""),"Incomplete","Valid")))</x:f>
      </x:c>
      <x:c r="S47" s="8"/>
      <x:c r="T47" s="8"/>
      <x:c r="U47" s="17" t="str">
        <x:f>IF(C47="","",IF(O47="Verified",1,0))</x:f>
      </x:c>
    </x:row>
    <x:row r="48" ht="48" customHeight="1">
      <x:c r="A48" s="1"/>
      <x:c r="B48" s="1"/>
      <x:c r="C48" s="8"/>
      <x:c r="D48" s="8"/>
      <x:c r="E48" s="8"/>
      <x:c r="F48" s="8"/>
      <x:c r="G48" s="8"/>
      <x:c r="H48" s="8"/>
      <x:c r="I48" s="10"/>
      <x:c r="J48" s="8"/>
      <x:c r="K48" s="8"/>
      <x:c r="L48" s="10"/>
      <x:c r="M48" s="10"/>
      <x:c r="N48" s="9" t="str">
        <x:f>IF(C48="","",IF(OR(D48=Settings!$F$9,D48="Global"),"Yes","No"))</x:f>
      </x:c>
      <x:c r="O48" s="9" t="str">
        <x:f>IF(C48="","",IF(N48="No","Outside selection",IF(R48&lt;&gt;"Valid","Review",IF(J48&lt;&gt;"Implemented","Open",IF(OR(K48="",NOT(ISNUMBER(L48)),NOT(ISNUMBER(M48)),L48&gt;Settings!$F$8,M48&lt;L48),"Evidence required",IF(M48&lt;Settings!$F$8,"Expired","Verified"))))))</x:f>
      </x:c>
      <x:c r="P48" s="9" t="str">
        <x:f>IF(C48="","",IF(AND(N48="Yes",O48&lt;&gt;"Verified",ISNUMBER(I48),I48&lt;Settings!$F$8),"Overdue","Current"))</x:f>
      </x:c>
      <x:c r="Q48" s="9" t="str">
        <x:f>IF(C48="","",IF(P48="Overdue",Settings!$F$8-I48,0))</x:f>
      </x:c>
      <x:c r="R48" s="3" t="str">
        <x:f>IF(C48="","",IF(COUNTIF($C$9:$C$108,C48)&lt;&gt;1,"Duplicate ID",IF(OR(D48="",E48="",F48="",G48="",H48="",G48=H48,NOT(ISNUMBER(I48)),S48="",T48=""),"Incomplete","Valid")))</x:f>
      </x:c>
      <x:c r="S48" s="8"/>
      <x:c r="T48" s="8"/>
      <x:c r="U48" s="17" t="str">
        <x:f>IF(C48="","",IF(O48="Verified",1,0))</x:f>
      </x:c>
    </x:row>
    <x:row r="49" ht="48" customHeight="1">
      <x:c r="A49" s="1"/>
      <x:c r="B49" s="1"/>
      <x:c r="C49" s="8"/>
      <x:c r="D49" s="8"/>
      <x:c r="E49" s="8"/>
      <x:c r="F49" s="8"/>
      <x:c r="G49" s="8"/>
      <x:c r="H49" s="8"/>
      <x:c r="I49" s="10"/>
      <x:c r="J49" s="8"/>
      <x:c r="K49" s="8"/>
      <x:c r="L49" s="10"/>
      <x:c r="M49" s="10"/>
      <x:c r="N49" s="9" t="str">
        <x:f>IF(C49="","",IF(OR(D49=Settings!$F$9,D49="Global"),"Yes","No"))</x:f>
      </x:c>
      <x:c r="O49" s="9" t="str">
        <x:f>IF(C49="","",IF(N49="No","Outside selection",IF(R49&lt;&gt;"Valid","Review",IF(J49&lt;&gt;"Implemented","Open",IF(OR(K49="",NOT(ISNUMBER(L49)),NOT(ISNUMBER(M49)),L49&gt;Settings!$F$8,M49&lt;L49),"Evidence required",IF(M49&lt;Settings!$F$8,"Expired","Verified"))))))</x:f>
      </x:c>
      <x:c r="P49" s="9" t="str">
        <x:f>IF(C49="","",IF(AND(N49="Yes",O49&lt;&gt;"Verified",ISNUMBER(I49),I49&lt;Settings!$F$8),"Overdue","Current"))</x:f>
      </x:c>
      <x:c r="Q49" s="9" t="str">
        <x:f>IF(C49="","",IF(P49="Overdue",Settings!$F$8-I49,0))</x:f>
      </x:c>
      <x:c r="R49" s="3" t="str">
        <x:f>IF(C49="","",IF(COUNTIF($C$9:$C$108,C49)&lt;&gt;1,"Duplicate ID",IF(OR(D49="",E49="",F49="",G49="",H49="",G49=H49,NOT(ISNUMBER(I49)),S49="",T49=""),"Incomplete","Valid")))</x:f>
      </x:c>
      <x:c r="S49" s="8"/>
      <x:c r="T49" s="8"/>
      <x:c r="U49" s="17" t="str">
        <x:f>IF(C49="","",IF(O49="Verified",1,0))</x:f>
      </x:c>
    </x:row>
    <x:row r="50" ht="48" customHeight="1">
      <x:c r="A50" s="1"/>
      <x:c r="B50" s="1"/>
      <x:c r="C50" s="8"/>
      <x:c r="D50" s="8"/>
      <x:c r="E50" s="8"/>
      <x:c r="F50" s="8"/>
      <x:c r="G50" s="8"/>
      <x:c r="H50" s="8"/>
      <x:c r="I50" s="10"/>
      <x:c r="J50" s="8"/>
      <x:c r="K50" s="8"/>
      <x:c r="L50" s="10"/>
      <x:c r="M50" s="10"/>
      <x:c r="N50" s="9" t="str">
        <x:f>IF(C50="","",IF(OR(D50=Settings!$F$9,D50="Global"),"Yes","No"))</x:f>
      </x:c>
      <x:c r="O50" s="9" t="str">
        <x:f>IF(C50="","",IF(N50="No","Outside selection",IF(R50&lt;&gt;"Valid","Review",IF(J50&lt;&gt;"Implemented","Open",IF(OR(K50="",NOT(ISNUMBER(L50)),NOT(ISNUMBER(M50)),L50&gt;Settings!$F$8,M50&lt;L50),"Evidence required",IF(M50&lt;Settings!$F$8,"Expired","Verified"))))))</x:f>
      </x:c>
      <x:c r="P50" s="9" t="str">
        <x:f>IF(C50="","",IF(AND(N50="Yes",O50&lt;&gt;"Verified",ISNUMBER(I50),I50&lt;Settings!$F$8),"Overdue","Current"))</x:f>
      </x:c>
      <x:c r="Q50" s="9" t="str">
        <x:f>IF(C50="","",IF(P50="Overdue",Settings!$F$8-I50,0))</x:f>
      </x:c>
      <x:c r="R50" s="3" t="str">
        <x:f>IF(C50="","",IF(COUNTIF($C$9:$C$108,C50)&lt;&gt;1,"Duplicate ID",IF(OR(D50="",E50="",F50="",G50="",H50="",G50=H50,NOT(ISNUMBER(I50)),S50="",T50=""),"Incomplete","Valid")))</x:f>
      </x:c>
      <x:c r="S50" s="8"/>
      <x:c r="T50" s="8"/>
      <x:c r="U50" s="17" t="str">
        <x:f>IF(C50="","",IF(O50="Verified",1,0))</x:f>
      </x:c>
    </x:row>
    <x:row r="51" ht="48" customHeight="1">
      <x:c r="A51" s="1"/>
      <x:c r="B51" s="1"/>
      <x:c r="C51" s="8"/>
      <x:c r="D51" s="8"/>
      <x:c r="E51" s="8"/>
      <x:c r="F51" s="8"/>
      <x:c r="G51" s="8"/>
      <x:c r="H51" s="8"/>
      <x:c r="I51" s="10"/>
      <x:c r="J51" s="8"/>
      <x:c r="K51" s="8"/>
      <x:c r="L51" s="10"/>
      <x:c r="M51" s="10"/>
      <x:c r="N51" s="9" t="str">
        <x:f>IF(C51="","",IF(OR(D51=Settings!$F$9,D51="Global"),"Yes","No"))</x:f>
      </x:c>
      <x:c r="O51" s="9" t="str">
        <x:f>IF(C51="","",IF(N51="No","Outside selection",IF(R51&lt;&gt;"Valid","Review",IF(J51&lt;&gt;"Implemented","Open",IF(OR(K51="",NOT(ISNUMBER(L51)),NOT(ISNUMBER(M51)),L51&gt;Settings!$F$8,M51&lt;L51),"Evidence required",IF(M51&lt;Settings!$F$8,"Expired","Verified"))))))</x:f>
      </x:c>
      <x:c r="P51" s="9" t="str">
        <x:f>IF(C51="","",IF(AND(N51="Yes",O51&lt;&gt;"Verified",ISNUMBER(I51),I51&lt;Settings!$F$8),"Overdue","Current"))</x:f>
      </x:c>
      <x:c r="Q51" s="9" t="str">
        <x:f>IF(C51="","",IF(P51="Overdue",Settings!$F$8-I51,0))</x:f>
      </x:c>
      <x:c r="R51" s="3" t="str">
        <x:f>IF(C51="","",IF(COUNTIF($C$9:$C$108,C51)&lt;&gt;1,"Duplicate ID",IF(OR(D51="",E51="",F51="",G51="",H51="",G51=H51,NOT(ISNUMBER(I51)),S51="",T51=""),"Incomplete","Valid")))</x:f>
      </x:c>
      <x:c r="S51" s="8"/>
      <x:c r="T51" s="8"/>
      <x:c r="U51" s="17" t="str">
        <x:f>IF(C51="","",IF(O51="Verified",1,0))</x:f>
      </x:c>
    </x:row>
    <x:row r="52" ht="48" customHeight="1">
      <x:c r="A52" s="1"/>
      <x:c r="B52" s="1"/>
      <x:c r="C52" s="8"/>
      <x:c r="D52" s="8"/>
      <x:c r="E52" s="8"/>
      <x:c r="F52" s="8"/>
      <x:c r="G52" s="8"/>
      <x:c r="H52" s="8"/>
      <x:c r="I52" s="10"/>
      <x:c r="J52" s="8"/>
      <x:c r="K52" s="8"/>
      <x:c r="L52" s="10"/>
      <x:c r="M52" s="10"/>
      <x:c r="N52" s="9" t="str">
        <x:f>IF(C52="","",IF(OR(D52=Settings!$F$9,D52="Global"),"Yes","No"))</x:f>
      </x:c>
      <x:c r="O52" s="9" t="str">
        <x:f>IF(C52="","",IF(N52="No","Outside selection",IF(R52&lt;&gt;"Valid","Review",IF(J52&lt;&gt;"Implemented","Open",IF(OR(K52="",NOT(ISNUMBER(L52)),NOT(ISNUMBER(M52)),L52&gt;Settings!$F$8,M52&lt;L52),"Evidence required",IF(M52&lt;Settings!$F$8,"Expired","Verified"))))))</x:f>
      </x:c>
      <x:c r="P52" s="9" t="str">
        <x:f>IF(C52="","",IF(AND(N52="Yes",O52&lt;&gt;"Verified",ISNUMBER(I52),I52&lt;Settings!$F$8),"Overdue","Current"))</x:f>
      </x:c>
      <x:c r="Q52" s="9" t="str">
        <x:f>IF(C52="","",IF(P52="Overdue",Settings!$F$8-I52,0))</x:f>
      </x:c>
      <x:c r="R52" s="3" t="str">
        <x:f>IF(C52="","",IF(COUNTIF($C$9:$C$108,C52)&lt;&gt;1,"Duplicate ID",IF(OR(D52="",E52="",F52="",G52="",H52="",G52=H52,NOT(ISNUMBER(I52)),S52="",T52=""),"Incomplete","Valid")))</x:f>
      </x:c>
      <x:c r="S52" s="8"/>
      <x:c r="T52" s="8"/>
      <x:c r="U52" s="17" t="str">
        <x:f>IF(C52="","",IF(O52="Verified",1,0))</x:f>
      </x:c>
    </x:row>
    <x:row r="53" ht="48" customHeight="1">
      <x:c r="A53" s="1"/>
      <x:c r="B53" s="1"/>
      <x:c r="C53" s="8"/>
      <x:c r="D53" s="8"/>
      <x:c r="E53" s="8"/>
      <x:c r="F53" s="8"/>
      <x:c r="G53" s="8"/>
      <x:c r="H53" s="8"/>
      <x:c r="I53" s="10"/>
      <x:c r="J53" s="8"/>
      <x:c r="K53" s="8"/>
      <x:c r="L53" s="10"/>
      <x:c r="M53" s="10"/>
      <x:c r="N53" s="9" t="str">
        <x:f>IF(C53="","",IF(OR(D53=Settings!$F$9,D53="Global"),"Yes","No"))</x:f>
      </x:c>
      <x:c r="O53" s="9" t="str">
        <x:f>IF(C53="","",IF(N53="No","Outside selection",IF(R53&lt;&gt;"Valid","Review",IF(J53&lt;&gt;"Implemented","Open",IF(OR(K53="",NOT(ISNUMBER(L53)),NOT(ISNUMBER(M53)),L53&gt;Settings!$F$8,M53&lt;L53),"Evidence required",IF(M53&lt;Settings!$F$8,"Expired","Verified"))))))</x:f>
      </x:c>
      <x:c r="P53" s="9" t="str">
        <x:f>IF(C53="","",IF(AND(N53="Yes",O53&lt;&gt;"Verified",ISNUMBER(I53),I53&lt;Settings!$F$8),"Overdue","Current"))</x:f>
      </x:c>
      <x:c r="Q53" s="9" t="str">
        <x:f>IF(C53="","",IF(P53="Overdue",Settings!$F$8-I53,0))</x:f>
      </x:c>
      <x:c r="R53" s="3" t="str">
        <x:f>IF(C53="","",IF(COUNTIF($C$9:$C$108,C53)&lt;&gt;1,"Duplicate ID",IF(OR(D53="",E53="",F53="",G53="",H53="",G53=H53,NOT(ISNUMBER(I53)),S53="",T53=""),"Incomplete","Valid")))</x:f>
      </x:c>
      <x:c r="S53" s="8"/>
      <x:c r="T53" s="8"/>
      <x:c r="U53" s="17" t="str">
        <x:f>IF(C53="","",IF(O53="Verified",1,0))</x:f>
      </x:c>
    </x:row>
    <x:row r="54" ht="48" customHeight="1">
      <x:c r="A54" s="1"/>
      <x:c r="B54" s="1"/>
      <x:c r="C54" s="8"/>
      <x:c r="D54" s="8"/>
      <x:c r="E54" s="8"/>
      <x:c r="F54" s="8"/>
      <x:c r="G54" s="8"/>
      <x:c r="H54" s="8"/>
      <x:c r="I54" s="10"/>
      <x:c r="J54" s="8"/>
      <x:c r="K54" s="8"/>
      <x:c r="L54" s="10"/>
      <x:c r="M54" s="10"/>
      <x:c r="N54" s="9" t="str">
        <x:f>IF(C54="","",IF(OR(D54=Settings!$F$9,D54="Global"),"Yes","No"))</x:f>
      </x:c>
      <x:c r="O54" s="9" t="str">
        <x:f>IF(C54="","",IF(N54="No","Outside selection",IF(R54&lt;&gt;"Valid","Review",IF(J54&lt;&gt;"Implemented","Open",IF(OR(K54="",NOT(ISNUMBER(L54)),NOT(ISNUMBER(M54)),L54&gt;Settings!$F$8,M54&lt;L54),"Evidence required",IF(M54&lt;Settings!$F$8,"Expired","Verified"))))))</x:f>
      </x:c>
      <x:c r="P54" s="9" t="str">
        <x:f>IF(C54="","",IF(AND(N54="Yes",O54&lt;&gt;"Verified",ISNUMBER(I54),I54&lt;Settings!$F$8),"Overdue","Current"))</x:f>
      </x:c>
      <x:c r="Q54" s="9" t="str">
        <x:f>IF(C54="","",IF(P54="Overdue",Settings!$F$8-I54,0))</x:f>
      </x:c>
      <x:c r="R54" s="3" t="str">
        <x:f>IF(C54="","",IF(COUNTIF($C$9:$C$108,C54)&lt;&gt;1,"Duplicate ID",IF(OR(D54="",E54="",F54="",G54="",H54="",G54=H54,NOT(ISNUMBER(I54)),S54="",T54=""),"Incomplete","Valid")))</x:f>
      </x:c>
      <x:c r="S54" s="8"/>
      <x:c r="T54" s="8"/>
      <x:c r="U54" s="17" t="str">
        <x:f>IF(C54="","",IF(O54="Verified",1,0))</x:f>
      </x:c>
    </x:row>
    <x:row r="55" ht="48" customHeight="1">
      <x:c r="A55" s="1"/>
      <x:c r="B55" s="1"/>
      <x:c r="C55" s="8"/>
      <x:c r="D55" s="8"/>
      <x:c r="E55" s="8"/>
      <x:c r="F55" s="8"/>
      <x:c r="G55" s="8"/>
      <x:c r="H55" s="8"/>
      <x:c r="I55" s="10"/>
      <x:c r="J55" s="8"/>
      <x:c r="K55" s="8"/>
      <x:c r="L55" s="10"/>
      <x:c r="M55" s="10"/>
      <x:c r="N55" s="9" t="str">
        <x:f>IF(C55="","",IF(OR(D55=Settings!$F$9,D55="Global"),"Yes","No"))</x:f>
      </x:c>
      <x:c r="O55" s="9" t="str">
        <x:f>IF(C55="","",IF(N55="No","Outside selection",IF(R55&lt;&gt;"Valid","Review",IF(J55&lt;&gt;"Implemented","Open",IF(OR(K55="",NOT(ISNUMBER(L55)),NOT(ISNUMBER(M55)),L55&gt;Settings!$F$8,M55&lt;L55),"Evidence required",IF(M55&lt;Settings!$F$8,"Expired","Verified"))))))</x:f>
      </x:c>
      <x:c r="P55" s="9" t="str">
        <x:f>IF(C55="","",IF(AND(N55="Yes",O55&lt;&gt;"Verified",ISNUMBER(I55),I55&lt;Settings!$F$8),"Overdue","Current"))</x:f>
      </x:c>
      <x:c r="Q55" s="9" t="str">
        <x:f>IF(C55="","",IF(P55="Overdue",Settings!$F$8-I55,0))</x:f>
      </x:c>
      <x:c r="R55" s="3" t="str">
        <x:f>IF(C55="","",IF(COUNTIF($C$9:$C$108,C55)&lt;&gt;1,"Duplicate ID",IF(OR(D55="",E55="",F55="",G55="",H55="",G55=H55,NOT(ISNUMBER(I55)),S55="",T55=""),"Incomplete","Valid")))</x:f>
      </x:c>
      <x:c r="S55" s="8"/>
      <x:c r="T55" s="8"/>
      <x:c r="U55" s="17" t="str">
        <x:f>IF(C55="","",IF(O55="Verified",1,0))</x:f>
      </x:c>
    </x:row>
    <x:row r="56" ht="48" customHeight="1">
      <x:c r="A56" s="1"/>
      <x:c r="B56" s="1"/>
      <x:c r="C56" s="8"/>
      <x:c r="D56" s="8"/>
      <x:c r="E56" s="8"/>
      <x:c r="F56" s="8"/>
      <x:c r="G56" s="8"/>
      <x:c r="H56" s="8"/>
      <x:c r="I56" s="10"/>
      <x:c r="J56" s="8"/>
      <x:c r="K56" s="8"/>
      <x:c r="L56" s="10"/>
      <x:c r="M56" s="10"/>
      <x:c r="N56" s="9" t="str">
        <x:f>IF(C56="","",IF(OR(D56=Settings!$F$9,D56="Global"),"Yes","No"))</x:f>
      </x:c>
      <x:c r="O56" s="9" t="str">
        <x:f>IF(C56="","",IF(N56="No","Outside selection",IF(R56&lt;&gt;"Valid","Review",IF(J56&lt;&gt;"Implemented","Open",IF(OR(K56="",NOT(ISNUMBER(L56)),NOT(ISNUMBER(M56)),L56&gt;Settings!$F$8,M56&lt;L56),"Evidence required",IF(M56&lt;Settings!$F$8,"Expired","Verified"))))))</x:f>
      </x:c>
      <x:c r="P56" s="9" t="str">
        <x:f>IF(C56="","",IF(AND(N56="Yes",O56&lt;&gt;"Verified",ISNUMBER(I56),I56&lt;Settings!$F$8),"Overdue","Current"))</x:f>
      </x:c>
      <x:c r="Q56" s="9" t="str">
        <x:f>IF(C56="","",IF(P56="Overdue",Settings!$F$8-I56,0))</x:f>
      </x:c>
      <x:c r="R56" s="3" t="str">
        <x:f>IF(C56="","",IF(COUNTIF($C$9:$C$108,C56)&lt;&gt;1,"Duplicate ID",IF(OR(D56="",E56="",F56="",G56="",H56="",G56=H56,NOT(ISNUMBER(I56)),S56="",T56=""),"Incomplete","Valid")))</x:f>
      </x:c>
      <x:c r="S56" s="8"/>
      <x:c r="T56" s="8"/>
      <x:c r="U56" s="17" t="str">
        <x:f>IF(C56="","",IF(O56="Verified",1,0))</x:f>
      </x:c>
    </x:row>
    <x:row r="57" ht="48" customHeight="1">
      <x:c r="A57" s="1"/>
      <x:c r="B57" s="1"/>
      <x:c r="C57" s="8"/>
      <x:c r="D57" s="8"/>
      <x:c r="E57" s="8"/>
      <x:c r="F57" s="8"/>
      <x:c r="G57" s="8"/>
      <x:c r="H57" s="8"/>
      <x:c r="I57" s="10"/>
      <x:c r="J57" s="8"/>
      <x:c r="K57" s="8"/>
      <x:c r="L57" s="10"/>
      <x:c r="M57" s="10"/>
      <x:c r="N57" s="9" t="str">
        <x:f>IF(C57="","",IF(OR(D57=Settings!$F$9,D57="Global"),"Yes","No"))</x:f>
      </x:c>
      <x:c r="O57" s="9" t="str">
        <x:f>IF(C57="","",IF(N57="No","Outside selection",IF(R57&lt;&gt;"Valid","Review",IF(J57&lt;&gt;"Implemented","Open",IF(OR(K57="",NOT(ISNUMBER(L57)),NOT(ISNUMBER(M57)),L57&gt;Settings!$F$8,M57&lt;L57),"Evidence required",IF(M57&lt;Settings!$F$8,"Expired","Verified"))))))</x:f>
      </x:c>
      <x:c r="P57" s="9" t="str">
        <x:f>IF(C57="","",IF(AND(N57="Yes",O57&lt;&gt;"Verified",ISNUMBER(I57),I57&lt;Settings!$F$8),"Overdue","Current"))</x:f>
      </x:c>
      <x:c r="Q57" s="9" t="str">
        <x:f>IF(C57="","",IF(P57="Overdue",Settings!$F$8-I57,0))</x:f>
      </x:c>
      <x:c r="R57" s="3" t="str">
        <x:f>IF(C57="","",IF(COUNTIF($C$9:$C$108,C57)&lt;&gt;1,"Duplicate ID",IF(OR(D57="",E57="",F57="",G57="",H57="",G57=H57,NOT(ISNUMBER(I57)),S57="",T57=""),"Incomplete","Valid")))</x:f>
      </x:c>
      <x:c r="S57" s="8"/>
      <x:c r="T57" s="8"/>
      <x:c r="U57" s="17" t="str">
        <x:f>IF(C57="","",IF(O57="Verified",1,0))</x:f>
      </x:c>
    </x:row>
    <x:row r="58" ht="48" customHeight="1">
      <x:c r="A58" s="1"/>
      <x:c r="B58" s="1"/>
      <x:c r="C58" s="8"/>
      <x:c r="D58" s="8"/>
      <x:c r="E58" s="8"/>
      <x:c r="F58" s="8"/>
      <x:c r="G58" s="8"/>
      <x:c r="H58" s="8"/>
      <x:c r="I58" s="10"/>
      <x:c r="J58" s="8"/>
      <x:c r="K58" s="8"/>
      <x:c r="L58" s="10"/>
      <x:c r="M58" s="10"/>
      <x:c r="N58" s="9" t="str">
        <x:f>IF(C58="","",IF(OR(D58=Settings!$F$9,D58="Global"),"Yes","No"))</x:f>
      </x:c>
      <x:c r="O58" s="9" t="str">
        <x:f>IF(C58="","",IF(N58="No","Outside selection",IF(R58&lt;&gt;"Valid","Review",IF(J58&lt;&gt;"Implemented","Open",IF(OR(K58="",NOT(ISNUMBER(L58)),NOT(ISNUMBER(M58)),L58&gt;Settings!$F$8,M58&lt;L58),"Evidence required",IF(M58&lt;Settings!$F$8,"Expired","Verified"))))))</x:f>
      </x:c>
      <x:c r="P58" s="9" t="str">
        <x:f>IF(C58="","",IF(AND(N58="Yes",O58&lt;&gt;"Verified",ISNUMBER(I58),I58&lt;Settings!$F$8),"Overdue","Current"))</x:f>
      </x:c>
      <x:c r="Q58" s="9" t="str">
        <x:f>IF(C58="","",IF(P58="Overdue",Settings!$F$8-I58,0))</x:f>
      </x:c>
      <x:c r="R58" s="3" t="str">
        <x:f>IF(C58="","",IF(COUNTIF($C$9:$C$108,C58)&lt;&gt;1,"Duplicate ID",IF(OR(D58="",E58="",F58="",G58="",H58="",G58=H58,NOT(ISNUMBER(I58)),S58="",T58=""),"Incomplete","Valid")))</x:f>
      </x:c>
      <x:c r="S58" s="8"/>
      <x:c r="T58" s="8"/>
      <x:c r="U58" s="17" t="str">
        <x:f>IF(C58="","",IF(O58="Verified",1,0))</x:f>
      </x:c>
    </x:row>
    <x:row r="59" ht="48" customHeight="1">
      <x:c r="A59" s="1"/>
      <x:c r="B59" s="1"/>
      <x:c r="C59" s="8"/>
      <x:c r="D59" s="8"/>
      <x:c r="E59" s="8"/>
      <x:c r="F59" s="8"/>
      <x:c r="G59" s="8"/>
      <x:c r="H59" s="8"/>
      <x:c r="I59" s="10"/>
      <x:c r="J59" s="8"/>
      <x:c r="K59" s="8"/>
      <x:c r="L59" s="10"/>
      <x:c r="M59" s="10"/>
      <x:c r="N59" s="9" t="str">
        <x:f>IF(C59="","",IF(OR(D59=Settings!$F$9,D59="Global"),"Yes","No"))</x:f>
      </x:c>
      <x:c r="O59" s="9" t="str">
        <x:f>IF(C59="","",IF(N59="No","Outside selection",IF(R59&lt;&gt;"Valid","Review",IF(J59&lt;&gt;"Implemented","Open",IF(OR(K59="",NOT(ISNUMBER(L59)),NOT(ISNUMBER(M59)),L59&gt;Settings!$F$8,M59&lt;L59),"Evidence required",IF(M59&lt;Settings!$F$8,"Expired","Verified"))))))</x:f>
      </x:c>
      <x:c r="P59" s="9" t="str">
        <x:f>IF(C59="","",IF(AND(N59="Yes",O59&lt;&gt;"Verified",ISNUMBER(I59),I59&lt;Settings!$F$8),"Overdue","Current"))</x:f>
      </x:c>
      <x:c r="Q59" s="9" t="str">
        <x:f>IF(C59="","",IF(P59="Overdue",Settings!$F$8-I59,0))</x:f>
      </x:c>
      <x:c r="R59" s="3" t="str">
        <x:f>IF(C59="","",IF(COUNTIF($C$9:$C$108,C59)&lt;&gt;1,"Duplicate ID",IF(OR(D59="",E59="",F59="",G59="",H59="",G59=H59,NOT(ISNUMBER(I59)),S59="",T59=""),"Incomplete","Valid")))</x:f>
      </x:c>
      <x:c r="S59" s="8"/>
      <x:c r="T59" s="8"/>
      <x:c r="U59" s="17" t="str">
        <x:f>IF(C59="","",IF(O59="Verified",1,0))</x:f>
      </x:c>
    </x:row>
    <x:row r="60" ht="48" customHeight="1">
      <x:c r="A60" s="1"/>
      <x:c r="B60" s="1"/>
      <x:c r="C60" s="8"/>
      <x:c r="D60" s="8"/>
      <x:c r="E60" s="8"/>
      <x:c r="F60" s="8"/>
      <x:c r="G60" s="8"/>
      <x:c r="H60" s="8"/>
      <x:c r="I60" s="10"/>
      <x:c r="J60" s="8"/>
      <x:c r="K60" s="8"/>
      <x:c r="L60" s="10"/>
      <x:c r="M60" s="10"/>
      <x:c r="N60" s="9" t="str">
        <x:f>IF(C60="","",IF(OR(D60=Settings!$F$9,D60="Global"),"Yes","No"))</x:f>
      </x:c>
      <x:c r="O60" s="9" t="str">
        <x:f>IF(C60="","",IF(N60="No","Outside selection",IF(R60&lt;&gt;"Valid","Review",IF(J60&lt;&gt;"Implemented","Open",IF(OR(K60="",NOT(ISNUMBER(L60)),NOT(ISNUMBER(M60)),L60&gt;Settings!$F$8,M60&lt;L60),"Evidence required",IF(M60&lt;Settings!$F$8,"Expired","Verified"))))))</x:f>
      </x:c>
      <x:c r="P60" s="9" t="str">
        <x:f>IF(C60="","",IF(AND(N60="Yes",O60&lt;&gt;"Verified",ISNUMBER(I60),I60&lt;Settings!$F$8),"Overdue","Current"))</x:f>
      </x:c>
      <x:c r="Q60" s="9" t="str">
        <x:f>IF(C60="","",IF(P60="Overdue",Settings!$F$8-I60,0))</x:f>
      </x:c>
      <x:c r="R60" s="3" t="str">
        <x:f>IF(C60="","",IF(COUNTIF($C$9:$C$108,C60)&lt;&gt;1,"Duplicate ID",IF(OR(D60="",E60="",F60="",G60="",H60="",G60=H60,NOT(ISNUMBER(I60)),S60="",T60=""),"Incomplete","Valid")))</x:f>
      </x:c>
      <x:c r="S60" s="8"/>
      <x:c r="T60" s="8"/>
      <x:c r="U60" s="17" t="str">
        <x:f>IF(C60="","",IF(O60="Verified",1,0))</x:f>
      </x:c>
    </x:row>
    <x:row r="61" ht="48" customHeight="1">
      <x:c r="A61" s="1"/>
      <x:c r="B61" s="1"/>
      <x:c r="C61" s="8"/>
      <x:c r="D61" s="8"/>
      <x:c r="E61" s="8"/>
      <x:c r="F61" s="8"/>
      <x:c r="G61" s="8"/>
      <x:c r="H61" s="8"/>
      <x:c r="I61" s="10"/>
      <x:c r="J61" s="8"/>
      <x:c r="K61" s="8"/>
      <x:c r="L61" s="10"/>
      <x:c r="M61" s="10"/>
      <x:c r="N61" s="9" t="str">
        <x:f>IF(C61="","",IF(OR(D61=Settings!$F$9,D61="Global"),"Yes","No"))</x:f>
      </x:c>
      <x:c r="O61" s="9" t="str">
        <x:f>IF(C61="","",IF(N61="No","Outside selection",IF(R61&lt;&gt;"Valid","Review",IF(J61&lt;&gt;"Implemented","Open",IF(OR(K61="",NOT(ISNUMBER(L61)),NOT(ISNUMBER(M61)),L61&gt;Settings!$F$8,M61&lt;L61),"Evidence required",IF(M61&lt;Settings!$F$8,"Expired","Verified"))))))</x:f>
      </x:c>
      <x:c r="P61" s="9" t="str">
        <x:f>IF(C61="","",IF(AND(N61="Yes",O61&lt;&gt;"Verified",ISNUMBER(I61),I61&lt;Settings!$F$8),"Overdue","Current"))</x:f>
      </x:c>
      <x:c r="Q61" s="9" t="str">
        <x:f>IF(C61="","",IF(P61="Overdue",Settings!$F$8-I61,0))</x:f>
      </x:c>
      <x:c r="R61" s="3" t="str">
        <x:f>IF(C61="","",IF(COUNTIF($C$9:$C$108,C61)&lt;&gt;1,"Duplicate ID",IF(OR(D61="",E61="",F61="",G61="",H61="",G61=H61,NOT(ISNUMBER(I61)),S61="",T61=""),"Incomplete","Valid")))</x:f>
      </x:c>
      <x:c r="S61" s="8"/>
      <x:c r="T61" s="8"/>
      <x:c r="U61" s="17" t="str">
        <x:f>IF(C61="","",IF(O61="Verified",1,0))</x:f>
      </x:c>
    </x:row>
    <x:row r="62" ht="48" customHeight="1">
      <x:c r="A62" s="1"/>
      <x:c r="B62" s="1"/>
      <x:c r="C62" s="8"/>
      <x:c r="D62" s="8"/>
      <x:c r="E62" s="8"/>
      <x:c r="F62" s="8"/>
      <x:c r="G62" s="8"/>
      <x:c r="H62" s="8"/>
      <x:c r="I62" s="10"/>
      <x:c r="J62" s="8"/>
      <x:c r="K62" s="8"/>
      <x:c r="L62" s="10"/>
      <x:c r="M62" s="10"/>
      <x:c r="N62" s="9" t="str">
        <x:f>IF(C62="","",IF(OR(D62=Settings!$F$9,D62="Global"),"Yes","No"))</x:f>
      </x:c>
      <x:c r="O62" s="9" t="str">
        <x:f>IF(C62="","",IF(N62="No","Outside selection",IF(R62&lt;&gt;"Valid","Review",IF(J62&lt;&gt;"Implemented","Open",IF(OR(K62="",NOT(ISNUMBER(L62)),NOT(ISNUMBER(M62)),L62&gt;Settings!$F$8,M62&lt;L62),"Evidence required",IF(M62&lt;Settings!$F$8,"Expired","Verified"))))))</x:f>
      </x:c>
      <x:c r="P62" s="9" t="str">
        <x:f>IF(C62="","",IF(AND(N62="Yes",O62&lt;&gt;"Verified",ISNUMBER(I62),I62&lt;Settings!$F$8),"Overdue","Current"))</x:f>
      </x:c>
      <x:c r="Q62" s="9" t="str">
        <x:f>IF(C62="","",IF(P62="Overdue",Settings!$F$8-I62,0))</x:f>
      </x:c>
      <x:c r="R62" s="3" t="str">
        <x:f>IF(C62="","",IF(COUNTIF($C$9:$C$108,C62)&lt;&gt;1,"Duplicate ID",IF(OR(D62="",E62="",F62="",G62="",H62="",G62=H62,NOT(ISNUMBER(I62)),S62="",T62=""),"Incomplete","Valid")))</x:f>
      </x:c>
      <x:c r="S62" s="8"/>
      <x:c r="T62" s="8"/>
      <x:c r="U62" s="17" t="str">
        <x:f>IF(C62="","",IF(O62="Verified",1,0))</x:f>
      </x:c>
    </x:row>
    <x:row r="63" ht="48" customHeight="1">
      <x:c r="A63" s="1"/>
      <x:c r="B63" s="1"/>
      <x:c r="C63" s="8"/>
      <x:c r="D63" s="8"/>
      <x:c r="E63" s="8"/>
      <x:c r="F63" s="8"/>
      <x:c r="G63" s="8"/>
      <x:c r="H63" s="8"/>
      <x:c r="I63" s="10"/>
      <x:c r="J63" s="8"/>
      <x:c r="K63" s="8"/>
      <x:c r="L63" s="10"/>
      <x:c r="M63" s="10"/>
      <x:c r="N63" s="9" t="str">
        <x:f>IF(C63="","",IF(OR(D63=Settings!$F$9,D63="Global"),"Yes","No"))</x:f>
      </x:c>
      <x:c r="O63" s="9" t="str">
        <x:f>IF(C63="","",IF(N63="No","Outside selection",IF(R63&lt;&gt;"Valid","Review",IF(J63&lt;&gt;"Implemented","Open",IF(OR(K63="",NOT(ISNUMBER(L63)),NOT(ISNUMBER(M63)),L63&gt;Settings!$F$8,M63&lt;L63),"Evidence required",IF(M63&lt;Settings!$F$8,"Expired","Verified"))))))</x:f>
      </x:c>
      <x:c r="P63" s="9" t="str">
        <x:f>IF(C63="","",IF(AND(N63="Yes",O63&lt;&gt;"Verified",ISNUMBER(I63),I63&lt;Settings!$F$8),"Overdue","Current"))</x:f>
      </x:c>
      <x:c r="Q63" s="9" t="str">
        <x:f>IF(C63="","",IF(P63="Overdue",Settings!$F$8-I63,0))</x:f>
      </x:c>
      <x:c r="R63" s="3" t="str">
        <x:f>IF(C63="","",IF(COUNTIF($C$9:$C$108,C63)&lt;&gt;1,"Duplicate ID",IF(OR(D63="",E63="",F63="",G63="",H63="",G63=H63,NOT(ISNUMBER(I63)),S63="",T63=""),"Incomplete","Valid")))</x:f>
      </x:c>
      <x:c r="S63" s="8"/>
      <x:c r="T63" s="8"/>
      <x:c r="U63" s="17" t="str">
        <x:f>IF(C63="","",IF(O63="Verified",1,0))</x:f>
      </x:c>
    </x:row>
    <x:row r="64" ht="48" customHeight="1">
      <x:c r="A64" s="1"/>
      <x:c r="B64" s="1"/>
      <x:c r="C64" s="8"/>
      <x:c r="D64" s="8"/>
      <x:c r="E64" s="8"/>
      <x:c r="F64" s="8"/>
      <x:c r="G64" s="8"/>
      <x:c r="H64" s="8"/>
      <x:c r="I64" s="10"/>
      <x:c r="J64" s="8"/>
      <x:c r="K64" s="8"/>
      <x:c r="L64" s="10"/>
      <x:c r="M64" s="10"/>
      <x:c r="N64" s="9" t="str">
        <x:f>IF(C64="","",IF(OR(D64=Settings!$F$9,D64="Global"),"Yes","No"))</x:f>
      </x:c>
      <x:c r="O64" s="9" t="str">
        <x:f>IF(C64="","",IF(N64="No","Outside selection",IF(R64&lt;&gt;"Valid","Review",IF(J64&lt;&gt;"Implemented","Open",IF(OR(K64="",NOT(ISNUMBER(L64)),NOT(ISNUMBER(M64)),L64&gt;Settings!$F$8,M64&lt;L64),"Evidence required",IF(M64&lt;Settings!$F$8,"Expired","Verified"))))))</x:f>
      </x:c>
      <x:c r="P64" s="9" t="str">
        <x:f>IF(C64="","",IF(AND(N64="Yes",O64&lt;&gt;"Verified",ISNUMBER(I64),I64&lt;Settings!$F$8),"Overdue","Current"))</x:f>
      </x:c>
      <x:c r="Q64" s="9" t="str">
        <x:f>IF(C64="","",IF(P64="Overdue",Settings!$F$8-I64,0))</x:f>
      </x:c>
      <x:c r="R64" s="3" t="str">
        <x:f>IF(C64="","",IF(COUNTIF($C$9:$C$108,C64)&lt;&gt;1,"Duplicate ID",IF(OR(D64="",E64="",F64="",G64="",H64="",G64=H64,NOT(ISNUMBER(I64)),S64="",T64=""),"Incomplete","Valid")))</x:f>
      </x:c>
      <x:c r="S64" s="8"/>
      <x:c r="T64" s="8"/>
      <x:c r="U64" s="17" t="str">
        <x:f>IF(C64="","",IF(O64="Verified",1,0))</x:f>
      </x:c>
    </x:row>
    <x:row r="65" ht="48" customHeight="1">
      <x:c r="A65" s="1"/>
      <x:c r="B65" s="1"/>
      <x:c r="C65" s="8"/>
      <x:c r="D65" s="8"/>
      <x:c r="E65" s="8"/>
      <x:c r="F65" s="8"/>
      <x:c r="G65" s="8"/>
      <x:c r="H65" s="8"/>
      <x:c r="I65" s="10"/>
      <x:c r="J65" s="8"/>
      <x:c r="K65" s="8"/>
      <x:c r="L65" s="10"/>
      <x:c r="M65" s="10"/>
      <x:c r="N65" s="9" t="str">
        <x:f>IF(C65="","",IF(OR(D65=Settings!$F$9,D65="Global"),"Yes","No"))</x:f>
      </x:c>
      <x:c r="O65" s="9" t="str">
        <x:f>IF(C65="","",IF(N65="No","Outside selection",IF(R65&lt;&gt;"Valid","Review",IF(J65&lt;&gt;"Implemented","Open",IF(OR(K65="",NOT(ISNUMBER(L65)),NOT(ISNUMBER(M65)),L65&gt;Settings!$F$8,M65&lt;L65),"Evidence required",IF(M65&lt;Settings!$F$8,"Expired","Verified"))))))</x:f>
      </x:c>
      <x:c r="P65" s="9" t="str">
        <x:f>IF(C65="","",IF(AND(N65="Yes",O65&lt;&gt;"Verified",ISNUMBER(I65),I65&lt;Settings!$F$8),"Overdue","Current"))</x:f>
      </x:c>
      <x:c r="Q65" s="9" t="str">
        <x:f>IF(C65="","",IF(P65="Overdue",Settings!$F$8-I65,0))</x:f>
      </x:c>
      <x:c r="R65" s="3" t="str">
        <x:f>IF(C65="","",IF(COUNTIF($C$9:$C$108,C65)&lt;&gt;1,"Duplicate ID",IF(OR(D65="",E65="",F65="",G65="",H65="",G65=H65,NOT(ISNUMBER(I65)),S65="",T65=""),"Incomplete","Valid")))</x:f>
      </x:c>
      <x:c r="S65" s="8"/>
      <x:c r="T65" s="8"/>
      <x:c r="U65" s="17" t="str">
        <x:f>IF(C65="","",IF(O65="Verified",1,0))</x:f>
      </x:c>
    </x:row>
    <x:row r="66" ht="48" customHeight="1">
      <x:c r="A66" s="1"/>
      <x:c r="B66" s="1"/>
      <x:c r="C66" s="8"/>
      <x:c r="D66" s="8"/>
      <x:c r="E66" s="8"/>
      <x:c r="F66" s="8"/>
      <x:c r="G66" s="8"/>
      <x:c r="H66" s="8"/>
      <x:c r="I66" s="10"/>
      <x:c r="J66" s="8"/>
      <x:c r="K66" s="8"/>
      <x:c r="L66" s="10"/>
      <x:c r="M66" s="10"/>
      <x:c r="N66" s="9" t="str">
        <x:f>IF(C66="","",IF(OR(D66=Settings!$F$9,D66="Global"),"Yes","No"))</x:f>
      </x:c>
      <x:c r="O66" s="9" t="str">
        <x:f>IF(C66="","",IF(N66="No","Outside selection",IF(R66&lt;&gt;"Valid","Review",IF(J66&lt;&gt;"Implemented","Open",IF(OR(K66="",NOT(ISNUMBER(L66)),NOT(ISNUMBER(M66)),L66&gt;Settings!$F$8,M66&lt;L66),"Evidence required",IF(M66&lt;Settings!$F$8,"Expired","Verified"))))))</x:f>
      </x:c>
      <x:c r="P66" s="9" t="str">
        <x:f>IF(C66="","",IF(AND(N66="Yes",O66&lt;&gt;"Verified",ISNUMBER(I66),I66&lt;Settings!$F$8),"Overdue","Current"))</x:f>
      </x:c>
      <x:c r="Q66" s="9" t="str">
        <x:f>IF(C66="","",IF(P66="Overdue",Settings!$F$8-I66,0))</x:f>
      </x:c>
      <x:c r="R66" s="3" t="str">
        <x:f>IF(C66="","",IF(COUNTIF($C$9:$C$108,C66)&lt;&gt;1,"Duplicate ID",IF(OR(D66="",E66="",F66="",G66="",H66="",G66=H66,NOT(ISNUMBER(I66)),S66="",T66=""),"Incomplete","Valid")))</x:f>
      </x:c>
      <x:c r="S66" s="8"/>
      <x:c r="T66" s="8"/>
      <x:c r="U66" s="17" t="str">
        <x:f>IF(C66="","",IF(O66="Verified",1,0))</x:f>
      </x:c>
    </x:row>
    <x:row r="67" ht="48" customHeight="1">
      <x:c r="A67" s="1"/>
      <x:c r="B67" s="1"/>
      <x:c r="C67" s="8"/>
      <x:c r="D67" s="8"/>
      <x:c r="E67" s="8"/>
      <x:c r="F67" s="8"/>
      <x:c r="G67" s="8"/>
      <x:c r="H67" s="8"/>
      <x:c r="I67" s="10"/>
      <x:c r="J67" s="8"/>
      <x:c r="K67" s="8"/>
      <x:c r="L67" s="10"/>
      <x:c r="M67" s="10"/>
      <x:c r="N67" s="9" t="str">
        <x:f>IF(C67="","",IF(OR(D67=Settings!$F$9,D67="Global"),"Yes","No"))</x:f>
      </x:c>
      <x:c r="O67" s="9" t="str">
        <x:f>IF(C67="","",IF(N67="No","Outside selection",IF(R67&lt;&gt;"Valid","Review",IF(J67&lt;&gt;"Implemented","Open",IF(OR(K67="",NOT(ISNUMBER(L67)),NOT(ISNUMBER(M67)),L67&gt;Settings!$F$8,M67&lt;L67),"Evidence required",IF(M67&lt;Settings!$F$8,"Expired","Verified"))))))</x:f>
      </x:c>
      <x:c r="P67" s="9" t="str">
        <x:f>IF(C67="","",IF(AND(N67="Yes",O67&lt;&gt;"Verified",ISNUMBER(I67),I67&lt;Settings!$F$8),"Overdue","Current"))</x:f>
      </x:c>
      <x:c r="Q67" s="9" t="str">
        <x:f>IF(C67="","",IF(P67="Overdue",Settings!$F$8-I67,0))</x:f>
      </x:c>
      <x:c r="R67" s="3" t="str">
        <x:f>IF(C67="","",IF(COUNTIF($C$9:$C$108,C67)&lt;&gt;1,"Duplicate ID",IF(OR(D67="",E67="",F67="",G67="",H67="",G67=H67,NOT(ISNUMBER(I67)),S67="",T67=""),"Incomplete","Valid")))</x:f>
      </x:c>
      <x:c r="S67" s="8"/>
      <x:c r="T67" s="8"/>
      <x:c r="U67" s="17" t="str">
        <x:f>IF(C67="","",IF(O67="Verified",1,0))</x:f>
      </x:c>
    </x:row>
    <x:row r="68" ht="48" customHeight="1">
      <x:c r="A68" s="1"/>
      <x:c r="B68" s="1"/>
      <x:c r="C68" s="8"/>
      <x:c r="D68" s="8"/>
      <x:c r="E68" s="8"/>
      <x:c r="F68" s="8"/>
      <x:c r="G68" s="8"/>
      <x:c r="H68" s="8"/>
      <x:c r="I68" s="10"/>
      <x:c r="J68" s="8"/>
      <x:c r="K68" s="8"/>
      <x:c r="L68" s="10"/>
      <x:c r="M68" s="10"/>
      <x:c r="N68" s="9" t="str">
        <x:f>IF(C68="","",IF(OR(D68=Settings!$F$9,D68="Global"),"Yes","No"))</x:f>
      </x:c>
      <x:c r="O68" s="9" t="str">
        <x:f>IF(C68="","",IF(N68="No","Outside selection",IF(R68&lt;&gt;"Valid","Review",IF(J68&lt;&gt;"Implemented","Open",IF(OR(K68="",NOT(ISNUMBER(L68)),NOT(ISNUMBER(M68)),L68&gt;Settings!$F$8,M68&lt;L68),"Evidence required",IF(M68&lt;Settings!$F$8,"Expired","Verified"))))))</x:f>
      </x:c>
      <x:c r="P68" s="9" t="str">
        <x:f>IF(C68="","",IF(AND(N68="Yes",O68&lt;&gt;"Verified",ISNUMBER(I68),I68&lt;Settings!$F$8),"Overdue","Current"))</x:f>
      </x:c>
      <x:c r="Q68" s="9" t="str">
        <x:f>IF(C68="","",IF(P68="Overdue",Settings!$F$8-I68,0))</x:f>
      </x:c>
      <x:c r="R68" s="3" t="str">
        <x:f>IF(C68="","",IF(COUNTIF($C$9:$C$108,C68)&lt;&gt;1,"Duplicate ID",IF(OR(D68="",E68="",F68="",G68="",H68="",G68=H68,NOT(ISNUMBER(I68)),S68="",T68=""),"Incomplete","Valid")))</x:f>
      </x:c>
      <x:c r="S68" s="8"/>
      <x:c r="T68" s="8"/>
      <x:c r="U68" s="17" t="str">
        <x:f>IF(C68="","",IF(O68="Verified",1,0))</x:f>
      </x:c>
    </x:row>
    <x:row r="69" ht="48" customHeight="1">
      <x:c r="A69" s="1"/>
      <x:c r="B69" s="1"/>
      <x:c r="C69" s="8"/>
      <x:c r="D69" s="8"/>
      <x:c r="E69" s="8"/>
      <x:c r="F69" s="8"/>
      <x:c r="G69" s="8"/>
      <x:c r="H69" s="8"/>
      <x:c r="I69" s="10"/>
      <x:c r="J69" s="8"/>
      <x:c r="K69" s="8"/>
      <x:c r="L69" s="10"/>
      <x:c r="M69" s="10"/>
      <x:c r="N69" s="9" t="str">
        <x:f>IF(C69="","",IF(OR(D69=Settings!$F$9,D69="Global"),"Yes","No"))</x:f>
      </x:c>
      <x:c r="O69" s="9" t="str">
        <x:f>IF(C69="","",IF(N69="No","Outside selection",IF(R69&lt;&gt;"Valid","Review",IF(J69&lt;&gt;"Implemented","Open",IF(OR(K69="",NOT(ISNUMBER(L69)),NOT(ISNUMBER(M69)),L69&gt;Settings!$F$8,M69&lt;L69),"Evidence required",IF(M69&lt;Settings!$F$8,"Expired","Verified"))))))</x:f>
      </x:c>
      <x:c r="P69" s="9" t="str">
        <x:f>IF(C69="","",IF(AND(N69="Yes",O69&lt;&gt;"Verified",ISNUMBER(I69),I69&lt;Settings!$F$8),"Overdue","Current"))</x:f>
      </x:c>
      <x:c r="Q69" s="9" t="str">
        <x:f>IF(C69="","",IF(P69="Overdue",Settings!$F$8-I69,0))</x:f>
      </x:c>
      <x:c r="R69" s="3" t="str">
        <x:f>IF(C69="","",IF(COUNTIF($C$9:$C$108,C69)&lt;&gt;1,"Duplicate ID",IF(OR(D69="",E69="",F69="",G69="",H69="",G69=H69,NOT(ISNUMBER(I69)),S69="",T69=""),"Incomplete","Valid")))</x:f>
      </x:c>
      <x:c r="S69" s="8"/>
      <x:c r="T69" s="8"/>
      <x:c r="U69" s="17" t="str">
        <x:f>IF(C69="","",IF(O69="Verified",1,0))</x:f>
      </x:c>
    </x:row>
    <x:row r="70" ht="48" customHeight="1">
      <x:c r="A70" s="1"/>
      <x:c r="B70" s="1"/>
      <x:c r="C70" s="8"/>
      <x:c r="D70" s="8"/>
      <x:c r="E70" s="8"/>
      <x:c r="F70" s="8"/>
      <x:c r="G70" s="8"/>
      <x:c r="H70" s="8"/>
      <x:c r="I70" s="10"/>
      <x:c r="J70" s="8"/>
      <x:c r="K70" s="8"/>
      <x:c r="L70" s="10"/>
      <x:c r="M70" s="10"/>
      <x:c r="N70" s="9" t="str">
        <x:f>IF(C70="","",IF(OR(D70=Settings!$F$9,D70="Global"),"Yes","No"))</x:f>
      </x:c>
      <x:c r="O70" s="9" t="str">
        <x:f>IF(C70="","",IF(N70="No","Outside selection",IF(R70&lt;&gt;"Valid","Review",IF(J70&lt;&gt;"Implemented","Open",IF(OR(K70="",NOT(ISNUMBER(L70)),NOT(ISNUMBER(M70)),L70&gt;Settings!$F$8,M70&lt;L70),"Evidence required",IF(M70&lt;Settings!$F$8,"Expired","Verified"))))))</x:f>
      </x:c>
      <x:c r="P70" s="9" t="str">
        <x:f>IF(C70="","",IF(AND(N70="Yes",O70&lt;&gt;"Verified",ISNUMBER(I70),I70&lt;Settings!$F$8),"Overdue","Current"))</x:f>
      </x:c>
      <x:c r="Q70" s="9" t="str">
        <x:f>IF(C70="","",IF(P70="Overdue",Settings!$F$8-I70,0))</x:f>
      </x:c>
      <x:c r="R70" s="3" t="str">
        <x:f>IF(C70="","",IF(COUNTIF($C$9:$C$108,C70)&lt;&gt;1,"Duplicate ID",IF(OR(D70="",E70="",F70="",G70="",H70="",G70=H70,NOT(ISNUMBER(I70)),S70="",T70=""),"Incomplete","Valid")))</x:f>
      </x:c>
      <x:c r="S70" s="8"/>
      <x:c r="T70" s="8"/>
      <x:c r="U70" s="17" t="str">
        <x:f>IF(C70="","",IF(O70="Verified",1,0))</x:f>
      </x:c>
    </x:row>
    <x:row r="71" ht="48" customHeight="1">
      <x:c r="A71" s="1"/>
      <x:c r="B71" s="1"/>
      <x:c r="C71" s="8"/>
      <x:c r="D71" s="8"/>
      <x:c r="E71" s="8"/>
      <x:c r="F71" s="8"/>
      <x:c r="G71" s="8"/>
      <x:c r="H71" s="8"/>
      <x:c r="I71" s="10"/>
      <x:c r="J71" s="8"/>
      <x:c r="K71" s="8"/>
      <x:c r="L71" s="10"/>
      <x:c r="M71" s="10"/>
      <x:c r="N71" s="9" t="str">
        <x:f>IF(C71="","",IF(OR(D71=Settings!$F$9,D71="Global"),"Yes","No"))</x:f>
      </x:c>
      <x:c r="O71" s="9" t="str">
        <x:f>IF(C71="","",IF(N71="No","Outside selection",IF(R71&lt;&gt;"Valid","Review",IF(J71&lt;&gt;"Implemented","Open",IF(OR(K71="",NOT(ISNUMBER(L71)),NOT(ISNUMBER(M71)),L71&gt;Settings!$F$8,M71&lt;L71),"Evidence required",IF(M71&lt;Settings!$F$8,"Expired","Verified"))))))</x:f>
      </x:c>
      <x:c r="P71" s="9" t="str">
        <x:f>IF(C71="","",IF(AND(N71="Yes",O71&lt;&gt;"Verified",ISNUMBER(I71),I71&lt;Settings!$F$8),"Overdue","Current"))</x:f>
      </x:c>
      <x:c r="Q71" s="9" t="str">
        <x:f>IF(C71="","",IF(P71="Overdue",Settings!$F$8-I71,0))</x:f>
      </x:c>
      <x:c r="R71" s="3" t="str">
        <x:f>IF(C71="","",IF(COUNTIF($C$9:$C$108,C71)&lt;&gt;1,"Duplicate ID",IF(OR(D71="",E71="",F71="",G71="",H71="",G71=H71,NOT(ISNUMBER(I71)),S71="",T71=""),"Incomplete","Valid")))</x:f>
      </x:c>
      <x:c r="S71" s="8"/>
      <x:c r="T71" s="8"/>
      <x:c r="U71" s="17" t="str">
        <x:f>IF(C71="","",IF(O71="Verified",1,0))</x:f>
      </x:c>
    </x:row>
    <x:row r="72" ht="48" customHeight="1">
      <x:c r="A72" s="1"/>
      <x:c r="B72" s="1"/>
      <x:c r="C72" s="8"/>
      <x:c r="D72" s="8"/>
      <x:c r="E72" s="8"/>
      <x:c r="F72" s="8"/>
      <x:c r="G72" s="8"/>
      <x:c r="H72" s="8"/>
      <x:c r="I72" s="10"/>
      <x:c r="J72" s="8"/>
      <x:c r="K72" s="8"/>
      <x:c r="L72" s="10"/>
      <x:c r="M72" s="10"/>
      <x:c r="N72" s="9" t="str">
        <x:f>IF(C72="","",IF(OR(D72=Settings!$F$9,D72="Global"),"Yes","No"))</x:f>
      </x:c>
      <x:c r="O72" s="9" t="str">
        <x:f>IF(C72="","",IF(N72="No","Outside selection",IF(R72&lt;&gt;"Valid","Review",IF(J72&lt;&gt;"Implemented","Open",IF(OR(K72="",NOT(ISNUMBER(L72)),NOT(ISNUMBER(M72)),L72&gt;Settings!$F$8,M72&lt;L72),"Evidence required",IF(M72&lt;Settings!$F$8,"Expired","Verified"))))))</x:f>
      </x:c>
      <x:c r="P72" s="9" t="str">
        <x:f>IF(C72="","",IF(AND(N72="Yes",O72&lt;&gt;"Verified",ISNUMBER(I72),I72&lt;Settings!$F$8),"Overdue","Current"))</x:f>
      </x:c>
      <x:c r="Q72" s="9" t="str">
        <x:f>IF(C72="","",IF(P72="Overdue",Settings!$F$8-I72,0))</x:f>
      </x:c>
      <x:c r="R72" s="3" t="str">
        <x:f>IF(C72="","",IF(COUNTIF($C$9:$C$108,C72)&lt;&gt;1,"Duplicate ID",IF(OR(D72="",E72="",F72="",G72="",H72="",G72=H72,NOT(ISNUMBER(I72)),S72="",T72=""),"Incomplete","Valid")))</x:f>
      </x:c>
      <x:c r="S72" s="8"/>
      <x:c r="T72" s="8"/>
      <x:c r="U72" s="17" t="str">
        <x:f>IF(C72="","",IF(O72="Verified",1,0))</x:f>
      </x:c>
    </x:row>
    <x:row r="73" ht="48" customHeight="1">
      <x:c r="A73" s="1"/>
      <x:c r="B73" s="1"/>
      <x:c r="C73" s="8"/>
      <x:c r="D73" s="8"/>
      <x:c r="E73" s="8"/>
      <x:c r="F73" s="8"/>
      <x:c r="G73" s="8"/>
      <x:c r="H73" s="8"/>
      <x:c r="I73" s="10"/>
      <x:c r="J73" s="8"/>
      <x:c r="K73" s="8"/>
      <x:c r="L73" s="10"/>
      <x:c r="M73" s="10"/>
      <x:c r="N73" s="9" t="str">
        <x:f>IF(C73="","",IF(OR(D73=Settings!$F$9,D73="Global"),"Yes","No"))</x:f>
      </x:c>
      <x:c r="O73" s="9" t="str">
        <x:f>IF(C73="","",IF(N73="No","Outside selection",IF(R73&lt;&gt;"Valid","Review",IF(J73&lt;&gt;"Implemented","Open",IF(OR(K73="",NOT(ISNUMBER(L73)),NOT(ISNUMBER(M73)),L73&gt;Settings!$F$8,M73&lt;L73),"Evidence required",IF(M73&lt;Settings!$F$8,"Expired","Verified"))))))</x:f>
      </x:c>
      <x:c r="P73" s="9" t="str">
        <x:f>IF(C73="","",IF(AND(N73="Yes",O73&lt;&gt;"Verified",ISNUMBER(I73),I73&lt;Settings!$F$8),"Overdue","Current"))</x:f>
      </x:c>
      <x:c r="Q73" s="9" t="str">
        <x:f>IF(C73="","",IF(P73="Overdue",Settings!$F$8-I73,0))</x:f>
      </x:c>
      <x:c r="R73" s="3" t="str">
        <x:f>IF(C73="","",IF(COUNTIF($C$9:$C$108,C73)&lt;&gt;1,"Duplicate ID",IF(OR(D73="",E73="",F73="",G73="",H73="",G73=H73,NOT(ISNUMBER(I73)),S73="",T73=""),"Incomplete","Valid")))</x:f>
      </x:c>
      <x:c r="S73" s="8"/>
      <x:c r="T73" s="8"/>
      <x:c r="U73" s="17" t="str">
        <x:f>IF(C73="","",IF(O73="Verified",1,0))</x:f>
      </x:c>
    </x:row>
    <x:row r="74" ht="48" customHeight="1">
      <x:c r="A74" s="1"/>
      <x:c r="B74" s="1"/>
      <x:c r="C74" s="8"/>
      <x:c r="D74" s="8"/>
      <x:c r="E74" s="8"/>
      <x:c r="F74" s="8"/>
      <x:c r="G74" s="8"/>
      <x:c r="H74" s="8"/>
      <x:c r="I74" s="10"/>
      <x:c r="J74" s="8"/>
      <x:c r="K74" s="8"/>
      <x:c r="L74" s="10"/>
      <x:c r="M74" s="10"/>
      <x:c r="N74" s="9" t="str">
        <x:f>IF(C74="","",IF(OR(D74=Settings!$F$9,D74="Global"),"Yes","No"))</x:f>
      </x:c>
      <x:c r="O74" s="9" t="str">
        <x:f>IF(C74="","",IF(N74="No","Outside selection",IF(R74&lt;&gt;"Valid","Review",IF(J74&lt;&gt;"Implemented","Open",IF(OR(K74="",NOT(ISNUMBER(L74)),NOT(ISNUMBER(M74)),L74&gt;Settings!$F$8,M74&lt;L74),"Evidence required",IF(M74&lt;Settings!$F$8,"Expired","Verified"))))))</x:f>
      </x:c>
      <x:c r="P74" s="9" t="str">
        <x:f>IF(C74="","",IF(AND(N74="Yes",O74&lt;&gt;"Verified",ISNUMBER(I74),I74&lt;Settings!$F$8),"Overdue","Current"))</x:f>
      </x:c>
      <x:c r="Q74" s="9" t="str">
        <x:f>IF(C74="","",IF(P74="Overdue",Settings!$F$8-I74,0))</x:f>
      </x:c>
      <x:c r="R74" s="3" t="str">
        <x:f>IF(C74="","",IF(COUNTIF($C$9:$C$108,C74)&lt;&gt;1,"Duplicate ID",IF(OR(D74="",E74="",F74="",G74="",H74="",G74=H74,NOT(ISNUMBER(I74)),S74="",T74=""),"Incomplete","Valid")))</x:f>
      </x:c>
      <x:c r="S74" s="8"/>
      <x:c r="T74" s="8"/>
      <x:c r="U74" s="17" t="str">
        <x:f>IF(C74="","",IF(O74="Verified",1,0))</x:f>
      </x:c>
    </x:row>
    <x:row r="75" ht="48" customHeight="1">
      <x:c r="A75" s="1"/>
      <x:c r="B75" s="1"/>
      <x:c r="C75" s="8"/>
      <x:c r="D75" s="8"/>
      <x:c r="E75" s="8"/>
      <x:c r="F75" s="8"/>
      <x:c r="G75" s="8"/>
      <x:c r="H75" s="8"/>
      <x:c r="I75" s="10"/>
      <x:c r="J75" s="8"/>
      <x:c r="K75" s="8"/>
      <x:c r="L75" s="10"/>
      <x:c r="M75" s="10"/>
      <x:c r="N75" s="9" t="str">
        <x:f>IF(C75="","",IF(OR(D75=Settings!$F$9,D75="Global"),"Yes","No"))</x:f>
      </x:c>
      <x:c r="O75" s="9" t="str">
        <x:f>IF(C75="","",IF(N75="No","Outside selection",IF(R75&lt;&gt;"Valid","Review",IF(J75&lt;&gt;"Implemented","Open",IF(OR(K75="",NOT(ISNUMBER(L75)),NOT(ISNUMBER(M75)),L75&gt;Settings!$F$8,M75&lt;L75),"Evidence required",IF(M75&lt;Settings!$F$8,"Expired","Verified"))))))</x:f>
      </x:c>
      <x:c r="P75" s="9" t="str">
        <x:f>IF(C75="","",IF(AND(N75="Yes",O75&lt;&gt;"Verified",ISNUMBER(I75),I75&lt;Settings!$F$8),"Overdue","Current"))</x:f>
      </x:c>
      <x:c r="Q75" s="9" t="str">
        <x:f>IF(C75="","",IF(P75="Overdue",Settings!$F$8-I75,0))</x:f>
      </x:c>
      <x:c r="R75" s="3" t="str">
        <x:f>IF(C75="","",IF(COUNTIF($C$9:$C$108,C75)&lt;&gt;1,"Duplicate ID",IF(OR(D75="",E75="",F75="",G75="",H75="",G75=H75,NOT(ISNUMBER(I75)),S75="",T75=""),"Incomplete","Valid")))</x:f>
      </x:c>
      <x:c r="S75" s="8"/>
      <x:c r="T75" s="8"/>
      <x:c r="U75" s="17" t="str">
        <x:f>IF(C75="","",IF(O75="Verified",1,0))</x:f>
      </x:c>
    </x:row>
    <x:row r="76" ht="48" customHeight="1">
      <x:c r="A76" s="1"/>
      <x:c r="B76" s="1"/>
      <x:c r="C76" s="8"/>
      <x:c r="D76" s="8"/>
      <x:c r="E76" s="8"/>
      <x:c r="F76" s="8"/>
      <x:c r="G76" s="8"/>
      <x:c r="H76" s="8"/>
      <x:c r="I76" s="10"/>
      <x:c r="J76" s="8"/>
      <x:c r="K76" s="8"/>
      <x:c r="L76" s="10"/>
      <x:c r="M76" s="10"/>
      <x:c r="N76" s="9" t="str">
        <x:f>IF(C76="","",IF(OR(D76=Settings!$F$9,D76="Global"),"Yes","No"))</x:f>
      </x:c>
      <x:c r="O76" s="9" t="str">
        <x:f>IF(C76="","",IF(N76="No","Outside selection",IF(R76&lt;&gt;"Valid","Review",IF(J76&lt;&gt;"Implemented","Open",IF(OR(K76="",NOT(ISNUMBER(L76)),NOT(ISNUMBER(M76)),L76&gt;Settings!$F$8,M76&lt;L76),"Evidence required",IF(M76&lt;Settings!$F$8,"Expired","Verified"))))))</x:f>
      </x:c>
      <x:c r="P76" s="9" t="str">
        <x:f>IF(C76="","",IF(AND(N76="Yes",O76&lt;&gt;"Verified",ISNUMBER(I76),I76&lt;Settings!$F$8),"Overdue","Current"))</x:f>
      </x:c>
      <x:c r="Q76" s="9" t="str">
        <x:f>IF(C76="","",IF(P76="Overdue",Settings!$F$8-I76,0))</x:f>
      </x:c>
      <x:c r="R76" s="3" t="str">
        <x:f>IF(C76="","",IF(COUNTIF($C$9:$C$108,C76)&lt;&gt;1,"Duplicate ID",IF(OR(D76="",E76="",F76="",G76="",H76="",G76=H76,NOT(ISNUMBER(I76)),S76="",T76=""),"Incomplete","Valid")))</x:f>
      </x:c>
      <x:c r="S76" s="8"/>
      <x:c r="T76" s="8"/>
      <x:c r="U76" s="17" t="str">
        <x:f>IF(C76="","",IF(O76="Verified",1,0))</x:f>
      </x:c>
    </x:row>
    <x:row r="77" ht="48" customHeight="1">
      <x:c r="A77" s="1"/>
      <x:c r="B77" s="1"/>
      <x:c r="C77" s="8"/>
      <x:c r="D77" s="8"/>
      <x:c r="E77" s="8"/>
      <x:c r="F77" s="8"/>
      <x:c r="G77" s="8"/>
      <x:c r="H77" s="8"/>
      <x:c r="I77" s="10"/>
      <x:c r="J77" s="8"/>
      <x:c r="K77" s="8"/>
      <x:c r="L77" s="10"/>
      <x:c r="M77" s="10"/>
      <x:c r="N77" s="9" t="str">
        <x:f>IF(C77="","",IF(OR(D77=Settings!$F$9,D77="Global"),"Yes","No"))</x:f>
      </x:c>
      <x:c r="O77" s="9" t="str">
        <x:f>IF(C77="","",IF(N77="No","Outside selection",IF(R77&lt;&gt;"Valid","Review",IF(J77&lt;&gt;"Implemented","Open",IF(OR(K77="",NOT(ISNUMBER(L77)),NOT(ISNUMBER(M77)),L77&gt;Settings!$F$8,M77&lt;L77),"Evidence required",IF(M77&lt;Settings!$F$8,"Expired","Verified"))))))</x:f>
      </x:c>
      <x:c r="P77" s="9" t="str">
        <x:f>IF(C77="","",IF(AND(N77="Yes",O77&lt;&gt;"Verified",ISNUMBER(I77),I77&lt;Settings!$F$8),"Overdue","Current"))</x:f>
      </x:c>
      <x:c r="Q77" s="9" t="str">
        <x:f>IF(C77="","",IF(P77="Overdue",Settings!$F$8-I77,0))</x:f>
      </x:c>
      <x:c r="R77" s="3" t="str">
        <x:f>IF(C77="","",IF(COUNTIF($C$9:$C$108,C77)&lt;&gt;1,"Duplicate ID",IF(OR(D77="",E77="",F77="",G77="",H77="",G77=H77,NOT(ISNUMBER(I77)),S77="",T77=""),"Incomplete","Valid")))</x:f>
      </x:c>
      <x:c r="S77" s="8"/>
      <x:c r="T77" s="8"/>
      <x:c r="U77" s="17" t="str">
        <x:f>IF(C77="","",IF(O77="Verified",1,0))</x:f>
      </x:c>
    </x:row>
    <x:row r="78" ht="48" customHeight="1">
      <x:c r="A78" s="1"/>
      <x:c r="B78" s="1"/>
      <x:c r="C78" s="8"/>
      <x:c r="D78" s="8"/>
      <x:c r="E78" s="8"/>
      <x:c r="F78" s="8"/>
      <x:c r="G78" s="8"/>
      <x:c r="H78" s="8"/>
      <x:c r="I78" s="10"/>
      <x:c r="J78" s="8"/>
      <x:c r="K78" s="8"/>
      <x:c r="L78" s="10"/>
      <x:c r="M78" s="10"/>
      <x:c r="N78" s="9" t="str">
        <x:f>IF(C78="","",IF(OR(D78=Settings!$F$9,D78="Global"),"Yes","No"))</x:f>
      </x:c>
      <x:c r="O78" s="9" t="str">
        <x:f>IF(C78="","",IF(N78="No","Outside selection",IF(R78&lt;&gt;"Valid","Review",IF(J78&lt;&gt;"Implemented","Open",IF(OR(K78="",NOT(ISNUMBER(L78)),NOT(ISNUMBER(M78)),L78&gt;Settings!$F$8,M78&lt;L78),"Evidence required",IF(M78&lt;Settings!$F$8,"Expired","Verified"))))))</x:f>
      </x:c>
      <x:c r="P78" s="9" t="str">
        <x:f>IF(C78="","",IF(AND(N78="Yes",O78&lt;&gt;"Verified",ISNUMBER(I78),I78&lt;Settings!$F$8),"Overdue","Current"))</x:f>
      </x:c>
      <x:c r="Q78" s="9" t="str">
        <x:f>IF(C78="","",IF(P78="Overdue",Settings!$F$8-I78,0))</x:f>
      </x:c>
      <x:c r="R78" s="3" t="str">
        <x:f>IF(C78="","",IF(COUNTIF($C$9:$C$108,C78)&lt;&gt;1,"Duplicate ID",IF(OR(D78="",E78="",F78="",G78="",H78="",G78=H78,NOT(ISNUMBER(I78)),S78="",T78=""),"Incomplete","Valid")))</x:f>
      </x:c>
      <x:c r="S78" s="8"/>
      <x:c r="T78" s="8"/>
      <x:c r="U78" s="17" t="str">
        <x:f>IF(C78="","",IF(O78="Verified",1,0))</x:f>
      </x:c>
    </x:row>
    <x:row r="79" ht="48" customHeight="1">
      <x:c r="A79" s="1"/>
      <x:c r="B79" s="1"/>
      <x:c r="C79" s="8"/>
      <x:c r="D79" s="8"/>
      <x:c r="E79" s="8"/>
      <x:c r="F79" s="8"/>
      <x:c r="G79" s="8"/>
      <x:c r="H79" s="8"/>
      <x:c r="I79" s="10"/>
      <x:c r="J79" s="8"/>
      <x:c r="K79" s="8"/>
      <x:c r="L79" s="10"/>
      <x:c r="M79" s="10"/>
      <x:c r="N79" s="9" t="str">
        <x:f>IF(C79="","",IF(OR(D79=Settings!$F$9,D79="Global"),"Yes","No"))</x:f>
      </x:c>
      <x:c r="O79" s="9" t="str">
        <x:f>IF(C79="","",IF(N79="No","Outside selection",IF(R79&lt;&gt;"Valid","Review",IF(J79&lt;&gt;"Implemented","Open",IF(OR(K79="",NOT(ISNUMBER(L79)),NOT(ISNUMBER(M79)),L79&gt;Settings!$F$8,M79&lt;L79),"Evidence required",IF(M79&lt;Settings!$F$8,"Expired","Verified"))))))</x:f>
      </x:c>
      <x:c r="P79" s="9" t="str">
        <x:f>IF(C79="","",IF(AND(N79="Yes",O79&lt;&gt;"Verified",ISNUMBER(I79),I79&lt;Settings!$F$8),"Overdue","Current"))</x:f>
      </x:c>
      <x:c r="Q79" s="9" t="str">
        <x:f>IF(C79="","",IF(P79="Overdue",Settings!$F$8-I79,0))</x:f>
      </x:c>
      <x:c r="R79" s="3" t="str">
        <x:f>IF(C79="","",IF(COUNTIF($C$9:$C$108,C79)&lt;&gt;1,"Duplicate ID",IF(OR(D79="",E79="",F79="",G79="",H79="",G79=H79,NOT(ISNUMBER(I79)),S79="",T79=""),"Incomplete","Valid")))</x:f>
      </x:c>
      <x:c r="S79" s="8"/>
      <x:c r="T79" s="8"/>
      <x:c r="U79" s="17" t="str">
        <x:f>IF(C79="","",IF(O79="Verified",1,0))</x:f>
      </x:c>
    </x:row>
    <x:row r="80" ht="48" customHeight="1">
      <x:c r="A80" s="1"/>
      <x:c r="B80" s="1"/>
      <x:c r="C80" s="8"/>
      <x:c r="D80" s="8"/>
      <x:c r="E80" s="8"/>
      <x:c r="F80" s="8"/>
      <x:c r="G80" s="8"/>
      <x:c r="H80" s="8"/>
      <x:c r="I80" s="10"/>
      <x:c r="J80" s="8"/>
      <x:c r="K80" s="8"/>
      <x:c r="L80" s="10"/>
      <x:c r="M80" s="10"/>
      <x:c r="N80" s="9" t="str">
        <x:f>IF(C80="","",IF(OR(D80=Settings!$F$9,D80="Global"),"Yes","No"))</x:f>
      </x:c>
      <x:c r="O80" s="9" t="str">
        <x:f>IF(C80="","",IF(N80="No","Outside selection",IF(R80&lt;&gt;"Valid","Review",IF(J80&lt;&gt;"Implemented","Open",IF(OR(K80="",NOT(ISNUMBER(L80)),NOT(ISNUMBER(M80)),L80&gt;Settings!$F$8,M80&lt;L80),"Evidence required",IF(M80&lt;Settings!$F$8,"Expired","Verified"))))))</x:f>
      </x:c>
      <x:c r="P80" s="9" t="str">
        <x:f>IF(C80="","",IF(AND(N80="Yes",O80&lt;&gt;"Verified",ISNUMBER(I80),I80&lt;Settings!$F$8),"Overdue","Current"))</x:f>
      </x:c>
      <x:c r="Q80" s="9" t="str">
        <x:f>IF(C80="","",IF(P80="Overdue",Settings!$F$8-I80,0))</x:f>
      </x:c>
      <x:c r="R80" s="3" t="str">
        <x:f>IF(C80="","",IF(COUNTIF($C$9:$C$108,C80)&lt;&gt;1,"Duplicate ID",IF(OR(D80="",E80="",F80="",G80="",H80="",G80=H80,NOT(ISNUMBER(I80)),S80="",T80=""),"Incomplete","Valid")))</x:f>
      </x:c>
      <x:c r="S80" s="8"/>
      <x:c r="T80" s="8"/>
      <x:c r="U80" s="17" t="str">
        <x:f>IF(C80="","",IF(O80="Verified",1,0))</x:f>
      </x:c>
    </x:row>
    <x:row r="81" ht="48" customHeight="1">
      <x:c r="A81" s="1"/>
      <x:c r="B81" s="1"/>
      <x:c r="C81" s="8"/>
      <x:c r="D81" s="8"/>
      <x:c r="E81" s="8"/>
      <x:c r="F81" s="8"/>
      <x:c r="G81" s="8"/>
      <x:c r="H81" s="8"/>
      <x:c r="I81" s="10"/>
      <x:c r="J81" s="8"/>
      <x:c r="K81" s="8"/>
      <x:c r="L81" s="10"/>
      <x:c r="M81" s="10"/>
      <x:c r="N81" s="9" t="str">
        <x:f>IF(C81="","",IF(OR(D81=Settings!$F$9,D81="Global"),"Yes","No"))</x:f>
      </x:c>
      <x:c r="O81" s="9" t="str">
        <x:f>IF(C81="","",IF(N81="No","Outside selection",IF(R81&lt;&gt;"Valid","Review",IF(J81&lt;&gt;"Implemented","Open",IF(OR(K81="",NOT(ISNUMBER(L81)),NOT(ISNUMBER(M81)),L81&gt;Settings!$F$8,M81&lt;L81),"Evidence required",IF(M81&lt;Settings!$F$8,"Expired","Verified"))))))</x:f>
      </x:c>
      <x:c r="P81" s="9" t="str">
        <x:f>IF(C81="","",IF(AND(N81="Yes",O81&lt;&gt;"Verified",ISNUMBER(I81),I81&lt;Settings!$F$8),"Overdue","Current"))</x:f>
      </x:c>
      <x:c r="Q81" s="9" t="str">
        <x:f>IF(C81="","",IF(P81="Overdue",Settings!$F$8-I81,0))</x:f>
      </x:c>
      <x:c r="R81" s="3" t="str">
        <x:f>IF(C81="","",IF(COUNTIF($C$9:$C$108,C81)&lt;&gt;1,"Duplicate ID",IF(OR(D81="",E81="",F81="",G81="",H81="",G81=H81,NOT(ISNUMBER(I81)),S81="",T81=""),"Incomplete","Valid")))</x:f>
      </x:c>
      <x:c r="S81" s="8"/>
      <x:c r="T81" s="8"/>
      <x:c r="U81" s="17" t="str">
        <x:f>IF(C81="","",IF(O81="Verified",1,0))</x:f>
      </x:c>
    </x:row>
    <x:row r="82" ht="48" customHeight="1">
      <x:c r="A82" s="1"/>
      <x:c r="B82" s="1"/>
      <x:c r="C82" s="8"/>
      <x:c r="D82" s="8"/>
      <x:c r="E82" s="8"/>
      <x:c r="F82" s="8"/>
      <x:c r="G82" s="8"/>
      <x:c r="H82" s="8"/>
      <x:c r="I82" s="10"/>
      <x:c r="J82" s="8"/>
      <x:c r="K82" s="8"/>
      <x:c r="L82" s="10"/>
      <x:c r="M82" s="10"/>
      <x:c r="N82" s="9" t="str">
        <x:f>IF(C82="","",IF(OR(D82=Settings!$F$9,D82="Global"),"Yes","No"))</x:f>
      </x:c>
      <x:c r="O82" s="9" t="str">
        <x:f>IF(C82="","",IF(N82="No","Outside selection",IF(R82&lt;&gt;"Valid","Review",IF(J82&lt;&gt;"Implemented","Open",IF(OR(K82="",NOT(ISNUMBER(L82)),NOT(ISNUMBER(M82)),L82&gt;Settings!$F$8,M82&lt;L82),"Evidence required",IF(M82&lt;Settings!$F$8,"Expired","Verified"))))))</x:f>
      </x:c>
      <x:c r="P82" s="9" t="str">
        <x:f>IF(C82="","",IF(AND(N82="Yes",O82&lt;&gt;"Verified",ISNUMBER(I82),I82&lt;Settings!$F$8),"Overdue","Current"))</x:f>
      </x:c>
      <x:c r="Q82" s="9" t="str">
        <x:f>IF(C82="","",IF(P82="Overdue",Settings!$F$8-I82,0))</x:f>
      </x:c>
      <x:c r="R82" s="3" t="str">
        <x:f>IF(C82="","",IF(COUNTIF($C$9:$C$108,C82)&lt;&gt;1,"Duplicate ID",IF(OR(D82="",E82="",F82="",G82="",H82="",G82=H82,NOT(ISNUMBER(I82)),S82="",T82=""),"Incomplete","Valid")))</x:f>
      </x:c>
      <x:c r="S82" s="8"/>
      <x:c r="T82" s="8"/>
      <x:c r="U82" s="17" t="str">
        <x:f>IF(C82="","",IF(O82="Verified",1,0))</x:f>
      </x:c>
    </x:row>
    <x:row r="83" ht="48" customHeight="1">
      <x:c r="A83" s="1"/>
      <x:c r="B83" s="1"/>
      <x:c r="C83" s="8"/>
      <x:c r="D83" s="8"/>
      <x:c r="E83" s="8"/>
      <x:c r="F83" s="8"/>
      <x:c r="G83" s="8"/>
      <x:c r="H83" s="8"/>
      <x:c r="I83" s="10"/>
      <x:c r="J83" s="8"/>
      <x:c r="K83" s="8"/>
      <x:c r="L83" s="10"/>
      <x:c r="M83" s="10"/>
      <x:c r="N83" s="9" t="str">
        <x:f>IF(C83="","",IF(OR(D83=Settings!$F$9,D83="Global"),"Yes","No"))</x:f>
      </x:c>
      <x:c r="O83" s="9" t="str">
        <x:f>IF(C83="","",IF(N83="No","Outside selection",IF(R83&lt;&gt;"Valid","Review",IF(J83&lt;&gt;"Implemented","Open",IF(OR(K83="",NOT(ISNUMBER(L83)),NOT(ISNUMBER(M83)),L83&gt;Settings!$F$8,M83&lt;L83),"Evidence required",IF(M83&lt;Settings!$F$8,"Expired","Verified"))))))</x:f>
      </x:c>
      <x:c r="P83" s="9" t="str">
        <x:f>IF(C83="","",IF(AND(N83="Yes",O83&lt;&gt;"Verified",ISNUMBER(I83),I83&lt;Settings!$F$8),"Overdue","Current"))</x:f>
      </x:c>
      <x:c r="Q83" s="9" t="str">
        <x:f>IF(C83="","",IF(P83="Overdue",Settings!$F$8-I83,0))</x:f>
      </x:c>
      <x:c r="R83" s="3" t="str">
        <x:f>IF(C83="","",IF(COUNTIF($C$9:$C$108,C83)&lt;&gt;1,"Duplicate ID",IF(OR(D83="",E83="",F83="",G83="",H83="",G83=H83,NOT(ISNUMBER(I83)),S83="",T83=""),"Incomplete","Valid")))</x:f>
      </x:c>
      <x:c r="S83" s="8"/>
      <x:c r="T83" s="8"/>
      <x:c r="U83" s="17" t="str">
        <x:f>IF(C83="","",IF(O83="Verified",1,0))</x:f>
      </x:c>
    </x:row>
    <x:row r="84" ht="48" customHeight="1">
      <x:c r="A84" s="1"/>
      <x:c r="B84" s="1"/>
      <x:c r="C84" s="8"/>
      <x:c r="D84" s="8"/>
      <x:c r="E84" s="8"/>
      <x:c r="F84" s="8"/>
      <x:c r="G84" s="8"/>
      <x:c r="H84" s="8"/>
      <x:c r="I84" s="10"/>
      <x:c r="J84" s="8"/>
      <x:c r="K84" s="8"/>
      <x:c r="L84" s="10"/>
      <x:c r="M84" s="10"/>
      <x:c r="N84" s="9" t="str">
        <x:f>IF(C84="","",IF(OR(D84=Settings!$F$9,D84="Global"),"Yes","No"))</x:f>
      </x:c>
      <x:c r="O84" s="9" t="str">
        <x:f>IF(C84="","",IF(N84="No","Outside selection",IF(R84&lt;&gt;"Valid","Review",IF(J84&lt;&gt;"Implemented","Open",IF(OR(K84="",NOT(ISNUMBER(L84)),NOT(ISNUMBER(M84)),L84&gt;Settings!$F$8,M84&lt;L84),"Evidence required",IF(M84&lt;Settings!$F$8,"Expired","Verified"))))))</x:f>
      </x:c>
      <x:c r="P84" s="9" t="str">
        <x:f>IF(C84="","",IF(AND(N84="Yes",O84&lt;&gt;"Verified",ISNUMBER(I84),I84&lt;Settings!$F$8),"Overdue","Current"))</x:f>
      </x:c>
      <x:c r="Q84" s="9" t="str">
        <x:f>IF(C84="","",IF(P84="Overdue",Settings!$F$8-I84,0))</x:f>
      </x:c>
      <x:c r="R84" s="3" t="str">
        <x:f>IF(C84="","",IF(COUNTIF($C$9:$C$108,C84)&lt;&gt;1,"Duplicate ID",IF(OR(D84="",E84="",F84="",G84="",H84="",G84=H84,NOT(ISNUMBER(I84)),S84="",T84=""),"Incomplete","Valid")))</x:f>
      </x:c>
      <x:c r="S84" s="8"/>
      <x:c r="T84" s="8"/>
      <x:c r="U84" s="17" t="str">
        <x:f>IF(C84="","",IF(O84="Verified",1,0))</x:f>
      </x:c>
    </x:row>
    <x:row r="85" ht="48" customHeight="1">
      <x:c r="A85" s="1"/>
      <x:c r="B85" s="1"/>
      <x:c r="C85" s="8"/>
      <x:c r="D85" s="8"/>
      <x:c r="E85" s="8"/>
      <x:c r="F85" s="8"/>
      <x:c r="G85" s="8"/>
      <x:c r="H85" s="8"/>
      <x:c r="I85" s="10"/>
      <x:c r="J85" s="8"/>
      <x:c r="K85" s="8"/>
      <x:c r="L85" s="10"/>
      <x:c r="M85" s="10"/>
      <x:c r="N85" s="9" t="str">
        <x:f>IF(C85="","",IF(OR(D85=Settings!$F$9,D85="Global"),"Yes","No"))</x:f>
      </x:c>
      <x:c r="O85" s="9" t="str">
        <x:f>IF(C85="","",IF(N85="No","Outside selection",IF(R85&lt;&gt;"Valid","Review",IF(J85&lt;&gt;"Implemented","Open",IF(OR(K85="",NOT(ISNUMBER(L85)),NOT(ISNUMBER(M85)),L85&gt;Settings!$F$8,M85&lt;L85),"Evidence required",IF(M85&lt;Settings!$F$8,"Expired","Verified"))))))</x:f>
      </x:c>
      <x:c r="P85" s="9" t="str">
        <x:f>IF(C85="","",IF(AND(N85="Yes",O85&lt;&gt;"Verified",ISNUMBER(I85),I85&lt;Settings!$F$8),"Overdue","Current"))</x:f>
      </x:c>
      <x:c r="Q85" s="9" t="str">
        <x:f>IF(C85="","",IF(P85="Overdue",Settings!$F$8-I85,0))</x:f>
      </x:c>
      <x:c r="R85" s="3" t="str">
        <x:f>IF(C85="","",IF(COUNTIF($C$9:$C$108,C85)&lt;&gt;1,"Duplicate ID",IF(OR(D85="",E85="",F85="",G85="",H85="",G85=H85,NOT(ISNUMBER(I85)),S85="",T85=""),"Incomplete","Valid")))</x:f>
      </x:c>
      <x:c r="S85" s="8"/>
      <x:c r="T85" s="8"/>
      <x:c r="U85" s="17" t="str">
        <x:f>IF(C85="","",IF(O85="Verified",1,0))</x:f>
      </x:c>
    </x:row>
    <x:row r="86" ht="48" customHeight="1">
      <x:c r="A86" s="1"/>
      <x:c r="B86" s="1"/>
      <x:c r="C86" s="8"/>
      <x:c r="D86" s="8"/>
      <x:c r="E86" s="8"/>
      <x:c r="F86" s="8"/>
      <x:c r="G86" s="8"/>
      <x:c r="H86" s="8"/>
      <x:c r="I86" s="10"/>
      <x:c r="J86" s="8"/>
      <x:c r="K86" s="8"/>
      <x:c r="L86" s="10"/>
      <x:c r="M86" s="10"/>
      <x:c r="N86" s="9" t="str">
        <x:f>IF(C86="","",IF(OR(D86=Settings!$F$9,D86="Global"),"Yes","No"))</x:f>
      </x:c>
      <x:c r="O86" s="9" t="str">
        <x:f>IF(C86="","",IF(N86="No","Outside selection",IF(R86&lt;&gt;"Valid","Review",IF(J86&lt;&gt;"Implemented","Open",IF(OR(K86="",NOT(ISNUMBER(L86)),NOT(ISNUMBER(M86)),L86&gt;Settings!$F$8,M86&lt;L86),"Evidence required",IF(M86&lt;Settings!$F$8,"Expired","Verified"))))))</x:f>
      </x:c>
      <x:c r="P86" s="9" t="str">
        <x:f>IF(C86="","",IF(AND(N86="Yes",O86&lt;&gt;"Verified",ISNUMBER(I86),I86&lt;Settings!$F$8),"Overdue","Current"))</x:f>
      </x:c>
      <x:c r="Q86" s="9" t="str">
        <x:f>IF(C86="","",IF(P86="Overdue",Settings!$F$8-I86,0))</x:f>
      </x:c>
      <x:c r="R86" s="3" t="str">
        <x:f>IF(C86="","",IF(COUNTIF($C$9:$C$108,C86)&lt;&gt;1,"Duplicate ID",IF(OR(D86="",E86="",F86="",G86="",H86="",G86=H86,NOT(ISNUMBER(I86)),S86="",T86=""),"Incomplete","Valid")))</x:f>
      </x:c>
      <x:c r="S86" s="8"/>
      <x:c r="T86" s="8"/>
      <x:c r="U86" s="17" t="str">
        <x:f>IF(C86="","",IF(O86="Verified",1,0))</x:f>
      </x:c>
    </x:row>
    <x:row r="87" ht="48" customHeight="1">
      <x:c r="A87" s="1"/>
      <x:c r="B87" s="1"/>
      <x:c r="C87" s="8"/>
      <x:c r="D87" s="8"/>
      <x:c r="E87" s="8"/>
      <x:c r="F87" s="8"/>
      <x:c r="G87" s="8"/>
      <x:c r="H87" s="8"/>
      <x:c r="I87" s="10"/>
      <x:c r="J87" s="8"/>
      <x:c r="K87" s="8"/>
      <x:c r="L87" s="10"/>
      <x:c r="M87" s="10"/>
      <x:c r="N87" s="9" t="str">
        <x:f>IF(C87="","",IF(OR(D87=Settings!$F$9,D87="Global"),"Yes","No"))</x:f>
      </x:c>
      <x:c r="O87" s="9" t="str">
        <x:f>IF(C87="","",IF(N87="No","Outside selection",IF(R87&lt;&gt;"Valid","Review",IF(J87&lt;&gt;"Implemented","Open",IF(OR(K87="",NOT(ISNUMBER(L87)),NOT(ISNUMBER(M87)),L87&gt;Settings!$F$8,M87&lt;L87),"Evidence required",IF(M87&lt;Settings!$F$8,"Expired","Verified"))))))</x:f>
      </x:c>
      <x:c r="P87" s="9" t="str">
        <x:f>IF(C87="","",IF(AND(N87="Yes",O87&lt;&gt;"Verified",ISNUMBER(I87),I87&lt;Settings!$F$8),"Overdue","Current"))</x:f>
      </x:c>
      <x:c r="Q87" s="9" t="str">
        <x:f>IF(C87="","",IF(P87="Overdue",Settings!$F$8-I87,0))</x:f>
      </x:c>
      <x:c r="R87" s="3" t="str">
        <x:f>IF(C87="","",IF(COUNTIF($C$9:$C$108,C87)&lt;&gt;1,"Duplicate ID",IF(OR(D87="",E87="",F87="",G87="",H87="",G87=H87,NOT(ISNUMBER(I87)),S87="",T87=""),"Incomplete","Valid")))</x:f>
      </x:c>
      <x:c r="S87" s="8"/>
      <x:c r="T87" s="8"/>
      <x:c r="U87" s="17" t="str">
        <x:f>IF(C87="","",IF(O87="Verified",1,0))</x:f>
      </x:c>
    </x:row>
    <x:row r="88" ht="48" customHeight="1">
      <x:c r="A88" s="1"/>
      <x:c r="B88" s="1"/>
      <x:c r="C88" s="8"/>
      <x:c r="D88" s="8"/>
      <x:c r="E88" s="8"/>
      <x:c r="F88" s="8"/>
      <x:c r="G88" s="8"/>
      <x:c r="H88" s="8"/>
      <x:c r="I88" s="10"/>
      <x:c r="J88" s="8"/>
      <x:c r="K88" s="8"/>
      <x:c r="L88" s="10"/>
      <x:c r="M88" s="10"/>
      <x:c r="N88" s="9" t="str">
        <x:f>IF(C88="","",IF(OR(D88=Settings!$F$9,D88="Global"),"Yes","No"))</x:f>
      </x:c>
      <x:c r="O88" s="9" t="str">
        <x:f>IF(C88="","",IF(N88="No","Outside selection",IF(R88&lt;&gt;"Valid","Review",IF(J88&lt;&gt;"Implemented","Open",IF(OR(K88="",NOT(ISNUMBER(L88)),NOT(ISNUMBER(M88)),L88&gt;Settings!$F$8,M88&lt;L88),"Evidence required",IF(M88&lt;Settings!$F$8,"Expired","Verified"))))))</x:f>
      </x:c>
      <x:c r="P88" s="9" t="str">
        <x:f>IF(C88="","",IF(AND(N88="Yes",O88&lt;&gt;"Verified",ISNUMBER(I88),I88&lt;Settings!$F$8),"Overdue","Current"))</x:f>
      </x:c>
      <x:c r="Q88" s="9" t="str">
        <x:f>IF(C88="","",IF(P88="Overdue",Settings!$F$8-I88,0))</x:f>
      </x:c>
      <x:c r="R88" s="3" t="str">
        <x:f>IF(C88="","",IF(COUNTIF($C$9:$C$108,C88)&lt;&gt;1,"Duplicate ID",IF(OR(D88="",E88="",F88="",G88="",H88="",G88=H88,NOT(ISNUMBER(I88)),S88="",T88=""),"Incomplete","Valid")))</x:f>
      </x:c>
      <x:c r="S88" s="8"/>
      <x:c r="T88" s="8"/>
      <x:c r="U88" s="17" t="str">
        <x:f>IF(C88="","",IF(O88="Verified",1,0))</x:f>
      </x:c>
    </x:row>
    <x:row r="89" ht="48" customHeight="1">
      <x:c r="A89" s="1"/>
      <x:c r="B89" s="1"/>
      <x:c r="C89" s="8"/>
      <x:c r="D89" s="8"/>
      <x:c r="E89" s="8"/>
      <x:c r="F89" s="8"/>
      <x:c r="G89" s="8"/>
      <x:c r="H89" s="8"/>
      <x:c r="I89" s="10"/>
      <x:c r="J89" s="8"/>
      <x:c r="K89" s="8"/>
      <x:c r="L89" s="10"/>
      <x:c r="M89" s="10"/>
      <x:c r="N89" s="9" t="str">
        <x:f>IF(C89="","",IF(OR(D89=Settings!$F$9,D89="Global"),"Yes","No"))</x:f>
      </x:c>
      <x:c r="O89" s="9" t="str">
        <x:f>IF(C89="","",IF(N89="No","Outside selection",IF(R89&lt;&gt;"Valid","Review",IF(J89&lt;&gt;"Implemented","Open",IF(OR(K89="",NOT(ISNUMBER(L89)),NOT(ISNUMBER(M89)),L89&gt;Settings!$F$8,M89&lt;L89),"Evidence required",IF(M89&lt;Settings!$F$8,"Expired","Verified"))))))</x:f>
      </x:c>
      <x:c r="P89" s="9" t="str">
        <x:f>IF(C89="","",IF(AND(N89="Yes",O89&lt;&gt;"Verified",ISNUMBER(I89),I89&lt;Settings!$F$8),"Overdue","Current"))</x:f>
      </x:c>
      <x:c r="Q89" s="9" t="str">
        <x:f>IF(C89="","",IF(P89="Overdue",Settings!$F$8-I89,0))</x:f>
      </x:c>
      <x:c r="R89" s="3" t="str">
        <x:f>IF(C89="","",IF(COUNTIF($C$9:$C$108,C89)&lt;&gt;1,"Duplicate ID",IF(OR(D89="",E89="",F89="",G89="",H89="",G89=H89,NOT(ISNUMBER(I89)),S89="",T89=""),"Incomplete","Valid")))</x:f>
      </x:c>
      <x:c r="S89" s="8"/>
      <x:c r="T89" s="8"/>
      <x:c r="U89" s="17" t="str">
        <x:f>IF(C89="","",IF(O89="Verified",1,0))</x:f>
      </x:c>
    </x:row>
    <x:row r="90" ht="48" customHeight="1">
      <x:c r="A90" s="1"/>
      <x:c r="B90" s="1"/>
      <x:c r="C90" s="8"/>
      <x:c r="D90" s="8"/>
      <x:c r="E90" s="8"/>
      <x:c r="F90" s="8"/>
      <x:c r="G90" s="8"/>
      <x:c r="H90" s="8"/>
      <x:c r="I90" s="10"/>
      <x:c r="J90" s="8"/>
      <x:c r="K90" s="8"/>
      <x:c r="L90" s="10"/>
      <x:c r="M90" s="10"/>
      <x:c r="N90" s="9" t="str">
        <x:f>IF(C90="","",IF(OR(D90=Settings!$F$9,D90="Global"),"Yes","No"))</x:f>
      </x:c>
      <x:c r="O90" s="9" t="str">
        <x:f>IF(C90="","",IF(N90="No","Outside selection",IF(R90&lt;&gt;"Valid","Review",IF(J90&lt;&gt;"Implemented","Open",IF(OR(K90="",NOT(ISNUMBER(L90)),NOT(ISNUMBER(M90)),L90&gt;Settings!$F$8,M90&lt;L90),"Evidence required",IF(M90&lt;Settings!$F$8,"Expired","Verified"))))))</x:f>
      </x:c>
      <x:c r="P90" s="9" t="str">
        <x:f>IF(C90="","",IF(AND(N90="Yes",O90&lt;&gt;"Verified",ISNUMBER(I90),I90&lt;Settings!$F$8),"Overdue","Current"))</x:f>
      </x:c>
      <x:c r="Q90" s="9" t="str">
        <x:f>IF(C90="","",IF(P90="Overdue",Settings!$F$8-I90,0))</x:f>
      </x:c>
      <x:c r="R90" s="3" t="str">
        <x:f>IF(C90="","",IF(COUNTIF($C$9:$C$108,C90)&lt;&gt;1,"Duplicate ID",IF(OR(D90="",E90="",F90="",G90="",H90="",G90=H90,NOT(ISNUMBER(I90)),S90="",T90=""),"Incomplete","Valid")))</x:f>
      </x:c>
      <x:c r="S90" s="8"/>
      <x:c r="T90" s="8"/>
      <x:c r="U90" s="17" t="str">
        <x:f>IF(C90="","",IF(O90="Verified",1,0))</x:f>
      </x:c>
    </x:row>
    <x:row r="91" ht="48" customHeight="1">
      <x:c r="A91" s="1"/>
      <x:c r="B91" s="1"/>
      <x:c r="C91" s="8"/>
      <x:c r="D91" s="8"/>
      <x:c r="E91" s="8"/>
      <x:c r="F91" s="8"/>
      <x:c r="G91" s="8"/>
      <x:c r="H91" s="8"/>
      <x:c r="I91" s="10"/>
      <x:c r="J91" s="8"/>
      <x:c r="K91" s="8"/>
      <x:c r="L91" s="10"/>
      <x:c r="M91" s="10"/>
      <x:c r="N91" s="9" t="str">
        <x:f>IF(C91="","",IF(OR(D91=Settings!$F$9,D91="Global"),"Yes","No"))</x:f>
      </x:c>
      <x:c r="O91" s="9" t="str">
        <x:f>IF(C91="","",IF(N91="No","Outside selection",IF(R91&lt;&gt;"Valid","Review",IF(J91&lt;&gt;"Implemented","Open",IF(OR(K91="",NOT(ISNUMBER(L91)),NOT(ISNUMBER(M91)),L91&gt;Settings!$F$8,M91&lt;L91),"Evidence required",IF(M91&lt;Settings!$F$8,"Expired","Verified"))))))</x:f>
      </x:c>
      <x:c r="P91" s="9" t="str">
        <x:f>IF(C91="","",IF(AND(N91="Yes",O91&lt;&gt;"Verified",ISNUMBER(I91),I91&lt;Settings!$F$8),"Overdue","Current"))</x:f>
      </x:c>
      <x:c r="Q91" s="9" t="str">
        <x:f>IF(C91="","",IF(P91="Overdue",Settings!$F$8-I91,0))</x:f>
      </x:c>
      <x:c r="R91" s="3" t="str">
        <x:f>IF(C91="","",IF(COUNTIF($C$9:$C$108,C91)&lt;&gt;1,"Duplicate ID",IF(OR(D91="",E91="",F91="",G91="",H91="",G91=H91,NOT(ISNUMBER(I91)),S91="",T91=""),"Incomplete","Valid")))</x:f>
      </x:c>
      <x:c r="S91" s="8"/>
      <x:c r="T91" s="8"/>
      <x:c r="U91" s="17" t="str">
        <x:f>IF(C91="","",IF(O91="Verified",1,0))</x:f>
      </x:c>
    </x:row>
    <x:row r="92" ht="48" customHeight="1">
      <x:c r="A92" s="1"/>
      <x:c r="B92" s="1"/>
      <x:c r="C92" s="8"/>
      <x:c r="D92" s="8"/>
      <x:c r="E92" s="8"/>
      <x:c r="F92" s="8"/>
      <x:c r="G92" s="8"/>
      <x:c r="H92" s="8"/>
      <x:c r="I92" s="10"/>
      <x:c r="J92" s="8"/>
      <x:c r="K92" s="8"/>
      <x:c r="L92" s="10"/>
      <x:c r="M92" s="10"/>
      <x:c r="N92" s="9" t="str">
        <x:f>IF(C92="","",IF(OR(D92=Settings!$F$9,D92="Global"),"Yes","No"))</x:f>
      </x:c>
      <x:c r="O92" s="9" t="str">
        <x:f>IF(C92="","",IF(N92="No","Outside selection",IF(R92&lt;&gt;"Valid","Review",IF(J92&lt;&gt;"Implemented","Open",IF(OR(K92="",NOT(ISNUMBER(L92)),NOT(ISNUMBER(M92)),L92&gt;Settings!$F$8,M92&lt;L92),"Evidence required",IF(M92&lt;Settings!$F$8,"Expired","Verified"))))))</x:f>
      </x:c>
      <x:c r="P92" s="9" t="str">
        <x:f>IF(C92="","",IF(AND(N92="Yes",O92&lt;&gt;"Verified",ISNUMBER(I92),I92&lt;Settings!$F$8),"Overdue","Current"))</x:f>
      </x:c>
      <x:c r="Q92" s="9" t="str">
        <x:f>IF(C92="","",IF(P92="Overdue",Settings!$F$8-I92,0))</x:f>
      </x:c>
      <x:c r="R92" s="3" t="str">
        <x:f>IF(C92="","",IF(COUNTIF($C$9:$C$108,C92)&lt;&gt;1,"Duplicate ID",IF(OR(D92="",E92="",F92="",G92="",H92="",G92=H92,NOT(ISNUMBER(I92)),S92="",T92=""),"Incomplete","Valid")))</x:f>
      </x:c>
      <x:c r="S92" s="8"/>
      <x:c r="T92" s="8"/>
      <x:c r="U92" s="17" t="str">
        <x:f>IF(C92="","",IF(O92="Verified",1,0))</x:f>
      </x:c>
    </x:row>
    <x:row r="93" ht="48" customHeight="1">
      <x:c r="A93" s="1"/>
      <x:c r="B93" s="1"/>
      <x:c r="C93" s="8"/>
      <x:c r="D93" s="8"/>
      <x:c r="E93" s="8"/>
      <x:c r="F93" s="8"/>
      <x:c r="G93" s="8"/>
      <x:c r="H93" s="8"/>
      <x:c r="I93" s="10"/>
      <x:c r="J93" s="8"/>
      <x:c r="K93" s="8"/>
      <x:c r="L93" s="10"/>
      <x:c r="M93" s="10"/>
      <x:c r="N93" s="9" t="str">
        <x:f>IF(C93="","",IF(OR(D93=Settings!$F$9,D93="Global"),"Yes","No"))</x:f>
      </x:c>
      <x:c r="O93" s="9" t="str">
        <x:f>IF(C93="","",IF(N93="No","Outside selection",IF(R93&lt;&gt;"Valid","Review",IF(J93&lt;&gt;"Implemented","Open",IF(OR(K93="",NOT(ISNUMBER(L93)),NOT(ISNUMBER(M93)),L93&gt;Settings!$F$8,M93&lt;L93),"Evidence required",IF(M93&lt;Settings!$F$8,"Expired","Verified"))))))</x:f>
      </x:c>
      <x:c r="P93" s="9" t="str">
        <x:f>IF(C93="","",IF(AND(N93="Yes",O93&lt;&gt;"Verified",ISNUMBER(I93),I93&lt;Settings!$F$8),"Overdue","Current"))</x:f>
      </x:c>
      <x:c r="Q93" s="9" t="str">
        <x:f>IF(C93="","",IF(P93="Overdue",Settings!$F$8-I93,0))</x:f>
      </x:c>
      <x:c r="R93" s="3" t="str">
        <x:f>IF(C93="","",IF(COUNTIF($C$9:$C$108,C93)&lt;&gt;1,"Duplicate ID",IF(OR(D93="",E93="",F93="",G93="",H93="",G93=H93,NOT(ISNUMBER(I93)),S93="",T93=""),"Incomplete","Valid")))</x:f>
      </x:c>
      <x:c r="S93" s="8"/>
      <x:c r="T93" s="8"/>
      <x:c r="U93" s="17" t="str">
        <x:f>IF(C93="","",IF(O93="Verified",1,0))</x:f>
      </x:c>
    </x:row>
    <x:row r="94" ht="48" customHeight="1">
      <x:c r="A94" s="1"/>
      <x:c r="B94" s="1"/>
      <x:c r="C94" s="8"/>
      <x:c r="D94" s="8"/>
      <x:c r="E94" s="8"/>
      <x:c r="F94" s="8"/>
      <x:c r="G94" s="8"/>
      <x:c r="H94" s="8"/>
      <x:c r="I94" s="10"/>
      <x:c r="J94" s="8"/>
      <x:c r="K94" s="8"/>
      <x:c r="L94" s="10"/>
      <x:c r="M94" s="10"/>
      <x:c r="N94" s="9" t="str">
        <x:f>IF(C94="","",IF(OR(D94=Settings!$F$9,D94="Global"),"Yes","No"))</x:f>
      </x:c>
      <x:c r="O94" s="9" t="str">
        <x:f>IF(C94="","",IF(N94="No","Outside selection",IF(R94&lt;&gt;"Valid","Review",IF(J94&lt;&gt;"Implemented","Open",IF(OR(K94="",NOT(ISNUMBER(L94)),NOT(ISNUMBER(M94)),L94&gt;Settings!$F$8,M94&lt;L94),"Evidence required",IF(M94&lt;Settings!$F$8,"Expired","Verified"))))))</x:f>
      </x:c>
      <x:c r="P94" s="9" t="str">
        <x:f>IF(C94="","",IF(AND(N94="Yes",O94&lt;&gt;"Verified",ISNUMBER(I94),I94&lt;Settings!$F$8),"Overdue","Current"))</x:f>
      </x:c>
      <x:c r="Q94" s="9" t="str">
        <x:f>IF(C94="","",IF(P94="Overdue",Settings!$F$8-I94,0))</x:f>
      </x:c>
      <x:c r="R94" s="3" t="str">
        <x:f>IF(C94="","",IF(COUNTIF($C$9:$C$108,C94)&lt;&gt;1,"Duplicate ID",IF(OR(D94="",E94="",F94="",G94="",H94="",G94=H94,NOT(ISNUMBER(I94)),S94="",T94=""),"Incomplete","Valid")))</x:f>
      </x:c>
      <x:c r="S94" s="8"/>
      <x:c r="T94" s="8"/>
      <x:c r="U94" s="17" t="str">
        <x:f>IF(C94="","",IF(O94="Verified",1,0))</x:f>
      </x:c>
    </x:row>
    <x:row r="95" ht="48" customHeight="1">
      <x:c r="A95" s="1"/>
      <x:c r="B95" s="1"/>
      <x:c r="C95" s="8"/>
      <x:c r="D95" s="8"/>
      <x:c r="E95" s="8"/>
      <x:c r="F95" s="8"/>
      <x:c r="G95" s="8"/>
      <x:c r="H95" s="8"/>
      <x:c r="I95" s="10"/>
      <x:c r="J95" s="8"/>
      <x:c r="K95" s="8"/>
      <x:c r="L95" s="10"/>
      <x:c r="M95" s="10"/>
      <x:c r="N95" s="9" t="str">
        <x:f>IF(C95="","",IF(OR(D95=Settings!$F$9,D95="Global"),"Yes","No"))</x:f>
      </x:c>
      <x:c r="O95" s="9" t="str">
        <x:f>IF(C95="","",IF(N95="No","Outside selection",IF(R95&lt;&gt;"Valid","Review",IF(J95&lt;&gt;"Implemented","Open",IF(OR(K95="",NOT(ISNUMBER(L95)),NOT(ISNUMBER(M95)),L95&gt;Settings!$F$8,M95&lt;L95),"Evidence required",IF(M95&lt;Settings!$F$8,"Expired","Verified"))))))</x:f>
      </x:c>
      <x:c r="P95" s="9" t="str">
        <x:f>IF(C95="","",IF(AND(N95="Yes",O95&lt;&gt;"Verified",ISNUMBER(I95),I95&lt;Settings!$F$8),"Overdue","Current"))</x:f>
      </x:c>
      <x:c r="Q95" s="9" t="str">
        <x:f>IF(C95="","",IF(P95="Overdue",Settings!$F$8-I95,0))</x:f>
      </x:c>
      <x:c r="R95" s="3" t="str">
        <x:f>IF(C95="","",IF(COUNTIF($C$9:$C$108,C95)&lt;&gt;1,"Duplicate ID",IF(OR(D95="",E95="",F95="",G95="",H95="",G95=H95,NOT(ISNUMBER(I95)),S95="",T95=""),"Incomplete","Valid")))</x:f>
      </x:c>
      <x:c r="S95" s="8"/>
      <x:c r="T95" s="8"/>
      <x:c r="U95" s="17" t="str">
        <x:f>IF(C95="","",IF(O95="Verified",1,0))</x:f>
      </x:c>
    </x:row>
    <x:row r="96" ht="48" customHeight="1">
      <x:c r="A96" s="1"/>
      <x:c r="B96" s="1"/>
      <x:c r="C96" s="8"/>
      <x:c r="D96" s="8"/>
      <x:c r="E96" s="8"/>
      <x:c r="F96" s="8"/>
      <x:c r="G96" s="8"/>
      <x:c r="H96" s="8"/>
      <x:c r="I96" s="10"/>
      <x:c r="J96" s="8"/>
      <x:c r="K96" s="8"/>
      <x:c r="L96" s="10"/>
      <x:c r="M96" s="10"/>
      <x:c r="N96" s="9" t="str">
        <x:f>IF(C96="","",IF(OR(D96=Settings!$F$9,D96="Global"),"Yes","No"))</x:f>
      </x:c>
      <x:c r="O96" s="9" t="str">
        <x:f>IF(C96="","",IF(N96="No","Outside selection",IF(R96&lt;&gt;"Valid","Review",IF(J96&lt;&gt;"Implemented","Open",IF(OR(K96="",NOT(ISNUMBER(L96)),NOT(ISNUMBER(M96)),L96&gt;Settings!$F$8,M96&lt;L96),"Evidence required",IF(M96&lt;Settings!$F$8,"Expired","Verified"))))))</x:f>
      </x:c>
      <x:c r="P96" s="9" t="str">
        <x:f>IF(C96="","",IF(AND(N96="Yes",O96&lt;&gt;"Verified",ISNUMBER(I96),I96&lt;Settings!$F$8),"Overdue","Current"))</x:f>
      </x:c>
      <x:c r="Q96" s="9" t="str">
        <x:f>IF(C96="","",IF(P96="Overdue",Settings!$F$8-I96,0))</x:f>
      </x:c>
      <x:c r="R96" s="3" t="str">
        <x:f>IF(C96="","",IF(COUNTIF($C$9:$C$108,C96)&lt;&gt;1,"Duplicate ID",IF(OR(D96="",E96="",F96="",G96="",H96="",G96=H96,NOT(ISNUMBER(I96)),S96="",T96=""),"Incomplete","Valid")))</x:f>
      </x:c>
      <x:c r="S96" s="8"/>
      <x:c r="T96" s="8"/>
      <x:c r="U96" s="17" t="str">
        <x:f>IF(C96="","",IF(O96="Verified",1,0))</x:f>
      </x:c>
    </x:row>
    <x:row r="97" ht="48" customHeight="1">
      <x:c r="A97" s="1"/>
      <x:c r="B97" s="1"/>
      <x:c r="C97" s="8"/>
      <x:c r="D97" s="8"/>
      <x:c r="E97" s="8"/>
      <x:c r="F97" s="8"/>
      <x:c r="G97" s="8"/>
      <x:c r="H97" s="8"/>
      <x:c r="I97" s="10"/>
      <x:c r="J97" s="8"/>
      <x:c r="K97" s="8"/>
      <x:c r="L97" s="10"/>
      <x:c r="M97" s="10"/>
      <x:c r="N97" s="9" t="str">
        <x:f>IF(C97="","",IF(OR(D97=Settings!$F$9,D97="Global"),"Yes","No"))</x:f>
      </x:c>
      <x:c r="O97" s="9" t="str">
        <x:f>IF(C97="","",IF(N97="No","Outside selection",IF(R97&lt;&gt;"Valid","Review",IF(J97&lt;&gt;"Implemented","Open",IF(OR(K97="",NOT(ISNUMBER(L97)),NOT(ISNUMBER(M97)),L97&gt;Settings!$F$8,M97&lt;L97),"Evidence required",IF(M97&lt;Settings!$F$8,"Expired","Verified"))))))</x:f>
      </x:c>
      <x:c r="P97" s="9" t="str">
        <x:f>IF(C97="","",IF(AND(N97="Yes",O97&lt;&gt;"Verified",ISNUMBER(I97),I97&lt;Settings!$F$8),"Overdue","Current"))</x:f>
      </x:c>
      <x:c r="Q97" s="9" t="str">
        <x:f>IF(C97="","",IF(P97="Overdue",Settings!$F$8-I97,0))</x:f>
      </x:c>
      <x:c r="R97" s="3" t="str">
        <x:f>IF(C97="","",IF(COUNTIF($C$9:$C$108,C97)&lt;&gt;1,"Duplicate ID",IF(OR(D97="",E97="",F97="",G97="",H97="",G97=H97,NOT(ISNUMBER(I97)),S97="",T97=""),"Incomplete","Valid")))</x:f>
      </x:c>
      <x:c r="S97" s="8"/>
      <x:c r="T97" s="8"/>
      <x:c r="U97" s="17" t="str">
        <x:f>IF(C97="","",IF(O97="Verified",1,0))</x:f>
      </x:c>
    </x:row>
    <x:row r="98" ht="48" customHeight="1">
      <x:c r="A98" s="1"/>
      <x:c r="B98" s="1"/>
      <x:c r="C98" s="8"/>
      <x:c r="D98" s="8"/>
      <x:c r="E98" s="8"/>
      <x:c r="F98" s="8"/>
      <x:c r="G98" s="8"/>
      <x:c r="H98" s="8"/>
      <x:c r="I98" s="10"/>
      <x:c r="J98" s="8"/>
      <x:c r="K98" s="8"/>
      <x:c r="L98" s="10"/>
      <x:c r="M98" s="10"/>
      <x:c r="N98" s="9" t="str">
        <x:f>IF(C98="","",IF(OR(D98=Settings!$F$9,D98="Global"),"Yes","No"))</x:f>
      </x:c>
      <x:c r="O98" s="9" t="str">
        <x:f>IF(C98="","",IF(N98="No","Outside selection",IF(R98&lt;&gt;"Valid","Review",IF(J98&lt;&gt;"Implemented","Open",IF(OR(K98="",NOT(ISNUMBER(L98)),NOT(ISNUMBER(M98)),L98&gt;Settings!$F$8,M98&lt;L98),"Evidence required",IF(M98&lt;Settings!$F$8,"Expired","Verified"))))))</x:f>
      </x:c>
      <x:c r="P98" s="9" t="str">
        <x:f>IF(C98="","",IF(AND(N98="Yes",O98&lt;&gt;"Verified",ISNUMBER(I98),I98&lt;Settings!$F$8),"Overdue","Current"))</x:f>
      </x:c>
      <x:c r="Q98" s="9" t="str">
        <x:f>IF(C98="","",IF(P98="Overdue",Settings!$F$8-I98,0))</x:f>
      </x:c>
      <x:c r="R98" s="3" t="str">
        <x:f>IF(C98="","",IF(COUNTIF($C$9:$C$108,C98)&lt;&gt;1,"Duplicate ID",IF(OR(D98="",E98="",F98="",G98="",H98="",G98=H98,NOT(ISNUMBER(I98)),S98="",T98=""),"Incomplete","Valid")))</x:f>
      </x:c>
      <x:c r="S98" s="8"/>
      <x:c r="T98" s="8"/>
      <x:c r="U98" s="17" t="str">
        <x:f>IF(C98="","",IF(O98="Verified",1,0))</x:f>
      </x:c>
    </x:row>
    <x:row r="99" ht="48" customHeight="1">
      <x:c r="A99" s="1"/>
      <x:c r="B99" s="1"/>
      <x:c r="C99" s="8"/>
      <x:c r="D99" s="8"/>
      <x:c r="E99" s="8"/>
      <x:c r="F99" s="8"/>
      <x:c r="G99" s="8"/>
      <x:c r="H99" s="8"/>
      <x:c r="I99" s="10"/>
      <x:c r="J99" s="8"/>
      <x:c r="K99" s="8"/>
      <x:c r="L99" s="10"/>
      <x:c r="M99" s="10"/>
      <x:c r="N99" s="9" t="str">
        <x:f>IF(C99="","",IF(OR(D99=Settings!$F$9,D99="Global"),"Yes","No"))</x:f>
      </x:c>
      <x:c r="O99" s="9" t="str">
        <x:f>IF(C99="","",IF(N99="No","Outside selection",IF(R99&lt;&gt;"Valid","Review",IF(J99&lt;&gt;"Implemented","Open",IF(OR(K99="",NOT(ISNUMBER(L99)),NOT(ISNUMBER(M99)),L99&gt;Settings!$F$8,M99&lt;L99),"Evidence required",IF(M99&lt;Settings!$F$8,"Expired","Verified"))))))</x:f>
      </x:c>
      <x:c r="P99" s="9" t="str">
        <x:f>IF(C99="","",IF(AND(N99="Yes",O99&lt;&gt;"Verified",ISNUMBER(I99),I99&lt;Settings!$F$8),"Overdue","Current"))</x:f>
      </x:c>
      <x:c r="Q99" s="9" t="str">
        <x:f>IF(C99="","",IF(P99="Overdue",Settings!$F$8-I99,0))</x:f>
      </x:c>
      <x:c r="R99" s="3" t="str">
        <x:f>IF(C99="","",IF(COUNTIF($C$9:$C$108,C99)&lt;&gt;1,"Duplicate ID",IF(OR(D99="",E99="",F99="",G99="",H99="",G99=H99,NOT(ISNUMBER(I99)),S99="",T99=""),"Incomplete","Valid")))</x:f>
      </x:c>
      <x:c r="S99" s="8"/>
      <x:c r="T99" s="8"/>
      <x:c r="U99" s="17" t="str">
        <x:f>IF(C99="","",IF(O99="Verified",1,0))</x:f>
      </x:c>
    </x:row>
    <x:row r="100" ht="48" customHeight="1">
      <x:c r="A100" s="1"/>
      <x:c r="B100" s="1"/>
      <x:c r="C100" s="8"/>
      <x:c r="D100" s="8"/>
      <x:c r="E100" s="8"/>
      <x:c r="F100" s="8"/>
      <x:c r="G100" s="8"/>
      <x:c r="H100" s="8"/>
      <x:c r="I100" s="10"/>
      <x:c r="J100" s="8"/>
      <x:c r="K100" s="8"/>
      <x:c r="L100" s="10"/>
      <x:c r="M100" s="10"/>
      <x:c r="N100" s="9" t="str">
        <x:f>IF(C100="","",IF(OR(D100=Settings!$F$9,D100="Global"),"Yes","No"))</x:f>
      </x:c>
      <x:c r="O100" s="9" t="str">
        <x:f>IF(C100="","",IF(N100="No","Outside selection",IF(R100&lt;&gt;"Valid","Review",IF(J100&lt;&gt;"Implemented","Open",IF(OR(K100="",NOT(ISNUMBER(L100)),NOT(ISNUMBER(M100)),L100&gt;Settings!$F$8,M100&lt;L100),"Evidence required",IF(M100&lt;Settings!$F$8,"Expired","Verified"))))))</x:f>
      </x:c>
      <x:c r="P100" s="9" t="str">
        <x:f>IF(C100="","",IF(AND(N100="Yes",O100&lt;&gt;"Verified",ISNUMBER(I100),I100&lt;Settings!$F$8),"Overdue","Current"))</x:f>
      </x:c>
      <x:c r="Q100" s="9" t="str">
        <x:f>IF(C100="","",IF(P100="Overdue",Settings!$F$8-I100,0))</x:f>
      </x:c>
      <x:c r="R100" s="3" t="str">
        <x:f>IF(C100="","",IF(COUNTIF($C$9:$C$108,C100)&lt;&gt;1,"Duplicate ID",IF(OR(D100="",E100="",F100="",G100="",H100="",G100=H100,NOT(ISNUMBER(I100)),S100="",T100=""),"Incomplete","Valid")))</x:f>
      </x:c>
      <x:c r="S100" s="8"/>
      <x:c r="T100" s="8"/>
      <x:c r="U100" s="17" t="str">
        <x:f>IF(C100="","",IF(O100="Verified",1,0))</x:f>
      </x:c>
    </x:row>
    <x:row r="101" ht="48" customHeight="1">
      <x:c r="A101" s="1"/>
      <x:c r="B101" s="1"/>
      <x:c r="C101" s="8"/>
      <x:c r="D101" s="8"/>
      <x:c r="E101" s="8"/>
      <x:c r="F101" s="8"/>
      <x:c r="G101" s="8"/>
      <x:c r="H101" s="8"/>
      <x:c r="I101" s="10"/>
      <x:c r="J101" s="8"/>
      <x:c r="K101" s="8"/>
      <x:c r="L101" s="10"/>
      <x:c r="M101" s="10"/>
      <x:c r="N101" s="9" t="str">
        <x:f>IF(C101="","",IF(OR(D101=Settings!$F$9,D101="Global"),"Yes","No"))</x:f>
      </x:c>
      <x:c r="O101" s="9" t="str">
        <x:f>IF(C101="","",IF(N101="No","Outside selection",IF(R101&lt;&gt;"Valid","Review",IF(J101&lt;&gt;"Implemented","Open",IF(OR(K101="",NOT(ISNUMBER(L101)),NOT(ISNUMBER(M101)),L101&gt;Settings!$F$8,M101&lt;L101),"Evidence required",IF(M101&lt;Settings!$F$8,"Expired","Verified"))))))</x:f>
      </x:c>
      <x:c r="P101" s="9" t="str">
        <x:f>IF(C101="","",IF(AND(N101="Yes",O101&lt;&gt;"Verified",ISNUMBER(I101),I101&lt;Settings!$F$8),"Overdue","Current"))</x:f>
      </x:c>
      <x:c r="Q101" s="9" t="str">
        <x:f>IF(C101="","",IF(P101="Overdue",Settings!$F$8-I101,0))</x:f>
      </x:c>
      <x:c r="R101" s="3" t="str">
        <x:f>IF(C101="","",IF(COUNTIF($C$9:$C$108,C101)&lt;&gt;1,"Duplicate ID",IF(OR(D101="",E101="",F101="",G101="",H101="",G101=H101,NOT(ISNUMBER(I101)),S101="",T101=""),"Incomplete","Valid")))</x:f>
      </x:c>
      <x:c r="S101" s="8"/>
      <x:c r="T101" s="8"/>
      <x:c r="U101" s="17" t="str">
        <x:f>IF(C101="","",IF(O101="Verified",1,0))</x:f>
      </x:c>
    </x:row>
    <x:row r="102" ht="48" customHeight="1">
      <x:c r="A102" s="1"/>
      <x:c r="B102" s="1"/>
      <x:c r="C102" s="8"/>
      <x:c r="D102" s="8"/>
      <x:c r="E102" s="8"/>
      <x:c r="F102" s="8"/>
      <x:c r="G102" s="8"/>
      <x:c r="H102" s="8"/>
      <x:c r="I102" s="10"/>
      <x:c r="J102" s="8"/>
      <x:c r="K102" s="8"/>
      <x:c r="L102" s="10"/>
      <x:c r="M102" s="10"/>
      <x:c r="N102" s="9" t="str">
        <x:f>IF(C102="","",IF(OR(D102=Settings!$F$9,D102="Global"),"Yes","No"))</x:f>
      </x:c>
      <x:c r="O102" s="9" t="str">
        <x:f>IF(C102="","",IF(N102="No","Outside selection",IF(R102&lt;&gt;"Valid","Review",IF(J102&lt;&gt;"Implemented","Open",IF(OR(K102="",NOT(ISNUMBER(L102)),NOT(ISNUMBER(M102)),L102&gt;Settings!$F$8,M102&lt;L102),"Evidence required",IF(M102&lt;Settings!$F$8,"Expired","Verified"))))))</x:f>
      </x:c>
      <x:c r="P102" s="9" t="str">
        <x:f>IF(C102="","",IF(AND(N102="Yes",O102&lt;&gt;"Verified",ISNUMBER(I102),I102&lt;Settings!$F$8),"Overdue","Current"))</x:f>
      </x:c>
      <x:c r="Q102" s="9" t="str">
        <x:f>IF(C102="","",IF(P102="Overdue",Settings!$F$8-I102,0))</x:f>
      </x:c>
      <x:c r="R102" s="3" t="str">
        <x:f>IF(C102="","",IF(COUNTIF($C$9:$C$108,C102)&lt;&gt;1,"Duplicate ID",IF(OR(D102="",E102="",F102="",G102="",H102="",G102=H102,NOT(ISNUMBER(I102)),S102="",T102=""),"Incomplete","Valid")))</x:f>
      </x:c>
      <x:c r="S102" s="8"/>
      <x:c r="T102" s="8"/>
      <x:c r="U102" s="17" t="str">
        <x:f>IF(C102="","",IF(O102="Verified",1,0))</x:f>
      </x:c>
    </x:row>
    <x:row r="103" ht="48" customHeight="1">
      <x:c r="A103" s="1"/>
      <x:c r="B103" s="1"/>
      <x:c r="C103" s="8"/>
      <x:c r="D103" s="8"/>
      <x:c r="E103" s="8"/>
      <x:c r="F103" s="8"/>
      <x:c r="G103" s="8"/>
      <x:c r="H103" s="8"/>
      <x:c r="I103" s="10"/>
      <x:c r="J103" s="8"/>
      <x:c r="K103" s="8"/>
      <x:c r="L103" s="10"/>
      <x:c r="M103" s="10"/>
      <x:c r="N103" s="9" t="str">
        <x:f>IF(C103="","",IF(OR(D103=Settings!$F$9,D103="Global"),"Yes","No"))</x:f>
      </x:c>
      <x:c r="O103" s="9" t="str">
        <x:f>IF(C103="","",IF(N103="No","Outside selection",IF(R103&lt;&gt;"Valid","Review",IF(J103&lt;&gt;"Implemented","Open",IF(OR(K103="",NOT(ISNUMBER(L103)),NOT(ISNUMBER(M103)),L103&gt;Settings!$F$8,M103&lt;L103),"Evidence required",IF(M103&lt;Settings!$F$8,"Expired","Verified"))))))</x:f>
      </x:c>
      <x:c r="P103" s="9" t="str">
        <x:f>IF(C103="","",IF(AND(N103="Yes",O103&lt;&gt;"Verified",ISNUMBER(I103),I103&lt;Settings!$F$8),"Overdue","Current"))</x:f>
      </x:c>
      <x:c r="Q103" s="9" t="str">
        <x:f>IF(C103="","",IF(P103="Overdue",Settings!$F$8-I103,0))</x:f>
      </x:c>
      <x:c r="R103" s="3" t="str">
        <x:f>IF(C103="","",IF(COUNTIF($C$9:$C$108,C103)&lt;&gt;1,"Duplicate ID",IF(OR(D103="",E103="",F103="",G103="",H103="",G103=H103,NOT(ISNUMBER(I103)),S103="",T103=""),"Incomplete","Valid")))</x:f>
      </x:c>
      <x:c r="S103" s="8"/>
      <x:c r="T103" s="8"/>
      <x:c r="U103" s="17" t="str">
        <x:f>IF(C103="","",IF(O103="Verified",1,0))</x:f>
      </x:c>
    </x:row>
    <x:row r="104" ht="48" customHeight="1">
      <x:c r="A104" s="1"/>
      <x:c r="B104" s="1"/>
      <x:c r="C104" s="8"/>
      <x:c r="D104" s="8"/>
      <x:c r="E104" s="8"/>
      <x:c r="F104" s="8"/>
      <x:c r="G104" s="8"/>
      <x:c r="H104" s="8"/>
      <x:c r="I104" s="10"/>
      <x:c r="J104" s="8"/>
      <x:c r="K104" s="8"/>
      <x:c r="L104" s="10"/>
      <x:c r="M104" s="10"/>
      <x:c r="N104" s="9" t="str">
        <x:f>IF(C104="","",IF(OR(D104=Settings!$F$9,D104="Global"),"Yes","No"))</x:f>
      </x:c>
      <x:c r="O104" s="9" t="str">
        <x:f>IF(C104="","",IF(N104="No","Outside selection",IF(R104&lt;&gt;"Valid","Review",IF(J104&lt;&gt;"Implemented","Open",IF(OR(K104="",NOT(ISNUMBER(L104)),NOT(ISNUMBER(M104)),L104&gt;Settings!$F$8,M104&lt;L104),"Evidence required",IF(M104&lt;Settings!$F$8,"Expired","Verified"))))))</x:f>
      </x:c>
      <x:c r="P104" s="9" t="str">
        <x:f>IF(C104="","",IF(AND(N104="Yes",O104&lt;&gt;"Verified",ISNUMBER(I104),I104&lt;Settings!$F$8),"Overdue","Current"))</x:f>
      </x:c>
      <x:c r="Q104" s="9" t="str">
        <x:f>IF(C104="","",IF(P104="Overdue",Settings!$F$8-I104,0))</x:f>
      </x:c>
      <x:c r="R104" s="3" t="str">
        <x:f>IF(C104="","",IF(COUNTIF($C$9:$C$108,C104)&lt;&gt;1,"Duplicate ID",IF(OR(D104="",E104="",F104="",G104="",H104="",G104=H104,NOT(ISNUMBER(I104)),S104="",T104=""),"Incomplete","Valid")))</x:f>
      </x:c>
      <x:c r="S104" s="8"/>
      <x:c r="T104" s="8"/>
      <x:c r="U104" s="17" t="str">
        <x:f>IF(C104="","",IF(O104="Verified",1,0))</x:f>
      </x:c>
    </x:row>
    <x:row r="105" ht="48" customHeight="1">
      <x:c r="A105" s="1"/>
      <x:c r="B105" s="1"/>
      <x:c r="C105" s="8"/>
      <x:c r="D105" s="8"/>
      <x:c r="E105" s="8"/>
      <x:c r="F105" s="8"/>
      <x:c r="G105" s="8"/>
      <x:c r="H105" s="8"/>
      <x:c r="I105" s="10"/>
      <x:c r="J105" s="8"/>
      <x:c r="K105" s="8"/>
      <x:c r="L105" s="10"/>
      <x:c r="M105" s="10"/>
      <x:c r="N105" s="9" t="str">
        <x:f>IF(C105="","",IF(OR(D105=Settings!$F$9,D105="Global"),"Yes","No"))</x:f>
      </x:c>
      <x:c r="O105" s="9" t="str">
        <x:f>IF(C105="","",IF(N105="No","Outside selection",IF(R105&lt;&gt;"Valid","Review",IF(J105&lt;&gt;"Implemented","Open",IF(OR(K105="",NOT(ISNUMBER(L105)),NOT(ISNUMBER(M105)),L105&gt;Settings!$F$8,M105&lt;L105),"Evidence required",IF(M105&lt;Settings!$F$8,"Expired","Verified"))))))</x:f>
      </x:c>
      <x:c r="P105" s="9" t="str">
        <x:f>IF(C105="","",IF(AND(N105="Yes",O105&lt;&gt;"Verified",ISNUMBER(I105),I105&lt;Settings!$F$8),"Overdue","Current"))</x:f>
      </x:c>
      <x:c r="Q105" s="9" t="str">
        <x:f>IF(C105="","",IF(P105="Overdue",Settings!$F$8-I105,0))</x:f>
      </x:c>
      <x:c r="R105" s="3" t="str">
        <x:f>IF(C105="","",IF(COUNTIF($C$9:$C$108,C105)&lt;&gt;1,"Duplicate ID",IF(OR(D105="",E105="",F105="",G105="",H105="",G105=H105,NOT(ISNUMBER(I105)),S105="",T105=""),"Incomplete","Valid")))</x:f>
      </x:c>
      <x:c r="S105" s="8"/>
      <x:c r="T105" s="8"/>
      <x:c r="U105" s="17" t="str">
        <x:f>IF(C105="","",IF(O105="Verified",1,0))</x:f>
      </x:c>
    </x:row>
    <x:row r="106" ht="48" customHeight="1">
      <x:c r="A106" s="1"/>
      <x:c r="B106" s="1"/>
      <x:c r="C106" s="8"/>
      <x:c r="D106" s="8"/>
      <x:c r="E106" s="8"/>
      <x:c r="F106" s="8"/>
      <x:c r="G106" s="8"/>
      <x:c r="H106" s="8"/>
      <x:c r="I106" s="10"/>
      <x:c r="J106" s="8"/>
      <x:c r="K106" s="8"/>
      <x:c r="L106" s="10"/>
      <x:c r="M106" s="10"/>
      <x:c r="N106" s="9" t="str">
        <x:f>IF(C106="","",IF(OR(D106=Settings!$F$9,D106="Global"),"Yes","No"))</x:f>
      </x:c>
      <x:c r="O106" s="9" t="str">
        <x:f>IF(C106="","",IF(N106="No","Outside selection",IF(R106&lt;&gt;"Valid","Review",IF(J106&lt;&gt;"Implemented","Open",IF(OR(K106="",NOT(ISNUMBER(L106)),NOT(ISNUMBER(M106)),L106&gt;Settings!$F$8,M106&lt;L106),"Evidence required",IF(M106&lt;Settings!$F$8,"Expired","Verified"))))))</x:f>
      </x:c>
      <x:c r="P106" s="9" t="str">
        <x:f>IF(C106="","",IF(AND(N106="Yes",O106&lt;&gt;"Verified",ISNUMBER(I106),I106&lt;Settings!$F$8),"Overdue","Current"))</x:f>
      </x:c>
      <x:c r="Q106" s="9" t="str">
        <x:f>IF(C106="","",IF(P106="Overdue",Settings!$F$8-I106,0))</x:f>
      </x:c>
      <x:c r="R106" s="3" t="str">
        <x:f>IF(C106="","",IF(COUNTIF($C$9:$C$108,C106)&lt;&gt;1,"Duplicate ID",IF(OR(D106="",E106="",F106="",G106="",H106="",G106=H106,NOT(ISNUMBER(I106)),S106="",T106=""),"Incomplete","Valid")))</x:f>
      </x:c>
      <x:c r="S106" s="8"/>
      <x:c r="T106" s="8"/>
      <x:c r="U106" s="17" t="str">
        <x:f>IF(C106="","",IF(O106="Verified",1,0))</x:f>
      </x:c>
    </x:row>
    <x:row r="107" ht="48" customHeight="1">
      <x:c r="A107" s="1"/>
      <x:c r="B107" s="1"/>
      <x:c r="C107" s="8"/>
      <x:c r="D107" s="8"/>
      <x:c r="E107" s="8"/>
      <x:c r="F107" s="8"/>
      <x:c r="G107" s="8"/>
      <x:c r="H107" s="8"/>
      <x:c r="I107" s="10"/>
      <x:c r="J107" s="8"/>
      <x:c r="K107" s="8"/>
      <x:c r="L107" s="10"/>
      <x:c r="M107" s="10"/>
      <x:c r="N107" s="9" t="str">
        <x:f>IF(C107="","",IF(OR(D107=Settings!$F$9,D107="Global"),"Yes","No"))</x:f>
      </x:c>
      <x:c r="O107" s="9" t="str">
        <x:f>IF(C107="","",IF(N107="No","Outside selection",IF(R107&lt;&gt;"Valid","Review",IF(J107&lt;&gt;"Implemented","Open",IF(OR(K107="",NOT(ISNUMBER(L107)),NOT(ISNUMBER(M107)),L107&gt;Settings!$F$8,M107&lt;L107),"Evidence required",IF(M107&lt;Settings!$F$8,"Expired","Verified"))))))</x:f>
      </x:c>
      <x:c r="P107" s="9" t="str">
        <x:f>IF(C107="","",IF(AND(N107="Yes",O107&lt;&gt;"Verified",ISNUMBER(I107),I107&lt;Settings!$F$8),"Overdue","Current"))</x:f>
      </x:c>
      <x:c r="Q107" s="9" t="str">
        <x:f>IF(C107="","",IF(P107="Overdue",Settings!$F$8-I107,0))</x:f>
      </x:c>
      <x:c r="R107" s="3" t="str">
        <x:f>IF(C107="","",IF(COUNTIF($C$9:$C$108,C107)&lt;&gt;1,"Duplicate ID",IF(OR(D107="",E107="",F107="",G107="",H107="",G107=H107,NOT(ISNUMBER(I107)),S107="",T107=""),"Incomplete","Valid")))</x:f>
      </x:c>
      <x:c r="S107" s="8"/>
      <x:c r="T107" s="8"/>
      <x:c r="U107" s="17" t="str">
        <x:f>IF(C107="","",IF(O107="Verified",1,0))</x:f>
      </x:c>
    </x:row>
    <x:row r="108" ht="48" customHeight="1">
      <x:c r="A108" s="1"/>
      <x:c r="B108" s="1"/>
      <x:c r="C108" s="8"/>
      <x:c r="D108" s="8"/>
      <x:c r="E108" s="8"/>
      <x:c r="F108" s="8"/>
      <x:c r="G108" s="8"/>
      <x:c r="H108" s="8"/>
      <x:c r="I108" s="10"/>
      <x:c r="J108" s="8"/>
      <x:c r="K108" s="8"/>
      <x:c r="L108" s="10"/>
      <x:c r="M108" s="10"/>
      <x:c r="N108" s="9" t="str">
        <x:f>IF(C108="","",IF(OR(D108=Settings!$F$9,D108="Global"),"Yes","No"))</x:f>
      </x:c>
      <x:c r="O108" s="9" t="str">
        <x:f>IF(C108="","",IF(N108="No","Outside selection",IF(R108&lt;&gt;"Valid","Review",IF(J108&lt;&gt;"Implemented","Open",IF(OR(K108="",NOT(ISNUMBER(L108)),NOT(ISNUMBER(M108)),L108&gt;Settings!$F$8,M108&lt;L108),"Evidence required",IF(M108&lt;Settings!$F$8,"Expired","Verified"))))))</x:f>
      </x:c>
      <x:c r="P108" s="9" t="str">
        <x:f>IF(C108="","",IF(AND(N108="Yes",O108&lt;&gt;"Verified",ISNUMBER(I108),I108&lt;Settings!$F$8),"Overdue","Current"))</x:f>
      </x:c>
      <x:c r="Q108" s="9" t="str">
        <x:f>IF(C108="","",IF(P108="Overdue",Settings!$F$8-I108,0))</x:f>
      </x:c>
      <x:c r="R108" s="3" t="str">
        <x:f>IF(C108="","",IF(COUNTIF($C$9:$C$108,C108)&lt;&gt;1,"Duplicate ID",IF(OR(D108="",E108="",F108="",G108="",H108="",G108=H108,NOT(ISNUMBER(I108)),S108="",T108=""),"Incomplete","Valid")))</x:f>
      </x:c>
      <x:c r="S108" s="8"/>
      <x:c r="T108" s="8"/>
      <x:c r="U108" s="17" t="str">
        <x:f>IF(C108="","",IF(O108="Verified",1,0))</x:f>
      </x:c>
    </x:row>
  </x:sheetData>
  <x:mergeCells>
    <x:mergeCell ref="C2:H2"/>
    <x:mergeCell ref="C3:M3"/>
    <x:mergeCell ref="C1:D1"/>
    <x:mergeCell ref="E1:F1"/>
    <x:mergeCell ref="G1:H1"/>
    <x:mergeCell ref="I1:J1"/>
    <x:mergeCell ref="K1:L1"/>
    <x:mergeCell ref="M1:N1"/>
  </x:mergeCells>
  <x:conditionalFormatting sqref="N9:P108">
    <x:cfRule type="containsText" dxfId="256" priority="1" operator="containsText" text="Missing"/>
    <x:cfRule type="containsText" dxfId="257" priority="2" operator="containsText" text="Required"/>
    <x:cfRule type="containsText" dxfId="258" priority="3" operator="containsText" text="required"/>
    <x:cfRule type="containsText" dxfId="259" priority="4" operator="containsText" text="Expired"/>
    <x:cfRule type="containsText" dxfId="260" priority="5" operator="containsText" text="Hold"/>
    <x:cfRule type="containsText" dxfId="261" priority="6" operator="containsText" text="Review"/>
    <x:cfRule type="containsText" dxfId="262" priority="7" operator="containsText" text="Incomplete"/>
    <x:cfRule type="containsText" dxfId="263" priority="8" operator="containsText" text="Pending"/>
    <x:cfRule type="containsText" dxfId="264" priority="9" operator="containsText" text="Unsupported"/>
    <x:cfRule type="containsText" dxfId="265" priority="10" operator="containsText" text="Criteria"/>
    <x:cfRule type="containsText" dxfId="266" priority="11" operator="containsText" text="Fail"/>
    <x:cfRule type="containsText" dxfId="267" priority="12" operator="containsText" text="Stop"/>
    <x:cfRule type="containsText" dxfId="268" priority="13" operator="containsText" text="Breach"/>
    <x:cfRule type="containsText" dxfId="269" priority="14" operator="containsText" text="Invalid"/>
    <x:cfRule type="containsText" dxfId="270" priority="15" operator="containsText" text="Duplicate"/>
    <x:cfRule type="containsText" dxfId="271" priority="16" operator="containsText" text="Not aligned"/>
  </x:conditionalFormatting>
  <x:dataValidations count="2">
    <x:dataValidation type="list" sqref="D9:D108">
      <x:formula1>"Egypt,Jordan,UAE,Global"</x:formula1>
    </x:dataValidation>
    <x:dataValidation type="list" sqref="J9:J108">
      <x:formula1>"Planned,In progress,Implemented"</x:formula1>
    </x:dataValidation>
  </x:dataValidations>
  <x:hyperlinks>
    <x:hyperlink ref="C1" location="'Overview'!C2" display="Home" tooltip="Open Overview"/>
    <x:hyperlink ref="E1" location="'Customer'!C2" display="Customer" tooltip="Open Customer"/>
    <x:hyperlink ref="G1" location="'Capital'!C2" display="Capital" tooltip="Open Capital"/>
    <x:hyperlink ref="I1" location="'Disclosures'!C2" display="Reporting" tooltip="Open Disclosures"/>
    <x:hyperlink ref="K1" location="'Borrowers'!C8" display="Inputs" tooltip="Open Borrowers"/>
    <x:hyperlink ref="M1" location="'Settings'!C5" display="Settings" tooltip="Open Settings"/>
  </x:hyperlinks>
  <x:pageMargins left="0.7" right="0.7" top="0.75" bottom="0.75" header="0.3" footer="0.3"/>
  <x:tableParts count="1">
    <x:tablePart xmlns:r="http://schemas.openxmlformats.org/officeDocument/2006/relationships" r:id="R391b4d0823c84384"/>
  </x:tableParts>
</x:worksheet>
</file>

<file path=xl/worksheets/sheet16.xml><?xml version="1.0" encoding="utf-8"?>
<x:worksheet xmlns:x="http://schemas.openxmlformats.org/spreadsheetml/2006/main">
  <x:sheetPr>
    <x:tabColor rgb="FF007F86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2.4000000953674316" hidden="0" customWidth="1"/>
    <x:col min="2" max="2" width="2.4000000953674316" hidden="0" customWidth="1"/>
    <x:col min="3" max="3" width="18" hidden="0" customWidth="1"/>
    <x:col min="4" max="4" width="18" hidden="0" customWidth="1"/>
    <x:col min="5" max="5" width="34" hidden="0" customWidth="1"/>
    <x:col min="6" max="6" width="34" hidden="0" customWidth="1"/>
    <x:col min="7" max="7" width="34" hidden="0" customWidth="1"/>
    <x:col min="8" max="8" width="34" hidden="0" customWidth="1"/>
    <x:col min="9" max="9" width="34" hidden="0" customWidth="1"/>
    <x:col min="10" max="10" width="34" hidden="0" customWidth="1"/>
    <x:col min="11" max="11" width="34" hidden="0" customWidth="1"/>
    <x:col min="12" max="12" width="34" hidden="0" customWidth="1"/>
    <x:col min="13" max="13" width="34" hidden="0" customWidth="1"/>
  </x:cols>
  <x:sheetData>
    <x:row r="1" ht="27" customHeight="1">
      <x:c r="A1" s="1"/>
      <x:c r="B1" s="1"/>
      <x:c r="C1" s="50" t="str">
        <x:v>Home</x:v>
      </x:c>
      <x:c r="D1" s="50"/>
      <x:c r="E1" s="63" t="str">
        <x:v>Customer</x:v>
      </x:c>
      <x:c r="F1" s="63"/>
      <x:c r="G1" s="63" t="str">
        <x:v>Capital</x:v>
      </x:c>
      <x:c r="H1" s="63"/>
      <x:c r="I1" s="63" t="str">
        <x:v>Reporting</x:v>
      </x:c>
      <x:c r="J1" s="63"/>
      <x:c r="K1" s="63" t="str">
        <x:v>Inputs</x:v>
      </x:c>
      <x:c r="L1" s="63"/>
      <x:c r="M1" s="63" t="str">
        <x:v>Settings</x:v>
      </x:c>
      <x:c r="N1" s="125"/>
    </x:row>
    <x:row r="2" ht="45" customHeight="1">
      <x:c r="A2" s="1"/>
      <x:c r="B2" s="1"/>
      <x:c r="C2" s="5" t="str">
        <x:v>Country requirements</x:v>
      </x:c>
      <x:c r="D2" s="5"/>
      <x:c r="E2" s="5"/>
      <x:c r="F2" s="5"/>
      <x:c r="G2" s="5"/>
      <x:c r="H2" s="5"/>
      <x:c r="I2" s="5"/>
      <x:c r="J2" s="5"/>
      <x:c r="K2" s="5"/>
      <x:c r="L2" s="5"/>
      <x:c r="M2" s="5"/>
    </x:row>
    <x:row r="3" ht="32" customHeight="1">
      <x:c r="A3" s="1"/>
      <x:c r="B3" s="1"/>
      <x:c r="C3" s="6" t="str">
        <x:v>Version, authority and scope determine applicability. Filter the Selected column for the current bank profile.</x:v>
      </x:c>
      <x:c r="D3" s="6"/>
      <x:c r="E3" s="6"/>
      <x:c r="F3" s="6"/>
      <x:c r="G3" s="6"/>
      <x:c r="H3" s="6"/>
      <x:c r="I3" s="6"/>
      <x:c r="J3" s="6"/>
      <x:c r="K3" s="6"/>
      <x:c r="L3" s="6"/>
      <x:c r="M3" s="6"/>
    </x:row>
    <x:row r="4" ht="26" customHeight="1">
      <x:c r="A4" s="1"/>
      <x:c r="B4" s="1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</x:row>
    <x:row r="5" ht="26" customHeight="1">
      <x:c r="A5" s="1"/>
      <x:c r="B5" s="1"/>
      <x:c r="C5" s="3" t="str">
        <x:v>Bank profile</x:v>
      </x:c>
      <x:c r="D5" s="3"/>
      <x:c r="E5" s="9" t="str">
        <x:f>Settings!F9</x:f>
        <x:v>Egypt</x:v>
      </x:c>
      <x:c r="F5" s="3"/>
      <x:c r="G5" s="3"/>
      <x:c r="H5" s="3"/>
      <x:c r="I5" s="3"/>
      <x:c r="J5" s="3"/>
      <x:c r="K5" s="3"/>
      <x:c r="L5" s="3"/>
      <x:c r="M5" s="3"/>
    </x:row>
    <x:row r="6" ht="26" customHeight="1">
      <x:c r="A6" s="1"/>
      <x:c r="B6" s="1"/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</x:row>
    <x:row r="7" ht="26" customHeight="1">
      <x:c r="A7" s="1"/>
      <x:c r="B7" s="1"/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</x:row>
    <x:row r="8" ht="46" customHeight="1">
      <x:c r="A8" s="1"/>
      <x:c r="B8" s="1"/>
      <x:c r="C8" s="15" t="str">
        <x:v>Country</x:v>
      </x:c>
      <x:c r="D8" s="15" t="str">
        <x:v>Rule ID</x:v>
      </x:c>
      <x:c r="E8" s="15" t="str">
        <x:v>Requirement</x:v>
      </x:c>
      <x:c r="F8" s="15" t="str">
        <x:v>Version</x:v>
      </x:c>
      <x:c r="G8" s="15" t="str">
        <x:v>Authority</x:v>
      </x:c>
      <x:c r="H8" s="15" t="str">
        <x:v>Scope</x:v>
      </x:c>
      <x:c r="I8" s="15" t="str">
        <x:v>Timing</x:v>
      </x:c>
      <x:c r="J8" s="15" t="str">
        <x:v>Selected</x:v>
      </x:c>
      <x:c r="K8" s="15" t="str">
        <x:v>Verification</x:v>
      </x:c>
      <x:c r="L8" s="15" t="str">
        <x:v>Source URL</x:v>
      </x:c>
      <x:c r="M8" s="15" t="str">
        <x:v>Accounting / taxonomy boundary</x:v>
      </x:c>
    </x:row>
    <x:row r="9" ht="140" customHeight="1">
      <x:c r="A9" s="1"/>
      <x:c r="B9" s="1"/>
      <x:c r="C9" s="3" t="str">
        <x:v>Egypt</x:v>
      </x:c>
      <x:c r="D9" s="3" t="str">
        <x:v>EG-SF-2022</x:v>
      </x:c>
      <x:c r="E9" s="3" t="str">
        <x:v>Binding Sustainable Finance Regulations</x:v>
      </x:c>
      <x:c r="F9" s="3" t="str">
        <x:v>3 November 2022; builds on 18 July 2021 guiding principles</x:v>
      </x:c>
      <x:c r="G9" s="3" t="str">
        <x:v>Binding CBE banking requirements</x:v>
      </x:c>
      <x:c r="H9" s="3" t="str">
        <x:v>Banks within CBE scope</x:v>
      </x:c>
      <x:c r="I9" s="3" t="str">
        <x:v>Historical implementation dates: department by 1 April 2023, policies by 1 October 2023, environmental expert measure from July 2023.</x:v>
      </x:c>
      <x:c r="J9" s="9" t="str">
        <x:f>IF(OR(C9=Settings!$F$9,C9="Global"),"Applies / assess","Outside selection")</x:f>
        <x:v>Applies / assess</x:v>
      </x:c>
      <x:c r="K9" s="3" t="str">
        <x:v>Official CBE framework page and 3 November 2022 announcement verified.</x:v>
      </x:c>
      <x:c r="L9" s="3" t="str">
        <x:v>https://www.cbe.org.eg/en/sustainability/principles-and-regulatory-framework</x:v>
      </x:c>
      <x:c r="M9" s="3" t="str">
        <x:v>IFRS 9-based ECL methodology; applicable CBE banking accounting policy to be confirmed.</x:v>
      </x:c>
    </x:row>
    <x:row r="10" ht="140" customHeight="1">
      <x:c r="A10" s="1"/>
      <x:c r="B10" s="1"/>
      <x:c r="C10" s="3" t="str">
        <x:v>Egypt</x:v>
      </x:c>
      <x:c r="D10" s="3" t="str">
        <x:v>EG-REPORT-2022</x:v>
      </x:c>
      <x:c r="E10" s="3" t="str">
        <x:v>Sustainable finance periodic reports</x:v>
      </x:c>
      <x:c r="F10" s="3" t="str">
        <x:v>2022 binding framework</x:v>
      </x:c>
      <x:c r="G10" s="3" t="str">
        <x:v>Binding CBE reporting requirements</x:v>
      </x:c>
      <x:c r="H10" s="3" t="str">
        <x:v>CBE banking reporting scope; foreign branch board-equivalent approval where applicable</x:v>
      </x:c>
      <x:c r="I10" s="3" t="str">
        <x:v>Status report 31 January/31 July from July 2023; quantitative reporting quarterly from July 2023; annual sustainability report 31 March from 2024.</x:v>
      </x:c>
      <x:c r="J10" s="9" t="str">
        <x:f>IF(OR(C10=Settings!$F$9,C10="Global"),"Applies / assess","Outside selection")</x:f>
        <x:v>Applies / assess</x:v>
      </x:c>
      <x:c r="K10" s="3" t="str">
        <x:v>Official CBE summary verified; obtain applicable current templates and reporting instructions before submission.</x:v>
      </x:c>
      <x:c r="L10" s="3" t="str">
        <x:v>https://www.cbe.org.eg/en/sustainability/principles-and-regulatory-framework</x:v>
      </x:c>
      <x:c r="M10" s="3" t="str">
        <x:v>IFRS 9-based ECL methodology; applicable CBE banking accounting policy to be confirmed.</x:v>
      </x:c>
    </x:row>
    <x:row r="11" ht="140" customHeight="1">
      <x:c r="A11" s="1"/>
      <x:c r="B11" s="1"/>
      <x:c r="C11" s="3" t="str">
        <x:v>Egypt</x:v>
      </x:c>
      <x:c r="D11" s="3" t="str">
        <x:v>EG-ESRMS-2026</x:v>
      </x:c>
      <x:c r="E11" s="3" t="str">
        <x:v>Implementation of ESRMS within sustainable finance policy</x:v>
      </x:c>
      <x:c r="F11" s="3" t="str">
        <x:v>Circular dated 30 June 2026</x:v>
      </x:c>
      <x:c r="G11" s="3" t="str">
        <x:v>Circular existence verified; detailed requirements from supplied English translation</x:v>
      </x:c>
      <x:c r="H11" s="3" t="str">
        <x:v>Banks addressed by the CBE circular; confirm official Arabic text and entity scope</x:v>
      </x:c>
      <x:c r="I11" s="3" t="str">
        <x:v>January 2028 implementation deadline appears in supplied translation; not independently authenticated against official Arabic.</x:v>
      </x:c>
      <x:c r="J11" s="9" t="str">
        <x:f>IF(OR(C11=Settings!$F$9,C11="Global"),"Applies / assess","Outside selection")</x:f>
        <x:v>Applies / assess</x:v>
      </x:c>
      <x:c r="K11" s="3" t="str">
        <x:v>Official index confirms date/title. Full official attachment was not retrievable in this review; retain translation qualification.</x:v>
      </x:c>
      <x:c r="L11" s="3" t="str">
        <x:v>https://www.cbe.org.eg/en/laws-regulations/regulations/circulars</x:v>
      </x:c>
      <x:c r="M11" s="3" t="str">
        <x:v>IFRS 9-based ECL methodology; applicable CBE banking accounting policy to be confirmed.</x:v>
      </x:c>
    </x:row>
    <x:row r="12" ht="140" customHeight="1">
      <x:c r="A12" s="1"/>
      <x:c r="B12" s="1"/>
      <x:c r="C12" s="3" t="str">
        <x:v>Egypt</x:v>
      </x:c>
      <x:c r="D12" s="3" t="str">
        <x:v>EG-CBAM-2025</x:v>
      </x:c>
      <x:c r="E12" s="3" t="str">
        <x:v>Reporting on exporting clients subject to CBAM</x:v>
      </x:c>
      <x:c r="F12" s="3" t="str">
        <x:v>Directive dated 15 June 2025</x:v>
      </x:c>
      <x:c r="G12" s="3" t="str">
        <x:v>Binding CBE reporting directive</x:v>
      </x:c>
      <x:c r="H12" s="3" t="str">
        <x:v>Relevant bank exporting clients; not every borrower or every emissions scope</x:v>
      </x:c>
      <x:c r="I12" s="3" t="str">
        <x:v>Official CBE framework states implementation from the second half of 2026.</x:v>
      </x:c>
      <x:c r="J12" s="9" t="str">
        <x:f>IF(OR(C12=Settings!$F$9,C12="Global"),"Applies / assess","Outside selection")</x:f>
        <x:v>Applies / assess</x:v>
      </x:c>
      <x:c r="K12" s="3" t="str">
        <x:v>Official CBE summary verified; detailed return fields and product coverage require the circular.</x:v>
      </x:c>
      <x:c r="L12" s="3" t="str">
        <x:v>https://www.cbe.org.eg/en/sustainability/principles-and-regulatory-framework</x:v>
      </x:c>
      <x:c r="M12" s="3" t="str">
        <x:v>IFRS 9-based ECL methodology; applicable CBE banking accounting policy to be confirmed.</x:v>
      </x:c>
    </x:row>
    <x:row r="13" ht="140" customHeight="1">
      <x:c r="A13" s="1"/>
      <x:c r="B13" s="1"/>
      <x:c r="C13" s="3" t="str">
        <x:v>Egypt</x:v>
      </x:c>
      <x:c r="D13" s="3" t="str">
        <x:v>EG-ACCOUNTING</x:v>
      </x:c>
      <x:c r="E13" s="3" t="str">
        <x:v>Egypt accounting basis boundary</x:v>
      </x:c>
      <x:c r="F13" s="3" t="str">
        <x:v>IFRS Foundation jurisdiction profile updated 31 January 2024</x:v>
      </x:c>
      <x:c r="G13" s="3" t="str">
        <x:v>Official standard-setter jurisdiction profile, not a current CBE rulebook</x:v>
      </x:c>
      <x:c r="H13" s="3" t="str">
        <x:v>Egyptian accounting basis; bank-specific policies require CBE rules</x:v>
      </x:c>
      <x:c r="I13" s="3" t="str">
        <x:v>Profile identifies banking framework issued in 2008 and amended in 2019; check subsequent CBE amendments.</x:v>
      </x:c>
      <x:c r="J13" s="9" t="str">
        <x:f>IF(OR(C13=Settings!$F$9,C13="Global"),"Applies / assess","Outside selection")</x:f>
        <x:v>Applies / assess</x:v>
      </x:c>
      <x:c r="K13" s="3" t="str">
        <x:v>Official profile verified with its explicit last-update date.</x:v>
      </x:c>
      <x:c r="L13" s="3" t="str">
        <x:v>https://www.ifrs.org/use-around-the-world/use-of-ifrs-standards-by-jurisdiction/view-jurisdiction/egypt/</x:v>
      </x:c>
      <x:c r="M13" s="3" t="str">
        <x:v>IFRS 9-based ECL methodology; applicable CBE banking accounting policy to be confirmed.</x:v>
      </x:c>
    </x:row>
    <x:row r="14" ht="140" customHeight="1">
      <x:c r="A14" s="1"/>
      <x:c r="B14" s="1"/>
      <x:c r="C14" s="3" t="str">
        <x:v>Jordan</x:v>
      </x:c>
      <x:c r="D14" s="3" t="str">
        <x:v>JO-CRM-2025</x:v>
      </x:c>
      <x:c r="E14" s="3" t="str">
        <x:v>Climate Risk Management Regulations No.2/2025</x:v>
      </x:c>
      <x:c r="F14" s="3" t="str">
        <x:v>18 February 2025</x:v>
      </x:c>
      <x:c r="G14" s="3" t="str">
        <x:v>CBJ prudential regulations</x:v>
      </x:c>
      <x:c r="H14" s="3" t="str">
        <x:v>Banks operating in Jordan; proportionality and specified D-SIB distinctions</x:v>
      </x:c>
      <x:c r="I14" s="3" t="str">
        <x:v>Use the regulation's applicable implementation provisions; no model-generated universal capital surcharge.</x:v>
      </x:c>
      <x:c r="J14" s="9" t="str">
        <x:f>IF(OR(C14=Settings!$F$9,C14="Global"),"Applies / assess","Outside selection")</x:f>
        <x:v>Outside selection</x:v>
      </x:c>
      <x:c r="K14" s="3" t="str">
        <x:v>Official PDF verified; signed Arabic and English supplied versions previously reviewed.</x:v>
      </x:c>
      <x:c r="L14" s="3" t="str">
        <x:v>https://www.cbj.gov.jo/ebv4.0/root_storage/en/eb_list_page/climate_risk_management_instructions_no_2-2025_final.pdf</x:v>
      </x:c>
      <x:c r="M14" s="3" t="str">
        <x:v>IFRS 9-based ECL subject to applicable CBJ accounting and impairment instructions.</x:v>
      </x:c>
    </x:row>
    <x:row r="15" ht="140" customHeight="1">
      <x:c r="A15" s="1"/>
      <x:c r="B15" s="1"/>
      <x:c r="C15" s="3" t="str">
        <x:v>Jordan</x:v>
      </x:c>
      <x:c r="D15" s="3" t="str">
        <x:v>JO-REPORT-2026</x:v>
      </x:c>
      <x:c r="E15" s="3" t="str">
        <x:v>Climate Risk Disclosure and Reporting Regulations No.1/2026</x:v>
      </x:c>
      <x:c r="F15" s="3" t="str">
        <x:v>2026, including public and supervisory annexes</x:v>
      </x:c>
      <x:c r="G15" s="3" t="str">
        <x:v>CBJ reporting regulations</x:v>
      </x:c>
      <x:c r="H15" s="3" t="str">
        <x:v>Public boundary follows financial statement consolidation; supervisory return concerns Jordan branches. Specified D-SIB/ASE20 exceptions apply to particular information.</x:v>
      </x:c>
      <x:c r="I15" s="3" t="str">
        <x:v>Public: end-2026 data voluntary, end-2027 mandatory without displacing ASE. Annual supervisory: end-2026, within three months. Green: June 2026 onward, within two months.</x:v>
      </x:c>
      <x:c r="J15" s="9" t="str">
        <x:f>IF(OR(C15=Settings!$F$9,C15="Global"),"Applies / assess","Outside selection")</x:f>
        <x:v>Outside selection</x:v>
      </x:c>
      <x:c r="K15" s="3" t="str">
        <x:v>Current official index verified; detailed provisions previously reviewed in supplied regulatory text.</x:v>
      </x:c>
      <x:c r="L15" s="3" t="str">
        <x:v>https://www.cbj.gov.jo/EN/List/Instructions_</x:v>
      </x:c>
      <x:c r="M15" s="3" t="str">
        <x:v>IFRS 9-based ECL subject to applicable CBJ accounting and impairment instructions.</x:v>
      </x:c>
    </x:row>
    <x:row r="16" ht="140" customHeight="1">
      <x:c r="A16" s="1"/>
      <x:c r="B16" s="1"/>
      <x:c r="C16" s="3" t="str">
        <x:v>Jordan</x:v>
      </x:c>
      <x:c r="D16" s="3" t="str">
        <x:v>JO-ASE-DISCLOSURE</x:v>
      </x:c>
      <x:c r="E16" s="3" t="str">
        <x:v>Climate Related Disclosures Report Rules</x:v>
      </x:c>
      <x:c r="F16" s="3" t="str">
        <x:v>Operative ASE rules current at review date</x:v>
      </x:c>
      <x:c r="G16" s="3" t="str">
        <x:v>ASE rules for in-scope listed companies</x:v>
      </x:c>
      <x:c r="H16" s="3" t="str">
        <x:v>ASE20 members remain obligated after removal. New Q1 entrants: optional in joining year, mandatory next year. Q2-Q4 entrants: optional following year, mandatory year thereafter, subject to general phase-in.</x:v>
      </x:c>
      <x:c r="I16" s="3" t="str">
        <x:v>Reports published during 2026 voluntary; from 1 January 2027 mandatory for in-scope companies. Publication year differs from CBJ period-end phase-in.</x:v>
      </x:c>
      <x:c r="J16" s="9" t="str">
        <x:f>IF(OR(C16=Settings!$F$9,C16="Global"),"Applies / assess","Outside selection")</x:f>
        <x:v>Outside selection</x:v>
      </x:c>
      <x:c r="K16" s="3" t="str">
        <x:v>Official operative ASE rule page verified; it takes priority over older guidance dates.</x:v>
      </x:c>
      <x:c r="L16" s="3" t="str">
        <x:v>https://exchange.jo/en/Legislation/Rules/Climate-Related-Disclosures-Report-Rules</x:v>
      </x:c>
      <x:c r="M16" s="3" t="str">
        <x:v>IFRS 9-based ECL subject to applicable CBJ accounting and impairment instructions.</x:v>
      </x:c>
    </x:row>
    <x:row r="17" ht="140" customHeight="1">
      <x:c r="A17" s="1"/>
      <x:c r="B17" s="1"/>
      <x:c r="C17" s="3" t="str">
        <x:v>Jordan</x:v>
      </x:c>
      <x:c r="D17" s="3" t="str">
        <x:v>JO-TAXONOMY-2026</x:v>
      </x:c>
      <x:c r="E17" s="3" t="str">
        <x:v>Jordan National Green Taxonomy</x:v>
      </x:c>
      <x:c r="F17" s="3" t="str">
        <x:v>January 2026</x:v>
      </x:c>
      <x:c r="G17" s="3" t="str">
        <x:v>National activity-classification framework; apply relevant local implementation rules</x:v>
      </x:c>
      <x:c r="H17" s="3" t="str">
        <x:v>Assessed economic activity/use of proceeds under the selected taxonomy; not blanket customer eligibility for ordinary lending</x:v>
      </x:c>
      <x:c r="I17" s="3" t="str">
        <x:v>Use dated activity pathways and applicable transition sunsets; do not invent interpolation.</x:v>
      </x:c>
      <x:c r="J17" s="9" t="str">
        <x:f>IF(OR(C17=Settings!$F$9,C17="Global"),"Applies / assess","Outside selection")</x:f>
        <x:v>Outside selection</x:v>
      </x:c>
      <x:c r="K17" s="3" t="str">
        <x:v>Current official CBJ taxonomy page verified via its navigation; supplied full English/Arabic taxonomy previously reviewed.</x:v>
      </x:c>
      <x:c r="L17" s="3" t="str">
        <x:v>https://www.cbj.gov.jo/EN/Pages/Jordan_National_Green_Taxonomy</x:v>
      </x:c>
      <x:c r="M17" s="3" t="str">
        <x:v>IFRS 9-based ECL subject to applicable CBJ accounting and impairment instructions.</x:v>
      </x:c>
    </x:row>
    <x:row r="18" ht="140" customHeight="1">
      <x:c r="A18" s="1"/>
      <x:c r="B18" s="1"/>
      <x:c r="C18" s="3" t="str">
        <x:v>UAE</x:v>
      </x:c>
      <x:c r="D18" s="3" t="str">
        <x:v>AE-CRM-2025</x:v>
      </x:c>
      <x:c r="E18" s="3" t="str">
        <x:v>Climate-related Financial Risk Management Regulation C8/2025</x:v>
      </x:c>
      <x:c r="F18" s="3" t="str">
        <x:v>Official rulebook issued-on field: 14 October 2025; status In-Force</x:v>
      </x:c>
      <x:c r="G18" s="3" t="str">
        <x:v>Binding CBUAE regulation</x:v>
      </x:c>
      <x:c r="H18" s="3" t="str">
        <x:v>Banks and insurance companies; UAE-established firms with significant group relationships on solo and group-wide basis; proportionality requires supervisory acceptance.</x:v>
      </x:c>
      <x:c r="I18" s="3" t="str">
        <x:v>Article8: effective upon Official Gazette publication; firms unable to demonstrate full compliance submit a plan for CBUAE assessment. Do not infer a separate grace date.</x:v>
      </x:c>
      <x:c r="J18" s="9" t="str">
        <x:f>IF(OR(C18=Settings!$F$9,C18="Global"),"Applies / assess","Outside selection")</x:f>
        <x:v>Outside selection</x:v>
      </x:c>
      <x:c r="K18" s="3" t="str">
        <x:v>Official current rulebook title, status and provisions verified.</x:v>
      </x:c>
      <x:c r="L18" s="3" t="str">
        <x:v>https://rulebook.centralbank.ae/en/rulebook/climate-related-financial-risk-management-regulation</x:v>
      </x:c>
      <x:c r="M18" s="3" t="str">
        <x:v>IFRS 9-based ECL subject to applicable CBUAE accounting and prudential requirements.</x:v>
      </x:c>
    </x:row>
    <x:row r="19" ht="140" customHeight="1">
      <x:c r="A19" s="1"/>
      <x:c r="B19" s="1"/>
      <x:c r="C19" s="3" t="str">
        <x:v>UAE</x:v>
      </x:c>
      <x:c r="D19" s="3" t="str">
        <x:v>AE-SFWG-2023</x:v>
      </x:c>
      <x:c r="E19" s="3" t="str">
        <x:v>Principles for effective management of climate-related financial risks</x:v>
      </x:c>
      <x:c r="F19" s="3" t="str">
        <x:v>November 2023 principles</x:v>
      </x:c>
      <x:c r="G19" s="3" t="str">
        <x:v>SFWG common supervisory principles with regulator-specific implementation</x:v>
      </x:c>
      <x:c r="H19" s="3" t="str">
        <x:v>Relevant UAE financial-services regulator and legal framework; do not substitute for later binding CBUAE regulation</x:v>
      </x:c>
      <x:c r="I19" s="3" t="str">
        <x:v>Regulator-specific application; use current CBUAE C8/2025 where relevant.</x:v>
      </x:c>
      <x:c r="J19" s="9" t="str">
        <x:f>IF(OR(C19=Settings!$F$9,C19="Global"),"Applies / assess","Outside selection")</x:f>
        <x:v>Outside selection</x:v>
      </x:c>
      <x:c r="K19" s="3" t="str">
        <x:v>Official rulebook verified; supplied CBUAE_EN_5114_VER1.pdf previously reviewed.</x:v>
      </x:c>
      <x:c r="L19" s="3" t="str">
        <x:v>https://rulebook.centralbank.ae/en/entiresection/46</x:v>
      </x:c>
      <x:c r="M19" s="3" t="str">
        <x:v>IFRS 9-based ECL subject to applicable CBUAE accounting and prudential requirements.</x:v>
      </x:c>
    </x:row>
    <x:row r="20" ht="140" customHeight="1">
      <x:c r="A20" s="1"/>
      <x:c r="B20" s="1"/>
      <x:c r="C20" s="3" t="str">
        <x:v>UAE</x:v>
      </x:c>
      <x:c r="D20" s="3" t="str">
        <x:v>AE-DISCLOSURE-2024</x:v>
      </x:c>
      <x:c r="E20" s="3" t="str">
        <x:v>Principles for Sustainability-Related Disclosures</x:v>
      </x:c>
      <x:c r="F20" s="3" t="str">
        <x:v>June 2024 principles</x:v>
      </x:c>
      <x:c r="G20" s="3" t="str">
        <x:v>SFWG disclosure principles; applicable authority determines implementation</x:v>
      </x:c>
      <x:c r="H20" s="3" t="str">
        <x:v>Reporting entity and relevant financial-services regulator</x:v>
      </x:c>
      <x:c r="I20" s="3" t="str">
        <x:v>No blanket IFRS S1/S2 mandatory date or universal entity scope assigned by this model.</x:v>
      </x:c>
      <x:c r="J20" s="9" t="str">
        <x:f>IF(OR(C20=Settings!$F$9,C20="Global"),"Applies / assess","Outside selection")</x:f>
        <x:v>Outside selection</x:v>
      </x:c>
      <x:c r="K20" s="3" t="str">
        <x:v>Official rulebook and CBUAE sustainable finance page verified.</x:v>
      </x:c>
      <x:c r="L20" s="3" t="str">
        <x:v>https://rulebook.centralbank.ae/en/entiresection/46</x:v>
      </x:c>
      <x:c r="M20" s="3" t="str">
        <x:v>IFRS 9-based ECL subject to applicable CBUAE accounting and prudential requirements.</x:v>
      </x:c>
    </x:row>
    <x:row r="21" ht="140" customHeight="1">
      <x:c r="A21" s="1"/>
      <x:c r="B21" s="1"/>
      <x:c r="C21" s="3" t="str">
        <x:v>Global</x:v>
      </x:c>
      <x:c r="D21" s="3" t="str">
        <x:v>GL-BASEL-CLIMATE</x:v>
      </x:c>
      <x:c r="E21" s="3" t="str">
        <x:v>Basel climate-related financial risk principles</x:v>
      </x:c>
      <x:c r="F21" s="3" t="str">
        <x:v>2022 principles as consolidated in current RMA60</x:v>
      </x:c>
      <x:c r="G21" s="3" t="str">
        <x:v>International supervisory principles; not self-executing national law</x:v>
      </x:c>
      <x:c r="H21" s="3" t="str">
        <x:v>Proportionate bank climate-risk management; supervisor-specific implementation</x:v>
      </x:c>
      <x:c r="I21" s="3" t="str">
        <x:v>Select jurisdiction-specific adoption separately.</x:v>
      </x:c>
      <x:c r="J21" s="9" t="str">
        <x:f>IF(OR(C21=Settings!$F$9,C21="Global"),"Applies / assess","Outside selection")</x:f>
        <x:v>Applies / assess</x:v>
      </x:c>
      <x:c r="K21" s="3" t="str">
        <x:v>Official current consolidated Basel guidance verified.</x:v>
      </x:c>
      <x:c r="L21" s="3" t="str">
        <x:v>https://www.bis.org/committees/bcbs/basel-consolidated-guidelines/module/rma/60</x:v>
      </x:c>
      <x:c r="M21" s="3" t="str">
        <x:v>IFRS 9 method reference; applicable accounting basis must be selected.</x:v>
      </x:c>
    </x:row>
    <x:row r="22" ht="140" customHeight="1">
      <x:c r="A22" s="1"/>
      <x:c r="B22" s="1"/>
      <x:c r="C22" s="3" t="str">
        <x:v>Global</x:v>
      </x:c>
      <x:c r="D22" s="3" t="str">
        <x:v>GL-ISSB</x:v>
      </x:c>
      <x:c r="E22" s="3" t="str">
        <x:v>IFRS S1 and IFRS S2</x:v>
      </x:c>
      <x:c r="F22" s="3" t="str">
        <x:v>Applicable issued standards and amendments selected in source register</x:v>
      </x:c>
      <x:c r="G22" s="3" t="str">
        <x:v>ISSB disclosure standards; mandatory status depends on adoption/entity</x:v>
      </x:c>
      <x:c r="H22" s="3" t="str">
        <x:v>Sustainability-related financial information and climate disclosures</x:v>
      </x:c>
      <x:c r="I22" s="3" t="str">
        <x:v>Do not inherit a country's effective dates from the Global profile.</x:v>
      </x:c>
      <x:c r="J22" s="9" t="str">
        <x:f>IF(OR(C22=Settings!$F$9,C22="Global"),"Applies / assess","Outside selection")</x:f>
        <x:v>Applies / assess</x:v>
      </x:c>
      <x:c r="K22" s="3" t="str">
        <x:v>Method reference; local applicability is separately assessed.</x:v>
      </x:c>
      <x:c r="L22" s="3" t="str">
        <x:v>https://www.ifrs.org/issued-standards/ifrs-sustainability-standards-navigator/</x:v>
      </x:c>
      <x:c r="M22" s="3" t="str">
        <x:v>IFRS 9 method reference; applicable accounting basis must be selected.</x:v>
      </x:c>
    </x:row>
    <x:row r="23" ht="140" customHeight="1">
      <x:c r="A23" s="1"/>
      <x:c r="B23" s="1"/>
      <x:c r="C23" s="3" t="str">
        <x:v>Global</x:v>
      </x:c>
      <x:c r="D23" s="3" t="str">
        <x:v>GL-GHG-PCAF</x:v>
      </x:c>
      <x:c r="E23" s="3" t="str">
        <x:v>GHG Protocol and PCAF financed emissions</x:v>
      </x:c>
      <x:c r="F23" s="3" t="str">
        <x:v>Selected GHG Protocol standard; PCAF PartA third edition2025</x:v>
      </x:c>
      <x:c r="G23" s="3" t="str">
        <x:v>Emissions-accounting methodologies; not capital or lending-approval rules</x:v>
      </x:c>
      <x:c r="H23" s="3" t="str">
        <x:v>Specified bank operations and asset-class portfolio boundary</x:v>
      </x:c>
      <x:c r="I23" s="3" t="str">
        <x:v>Method version and reporting period required.</x:v>
      </x:c>
      <x:c r="J23" s="9" t="str">
        <x:f>IF(OR(C23=Settings!$F$9,C23="Global"),"Applies / assess","Outside selection")</x:f>
        <x:v>Applies / assess</x:v>
      </x:c>
      <x:c r="K23" s="3" t="str">
        <x:v>Method references already verified in source review; not local certification.</x:v>
      </x:c>
      <x:c r="L23" s="3" t="str">
        <x:v>https://ghgprotocol.org/standards-guidance</x:v>
      </x:c>
      <x:c r="M23" s="3" t="str">
        <x:v>IFRS 9 method reference; applicable accounting basis must be selected.</x:v>
      </x:c>
    </x:row>
    <x:row r="24" ht="26" customHeight="1">
      <x:c r="A24" s="1"/>
      <x:c r="B24" s="1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</x:row>
    <x:row r="25" ht="26" customHeight="1">
      <x:c r="A25" s="1"/>
      <x:c r="B25" s="1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</x:row>
    <x:row r="26" ht="26" customHeight="1">
      <x:c r="A26" s="1"/>
      <x:c r="B26" s="1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</x:row>
    <x:row r="27" ht="26" customHeight="1">
      <x:c r="A27" s="1"/>
      <x:c r="B27" s="1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</x:row>
    <x:row r="28" ht="26" customHeight="1">
      <x:c r="A28" s="1"/>
      <x:c r="B28" s="1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</x:row>
    <x:row r="29" ht="26" customHeight="1">
      <x:c r="A29" s="1"/>
      <x:c r="B29" s="1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</x:row>
    <x:row r="30" ht="26" customHeight="1">
      <x:c r="A30" s="1"/>
      <x:c r="B30" s="1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</x:row>
    <x:row r="31" ht="26" customHeight="1">
      <x:c r="A31" s="1"/>
      <x:c r="B31" s="1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</x:row>
    <x:row r="32" ht="26" customHeight="1">
      <x:c r="A32" s="1"/>
      <x:c r="B32" s="1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</x:row>
    <x:row r="33" ht="26" customHeight="1">
      <x:c r="A33" s="1"/>
      <x:c r="B33" s="1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</x:row>
    <x:row r="34" ht="26" customHeight="1">
      <x:c r="A34" s="1"/>
      <x:c r="B34" s="1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</x:row>
    <x:row r="35" ht="26" customHeight="1">
      <x:c r="A35" s="1"/>
      <x:c r="B35" s="1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</x:row>
  </x:sheetData>
  <x:mergeCells>
    <x:mergeCell ref="C2:H2"/>
    <x:mergeCell ref="C3:M3"/>
    <x:mergeCell ref="C1:D1"/>
    <x:mergeCell ref="E1:F1"/>
    <x:mergeCell ref="G1:H1"/>
    <x:mergeCell ref="I1:J1"/>
    <x:mergeCell ref="K1:L1"/>
    <x:mergeCell ref="M1:N1"/>
  </x:mergeCells>
  <x:hyperlinks>
    <x:hyperlink ref="C1" location="'Overview'!C2" display="Home" tooltip="Open Overview"/>
    <x:hyperlink ref="E1" location="'Customer'!C2" display="Customer" tooltip="Open Customer"/>
    <x:hyperlink ref="G1" location="'Capital'!C2" display="Capital" tooltip="Open Capital"/>
    <x:hyperlink ref="I1" location="'Disclosures'!C2" display="Reporting" tooltip="Open Disclosures"/>
    <x:hyperlink ref="K1" location="'Borrowers'!C8" display="Inputs" tooltip="Open Borrowers"/>
    <x:hyperlink ref="M1" location="'Settings'!C5" display="Settings" tooltip="Open Settings"/>
  </x:hyperlinks>
  <x:pageMargins left="0.7" right="0.7" top="0.75" bottom="0.75" header="0.3" footer="0.3"/>
  <x:tableParts count="1">
    <x:tablePart xmlns:r="http://schemas.openxmlformats.org/officeDocument/2006/relationships" r:id="Rb9bc3dcb2ee24bdd"/>
  </x:tableParts>
</x:worksheet>
</file>

<file path=xl/worksheets/sheet17.xml><?xml version="1.0" encoding="utf-8"?>
<x:worksheet xmlns:x="http://schemas.openxmlformats.org/spreadsheetml/2006/main">
  <x:sheetPr>
    <x:tabColor rgb="FF007F86"/>
  </x:sheetPr>
  <x:sheetViews>
    <x:sheetView showGridLines="0" workbookViewId="0">
      <x:pane xSplit="4" ySplit="8" topLeftCell="E9" activePane="bottomRight" state="frozen"/>
    </x:sheetView>
  </x:sheetViews>
  <x:sheetFormatPr defaultRowHeight="15"/>
  <x:cols>
    <x:col min="1" max="1" width="2.4000000953674316" hidden="0" customWidth="1"/>
    <x:col min="2" max="2" width="2.4000000953674316" hidden="0" customWidth="1"/>
    <x:col min="3" max="3" width="17" hidden="0" customWidth="1"/>
    <x:col min="4" max="4" width="17" hidden="0" customWidth="1"/>
    <x:col min="5" max="5" width="38" hidden="0" customWidth="1"/>
    <x:col min="6" max="6" width="24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  <x:col min="29" max="29" width="17" hidden="0" customWidth="1"/>
    <x:col min="30" max="30" width="17" hidden="0" customWidth="1"/>
    <x:col min="31" max="31" width="17" hidden="0" customWidth="1"/>
    <x:col min="32" max="32" width="17" hidden="0" customWidth="1"/>
    <x:col min="33" max="33" width="17" hidden="0" customWidth="1"/>
    <x:col min="34" max="34" width="17" hidden="0" customWidth="1"/>
    <x:col min="35" max="35" width="17" hidden="0" customWidth="1"/>
    <x:col min="36" max="36" width="17" hidden="0" customWidth="1"/>
    <x:col min="37" max="37" width="17" hidden="0" customWidth="1"/>
    <x:col min="38" max="38" width="17" hidden="0" customWidth="1"/>
    <x:col min="39" max="39" width="17" hidden="0" customWidth="1"/>
    <x:col min="40" max="40" width="17" hidden="0" customWidth="1"/>
    <x:col min="41" max="41" width="17" hidden="0" customWidth="1"/>
    <x:col min="42" max="42" width="17" hidden="0" customWidth="1"/>
    <x:col min="43" max="43" width="17" hidden="0" customWidth="1"/>
    <x:col min="44" max="44" width="17" hidden="0" customWidth="1"/>
  </x:cols>
  <x:sheetData>
    <x:row r="1" ht="27" customHeight="1">
      <x:c r="A1" s="1"/>
      <x:c r="B1" s="1"/>
      <x:c r="C1" s="50" t="str">
        <x:v>Home</x:v>
      </x:c>
      <x:c r="D1" s="50"/>
      <x:c r="E1" s="63" t="str">
        <x:v>Customer</x:v>
      </x:c>
      <x:c r="F1" s="63"/>
      <x:c r="G1" s="63" t="str">
        <x:v>Capital</x:v>
      </x:c>
      <x:c r="H1" s="63"/>
      <x:c r="I1" s="63" t="str">
        <x:v>Reporting</x:v>
      </x:c>
      <x:c r="J1" s="63"/>
      <x:c r="K1" s="63" t="str">
        <x:v>Inputs</x:v>
      </x:c>
      <x:c r="L1" s="63"/>
      <x:c r="M1" s="63" t="str">
        <x:v>Settings</x:v>
      </x:c>
      <x:c r="N1" s="6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  <x:c r="AK1" s="3"/>
      <x:c r="AL1" s="3"/>
      <x:c r="AM1" s="3"/>
      <x:c r="AN1" s="3"/>
      <x:c r="AO1" s="3"/>
      <x:c r="AP1" s="3"/>
      <x:c r="AQ1" s="3"/>
      <x:c r="AR1" s="3"/>
    </x:row>
    <x:row r="2" ht="45" customHeight="1">
      <x:c r="A2" s="1"/>
      <x:c r="B2" s="1"/>
      <x:c r="C2" s="5" t="str">
        <x:v>Emissions entity inventory</x:v>
      </x:c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  <x:c r="Y2" s="5"/>
      <x:c r="Z2" s="5"/>
      <x:c r="AA2" s="5"/>
      <x:c r="AB2" s="5"/>
      <x:c r="AC2" s="5"/>
      <x:c r="AD2" s="5"/>
      <x:c r="AE2" s="5"/>
      <x:c r="AF2" s="5"/>
      <x:c r="AG2" s="5"/>
      <x:c r="AH2" s="5"/>
      <x:c r="AI2" s="5"/>
      <x:c r="AJ2" s="5"/>
      <x:c r="AK2" s="5"/>
      <x:c r="AL2" s="5"/>
      <x:c r="AM2" s="5"/>
      <x:c r="AN2" s="5"/>
      <x:c r="AO2" s="5"/>
      <x:c r="AP2" s="5"/>
      <x:c r="AQ2" s="5"/>
      <x:c r="AR2" s="5"/>
    </x:row>
    <x:row r="3" ht="32" customHeight="1">
      <x:c r="A3" s="1"/>
      <x:c r="B3" s="1"/>
      <x:c r="C3" s="6" t="str">
        <x:v>One boundary per corporate, project, property or fleet entity. Reported and activity methods are alternatives. All emissions are gross tCO2e.</x:v>
      </x:c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  <x:c r="AA3" s="3"/>
      <x:c r="AB3" s="3"/>
      <x:c r="AC3" s="3"/>
      <x:c r="AD3" s="3"/>
      <x:c r="AE3" s="3"/>
      <x:c r="AF3" s="3"/>
      <x:c r="AG3" s="3"/>
      <x:c r="AH3" s="3"/>
      <x:c r="AI3" s="3"/>
      <x:c r="AJ3" s="3"/>
      <x:c r="AK3" s="3"/>
      <x:c r="AL3" s="3"/>
      <x:c r="AM3" s="3"/>
      <x:c r="AN3" s="3"/>
      <x:c r="AO3" s="3"/>
      <x:c r="AP3" s="3"/>
      <x:c r="AQ3" s="3"/>
      <x:c r="AR3" s="3"/>
    </x:row>
    <x:row r="4" ht="26" customHeight="1">
      <x:c r="A4" s="1"/>
      <x:c r="B4" s="1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  <x:c r="Y4" s="3"/>
      <x:c r="Z4" s="3"/>
      <x:c r="AA4" s="3"/>
      <x:c r="AB4" s="3"/>
      <x:c r="AC4" s="3"/>
      <x:c r="AD4" s="3"/>
      <x:c r="AE4" s="3"/>
      <x:c r="AF4" s="3"/>
      <x:c r="AG4" s="3"/>
      <x:c r="AH4" s="3"/>
      <x:c r="AI4" s="3"/>
      <x:c r="AJ4" s="3"/>
      <x:c r="AK4" s="3"/>
      <x:c r="AL4" s="3"/>
      <x:c r="AM4" s="3"/>
      <x:c r="AN4" s="3"/>
      <x:c r="AO4" s="3"/>
      <x:c r="AP4" s="3"/>
      <x:c r="AQ4" s="3"/>
      <x:c r="AR4" s="3"/>
    </x:row>
    <x:row r="5" ht="42" customHeight="1">
      <x:c r="A5" s="1"/>
      <x:c r="B5" s="1"/>
      <x:c r="C5" s="3" t="str">
        <x:v>Entities</x:v>
      </x:c>
      <x:c r="D5" s="3" t="n">
        <x:f>COUNTA(C9:C108)</x:f>
        <x:v>30</x:v>
      </x:c>
      <x:c r="E5" s="3"/>
      <x:c r="F5" s="3"/>
      <x:c r="G5" s="3" t="str">
        <x:v>S1 + S2 ready</x:v>
      </x:c>
      <x:c r="H5" s="3" t="n">
        <x:f>COUNTIFS(V9:V108,"Ready",AB9:AB108,"Ready")</x:f>
        <x:v>30</x:v>
      </x:c>
      <x:c r="I5" s="3"/>
      <x:c r="J5" s="3"/>
      <x:c r="K5" s="3" t="str">
        <x:v>S3 ready</x:v>
      </x:c>
      <x:c r="L5" s="3" t="n">
        <x:f>COUNTIFS(AI9:AI108,"Ready")</x:f>
        <x:v>23</x:v>
      </x:c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  <x:c r="X5" s="3"/>
      <x:c r="Y5" s="3"/>
      <x:c r="Z5" s="3"/>
      <x:c r="AA5" s="3"/>
      <x:c r="AB5" s="3"/>
      <x:c r="AC5" s="3"/>
      <x:c r="AD5" s="3"/>
      <x:c r="AE5" s="3"/>
      <x:c r="AF5" s="3"/>
      <x:c r="AG5" s="3"/>
      <x:c r="AH5" s="3"/>
      <x:c r="AI5" s="3"/>
      <x:c r="AJ5" s="3"/>
      <x:c r="AK5" s="3"/>
      <x:c r="AL5" s="3"/>
      <x:c r="AM5" s="3"/>
      <x:c r="AN5" s="3"/>
      <x:c r="AO5" s="3"/>
      <x:c r="AP5" s="3"/>
      <x:c r="AQ5" s="3"/>
      <x:c r="AR5" s="3"/>
    </x:row>
    <x:row r="6" ht="38" customHeight="1">
      <x:c r="A6" s="1"/>
      <x:c r="B6" s="1"/>
      <x:c r="C6" s="3" t="str">
        <x:v>Method</x:v>
      </x:c>
      <x:c r="D6" s="3" t="str">
        <x:v>PCAF Part A 2025 core lending</x:v>
      </x:c>
      <x:c r="E6" s="3"/>
      <x:c r="F6" s="3"/>
      <x:c r="G6" s="3" t="str">
        <x:v>Source</x:v>
      </x:c>
      <x:c r="H6" s="3" t="str">
        <x:v>https://carbonaccountingfinancials.com/files/standard-launch-2025/PCAF-PartA-2025-V3-15012026.pdf</x:v>
      </x:c>
      <x:c r="I6" s="3"/>
      <x:c r="J6" s="3"/>
      <x:c r="K6" s="3"/>
      <x:c r="L6" s="3"/>
      <x:c r="M6" s="3"/>
      <x:c r="N6" s="3"/>
      <x:c r="O6" s="3"/>
      <x:c r="P6" s="3"/>
      <x:c r="Q6" s="3"/>
      <x:c r="R6" s="3"/>
      <x:c r="S6" s="3"/>
      <x:c r="T6" s="3"/>
      <x:c r="U6" s="3"/>
      <x:c r="V6" s="3"/>
      <x:c r="W6" s="3"/>
      <x:c r="X6" s="3"/>
      <x:c r="Y6" s="3"/>
      <x:c r="Z6" s="3"/>
      <x:c r="AA6" s="3"/>
      <x:c r="AB6" s="3"/>
      <x:c r="AC6" s="3"/>
      <x:c r="AD6" s="3"/>
      <x:c r="AE6" s="3"/>
      <x:c r="AF6" s="3"/>
      <x:c r="AG6" s="3"/>
      <x:c r="AH6" s="3"/>
      <x:c r="AI6" s="3"/>
      <x:c r="AJ6" s="3"/>
      <x:c r="AK6" s="3"/>
      <x:c r="AL6" s="3"/>
      <x:c r="AM6" s="3"/>
      <x:c r="AN6" s="3"/>
      <x:c r="AO6" s="3"/>
      <x:c r="AP6" s="3"/>
      <x:c r="AQ6" s="3"/>
      <x:c r="AR6" s="3"/>
    </x:row>
    <x:row r="7" ht="26" customHeight="1">
      <x:c r="A7" s="1"/>
      <x:c r="B7" s="1"/>
      <x:c r="C7" s="50" t="str">
        <x:v>Entity value</x:v>
      </x:c>
      <x:c r="D7" s="50"/>
      <x:c r="E7" s="50"/>
      <x:c r="F7" s="50"/>
      <x:c r="G7" s="63" t="str">
        <x:v>Scope 1 and Scope 2</x:v>
      </x:c>
      <x:c r="H7" s="63"/>
      <x:c r="I7" s="63"/>
      <x:c r="J7" s="63"/>
      <x:c r="K7" s="63" t="str">
        <x:v>Scope 3 and status</x:v>
      </x:c>
      <x:c r="L7" s="63"/>
      <x:c r="M7" s="63"/>
      <x:c r="N7" s="63"/>
      <x:c r="O7" s="3"/>
      <x:c r="P7" s="3"/>
      <x:c r="Q7" s="3"/>
      <x:c r="R7" s="3"/>
      <x:c r="S7" s="3"/>
      <x:c r="T7" s="3"/>
      <x:c r="U7" s="3"/>
      <x:c r="V7" s="3"/>
      <x:c r="W7" s="3"/>
      <x:c r="X7" s="3"/>
      <x:c r="Y7" s="3"/>
      <x:c r="Z7" s="3"/>
      <x:c r="AA7" s="3"/>
      <x:c r="AB7" s="3"/>
      <x:c r="AC7" s="3"/>
      <x:c r="AD7" s="3"/>
      <x:c r="AE7" s="3"/>
      <x:c r="AF7" s="3"/>
      <x:c r="AG7" s="3"/>
      <x:c r="AH7" s="3"/>
      <x:c r="AI7" s="3"/>
      <x:c r="AJ7" s="3"/>
      <x:c r="AK7" s="3"/>
      <x:c r="AL7" s="3"/>
      <x:c r="AM7" s="3"/>
      <x:c r="AN7" s="3"/>
      <x:c r="AO7" s="3"/>
      <x:c r="AP7" s="3"/>
      <x:c r="AQ7" s="3"/>
      <x:c r="AR7" s="3"/>
    </x:row>
    <x:row r="8" ht="46" customHeight="1">
      <x:c r="A8" s="1"/>
      <x:c r="B8" s="1"/>
      <x:c r="C8" s="15" t="str">
        <x:v>Entity ID</x:v>
      </x:c>
      <x:c r="D8" s="15" t="str">
        <x:v>Borrower ID</x:v>
      </x:c>
      <x:c r="E8" s="15" t="str">
        <x:v>Entity name</x:v>
      </x:c>
      <x:c r="F8" s="15" t="str">
        <x:v>Asset class</x:v>
      </x:c>
      <x:c r="G8" s="15" t="str">
        <x:v>Country</x:v>
      </x:c>
      <x:c r="H8" s="15" t="str">
        <x:v>Inventory date</x:v>
      </x:c>
      <x:c r="I8" s="15" t="str">
        <x:v>Equity USDm</x:v>
      </x:c>
      <x:c r="J8" s="15" t="str">
        <x:v>Debt USDm</x:v>
      </x:c>
      <x:c r="K8" s="15" t="str">
        <x:v>EVIC USDm</x:v>
      </x:c>
      <x:c r="L8" s="15" t="str">
        <x:v>Original asset USDm</x:v>
      </x:c>
      <x:c r="M8" s="15" t="str">
        <x:v>Value basis</x:v>
      </x:c>
      <x:c r="N8" s="15" t="str">
        <x:v>Denominator USDm</x:v>
      </x:c>
      <x:c r="O8" s="15" t="str">
        <x:v>Emissions evidence</x:v>
      </x:c>
      <x:c r="P8" s="15" t="str">
        <x:v>Evidence expires</x:v>
      </x:c>
      <x:c r="Q8" s="15" t="str">
        <x:v>S1 method</x:v>
      </x:c>
      <x:c r="R8" s="15" t="str">
        <x:v>S1 reported t</x:v>
      </x:c>
      <x:c r="S8" s="15" t="str">
        <x:v>S1 complete</x:v>
      </x:c>
      <x:c r="T8" s="15" t="str">
        <x:v>S1 selected t</x:v>
      </x:c>
      <x:c r="U8" s="15" t="str">
        <x:v>S1 DQ</x:v>
      </x:c>
      <x:c r="V8" s="15" t="str">
        <x:v>S1 status</x:v>
      </x:c>
      <x:c r="W8" s="15" t="str">
        <x:v>S2 method</x:v>
      </x:c>
      <x:c r="X8" s="15" t="str">
        <x:v>S2 reported t</x:v>
      </x:c>
      <x:c r="Y8" s="15" t="str">
        <x:v>S2 complete</x:v>
      </x:c>
      <x:c r="Z8" s="15" t="str">
        <x:v>S2 selected t</x:v>
      </x:c>
      <x:c r="AA8" s="15" t="str">
        <x:v>S2 DQ</x:v>
      </x:c>
      <x:c r="AB8" s="15" t="str">
        <x:v>S2 status</x:v>
      </x:c>
      <x:c r="AC8" s="15" t="str">
        <x:v>S2 basis</x:v>
      </x:c>
      <x:c r="AD8" s="15" t="str">
        <x:v>S3 method</x:v>
      </x:c>
      <x:c r="AE8" s="15" t="str">
        <x:v>S3 reported t</x:v>
      </x:c>
      <x:c r="AF8" s="15" t="str">
        <x:v>S3 complete</x:v>
      </x:c>
      <x:c r="AG8" s="15" t="str">
        <x:v>S3 selected t</x:v>
      </x:c>
      <x:c r="AH8" s="15" t="str">
        <x:v>S3 DQ</x:v>
      </x:c>
      <x:c r="AI8" s="15" t="str">
        <x:v>S3 status</x:v>
      </x:c>
      <x:c r="AJ8" s="15" t="str">
        <x:v>Finance evidence</x:v>
      </x:c>
      <x:c r="AK8" s="15" t="str">
        <x:v>Value date</x:v>
      </x:c>
      <x:c r="AL8" s="15" t="str">
        <x:v>Finance status</x:v>
      </x:c>
      <x:c r="AM8" s="15" t="str">
        <x:v>S3 screening evidence</x:v>
      </x:c>
      <x:c r="AN8" s="15" t="str">
        <x:v>Boundary overlap</x:v>
      </x:c>
      <x:c r="AO8" s="15" t="str">
        <x:v>Project equity USDm</x:v>
      </x:c>
      <x:c r="AP8" s="15" t="str">
        <x:v>Project debt USDm</x:v>
      </x:c>
      <x:c r="AQ8" s="15" t="str">
        <x:v>Asset value evidence</x:v>
      </x:c>
      <x:c r="AR8" s="15" t="str">
        <x:v>Asset value date</x:v>
      </x:c>
    </x:row>
    <x:row r="9" ht="40" customHeight="1">
      <x:c r="A9" s="1"/>
      <x:c r="B9" s="1"/>
      <x:c r="C9" s="8" t="str">
        <x:v>B001</x:v>
      </x:c>
      <x:c r="D9" s="8" t="str">
        <x:v>B001</x:v>
      </x:c>
      <x:c r="E9" s="8" t="str">
        <x:v>Demo Nile Cement</x:v>
      </x:c>
      <x:c r="F9" s="8" t="str">
        <x:v>Corporate listed</x:v>
      </x:c>
      <x:c r="G9" s="9" t="str">
        <x:f>IF(C9="","",IFERROR(IF(INDEX('Borrowers'!$E$9:$E$108,MATCH(D9,'Borrowers'!$C$9:$C$108,0))="","",INDEX('Borrowers'!$E$9:$E$108,MATCH(D9,'Borrowers'!$C$9:$C$108,0))),""))</x:f>
        <x:v>Egypt</x:v>
      </x:c>
      <x:c r="H9" s="40" t="n">
        <x:v>46387</x:v>
      </x:c>
      <x:c r="I9" s="23" t="n">
        <x:f>IF(C9="","",IF(OR(F9="Corporate private",F9="Corporate listed"),IFERROR(IF(INDEX('Borrowers'!$M$9:$M$108,MATCH(D9,'Borrowers'!$C$9:$C$108,0))="","",INDEX('Borrowers'!$M$9:$M$108,MATCH(D9,'Borrowers'!$C$9:$C$108,0))),""),IF(F9="Project finance",IF(ISNUMBER(AO9),AO9,""),"")))</x:f>
        <x:v>40</x:v>
      </x:c>
      <x:c r="J9" s="23" t="n">
        <x:f>IF(C9="","",IF(OR(F9="Corporate private",F9="Corporate listed"),IFERROR(IF(INDEX('Borrowers'!$N$9:$N$108,MATCH(D9,'Borrowers'!$C$9:$C$108,0))="","",INDEX('Borrowers'!$N$9:$N$108,MATCH(D9,'Borrowers'!$C$9:$C$108,0))),""),IF(F9="Project finance",IF(ISNUMBER(AP9),AP9,""),"")))</x:f>
        <x:v>25</x:v>
      </x:c>
      <x:c r="K9" s="23" t="n">
        <x:f>IF(C9="","",IF(F9="Corporate listed",IFERROR(IF(INDEX('Borrowers'!$O$9:$O$108,MATCH(D9,'Borrowers'!$C$9:$C$108,0))="","",INDEX('Borrowers'!$O$9:$O$108,MATCH(D9,'Borrowers'!$C$9:$C$108,0))),""),""))</x:f>
        <x:v>110</x:v>
      </x:c>
      <x:c r="L9" s="16"/>
      <x:c r="M9" s="8" t="str">
        <x:v>Current financials</x:v>
      </x:c>
      <x:c r="N9" s="21" t="n">
        <x:f>IF(C9="","",IF(F9="Corporate listed",IF(ISNUMBER(K9),K9,""),IF(OR(F9="Corporate private",F9="Project finance"),IF(AND(ISNUMBER(I9),ISNUMBER(J9)),MAX(I9,0)+J9,""),IF(OR(F9="CRE",F9="Mortgage",F9="Motor"),IF(ISNUMBER(L9),L9,""),""))))</x:f>
        <x:v>110</x:v>
      </x:c>
      <x:c r="O9" s="8" t="str">
        <x:v>SYN-INV-1</x:v>
      </x:c>
      <x:c r="P9" s="40" t="n">
        <x:v>46752</x:v>
      </x:c>
      <x:c r="Q9" s="8" t="str">
        <x:v>Reported verified</x:v>
      </x:c>
      <x:c r="R9" s="16" t="n">
        <x:v>130000</x:v>
      </x:c>
      <x:c r="S9" s="8" t="str">
        <x:v>Yes</x:v>
      </x:c>
      <x:c r="T9" s="23" t="n">
        <x:f>IF(V9="Ready",IF(Q9="Activity",SUMIFS('Activity Data'!$U$9:$U$308,'Activity Data'!$D$9:$D$308,C9,'Activity Data'!$F$9:$F$308,"S1"),R9),"")</x:f>
        <x:v>130000</x:v>
      </x:c>
      <x:c r="U9" s="44" t="n">
        <x:f>IF(V9&lt;&gt;"Ready","",IF(Q9="Reported verified",1,IF(Q9="Reported unverified",2,IF(F9="Motor",1,2))))</x:f>
        <x:v>1</x:v>
      </x:c>
      <x:c r="V9" s="9" t="str">
        <x:f>IF(C9="","",IF(Q9="Not assessed","Not assessed",IF(OR(O9="",NOT(ISNUMBER(H9)),NOT(ISNUMBER(P9))),"Evidence required",IF(OR(P9&lt;'Settings'!$F$8,H9&gt;'Settings'!$F$8,YEAR(H9)&lt;&gt;YEAR('Settings'!$F$8)),"Period / expiry review",IF(S9&lt;&gt;"Yes","Boundary incomplete",IF(OR(Q9="Reported verified",Q9="Reported unverified"),IF(NOT(OR(F9="Corporate private",F9="Corporate listed",F9="Project finance")),"Asset method required",IF(OR(NOT(ISNUMBER(R9)),R9&lt;0),"Reported value required","Ready")),IF(Q9="Activity",IF(AND(COUNTIFS('Activity Data'!$D$9:$D$308,C9,'Activity Data'!$F$9:$F$308,"S1")&gt;0,COUNTIFS('Activity Data'!$D$9:$D$308,C9,'Activity Data'!$F$9:$F$308,"S1")=COUNTIFS('Activity Data'!$D$9:$D$308,C9,'Activity Data'!$F$9:$F$308,"S1",'Activity Data'!$V$9:$V$308,"Ready")),"Ready","Activity incomplete"),"Method required")))))))</x:f>
        <x:v>Ready</x:v>
      </x:c>
      <x:c r="W9" s="8" t="str">
        <x:v>Reported verified</x:v>
      </x:c>
      <x:c r="X9" s="16" t="n">
        <x:v>1700</x:v>
      </x:c>
      <x:c r="Y9" s="8" t="str">
        <x:v>Yes</x:v>
      </x:c>
      <x:c r="Z9" s="23" t="n">
        <x:f>IF(AB9="Ready",IF(W9="Activity",SUMIFS('Activity Data'!$U$9:$U$308,'Activity Data'!$D$9:$D$308,C9,'Activity Data'!$F$9:$F$308,"S2"),X9),"")</x:f>
        <x:v>1700</x:v>
      </x:c>
      <x:c r="AA9" s="44" t="n">
        <x:f>IF(AB9&lt;&gt;"Ready","",IF(W9="Reported verified",1,IF(W9="Reported unverified",2,IF(F9="Motor",1,2))))</x:f>
        <x:v>1</x:v>
      </x:c>
      <x:c r="AB9" s="9" t="str">
        <x:f>IF(C9="","",IF(W9="Not assessed","Not assessed",IF(OR(O9="",NOT(ISNUMBER(H9)),NOT(ISNUMBER(P9))),"Evidence required",IF(OR(P9&lt;'Settings'!$F$8,H9&gt;'Settings'!$F$8,YEAR(H9)&lt;&gt;YEAR('Settings'!$F$8)),"Period / expiry review",IF(Y9&lt;&gt;"Yes","Boundary incomplete",IF(OR(AND(AC9&lt;&gt;"Location-based",AC9&lt;&gt;"Market-based"),AND(W9="Activity",AC9&lt;&gt;"Location-based")),"S2 basis mismatch",IF(OR(W9="Reported verified",W9="Reported unverified"),IF(NOT(OR(F9="Corporate private",F9="Corporate listed",F9="Project finance")),"Asset method required",IF(OR(NOT(ISNUMBER(X9)),X9&lt;0),"Reported value required","Ready")),IF(W9="Activity",IF(AND(COUNTIFS('Activity Data'!$D$9:$D$308,C9,'Activity Data'!$F$9:$F$308,"S2")&gt;0,COUNTIFS('Activity Data'!$D$9:$D$308,C9,'Activity Data'!$F$9:$F$308,"S2")=COUNTIFS('Activity Data'!$D$9:$D$308,C9,'Activity Data'!$F$9:$F$308,"S2",'Activity Data'!$V$9:$V$308,"Ready")),"Ready","Activity incomplete"),"Method required"))))))))</x:f>
        <x:v>Ready</x:v>
      </x:c>
      <x:c r="AC9" s="8" t="str">
        <x:v>Location-based</x:v>
      </x:c>
      <x:c r="AD9" s="8" t="str">
        <x:v>Reported unverified</x:v>
      </x:c>
      <x:c r="AE9" s="16" t="n">
        <x:v>220000</x:v>
      </x:c>
      <x:c r="AF9" s="8" t="str">
        <x:v>Yes</x:v>
      </x:c>
      <x:c r="AG9" s="23" t="n">
        <x:f>IF(AI9="Ready",IF(AD9="Activity",SUMIFS('Activity Data'!$U$9:$U$308,'Activity Data'!$D$9:$D$308,C9,'Activity Data'!$F$9:$F$308,"S3"),AE9),"")</x:f>
        <x:v>220000</x:v>
      </x:c>
      <x:c r="AH9" s="44" t="n">
        <x:f>IF(AI9&lt;&gt;"Ready","",IF(AD9="Reported verified",1,IF(AD9="Reported unverified",2,IF(F9="Motor",1,2))))</x:f>
        <x:v>2</x:v>
      </x:c>
      <x:c r="AI9" s="9" t="str">
        <x:f>IF(C9="","",IF(AD9="Not assessed","Not assessed",IF(OR(O9="",NOT(ISNUMBER(H9)),NOT(ISNUMBER(P9))),"Evidence required",IF(OR(P9&lt;'Settings'!$F$8,H9&gt;'Settings'!$F$8,YEAR(H9)&lt;&gt;YEAR('Settings'!$F$8)),"Period / expiry review",IF(AF9&lt;&gt;"Yes","Boundary incomplete",IF(AM9="","S3 screening required",IF(OR(AD9="Reported verified",AD9="Reported unverified"),IF(NOT(OR(F9="Corporate private",F9="Corporate listed",F9="Project finance")),"Asset method required",IF(OR(NOT(ISNUMBER(AE9)),AE9&lt;0),"Reported value required","Ready")),"Scope 3 method required")))))))</x:f>
        <x:v>Ready</x:v>
      </x:c>
      <x:c r="AJ9" s="9" t="str">
        <x:f>IF(C9="","",IF(OR(F9="Corporate private",F9="Corporate listed"),IFERROR(IF(INDEX('Borrowers'!$X$9:$X$108,MATCH(D9,'Borrowers'!$C$9:$C$108,0))="","",INDEX('Borrowers'!$X$9:$X$108,MATCH(D9,'Borrowers'!$C$9:$C$108,0))),""),IF(AQ9="","",AQ9)))</x:f>
        <x:v>SYN-FIN-1</x:v>
      </x:c>
      <x:c r="AK9" s="43" t="n">
        <x:f>IF(C9="","",IF(OR(F9="Corporate private",F9="Corporate listed"),IFERROR(IF(INDEX('Borrowers'!$H$9:$H$108,MATCH(D9,'Borrowers'!$C$9:$C$108,0))="","",INDEX('Borrowers'!$H$9:$H$108,MATCH(D9,'Borrowers'!$C$9:$C$108,0))),""),IF(AR9="","",AR9)))</x:f>
        <x:v>46387</x:v>
      </x:c>
      <x:c r="AL9" s="9" t="str">
        <x:f>IF(C9="","",IF(COUNTIFS($C$9:$C$108,C9)&lt;&gt;1,"Duplicate entity ID",IF(COUNTIFS('Borrowers'!$C$9:$C$108,D9)&lt;&gt;1,"Borrower required",IF(AND(F9&lt;&gt;"Corporate private",F9&lt;&gt;"Corporate listed",F9&lt;&gt;"Project finance",F9&lt;&gt;"CRE",F9&lt;&gt;"Mortgage",F9&lt;&gt;"Motor"),"Method required",IF(OR(AND(F9="Corporate private",IFERROR(IF(INDEX('Borrowers'!$G$9:$G$108,MATCH(D9,'Borrowers'!$C$9:$C$108,0))="","",INDEX('Borrowers'!$G$9:$G$108,MATCH(D9,'Borrowers'!$C$9:$C$108,0))),"")&lt;&gt;"Private"),AND(F9="Corporate listed",IFERROR(IF(INDEX('Borrowers'!$G$9:$G$108,MATCH(D9,'Borrowers'!$C$9:$C$108,0))="","",INDEX('Borrowers'!$G$9:$G$108,MATCH(D9,'Borrowers'!$C$9:$C$108,0))),"")&lt;&gt;"Listed")),"Listing / class mismatch",IF(OR(NOT(ISNUMBER(N9)),N9&lt;=0,AJ9="",NOT(ISNUMBER(AK9))),"Value evidence required",IF(AND(OR(F9="Corporate private",F9="Corporate listed"),IFERROR(IF(INDEX('Borrowers'!$Y$9:$Y$108,MATCH(D9,'Borrowers'!$C$9:$C$108,0))="","",INDEX('Borrowers'!$Y$9:$Y$108,MATCH(D9,'Borrowers'!$C$9:$C$108,0))),"")&lt;'Settings'!$F$8),"Expired financial evidence",IF(AK9&gt;'Settings'!$F$8,"Future value date",IF(OR(AND(OR(F9="Corporate private",F9="Project finance"),OR(J9&lt;0,M9&lt;&gt;"Current financials")),AND(F9="Corporate listed",M9&lt;&gt;"Current financials"),AND(OR(F9="CRE",F9="Mortgage",F9="Motor"),AND(M9&lt;&gt;"Origination",M9&lt;&gt;"Fixed fallback"))),"Value basis review",IF(AND(M9="Current financials",YEAR(AK9)&lt;&gt;YEAR('Settings'!$F$8)),"Stale financial period","Ready"))))))))))</x:f>
        <x:v>Ready</x:v>
      </x:c>
      <x:c r="AM9" s="8" t="str">
        <x:v>SYN-S3-SCREEN-1</x:v>
      </x:c>
      <x:c r="AN9" s="8" t="str">
        <x:v>Single boundary</x:v>
      </x:c>
      <x:c r="AO9" s="16"/>
      <x:c r="AP9" s="16"/>
      <x:c r="AQ9" s="8"/>
      <x:c r="AR9" s="40"/>
    </x:row>
    <x:row r="10" ht="40" customHeight="1">
      <x:c r="A10" s="1"/>
      <x:c r="B10" s="1"/>
      <x:c r="C10" s="8" t="str">
        <x:v>B002</x:v>
      </x:c>
      <x:c r="D10" s="8" t="str">
        <x:v>B002</x:v>
      </x:c>
      <x:c r="E10" s="8" t="str">
        <x:v>Demo Delta Solar</x:v>
      </x:c>
      <x:c r="F10" s="8" t="str">
        <x:v>Corporate private</x:v>
      </x:c>
      <x:c r="G10" s="9" t="str">
        <x:f>IF(C10="","",IFERROR(IF(INDEX('Borrowers'!$E$9:$E$108,MATCH(D10,'Borrowers'!$C$9:$C$108,0))="","",INDEX('Borrowers'!$E$9:$E$108,MATCH(D10,'Borrowers'!$C$9:$C$108,0))),""))</x:f>
        <x:v>Egypt</x:v>
      </x:c>
      <x:c r="H10" s="40" t="n">
        <x:v>46387</x:v>
      </x:c>
      <x:c r="I10" s="23" t="n">
        <x:f>IF(C10="","",IF(OR(F10="Corporate private",F10="Corporate listed"),IFERROR(IF(INDEX('Borrowers'!$M$9:$M$108,MATCH(D10,'Borrowers'!$C$9:$C$108,0))="","",INDEX('Borrowers'!$M$9:$M$108,MATCH(D10,'Borrowers'!$C$9:$C$108,0))),""),IF(F10="Project finance",IF(ISNUMBER(AO10),AO10,""),"")))</x:f>
        <x:v>43</x:v>
      </x:c>
      <x:c r="J10" s="23" t="n">
        <x:f>IF(C10="","",IF(OR(F10="Corporate private",F10="Corporate listed"),IFERROR(IF(INDEX('Borrowers'!$N$9:$N$108,MATCH(D10,'Borrowers'!$C$9:$C$108,0))="","",INDEX('Borrowers'!$N$9:$N$108,MATCH(D10,'Borrowers'!$C$9:$C$108,0))),""),IF(F10="Project finance",IF(ISNUMBER(AP10),AP10,""),"")))</x:f>
        <x:v>27</x:v>
      </x:c>
      <x:c r="K10" s="23" t="str">
        <x:f>IF(C10="","",IF(F10="Corporate listed",IFERROR(IF(INDEX('Borrowers'!$O$9:$O$108,MATCH(D10,'Borrowers'!$C$9:$C$108,0))="","",INDEX('Borrowers'!$O$9:$O$108,MATCH(D10,'Borrowers'!$C$9:$C$108,0))),""),""))</x:f>
      </x:c>
      <x:c r="L10" s="16"/>
      <x:c r="M10" s="8" t="str">
        <x:v>Current financials</x:v>
      </x:c>
      <x:c r="N10" s="21" t="n">
        <x:f>IF(C10="","",IF(F10="Corporate listed",IF(ISNUMBER(K10),K10,""),IF(OR(F10="Corporate private",F10="Project finance"),IF(AND(ISNUMBER(I10),ISNUMBER(J10)),MAX(I10,0)+J10,""),IF(OR(F10="CRE",F10="Mortgage",F10="Motor"),IF(ISNUMBER(L10),L10,""),""))))</x:f>
        <x:v>70</x:v>
      </x:c>
      <x:c r="O10" s="8" t="str">
        <x:v>SYN-INV-2</x:v>
      </x:c>
      <x:c r="P10" s="40" t="n">
        <x:v>46752</x:v>
      </x:c>
      <x:c r="Q10" s="8" t="str">
        <x:v>Activity</x:v>
      </x:c>
      <x:c r="R10" s="16"/>
      <x:c r="S10" s="8" t="str">
        <x:v>Yes</x:v>
      </x:c>
      <x:c r="T10" s="23" t="n">
        <x:f>IF(V10="Ready",IF(Q10="Activity",SUMIFS('Activity Data'!$U$9:$U$308,'Activity Data'!$D$9:$D$308,C10,'Activity Data'!$F$9:$F$308,"S1"),R10),"")</x:f>
        <x:v>8.040000000000001</x:v>
      </x:c>
      <x:c r="U10" s="44" t="n">
        <x:f>IF(V10&lt;&gt;"Ready","",IF(Q10="Reported verified",1,IF(Q10="Reported unverified",2,IF(F10="Motor",1,2))))</x:f>
        <x:v>2</x:v>
      </x:c>
      <x:c r="V10" s="9" t="str">
        <x:f>IF(C10="","",IF(Q10="Not assessed","Not assessed",IF(OR(O10="",NOT(ISNUMBER(H10)),NOT(ISNUMBER(P10))),"Evidence required",IF(OR(P10&lt;'Settings'!$F$8,H10&gt;'Settings'!$F$8,YEAR(H10)&lt;&gt;YEAR('Settings'!$F$8)),"Period / expiry review",IF(S10&lt;&gt;"Yes","Boundary incomplete",IF(OR(Q10="Reported verified",Q10="Reported unverified"),IF(NOT(OR(F10="Corporate private",F10="Corporate listed",F10="Project finance")),"Asset method required",IF(OR(NOT(ISNUMBER(R10)),R10&lt;0),"Reported value required","Ready")),IF(Q10="Activity",IF(AND(COUNTIFS('Activity Data'!$D$9:$D$308,C10,'Activity Data'!$F$9:$F$308,"S1")&gt;0,COUNTIFS('Activity Data'!$D$9:$D$308,C10,'Activity Data'!$F$9:$F$308,"S1")=COUNTIFS('Activity Data'!$D$9:$D$308,C10,'Activity Data'!$F$9:$F$308,"S1",'Activity Data'!$V$9:$V$308,"Ready")),"Ready","Activity incomplete"),"Method required")))))))</x:f>
        <x:v>Ready</x:v>
      </x:c>
      <x:c r="W10" s="8" t="str">
        <x:v>Activity</x:v>
      </x:c>
      <x:c r="X10" s="16"/>
      <x:c r="Y10" s="8" t="str">
        <x:v>Yes</x:v>
      </x:c>
      <x:c r="Z10" s="23" t="n">
        <x:f>IF(AB10="Ready",IF(W10="Activity",SUMIFS('Activity Data'!$U$9:$U$308,'Activity Data'!$D$9:$D$308,C10,'Activity Data'!$F$9:$F$308,"S2"),X10),"")</x:f>
        <x:v>23</x:v>
      </x:c>
      <x:c r="AA10" s="44" t="n">
        <x:f>IF(AB10&lt;&gt;"Ready","",IF(W10="Reported verified",1,IF(W10="Reported unverified",2,IF(F10="Motor",1,2))))</x:f>
        <x:v>2</x:v>
      </x:c>
      <x:c r="AB10" s="9" t="str">
        <x:f>IF(C10="","",IF(W10="Not assessed","Not assessed",IF(OR(O10="",NOT(ISNUMBER(H10)),NOT(ISNUMBER(P10))),"Evidence required",IF(OR(P10&lt;'Settings'!$F$8,H10&gt;'Settings'!$F$8,YEAR(H10)&lt;&gt;YEAR('Settings'!$F$8)),"Period / expiry review",IF(Y10&lt;&gt;"Yes","Boundary incomplete",IF(OR(AND(AC10&lt;&gt;"Location-based",AC10&lt;&gt;"Market-based"),AND(W10="Activity",AC10&lt;&gt;"Location-based")),"S2 basis mismatch",IF(OR(W10="Reported verified",W10="Reported unverified"),IF(NOT(OR(F10="Corporate private",F10="Corporate listed",F10="Project finance")),"Asset method required",IF(OR(NOT(ISNUMBER(X10)),X10&lt;0),"Reported value required","Ready")),IF(W10="Activity",IF(AND(COUNTIFS('Activity Data'!$D$9:$D$308,C10,'Activity Data'!$F$9:$F$308,"S2")&gt;0,COUNTIFS('Activity Data'!$D$9:$D$308,C10,'Activity Data'!$F$9:$F$308,"S2")=COUNTIFS('Activity Data'!$D$9:$D$308,C10,'Activity Data'!$F$9:$F$308,"S2",'Activity Data'!$V$9:$V$308,"Ready")),"Ready","Activity incomplete"),"Method required"))))))))</x:f>
        <x:v>Ready</x:v>
      </x:c>
      <x:c r="AC10" s="8" t="str">
        <x:v>Location-based</x:v>
      </x:c>
      <x:c r="AD10" s="8" t="str">
        <x:v>Reported unverified</x:v>
      </x:c>
      <x:c r="AE10" s="16" t="n">
        <x:v>6800</x:v>
      </x:c>
      <x:c r="AF10" s="8" t="str">
        <x:v>Yes</x:v>
      </x:c>
      <x:c r="AG10" s="23" t="n">
        <x:f>IF(AI10="Ready",IF(AD10="Activity",SUMIFS('Activity Data'!$U$9:$U$308,'Activity Data'!$D$9:$D$308,C10,'Activity Data'!$F$9:$F$308,"S3"),AE10),"")</x:f>
        <x:v>6800</x:v>
      </x:c>
      <x:c r="AH10" s="44" t="n">
        <x:f>IF(AI10&lt;&gt;"Ready","",IF(AD10="Reported verified",1,IF(AD10="Reported unverified",2,IF(F10="Motor",1,2))))</x:f>
        <x:v>2</x:v>
      </x:c>
      <x:c r="AI10" s="9" t="str">
        <x:f>IF(C10="","",IF(AD10="Not assessed","Not assessed",IF(OR(O10="",NOT(ISNUMBER(H10)),NOT(ISNUMBER(P10))),"Evidence required",IF(OR(P10&lt;'Settings'!$F$8,H10&gt;'Settings'!$F$8,YEAR(H10)&lt;&gt;YEAR('Settings'!$F$8)),"Period / expiry review",IF(AF10&lt;&gt;"Yes","Boundary incomplete",IF(AM10="","S3 screening required",IF(OR(AD10="Reported verified",AD10="Reported unverified"),IF(NOT(OR(F10="Corporate private",F10="Corporate listed",F10="Project finance")),"Asset method required",IF(OR(NOT(ISNUMBER(AE10)),AE10&lt;0),"Reported value required","Ready")),"Scope 3 method required")))))))</x:f>
        <x:v>Ready</x:v>
      </x:c>
      <x:c r="AJ10" s="9" t="str">
        <x:f>IF(C10="","",IF(OR(F10="Corporate private",F10="Corporate listed"),IFERROR(IF(INDEX('Borrowers'!$X$9:$X$108,MATCH(D10,'Borrowers'!$C$9:$C$108,0))="","",INDEX('Borrowers'!$X$9:$X$108,MATCH(D10,'Borrowers'!$C$9:$C$108,0))),""),IF(AQ10="","",AQ10)))</x:f>
        <x:v>SYN-FIN-2</x:v>
      </x:c>
      <x:c r="AK10" s="43" t="n">
        <x:f>IF(C10="","",IF(OR(F10="Corporate private",F10="Corporate listed"),IFERROR(IF(INDEX('Borrowers'!$H$9:$H$108,MATCH(D10,'Borrowers'!$C$9:$C$108,0))="","",INDEX('Borrowers'!$H$9:$H$108,MATCH(D10,'Borrowers'!$C$9:$C$108,0))),""),IF(AR10="","",AR10)))</x:f>
        <x:v>46387</x:v>
      </x:c>
      <x:c r="AL10" s="9" t="str">
        <x:f>IF(C10="","",IF(COUNTIFS($C$9:$C$108,C10)&lt;&gt;1,"Duplicate entity ID",IF(COUNTIFS('Borrowers'!$C$9:$C$108,D10)&lt;&gt;1,"Borrower required",IF(AND(F10&lt;&gt;"Corporate private",F10&lt;&gt;"Corporate listed",F10&lt;&gt;"Project finance",F10&lt;&gt;"CRE",F10&lt;&gt;"Mortgage",F10&lt;&gt;"Motor"),"Method required",IF(OR(AND(F10="Corporate private",IFERROR(IF(INDEX('Borrowers'!$G$9:$G$108,MATCH(D10,'Borrowers'!$C$9:$C$108,0))="","",INDEX('Borrowers'!$G$9:$G$108,MATCH(D10,'Borrowers'!$C$9:$C$108,0))),"")&lt;&gt;"Private"),AND(F10="Corporate listed",IFERROR(IF(INDEX('Borrowers'!$G$9:$G$108,MATCH(D10,'Borrowers'!$C$9:$C$108,0))="","",INDEX('Borrowers'!$G$9:$G$108,MATCH(D10,'Borrowers'!$C$9:$C$108,0))),"")&lt;&gt;"Listed")),"Listing / class mismatch",IF(OR(NOT(ISNUMBER(N10)),N10&lt;=0,AJ10="",NOT(ISNUMBER(AK10))),"Value evidence required",IF(AND(OR(F10="Corporate private",F10="Corporate listed"),IFERROR(IF(INDEX('Borrowers'!$Y$9:$Y$108,MATCH(D10,'Borrowers'!$C$9:$C$108,0))="","",INDEX('Borrowers'!$Y$9:$Y$108,MATCH(D10,'Borrowers'!$C$9:$C$108,0))),"")&lt;'Settings'!$F$8),"Expired financial evidence",IF(AK10&gt;'Settings'!$F$8,"Future value date",IF(OR(AND(OR(F10="Corporate private",F10="Project finance"),OR(J10&lt;0,M10&lt;&gt;"Current financials")),AND(F10="Corporate listed",M10&lt;&gt;"Current financials"),AND(OR(F10="CRE",F10="Mortgage",F10="Motor"),AND(M10&lt;&gt;"Origination",M10&lt;&gt;"Fixed fallback"))),"Value basis review",IF(AND(M10="Current financials",YEAR(AK10)&lt;&gt;YEAR('Settings'!$F$8)),"Stale financial period","Ready"))))))))))</x:f>
        <x:v>Ready</x:v>
      </x:c>
      <x:c r="AM10" s="8" t="str">
        <x:v>SYN-S3-SCREEN-2</x:v>
      </x:c>
      <x:c r="AN10" s="8" t="str">
        <x:v>Review overlap</x:v>
      </x:c>
      <x:c r="AO10" s="16"/>
      <x:c r="AP10" s="16"/>
      <x:c r="AQ10" s="8"/>
      <x:c r="AR10" s="40"/>
    </x:row>
    <x:row r="11" ht="40" customHeight="1">
      <x:c r="A11" s="1"/>
      <x:c r="B11" s="1"/>
      <x:c r="C11" s="8" t="str">
        <x:v>A002</x:v>
      </x:c>
      <x:c r="D11" s="8" t="str">
        <x:v>B002</x:v>
      </x:c>
      <x:c r="E11" s="8" t="str">
        <x:v>Demo Delta Solar solar project</x:v>
      </x:c>
      <x:c r="F11" s="8" t="str">
        <x:v>Project finance</x:v>
      </x:c>
      <x:c r="G11" s="9" t="str">
        <x:f>IF(C11="","",IFERROR(IF(INDEX('Borrowers'!$E$9:$E$108,MATCH(D11,'Borrowers'!$C$9:$C$108,0))="","",INDEX('Borrowers'!$E$9:$E$108,MATCH(D11,'Borrowers'!$C$9:$C$108,0))),""))</x:f>
        <x:v>Egypt</x:v>
      </x:c>
      <x:c r="H11" s="40" t="n">
        <x:v>46387</x:v>
      </x:c>
      <x:c r="I11" s="23" t="n">
        <x:f>IF(C11="","",IF(OR(F11="Corporate private",F11="Corporate listed"),IFERROR(IF(INDEX('Borrowers'!$M$9:$M$108,MATCH(D11,'Borrowers'!$C$9:$C$108,0))="","",INDEX('Borrowers'!$M$9:$M$108,MATCH(D11,'Borrowers'!$C$9:$C$108,0))),""),IF(F11="Project finance",IF(ISNUMBER(AO11),AO11,""),"")))</x:f>
        <x:v>20</x:v>
      </x:c>
      <x:c r="J11" s="23" t="n">
        <x:f>IF(C11="","",IF(OR(F11="Corporate private",F11="Corporate listed"),IFERROR(IF(INDEX('Borrowers'!$N$9:$N$108,MATCH(D11,'Borrowers'!$C$9:$C$108,0))="","",INDEX('Borrowers'!$N$9:$N$108,MATCH(D11,'Borrowers'!$C$9:$C$108,0))),""),IF(F11="Project finance",IF(ISNUMBER(AP11),AP11,""),"")))</x:f>
        <x:v>15</x:v>
      </x:c>
      <x:c r="K11" s="23" t="str">
        <x:f>IF(C11="","",IF(F11="Corporate listed",IFERROR(IF(INDEX('Borrowers'!$O$9:$O$108,MATCH(D11,'Borrowers'!$C$9:$C$108,0))="","",INDEX('Borrowers'!$O$9:$O$108,MATCH(D11,'Borrowers'!$C$9:$C$108,0))),""),""))</x:f>
      </x:c>
      <x:c r="L11" s="16" t="n">
        <x:v>30</x:v>
      </x:c>
      <x:c r="M11" s="8" t="str">
        <x:v>Current financials</x:v>
      </x:c>
      <x:c r="N11" s="21" t="n">
        <x:f>IF(C11="","",IF(F11="Corporate listed",IF(ISNUMBER(K11),K11,""),IF(OR(F11="Corporate private",F11="Project finance"),IF(AND(ISNUMBER(I11),ISNUMBER(J11)),MAX(I11,0)+J11,""),IF(OR(F11="CRE",F11="Mortgage",F11="Motor"),IF(ISNUMBER(L11),L11,""),""))))</x:f>
        <x:v>35</x:v>
      </x:c>
      <x:c r="O11" s="8" t="str">
        <x:v>SYN-INV-3</x:v>
      </x:c>
      <x:c r="P11" s="40" t="n">
        <x:v>46752</x:v>
      </x:c>
      <x:c r="Q11" s="8" t="str">
        <x:v>Activity</x:v>
      </x:c>
      <x:c r="R11" s="16"/>
      <x:c r="S11" s="8" t="str">
        <x:v>Yes</x:v>
      </x:c>
      <x:c r="T11" s="23" t="n">
        <x:f>IF(V11="Ready",IF(Q11="Activity",SUMIFS('Activity Data'!$U$9:$U$308,'Activity Data'!$D$9:$D$308,C11,'Activity Data'!$F$9:$F$308,"S1"),R11),"")</x:f>
        <x:v>26.8</x:v>
      </x:c>
      <x:c r="U11" s="44" t="n">
        <x:f>IF(V11&lt;&gt;"Ready","",IF(Q11="Reported verified",1,IF(Q11="Reported unverified",2,IF(F11="Motor",1,2))))</x:f>
        <x:v>2</x:v>
      </x:c>
      <x:c r="V11" s="9" t="str">
        <x:f>IF(C11="","",IF(Q11="Not assessed","Not assessed",IF(OR(O11="",NOT(ISNUMBER(H11)),NOT(ISNUMBER(P11))),"Evidence required",IF(OR(P11&lt;'Settings'!$F$8,H11&gt;'Settings'!$F$8,YEAR(H11)&lt;&gt;YEAR('Settings'!$F$8)),"Period / expiry review",IF(S11&lt;&gt;"Yes","Boundary incomplete",IF(OR(Q11="Reported verified",Q11="Reported unverified"),IF(NOT(OR(F11="Corporate private",F11="Corporate listed",F11="Project finance")),"Asset method required",IF(OR(NOT(ISNUMBER(R11)),R11&lt;0),"Reported value required","Ready")),IF(Q11="Activity",IF(AND(COUNTIFS('Activity Data'!$D$9:$D$308,C11,'Activity Data'!$F$9:$F$308,"S1")&gt;0,COUNTIFS('Activity Data'!$D$9:$D$308,C11,'Activity Data'!$F$9:$F$308,"S1")=COUNTIFS('Activity Data'!$D$9:$D$308,C11,'Activity Data'!$F$9:$F$308,"S1",'Activity Data'!$V$9:$V$308,"Ready")),"Ready","Activity incomplete"),"Method required")))))))</x:f>
        <x:v>Ready</x:v>
      </x:c>
      <x:c r="W11" s="8" t="str">
        <x:v>Activity</x:v>
      </x:c>
      <x:c r="X11" s="16"/>
      <x:c r="Y11" s="8" t="str">
        <x:v>Yes</x:v>
      </x:c>
      <x:c r="Z11" s="23" t="n">
        <x:f>IF(AB11="Ready",IF(W11="Activity",SUMIFS('Activity Data'!$U$9:$U$308,'Activity Data'!$D$9:$D$308,C11,'Activity Data'!$F$9:$F$308,"S2"),X11),"")</x:f>
        <x:v>36.8</x:v>
      </x:c>
      <x:c r="AA11" s="44" t="n">
        <x:f>IF(AB11&lt;&gt;"Ready","",IF(W11="Reported verified",1,IF(W11="Reported unverified",2,IF(F11="Motor",1,2))))</x:f>
        <x:v>2</x:v>
      </x:c>
      <x:c r="AB11" s="9" t="str">
        <x:f>IF(C11="","",IF(W11="Not assessed","Not assessed",IF(OR(O11="",NOT(ISNUMBER(H11)),NOT(ISNUMBER(P11))),"Evidence required",IF(OR(P11&lt;'Settings'!$F$8,H11&gt;'Settings'!$F$8,YEAR(H11)&lt;&gt;YEAR('Settings'!$F$8)),"Period / expiry review",IF(Y11&lt;&gt;"Yes","Boundary incomplete",IF(OR(AND(AC11&lt;&gt;"Location-based",AC11&lt;&gt;"Market-based"),AND(W11="Activity",AC11&lt;&gt;"Location-based")),"S2 basis mismatch",IF(OR(W11="Reported verified",W11="Reported unverified"),IF(NOT(OR(F11="Corporate private",F11="Corporate listed",F11="Project finance")),"Asset method required",IF(OR(NOT(ISNUMBER(X11)),X11&lt;0),"Reported value required","Ready")),IF(W11="Activity",IF(AND(COUNTIFS('Activity Data'!$D$9:$D$308,C11,'Activity Data'!$F$9:$F$308,"S2")&gt;0,COUNTIFS('Activity Data'!$D$9:$D$308,C11,'Activity Data'!$F$9:$F$308,"S2")=COUNTIFS('Activity Data'!$D$9:$D$308,C11,'Activity Data'!$F$9:$F$308,"S2",'Activity Data'!$V$9:$V$308,"Ready")),"Ready","Activity incomplete"),"Method required"))))))))</x:f>
        <x:v>Ready</x:v>
      </x:c>
      <x:c r="AC11" s="8" t="str">
        <x:v>Location-based</x:v>
      </x:c>
      <x:c r="AD11" s="8" t="str">
        <x:v>Not assessed</x:v>
      </x:c>
      <x:c r="AE11" s="16"/>
      <x:c r="AF11" s="8" t="str">
        <x:v>No</x:v>
      </x:c>
      <x:c r="AG11" s="23" t="str">
        <x:f>IF(AI11="Ready",IF(AD11="Activity",SUMIFS('Activity Data'!$U$9:$U$308,'Activity Data'!$D$9:$D$308,C11,'Activity Data'!$F$9:$F$308,"S3"),AE11),"")</x:f>
      </x:c>
      <x:c r="AH11" s="44" t="str">
        <x:f>IF(AI11&lt;&gt;"Ready","",IF(AD11="Reported verified",1,IF(AD11="Reported unverified",2,IF(F11="Motor",1,2))))</x:f>
      </x:c>
      <x:c r="AI11" s="9" t="str">
        <x:f>IF(C11="","",IF(AD11="Not assessed","Not assessed",IF(OR(O11="",NOT(ISNUMBER(H11)),NOT(ISNUMBER(P11))),"Evidence required",IF(OR(P11&lt;'Settings'!$F$8,H11&gt;'Settings'!$F$8,YEAR(H11)&lt;&gt;YEAR('Settings'!$F$8)),"Period / expiry review",IF(AF11&lt;&gt;"Yes","Boundary incomplete",IF(AM11="","S3 screening required",IF(OR(AD11="Reported verified",AD11="Reported unverified"),IF(NOT(OR(F11="Corporate private",F11="Corporate listed",F11="Project finance")),"Asset method required",IF(OR(NOT(ISNUMBER(AE11)),AE11&lt;0),"Reported value required","Ready")),"Scope 3 method required")))))))</x:f>
        <x:v>Not assessed</x:v>
      </x:c>
      <x:c r="AJ11" s="9" t="str">
        <x:f>IF(C11="","",IF(OR(F11="Corporate private",F11="Corporate listed"),IFERROR(IF(INDEX('Borrowers'!$X$9:$X$108,MATCH(D11,'Borrowers'!$C$9:$C$108,0))="","",INDEX('Borrowers'!$X$9:$X$108,MATCH(D11,'Borrowers'!$C$9:$C$108,0))),""),IF(AQ11="","",AQ11)))</x:f>
        <x:v>SYN-VALUE-3</x:v>
      </x:c>
      <x:c r="AK11" s="43" t="n">
        <x:f>IF(C11="","",IF(OR(F11="Corporate private",F11="Corporate listed"),IFERROR(IF(INDEX('Borrowers'!$H$9:$H$108,MATCH(D11,'Borrowers'!$C$9:$C$108,0))="","",INDEX('Borrowers'!$H$9:$H$108,MATCH(D11,'Borrowers'!$C$9:$C$108,0))),""),IF(AR11="","",AR11)))</x:f>
        <x:v>46387</x:v>
      </x:c>
      <x:c r="AL11" s="9" t="str">
        <x:f>IF(C11="","",IF(COUNTIFS($C$9:$C$108,C11)&lt;&gt;1,"Duplicate entity ID",IF(COUNTIFS('Borrowers'!$C$9:$C$108,D11)&lt;&gt;1,"Borrower required",IF(AND(F11&lt;&gt;"Corporate private",F11&lt;&gt;"Corporate listed",F11&lt;&gt;"Project finance",F11&lt;&gt;"CRE",F11&lt;&gt;"Mortgage",F11&lt;&gt;"Motor"),"Method required",IF(OR(AND(F11="Corporate private",IFERROR(IF(INDEX('Borrowers'!$G$9:$G$108,MATCH(D11,'Borrowers'!$C$9:$C$108,0))="","",INDEX('Borrowers'!$G$9:$G$108,MATCH(D11,'Borrowers'!$C$9:$C$108,0))),"")&lt;&gt;"Private"),AND(F11="Corporate listed",IFERROR(IF(INDEX('Borrowers'!$G$9:$G$108,MATCH(D11,'Borrowers'!$C$9:$C$108,0))="","",INDEX('Borrowers'!$G$9:$G$108,MATCH(D11,'Borrowers'!$C$9:$C$108,0))),"")&lt;&gt;"Listed")),"Listing / class mismatch",IF(OR(NOT(ISNUMBER(N11)),N11&lt;=0,AJ11="",NOT(ISNUMBER(AK11))),"Value evidence required",IF(AND(OR(F11="Corporate private",F11="Corporate listed"),IFERROR(IF(INDEX('Borrowers'!$Y$9:$Y$108,MATCH(D11,'Borrowers'!$C$9:$C$108,0))="","",INDEX('Borrowers'!$Y$9:$Y$108,MATCH(D11,'Borrowers'!$C$9:$C$108,0))),"")&lt;'Settings'!$F$8),"Expired financial evidence",IF(AK11&gt;'Settings'!$F$8,"Future value date",IF(OR(AND(OR(F11="Corporate private",F11="Project finance"),OR(J11&lt;0,M11&lt;&gt;"Current financials")),AND(F11="Corporate listed",M11&lt;&gt;"Current financials"),AND(OR(F11="CRE",F11="Mortgage",F11="Motor"),AND(M11&lt;&gt;"Origination",M11&lt;&gt;"Fixed fallback"))),"Value basis review",IF(AND(M11="Current financials",YEAR(AK11)&lt;&gt;YEAR('Settings'!$F$8)),"Stale financial period","Ready"))))))))))</x:f>
        <x:v>Ready</x:v>
      </x:c>
      <x:c r="AM11" s="8" t="str"/>
      <x:c r="AN11" s="8" t="str">
        <x:v>Review overlap</x:v>
      </x:c>
      <x:c r="AO11" s="16" t="n">
        <x:v>20</x:v>
      </x:c>
      <x:c r="AP11" s="16" t="n">
        <x:v>15</x:v>
      </x:c>
      <x:c r="AQ11" s="8" t="str">
        <x:v>SYN-VALUE-3</x:v>
      </x:c>
      <x:c r="AR11" s="40" t="n">
        <x:v>46387</x:v>
      </x:c>
    </x:row>
    <x:row r="12" ht="40" customHeight="1">
      <x:c r="A12" s="1"/>
      <x:c r="B12" s="1"/>
      <x:c r="C12" s="8" t="str">
        <x:v>B003</x:v>
      </x:c>
      <x:c r="D12" s="8" t="str">
        <x:v>B003</x:v>
      </x:c>
      <x:c r="E12" s="8" t="str">
        <x:v>Demo Alexandria Logistics</x:v>
      </x:c>
      <x:c r="F12" s="8" t="str">
        <x:v>Corporate private</x:v>
      </x:c>
      <x:c r="G12" s="9" t="str">
        <x:f>IF(C12="","",IFERROR(IF(INDEX('Borrowers'!$E$9:$E$108,MATCH(D12,'Borrowers'!$C$9:$C$108,0))="","",INDEX('Borrowers'!$E$9:$E$108,MATCH(D12,'Borrowers'!$C$9:$C$108,0))),""))</x:f>
        <x:v>Egypt</x:v>
      </x:c>
      <x:c r="H12" s="40" t="n">
        <x:v>46387</x:v>
      </x:c>
      <x:c r="I12" s="23" t="n">
        <x:f>IF(C12="","",IF(OR(F12="Corporate private",F12="Corporate listed"),IFERROR(IF(INDEX('Borrowers'!$M$9:$M$108,MATCH(D12,'Borrowers'!$C$9:$C$108,0))="","",INDEX('Borrowers'!$M$9:$M$108,MATCH(D12,'Borrowers'!$C$9:$C$108,0))),""),IF(F12="Project finance",IF(ISNUMBER(AO12),AO12,""),"")))</x:f>
        <x:v>46</x:v>
      </x:c>
      <x:c r="J12" s="23" t="n">
        <x:f>IF(C12="","",IF(OR(F12="Corporate private",F12="Corporate listed"),IFERROR(IF(INDEX('Borrowers'!$N$9:$N$108,MATCH(D12,'Borrowers'!$C$9:$C$108,0))="","",INDEX('Borrowers'!$N$9:$N$108,MATCH(D12,'Borrowers'!$C$9:$C$108,0))),""),IF(F12="Project finance",IF(ISNUMBER(AP12),AP12,""),"")))</x:f>
        <x:v>29</x:v>
      </x:c>
      <x:c r="K12" s="23" t="str">
        <x:f>IF(C12="","",IF(F12="Corporate listed",IFERROR(IF(INDEX('Borrowers'!$O$9:$O$108,MATCH(D12,'Borrowers'!$C$9:$C$108,0))="","",INDEX('Borrowers'!$O$9:$O$108,MATCH(D12,'Borrowers'!$C$9:$C$108,0))),""),""))</x:f>
      </x:c>
      <x:c r="L12" s="16"/>
      <x:c r="M12" s="8" t="str">
        <x:v>Current financials</x:v>
      </x:c>
      <x:c r="N12" s="21" t="n">
        <x:f>IF(C12="","",IF(F12="Corporate listed",IF(ISNUMBER(K12),K12,""),IF(OR(F12="Corporate private",F12="Project finance"),IF(AND(ISNUMBER(I12),ISNUMBER(J12)),MAX(I12,0)+J12,""),IF(OR(F12="CRE",F12="Mortgage",F12="Motor"),IF(ISNUMBER(L12),L12,""),""))))</x:f>
        <x:v>75</x:v>
      </x:c>
      <x:c r="O12" s="8" t="str">
        <x:v>SYN-INV-4</x:v>
      </x:c>
      <x:c r="P12" s="40" t="n">
        <x:v>46752</x:v>
      </x:c>
      <x:c r="Q12" s="8" t="str">
        <x:v>Reported verified</x:v>
      </x:c>
      <x:c r="R12" s="16" t="n">
        <x:v>1410</x:v>
      </x:c>
      <x:c r="S12" s="8" t="str">
        <x:v>Yes</x:v>
      </x:c>
      <x:c r="T12" s="23" t="n">
        <x:f>IF(V12="Ready",IF(Q12="Activity",SUMIFS('Activity Data'!$U$9:$U$308,'Activity Data'!$D$9:$D$308,C12,'Activity Data'!$F$9:$F$308,"S1"),R12),"")</x:f>
        <x:v>1410</x:v>
      </x:c>
      <x:c r="U12" s="44" t="n">
        <x:f>IF(V12&lt;&gt;"Ready","",IF(Q12="Reported verified",1,IF(Q12="Reported unverified",2,IF(F12="Motor",1,2))))</x:f>
        <x:v>1</x:v>
      </x:c>
      <x:c r="V12" s="9" t="str">
        <x:f>IF(C12="","",IF(Q12="Not assessed","Not assessed",IF(OR(O12="",NOT(ISNUMBER(H12)),NOT(ISNUMBER(P12))),"Evidence required",IF(OR(P12&lt;'Settings'!$F$8,H12&gt;'Settings'!$F$8,YEAR(H12)&lt;&gt;YEAR('Settings'!$F$8)),"Period / expiry review",IF(S12&lt;&gt;"Yes","Boundary incomplete",IF(OR(Q12="Reported verified",Q12="Reported unverified"),IF(NOT(OR(F12="Corporate private",F12="Corporate listed",F12="Project finance")),"Asset method required",IF(OR(NOT(ISNUMBER(R12)),R12&lt;0),"Reported value required","Ready")),IF(Q12="Activity",IF(AND(COUNTIFS('Activity Data'!$D$9:$D$308,C12,'Activity Data'!$F$9:$F$308,"S1")&gt;0,COUNTIFS('Activity Data'!$D$9:$D$308,C12,'Activity Data'!$F$9:$F$308,"S1")=COUNTIFS('Activity Data'!$D$9:$D$308,C12,'Activity Data'!$F$9:$F$308,"S1",'Activity Data'!$V$9:$V$308,"Ready")),"Ready","Activity incomplete"),"Method required")))))))</x:f>
        <x:v>Ready</x:v>
      </x:c>
      <x:c r="W12" s="8" t="str">
        <x:v>Reported verified</x:v>
      </x:c>
      <x:c r="X12" s="16" t="n">
        <x:v>2000</x:v>
      </x:c>
      <x:c r="Y12" s="8" t="str">
        <x:v>Yes</x:v>
      </x:c>
      <x:c r="Z12" s="23" t="n">
        <x:f>IF(AB12="Ready",IF(W12="Activity",SUMIFS('Activity Data'!$U$9:$U$308,'Activity Data'!$D$9:$D$308,C12,'Activity Data'!$F$9:$F$308,"S2"),X12),"")</x:f>
        <x:v>2000</x:v>
      </x:c>
      <x:c r="AA12" s="44" t="n">
        <x:f>IF(AB12&lt;&gt;"Ready","",IF(W12="Reported verified",1,IF(W12="Reported unverified",2,IF(F12="Motor",1,2))))</x:f>
        <x:v>1</x:v>
      </x:c>
      <x:c r="AB12" s="9" t="str">
        <x:f>IF(C12="","",IF(W12="Not assessed","Not assessed",IF(OR(O12="",NOT(ISNUMBER(H12)),NOT(ISNUMBER(P12))),"Evidence required",IF(OR(P12&lt;'Settings'!$F$8,H12&gt;'Settings'!$F$8,YEAR(H12)&lt;&gt;YEAR('Settings'!$F$8)),"Period / expiry review",IF(Y12&lt;&gt;"Yes","Boundary incomplete",IF(OR(AND(AC12&lt;&gt;"Location-based",AC12&lt;&gt;"Market-based"),AND(W12="Activity",AC12&lt;&gt;"Location-based")),"S2 basis mismatch",IF(OR(W12="Reported verified",W12="Reported unverified"),IF(NOT(OR(F12="Corporate private",F12="Corporate listed",F12="Project finance")),"Asset method required",IF(OR(NOT(ISNUMBER(X12)),X12&lt;0),"Reported value required","Ready")),IF(W12="Activity",IF(AND(COUNTIFS('Activity Data'!$D$9:$D$308,C12,'Activity Data'!$F$9:$F$308,"S2")&gt;0,COUNTIFS('Activity Data'!$D$9:$D$308,C12,'Activity Data'!$F$9:$F$308,"S2")=COUNTIFS('Activity Data'!$D$9:$D$308,C12,'Activity Data'!$F$9:$F$308,"S2",'Activity Data'!$V$9:$V$308,"Ready")),"Ready","Activity incomplete"),"Method required"))))))))</x:f>
        <x:v>Ready</x:v>
      </x:c>
      <x:c r="AC12" s="8" t="str">
        <x:v>Location-based</x:v>
      </x:c>
      <x:c r="AD12" s="8" t="str">
        <x:v>Reported unverified</x:v>
      </x:c>
      <x:c r="AE12" s="16" t="n">
        <x:v>8400</x:v>
      </x:c>
      <x:c r="AF12" s="8" t="str">
        <x:v>Yes</x:v>
      </x:c>
      <x:c r="AG12" s="23" t="n">
        <x:f>IF(AI12="Ready",IF(AD12="Activity",SUMIFS('Activity Data'!$U$9:$U$308,'Activity Data'!$D$9:$D$308,C12,'Activity Data'!$F$9:$F$308,"S3"),AE12),"")</x:f>
        <x:v>8400</x:v>
      </x:c>
      <x:c r="AH12" s="44" t="n">
        <x:f>IF(AI12&lt;&gt;"Ready","",IF(AD12="Reported verified",1,IF(AD12="Reported unverified",2,IF(F12="Motor",1,2))))</x:f>
        <x:v>2</x:v>
      </x:c>
      <x:c r="AI12" s="9" t="str">
        <x:f>IF(C12="","",IF(AD12="Not assessed","Not assessed",IF(OR(O12="",NOT(ISNUMBER(H12)),NOT(ISNUMBER(P12))),"Evidence required",IF(OR(P12&lt;'Settings'!$F$8,H12&gt;'Settings'!$F$8,YEAR(H12)&lt;&gt;YEAR('Settings'!$F$8)),"Period / expiry review",IF(AF12&lt;&gt;"Yes","Boundary incomplete",IF(AM12="","S3 screening required",IF(OR(AD12="Reported verified",AD12="Reported unverified"),IF(NOT(OR(F12="Corporate private",F12="Corporate listed",F12="Project finance")),"Asset method required",IF(OR(NOT(ISNUMBER(AE12)),AE12&lt;0),"Reported value required","Ready")),"Scope 3 method required")))))))</x:f>
        <x:v>Ready</x:v>
      </x:c>
      <x:c r="AJ12" s="9" t="str">
        <x:f>IF(C12="","",IF(OR(F12="Corporate private",F12="Corporate listed"),IFERROR(IF(INDEX('Borrowers'!$X$9:$X$108,MATCH(D12,'Borrowers'!$C$9:$C$108,0))="","",INDEX('Borrowers'!$X$9:$X$108,MATCH(D12,'Borrowers'!$C$9:$C$108,0))),""),IF(AQ12="","",AQ12)))</x:f>
        <x:v>SYN-FIN-3</x:v>
      </x:c>
      <x:c r="AK12" s="43" t="n">
        <x:f>IF(C12="","",IF(OR(F12="Corporate private",F12="Corporate listed"),IFERROR(IF(INDEX('Borrowers'!$H$9:$H$108,MATCH(D12,'Borrowers'!$C$9:$C$108,0))="","",INDEX('Borrowers'!$H$9:$H$108,MATCH(D12,'Borrowers'!$C$9:$C$108,0))),""),IF(AR12="","",AR12)))</x:f>
        <x:v>46387</x:v>
      </x:c>
      <x:c r="AL12" s="9" t="str">
        <x:f>IF(C12="","",IF(COUNTIFS($C$9:$C$108,C12)&lt;&gt;1,"Duplicate entity ID",IF(COUNTIFS('Borrowers'!$C$9:$C$108,D12)&lt;&gt;1,"Borrower required",IF(AND(F12&lt;&gt;"Corporate private",F12&lt;&gt;"Corporate listed",F12&lt;&gt;"Project finance",F12&lt;&gt;"CRE",F12&lt;&gt;"Mortgage",F12&lt;&gt;"Motor"),"Method required",IF(OR(AND(F12="Corporate private",IFERROR(IF(INDEX('Borrowers'!$G$9:$G$108,MATCH(D12,'Borrowers'!$C$9:$C$108,0))="","",INDEX('Borrowers'!$G$9:$G$108,MATCH(D12,'Borrowers'!$C$9:$C$108,0))),"")&lt;&gt;"Private"),AND(F12="Corporate listed",IFERROR(IF(INDEX('Borrowers'!$G$9:$G$108,MATCH(D12,'Borrowers'!$C$9:$C$108,0))="","",INDEX('Borrowers'!$G$9:$G$108,MATCH(D12,'Borrowers'!$C$9:$C$108,0))),"")&lt;&gt;"Listed")),"Listing / class mismatch",IF(OR(NOT(ISNUMBER(N12)),N12&lt;=0,AJ12="",NOT(ISNUMBER(AK12))),"Value evidence required",IF(AND(OR(F12="Corporate private",F12="Corporate listed"),IFERROR(IF(INDEX('Borrowers'!$Y$9:$Y$108,MATCH(D12,'Borrowers'!$C$9:$C$108,0))="","",INDEX('Borrowers'!$Y$9:$Y$108,MATCH(D12,'Borrowers'!$C$9:$C$108,0))),"")&lt;'Settings'!$F$8),"Expired financial evidence",IF(AK12&gt;'Settings'!$F$8,"Future value date",IF(OR(AND(OR(F12="Corporate private",F12="Project finance"),OR(J12&lt;0,M12&lt;&gt;"Current financials")),AND(F12="Corporate listed",M12&lt;&gt;"Current financials"),AND(OR(F12="CRE",F12="Mortgage",F12="Motor"),AND(M12&lt;&gt;"Origination",M12&lt;&gt;"Fixed fallback"))),"Value basis review",IF(AND(M12="Current financials",YEAR(AK12)&lt;&gt;YEAR('Settings'!$F$8)),"Stale financial period","Ready"))))))))))</x:f>
        <x:v>Ready</x:v>
      </x:c>
      <x:c r="AM12" s="8" t="str">
        <x:v>SYN-S3-SCREEN-4</x:v>
      </x:c>
      <x:c r="AN12" s="8" t="str">
        <x:v>Review overlap</x:v>
      </x:c>
      <x:c r="AO12" s="16"/>
      <x:c r="AP12" s="16"/>
      <x:c r="AQ12" s="8"/>
      <x:c r="AR12" s="40"/>
    </x:row>
    <x:row r="13" ht="40" customHeight="1">
      <x:c r="A13" s="1"/>
      <x:c r="B13" s="1"/>
      <x:c r="C13" s="8" t="str">
        <x:v>A003</x:v>
      </x:c>
      <x:c r="D13" s="8" t="str">
        <x:v>B003</x:v>
      </x:c>
      <x:c r="E13" s="8" t="str">
        <x:v>Demo Alexandria Logistics financed fleet</x:v>
      </x:c>
      <x:c r="F13" s="8" t="str">
        <x:v>Motor</x:v>
      </x:c>
      <x:c r="G13" s="9" t="str">
        <x:f>IF(C13="","",IFERROR(IF(INDEX('Borrowers'!$E$9:$E$108,MATCH(D13,'Borrowers'!$C$9:$C$108,0))="","",INDEX('Borrowers'!$E$9:$E$108,MATCH(D13,'Borrowers'!$C$9:$C$108,0))),""))</x:f>
        <x:v>Egypt</x:v>
      </x:c>
      <x:c r="H13" s="40" t="n">
        <x:v>46387</x:v>
      </x:c>
      <x:c r="I13" s="23" t="str">
        <x:f>IF(C13="","",IF(OR(F13="Corporate private",F13="Corporate listed"),IFERROR(IF(INDEX('Borrowers'!$M$9:$M$108,MATCH(D13,'Borrowers'!$C$9:$C$108,0))="","",INDEX('Borrowers'!$M$9:$M$108,MATCH(D13,'Borrowers'!$C$9:$C$108,0))),""),IF(F13="Project finance",IF(ISNUMBER(AO13),AO13,""),"")))</x:f>
      </x:c>
      <x:c r="J13" s="23" t="str">
        <x:f>IF(C13="","",IF(OR(F13="Corporate private",F13="Corporate listed"),IFERROR(IF(INDEX('Borrowers'!$N$9:$N$108,MATCH(D13,'Borrowers'!$C$9:$C$108,0))="","",INDEX('Borrowers'!$N$9:$N$108,MATCH(D13,'Borrowers'!$C$9:$C$108,0))),""),IF(F13="Project finance",IF(ISNUMBER(AP13),AP13,""),"")))</x:f>
      </x:c>
      <x:c r="K13" s="23" t="str">
        <x:f>IF(C13="","",IF(F13="Corporate listed",IFERROR(IF(INDEX('Borrowers'!$O$9:$O$108,MATCH(D13,'Borrowers'!$C$9:$C$108,0))="","",INDEX('Borrowers'!$O$9:$O$108,MATCH(D13,'Borrowers'!$C$9:$C$108,0))),""),""))</x:f>
      </x:c>
      <x:c r="L13" s="16" t="n">
        <x:v>30</x:v>
      </x:c>
      <x:c r="M13" s="8" t="str">
        <x:v>Origination</x:v>
      </x:c>
      <x:c r="N13" s="21" t="n">
        <x:f>IF(C13="","",IF(F13="Corporate listed",IF(ISNUMBER(K13),K13,""),IF(OR(F13="Corporate private",F13="Project finance"),IF(AND(ISNUMBER(I13),ISNUMBER(J13)),MAX(I13,0)+J13,""),IF(OR(F13="CRE",F13="Mortgage",F13="Motor"),IF(ISNUMBER(L13),L13,""),""))))</x:f>
        <x:v>30</x:v>
      </x:c>
      <x:c r="O13" s="8" t="str">
        <x:v>SYN-INV-5</x:v>
      </x:c>
      <x:c r="P13" s="40" t="n">
        <x:v>46752</x:v>
      </x:c>
      <x:c r="Q13" s="8" t="str">
        <x:v>Activity</x:v>
      </x:c>
      <x:c r="R13" s="16"/>
      <x:c r="S13" s="8" t="str">
        <x:v>Yes</x:v>
      </x:c>
      <x:c r="T13" s="23" t="n">
        <x:f>IF(V13="Ready",IF(Q13="Activity",SUMIFS('Activity Data'!$U$9:$U$308,'Activity Data'!$D$9:$D$308,C13,'Activity Data'!$F$9:$F$308,"S1"),R13),"")</x:f>
        <x:v>2144</x:v>
      </x:c>
      <x:c r="U13" s="44" t="n">
        <x:f>IF(V13&lt;&gt;"Ready","",IF(Q13="Reported verified",1,IF(Q13="Reported unverified",2,IF(F13="Motor",1,2))))</x:f>
        <x:v>1</x:v>
      </x:c>
      <x:c r="V13" s="9" t="str">
        <x:f>IF(C13="","",IF(Q13="Not assessed","Not assessed",IF(OR(O13="",NOT(ISNUMBER(H13)),NOT(ISNUMBER(P13))),"Evidence required",IF(OR(P13&lt;'Settings'!$F$8,H13&gt;'Settings'!$F$8,YEAR(H13)&lt;&gt;YEAR('Settings'!$F$8)),"Period / expiry review",IF(S13&lt;&gt;"Yes","Boundary incomplete",IF(OR(Q13="Reported verified",Q13="Reported unverified"),IF(NOT(OR(F13="Corporate private",F13="Corporate listed",F13="Project finance")),"Asset method required",IF(OR(NOT(ISNUMBER(R13)),R13&lt;0),"Reported value required","Ready")),IF(Q13="Activity",IF(AND(COUNTIFS('Activity Data'!$D$9:$D$308,C13,'Activity Data'!$F$9:$F$308,"S1")&gt;0,COUNTIFS('Activity Data'!$D$9:$D$308,C13,'Activity Data'!$F$9:$F$308,"S1")=COUNTIFS('Activity Data'!$D$9:$D$308,C13,'Activity Data'!$F$9:$F$308,"S1",'Activity Data'!$V$9:$V$308,"Ready")),"Ready","Activity incomplete"),"Method required")))))))</x:f>
        <x:v>Ready</x:v>
      </x:c>
      <x:c r="W13" s="8" t="str">
        <x:v>Activity</x:v>
      </x:c>
      <x:c r="X13" s="16"/>
      <x:c r="Y13" s="8" t="str">
        <x:v>Yes</x:v>
      </x:c>
      <x:c r="Z13" s="23" t="n">
        <x:f>IF(AB13="Ready",IF(W13="Activity",SUMIFS('Activity Data'!$U$9:$U$308,'Activity Data'!$D$9:$D$308,C13,'Activity Data'!$F$9:$F$308,"S2"),X13),"")</x:f>
        <x:v>36.8</x:v>
      </x:c>
      <x:c r="AA13" s="44" t="n">
        <x:f>IF(AB13&lt;&gt;"Ready","",IF(W13="Reported verified",1,IF(W13="Reported unverified",2,IF(F13="Motor",1,2))))</x:f>
        <x:v>1</x:v>
      </x:c>
      <x:c r="AB13" s="9" t="str">
        <x:f>IF(C13="","",IF(W13="Not assessed","Not assessed",IF(OR(O13="",NOT(ISNUMBER(H13)),NOT(ISNUMBER(P13))),"Evidence required",IF(OR(P13&lt;'Settings'!$F$8,H13&gt;'Settings'!$F$8,YEAR(H13)&lt;&gt;YEAR('Settings'!$F$8)),"Period / expiry review",IF(Y13&lt;&gt;"Yes","Boundary incomplete",IF(OR(AND(AC13&lt;&gt;"Location-based",AC13&lt;&gt;"Market-based"),AND(W13="Activity",AC13&lt;&gt;"Location-based")),"S2 basis mismatch",IF(OR(W13="Reported verified",W13="Reported unverified"),IF(NOT(OR(F13="Corporate private",F13="Corporate listed",F13="Project finance")),"Asset method required",IF(OR(NOT(ISNUMBER(X13)),X13&lt;0),"Reported value required","Ready")),IF(W13="Activity",IF(AND(COUNTIFS('Activity Data'!$D$9:$D$308,C13,'Activity Data'!$F$9:$F$308,"S2")&gt;0,COUNTIFS('Activity Data'!$D$9:$D$308,C13,'Activity Data'!$F$9:$F$308,"S2")=COUNTIFS('Activity Data'!$D$9:$D$308,C13,'Activity Data'!$F$9:$F$308,"S2",'Activity Data'!$V$9:$V$308,"Ready")),"Ready","Activity incomplete"),"Method required"))))))))</x:f>
        <x:v>Ready</x:v>
      </x:c>
      <x:c r="AC13" s="8" t="str">
        <x:v>Location-based</x:v>
      </x:c>
      <x:c r="AD13" s="8" t="str">
        <x:v>Not assessed</x:v>
      </x:c>
      <x:c r="AE13" s="16"/>
      <x:c r="AF13" s="8" t="str">
        <x:v>No</x:v>
      </x:c>
      <x:c r="AG13" s="23" t="str">
        <x:f>IF(AI13="Ready",IF(AD13="Activity",SUMIFS('Activity Data'!$U$9:$U$308,'Activity Data'!$D$9:$D$308,C13,'Activity Data'!$F$9:$F$308,"S3"),AE13),"")</x:f>
      </x:c>
      <x:c r="AH13" s="44" t="str">
        <x:f>IF(AI13&lt;&gt;"Ready","",IF(AD13="Reported verified",1,IF(AD13="Reported unverified",2,IF(F13="Motor",1,2))))</x:f>
      </x:c>
      <x:c r="AI13" s="9" t="str">
        <x:f>IF(C13="","",IF(AD13="Not assessed","Not assessed",IF(OR(O13="",NOT(ISNUMBER(H13)),NOT(ISNUMBER(P13))),"Evidence required",IF(OR(P13&lt;'Settings'!$F$8,H13&gt;'Settings'!$F$8,YEAR(H13)&lt;&gt;YEAR('Settings'!$F$8)),"Period / expiry review",IF(AF13&lt;&gt;"Yes","Boundary incomplete",IF(AM13="","S3 screening required",IF(OR(AD13="Reported verified",AD13="Reported unverified"),IF(NOT(OR(F13="Corporate private",F13="Corporate listed",F13="Project finance")),"Asset method required",IF(OR(NOT(ISNUMBER(AE13)),AE13&lt;0),"Reported value required","Ready")),"Scope 3 method required")))))))</x:f>
        <x:v>Not assessed</x:v>
      </x:c>
      <x:c r="AJ13" s="9" t="str">
        <x:f>IF(C13="","",IF(OR(F13="Corporate private",F13="Corporate listed"),IFERROR(IF(INDEX('Borrowers'!$X$9:$X$108,MATCH(D13,'Borrowers'!$C$9:$C$108,0))="","",INDEX('Borrowers'!$X$9:$X$108,MATCH(D13,'Borrowers'!$C$9:$C$108,0))),""),IF(AQ13="","",AQ13)))</x:f>
        <x:v>SYN-VALUE-5</x:v>
      </x:c>
      <x:c r="AK13" s="43" t="n">
        <x:f>IF(C13="","",IF(OR(F13="Corporate private",F13="Corporate listed"),IFERROR(IF(INDEX('Borrowers'!$H$9:$H$108,MATCH(D13,'Borrowers'!$C$9:$C$108,0))="","",INDEX('Borrowers'!$H$9:$H$108,MATCH(D13,'Borrowers'!$C$9:$C$108,0))),""),IF(AR13="","",AR13)))</x:f>
        <x:v>45473</x:v>
      </x:c>
      <x:c r="AL13" s="9" t="str">
        <x:f>IF(C13="","",IF(COUNTIFS($C$9:$C$108,C13)&lt;&gt;1,"Duplicate entity ID",IF(COUNTIFS('Borrowers'!$C$9:$C$108,D13)&lt;&gt;1,"Borrower required",IF(AND(F13&lt;&gt;"Corporate private",F13&lt;&gt;"Corporate listed",F13&lt;&gt;"Project finance",F13&lt;&gt;"CRE",F13&lt;&gt;"Mortgage",F13&lt;&gt;"Motor"),"Method required",IF(OR(AND(F13="Corporate private",IFERROR(IF(INDEX('Borrowers'!$G$9:$G$108,MATCH(D13,'Borrowers'!$C$9:$C$108,0))="","",INDEX('Borrowers'!$G$9:$G$108,MATCH(D13,'Borrowers'!$C$9:$C$108,0))),"")&lt;&gt;"Private"),AND(F13="Corporate listed",IFERROR(IF(INDEX('Borrowers'!$G$9:$G$108,MATCH(D13,'Borrowers'!$C$9:$C$108,0))="","",INDEX('Borrowers'!$G$9:$G$108,MATCH(D13,'Borrowers'!$C$9:$C$108,0))),"")&lt;&gt;"Listed")),"Listing / class mismatch",IF(OR(NOT(ISNUMBER(N13)),N13&lt;=0,AJ13="",NOT(ISNUMBER(AK13))),"Value evidence required",IF(AND(OR(F13="Corporate private",F13="Corporate listed"),IFERROR(IF(INDEX('Borrowers'!$Y$9:$Y$108,MATCH(D13,'Borrowers'!$C$9:$C$108,0))="","",INDEX('Borrowers'!$Y$9:$Y$108,MATCH(D13,'Borrowers'!$C$9:$C$108,0))),"")&lt;'Settings'!$F$8),"Expired financial evidence",IF(AK13&gt;'Settings'!$F$8,"Future value date",IF(OR(AND(OR(F13="Corporate private",F13="Project finance"),OR(J13&lt;0,M13&lt;&gt;"Current financials")),AND(F13="Corporate listed",M13&lt;&gt;"Current financials"),AND(OR(F13="CRE",F13="Mortgage",F13="Motor"),AND(M13&lt;&gt;"Origination",M13&lt;&gt;"Fixed fallback"))),"Value basis review",IF(AND(M13="Current financials",YEAR(AK13)&lt;&gt;YEAR('Settings'!$F$8)),"Stale financial period","Ready"))))))))))</x:f>
        <x:v>Ready</x:v>
      </x:c>
      <x:c r="AM13" s="8" t="str"/>
      <x:c r="AN13" s="8" t="str">
        <x:v>Review overlap</x:v>
      </x:c>
      <x:c r="AO13" s="16" t="n">
        <x:v>20</x:v>
      </x:c>
      <x:c r="AP13" s="16" t="n">
        <x:v>15</x:v>
      </x:c>
      <x:c r="AQ13" s="8" t="str">
        <x:v>SYN-VALUE-5</x:v>
      </x:c>
      <x:c r="AR13" s="40" t="n">
        <x:v>45473</x:v>
      </x:c>
    </x:row>
    <x:row r="14" ht="40" customHeight="1">
      <x:c r="A14" s="1"/>
      <x:c r="B14" s="1"/>
      <x:c r="C14" s="8" t="str">
        <x:v>B004</x:v>
      </x:c>
      <x:c r="D14" s="8" t="str">
        <x:v>B004</x:v>
      </x:c>
      <x:c r="E14" s="8" t="str">
        <x:v>Demo Oasis Foods</x:v>
      </x:c>
      <x:c r="F14" s="8" t="str">
        <x:v>Corporate private</x:v>
      </x:c>
      <x:c r="G14" s="9" t="str">
        <x:f>IF(C14="","",IFERROR(IF(INDEX('Borrowers'!$E$9:$E$108,MATCH(D14,'Borrowers'!$C$9:$C$108,0))="","",INDEX('Borrowers'!$E$9:$E$108,MATCH(D14,'Borrowers'!$C$9:$C$108,0))),""))</x:f>
        <x:v>Egypt</x:v>
      </x:c>
      <x:c r="H14" s="40" t="n">
        <x:v>46387</x:v>
      </x:c>
      <x:c r="I14" s="23" t="n">
        <x:f>IF(C14="","",IF(OR(F14="Corporate private",F14="Corporate listed"),IFERROR(IF(INDEX('Borrowers'!$M$9:$M$108,MATCH(D14,'Borrowers'!$C$9:$C$108,0))="","",INDEX('Borrowers'!$M$9:$M$108,MATCH(D14,'Borrowers'!$C$9:$C$108,0))),""),IF(F14="Project finance",IF(ISNUMBER(AO14),AO14,""),"")))</x:f>
        <x:v>49</x:v>
      </x:c>
      <x:c r="J14" s="23" t="n">
        <x:f>IF(C14="","",IF(OR(F14="Corporate private",F14="Corporate listed"),IFERROR(IF(INDEX('Borrowers'!$N$9:$N$108,MATCH(D14,'Borrowers'!$C$9:$C$108,0))="","",INDEX('Borrowers'!$N$9:$N$108,MATCH(D14,'Borrowers'!$C$9:$C$108,0))),""),IF(F14="Project finance",IF(ISNUMBER(AP14),AP14,""),"")))</x:f>
        <x:v>31</x:v>
      </x:c>
      <x:c r="K14" s="23" t="str">
        <x:f>IF(C14="","",IF(F14="Corporate listed",IFERROR(IF(INDEX('Borrowers'!$O$9:$O$108,MATCH(D14,'Borrowers'!$C$9:$C$108,0))="","",INDEX('Borrowers'!$O$9:$O$108,MATCH(D14,'Borrowers'!$C$9:$C$108,0))),""),""))</x:f>
      </x:c>
      <x:c r="L14" s="16"/>
      <x:c r="M14" s="8" t="str">
        <x:v>Current financials</x:v>
      </x:c>
      <x:c r="N14" s="21" t="n">
        <x:f>IF(C14="","",IF(F14="Corporate listed",IF(ISNUMBER(K14),K14,""),IF(OR(F14="Corporate private",F14="Project finance"),IF(AND(ISNUMBER(I14),ISNUMBER(J14)),MAX(I14,0)+J14,""),IF(OR(F14="CRE",F14="Mortgage",F14="Motor"),IF(ISNUMBER(L14),L14,""),""))))</x:f>
        <x:v>80</x:v>
      </x:c>
      <x:c r="O14" s="8" t="str">
        <x:v>SYN-INV-6</x:v>
      </x:c>
      <x:c r="P14" s="40" t="n">
        <x:v>46752</x:v>
      </x:c>
      <x:c r="Q14" s="8" t="str">
        <x:v>Reported unverified</x:v>
      </x:c>
      <x:c r="R14" s="16" t="n">
        <x:v>1750</x:v>
      </x:c>
      <x:c r="S14" s="8" t="str">
        <x:v>Yes</x:v>
      </x:c>
      <x:c r="T14" s="23" t="n">
        <x:f>IF(V14="Ready",IF(Q14="Activity",SUMIFS('Activity Data'!$U$9:$U$308,'Activity Data'!$D$9:$D$308,C14,'Activity Data'!$F$9:$F$308,"S1"),R14),"")</x:f>
        <x:v>1750</x:v>
      </x:c>
      <x:c r="U14" s="44" t="n">
        <x:f>IF(V14&lt;&gt;"Ready","",IF(Q14="Reported verified",1,IF(Q14="Reported unverified",2,IF(F14="Motor",1,2))))</x:f>
        <x:v>2</x:v>
      </x:c>
      <x:c r="V14" s="9" t="str">
        <x:f>IF(C14="","",IF(Q14="Not assessed","Not assessed",IF(OR(O14="",NOT(ISNUMBER(H14)),NOT(ISNUMBER(P14))),"Evidence required",IF(OR(P14&lt;'Settings'!$F$8,H14&gt;'Settings'!$F$8,YEAR(H14)&lt;&gt;YEAR('Settings'!$F$8)),"Period / expiry review",IF(S14&lt;&gt;"Yes","Boundary incomplete",IF(OR(Q14="Reported verified",Q14="Reported unverified"),IF(NOT(OR(F14="Corporate private",F14="Corporate listed",F14="Project finance")),"Asset method required",IF(OR(NOT(ISNUMBER(R14)),R14&lt;0),"Reported value required","Ready")),IF(Q14="Activity",IF(AND(COUNTIFS('Activity Data'!$D$9:$D$308,C14,'Activity Data'!$F$9:$F$308,"S1")&gt;0,COUNTIFS('Activity Data'!$D$9:$D$308,C14,'Activity Data'!$F$9:$F$308,"S1")=COUNTIFS('Activity Data'!$D$9:$D$308,C14,'Activity Data'!$F$9:$F$308,"S1",'Activity Data'!$V$9:$V$308,"Ready")),"Ready","Activity incomplete"),"Method required")))))))</x:f>
        <x:v>Ready</x:v>
      </x:c>
      <x:c r="W14" s="8" t="str">
        <x:v>Reported unverified</x:v>
      </x:c>
      <x:c r="X14" s="16" t="n">
        <x:v>2200</x:v>
      </x:c>
      <x:c r="Y14" s="8" t="str">
        <x:v>Yes</x:v>
      </x:c>
      <x:c r="Z14" s="23" t="n">
        <x:f>IF(AB14="Ready",IF(W14="Activity",SUMIFS('Activity Data'!$U$9:$U$308,'Activity Data'!$D$9:$D$308,C14,'Activity Data'!$F$9:$F$308,"S2"),X14),"")</x:f>
        <x:v>2200</x:v>
      </x:c>
      <x:c r="AA14" s="44" t="n">
        <x:f>IF(AB14&lt;&gt;"Ready","",IF(W14="Reported verified",1,IF(W14="Reported unverified",2,IF(F14="Motor",1,2))))</x:f>
        <x:v>2</x:v>
      </x:c>
      <x:c r="AB14" s="9" t="str">
        <x:f>IF(C14="","",IF(W14="Not assessed","Not assessed",IF(OR(O14="",NOT(ISNUMBER(H14)),NOT(ISNUMBER(P14))),"Evidence required",IF(OR(P14&lt;'Settings'!$F$8,H14&gt;'Settings'!$F$8,YEAR(H14)&lt;&gt;YEAR('Settings'!$F$8)),"Period / expiry review",IF(Y14&lt;&gt;"Yes","Boundary incomplete",IF(OR(AND(AC14&lt;&gt;"Location-based",AC14&lt;&gt;"Market-based"),AND(W14="Activity",AC14&lt;&gt;"Location-based")),"S2 basis mismatch",IF(OR(W14="Reported verified",W14="Reported unverified"),IF(NOT(OR(F14="Corporate private",F14="Corporate listed",F14="Project finance")),"Asset method required",IF(OR(NOT(ISNUMBER(X14)),X14&lt;0),"Reported value required","Ready")),IF(W14="Activity",IF(AND(COUNTIFS('Activity Data'!$D$9:$D$308,C14,'Activity Data'!$F$9:$F$308,"S2")&gt;0,COUNTIFS('Activity Data'!$D$9:$D$308,C14,'Activity Data'!$F$9:$F$308,"S2")=COUNTIFS('Activity Data'!$D$9:$D$308,C14,'Activity Data'!$F$9:$F$308,"S2",'Activity Data'!$V$9:$V$308,"Ready")),"Ready","Activity incomplete"),"Method required"))))))))</x:f>
        <x:v>Ready</x:v>
      </x:c>
      <x:c r="AC14" s="8" t="str">
        <x:v>Location-based</x:v>
      </x:c>
      <x:c r="AD14" s="8" t="str">
        <x:v>Reported unverified</x:v>
      </x:c>
      <x:c r="AE14" s="16" t="n">
        <x:v>10000</x:v>
      </x:c>
      <x:c r="AF14" s="8" t="str">
        <x:v>Yes</x:v>
      </x:c>
      <x:c r="AG14" s="23" t="n">
        <x:f>IF(AI14="Ready",IF(AD14="Activity",SUMIFS('Activity Data'!$U$9:$U$308,'Activity Data'!$D$9:$D$308,C14,'Activity Data'!$F$9:$F$308,"S3"),AE14),"")</x:f>
        <x:v>10000</x:v>
      </x:c>
      <x:c r="AH14" s="44" t="n">
        <x:f>IF(AI14&lt;&gt;"Ready","",IF(AD14="Reported verified",1,IF(AD14="Reported unverified",2,IF(F14="Motor",1,2))))</x:f>
        <x:v>2</x:v>
      </x:c>
      <x:c r="AI14" s="9" t="str">
        <x:f>IF(C14="","",IF(AD14="Not assessed","Not assessed",IF(OR(O14="",NOT(ISNUMBER(H14)),NOT(ISNUMBER(P14))),"Evidence required",IF(OR(P14&lt;'Settings'!$F$8,H14&gt;'Settings'!$F$8,YEAR(H14)&lt;&gt;YEAR('Settings'!$F$8)),"Period / expiry review",IF(AF14&lt;&gt;"Yes","Boundary incomplete",IF(AM14="","S3 screening required",IF(OR(AD14="Reported verified",AD14="Reported unverified"),IF(NOT(OR(F14="Corporate private",F14="Corporate listed",F14="Project finance")),"Asset method required",IF(OR(NOT(ISNUMBER(AE14)),AE14&lt;0),"Reported value required","Ready")),"Scope 3 method required")))))))</x:f>
        <x:v>Ready</x:v>
      </x:c>
      <x:c r="AJ14" s="9" t="str">
        <x:f>IF(C14="","",IF(OR(F14="Corporate private",F14="Corporate listed"),IFERROR(IF(INDEX('Borrowers'!$X$9:$X$108,MATCH(D14,'Borrowers'!$C$9:$C$108,0))="","",INDEX('Borrowers'!$X$9:$X$108,MATCH(D14,'Borrowers'!$C$9:$C$108,0))),""),IF(AQ14="","",AQ14)))</x:f>
        <x:v>SYN-FIN-4</x:v>
      </x:c>
      <x:c r="AK14" s="43" t="n">
        <x:f>IF(C14="","",IF(OR(F14="Corporate private",F14="Corporate listed"),IFERROR(IF(INDEX('Borrowers'!$H$9:$H$108,MATCH(D14,'Borrowers'!$C$9:$C$108,0))="","",INDEX('Borrowers'!$H$9:$H$108,MATCH(D14,'Borrowers'!$C$9:$C$108,0))),""),IF(AR14="","",AR14)))</x:f>
        <x:v>46387</x:v>
      </x:c>
      <x:c r="AL14" s="9" t="str">
        <x:f>IF(C14="","",IF(COUNTIFS($C$9:$C$108,C14)&lt;&gt;1,"Duplicate entity ID",IF(COUNTIFS('Borrowers'!$C$9:$C$108,D14)&lt;&gt;1,"Borrower required",IF(AND(F14&lt;&gt;"Corporate private",F14&lt;&gt;"Corporate listed",F14&lt;&gt;"Project finance",F14&lt;&gt;"CRE",F14&lt;&gt;"Mortgage",F14&lt;&gt;"Motor"),"Method required",IF(OR(AND(F14="Corporate private",IFERROR(IF(INDEX('Borrowers'!$G$9:$G$108,MATCH(D14,'Borrowers'!$C$9:$C$108,0))="","",INDEX('Borrowers'!$G$9:$G$108,MATCH(D14,'Borrowers'!$C$9:$C$108,0))),"")&lt;&gt;"Private"),AND(F14="Corporate listed",IFERROR(IF(INDEX('Borrowers'!$G$9:$G$108,MATCH(D14,'Borrowers'!$C$9:$C$108,0))="","",INDEX('Borrowers'!$G$9:$G$108,MATCH(D14,'Borrowers'!$C$9:$C$108,0))),"")&lt;&gt;"Listed")),"Listing / class mismatch",IF(OR(NOT(ISNUMBER(N14)),N14&lt;=0,AJ14="",NOT(ISNUMBER(AK14))),"Value evidence required",IF(AND(OR(F14="Corporate private",F14="Corporate listed"),IFERROR(IF(INDEX('Borrowers'!$Y$9:$Y$108,MATCH(D14,'Borrowers'!$C$9:$C$108,0))="","",INDEX('Borrowers'!$Y$9:$Y$108,MATCH(D14,'Borrowers'!$C$9:$C$108,0))),"")&lt;'Settings'!$F$8),"Expired financial evidence",IF(AK14&gt;'Settings'!$F$8,"Future value date",IF(OR(AND(OR(F14="Corporate private",F14="Project finance"),OR(J14&lt;0,M14&lt;&gt;"Current financials")),AND(F14="Corporate listed",M14&lt;&gt;"Current financials"),AND(OR(F14="CRE",F14="Mortgage",F14="Motor"),AND(M14&lt;&gt;"Origination",M14&lt;&gt;"Fixed fallback"))),"Value basis review",IF(AND(M14="Current financials",YEAR(AK14)&lt;&gt;YEAR('Settings'!$F$8)),"Stale financial period","Ready"))))))))))</x:f>
        <x:v>Ready</x:v>
      </x:c>
      <x:c r="AM14" s="8" t="str">
        <x:v>SYN-S3-SCREEN-6</x:v>
      </x:c>
      <x:c r="AN14" s="8" t="str">
        <x:v>Single boundary</x:v>
      </x:c>
      <x:c r="AO14" s="16"/>
      <x:c r="AP14" s="16"/>
      <x:c r="AQ14" s="8"/>
      <x:c r="AR14" s="40"/>
    </x:row>
    <x:row r="15" ht="40" customHeight="1">
      <x:c r="A15" s="1"/>
      <x:c r="B15" s="1"/>
      <x:c r="C15" s="8" t="str">
        <x:v>B005</x:v>
      </x:c>
      <x:c r="D15" s="8" t="str">
        <x:v>B005</x:v>
      </x:c>
      <x:c r="E15" s="8" t="str">
        <x:v>Demo Cairo Properties</x:v>
      </x:c>
      <x:c r="F15" s="8" t="str">
        <x:v>Corporate private</x:v>
      </x:c>
      <x:c r="G15" s="9" t="str">
        <x:f>IF(C15="","",IFERROR(IF(INDEX('Borrowers'!$E$9:$E$108,MATCH(D15,'Borrowers'!$C$9:$C$108,0))="","",INDEX('Borrowers'!$E$9:$E$108,MATCH(D15,'Borrowers'!$C$9:$C$108,0))),""))</x:f>
        <x:v>Egypt</x:v>
      </x:c>
      <x:c r="H15" s="40" t="n">
        <x:v>46387</x:v>
      </x:c>
      <x:c r="I15" s="23" t="n">
        <x:f>IF(C15="","",IF(OR(F15="Corporate private",F15="Corporate listed"),IFERROR(IF(INDEX('Borrowers'!$M$9:$M$108,MATCH(D15,'Borrowers'!$C$9:$C$108,0))="","",INDEX('Borrowers'!$M$9:$M$108,MATCH(D15,'Borrowers'!$C$9:$C$108,0))),""),IF(F15="Project finance",IF(ISNUMBER(AO15),AO15,""),"")))</x:f>
        <x:v>52</x:v>
      </x:c>
      <x:c r="J15" s="23" t="n">
        <x:f>IF(C15="","",IF(OR(F15="Corporate private",F15="Corporate listed"),IFERROR(IF(INDEX('Borrowers'!$N$9:$N$108,MATCH(D15,'Borrowers'!$C$9:$C$108,0))="","",INDEX('Borrowers'!$N$9:$N$108,MATCH(D15,'Borrowers'!$C$9:$C$108,0))),""),IF(F15="Project finance",IF(ISNUMBER(AP15),AP15,""),"")))</x:f>
        <x:v>33</x:v>
      </x:c>
      <x:c r="K15" s="23" t="str">
        <x:f>IF(C15="","",IF(F15="Corporate listed",IFERROR(IF(INDEX('Borrowers'!$O$9:$O$108,MATCH(D15,'Borrowers'!$C$9:$C$108,0))="","",INDEX('Borrowers'!$O$9:$O$108,MATCH(D15,'Borrowers'!$C$9:$C$108,0))),""),""))</x:f>
      </x:c>
      <x:c r="L15" s="16"/>
      <x:c r="M15" s="8" t="str">
        <x:v>Current financials</x:v>
      </x:c>
      <x:c r="N15" s="21" t="n">
        <x:f>IF(C15="","",IF(F15="Corporate listed",IF(ISNUMBER(K15),K15,""),IF(OR(F15="Corporate private",F15="Project finance"),IF(AND(ISNUMBER(I15),ISNUMBER(J15)),MAX(I15,0)+J15,""),IF(OR(F15="CRE",F15="Mortgage",F15="Motor"),IF(ISNUMBER(L15),L15,""),""))))</x:f>
        <x:v>85</x:v>
      </x:c>
      <x:c r="O15" s="8" t="str">
        <x:v>SYN-INV-7</x:v>
      </x:c>
      <x:c r="P15" s="40" t="n">
        <x:v>46752</x:v>
      </x:c>
      <x:c r="Q15" s="8" t="str">
        <x:v>Reported verified</x:v>
      </x:c>
      <x:c r="R15" s="16" t="n">
        <x:v>1920</x:v>
      </x:c>
      <x:c r="S15" s="8" t="str">
        <x:v>Yes</x:v>
      </x:c>
      <x:c r="T15" s="23" t="n">
        <x:f>IF(V15="Ready",IF(Q15="Activity",SUMIFS('Activity Data'!$U$9:$U$308,'Activity Data'!$D$9:$D$308,C15,'Activity Data'!$F$9:$F$308,"S1"),R15),"")</x:f>
        <x:v>1920</x:v>
      </x:c>
      <x:c r="U15" s="44" t="n">
        <x:f>IF(V15&lt;&gt;"Ready","",IF(Q15="Reported verified",1,IF(Q15="Reported unverified",2,IF(F15="Motor",1,2))))</x:f>
        <x:v>1</x:v>
      </x:c>
      <x:c r="V15" s="9" t="str">
        <x:f>IF(C15="","",IF(Q15="Not assessed","Not assessed",IF(OR(O15="",NOT(ISNUMBER(H15)),NOT(ISNUMBER(P15))),"Evidence required",IF(OR(P15&lt;'Settings'!$F$8,H15&gt;'Settings'!$F$8,YEAR(H15)&lt;&gt;YEAR('Settings'!$F$8)),"Period / expiry review",IF(S15&lt;&gt;"Yes","Boundary incomplete",IF(OR(Q15="Reported verified",Q15="Reported unverified"),IF(NOT(OR(F15="Corporate private",F15="Corporate listed",F15="Project finance")),"Asset method required",IF(OR(NOT(ISNUMBER(R15)),R15&lt;0),"Reported value required","Ready")),IF(Q15="Activity",IF(AND(COUNTIFS('Activity Data'!$D$9:$D$308,C15,'Activity Data'!$F$9:$F$308,"S1")&gt;0,COUNTIFS('Activity Data'!$D$9:$D$308,C15,'Activity Data'!$F$9:$F$308,"S1")=COUNTIFS('Activity Data'!$D$9:$D$308,C15,'Activity Data'!$F$9:$F$308,"S1",'Activity Data'!$V$9:$V$308,"Ready")),"Ready","Activity incomplete"),"Method required")))))))</x:f>
        <x:v>Ready</x:v>
      </x:c>
      <x:c r="W15" s="8" t="str">
        <x:v>Reported verified</x:v>
      </x:c>
      <x:c r="X15" s="16" t="n">
        <x:v>2300</x:v>
      </x:c>
      <x:c r="Y15" s="8" t="str">
        <x:v>Yes</x:v>
      </x:c>
      <x:c r="Z15" s="23" t="n">
        <x:f>IF(AB15="Ready",IF(W15="Activity",SUMIFS('Activity Data'!$U$9:$U$308,'Activity Data'!$D$9:$D$308,C15,'Activity Data'!$F$9:$F$308,"S2"),X15),"")</x:f>
        <x:v>2300</x:v>
      </x:c>
      <x:c r="AA15" s="44" t="n">
        <x:f>IF(AB15&lt;&gt;"Ready","",IF(W15="Reported verified",1,IF(W15="Reported unverified",2,IF(F15="Motor",1,2))))</x:f>
        <x:v>1</x:v>
      </x:c>
      <x:c r="AB15" s="9" t="str">
        <x:f>IF(C15="","",IF(W15="Not assessed","Not assessed",IF(OR(O15="",NOT(ISNUMBER(H15)),NOT(ISNUMBER(P15))),"Evidence required",IF(OR(P15&lt;'Settings'!$F$8,H15&gt;'Settings'!$F$8,YEAR(H15)&lt;&gt;YEAR('Settings'!$F$8)),"Period / expiry review",IF(Y15&lt;&gt;"Yes","Boundary incomplete",IF(OR(AND(AC15&lt;&gt;"Location-based",AC15&lt;&gt;"Market-based"),AND(W15="Activity",AC15&lt;&gt;"Location-based")),"S2 basis mismatch",IF(OR(W15="Reported verified",W15="Reported unverified"),IF(NOT(OR(F15="Corporate private",F15="Corporate listed",F15="Project finance")),"Asset method required",IF(OR(NOT(ISNUMBER(X15)),X15&lt;0),"Reported value required","Ready")),IF(W15="Activity",IF(AND(COUNTIFS('Activity Data'!$D$9:$D$308,C15,'Activity Data'!$F$9:$F$308,"S2")&gt;0,COUNTIFS('Activity Data'!$D$9:$D$308,C15,'Activity Data'!$F$9:$F$308,"S2")=COUNTIFS('Activity Data'!$D$9:$D$308,C15,'Activity Data'!$F$9:$F$308,"S2",'Activity Data'!$V$9:$V$308,"Ready")),"Ready","Activity incomplete"),"Method required"))))))))</x:f>
        <x:v>Ready</x:v>
      </x:c>
      <x:c r="AC15" s="8" t="str">
        <x:v>Location-based</x:v>
      </x:c>
      <x:c r="AD15" s="8" t="str">
        <x:v>Reported unverified</x:v>
      </x:c>
      <x:c r="AE15" s="16" t="n">
        <x:v>10800</x:v>
      </x:c>
      <x:c r="AF15" s="8" t="str">
        <x:v>Yes</x:v>
      </x:c>
      <x:c r="AG15" s="23" t="n">
        <x:f>IF(AI15="Ready",IF(AD15="Activity",SUMIFS('Activity Data'!$U$9:$U$308,'Activity Data'!$D$9:$D$308,C15,'Activity Data'!$F$9:$F$308,"S3"),AE15),"")</x:f>
        <x:v>10800</x:v>
      </x:c>
      <x:c r="AH15" s="44" t="n">
        <x:f>IF(AI15&lt;&gt;"Ready","",IF(AD15="Reported verified",1,IF(AD15="Reported unverified",2,IF(F15="Motor",1,2))))</x:f>
        <x:v>2</x:v>
      </x:c>
      <x:c r="AI15" s="9" t="str">
        <x:f>IF(C15="","",IF(AD15="Not assessed","Not assessed",IF(OR(O15="",NOT(ISNUMBER(H15)),NOT(ISNUMBER(P15))),"Evidence required",IF(OR(P15&lt;'Settings'!$F$8,H15&gt;'Settings'!$F$8,YEAR(H15)&lt;&gt;YEAR('Settings'!$F$8)),"Period / expiry review",IF(AF15&lt;&gt;"Yes","Boundary incomplete",IF(AM15="","S3 screening required",IF(OR(AD15="Reported verified",AD15="Reported unverified"),IF(NOT(OR(F15="Corporate private",F15="Corporate listed",F15="Project finance")),"Asset method required",IF(OR(NOT(ISNUMBER(AE15)),AE15&lt;0),"Reported value required","Ready")),"Scope 3 method required")))))))</x:f>
        <x:v>Ready</x:v>
      </x:c>
      <x:c r="AJ15" s="9" t="str">
        <x:f>IF(C15="","",IF(OR(F15="Corporate private",F15="Corporate listed"),IFERROR(IF(INDEX('Borrowers'!$X$9:$X$108,MATCH(D15,'Borrowers'!$C$9:$C$108,0))="","",INDEX('Borrowers'!$X$9:$X$108,MATCH(D15,'Borrowers'!$C$9:$C$108,0))),""),IF(AQ15="","",AQ15)))</x:f>
        <x:v>SYN-FIN-5</x:v>
      </x:c>
      <x:c r="AK15" s="43" t="n">
        <x:f>IF(C15="","",IF(OR(F15="Corporate private",F15="Corporate listed"),IFERROR(IF(INDEX('Borrowers'!$H$9:$H$108,MATCH(D15,'Borrowers'!$C$9:$C$108,0))="","",INDEX('Borrowers'!$H$9:$H$108,MATCH(D15,'Borrowers'!$C$9:$C$108,0))),""),IF(AR15="","",AR15)))</x:f>
        <x:v>46387</x:v>
      </x:c>
      <x:c r="AL15" s="9" t="str">
        <x:f>IF(C15="","",IF(COUNTIFS($C$9:$C$108,C15)&lt;&gt;1,"Duplicate entity ID",IF(COUNTIFS('Borrowers'!$C$9:$C$108,D15)&lt;&gt;1,"Borrower required",IF(AND(F15&lt;&gt;"Corporate private",F15&lt;&gt;"Corporate listed",F15&lt;&gt;"Project finance",F15&lt;&gt;"CRE",F15&lt;&gt;"Mortgage",F15&lt;&gt;"Motor"),"Method required",IF(OR(AND(F15="Corporate private",IFERROR(IF(INDEX('Borrowers'!$G$9:$G$108,MATCH(D15,'Borrowers'!$C$9:$C$108,0))="","",INDEX('Borrowers'!$G$9:$G$108,MATCH(D15,'Borrowers'!$C$9:$C$108,0))),"")&lt;&gt;"Private"),AND(F15="Corporate listed",IFERROR(IF(INDEX('Borrowers'!$G$9:$G$108,MATCH(D15,'Borrowers'!$C$9:$C$108,0))="","",INDEX('Borrowers'!$G$9:$G$108,MATCH(D15,'Borrowers'!$C$9:$C$108,0))),"")&lt;&gt;"Listed")),"Listing / class mismatch",IF(OR(NOT(ISNUMBER(N15)),N15&lt;=0,AJ15="",NOT(ISNUMBER(AK15))),"Value evidence required",IF(AND(OR(F15="Corporate private",F15="Corporate listed"),IFERROR(IF(INDEX('Borrowers'!$Y$9:$Y$108,MATCH(D15,'Borrowers'!$C$9:$C$108,0))="","",INDEX('Borrowers'!$Y$9:$Y$108,MATCH(D15,'Borrowers'!$C$9:$C$108,0))),"")&lt;'Settings'!$F$8),"Expired financial evidence",IF(AK15&gt;'Settings'!$F$8,"Future value date",IF(OR(AND(OR(F15="Corporate private",F15="Project finance"),OR(J15&lt;0,M15&lt;&gt;"Current financials")),AND(F15="Corporate listed",M15&lt;&gt;"Current financials"),AND(OR(F15="CRE",F15="Mortgage",F15="Motor"),AND(M15&lt;&gt;"Origination",M15&lt;&gt;"Fixed fallback"))),"Value basis review",IF(AND(M15="Current financials",YEAR(AK15)&lt;&gt;YEAR('Settings'!$F$8)),"Stale financial period","Ready"))))))))))</x:f>
        <x:v>Ready</x:v>
      </x:c>
      <x:c r="AM15" s="8" t="str">
        <x:v>SYN-S3-SCREEN-7</x:v>
      </x:c>
      <x:c r="AN15" s="8" t="str">
        <x:v>Review overlap</x:v>
      </x:c>
      <x:c r="AO15" s="16"/>
      <x:c r="AP15" s="16"/>
      <x:c r="AQ15" s="8"/>
      <x:c r="AR15" s="40"/>
    </x:row>
    <x:row r="16" ht="40" customHeight="1">
      <x:c r="A16" s="1"/>
      <x:c r="B16" s="1"/>
      <x:c r="C16" s="8" t="str">
        <x:v>A005</x:v>
      </x:c>
      <x:c r="D16" s="8" t="str">
        <x:v>B005</x:v>
      </x:c>
      <x:c r="E16" s="8" t="str">
        <x:v>Demo Cairo Properties financed property</x:v>
      </x:c>
      <x:c r="F16" s="8" t="str">
        <x:v>CRE</x:v>
      </x:c>
      <x:c r="G16" s="9" t="str">
        <x:f>IF(C16="","",IFERROR(IF(INDEX('Borrowers'!$E$9:$E$108,MATCH(D16,'Borrowers'!$C$9:$C$108,0))="","",INDEX('Borrowers'!$E$9:$E$108,MATCH(D16,'Borrowers'!$C$9:$C$108,0))),""))</x:f>
        <x:v>Egypt</x:v>
      </x:c>
      <x:c r="H16" s="40" t="n">
        <x:v>46387</x:v>
      </x:c>
      <x:c r="I16" s="23" t="str">
        <x:f>IF(C16="","",IF(OR(F16="Corporate private",F16="Corporate listed"),IFERROR(IF(INDEX('Borrowers'!$M$9:$M$108,MATCH(D16,'Borrowers'!$C$9:$C$108,0))="","",INDEX('Borrowers'!$M$9:$M$108,MATCH(D16,'Borrowers'!$C$9:$C$108,0))),""),IF(F16="Project finance",IF(ISNUMBER(AO16),AO16,""),"")))</x:f>
      </x:c>
      <x:c r="J16" s="23" t="str">
        <x:f>IF(C16="","",IF(OR(F16="Corporate private",F16="Corporate listed"),IFERROR(IF(INDEX('Borrowers'!$N$9:$N$108,MATCH(D16,'Borrowers'!$C$9:$C$108,0))="","",INDEX('Borrowers'!$N$9:$N$108,MATCH(D16,'Borrowers'!$C$9:$C$108,0))),""),IF(F16="Project finance",IF(ISNUMBER(AP16),AP16,""),"")))</x:f>
      </x:c>
      <x:c r="K16" s="23" t="str">
        <x:f>IF(C16="","",IF(F16="Corporate listed",IFERROR(IF(INDEX('Borrowers'!$O$9:$O$108,MATCH(D16,'Borrowers'!$C$9:$C$108,0))="","",INDEX('Borrowers'!$O$9:$O$108,MATCH(D16,'Borrowers'!$C$9:$C$108,0))),""),""))</x:f>
      </x:c>
      <x:c r="L16" s="16" t="n">
        <x:v>30</x:v>
      </x:c>
      <x:c r="M16" s="8" t="str">
        <x:v>Origination</x:v>
      </x:c>
      <x:c r="N16" s="21" t="n">
        <x:f>IF(C16="","",IF(F16="Corporate listed",IF(ISNUMBER(K16),K16,""),IF(OR(F16="Corporate private",F16="Project finance"),IF(AND(ISNUMBER(I16),ISNUMBER(J16)),MAX(I16,0)+J16,""),IF(OR(F16="CRE",F16="Mortgage",F16="Motor"),IF(ISNUMBER(L16),L16,""),""))))</x:f>
        <x:v>30</x:v>
      </x:c>
      <x:c r="O16" s="8" t="str">
        <x:v>SYN-INV-8</x:v>
      </x:c>
      <x:c r="P16" s="40" t="n">
        <x:v>46752</x:v>
      </x:c>
      <x:c r="Q16" s="8" t="str">
        <x:v>Activity</x:v>
      </x:c>
      <x:c r="R16" s="16"/>
      <x:c r="S16" s="8" t="str">
        <x:v>Yes</x:v>
      </x:c>
      <x:c r="T16" s="23" t="n">
        <x:f>IF(V16="Ready",IF(Q16="Activity",SUMIFS('Activity Data'!$U$9:$U$308,'Activity Data'!$D$9:$D$308,C16,'Activity Data'!$F$9:$F$308,"S1"),R16),"")</x:f>
        <x:v>26.8</x:v>
      </x:c>
      <x:c r="U16" s="44" t="n">
        <x:f>IF(V16&lt;&gt;"Ready","",IF(Q16="Reported verified",1,IF(Q16="Reported unverified",2,IF(F16="Motor",1,2))))</x:f>
        <x:v>2</x:v>
      </x:c>
      <x:c r="V16" s="9" t="str">
        <x:f>IF(C16="","",IF(Q16="Not assessed","Not assessed",IF(OR(O16="",NOT(ISNUMBER(H16)),NOT(ISNUMBER(P16))),"Evidence required",IF(OR(P16&lt;'Settings'!$F$8,H16&gt;'Settings'!$F$8,YEAR(H16)&lt;&gt;YEAR('Settings'!$F$8)),"Period / expiry review",IF(S16&lt;&gt;"Yes","Boundary incomplete",IF(OR(Q16="Reported verified",Q16="Reported unverified"),IF(NOT(OR(F16="Corporate private",F16="Corporate listed",F16="Project finance")),"Asset method required",IF(OR(NOT(ISNUMBER(R16)),R16&lt;0),"Reported value required","Ready")),IF(Q16="Activity",IF(AND(COUNTIFS('Activity Data'!$D$9:$D$308,C16,'Activity Data'!$F$9:$F$308,"S1")&gt;0,COUNTIFS('Activity Data'!$D$9:$D$308,C16,'Activity Data'!$F$9:$F$308,"S1")=COUNTIFS('Activity Data'!$D$9:$D$308,C16,'Activity Data'!$F$9:$F$308,"S1",'Activity Data'!$V$9:$V$308,"Ready")),"Ready","Activity incomplete"),"Method required")))))))</x:f>
        <x:v>Ready</x:v>
      </x:c>
      <x:c r="W16" s="8" t="str">
        <x:v>Activity</x:v>
      </x:c>
      <x:c r="X16" s="16"/>
      <x:c r="Y16" s="8" t="str">
        <x:v>Yes</x:v>
      </x:c>
      <x:c r="Z16" s="23" t="n">
        <x:f>IF(AB16="Ready",IF(W16="Activity",SUMIFS('Activity Data'!$U$9:$U$308,'Activity Data'!$D$9:$D$308,C16,'Activity Data'!$F$9:$F$308,"S2"),X16),"")</x:f>
        <x:v>690</x:v>
      </x:c>
      <x:c r="AA16" s="44" t="n">
        <x:f>IF(AB16&lt;&gt;"Ready","",IF(W16="Reported verified",1,IF(W16="Reported unverified",2,IF(F16="Motor",1,2))))</x:f>
        <x:v>2</x:v>
      </x:c>
      <x:c r="AB16" s="9" t="str">
        <x:f>IF(C16="","",IF(W16="Not assessed","Not assessed",IF(OR(O16="",NOT(ISNUMBER(H16)),NOT(ISNUMBER(P16))),"Evidence required",IF(OR(P16&lt;'Settings'!$F$8,H16&gt;'Settings'!$F$8,YEAR(H16)&lt;&gt;YEAR('Settings'!$F$8)),"Period / expiry review",IF(Y16&lt;&gt;"Yes","Boundary incomplete",IF(OR(AND(AC16&lt;&gt;"Location-based",AC16&lt;&gt;"Market-based"),AND(W16="Activity",AC16&lt;&gt;"Location-based")),"S2 basis mismatch",IF(OR(W16="Reported verified",W16="Reported unverified"),IF(NOT(OR(F16="Corporate private",F16="Corporate listed",F16="Project finance")),"Asset method required",IF(OR(NOT(ISNUMBER(X16)),X16&lt;0),"Reported value required","Ready")),IF(W16="Activity",IF(AND(COUNTIFS('Activity Data'!$D$9:$D$308,C16,'Activity Data'!$F$9:$F$308,"S2")&gt;0,COUNTIFS('Activity Data'!$D$9:$D$308,C16,'Activity Data'!$F$9:$F$308,"S2")=COUNTIFS('Activity Data'!$D$9:$D$308,C16,'Activity Data'!$F$9:$F$308,"S2",'Activity Data'!$V$9:$V$308,"Ready")),"Ready","Activity incomplete"),"Method required"))))))))</x:f>
        <x:v>Ready</x:v>
      </x:c>
      <x:c r="AC16" s="8" t="str">
        <x:v>Location-based</x:v>
      </x:c>
      <x:c r="AD16" s="8" t="str">
        <x:v>Not assessed</x:v>
      </x:c>
      <x:c r="AE16" s="16"/>
      <x:c r="AF16" s="8" t="str">
        <x:v>No</x:v>
      </x:c>
      <x:c r="AG16" s="23" t="str">
        <x:f>IF(AI16="Ready",IF(AD16="Activity",SUMIFS('Activity Data'!$U$9:$U$308,'Activity Data'!$D$9:$D$308,C16,'Activity Data'!$F$9:$F$308,"S3"),AE16),"")</x:f>
      </x:c>
      <x:c r="AH16" s="44" t="str">
        <x:f>IF(AI16&lt;&gt;"Ready","",IF(AD16="Reported verified",1,IF(AD16="Reported unverified",2,IF(F16="Motor",1,2))))</x:f>
      </x:c>
      <x:c r="AI16" s="9" t="str">
        <x:f>IF(C16="","",IF(AD16="Not assessed","Not assessed",IF(OR(O16="",NOT(ISNUMBER(H16)),NOT(ISNUMBER(P16))),"Evidence required",IF(OR(P16&lt;'Settings'!$F$8,H16&gt;'Settings'!$F$8,YEAR(H16)&lt;&gt;YEAR('Settings'!$F$8)),"Period / expiry review",IF(AF16&lt;&gt;"Yes","Boundary incomplete",IF(AM16="","S3 screening required",IF(OR(AD16="Reported verified",AD16="Reported unverified"),IF(NOT(OR(F16="Corporate private",F16="Corporate listed",F16="Project finance")),"Asset method required",IF(OR(NOT(ISNUMBER(AE16)),AE16&lt;0),"Reported value required","Ready")),"Scope 3 method required")))))))</x:f>
        <x:v>Not assessed</x:v>
      </x:c>
      <x:c r="AJ16" s="9" t="str">
        <x:f>IF(C16="","",IF(OR(F16="Corporate private",F16="Corporate listed"),IFERROR(IF(INDEX('Borrowers'!$X$9:$X$108,MATCH(D16,'Borrowers'!$C$9:$C$108,0))="","",INDEX('Borrowers'!$X$9:$X$108,MATCH(D16,'Borrowers'!$C$9:$C$108,0))),""),IF(AQ16="","",AQ16)))</x:f>
        <x:v>SYN-VALUE-8</x:v>
      </x:c>
      <x:c r="AK16" s="43" t="n">
        <x:f>IF(C16="","",IF(OR(F16="Corporate private",F16="Corporate listed"),IFERROR(IF(INDEX('Borrowers'!$H$9:$H$108,MATCH(D16,'Borrowers'!$C$9:$C$108,0))="","",INDEX('Borrowers'!$H$9:$H$108,MATCH(D16,'Borrowers'!$C$9:$C$108,0))),""),IF(AR16="","",AR16)))</x:f>
        <x:v>45473</x:v>
      </x:c>
      <x:c r="AL16" s="9" t="str">
        <x:f>IF(C16="","",IF(COUNTIFS($C$9:$C$108,C16)&lt;&gt;1,"Duplicate entity ID",IF(COUNTIFS('Borrowers'!$C$9:$C$108,D16)&lt;&gt;1,"Borrower required",IF(AND(F16&lt;&gt;"Corporate private",F16&lt;&gt;"Corporate listed",F16&lt;&gt;"Project finance",F16&lt;&gt;"CRE",F16&lt;&gt;"Mortgage",F16&lt;&gt;"Motor"),"Method required",IF(OR(AND(F16="Corporate private",IFERROR(IF(INDEX('Borrowers'!$G$9:$G$108,MATCH(D16,'Borrowers'!$C$9:$C$108,0))="","",INDEX('Borrowers'!$G$9:$G$108,MATCH(D16,'Borrowers'!$C$9:$C$108,0))),"")&lt;&gt;"Private"),AND(F16="Corporate listed",IFERROR(IF(INDEX('Borrowers'!$G$9:$G$108,MATCH(D16,'Borrowers'!$C$9:$C$108,0))="","",INDEX('Borrowers'!$G$9:$G$108,MATCH(D16,'Borrowers'!$C$9:$C$108,0))),"")&lt;&gt;"Listed")),"Listing / class mismatch",IF(OR(NOT(ISNUMBER(N16)),N16&lt;=0,AJ16="",NOT(ISNUMBER(AK16))),"Value evidence required",IF(AND(OR(F16="Corporate private",F16="Corporate listed"),IFERROR(IF(INDEX('Borrowers'!$Y$9:$Y$108,MATCH(D16,'Borrowers'!$C$9:$C$108,0))="","",INDEX('Borrowers'!$Y$9:$Y$108,MATCH(D16,'Borrowers'!$C$9:$C$108,0))),"")&lt;'Settings'!$F$8),"Expired financial evidence",IF(AK16&gt;'Settings'!$F$8,"Future value date",IF(OR(AND(OR(F16="Corporate private",F16="Project finance"),OR(J16&lt;0,M16&lt;&gt;"Current financials")),AND(F16="Corporate listed",M16&lt;&gt;"Current financials"),AND(OR(F16="CRE",F16="Mortgage",F16="Motor"),AND(M16&lt;&gt;"Origination",M16&lt;&gt;"Fixed fallback"))),"Value basis review",IF(AND(M16="Current financials",YEAR(AK16)&lt;&gt;YEAR('Settings'!$F$8)),"Stale financial period","Ready"))))))))))</x:f>
        <x:v>Ready</x:v>
      </x:c>
      <x:c r="AM16" s="8" t="str"/>
      <x:c r="AN16" s="8" t="str">
        <x:v>Review overlap</x:v>
      </x:c>
      <x:c r="AO16" s="16" t="n">
        <x:v>20</x:v>
      </x:c>
      <x:c r="AP16" s="16" t="n">
        <x:v>15</x:v>
      </x:c>
      <x:c r="AQ16" s="8" t="str">
        <x:v>SYN-VALUE-8</x:v>
      </x:c>
      <x:c r="AR16" s="40" t="n">
        <x:v>45473</x:v>
      </x:c>
    </x:row>
    <x:row r="17" ht="40" customHeight="1">
      <x:c r="A17" s="1"/>
      <x:c r="B17" s="1"/>
      <x:c r="C17" s="8" t="str">
        <x:v>B006</x:v>
      </x:c>
      <x:c r="D17" s="8" t="str">
        <x:v>B006</x:v>
      </x:c>
      <x:c r="E17" s="8" t="str">
        <x:v>Demo Red Sea Hotels</x:v>
      </x:c>
      <x:c r="F17" s="8" t="str">
        <x:v>Corporate listed</x:v>
      </x:c>
      <x:c r="G17" s="9" t="str">
        <x:f>IF(C17="","",IFERROR(IF(INDEX('Borrowers'!$E$9:$E$108,MATCH(D17,'Borrowers'!$C$9:$C$108,0))="","",INDEX('Borrowers'!$E$9:$E$108,MATCH(D17,'Borrowers'!$C$9:$C$108,0))),""))</x:f>
        <x:v>Egypt</x:v>
      </x:c>
      <x:c r="H17" s="40" t="n">
        <x:v>46387</x:v>
      </x:c>
      <x:c r="I17" s="23" t="n">
        <x:f>IF(C17="","",IF(OR(F17="Corporate private",F17="Corporate listed"),IFERROR(IF(INDEX('Borrowers'!$M$9:$M$108,MATCH(D17,'Borrowers'!$C$9:$C$108,0))="","",INDEX('Borrowers'!$M$9:$M$108,MATCH(D17,'Borrowers'!$C$9:$C$108,0))),""),IF(F17="Project finance",IF(ISNUMBER(AO17),AO17,""),"")))</x:f>
        <x:v>55</x:v>
      </x:c>
      <x:c r="J17" s="23" t="n">
        <x:f>IF(C17="","",IF(OR(F17="Corporate private",F17="Corporate listed"),IFERROR(IF(INDEX('Borrowers'!$N$9:$N$108,MATCH(D17,'Borrowers'!$C$9:$C$108,0))="","",INDEX('Borrowers'!$N$9:$N$108,MATCH(D17,'Borrowers'!$C$9:$C$108,0))),""),IF(F17="Project finance",IF(ISNUMBER(AP17),AP17,""),"")))</x:f>
        <x:v>35</x:v>
      </x:c>
      <x:c r="K17" s="23" t="n">
        <x:f>IF(C17="","",IF(F17="Corporate listed",IFERROR(IF(INDEX('Borrowers'!$O$9:$O$108,MATCH(D17,'Borrowers'!$C$9:$C$108,0))="","",INDEX('Borrowers'!$O$9:$O$108,MATCH(D17,'Borrowers'!$C$9:$C$108,0))),""),""))</x:f>
        <x:v>140</x:v>
      </x:c>
      <x:c r="L17" s="16"/>
      <x:c r="M17" s="8" t="str">
        <x:v>Current financials</x:v>
      </x:c>
      <x:c r="N17" s="21" t="n">
        <x:f>IF(C17="","",IF(F17="Corporate listed",IF(ISNUMBER(K17),K17,""),IF(OR(F17="Corporate private",F17="Project finance"),IF(AND(ISNUMBER(I17),ISNUMBER(J17)),MAX(I17,0)+J17,""),IF(OR(F17="CRE",F17="Mortgage",F17="Motor"),IF(ISNUMBER(L17),L17,""),""))))</x:f>
        <x:v>140</x:v>
      </x:c>
      <x:c r="O17" s="8" t="str">
        <x:v>SYN-INV-9</x:v>
      </x:c>
      <x:c r="P17" s="40" t="n">
        <x:v>46752</x:v>
      </x:c>
      <x:c r="Q17" s="8" t="str">
        <x:v>Reported unverified</x:v>
      </x:c>
      <x:c r="R17" s="16" t="n">
        <x:v>2260</x:v>
      </x:c>
      <x:c r="S17" s="8" t="str">
        <x:v>Yes</x:v>
      </x:c>
      <x:c r="T17" s="23" t="n">
        <x:f>IF(V17="Ready",IF(Q17="Activity",SUMIFS('Activity Data'!$U$9:$U$308,'Activity Data'!$D$9:$D$308,C17,'Activity Data'!$F$9:$F$308,"S1"),R17),"")</x:f>
        <x:v>2260</x:v>
      </x:c>
      <x:c r="U17" s="44" t="n">
        <x:f>IF(V17&lt;&gt;"Ready","",IF(Q17="Reported verified",1,IF(Q17="Reported unverified",2,IF(F17="Motor",1,2))))</x:f>
        <x:v>2</x:v>
      </x:c>
      <x:c r="V17" s="9" t="str">
        <x:f>IF(C17="","",IF(Q17="Not assessed","Not assessed",IF(OR(O17="",NOT(ISNUMBER(H17)),NOT(ISNUMBER(P17))),"Evidence required",IF(OR(P17&lt;'Settings'!$F$8,H17&gt;'Settings'!$F$8,YEAR(H17)&lt;&gt;YEAR('Settings'!$F$8)),"Period / expiry review",IF(S17&lt;&gt;"Yes","Boundary incomplete",IF(OR(Q17="Reported verified",Q17="Reported unverified"),IF(NOT(OR(F17="Corporate private",F17="Corporate listed",F17="Project finance")),"Asset method required",IF(OR(NOT(ISNUMBER(R17)),R17&lt;0),"Reported value required","Ready")),IF(Q17="Activity",IF(AND(COUNTIFS('Activity Data'!$D$9:$D$308,C17,'Activity Data'!$F$9:$F$308,"S1")&gt;0,COUNTIFS('Activity Data'!$D$9:$D$308,C17,'Activity Data'!$F$9:$F$308,"S1")=COUNTIFS('Activity Data'!$D$9:$D$308,C17,'Activity Data'!$F$9:$F$308,"S1",'Activity Data'!$V$9:$V$308,"Ready")),"Ready","Activity incomplete"),"Method required")))))))</x:f>
        <x:v>Ready</x:v>
      </x:c>
      <x:c r="W17" s="8" t="str">
        <x:v>Reported unverified</x:v>
      </x:c>
      <x:c r="X17" s="16" t="n">
        <x:v>2500</x:v>
      </x:c>
      <x:c r="Y17" s="8" t="str">
        <x:v>Yes</x:v>
      </x:c>
      <x:c r="Z17" s="23" t="n">
        <x:f>IF(AB17="Ready",IF(W17="Activity",SUMIFS('Activity Data'!$U$9:$U$308,'Activity Data'!$D$9:$D$308,C17,'Activity Data'!$F$9:$F$308,"S2"),X17),"")</x:f>
        <x:v>2500</x:v>
      </x:c>
      <x:c r="AA17" s="44" t="n">
        <x:f>IF(AB17&lt;&gt;"Ready","",IF(W17="Reported verified",1,IF(W17="Reported unverified",2,IF(F17="Motor",1,2))))</x:f>
        <x:v>2</x:v>
      </x:c>
      <x:c r="AB17" s="9" t="str">
        <x:f>IF(C17="","",IF(W17="Not assessed","Not assessed",IF(OR(O17="",NOT(ISNUMBER(H17)),NOT(ISNUMBER(P17))),"Evidence required",IF(OR(P17&lt;'Settings'!$F$8,H17&gt;'Settings'!$F$8,YEAR(H17)&lt;&gt;YEAR('Settings'!$F$8)),"Period / expiry review",IF(Y17&lt;&gt;"Yes","Boundary incomplete",IF(OR(AND(AC17&lt;&gt;"Location-based",AC17&lt;&gt;"Market-based"),AND(W17="Activity",AC17&lt;&gt;"Location-based")),"S2 basis mismatch",IF(OR(W17="Reported verified",W17="Reported unverified"),IF(NOT(OR(F17="Corporate private",F17="Corporate listed",F17="Project finance")),"Asset method required",IF(OR(NOT(ISNUMBER(X17)),X17&lt;0),"Reported value required","Ready")),IF(W17="Activity",IF(AND(COUNTIFS('Activity Data'!$D$9:$D$308,C17,'Activity Data'!$F$9:$F$308,"S2")&gt;0,COUNTIFS('Activity Data'!$D$9:$D$308,C17,'Activity Data'!$F$9:$F$308,"S2")=COUNTIFS('Activity Data'!$D$9:$D$308,C17,'Activity Data'!$F$9:$F$308,"S2",'Activity Data'!$V$9:$V$308,"Ready")),"Ready","Activity incomplete"),"Method required"))))))))</x:f>
        <x:v>Ready</x:v>
      </x:c>
      <x:c r="AC17" s="8" t="str">
        <x:v>Location-based</x:v>
      </x:c>
      <x:c r="AD17" s="8" t="str">
        <x:v>Reported unverified</x:v>
      </x:c>
      <x:c r="AE17" s="16" t="n">
        <x:v>12400</x:v>
      </x:c>
      <x:c r="AF17" s="8" t="str">
        <x:v>Yes</x:v>
      </x:c>
      <x:c r="AG17" s="23" t="n">
        <x:f>IF(AI17="Ready",IF(AD17="Activity",SUMIFS('Activity Data'!$U$9:$U$308,'Activity Data'!$D$9:$D$308,C17,'Activity Data'!$F$9:$F$308,"S3"),AE17),"")</x:f>
        <x:v>12400</x:v>
      </x:c>
      <x:c r="AH17" s="44" t="n">
        <x:f>IF(AI17&lt;&gt;"Ready","",IF(AD17="Reported verified",1,IF(AD17="Reported unverified",2,IF(F17="Motor",1,2))))</x:f>
        <x:v>2</x:v>
      </x:c>
      <x:c r="AI17" s="9" t="str">
        <x:f>IF(C17="","",IF(AD17="Not assessed","Not assessed",IF(OR(O17="",NOT(ISNUMBER(H17)),NOT(ISNUMBER(P17))),"Evidence required",IF(OR(P17&lt;'Settings'!$F$8,H17&gt;'Settings'!$F$8,YEAR(H17)&lt;&gt;YEAR('Settings'!$F$8)),"Period / expiry review",IF(AF17&lt;&gt;"Yes","Boundary incomplete",IF(AM17="","S3 screening required",IF(OR(AD17="Reported verified",AD17="Reported unverified"),IF(NOT(OR(F17="Corporate private",F17="Corporate listed",F17="Project finance")),"Asset method required",IF(OR(NOT(ISNUMBER(AE17)),AE17&lt;0),"Reported value required","Ready")),"Scope 3 method required")))))))</x:f>
        <x:v>Ready</x:v>
      </x:c>
      <x:c r="AJ17" s="9" t="str">
        <x:f>IF(C17="","",IF(OR(F17="Corporate private",F17="Corporate listed"),IFERROR(IF(INDEX('Borrowers'!$X$9:$X$108,MATCH(D17,'Borrowers'!$C$9:$C$108,0))="","",INDEX('Borrowers'!$X$9:$X$108,MATCH(D17,'Borrowers'!$C$9:$C$108,0))),""),IF(AQ17="","",AQ17)))</x:f>
        <x:v>SYN-FIN-6</x:v>
      </x:c>
      <x:c r="AK17" s="43" t="n">
        <x:f>IF(C17="","",IF(OR(F17="Corporate private",F17="Corporate listed"),IFERROR(IF(INDEX('Borrowers'!$H$9:$H$108,MATCH(D17,'Borrowers'!$C$9:$C$108,0))="","",INDEX('Borrowers'!$H$9:$H$108,MATCH(D17,'Borrowers'!$C$9:$C$108,0))),""),IF(AR17="","",AR17)))</x:f>
        <x:v>46387</x:v>
      </x:c>
      <x:c r="AL17" s="9" t="str">
        <x:f>IF(C17="","",IF(COUNTIFS($C$9:$C$108,C17)&lt;&gt;1,"Duplicate entity ID",IF(COUNTIFS('Borrowers'!$C$9:$C$108,D17)&lt;&gt;1,"Borrower required",IF(AND(F17&lt;&gt;"Corporate private",F17&lt;&gt;"Corporate listed",F17&lt;&gt;"Project finance",F17&lt;&gt;"CRE",F17&lt;&gt;"Mortgage",F17&lt;&gt;"Motor"),"Method required",IF(OR(AND(F17="Corporate private",IFERROR(IF(INDEX('Borrowers'!$G$9:$G$108,MATCH(D17,'Borrowers'!$C$9:$C$108,0))="","",INDEX('Borrowers'!$G$9:$G$108,MATCH(D17,'Borrowers'!$C$9:$C$108,0))),"")&lt;&gt;"Private"),AND(F17="Corporate listed",IFERROR(IF(INDEX('Borrowers'!$G$9:$G$108,MATCH(D17,'Borrowers'!$C$9:$C$108,0))="","",INDEX('Borrowers'!$G$9:$G$108,MATCH(D17,'Borrowers'!$C$9:$C$108,0))),"")&lt;&gt;"Listed")),"Listing / class mismatch",IF(OR(NOT(ISNUMBER(N17)),N17&lt;=0,AJ17="",NOT(ISNUMBER(AK17))),"Value evidence required",IF(AND(OR(F17="Corporate private",F17="Corporate listed"),IFERROR(IF(INDEX('Borrowers'!$Y$9:$Y$108,MATCH(D17,'Borrowers'!$C$9:$C$108,0))="","",INDEX('Borrowers'!$Y$9:$Y$108,MATCH(D17,'Borrowers'!$C$9:$C$108,0))),"")&lt;'Settings'!$F$8),"Expired financial evidence",IF(AK17&gt;'Settings'!$F$8,"Future value date",IF(OR(AND(OR(F17="Corporate private",F17="Project finance"),OR(J17&lt;0,M17&lt;&gt;"Current financials")),AND(F17="Corporate listed",M17&lt;&gt;"Current financials"),AND(OR(F17="CRE",F17="Mortgage",F17="Motor"),AND(M17&lt;&gt;"Origination",M17&lt;&gt;"Fixed fallback"))),"Value basis review",IF(AND(M17="Current financials",YEAR(AK17)&lt;&gt;YEAR('Settings'!$F$8)),"Stale financial period","Ready"))))))))))</x:f>
        <x:v>Ready</x:v>
      </x:c>
      <x:c r="AM17" s="8" t="str">
        <x:v>SYN-S3-SCREEN-9</x:v>
      </x:c>
      <x:c r="AN17" s="8" t="str">
        <x:v>Single boundary</x:v>
      </x:c>
      <x:c r="AO17" s="16"/>
      <x:c r="AP17" s="16"/>
      <x:c r="AQ17" s="8"/>
      <x:c r="AR17" s="40"/>
    </x:row>
    <x:row r="18" ht="40" customHeight="1">
      <x:c r="A18" s="1"/>
      <x:c r="B18" s="1"/>
      <x:c r="C18" s="8" t="str">
        <x:v>B007</x:v>
      </x:c>
      <x:c r="D18" s="8" t="str">
        <x:v>B007</x:v>
      </x:c>
      <x:c r="E18" s="8" t="str">
        <x:v>Demo Amman Cement</x:v>
      </x:c>
      <x:c r="F18" s="8" t="str">
        <x:v>Corporate private</x:v>
      </x:c>
      <x:c r="G18" s="9" t="str">
        <x:f>IF(C18="","",IFERROR(IF(INDEX('Borrowers'!$E$9:$E$108,MATCH(D18,'Borrowers'!$C$9:$C$108,0))="","",INDEX('Borrowers'!$E$9:$E$108,MATCH(D18,'Borrowers'!$C$9:$C$108,0))),""))</x:f>
        <x:v>Jordan</x:v>
      </x:c>
      <x:c r="H18" s="40" t="n">
        <x:v>46387</x:v>
      </x:c>
      <x:c r="I18" s="23" t="n">
        <x:f>IF(C18="","",IF(OR(F18="Corporate private",F18="Corporate listed"),IFERROR(IF(INDEX('Borrowers'!$M$9:$M$108,MATCH(D18,'Borrowers'!$C$9:$C$108,0))="","",INDEX('Borrowers'!$M$9:$M$108,MATCH(D18,'Borrowers'!$C$9:$C$108,0))),""),IF(F18="Project finance",IF(ISNUMBER(AO18),AO18,""),"")))</x:f>
        <x:v>58</x:v>
      </x:c>
      <x:c r="J18" s="23" t="n">
        <x:f>IF(C18="","",IF(OR(F18="Corporate private",F18="Corporate listed"),IFERROR(IF(INDEX('Borrowers'!$N$9:$N$108,MATCH(D18,'Borrowers'!$C$9:$C$108,0))="","",INDEX('Borrowers'!$N$9:$N$108,MATCH(D18,'Borrowers'!$C$9:$C$108,0))),""),IF(F18="Project finance",IF(ISNUMBER(AP18),AP18,""),"")))</x:f>
        <x:v>37</x:v>
      </x:c>
      <x:c r="K18" s="23" t="str">
        <x:f>IF(C18="","",IF(F18="Corporate listed",IFERROR(IF(INDEX('Borrowers'!$O$9:$O$108,MATCH(D18,'Borrowers'!$C$9:$C$108,0))="","",INDEX('Borrowers'!$O$9:$O$108,MATCH(D18,'Borrowers'!$C$9:$C$108,0))),""),""))</x:f>
      </x:c>
      <x:c r="L18" s="16"/>
      <x:c r="M18" s="8" t="str">
        <x:v>Current financials</x:v>
      </x:c>
      <x:c r="N18" s="21" t="n">
        <x:f>IF(C18="","",IF(F18="Corporate listed",IF(ISNUMBER(K18),K18,""),IF(OR(F18="Corporate private",F18="Project finance"),IF(AND(ISNUMBER(I18),ISNUMBER(J18)),MAX(I18,0)+J18,""),IF(OR(F18="CRE",F18="Mortgage",F18="Motor"),IF(ISNUMBER(L18),L18,""),""))))</x:f>
        <x:v>95</x:v>
      </x:c>
      <x:c r="O18" s="8" t="str">
        <x:v>SYN-INV-10</x:v>
      </x:c>
      <x:c r="P18" s="40" t="n">
        <x:v>46752</x:v>
      </x:c>
      <x:c r="Q18" s="8" t="str">
        <x:v>Reported verified</x:v>
      </x:c>
      <x:c r="R18" s="16" t="n">
        <x:v>143500</x:v>
      </x:c>
      <x:c r="S18" s="8" t="str">
        <x:v>Yes</x:v>
      </x:c>
      <x:c r="T18" s="23" t="n">
        <x:f>IF(V18="Ready",IF(Q18="Activity",SUMIFS('Activity Data'!$U$9:$U$308,'Activity Data'!$D$9:$D$308,C18,'Activity Data'!$F$9:$F$308,"S1"),R18),"")</x:f>
        <x:v>143500</x:v>
      </x:c>
      <x:c r="U18" s="44" t="n">
        <x:f>IF(V18&lt;&gt;"Ready","",IF(Q18="Reported verified",1,IF(Q18="Reported unverified",2,IF(F18="Motor",1,2))))</x:f>
        <x:v>1</x:v>
      </x:c>
      <x:c r="V18" s="9" t="str">
        <x:f>IF(C18="","",IF(Q18="Not assessed","Not assessed",IF(OR(O18="",NOT(ISNUMBER(H18)),NOT(ISNUMBER(P18))),"Evidence required",IF(OR(P18&lt;'Settings'!$F$8,H18&gt;'Settings'!$F$8,YEAR(H18)&lt;&gt;YEAR('Settings'!$F$8)),"Period / expiry review",IF(S18&lt;&gt;"Yes","Boundary incomplete",IF(OR(Q18="Reported verified",Q18="Reported unverified"),IF(NOT(OR(F18="Corporate private",F18="Corporate listed",F18="Project finance")),"Asset method required",IF(OR(NOT(ISNUMBER(R18)),R18&lt;0),"Reported value required","Ready")),IF(Q18="Activity",IF(AND(COUNTIFS('Activity Data'!$D$9:$D$308,C18,'Activity Data'!$F$9:$F$308,"S1")&gt;0,COUNTIFS('Activity Data'!$D$9:$D$308,C18,'Activity Data'!$F$9:$F$308,"S1")=COUNTIFS('Activity Data'!$D$9:$D$308,C18,'Activity Data'!$F$9:$F$308,"S1",'Activity Data'!$V$9:$V$308,"Ready")),"Ready","Activity incomplete"),"Method required")))))))</x:f>
        <x:v>Ready</x:v>
      </x:c>
      <x:c r="W18" s="8" t="str">
        <x:v>Reported verified</x:v>
      </x:c>
      <x:c r="X18" s="16" t="n">
        <x:v>2600</x:v>
      </x:c>
      <x:c r="Y18" s="8" t="str">
        <x:v>Yes</x:v>
      </x:c>
      <x:c r="Z18" s="23" t="n">
        <x:f>IF(AB18="Ready",IF(W18="Activity",SUMIFS('Activity Data'!$U$9:$U$308,'Activity Data'!$D$9:$D$308,C18,'Activity Data'!$F$9:$F$308,"S2"),X18),"")</x:f>
        <x:v>2600</x:v>
      </x:c>
      <x:c r="AA18" s="44" t="n">
        <x:f>IF(AB18&lt;&gt;"Ready","",IF(W18="Reported verified",1,IF(W18="Reported unverified",2,IF(F18="Motor",1,2))))</x:f>
        <x:v>1</x:v>
      </x:c>
      <x:c r="AB18" s="9" t="str">
        <x:f>IF(C18="","",IF(W18="Not assessed","Not assessed",IF(OR(O18="",NOT(ISNUMBER(H18)),NOT(ISNUMBER(P18))),"Evidence required",IF(OR(P18&lt;'Settings'!$F$8,H18&gt;'Settings'!$F$8,YEAR(H18)&lt;&gt;YEAR('Settings'!$F$8)),"Period / expiry review",IF(Y18&lt;&gt;"Yes","Boundary incomplete",IF(OR(AND(AC18&lt;&gt;"Location-based",AC18&lt;&gt;"Market-based"),AND(W18="Activity",AC18&lt;&gt;"Location-based")),"S2 basis mismatch",IF(OR(W18="Reported verified",W18="Reported unverified"),IF(NOT(OR(F18="Corporate private",F18="Corporate listed",F18="Project finance")),"Asset method required",IF(OR(NOT(ISNUMBER(X18)),X18&lt;0),"Reported value required","Ready")),IF(W18="Activity",IF(AND(COUNTIFS('Activity Data'!$D$9:$D$308,C18,'Activity Data'!$F$9:$F$308,"S2")&gt;0,COUNTIFS('Activity Data'!$D$9:$D$308,C18,'Activity Data'!$F$9:$F$308,"S2")=COUNTIFS('Activity Data'!$D$9:$D$308,C18,'Activity Data'!$F$9:$F$308,"S2",'Activity Data'!$V$9:$V$308,"Ready")),"Ready","Activity incomplete"),"Method required"))))))))</x:f>
        <x:v>Ready</x:v>
      </x:c>
      <x:c r="AC18" s="8" t="str">
        <x:v>Location-based</x:v>
      </x:c>
      <x:c r="AD18" s="8" t="str">
        <x:v>Reported unverified</x:v>
      </x:c>
      <x:c r="AE18" s="16" t="n">
        <x:v>238000</x:v>
      </x:c>
      <x:c r="AF18" s="8" t="str">
        <x:v>Yes</x:v>
      </x:c>
      <x:c r="AG18" s="23" t="n">
        <x:f>IF(AI18="Ready",IF(AD18="Activity",SUMIFS('Activity Data'!$U$9:$U$308,'Activity Data'!$D$9:$D$308,C18,'Activity Data'!$F$9:$F$308,"S3"),AE18),"")</x:f>
        <x:v>238000</x:v>
      </x:c>
      <x:c r="AH18" s="44" t="n">
        <x:f>IF(AI18&lt;&gt;"Ready","",IF(AD18="Reported verified",1,IF(AD18="Reported unverified",2,IF(F18="Motor",1,2))))</x:f>
        <x:v>2</x:v>
      </x:c>
      <x:c r="AI18" s="9" t="str">
        <x:f>IF(C18="","",IF(AD18="Not assessed","Not assessed",IF(OR(O18="",NOT(ISNUMBER(H18)),NOT(ISNUMBER(P18))),"Evidence required",IF(OR(P18&lt;'Settings'!$F$8,H18&gt;'Settings'!$F$8,YEAR(H18)&lt;&gt;YEAR('Settings'!$F$8)),"Period / expiry review",IF(AF18&lt;&gt;"Yes","Boundary incomplete",IF(AM18="","S3 screening required",IF(OR(AD18="Reported verified",AD18="Reported unverified"),IF(NOT(OR(F18="Corporate private",F18="Corporate listed",F18="Project finance")),"Asset method required",IF(OR(NOT(ISNUMBER(AE18)),AE18&lt;0),"Reported value required","Ready")),"Scope 3 method required")))))))</x:f>
        <x:v>Ready</x:v>
      </x:c>
      <x:c r="AJ18" s="9" t="str">
        <x:f>IF(C18="","",IF(OR(F18="Corporate private",F18="Corporate listed"),IFERROR(IF(INDEX('Borrowers'!$X$9:$X$108,MATCH(D18,'Borrowers'!$C$9:$C$108,0))="","",INDEX('Borrowers'!$X$9:$X$108,MATCH(D18,'Borrowers'!$C$9:$C$108,0))),""),IF(AQ18="","",AQ18)))</x:f>
        <x:v>SYN-FIN-7</x:v>
      </x:c>
      <x:c r="AK18" s="43" t="n">
        <x:f>IF(C18="","",IF(OR(F18="Corporate private",F18="Corporate listed"),IFERROR(IF(INDEX('Borrowers'!$H$9:$H$108,MATCH(D18,'Borrowers'!$C$9:$C$108,0))="","",INDEX('Borrowers'!$H$9:$H$108,MATCH(D18,'Borrowers'!$C$9:$C$108,0))),""),IF(AR18="","",AR18)))</x:f>
        <x:v>46387</x:v>
      </x:c>
      <x:c r="AL18" s="9" t="str">
        <x:f>IF(C18="","",IF(COUNTIFS($C$9:$C$108,C18)&lt;&gt;1,"Duplicate entity ID",IF(COUNTIFS('Borrowers'!$C$9:$C$108,D18)&lt;&gt;1,"Borrower required",IF(AND(F18&lt;&gt;"Corporate private",F18&lt;&gt;"Corporate listed",F18&lt;&gt;"Project finance",F18&lt;&gt;"CRE",F18&lt;&gt;"Mortgage",F18&lt;&gt;"Motor"),"Method required",IF(OR(AND(F18="Corporate private",IFERROR(IF(INDEX('Borrowers'!$G$9:$G$108,MATCH(D18,'Borrowers'!$C$9:$C$108,0))="","",INDEX('Borrowers'!$G$9:$G$108,MATCH(D18,'Borrowers'!$C$9:$C$108,0))),"")&lt;&gt;"Private"),AND(F18="Corporate listed",IFERROR(IF(INDEX('Borrowers'!$G$9:$G$108,MATCH(D18,'Borrowers'!$C$9:$C$108,0))="","",INDEX('Borrowers'!$G$9:$G$108,MATCH(D18,'Borrowers'!$C$9:$C$108,0))),"")&lt;&gt;"Listed")),"Listing / class mismatch",IF(OR(NOT(ISNUMBER(N18)),N18&lt;=0,AJ18="",NOT(ISNUMBER(AK18))),"Value evidence required",IF(AND(OR(F18="Corporate private",F18="Corporate listed"),IFERROR(IF(INDEX('Borrowers'!$Y$9:$Y$108,MATCH(D18,'Borrowers'!$C$9:$C$108,0))="","",INDEX('Borrowers'!$Y$9:$Y$108,MATCH(D18,'Borrowers'!$C$9:$C$108,0))),"")&lt;'Settings'!$F$8),"Expired financial evidence",IF(AK18&gt;'Settings'!$F$8,"Future value date",IF(OR(AND(OR(F18="Corporate private",F18="Project finance"),OR(J18&lt;0,M18&lt;&gt;"Current financials")),AND(F18="Corporate listed",M18&lt;&gt;"Current financials"),AND(OR(F18="CRE",F18="Mortgage",F18="Motor"),AND(M18&lt;&gt;"Origination",M18&lt;&gt;"Fixed fallback"))),"Value basis review",IF(AND(M18="Current financials",YEAR(AK18)&lt;&gt;YEAR('Settings'!$F$8)),"Stale financial period","Ready"))))))))))</x:f>
        <x:v>Ready</x:v>
      </x:c>
      <x:c r="AM18" s="8" t="str">
        <x:v>SYN-S3-SCREEN-10</x:v>
      </x:c>
      <x:c r="AN18" s="8" t="str">
        <x:v>Single boundary</x:v>
      </x:c>
      <x:c r="AO18" s="16"/>
      <x:c r="AP18" s="16"/>
      <x:c r="AQ18" s="8"/>
      <x:c r="AR18" s="40"/>
    </x:row>
    <x:row r="19" ht="40" customHeight="1">
      <x:c r="A19" s="1"/>
      <x:c r="B19" s="1"/>
      <x:c r="C19" s="8" t="str">
        <x:v>B008</x:v>
      </x:c>
      <x:c r="D19" s="8" t="str">
        <x:v>B008</x:v>
      </x:c>
      <x:c r="E19" s="8" t="str">
        <x:v>Demo Petra Solar</x:v>
      </x:c>
      <x:c r="F19" s="8" t="str">
        <x:v>Corporate private</x:v>
      </x:c>
      <x:c r="G19" s="9" t="str">
        <x:f>IF(C19="","",IFERROR(IF(INDEX('Borrowers'!$E$9:$E$108,MATCH(D19,'Borrowers'!$C$9:$C$108,0))="","",INDEX('Borrowers'!$E$9:$E$108,MATCH(D19,'Borrowers'!$C$9:$C$108,0))),""))</x:f>
        <x:v>Jordan</x:v>
      </x:c>
      <x:c r="H19" s="40" t="n">
        <x:v>46387</x:v>
      </x:c>
      <x:c r="I19" s="23" t="n">
        <x:f>IF(C19="","",IF(OR(F19="Corporate private",F19="Corporate listed"),IFERROR(IF(INDEX('Borrowers'!$M$9:$M$108,MATCH(D19,'Borrowers'!$C$9:$C$108,0))="","",INDEX('Borrowers'!$M$9:$M$108,MATCH(D19,'Borrowers'!$C$9:$C$108,0))),""),IF(F19="Project finance",IF(ISNUMBER(AO19),AO19,""),"")))</x:f>
        <x:v>61</x:v>
      </x:c>
      <x:c r="J19" s="23" t="n">
        <x:f>IF(C19="","",IF(OR(F19="Corporate private",F19="Corporate listed"),IFERROR(IF(INDEX('Borrowers'!$N$9:$N$108,MATCH(D19,'Borrowers'!$C$9:$C$108,0))="","",INDEX('Borrowers'!$N$9:$N$108,MATCH(D19,'Borrowers'!$C$9:$C$108,0))),""),IF(F19="Project finance",IF(ISNUMBER(AP19),AP19,""),"")))</x:f>
        <x:v>39</x:v>
      </x:c>
      <x:c r="K19" s="23" t="str">
        <x:f>IF(C19="","",IF(F19="Corporate listed",IFERROR(IF(INDEX('Borrowers'!$O$9:$O$108,MATCH(D19,'Borrowers'!$C$9:$C$108,0))="","",INDEX('Borrowers'!$O$9:$O$108,MATCH(D19,'Borrowers'!$C$9:$C$108,0))),""),""))</x:f>
      </x:c>
      <x:c r="L19" s="16"/>
      <x:c r="M19" s="8" t="str">
        <x:v>Current financials</x:v>
      </x:c>
      <x:c r="N19" s="21" t="n">
        <x:f>IF(C19="","",IF(F19="Corporate listed",IF(ISNUMBER(K19),K19,""),IF(OR(F19="Corporate private",F19="Project finance"),IF(AND(ISNUMBER(I19),ISNUMBER(J19)),MAX(I19,0)+J19,""),IF(OR(F19="CRE",F19="Mortgage",F19="Motor"),IF(ISNUMBER(L19),L19,""),""))))</x:f>
        <x:v>100</x:v>
      </x:c>
      <x:c r="O19" s="8" t="str">
        <x:v>SYN-INV-11</x:v>
      </x:c>
      <x:c r="P19" s="40" t="n">
        <x:v>46752</x:v>
      </x:c>
      <x:c r="Q19" s="8" t="str">
        <x:v>Activity</x:v>
      </x:c>
      <x:c r="R19" s="16"/>
      <x:c r="S19" s="8" t="str">
        <x:v>Yes</x:v>
      </x:c>
      <x:c r="T19" s="23" t="n">
        <x:f>IF(V19="Ready",IF(Q19="Activity",SUMIFS('Activity Data'!$U$9:$U$308,'Activity Data'!$D$9:$D$308,C19,'Activity Data'!$F$9:$F$308,"S1"),R19),"")</x:f>
        <x:v>8.040000000000001</x:v>
      </x:c>
      <x:c r="U19" s="44" t="n">
        <x:f>IF(V19&lt;&gt;"Ready","",IF(Q19="Reported verified",1,IF(Q19="Reported unverified",2,IF(F19="Motor",1,2))))</x:f>
        <x:v>2</x:v>
      </x:c>
      <x:c r="V19" s="9" t="str">
        <x:f>IF(C19="","",IF(Q19="Not assessed","Not assessed",IF(OR(O19="",NOT(ISNUMBER(H19)),NOT(ISNUMBER(P19))),"Evidence required",IF(OR(P19&lt;'Settings'!$F$8,H19&gt;'Settings'!$F$8,YEAR(H19)&lt;&gt;YEAR('Settings'!$F$8)),"Period / expiry review",IF(S19&lt;&gt;"Yes","Boundary incomplete",IF(OR(Q19="Reported verified",Q19="Reported unverified"),IF(NOT(OR(F19="Corporate private",F19="Corporate listed",F19="Project finance")),"Asset method required",IF(OR(NOT(ISNUMBER(R19)),R19&lt;0),"Reported value required","Ready")),IF(Q19="Activity",IF(AND(COUNTIFS('Activity Data'!$D$9:$D$308,C19,'Activity Data'!$F$9:$F$308,"S1")&gt;0,COUNTIFS('Activity Data'!$D$9:$D$308,C19,'Activity Data'!$F$9:$F$308,"S1")=COUNTIFS('Activity Data'!$D$9:$D$308,C19,'Activity Data'!$F$9:$F$308,"S1",'Activity Data'!$V$9:$V$308,"Ready")),"Ready","Activity incomplete"),"Method required")))))))</x:f>
        <x:v>Ready</x:v>
      </x:c>
      <x:c r="W19" s="8" t="str">
        <x:v>Activity</x:v>
      </x:c>
      <x:c r="X19" s="16"/>
      <x:c r="Y19" s="8" t="str">
        <x:v>Yes</x:v>
      </x:c>
      <x:c r="Z19" s="23" t="n">
        <x:f>IF(AB19="Ready",IF(W19="Activity",SUMIFS('Activity Data'!$U$9:$U$308,'Activity Data'!$D$9:$D$308,C19,'Activity Data'!$F$9:$F$308,"S2"),X19),"")</x:f>
        <x:v>21.5</x:v>
      </x:c>
      <x:c r="AA19" s="44" t="n">
        <x:f>IF(AB19&lt;&gt;"Ready","",IF(W19="Reported verified",1,IF(W19="Reported unverified",2,IF(F19="Motor",1,2))))</x:f>
        <x:v>2</x:v>
      </x:c>
      <x:c r="AB19" s="9" t="str">
        <x:f>IF(C19="","",IF(W19="Not assessed","Not assessed",IF(OR(O19="",NOT(ISNUMBER(H19)),NOT(ISNUMBER(P19))),"Evidence required",IF(OR(P19&lt;'Settings'!$F$8,H19&gt;'Settings'!$F$8,YEAR(H19)&lt;&gt;YEAR('Settings'!$F$8)),"Period / expiry review",IF(Y19&lt;&gt;"Yes","Boundary incomplete",IF(OR(AND(AC19&lt;&gt;"Location-based",AC19&lt;&gt;"Market-based"),AND(W19="Activity",AC19&lt;&gt;"Location-based")),"S2 basis mismatch",IF(OR(W19="Reported verified",W19="Reported unverified"),IF(NOT(OR(F19="Corporate private",F19="Corporate listed",F19="Project finance")),"Asset method required",IF(OR(NOT(ISNUMBER(X19)),X19&lt;0),"Reported value required","Ready")),IF(W19="Activity",IF(AND(COUNTIFS('Activity Data'!$D$9:$D$308,C19,'Activity Data'!$F$9:$F$308,"S2")&gt;0,COUNTIFS('Activity Data'!$D$9:$D$308,C19,'Activity Data'!$F$9:$F$308,"S2")=COUNTIFS('Activity Data'!$D$9:$D$308,C19,'Activity Data'!$F$9:$F$308,"S2",'Activity Data'!$V$9:$V$308,"Ready")),"Ready","Activity incomplete"),"Method required"))))))))</x:f>
        <x:v>Ready</x:v>
      </x:c>
      <x:c r="AC19" s="8" t="str">
        <x:v>Location-based</x:v>
      </x:c>
      <x:c r="AD19" s="8" t="str">
        <x:v>Reported unverified</x:v>
      </x:c>
      <x:c r="AE19" s="16" t="n">
        <x:v>14000</x:v>
      </x:c>
      <x:c r="AF19" s="8" t="str">
        <x:v>Yes</x:v>
      </x:c>
      <x:c r="AG19" s="23" t="n">
        <x:f>IF(AI19="Ready",IF(AD19="Activity",SUMIFS('Activity Data'!$U$9:$U$308,'Activity Data'!$D$9:$D$308,C19,'Activity Data'!$F$9:$F$308,"S3"),AE19),"")</x:f>
        <x:v>14000</x:v>
      </x:c>
      <x:c r="AH19" s="44" t="n">
        <x:f>IF(AI19&lt;&gt;"Ready","",IF(AD19="Reported verified",1,IF(AD19="Reported unverified",2,IF(F19="Motor",1,2))))</x:f>
        <x:v>2</x:v>
      </x:c>
      <x:c r="AI19" s="9" t="str">
        <x:f>IF(C19="","",IF(AD19="Not assessed","Not assessed",IF(OR(O19="",NOT(ISNUMBER(H19)),NOT(ISNUMBER(P19))),"Evidence required",IF(OR(P19&lt;'Settings'!$F$8,H19&gt;'Settings'!$F$8,YEAR(H19)&lt;&gt;YEAR('Settings'!$F$8)),"Period / expiry review",IF(AF19&lt;&gt;"Yes","Boundary incomplete",IF(AM19="","S3 screening required",IF(OR(AD19="Reported verified",AD19="Reported unverified"),IF(NOT(OR(F19="Corporate private",F19="Corporate listed",F19="Project finance")),"Asset method required",IF(OR(NOT(ISNUMBER(AE19)),AE19&lt;0),"Reported value required","Ready")),"Scope 3 method required")))))))</x:f>
        <x:v>Ready</x:v>
      </x:c>
      <x:c r="AJ19" s="9" t="str">
        <x:f>IF(C19="","",IF(OR(F19="Corporate private",F19="Corporate listed"),IFERROR(IF(INDEX('Borrowers'!$X$9:$X$108,MATCH(D19,'Borrowers'!$C$9:$C$108,0))="","",INDEX('Borrowers'!$X$9:$X$108,MATCH(D19,'Borrowers'!$C$9:$C$108,0))),""),IF(AQ19="","",AQ19)))</x:f>
        <x:v>SYN-FIN-8</x:v>
      </x:c>
      <x:c r="AK19" s="43" t="n">
        <x:f>IF(C19="","",IF(OR(F19="Corporate private",F19="Corporate listed"),IFERROR(IF(INDEX('Borrowers'!$H$9:$H$108,MATCH(D19,'Borrowers'!$C$9:$C$108,0))="","",INDEX('Borrowers'!$H$9:$H$108,MATCH(D19,'Borrowers'!$C$9:$C$108,0))),""),IF(AR19="","",AR19)))</x:f>
        <x:v>46387</x:v>
      </x:c>
      <x:c r="AL19" s="9" t="str">
        <x:f>IF(C19="","",IF(COUNTIFS($C$9:$C$108,C19)&lt;&gt;1,"Duplicate entity ID",IF(COUNTIFS('Borrowers'!$C$9:$C$108,D19)&lt;&gt;1,"Borrower required",IF(AND(F19&lt;&gt;"Corporate private",F19&lt;&gt;"Corporate listed",F19&lt;&gt;"Project finance",F19&lt;&gt;"CRE",F19&lt;&gt;"Mortgage",F19&lt;&gt;"Motor"),"Method required",IF(OR(AND(F19="Corporate private",IFERROR(IF(INDEX('Borrowers'!$G$9:$G$108,MATCH(D19,'Borrowers'!$C$9:$C$108,0))="","",INDEX('Borrowers'!$G$9:$G$108,MATCH(D19,'Borrowers'!$C$9:$C$108,0))),"")&lt;&gt;"Private"),AND(F19="Corporate listed",IFERROR(IF(INDEX('Borrowers'!$G$9:$G$108,MATCH(D19,'Borrowers'!$C$9:$C$108,0))="","",INDEX('Borrowers'!$G$9:$G$108,MATCH(D19,'Borrowers'!$C$9:$C$108,0))),"")&lt;&gt;"Listed")),"Listing / class mismatch",IF(OR(NOT(ISNUMBER(N19)),N19&lt;=0,AJ19="",NOT(ISNUMBER(AK19))),"Value evidence required",IF(AND(OR(F19="Corporate private",F19="Corporate listed"),IFERROR(IF(INDEX('Borrowers'!$Y$9:$Y$108,MATCH(D19,'Borrowers'!$C$9:$C$108,0))="","",INDEX('Borrowers'!$Y$9:$Y$108,MATCH(D19,'Borrowers'!$C$9:$C$108,0))),"")&lt;'Settings'!$F$8),"Expired financial evidence",IF(AK19&gt;'Settings'!$F$8,"Future value date",IF(OR(AND(OR(F19="Corporate private",F19="Project finance"),OR(J19&lt;0,M19&lt;&gt;"Current financials")),AND(F19="Corporate listed",M19&lt;&gt;"Current financials"),AND(OR(F19="CRE",F19="Mortgage",F19="Motor"),AND(M19&lt;&gt;"Origination",M19&lt;&gt;"Fixed fallback"))),"Value basis review",IF(AND(M19="Current financials",YEAR(AK19)&lt;&gt;YEAR('Settings'!$F$8)),"Stale financial period","Ready"))))))))))</x:f>
        <x:v>Ready</x:v>
      </x:c>
      <x:c r="AM19" s="8" t="str">
        <x:v>SYN-S3-SCREEN-11</x:v>
      </x:c>
      <x:c r="AN19" s="8" t="str">
        <x:v>Review overlap</x:v>
      </x:c>
      <x:c r="AO19" s="16"/>
      <x:c r="AP19" s="16"/>
      <x:c r="AQ19" s="8"/>
      <x:c r="AR19" s="40"/>
    </x:row>
    <x:row r="20" ht="40" customHeight="1">
      <x:c r="A20" s="1"/>
      <x:c r="B20" s="1"/>
      <x:c r="C20" s="8" t="str">
        <x:v>A008</x:v>
      </x:c>
      <x:c r="D20" s="8" t="str">
        <x:v>B008</x:v>
      </x:c>
      <x:c r="E20" s="8" t="str">
        <x:v>Demo Petra Solar solar project</x:v>
      </x:c>
      <x:c r="F20" s="8" t="str">
        <x:v>Project finance</x:v>
      </x:c>
      <x:c r="G20" s="9" t="str">
        <x:f>IF(C20="","",IFERROR(IF(INDEX('Borrowers'!$E$9:$E$108,MATCH(D20,'Borrowers'!$C$9:$C$108,0))="","",INDEX('Borrowers'!$E$9:$E$108,MATCH(D20,'Borrowers'!$C$9:$C$108,0))),""))</x:f>
        <x:v>Jordan</x:v>
      </x:c>
      <x:c r="H20" s="40" t="n">
        <x:v>46387</x:v>
      </x:c>
      <x:c r="I20" s="23" t="n">
        <x:f>IF(C20="","",IF(OR(F20="Corporate private",F20="Corporate listed"),IFERROR(IF(INDEX('Borrowers'!$M$9:$M$108,MATCH(D20,'Borrowers'!$C$9:$C$108,0))="","",INDEX('Borrowers'!$M$9:$M$108,MATCH(D20,'Borrowers'!$C$9:$C$108,0))),""),IF(F20="Project finance",IF(ISNUMBER(AO20),AO20,""),"")))</x:f>
        <x:v>20</x:v>
      </x:c>
      <x:c r="J20" s="23" t="n">
        <x:f>IF(C20="","",IF(OR(F20="Corporate private",F20="Corporate listed"),IFERROR(IF(INDEX('Borrowers'!$N$9:$N$108,MATCH(D20,'Borrowers'!$C$9:$C$108,0))="","",INDEX('Borrowers'!$N$9:$N$108,MATCH(D20,'Borrowers'!$C$9:$C$108,0))),""),IF(F20="Project finance",IF(ISNUMBER(AP20),AP20,""),"")))</x:f>
        <x:v>15</x:v>
      </x:c>
      <x:c r="K20" s="23" t="str">
        <x:f>IF(C20="","",IF(F20="Corporate listed",IFERROR(IF(INDEX('Borrowers'!$O$9:$O$108,MATCH(D20,'Borrowers'!$C$9:$C$108,0))="","",INDEX('Borrowers'!$O$9:$O$108,MATCH(D20,'Borrowers'!$C$9:$C$108,0))),""),""))</x:f>
      </x:c>
      <x:c r="L20" s="16" t="n">
        <x:v>30</x:v>
      </x:c>
      <x:c r="M20" s="8" t="str">
        <x:v>Current financials</x:v>
      </x:c>
      <x:c r="N20" s="21" t="n">
        <x:f>IF(C20="","",IF(F20="Corporate listed",IF(ISNUMBER(K20),K20,""),IF(OR(F20="Corporate private",F20="Project finance"),IF(AND(ISNUMBER(I20),ISNUMBER(J20)),MAX(I20,0)+J20,""),IF(OR(F20="CRE",F20="Mortgage",F20="Motor"),IF(ISNUMBER(L20),L20,""),""))))</x:f>
        <x:v>35</x:v>
      </x:c>
      <x:c r="O20" s="8" t="str">
        <x:v>SYN-INV-12</x:v>
      </x:c>
      <x:c r="P20" s="40" t="n">
        <x:v>46752</x:v>
      </x:c>
      <x:c r="Q20" s="8" t="str">
        <x:v>Activity</x:v>
      </x:c>
      <x:c r="R20" s="16"/>
      <x:c r="S20" s="8" t="str">
        <x:v>Yes</x:v>
      </x:c>
      <x:c r="T20" s="23" t="n">
        <x:f>IF(V20="Ready",IF(Q20="Activity",SUMIFS('Activity Data'!$U$9:$U$308,'Activity Data'!$D$9:$D$308,C20,'Activity Data'!$F$9:$F$308,"S1"),R20),"")</x:f>
        <x:v>26.8</x:v>
      </x:c>
      <x:c r="U20" s="44" t="n">
        <x:f>IF(V20&lt;&gt;"Ready","",IF(Q20="Reported verified",1,IF(Q20="Reported unverified",2,IF(F20="Motor",1,2))))</x:f>
        <x:v>2</x:v>
      </x:c>
      <x:c r="V20" s="9" t="str">
        <x:f>IF(C20="","",IF(Q20="Not assessed","Not assessed",IF(OR(O20="",NOT(ISNUMBER(H20)),NOT(ISNUMBER(P20))),"Evidence required",IF(OR(P20&lt;'Settings'!$F$8,H20&gt;'Settings'!$F$8,YEAR(H20)&lt;&gt;YEAR('Settings'!$F$8)),"Period / expiry review",IF(S20&lt;&gt;"Yes","Boundary incomplete",IF(OR(Q20="Reported verified",Q20="Reported unverified"),IF(NOT(OR(F20="Corporate private",F20="Corporate listed",F20="Project finance")),"Asset method required",IF(OR(NOT(ISNUMBER(R20)),R20&lt;0),"Reported value required","Ready")),IF(Q20="Activity",IF(AND(COUNTIFS('Activity Data'!$D$9:$D$308,C20,'Activity Data'!$F$9:$F$308,"S1")&gt;0,COUNTIFS('Activity Data'!$D$9:$D$308,C20,'Activity Data'!$F$9:$F$308,"S1")=COUNTIFS('Activity Data'!$D$9:$D$308,C20,'Activity Data'!$F$9:$F$308,"S1",'Activity Data'!$V$9:$V$308,"Ready")),"Ready","Activity incomplete"),"Method required")))))))</x:f>
        <x:v>Ready</x:v>
      </x:c>
      <x:c r="W20" s="8" t="str">
        <x:v>Activity</x:v>
      </x:c>
      <x:c r="X20" s="16"/>
      <x:c r="Y20" s="8" t="str">
        <x:v>Yes</x:v>
      </x:c>
      <x:c r="Z20" s="23" t="n">
        <x:f>IF(AB20="Ready",IF(W20="Activity",SUMIFS('Activity Data'!$U$9:$U$308,'Activity Data'!$D$9:$D$308,C20,'Activity Data'!$F$9:$F$308,"S2"),X20),"")</x:f>
        <x:v>34.4</x:v>
      </x:c>
      <x:c r="AA20" s="44" t="n">
        <x:f>IF(AB20&lt;&gt;"Ready","",IF(W20="Reported verified",1,IF(W20="Reported unverified",2,IF(F20="Motor",1,2))))</x:f>
        <x:v>2</x:v>
      </x:c>
      <x:c r="AB20" s="9" t="str">
        <x:f>IF(C20="","",IF(W20="Not assessed","Not assessed",IF(OR(O20="",NOT(ISNUMBER(H20)),NOT(ISNUMBER(P20))),"Evidence required",IF(OR(P20&lt;'Settings'!$F$8,H20&gt;'Settings'!$F$8,YEAR(H20)&lt;&gt;YEAR('Settings'!$F$8)),"Period / expiry review",IF(Y20&lt;&gt;"Yes","Boundary incomplete",IF(OR(AND(AC20&lt;&gt;"Location-based",AC20&lt;&gt;"Market-based"),AND(W20="Activity",AC20&lt;&gt;"Location-based")),"S2 basis mismatch",IF(OR(W20="Reported verified",W20="Reported unverified"),IF(NOT(OR(F20="Corporate private",F20="Corporate listed",F20="Project finance")),"Asset method required",IF(OR(NOT(ISNUMBER(X20)),X20&lt;0),"Reported value required","Ready")),IF(W20="Activity",IF(AND(COUNTIFS('Activity Data'!$D$9:$D$308,C20,'Activity Data'!$F$9:$F$308,"S2")&gt;0,COUNTIFS('Activity Data'!$D$9:$D$308,C20,'Activity Data'!$F$9:$F$308,"S2")=COUNTIFS('Activity Data'!$D$9:$D$308,C20,'Activity Data'!$F$9:$F$308,"S2",'Activity Data'!$V$9:$V$308,"Ready")),"Ready","Activity incomplete"),"Method required"))))))))</x:f>
        <x:v>Ready</x:v>
      </x:c>
      <x:c r="AC20" s="8" t="str">
        <x:v>Location-based</x:v>
      </x:c>
      <x:c r="AD20" s="8" t="str">
        <x:v>Not assessed</x:v>
      </x:c>
      <x:c r="AE20" s="16"/>
      <x:c r="AF20" s="8" t="str">
        <x:v>No</x:v>
      </x:c>
      <x:c r="AG20" s="23" t="str">
        <x:f>IF(AI20="Ready",IF(AD20="Activity",SUMIFS('Activity Data'!$U$9:$U$308,'Activity Data'!$D$9:$D$308,C20,'Activity Data'!$F$9:$F$308,"S3"),AE20),"")</x:f>
      </x:c>
      <x:c r="AH20" s="44" t="str">
        <x:f>IF(AI20&lt;&gt;"Ready","",IF(AD20="Reported verified",1,IF(AD20="Reported unverified",2,IF(F20="Motor",1,2))))</x:f>
      </x:c>
      <x:c r="AI20" s="9" t="str">
        <x:f>IF(C20="","",IF(AD20="Not assessed","Not assessed",IF(OR(O20="",NOT(ISNUMBER(H20)),NOT(ISNUMBER(P20))),"Evidence required",IF(OR(P20&lt;'Settings'!$F$8,H20&gt;'Settings'!$F$8,YEAR(H20)&lt;&gt;YEAR('Settings'!$F$8)),"Period / expiry review",IF(AF20&lt;&gt;"Yes","Boundary incomplete",IF(AM20="","S3 screening required",IF(OR(AD20="Reported verified",AD20="Reported unverified"),IF(NOT(OR(F20="Corporate private",F20="Corporate listed",F20="Project finance")),"Asset method required",IF(OR(NOT(ISNUMBER(AE20)),AE20&lt;0),"Reported value required","Ready")),"Scope 3 method required")))))))</x:f>
        <x:v>Not assessed</x:v>
      </x:c>
      <x:c r="AJ20" s="9" t="str">
        <x:f>IF(C20="","",IF(OR(F20="Corporate private",F20="Corporate listed"),IFERROR(IF(INDEX('Borrowers'!$X$9:$X$108,MATCH(D20,'Borrowers'!$C$9:$C$108,0))="","",INDEX('Borrowers'!$X$9:$X$108,MATCH(D20,'Borrowers'!$C$9:$C$108,0))),""),IF(AQ20="","",AQ20)))</x:f>
        <x:v>SYN-VALUE-12</x:v>
      </x:c>
      <x:c r="AK20" s="43" t="n">
        <x:f>IF(C20="","",IF(OR(F20="Corporate private",F20="Corporate listed"),IFERROR(IF(INDEX('Borrowers'!$H$9:$H$108,MATCH(D20,'Borrowers'!$C$9:$C$108,0))="","",INDEX('Borrowers'!$H$9:$H$108,MATCH(D20,'Borrowers'!$C$9:$C$108,0))),""),IF(AR20="","",AR20)))</x:f>
        <x:v>46387</x:v>
      </x:c>
      <x:c r="AL20" s="9" t="str">
        <x:f>IF(C20="","",IF(COUNTIFS($C$9:$C$108,C20)&lt;&gt;1,"Duplicate entity ID",IF(COUNTIFS('Borrowers'!$C$9:$C$108,D20)&lt;&gt;1,"Borrower required",IF(AND(F20&lt;&gt;"Corporate private",F20&lt;&gt;"Corporate listed",F20&lt;&gt;"Project finance",F20&lt;&gt;"CRE",F20&lt;&gt;"Mortgage",F20&lt;&gt;"Motor"),"Method required",IF(OR(AND(F20="Corporate private",IFERROR(IF(INDEX('Borrowers'!$G$9:$G$108,MATCH(D20,'Borrowers'!$C$9:$C$108,0))="","",INDEX('Borrowers'!$G$9:$G$108,MATCH(D20,'Borrowers'!$C$9:$C$108,0))),"")&lt;&gt;"Private"),AND(F20="Corporate listed",IFERROR(IF(INDEX('Borrowers'!$G$9:$G$108,MATCH(D20,'Borrowers'!$C$9:$C$108,0))="","",INDEX('Borrowers'!$G$9:$G$108,MATCH(D20,'Borrowers'!$C$9:$C$108,0))),"")&lt;&gt;"Listed")),"Listing / class mismatch",IF(OR(NOT(ISNUMBER(N20)),N20&lt;=0,AJ20="",NOT(ISNUMBER(AK20))),"Value evidence required",IF(AND(OR(F20="Corporate private",F20="Corporate listed"),IFERROR(IF(INDEX('Borrowers'!$Y$9:$Y$108,MATCH(D20,'Borrowers'!$C$9:$C$108,0))="","",INDEX('Borrowers'!$Y$9:$Y$108,MATCH(D20,'Borrowers'!$C$9:$C$108,0))),"")&lt;'Settings'!$F$8),"Expired financial evidence",IF(AK20&gt;'Settings'!$F$8,"Future value date",IF(OR(AND(OR(F20="Corporate private",F20="Project finance"),OR(J20&lt;0,M20&lt;&gt;"Current financials")),AND(F20="Corporate listed",M20&lt;&gt;"Current financials"),AND(OR(F20="CRE",F20="Mortgage",F20="Motor"),AND(M20&lt;&gt;"Origination",M20&lt;&gt;"Fixed fallback"))),"Value basis review",IF(AND(M20="Current financials",YEAR(AK20)&lt;&gt;YEAR('Settings'!$F$8)),"Stale financial period","Ready"))))))))))</x:f>
        <x:v>Ready</x:v>
      </x:c>
      <x:c r="AM20" s="8" t="str"/>
      <x:c r="AN20" s="8" t="str">
        <x:v>Review overlap</x:v>
      </x:c>
      <x:c r="AO20" s="16" t="n">
        <x:v>20</x:v>
      </x:c>
      <x:c r="AP20" s="16" t="n">
        <x:v>15</x:v>
      </x:c>
      <x:c r="AQ20" s="8" t="str">
        <x:v>SYN-VALUE-12</x:v>
      </x:c>
      <x:c r="AR20" s="40" t="n">
        <x:v>46387</x:v>
      </x:c>
    </x:row>
    <x:row r="21" ht="40" customHeight="1">
      <x:c r="A21" s="1"/>
      <x:c r="B21" s="1"/>
      <x:c r="C21" s="8" t="str">
        <x:v>B009</x:v>
      </x:c>
      <x:c r="D21" s="8" t="str">
        <x:v>B009</x:v>
      </x:c>
      <x:c r="E21" s="8" t="str">
        <x:v>Demo Levant Freight</x:v>
      </x:c>
      <x:c r="F21" s="8" t="str">
        <x:v>Corporate private</x:v>
      </x:c>
      <x:c r="G21" s="9" t="str">
        <x:f>IF(C21="","",IFERROR(IF(INDEX('Borrowers'!$E$9:$E$108,MATCH(D21,'Borrowers'!$C$9:$C$108,0))="","",INDEX('Borrowers'!$E$9:$E$108,MATCH(D21,'Borrowers'!$C$9:$C$108,0))),""))</x:f>
        <x:v>Jordan</x:v>
      </x:c>
      <x:c r="H21" s="40" t="n">
        <x:v>46387</x:v>
      </x:c>
      <x:c r="I21" s="23" t="n">
        <x:f>IF(C21="","",IF(OR(F21="Corporate private",F21="Corporate listed"),IFERROR(IF(INDEX('Borrowers'!$M$9:$M$108,MATCH(D21,'Borrowers'!$C$9:$C$108,0))="","",INDEX('Borrowers'!$M$9:$M$108,MATCH(D21,'Borrowers'!$C$9:$C$108,0))),""),IF(F21="Project finance",IF(ISNUMBER(AO21),AO21,""),"")))</x:f>
        <x:v>64</x:v>
      </x:c>
      <x:c r="J21" s="23" t="n">
        <x:f>IF(C21="","",IF(OR(F21="Corporate private",F21="Corporate listed"),IFERROR(IF(INDEX('Borrowers'!$N$9:$N$108,MATCH(D21,'Borrowers'!$C$9:$C$108,0))="","",INDEX('Borrowers'!$N$9:$N$108,MATCH(D21,'Borrowers'!$C$9:$C$108,0))),""),IF(F21="Project finance",IF(ISNUMBER(AP21),AP21,""),"")))</x:f>
        <x:v>41</x:v>
      </x:c>
      <x:c r="K21" s="23" t="str">
        <x:f>IF(C21="","",IF(F21="Corporate listed",IFERROR(IF(INDEX('Borrowers'!$O$9:$O$108,MATCH(D21,'Borrowers'!$C$9:$C$108,0))="","",INDEX('Borrowers'!$O$9:$O$108,MATCH(D21,'Borrowers'!$C$9:$C$108,0))),""),""))</x:f>
      </x:c>
      <x:c r="L21" s="16"/>
      <x:c r="M21" s="8" t="str">
        <x:v>Current financials</x:v>
      </x:c>
      <x:c r="N21" s="21" t="n">
        <x:f>IF(C21="","",IF(F21="Corporate listed",IF(ISNUMBER(K21),K21,""),IF(OR(F21="Corporate private",F21="Project finance"),IF(AND(ISNUMBER(I21),ISNUMBER(J21)),MAX(I21,0)+J21,""),IF(OR(F21="CRE",F21="Mortgage",F21="Motor"),IF(ISNUMBER(L21),L21,""),""))))</x:f>
        <x:v>105</x:v>
      </x:c>
      <x:c r="O21" s="8" t="str">
        <x:v>SYN-INV-13</x:v>
      </x:c>
      <x:c r="P21" s="40" t="n">
        <x:v>46752</x:v>
      </x:c>
      <x:c r="Q21" s="8" t="str">
        <x:v>Reported verified</x:v>
      </x:c>
      <x:c r="R21" s="16" t="n">
        <x:v>2940</x:v>
      </x:c>
      <x:c r="S21" s="8" t="str">
        <x:v>Yes</x:v>
      </x:c>
      <x:c r="T21" s="23" t="n">
        <x:f>IF(V21="Ready",IF(Q21="Activity",SUMIFS('Activity Data'!$U$9:$U$308,'Activity Data'!$D$9:$D$308,C21,'Activity Data'!$F$9:$F$308,"S1"),R21),"")</x:f>
        <x:v>2940</x:v>
      </x:c>
      <x:c r="U21" s="44" t="n">
        <x:f>IF(V21&lt;&gt;"Ready","",IF(Q21="Reported verified",1,IF(Q21="Reported unverified",2,IF(F21="Motor",1,2))))</x:f>
        <x:v>1</x:v>
      </x:c>
      <x:c r="V21" s="9" t="str">
        <x:f>IF(C21="","",IF(Q21="Not assessed","Not assessed",IF(OR(O21="",NOT(ISNUMBER(H21)),NOT(ISNUMBER(P21))),"Evidence required",IF(OR(P21&lt;'Settings'!$F$8,H21&gt;'Settings'!$F$8,YEAR(H21)&lt;&gt;YEAR('Settings'!$F$8)),"Period / expiry review",IF(S21&lt;&gt;"Yes","Boundary incomplete",IF(OR(Q21="Reported verified",Q21="Reported unverified"),IF(NOT(OR(F21="Corporate private",F21="Corporate listed",F21="Project finance")),"Asset method required",IF(OR(NOT(ISNUMBER(R21)),R21&lt;0),"Reported value required","Ready")),IF(Q21="Activity",IF(AND(COUNTIFS('Activity Data'!$D$9:$D$308,C21,'Activity Data'!$F$9:$F$308,"S1")&gt;0,COUNTIFS('Activity Data'!$D$9:$D$308,C21,'Activity Data'!$F$9:$F$308,"S1")=COUNTIFS('Activity Data'!$D$9:$D$308,C21,'Activity Data'!$F$9:$F$308,"S1",'Activity Data'!$V$9:$V$308,"Ready")),"Ready","Activity incomplete"),"Method required")))))))</x:f>
        <x:v>Ready</x:v>
      </x:c>
      <x:c r="W21" s="8" t="str">
        <x:v>Reported verified</x:v>
      </x:c>
      <x:c r="X21" s="16" t="n">
        <x:v>2900</x:v>
      </x:c>
      <x:c r="Y21" s="8" t="str">
        <x:v>Yes</x:v>
      </x:c>
      <x:c r="Z21" s="23" t="n">
        <x:f>IF(AB21="Ready",IF(W21="Activity",SUMIFS('Activity Data'!$U$9:$U$308,'Activity Data'!$D$9:$D$308,C21,'Activity Data'!$F$9:$F$308,"S2"),X21),"")</x:f>
        <x:v>2900</x:v>
      </x:c>
      <x:c r="AA21" s="44" t="n">
        <x:f>IF(AB21&lt;&gt;"Ready","",IF(W21="Reported verified",1,IF(W21="Reported unverified",2,IF(F21="Motor",1,2))))</x:f>
        <x:v>1</x:v>
      </x:c>
      <x:c r="AB21" s="9" t="str">
        <x:f>IF(C21="","",IF(W21="Not assessed","Not assessed",IF(OR(O21="",NOT(ISNUMBER(H21)),NOT(ISNUMBER(P21))),"Evidence required",IF(OR(P21&lt;'Settings'!$F$8,H21&gt;'Settings'!$F$8,YEAR(H21)&lt;&gt;YEAR('Settings'!$F$8)),"Period / expiry review",IF(Y21&lt;&gt;"Yes","Boundary incomplete",IF(OR(AND(AC21&lt;&gt;"Location-based",AC21&lt;&gt;"Market-based"),AND(W21="Activity",AC21&lt;&gt;"Location-based")),"S2 basis mismatch",IF(OR(W21="Reported verified",W21="Reported unverified"),IF(NOT(OR(F21="Corporate private",F21="Corporate listed",F21="Project finance")),"Asset method required",IF(OR(NOT(ISNUMBER(X21)),X21&lt;0),"Reported value required","Ready")),IF(W21="Activity",IF(AND(COUNTIFS('Activity Data'!$D$9:$D$308,C21,'Activity Data'!$F$9:$F$308,"S2")&gt;0,COUNTIFS('Activity Data'!$D$9:$D$308,C21,'Activity Data'!$F$9:$F$308,"S2")=COUNTIFS('Activity Data'!$D$9:$D$308,C21,'Activity Data'!$F$9:$F$308,"S2",'Activity Data'!$V$9:$V$308,"Ready")),"Ready","Activity incomplete"),"Method required"))))))))</x:f>
        <x:v>Ready</x:v>
      </x:c>
      <x:c r="AC21" s="8" t="str">
        <x:v>Location-based</x:v>
      </x:c>
      <x:c r="AD21" s="8" t="str">
        <x:v>Reported unverified</x:v>
      </x:c>
      <x:c r="AE21" s="16" t="n">
        <x:v>15600</x:v>
      </x:c>
      <x:c r="AF21" s="8" t="str">
        <x:v>Yes</x:v>
      </x:c>
      <x:c r="AG21" s="23" t="n">
        <x:f>IF(AI21="Ready",IF(AD21="Activity",SUMIFS('Activity Data'!$U$9:$U$308,'Activity Data'!$D$9:$D$308,C21,'Activity Data'!$F$9:$F$308,"S3"),AE21),"")</x:f>
        <x:v>15600</x:v>
      </x:c>
      <x:c r="AH21" s="44" t="n">
        <x:f>IF(AI21&lt;&gt;"Ready","",IF(AD21="Reported verified",1,IF(AD21="Reported unverified",2,IF(F21="Motor",1,2))))</x:f>
        <x:v>2</x:v>
      </x:c>
      <x:c r="AI21" s="9" t="str">
        <x:f>IF(C21="","",IF(AD21="Not assessed","Not assessed",IF(OR(O21="",NOT(ISNUMBER(H21)),NOT(ISNUMBER(P21))),"Evidence required",IF(OR(P21&lt;'Settings'!$F$8,H21&gt;'Settings'!$F$8,YEAR(H21)&lt;&gt;YEAR('Settings'!$F$8)),"Period / expiry review",IF(AF21&lt;&gt;"Yes","Boundary incomplete",IF(AM21="","S3 screening required",IF(OR(AD21="Reported verified",AD21="Reported unverified"),IF(NOT(OR(F21="Corporate private",F21="Corporate listed",F21="Project finance")),"Asset method required",IF(OR(NOT(ISNUMBER(AE21)),AE21&lt;0),"Reported value required","Ready")),"Scope 3 method required")))))))</x:f>
        <x:v>Ready</x:v>
      </x:c>
      <x:c r="AJ21" s="9" t="str">
        <x:f>IF(C21="","",IF(OR(F21="Corporate private",F21="Corporate listed"),IFERROR(IF(INDEX('Borrowers'!$X$9:$X$108,MATCH(D21,'Borrowers'!$C$9:$C$108,0))="","",INDEX('Borrowers'!$X$9:$X$108,MATCH(D21,'Borrowers'!$C$9:$C$108,0))),""),IF(AQ21="","",AQ21)))</x:f>
        <x:v>SYN-FIN-9</x:v>
      </x:c>
      <x:c r="AK21" s="43" t="n">
        <x:f>IF(C21="","",IF(OR(F21="Corporate private",F21="Corporate listed"),IFERROR(IF(INDEX('Borrowers'!$H$9:$H$108,MATCH(D21,'Borrowers'!$C$9:$C$108,0))="","",INDEX('Borrowers'!$H$9:$H$108,MATCH(D21,'Borrowers'!$C$9:$C$108,0))),""),IF(AR21="","",AR21)))</x:f>
        <x:v>46387</x:v>
      </x:c>
      <x:c r="AL21" s="9" t="str">
        <x:f>IF(C21="","",IF(COUNTIFS($C$9:$C$108,C21)&lt;&gt;1,"Duplicate entity ID",IF(COUNTIFS('Borrowers'!$C$9:$C$108,D21)&lt;&gt;1,"Borrower required",IF(AND(F21&lt;&gt;"Corporate private",F21&lt;&gt;"Corporate listed",F21&lt;&gt;"Project finance",F21&lt;&gt;"CRE",F21&lt;&gt;"Mortgage",F21&lt;&gt;"Motor"),"Method required",IF(OR(AND(F21="Corporate private",IFERROR(IF(INDEX('Borrowers'!$G$9:$G$108,MATCH(D21,'Borrowers'!$C$9:$C$108,0))="","",INDEX('Borrowers'!$G$9:$G$108,MATCH(D21,'Borrowers'!$C$9:$C$108,0))),"")&lt;&gt;"Private"),AND(F21="Corporate listed",IFERROR(IF(INDEX('Borrowers'!$G$9:$G$108,MATCH(D21,'Borrowers'!$C$9:$C$108,0))="","",INDEX('Borrowers'!$G$9:$G$108,MATCH(D21,'Borrowers'!$C$9:$C$108,0))),"")&lt;&gt;"Listed")),"Listing / class mismatch",IF(OR(NOT(ISNUMBER(N21)),N21&lt;=0,AJ21="",NOT(ISNUMBER(AK21))),"Value evidence required",IF(AND(OR(F21="Corporate private",F21="Corporate listed"),IFERROR(IF(INDEX('Borrowers'!$Y$9:$Y$108,MATCH(D21,'Borrowers'!$C$9:$C$108,0))="","",INDEX('Borrowers'!$Y$9:$Y$108,MATCH(D21,'Borrowers'!$C$9:$C$108,0))),"")&lt;'Settings'!$F$8),"Expired financial evidence",IF(AK21&gt;'Settings'!$F$8,"Future value date",IF(OR(AND(OR(F21="Corporate private",F21="Project finance"),OR(J21&lt;0,M21&lt;&gt;"Current financials")),AND(F21="Corporate listed",M21&lt;&gt;"Current financials"),AND(OR(F21="CRE",F21="Mortgage",F21="Motor"),AND(M21&lt;&gt;"Origination",M21&lt;&gt;"Fixed fallback"))),"Value basis review",IF(AND(M21="Current financials",YEAR(AK21)&lt;&gt;YEAR('Settings'!$F$8)),"Stale financial period","Ready"))))))))))</x:f>
        <x:v>Ready</x:v>
      </x:c>
      <x:c r="AM21" s="8" t="str">
        <x:v>SYN-S3-SCREEN-13</x:v>
      </x:c>
      <x:c r="AN21" s="8" t="str">
        <x:v>Review overlap</x:v>
      </x:c>
      <x:c r="AO21" s="16"/>
      <x:c r="AP21" s="16"/>
      <x:c r="AQ21" s="8"/>
      <x:c r="AR21" s="40"/>
    </x:row>
    <x:row r="22" ht="40" customHeight="1">
      <x:c r="A22" s="1"/>
      <x:c r="B22" s="1"/>
      <x:c r="C22" s="8" t="str">
        <x:v>A009</x:v>
      </x:c>
      <x:c r="D22" s="8" t="str">
        <x:v>B009</x:v>
      </x:c>
      <x:c r="E22" s="8" t="str">
        <x:v>Demo Levant Freight financed fleet</x:v>
      </x:c>
      <x:c r="F22" s="8" t="str">
        <x:v>Motor</x:v>
      </x:c>
      <x:c r="G22" s="9" t="str">
        <x:f>IF(C22="","",IFERROR(IF(INDEX('Borrowers'!$E$9:$E$108,MATCH(D22,'Borrowers'!$C$9:$C$108,0))="","",INDEX('Borrowers'!$E$9:$E$108,MATCH(D22,'Borrowers'!$C$9:$C$108,0))),""))</x:f>
        <x:v>Jordan</x:v>
      </x:c>
      <x:c r="H22" s="40" t="n">
        <x:v>46387</x:v>
      </x:c>
      <x:c r="I22" s="23" t="str">
        <x:f>IF(C22="","",IF(OR(F22="Corporate private",F22="Corporate listed"),IFERROR(IF(INDEX('Borrowers'!$M$9:$M$108,MATCH(D22,'Borrowers'!$C$9:$C$108,0))="","",INDEX('Borrowers'!$M$9:$M$108,MATCH(D22,'Borrowers'!$C$9:$C$108,0))),""),IF(F22="Project finance",IF(ISNUMBER(AO22),AO22,""),"")))</x:f>
      </x:c>
      <x:c r="J22" s="23" t="str">
        <x:f>IF(C22="","",IF(OR(F22="Corporate private",F22="Corporate listed"),IFERROR(IF(INDEX('Borrowers'!$N$9:$N$108,MATCH(D22,'Borrowers'!$C$9:$C$108,0))="","",INDEX('Borrowers'!$N$9:$N$108,MATCH(D22,'Borrowers'!$C$9:$C$108,0))),""),IF(F22="Project finance",IF(ISNUMBER(AP22),AP22,""),"")))</x:f>
      </x:c>
      <x:c r="K22" s="23" t="str">
        <x:f>IF(C22="","",IF(F22="Corporate listed",IFERROR(IF(INDEX('Borrowers'!$O$9:$O$108,MATCH(D22,'Borrowers'!$C$9:$C$108,0))="","",INDEX('Borrowers'!$O$9:$O$108,MATCH(D22,'Borrowers'!$C$9:$C$108,0))),""),""))</x:f>
      </x:c>
      <x:c r="L22" s="16" t="n">
        <x:v>30</x:v>
      </x:c>
      <x:c r="M22" s="8" t="str">
        <x:v>Origination</x:v>
      </x:c>
      <x:c r="N22" s="21" t="n">
        <x:f>IF(C22="","",IF(F22="Corporate listed",IF(ISNUMBER(K22),K22,""),IF(OR(F22="Corporate private",F22="Project finance"),IF(AND(ISNUMBER(I22),ISNUMBER(J22)),MAX(I22,0)+J22,""),IF(OR(F22="CRE",F22="Mortgage",F22="Motor"),IF(ISNUMBER(L22),L22,""),""))))</x:f>
        <x:v>30</x:v>
      </x:c>
      <x:c r="O22" s="8" t="str">
        <x:v>SYN-INV-14</x:v>
      </x:c>
      <x:c r="P22" s="40" t="n">
        <x:v>46752</x:v>
      </x:c>
      <x:c r="Q22" s="8" t="str">
        <x:v>Activity</x:v>
      </x:c>
      <x:c r="R22" s="16"/>
      <x:c r="S22" s="8" t="str">
        <x:v>Yes</x:v>
      </x:c>
      <x:c r="T22" s="23" t="n">
        <x:f>IF(V22="Ready",IF(Q22="Activity",SUMIFS('Activity Data'!$U$9:$U$308,'Activity Data'!$D$9:$D$308,C22,'Activity Data'!$F$9:$F$308,"S1"),R22),"")</x:f>
        <x:v>2144</x:v>
      </x:c>
      <x:c r="U22" s="44" t="n">
        <x:f>IF(V22&lt;&gt;"Ready","",IF(Q22="Reported verified",1,IF(Q22="Reported unverified",2,IF(F22="Motor",1,2))))</x:f>
        <x:v>1</x:v>
      </x:c>
      <x:c r="V22" s="9" t="str">
        <x:f>IF(C22="","",IF(Q22="Not assessed","Not assessed",IF(OR(O22="",NOT(ISNUMBER(H22)),NOT(ISNUMBER(P22))),"Evidence required",IF(OR(P22&lt;'Settings'!$F$8,H22&gt;'Settings'!$F$8,YEAR(H22)&lt;&gt;YEAR('Settings'!$F$8)),"Period / expiry review",IF(S22&lt;&gt;"Yes","Boundary incomplete",IF(OR(Q22="Reported verified",Q22="Reported unverified"),IF(NOT(OR(F22="Corporate private",F22="Corporate listed",F22="Project finance")),"Asset method required",IF(OR(NOT(ISNUMBER(R22)),R22&lt;0),"Reported value required","Ready")),IF(Q22="Activity",IF(AND(COUNTIFS('Activity Data'!$D$9:$D$308,C22,'Activity Data'!$F$9:$F$308,"S1")&gt;0,COUNTIFS('Activity Data'!$D$9:$D$308,C22,'Activity Data'!$F$9:$F$308,"S1")=COUNTIFS('Activity Data'!$D$9:$D$308,C22,'Activity Data'!$F$9:$F$308,"S1",'Activity Data'!$V$9:$V$308,"Ready")),"Ready","Activity incomplete"),"Method required")))))))</x:f>
        <x:v>Ready</x:v>
      </x:c>
      <x:c r="W22" s="8" t="str">
        <x:v>Activity</x:v>
      </x:c>
      <x:c r="X22" s="16"/>
      <x:c r="Y22" s="8" t="str">
        <x:v>Yes</x:v>
      </x:c>
      <x:c r="Z22" s="23" t="n">
        <x:f>IF(AB22="Ready",IF(W22="Activity",SUMIFS('Activity Data'!$U$9:$U$308,'Activity Data'!$D$9:$D$308,C22,'Activity Data'!$F$9:$F$308,"S2"),X22),"")</x:f>
        <x:v>34.4</x:v>
      </x:c>
      <x:c r="AA22" s="44" t="n">
        <x:f>IF(AB22&lt;&gt;"Ready","",IF(W22="Reported verified",1,IF(W22="Reported unverified",2,IF(F22="Motor",1,2))))</x:f>
        <x:v>1</x:v>
      </x:c>
      <x:c r="AB22" s="9" t="str">
        <x:f>IF(C22="","",IF(W22="Not assessed","Not assessed",IF(OR(O22="",NOT(ISNUMBER(H22)),NOT(ISNUMBER(P22))),"Evidence required",IF(OR(P22&lt;'Settings'!$F$8,H22&gt;'Settings'!$F$8,YEAR(H22)&lt;&gt;YEAR('Settings'!$F$8)),"Period / expiry review",IF(Y22&lt;&gt;"Yes","Boundary incomplete",IF(OR(AND(AC22&lt;&gt;"Location-based",AC22&lt;&gt;"Market-based"),AND(W22="Activity",AC22&lt;&gt;"Location-based")),"S2 basis mismatch",IF(OR(W22="Reported verified",W22="Reported unverified"),IF(NOT(OR(F22="Corporate private",F22="Corporate listed",F22="Project finance")),"Asset method required",IF(OR(NOT(ISNUMBER(X22)),X22&lt;0),"Reported value required","Ready")),IF(W22="Activity",IF(AND(COUNTIFS('Activity Data'!$D$9:$D$308,C22,'Activity Data'!$F$9:$F$308,"S2")&gt;0,COUNTIFS('Activity Data'!$D$9:$D$308,C22,'Activity Data'!$F$9:$F$308,"S2")=COUNTIFS('Activity Data'!$D$9:$D$308,C22,'Activity Data'!$F$9:$F$308,"S2",'Activity Data'!$V$9:$V$308,"Ready")),"Ready","Activity incomplete"),"Method required"))))))))</x:f>
        <x:v>Ready</x:v>
      </x:c>
      <x:c r="AC22" s="8" t="str">
        <x:v>Location-based</x:v>
      </x:c>
      <x:c r="AD22" s="8" t="str">
        <x:v>Not assessed</x:v>
      </x:c>
      <x:c r="AE22" s="16"/>
      <x:c r="AF22" s="8" t="str">
        <x:v>No</x:v>
      </x:c>
      <x:c r="AG22" s="23" t="str">
        <x:f>IF(AI22="Ready",IF(AD22="Activity",SUMIFS('Activity Data'!$U$9:$U$308,'Activity Data'!$D$9:$D$308,C22,'Activity Data'!$F$9:$F$308,"S3"),AE22),"")</x:f>
      </x:c>
      <x:c r="AH22" s="44" t="str">
        <x:f>IF(AI22&lt;&gt;"Ready","",IF(AD22="Reported verified",1,IF(AD22="Reported unverified",2,IF(F22="Motor",1,2))))</x:f>
      </x:c>
      <x:c r="AI22" s="9" t="str">
        <x:f>IF(C22="","",IF(AD22="Not assessed","Not assessed",IF(OR(O22="",NOT(ISNUMBER(H22)),NOT(ISNUMBER(P22))),"Evidence required",IF(OR(P22&lt;'Settings'!$F$8,H22&gt;'Settings'!$F$8,YEAR(H22)&lt;&gt;YEAR('Settings'!$F$8)),"Period / expiry review",IF(AF22&lt;&gt;"Yes","Boundary incomplete",IF(AM22="","S3 screening required",IF(OR(AD22="Reported verified",AD22="Reported unverified"),IF(NOT(OR(F22="Corporate private",F22="Corporate listed",F22="Project finance")),"Asset method required",IF(OR(NOT(ISNUMBER(AE22)),AE22&lt;0),"Reported value required","Ready")),"Scope 3 method required")))))))</x:f>
        <x:v>Not assessed</x:v>
      </x:c>
      <x:c r="AJ22" s="9" t="str">
        <x:f>IF(C22="","",IF(OR(F22="Corporate private",F22="Corporate listed"),IFERROR(IF(INDEX('Borrowers'!$X$9:$X$108,MATCH(D22,'Borrowers'!$C$9:$C$108,0))="","",INDEX('Borrowers'!$X$9:$X$108,MATCH(D22,'Borrowers'!$C$9:$C$108,0))),""),IF(AQ22="","",AQ22)))</x:f>
        <x:v>SYN-VALUE-14</x:v>
      </x:c>
      <x:c r="AK22" s="43" t="n">
        <x:f>IF(C22="","",IF(OR(F22="Corporate private",F22="Corporate listed"),IFERROR(IF(INDEX('Borrowers'!$H$9:$H$108,MATCH(D22,'Borrowers'!$C$9:$C$108,0))="","",INDEX('Borrowers'!$H$9:$H$108,MATCH(D22,'Borrowers'!$C$9:$C$108,0))),""),IF(AR22="","",AR22)))</x:f>
        <x:v>45473</x:v>
      </x:c>
      <x:c r="AL22" s="9" t="str">
        <x:f>IF(C22="","",IF(COUNTIFS($C$9:$C$108,C22)&lt;&gt;1,"Duplicate entity ID",IF(COUNTIFS('Borrowers'!$C$9:$C$108,D22)&lt;&gt;1,"Borrower required",IF(AND(F22&lt;&gt;"Corporate private",F22&lt;&gt;"Corporate listed",F22&lt;&gt;"Project finance",F22&lt;&gt;"CRE",F22&lt;&gt;"Mortgage",F22&lt;&gt;"Motor"),"Method required",IF(OR(AND(F22="Corporate private",IFERROR(IF(INDEX('Borrowers'!$G$9:$G$108,MATCH(D22,'Borrowers'!$C$9:$C$108,0))="","",INDEX('Borrowers'!$G$9:$G$108,MATCH(D22,'Borrowers'!$C$9:$C$108,0))),"")&lt;&gt;"Private"),AND(F22="Corporate listed",IFERROR(IF(INDEX('Borrowers'!$G$9:$G$108,MATCH(D22,'Borrowers'!$C$9:$C$108,0))="","",INDEX('Borrowers'!$G$9:$G$108,MATCH(D22,'Borrowers'!$C$9:$C$108,0))),"")&lt;&gt;"Listed")),"Listing / class mismatch",IF(OR(NOT(ISNUMBER(N22)),N22&lt;=0,AJ22="",NOT(ISNUMBER(AK22))),"Value evidence required",IF(AND(OR(F22="Corporate private",F22="Corporate listed"),IFERROR(IF(INDEX('Borrowers'!$Y$9:$Y$108,MATCH(D22,'Borrowers'!$C$9:$C$108,0))="","",INDEX('Borrowers'!$Y$9:$Y$108,MATCH(D22,'Borrowers'!$C$9:$C$108,0))),"")&lt;'Settings'!$F$8),"Expired financial evidence",IF(AK22&gt;'Settings'!$F$8,"Future value date",IF(OR(AND(OR(F22="Corporate private",F22="Project finance"),OR(J22&lt;0,M22&lt;&gt;"Current financials")),AND(F22="Corporate listed",M22&lt;&gt;"Current financials"),AND(OR(F22="CRE",F22="Mortgage",F22="Motor"),AND(M22&lt;&gt;"Origination",M22&lt;&gt;"Fixed fallback"))),"Value basis review",IF(AND(M22="Current financials",YEAR(AK22)&lt;&gt;YEAR('Settings'!$F$8)),"Stale financial period","Ready"))))))))))</x:f>
        <x:v>Ready</x:v>
      </x:c>
      <x:c r="AM22" s="8" t="str"/>
      <x:c r="AN22" s="8" t="str">
        <x:v>Review overlap</x:v>
      </x:c>
      <x:c r="AO22" s="16" t="n">
        <x:v>20</x:v>
      </x:c>
      <x:c r="AP22" s="16" t="n">
        <x:v>15</x:v>
      </x:c>
      <x:c r="AQ22" s="8" t="str">
        <x:v>SYN-VALUE-14</x:v>
      </x:c>
      <x:c r="AR22" s="40" t="n">
        <x:v>45473</x:v>
      </x:c>
    </x:row>
    <x:row r="23" ht="40" customHeight="1">
      <x:c r="A23" s="1"/>
      <x:c r="B23" s="1"/>
      <x:c r="C23" s="8" t="str">
        <x:v>B010</x:v>
      </x:c>
      <x:c r="D23" s="8" t="str">
        <x:v>B010</x:v>
      </x:c>
      <x:c r="E23" s="8" t="str">
        <x:v>Demo Jordan Foods</x:v>
      </x:c>
      <x:c r="F23" s="8" t="str">
        <x:v>Corporate private</x:v>
      </x:c>
      <x:c r="G23" s="9" t="str">
        <x:f>IF(C23="","",IFERROR(IF(INDEX('Borrowers'!$E$9:$E$108,MATCH(D23,'Borrowers'!$C$9:$C$108,0))="","",INDEX('Borrowers'!$E$9:$E$108,MATCH(D23,'Borrowers'!$C$9:$C$108,0))),""))</x:f>
        <x:v>Jordan</x:v>
      </x:c>
      <x:c r="H23" s="40" t="n">
        <x:v>46387</x:v>
      </x:c>
      <x:c r="I23" s="23" t="n">
        <x:f>IF(C23="","",IF(OR(F23="Corporate private",F23="Corporate listed"),IFERROR(IF(INDEX('Borrowers'!$M$9:$M$108,MATCH(D23,'Borrowers'!$C$9:$C$108,0))="","",INDEX('Borrowers'!$M$9:$M$108,MATCH(D23,'Borrowers'!$C$9:$C$108,0))),""),IF(F23="Project finance",IF(ISNUMBER(AO23),AO23,""),"")))</x:f>
        <x:v>67</x:v>
      </x:c>
      <x:c r="J23" s="23" t="n">
        <x:f>IF(C23="","",IF(OR(F23="Corporate private",F23="Corporate listed"),IFERROR(IF(INDEX('Borrowers'!$N$9:$N$108,MATCH(D23,'Borrowers'!$C$9:$C$108,0))="","",INDEX('Borrowers'!$N$9:$N$108,MATCH(D23,'Borrowers'!$C$9:$C$108,0))),""),IF(F23="Project finance",IF(ISNUMBER(AP23),AP23,""),"")))</x:f>
        <x:v>43</x:v>
      </x:c>
      <x:c r="K23" s="23" t="str">
        <x:f>IF(C23="","",IF(F23="Corporate listed",IFERROR(IF(INDEX('Borrowers'!$O$9:$O$108,MATCH(D23,'Borrowers'!$C$9:$C$108,0))="","",INDEX('Borrowers'!$O$9:$O$108,MATCH(D23,'Borrowers'!$C$9:$C$108,0))),""),""))</x:f>
      </x:c>
      <x:c r="L23" s="16"/>
      <x:c r="M23" s="8" t="str">
        <x:v>Current financials</x:v>
      </x:c>
      <x:c r="N23" s="21" t="n">
        <x:f>IF(C23="","",IF(F23="Corporate listed",IF(ISNUMBER(K23),K23,""),IF(OR(F23="Corporate private",F23="Project finance"),IF(AND(ISNUMBER(I23),ISNUMBER(J23)),MAX(I23,0)+J23,""),IF(OR(F23="CRE",F23="Mortgage",F23="Motor"),IF(ISNUMBER(L23),L23,""),""))))</x:f>
        <x:v>110</x:v>
      </x:c>
      <x:c r="O23" s="8" t="str">
        <x:v>SYN-INV-15</x:v>
      </x:c>
      <x:c r="P23" s="40" t="n">
        <x:v>46752</x:v>
      </x:c>
      <x:c r="Q23" s="8" t="str">
        <x:v>Reported unverified</x:v>
      </x:c>
      <x:c r="R23" s="16" t="n">
        <x:v>3280</x:v>
      </x:c>
      <x:c r="S23" s="8" t="str">
        <x:v>Yes</x:v>
      </x:c>
      <x:c r="T23" s="23" t="n">
        <x:f>IF(V23="Ready",IF(Q23="Activity",SUMIFS('Activity Data'!$U$9:$U$308,'Activity Data'!$D$9:$D$308,C23,'Activity Data'!$F$9:$F$308,"S1"),R23),"")</x:f>
        <x:v>3280</x:v>
      </x:c>
      <x:c r="U23" s="44" t="n">
        <x:f>IF(V23&lt;&gt;"Ready","",IF(Q23="Reported verified",1,IF(Q23="Reported unverified",2,IF(F23="Motor",1,2))))</x:f>
        <x:v>2</x:v>
      </x:c>
      <x:c r="V23" s="9" t="str">
        <x:f>IF(C23="","",IF(Q23="Not assessed","Not assessed",IF(OR(O23="",NOT(ISNUMBER(H23)),NOT(ISNUMBER(P23))),"Evidence required",IF(OR(P23&lt;'Settings'!$F$8,H23&gt;'Settings'!$F$8,YEAR(H23)&lt;&gt;YEAR('Settings'!$F$8)),"Period / expiry review",IF(S23&lt;&gt;"Yes","Boundary incomplete",IF(OR(Q23="Reported verified",Q23="Reported unverified"),IF(NOT(OR(F23="Corporate private",F23="Corporate listed",F23="Project finance")),"Asset method required",IF(OR(NOT(ISNUMBER(R23)),R23&lt;0),"Reported value required","Ready")),IF(Q23="Activity",IF(AND(COUNTIFS('Activity Data'!$D$9:$D$308,C23,'Activity Data'!$F$9:$F$308,"S1")&gt;0,COUNTIFS('Activity Data'!$D$9:$D$308,C23,'Activity Data'!$F$9:$F$308,"S1")=COUNTIFS('Activity Data'!$D$9:$D$308,C23,'Activity Data'!$F$9:$F$308,"S1",'Activity Data'!$V$9:$V$308,"Ready")),"Ready","Activity incomplete"),"Method required")))))))</x:f>
        <x:v>Ready</x:v>
      </x:c>
      <x:c r="W23" s="8" t="str">
        <x:v>Reported unverified</x:v>
      </x:c>
      <x:c r="X23" s="16" t="n">
        <x:v>3100</x:v>
      </x:c>
      <x:c r="Y23" s="8" t="str">
        <x:v>Yes</x:v>
      </x:c>
      <x:c r="Z23" s="23" t="n">
        <x:f>IF(AB23="Ready",IF(W23="Activity",SUMIFS('Activity Data'!$U$9:$U$308,'Activity Data'!$D$9:$D$308,C23,'Activity Data'!$F$9:$F$308,"S2"),X23),"")</x:f>
        <x:v>3100</x:v>
      </x:c>
      <x:c r="AA23" s="44" t="n">
        <x:f>IF(AB23&lt;&gt;"Ready","",IF(W23="Reported verified",1,IF(W23="Reported unverified",2,IF(F23="Motor",1,2))))</x:f>
        <x:v>2</x:v>
      </x:c>
      <x:c r="AB23" s="9" t="str">
        <x:f>IF(C23="","",IF(W23="Not assessed","Not assessed",IF(OR(O23="",NOT(ISNUMBER(H23)),NOT(ISNUMBER(P23))),"Evidence required",IF(OR(P23&lt;'Settings'!$F$8,H23&gt;'Settings'!$F$8,YEAR(H23)&lt;&gt;YEAR('Settings'!$F$8)),"Period / expiry review",IF(Y23&lt;&gt;"Yes","Boundary incomplete",IF(OR(AND(AC23&lt;&gt;"Location-based",AC23&lt;&gt;"Market-based"),AND(W23="Activity",AC23&lt;&gt;"Location-based")),"S2 basis mismatch",IF(OR(W23="Reported verified",W23="Reported unverified"),IF(NOT(OR(F23="Corporate private",F23="Corporate listed",F23="Project finance")),"Asset method required",IF(OR(NOT(ISNUMBER(X23)),X23&lt;0),"Reported value required","Ready")),IF(W23="Activity",IF(AND(COUNTIFS('Activity Data'!$D$9:$D$308,C23,'Activity Data'!$F$9:$F$308,"S2")&gt;0,COUNTIFS('Activity Data'!$D$9:$D$308,C23,'Activity Data'!$F$9:$F$308,"S2")=COUNTIFS('Activity Data'!$D$9:$D$308,C23,'Activity Data'!$F$9:$F$308,"S2",'Activity Data'!$V$9:$V$308,"Ready")),"Ready","Activity incomplete"),"Method required"))))))))</x:f>
        <x:v>Ready</x:v>
      </x:c>
      <x:c r="AC23" s="8" t="str">
        <x:v>Location-based</x:v>
      </x:c>
      <x:c r="AD23" s="8" t="str">
        <x:v>Reported unverified</x:v>
      </x:c>
      <x:c r="AE23" s="16" t="n">
        <x:v>17200</x:v>
      </x:c>
      <x:c r="AF23" s="8" t="str">
        <x:v>Yes</x:v>
      </x:c>
      <x:c r="AG23" s="23" t="n">
        <x:f>IF(AI23="Ready",IF(AD23="Activity",SUMIFS('Activity Data'!$U$9:$U$308,'Activity Data'!$D$9:$D$308,C23,'Activity Data'!$F$9:$F$308,"S3"),AE23),"")</x:f>
        <x:v>17200</x:v>
      </x:c>
      <x:c r="AH23" s="44" t="n">
        <x:f>IF(AI23&lt;&gt;"Ready","",IF(AD23="Reported verified",1,IF(AD23="Reported unverified",2,IF(F23="Motor",1,2))))</x:f>
        <x:v>2</x:v>
      </x:c>
      <x:c r="AI23" s="9" t="str">
        <x:f>IF(C23="","",IF(AD23="Not assessed","Not assessed",IF(OR(O23="",NOT(ISNUMBER(H23)),NOT(ISNUMBER(P23))),"Evidence required",IF(OR(P23&lt;'Settings'!$F$8,H23&gt;'Settings'!$F$8,YEAR(H23)&lt;&gt;YEAR('Settings'!$F$8)),"Period / expiry review",IF(AF23&lt;&gt;"Yes","Boundary incomplete",IF(AM23="","S3 screening required",IF(OR(AD23="Reported verified",AD23="Reported unverified"),IF(NOT(OR(F23="Corporate private",F23="Corporate listed",F23="Project finance")),"Asset method required",IF(OR(NOT(ISNUMBER(AE23)),AE23&lt;0),"Reported value required","Ready")),"Scope 3 method required")))))))</x:f>
        <x:v>Ready</x:v>
      </x:c>
      <x:c r="AJ23" s="9" t="str">
        <x:f>IF(C23="","",IF(OR(F23="Corporate private",F23="Corporate listed"),IFERROR(IF(INDEX('Borrowers'!$X$9:$X$108,MATCH(D23,'Borrowers'!$C$9:$C$108,0))="","",INDEX('Borrowers'!$X$9:$X$108,MATCH(D23,'Borrowers'!$C$9:$C$108,0))),""),IF(AQ23="","",AQ23)))</x:f>
        <x:v>SYN-FIN-10</x:v>
      </x:c>
      <x:c r="AK23" s="43" t="n">
        <x:f>IF(C23="","",IF(OR(F23="Corporate private",F23="Corporate listed"),IFERROR(IF(INDEX('Borrowers'!$H$9:$H$108,MATCH(D23,'Borrowers'!$C$9:$C$108,0))="","",INDEX('Borrowers'!$H$9:$H$108,MATCH(D23,'Borrowers'!$C$9:$C$108,0))),""),IF(AR23="","",AR23)))</x:f>
        <x:v>46387</x:v>
      </x:c>
      <x:c r="AL23" s="9" t="str">
        <x:f>IF(C23="","",IF(COUNTIFS($C$9:$C$108,C23)&lt;&gt;1,"Duplicate entity ID",IF(COUNTIFS('Borrowers'!$C$9:$C$108,D23)&lt;&gt;1,"Borrower required",IF(AND(F23&lt;&gt;"Corporate private",F23&lt;&gt;"Corporate listed",F23&lt;&gt;"Project finance",F23&lt;&gt;"CRE",F23&lt;&gt;"Mortgage",F23&lt;&gt;"Motor"),"Method required",IF(OR(AND(F23="Corporate private",IFERROR(IF(INDEX('Borrowers'!$G$9:$G$108,MATCH(D23,'Borrowers'!$C$9:$C$108,0))="","",INDEX('Borrowers'!$G$9:$G$108,MATCH(D23,'Borrowers'!$C$9:$C$108,0))),"")&lt;&gt;"Private"),AND(F23="Corporate listed",IFERROR(IF(INDEX('Borrowers'!$G$9:$G$108,MATCH(D23,'Borrowers'!$C$9:$C$108,0))="","",INDEX('Borrowers'!$G$9:$G$108,MATCH(D23,'Borrowers'!$C$9:$C$108,0))),"")&lt;&gt;"Listed")),"Listing / class mismatch",IF(OR(NOT(ISNUMBER(N23)),N23&lt;=0,AJ23="",NOT(ISNUMBER(AK23))),"Value evidence required",IF(AND(OR(F23="Corporate private",F23="Corporate listed"),IFERROR(IF(INDEX('Borrowers'!$Y$9:$Y$108,MATCH(D23,'Borrowers'!$C$9:$C$108,0))="","",INDEX('Borrowers'!$Y$9:$Y$108,MATCH(D23,'Borrowers'!$C$9:$C$108,0))),"")&lt;'Settings'!$F$8),"Expired financial evidence",IF(AK23&gt;'Settings'!$F$8,"Future value date",IF(OR(AND(OR(F23="Corporate private",F23="Project finance"),OR(J23&lt;0,M23&lt;&gt;"Current financials")),AND(F23="Corporate listed",M23&lt;&gt;"Current financials"),AND(OR(F23="CRE",F23="Mortgage",F23="Motor"),AND(M23&lt;&gt;"Origination",M23&lt;&gt;"Fixed fallback"))),"Value basis review",IF(AND(M23="Current financials",YEAR(AK23)&lt;&gt;YEAR('Settings'!$F$8)),"Stale financial period","Ready"))))))))))</x:f>
        <x:v>Ready</x:v>
      </x:c>
      <x:c r="AM23" s="8" t="str">
        <x:v>SYN-S3-SCREEN-15</x:v>
      </x:c>
      <x:c r="AN23" s="8" t="str">
        <x:v>Single boundary</x:v>
      </x:c>
      <x:c r="AO23" s="16"/>
      <x:c r="AP23" s="16"/>
      <x:c r="AQ23" s="8"/>
      <x:c r="AR23" s="40"/>
    </x:row>
    <x:row r="24" ht="40" customHeight="1">
      <x:c r="A24" s="1"/>
      <x:c r="B24" s="1"/>
      <x:c r="C24" s="8" t="str">
        <x:v>B011</x:v>
      </x:c>
      <x:c r="D24" s="8" t="str">
        <x:v>B011</x:v>
      </x:c>
      <x:c r="E24" s="8" t="str">
        <x:v>Demo Aqaba Properties</x:v>
      </x:c>
      <x:c r="F24" s="8" t="str">
        <x:v>Corporate listed</x:v>
      </x:c>
      <x:c r="G24" s="9" t="str">
        <x:f>IF(C24="","",IFERROR(IF(INDEX('Borrowers'!$E$9:$E$108,MATCH(D24,'Borrowers'!$C$9:$C$108,0))="","",INDEX('Borrowers'!$E$9:$E$108,MATCH(D24,'Borrowers'!$C$9:$C$108,0))),""))</x:f>
        <x:v>Jordan</x:v>
      </x:c>
      <x:c r="H24" s="40" t="n">
        <x:v>46387</x:v>
      </x:c>
      <x:c r="I24" s="23" t="n">
        <x:f>IF(C24="","",IF(OR(F24="Corporate private",F24="Corporate listed"),IFERROR(IF(INDEX('Borrowers'!$M$9:$M$108,MATCH(D24,'Borrowers'!$C$9:$C$108,0))="","",INDEX('Borrowers'!$M$9:$M$108,MATCH(D24,'Borrowers'!$C$9:$C$108,0))),""),IF(F24="Project finance",IF(ISNUMBER(AO24),AO24,""),"")))</x:f>
        <x:v>70</x:v>
      </x:c>
      <x:c r="J24" s="23" t="n">
        <x:f>IF(C24="","",IF(OR(F24="Corporate private",F24="Corporate listed"),IFERROR(IF(INDEX('Borrowers'!$N$9:$N$108,MATCH(D24,'Borrowers'!$C$9:$C$108,0))="","",INDEX('Borrowers'!$N$9:$N$108,MATCH(D24,'Borrowers'!$C$9:$C$108,0))),""),IF(F24="Project finance",IF(ISNUMBER(AP24),AP24,""),"")))</x:f>
        <x:v>45</x:v>
      </x:c>
      <x:c r="K24" s="23" t="n">
        <x:f>IF(C24="","",IF(F24="Corporate listed",IFERROR(IF(INDEX('Borrowers'!$O$9:$O$108,MATCH(D24,'Borrowers'!$C$9:$C$108,0))="","",INDEX('Borrowers'!$O$9:$O$108,MATCH(D24,'Borrowers'!$C$9:$C$108,0))),""),""))</x:f>
        <x:v>170</x:v>
      </x:c>
      <x:c r="L24" s="16"/>
      <x:c r="M24" s="8" t="str">
        <x:v>Current financials</x:v>
      </x:c>
      <x:c r="N24" s="21" t="n">
        <x:f>IF(C24="","",IF(F24="Corporate listed",IF(ISNUMBER(K24),K24,""),IF(OR(F24="Corporate private",F24="Project finance"),IF(AND(ISNUMBER(I24),ISNUMBER(J24)),MAX(I24,0)+J24,""),IF(OR(F24="CRE",F24="Mortgage",F24="Motor"),IF(ISNUMBER(L24),L24,""),""))))</x:f>
        <x:v>170</x:v>
      </x:c>
      <x:c r="O24" s="8" t="str">
        <x:v>SYN-INV-16</x:v>
      </x:c>
      <x:c r="P24" s="40" t="n">
        <x:v>46752</x:v>
      </x:c>
      <x:c r="Q24" s="8" t="str">
        <x:v>Reported verified</x:v>
      </x:c>
      <x:c r="R24" s="16" t="n">
        <x:v>3450</x:v>
      </x:c>
      <x:c r="S24" s="8" t="str">
        <x:v>Yes</x:v>
      </x:c>
      <x:c r="T24" s="23" t="n">
        <x:f>IF(V24="Ready",IF(Q24="Activity",SUMIFS('Activity Data'!$U$9:$U$308,'Activity Data'!$D$9:$D$308,C24,'Activity Data'!$F$9:$F$308,"S1"),R24),"")</x:f>
        <x:v>3450</x:v>
      </x:c>
      <x:c r="U24" s="44" t="n">
        <x:f>IF(V24&lt;&gt;"Ready","",IF(Q24="Reported verified",1,IF(Q24="Reported unverified",2,IF(F24="Motor",1,2))))</x:f>
        <x:v>1</x:v>
      </x:c>
      <x:c r="V24" s="9" t="str">
        <x:f>IF(C24="","",IF(Q24="Not assessed","Not assessed",IF(OR(O24="",NOT(ISNUMBER(H24)),NOT(ISNUMBER(P24))),"Evidence required",IF(OR(P24&lt;'Settings'!$F$8,H24&gt;'Settings'!$F$8,YEAR(H24)&lt;&gt;YEAR('Settings'!$F$8)),"Period / expiry review",IF(S24&lt;&gt;"Yes","Boundary incomplete",IF(OR(Q24="Reported verified",Q24="Reported unverified"),IF(NOT(OR(F24="Corporate private",F24="Corporate listed",F24="Project finance")),"Asset method required",IF(OR(NOT(ISNUMBER(R24)),R24&lt;0),"Reported value required","Ready")),IF(Q24="Activity",IF(AND(COUNTIFS('Activity Data'!$D$9:$D$308,C24,'Activity Data'!$F$9:$F$308,"S1")&gt;0,COUNTIFS('Activity Data'!$D$9:$D$308,C24,'Activity Data'!$F$9:$F$308,"S1")=COUNTIFS('Activity Data'!$D$9:$D$308,C24,'Activity Data'!$F$9:$F$308,"S1",'Activity Data'!$V$9:$V$308,"Ready")),"Ready","Activity incomplete"),"Method required")))))))</x:f>
        <x:v>Ready</x:v>
      </x:c>
      <x:c r="W24" s="8" t="str">
        <x:v>Reported verified</x:v>
      </x:c>
      <x:c r="X24" s="16" t="n">
        <x:v>3200</x:v>
      </x:c>
      <x:c r="Y24" s="8" t="str">
        <x:v>Yes</x:v>
      </x:c>
      <x:c r="Z24" s="23" t="n">
        <x:f>IF(AB24="Ready",IF(W24="Activity",SUMIFS('Activity Data'!$U$9:$U$308,'Activity Data'!$D$9:$D$308,C24,'Activity Data'!$F$9:$F$308,"S2"),X24),"")</x:f>
        <x:v>3200</x:v>
      </x:c>
      <x:c r="AA24" s="44" t="n">
        <x:f>IF(AB24&lt;&gt;"Ready","",IF(W24="Reported verified",1,IF(W24="Reported unverified",2,IF(F24="Motor",1,2))))</x:f>
        <x:v>1</x:v>
      </x:c>
      <x:c r="AB24" s="9" t="str">
        <x:f>IF(C24="","",IF(W24="Not assessed","Not assessed",IF(OR(O24="",NOT(ISNUMBER(H24)),NOT(ISNUMBER(P24))),"Evidence required",IF(OR(P24&lt;'Settings'!$F$8,H24&gt;'Settings'!$F$8,YEAR(H24)&lt;&gt;YEAR('Settings'!$F$8)),"Period / expiry review",IF(Y24&lt;&gt;"Yes","Boundary incomplete",IF(OR(AND(AC24&lt;&gt;"Location-based",AC24&lt;&gt;"Market-based"),AND(W24="Activity",AC24&lt;&gt;"Location-based")),"S2 basis mismatch",IF(OR(W24="Reported verified",W24="Reported unverified"),IF(NOT(OR(F24="Corporate private",F24="Corporate listed",F24="Project finance")),"Asset method required",IF(OR(NOT(ISNUMBER(X24)),X24&lt;0),"Reported value required","Ready")),IF(W24="Activity",IF(AND(COUNTIFS('Activity Data'!$D$9:$D$308,C24,'Activity Data'!$F$9:$F$308,"S2")&gt;0,COUNTIFS('Activity Data'!$D$9:$D$308,C24,'Activity Data'!$F$9:$F$308,"S2")=COUNTIFS('Activity Data'!$D$9:$D$308,C24,'Activity Data'!$F$9:$F$308,"S2",'Activity Data'!$V$9:$V$308,"Ready")),"Ready","Activity incomplete"),"Method required"))))))))</x:f>
        <x:v>Ready</x:v>
      </x:c>
      <x:c r="AC24" s="8" t="str">
        <x:v>Location-based</x:v>
      </x:c>
      <x:c r="AD24" s="8" t="str">
        <x:v>Reported unverified</x:v>
      </x:c>
      <x:c r="AE24" s="16" t="n">
        <x:v>18000</x:v>
      </x:c>
      <x:c r="AF24" s="8" t="str">
        <x:v>Yes</x:v>
      </x:c>
      <x:c r="AG24" s="23" t="n">
        <x:f>IF(AI24="Ready",IF(AD24="Activity",SUMIFS('Activity Data'!$U$9:$U$308,'Activity Data'!$D$9:$D$308,C24,'Activity Data'!$F$9:$F$308,"S3"),AE24),"")</x:f>
        <x:v>18000</x:v>
      </x:c>
      <x:c r="AH24" s="44" t="n">
        <x:f>IF(AI24&lt;&gt;"Ready","",IF(AD24="Reported verified",1,IF(AD24="Reported unverified",2,IF(F24="Motor",1,2))))</x:f>
        <x:v>2</x:v>
      </x:c>
      <x:c r="AI24" s="9" t="str">
        <x:f>IF(C24="","",IF(AD24="Not assessed","Not assessed",IF(OR(O24="",NOT(ISNUMBER(H24)),NOT(ISNUMBER(P24))),"Evidence required",IF(OR(P24&lt;'Settings'!$F$8,H24&gt;'Settings'!$F$8,YEAR(H24)&lt;&gt;YEAR('Settings'!$F$8)),"Period / expiry review",IF(AF24&lt;&gt;"Yes","Boundary incomplete",IF(AM24="","S3 screening required",IF(OR(AD24="Reported verified",AD24="Reported unverified"),IF(NOT(OR(F24="Corporate private",F24="Corporate listed",F24="Project finance")),"Asset method required",IF(OR(NOT(ISNUMBER(AE24)),AE24&lt;0),"Reported value required","Ready")),"Scope 3 method required")))))))</x:f>
        <x:v>Ready</x:v>
      </x:c>
      <x:c r="AJ24" s="9" t="str">
        <x:f>IF(C24="","",IF(OR(F24="Corporate private",F24="Corporate listed"),IFERROR(IF(INDEX('Borrowers'!$X$9:$X$108,MATCH(D24,'Borrowers'!$C$9:$C$108,0))="","",INDEX('Borrowers'!$X$9:$X$108,MATCH(D24,'Borrowers'!$C$9:$C$108,0))),""),IF(AQ24="","",AQ24)))</x:f>
        <x:v>SYN-FIN-11</x:v>
      </x:c>
      <x:c r="AK24" s="43" t="n">
        <x:f>IF(C24="","",IF(OR(F24="Corporate private",F24="Corporate listed"),IFERROR(IF(INDEX('Borrowers'!$H$9:$H$108,MATCH(D24,'Borrowers'!$C$9:$C$108,0))="","",INDEX('Borrowers'!$H$9:$H$108,MATCH(D24,'Borrowers'!$C$9:$C$108,0))),""),IF(AR24="","",AR24)))</x:f>
        <x:v>46387</x:v>
      </x:c>
      <x:c r="AL24" s="9" t="str">
        <x:f>IF(C24="","",IF(COUNTIFS($C$9:$C$108,C24)&lt;&gt;1,"Duplicate entity ID",IF(COUNTIFS('Borrowers'!$C$9:$C$108,D24)&lt;&gt;1,"Borrower required",IF(AND(F24&lt;&gt;"Corporate private",F24&lt;&gt;"Corporate listed",F24&lt;&gt;"Project finance",F24&lt;&gt;"CRE",F24&lt;&gt;"Mortgage",F24&lt;&gt;"Motor"),"Method required",IF(OR(AND(F24="Corporate private",IFERROR(IF(INDEX('Borrowers'!$G$9:$G$108,MATCH(D24,'Borrowers'!$C$9:$C$108,0))="","",INDEX('Borrowers'!$G$9:$G$108,MATCH(D24,'Borrowers'!$C$9:$C$108,0))),"")&lt;&gt;"Private"),AND(F24="Corporate listed",IFERROR(IF(INDEX('Borrowers'!$G$9:$G$108,MATCH(D24,'Borrowers'!$C$9:$C$108,0))="","",INDEX('Borrowers'!$G$9:$G$108,MATCH(D24,'Borrowers'!$C$9:$C$108,0))),"")&lt;&gt;"Listed")),"Listing / class mismatch",IF(OR(NOT(ISNUMBER(N24)),N24&lt;=0,AJ24="",NOT(ISNUMBER(AK24))),"Value evidence required",IF(AND(OR(F24="Corporate private",F24="Corporate listed"),IFERROR(IF(INDEX('Borrowers'!$Y$9:$Y$108,MATCH(D24,'Borrowers'!$C$9:$C$108,0))="","",INDEX('Borrowers'!$Y$9:$Y$108,MATCH(D24,'Borrowers'!$C$9:$C$108,0))),"")&lt;'Settings'!$F$8),"Expired financial evidence",IF(AK24&gt;'Settings'!$F$8,"Future value date",IF(OR(AND(OR(F24="Corporate private",F24="Project finance"),OR(J24&lt;0,M24&lt;&gt;"Current financials")),AND(F24="Corporate listed",M24&lt;&gt;"Current financials"),AND(OR(F24="CRE",F24="Mortgage",F24="Motor"),AND(M24&lt;&gt;"Origination",M24&lt;&gt;"Fixed fallback"))),"Value basis review",IF(AND(M24="Current financials",YEAR(AK24)&lt;&gt;YEAR('Settings'!$F$8)),"Stale financial period","Ready"))))))))))</x:f>
        <x:v>Ready</x:v>
      </x:c>
      <x:c r="AM24" s="8" t="str">
        <x:v>SYN-S3-SCREEN-16</x:v>
      </x:c>
      <x:c r="AN24" s="8" t="str">
        <x:v>Review overlap</x:v>
      </x:c>
      <x:c r="AO24" s="16"/>
      <x:c r="AP24" s="16"/>
      <x:c r="AQ24" s="8"/>
      <x:c r="AR24" s="40"/>
    </x:row>
    <x:row r="25" ht="40" customHeight="1">
      <x:c r="A25" s="1"/>
      <x:c r="B25" s="1"/>
      <x:c r="C25" s="8" t="str">
        <x:v>A011</x:v>
      </x:c>
      <x:c r="D25" s="8" t="str">
        <x:v>B011</x:v>
      </x:c>
      <x:c r="E25" s="8" t="str">
        <x:v>Demo Aqaba Properties financed property</x:v>
      </x:c>
      <x:c r="F25" s="8" t="str">
        <x:v>CRE</x:v>
      </x:c>
      <x:c r="G25" s="9" t="str">
        <x:f>IF(C25="","",IFERROR(IF(INDEX('Borrowers'!$E$9:$E$108,MATCH(D25,'Borrowers'!$C$9:$C$108,0))="","",INDEX('Borrowers'!$E$9:$E$108,MATCH(D25,'Borrowers'!$C$9:$C$108,0))),""))</x:f>
        <x:v>Jordan</x:v>
      </x:c>
      <x:c r="H25" s="40" t="n">
        <x:v>46387</x:v>
      </x:c>
      <x:c r="I25" s="23" t="str">
        <x:f>IF(C25="","",IF(OR(F25="Corporate private",F25="Corporate listed"),IFERROR(IF(INDEX('Borrowers'!$M$9:$M$108,MATCH(D25,'Borrowers'!$C$9:$C$108,0))="","",INDEX('Borrowers'!$M$9:$M$108,MATCH(D25,'Borrowers'!$C$9:$C$108,0))),""),IF(F25="Project finance",IF(ISNUMBER(AO25),AO25,""),"")))</x:f>
      </x:c>
      <x:c r="J25" s="23" t="str">
        <x:f>IF(C25="","",IF(OR(F25="Corporate private",F25="Corporate listed"),IFERROR(IF(INDEX('Borrowers'!$N$9:$N$108,MATCH(D25,'Borrowers'!$C$9:$C$108,0))="","",INDEX('Borrowers'!$N$9:$N$108,MATCH(D25,'Borrowers'!$C$9:$C$108,0))),""),IF(F25="Project finance",IF(ISNUMBER(AP25),AP25,""),"")))</x:f>
      </x:c>
      <x:c r="K25" s="23" t="str">
        <x:f>IF(C25="","",IF(F25="Corporate listed",IFERROR(IF(INDEX('Borrowers'!$O$9:$O$108,MATCH(D25,'Borrowers'!$C$9:$C$108,0))="","",INDEX('Borrowers'!$O$9:$O$108,MATCH(D25,'Borrowers'!$C$9:$C$108,0))),""),""))</x:f>
      </x:c>
      <x:c r="L25" s="16" t="n">
        <x:v>30</x:v>
      </x:c>
      <x:c r="M25" s="8" t="str">
        <x:v>Origination</x:v>
      </x:c>
      <x:c r="N25" s="21" t="n">
        <x:f>IF(C25="","",IF(F25="Corporate listed",IF(ISNUMBER(K25),K25,""),IF(OR(F25="Corporate private",F25="Project finance"),IF(AND(ISNUMBER(I25),ISNUMBER(J25)),MAX(I25,0)+J25,""),IF(OR(F25="CRE",F25="Mortgage",F25="Motor"),IF(ISNUMBER(L25),L25,""),""))))</x:f>
        <x:v>30</x:v>
      </x:c>
      <x:c r="O25" s="8" t="str">
        <x:v>SYN-INV-17</x:v>
      </x:c>
      <x:c r="P25" s="40" t="n">
        <x:v>46752</x:v>
      </x:c>
      <x:c r="Q25" s="8" t="str">
        <x:v>Activity</x:v>
      </x:c>
      <x:c r="R25" s="16"/>
      <x:c r="S25" s="8" t="str">
        <x:v>Yes</x:v>
      </x:c>
      <x:c r="T25" s="23" t="n">
        <x:f>IF(V25="Ready",IF(Q25="Activity",SUMIFS('Activity Data'!$U$9:$U$308,'Activity Data'!$D$9:$D$308,C25,'Activity Data'!$F$9:$F$308,"S1"),R25),"")</x:f>
        <x:v>26.8</x:v>
      </x:c>
      <x:c r="U25" s="44" t="n">
        <x:f>IF(V25&lt;&gt;"Ready","",IF(Q25="Reported verified",1,IF(Q25="Reported unverified",2,IF(F25="Motor",1,2))))</x:f>
        <x:v>2</x:v>
      </x:c>
      <x:c r="V25" s="9" t="str">
        <x:f>IF(C25="","",IF(Q25="Not assessed","Not assessed",IF(OR(O25="",NOT(ISNUMBER(H25)),NOT(ISNUMBER(P25))),"Evidence required",IF(OR(P25&lt;'Settings'!$F$8,H25&gt;'Settings'!$F$8,YEAR(H25)&lt;&gt;YEAR('Settings'!$F$8)),"Period / expiry review",IF(S25&lt;&gt;"Yes","Boundary incomplete",IF(OR(Q25="Reported verified",Q25="Reported unverified"),IF(NOT(OR(F25="Corporate private",F25="Corporate listed",F25="Project finance")),"Asset method required",IF(OR(NOT(ISNUMBER(R25)),R25&lt;0),"Reported value required","Ready")),IF(Q25="Activity",IF(AND(COUNTIFS('Activity Data'!$D$9:$D$308,C25,'Activity Data'!$F$9:$F$308,"S1")&gt;0,COUNTIFS('Activity Data'!$D$9:$D$308,C25,'Activity Data'!$F$9:$F$308,"S1")=COUNTIFS('Activity Data'!$D$9:$D$308,C25,'Activity Data'!$F$9:$F$308,"S1",'Activity Data'!$V$9:$V$308,"Ready")),"Ready","Activity incomplete"),"Method required")))))))</x:f>
        <x:v>Ready</x:v>
      </x:c>
      <x:c r="W25" s="8" t="str">
        <x:v>Activity</x:v>
      </x:c>
      <x:c r="X25" s="16"/>
      <x:c r="Y25" s="8" t="str">
        <x:v>Yes</x:v>
      </x:c>
      <x:c r="Z25" s="23" t="n">
        <x:f>IF(AB25="Ready",IF(W25="Activity",SUMIFS('Activity Data'!$U$9:$U$308,'Activity Data'!$D$9:$D$308,C25,'Activity Data'!$F$9:$F$308,"S2"),X25),"")</x:f>
        <x:v>645</x:v>
      </x:c>
      <x:c r="AA25" s="44" t="n">
        <x:f>IF(AB25&lt;&gt;"Ready","",IF(W25="Reported verified",1,IF(W25="Reported unverified",2,IF(F25="Motor",1,2))))</x:f>
        <x:v>2</x:v>
      </x:c>
      <x:c r="AB25" s="9" t="str">
        <x:f>IF(C25="","",IF(W25="Not assessed","Not assessed",IF(OR(O25="",NOT(ISNUMBER(H25)),NOT(ISNUMBER(P25))),"Evidence required",IF(OR(P25&lt;'Settings'!$F$8,H25&gt;'Settings'!$F$8,YEAR(H25)&lt;&gt;YEAR('Settings'!$F$8)),"Period / expiry review",IF(Y25&lt;&gt;"Yes","Boundary incomplete",IF(OR(AND(AC25&lt;&gt;"Location-based",AC25&lt;&gt;"Market-based"),AND(W25="Activity",AC25&lt;&gt;"Location-based")),"S2 basis mismatch",IF(OR(W25="Reported verified",W25="Reported unverified"),IF(NOT(OR(F25="Corporate private",F25="Corporate listed",F25="Project finance")),"Asset method required",IF(OR(NOT(ISNUMBER(X25)),X25&lt;0),"Reported value required","Ready")),IF(W25="Activity",IF(AND(COUNTIFS('Activity Data'!$D$9:$D$308,C25,'Activity Data'!$F$9:$F$308,"S2")&gt;0,COUNTIFS('Activity Data'!$D$9:$D$308,C25,'Activity Data'!$F$9:$F$308,"S2")=COUNTIFS('Activity Data'!$D$9:$D$308,C25,'Activity Data'!$F$9:$F$308,"S2",'Activity Data'!$V$9:$V$308,"Ready")),"Ready","Activity incomplete"),"Method required"))))))))</x:f>
        <x:v>Ready</x:v>
      </x:c>
      <x:c r="AC25" s="8" t="str">
        <x:v>Location-based</x:v>
      </x:c>
      <x:c r="AD25" s="8" t="str">
        <x:v>Not assessed</x:v>
      </x:c>
      <x:c r="AE25" s="16"/>
      <x:c r="AF25" s="8" t="str">
        <x:v>No</x:v>
      </x:c>
      <x:c r="AG25" s="23" t="str">
        <x:f>IF(AI25="Ready",IF(AD25="Activity",SUMIFS('Activity Data'!$U$9:$U$308,'Activity Data'!$D$9:$D$308,C25,'Activity Data'!$F$9:$F$308,"S3"),AE25),"")</x:f>
      </x:c>
      <x:c r="AH25" s="44" t="str">
        <x:f>IF(AI25&lt;&gt;"Ready","",IF(AD25="Reported verified",1,IF(AD25="Reported unverified",2,IF(F25="Motor",1,2))))</x:f>
      </x:c>
      <x:c r="AI25" s="9" t="str">
        <x:f>IF(C25="","",IF(AD25="Not assessed","Not assessed",IF(OR(O25="",NOT(ISNUMBER(H25)),NOT(ISNUMBER(P25))),"Evidence required",IF(OR(P25&lt;'Settings'!$F$8,H25&gt;'Settings'!$F$8,YEAR(H25)&lt;&gt;YEAR('Settings'!$F$8)),"Period / expiry review",IF(AF25&lt;&gt;"Yes","Boundary incomplete",IF(AM25="","S3 screening required",IF(OR(AD25="Reported verified",AD25="Reported unverified"),IF(NOT(OR(F25="Corporate private",F25="Corporate listed",F25="Project finance")),"Asset method required",IF(OR(NOT(ISNUMBER(AE25)),AE25&lt;0),"Reported value required","Ready")),"Scope 3 method required")))))))</x:f>
        <x:v>Not assessed</x:v>
      </x:c>
      <x:c r="AJ25" s="9" t="str">
        <x:f>IF(C25="","",IF(OR(F25="Corporate private",F25="Corporate listed"),IFERROR(IF(INDEX('Borrowers'!$X$9:$X$108,MATCH(D25,'Borrowers'!$C$9:$C$108,0))="","",INDEX('Borrowers'!$X$9:$X$108,MATCH(D25,'Borrowers'!$C$9:$C$108,0))),""),IF(AQ25="","",AQ25)))</x:f>
        <x:v>SYN-VALUE-17</x:v>
      </x:c>
      <x:c r="AK25" s="43" t="n">
        <x:f>IF(C25="","",IF(OR(F25="Corporate private",F25="Corporate listed"),IFERROR(IF(INDEX('Borrowers'!$H$9:$H$108,MATCH(D25,'Borrowers'!$C$9:$C$108,0))="","",INDEX('Borrowers'!$H$9:$H$108,MATCH(D25,'Borrowers'!$C$9:$C$108,0))),""),IF(AR25="","",AR25)))</x:f>
        <x:v>45473</x:v>
      </x:c>
      <x:c r="AL25" s="9" t="str">
        <x:f>IF(C25="","",IF(COUNTIFS($C$9:$C$108,C25)&lt;&gt;1,"Duplicate entity ID",IF(COUNTIFS('Borrowers'!$C$9:$C$108,D25)&lt;&gt;1,"Borrower required",IF(AND(F25&lt;&gt;"Corporate private",F25&lt;&gt;"Corporate listed",F25&lt;&gt;"Project finance",F25&lt;&gt;"CRE",F25&lt;&gt;"Mortgage",F25&lt;&gt;"Motor"),"Method required",IF(OR(AND(F25="Corporate private",IFERROR(IF(INDEX('Borrowers'!$G$9:$G$108,MATCH(D25,'Borrowers'!$C$9:$C$108,0))="","",INDEX('Borrowers'!$G$9:$G$108,MATCH(D25,'Borrowers'!$C$9:$C$108,0))),"")&lt;&gt;"Private"),AND(F25="Corporate listed",IFERROR(IF(INDEX('Borrowers'!$G$9:$G$108,MATCH(D25,'Borrowers'!$C$9:$C$108,0))="","",INDEX('Borrowers'!$G$9:$G$108,MATCH(D25,'Borrowers'!$C$9:$C$108,0))),"")&lt;&gt;"Listed")),"Listing / class mismatch",IF(OR(NOT(ISNUMBER(N25)),N25&lt;=0,AJ25="",NOT(ISNUMBER(AK25))),"Value evidence required",IF(AND(OR(F25="Corporate private",F25="Corporate listed"),IFERROR(IF(INDEX('Borrowers'!$Y$9:$Y$108,MATCH(D25,'Borrowers'!$C$9:$C$108,0))="","",INDEX('Borrowers'!$Y$9:$Y$108,MATCH(D25,'Borrowers'!$C$9:$C$108,0))),"")&lt;'Settings'!$F$8),"Expired financial evidence",IF(AK25&gt;'Settings'!$F$8,"Future value date",IF(OR(AND(OR(F25="Corporate private",F25="Project finance"),OR(J25&lt;0,M25&lt;&gt;"Current financials")),AND(F25="Corporate listed",M25&lt;&gt;"Current financials"),AND(OR(F25="CRE",F25="Mortgage",F25="Motor"),AND(M25&lt;&gt;"Origination",M25&lt;&gt;"Fixed fallback"))),"Value basis review",IF(AND(M25="Current financials",YEAR(AK25)&lt;&gt;YEAR('Settings'!$F$8)),"Stale financial period","Ready"))))))))))</x:f>
        <x:v>Ready</x:v>
      </x:c>
      <x:c r="AM25" s="8" t="str"/>
      <x:c r="AN25" s="8" t="str">
        <x:v>Review overlap</x:v>
      </x:c>
      <x:c r="AO25" s="16" t="n">
        <x:v>20</x:v>
      </x:c>
      <x:c r="AP25" s="16" t="n">
        <x:v>15</x:v>
      </x:c>
      <x:c r="AQ25" s="8" t="str">
        <x:v>SYN-VALUE-17</x:v>
      </x:c>
      <x:c r="AR25" s="40" t="n">
        <x:v>45473</x:v>
      </x:c>
    </x:row>
    <x:row r="26" ht="40" customHeight="1">
      <x:c r="A26" s="1"/>
      <x:c r="B26" s="1"/>
      <x:c r="C26" s="8" t="str">
        <x:v>B012</x:v>
      </x:c>
      <x:c r="D26" s="8" t="str">
        <x:v>B012</x:v>
      </x:c>
      <x:c r="E26" s="8" t="str">
        <x:v>Demo Amman Healthcare</x:v>
      </x:c>
      <x:c r="F26" s="8" t="str">
        <x:v>Corporate private</x:v>
      </x:c>
      <x:c r="G26" s="9" t="str">
        <x:f>IF(C26="","",IFERROR(IF(INDEX('Borrowers'!$E$9:$E$108,MATCH(D26,'Borrowers'!$C$9:$C$108,0))="","",INDEX('Borrowers'!$E$9:$E$108,MATCH(D26,'Borrowers'!$C$9:$C$108,0))),""))</x:f>
        <x:v>Jordan</x:v>
      </x:c>
      <x:c r="H26" s="40" t="n">
        <x:v>46387</x:v>
      </x:c>
      <x:c r="I26" s="23" t="n">
        <x:f>IF(C26="","",IF(OR(F26="Corporate private",F26="Corporate listed"),IFERROR(IF(INDEX('Borrowers'!$M$9:$M$108,MATCH(D26,'Borrowers'!$C$9:$C$108,0))="","",INDEX('Borrowers'!$M$9:$M$108,MATCH(D26,'Borrowers'!$C$9:$C$108,0))),""),IF(F26="Project finance",IF(ISNUMBER(AO26),AO26,""),"")))</x:f>
        <x:v>73</x:v>
      </x:c>
      <x:c r="J26" s="23" t="n">
        <x:f>IF(C26="","",IF(OR(F26="Corporate private",F26="Corporate listed"),IFERROR(IF(INDEX('Borrowers'!$N$9:$N$108,MATCH(D26,'Borrowers'!$C$9:$C$108,0))="","",INDEX('Borrowers'!$N$9:$N$108,MATCH(D26,'Borrowers'!$C$9:$C$108,0))),""),IF(F26="Project finance",IF(ISNUMBER(AP26),AP26,""),"")))</x:f>
        <x:v>47</x:v>
      </x:c>
      <x:c r="K26" s="23" t="str">
        <x:f>IF(C26="","",IF(F26="Corporate listed",IFERROR(IF(INDEX('Borrowers'!$O$9:$O$108,MATCH(D26,'Borrowers'!$C$9:$C$108,0))="","",INDEX('Borrowers'!$O$9:$O$108,MATCH(D26,'Borrowers'!$C$9:$C$108,0))),""),""))</x:f>
      </x:c>
      <x:c r="L26" s="16"/>
      <x:c r="M26" s="8" t="str">
        <x:v>Current financials</x:v>
      </x:c>
      <x:c r="N26" s="21" t="n">
        <x:f>IF(C26="","",IF(F26="Corporate listed",IF(ISNUMBER(K26),K26,""),IF(OR(F26="Corporate private",F26="Project finance"),IF(AND(ISNUMBER(I26),ISNUMBER(J26)),MAX(I26,0)+J26,""),IF(OR(F26="CRE",F26="Mortgage",F26="Motor"),IF(ISNUMBER(L26),L26,""),""))))</x:f>
        <x:v>120</x:v>
      </x:c>
      <x:c r="O26" s="8" t="str">
        <x:v>SYN-INV-18</x:v>
      </x:c>
      <x:c r="P26" s="40" t="n">
        <x:v>46752</x:v>
      </x:c>
      <x:c r="Q26" s="8" t="str">
        <x:v>Reported unverified</x:v>
      </x:c>
      <x:c r="R26" s="16" t="n">
        <x:v>3790</x:v>
      </x:c>
      <x:c r="S26" s="8" t="str">
        <x:v>Yes</x:v>
      </x:c>
      <x:c r="T26" s="23" t="n">
        <x:f>IF(V26="Ready",IF(Q26="Activity",SUMIFS('Activity Data'!$U$9:$U$308,'Activity Data'!$D$9:$D$308,C26,'Activity Data'!$F$9:$F$308,"S1"),R26),"")</x:f>
        <x:v>3790</x:v>
      </x:c>
      <x:c r="U26" s="44" t="n">
        <x:f>IF(V26&lt;&gt;"Ready","",IF(Q26="Reported verified",1,IF(Q26="Reported unverified",2,IF(F26="Motor",1,2))))</x:f>
        <x:v>2</x:v>
      </x:c>
      <x:c r="V26" s="9" t="str">
        <x:f>IF(C26="","",IF(Q26="Not assessed","Not assessed",IF(OR(O26="",NOT(ISNUMBER(H26)),NOT(ISNUMBER(P26))),"Evidence required",IF(OR(P26&lt;'Settings'!$F$8,H26&gt;'Settings'!$F$8,YEAR(H26)&lt;&gt;YEAR('Settings'!$F$8)),"Period / expiry review",IF(S26&lt;&gt;"Yes","Boundary incomplete",IF(OR(Q26="Reported verified",Q26="Reported unverified"),IF(NOT(OR(F26="Corporate private",F26="Corporate listed",F26="Project finance")),"Asset method required",IF(OR(NOT(ISNUMBER(R26)),R26&lt;0),"Reported value required","Ready")),IF(Q26="Activity",IF(AND(COUNTIFS('Activity Data'!$D$9:$D$308,C26,'Activity Data'!$F$9:$F$308,"S1")&gt;0,COUNTIFS('Activity Data'!$D$9:$D$308,C26,'Activity Data'!$F$9:$F$308,"S1")=COUNTIFS('Activity Data'!$D$9:$D$308,C26,'Activity Data'!$F$9:$F$308,"S1",'Activity Data'!$V$9:$V$308,"Ready")),"Ready","Activity incomplete"),"Method required")))))))</x:f>
        <x:v>Ready</x:v>
      </x:c>
      <x:c r="W26" s="8" t="str">
        <x:v>Reported unverified</x:v>
      </x:c>
      <x:c r="X26" s="16" t="n">
        <x:v>3400</x:v>
      </x:c>
      <x:c r="Y26" s="8" t="str">
        <x:v>Yes</x:v>
      </x:c>
      <x:c r="Z26" s="23" t="n">
        <x:f>IF(AB26="Ready",IF(W26="Activity",SUMIFS('Activity Data'!$U$9:$U$308,'Activity Data'!$D$9:$D$308,C26,'Activity Data'!$F$9:$F$308,"S2"),X26),"")</x:f>
        <x:v>3400</x:v>
      </x:c>
      <x:c r="AA26" s="44" t="n">
        <x:f>IF(AB26&lt;&gt;"Ready","",IF(W26="Reported verified",1,IF(W26="Reported unverified",2,IF(F26="Motor",1,2))))</x:f>
        <x:v>2</x:v>
      </x:c>
      <x:c r="AB26" s="9" t="str">
        <x:f>IF(C26="","",IF(W26="Not assessed","Not assessed",IF(OR(O26="",NOT(ISNUMBER(H26)),NOT(ISNUMBER(P26))),"Evidence required",IF(OR(P26&lt;'Settings'!$F$8,H26&gt;'Settings'!$F$8,YEAR(H26)&lt;&gt;YEAR('Settings'!$F$8)),"Period / expiry review",IF(Y26&lt;&gt;"Yes","Boundary incomplete",IF(OR(AND(AC26&lt;&gt;"Location-based",AC26&lt;&gt;"Market-based"),AND(W26="Activity",AC26&lt;&gt;"Location-based")),"S2 basis mismatch",IF(OR(W26="Reported verified",W26="Reported unverified"),IF(NOT(OR(F26="Corporate private",F26="Corporate listed",F26="Project finance")),"Asset method required",IF(OR(NOT(ISNUMBER(X26)),X26&lt;0),"Reported value required","Ready")),IF(W26="Activity",IF(AND(COUNTIFS('Activity Data'!$D$9:$D$308,C26,'Activity Data'!$F$9:$F$308,"S2")&gt;0,COUNTIFS('Activity Data'!$D$9:$D$308,C26,'Activity Data'!$F$9:$F$308,"S2")=COUNTIFS('Activity Data'!$D$9:$D$308,C26,'Activity Data'!$F$9:$F$308,"S2",'Activity Data'!$V$9:$V$308,"Ready")),"Ready","Activity incomplete"),"Method required"))))))))</x:f>
        <x:v>Ready</x:v>
      </x:c>
      <x:c r="AC26" s="8" t="str">
        <x:v>Location-based</x:v>
      </x:c>
      <x:c r="AD26" s="8" t="str">
        <x:v>Reported unverified</x:v>
      </x:c>
      <x:c r="AE26" s="16" t="n">
        <x:v>19600</x:v>
      </x:c>
      <x:c r="AF26" s="8" t="str">
        <x:v>Yes</x:v>
      </x:c>
      <x:c r="AG26" s="23" t="n">
        <x:f>IF(AI26="Ready",IF(AD26="Activity",SUMIFS('Activity Data'!$U$9:$U$308,'Activity Data'!$D$9:$D$308,C26,'Activity Data'!$F$9:$F$308,"S3"),AE26),"")</x:f>
        <x:v>19600</x:v>
      </x:c>
      <x:c r="AH26" s="44" t="n">
        <x:f>IF(AI26&lt;&gt;"Ready","",IF(AD26="Reported verified",1,IF(AD26="Reported unverified",2,IF(F26="Motor",1,2))))</x:f>
        <x:v>2</x:v>
      </x:c>
      <x:c r="AI26" s="9" t="str">
        <x:f>IF(C26="","",IF(AD26="Not assessed","Not assessed",IF(OR(O26="",NOT(ISNUMBER(H26)),NOT(ISNUMBER(P26))),"Evidence required",IF(OR(P26&lt;'Settings'!$F$8,H26&gt;'Settings'!$F$8,YEAR(H26)&lt;&gt;YEAR('Settings'!$F$8)),"Period / expiry review",IF(AF26&lt;&gt;"Yes","Boundary incomplete",IF(AM26="","S3 screening required",IF(OR(AD26="Reported verified",AD26="Reported unverified"),IF(NOT(OR(F26="Corporate private",F26="Corporate listed",F26="Project finance")),"Asset method required",IF(OR(NOT(ISNUMBER(AE26)),AE26&lt;0),"Reported value required","Ready")),"Scope 3 method required")))))))</x:f>
        <x:v>Ready</x:v>
      </x:c>
      <x:c r="AJ26" s="9" t="str">
        <x:f>IF(C26="","",IF(OR(F26="Corporate private",F26="Corporate listed"),IFERROR(IF(INDEX('Borrowers'!$X$9:$X$108,MATCH(D26,'Borrowers'!$C$9:$C$108,0))="","",INDEX('Borrowers'!$X$9:$X$108,MATCH(D26,'Borrowers'!$C$9:$C$108,0))),""),IF(AQ26="","",AQ26)))</x:f>
        <x:v>SYN-FIN-12</x:v>
      </x:c>
      <x:c r="AK26" s="43" t="n">
        <x:f>IF(C26="","",IF(OR(F26="Corporate private",F26="Corporate listed"),IFERROR(IF(INDEX('Borrowers'!$H$9:$H$108,MATCH(D26,'Borrowers'!$C$9:$C$108,0))="","",INDEX('Borrowers'!$H$9:$H$108,MATCH(D26,'Borrowers'!$C$9:$C$108,0))),""),IF(AR26="","",AR26)))</x:f>
        <x:v>46387</x:v>
      </x:c>
      <x:c r="AL26" s="9" t="str">
        <x:f>IF(C26="","",IF(COUNTIFS($C$9:$C$108,C26)&lt;&gt;1,"Duplicate entity ID",IF(COUNTIFS('Borrowers'!$C$9:$C$108,D26)&lt;&gt;1,"Borrower required",IF(AND(F26&lt;&gt;"Corporate private",F26&lt;&gt;"Corporate listed",F26&lt;&gt;"Project finance",F26&lt;&gt;"CRE",F26&lt;&gt;"Mortgage",F26&lt;&gt;"Motor"),"Method required",IF(OR(AND(F26="Corporate private",IFERROR(IF(INDEX('Borrowers'!$G$9:$G$108,MATCH(D26,'Borrowers'!$C$9:$C$108,0))="","",INDEX('Borrowers'!$G$9:$G$108,MATCH(D26,'Borrowers'!$C$9:$C$108,0))),"")&lt;&gt;"Private"),AND(F26="Corporate listed",IFERROR(IF(INDEX('Borrowers'!$G$9:$G$108,MATCH(D26,'Borrowers'!$C$9:$C$108,0))="","",INDEX('Borrowers'!$G$9:$G$108,MATCH(D26,'Borrowers'!$C$9:$C$108,0))),"")&lt;&gt;"Listed")),"Listing / class mismatch",IF(OR(NOT(ISNUMBER(N26)),N26&lt;=0,AJ26="",NOT(ISNUMBER(AK26))),"Value evidence required",IF(AND(OR(F26="Corporate private",F26="Corporate listed"),IFERROR(IF(INDEX('Borrowers'!$Y$9:$Y$108,MATCH(D26,'Borrowers'!$C$9:$C$108,0))="","",INDEX('Borrowers'!$Y$9:$Y$108,MATCH(D26,'Borrowers'!$C$9:$C$108,0))),"")&lt;'Settings'!$F$8),"Expired financial evidence",IF(AK26&gt;'Settings'!$F$8,"Future value date",IF(OR(AND(OR(F26="Corporate private",F26="Project finance"),OR(J26&lt;0,M26&lt;&gt;"Current financials")),AND(F26="Corporate listed",M26&lt;&gt;"Current financials"),AND(OR(F26="CRE",F26="Mortgage",F26="Motor"),AND(M26&lt;&gt;"Origination",M26&lt;&gt;"Fixed fallback"))),"Value basis review",IF(AND(M26="Current financials",YEAR(AK26)&lt;&gt;YEAR('Settings'!$F$8)),"Stale financial period","Ready"))))))))))</x:f>
        <x:v>Ready</x:v>
      </x:c>
      <x:c r="AM26" s="8" t="str">
        <x:v>SYN-S3-SCREEN-18</x:v>
      </x:c>
      <x:c r="AN26" s="8" t="str">
        <x:v>Single boundary</x:v>
      </x:c>
      <x:c r="AO26" s="16"/>
      <x:c r="AP26" s="16"/>
      <x:c r="AQ26" s="8"/>
      <x:c r="AR26" s="40"/>
    </x:row>
    <x:row r="27" ht="40" customHeight="1">
      <x:c r="A27" s="1"/>
      <x:c r="B27" s="1"/>
      <x:c r="C27" s="8" t="str">
        <x:v>B013</x:v>
      </x:c>
      <x:c r="D27" s="8" t="str">
        <x:v>B013</x:v>
      </x:c>
      <x:c r="E27" s="8" t="str">
        <x:v>Demo Emirates Materials</x:v>
      </x:c>
      <x:c r="F27" s="8" t="str">
        <x:v>Corporate private</x:v>
      </x:c>
      <x:c r="G27" s="9" t="str">
        <x:f>IF(C27="","",IFERROR(IF(INDEX('Borrowers'!$E$9:$E$108,MATCH(D27,'Borrowers'!$C$9:$C$108,0))="","",INDEX('Borrowers'!$E$9:$E$108,MATCH(D27,'Borrowers'!$C$9:$C$108,0))),""))</x:f>
        <x:v>UAE</x:v>
      </x:c>
      <x:c r="H27" s="40" t="n">
        <x:v>46387</x:v>
      </x:c>
      <x:c r="I27" s="23" t="n">
        <x:f>IF(C27="","",IF(OR(F27="Corporate private",F27="Corporate listed"),IFERROR(IF(INDEX('Borrowers'!$M$9:$M$108,MATCH(D27,'Borrowers'!$C$9:$C$108,0))="","",INDEX('Borrowers'!$M$9:$M$108,MATCH(D27,'Borrowers'!$C$9:$C$108,0))),""),IF(F27="Project finance",IF(ISNUMBER(AO27),AO27,""),"")))</x:f>
        <x:v>76</x:v>
      </x:c>
      <x:c r="J27" s="23" t="n">
        <x:f>IF(C27="","",IF(OR(F27="Corporate private",F27="Corporate listed"),IFERROR(IF(INDEX('Borrowers'!$N$9:$N$108,MATCH(D27,'Borrowers'!$C$9:$C$108,0))="","",INDEX('Borrowers'!$N$9:$N$108,MATCH(D27,'Borrowers'!$C$9:$C$108,0))),""),IF(F27="Project finance",IF(ISNUMBER(AP27),AP27,""),"")))</x:f>
        <x:v>49</x:v>
      </x:c>
      <x:c r="K27" s="23" t="str">
        <x:f>IF(C27="","",IF(F27="Corporate listed",IFERROR(IF(INDEX('Borrowers'!$O$9:$O$108,MATCH(D27,'Borrowers'!$C$9:$C$108,0))="","",INDEX('Borrowers'!$O$9:$O$108,MATCH(D27,'Borrowers'!$C$9:$C$108,0))),""),""))</x:f>
      </x:c>
      <x:c r="L27" s="16"/>
      <x:c r="M27" s="8" t="str">
        <x:v>Current financials</x:v>
      </x:c>
      <x:c r="N27" s="21" t="n">
        <x:f>IF(C27="","",IF(F27="Corporate listed",IF(ISNUMBER(K27),K27,""),IF(OR(F27="Corporate private",F27="Project finance"),IF(AND(ISNUMBER(I27),ISNUMBER(J27)),MAX(I27,0)+J27,""),IF(OR(F27="CRE",F27="Mortgage",F27="Motor"),IF(ISNUMBER(L27),L27,""),""))))</x:f>
        <x:v>125</x:v>
      </x:c>
      <x:c r="O27" s="8" t="str">
        <x:v>SYN-INV-19</x:v>
      </x:c>
      <x:c r="P27" s="40" t="n">
        <x:v>46752</x:v>
      </x:c>
      <x:c r="Q27" s="8" t="str">
        <x:v>Reported verified</x:v>
      </x:c>
      <x:c r="R27" s="16" t="n">
        <x:v>157000</x:v>
      </x:c>
      <x:c r="S27" s="8" t="str">
        <x:v>Yes</x:v>
      </x:c>
      <x:c r="T27" s="23" t="n">
        <x:f>IF(V27="Ready",IF(Q27="Activity",SUMIFS('Activity Data'!$U$9:$U$308,'Activity Data'!$D$9:$D$308,C27,'Activity Data'!$F$9:$F$308,"S1"),R27),"")</x:f>
        <x:v>157000</x:v>
      </x:c>
      <x:c r="U27" s="44" t="n">
        <x:f>IF(V27&lt;&gt;"Ready","",IF(Q27="Reported verified",1,IF(Q27="Reported unverified",2,IF(F27="Motor",1,2))))</x:f>
        <x:v>1</x:v>
      </x:c>
      <x:c r="V27" s="9" t="str">
        <x:f>IF(C27="","",IF(Q27="Not assessed","Not assessed",IF(OR(O27="",NOT(ISNUMBER(H27)),NOT(ISNUMBER(P27))),"Evidence required",IF(OR(P27&lt;'Settings'!$F$8,H27&gt;'Settings'!$F$8,YEAR(H27)&lt;&gt;YEAR('Settings'!$F$8)),"Period / expiry review",IF(S27&lt;&gt;"Yes","Boundary incomplete",IF(OR(Q27="Reported verified",Q27="Reported unverified"),IF(NOT(OR(F27="Corporate private",F27="Corporate listed",F27="Project finance")),"Asset method required",IF(OR(NOT(ISNUMBER(R27)),R27&lt;0),"Reported value required","Ready")),IF(Q27="Activity",IF(AND(COUNTIFS('Activity Data'!$D$9:$D$308,C27,'Activity Data'!$F$9:$F$308,"S1")&gt;0,COUNTIFS('Activity Data'!$D$9:$D$308,C27,'Activity Data'!$F$9:$F$308,"S1")=COUNTIFS('Activity Data'!$D$9:$D$308,C27,'Activity Data'!$F$9:$F$308,"S1",'Activity Data'!$V$9:$V$308,"Ready")),"Ready","Activity incomplete"),"Method required")))))))</x:f>
        <x:v>Ready</x:v>
      </x:c>
      <x:c r="W27" s="8" t="str">
        <x:v>Reported verified</x:v>
      </x:c>
      <x:c r="X27" s="16" t="n">
        <x:v>3500</x:v>
      </x:c>
      <x:c r="Y27" s="8" t="str">
        <x:v>Yes</x:v>
      </x:c>
      <x:c r="Z27" s="23" t="n">
        <x:f>IF(AB27="Ready",IF(W27="Activity",SUMIFS('Activity Data'!$U$9:$U$308,'Activity Data'!$D$9:$D$308,C27,'Activity Data'!$F$9:$F$308,"S2"),X27),"")</x:f>
        <x:v>3500</x:v>
      </x:c>
      <x:c r="AA27" s="44" t="n">
        <x:f>IF(AB27&lt;&gt;"Ready","",IF(W27="Reported verified",1,IF(W27="Reported unverified",2,IF(F27="Motor",1,2))))</x:f>
        <x:v>1</x:v>
      </x:c>
      <x:c r="AB27" s="9" t="str">
        <x:f>IF(C27="","",IF(W27="Not assessed","Not assessed",IF(OR(O27="",NOT(ISNUMBER(H27)),NOT(ISNUMBER(P27))),"Evidence required",IF(OR(P27&lt;'Settings'!$F$8,H27&gt;'Settings'!$F$8,YEAR(H27)&lt;&gt;YEAR('Settings'!$F$8)),"Period / expiry review",IF(Y27&lt;&gt;"Yes","Boundary incomplete",IF(OR(AND(AC27&lt;&gt;"Location-based",AC27&lt;&gt;"Market-based"),AND(W27="Activity",AC27&lt;&gt;"Location-based")),"S2 basis mismatch",IF(OR(W27="Reported verified",W27="Reported unverified"),IF(NOT(OR(F27="Corporate private",F27="Corporate listed",F27="Project finance")),"Asset method required",IF(OR(NOT(ISNUMBER(X27)),X27&lt;0),"Reported value required","Ready")),IF(W27="Activity",IF(AND(COUNTIFS('Activity Data'!$D$9:$D$308,C27,'Activity Data'!$F$9:$F$308,"S2")&gt;0,COUNTIFS('Activity Data'!$D$9:$D$308,C27,'Activity Data'!$F$9:$F$308,"S2")=COUNTIFS('Activity Data'!$D$9:$D$308,C27,'Activity Data'!$F$9:$F$308,"S2",'Activity Data'!$V$9:$V$308,"Ready")),"Ready","Activity incomplete"),"Method required"))))))))</x:f>
        <x:v>Ready</x:v>
      </x:c>
      <x:c r="AC27" s="8" t="str">
        <x:v>Location-based</x:v>
      </x:c>
      <x:c r="AD27" s="8" t="str">
        <x:v>Reported unverified</x:v>
      </x:c>
      <x:c r="AE27" s="16" t="n">
        <x:v>256000</x:v>
      </x:c>
      <x:c r="AF27" s="8" t="str">
        <x:v>Yes</x:v>
      </x:c>
      <x:c r="AG27" s="23" t="n">
        <x:f>IF(AI27="Ready",IF(AD27="Activity",SUMIFS('Activity Data'!$U$9:$U$308,'Activity Data'!$D$9:$D$308,C27,'Activity Data'!$F$9:$F$308,"S3"),AE27),"")</x:f>
        <x:v>256000</x:v>
      </x:c>
      <x:c r="AH27" s="44" t="n">
        <x:f>IF(AI27&lt;&gt;"Ready","",IF(AD27="Reported verified",1,IF(AD27="Reported unverified",2,IF(F27="Motor",1,2))))</x:f>
        <x:v>2</x:v>
      </x:c>
      <x:c r="AI27" s="9" t="str">
        <x:f>IF(C27="","",IF(AD27="Not assessed","Not assessed",IF(OR(O27="",NOT(ISNUMBER(H27)),NOT(ISNUMBER(P27))),"Evidence required",IF(OR(P27&lt;'Settings'!$F$8,H27&gt;'Settings'!$F$8,YEAR(H27)&lt;&gt;YEAR('Settings'!$F$8)),"Period / expiry review",IF(AF27&lt;&gt;"Yes","Boundary incomplete",IF(AM27="","S3 screening required",IF(OR(AD27="Reported verified",AD27="Reported unverified"),IF(NOT(OR(F27="Corporate private",F27="Corporate listed",F27="Project finance")),"Asset method required",IF(OR(NOT(ISNUMBER(AE27)),AE27&lt;0),"Reported value required","Ready")),"Scope 3 method required")))))))</x:f>
        <x:v>Ready</x:v>
      </x:c>
      <x:c r="AJ27" s="9" t="str">
        <x:f>IF(C27="","",IF(OR(F27="Corporate private",F27="Corporate listed"),IFERROR(IF(INDEX('Borrowers'!$X$9:$X$108,MATCH(D27,'Borrowers'!$C$9:$C$108,0))="","",INDEX('Borrowers'!$X$9:$X$108,MATCH(D27,'Borrowers'!$C$9:$C$108,0))),""),IF(AQ27="","",AQ27)))</x:f>
        <x:v>SYN-FIN-13</x:v>
      </x:c>
      <x:c r="AK27" s="43" t="n">
        <x:f>IF(C27="","",IF(OR(F27="Corporate private",F27="Corporate listed"),IFERROR(IF(INDEX('Borrowers'!$H$9:$H$108,MATCH(D27,'Borrowers'!$C$9:$C$108,0))="","",INDEX('Borrowers'!$H$9:$H$108,MATCH(D27,'Borrowers'!$C$9:$C$108,0))),""),IF(AR27="","",AR27)))</x:f>
        <x:v>46387</x:v>
      </x:c>
      <x:c r="AL27" s="9" t="str">
        <x:f>IF(C27="","",IF(COUNTIFS($C$9:$C$108,C27)&lt;&gt;1,"Duplicate entity ID",IF(COUNTIFS('Borrowers'!$C$9:$C$108,D27)&lt;&gt;1,"Borrower required",IF(AND(F27&lt;&gt;"Corporate private",F27&lt;&gt;"Corporate listed",F27&lt;&gt;"Project finance",F27&lt;&gt;"CRE",F27&lt;&gt;"Mortgage",F27&lt;&gt;"Motor"),"Method required",IF(OR(AND(F27="Corporate private",IFERROR(IF(INDEX('Borrowers'!$G$9:$G$108,MATCH(D27,'Borrowers'!$C$9:$C$108,0))="","",INDEX('Borrowers'!$G$9:$G$108,MATCH(D27,'Borrowers'!$C$9:$C$108,0))),"")&lt;&gt;"Private"),AND(F27="Corporate listed",IFERROR(IF(INDEX('Borrowers'!$G$9:$G$108,MATCH(D27,'Borrowers'!$C$9:$C$108,0))="","",INDEX('Borrowers'!$G$9:$G$108,MATCH(D27,'Borrowers'!$C$9:$C$108,0))),"")&lt;&gt;"Listed")),"Listing / class mismatch",IF(OR(NOT(ISNUMBER(N27)),N27&lt;=0,AJ27="",NOT(ISNUMBER(AK27))),"Value evidence required",IF(AND(OR(F27="Corporate private",F27="Corporate listed"),IFERROR(IF(INDEX('Borrowers'!$Y$9:$Y$108,MATCH(D27,'Borrowers'!$C$9:$C$108,0))="","",INDEX('Borrowers'!$Y$9:$Y$108,MATCH(D27,'Borrowers'!$C$9:$C$108,0))),"")&lt;'Settings'!$F$8),"Expired financial evidence",IF(AK27&gt;'Settings'!$F$8,"Future value date",IF(OR(AND(OR(F27="Corporate private",F27="Project finance"),OR(J27&lt;0,M27&lt;&gt;"Current financials")),AND(F27="Corporate listed",M27&lt;&gt;"Current financials"),AND(OR(F27="CRE",F27="Mortgage",F27="Motor"),AND(M27&lt;&gt;"Origination",M27&lt;&gt;"Fixed fallback"))),"Value basis review",IF(AND(M27="Current financials",YEAR(AK27)&lt;&gt;YEAR('Settings'!$F$8)),"Stale financial period","Ready"))))))))))</x:f>
        <x:v>Ready</x:v>
      </x:c>
      <x:c r="AM27" s="8" t="str">
        <x:v>SYN-S3-SCREEN-19</x:v>
      </x:c>
      <x:c r="AN27" s="8" t="str">
        <x:v>Single boundary</x:v>
      </x:c>
      <x:c r="AO27" s="16"/>
      <x:c r="AP27" s="16"/>
      <x:c r="AQ27" s="8"/>
      <x:c r="AR27" s="40"/>
    </x:row>
    <x:row r="28" ht="40" customHeight="1">
      <x:c r="A28" s="1"/>
      <x:c r="B28" s="1"/>
      <x:c r="C28" s="8" t="str">
        <x:v>B014</x:v>
      </x:c>
      <x:c r="D28" s="8" t="str">
        <x:v>B014</x:v>
      </x:c>
      <x:c r="E28" s="8" t="str">
        <x:v>Demo Desert Solar</x:v>
      </x:c>
      <x:c r="F28" s="8" t="str">
        <x:v>Corporate private</x:v>
      </x:c>
      <x:c r="G28" s="9" t="str">
        <x:f>IF(C28="","",IFERROR(IF(INDEX('Borrowers'!$E$9:$E$108,MATCH(D28,'Borrowers'!$C$9:$C$108,0))="","",INDEX('Borrowers'!$E$9:$E$108,MATCH(D28,'Borrowers'!$C$9:$C$108,0))),""))</x:f>
        <x:v>UAE</x:v>
      </x:c>
      <x:c r="H28" s="40" t="n">
        <x:v>46387</x:v>
      </x:c>
      <x:c r="I28" s="23" t="n">
        <x:f>IF(C28="","",IF(OR(F28="Corporate private",F28="Corporate listed"),IFERROR(IF(INDEX('Borrowers'!$M$9:$M$108,MATCH(D28,'Borrowers'!$C$9:$C$108,0))="","",INDEX('Borrowers'!$M$9:$M$108,MATCH(D28,'Borrowers'!$C$9:$C$108,0))),""),IF(F28="Project finance",IF(ISNUMBER(AO28),AO28,""),"")))</x:f>
        <x:v>79</x:v>
      </x:c>
      <x:c r="J28" s="23" t="n">
        <x:f>IF(C28="","",IF(OR(F28="Corporate private",F28="Corporate listed"),IFERROR(IF(INDEX('Borrowers'!$N$9:$N$108,MATCH(D28,'Borrowers'!$C$9:$C$108,0))="","",INDEX('Borrowers'!$N$9:$N$108,MATCH(D28,'Borrowers'!$C$9:$C$108,0))),""),IF(F28="Project finance",IF(ISNUMBER(AP28),AP28,""),"")))</x:f>
        <x:v>51</x:v>
      </x:c>
      <x:c r="K28" s="23" t="str">
        <x:f>IF(C28="","",IF(F28="Corporate listed",IFERROR(IF(INDEX('Borrowers'!$O$9:$O$108,MATCH(D28,'Borrowers'!$C$9:$C$108,0))="","",INDEX('Borrowers'!$O$9:$O$108,MATCH(D28,'Borrowers'!$C$9:$C$108,0))),""),""))</x:f>
      </x:c>
      <x:c r="L28" s="16"/>
      <x:c r="M28" s="8" t="str">
        <x:v>Current financials</x:v>
      </x:c>
      <x:c r="N28" s="21" t="n">
        <x:f>IF(C28="","",IF(F28="Corporate listed",IF(ISNUMBER(K28),K28,""),IF(OR(F28="Corporate private",F28="Project finance"),IF(AND(ISNUMBER(I28),ISNUMBER(J28)),MAX(I28,0)+J28,""),IF(OR(F28="CRE",F28="Mortgage",F28="Motor"),IF(ISNUMBER(L28),L28,""),""))))</x:f>
        <x:v>130</x:v>
      </x:c>
      <x:c r="O28" s="8" t="str">
        <x:v>SYN-INV-20</x:v>
      </x:c>
      <x:c r="P28" s="40" t="n">
        <x:v>46752</x:v>
      </x:c>
      <x:c r="Q28" s="8" t="str">
        <x:v>Activity</x:v>
      </x:c>
      <x:c r="R28" s="16"/>
      <x:c r="S28" s="8" t="str">
        <x:v>Yes</x:v>
      </x:c>
      <x:c r="T28" s="23" t="n">
        <x:f>IF(V28="Ready",IF(Q28="Activity",SUMIFS('Activity Data'!$U$9:$U$308,'Activity Data'!$D$9:$D$308,C28,'Activity Data'!$F$9:$F$308,"S1"),R28),"")</x:f>
        <x:v>8.040000000000001</x:v>
      </x:c>
      <x:c r="U28" s="44" t="n">
        <x:f>IF(V28&lt;&gt;"Ready","",IF(Q28="Reported verified",1,IF(Q28="Reported unverified",2,IF(F28="Motor",1,2))))</x:f>
        <x:v>2</x:v>
      </x:c>
      <x:c r="V28" s="9" t="str">
        <x:f>IF(C28="","",IF(Q28="Not assessed","Not assessed",IF(OR(O28="",NOT(ISNUMBER(H28)),NOT(ISNUMBER(P28))),"Evidence required",IF(OR(P28&lt;'Settings'!$F$8,H28&gt;'Settings'!$F$8,YEAR(H28)&lt;&gt;YEAR('Settings'!$F$8)),"Period / expiry review",IF(S28&lt;&gt;"Yes","Boundary incomplete",IF(OR(Q28="Reported verified",Q28="Reported unverified"),IF(NOT(OR(F28="Corporate private",F28="Corporate listed",F28="Project finance")),"Asset method required",IF(OR(NOT(ISNUMBER(R28)),R28&lt;0),"Reported value required","Ready")),IF(Q28="Activity",IF(AND(COUNTIFS('Activity Data'!$D$9:$D$308,C28,'Activity Data'!$F$9:$F$308,"S1")&gt;0,COUNTIFS('Activity Data'!$D$9:$D$308,C28,'Activity Data'!$F$9:$F$308,"S1")=COUNTIFS('Activity Data'!$D$9:$D$308,C28,'Activity Data'!$F$9:$F$308,"S1",'Activity Data'!$V$9:$V$308,"Ready")),"Ready","Activity incomplete"),"Method required")))))))</x:f>
        <x:v>Ready</x:v>
      </x:c>
      <x:c r="W28" s="8" t="str">
        <x:v>Activity</x:v>
      </x:c>
      <x:c r="X28" s="16"/>
      <x:c r="Y28" s="8" t="str">
        <x:v>Yes</x:v>
      </x:c>
      <x:c r="Z28" s="23" t="n">
        <x:f>IF(AB28="Ready",IF(W28="Activity",SUMIFS('Activity Data'!$U$9:$U$308,'Activity Data'!$D$9:$D$308,C28,'Activity Data'!$F$9:$F$308,"S2"),X28),"")</x:f>
        <x:v>19.5</x:v>
      </x:c>
      <x:c r="AA28" s="44" t="n">
        <x:f>IF(AB28&lt;&gt;"Ready","",IF(W28="Reported verified",1,IF(W28="Reported unverified",2,IF(F28="Motor",1,2))))</x:f>
        <x:v>2</x:v>
      </x:c>
      <x:c r="AB28" s="9" t="str">
        <x:f>IF(C28="","",IF(W28="Not assessed","Not assessed",IF(OR(O28="",NOT(ISNUMBER(H28)),NOT(ISNUMBER(P28))),"Evidence required",IF(OR(P28&lt;'Settings'!$F$8,H28&gt;'Settings'!$F$8,YEAR(H28)&lt;&gt;YEAR('Settings'!$F$8)),"Period / expiry review",IF(Y28&lt;&gt;"Yes","Boundary incomplete",IF(OR(AND(AC28&lt;&gt;"Location-based",AC28&lt;&gt;"Market-based"),AND(W28="Activity",AC28&lt;&gt;"Location-based")),"S2 basis mismatch",IF(OR(W28="Reported verified",W28="Reported unverified"),IF(NOT(OR(F28="Corporate private",F28="Corporate listed",F28="Project finance")),"Asset method required",IF(OR(NOT(ISNUMBER(X28)),X28&lt;0),"Reported value required","Ready")),IF(W28="Activity",IF(AND(COUNTIFS('Activity Data'!$D$9:$D$308,C28,'Activity Data'!$F$9:$F$308,"S2")&gt;0,COUNTIFS('Activity Data'!$D$9:$D$308,C28,'Activity Data'!$F$9:$F$308,"S2")=COUNTIFS('Activity Data'!$D$9:$D$308,C28,'Activity Data'!$F$9:$F$308,"S2",'Activity Data'!$V$9:$V$308,"Ready")),"Ready","Activity incomplete"),"Method required"))))))))</x:f>
        <x:v>Ready</x:v>
      </x:c>
      <x:c r="AC28" s="8" t="str">
        <x:v>Location-based</x:v>
      </x:c>
      <x:c r="AD28" s="8" t="str">
        <x:v>Reported unverified</x:v>
      </x:c>
      <x:c r="AE28" s="16" t="n">
        <x:v>21200</x:v>
      </x:c>
      <x:c r="AF28" s="8" t="str">
        <x:v>Yes</x:v>
      </x:c>
      <x:c r="AG28" s="23" t="n">
        <x:f>IF(AI28="Ready",IF(AD28="Activity",SUMIFS('Activity Data'!$U$9:$U$308,'Activity Data'!$D$9:$D$308,C28,'Activity Data'!$F$9:$F$308,"S3"),AE28),"")</x:f>
        <x:v>21200</x:v>
      </x:c>
      <x:c r="AH28" s="44" t="n">
        <x:f>IF(AI28&lt;&gt;"Ready","",IF(AD28="Reported verified",1,IF(AD28="Reported unverified",2,IF(F28="Motor",1,2))))</x:f>
        <x:v>2</x:v>
      </x:c>
      <x:c r="AI28" s="9" t="str">
        <x:f>IF(C28="","",IF(AD28="Not assessed","Not assessed",IF(OR(O28="",NOT(ISNUMBER(H28)),NOT(ISNUMBER(P28))),"Evidence required",IF(OR(P28&lt;'Settings'!$F$8,H28&gt;'Settings'!$F$8,YEAR(H28)&lt;&gt;YEAR('Settings'!$F$8)),"Period / expiry review",IF(AF28&lt;&gt;"Yes","Boundary incomplete",IF(AM28="","S3 screening required",IF(OR(AD28="Reported verified",AD28="Reported unverified"),IF(NOT(OR(F28="Corporate private",F28="Corporate listed",F28="Project finance")),"Asset method required",IF(OR(NOT(ISNUMBER(AE28)),AE28&lt;0),"Reported value required","Ready")),"Scope 3 method required")))))))</x:f>
        <x:v>Ready</x:v>
      </x:c>
      <x:c r="AJ28" s="9" t="str">
        <x:f>IF(C28="","",IF(OR(F28="Corporate private",F28="Corporate listed"),IFERROR(IF(INDEX('Borrowers'!$X$9:$X$108,MATCH(D28,'Borrowers'!$C$9:$C$108,0))="","",INDEX('Borrowers'!$X$9:$X$108,MATCH(D28,'Borrowers'!$C$9:$C$108,0))),""),IF(AQ28="","",AQ28)))</x:f>
        <x:v>SYN-FIN-14</x:v>
      </x:c>
      <x:c r="AK28" s="43" t="n">
        <x:f>IF(C28="","",IF(OR(F28="Corporate private",F28="Corporate listed"),IFERROR(IF(INDEX('Borrowers'!$H$9:$H$108,MATCH(D28,'Borrowers'!$C$9:$C$108,0))="","",INDEX('Borrowers'!$H$9:$H$108,MATCH(D28,'Borrowers'!$C$9:$C$108,0))),""),IF(AR28="","",AR28)))</x:f>
        <x:v>46387</x:v>
      </x:c>
      <x:c r="AL28" s="9" t="str">
        <x:f>IF(C28="","",IF(COUNTIFS($C$9:$C$108,C28)&lt;&gt;1,"Duplicate entity ID",IF(COUNTIFS('Borrowers'!$C$9:$C$108,D28)&lt;&gt;1,"Borrower required",IF(AND(F28&lt;&gt;"Corporate private",F28&lt;&gt;"Corporate listed",F28&lt;&gt;"Project finance",F28&lt;&gt;"CRE",F28&lt;&gt;"Mortgage",F28&lt;&gt;"Motor"),"Method required",IF(OR(AND(F28="Corporate private",IFERROR(IF(INDEX('Borrowers'!$G$9:$G$108,MATCH(D28,'Borrowers'!$C$9:$C$108,0))="","",INDEX('Borrowers'!$G$9:$G$108,MATCH(D28,'Borrowers'!$C$9:$C$108,0))),"")&lt;&gt;"Private"),AND(F28="Corporate listed",IFERROR(IF(INDEX('Borrowers'!$G$9:$G$108,MATCH(D28,'Borrowers'!$C$9:$C$108,0))="","",INDEX('Borrowers'!$G$9:$G$108,MATCH(D28,'Borrowers'!$C$9:$C$108,0))),"")&lt;&gt;"Listed")),"Listing / class mismatch",IF(OR(NOT(ISNUMBER(N28)),N28&lt;=0,AJ28="",NOT(ISNUMBER(AK28))),"Value evidence required",IF(AND(OR(F28="Corporate private",F28="Corporate listed"),IFERROR(IF(INDEX('Borrowers'!$Y$9:$Y$108,MATCH(D28,'Borrowers'!$C$9:$C$108,0))="","",INDEX('Borrowers'!$Y$9:$Y$108,MATCH(D28,'Borrowers'!$C$9:$C$108,0))),"")&lt;'Settings'!$F$8),"Expired financial evidence",IF(AK28&gt;'Settings'!$F$8,"Future value date",IF(OR(AND(OR(F28="Corporate private",F28="Project finance"),OR(J28&lt;0,M28&lt;&gt;"Current financials")),AND(F28="Corporate listed",M28&lt;&gt;"Current financials"),AND(OR(F28="CRE",F28="Mortgage",F28="Motor"),AND(M28&lt;&gt;"Origination",M28&lt;&gt;"Fixed fallback"))),"Value basis review",IF(AND(M28="Current financials",YEAR(AK28)&lt;&gt;YEAR('Settings'!$F$8)),"Stale financial period","Ready"))))))))))</x:f>
        <x:v>Ready</x:v>
      </x:c>
      <x:c r="AM28" s="8" t="str">
        <x:v>SYN-S3-SCREEN-20</x:v>
      </x:c>
      <x:c r="AN28" s="8" t="str">
        <x:v>Single boundary</x:v>
      </x:c>
      <x:c r="AO28" s="16"/>
      <x:c r="AP28" s="16"/>
      <x:c r="AQ28" s="8"/>
      <x:c r="AR28" s="40"/>
    </x:row>
    <x:row r="29" ht="40" customHeight="1">
      <x:c r="A29" s="1"/>
      <x:c r="B29" s="1"/>
      <x:c r="C29" s="8" t="str">
        <x:v>B015</x:v>
      </x:c>
      <x:c r="D29" s="8" t="str">
        <x:v>B015</x:v>
      </x:c>
      <x:c r="E29" s="8" t="str">
        <x:v>Demo Gulf Logistics</x:v>
      </x:c>
      <x:c r="F29" s="8" t="str">
        <x:v>Corporate private</x:v>
      </x:c>
      <x:c r="G29" s="9" t="str">
        <x:f>IF(C29="","",IFERROR(IF(INDEX('Borrowers'!$E$9:$E$108,MATCH(D29,'Borrowers'!$C$9:$C$108,0))="","",INDEX('Borrowers'!$E$9:$E$108,MATCH(D29,'Borrowers'!$C$9:$C$108,0))),""))</x:f>
        <x:v>UAE</x:v>
      </x:c>
      <x:c r="H29" s="40" t="n">
        <x:v>46387</x:v>
      </x:c>
      <x:c r="I29" s="23" t="n">
        <x:f>IF(C29="","",IF(OR(F29="Corporate private",F29="Corporate listed"),IFERROR(IF(INDEX('Borrowers'!$M$9:$M$108,MATCH(D29,'Borrowers'!$C$9:$C$108,0))="","",INDEX('Borrowers'!$M$9:$M$108,MATCH(D29,'Borrowers'!$C$9:$C$108,0))),""),IF(F29="Project finance",IF(ISNUMBER(AO29),AO29,""),"")))</x:f>
        <x:v>82</x:v>
      </x:c>
      <x:c r="J29" s="23" t="n">
        <x:f>IF(C29="","",IF(OR(F29="Corporate private",F29="Corporate listed"),IFERROR(IF(INDEX('Borrowers'!$N$9:$N$108,MATCH(D29,'Borrowers'!$C$9:$C$108,0))="","",INDEX('Borrowers'!$N$9:$N$108,MATCH(D29,'Borrowers'!$C$9:$C$108,0))),""),IF(F29="Project finance",IF(ISNUMBER(AP29),AP29,""),"")))</x:f>
        <x:v>53</x:v>
      </x:c>
      <x:c r="K29" s="23" t="str">
        <x:f>IF(C29="","",IF(F29="Corporate listed",IFERROR(IF(INDEX('Borrowers'!$O$9:$O$108,MATCH(D29,'Borrowers'!$C$9:$C$108,0))="","",INDEX('Borrowers'!$O$9:$O$108,MATCH(D29,'Borrowers'!$C$9:$C$108,0))),""),""))</x:f>
      </x:c>
      <x:c r="L29" s="16"/>
      <x:c r="M29" s="8" t="str">
        <x:v>Current financials</x:v>
      </x:c>
      <x:c r="N29" s="21" t="n">
        <x:f>IF(C29="","",IF(F29="Corporate listed",IF(ISNUMBER(K29),K29,""),IF(OR(F29="Corporate private",F29="Project finance"),IF(AND(ISNUMBER(I29),ISNUMBER(J29)),MAX(I29,0)+J29,""),IF(OR(F29="CRE",F29="Mortgage",F29="Motor"),IF(ISNUMBER(L29),L29,""),""))))</x:f>
        <x:v>135</x:v>
      </x:c>
      <x:c r="O29" s="8" t="str">
        <x:v>SYN-INV-21</x:v>
      </x:c>
      <x:c r="P29" s="40" t="n">
        <x:v>46752</x:v>
      </x:c>
      <x:c r="Q29" s="8" t="str">
        <x:v>Reported unverified</x:v>
      </x:c>
      <x:c r="R29" s="16" t="n">
        <x:v>4300</x:v>
      </x:c>
      <x:c r="S29" s="8" t="str">
        <x:v>Yes</x:v>
      </x:c>
      <x:c r="T29" s="23" t="n">
        <x:f>IF(V29="Ready",IF(Q29="Activity",SUMIFS('Activity Data'!$U$9:$U$308,'Activity Data'!$D$9:$D$308,C29,'Activity Data'!$F$9:$F$308,"S1"),R29),"")</x:f>
        <x:v>4300</x:v>
      </x:c>
      <x:c r="U29" s="44" t="n">
        <x:f>IF(V29&lt;&gt;"Ready","",IF(Q29="Reported verified",1,IF(Q29="Reported unverified",2,IF(F29="Motor",1,2))))</x:f>
        <x:v>2</x:v>
      </x:c>
      <x:c r="V29" s="9" t="str">
        <x:f>IF(C29="","",IF(Q29="Not assessed","Not assessed",IF(OR(O29="",NOT(ISNUMBER(H29)),NOT(ISNUMBER(P29))),"Evidence required",IF(OR(P29&lt;'Settings'!$F$8,H29&gt;'Settings'!$F$8,YEAR(H29)&lt;&gt;YEAR('Settings'!$F$8)),"Period / expiry review",IF(S29&lt;&gt;"Yes","Boundary incomplete",IF(OR(Q29="Reported verified",Q29="Reported unverified"),IF(NOT(OR(F29="Corporate private",F29="Corporate listed",F29="Project finance")),"Asset method required",IF(OR(NOT(ISNUMBER(R29)),R29&lt;0),"Reported value required","Ready")),IF(Q29="Activity",IF(AND(COUNTIFS('Activity Data'!$D$9:$D$308,C29,'Activity Data'!$F$9:$F$308,"S1")&gt;0,COUNTIFS('Activity Data'!$D$9:$D$308,C29,'Activity Data'!$F$9:$F$308,"S1")=COUNTIFS('Activity Data'!$D$9:$D$308,C29,'Activity Data'!$F$9:$F$308,"S1",'Activity Data'!$V$9:$V$308,"Ready")),"Ready","Activity incomplete"),"Method required")))))))</x:f>
        <x:v>Ready</x:v>
      </x:c>
      <x:c r="W29" s="8" t="str">
        <x:v>Reported unverified</x:v>
      </x:c>
      <x:c r="X29" s="16" t="n">
        <x:v>3700</x:v>
      </x:c>
      <x:c r="Y29" s="8" t="str">
        <x:v>Yes</x:v>
      </x:c>
      <x:c r="Z29" s="23" t="n">
        <x:f>IF(AB29="Ready",IF(W29="Activity",SUMIFS('Activity Data'!$U$9:$U$308,'Activity Data'!$D$9:$D$308,C29,'Activity Data'!$F$9:$F$308,"S2"),X29),"")</x:f>
        <x:v>3700</x:v>
      </x:c>
      <x:c r="AA29" s="44" t="n">
        <x:f>IF(AB29&lt;&gt;"Ready","",IF(W29="Reported verified",1,IF(W29="Reported unverified",2,IF(F29="Motor",1,2))))</x:f>
        <x:v>2</x:v>
      </x:c>
      <x:c r="AB29" s="9" t="str">
        <x:f>IF(C29="","",IF(W29="Not assessed","Not assessed",IF(OR(O29="",NOT(ISNUMBER(H29)),NOT(ISNUMBER(P29))),"Evidence required",IF(OR(P29&lt;'Settings'!$F$8,H29&gt;'Settings'!$F$8,YEAR(H29)&lt;&gt;YEAR('Settings'!$F$8)),"Period / expiry review",IF(Y29&lt;&gt;"Yes","Boundary incomplete",IF(OR(AND(AC29&lt;&gt;"Location-based",AC29&lt;&gt;"Market-based"),AND(W29="Activity",AC29&lt;&gt;"Location-based")),"S2 basis mismatch",IF(OR(W29="Reported verified",W29="Reported unverified"),IF(NOT(OR(F29="Corporate private",F29="Corporate listed",F29="Project finance")),"Asset method required",IF(OR(NOT(ISNUMBER(X29)),X29&lt;0),"Reported value required","Ready")),IF(W29="Activity",IF(AND(COUNTIFS('Activity Data'!$D$9:$D$308,C29,'Activity Data'!$F$9:$F$308,"S2")&gt;0,COUNTIFS('Activity Data'!$D$9:$D$308,C29,'Activity Data'!$F$9:$F$308,"S2")=COUNTIFS('Activity Data'!$D$9:$D$308,C29,'Activity Data'!$F$9:$F$308,"S2",'Activity Data'!$V$9:$V$308,"Ready")),"Ready","Activity incomplete"),"Method required"))))))))</x:f>
        <x:v>Ready</x:v>
      </x:c>
      <x:c r="AC29" s="8" t="str">
        <x:v>Location-based</x:v>
      </x:c>
      <x:c r="AD29" s="8" t="str">
        <x:v>Reported unverified</x:v>
      </x:c>
      <x:c r="AE29" s="16" t="n">
        <x:v>22000</x:v>
      </x:c>
      <x:c r="AF29" s="8" t="str">
        <x:v>Yes</x:v>
      </x:c>
      <x:c r="AG29" s="23" t="n">
        <x:f>IF(AI29="Ready",IF(AD29="Activity",SUMIFS('Activity Data'!$U$9:$U$308,'Activity Data'!$D$9:$D$308,C29,'Activity Data'!$F$9:$F$308,"S3"),AE29),"")</x:f>
        <x:v>22000</x:v>
      </x:c>
      <x:c r="AH29" s="44" t="n">
        <x:f>IF(AI29&lt;&gt;"Ready","",IF(AD29="Reported verified",1,IF(AD29="Reported unverified",2,IF(F29="Motor",1,2))))</x:f>
        <x:v>2</x:v>
      </x:c>
      <x:c r="AI29" s="9" t="str">
        <x:f>IF(C29="","",IF(AD29="Not assessed","Not assessed",IF(OR(O29="",NOT(ISNUMBER(H29)),NOT(ISNUMBER(P29))),"Evidence required",IF(OR(P29&lt;'Settings'!$F$8,H29&gt;'Settings'!$F$8,YEAR(H29)&lt;&gt;YEAR('Settings'!$F$8)),"Period / expiry review",IF(AF29&lt;&gt;"Yes","Boundary incomplete",IF(AM29="","S3 screening required",IF(OR(AD29="Reported verified",AD29="Reported unverified"),IF(NOT(OR(F29="Corporate private",F29="Corporate listed",F29="Project finance")),"Asset method required",IF(OR(NOT(ISNUMBER(AE29)),AE29&lt;0),"Reported value required","Ready")),"Scope 3 method required")))))))</x:f>
        <x:v>Ready</x:v>
      </x:c>
      <x:c r="AJ29" s="9" t="str">
        <x:f>IF(C29="","",IF(OR(F29="Corporate private",F29="Corporate listed"),IFERROR(IF(INDEX('Borrowers'!$X$9:$X$108,MATCH(D29,'Borrowers'!$C$9:$C$108,0))="","",INDEX('Borrowers'!$X$9:$X$108,MATCH(D29,'Borrowers'!$C$9:$C$108,0))),""),IF(AQ29="","",AQ29)))</x:f>
        <x:v>SYN-FIN-15</x:v>
      </x:c>
      <x:c r="AK29" s="43" t="n">
        <x:f>IF(C29="","",IF(OR(F29="Corporate private",F29="Corporate listed"),IFERROR(IF(INDEX('Borrowers'!$H$9:$H$108,MATCH(D29,'Borrowers'!$C$9:$C$108,0))="","",INDEX('Borrowers'!$H$9:$H$108,MATCH(D29,'Borrowers'!$C$9:$C$108,0))),""),IF(AR29="","",AR29)))</x:f>
        <x:v>46387</x:v>
      </x:c>
      <x:c r="AL29" s="9" t="str">
        <x:f>IF(C29="","",IF(COUNTIFS($C$9:$C$108,C29)&lt;&gt;1,"Duplicate entity ID",IF(COUNTIFS('Borrowers'!$C$9:$C$108,D29)&lt;&gt;1,"Borrower required",IF(AND(F29&lt;&gt;"Corporate private",F29&lt;&gt;"Corporate listed",F29&lt;&gt;"Project finance",F29&lt;&gt;"CRE",F29&lt;&gt;"Mortgage",F29&lt;&gt;"Motor"),"Method required",IF(OR(AND(F29="Corporate private",IFERROR(IF(INDEX('Borrowers'!$G$9:$G$108,MATCH(D29,'Borrowers'!$C$9:$C$108,0))="","",INDEX('Borrowers'!$G$9:$G$108,MATCH(D29,'Borrowers'!$C$9:$C$108,0))),"")&lt;&gt;"Private"),AND(F29="Corporate listed",IFERROR(IF(INDEX('Borrowers'!$G$9:$G$108,MATCH(D29,'Borrowers'!$C$9:$C$108,0))="","",INDEX('Borrowers'!$G$9:$G$108,MATCH(D29,'Borrowers'!$C$9:$C$108,0))),"")&lt;&gt;"Listed")),"Listing / class mismatch",IF(OR(NOT(ISNUMBER(N29)),N29&lt;=0,AJ29="",NOT(ISNUMBER(AK29))),"Value evidence required",IF(AND(OR(F29="Corporate private",F29="Corporate listed"),IFERROR(IF(INDEX('Borrowers'!$Y$9:$Y$108,MATCH(D29,'Borrowers'!$C$9:$C$108,0))="","",INDEX('Borrowers'!$Y$9:$Y$108,MATCH(D29,'Borrowers'!$C$9:$C$108,0))),"")&lt;'Settings'!$F$8),"Expired financial evidence",IF(AK29&gt;'Settings'!$F$8,"Future value date",IF(OR(AND(OR(F29="Corporate private",F29="Project finance"),OR(J29&lt;0,M29&lt;&gt;"Current financials")),AND(F29="Corporate listed",M29&lt;&gt;"Current financials"),AND(OR(F29="CRE",F29="Mortgage",F29="Motor"),AND(M29&lt;&gt;"Origination",M29&lt;&gt;"Fixed fallback"))),"Value basis review",IF(AND(M29="Current financials",YEAR(AK29)&lt;&gt;YEAR('Settings'!$F$8)),"Stale financial period","Ready"))))))))))</x:f>
        <x:v>Ready</x:v>
      </x:c>
      <x:c r="AM29" s="8" t="str">
        <x:v>SYN-S3-SCREEN-21</x:v>
      </x:c>
      <x:c r="AN29" s="8" t="str">
        <x:v>Single boundary</x:v>
      </x:c>
      <x:c r="AO29" s="16"/>
      <x:c r="AP29" s="16"/>
      <x:c r="AQ29" s="8"/>
      <x:c r="AR29" s="40"/>
    </x:row>
    <x:row r="30" ht="40" customHeight="1">
      <x:c r="A30" s="1"/>
      <x:c r="B30" s="1"/>
      <x:c r="C30" s="8" t="str">
        <x:v>B016</x:v>
      </x:c>
      <x:c r="D30" s="8" t="str">
        <x:v>B016</x:v>
      </x:c>
      <x:c r="E30" s="8" t="str">
        <x:v>Demo Emirates Foods</x:v>
      </x:c>
      <x:c r="F30" s="8" t="str">
        <x:v>Corporate listed</x:v>
      </x:c>
      <x:c r="G30" s="9" t="str">
        <x:f>IF(C30="","",IFERROR(IF(INDEX('Borrowers'!$E$9:$E$108,MATCH(D30,'Borrowers'!$C$9:$C$108,0))="","",INDEX('Borrowers'!$E$9:$E$108,MATCH(D30,'Borrowers'!$C$9:$C$108,0))),""))</x:f>
        <x:v>UAE</x:v>
      </x:c>
      <x:c r="H30" s="40" t="n">
        <x:v>46387</x:v>
      </x:c>
      <x:c r="I30" s="23" t="n">
        <x:f>IF(C30="","",IF(OR(F30="Corporate private",F30="Corporate listed"),IFERROR(IF(INDEX('Borrowers'!$M$9:$M$108,MATCH(D30,'Borrowers'!$C$9:$C$108,0))="","",INDEX('Borrowers'!$M$9:$M$108,MATCH(D30,'Borrowers'!$C$9:$C$108,0))),""),IF(F30="Project finance",IF(ISNUMBER(AO30),AO30,""),"")))</x:f>
        <x:v>85</x:v>
      </x:c>
      <x:c r="J30" s="23" t="n">
        <x:f>IF(C30="","",IF(OR(F30="Corporate private",F30="Corporate listed"),IFERROR(IF(INDEX('Borrowers'!$N$9:$N$108,MATCH(D30,'Borrowers'!$C$9:$C$108,0))="","",INDEX('Borrowers'!$N$9:$N$108,MATCH(D30,'Borrowers'!$C$9:$C$108,0))),""),IF(F30="Project finance",IF(ISNUMBER(AP30),AP30,""),"")))</x:f>
        <x:v>55</x:v>
      </x:c>
      <x:c r="K30" s="23" t="n">
        <x:f>IF(C30="","",IF(F30="Corporate listed",IFERROR(IF(INDEX('Borrowers'!$O$9:$O$108,MATCH(D30,'Borrowers'!$C$9:$C$108,0))="","",INDEX('Borrowers'!$O$9:$O$108,MATCH(D30,'Borrowers'!$C$9:$C$108,0))),""),""))</x:f>
        <x:v>200</x:v>
      </x:c>
      <x:c r="L30" s="16"/>
      <x:c r="M30" s="8" t="str">
        <x:v>Current financials</x:v>
      </x:c>
      <x:c r="N30" s="21" t="n">
        <x:f>IF(C30="","",IF(F30="Corporate listed",IF(ISNUMBER(K30),K30,""),IF(OR(F30="Corporate private",F30="Project finance"),IF(AND(ISNUMBER(I30),ISNUMBER(J30)),MAX(I30,0)+J30,""),IF(OR(F30="CRE",F30="Mortgage",F30="Motor"),IF(ISNUMBER(L30),L30,""),""))))</x:f>
        <x:v>200</x:v>
      </x:c>
      <x:c r="O30" s="8" t="str">
        <x:v>SYN-INV-22</x:v>
      </x:c>
      <x:c r="P30" s="40" t="n">
        <x:v>46752</x:v>
      </x:c>
      <x:c r="Q30" s="8" t="str">
        <x:v>Reported verified</x:v>
      </x:c>
      <x:c r="R30" s="16" t="n">
        <x:v>4470</x:v>
      </x:c>
      <x:c r="S30" s="8" t="str">
        <x:v>Yes</x:v>
      </x:c>
      <x:c r="T30" s="23" t="n">
        <x:f>IF(V30="Ready",IF(Q30="Activity",SUMIFS('Activity Data'!$U$9:$U$308,'Activity Data'!$D$9:$D$308,C30,'Activity Data'!$F$9:$F$308,"S1"),R30),"")</x:f>
        <x:v>4470</x:v>
      </x:c>
      <x:c r="U30" s="44" t="n">
        <x:f>IF(V30&lt;&gt;"Ready","",IF(Q30="Reported verified",1,IF(Q30="Reported unverified",2,IF(F30="Motor",1,2))))</x:f>
        <x:v>1</x:v>
      </x:c>
      <x:c r="V30" s="9" t="str">
        <x:f>IF(C30="","",IF(Q30="Not assessed","Not assessed",IF(OR(O30="",NOT(ISNUMBER(H30)),NOT(ISNUMBER(P30))),"Evidence required",IF(OR(P30&lt;'Settings'!$F$8,H30&gt;'Settings'!$F$8,YEAR(H30)&lt;&gt;YEAR('Settings'!$F$8)),"Period / expiry review",IF(S30&lt;&gt;"Yes","Boundary incomplete",IF(OR(Q30="Reported verified",Q30="Reported unverified"),IF(NOT(OR(F30="Corporate private",F30="Corporate listed",F30="Project finance")),"Asset method required",IF(OR(NOT(ISNUMBER(R30)),R30&lt;0),"Reported value required","Ready")),IF(Q30="Activity",IF(AND(COUNTIFS('Activity Data'!$D$9:$D$308,C30,'Activity Data'!$F$9:$F$308,"S1")&gt;0,COUNTIFS('Activity Data'!$D$9:$D$308,C30,'Activity Data'!$F$9:$F$308,"S1")=COUNTIFS('Activity Data'!$D$9:$D$308,C30,'Activity Data'!$F$9:$F$308,"S1",'Activity Data'!$V$9:$V$308,"Ready")),"Ready","Activity incomplete"),"Method required")))))))</x:f>
        <x:v>Ready</x:v>
      </x:c>
      <x:c r="W30" s="8" t="str">
        <x:v>Reported verified</x:v>
      </x:c>
      <x:c r="X30" s="16" t="n">
        <x:v>3800</x:v>
      </x:c>
      <x:c r="Y30" s="8" t="str">
        <x:v>Yes</x:v>
      </x:c>
      <x:c r="Z30" s="23" t="n">
        <x:f>IF(AB30="Ready",IF(W30="Activity",SUMIFS('Activity Data'!$U$9:$U$308,'Activity Data'!$D$9:$D$308,C30,'Activity Data'!$F$9:$F$308,"S2"),X30),"")</x:f>
        <x:v>3800</x:v>
      </x:c>
      <x:c r="AA30" s="44" t="n">
        <x:f>IF(AB30&lt;&gt;"Ready","",IF(W30="Reported verified",1,IF(W30="Reported unverified",2,IF(F30="Motor",1,2))))</x:f>
        <x:v>1</x:v>
      </x:c>
      <x:c r="AB30" s="9" t="str">
        <x:f>IF(C30="","",IF(W30="Not assessed","Not assessed",IF(OR(O30="",NOT(ISNUMBER(H30)),NOT(ISNUMBER(P30))),"Evidence required",IF(OR(P30&lt;'Settings'!$F$8,H30&gt;'Settings'!$F$8,YEAR(H30)&lt;&gt;YEAR('Settings'!$F$8)),"Period / expiry review",IF(Y30&lt;&gt;"Yes","Boundary incomplete",IF(OR(AND(AC30&lt;&gt;"Location-based",AC30&lt;&gt;"Market-based"),AND(W30="Activity",AC30&lt;&gt;"Location-based")),"S2 basis mismatch",IF(OR(W30="Reported verified",W30="Reported unverified"),IF(NOT(OR(F30="Corporate private",F30="Corporate listed",F30="Project finance")),"Asset method required",IF(OR(NOT(ISNUMBER(X30)),X30&lt;0),"Reported value required","Ready")),IF(W30="Activity",IF(AND(COUNTIFS('Activity Data'!$D$9:$D$308,C30,'Activity Data'!$F$9:$F$308,"S2")&gt;0,COUNTIFS('Activity Data'!$D$9:$D$308,C30,'Activity Data'!$F$9:$F$308,"S2")=COUNTIFS('Activity Data'!$D$9:$D$308,C30,'Activity Data'!$F$9:$F$308,"S2",'Activity Data'!$V$9:$V$308,"Ready")),"Ready","Activity incomplete"),"Method required"))))))))</x:f>
        <x:v>Ready</x:v>
      </x:c>
      <x:c r="AC30" s="8" t="str">
        <x:v>Location-based</x:v>
      </x:c>
      <x:c r="AD30" s="8" t="str">
        <x:v>Not assessed</x:v>
      </x:c>
      <x:c r="AE30" s="16"/>
      <x:c r="AF30" s="8" t="str">
        <x:v>No</x:v>
      </x:c>
      <x:c r="AG30" s="23" t="str">
        <x:f>IF(AI30="Ready",IF(AD30="Activity",SUMIFS('Activity Data'!$U$9:$U$308,'Activity Data'!$D$9:$D$308,C30,'Activity Data'!$F$9:$F$308,"S3"),AE30),"")</x:f>
      </x:c>
      <x:c r="AH30" s="44" t="str">
        <x:f>IF(AI30&lt;&gt;"Ready","",IF(AD30="Reported verified",1,IF(AD30="Reported unverified",2,IF(F30="Motor",1,2))))</x:f>
      </x:c>
      <x:c r="AI30" s="9" t="str">
        <x:f>IF(C30="","",IF(AD30="Not assessed","Not assessed",IF(OR(O30="",NOT(ISNUMBER(H30)),NOT(ISNUMBER(P30))),"Evidence required",IF(OR(P30&lt;'Settings'!$F$8,H30&gt;'Settings'!$F$8,YEAR(H30)&lt;&gt;YEAR('Settings'!$F$8)),"Period / expiry review",IF(AF30&lt;&gt;"Yes","Boundary incomplete",IF(AM30="","S3 screening required",IF(OR(AD30="Reported verified",AD30="Reported unverified"),IF(NOT(OR(F30="Corporate private",F30="Corporate listed",F30="Project finance")),"Asset method required",IF(OR(NOT(ISNUMBER(AE30)),AE30&lt;0),"Reported value required","Ready")),"Scope 3 method required")))))))</x:f>
        <x:v>Not assessed</x:v>
      </x:c>
      <x:c r="AJ30" s="9" t="str">
        <x:f>IF(C30="","",IF(OR(F30="Corporate private",F30="Corporate listed"),IFERROR(IF(INDEX('Borrowers'!$X$9:$X$108,MATCH(D30,'Borrowers'!$C$9:$C$108,0))="","",INDEX('Borrowers'!$X$9:$X$108,MATCH(D30,'Borrowers'!$C$9:$C$108,0))),""),IF(AQ30="","",AQ30)))</x:f>
        <x:v>SYN-FIN-16</x:v>
      </x:c>
      <x:c r="AK30" s="43" t="n">
        <x:f>IF(C30="","",IF(OR(F30="Corporate private",F30="Corporate listed"),IFERROR(IF(INDEX('Borrowers'!$H$9:$H$108,MATCH(D30,'Borrowers'!$C$9:$C$108,0))="","",INDEX('Borrowers'!$H$9:$H$108,MATCH(D30,'Borrowers'!$C$9:$C$108,0))),""),IF(AR30="","",AR30)))</x:f>
        <x:v>46387</x:v>
      </x:c>
      <x:c r="AL30" s="9" t="str">
        <x:f>IF(C30="","",IF(COUNTIFS($C$9:$C$108,C30)&lt;&gt;1,"Duplicate entity ID",IF(COUNTIFS('Borrowers'!$C$9:$C$108,D30)&lt;&gt;1,"Borrower required",IF(AND(F30&lt;&gt;"Corporate private",F30&lt;&gt;"Corporate listed",F30&lt;&gt;"Project finance",F30&lt;&gt;"CRE",F30&lt;&gt;"Mortgage",F30&lt;&gt;"Motor"),"Method required",IF(OR(AND(F30="Corporate private",IFERROR(IF(INDEX('Borrowers'!$G$9:$G$108,MATCH(D30,'Borrowers'!$C$9:$C$108,0))="","",INDEX('Borrowers'!$G$9:$G$108,MATCH(D30,'Borrowers'!$C$9:$C$108,0))),"")&lt;&gt;"Private"),AND(F30="Corporate listed",IFERROR(IF(INDEX('Borrowers'!$G$9:$G$108,MATCH(D30,'Borrowers'!$C$9:$C$108,0))="","",INDEX('Borrowers'!$G$9:$G$108,MATCH(D30,'Borrowers'!$C$9:$C$108,0))),"")&lt;&gt;"Listed")),"Listing / class mismatch",IF(OR(NOT(ISNUMBER(N30)),N30&lt;=0,AJ30="",NOT(ISNUMBER(AK30))),"Value evidence required",IF(AND(OR(F30="Corporate private",F30="Corporate listed"),IFERROR(IF(INDEX('Borrowers'!$Y$9:$Y$108,MATCH(D30,'Borrowers'!$C$9:$C$108,0))="","",INDEX('Borrowers'!$Y$9:$Y$108,MATCH(D30,'Borrowers'!$C$9:$C$108,0))),"")&lt;'Settings'!$F$8),"Expired financial evidence",IF(AK30&gt;'Settings'!$F$8,"Future value date",IF(OR(AND(OR(F30="Corporate private",F30="Project finance"),OR(J30&lt;0,M30&lt;&gt;"Current financials")),AND(F30="Corporate listed",M30&lt;&gt;"Current financials"),AND(OR(F30="CRE",F30="Mortgage",F30="Motor"),AND(M30&lt;&gt;"Origination",M30&lt;&gt;"Fixed fallback"))),"Value basis review",IF(AND(M30="Current financials",YEAR(AK30)&lt;&gt;YEAR('Settings'!$F$8)),"Stale financial period","Ready"))))))))))</x:f>
        <x:v>Ready</x:v>
      </x:c>
      <x:c r="AM30" s="8" t="str"/>
      <x:c r="AN30" s="8" t="str">
        <x:v>Single boundary</x:v>
      </x:c>
      <x:c r="AO30" s="16"/>
      <x:c r="AP30" s="16"/>
      <x:c r="AQ30" s="8"/>
      <x:c r="AR30" s="40"/>
    </x:row>
    <x:row r="31" ht="40" customHeight="1">
      <x:c r="A31" s="1"/>
      <x:c r="B31" s="1"/>
      <x:c r="C31" s="8" t="str">
        <x:v>B017</x:v>
      </x:c>
      <x:c r="D31" s="8" t="str">
        <x:v>B017</x:v>
      </x:c>
      <x:c r="E31" s="8" t="str">
        <x:v>Demo Marina Properties</x:v>
      </x:c>
      <x:c r="F31" s="8" t="str">
        <x:v>Corporate private</x:v>
      </x:c>
      <x:c r="G31" s="9" t="str">
        <x:f>IF(C31="","",IFERROR(IF(INDEX('Borrowers'!$E$9:$E$108,MATCH(D31,'Borrowers'!$C$9:$C$108,0))="","",INDEX('Borrowers'!$E$9:$E$108,MATCH(D31,'Borrowers'!$C$9:$C$108,0))),""))</x:f>
        <x:v>UAE</x:v>
      </x:c>
      <x:c r="H31" s="40" t="n">
        <x:v>46387</x:v>
      </x:c>
      <x:c r="I31" s="23" t="n">
        <x:f>IF(C31="","",IF(OR(F31="Corporate private",F31="Corporate listed"),IFERROR(IF(INDEX('Borrowers'!$M$9:$M$108,MATCH(D31,'Borrowers'!$C$9:$C$108,0))="","",INDEX('Borrowers'!$M$9:$M$108,MATCH(D31,'Borrowers'!$C$9:$C$108,0))),""),IF(F31="Project finance",IF(ISNUMBER(AO31),AO31,""),"")))</x:f>
        <x:v>88</x:v>
      </x:c>
      <x:c r="J31" s="23" t="n">
        <x:f>IF(C31="","",IF(OR(F31="Corporate private",F31="Corporate listed"),IFERROR(IF(INDEX('Borrowers'!$N$9:$N$108,MATCH(D31,'Borrowers'!$C$9:$C$108,0))="","",INDEX('Borrowers'!$N$9:$N$108,MATCH(D31,'Borrowers'!$C$9:$C$108,0))),""),IF(F31="Project finance",IF(ISNUMBER(AP31),AP31,""),"")))</x:f>
        <x:v>57</x:v>
      </x:c>
      <x:c r="K31" s="23" t="str">
        <x:f>IF(C31="","",IF(F31="Corporate listed",IFERROR(IF(INDEX('Borrowers'!$O$9:$O$108,MATCH(D31,'Borrowers'!$C$9:$C$108,0))="","",INDEX('Borrowers'!$O$9:$O$108,MATCH(D31,'Borrowers'!$C$9:$C$108,0))),""),""))</x:f>
      </x:c>
      <x:c r="L31" s="16"/>
      <x:c r="M31" s="8" t="str">
        <x:v>Current financials</x:v>
      </x:c>
      <x:c r="N31" s="21" t="n">
        <x:f>IF(C31="","",IF(F31="Corporate listed",IF(ISNUMBER(K31),K31,""),IF(OR(F31="Corporate private",F31="Project finance"),IF(AND(ISNUMBER(I31),ISNUMBER(J31)),MAX(I31,0)+J31,""),IF(OR(F31="CRE",F31="Mortgage",F31="Motor"),IF(ISNUMBER(L31),L31,""),""))))</x:f>
        <x:v>145</x:v>
      </x:c>
      <x:c r="O31" s="8" t="str">
        <x:v>SYN-INV-23</x:v>
      </x:c>
      <x:c r="P31" s="40" t="n">
        <x:v>46752</x:v>
      </x:c>
      <x:c r="Q31" s="8" t="str">
        <x:v>Activity</x:v>
      </x:c>
      <x:c r="R31" s="16"/>
      <x:c r="S31" s="8" t="str">
        <x:v>Yes</x:v>
      </x:c>
      <x:c r="T31" s="23" t="n">
        <x:f>IF(V31="Ready",IF(Q31="Activity",SUMIFS('Activity Data'!$U$9:$U$308,'Activity Data'!$D$9:$D$308,C31,'Activity Data'!$F$9:$F$308,"S1"),R31),"")</x:f>
        <x:v>2103.8</x:v>
      </x:c>
      <x:c r="U31" s="44" t="n">
        <x:f>IF(V31&lt;&gt;"Ready","",IF(Q31="Reported verified",1,IF(Q31="Reported unverified",2,IF(F31="Motor",1,2))))</x:f>
        <x:v>2</x:v>
      </x:c>
      <x:c r="V31" s="9" t="str">
        <x:f>IF(C31="","",IF(Q31="Not assessed","Not assessed",IF(OR(O31="",NOT(ISNUMBER(H31)),NOT(ISNUMBER(P31))),"Evidence required",IF(OR(P31&lt;'Settings'!$F$8,H31&gt;'Settings'!$F$8,YEAR(H31)&lt;&gt;YEAR('Settings'!$F$8)),"Period / expiry review",IF(S31&lt;&gt;"Yes","Boundary incomplete",IF(OR(Q31="Reported verified",Q31="Reported unverified"),IF(NOT(OR(F31="Corporate private",F31="Corporate listed",F31="Project finance")),"Asset method required",IF(OR(NOT(ISNUMBER(R31)),R31&lt;0),"Reported value required","Ready")),IF(Q31="Activity",IF(AND(COUNTIFS('Activity Data'!$D$9:$D$308,C31,'Activity Data'!$F$9:$F$308,"S1")&gt;0,COUNTIFS('Activity Data'!$D$9:$D$308,C31,'Activity Data'!$F$9:$F$308,"S1")=COUNTIFS('Activity Data'!$D$9:$D$308,C31,'Activity Data'!$F$9:$F$308,"S1",'Activity Data'!$V$9:$V$308,"Ready")),"Ready","Activity incomplete"),"Method required")))))))</x:f>
        <x:v>Ready</x:v>
      </x:c>
      <x:c r="W31" s="8" t="str">
        <x:v>Activity</x:v>
      </x:c>
      <x:c r="X31" s="16"/>
      <x:c r="Y31" s="8" t="str">
        <x:v>Yes</x:v>
      </x:c>
      <x:c r="Z31" s="23" t="n">
        <x:f>IF(AB31="Ready",IF(W31="Activity",SUMIFS('Activity Data'!$U$9:$U$308,'Activity Data'!$D$9:$D$308,C31,'Activity Data'!$F$9:$F$308,"S2"),X31),"")</x:f>
        <x:v>1179.75</x:v>
      </x:c>
      <x:c r="AA31" s="44" t="n">
        <x:f>IF(AB31&lt;&gt;"Ready","",IF(W31="Reported verified",1,IF(W31="Reported unverified",2,IF(F31="Motor",1,2))))</x:f>
        <x:v>2</x:v>
      </x:c>
      <x:c r="AB31" s="9" t="str">
        <x:f>IF(C31="","",IF(W31="Not assessed","Not assessed",IF(OR(O31="",NOT(ISNUMBER(H31)),NOT(ISNUMBER(P31))),"Evidence required",IF(OR(P31&lt;'Settings'!$F$8,H31&gt;'Settings'!$F$8,YEAR(H31)&lt;&gt;YEAR('Settings'!$F$8)),"Period / expiry review",IF(Y31&lt;&gt;"Yes","Boundary incomplete",IF(OR(AND(AC31&lt;&gt;"Location-based",AC31&lt;&gt;"Market-based"),AND(W31="Activity",AC31&lt;&gt;"Location-based")),"S2 basis mismatch",IF(OR(W31="Reported verified",W31="Reported unverified"),IF(NOT(OR(F31="Corporate private",F31="Corporate listed",F31="Project finance")),"Asset method required",IF(OR(NOT(ISNUMBER(X31)),X31&lt;0),"Reported value required","Ready")),IF(W31="Activity",IF(AND(COUNTIFS('Activity Data'!$D$9:$D$308,C31,'Activity Data'!$F$9:$F$308,"S2")&gt;0,COUNTIFS('Activity Data'!$D$9:$D$308,C31,'Activity Data'!$F$9:$F$308,"S2")=COUNTIFS('Activity Data'!$D$9:$D$308,C31,'Activity Data'!$F$9:$F$308,"S2",'Activity Data'!$V$9:$V$308,"Ready")),"Ready","Activity incomplete"),"Method required"))))))))</x:f>
        <x:v>Ready</x:v>
      </x:c>
      <x:c r="AC31" s="8" t="str">
        <x:v>Location-based</x:v>
      </x:c>
      <x:c r="AD31" s="8" t="str">
        <x:v>Reported unverified</x:v>
      </x:c>
      <x:c r="AE31" s="16" t="n">
        <x:v>23600</x:v>
      </x:c>
      <x:c r="AF31" s="8" t="str">
        <x:v>Yes</x:v>
      </x:c>
      <x:c r="AG31" s="23" t="n">
        <x:f>IF(AI31="Ready",IF(AD31="Activity",SUMIFS('Activity Data'!$U$9:$U$308,'Activity Data'!$D$9:$D$308,C31,'Activity Data'!$F$9:$F$308,"S3"),AE31),"")</x:f>
        <x:v>23600</x:v>
      </x:c>
      <x:c r="AH31" s="44" t="n">
        <x:f>IF(AI31&lt;&gt;"Ready","",IF(AD31="Reported verified",1,IF(AD31="Reported unverified",2,IF(F31="Motor",1,2))))</x:f>
        <x:v>2</x:v>
      </x:c>
      <x:c r="AI31" s="9" t="str">
        <x:f>IF(C31="","",IF(AD31="Not assessed","Not assessed",IF(OR(O31="",NOT(ISNUMBER(H31)),NOT(ISNUMBER(P31))),"Evidence required",IF(OR(P31&lt;'Settings'!$F$8,H31&gt;'Settings'!$F$8,YEAR(H31)&lt;&gt;YEAR('Settings'!$F$8)),"Period / expiry review",IF(AF31&lt;&gt;"Yes","Boundary incomplete",IF(AM31="","S3 screening required",IF(OR(AD31="Reported verified",AD31="Reported unverified"),IF(NOT(OR(F31="Corporate private",F31="Corporate listed",F31="Project finance")),"Asset method required",IF(OR(NOT(ISNUMBER(AE31)),AE31&lt;0),"Reported value required","Ready")),"Scope 3 method required")))))))</x:f>
        <x:v>Ready</x:v>
      </x:c>
      <x:c r="AJ31" s="9" t="str">
        <x:f>IF(C31="","",IF(OR(F31="Corporate private",F31="Corporate listed"),IFERROR(IF(INDEX('Borrowers'!$X$9:$X$108,MATCH(D31,'Borrowers'!$C$9:$C$108,0))="","",INDEX('Borrowers'!$X$9:$X$108,MATCH(D31,'Borrowers'!$C$9:$C$108,0))),""),IF(AQ31="","",AQ31)))</x:f>
        <x:v>SYN-FIN-17</x:v>
      </x:c>
      <x:c r="AK31" s="43" t="n">
        <x:f>IF(C31="","",IF(OR(F31="Corporate private",F31="Corporate listed"),IFERROR(IF(INDEX('Borrowers'!$H$9:$H$108,MATCH(D31,'Borrowers'!$C$9:$C$108,0))="","",INDEX('Borrowers'!$H$9:$H$108,MATCH(D31,'Borrowers'!$C$9:$C$108,0))),""),IF(AR31="","",AR31)))</x:f>
        <x:v>46387</x:v>
      </x:c>
      <x:c r="AL31" s="9" t="str">
        <x:f>IF(C31="","",IF(COUNTIFS($C$9:$C$108,C31)&lt;&gt;1,"Duplicate entity ID",IF(COUNTIFS('Borrowers'!$C$9:$C$108,D31)&lt;&gt;1,"Borrower required",IF(AND(F31&lt;&gt;"Corporate private",F31&lt;&gt;"Corporate listed",F31&lt;&gt;"Project finance",F31&lt;&gt;"CRE",F31&lt;&gt;"Mortgage",F31&lt;&gt;"Motor"),"Method required",IF(OR(AND(F31="Corporate private",IFERROR(IF(INDEX('Borrowers'!$G$9:$G$108,MATCH(D31,'Borrowers'!$C$9:$C$108,0))="","",INDEX('Borrowers'!$G$9:$G$108,MATCH(D31,'Borrowers'!$C$9:$C$108,0))),"")&lt;&gt;"Private"),AND(F31="Corporate listed",IFERROR(IF(INDEX('Borrowers'!$G$9:$G$108,MATCH(D31,'Borrowers'!$C$9:$C$108,0))="","",INDEX('Borrowers'!$G$9:$G$108,MATCH(D31,'Borrowers'!$C$9:$C$108,0))),"")&lt;&gt;"Listed")),"Listing / class mismatch",IF(OR(NOT(ISNUMBER(N31)),N31&lt;=0,AJ31="",NOT(ISNUMBER(AK31))),"Value evidence required",IF(AND(OR(F31="Corporate private",F31="Corporate listed"),IFERROR(IF(INDEX('Borrowers'!$Y$9:$Y$108,MATCH(D31,'Borrowers'!$C$9:$C$108,0))="","",INDEX('Borrowers'!$Y$9:$Y$108,MATCH(D31,'Borrowers'!$C$9:$C$108,0))),"")&lt;'Settings'!$F$8),"Expired financial evidence",IF(AK31&gt;'Settings'!$F$8,"Future value date",IF(OR(AND(OR(F31="Corporate private",F31="Project finance"),OR(J31&lt;0,M31&lt;&gt;"Current financials")),AND(F31="Corporate listed",M31&lt;&gt;"Current financials"),AND(OR(F31="CRE",F31="Mortgage",F31="Motor"),AND(M31&lt;&gt;"Origination",M31&lt;&gt;"Fixed fallback"))),"Value basis review",IF(AND(M31="Current financials",YEAR(AK31)&lt;&gt;YEAR('Settings'!$F$8)),"Stale financial period","Ready"))))))))))</x:f>
        <x:v>Ready</x:v>
      </x:c>
      <x:c r="AM31" s="8" t="str">
        <x:v>SYN-S3-SCREEN-23</x:v>
      </x:c>
      <x:c r="AN31" s="8" t="str">
        <x:v>Single boundary</x:v>
      </x:c>
      <x:c r="AO31" s="16"/>
      <x:c r="AP31" s="16"/>
      <x:c r="AQ31" s="8"/>
      <x:c r="AR31" s="40"/>
    </x:row>
    <x:row r="32" ht="40" customHeight="1">
      <x:c r="A32" s="1"/>
      <x:c r="B32" s="1"/>
      <x:c r="C32" s="8" t="str">
        <x:v>B018</x:v>
      </x:c>
      <x:c r="D32" s="8" t="str">
        <x:v>B018</x:v>
      </x:c>
      <x:c r="E32" s="8" t="str">
        <x:v>Demo Gulf Hospitality</x:v>
      </x:c>
      <x:c r="F32" s="8" t="str">
        <x:v>Corporate private</x:v>
      </x:c>
      <x:c r="G32" s="9" t="str">
        <x:f>IF(C32="","",IFERROR(IF(INDEX('Borrowers'!$E$9:$E$108,MATCH(D32,'Borrowers'!$C$9:$C$108,0))="","",INDEX('Borrowers'!$E$9:$E$108,MATCH(D32,'Borrowers'!$C$9:$C$108,0))),""))</x:f>
        <x:v>UAE</x:v>
      </x:c>
      <x:c r="H32" s="40" t="n">
        <x:v>46387</x:v>
      </x:c>
      <x:c r="I32" s="23" t="n">
        <x:f>IF(C32="","",IF(OR(F32="Corporate private",F32="Corporate listed"),IFERROR(IF(INDEX('Borrowers'!$M$9:$M$108,MATCH(D32,'Borrowers'!$C$9:$C$108,0))="","",INDEX('Borrowers'!$M$9:$M$108,MATCH(D32,'Borrowers'!$C$9:$C$108,0))),""),IF(F32="Project finance",IF(ISNUMBER(AO32),AO32,""),"")))</x:f>
        <x:v>91</x:v>
      </x:c>
      <x:c r="J32" s="23" t="n">
        <x:f>IF(C32="","",IF(OR(F32="Corporate private",F32="Corporate listed"),IFERROR(IF(INDEX('Borrowers'!$N$9:$N$108,MATCH(D32,'Borrowers'!$C$9:$C$108,0))="","",INDEX('Borrowers'!$N$9:$N$108,MATCH(D32,'Borrowers'!$C$9:$C$108,0))),""),IF(F32="Project finance",IF(ISNUMBER(AP32),AP32,""),"")))</x:f>
        <x:v>59</x:v>
      </x:c>
      <x:c r="K32" s="23" t="str">
        <x:f>IF(C32="","",IF(F32="Corporate listed",IFERROR(IF(INDEX('Borrowers'!$O$9:$O$108,MATCH(D32,'Borrowers'!$C$9:$C$108,0))="","",INDEX('Borrowers'!$O$9:$O$108,MATCH(D32,'Borrowers'!$C$9:$C$108,0))),""),""))</x:f>
      </x:c>
      <x:c r="L32" s="16"/>
      <x:c r="M32" s="8" t="str">
        <x:v>Current financials</x:v>
      </x:c>
      <x:c r="N32" s="21" t="n">
        <x:f>IF(C32="","",IF(F32="Corporate listed",IF(ISNUMBER(K32),K32,""),IF(OR(F32="Corporate private",F32="Project finance"),IF(AND(ISNUMBER(I32),ISNUMBER(J32)),MAX(I32,0)+J32,""),IF(OR(F32="CRE",F32="Mortgage",F32="Motor"),IF(ISNUMBER(L32),L32,""),""))))</x:f>
        <x:v>150</x:v>
      </x:c>
      <x:c r="O32" s="8" t="str">
        <x:v>SYN-INV-24</x:v>
      </x:c>
      <x:c r="P32" s="40" t="n">
        <x:v>46752</x:v>
      </x:c>
      <x:c r="Q32" s="8" t="str">
        <x:v>Reported unverified</x:v>
      </x:c>
      <x:c r="R32" s="16" t="n">
        <x:v>4810</x:v>
      </x:c>
      <x:c r="S32" s="8" t="str">
        <x:v>Yes</x:v>
      </x:c>
      <x:c r="T32" s="23" t="n">
        <x:f>IF(V32="Ready",IF(Q32="Activity",SUMIFS('Activity Data'!$U$9:$U$308,'Activity Data'!$D$9:$D$308,C32,'Activity Data'!$F$9:$F$308,"S1"),R32),"")</x:f>
        <x:v>4810</x:v>
      </x:c>
      <x:c r="U32" s="44" t="n">
        <x:f>IF(V32&lt;&gt;"Ready","",IF(Q32="Reported verified",1,IF(Q32="Reported unverified",2,IF(F32="Motor",1,2))))</x:f>
        <x:v>2</x:v>
      </x:c>
      <x:c r="V32" s="9" t="str">
        <x:f>IF(C32="","",IF(Q32="Not assessed","Not assessed",IF(OR(O32="",NOT(ISNUMBER(H32)),NOT(ISNUMBER(P32))),"Evidence required",IF(OR(P32&lt;'Settings'!$F$8,H32&gt;'Settings'!$F$8,YEAR(H32)&lt;&gt;YEAR('Settings'!$F$8)),"Period / expiry review",IF(S32&lt;&gt;"Yes","Boundary incomplete",IF(OR(Q32="Reported verified",Q32="Reported unverified"),IF(NOT(OR(F32="Corporate private",F32="Corporate listed",F32="Project finance")),"Asset method required",IF(OR(NOT(ISNUMBER(R32)),R32&lt;0),"Reported value required","Ready")),IF(Q32="Activity",IF(AND(COUNTIFS('Activity Data'!$D$9:$D$308,C32,'Activity Data'!$F$9:$F$308,"S1")&gt;0,COUNTIFS('Activity Data'!$D$9:$D$308,C32,'Activity Data'!$F$9:$F$308,"S1")=COUNTIFS('Activity Data'!$D$9:$D$308,C32,'Activity Data'!$F$9:$F$308,"S1",'Activity Data'!$V$9:$V$308,"Ready")),"Ready","Activity incomplete"),"Method required")))))))</x:f>
        <x:v>Ready</x:v>
      </x:c>
      <x:c r="W32" s="8" t="str">
        <x:v>Reported unverified</x:v>
      </x:c>
      <x:c r="X32" s="16" t="n">
        <x:v>4000</x:v>
      </x:c>
      <x:c r="Y32" s="8" t="str">
        <x:v>Yes</x:v>
      </x:c>
      <x:c r="Z32" s="23" t="n">
        <x:f>IF(AB32="Ready",IF(W32="Activity",SUMIFS('Activity Data'!$U$9:$U$308,'Activity Data'!$D$9:$D$308,C32,'Activity Data'!$F$9:$F$308,"S2"),X32),"")</x:f>
        <x:v>4000</x:v>
      </x:c>
      <x:c r="AA32" s="44" t="n">
        <x:f>IF(AB32&lt;&gt;"Ready","",IF(W32="Reported verified",1,IF(W32="Reported unverified",2,IF(F32="Motor",1,2))))</x:f>
        <x:v>2</x:v>
      </x:c>
      <x:c r="AB32" s="9" t="str">
        <x:f>IF(C32="","",IF(W32="Not assessed","Not assessed",IF(OR(O32="",NOT(ISNUMBER(H32)),NOT(ISNUMBER(P32))),"Evidence required",IF(OR(P32&lt;'Settings'!$F$8,H32&gt;'Settings'!$F$8,YEAR(H32)&lt;&gt;YEAR('Settings'!$F$8)),"Period / expiry review",IF(Y32&lt;&gt;"Yes","Boundary incomplete",IF(OR(AND(AC32&lt;&gt;"Location-based",AC32&lt;&gt;"Market-based"),AND(W32="Activity",AC32&lt;&gt;"Location-based")),"S2 basis mismatch",IF(OR(W32="Reported verified",W32="Reported unverified"),IF(NOT(OR(F32="Corporate private",F32="Corporate listed",F32="Project finance")),"Asset method required",IF(OR(NOT(ISNUMBER(X32)),X32&lt;0),"Reported value required","Ready")),IF(W32="Activity",IF(AND(COUNTIFS('Activity Data'!$D$9:$D$308,C32,'Activity Data'!$F$9:$F$308,"S2")&gt;0,COUNTIFS('Activity Data'!$D$9:$D$308,C32,'Activity Data'!$F$9:$F$308,"S2")=COUNTIFS('Activity Data'!$D$9:$D$308,C32,'Activity Data'!$F$9:$F$308,"S2",'Activity Data'!$V$9:$V$308,"Ready")),"Ready","Activity incomplete"),"Method required"))))))))</x:f>
        <x:v>Ready</x:v>
      </x:c>
      <x:c r="AC32" s="8" t="str">
        <x:v>Location-based</x:v>
      </x:c>
      <x:c r="AD32" s="8" t="str">
        <x:v>Reported unverified</x:v>
      </x:c>
      <x:c r="AE32" s="16" t="n">
        <x:v>24400</x:v>
      </x:c>
      <x:c r="AF32" s="8" t="str">
        <x:v>Yes</x:v>
      </x:c>
      <x:c r="AG32" s="23" t="n">
        <x:f>IF(AI32="Ready",IF(AD32="Activity",SUMIFS('Activity Data'!$U$9:$U$308,'Activity Data'!$D$9:$D$308,C32,'Activity Data'!$F$9:$F$308,"S3"),AE32),"")</x:f>
        <x:v>24400</x:v>
      </x:c>
      <x:c r="AH32" s="44" t="n">
        <x:f>IF(AI32&lt;&gt;"Ready","",IF(AD32="Reported verified",1,IF(AD32="Reported unverified",2,IF(F32="Motor",1,2))))</x:f>
        <x:v>2</x:v>
      </x:c>
      <x:c r="AI32" s="9" t="str">
        <x:f>IF(C32="","",IF(AD32="Not assessed","Not assessed",IF(OR(O32="",NOT(ISNUMBER(H32)),NOT(ISNUMBER(P32))),"Evidence required",IF(OR(P32&lt;'Settings'!$F$8,H32&gt;'Settings'!$F$8,YEAR(H32)&lt;&gt;YEAR('Settings'!$F$8)),"Period / expiry review",IF(AF32&lt;&gt;"Yes","Boundary incomplete",IF(AM32="","S3 screening required",IF(OR(AD32="Reported verified",AD32="Reported unverified"),IF(NOT(OR(F32="Corporate private",F32="Corporate listed",F32="Project finance")),"Asset method required",IF(OR(NOT(ISNUMBER(AE32)),AE32&lt;0),"Reported value required","Ready")),"Scope 3 method required")))))))</x:f>
        <x:v>Ready</x:v>
      </x:c>
      <x:c r="AJ32" s="9" t="str">
        <x:f>IF(C32="","",IF(OR(F32="Corporate private",F32="Corporate listed"),IFERROR(IF(INDEX('Borrowers'!$X$9:$X$108,MATCH(D32,'Borrowers'!$C$9:$C$108,0))="","",INDEX('Borrowers'!$X$9:$X$108,MATCH(D32,'Borrowers'!$C$9:$C$108,0))),""),IF(AQ32="","",AQ32)))</x:f>
        <x:v>SYN-FIN-18</x:v>
      </x:c>
      <x:c r="AK32" s="43" t="n">
        <x:f>IF(C32="","",IF(OR(F32="Corporate private",F32="Corporate listed"),IFERROR(IF(INDEX('Borrowers'!$H$9:$H$108,MATCH(D32,'Borrowers'!$C$9:$C$108,0))="","",INDEX('Borrowers'!$H$9:$H$108,MATCH(D32,'Borrowers'!$C$9:$C$108,0))),""),IF(AR32="","",AR32)))</x:f>
        <x:v>46387</x:v>
      </x:c>
      <x:c r="AL32" s="9" t="str">
        <x:f>IF(C32="","",IF(COUNTIFS($C$9:$C$108,C32)&lt;&gt;1,"Duplicate entity ID",IF(COUNTIFS('Borrowers'!$C$9:$C$108,D32)&lt;&gt;1,"Borrower required",IF(AND(F32&lt;&gt;"Corporate private",F32&lt;&gt;"Corporate listed",F32&lt;&gt;"Project finance",F32&lt;&gt;"CRE",F32&lt;&gt;"Mortgage",F32&lt;&gt;"Motor"),"Method required",IF(OR(AND(F32="Corporate private",IFERROR(IF(INDEX('Borrowers'!$G$9:$G$108,MATCH(D32,'Borrowers'!$C$9:$C$108,0))="","",INDEX('Borrowers'!$G$9:$G$108,MATCH(D32,'Borrowers'!$C$9:$C$108,0))),"")&lt;&gt;"Private"),AND(F32="Corporate listed",IFERROR(IF(INDEX('Borrowers'!$G$9:$G$108,MATCH(D32,'Borrowers'!$C$9:$C$108,0))="","",INDEX('Borrowers'!$G$9:$G$108,MATCH(D32,'Borrowers'!$C$9:$C$108,0))),"")&lt;&gt;"Listed")),"Listing / class mismatch",IF(OR(NOT(ISNUMBER(N32)),N32&lt;=0,AJ32="",NOT(ISNUMBER(AK32))),"Value evidence required",IF(AND(OR(F32="Corporate private",F32="Corporate listed"),IFERROR(IF(INDEX('Borrowers'!$Y$9:$Y$108,MATCH(D32,'Borrowers'!$C$9:$C$108,0))="","",INDEX('Borrowers'!$Y$9:$Y$108,MATCH(D32,'Borrowers'!$C$9:$C$108,0))),"")&lt;'Settings'!$F$8),"Expired financial evidence",IF(AK32&gt;'Settings'!$F$8,"Future value date",IF(OR(AND(OR(F32="Corporate private",F32="Project finance"),OR(J32&lt;0,M32&lt;&gt;"Current financials")),AND(F32="Corporate listed",M32&lt;&gt;"Current financials"),AND(OR(F32="CRE",F32="Mortgage",F32="Motor"),AND(M32&lt;&gt;"Origination",M32&lt;&gt;"Fixed fallback"))),"Value basis review",IF(AND(M32="Current financials",YEAR(AK32)&lt;&gt;YEAR('Settings'!$F$8)),"Stale financial period","Ready"))))))))))</x:f>
        <x:v>Ready</x:v>
      </x:c>
      <x:c r="AM32" s="8" t="str">
        <x:v>SYN-S3-SCREEN-24</x:v>
      </x:c>
      <x:c r="AN32" s="8" t="str">
        <x:v>Single boundary</x:v>
      </x:c>
      <x:c r="AO32" s="16"/>
      <x:c r="AP32" s="16"/>
      <x:c r="AQ32" s="8"/>
      <x:c r="AR32" s="40"/>
    </x:row>
    <x:row r="33" ht="40" customHeight="1">
      <x:c r="A33" s="1"/>
      <x:c r="B33" s="1"/>
      <x:c r="C33" s="8" t="str">
        <x:v>B019</x:v>
      </x:c>
      <x:c r="D33" s="8" t="str">
        <x:v>B019</x:v>
      </x:c>
      <x:c r="E33" s="8" t="str">
        <x:v>Demo Nile Textiles</x:v>
      </x:c>
      <x:c r="F33" s="8" t="str">
        <x:v>Corporate private</x:v>
      </x:c>
      <x:c r="G33" s="9" t="str">
        <x:f>IF(C33="","",IFERROR(IF(INDEX('Borrowers'!$E$9:$E$108,MATCH(D33,'Borrowers'!$C$9:$C$108,0))="","",INDEX('Borrowers'!$E$9:$E$108,MATCH(D33,'Borrowers'!$C$9:$C$108,0))),""))</x:f>
        <x:v>Egypt</x:v>
      </x:c>
      <x:c r="H33" s="40" t="n">
        <x:v>46387</x:v>
      </x:c>
      <x:c r="I33" s="23" t="n">
        <x:f>IF(C33="","",IF(OR(F33="Corporate private",F33="Corporate listed"),IFERROR(IF(INDEX('Borrowers'!$M$9:$M$108,MATCH(D33,'Borrowers'!$C$9:$C$108,0))="","",INDEX('Borrowers'!$M$9:$M$108,MATCH(D33,'Borrowers'!$C$9:$C$108,0))),""),IF(F33="Project finance",IF(ISNUMBER(AO33),AO33,""),"")))</x:f>
        <x:v>94</x:v>
      </x:c>
      <x:c r="J33" s="23" t="n">
        <x:f>IF(C33="","",IF(OR(F33="Corporate private",F33="Corporate listed"),IFERROR(IF(INDEX('Borrowers'!$N$9:$N$108,MATCH(D33,'Borrowers'!$C$9:$C$108,0))="","",INDEX('Borrowers'!$N$9:$N$108,MATCH(D33,'Borrowers'!$C$9:$C$108,0))),""),IF(F33="Project finance",IF(ISNUMBER(AP33),AP33,""),"")))</x:f>
        <x:v>61</x:v>
      </x:c>
      <x:c r="K33" s="23" t="str">
        <x:f>IF(C33="","",IF(F33="Corporate listed",IFERROR(IF(INDEX('Borrowers'!$O$9:$O$108,MATCH(D33,'Borrowers'!$C$9:$C$108,0))="","",INDEX('Borrowers'!$O$9:$O$108,MATCH(D33,'Borrowers'!$C$9:$C$108,0))),""),""))</x:f>
      </x:c>
      <x:c r="L33" s="16"/>
      <x:c r="M33" s="8" t="str">
        <x:v>Current financials</x:v>
      </x:c>
      <x:c r="N33" s="21" t="n">
        <x:f>IF(C33="","",IF(F33="Corporate listed",IF(ISNUMBER(K33),K33,""),IF(OR(F33="Corporate private",F33="Project finance"),IF(AND(ISNUMBER(I33),ISNUMBER(J33)),MAX(I33,0)+J33,""),IF(OR(F33="CRE",F33="Mortgage",F33="Motor"),IF(ISNUMBER(L33),L33,""),""))))</x:f>
        <x:v>155</x:v>
      </x:c>
      <x:c r="O33" s="8" t="str">
        <x:v>SYN-INV-25</x:v>
      </x:c>
      <x:c r="P33" s="40" t="n">
        <x:v>46752</x:v>
      </x:c>
      <x:c r="Q33" s="8" t="str">
        <x:v>Reported verified</x:v>
      </x:c>
      <x:c r="R33" s="16" t="n">
        <x:v>4980</x:v>
      </x:c>
      <x:c r="S33" s="8" t="str">
        <x:v>Yes</x:v>
      </x:c>
      <x:c r="T33" s="23" t="n">
        <x:f>IF(V33="Ready",IF(Q33="Activity",SUMIFS('Activity Data'!$U$9:$U$308,'Activity Data'!$D$9:$D$308,C33,'Activity Data'!$F$9:$F$308,"S1"),R33),"")</x:f>
        <x:v>4980</x:v>
      </x:c>
      <x:c r="U33" s="44" t="n">
        <x:f>IF(V33&lt;&gt;"Ready","",IF(Q33="Reported verified",1,IF(Q33="Reported unverified",2,IF(F33="Motor",1,2))))</x:f>
        <x:v>1</x:v>
      </x:c>
      <x:c r="V33" s="9" t="str">
        <x:f>IF(C33="","",IF(Q33="Not assessed","Not assessed",IF(OR(O33="",NOT(ISNUMBER(H33)),NOT(ISNUMBER(P33))),"Evidence required",IF(OR(P33&lt;'Settings'!$F$8,H33&gt;'Settings'!$F$8,YEAR(H33)&lt;&gt;YEAR('Settings'!$F$8)),"Period / expiry review",IF(S33&lt;&gt;"Yes","Boundary incomplete",IF(OR(Q33="Reported verified",Q33="Reported unverified"),IF(NOT(OR(F33="Corporate private",F33="Corporate listed",F33="Project finance")),"Asset method required",IF(OR(NOT(ISNUMBER(R33)),R33&lt;0),"Reported value required","Ready")),IF(Q33="Activity",IF(AND(COUNTIFS('Activity Data'!$D$9:$D$308,C33,'Activity Data'!$F$9:$F$308,"S1")&gt;0,COUNTIFS('Activity Data'!$D$9:$D$308,C33,'Activity Data'!$F$9:$F$308,"S1")=COUNTIFS('Activity Data'!$D$9:$D$308,C33,'Activity Data'!$F$9:$F$308,"S1",'Activity Data'!$V$9:$V$308,"Ready")),"Ready","Activity incomplete"),"Method required")))))))</x:f>
        <x:v>Ready</x:v>
      </x:c>
      <x:c r="W33" s="8" t="str">
        <x:v>Reported verified</x:v>
      </x:c>
      <x:c r="X33" s="16" t="n">
        <x:v>4100</x:v>
      </x:c>
      <x:c r="Y33" s="8" t="str">
        <x:v>Yes</x:v>
      </x:c>
      <x:c r="Z33" s="23" t="n">
        <x:f>IF(AB33="Ready",IF(W33="Activity",SUMIFS('Activity Data'!$U$9:$U$308,'Activity Data'!$D$9:$D$308,C33,'Activity Data'!$F$9:$F$308,"S2"),X33),"")</x:f>
        <x:v>4100</x:v>
      </x:c>
      <x:c r="AA33" s="44" t="n">
        <x:f>IF(AB33&lt;&gt;"Ready","",IF(W33="Reported verified",1,IF(W33="Reported unverified",2,IF(F33="Motor",1,2))))</x:f>
        <x:v>1</x:v>
      </x:c>
      <x:c r="AB33" s="9" t="str">
        <x:f>IF(C33="","",IF(W33="Not assessed","Not assessed",IF(OR(O33="",NOT(ISNUMBER(H33)),NOT(ISNUMBER(P33))),"Evidence required",IF(OR(P33&lt;'Settings'!$F$8,H33&gt;'Settings'!$F$8,YEAR(H33)&lt;&gt;YEAR('Settings'!$F$8)),"Period / expiry review",IF(Y33&lt;&gt;"Yes","Boundary incomplete",IF(OR(AND(AC33&lt;&gt;"Location-based",AC33&lt;&gt;"Market-based"),AND(W33="Activity",AC33&lt;&gt;"Location-based")),"S2 basis mismatch",IF(OR(W33="Reported verified",W33="Reported unverified"),IF(NOT(OR(F33="Corporate private",F33="Corporate listed",F33="Project finance")),"Asset method required",IF(OR(NOT(ISNUMBER(X33)),X33&lt;0),"Reported value required","Ready")),IF(W33="Activity",IF(AND(COUNTIFS('Activity Data'!$D$9:$D$308,C33,'Activity Data'!$F$9:$F$308,"S2")&gt;0,COUNTIFS('Activity Data'!$D$9:$D$308,C33,'Activity Data'!$F$9:$F$308,"S2")=COUNTIFS('Activity Data'!$D$9:$D$308,C33,'Activity Data'!$F$9:$F$308,"S2",'Activity Data'!$V$9:$V$308,"Ready")),"Ready","Activity incomplete"),"Method required"))))))))</x:f>
        <x:v>Ready</x:v>
      </x:c>
      <x:c r="AC33" s="8" t="str">
        <x:v>Location-based</x:v>
      </x:c>
      <x:c r="AD33" s="8" t="str">
        <x:v>Reported unverified</x:v>
      </x:c>
      <x:c r="AE33" s="16" t="n">
        <x:v>25200</x:v>
      </x:c>
      <x:c r="AF33" s="8" t="str">
        <x:v>Yes</x:v>
      </x:c>
      <x:c r="AG33" s="23" t="n">
        <x:f>IF(AI33="Ready",IF(AD33="Activity",SUMIFS('Activity Data'!$U$9:$U$308,'Activity Data'!$D$9:$D$308,C33,'Activity Data'!$F$9:$F$308,"S3"),AE33),"")</x:f>
        <x:v>25200</x:v>
      </x:c>
      <x:c r="AH33" s="44" t="n">
        <x:f>IF(AI33&lt;&gt;"Ready","",IF(AD33="Reported verified",1,IF(AD33="Reported unverified",2,IF(F33="Motor",1,2))))</x:f>
        <x:v>2</x:v>
      </x:c>
      <x:c r="AI33" s="9" t="str">
        <x:f>IF(C33="","",IF(AD33="Not assessed","Not assessed",IF(OR(O33="",NOT(ISNUMBER(H33)),NOT(ISNUMBER(P33))),"Evidence required",IF(OR(P33&lt;'Settings'!$F$8,H33&gt;'Settings'!$F$8,YEAR(H33)&lt;&gt;YEAR('Settings'!$F$8)),"Period / expiry review",IF(AF33&lt;&gt;"Yes","Boundary incomplete",IF(AM33="","S3 screening required",IF(OR(AD33="Reported verified",AD33="Reported unverified"),IF(NOT(OR(F33="Corporate private",F33="Corporate listed",F33="Project finance")),"Asset method required",IF(OR(NOT(ISNUMBER(AE33)),AE33&lt;0),"Reported value required","Ready")),"Scope 3 method required")))))))</x:f>
        <x:v>Ready</x:v>
      </x:c>
      <x:c r="AJ33" s="9" t="str">
        <x:f>IF(C33="","",IF(OR(F33="Corporate private",F33="Corporate listed"),IFERROR(IF(INDEX('Borrowers'!$X$9:$X$108,MATCH(D33,'Borrowers'!$C$9:$C$108,0))="","",INDEX('Borrowers'!$X$9:$X$108,MATCH(D33,'Borrowers'!$C$9:$C$108,0))),""),IF(AQ33="","",AQ33)))</x:f>
        <x:v>SYN-FIN-19</x:v>
      </x:c>
      <x:c r="AK33" s="43" t="n">
        <x:f>IF(C33="","",IF(OR(F33="Corporate private",F33="Corporate listed"),IFERROR(IF(INDEX('Borrowers'!$H$9:$H$108,MATCH(D33,'Borrowers'!$C$9:$C$108,0))="","",INDEX('Borrowers'!$H$9:$H$108,MATCH(D33,'Borrowers'!$C$9:$C$108,0))),""),IF(AR33="","",AR33)))</x:f>
        <x:v>46387</x:v>
      </x:c>
      <x:c r="AL33" s="9" t="str">
        <x:f>IF(C33="","",IF(COUNTIFS($C$9:$C$108,C33)&lt;&gt;1,"Duplicate entity ID",IF(COUNTIFS('Borrowers'!$C$9:$C$108,D33)&lt;&gt;1,"Borrower required",IF(AND(F33&lt;&gt;"Corporate private",F33&lt;&gt;"Corporate listed",F33&lt;&gt;"Project finance",F33&lt;&gt;"CRE",F33&lt;&gt;"Mortgage",F33&lt;&gt;"Motor"),"Method required",IF(OR(AND(F33="Corporate private",IFERROR(IF(INDEX('Borrowers'!$G$9:$G$108,MATCH(D33,'Borrowers'!$C$9:$C$108,0))="","",INDEX('Borrowers'!$G$9:$G$108,MATCH(D33,'Borrowers'!$C$9:$C$108,0))),"")&lt;&gt;"Private"),AND(F33="Corporate listed",IFERROR(IF(INDEX('Borrowers'!$G$9:$G$108,MATCH(D33,'Borrowers'!$C$9:$C$108,0))="","",INDEX('Borrowers'!$G$9:$G$108,MATCH(D33,'Borrowers'!$C$9:$C$108,0))),"")&lt;&gt;"Listed")),"Listing / class mismatch",IF(OR(NOT(ISNUMBER(N33)),N33&lt;=0,AJ33="",NOT(ISNUMBER(AK33))),"Value evidence required",IF(AND(OR(F33="Corporate private",F33="Corporate listed"),IFERROR(IF(INDEX('Borrowers'!$Y$9:$Y$108,MATCH(D33,'Borrowers'!$C$9:$C$108,0))="","",INDEX('Borrowers'!$Y$9:$Y$108,MATCH(D33,'Borrowers'!$C$9:$C$108,0))),"")&lt;'Settings'!$F$8),"Expired financial evidence",IF(AK33&gt;'Settings'!$F$8,"Future value date",IF(OR(AND(OR(F33="Corporate private",F33="Project finance"),OR(J33&lt;0,M33&lt;&gt;"Current financials")),AND(F33="Corporate listed",M33&lt;&gt;"Current financials"),AND(OR(F33="CRE",F33="Mortgage",F33="Motor"),AND(M33&lt;&gt;"Origination",M33&lt;&gt;"Fixed fallback"))),"Value basis review",IF(AND(M33="Current financials",YEAR(AK33)&lt;&gt;YEAR('Settings'!$F$8)),"Stale financial period","Ready"))))))))))</x:f>
        <x:v>Ready</x:v>
      </x:c>
      <x:c r="AM33" s="8" t="str">
        <x:v>SYN-S3-SCREEN-25</x:v>
      </x:c>
      <x:c r="AN33" s="8" t="str">
        <x:v>Single boundary</x:v>
      </x:c>
      <x:c r="AO33" s="16"/>
      <x:c r="AP33" s="16"/>
      <x:c r="AQ33" s="8"/>
      <x:c r="AR33" s="40"/>
    </x:row>
    <x:row r="34" ht="40" customHeight="1">
      <x:c r="A34" s="1"/>
      <x:c r="B34" s="1"/>
      <x:c r="C34" s="8" t="str">
        <x:v>B020</x:v>
      </x:c>
      <x:c r="D34" s="8" t="str">
        <x:v>B020</x:v>
      </x:c>
      <x:c r="E34" s="8" t="str">
        <x:v>Demo Delta Agriculture</x:v>
      </x:c>
      <x:c r="F34" s="8" t="str">
        <x:v>Corporate private</x:v>
      </x:c>
      <x:c r="G34" s="9" t="str">
        <x:f>IF(C34="","",IFERROR(IF(INDEX('Borrowers'!$E$9:$E$108,MATCH(D34,'Borrowers'!$C$9:$C$108,0))="","",INDEX('Borrowers'!$E$9:$E$108,MATCH(D34,'Borrowers'!$C$9:$C$108,0))),""))</x:f>
        <x:v>Egypt</x:v>
      </x:c>
      <x:c r="H34" s="40" t="n">
        <x:v>46387</x:v>
      </x:c>
      <x:c r="I34" s="23" t="n">
        <x:f>IF(C34="","",IF(OR(F34="Corporate private",F34="Corporate listed"),IFERROR(IF(INDEX('Borrowers'!$M$9:$M$108,MATCH(D34,'Borrowers'!$C$9:$C$108,0))="","",INDEX('Borrowers'!$M$9:$M$108,MATCH(D34,'Borrowers'!$C$9:$C$108,0))),""),IF(F34="Project finance",IF(ISNUMBER(AO34),AO34,""),"")))</x:f>
        <x:v>97</x:v>
      </x:c>
      <x:c r="J34" s="23" t="n">
        <x:f>IF(C34="","",IF(OR(F34="Corporate private",F34="Corporate listed"),IFERROR(IF(INDEX('Borrowers'!$N$9:$N$108,MATCH(D34,'Borrowers'!$C$9:$C$108,0))="","",INDEX('Borrowers'!$N$9:$N$108,MATCH(D34,'Borrowers'!$C$9:$C$108,0))),""),IF(F34="Project finance",IF(ISNUMBER(AP34),AP34,""),"")))</x:f>
        <x:v>63</x:v>
      </x:c>
      <x:c r="K34" s="23" t="str">
        <x:f>IF(C34="","",IF(F34="Corporate listed",IFERROR(IF(INDEX('Borrowers'!$O$9:$O$108,MATCH(D34,'Borrowers'!$C$9:$C$108,0))="","",INDEX('Borrowers'!$O$9:$O$108,MATCH(D34,'Borrowers'!$C$9:$C$108,0))),""),""))</x:f>
      </x:c>
      <x:c r="L34" s="16"/>
      <x:c r="M34" s="8" t="str">
        <x:v>Current financials</x:v>
      </x:c>
      <x:c r="N34" s="21" t="n">
        <x:f>IF(C34="","",IF(F34="Corporate listed",IF(ISNUMBER(K34),K34,""),IF(OR(F34="Corporate private",F34="Project finance"),IF(AND(ISNUMBER(I34),ISNUMBER(J34)),MAX(I34,0)+J34,""),IF(OR(F34="CRE",F34="Mortgage",F34="Motor"),IF(ISNUMBER(L34),L34,""),""))))</x:f>
        <x:v>160</x:v>
      </x:c>
      <x:c r="O34" s="8" t="str">
        <x:v>SYN-INV-26</x:v>
      </x:c>
      <x:c r="P34" s="40" t="n">
        <x:v>46752</x:v>
      </x:c>
      <x:c r="Q34" s="8" t="str">
        <x:v>Activity</x:v>
      </x:c>
      <x:c r="R34" s="16"/>
      <x:c r="S34" s="8" t="str">
        <x:v>Yes</x:v>
      </x:c>
      <x:c r="T34" s="23" t="n">
        <x:f>IF(V34="Ready",IF(Q34="Activity",SUMIFS('Activity Data'!$U$9:$U$308,'Activity Data'!$D$9:$D$308,C34,'Activity Data'!$F$9:$F$308,"S1"),R34),"")</x:f>
        <x:v>2393.24</x:v>
      </x:c>
      <x:c r="U34" s="44" t="n">
        <x:f>IF(V34&lt;&gt;"Ready","",IF(Q34="Reported verified",1,IF(Q34="Reported unverified",2,IF(F34="Motor",1,2))))</x:f>
        <x:v>2</x:v>
      </x:c>
      <x:c r="V34" s="9" t="str">
        <x:f>IF(C34="","",IF(Q34="Not assessed","Not assessed",IF(OR(O34="",NOT(ISNUMBER(H34)),NOT(ISNUMBER(P34))),"Evidence required",IF(OR(P34&lt;'Settings'!$F$8,H34&gt;'Settings'!$F$8,YEAR(H34)&lt;&gt;YEAR('Settings'!$F$8)),"Period / expiry review",IF(S34&lt;&gt;"Yes","Boundary incomplete",IF(OR(Q34="Reported verified",Q34="Reported unverified"),IF(NOT(OR(F34="Corporate private",F34="Corporate listed",F34="Project finance")),"Asset method required",IF(OR(NOT(ISNUMBER(R34)),R34&lt;0),"Reported value required","Ready")),IF(Q34="Activity",IF(AND(COUNTIFS('Activity Data'!$D$9:$D$308,C34,'Activity Data'!$F$9:$F$308,"S1")&gt;0,COUNTIFS('Activity Data'!$D$9:$D$308,C34,'Activity Data'!$F$9:$F$308,"S1")=COUNTIFS('Activity Data'!$D$9:$D$308,C34,'Activity Data'!$F$9:$F$308,"S1",'Activity Data'!$V$9:$V$308,"Ready")),"Ready","Activity incomplete"),"Method required")))))))</x:f>
        <x:v>Ready</x:v>
      </x:c>
      <x:c r="W34" s="8" t="str">
        <x:v>Activity</x:v>
      </x:c>
      <x:c r="X34" s="16"/>
      <x:c r="Y34" s="8" t="str">
        <x:v>Yes</x:v>
      </x:c>
      <x:c r="Z34" s="23" t="n">
        <x:f>IF(AB34="Ready",IF(W34="Activity",SUMIFS('Activity Data'!$U$9:$U$308,'Activity Data'!$D$9:$D$308,C34,'Activity Data'!$F$9:$F$308,"S2"),X34),"")</x:f>
        <x:v>1529.5</x:v>
      </x:c>
      <x:c r="AA34" s="44" t="n">
        <x:f>IF(AB34&lt;&gt;"Ready","",IF(W34="Reported verified",1,IF(W34="Reported unverified",2,IF(F34="Motor",1,2))))</x:f>
        <x:v>2</x:v>
      </x:c>
      <x:c r="AB34" s="9" t="str">
        <x:f>IF(C34="","",IF(W34="Not assessed","Not assessed",IF(OR(O34="",NOT(ISNUMBER(H34)),NOT(ISNUMBER(P34))),"Evidence required",IF(OR(P34&lt;'Settings'!$F$8,H34&gt;'Settings'!$F$8,YEAR(H34)&lt;&gt;YEAR('Settings'!$F$8)),"Period / expiry review",IF(Y34&lt;&gt;"Yes","Boundary incomplete",IF(OR(AND(AC34&lt;&gt;"Location-based",AC34&lt;&gt;"Market-based"),AND(W34="Activity",AC34&lt;&gt;"Location-based")),"S2 basis mismatch",IF(OR(W34="Reported verified",W34="Reported unverified"),IF(NOT(OR(F34="Corporate private",F34="Corporate listed",F34="Project finance")),"Asset method required",IF(OR(NOT(ISNUMBER(X34)),X34&lt;0),"Reported value required","Ready")),IF(W34="Activity",IF(AND(COUNTIFS('Activity Data'!$D$9:$D$308,C34,'Activity Data'!$F$9:$F$308,"S2")&gt;0,COUNTIFS('Activity Data'!$D$9:$D$308,C34,'Activity Data'!$F$9:$F$308,"S2")=COUNTIFS('Activity Data'!$D$9:$D$308,C34,'Activity Data'!$F$9:$F$308,"S2",'Activity Data'!$V$9:$V$308,"Ready")),"Ready","Activity incomplete"),"Method required"))))))))</x:f>
        <x:v>Ready</x:v>
      </x:c>
      <x:c r="AC34" s="8" t="str">
        <x:v>Location-based</x:v>
      </x:c>
      <x:c r="AD34" s="8" t="str">
        <x:v>Reported unverified</x:v>
      </x:c>
      <x:c r="AE34" s="16" t="n">
        <x:v>26000</x:v>
      </x:c>
      <x:c r="AF34" s="8" t="str">
        <x:v>Yes</x:v>
      </x:c>
      <x:c r="AG34" s="23" t="n">
        <x:f>IF(AI34="Ready",IF(AD34="Activity",SUMIFS('Activity Data'!$U$9:$U$308,'Activity Data'!$D$9:$D$308,C34,'Activity Data'!$F$9:$F$308,"S3"),AE34),"")</x:f>
        <x:v>26000</x:v>
      </x:c>
      <x:c r="AH34" s="44" t="n">
        <x:f>IF(AI34&lt;&gt;"Ready","",IF(AD34="Reported verified",1,IF(AD34="Reported unverified",2,IF(F34="Motor",1,2))))</x:f>
        <x:v>2</x:v>
      </x:c>
      <x:c r="AI34" s="9" t="str">
        <x:f>IF(C34="","",IF(AD34="Not assessed","Not assessed",IF(OR(O34="",NOT(ISNUMBER(H34)),NOT(ISNUMBER(P34))),"Evidence required",IF(OR(P34&lt;'Settings'!$F$8,H34&gt;'Settings'!$F$8,YEAR(H34)&lt;&gt;YEAR('Settings'!$F$8)),"Period / expiry review",IF(AF34&lt;&gt;"Yes","Boundary incomplete",IF(AM34="","S3 screening required",IF(OR(AD34="Reported verified",AD34="Reported unverified"),IF(NOT(OR(F34="Corporate private",F34="Corporate listed",F34="Project finance")),"Asset method required",IF(OR(NOT(ISNUMBER(AE34)),AE34&lt;0),"Reported value required","Ready")),"Scope 3 method required")))))))</x:f>
        <x:v>Ready</x:v>
      </x:c>
      <x:c r="AJ34" s="9" t="str">
        <x:f>IF(C34="","",IF(OR(F34="Corporate private",F34="Corporate listed"),IFERROR(IF(INDEX('Borrowers'!$X$9:$X$108,MATCH(D34,'Borrowers'!$C$9:$C$108,0))="","",INDEX('Borrowers'!$X$9:$X$108,MATCH(D34,'Borrowers'!$C$9:$C$108,0))),""),IF(AQ34="","",AQ34)))</x:f>
        <x:v>SYN-FIN-20</x:v>
      </x:c>
      <x:c r="AK34" s="43" t="n">
        <x:f>IF(C34="","",IF(OR(F34="Corporate private",F34="Corporate listed"),IFERROR(IF(INDEX('Borrowers'!$H$9:$H$108,MATCH(D34,'Borrowers'!$C$9:$C$108,0))="","",INDEX('Borrowers'!$H$9:$H$108,MATCH(D34,'Borrowers'!$C$9:$C$108,0))),""),IF(AR34="","",AR34)))</x:f>
        <x:v>46387</x:v>
      </x:c>
      <x:c r="AL34" s="9" t="str">
        <x:f>IF(C34="","",IF(COUNTIFS($C$9:$C$108,C34)&lt;&gt;1,"Duplicate entity ID",IF(COUNTIFS('Borrowers'!$C$9:$C$108,D34)&lt;&gt;1,"Borrower required",IF(AND(F34&lt;&gt;"Corporate private",F34&lt;&gt;"Corporate listed",F34&lt;&gt;"Project finance",F34&lt;&gt;"CRE",F34&lt;&gt;"Mortgage",F34&lt;&gt;"Motor"),"Method required",IF(OR(AND(F34="Corporate private",IFERROR(IF(INDEX('Borrowers'!$G$9:$G$108,MATCH(D34,'Borrowers'!$C$9:$C$108,0))="","",INDEX('Borrowers'!$G$9:$G$108,MATCH(D34,'Borrowers'!$C$9:$C$108,0))),"")&lt;&gt;"Private"),AND(F34="Corporate listed",IFERROR(IF(INDEX('Borrowers'!$G$9:$G$108,MATCH(D34,'Borrowers'!$C$9:$C$108,0))="","",INDEX('Borrowers'!$G$9:$G$108,MATCH(D34,'Borrowers'!$C$9:$C$108,0))),"")&lt;&gt;"Listed")),"Listing / class mismatch",IF(OR(NOT(ISNUMBER(N34)),N34&lt;=0,AJ34="",NOT(ISNUMBER(AK34))),"Value evidence required",IF(AND(OR(F34="Corporate private",F34="Corporate listed"),IFERROR(IF(INDEX('Borrowers'!$Y$9:$Y$108,MATCH(D34,'Borrowers'!$C$9:$C$108,0))="","",INDEX('Borrowers'!$Y$9:$Y$108,MATCH(D34,'Borrowers'!$C$9:$C$108,0))),"")&lt;'Settings'!$F$8),"Expired financial evidence",IF(AK34&gt;'Settings'!$F$8,"Future value date",IF(OR(AND(OR(F34="Corporate private",F34="Project finance"),OR(J34&lt;0,M34&lt;&gt;"Current financials")),AND(F34="Corporate listed",M34&lt;&gt;"Current financials"),AND(OR(F34="CRE",F34="Mortgage",F34="Motor"),AND(M34&lt;&gt;"Origination",M34&lt;&gt;"Fixed fallback"))),"Value basis review",IF(AND(M34="Current financials",YEAR(AK34)&lt;&gt;YEAR('Settings'!$F$8)),"Stale financial period","Ready"))))))))))</x:f>
        <x:v>Ready</x:v>
      </x:c>
      <x:c r="AM34" s="8" t="str">
        <x:v>SYN-S3-SCREEN-26</x:v>
      </x:c>
      <x:c r="AN34" s="8" t="str">
        <x:v>Single boundary</x:v>
      </x:c>
      <x:c r="AO34" s="16"/>
      <x:c r="AP34" s="16"/>
      <x:c r="AQ34" s="8"/>
      <x:c r="AR34" s="40"/>
    </x:row>
    <x:row r="35" ht="40" customHeight="1">
      <x:c r="A35" s="1"/>
      <x:c r="B35" s="1"/>
      <x:c r="C35" s="8" t="str">
        <x:v>B021</x:v>
      </x:c>
      <x:c r="D35" s="8" t="str">
        <x:v>B021</x:v>
      </x:c>
      <x:c r="E35" s="8" t="str">
        <x:v>Demo Sinai Utilities</x:v>
      </x:c>
      <x:c r="F35" s="8" t="str">
        <x:v>Corporate listed</x:v>
      </x:c>
      <x:c r="G35" s="9" t="str">
        <x:f>IF(C35="","",IFERROR(IF(INDEX('Borrowers'!$E$9:$E$108,MATCH(D35,'Borrowers'!$C$9:$C$108,0))="","",INDEX('Borrowers'!$E$9:$E$108,MATCH(D35,'Borrowers'!$C$9:$C$108,0))),""))</x:f>
        <x:v>Egypt</x:v>
      </x:c>
      <x:c r="H35" s="40" t="n">
        <x:v>46387</x:v>
      </x:c>
      <x:c r="I35" s="23" t="n">
        <x:f>IF(C35="","",IF(OR(F35="Corporate private",F35="Corporate listed"),IFERROR(IF(INDEX('Borrowers'!$M$9:$M$108,MATCH(D35,'Borrowers'!$C$9:$C$108,0))="","",INDEX('Borrowers'!$M$9:$M$108,MATCH(D35,'Borrowers'!$C$9:$C$108,0))),""),IF(F35="Project finance",IF(ISNUMBER(AO35),AO35,""),"")))</x:f>
        <x:v>100</x:v>
      </x:c>
      <x:c r="J35" s="23" t="n">
        <x:f>IF(C35="","",IF(OR(F35="Corporate private",F35="Corporate listed"),IFERROR(IF(INDEX('Borrowers'!$N$9:$N$108,MATCH(D35,'Borrowers'!$C$9:$C$108,0))="","",INDEX('Borrowers'!$N$9:$N$108,MATCH(D35,'Borrowers'!$C$9:$C$108,0))),""),IF(F35="Project finance",IF(ISNUMBER(AP35),AP35,""),"")))</x:f>
        <x:v>65</x:v>
      </x:c>
      <x:c r="K35" s="23" t="n">
        <x:f>IF(C35="","",IF(F35="Corporate listed",IFERROR(IF(INDEX('Borrowers'!$O$9:$O$108,MATCH(D35,'Borrowers'!$C$9:$C$108,0))="","",INDEX('Borrowers'!$O$9:$O$108,MATCH(D35,'Borrowers'!$C$9:$C$108,0))),""),""))</x:f>
        <x:v>230</x:v>
      </x:c>
      <x:c r="L35" s="16"/>
      <x:c r="M35" s="8" t="str">
        <x:v>Current financials</x:v>
      </x:c>
      <x:c r="N35" s="21" t="n">
        <x:f>IF(C35="","",IF(F35="Corporate listed",IF(ISNUMBER(K35),K35,""),IF(OR(F35="Corporate private",F35="Project finance"),IF(AND(ISNUMBER(I35),ISNUMBER(J35)),MAX(I35,0)+J35,""),IF(OR(F35="CRE",F35="Mortgage",F35="Motor"),IF(ISNUMBER(L35),L35,""),""))))</x:f>
        <x:v>230</x:v>
      </x:c>
      <x:c r="O35" s="8" t="str">
        <x:v>SYN-INV-27</x:v>
      </x:c>
      <x:c r="P35" s="40" t="n">
        <x:v>46752</x:v>
      </x:c>
      <x:c r="Q35" s="8" t="str">
        <x:v>Reported unverified</x:v>
      </x:c>
      <x:c r="R35" s="16" t="n">
        <x:v>5320</x:v>
      </x:c>
      <x:c r="S35" s="8" t="str">
        <x:v>Yes</x:v>
      </x:c>
      <x:c r="T35" s="23" t="n">
        <x:f>IF(V35="Ready",IF(Q35="Activity",SUMIFS('Activity Data'!$U$9:$U$308,'Activity Data'!$D$9:$D$308,C35,'Activity Data'!$F$9:$F$308,"S1"),R35),"")</x:f>
        <x:v>5320</x:v>
      </x:c>
      <x:c r="U35" s="44" t="n">
        <x:f>IF(V35&lt;&gt;"Ready","",IF(Q35="Reported verified",1,IF(Q35="Reported unverified",2,IF(F35="Motor",1,2))))</x:f>
        <x:v>2</x:v>
      </x:c>
      <x:c r="V35" s="9" t="str">
        <x:f>IF(C35="","",IF(Q35="Not assessed","Not assessed",IF(OR(O35="",NOT(ISNUMBER(H35)),NOT(ISNUMBER(P35))),"Evidence required",IF(OR(P35&lt;'Settings'!$F$8,H35&gt;'Settings'!$F$8,YEAR(H35)&lt;&gt;YEAR('Settings'!$F$8)),"Period / expiry review",IF(S35&lt;&gt;"Yes","Boundary incomplete",IF(OR(Q35="Reported verified",Q35="Reported unverified"),IF(NOT(OR(F35="Corporate private",F35="Corporate listed",F35="Project finance")),"Asset method required",IF(OR(NOT(ISNUMBER(R35)),R35&lt;0),"Reported value required","Ready")),IF(Q35="Activity",IF(AND(COUNTIFS('Activity Data'!$D$9:$D$308,C35,'Activity Data'!$F$9:$F$308,"S1")&gt;0,COUNTIFS('Activity Data'!$D$9:$D$308,C35,'Activity Data'!$F$9:$F$308,"S1")=COUNTIFS('Activity Data'!$D$9:$D$308,C35,'Activity Data'!$F$9:$F$308,"S1",'Activity Data'!$V$9:$V$308,"Ready")),"Ready","Activity incomplete"),"Method required")))))))</x:f>
        <x:v>Ready</x:v>
      </x:c>
      <x:c r="W35" s="8" t="str">
        <x:v>Reported unverified</x:v>
      </x:c>
      <x:c r="X35" s="16" t="n">
        <x:v>4300</x:v>
      </x:c>
      <x:c r="Y35" s="8" t="str">
        <x:v>Yes</x:v>
      </x:c>
      <x:c r="Z35" s="23" t="n">
        <x:f>IF(AB35="Ready",IF(W35="Activity",SUMIFS('Activity Data'!$U$9:$U$308,'Activity Data'!$D$9:$D$308,C35,'Activity Data'!$F$9:$F$308,"S2"),X35),"")</x:f>
        <x:v>4300</x:v>
      </x:c>
      <x:c r="AA35" s="44" t="n">
        <x:f>IF(AB35&lt;&gt;"Ready","",IF(W35="Reported verified",1,IF(W35="Reported unverified",2,IF(F35="Motor",1,2))))</x:f>
        <x:v>2</x:v>
      </x:c>
      <x:c r="AB35" s="9" t="str">
        <x:f>IF(C35="","",IF(W35="Not assessed","Not assessed",IF(OR(O35="",NOT(ISNUMBER(H35)),NOT(ISNUMBER(P35))),"Evidence required",IF(OR(P35&lt;'Settings'!$F$8,H35&gt;'Settings'!$F$8,YEAR(H35)&lt;&gt;YEAR('Settings'!$F$8)),"Period / expiry review",IF(Y35&lt;&gt;"Yes","Boundary incomplete",IF(OR(AND(AC35&lt;&gt;"Location-based",AC35&lt;&gt;"Market-based"),AND(W35="Activity",AC35&lt;&gt;"Location-based")),"S2 basis mismatch",IF(OR(W35="Reported verified",W35="Reported unverified"),IF(NOT(OR(F35="Corporate private",F35="Corporate listed",F35="Project finance")),"Asset method required",IF(OR(NOT(ISNUMBER(X35)),X35&lt;0),"Reported value required","Ready")),IF(W35="Activity",IF(AND(COUNTIFS('Activity Data'!$D$9:$D$308,C35,'Activity Data'!$F$9:$F$308,"S2")&gt;0,COUNTIFS('Activity Data'!$D$9:$D$308,C35,'Activity Data'!$F$9:$F$308,"S2")=COUNTIFS('Activity Data'!$D$9:$D$308,C35,'Activity Data'!$F$9:$F$308,"S2",'Activity Data'!$V$9:$V$308,"Ready")),"Ready","Activity incomplete"),"Method required"))))))))</x:f>
        <x:v>Ready</x:v>
      </x:c>
      <x:c r="AC35" s="8" t="str">
        <x:v>Location-based</x:v>
      </x:c>
      <x:c r="AD35" s="8" t="str">
        <x:v>Reported unverified</x:v>
      </x:c>
      <x:c r="AE35" s="16" t="n">
        <x:v>26800</x:v>
      </x:c>
      <x:c r="AF35" s="8" t="str">
        <x:v>Yes</x:v>
      </x:c>
      <x:c r="AG35" s="23" t="n">
        <x:f>IF(AI35="Ready",IF(AD35="Activity",SUMIFS('Activity Data'!$U$9:$U$308,'Activity Data'!$D$9:$D$308,C35,'Activity Data'!$F$9:$F$308,"S3"),AE35),"")</x:f>
        <x:v>26800</x:v>
      </x:c>
      <x:c r="AH35" s="44" t="n">
        <x:f>IF(AI35&lt;&gt;"Ready","",IF(AD35="Reported verified",1,IF(AD35="Reported unverified",2,IF(F35="Motor",1,2))))</x:f>
        <x:v>2</x:v>
      </x:c>
      <x:c r="AI35" s="9" t="str">
        <x:f>IF(C35="","",IF(AD35="Not assessed","Not assessed",IF(OR(O35="",NOT(ISNUMBER(H35)),NOT(ISNUMBER(P35))),"Evidence required",IF(OR(P35&lt;'Settings'!$F$8,H35&gt;'Settings'!$F$8,YEAR(H35)&lt;&gt;YEAR('Settings'!$F$8)),"Period / expiry review",IF(AF35&lt;&gt;"Yes","Boundary incomplete",IF(AM35="","S3 screening required",IF(OR(AD35="Reported verified",AD35="Reported unverified"),IF(NOT(OR(F35="Corporate private",F35="Corporate listed",F35="Project finance")),"Asset method required",IF(OR(NOT(ISNUMBER(AE35)),AE35&lt;0),"Reported value required","Ready")),"Scope 3 method required")))))))</x:f>
        <x:v>Ready</x:v>
      </x:c>
      <x:c r="AJ35" s="9" t="str">
        <x:f>IF(C35="","",IF(OR(F35="Corporate private",F35="Corporate listed"),IFERROR(IF(INDEX('Borrowers'!$X$9:$X$108,MATCH(D35,'Borrowers'!$C$9:$C$108,0))="","",INDEX('Borrowers'!$X$9:$X$108,MATCH(D35,'Borrowers'!$C$9:$C$108,0))),""),IF(AQ35="","",AQ35)))</x:f>
        <x:v>SYN-FIN-21</x:v>
      </x:c>
      <x:c r="AK35" s="43" t="n">
        <x:f>IF(C35="","",IF(OR(F35="Corporate private",F35="Corporate listed"),IFERROR(IF(INDEX('Borrowers'!$H$9:$H$108,MATCH(D35,'Borrowers'!$C$9:$C$108,0))="","",INDEX('Borrowers'!$H$9:$H$108,MATCH(D35,'Borrowers'!$C$9:$C$108,0))),""),IF(AR35="","",AR35)))</x:f>
        <x:v>46387</x:v>
      </x:c>
      <x:c r="AL35" s="9" t="str">
        <x:f>IF(C35="","",IF(COUNTIFS($C$9:$C$108,C35)&lt;&gt;1,"Duplicate entity ID",IF(COUNTIFS('Borrowers'!$C$9:$C$108,D35)&lt;&gt;1,"Borrower required",IF(AND(F35&lt;&gt;"Corporate private",F35&lt;&gt;"Corporate listed",F35&lt;&gt;"Project finance",F35&lt;&gt;"CRE",F35&lt;&gt;"Mortgage",F35&lt;&gt;"Motor"),"Method required",IF(OR(AND(F35="Corporate private",IFERROR(IF(INDEX('Borrowers'!$G$9:$G$108,MATCH(D35,'Borrowers'!$C$9:$C$108,0))="","",INDEX('Borrowers'!$G$9:$G$108,MATCH(D35,'Borrowers'!$C$9:$C$108,0))),"")&lt;&gt;"Private"),AND(F35="Corporate listed",IFERROR(IF(INDEX('Borrowers'!$G$9:$G$108,MATCH(D35,'Borrowers'!$C$9:$C$108,0))="","",INDEX('Borrowers'!$G$9:$G$108,MATCH(D35,'Borrowers'!$C$9:$C$108,0))),"")&lt;&gt;"Listed")),"Listing / class mismatch",IF(OR(NOT(ISNUMBER(N35)),N35&lt;=0,AJ35="",NOT(ISNUMBER(AK35))),"Value evidence required",IF(AND(OR(F35="Corporate private",F35="Corporate listed"),IFERROR(IF(INDEX('Borrowers'!$Y$9:$Y$108,MATCH(D35,'Borrowers'!$C$9:$C$108,0))="","",INDEX('Borrowers'!$Y$9:$Y$108,MATCH(D35,'Borrowers'!$C$9:$C$108,0))),"")&lt;'Settings'!$F$8),"Expired financial evidence",IF(AK35&gt;'Settings'!$F$8,"Future value date",IF(OR(AND(OR(F35="Corporate private",F35="Project finance"),OR(J35&lt;0,M35&lt;&gt;"Current financials")),AND(F35="Corporate listed",M35&lt;&gt;"Current financials"),AND(OR(F35="CRE",F35="Mortgage",F35="Motor"),AND(M35&lt;&gt;"Origination",M35&lt;&gt;"Fixed fallback"))),"Value basis review",IF(AND(M35="Current financials",YEAR(AK35)&lt;&gt;YEAR('Settings'!$F$8)),"Stale financial period","Ready"))))))))))</x:f>
        <x:v>Ready</x:v>
      </x:c>
      <x:c r="AM35" s="8" t="str">
        <x:v>SYN-S3-SCREEN-27</x:v>
      </x:c>
      <x:c r="AN35" s="8" t="str">
        <x:v>Single boundary</x:v>
      </x:c>
      <x:c r="AO35" s="16"/>
      <x:c r="AP35" s="16"/>
      <x:c r="AQ35" s="8"/>
      <x:c r="AR35" s="40"/>
    </x:row>
    <x:row r="36" ht="40" customHeight="1">
      <x:c r="A36" s="1"/>
      <x:c r="B36" s="1"/>
      <x:c r="C36" s="8" t="str">
        <x:v>B022</x:v>
      </x:c>
      <x:c r="D36" s="8" t="str">
        <x:v>B022</x:v>
      </x:c>
      <x:c r="E36" s="8" t="str">
        <x:v>Demo Petra Manufacturing</x:v>
      </x:c>
      <x:c r="F36" s="8" t="str">
        <x:v>Corporate private</x:v>
      </x:c>
      <x:c r="G36" s="9" t="str">
        <x:f>IF(C36="","",IFERROR(IF(INDEX('Borrowers'!$E$9:$E$108,MATCH(D36,'Borrowers'!$C$9:$C$108,0))="","",INDEX('Borrowers'!$E$9:$E$108,MATCH(D36,'Borrowers'!$C$9:$C$108,0))),""))</x:f>
        <x:v>Jordan</x:v>
      </x:c>
      <x:c r="H36" s="40" t="n">
        <x:v>46387</x:v>
      </x:c>
      <x:c r="I36" s="23" t="n">
        <x:f>IF(C36="","",IF(OR(F36="Corporate private",F36="Corporate listed"),IFERROR(IF(INDEX('Borrowers'!$M$9:$M$108,MATCH(D36,'Borrowers'!$C$9:$C$108,0))="","",INDEX('Borrowers'!$M$9:$M$108,MATCH(D36,'Borrowers'!$C$9:$C$108,0))),""),IF(F36="Project finance",IF(ISNUMBER(AO36),AO36,""),"")))</x:f>
        <x:v>103</x:v>
      </x:c>
      <x:c r="J36" s="23" t="n">
        <x:f>IF(C36="","",IF(OR(F36="Corporate private",F36="Corporate listed"),IFERROR(IF(INDEX('Borrowers'!$N$9:$N$108,MATCH(D36,'Borrowers'!$C$9:$C$108,0))="","",INDEX('Borrowers'!$N$9:$N$108,MATCH(D36,'Borrowers'!$C$9:$C$108,0))),""),IF(F36="Project finance",IF(ISNUMBER(AP36),AP36,""),"")))</x:f>
        <x:v>67</x:v>
      </x:c>
      <x:c r="K36" s="23" t="str">
        <x:f>IF(C36="","",IF(F36="Corporate listed",IFERROR(IF(INDEX('Borrowers'!$O$9:$O$108,MATCH(D36,'Borrowers'!$C$9:$C$108,0))="","",INDEX('Borrowers'!$O$9:$O$108,MATCH(D36,'Borrowers'!$C$9:$C$108,0))),""),""))</x:f>
      </x:c>
      <x:c r="L36" s="16"/>
      <x:c r="M36" s="8" t="str">
        <x:v>Current financials</x:v>
      </x:c>
      <x:c r="N36" s="21" t="n">
        <x:f>IF(C36="","",IF(F36="Corporate listed",IF(ISNUMBER(K36),K36,""),IF(OR(F36="Corporate private",F36="Project finance"),IF(AND(ISNUMBER(I36),ISNUMBER(J36)),MAX(I36,0)+J36,""),IF(OR(F36="CRE",F36="Mortgage",F36="Motor"),IF(ISNUMBER(L36),L36,""),""))))</x:f>
        <x:v>170</x:v>
      </x:c>
      <x:c r="O36" s="8" t="str">
        <x:v>SYN-INV-28</x:v>
      </x:c>
      <x:c r="P36" s="40" t="n">
        <x:v>46752</x:v>
      </x:c>
      <x:c r="Q36" s="8" t="str">
        <x:v>Reported verified</x:v>
      </x:c>
      <x:c r="R36" s="16" t="n">
        <x:v>5490</x:v>
      </x:c>
      <x:c r="S36" s="8" t="str">
        <x:v>Yes</x:v>
      </x:c>
      <x:c r="T36" s="23" t="n">
        <x:f>IF(V36="Ready",IF(Q36="Activity",SUMIFS('Activity Data'!$U$9:$U$308,'Activity Data'!$D$9:$D$308,C36,'Activity Data'!$F$9:$F$308,"S1"),R36),"")</x:f>
        <x:v>5490</x:v>
      </x:c>
      <x:c r="U36" s="44" t="n">
        <x:f>IF(V36&lt;&gt;"Ready","",IF(Q36="Reported verified",1,IF(Q36="Reported unverified",2,IF(F36="Motor",1,2))))</x:f>
        <x:v>1</x:v>
      </x:c>
      <x:c r="V36" s="9" t="str">
        <x:f>IF(C36="","",IF(Q36="Not assessed","Not assessed",IF(OR(O36="",NOT(ISNUMBER(H36)),NOT(ISNUMBER(P36))),"Evidence required",IF(OR(P36&lt;'Settings'!$F$8,H36&gt;'Settings'!$F$8,YEAR(H36)&lt;&gt;YEAR('Settings'!$F$8)),"Period / expiry review",IF(S36&lt;&gt;"Yes","Boundary incomplete",IF(OR(Q36="Reported verified",Q36="Reported unverified"),IF(NOT(OR(F36="Corporate private",F36="Corporate listed",F36="Project finance")),"Asset method required",IF(OR(NOT(ISNUMBER(R36)),R36&lt;0),"Reported value required","Ready")),IF(Q36="Activity",IF(AND(COUNTIFS('Activity Data'!$D$9:$D$308,C36,'Activity Data'!$F$9:$F$308,"S1")&gt;0,COUNTIFS('Activity Data'!$D$9:$D$308,C36,'Activity Data'!$F$9:$F$308,"S1")=COUNTIFS('Activity Data'!$D$9:$D$308,C36,'Activity Data'!$F$9:$F$308,"S1",'Activity Data'!$V$9:$V$308,"Ready")),"Ready","Activity incomplete"),"Method required")))))))</x:f>
        <x:v>Ready</x:v>
      </x:c>
      <x:c r="W36" s="8" t="str">
        <x:v>Reported verified</x:v>
      </x:c>
      <x:c r="X36" s="16" t="n">
        <x:v>4400</x:v>
      </x:c>
      <x:c r="Y36" s="8" t="str">
        <x:v>Yes</x:v>
      </x:c>
      <x:c r="Z36" s="23" t="n">
        <x:f>IF(AB36="Ready",IF(W36="Activity",SUMIFS('Activity Data'!$U$9:$U$308,'Activity Data'!$D$9:$D$308,C36,'Activity Data'!$F$9:$F$308,"S2"),X36),"")</x:f>
        <x:v>4400</x:v>
      </x:c>
      <x:c r="AA36" s="44" t="n">
        <x:f>IF(AB36&lt;&gt;"Ready","",IF(W36="Reported verified",1,IF(W36="Reported unverified",2,IF(F36="Motor",1,2))))</x:f>
        <x:v>1</x:v>
      </x:c>
      <x:c r="AB36" s="9" t="str">
        <x:f>IF(C36="","",IF(W36="Not assessed","Not assessed",IF(OR(O36="",NOT(ISNUMBER(H36)),NOT(ISNUMBER(P36))),"Evidence required",IF(OR(P36&lt;'Settings'!$F$8,H36&gt;'Settings'!$F$8,YEAR(H36)&lt;&gt;YEAR('Settings'!$F$8)),"Period / expiry review",IF(Y36&lt;&gt;"Yes","Boundary incomplete",IF(OR(AND(AC36&lt;&gt;"Location-based",AC36&lt;&gt;"Market-based"),AND(W36="Activity",AC36&lt;&gt;"Location-based")),"S2 basis mismatch",IF(OR(W36="Reported verified",W36="Reported unverified"),IF(NOT(OR(F36="Corporate private",F36="Corporate listed",F36="Project finance")),"Asset method required",IF(OR(NOT(ISNUMBER(X36)),X36&lt;0),"Reported value required","Ready")),IF(W36="Activity",IF(AND(COUNTIFS('Activity Data'!$D$9:$D$308,C36,'Activity Data'!$F$9:$F$308,"S2")&gt;0,COUNTIFS('Activity Data'!$D$9:$D$308,C36,'Activity Data'!$F$9:$F$308,"S2")=COUNTIFS('Activity Data'!$D$9:$D$308,C36,'Activity Data'!$F$9:$F$308,"S2",'Activity Data'!$V$9:$V$308,"Ready")),"Ready","Activity incomplete"),"Method required"))))))))</x:f>
        <x:v>Ready</x:v>
      </x:c>
      <x:c r="AC36" s="8" t="str">
        <x:v>Location-based</x:v>
      </x:c>
      <x:c r="AD36" s="8" t="str">
        <x:v>Reported unverified</x:v>
      </x:c>
      <x:c r="AE36" s="16" t="n">
        <x:v>27600</x:v>
      </x:c>
      <x:c r="AF36" s="8" t="str">
        <x:v>Yes</x:v>
      </x:c>
      <x:c r="AG36" s="23" t="n">
        <x:f>IF(AI36="Ready",IF(AD36="Activity",SUMIFS('Activity Data'!$U$9:$U$308,'Activity Data'!$D$9:$D$308,C36,'Activity Data'!$F$9:$F$308,"S3"),AE36),"")</x:f>
        <x:v>27600</x:v>
      </x:c>
      <x:c r="AH36" s="44" t="n">
        <x:f>IF(AI36&lt;&gt;"Ready","",IF(AD36="Reported verified",1,IF(AD36="Reported unverified",2,IF(F36="Motor",1,2))))</x:f>
        <x:v>2</x:v>
      </x:c>
      <x:c r="AI36" s="9" t="str">
        <x:f>IF(C36="","",IF(AD36="Not assessed","Not assessed",IF(OR(O36="",NOT(ISNUMBER(H36)),NOT(ISNUMBER(P36))),"Evidence required",IF(OR(P36&lt;'Settings'!$F$8,H36&gt;'Settings'!$F$8,YEAR(H36)&lt;&gt;YEAR('Settings'!$F$8)),"Period / expiry review",IF(AF36&lt;&gt;"Yes","Boundary incomplete",IF(AM36="","S3 screening required",IF(OR(AD36="Reported verified",AD36="Reported unverified"),IF(NOT(OR(F36="Corporate private",F36="Corporate listed",F36="Project finance")),"Asset method required",IF(OR(NOT(ISNUMBER(AE36)),AE36&lt;0),"Reported value required","Ready")),"Scope 3 method required")))))))</x:f>
        <x:v>Ready</x:v>
      </x:c>
      <x:c r="AJ36" s="9" t="str">
        <x:f>IF(C36="","",IF(OR(F36="Corporate private",F36="Corporate listed"),IFERROR(IF(INDEX('Borrowers'!$X$9:$X$108,MATCH(D36,'Borrowers'!$C$9:$C$108,0))="","",INDEX('Borrowers'!$X$9:$X$108,MATCH(D36,'Borrowers'!$C$9:$C$108,0))),""),IF(AQ36="","",AQ36)))</x:f>
        <x:v>SYN-FIN-22</x:v>
      </x:c>
      <x:c r="AK36" s="43" t="n">
        <x:f>IF(C36="","",IF(OR(F36="Corporate private",F36="Corporate listed"),IFERROR(IF(INDEX('Borrowers'!$H$9:$H$108,MATCH(D36,'Borrowers'!$C$9:$C$108,0))="","",INDEX('Borrowers'!$H$9:$H$108,MATCH(D36,'Borrowers'!$C$9:$C$108,0))),""),IF(AR36="","",AR36)))</x:f>
        <x:v>46387</x:v>
      </x:c>
      <x:c r="AL36" s="9" t="str">
        <x:f>IF(C36="","",IF(COUNTIFS($C$9:$C$108,C36)&lt;&gt;1,"Duplicate entity ID",IF(COUNTIFS('Borrowers'!$C$9:$C$108,D36)&lt;&gt;1,"Borrower required",IF(AND(F36&lt;&gt;"Corporate private",F36&lt;&gt;"Corporate listed",F36&lt;&gt;"Project finance",F36&lt;&gt;"CRE",F36&lt;&gt;"Mortgage",F36&lt;&gt;"Motor"),"Method required",IF(OR(AND(F36="Corporate private",IFERROR(IF(INDEX('Borrowers'!$G$9:$G$108,MATCH(D36,'Borrowers'!$C$9:$C$108,0))="","",INDEX('Borrowers'!$G$9:$G$108,MATCH(D36,'Borrowers'!$C$9:$C$108,0))),"")&lt;&gt;"Private"),AND(F36="Corporate listed",IFERROR(IF(INDEX('Borrowers'!$G$9:$G$108,MATCH(D36,'Borrowers'!$C$9:$C$108,0))="","",INDEX('Borrowers'!$G$9:$G$108,MATCH(D36,'Borrowers'!$C$9:$C$108,0))),"")&lt;&gt;"Listed")),"Listing / class mismatch",IF(OR(NOT(ISNUMBER(N36)),N36&lt;=0,AJ36="",NOT(ISNUMBER(AK36))),"Value evidence required",IF(AND(OR(F36="Corporate private",F36="Corporate listed"),IFERROR(IF(INDEX('Borrowers'!$Y$9:$Y$108,MATCH(D36,'Borrowers'!$C$9:$C$108,0))="","",INDEX('Borrowers'!$Y$9:$Y$108,MATCH(D36,'Borrowers'!$C$9:$C$108,0))),"")&lt;'Settings'!$F$8),"Expired financial evidence",IF(AK36&gt;'Settings'!$F$8,"Future value date",IF(OR(AND(OR(F36="Corporate private",F36="Project finance"),OR(J36&lt;0,M36&lt;&gt;"Current financials")),AND(F36="Corporate listed",M36&lt;&gt;"Current financials"),AND(OR(F36="CRE",F36="Mortgage",F36="Motor"),AND(M36&lt;&gt;"Origination",M36&lt;&gt;"Fixed fallback"))),"Value basis review",IF(AND(M36="Current financials",YEAR(AK36)&lt;&gt;YEAR('Settings'!$F$8)),"Stale financial period","Ready"))))))))))</x:f>
        <x:v>Ready</x:v>
      </x:c>
      <x:c r="AM36" s="8" t="str">
        <x:v>SYN-S3-SCREEN-28</x:v>
      </x:c>
      <x:c r="AN36" s="8" t="str">
        <x:v>Single boundary</x:v>
      </x:c>
      <x:c r="AO36" s="16"/>
      <x:c r="AP36" s="16"/>
      <x:c r="AQ36" s="8"/>
      <x:c r="AR36" s="40"/>
    </x:row>
    <x:row r="37" ht="40" customHeight="1">
      <x:c r="A37" s="1"/>
      <x:c r="B37" s="1"/>
      <x:c r="C37" s="8" t="str">
        <x:v>B023</x:v>
      </x:c>
      <x:c r="D37" s="8" t="str">
        <x:v>B023</x:v>
      </x:c>
      <x:c r="E37" s="8" t="str">
        <x:v>Demo Gulf Technology</x:v>
      </x:c>
      <x:c r="F37" s="8" t="str">
        <x:v>Corporate private</x:v>
      </x:c>
      <x:c r="G37" s="9" t="str">
        <x:f>IF(C37="","",IFERROR(IF(INDEX('Borrowers'!$E$9:$E$108,MATCH(D37,'Borrowers'!$C$9:$C$108,0))="","",INDEX('Borrowers'!$E$9:$E$108,MATCH(D37,'Borrowers'!$C$9:$C$108,0))),""))</x:f>
        <x:v>UAE</x:v>
      </x:c>
      <x:c r="H37" s="40" t="n">
        <x:v>46387</x:v>
      </x:c>
      <x:c r="I37" s="23" t="n">
        <x:f>IF(C37="","",IF(OR(F37="Corporate private",F37="Corporate listed"),IFERROR(IF(INDEX('Borrowers'!$M$9:$M$108,MATCH(D37,'Borrowers'!$C$9:$C$108,0))="","",INDEX('Borrowers'!$M$9:$M$108,MATCH(D37,'Borrowers'!$C$9:$C$108,0))),""),IF(F37="Project finance",IF(ISNUMBER(AO37),AO37,""),"")))</x:f>
        <x:v>106</x:v>
      </x:c>
      <x:c r="J37" s="23" t="n">
        <x:f>IF(C37="","",IF(OR(F37="Corporate private",F37="Corporate listed"),IFERROR(IF(INDEX('Borrowers'!$N$9:$N$108,MATCH(D37,'Borrowers'!$C$9:$C$108,0))="","",INDEX('Borrowers'!$N$9:$N$108,MATCH(D37,'Borrowers'!$C$9:$C$108,0))),""),IF(F37="Project finance",IF(ISNUMBER(AP37),AP37,""),"")))</x:f>
        <x:v>69</x:v>
      </x:c>
      <x:c r="K37" s="23" t="str">
        <x:f>IF(C37="","",IF(F37="Corporate listed",IFERROR(IF(INDEX('Borrowers'!$O$9:$O$108,MATCH(D37,'Borrowers'!$C$9:$C$108,0))="","",INDEX('Borrowers'!$O$9:$O$108,MATCH(D37,'Borrowers'!$C$9:$C$108,0))),""),""))</x:f>
      </x:c>
      <x:c r="L37" s="16"/>
      <x:c r="M37" s="8" t="str">
        <x:v>Current financials</x:v>
      </x:c>
      <x:c r="N37" s="21" t="n">
        <x:f>IF(C37="","",IF(F37="Corporate listed",IF(ISNUMBER(K37),K37,""),IF(OR(F37="Corporate private",F37="Project finance"),IF(AND(ISNUMBER(I37),ISNUMBER(J37)),MAX(I37,0)+J37,""),IF(OR(F37="CRE",F37="Mortgage",F37="Motor"),IF(ISNUMBER(L37),L37,""),""))))</x:f>
        <x:v>175</x:v>
      </x:c>
      <x:c r="O37" s="8" t="str">
        <x:v>SYN-INV-29</x:v>
      </x:c>
      <x:c r="P37" s="40" t="n">
        <x:v>46752</x:v>
      </x:c>
      <x:c r="Q37" s="8" t="str">
        <x:v>Activity</x:v>
      </x:c>
      <x:c r="R37" s="16"/>
      <x:c r="S37" s="8" t="str">
        <x:v>Yes</x:v>
      </x:c>
      <x:c r="T37" s="23" t="n">
        <x:f>IF(V37="Ready",IF(Q37="Activity",SUMIFS('Activity Data'!$U$9:$U$308,'Activity Data'!$D$9:$D$308,C37,'Activity Data'!$F$9:$F$308,"S1"),R37),"")</x:f>
        <x:v>2682.6800000000003</x:v>
      </x:c>
      <x:c r="U37" s="44" t="n">
        <x:f>IF(V37&lt;&gt;"Ready","",IF(Q37="Reported verified",1,IF(Q37="Reported unverified",2,IF(F37="Motor",1,2))))</x:f>
        <x:v>2</x:v>
      </x:c>
      <x:c r="V37" s="9" t="str">
        <x:f>IF(C37="","",IF(Q37="Not assessed","Not assessed",IF(OR(O37="",NOT(ISNUMBER(H37)),NOT(ISNUMBER(P37))),"Evidence required",IF(OR(P37&lt;'Settings'!$F$8,H37&gt;'Settings'!$F$8,YEAR(H37)&lt;&gt;YEAR('Settings'!$F$8)),"Period / expiry review",IF(S37&lt;&gt;"Yes","Boundary incomplete",IF(OR(Q37="Reported verified",Q37="Reported unverified"),IF(NOT(OR(F37="Corporate private",F37="Corporate listed",F37="Project finance")),"Asset method required",IF(OR(NOT(ISNUMBER(R37)),R37&lt;0),"Reported value required","Ready")),IF(Q37="Activity",IF(AND(COUNTIFS('Activity Data'!$D$9:$D$308,C37,'Activity Data'!$F$9:$F$308,"S1")&gt;0,COUNTIFS('Activity Data'!$D$9:$D$308,C37,'Activity Data'!$F$9:$F$308,"S1")=COUNTIFS('Activity Data'!$D$9:$D$308,C37,'Activity Data'!$F$9:$F$308,"S1",'Activity Data'!$V$9:$V$308,"Ready")),"Ready","Activity incomplete"),"Method required")))))))</x:f>
        <x:v>Ready</x:v>
      </x:c>
      <x:c r="W37" s="8" t="str">
        <x:v>Activity</x:v>
      </x:c>
      <x:c r="X37" s="16"/>
      <x:c r="Y37" s="8" t="str">
        <x:v>Yes</x:v>
      </x:c>
      <x:c r="Z37" s="23" t="n">
        <x:f>IF(AB37="Ready",IF(W37="Activity",SUMIFS('Activity Data'!$U$9:$U$308,'Activity Data'!$D$9:$D$308,C37,'Activity Data'!$F$9:$F$308,"S2"),X37),"")</x:f>
        <x:v>1413.75</x:v>
      </x:c>
      <x:c r="AA37" s="44" t="n">
        <x:f>IF(AB37&lt;&gt;"Ready","",IF(W37="Reported verified",1,IF(W37="Reported unverified",2,IF(F37="Motor",1,2))))</x:f>
        <x:v>2</x:v>
      </x:c>
      <x:c r="AB37" s="9" t="str">
        <x:f>IF(C37="","",IF(W37="Not assessed","Not assessed",IF(OR(O37="",NOT(ISNUMBER(H37)),NOT(ISNUMBER(P37))),"Evidence required",IF(OR(P37&lt;'Settings'!$F$8,H37&gt;'Settings'!$F$8,YEAR(H37)&lt;&gt;YEAR('Settings'!$F$8)),"Period / expiry review",IF(Y37&lt;&gt;"Yes","Boundary incomplete",IF(OR(AND(AC37&lt;&gt;"Location-based",AC37&lt;&gt;"Market-based"),AND(W37="Activity",AC37&lt;&gt;"Location-based")),"S2 basis mismatch",IF(OR(W37="Reported verified",W37="Reported unverified"),IF(NOT(OR(F37="Corporate private",F37="Corporate listed",F37="Project finance")),"Asset method required",IF(OR(NOT(ISNUMBER(X37)),X37&lt;0),"Reported value required","Ready")),IF(W37="Activity",IF(AND(COUNTIFS('Activity Data'!$D$9:$D$308,C37,'Activity Data'!$F$9:$F$308,"S2")&gt;0,COUNTIFS('Activity Data'!$D$9:$D$308,C37,'Activity Data'!$F$9:$F$308,"S2")=COUNTIFS('Activity Data'!$D$9:$D$308,C37,'Activity Data'!$F$9:$F$308,"S2",'Activity Data'!$V$9:$V$308,"Ready")),"Ready","Activity incomplete"),"Method required"))))))))</x:f>
        <x:v>Ready</x:v>
      </x:c>
      <x:c r="AC37" s="8" t="str">
        <x:v>Location-based</x:v>
      </x:c>
      <x:c r="AD37" s="8" t="str">
        <x:v>Reported unverified</x:v>
      </x:c>
      <x:c r="AE37" s="16" t="n">
        <x:v>28400</x:v>
      </x:c>
      <x:c r="AF37" s="8" t="str">
        <x:v>Yes</x:v>
      </x:c>
      <x:c r="AG37" s="23" t="n">
        <x:f>IF(AI37="Ready",IF(AD37="Activity",SUMIFS('Activity Data'!$U$9:$U$308,'Activity Data'!$D$9:$D$308,C37,'Activity Data'!$F$9:$F$308,"S3"),AE37),"")</x:f>
        <x:v>28400</x:v>
      </x:c>
      <x:c r="AH37" s="44" t="n">
        <x:f>IF(AI37&lt;&gt;"Ready","",IF(AD37="Reported verified",1,IF(AD37="Reported unverified",2,IF(F37="Motor",1,2))))</x:f>
        <x:v>2</x:v>
      </x:c>
      <x:c r="AI37" s="9" t="str">
        <x:f>IF(C37="","",IF(AD37="Not assessed","Not assessed",IF(OR(O37="",NOT(ISNUMBER(H37)),NOT(ISNUMBER(P37))),"Evidence required",IF(OR(P37&lt;'Settings'!$F$8,H37&gt;'Settings'!$F$8,YEAR(H37)&lt;&gt;YEAR('Settings'!$F$8)),"Period / expiry review",IF(AF37&lt;&gt;"Yes","Boundary incomplete",IF(AM37="","S3 screening required",IF(OR(AD37="Reported verified",AD37="Reported unverified"),IF(NOT(OR(F37="Corporate private",F37="Corporate listed",F37="Project finance")),"Asset method required",IF(OR(NOT(ISNUMBER(AE37)),AE37&lt;0),"Reported value required","Ready")),"Scope 3 method required")))))))</x:f>
        <x:v>Ready</x:v>
      </x:c>
      <x:c r="AJ37" s="9" t="str">
        <x:f>IF(C37="","",IF(OR(F37="Corporate private",F37="Corporate listed"),IFERROR(IF(INDEX('Borrowers'!$X$9:$X$108,MATCH(D37,'Borrowers'!$C$9:$C$108,0))="","",INDEX('Borrowers'!$X$9:$X$108,MATCH(D37,'Borrowers'!$C$9:$C$108,0))),""),IF(AQ37="","",AQ37)))</x:f>
        <x:v>SYN-FIN-23</x:v>
      </x:c>
      <x:c r="AK37" s="43" t="n">
        <x:f>IF(C37="","",IF(OR(F37="Corporate private",F37="Corporate listed"),IFERROR(IF(INDEX('Borrowers'!$H$9:$H$108,MATCH(D37,'Borrowers'!$C$9:$C$108,0))="","",INDEX('Borrowers'!$H$9:$H$108,MATCH(D37,'Borrowers'!$C$9:$C$108,0))),""),IF(AR37="","",AR37)))</x:f>
        <x:v>46387</x:v>
      </x:c>
      <x:c r="AL37" s="9" t="str">
        <x:f>IF(C37="","",IF(COUNTIFS($C$9:$C$108,C37)&lt;&gt;1,"Duplicate entity ID",IF(COUNTIFS('Borrowers'!$C$9:$C$108,D37)&lt;&gt;1,"Borrower required",IF(AND(F37&lt;&gt;"Corporate private",F37&lt;&gt;"Corporate listed",F37&lt;&gt;"Project finance",F37&lt;&gt;"CRE",F37&lt;&gt;"Mortgage",F37&lt;&gt;"Motor"),"Method required",IF(OR(AND(F37="Corporate private",IFERROR(IF(INDEX('Borrowers'!$G$9:$G$108,MATCH(D37,'Borrowers'!$C$9:$C$108,0))="","",INDEX('Borrowers'!$G$9:$G$108,MATCH(D37,'Borrowers'!$C$9:$C$108,0))),"")&lt;&gt;"Private"),AND(F37="Corporate listed",IFERROR(IF(INDEX('Borrowers'!$G$9:$G$108,MATCH(D37,'Borrowers'!$C$9:$C$108,0))="","",INDEX('Borrowers'!$G$9:$G$108,MATCH(D37,'Borrowers'!$C$9:$C$108,0))),"")&lt;&gt;"Listed")),"Listing / class mismatch",IF(OR(NOT(ISNUMBER(N37)),N37&lt;=0,AJ37="",NOT(ISNUMBER(AK37))),"Value evidence required",IF(AND(OR(F37="Corporate private",F37="Corporate listed"),IFERROR(IF(INDEX('Borrowers'!$Y$9:$Y$108,MATCH(D37,'Borrowers'!$C$9:$C$108,0))="","",INDEX('Borrowers'!$Y$9:$Y$108,MATCH(D37,'Borrowers'!$C$9:$C$108,0))),"")&lt;'Settings'!$F$8),"Expired financial evidence",IF(AK37&gt;'Settings'!$F$8,"Future value date",IF(OR(AND(OR(F37="Corporate private",F37="Project finance"),OR(J37&lt;0,M37&lt;&gt;"Current financials")),AND(F37="Corporate listed",M37&lt;&gt;"Current financials"),AND(OR(F37="CRE",F37="Mortgage",F37="Motor"),AND(M37&lt;&gt;"Origination",M37&lt;&gt;"Fixed fallback"))),"Value basis review",IF(AND(M37="Current financials",YEAR(AK37)&lt;&gt;YEAR('Settings'!$F$8)),"Stale financial period","Ready"))))))))))</x:f>
        <x:v>Ready</x:v>
      </x:c>
      <x:c r="AM37" s="8" t="str">
        <x:v>SYN-S3-SCREEN-29</x:v>
      </x:c>
      <x:c r="AN37" s="8" t="str">
        <x:v>Single boundary</x:v>
      </x:c>
      <x:c r="AO37" s="16"/>
      <x:c r="AP37" s="16"/>
      <x:c r="AQ37" s="8"/>
      <x:c r="AR37" s="40"/>
    </x:row>
    <x:row r="38" ht="40" customHeight="1">
      <x:c r="A38" s="1"/>
      <x:c r="B38" s="1"/>
      <x:c r="C38" s="8" t="str">
        <x:v>B024</x:v>
      </x:c>
      <x:c r="D38" s="8" t="str">
        <x:v>B024</x:v>
      </x:c>
      <x:c r="E38" s="8" t="str">
        <x:v>Demo Cairo Mobility</x:v>
      </x:c>
      <x:c r="F38" s="8" t="str">
        <x:v>Corporate private</x:v>
      </x:c>
      <x:c r="G38" s="9" t="str">
        <x:f>IF(C38="","",IFERROR(IF(INDEX('Borrowers'!$E$9:$E$108,MATCH(D38,'Borrowers'!$C$9:$C$108,0))="","",INDEX('Borrowers'!$E$9:$E$108,MATCH(D38,'Borrowers'!$C$9:$C$108,0))),""))</x:f>
        <x:v>Egypt</x:v>
      </x:c>
      <x:c r="H38" s="40" t="n">
        <x:v>46387</x:v>
      </x:c>
      <x:c r="I38" s="23" t="n">
        <x:f>IF(C38="","",IF(OR(F38="Corporate private",F38="Corporate listed"),IFERROR(IF(INDEX('Borrowers'!$M$9:$M$108,MATCH(D38,'Borrowers'!$C$9:$C$108,0))="","",INDEX('Borrowers'!$M$9:$M$108,MATCH(D38,'Borrowers'!$C$9:$C$108,0))),""),IF(F38="Project finance",IF(ISNUMBER(AO38),AO38,""),"")))</x:f>
        <x:v>109</x:v>
      </x:c>
      <x:c r="J38" s="23" t="n">
        <x:f>IF(C38="","",IF(OR(F38="Corporate private",F38="Corporate listed"),IFERROR(IF(INDEX('Borrowers'!$N$9:$N$108,MATCH(D38,'Borrowers'!$C$9:$C$108,0))="","",INDEX('Borrowers'!$N$9:$N$108,MATCH(D38,'Borrowers'!$C$9:$C$108,0))),""),IF(F38="Project finance",IF(ISNUMBER(AP38),AP38,""),"")))</x:f>
        <x:v>71</x:v>
      </x:c>
      <x:c r="K38" s="23" t="str">
        <x:f>IF(C38="","",IF(F38="Corporate listed",IFERROR(IF(INDEX('Borrowers'!$O$9:$O$108,MATCH(D38,'Borrowers'!$C$9:$C$108,0))="","",INDEX('Borrowers'!$O$9:$O$108,MATCH(D38,'Borrowers'!$C$9:$C$108,0))),""),""))</x:f>
      </x:c>
      <x:c r="L38" s="16"/>
      <x:c r="M38" s="8" t="str">
        <x:v>Current financials</x:v>
      </x:c>
      <x:c r="N38" s="21" t="n">
        <x:f>IF(C38="","",IF(F38="Corporate listed",IF(ISNUMBER(K38),K38,""),IF(OR(F38="Corporate private",F38="Project finance"),IF(AND(ISNUMBER(I38),ISNUMBER(J38)),MAX(I38,0)+J38,""),IF(OR(F38="CRE",F38="Mortgage",F38="Motor"),IF(ISNUMBER(L38),L38,""),""))))</x:f>
        <x:v>180</x:v>
      </x:c>
      <x:c r="O38" s="8" t="str">
        <x:v>SYN-INV-30</x:v>
      </x:c>
      <x:c r="P38" s="40" t="n">
        <x:v>46752</x:v>
      </x:c>
      <x:c r="Q38" s="8" t="str">
        <x:v>Reported unverified</x:v>
      </x:c>
      <x:c r="R38" s="16" t="n">
        <x:v>5830</x:v>
      </x:c>
      <x:c r="S38" s="8" t="str">
        <x:v>Yes</x:v>
      </x:c>
      <x:c r="T38" s="23" t="n">
        <x:f>IF(V38="Ready",IF(Q38="Activity",SUMIFS('Activity Data'!$U$9:$U$308,'Activity Data'!$D$9:$D$308,C38,'Activity Data'!$F$9:$F$308,"S1"),R38),"")</x:f>
        <x:v>5830</x:v>
      </x:c>
      <x:c r="U38" s="44" t="n">
        <x:f>IF(V38&lt;&gt;"Ready","",IF(Q38="Reported verified",1,IF(Q38="Reported unverified",2,IF(F38="Motor",1,2))))</x:f>
        <x:v>2</x:v>
      </x:c>
      <x:c r="V38" s="9" t="str">
        <x:f>IF(C38="","",IF(Q38="Not assessed","Not assessed",IF(OR(O38="",NOT(ISNUMBER(H38)),NOT(ISNUMBER(P38))),"Evidence required",IF(OR(P38&lt;'Settings'!$F$8,H38&gt;'Settings'!$F$8,YEAR(H38)&lt;&gt;YEAR('Settings'!$F$8)),"Period / expiry review",IF(S38&lt;&gt;"Yes","Boundary incomplete",IF(OR(Q38="Reported verified",Q38="Reported unverified"),IF(NOT(OR(F38="Corporate private",F38="Corporate listed",F38="Project finance")),"Asset method required",IF(OR(NOT(ISNUMBER(R38)),R38&lt;0),"Reported value required","Ready")),IF(Q38="Activity",IF(AND(COUNTIFS('Activity Data'!$D$9:$D$308,C38,'Activity Data'!$F$9:$F$308,"S1")&gt;0,COUNTIFS('Activity Data'!$D$9:$D$308,C38,'Activity Data'!$F$9:$F$308,"S1")=COUNTIFS('Activity Data'!$D$9:$D$308,C38,'Activity Data'!$F$9:$F$308,"S1",'Activity Data'!$V$9:$V$308,"Ready")),"Ready","Activity incomplete"),"Method required")))))))</x:f>
        <x:v>Ready</x:v>
      </x:c>
      <x:c r="W38" s="8" t="str">
        <x:v>Reported unverified</x:v>
      </x:c>
      <x:c r="X38" s="16" t="n">
        <x:v>4600</x:v>
      </x:c>
      <x:c r="Y38" s="8" t="str">
        <x:v>Yes</x:v>
      </x:c>
      <x:c r="Z38" s="23" t="n">
        <x:f>IF(AB38="Ready",IF(W38="Activity",SUMIFS('Activity Data'!$U$9:$U$308,'Activity Data'!$D$9:$D$308,C38,'Activity Data'!$F$9:$F$308,"S2"),X38),"")</x:f>
        <x:v>4600</x:v>
      </x:c>
      <x:c r="AA38" s="44" t="n">
        <x:f>IF(AB38&lt;&gt;"Ready","",IF(W38="Reported verified",1,IF(W38="Reported unverified",2,IF(F38="Motor",1,2))))</x:f>
        <x:v>2</x:v>
      </x:c>
      <x:c r="AB38" s="9" t="str">
        <x:f>IF(C38="","",IF(W38="Not assessed","Not assessed",IF(OR(O38="",NOT(ISNUMBER(H38)),NOT(ISNUMBER(P38))),"Evidence required",IF(OR(P38&lt;'Settings'!$F$8,H38&gt;'Settings'!$F$8,YEAR(H38)&lt;&gt;YEAR('Settings'!$F$8)),"Period / expiry review",IF(Y38&lt;&gt;"Yes","Boundary incomplete",IF(OR(AND(AC38&lt;&gt;"Location-based",AC38&lt;&gt;"Market-based"),AND(W38="Activity",AC38&lt;&gt;"Location-based")),"S2 basis mismatch",IF(OR(W38="Reported verified",W38="Reported unverified"),IF(NOT(OR(F38="Corporate private",F38="Corporate listed",F38="Project finance")),"Asset method required",IF(OR(NOT(ISNUMBER(X38)),X38&lt;0),"Reported value required","Ready")),IF(W38="Activity",IF(AND(COUNTIFS('Activity Data'!$D$9:$D$308,C38,'Activity Data'!$F$9:$F$308,"S2")&gt;0,COUNTIFS('Activity Data'!$D$9:$D$308,C38,'Activity Data'!$F$9:$F$308,"S2")=COUNTIFS('Activity Data'!$D$9:$D$308,C38,'Activity Data'!$F$9:$F$308,"S2",'Activity Data'!$V$9:$V$308,"Ready")),"Ready","Activity incomplete"),"Method required"))))))))</x:f>
        <x:v>Ready</x:v>
      </x:c>
      <x:c r="AC38" s="8" t="str">
        <x:v>Location-based</x:v>
      </x:c>
      <x:c r="AD38" s="8" t="str">
        <x:v>Reported unverified</x:v>
      </x:c>
      <x:c r="AE38" s="16" t="n">
        <x:v>29200</x:v>
      </x:c>
      <x:c r="AF38" s="8" t="str">
        <x:v>Yes</x:v>
      </x:c>
      <x:c r="AG38" s="23" t="n">
        <x:f>IF(AI38="Ready",IF(AD38="Activity",SUMIFS('Activity Data'!$U$9:$U$308,'Activity Data'!$D$9:$D$308,C38,'Activity Data'!$F$9:$F$308,"S3"),AE38),"")</x:f>
        <x:v>29200</x:v>
      </x:c>
      <x:c r="AH38" s="44" t="n">
        <x:f>IF(AI38&lt;&gt;"Ready","",IF(AD38="Reported verified",1,IF(AD38="Reported unverified",2,IF(F38="Motor",1,2))))</x:f>
        <x:v>2</x:v>
      </x:c>
      <x:c r="AI38" s="9" t="str">
        <x:f>IF(C38="","",IF(AD38="Not assessed","Not assessed",IF(OR(O38="",NOT(ISNUMBER(H38)),NOT(ISNUMBER(P38))),"Evidence required",IF(OR(P38&lt;'Settings'!$F$8,H38&gt;'Settings'!$F$8,YEAR(H38)&lt;&gt;YEAR('Settings'!$F$8)),"Period / expiry review",IF(AF38&lt;&gt;"Yes","Boundary incomplete",IF(AM38="","S3 screening required",IF(OR(AD38="Reported verified",AD38="Reported unverified"),IF(NOT(OR(F38="Corporate private",F38="Corporate listed",F38="Project finance")),"Asset method required",IF(OR(NOT(ISNUMBER(AE38)),AE38&lt;0),"Reported value required","Ready")),"Scope 3 method required")))))))</x:f>
        <x:v>Ready</x:v>
      </x:c>
      <x:c r="AJ38" s="9" t="str">
        <x:f>IF(C38="","",IF(OR(F38="Corporate private",F38="Corporate listed"),IFERROR(IF(INDEX('Borrowers'!$X$9:$X$108,MATCH(D38,'Borrowers'!$C$9:$C$108,0))="","",INDEX('Borrowers'!$X$9:$X$108,MATCH(D38,'Borrowers'!$C$9:$C$108,0))),""),IF(AQ38="","",AQ38)))</x:f>
        <x:v>SYN-FIN-24</x:v>
      </x:c>
      <x:c r="AK38" s="43" t="n">
        <x:f>IF(C38="","",IF(OR(F38="Corporate private",F38="Corporate listed"),IFERROR(IF(INDEX('Borrowers'!$H$9:$H$108,MATCH(D38,'Borrowers'!$C$9:$C$108,0))="","",INDEX('Borrowers'!$H$9:$H$108,MATCH(D38,'Borrowers'!$C$9:$C$108,0))),""),IF(AR38="","",AR38)))</x:f>
        <x:v>46387</x:v>
      </x:c>
      <x:c r="AL38" s="9" t="str">
        <x:f>IF(C38="","",IF(COUNTIFS($C$9:$C$108,C38)&lt;&gt;1,"Duplicate entity ID",IF(COUNTIFS('Borrowers'!$C$9:$C$108,D38)&lt;&gt;1,"Borrower required",IF(AND(F38&lt;&gt;"Corporate private",F38&lt;&gt;"Corporate listed",F38&lt;&gt;"Project finance",F38&lt;&gt;"CRE",F38&lt;&gt;"Mortgage",F38&lt;&gt;"Motor"),"Method required",IF(OR(AND(F38="Corporate private",IFERROR(IF(INDEX('Borrowers'!$G$9:$G$108,MATCH(D38,'Borrowers'!$C$9:$C$108,0))="","",INDEX('Borrowers'!$G$9:$G$108,MATCH(D38,'Borrowers'!$C$9:$C$108,0))),"")&lt;&gt;"Private"),AND(F38="Corporate listed",IFERROR(IF(INDEX('Borrowers'!$G$9:$G$108,MATCH(D38,'Borrowers'!$C$9:$C$108,0))="","",INDEX('Borrowers'!$G$9:$G$108,MATCH(D38,'Borrowers'!$C$9:$C$108,0))),"")&lt;&gt;"Listed")),"Listing / class mismatch",IF(OR(NOT(ISNUMBER(N38)),N38&lt;=0,AJ38="",NOT(ISNUMBER(AK38))),"Value evidence required",IF(AND(OR(F38="Corporate private",F38="Corporate listed"),IFERROR(IF(INDEX('Borrowers'!$Y$9:$Y$108,MATCH(D38,'Borrowers'!$C$9:$C$108,0))="","",INDEX('Borrowers'!$Y$9:$Y$108,MATCH(D38,'Borrowers'!$C$9:$C$108,0))),"")&lt;'Settings'!$F$8),"Expired financial evidence",IF(AK38&gt;'Settings'!$F$8,"Future value date",IF(OR(AND(OR(F38="Corporate private",F38="Project finance"),OR(J38&lt;0,M38&lt;&gt;"Current financials")),AND(F38="Corporate listed",M38&lt;&gt;"Current financials"),AND(OR(F38="CRE",F38="Mortgage",F38="Motor"),AND(M38&lt;&gt;"Origination",M38&lt;&gt;"Fixed fallback"))),"Value basis review",IF(AND(M38="Current financials",YEAR(AK38)&lt;&gt;YEAR('Settings'!$F$8)),"Stale financial period","Ready"))))))))))</x:f>
        <x:v>Ready</x:v>
      </x:c>
      <x:c r="AM38" s="8" t="str">
        <x:v>SYN-S3-SCREEN-30</x:v>
      </x:c>
      <x:c r="AN38" s="8" t="str">
        <x:v>Single boundary</x:v>
      </x:c>
      <x:c r="AO38" s="16"/>
      <x:c r="AP38" s="16"/>
      <x:c r="AQ38" s="8"/>
      <x:c r="AR38" s="40"/>
    </x:row>
    <x:row r="39" ht="40" customHeight="1">
      <x:c r="A39" s="1"/>
      <x:c r="B39" s="1"/>
      <x:c r="C39" s="8"/>
      <x:c r="D39" s="8"/>
      <x:c r="E39" s="8"/>
      <x:c r="F39" s="8"/>
      <x:c r="G39" s="9" t="str">
        <x:f>IF(C39="","",IFERROR(IF(INDEX('Borrowers'!$E$9:$E$108,MATCH(D39,'Borrowers'!$C$9:$C$108,0))="","",INDEX('Borrowers'!$E$9:$E$108,MATCH(D39,'Borrowers'!$C$9:$C$108,0))),""))</x:f>
      </x:c>
      <x:c r="H39" s="40"/>
      <x:c r="I39" s="23" t="str">
        <x:f>IF(C39="","",IF(OR(F39="Corporate private",F39="Corporate listed"),IFERROR(IF(INDEX('Borrowers'!$M$9:$M$108,MATCH(D39,'Borrowers'!$C$9:$C$108,0))="","",INDEX('Borrowers'!$M$9:$M$108,MATCH(D39,'Borrowers'!$C$9:$C$108,0))),""),IF(F39="Project finance",IF(ISNUMBER(AO39),AO39,""),"")))</x:f>
      </x:c>
      <x:c r="J39" s="23" t="str">
        <x:f>IF(C39="","",IF(OR(F39="Corporate private",F39="Corporate listed"),IFERROR(IF(INDEX('Borrowers'!$N$9:$N$108,MATCH(D39,'Borrowers'!$C$9:$C$108,0))="","",INDEX('Borrowers'!$N$9:$N$108,MATCH(D39,'Borrowers'!$C$9:$C$108,0))),""),IF(F39="Project finance",IF(ISNUMBER(AP39),AP39,""),"")))</x:f>
      </x:c>
      <x:c r="K39" s="23" t="str">
        <x:f>IF(C39="","",IF(F39="Corporate listed",IFERROR(IF(INDEX('Borrowers'!$O$9:$O$108,MATCH(D39,'Borrowers'!$C$9:$C$108,0))="","",INDEX('Borrowers'!$O$9:$O$108,MATCH(D39,'Borrowers'!$C$9:$C$108,0))),""),""))</x:f>
      </x:c>
      <x:c r="L39" s="16"/>
      <x:c r="M39" s="8"/>
      <x:c r="N39" s="21" t="str">
        <x:f>IF(C39="","",IF(F39="Corporate listed",IF(ISNUMBER(K39),K39,""),IF(OR(F39="Corporate private",F39="Project finance"),IF(AND(ISNUMBER(I39),ISNUMBER(J39)),MAX(I39,0)+J39,""),IF(OR(F39="CRE",F39="Mortgage",F39="Motor"),IF(ISNUMBER(L39),L39,""),""))))</x:f>
      </x:c>
      <x:c r="O39" s="8"/>
      <x:c r="P39" s="40"/>
      <x:c r="Q39" s="8"/>
      <x:c r="R39" s="16"/>
      <x:c r="S39" s="8"/>
      <x:c r="T39" s="23" t="str">
        <x:f>IF(V39="Ready",IF(Q39="Activity",SUMIFS('Activity Data'!$U$9:$U$308,'Activity Data'!$D$9:$D$308,C39,'Activity Data'!$F$9:$F$308,"S1"),R39),"")</x:f>
      </x:c>
      <x:c r="U39" s="44" t="str">
        <x:f>IF(V39&lt;&gt;"Ready","",IF(Q39="Reported verified",1,IF(Q39="Reported unverified",2,IF(F39="Motor",1,2))))</x:f>
      </x:c>
      <x:c r="V39" s="9" t="str">
        <x:f>IF(C39="","",IF(Q39="Not assessed","Not assessed",IF(OR(O39="",NOT(ISNUMBER(H39)),NOT(ISNUMBER(P39))),"Evidence required",IF(OR(P39&lt;'Settings'!$F$8,H39&gt;'Settings'!$F$8,YEAR(H39)&lt;&gt;YEAR('Settings'!$F$8)),"Period / expiry review",IF(S39&lt;&gt;"Yes","Boundary incomplete",IF(OR(Q39="Reported verified",Q39="Reported unverified"),IF(NOT(OR(F39="Corporate private",F39="Corporate listed",F39="Project finance")),"Asset method required",IF(OR(NOT(ISNUMBER(R39)),R39&lt;0),"Reported value required","Ready")),IF(Q39="Activity",IF(AND(COUNTIFS('Activity Data'!$D$9:$D$308,C39,'Activity Data'!$F$9:$F$308,"S1")&gt;0,COUNTIFS('Activity Data'!$D$9:$D$308,C39,'Activity Data'!$F$9:$F$308,"S1")=COUNTIFS('Activity Data'!$D$9:$D$308,C39,'Activity Data'!$F$9:$F$308,"S1",'Activity Data'!$V$9:$V$308,"Ready")),"Ready","Activity incomplete"),"Method required")))))))</x:f>
      </x:c>
      <x:c r="W39" s="8"/>
      <x:c r="X39" s="16"/>
      <x:c r="Y39" s="8"/>
      <x:c r="Z39" s="23" t="str">
        <x:f>IF(AB39="Ready",IF(W39="Activity",SUMIFS('Activity Data'!$U$9:$U$308,'Activity Data'!$D$9:$D$308,C39,'Activity Data'!$F$9:$F$308,"S2"),X39),"")</x:f>
      </x:c>
      <x:c r="AA39" s="44" t="str">
        <x:f>IF(AB39&lt;&gt;"Ready","",IF(W39="Reported verified",1,IF(W39="Reported unverified",2,IF(F39="Motor",1,2))))</x:f>
      </x:c>
      <x:c r="AB39" s="9" t="str">
        <x:f>IF(C39="","",IF(W39="Not assessed","Not assessed",IF(OR(O39="",NOT(ISNUMBER(H39)),NOT(ISNUMBER(P39))),"Evidence required",IF(OR(P39&lt;'Settings'!$F$8,H39&gt;'Settings'!$F$8,YEAR(H39)&lt;&gt;YEAR('Settings'!$F$8)),"Period / expiry review",IF(Y39&lt;&gt;"Yes","Boundary incomplete",IF(OR(AND(AC39&lt;&gt;"Location-based",AC39&lt;&gt;"Market-based"),AND(W39="Activity",AC39&lt;&gt;"Location-based")),"S2 basis mismatch",IF(OR(W39="Reported verified",W39="Reported unverified"),IF(NOT(OR(F39="Corporate private",F39="Corporate listed",F39="Project finance")),"Asset method required",IF(OR(NOT(ISNUMBER(X39)),X39&lt;0),"Reported value required","Ready")),IF(W39="Activity",IF(AND(COUNTIFS('Activity Data'!$D$9:$D$308,C39,'Activity Data'!$F$9:$F$308,"S2")&gt;0,COUNTIFS('Activity Data'!$D$9:$D$308,C39,'Activity Data'!$F$9:$F$308,"S2")=COUNTIFS('Activity Data'!$D$9:$D$308,C39,'Activity Data'!$F$9:$F$308,"S2",'Activity Data'!$V$9:$V$308,"Ready")),"Ready","Activity incomplete"),"Method required"))))))))</x:f>
      </x:c>
      <x:c r="AC39" s="8"/>
      <x:c r="AD39" s="8"/>
      <x:c r="AE39" s="16"/>
      <x:c r="AF39" s="8"/>
      <x:c r="AG39" s="23" t="str">
        <x:f>IF(AI39="Ready",IF(AD39="Activity",SUMIFS('Activity Data'!$U$9:$U$308,'Activity Data'!$D$9:$D$308,C39,'Activity Data'!$F$9:$F$308,"S3"),AE39),"")</x:f>
      </x:c>
      <x:c r="AH39" s="44" t="str">
        <x:f>IF(AI39&lt;&gt;"Ready","",IF(AD39="Reported verified",1,IF(AD39="Reported unverified",2,IF(F39="Motor",1,2))))</x:f>
      </x:c>
      <x:c r="AI39" s="9" t="str">
        <x:f>IF(C39="","",IF(AD39="Not assessed","Not assessed",IF(OR(O39="",NOT(ISNUMBER(H39)),NOT(ISNUMBER(P39))),"Evidence required",IF(OR(P39&lt;'Settings'!$F$8,H39&gt;'Settings'!$F$8,YEAR(H39)&lt;&gt;YEAR('Settings'!$F$8)),"Period / expiry review",IF(AF39&lt;&gt;"Yes","Boundary incomplete",IF(AM39="","S3 screening required",IF(OR(AD39="Reported verified",AD39="Reported unverified"),IF(NOT(OR(F39="Corporate private",F39="Corporate listed",F39="Project finance")),"Asset method required",IF(OR(NOT(ISNUMBER(AE39)),AE39&lt;0),"Reported value required","Ready")),"Scope 3 method required")))))))</x:f>
      </x:c>
      <x:c r="AJ39" s="9" t="str">
        <x:f>IF(C39="","",IF(OR(F39="Corporate private",F39="Corporate listed"),IFERROR(IF(INDEX('Borrowers'!$X$9:$X$108,MATCH(D39,'Borrowers'!$C$9:$C$108,0))="","",INDEX('Borrowers'!$X$9:$X$108,MATCH(D39,'Borrowers'!$C$9:$C$108,0))),""),IF(AQ39="","",AQ39)))</x:f>
      </x:c>
      <x:c r="AK39" s="43" t="str">
        <x:f>IF(C39="","",IF(OR(F39="Corporate private",F39="Corporate listed"),IFERROR(IF(INDEX('Borrowers'!$H$9:$H$108,MATCH(D39,'Borrowers'!$C$9:$C$108,0))="","",INDEX('Borrowers'!$H$9:$H$108,MATCH(D39,'Borrowers'!$C$9:$C$108,0))),""),IF(AR39="","",AR39)))</x:f>
      </x:c>
      <x:c r="AL39" s="9" t="str">
        <x:f>IF(C39="","",IF(COUNTIFS($C$9:$C$108,C39)&lt;&gt;1,"Duplicate entity ID",IF(COUNTIFS('Borrowers'!$C$9:$C$108,D39)&lt;&gt;1,"Borrower required",IF(AND(F39&lt;&gt;"Corporate private",F39&lt;&gt;"Corporate listed",F39&lt;&gt;"Project finance",F39&lt;&gt;"CRE",F39&lt;&gt;"Mortgage",F39&lt;&gt;"Motor"),"Method required",IF(OR(AND(F39="Corporate private",IFERROR(IF(INDEX('Borrowers'!$G$9:$G$108,MATCH(D39,'Borrowers'!$C$9:$C$108,0))="","",INDEX('Borrowers'!$G$9:$G$108,MATCH(D39,'Borrowers'!$C$9:$C$108,0))),"")&lt;&gt;"Private"),AND(F39="Corporate listed",IFERROR(IF(INDEX('Borrowers'!$G$9:$G$108,MATCH(D39,'Borrowers'!$C$9:$C$108,0))="","",INDEX('Borrowers'!$G$9:$G$108,MATCH(D39,'Borrowers'!$C$9:$C$108,0))),"")&lt;&gt;"Listed")),"Listing / class mismatch",IF(OR(NOT(ISNUMBER(N39)),N39&lt;=0,AJ39="",NOT(ISNUMBER(AK39))),"Value evidence required",IF(AND(OR(F39="Corporate private",F39="Corporate listed"),IFERROR(IF(INDEX('Borrowers'!$Y$9:$Y$108,MATCH(D39,'Borrowers'!$C$9:$C$108,0))="","",INDEX('Borrowers'!$Y$9:$Y$108,MATCH(D39,'Borrowers'!$C$9:$C$108,0))),"")&lt;'Settings'!$F$8),"Expired financial evidence",IF(AK39&gt;'Settings'!$F$8,"Future value date",IF(OR(AND(OR(F39="Corporate private",F39="Project finance"),OR(J39&lt;0,M39&lt;&gt;"Current financials")),AND(F39="Corporate listed",M39&lt;&gt;"Current financials"),AND(OR(F39="CRE",F39="Mortgage",F39="Motor"),AND(M39&lt;&gt;"Origination",M39&lt;&gt;"Fixed fallback"))),"Value basis review",IF(AND(M39="Current financials",YEAR(AK39)&lt;&gt;YEAR('Settings'!$F$8)),"Stale financial period","Ready"))))))))))</x:f>
      </x:c>
      <x:c r="AM39" s="8"/>
      <x:c r="AN39" s="8"/>
      <x:c r="AO39" s="16"/>
      <x:c r="AP39" s="16"/>
      <x:c r="AQ39" s="8"/>
      <x:c r="AR39" s="40"/>
    </x:row>
    <x:row r="40" ht="40" customHeight="1">
      <x:c r="A40" s="1"/>
      <x:c r="B40" s="1"/>
      <x:c r="C40" s="8"/>
      <x:c r="D40" s="8"/>
      <x:c r="E40" s="8"/>
      <x:c r="F40" s="8"/>
      <x:c r="G40" s="9" t="str">
        <x:f>IF(C40="","",IFERROR(IF(INDEX('Borrowers'!$E$9:$E$108,MATCH(D40,'Borrowers'!$C$9:$C$108,0))="","",INDEX('Borrowers'!$E$9:$E$108,MATCH(D40,'Borrowers'!$C$9:$C$108,0))),""))</x:f>
      </x:c>
      <x:c r="H40" s="40"/>
      <x:c r="I40" s="23" t="str">
        <x:f>IF(C40="","",IF(OR(F40="Corporate private",F40="Corporate listed"),IFERROR(IF(INDEX('Borrowers'!$M$9:$M$108,MATCH(D40,'Borrowers'!$C$9:$C$108,0))="","",INDEX('Borrowers'!$M$9:$M$108,MATCH(D40,'Borrowers'!$C$9:$C$108,0))),""),IF(F40="Project finance",IF(ISNUMBER(AO40),AO40,""),"")))</x:f>
      </x:c>
      <x:c r="J40" s="23" t="str">
        <x:f>IF(C40="","",IF(OR(F40="Corporate private",F40="Corporate listed"),IFERROR(IF(INDEX('Borrowers'!$N$9:$N$108,MATCH(D40,'Borrowers'!$C$9:$C$108,0))="","",INDEX('Borrowers'!$N$9:$N$108,MATCH(D40,'Borrowers'!$C$9:$C$108,0))),""),IF(F40="Project finance",IF(ISNUMBER(AP40),AP40,""),"")))</x:f>
      </x:c>
      <x:c r="K40" s="23" t="str">
        <x:f>IF(C40="","",IF(F40="Corporate listed",IFERROR(IF(INDEX('Borrowers'!$O$9:$O$108,MATCH(D40,'Borrowers'!$C$9:$C$108,0))="","",INDEX('Borrowers'!$O$9:$O$108,MATCH(D40,'Borrowers'!$C$9:$C$108,0))),""),""))</x:f>
      </x:c>
      <x:c r="L40" s="16"/>
      <x:c r="M40" s="8"/>
      <x:c r="N40" s="21" t="str">
        <x:f>IF(C40="","",IF(F40="Corporate listed",IF(ISNUMBER(K40),K40,""),IF(OR(F40="Corporate private",F40="Project finance"),IF(AND(ISNUMBER(I40),ISNUMBER(J40)),MAX(I40,0)+J40,""),IF(OR(F40="CRE",F40="Mortgage",F40="Motor"),IF(ISNUMBER(L40),L40,""),""))))</x:f>
      </x:c>
      <x:c r="O40" s="8"/>
      <x:c r="P40" s="40"/>
      <x:c r="Q40" s="8"/>
      <x:c r="R40" s="16"/>
      <x:c r="S40" s="8"/>
      <x:c r="T40" s="23" t="str">
        <x:f>IF(V40="Ready",IF(Q40="Activity",SUMIFS('Activity Data'!$U$9:$U$308,'Activity Data'!$D$9:$D$308,C40,'Activity Data'!$F$9:$F$308,"S1"),R40),"")</x:f>
      </x:c>
      <x:c r="U40" s="44" t="str">
        <x:f>IF(V40&lt;&gt;"Ready","",IF(Q40="Reported verified",1,IF(Q40="Reported unverified",2,IF(F40="Motor",1,2))))</x:f>
      </x:c>
      <x:c r="V40" s="9" t="str">
        <x:f>IF(C40="","",IF(Q40="Not assessed","Not assessed",IF(OR(O40="",NOT(ISNUMBER(H40)),NOT(ISNUMBER(P40))),"Evidence required",IF(OR(P40&lt;'Settings'!$F$8,H40&gt;'Settings'!$F$8,YEAR(H40)&lt;&gt;YEAR('Settings'!$F$8)),"Period / expiry review",IF(S40&lt;&gt;"Yes","Boundary incomplete",IF(OR(Q40="Reported verified",Q40="Reported unverified"),IF(NOT(OR(F40="Corporate private",F40="Corporate listed",F40="Project finance")),"Asset method required",IF(OR(NOT(ISNUMBER(R40)),R40&lt;0),"Reported value required","Ready")),IF(Q40="Activity",IF(AND(COUNTIFS('Activity Data'!$D$9:$D$308,C40,'Activity Data'!$F$9:$F$308,"S1")&gt;0,COUNTIFS('Activity Data'!$D$9:$D$308,C40,'Activity Data'!$F$9:$F$308,"S1")=COUNTIFS('Activity Data'!$D$9:$D$308,C40,'Activity Data'!$F$9:$F$308,"S1",'Activity Data'!$V$9:$V$308,"Ready")),"Ready","Activity incomplete"),"Method required")))))))</x:f>
      </x:c>
      <x:c r="W40" s="8"/>
      <x:c r="X40" s="16"/>
      <x:c r="Y40" s="8"/>
      <x:c r="Z40" s="23" t="str">
        <x:f>IF(AB40="Ready",IF(W40="Activity",SUMIFS('Activity Data'!$U$9:$U$308,'Activity Data'!$D$9:$D$308,C40,'Activity Data'!$F$9:$F$308,"S2"),X40),"")</x:f>
      </x:c>
      <x:c r="AA40" s="44" t="str">
        <x:f>IF(AB40&lt;&gt;"Ready","",IF(W40="Reported verified",1,IF(W40="Reported unverified",2,IF(F40="Motor",1,2))))</x:f>
      </x:c>
      <x:c r="AB40" s="9" t="str">
        <x:f>IF(C40="","",IF(W40="Not assessed","Not assessed",IF(OR(O40="",NOT(ISNUMBER(H40)),NOT(ISNUMBER(P40))),"Evidence required",IF(OR(P40&lt;'Settings'!$F$8,H40&gt;'Settings'!$F$8,YEAR(H40)&lt;&gt;YEAR('Settings'!$F$8)),"Period / expiry review",IF(Y40&lt;&gt;"Yes","Boundary incomplete",IF(OR(AND(AC40&lt;&gt;"Location-based",AC40&lt;&gt;"Market-based"),AND(W40="Activity",AC40&lt;&gt;"Location-based")),"S2 basis mismatch",IF(OR(W40="Reported verified",W40="Reported unverified"),IF(NOT(OR(F40="Corporate private",F40="Corporate listed",F40="Project finance")),"Asset method required",IF(OR(NOT(ISNUMBER(X40)),X40&lt;0),"Reported value required","Ready")),IF(W40="Activity",IF(AND(COUNTIFS('Activity Data'!$D$9:$D$308,C40,'Activity Data'!$F$9:$F$308,"S2")&gt;0,COUNTIFS('Activity Data'!$D$9:$D$308,C40,'Activity Data'!$F$9:$F$308,"S2")=COUNTIFS('Activity Data'!$D$9:$D$308,C40,'Activity Data'!$F$9:$F$308,"S2",'Activity Data'!$V$9:$V$308,"Ready")),"Ready","Activity incomplete"),"Method required"))))))))</x:f>
      </x:c>
      <x:c r="AC40" s="8"/>
      <x:c r="AD40" s="8"/>
      <x:c r="AE40" s="16"/>
      <x:c r="AF40" s="8"/>
      <x:c r="AG40" s="23" t="str">
        <x:f>IF(AI40="Ready",IF(AD40="Activity",SUMIFS('Activity Data'!$U$9:$U$308,'Activity Data'!$D$9:$D$308,C40,'Activity Data'!$F$9:$F$308,"S3"),AE40),"")</x:f>
      </x:c>
      <x:c r="AH40" s="44" t="str">
        <x:f>IF(AI40&lt;&gt;"Ready","",IF(AD40="Reported verified",1,IF(AD40="Reported unverified",2,IF(F40="Motor",1,2))))</x:f>
      </x:c>
      <x:c r="AI40" s="9" t="str">
        <x:f>IF(C40="","",IF(AD40="Not assessed","Not assessed",IF(OR(O40="",NOT(ISNUMBER(H40)),NOT(ISNUMBER(P40))),"Evidence required",IF(OR(P40&lt;'Settings'!$F$8,H40&gt;'Settings'!$F$8,YEAR(H40)&lt;&gt;YEAR('Settings'!$F$8)),"Period / expiry review",IF(AF40&lt;&gt;"Yes","Boundary incomplete",IF(AM40="","S3 screening required",IF(OR(AD40="Reported verified",AD40="Reported unverified"),IF(NOT(OR(F40="Corporate private",F40="Corporate listed",F40="Project finance")),"Asset method required",IF(OR(NOT(ISNUMBER(AE40)),AE40&lt;0),"Reported value required","Ready")),"Scope 3 method required")))))))</x:f>
      </x:c>
      <x:c r="AJ40" s="9" t="str">
        <x:f>IF(C40="","",IF(OR(F40="Corporate private",F40="Corporate listed"),IFERROR(IF(INDEX('Borrowers'!$X$9:$X$108,MATCH(D40,'Borrowers'!$C$9:$C$108,0))="","",INDEX('Borrowers'!$X$9:$X$108,MATCH(D40,'Borrowers'!$C$9:$C$108,0))),""),IF(AQ40="","",AQ40)))</x:f>
      </x:c>
      <x:c r="AK40" s="43" t="str">
        <x:f>IF(C40="","",IF(OR(F40="Corporate private",F40="Corporate listed"),IFERROR(IF(INDEX('Borrowers'!$H$9:$H$108,MATCH(D40,'Borrowers'!$C$9:$C$108,0))="","",INDEX('Borrowers'!$H$9:$H$108,MATCH(D40,'Borrowers'!$C$9:$C$108,0))),""),IF(AR40="","",AR40)))</x:f>
      </x:c>
      <x:c r="AL40" s="9" t="str">
        <x:f>IF(C40="","",IF(COUNTIFS($C$9:$C$108,C40)&lt;&gt;1,"Duplicate entity ID",IF(COUNTIFS('Borrowers'!$C$9:$C$108,D40)&lt;&gt;1,"Borrower required",IF(AND(F40&lt;&gt;"Corporate private",F40&lt;&gt;"Corporate listed",F40&lt;&gt;"Project finance",F40&lt;&gt;"CRE",F40&lt;&gt;"Mortgage",F40&lt;&gt;"Motor"),"Method required",IF(OR(AND(F40="Corporate private",IFERROR(IF(INDEX('Borrowers'!$G$9:$G$108,MATCH(D40,'Borrowers'!$C$9:$C$108,0))="","",INDEX('Borrowers'!$G$9:$G$108,MATCH(D40,'Borrowers'!$C$9:$C$108,0))),"")&lt;&gt;"Private"),AND(F40="Corporate listed",IFERROR(IF(INDEX('Borrowers'!$G$9:$G$108,MATCH(D40,'Borrowers'!$C$9:$C$108,0))="","",INDEX('Borrowers'!$G$9:$G$108,MATCH(D40,'Borrowers'!$C$9:$C$108,0))),"")&lt;&gt;"Listed")),"Listing / class mismatch",IF(OR(NOT(ISNUMBER(N40)),N40&lt;=0,AJ40="",NOT(ISNUMBER(AK40))),"Value evidence required",IF(AND(OR(F40="Corporate private",F40="Corporate listed"),IFERROR(IF(INDEX('Borrowers'!$Y$9:$Y$108,MATCH(D40,'Borrowers'!$C$9:$C$108,0))="","",INDEX('Borrowers'!$Y$9:$Y$108,MATCH(D40,'Borrowers'!$C$9:$C$108,0))),"")&lt;'Settings'!$F$8),"Expired financial evidence",IF(AK40&gt;'Settings'!$F$8,"Future value date",IF(OR(AND(OR(F40="Corporate private",F40="Project finance"),OR(J40&lt;0,M40&lt;&gt;"Current financials")),AND(F40="Corporate listed",M40&lt;&gt;"Current financials"),AND(OR(F40="CRE",F40="Mortgage",F40="Motor"),AND(M40&lt;&gt;"Origination",M40&lt;&gt;"Fixed fallback"))),"Value basis review",IF(AND(M40="Current financials",YEAR(AK40)&lt;&gt;YEAR('Settings'!$F$8)),"Stale financial period","Ready"))))))))))</x:f>
      </x:c>
      <x:c r="AM40" s="8"/>
      <x:c r="AN40" s="8"/>
      <x:c r="AO40" s="16"/>
      <x:c r="AP40" s="16"/>
      <x:c r="AQ40" s="8"/>
      <x:c r="AR40" s="40"/>
    </x:row>
    <x:row r="41" ht="40" customHeight="1">
      <x:c r="A41" s="1"/>
      <x:c r="B41" s="1"/>
      <x:c r="C41" s="8"/>
      <x:c r="D41" s="8"/>
      <x:c r="E41" s="8"/>
      <x:c r="F41" s="8"/>
      <x:c r="G41" s="9" t="str">
        <x:f>IF(C41="","",IFERROR(IF(INDEX('Borrowers'!$E$9:$E$108,MATCH(D41,'Borrowers'!$C$9:$C$108,0))="","",INDEX('Borrowers'!$E$9:$E$108,MATCH(D41,'Borrowers'!$C$9:$C$108,0))),""))</x:f>
      </x:c>
      <x:c r="H41" s="40"/>
      <x:c r="I41" s="23" t="str">
        <x:f>IF(C41="","",IF(OR(F41="Corporate private",F41="Corporate listed"),IFERROR(IF(INDEX('Borrowers'!$M$9:$M$108,MATCH(D41,'Borrowers'!$C$9:$C$108,0))="","",INDEX('Borrowers'!$M$9:$M$108,MATCH(D41,'Borrowers'!$C$9:$C$108,0))),""),IF(F41="Project finance",IF(ISNUMBER(AO41),AO41,""),"")))</x:f>
      </x:c>
      <x:c r="J41" s="23" t="str">
        <x:f>IF(C41="","",IF(OR(F41="Corporate private",F41="Corporate listed"),IFERROR(IF(INDEX('Borrowers'!$N$9:$N$108,MATCH(D41,'Borrowers'!$C$9:$C$108,0))="","",INDEX('Borrowers'!$N$9:$N$108,MATCH(D41,'Borrowers'!$C$9:$C$108,0))),""),IF(F41="Project finance",IF(ISNUMBER(AP41),AP41,""),"")))</x:f>
      </x:c>
      <x:c r="K41" s="23" t="str">
        <x:f>IF(C41="","",IF(F41="Corporate listed",IFERROR(IF(INDEX('Borrowers'!$O$9:$O$108,MATCH(D41,'Borrowers'!$C$9:$C$108,0))="","",INDEX('Borrowers'!$O$9:$O$108,MATCH(D41,'Borrowers'!$C$9:$C$108,0))),""),""))</x:f>
      </x:c>
      <x:c r="L41" s="16"/>
      <x:c r="M41" s="8"/>
      <x:c r="N41" s="21" t="str">
        <x:f>IF(C41="","",IF(F41="Corporate listed",IF(ISNUMBER(K41),K41,""),IF(OR(F41="Corporate private",F41="Project finance"),IF(AND(ISNUMBER(I41),ISNUMBER(J41)),MAX(I41,0)+J41,""),IF(OR(F41="CRE",F41="Mortgage",F41="Motor"),IF(ISNUMBER(L41),L41,""),""))))</x:f>
      </x:c>
      <x:c r="O41" s="8"/>
      <x:c r="P41" s="40"/>
      <x:c r="Q41" s="8"/>
      <x:c r="R41" s="16"/>
      <x:c r="S41" s="8"/>
      <x:c r="T41" s="23" t="str">
        <x:f>IF(V41="Ready",IF(Q41="Activity",SUMIFS('Activity Data'!$U$9:$U$308,'Activity Data'!$D$9:$D$308,C41,'Activity Data'!$F$9:$F$308,"S1"),R41),"")</x:f>
      </x:c>
      <x:c r="U41" s="44" t="str">
        <x:f>IF(V41&lt;&gt;"Ready","",IF(Q41="Reported verified",1,IF(Q41="Reported unverified",2,IF(F41="Motor",1,2))))</x:f>
      </x:c>
      <x:c r="V41" s="9" t="str">
        <x:f>IF(C41="","",IF(Q41="Not assessed","Not assessed",IF(OR(O41="",NOT(ISNUMBER(H41)),NOT(ISNUMBER(P41))),"Evidence required",IF(OR(P41&lt;'Settings'!$F$8,H41&gt;'Settings'!$F$8,YEAR(H41)&lt;&gt;YEAR('Settings'!$F$8)),"Period / expiry review",IF(S41&lt;&gt;"Yes","Boundary incomplete",IF(OR(Q41="Reported verified",Q41="Reported unverified"),IF(NOT(OR(F41="Corporate private",F41="Corporate listed",F41="Project finance")),"Asset method required",IF(OR(NOT(ISNUMBER(R41)),R41&lt;0),"Reported value required","Ready")),IF(Q41="Activity",IF(AND(COUNTIFS('Activity Data'!$D$9:$D$308,C41,'Activity Data'!$F$9:$F$308,"S1")&gt;0,COUNTIFS('Activity Data'!$D$9:$D$308,C41,'Activity Data'!$F$9:$F$308,"S1")=COUNTIFS('Activity Data'!$D$9:$D$308,C41,'Activity Data'!$F$9:$F$308,"S1",'Activity Data'!$V$9:$V$308,"Ready")),"Ready","Activity incomplete"),"Method required")))))))</x:f>
      </x:c>
      <x:c r="W41" s="8"/>
      <x:c r="X41" s="16"/>
      <x:c r="Y41" s="8"/>
      <x:c r="Z41" s="23" t="str">
        <x:f>IF(AB41="Ready",IF(W41="Activity",SUMIFS('Activity Data'!$U$9:$U$308,'Activity Data'!$D$9:$D$308,C41,'Activity Data'!$F$9:$F$308,"S2"),X41),"")</x:f>
      </x:c>
      <x:c r="AA41" s="44" t="str">
        <x:f>IF(AB41&lt;&gt;"Ready","",IF(W41="Reported verified",1,IF(W41="Reported unverified",2,IF(F41="Motor",1,2))))</x:f>
      </x:c>
      <x:c r="AB41" s="9" t="str">
        <x:f>IF(C41="","",IF(W41="Not assessed","Not assessed",IF(OR(O41="",NOT(ISNUMBER(H41)),NOT(ISNUMBER(P41))),"Evidence required",IF(OR(P41&lt;'Settings'!$F$8,H41&gt;'Settings'!$F$8,YEAR(H41)&lt;&gt;YEAR('Settings'!$F$8)),"Period / expiry review",IF(Y41&lt;&gt;"Yes","Boundary incomplete",IF(OR(AND(AC41&lt;&gt;"Location-based",AC41&lt;&gt;"Market-based"),AND(W41="Activity",AC41&lt;&gt;"Location-based")),"S2 basis mismatch",IF(OR(W41="Reported verified",W41="Reported unverified"),IF(NOT(OR(F41="Corporate private",F41="Corporate listed",F41="Project finance")),"Asset method required",IF(OR(NOT(ISNUMBER(X41)),X41&lt;0),"Reported value required","Ready")),IF(W41="Activity",IF(AND(COUNTIFS('Activity Data'!$D$9:$D$308,C41,'Activity Data'!$F$9:$F$308,"S2")&gt;0,COUNTIFS('Activity Data'!$D$9:$D$308,C41,'Activity Data'!$F$9:$F$308,"S2")=COUNTIFS('Activity Data'!$D$9:$D$308,C41,'Activity Data'!$F$9:$F$308,"S2",'Activity Data'!$V$9:$V$308,"Ready")),"Ready","Activity incomplete"),"Method required"))))))))</x:f>
      </x:c>
      <x:c r="AC41" s="8"/>
      <x:c r="AD41" s="8"/>
      <x:c r="AE41" s="16"/>
      <x:c r="AF41" s="8"/>
      <x:c r="AG41" s="23" t="str">
        <x:f>IF(AI41="Ready",IF(AD41="Activity",SUMIFS('Activity Data'!$U$9:$U$308,'Activity Data'!$D$9:$D$308,C41,'Activity Data'!$F$9:$F$308,"S3"),AE41),"")</x:f>
      </x:c>
      <x:c r="AH41" s="44" t="str">
        <x:f>IF(AI41&lt;&gt;"Ready","",IF(AD41="Reported verified",1,IF(AD41="Reported unverified",2,IF(F41="Motor",1,2))))</x:f>
      </x:c>
      <x:c r="AI41" s="9" t="str">
        <x:f>IF(C41="","",IF(AD41="Not assessed","Not assessed",IF(OR(O41="",NOT(ISNUMBER(H41)),NOT(ISNUMBER(P41))),"Evidence required",IF(OR(P41&lt;'Settings'!$F$8,H41&gt;'Settings'!$F$8,YEAR(H41)&lt;&gt;YEAR('Settings'!$F$8)),"Period / expiry review",IF(AF41&lt;&gt;"Yes","Boundary incomplete",IF(AM41="","S3 screening required",IF(OR(AD41="Reported verified",AD41="Reported unverified"),IF(NOT(OR(F41="Corporate private",F41="Corporate listed",F41="Project finance")),"Asset method required",IF(OR(NOT(ISNUMBER(AE41)),AE41&lt;0),"Reported value required","Ready")),"Scope 3 method required")))))))</x:f>
      </x:c>
      <x:c r="AJ41" s="9" t="str">
        <x:f>IF(C41="","",IF(OR(F41="Corporate private",F41="Corporate listed"),IFERROR(IF(INDEX('Borrowers'!$X$9:$X$108,MATCH(D41,'Borrowers'!$C$9:$C$108,0))="","",INDEX('Borrowers'!$X$9:$X$108,MATCH(D41,'Borrowers'!$C$9:$C$108,0))),""),IF(AQ41="","",AQ41)))</x:f>
      </x:c>
      <x:c r="AK41" s="43" t="str">
        <x:f>IF(C41="","",IF(OR(F41="Corporate private",F41="Corporate listed"),IFERROR(IF(INDEX('Borrowers'!$H$9:$H$108,MATCH(D41,'Borrowers'!$C$9:$C$108,0))="","",INDEX('Borrowers'!$H$9:$H$108,MATCH(D41,'Borrowers'!$C$9:$C$108,0))),""),IF(AR41="","",AR41)))</x:f>
      </x:c>
      <x:c r="AL41" s="9" t="str">
        <x:f>IF(C41="","",IF(COUNTIFS($C$9:$C$108,C41)&lt;&gt;1,"Duplicate entity ID",IF(COUNTIFS('Borrowers'!$C$9:$C$108,D41)&lt;&gt;1,"Borrower required",IF(AND(F41&lt;&gt;"Corporate private",F41&lt;&gt;"Corporate listed",F41&lt;&gt;"Project finance",F41&lt;&gt;"CRE",F41&lt;&gt;"Mortgage",F41&lt;&gt;"Motor"),"Method required",IF(OR(AND(F41="Corporate private",IFERROR(IF(INDEX('Borrowers'!$G$9:$G$108,MATCH(D41,'Borrowers'!$C$9:$C$108,0))="","",INDEX('Borrowers'!$G$9:$G$108,MATCH(D41,'Borrowers'!$C$9:$C$108,0))),"")&lt;&gt;"Private"),AND(F41="Corporate listed",IFERROR(IF(INDEX('Borrowers'!$G$9:$G$108,MATCH(D41,'Borrowers'!$C$9:$C$108,0))="","",INDEX('Borrowers'!$G$9:$G$108,MATCH(D41,'Borrowers'!$C$9:$C$108,0))),"")&lt;&gt;"Listed")),"Listing / class mismatch",IF(OR(NOT(ISNUMBER(N41)),N41&lt;=0,AJ41="",NOT(ISNUMBER(AK41))),"Value evidence required",IF(AND(OR(F41="Corporate private",F41="Corporate listed"),IFERROR(IF(INDEX('Borrowers'!$Y$9:$Y$108,MATCH(D41,'Borrowers'!$C$9:$C$108,0))="","",INDEX('Borrowers'!$Y$9:$Y$108,MATCH(D41,'Borrowers'!$C$9:$C$108,0))),"")&lt;'Settings'!$F$8),"Expired financial evidence",IF(AK41&gt;'Settings'!$F$8,"Future value date",IF(OR(AND(OR(F41="Corporate private",F41="Project finance"),OR(J41&lt;0,M41&lt;&gt;"Current financials")),AND(F41="Corporate listed",M41&lt;&gt;"Current financials"),AND(OR(F41="CRE",F41="Mortgage",F41="Motor"),AND(M41&lt;&gt;"Origination",M41&lt;&gt;"Fixed fallback"))),"Value basis review",IF(AND(M41="Current financials",YEAR(AK41)&lt;&gt;YEAR('Settings'!$F$8)),"Stale financial period","Ready"))))))))))</x:f>
      </x:c>
      <x:c r="AM41" s="8"/>
      <x:c r="AN41" s="8"/>
      <x:c r="AO41" s="16"/>
      <x:c r="AP41" s="16"/>
      <x:c r="AQ41" s="8"/>
      <x:c r="AR41" s="40"/>
    </x:row>
    <x:row r="42" ht="40" customHeight="1">
      <x:c r="A42" s="1"/>
      <x:c r="B42" s="1"/>
      <x:c r="C42" s="8"/>
      <x:c r="D42" s="8"/>
      <x:c r="E42" s="8"/>
      <x:c r="F42" s="8"/>
      <x:c r="G42" s="9" t="str">
        <x:f>IF(C42="","",IFERROR(IF(INDEX('Borrowers'!$E$9:$E$108,MATCH(D42,'Borrowers'!$C$9:$C$108,0))="","",INDEX('Borrowers'!$E$9:$E$108,MATCH(D42,'Borrowers'!$C$9:$C$108,0))),""))</x:f>
      </x:c>
      <x:c r="H42" s="40"/>
      <x:c r="I42" s="23" t="str">
        <x:f>IF(C42="","",IF(OR(F42="Corporate private",F42="Corporate listed"),IFERROR(IF(INDEX('Borrowers'!$M$9:$M$108,MATCH(D42,'Borrowers'!$C$9:$C$108,0))="","",INDEX('Borrowers'!$M$9:$M$108,MATCH(D42,'Borrowers'!$C$9:$C$108,0))),""),IF(F42="Project finance",IF(ISNUMBER(AO42),AO42,""),"")))</x:f>
      </x:c>
      <x:c r="J42" s="23" t="str">
        <x:f>IF(C42="","",IF(OR(F42="Corporate private",F42="Corporate listed"),IFERROR(IF(INDEX('Borrowers'!$N$9:$N$108,MATCH(D42,'Borrowers'!$C$9:$C$108,0))="","",INDEX('Borrowers'!$N$9:$N$108,MATCH(D42,'Borrowers'!$C$9:$C$108,0))),""),IF(F42="Project finance",IF(ISNUMBER(AP42),AP42,""),"")))</x:f>
      </x:c>
      <x:c r="K42" s="23" t="str">
        <x:f>IF(C42="","",IF(F42="Corporate listed",IFERROR(IF(INDEX('Borrowers'!$O$9:$O$108,MATCH(D42,'Borrowers'!$C$9:$C$108,0))="","",INDEX('Borrowers'!$O$9:$O$108,MATCH(D42,'Borrowers'!$C$9:$C$108,0))),""),""))</x:f>
      </x:c>
      <x:c r="L42" s="16"/>
      <x:c r="M42" s="8"/>
      <x:c r="N42" s="21" t="str">
        <x:f>IF(C42="","",IF(F42="Corporate listed",IF(ISNUMBER(K42),K42,""),IF(OR(F42="Corporate private",F42="Project finance"),IF(AND(ISNUMBER(I42),ISNUMBER(J42)),MAX(I42,0)+J42,""),IF(OR(F42="CRE",F42="Mortgage",F42="Motor"),IF(ISNUMBER(L42),L42,""),""))))</x:f>
      </x:c>
      <x:c r="O42" s="8"/>
      <x:c r="P42" s="40"/>
      <x:c r="Q42" s="8"/>
      <x:c r="R42" s="16"/>
      <x:c r="S42" s="8"/>
      <x:c r="T42" s="23" t="str">
        <x:f>IF(V42="Ready",IF(Q42="Activity",SUMIFS('Activity Data'!$U$9:$U$308,'Activity Data'!$D$9:$D$308,C42,'Activity Data'!$F$9:$F$308,"S1"),R42),"")</x:f>
      </x:c>
      <x:c r="U42" s="44" t="str">
        <x:f>IF(V42&lt;&gt;"Ready","",IF(Q42="Reported verified",1,IF(Q42="Reported unverified",2,IF(F42="Motor",1,2))))</x:f>
      </x:c>
      <x:c r="V42" s="9" t="str">
        <x:f>IF(C42="","",IF(Q42="Not assessed","Not assessed",IF(OR(O42="",NOT(ISNUMBER(H42)),NOT(ISNUMBER(P42))),"Evidence required",IF(OR(P42&lt;'Settings'!$F$8,H42&gt;'Settings'!$F$8,YEAR(H42)&lt;&gt;YEAR('Settings'!$F$8)),"Period / expiry review",IF(S42&lt;&gt;"Yes","Boundary incomplete",IF(OR(Q42="Reported verified",Q42="Reported unverified"),IF(NOT(OR(F42="Corporate private",F42="Corporate listed",F42="Project finance")),"Asset method required",IF(OR(NOT(ISNUMBER(R42)),R42&lt;0),"Reported value required","Ready")),IF(Q42="Activity",IF(AND(COUNTIFS('Activity Data'!$D$9:$D$308,C42,'Activity Data'!$F$9:$F$308,"S1")&gt;0,COUNTIFS('Activity Data'!$D$9:$D$308,C42,'Activity Data'!$F$9:$F$308,"S1")=COUNTIFS('Activity Data'!$D$9:$D$308,C42,'Activity Data'!$F$9:$F$308,"S1",'Activity Data'!$V$9:$V$308,"Ready")),"Ready","Activity incomplete"),"Method required")))))))</x:f>
      </x:c>
      <x:c r="W42" s="8"/>
      <x:c r="X42" s="16"/>
      <x:c r="Y42" s="8"/>
      <x:c r="Z42" s="23" t="str">
        <x:f>IF(AB42="Ready",IF(W42="Activity",SUMIFS('Activity Data'!$U$9:$U$308,'Activity Data'!$D$9:$D$308,C42,'Activity Data'!$F$9:$F$308,"S2"),X42),"")</x:f>
      </x:c>
      <x:c r="AA42" s="44" t="str">
        <x:f>IF(AB42&lt;&gt;"Ready","",IF(W42="Reported verified",1,IF(W42="Reported unverified",2,IF(F42="Motor",1,2))))</x:f>
      </x:c>
      <x:c r="AB42" s="9" t="str">
        <x:f>IF(C42="","",IF(W42="Not assessed","Not assessed",IF(OR(O42="",NOT(ISNUMBER(H42)),NOT(ISNUMBER(P42))),"Evidence required",IF(OR(P42&lt;'Settings'!$F$8,H42&gt;'Settings'!$F$8,YEAR(H42)&lt;&gt;YEAR('Settings'!$F$8)),"Period / expiry review",IF(Y42&lt;&gt;"Yes","Boundary incomplete",IF(OR(AND(AC42&lt;&gt;"Location-based",AC42&lt;&gt;"Market-based"),AND(W42="Activity",AC42&lt;&gt;"Location-based")),"S2 basis mismatch",IF(OR(W42="Reported verified",W42="Reported unverified"),IF(NOT(OR(F42="Corporate private",F42="Corporate listed",F42="Project finance")),"Asset method required",IF(OR(NOT(ISNUMBER(X42)),X42&lt;0),"Reported value required","Ready")),IF(W42="Activity",IF(AND(COUNTIFS('Activity Data'!$D$9:$D$308,C42,'Activity Data'!$F$9:$F$308,"S2")&gt;0,COUNTIFS('Activity Data'!$D$9:$D$308,C42,'Activity Data'!$F$9:$F$308,"S2")=COUNTIFS('Activity Data'!$D$9:$D$308,C42,'Activity Data'!$F$9:$F$308,"S2",'Activity Data'!$V$9:$V$308,"Ready")),"Ready","Activity incomplete"),"Method required"))))))))</x:f>
      </x:c>
      <x:c r="AC42" s="8"/>
      <x:c r="AD42" s="8"/>
      <x:c r="AE42" s="16"/>
      <x:c r="AF42" s="8"/>
      <x:c r="AG42" s="23" t="str">
        <x:f>IF(AI42="Ready",IF(AD42="Activity",SUMIFS('Activity Data'!$U$9:$U$308,'Activity Data'!$D$9:$D$308,C42,'Activity Data'!$F$9:$F$308,"S3"),AE42),"")</x:f>
      </x:c>
      <x:c r="AH42" s="44" t="str">
        <x:f>IF(AI42&lt;&gt;"Ready","",IF(AD42="Reported verified",1,IF(AD42="Reported unverified",2,IF(F42="Motor",1,2))))</x:f>
      </x:c>
      <x:c r="AI42" s="9" t="str">
        <x:f>IF(C42="","",IF(AD42="Not assessed","Not assessed",IF(OR(O42="",NOT(ISNUMBER(H42)),NOT(ISNUMBER(P42))),"Evidence required",IF(OR(P42&lt;'Settings'!$F$8,H42&gt;'Settings'!$F$8,YEAR(H42)&lt;&gt;YEAR('Settings'!$F$8)),"Period / expiry review",IF(AF42&lt;&gt;"Yes","Boundary incomplete",IF(AM42="","S3 screening required",IF(OR(AD42="Reported verified",AD42="Reported unverified"),IF(NOT(OR(F42="Corporate private",F42="Corporate listed",F42="Project finance")),"Asset method required",IF(OR(NOT(ISNUMBER(AE42)),AE42&lt;0),"Reported value required","Ready")),"Scope 3 method required")))))))</x:f>
      </x:c>
      <x:c r="AJ42" s="9" t="str">
        <x:f>IF(C42="","",IF(OR(F42="Corporate private",F42="Corporate listed"),IFERROR(IF(INDEX('Borrowers'!$X$9:$X$108,MATCH(D42,'Borrowers'!$C$9:$C$108,0))="","",INDEX('Borrowers'!$X$9:$X$108,MATCH(D42,'Borrowers'!$C$9:$C$108,0))),""),IF(AQ42="","",AQ42)))</x:f>
      </x:c>
      <x:c r="AK42" s="43" t="str">
        <x:f>IF(C42="","",IF(OR(F42="Corporate private",F42="Corporate listed"),IFERROR(IF(INDEX('Borrowers'!$H$9:$H$108,MATCH(D42,'Borrowers'!$C$9:$C$108,0))="","",INDEX('Borrowers'!$H$9:$H$108,MATCH(D42,'Borrowers'!$C$9:$C$108,0))),""),IF(AR42="","",AR42)))</x:f>
      </x:c>
      <x:c r="AL42" s="9" t="str">
        <x:f>IF(C42="","",IF(COUNTIFS($C$9:$C$108,C42)&lt;&gt;1,"Duplicate entity ID",IF(COUNTIFS('Borrowers'!$C$9:$C$108,D42)&lt;&gt;1,"Borrower required",IF(AND(F42&lt;&gt;"Corporate private",F42&lt;&gt;"Corporate listed",F42&lt;&gt;"Project finance",F42&lt;&gt;"CRE",F42&lt;&gt;"Mortgage",F42&lt;&gt;"Motor"),"Method required",IF(OR(AND(F42="Corporate private",IFERROR(IF(INDEX('Borrowers'!$G$9:$G$108,MATCH(D42,'Borrowers'!$C$9:$C$108,0))="","",INDEX('Borrowers'!$G$9:$G$108,MATCH(D42,'Borrowers'!$C$9:$C$108,0))),"")&lt;&gt;"Private"),AND(F42="Corporate listed",IFERROR(IF(INDEX('Borrowers'!$G$9:$G$108,MATCH(D42,'Borrowers'!$C$9:$C$108,0))="","",INDEX('Borrowers'!$G$9:$G$108,MATCH(D42,'Borrowers'!$C$9:$C$108,0))),"")&lt;&gt;"Listed")),"Listing / class mismatch",IF(OR(NOT(ISNUMBER(N42)),N42&lt;=0,AJ42="",NOT(ISNUMBER(AK42))),"Value evidence required",IF(AND(OR(F42="Corporate private",F42="Corporate listed"),IFERROR(IF(INDEX('Borrowers'!$Y$9:$Y$108,MATCH(D42,'Borrowers'!$C$9:$C$108,0))="","",INDEX('Borrowers'!$Y$9:$Y$108,MATCH(D42,'Borrowers'!$C$9:$C$108,0))),"")&lt;'Settings'!$F$8),"Expired financial evidence",IF(AK42&gt;'Settings'!$F$8,"Future value date",IF(OR(AND(OR(F42="Corporate private",F42="Project finance"),OR(J42&lt;0,M42&lt;&gt;"Current financials")),AND(F42="Corporate listed",M42&lt;&gt;"Current financials"),AND(OR(F42="CRE",F42="Mortgage",F42="Motor"),AND(M42&lt;&gt;"Origination",M42&lt;&gt;"Fixed fallback"))),"Value basis review",IF(AND(M42="Current financials",YEAR(AK42)&lt;&gt;YEAR('Settings'!$F$8)),"Stale financial period","Ready"))))))))))</x:f>
      </x:c>
      <x:c r="AM42" s="8"/>
      <x:c r="AN42" s="8"/>
      <x:c r="AO42" s="16"/>
      <x:c r="AP42" s="16"/>
      <x:c r="AQ42" s="8"/>
      <x:c r="AR42" s="40"/>
    </x:row>
    <x:row r="43" ht="40" customHeight="1">
      <x:c r="A43" s="1"/>
      <x:c r="B43" s="1"/>
      <x:c r="C43" s="8"/>
      <x:c r="D43" s="8"/>
      <x:c r="E43" s="8"/>
      <x:c r="F43" s="8"/>
      <x:c r="G43" s="9" t="str">
        <x:f>IF(C43="","",IFERROR(IF(INDEX('Borrowers'!$E$9:$E$108,MATCH(D43,'Borrowers'!$C$9:$C$108,0))="","",INDEX('Borrowers'!$E$9:$E$108,MATCH(D43,'Borrowers'!$C$9:$C$108,0))),""))</x:f>
      </x:c>
      <x:c r="H43" s="40"/>
      <x:c r="I43" s="23" t="str">
        <x:f>IF(C43="","",IF(OR(F43="Corporate private",F43="Corporate listed"),IFERROR(IF(INDEX('Borrowers'!$M$9:$M$108,MATCH(D43,'Borrowers'!$C$9:$C$108,0))="","",INDEX('Borrowers'!$M$9:$M$108,MATCH(D43,'Borrowers'!$C$9:$C$108,0))),""),IF(F43="Project finance",IF(ISNUMBER(AO43),AO43,""),"")))</x:f>
      </x:c>
      <x:c r="J43" s="23" t="str">
        <x:f>IF(C43="","",IF(OR(F43="Corporate private",F43="Corporate listed"),IFERROR(IF(INDEX('Borrowers'!$N$9:$N$108,MATCH(D43,'Borrowers'!$C$9:$C$108,0))="","",INDEX('Borrowers'!$N$9:$N$108,MATCH(D43,'Borrowers'!$C$9:$C$108,0))),""),IF(F43="Project finance",IF(ISNUMBER(AP43),AP43,""),"")))</x:f>
      </x:c>
      <x:c r="K43" s="23" t="str">
        <x:f>IF(C43="","",IF(F43="Corporate listed",IFERROR(IF(INDEX('Borrowers'!$O$9:$O$108,MATCH(D43,'Borrowers'!$C$9:$C$108,0))="","",INDEX('Borrowers'!$O$9:$O$108,MATCH(D43,'Borrowers'!$C$9:$C$108,0))),""),""))</x:f>
      </x:c>
      <x:c r="L43" s="16"/>
      <x:c r="M43" s="8"/>
      <x:c r="N43" s="21" t="str">
        <x:f>IF(C43="","",IF(F43="Corporate listed",IF(ISNUMBER(K43),K43,""),IF(OR(F43="Corporate private",F43="Project finance"),IF(AND(ISNUMBER(I43),ISNUMBER(J43)),MAX(I43,0)+J43,""),IF(OR(F43="CRE",F43="Mortgage",F43="Motor"),IF(ISNUMBER(L43),L43,""),""))))</x:f>
      </x:c>
      <x:c r="O43" s="8"/>
      <x:c r="P43" s="40"/>
      <x:c r="Q43" s="8"/>
      <x:c r="R43" s="16"/>
      <x:c r="S43" s="8"/>
      <x:c r="T43" s="23" t="str">
        <x:f>IF(V43="Ready",IF(Q43="Activity",SUMIFS('Activity Data'!$U$9:$U$308,'Activity Data'!$D$9:$D$308,C43,'Activity Data'!$F$9:$F$308,"S1"),R43),"")</x:f>
      </x:c>
      <x:c r="U43" s="44" t="str">
        <x:f>IF(V43&lt;&gt;"Ready","",IF(Q43="Reported verified",1,IF(Q43="Reported unverified",2,IF(F43="Motor",1,2))))</x:f>
      </x:c>
      <x:c r="V43" s="9" t="str">
        <x:f>IF(C43="","",IF(Q43="Not assessed","Not assessed",IF(OR(O43="",NOT(ISNUMBER(H43)),NOT(ISNUMBER(P43))),"Evidence required",IF(OR(P43&lt;'Settings'!$F$8,H43&gt;'Settings'!$F$8,YEAR(H43)&lt;&gt;YEAR('Settings'!$F$8)),"Period / expiry review",IF(S43&lt;&gt;"Yes","Boundary incomplete",IF(OR(Q43="Reported verified",Q43="Reported unverified"),IF(NOT(OR(F43="Corporate private",F43="Corporate listed",F43="Project finance")),"Asset method required",IF(OR(NOT(ISNUMBER(R43)),R43&lt;0),"Reported value required","Ready")),IF(Q43="Activity",IF(AND(COUNTIFS('Activity Data'!$D$9:$D$308,C43,'Activity Data'!$F$9:$F$308,"S1")&gt;0,COUNTIFS('Activity Data'!$D$9:$D$308,C43,'Activity Data'!$F$9:$F$308,"S1")=COUNTIFS('Activity Data'!$D$9:$D$308,C43,'Activity Data'!$F$9:$F$308,"S1",'Activity Data'!$V$9:$V$308,"Ready")),"Ready","Activity incomplete"),"Method required")))))))</x:f>
      </x:c>
      <x:c r="W43" s="8"/>
      <x:c r="X43" s="16"/>
      <x:c r="Y43" s="8"/>
      <x:c r="Z43" s="23" t="str">
        <x:f>IF(AB43="Ready",IF(W43="Activity",SUMIFS('Activity Data'!$U$9:$U$308,'Activity Data'!$D$9:$D$308,C43,'Activity Data'!$F$9:$F$308,"S2"),X43),"")</x:f>
      </x:c>
      <x:c r="AA43" s="44" t="str">
        <x:f>IF(AB43&lt;&gt;"Ready","",IF(W43="Reported verified",1,IF(W43="Reported unverified",2,IF(F43="Motor",1,2))))</x:f>
      </x:c>
      <x:c r="AB43" s="9" t="str">
        <x:f>IF(C43="","",IF(W43="Not assessed","Not assessed",IF(OR(O43="",NOT(ISNUMBER(H43)),NOT(ISNUMBER(P43))),"Evidence required",IF(OR(P43&lt;'Settings'!$F$8,H43&gt;'Settings'!$F$8,YEAR(H43)&lt;&gt;YEAR('Settings'!$F$8)),"Period / expiry review",IF(Y43&lt;&gt;"Yes","Boundary incomplete",IF(OR(AND(AC43&lt;&gt;"Location-based",AC43&lt;&gt;"Market-based"),AND(W43="Activity",AC43&lt;&gt;"Location-based")),"S2 basis mismatch",IF(OR(W43="Reported verified",W43="Reported unverified"),IF(NOT(OR(F43="Corporate private",F43="Corporate listed",F43="Project finance")),"Asset method required",IF(OR(NOT(ISNUMBER(X43)),X43&lt;0),"Reported value required","Ready")),IF(W43="Activity",IF(AND(COUNTIFS('Activity Data'!$D$9:$D$308,C43,'Activity Data'!$F$9:$F$308,"S2")&gt;0,COUNTIFS('Activity Data'!$D$9:$D$308,C43,'Activity Data'!$F$9:$F$308,"S2")=COUNTIFS('Activity Data'!$D$9:$D$308,C43,'Activity Data'!$F$9:$F$308,"S2",'Activity Data'!$V$9:$V$308,"Ready")),"Ready","Activity incomplete"),"Method required"))))))))</x:f>
      </x:c>
      <x:c r="AC43" s="8"/>
      <x:c r="AD43" s="8"/>
      <x:c r="AE43" s="16"/>
      <x:c r="AF43" s="8"/>
      <x:c r="AG43" s="23" t="str">
        <x:f>IF(AI43="Ready",IF(AD43="Activity",SUMIFS('Activity Data'!$U$9:$U$308,'Activity Data'!$D$9:$D$308,C43,'Activity Data'!$F$9:$F$308,"S3"),AE43),"")</x:f>
      </x:c>
      <x:c r="AH43" s="44" t="str">
        <x:f>IF(AI43&lt;&gt;"Ready","",IF(AD43="Reported verified",1,IF(AD43="Reported unverified",2,IF(F43="Motor",1,2))))</x:f>
      </x:c>
      <x:c r="AI43" s="9" t="str">
        <x:f>IF(C43="","",IF(AD43="Not assessed","Not assessed",IF(OR(O43="",NOT(ISNUMBER(H43)),NOT(ISNUMBER(P43))),"Evidence required",IF(OR(P43&lt;'Settings'!$F$8,H43&gt;'Settings'!$F$8,YEAR(H43)&lt;&gt;YEAR('Settings'!$F$8)),"Period / expiry review",IF(AF43&lt;&gt;"Yes","Boundary incomplete",IF(AM43="","S3 screening required",IF(OR(AD43="Reported verified",AD43="Reported unverified"),IF(NOT(OR(F43="Corporate private",F43="Corporate listed",F43="Project finance")),"Asset method required",IF(OR(NOT(ISNUMBER(AE43)),AE43&lt;0),"Reported value required","Ready")),"Scope 3 method required")))))))</x:f>
      </x:c>
      <x:c r="AJ43" s="9" t="str">
        <x:f>IF(C43="","",IF(OR(F43="Corporate private",F43="Corporate listed"),IFERROR(IF(INDEX('Borrowers'!$X$9:$X$108,MATCH(D43,'Borrowers'!$C$9:$C$108,0))="","",INDEX('Borrowers'!$X$9:$X$108,MATCH(D43,'Borrowers'!$C$9:$C$108,0))),""),IF(AQ43="","",AQ43)))</x:f>
      </x:c>
      <x:c r="AK43" s="43" t="str">
        <x:f>IF(C43="","",IF(OR(F43="Corporate private",F43="Corporate listed"),IFERROR(IF(INDEX('Borrowers'!$H$9:$H$108,MATCH(D43,'Borrowers'!$C$9:$C$108,0))="","",INDEX('Borrowers'!$H$9:$H$108,MATCH(D43,'Borrowers'!$C$9:$C$108,0))),""),IF(AR43="","",AR43)))</x:f>
      </x:c>
      <x:c r="AL43" s="9" t="str">
        <x:f>IF(C43="","",IF(COUNTIFS($C$9:$C$108,C43)&lt;&gt;1,"Duplicate entity ID",IF(COUNTIFS('Borrowers'!$C$9:$C$108,D43)&lt;&gt;1,"Borrower required",IF(AND(F43&lt;&gt;"Corporate private",F43&lt;&gt;"Corporate listed",F43&lt;&gt;"Project finance",F43&lt;&gt;"CRE",F43&lt;&gt;"Mortgage",F43&lt;&gt;"Motor"),"Method required",IF(OR(AND(F43="Corporate private",IFERROR(IF(INDEX('Borrowers'!$G$9:$G$108,MATCH(D43,'Borrowers'!$C$9:$C$108,0))="","",INDEX('Borrowers'!$G$9:$G$108,MATCH(D43,'Borrowers'!$C$9:$C$108,0))),"")&lt;&gt;"Private"),AND(F43="Corporate listed",IFERROR(IF(INDEX('Borrowers'!$G$9:$G$108,MATCH(D43,'Borrowers'!$C$9:$C$108,0))="","",INDEX('Borrowers'!$G$9:$G$108,MATCH(D43,'Borrowers'!$C$9:$C$108,0))),"")&lt;&gt;"Listed")),"Listing / class mismatch",IF(OR(NOT(ISNUMBER(N43)),N43&lt;=0,AJ43="",NOT(ISNUMBER(AK43))),"Value evidence required",IF(AND(OR(F43="Corporate private",F43="Corporate listed"),IFERROR(IF(INDEX('Borrowers'!$Y$9:$Y$108,MATCH(D43,'Borrowers'!$C$9:$C$108,0))="","",INDEX('Borrowers'!$Y$9:$Y$108,MATCH(D43,'Borrowers'!$C$9:$C$108,0))),"")&lt;'Settings'!$F$8),"Expired financial evidence",IF(AK43&gt;'Settings'!$F$8,"Future value date",IF(OR(AND(OR(F43="Corporate private",F43="Project finance"),OR(J43&lt;0,M43&lt;&gt;"Current financials")),AND(F43="Corporate listed",M43&lt;&gt;"Current financials"),AND(OR(F43="CRE",F43="Mortgage",F43="Motor"),AND(M43&lt;&gt;"Origination",M43&lt;&gt;"Fixed fallback"))),"Value basis review",IF(AND(M43="Current financials",YEAR(AK43)&lt;&gt;YEAR('Settings'!$F$8)),"Stale financial period","Ready"))))))))))</x:f>
      </x:c>
      <x:c r="AM43" s="8"/>
      <x:c r="AN43" s="8"/>
      <x:c r="AO43" s="16"/>
      <x:c r="AP43" s="16"/>
      <x:c r="AQ43" s="8"/>
      <x:c r="AR43" s="40"/>
    </x:row>
    <x:row r="44" ht="40" customHeight="1">
      <x:c r="A44" s="1"/>
      <x:c r="B44" s="1"/>
      <x:c r="C44" s="8"/>
      <x:c r="D44" s="8"/>
      <x:c r="E44" s="8"/>
      <x:c r="F44" s="8"/>
      <x:c r="G44" s="9" t="str">
        <x:f>IF(C44="","",IFERROR(IF(INDEX('Borrowers'!$E$9:$E$108,MATCH(D44,'Borrowers'!$C$9:$C$108,0))="","",INDEX('Borrowers'!$E$9:$E$108,MATCH(D44,'Borrowers'!$C$9:$C$108,0))),""))</x:f>
      </x:c>
      <x:c r="H44" s="40"/>
      <x:c r="I44" s="23" t="str">
        <x:f>IF(C44="","",IF(OR(F44="Corporate private",F44="Corporate listed"),IFERROR(IF(INDEX('Borrowers'!$M$9:$M$108,MATCH(D44,'Borrowers'!$C$9:$C$108,0))="","",INDEX('Borrowers'!$M$9:$M$108,MATCH(D44,'Borrowers'!$C$9:$C$108,0))),""),IF(F44="Project finance",IF(ISNUMBER(AO44),AO44,""),"")))</x:f>
      </x:c>
      <x:c r="J44" s="23" t="str">
        <x:f>IF(C44="","",IF(OR(F44="Corporate private",F44="Corporate listed"),IFERROR(IF(INDEX('Borrowers'!$N$9:$N$108,MATCH(D44,'Borrowers'!$C$9:$C$108,0))="","",INDEX('Borrowers'!$N$9:$N$108,MATCH(D44,'Borrowers'!$C$9:$C$108,0))),""),IF(F44="Project finance",IF(ISNUMBER(AP44),AP44,""),"")))</x:f>
      </x:c>
      <x:c r="K44" s="23" t="str">
        <x:f>IF(C44="","",IF(F44="Corporate listed",IFERROR(IF(INDEX('Borrowers'!$O$9:$O$108,MATCH(D44,'Borrowers'!$C$9:$C$108,0))="","",INDEX('Borrowers'!$O$9:$O$108,MATCH(D44,'Borrowers'!$C$9:$C$108,0))),""),""))</x:f>
      </x:c>
      <x:c r="L44" s="16"/>
      <x:c r="M44" s="8"/>
      <x:c r="N44" s="21" t="str">
        <x:f>IF(C44="","",IF(F44="Corporate listed",IF(ISNUMBER(K44),K44,""),IF(OR(F44="Corporate private",F44="Project finance"),IF(AND(ISNUMBER(I44),ISNUMBER(J44)),MAX(I44,0)+J44,""),IF(OR(F44="CRE",F44="Mortgage",F44="Motor"),IF(ISNUMBER(L44),L44,""),""))))</x:f>
      </x:c>
      <x:c r="O44" s="8"/>
      <x:c r="P44" s="40"/>
      <x:c r="Q44" s="8"/>
      <x:c r="R44" s="16"/>
      <x:c r="S44" s="8"/>
      <x:c r="T44" s="23" t="str">
        <x:f>IF(V44="Ready",IF(Q44="Activity",SUMIFS('Activity Data'!$U$9:$U$308,'Activity Data'!$D$9:$D$308,C44,'Activity Data'!$F$9:$F$308,"S1"),R44),"")</x:f>
      </x:c>
      <x:c r="U44" s="44" t="str">
        <x:f>IF(V44&lt;&gt;"Ready","",IF(Q44="Reported verified",1,IF(Q44="Reported unverified",2,IF(F44="Motor",1,2))))</x:f>
      </x:c>
      <x:c r="V44" s="9" t="str">
        <x:f>IF(C44="","",IF(Q44="Not assessed","Not assessed",IF(OR(O44="",NOT(ISNUMBER(H44)),NOT(ISNUMBER(P44))),"Evidence required",IF(OR(P44&lt;'Settings'!$F$8,H44&gt;'Settings'!$F$8,YEAR(H44)&lt;&gt;YEAR('Settings'!$F$8)),"Period / expiry review",IF(S44&lt;&gt;"Yes","Boundary incomplete",IF(OR(Q44="Reported verified",Q44="Reported unverified"),IF(NOT(OR(F44="Corporate private",F44="Corporate listed",F44="Project finance")),"Asset method required",IF(OR(NOT(ISNUMBER(R44)),R44&lt;0),"Reported value required","Ready")),IF(Q44="Activity",IF(AND(COUNTIFS('Activity Data'!$D$9:$D$308,C44,'Activity Data'!$F$9:$F$308,"S1")&gt;0,COUNTIFS('Activity Data'!$D$9:$D$308,C44,'Activity Data'!$F$9:$F$308,"S1")=COUNTIFS('Activity Data'!$D$9:$D$308,C44,'Activity Data'!$F$9:$F$308,"S1",'Activity Data'!$V$9:$V$308,"Ready")),"Ready","Activity incomplete"),"Method required")))))))</x:f>
      </x:c>
      <x:c r="W44" s="8"/>
      <x:c r="X44" s="16"/>
      <x:c r="Y44" s="8"/>
      <x:c r="Z44" s="23" t="str">
        <x:f>IF(AB44="Ready",IF(W44="Activity",SUMIFS('Activity Data'!$U$9:$U$308,'Activity Data'!$D$9:$D$308,C44,'Activity Data'!$F$9:$F$308,"S2"),X44),"")</x:f>
      </x:c>
      <x:c r="AA44" s="44" t="str">
        <x:f>IF(AB44&lt;&gt;"Ready","",IF(W44="Reported verified",1,IF(W44="Reported unverified",2,IF(F44="Motor",1,2))))</x:f>
      </x:c>
      <x:c r="AB44" s="9" t="str">
        <x:f>IF(C44="","",IF(W44="Not assessed","Not assessed",IF(OR(O44="",NOT(ISNUMBER(H44)),NOT(ISNUMBER(P44))),"Evidence required",IF(OR(P44&lt;'Settings'!$F$8,H44&gt;'Settings'!$F$8,YEAR(H44)&lt;&gt;YEAR('Settings'!$F$8)),"Period / expiry review",IF(Y44&lt;&gt;"Yes","Boundary incomplete",IF(OR(AND(AC44&lt;&gt;"Location-based",AC44&lt;&gt;"Market-based"),AND(W44="Activity",AC44&lt;&gt;"Location-based")),"S2 basis mismatch",IF(OR(W44="Reported verified",W44="Reported unverified"),IF(NOT(OR(F44="Corporate private",F44="Corporate listed",F44="Project finance")),"Asset method required",IF(OR(NOT(ISNUMBER(X44)),X44&lt;0),"Reported value required","Ready")),IF(W44="Activity",IF(AND(COUNTIFS('Activity Data'!$D$9:$D$308,C44,'Activity Data'!$F$9:$F$308,"S2")&gt;0,COUNTIFS('Activity Data'!$D$9:$D$308,C44,'Activity Data'!$F$9:$F$308,"S2")=COUNTIFS('Activity Data'!$D$9:$D$308,C44,'Activity Data'!$F$9:$F$308,"S2",'Activity Data'!$V$9:$V$308,"Ready")),"Ready","Activity incomplete"),"Method required"))))))))</x:f>
      </x:c>
      <x:c r="AC44" s="8"/>
      <x:c r="AD44" s="8"/>
      <x:c r="AE44" s="16"/>
      <x:c r="AF44" s="8"/>
      <x:c r="AG44" s="23" t="str">
        <x:f>IF(AI44="Ready",IF(AD44="Activity",SUMIFS('Activity Data'!$U$9:$U$308,'Activity Data'!$D$9:$D$308,C44,'Activity Data'!$F$9:$F$308,"S3"),AE44),"")</x:f>
      </x:c>
      <x:c r="AH44" s="44" t="str">
        <x:f>IF(AI44&lt;&gt;"Ready","",IF(AD44="Reported verified",1,IF(AD44="Reported unverified",2,IF(F44="Motor",1,2))))</x:f>
      </x:c>
      <x:c r="AI44" s="9" t="str">
        <x:f>IF(C44="","",IF(AD44="Not assessed","Not assessed",IF(OR(O44="",NOT(ISNUMBER(H44)),NOT(ISNUMBER(P44))),"Evidence required",IF(OR(P44&lt;'Settings'!$F$8,H44&gt;'Settings'!$F$8,YEAR(H44)&lt;&gt;YEAR('Settings'!$F$8)),"Period / expiry review",IF(AF44&lt;&gt;"Yes","Boundary incomplete",IF(AM44="","S3 screening required",IF(OR(AD44="Reported verified",AD44="Reported unverified"),IF(NOT(OR(F44="Corporate private",F44="Corporate listed",F44="Project finance")),"Asset method required",IF(OR(NOT(ISNUMBER(AE44)),AE44&lt;0),"Reported value required","Ready")),"Scope 3 method required")))))))</x:f>
      </x:c>
      <x:c r="AJ44" s="9" t="str">
        <x:f>IF(C44="","",IF(OR(F44="Corporate private",F44="Corporate listed"),IFERROR(IF(INDEX('Borrowers'!$X$9:$X$108,MATCH(D44,'Borrowers'!$C$9:$C$108,0))="","",INDEX('Borrowers'!$X$9:$X$108,MATCH(D44,'Borrowers'!$C$9:$C$108,0))),""),IF(AQ44="","",AQ44)))</x:f>
      </x:c>
      <x:c r="AK44" s="43" t="str">
        <x:f>IF(C44="","",IF(OR(F44="Corporate private",F44="Corporate listed"),IFERROR(IF(INDEX('Borrowers'!$H$9:$H$108,MATCH(D44,'Borrowers'!$C$9:$C$108,0))="","",INDEX('Borrowers'!$H$9:$H$108,MATCH(D44,'Borrowers'!$C$9:$C$108,0))),""),IF(AR44="","",AR44)))</x:f>
      </x:c>
      <x:c r="AL44" s="9" t="str">
        <x:f>IF(C44="","",IF(COUNTIFS($C$9:$C$108,C44)&lt;&gt;1,"Duplicate entity ID",IF(COUNTIFS('Borrowers'!$C$9:$C$108,D44)&lt;&gt;1,"Borrower required",IF(AND(F44&lt;&gt;"Corporate private",F44&lt;&gt;"Corporate listed",F44&lt;&gt;"Project finance",F44&lt;&gt;"CRE",F44&lt;&gt;"Mortgage",F44&lt;&gt;"Motor"),"Method required",IF(OR(AND(F44="Corporate private",IFERROR(IF(INDEX('Borrowers'!$G$9:$G$108,MATCH(D44,'Borrowers'!$C$9:$C$108,0))="","",INDEX('Borrowers'!$G$9:$G$108,MATCH(D44,'Borrowers'!$C$9:$C$108,0))),"")&lt;&gt;"Private"),AND(F44="Corporate listed",IFERROR(IF(INDEX('Borrowers'!$G$9:$G$108,MATCH(D44,'Borrowers'!$C$9:$C$108,0))="","",INDEX('Borrowers'!$G$9:$G$108,MATCH(D44,'Borrowers'!$C$9:$C$108,0))),"")&lt;&gt;"Listed")),"Listing / class mismatch",IF(OR(NOT(ISNUMBER(N44)),N44&lt;=0,AJ44="",NOT(ISNUMBER(AK44))),"Value evidence required",IF(AND(OR(F44="Corporate private",F44="Corporate listed"),IFERROR(IF(INDEX('Borrowers'!$Y$9:$Y$108,MATCH(D44,'Borrowers'!$C$9:$C$108,0))="","",INDEX('Borrowers'!$Y$9:$Y$108,MATCH(D44,'Borrowers'!$C$9:$C$108,0))),"")&lt;'Settings'!$F$8),"Expired financial evidence",IF(AK44&gt;'Settings'!$F$8,"Future value date",IF(OR(AND(OR(F44="Corporate private",F44="Project finance"),OR(J44&lt;0,M44&lt;&gt;"Current financials")),AND(F44="Corporate listed",M44&lt;&gt;"Current financials"),AND(OR(F44="CRE",F44="Mortgage",F44="Motor"),AND(M44&lt;&gt;"Origination",M44&lt;&gt;"Fixed fallback"))),"Value basis review",IF(AND(M44="Current financials",YEAR(AK44)&lt;&gt;YEAR('Settings'!$F$8)),"Stale financial period","Ready"))))))))))</x:f>
      </x:c>
      <x:c r="AM44" s="8"/>
      <x:c r="AN44" s="8"/>
      <x:c r="AO44" s="16"/>
      <x:c r="AP44" s="16"/>
      <x:c r="AQ44" s="8"/>
      <x:c r="AR44" s="40"/>
    </x:row>
    <x:row r="45" ht="40" customHeight="1">
      <x:c r="A45" s="1"/>
      <x:c r="B45" s="1"/>
      <x:c r="C45" s="8"/>
      <x:c r="D45" s="8"/>
      <x:c r="E45" s="8"/>
      <x:c r="F45" s="8"/>
      <x:c r="G45" s="9" t="str">
        <x:f>IF(C45="","",IFERROR(IF(INDEX('Borrowers'!$E$9:$E$108,MATCH(D45,'Borrowers'!$C$9:$C$108,0))="","",INDEX('Borrowers'!$E$9:$E$108,MATCH(D45,'Borrowers'!$C$9:$C$108,0))),""))</x:f>
      </x:c>
      <x:c r="H45" s="40"/>
      <x:c r="I45" s="23" t="str">
        <x:f>IF(C45="","",IF(OR(F45="Corporate private",F45="Corporate listed"),IFERROR(IF(INDEX('Borrowers'!$M$9:$M$108,MATCH(D45,'Borrowers'!$C$9:$C$108,0))="","",INDEX('Borrowers'!$M$9:$M$108,MATCH(D45,'Borrowers'!$C$9:$C$108,0))),""),IF(F45="Project finance",IF(ISNUMBER(AO45),AO45,""),"")))</x:f>
      </x:c>
      <x:c r="J45" s="23" t="str">
        <x:f>IF(C45="","",IF(OR(F45="Corporate private",F45="Corporate listed"),IFERROR(IF(INDEX('Borrowers'!$N$9:$N$108,MATCH(D45,'Borrowers'!$C$9:$C$108,0))="","",INDEX('Borrowers'!$N$9:$N$108,MATCH(D45,'Borrowers'!$C$9:$C$108,0))),""),IF(F45="Project finance",IF(ISNUMBER(AP45),AP45,""),"")))</x:f>
      </x:c>
      <x:c r="K45" s="23" t="str">
        <x:f>IF(C45="","",IF(F45="Corporate listed",IFERROR(IF(INDEX('Borrowers'!$O$9:$O$108,MATCH(D45,'Borrowers'!$C$9:$C$108,0))="","",INDEX('Borrowers'!$O$9:$O$108,MATCH(D45,'Borrowers'!$C$9:$C$108,0))),""),""))</x:f>
      </x:c>
      <x:c r="L45" s="16"/>
      <x:c r="M45" s="8"/>
      <x:c r="N45" s="21" t="str">
        <x:f>IF(C45="","",IF(F45="Corporate listed",IF(ISNUMBER(K45),K45,""),IF(OR(F45="Corporate private",F45="Project finance"),IF(AND(ISNUMBER(I45),ISNUMBER(J45)),MAX(I45,0)+J45,""),IF(OR(F45="CRE",F45="Mortgage",F45="Motor"),IF(ISNUMBER(L45),L45,""),""))))</x:f>
      </x:c>
      <x:c r="O45" s="8"/>
      <x:c r="P45" s="40"/>
      <x:c r="Q45" s="8"/>
      <x:c r="R45" s="16"/>
      <x:c r="S45" s="8"/>
      <x:c r="T45" s="23" t="str">
        <x:f>IF(V45="Ready",IF(Q45="Activity",SUMIFS('Activity Data'!$U$9:$U$308,'Activity Data'!$D$9:$D$308,C45,'Activity Data'!$F$9:$F$308,"S1"),R45),"")</x:f>
      </x:c>
      <x:c r="U45" s="44" t="str">
        <x:f>IF(V45&lt;&gt;"Ready","",IF(Q45="Reported verified",1,IF(Q45="Reported unverified",2,IF(F45="Motor",1,2))))</x:f>
      </x:c>
      <x:c r="V45" s="9" t="str">
        <x:f>IF(C45="","",IF(Q45="Not assessed","Not assessed",IF(OR(O45="",NOT(ISNUMBER(H45)),NOT(ISNUMBER(P45))),"Evidence required",IF(OR(P45&lt;'Settings'!$F$8,H45&gt;'Settings'!$F$8,YEAR(H45)&lt;&gt;YEAR('Settings'!$F$8)),"Period / expiry review",IF(S45&lt;&gt;"Yes","Boundary incomplete",IF(OR(Q45="Reported verified",Q45="Reported unverified"),IF(NOT(OR(F45="Corporate private",F45="Corporate listed",F45="Project finance")),"Asset method required",IF(OR(NOT(ISNUMBER(R45)),R45&lt;0),"Reported value required","Ready")),IF(Q45="Activity",IF(AND(COUNTIFS('Activity Data'!$D$9:$D$308,C45,'Activity Data'!$F$9:$F$308,"S1")&gt;0,COUNTIFS('Activity Data'!$D$9:$D$308,C45,'Activity Data'!$F$9:$F$308,"S1")=COUNTIFS('Activity Data'!$D$9:$D$308,C45,'Activity Data'!$F$9:$F$308,"S1",'Activity Data'!$V$9:$V$308,"Ready")),"Ready","Activity incomplete"),"Method required")))))))</x:f>
      </x:c>
      <x:c r="W45" s="8"/>
      <x:c r="X45" s="16"/>
      <x:c r="Y45" s="8"/>
      <x:c r="Z45" s="23" t="str">
        <x:f>IF(AB45="Ready",IF(W45="Activity",SUMIFS('Activity Data'!$U$9:$U$308,'Activity Data'!$D$9:$D$308,C45,'Activity Data'!$F$9:$F$308,"S2"),X45),"")</x:f>
      </x:c>
      <x:c r="AA45" s="44" t="str">
        <x:f>IF(AB45&lt;&gt;"Ready","",IF(W45="Reported verified",1,IF(W45="Reported unverified",2,IF(F45="Motor",1,2))))</x:f>
      </x:c>
      <x:c r="AB45" s="9" t="str">
        <x:f>IF(C45="","",IF(W45="Not assessed","Not assessed",IF(OR(O45="",NOT(ISNUMBER(H45)),NOT(ISNUMBER(P45))),"Evidence required",IF(OR(P45&lt;'Settings'!$F$8,H45&gt;'Settings'!$F$8,YEAR(H45)&lt;&gt;YEAR('Settings'!$F$8)),"Period / expiry review",IF(Y45&lt;&gt;"Yes","Boundary incomplete",IF(OR(AND(AC45&lt;&gt;"Location-based",AC45&lt;&gt;"Market-based"),AND(W45="Activity",AC45&lt;&gt;"Location-based")),"S2 basis mismatch",IF(OR(W45="Reported verified",W45="Reported unverified"),IF(NOT(OR(F45="Corporate private",F45="Corporate listed",F45="Project finance")),"Asset method required",IF(OR(NOT(ISNUMBER(X45)),X45&lt;0),"Reported value required","Ready")),IF(W45="Activity",IF(AND(COUNTIFS('Activity Data'!$D$9:$D$308,C45,'Activity Data'!$F$9:$F$308,"S2")&gt;0,COUNTIFS('Activity Data'!$D$9:$D$308,C45,'Activity Data'!$F$9:$F$308,"S2")=COUNTIFS('Activity Data'!$D$9:$D$308,C45,'Activity Data'!$F$9:$F$308,"S2",'Activity Data'!$V$9:$V$308,"Ready")),"Ready","Activity incomplete"),"Method required"))))))))</x:f>
      </x:c>
      <x:c r="AC45" s="8"/>
      <x:c r="AD45" s="8"/>
      <x:c r="AE45" s="16"/>
      <x:c r="AF45" s="8"/>
      <x:c r="AG45" s="23" t="str">
        <x:f>IF(AI45="Ready",IF(AD45="Activity",SUMIFS('Activity Data'!$U$9:$U$308,'Activity Data'!$D$9:$D$308,C45,'Activity Data'!$F$9:$F$308,"S3"),AE45),"")</x:f>
      </x:c>
      <x:c r="AH45" s="44" t="str">
        <x:f>IF(AI45&lt;&gt;"Ready","",IF(AD45="Reported verified",1,IF(AD45="Reported unverified",2,IF(F45="Motor",1,2))))</x:f>
      </x:c>
      <x:c r="AI45" s="9" t="str">
        <x:f>IF(C45="","",IF(AD45="Not assessed","Not assessed",IF(OR(O45="",NOT(ISNUMBER(H45)),NOT(ISNUMBER(P45))),"Evidence required",IF(OR(P45&lt;'Settings'!$F$8,H45&gt;'Settings'!$F$8,YEAR(H45)&lt;&gt;YEAR('Settings'!$F$8)),"Period / expiry review",IF(AF45&lt;&gt;"Yes","Boundary incomplete",IF(AM45="","S3 screening required",IF(OR(AD45="Reported verified",AD45="Reported unverified"),IF(NOT(OR(F45="Corporate private",F45="Corporate listed",F45="Project finance")),"Asset method required",IF(OR(NOT(ISNUMBER(AE45)),AE45&lt;0),"Reported value required","Ready")),"Scope 3 method required")))))))</x:f>
      </x:c>
      <x:c r="AJ45" s="9" t="str">
        <x:f>IF(C45="","",IF(OR(F45="Corporate private",F45="Corporate listed"),IFERROR(IF(INDEX('Borrowers'!$X$9:$X$108,MATCH(D45,'Borrowers'!$C$9:$C$108,0))="","",INDEX('Borrowers'!$X$9:$X$108,MATCH(D45,'Borrowers'!$C$9:$C$108,0))),""),IF(AQ45="","",AQ45)))</x:f>
      </x:c>
      <x:c r="AK45" s="43" t="str">
        <x:f>IF(C45="","",IF(OR(F45="Corporate private",F45="Corporate listed"),IFERROR(IF(INDEX('Borrowers'!$H$9:$H$108,MATCH(D45,'Borrowers'!$C$9:$C$108,0))="","",INDEX('Borrowers'!$H$9:$H$108,MATCH(D45,'Borrowers'!$C$9:$C$108,0))),""),IF(AR45="","",AR45)))</x:f>
      </x:c>
      <x:c r="AL45" s="9" t="str">
        <x:f>IF(C45="","",IF(COUNTIFS($C$9:$C$108,C45)&lt;&gt;1,"Duplicate entity ID",IF(COUNTIFS('Borrowers'!$C$9:$C$108,D45)&lt;&gt;1,"Borrower required",IF(AND(F45&lt;&gt;"Corporate private",F45&lt;&gt;"Corporate listed",F45&lt;&gt;"Project finance",F45&lt;&gt;"CRE",F45&lt;&gt;"Mortgage",F45&lt;&gt;"Motor"),"Method required",IF(OR(AND(F45="Corporate private",IFERROR(IF(INDEX('Borrowers'!$G$9:$G$108,MATCH(D45,'Borrowers'!$C$9:$C$108,0))="","",INDEX('Borrowers'!$G$9:$G$108,MATCH(D45,'Borrowers'!$C$9:$C$108,0))),"")&lt;&gt;"Private"),AND(F45="Corporate listed",IFERROR(IF(INDEX('Borrowers'!$G$9:$G$108,MATCH(D45,'Borrowers'!$C$9:$C$108,0))="","",INDEX('Borrowers'!$G$9:$G$108,MATCH(D45,'Borrowers'!$C$9:$C$108,0))),"")&lt;&gt;"Listed")),"Listing / class mismatch",IF(OR(NOT(ISNUMBER(N45)),N45&lt;=0,AJ45="",NOT(ISNUMBER(AK45))),"Value evidence required",IF(AND(OR(F45="Corporate private",F45="Corporate listed"),IFERROR(IF(INDEX('Borrowers'!$Y$9:$Y$108,MATCH(D45,'Borrowers'!$C$9:$C$108,0))="","",INDEX('Borrowers'!$Y$9:$Y$108,MATCH(D45,'Borrowers'!$C$9:$C$108,0))),"")&lt;'Settings'!$F$8),"Expired financial evidence",IF(AK45&gt;'Settings'!$F$8,"Future value date",IF(OR(AND(OR(F45="Corporate private",F45="Project finance"),OR(J45&lt;0,M45&lt;&gt;"Current financials")),AND(F45="Corporate listed",M45&lt;&gt;"Current financials"),AND(OR(F45="CRE",F45="Mortgage",F45="Motor"),AND(M45&lt;&gt;"Origination",M45&lt;&gt;"Fixed fallback"))),"Value basis review",IF(AND(M45="Current financials",YEAR(AK45)&lt;&gt;YEAR('Settings'!$F$8)),"Stale financial period","Ready"))))))))))</x:f>
      </x:c>
      <x:c r="AM45" s="8"/>
      <x:c r="AN45" s="8"/>
      <x:c r="AO45" s="16"/>
      <x:c r="AP45" s="16"/>
      <x:c r="AQ45" s="8"/>
      <x:c r="AR45" s="40"/>
    </x:row>
    <x:row r="46" ht="40" customHeight="1">
      <x:c r="A46" s="1"/>
      <x:c r="B46" s="1"/>
      <x:c r="C46" s="8"/>
      <x:c r="D46" s="8"/>
      <x:c r="E46" s="8"/>
      <x:c r="F46" s="8"/>
      <x:c r="G46" s="9" t="str">
        <x:f>IF(C46="","",IFERROR(IF(INDEX('Borrowers'!$E$9:$E$108,MATCH(D46,'Borrowers'!$C$9:$C$108,0))="","",INDEX('Borrowers'!$E$9:$E$108,MATCH(D46,'Borrowers'!$C$9:$C$108,0))),""))</x:f>
      </x:c>
      <x:c r="H46" s="40"/>
      <x:c r="I46" s="23" t="str">
        <x:f>IF(C46="","",IF(OR(F46="Corporate private",F46="Corporate listed"),IFERROR(IF(INDEX('Borrowers'!$M$9:$M$108,MATCH(D46,'Borrowers'!$C$9:$C$108,0))="","",INDEX('Borrowers'!$M$9:$M$108,MATCH(D46,'Borrowers'!$C$9:$C$108,0))),""),IF(F46="Project finance",IF(ISNUMBER(AO46),AO46,""),"")))</x:f>
      </x:c>
      <x:c r="J46" s="23" t="str">
        <x:f>IF(C46="","",IF(OR(F46="Corporate private",F46="Corporate listed"),IFERROR(IF(INDEX('Borrowers'!$N$9:$N$108,MATCH(D46,'Borrowers'!$C$9:$C$108,0))="","",INDEX('Borrowers'!$N$9:$N$108,MATCH(D46,'Borrowers'!$C$9:$C$108,0))),""),IF(F46="Project finance",IF(ISNUMBER(AP46),AP46,""),"")))</x:f>
      </x:c>
      <x:c r="K46" s="23" t="str">
        <x:f>IF(C46="","",IF(F46="Corporate listed",IFERROR(IF(INDEX('Borrowers'!$O$9:$O$108,MATCH(D46,'Borrowers'!$C$9:$C$108,0))="","",INDEX('Borrowers'!$O$9:$O$108,MATCH(D46,'Borrowers'!$C$9:$C$108,0))),""),""))</x:f>
      </x:c>
      <x:c r="L46" s="16"/>
      <x:c r="M46" s="8"/>
      <x:c r="N46" s="21" t="str">
        <x:f>IF(C46="","",IF(F46="Corporate listed",IF(ISNUMBER(K46),K46,""),IF(OR(F46="Corporate private",F46="Project finance"),IF(AND(ISNUMBER(I46),ISNUMBER(J46)),MAX(I46,0)+J46,""),IF(OR(F46="CRE",F46="Mortgage",F46="Motor"),IF(ISNUMBER(L46),L46,""),""))))</x:f>
      </x:c>
      <x:c r="O46" s="8"/>
      <x:c r="P46" s="40"/>
      <x:c r="Q46" s="8"/>
      <x:c r="R46" s="16"/>
      <x:c r="S46" s="8"/>
      <x:c r="T46" s="23" t="str">
        <x:f>IF(V46="Ready",IF(Q46="Activity",SUMIFS('Activity Data'!$U$9:$U$308,'Activity Data'!$D$9:$D$308,C46,'Activity Data'!$F$9:$F$308,"S1"),R46),"")</x:f>
      </x:c>
      <x:c r="U46" s="44" t="str">
        <x:f>IF(V46&lt;&gt;"Ready","",IF(Q46="Reported verified",1,IF(Q46="Reported unverified",2,IF(F46="Motor",1,2))))</x:f>
      </x:c>
      <x:c r="V46" s="9" t="str">
        <x:f>IF(C46="","",IF(Q46="Not assessed","Not assessed",IF(OR(O46="",NOT(ISNUMBER(H46)),NOT(ISNUMBER(P46))),"Evidence required",IF(OR(P46&lt;'Settings'!$F$8,H46&gt;'Settings'!$F$8,YEAR(H46)&lt;&gt;YEAR('Settings'!$F$8)),"Period / expiry review",IF(S46&lt;&gt;"Yes","Boundary incomplete",IF(OR(Q46="Reported verified",Q46="Reported unverified"),IF(NOT(OR(F46="Corporate private",F46="Corporate listed",F46="Project finance")),"Asset method required",IF(OR(NOT(ISNUMBER(R46)),R46&lt;0),"Reported value required","Ready")),IF(Q46="Activity",IF(AND(COUNTIFS('Activity Data'!$D$9:$D$308,C46,'Activity Data'!$F$9:$F$308,"S1")&gt;0,COUNTIFS('Activity Data'!$D$9:$D$308,C46,'Activity Data'!$F$9:$F$308,"S1")=COUNTIFS('Activity Data'!$D$9:$D$308,C46,'Activity Data'!$F$9:$F$308,"S1",'Activity Data'!$V$9:$V$308,"Ready")),"Ready","Activity incomplete"),"Method required")))))))</x:f>
      </x:c>
      <x:c r="W46" s="8"/>
      <x:c r="X46" s="16"/>
      <x:c r="Y46" s="8"/>
      <x:c r="Z46" s="23" t="str">
        <x:f>IF(AB46="Ready",IF(W46="Activity",SUMIFS('Activity Data'!$U$9:$U$308,'Activity Data'!$D$9:$D$308,C46,'Activity Data'!$F$9:$F$308,"S2"),X46),"")</x:f>
      </x:c>
      <x:c r="AA46" s="44" t="str">
        <x:f>IF(AB46&lt;&gt;"Ready","",IF(W46="Reported verified",1,IF(W46="Reported unverified",2,IF(F46="Motor",1,2))))</x:f>
      </x:c>
      <x:c r="AB46" s="9" t="str">
        <x:f>IF(C46="","",IF(W46="Not assessed","Not assessed",IF(OR(O46="",NOT(ISNUMBER(H46)),NOT(ISNUMBER(P46))),"Evidence required",IF(OR(P46&lt;'Settings'!$F$8,H46&gt;'Settings'!$F$8,YEAR(H46)&lt;&gt;YEAR('Settings'!$F$8)),"Period / expiry review",IF(Y46&lt;&gt;"Yes","Boundary incomplete",IF(OR(AND(AC46&lt;&gt;"Location-based",AC46&lt;&gt;"Market-based"),AND(W46="Activity",AC46&lt;&gt;"Location-based")),"S2 basis mismatch",IF(OR(W46="Reported verified",W46="Reported unverified"),IF(NOT(OR(F46="Corporate private",F46="Corporate listed",F46="Project finance")),"Asset method required",IF(OR(NOT(ISNUMBER(X46)),X46&lt;0),"Reported value required","Ready")),IF(W46="Activity",IF(AND(COUNTIFS('Activity Data'!$D$9:$D$308,C46,'Activity Data'!$F$9:$F$308,"S2")&gt;0,COUNTIFS('Activity Data'!$D$9:$D$308,C46,'Activity Data'!$F$9:$F$308,"S2")=COUNTIFS('Activity Data'!$D$9:$D$308,C46,'Activity Data'!$F$9:$F$308,"S2",'Activity Data'!$V$9:$V$308,"Ready")),"Ready","Activity incomplete"),"Method required"))))))))</x:f>
      </x:c>
      <x:c r="AC46" s="8"/>
      <x:c r="AD46" s="8"/>
      <x:c r="AE46" s="16"/>
      <x:c r="AF46" s="8"/>
      <x:c r="AG46" s="23" t="str">
        <x:f>IF(AI46="Ready",IF(AD46="Activity",SUMIFS('Activity Data'!$U$9:$U$308,'Activity Data'!$D$9:$D$308,C46,'Activity Data'!$F$9:$F$308,"S3"),AE46),"")</x:f>
      </x:c>
      <x:c r="AH46" s="44" t="str">
        <x:f>IF(AI46&lt;&gt;"Ready","",IF(AD46="Reported verified",1,IF(AD46="Reported unverified",2,IF(F46="Motor",1,2))))</x:f>
      </x:c>
      <x:c r="AI46" s="9" t="str">
        <x:f>IF(C46="","",IF(AD46="Not assessed","Not assessed",IF(OR(O46="",NOT(ISNUMBER(H46)),NOT(ISNUMBER(P46))),"Evidence required",IF(OR(P46&lt;'Settings'!$F$8,H46&gt;'Settings'!$F$8,YEAR(H46)&lt;&gt;YEAR('Settings'!$F$8)),"Period / expiry review",IF(AF46&lt;&gt;"Yes","Boundary incomplete",IF(AM46="","S3 screening required",IF(OR(AD46="Reported verified",AD46="Reported unverified"),IF(NOT(OR(F46="Corporate private",F46="Corporate listed",F46="Project finance")),"Asset method required",IF(OR(NOT(ISNUMBER(AE46)),AE46&lt;0),"Reported value required","Ready")),"Scope 3 method required")))))))</x:f>
      </x:c>
      <x:c r="AJ46" s="9" t="str">
        <x:f>IF(C46="","",IF(OR(F46="Corporate private",F46="Corporate listed"),IFERROR(IF(INDEX('Borrowers'!$X$9:$X$108,MATCH(D46,'Borrowers'!$C$9:$C$108,0))="","",INDEX('Borrowers'!$X$9:$X$108,MATCH(D46,'Borrowers'!$C$9:$C$108,0))),""),IF(AQ46="","",AQ46)))</x:f>
      </x:c>
      <x:c r="AK46" s="43" t="str">
        <x:f>IF(C46="","",IF(OR(F46="Corporate private",F46="Corporate listed"),IFERROR(IF(INDEX('Borrowers'!$H$9:$H$108,MATCH(D46,'Borrowers'!$C$9:$C$108,0))="","",INDEX('Borrowers'!$H$9:$H$108,MATCH(D46,'Borrowers'!$C$9:$C$108,0))),""),IF(AR46="","",AR46)))</x:f>
      </x:c>
      <x:c r="AL46" s="9" t="str">
        <x:f>IF(C46="","",IF(COUNTIFS($C$9:$C$108,C46)&lt;&gt;1,"Duplicate entity ID",IF(COUNTIFS('Borrowers'!$C$9:$C$108,D46)&lt;&gt;1,"Borrower required",IF(AND(F46&lt;&gt;"Corporate private",F46&lt;&gt;"Corporate listed",F46&lt;&gt;"Project finance",F46&lt;&gt;"CRE",F46&lt;&gt;"Mortgage",F46&lt;&gt;"Motor"),"Method required",IF(OR(AND(F46="Corporate private",IFERROR(IF(INDEX('Borrowers'!$G$9:$G$108,MATCH(D46,'Borrowers'!$C$9:$C$108,0))="","",INDEX('Borrowers'!$G$9:$G$108,MATCH(D46,'Borrowers'!$C$9:$C$108,0))),"")&lt;&gt;"Private"),AND(F46="Corporate listed",IFERROR(IF(INDEX('Borrowers'!$G$9:$G$108,MATCH(D46,'Borrowers'!$C$9:$C$108,0))="","",INDEX('Borrowers'!$G$9:$G$108,MATCH(D46,'Borrowers'!$C$9:$C$108,0))),"")&lt;&gt;"Listed")),"Listing / class mismatch",IF(OR(NOT(ISNUMBER(N46)),N46&lt;=0,AJ46="",NOT(ISNUMBER(AK46))),"Value evidence required",IF(AND(OR(F46="Corporate private",F46="Corporate listed"),IFERROR(IF(INDEX('Borrowers'!$Y$9:$Y$108,MATCH(D46,'Borrowers'!$C$9:$C$108,0))="","",INDEX('Borrowers'!$Y$9:$Y$108,MATCH(D46,'Borrowers'!$C$9:$C$108,0))),"")&lt;'Settings'!$F$8),"Expired financial evidence",IF(AK46&gt;'Settings'!$F$8,"Future value date",IF(OR(AND(OR(F46="Corporate private",F46="Project finance"),OR(J46&lt;0,M46&lt;&gt;"Current financials")),AND(F46="Corporate listed",M46&lt;&gt;"Current financials"),AND(OR(F46="CRE",F46="Mortgage",F46="Motor"),AND(M46&lt;&gt;"Origination",M46&lt;&gt;"Fixed fallback"))),"Value basis review",IF(AND(M46="Current financials",YEAR(AK46)&lt;&gt;YEAR('Settings'!$F$8)),"Stale financial period","Ready"))))))))))</x:f>
      </x:c>
      <x:c r="AM46" s="8"/>
      <x:c r="AN46" s="8"/>
      <x:c r="AO46" s="16"/>
      <x:c r="AP46" s="16"/>
      <x:c r="AQ46" s="8"/>
      <x:c r="AR46" s="40"/>
    </x:row>
    <x:row r="47" ht="40" customHeight="1">
      <x:c r="A47" s="1"/>
      <x:c r="B47" s="1"/>
      <x:c r="C47" s="8"/>
      <x:c r="D47" s="8"/>
      <x:c r="E47" s="8"/>
      <x:c r="F47" s="8"/>
      <x:c r="G47" s="9" t="str">
        <x:f>IF(C47="","",IFERROR(IF(INDEX('Borrowers'!$E$9:$E$108,MATCH(D47,'Borrowers'!$C$9:$C$108,0))="","",INDEX('Borrowers'!$E$9:$E$108,MATCH(D47,'Borrowers'!$C$9:$C$108,0))),""))</x:f>
      </x:c>
      <x:c r="H47" s="40"/>
      <x:c r="I47" s="23" t="str">
        <x:f>IF(C47="","",IF(OR(F47="Corporate private",F47="Corporate listed"),IFERROR(IF(INDEX('Borrowers'!$M$9:$M$108,MATCH(D47,'Borrowers'!$C$9:$C$108,0))="","",INDEX('Borrowers'!$M$9:$M$108,MATCH(D47,'Borrowers'!$C$9:$C$108,0))),""),IF(F47="Project finance",IF(ISNUMBER(AO47),AO47,""),"")))</x:f>
      </x:c>
      <x:c r="J47" s="23" t="str">
        <x:f>IF(C47="","",IF(OR(F47="Corporate private",F47="Corporate listed"),IFERROR(IF(INDEX('Borrowers'!$N$9:$N$108,MATCH(D47,'Borrowers'!$C$9:$C$108,0))="","",INDEX('Borrowers'!$N$9:$N$108,MATCH(D47,'Borrowers'!$C$9:$C$108,0))),""),IF(F47="Project finance",IF(ISNUMBER(AP47),AP47,""),"")))</x:f>
      </x:c>
      <x:c r="K47" s="23" t="str">
        <x:f>IF(C47="","",IF(F47="Corporate listed",IFERROR(IF(INDEX('Borrowers'!$O$9:$O$108,MATCH(D47,'Borrowers'!$C$9:$C$108,0))="","",INDEX('Borrowers'!$O$9:$O$108,MATCH(D47,'Borrowers'!$C$9:$C$108,0))),""),""))</x:f>
      </x:c>
      <x:c r="L47" s="16"/>
      <x:c r="M47" s="8"/>
      <x:c r="N47" s="21" t="str">
        <x:f>IF(C47="","",IF(F47="Corporate listed",IF(ISNUMBER(K47),K47,""),IF(OR(F47="Corporate private",F47="Project finance"),IF(AND(ISNUMBER(I47),ISNUMBER(J47)),MAX(I47,0)+J47,""),IF(OR(F47="CRE",F47="Mortgage",F47="Motor"),IF(ISNUMBER(L47),L47,""),""))))</x:f>
      </x:c>
      <x:c r="O47" s="8"/>
      <x:c r="P47" s="40"/>
      <x:c r="Q47" s="8"/>
      <x:c r="R47" s="16"/>
      <x:c r="S47" s="8"/>
      <x:c r="T47" s="23" t="str">
        <x:f>IF(V47="Ready",IF(Q47="Activity",SUMIFS('Activity Data'!$U$9:$U$308,'Activity Data'!$D$9:$D$308,C47,'Activity Data'!$F$9:$F$308,"S1"),R47),"")</x:f>
      </x:c>
      <x:c r="U47" s="44" t="str">
        <x:f>IF(V47&lt;&gt;"Ready","",IF(Q47="Reported verified",1,IF(Q47="Reported unverified",2,IF(F47="Motor",1,2))))</x:f>
      </x:c>
      <x:c r="V47" s="9" t="str">
        <x:f>IF(C47="","",IF(Q47="Not assessed","Not assessed",IF(OR(O47="",NOT(ISNUMBER(H47)),NOT(ISNUMBER(P47))),"Evidence required",IF(OR(P47&lt;'Settings'!$F$8,H47&gt;'Settings'!$F$8,YEAR(H47)&lt;&gt;YEAR('Settings'!$F$8)),"Period / expiry review",IF(S47&lt;&gt;"Yes","Boundary incomplete",IF(OR(Q47="Reported verified",Q47="Reported unverified"),IF(NOT(OR(F47="Corporate private",F47="Corporate listed",F47="Project finance")),"Asset method required",IF(OR(NOT(ISNUMBER(R47)),R47&lt;0),"Reported value required","Ready")),IF(Q47="Activity",IF(AND(COUNTIFS('Activity Data'!$D$9:$D$308,C47,'Activity Data'!$F$9:$F$308,"S1")&gt;0,COUNTIFS('Activity Data'!$D$9:$D$308,C47,'Activity Data'!$F$9:$F$308,"S1")=COUNTIFS('Activity Data'!$D$9:$D$308,C47,'Activity Data'!$F$9:$F$308,"S1",'Activity Data'!$V$9:$V$308,"Ready")),"Ready","Activity incomplete"),"Method required")))))))</x:f>
      </x:c>
      <x:c r="W47" s="8"/>
      <x:c r="X47" s="16"/>
      <x:c r="Y47" s="8"/>
      <x:c r="Z47" s="23" t="str">
        <x:f>IF(AB47="Ready",IF(W47="Activity",SUMIFS('Activity Data'!$U$9:$U$308,'Activity Data'!$D$9:$D$308,C47,'Activity Data'!$F$9:$F$308,"S2"),X47),"")</x:f>
      </x:c>
      <x:c r="AA47" s="44" t="str">
        <x:f>IF(AB47&lt;&gt;"Ready","",IF(W47="Reported verified",1,IF(W47="Reported unverified",2,IF(F47="Motor",1,2))))</x:f>
      </x:c>
      <x:c r="AB47" s="9" t="str">
        <x:f>IF(C47="","",IF(W47="Not assessed","Not assessed",IF(OR(O47="",NOT(ISNUMBER(H47)),NOT(ISNUMBER(P47))),"Evidence required",IF(OR(P47&lt;'Settings'!$F$8,H47&gt;'Settings'!$F$8,YEAR(H47)&lt;&gt;YEAR('Settings'!$F$8)),"Period / expiry review",IF(Y47&lt;&gt;"Yes","Boundary incomplete",IF(OR(AND(AC47&lt;&gt;"Location-based",AC47&lt;&gt;"Market-based"),AND(W47="Activity",AC47&lt;&gt;"Location-based")),"S2 basis mismatch",IF(OR(W47="Reported verified",W47="Reported unverified"),IF(NOT(OR(F47="Corporate private",F47="Corporate listed",F47="Project finance")),"Asset method required",IF(OR(NOT(ISNUMBER(X47)),X47&lt;0),"Reported value required","Ready")),IF(W47="Activity",IF(AND(COUNTIFS('Activity Data'!$D$9:$D$308,C47,'Activity Data'!$F$9:$F$308,"S2")&gt;0,COUNTIFS('Activity Data'!$D$9:$D$308,C47,'Activity Data'!$F$9:$F$308,"S2")=COUNTIFS('Activity Data'!$D$9:$D$308,C47,'Activity Data'!$F$9:$F$308,"S2",'Activity Data'!$V$9:$V$308,"Ready")),"Ready","Activity incomplete"),"Method required"))))))))</x:f>
      </x:c>
      <x:c r="AC47" s="8"/>
      <x:c r="AD47" s="8"/>
      <x:c r="AE47" s="16"/>
      <x:c r="AF47" s="8"/>
      <x:c r="AG47" s="23" t="str">
        <x:f>IF(AI47="Ready",IF(AD47="Activity",SUMIFS('Activity Data'!$U$9:$U$308,'Activity Data'!$D$9:$D$308,C47,'Activity Data'!$F$9:$F$308,"S3"),AE47),"")</x:f>
      </x:c>
      <x:c r="AH47" s="44" t="str">
        <x:f>IF(AI47&lt;&gt;"Ready","",IF(AD47="Reported verified",1,IF(AD47="Reported unverified",2,IF(F47="Motor",1,2))))</x:f>
      </x:c>
      <x:c r="AI47" s="9" t="str">
        <x:f>IF(C47="","",IF(AD47="Not assessed","Not assessed",IF(OR(O47="",NOT(ISNUMBER(H47)),NOT(ISNUMBER(P47))),"Evidence required",IF(OR(P47&lt;'Settings'!$F$8,H47&gt;'Settings'!$F$8,YEAR(H47)&lt;&gt;YEAR('Settings'!$F$8)),"Period / expiry review",IF(AF47&lt;&gt;"Yes","Boundary incomplete",IF(AM47="","S3 screening required",IF(OR(AD47="Reported verified",AD47="Reported unverified"),IF(NOT(OR(F47="Corporate private",F47="Corporate listed",F47="Project finance")),"Asset method required",IF(OR(NOT(ISNUMBER(AE47)),AE47&lt;0),"Reported value required","Ready")),"Scope 3 method required")))))))</x:f>
      </x:c>
      <x:c r="AJ47" s="9" t="str">
        <x:f>IF(C47="","",IF(OR(F47="Corporate private",F47="Corporate listed"),IFERROR(IF(INDEX('Borrowers'!$X$9:$X$108,MATCH(D47,'Borrowers'!$C$9:$C$108,0))="","",INDEX('Borrowers'!$X$9:$X$108,MATCH(D47,'Borrowers'!$C$9:$C$108,0))),""),IF(AQ47="","",AQ47)))</x:f>
      </x:c>
      <x:c r="AK47" s="43" t="str">
        <x:f>IF(C47="","",IF(OR(F47="Corporate private",F47="Corporate listed"),IFERROR(IF(INDEX('Borrowers'!$H$9:$H$108,MATCH(D47,'Borrowers'!$C$9:$C$108,0))="","",INDEX('Borrowers'!$H$9:$H$108,MATCH(D47,'Borrowers'!$C$9:$C$108,0))),""),IF(AR47="","",AR47)))</x:f>
      </x:c>
      <x:c r="AL47" s="9" t="str">
        <x:f>IF(C47="","",IF(COUNTIFS($C$9:$C$108,C47)&lt;&gt;1,"Duplicate entity ID",IF(COUNTIFS('Borrowers'!$C$9:$C$108,D47)&lt;&gt;1,"Borrower required",IF(AND(F47&lt;&gt;"Corporate private",F47&lt;&gt;"Corporate listed",F47&lt;&gt;"Project finance",F47&lt;&gt;"CRE",F47&lt;&gt;"Mortgage",F47&lt;&gt;"Motor"),"Method required",IF(OR(AND(F47="Corporate private",IFERROR(IF(INDEX('Borrowers'!$G$9:$G$108,MATCH(D47,'Borrowers'!$C$9:$C$108,0))="","",INDEX('Borrowers'!$G$9:$G$108,MATCH(D47,'Borrowers'!$C$9:$C$108,0))),"")&lt;&gt;"Private"),AND(F47="Corporate listed",IFERROR(IF(INDEX('Borrowers'!$G$9:$G$108,MATCH(D47,'Borrowers'!$C$9:$C$108,0))="","",INDEX('Borrowers'!$G$9:$G$108,MATCH(D47,'Borrowers'!$C$9:$C$108,0))),"")&lt;&gt;"Listed")),"Listing / class mismatch",IF(OR(NOT(ISNUMBER(N47)),N47&lt;=0,AJ47="",NOT(ISNUMBER(AK47))),"Value evidence required",IF(AND(OR(F47="Corporate private",F47="Corporate listed"),IFERROR(IF(INDEX('Borrowers'!$Y$9:$Y$108,MATCH(D47,'Borrowers'!$C$9:$C$108,0))="","",INDEX('Borrowers'!$Y$9:$Y$108,MATCH(D47,'Borrowers'!$C$9:$C$108,0))),"")&lt;'Settings'!$F$8),"Expired financial evidence",IF(AK47&gt;'Settings'!$F$8,"Future value date",IF(OR(AND(OR(F47="Corporate private",F47="Project finance"),OR(J47&lt;0,M47&lt;&gt;"Current financials")),AND(F47="Corporate listed",M47&lt;&gt;"Current financials"),AND(OR(F47="CRE",F47="Mortgage",F47="Motor"),AND(M47&lt;&gt;"Origination",M47&lt;&gt;"Fixed fallback"))),"Value basis review",IF(AND(M47="Current financials",YEAR(AK47)&lt;&gt;YEAR('Settings'!$F$8)),"Stale financial period","Ready"))))))))))</x:f>
      </x:c>
      <x:c r="AM47" s="8"/>
      <x:c r="AN47" s="8"/>
      <x:c r="AO47" s="16"/>
      <x:c r="AP47" s="16"/>
      <x:c r="AQ47" s="8"/>
      <x:c r="AR47" s="40"/>
    </x:row>
    <x:row r="48" ht="40" customHeight="1">
      <x:c r="A48" s="1"/>
      <x:c r="B48" s="1"/>
      <x:c r="C48" s="8"/>
      <x:c r="D48" s="8"/>
      <x:c r="E48" s="8"/>
      <x:c r="F48" s="8"/>
      <x:c r="G48" s="9" t="str">
        <x:f>IF(C48="","",IFERROR(IF(INDEX('Borrowers'!$E$9:$E$108,MATCH(D48,'Borrowers'!$C$9:$C$108,0))="","",INDEX('Borrowers'!$E$9:$E$108,MATCH(D48,'Borrowers'!$C$9:$C$108,0))),""))</x:f>
      </x:c>
      <x:c r="H48" s="40"/>
      <x:c r="I48" s="23" t="str">
        <x:f>IF(C48="","",IF(OR(F48="Corporate private",F48="Corporate listed"),IFERROR(IF(INDEX('Borrowers'!$M$9:$M$108,MATCH(D48,'Borrowers'!$C$9:$C$108,0))="","",INDEX('Borrowers'!$M$9:$M$108,MATCH(D48,'Borrowers'!$C$9:$C$108,0))),""),IF(F48="Project finance",IF(ISNUMBER(AO48),AO48,""),"")))</x:f>
      </x:c>
      <x:c r="J48" s="23" t="str">
        <x:f>IF(C48="","",IF(OR(F48="Corporate private",F48="Corporate listed"),IFERROR(IF(INDEX('Borrowers'!$N$9:$N$108,MATCH(D48,'Borrowers'!$C$9:$C$108,0))="","",INDEX('Borrowers'!$N$9:$N$108,MATCH(D48,'Borrowers'!$C$9:$C$108,0))),""),IF(F48="Project finance",IF(ISNUMBER(AP48),AP48,""),"")))</x:f>
      </x:c>
      <x:c r="K48" s="23" t="str">
        <x:f>IF(C48="","",IF(F48="Corporate listed",IFERROR(IF(INDEX('Borrowers'!$O$9:$O$108,MATCH(D48,'Borrowers'!$C$9:$C$108,0))="","",INDEX('Borrowers'!$O$9:$O$108,MATCH(D48,'Borrowers'!$C$9:$C$108,0))),""),""))</x:f>
      </x:c>
      <x:c r="L48" s="16"/>
      <x:c r="M48" s="8"/>
      <x:c r="N48" s="21" t="str">
        <x:f>IF(C48="","",IF(F48="Corporate listed",IF(ISNUMBER(K48),K48,""),IF(OR(F48="Corporate private",F48="Project finance"),IF(AND(ISNUMBER(I48),ISNUMBER(J48)),MAX(I48,0)+J48,""),IF(OR(F48="CRE",F48="Mortgage",F48="Motor"),IF(ISNUMBER(L48),L48,""),""))))</x:f>
      </x:c>
      <x:c r="O48" s="8"/>
      <x:c r="P48" s="40"/>
      <x:c r="Q48" s="8"/>
      <x:c r="R48" s="16"/>
      <x:c r="S48" s="8"/>
      <x:c r="T48" s="23" t="str">
        <x:f>IF(V48="Ready",IF(Q48="Activity",SUMIFS('Activity Data'!$U$9:$U$308,'Activity Data'!$D$9:$D$308,C48,'Activity Data'!$F$9:$F$308,"S1"),R48),"")</x:f>
      </x:c>
      <x:c r="U48" s="44" t="str">
        <x:f>IF(V48&lt;&gt;"Ready","",IF(Q48="Reported verified",1,IF(Q48="Reported unverified",2,IF(F48="Motor",1,2))))</x:f>
      </x:c>
      <x:c r="V48" s="9" t="str">
        <x:f>IF(C48="","",IF(Q48="Not assessed","Not assessed",IF(OR(O48="",NOT(ISNUMBER(H48)),NOT(ISNUMBER(P48))),"Evidence required",IF(OR(P48&lt;'Settings'!$F$8,H48&gt;'Settings'!$F$8,YEAR(H48)&lt;&gt;YEAR('Settings'!$F$8)),"Period / expiry review",IF(S48&lt;&gt;"Yes","Boundary incomplete",IF(OR(Q48="Reported verified",Q48="Reported unverified"),IF(NOT(OR(F48="Corporate private",F48="Corporate listed",F48="Project finance")),"Asset method required",IF(OR(NOT(ISNUMBER(R48)),R48&lt;0),"Reported value required","Ready")),IF(Q48="Activity",IF(AND(COUNTIFS('Activity Data'!$D$9:$D$308,C48,'Activity Data'!$F$9:$F$308,"S1")&gt;0,COUNTIFS('Activity Data'!$D$9:$D$308,C48,'Activity Data'!$F$9:$F$308,"S1")=COUNTIFS('Activity Data'!$D$9:$D$308,C48,'Activity Data'!$F$9:$F$308,"S1",'Activity Data'!$V$9:$V$308,"Ready")),"Ready","Activity incomplete"),"Method required")))))))</x:f>
      </x:c>
      <x:c r="W48" s="8"/>
      <x:c r="X48" s="16"/>
      <x:c r="Y48" s="8"/>
      <x:c r="Z48" s="23" t="str">
        <x:f>IF(AB48="Ready",IF(W48="Activity",SUMIFS('Activity Data'!$U$9:$U$308,'Activity Data'!$D$9:$D$308,C48,'Activity Data'!$F$9:$F$308,"S2"),X48),"")</x:f>
      </x:c>
      <x:c r="AA48" s="44" t="str">
        <x:f>IF(AB48&lt;&gt;"Ready","",IF(W48="Reported verified",1,IF(W48="Reported unverified",2,IF(F48="Motor",1,2))))</x:f>
      </x:c>
      <x:c r="AB48" s="9" t="str">
        <x:f>IF(C48="","",IF(W48="Not assessed","Not assessed",IF(OR(O48="",NOT(ISNUMBER(H48)),NOT(ISNUMBER(P48))),"Evidence required",IF(OR(P48&lt;'Settings'!$F$8,H48&gt;'Settings'!$F$8,YEAR(H48)&lt;&gt;YEAR('Settings'!$F$8)),"Period / expiry review",IF(Y48&lt;&gt;"Yes","Boundary incomplete",IF(OR(AND(AC48&lt;&gt;"Location-based",AC48&lt;&gt;"Market-based"),AND(W48="Activity",AC48&lt;&gt;"Location-based")),"S2 basis mismatch",IF(OR(W48="Reported verified",W48="Reported unverified"),IF(NOT(OR(F48="Corporate private",F48="Corporate listed",F48="Project finance")),"Asset method required",IF(OR(NOT(ISNUMBER(X48)),X48&lt;0),"Reported value required","Ready")),IF(W48="Activity",IF(AND(COUNTIFS('Activity Data'!$D$9:$D$308,C48,'Activity Data'!$F$9:$F$308,"S2")&gt;0,COUNTIFS('Activity Data'!$D$9:$D$308,C48,'Activity Data'!$F$9:$F$308,"S2")=COUNTIFS('Activity Data'!$D$9:$D$308,C48,'Activity Data'!$F$9:$F$308,"S2",'Activity Data'!$V$9:$V$308,"Ready")),"Ready","Activity incomplete"),"Method required"))))))))</x:f>
      </x:c>
      <x:c r="AC48" s="8"/>
      <x:c r="AD48" s="8"/>
      <x:c r="AE48" s="16"/>
      <x:c r="AF48" s="8"/>
      <x:c r="AG48" s="23" t="str">
        <x:f>IF(AI48="Ready",IF(AD48="Activity",SUMIFS('Activity Data'!$U$9:$U$308,'Activity Data'!$D$9:$D$308,C48,'Activity Data'!$F$9:$F$308,"S3"),AE48),"")</x:f>
      </x:c>
      <x:c r="AH48" s="44" t="str">
        <x:f>IF(AI48&lt;&gt;"Ready","",IF(AD48="Reported verified",1,IF(AD48="Reported unverified",2,IF(F48="Motor",1,2))))</x:f>
      </x:c>
      <x:c r="AI48" s="9" t="str">
        <x:f>IF(C48="","",IF(AD48="Not assessed","Not assessed",IF(OR(O48="",NOT(ISNUMBER(H48)),NOT(ISNUMBER(P48))),"Evidence required",IF(OR(P48&lt;'Settings'!$F$8,H48&gt;'Settings'!$F$8,YEAR(H48)&lt;&gt;YEAR('Settings'!$F$8)),"Period / expiry review",IF(AF48&lt;&gt;"Yes","Boundary incomplete",IF(AM48="","S3 screening required",IF(OR(AD48="Reported verified",AD48="Reported unverified"),IF(NOT(OR(F48="Corporate private",F48="Corporate listed",F48="Project finance")),"Asset method required",IF(OR(NOT(ISNUMBER(AE48)),AE48&lt;0),"Reported value required","Ready")),"Scope 3 method required")))))))</x:f>
      </x:c>
      <x:c r="AJ48" s="9" t="str">
        <x:f>IF(C48="","",IF(OR(F48="Corporate private",F48="Corporate listed"),IFERROR(IF(INDEX('Borrowers'!$X$9:$X$108,MATCH(D48,'Borrowers'!$C$9:$C$108,0))="","",INDEX('Borrowers'!$X$9:$X$108,MATCH(D48,'Borrowers'!$C$9:$C$108,0))),""),IF(AQ48="","",AQ48)))</x:f>
      </x:c>
      <x:c r="AK48" s="43" t="str">
        <x:f>IF(C48="","",IF(OR(F48="Corporate private",F48="Corporate listed"),IFERROR(IF(INDEX('Borrowers'!$H$9:$H$108,MATCH(D48,'Borrowers'!$C$9:$C$108,0))="","",INDEX('Borrowers'!$H$9:$H$108,MATCH(D48,'Borrowers'!$C$9:$C$108,0))),""),IF(AR48="","",AR48)))</x:f>
      </x:c>
      <x:c r="AL48" s="9" t="str">
        <x:f>IF(C48="","",IF(COUNTIFS($C$9:$C$108,C48)&lt;&gt;1,"Duplicate entity ID",IF(COUNTIFS('Borrowers'!$C$9:$C$108,D48)&lt;&gt;1,"Borrower required",IF(AND(F48&lt;&gt;"Corporate private",F48&lt;&gt;"Corporate listed",F48&lt;&gt;"Project finance",F48&lt;&gt;"CRE",F48&lt;&gt;"Mortgage",F48&lt;&gt;"Motor"),"Method required",IF(OR(AND(F48="Corporate private",IFERROR(IF(INDEX('Borrowers'!$G$9:$G$108,MATCH(D48,'Borrowers'!$C$9:$C$108,0))="","",INDEX('Borrowers'!$G$9:$G$108,MATCH(D48,'Borrowers'!$C$9:$C$108,0))),"")&lt;&gt;"Private"),AND(F48="Corporate listed",IFERROR(IF(INDEX('Borrowers'!$G$9:$G$108,MATCH(D48,'Borrowers'!$C$9:$C$108,0))="","",INDEX('Borrowers'!$G$9:$G$108,MATCH(D48,'Borrowers'!$C$9:$C$108,0))),"")&lt;&gt;"Listed")),"Listing / class mismatch",IF(OR(NOT(ISNUMBER(N48)),N48&lt;=0,AJ48="",NOT(ISNUMBER(AK48))),"Value evidence required",IF(AND(OR(F48="Corporate private",F48="Corporate listed"),IFERROR(IF(INDEX('Borrowers'!$Y$9:$Y$108,MATCH(D48,'Borrowers'!$C$9:$C$108,0))="","",INDEX('Borrowers'!$Y$9:$Y$108,MATCH(D48,'Borrowers'!$C$9:$C$108,0))),"")&lt;'Settings'!$F$8),"Expired financial evidence",IF(AK48&gt;'Settings'!$F$8,"Future value date",IF(OR(AND(OR(F48="Corporate private",F48="Project finance"),OR(J48&lt;0,M48&lt;&gt;"Current financials")),AND(F48="Corporate listed",M48&lt;&gt;"Current financials"),AND(OR(F48="CRE",F48="Mortgage",F48="Motor"),AND(M48&lt;&gt;"Origination",M48&lt;&gt;"Fixed fallback"))),"Value basis review",IF(AND(M48="Current financials",YEAR(AK48)&lt;&gt;YEAR('Settings'!$F$8)),"Stale financial period","Ready"))))))))))</x:f>
      </x:c>
      <x:c r="AM48" s="8"/>
      <x:c r="AN48" s="8"/>
      <x:c r="AO48" s="16"/>
      <x:c r="AP48" s="16"/>
      <x:c r="AQ48" s="8"/>
      <x:c r="AR48" s="40"/>
    </x:row>
    <x:row r="49" ht="40" customHeight="1">
      <x:c r="A49" s="1"/>
      <x:c r="B49" s="1"/>
      <x:c r="C49" s="8"/>
      <x:c r="D49" s="8"/>
      <x:c r="E49" s="8"/>
      <x:c r="F49" s="8"/>
      <x:c r="G49" s="9" t="str">
        <x:f>IF(C49="","",IFERROR(IF(INDEX('Borrowers'!$E$9:$E$108,MATCH(D49,'Borrowers'!$C$9:$C$108,0))="","",INDEX('Borrowers'!$E$9:$E$108,MATCH(D49,'Borrowers'!$C$9:$C$108,0))),""))</x:f>
      </x:c>
      <x:c r="H49" s="40"/>
      <x:c r="I49" s="23" t="str">
        <x:f>IF(C49="","",IF(OR(F49="Corporate private",F49="Corporate listed"),IFERROR(IF(INDEX('Borrowers'!$M$9:$M$108,MATCH(D49,'Borrowers'!$C$9:$C$108,0))="","",INDEX('Borrowers'!$M$9:$M$108,MATCH(D49,'Borrowers'!$C$9:$C$108,0))),""),IF(F49="Project finance",IF(ISNUMBER(AO49),AO49,""),"")))</x:f>
      </x:c>
      <x:c r="J49" s="23" t="str">
        <x:f>IF(C49="","",IF(OR(F49="Corporate private",F49="Corporate listed"),IFERROR(IF(INDEX('Borrowers'!$N$9:$N$108,MATCH(D49,'Borrowers'!$C$9:$C$108,0))="","",INDEX('Borrowers'!$N$9:$N$108,MATCH(D49,'Borrowers'!$C$9:$C$108,0))),""),IF(F49="Project finance",IF(ISNUMBER(AP49),AP49,""),"")))</x:f>
      </x:c>
      <x:c r="K49" s="23" t="str">
        <x:f>IF(C49="","",IF(F49="Corporate listed",IFERROR(IF(INDEX('Borrowers'!$O$9:$O$108,MATCH(D49,'Borrowers'!$C$9:$C$108,0))="","",INDEX('Borrowers'!$O$9:$O$108,MATCH(D49,'Borrowers'!$C$9:$C$108,0))),""),""))</x:f>
      </x:c>
      <x:c r="L49" s="16"/>
      <x:c r="M49" s="8"/>
      <x:c r="N49" s="21" t="str">
        <x:f>IF(C49="","",IF(F49="Corporate listed",IF(ISNUMBER(K49),K49,""),IF(OR(F49="Corporate private",F49="Project finance"),IF(AND(ISNUMBER(I49),ISNUMBER(J49)),MAX(I49,0)+J49,""),IF(OR(F49="CRE",F49="Mortgage",F49="Motor"),IF(ISNUMBER(L49),L49,""),""))))</x:f>
      </x:c>
      <x:c r="O49" s="8"/>
      <x:c r="P49" s="40"/>
      <x:c r="Q49" s="8"/>
      <x:c r="R49" s="16"/>
      <x:c r="S49" s="8"/>
      <x:c r="T49" s="23" t="str">
        <x:f>IF(V49="Ready",IF(Q49="Activity",SUMIFS('Activity Data'!$U$9:$U$308,'Activity Data'!$D$9:$D$308,C49,'Activity Data'!$F$9:$F$308,"S1"),R49),"")</x:f>
      </x:c>
      <x:c r="U49" s="44" t="str">
        <x:f>IF(V49&lt;&gt;"Ready","",IF(Q49="Reported verified",1,IF(Q49="Reported unverified",2,IF(F49="Motor",1,2))))</x:f>
      </x:c>
      <x:c r="V49" s="9" t="str">
        <x:f>IF(C49="","",IF(Q49="Not assessed","Not assessed",IF(OR(O49="",NOT(ISNUMBER(H49)),NOT(ISNUMBER(P49))),"Evidence required",IF(OR(P49&lt;'Settings'!$F$8,H49&gt;'Settings'!$F$8,YEAR(H49)&lt;&gt;YEAR('Settings'!$F$8)),"Period / expiry review",IF(S49&lt;&gt;"Yes","Boundary incomplete",IF(OR(Q49="Reported verified",Q49="Reported unverified"),IF(NOT(OR(F49="Corporate private",F49="Corporate listed",F49="Project finance")),"Asset method required",IF(OR(NOT(ISNUMBER(R49)),R49&lt;0),"Reported value required","Ready")),IF(Q49="Activity",IF(AND(COUNTIFS('Activity Data'!$D$9:$D$308,C49,'Activity Data'!$F$9:$F$308,"S1")&gt;0,COUNTIFS('Activity Data'!$D$9:$D$308,C49,'Activity Data'!$F$9:$F$308,"S1")=COUNTIFS('Activity Data'!$D$9:$D$308,C49,'Activity Data'!$F$9:$F$308,"S1",'Activity Data'!$V$9:$V$308,"Ready")),"Ready","Activity incomplete"),"Method required")))))))</x:f>
      </x:c>
      <x:c r="W49" s="8"/>
      <x:c r="X49" s="16"/>
      <x:c r="Y49" s="8"/>
      <x:c r="Z49" s="23" t="str">
        <x:f>IF(AB49="Ready",IF(W49="Activity",SUMIFS('Activity Data'!$U$9:$U$308,'Activity Data'!$D$9:$D$308,C49,'Activity Data'!$F$9:$F$308,"S2"),X49),"")</x:f>
      </x:c>
      <x:c r="AA49" s="44" t="str">
        <x:f>IF(AB49&lt;&gt;"Ready","",IF(W49="Reported verified",1,IF(W49="Reported unverified",2,IF(F49="Motor",1,2))))</x:f>
      </x:c>
      <x:c r="AB49" s="9" t="str">
        <x:f>IF(C49="","",IF(W49="Not assessed","Not assessed",IF(OR(O49="",NOT(ISNUMBER(H49)),NOT(ISNUMBER(P49))),"Evidence required",IF(OR(P49&lt;'Settings'!$F$8,H49&gt;'Settings'!$F$8,YEAR(H49)&lt;&gt;YEAR('Settings'!$F$8)),"Period / expiry review",IF(Y49&lt;&gt;"Yes","Boundary incomplete",IF(OR(AND(AC49&lt;&gt;"Location-based",AC49&lt;&gt;"Market-based"),AND(W49="Activity",AC49&lt;&gt;"Location-based")),"S2 basis mismatch",IF(OR(W49="Reported verified",W49="Reported unverified"),IF(NOT(OR(F49="Corporate private",F49="Corporate listed",F49="Project finance")),"Asset method required",IF(OR(NOT(ISNUMBER(X49)),X49&lt;0),"Reported value required","Ready")),IF(W49="Activity",IF(AND(COUNTIFS('Activity Data'!$D$9:$D$308,C49,'Activity Data'!$F$9:$F$308,"S2")&gt;0,COUNTIFS('Activity Data'!$D$9:$D$308,C49,'Activity Data'!$F$9:$F$308,"S2")=COUNTIFS('Activity Data'!$D$9:$D$308,C49,'Activity Data'!$F$9:$F$308,"S2",'Activity Data'!$V$9:$V$308,"Ready")),"Ready","Activity incomplete"),"Method required"))))))))</x:f>
      </x:c>
      <x:c r="AC49" s="8"/>
      <x:c r="AD49" s="8"/>
      <x:c r="AE49" s="16"/>
      <x:c r="AF49" s="8"/>
      <x:c r="AG49" s="23" t="str">
        <x:f>IF(AI49="Ready",IF(AD49="Activity",SUMIFS('Activity Data'!$U$9:$U$308,'Activity Data'!$D$9:$D$308,C49,'Activity Data'!$F$9:$F$308,"S3"),AE49),"")</x:f>
      </x:c>
      <x:c r="AH49" s="44" t="str">
        <x:f>IF(AI49&lt;&gt;"Ready","",IF(AD49="Reported verified",1,IF(AD49="Reported unverified",2,IF(F49="Motor",1,2))))</x:f>
      </x:c>
      <x:c r="AI49" s="9" t="str">
        <x:f>IF(C49="","",IF(AD49="Not assessed","Not assessed",IF(OR(O49="",NOT(ISNUMBER(H49)),NOT(ISNUMBER(P49))),"Evidence required",IF(OR(P49&lt;'Settings'!$F$8,H49&gt;'Settings'!$F$8,YEAR(H49)&lt;&gt;YEAR('Settings'!$F$8)),"Period / expiry review",IF(AF49&lt;&gt;"Yes","Boundary incomplete",IF(AM49="","S3 screening required",IF(OR(AD49="Reported verified",AD49="Reported unverified"),IF(NOT(OR(F49="Corporate private",F49="Corporate listed",F49="Project finance")),"Asset method required",IF(OR(NOT(ISNUMBER(AE49)),AE49&lt;0),"Reported value required","Ready")),"Scope 3 method required")))))))</x:f>
      </x:c>
      <x:c r="AJ49" s="9" t="str">
        <x:f>IF(C49="","",IF(OR(F49="Corporate private",F49="Corporate listed"),IFERROR(IF(INDEX('Borrowers'!$X$9:$X$108,MATCH(D49,'Borrowers'!$C$9:$C$108,0))="","",INDEX('Borrowers'!$X$9:$X$108,MATCH(D49,'Borrowers'!$C$9:$C$108,0))),""),IF(AQ49="","",AQ49)))</x:f>
      </x:c>
      <x:c r="AK49" s="43" t="str">
        <x:f>IF(C49="","",IF(OR(F49="Corporate private",F49="Corporate listed"),IFERROR(IF(INDEX('Borrowers'!$H$9:$H$108,MATCH(D49,'Borrowers'!$C$9:$C$108,0))="","",INDEX('Borrowers'!$H$9:$H$108,MATCH(D49,'Borrowers'!$C$9:$C$108,0))),""),IF(AR49="","",AR49)))</x:f>
      </x:c>
      <x:c r="AL49" s="9" t="str">
        <x:f>IF(C49="","",IF(COUNTIFS($C$9:$C$108,C49)&lt;&gt;1,"Duplicate entity ID",IF(COUNTIFS('Borrowers'!$C$9:$C$108,D49)&lt;&gt;1,"Borrower required",IF(AND(F49&lt;&gt;"Corporate private",F49&lt;&gt;"Corporate listed",F49&lt;&gt;"Project finance",F49&lt;&gt;"CRE",F49&lt;&gt;"Mortgage",F49&lt;&gt;"Motor"),"Method required",IF(OR(AND(F49="Corporate private",IFERROR(IF(INDEX('Borrowers'!$G$9:$G$108,MATCH(D49,'Borrowers'!$C$9:$C$108,0))="","",INDEX('Borrowers'!$G$9:$G$108,MATCH(D49,'Borrowers'!$C$9:$C$108,0))),"")&lt;&gt;"Private"),AND(F49="Corporate listed",IFERROR(IF(INDEX('Borrowers'!$G$9:$G$108,MATCH(D49,'Borrowers'!$C$9:$C$108,0))="","",INDEX('Borrowers'!$G$9:$G$108,MATCH(D49,'Borrowers'!$C$9:$C$108,0))),"")&lt;&gt;"Listed")),"Listing / class mismatch",IF(OR(NOT(ISNUMBER(N49)),N49&lt;=0,AJ49="",NOT(ISNUMBER(AK49))),"Value evidence required",IF(AND(OR(F49="Corporate private",F49="Corporate listed"),IFERROR(IF(INDEX('Borrowers'!$Y$9:$Y$108,MATCH(D49,'Borrowers'!$C$9:$C$108,0))="","",INDEX('Borrowers'!$Y$9:$Y$108,MATCH(D49,'Borrowers'!$C$9:$C$108,0))),"")&lt;'Settings'!$F$8),"Expired financial evidence",IF(AK49&gt;'Settings'!$F$8,"Future value date",IF(OR(AND(OR(F49="Corporate private",F49="Project finance"),OR(J49&lt;0,M49&lt;&gt;"Current financials")),AND(F49="Corporate listed",M49&lt;&gt;"Current financials"),AND(OR(F49="CRE",F49="Mortgage",F49="Motor"),AND(M49&lt;&gt;"Origination",M49&lt;&gt;"Fixed fallback"))),"Value basis review",IF(AND(M49="Current financials",YEAR(AK49)&lt;&gt;YEAR('Settings'!$F$8)),"Stale financial period","Ready"))))))))))</x:f>
      </x:c>
      <x:c r="AM49" s="8"/>
      <x:c r="AN49" s="8"/>
      <x:c r="AO49" s="16"/>
      <x:c r="AP49" s="16"/>
      <x:c r="AQ49" s="8"/>
      <x:c r="AR49" s="40"/>
    </x:row>
    <x:row r="50" ht="40" customHeight="1">
      <x:c r="A50" s="1"/>
      <x:c r="B50" s="1"/>
      <x:c r="C50" s="8"/>
      <x:c r="D50" s="8"/>
      <x:c r="E50" s="8"/>
      <x:c r="F50" s="8"/>
      <x:c r="G50" s="9" t="str">
        <x:f>IF(C50="","",IFERROR(IF(INDEX('Borrowers'!$E$9:$E$108,MATCH(D50,'Borrowers'!$C$9:$C$108,0))="","",INDEX('Borrowers'!$E$9:$E$108,MATCH(D50,'Borrowers'!$C$9:$C$108,0))),""))</x:f>
      </x:c>
      <x:c r="H50" s="40"/>
      <x:c r="I50" s="23" t="str">
        <x:f>IF(C50="","",IF(OR(F50="Corporate private",F50="Corporate listed"),IFERROR(IF(INDEX('Borrowers'!$M$9:$M$108,MATCH(D50,'Borrowers'!$C$9:$C$108,0))="","",INDEX('Borrowers'!$M$9:$M$108,MATCH(D50,'Borrowers'!$C$9:$C$108,0))),""),IF(F50="Project finance",IF(ISNUMBER(AO50),AO50,""),"")))</x:f>
      </x:c>
      <x:c r="J50" s="23" t="str">
        <x:f>IF(C50="","",IF(OR(F50="Corporate private",F50="Corporate listed"),IFERROR(IF(INDEX('Borrowers'!$N$9:$N$108,MATCH(D50,'Borrowers'!$C$9:$C$108,0))="","",INDEX('Borrowers'!$N$9:$N$108,MATCH(D50,'Borrowers'!$C$9:$C$108,0))),""),IF(F50="Project finance",IF(ISNUMBER(AP50),AP50,""),"")))</x:f>
      </x:c>
      <x:c r="K50" s="23" t="str">
        <x:f>IF(C50="","",IF(F50="Corporate listed",IFERROR(IF(INDEX('Borrowers'!$O$9:$O$108,MATCH(D50,'Borrowers'!$C$9:$C$108,0))="","",INDEX('Borrowers'!$O$9:$O$108,MATCH(D50,'Borrowers'!$C$9:$C$108,0))),""),""))</x:f>
      </x:c>
      <x:c r="L50" s="16"/>
      <x:c r="M50" s="8"/>
      <x:c r="N50" s="21" t="str">
        <x:f>IF(C50="","",IF(F50="Corporate listed",IF(ISNUMBER(K50),K50,""),IF(OR(F50="Corporate private",F50="Project finance"),IF(AND(ISNUMBER(I50),ISNUMBER(J50)),MAX(I50,0)+J50,""),IF(OR(F50="CRE",F50="Mortgage",F50="Motor"),IF(ISNUMBER(L50),L50,""),""))))</x:f>
      </x:c>
      <x:c r="O50" s="8"/>
      <x:c r="P50" s="40"/>
      <x:c r="Q50" s="8"/>
      <x:c r="R50" s="16"/>
      <x:c r="S50" s="8"/>
      <x:c r="T50" s="23" t="str">
        <x:f>IF(V50="Ready",IF(Q50="Activity",SUMIFS('Activity Data'!$U$9:$U$308,'Activity Data'!$D$9:$D$308,C50,'Activity Data'!$F$9:$F$308,"S1"),R50),"")</x:f>
      </x:c>
      <x:c r="U50" s="44" t="str">
        <x:f>IF(V50&lt;&gt;"Ready","",IF(Q50="Reported verified",1,IF(Q50="Reported unverified",2,IF(F50="Motor",1,2))))</x:f>
      </x:c>
      <x:c r="V50" s="9" t="str">
        <x:f>IF(C50="","",IF(Q50="Not assessed","Not assessed",IF(OR(O50="",NOT(ISNUMBER(H50)),NOT(ISNUMBER(P50))),"Evidence required",IF(OR(P50&lt;'Settings'!$F$8,H50&gt;'Settings'!$F$8,YEAR(H50)&lt;&gt;YEAR('Settings'!$F$8)),"Period / expiry review",IF(S50&lt;&gt;"Yes","Boundary incomplete",IF(OR(Q50="Reported verified",Q50="Reported unverified"),IF(NOT(OR(F50="Corporate private",F50="Corporate listed",F50="Project finance")),"Asset method required",IF(OR(NOT(ISNUMBER(R50)),R50&lt;0),"Reported value required","Ready")),IF(Q50="Activity",IF(AND(COUNTIFS('Activity Data'!$D$9:$D$308,C50,'Activity Data'!$F$9:$F$308,"S1")&gt;0,COUNTIFS('Activity Data'!$D$9:$D$308,C50,'Activity Data'!$F$9:$F$308,"S1")=COUNTIFS('Activity Data'!$D$9:$D$308,C50,'Activity Data'!$F$9:$F$308,"S1",'Activity Data'!$V$9:$V$308,"Ready")),"Ready","Activity incomplete"),"Method required")))))))</x:f>
      </x:c>
      <x:c r="W50" s="8"/>
      <x:c r="X50" s="16"/>
      <x:c r="Y50" s="8"/>
      <x:c r="Z50" s="23" t="str">
        <x:f>IF(AB50="Ready",IF(W50="Activity",SUMIFS('Activity Data'!$U$9:$U$308,'Activity Data'!$D$9:$D$308,C50,'Activity Data'!$F$9:$F$308,"S2"),X50),"")</x:f>
      </x:c>
      <x:c r="AA50" s="44" t="str">
        <x:f>IF(AB50&lt;&gt;"Ready","",IF(W50="Reported verified",1,IF(W50="Reported unverified",2,IF(F50="Motor",1,2))))</x:f>
      </x:c>
      <x:c r="AB50" s="9" t="str">
        <x:f>IF(C50="","",IF(W50="Not assessed","Not assessed",IF(OR(O50="",NOT(ISNUMBER(H50)),NOT(ISNUMBER(P50))),"Evidence required",IF(OR(P50&lt;'Settings'!$F$8,H50&gt;'Settings'!$F$8,YEAR(H50)&lt;&gt;YEAR('Settings'!$F$8)),"Period / expiry review",IF(Y50&lt;&gt;"Yes","Boundary incomplete",IF(OR(AND(AC50&lt;&gt;"Location-based",AC50&lt;&gt;"Market-based"),AND(W50="Activity",AC50&lt;&gt;"Location-based")),"S2 basis mismatch",IF(OR(W50="Reported verified",W50="Reported unverified"),IF(NOT(OR(F50="Corporate private",F50="Corporate listed",F50="Project finance")),"Asset method required",IF(OR(NOT(ISNUMBER(X50)),X50&lt;0),"Reported value required","Ready")),IF(W50="Activity",IF(AND(COUNTIFS('Activity Data'!$D$9:$D$308,C50,'Activity Data'!$F$9:$F$308,"S2")&gt;0,COUNTIFS('Activity Data'!$D$9:$D$308,C50,'Activity Data'!$F$9:$F$308,"S2")=COUNTIFS('Activity Data'!$D$9:$D$308,C50,'Activity Data'!$F$9:$F$308,"S2",'Activity Data'!$V$9:$V$308,"Ready")),"Ready","Activity incomplete"),"Method required"))))))))</x:f>
      </x:c>
      <x:c r="AC50" s="8"/>
      <x:c r="AD50" s="8"/>
      <x:c r="AE50" s="16"/>
      <x:c r="AF50" s="8"/>
      <x:c r="AG50" s="23" t="str">
        <x:f>IF(AI50="Ready",IF(AD50="Activity",SUMIFS('Activity Data'!$U$9:$U$308,'Activity Data'!$D$9:$D$308,C50,'Activity Data'!$F$9:$F$308,"S3"),AE50),"")</x:f>
      </x:c>
      <x:c r="AH50" s="44" t="str">
        <x:f>IF(AI50&lt;&gt;"Ready","",IF(AD50="Reported verified",1,IF(AD50="Reported unverified",2,IF(F50="Motor",1,2))))</x:f>
      </x:c>
      <x:c r="AI50" s="9" t="str">
        <x:f>IF(C50="","",IF(AD50="Not assessed","Not assessed",IF(OR(O50="",NOT(ISNUMBER(H50)),NOT(ISNUMBER(P50))),"Evidence required",IF(OR(P50&lt;'Settings'!$F$8,H50&gt;'Settings'!$F$8,YEAR(H50)&lt;&gt;YEAR('Settings'!$F$8)),"Period / expiry review",IF(AF50&lt;&gt;"Yes","Boundary incomplete",IF(AM50="","S3 screening required",IF(OR(AD50="Reported verified",AD50="Reported unverified"),IF(NOT(OR(F50="Corporate private",F50="Corporate listed",F50="Project finance")),"Asset method required",IF(OR(NOT(ISNUMBER(AE50)),AE50&lt;0),"Reported value required","Ready")),"Scope 3 method required")))))))</x:f>
      </x:c>
      <x:c r="AJ50" s="9" t="str">
        <x:f>IF(C50="","",IF(OR(F50="Corporate private",F50="Corporate listed"),IFERROR(IF(INDEX('Borrowers'!$X$9:$X$108,MATCH(D50,'Borrowers'!$C$9:$C$108,0))="","",INDEX('Borrowers'!$X$9:$X$108,MATCH(D50,'Borrowers'!$C$9:$C$108,0))),""),IF(AQ50="","",AQ50)))</x:f>
      </x:c>
      <x:c r="AK50" s="43" t="str">
        <x:f>IF(C50="","",IF(OR(F50="Corporate private",F50="Corporate listed"),IFERROR(IF(INDEX('Borrowers'!$H$9:$H$108,MATCH(D50,'Borrowers'!$C$9:$C$108,0))="","",INDEX('Borrowers'!$H$9:$H$108,MATCH(D50,'Borrowers'!$C$9:$C$108,0))),""),IF(AR50="","",AR50)))</x:f>
      </x:c>
      <x:c r="AL50" s="9" t="str">
        <x:f>IF(C50="","",IF(COUNTIFS($C$9:$C$108,C50)&lt;&gt;1,"Duplicate entity ID",IF(COUNTIFS('Borrowers'!$C$9:$C$108,D50)&lt;&gt;1,"Borrower required",IF(AND(F50&lt;&gt;"Corporate private",F50&lt;&gt;"Corporate listed",F50&lt;&gt;"Project finance",F50&lt;&gt;"CRE",F50&lt;&gt;"Mortgage",F50&lt;&gt;"Motor"),"Method required",IF(OR(AND(F50="Corporate private",IFERROR(IF(INDEX('Borrowers'!$G$9:$G$108,MATCH(D50,'Borrowers'!$C$9:$C$108,0))="","",INDEX('Borrowers'!$G$9:$G$108,MATCH(D50,'Borrowers'!$C$9:$C$108,0))),"")&lt;&gt;"Private"),AND(F50="Corporate listed",IFERROR(IF(INDEX('Borrowers'!$G$9:$G$108,MATCH(D50,'Borrowers'!$C$9:$C$108,0))="","",INDEX('Borrowers'!$G$9:$G$108,MATCH(D50,'Borrowers'!$C$9:$C$108,0))),"")&lt;&gt;"Listed")),"Listing / class mismatch",IF(OR(NOT(ISNUMBER(N50)),N50&lt;=0,AJ50="",NOT(ISNUMBER(AK50))),"Value evidence required",IF(AND(OR(F50="Corporate private",F50="Corporate listed"),IFERROR(IF(INDEX('Borrowers'!$Y$9:$Y$108,MATCH(D50,'Borrowers'!$C$9:$C$108,0))="","",INDEX('Borrowers'!$Y$9:$Y$108,MATCH(D50,'Borrowers'!$C$9:$C$108,0))),"")&lt;'Settings'!$F$8),"Expired financial evidence",IF(AK50&gt;'Settings'!$F$8,"Future value date",IF(OR(AND(OR(F50="Corporate private",F50="Project finance"),OR(J50&lt;0,M50&lt;&gt;"Current financials")),AND(F50="Corporate listed",M50&lt;&gt;"Current financials"),AND(OR(F50="CRE",F50="Mortgage",F50="Motor"),AND(M50&lt;&gt;"Origination",M50&lt;&gt;"Fixed fallback"))),"Value basis review",IF(AND(M50="Current financials",YEAR(AK50)&lt;&gt;YEAR('Settings'!$F$8)),"Stale financial period","Ready"))))))))))</x:f>
      </x:c>
      <x:c r="AM50" s="8"/>
      <x:c r="AN50" s="8"/>
      <x:c r="AO50" s="16"/>
      <x:c r="AP50" s="16"/>
      <x:c r="AQ50" s="8"/>
      <x:c r="AR50" s="40"/>
    </x:row>
    <x:row r="51" ht="40" customHeight="1">
      <x:c r="A51" s="1"/>
      <x:c r="B51" s="1"/>
      <x:c r="C51" s="8"/>
      <x:c r="D51" s="8"/>
      <x:c r="E51" s="8"/>
      <x:c r="F51" s="8"/>
      <x:c r="G51" s="9" t="str">
        <x:f>IF(C51="","",IFERROR(IF(INDEX('Borrowers'!$E$9:$E$108,MATCH(D51,'Borrowers'!$C$9:$C$108,0))="","",INDEX('Borrowers'!$E$9:$E$108,MATCH(D51,'Borrowers'!$C$9:$C$108,0))),""))</x:f>
      </x:c>
      <x:c r="H51" s="40"/>
      <x:c r="I51" s="23" t="str">
        <x:f>IF(C51="","",IF(OR(F51="Corporate private",F51="Corporate listed"),IFERROR(IF(INDEX('Borrowers'!$M$9:$M$108,MATCH(D51,'Borrowers'!$C$9:$C$108,0))="","",INDEX('Borrowers'!$M$9:$M$108,MATCH(D51,'Borrowers'!$C$9:$C$108,0))),""),IF(F51="Project finance",IF(ISNUMBER(AO51),AO51,""),"")))</x:f>
      </x:c>
      <x:c r="J51" s="23" t="str">
        <x:f>IF(C51="","",IF(OR(F51="Corporate private",F51="Corporate listed"),IFERROR(IF(INDEX('Borrowers'!$N$9:$N$108,MATCH(D51,'Borrowers'!$C$9:$C$108,0))="","",INDEX('Borrowers'!$N$9:$N$108,MATCH(D51,'Borrowers'!$C$9:$C$108,0))),""),IF(F51="Project finance",IF(ISNUMBER(AP51),AP51,""),"")))</x:f>
      </x:c>
      <x:c r="K51" s="23" t="str">
        <x:f>IF(C51="","",IF(F51="Corporate listed",IFERROR(IF(INDEX('Borrowers'!$O$9:$O$108,MATCH(D51,'Borrowers'!$C$9:$C$108,0))="","",INDEX('Borrowers'!$O$9:$O$108,MATCH(D51,'Borrowers'!$C$9:$C$108,0))),""),""))</x:f>
      </x:c>
      <x:c r="L51" s="16"/>
      <x:c r="M51" s="8"/>
      <x:c r="N51" s="21" t="str">
        <x:f>IF(C51="","",IF(F51="Corporate listed",IF(ISNUMBER(K51),K51,""),IF(OR(F51="Corporate private",F51="Project finance"),IF(AND(ISNUMBER(I51),ISNUMBER(J51)),MAX(I51,0)+J51,""),IF(OR(F51="CRE",F51="Mortgage",F51="Motor"),IF(ISNUMBER(L51),L51,""),""))))</x:f>
      </x:c>
      <x:c r="O51" s="8"/>
      <x:c r="P51" s="40"/>
      <x:c r="Q51" s="8"/>
      <x:c r="R51" s="16"/>
      <x:c r="S51" s="8"/>
      <x:c r="T51" s="23" t="str">
        <x:f>IF(V51="Ready",IF(Q51="Activity",SUMIFS('Activity Data'!$U$9:$U$308,'Activity Data'!$D$9:$D$308,C51,'Activity Data'!$F$9:$F$308,"S1"),R51),"")</x:f>
      </x:c>
      <x:c r="U51" s="44" t="str">
        <x:f>IF(V51&lt;&gt;"Ready","",IF(Q51="Reported verified",1,IF(Q51="Reported unverified",2,IF(F51="Motor",1,2))))</x:f>
      </x:c>
      <x:c r="V51" s="9" t="str">
        <x:f>IF(C51="","",IF(Q51="Not assessed","Not assessed",IF(OR(O51="",NOT(ISNUMBER(H51)),NOT(ISNUMBER(P51))),"Evidence required",IF(OR(P51&lt;'Settings'!$F$8,H51&gt;'Settings'!$F$8,YEAR(H51)&lt;&gt;YEAR('Settings'!$F$8)),"Period / expiry review",IF(S51&lt;&gt;"Yes","Boundary incomplete",IF(OR(Q51="Reported verified",Q51="Reported unverified"),IF(NOT(OR(F51="Corporate private",F51="Corporate listed",F51="Project finance")),"Asset method required",IF(OR(NOT(ISNUMBER(R51)),R51&lt;0),"Reported value required","Ready")),IF(Q51="Activity",IF(AND(COUNTIFS('Activity Data'!$D$9:$D$308,C51,'Activity Data'!$F$9:$F$308,"S1")&gt;0,COUNTIFS('Activity Data'!$D$9:$D$308,C51,'Activity Data'!$F$9:$F$308,"S1")=COUNTIFS('Activity Data'!$D$9:$D$308,C51,'Activity Data'!$F$9:$F$308,"S1",'Activity Data'!$V$9:$V$308,"Ready")),"Ready","Activity incomplete"),"Method required")))))))</x:f>
      </x:c>
      <x:c r="W51" s="8"/>
      <x:c r="X51" s="16"/>
      <x:c r="Y51" s="8"/>
      <x:c r="Z51" s="23" t="str">
        <x:f>IF(AB51="Ready",IF(W51="Activity",SUMIFS('Activity Data'!$U$9:$U$308,'Activity Data'!$D$9:$D$308,C51,'Activity Data'!$F$9:$F$308,"S2"),X51),"")</x:f>
      </x:c>
      <x:c r="AA51" s="44" t="str">
        <x:f>IF(AB51&lt;&gt;"Ready","",IF(W51="Reported verified",1,IF(W51="Reported unverified",2,IF(F51="Motor",1,2))))</x:f>
      </x:c>
      <x:c r="AB51" s="9" t="str">
        <x:f>IF(C51="","",IF(W51="Not assessed","Not assessed",IF(OR(O51="",NOT(ISNUMBER(H51)),NOT(ISNUMBER(P51))),"Evidence required",IF(OR(P51&lt;'Settings'!$F$8,H51&gt;'Settings'!$F$8,YEAR(H51)&lt;&gt;YEAR('Settings'!$F$8)),"Period / expiry review",IF(Y51&lt;&gt;"Yes","Boundary incomplete",IF(OR(AND(AC51&lt;&gt;"Location-based",AC51&lt;&gt;"Market-based"),AND(W51="Activity",AC51&lt;&gt;"Location-based")),"S2 basis mismatch",IF(OR(W51="Reported verified",W51="Reported unverified"),IF(NOT(OR(F51="Corporate private",F51="Corporate listed",F51="Project finance")),"Asset method required",IF(OR(NOT(ISNUMBER(X51)),X51&lt;0),"Reported value required","Ready")),IF(W51="Activity",IF(AND(COUNTIFS('Activity Data'!$D$9:$D$308,C51,'Activity Data'!$F$9:$F$308,"S2")&gt;0,COUNTIFS('Activity Data'!$D$9:$D$308,C51,'Activity Data'!$F$9:$F$308,"S2")=COUNTIFS('Activity Data'!$D$9:$D$308,C51,'Activity Data'!$F$9:$F$308,"S2",'Activity Data'!$V$9:$V$308,"Ready")),"Ready","Activity incomplete"),"Method required"))))))))</x:f>
      </x:c>
      <x:c r="AC51" s="8"/>
      <x:c r="AD51" s="8"/>
      <x:c r="AE51" s="16"/>
      <x:c r="AF51" s="8"/>
      <x:c r="AG51" s="23" t="str">
        <x:f>IF(AI51="Ready",IF(AD51="Activity",SUMIFS('Activity Data'!$U$9:$U$308,'Activity Data'!$D$9:$D$308,C51,'Activity Data'!$F$9:$F$308,"S3"),AE51),"")</x:f>
      </x:c>
      <x:c r="AH51" s="44" t="str">
        <x:f>IF(AI51&lt;&gt;"Ready","",IF(AD51="Reported verified",1,IF(AD51="Reported unverified",2,IF(F51="Motor",1,2))))</x:f>
      </x:c>
      <x:c r="AI51" s="9" t="str">
        <x:f>IF(C51="","",IF(AD51="Not assessed","Not assessed",IF(OR(O51="",NOT(ISNUMBER(H51)),NOT(ISNUMBER(P51))),"Evidence required",IF(OR(P51&lt;'Settings'!$F$8,H51&gt;'Settings'!$F$8,YEAR(H51)&lt;&gt;YEAR('Settings'!$F$8)),"Period / expiry review",IF(AF51&lt;&gt;"Yes","Boundary incomplete",IF(AM51="","S3 screening required",IF(OR(AD51="Reported verified",AD51="Reported unverified"),IF(NOT(OR(F51="Corporate private",F51="Corporate listed",F51="Project finance")),"Asset method required",IF(OR(NOT(ISNUMBER(AE51)),AE51&lt;0),"Reported value required","Ready")),"Scope 3 method required")))))))</x:f>
      </x:c>
      <x:c r="AJ51" s="9" t="str">
        <x:f>IF(C51="","",IF(OR(F51="Corporate private",F51="Corporate listed"),IFERROR(IF(INDEX('Borrowers'!$X$9:$X$108,MATCH(D51,'Borrowers'!$C$9:$C$108,0))="","",INDEX('Borrowers'!$X$9:$X$108,MATCH(D51,'Borrowers'!$C$9:$C$108,0))),""),IF(AQ51="","",AQ51)))</x:f>
      </x:c>
      <x:c r="AK51" s="43" t="str">
        <x:f>IF(C51="","",IF(OR(F51="Corporate private",F51="Corporate listed"),IFERROR(IF(INDEX('Borrowers'!$H$9:$H$108,MATCH(D51,'Borrowers'!$C$9:$C$108,0))="","",INDEX('Borrowers'!$H$9:$H$108,MATCH(D51,'Borrowers'!$C$9:$C$108,0))),""),IF(AR51="","",AR51)))</x:f>
      </x:c>
      <x:c r="AL51" s="9" t="str">
        <x:f>IF(C51="","",IF(COUNTIFS($C$9:$C$108,C51)&lt;&gt;1,"Duplicate entity ID",IF(COUNTIFS('Borrowers'!$C$9:$C$108,D51)&lt;&gt;1,"Borrower required",IF(AND(F51&lt;&gt;"Corporate private",F51&lt;&gt;"Corporate listed",F51&lt;&gt;"Project finance",F51&lt;&gt;"CRE",F51&lt;&gt;"Mortgage",F51&lt;&gt;"Motor"),"Method required",IF(OR(AND(F51="Corporate private",IFERROR(IF(INDEX('Borrowers'!$G$9:$G$108,MATCH(D51,'Borrowers'!$C$9:$C$108,0))="","",INDEX('Borrowers'!$G$9:$G$108,MATCH(D51,'Borrowers'!$C$9:$C$108,0))),"")&lt;&gt;"Private"),AND(F51="Corporate listed",IFERROR(IF(INDEX('Borrowers'!$G$9:$G$108,MATCH(D51,'Borrowers'!$C$9:$C$108,0))="","",INDEX('Borrowers'!$G$9:$G$108,MATCH(D51,'Borrowers'!$C$9:$C$108,0))),"")&lt;&gt;"Listed")),"Listing / class mismatch",IF(OR(NOT(ISNUMBER(N51)),N51&lt;=0,AJ51="",NOT(ISNUMBER(AK51))),"Value evidence required",IF(AND(OR(F51="Corporate private",F51="Corporate listed"),IFERROR(IF(INDEX('Borrowers'!$Y$9:$Y$108,MATCH(D51,'Borrowers'!$C$9:$C$108,0))="","",INDEX('Borrowers'!$Y$9:$Y$108,MATCH(D51,'Borrowers'!$C$9:$C$108,0))),"")&lt;'Settings'!$F$8),"Expired financial evidence",IF(AK51&gt;'Settings'!$F$8,"Future value date",IF(OR(AND(OR(F51="Corporate private",F51="Project finance"),OR(J51&lt;0,M51&lt;&gt;"Current financials")),AND(F51="Corporate listed",M51&lt;&gt;"Current financials"),AND(OR(F51="CRE",F51="Mortgage",F51="Motor"),AND(M51&lt;&gt;"Origination",M51&lt;&gt;"Fixed fallback"))),"Value basis review",IF(AND(M51="Current financials",YEAR(AK51)&lt;&gt;YEAR('Settings'!$F$8)),"Stale financial period","Ready"))))))))))</x:f>
      </x:c>
      <x:c r="AM51" s="8"/>
      <x:c r="AN51" s="8"/>
      <x:c r="AO51" s="16"/>
      <x:c r="AP51" s="16"/>
      <x:c r="AQ51" s="8"/>
      <x:c r="AR51" s="40"/>
    </x:row>
    <x:row r="52" ht="40" customHeight="1">
      <x:c r="A52" s="1"/>
      <x:c r="B52" s="1"/>
      <x:c r="C52" s="8"/>
      <x:c r="D52" s="8"/>
      <x:c r="E52" s="8"/>
      <x:c r="F52" s="8"/>
      <x:c r="G52" s="9" t="str">
        <x:f>IF(C52="","",IFERROR(IF(INDEX('Borrowers'!$E$9:$E$108,MATCH(D52,'Borrowers'!$C$9:$C$108,0))="","",INDEX('Borrowers'!$E$9:$E$108,MATCH(D52,'Borrowers'!$C$9:$C$108,0))),""))</x:f>
      </x:c>
      <x:c r="H52" s="40"/>
      <x:c r="I52" s="23" t="str">
        <x:f>IF(C52="","",IF(OR(F52="Corporate private",F52="Corporate listed"),IFERROR(IF(INDEX('Borrowers'!$M$9:$M$108,MATCH(D52,'Borrowers'!$C$9:$C$108,0))="","",INDEX('Borrowers'!$M$9:$M$108,MATCH(D52,'Borrowers'!$C$9:$C$108,0))),""),IF(F52="Project finance",IF(ISNUMBER(AO52),AO52,""),"")))</x:f>
      </x:c>
      <x:c r="J52" s="23" t="str">
        <x:f>IF(C52="","",IF(OR(F52="Corporate private",F52="Corporate listed"),IFERROR(IF(INDEX('Borrowers'!$N$9:$N$108,MATCH(D52,'Borrowers'!$C$9:$C$108,0))="","",INDEX('Borrowers'!$N$9:$N$108,MATCH(D52,'Borrowers'!$C$9:$C$108,0))),""),IF(F52="Project finance",IF(ISNUMBER(AP52),AP52,""),"")))</x:f>
      </x:c>
      <x:c r="K52" s="23" t="str">
        <x:f>IF(C52="","",IF(F52="Corporate listed",IFERROR(IF(INDEX('Borrowers'!$O$9:$O$108,MATCH(D52,'Borrowers'!$C$9:$C$108,0))="","",INDEX('Borrowers'!$O$9:$O$108,MATCH(D52,'Borrowers'!$C$9:$C$108,0))),""),""))</x:f>
      </x:c>
      <x:c r="L52" s="16"/>
      <x:c r="M52" s="8"/>
      <x:c r="N52" s="21" t="str">
        <x:f>IF(C52="","",IF(F52="Corporate listed",IF(ISNUMBER(K52),K52,""),IF(OR(F52="Corporate private",F52="Project finance"),IF(AND(ISNUMBER(I52),ISNUMBER(J52)),MAX(I52,0)+J52,""),IF(OR(F52="CRE",F52="Mortgage",F52="Motor"),IF(ISNUMBER(L52),L52,""),""))))</x:f>
      </x:c>
      <x:c r="O52" s="8"/>
      <x:c r="P52" s="40"/>
      <x:c r="Q52" s="8"/>
      <x:c r="R52" s="16"/>
      <x:c r="S52" s="8"/>
      <x:c r="T52" s="23" t="str">
        <x:f>IF(V52="Ready",IF(Q52="Activity",SUMIFS('Activity Data'!$U$9:$U$308,'Activity Data'!$D$9:$D$308,C52,'Activity Data'!$F$9:$F$308,"S1"),R52),"")</x:f>
      </x:c>
      <x:c r="U52" s="44" t="str">
        <x:f>IF(V52&lt;&gt;"Ready","",IF(Q52="Reported verified",1,IF(Q52="Reported unverified",2,IF(F52="Motor",1,2))))</x:f>
      </x:c>
      <x:c r="V52" s="9" t="str">
        <x:f>IF(C52="","",IF(Q52="Not assessed","Not assessed",IF(OR(O52="",NOT(ISNUMBER(H52)),NOT(ISNUMBER(P52))),"Evidence required",IF(OR(P52&lt;'Settings'!$F$8,H52&gt;'Settings'!$F$8,YEAR(H52)&lt;&gt;YEAR('Settings'!$F$8)),"Period / expiry review",IF(S52&lt;&gt;"Yes","Boundary incomplete",IF(OR(Q52="Reported verified",Q52="Reported unverified"),IF(NOT(OR(F52="Corporate private",F52="Corporate listed",F52="Project finance")),"Asset method required",IF(OR(NOT(ISNUMBER(R52)),R52&lt;0),"Reported value required","Ready")),IF(Q52="Activity",IF(AND(COUNTIFS('Activity Data'!$D$9:$D$308,C52,'Activity Data'!$F$9:$F$308,"S1")&gt;0,COUNTIFS('Activity Data'!$D$9:$D$308,C52,'Activity Data'!$F$9:$F$308,"S1")=COUNTIFS('Activity Data'!$D$9:$D$308,C52,'Activity Data'!$F$9:$F$308,"S1",'Activity Data'!$V$9:$V$308,"Ready")),"Ready","Activity incomplete"),"Method required")))))))</x:f>
      </x:c>
      <x:c r="W52" s="8"/>
      <x:c r="X52" s="16"/>
      <x:c r="Y52" s="8"/>
      <x:c r="Z52" s="23" t="str">
        <x:f>IF(AB52="Ready",IF(W52="Activity",SUMIFS('Activity Data'!$U$9:$U$308,'Activity Data'!$D$9:$D$308,C52,'Activity Data'!$F$9:$F$308,"S2"),X52),"")</x:f>
      </x:c>
      <x:c r="AA52" s="44" t="str">
        <x:f>IF(AB52&lt;&gt;"Ready","",IF(W52="Reported verified",1,IF(W52="Reported unverified",2,IF(F52="Motor",1,2))))</x:f>
      </x:c>
      <x:c r="AB52" s="9" t="str">
        <x:f>IF(C52="","",IF(W52="Not assessed","Not assessed",IF(OR(O52="",NOT(ISNUMBER(H52)),NOT(ISNUMBER(P52))),"Evidence required",IF(OR(P52&lt;'Settings'!$F$8,H52&gt;'Settings'!$F$8,YEAR(H52)&lt;&gt;YEAR('Settings'!$F$8)),"Period / expiry review",IF(Y52&lt;&gt;"Yes","Boundary incomplete",IF(OR(AND(AC52&lt;&gt;"Location-based",AC52&lt;&gt;"Market-based"),AND(W52="Activity",AC52&lt;&gt;"Location-based")),"S2 basis mismatch",IF(OR(W52="Reported verified",W52="Reported unverified"),IF(NOT(OR(F52="Corporate private",F52="Corporate listed",F52="Project finance")),"Asset method required",IF(OR(NOT(ISNUMBER(X52)),X52&lt;0),"Reported value required","Ready")),IF(W52="Activity",IF(AND(COUNTIFS('Activity Data'!$D$9:$D$308,C52,'Activity Data'!$F$9:$F$308,"S2")&gt;0,COUNTIFS('Activity Data'!$D$9:$D$308,C52,'Activity Data'!$F$9:$F$308,"S2")=COUNTIFS('Activity Data'!$D$9:$D$308,C52,'Activity Data'!$F$9:$F$308,"S2",'Activity Data'!$V$9:$V$308,"Ready")),"Ready","Activity incomplete"),"Method required"))))))))</x:f>
      </x:c>
      <x:c r="AC52" s="8"/>
      <x:c r="AD52" s="8"/>
      <x:c r="AE52" s="16"/>
      <x:c r="AF52" s="8"/>
      <x:c r="AG52" s="23" t="str">
        <x:f>IF(AI52="Ready",IF(AD52="Activity",SUMIFS('Activity Data'!$U$9:$U$308,'Activity Data'!$D$9:$D$308,C52,'Activity Data'!$F$9:$F$308,"S3"),AE52),"")</x:f>
      </x:c>
      <x:c r="AH52" s="44" t="str">
        <x:f>IF(AI52&lt;&gt;"Ready","",IF(AD52="Reported verified",1,IF(AD52="Reported unverified",2,IF(F52="Motor",1,2))))</x:f>
      </x:c>
      <x:c r="AI52" s="9" t="str">
        <x:f>IF(C52="","",IF(AD52="Not assessed","Not assessed",IF(OR(O52="",NOT(ISNUMBER(H52)),NOT(ISNUMBER(P52))),"Evidence required",IF(OR(P52&lt;'Settings'!$F$8,H52&gt;'Settings'!$F$8,YEAR(H52)&lt;&gt;YEAR('Settings'!$F$8)),"Period / expiry review",IF(AF52&lt;&gt;"Yes","Boundary incomplete",IF(AM52="","S3 screening required",IF(OR(AD52="Reported verified",AD52="Reported unverified"),IF(NOT(OR(F52="Corporate private",F52="Corporate listed",F52="Project finance")),"Asset method required",IF(OR(NOT(ISNUMBER(AE52)),AE52&lt;0),"Reported value required","Ready")),"Scope 3 method required")))))))</x:f>
      </x:c>
      <x:c r="AJ52" s="9" t="str">
        <x:f>IF(C52="","",IF(OR(F52="Corporate private",F52="Corporate listed"),IFERROR(IF(INDEX('Borrowers'!$X$9:$X$108,MATCH(D52,'Borrowers'!$C$9:$C$108,0))="","",INDEX('Borrowers'!$X$9:$X$108,MATCH(D52,'Borrowers'!$C$9:$C$108,0))),""),IF(AQ52="","",AQ52)))</x:f>
      </x:c>
      <x:c r="AK52" s="43" t="str">
        <x:f>IF(C52="","",IF(OR(F52="Corporate private",F52="Corporate listed"),IFERROR(IF(INDEX('Borrowers'!$H$9:$H$108,MATCH(D52,'Borrowers'!$C$9:$C$108,0))="","",INDEX('Borrowers'!$H$9:$H$108,MATCH(D52,'Borrowers'!$C$9:$C$108,0))),""),IF(AR52="","",AR52)))</x:f>
      </x:c>
      <x:c r="AL52" s="9" t="str">
        <x:f>IF(C52="","",IF(COUNTIFS($C$9:$C$108,C52)&lt;&gt;1,"Duplicate entity ID",IF(COUNTIFS('Borrowers'!$C$9:$C$108,D52)&lt;&gt;1,"Borrower required",IF(AND(F52&lt;&gt;"Corporate private",F52&lt;&gt;"Corporate listed",F52&lt;&gt;"Project finance",F52&lt;&gt;"CRE",F52&lt;&gt;"Mortgage",F52&lt;&gt;"Motor"),"Method required",IF(OR(AND(F52="Corporate private",IFERROR(IF(INDEX('Borrowers'!$G$9:$G$108,MATCH(D52,'Borrowers'!$C$9:$C$108,0))="","",INDEX('Borrowers'!$G$9:$G$108,MATCH(D52,'Borrowers'!$C$9:$C$108,0))),"")&lt;&gt;"Private"),AND(F52="Corporate listed",IFERROR(IF(INDEX('Borrowers'!$G$9:$G$108,MATCH(D52,'Borrowers'!$C$9:$C$108,0))="","",INDEX('Borrowers'!$G$9:$G$108,MATCH(D52,'Borrowers'!$C$9:$C$108,0))),"")&lt;&gt;"Listed")),"Listing / class mismatch",IF(OR(NOT(ISNUMBER(N52)),N52&lt;=0,AJ52="",NOT(ISNUMBER(AK52))),"Value evidence required",IF(AND(OR(F52="Corporate private",F52="Corporate listed"),IFERROR(IF(INDEX('Borrowers'!$Y$9:$Y$108,MATCH(D52,'Borrowers'!$C$9:$C$108,0))="","",INDEX('Borrowers'!$Y$9:$Y$108,MATCH(D52,'Borrowers'!$C$9:$C$108,0))),"")&lt;'Settings'!$F$8),"Expired financial evidence",IF(AK52&gt;'Settings'!$F$8,"Future value date",IF(OR(AND(OR(F52="Corporate private",F52="Project finance"),OR(J52&lt;0,M52&lt;&gt;"Current financials")),AND(F52="Corporate listed",M52&lt;&gt;"Current financials"),AND(OR(F52="CRE",F52="Mortgage",F52="Motor"),AND(M52&lt;&gt;"Origination",M52&lt;&gt;"Fixed fallback"))),"Value basis review",IF(AND(M52="Current financials",YEAR(AK52)&lt;&gt;YEAR('Settings'!$F$8)),"Stale financial period","Ready"))))))))))</x:f>
      </x:c>
      <x:c r="AM52" s="8"/>
      <x:c r="AN52" s="8"/>
      <x:c r="AO52" s="16"/>
      <x:c r="AP52" s="16"/>
      <x:c r="AQ52" s="8"/>
      <x:c r="AR52" s="40"/>
    </x:row>
    <x:row r="53" ht="40" customHeight="1">
      <x:c r="A53" s="1"/>
      <x:c r="B53" s="1"/>
      <x:c r="C53" s="8"/>
      <x:c r="D53" s="8"/>
      <x:c r="E53" s="8"/>
      <x:c r="F53" s="8"/>
      <x:c r="G53" s="9" t="str">
        <x:f>IF(C53="","",IFERROR(IF(INDEX('Borrowers'!$E$9:$E$108,MATCH(D53,'Borrowers'!$C$9:$C$108,0))="","",INDEX('Borrowers'!$E$9:$E$108,MATCH(D53,'Borrowers'!$C$9:$C$108,0))),""))</x:f>
      </x:c>
      <x:c r="H53" s="40"/>
      <x:c r="I53" s="23" t="str">
        <x:f>IF(C53="","",IF(OR(F53="Corporate private",F53="Corporate listed"),IFERROR(IF(INDEX('Borrowers'!$M$9:$M$108,MATCH(D53,'Borrowers'!$C$9:$C$108,0))="","",INDEX('Borrowers'!$M$9:$M$108,MATCH(D53,'Borrowers'!$C$9:$C$108,0))),""),IF(F53="Project finance",IF(ISNUMBER(AO53),AO53,""),"")))</x:f>
      </x:c>
      <x:c r="J53" s="23" t="str">
        <x:f>IF(C53="","",IF(OR(F53="Corporate private",F53="Corporate listed"),IFERROR(IF(INDEX('Borrowers'!$N$9:$N$108,MATCH(D53,'Borrowers'!$C$9:$C$108,0))="","",INDEX('Borrowers'!$N$9:$N$108,MATCH(D53,'Borrowers'!$C$9:$C$108,0))),""),IF(F53="Project finance",IF(ISNUMBER(AP53),AP53,""),"")))</x:f>
      </x:c>
      <x:c r="K53" s="23" t="str">
        <x:f>IF(C53="","",IF(F53="Corporate listed",IFERROR(IF(INDEX('Borrowers'!$O$9:$O$108,MATCH(D53,'Borrowers'!$C$9:$C$108,0))="","",INDEX('Borrowers'!$O$9:$O$108,MATCH(D53,'Borrowers'!$C$9:$C$108,0))),""),""))</x:f>
      </x:c>
      <x:c r="L53" s="16"/>
      <x:c r="M53" s="8"/>
      <x:c r="N53" s="21" t="str">
        <x:f>IF(C53="","",IF(F53="Corporate listed",IF(ISNUMBER(K53),K53,""),IF(OR(F53="Corporate private",F53="Project finance"),IF(AND(ISNUMBER(I53),ISNUMBER(J53)),MAX(I53,0)+J53,""),IF(OR(F53="CRE",F53="Mortgage",F53="Motor"),IF(ISNUMBER(L53),L53,""),""))))</x:f>
      </x:c>
      <x:c r="O53" s="8"/>
      <x:c r="P53" s="40"/>
      <x:c r="Q53" s="8"/>
      <x:c r="R53" s="16"/>
      <x:c r="S53" s="8"/>
      <x:c r="T53" s="23" t="str">
        <x:f>IF(V53="Ready",IF(Q53="Activity",SUMIFS('Activity Data'!$U$9:$U$308,'Activity Data'!$D$9:$D$308,C53,'Activity Data'!$F$9:$F$308,"S1"),R53),"")</x:f>
      </x:c>
      <x:c r="U53" s="44" t="str">
        <x:f>IF(V53&lt;&gt;"Ready","",IF(Q53="Reported verified",1,IF(Q53="Reported unverified",2,IF(F53="Motor",1,2))))</x:f>
      </x:c>
      <x:c r="V53" s="9" t="str">
        <x:f>IF(C53="","",IF(Q53="Not assessed","Not assessed",IF(OR(O53="",NOT(ISNUMBER(H53)),NOT(ISNUMBER(P53))),"Evidence required",IF(OR(P53&lt;'Settings'!$F$8,H53&gt;'Settings'!$F$8,YEAR(H53)&lt;&gt;YEAR('Settings'!$F$8)),"Period / expiry review",IF(S53&lt;&gt;"Yes","Boundary incomplete",IF(OR(Q53="Reported verified",Q53="Reported unverified"),IF(NOT(OR(F53="Corporate private",F53="Corporate listed",F53="Project finance")),"Asset method required",IF(OR(NOT(ISNUMBER(R53)),R53&lt;0),"Reported value required","Ready")),IF(Q53="Activity",IF(AND(COUNTIFS('Activity Data'!$D$9:$D$308,C53,'Activity Data'!$F$9:$F$308,"S1")&gt;0,COUNTIFS('Activity Data'!$D$9:$D$308,C53,'Activity Data'!$F$9:$F$308,"S1")=COUNTIFS('Activity Data'!$D$9:$D$308,C53,'Activity Data'!$F$9:$F$308,"S1",'Activity Data'!$V$9:$V$308,"Ready")),"Ready","Activity incomplete"),"Method required")))))))</x:f>
      </x:c>
      <x:c r="W53" s="8"/>
      <x:c r="X53" s="16"/>
      <x:c r="Y53" s="8"/>
      <x:c r="Z53" s="23" t="str">
        <x:f>IF(AB53="Ready",IF(W53="Activity",SUMIFS('Activity Data'!$U$9:$U$308,'Activity Data'!$D$9:$D$308,C53,'Activity Data'!$F$9:$F$308,"S2"),X53),"")</x:f>
      </x:c>
      <x:c r="AA53" s="44" t="str">
        <x:f>IF(AB53&lt;&gt;"Ready","",IF(W53="Reported verified",1,IF(W53="Reported unverified",2,IF(F53="Motor",1,2))))</x:f>
      </x:c>
      <x:c r="AB53" s="9" t="str">
        <x:f>IF(C53="","",IF(W53="Not assessed","Not assessed",IF(OR(O53="",NOT(ISNUMBER(H53)),NOT(ISNUMBER(P53))),"Evidence required",IF(OR(P53&lt;'Settings'!$F$8,H53&gt;'Settings'!$F$8,YEAR(H53)&lt;&gt;YEAR('Settings'!$F$8)),"Period / expiry review",IF(Y53&lt;&gt;"Yes","Boundary incomplete",IF(OR(AND(AC53&lt;&gt;"Location-based",AC53&lt;&gt;"Market-based"),AND(W53="Activity",AC53&lt;&gt;"Location-based")),"S2 basis mismatch",IF(OR(W53="Reported verified",W53="Reported unverified"),IF(NOT(OR(F53="Corporate private",F53="Corporate listed",F53="Project finance")),"Asset method required",IF(OR(NOT(ISNUMBER(X53)),X53&lt;0),"Reported value required","Ready")),IF(W53="Activity",IF(AND(COUNTIFS('Activity Data'!$D$9:$D$308,C53,'Activity Data'!$F$9:$F$308,"S2")&gt;0,COUNTIFS('Activity Data'!$D$9:$D$308,C53,'Activity Data'!$F$9:$F$308,"S2")=COUNTIFS('Activity Data'!$D$9:$D$308,C53,'Activity Data'!$F$9:$F$308,"S2",'Activity Data'!$V$9:$V$308,"Ready")),"Ready","Activity incomplete"),"Method required"))))))))</x:f>
      </x:c>
      <x:c r="AC53" s="8"/>
      <x:c r="AD53" s="8"/>
      <x:c r="AE53" s="16"/>
      <x:c r="AF53" s="8"/>
      <x:c r="AG53" s="23" t="str">
        <x:f>IF(AI53="Ready",IF(AD53="Activity",SUMIFS('Activity Data'!$U$9:$U$308,'Activity Data'!$D$9:$D$308,C53,'Activity Data'!$F$9:$F$308,"S3"),AE53),"")</x:f>
      </x:c>
      <x:c r="AH53" s="44" t="str">
        <x:f>IF(AI53&lt;&gt;"Ready","",IF(AD53="Reported verified",1,IF(AD53="Reported unverified",2,IF(F53="Motor",1,2))))</x:f>
      </x:c>
      <x:c r="AI53" s="9" t="str">
        <x:f>IF(C53="","",IF(AD53="Not assessed","Not assessed",IF(OR(O53="",NOT(ISNUMBER(H53)),NOT(ISNUMBER(P53))),"Evidence required",IF(OR(P53&lt;'Settings'!$F$8,H53&gt;'Settings'!$F$8,YEAR(H53)&lt;&gt;YEAR('Settings'!$F$8)),"Period / expiry review",IF(AF53&lt;&gt;"Yes","Boundary incomplete",IF(AM53="","S3 screening required",IF(OR(AD53="Reported verified",AD53="Reported unverified"),IF(NOT(OR(F53="Corporate private",F53="Corporate listed",F53="Project finance")),"Asset method required",IF(OR(NOT(ISNUMBER(AE53)),AE53&lt;0),"Reported value required","Ready")),"Scope 3 method required")))))))</x:f>
      </x:c>
      <x:c r="AJ53" s="9" t="str">
        <x:f>IF(C53="","",IF(OR(F53="Corporate private",F53="Corporate listed"),IFERROR(IF(INDEX('Borrowers'!$X$9:$X$108,MATCH(D53,'Borrowers'!$C$9:$C$108,0))="","",INDEX('Borrowers'!$X$9:$X$108,MATCH(D53,'Borrowers'!$C$9:$C$108,0))),""),IF(AQ53="","",AQ53)))</x:f>
      </x:c>
      <x:c r="AK53" s="43" t="str">
        <x:f>IF(C53="","",IF(OR(F53="Corporate private",F53="Corporate listed"),IFERROR(IF(INDEX('Borrowers'!$H$9:$H$108,MATCH(D53,'Borrowers'!$C$9:$C$108,0))="","",INDEX('Borrowers'!$H$9:$H$108,MATCH(D53,'Borrowers'!$C$9:$C$108,0))),""),IF(AR53="","",AR53)))</x:f>
      </x:c>
      <x:c r="AL53" s="9" t="str">
        <x:f>IF(C53="","",IF(COUNTIFS($C$9:$C$108,C53)&lt;&gt;1,"Duplicate entity ID",IF(COUNTIFS('Borrowers'!$C$9:$C$108,D53)&lt;&gt;1,"Borrower required",IF(AND(F53&lt;&gt;"Corporate private",F53&lt;&gt;"Corporate listed",F53&lt;&gt;"Project finance",F53&lt;&gt;"CRE",F53&lt;&gt;"Mortgage",F53&lt;&gt;"Motor"),"Method required",IF(OR(AND(F53="Corporate private",IFERROR(IF(INDEX('Borrowers'!$G$9:$G$108,MATCH(D53,'Borrowers'!$C$9:$C$108,0))="","",INDEX('Borrowers'!$G$9:$G$108,MATCH(D53,'Borrowers'!$C$9:$C$108,0))),"")&lt;&gt;"Private"),AND(F53="Corporate listed",IFERROR(IF(INDEX('Borrowers'!$G$9:$G$108,MATCH(D53,'Borrowers'!$C$9:$C$108,0))="","",INDEX('Borrowers'!$G$9:$G$108,MATCH(D53,'Borrowers'!$C$9:$C$108,0))),"")&lt;&gt;"Listed")),"Listing / class mismatch",IF(OR(NOT(ISNUMBER(N53)),N53&lt;=0,AJ53="",NOT(ISNUMBER(AK53))),"Value evidence required",IF(AND(OR(F53="Corporate private",F53="Corporate listed"),IFERROR(IF(INDEX('Borrowers'!$Y$9:$Y$108,MATCH(D53,'Borrowers'!$C$9:$C$108,0))="","",INDEX('Borrowers'!$Y$9:$Y$108,MATCH(D53,'Borrowers'!$C$9:$C$108,0))),"")&lt;'Settings'!$F$8),"Expired financial evidence",IF(AK53&gt;'Settings'!$F$8,"Future value date",IF(OR(AND(OR(F53="Corporate private",F53="Project finance"),OR(J53&lt;0,M53&lt;&gt;"Current financials")),AND(F53="Corporate listed",M53&lt;&gt;"Current financials"),AND(OR(F53="CRE",F53="Mortgage",F53="Motor"),AND(M53&lt;&gt;"Origination",M53&lt;&gt;"Fixed fallback"))),"Value basis review",IF(AND(M53="Current financials",YEAR(AK53)&lt;&gt;YEAR('Settings'!$F$8)),"Stale financial period","Ready"))))))))))</x:f>
      </x:c>
      <x:c r="AM53" s="8"/>
      <x:c r="AN53" s="8"/>
      <x:c r="AO53" s="16"/>
      <x:c r="AP53" s="16"/>
      <x:c r="AQ53" s="8"/>
      <x:c r="AR53" s="40"/>
    </x:row>
    <x:row r="54" ht="40" customHeight="1">
      <x:c r="A54" s="1"/>
      <x:c r="B54" s="1"/>
      <x:c r="C54" s="8"/>
      <x:c r="D54" s="8"/>
      <x:c r="E54" s="8"/>
      <x:c r="F54" s="8"/>
      <x:c r="G54" s="9" t="str">
        <x:f>IF(C54="","",IFERROR(IF(INDEX('Borrowers'!$E$9:$E$108,MATCH(D54,'Borrowers'!$C$9:$C$108,0))="","",INDEX('Borrowers'!$E$9:$E$108,MATCH(D54,'Borrowers'!$C$9:$C$108,0))),""))</x:f>
      </x:c>
      <x:c r="H54" s="40"/>
      <x:c r="I54" s="23" t="str">
        <x:f>IF(C54="","",IF(OR(F54="Corporate private",F54="Corporate listed"),IFERROR(IF(INDEX('Borrowers'!$M$9:$M$108,MATCH(D54,'Borrowers'!$C$9:$C$108,0))="","",INDEX('Borrowers'!$M$9:$M$108,MATCH(D54,'Borrowers'!$C$9:$C$108,0))),""),IF(F54="Project finance",IF(ISNUMBER(AO54),AO54,""),"")))</x:f>
      </x:c>
      <x:c r="J54" s="23" t="str">
        <x:f>IF(C54="","",IF(OR(F54="Corporate private",F54="Corporate listed"),IFERROR(IF(INDEX('Borrowers'!$N$9:$N$108,MATCH(D54,'Borrowers'!$C$9:$C$108,0))="","",INDEX('Borrowers'!$N$9:$N$108,MATCH(D54,'Borrowers'!$C$9:$C$108,0))),""),IF(F54="Project finance",IF(ISNUMBER(AP54),AP54,""),"")))</x:f>
      </x:c>
      <x:c r="K54" s="23" t="str">
        <x:f>IF(C54="","",IF(F54="Corporate listed",IFERROR(IF(INDEX('Borrowers'!$O$9:$O$108,MATCH(D54,'Borrowers'!$C$9:$C$108,0))="","",INDEX('Borrowers'!$O$9:$O$108,MATCH(D54,'Borrowers'!$C$9:$C$108,0))),""),""))</x:f>
      </x:c>
      <x:c r="L54" s="16"/>
      <x:c r="M54" s="8"/>
      <x:c r="N54" s="21" t="str">
        <x:f>IF(C54="","",IF(F54="Corporate listed",IF(ISNUMBER(K54),K54,""),IF(OR(F54="Corporate private",F54="Project finance"),IF(AND(ISNUMBER(I54),ISNUMBER(J54)),MAX(I54,0)+J54,""),IF(OR(F54="CRE",F54="Mortgage",F54="Motor"),IF(ISNUMBER(L54),L54,""),""))))</x:f>
      </x:c>
      <x:c r="O54" s="8"/>
      <x:c r="P54" s="40"/>
      <x:c r="Q54" s="8"/>
      <x:c r="R54" s="16"/>
      <x:c r="S54" s="8"/>
      <x:c r="T54" s="23" t="str">
        <x:f>IF(V54="Ready",IF(Q54="Activity",SUMIFS('Activity Data'!$U$9:$U$308,'Activity Data'!$D$9:$D$308,C54,'Activity Data'!$F$9:$F$308,"S1"),R54),"")</x:f>
      </x:c>
      <x:c r="U54" s="44" t="str">
        <x:f>IF(V54&lt;&gt;"Ready","",IF(Q54="Reported verified",1,IF(Q54="Reported unverified",2,IF(F54="Motor",1,2))))</x:f>
      </x:c>
      <x:c r="V54" s="9" t="str">
        <x:f>IF(C54="","",IF(Q54="Not assessed","Not assessed",IF(OR(O54="",NOT(ISNUMBER(H54)),NOT(ISNUMBER(P54))),"Evidence required",IF(OR(P54&lt;'Settings'!$F$8,H54&gt;'Settings'!$F$8,YEAR(H54)&lt;&gt;YEAR('Settings'!$F$8)),"Period / expiry review",IF(S54&lt;&gt;"Yes","Boundary incomplete",IF(OR(Q54="Reported verified",Q54="Reported unverified"),IF(NOT(OR(F54="Corporate private",F54="Corporate listed",F54="Project finance")),"Asset method required",IF(OR(NOT(ISNUMBER(R54)),R54&lt;0),"Reported value required","Ready")),IF(Q54="Activity",IF(AND(COUNTIFS('Activity Data'!$D$9:$D$308,C54,'Activity Data'!$F$9:$F$308,"S1")&gt;0,COUNTIFS('Activity Data'!$D$9:$D$308,C54,'Activity Data'!$F$9:$F$308,"S1")=COUNTIFS('Activity Data'!$D$9:$D$308,C54,'Activity Data'!$F$9:$F$308,"S1",'Activity Data'!$V$9:$V$308,"Ready")),"Ready","Activity incomplete"),"Method required")))))))</x:f>
      </x:c>
      <x:c r="W54" s="8"/>
      <x:c r="X54" s="16"/>
      <x:c r="Y54" s="8"/>
      <x:c r="Z54" s="23" t="str">
        <x:f>IF(AB54="Ready",IF(W54="Activity",SUMIFS('Activity Data'!$U$9:$U$308,'Activity Data'!$D$9:$D$308,C54,'Activity Data'!$F$9:$F$308,"S2"),X54),"")</x:f>
      </x:c>
      <x:c r="AA54" s="44" t="str">
        <x:f>IF(AB54&lt;&gt;"Ready","",IF(W54="Reported verified",1,IF(W54="Reported unverified",2,IF(F54="Motor",1,2))))</x:f>
      </x:c>
      <x:c r="AB54" s="9" t="str">
        <x:f>IF(C54="","",IF(W54="Not assessed","Not assessed",IF(OR(O54="",NOT(ISNUMBER(H54)),NOT(ISNUMBER(P54))),"Evidence required",IF(OR(P54&lt;'Settings'!$F$8,H54&gt;'Settings'!$F$8,YEAR(H54)&lt;&gt;YEAR('Settings'!$F$8)),"Period / expiry review",IF(Y54&lt;&gt;"Yes","Boundary incomplete",IF(OR(AND(AC54&lt;&gt;"Location-based",AC54&lt;&gt;"Market-based"),AND(W54="Activity",AC54&lt;&gt;"Location-based")),"S2 basis mismatch",IF(OR(W54="Reported verified",W54="Reported unverified"),IF(NOT(OR(F54="Corporate private",F54="Corporate listed",F54="Project finance")),"Asset method required",IF(OR(NOT(ISNUMBER(X54)),X54&lt;0),"Reported value required","Ready")),IF(W54="Activity",IF(AND(COUNTIFS('Activity Data'!$D$9:$D$308,C54,'Activity Data'!$F$9:$F$308,"S2")&gt;0,COUNTIFS('Activity Data'!$D$9:$D$308,C54,'Activity Data'!$F$9:$F$308,"S2")=COUNTIFS('Activity Data'!$D$9:$D$308,C54,'Activity Data'!$F$9:$F$308,"S2",'Activity Data'!$V$9:$V$308,"Ready")),"Ready","Activity incomplete"),"Method required"))))))))</x:f>
      </x:c>
      <x:c r="AC54" s="8"/>
      <x:c r="AD54" s="8"/>
      <x:c r="AE54" s="16"/>
      <x:c r="AF54" s="8"/>
      <x:c r="AG54" s="23" t="str">
        <x:f>IF(AI54="Ready",IF(AD54="Activity",SUMIFS('Activity Data'!$U$9:$U$308,'Activity Data'!$D$9:$D$308,C54,'Activity Data'!$F$9:$F$308,"S3"),AE54),"")</x:f>
      </x:c>
      <x:c r="AH54" s="44" t="str">
        <x:f>IF(AI54&lt;&gt;"Ready","",IF(AD54="Reported verified",1,IF(AD54="Reported unverified",2,IF(F54="Motor",1,2))))</x:f>
      </x:c>
      <x:c r="AI54" s="9" t="str">
        <x:f>IF(C54="","",IF(AD54="Not assessed","Not assessed",IF(OR(O54="",NOT(ISNUMBER(H54)),NOT(ISNUMBER(P54))),"Evidence required",IF(OR(P54&lt;'Settings'!$F$8,H54&gt;'Settings'!$F$8,YEAR(H54)&lt;&gt;YEAR('Settings'!$F$8)),"Period / expiry review",IF(AF54&lt;&gt;"Yes","Boundary incomplete",IF(AM54="","S3 screening required",IF(OR(AD54="Reported verified",AD54="Reported unverified"),IF(NOT(OR(F54="Corporate private",F54="Corporate listed",F54="Project finance")),"Asset method required",IF(OR(NOT(ISNUMBER(AE54)),AE54&lt;0),"Reported value required","Ready")),"Scope 3 method required")))))))</x:f>
      </x:c>
      <x:c r="AJ54" s="9" t="str">
        <x:f>IF(C54="","",IF(OR(F54="Corporate private",F54="Corporate listed"),IFERROR(IF(INDEX('Borrowers'!$X$9:$X$108,MATCH(D54,'Borrowers'!$C$9:$C$108,0))="","",INDEX('Borrowers'!$X$9:$X$108,MATCH(D54,'Borrowers'!$C$9:$C$108,0))),""),IF(AQ54="","",AQ54)))</x:f>
      </x:c>
      <x:c r="AK54" s="43" t="str">
        <x:f>IF(C54="","",IF(OR(F54="Corporate private",F54="Corporate listed"),IFERROR(IF(INDEX('Borrowers'!$H$9:$H$108,MATCH(D54,'Borrowers'!$C$9:$C$108,0))="","",INDEX('Borrowers'!$H$9:$H$108,MATCH(D54,'Borrowers'!$C$9:$C$108,0))),""),IF(AR54="","",AR54)))</x:f>
      </x:c>
      <x:c r="AL54" s="9" t="str">
        <x:f>IF(C54="","",IF(COUNTIFS($C$9:$C$108,C54)&lt;&gt;1,"Duplicate entity ID",IF(COUNTIFS('Borrowers'!$C$9:$C$108,D54)&lt;&gt;1,"Borrower required",IF(AND(F54&lt;&gt;"Corporate private",F54&lt;&gt;"Corporate listed",F54&lt;&gt;"Project finance",F54&lt;&gt;"CRE",F54&lt;&gt;"Mortgage",F54&lt;&gt;"Motor"),"Method required",IF(OR(AND(F54="Corporate private",IFERROR(IF(INDEX('Borrowers'!$G$9:$G$108,MATCH(D54,'Borrowers'!$C$9:$C$108,0))="","",INDEX('Borrowers'!$G$9:$G$108,MATCH(D54,'Borrowers'!$C$9:$C$108,0))),"")&lt;&gt;"Private"),AND(F54="Corporate listed",IFERROR(IF(INDEX('Borrowers'!$G$9:$G$108,MATCH(D54,'Borrowers'!$C$9:$C$108,0))="","",INDEX('Borrowers'!$G$9:$G$108,MATCH(D54,'Borrowers'!$C$9:$C$108,0))),"")&lt;&gt;"Listed")),"Listing / class mismatch",IF(OR(NOT(ISNUMBER(N54)),N54&lt;=0,AJ54="",NOT(ISNUMBER(AK54))),"Value evidence required",IF(AND(OR(F54="Corporate private",F54="Corporate listed"),IFERROR(IF(INDEX('Borrowers'!$Y$9:$Y$108,MATCH(D54,'Borrowers'!$C$9:$C$108,0))="","",INDEX('Borrowers'!$Y$9:$Y$108,MATCH(D54,'Borrowers'!$C$9:$C$108,0))),"")&lt;'Settings'!$F$8),"Expired financial evidence",IF(AK54&gt;'Settings'!$F$8,"Future value date",IF(OR(AND(OR(F54="Corporate private",F54="Project finance"),OR(J54&lt;0,M54&lt;&gt;"Current financials")),AND(F54="Corporate listed",M54&lt;&gt;"Current financials"),AND(OR(F54="CRE",F54="Mortgage",F54="Motor"),AND(M54&lt;&gt;"Origination",M54&lt;&gt;"Fixed fallback"))),"Value basis review",IF(AND(M54="Current financials",YEAR(AK54)&lt;&gt;YEAR('Settings'!$F$8)),"Stale financial period","Ready"))))))))))</x:f>
      </x:c>
      <x:c r="AM54" s="8"/>
      <x:c r="AN54" s="8"/>
      <x:c r="AO54" s="16"/>
      <x:c r="AP54" s="16"/>
      <x:c r="AQ54" s="8"/>
      <x:c r="AR54" s="40"/>
    </x:row>
    <x:row r="55" ht="40" customHeight="1">
      <x:c r="A55" s="1"/>
      <x:c r="B55" s="1"/>
      <x:c r="C55" s="8"/>
      <x:c r="D55" s="8"/>
      <x:c r="E55" s="8"/>
      <x:c r="F55" s="8"/>
      <x:c r="G55" s="9" t="str">
        <x:f>IF(C55="","",IFERROR(IF(INDEX('Borrowers'!$E$9:$E$108,MATCH(D55,'Borrowers'!$C$9:$C$108,0))="","",INDEX('Borrowers'!$E$9:$E$108,MATCH(D55,'Borrowers'!$C$9:$C$108,0))),""))</x:f>
      </x:c>
      <x:c r="H55" s="40"/>
      <x:c r="I55" s="23" t="str">
        <x:f>IF(C55="","",IF(OR(F55="Corporate private",F55="Corporate listed"),IFERROR(IF(INDEX('Borrowers'!$M$9:$M$108,MATCH(D55,'Borrowers'!$C$9:$C$108,0))="","",INDEX('Borrowers'!$M$9:$M$108,MATCH(D55,'Borrowers'!$C$9:$C$108,0))),""),IF(F55="Project finance",IF(ISNUMBER(AO55),AO55,""),"")))</x:f>
      </x:c>
      <x:c r="J55" s="23" t="str">
        <x:f>IF(C55="","",IF(OR(F55="Corporate private",F55="Corporate listed"),IFERROR(IF(INDEX('Borrowers'!$N$9:$N$108,MATCH(D55,'Borrowers'!$C$9:$C$108,0))="","",INDEX('Borrowers'!$N$9:$N$108,MATCH(D55,'Borrowers'!$C$9:$C$108,0))),""),IF(F55="Project finance",IF(ISNUMBER(AP55),AP55,""),"")))</x:f>
      </x:c>
      <x:c r="K55" s="23" t="str">
        <x:f>IF(C55="","",IF(F55="Corporate listed",IFERROR(IF(INDEX('Borrowers'!$O$9:$O$108,MATCH(D55,'Borrowers'!$C$9:$C$108,0))="","",INDEX('Borrowers'!$O$9:$O$108,MATCH(D55,'Borrowers'!$C$9:$C$108,0))),""),""))</x:f>
      </x:c>
      <x:c r="L55" s="16"/>
      <x:c r="M55" s="8"/>
      <x:c r="N55" s="21" t="str">
        <x:f>IF(C55="","",IF(F55="Corporate listed",IF(ISNUMBER(K55),K55,""),IF(OR(F55="Corporate private",F55="Project finance"),IF(AND(ISNUMBER(I55),ISNUMBER(J55)),MAX(I55,0)+J55,""),IF(OR(F55="CRE",F55="Mortgage",F55="Motor"),IF(ISNUMBER(L55),L55,""),""))))</x:f>
      </x:c>
      <x:c r="O55" s="8"/>
      <x:c r="P55" s="40"/>
      <x:c r="Q55" s="8"/>
      <x:c r="R55" s="16"/>
      <x:c r="S55" s="8"/>
      <x:c r="T55" s="23" t="str">
        <x:f>IF(V55="Ready",IF(Q55="Activity",SUMIFS('Activity Data'!$U$9:$U$308,'Activity Data'!$D$9:$D$308,C55,'Activity Data'!$F$9:$F$308,"S1"),R55),"")</x:f>
      </x:c>
      <x:c r="U55" s="44" t="str">
        <x:f>IF(V55&lt;&gt;"Ready","",IF(Q55="Reported verified",1,IF(Q55="Reported unverified",2,IF(F55="Motor",1,2))))</x:f>
      </x:c>
      <x:c r="V55" s="9" t="str">
        <x:f>IF(C55="","",IF(Q55="Not assessed","Not assessed",IF(OR(O55="",NOT(ISNUMBER(H55)),NOT(ISNUMBER(P55))),"Evidence required",IF(OR(P55&lt;'Settings'!$F$8,H55&gt;'Settings'!$F$8,YEAR(H55)&lt;&gt;YEAR('Settings'!$F$8)),"Period / expiry review",IF(S55&lt;&gt;"Yes","Boundary incomplete",IF(OR(Q55="Reported verified",Q55="Reported unverified"),IF(NOT(OR(F55="Corporate private",F55="Corporate listed",F55="Project finance")),"Asset method required",IF(OR(NOT(ISNUMBER(R55)),R55&lt;0),"Reported value required","Ready")),IF(Q55="Activity",IF(AND(COUNTIFS('Activity Data'!$D$9:$D$308,C55,'Activity Data'!$F$9:$F$308,"S1")&gt;0,COUNTIFS('Activity Data'!$D$9:$D$308,C55,'Activity Data'!$F$9:$F$308,"S1")=COUNTIFS('Activity Data'!$D$9:$D$308,C55,'Activity Data'!$F$9:$F$308,"S1",'Activity Data'!$V$9:$V$308,"Ready")),"Ready","Activity incomplete"),"Method required")))))))</x:f>
      </x:c>
      <x:c r="W55" s="8"/>
      <x:c r="X55" s="16"/>
      <x:c r="Y55" s="8"/>
      <x:c r="Z55" s="23" t="str">
        <x:f>IF(AB55="Ready",IF(W55="Activity",SUMIFS('Activity Data'!$U$9:$U$308,'Activity Data'!$D$9:$D$308,C55,'Activity Data'!$F$9:$F$308,"S2"),X55),"")</x:f>
      </x:c>
      <x:c r="AA55" s="44" t="str">
        <x:f>IF(AB55&lt;&gt;"Ready","",IF(W55="Reported verified",1,IF(W55="Reported unverified",2,IF(F55="Motor",1,2))))</x:f>
      </x:c>
      <x:c r="AB55" s="9" t="str">
        <x:f>IF(C55="","",IF(W55="Not assessed","Not assessed",IF(OR(O55="",NOT(ISNUMBER(H55)),NOT(ISNUMBER(P55))),"Evidence required",IF(OR(P55&lt;'Settings'!$F$8,H55&gt;'Settings'!$F$8,YEAR(H55)&lt;&gt;YEAR('Settings'!$F$8)),"Period / expiry review",IF(Y55&lt;&gt;"Yes","Boundary incomplete",IF(OR(AND(AC55&lt;&gt;"Location-based",AC55&lt;&gt;"Market-based"),AND(W55="Activity",AC55&lt;&gt;"Location-based")),"S2 basis mismatch",IF(OR(W55="Reported verified",W55="Reported unverified"),IF(NOT(OR(F55="Corporate private",F55="Corporate listed",F55="Project finance")),"Asset method required",IF(OR(NOT(ISNUMBER(X55)),X55&lt;0),"Reported value required","Ready")),IF(W55="Activity",IF(AND(COUNTIFS('Activity Data'!$D$9:$D$308,C55,'Activity Data'!$F$9:$F$308,"S2")&gt;0,COUNTIFS('Activity Data'!$D$9:$D$308,C55,'Activity Data'!$F$9:$F$308,"S2")=COUNTIFS('Activity Data'!$D$9:$D$308,C55,'Activity Data'!$F$9:$F$308,"S2",'Activity Data'!$V$9:$V$308,"Ready")),"Ready","Activity incomplete"),"Method required"))))))))</x:f>
      </x:c>
      <x:c r="AC55" s="8"/>
      <x:c r="AD55" s="8"/>
      <x:c r="AE55" s="16"/>
      <x:c r="AF55" s="8"/>
      <x:c r="AG55" s="23" t="str">
        <x:f>IF(AI55="Ready",IF(AD55="Activity",SUMIFS('Activity Data'!$U$9:$U$308,'Activity Data'!$D$9:$D$308,C55,'Activity Data'!$F$9:$F$308,"S3"),AE55),"")</x:f>
      </x:c>
      <x:c r="AH55" s="44" t="str">
        <x:f>IF(AI55&lt;&gt;"Ready","",IF(AD55="Reported verified",1,IF(AD55="Reported unverified",2,IF(F55="Motor",1,2))))</x:f>
      </x:c>
      <x:c r="AI55" s="9" t="str">
        <x:f>IF(C55="","",IF(AD55="Not assessed","Not assessed",IF(OR(O55="",NOT(ISNUMBER(H55)),NOT(ISNUMBER(P55))),"Evidence required",IF(OR(P55&lt;'Settings'!$F$8,H55&gt;'Settings'!$F$8,YEAR(H55)&lt;&gt;YEAR('Settings'!$F$8)),"Period / expiry review",IF(AF55&lt;&gt;"Yes","Boundary incomplete",IF(AM55="","S3 screening required",IF(OR(AD55="Reported verified",AD55="Reported unverified"),IF(NOT(OR(F55="Corporate private",F55="Corporate listed",F55="Project finance")),"Asset method required",IF(OR(NOT(ISNUMBER(AE55)),AE55&lt;0),"Reported value required","Ready")),"Scope 3 method required")))))))</x:f>
      </x:c>
      <x:c r="AJ55" s="9" t="str">
        <x:f>IF(C55="","",IF(OR(F55="Corporate private",F55="Corporate listed"),IFERROR(IF(INDEX('Borrowers'!$X$9:$X$108,MATCH(D55,'Borrowers'!$C$9:$C$108,0))="","",INDEX('Borrowers'!$X$9:$X$108,MATCH(D55,'Borrowers'!$C$9:$C$108,0))),""),IF(AQ55="","",AQ55)))</x:f>
      </x:c>
      <x:c r="AK55" s="43" t="str">
        <x:f>IF(C55="","",IF(OR(F55="Corporate private",F55="Corporate listed"),IFERROR(IF(INDEX('Borrowers'!$H$9:$H$108,MATCH(D55,'Borrowers'!$C$9:$C$108,0))="","",INDEX('Borrowers'!$H$9:$H$108,MATCH(D55,'Borrowers'!$C$9:$C$108,0))),""),IF(AR55="","",AR55)))</x:f>
      </x:c>
      <x:c r="AL55" s="9" t="str">
        <x:f>IF(C55="","",IF(COUNTIFS($C$9:$C$108,C55)&lt;&gt;1,"Duplicate entity ID",IF(COUNTIFS('Borrowers'!$C$9:$C$108,D55)&lt;&gt;1,"Borrower required",IF(AND(F55&lt;&gt;"Corporate private",F55&lt;&gt;"Corporate listed",F55&lt;&gt;"Project finance",F55&lt;&gt;"CRE",F55&lt;&gt;"Mortgage",F55&lt;&gt;"Motor"),"Method required",IF(OR(AND(F55="Corporate private",IFERROR(IF(INDEX('Borrowers'!$G$9:$G$108,MATCH(D55,'Borrowers'!$C$9:$C$108,0))="","",INDEX('Borrowers'!$G$9:$G$108,MATCH(D55,'Borrowers'!$C$9:$C$108,0))),"")&lt;&gt;"Private"),AND(F55="Corporate listed",IFERROR(IF(INDEX('Borrowers'!$G$9:$G$108,MATCH(D55,'Borrowers'!$C$9:$C$108,0))="","",INDEX('Borrowers'!$G$9:$G$108,MATCH(D55,'Borrowers'!$C$9:$C$108,0))),"")&lt;&gt;"Listed")),"Listing / class mismatch",IF(OR(NOT(ISNUMBER(N55)),N55&lt;=0,AJ55="",NOT(ISNUMBER(AK55))),"Value evidence required",IF(AND(OR(F55="Corporate private",F55="Corporate listed"),IFERROR(IF(INDEX('Borrowers'!$Y$9:$Y$108,MATCH(D55,'Borrowers'!$C$9:$C$108,0))="","",INDEX('Borrowers'!$Y$9:$Y$108,MATCH(D55,'Borrowers'!$C$9:$C$108,0))),"")&lt;'Settings'!$F$8),"Expired financial evidence",IF(AK55&gt;'Settings'!$F$8,"Future value date",IF(OR(AND(OR(F55="Corporate private",F55="Project finance"),OR(J55&lt;0,M55&lt;&gt;"Current financials")),AND(F55="Corporate listed",M55&lt;&gt;"Current financials"),AND(OR(F55="CRE",F55="Mortgage",F55="Motor"),AND(M55&lt;&gt;"Origination",M55&lt;&gt;"Fixed fallback"))),"Value basis review",IF(AND(M55="Current financials",YEAR(AK55)&lt;&gt;YEAR('Settings'!$F$8)),"Stale financial period","Ready"))))))))))</x:f>
      </x:c>
      <x:c r="AM55" s="8"/>
      <x:c r="AN55" s="8"/>
      <x:c r="AO55" s="16"/>
      <x:c r="AP55" s="16"/>
      <x:c r="AQ55" s="8"/>
      <x:c r="AR55" s="40"/>
    </x:row>
    <x:row r="56" ht="40" customHeight="1">
      <x:c r="A56" s="1"/>
      <x:c r="B56" s="1"/>
      <x:c r="C56" s="8"/>
      <x:c r="D56" s="8"/>
      <x:c r="E56" s="8"/>
      <x:c r="F56" s="8"/>
      <x:c r="G56" s="9" t="str">
        <x:f>IF(C56="","",IFERROR(IF(INDEX('Borrowers'!$E$9:$E$108,MATCH(D56,'Borrowers'!$C$9:$C$108,0))="","",INDEX('Borrowers'!$E$9:$E$108,MATCH(D56,'Borrowers'!$C$9:$C$108,0))),""))</x:f>
      </x:c>
      <x:c r="H56" s="40"/>
      <x:c r="I56" s="23" t="str">
        <x:f>IF(C56="","",IF(OR(F56="Corporate private",F56="Corporate listed"),IFERROR(IF(INDEX('Borrowers'!$M$9:$M$108,MATCH(D56,'Borrowers'!$C$9:$C$108,0))="","",INDEX('Borrowers'!$M$9:$M$108,MATCH(D56,'Borrowers'!$C$9:$C$108,0))),""),IF(F56="Project finance",IF(ISNUMBER(AO56),AO56,""),"")))</x:f>
      </x:c>
      <x:c r="J56" s="23" t="str">
        <x:f>IF(C56="","",IF(OR(F56="Corporate private",F56="Corporate listed"),IFERROR(IF(INDEX('Borrowers'!$N$9:$N$108,MATCH(D56,'Borrowers'!$C$9:$C$108,0))="","",INDEX('Borrowers'!$N$9:$N$108,MATCH(D56,'Borrowers'!$C$9:$C$108,0))),""),IF(F56="Project finance",IF(ISNUMBER(AP56),AP56,""),"")))</x:f>
      </x:c>
      <x:c r="K56" s="23" t="str">
        <x:f>IF(C56="","",IF(F56="Corporate listed",IFERROR(IF(INDEX('Borrowers'!$O$9:$O$108,MATCH(D56,'Borrowers'!$C$9:$C$108,0))="","",INDEX('Borrowers'!$O$9:$O$108,MATCH(D56,'Borrowers'!$C$9:$C$108,0))),""),""))</x:f>
      </x:c>
      <x:c r="L56" s="16"/>
      <x:c r="M56" s="8"/>
      <x:c r="N56" s="21" t="str">
        <x:f>IF(C56="","",IF(F56="Corporate listed",IF(ISNUMBER(K56),K56,""),IF(OR(F56="Corporate private",F56="Project finance"),IF(AND(ISNUMBER(I56),ISNUMBER(J56)),MAX(I56,0)+J56,""),IF(OR(F56="CRE",F56="Mortgage",F56="Motor"),IF(ISNUMBER(L56),L56,""),""))))</x:f>
      </x:c>
      <x:c r="O56" s="8"/>
      <x:c r="P56" s="40"/>
      <x:c r="Q56" s="8"/>
      <x:c r="R56" s="16"/>
      <x:c r="S56" s="8"/>
      <x:c r="T56" s="23" t="str">
        <x:f>IF(V56="Ready",IF(Q56="Activity",SUMIFS('Activity Data'!$U$9:$U$308,'Activity Data'!$D$9:$D$308,C56,'Activity Data'!$F$9:$F$308,"S1"),R56),"")</x:f>
      </x:c>
      <x:c r="U56" s="44" t="str">
        <x:f>IF(V56&lt;&gt;"Ready","",IF(Q56="Reported verified",1,IF(Q56="Reported unverified",2,IF(F56="Motor",1,2))))</x:f>
      </x:c>
      <x:c r="V56" s="9" t="str">
        <x:f>IF(C56="","",IF(Q56="Not assessed","Not assessed",IF(OR(O56="",NOT(ISNUMBER(H56)),NOT(ISNUMBER(P56))),"Evidence required",IF(OR(P56&lt;'Settings'!$F$8,H56&gt;'Settings'!$F$8,YEAR(H56)&lt;&gt;YEAR('Settings'!$F$8)),"Period / expiry review",IF(S56&lt;&gt;"Yes","Boundary incomplete",IF(OR(Q56="Reported verified",Q56="Reported unverified"),IF(NOT(OR(F56="Corporate private",F56="Corporate listed",F56="Project finance")),"Asset method required",IF(OR(NOT(ISNUMBER(R56)),R56&lt;0),"Reported value required","Ready")),IF(Q56="Activity",IF(AND(COUNTIFS('Activity Data'!$D$9:$D$308,C56,'Activity Data'!$F$9:$F$308,"S1")&gt;0,COUNTIFS('Activity Data'!$D$9:$D$308,C56,'Activity Data'!$F$9:$F$308,"S1")=COUNTIFS('Activity Data'!$D$9:$D$308,C56,'Activity Data'!$F$9:$F$308,"S1",'Activity Data'!$V$9:$V$308,"Ready")),"Ready","Activity incomplete"),"Method required")))))))</x:f>
      </x:c>
      <x:c r="W56" s="8"/>
      <x:c r="X56" s="16"/>
      <x:c r="Y56" s="8"/>
      <x:c r="Z56" s="23" t="str">
        <x:f>IF(AB56="Ready",IF(W56="Activity",SUMIFS('Activity Data'!$U$9:$U$308,'Activity Data'!$D$9:$D$308,C56,'Activity Data'!$F$9:$F$308,"S2"),X56),"")</x:f>
      </x:c>
      <x:c r="AA56" s="44" t="str">
        <x:f>IF(AB56&lt;&gt;"Ready","",IF(W56="Reported verified",1,IF(W56="Reported unverified",2,IF(F56="Motor",1,2))))</x:f>
      </x:c>
      <x:c r="AB56" s="9" t="str">
        <x:f>IF(C56="","",IF(W56="Not assessed","Not assessed",IF(OR(O56="",NOT(ISNUMBER(H56)),NOT(ISNUMBER(P56))),"Evidence required",IF(OR(P56&lt;'Settings'!$F$8,H56&gt;'Settings'!$F$8,YEAR(H56)&lt;&gt;YEAR('Settings'!$F$8)),"Period / expiry review",IF(Y56&lt;&gt;"Yes","Boundary incomplete",IF(OR(AND(AC56&lt;&gt;"Location-based",AC56&lt;&gt;"Market-based"),AND(W56="Activity",AC56&lt;&gt;"Location-based")),"S2 basis mismatch",IF(OR(W56="Reported verified",W56="Reported unverified"),IF(NOT(OR(F56="Corporate private",F56="Corporate listed",F56="Project finance")),"Asset method required",IF(OR(NOT(ISNUMBER(X56)),X56&lt;0),"Reported value required","Ready")),IF(W56="Activity",IF(AND(COUNTIFS('Activity Data'!$D$9:$D$308,C56,'Activity Data'!$F$9:$F$308,"S2")&gt;0,COUNTIFS('Activity Data'!$D$9:$D$308,C56,'Activity Data'!$F$9:$F$308,"S2")=COUNTIFS('Activity Data'!$D$9:$D$308,C56,'Activity Data'!$F$9:$F$308,"S2",'Activity Data'!$V$9:$V$308,"Ready")),"Ready","Activity incomplete"),"Method required"))))))))</x:f>
      </x:c>
      <x:c r="AC56" s="8"/>
      <x:c r="AD56" s="8"/>
      <x:c r="AE56" s="16"/>
      <x:c r="AF56" s="8"/>
      <x:c r="AG56" s="23" t="str">
        <x:f>IF(AI56="Ready",IF(AD56="Activity",SUMIFS('Activity Data'!$U$9:$U$308,'Activity Data'!$D$9:$D$308,C56,'Activity Data'!$F$9:$F$308,"S3"),AE56),"")</x:f>
      </x:c>
      <x:c r="AH56" s="44" t="str">
        <x:f>IF(AI56&lt;&gt;"Ready","",IF(AD56="Reported verified",1,IF(AD56="Reported unverified",2,IF(F56="Motor",1,2))))</x:f>
      </x:c>
      <x:c r="AI56" s="9" t="str">
        <x:f>IF(C56="","",IF(AD56="Not assessed","Not assessed",IF(OR(O56="",NOT(ISNUMBER(H56)),NOT(ISNUMBER(P56))),"Evidence required",IF(OR(P56&lt;'Settings'!$F$8,H56&gt;'Settings'!$F$8,YEAR(H56)&lt;&gt;YEAR('Settings'!$F$8)),"Period / expiry review",IF(AF56&lt;&gt;"Yes","Boundary incomplete",IF(AM56="","S3 screening required",IF(OR(AD56="Reported verified",AD56="Reported unverified"),IF(NOT(OR(F56="Corporate private",F56="Corporate listed",F56="Project finance")),"Asset method required",IF(OR(NOT(ISNUMBER(AE56)),AE56&lt;0),"Reported value required","Ready")),"Scope 3 method required")))))))</x:f>
      </x:c>
      <x:c r="AJ56" s="9" t="str">
        <x:f>IF(C56="","",IF(OR(F56="Corporate private",F56="Corporate listed"),IFERROR(IF(INDEX('Borrowers'!$X$9:$X$108,MATCH(D56,'Borrowers'!$C$9:$C$108,0))="","",INDEX('Borrowers'!$X$9:$X$108,MATCH(D56,'Borrowers'!$C$9:$C$108,0))),""),IF(AQ56="","",AQ56)))</x:f>
      </x:c>
      <x:c r="AK56" s="43" t="str">
        <x:f>IF(C56="","",IF(OR(F56="Corporate private",F56="Corporate listed"),IFERROR(IF(INDEX('Borrowers'!$H$9:$H$108,MATCH(D56,'Borrowers'!$C$9:$C$108,0))="","",INDEX('Borrowers'!$H$9:$H$108,MATCH(D56,'Borrowers'!$C$9:$C$108,0))),""),IF(AR56="","",AR56)))</x:f>
      </x:c>
      <x:c r="AL56" s="9" t="str">
        <x:f>IF(C56="","",IF(COUNTIFS($C$9:$C$108,C56)&lt;&gt;1,"Duplicate entity ID",IF(COUNTIFS('Borrowers'!$C$9:$C$108,D56)&lt;&gt;1,"Borrower required",IF(AND(F56&lt;&gt;"Corporate private",F56&lt;&gt;"Corporate listed",F56&lt;&gt;"Project finance",F56&lt;&gt;"CRE",F56&lt;&gt;"Mortgage",F56&lt;&gt;"Motor"),"Method required",IF(OR(AND(F56="Corporate private",IFERROR(IF(INDEX('Borrowers'!$G$9:$G$108,MATCH(D56,'Borrowers'!$C$9:$C$108,0))="","",INDEX('Borrowers'!$G$9:$G$108,MATCH(D56,'Borrowers'!$C$9:$C$108,0))),"")&lt;&gt;"Private"),AND(F56="Corporate listed",IFERROR(IF(INDEX('Borrowers'!$G$9:$G$108,MATCH(D56,'Borrowers'!$C$9:$C$108,0))="","",INDEX('Borrowers'!$G$9:$G$108,MATCH(D56,'Borrowers'!$C$9:$C$108,0))),"")&lt;&gt;"Listed")),"Listing / class mismatch",IF(OR(NOT(ISNUMBER(N56)),N56&lt;=0,AJ56="",NOT(ISNUMBER(AK56))),"Value evidence required",IF(AND(OR(F56="Corporate private",F56="Corporate listed"),IFERROR(IF(INDEX('Borrowers'!$Y$9:$Y$108,MATCH(D56,'Borrowers'!$C$9:$C$108,0))="","",INDEX('Borrowers'!$Y$9:$Y$108,MATCH(D56,'Borrowers'!$C$9:$C$108,0))),"")&lt;'Settings'!$F$8),"Expired financial evidence",IF(AK56&gt;'Settings'!$F$8,"Future value date",IF(OR(AND(OR(F56="Corporate private",F56="Project finance"),OR(J56&lt;0,M56&lt;&gt;"Current financials")),AND(F56="Corporate listed",M56&lt;&gt;"Current financials"),AND(OR(F56="CRE",F56="Mortgage",F56="Motor"),AND(M56&lt;&gt;"Origination",M56&lt;&gt;"Fixed fallback"))),"Value basis review",IF(AND(M56="Current financials",YEAR(AK56)&lt;&gt;YEAR('Settings'!$F$8)),"Stale financial period","Ready"))))))))))</x:f>
      </x:c>
      <x:c r="AM56" s="8"/>
      <x:c r="AN56" s="8"/>
      <x:c r="AO56" s="16"/>
      <x:c r="AP56" s="16"/>
      <x:c r="AQ56" s="8"/>
      <x:c r="AR56" s="40"/>
    </x:row>
    <x:row r="57" ht="40" customHeight="1">
      <x:c r="A57" s="1"/>
      <x:c r="B57" s="1"/>
      <x:c r="C57" s="8"/>
      <x:c r="D57" s="8"/>
      <x:c r="E57" s="8"/>
      <x:c r="F57" s="8"/>
      <x:c r="G57" s="9" t="str">
        <x:f>IF(C57="","",IFERROR(IF(INDEX('Borrowers'!$E$9:$E$108,MATCH(D57,'Borrowers'!$C$9:$C$108,0))="","",INDEX('Borrowers'!$E$9:$E$108,MATCH(D57,'Borrowers'!$C$9:$C$108,0))),""))</x:f>
      </x:c>
      <x:c r="H57" s="40"/>
      <x:c r="I57" s="23" t="str">
        <x:f>IF(C57="","",IF(OR(F57="Corporate private",F57="Corporate listed"),IFERROR(IF(INDEX('Borrowers'!$M$9:$M$108,MATCH(D57,'Borrowers'!$C$9:$C$108,0))="","",INDEX('Borrowers'!$M$9:$M$108,MATCH(D57,'Borrowers'!$C$9:$C$108,0))),""),IF(F57="Project finance",IF(ISNUMBER(AO57),AO57,""),"")))</x:f>
      </x:c>
      <x:c r="J57" s="23" t="str">
        <x:f>IF(C57="","",IF(OR(F57="Corporate private",F57="Corporate listed"),IFERROR(IF(INDEX('Borrowers'!$N$9:$N$108,MATCH(D57,'Borrowers'!$C$9:$C$108,0))="","",INDEX('Borrowers'!$N$9:$N$108,MATCH(D57,'Borrowers'!$C$9:$C$108,0))),""),IF(F57="Project finance",IF(ISNUMBER(AP57),AP57,""),"")))</x:f>
      </x:c>
      <x:c r="K57" s="23" t="str">
        <x:f>IF(C57="","",IF(F57="Corporate listed",IFERROR(IF(INDEX('Borrowers'!$O$9:$O$108,MATCH(D57,'Borrowers'!$C$9:$C$108,0))="","",INDEX('Borrowers'!$O$9:$O$108,MATCH(D57,'Borrowers'!$C$9:$C$108,0))),""),""))</x:f>
      </x:c>
      <x:c r="L57" s="16"/>
      <x:c r="M57" s="8"/>
      <x:c r="N57" s="21" t="str">
        <x:f>IF(C57="","",IF(F57="Corporate listed",IF(ISNUMBER(K57),K57,""),IF(OR(F57="Corporate private",F57="Project finance"),IF(AND(ISNUMBER(I57),ISNUMBER(J57)),MAX(I57,0)+J57,""),IF(OR(F57="CRE",F57="Mortgage",F57="Motor"),IF(ISNUMBER(L57),L57,""),""))))</x:f>
      </x:c>
      <x:c r="O57" s="8"/>
      <x:c r="P57" s="40"/>
      <x:c r="Q57" s="8"/>
      <x:c r="R57" s="16"/>
      <x:c r="S57" s="8"/>
      <x:c r="T57" s="23" t="str">
        <x:f>IF(V57="Ready",IF(Q57="Activity",SUMIFS('Activity Data'!$U$9:$U$308,'Activity Data'!$D$9:$D$308,C57,'Activity Data'!$F$9:$F$308,"S1"),R57),"")</x:f>
      </x:c>
      <x:c r="U57" s="44" t="str">
        <x:f>IF(V57&lt;&gt;"Ready","",IF(Q57="Reported verified",1,IF(Q57="Reported unverified",2,IF(F57="Motor",1,2))))</x:f>
      </x:c>
      <x:c r="V57" s="9" t="str">
        <x:f>IF(C57="","",IF(Q57="Not assessed","Not assessed",IF(OR(O57="",NOT(ISNUMBER(H57)),NOT(ISNUMBER(P57))),"Evidence required",IF(OR(P57&lt;'Settings'!$F$8,H57&gt;'Settings'!$F$8,YEAR(H57)&lt;&gt;YEAR('Settings'!$F$8)),"Period / expiry review",IF(S57&lt;&gt;"Yes","Boundary incomplete",IF(OR(Q57="Reported verified",Q57="Reported unverified"),IF(NOT(OR(F57="Corporate private",F57="Corporate listed",F57="Project finance")),"Asset method required",IF(OR(NOT(ISNUMBER(R57)),R57&lt;0),"Reported value required","Ready")),IF(Q57="Activity",IF(AND(COUNTIFS('Activity Data'!$D$9:$D$308,C57,'Activity Data'!$F$9:$F$308,"S1")&gt;0,COUNTIFS('Activity Data'!$D$9:$D$308,C57,'Activity Data'!$F$9:$F$308,"S1")=COUNTIFS('Activity Data'!$D$9:$D$308,C57,'Activity Data'!$F$9:$F$308,"S1",'Activity Data'!$V$9:$V$308,"Ready")),"Ready","Activity incomplete"),"Method required")))))))</x:f>
      </x:c>
      <x:c r="W57" s="8"/>
      <x:c r="X57" s="16"/>
      <x:c r="Y57" s="8"/>
      <x:c r="Z57" s="23" t="str">
        <x:f>IF(AB57="Ready",IF(W57="Activity",SUMIFS('Activity Data'!$U$9:$U$308,'Activity Data'!$D$9:$D$308,C57,'Activity Data'!$F$9:$F$308,"S2"),X57),"")</x:f>
      </x:c>
      <x:c r="AA57" s="44" t="str">
        <x:f>IF(AB57&lt;&gt;"Ready","",IF(W57="Reported verified",1,IF(W57="Reported unverified",2,IF(F57="Motor",1,2))))</x:f>
      </x:c>
      <x:c r="AB57" s="9" t="str">
        <x:f>IF(C57="","",IF(W57="Not assessed","Not assessed",IF(OR(O57="",NOT(ISNUMBER(H57)),NOT(ISNUMBER(P57))),"Evidence required",IF(OR(P57&lt;'Settings'!$F$8,H57&gt;'Settings'!$F$8,YEAR(H57)&lt;&gt;YEAR('Settings'!$F$8)),"Period / expiry review",IF(Y57&lt;&gt;"Yes","Boundary incomplete",IF(OR(AND(AC57&lt;&gt;"Location-based",AC57&lt;&gt;"Market-based"),AND(W57="Activity",AC57&lt;&gt;"Location-based")),"S2 basis mismatch",IF(OR(W57="Reported verified",W57="Reported unverified"),IF(NOT(OR(F57="Corporate private",F57="Corporate listed",F57="Project finance")),"Asset method required",IF(OR(NOT(ISNUMBER(X57)),X57&lt;0),"Reported value required","Ready")),IF(W57="Activity",IF(AND(COUNTIFS('Activity Data'!$D$9:$D$308,C57,'Activity Data'!$F$9:$F$308,"S2")&gt;0,COUNTIFS('Activity Data'!$D$9:$D$308,C57,'Activity Data'!$F$9:$F$308,"S2")=COUNTIFS('Activity Data'!$D$9:$D$308,C57,'Activity Data'!$F$9:$F$308,"S2",'Activity Data'!$V$9:$V$308,"Ready")),"Ready","Activity incomplete"),"Method required"))))))))</x:f>
      </x:c>
      <x:c r="AC57" s="8"/>
      <x:c r="AD57" s="8"/>
      <x:c r="AE57" s="16"/>
      <x:c r="AF57" s="8"/>
      <x:c r="AG57" s="23" t="str">
        <x:f>IF(AI57="Ready",IF(AD57="Activity",SUMIFS('Activity Data'!$U$9:$U$308,'Activity Data'!$D$9:$D$308,C57,'Activity Data'!$F$9:$F$308,"S3"),AE57),"")</x:f>
      </x:c>
      <x:c r="AH57" s="44" t="str">
        <x:f>IF(AI57&lt;&gt;"Ready","",IF(AD57="Reported verified",1,IF(AD57="Reported unverified",2,IF(F57="Motor",1,2))))</x:f>
      </x:c>
      <x:c r="AI57" s="9" t="str">
        <x:f>IF(C57="","",IF(AD57="Not assessed","Not assessed",IF(OR(O57="",NOT(ISNUMBER(H57)),NOT(ISNUMBER(P57))),"Evidence required",IF(OR(P57&lt;'Settings'!$F$8,H57&gt;'Settings'!$F$8,YEAR(H57)&lt;&gt;YEAR('Settings'!$F$8)),"Period / expiry review",IF(AF57&lt;&gt;"Yes","Boundary incomplete",IF(AM57="","S3 screening required",IF(OR(AD57="Reported verified",AD57="Reported unverified"),IF(NOT(OR(F57="Corporate private",F57="Corporate listed",F57="Project finance")),"Asset method required",IF(OR(NOT(ISNUMBER(AE57)),AE57&lt;0),"Reported value required","Ready")),"Scope 3 method required")))))))</x:f>
      </x:c>
      <x:c r="AJ57" s="9" t="str">
        <x:f>IF(C57="","",IF(OR(F57="Corporate private",F57="Corporate listed"),IFERROR(IF(INDEX('Borrowers'!$X$9:$X$108,MATCH(D57,'Borrowers'!$C$9:$C$108,0))="","",INDEX('Borrowers'!$X$9:$X$108,MATCH(D57,'Borrowers'!$C$9:$C$108,0))),""),IF(AQ57="","",AQ57)))</x:f>
      </x:c>
      <x:c r="AK57" s="43" t="str">
        <x:f>IF(C57="","",IF(OR(F57="Corporate private",F57="Corporate listed"),IFERROR(IF(INDEX('Borrowers'!$H$9:$H$108,MATCH(D57,'Borrowers'!$C$9:$C$108,0))="","",INDEX('Borrowers'!$H$9:$H$108,MATCH(D57,'Borrowers'!$C$9:$C$108,0))),""),IF(AR57="","",AR57)))</x:f>
      </x:c>
      <x:c r="AL57" s="9" t="str">
        <x:f>IF(C57="","",IF(COUNTIFS($C$9:$C$108,C57)&lt;&gt;1,"Duplicate entity ID",IF(COUNTIFS('Borrowers'!$C$9:$C$108,D57)&lt;&gt;1,"Borrower required",IF(AND(F57&lt;&gt;"Corporate private",F57&lt;&gt;"Corporate listed",F57&lt;&gt;"Project finance",F57&lt;&gt;"CRE",F57&lt;&gt;"Mortgage",F57&lt;&gt;"Motor"),"Method required",IF(OR(AND(F57="Corporate private",IFERROR(IF(INDEX('Borrowers'!$G$9:$G$108,MATCH(D57,'Borrowers'!$C$9:$C$108,0))="","",INDEX('Borrowers'!$G$9:$G$108,MATCH(D57,'Borrowers'!$C$9:$C$108,0))),"")&lt;&gt;"Private"),AND(F57="Corporate listed",IFERROR(IF(INDEX('Borrowers'!$G$9:$G$108,MATCH(D57,'Borrowers'!$C$9:$C$108,0))="","",INDEX('Borrowers'!$G$9:$G$108,MATCH(D57,'Borrowers'!$C$9:$C$108,0))),"")&lt;&gt;"Listed")),"Listing / class mismatch",IF(OR(NOT(ISNUMBER(N57)),N57&lt;=0,AJ57="",NOT(ISNUMBER(AK57))),"Value evidence required",IF(AND(OR(F57="Corporate private",F57="Corporate listed"),IFERROR(IF(INDEX('Borrowers'!$Y$9:$Y$108,MATCH(D57,'Borrowers'!$C$9:$C$108,0))="","",INDEX('Borrowers'!$Y$9:$Y$108,MATCH(D57,'Borrowers'!$C$9:$C$108,0))),"")&lt;'Settings'!$F$8),"Expired financial evidence",IF(AK57&gt;'Settings'!$F$8,"Future value date",IF(OR(AND(OR(F57="Corporate private",F57="Project finance"),OR(J57&lt;0,M57&lt;&gt;"Current financials")),AND(F57="Corporate listed",M57&lt;&gt;"Current financials"),AND(OR(F57="CRE",F57="Mortgage",F57="Motor"),AND(M57&lt;&gt;"Origination",M57&lt;&gt;"Fixed fallback"))),"Value basis review",IF(AND(M57="Current financials",YEAR(AK57)&lt;&gt;YEAR('Settings'!$F$8)),"Stale financial period","Ready"))))))))))</x:f>
      </x:c>
      <x:c r="AM57" s="8"/>
      <x:c r="AN57" s="8"/>
      <x:c r="AO57" s="16"/>
      <x:c r="AP57" s="16"/>
      <x:c r="AQ57" s="8"/>
      <x:c r="AR57" s="40"/>
    </x:row>
    <x:row r="58" ht="40" customHeight="1">
      <x:c r="A58" s="1"/>
      <x:c r="B58" s="1"/>
      <x:c r="C58" s="8"/>
      <x:c r="D58" s="8"/>
      <x:c r="E58" s="8"/>
      <x:c r="F58" s="8"/>
      <x:c r="G58" s="9" t="str">
        <x:f>IF(C58="","",IFERROR(IF(INDEX('Borrowers'!$E$9:$E$108,MATCH(D58,'Borrowers'!$C$9:$C$108,0))="","",INDEX('Borrowers'!$E$9:$E$108,MATCH(D58,'Borrowers'!$C$9:$C$108,0))),""))</x:f>
      </x:c>
      <x:c r="H58" s="40"/>
      <x:c r="I58" s="23" t="str">
        <x:f>IF(C58="","",IF(OR(F58="Corporate private",F58="Corporate listed"),IFERROR(IF(INDEX('Borrowers'!$M$9:$M$108,MATCH(D58,'Borrowers'!$C$9:$C$108,0))="","",INDEX('Borrowers'!$M$9:$M$108,MATCH(D58,'Borrowers'!$C$9:$C$108,0))),""),IF(F58="Project finance",IF(ISNUMBER(AO58),AO58,""),"")))</x:f>
      </x:c>
      <x:c r="J58" s="23" t="str">
        <x:f>IF(C58="","",IF(OR(F58="Corporate private",F58="Corporate listed"),IFERROR(IF(INDEX('Borrowers'!$N$9:$N$108,MATCH(D58,'Borrowers'!$C$9:$C$108,0))="","",INDEX('Borrowers'!$N$9:$N$108,MATCH(D58,'Borrowers'!$C$9:$C$108,0))),""),IF(F58="Project finance",IF(ISNUMBER(AP58),AP58,""),"")))</x:f>
      </x:c>
      <x:c r="K58" s="23" t="str">
        <x:f>IF(C58="","",IF(F58="Corporate listed",IFERROR(IF(INDEX('Borrowers'!$O$9:$O$108,MATCH(D58,'Borrowers'!$C$9:$C$108,0))="","",INDEX('Borrowers'!$O$9:$O$108,MATCH(D58,'Borrowers'!$C$9:$C$108,0))),""),""))</x:f>
      </x:c>
      <x:c r="L58" s="16"/>
      <x:c r="M58" s="8"/>
      <x:c r="N58" s="21" t="str">
        <x:f>IF(C58="","",IF(F58="Corporate listed",IF(ISNUMBER(K58),K58,""),IF(OR(F58="Corporate private",F58="Project finance"),IF(AND(ISNUMBER(I58),ISNUMBER(J58)),MAX(I58,0)+J58,""),IF(OR(F58="CRE",F58="Mortgage",F58="Motor"),IF(ISNUMBER(L58),L58,""),""))))</x:f>
      </x:c>
      <x:c r="O58" s="8"/>
      <x:c r="P58" s="40"/>
      <x:c r="Q58" s="8"/>
      <x:c r="R58" s="16"/>
      <x:c r="S58" s="8"/>
      <x:c r="T58" s="23" t="str">
        <x:f>IF(V58="Ready",IF(Q58="Activity",SUMIFS('Activity Data'!$U$9:$U$308,'Activity Data'!$D$9:$D$308,C58,'Activity Data'!$F$9:$F$308,"S1"),R58),"")</x:f>
      </x:c>
      <x:c r="U58" s="44" t="str">
        <x:f>IF(V58&lt;&gt;"Ready","",IF(Q58="Reported verified",1,IF(Q58="Reported unverified",2,IF(F58="Motor",1,2))))</x:f>
      </x:c>
      <x:c r="V58" s="9" t="str">
        <x:f>IF(C58="","",IF(Q58="Not assessed","Not assessed",IF(OR(O58="",NOT(ISNUMBER(H58)),NOT(ISNUMBER(P58))),"Evidence required",IF(OR(P58&lt;'Settings'!$F$8,H58&gt;'Settings'!$F$8,YEAR(H58)&lt;&gt;YEAR('Settings'!$F$8)),"Period / expiry review",IF(S58&lt;&gt;"Yes","Boundary incomplete",IF(OR(Q58="Reported verified",Q58="Reported unverified"),IF(NOT(OR(F58="Corporate private",F58="Corporate listed",F58="Project finance")),"Asset method required",IF(OR(NOT(ISNUMBER(R58)),R58&lt;0),"Reported value required","Ready")),IF(Q58="Activity",IF(AND(COUNTIFS('Activity Data'!$D$9:$D$308,C58,'Activity Data'!$F$9:$F$308,"S1")&gt;0,COUNTIFS('Activity Data'!$D$9:$D$308,C58,'Activity Data'!$F$9:$F$308,"S1")=COUNTIFS('Activity Data'!$D$9:$D$308,C58,'Activity Data'!$F$9:$F$308,"S1",'Activity Data'!$V$9:$V$308,"Ready")),"Ready","Activity incomplete"),"Method required")))))))</x:f>
      </x:c>
      <x:c r="W58" s="8"/>
      <x:c r="X58" s="16"/>
      <x:c r="Y58" s="8"/>
      <x:c r="Z58" s="23" t="str">
        <x:f>IF(AB58="Ready",IF(W58="Activity",SUMIFS('Activity Data'!$U$9:$U$308,'Activity Data'!$D$9:$D$308,C58,'Activity Data'!$F$9:$F$308,"S2"),X58),"")</x:f>
      </x:c>
      <x:c r="AA58" s="44" t="str">
        <x:f>IF(AB58&lt;&gt;"Ready","",IF(W58="Reported verified",1,IF(W58="Reported unverified",2,IF(F58="Motor",1,2))))</x:f>
      </x:c>
      <x:c r="AB58" s="9" t="str">
        <x:f>IF(C58="","",IF(W58="Not assessed","Not assessed",IF(OR(O58="",NOT(ISNUMBER(H58)),NOT(ISNUMBER(P58))),"Evidence required",IF(OR(P58&lt;'Settings'!$F$8,H58&gt;'Settings'!$F$8,YEAR(H58)&lt;&gt;YEAR('Settings'!$F$8)),"Period / expiry review",IF(Y58&lt;&gt;"Yes","Boundary incomplete",IF(OR(AND(AC58&lt;&gt;"Location-based",AC58&lt;&gt;"Market-based"),AND(W58="Activity",AC58&lt;&gt;"Location-based")),"S2 basis mismatch",IF(OR(W58="Reported verified",W58="Reported unverified"),IF(NOT(OR(F58="Corporate private",F58="Corporate listed",F58="Project finance")),"Asset method required",IF(OR(NOT(ISNUMBER(X58)),X58&lt;0),"Reported value required","Ready")),IF(W58="Activity",IF(AND(COUNTIFS('Activity Data'!$D$9:$D$308,C58,'Activity Data'!$F$9:$F$308,"S2")&gt;0,COUNTIFS('Activity Data'!$D$9:$D$308,C58,'Activity Data'!$F$9:$F$308,"S2")=COUNTIFS('Activity Data'!$D$9:$D$308,C58,'Activity Data'!$F$9:$F$308,"S2",'Activity Data'!$V$9:$V$308,"Ready")),"Ready","Activity incomplete"),"Method required"))))))))</x:f>
      </x:c>
      <x:c r="AC58" s="8"/>
      <x:c r="AD58" s="8"/>
      <x:c r="AE58" s="16"/>
      <x:c r="AF58" s="8"/>
      <x:c r="AG58" s="23" t="str">
        <x:f>IF(AI58="Ready",IF(AD58="Activity",SUMIFS('Activity Data'!$U$9:$U$308,'Activity Data'!$D$9:$D$308,C58,'Activity Data'!$F$9:$F$308,"S3"),AE58),"")</x:f>
      </x:c>
      <x:c r="AH58" s="44" t="str">
        <x:f>IF(AI58&lt;&gt;"Ready","",IF(AD58="Reported verified",1,IF(AD58="Reported unverified",2,IF(F58="Motor",1,2))))</x:f>
      </x:c>
      <x:c r="AI58" s="9" t="str">
        <x:f>IF(C58="","",IF(AD58="Not assessed","Not assessed",IF(OR(O58="",NOT(ISNUMBER(H58)),NOT(ISNUMBER(P58))),"Evidence required",IF(OR(P58&lt;'Settings'!$F$8,H58&gt;'Settings'!$F$8,YEAR(H58)&lt;&gt;YEAR('Settings'!$F$8)),"Period / expiry review",IF(AF58&lt;&gt;"Yes","Boundary incomplete",IF(AM58="","S3 screening required",IF(OR(AD58="Reported verified",AD58="Reported unverified"),IF(NOT(OR(F58="Corporate private",F58="Corporate listed",F58="Project finance")),"Asset method required",IF(OR(NOT(ISNUMBER(AE58)),AE58&lt;0),"Reported value required","Ready")),"Scope 3 method required")))))))</x:f>
      </x:c>
      <x:c r="AJ58" s="9" t="str">
        <x:f>IF(C58="","",IF(OR(F58="Corporate private",F58="Corporate listed"),IFERROR(IF(INDEX('Borrowers'!$X$9:$X$108,MATCH(D58,'Borrowers'!$C$9:$C$108,0))="","",INDEX('Borrowers'!$X$9:$X$108,MATCH(D58,'Borrowers'!$C$9:$C$108,0))),""),IF(AQ58="","",AQ58)))</x:f>
      </x:c>
      <x:c r="AK58" s="43" t="str">
        <x:f>IF(C58="","",IF(OR(F58="Corporate private",F58="Corporate listed"),IFERROR(IF(INDEX('Borrowers'!$H$9:$H$108,MATCH(D58,'Borrowers'!$C$9:$C$108,0))="","",INDEX('Borrowers'!$H$9:$H$108,MATCH(D58,'Borrowers'!$C$9:$C$108,0))),""),IF(AR58="","",AR58)))</x:f>
      </x:c>
      <x:c r="AL58" s="9" t="str">
        <x:f>IF(C58="","",IF(COUNTIFS($C$9:$C$108,C58)&lt;&gt;1,"Duplicate entity ID",IF(COUNTIFS('Borrowers'!$C$9:$C$108,D58)&lt;&gt;1,"Borrower required",IF(AND(F58&lt;&gt;"Corporate private",F58&lt;&gt;"Corporate listed",F58&lt;&gt;"Project finance",F58&lt;&gt;"CRE",F58&lt;&gt;"Mortgage",F58&lt;&gt;"Motor"),"Method required",IF(OR(AND(F58="Corporate private",IFERROR(IF(INDEX('Borrowers'!$G$9:$G$108,MATCH(D58,'Borrowers'!$C$9:$C$108,0))="","",INDEX('Borrowers'!$G$9:$G$108,MATCH(D58,'Borrowers'!$C$9:$C$108,0))),"")&lt;&gt;"Private"),AND(F58="Corporate listed",IFERROR(IF(INDEX('Borrowers'!$G$9:$G$108,MATCH(D58,'Borrowers'!$C$9:$C$108,0))="","",INDEX('Borrowers'!$G$9:$G$108,MATCH(D58,'Borrowers'!$C$9:$C$108,0))),"")&lt;&gt;"Listed")),"Listing / class mismatch",IF(OR(NOT(ISNUMBER(N58)),N58&lt;=0,AJ58="",NOT(ISNUMBER(AK58))),"Value evidence required",IF(AND(OR(F58="Corporate private",F58="Corporate listed"),IFERROR(IF(INDEX('Borrowers'!$Y$9:$Y$108,MATCH(D58,'Borrowers'!$C$9:$C$108,0))="","",INDEX('Borrowers'!$Y$9:$Y$108,MATCH(D58,'Borrowers'!$C$9:$C$108,0))),"")&lt;'Settings'!$F$8),"Expired financial evidence",IF(AK58&gt;'Settings'!$F$8,"Future value date",IF(OR(AND(OR(F58="Corporate private",F58="Project finance"),OR(J58&lt;0,M58&lt;&gt;"Current financials")),AND(F58="Corporate listed",M58&lt;&gt;"Current financials"),AND(OR(F58="CRE",F58="Mortgage",F58="Motor"),AND(M58&lt;&gt;"Origination",M58&lt;&gt;"Fixed fallback"))),"Value basis review",IF(AND(M58="Current financials",YEAR(AK58)&lt;&gt;YEAR('Settings'!$F$8)),"Stale financial period","Ready"))))))))))</x:f>
      </x:c>
      <x:c r="AM58" s="8"/>
      <x:c r="AN58" s="8"/>
      <x:c r="AO58" s="16"/>
      <x:c r="AP58" s="16"/>
      <x:c r="AQ58" s="8"/>
      <x:c r="AR58" s="40"/>
    </x:row>
    <x:row r="59" ht="40" customHeight="1">
      <x:c r="A59" s="1"/>
      <x:c r="B59" s="1"/>
      <x:c r="C59" s="8"/>
      <x:c r="D59" s="8"/>
      <x:c r="E59" s="8"/>
      <x:c r="F59" s="8"/>
      <x:c r="G59" s="9" t="str">
        <x:f>IF(C59="","",IFERROR(IF(INDEX('Borrowers'!$E$9:$E$108,MATCH(D59,'Borrowers'!$C$9:$C$108,0))="","",INDEX('Borrowers'!$E$9:$E$108,MATCH(D59,'Borrowers'!$C$9:$C$108,0))),""))</x:f>
      </x:c>
      <x:c r="H59" s="40"/>
      <x:c r="I59" s="23" t="str">
        <x:f>IF(C59="","",IF(OR(F59="Corporate private",F59="Corporate listed"),IFERROR(IF(INDEX('Borrowers'!$M$9:$M$108,MATCH(D59,'Borrowers'!$C$9:$C$108,0))="","",INDEX('Borrowers'!$M$9:$M$108,MATCH(D59,'Borrowers'!$C$9:$C$108,0))),""),IF(F59="Project finance",IF(ISNUMBER(AO59),AO59,""),"")))</x:f>
      </x:c>
      <x:c r="J59" s="23" t="str">
        <x:f>IF(C59="","",IF(OR(F59="Corporate private",F59="Corporate listed"),IFERROR(IF(INDEX('Borrowers'!$N$9:$N$108,MATCH(D59,'Borrowers'!$C$9:$C$108,0))="","",INDEX('Borrowers'!$N$9:$N$108,MATCH(D59,'Borrowers'!$C$9:$C$108,0))),""),IF(F59="Project finance",IF(ISNUMBER(AP59),AP59,""),"")))</x:f>
      </x:c>
      <x:c r="K59" s="23" t="str">
        <x:f>IF(C59="","",IF(F59="Corporate listed",IFERROR(IF(INDEX('Borrowers'!$O$9:$O$108,MATCH(D59,'Borrowers'!$C$9:$C$108,0))="","",INDEX('Borrowers'!$O$9:$O$108,MATCH(D59,'Borrowers'!$C$9:$C$108,0))),""),""))</x:f>
      </x:c>
      <x:c r="L59" s="16"/>
      <x:c r="M59" s="8"/>
      <x:c r="N59" s="21" t="str">
        <x:f>IF(C59="","",IF(F59="Corporate listed",IF(ISNUMBER(K59),K59,""),IF(OR(F59="Corporate private",F59="Project finance"),IF(AND(ISNUMBER(I59),ISNUMBER(J59)),MAX(I59,0)+J59,""),IF(OR(F59="CRE",F59="Mortgage",F59="Motor"),IF(ISNUMBER(L59),L59,""),""))))</x:f>
      </x:c>
      <x:c r="O59" s="8"/>
      <x:c r="P59" s="40"/>
      <x:c r="Q59" s="8"/>
      <x:c r="R59" s="16"/>
      <x:c r="S59" s="8"/>
      <x:c r="T59" s="23" t="str">
        <x:f>IF(V59="Ready",IF(Q59="Activity",SUMIFS('Activity Data'!$U$9:$U$308,'Activity Data'!$D$9:$D$308,C59,'Activity Data'!$F$9:$F$308,"S1"),R59),"")</x:f>
      </x:c>
      <x:c r="U59" s="44" t="str">
        <x:f>IF(V59&lt;&gt;"Ready","",IF(Q59="Reported verified",1,IF(Q59="Reported unverified",2,IF(F59="Motor",1,2))))</x:f>
      </x:c>
      <x:c r="V59" s="9" t="str">
        <x:f>IF(C59="","",IF(Q59="Not assessed","Not assessed",IF(OR(O59="",NOT(ISNUMBER(H59)),NOT(ISNUMBER(P59))),"Evidence required",IF(OR(P59&lt;'Settings'!$F$8,H59&gt;'Settings'!$F$8,YEAR(H59)&lt;&gt;YEAR('Settings'!$F$8)),"Period / expiry review",IF(S59&lt;&gt;"Yes","Boundary incomplete",IF(OR(Q59="Reported verified",Q59="Reported unverified"),IF(NOT(OR(F59="Corporate private",F59="Corporate listed",F59="Project finance")),"Asset method required",IF(OR(NOT(ISNUMBER(R59)),R59&lt;0),"Reported value required","Ready")),IF(Q59="Activity",IF(AND(COUNTIFS('Activity Data'!$D$9:$D$308,C59,'Activity Data'!$F$9:$F$308,"S1")&gt;0,COUNTIFS('Activity Data'!$D$9:$D$308,C59,'Activity Data'!$F$9:$F$308,"S1")=COUNTIFS('Activity Data'!$D$9:$D$308,C59,'Activity Data'!$F$9:$F$308,"S1",'Activity Data'!$V$9:$V$308,"Ready")),"Ready","Activity incomplete"),"Method required")))))))</x:f>
      </x:c>
      <x:c r="W59" s="8"/>
      <x:c r="X59" s="16"/>
      <x:c r="Y59" s="8"/>
      <x:c r="Z59" s="23" t="str">
        <x:f>IF(AB59="Ready",IF(W59="Activity",SUMIFS('Activity Data'!$U$9:$U$308,'Activity Data'!$D$9:$D$308,C59,'Activity Data'!$F$9:$F$308,"S2"),X59),"")</x:f>
      </x:c>
      <x:c r="AA59" s="44" t="str">
        <x:f>IF(AB59&lt;&gt;"Ready","",IF(W59="Reported verified",1,IF(W59="Reported unverified",2,IF(F59="Motor",1,2))))</x:f>
      </x:c>
      <x:c r="AB59" s="9" t="str">
        <x:f>IF(C59="","",IF(W59="Not assessed","Not assessed",IF(OR(O59="",NOT(ISNUMBER(H59)),NOT(ISNUMBER(P59))),"Evidence required",IF(OR(P59&lt;'Settings'!$F$8,H59&gt;'Settings'!$F$8,YEAR(H59)&lt;&gt;YEAR('Settings'!$F$8)),"Period / expiry review",IF(Y59&lt;&gt;"Yes","Boundary incomplete",IF(OR(AND(AC59&lt;&gt;"Location-based",AC59&lt;&gt;"Market-based"),AND(W59="Activity",AC59&lt;&gt;"Location-based")),"S2 basis mismatch",IF(OR(W59="Reported verified",W59="Reported unverified"),IF(NOT(OR(F59="Corporate private",F59="Corporate listed",F59="Project finance")),"Asset method required",IF(OR(NOT(ISNUMBER(X59)),X59&lt;0),"Reported value required","Ready")),IF(W59="Activity",IF(AND(COUNTIFS('Activity Data'!$D$9:$D$308,C59,'Activity Data'!$F$9:$F$308,"S2")&gt;0,COUNTIFS('Activity Data'!$D$9:$D$308,C59,'Activity Data'!$F$9:$F$308,"S2")=COUNTIFS('Activity Data'!$D$9:$D$308,C59,'Activity Data'!$F$9:$F$308,"S2",'Activity Data'!$V$9:$V$308,"Ready")),"Ready","Activity incomplete"),"Method required"))))))))</x:f>
      </x:c>
      <x:c r="AC59" s="8"/>
      <x:c r="AD59" s="8"/>
      <x:c r="AE59" s="16"/>
      <x:c r="AF59" s="8"/>
      <x:c r="AG59" s="23" t="str">
        <x:f>IF(AI59="Ready",IF(AD59="Activity",SUMIFS('Activity Data'!$U$9:$U$308,'Activity Data'!$D$9:$D$308,C59,'Activity Data'!$F$9:$F$308,"S3"),AE59),"")</x:f>
      </x:c>
      <x:c r="AH59" s="44" t="str">
        <x:f>IF(AI59&lt;&gt;"Ready","",IF(AD59="Reported verified",1,IF(AD59="Reported unverified",2,IF(F59="Motor",1,2))))</x:f>
      </x:c>
      <x:c r="AI59" s="9" t="str">
        <x:f>IF(C59="","",IF(AD59="Not assessed","Not assessed",IF(OR(O59="",NOT(ISNUMBER(H59)),NOT(ISNUMBER(P59))),"Evidence required",IF(OR(P59&lt;'Settings'!$F$8,H59&gt;'Settings'!$F$8,YEAR(H59)&lt;&gt;YEAR('Settings'!$F$8)),"Period / expiry review",IF(AF59&lt;&gt;"Yes","Boundary incomplete",IF(AM59="","S3 screening required",IF(OR(AD59="Reported verified",AD59="Reported unverified"),IF(NOT(OR(F59="Corporate private",F59="Corporate listed",F59="Project finance")),"Asset method required",IF(OR(NOT(ISNUMBER(AE59)),AE59&lt;0),"Reported value required","Ready")),"Scope 3 method required")))))))</x:f>
      </x:c>
      <x:c r="AJ59" s="9" t="str">
        <x:f>IF(C59="","",IF(OR(F59="Corporate private",F59="Corporate listed"),IFERROR(IF(INDEX('Borrowers'!$X$9:$X$108,MATCH(D59,'Borrowers'!$C$9:$C$108,0))="","",INDEX('Borrowers'!$X$9:$X$108,MATCH(D59,'Borrowers'!$C$9:$C$108,0))),""),IF(AQ59="","",AQ59)))</x:f>
      </x:c>
      <x:c r="AK59" s="43" t="str">
        <x:f>IF(C59="","",IF(OR(F59="Corporate private",F59="Corporate listed"),IFERROR(IF(INDEX('Borrowers'!$H$9:$H$108,MATCH(D59,'Borrowers'!$C$9:$C$108,0))="","",INDEX('Borrowers'!$H$9:$H$108,MATCH(D59,'Borrowers'!$C$9:$C$108,0))),""),IF(AR59="","",AR59)))</x:f>
      </x:c>
      <x:c r="AL59" s="9" t="str">
        <x:f>IF(C59="","",IF(COUNTIFS($C$9:$C$108,C59)&lt;&gt;1,"Duplicate entity ID",IF(COUNTIFS('Borrowers'!$C$9:$C$108,D59)&lt;&gt;1,"Borrower required",IF(AND(F59&lt;&gt;"Corporate private",F59&lt;&gt;"Corporate listed",F59&lt;&gt;"Project finance",F59&lt;&gt;"CRE",F59&lt;&gt;"Mortgage",F59&lt;&gt;"Motor"),"Method required",IF(OR(AND(F59="Corporate private",IFERROR(IF(INDEX('Borrowers'!$G$9:$G$108,MATCH(D59,'Borrowers'!$C$9:$C$108,0))="","",INDEX('Borrowers'!$G$9:$G$108,MATCH(D59,'Borrowers'!$C$9:$C$108,0))),"")&lt;&gt;"Private"),AND(F59="Corporate listed",IFERROR(IF(INDEX('Borrowers'!$G$9:$G$108,MATCH(D59,'Borrowers'!$C$9:$C$108,0))="","",INDEX('Borrowers'!$G$9:$G$108,MATCH(D59,'Borrowers'!$C$9:$C$108,0))),"")&lt;&gt;"Listed")),"Listing / class mismatch",IF(OR(NOT(ISNUMBER(N59)),N59&lt;=0,AJ59="",NOT(ISNUMBER(AK59))),"Value evidence required",IF(AND(OR(F59="Corporate private",F59="Corporate listed"),IFERROR(IF(INDEX('Borrowers'!$Y$9:$Y$108,MATCH(D59,'Borrowers'!$C$9:$C$108,0))="","",INDEX('Borrowers'!$Y$9:$Y$108,MATCH(D59,'Borrowers'!$C$9:$C$108,0))),"")&lt;'Settings'!$F$8),"Expired financial evidence",IF(AK59&gt;'Settings'!$F$8,"Future value date",IF(OR(AND(OR(F59="Corporate private",F59="Project finance"),OR(J59&lt;0,M59&lt;&gt;"Current financials")),AND(F59="Corporate listed",M59&lt;&gt;"Current financials"),AND(OR(F59="CRE",F59="Mortgage",F59="Motor"),AND(M59&lt;&gt;"Origination",M59&lt;&gt;"Fixed fallback"))),"Value basis review",IF(AND(M59="Current financials",YEAR(AK59)&lt;&gt;YEAR('Settings'!$F$8)),"Stale financial period","Ready"))))))))))</x:f>
      </x:c>
      <x:c r="AM59" s="8"/>
      <x:c r="AN59" s="8"/>
      <x:c r="AO59" s="16"/>
      <x:c r="AP59" s="16"/>
      <x:c r="AQ59" s="8"/>
      <x:c r="AR59" s="40"/>
    </x:row>
    <x:row r="60" ht="40" customHeight="1">
      <x:c r="A60" s="1"/>
      <x:c r="B60" s="1"/>
      <x:c r="C60" s="8"/>
      <x:c r="D60" s="8"/>
      <x:c r="E60" s="8"/>
      <x:c r="F60" s="8"/>
      <x:c r="G60" s="9" t="str">
        <x:f>IF(C60="","",IFERROR(IF(INDEX('Borrowers'!$E$9:$E$108,MATCH(D60,'Borrowers'!$C$9:$C$108,0))="","",INDEX('Borrowers'!$E$9:$E$108,MATCH(D60,'Borrowers'!$C$9:$C$108,0))),""))</x:f>
      </x:c>
      <x:c r="H60" s="40"/>
      <x:c r="I60" s="23" t="str">
        <x:f>IF(C60="","",IF(OR(F60="Corporate private",F60="Corporate listed"),IFERROR(IF(INDEX('Borrowers'!$M$9:$M$108,MATCH(D60,'Borrowers'!$C$9:$C$108,0))="","",INDEX('Borrowers'!$M$9:$M$108,MATCH(D60,'Borrowers'!$C$9:$C$108,0))),""),IF(F60="Project finance",IF(ISNUMBER(AO60),AO60,""),"")))</x:f>
      </x:c>
      <x:c r="J60" s="23" t="str">
        <x:f>IF(C60="","",IF(OR(F60="Corporate private",F60="Corporate listed"),IFERROR(IF(INDEX('Borrowers'!$N$9:$N$108,MATCH(D60,'Borrowers'!$C$9:$C$108,0))="","",INDEX('Borrowers'!$N$9:$N$108,MATCH(D60,'Borrowers'!$C$9:$C$108,0))),""),IF(F60="Project finance",IF(ISNUMBER(AP60),AP60,""),"")))</x:f>
      </x:c>
      <x:c r="K60" s="23" t="str">
        <x:f>IF(C60="","",IF(F60="Corporate listed",IFERROR(IF(INDEX('Borrowers'!$O$9:$O$108,MATCH(D60,'Borrowers'!$C$9:$C$108,0))="","",INDEX('Borrowers'!$O$9:$O$108,MATCH(D60,'Borrowers'!$C$9:$C$108,0))),""),""))</x:f>
      </x:c>
      <x:c r="L60" s="16"/>
      <x:c r="M60" s="8"/>
      <x:c r="N60" s="21" t="str">
        <x:f>IF(C60="","",IF(F60="Corporate listed",IF(ISNUMBER(K60),K60,""),IF(OR(F60="Corporate private",F60="Project finance"),IF(AND(ISNUMBER(I60),ISNUMBER(J60)),MAX(I60,0)+J60,""),IF(OR(F60="CRE",F60="Mortgage",F60="Motor"),IF(ISNUMBER(L60),L60,""),""))))</x:f>
      </x:c>
      <x:c r="O60" s="8"/>
      <x:c r="P60" s="40"/>
      <x:c r="Q60" s="8"/>
      <x:c r="R60" s="16"/>
      <x:c r="S60" s="8"/>
      <x:c r="T60" s="23" t="str">
        <x:f>IF(V60="Ready",IF(Q60="Activity",SUMIFS('Activity Data'!$U$9:$U$308,'Activity Data'!$D$9:$D$308,C60,'Activity Data'!$F$9:$F$308,"S1"),R60),"")</x:f>
      </x:c>
      <x:c r="U60" s="44" t="str">
        <x:f>IF(V60&lt;&gt;"Ready","",IF(Q60="Reported verified",1,IF(Q60="Reported unverified",2,IF(F60="Motor",1,2))))</x:f>
      </x:c>
      <x:c r="V60" s="9" t="str">
        <x:f>IF(C60="","",IF(Q60="Not assessed","Not assessed",IF(OR(O60="",NOT(ISNUMBER(H60)),NOT(ISNUMBER(P60))),"Evidence required",IF(OR(P60&lt;'Settings'!$F$8,H60&gt;'Settings'!$F$8,YEAR(H60)&lt;&gt;YEAR('Settings'!$F$8)),"Period / expiry review",IF(S60&lt;&gt;"Yes","Boundary incomplete",IF(OR(Q60="Reported verified",Q60="Reported unverified"),IF(NOT(OR(F60="Corporate private",F60="Corporate listed",F60="Project finance")),"Asset method required",IF(OR(NOT(ISNUMBER(R60)),R60&lt;0),"Reported value required","Ready")),IF(Q60="Activity",IF(AND(COUNTIFS('Activity Data'!$D$9:$D$308,C60,'Activity Data'!$F$9:$F$308,"S1")&gt;0,COUNTIFS('Activity Data'!$D$9:$D$308,C60,'Activity Data'!$F$9:$F$308,"S1")=COUNTIFS('Activity Data'!$D$9:$D$308,C60,'Activity Data'!$F$9:$F$308,"S1",'Activity Data'!$V$9:$V$308,"Ready")),"Ready","Activity incomplete"),"Method required")))))))</x:f>
      </x:c>
      <x:c r="W60" s="8"/>
      <x:c r="X60" s="16"/>
      <x:c r="Y60" s="8"/>
      <x:c r="Z60" s="23" t="str">
        <x:f>IF(AB60="Ready",IF(W60="Activity",SUMIFS('Activity Data'!$U$9:$U$308,'Activity Data'!$D$9:$D$308,C60,'Activity Data'!$F$9:$F$308,"S2"),X60),"")</x:f>
      </x:c>
      <x:c r="AA60" s="44" t="str">
        <x:f>IF(AB60&lt;&gt;"Ready","",IF(W60="Reported verified",1,IF(W60="Reported unverified",2,IF(F60="Motor",1,2))))</x:f>
      </x:c>
      <x:c r="AB60" s="9" t="str">
        <x:f>IF(C60="","",IF(W60="Not assessed","Not assessed",IF(OR(O60="",NOT(ISNUMBER(H60)),NOT(ISNUMBER(P60))),"Evidence required",IF(OR(P60&lt;'Settings'!$F$8,H60&gt;'Settings'!$F$8,YEAR(H60)&lt;&gt;YEAR('Settings'!$F$8)),"Period / expiry review",IF(Y60&lt;&gt;"Yes","Boundary incomplete",IF(OR(AND(AC60&lt;&gt;"Location-based",AC60&lt;&gt;"Market-based"),AND(W60="Activity",AC60&lt;&gt;"Location-based")),"S2 basis mismatch",IF(OR(W60="Reported verified",W60="Reported unverified"),IF(NOT(OR(F60="Corporate private",F60="Corporate listed",F60="Project finance")),"Asset method required",IF(OR(NOT(ISNUMBER(X60)),X60&lt;0),"Reported value required","Ready")),IF(W60="Activity",IF(AND(COUNTIFS('Activity Data'!$D$9:$D$308,C60,'Activity Data'!$F$9:$F$308,"S2")&gt;0,COUNTIFS('Activity Data'!$D$9:$D$308,C60,'Activity Data'!$F$9:$F$308,"S2")=COUNTIFS('Activity Data'!$D$9:$D$308,C60,'Activity Data'!$F$9:$F$308,"S2",'Activity Data'!$V$9:$V$308,"Ready")),"Ready","Activity incomplete"),"Method required"))))))))</x:f>
      </x:c>
      <x:c r="AC60" s="8"/>
      <x:c r="AD60" s="8"/>
      <x:c r="AE60" s="16"/>
      <x:c r="AF60" s="8"/>
      <x:c r="AG60" s="23" t="str">
        <x:f>IF(AI60="Ready",IF(AD60="Activity",SUMIFS('Activity Data'!$U$9:$U$308,'Activity Data'!$D$9:$D$308,C60,'Activity Data'!$F$9:$F$308,"S3"),AE60),"")</x:f>
      </x:c>
      <x:c r="AH60" s="44" t="str">
        <x:f>IF(AI60&lt;&gt;"Ready","",IF(AD60="Reported verified",1,IF(AD60="Reported unverified",2,IF(F60="Motor",1,2))))</x:f>
      </x:c>
      <x:c r="AI60" s="9" t="str">
        <x:f>IF(C60="","",IF(AD60="Not assessed","Not assessed",IF(OR(O60="",NOT(ISNUMBER(H60)),NOT(ISNUMBER(P60))),"Evidence required",IF(OR(P60&lt;'Settings'!$F$8,H60&gt;'Settings'!$F$8,YEAR(H60)&lt;&gt;YEAR('Settings'!$F$8)),"Period / expiry review",IF(AF60&lt;&gt;"Yes","Boundary incomplete",IF(AM60="","S3 screening required",IF(OR(AD60="Reported verified",AD60="Reported unverified"),IF(NOT(OR(F60="Corporate private",F60="Corporate listed",F60="Project finance")),"Asset method required",IF(OR(NOT(ISNUMBER(AE60)),AE60&lt;0),"Reported value required","Ready")),"Scope 3 method required")))))))</x:f>
      </x:c>
      <x:c r="AJ60" s="9" t="str">
        <x:f>IF(C60="","",IF(OR(F60="Corporate private",F60="Corporate listed"),IFERROR(IF(INDEX('Borrowers'!$X$9:$X$108,MATCH(D60,'Borrowers'!$C$9:$C$108,0))="","",INDEX('Borrowers'!$X$9:$X$108,MATCH(D60,'Borrowers'!$C$9:$C$108,0))),""),IF(AQ60="","",AQ60)))</x:f>
      </x:c>
      <x:c r="AK60" s="43" t="str">
        <x:f>IF(C60="","",IF(OR(F60="Corporate private",F60="Corporate listed"),IFERROR(IF(INDEX('Borrowers'!$H$9:$H$108,MATCH(D60,'Borrowers'!$C$9:$C$108,0))="","",INDEX('Borrowers'!$H$9:$H$108,MATCH(D60,'Borrowers'!$C$9:$C$108,0))),""),IF(AR60="","",AR60)))</x:f>
      </x:c>
      <x:c r="AL60" s="9" t="str">
        <x:f>IF(C60="","",IF(COUNTIFS($C$9:$C$108,C60)&lt;&gt;1,"Duplicate entity ID",IF(COUNTIFS('Borrowers'!$C$9:$C$108,D60)&lt;&gt;1,"Borrower required",IF(AND(F60&lt;&gt;"Corporate private",F60&lt;&gt;"Corporate listed",F60&lt;&gt;"Project finance",F60&lt;&gt;"CRE",F60&lt;&gt;"Mortgage",F60&lt;&gt;"Motor"),"Method required",IF(OR(AND(F60="Corporate private",IFERROR(IF(INDEX('Borrowers'!$G$9:$G$108,MATCH(D60,'Borrowers'!$C$9:$C$108,0))="","",INDEX('Borrowers'!$G$9:$G$108,MATCH(D60,'Borrowers'!$C$9:$C$108,0))),"")&lt;&gt;"Private"),AND(F60="Corporate listed",IFERROR(IF(INDEX('Borrowers'!$G$9:$G$108,MATCH(D60,'Borrowers'!$C$9:$C$108,0))="","",INDEX('Borrowers'!$G$9:$G$108,MATCH(D60,'Borrowers'!$C$9:$C$108,0))),"")&lt;&gt;"Listed")),"Listing / class mismatch",IF(OR(NOT(ISNUMBER(N60)),N60&lt;=0,AJ60="",NOT(ISNUMBER(AK60))),"Value evidence required",IF(AND(OR(F60="Corporate private",F60="Corporate listed"),IFERROR(IF(INDEX('Borrowers'!$Y$9:$Y$108,MATCH(D60,'Borrowers'!$C$9:$C$108,0))="","",INDEX('Borrowers'!$Y$9:$Y$108,MATCH(D60,'Borrowers'!$C$9:$C$108,0))),"")&lt;'Settings'!$F$8),"Expired financial evidence",IF(AK60&gt;'Settings'!$F$8,"Future value date",IF(OR(AND(OR(F60="Corporate private",F60="Project finance"),OR(J60&lt;0,M60&lt;&gt;"Current financials")),AND(F60="Corporate listed",M60&lt;&gt;"Current financials"),AND(OR(F60="CRE",F60="Mortgage",F60="Motor"),AND(M60&lt;&gt;"Origination",M60&lt;&gt;"Fixed fallback"))),"Value basis review",IF(AND(M60="Current financials",YEAR(AK60)&lt;&gt;YEAR('Settings'!$F$8)),"Stale financial period","Ready"))))))))))</x:f>
      </x:c>
      <x:c r="AM60" s="8"/>
      <x:c r="AN60" s="8"/>
      <x:c r="AO60" s="16"/>
      <x:c r="AP60" s="16"/>
      <x:c r="AQ60" s="8"/>
      <x:c r="AR60" s="40"/>
    </x:row>
    <x:row r="61" ht="40" customHeight="1">
      <x:c r="A61" s="1"/>
      <x:c r="B61" s="1"/>
      <x:c r="C61" s="8"/>
      <x:c r="D61" s="8"/>
      <x:c r="E61" s="8"/>
      <x:c r="F61" s="8"/>
      <x:c r="G61" s="9" t="str">
        <x:f>IF(C61="","",IFERROR(IF(INDEX('Borrowers'!$E$9:$E$108,MATCH(D61,'Borrowers'!$C$9:$C$108,0))="","",INDEX('Borrowers'!$E$9:$E$108,MATCH(D61,'Borrowers'!$C$9:$C$108,0))),""))</x:f>
      </x:c>
      <x:c r="H61" s="40"/>
      <x:c r="I61" s="23" t="str">
        <x:f>IF(C61="","",IF(OR(F61="Corporate private",F61="Corporate listed"),IFERROR(IF(INDEX('Borrowers'!$M$9:$M$108,MATCH(D61,'Borrowers'!$C$9:$C$108,0))="","",INDEX('Borrowers'!$M$9:$M$108,MATCH(D61,'Borrowers'!$C$9:$C$108,0))),""),IF(F61="Project finance",IF(ISNUMBER(AO61),AO61,""),"")))</x:f>
      </x:c>
      <x:c r="J61" s="23" t="str">
        <x:f>IF(C61="","",IF(OR(F61="Corporate private",F61="Corporate listed"),IFERROR(IF(INDEX('Borrowers'!$N$9:$N$108,MATCH(D61,'Borrowers'!$C$9:$C$108,0))="","",INDEX('Borrowers'!$N$9:$N$108,MATCH(D61,'Borrowers'!$C$9:$C$108,0))),""),IF(F61="Project finance",IF(ISNUMBER(AP61),AP61,""),"")))</x:f>
      </x:c>
      <x:c r="K61" s="23" t="str">
        <x:f>IF(C61="","",IF(F61="Corporate listed",IFERROR(IF(INDEX('Borrowers'!$O$9:$O$108,MATCH(D61,'Borrowers'!$C$9:$C$108,0))="","",INDEX('Borrowers'!$O$9:$O$108,MATCH(D61,'Borrowers'!$C$9:$C$108,0))),""),""))</x:f>
      </x:c>
      <x:c r="L61" s="16"/>
      <x:c r="M61" s="8"/>
      <x:c r="N61" s="21" t="str">
        <x:f>IF(C61="","",IF(F61="Corporate listed",IF(ISNUMBER(K61),K61,""),IF(OR(F61="Corporate private",F61="Project finance"),IF(AND(ISNUMBER(I61),ISNUMBER(J61)),MAX(I61,0)+J61,""),IF(OR(F61="CRE",F61="Mortgage",F61="Motor"),IF(ISNUMBER(L61),L61,""),""))))</x:f>
      </x:c>
      <x:c r="O61" s="8"/>
      <x:c r="P61" s="40"/>
      <x:c r="Q61" s="8"/>
      <x:c r="R61" s="16"/>
      <x:c r="S61" s="8"/>
      <x:c r="T61" s="23" t="str">
        <x:f>IF(V61="Ready",IF(Q61="Activity",SUMIFS('Activity Data'!$U$9:$U$308,'Activity Data'!$D$9:$D$308,C61,'Activity Data'!$F$9:$F$308,"S1"),R61),"")</x:f>
      </x:c>
      <x:c r="U61" s="44" t="str">
        <x:f>IF(V61&lt;&gt;"Ready","",IF(Q61="Reported verified",1,IF(Q61="Reported unverified",2,IF(F61="Motor",1,2))))</x:f>
      </x:c>
      <x:c r="V61" s="9" t="str">
        <x:f>IF(C61="","",IF(Q61="Not assessed","Not assessed",IF(OR(O61="",NOT(ISNUMBER(H61)),NOT(ISNUMBER(P61))),"Evidence required",IF(OR(P61&lt;'Settings'!$F$8,H61&gt;'Settings'!$F$8,YEAR(H61)&lt;&gt;YEAR('Settings'!$F$8)),"Period / expiry review",IF(S61&lt;&gt;"Yes","Boundary incomplete",IF(OR(Q61="Reported verified",Q61="Reported unverified"),IF(NOT(OR(F61="Corporate private",F61="Corporate listed",F61="Project finance")),"Asset method required",IF(OR(NOT(ISNUMBER(R61)),R61&lt;0),"Reported value required","Ready")),IF(Q61="Activity",IF(AND(COUNTIFS('Activity Data'!$D$9:$D$308,C61,'Activity Data'!$F$9:$F$308,"S1")&gt;0,COUNTIFS('Activity Data'!$D$9:$D$308,C61,'Activity Data'!$F$9:$F$308,"S1")=COUNTIFS('Activity Data'!$D$9:$D$308,C61,'Activity Data'!$F$9:$F$308,"S1",'Activity Data'!$V$9:$V$308,"Ready")),"Ready","Activity incomplete"),"Method required")))))))</x:f>
      </x:c>
      <x:c r="W61" s="8"/>
      <x:c r="X61" s="16"/>
      <x:c r="Y61" s="8"/>
      <x:c r="Z61" s="23" t="str">
        <x:f>IF(AB61="Ready",IF(W61="Activity",SUMIFS('Activity Data'!$U$9:$U$308,'Activity Data'!$D$9:$D$308,C61,'Activity Data'!$F$9:$F$308,"S2"),X61),"")</x:f>
      </x:c>
      <x:c r="AA61" s="44" t="str">
        <x:f>IF(AB61&lt;&gt;"Ready","",IF(W61="Reported verified",1,IF(W61="Reported unverified",2,IF(F61="Motor",1,2))))</x:f>
      </x:c>
      <x:c r="AB61" s="9" t="str">
        <x:f>IF(C61="","",IF(W61="Not assessed","Not assessed",IF(OR(O61="",NOT(ISNUMBER(H61)),NOT(ISNUMBER(P61))),"Evidence required",IF(OR(P61&lt;'Settings'!$F$8,H61&gt;'Settings'!$F$8,YEAR(H61)&lt;&gt;YEAR('Settings'!$F$8)),"Period / expiry review",IF(Y61&lt;&gt;"Yes","Boundary incomplete",IF(OR(AND(AC61&lt;&gt;"Location-based",AC61&lt;&gt;"Market-based"),AND(W61="Activity",AC61&lt;&gt;"Location-based")),"S2 basis mismatch",IF(OR(W61="Reported verified",W61="Reported unverified"),IF(NOT(OR(F61="Corporate private",F61="Corporate listed",F61="Project finance")),"Asset method required",IF(OR(NOT(ISNUMBER(X61)),X61&lt;0),"Reported value required","Ready")),IF(W61="Activity",IF(AND(COUNTIFS('Activity Data'!$D$9:$D$308,C61,'Activity Data'!$F$9:$F$308,"S2")&gt;0,COUNTIFS('Activity Data'!$D$9:$D$308,C61,'Activity Data'!$F$9:$F$308,"S2")=COUNTIFS('Activity Data'!$D$9:$D$308,C61,'Activity Data'!$F$9:$F$308,"S2",'Activity Data'!$V$9:$V$308,"Ready")),"Ready","Activity incomplete"),"Method required"))))))))</x:f>
      </x:c>
      <x:c r="AC61" s="8"/>
      <x:c r="AD61" s="8"/>
      <x:c r="AE61" s="16"/>
      <x:c r="AF61" s="8"/>
      <x:c r="AG61" s="23" t="str">
        <x:f>IF(AI61="Ready",IF(AD61="Activity",SUMIFS('Activity Data'!$U$9:$U$308,'Activity Data'!$D$9:$D$308,C61,'Activity Data'!$F$9:$F$308,"S3"),AE61),"")</x:f>
      </x:c>
      <x:c r="AH61" s="44" t="str">
        <x:f>IF(AI61&lt;&gt;"Ready","",IF(AD61="Reported verified",1,IF(AD61="Reported unverified",2,IF(F61="Motor",1,2))))</x:f>
      </x:c>
      <x:c r="AI61" s="9" t="str">
        <x:f>IF(C61="","",IF(AD61="Not assessed","Not assessed",IF(OR(O61="",NOT(ISNUMBER(H61)),NOT(ISNUMBER(P61))),"Evidence required",IF(OR(P61&lt;'Settings'!$F$8,H61&gt;'Settings'!$F$8,YEAR(H61)&lt;&gt;YEAR('Settings'!$F$8)),"Period / expiry review",IF(AF61&lt;&gt;"Yes","Boundary incomplete",IF(AM61="","S3 screening required",IF(OR(AD61="Reported verified",AD61="Reported unverified"),IF(NOT(OR(F61="Corporate private",F61="Corporate listed",F61="Project finance")),"Asset method required",IF(OR(NOT(ISNUMBER(AE61)),AE61&lt;0),"Reported value required","Ready")),"Scope 3 method required")))))))</x:f>
      </x:c>
      <x:c r="AJ61" s="9" t="str">
        <x:f>IF(C61="","",IF(OR(F61="Corporate private",F61="Corporate listed"),IFERROR(IF(INDEX('Borrowers'!$X$9:$X$108,MATCH(D61,'Borrowers'!$C$9:$C$108,0))="","",INDEX('Borrowers'!$X$9:$X$108,MATCH(D61,'Borrowers'!$C$9:$C$108,0))),""),IF(AQ61="","",AQ61)))</x:f>
      </x:c>
      <x:c r="AK61" s="43" t="str">
        <x:f>IF(C61="","",IF(OR(F61="Corporate private",F61="Corporate listed"),IFERROR(IF(INDEX('Borrowers'!$H$9:$H$108,MATCH(D61,'Borrowers'!$C$9:$C$108,0))="","",INDEX('Borrowers'!$H$9:$H$108,MATCH(D61,'Borrowers'!$C$9:$C$108,0))),""),IF(AR61="","",AR61)))</x:f>
      </x:c>
      <x:c r="AL61" s="9" t="str">
        <x:f>IF(C61="","",IF(COUNTIFS($C$9:$C$108,C61)&lt;&gt;1,"Duplicate entity ID",IF(COUNTIFS('Borrowers'!$C$9:$C$108,D61)&lt;&gt;1,"Borrower required",IF(AND(F61&lt;&gt;"Corporate private",F61&lt;&gt;"Corporate listed",F61&lt;&gt;"Project finance",F61&lt;&gt;"CRE",F61&lt;&gt;"Mortgage",F61&lt;&gt;"Motor"),"Method required",IF(OR(AND(F61="Corporate private",IFERROR(IF(INDEX('Borrowers'!$G$9:$G$108,MATCH(D61,'Borrowers'!$C$9:$C$108,0))="","",INDEX('Borrowers'!$G$9:$G$108,MATCH(D61,'Borrowers'!$C$9:$C$108,0))),"")&lt;&gt;"Private"),AND(F61="Corporate listed",IFERROR(IF(INDEX('Borrowers'!$G$9:$G$108,MATCH(D61,'Borrowers'!$C$9:$C$108,0))="","",INDEX('Borrowers'!$G$9:$G$108,MATCH(D61,'Borrowers'!$C$9:$C$108,0))),"")&lt;&gt;"Listed")),"Listing / class mismatch",IF(OR(NOT(ISNUMBER(N61)),N61&lt;=0,AJ61="",NOT(ISNUMBER(AK61))),"Value evidence required",IF(AND(OR(F61="Corporate private",F61="Corporate listed"),IFERROR(IF(INDEX('Borrowers'!$Y$9:$Y$108,MATCH(D61,'Borrowers'!$C$9:$C$108,0))="","",INDEX('Borrowers'!$Y$9:$Y$108,MATCH(D61,'Borrowers'!$C$9:$C$108,0))),"")&lt;'Settings'!$F$8),"Expired financial evidence",IF(AK61&gt;'Settings'!$F$8,"Future value date",IF(OR(AND(OR(F61="Corporate private",F61="Project finance"),OR(J61&lt;0,M61&lt;&gt;"Current financials")),AND(F61="Corporate listed",M61&lt;&gt;"Current financials"),AND(OR(F61="CRE",F61="Mortgage",F61="Motor"),AND(M61&lt;&gt;"Origination",M61&lt;&gt;"Fixed fallback"))),"Value basis review",IF(AND(M61="Current financials",YEAR(AK61)&lt;&gt;YEAR('Settings'!$F$8)),"Stale financial period","Ready"))))))))))</x:f>
      </x:c>
      <x:c r="AM61" s="8"/>
      <x:c r="AN61" s="8"/>
      <x:c r="AO61" s="16"/>
      <x:c r="AP61" s="16"/>
      <x:c r="AQ61" s="8"/>
      <x:c r="AR61" s="40"/>
    </x:row>
    <x:row r="62" ht="40" customHeight="1">
      <x:c r="A62" s="1"/>
      <x:c r="B62" s="1"/>
      <x:c r="C62" s="8"/>
      <x:c r="D62" s="8"/>
      <x:c r="E62" s="8"/>
      <x:c r="F62" s="8"/>
      <x:c r="G62" s="9" t="str">
        <x:f>IF(C62="","",IFERROR(IF(INDEX('Borrowers'!$E$9:$E$108,MATCH(D62,'Borrowers'!$C$9:$C$108,0))="","",INDEX('Borrowers'!$E$9:$E$108,MATCH(D62,'Borrowers'!$C$9:$C$108,0))),""))</x:f>
      </x:c>
      <x:c r="H62" s="40"/>
      <x:c r="I62" s="23" t="str">
        <x:f>IF(C62="","",IF(OR(F62="Corporate private",F62="Corporate listed"),IFERROR(IF(INDEX('Borrowers'!$M$9:$M$108,MATCH(D62,'Borrowers'!$C$9:$C$108,0))="","",INDEX('Borrowers'!$M$9:$M$108,MATCH(D62,'Borrowers'!$C$9:$C$108,0))),""),IF(F62="Project finance",IF(ISNUMBER(AO62),AO62,""),"")))</x:f>
      </x:c>
      <x:c r="J62" s="23" t="str">
        <x:f>IF(C62="","",IF(OR(F62="Corporate private",F62="Corporate listed"),IFERROR(IF(INDEX('Borrowers'!$N$9:$N$108,MATCH(D62,'Borrowers'!$C$9:$C$108,0))="","",INDEX('Borrowers'!$N$9:$N$108,MATCH(D62,'Borrowers'!$C$9:$C$108,0))),""),IF(F62="Project finance",IF(ISNUMBER(AP62),AP62,""),"")))</x:f>
      </x:c>
      <x:c r="K62" s="23" t="str">
        <x:f>IF(C62="","",IF(F62="Corporate listed",IFERROR(IF(INDEX('Borrowers'!$O$9:$O$108,MATCH(D62,'Borrowers'!$C$9:$C$108,0))="","",INDEX('Borrowers'!$O$9:$O$108,MATCH(D62,'Borrowers'!$C$9:$C$108,0))),""),""))</x:f>
      </x:c>
      <x:c r="L62" s="16"/>
      <x:c r="M62" s="8"/>
      <x:c r="N62" s="21" t="str">
        <x:f>IF(C62="","",IF(F62="Corporate listed",IF(ISNUMBER(K62),K62,""),IF(OR(F62="Corporate private",F62="Project finance"),IF(AND(ISNUMBER(I62),ISNUMBER(J62)),MAX(I62,0)+J62,""),IF(OR(F62="CRE",F62="Mortgage",F62="Motor"),IF(ISNUMBER(L62),L62,""),""))))</x:f>
      </x:c>
      <x:c r="O62" s="8"/>
      <x:c r="P62" s="40"/>
      <x:c r="Q62" s="8"/>
      <x:c r="R62" s="16"/>
      <x:c r="S62" s="8"/>
      <x:c r="T62" s="23" t="str">
        <x:f>IF(V62="Ready",IF(Q62="Activity",SUMIFS('Activity Data'!$U$9:$U$308,'Activity Data'!$D$9:$D$308,C62,'Activity Data'!$F$9:$F$308,"S1"),R62),"")</x:f>
      </x:c>
      <x:c r="U62" s="44" t="str">
        <x:f>IF(V62&lt;&gt;"Ready","",IF(Q62="Reported verified",1,IF(Q62="Reported unverified",2,IF(F62="Motor",1,2))))</x:f>
      </x:c>
      <x:c r="V62" s="9" t="str">
        <x:f>IF(C62="","",IF(Q62="Not assessed","Not assessed",IF(OR(O62="",NOT(ISNUMBER(H62)),NOT(ISNUMBER(P62))),"Evidence required",IF(OR(P62&lt;'Settings'!$F$8,H62&gt;'Settings'!$F$8,YEAR(H62)&lt;&gt;YEAR('Settings'!$F$8)),"Period / expiry review",IF(S62&lt;&gt;"Yes","Boundary incomplete",IF(OR(Q62="Reported verified",Q62="Reported unverified"),IF(NOT(OR(F62="Corporate private",F62="Corporate listed",F62="Project finance")),"Asset method required",IF(OR(NOT(ISNUMBER(R62)),R62&lt;0),"Reported value required","Ready")),IF(Q62="Activity",IF(AND(COUNTIFS('Activity Data'!$D$9:$D$308,C62,'Activity Data'!$F$9:$F$308,"S1")&gt;0,COUNTIFS('Activity Data'!$D$9:$D$308,C62,'Activity Data'!$F$9:$F$308,"S1")=COUNTIFS('Activity Data'!$D$9:$D$308,C62,'Activity Data'!$F$9:$F$308,"S1",'Activity Data'!$V$9:$V$308,"Ready")),"Ready","Activity incomplete"),"Method required")))))))</x:f>
      </x:c>
      <x:c r="W62" s="8"/>
      <x:c r="X62" s="16"/>
      <x:c r="Y62" s="8"/>
      <x:c r="Z62" s="23" t="str">
        <x:f>IF(AB62="Ready",IF(W62="Activity",SUMIFS('Activity Data'!$U$9:$U$308,'Activity Data'!$D$9:$D$308,C62,'Activity Data'!$F$9:$F$308,"S2"),X62),"")</x:f>
      </x:c>
      <x:c r="AA62" s="44" t="str">
        <x:f>IF(AB62&lt;&gt;"Ready","",IF(W62="Reported verified",1,IF(W62="Reported unverified",2,IF(F62="Motor",1,2))))</x:f>
      </x:c>
      <x:c r="AB62" s="9" t="str">
        <x:f>IF(C62="","",IF(W62="Not assessed","Not assessed",IF(OR(O62="",NOT(ISNUMBER(H62)),NOT(ISNUMBER(P62))),"Evidence required",IF(OR(P62&lt;'Settings'!$F$8,H62&gt;'Settings'!$F$8,YEAR(H62)&lt;&gt;YEAR('Settings'!$F$8)),"Period / expiry review",IF(Y62&lt;&gt;"Yes","Boundary incomplete",IF(OR(AND(AC62&lt;&gt;"Location-based",AC62&lt;&gt;"Market-based"),AND(W62="Activity",AC62&lt;&gt;"Location-based")),"S2 basis mismatch",IF(OR(W62="Reported verified",W62="Reported unverified"),IF(NOT(OR(F62="Corporate private",F62="Corporate listed",F62="Project finance")),"Asset method required",IF(OR(NOT(ISNUMBER(X62)),X62&lt;0),"Reported value required","Ready")),IF(W62="Activity",IF(AND(COUNTIFS('Activity Data'!$D$9:$D$308,C62,'Activity Data'!$F$9:$F$308,"S2")&gt;0,COUNTIFS('Activity Data'!$D$9:$D$308,C62,'Activity Data'!$F$9:$F$308,"S2")=COUNTIFS('Activity Data'!$D$9:$D$308,C62,'Activity Data'!$F$9:$F$308,"S2",'Activity Data'!$V$9:$V$308,"Ready")),"Ready","Activity incomplete"),"Method required"))))))))</x:f>
      </x:c>
      <x:c r="AC62" s="8"/>
      <x:c r="AD62" s="8"/>
      <x:c r="AE62" s="16"/>
      <x:c r="AF62" s="8"/>
      <x:c r="AG62" s="23" t="str">
        <x:f>IF(AI62="Ready",IF(AD62="Activity",SUMIFS('Activity Data'!$U$9:$U$308,'Activity Data'!$D$9:$D$308,C62,'Activity Data'!$F$9:$F$308,"S3"),AE62),"")</x:f>
      </x:c>
      <x:c r="AH62" s="44" t="str">
        <x:f>IF(AI62&lt;&gt;"Ready","",IF(AD62="Reported verified",1,IF(AD62="Reported unverified",2,IF(F62="Motor",1,2))))</x:f>
      </x:c>
      <x:c r="AI62" s="9" t="str">
        <x:f>IF(C62="","",IF(AD62="Not assessed","Not assessed",IF(OR(O62="",NOT(ISNUMBER(H62)),NOT(ISNUMBER(P62))),"Evidence required",IF(OR(P62&lt;'Settings'!$F$8,H62&gt;'Settings'!$F$8,YEAR(H62)&lt;&gt;YEAR('Settings'!$F$8)),"Period / expiry review",IF(AF62&lt;&gt;"Yes","Boundary incomplete",IF(AM62="","S3 screening required",IF(OR(AD62="Reported verified",AD62="Reported unverified"),IF(NOT(OR(F62="Corporate private",F62="Corporate listed",F62="Project finance")),"Asset method required",IF(OR(NOT(ISNUMBER(AE62)),AE62&lt;0),"Reported value required","Ready")),"Scope 3 method required")))))))</x:f>
      </x:c>
      <x:c r="AJ62" s="9" t="str">
        <x:f>IF(C62="","",IF(OR(F62="Corporate private",F62="Corporate listed"),IFERROR(IF(INDEX('Borrowers'!$X$9:$X$108,MATCH(D62,'Borrowers'!$C$9:$C$108,0))="","",INDEX('Borrowers'!$X$9:$X$108,MATCH(D62,'Borrowers'!$C$9:$C$108,0))),""),IF(AQ62="","",AQ62)))</x:f>
      </x:c>
      <x:c r="AK62" s="43" t="str">
        <x:f>IF(C62="","",IF(OR(F62="Corporate private",F62="Corporate listed"),IFERROR(IF(INDEX('Borrowers'!$H$9:$H$108,MATCH(D62,'Borrowers'!$C$9:$C$108,0))="","",INDEX('Borrowers'!$H$9:$H$108,MATCH(D62,'Borrowers'!$C$9:$C$108,0))),""),IF(AR62="","",AR62)))</x:f>
      </x:c>
      <x:c r="AL62" s="9" t="str">
        <x:f>IF(C62="","",IF(COUNTIFS($C$9:$C$108,C62)&lt;&gt;1,"Duplicate entity ID",IF(COUNTIFS('Borrowers'!$C$9:$C$108,D62)&lt;&gt;1,"Borrower required",IF(AND(F62&lt;&gt;"Corporate private",F62&lt;&gt;"Corporate listed",F62&lt;&gt;"Project finance",F62&lt;&gt;"CRE",F62&lt;&gt;"Mortgage",F62&lt;&gt;"Motor"),"Method required",IF(OR(AND(F62="Corporate private",IFERROR(IF(INDEX('Borrowers'!$G$9:$G$108,MATCH(D62,'Borrowers'!$C$9:$C$108,0))="","",INDEX('Borrowers'!$G$9:$G$108,MATCH(D62,'Borrowers'!$C$9:$C$108,0))),"")&lt;&gt;"Private"),AND(F62="Corporate listed",IFERROR(IF(INDEX('Borrowers'!$G$9:$G$108,MATCH(D62,'Borrowers'!$C$9:$C$108,0))="","",INDEX('Borrowers'!$G$9:$G$108,MATCH(D62,'Borrowers'!$C$9:$C$108,0))),"")&lt;&gt;"Listed")),"Listing / class mismatch",IF(OR(NOT(ISNUMBER(N62)),N62&lt;=0,AJ62="",NOT(ISNUMBER(AK62))),"Value evidence required",IF(AND(OR(F62="Corporate private",F62="Corporate listed"),IFERROR(IF(INDEX('Borrowers'!$Y$9:$Y$108,MATCH(D62,'Borrowers'!$C$9:$C$108,0))="","",INDEX('Borrowers'!$Y$9:$Y$108,MATCH(D62,'Borrowers'!$C$9:$C$108,0))),"")&lt;'Settings'!$F$8),"Expired financial evidence",IF(AK62&gt;'Settings'!$F$8,"Future value date",IF(OR(AND(OR(F62="Corporate private",F62="Project finance"),OR(J62&lt;0,M62&lt;&gt;"Current financials")),AND(F62="Corporate listed",M62&lt;&gt;"Current financials"),AND(OR(F62="CRE",F62="Mortgage",F62="Motor"),AND(M62&lt;&gt;"Origination",M62&lt;&gt;"Fixed fallback"))),"Value basis review",IF(AND(M62="Current financials",YEAR(AK62)&lt;&gt;YEAR('Settings'!$F$8)),"Stale financial period","Ready"))))))))))</x:f>
      </x:c>
      <x:c r="AM62" s="8"/>
      <x:c r="AN62" s="8"/>
      <x:c r="AO62" s="16"/>
      <x:c r="AP62" s="16"/>
      <x:c r="AQ62" s="8"/>
      <x:c r="AR62" s="40"/>
    </x:row>
    <x:row r="63" ht="40" customHeight="1">
      <x:c r="A63" s="1"/>
      <x:c r="B63" s="1"/>
      <x:c r="C63" s="8"/>
      <x:c r="D63" s="8"/>
      <x:c r="E63" s="8"/>
      <x:c r="F63" s="8"/>
      <x:c r="G63" s="9" t="str">
        <x:f>IF(C63="","",IFERROR(IF(INDEX('Borrowers'!$E$9:$E$108,MATCH(D63,'Borrowers'!$C$9:$C$108,0))="","",INDEX('Borrowers'!$E$9:$E$108,MATCH(D63,'Borrowers'!$C$9:$C$108,0))),""))</x:f>
      </x:c>
      <x:c r="H63" s="40"/>
      <x:c r="I63" s="23" t="str">
        <x:f>IF(C63="","",IF(OR(F63="Corporate private",F63="Corporate listed"),IFERROR(IF(INDEX('Borrowers'!$M$9:$M$108,MATCH(D63,'Borrowers'!$C$9:$C$108,0))="","",INDEX('Borrowers'!$M$9:$M$108,MATCH(D63,'Borrowers'!$C$9:$C$108,0))),""),IF(F63="Project finance",IF(ISNUMBER(AO63),AO63,""),"")))</x:f>
      </x:c>
      <x:c r="J63" s="23" t="str">
        <x:f>IF(C63="","",IF(OR(F63="Corporate private",F63="Corporate listed"),IFERROR(IF(INDEX('Borrowers'!$N$9:$N$108,MATCH(D63,'Borrowers'!$C$9:$C$108,0))="","",INDEX('Borrowers'!$N$9:$N$108,MATCH(D63,'Borrowers'!$C$9:$C$108,0))),""),IF(F63="Project finance",IF(ISNUMBER(AP63),AP63,""),"")))</x:f>
      </x:c>
      <x:c r="K63" s="23" t="str">
        <x:f>IF(C63="","",IF(F63="Corporate listed",IFERROR(IF(INDEX('Borrowers'!$O$9:$O$108,MATCH(D63,'Borrowers'!$C$9:$C$108,0))="","",INDEX('Borrowers'!$O$9:$O$108,MATCH(D63,'Borrowers'!$C$9:$C$108,0))),""),""))</x:f>
      </x:c>
      <x:c r="L63" s="16"/>
      <x:c r="M63" s="8"/>
      <x:c r="N63" s="21" t="str">
        <x:f>IF(C63="","",IF(F63="Corporate listed",IF(ISNUMBER(K63),K63,""),IF(OR(F63="Corporate private",F63="Project finance"),IF(AND(ISNUMBER(I63),ISNUMBER(J63)),MAX(I63,0)+J63,""),IF(OR(F63="CRE",F63="Mortgage",F63="Motor"),IF(ISNUMBER(L63),L63,""),""))))</x:f>
      </x:c>
      <x:c r="O63" s="8"/>
      <x:c r="P63" s="40"/>
      <x:c r="Q63" s="8"/>
      <x:c r="R63" s="16"/>
      <x:c r="S63" s="8"/>
      <x:c r="T63" s="23" t="str">
        <x:f>IF(V63="Ready",IF(Q63="Activity",SUMIFS('Activity Data'!$U$9:$U$308,'Activity Data'!$D$9:$D$308,C63,'Activity Data'!$F$9:$F$308,"S1"),R63),"")</x:f>
      </x:c>
      <x:c r="U63" s="44" t="str">
        <x:f>IF(V63&lt;&gt;"Ready","",IF(Q63="Reported verified",1,IF(Q63="Reported unverified",2,IF(F63="Motor",1,2))))</x:f>
      </x:c>
      <x:c r="V63" s="9" t="str">
        <x:f>IF(C63="","",IF(Q63="Not assessed","Not assessed",IF(OR(O63="",NOT(ISNUMBER(H63)),NOT(ISNUMBER(P63))),"Evidence required",IF(OR(P63&lt;'Settings'!$F$8,H63&gt;'Settings'!$F$8,YEAR(H63)&lt;&gt;YEAR('Settings'!$F$8)),"Period / expiry review",IF(S63&lt;&gt;"Yes","Boundary incomplete",IF(OR(Q63="Reported verified",Q63="Reported unverified"),IF(NOT(OR(F63="Corporate private",F63="Corporate listed",F63="Project finance")),"Asset method required",IF(OR(NOT(ISNUMBER(R63)),R63&lt;0),"Reported value required","Ready")),IF(Q63="Activity",IF(AND(COUNTIFS('Activity Data'!$D$9:$D$308,C63,'Activity Data'!$F$9:$F$308,"S1")&gt;0,COUNTIFS('Activity Data'!$D$9:$D$308,C63,'Activity Data'!$F$9:$F$308,"S1")=COUNTIFS('Activity Data'!$D$9:$D$308,C63,'Activity Data'!$F$9:$F$308,"S1",'Activity Data'!$V$9:$V$308,"Ready")),"Ready","Activity incomplete"),"Method required")))))))</x:f>
      </x:c>
      <x:c r="W63" s="8"/>
      <x:c r="X63" s="16"/>
      <x:c r="Y63" s="8"/>
      <x:c r="Z63" s="23" t="str">
        <x:f>IF(AB63="Ready",IF(W63="Activity",SUMIFS('Activity Data'!$U$9:$U$308,'Activity Data'!$D$9:$D$308,C63,'Activity Data'!$F$9:$F$308,"S2"),X63),"")</x:f>
      </x:c>
      <x:c r="AA63" s="44" t="str">
        <x:f>IF(AB63&lt;&gt;"Ready","",IF(W63="Reported verified",1,IF(W63="Reported unverified",2,IF(F63="Motor",1,2))))</x:f>
      </x:c>
      <x:c r="AB63" s="9" t="str">
        <x:f>IF(C63="","",IF(W63="Not assessed","Not assessed",IF(OR(O63="",NOT(ISNUMBER(H63)),NOT(ISNUMBER(P63))),"Evidence required",IF(OR(P63&lt;'Settings'!$F$8,H63&gt;'Settings'!$F$8,YEAR(H63)&lt;&gt;YEAR('Settings'!$F$8)),"Period / expiry review",IF(Y63&lt;&gt;"Yes","Boundary incomplete",IF(OR(AND(AC63&lt;&gt;"Location-based",AC63&lt;&gt;"Market-based"),AND(W63="Activity",AC63&lt;&gt;"Location-based")),"S2 basis mismatch",IF(OR(W63="Reported verified",W63="Reported unverified"),IF(NOT(OR(F63="Corporate private",F63="Corporate listed",F63="Project finance")),"Asset method required",IF(OR(NOT(ISNUMBER(X63)),X63&lt;0),"Reported value required","Ready")),IF(W63="Activity",IF(AND(COUNTIFS('Activity Data'!$D$9:$D$308,C63,'Activity Data'!$F$9:$F$308,"S2")&gt;0,COUNTIFS('Activity Data'!$D$9:$D$308,C63,'Activity Data'!$F$9:$F$308,"S2")=COUNTIFS('Activity Data'!$D$9:$D$308,C63,'Activity Data'!$F$9:$F$308,"S2",'Activity Data'!$V$9:$V$308,"Ready")),"Ready","Activity incomplete"),"Method required"))))))))</x:f>
      </x:c>
      <x:c r="AC63" s="8"/>
      <x:c r="AD63" s="8"/>
      <x:c r="AE63" s="16"/>
      <x:c r="AF63" s="8"/>
      <x:c r="AG63" s="23" t="str">
        <x:f>IF(AI63="Ready",IF(AD63="Activity",SUMIFS('Activity Data'!$U$9:$U$308,'Activity Data'!$D$9:$D$308,C63,'Activity Data'!$F$9:$F$308,"S3"),AE63),"")</x:f>
      </x:c>
      <x:c r="AH63" s="44" t="str">
        <x:f>IF(AI63&lt;&gt;"Ready","",IF(AD63="Reported verified",1,IF(AD63="Reported unverified",2,IF(F63="Motor",1,2))))</x:f>
      </x:c>
      <x:c r="AI63" s="9" t="str">
        <x:f>IF(C63="","",IF(AD63="Not assessed","Not assessed",IF(OR(O63="",NOT(ISNUMBER(H63)),NOT(ISNUMBER(P63))),"Evidence required",IF(OR(P63&lt;'Settings'!$F$8,H63&gt;'Settings'!$F$8,YEAR(H63)&lt;&gt;YEAR('Settings'!$F$8)),"Period / expiry review",IF(AF63&lt;&gt;"Yes","Boundary incomplete",IF(AM63="","S3 screening required",IF(OR(AD63="Reported verified",AD63="Reported unverified"),IF(NOT(OR(F63="Corporate private",F63="Corporate listed",F63="Project finance")),"Asset method required",IF(OR(NOT(ISNUMBER(AE63)),AE63&lt;0),"Reported value required","Ready")),"Scope 3 method required")))))))</x:f>
      </x:c>
      <x:c r="AJ63" s="9" t="str">
        <x:f>IF(C63="","",IF(OR(F63="Corporate private",F63="Corporate listed"),IFERROR(IF(INDEX('Borrowers'!$X$9:$X$108,MATCH(D63,'Borrowers'!$C$9:$C$108,0))="","",INDEX('Borrowers'!$X$9:$X$108,MATCH(D63,'Borrowers'!$C$9:$C$108,0))),""),IF(AQ63="","",AQ63)))</x:f>
      </x:c>
      <x:c r="AK63" s="43" t="str">
        <x:f>IF(C63="","",IF(OR(F63="Corporate private",F63="Corporate listed"),IFERROR(IF(INDEX('Borrowers'!$H$9:$H$108,MATCH(D63,'Borrowers'!$C$9:$C$108,0))="","",INDEX('Borrowers'!$H$9:$H$108,MATCH(D63,'Borrowers'!$C$9:$C$108,0))),""),IF(AR63="","",AR63)))</x:f>
      </x:c>
      <x:c r="AL63" s="9" t="str">
        <x:f>IF(C63="","",IF(COUNTIFS($C$9:$C$108,C63)&lt;&gt;1,"Duplicate entity ID",IF(COUNTIFS('Borrowers'!$C$9:$C$108,D63)&lt;&gt;1,"Borrower required",IF(AND(F63&lt;&gt;"Corporate private",F63&lt;&gt;"Corporate listed",F63&lt;&gt;"Project finance",F63&lt;&gt;"CRE",F63&lt;&gt;"Mortgage",F63&lt;&gt;"Motor"),"Method required",IF(OR(AND(F63="Corporate private",IFERROR(IF(INDEX('Borrowers'!$G$9:$G$108,MATCH(D63,'Borrowers'!$C$9:$C$108,0))="","",INDEX('Borrowers'!$G$9:$G$108,MATCH(D63,'Borrowers'!$C$9:$C$108,0))),"")&lt;&gt;"Private"),AND(F63="Corporate listed",IFERROR(IF(INDEX('Borrowers'!$G$9:$G$108,MATCH(D63,'Borrowers'!$C$9:$C$108,0))="","",INDEX('Borrowers'!$G$9:$G$108,MATCH(D63,'Borrowers'!$C$9:$C$108,0))),"")&lt;&gt;"Listed")),"Listing / class mismatch",IF(OR(NOT(ISNUMBER(N63)),N63&lt;=0,AJ63="",NOT(ISNUMBER(AK63))),"Value evidence required",IF(AND(OR(F63="Corporate private",F63="Corporate listed"),IFERROR(IF(INDEX('Borrowers'!$Y$9:$Y$108,MATCH(D63,'Borrowers'!$C$9:$C$108,0))="","",INDEX('Borrowers'!$Y$9:$Y$108,MATCH(D63,'Borrowers'!$C$9:$C$108,0))),"")&lt;'Settings'!$F$8),"Expired financial evidence",IF(AK63&gt;'Settings'!$F$8,"Future value date",IF(OR(AND(OR(F63="Corporate private",F63="Project finance"),OR(J63&lt;0,M63&lt;&gt;"Current financials")),AND(F63="Corporate listed",M63&lt;&gt;"Current financials"),AND(OR(F63="CRE",F63="Mortgage",F63="Motor"),AND(M63&lt;&gt;"Origination",M63&lt;&gt;"Fixed fallback"))),"Value basis review",IF(AND(M63="Current financials",YEAR(AK63)&lt;&gt;YEAR('Settings'!$F$8)),"Stale financial period","Ready"))))))))))</x:f>
      </x:c>
      <x:c r="AM63" s="8"/>
      <x:c r="AN63" s="8"/>
      <x:c r="AO63" s="16"/>
      <x:c r="AP63" s="16"/>
      <x:c r="AQ63" s="8"/>
      <x:c r="AR63" s="40"/>
    </x:row>
    <x:row r="64" ht="40" customHeight="1">
      <x:c r="A64" s="1"/>
      <x:c r="B64" s="1"/>
      <x:c r="C64" s="8"/>
      <x:c r="D64" s="8"/>
      <x:c r="E64" s="8"/>
      <x:c r="F64" s="8"/>
      <x:c r="G64" s="9" t="str">
        <x:f>IF(C64="","",IFERROR(IF(INDEX('Borrowers'!$E$9:$E$108,MATCH(D64,'Borrowers'!$C$9:$C$108,0))="","",INDEX('Borrowers'!$E$9:$E$108,MATCH(D64,'Borrowers'!$C$9:$C$108,0))),""))</x:f>
      </x:c>
      <x:c r="H64" s="40"/>
      <x:c r="I64" s="23" t="str">
        <x:f>IF(C64="","",IF(OR(F64="Corporate private",F64="Corporate listed"),IFERROR(IF(INDEX('Borrowers'!$M$9:$M$108,MATCH(D64,'Borrowers'!$C$9:$C$108,0))="","",INDEX('Borrowers'!$M$9:$M$108,MATCH(D64,'Borrowers'!$C$9:$C$108,0))),""),IF(F64="Project finance",IF(ISNUMBER(AO64),AO64,""),"")))</x:f>
      </x:c>
      <x:c r="J64" s="23" t="str">
        <x:f>IF(C64="","",IF(OR(F64="Corporate private",F64="Corporate listed"),IFERROR(IF(INDEX('Borrowers'!$N$9:$N$108,MATCH(D64,'Borrowers'!$C$9:$C$108,0))="","",INDEX('Borrowers'!$N$9:$N$108,MATCH(D64,'Borrowers'!$C$9:$C$108,0))),""),IF(F64="Project finance",IF(ISNUMBER(AP64),AP64,""),"")))</x:f>
      </x:c>
      <x:c r="K64" s="23" t="str">
        <x:f>IF(C64="","",IF(F64="Corporate listed",IFERROR(IF(INDEX('Borrowers'!$O$9:$O$108,MATCH(D64,'Borrowers'!$C$9:$C$108,0))="","",INDEX('Borrowers'!$O$9:$O$108,MATCH(D64,'Borrowers'!$C$9:$C$108,0))),""),""))</x:f>
      </x:c>
      <x:c r="L64" s="16"/>
      <x:c r="M64" s="8"/>
      <x:c r="N64" s="21" t="str">
        <x:f>IF(C64="","",IF(F64="Corporate listed",IF(ISNUMBER(K64),K64,""),IF(OR(F64="Corporate private",F64="Project finance"),IF(AND(ISNUMBER(I64),ISNUMBER(J64)),MAX(I64,0)+J64,""),IF(OR(F64="CRE",F64="Mortgage",F64="Motor"),IF(ISNUMBER(L64),L64,""),""))))</x:f>
      </x:c>
      <x:c r="O64" s="8"/>
      <x:c r="P64" s="40"/>
      <x:c r="Q64" s="8"/>
      <x:c r="R64" s="16"/>
      <x:c r="S64" s="8"/>
      <x:c r="T64" s="23" t="str">
        <x:f>IF(V64="Ready",IF(Q64="Activity",SUMIFS('Activity Data'!$U$9:$U$308,'Activity Data'!$D$9:$D$308,C64,'Activity Data'!$F$9:$F$308,"S1"),R64),"")</x:f>
      </x:c>
      <x:c r="U64" s="44" t="str">
        <x:f>IF(V64&lt;&gt;"Ready","",IF(Q64="Reported verified",1,IF(Q64="Reported unverified",2,IF(F64="Motor",1,2))))</x:f>
      </x:c>
      <x:c r="V64" s="9" t="str">
        <x:f>IF(C64="","",IF(Q64="Not assessed","Not assessed",IF(OR(O64="",NOT(ISNUMBER(H64)),NOT(ISNUMBER(P64))),"Evidence required",IF(OR(P64&lt;'Settings'!$F$8,H64&gt;'Settings'!$F$8,YEAR(H64)&lt;&gt;YEAR('Settings'!$F$8)),"Period / expiry review",IF(S64&lt;&gt;"Yes","Boundary incomplete",IF(OR(Q64="Reported verified",Q64="Reported unverified"),IF(NOT(OR(F64="Corporate private",F64="Corporate listed",F64="Project finance")),"Asset method required",IF(OR(NOT(ISNUMBER(R64)),R64&lt;0),"Reported value required","Ready")),IF(Q64="Activity",IF(AND(COUNTIFS('Activity Data'!$D$9:$D$308,C64,'Activity Data'!$F$9:$F$308,"S1")&gt;0,COUNTIFS('Activity Data'!$D$9:$D$308,C64,'Activity Data'!$F$9:$F$308,"S1")=COUNTIFS('Activity Data'!$D$9:$D$308,C64,'Activity Data'!$F$9:$F$308,"S1",'Activity Data'!$V$9:$V$308,"Ready")),"Ready","Activity incomplete"),"Method required")))))))</x:f>
      </x:c>
      <x:c r="W64" s="8"/>
      <x:c r="X64" s="16"/>
      <x:c r="Y64" s="8"/>
      <x:c r="Z64" s="23" t="str">
        <x:f>IF(AB64="Ready",IF(W64="Activity",SUMIFS('Activity Data'!$U$9:$U$308,'Activity Data'!$D$9:$D$308,C64,'Activity Data'!$F$9:$F$308,"S2"),X64),"")</x:f>
      </x:c>
      <x:c r="AA64" s="44" t="str">
        <x:f>IF(AB64&lt;&gt;"Ready","",IF(W64="Reported verified",1,IF(W64="Reported unverified",2,IF(F64="Motor",1,2))))</x:f>
      </x:c>
      <x:c r="AB64" s="9" t="str">
        <x:f>IF(C64="","",IF(W64="Not assessed","Not assessed",IF(OR(O64="",NOT(ISNUMBER(H64)),NOT(ISNUMBER(P64))),"Evidence required",IF(OR(P64&lt;'Settings'!$F$8,H64&gt;'Settings'!$F$8,YEAR(H64)&lt;&gt;YEAR('Settings'!$F$8)),"Period / expiry review",IF(Y64&lt;&gt;"Yes","Boundary incomplete",IF(OR(AND(AC64&lt;&gt;"Location-based",AC64&lt;&gt;"Market-based"),AND(W64="Activity",AC64&lt;&gt;"Location-based")),"S2 basis mismatch",IF(OR(W64="Reported verified",W64="Reported unverified"),IF(NOT(OR(F64="Corporate private",F64="Corporate listed",F64="Project finance")),"Asset method required",IF(OR(NOT(ISNUMBER(X64)),X64&lt;0),"Reported value required","Ready")),IF(W64="Activity",IF(AND(COUNTIFS('Activity Data'!$D$9:$D$308,C64,'Activity Data'!$F$9:$F$308,"S2")&gt;0,COUNTIFS('Activity Data'!$D$9:$D$308,C64,'Activity Data'!$F$9:$F$308,"S2")=COUNTIFS('Activity Data'!$D$9:$D$308,C64,'Activity Data'!$F$9:$F$308,"S2",'Activity Data'!$V$9:$V$308,"Ready")),"Ready","Activity incomplete"),"Method required"))))))))</x:f>
      </x:c>
      <x:c r="AC64" s="8"/>
      <x:c r="AD64" s="8"/>
      <x:c r="AE64" s="16"/>
      <x:c r="AF64" s="8"/>
      <x:c r="AG64" s="23" t="str">
        <x:f>IF(AI64="Ready",IF(AD64="Activity",SUMIFS('Activity Data'!$U$9:$U$308,'Activity Data'!$D$9:$D$308,C64,'Activity Data'!$F$9:$F$308,"S3"),AE64),"")</x:f>
      </x:c>
      <x:c r="AH64" s="44" t="str">
        <x:f>IF(AI64&lt;&gt;"Ready","",IF(AD64="Reported verified",1,IF(AD64="Reported unverified",2,IF(F64="Motor",1,2))))</x:f>
      </x:c>
      <x:c r="AI64" s="9" t="str">
        <x:f>IF(C64="","",IF(AD64="Not assessed","Not assessed",IF(OR(O64="",NOT(ISNUMBER(H64)),NOT(ISNUMBER(P64))),"Evidence required",IF(OR(P64&lt;'Settings'!$F$8,H64&gt;'Settings'!$F$8,YEAR(H64)&lt;&gt;YEAR('Settings'!$F$8)),"Period / expiry review",IF(AF64&lt;&gt;"Yes","Boundary incomplete",IF(AM64="","S3 screening required",IF(OR(AD64="Reported verified",AD64="Reported unverified"),IF(NOT(OR(F64="Corporate private",F64="Corporate listed",F64="Project finance")),"Asset method required",IF(OR(NOT(ISNUMBER(AE64)),AE64&lt;0),"Reported value required","Ready")),"Scope 3 method required")))))))</x:f>
      </x:c>
      <x:c r="AJ64" s="9" t="str">
        <x:f>IF(C64="","",IF(OR(F64="Corporate private",F64="Corporate listed"),IFERROR(IF(INDEX('Borrowers'!$X$9:$X$108,MATCH(D64,'Borrowers'!$C$9:$C$108,0))="","",INDEX('Borrowers'!$X$9:$X$108,MATCH(D64,'Borrowers'!$C$9:$C$108,0))),""),IF(AQ64="","",AQ64)))</x:f>
      </x:c>
      <x:c r="AK64" s="43" t="str">
        <x:f>IF(C64="","",IF(OR(F64="Corporate private",F64="Corporate listed"),IFERROR(IF(INDEX('Borrowers'!$H$9:$H$108,MATCH(D64,'Borrowers'!$C$9:$C$108,0))="","",INDEX('Borrowers'!$H$9:$H$108,MATCH(D64,'Borrowers'!$C$9:$C$108,0))),""),IF(AR64="","",AR64)))</x:f>
      </x:c>
      <x:c r="AL64" s="9" t="str">
        <x:f>IF(C64="","",IF(COUNTIFS($C$9:$C$108,C64)&lt;&gt;1,"Duplicate entity ID",IF(COUNTIFS('Borrowers'!$C$9:$C$108,D64)&lt;&gt;1,"Borrower required",IF(AND(F64&lt;&gt;"Corporate private",F64&lt;&gt;"Corporate listed",F64&lt;&gt;"Project finance",F64&lt;&gt;"CRE",F64&lt;&gt;"Mortgage",F64&lt;&gt;"Motor"),"Method required",IF(OR(AND(F64="Corporate private",IFERROR(IF(INDEX('Borrowers'!$G$9:$G$108,MATCH(D64,'Borrowers'!$C$9:$C$108,0))="","",INDEX('Borrowers'!$G$9:$G$108,MATCH(D64,'Borrowers'!$C$9:$C$108,0))),"")&lt;&gt;"Private"),AND(F64="Corporate listed",IFERROR(IF(INDEX('Borrowers'!$G$9:$G$108,MATCH(D64,'Borrowers'!$C$9:$C$108,0))="","",INDEX('Borrowers'!$G$9:$G$108,MATCH(D64,'Borrowers'!$C$9:$C$108,0))),"")&lt;&gt;"Listed")),"Listing / class mismatch",IF(OR(NOT(ISNUMBER(N64)),N64&lt;=0,AJ64="",NOT(ISNUMBER(AK64))),"Value evidence required",IF(AND(OR(F64="Corporate private",F64="Corporate listed"),IFERROR(IF(INDEX('Borrowers'!$Y$9:$Y$108,MATCH(D64,'Borrowers'!$C$9:$C$108,0))="","",INDEX('Borrowers'!$Y$9:$Y$108,MATCH(D64,'Borrowers'!$C$9:$C$108,0))),"")&lt;'Settings'!$F$8),"Expired financial evidence",IF(AK64&gt;'Settings'!$F$8,"Future value date",IF(OR(AND(OR(F64="Corporate private",F64="Project finance"),OR(J64&lt;0,M64&lt;&gt;"Current financials")),AND(F64="Corporate listed",M64&lt;&gt;"Current financials"),AND(OR(F64="CRE",F64="Mortgage",F64="Motor"),AND(M64&lt;&gt;"Origination",M64&lt;&gt;"Fixed fallback"))),"Value basis review",IF(AND(M64="Current financials",YEAR(AK64)&lt;&gt;YEAR('Settings'!$F$8)),"Stale financial period","Ready"))))))))))</x:f>
      </x:c>
      <x:c r="AM64" s="8"/>
      <x:c r="AN64" s="8"/>
      <x:c r="AO64" s="16"/>
      <x:c r="AP64" s="16"/>
      <x:c r="AQ64" s="8"/>
      <x:c r="AR64" s="40"/>
    </x:row>
    <x:row r="65" ht="40" customHeight="1">
      <x:c r="A65" s="1"/>
      <x:c r="B65" s="1"/>
      <x:c r="C65" s="8"/>
      <x:c r="D65" s="8"/>
      <x:c r="E65" s="8"/>
      <x:c r="F65" s="8"/>
      <x:c r="G65" s="9" t="str">
        <x:f>IF(C65="","",IFERROR(IF(INDEX('Borrowers'!$E$9:$E$108,MATCH(D65,'Borrowers'!$C$9:$C$108,0))="","",INDEX('Borrowers'!$E$9:$E$108,MATCH(D65,'Borrowers'!$C$9:$C$108,0))),""))</x:f>
      </x:c>
      <x:c r="H65" s="40"/>
      <x:c r="I65" s="23" t="str">
        <x:f>IF(C65="","",IF(OR(F65="Corporate private",F65="Corporate listed"),IFERROR(IF(INDEX('Borrowers'!$M$9:$M$108,MATCH(D65,'Borrowers'!$C$9:$C$108,0))="","",INDEX('Borrowers'!$M$9:$M$108,MATCH(D65,'Borrowers'!$C$9:$C$108,0))),""),IF(F65="Project finance",IF(ISNUMBER(AO65),AO65,""),"")))</x:f>
      </x:c>
      <x:c r="J65" s="23" t="str">
        <x:f>IF(C65="","",IF(OR(F65="Corporate private",F65="Corporate listed"),IFERROR(IF(INDEX('Borrowers'!$N$9:$N$108,MATCH(D65,'Borrowers'!$C$9:$C$108,0))="","",INDEX('Borrowers'!$N$9:$N$108,MATCH(D65,'Borrowers'!$C$9:$C$108,0))),""),IF(F65="Project finance",IF(ISNUMBER(AP65),AP65,""),"")))</x:f>
      </x:c>
      <x:c r="K65" s="23" t="str">
        <x:f>IF(C65="","",IF(F65="Corporate listed",IFERROR(IF(INDEX('Borrowers'!$O$9:$O$108,MATCH(D65,'Borrowers'!$C$9:$C$108,0))="","",INDEX('Borrowers'!$O$9:$O$108,MATCH(D65,'Borrowers'!$C$9:$C$108,0))),""),""))</x:f>
      </x:c>
      <x:c r="L65" s="16"/>
      <x:c r="M65" s="8"/>
      <x:c r="N65" s="21" t="str">
        <x:f>IF(C65="","",IF(F65="Corporate listed",IF(ISNUMBER(K65),K65,""),IF(OR(F65="Corporate private",F65="Project finance"),IF(AND(ISNUMBER(I65),ISNUMBER(J65)),MAX(I65,0)+J65,""),IF(OR(F65="CRE",F65="Mortgage",F65="Motor"),IF(ISNUMBER(L65),L65,""),""))))</x:f>
      </x:c>
      <x:c r="O65" s="8"/>
      <x:c r="P65" s="40"/>
      <x:c r="Q65" s="8"/>
      <x:c r="R65" s="16"/>
      <x:c r="S65" s="8"/>
      <x:c r="T65" s="23" t="str">
        <x:f>IF(V65="Ready",IF(Q65="Activity",SUMIFS('Activity Data'!$U$9:$U$308,'Activity Data'!$D$9:$D$308,C65,'Activity Data'!$F$9:$F$308,"S1"),R65),"")</x:f>
      </x:c>
      <x:c r="U65" s="44" t="str">
        <x:f>IF(V65&lt;&gt;"Ready","",IF(Q65="Reported verified",1,IF(Q65="Reported unverified",2,IF(F65="Motor",1,2))))</x:f>
      </x:c>
      <x:c r="V65" s="9" t="str">
        <x:f>IF(C65="","",IF(Q65="Not assessed","Not assessed",IF(OR(O65="",NOT(ISNUMBER(H65)),NOT(ISNUMBER(P65))),"Evidence required",IF(OR(P65&lt;'Settings'!$F$8,H65&gt;'Settings'!$F$8,YEAR(H65)&lt;&gt;YEAR('Settings'!$F$8)),"Period / expiry review",IF(S65&lt;&gt;"Yes","Boundary incomplete",IF(OR(Q65="Reported verified",Q65="Reported unverified"),IF(NOT(OR(F65="Corporate private",F65="Corporate listed",F65="Project finance")),"Asset method required",IF(OR(NOT(ISNUMBER(R65)),R65&lt;0),"Reported value required","Ready")),IF(Q65="Activity",IF(AND(COUNTIFS('Activity Data'!$D$9:$D$308,C65,'Activity Data'!$F$9:$F$308,"S1")&gt;0,COUNTIFS('Activity Data'!$D$9:$D$308,C65,'Activity Data'!$F$9:$F$308,"S1")=COUNTIFS('Activity Data'!$D$9:$D$308,C65,'Activity Data'!$F$9:$F$308,"S1",'Activity Data'!$V$9:$V$308,"Ready")),"Ready","Activity incomplete"),"Method required")))))))</x:f>
      </x:c>
      <x:c r="W65" s="8"/>
      <x:c r="X65" s="16"/>
      <x:c r="Y65" s="8"/>
      <x:c r="Z65" s="23" t="str">
        <x:f>IF(AB65="Ready",IF(W65="Activity",SUMIFS('Activity Data'!$U$9:$U$308,'Activity Data'!$D$9:$D$308,C65,'Activity Data'!$F$9:$F$308,"S2"),X65),"")</x:f>
      </x:c>
      <x:c r="AA65" s="44" t="str">
        <x:f>IF(AB65&lt;&gt;"Ready","",IF(W65="Reported verified",1,IF(W65="Reported unverified",2,IF(F65="Motor",1,2))))</x:f>
      </x:c>
      <x:c r="AB65" s="9" t="str">
        <x:f>IF(C65="","",IF(W65="Not assessed","Not assessed",IF(OR(O65="",NOT(ISNUMBER(H65)),NOT(ISNUMBER(P65))),"Evidence required",IF(OR(P65&lt;'Settings'!$F$8,H65&gt;'Settings'!$F$8,YEAR(H65)&lt;&gt;YEAR('Settings'!$F$8)),"Period / expiry review",IF(Y65&lt;&gt;"Yes","Boundary incomplete",IF(OR(AND(AC65&lt;&gt;"Location-based",AC65&lt;&gt;"Market-based"),AND(W65="Activity",AC65&lt;&gt;"Location-based")),"S2 basis mismatch",IF(OR(W65="Reported verified",W65="Reported unverified"),IF(NOT(OR(F65="Corporate private",F65="Corporate listed",F65="Project finance")),"Asset method required",IF(OR(NOT(ISNUMBER(X65)),X65&lt;0),"Reported value required","Ready")),IF(W65="Activity",IF(AND(COUNTIFS('Activity Data'!$D$9:$D$308,C65,'Activity Data'!$F$9:$F$308,"S2")&gt;0,COUNTIFS('Activity Data'!$D$9:$D$308,C65,'Activity Data'!$F$9:$F$308,"S2")=COUNTIFS('Activity Data'!$D$9:$D$308,C65,'Activity Data'!$F$9:$F$308,"S2",'Activity Data'!$V$9:$V$308,"Ready")),"Ready","Activity incomplete"),"Method required"))))))))</x:f>
      </x:c>
      <x:c r="AC65" s="8"/>
      <x:c r="AD65" s="8"/>
      <x:c r="AE65" s="16"/>
      <x:c r="AF65" s="8"/>
      <x:c r="AG65" s="23" t="str">
        <x:f>IF(AI65="Ready",IF(AD65="Activity",SUMIFS('Activity Data'!$U$9:$U$308,'Activity Data'!$D$9:$D$308,C65,'Activity Data'!$F$9:$F$308,"S3"),AE65),"")</x:f>
      </x:c>
      <x:c r="AH65" s="44" t="str">
        <x:f>IF(AI65&lt;&gt;"Ready","",IF(AD65="Reported verified",1,IF(AD65="Reported unverified",2,IF(F65="Motor",1,2))))</x:f>
      </x:c>
      <x:c r="AI65" s="9" t="str">
        <x:f>IF(C65="","",IF(AD65="Not assessed","Not assessed",IF(OR(O65="",NOT(ISNUMBER(H65)),NOT(ISNUMBER(P65))),"Evidence required",IF(OR(P65&lt;'Settings'!$F$8,H65&gt;'Settings'!$F$8,YEAR(H65)&lt;&gt;YEAR('Settings'!$F$8)),"Period / expiry review",IF(AF65&lt;&gt;"Yes","Boundary incomplete",IF(AM65="","S3 screening required",IF(OR(AD65="Reported verified",AD65="Reported unverified"),IF(NOT(OR(F65="Corporate private",F65="Corporate listed",F65="Project finance")),"Asset method required",IF(OR(NOT(ISNUMBER(AE65)),AE65&lt;0),"Reported value required","Ready")),"Scope 3 method required")))))))</x:f>
      </x:c>
      <x:c r="AJ65" s="9" t="str">
        <x:f>IF(C65="","",IF(OR(F65="Corporate private",F65="Corporate listed"),IFERROR(IF(INDEX('Borrowers'!$X$9:$X$108,MATCH(D65,'Borrowers'!$C$9:$C$108,0))="","",INDEX('Borrowers'!$X$9:$X$108,MATCH(D65,'Borrowers'!$C$9:$C$108,0))),""),IF(AQ65="","",AQ65)))</x:f>
      </x:c>
      <x:c r="AK65" s="43" t="str">
        <x:f>IF(C65="","",IF(OR(F65="Corporate private",F65="Corporate listed"),IFERROR(IF(INDEX('Borrowers'!$H$9:$H$108,MATCH(D65,'Borrowers'!$C$9:$C$108,0))="","",INDEX('Borrowers'!$H$9:$H$108,MATCH(D65,'Borrowers'!$C$9:$C$108,0))),""),IF(AR65="","",AR65)))</x:f>
      </x:c>
      <x:c r="AL65" s="9" t="str">
        <x:f>IF(C65="","",IF(COUNTIFS($C$9:$C$108,C65)&lt;&gt;1,"Duplicate entity ID",IF(COUNTIFS('Borrowers'!$C$9:$C$108,D65)&lt;&gt;1,"Borrower required",IF(AND(F65&lt;&gt;"Corporate private",F65&lt;&gt;"Corporate listed",F65&lt;&gt;"Project finance",F65&lt;&gt;"CRE",F65&lt;&gt;"Mortgage",F65&lt;&gt;"Motor"),"Method required",IF(OR(AND(F65="Corporate private",IFERROR(IF(INDEX('Borrowers'!$G$9:$G$108,MATCH(D65,'Borrowers'!$C$9:$C$108,0))="","",INDEX('Borrowers'!$G$9:$G$108,MATCH(D65,'Borrowers'!$C$9:$C$108,0))),"")&lt;&gt;"Private"),AND(F65="Corporate listed",IFERROR(IF(INDEX('Borrowers'!$G$9:$G$108,MATCH(D65,'Borrowers'!$C$9:$C$108,0))="","",INDEX('Borrowers'!$G$9:$G$108,MATCH(D65,'Borrowers'!$C$9:$C$108,0))),"")&lt;&gt;"Listed")),"Listing / class mismatch",IF(OR(NOT(ISNUMBER(N65)),N65&lt;=0,AJ65="",NOT(ISNUMBER(AK65))),"Value evidence required",IF(AND(OR(F65="Corporate private",F65="Corporate listed"),IFERROR(IF(INDEX('Borrowers'!$Y$9:$Y$108,MATCH(D65,'Borrowers'!$C$9:$C$108,0))="","",INDEX('Borrowers'!$Y$9:$Y$108,MATCH(D65,'Borrowers'!$C$9:$C$108,0))),"")&lt;'Settings'!$F$8),"Expired financial evidence",IF(AK65&gt;'Settings'!$F$8,"Future value date",IF(OR(AND(OR(F65="Corporate private",F65="Project finance"),OR(J65&lt;0,M65&lt;&gt;"Current financials")),AND(F65="Corporate listed",M65&lt;&gt;"Current financials"),AND(OR(F65="CRE",F65="Mortgage",F65="Motor"),AND(M65&lt;&gt;"Origination",M65&lt;&gt;"Fixed fallback"))),"Value basis review",IF(AND(M65="Current financials",YEAR(AK65)&lt;&gt;YEAR('Settings'!$F$8)),"Stale financial period","Ready"))))))))))</x:f>
      </x:c>
      <x:c r="AM65" s="8"/>
      <x:c r="AN65" s="8"/>
      <x:c r="AO65" s="16"/>
      <x:c r="AP65" s="16"/>
      <x:c r="AQ65" s="8"/>
      <x:c r="AR65" s="40"/>
    </x:row>
    <x:row r="66" ht="40" customHeight="1">
      <x:c r="A66" s="1"/>
      <x:c r="B66" s="1"/>
      <x:c r="C66" s="8"/>
      <x:c r="D66" s="8"/>
      <x:c r="E66" s="8"/>
      <x:c r="F66" s="8"/>
      <x:c r="G66" s="9" t="str">
        <x:f>IF(C66="","",IFERROR(IF(INDEX('Borrowers'!$E$9:$E$108,MATCH(D66,'Borrowers'!$C$9:$C$108,0))="","",INDEX('Borrowers'!$E$9:$E$108,MATCH(D66,'Borrowers'!$C$9:$C$108,0))),""))</x:f>
      </x:c>
      <x:c r="H66" s="40"/>
      <x:c r="I66" s="23" t="str">
        <x:f>IF(C66="","",IF(OR(F66="Corporate private",F66="Corporate listed"),IFERROR(IF(INDEX('Borrowers'!$M$9:$M$108,MATCH(D66,'Borrowers'!$C$9:$C$108,0))="","",INDEX('Borrowers'!$M$9:$M$108,MATCH(D66,'Borrowers'!$C$9:$C$108,0))),""),IF(F66="Project finance",IF(ISNUMBER(AO66),AO66,""),"")))</x:f>
      </x:c>
      <x:c r="J66" s="23" t="str">
        <x:f>IF(C66="","",IF(OR(F66="Corporate private",F66="Corporate listed"),IFERROR(IF(INDEX('Borrowers'!$N$9:$N$108,MATCH(D66,'Borrowers'!$C$9:$C$108,0))="","",INDEX('Borrowers'!$N$9:$N$108,MATCH(D66,'Borrowers'!$C$9:$C$108,0))),""),IF(F66="Project finance",IF(ISNUMBER(AP66),AP66,""),"")))</x:f>
      </x:c>
      <x:c r="K66" s="23" t="str">
        <x:f>IF(C66="","",IF(F66="Corporate listed",IFERROR(IF(INDEX('Borrowers'!$O$9:$O$108,MATCH(D66,'Borrowers'!$C$9:$C$108,0))="","",INDEX('Borrowers'!$O$9:$O$108,MATCH(D66,'Borrowers'!$C$9:$C$108,0))),""),""))</x:f>
      </x:c>
      <x:c r="L66" s="16"/>
      <x:c r="M66" s="8"/>
      <x:c r="N66" s="21" t="str">
        <x:f>IF(C66="","",IF(F66="Corporate listed",IF(ISNUMBER(K66),K66,""),IF(OR(F66="Corporate private",F66="Project finance"),IF(AND(ISNUMBER(I66),ISNUMBER(J66)),MAX(I66,0)+J66,""),IF(OR(F66="CRE",F66="Mortgage",F66="Motor"),IF(ISNUMBER(L66),L66,""),""))))</x:f>
      </x:c>
      <x:c r="O66" s="8"/>
      <x:c r="P66" s="40"/>
      <x:c r="Q66" s="8"/>
      <x:c r="R66" s="16"/>
      <x:c r="S66" s="8"/>
      <x:c r="T66" s="23" t="str">
        <x:f>IF(V66="Ready",IF(Q66="Activity",SUMIFS('Activity Data'!$U$9:$U$308,'Activity Data'!$D$9:$D$308,C66,'Activity Data'!$F$9:$F$308,"S1"),R66),"")</x:f>
      </x:c>
      <x:c r="U66" s="44" t="str">
        <x:f>IF(V66&lt;&gt;"Ready","",IF(Q66="Reported verified",1,IF(Q66="Reported unverified",2,IF(F66="Motor",1,2))))</x:f>
      </x:c>
      <x:c r="V66" s="9" t="str">
        <x:f>IF(C66="","",IF(Q66="Not assessed","Not assessed",IF(OR(O66="",NOT(ISNUMBER(H66)),NOT(ISNUMBER(P66))),"Evidence required",IF(OR(P66&lt;'Settings'!$F$8,H66&gt;'Settings'!$F$8,YEAR(H66)&lt;&gt;YEAR('Settings'!$F$8)),"Period / expiry review",IF(S66&lt;&gt;"Yes","Boundary incomplete",IF(OR(Q66="Reported verified",Q66="Reported unverified"),IF(NOT(OR(F66="Corporate private",F66="Corporate listed",F66="Project finance")),"Asset method required",IF(OR(NOT(ISNUMBER(R66)),R66&lt;0),"Reported value required","Ready")),IF(Q66="Activity",IF(AND(COUNTIFS('Activity Data'!$D$9:$D$308,C66,'Activity Data'!$F$9:$F$308,"S1")&gt;0,COUNTIFS('Activity Data'!$D$9:$D$308,C66,'Activity Data'!$F$9:$F$308,"S1")=COUNTIFS('Activity Data'!$D$9:$D$308,C66,'Activity Data'!$F$9:$F$308,"S1",'Activity Data'!$V$9:$V$308,"Ready")),"Ready","Activity incomplete"),"Method required")))))))</x:f>
      </x:c>
      <x:c r="W66" s="8"/>
      <x:c r="X66" s="16"/>
      <x:c r="Y66" s="8"/>
      <x:c r="Z66" s="23" t="str">
        <x:f>IF(AB66="Ready",IF(W66="Activity",SUMIFS('Activity Data'!$U$9:$U$308,'Activity Data'!$D$9:$D$308,C66,'Activity Data'!$F$9:$F$308,"S2"),X66),"")</x:f>
      </x:c>
      <x:c r="AA66" s="44" t="str">
        <x:f>IF(AB66&lt;&gt;"Ready","",IF(W66="Reported verified",1,IF(W66="Reported unverified",2,IF(F66="Motor",1,2))))</x:f>
      </x:c>
      <x:c r="AB66" s="9" t="str">
        <x:f>IF(C66="","",IF(W66="Not assessed","Not assessed",IF(OR(O66="",NOT(ISNUMBER(H66)),NOT(ISNUMBER(P66))),"Evidence required",IF(OR(P66&lt;'Settings'!$F$8,H66&gt;'Settings'!$F$8,YEAR(H66)&lt;&gt;YEAR('Settings'!$F$8)),"Period / expiry review",IF(Y66&lt;&gt;"Yes","Boundary incomplete",IF(OR(AND(AC66&lt;&gt;"Location-based",AC66&lt;&gt;"Market-based"),AND(W66="Activity",AC66&lt;&gt;"Location-based")),"S2 basis mismatch",IF(OR(W66="Reported verified",W66="Reported unverified"),IF(NOT(OR(F66="Corporate private",F66="Corporate listed",F66="Project finance")),"Asset method required",IF(OR(NOT(ISNUMBER(X66)),X66&lt;0),"Reported value required","Ready")),IF(W66="Activity",IF(AND(COUNTIFS('Activity Data'!$D$9:$D$308,C66,'Activity Data'!$F$9:$F$308,"S2")&gt;0,COUNTIFS('Activity Data'!$D$9:$D$308,C66,'Activity Data'!$F$9:$F$308,"S2")=COUNTIFS('Activity Data'!$D$9:$D$308,C66,'Activity Data'!$F$9:$F$308,"S2",'Activity Data'!$V$9:$V$308,"Ready")),"Ready","Activity incomplete"),"Method required"))))))))</x:f>
      </x:c>
      <x:c r="AC66" s="8"/>
      <x:c r="AD66" s="8"/>
      <x:c r="AE66" s="16"/>
      <x:c r="AF66" s="8"/>
      <x:c r="AG66" s="23" t="str">
        <x:f>IF(AI66="Ready",IF(AD66="Activity",SUMIFS('Activity Data'!$U$9:$U$308,'Activity Data'!$D$9:$D$308,C66,'Activity Data'!$F$9:$F$308,"S3"),AE66),"")</x:f>
      </x:c>
      <x:c r="AH66" s="44" t="str">
        <x:f>IF(AI66&lt;&gt;"Ready","",IF(AD66="Reported verified",1,IF(AD66="Reported unverified",2,IF(F66="Motor",1,2))))</x:f>
      </x:c>
      <x:c r="AI66" s="9" t="str">
        <x:f>IF(C66="","",IF(AD66="Not assessed","Not assessed",IF(OR(O66="",NOT(ISNUMBER(H66)),NOT(ISNUMBER(P66))),"Evidence required",IF(OR(P66&lt;'Settings'!$F$8,H66&gt;'Settings'!$F$8,YEAR(H66)&lt;&gt;YEAR('Settings'!$F$8)),"Period / expiry review",IF(AF66&lt;&gt;"Yes","Boundary incomplete",IF(AM66="","S3 screening required",IF(OR(AD66="Reported verified",AD66="Reported unverified"),IF(NOT(OR(F66="Corporate private",F66="Corporate listed",F66="Project finance")),"Asset method required",IF(OR(NOT(ISNUMBER(AE66)),AE66&lt;0),"Reported value required","Ready")),"Scope 3 method required")))))))</x:f>
      </x:c>
      <x:c r="AJ66" s="9" t="str">
        <x:f>IF(C66="","",IF(OR(F66="Corporate private",F66="Corporate listed"),IFERROR(IF(INDEX('Borrowers'!$X$9:$X$108,MATCH(D66,'Borrowers'!$C$9:$C$108,0))="","",INDEX('Borrowers'!$X$9:$X$108,MATCH(D66,'Borrowers'!$C$9:$C$108,0))),""),IF(AQ66="","",AQ66)))</x:f>
      </x:c>
      <x:c r="AK66" s="43" t="str">
        <x:f>IF(C66="","",IF(OR(F66="Corporate private",F66="Corporate listed"),IFERROR(IF(INDEX('Borrowers'!$H$9:$H$108,MATCH(D66,'Borrowers'!$C$9:$C$108,0))="","",INDEX('Borrowers'!$H$9:$H$108,MATCH(D66,'Borrowers'!$C$9:$C$108,0))),""),IF(AR66="","",AR66)))</x:f>
      </x:c>
      <x:c r="AL66" s="9" t="str">
        <x:f>IF(C66="","",IF(COUNTIFS($C$9:$C$108,C66)&lt;&gt;1,"Duplicate entity ID",IF(COUNTIFS('Borrowers'!$C$9:$C$108,D66)&lt;&gt;1,"Borrower required",IF(AND(F66&lt;&gt;"Corporate private",F66&lt;&gt;"Corporate listed",F66&lt;&gt;"Project finance",F66&lt;&gt;"CRE",F66&lt;&gt;"Mortgage",F66&lt;&gt;"Motor"),"Method required",IF(OR(AND(F66="Corporate private",IFERROR(IF(INDEX('Borrowers'!$G$9:$G$108,MATCH(D66,'Borrowers'!$C$9:$C$108,0))="","",INDEX('Borrowers'!$G$9:$G$108,MATCH(D66,'Borrowers'!$C$9:$C$108,0))),"")&lt;&gt;"Private"),AND(F66="Corporate listed",IFERROR(IF(INDEX('Borrowers'!$G$9:$G$108,MATCH(D66,'Borrowers'!$C$9:$C$108,0))="","",INDEX('Borrowers'!$G$9:$G$108,MATCH(D66,'Borrowers'!$C$9:$C$108,0))),"")&lt;&gt;"Listed")),"Listing / class mismatch",IF(OR(NOT(ISNUMBER(N66)),N66&lt;=0,AJ66="",NOT(ISNUMBER(AK66))),"Value evidence required",IF(AND(OR(F66="Corporate private",F66="Corporate listed"),IFERROR(IF(INDEX('Borrowers'!$Y$9:$Y$108,MATCH(D66,'Borrowers'!$C$9:$C$108,0))="","",INDEX('Borrowers'!$Y$9:$Y$108,MATCH(D66,'Borrowers'!$C$9:$C$108,0))),"")&lt;'Settings'!$F$8),"Expired financial evidence",IF(AK66&gt;'Settings'!$F$8,"Future value date",IF(OR(AND(OR(F66="Corporate private",F66="Project finance"),OR(J66&lt;0,M66&lt;&gt;"Current financials")),AND(F66="Corporate listed",M66&lt;&gt;"Current financials"),AND(OR(F66="CRE",F66="Mortgage",F66="Motor"),AND(M66&lt;&gt;"Origination",M66&lt;&gt;"Fixed fallback"))),"Value basis review",IF(AND(M66="Current financials",YEAR(AK66)&lt;&gt;YEAR('Settings'!$F$8)),"Stale financial period","Ready"))))))))))</x:f>
      </x:c>
      <x:c r="AM66" s="8"/>
      <x:c r="AN66" s="8"/>
      <x:c r="AO66" s="16"/>
      <x:c r="AP66" s="16"/>
      <x:c r="AQ66" s="8"/>
      <x:c r="AR66" s="40"/>
    </x:row>
    <x:row r="67" ht="40" customHeight="1">
      <x:c r="A67" s="1"/>
      <x:c r="B67" s="1"/>
      <x:c r="C67" s="8"/>
      <x:c r="D67" s="8"/>
      <x:c r="E67" s="8"/>
      <x:c r="F67" s="8"/>
      <x:c r="G67" s="9" t="str">
        <x:f>IF(C67="","",IFERROR(IF(INDEX('Borrowers'!$E$9:$E$108,MATCH(D67,'Borrowers'!$C$9:$C$108,0))="","",INDEX('Borrowers'!$E$9:$E$108,MATCH(D67,'Borrowers'!$C$9:$C$108,0))),""))</x:f>
      </x:c>
      <x:c r="H67" s="40"/>
      <x:c r="I67" s="23" t="str">
        <x:f>IF(C67="","",IF(OR(F67="Corporate private",F67="Corporate listed"),IFERROR(IF(INDEX('Borrowers'!$M$9:$M$108,MATCH(D67,'Borrowers'!$C$9:$C$108,0))="","",INDEX('Borrowers'!$M$9:$M$108,MATCH(D67,'Borrowers'!$C$9:$C$108,0))),""),IF(F67="Project finance",IF(ISNUMBER(AO67),AO67,""),"")))</x:f>
      </x:c>
      <x:c r="J67" s="23" t="str">
        <x:f>IF(C67="","",IF(OR(F67="Corporate private",F67="Corporate listed"),IFERROR(IF(INDEX('Borrowers'!$N$9:$N$108,MATCH(D67,'Borrowers'!$C$9:$C$108,0))="","",INDEX('Borrowers'!$N$9:$N$108,MATCH(D67,'Borrowers'!$C$9:$C$108,0))),""),IF(F67="Project finance",IF(ISNUMBER(AP67),AP67,""),"")))</x:f>
      </x:c>
      <x:c r="K67" s="23" t="str">
        <x:f>IF(C67="","",IF(F67="Corporate listed",IFERROR(IF(INDEX('Borrowers'!$O$9:$O$108,MATCH(D67,'Borrowers'!$C$9:$C$108,0))="","",INDEX('Borrowers'!$O$9:$O$108,MATCH(D67,'Borrowers'!$C$9:$C$108,0))),""),""))</x:f>
      </x:c>
      <x:c r="L67" s="16"/>
      <x:c r="M67" s="8"/>
      <x:c r="N67" s="21" t="str">
        <x:f>IF(C67="","",IF(F67="Corporate listed",IF(ISNUMBER(K67),K67,""),IF(OR(F67="Corporate private",F67="Project finance"),IF(AND(ISNUMBER(I67),ISNUMBER(J67)),MAX(I67,0)+J67,""),IF(OR(F67="CRE",F67="Mortgage",F67="Motor"),IF(ISNUMBER(L67),L67,""),""))))</x:f>
      </x:c>
      <x:c r="O67" s="8"/>
      <x:c r="P67" s="40"/>
      <x:c r="Q67" s="8"/>
      <x:c r="R67" s="16"/>
      <x:c r="S67" s="8"/>
      <x:c r="T67" s="23" t="str">
        <x:f>IF(V67="Ready",IF(Q67="Activity",SUMIFS('Activity Data'!$U$9:$U$308,'Activity Data'!$D$9:$D$308,C67,'Activity Data'!$F$9:$F$308,"S1"),R67),"")</x:f>
      </x:c>
      <x:c r="U67" s="44" t="str">
        <x:f>IF(V67&lt;&gt;"Ready","",IF(Q67="Reported verified",1,IF(Q67="Reported unverified",2,IF(F67="Motor",1,2))))</x:f>
      </x:c>
      <x:c r="V67" s="9" t="str">
        <x:f>IF(C67="","",IF(Q67="Not assessed","Not assessed",IF(OR(O67="",NOT(ISNUMBER(H67)),NOT(ISNUMBER(P67))),"Evidence required",IF(OR(P67&lt;'Settings'!$F$8,H67&gt;'Settings'!$F$8,YEAR(H67)&lt;&gt;YEAR('Settings'!$F$8)),"Period / expiry review",IF(S67&lt;&gt;"Yes","Boundary incomplete",IF(OR(Q67="Reported verified",Q67="Reported unverified"),IF(NOT(OR(F67="Corporate private",F67="Corporate listed",F67="Project finance")),"Asset method required",IF(OR(NOT(ISNUMBER(R67)),R67&lt;0),"Reported value required","Ready")),IF(Q67="Activity",IF(AND(COUNTIFS('Activity Data'!$D$9:$D$308,C67,'Activity Data'!$F$9:$F$308,"S1")&gt;0,COUNTIFS('Activity Data'!$D$9:$D$308,C67,'Activity Data'!$F$9:$F$308,"S1")=COUNTIFS('Activity Data'!$D$9:$D$308,C67,'Activity Data'!$F$9:$F$308,"S1",'Activity Data'!$V$9:$V$308,"Ready")),"Ready","Activity incomplete"),"Method required")))))))</x:f>
      </x:c>
      <x:c r="W67" s="8"/>
      <x:c r="X67" s="16"/>
      <x:c r="Y67" s="8"/>
      <x:c r="Z67" s="23" t="str">
        <x:f>IF(AB67="Ready",IF(W67="Activity",SUMIFS('Activity Data'!$U$9:$U$308,'Activity Data'!$D$9:$D$308,C67,'Activity Data'!$F$9:$F$308,"S2"),X67),"")</x:f>
      </x:c>
      <x:c r="AA67" s="44" t="str">
        <x:f>IF(AB67&lt;&gt;"Ready","",IF(W67="Reported verified",1,IF(W67="Reported unverified",2,IF(F67="Motor",1,2))))</x:f>
      </x:c>
      <x:c r="AB67" s="9" t="str">
        <x:f>IF(C67="","",IF(W67="Not assessed","Not assessed",IF(OR(O67="",NOT(ISNUMBER(H67)),NOT(ISNUMBER(P67))),"Evidence required",IF(OR(P67&lt;'Settings'!$F$8,H67&gt;'Settings'!$F$8,YEAR(H67)&lt;&gt;YEAR('Settings'!$F$8)),"Period / expiry review",IF(Y67&lt;&gt;"Yes","Boundary incomplete",IF(OR(AND(AC67&lt;&gt;"Location-based",AC67&lt;&gt;"Market-based"),AND(W67="Activity",AC67&lt;&gt;"Location-based")),"S2 basis mismatch",IF(OR(W67="Reported verified",W67="Reported unverified"),IF(NOT(OR(F67="Corporate private",F67="Corporate listed",F67="Project finance")),"Asset method required",IF(OR(NOT(ISNUMBER(X67)),X67&lt;0),"Reported value required","Ready")),IF(W67="Activity",IF(AND(COUNTIFS('Activity Data'!$D$9:$D$308,C67,'Activity Data'!$F$9:$F$308,"S2")&gt;0,COUNTIFS('Activity Data'!$D$9:$D$308,C67,'Activity Data'!$F$9:$F$308,"S2")=COUNTIFS('Activity Data'!$D$9:$D$308,C67,'Activity Data'!$F$9:$F$308,"S2",'Activity Data'!$V$9:$V$308,"Ready")),"Ready","Activity incomplete"),"Method required"))))))))</x:f>
      </x:c>
      <x:c r="AC67" s="8"/>
      <x:c r="AD67" s="8"/>
      <x:c r="AE67" s="16"/>
      <x:c r="AF67" s="8"/>
      <x:c r="AG67" s="23" t="str">
        <x:f>IF(AI67="Ready",IF(AD67="Activity",SUMIFS('Activity Data'!$U$9:$U$308,'Activity Data'!$D$9:$D$308,C67,'Activity Data'!$F$9:$F$308,"S3"),AE67),"")</x:f>
      </x:c>
      <x:c r="AH67" s="44" t="str">
        <x:f>IF(AI67&lt;&gt;"Ready","",IF(AD67="Reported verified",1,IF(AD67="Reported unverified",2,IF(F67="Motor",1,2))))</x:f>
      </x:c>
      <x:c r="AI67" s="9" t="str">
        <x:f>IF(C67="","",IF(AD67="Not assessed","Not assessed",IF(OR(O67="",NOT(ISNUMBER(H67)),NOT(ISNUMBER(P67))),"Evidence required",IF(OR(P67&lt;'Settings'!$F$8,H67&gt;'Settings'!$F$8,YEAR(H67)&lt;&gt;YEAR('Settings'!$F$8)),"Period / expiry review",IF(AF67&lt;&gt;"Yes","Boundary incomplete",IF(AM67="","S3 screening required",IF(OR(AD67="Reported verified",AD67="Reported unverified"),IF(NOT(OR(F67="Corporate private",F67="Corporate listed",F67="Project finance")),"Asset method required",IF(OR(NOT(ISNUMBER(AE67)),AE67&lt;0),"Reported value required","Ready")),"Scope 3 method required")))))))</x:f>
      </x:c>
      <x:c r="AJ67" s="9" t="str">
        <x:f>IF(C67="","",IF(OR(F67="Corporate private",F67="Corporate listed"),IFERROR(IF(INDEX('Borrowers'!$X$9:$X$108,MATCH(D67,'Borrowers'!$C$9:$C$108,0))="","",INDEX('Borrowers'!$X$9:$X$108,MATCH(D67,'Borrowers'!$C$9:$C$108,0))),""),IF(AQ67="","",AQ67)))</x:f>
      </x:c>
      <x:c r="AK67" s="43" t="str">
        <x:f>IF(C67="","",IF(OR(F67="Corporate private",F67="Corporate listed"),IFERROR(IF(INDEX('Borrowers'!$H$9:$H$108,MATCH(D67,'Borrowers'!$C$9:$C$108,0))="","",INDEX('Borrowers'!$H$9:$H$108,MATCH(D67,'Borrowers'!$C$9:$C$108,0))),""),IF(AR67="","",AR67)))</x:f>
      </x:c>
      <x:c r="AL67" s="9" t="str">
        <x:f>IF(C67="","",IF(COUNTIFS($C$9:$C$108,C67)&lt;&gt;1,"Duplicate entity ID",IF(COUNTIFS('Borrowers'!$C$9:$C$108,D67)&lt;&gt;1,"Borrower required",IF(AND(F67&lt;&gt;"Corporate private",F67&lt;&gt;"Corporate listed",F67&lt;&gt;"Project finance",F67&lt;&gt;"CRE",F67&lt;&gt;"Mortgage",F67&lt;&gt;"Motor"),"Method required",IF(OR(AND(F67="Corporate private",IFERROR(IF(INDEX('Borrowers'!$G$9:$G$108,MATCH(D67,'Borrowers'!$C$9:$C$108,0))="","",INDEX('Borrowers'!$G$9:$G$108,MATCH(D67,'Borrowers'!$C$9:$C$108,0))),"")&lt;&gt;"Private"),AND(F67="Corporate listed",IFERROR(IF(INDEX('Borrowers'!$G$9:$G$108,MATCH(D67,'Borrowers'!$C$9:$C$108,0))="","",INDEX('Borrowers'!$G$9:$G$108,MATCH(D67,'Borrowers'!$C$9:$C$108,0))),"")&lt;&gt;"Listed")),"Listing / class mismatch",IF(OR(NOT(ISNUMBER(N67)),N67&lt;=0,AJ67="",NOT(ISNUMBER(AK67))),"Value evidence required",IF(AND(OR(F67="Corporate private",F67="Corporate listed"),IFERROR(IF(INDEX('Borrowers'!$Y$9:$Y$108,MATCH(D67,'Borrowers'!$C$9:$C$108,0))="","",INDEX('Borrowers'!$Y$9:$Y$108,MATCH(D67,'Borrowers'!$C$9:$C$108,0))),"")&lt;'Settings'!$F$8),"Expired financial evidence",IF(AK67&gt;'Settings'!$F$8,"Future value date",IF(OR(AND(OR(F67="Corporate private",F67="Project finance"),OR(J67&lt;0,M67&lt;&gt;"Current financials")),AND(F67="Corporate listed",M67&lt;&gt;"Current financials"),AND(OR(F67="CRE",F67="Mortgage",F67="Motor"),AND(M67&lt;&gt;"Origination",M67&lt;&gt;"Fixed fallback"))),"Value basis review",IF(AND(M67="Current financials",YEAR(AK67)&lt;&gt;YEAR('Settings'!$F$8)),"Stale financial period","Ready"))))))))))</x:f>
      </x:c>
      <x:c r="AM67" s="8"/>
      <x:c r="AN67" s="8"/>
      <x:c r="AO67" s="16"/>
      <x:c r="AP67" s="16"/>
      <x:c r="AQ67" s="8"/>
      <x:c r="AR67" s="40"/>
    </x:row>
    <x:row r="68" ht="40" customHeight="1">
      <x:c r="A68" s="1"/>
      <x:c r="B68" s="1"/>
      <x:c r="C68" s="8"/>
      <x:c r="D68" s="8"/>
      <x:c r="E68" s="8"/>
      <x:c r="F68" s="8"/>
      <x:c r="G68" s="9" t="str">
        <x:f>IF(C68="","",IFERROR(IF(INDEX('Borrowers'!$E$9:$E$108,MATCH(D68,'Borrowers'!$C$9:$C$108,0))="","",INDEX('Borrowers'!$E$9:$E$108,MATCH(D68,'Borrowers'!$C$9:$C$108,0))),""))</x:f>
      </x:c>
      <x:c r="H68" s="40"/>
      <x:c r="I68" s="23" t="str">
        <x:f>IF(C68="","",IF(OR(F68="Corporate private",F68="Corporate listed"),IFERROR(IF(INDEX('Borrowers'!$M$9:$M$108,MATCH(D68,'Borrowers'!$C$9:$C$108,0))="","",INDEX('Borrowers'!$M$9:$M$108,MATCH(D68,'Borrowers'!$C$9:$C$108,0))),""),IF(F68="Project finance",IF(ISNUMBER(AO68),AO68,""),"")))</x:f>
      </x:c>
      <x:c r="J68" s="23" t="str">
        <x:f>IF(C68="","",IF(OR(F68="Corporate private",F68="Corporate listed"),IFERROR(IF(INDEX('Borrowers'!$N$9:$N$108,MATCH(D68,'Borrowers'!$C$9:$C$108,0))="","",INDEX('Borrowers'!$N$9:$N$108,MATCH(D68,'Borrowers'!$C$9:$C$108,0))),""),IF(F68="Project finance",IF(ISNUMBER(AP68),AP68,""),"")))</x:f>
      </x:c>
      <x:c r="K68" s="23" t="str">
        <x:f>IF(C68="","",IF(F68="Corporate listed",IFERROR(IF(INDEX('Borrowers'!$O$9:$O$108,MATCH(D68,'Borrowers'!$C$9:$C$108,0))="","",INDEX('Borrowers'!$O$9:$O$108,MATCH(D68,'Borrowers'!$C$9:$C$108,0))),""),""))</x:f>
      </x:c>
      <x:c r="L68" s="16"/>
      <x:c r="M68" s="8"/>
      <x:c r="N68" s="21" t="str">
        <x:f>IF(C68="","",IF(F68="Corporate listed",IF(ISNUMBER(K68),K68,""),IF(OR(F68="Corporate private",F68="Project finance"),IF(AND(ISNUMBER(I68),ISNUMBER(J68)),MAX(I68,0)+J68,""),IF(OR(F68="CRE",F68="Mortgage",F68="Motor"),IF(ISNUMBER(L68),L68,""),""))))</x:f>
      </x:c>
      <x:c r="O68" s="8"/>
      <x:c r="P68" s="40"/>
      <x:c r="Q68" s="8"/>
      <x:c r="R68" s="16"/>
      <x:c r="S68" s="8"/>
      <x:c r="T68" s="23" t="str">
        <x:f>IF(V68="Ready",IF(Q68="Activity",SUMIFS('Activity Data'!$U$9:$U$308,'Activity Data'!$D$9:$D$308,C68,'Activity Data'!$F$9:$F$308,"S1"),R68),"")</x:f>
      </x:c>
      <x:c r="U68" s="44" t="str">
        <x:f>IF(V68&lt;&gt;"Ready","",IF(Q68="Reported verified",1,IF(Q68="Reported unverified",2,IF(F68="Motor",1,2))))</x:f>
      </x:c>
      <x:c r="V68" s="9" t="str">
        <x:f>IF(C68="","",IF(Q68="Not assessed","Not assessed",IF(OR(O68="",NOT(ISNUMBER(H68)),NOT(ISNUMBER(P68))),"Evidence required",IF(OR(P68&lt;'Settings'!$F$8,H68&gt;'Settings'!$F$8,YEAR(H68)&lt;&gt;YEAR('Settings'!$F$8)),"Period / expiry review",IF(S68&lt;&gt;"Yes","Boundary incomplete",IF(OR(Q68="Reported verified",Q68="Reported unverified"),IF(NOT(OR(F68="Corporate private",F68="Corporate listed",F68="Project finance")),"Asset method required",IF(OR(NOT(ISNUMBER(R68)),R68&lt;0),"Reported value required","Ready")),IF(Q68="Activity",IF(AND(COUNTIFS('Activity Data'!$D$9:$D$308,C68,'Activity Data'!$F$9:$F$308,"S1")&gt;0,COUNTIFS('Activity Data'!$D$9:$D$308,C68,'Activity Data'!$F$9:$F$308,"S1")=COUNTIFS('Activity Data'!$D$9:$D$308,C68,'Activity Data'!$F$9:$F$308,"S1",'Activity Data'!$V$9:$V$308,"Ready")),"Ready","Activity incomplete"),"Method required")))))))</x:f>
      </x:c>
      <x:c r="W68" s="8"/>
      <x:c r="X68" s="16"/>
      <x:c r="Y68" s="8"/>
      <x:c r="Z68" s="23" t="str">
        <x:f>IF(AB68="Ready",IF(W68="Activity",SUMIFS('Activity Data'!$U$9:$U$308,'Activity Data'!$D$9:$D$308,C68,'Activity Data'!$F$9:$F$308,"S2"),X68),"")</x:f>
      </x:c>
      <x:c r="AA68" s="44" t="str">
        <x:f>IF(AB68&lt;&gt;"Ready","",IF(W68="Reported verified",1,IF(W68="Reported unverified",2,IF(F68="Motor",1,2))))</x:f>
      </x:c>
      <x:c r="AB68" s="9" t="str">
        <x:f>IF(C68="","",IF(W68="Not assessed","Not assessed",IF(OR(O68="",NOT(ISNUMBER(H68)),NOT(ISNUMBER(P68))),"Evidence required",IF(OR(P68&lt;'Settings'!$F$8,H68&gt;'Settings'!$F$8,YEAR(H68)&lt;&gt;YEAR('Settings'!$F$8)),"Period / expiry review",IF(Y68&lt;&gt;"Yes","Boundary incomplete",IF(OR(AND(AC68&lt;&gt;"Location-based",AC68&lt;&gt;"Market-based"),AND(W68="Activity",AC68&lt;&gt;"Location-based")),"S2 basis mismatch",IF(OR(W68="Reported verified",W68="Reported unverified"),IF(NOT(OR(F68="Corporate private",F68="Corporate listed",F68="Project finance")),"Asset method required",IF(OR(NOT(ISNUMBER(X68)),X68&lt;0),"Reported value required","Ready")),IF(W68="Activity",IF(AND(COUNTIFS('Activity Data'!$D$9:$D$308,C68,'Activity Data'!$F$9:$F$308,"S2")&gt;0,COUNTIFS('Activity Data'!$D$9:$D$308,C68,'Activity Data'!$F$9:$F$308,"S2")=COUNTIFS('Activity Data'!$D$9:$D$308,C68,'Activity Data'!$F$9:$F$308,"S2",'Activity Data'!$V$9:$V$308,"Ready")),"Ready","Activity incomplete"),"Method required"))))))))</x:f>
      </x:c>
      <x:c r="AC68" s="8"/>
      <x:c r="AD68" s="8"/>
      <x:c r="AE68" s="16"/>
      <x:c r="AF68" s="8"/>
      <x:c r="AG68" s="23" t="str">
        <x:f>IF(AI68="Ready",IF(AD68="Activity",SUMIFS('Activity Data'!$U$9:$U$308,'Activity Data'!$D$9:$D$308,C68,'Activity Data'!$F$9:$F$308,"S3"),AE68),"")</x:f>
      </x:c>
      <x:c r="AH68" s="44" t="str">
        <x:f>IF(AI68&lt;&gt;"Ready","",IF(AD68="Reported verified",1,IF(AD68="Reported unverified",2,IF(F68="Motor",1,2))))</x:f>
      </x:c>
      <x:c r="AI68" s="9" t="str">
        <x:f>IF(C68="","",IF(AD68="Not assessed","Not assessed",IF(OR(O68="",NOT(ISNUMBER(H68)),NOT(ISNUMBER(P68))),"Evidence required",IF(OR(P68&lt;'Settings'!$F$8,H68&gt;'Settings'!$F$8,YEAR(H68)&lt;&gt;YEAR('Settings'!$F$8)),"Period / expiry review",IF(AF68&lt;&gt;"Yes","Boundary incomplete",IF(AM68="","S3 screening required",IF(OR(AD68="Reported verified",AD68="Reported unverified"),IF(NOT(OR(F68="Corporate private",F68="Corporate listed",F68="Project finance")),"Asset method required",IF(OR(NOT(ISNUMBER(AE68)),AE68&lt;0),"Reported value required","Ready")),"Scope 3 method required")))))))</x:f>
      </x:c>
      <x:c r="AJ68" s="9" t="str">
        <x:f>IF(C68="","",IF(OR(F68="Corporate private",F68="Corporate listed"),IFERROR(IF(INDEX('Borrowers'!$X$9:$X$108,MATCH(D68,'Borrowers'!$C$9:$C$108,0))="","",INDEX('Borrowers'!$X$9:$X$108,MATCH(D68,'Borrowers'!$C$9:$C$108,0))),""),IF(AQ68="","",AQ68)))</x:f>
      </x:c>
      <x:c r="AK68" s="43" t="str">
        <x:f>IF(C68="","",IF(OR(F68="Corporate private",F68="Corporate listed"),IFERROR(IF(INDEX('Borrowers'!$H$9:$H$108,MATCH(D68,'Borrowers'!$C$9:$C$108,0))="","",INDEX('Borrowers'!$H$9:$H$108,MATCH(D68,'Borrowers'!$C$9:$C$108,0))),""),IF(AR68="","",AR68)))</x:f>
      </x:c>
      <x:c r="AL68" s="9" t="str">
        <x:f>IF(C68="","",IF(COUNTIFS($C$9:$C$108,C68)&lt;&gt;1,"Duplicate entity ID",IF(COUNTIFS('Borrowers'!$C$9:$C$108,D68)&lt;&gt;1,"Borrower required",IF(AND(F68&lt;&gt;"Corporate private",F68&lt;&gt;"Corporate listed",F68&lt;&gt;"Project finance",F68&lt;&gt;"CRE",F68&lt;&gt;"Mortgage",F68&lt;&gt;"Motor"),"Method required",IF(OR(AND(F68="Corporate private",IFERROR(IF(INDEX('Borrowers'!$G$9:$G$108,MATCH(D68,'Borrowers'!$C$9:$C$108,0))="","",INDEX('Borrowers'!$G$9:$G$108,MATCH(D68,'Borrowers'!$C$9:$C$108,0))),"")&lt;&gt;"Private"),AND(F68="Corporate listed",IFERROR(IF(INDEX('Borrowers'!$G$9:$G$108,MATCH(D68,'Borrowers'!$C$9:$C$108,0))="","",INDEX('Borrowers'!$G$9:$G$108,MATCH(D68,'Borrowers'!$C$9:$C$108,0))),"")&lt;&gt;"Listed")),"Listing / class mismatch",IF(OR(NOT(ISNUMBER(N68)),N68&lt;=0,AJ68="",NOT(ISNUMBER(AK68))),"Value evidence required",IF(AND(OR(F68="Corporate private",F68="Corporate listed"),IFERROR(IF(INDEX('Borrowers'!$Y$9:$Y$108,MATCH(D68,'Borrowers'!$C$9:$C$108,0))="","",INDEX('Borrowers'!$Y$9:$Y$108,MATCH(D68,'Borrowers'!$C$9:$C$108,0))),"")&lt;'Settings'!$F$8),"Expired financial evidence",IF(AK68&gt;'Settings'!$F$8,"Future value date",IF(OR(AND(OR(F68="Corporate private",F68="Project finance"),OR(J68&lt;0,M68&lt;&gt;"Current financials")),AND(F68="Corporate listed",M68&lt;&gt;"Current financials"),AND(OR(F68="CRE",F68="Mortgage",F68="Motor"),AND(M68&lt;&gt;"Origination",M68&lt;&gt;"Fixed fallback"))),"Value basis review",IF(AND(M68="Current financials",YEAR(AK68)&lt;&gt;YEAR('Settings'!$F$8)),"Stale financial period","Ready"))))))))))</x:f>
      </x:c>
      <x:c r="AM68" s="8"/>
      <x:c r="AN68" s="8"/>
      <x:c r="AO68" s="16"/>
      <x:c r="AP68" s="16"/>
      <x:c r="AQ68" s="8"/>
      <x:c r="AR68" s="40"/>
    </x:row>
    <x:row r="69" ht="40" customHeight="1">
      <x:c r="A69" s="1"/>
      <x:c r="B69" s="1"/>
      <x:c r="C69" s="8"/>
      <x:c r="D69" s="8"/>
      <x:c r="E69" s="8"/>
      <x:c r="F69" s="8"/>
      <x:c r="G69" s="9" t="str">
        <x:f>IF(C69="","",IFERROR(IF(INDEX('Borrowers'!$E$9:$E$108,MATCH(D69,'Borrowers'!$C$9:$C$108,0))="","",INDEX('Borrowers'!$E$9:$E$108,MATCH(D69,'Borrowers'!$C$9:$C$108,0))),""))</x:f>
      </x:c>
      <x:c r="H69" s="40"/>
      <x:c r="I69" s="23" t="str">
        <x:f>IF(C69="","",IF(OR(F69="Corporate private",F69="Corporate listed"),IFERROR(IF(INDEX('Borrowers'!$M$9:$M$108,MATCH(D69,'Borrowers'!$C$9:$C$108,0))="","",INDEX('Borrowers'!$M$9:$M$108,MATCH(D69,'Borrowers'!$C$9:$C$108,0))),""),IF(F69="Project finance",IF(ISNUMBER(AO69),AO69,""),"")))</x:f>
      </x:c>
      <x:c r="J69" s="23" t="str">
        <x:f>IF(C69="","",IF(OR(F69="Corporate private",F69="Corporate listed"),IFERROR(IF(INDEX('Borrowers'!$N$9:$N$108,MATCH(D69,'Borrowers'!$C$9:$C$108,0))="","",INDEX('Borrowers'!$N$9:$N$108,MATCH(D69,'Borrowers'!$C$9:$C$108,0))),""),IF(F69="Project finance",IF(ISNUMBER(AP69),AP69,""),"")))</x:f>
      </x:c>
      <x:c r="K69" s="23" t="str">
        <x:f>IF(C69="","",IF(F69="Corporate listed",IFERROR(IF(INDEX('Borrowers'!$O$9:$O$108,MATCH(D69,'Borrowers'!$C$9:$C$108,0))="","",INDEX('Borrowers'!$O$9:$O$108,MATCH(D69,'Borrowers'!$C$9:$C$108,0))),""),""))</x:f>
      </x:c>
      <x:c r="L69" s="16"/>
      <x:c r="M69" s="8"/>
      <x:c r="N69" s="21" t="str">
        <x:f>IF(C69="","",IF(F69="Corporate listed",IF(ISNUMBER(K69),K69,""),IF(OR(F69="Corporate private",F69="Project finance"),IF(AND(ISNUMBER(I69),ISNUMBER(J69)),MAX(I69,0)+J69,""),IF(OR(F69="CRE",F69="Mortgage",F69="Motor"),IF(ISNUMBER(L69),L69,""),""))))</x:f>
      </x:c>
      <x:c r="O69" s="8"/>
      <x:c r="P69" s="40"/>
      <x:c r="Q69" s="8"/>
      <x:c r="R69" s="16"/>
      <x:c r="S69" s="8"/>
      <x:c r="T69" s="23" t="str">
        <x:f>IF(V69="Ready",IF(Q69="Activity",SUMIFS('Activity Data'!$U$9:$U$308,'Activity Data'!$D$9:$D$308,C69,'Activity Data'!$F$9:$F$308,"S1"),R69),"")</x:f>
      </x:c>
      <x:c r="U69" s="44" t="str">
        <x:f>IF(V69&lt;&gt;"Ready","",IF(Q69="Reported verified",1,IF(Q69="Reported unverified",2,IF(F69="Motor",1,2))))</x:f>
      </x:c>
      <x:c r="V69" s="9" t="str">
        <x:f>IF(C69="","",IF(Q69="Not assessed","Not assessed",IF(OR(O69="",NOT(ISNUMBER(H69)),NOT(ISNUMBER(P69))),"Evidence required",IF(OR(P69&lt;'Settings'!$F$8,H69&gt;'Settings'!$F$8,YEAR(H69)&lt;&gt;YEAR('Settings'!$F$8)),"Period / expiry review",IF(S69&lt;&gt;"Yes","Boundary incomplete",IF(OR(Q69="Reported verified",Q69="Reported unverified"),IF(NOT(OR(F69="Corporate private",F69="Corporate listed",F69="Project finance")),"Asset method required",IF(OR(NOT(ISNUMBER(R69)),R69&lt;0),"Reported value required","Ready")),IF(Q69="Activity",IF(AND(COUNTIFS('Activity Data'!$D$9:$D$308,C69,'Activity Data'!$F$9:$F$308,"S1")&gt;0,COUNTIFS('Activity Data'!$D$9:$D$308,C69,'Activity Data'!$F$9:$F$308,"S1")=COUNTIFS('Activity Data'!$D$9:$D$308,C69,'Activity Data'!$F$9:$F$308,"S1",'Activity Data'!$V$9:$V$308,"Ready")),"Ready","Activity incomplete"),"Method required")))))))</x:f>
      </x:c>
      <x:c r="W69" s="8"/>
      <x:c r="X69" s="16"/>
      <x:c r="Y69" s="8"/>
      <x:c r="Z69" s="23" t="str">
        <x:f>IF(AB69="Ready",IF(W69="Activity",SUMIFS('Activity Data'!$U$9:$U$308,'Activity Data'!$D$9:$D$308,C69,'Activity Data'!$F$9:$F$308,"S2"),X69),"")</x:f>
      </x:c>
      <x:c r="AA69" s="44" t="str">
        <x:f>IF(AB69&lt;&gt;"Ready","",IF(W69="Reported verified",1,IF(W69="Reported unverified",2,IF(F69="Motor",1,2))))</x:f>
      </x:c>
      <x:c r="AB69" s="9" t="str">
        <x:f>IF(C69="","",IF(W69="Not assessed","Not assessed",IF(OR(O69="",NOT(ISNUMBER(H69)),NOT(ISNUMBER(P69))),"Evidence required",IF(OR(P69&lt;'Settings'!$F$8,H69&gt;'Settings'!$F$8,YEAR(H69)&lt;&gt;YEAR('Settings'!$F$8)),"Period / expiry review",IF(Y69&lt;&gt;"Yes","Boundary incomplete",IF(OR(AND(AC69&lt;&gt;"Location-based",AC69&lt;&gt;"Market-based"),AND(W69="Activity",AC69&lt;&gt;"Location-based")),"S2 basis mismatch",IF(OR(W69="Reported verified",W69="Reported unverified"),IF(NOT(OR(F69="Corporate private",F69="Corporate listed",F69="Project finance")),"Asset method required",IF(OR(NOT(ISNUMBER(X69)),X69&lt;0),"Reported value required","Ready")),IF(W69="Activity",IF(AND(COUNTIFS('Activity Data'!$D$9:$D$308,C69,'Activity Data'!$F$9:$F$308,"S2")&gt;0,COUNTIFS('Activity Data'!$D$9:$D$308,C69,'Activity Data'!$F$9:$F$308,"S2")=COUNTIFS('Activity Data'!$D$9:$D$308,C69,'Activity Data'!$F$9:$F$308,"S2",'Activity Data'!$V$9:$V$308,"Ready")),"Ready","Activity incomplete"),"Method required"))))))))</x:f>
      </x:c>
      <x:c r="AC69" s="8"/>
      <x:c r="AD69" s="8"/>
      <x:c r="AE69" s="16"/>
      <x:c r="AF69" s="8"/>
      <x:c r="AG69" s="23" t="str">
        <x:f>IF(AI69="Ready",IF(AD69="Activity",SUMIFS('Activity Data'!$U$9:$U$308,'Activity Data'!$D$9:$D$308,C69,'Activity Data'!$F$9:$F$308,"S3"),AE69),"")</x:f>
      </x:c>
      <x:c r="AH69" s="44" t="str">
        <x:f>IF(AI69&lt;&gt;"Ready","",IF(AD69="Reported verified",1,IF(AD69="Reported unverified",2,IF(F69="Motor",1,2))))</x:f>
      </x:c>
      <x:c r="AI69" s="9" t="str">
        <x:f>IF(C69="","",IF(AD69="Not assessed","Not assessed",IF(OR(O69="",NOT(ISNUMBER(H69)),NOT(ISNUMBER(P69))),"Evidence required",IF(OR(P69&lt;'Settings'!$F$8,H69&gt;'Settings'!$F$8,YEAR(H69)&lt;&gt;YEAR('Settings'!$F$8)),"Period / expiry review",IF(AF69&lt;&gt;"Yes","Boundary incomplete",IF(AM69="","S3 screening required",IF(OR(AD69="Reported verified",AD69="Reported unverified"),IF(NOT(OR(F69="Corporate private",F69="Corporate listed",F69="Project finance")),"Asset method required",IF(OR(NOT(ISNUMBER(AE69)),AE69&lt;0),"Reported value required","Ready")),"Scope 3 method required")))))))</x:f>
      </x:c>
      <x:c r="AJ69" s="9" t="str">
        <x:f>IF(C69="","",IF(OR(F69="Corporate private",F69="Corporate listed"),IFERROR(IF(INDEX('Borrowers'!$X$9:$X$108,MATCH(D69,'Borrowers'!$C$9:$C$108,0))="","",INDEX('Borrowers'!$X$9:$X$108,MATCH(D69,'Borrowers'!$C$9:$C$108,0))),""),IF(AQ69="","",AQ69)))</x:f>
      </x:c>
      <x:c r="AK69" s="43" t="str">
        <x:f>IF(C69="","",IF(OR(F69="Corporate private",F69="Corporate listed"),IFERROR(IF(INDEX('Borrowers'!$H$9:$H$108,MATCH(D69,'Borrowers'!$C$9:$C$108,0))="","",INDEX('Borrowers'!$H$9:$H$108,MATCH(D69,'Borrowers'!$C$9:$C$108,0))),""),IF(AR69="","",AR69)))</x:f>
      </x:c>
      <x:c r="AL69" s="9" t="str">
        <x:f>IF(C69="","",IF(COUNTIFS($C$9:$C$108,C69)&lt;&gt;1,"Duplicate entity ID",IF(COUNTIFS('Borrowers'!$C$9:$C$108,D69)&lt;&gt;1,"Borrower required",IF(AND(F69&lt;&gt;"Corporate private",F69&lt;&gt;"Corporate listed",F69&lt;&gt;"Project finance",F69&lt;&gt;"CRE",F69&lt;&gt;"Mortgage",F69&lt;&gt;"Motor"),"Method required",IF(OR(AND(F69="Corporate private",IFERROR(IF(INDEX('Borrowers'!$G$9:$G$108,MATCH(D69,'Borrowers'!$C$9:$C$108,0))="","",INDEX('Borrowers'!$G$9:$G$108,MATCH(D69,'Borrowers'!$C$9:$C$108,0))),"")&lt;&gt;"Private"),AND(F69="Corporate listed",IFERROR(IF(INDEX('Borrowers'!$G$9:$G$108,MATCH(D69,'Borrowers'!$C$9:$C$108,0))="","",INDEX('Borrowers'!$G$9:$G$108,MATCH(D69,'Borrowers'!$C$9:$C$108,0))),"")&lt;&gt;"Listed")),"Listing / class mismatch",IF(OR(NOT(ISNUMBER(N69)),N69&lt;=0,AJ69="",NOT(ISNUMBER(AK69))),"Value evidence required",IF(AND(OR(F69="Corporate private",F69="Corporate listed"),IFERROR(IF(INDEX('Borrowers'!$Y$9:$Y$108,MATCH(D69,'Borrowers'!$C$9:$C$108,0))="","",INDEX('Borrowers'!$Y$9:$Y$108,MATCH(D69,'Borrowers'!$C$9:$C$108,0))),"")&lt;'Settings'!$F$8),"Expired financial evidence",IF(AK69&gt;'Settings'!$F$8,"Future value date",IF(OR(AND(OR(F69="Corporate private",F69="Project finance"),OR(J69&lt;0,M69&lt;&gt;"Current financials")),AND(F69="Corporate listed",M69&lt;&gt;"Current financials"),AND(OR(F69="CRE",F69="Mortgage",F69="Motor"),AND(M69&lt;&gt;"Origination",M69&lt;&gt;"Fixed fallback"))),"Value basis review",IF(AND(M69="Current financials",YEAR(AK69)&lt;&gt;YEAR('Settings'!$F$8)),"Stale financial period","Ready"))))))))))</x:f>
      </x:c>
      <x:c r="AM69" s="8"/>
      <x:c r="AN69" s="8"/>
      <x:c r="AO69" s="16"/>
      <x:c r="AP69" s="16"/>
      <x:c r="AQ69" s="8"/>
      <x:c r="AR69" s="40"/>
    </x:row>
    <x:row r="70" ht="40" customHeight="1">
      <x:c r="A70" s="1"/>
      <x:c r="B70" s="1"/>
      <x:c r="C70" s="8"/>
      <x:c r="D70" s="8"/>
      <x:c r="E70" s="8"/>
      <x:c r="F70" s="8"/>
      <x:c r="G70" s="9" t="str">
        <x:f>IF(C70="","",IFERROR(IF(INDEX('Borrowers'!$E$9:$E$108,MATCH(D70,'Borrowers'!$C$9:$C$108,0))="","",INDEX('Borrowers'!$E$9:$E$108,MATCH(D70,'Borrowers'!$C$9:$C$108,0))),""))</x:f>
      </x:c>
      <x:c r="H70" s="40"/>
      <x:c r="I70" s="23" t="str">
        <x:f>IF(C70="","",IF(OR(F70="Corporate private",F70="Corporate listed"),IFERROR(IF(INDEX('Borrowers'!$M$9:$M$108,MATCH(D70,'Borrowers'!$C$9:$C$108,0))="","",INDEX('Borrowers'!$M$9:$M$108,MATCH(D70,'Borrowers'!$C$9:$C$108,0))),""),IF(F70="Project finance",IF(ISNUMBER(AO70),AO70,""),"")))</x:f>
      </x:c>
      <x:c r="J70" s="23" t="str">
        <x:f>IF(C70="","",IF(OR(F70="Corporate private",F70="Corporate listed"),IFERROR(IF(INDEX('Borrowers'!$N$9:$N$108,MATCH(D70,'Borrowers'!$C$9:$C$108,0))="","",INDEX('Borrowers'!$N$9:$N$108,MATCH(D70,'Borrowers'!$C$9:$C$108,0))),""),IF(F70="Project finance",IF(ISNUMBER(AP70),AP70,""),"")))</x:f>
      </x:c>
      <x:c r="K70" s="23" t="str">
        <x:f>IF(C70="","",IF(F70="Corporate listed",IFERROR(IF(INDEX('Borrowers'!$O$9:$O$108,MATCH(D70,'Borrowers'!$C$9:$C$108,0))="","",INDEX('Borrowers'!$O$9:$O$108,MATCH(D70,'Borrowers'!$C$9:$C$108,0))),""),""))</x:f>
      </x:c>
      <x:c r="L70" s="16"/>
      <x:c r="M70" s="8"/>
      <x:c r="N70" s="21" t="str">
        <x:f>IF(C70="","",IF(F70="Corporate listed",IF(ISNUMBER(K70),K70,""),IF(OR(F70="Corporate private",F70="Project finance"),IF(AND(ISNUMBER(I70),ISNUMBER(J70)),MAX(I70,0)+J70,""),IF(OR(F70="CRE",F70="Mortgage",F70="Motor"),IF(ISNUMBER(L70),L70,""),""))))</x:f>
      </x:c>
      <x:c r="O70" s="8"/>
      <x:c r="P70" s="40"/>
      <x:c r="Q70" s="8"/>
      <x:c r="R70" s="16"/>
      <x:c r="S70" s="8"/>
      <x:c r="T70" s="23" t="str">
        <x:f>IF(V70="Ready",IF(Q70="Activity",SUMIFS('Activity Data'!$U$9:$U$308,'Activity Data'!$D$9:$D$308,C70,'Activity Data'!$F$9:$F$308,"S1"),R70),"")</x:f>
      </x:c>
      <x:c r="U70" s="44" t="str">
        <x:f>IF(V70&lt;&gt;"Ready","",IF(Q70="Reported verified",1,IF(Q70="Reported unverified",2,IF(F70="Motor",1,2))))</x:f>
      </x:c>
      <x:c r="V70" s="9" t="str">
        <x:f>IF(C70="","",IF(Q70="Not assessed","Not assessed",IF(OR(O70="",NOT(ISNUMBER(H70)),NOT(ISNUMBER(P70))),"Evidence required",IF(OR(P70&lt;'Settings'!$F$8,H70&gt;'Settings'!$F$8,YEAR(H70)&lt;&gt;YEAR('Settings'!$F$8)),"Period / expiry review",IF(S70&lt;&gt;"Yes","Boundary incomplete",IF(OR(Q70="Reported verified",Q70="Reported unverified"),IF(NOT(OR(F70="Corporate private",F70="Corporate listed",F70="Project finance")),"Asset method required",IF(OR(NOT(ISNUMBER(R70)),R70&lt;0),"Reported value required","Ready")),IF(Q70="Activity",IF(AND(COUNTIFS('Activity Data'!$D$9:$D$308,C70,'Activity Data'!$F$9:$F$308,"S1")&gt;0,COUNTIFS('Activity Data'!$D$9:$D$308,C70,'Activity Data'!$F$9:$F$308,"S1")=COUNTIFS('Activity Data'!$D$9:$D$308,C70,'Activity Data'!$F$9:$F$308,"S1",'Activity Data'!$V$9:$V$308,"Ready")),"Ready","Activity incomplete"),"Method required")))))))</x:f>
      </x:c>
      <x:c r="W70" s="8"/>
      <x:c r="X70" s="16"/>
      <x:c r="Y70" s="8"/>
      <x:c r="Z70" s="23" t="str">
        <x:f>IF(AB70="Ready",IF(W70="Activity",SUMIFS('Activity Data'!$U$9:$U$308,'Activity Data'!$D$9:$D$308,C70,'Activity Data'!$F$9:$F$308,"S2"),X70),"")</x:f>
      </x:c>
      <x:c r="AA70" s="44" t="str">
        <x:f>IF(AB70&lt;&gt;"Ready","",IF(W70="Reported verified",1,IF(W70="Reported unverified",2,IF(F70="Motor",1,2))))</x:f>
      </x:c>
      <x:c r="AB70" s="9" t="str">
        <x:f>IF(C70="","",IF(W70="Not assessed","Not assessed",IF(OR(O70="",NOT(ISNUMBER(H70)),NOT(ISNUMBER(P70))),"Evidence required",IF(OR(P70&lt;'Settings'!$F$8,H70&gt;'Settings'!$F$8,YEAR(H70)&lt;&gt;YEAR('Settings'!$F$8)),"Period / expiry review",IF(Y70&lt;&gt;"Yes","Boundary incomplete",IF(OR(AND(AC70&lt;&gt;"Location-based",AC70&lt;&gt;"Market-based"),AND(W70="Activity",AC70&lt;&gt;"Location-based")),"S2 basis mismatch",IF(OR(W70="Reported verified",W70="Reported unverified"),IF(NOT(OR(F70="Corporate private",F70="Corporate listed",F70="Project finance")),"Asset method required",IF(OR(NOT(ISNUMBER(X70)),X70&lt;0),"Reported value required","Ready")),IF(W70="Activity",IF(AND(COUNTIFS('Activity Data'!$D$9:$D$308,C70,'Activity Data'!$F$9:$F$308,"S2")&gt;0,COUNTIFS('Activity Data'!$D$9:$D$308,C70,'Activity Data'!$F$9:$F$308,"S2")=COUNTIFS('Activity Data'!$D$9:$D$308,C70,'Activity Data'!$F$9:$F$308,"S2",'Activity Data'!$V$9:$V$308,"Ready")),"Ready","Activity incomplete"),"Method required"))))))))</x:f>
      </x:c>
      <x:c r="AC70" s="8"/>
      <x:c r="AD70" s="8"/>
      <x:c r="AE70" s="16"/>
      <x:c r="AF70" s="8"/>
      <x:c r="AG70" s="23" t="str">
        <x:f>IF(AI70="Ready",IF(AD70="Activity",SUMIFS('Activity Data'!$U$9:$U$308,'Activity Data'!$D$9:$D$308,C70,'Activity Data'!$F$9:$F$308,"S3"),AE70),"")</x:f>
      </x:c>
      <x:c r="AH70" s="44" t="str">
        <x:f>IF(AI70&lt;&gt;"Ready","",IF(AD70="Reported verified",1,IF(AD70="Reported unverified",2,IF(F70="Motor",1,2))))</x:f>
      </x:c>
      <x:c r="AI70" s="9" t="str">
        <x:f>IF(C70="","",IF(AD70="Not assessed","Not assessed",IF(OR(O70="",NOT(ISNUMBER(H70)),NOT(ISNUMBER(P70))),"Evidence required",IF(OR(P70&lt;'Settings'!$F$8,H70&gt;'Settings'!$F$8,YEAR(H70)&lt;&gt;YEAR('Settings'!$F$8)),"Period / expiry review",IF(AF70&lt;&gt;"Yes","Boundary incomplete",IF(AM70="","S3 screening required",IF(OR(AD70="Reported verified",AD70="Reported unverified"),IF(NOT(OR(F70="Corporate private",F70="Corporate listed",F70="Project finance")),"Asset method required",IF(OR(NOT(ISNUMBER(AE70)),AE70&lt;0),"Reported value required","Ready")),"Scope 3 method required")))))))</x:f>
      </x:c>
      <x:c r="AJ70" s="9" t="str">
        <x:f>IF(C70="","",IF(OR(F70="Corporate private",F70="Corporate listed"),IFERROR(IF(INDEX('Borrowers'!$X$9:$X$108,MATCH(D70,'Borrowers'!$C$9:$C$108,0))="","",INDEX('Borrowers'!$X$9:$X$108,MATCH(D70,'Borrowers'!$C$9:$C$108,0))),""),IF(AQ70="","",AQ70)))</x:f>
      </x:c>
      <x:c r="AK70" s="43" t="str">
        <x:f>IF(C70="","",IF(OR(F70="Corporate private",F70="Corporate listed"),IFERROR(IF(INDEX('Borrowers'!$H$9:$H$108,MATCH(D70,'Borrowers'!$C$9:$C$108,0))="","",INDEX('Borrowers'!$H$9:$H$108,MATCH(D70,'Borrowers'!$C$9:$C$108,0))),""),IF(AR70="","",AR70)))</x:f>
      </x:c>
      <x:c r="AL70" s="9" t="str">
        <x:f>IF(C70="","",IF(COUNTIFS($C$9:$C$108,C70)&lt;&gt;1,"Duplicate entity ID",IF(COUNTIFS('Borrowers'!$C$9:$C$108,D70)&lt;&gt;1,"Borrower required",IF(AND(F70&lt;&gt;"Corporate private",F70&lt;&gt;"Corporate listed",F70&lt;&gt;"Project finance",F70&lt;&gt;"CRE",F70&lt;&gt;"Mortgage",F70&lt;&gt;"Motor"),"Method required",IF(OR(AND(F70="Corporate private",IFERROR(IF(INDEX('Borrowers'!$G$9:$G$108,MATCH(D70,'Borrowers'!$C$9:$C$108,0))="","",INDEX('Borrowers'!$G$9:$G$108,MATCH(D70,'Borrowers'!$C$9:$C$108,0))),"")&lt;&gt;"Private"),AND(F70="Corporate listed",IFERROR(IF(INDEX('Borrowers'!$G$9:$G$108,MATCH(D70,'Borrowers'!$C$9:$C$108,0))="","",INDEX('Borrowers'!$G$9:$G$108,MATCH(D70,'Borrowers'!$C$9:$C$108,0))),"")&lt;&gt;"Listed")),"Listing / class mismatch",IF(OR(NOT(ISNUMBER(N70)),N70&lt;=0,AJ70="",NOT(ISNUMBER(AK70))),"Value evidence required",IF(AND(OR(F70="Corporate private",F70="Corporate listed"),IFERROR(IF(INDEX('Borrowers'!$Y$9:$Y$108,MATCH(D70,'Borrowers'!$C$9:$C$108,0))="","",INDEX('Borrowers'!$Y$9:$Y$108,MATCH(D70,'Borrowers'!$C$9:$C$108,0))),"")&lt;'Settings'!$F$8),"Expired financial evidence",IF(AK70&gt;'Settings'!$F$8,"Future value date",IF(OR(AND(OR(F70="Corporate private",F70="Project finance"),OR(J70&lt;0,M70&lt;&gt;"Current financials")),AND(F70="Corporate listed",M70&lt;&gt;"Current financials"),AND(OR(F70="CRE",F70="Mortgage",F70="Motor"),AND(M70&lt;&gt;"Origination",M70&lt;&gt;"Fixed fallback"))),"Value basis review",IF(AND(M70="Current financials",YEAR(AK70)&lt;&gt;YEAR('Settings'!$F$8)),"Stale financial period","Ready"))))))))))</x:f>
      </x:c>
      <x:c r="AM70" s="8"/>
      <x:c r="AN70" s="8"/>
      <x:c r="AO70" s="16"/>
      <x:c r="AP70" s="16"/>
      <x:c r="AQ70" s="8"/>
      <x:c r="AR70" s="40"/>
    </x:row>
    <x:row r="71" ht="40" customHeight="1">
      <x:c r="A71" s="1"/>
      <x:c r="B71" s="1"/>
      <x:c r="C71" s="8"/>
      <x:c r="D71" s="8"/>
      <x:c r="E71" s="8"/>
      <x:c r="F71" s="8"/>
      <x:c r="G71" s="9" t="str">
        <x:f>IF(C71="","",IFERROR(IF(INDEX('Borrowers'!$E$9:$E$108,MATCH(D71,'Borrowers'!$C$9:$C$108,0))="","",INDEX('Borrowers'!$E$9:$E$108,MATCH(D71,'Borrowers'!$C$9:$C$108,0))),""))</x:f>
      </x:c>
      <x:c r="H71" s="40"/>
      <x:c r="I71" s="23" t="str">
        <x:f>IF(C71="","",IF(OR(F71="Corporate private",F71="Corporate listed"),IFERROR(IF(INDEX('Borrowers'!$M$9:$M$108,MATCH(D71,'Borrowers'!$C$9:$C$108,0))="","",INDEX('Borrowers'!$M$9:$M$108,MATCH(D71,'Borrowers'!$C$9:$C$108,0))),""),IF(F71="Project finance",IF(ISNUMBER(AO71),AO71,""),"")))</x:f>
      </x:c>
      <x:c r="J71" s="23" t="str">
        <x:f>IF(C71="","",IF(OR(F71="Corporate private",F71="Corporate listed"),IFERROR(IF(INDEX('Borrowers'!$N$9:$N$108,MATCH(D71,'Borrowers'!$C$9:$C$108,0))="","",INDEX('Borrowers'!$N$9:$N$108,MATCH(D71,'Borrowers'!$C$9:$C$108,0))),""),IF(F71="Project finance",IF(ISNUMBER(AP71),AP71,""),"")))</x:f>
      </x:c>
      <x:c r="K71" s="23" t="str">
        <x:f>IF(C71="","",IF(F71="Corporate listed",IFERROR(IF(INDEX('Borrowers'!$O$9:$O$108,MATCH(D71,'Borrowers'!$C$9:$C$108,0))="","",INDEX('Borrowers'!$O$9:$O$108,MATCH(D71,'Borrowers'!$C$9:$C$108,0))),""),""))</x:f>
      </x:c>
      <x:c r="L71" s="16"/>
      <x:c r="M71" s="8"/>
      <x:c r="N71" s="21" t="str">
        <x:f>IF(C71="","",IF(F71="Corporate listed",IF(ISNUMBER(K71),K71,""),IF(OR(F71="Corporate private",F71="Project finance"),IF(AND(ISNUMBER(I71),ISNUMBER(J71)),MAX(I71,0)+J71,""),IF(OR(F71="CRE",F71="Mortgage",F71="Motor"),IF(ISNUMBER(L71),L71,""),""))))</x:f>
      </x:c>
      <x:c r="O71" s="8"/>
      <x:c r="P71" s="40"/>
      <x:c r="Q71" s="8"/>
      <x:c r="R71" s="16"/>
      <x:c r="S71" s="8"/>
      <x:c r="T71" s="23" t="str">
        <x:f>IF(V71="Ready",IF(Q71="Activity",SUMIFS('Activity Data'!$U$9:$U$308,'Activity Data'!$D$9:$D$308,C71,'Activity Data'!$F$9:$F$308,"S1"),R71),"")</x:f>
      </x:c>
      <x:c r="U71" s="44" t="str">
        <x:f>IF(V71&lt;&gt;"Ready","",IF(Q71="Reported verified",1,IF(Q71="Reported unverified",2,IF(F71="Motor",1,2))))</x:f>
      </x:c>
      <x:c r="V71" s="9" t="str">
        <x:f>IF(C71="","",IF(Q71="Not assessed","Not assessed",IF(OR(O71="",NOT(ISNUMBER(H71)),NOT(ISNUMBER(P71))),"Evidence required",IF(OR(P71&lt;'Settings'!$F$8,H71&gt;'Settings'!$F$8,YEAR(H71)&lt;&gt;YEAR('Settings'!$F$8)),"Period / expiry review",IF(S71&lt;&gt;"Yes","Boundary incomplete",IF(OR(Q71="Reported verified",Q71="Reported unverified"),IF(NOT(OR(F71="Corporate private",F71="Corporate listed",F71="Project finance")),"Asset method required",IF(OR(NOT(ISNUMBER(R71)),R71&lt;0),"Reported value required","Ready")),IF(Q71="Activity",IF(AND(COUNTIFS('Activity Data'!$D$9:$D$308,C71,'Activity Data'!$F$9:$F$308,"S1")&gt;0,COUNTIFS('Activity Data'!$D$9:$D$308,C71,'Activity Data'!$F$9:$F$308,"S1")=COUNTIFS('Activity Data'!$D$9:$D$308,C71,'Activity Data'!$F$9:$F$308,"S1",'Activity Data'!$V$9:$V$308,"Ready")),"Ready","Activity incomplete"),"Method required")))))))</x:f>
      </x:c>
      <x:c r="W71" s="8"/>
      <x:c r="X71" s="16"/>
      <x:c r="Y71" s="8"/>
      <x:c r="Z71" s="23" t="str">
        <x:f>IF(AB71="Ready",IF(W71="Activity",SUMIFS('Activity Data'!$U$9:$U$308,'Activity Data'!$D$9:$D$308,C71,'Activity Data'!$F$9:$F$308,"S2"),X71),"")</x:f>
      </x:c>
      <x:c r="AA71" s="44" t="str">
        <x:f>IF(AB71&lt;&gt;"Ready","",IF(W71="Reported verified",1,IF(W71="Reported unverified",2,IF(F71="Motor",1,2))))</x:f>
      </x:c>
      <x:c r="AB71" s="9" t="str">
        <x:f>IF(C71="","",IF(W71="Not assessed","Not assessed",IF(OR(O71="",NOT(ISNUMBER(H71)),NOT(ISNUMBER(P71))),"Evidence required",IF(OR(P71&lt;'Settings'!$F$8,H71&gt;'Settings'!$F$8,YEAR(H71)&lt;&gt;YEAR('Settings'!$F$8)),"Period / expiry review",IF(Y71&lt;&gt;"Yes","Boundary incomplete",IF(OR(AND(AC71&lt;&gt;"Location-based",AC71&lt;&gt;"Market-based"),AND(W71="Activity",AC71&lt;&gt;"Location-based")),"S2 basis mismatch",IF(OR(W71="Reported verified",W71="Reported unverified"),IF(NOT(OR(F71="Corporate private",F71="Corporate listed",F71="Project finance")),"Asset method required",IF(OR(NOT(ISNUMBER(X71)),X71&lt;0),"Reported value required","Ready")),IF(W71="Activity",IF(AND(COUNTIFS('Activity Data'!$D$9:$D$308,C71,'Activity Data'!$F$9:$F$308,"S2")&gt;0,COUNTIFS('Activity Data'!$D$9:$D$308,C71,'Activity Data'!$F$9:$F$308,"S2")=COUNTIFS('Activity Data'!$D$9:$D$308,C71,'Activity Data'!$F$9:$F$308,"S2",'Activity Data'!$V$9:$V$308,"Ready")),"Ready","Activity incomplete"),"Method required"))))))))</x:f>
      </x:c>
      <x:c r="AC71" s="8"/>
      <x:c r="AD71" s="8"/>
      <x:c r="AE71" s="16"/>
      <x:c r="AF71" s="8"/>
      <x:c r="AG71" s="23" t="str">
        <x:f>IF(AI71="Ready",IF(AD71="Activity",SUMIFS('Activity Data'!$U$9:$U$308,'Activity Data'!$D$9:$D$308,C71,'Activity Data'!$F$9:$F$308,"S3"),AE71),"")</x:f>
      </x:c>
      <x:c r="AH71" s="44" t="str">
        <x:f>IF(AI71&lt;&gt;"Ready","",IF(AD71="Reported verified",1,IF(AD71="Reported unverified",2,IF(F71="Motor",1,2))))</x:f>
      </x:c>
      <x:c r="AI71" s="9" t="str">
        <x:f>IF(C71="","",IF(AD71="Not assessed","Not assessed",IF(OR(O71="",NOT(ISNUMBER(H71)),NOT(ISNUMBER(P71))),"Evidence required",IF(OR(P71&lt;'Settings'!$F$8,H71&gt;'Settings'!$F$8,YEAR(H71)&lt;&gt;YEAR('Settings'!$F$8)),"Period / expiry review",IF(AF71&lt;&gt;"Yes","Boundary incomplete",IF(AM71="","S3 screening required",IF(OR(AD71="Reported verified",AD71="Reported unverified"),IF(NOT(OR(F71="Corporate private",F71="Corporate listed",F71="Project finance")),"Asset method required",IF(OR(NOT(ISNUMBER(AE71)),AE71&lt;0),"Reported value required","Ready")),"Scope 3 method required")))))))</x:f>
      </x:c>
      <x:c r="AJ71" s="9" t="str">
        <x:f>IF(C71="","",IF(OR(F71="Corporate private",F71="Corporate listed"),IFERROR(IF(INDEX('Borrowers'!$X$9:$X$108,MATCH(D71,'Borrowers'!$C$9:$C$108,0))="","",INDEX('Borrowers'!$X$9:$X$108,MATCH(D71,'Borrowers'!$C$9:$C$108,0))),""),IF(AQ71="","",AQ71)))</x:f>
      </x:c>
      <x:c r="AK71" s="43" t="str">
        <x:f>IF(C71="","",IF(OR(F71="Corporate private",F71="Corporate listed"),IFERROR(IF(INDEX('Borrowers'!$H$9:$H$108,MATCH(D71,'Borrowers'!$C$9:$C$108,0))="","",INDEX('Borrowers'!$H$9:$H$108,MATCH(D71,'Borrowers'!$C$9:$C$108,0))),""),IF(AR71="","",AR71)))</x:f>
      </x:c>
      <x:c r="AL71" s="9" t="str">
        <x:f>IF(C71="","",IF(COUNTIFS($C$9:$C$108,C71)&lt;&gt;1,"Duplicate entity ID",IF(COUNTIFS('Borrowers'!$C$9:$C$108,D71)&lt;&gt;1,"Borrower required",IF(AND(F71&lt;&gt;"Corporate private",F71&lt;&gt;"Corporate listed",F71&lt;&gt;"Project finance",F71&lt;&gt;"CRE",F71&lt;&gt;"Mortgage",F71&lt;&gt;"Motor"),"Method required",IF(OR(AND(F71="Corporate private",IFERROR(IF(INDEX('Borrowers'!$G$9:$G$108,MATCH(D71,'Borrowers'!$C$9:$C$108,0))="","",INDEX('Borrowers'!$G$9:$G$108,MATCH(D71,'Borrowers'!$C$9:$C$108,0))),"")&lt;&gt;"Private"),AND(F71="Corporate listed",IFERROR(IF(INDEX('Borrowers'!$G$9:$G$108,MATCH(D71,'Borrowers'!$C$9:$C$108,0))="","",INDEX('Borrowers'!$G$9:$G$108,MATCH(D71,'Borrowers'!$C$9:$C$108,0))),"")&lt;&gt;"Listed")),"Listing / class mismatch",IF(OR(NOT(ISNUMBER(N71)),N71&lt;=0,AJ71="",NOT(ISNUMBER(AK71))),"Value evidence required",IF(AND(OR(F71="Corporate private",F71="Corporate listed"),IFERROR(IF(INDEX('Borrowers'!$Y$9:$Y$108,MATCH(D71,'Borrowers'!$C$9:$C$108,0))="","",INDEX('Borrowers'!$Y$9:$Y$108,MATCH(D71,'Borrowers'!$C$9:$C$108,0))),"")&lt;'Settings'!$F$8),"Expired financial evidence",IF(AK71&gt;'Settings'!$F$8,"Future value date",IF(OR(AND(OR(F71="Corporate private",F71="Project finance"),OR(J71&lt;0,M71&lt;&gt;"Current financials")),AND(F71="Corporate listed",M71&lt;&gt;"Current financials"),AND(OR(F71="CRE",F71="Mortgage",F71="Motor"),AND(M71&lt;&gt;"Origination",M71&lt;&gt;"Fixed fallback"))),"Value basis review",IF(AND(M71="Current financials",YEAR(AK71)&lt;&gt;YEAR('Settings'!$F$8)),"Stale financial period","Ready"))))))))))</x:f>
      </x:c>
      <x:c r="AM71" s="8"/>
      <x:c r="AN71" s="8"/>
      <x:c r="AO71" s="16"/>
      <x:c r="AP71" s="16"/>
      <x:c r="AQ71" s="8"/>
      <x:c r="AR71" s="40"/>
    </x:row>
    <x:row r="72" ht="40" customHeight="1">
      <x:c r="A72" s="1"/>
      <x:c r="B72" s="1"/>
      <x:c r="C72" s="8"/>
      <x:c r="D72" s="8"/>
      <x:c r="E72" s="8"/>
      <x:c r="F72" s="8"/>
      <x:c r="G72" s="9" t="str">
        <x:f>IF(C72="","",IFERROR(IF(INDEX('Borrowers'!$E$9:$E$108,MATCH(D72,'Borrowers'!$C$9:$C$108,0))="","",INDEX('Borrowers'!$E$9:$E$108,MATCH(D72,'Borrowers'!$C$9:$C$108,0))),""))</x:f>
      </x:c>
      <x:c r="H72" s="40"/>
      <x:c r="I72" s="23" t="str">
        <x:f>IF(C72="","",IF(OR(F72="Corporate private",F72="Corporate listed"),IFERROR(IF(INDEX('Borrowers'!$M$9:$M$108,MATCH(D72,'Borrowers'!$C$9:$C$108,0))="","",INDEX('Borrowers'!$M$9:$M$108,MATCH(D72,'Borrowers'!$C$9:$C$108,0))),""),IF(F72="Project finance",IF(ISNUMBER(AO72),AO72,""),"")))</x:f>
      </x:c>
      <x:c r="J72" s="23" t="str">
        <x:f>IF(C72="","",IF(OR(F72="Corporate private",F72="Corporate listed"),IFERROR(IF(INDEX('Borrowers'!$N$9:$N$108,MATCH(D72,'Borrowers'!$C$9:$C$108,0))="","",INDEX('Borrowers'!$N$9:$N$108,MATCH(D72,'Borrowers'!$C$9:$C$108,0))),""),IF(F72="Project finance",IF(ISNUMBER(AP72),AP72,""),"")))</x:f>
      </x:c>
      <x:c r="K72" s="23" t="str">
        <x:f>IF(C72="","",IF(F72="Corporate listed",IFERROR(IF(INDEX('Borrowers'!$O$9:$O$108,MATCH(D72,'Borrowers'!$C$9:$C$108,0))="","",INDEX('Borrowers'!$O$9:$O$108,MATCH(D72,'Borrowers'!$C$9:$C$108,0))),""),""))</x:f>
      </x:c>
      <x:c r="L72" s="16"/>
      <x:c r="M72" s="8"/>
      <x:c r="N72" s="21" t="str">
        <x:f>IF(C72="","",IF(F72="Corporate listed",IF(ISNUMBER(K72),K72,""),IF(OR(F72="Corporate private",F72="Project finance"),IF(AND(ISNUMBER(I72),ISNUMBER(J72)),MAX(I72,0)+J72,""),IF(OR(F72="CRE",F72="Mortgage",F72="Motor"),IF(ISNUMBER(L72),L72,""),""))))</x:f>
      </x:c>
      <x:c r="O72" s="8"/>
      <x:c r="P72" s="40"/>
      <x:c r="Q72" s="8"/>
      <x:c r="R72" s="16"/>
      <x:c r="S72" s="8"/>
      <x:c r="T72" s="23" t="str">
        <x:f>IF(V72="Ready",IF(Q72="Activity",SUMIFS('Activity Data'!$U$9:$U$308,'Activity Data'!$D$9:$D$308,C72,'Activity Data'!$F$9:$F$308,"S1"),R72),"")</x:f>
      </x:c>
      <x:c r="U72" s="44" t="str">
        <x:f>IF(V72&lt;&gt;"Ready","",IF(Q72="Reported verified",1,IF(Q72="Reported unverified",2,IF(F72="Motor",1,2))))</x:f>
      </x:c>
      <x:c r="V72" s="9" t="str">
        <x:f>IF(C72="","",IF(Q72="Not assessed","Not assessed",IF(OR(O72="",NOT(ISNUMBER(H72)),NOT(ISNUMBER(P72))),"Evidence required",IF(OR(P72&lt;'Settings'!$F$8,H72&gt;'Settings'!$F$8,YEAR(H72)&lt;&gt;YEAR('Settings'!$F$8)),"Period / expiry review",IF(S72&lt;&gt;"Yes","Boundary incomplete",IF(OR(Q72="Reported verified",Q72="Reported unverified"),IF(NOT(OR(F72="Corporate private",F72="Corporate listed",F72="Project finance")),"Asset method required",IF(OR(NOT(ISNUMBER(R72)),R72&lt;0),"Reported value required","Ready")),IF(Q72="Activity",IF(AND(COUNTIFS('Activity Data'!$D$9:$D$308,C72,'Activity Data'!$F$9:$F$308,"S1")&gt;0,COUNTIFS('Activity Data'!$D$9:$D$308,C72,'Activity Data'!$F$9:$F$308,"S1")=COUNTIFS('Activity Data'!$D$9:$D$308,C72,'Activity Data'!$F$9:$F$308,"S1",'Activity Data'!$V$9:$V$308,"Ready")),"Ready","Activity incomplete"),"Method required")))))))</x:f>
      </x:c>
      <x:c r="W72" s="8"/>
      <x:c r="X72" s="16"/>
      <x:c r="Y72" s="8"/>
      <x:c r="Z72" s="23" t="str">
        <x:f>IF(AB72="Ready",IF(W72="Activity",SUMIFS('Activity Data'!$U$9:$U$308,'Activity Data'!$D$9:$D$308,C72,'Activity Data'!$F$9:$F$308,"S2"),X72),"")</x:f>
      </x:c>
      <x:c r="AA72" s="44" t="str">
        <x:f>IF(AB72&lt;&gt;"Ready","",IF(W72="Reported verified",1,IF(W72="Reported unverified",2,IF(F72="Motor",1,2))))</x:f>
      </x:c>
      <x:c r="AB72" s="9" t="str">
        <x:f>IF(C72="","",IF(W72="Not assessed","Not assessed",IF(OR(O72="",NOT(ISNUMBER(H72)),NOT(ISNUMBER(P72))),"Evidence required",IF(OR(P72&lt;'Settings'!$F$8,H72&gt;'Settings'!$F$8,YEAR(H72)&lt;&gt;YEAR('Settings'!$F$8)),"Period / expiry review",IF(Y72&lt;&gt;"Yes","Boundary incomplete",IF(OR(AND(AC72&lt;&gt;"Location-based",AC72&lt;&gt;"Market-based"),AND(W72="Activity",AC72&lt;&gt;"Location-based")),"S2 basis mismatch",IF(OR(W72="Reported verified",W72="Reported unverified"),IF(NOT(OR(F72="Corporate private",F72="Corporate listed",F72="Project finance")),"Asset method required",IF(OR(NOT(ISNUMBER(X72)),X72&lt;0),"Reported value required","Ready")),IF(W72="Activity",IF(AND(COUNTIFS('Activity Data'!$D$9:$D$308,C72,'Activity Data'!$F$9:$F$308,"S2")&gt;0,COUNTIFS('Activity Data'!$D$9:$D$308,C72,'Activity Data'!$F$9:$F$308,"S2")=COUNTIFS('Activity Data'!$D$9:$D$308,C72,'Activity Data'!$F$9:$F$308,"S2",'Activity Data'!$V$9:$V$308,"Ready")),"Ready","Activity incomplete"),"Method required"))))))))</x:f>
      </x:c>
      <x:c r="AC72" s="8"/>
      <x:c r="AD72" s="8"/>
      <x:c r="AE72" s="16"/>
      <x:c r="AF72" s="8"/>
      <x:c r="AG72" s="23" t="str">
        <x:f>IF(AI72="Ready",IF(AD72="Activity",SUMIFS('Activity Data'!$U$9:$U$308,'Activity Data'!$D$9:$D$308,C72,'Activity Data'!$F$9:$F$308,"S3"),AE72),"")</x:f>
      </x:c>
      <x:c r="AH72" s="44" t="str">
        <x:f>IF(AI72&lt;&gt;"Ready","",IF(AD72="Reported verified",1,IF(AD72="Reported unverified",2,IF(F72="Motor",1,2))))</x:f>
      </x:c>
      <x:c r="AI72" s="9" t="str">
        <x:f>IF(C72="","",IF(AD72="Not assessed","Not assessed",IF(OR(O72="",NOT(ISNUMBER(H72)),NOT(ISNUMBER(P72))),"Evidence required",IF(OR(P72&lt;'Settings'!$F$8,H72&gt;'Settings'!$F$8,YEAR(H72)&lt;&gt;YEAR('Settings'!$F$8)),"Period / expiry review",IF(AF72&lt;&gt;"Yes","Boundary incomplete",IF(AM72="","S3 screening required",IF(OR(AD72="Reported verified",AD72="Reported unverified"),IF(NOT(OR(F72="Corporate private",F72="Corporate listed",F72="Project finance")),"Asset method required",IF(OR(NOT(ISNUMBER(AE72)),AE72&lt;0),"Reported value required","Ready")),"Scope 3 method required")))))))</x:f>
      </x:c>
      <x:c r="AJ72" s="9" t="str">
        <x:f>IF(C72="","",IF(OR(F72="Corporate private",F72="Corporate listed"),IFERROR(IF(INDEX('Borrowers'!$X$9:$X$108,MATCH(D72,'Borrowers'!$C$9:$C$108,0))="","",INDEX('Borrowers'!$X$9:$X$108,MATCH(D72,'Borrowers'!$C$9:$C$108,0))),""),IF(AQ72="","",AQ72)))</x:f>
      </x:c>
      <x:c r="AK72" s="43" t="str">
        <x:f>IF(C72="","",IF(OR(F72="Corporate private",F72="Corporate listed"),IFERROR(IF(INDEX('Borrowers'!$H$9:$H$108,MATCH(D72,'Borrowers'!$C$9:$C$108,0))="","",INDEX('Borrowers'!$H$9:$H$108,MATCH(D72,'Borrowers'!$C$9:$C$108,0))),""),IF(AR72="","",AR72)))</x:f>
      </x:c>
      <x:c r="AL72" s="9" t="str">
        <x:f>IF(C72="","",IF(COUNTIFS($C$9:$C$108,C72)&lt;&gt;1,"Duplicate entity ID",IF(COUNTIFS('Borrowers'!$C$9:$C$108,D72)&lt;&gt;1,"Borrower required",IF(AND(F72&lt;&gt;"Corporate private",F72&lt;&gt;"Corporate listed",F72&lt;&gt;"Project finance",F72&lt;&gt;"CRE",F72&lt;&gt;"Mortgage",F72&lt;&gt;"Motor"),"Method required",IF(OR(AND(F72="Corporate private",IFERROR(IF(INDEX('Borrowers'!$G$9:$G$108,MATCH(D72,'Borrowers'!$C$9:$C$108,0))="","",INDEX('Borrowers'!$G$9:$G$108,MATCH(D72,'Borrowers'!$C$9:$C$108,0))),"")&lt;&gt;"Private"),AND(F72="Corporate listed",IFERROR(IF(INDEX('Borrowers'!$G$9:$G$108,MATCH(D72,'Borrowers'!$C$9:$C$108,0))="","",INDEX('Borrowers'!$G$9:$G$108,MATCH(D72,'Borrowers'!$C$9:$C$108,0))),"")&lt;&gt;"Listed")),"Listing / class mismatch",IF(OR(NOT(ISNUMBER(N72)),N72&lt;=0,AJ72="",NOT(ISNUMBER(AK72))),"Value evidence required",IF(AND(OR(F72="Corporate private",F72="Corporate listed"),IFERROR(IF(INDEX('Borrowers'!$Y$9:$Y$108,MATCH(D72,'Borrowers'!$C$9:$C$108,0))="","",INDEX('Borrowers'!$Y$9:$Y$108,MATCH(D72,'Borrowers'!$C$9:$C$108,0))),"")&lt;'Settings'!$F$8),"Expired financial evidence",IF(AK72&gt;'Settings'!$F$8,"Future value date",IF(OR(AND(OR(F72="Corporate private",F72="Project finance"),OR(J72&lt;0,M72&lt;&gt;"Current financials")),AND(F72="Corporate listed",M72&lt;&gt;"Current financials"),AND(OR(F72="CRE",F72="Mortgage",F72="Motor"),AND(M72&lt;&gt;"Origination",M72&lt;&gt;"Fixed fallback"))),"Value basis review",IF(AND(M72="Current financials",YEAR(AK72)&lt;&gt;YEAR('Settings'!$F$8)),"Stale financial period","Ready"))))))))))</x:f>
      </x:c>
      <x:c r="AM72" s="8"/>
      <x:c r="AN72" s="8"/>
      <x:c r="AO72" s="16"/>
      <x:c r="AP72" s="16"/>
      <x:c r="AQ72" s="8"/>
      <x:c r="AR72" s="40"/>
    </x:row>
    <x:row r="73" ht="40" customHeight="1">
      <x:c r="A73" s="1"/>
      <x:c r="B73" s="1"/>
      <x:c r="C73" s="8"/>
      <x:c r="D73" s="8"/>
      <x:c r="E73" s="8"/>
      <x:c r="F73" s="8"/>
      <x:c r="G73" s="9" t="str">
        <x:f>IF(C73="","",IFERROR(IF(INDEX('Borrowers'!$E$9:$E$108,MATCH(D73,'Borrowers'!$C$9:$C$108,0))="","",INDEX('Borrowers'!$E$9:$E$108,MATCH(D73,'Borrowers'!$C$9:$C$108,0))),""))</x:f>
      </x:c>
      <x:c r="H73" s="40"/>
      <x:c r="I73" s="23" t="str">
        <x:f>IF(C73="","",IF(OR(F73="Corporate private",F73="Corporate listed"),IFERROR(IF(INDEX('Borrowers'!$M$9:$M$108,MATCH(D73,'Borrowers'!$C$9:$C$108,0))="","",INDEX('Borrowers'!$M$9:$M$108,MATCH(D73,'Borrowers'!$C$9:$C$108,0))),""),IF(F73="Project finance",IF(ISNUMBER(AO73),AO73,""),"")))</x:f>
      </x:c>
      <x:c r="J73" s="23" t="str">
        <x:f>IF(C73="","",IF(OR(F73="Corporate private",F73="Corporate listed"),IFERROR(IF(INDEX('Borrowers'!$N$9:$N$108,MATCH(D73,'Borrowers'!$C$9:$C$108,0))="","",INDEX('Borrowers'!$N$9:$N$108,MATCH(D73,'Borrowers'!$C$9:$C$108,0))),""),IF(F73="Project finance",IF(ISNUMBER(AP73),AP73,""),"")))</x:f>
      </x:c>
      <x:c r="K73" s="23" t="str">
        <x:f>IF(C73="","",IF(F73="Corporate listed",IFERROR(IF(INDEX('Borrowers'!$O$9:$O$108,MATCH(D73,'Borrowers'!$C$9:$C$108,0))="","",INDEX('Borrowers'!$O$9:$O$108,MATCH(D73,'Borrowers'!$C$9:$C$108,0))),""),""))</x:f>
      </x:c>
      <x:c r="L73" s="16"/>
      <x:c r="M73" s="8"/>
      <x:c r="N73" s="21" t="str">
        <x:f>IF(C73="","",IF(F73="Corporate listed",IF(ISNUMBER(K73),K73,""),IF(OR(F73="Corporate private",F73="Project finance"),IF(AND(ISNUMBER(I73),ISNUMBER(J73)),MAX(I73,0)+J73,""),IF(OR(F73="CRE",F73="Mortgage",F73="Motor"),IF(ISNUMBER(L73),L73,""),""))))</x:f>
      </x:c>
      <x:c r="O73" s="8"/>
      <x:c r="P73" s="40"/>
      <x:c r="Q73" s="8"/>
      <x:c r="R73" s="16"/>
      <x:c r="S73" s="8"/>
      <x:c r="T73" s="23" t="str">
        <x:f>IF(V73="Ready",IF(Q73="Activity",SUMIFS('Activity Data'!$U$9:$U$308,'Activity Data'!$D$9:$D$308,C73,'Activity Data'!$F$9:$F$308,"S1"),R73),"")</x:f>
      </x:c>
      <x:c r="U73" s="44" t="str">
        <x:f>IF(V73&lt;&gt;"Ready","",IF(Q73="Reported verified",1,IF(Q73="Reported unverified",2,IF(F73="Motor",1,2))))</x:f>
      </x:c>
      <x:c r="V73" s="9" t="str">
        <x:f>IF(C73="","",IF(Q73="Not assessed","Not assessed",IF(OR(O73="",NOT(ISNUMBER(H73)),NOT(ISNUMBER(P73))),"Evidence required",IF(OR(P73&lt;'Settings'!$F$8,H73&gt;'Settings'!$F$8,YEAR(H73)&lt;&gt;YEAR('Settings'!$F$8)),"Period / expiry review",IF(S73&lt;&gt;"Yes","Boundary incomplete",IF(OR(Q73="Reported verified",Q73="Reported unverified"),IF(NOT(OR(F73="Corporate private",F73="Corporate listed",F73="Project finance")),"Asset method required",IF(OR(NOT(ISNUMBER(R73)),R73&lt;0),"Reported value required","Ready")),IF(Q73="Activity",IF(AND(COUNTIFS('Activity Data'!$D$9:$D$308,C73,'Activity Data'!$F$9:$F$308,"S1")&gt;0,COUNTIFS('Activity Data'!$D$9:$D$308,C73,'Activity Data'!$F$9:$F$308,"S1")=COUNTIFS('Activity Data'!$D$9:$D$308,C73,'Activity Data'!$F$9:$F$308,"S1",'Activity Data'!$V$9:$V$308,"Ready")),"Ready","Activity incomplete"),"Method required")))))))</x:f>
      </x:c>
      <x:c r="W73" s="8"/>
      <x:c r="X73" s="16"/>
      <x:c r="Y73" s="8"/>
      <x:c r="Z73" s="23" t="str">
        <x:f>IF(AB73="Ready",IF(W73="Activity",SUMIFS('Activity Data'!$U$9:$U$308,'Activity Data'!$D$9:$D$308,C73,'Activity Data'!$F$9:$F$308,"S2"),X73),"")</x:f>
      </x:c>
      <x:c r="AA73" s="44" t="str">
        <x:f>IF(AB73&lt;&gt;"Ready","",IF(W73="Reported verified",1,IF(W73="Reported unverified",2,IF(F73="Motor",1,2))))</x:f>
      </x:c>
      <x:c r="AB73" s="9" t="str">
        <x:f>IF(C73="","",IF(W73="Not assessed","Not assessed",IF(OR(O73="",NOT(ISNUMBER(H73)),NOT(ISNUMBER(P73))),"Evidence required",IF(OR(P73&lt;'Settings'!$F$8,H73&gt;'Settings'!$F$8,YEAR(H73)&lt;&gt;YEAR('Settings'!$F$8)),"Period / expiry review",IF(Y73&lt;&gt;"Yes","Boundary incomplete",IF(OR(AND(AC73&lt;&gt;"Location-based",AC73&lt;&gt;"Market-based"),AND(W73="Activity",AC73&lt;&gt;"Location-based")),"S2 basis mismatch",IF(OR(W73="Reported verified",W73="Reported unverified"),IF(NOT(OR(F73="Corporate private",F73="Corporate listed",F73="Project finance")),"Asset method required",IF(OR(NOT(ISNUMBER(X73)),X73&lt;0),"Reported value required","Ready")),IF(W73="Activity",IF(AND(COUNTIFS('Activity Data'!$D$9:$D$308,C73,'Activity Data'!$F$9:$F$308,"S2")&gt;0,COUNTIFS('Activity Data'!$D$9:$D$308,C73,'Activity Data'!$F$9:$F$308,"S2")=COUNTIFS('Activity Data'!$D$9:$D$308,C73,'Activity Data'!$F$9:$F$308,"S2",'Activity Data'!$V$9:$V$308,"Ready")),"Ready","Activity incomplete"),"Method required"))))))))</x:f>
      </x:c>
      <x:c r="AC73" s="8"/>
      <x:c r="AD73" s="8"/>
      <x:c r="AE73" s="16"/>
      <x:c r="AF73" s="8"/>
      <x:c r="AG73" s="23" t="str">
        <x:f>IF(AI73="Ready",IF(AD73="Activity",SUMIFS('Activity Data'!$U$9:$U$308,'Activity Data'!$D$9:$D$308,C73,'Activity Data'!$F$9:$F$308,"S3"),AE73),"")</x:f>
      </x:c>
      <x:c r="AH73" s="44" t="str">
        <x:f>IF(AI73&lt;&gt;"Ready","",IF(AD73="Reported verified",1,IF(AD73="Reported unverified",2,IF(F73="Motor",1,2))))</x:f>
      </x:c>
      <x:c r="AI73" s="9" t="str">
        <x:f>IF(C73="","",IF(AD73="Not assessed","Not assessed",IF(OR(O73="",NOT(ISNUMBER(H73)),NOT(ISNUMBER(P73))),"Evidence required",IF(OR(P73&lt;'Settings'!$F$8,H73&gt;'Settings'!$F$8,YEAR(H73)&lt;&gt;YEAR('Settings'!$F$8)),"Period / expiry review",IF(AF73&lt;&gt;"Yes","Boundary incomplete",IF(AM73="","S3 screening required",IF(OR(AD73="Reported verified",AD73="Reported unverified"),IF(NOT(OR(F73="Corporate private",F73="Corporate listed",F73="Project finance")),"Asset method required",IF(OR(NOT(ISNUMBER(AE73)),AE73&lt;0),"Reported value required","Ready")),"Scope 3 method required")))))))</x:f>
      </x:c>
      <x:c r="AJ73" s="9" t="str">
        <x:f>IF(C73="","",IF(OR(F73="Corporate private",F73="Corporate listed"),IFERROR(IF(INDEX('Borrowers'!$X$9:$X$108,MATCH(D73,'Borrowers'!$C$9:$C$108,0))="","",INDEX('Borrowers'!$X$9:$X$108,MATCH(D73,'Borrowers'!$C$9:$C$108,0))),""),IF(AQ73="","",AQ73)))</x:f>
      </x:c>
      <x:c r="AK73" s="43" t="str">
        <x:f>IF(C73="","",IF(OR(F73="Corporate private",F73="Corporate listed"),IFERROR(IF(INDEX('Borrowers'!$H$9:$H$108,MATCH(D73,'Borrowers'!$C$9:$C$108,0))="","",INDEX('Borrowers'!$H$9:$H$108,MATCH(D73,'Borrowers'!$C$9:$C$108,0))),""),IF(AR73="","",AR73)))</x:f>
      </x:c>
      <x:c r="AL73" s="9" t="str">
        <x:f>IF(C73="","",IF(COUNTIFS($C$9:$C$108,C73)&lt;&gt;1,"Duplicate entity ID",IF(COUNTIFS('Borrowers'!$C$9:$C$108,D73)&lt;&gt;1,"Borrower required",IF(AND(F73&lt;&gt;"Corporate private",F73&lt;&gt;"Corporate listed",F73&lt;&gt;"Project finance",F73&lt;&gt;"CRE",F73&lt;&gt;"Mortgage",F73&lt;&gt;"Motor"),"Method required",IF(OR(AND(F73="Corporate private",IFERROR(IF(INDEX('Borrowers'!$G$9:$G$108,MATCH(D73,'Borrowers'!$C$9:$C$108,0))="","",INDEX('Borrowers'!$G$9:$G$108,MATCH(D73,'Borrowers'!$C$9:$C$108,0))),"")&lt;&gt;"Private"),AND(F73="Corporate listed",IFERROR(IF(INDEX('Borrowers'!$G$9:$G$108,MATCH(D73,'Borrowers'!$C$9:$C$108,0))="","",INDEX('Borrowers'!$G$9:$G$108,MATCH(D73,'Borrowers'!$C$9:$C$108,0))),"")&lt;&gt;"Listed")),"Listing / class mismatch",IF(OR(NOT(ISNUMBER(N73)),N73&lt;=0,AJ73="",NOT(ISNUMBER(AK73))),"Value evidence required",IF(AND(OR(F73="Corporate private",F73="Corporate listed"),IFERROR(IF(INDEX('Borrowers'!$Y$9:$Y$108,MATCH(D73,'Borrowers'!$C$9:$C$108,0))="","",INDEX('Borrowers'!$Y$9:$Y$108,MATCH(D73,'Borrowers'!$C$9:$C$108,0))),"")&lt;'Settings'!$F$8),"Expired financial evidence",IF(AK73&gt;'Settings'!$F$8,"Future value date",IF(OR(AND(OR(F73="Corporate private",F73="Project finance"),OR(J73&lt;0,M73&lt;&gt;"Current financials")),AND(F73="Corporate listed",M73&lt;&gt;"Current financials"),AND(OR(F73="CRE",F73="Mortgage",F73="Motor"),AND(M73&lt;&gt;"Origination",M73&lt;&gt;"Fixed fallback"))),"Value basis review",IF(AND(M73="Current financials",YEAR(AK73)&lt;&gt;YEAR('Settings'!$F$8)),"Stale financial period","Ready"))))))))))</x:f>
      </x:c>
      <x:c r="AM73" s="8"/>
      <x:c r="AN73" s="8"/>
      <x:c r="AO73" s="16"/>
      <x:c r="AP73" s="16"/>
      <x:c r="AQ73" s="8"/>
      <x:c r="AR73" s="40"/>
    </x:row>
    <x:row r="74" ht="40" customHeight="1">
      <x:c r="A74" s="1"/>
      <x:c r="B74" s="1"/>
      <x:c r="C74" s="8"/>
      <x:c r="D74" s="8"/>
      <x:c r="E74" s="8"/>
      <x:c r="F74" s="8"/>
      <x:c r="G74" s="9" t="str">
        <x:f>IF(C74="","",IFERROR(IF(INDEX('Borrowers'!$E$9:$E$108,MATCH(D74,'Borrowers'!$C$9:$C$108,0))="","",INDEX('Borrowers'!$E$9:$E$108,MATCH(D74,'Borrowers'!$C$9:$C$108,0))),""))</x:f>
      </x:c>
      <x:c r="H74" s="40"/>
      <x:c r="I74" s="23" t="str">
        <x:f>IF(C74="","",IF(OR(F74="Corporate private",F74="Corporate listed"),IFERROR(IF(INDEX('Borrowers'!$M$9:$M$108,MATCH(D74,'Borrowers'!$C$9:$C$108,0))="","",INDEX('Borrowers'!$M$9:$M$108,MATCH(D74,'Borrowers'!$C$9:$C$108,0))),""),IF(F74="Project finance",IF(ISNUMBER(AO74),AO74,""),"")))</x:f>
      </x:c>
      <x:c r="J74" s="23" t="str">
        <x:f>IF(C74="","",IF(OR(F74="Corporate private",F74="Corporate listed"),IFERROR(IF(INDEX('Borrowers'!$N$9:$N$108,MATCH(D74,'Borrowers'!$C$9:$C$108,0))="","",INDEX('Borrowers'!$N$9:$N$108,MATCH(D74,'Borrowers'!$C$9:$C$108,0))),""),IF(F74="Project finance",IF(ISNUMBER(AP74),AP74,""),"")))</x:f>
      </x:c>
      <x:c r="K74" s="23" t="str">
        <x:f>IF(C74="","",IF(F74="Corporate listed",IFERROR(IF(INDEX('Borrowers'!$O$9:$O$108,MATCH(D74,'Borrowers'!$C$9:$C$108,0))="","",INDEX('Borrowers'!$O$9:$O$108,MATCH(D74,'Borrowers'!$C$9:$C$108,0))),""),""))</x:f>
      </x:c>
      <x:c r="L74" s="16"/>
      <x:c r="M74" s="8"/>
      <x:c r="N74" s="21" t="str">
        <x:f>IF(C74="","",IF(F74="Corporate listed",IF(ISNUMBER(K74),K74,""),IF(OR(F74="Corporate private",F74="Project finance"),IF(AND(ISNUMBER(I74),ISNUMBER(J74)),MAX(I74,0)+J74,""),IF(OR(F74="CRE",F74="Mortgage",F74="Motor"),IF(ISNUMBER(L74),L74,""),""))))</x:f>
      </x:c>
      <x:c r="O74" s="8"/>
      <x:c r="P74" s="40"/>
      <x:c r="Q74" s="8"/>
      <x:c r="R74" s="16"/>
      <x:c r="S74" s="8"/>
      <x:c r="T74" s="23" t="str">
        <x:f>IF(V74="Ready",IF(Q74="Activity",SUMIFS('Activity Data'!$U$9:$U$308,'Activity Data'!$D$9:$D$308,C74,'Activity Data'!$F$9:$F$308,"S1"),R74),"")</x:f>
      </x:c>
      <x:c r="U74" s="44" t="str">
        <x:f>IF(V74&lt;&gt;"Ready","",IF(Q74="Reported verified",1,IF(Q74="Reported unverified",2,IF(F74="Motor",1,2))))</x:f>
      </x:c>
      <x:c r="V74" s="9" t="str">
        <x:f>IF(C74="","",IF(Q74="Not assessed","Not assessed",IF(OR(O74="",NOT(ISNUMBER(H74)),NOT(ISNUMBER(P74))),"Evidence required",IF(OR(P74&lt;'Settings'!$F$8,H74&gt;'Settings'!$F$8,YEAR(H74)&lt;&gt;YEAR('Settings'!$F$8)),"Period / expiry review",IF(S74&lt;&gt;"Yes","Boundary incomplete",IF(OR(Q74="Reported verified",Q74="Reported unverified"),IF(NOT(OR(F74="Corporate private",F74="Corporate listed",F74="Project finance")),"Asset method required",IF(OR(NOT(ISNUMBER(R74)),R74&lt;0),"Reported value required","Ready")),IF(Q74="Activity",IF(AND(COUNTIFS('Activity Data'!$D$9:$D$308,C74,'Activity Data'!$F$9:$F$308,"S1")&gt;0,COUNTIFS('Activity Data'!$D$9:$D$308,C74,'Activity Data'!$F$9:$F$308,"S1")=COUNTIFS('Activity Data'!$D$9:$D$308,C74,'Activity Data'!$F$9:$F$308,"S1",'Activity Data'!$V$9:$V$308,"Ready")),"Ready","Activity incomplete"),"Method required")))))))</x:f>
      </x:c>
      <x:c r="W74" s="8"/>
      <x:c r="X74" s="16"/>
      <x:c r="Y74" s="8"/>
      <x:c r="Z74" s="23" t="str">
        <x:f>IF(AB74="Ready",IF(W74="Activity",SUMIFS('Activity Data'!$U$9:$U$308,'Activity Data'!$D$9:$D$308,C74,'Activity Data'!$F$9:$F$308,"S2"),X74),"")</x:f>
      </x:c>
      <x:c r="AA74" s="44" t="str">
        <x:f>IF(AB74&lt;&gt;"Ready","",IF(W74="Reported verified",1,IF(W74="Reported unverified",2,IF(F74="Motor",1,2))))</x:f>
      </x:c>
      <x:c r="AB74" s="9" t="str">
        <x:f>IF(C74="","",IF(W74="Not assessed","Not assessed",IF(OR(O74="",NOT(ISNUMBER(H74)),NOT(ISNUMBER(P74))),"Evidence required",IF(OR(P74&lt;'Settings'!$F$8,H74&gt;'Settings'!$F$8,YEAR(H74)&lt;&gt;YEAR('Settings'!$F$8)),"Period / expiry review",IF(Y74&lt;&gt;"Yes","Boundary incomplete",IF(OR(AND(AC74&lt;&gt;"Location-based",AC74&lt;&gt;"Market-based"),AND(W74="Activity",AC74&lt;&gt;"Location-based")),"S2 basis mismatch",IF(OR(W74="Reported verified",W74="Reported unverified"),IF(NOT(OR(F74="Corporate private",F74="Corporate listed",F74="Project finance")),"Asset method required",IF(OR(NOT(ISNUMBER(X74)),X74&lt;0),"Reported value required","Ready")),IF(W74="Activity",IF(AND(COUNTIFS('Activity Data'!$D$9:$D$308,C74,'Activity Data'!$F$9:$F$308,"S2")&gt;0,COUNTIFS('Activity Data'!$D$9:$D$308,C74,'Activity Data'!$F$9:$F$308,"S2")=COUNTIFS('Activity Data'!$D$9:$D$308,C74,'Activity Data'!$F$9:$F$308,"S2",'Activity Data'!$V$9:$V$308,"Ready")),"Ready","Activity incomplete"),"Method required"))))))))</x:f>
      </x:c>
      <x:c r="AC74" s="8"/>
      <x:c r="AD74" s="8"/>
      <x:c r="AE74" s="16"/>
      <x:c r="AF74" s="8"/>
      <x:c r="AG74" s="23" t="str">
        <x:f>IF(AI74="Ready",IF(AD74="Activity",SUMIFS('Activity Data'!$U$9:$U$308,'Activity Data'!$D$9:$D$308,C74,'Activity Data'!$F$9:$F$308,"S3"),AE74),"")</x:f>
      </x:c>
      <x:c r="AH74" s="44" t="str">
        <x:f>IF(AI74&lt;&gt;"Ready","",IF(AD74="Reported verified",1,IF(AD74="Reported unverified",2,IF(F74="Motor",1,2))))</x:f>
      </x:c>
      <x:c r="AI74" s="9" t="str">
        <x:f>IF(C74="","",IF(AD74="Not assessed","Not assessed",IF(OR(O74="",NOT(ISNUMBER(H74)),NOT(ISNUMBER(P74))),"Evidence required",IF(OR(P74&lt;'Settings'!$F$8,H74&gt;'Settings'!$F$8,YEAR(H74)&lt;&gt;YEAR('Settings'!$F$8)),"Period / expiry review",IF(AF74&lt;&gt;"Yes","Boundary incomplete",IF(AM74="","S3 screening required",IF(OR(AD74="Reported verified",AD74="Reported unverified"),IF(NOT(OR(F74="Corporate private",F74="Corporate listed",F74="Project finance")),"Asset method required",IF(OR(NOT(ISNUMBER(AE74)),AE74&lt;0),"Reported value required","Ready")),"Scope 3 method required")))))))</x:f>
      </x:c>
      <x:c r="AJ74" s="9" t="str">
        <x:f>IF(C74="","",IF(OR(F74="Corporate private",F74="Corporate listed"),IFERROR(IF(INDEX('Borrowers'!$X$9:$X$108,MATCH(D74,'Borrowers'!$C$9:$C$108,0))="","",INDEX('Borrowers'!$X$9:$X$108,MATCH(D74,'Borrowers'!$C$9:$C$108,0))),""),IF(AQ74="","",AQ74)))</x:f>
      </x:c>
      <x:c r="AK74" s="43" t="str">
        <x:f>IF(C74="","",IF(OR(F74="Corporate private",F74="Corporate listed"),IFERROR(IF(INDEX('Borrowers'!$H$9:$H$108,MATCH(D74,'Borrowers'!$C$9:$C$108,0))="","",INDEX('Borrowers'!$H$9:$H$108,MATCH(D74,'Borrowers'!$C$9:$C$108,0))),""),IF(AR74="","",AR74)))</x:f>
      </x:c>
      <x:c r="AL74" s="9" t="str">
        <x:f>IF(C74="","",IF(COUNTIFS($C$9:$C$108,C74)&lt;&gt;1,"Duplicate entity ID",IF(COUNTIFS('Borrowers'!$C$9:$C$108,D74)&lt;&gt;1,"Borrower required",IF(AND(F74&lt;&gt;"Corporate private",F74&lt;&gt;"Corporate listed",F74&lt;&gt;"Project finance",F74&lt;&gt;"CRE",F74&lt;&gt;"Mortgage",F74&lt;&gt;"Motor"),"Method required",IF(OR(AND(F74="Corporate private",IFERROR(IF(INDEX('Borrowers'!$G$9:$G$108,MATCH(D74,'Borrowers'!$C$9:$C$108,0))="","",INDEX('Borrowers'!$G$9:$G$108,MATCH(D74,'Borrowers'!$C$9:$C$108,0))),"")&lt;&gt;"Private"),AND(F74="Corporate listed",IFERROR(IF(INDEX('Borrowers'!$G$9:$G$108,MATCH(D74,'Borrowers'!$C$9:$C$108,0))="","",INDEX('Borrowers'!$G$9:$G$108,MATCH(D74,'Borrowers'!$C$9:$C$108,0))),"")&lt;&gt;"Listed")),"Listing / class mismatch",IF(OR(NOT(ISNUMBER(N74)),N74&lt;=0,AJ74="",NOT(ISNUMBER(AK74))),"Value evidence required",IF(AND(OR(F74="Corporate private",F74="Corporate listed"),IFERROR(IF(INDEX('Borrowers'!$Y$9:$Y$108,MATCH(D74,'Borrowers'!$C$9:$C$108,0))="","",INDEX('Borrowers'!$Y$9:$Y$108,MATCH(D74,'Borrowers'!$C$9:$C$108,0))),"")&lt;'Settings'!$F$8),"Expired financial evidence",IF(AK74&gt;'Settings'!$F$8,"Future value date",IF(OR(AND(OR(F74="Corporate private",F74="Project finance"),OR(J74&lt;0,M74&lt;&gt;"Current financials")),AND(F74="Corporate listed",M74&lt;&gt;"Current financials"),AND(OR(F74="CRE",F74="Mortgage",F74="Motor"),AND(M74&lt;&gt;"Origination",M74&lt;&gt;"Fixed fallback"))),"Value basis review",IF(AND(M74="Current financials",YEAR(AK74)&lt;&gt;YEAR('Settings'!$F$8)),"Stale financial period","Ready"))))))))))</x:f>
      </x:c>
      <x:c r="AM74" s="8"/>
      <x:c r="AN74" s="8"/>
      <x:c r="AO74" s="16"/>
      <x:c r="AP74" s="16"/>
      <x:c r="AQ74" s="8"/>
      <x:c r="AR74" s="40"/>
    </x:row>
    <x:row r="75" ht="40" customHeight="1">
      <x:c r="A75" s="1"/>
      <x:c r="B75" s="1"/>
      <x:c r="C75" s="8"/>
      <x:c r="D75" s="8"/>
      <x:c r="E75" s="8"/>
      <x:c r="F75" s="8"/>
      <x:c r="G75" s="9" t="str">
        <x:f>IF(C75="","",IFERROR(IF(INDEX('Borrowers'!$E$9:$E$108,MATCH(D75,'Borrowers'!$C$9:$C$108,0))="","",INDEX('Borrowers'!$E$9:$E$108,MATCH(D75,'Borrowers'!$C$9:$C$108,0))),""))</x:f>
      </x:c>
      <x:c r="H75" s="40"/>
      <x:c r="I75" s="23" t="str">
        <x:f>IF(C75="","",IF(OR(F75="Corporate private",F75="Corporate listed"),IFERROR(IF(INDEX('Borrowers'!$M$9:$M$108,MATCH(D75,'Borrowers'!$C$9:$C$108,0))="","",INDEX('Borrowers'!$M$9:$M$108,MATCH(D75,'Borrowers'!$C$9:$C$108,0))),""),IF(F75="Project finance",IF(ISNUMBER(AO75),AO75,""),"")))</x:f>
      </x:c>
      <x:c r="J75" s="23" t="str">
        <x:f>IF(C75="","",IF(OR(F75="Corporate private",F75="Corporate listed"),IFERROR(IF(INDEX('Borrowers'!$N$9:$N$108,MATCH(D75,'Borrowers'!$C$9:$C$108,0))="","",INDEX('Borrowers'!$N$9:$N$108,MATCH(D75,'Borrowers'!$C$9:$C$108,0))),""),IF(F75="Project finance",IF(ISNUMBER(AP75),AP75,""),"")))</x:f>
      </x:c>
      <x:c r="K75" s="23" t="str">
        <x:f>IF(C75="","",IF(F75="Corporate listed",IFERROR(IF(INDEX('Borrowers'!$O$9:$O$108,MATCH(D75,'Borrowers'!$C$9:$C$108,0))="","",INDEX('Borrowers'!$O$9:$O$108,MATCH(D75,'Borrowers'!$C$9:$C$108,0))),""),""))</x:f>
      </x:c>
      <x:c r="L75" s="16"/>
      <x:c r="M75" s="8"/>
      <x:c r="N75" s="21" t="str">
        <x:f>IF(C75="","",IF(F75="Corporate listed",IF(ISNUMBER(K75),K75,""),IF(OR(F75="Corporate private",F75="Project finance"),IF(AND(ISNUMBER(I75),ISNUMBER(J75)),MAX(I75,0)+J75,""),IF(OR(F75="CRE",F75="Mortgage",F75="Motor"),IF(ISNUMBER(L75),L75,""),""))))</x:f>
      </x:c>
      <x:c r="O75" s="8"/>
      <x:c r="P75" s="40"/>
      <x:c r="Q75" s="8"/>
      <x:c r="R75" s="16"/>
      <x:c r="S75" s="8"/>
      <x:c r="T75" s="23" t="str">
        <x:f>IF(V75="Ready",IF(Q75="Activity",SUMIFS('Activity Data'!$U$9:$U$308,'Activity Data'!$D$9:$D$308,C75,'Activity Data'!$F$9:$F$308,"S1"),R75),"")</x:f>
      </x:c>
      <x:c r="U75" s="44" t="str">
        <x:f>IF(V75&lt;&gt;"Ready","",IF(Q75="Reported verified",1,IF(Q75="Reported unverified",2,IF(F75="Motor",1,2))))</x:f>
      </x:c>
      <x:c r="V75" s="9" t="str">
        <x:f>IF(C75="","",IF(Q75="Not assessed","Not assessed",IF(OR(O75="",NOT(ISNUMBER(H75)),NOT(ISNUMBER(P75))),"Evidence required",IF(OR(P75&lt;'Settings'!$F$8,H75&gt;'Settings'!$F$8,YEAR(H75)&lt;&gt;YEAR('Settings'!$F$8)),"Period / expiry review",IF(S75&lt;&gt;"Yes","Boundary incomplete",IF(OR(Q75="Reported verified",Q75="Reported unverified"),IF(NOT(OR(F75="Corporate private",F75="Corporate listed",F75="Project finance")),"Asset method required",IF(OR(NOT(ISNUMBER(R75)),R75&lt;0),"Reported value required","Ready")),IF(Q75="Activity",IF(AND(COUNTIFS('Activity Data'!$D$9:$D$308,C75,'Activity Data'!$F$9:$F$308,"S1")&gt;0,COUNTIFS('Activity Data'!$D$9:$D$308,C75,'Activity Data'!$F$9:$F$308,"S1")=COUNTIFS('Activity Data'!$D$9:$D$308,C75,'Activity Data'!$F$9:$F$308,"S1",'Activity Data'!$V$9:$V$308,"Ready")),"Ready","Activity incomplete"),"Method required")))))))</x:f>
      </x:c>
      <x:c r="W75" s="8"/>
      <x:c r="X75" s="16"/>
      <x:c r="Y75" s="8"/>
      <x:c r="Z75" s="23" t="str">
        <x:f>IF(AB75="Ready",IF(W75="Activity",SUMIFS('Activity Data'!$U$9:$U$308,'Activity Data'!$D$9:$D$308,C75,'Activity Data'!$F$9:$F$308,"S2"),X75),"")</x:f>
      </x:c>
      <x:c r="AA75" s="44" t="str">
        <x:f>IF(AB75&lt;&gt;"Ready","",IF(W75="Reported verified",1,IF(W75="Reported unverified",2,IF(F75="Motor",1,2))))</x:f>
      </x:c>
      <x:c r="AB75" s="9" t="str">
        <x:f>IF(C75="","",IF(W75="Not assessed","Not assessed",IF(OR(O75="",NOT(ISNUMBER(H75)),NOT(ISNUMBER(P75))),"Evidence required",IF(OR(P75&lt;'Settings'!$F$8,H75&gt;'Settings'!$F$8,YEAR(H75)&lt;&gt;YEAR('Settings'!$F$8)),"Period / expiry review",IF(Y75&lt;&gt;"Yes","Boundary incomplete",IF(OR(AND(AC75&lt;&gt;"Location-based",AC75&lt;&gt;"Market-based"),AND(W75="Activity",AC75&lt;&gt;"Location-based")),"S2 basis mismatch",IF(OR(W75="Reported verified",W75="Reported unverified"),IF(NOT(OR(F75="Corporate private",F75="Corporate listed",F75="Project finance")),"Asset method required",IF(OR(NOT(ISNUMBER(X75)),X75&lt;0),"Reported value required","Ready")),IF(W75="Activity",IF(AND(COUNTIFS('Activity Data'!$D$9:$D$308,C75,'Activity Data'!$F$9:$F$308,"S2")&gt;0,COUNTIFS('Activity Data'!$D$9:$D$308,C75,'Activity Data'!$F$9:$F$308,"S2")=COUNTIFS('Activity Data'!$D$9:$D$308,C75,'Activity Data'!$F$9:$F$308,"S2",'Activity Data'!$V$9:$V$308,"Ready")),"Ready","Activity incomplete"),"Method required"))))))))</x:f>
      </x:c>
      <x:c r="AC75" s="8"/>
      <x:c r="AD75" s="8"/>
      <x:c r="AE75" s="16"/>
      <x:c r="AF75" s="8"/>
      <x:c r="AG75" s="23" t="str">
        <x:f>IF(AI75="Ready",IF(AD75="Activity",SUMIFS('Activity Data'!$U$9:$U$308,'Activity Data'!$D$9:$D$308,C75,'Activity Data'!$F$9:$F$308,"S3"),AE75),"")</x:f>
      </x:c>
      <x:c r="AH75" s="44" t="str">
        <x:f>IF(AI75&lt;&gt;"Ready","",IF(AD75="Reported verified",1,IF(AD75="Reported unverified",2,IF(F75="Motor",1,2))))</x:f>
      </x:c>
      <x:c r="AI75" s="9" t="str">
        <x:f>IF(C75="","",IF(AD75="Not assessed","Not assessed",IF(OR(O75="",NOT(ISNUMBER(H75)),NOT(ISNUMBER(P75))),"Evidence required",IF(OR(P75&lt;'Settings'!$F$8,H75&gt;'Settings'!$F$8,YEAR(H75)&lt;&gt;YEAR('Settings'!$F$8)),"Period / expiry review",IF(AF75&lt;&gt;"Yes","Boundary incomplete",IF(AM75="","S3 screening required",IF(OR(AD75="Reported verified",AD75="Reported unverified"),IF(NOT(OR(F75="Corporate private",F75="Corporate listed",F75="Project finance")),"Asset method required",IF(OR(NOT(ISNUMBER(AE75)),AE75&lt;0),"Reported value required","Ready")),"Scope 3 method required")))))))</x:f>
      </x:c>
      <x:c r="AJ75" s="9" t="str">
        <x:f>IF(C75="","",IF(OR(F75="Corporate private",F75="Corporate listed"),IFERROR(IF(INDEX('Borrowers'!$X$9:$X$108,MATCH(D75,'Borrowers'!$C$9:$C$108,0))="","",INDEX('Borrowers'!$X$9:$X$108,MATCH(D75,'Borrowers'!$C$9:$C$108,0))),""),IF(AQ75="","",AQ75)))</x:f>
      </x:c>
      <x:c r="AK75" s="43" t="str">
        <x:f>IF(C75="","",IF(OR(F75="Corporate private",F75="Corporate listed"),IFERROR(IF(INDEX('Borrowers'!$H$9:$H$108,MATCH(D75,'Borrowers'!$C$9:$C$108,0))="","",INDEX('Borrowers'!$H$9:$H$108,MATCH(D75,'Borrowers'!$C$9:$C$108,0))),""),IF(AR75="","",AR75)))</x:f>
      </x:c>
      <x:c r="AL75" s="9" t="str">
        <x:f>IF(C75="","",IF(COUNTIFS($C$9:$C$108,C75)&lt;&gt;1,"Duplicate entity ID",IF(COUNTIFS('Borrowers'!$C$9:$C$108,D75)&lt;&gt;1,"Borrower required",IF(AND(F75&lt;&gt;"Corporate private",F75&lt;&gt;"Corporate listed",F75&lt;&gt;"Project finance",F75&lt;&gt;"CRE",F75&lt;&gt;"Mortgage",F75&lt;&gt;"Motor"),"Method required",IF(OR(AND(F75="Corporate private",IFERROR(IF(INDEX('Borrowers'!$G$9:$G$108,MATCH(D75,'Borrowers'!$C$9:$C$108,0))="","",INDEX('Borrowers'!$G$9:$G$108,MATCH(D75,'Borrowers'!$C$9:$C$108,0))),"")&lt;&gt;"Private"),AND(F75="Corporate listed",IFERROR(IF(INDEX('Borrowers'!$G$9:$G$108,MATCH(D75,'Borrowers'!$C$9:$C$108,0))="","",INDEX('Borrowers'!$G$9:$G$108,MATCH(D75,'Borrowers'!$C$9:$C$108,0))),"")&lt;&gt;"Listed")),"Listing / class mismatch",IF(OR(NOT(ISNUMBER(N75)),N75&lt;=0,AJ75="",NOT(ISNUMBER(AK75))),"Value evidence required",IF(AND(OR(F75="Corporate private",F75="Corporate listed"),IFERROR(IF(INDEX('Borrowers'!$Y$9:$Y$108,MATCH(D75,'Borrowers'!$C$9:$C$108,0))="","",INDEX('Borrowers'!$Y$9:$Y$108,MATCH(D75,'Borrowers'!$C$9:$C$108,0))),"")&lt;'Settings'!$F$8),"Expired financial evidence",IF(AK75&gt;'Settings'!$F$8,"Future value date",IF(OR(AND(OR(F75="Corporate private",F75="Project finance"),OR(J75&lt;0,M75&lt;&gt;"Current financials")),AND(F75="Corporate listed",M75&lt;&gt;"Current financials"),AND(OR(F75="CRE",F75="Mortgage",F75="Motor"),AND(M75&lt;&gt;"Origination",M75&lt;&gt;"Fixed fallback"))),"Value basis review",IF(AND(M75="Current financials",YEAR(AK75)&lt;&gt;YEAR('Settings'!$F$8)),"Stale financial period","Ready"))))))))))</x:f>
      </x:c>
      <x:c r="AM75" s="8"/>
      <x:c r="AN75" s="8"/>
      <x:c r="AO75" s="16"/>
      <x:c r="AP75" s="16"/>
      <x:c r="AQ75" s="8"/>
      <x:c r="AR75" s="40"/>
    </x:row>
    <x:row r="76" ht="40" customHeight="1">
      <x:c r="A76" s="1"/>
      <x:c r="B76" s="1"/>
      <x:c r="C76" s="8"/>
      <x:c r="D76" s="8"/>
      <x:c r="E76" s="8"/>
      <x:c r="F76" s="8"/>
      <x:c r="G76" s="9" t="str">
        <x:f>IF(C76="","",IFERROR(IF(INDEX('Borrowers'!$E$9:$E$108,MATCH(D76,'Borrowers'!$C$9:$C$108,0))="","",INDEX('Borrowers'!$E$9:$E$108,MATCH(D76,'Borrowers'!$C$9:$C$108,0))),""))</x:f>
      </x:c>
      <x:c r="H76" s="40"/>
      <x:c r="I76" s="23" t="str">
        <x:f>IF(C76="","",IF(OR(F76="Corporate private",F76="Corporate listed"),IFERROR(IF(INDEX('Borrowers'!$M$9:$M$108,MATCH(D76,'Borrowers'!$C$9:$C$108,0))="","",INDEX('Borrowers'!$M$9:$M$108,MATCH(D76,'Borrowers'!$C$9:$C$108,0))),""),IF(F76="Project finance",IF(ISNUMBER(AO76),AO76,""),"")))</x:f>
      </x:c>
      <x:c r="J76" s="23" t="str">
        <x:f>IF(C76="","",IF(OR(F76="Corporate private",F76="Corporate listed"),IFERROR(IF(INDEX('Borrowers'!$N$9:$N$108,MATCH(D76,'Borrowers'!$C$9:$C$108,0))="","",INDEX('Borrowers'!$N$9:$N$108,MATCH(D76,'Borrowers'!$C$9:$C$108,0))),""),IF(F76="Project finance",IF(ISNUMBER(AP76),AP76,""),"")))</x:f>
      </x:c>
      <x:c r="K76" s="23" t="str">
        <x:f>IF(C76="","",IF(F76="Corporate listed",IFERROR(IF(INDEX('Borrowers'!$O$9:$O$108,MATCH(D76,'Borrowers'!$C$9:$C$108,0))="","",INDEX('Borrowers'!$O$9:$O$108,MATCH(D76,'Borrowers'!$C$9:$C$108,0))),""),""))</x:f>
      </x:c>
      <x:c r="L76" s="16"/>
      <x:c r="M76" s="8"/>
      <x:c r="N76" s="21" t="str">
        <x:f>IF(C76="","",IF(F76="Corporate listed",IF(ISNUMBER(K76),K76,""),IF(OR(F76="Corporate private",F76="Project finance"),IF(AND(ISNUMBER(I76),ISNUMBER(J76)),MAX(I76,0)+J76,""),IF(OR(F76="CRE",F76="Mortgage",F76="Motor"),IF(ISNUMBER(L76),L76,""),""))))</x:f>
      </x:c>
      <x:c r="O76" s="8"/>
      <x:c r="P76" s="40"/>
      <x:c r="Q76" s="8"/>
      <x:c r="R76" s="16"/>
      <x:c r="S76" s="8"/>
      <x:c r="T76" s="23" t="str">
        <x:f>IF(V76="Ready",IF(Q76="Activity",SUMIFS('Activity Data'!$U$9:$U$308,'Activity Data'!$D$9:$D$308,C76,'Activity Data'!$F$9:$F$308,"S1"),R76),"")</x:f>
      </x:c>
      <x:c r="U76" s="44" t="str">
        <x:f>IF(V76&lt;&gt;"Ready","",IF(Q76="Reported verified",1,IF(Q76="Reported unverified",2,IF(F76="Motor",1,2))))</x:f>
      </x:c>
      <x:c r="V76" s="9" t="str">
        <x:f>IF(C76="","",IF(Q76="Not assessed","Not assessed",IF(OR(O76="",NOT(ISNUMBER(H76)),NOT(ISNUMBER(P76))),"Evidence required",IF(OR(P76&lt;'Settings'!$F$8,H76&gt;'Settings'!$F$8,YEAR(H76)&lt;&gt;YEAR('Settings'!$F$8)),"Period / expiry review",IF(S76&lt;&gt;"Yes","Boundary incomplete",IF(OR(Q76="Reported verified",Q76="Reported unverified"),IF(NOT(OR(F76="Corporate private",F76="Corporate listed",F76="Project finance")),"Asset method required",IF(OR(NOT(ISNUMBER(R76)),R76&lt;0),"Reported value required","Ready")),IF(Q76="Activity",IF(AND(COUNTIFS('Activity Data'!$D$9:$D$308,C76,'Activity Data'!$F$9:$F$308,"S1")&gt;0,COUNTIFS('Activity Data'!$D$9:$D$308,C76,'Activity Data'!$F$9:$F$308,"S1")=COUNTIFS('Activity Data'!$D$9:$D$308,C76,'Activity Data'!$F$9:$F$308,"S1",'Activity Data'!$V$9:$V$308,"Ready")),"Ready","Activity incomplete"),"Method required")))))))</x:f>
      </x:c>
      <x:c r="W76" s="8"/>
      <x:c r="X76" s="16"/>
      <x:c r="Y76" s="8"/>
      <x:c r="Z76" s="23" t="str">
        <x:f>IF(AB76="Ready",IF(W76="Activity",SUMIFS('Activity Data'!$U$9:$U$308,'Activity Data'!$D$9:$D$308,C76,'Activity Data'!$F$9:$F$308,"S2"),X76),"")</x:f>
      </x:c>
      <x:c r="AA76" s="44" t="str">
        <x:f>IF(AB76&lt;&gt;"Ready","",IF(W76="Reported verified",1,IF(W76="Reported unverified",2,IF(F76="Motor",1,2))))</x:f>
      </x:c>
      <x:c r="AB76" s="9" t="str">
        <x:f>IF(C76="","",IF(W76="Not assessed","Not assessed",IF(OR(O76="",NOT(ISNUMBER(H76)),NOT(ISNUMBER(P76))),"Evidence required",IF(OR(P76&lt;'Settings'!$F$8,H76&gt;'Settings'!$F$8,YEAR(H76)&lt;&gt;YEAR('Settings'!$F$8)),"Period / expiry review",IF(Y76&lt;&gt;"Yes","Boundary incomplete",IF(OR(AND(AC76&lt;&gt;"Location-based",AC76&lt;&gt;"Market-based"),AND(W76="Activity",AC76&lt;&gt;"Location-based")),"S2 basis mismatch",IF(OR(W76="Reported verified",W76="Reported unverified"),IF(NOT(OR(F76="Corporate private",F76="Corporate listed",F76="Project finance")),"Asset method required",IF(OR(NOT(ISNUMBER(X76)),X76&lt;0),"Reported value required","Ready")),IF(W76="Activity",IF(AND(COUNTIFS('Activity Data'!$D$9:$D$308,C76,'Activity Data'!$F$9:$F$308,"S2")&gt;0,COUNTIFS('Activity Data'!$D$9:$D$308,C76,'Activity Data'!$F$9:$F$308,"S2")=COUNTIFS('Activity Data'!$D$9:$D$308,C76,'Activity Data'!$F$9:$F$308,"S2",'Activity Data'!$V$9:$V$308,"Ready")),"Ready","Activity incomplete"),"Method required"))))))))</x:f>
      </x:c>
      <x:c r="AC76" s="8"/>
      <x:c r="AD76" s="8"/>
      <x:c r="AE76" s="16"/>
      <x:c r="AF76" s="8"/>
      <x:c r="AG76" s="23" t="str">
        <x:f>IF(AI76="Ready",IF(AD76="Activity",SUMIFS('Activity Data'!$U$9:$U$308,'Activity Data'!$D$9:$D$308,C76,'Activity Data'!$F$9:$F$308,"S3"),AE76),"")</x:f>
      </x:c>
      <x:c r="AH76" s="44" t="str">
        <x:f>IF(AI76&lt;&gt;"Ready","",IF(AD76="Reported verified",1,IF(AD76="Reported unverified",2,IF(F76="Motor",1,2))))</x:f>
      </x:c>
      <x:c r="AI76" s="9" t="str">
        <x:f>IF(C76="","",IF(AD76="Not assessed","Not assessed",IF(OR(O76="",NOT(ISNUMBER(H76)),NOT(ISNUMBER(P76))),"Evidence required",IF(OR(P76&lt;'Settings'!$F$8,H76&gt;'Settings'!$F$8,YEAR(H76)&lt;&gt;YEAR('Settings'!$F$8)),"Period / expiry review",IF(AF76&lt;&gt;"Yes","Boundary incomplete",IF(AM76="","S3 screening required",IF(OR(AD76="Reported verified",AD76="Reported unverified"),IF(NOT(OR(F76="Corporate private",F76="Corporate listed",F76="Project finance")),"Asset method required",IF(OR(NOT(ISNUMBER(AE76)),AE76&lt;0),"Reported value required","Ready")),"Scope 3 method required")))))))</x:f>
      </x:c>
      <x:c r="AJ76" s="9" t="str">
        <x:f>IF(C76="","",IF(OR(F76="Corporate private",F76="Corporate listed"),IFERROR(IF(INDEX('Borrowers'!$X$9:$X$108,MATCH(D76,'Borrowers'!$C$9:$C$108,0))="","",INDEX('Borrowers'!$X$9:$X$108,MATCH(D76,'Borrowers'!$C$9:$C$108,0))),""),IF(AQ76="","",AQ76)))</x:f>
      </x:c>
      <x:c r="AK76" s="43" t="str">
        <x:f>IF(C76="","",IF(OR(F76="Corporate private",F76="Corporate listed"),IFERROR(IF(INDEX('Borrowers'!$H$9:$H$108,MATCH(D76,'Borrowers'!$C$9:$C$108,0))="","",INDEX('Borrowers'!$H$9:$H$108,MATCH(D76,'Borrowers'!$C$9:$C$108,0))),""),IF(AR76="","",AR76)))</x:f>
      </x:c>
      <x:c r="AL76" s="9" t="str">
        <x:f>IF(C76="","",IF(COUNTIFS($C$9:$C$108,C76)&lt;&gt;1,"Duplicate entity ID",IF(COUNTIFS('Borrowers'!$C$9:$C$108,D76)&lt;&gt;1,"Borrower required",IF(AND(F76&lt;&gt;"Corporate private",F76&lt;&gt;"Corporate listed",F76&lt;&gt;"Project finance",F76&lt;&gt;"CRE",F76&lt;&gt;"Mortgage",F76&lt;&gt;"Motor"),"Method required",IF(OR(AND(F76="Corporate private",IFERROR(IF(INDEX('Borrowers'!$G$9:$G$108,MATCH(D76,'Borrowers'!$C$9:$C$108,0))="","",INDEX('Borrowers'!$G$9:$G$108,MATCH(D76,'Borrowers'!$C$9:$C$108,0))),"")&lt;&gt;"Private"),AND(F76="Corporate listed",IFERROR(IF(INDEX('Borrowers'!$G$9:$G$108,MATCH(D76,'Borrowers'!$C$9:$C$108,0))="","",INDEX('Borrowers'!$G$9:$G$108,MATCH(D76,'Borrowers'!$C$9:$C$108,0))),"")&lt;&gt;"Listed")),"Listing / class mismatch",IF(OR(NOT(ISNUMBER(N76)),N76&lt;=0,AJ76="",NOT(ISNUMBER(AK76))),"Value evidence required",IF(AND(OR(F76="Corporate private",F76="Corporate listed"),IFERROR(IF(INDEX('Borrowers'!$Y$9:$Y$108,MATCH(D76,'Borrowers'!$C$9:$C$108,0))="","",INDEX('Borrowers'!$Y$9:$Y$108,MATCH(D76,'Borrowers'!$C$9:$C$108,0))),"")&lt;'Settings'!$F$8),"Expired financial evidence",IF(AK76&gt;'Settings'!$F$8,"Future value date",IF(OR(AND(OR(F76="Corporate private",F76="Project finance"),OR(J76&lt;0,M76&lt;&gt;"Current financials")),AND(F76="Corporate listed",M76&lt;&gt;"Current financials"),AND(OR(F76="CRE",F76="Mortgage",F76="Motor"),AND(M76&lt;&gt;"Origination",M76&lt;&gt;"Fixed fallback"))),"Value basis review",IF(AND(M76="Current financials",YEAR(AK76)&lt;&gt;YEAR('Settings'!$F$8)),"Stale financial period","Ready"))))))))))</x:f>
      </x:c>
      <x:c r="AM76" s="8"/>
      <x:c r="AN76" s="8"/>
      <x:c r="AO76" s="16"/>
      <x:c r="AP76" s="16"/>
      <x:c r="AQ76" s="8"/>
      <x:c r="AR76" s="40"/>
    </x:row>
    <x:row r="77" ht="40" customHeight="1">
      <x:c r="A77" s="1"/>
      <x:c r="B77" s="1"/>
      <x:c r="C77" s="8"/>
      <x:c r="D77" s="8"/>
      <x:c r="E77" s="8"/>
      <x:c r="F77" s="8"/>
      <x:c r="G77" s="9" t="str">
        <x:f>IF(C77="","",IFERROR(IF(INDEX('Borrowers'!$E$9:$E$108,MATCH(D77,'Borrowers'!$C$9:$C$108,0))="","",INDEX('Borrowers'!$E$9:$E$108,MATCH(D77,'Borrowers'!$C$9:$C$108,0))),""))</x:f>
      </x:c>
      <x:c r="H77" s="40"/>
      <x:c r="I77" s="23" t="str">
        <x:f>IF(C77="","",IF(OR(F77="Corporate private",F77="Corporate listed"),IFERROR(IF(INDEX('Borrowers'!$M$9:$M$108,MATCH(D77,'Borrowers'!$C$9:$C$108,0))="","",INDEX('Borrowers'!$M$9:$M$108,MATCH(D77,'Borrowers'!$C$9:$C$108,0))),""),IF(F77="Project finance",IF(ISNUMBER(AO77),AO77,""),"")))</x:f>
      </x:c>
      <x:c r="J77" s="23" t="str">
        <x:f>IF(C77="","",IF(OR(F77="Corporate private",F77="Corporate listed"),IFERROR(IF(INDEX('Borrowers'!$N$9:$N$108,MATCH(D77,'Borrowers'!$C$9:$C$108,0))="","",INDEX('Borrowers'!$N$9:$N$108,MATCH(D77,'Borrowers'!$C$9:$C$108,0))),""),IF(F77="Project finance",IF(ISNUMBER(AP77),AP77,""),"")))</x:f>
      </x:c>
      <x:c r="K77" s="23" t="str">
        <x:f>IF(C77="","",IF(F77="Corporate listed",IFERROR(IF(INDEX('Borrowers'!$O$9:$O$108,MATCH(D77,'Borrowers'!$C$9:$C$108,0))="","",INDEX('Borrowers'!$O$9:$O$108,MATCH(D77,'Borrowers'!$C$9:$C$108,0))),""),""))</x:f>
      </x:c>
      <x:c r="L77" s="16"/>
      <x:c r="M77" s="8"/>
      <x:c r="N77" s="21" t="str">
        <x:f>IF(C77="","",IF(F77="Corporate listed",IF(ISNUMBER(K77),K77,""),IF(OR(F77="Corporate private",F77="Project finance"),IF(AND(ISNUMBER(I77),ISNUMBER(J77)),MAX(I77,0)+J77,""),IF(OR(F77="CRE",F77="Mortgage",F77="Motor"),IF(ISNUMBER(L77),L77,""),""))))</x:f>
      </x:c>
      <x:c r="O77" s="8"/>
      <x:c r="P77" s="40"/>
      <x:c r="Q77" s="8"/>
      <x:c r="R77" s="16"/>
      <x:c r="S77" s="8"/>
      <x:c r="T77" s="23" t="str">
        <x:f>IF(V77="Ready",IF(Q77="Activity",SUMIFS('Activity Data'!$U$9:$U$308,'Activity Data'!$D$9:$D$308,C77,'Activity Data'!$F$9:$F$308,"S1"),R77),"")</x:f>
      </x:c>
      <x:c r="U77" s="44" t="str">
        <x:f>IF(V77&lt;&gt;"Ready","",IF(Q77="Reported verified",1,IF(Q77="Reported unverified",2,IF(F77="Motor",1,2))))</x:f>
      </x:c>
      <x:c r="V77" s="9" t="str">
        <x:f>IF(C77="","",IF(Q77="Not assessed","Not assessed",IF(OR(O77="",NOT(ISNUMBER(H77)),NOT(ISNUMBER(P77))),"Evidence required",IF(OR(P77&lt;'Settings'!$F$8,H77&gt;'Settings'!$F$8,YEAR(H77)&lt;&gt;YEAR('Settings'!$F$8)),"Period / expiry review",IF(S77&lt;&gt;"Yes","Boundary incomplete",IF(OR(Q77="Reported verified",Q77="Reported unverified"),IF(NOT(OR(F77="Corporate private",F77="Corporate listed",F77="Project finance")),"Asset method required",IF(OR(NOT(ISNUMBER(R77)),R77&lt;0),"Reported value required","Ready")),IF(Q77="Activity",IF(AND(COUNTIFS('Activity Data'!$D$9:$D$308,C77,'Activity Data'!$F$9:$F$308,"S1")&gt;0,COUNTIFS('Activity Data'!$D$9:$D$308,C77,'Activity Data'!$F$9:$F$308,"S1")=COUNTIFS('Activity Data'!$D$9:$D$308,C77,'Activity Data'!$F$9:$F$308,"S1",'Activity Data'!$V$9:$V$308,"Ready")),"Ready","Activity incomplete"),"Method required")))))))</x:f>
      </x:c>
      <x:c r="W77" s="8"/>
      <x:c r="X77" s="16"/>
      <x:c r="Y77" s="8"/>
      <x:c r="Z77" s="23" t="str">
        <x:f>IF(AB77="Ready",IF(W77="Activity",SUMIFS('Activity Data'!$U$9:$U$308,'Activity Data'!$D$9:$D$308,C77,'Activity Data'!$F$9:$F$308,"S2"),X77),"")</x:f>
      </x:c>
      <x:c r="AA77" s="44" t="str">
        <x:f>IF(AB77&lt;&gt;"Ready","",IF(W77="Reported verified",1,IF(W77="Reported unverified",2,IF(F77="Motor",1,2))))</x:f>
      </x:c>
      <x:c r="AB77" s="9" t="str">
        <x:f>IF(C77="","",IF(W77="Not assessed","Not assessed",IF(OR(O77="",NOT(ISNUMBER(H77)),NOT(ISNUMBER(P77))),"Evidence required",IF(OR(P77&lt;'Settings'!$F$8,H77&gt;'Settings'!$F$8,YEAR(H77)&lt;&gt;YEAR('Settings'!$F$8)),"Period / expiry review",IF(Y77&lt;&gt;"Yes","Boundary incomplete",IF(OR(AND(AC77&lt;&gt;"Location-based",AC77&lt;&gt;"Market-based"),AND(W77="Activity",AC77&lt;&gt;"Location-based")),"S2 basis mismatch",IF(OR(W77="Reported verified",W77="Reported unverified"),IF(NOT(OR(F77="Corporate private",F77="Corporate listed",F77="Project finance")),"Asset method required",IF(OR(NOT(ISNUMBER(X77)),X77&lt;0),"Reported value required","Ready")),IF(W77="Activity",IF(AND(COUNTIFS('Activity Data'!$D$9:$D$308,C77,'Activity Data'!$F$9:$F$308,"S2")&gt;0,COUNTIFS('Activity Data'!$D$9:$D$308,C77,'Activity Data'!$F$9:$F$308,"S2")=COUNTIFS('Activity Data'!$D$9:$D$308,C77,'Activity Data'!$F$9:$F$308,"S2",'Activity Data'!$V$9:$V$308,"Ready")),"Ready","Activity incomplete"),"Method required"))))))))</x:f>
      </x:c>
      <x:c r="AC77" s="8"/>
      <x:c r="AD77" s="8"/>
      <x:c r="AE77" s="16"/>
      <x:c r="AF77" s="8"/>
      <x:c r="AG77" s="23" t="str">
        <x:f>IF(AI77="Ready",IF(AD77="Activity",SUMIFS('Activity Data'!$U$9:$U$308,'Activity Data'!$D$9:$D$308,C77,'Activity Data'!$F$9:$F$308,"S3"),AE77),"")</x:f>
      </x:c>
      <x:c r="AH77" s="44" t="str">
        <x:f>IF(AI77&lt;&gt;"Ready","",IF(AD77="Reported verified",1,IF(AD77="Reported unverified",2,IF(F77="Motor",1,2))))</x:f>
      </x:c>
      <x:c r="AI77" s="9" t="str">
        <x:f>IF(C77="","",IF(AD77="Not assessed","Not assessed",IF(OR(O77="",NOT(ISNUMBER(H77)),NOT(ISNUMBER(P77))),"Evidence required",IF(OR(P77&lt;'Settings'!$F$8,H77&gt;'Settings'!$F$8,YEAR(H77)&lt;&gt;YEAR('Settings'!$F$8)),"Period / expiry review",IF(AF77&lt;&gt;"Yes","Boundary incomplete",IF(AM77="","S3 screening required",IF(OR(AD77="Reported verified",AD77="Reported unverified"),IF(NOT(OR(F77="Corporate private",F77="Corporate listed",F77="Project finance")),"Asset method required",IF(OR(NOT(ISNUMBER(AE77)),AE77&lt;0),"Reported value required","Ready")),"Scope 3 method required")))))))</x:f>
      </x:c>
      <x:c r="AJ77" s="9" t="str">
        <x:f>IF(C77="","",IF(OR(F77="Corporate private",F77="Corporate listed"),IFERROR(IF(INDEX('Borrowers'!$X$9:$X$108,MATCH(D77,'Borrowers'!$C$9:$C$108,0))="","",INDEX('Borrowers'!$X$9:$X$108,MATCH(D77,'Borrowers'!$C$9:$C$108,0))),""),IF(AQ77="","",AQ77)))</x:f>
      </x:c>
      <x:c r="AK77" s="43" t="str">
        <x:f>IF(C77="","",IF(OR(F77="Corporate private",F77="Corporate listed"),IFERROR(IF(INDEX('Borrowers'!$H$9:$H$108,MATCH(D77,'Borrowers'!$C$9:$C$108,0))="","",INDEX('Borrowers'!$H$9:$H$108,MATCH(D77,'Borrowers'!$C$9:$C$108,0))),""),IF(AR77="","",AR77)))</x:f>
      </x:c>
      <x:c r="AL77" s="9" t="str">
        <x:f>IF(C77="","",IF(COUNTIFS($C$9:$C$108,C77)&lt;&gt;1,"Duplicate entity ID",IF(COUNTIFS('Borrowers'!$C$9:$C$108,D77)&lt;&gt;1,"Borrower required",IF(AND(F77&lt;&gt;"Corporate private",F77&lt;&gt;"Corporate listed",F77&lt;&gt;"Project finance",F77&lt;&gt;"CRE",F77&lt;&gt;"Mortgage",F77&lt;&gt;"Motor"),"Method required",IF(OR(AND(F77="Corporate private",IFERROR(IF(INDEX('Borrowers'!$G$9:$G$108,MATCH(D77,'Borrowers'!$C$9:$C$108,0))="","",INDEX('Borrowers'!$G$9:$G$108,MATCH(D77,'Borrowers'!$C$9:$C$108,0))),"")&lt;&gt;"Private"),AND(F77="Corporate listed",IFERROR(IF(INDEX('Borrowers'!$G$9:$G$108,MATCH(D77,'Borrowers'!$C$9:$C$108,0))="","",INDEX('Borrowers'!$G$9:$G$108,MATCH(D77,'Borrowers'!$C$9:$C$108,0))),"")&lt;&gt;"Listed")),"Listing / class mismatch",IF(OR(NOT(ISNUMBER(N77)),N77&lt;=0,AJ77="",NOT(ISNUMBER(AK77))),"Value evidence required",IF(AND(OR(F77="Corporate private",F77="Corporate listed"),IFERROR(IF(INDEX('Borrowers'!$Y$9:$Y$108,MATCH(D77,'Borrowers'!$C$9:$C$108,0))="","",INDEX('Borrowers'!$Y$9:$Y$108,MATCH(D77,'Borrowers'!$C$9:$C$108,0))),"")&lt;'Settings'!$F$8),"Expired financial evidence",IF(AK77&gt;'Settings'!$F$8,"Future value date",IF(OR(AND(OR(F77="Corporate private",F77="Project finance"),OR(J77&lt;0,M77&lt;&gt;"Current financials")),AND(F77="Corporate listed",M77&lt;&gt;"Current financials"),AND(OR(F77="CRE",F77="Mortgage",F77="Motor"),AND(M77&lt;&gt;"Origination",M77&lt;&gt;"Fixed fallback"))),"Value basis review",IF(AND(M77="Current financials",YEAR(AK77)&lt;&gt;YEAR('Settings'!$F$8)),"Stale financial period","Ready"))))))))))</x:f>
      </x:c>
      <x:c r="AM77" s="8"/>
      <x:c r="AN77" s="8"/>
      <x:c r="AO77" s="16"/>
      <x:c r="AP77" s="16"/>
      <x:c r="AQ77" s="8"/>
      <x:c r="AR77" s="40"/>
    </x:row>
    <x:row r="78" ht="40" customHeight="1">
      <x:c r="A78" s="1"/>
      <x:c r="B78" s="1"/>
      <x:c r="C78" s="8"/>
      <x:c r="D78" s="8"/>
      <x:c r="E78" s="8"/>
      <x:c r="F78" s="8"/>
      <x:c r="G78" s="9" t="str">
        <x:f>IF(C78="","",IFERROR(IF(INDEX('Borrowers'!$E$9:$E$108,MATCH(D78,'Borrowers'!$C$9:$C$108,0))="","",INDEX('Borrowers'!$E$9:$E$108,MATCH(D78,'Borrowers'!$C$9:$C$108,0))),""))</x:f>
      </x:c>
      <x:c r="H78" s="40"/>
      <x:c r="I78" s="23" t="str">
        <x:f>IF(C78="","",IF(OR(F78="Corporate private",F78="Corporate listed"),IFERROR(IF(INDEX('Borrowers'!$M$9:$M$108,MATCH(D78,'Borrowers'!$C$9:$C$108,0))="","",INDEX('Borrowers'!$M$9:$M$108,MATCH(D78,'Borrowers'!$C$9:$C$108,0))),""),IF(F78="Project finance",IF(ISNUMBER(AO78),AO78,""),"")))</x:f>
      </x:c>
      <x:c r="J78" s="23" t="str">
        <x:f>IF(C78="","",IF(OR(F78="Corporate private",F78="Corporate listed"),IFERROR(IF(INDEX('Borrowers'!$N$9:$N$108,MATCH(D78,'Borrowers'!$C$9:$C$108,0))="","",INDEX('Borrowers'!$N$9:$N$108,MATCH(D78,'Borrowers'!$C$9:$C$108,0))),""),IF(F78="Project finance",IF(ISNUMBER(AP78),AP78,""),"")))</x:f>
      </x:c>
      <x:c r="K78" s="23" t="str">
        <x:f>IF(C78="","",IF(F78="Corporate listed",IFERROR(IF(INDEX('Borrowers'!$O$9:$O$108,MATCH(D78,'Borrowers'!$C$9:$C$108,0))="","",INDEX('Borrowers'!$O$9:$O$108,MATCH(D78,'Borrowers'!$C$9:$C$108,0))),""),""))</x:f>
      </x:c>
      <x:c r="L78" s="16"/>
      <x:c r="M78" s="8"/>
      <x:c r="N78" s="21" t="str">
        <x:f>IF(C78="","",IF(F78="Corporate listed",IF(ISNUMBER(K78),K78,""),IF(OR(F78="Corporate private",F78="Project finance"),IF(AND(ISNUMBER(I78),ISNUMBER(J78)),MAX(I78,0)+J78,""),IF(OR(F78="CRE",F78="Mortgage",F78="Motor"),IF(ISNUMBER(L78),L78,""),""))))</x:f>
      </x:c>
      <x:c r="O78" s="8"/>
      <x:c r="P78" s="40"/>
      <x:c r="Q78" s="8"/>
      <x:c r="R78" s="16"/>
      <x:c r="S78" s="8"/>
      <x:c r="T78" s="23" t="str">
        <x:f>IF(V78="Ready",IF(Q78="Activity",SUMIFS('Activity Data'!$U$9:$U$308,'Activity Data'!$D$9:$D$308,C78,'Activity Data'!$F$9:$F$308,"S1"),R78),"")</x:f>
      </x:c>
      <x:c r="U78" s="44" t="str">
        <x:f>IF(V78&lt;&gt;"Ready","",IF(Q78="Reported verified",1,IF(Q78="Reported unverified",2,IF(F78="Motor",1,2))))</x:f>
      </x:c>
      <x:c r="V78" s="9" t="str">
        <x:f>IF(C78="","",IF(Q78="Not assessed","Not assessed",IF(OR(O78="",NOT(ISNUMBER(H78)),NOT(ISNUMBER(P78))),"Evidence required",IF(OR(P78&lt;'Settings'!$F$8,H78&gt;'Settings'!$F$8,YEAR(H78)&lt;&gt;YEAR('Settings'!$F$8)),"Period / expiry review",IF(S78&lt;&gt;"Yes","Boundary incomplete",IF(OR(Q78="Reported verified",Q78="Reported unverified"),IF(NOT(OR(F78="Corporate private",F78="Corporate listed",F78="Project finance")),"Asset method required",IF(OR(NOT(ISNUMBER(R78)),R78&lt;0),"Reported value required","Ready")),IF(Q78="Activity",IF(AND(COUNTIFS('Activity Data'!$D$9:$D$308,C78,'Activity Data'!$F$9:$F$308,"S1")&gt;0,COUNTIFS('Activity Data'!$D$9:$D$308,C78,'Activity Data'!$F$9:$F$308,"S1")=COUNTIFS('Activity Data'!$D$9:$D$308,C78,'Activity Data'!$F$9:$F$308,"S1",'Activity Data'!$V$9:$V$308,"Ready")),"Ready","Activity incomplete"),"Method required")))))))</x:f>
      </x:c>
      <x:c r="W78" s="8"/>
      <x:c r="X78" s="16"/>
      <x:c r="Y78" s="8"/>
      <x:c r="Z78" s="23" t="str">
        <x:f>IF(AB78="Ready",IF(W78="Activity",SUMIFS('Activity Data'!$U$9:$U$308,'Activity Data'!$D$9:$D$308,C78,'Activity Data'!$F$9:$F$308,"S2"),X78),"")</x:f>
      </x:c>
      <x:c r="AA78" s="44" t="str">
        <x:f>IF(AB78&lt;&gt;"Ready","",IF(W78="Reported verified",1,IF(W78="Reported unverified",2,IF(F78="Motor",1,2))))</x:f>
      </x:c>
      <x:c r="AB78" s="9" t="str">
        <x:f>IF(C78="","",IF(W78="Not assessed","Not assessed",IF(OR(O78="",NOT(ISNUMBER(H78)),NOT(ISNUMBER(P78))),"Evidence required",IF(OR(P78&lt;'Settings'!$F$8,H78&gt;'Settings'!$F$8,YEAR(H78)&lt;&gt;YEAR('Settings'!$F$8)),"Period / expiry review",IF(Y78&lt;&gt;"Yes","Boundary incomplete",IF(OR(AND(AC78&lt;&gt;"Location-based",AC78&lt;&gt;"Market-based"),AND(W78="Activity",AC78&lt;&gt;"Location-based")),"S2 basis mismatch",IF(OR(W78="Reported verified",W78="Reported unverified"),IF(NOT(OR(F78="Corporate private",F78="Corporate listed",F78="Project finance")),"Asset method required",IF(OR(NOT(ISNUMBER(X78)),X78&lt;0),"Reported value required","Ready")),IF(W78="Activity",IF(AND(COUNTIFS('Activity Data'!$D$9:$D$308,C78,'Activity Data'!$F$9:$F$308,"S2")&gt;0,COUNTIFS('Activity Data'!$D$9:$D$308,C78,'Activity Data'!$F$9:$F$308,"S2")=COUNTIFS('Activity Data'!$D$9:$D$308,C78,'Activity Data'!$F$9:$F$308,"S2",'Activity Data'!$V$9:$V$308,"Ready")),"Ready","Activity incomplete"),"Method required"))))))))</x:f>
      </x:c>
      <x:c r="AC78" s="8"/>
      <x:c r="AD78" s="8"/>
      <x:c r="AE78" s="16"/>
      <x:c r="AF78" s="8"/>
      <x:c r="AG78" s="23" t="str">
        <x:f>IF(AI78="Ready",IF(AD78="Activity",SUMIFS('Activity Data'!$U$9:$U$308,'Activity Data'!$D$9:$D$308,C78,'Activity Data'!$F$9:$F$308,"S3"),AE78),"")</x:f>
      </x:c>
      <x:c r="AH78" s="44" t="str">
        <x:f>IF(AI78&lt;&gt;"Ready","",IF(AD78="Reported verified",1,IF(AD78="Reported unverified",2,IF(F78="Motor",1,2))))</x:f>
      </x:c>
      <x:c r="AI78" s="9" t="str">
        <x:f>IF(C78="","",IF(AD78="Not assessed","Not assessed",IF(OR(O78="",NOT(ISNUMBER(H78)),NOT(ISNUMBER(P78))),"Evidence required",IF(OR(P78&lt;'Settings'!$F$8,H78&gt;'Settings'!$F$8,YEAR(H78)&lt;&gt;YEAR('Settings'!$F$8)),"Period / expiry review",IF(AF78&lt;&gt;"Yes","Boundary incomplete",IF(AM78="","S3 screening required",IF(OR(AD78="Reported verified",AD78="Reported unverified"),IF(NOT(OR(F78="Corporate private",F78="Corporate listed",F78="Project finance")),"Asset method required",IF(OR(NOT(ISNUMBER(AE78)),AE78&lt;0),"Reported value required","Ready")),"Scope 3 method required")))))))</x:f>
      </x:c>
      <x:c r="AJ78" s="9" t="str">
        <x:f>IF(C78="","",IF(OR(F78="Corporate private",F78="Corporate listed"),IFERROR(IF(INDEX('Borrowers'!$X$9:$X$108,MATCH(D78,'Borrowers'!$C$9:$C$108,0))="","",INDEX('Borrowers'!$X$9:$X$108,MATCH(D78,'Borrowers'!$C$9:$C$108,0))),""),IF(AQ78="","",AQ78)))</x:f>
      </x:c>
      <x:c r="AK78" s="43" t="str">
        <x:f>IF(C78="","",IF(OR(F78="Corporate private",F78="Corporate listed"),IFERROR(IF(INDEX('Borrowers'!$H$9:$H$108,MATCH(D78,'Borrowers'!$C$9:$C$108,0))="","",INDEX('Borrowers'!$H$9:$H$108,MATCH(D78,'Borrowers'!$C$9:$C$108,0))),""),IF(AR78="","",AR78)))</x:f>
      </x:c>
      <x:c r="AL78" s="9" t="str">
        <x:f>IF(C78="","",IF(COUNTIFS($C$9:$C$108,C78)&lt;&gt;1,"Duplicate entity ID",IF(COUNTIFS('Borrowers'!$C$9:$C$108,D78)&lt;&gt;1,"Borrower required",IF(AND(F78&lt;&gt;"Corporate private",F78&lt;&gt;"Corporate listed",F78&lt;&gt;"Project finance",F78&lt;&gt;"CRE",F78&lt;&gt;"Mortgage",F78&lt;&gt;"Motor"),"Method required",IF(OR(AND(F78="Corporate private",IFERROR(IF(INDEX('Borrowers'!$G$9:$G$108,MATCH(D78,'Borrowers'!$C$9:$C$108,0))="","",INDEX('Borrowers'!$G$9:$G$108,MATCH(D78,'Borrowers'!$C$9:$C$108,0))),"")&lt;&gt;"Private"),AND(F78="Corporate listed",IFERROR(IF(INDEX('Borrowers'!$G$9:$G$108,MATCH(D78,'Borrowers'!$C$9:$C$108,0))="","",INDEX('Borrowers'!$G$9:$G$108,MATCH(D78,'Borrowers'!$C$9:$C$108,0))),"")&lt;&gt;"Listed")),"Listing / class mismatch",IF(OR(NOT(ISNUMBER(N78)),N78&lt;=0,AJ78="",NOT(ISNUMBER(AK78))),"Value evidence required",IF(AND(OR(F78="Corporate private",F78="Corporate listed"),IFERROR(IF(INDEX('Borrowers'!$Y$9:$Y$108,MATCH(D78,'Borrowers'!$C$9:$C$108,0))="","",INDEX('Borrowers'!$Y$9:$Y$108,MATCH(D78,'Borrowers'!$C$9:$C$108,0))),"")&lt;'Settings'!$F$8),"Expired financial evidence",IF(AK78&gt;'Settings'!$F$8,"Future value date",IF(OR(AND(OR(F78="Corporate private",F78="Project finance"),OR(J78&lt;0,M78&lt;&gt;"Current financials")),AND(F78="Corporate listed",M78&lt;&gt;"Current financials"),AND(OR(F78="CRE",F78="Mortgage",F78="Motor"),AND(M78&lt;&gt;"Origination",M78&lt;&gt;"Fixed fallback"))),"Value basis review",IF(AND(M78="Current financials",YEAR(AK78)&lt;&gt;YEAR('Settings'!$F$8)),"Stale financial period","Ready"))))))))))</x:f>
      </x:c>
      <x:c r="AM78" s="8"/>
      <x:c r="AN78" s="8"/>
      <x:c r="AO78" s="16"/>
      <x:c r="AP78" s="16"/>
      <x:c r="AQ78" s="8"/>
      <x:c r="AR78" s="40"/>
    </x:row>
    <x:row r="79" ht="40" customHeight="1">
      <x:c r="A79" s="1"/>
      <x:c r="B79" s="1"/>
      <x:c r="C79" s="8"/>
      <x:c r="D79" s="8"/>
      <x:c r="E79" s="8"/>
      <x:c r="F79" s="8"/>
      <x:c r="G79" s="9" t="str">
        <x:f>IF(C79="","",IFERROR(IF(INDEX('Borrowers'!$E$9:$E$108,MATCH(D79,'Borrowers'!$C$9:$C$108,0))="","",INDEX('Borrowers'!$E$9:$E$108,MATCH(D79,'Borrowers'!$C$9:$C$108,0))),""))</x:f>
      </x:c>
      <x:c r="H79" s="40"/>
      <x:c r="I79" s="23" t="str">
        <x:f>IF(C79="","",IF(OR(F79="Corporate private",F79="Corporate listed"),IFERROR(IF(INDEX('Borrowers'!$M$9:$M$108,MATCH(D79,'Borrowers'!$C$9:$C$108,0))="","",INDEX('Borrowers'!$M$9:$M$108,MATCH(D79,'Borrowers'!$C$9:$C$108,0))),""),IF(F79="Project finance",IF(ISNUMBER(AO79),AO79,""),"")))</x:f>
      </x:c>
      <x:c r="J79" s="23" t="str">
        <x:f>IF(C79="","",IF(OR(F79="Corporate private",F79="Corporate listed"),IFERROR(IF(INDEX('Borrowers'!$N$9:$N$108,MATCH(D79,'Borrowers'!$C$9:$C$108,0))="","",INDEX('Borrowers'!$N$9:$N$108,MATCH(D79,'Borrowers'!$C$9:$C$108,0))),""),IF(F79="Project finance",IF(ISNUMBER(AP79),AP79,""),"")))</x:f>
      </x:c>
      <x:c r="K79" s="23" t="str">
        <x:f>IF(C79="","",IF(F79="Corporate listed",IFERROR(IF(INDEX('Borrowers'!$O$9:$O$108,MATCH(D79,'Borrowers'!$C$9:$C$108,0))="","",INDEX('Borrowers'!$O$9:$O$108,MATCH(D79,'Borrowers'!$C$9:$C$108,0))),""),""))</x:f>
      </x:c>
      <x:c r="L79" s="16"/>
      <x:c r="M79" s="8"/>
      <x:c r="N79" s="21" t="str">
        <x:f>IF(C79="","",IF(F79="Corporate listed",IF(ISNUMBER(K79),K79,""),IF(OR(F79="Corporate private",F79="Project finance"),IF(AND(ISNUMBER(I79),ISNUMBER(J79)),MAX(I79,0)+J79,""),IF(OR(F79="CRE",F79="Mortgage",F79="Motor"),IF(ISNUMBER(L79),L79,""),""))))</x:f>
      </x:c>
      <x:c r="O79" s="8"/>
      <x:c r="P79" s="40"/>
      <x:c r="Q79" s="8"/>
      <x:c r="R79" s="16"/>
      <x:c r="S79" s="8"/>
      <x:c r="T79" s="23" t="str">
        <x:f>IF(V79="Ready",IF(Q79="Activity",SUMIFS('Activity Data'!$U$9:$U$308,'Activity Data'!$D$9:$D$308,C79,'Activity Data'!$F$9:$F$308,"S1"),R79),"")</x:f>
      </x:c>
      <x:c r="U79" s="44" t="str">
        <x:f>IF(V79&lt;&gt;"Ready","",IF(Q79="Reported verified",1,IF(Q79="Reported unverified",2,IF(F79="Motor",1,2))))</x:f>
      </x:c>
      <x:c r="V79" s="9" t="str">
        <x:f>IF(C79="","",IF(Q79="Not assessed","Not assessed",IF(OR(O79="",NOT(ISNUMBER(H79)),NOT(ISNUMBER(P79))),"Evidence required",IF(OR(P79&lt;'Settings'!$F$8,H79&gt;'Settings'!$F$8,YEAR(H79)&lt;&gt;YEAR('Settings'!$F$8)),"Period / expiry review",IF(S79&lt;&gt;"Yes","Boundary incomplete",IF(OR(Q79="Reported verified",Q79="Reported unverified"),IF(NOT(OR(F79="Corporate private",F79="Corporate listed",F79="Project finance")),"Asset method required",IF(OR(NOT(ISNUMBER(R79)),R79&lt;0),"Reported value required","Ready")),IF(Q79="Activity",IF(AND(COUNTIFS('Activity Data'!$D$9:$D$308,C79,'Activity Data'!$F$9:$F$308,"S1")&gt;0,COUNTIFS('Activity Data'!$D$9:$D$308,C79,'Activity Data'!$F$9:$F$308,"S1")=COUNTIFS('Activity Data'!$D$9:$D$308,C79,'Activity Data'!$F$9:$F$308,"S1",'Activity Data'!$V$9:$V$308,"Ready")),"Ready","Activity incomplete"),"Method required")))))))</x:f>
      </x:c>
      <x:c r="W79" s="8"/>
      <x:c r="X79" s="16"/>
      <x:c r="Y79" s="8"/>
      <x:c r="Z79" s="23" t="str">
        <x:f>IF(AB79="Ready",IF(W79="Activity",SUMIFS('Activity Data'!$U$9:$U$308,'Activity Data'!$D$9:$D$308,C79,'Activity Data'!$F$9:$F$308,"S2"),X79),"")</x:f>
      </x:c>
      <x:c r="AA79" s="44" t="str">
        <x:f>IF(AB79&lt;&gt;"Ready","",IF(W79="Reported verified",1,IF(W79="Reported unverified",2,IF(F79="Motor",1,2))))</x:f>
      </x:c>
      <x:c r="AB79" s="9" t="str">
        <x:f>IF(C79="","",IF(W79="Not assessed","Not assessed",IF(OR(O79="",NOT(ISNUMBER(H79)),NOT(ISNUMBER(P79))),"Evidence required",IF(OR(P79&lt;'Settings'!$F$8,H79&gt;'Settings'!$F$8,YEAR(H79)&lt;&gt;YEAR('Settings'!$F$8)),"Period / expiry review",IF(Y79&lt;&gt;"Yes","Boundary incomplete",IF(OR(AND(AC79&lt;&gt;"Location-based",AC79&lt;&gt;"Market-based"),AND(W79="Activity",AC79&lt;&gt;"Location-based")),"S2 basis mismatch",IF(OR(W79="Reported verified",W79="Reported unverified"),IF(NOT(OR(F79="Corporate private",F79="Corporate listed",F79="Project finance")),"Asset method required",IF(OR(NOT(ISNUMBER(X79)),X79&lt;0),"Reported value required","Ready")),IF(W79="Activity",IF(AND(COUNTIFS('Activity Data'!$D$9:$D$308,C79,'Activity Data'!$F$9:$F$308,"S2")&gt;0,COUNTIFS('Activity Data'!$D$9:$D$308,C79,'Activity Data'!$F$9:$F$308,"S2")=COUNTIFS('Activity Data'!$D$9:$D$308,C79,'Activity Data'!$F$9:$F$308,"S2",'Activity Data'!$V$9:$V$308,"Ready")),"Ready","Activity incomplete"),"Method required"))))))))</x:f>
      </x:c>
      <x:c r="AC79" s="8"/>
      <x:c r="AD79" s="8"/>
      <x:c r="AE79" s="16"/>
      <x:c r="AF79" s="8"/>
      <x:c r="AG79" s="23" t="str">
        <x:f>IF(AI79="Ready",IF(AD79="Activity",SUMIFS('Activity Data'!$U$9:$U$308,'Activity Data'!$D$9:$D$308,C79,'Activity Data'!$F$9:$F$308,"S3"),AE79),"")</x:f>
      </x:c>
      <x:c r="AH79" s="44" t="str">
        <x:f>IF(AI79&lt;&gt;"Ready","",IF(AD79="Reported verified",1,IF(AD79="Reported unverified",2,IF(F79="Motor",1,2))))</x:f>
      </x:c>
      <x:c r="AI79" s="9" t="str">
        <x:f>IF(C79="","",IF(AD79="Not assessed","Not assessed",IF(OR(O79="",NOT(ISNUMBER(H79)),NOT(ISNUMBER(P79))),"Evidence required",IF(OR(P79&lt;'Settings'!$F$8,H79&gt;'Settings'!$F$8,YEAR(H79)&lt;&gt;YEAR('Settings'!$F$8)),"Period / expiry review",IF(AF79&lt;&gt;"Yes","Boundary incomplete",IF(AM79="","S3 screening required",IF(OR(AD79="Reported verified",AD79="Reported unverified"),IF(NOT(OR(F79="Corporate private",F79="Corporate listed",F79="Project finance")),"Asset method required",IF(OR(NOT(ISNUMBER(AE79)),AE79&lt;0),"Reported value required","Ready")),"Scope 3 method required")))))))</x:f>
      </x:c>
      <x:c r="AJ79" s="9" t="str">
        <x:f>IF(C79="","",IF(OR(F79="Corporate private",F79="Corporate listed"),IFERROR(IF(INDEX('Borrowers'!$X$9:$X$108,MATCH(D79,'Borrowers'!$C$9:$C$108,0))="","",INDEX('Borrowers'!$X$9:$X$108,MATCH(D79,'Borrowers'!$C$9:$C$108,0))),""),IF(AQ79="","",AQ79)))</x:f>
      </x:c>
      <x:c r="AK79" s="43" t="str">
        <x:f>IF(C79="","",IF(OR(F79="Corporate private",F79="Corporate listed"),IFERROR(IF(INDEX('Borrowers'!$H$9:$H$108,MATCH(D79,'Borrowers'!$C$9:$C$108,0))="","",INDEX('Borrowers'!$H$9:$H$108,MATCH(D79,'Borrowers'!$C$9:$C$108,0))),""),IF(AR79="","",AR79)))</x:f>
      </x:c>
      <x:c r="AL79" s="9" t="str">
        <x:f>IF(C79="","",IF(COUNTIFS($C$9:$C$108,C79)&lt;&gt;1,"Duplicate entity ID",IF(COUNTIFS('Borrowers'!$C$9:$C$108,D79)&lt;&gt;1,"Borrower required",IF(AND(F79&lt;&gt;"Corporate private",F79&lt;&gt;"Corporate listed",F79&lt;&gt;"Project finance",F79&lt;&gt;"CRE",F79&lt;&gt;"Mortgage",F79&lt;&gt;"Motor"),"Method required",IF(OR(AND(F79="Corporate private",IFERROR(IF(INDEX('Borrowers'!$G$9:$G$108,MATCH(D79,'Borrowers'!$C$9:$C$108,0))="","",INDEX('Borrowers'!$G$9:$G$108,MATCH(D79,'Borrowers'!$C$9:$C$108,0))),"")&lt;&gt;"Private"),AND(F79="Corporate listed",IFERROR(IF(INDEX('Borrowers'!$G$9:$G$108,MATCH(D79,'Borrowers'!$C$9:$C$108,0))="","",INDEX('Borrowers'!$G$9:$G$108,MATCH(D79,'Borrowers'!$C$9:$C$108,0))),"")&lt;&gt;"Listed")),"Listing / class mismatch",IF(OR(NOT(ISNUMBER(N79)),N79&lt;=0,AJ79="",NOT(ISNUMBER(AK79))),"Value evidence required",IF(AND(OR(F79="Corporate private",F79="Corporate listed"),IFERROR(IF(INDEX('Borrowers'!$Y$9:$Y$108,MATCH(D79,'Borrowers'!$C$9:$C$108,0))="","",INDEX('Borrowers'!$Y$9:$Y$108,MATCH(D79,'Borrowers'!$C$9:$C$108,0))),"")&lt;'Settings'!$F$8),"Expired financial evidence",IF(AK79&gt;'Settings'!$F$8,"Future value date",IF(OR(AND(OR(F79="Corporate private",F79="Project finance"),OR(J79&lt;0,M79&lt;&gt;"Current financials")),AND(F79="Corporate listed",M79&lt;&gt;"Current financials"),AND(OR(F79="CRE",F79="Mortgage",F79="Motor"),AND(M79&lt;&gt;"Origination",M79&lt;&gt;"Fixed fallback"))),"Value basis review",IF(AND(M79="Current financials",YEAR(AK79)&lt;&gt;YEAR('Settings'!$F$8)),"Stale financial period","Ready"))))))))))</x:f>
      </x:c>
      <x:c r="AM79" s="8"/>
      <x:c r="AN79" s="8"/>
      <x:c r="AO79" s="16"/>
      <x:c r="AP79" s="16"/>
      <x:c r="AQ79" s="8"/>
      <x:c r="AR79" s="40"/>
    </x:row>
    <x:row r="80" ht="40" customHeight="1">
      <x:c r="A80" s="1"/>
      <x:c r="B80" s="1"/>
      <x:c r="C80" s="8"/>
      <x:c r="D80" s="8"/>
      <x:c r="E80" s="8"/>
      <x:c r="F80" s="8"/>
      <x:c r="G80" s="9" t="str">
        <x:f>IF(C80="","",IFERROR(IF(INDEX('Borrowers'!$E$9:$E$108,MATCH(D80,'Borrowers'!$C$9:$C$108,0))="","",INDEX('Borrowers'!$E$9:$E$108,MATCH(D80,'Borrowers'!$C$9:$C$108,0))),""))</x:f>
      </x:c>
      <x:c r="H80" s="40"/>
      <x:c r="I80" s="23" t="str">
        <x:f>IF(C80="","",IF(OR(F80="Corporate private",F80="Corporate listed"),IFERROR(IF(INDEX('Borrowers'!$M$9:$M$108,MATCH(D80,'Borrowers'!$C$9:$C$108,0))="","",INDEX('Borrowers'!$M$9:$M$108,MATCH(D80,'Borrowers'!$C$9:$C$108,0))),""),IF(F80="Project finance",IF(ISNUMBER(AO80),AO80,""),"")))</x:f>
      </x:c>
      <x:c r="J80" s="23" t="str">
        <x:f>IF(C80="","",IF(OR(F80="Corporate private",F80="Corporate listed"),IFERROR(IF(INDEX('Borrowers'!$N$9:$N$108,MATCH(D80,'Borrowers'!$C$9:$C$108,0))="","",INDEX('Borrowers'!$N$9:$N$108,MATCH(D80,'Borrowers'!$C$9:$C$108,0))),""),IF(F80="Project finance",IF(ISNUMBER(AP80),AP80,""),"")))</x:f>
      </x:c>
      <x:c r="K80" s="23" t="str">
        <x:f>IF(C80="","",IF(F80="Corporate listed",IFERROR(IF(INDEX('Borrowers'!$O$9:$O$108,MATCH(D80,'Borrowers'!$C$9:$C$108,0))="","",INDEX('Borrowers'!$O$9:$O$108,MATCH(D80,'Borrowers'!$C$9:$C$108,0))),""),""))</x:f>
      </x:c>
      <x:c r="L80" s="16"/>
      <x:c r="M80" s="8"/>
      <x:c r="N80" s="21" t="str">
        <x:f>IF(C80="","",IF(F80="Corporate listed",IF(ISNUMBER(K80),K80,""),IF(OR(F80="Corporate private",F80="Project finance"),IF(AND(ISNUMBER(I80),ISNUMBER(J80)),MAX(I80,0)+J80,""),IF(OR(F80="CRE",F80="Mortgage",F80="Motor"),IF(ISNUMBER(L80),L80,""),""))))</x:f>
      </x:c>
      <x:c r="O80" s="8"/>
      <x:c r="P80" s="40"/>
      <x:c r="Q80" s="8"/>
      <x:c r="R80" s="16"/>
      <x:c r="S80" s="8"/>
      <x:c r="T80" s="23" t="str">
        <x:f>IF(V80="Ready",IF(Q80="Activity",SUMIFS('Activity Data'!$U$9:$U$308,'Activity Data'!$D$9:$D$308,C80,'Activity Data'!$F$9:$F$308,"S1"),R80),"")</x:f>
      </x:c>
      <x:c r="U80" s="44" t="str">
        <x:f>IF(V80&lt;&gt;"Ready","",IF(Q80="Reported verified",1,IF(Q80="Reported unverified",2,IF(F80="Motor",1,2))))</x:f>
      </x:c>
      <x:c r="V80" s="9" t="str">
        <x:f>IF(C80="","",IF(Q80="Not assessed","Not assessed",IF(OR(O80="",NOT(ISNUMBER(H80)),NOT(ISNUMBER(P80))),"Evidence required",IF(OR(P80&lt;'Settings'!$F$8,H80&gt;'Settings'!$F$8,YEAR(H80)&lt;&gt;YEAR('Settings'!$F$8)),"Period / expiry review",IF(S80&lt;&gt;"Yes","Boundary incomplete",IF(OR(Q80="Reported verified",Q80="Reported unverified"),IF(NOT(OR(F80="Corporate private",F80="Corporate listed",F80="Project finance")),"Asset method required",IF(OR(NOT(ISNUMBER(R80)),R80&lt;0),"Reported value required","Ready")),IF(Q80="Activity",IF(AND(COUNTIFS('Activity Data'!$D$9:$D$308,C80,'Activity Data'!$F$9:$F$308,"S1")&gt;0,COUNTIFS('Activity Data'!$D$9:$D$308,C80,'Activity Data'!$F$9:$F$308,"S1")=COUNTIFS('Activity Data'!$D$9:$D$308,C80,'Activity Data'!$F$9:$F$308,"S1",'Activity Data'!$V$9:$V$308,"Ready")),"Ready","Activity incomplete"),"Method required")))))))</x:f>
      </x:c>
      <x:c r="W80" s="8"/>
      <x:c r="X80" s="16"/>
      <x:c r="Y80" s="8"/>
      <x:c r="Z80" s="23" t="str">
        <x:f>IF(AB80="Ready",IF(W80="Activity",SUMIFS('Activity Data'!$U$9:$U$308,'Activity Data'!$D$9:$D$308,C80,'Activity Data'!$F$9:$F$308,"S2"),X80),"")</x:f>
      </x:c>
      <x:c r="AA80" s="44" t="str">
        <x:f>IF(AB80&lt;&gt;"Ready","",IF(W80="Reported verified",1,IF(W80="Reported unverified",2,IF(F80="Motor",1,2))))</x:f>
      </x:c>
      <x:c r="AB80" s="9" t="str">
        <x:f>IF(C80="","",IF(W80="Not assessed","Not assessed",IF(OR(O80="",NOT(ISNUMBER(H80)),NOT(ISNUMBER(P80))),"Evidence required",IF(OR(P80&lt;'Settings'!$F$8,H80&gt;'Settings'!$F$8,YEAR(H80)&lt;&gt;YEAR('Settings'!$F$8)),"Period / expiry review",IF(Y80&lt;&gt;"Yes","Boundary incomplete",IF(OR(AND(AC80&lt;&gt;"Location-based",AC80&lt;&gt;"Market-based"),AND(W80="Activity",AC80&lt;&gt;"Location-based")),"S2 basis mismatch",IF(OR(W80="Reported verified",W80="Reported unverified"),IF(NOT(OR(F80="Corporate private",F80="Corporate listed",F80="Project finance")),"Asset method required",IF(OR(NOT(ISNUMBER(X80)),X80&lt;0),"Reported value required","Ready")),IF(W80="Activity",IF(AND(COUNTIFS('Activity Data'!$D$9:$D$308,C80,'Activity Data'!$F$9:$F$308,"S2")&gt;0,COUNTIFS('Activity Data'!$D$9:$D$308,C80,'Activity Data'!$F$9:$F$308,"S2")=COUNTIFS('Activity Data'!$D$9:$D$308,C80,'Activity Data'!$F$9:$F$308,"S2",'Activity Data'!$V$9:$V$308,"Ready")),"Ready","Activity incomplete"),"Method required"))))))))</x:f>
      </x:c>
      <x:c r="AC80" s="8"/>
      <x:c r="AD80" s="8"/>
      <x:c r="AE80" s="16"/>
      <x:c r="AF80" s="8"/>
      <x:c r="AG80" s="23" t="str">
        <x:f>IF(AI80="Ready",IF(AD80="Activity",SUMIFS('Activity Data'!$U$9:$U$308,'Activity Data'!$D$9:$D$308,C80,'Activity Data'!$F$9:$F$308,"S3"),AE80),"")</x:f>
      </x:c>
      <x:c r="AH80" s="44" t="str">
        <x:f>IF(AI80&lt;&gt;"Ready","",IF(AD80="Reported verified",1,IF(AD80="Reported unverified",2,IF(F80="Motor",1,2))))</x:f>
      </x:c>
      <x:c r="AI80" s="9" t="str">
        <x:f>IF(C80="","",IF(AD80="Not assessed","Not assessed",IF(OR(O80="",NOT(ISNUMBER(H80)),NOT(ISNUMBER(P80))),"Evidence required",IF(OR(P80&lt;'Settings'!$F$8,H80&gt;'Settings'!$F$8,YEAR(H80)&lt;&gt;YEAR('Settings'!$F$8)),"Period / expiry review",IF(AF80&lt;&gt;"Yes","Boundary incomplete",IF(AM80="","S3 screening required",IF(OR(AD80="Reported verified",AD80="Reported unverified"),IF(NOT(OR(F80="Corporate private",F80="Corporate listed",F80="Project finance")),"Asset method required",IF(OR(NOT(ISNUMBER(AE80)),AE80&lt;0),"Reported value required","Ready")),"Scope 3 method required")))))))</x:f>
      </x:c>
      <x:c r="AJ80" s="9" t="str">
        <x:f>IF(C80="","",IF(OR(F80="Corporate private",F80="Corporate listed"),IFERROR(IF(INDEX('Borrowers'!$X$9:$X$108,MATCH(D80,'Borrowers'!$C$9:$C$108,0))="","",INDEX('Borrowers'!$X$9:$X$108,MATCH(D80,'Borrowers'!$C$9:$C$108,0))),""),IF(AQ80="","",AQ80)))</x:f>
      </x:c>
      <x:c r="AK80" s="43" t="str">
        <x:f>IF(C80="","",IF(OR(F80="Corporate private",F80="Corporate listed"),IFERROR(IF(INDEX('Borrowers'!$H$9:$H$108,MATCH(D80,'Borrowers'!$C$9:$C$108,0))="","",INDEX('Borrowers'!$H$9:$H$108,MATCH(D80,'Borrowers'!$C$9:$C$108,0))),""),IF(AR80="","",AR80)))</x:f>
      </x:c>
      <x:c r="AL80" s="9" t="str">
        <x:f>IF(C80="","",IF(COUNTIFS($C$9:$C$108,C80)&lt;&gt;1,"Duplicate entity ID",IF(COUNTIFS('Borrowers'!$C$9:$C$108,D80)&lt;&gt;1,"Borrower required",IF(AND(F80&lt;&gt;"Corporate private",F80&lt;&gt;"Corporate listed",F80&lt;&gt;"Project finance",F80&lt;&gt;"CRE",F80&lt;&gt;"Mortgage",F80&lt;&gt;"Motor"),"Method required",IF(OR(AND(F80="Corporate private",IFERROR(IF(INDEX('Borrowers'!$G$9:$G$108,MATCH(D80,'Borrowers'!$C$9:$C$108,0))="","",INDEX('Borrowers'!$G$9:$G$108,MATCH(D80,'Borrowers'!$C$9:$C$108,0))),"")&lt;&gt;"Private"),AND(F80="Corporate listed",IFERROR(IF(INDEX('Borrowers'!$G$9:$G$108,MATCH(D80,'Borrowers'!$C$9:$C$108,0))="","",INDEX('Borrowers'!$G$9:$G$108,MATCH(D80,'Borrowers'!$C$9:$C$108,0))),"")&lt;&gt;"Listed")),"Listing / class mismatch",IF(OR(NOT(ISNUMBER(N80)),N80&lt;=0,AJ80="",NOT(ISNUMBER(AK80))),"Value evidence required",IF(AND(OR(F80="Corporate private",F80="Corporate listed"),IFERROR(IF(INDEX('Borrowers'!$Y$9:$Y$108,MATCH(D80,'Borrowers'!$C$9:$C$108,0))="","",INDEX('Borrowers'!$Y$9:$Y$108,MATCH(D80,'Borrowers'!$C$9:$C$108,0))),"")&lt;'Settings'!$F$8),"Expired financial evidence",IF(AK80&gt;'Settings'!$F$8,"Future value date",IF(OR(AND(OR(F80="Corporate private",F80="Project finance"),OR(J80&lt;0,M80&lt;&gt;"Current financials")),AND(F80="Corporate listed",M80&lt;&gt;"Current financials"),AND(OR(F80="CRE",F80="Mortgage",F80="Motor"),AND(M80&lt;&gt;"Origination",M80&lt;&gt;"Fixed fallback"))),"Value basis review",IF(AND(M80="Current financials",YEAR(AK80)&lt;&gt;YEAR('Settings'!$F$8)),"Stale financial period","Ready"))))))))))</x:f>
      </x:c>
      <x:c r="AM80" s="8"/>
      <x:c r="AN80" s="8"/>
      <x:c r="AO80" s="16"/>
      <x:c r="AP80" s="16"/>
      <x:c r="AQ80" s="8"/>
      <x:c r="AR80" s="40"/>
    </x:row>
    <x:row r="81" ht="40" customHeight="1">
      <x:c r="A81" s="1"/>
      <x:c r="B81" s="1"/>
      <x:c r="C81" s="8"/>
      <x:c r="D81" s="8"/>
      <x:c r="E81" s="8"/>
      <x:c r="F81" s="8"/>
      <x:c r="G81" s="9" t="str">
        <x:f>IF(C81="","",IFERROR(IF(INDEX('Borrowers'!$E$9:$E$108,MATCH(D81,'Borrowers'!$C$9:$C$108,0))="","",INDEX('Borrowers'!$E$9:$E$108,MATCH(D81,'Borrowers'!$C$9:$C$108,0))),""))</x:f>
      </x:c>
      <x:c r="H81" s="40"/>
      <x:c r="I81" s="23" t="str">
        <x:f>IF(C81="","",IF(OR(F81="Corporate private",F81="Corporate listed"),IFERROR(IF(INDEX('Borrowers'!$M$9:$M$108,MATCH(D81,'Borrowers'!$C$9:$C$108,0))="","",INDEX('Borrowers'!$M$9:$M$108,MATCH(D81,'Borrowers'!$C$9:$C$108,0))),""),IF(F81="Project finance",IF(ISNUMBER(AO81),AO81,""),"")))</x:f>
      </x:c>
      <x:c r="J81" s="23" t="str">
        <x:f>IF(C81="","",IF(OR(F81="Corporate private",F81="Corporate listed"),IFERROR(IF(INDEX('Borrowers'!$N$9:$N$108,MATCH(D81,'Borrowers'!$C$9:$C$108,0))="","",INDEX('Borrowers'!$N$9:$N$108,MATCH(D81,'Borrowers'!$C$9:$C$108,0))),""),IF(F81="Project finance",IF(ISNUMBER(AP81),AP81,""),"")))</x:f>
      </x:c>
      <x:c r="K81" s="23" t="str">
        <x:f>IF(C81="","",IF(F81="Corporate listed",IFERROR(IF(INDEX('Borrowers'!$O$9:$O$108,MATCH(D81,'Borrowers'!$C$9:$C$108,0))="","",INDEX('Borrowers'!$O$9:$O$108,MATCH(D81,'Borrowers'!$C$9:$C$108,0))),""),""))</x:f>
      </x:c>
      <x:c r="L81" s="16"/>
      <x:c r="M81" s="8"/>
      <x:c r="N81" s="21" t="str">
        <x:f>IF(C81="","",IF(F81="Corporate listed",IF(ISNUMBER(K81),K81,""),IF(OR(F81="Corporate private",F81="Project finance"),IF(AND(ISNUMBER(I81),ISNUMBER(J81)),MAX(I81,0)+J81,""),IF(OR(F81="CRE",F81="Mortgage",F81="Motor"),IF(ISNUMBER(L81),L81,""),""))))</x:f>
      </x:c>
      <x:c r="O81" s="8"/>
      <x:c r="P81" s="40"/>
      <x:c r="Q81" s="8"/>
      <x:c r="R81" s="16"/>
      <x:c r="S81" s="8"/>
      <x:c r="T81" s="23" t="str">
        <x:f>IF(V81="Ready",IF(Q81="Activity",SUMIFS('Activity Data'!$U$9:$U$308,'Activity Data'!$D$9:$D$308,C81,'Activity Data'!$F$9:$F$308,"S1"),R81),"")</x:f>
      </x:c>
      <x:c r="U81" s="44" t="str">
        <x:f>IF(V81&lt;&gt;"Ready","",IF(Q81="Reported verified",1,IF(Q81="Reported unverified",2,IF(F81="Motor",1,2))))</x:f>
      </x:c>
      <x:c r="V81" s="9" t="str">
        <x:f>IF(C81="","",IF(Q81="Not assessed","Not assessed",IF(OR(O81="",NOT(ISNUMBER(H81)),NOT(ISNUMBER(P81))),"Evidence required",IF(OR(P81&lt;'Settings'!$F$8,H81&gt;'Settings'!$F$8,YEAR(H81)&lt;&gt;YEAR('Settings'!$F$8)),"Period / expiry review",IF(S81&lt;&gt;"Yes","Boundary incomplete",IF(OR(Q81="Reported verified",Q81="Reported unverified"),IF(NOT(OR(F81="Corporate private",F81="Corporate listed",F81="Project finance")),"Asset method required",IF(OR(NOT(ISNUMBER(R81)),R81&lt;0),"Reported value required","Ready")),IF(Q81="Activity",IF(AND(COUNTIFS('Activity Data'!$D$9:$D$308,C81,'Activity Data'!$F$9:$F$308,"S1")&gt;0,COUNTIFS('Activity Data'!$D$9:$D$308,C81,'Activity Data'!$F$9:$F$308,"S1")=COUNTIFS('Activity Data'!$D$9:$D$308,C81,'Activity Data'!$F$9:$F$308,"S1",'Activity Data'!$V$9:$V$308,"Ready")),"Ready","Activity incomplete"),"Method required")))))))</x:f>
      </x:c>
      <x:c r="W81" s="8"/>
      <x:c r="X81" s="16"/>
      <x:c r="Y81" s="8"/>
      <x:c r="Z81" s="23" t="str">
        <x:f>IF(AB81="Ready",IF(W81="Activity",SUMIFS('Activity Data'!$U$9:$U$308,'Activity Data'!$D$9:$D$308,C81,'Activity Data'!$F$9:$F$308,"S2"),X81),"")</x:f>
      </x:c>
      <x:c r="AA81" s="44" t="str">
        <x:f>IF(AB81&lt;&gt;"Ready","",IF(W81="Reported verified",1,IF(W81="Reported unverified",2,IF(F81="Motor",1,2))))</x:f>
      </x:c>
      <x:c r="AB81" s="9" t="str">
        <x:f>IF(C81="","",IF(W81="Not assessed","Not assessed",IF(OR(O81="",NOT(ISNUMBER(H81)),NOT(ISNUMBER(P81))),"Evidence required",IF(OR(P81&lt;'Settings'!$F$8,H81&gt;'Settings'!$F$8,YEAR(H81)&lt;&gt;YEAR('Settings'!$F$8)),"Period / expiry review",IF(Y81&lt;&gt;"Yes","Boundary incomplete",IF(OR(AND(AC81&lt;&gt;"Location-based",AC81&lt;&gt;"Market-based"),AND(W81="Activity",AC81&lt;&gt;"Location-based")),"S2 basis mismatch",IF(OR(W81="Reported verified",W81="Reported unverified"),IF(NOT(OR(F81="Corporate private",F81="Corporate listed",F81="Project finance")),"Asset method required",IF(OR(NOT(ISNUMBER(X81)),X81&lt;0),"Reported value required","Ready")),IF(W81="Activity",IF(AND(COUNTIFS('Activity Data'!$D$9:$D$308,C81,'Activity Data'!$F$9:$F$308,"S2")&gt;0,COUNTIFS('Activity Data'!$D$9:$D$308,C81,'Activity Data'!$F$9:$F$308,"S2")=COUNTIFS('Activity Data'!$D$9:$D$308,C81,'Activity Data'!$F$9:$F$308,"S2",'Activity Data'!$V$9:$V$308,"Ready")),"Ready","Activity incomplete"),"Method required"))))))))</x:f>
      </x:c>
      <x:c r="AC81" s="8"/>
      <x:c r="AD81" s="8"/>
      <x:c r="AE81" s="16"/>
      <x:c r="AF81" s="8"/>
      <x:c r="AG81" s="23" t="str">
        <x:f>IF(AI81="Ready",IF(AD81="Activity",SUMIFS('Activity Data'!$U$9:$U$308,'Activity Data'!$D$9:$D$308,C81,'Activity Data'!$F$9:$F$308,"S3"),AE81),"")</x:f>
      </x:c>
      <x:c r="AH81" s="44" t="str">
        <x:f>IF(AI81&lt;&gt;"Ready","",IF(AD81="Reported verified",1,IF(AD81="Reported unverified",2,IF(F81="Motor",1,2))))</x:f>
      </x:c>
      <x:c r="AI81" s="9" t="str">
        <x:f>IF(C81="","",IF(AD81="Not assessed","Not assessed",IF(OR(O81="",NOT(ISNUMBER(H81)),NOT(ISNUMBER(P81))),"Evidence required",IF(OR(P81&lt;'Settings'!$F$8,H81&gt;'Settings'!$F$8,YEAR(H81)&lt;&gt;YEAR('Settings'!$F$8)),"Period / expiry review",IF(AF81&lt;&gt;"Yes","Boundary incomplete",IF(AM81="","S3 screening required",IF(OR(AD81="Reported verified",AD81="Reported unverified"),IF(NOT(OR(F81="Corporate private",F81="Corporate listed",F81="Project finance")),"Asset method required",IF(OR(NOT(ISNUMBER(AE81)),AE81&lt;0),"Reported value required","Ready")),"Scope 3 method required")))))))</x:f>
      </x:c>
      <x:c r="AJ81" s="9" t="str">
        <x:f>IF(C81="","",IF(OR(F81="Corporate private",F81="Corporate listed"),IFERROR(IF(INDEX('Borrowers'!$X$9:$X$108,MATCH(D81,'Borrowers'!$C$9:$C$108,0))="","",INDEX('Borrowers'!$X$9:$X$108,MATCH(D81,'Borrowers'!$C$9:$C$108,0))),""),IF(AQ81="","",AQ81)))</x:f>
      </x:c>
      <x:c r="AK81" s="43" t="str">
        <x:f>IF(C81="","",IF(OR(F81="Corporate private",F81="Corporate listed"),IFERROR(IF(INDEX('Borrowers'!$H$9:$H$108,MATCH(D81,'Borrowers'!$C$9:$C$108,0))="","",INDEX('Borrowers'!$H$9:$H$108,MATCH(D81,'Borrowers'!$C$9:$C$108,0))),""),IF(AR81="","",AR81)))</x:f>
      </x:c>
      <x:c r="AL81" s="9" t="str">
        <x:f>IF(C81="","",IF(COUNTIFS($C$9:$C$108,C81)&lt;&gt;1,"Duplicate entity ID",IF(COUNTIFS('Borrowers'!$C$9:$C$108,D81)&lt;&gt;1,"Borrower required",IF(AND(F81&lt;&gt;"Corporate private",F81&lt;&gt;"Corporate listed",F81&lt;&gt;"Project finance",F81&lt;&gt;"CRE",F81&lt;&gt;"Mortgage",F81&lt;&gt;"Motor"),"Method required",IF(OR(AND(F81="Corporate private",IFERROR(IF(INDEX('Borrowers'!$G$9:$G$108,MATCH(D81,'Borrowers'!$C$9:$C$108,0))="","",INDEX('Borrowers'!$G$9:$G$108,MATCH(D81,'Borrowers'!$C$9:$C$108,0))),"")&lt;&gt;"Private"),AND(F81="Corporate listed",IFERROR(IF(INDEX('Borrowers'!$G$9:$G$108,MATCH(D81,'Borrowers'!$C$9:$C$108,0))="","",INDEX('Borrowers'!$G$9:$G$108,MATCH(D81,'Borrowers'!$C$9:$C$108,0))),"")&lt;&gt;"Listed")),"Listing / class mismatch",IF(OR(NOT(ISNUMBER(N81)),N81&lt;=0,AJ81="",NOT(ISNUMBER(AK81))),"Value evidence required",IF(AND(OR(F81="Corporate private",F81="Corporate listed"),IFERROR(IF(INDEX('Borrowers'!$Y$9:$Y$108,MATCH(D81,'Borrowers'!$C$9:$C$108,0))="","",INDEX('Borrowers'!$Y$9:$Y$108,MATCH(D81,'Borrowers'!$C$9:$C$108,0))),"")&lt;'Settings'!$F$8),"Expired financial evidence",IF(AK81&gt;'Settings'!$F$8,"Future value date",IF(OR(AND(OR(F81="Corporate private",F81="Project finance"),OR(J81&lt;0,M81&lt;&gt;"Current financials")),AND(F81="Corporate listed",M81&lt;&gt;"Current financials"),AND(OR(F81="CRE",F81="Mortgage",F81="Motor"),AND(M81&lt;&gt;"Origination",M81&lt;&gt;"Fixed fallback"))),"Value basis review",IF(AND(M81="Current financials",YEAR(AK81)&lt;&gt;YEAR('Settings'!$F$8)),"Stale financial period","Ready"))))))))))</x:f>
      </x:c>
      <x:c r="AM81" s="8"/>
      <x:c r="AN81" s="8"/>
      <x:c r="AO81" s="16"/>
      <x:c r="AP81" s="16"/>
      <x:c r="AQ81" s="8"/>
      <x:c r="AR81" s="40"/>
    </x:row>
    <x:row r="82" ht="40" customHeight="1">
      <x:c r="A82" s="1"/>
      <x:c r="B82" s="1"/>
      <x:c r="C82" s="8"/>
      <x:c r="D82" s="8"/>
      <x:c r="E82" s="8"/>
      <x:c r="F82" s="8"/>
      <x:c r="G82" s="9" t="str">
        <x:f>IF(C82="","",IFERROR(IF(INDEX('Borrowers'!$E$9:$E$108,MATCH(D82,'Borrowers'!$C$9:$C$108,0))="","",INDEX('Borrowers'!$E$9:$E$108,MATCH(D82,'Borrowers'!$C$9:$C$108,0))),""))</x:f>
      </x:c>
      <x:c r="H82" s="40"/>
      <x:c r="I82" s="23" t="str">
        <x:f>IF(C82="","",IF(OR(F82="Corporate private",F82="Corporate listed"),IFERROR(IF(INDEX('Borrowers'!$M$9:$M$108,MATCH(D82,'Borrowers'!$C$9:$C$108,0))="","",INDEX('Borrowers'!$M$9:$M$108,MATCH(D82,'Borrowers'!$C$9:$C$108,0))),""),IF(F82="Project finance",IF(ISNUMBER(AO82),AO82,""),"")))</x:f>
      </x:c>
      <x:c r="J82" s="23" t="str">
        <x:f>IF(C82="","",IF(OR(F82="Corporate private",F82="Corporate listed"),IFERROR(IF(INDEX('Borrowers'!$N$9:$N$108,MATCH(D82,'Borrowers'!$C$9:$C$108,0))="","",INDEX('Borrowers'!$N$9:$N$108,MATCH(D82,'Borrowers'!$C$9:$C$108,0))),""),IF(F82="Project finance",IF(ISNUMBER(AP82),AP82,""),"")))</x:f>
      </x:c>
      <x:c r="K82" s="23" t="str">
        <x:f>IF(C82="","",IF(F82="Corporate listed",IFERROR(IF(INDEX('Borrowers'!$O$9:$O$108,MATCH(D82,'Borrowers'!$C$9:$C$108,0))="","",INDEX('Borrowers'!$O$9:$O$108,MATCH(D82,'Borrowers'!$C$9:$C$108,0))),""),""))</x:f>
      </x:c>
      <x:c r="L82" s="16"/>
      <x:c r="M82" s="8"/>
      <x:c r="N82" s="21" t="str">
        <x:f>IF(C82="","",IF(F82="Corporate listed",IF(ISNUMBER(K82),K82,""),IF(OR(F82="Corporate private",F82="Project finance"),IF(AND(ISNUMBER(I82),ISNUMBER(J82)),MAX(I82,0)+J82,""),IF(OR(F82="CRE",F82="Mortgage",F82="Motor"),IF(ISNUMBER(L82),L82,""),""))))</x:f>
      </x:c>
      <x:c r="O82" s="8"/>
      <x:c r="P82" s="40"/>
      <x:c r="Q82" s="8"/>
      <x:c r="R82" s="16"/>
      <x:c r="S82" s="8"/>
      <x:c r="T82" s="23" t="str">
        <x:f>IF(V82="Ready",IF(Q82="Activity",SUMIFS('Activity Data'!$U$9:$U$308,'Activity Data'!$D$9:$D$308,C82,'Activity Data'!$F$9:$F$308,"S1"),R82),"")</x:f>
      </x:c>
      <x:c r="U82" s="44" t="str">
        <x:f>IF(V82&lt;&gt;"Ready","",IF(Q82="Reported verified",1,IF(Q82="Reported unverified",2,IF(F82="Motor",1,2))))</x:f>
      </x:c>
      <x:c r="V82" s="9" t="str">
        <x:f>IF(C82="","",IF(Q82="Not assessed","Not assessed",IF(OR(O82="",NOT(ISNUMBER(H82)),NOT(ISNUMBER(P82))),"Evidence required",IF(OR(P82&lt;'Settings'!$F$8,H82&gt;'Settings'!$F$8,YEAR(H82)&lt;&gt;YEAR('Settings'!$F$8)),"Period / expiry review",IF(S82&lt;&gt;"Yes","Boundary incomplete",IF(OR(Q82="Reported verified",Q82="Reported unverified"),IF(NOT(OR(F82="Corporate private",F82="Corporate listed",F82="Project finance")),"Asset method required",IF(OR(NOT(ISNUMBER(R82)),R82&lt;0),"Reported value required","Ready")),IF(Q82="Activity",IF(AND(COUNTIFS('Activity Data'!$D$9:$D$308,C82,'Activity Data'!$F$9:$F$308,"S1")&gt;0,COUNTIFS('Activity Data'!$D$9:$D$308,C82,'Activity Data'!$F$9:$F$308,"S1")=COUNTIFS('Activity Data'!$D$9:$D$308,C82,'Activity Data'!$F$9:$F$308,"S1",'Activity Data'!$V$9:$V$308,"Ready")),"Ready","Activity incomplete"),"Method required")))))))</x:f>
      </x:c>
      <x:c r="W82" s="8"/>
      <x:c r="X82" s="16"/>
      <x:c r="Y82" s="8"/>
      <x:c r="Z82" s="23" t="str">
        <x:f>IF(AB82="Ready",IF(W82="Activity",SUMIFS('Activity Data'!$U$9:$U$308,'Activity Data'!$D$9:$D$308,C82,'Activity Data'!$F$9:$F$308,"S2"),X82),"")</x:f>
      </x:c>
      <x:c r="AA82" s="44" t="str">
        <x:f>IF(AB82&lt;&gt;"Ready","",IF(W82="Reported verified",1,IF(W82="Reported unverified",2,IF(F82="Motor",1,2))))</x:f>
      </x:c>
      <x:c r="AB82" s="9" t="str">
        <x:f>IF(C82="","",IF(W82="Not assessed","Not assessed",IF(OR(O82="",NOT(ISNUMBER(H82)),NOT(ISNUMBER(P82))),"Evidence required",IF(OR(P82&lt;'Settings'!$F$8,H82&gt;'Settings'!$F$8,YEAR(H82)&lt;&gt;YEAR('Settings'!$F$8)),"Period / expiry review",IF(Y82&lt;&gt;"Yes","Boundary incomplete",IF(OR(AND(AC82&lt;&gt;"Location-based",AC82&lt;&gt;"Market-based"),AND(W82="Activity",AC82&lt;&gt;"Location-based")),"S2 basis mismatch",IF(OR(W82="Reported verified",W82="Reported unverified"),IF(NOT(OR(F82="Corporate private",F82="Corporate listed",F82="Project finance")),"Asset method required",IF(OR(NOT(ISNUMBER(X82)),X82&lt;0),"Reported value required","Ready")),IF(W82="Activity",IF(AND(COUNTIFS('Activity Data'!$D$9:$D$308,C82,'Activity Data'!$F$9:$F$308,"S2")&gt;0,COUNTIFS('Activity Data'!$D$9:$D$308,C82,'Activity Data'!$F$9:$F$308,"S2")=COUNTIFS('Activity Data'!$D$9:$D$308,C82,'Activity Data'!$F$9:$F$308,"S2",'Activity Data'!$V$9:$V$308,"Ready")),"Ready","Activity incomplete"),"Method required"))))))))</x:f>
      </x:c>
      <x:c r="AC82" s="8"/>
      <x:c r="AD82" s="8"/>
      <x:c r="AE82" s="16"/>
      <x:c r="AF82" s="8"/>
      <x:c r="AG82" s="23" t="str">
        <x:f>IF(AI82="Ready",IF(AD82="Activity",SUMIFS('Activity Data'!$U$9:$U$308,'Activity Data'!$D$9:$D$308,C82,'Activity Data'!$F$9:$F$308,"S3"),AE82),"")</x:f>
      </x:c>
      <x:c r="AH82" s="44" t="str">
        <x:f>IF(AI82&lt;&gt;"Ready","",IF(AD82="Reported verified",1,IF(AD82="Reported unverified",2,IF(F82="Motor",1,2))))</x:f>
      </x:c>
      <x:c r="AI82" s="9" t="str">
        <x:f>IF(C82="","",IF(AD82="Not assessed","Not assessed",IF(OR(O82="",NOT(ISNUMBER(H82)),NOT(ISNUMBER(P82))),"Evidence required",IF(OR(P82&lt;'Settings'!$F$8,H82&gt;'Settings'!$F$8,YEAR(H82)&lt;&gt;YEAR('Settings'!$F$8)),"Period / expiry review",IF(AF82&lt;&gt;"Yes","Boundary incomplete",IF(AM82="","S3 screening required",IF(OR(AD82="Reported verified",AD82="Reported unverified"),IF(NOT(OR(F82="Corporate private",F82="Corporate listed",F82="Project finance")),"Asset method required",IF(OR(NOT(ISNUMBER(AE82)),AE82&lt;0),"Reported value required","Ready")),"Scope 3 method required")))))))</x:f>
      </x:c>
      <x:c r="AJ82" s="9" t="str">
        <x:f>IF(C82="","",IF(OR(F82="Corporate private",F82="Corporate listed"),IFERROR(IF(INDEX('Borrowers'!$X$9:$X$108,MATCH(D82,'Borrowers'!$C$9:$C$108,0))="","",INDEX('Borrowers'!$X$9:$X$108,MATCH(D82,'Borrowers'!$C$9:$C$108,0))),""),IF(AQ82="","",AQ82)))</x:f>
      </x:c>
      <x:c r="AK82" s="43" t="str">
        <x:f>IF(C82="","",IF(OR(F82="Corporate private",F82="Corporate listed"),IFERROR(IF(INDEX('Borrowers'!$H$9:$H$108,MATCH(D82,'Borrowers'!$C$9:$C$108,0))="","",INDEX('Borrowers'!$H$9:$H$108,MATCH(D82,'Borrowers'!$C$9:$C$108,0))),""),IF(AR82="","",AR82)))</x:f>
      </x:c>
      <x:c r="AL82" s="9" t="str">
        <x:f>IF(C82="","",IF(COUNTIFS($C$9:$C$108,C82)&lt;&gt;1,"Duplicate entity ID",IF(COUNTIFS('Borrowers'!$C$9:$C$108,D82)&lt;&gt;1,"Borrower required",IF(AND(F82&lt;&gt;"Corporate private",F82&lt;&gt;"Corporate listed",F82&lt;&gt;"Project finance",F82&lt;&gt;"CRE",F82&lt;&gt;"Mortgage",F82&lt;&gt;"Motor"),"Method required",IF(OR(AND(F82="Corporate private",IFERROR(IF(INDEX('Borrowers'!$G$9:$G$108,MATCH(D82,'Borrowers'!$C$9:$C$108,0))="","",INDEX('Borrowers'!$G$9:$G$108,MATCH(D82,'Borrowers'!$C$9:$C$108,0))),"")&lt;&gt;"Private"),AND(F82="Corporate listed",IFERROR(IF(INDEX('Borrowers'!$G$9:$G$108,MATCH(D82,'Borrowers'!$C$9:$C$108,0))="","",INDEX('Borrowers'!$G$9:$G$108,MATCH(D82,'Borrowers'!$C$9:$C$108,0))),"")&lt;&gt;"Listed")),"Listing / class mismatch",IF(OR(NOT(ISNUMBER(N82)),N82&lt;=0,AJ82="",NOT(ISNUMBER(AK82))),"Value evidence required",IF(AND(OR(F82="Corporate private",F82="Corporate listed"),IFERROR(IF(INDEX('Borrowers'!$Y$9:$Y$108,MATCH(D82,'Borrowers'!$C$9:$C$108,0))="","",INDEX('Borrowers'!$Y$9:$Y$108,MATCH(D82,'Borrowers'!$C$9:$C$108,0))),"")&lt;'Settings'!$F$8),"Expired financial evidence",IF(AK82&gt;'Settings'!$F$8,"Future value date",IF(OR(AND(OR(F82="Corporate private",F82="Project finance"),OR(J82&lt;0,M82&lt;&gt;"Current financials")),AND(F82="Corporate listed",M82&lt;&gt;"Current financials"),AND(OR(F82="CRE",F82="Mortgage",F82="Motor"),AND(M82&lt;&gt;"Origination",M82&lt;&gt;"Fixed fallback"))),"Value basis review",IF(AND(M82="Current financials",YEAR(AK82)&lt;&gt;YEAR('Settings'!$F$8)),"Stale financial period","Ready"))))))))))</x:f>
      </x:c>
      <x:c r="AM82" s="8"/>
      <x:c r="AN82" s="8"/>
      <x:c r="AO82" s="16"/>
      <x:c r="AP82" s="16"/>
      <x:c r="AQ82" s="8"/>
      <x:c r="AR82" s="40"/>
    </x:row>
    <x:row r="83" ht="40" customHeight="1">
      <x:c r="A83" s="1"/>
      <x:c r="B83" s="1"/>
      <x:c r="C83" s="8"/>
      <x:c r="D83" s="8"/>
      <x:c r="E83" s="8"/>
      <x:c r="F83" s="8"/>
      <x:c r="G83" s="9" t="str">
        <x:f>IF(C83="","",IFERROR(IF(INDEX('Borrowers'!$E$9:$E$108,MATCH(D83,'Borrowers'!$C$9:$C$108,0))="","",INDEX('Borrowers'!$E$9:$E$108,MATCH(D83,'Borrowers'!$C$9:$C$108,0))),""))</x:f>
      </x:c>
      <x:c r="H83" s="40"/>
      <x:c r="I83" s="23" t="str">
        <x:f>IF(C83="","",IF(OR(F83="Corporate private",F83="Corporate listed"),IFERROR(IF(INDEX('Borrowers'!$M$9:$M$108,MATCH(D83,'Borrowers'!$C$9:$C$108,0))="","",INDEX('Borrowers'!$M$9:$M$108,MATCH(D83,'Borrowers'!$C$9:$C$108,0))),""),IF(F83="Project finance",IF(ISNUMBER(AO83),AO83,""),"")))</x:f>
      </x:c>
      <x:c r="J83" s="23" t="str">
        <x:f>IF(C83="","",IF(OR(F83="Corporate private",F83="Corporate listed"),IFERROR(IF(INDEX('Borrowers'!$N$9:$N$108,MATCH(D83,'Borrowers'!$C$9:$C$108,0))="","",INDEX('Borrowers'!$N$9:$N$108,MATCH(D83,'Borrowers'!$C$9:$C$108,0))),""),IF(F83="Project finance",IF(ISNUMBER(AP83),AP83,""),"")))</x:f>
      </x:c>
      <x:c r="K83" s="23" t="str">
        <x:f>IF(C83="","",IF(F83="Corporate listed",IFERROR(IF(INDEX('Borrowers'!$O$9:$O$108,MATCH(D83,'Borrowers'!$C$9:$C$108,0))="","",INDEX('Borrowers'!$O$9:$O$108,MATCH(D83,'Borrowers'!$C$9:$C$108,0))),""),""))</x:f>
      </x:c>
      <x:c r="L83" s="16"/>
      <x:c r="M83" s="8"/>
      <x:c r="N83" s="21" t="str">
        <x:f>IF(C83="","",IF(F83="Corporate listed",IF(ISNUMBER(K83),K83,""),IF(OR(F83="Corporate private",F83="Project finance"),IF(AND(ISNUMBER(I83),ISNUMBER(J83)),MAX(I83,0)+J83,""),IF(OR(F83="CRE",F83="Mortgage",F83="Motor"),IF(ISNUMBER(L83),L83,""),""))))</x:f>
      </x:c>
      <x:c r="O83" s="8"/>
      <x:c r="P83" s="40"/>
      <x:c r="Q83" s="8"/>
      <x:c r="R83" s="16"/>
      <x:c r="S83" s="8"/>
      <x:c r="T83" s="23" t="str">
        <x:f>IF(V83="Ready",IF(Q83="Activity",SUMIFS('Activity Data'!$U$9:$U$308,'Activity Data'!$D$9:$D$308,C83,'Activity Data'!$F$9:$F$308,"S1"),R83),"")</x:f>
      </x:c>
      <x:c r="U83" s="44" t="str">
        <x:f>IF(V83&lt;&gt;"Ready","",IF(Q83="Reported verified",1,IF(Q83="Reported unverified",2,IF(F83="Motor",1,2))))</x:f>
      </x:c>
      <x:c r="V83" s="9" t="str">
        <x:f>IF(C83="","",IF(Q83="Not assessed","Not assessed",IF(OR(O83="",NOT(ISNUMBER(H83)),NOT(ISNUMBER(P83))),"Evidence required",IF(OR(P83&lt;'Settings'!$F$8,H83&gt;'Settings'!$F$8,YEAR(H83)&lt;&gt;YEAR('Settings'!$F$8)),"Period / expiry review",IF(S83&lt;&gt;"Yes","Boundary incomplete",IF(OR(Q83="Reported verified",Q83="Reported unverified"),IF(NOT(OR(F83="Corporate private",F83="Corporate listed",F83="Project finance")),"Asset method required",IF(OR(NOT(ISNUMBER(R83)),R83&lt;0),"Reported value required","Ready")),IF(Q83="Activity",IF(AND(COUNTIFS('Activity Data'!$D$9:$D$308,C83,'Activity Data'!$F$9:$F$308,"S1")&gt;0,COUNTIFS('Activity Data'!$D$9:$D$308,C83,'Activity Data'!$F$9:$F$308,"S1")=COUNTIFS('Activity Data'!$D$9:$D$308,C83,'Activity Data'!$F$9:$F$308,"S1",'Activity Data'!$V$9:$V$308,"Ready")),"Ready","Activity incomplete"),"Method required")))))))</x:f>
      </x:c>
      <x:c r="W83" s="8"/>
      <x:c r="X83" s="16"/>
      <x:c r="Y83" s="8"/>
      <x:c r="Z83" s="23" t="str">
        <x:f>IF(AB83="Ready",IF(W83="Activity",SUMIFS('Activity Data'!$U$9:$U$308,'Activity Data'!$D$9:$D$308,C83,'Activity Data'!$F$9:$F$308,"S2"),X83),"")</x:f>
      </x:c>
      <x:c r="AA83" s="44" t="str">
        <x:f>IF(AB83&lt;&gt;"Ready","",IF(W83="Reported verified",1,IF(W83="Reported unverified",2,IF(F83="Motor",1,2))))</x:f>
      </x:c>
      <x:c r="AB83" s="9" t="str">
        <x:f>IF(C83="","",IF(W83="Not assessed","Not assessed",IF(OR(O83="",NOT(ISNUMBER(H83)),NOT(ISNUMBER(P83))),"Evidence required",IF(OR(P83&lt;'Settings'!$F$8,H83&gt;'Settings'!$F$8,YEAR(H83)&lt;&gt;YEAR('Settings'!$F$8)),"Period / expiry review",IF(Y83&lt;&gt;"Yes","Boundary incomplete",IF(OR(AND(AC83&lt;&gt;"Location-based",AC83&lt;&gt;"Market-based"),AND(W83="Activity",AC83&lt;&gt;"Location-based")),"S2 basis mismatch",IF(OR(W83="Reported verified",W83="Reported unverified"),IF(NOT(OR(F83="Corporate private",F83="Corporate listed",F83="Project finance")),"Asset method required",IF(OR(NOT(ISNUMBER(X83)),X83&lt;0),"Reported value required","Ready")),IF(W83="Activity",IF(AND(COUNTIFS('Activity Data'!$D$9:$D$308,C83,'Activity Data'!$F$9:$F$308,"S2")&gt;0,COUNTIFS('Activity Data'!$D$9:$D$308,C83,'Activity Data'!$F$9:$F$308,"S2")=COUNTIFS('Activity Data'!$D$9:$D$308,C83,'Activity Data'!$F$9:$F$308,"S2",'Activity Data'!$V$9:$V$308,"Ready")),"Ready","Activity incomplete"),"Method required"))))))))</x:f>
      </x:c>
      <x:c r="AC83" s="8"/>
      <x:c r="AD83" s="8"/>
      <x:c r="AE83" s="16"/>
      <x:c r="AF83" s="8"/>
      <x:c r="AG83" s="23" t="str">
        <x:f>IF(AI83="Ready",IF(AD83="Activity",SUMIFS('Activity Data'!$U$9:$U$308,'Activity Data'!$D$9:$D$308,C83,'Activity Data'!$F$9:$F$308,"S3"),AE83),"")</x:f>
      </x:c>
      <x:c r="AH83" s="44" t="str">
        <x:f>IF(AI83&lt;&gt;"Ready","",IF(AD83="Reported verified",1,IF(AD83="Reported unverified",2,IF(F83="Motor",1,2))))</x:f>
      </x:c>
      <x:c r="AI83" s="9" t="str">
        <x:f>IF(C83="","",IF(AD83="Not assessed","Not assessed",IF(OR(O83="",NOT(ISNUMBER(H83)),NOT(ISNUMBER(P83))),"Evidence required",IF(OR(P83&lt;'Settings'!$F$8,H83&gt;'Settings'!$F$8,YEAR(H83)&lt;&gt;YEAR('Settings'!$F$8)),"Period / expiry review",IF(AF83&lt;&gt;"Yes","Boundary incomplete",IF(AM83="","S3 screening required",IF(OR(AD83="Reported verified",AD83="Reported unverified"),IF(NOT(OR(F83="Corporate private",F83="Corporate listed",F83="Project finance")),"Asset method required",IF(OR(NOT(ISNUMBER(AE83)),AE83&lt;0),"Reported value required","Ready")),"Scope 3 method required")))))))</x:f>
      </x:c>
      <x:c r="AJ83" s="9" t="str">
        <x:f>IF(C83="","",IF(OR(F83="Corporate private",F83="Corporate listed"),IFERROR(IF(INDEX('Borrowers'!$X$9:$X$108,MATCH(D83,'Borrowers'!$C$9:$C$108,0))="","",INDEX('Borrowers'!$X$9:$X$108,MATCH(D83,'Borrowers'!$C$9:$C$108,0))),""),IF(AQ83="","",AQ83)))</x:f>
      </x:c>
      <x:c r="AK83" s="43" t="str">
        <x:f>IF(C83="","",IF(OR(F83="Corporate private",F83="Corporate listed"),IFERROR(IF(INDEX('Borrowers'!$H$9:$H$108,MATCH(D83,'Borrowers'!$C$9:$C$108,0))="","",INDEX('Borrowers'!$H$9:$H$108,MATCH(D83,'Borrowers'!$C$9:$C$108,0))),""),IF(AR83="","",AR83)))</x:f>
      </x:c>
      <x:c r="AL83" s="9" t="str">
        <x:f>IF(C83="","",IF(COUNTIFS($C$9:$C$108,C83)&lt;&gt;1,"Duplicate entity ID",IF(COUNTIFS('Borrowers'!$C$9:$C$108,D83)&lt;&gt;1,"Borrower required",IF(AND(F83&lt;&gt;"Corporate private",F83&lt;&gt;"Corporate listed",F83&lt;&gt;"Project finance",F83&lt;&gt;"CRE",F83&lt;&gt;"Mortgage",F83&lt;&gt;"Motor"),"Method required",IF(OR(AND(F83="Corporate private",IFERROR(IF(INDEX('Borrowers'!$G$9:$G$108,MATCH(D83,'Borrowers'!$C$9:$C$108,0))="","",INDEX('Borrowers'!$G$9:$G$108,MATCH(D83,'Borrowers'!$C$9:$C$108,0))),"")&lt;&gt;"Private"),AND(F83="Corporate listed",IFERROR(IF(INDEX('Borrowers'!$G$9:$G$108,MATCH(D83,'Borrowers'!$C$9:$C$108,0))="","",INDEX('Borrowers'!$G$9:$G$108,MATCH(D83,'Borrowers'!$C$9:$C$108,0))),"")&lt;&gt;"Listed")),"Listing / class mismatch",IF(OR(NOT(ISNUMBER(N83)),N83&lt;=0,AJ83="",NOT(ISNUMBER(AK83))),"Value evidence required",IF(AND(OR(F83="Corporate private",F83="Corporate listed"),IFERROR(IF(INDEX('Borrowers'!$Y$9:$Y$108,MATCH(D83,'Borrowers'!$C$9:$C$108,0))="","",INDEX('Borrowers'!$Y$9:$Y$108,MATCH(D83,'Borrowers'!$C$9:$C$108,0))),"")&lt;'Settings'!$F$8),"Expired financial evidence",IF(AK83&gt;'Settings'!$F$8,"Future value date",IF(OR(AND(OR(F83="Corporate private",F83="Project finance"),OR(J83&lt;0,M83&lt;&gt;"Current financials")),AND(F83="Corporate listed",M83&lt;&gt;"Current financials"),AND(OR(F83="CRE",F83="Mortgage",F83="Motor"),AND(M83&lt;&gt;"Origination",M83&lt;&gt;"Fixed fallback"))),"Value basis review",IF(AND(M83="Current financials",YEAR(AK83)&lt;&gt;YEAR('Settings'!$F$8)),"Stale financial period","Ready"))))))))))</x:f>
      </x:c>
      <x:c r="AM83" s="8"/>
      <x:c r="AN83" s="8"/>
      <x:c r="AO83" s="16"/>
      <x:c r="AP83" s="16"/>
      <x:c r="AQ83" s="8"/>
      <x:c r="AR83" s="40"/>
    </x:row>
    <x:row r="84" ht="40" customHeight="1">
      <x:c r="A84" s="1"/>
      <x:c r="B84" s="1"/>
      <x:c r="C84" s="8"/>
      <x:c r="D84" s="8"/>
      <x:c r="E84" s="8"/>
      <x:c r="F84" s="8"/>
      <x:c r="G84" s="9" t="str">
        <x:f>IF(C84="","",IFERROR(IF(INDEX('Borrowers'!$E$9:$E$108,MATCH(D84,'Borrowers'!$C$9:$C$108,0))="","",INDEX('Borrowers'!$E$9:$E$108,MATCH(D84,'Borrowers'!$C$9:$C$108,0))),""))</x:f>
      </x:c>
      <x:c r="H84" s="40"/>
      <x:c r="I84" s="23" t="str">
        <x:f>IF(C84="","",IF(OR(F84="Corporate private",F84="Corporate listed"),IFERROR(IF(INDEX('Borrowers'!$M$9:$M$108,MATCH(D84,'Borrowers'!$C$9:$C$108,0))="","",INDEX('Borrowers'!$M$9:$M$108,MATCH(D84,'Borrowers'!$C$9:$C$108,0))),""),IF(F84="Project finance",IF(ISNUMBER(AO84),AO84,""),"")))</x:f>
      </x:c>
      <x:c r="J84" s="23" t="str">
        <x:f>IF(C84="","",IF(OR(F84="Corporate private",F84="Corporate listed"),IFERROR(IF(INDEX('Borrowers'!$N$9:$N$108,MATCH(D84,'Borrowers'!$C$9:$C$108,0))="","",INDEX('Borrowers'!$N$9:$N$108,MATCH(D84,'Borrowers'!$C$9:$C$108,0))),""),IF(F84="Project finance",IF(ISNUMBER(AP84),AP84,""),"")))</x:f>
      </x:c>
      <x:c r="K84" s="23" t="str">
        <x:f>IF(C84="","",IF(F84="Corporate listed",IFERROR(IF(INDEX('Borrowers'!$O$9:$O$108,MATCH(D84,'Borrowers'!$C$9:$C$108,0))="","",INDEX('Borrowers'!$O$9:$O$108,MATCH(D84,'Borrowers'!$C$9:$C$108,0))),""),""))</x:f>
      </x:c>
      <x:c r="L84" s="16"/>
      <x:c r="M84" s="8"/>
      <x:c r="N84" s="21" t="str">
        <x:f>IF(C84="","",IF(F84="Corporate listed",IF(ISNUMBER(K84),K84,""),IF(OR(F84="Corporate private",F84="Project finance"),IF(AND(ISNUMBER(I84),ISNUMBER(J84)),MAX(I84,0)+J84,""),IF(OR(F84="CRE",F84="Mortgage",F84="Motor"),IF(ISNUMBER(L84),L84,""),""))))</x:f>
      </x:c>
      <x:c r="O84" s="8"/>
      <x:c r="P84" s="40"/>
      <x:c r="Q84" s="8"/>
      <x:c r="R84" s="16"/>
      <x:c r="S84" s="8"/>
      <x:c r="T84" s="23" t="str">
        <x:f>IF(V84="Ready",IF(Q84="Activity",SUMIFS('Activity Data'!$U$9:$U$308,'Activity Data'!$D$9:$D$308,C84,'Activity Data'!$F$9:$F$308,"S1"),R84),"")</x:f>
      </x:c>
      <x:c r="U84" s="44" t="str">
        <x:f>IF(V84&lt;&gt;"Ready","",IF(Q84="Reported verified",1,IF(Q84="Reported unverified",2,IF(F84="Motor",1,2))))</x:f>
      </x:c>
      <x:c r="V84" s="9" t="str">
        <x:f>IF(C84="","",IF(Q84="Not assessed","Not assessed",IF(OR(O84="",NOT(ISNUMBER(H84)),NOT(ISNUMBER(P84))),"Evidence required",IF(OR(P84&lt;'Settings'!$F$8,H84&gt;'Settings'!$F$8,YEAR(H84)&lt;&gt;YEAR('Settings'!$F$8)),"Period / expiry review",IF(S84&lt;&gt;"Yes","Boundary incomplete",IF(OR(Q84="Reported verified",Q84="Reported unverified"),IF(NOT(OR(F84="Corporate private",F84="Corporate listed",F84="Project finance")),"Asset method required",IF(OR(NOT(ISNUMBER(R84)),R84&lt;0),"Reported value required","Ready")),IF(Q84="Activity",IF(AND(COUNTIFS('Activity Data'!$D$9:$D$308,C84,'Activity Data'!$F$9:$F$308,"S1")&gt;0,COUNTIFS('Activity Data'!$D$9:$D$308,C84,'Activity Data'!$F$9:$F$308,"S1")=COUNTIFS('Activity Data'!$D$9:$D$308,C84,'Activity Data'!$F$9:$F$308,"S1",'Activity Data'!$V$9:$V$308,"Ready")),"Ready","Activity incomplete"),"Method required")))))))</x:f>
      </x:c>
      <x:c r="W84" s="8"/>
      <x:c r="X84" s="16"/>
      <x:c r="Y84" s="8"/>
      <x:c r="Z84" s="23" t="str">
        <x:f>IF(AB84="Ready",IF(W84="Activity",SUMIFS('Activity Data'!$U$9:$U$308,'Activity Data'!$D$9:$D$308,C84,'Activity Data'!$F$9:$F$308,"S2"),X84),"")</x:f>
      </x:c>
      <x:c r="AA84" s="44" t="str">
        <x:f>IF(AB84&lt;&gt;"Ready","",IF(W84="Reported verified",1,IF(W84="Reported unverified",2,IF(F84="Motor",1,2))))</x:f>
      </x:c>
      <x:c r="AB84" s="9" t="str">
        <x:f>IF(C84="","",IF(W84="Not assessed","Not assessed",IF(OR(O84="",NOT(ISNUMBER(H84)),NOT(ISNUMBER(P84))),"Evidence required",IF(OR(P84&lt;'Settings'!$F$8,H84&gt;'Settings'!$F$8,YEAR(H84)&lt;&gt;YEAR('Settings'!$F$8)),"Period / expiry review",IF(Y84&lt;&gt;"Yes","Boundary incomplete",IF(OR(AND(AC84&lt;&gt;"Location-based",AC84&lt;&gt;"Market-based"),AND(W84="Activity",AC84&lt;&gt;"Location-based")),"S2 basis mismatch",IF(OR(W84="Reported verified",W84="Reported unverified"),IF(NOT(OR(F84="Corporate private",F84="Corporate listed",F84="Project finance")),"Asset method required",IF(OR(NOT(ISNUMBER(X84)),X84&lt;0),"Reported value required","Ready")),IF(W84="Activity",IF(AND(COUNTIFS('Activity Data'!$D$9:$D$308,C84,'Activity Data'!$F$9:$F$308,"S2")&gt;0,COUNTIFS('Activity Data'!$D$9:$D$308,C84,'Activity Data'!$F$9:$F$308,"S2")=COUNTIFS('Activity Data'!$D$9:$D$308,C84,'Activity Data'!$F$9:$F$308,"S2",'Activity Data'!$V$9:$V$308,"Ready")),"Ready","Activity incomplete"),"Method required"))))))))</x:f>
      </x:c>
      <x:c r="AC84" s="8"/>
      <x:c r="AD84" s="8"/>
      <x:c r="AE84" s="16"/>
      <x:c r="AF84" s="8"/>
      <x:c r="AG84" s="23" t="str">
        <x:f>IF(AI84="Ready",IF(AD84="Activity",SUMIFS('Activity Data'!$U$9:$U$308,'Activity Data'!$D$9:$D$308,C84,'Activity Data'!$F$9:$F$308,"S3"),AE84),"")</x:f>
      </x:c>
      <x:c r="AH84" s="44" t="str">
        <x:f>IF(AI84&lt;&gt;"Ready","",IF(AD84="Reported verified",1,IF(AD84="Reported unverified",2,IF(F84="Motor",1,2))))</x:f>
      </x:c>
      <x:c r="AI84" s="9" t="str">
        <x:f>IF(C84="","",IF(AD84="Not assessed","Not assessed",IF(OR(O84="",NOT(ISNUMBER(H84)),NOT(ISNUMBER(P84))),"Evidence required",IF(OR(P84&lt;'Settings'!$F$8,H84&gt;'Settings'!$F$8,YEAR(H84)&lt;&gt;YEAR('Settings'!$F$8)),"Period / expiry review",IF(AF84&lt;&gt;"Yes","Boundary incomplete",IF(AM84="","S3 screening required",IF(OR(AD84="Reported verified",AD84="Reported unverified"),IF(NOT(OR(F84="Corporate private",F84="Corporate listed",F84="Project finance")),"Asset method required",IF(OR(NOT(ISNUMBER(AE84)),AE84&lt;0),"Reported value required","Ready")),"Scope 3 method required")))))))</x:f>
      </x:c>
      <x:c r="AJ84" s="9" t="str">
        <x:f>IF(C84="","",IF(OR(F84="Corporate private",F84="Corporate listed"),IFERROR(IF(INDEX('Borrowers'!$X$9:$X$108,MATCH(D84,'Borrowers'!$C$9:$C$108,0))="","",INDEX('Borrowers'!$X$9:$X$108,MATCH(D84,'Borrowers'!$C$9:$C$108,0))),""),IF(AQ84="","",AQ84)))</x:f>
      </x:c>
      <x:c r="AK84" s="43" t="str">
        <x:f>IF(C84="","",IF(OR(F84="Corporate private",F84="Corporate listed"),IFERROR(IF(INDEX('Borrowers'!$H$9:$H$108,MATCH(D84,'Borrowers'!$C$9:$C$108,0))="","",INDEX('Borrowers'!$H$9:$H$108,MATCH(D84,'Borrowers'!$C$9:$C$108,0))),""),IF(AR84="","",AR84)))</x:f>
      </x:c>
      <x:c r="AL84" s="9" t="str">
        <x:f>IF(C84="","",IF(COUNTIFS($C$9:$C$108,C84)&lt;&gt;1,"Duplicate entity ID",IF(COUNTIFS('Borrowers'!$C$9:$C$108,D84)&lt;&gt;1,"Borrower required",IF(AND(F84&lt;&gt;"Corporate private",F84&lt;&gt;"Corporate listed",F84&lt;&gt;"Project finance",F84&lt;&gt;"CRE",F84&lt;&gt;"Mortgage",F84&lt;&gt;"Motor"),"Method required",IF(OR(AND(F84="Corporate private",IFERROR(IF(INDEX('Borrowers'!$G$9:$G$108,MATCH(D84,'Borrowers'!$C$9:$C$108,0))="","",INDEX('Borrowers'!$G$9:$G$108,MATCH(D84,'Borrowers'!$C$9:$C$108,0))),"")&lt;&gt;"Private"),AND(F84="Corporate listed",IFERROR(IF(INDEX('Borrowers'!$G$9:$G$108,MATCH(D84,'Borrowers'!$C$9:$C$108,0))="","",INDEX('Borrowers'!$G$9:$G$108,MATCH(D84,'Borrowers'!$C$9:$C$108,0))),"")&lt;&gt;"Listed")),"Listing / class mismatch",IF(OR(NOT(ISNUMBER(N84)),N84&lt;=0,AJ84="",NOT(ISNUMBER(AK84))),"Value evidence required",IF(AND(OR(F84="Corporate private",F84="Corporate listed"),IFERROR(IF(INDEX('Borrowers'!$Y$9:$Y$108,MATCH(D84,'Borrowers'!$C$9:$C$108,0))="","",INDEX('Borrowers'!$Y$9:$Y$108,MATCH(D84,'Borrowers'!$C$9:$C$108,0))),"")&lt;'Settings'!$F$8),"Expired financial evidence",IF(AK84&gt;'Settings'!$F$8,"Future value date",IF(OR(AND(OR(F84="Corporate private",F84="Project finance"),OR(J84&lt;0,M84&lt;&gt;"Current financials")),AND(F84="Corporate listed",M84&lt;&gt;"Current financials"),AND(OR(F84="CRE",F84="Mortgage",F84="Motor"),AND(M84&lt;&gt;"Origination",M84&lt;&gt;"Fixed fallback"))),"Value basis review",IF(AND(M84="Current financials",YEAR(AK84)&lt;&gt;YEAR('Settings'!$F$8)),"Stale financial period","Ready"))))))))))</x:f>
      </x:c>
      <x:c r="AM84" s="8"/>
      <x:c r="AN84" s="8"/>
      <x:c r="AO84" s="16"/>
      <x:c r="AP84" s="16"/>
      <x:c r="AQ84" s="8"/>
      <x:c r="AR84" s="40"/>
    </x:row>
    <x:row r="85" ht="40" customHeight="1">
      <x:c r="A85" s="1"/>
      <x:c r="B85" s="1"/>
      <x:c r="C85" s="8"/>
      <x:c r="D85" s="8"/>
      <x:c r="E85" s="8"/>
      <x:c r="F85" s="8"/>
      <x:c r="G85" s="9" t="str">
        <x:f>IF(C85="","",IFERROR(IF(INDEX('Borrowers'!$E$9:$E$108,MATCH(D85,'Borrowers'!$C$9:$C$108,0))="","",INDEX('Borrowers'!$E$9:$E$108,MATCH(D85,'Borrowers'!$C$9:$C$108,0))),""))</x:f>
      </x:c>
      <x:c r="H85" s="40"/>
      <x:c r="I85" s="23" t="str">
        <x:f>IF(C85="","",IF(OR(F85="Corporate private",F85="Corporate listed"),IFERROR(IF(INDEX('Borrowers'!$M$9:$M$108,MATCH(D85,'Borrowers'!$C$9:$C$108,0))="","",INDEX('Borrowers'!$M$9:$M$108,MATCH(D85,'Borrowers'!$C$9:$C$108,0))),""),IF(F85="Project finance",IF(ISNUMBER(AO85),AO85,""),"")))</x:f>
      </x:c>
      <x:c r="J85" s="23" t="str">
        <x:f>IF(C85="","",IF(OR(F85="Corporate private",F85="Corporate listed"),IFERROR(IF(INDEX('Borrowers'!$N$9:$N$108,MATCH(D85,'Borrowers'!$C$9:$C$108,0))="","",INDEX('Borrowers'!$N$9:$N$108,MATCH(D85,'Borrowers'!$C$9:$C$108,0))),""),IF(F85="Project finance",IF(ISNUMBER(AP85),AP85,""),"")))</x:f>
      </x:c>
      <x:c r="K85" s="23" t="str">
        <x:f>IF(C85="","",IF(F85="Corporate listed",IFERROR(IF(INDEX('Borrowers'!$O$9:$O$108,MATCH(D85,'Borrowers'!$C$9:$C$108,0))="","",INDEX('Borrowers'!$O$9:$O$108,MATCH(D85,'Borrowers'!$C$9:$C$108,0))),""),""))</x:f>
      </x:c>
      <x:c r="L85" s="16"/>
      <x:c r="M85" s="8"/>
      <x:c r="N85" s="21" t="str">
        <x:f>IF(C85="","",IF(F85="Corporate listed",IF(ISNUMBER(K85),K85,""),IF(OR(F85="Corporate private",F85="Project finance"),IF(AND(ISNUMBER(I85),ISNUMBER(J85)),MAX(I85,0)+J85,""),IF(OR(F85="CRE",F85="Mortgage",F85="Motor"),IF(ISNUMBER(L85),L85,""),""))))</x:f>
      </x:c>
      <x:c r="O85" s="8"/>
      <x:c r="P85" s="40"/>
      <x:c r="Q85" s="8"/>
      <x:c r="R85" s="16"/>
      <x:c r="S85" s="8"/>
      <x:c r="T85" s="23" t="str">
        <x:f>IF(V85="Ready",IF(Q85="Activity",SUMIFS('Activity Data'!$U$9:$U$308,'Activity Data'!$D$9:$D$308,C85,'Activity Data'!$F$9:$F$308,"S1"),R85),"")</x:f>
      </x:c>
      <x:c r="U85" s="44" t="str">
        <x:f>IF(V85&lt;&gt;"Ready","",IF(Q85="Reported verified",1,IF(Q85="Reported unverified",2,IF(F85="Motor",1,2))))</x:f>
      </x:c>
      <x:c r="V85" s="9" t="str">
        <x:f>IF(C85="","",IF(Q85="Not assessed","Not assessed",IF(OR(O85="",NOT(ISNUMBER(H85)),NOT(ISNUMBER(P85))),"Evidence required",IF(OR(P85&lt;'Settings'!$F$8,H85&gt;'Settings'!$F$8,YEAR(H85)&lt;&gt;YEAR('Settings'!$F$8)),"Period / expiry review",IF(S85&lt;&gt;"Yes","Boundary incomplete",IF(OR(Q85="Reported verified",Q85="Reported unverified"),IF(NOT(OR(F85="Corporate private",F85="Corporate listed",F85="Project finance")),"Asset method required",IF(OR(NOT(ISNUMBER(R85)),R85&lt;0),"Reported value required","Ready")),IF(Q85="Activity",IF(AND(COUNTIFS('Activity Data'!$D$9:$D$308,C85,'Activity Data'!$F$9:$F$308,"S1")&gt;0,COUNTIFS('Activity Data'!$D$9:$D$308,C85,'Activity Data'!$F$9:$F$308,"S1")=COUNTIFS('Activity Data'!$D$9:$D$308,C85,'Activity Data'!$F$9:$F$308,"S1",'Activity Data'!$V$9:$V$308,"Ready")),"Ready","Activity incomplete"),"Method required")))))))</x:f>
      </x:c>
      <x:c r="W85" s="8"/>
      <x:c r="X85" s="16"/>
      <x:c r="Y85" s="8"/>
      <x:c r="Z85" s="23" t="str">
        <x:f>IF(AB85="Ready",IF(W85="Activity",SUMIFS('Activity Data'!$U$9:$U$308,'Activity Data'!$D$9:$D$308,C85,'Activity Data'!$F$9:$F$308,"S2"),X85),"")</x:f>
      </x:c>
      <x:c r="AA85" s="44" t="str">
        <x:f>IF(AB85&lt;&gt;"Ready","",IF(W85="Reported verified",1,IF(W85="Reported unverified",2,IF(F85="Motor",1,2))))</x:f>
      </x:c>
      <x:c r="AB85" s="9" t="str">
        <x:f>IF(C85="","",IF(W85="Not assessed","Not assessed",IF(OR(O85="",NOT(ISNUMBER(H85)),NOT(ISNUMBER(P85))),"Evidence required",IF(OR(P85&lt;'Settings'!$F$8,H85&gt;'Settings'!$F$8,YEAR(H85)&lt;&gt;YEAR('Settings'!$F$8)),"Period / expiry review",IF(Y85&lt;&gt;"Yes","Boundary incomplete",IF(OR(AND(AC85&lt;&gt;"Location-based",AC85&lt;&gt;"Market-based"),AND(W85="Activity",AC85&lt;&gt;"Location-based")),"S2 basis mismatch",IF(OR(W85="Reported verified",W85="Reported unverified"),IF(NOT(OR(F85="Corporate private",F85="Corporate listed",F85="Project finance")),"Asset method required",IF(OR(NOT(ISNUMBER(X85)),X85&lt;0),"Reported value required","Ready")),IF(W85="Activity",IF(AND(COUNTIFS('Activity Data'!$D$9:$D$308,C85,'Activity Data'!$F$9:$F$308,"S2")&gt;0,COUNTIFS('Activity Data'!$D$9:$D$308,C85,'Activity Data'!$F$9:$F$308,"S2")=COUNTIFS('Activity Data'!$D$9:$D$308,C85,'Activity Data'!$F$9:$F$308,"S2",'Activity Data'!$V$9:$V$308,"Ready")),"Ready","Activity incomplete"),"Method required"))))))))</x:f>
      </x:c>
      <x:c r="AC85" s="8"/>
      <x:c r="AD85" s="8"/>
      <x:c r="AE85" s="16"/>
      <x:c r="AF85" s="8"/>
      <x:c r="AG85" s="23" t="str">
        <x:f>IF(AI85="Ready",IF(AD85="Activity",SUMIFS('Activity Data'!$U$9:$U$308,'Activity Data'!$D$9:$D$308,C85,'Activity Data'!$F$9:$F$308,"S3"),AE85),"")</x:f>
      </x:c>
      <x:c r="AH85" s="44" t="str">
        <x:f>IF(AI85&lt;&gt;"Ready","",IF(AD85="Reported verified",1,IF(AD85="Reported unverified",2,IF(F85="Motor",1,2))))</x:f>
      </x:c>
      <x:c r="AI85" s="9" t="str">
        <x:f>IF(C85="","",IF(AD85="Not assessed","Not assessed",IF(OR(O85="",NOT(ISNUMBER(H85)),NOT(ISNUMBER(P85))),"Evidence required",IF(OR(P85&lt;'Settings'!$F$8,H85&gt;'Settings'!$F$8,YEAR(H85)&lt;&gt;YEAR('Settings'!$F$8)),"Period / expiry review",IF(AF85&lt;&gt;"Yes","Boundary incomplete",IF(AM85="","S3 screening required",IF(OR(AD85="Reported verified",AD85="Reported unverified"),IF(NOT(OR(F85="Corporate private",F85="Corporate listed",F85="Project finance")),"Asset method required",IF(OR(NOT(ISNUMBER(AE85)),AE85&lt;0),"Reported value required","Ready")),"Scope 3 method required")))))))</x:f>
      </x:c>
      <x:c r="AJ85" s="9" t="str">
        <x:f>IF(C85="","",IF(OR(F85="Corporate private",F85="Corporate listed"),IFERROR(IF(INDEX('Borrowers'!$X$9:$X$108,MATCH(D85,'Borrowers'!$C$9:$C$108,0))="","",INDEX('Borrowers'!$X$9:$X$108,MATCH(D85,'Borrowers'!$C$9:$C$108,0))),""),IF(AQ85="","",AQ85)))</x:f>
      </x:c>
      <x:c r="AK85" s="43" t="str">
        <x:f>IF(C85="","",IF(OR(F85="Corporate private",F85="Corporate listed"),IFERROR(IF(INDEX('Borrowers'!$H$9:$H$108,MATCH(D85,'Borrowers'!$C$9:$C$108,0))="","",INDEX('Borrowers'!$H$9:$H$108,MATCH(D85,'Borrowers'!$C$9:$C$108,0))),""),IF(AR85="","",AR85)))</x:f>
      </x:c>
      <x:c r="AL85" s="9" t="str">
        <x:f>IF(C85="","",IF(COUNTIFS($C$9:$C$108,C85)&lt;&gt;1,"Duplicate entity ID",IF(COUNTIFS('Borrowers'!$C$9:$C$108,D85)&lt;&gt;1,"Borrower required",IF(AND(F85&lt;&gt;"Corporate private",F85&lt;&gt;"Corporate listed",F85&lt;&gt;"Project finance",F85&lt;&gt;"CRE",F85&lt;&gt;"Mortgage",F85&lt;&gt;"Motor"),"Method required",IF(OR(AND(F85="Corporate private",IFERROR(IF(INDEX('Borrowers'!$G$9:$G$108,MATCH(D85,'Borrowers'!$C$9:$C$108,0))="","",INDEX('Borrowers'!$G$9:$G$108,MATCH(D85,'Borrowers'!$C$9:$C$108,0))),"")&lt;&gt;"Private"),AND(F85="Corporate listed",IFERROR(IF(INDEX('Borrowers'!$G$9:$G$108,MATCH(D85,'Borrowers'!$C$9:$C$108,0))="","",INDEX('Borrowers'!$G$9:$G$108,MATCH(D85,'Borrowers'!$C$9:$C$108,0))),"")&lt;&gt;"Listed")),"Listing / class mismatch",IF(OR(NOT(ISNUMBER(N85)),N85&lt;=0,AJ85="",NOT(ISNUMBER(AK85))),"Value evidence required",IF(AND(OR(F85="Corporate private",F85="Corporate listed"),IFERROR(IF(INDEX('Borrowers'!$Y$9:$Y$108,MATCH(D85,'Borrowers'!$C$9:$C$108,0))="","",INDEX('Borrowers'!$Y$9:$Y$108,MATCH(D85,'Borrowers'!$C$9:$C$108,0))),"")&lt;'Settings'!$F$8),"Expired financial evidence",IF(AK85&gt;'Settings'!$F$8,"Future value date",IF(OR(AND(OR(F85="Corporate private",F85="Project finance"),OR(J85&lt;0,M85&lt;&gt;"Current financials")),AND(F85="Corporate listed",M85&lt;&gt;"Current financials"),AND(OR(F85="CRE",F85="Mortgage",F85="Motor"),AND(M85&lt;&gt;"Origination",M85&lt;&gt;"Fixed fallback"))),"Value basis review",IF(AND(M85="Current financials",YEAR(AK85)&lt;&gt;YEAR('Settings'!$F$8)),"Stale financial period","Ready"))))))))))</x:f>
      </x:c>
      <x:c r="AM85" s="8"/>
      <x:c r="AN85" s="8"/>
      <x:c r="AO85" s="16"/>
      <x:c r="AP85" s="16"/>
      <x:c r="AQ85" s="8"/>
      <x:c r="AR85" s="40"/>
    </x:row>
    <x:row r="86" ht="40" customHeight="1">
      <x:c r="A86" s="1"/>
      <x:c r="B86" s="1"/>
      <x:c r="C86" s="8"/>
      <x:c r="D86" s="8"/>
      <x:c r="E86" s="8"/>
      <x:c r="F86" s="8"/>
      <x:c r="G86" s="9" t="str">
        <x:f>IF(C86="","",IFERROR(IF(INDEX('Borrowers'!$E$9:$E$108,MATCH(D86,'Borrowers'!$C$9:$C$108,0))="","",INDEX('Borrowers'!$E$9:$E$108,MATCH(D86,'Borrowers'!$C$9:$C$108,0))),""))</x:f>
      </x:c>
      <x:c r="H86" s="40"/>
      <x:c r="I86" s="23" t="str">
        <x:f>IF(C86="","",IF(OR(F86="Corporate private",F86="Corporate listed"),IFERROR(IF(INDEX('Borrowers'!$M$9:$M$108,MATCH(D86,'Borrowers'!$C$9:$C$108,0))="","",INDEX('Borrowers'!$M$9:$M$108,MATCH(D86,'Borrowers'!$C$9:$C$108,0))),""),IF(F86="Project finance",IF(ISNUMBER(AO86),AO86,""),"")))</x:f>
      </x:c>
      <x:c r="J86" s="23" t="str">
        <x:f>IF(C86="","",IF(OR(F86="Corporate private",F86="Corporate listed"),IFERROR(IF(INDEX('Borrowers'!$N$9:$N$108,MATCH(D86,'Borrowers'!$C$9:$C$108,0))="","",INDEX('Borrowers'!$N$9:$N$108,MATCH(D86,'Borrowers'!$C$9:$C$108,0))),""),IF(F86="Project finance",IF(ISNUMBER(AP86),AP86,""),"")))</x:f>
      </x:c>
      <x:c r="K86" s="23" t="str">
        <x:f>IF(C86="","",IF(F86="Corporate listed",IFERROR(IF(INDEX('Borrowers'!$O$9:$O$108,MATCH(D86,'Borrowers'!$C$9:$C$108,0))="","",INDEX('Borrowers'!$O$9:$O$108,MATCH(D86,'Borrowers'!$C$9:$C$108,0))),""),""))</x:f>
      </x:c>
      <x:c r="L86" s="16"/>
      <x:c r="M86" s="8"/>
      <x:c r="N86" s="21" t="str">
        <x:f>IF(C86="","",IF(F86="Corporate listed",IF(ISNUMBER(K86),K86,""),IF(OR(F86="Corporate private",F86="Project finance"),IF(AND(ISNUMBER(I86),ISNUMBER(J86)),MAX(I86,0)+J86,""),IF(OR(F86="CRE",F86="Mortgage",F86="Motor"),IF(ISNUMBER(L86),L86,""),""))))</x:f>
      </x:c>
      <x:c r="O86" s="8"/>
      <x:c r="P86" s="40"/>
      <x:c r="Q86" s="8"/>
      <x:c r="R86" s="16"/>
      <x:c r="S86" s="8"/>
      <x:c r="T86" s="23" t="str">
        <x:f>IF(V86="Ready",IF(Q86="Activity",SUMIFS('Activity Data'!$U$9:$U$308,'Activity Data'!$D$9:$D$308,C86,'Activity Data'!$F$9:$F$308,"S1"),R86),"")</x:f>
      </x:c>
      <x:c r="U86" s="44" t="str">
        <x:f>IF(V86&lt;&gt;"Ready","",IF(Q86="Reported verified",1,IF(Q86="Reported unverified",2,IF(F86="Motor",1,2))))</x:f>
      </x:c>
      <x:c r="V86" s="9" t="str">
        <x:f>IF(C86="","",IF(Q86="Not assessed","Not assessed",IF(OR(O86="",NOT(ISNUMBER(H86)),NOT(ISNUMBER(P86))),"Evidence required",IF(OR(P86&lt;'Settings'!$F$8,H86&gt;'Settings'!$F$8,YEAR(H86)&lt;&gt;YEAR('Settings'!$F$8)),"Period / expiry review",IF(S86&lt;&gt;"Yes","Boundary incomplete",IF(OR(Q86="Reported verified",Q86="Reported unverified"),IF(NOT(OR(F86="Corporate private",F86="Corporate listed",F86="Project finance")),"Asset method required",IF(OR(NOT(ISNUMBER(R86)),R86&lt;0),"Reported value required","Ready")),IF(Q86="Activity",IF(AND(COUNTIFS('Activity Data'!$D$9:$D$308,C86,'Activity Data'!$F$9:$F$308,"S1")&gt;0,COUNTIFS('Activity Data'!$D$9:$D$308,C86,'Activity Data'!$F$9:$F$308,"S1")=COUNTIFS('Activity Data'!$D$9:$D$308,C86,'Activity Data'!$F$9:$F$308,"S1",'Activity Data'!$V$9:$V$308,"Ready")),"Ready","Activity incomplete"),"Method required")))))))</x:f>
      </x:c>
      <x:c r="W86" s="8"/>
      <x:c r="X86" s="16"/>
      <x:c r="Y86" s="8"/>
      <x:c r="Z86" s="23" t="str">
        <x:f>IF(AB86="Ready",IF(W86="Activity",SUMIFS('Activity Data'!$U$9:$U$308,'Activity Data'!$D$9:$D$308,C86,'Activity Data'!$F$9:$F$308,"S2"),X86),"")</x:f>
      </x:c>
      <x:c r="AA86" s="44" t="str">
        <x:f>IF(AB86&lt;&gt;"Ready","",IF(W86="Reported verified",1,IF(W86="Reported unverified",2,IF(F86="Motor",1,2))))</x:f>
      </x:c>
      <x:c r="AB86" s="9" t="str">
        <x:f>IF(C86="","",IF(W86="Not assessed","Not assessed",IF(OR(O86="",NOT(ISNUMBER(H86)),NOT(ISNUMBER(P86))),"Evidence required",IF(OR(P86&lt;'Settings'!$F$8,H86&gt;'Settings'!$F$8,YEAR(H86)&lt;&gt;YEAR('Settings'!$F$8)),"Period / expiry review",IF(Y86&lt;&gt;"Yes","Boundary incomplete",IF(OR(AND(AC86&lt;&gt;"Location-based",AC86&lt;&gt;"Market-based"),AND(W86="Activity",AC86&lt;&gt;"Location-based")),"S2 basis mismatch",IF(OR(W86="Reported verified",W86="Reported unverified"),IF(NOT(OR(F86="Corporate private",F86="Corporate listed",F86="Project finance")),"Asset method required",IF(OR(NOT(ISNUMBER(X86)),X86&lt;0),"Reported value required","Ready")),IF(W86="Activity",IF(AND(COUNTIFS('Activity Data'!$D$9:$D$308,C86,'Activity Data'!$F$9:$F$308,"S2")&gt;0,COUNTIFS('Activity Data'!$D$9:$D$308,C86,'Activity Data'!$F$9:$F$308,"S2")=COUNTIFS('Activity Data'!$D$9:$D$308,C86,'Activity Data'!$F$9:$F$308,"S2",'Activity Data'!$V$9:$V$308,"Ready")),"Ready","Activity incomplete"),"Method required"))))))))</x:f>
      </x:c>
      <x:c r="AC86" s="8"/>
      <x:c r="AD86" s="8"/>
      <x:c r="AE86" s="16"/>
      <x:c r="AF86" s="8"/>
      <x:c r="AG86" s="23" t="str">
        <x:f>IF(AI86="Ready",IF(AD86="Activity",SUMIFS('Activity Data'!$U$9:$U$308,'Activity Data'!$D$9:$D$308,C86,'Activity Data'!$F$9:$F$308,"S3"),AE86),"")</x:f>
      </x:c>
      <x:c r="AH86" s="44" t="str">
        <x:f>IF(AI86&lt;&gt;"Ready","",IF(AD86="Reported verified",1,IF(AD86="Reported unverified",2,IF(F86="Motor",1,2))))</x:f>
      </x:c>
      <x:c r="AI86" s="9" t="str">
        <x:f>IF(C86="","",IF(AD86="Not assessed","Not assessed",IF(OR(O86="",NOT(ISNUMBER(H86)),NOT(ISNUMBER(P86))),"Evidence required",IF(OR(P86&lt;'Settings'!$F$8,H86&gt;'Settings'!$F$8,YEAR(H86)&lt;&gt;YEAR('Settings'!$F$8)),"Period / expiry review",IF(AF86&lt;&gt;"Yes","Boundary incomplete",IF(AM86="","S3 screening required",IF(OR(AD86="Reported verified",AD86="Reported unverified"),IF(NOT(OR(F86="Corporate private",F86="Corporate listed",F86="Project finance")),"Asset method required",IF(OR(NOT(ISNUMBER(AE86)),AE86&lt;0),"Reported value required","Ready")),"Scope 3 method required")))))))</x:f>
      </x:c>
      <x:c r="AJ86" s="9" t="str">
        <x:f>IF(C86="","",IF(OR(F86="Corporate private",F86="Corporate listed"),IFERROR(IF(INDEX('Borrowers'!$X$9:$X$108,MATCH(D86,'Borrowers'!$C$9:$C$108,0))="","",INDEX('Borrowers'!$X$9:$X$108,MATCH(D86,'Borrowers'!$C$9:$C$108,0))),""),IF(AQ86="","",AQ86)))</x:f>
      </x:c>
      <x:c r="AK86" s="43" t="str">
        <x:f>IF(C86="","",IF(OR(F86="Corporate private",F86="Corporate listed"),IFERROR(IF(INDEX('Borrowers'!$H$9:$H$108,MATCH(D86,'Borrowers'!$C$9:$C$108,0))="","",INDEX('Borrowers'!$H$9:$H$108,MATCH(D86,'Borrowers'!$C$9:$C$108,0))),""),IF(AR86="","",AR86)))</x:f>
      </x:c>
      <x:c r="AL86" s="9" t="str">
        <x:f>IF(C86="","",IF(COUNTIFS($C$9:$C$108,C86)&lt;&gt;1,"Duplicate entity ID",IF(COUNTIFS('Borrowers'!$C$9:$C$108,D86)&lt;&gt;1,"Borrower required",IF(AND(F86&lt;&gt;"Corporate private",F86&lt;&gt;"Corporate listed",F86&lt;&gt;"Project finance",F86&lt;&gt;"CRE",F86&lt;&gt;"Mortgage",F86&lt;&gt;"Motor"),"Method required",IF(OR(AND(F86="Corporate private",IFERROR(IF(INDEX('Borrowers'!$G$9:$G$108,MATCH(D86,'Borrowers'!$C$9:$C$108,0))="","",INDEX('Borrowers'!$G$9:$G$108,MATCH(D86,'Borrowers'!$C$9:$C$108,0))),"")&lt;&gt;"Private"),AND(F86="Corporate listed",IFERROR(IF(INDEX('Borrowers'!$G$9:$G$108,MATCH(D86,'Borrowers'!$C$9:$C$108,0))="","",INDEX('Borrowers'!$G$9:$G$108,MATCH(D86,'Borrowers'!$C$9:$C$108,0))),"")&lt;&gt;"Listed")),"Listing / class mismatch",IF(OR(NOT(ISNUMBER(N86)),N86&lt;=0,AJ86="",NOT(ISNUMBER(AK86))),"Value evidence required",IF(AND(OR(F86="Corporate private",F86="Corporate listed"),IFERROR(IF(INDEX('Borrowers'!$Y$9:$Y$108,MATCH(D86,'Borrowers'!$C$9:$C$108,0))="","",INDEX('Borrowers'!$Y$9:$Y$108,MATCH(D86,'Borrowers'!$C$9:$C$108,0))),"")&lt;'Settings'!$F$8),"Expired financial evidence",IF(AK86&gt;'Settings'!$F$8,"Future value date",IF(OR(AND(OR(F86="Corporate private",F86="Project finance"),OR(J86&lt;0,M86&lt;&gt;"Current financials")),AND(F86="Corporate listed",M86&lt;&gt;"Current financials"),AND(OR(F86="CRE",F86="Mortgage",F86="Motor"),AND(M86&lt;&gt;"Origination",M86&lt;&gt;"Fixed fallback"))),"Value basis review",IF(AND(M86="Current financials",YEAR(AK86)&lt;&gt;YEAR('Settings'!$F$8)),"Stale financial period","Ready"))))))))))</x:f>
      </x:c>
      <x:c r="AM86" s="8"/>
      <x:c r="AN86" s="8"/>
      <x:c r="AO86" s="16"/>
      <x:c r="AP86" s="16"/>
      <x:c r="AQ86" s="8"/>
      <x:c r="AR86" s="40"/>
    </x:row>
    <x:row r="87" ht="40" customHeight="1">
      <x:c r="A87" s="1"/>
      <x:c r="B87" s="1"/>
      <x:c r="C87" s="8"/>
      <x:c r="D87" s="8"/>
      <x:c r="E87" s="8"/>
      <x:c r="F87" s="8"/>
      <x:c r="G87" s="9" t="str">
        <x:f>IF(C87="","",IFERROR(IF(INDEX('Borrowers'!$E$9:$E$108,MATCH(D87,'Borrowers'!$C$9:$C$108,0))="","",INDEX('Borrowers'!$E$9:$E$108,MATCH(D87,'Borrowers'!$C$9:$C$108,0))),""))</x:f>
      </x:c>
      <x:c r="H87" s="40"/>
      <x:c r="I87" s="23" t="str">
        <x:f>IF(C87="","",IF(OR(F87="Corporate private",F87="Corporate listed"),IFERROR(IF(INDEX('Borrowers'!$M$9:$M$108,MATCH(D87,'Borrowers'!$C$9:$C$108,0))="","",INDEX('Borrowers'!$M$9:$M$108,MATCH(D87,'Borrowers'!$C$9:$C$108,0))),""),IF(F87="Project finance",IF(ISNUMBER(AO87),AO87,""),"")))</x:f>
      </x:c>
      <x:c r="J87" s="23" t="str">
        <x:f>IF(C87="","",IF(OR(F87="Corporate private",F87="Corporate listed"),IFERROR(IF(INDEX('Borrowers'!$N$9:$N$108,MATCH(D87,'Borrowers'!$C$9:$C$108,0))="","",INDEX('Borrowers'!$N$9:$N$108,MATCH(D87,'Borrowers'!$C$9:$C$108,0))),""),IF(F87="Project finance",IF(ISNUMBER(AP87),AP87,""),"")))</x:f>
      </x:c>
      <x:c r="K87" s="23" t="str">
        <x:f>IF(C87="","",IF(F87="Corporate listed",IFERROR(IF(INDEX('Borrowers'!$O$9:$O$108,MATCH(D87,'Borrowers'!$C$9:$C$108,0))="","",INDEX('Borrowers'!$O$9:$O$108,MATCH(D87,'Borrowers'!$C$9:$C$108,0))),""),""))</x:f>
      </x:c>
      <x:c r="L87" s="16"/>
      <x:c r="M87" s="8"/>
      <x:c r="N87" s="21" t="str">
        <x:f>IF(C87="","",IF(F87="Corporate listed",IF(ISNUMBER(K87),K87,""),IF(OR(F87="Corporate private",F87="Project finance"),IF(AND(ISNUMBER(I87),ISNUMBER(J87)),MAX(I87,0)+J87,""),IF(OR(F87="CRE",F87="Mortgage",F87="Motor"),IF(ISNUMBER(L87),L87,""),""))))</x:f>
      </x:c>
      <x:c r="O87" s="8"/>
      <x:c r="P87" s="40"/>
      <x:c r="Q87" s="8"/>
      <x:c r="R87" s="16"/>
      <x:c r="S87" s="8"/>
      <x:c r="T87" s="23" t="str">
        <x:f>IF(V87="Ready",IF(Q87="Activity",SUMIFS('Activity Data'!$U$9:$U$308,'Activity Data'!$D$9:$D$308,C87,'Activity Data'!$F$9:$F$308,"S1"),R87),"")</x:f>
      </x:c>
      <x:c r="U87" s="44" t="str">
        <x:f>IF(V87&lt;&gt;"Ready","",IF(Q87="Reported verified",1,IF(Q87="Reported unverified",2,IF(F87="Motor",1,2))))</x:f>
      </x:c>
      <x:c r="V87" s="9" t="str">
        <x:f>IF(C87="","",IF(Q87="Not assessed","Not assessed",IF(OR(O87="",NOT(ISNUMBER(H87)),NOT(ISNUMBER(P87))),"Evidence required",IF(OR(P87&lt;'Settings'!$F$8,H87&gt;'Settings'!$F$8,YEAR(H87)&lt;&gt;YEAR('Settings'!$F$8)),"Period / expiry review",IF(S87&lt;&gt;"Yes","Boundary incomplete",IF(OR(Q87="Reported verified",Q87="Reported unverified"),IF(NOT(OR(F87="Corporate private",F87="Corporate listed",F87="Project finance")),"Asset method required",IF(OR(NOT(ISNUMBER(R87)),R87&lt;0),"Reported value required","Ready")),IF(Q87="Activity",IF(AND(COUNTIFS('Activity Data'!$D$9:$D$308,C87,'Activity Data'!$F$9:$F$308,"S1")&gt;0,COUNTIFS('Activity Data'!$D$9:$D$308,C87,'Activity Data'!$F$9:$F$308,"S1")=COUNTIFS('Activity Data'!$D$9:$D$308,C87,'Activity Data'!$F$9:$F$308,"S1",'Activity Data'!$V$9:$V$308,"Ready")),"Ready","Activity incomplete"),"Method required")))))))</x:f>
      </x:c>
      <x:c r="W87" s="8"/>
      <x:c r="X87" s="16"/>
      <x:c r="Y87" s="8"/>
      <x:c r="Z87" s="23" t="str">
        <x:f>IF(AB87="Ready",IF(W87="Activity",SUMIFS('Activity Data'!$U$9:$U$308,'Activity Data'!$D$9:$D$308,C87,'Activity Data'!$F$9:$F$308,"S2"),X87),"")</x:f>
      </x:c>
      <x:c r="AA87" s="44" t="str">
        <x:f>IF(AB87&lt;&gt;"Ready","",IF(W87="Reported verified",1,IF(W87="Reported unverified",2,IF(F87="Motor",1,2))))</x:f>
      </x:c>
      <x:c r="AB87" s="9" t="str">
        <x:f>IF(C87="","",IF(W87="Not assessed","Not assessed",IF(OR(O87="",NOT(ISNUMBER(H87)),NOT(ISNUMBER(P87))),"Evidence required",IF(OR(P87&lt;'Settings'!$F$8,H87&gt;'Settings'!$F$8,YEAR(H87)&lt;&gt;YEAR('Settings'!$F$8)),"Period / expiry review",IF(Y87&lt;&gt;"Yes","Boundary incomplete",IF(OR(AND(AC87&lt;&gt;"Location-based",AC87&lt;&gt;"Market-based"),AND(W87="Activity",AC87&lt;&gt;"Location-based")),"S2 basis mismatch",IF(OR(W87="Reported verified",W87="Reported unverified"),IF(NOT(OR(F87="Corporate private",F87="Corporate listed",F87="Project finance")),"Asset method required",IF(OR(NOT(ISNUMBER(X87)),X87&lt;0),"Reported value required","Ready")),IF(W87="Activity",IF(AND(COUNTIFS('Activity Data'!$D$9:$D$308,C87,'Activity Data'!$F$9:$F$308,"S2")&gt;0,COUNTIFS('Activity Data'!$D$9:$D$308,C87,'Activity Data'!$F$9:$F$308,"S2")=COUNTIFS('Activity Data'!$D$9:$D$308,C87,'Activity Data'!$F$9:$F$308,"S2",'Activity Data'!$V$9:$V$308,"Ready")),"Ready","Activity incomplete"),"Method required"))))))))</x:f>
      </x:c>
      <x:c r="AC87" s="8"/>
      <x:c r="AD87" s="8"/>
      <x:c r="AE87" s="16"/>
      <x:c r="AF87" s="8"/>
      <x:c r="AG87" s="23" t="str">
        <x:f>IF(AI87="Ready",IF(AD87="Activity",SUMIFS('Activity Data'!$U$9:$U$308,'Activity Data'!$D$9:$D$308,C87,'Activity Data'!$F$9:$F$308,"S3"),AE87),"")</x:f>
      </x:c>
      <x:c r="AH87" s="44" t="str">
        <x:f>IF(AI87&lt;&gt;"Ready","",IF(AD87="Reported verified",1,IF(AD87="Reported unverified",2,IF(F87="Motor",1,2))))</x:f>
      </x:c>
      <x:c r="AI87" s="9" t="str">
        <x:f>IF(C87="","",IF(AD87="Not assessed","Not assessed",IF(OR(O87="",NOT(ISNUMBER(H87)),NOT(ISNUMBER(P87))),"Evidence required",IF(OR(P87&lt;'Settings'!$F$8,H87&gt;'Settings'!$F$8,YEAR(H87)&lt;&gt;YEAR('Settings'!$F$8)),"Period / expiry review",IF(AF87&lt;&gt;"Yes","Boundary incomplete",IF(AM87="","S3 screening required",IF(OR(AD87="Reported verified",AD87="Reported unverified"),IF(NOT(OR(F87="Corporate private",F87="Corporate listed",F87="Project finance")),"Asset method required",IF(OR(NOT(ISNUMBER(AE87)),AE87&lt;0),"Reported value required","Ready")),"Scope 3 method required")))))))</x:f>
      </x:c>
      <x:c r="AJ87" s="9" t="str">
        <x:f>IF(C87="","",IF(OR(F87="Corporate private",F87="Corporate listed"),IFERROR(IF(INDEX('Borrowers'!$X$9:$X$108,MATCH(D87,'Borrowers'!$C$9:$C$108,0))="","",INDEX('Borrowers'!$X$9:$X$108,MATCH(D87,'Borrowers'!$C$9:$C$108,0))),""),IF(AQ87="","",AQ87)))</x:f>
      </x:c>
      <x:c r="AK87" s="43" t="str">
        <x:f>IF(C87="","",IF(OR(F87="Corporate private",F87="Corporate listed"),IFERROR(IF(INDEX('Borrowers'!$H$9:$H$108,MATCH(D87,'Borrowers'!$C$9:$C$108,0))="","",INDEX('Borrowers'!$H$9:$H$108,MATCH(D87,'Borrowers'!$C$9:$C$108,0))),""),IF(AR87="","",AR87)))</x:f>
      </x:c>
      <x:c r="AL87" s="9" t="str">
        <x:f>IF(C87="","",IF(COUNTIFS($C$9:$C$108,C87)&lt;&gt;1,"Duplicate entity ID",IF(COUNTIFS('Borrowers'!$C$9:$C$108,D87)&lt;&gt;1,"Borrower required",IF(AND(F87&lt;&gt;"Corporate private",F87&lt;&gt;"Corporate listed",F87&lt;&gt;"Project finance",F87&lt;&gt;"CRE",F87&lt;&gt;"Mortgage",F87&lt;&gt;"Motor"),"Method required",IF(OR(AND(F87="Corporate private",IFERROR(IF(INDEX('Borrowers'!$G$9:$G$108,MATCH(D87,'Borrowers'!$C$9:$C$108,0))="","",INDEX('Borrowers'!$G$9:$G$108,MATCH(D87,'Borrowers'!$C$9:$C$108,0))),"")&lt;&gt;"Private"),AND(F87="Corporate listed",IFERROR(IF(INDEX('Borrowers'!$G$9:$G$108,MATCH(D87,'Borrowers'!$C$9:$C$108,0))="","",INDEX('Borrowers'!$G$9:$G$108,MATCH(D87,'Borrowers'!$C$9:$C$108,0))),"")&lt;&gt;"Listed")),"Listing / class mismatch",IF(OR(NOT(ISNUMBER(N87)),N87&lt;=0,AJ87="",NOT(ISNUMBER(AK87))),"Value evidence required",IF(AND(OR(F87="Corporate private",F87="Corporate listed"),IFERROR(IF(INDEX('Borrowers'!$Y$9:$Y$108,MATCH(D87,'Borrowers'!$C$9:$C$108,0))="","",INDEX('Borrowers'!$Y$9:$Y$108,MATCH(D87,'Borrowers'!$C$9:$C$108,0))),"")&lt;'Settings'!$F$8),"Expired financial evidence",IF(AK87&gt;'Settings'!$F$8,"Future value date",IF(OR(AND(OR(F87="Corporate private",F87="Project finance"),OR(J87&lt;0,M87&lt;&gt;"Current financials")),AND(F87="Corporate listed",M87&lt;&gt;"Current financials"),AND(OR(F87="CRE",F87="Mortgage",F87="Motor"),AND(M87&lt;&gt;"Origination",M87&lt;&gt;"Fixed fallback"))),"Value basis review",IF(AND(M87="Current financials",YEAR(AK87)&lt;&gt;YEAR('Settings'!$F$8)),"Stale financial period","Ready"))))))))))</x:f>
      </x:c>
      <x:c r="AM87" s="8"/>
      <x:c r="AN87" s="8"/>
      <x:c r="AO87" s="16"/>
      <x:c r="AP87" s="16"/>
      <x:c r="AQ87" s="8"/>
      <x:c r="AR87" s="40"/>
    </x:row>
    <x:row r="88" ht="40" customHeight="1">
      <x:c r="A88" s="1"/>
      <x:c r="B88" s="1"/>
      <x:c r="C88" s="8"/>
      <x:c r="D88" s="8"/>
      <x:c r="E88" s="8"/>
      <x:c r="F88" s="8"/>
      <x:c r="G88" s="9" t="str">
        <x:f>IF(C88="","",IFERROR(IF(INDEX('Borrowers'!$E$9:$E$108,MATCH(D88,'Borrowers'!$C$9:$C$108,0))="","",INDEX('Borrowers'!$E$9:$E$108,MATCH(D88,'Borrowers'!$C$9:$C$108,0))),""))</x:f>
      </x:c>
      <x:c r="H88" s="40"/>
      <x:c r="I88" s="23" t="str">
        <x:f>IF(C88="","",IF(OR(F88="Corporate private",F88="Corporate listed"),IFERROR(IF(INDEX('Borrowers'!$M$9:$M$108,MATCH(D88,'Borrowers'!$C$9:$C$108,0))="","",INDEX('Borrowers'!$M$9:$M$108,MATCH(D88,'Borrowers'!$C$9:$C$108,0))),""),IF(F88="Project finance",IF(ISNUMBER(AO88),AO88,""),"")))</x:f>
      </x:c>
      <x:c r="J88" s="23" t="str">
        <x:f>IF(C88="","",IF(OR(F88="Corporate private",F88="Corporate listed"),IFERROR(IF(INDEX('Borrowers'!$N$9:$N$108,MATCH(D88,'Borrowers'!$C$9:$C$108,0))="","",INDEX('Borrowers'!$N$9:$N$108,MATCH(D88,'Borrowers'!$C$9:$C$108,0))),""),IF(F88="Project finance",IF(ISNUMBER(AP88),AP88,""),"")))</x:f>
      </x:c>
      <x:c r="K88" s="23" t="str">
        <x:f>IF(C88="","",IF(F88="Corporate listed",IFERROR(IF(INDEX('Borrowers'!$O$9:$O$108,MATCH(D88,'Borrowers'!$C$9:$C$108,0))="","",INDEX('Borrowers'!$O$9:$O$108,MATCH(D88,'Borrowers'!$C$9:$C$108,0))),""),""))</x:f>
      </x:c>
      <x:c r="L88" s="16"/>
      <x:c r="M88" s="8"/>
      <x:c r="N88" s="21" t="str">
        <x:f>IF(C88="","",IF(F88="Corporate listed",IF(ISNUMBER(K88),K88,""),IF(OR(F88="Corporate private",F88="Project finance"),IF(AND(ISNUMBER(I88),ISNUMBER(J88)),MAX(I88,0)+J88,""),IF(OR(F88="CRE",F88="Mortgage",F88="Motor"),IF(ISNUMBER(L88),L88,""),""))))</x:f>
      </x:c>
      <x:c r="O88" s="8"/>
      <x:c r="P88" s="40"/>
      <x:c r="Q88" s="8"/>
      <x:c r="R88" s="16"/>
      <x:c r="S88" s="8"/>
      <x:c r="T88" s="23" t="str">
        <x:f>IF(V88="Ready",IF(Q88="Activity",SUMIFS('Activity Data'!$U$9:$U$308,'Activity Data'!$D$9:$D$308,C88,'Activity Data'!$F$9:$F$308,"S1"),R88),"")</x:f>
      </x:c>
      <x:c r="U88" s="44" t="str">
        <x:f>IF(V88&lt;&gt;"Ready","",IF(Q88="Reported verified",1,IF(Q88="Reported unverified",2,IF(F88="Motor",1,2))))</x:f>
      </x:c>
      <x:c r="V88" s="9" t="str">
        <x:f>IF(C88="","",IF(Q88="Not assessed","Not assessed",IF(OR(O88="",NOT(ISNUMBER(H88)),NOT(ISNUMBER(P88))),"Evidence required",IF(OR(P88&lt;'Settings'!$F$8,H88&gt;'Settings'!$F$8,YEAR(H88)&lt;&gt;YEAR('Settings'!$F$8)),"Period / expiry review",IF(S88&lt;&gt;"Yes","Boundary incomplete",IF(OR(Q88="Reported verified",Q88="Reported unverified"),IF(NOT(OR(F88="Corporate private",F88="Corporate listed",F88="Project finance")),"Asset method required",IF(OR(NOT(ISNUMBER(R88)),R88&lt;0),"Reported value required","Ready")),IF(Q88="Activity",IF(AND(COUNTIFS('Activity Data'!$D$9:$D$308,C88,'Activity Data'!$F$9:$F$308,"S1")&gt;0,COUNTIFS('Activity Data'!$D$9:$D$308,C88,'Activity Data'!$F$9:$F$308,"S1")=COUNTIFS('Activity Data'!$D$9:$D$308,C88,'Activity Data'!$F$9:$F$308,"S1",'Activity Data'!$V$9:$V$308,"Ready")),"Ready","Activity incomplete"),"Method required")))))))</x:f>
      </x:c>
      <x:c r="W88" s="8"/>
      <x:c r="X88" s="16"/>
      <x:c r="Y88" s="8"/>
      <x:c r="Z88" s="23" t="str">
        <x:f>IF(AB88="Ready",IF(W88="Activity",SUMIFS('Activity Data'!$U$9:$U$308,'Activity Data'!$D$9:$D$308,C88,'Activity Data'!$F$9:$F$308,"S2"),X88),"")</x:f>
      </x:c>
      <x:c r="AA88" s="44" t="str">
        <x:f>IF(AB88&lt;&gt;"Ready","",IF(W88="Reported verified",1,IF(W88="Reported unverified",2,IF(F88="Motor",1,2))))</x:f>
      </x:c>
      <x:c r="AB88" s="9" t="str">
        <x:f>IF(C88="","",IF(W88="Not assessed","Not assessed",IF(OR(O88="",NOT(ISNUMBER(H88)),NOT(ISNUMBER(P88))),"Evidence required",IF(OR(P88&lt;'Settings'!$F$8,H88&gt;'Settings'!$F$8,YEAR(H88)&lt;&gt;YEAR('Settings'!$F$8)),"Period / expiry review",IF(Y88&lt;&gt;"Yes","Boundary incomplete",IF(OR(AND(AC88&lt;&gt;"Location-based",AC88&lt;&gt;"Market-based"),AND(W88="Activity",AC88&lt;&gt;"Location-based")),"S2 basis mismatch",IF(OR(W88="Reported verified",W88="Reported unverified"),IF(NOT(OR(F88="Corporate private",F88="Corporate listed",F88="Project finance")),"Asset method required",IF(OR(NOT(ISNUMBER(X88)),X88&lt;0),"Reported value required","Ready")),IF(W88="Activity",IF(AND(COUNTIFS('Activity Data'!$D$9:$D$308,C88,'Activity Data'!$F$9:$F$308,"S2")&gt;0,COUNTIFS('Activity Data'!$D$9:$D$308,C88,'Activity Data'!$F$9:$F$308,"S2")=COUNTIFS('Activity Data'!$D$9:$D$308,C88,'Activity Data'!$F$9:$F$308,"S2",'Activity Data'!$V$9:$V$308,"Ready")),"Ready","Activity incomplete"),"Method required"))))))))</x:f>
      </x:c>
      <x:c r="AC88" s="8"/>
      <x:c r="AD88" s="8"/>
      <x:c r="AE88" s="16"/>
      <x:c r="AF88" s="8"/>
      <x:c r="AG88" s="23" t="str">
        <x:f>IF(AI88="Ready",IF(AD88="Activity",SUMIFS('Activity Data'!$U$9:$U$308,'Activity Data'!$D$9:$D$308,C88,'Activity Data'!$F$9:$F$308,"S3"),AE88),"")</x:f>
      </x:c>
      <x:c r="AH88" s="44" t="str">
        <x:f>IF(AI88&lt;&gt;"Ready","",IF(AD88="Reported verified",1,IF(AD88="Reported unverified",2,IF(F88="Motor",1,2))))</x:f>
      </x:c>
      <x:c r="AI88" s="9" t="str">
        <x:f>IF(C88="","",IF(AD88="Not assessed","Not assessed",IF(OR(O88="",NOT(ISNUMBER(H88)),NOT(ISNUMBER(P88))),"Evidence required",IF(OR(P88&lt;'Settings'!$F$8,H88&gt;'Settings'!$F$8,YEAR(H88)&lt;&gt;YEAR('Settings'!$F$8)),"Period / expiry review",IF(AF88&lt;&gt;"Yes","Boundary incomplete",IF(AM88="","S3 screening required",IF(OR(AD88="Reported verified",AD88="Reported unverified"),IF(NOT(OR(F88="Corporate private",F88="Corporate listed",F88="Project finance")),"Asset method required",IF(OR(NOT(ISNUMBER(AE88)),AE88&lt;0),"Reported value required","Ready")),"Scope 3 method required")))))))</x:f>
      </x:c>
      <x:c r="AJ88" s="9" t="str">
        <x:f>IF(C88="","",IF(OR(F88="Corporate private",F88="Corporate listed"),IFERROR(IF(INDEX('Borrowers'!$X$9:$X$108,MATCH(D88,'Borrowers'!$C$9:$C$108,0))="","",INDEX('Borrowers'!$X$9:$X$108,MATCH(D88,'Borrowers'!$C$9:$C$108,0))),""),IF(AQ88="","",AQ88)))</x:f>
      </x:c>
      <x:c r="AK88" s="43" t="str">
        <x:f>IF(C88="","",IF(OR(F88="Corporate private",F88="Corporate listed"),IFERROR(IF(INDEX('Borrowers'!$H$9:$H$108,MATCH(D88,'Borrowers'!$C$9:$C$108,0))="","",INDEX('Borrowers'!$H$9:$H$108,MATCH(D88,'Borrowers'!$C$9:$C$108,0))),""),IF(AR88="","",AR88)))</x:f>
      </x:c>
      <x:c r="AL88" s="9" t="str">
        <x:f>IF(C88="","",IF(COUNTIFS($C$9:$C$108,C88)&lt;&gt;1,"Duplicate entity ID",IF(COUNTIFS('Borrowers'!$C$9:$C$108,D88)&lt;&gt;1,"Borrower required",IF(AND(F88&lt;&gt;"Corporate private",F88&lt;&gt;"Corporate listed",F88&lt;&gt;"Project finance",F88&lt;&gt;"CRE",F88&lt;&gt;"Mortgage",F88&lt;&gt;"Motor"),"Method required",IF(OR(AND(F88="Corporate private",IFERROR(IF(INDEX('Borrowers'!$G$9:$G$108,MATCH(D88,'Borrowers'!$C$9:$C$108,0))="","",INDEX('Borrowers'!$G$9:$G$108,MATCH(D88,'Borrowers'!$C$9:$C$108,0))),"")&lt;&gt;"Private"),AND(F88="Corporate listed",IFERROR(IF(INDEX('Borrowers'!$G$9:$G$108,MATCH(D88,'Borrowers'!$C$9:$C$108,0))="","",INDEX('Borrowers'!$G$9:$G$108,MATCH(D88,'Borrowers'!$C$9:$C$108,0))),"")&lt;&gt;"Listed")),"Listing / class mismatch",IF(OR(NOT(ISNUMBER(N88)),N88&lt;=0,AJ88="",NOT(ISNUMBER(AK88))),"Value evidence required",IF(AND(OR(F88="Corporate private",F88="Corporate listed"),IFERROR(IF(INDEX('Borrowers'!$Y$9:$Y$108,MATCH(D88,'Borrowers'!$C$9:$C$108,0))="","",INDEX('Borrowers'!$Y$9:$Y$108,MATCH(D88,'Borrowers'!$C$9:$C$108,0))),"")&lt;'Settings'!$F$8),"Expired financial evidence",IF(AK88&gt;'Settings'!$F$8,"Future value date",IF(OR(AND(OR(F88="Corporate private",F88="Project finance"),OR(J88&lt;0,M88&lt;&gt;"Current financials")),AND(F88="Corporate listed",M88&lt;&gt;"Current financials"),AND(OR(F88="CRE",F88="Mortgage",F88="Motor"),AND(M88&lt;&gt;"Origination",M88&lt;&gt;"Fixed fallback"))),"Value basis review",IF(AND(M88="Current financials",YEAR(AK88)&lt;&gt;YEAR('Settings'!$F$8)),"Stale financial period","Ready"))))))))))</x:f>
      </x:c>
      <x:c r="AM88" s="8"/>
      <x:c r="AN88" s="8"/>
      <x:c r="AO88" s="16"/>
      <x:c r="AP88" s="16"/>
      <x:c r="AQ88" s="8"/>
      <x:c r="AR88" s="40"/>
    </x:row>
    <x:row r="89" ht="40" customHeight="1">
      <x:c r="A89" s="1"/>
      <x:c r="B89" s="1"/>
      <x:c r="C89" s="8"/>
      <x:c r="D89" s="8"/>
      <x:c r="E89" s="8"/>
      <x:c r="F89" s="8"/>
      <x:c r="G89" s="9" t="str">
        <x:f>IF(C89="","",IFERROR(IF(INDEX('Borrowers'!$E$9:$E$108,MATCH(D89,'Borrowers'!$C$9:$C$108,0))="","",INDEX('Borrowers'!$E$9:$E$108,MATCH(D89,'Borrowers'!$C$9:$C$108,0))),""))</x:f>
      </x:c>
      <x:c r="H89" s="40"/>
      <x:c r="I89" s="23" t="str">
        <x:f>IF(C89="","",IF(OR(F89="Corporate private",F89="Corporate listed"),IFERROR(IF(INDEX('Borrowers'!$M$9:$M$108,MATCH(D89,'Borrowers'!$C$9:$C$108,0))="","",INDEX('Borrowers'!$M$9:$M$108,MATCH(D89,'Borrowers'!$C$9:$C$108,0))),""),IF(F89="Project finance",IF(ISNUMBER(AO89),AO89,""),"")))</x:f>
      </x:c>
      <x:c r="J89" s="23" t="str">
        <x:f>IF(C89="","",IF(OR(F89="Corporate private",F89="Corporate listed"),IFERROR(IF(INDEX('Borrowers'!$N$9:$N$108,MATCH(D89,'Borrowers'!$C$9:$C$108,0))="","",INDEX('Borrowers'!$N$9:$N$108,MATCH(D89,'Borrowers'!$C$9:$C$108,0))),""),IF(F89="Project finance",IF(ISNUMBER(AP89),AP89,""),"")))</x:f>
      </x:c>
      <x:c r="K89" s="23" t="str">
        <x:f>IF(C89="","",IF(F89="Corporate listed",IFERROR(IF(INDEX('Borrowers'!$O$9:$O$108,MATCH(D89,'Borrowers'!$C$9:$C$108,0))="","",INDEX('Borrowers'!$O$9:$O$108,MATCH(D89,'Borrowers'!$C$9:$C$108,0))),""),""))</x:f>
      </x:c>
      <x:c r="L89" s="16"/>
      <x:c r="M89" s="8"/>
      <x:c r="N89" s="21" t="str">
        <x:f>IF(C89="","",IF(F89="Corporate listed",IF(ISNUMBER(K89),K89,""),IF(OR(F89="Corporate private",F89="Project finance"),IF(AND(ISNUMBER(I89),ISNUMBER(J89)),MAX(I89,0)+J89,""),IF(OR(F89="CRE",F89="Mortgage",F89="Motor"),IF(ISNUMBER(L89),L89,""),""))))</x:f>
      </x:c>
      <x:c r="O89" s="8"/>
      <x:c r="P89" s="40"/>
      <x:c r="Q89" s="8"/>
      <x:c r="R89" s="16"/>
      <x:c r="S89" s="8"/>
      <x:c r="T89" s="23" t="str">
        <x:f>IF(V89="Ready",IF(Q89="Activity",SUMIFS('Activity Data'!$U$9:$U$308,'Activity Data'!$D$9:$D$308,C89,'Activity Data'!$F$9:$F$308,"S1"),R89),"")</x:f>
      </x:c>
      <x:c r="U89" s="44" t="str">
        <x:f>IF(V89&lt;&gt;"Ready","",IF(Q89="Reported verified",1,IF(Q89="Reported unverified",2,IF(F89="Motor",1,2))))</x:f>
      </x:c>
      <x:c r="V89" s="9" t="str">
        <x:f>IF(C89="","",IF(Q89="Not assessed","Not assessed",IF(OR(O89="",NOT(ISNUMBER(H89)),NOT(ISNUMBER(P89))),"Evidence required",IF(OR(P89&lt;'Settings'!$F$8,H89&gt;'Settings'!$F$8,YEAR(H89)&lt;&gt;YEAR('Settings'!$F$8)),"Period / expiry review",IF(S89&lt;&gt;"Yes","Boundary incomplete",IF(OR(Q89="Reported verified",Q89="Reported unverified"),IF(NOT(OR(F89="Corporate private",F89="Corporate listed",F89="Project finance")),"Asset method required",IF(OR(NOT(ISNUMBER(R89)),R89&lt;0),"Reported value required","Ready")),IF(Q89="Activity",IF(AND(COUNTIFS('Activity Data'!$D$9:$D$308,C89,'Activity Data'!$F$9:$F$308,"S1")&gt;0,COUNTIFS('Activity Data'!$D$9:$D$308,C89,'Activity Data'!$F$9:$F$308,"S1")=COUNTIFS('Activity Data'!$D$9:$D$308,C89,'Activity Data'!$F$9:$F$308,"S1",'Activity Data'!$V$9:$V$308,"Ready")),"Ready","Activity incomplete"),"Method required")))))))</x:f>
      </x:c>
      <x:c r="W89" s="8"/>
      <x:c r="X89" s="16"/>
      <x:c r="Y89" s="8"/>
      <x:c r="Z89" s="23" t="str">
        <x:f>IF(AB89="Ready",IF(W89="Activity",SUMIFS('Activity Data'!$U$9:$U$308,'Activity Data'!$D$9:$D$308,C89,'Activity Data'!$F$9:$F$308,"S2"),X89),"")</x:f>
      </x:c>
      <x:c r="AA89" s="44" t="str">
        <x:f>IF(AB89&lt;&gt;"Ready","",IF(W89="Reported verified",1,IF(W89="Reported unverified",2,IF(F89="Motor",1,2))))</x:f>
      </x:c>
      <x:c r="AB89" s="9" t="str">
        <x:f>IF(C89="","",IF(W89="Not assessed","Not assessed",IF(OR(O89="",NOT(ISNUMBER(H89)),NOT(ISNUMBER(P89))),"Evidence required",IF(OR(P89&lt;'Settings'!$F$8,H89&gt;'Settings'!$F$8,YEAR(H89)&lt;&gt;YEAR('Settings'!$F$8)),"Period / expiry review",IF(Y89&lt;&gt;"Yes","Boundary incomplete",IF(OR(AND(AC89&lt;&gt;"Location-based",AC89&lt;&gt;"Market-based"),AND(W89="Activity",AC89&lt;&gt;"Location-based")),"S2 basis mismatch",IF(OR(W89="Reported verified",W89="Reported unverified"),IF(NOT(OR(F89="Corporate private",F89="Corporate listed",F89="Project finance")),"Asset method required",IF(OR(NOT(ISNUMBER(X89)),X89&lt;0),"Reported value required","Ready")),IF(W89="Activity",IF(AND(COUNTIFS('Activity Data'!$D$9:$D$308,C89,'Activity Data'!$F$9:$F$308,"S2")&gt;0,COUNTIFS('Activity Data'!$D$9:$D$308,C89,'Activity Data'!$F$9:$F$308,"S2")=COUNTIFS('Activity Data'!$D$9:$D$308,C89,'Activity Data'!$F$9:$F$308,"S2",'Activity Data'!$V$9:$V$308,"Ready")),"Ready","Activity incomplete"),"Method required"))))))))</x:f>
      </x:c>
      <x:c r="AC89" s="8"/>
      <x:c r="AD89" s="8"/>
      <x:c r="AE89" s="16"/>
      <x:c r="AF89" s="8"/>
      <x:c r="AG89" s="23" t="str">
        <x:f>IF(AI89="Ready",IF(AD89="Activity",SUMIFS('Activity Data'!$U$9:$U$308,'Activity Data'!$D$9:$D$308,C89,'Activity Data'!$F$9:$F$308,"S3"),AE89),"")</x:f>
      </x:c>
      <x:c r="AH89" s="44" t="str">
        <x:f>IF(AI89&lt;&gt;"Ready","",IF(AD89="Reported verified",1,IF(AD89="Reported unverified",2,IF(F89="Motor",1,2))))</x:f>
      </x:c>
      <x:c r="AI89" s="9" t="str">
        <x:f>IF(C89="","",IF(AD89="Not assessed","Not assessed",IF(OR(O89="",NOT(ISNUMBER(H89)),NOT(ISNUMBER(P89))),"Evidence required",IF(OR(P89&lt;'Settings'!$F$8,H89&gt;'Settings'!$F$8,YEAR(H89)&lt;&gt;YEAR('Settings'!$F$8)),"Period / expiry review",IF(AF89&lt;&gt;"Yes","Boundary incomplete",IF(AM89="","S3 screening required",IF(OR(AD89="Reported verified",AD89="Reported unverified"),IF(NOT(OR(F89="Corporate private",F89="Corporate listed",F89="Project finance")),"Asset method required",IF(OR(NOT(ISNUMBER(AE89)),AE89&lt;0),"Reported value required","Ready")),"Scope 3 method required")))))))</x:f>
      </x:c>
      <x:c r="AJ89" s="9" t="str">
        <x:f>IF(C89="","",IF(OR(F89="Corporate private",F89="Corporate listed"),IFERROR(IF(INDEX('Borrowers'!$X$9:$X$108,MATCH(D89,'Borrowers'!$C$9:$C$108,0))="","",INDEX('Borrowers'!$X$9:$X$108,MATCH(D89,'Borrowers'!$C$9:$C$108,0))),""),IF(AQ89="","",AQ89)))</x:f>
      </x:c>
      <x:c r="AK89" s="43" t="str">
        <x:f>IF(C89="","",IF(OR(F89="Corporate private",F89="Corporate listed"),IFERROR(IF(INDEX('Borrowers'!$H$9:$H$108,MATCH(D89,'Borrowers'!$C$9:$C$108,0))="","",INDEX('Borrowers'!$H$9:$H$108,MATCH(D89,'Borrowers'!$C$9:$C$108,0))),""),IF(AR89="","",AR89)))</x:f>
      </x:c>
      <x:c r="AL89" s="9" t="str">
        <x:f>IF(C89="","",IF(COUNTIFS($C$9:$C$108,C89)&lt;&gt;1,"Duplicate entity ID",IF(COUNTIFS('Borrowers'!$C$9:$C$108,D89)&lt;&gt;1,"Borrower required",IF(AND(F89&lt;&gt;"Corporate private",F89&lt;&gt;"Corporate listed",F89&lt;&gt;"Project finance",F89&lt;&gt;"CRE",F89&lt;&gt;"Mortgage",F89&lt;&gt;"Motor"),"Method required",IF(OR(AND(F89="Corporate private",IFERROR(IF(INDEX('Borrowers'!$G$9:$G$108,MATCH(D89,'Borrowers'!$C$9:$C$108,0))="","",INDEX('Borrowers'!$G$9:$G$108,MATCH(D89,'Borrowers'!$C$9:$C$108,0))),"")&lt;&gt;"Private"),AND(F89="Corporate listed",IFERROR(IF(INDEX('Borrowers'!$G$9:$G$108,MATCH(D89,'Borrowers'!$C$9:$C$108,0))="","",INDEX('Borrowers'!$G$9:$G$108,MATCH(D89,'Borrowers'!$C$9:$C$108,0))),"")&lt;&gt;"Listed")),"Listing / class mismatch",IF(OR(NOT(ISNUMBER(N89)),N89&lt;=0,AJ89="",NOT(ISNUMBER(AK89))),"Value evidence required",IF(AND(OR(F89="Corporate private",F89="Corporate listed"),IFERROR(IF(INDEX('Borrowers'!$Y$9:$Y$108,MATCH(D89,'Borrowers'!$C$9:$C$108,0))="","",INDEX('Borrowers'!$Y$9:$Y$108,MATCH(D89,'Borrowers'!$C$9:$C$108,0))),"")&lt;'Settings'!$F$8),"Expired financial evidence",IF(AK89&gt;'Settings'!$F$8,"Future value date",IF(OR(AND(OR(F89="Corporate private",F89="Project finance"),OR(J89&lt;0,M89&lt;&gt;"Current financials")),AND(F89="Corporate listed",M89&lt;&gt;"Current financials"),AND(OR(F89="CRE",F89="Mortgage",F89="Motor"),AND(M89&lt;&gt;"Origination",M89&lt;&gt;"Fixed fallback"))),"Value basis review",IF(AND(M89="Current financials",YEAR(AK89)&lt;&gt;YEAR('Settings'!$F$8)),"Stale financial period","Ready"))))))))))</x:f>
      </x:c>
      <x:c r="AM89" s="8"/>
      <x:c r="AN89" s="8"/>
      <x:c r="AO89" s="16"/>
      <x:c r="AP89" s="16"/>
      <x:c r="AQ89" s="8"/>
      <x:c r="AR89" s="40"/>
    </x:row>
    <x:row r="90" ht="40" customHeight="1">
      <x:c r="A90" s="1"/>
      <x:c r="B90" s="1"/>
      <x:c r="C90" s="8"/>
      <x:c r="D90" s="8"/>
      <x:c r="E90" s="8"/>
      <x:c r="F90" s="8"/>
      <x:c r="G90" s="9" t="str">
        <x:f>IF(C90="","",IFERROR(IF(INDEX('Borrowers'!$E$9:$E$108,MATCH(D90,'Borrowers'!$C$9:$C$108,0))="","",INDEX('Borrowers'!$E$9:$E$108,MATCH(D90,'Borrowers'!$C$9:$C$108,0))),""))</x:f>
      </x:c>
      <x:c r="H90" s="40"/>
      <x:c r="I90" s="23" t="str">
        <x:f>IF(C90="","",IF(OR(F90="Corporate private",F90="Corporate listed"),IFERROR(IF(INDEX('Borrowers'!$M$9:$M$108,MATCH(D90,'Borrowers'!$C$9:$C$108,0))="","",INDEX('Borrowers'!$M$9:$M$108,MATCH(D90,'Borrowers'!$C$9:$C$108,0))),""),IF(F90="Project finance",IF(ISNUMBER(AO90),AO90,""),"")))</x:f>
      </x:c>
      <x:c r="J90" s="23" t="str">
        <x:f>IF(C90="","",IF(OR(F90="Corporate private",F90="Corporate listed"),IFERROR(IF(INDEX('Borrowers'!$N$9:$N$108,MATCH(D90,'Borrowers'!$C$9:$C$108,0))="","",INDEX('Borrowers'!$N$9:$N$108,MATCH(D90,'Borrowers'!$C$9:$C$108,0))),""),IF(F90="Project finance",IF(ISNUMBER(AP90),AP90,""),"")))</x:f>
      </x:c>
      <x:c r="K90" s="23" t="str">
        <x:f>IF(C90="","",IF(F90="Corporate listed",IFERROR(IF(INDEX('Borrowers'!$O$9:$O$108,MATCH(D90,'Borrowers'!$C$9:$C$108,0))="","",INDEX('Borrowers'!$O$9:$O$108,MATCH(D90,'Borrowers'!$C$9:$C$108,0))),""),""))</x:f>
      </x:c>
      <x:c r="L90" s="16"/>
      <x:c r="M90" s="8"/>
      <x:c r="N90" s="21" t="str">
        <x:f>IF(C90="","",IF(F90="Corporate listed",IF(ISNUMBER(K90),K90,""),IF(OR(F90="Corporate private",F90="Project finance"),IF(AND(ISNUMBER(I90),ISNUMBER(J90)),MAX(I90,0)+J90,""),IF(OR(F90="CRE",F90="Mortgage",F90="Motor"),IF(ISNUMBER(L90),L90,""),""))))</x:f>
      </x:c>
      <x:c r="O90" s="8"/>
      <x:c r="P90" s="40"/>
      <x:c r="Q90" s="8"/>
      <x:c r="R90" s="16"/>
      <x:c r="S90" s="8"/>
      <x:c r="T90" s="23" t="str">
        <x:f>IF(V90="Ready",IF(Q90="Activity",SUMIFS('Activity Data'!$U$9:$U$308,'Activity Data'!$D$9:$D$308,C90,'Activity Data'!$F$9:$F$308,"S1"),R90),"")</x:f>
      </x:c>
      <x:c r="U90" s="44" t="str">
        <x:f>IF(V90&lt;&gt;"Ready","",IF(Q90="Reported verified",1,IF(Q90="Reported unverified",2,IF(F90="Motor",1,2))))</x:f>
      </x:c>
      <x:c r="V90" s="9" t="str">
        <x:f>IF(C90="","",IF(Q90="Not assessed","Not assessed",IF(OR(O90="",NOT(ISNUMBER(H90)),NOT(ISNUMBER(P90))),"Evidence required",IF(OR(P90&lt;'Settings'!$F$8,H90&gt;'Settings'!$F$8,YEAR(H90)&lt;&gt;YEAR('Settings'!$F$8)),"Period / expiry review",IF(S90&lt;&gt;"Yes","Boundary incomplete",IF(OR(Q90="Reported verified",Q90="Reported unverified"),IF(NOT(OR(F90="Corporate private",F90="Corporate listed",F90="Project finance")),"Asset method required",IF(OR(NOT(ISNUMBER(R90)),R90&lt;0),"Reported value required","Ready")),IF(Q90="Activity",IF(AND(COUNTIFS('Activity Data'!$D$9:$D$308,C90,'Activity Data'!$F$9:$F$308,"S1")&gt;0,COUNTIFS('Activity Data'!$D$9:$D$308,C90,'Activity Data'!$F$9:$F$308,"S1")=COUNTIFS('Activity Data'!$D$9:$D$308,C90,'Activity Data'!$F$9:$F$308,"S1",'Activity Data'!$V$9:$V$308,"Ready")),"Ready","Activity incomplete"),"Method required")))))))</x:f>
      </x:c>
      <x:c r="W90" s="8"/>
      <x:c r="X90" s="16"/>
      <x:c r="Y90" s="8"/>
      <x:c r="Z90" s="23" t="str">
        <x:f>IF(AB90="Ready",IF(W90="Activity",SUMIFS('Activity Data'!$U$9:$U$308,'Activity Data'!$D$9:$D$308,C90,'Activity Data'!$F$9:$F$308,"S2"),X90),"")</x:f>
      </x:c>
      <x:c r="AA90" s="44" t="str">
        <x:f>IF(AB90&lt;&gt;"Ready","",IF(W90="Reported verified",1,IF(W90="Reported unverified",2,IF(F90="Motor",1,2))))</x:f>
      </x:c>
      <x:c r="AB90" s="9" t="str">
        <x:f>IF(C90="","",IF(W90="Not assessed","Not assessed",IF(OR(O90="",NOT(ISNUMBER(H90)),NOT(ISNUMBER(P90))),"Evidence required",IF(OR(P90&lt;'Settings'!$F$8,H90&gt;'Settings'!$F$8,YEAR(H90)&lt;&gt;YEAR('Settings'!$F$8)),"Period / expiry review",IF(Y90&lt;&gt;"Yes","Boundary incomplete",IF(OR(AND(AC90&lt;&gt;"Location-based",AC90&lt;&gt;"Market-based"),AND(W90="Activity",AC90&lt;&gt;"Location-based")),"S2 basis mismatch",IF(OR(W90="Reported verified",W90="Reported unverified"),IF(NOT(OR(F90="Corporate private",F90="Corporate listed",F90="Project finance")),"Asset method required",IF(OR(NOT(ISNUMBER(X90)),X90&lt;0),"Reported value required","Ready")),IF(W90="Activity",IF(AND(COUNTIFS('Activity Data'!$D$9:$D$308,C90,'Activity Data'!$F$9:$F$308,"S2")&gt;0,COUNTIFS('Activity Data'!$D$9:$D$308,C90,'Activity Data'!$F$9:$F$308,"S2")=COUNTIFS('Activity Data'!$D$9:$D$308,C90,'Activity Data'!$F$9:$F$308,"S2",'Activity Data'!$V$9:$V$308,"Ready")),"Ready","Activity incomplete"),"Method required"))))))))</x:f>
      </x:c>
      <x:c r="AC90" s="8"/>
      <x:c r="AD90" s="8"/>
      <x:c r="AE90" s="16"/>
      <x:c r="AF90" s="8"/>
      <x:c r="AG90" s="23" t="str">
        <x:f>IF(AI90="Ready",IF(AD90="Activity",SUMIFS('Activity Data'!$U$9:$U$308,'Activity Data'!$D$9:$D$308,C90,'Activity Data'!$F$9:$F$308,"S3"),AE90),"")</x:f>
      </x:c>
      <x:c r="AH90" s="44" t="str">
        <x:f>IF(AI90&lt;&gt;"Ready","",IF(AD90="Reported verified",1,IF(AD90="Reported unverified",2,IF(F90="Motor",1,2))))</x:f>
      </x:c>
      <x:c r="AI90" s="9" t="str">
        <x:f>IF(C90="","",IF(AD90="Not assessed","Not assessed",IF(OR(O90="",NOT(ISNUMBER(H90)),NOT(ISNUMBER(P90))),"Evidence required",IF(OR(P90&lt;'Settings'!$F$8,H90&gt;'Settings'!$F$8,YEAR(H90)&lt;&gt;YEAR('Settings'!$F$8)),"Period / expiry review",IF(AF90&lt;&gt;"Yes","Boundary incomplete",IF(AM90="","S3 screening required",IF(OR(AD90="Reported verified",AD90="Reported unverified"),IF(NOT(OR(F90="Corporate private",F90="Corporate listed",F90="Project finance")),"Asset method required",IF(OR(NOT(ISNUMBER(AE90)),AE90&lt;0),"Reported value required","Ready")),"Scope 3 method required")))))))</x:f>
      </x:c>
      <x:c r="AJ90" s="9" t="str">
        <x:f>IF(C90="","",IF(OR(F90="Corporate private",F90="Corporate listed"),IFERROR(IF(INDEX('Borrowers'!$X$9:$X$108,MATCH(D90,'Borrowers'!$C$9:$C$108,0))="","",INDEX('Borrowers'!$X$9:$X$108,MATCH(D90,'Borrowers'!$C$9:$C$108,0))),""),IF(AQ90="","",AQ90)))</x:f>
      </x:c>
      <x:c r="AK90" s="43" t="str">
        <x:f>IF(C90="","",IF(OR(F90="Corporate private",F90="Corporate listed"),IFERROR(IF(INDEX('Borrowers'!$H$9:$H$108,MATCH(D90,'Borrowers'!$C$9:$C$108,0))="","",INDEX('Borrowers'!$H$9:$H$108,MATCH(D90,'Borrowers'!$C$9:$C$108,0))),""),IF(AR90="","",AR90)))</x:f>
      </x:c>
      <x:c r="AL90" s="9" t="str">
        <x:f>IF(C90="","",IF(COUNTIFS($C$9:$C$108,C90)&lt;&gt;1,"Duplicate entity ID",IF(COUNTIFS('Borrowers'!$C$9:$C$108,D90)&lt;&gt;1,"Borrower required",IF(AND(F90&lt;&gt;"Corporate private",F90&lt;&gt;"Corporate listed",F90&lt;&gt;"Project finance",F90&lt;&gt;"CRE",F90&lt;&gt;"Mortgage",F90&lt;&gt;"Motor"),"Method required",IF(OR(AND(F90="Corporate private",IFERROR(IF(INDEX('Borrowers'!$G$9:$G$108,MATCH(D90,'Borrowers'!$C$9:$C$108,0))="","",INDEX('Borrowers'!$G$9:$G$108,MATCH(D90,'Borrowers'!$C$9:$C$108,0))),"")&lt;&gt;"Private"),AND(F90="Corporate listed",IFERROR(IF(INDEX('Borrowers'!$G$9:$G$108,MATCH(D90,'Borrowers'!$C$9:$C$108,0))="","",INDEX('Borrowers'!$G$9:$G$108,MATCH(D90,'Borrowers'!$C$9:$C$108,0))),"")&lt;&gt;"Listed")),"Listing / class mismatch",IF(OR(NOT(ISNUMBER(N90)),N90&lt;=0,AJ90="",NOT(ISNUMBER(AK90))),"Value evidence required",IF(AND(OR(F90="Corporate private",F90="Corporate listed"),IFERROR(IF(INDEX('Borrowers'!$Y$9:$Y$108,MATCH(D90,'Borrowers'!$C$9:$C$108,0))="","",INDEX('Borrowers'!$Y$9:$Y$108,MATCH(D90,'Borrowers'!$C$9:$C$108,0))),"")&lt;'Settings'!$F$8),"Expired financial evidence",IF(AK90&gt;'Settings'!$F$8,"Future value date",IF(OR(AND(OR(F90="Corporate private",F90="Project finance"),OR(J90&lt;0,M90&lt;&gt;"Current financials")),AND(F90="Corporate listed",M90&lt;&gt;"Current financials"),AND(OR(F90="CRE",F90="Mortgage",F90="Motor"),AND(M90&lt;&gt;"Origination",M90&lt;&gt;"Fixed fallback"))),"Value basis review",IF(AND(M90="Current financials",YEAR(AK90)&lt;&gt;YEAR('Settings'!$F$8)),"Stale financial period","Ready"))))))))))</x:f>
      </x:c>
      <x:c r="AM90" s="8"/>
      <x:c r="AN90" s="8"/>
      <x:c r="AO90" s="16"/>
      <x:c r="AP90" s="16"/>
      <x:c r="AQ90" s="8"/>
      <x:c r="AR90" s="40"/>
    </x:row>
    <x:row r="91" ht="40" customHeight="1">
      <x:c r="A91" s="1"/>
      <x:c r="B91" s="1"/>
      <x:c r="C91" s="8"/>
      <x:c r="D91" s="8"/>
      <x:c r="E91" s="8"/>
      <x:c r="F91" s="8"/>
      <x:c r="G91" s="9" t="str">
        <x:f>IF(C91="","",IFERROR(IF(INDEX('Borrowers'!$E$9:$E$108,MATCH(D91,'Borrowers'!$C$9:$C$108,0))="","",INDEX('Borrowers'!$E$9:$E$108,MATCH(D91,'Borrowers'!$C$9:$C$108,0))),""))</x:f>
      </x:c>
      <x:c r="H91" s="40"/>
      <x:c r="I91" s="23" t="str">
        <x:f>IF(C91="","",IF(OR(F91="Corporate private",F91="Corporate listed"),IFERROR(IF(INDEX('Borrowers'!$M$9:$M$108,MATCH(D91,'Borrowers'!$C$9:$C$108,0))="","",INDEX('Borrowers'!$M$9:$M$108,MATCH(D91,'Borrowers'!$C$9:$C$108,0))),""),IF(F91="Project finance",IF(ISNUMBER(AO91),AO91,""),"")))</x:f>
      </x:c>
      <x:c r="J91" s="23" t="str">
        <x:f>IF(C91="","",IF(OR(F91="Corporate private",F91="Corporate listed"),IFERROR(IF(INDEX('Borrowers'!$N$9:$N$108,MATCH(D91,'Borrowers'!$C$9:$C$108,0))="","",INDEX('Borrowers'!$N$9:$N$108,MATCH(D91,'Borrowers'!$C$9:$C$108,0))),""),IF(F91="Project finance",IF(ISNUMBER(AP91),AP91,""),"")))</x:f>
      </x:c>
      <x:c r="K91" s="23" t="str">
        <x:f>IF(C91="","",IF(F91="Corporate listed",IFERROR(IF(INDEX('Borrowers'!$O$9:$O$108,MATCH(D91,'Borrowers'!$C$9:$C$108,0))="","",INDEX('Borrowers'!$O$9:$O$108,MATCH(D91,'Borrowers'!$C$9:$C$108,0))),""),""))</x:f>
      </x:c>
      <x:c r="L91" s="16"/>
      <x:c r="M91" s="8"/>
      <x:c r="N91" s="21" t="str">
        <x:f>IF(C91="","",IF(F91="Corporate listed",IF(ISNUMBER(K91),K91,""),IF(OR(F91="Corporate private",F91="Project finance"),IF(AND(ISNUMBER(I91),ISNUMBER(J91)),MAX(I91,0)+J91,""),IF(OR(F91="CRE",F91="Mortgage",F91="Motor"),IF(ISNUMBER(L91),L91,""),""))))</x:f>
      </x:c>
      <x:c r="O91" s="8"/>
      <x:c r="P91" s="40"/>
      <x:c r="Q91" s="8"/>
      <x:c r="R91" s="16"/>
      <x:c r="S91" s="8"/>
      <x:c r="T91" s="23" t="str">
        <x:f>IF(V91="Ready",IF(Q91="Activity",SUMIFS('Activity Data'!$U$9:$U$308,'Activity Data'!$D$9:$D$308,C91,'Activity Data'!$F$9:$F$308,"S1"),R91),"")</x:f>
      </x:c>
      <x:c r="U91" s="44" t="str">
        <x:f>IF(V91&lt;&gt;"Ready","",IF(Q91="Reported verified",1,IF(Q91="Reported unverified",2,IF(F91="Motor",1,2))))</x:f>
      </x:c>
      <x:c r="V91" s="9" t="str">
        <x:f>IF(C91="","",IF(Q91="Not assessed","Not assessed",IF(OR(O91="",NOT(ISNUMBER(H91)),NOT(ISNUMBER(P91))),"Evidence required",IF(OR(P91&lt;'Settings'!$F$8,H91&gt;'Settings'!$F$8,YEAR(H91)&lt;&gt;YEAR('Settings'!$F$8)),"Period / expiry review",IF(S91&lt;&gt;"Yes","Boundary incomplete",IF(OR(Q91="Reported verified",Q91="Reported unverified"),IF(NOT(OR(F91="Corporate private",F91="Corporate listed",F91="Project finance")),"Asset method required",IF(OR(NOT(ISNUMBER(R91)),R91&lt;0),"Reported value required","Ready")),IF(Q91="Activity",IF(AND(COUNTIFS('Activity Data'!$D$9:$D$308,C91,'Activity Data'!$F$9:$F$308,"S1")&gt;0,COUNTIFS('Activity Data'!$D$9:$D$308,C91,'Activity Data'!$F$9:$F$308,"S1")=COUNTIFS('Activity Data'!$D$9:$D$308,C91,'Activity Data'!$F$9:$F$308,"S1",'Activity Data'!$V$9:$V$308,"Ready")),"Ready","Activity incomplete"),"Method required")))))))</x:f>
      </x:c>
      <x:c r="W91" s="8"/>
      <x:c r="X91" s="16"/>
      <x:c r="Y91" s="8"/>
      <x:c r="Z91" s="23" t="str">
        <x:f>IF(AB91="Ready",IF(W91="Activity",SUMIFS('Activity Data'!$U$9:$U$308,'Activity Data'!$D$9:$D$308,C91,'Activity Data'!$F$9:$F$308,"S2"),X91),"")</x:f>
      </x:c>
      <x:c r="AA91" s="44" t="str">
        <x:f>IF(AB91&lt;&gt;"Ready","",IF(W91="Reported verified",1,IF(W91="Reported unverified",2,IF(F91="Motor",1,2))))</x:f>
      </x:c>
      <x:c r="AB91" s="9" t="str">
        <x:f>IF(C91="","",IF(W91="Not assessed","Not assessed",IF(OR(O91="",NOT(ISNUMBER(H91)),NOT(ISNUMBER(P91))),"Evidence required",IF(OR(P91&lt;'Settings'!$F$8,H91&gt;'Settings'!$F$8,YEAR(H91)&lt;&gt;YEAR('Settings'!$F$8)),"Period / expiry review",IF(Y91&lt;&gt;"Yes","Boundary incomplete",IF(OR(AND(AC91&lt;&gt;"Location-based",AC91&lt;&gt;"Market-based"),AND(W91="Activity",AC91&lt;&gt;"Location-based")),"S2 basis mismatch",IF(OR(W91="Reported verified",W91="Reported unverified"),IF(NOT(OR(F91="Corporate private",F91="Corporate listed",F91="Project finance")),"Asset method required",IF(OR(NOT(ISNUMBER(X91)),X91&lt;0),"Reported value required","Ready")),IF(W91="Activity",IF(AND(COUNTIFS('Activity Data'!$D$9:$D$308,C91,'Activity Data'!$F$9:$F$308,"S2")&gt;0,COUNTIFS('Activity Data'!$D$9:$D$308,C91,'Activity Data'!$F$9:$F$308,"S2")=COUNTIFS('Activity Data'!$D$9:$D$308,C91,'Activity Data'!$F$9:$F$308,"S2",'Activity Data'!$V$9:$V$308,"Ready")),"Ready","Activity incomplete"),"Method required"))))))))</x:f>
      </x:c>
      <x:c r="AC91" s="8"/>
      <x:c r="AD91" s="8"/>
      <x:c r="AE91" s="16"/>
      <x:c r="AF91" s="8"/>
      <x:c r="AG91" s="23" t="str">
        <x:f>IF(AI91="Ready",IF(AD91="Activity",SUMIFS('Activity Data'!$U$9:$U$308,'Activity Data'!$D$9:$D$308,C91,'Activity Data'!$F$9:$F$308,"S3"),AE91),"")</x:f>
      </x:c>
      <x:c r="AH91" s="44" t="str">
        <x:f>IF(AI91&lt;&gt;"Ready","",IF(AD91="Reported verified",1,IF(AD91="Reported unverified",2,IF(F91="Motor",1,2))))</x:f>
      </x:c>
      <x:c r="AI91" s="9" t="str">
        <x:f>IF(C91="","",IF(AD91="Not assessed","Not assessed",IF(OR(O91="",NOT(ISNUMBER(H91)),NOT(ISNUMBER(P91))),"Evidence required",IF(OR(P91&lt;'Settings'!$F$8,H91&gt;'Settings'!$F$8,YEAR(H91)&lt;&gt;YEAR('Settings'!$F$8)),"Period / expiry review",IF(AF91&lt;&gt;"Yes","Boundary incomplete",IF(AM91="","S3 screening required",IF(OR(AD91="Reported verified",AD91="Reported unverified"),IF(NOT(OR(F91="Corporate private",F91="Corporate listed",F91="Project finance")),"Asset method required",IF(OR(NOT(ISNUMBER(AE91)),AE91&lt;0),"Reported value required","Ready")),"Scope 3 method required")))))))</x:f>
      </x:c>
      <x:c r="AJ91" s="9" t="str">
        <x:f>IF(C91="","",IF(OR(F91="Corporate private",F91="Corporate listed"),IFERROR(IF(INDEX('Borrowers'!$X$9:$X$108,MATCH(D91,'Borrowers'!$C$9:$C$108,0))="","",INDEX('Borrowers'!$X$9:$X$108,MATCH(D91,'Borrowers'!$C$9:$C$108,0))),""),IF(AQ91="","",AQ91)))</x:f>
      </x:c>
      <x:c r="AK91" s="43" t="str">
        <x:f>IF(C91="","",IF(OR(F91="Corporate private",F91="Corporate listed"),IFERROR(IF(INDEX('Borrowers'!$H$9:$H$108,MATCH(D91,'Borrowers'!$C$9:$C$108,0))="","",INDEX('Borrowers'!$H$9:$H$108,MATCH(D91,'Borrowers'!$C$9:$C$108,0))),""),IF(AR91="","",AR91)))</x:f>
      </x:c>
      <x:c r="AL91" s="9" t="str">
        <x:f>IF(C91="","",IF(COUNTIFS($C$9:$C$108,C91)&lt;&gt;1,"Duplicate entity ID",IF(COUNTIFS('Borrowers'!$C$9:$C$108,D91)&lt;&gt;1,"Borrower required",IF(AND(F91&lt;&gt;"Corporate private",F91&lt;&gt;"Corporate listed",F91&lt;&gt;"Project finance",F91&lt;&gt;"CRE",F91&lt;&gt;"Mortgage",F91&lt;&gt;"Motor"),"Method required",IF(OR(AND(F91="Corporate private",IFERROR(IF(INDEX('Borrowers'!$G$9:$G$108,MATCH(D91,'Borrowers'!$C$9:$C$108,0))="","",INDEX('Borrowers'!$G$9:$G$108,MATCH(D91,'Borrowers'!$C$9:$C$108,0))),"")&lt;&gt;"Private"),AND(F91="Corporate listed",IFERROR(IF(INDEX('Borrowers'!$G$9:$G$108,MATCH(D91,'Borrowers'!$C$9:$C$108,0))="","",INDEX('Borrowers'!$G$9:$G$108,MATCH(D91,'Borrowers'!$C$9:$C$108,0))),"")&lt;&gt;"Listed")),"Listing / class mismatch",IF(OR(NOT(ISNUMBER(N91)),N91&lt;=0,AJ91="",NOT(ISNUMBER(AK91))),"Value evidence required",IF(AND(OR(F91="Corporate private",F91="Corporate listed"),IFERROR(IF(INDEX('Borrowers'!$Y$9:$Y$108,MATCH(D91,'Borrowers'!$C$9:$C$108,0))="","",INDEX('Borrowers'!$Y$9:$Y$108,MATCH(D91,'Borrowers'!$C$9:$C$108,0))),"")&lt;'Settings'!$F$8),"Expired financial evidence",IF(AK91&gt;'Settings'!$F$8,"Future value date",IF(OR(AND(OR(F91="Corporate private",F91="Project finance"),OR(J91&lt;0,M91&lt;&gt;"Current financials")),AND(F91="Corporate listed",M91&lt;&gt;"Current financials"),AND(OR(F91="CRE",F91="Mortgage",F91="Motor"),AND(M91&lt;&gt;"Origination",M91&lt;&gt;"Fixed fallback"))),"Value basis review",IF(AND(M91="Current financials",YEAR(AK91)&lt;&gt;YEAR('Settings'!$F$8)),"Stale financial period","Ready"))))))))))</x:f>
      </x:c>
      <x:c r="AM91" s="8"/>
      <x:c r="AN91" s="8"/>
      <x:c r="AO91" s="16"/>
      <x:c r="AP91" s="16"/>
      <x:c r="AQ91" s="8"/>
      <x:c r="AR91" s="40"/>
    </x:row>
    <x:row r="92" ht="40" customHeight="1">
      <x:c r="A92" s="1"/>
      <x:c r="B92" s="1"/>
      <x:c r="C92" s="8"/>
      <x:c r="D92" s="8"/>
      <x:c r="E92" s="8"/>
      <x:c r="F92" s="8"/>
      <x:c r="G92" s="9" t="str">
        <x:f>IF(C92="","",IFERROR(IF(INDEX('Borrowers'!$E$9:$E$108,MATCH(D92,'Borrowers'!$C$9:$C$108,0))="","",INDEX('Borrowers'!$E$9:$E$108,MATCH(D92,'Borrowers'!$C$9:$C$108,0))),""))</x:f>
      </x:c>
      <x:c r="H92" s="40"/>
      <x:c r="I92" s="23" t="str">
        <x:f>IF(C92="","",IF(OR(F92="Corporate private",F92="Corporate listed"),IFERROR(IF(INDEX('Borrowers'!$M$9:$M$108,MATCH(D92,'Borrowers'!$C$9:$C$108,0))="","",INDEX('Borrowers'!$M$9:$M$108,MATCH(D92,'Borrowers'!$C$9:$C$108,0))),""),IF(F92="Project finance",IF(ISNUMBER(AO92),AO92,""),"")))</x:f>
      </x:c>
      <x:c r="J92" s="23" t="str">
        <x:f>IF(C92="","",IF(OR(F92="Corporate private",F92="Corporate listed"),IFERROR(IF(INDEX('Borrowers'!$N$9:$N$108,MATCH(D92,'Borrowers'!$C$9:$C$108,0))="","",INDEX('Borrowers'!$N$9:$N$108,MATCH(D92,'Borrowers'!$C$9:$C$108,0))),""),IF(F92="Project finance",IF(ISNUMBER(AP92),AP92,""),"")))</x:f>
      </x:c>
      <x:c r="K92" s="23" t="str">
        <x:f>IF(C92="","",IF(F92="Corporate listed",IFERROR(IF(INDEX('Borrowers'!$O$9:$O$108,MATCH(D92,'Borrowers'!$C$9:$C$108,0))="","",INDEX('Borrowers'!$O$9:$O$108,MATCH(D92,'Borrowers'!$C$9:$C$108,0))),""),""))</x:f>
      </x:c>
      <x:c r="L92" s="16"/>
      <x:c r="M92" s="8"/>
      <x:c r="N92" s="21" t="str">
        <x:f>IF(C92="","",IF(F92="Corporate listed",IF(ISNUMBER(K92),K92,""),IF(OR(F92="Corporate private",F92="Project finance"),IF(AND(ISNUMBER(I92),ISNUMBER(J92)),MAX(I92,0)+J92,""),IF(OR(F92="CRE",F92="Mortgage",F92="Motor"),IF(ISNUMBER(L92),L92,""),""))))</x:f>
      </x:c>
      <x:c r="O92" s="8"/>
      <x:c r="P92" s="40"/>
      <x:c r="Q92" s="8"/>
      <x:c r="R92" s="16"/>
      <x:c r="S92" s="8"/>
      <x:c r="T92" s="23" t="str">
        <x:f>IF(V92="Ready",IF(Q92="Activity",SUMIFS('Activity Data'!$U$9:$U$308,'Activity Data'!$D$9:$D$308,C92,'Activity Data'!$F$9:$F$308,"S1"),R92),"")</x:f>
      </x:c>
      <x:c r="U92" s="44" t="str">
        <x:f>IF(V92&lt;&gt;"Ready","",IF(Q92="Reported verified",1,IF(Q92="Reported unverified",2,IF(F92="Motor",1,2))))</x:f>
      </x:c>
      <x:c r="V92" s="9" t="str">
        <x:f>IF(C92="","",IF(Q92="Not assessed","Not assessed",IF(OR(O92="",NOT(ISNUMBER(H92)),NOT(ISNUMBER(P92))),"Evidence required",IF(OR(P92&lt;'Settings'!$F$8,H92&gt;'Settings'!$F$8,YEAR(H92)&lt;&gt;YEAR('Settings'!$F$8)),"Period / expiry review",IF(S92&lt;&gt;"Yes","Boundary incomplete",IF(OR(Q92="Reported verified",Q92="Reported unverified"),IF(NOT(OR(F92="Corporate private",F92="Corporate listed",F92="Project finance")),"Asset method required",IF(OR(NOT(ISNUMBER(R92)),R92&lt;0),"Reported value required","Ready")),IF(Q92="Activity",IF(AND(COUNTIFS('Activity Data'!$D$9:$D$308,C92,'Activity Data'!$F$9:$F$308,"S1")&gt;0,COUNTIFS('Activity Data'!$D$9:$D$308,C92,'Activity Data'!$F$9:$F$308,"S1")=COUNTIFS('Activity Data'!$D$9:$D$308,C92,'Activity Data'!$F$9:$F$308,"S1",'Activity Data'!$V$9:$V$308,"Ready")),"Ready","Activity incomplete"),"Method required")))))))</x:f>
      </x:c>
      <x:c r="W92" s="8"/>
      <x:c r="X92" s="16"/>
      <x:c r="Y92" s="8"/>
      <x:c r="Z92" s="23" t="str">
        <x:f>IF(AB92="Ready",IF(W92="Activity",SUMIFS('Activity Data'!$U$9:$U$308,'Activity Data'!$D$9:$D$308,C92,'Activity Data'!$F$9:$F$308,"S2"),X92),"")</x:f>
      </x:c>
      <x:c r="AA92" s="44" t="str">
        <x:f>IF(AB92&lt;&gt;"Ready","",IF(W92="Reported verified",1,IF(W92="Reported unverified",2,IF(F92="Motor",1,2))))</x:f>
      </x:c>
      <x:c r="AB92" s="9" t="str">
        <x:f>IF(C92="","",IF(W92="Not assessed","Not assessed",IF(OR(O92="",NOT(ISNUMBER(H92)),NOT(ISNUMBER(P92))),"Evidence required",IF(OR(P92&lt;'Settings'!$F$8,H92&gt;'Settings'!$F$8,YEAR(H92)&lt;&gt;YEAR('Settings'!$F$8)),"Period / expiry review",IF(Y92&lt;&gt;"Yes","Boundary incomplete",IF(OR(AND(AC92&lt;&gt;"Location-based",AC92&lt;&gt;"Market-based"),AND(W92="Activity",AC92&lt;&gt;"Location-based")),"S2 basis mismatch",IF(OR(W92="Reported verified",W92="Reported unverified"),IF(NOT(OR(F92="Corporate private",F92="Corporate listed",F92="Project finance")),"Asset method required",IF(OR(NOT(ISNUMBER(X92)),X92&lt;0),"Reported value required","Ready")),IF(W92="Activity",IF(AND(COUNTIFS('Activity Data'!$D$9:$D$308,C92,'Activity Data'!$F$9:$F$308,"S2")&gt;0,COUNTIFS('Activity Data'!$D$9:$D$308,C92,'Activity Data'!$F$9:$F$308,"S2")=COUNTIFS('Activity Data'!$D$9:$D$308,C92,'Activity Data'!$F$9:$F$308,"S2",'Activity Data'!$V$9:$V$308,"Ready")),"Ready","Activity incomplete"),"Method required"))))))))</x:f>
      </x:c>
      <x:c r="AC92" s="8"/>
      <x:c r="AD92" s="8"/>
      <x:c r="AE92" s="16"/>
      <x:c r="AF92" s="8"/>
      <x:c r="AG92" s="23" t="str">
        <x:f>IF(AI92="Ready",IF(AD92="Activity",SUMIFS('Activity Data'!$U$9:$U$308,'Activity Data'!$D$9:$D$308,C92,'Activity Data'!$F$9:$F$308,"S3"),AE92),"")</x:f>
      </x:c>
      <x:c r="AH92" s="44" t="str">
        <x:f>IF(AI92&lt;&gt;"Ready","",IF(AD92="Reported verified",1,IF(AD92="Reported unverified",2,IF(F92="Motor",1,2))))</x:f>
      </x:c>
      <x:c r="AI92" s="9" t="str">
        <x:f>IF(C92="","",IF(AD92="Not assessed","Not assessed",IF(OR(O92="",NOT(ISNUMBER(H92)),NOT(ISNUMBER(P92))),"Evidence required",IF(OR(P92&lt;'Settings'!$F$8,H92&gt;'Settings'!$F$8,YEAR(H92)&lt;&gt;YEAR('Settings'!$F$8)),"Period / expiry review",IF(AF92&lt;&gt;"Yes","Boundary incomplete",IF(AM92="","S3 screening required",IF(OR(AD92="Reported verified",AD92="Reported unverified"),IF(NOT(OR(F92="Corporate private",F92="Corporate listed",F92="Project finance")),"Asset method required",IF(OR(NOT(ISNUMBER(AE92)),AE92&lt;0),"Reported value required","Ready")),"Scope 3 method required")))))))</x:f>
      </x:c>
      <x:c r="AJ92" s="9" t="str">
        <x:f>IF(C92="","",IF(OR(F92="Corporate private",F92="Corporate listed"),IFERROR(IF(INDEX('Borrowers'!$X$9:$X$108,MATCH(D92,'Borrowers'!$C$9:$C$108,0))="","",INDEX('Borrowers'!$X$9:$X$108,MATCH(D92,'Borrowers'!$C$9:$C$108,0))),""),IF(AQ92="","",AQ92)))</x:f>
      </x:c>
      <x:c r="AK92" s="43" t="str">
        <x:f>IF(C92="","",IF(OR(F92="Corporate private",F92="Corporate listed"),IFERROR(IF(INDEX('Borrowers'!$H$9:$H$108,MATCH(D92,'Borrowers'!$C$9:$C$108,0))="","",INDEX('Borrowers'!$H$9:$H$108,MATCH(D92,'Borrowers'!$C$9:$C$108,0))),""),IF(AR92="","",AR92)))</x:f>
      </x:c>
      <x:c r="AL92" s="9" t="str">
        <x:f>IF(C92="","",IF(COUNTIFS($C$9:$C$108,C92)&lt;&gt;1,"Duplicate entity ID",IF(COUNTIFS('Borrowers'!$C$9:$C$108,D92)&lt;&gt;1,"Borrower required",IF(AND(F92&lt;&gt;"Corporate private",F92&lt;&gt;"Corporate listed",F92&lt;&gt;"Project finance",F92&lt;&gt;"CRE",F92&lt;&gt;"Mortgage",F92&lt;&gt;"Motor"),"Method required",IF(OR(AND(F92="Corporate private",IFERROR(IF(INDEX('Borrowers'!$G$9:$G$108,MATCH(D92,'Borrowers'!$C$9:$C$108,0))="","",INDEX('Borrowers'!$G$9:$G$108,MATCH(D92,'Borrowers'!$C$9:$C$108,0))),"")&lt;&gt;"Private"),AND(F92="Corporate listed",IFERROR(IF(INDEX('Borrowers'!$G$9:$G$108,MATCH(D92,'Borrowers'!$C$9:$C$108,0))="","",INDEX('Borrowers'!$G$9:$G$108,MATCH(D92,'Borrowers'!$C$9:$C$108,0))),"")&lt;&gt;"Listed")),"Listing / class mismatch",IF(OR(NOT(ISNUMBER(N92)),N92&lt;=0,AJ92="",NOT(ISNUMBER(AK92))),"Value evidence required",IF(AND(OR(F92="Corporate private",F92="Corporate listed"),IFERROR(IF(INDEX('Borrowers'!$Y$9:$Y$108,MATCH(D92,'Borrowers'!$C$9:$C$108,0))="","",INDEX('Borrowers'!$Y$9:$Y$108,MATCH(D92,'Borrowers'!$C$9:$C$108,0))),"")&lt;'Settings'!$F$8),"Expired financial evidence",IF(AK92&gt;'Settings'!$F$8,"Future value date",IF(OR(AND(OR(F92="Corporate private",F92="Project finance"),OR(J92&lt;0,M92&lt;&gt;"Current financials")),AND(F92="Corporate listed",M92&lt;&gt;"Current financials"),AND(OR(F92="CRE",F92="Mortgage",F92="Motor"),AND(M92&lt;&gt;"Origination",M92&lt;&gt;"Fixed fallback"))),"Value basis review",IF(AND(M92="Current financials",YEAR(AK92)&lt;&gt;YEAR('Settings'!$F$8)),"Stale financial period","Ready"))))))))))</x:f>
      </x:c>
      <x:c r="AM92" s="8"/>
      <x:c r="AN92" s="8"/>
      <x:c r="AO92" s="16"/>
      <x:c r="AP92" s="16"/>
      <x:c r="AQ92" s="8"/>
      <x:c r="AR92" s="40"/>
    </x:row>
    <x:row r="93" ht="40" customHeight="1">
      <x:c r="A93" s="1"/>
      <x:c r="B93" s="1"/>
      <x:c r="C93" s="8"/>
      <x:c r="D93" s="8"/>
      <x:c r="E93" s="8"/>
      <x:c r="F93" s="8"/>
      <x:c r="G93" s="9" t="str">
        <x:f>IF(C93="","",IFERROR(IF(INDEX('Borrowers'!$E$9:$E$108,MATCH(D93,'Borrowers'!$C$9:$C$108,0))="","",INDEX('Borrowers'!$E$9:$E$108,MATCH(D93,'Borrowers'!$C$9:$C$108,0))),""))</x:f>
      </x:c>
      <x:c r="H93" s="40"/>
      <x:c r="I93" s="23" t="str">
        <x:f>IF(C93="","",IF(OR(F93="Corporate private",F93="Corporate listed"),IFERROR(IF(INDEX('Borrowers'!$M$9:$M$108,MATCH(D93,'Borrowers'!$C$9:$C$108,0))="","",INDEX('Borrowers'!$M$9:$M$108,MATCH(D93,'Borrowers'!$C$9:$C$108,0))),""),IF(F93="Project finance",IF(ISNUMBER(AO93),AO93,""),"")))</x:f>
      </x:c>
      <x:c r="J93" s="23" t="str">
        <x:f>IF(C93="","",IF(OR(F93="Corporate private",F93="Corporate listed"),IFERROR(IF(INDEX('Borrowers'!$N$9:$N$108,MATCH(D93,'Borrowers'!$C$9:$C$108,0))="","",INDEX('Borrowers'!$N$9:$N$108,MATCH(D93,'Borrowers'!$C$9:$C$108,0))),""),IF(F93="Project finance",IF(ISNUMBER(AP93),AP93,""),"")))</x:f>
      </x:c>
      <x:c r="K93" s="23" t="str">
        <x:f>IF(C93="","",IF(F93="Corporate listed",IFERROR(IF(INDEX('Borrowers'!$O$9:$O$108,MATCH(D93,'Borrowers'!$C$9:$C$108,0))="","",INDEX('Borrowers'!$O$9:$O$108,MATCH(D93,'Borrowers'!$C$9:$C$108,0))),""),""))</x:f>
      </x:c>
      <x:c r="L93" s="16"/>
      <x:c r="M93" s="8"/>
      <x:c r="N93" s="21" t="str">
        <x:f>IF(C93="","",IF(F93="Corporate listed",IF(ISNUMBER(K93),K93,""),IF(OR(F93="Corporate private",F93="Project finance"),IF(AND(ISNUMBER(I93),ISNUMBER(J93)),MAX(I93,0)+J93,""),IF(OR(F93="CRE",F93="Mortgage",F93="Motor"),IF(ISNUMBER(L93),L93,""),""))))</x:f>
      </x:c>
      <x:c r="O93" s="8"/>
      <x:c r="P93" s="40"/>
      <x:c r="Q93" s="8"/>
      <x:c r="R93" s="16"/>
      <x:c r="S93" s="8"/>
      <x:c r="T93" s="23" t="str">
        <x:f>IF(V93="Ready",IF(Q93="Activity",SUMIFS('Activity Data'!$U$9:$U$308,'Activity Data'!$D$9:$D$308,C93,'Activity Data'!$F$9:$F$308,"S1"),R93),"")</x:f>
      </x:c>
      <x:c r="U93" s="44" t="str">
        <x:f>IF(V93&lt;&gt;"Ready","",IF(Q93="Reported verified",1,IF(Q93="Reported unverified",2,IF(F93="Motor",1,2))))</x:f>
      </x:c>
      <x:c r="V93" s="9" t="str">
        <x:f>IF(C93="","",IF(Q93="Not assessed","Not assessed",IF(OR(O93="",NOT(ISNUMBER(H93)),NOT(ISNUMBER(P93))),"Evidence required",IF(OR(P93&lt;'Settings'!$F$8,H93&gt;'Settings'!$F$8,YEAR(H93)&lt;&gt;YEAR('Settings'!$F$8)),"Period / expiry review",IF(S93&lt;&gt;"Yes","Boundary incomplete",IF(OR(Q93="Reported verified",Q93="Reported unverified"),IF(NOT(OR(F93="Corporate private",F93="Corporate listed",F93="Project finance")),"Asset method required",IF(OR(NOT(ISNUMBER(R93)),R93&lt;0),"Reported value required","Ready")),IF(Q93="Activity",IF(AND(COUNTIFS('Activity Data'!$D$9:$D$308,C93,'Activity Data'!$F$9:$F$308,"S1")&gt;0,COUNTIFS('Activity Data'!$D$9:$D$308,C93,'Activity Data'!$F$9:$F$308,"S1")=COUNTIFS('Activity Data'!$D$9:$D$308,C93,'Activity Data'!$F$9:$F$308,"S1",'Activity Data'!$V$9:$V$308,"Ready")),"Ready","Activity incomplete"),"Method required")))))))</x:f>
      </x:c>
      <x:c r="W93" s="8"/>
      <x:c r="X93" s="16"/>
      <x:c r="Y93" s="8"/>
      <x:c r="Z93" s="23" t="str">
        <x:f>IF(AB93="Ready",IF(W93="Activity",SUMIFS('Activity Data'!$U$9:$U$308,'Activity Data'!$D$9:$D$308,C93,'Activity Data'!$F$9:$F$308,"S2"),X93),"")</x:f>
      </x:c>
      <x:c r="AA93" s="44" t="str">
        <x:f>IF(AB93&lt;&gt;"Ready","",IF(W93="Reported verified",1,IF(W93="Reported unverified",2,IF(F93="Motor",1,2))))</x:f>
      </x:c>
      <x:c r="AB93" s="9" t="str">
        <x:f>IF(C93="","",IF(W93="Not assessed","Not assessed",IF(OR(O93="",NOT(ISNUMBER(H93)),NOT(ISNUMBER(P93))),"Evidence required",IF(OR(P93&lt;'Settings'!$F$8,H93&gt;'Settings'!$F$8,YEAR(H93)&lt;&gt;YEAR('Settings'!$F$8)),"Period / expiry review",IF(Y93&lt;&gt;"Yes","Boundary incomplete",IF(OR(AND(AC93&lt;&gt;"Location-based",AC93&lt;&gt;"Market-based"),AND(W93="Activity",AC93&lt;&gt;"Location-based")),"S2 basis mismatch",IF(OR(W93="Reported verified",W93="Reported unverified"),IF(NOT(OR(F93="Corporate private",F93="Corporate listed",F93="Project finance")),"Asset method required",IF(OR(NOT(ISNUMBER(X93)),X93&lt;0),"Reported value required","Ready")),IF(W93="Activity",IF(AND(COUNTIFS('Activity Data'!$D$9:$D$308,C93,'Activity Data'!$F$9:$F$308,"S2")&gt;0,COUNTIFS('Activity Data'!$D$9:$D$308,C93,'Activity Data'!$F$9:$F$308,"S2")=COUNTIFS('Activity Data'!$D$9:$D$308,C93,'Activity Data'!$F$9:$F$308,"S2",'Activity Data'!$V$9:$V$308,"Ready")),"Ready","Activity incomplete"),"Method required"))))))))</x:f>
      </x:c>
      <x:c r="AC93" s="8"/>
      <x:c r="AD93" s="8"/>
      <x:c r="AE93" s="16"/>
      <x:c r="AF93" s="8"/>
      <x:c r="AG93" s="23" t="str">
        <x:f>IF(AI93="Ready",IF(AD93="Activity",SUMIFS('Activity Data'!$U$9:$U$308,'Activity Data'!$D$9:$D$308,C93,'Activity Data'!$F$9:$F$308,"S3"),AE93),"")</x:f>
      </x:c>
      <x:c r="AH93" s="44" t="str">
        <x:f>IF(AI93&lt;&gt;"Ready","",IF(AD93="Reported verified",1,IF(AD93="Reported unverified",2,IF(F93="Motor",1,2))))</x:f>
      </x:c>
      <x:c r="AI93" s="9" t="str">
        <x:f>IF(C93="","",IF(AD93="Not assessed","Not assessed",IF(OR(O93="",NOT(ISNUMBER(H93)),NOT(ISNUMBER(P93))),"Evidence required",IF(OR(P93&lt;'Settings'!$F$8,H93&gt;'Settings'!$F$8,YEAR(H93)&lt;&gt;YEAR('Settings'!$F$8)),"Period / expiry review",IF(AF93&lt;&gt;"Yes","Boundary incomplete",IF(AM93="","S3 screening required",IF(OR(AD93="Reported verified",AD93="Reported unverified"),IF(NOT(OR(F93="Corporate private",F93="Corporate listed",F93="Project finance")),"Asset method required",IF(OR(NOT(ISNUMBER(AE93)),AE93&lt;0),"Reported value required","Ready")),"Scope 3 method required")))))))</x:f>
      </x:c>
      <x:c r="AJ93" s="9" t="str">
        <x:f>IF(C93="","",IF(OR(F93="Corporate private",F93="Corporate listed"),IFERROR(IF(INDEX('Borrowers'!$X$9:$X$108,MATCH(D93,'Borrowers'!$C$9:$C$108,0))="","",INDEX('Borrowers'!$X$9:$X$108,MATCH(D93,'Borrowers'!$C$9:$C$108,0))),""),IF(AQ93="","",AQ93)))</x:f>
      </x:c>
      <x:c r="AK93" s="43" t="str">
        <x:f>IF(C93="","",IF(OR(F93="Corporate private",F93="Corporate listed"),IFERROR(IF(INDEX('Borrowers'!$H$9:$H$108,MATCH(D93,'Borrowers'!$C$9:$C$108,0))="","",INDEX('Borrowers'!$H$9:$H$108,MATCH(D93,'Borrowers'!$C$9:$C$108,0))),""),IF(AR93="","",AR93)))</x:f>
      </x:c>
      <x:c r="AL93" s="9" t="str">
        <x:f>IF(C93="","",IF(COUNTIFS($C$9:$C$108,C93)&lt;&gt;1,"Duplicate entity ID",IF(COUNTIFS('Borrowers'!$C$9:$C$108,D93)&lt;&gt;1,"Borrower required",IF(AND(F93&lt;&gt;"Corporate private",F93&lt;&gt;"Corporate listed",F93&lt;&gt;"Project finance",F93&lt;&gt;"CRE",F93&lt;&gt;"Mortgage",F93&lt;&gt;"Motor"),"Method required",IF(OR(AND(F93="Corporate private",IFERROR(IF(INDEX('Borrowers'!$G$9:$G$108,MATCH(D93,'Borrowers'!$C$9:$C$108,0))="","",INDEX('Borrowers'!$G$9:$G$108,MATCH(D93,'Borrowers'!$C$9:$C$108,0))),"")&lt;&gt;"Private"),AND(F93="Corporate listed",IFERROR(IF(INDEX('Borrowers'!$G$9:$G$108,MATCH(D93,'Borrowers'!$C$9:$C$108,0))="","",INDEX('Borrowers'!$G$9:$G$108,MATCH(D93,'Borrowers'!$C$9:$C$108,0))),"")&lt;&gt;"Listed")),"Listing / class mismatch",IF(OR(NOT(ISNUMBER(N93)),N93&lt;=0,AJ93="",NOT(ISNUMBER(AK93))),"Value evidence required",IF(AND(OR(F93="Corporate private",F93="Corporate listed"),IFERROR(IF(INDEX('Borrowers'!$Y$9:$Y$108,MATCH(D93,'Borrowers'!$C$9:$C$108,0))="","",INDEX('Borrowers'!$Y$9:$Y$108,MATCH(D93,'Borrowers'!$C$9:$C$108,0))),"")&lt;'Settings'!$F$8),"Expired financial evidence",IF(AK93&gt;'Settings'!$F$8,"Future value date",IF(OR(AND(OR(F93="Corporate private",F93="Project finance"),OR(J93&lt;0,M93&lt;&gt;"Current financials")),AND(F93="Corporate listed",M93&lt;&gt;"Current financials"),AND(OR(F93="CRE",F93="Mortgage",F93="Motor"),AND(M93&lt;&gt;"Origination",M93&lt;&gt;"Fixed fallback"))),"Value basis review",IF(AND(M93="Current financials",YEAR(AK93)&lt;&gt;YEAR('Settings'!$F$8)),"Stale financial period","Ready"))))))))))</x:f>
      </x:c>
      <x:c r="AM93" s="8"/>
      <x:c r="AN93" s="8"/>
      <x:c r="AO93" s="16"/>
      <x:c r="AP93" s="16"/>
      <x:c r="AQ93" s="8"/>
      <x:c r="AR93" s="40"/>
    </x:row>
    <x:row r="94" ht="40" customHeight="1">
      <x:c r="A94" s="1"/>
      <x:c r="B94" s="1"/>
      <x:c r="C94" s="8"/>
      <x:c r="D94" s="8"/>
      <x:c r="E94" s="8"/>
      <x:c r="F94" s="8"/>
      <x:c r="G94" s="9" t="str">
        <x:f>IF(C94="","",IFERROR(IF(INDEX('Borrowers'!$E$9:$E$108,MATCH(D94,'Borrowers'!$C$9:$C$108,0))="","",INDEX('Borrowers'!$E$9:$E$108,MATCH(D94,'Borrowers'!$C$9:$C$108,0))),""))</x:f>
      </x:c>
      <x:c r="H94" s="40"/>
      <x:c r="I94" s="23" t="str">
        <x:f>IF(C94="","",IF(OR(F94="Corporate private",F94="Corporate listed"),IFERROR(IF(INDEX('Borrowers'!$M$9:$M$108,MATCH(D94,'Borrowers'!$C$9:$C$108,0))="","",INDEX('Borrowers'!$M$9:$M$108,MATCH(D94,'Borrowers'!$C$9:$C$108,0))),""),IF(F94="Project finance",IF(ISNUMBER(AO94),AO94,""),"")))</x:f>
      </x:c>
      <x:c r="J94" s="23" t="str">
        <x:f>IF(C94="","",IF(OR(F94="Corporate private",F94="Corporate listed"),IFERROR(IF(INDEX('Borrowers'!$N$9:$N$108,MATCH(D94,'Borrowers'!$C$9:$C$108,0))="","",INDEX('Borrowers'!$N$9:$N$108,MATCH(D94,'Borrowers'!$C$9:$C$108,0))),""),IF(F94="Project finance",IF(ISNUMBER(AP94),AP94,""),"")))</x:f>
      </x:c>
      <x:c r="K94" s="23" t="str">
        <x:f>IF(C94="","",IF(F94="Corporate listed",IFERROR(IF(INDEX('Borrowers'!$O$9:$O$108,MATCH(D94,'Borrowers'!$C$9:$C$108,0))="","",INDEX('Borrowers'!$O$9:$O$108,MATCH(D94,'Borrowers'!$C$9:$C$108,0))),""),""))</x:f>
      </x:c>
      <x:c r="L94" s="16"/>
      <x:c r="M94" s="8"/>
      <x:c r="N94" s="21" t="str">
        <x:f>IF(C94="","",IF(F94="Corporate listed",IF(ISNUMBER(K94),K94,""),IF(OR(F94="Corporate private",F94="Project finance"),IF(AND(ISNUMBER(I94),ISNUMBER(J94)),MAX(I94,0)+J94,""),IF(OR(F94="CRE",F94="Mortgage",F94="Motor"),IF(ISNUMBER(L94),L94,""),""))))</x:f>
      </x:c>
      <x:c r="O94" s="8"/>
      <x:c r="P94" s="40"/>
      <x:c r="Q94" s="8"/>
      <x:c r="R94" s="16"/>
      <x:c r="S94" s="8"/>
      <x:c r="T94" s="23" t="str">
        <x:f>IF(V94="Ready",IF(Q94="Activity",SUMIFS('Activity Data'!$U$9:$U$308,'Activity Data'!$D$9:$D$308,C94,'Activity Data'!$F$9:$F$308,"S1"),R94),"")</x:f>
      </x:c>
      <x:c r="U94" s="44" t="str">
        <x:f>IF(V94&lt;&gt;"Ready","",IF(Q94="Reported verified",1,IF(Q94="Reported unverified",2,IF(F94="Motor",1,2))))</x:f>
      </x:c>
      <x:c r="V94" s="9" t="str">
        <x:f>IF(C94="","",IF(Q94="Not assessed","Not assessed",IF(OR(O94="",NOT(ISNUMBER(H94)),NOT(ISNUMBER(P94))),"Evidence required",IF(OR(P94&lt;'Settings'!$F$8,H94&gt;'Settings'!$F$8,YEAR(H94)&lt;&gt;YEAR('Settings'!$F$8)),"Period / expiry review",IF(S94&lt;&gt;"Yes","Boundary incomplete",IF(OR(Q94="Reported verified",Q94="Reported unverified"),IF(NOT(OR(F94="Corporate private",F94="Corporate listed",F94="Project finance")),"Asset method required",IF(OR(NOT(ISNUMBER(R94)),R94&lt;0),"Reported value required","Ready")),IF(Q94="Activity",IF(AND(COUNTIFS('Activity Data'!$D$9:$D$308,C94,'Activity Data'!$F$9:$F$308,"S1")&gt;0,COUNTIFS('Activity Data'!$D$9:$D$308,C94,'Activity Data'!$F$9:$F$308,"S1")=COUNTIFS('Activity Data'!$D$9:$D$308,C94,'Activity Data'!$F$9:$F$308,"S1",'Activity Data'!$V$9:$V$308,"Ready")),"Ready","Activity incomplete"),"Method required")))))))</x:f>
      </x:c>
      <x:c r="W94" s="8"/>
      <x:c r="X94" s="16"/>
      <x:c r="Y94" s="8"/>
      <x:c r="Z94" s="23" t="str">
        <x:f>IF(AB94="Ready",IF(W94="Activity",SUMIFS('Activity Data'!$U$9:$U$308,'Activity Data'!$D$9:$D$308,C94,'Activity Data'!$F$9:$F$308,"S2"),X94),"")</x:f>
      </x:c>
      <x:c r="AA94" s="44" t="str">
        <x:f>IF(AB94&lt;&gt;"Ready","",IF(W94="Reported verified",1,IF(W94="Reported unverified",2,IF(F94="Motor",1,2))))</x:f>
      </x:c>
      <x:c r="AB94" s="9" t="str">
        <x:f>IF(C94="","",IF(W94="Not assessed","Not assessed",IF(OR(O94="",NOT(ISNUMBER(H94)),NOT(ISNUMBER(P94))),"Evidence required",IF(OR(P94&lt;'Settings'!$F$8,H94&gt;'Settings'!$F$8,YEAR(H94)&lt;&gt;YEAR('Settings'!$F$8)),"Period / expiry review",IF(Y94&lt;&gt;"Yes","Boundary incomplete",IF(OR(AND(AC94&lt;&gt;"Location-based",AC94&lt;&gt;"Market-based"),AND(W94="Activity",AC94&lt;&gt;"Location-based")),"S2 basis mismatch",IF(OR(W94="Reported verified",W94="Reported unverified"),IF(NOT(OR(F94="Corporate private",F94="Corporate listed",F94="Project finance")),"Asset method required",IF(OR(NOT(ISNUMBER(X94)),X94&lt;0),"Reported value required","Ready")),IF(W94="Activity",IF(AND(COUNTIFS('Activity Data'!$D$9:$D$308,C94,'Activity Data'!$F$9:$F$308,"S2")&gt;0,COUNTIFS('Activity Data'!$D$9:$D$308,C94,'Activity Data'!$F$9:$F$308,"S2")=COUNTIFS('Activity Data'!$D$9:$D$308,C94,'Activity Data'!$F$9:$F$308,"S2",'Activity Data'!$V$9:$V$308,"Ready")),"Ready","Activity incomplete"),"Method required"))))))))</x:f>
      </x:c>
      <x:c r="AC94" s="8"/>
      <x:c r="AD94" s="8"/>
      <x:c r="AE94" s="16"/>
      <x:c r="AF94" s="8"/>
      <x:c r="AG94" s="23" t="str">
        <x:f>IF(AI94="Ready",IF(AD94="Activity",SUMIFS('Activity Data'!$U$9:$U$308,'Activity Data'!$D$9:$D$308,C94,'Activity Data'!$F$9:$F$308,"S3"),AE94),"")</x:f>
      </x:c>
      <x:c r="AH94" s="44" t="str">
        <x:f>IF(AI94&lt;&gt;"Ready","",IF(AD94="Reported verified",1,IF(AD94="Reported unverified",2,IF(F94="Motor",1,2))))</x:f>
      </x:c>
      <x:c r="AI94" s="9" t="str">
        <x:f>IF(C94="","",IF(AD94="Not assessed","Not assessed",IF(OR(O94="",NOT(ISNUMBER(H94)),NOT(ISNUMBER(P94))),"Evidence required",IF(OR(P94&lt;'Settings'!$F$8,H94&gt;'Settings'!$F$8,YEAR(H94)&lt;&gt;YEAR('Settings'!$F$8)),"Period / expiry review",IF(AF94&lt;&gt;"Yes","Boundary incomplete",IF(AM94="","S3 screening required",IF(OR(AD94="Reported verified",AD94="Reported unverified"),IF(NOT(OR(F94="Corporate private",F94="Corporate listed",F94="Project finance")),"Asset method required",IF(OR(NOT(ISNUMBER(AE94)),AE94&lt;0),"Reported value required","Ready")),"Scope 3 method required")))))))</x:f>
      </x:c>
      <x:c r="AJ94" s="9" t="str">
        <x:f>IF(C94="","",IF(OR(F94="Corporate private",F94="Corporate listed"),IFERROR(IF(INDEX('Borrowers'!$X$9:$X$108,MATCH(D94,'Borrowers'!$C$9:$C$108,0))="","",INDEX('Borrowers'!$X$9:$X$108,MATCH(D94,'Borrowers'!$C$9:$C$108,0))),""),IF(AQ94="","",AQ94)))</x:f>
      </x:c>
      <x:c r="AK94" s="43" t="str">
        <x:f>IF(C94="","",IF(OR(F94="Corporate private",F94="Corporate listed"),IFERROR(IF(INDEX('Borrowers'!$H$9:$H$108,MATCH(D94,'Borrowers'!$C$9:$C$108,0))="","",INDEX('Borrowers'!$H$9:$H$108,MATCH(D94,'Borrowers'!$C$9:$C$108,0))),""),IF(AR94="","",AR94)))</x:f>
      </x:c>
      <x:c r="AL94" s="9" t="str">
        <x:f>IF(C94="","",IF(COUNTIFS($C$9:$C$108,C94)&lt;&gt;1,"Duplicate entity ID",IF(COUNTIFS('Borrowers'!$C$9:$C$108,D94)&lt;&gt;1,"Borrower required",IF(AND(F94&lt;&gt;"Corporate private",F94&lt;&gt;"Corporate listed",F94&lt;&gt;"Project finance",F94&lt;&gt;"CRE",F94&lt;&gt;"Mortgage",F94&lt;&gt;"Motor"),"Method required",IF(OR(AND(F94="Corporate private",IFERROR(IF(INDEX('Borrowers'!$G$9:$G$108,MATCH(D94,'Borrowers'!$C$9:$C$108,0))="","",INDEX('Borrowers'!$G$9:$G$108,MATCH(D94,'Borrowers'!$C$9:$C$108,0))),"")&lt;&gt;"Private"),AND(F94="Corporate listed",IFERROR(IF(INDEX('Borrowers'!$G$9:$G$108,MATCH(D94,'Borrowers'!$C$9:$C$108,0))="","",INDEX('Borrowers'!$G$9:$G$108,MATCH(D94,'Borrowers'!$C$9:$C$108,0))),"")&lt;&gt;"Listed")),"Listing / class mismatch",IF(OR(NOT(ISNUMBER(N94)),N94&lt;=0,AJ94="",NOT(ISNUMBER(AK94))),"Value evidence required",IF(AND(OR(F94="Corporate private",F94="Corporate listed"),IFERROR(IF(INDEX('Borrowers'!$Y$9:$Y$108,MATCH(D94,'Borrowers'!$C$9:$C$108,0))="","",INDEX('Borrowers'!$Y$9:$Y$108,MATCH(D94,'Borrowers'!$C$9:$C$108,0))),"")&lt;'Settings'!$F$8),"Expired financial evidence",IF(AK94&gt;'Settings'!$F$8,"Future value date",IF(OR(AND(OR(F94="Corporate private",F94="Project finance"),OR(J94&lt;0,M94&lt;&gt;"Current financials")),AND(F94="Corporate listed",M94&lt;&gt;"Current financials"),AND(OR(F94="CRE",F94="Mortgage",F94="Motor"),AND(M94&lt;&gt;"Origination",M94&lt;&gt;"Fixed fallback"))),"Value basis review",IF(AND(M94="Current financials",YEAR(AK94)&lt;&gt;YEAR('Settings'!$F$8)),"Stale financial period","Ready"))))))))))</x:f>
      </x:c>
      <x:c r="AM94" s="8"/>
      <x:c r="AN94" s="8"/>
      <x:c r="AO94" s="16"/>
      <x:c r="AP94" s="16"/>
      <x:c r="AQ94" s="8"/>
      <x:c r="AR94" s="40"/>
    </x:row>
    <x:row r="95" ht="40" customHeight="1">
      <x:c r="A95" s="1"/>
      <x:c r="B95" s="1"/>
      <x:c r="C95" s="8"/>
      <x:c r="D95" s="8"/>
      <x:c r="E95" s="8"/>
      <x:c r="F95" s="8"/>
      <x:c r="G95" s="9" t="str">
        <x:f>IF(C95="","",IFERROR(IF(INDEX('Borrowers'!$E$9:$E$108,MATCH(D95,'Borrowers'!$C$9:$C$108,0))="","",INDEX('Borrowers'!$E$9:$E$108,MATCH(D95,'Borrowers'!$C$9:$C$108,0))),""))</x:f>
      </x:c>
      <x:c r="H95" s="40"/>
      <x:c r="I95" s="23" t="str">
        <x:f>IF(C95="","",IF(OR(F95="Corporate private",F95="Corporate listed"),IFERROR(IF(INDEX('Borrowers'!$M$9:$M$108,MATCH(D95,'Borrowers'!$C$9:$C$108,0))="","",INDEX('Borrowers'!$M$9:$M$108,MATCH(D95,'Borrowers'!$C$9:$C$108,0))),""),IF(F95="Project finance",IF(ISNUMBER(AO95),AO95,""),"")))</x:f>
      </x:c>
      <x:c r="J95" s="23" t="str">
        <x:f>IF(C95="","",IF(OR(F95="Corporate private",F95="Corporate listed"),IFERROR(IF(INDEX('Borrowers'!$N$9:$N$108,MATCH(D95,'Borrowers'!$C$9:$C$108,0))="","",INDEX('Borrowers'!$N$9:$N$108,MATCH(D95,'Borrowers'!$C$9:$C$108,0))),""),IF(F95="Project finance",IF(ISNUMBER(AP95),AP95,""),"")))</x:f>
      </x:c>
      <x:c r="K95" s="23" t="str">
        <x:f>IF(C95="","",IF(F95="Corporate listed",IFERROR(IF(INDEX('Borrowers'!$O$9:$O$108,MATCH(D95,'Borrowers'!$C$9:$C$108,0))="","",INDEX('Borrowers'!$O$9:$O$108,MATCH(D95,'Borrowers'!$C$9:$C$108,0))),""),""))</x:f>
      </x:c>
      <x:c r="L95" s="16"/>
      <x:c r="M95" s="8"/>
      <x:c r="N95" s="21" t="str">
        <x:f>IF(C95="","",IF(F95="Corporate listed",IF(ISNUMBER(K95),K95,""),IF(OR(F95="Corporate private",F95="Project finance"),IF(AND(ISNUMBER(I95),ISNUMBER(J95)),MAX(I95,0)+J95,""),IF(OR(F95="CRE",F95="Mortgage",F95="Motor"),IF(ISNUMBER(L95),L95,""),""))))</x:f>
      </x:c>
      <x:c r="O95" s="8"/>
      <x:c r="P95" s="40"/>
      <x:c r="Q95" s="8"/>
      <x:c r="R95" s="16"/>
      <x:c r="S95" s="8"/>
      <x:c r="T95" s="23" t="str">
        <x:f>IF(V95="Ready",IF(Q95="Activity",SUMIFS('Activity Data'!$U$9:$U$308,'Activity Data'!$D$9:$D$308,C95,'Activity Data'!$F$9:$F$308,"S1"),R95),"")</x:f>
      </x:c>
      <x:c r="U95" s="44" t="str">
        <x:f>IF(V95&lt;&gt;"Ready","",IF(Q95="Reported verified",1,IF(Q95="Reported unverified",2,IF(F95="Motor",1,2))))</x:f>
      </x:c>
      <x:c r="V95" s="9" t="str">
        <x:f>IF(C95="","",IF(Q95="Not assessed","Not assessed",IF(OR(O95="",NOT(ISNUMBER(H95)),NOT(ISNUMBER(P95))),"Evidence required",IF(OR(P95&lt;'Settings'!$F$8,H95&gt;'Settings'!$F$8,YEAR(H95)&lt;&gt;YEAR('Settings'!$F$8)),"Period / expiry review",IF(S95&lt;&gt;"Yes","Boundary incomplete",IF(OR(Q95="Reported verified",Q95="Reported unverified"),IF(NOT(OR(F95="Corporate private",F95="Corporate listed",F95="Project finance")),"Asset method required",IF(OR(NOT(ISNUMBER(R95)),R95&lt;0),"Reported value required","Ready")),IF(Q95="Activity",IF(AND(COUNTIFS('Activity Data'!$D$9:$D$308,C95,'Activity Data'!$F$9:$F$308,"S1")&gt;0,COUNTIFS('Activity Data'!$D$9:$D$308,C95,'Activity Data'!$F$9:$F$308,"S1")=COUNTIFS('Activity Data'!$D$9:$D$308,C95,'Activity Data'!$F$9:$F$308,"S1",'Activity Data'!$V$9:$V$308,"Ready")),"Ready","Activity incomplete"),"Method required")))))))</x:f>
      </x:c>
      <x:c r="W95" s="8"/>
      <x:c r="X95" s="16"/>
      <x:c r="Y95" s="8"/>
      <x:c r="Z95" s="23" t="str">
        <x:f>IF(AB95="Ready",IF(W95="Activity",SUMIFS('Activity Data'!$U$9:$U$308,'Activity Data'!$D$9:$D$308,C95,'Activity Data'!$F$9:$F$308,"S2"),X95),"")</x:f>
      </x:c>
      <x:c r="AA95" s="44" t="str">
        <x:f>IF(AB95&lt;&gt;"Ready","",IF(W95="Reported verified",1,IF(W95="Reported unverified",2,IF(F95="Motor",1,2))))</x:f>
      </x:c>
      <x:c r="AB95" s="9" t="str">
        <x:f>IF(C95="","",IF(W95="Not assessed","Not assessed",IF(OR(O95="",NOT(ISNUMBER(H95)),NOT(ISNUMBER(P95))),"Evidence required",IF(OR(P95&lt;'Settings'!$F$8,H95&gt;'Settings'!$F$8,YEAR(H95)&lt;&gt;YEAR('Settings'!$F$8)),"Period / expiry review",IF(Y95&lt;&gt;"Yes","Boundary incomplete",IF(OR(AND(AC95&lt;&gt;"Location-based",AC95&lt;&gt;"Market-based"),AND(W95="Activity",AC95&lt;&gt;"Location-based")),"S2 basis mismatch",IF(OR(W95="Reported verified",W95="Reported unverified"),IF(NOT(OR(F95="Corporate private",F95="Corporate listed",F95="Project finance")),"Asset method required",IF(OR(NOT(ISNUMBER(X95)),X95&lt;0),"Reported value required","Ready")),IF(W95="Activity",IF(AND(COUNTIFS('Activity Data'!$D$9:$D$308,C95,'Activity Data'!$F$9:$F$308,"S2")&gt;0,COUNTIFS('Activity Data'!$D$9:$D$308,C95,'Activity Data'!$F$9:$F$308,"S2")=COUNTIFS('Activity Data'!$D$9:$D$308,C95,'Activity Data'!$F$9:$F$308,"S2",'Activity Data'!$V$9:$V$308,"Ready")),"Ready","Activity incomplete"),"Method required"))))))))</x:f>
      </x:c>
      <x:c r="AC95" s="8"/>
      <x:c r="AD95" s="8"/>
      <x:c r="AE95" s="16"/>
      <x:c r="AF95" s="8"/>
      <x:c r="AG95" s="23" t="str">
        <x:f>IF(AI95="Ready",IF(AD95="Activity",SUMIFS('Activity Data'!$U$9:$U$308,'Activity Data'!$D$9:$D$308,C95,'Activity Data'!$F$9:$F$308,"S3"),AE95),"")</x:f>
      </x:c>
      <x:c r="AH95" s="44" t="str">
        <x:f>IF(AI95&lt;&gt;"Ready","",IF(AD95="Reported verified",1,IF(AD95="Reported unverified",2,IF(F95="Motor",1,2))))</x:f>
      </x:c>
      <x:c r="AI95" s="9" t="str">
        <x:f>IF(C95="","",IF(AD95="Not assessed","Not assessed",IF(OR(O95="",NOT(ISNUMBER(H95)),NOT(ISNUMBER(P95))),"Evidence required",IF(OR(P95&lt;'Settings'!$F$8,H95&gt;'Settings'!$F$8,YEAR(H95)&lt;&gt;YEAR('Settings'!$F$8)),"Period / expiry review",IF(AF95&lt;&gt;"Yes","Boundary incomplete",IF(AM95="","S3 screening required",IF(OR(AD95="Reported verified",AD95="Reported unverified"),IF(NOT(OR(F95="Corporate private",F95="Corporate listed",F95="Project finance")),"Asset method required",IF(OR(NOT(ISNUMBER(AE95)),AE95&lt;0),"Reported value required","Ready")),"Scope 3 method required")))))))</x:f>
      </x:c>
      <x:c r="AJ95" s="9" t="str">
        <x:f>IF(C95="","",IF(OR(F95="Corporate private",F95="Corporate listed"),IFERROR(IF(INDEX('Borrowers'!$X$9:$X$108,MATCH(D95,'Borrowers'!$C$9:$C$108,0))="","",INDEX('Borrowers'!$X$9:$X$108,MATCH(D95,'Borrowers'!$C$9:$C$108,0))),""),IF(AQ95="","",AQ95)))</x:f>
      </x:c>
      <x:c r="AK95" s="43" t="str">
        <x:f>IF(C95="","",IF(OR(F95="Corporate private",F95="Corporate listed"),IFERROR(IF(INDEX('Borrowers'!$H$9:$H$108,MATCH(D95,'Borrowers'!$C$9:$C$108,0))="","",INDEX('Borrowers'!$H$9:$H$108,MATCH(D95,'Borrowers'!$C$9:$C$108,0))),""),IF(AR95="","",AR95)))</x:f>
      </x:c>
      <x:c r="AL95" s="9" t="str">
        <x:f>IF(C95="","",IF(COUNTIFS($C$9:$C$108,C95)&lt;&gt;1,"Duplicate entity ID",IF(COUNTIFS('Borrowers'!$C$9:$C$108,D95)&lt;&gt;1,"Borrower required",IF(AND(F95&lt;&gt;"Corporate private",F95&lt;&gt;"Corporate listed",F95&lt;&gt;"Project finance",F95&lt;&gt;"CRE",F95&lt;&gt;"Mortgage",F95&lt;&gt;"Motor"),"Method required",IF(OR(AND(F95="Corporate private",IFERROR(IF(INDEX('Borrowers'!$G$9:$G$108,MATCH(D95,'Borrowers'!$C$9:$C$108,0))="","",INDEX('Borrowers'!$G$9:$G$108,MATCH(D95,'Borrowers'!$C$9:$C$108,0))),"")&lt;&gt;"Private"),AND(F95="Corporate listed",IFERROR(IF(INDEX('Borrowers'!$G$9:$G$108,MATCH(D95,'Borrowers'!$C$9:$C$108,0))="","",INDEX('Borrowers'!$G$9:$G$108,MATCH(D95,'Borrowers'!$C$9:$C$108,0))),"")&lt;&gt;"Listed")),"Listing / class mismatch",IF(OR(NOT(ISNUMBER(N95)),N95&lt;=0,AJ95="",NOT(ISNUMBER(AK95))),"Value evidence required",IF(AND(OR(F95="Corporate private",F95="Corporate listed"),IFERROR(IF(INDEX('Borrowers'!$Y$9:$Y$108,MATCH(D95,'Borrowers'!$C$9:$C$108,0))="","",INDEX('Borrowers'!$Y$9:$Y$108,MATCH(D95,'Borrowers'!$C$9:$C$108,0))),"")&lt;'Settings'!$F$8),"Expired financial evidence",IF(AK95&gt;'Settings'!$F$8,"Future value date",IF(OR(AND(OR(F95="Corporate private",F95="Project finance"),OR(J95&lt;0,M95&lt;&gt;"Current financials")),AND(F95="Corporate listed",M95&lt;&gt;"Current financials"),AND(OR(F95="CRE",F95="Mortgage",F95="Motor"),AND(M95&lt;&gt;"Origination",M95&lt;&gt;"Fixed fallback"))),"Value basis review",IF(AND(M95="Current financials",YEAR(AK95)&lt;&gt;YEAR('Settings'!$F$8)),"Stale financial period","Ready"))))))))))</x:f>
      </x:c>
      <x:c r="AM95" s="8"/>
      <x:c r="AN95" s="8"/>
      <x:c r="AO95" s="16"/>
      <x:c r="AP95" s="16"/>
      <x:c r="AQ95" s="8"/>
      <x:c r="AR95" s="40"/>
    </x:row>
    <x:row r="96" ht="40" customHeight="1">
      <x:c r="A96" s="1"/>
      <x:c r="B96" s="1"/>
      <x:c r="C96" s="8"/>
      <x:c r="D96" s="8"/>
      <x:c r="E96" s="8"/>
      <x:c r="F96" s="8"/>
      <x:c r="G96" s="9" t="str">
        <x:f>IF(C96="","",IFERROR(IF(INDEX('Borrowers'!$E$9:$E$108,MATCH(D96,'Borrowers'!$C$9:$C$108,0))="","",INDEX('Borrowers'!$E$9:$E$108,MATCH(D96,'Borrowers'!$C$9:$C$108,0))),""))</x:f>
      </x:c>
      <x:c r="H96" s="40"/>
      <x:c r="I96" s="23" t="str">
        <x:f>IF(C96="","",IF(OR(F96="Corporate private",F96="Corporate listed"),IFERROR(IF(INDEX('Borrowers'!$M$9:$M$108,MATCH(D96,'Borrowers'!$C$9:$C$108,0))="","",INDEX('Borrowers'!$M$9:$M$108,MATCH(D96,'Borrowers'!$C$9:$C$108,0))),""),IF(F96="Project finance",IF(ISNUMBER(AO96),AO96,""),"")))</x:f>
      </x:c>
      <x:c r="J96" s="23" t="str">
        <x:f>IF(C96="","",IF(OR(F96="Corporate private",F96="Corporate listed"),IFERROR(IF(INDEX('Borrowers'!$N$9:$N$108,MATCH(D96,'Borrowers'!$C$9:$C$108,0))="","",INDEX('Borrowers'!$N$9:$N$108,MATCH(D96,'Borrowers'!$C$9:$C$108,0))),""),IF(F96="Project finance",IF(ISNUMBER(AP96),AP96,""),"")))</x:f>
      </x:c>
      <x:c r="K96" s="23" t="str">
        <x:f>IF(C96="","",IF(F96="Corporate listed",IFERROR(IF(INDEX('Borrowers'!$O$9:$O$108,MATCH(D96,'Borrowers'!$C$9:$C$108,0))="","",INDEX('Borrowers'!$O$9:$O$108,MATCH(D96,'Borrowers'!$C$9:$C$108,0))),""),""))</x:f>
      </x:c>
      <x:c r="L96" s="16"/>
      <x:c r="M96" s="8"/>
      <x:c r="N96" s="21" t="str">
        <x:f>IF(C96="","",IF(F96="Corporate listed",IF(ISNUMBER(K96),K96,""),IF(OR(F96="Corporate private",F96="Project finance"),IF(AND(ISNUMBER(I96),ISNUMBER(J96)),MAX(I96,0)+J96,""),IF(OR(F96="CRE",F96="Mortgage",F96="Motor"),IF(ISNUMBER(L96),L96,""),""))))</x:f>
      </x:c>
      <x:c r="O96" s="8"/>
      <x:c r="P96" s="40"/>
      <x:c r="Q96" s="8"/>
      <x:c r="R96" s="16"/>
      <x:c r="S96" s="8"/>
      <x:c r="T96" s="23" t="str">
        <x:f>IF(V96="Ready",IF(Q96="Activity",SUMIFS('Activity Data'!$U$9:$U$308,'Activity Data'!$D$9:$D$308,C96,'Activity Data'!$F$9:$F$308,"S1"),R96),"")</x:f>
      </x:c>
      <x:c r="U96" s="44" t="str">
        <x:f>IF(V96&lt;&gt;"Ready","",IF(Q96="Reported verified",1,IF(Q96="Reported unverified",2,IF(F96="Motor",1,2))))</x:f>
      </x:c>
      <x:c r="V96" s="9" t="str">
        <x:f>IF(C96="","",IF(Q96="Not assessed","Not assessed",IF(OR(O96="",NOT(ISNUMBER(H96)),NOT(ISNUMBER(P96))),"Evidence required",IF(OR(P96&lt;'Settings'!$F$8,H96&gt;'Settings'!$F$8,YEAR(H96)&lt;&gt;YEAR('Settings'!$F$8)),"Period / expiry review",IF(S96&lt;&gt;"Yes","Boundary incomplete",IF(OR(Q96="Reported verified",Q96="Reported unverified"),IF(NOT(OR(F96="Corporate private",F96="Corporate listed",F96="Project finance")),"Asset method required",IF(OR(NOT(ISNUMBER(R96)),R96&lt;0),"Reported value required","Ready")),IF(Q96="Activity",IF(AND(COUNTIFS('Activity Data'!$D$9:$D$308,C96,'Activity Data'!$F$9:$F$308,"S1")&gt;0,COUNTIFS('Activity Data'!$D$9:$D$308,C96,'Activity Data'!$F$9:$F$308,"S1")=COUNTIFS('Activity Data'!$D$9:$D$308,C96,'Activity Data'!$F$9:$F$308,"S1",'Activity Data'!$V$9:$V$308,"Ready")),"Ready","Activity incomplete"),"Method required")))))))</x:f>
      </x:c>
      <x:c r="W96" s="8"/>
      <x:c r="X96" s="16"/>
      <x:c r="Y96" s="8"/>
      <x:c r="Z96" s="23" t="str">
        <x:f>IF(AB96="Ready",IF(W96="Activity",SUMIFS('Activity Data'!$U$9:$U$308,'Activity Data'!$D$9:$D$308,C96,'Activity Data'!$F$9:$F$308,"S2"),X96),"")</x:f>
      </x:c>
      <x:c r="AA96" s="44" t="str">
        <x:f>IF(AB96&lt;&gt;"Ready","",IF(W96="Reported verified",1,IF(W96="Reported unverified",2,IF(F96="Motor",1,2))))</x:f>
      </x:c>
      <x:c r="AB96" s="9" t="str">
        <x:f>IF(C96="","",IF(W96="Not assessed","Not assessed",IF(OR(O96="",NOT(ISNUMBER(H96)),NOT(ISNUMBER(P96))),"Evidence required",IF(OR(P96&lt;'Settings'!$F$8,H96&gt;'Settings'!$F$8,YEAR(H96)&lt;&gt;YEAR('Settings'!$F$8)),"Period / expiry review",IF(Y96&lt;&gt;"Yes","Boundary incomplete",IF(OR(AND(AC96&lt;&gt;"Location-based",AC96&lt;&gt;"Market-based"),AND(W96="Activity",AC96&lt;&gt;"Location-based")),"S2 basis mismatch",IF(OR(W96="Reported verified",W96="Reported unverified"),IF(NOT(OR(F96="Corporate private",F96="Corporate listed",F96="Project finance")),"Asset method required",IF(OR(NOT(ISNUMBER(X96)),X96&lt;0),"Reported value required","Ready")),IF(W96="Activity",IF(AND(COUNTIFS('Activity Data'!$D$9:$D$308,C96,'Activity Data'!$F$9:$F$308,"S2")&gt;0,COUNTIFS('Activity Data'!$D$9:$D$308,C96,'Activity Data'!$F$9:$F$308,"S2")=COUNTIFS('Activity Data'!$D$9:$D$308,C96,'Activity Data'!$F$9:$F$308,"S2",'Activity Data'!$V$9:$V$308,"Ready")),"Ready","Activity incomplete"),"Method required"))))))))</x:f>
      </x:c>
      <x:c r="AC96" s="8"/>
      <x:c r="AD96" s="8"/>
      <x:c r="AE96" s="16"/>
      <x:c r="AF96" s="8"/>
      <x:c r="AG96" s="23" t="str">
        <x:f>IF(AI96="Ready",IF(AD96="Activity",SUMIFS('Activity Data'!$U$9:$U$308,'Activity Data'!$D$9:$D$308,C96,'Activity Data'!$F$9:$F$308,"S3"),AE96),"")</x:f>
      </x:c>
      <x:c r="AH96" s="44" t="str">
        <x:f>IF(AI96&lt;&gt;"Ready","",IF(AD96="Reported verified",1,IF(AD96="Reported unverified",2,IF(F96="Motor",1,2))))</x:f>
      </x:c>
      <x:c r="AI96" s="9" t="str">
        <x:f>IF(C96="","",IF(AD96="Not assessed","Not assessed",IF(OR(O96="",NOT(ISNUMBER(H96)),NOT(ISNUMBER(P96))),"Evidence required",IF(OR(P96&lt;'Settings'!$F$8,H96&gt;'Settings'!$F$8,YEAR(H96)&lt;&gt;YEAR('Settings'!$F$8)),"Period / expiry review",IF(AF96&lt;&gt;"Yes","Boundary incomplete",IF(AM96="","S3 screening required",IF(OR(AD96="Reported verified",AD96="Reported unverified"),IF(NOT(OR(F96="Corporate private",F96="Corporate listed",F96="Project finance")),"Asset method required",IF(OR(NOT(ISNUMBER(AE96)),AE96&lt;0),"Reported value required","Ready")),"Scope 3 method required")))))))</x:f>
      </x:c>
      <x:c r="AJ96" s="9" t="str">
        <x:f>IF(C96="","",IF(OR(F96="Corporate private",F96="Corporate listed"),IFERROR(IF(INDEX('Borrowers'!$X$9:$X$108,MATCH(D96,'Borrowers'!$C$9:$C$108,0))="","",INDEX('Borrowers'!$X$9:$X$108,MATCH(D96,'Borrowers'!$C$9:$C$108,0))),""),IF(AQ96="","",AQ96)))</x:f>
      </x:c>
      <x:c r="AK96" s="43" t="str">
        <x:f>IF(C96="","",IF(OR(F96="Corporate private",F96="Corporate listed"),IFERROR(IF(INDEX('Borrowers'!$H$9:$H$108,MATCH(D96,'Borrowers'!$C$9:$C$108,0))="","",INDEX('Borrowers'!$H$9:$H$108,MATCH(D96,'Borrowers'!$C$9:$C$108,0))),""),IF(AR96="","",AR96)))</x:f>
      </x:c>
      <x:c r="AL96" s="9" t="str">
        <x:f>IF(C96="","",IF(COUNTIFS($C$9:$C$108,C96)&lt;&gt;1,"Duplicate entity ID",IF(COUNTIFS('Borrowers'!$C$9:$C$108,D96)&lt;&gt;1,"Borrower required",IF(AND(F96&lt;&gt;"Corporate private",F96&lt;&gt;"Corporate listed",F96&lt;&gt;"Project finance",F96&lt;&gt;"CRE",F96&lt;&gt;"Mortgage",F96&lt;&gt;"Motor"),"Method required",IF(OR(AND(F96="Corporate private",IFERROR(IF(INDEX('Borrowers'!$G$9:$G$108,MATCH(D96,'Borrowers'!$C$9:$C$108,0))="","",INDEX('Borrowers'!$G$9:$G$108,MATCH(D96,'Borrowers'!$C$9:$C$108,0))),"")&lt;&gt;"Private"),AND(F96="Corporate listed",IFERROR(IF(INDEX('Borrowers'!$G$9:$G$108,MATCH(D96,'Borrowers'!$C$9:$C$108,0))="","",INDEX('Borrowers'!$G$9:$G$108,MATCH(D96,'Borrowers'!$C$9:$C$108,0))),"")&lt;&gt;"Listed")),"Listing / class mismatch",IF(OR(NOT(ISNUMBER(N96)),N96&lt;=0,AJ96="",NOT(ISNUMBER(AK96))),"Value evidence required",IF(AND(OR(F96="Corporate private",F96="Corporate listed"),IFERROR(IF(INDEX('Borrowers'!$Y$9:$Y$108,MATCH(D96,'Borrowers'!$C$9:$C$108,0))="","",INDEX('Borrowers'!$Y$9:$Y$108,MATCH(D96,'Borrowers'!$C$9:$C$108,0))),"")&lt;'Settings'!$F$8),"Expired financial evidence",IF(AK96&gt;'Settings'!$F$8,"Future value date",IF(OR(AND(OR(F96="Corporate private",F96="Project finance"),OR(J96&lt;0,M96&lt;&gt;"Current financials")),AND(F96="Corporate listed",M96&lt;&gt;"Current financials"),AND(OR(F96="CRE",F96="Mortgage",F96="Motor"),AND(M96&lt;&gt;"Origination",M96&lt;&gt;"Fixed fallback"))),"Value basis review",IF(AND(M96="Current financials",YEAR(AK96)&lt;&gt;YEAR('Settings'!$F$8)),"Stale financial period","Ready"))))))))))</x:f>
      </x:c>
      <x:c r="AM96" s="8"/>
      <x:c r="AN96" s="8"/>
      <x:c r="AO96" s="16"/>
      <x:c r="AP96" s="16"/>
      <x:c r="AQ96" s="8"/>
      <x:c r="AR96" s="40"/>
    </x:row>
    <x:row r="97" ht="40" customHeight="1">
      <x:c r="A97" s="1"/>
      <x:c r="B97" s="1"/>
      <x:c r="C97" s="8"/>
      <x:c r="D97" s="8"/>
      <x:c r="E97" s="8"/>
      <x:c r="F97" s="8"/>
      <x:c r="G97" s="9" t="str">
        <x:f>IF(C97="","",IFERROR(IF(INDEX('Borrowers'!$E$9:$E$108,MATCH(D97,'Borrowers'!$C$9:$C$108,0))="","",INDEX('Borrowers'!$E$9:$E$108,MATCH(D97,'Borrowers'!$C$9:$C$108,0))),""))</x:f>
      </x:c>
      <x:c r="H97" s="40"/>
      <x:c r="I97" s="23" t="str">
        <x:f>IF(C97="","",IF(OR(F97="Corporate private",F97="Corporate listed"),IFERROR(IF(INDEX('Borrowers'!$M$9:$M$108,MATCH(D97,'Borrowers'!$C$9:$C$108,0))="","",INDEX('Borrowers'!$M$9:$M$108,MATCH(D97,'Borrowers'!$C$9:$C$108,0))),""),IF(F97="Project finance",IF(ISNUMBER(AO97),AO97,""),"")))</x:f>
      </x:c>
      <x:c r="J97" s="23" t="str">
        <x:f>IF(C97="","",IF(OR(F97="Corporate private",F97="Corporate listed"),IFERROR(IF(INDEX('Borrowers'!$N$9:$N$108,MATCH(D97,'Borrowers'!$C$9:$C$108,0))="","",INDEX('Borrowers'!$N$9:$N$108,MATCH(D97,'Borrowers'!$C$9:$C$108,0))),""),IF(F97="Project finance",IF(ISNUMBER(AP97),AP97,""),"")))</x:f>
      </x:c>
      <x:c r="K97" s="23" t="str">
        <x:f>IF(C97="","",IF(F97="Corporate listed",IFERROR(IF(INDEX('Borrowers'!$O$9:$O$108,MATCH(D97,'Borrowers'!$C$9:$C$108,0))="","",INDEX('Borrowers'!$O$9:$O$108,MATCH(D97,'Borrowers'!$C$9:$C$108,0))),""),""))</x:f>
      </x:c>
      <x:c r="L97" s="16"/>
      <x:c r="M97" s="8"/>
      <x:c r="N97" s="21" t="str">
        <x:f>IF(C97="","",IF(F97="Corporate listed",IF(ISNUMBER(K97),K97,""),IF(OR(F97="Corporate private",F97="Project finance"),IF(AND(ISNUMBER(I97),ISNUMBER(J97)),MAX(I97,0)+J97,""),IF(OR(F97="CRE",F97="Mortgage",F97="Motor"),IF(ISNUMBER(L97),L97,""),""))))</x:f>
      </x:c>
      <x:c r="O97" s="8"/>
      <x:c r="P97" s="40"/>
      <x:c r="Q97" s="8"/>
      <x:c r="R97" s="16"/>
      <x:c r="S97" s="8"/>
      <x:c r="T97" s="23" t="str">
        <x:f>IF(V97="Ready",IF(Q97="Activity",SUMIFS('Activity Data'!$U$9:$U$308,'Activity Data'!$D$9:$D$308,C97,'Activity Data'!$F$9:$F$308,"S1"),R97),"")</x:f>
      </x:c>
      <x:c r="U97" s="44" t="str">
        <x:f>IF(V97&lt;&gt;"Ready","",IF(Q97="Reported verified",1,IF(Q97="Reported unverified",2,IF(F97="Motor",1,2))))</x:f>
      </x:c>
      <x:c r="V97" s="9" t="str">
        <x:f>IF(C97="","",IF(Q97="Not assessed","Not assessed",IF(OR(O97="",NOT(ISNUMBER(H97)),NOT(ISNUMBER(P97))),"Evidence required",IF(OR(P97&lt;'Settings'!$F$8,H97&gt;'Settings'!$F$8,YEAR(H97)&lt;&gt;YEAR('Settings'!$F$8)),"Period / expiry review",IF(S97&lt;&gt;"Yes","Boundary incomplete",IF(OR(Q97="Reported verified",Q97="Reported unverified"),IF(NOT(OR(F97="Corporate private",F97="Corporate listed",F97="Project finance")),"Asset method required",IF(OR(NOT(ISNUMBER(R97)),R97&lt;0),"Reported value required","Ready")),IF(Q97="Activity",IF(AND(COUNTIFS('Activity Data'!$D$9:$D$308,C97,'Activity Data'!$F$9:$F$308,"S1")&gt;0,COUNTIFS('Activity Data'!$D$9:$D$308,C97,'Activity Data'!$F$9:$F$308,"S1")=COUNTIFS('Activity Data'!$D$9:$D$308,C97,'Activity Data'!$F$9:$F$308,"S1",'Activity Data'!$V$9:$V$308,"Ready")),"Ready","Activity incomplete"),"Method required")))))))</x:f>
      </x:c>
      <x:c r="W97" s="8"/>
      <x:c r="X97" s="16"/>
      <x:c r="Y97" s="8"/>
      <x:c r="Z97" s="23" t="str">
        <x:f>IF(AB97="Ready",IF(W97="Activity",SUMIFS('Activity Data'!$U$9:$U$308,'Activity Data'!$D$9:$D$308,C97,'Activity Data'!$F$9:$F$308,"S2"),X97),"")</x:f>
      </x:c>
      <x:c r="AA97" s="44" t="str">
        <x:f>IF(AB97&lt;&gt;"Ready","",IF(W97="Reported verified",1,IF(W97="Reported unverified",2,IF(F97="Motor",1,2))))</x:f>
      </x:c>
      <x:c r="AB97" s="9" t="str">
        <x:f>IF(C97="","",IF(W97="Not assessed","Not assessed",IF(OR(O97="",NOT(ISNUMBER(H97)),NOT(ISNUMBER(P97))),"Evidence required",IF(OR(P97&lt;'Settings'!$F$8,H97&gt;'Settings'!$F$8,YEAR(H97)&lt;&gt;YEAR('Settings'!$F$8)),"Period / expiry review",IF(Y97&lt;&gt;"Yes","Boundary incomplete",IF(OR(AND(AC97&lt;&gt;"Location-based",AC97&lt;&gt;"Market-based"),AND(W97="Activity",AC97&lt;&gt;"Location-based")),"S2 basis mismatch",IF(OR(W97="Reported verified",W97="Reported unverified"),IF(NOT(OR(F97="Corporate private",F97="Corporate listed",F97="Project finance")),"Asset method required",IF(OR(NOT(ISNUMBER(X97)),X97&lt;0),"Reported value required","Ready")),IF(W97="Activity",IF(AND(COUNTIFS('Activity Data'!$D$9:$D$308,C97,'Activity Data'!$F$9:$F$308,"S2")&gt;0,COUNTIFS('Activity Data'!$D$9:$D$308,C97,'Activity Data'!$F$9:$F$308,"S2")=COUNTIFS('Activity Data'!$D$9:$D$308,C97,'Activity Data'!$F$9:$F$308,"S2",'Activity Data'!$V$9:$V$308,"Ready")),"Ready","Activity incomplete"),"Method required"))))))))</x:f>
      </x:c>
      <x:c r="AC97" s="8"/>
      <x:c r="AD97" s="8"/>
      <x:c r="AE97" s="16"/>
      <x:c r="AF97" s="8"/>
      <x:c r="AG97" s="23" t="str">
        <x:f>IF(AI97="Ready",IF(AD97="Activity",SUMIFS('Activity Data'!$U$9:$U$308,'Activity Data'!$D$9:$D$308,C97,'Activity Data'!$F$9:$F$308,"S3"),AE97),"")</x:f>
      </x:c>
      <x:c r="AH97" s="44" t="str">
        <x:f>IF(AI97&lt;&gt;"Ready","",IF(AD97="Reported verified",1,IF(AD97="Reported unverified",2,IF(F97="Motor",1,2))))</x:f>
      </x:c>
      <x:c r="AI97" s="9" t="str">
        <x:f>IF(C97="","",IF(AD97="Not assessed","Not assessed",IF(OR(O97="",NOT(ISNUMBER(H97)),NOT(ISNUMBER(P97))),"Evidence required",IF(OR(P97&lt;'Settings'!$F$8,H97&gt;'Settings'!$F$8,YEAR(H97)&lt;&gt;YEAR('Settings'!$F$8)),"Period / expiry review",IF(AF97&lt;&gt;"Yes","Boundary incomplete",IF(AM97="","S3 screening required",IF(OR(AD97="Reported verified",AD97="Reported unverified"),IF(NOT(OR(F97="Corporate private",F97="Corporate listed",F97="Project finance")),"Asset method required",IF(OR(NOT(ISNUMBER(AE97)),AE97&lt;0),"Reported value required","Ready")),"Scope 3 method required")))))))</x:f>
      </x:c>
      <x:c r="AJ97" s="9" t="str">
        <x:f>IF(C97="","",IF(OR(F97="Corporate private",F97="Corporate listed"),IFERROR(IF(INDEX('Borrowers'!$X$9:$X$108,MATCH(D97,'Borrowers'!$C$9:$C$108,0))="","",INDEX('Borrowers'!$X$9:$X$108,MATCH(D97,'Borrowers'!$C$9:$C$108,0))),""),IF(AQ97="","",AQ97)))</x:f>
      </x:c>
      <x:c r="AK97" s="43" t="str">
        <x:f>IF(C97="","",IF(OR(F97="Corporate private",F97="Corporate listed"),IFERROR(IF(INDEX('Borrowers'!$H$9:$H$108,MATCH(D97,'Borrowers'!$C$9:$C$108,0))="","",INDEX('Borrowers'!$H$9:$H$108,MATCH(D97,'Borrowers'!$C$9:$C$108,0))),""),IF(AR97="","",AR97)))</x:f>
      </x:c>
      <x:c r="AL97" s="9" t="str">
        <x:f>IF(C97="","",IF(COUNTIFS($C$9:$C$108,C97)&lt;&gt;1,"Duplicate entity ID",IF(COUNTIFS('Borrowers'!$C$9:$C$108,D97)&lt;&gt;1,"Borrower required",IF(AND(F97&lt;&gt;"Corporate private",F97&lt;&gt;"Corporate listed",F97&lt;&gt;"Project finance",F97&lt;&gt;"CRE",F97&lt;&gt;"Mortgage",F97&lt;&gt;"Motor"),"Method required",IF(OR(AND(F97="Corporate private",IFERROR(IF(INDEX('Borrowers'!$G$9:$G$108,MATCH(D97,'Borrowers'!$C$9:$C$108,0))="","",INDEX('Borrowers'!$G$9:$G$108,MATCH(D97,'Borrowers'!$C$9:$C$108,0))),"")&lt;&gt;"Private"),AND(F97="Corporate listed",IFERROR(IF(INDEX('Borrowers'!$G$9:$G$108,MATCH(D97,'Borrowers'!$C$9:$C$108,0))="","",INDEX('Borrowers'!$G$9:$G$108,MATCH(D97,'Borrowers'!$C$9:$C$108,0))),"")&lt;&gt;"Listed")),"Listing / class mismatch",IF(OR(NOT(ISNUMBER(N97)),N97&lt;=0,AJ97="",NOT(ISNUMBER(AK97))),"Value evidence required",IF(AND(OR(F97="Corporate private",F97="Corporate listed"),IFERROR(IF(INDEX('Borrowers'!$Y$9:$Y$108,MATCH(D97,'Borrowers'!$C$9:$C$108,0))="","",INDEX('Borrowers'!$Y$9:$Y$108,MATCH(D97,'Borrowers'!$C$9:$C$108,0))),"")&lt;'Settings'!$F$8),"Expired financial evidence",IF(AK97&gt;'Settings'!$F$8,"Future value date",IF(OR(AND(OR(F97="Corporate private",F97="Project finance"),OR(J97&lt;0,M97&lt;&gt;"Current financials")),AND(F97="Corporate listed",M97&lt;&gt;"Current financials"),AND(OR(F97="CRE",F97="Mortgage",F97="Motor"),AND(M97&lt;&gt;"Origination",M97&lt;&gt;"Fixed fallback"))),"Value basis review",IF(AND(M97="Current financials",YEAR(AK97)&lt;&gt;YEAR('Settings'!$F$8)),"Stale financial period","Ready"))))))))))</x:f>
      </x:c>
      <x:c r="AM97" s="8"/>
      <x:c r="AN97" s="8"/>
      <x:c r="AO97" s="16"/>
      <x:c r="AP97" s="16"/>
      <x:c r="AQ97" s="8"/>
      <x:c r="AR97" s="40"/>
    </x:row>
    <x:row r="98" ht="40" customHeight="1">
      <x:c r="A98" s="1"/>
      <x:c r="B98" s="1"/>
      <x:c r="C98" s="8"/>
      <x:c r="D98" s="8"/>
      <x:c r="E98" s="8"/>
      <x:c r="F98" s="8"/>
      <x:c r="G98" s="9" t="str">
        <x:f>IF(C98="","",IFERROR(IF(INDEX('Borrowers'!$E$9:$E$108,MATCH(D98,'Borrowers'!$C$9:$C$108,0))="","",INDEX('Borrowers'!$E$9:$E$108,MATCH(D98,'Borrowers'!$C$9:$C$108,0))),""))</x:f>
      </x:c>
      <x:c r="H98" s="40"/>
      <x:c r="I98" s="23" t="str">
        <x:f>IF(C98="","",IF(OR(F98="Corporate private",F98="Corporate listed"),IFERROR(IF(INDEX('Borrowers'!$M$9:$M$108,MATCH(D98,'Borrowers'!$C$9:$C$108,0))="","",INDEX('Borrowers'!$M$9:$M$108,MATCH(D98,'Borrowers'!$C$9:$C$108,0))),""),IF(F98="Project finance",IF(ISNUMBER(AO98),AO98,""),"")))</x:f>
      </x:c>
      <x:c r="J98" s="23" t="str">
        <x:f>IF(C98="","",IF(OR(F98="Corporate private",F98="Corporate listed"),IFERROR(IF(INDEX('Borrowers'!$N$9:$N$108,MATCH(D98,'Borrowers'!$C$9:$C$108,0))="","",INDEX('Borrowers'!$N$9:$N$108,MATCH(D98,'Borrowers'!$C$9:$C$108,0))),""),IF(F98="Project finance",IF(ISNUMBER(AP98),AP98,""),"")))</x:f>
      </x:c>
      <x:c r="K98" s="23" t="str">
        <x:f>IF(C98="","",IF(F98="Corporate listed",IFERROR(IF(INDEX('Borrowers'!$O$9:$O$108,MATCH(D98,'Borrowers'!$C$9:$C$108,0))="","",INDEX('Borrowers'!$O$9:$O$108,MATCH(D98,'Borrowers'!$C$9:$C$108,0))),""),""))</x:f>
      </x:c>
      <x:c r="L98" s="16"/>
      <x:c r="M98" s="8"/>
      <x:c r="N98" s="21" t="str">
        <x:f>IF(C98="","",IF(F98="Corporate listed",IF(ISNUMBER(K98),K98,""),IF(OR(F98="Corporate private",F98="Project finance"),IF(AND(ISNUMBER(I98),ISNUMBER(J98)),MAX(I98,0)+J98,""),IF(OR(F98="CRE",F98="Mortgage",F98="Motor"),IF(ISNUMBER(L98),L98,""),""))))</x:f>
      </x:c>
      <x:c r="O98" s="8"/>
      <x:c r="P98" s="40"/>
      <x:c r="Q98" s="8"/>
      <x:c r="R98" s="16"/>
      <x:c r="S98" s="8"/>
      <x:c r="T98" s="23" t="str">
        <x:f>IF(V98="Ready",IF(Q98="Activity",SUMIFS('Activity Data'!$U$9:$U$308,'Activity Data'!$D$9:$D$308,C98,'Activity Data'!$F$9:$F$308,"S1"),R98),"")</x:f>
      </x:c>
      <x:c r="U98" s="44" t="str">
        <x:f>IF(V98&lt;&gt;"Ready","",IF(Q98="Reported verified",1,IF(Q98="Reported unverified",2,IF(F98="Motor",1,2))))</x:f>
      </x:c>
      <x:c r="V98" s="9" t="str">
        <x:f>IF(C98="","",IF(Q98="Not assessed","Not assessed",IF(OR(O98="",NOT(ISNUMBER(H98)),NOT(ISNUMBER(P98))),"Evidence required",IF(OR(P98&lt;'Settings'!$F$8,H98&gt;'Settings'!$F$8,YEAR(H98)&lt;&gt;YEAR('Settings'!$F$8)),"Period / expiry review",IF(S98&lt;&gt;"Yes","Boundary incomplete",IF(OR(Q98="Reported verified",Q98="Reported unverified"),IF(NOT(OR(F98="Corporate private",F98="Corporate listed",F98="Project finance")),"Asset method required",IF(OR(NOT(ISNUMBER(R98)),R98&lt;0),"Reported value required","Ready")),IF(Q98="Activity",IF(AND(COUNTIFS('Activity Data'!$D$9:$D$308,C98,'Activity Data'!$F$9:$F$308,"S1")&gt;0,COUNTIFS('Activity Data'!$D$9:$D$308,C98,'Activity Data'!$F$9:$F$308,"S1")=COUNTIFS('Activity Data'!$D$9:$D$308,C98,'Activity Data'!$F$9:$F$308,"S1",'Activity Data'!$V$9:$V$308,"Ready")),"Ready","Activity incomplete"),"Method required")))))))</x:f>
      </x:c>
      <x:c r="W98" s="8"/>
      <x:c r="X98" s="16"/>
      <x:c r="Y98" s="8"/>
      <x:c r="Z98" s="23" t="str">
        <x:f>IF(AB98="Ready",IF(W98="Activity",SUMIFS('Activity Data'!$U$9:$U$308,'Activity Data'!$D$9:$D$308,C98,'Activity Data'!$F$9:$F$308,"S2"),X98),"")</x:f>
      </x:c>
      <x:c r="AA98" s="44" t="str">
        <x:f>IF(AB98&lt;&gt;"Ready","",IF(W98="Reported verified",1,IF(W98="Reported unverified",2,IF(F98="Motor",1,2))))</x:f>
      </x:c>
      <x:c r="AB98" s="9" t="str">
        <x:f>IF(C98="","",IF(W98="Not assessed","Not assessed",IF(OR(O98="",NOT(ISNUMBER(H98)),NOT(ISNUMBER(P98))),"Evidence required",IF(OR(P98&lt;'Settings'!$F$8,H98&gt;'Settings'!$F$8,YEAR(H98)&lt;&gt;YEAR('Settings'!$F$8)),"Period / expiry review",IF(Y98&lt;&gt;"Yes","Boundary incomplete",IF(OR(AND(AC98&lt;&gt;"Location-based",AC98&lt;&gt;"Market-based"),AND(W98="Activity",AC98&lt;&gt;"Location-based")),"S2 basis mismatch",IF(OR(W98="Reported verified",W98="Reported unverified"),IF(NOT(OR(F98="Corporate private",F98="Corporate listed",F98="Project finance")),"Asset method required",IF(OR(NOT(ISNUMBER(X98)),X98&lt;0),"Reported value required","Ready")),IF(W98="Activity",IF(AND(COUNTIFS('Activity Data'!$D$9:$D$308,C98,'Activity Data'!$F$9:$F$308,"S2")&gt;0,COUNTIFS('Activity Data'!$D$9:$D$308,C98,'Activity Data'!$F$9:$F$308,"S2")=COUNTIFS('Activity Data'!$D$9:$D$308,C98,'Activity Data'!$F$9:$F$308,"S2",'Activity Data'!$V$9:$V$308,"Ready")),"Ready","Activity incomplete"),"Method required"))))))))</x:f>
      </x:c>
      <x:c r="AC98" s="8"/>
      <x:c r="AD98" s="8"/>
      <x:c r="AE98" s="16"/>
      <x:c r="AF98" s="8"/>
      <x:c r="AG98" s="23" t="str">
        <x:f>IF(AI98="Ready",IF(AD98="Activity",SUMIFS('Activity Data'!$U$9:$U$308,'Activity Data'!$D$9:$D$308,C98,'Activity Data'!$F$9:$F$308,"S3"),AE98),"")</x:f>
      </x:c>
      <x:c r="AH98" s="44" t="str">
        <x:f>IF(AI98&lt;&gt;"Ready","",IF(AD98="Reported verified",1,IF(AD98="Reported unverified",2,IF(F98="Motor",1,2))))</x:f>
      </x:c>
      <x:c r="AI98" s="9" t="str">
        <x:f>IF(C98="","",IF(AD98="Not assessed","Not assessed",IF(OR(O98="",NOT(ISNUMBER(H98)),NOT(ISNUMBER(P98))),"Evidence required",IF(OR(P98&lt;'Settings'!$F$8,H98&gt;'Settings'!$F$8,YEAR(H98)&lt;&gt;YEAR('Settings'!$F$8)),"Period / expiry review",IF(AF98&lt;&gt;"Yes","Boundary incomplete",IF(AM98="","S3 screening required",IF(OR(AD98="Reported verified",AD98="Reported unverified"),IF(NOT(OR(F98="Corporate private",F98="Corporate listed",F98="Project finance")),"Asset method required",IF(OR(NOT(ISNUMBER(AE98)),AE98&lt;0),"Reported value required","Ready")),"Scope 3 method required")))))))</x:f>
      </x:c>
      <x:c r="AJ98" s="9" t="str">
        <x:f>IF(C98="","",IF(OR(F98="Corporate private",F98="Corporate listed"),IFERROR(IF(INDEX('Borrowers'!$X$9:$X$108,MATCH(D98,'Borrowers'!$C$9:$C$108,0))="","",INDEX('Borrowers'!$X$9:$X$108,MATCH(D98,'Borrowers'!$C$9:$C$108,0))),""),IF(AQ98="","",AQ98)))</x:f>
      </x:c>
      <x:c r="AK98" s="43" t="str">
        <x:f>IF(C98="","",IF(OR(F98="Corporate private",F98="Corporate listed"),IFERROR(IF(INDEX('Borrowers'!$H$9:$H$108,MATCH(D98,'Borrowers'!$C$9:$C$108,0))="","",INDEX('Borrowers'!$H$9:$H$108,MATCH(D98,'Borrowers'!$C$9:$C$108,0))),""),IF(AR98="","",AR98)))</x:f>
      </x:c>
      <x:c r="AL98" s="9" t="str">
        <x:f>IF(C98="","",IF(COUNTIFS($C$9:$C$108,C98)&lt;&gt;1,"Duplicate entity ID",IF(COUNTIFS('Borrowers'!$C$9:$C$108,D98)&lt;&gt;1,"Borrower required",IF(AND(F98&lt;&gt;"Corporate private",F98&lt;&gt;"Corporate listed",F98&lt;&gt;"Project finance",F98&lt;&gt;"CRE",F98&lt;&gt;"Mortgage",F98&lt;&gt;"Motor"),"Method required",IF(OR(AND(F98="Corporate private",IFERROR(IF(INDEX('Borrowers'!$G$9:$G$108,MATCH(D98,'Borrowers'!$C$9:$C$108,0))="","",INDEX('Borrowers'!$G$9:$G$108,MATCH(D98,'Borrowers'!$C$9:$C$108,0))),"")&lt;&gt;"Private"),AND(F98="Corporate listed",IFERROR(IF(INDEX('Borrowers'!$G$9:$G$108,MATCH(D98,'Borrowers'!$C$9:$C$108,0))="","",INDEX('Borrowers'!$G$9:$G$108,MATCH(D98,'Borrowers'!$C$9:$C$108,0))),"")&lt;&gt;"Listed")),"Listing / class mismatch",IF(OR(NOT(ISNUMBER(N98)),N98&lt;=0,AJ98="",NOT(ISNUMBER(AK98))),"Value evidence required",IF(AND(OR(F98="Corporate private",F98="Corporate listed"),IFERROR(IF(INDEX('Borrowers'!$Y$9:$Y$108,MATCH(D98,'Borrowers'!$C$9:$C$108,0))="","",INDEX('Borrowers'!$Y$9:$Y$108,MATCH(D98,'Borrowers'!$C$9:$C$108,0))),"")&lt;'Settings'!$F$8),"Expired financial evidence",IF(AK98&gt;'Settings'!$F$8,"Future value date",IF(OR(AND(OR(F98="Corporate private",F98="Project finance"),OR(J98&lt;0,M98&lt;&gt;"Current financials")),AND(F98="Corporate listed",M98&lt;&gt;"Current financials"),AND(OR(F98="CRE",F98="Mortgage",F98="Motor"),AND(M98&lt;&gt;"Origination",M98&lt;&gt;"Fixed fallback"))),"Value basis review",IF(AND(M98="Current financials",YEAR(AK98)&lt;&gt;YEAR('Settings'!$F$8)),"Stale financial period","Ready"))))))))))</x:f>
      </x:c>
      <x:c r="AM98" s="8"/>
      <x:c r="AN98" s="8"/>
      <x:c r="AO98" s="16"/>
      <x:c r="AP98" s="16"/>
      <x:c r="AQ98" s="8"/>
      <x:c r="AR98" s="40"/>
    </x:row>
    <x:row r="99" ht="40" customHeight="1">
      <x:c r="A99" s="1"/>
      <x:c r="B99" s="1"/>
      <x:c r="C99" s="8"/>
      <x:c r="D99" s="8"/>
      <x:c r="E99" s="8"/>
      <x:c r="F99" s="8"/>
      <x:c r="G99" s="9" t="str">
        <x:f>IF(C99="","",IFERROR(IF(INDEX('Borrowers'!$E$9:$E$108,MATCH(D99,'Borrowers'!$C$9:$C$108,0))="","",INDEX('Borrowers'!$E$9:$E$108,MATCH(D99,'Borrowers'!$C$9:$C$108,0))),""))</x:f>
      </x:c>
      <x:c r="H99" s="40"/>
      <x:c r="I99" s="23" t="str">
        <x:f>IF(C99="","",IF(OR(F99="Corporate private",F99="Corporate listed"),IFERROR(IF(INDEX('Borrowers'!$M$9:$M$108,MATCH(D99,'Borrowers'!$C$9:$C$108,0))="","",INDEX('Borrowers'!$M$9:$M$108,MATCH(D99,'Borrowers'!$C$9:$C$108,0))),""),IF(F99="Project finance",IF(ISNUMBER(AO99),AO99,""),"")))</x:f>
      </x:c>
      <x:c r="J99" s="23" t="str">
        <x:f>IF(C99="","",IF(OR(F99="Corporate private",F99="Corporate listed"),IFERROR(IF(INDEX('Borrowers'!$N$9:$N$108,MATCH(D99,'Borrowers'!$C$9:$C$108,0))="","",INDEX('Borrowers'!$N$9:$N$108,MATCH(D99,'Borrowers'!$C$9:$C$108,0))),""),IF(F99="Project finance",IF(ISNUMBER(AP99),AP99,""),"")))</x:f>
      </x:c>
      <x:c r="K99" s="23" t="str">
        <x:f>IF(C99="","",IF(F99="Corporate listed",IFERROR(IF(INDEX('Borrowers'!$O$9:$O$108,MATCH(D99,'Borrowers'!$C$9:$C$108,0))="","",INDEX('Borrowers'!$O$9:$O$108,MATCH(D99,'Borrowers'!$C$9:$C$108,0))),""),""))</x:f>
      </x:c>
      <x:c r="L99" s="16"/>
      <x:c r="M99" s="8"/>
      <x:c r="N99" s="21" t="str">
        <x:f>IF(C99="","",IF(F99="Corporate listed",IF(ISNUMBER(K99),K99,""),IF(OR(F99="Corporate private",F99="Project finance"),IF(AND(ISNUMBER(I99),ISNUMBER(J99)),MAX(I99,0)+J99,""),IF(OR(F99="CRE",F99="Mortgage",F99="Motor"),IF(ISNUMBER(L99),L99,""),""))))</x:f>
      </x:c>
      <x:c r="O99" s="8"/>
      <x:c r="P99" s="40"/>
      <x:c r="Q99" s="8"/>
      <x:c r="R99" s="16"/>
      <x:c r="S99" s="8"/>
      <x:c r="T99" s="23" t="str">
        <x:f>IF(V99="Ready",IF(Q99="Activity",SUMIFS('Activity Data'!$U$9:$U$308,'Activity Data'!$D$9:$D$308,C99,'Activity Data'!$F$9:$F$308,"S1"),R99),"")</x:f>
      </x:c>
      <x:c r="U99" s="44" t="str">
        <x:f>IF(V99&lt;&gt;"Ready","",IF(Q99="Reported verified",1,IF(Q99="Reported unverified",2,IF(F99="Motor",1,2))))</x:f>
      </x:c>
      <x:c r="V99" s="9" t="str">
        <x:f>IF(C99="","",IF(Q99="Not assessed","Not assessed",IF(OR(O99="",NOT(ISNUMBER(H99)),NOT(ISNUMBER(P99))),"Evidence required",IF(OR(P99&lt;'Settings'!$F$8,H99&gt;'Settings'!$F$8,YEAR(H99)&lt;&gt;YEAR('Settings'!$F$8)),"Period / expiry review",IF(S99&lt;&gt;"Yes","Boundary incomplete",IF(OR(Q99="Reported verified",Q99="Reported unverified"),IF(NOT(OR(F99="Corporate private",F99="Corporate listed",F99="Project finance")),"Asset method required",IF(OR(NOT(ISNUMBER(R99)),R99&lt;0),"Reported value required","Ready")),IF(Q99="Activity",IF(AND(COUNTIFS('Activity Data'!$D$9:$D$308,C99,'Activity Data'!$F$9:$F$308,"S1")&gt;0,COUNTIFS('Activity Data'!$D$9:$D$308,C99,'Activity Data'!$F$9:$F$308,"S1")=COUNTIFS('Activity Data'!$D$9:$D$308,C99,'Activity Data'!$F$9:$F$308,"S1",'Activity Data'!$V$9:$V$308,"Ready")),"Ready","Activity incomplete"),"Method required")))))))</x:f>
      </x:c>
      <x:c r="W99" s="8"/>
      <x:c r="X99" s="16"/>
      <x:c r="Y99" s="8"/>
      <x:c r="Z99" s="23" t="str">
        <x:f>IF(AB99="Ready",IF(W99="Activity",SUMIFS('Activity Data'!$U$9:$U$308,'Activity Data'!$D$9:$D$308,C99,'Activity Data'!$F$9:$F$308,"S2"),X99),"")</x:f>
      </x:c>
      <x:c r="AA99" s="44" t="str">
        <x:f>IF(AB99&lt;&gt;"Ready","",IF(W99="Reported verified",1,IF(W99="Reported unverified",2,IF(F99="Motor",1,2))))</x:f>
      </x:c>
      <x:c r="AB99" s="9" t="str">
        <x:f>IF(C99="","",IF(W99="Not assessed","Not assessed",IF(OR(O99="",NOT(ISNUMBER(H99)),NOT(ISNUMBER(P99))),"Evidence required",IF(OR(P99&lt;'Settings'!$F$8,H99&gt;'Settings'!$F$8,YEAR(H99)&lt;&gt;YEAR('Settings'!$F$8)),"Period / expiry review",IF(Y99&lt;&gt;"Yes","Boundary incomplete",IF(OR(AND(AC99&lt;&gt;"Location-based",AC99&lt;&gt;"Market-based"),AND(W99="Activity",AC99&lt;&gt;"Location-based")),"S2 basis mismatch",IF(OR(W99="Reported verified",W99="Reported unverified"),IF(NOT(OR(F99="Corporate private",F99="Corporate listed",F99="Project finance")),"Asset method required",IF(OR(NOT(ISNUMBER(X99)),X99&lt;0),"Reported value required","Ready")),IF(W99="Activity",IF(AND(COUNTIFS('Activity Data'!$D$9:$D$308,C99,'Activity Data'!$F$9:$F$308,"S2")&gt;0,COUNTIFS('Activity Data'!$D$9:$D$308,C99,'Activity Data'!$F$9:$F$308,"S2")=COUNTIFS('Activity Data'!$D$9:$D$308,C99,'Activity Data'!$F$9:$F$308,"S2",'Activity Data'!$V$9:$V$308,"Ready")),"Ready","Activity incomplete"),"Method required"))))))))</x:f>
      </x:c>
      <x:c r="AC99" s="8"/>
      <x:c r="AD99" s="8"/>
      <x:c r="AE99" s="16"/>
      <x:c r="AF99" s="8"/>
      <x:c r="AG99" s="23" t="str">
        <x:f>IF(AI99="Ready",IF(AD99="Activity",SUMIFS('Activity Data'!$U$9:$U$308,'Activity Data'!$D$9:$D$308,C99,'Activity Data'!$F$9:$F$308,"S3"),AE99),"")</x:f>
      </x:c>
      <x:c r="AH99" s="44" t="str">
        <x:f>IF(AI99&lt;&gt;"Ready","",IF(AD99="Reported verified",1,IF(AD99="Reported unverified",2,IF(F99="Motor",1,2))))</x:f>
      </x:c>
      <x:c r="AI99" s="9" t="str">
        <x:f>IF(C99="","",IF(AD99="Not assessed","Not assessed",IF(OR(O99="",NOT(ISNUMBER(H99)),NOT(ISNUMBER(P99))),"Evidence required",IF(OR(P99&lt;'Settings'!$F$8,H99&gt;'Settings'!$F$8,YEAR(H99)&lt;&gt;YEAR('Settings'!$F$8)),"Period / expiry review",IF(AF99&lt;&gt;"Yes","Boundary incomplete",IF(AM99="","S3 screening required",IF(OR(AD99="Reported verified",AD99="Reported unverified"),IF(NOT(OR(F99="Corporate private",F99="Corporate listed",F99="Project finance")),"Asset method required",IF(OR(NOT(ISNUMBER(AE99)),AE99&lt;0),"Reported value required","Ready")),"Scope 3 method required")))))))</x:f>
      </x:c>
      <x:c r="AJ99" s="9" t="str">
        <x:f>IF(C99="","",IF(OR(F99="Corporate private",F99="Corporate listed"),IFERROR(IF(INDEX('Borrowers'!$X$9:$X$108,MATCH(D99,'Borrowers'!$C$9:$C$108,0))="","",INDEX('Borrowers'!$X$9:$X$108,MATCH(D99,'Borrowers'!$C$9:$C$108,0))),""),IF(AQ99="","",AQ99)))</x:f>
      </x:c>
      <x:c r="AK99" s="43" t="str">
        <x:f>IF(C99="","",IF(OR(F99="Corporate private",F99="Corporate listed"),IFERROR(IF(INDEX('Borrowers'!$H$9:$H$108,MATCH(D99,'Borrowers'!$C$9:$C$108,0))="","",INDEX('Borrowers'!$H$9:$H$108,MATCH(D99,'Borrowers'!$C$9:$C$108,0))),""),IF(AR99="","",AR99)))</x:f>
      </x:c>
      <x:c r="AL99" s="9" t="str">
        <x:f>IF(C99="","",IF(COUNTIFS($C$9:$C$108,C99)&lt;&gt;1,"Duplicate entity ID",IF(COUNTIFS('Borrowers'!$C$9:$C$108,D99)&lt;&gt;1,"Borrower required",IF(AND(F99&lt;&gt;"Corporate private",F99&lt;&gt;"Corporate listed",F99&lt;&gt;"Project finance",F99&lt;&gt;"CRE",F99&lt;&gt;"Mortgage",F99&lt;&gt;"Motor"),"Method required",IF(OR(AND(F99="Corporate private",IFERROR(IF(INDEX('Borrowers'!$G$9:$G$108,MATCH(D99,'Borrowers'!$C$9:$C$108,0))="","",INDEX('Borrowers'!$G$9:$G$108,MATCH(D99,'Borrowers'!$C$9:$C$108,0))),"")&lt;&gt;"Private"),AND(F99="Corporate listed",IFERROR(IF(INDEX('Borrowers'!$G$9:$G$108,MATCH(D99,'Borrowers'!$C$9:$C$108,0))="","",INDEX('Borrowers'!$G$9:$G$108,MATCH(D99,'Borrowers'!$C$9:$C$108,0))),"")&lt;&gt;"Listed")),"Listing / class mismatch",IF(OR(NOT(ISNUMBER(N99)),N99&lt;=0,AJ99="",NOT(ISNUMBER(AK99))),"Value evidence required",IF(AND(OR(F99="Corporate private",F99="Corporate listed"),IFERROR(IF(INDEX('Borrowers'!$Y$9:$Y$108,MATCH(D99,'Borrowers'!$C$9:$C$108,0))="","",INDEX('Borrowers'!$Y$9:$Y$108,MATCH(D99,'Borrowers'!$C$9:$C$108,0))),"")&lt;'Settings'!$F$8),"Expired financial evidence",IF(AK99&gt;'Settings'!$F$8,"Future value date",IF(OR(AND(OR(F99="Corporate private",F99="Project finance"),OR(J99&lt;0,M99&lt;&gt;"Current financials")),AND(F99="Corporate listed",M99&lt;&gt;"Current financials"),AND(OR(F99="CRE",F99="Mortgage",F99="Motor"),AND(M99&lt;&gt;"Origination",M99&lt;&gt;"Fixed fallback"))),"Value basis review",IF(AND(M99="Current financials",YEAR(AK99)&lt;&gt;YEAR('Settings'!$F$8)),"Stale financial period","Ready"))))))))))</x:f>
      </x:c>
      <x:c r="AM99" s="8"/>
      <x:c r="AN99" s="8"/>
      <x:c r="AO99" s="16"/>
      <x:c r="AP99" s="16"/>
      <x:c r="AQ99" s="8"/>
      <x:c r="AR99" s="40"/>
    </x:row>
    <x:row r="100" ht="40" customHeight="1">
      <x:c r="A100" s="1"/>
      <x:c r="B100" s="1"/>
      <x:c r="C100" s="8"/>
      <x:c r="D100" s="8"/>
      <x:c r="E100" s="8"/>
      <x:c r="F100" s="8"/>
      <x:c r="G100" s="9" t="str">
        <x:f>IF(C100="","",IFERROR(IF(INDEX('Borrowers'!$E$9:$E$108,MATCH(D100,'Borrowers'!$C$9:$C$108,0))="","",INDEX('Borrowers'!$E$9:$E$108,MATCH(D100,'Borrowers'!$C$9:$C$108,0))),""))</x:f>
      </x:c>
      <x:c r="H100" s="40"/>
      <x:c r="I100" s="23" t="str">
        <x:f>IF(C100="","",IF(OR(F100="Corporate private",F100="Corporate listed"),IFERROR(IF(INDEX('Borrowers'!$M$9:$M$108,MATCH(D100,'Borrowers'!$C$9:$C$108,0))="","",INDEX('Borrowers'!$M$9:$M$108,MATCH(D100,'Borrowers'!$C$9:$C$108,0))),""),IF(F100="Project finance",IF(ISNUMBER(AO100),AO100,""),"")))</x:f>
      </x:c>
      <x:c r="J100" s="23" t="str">
        <x:f>IF(C100="","",IF(OR(F100="Corporate private",F100="Corporate listed"),IFERROR(IF(INDEX('Borrowers'!$N$9:$N$108,MATCH(D100,'Borrowers'!$C$9:$C$108,0))="","",INDEX('Borrowers'!$N$9:$N$108,MATCH(D100,'Borrowers'!$C$9:$C$108,0))),""),IF(F100="Project finance",IF(ISNUMBER(AP100),AP100,""),"")))</x:f>
      </x:c>
      <x:c r="K100" s="23" t="str">
        <x:f>IF(C100="","",IF(F100="Corporate listed",IFERROR(IF(INDEX('Borrowers'!$O$9:$O$108,MATCH(D100,'Borrowers'!$C$9:$C$108,0))="","",INDEX('Borrowers'!$O$9:$O$108,MATCH(D100,'Borrowers'!$C$9:$C$108,0))),""),""))</x:f>
      </x:c>
      <x:c r="L100" s="16"/>
      <x:c r="M100" s="8"/>
      <x:c r="N100" s="21" t="str">
        <x:f>IF(C100="","",IF(F100="Corporate listed",IF(ISNUMBER(K100),K100,""),IF(OR(F100="Corporate private",F100="Project finance"),IF(AND(ISNUMBER(I100),ISNUMBER(J100)),MAX(I100,0)+J100,""),IF(OR(F100="CRE",F100="Mortgage",F100="Motor"),IF(ISNUMBER(L100),L100,""),""))))</x:f>
      </x:c>
      <x:c r="O100" s="8"/>
      <x:c r="P100" s="40"/>
      <x:c r="Q100" s="8"/>
      <x:c r="R100" s="16"/>
      <x:c r="S100" s="8"/>
      <x:c r="T100" s="23" t="str">
        <x:f>IF(V100="Ready",IF(Q100="Activity",SUMIFS('Activity Data'!$U$9:$U$308,'Activity Data'!$D$9:$D$308,C100,'Activity Data'!$F$9:$F$308,"S1"),R100),"")</x:f>
      </x:c>
      <x:c r="U100" s="44" t="str">
        <x:f>IF(V100&lt;&gt;"Ready","",IF(Q100="Reported verified",1,IF(Q100="Reported unverified",2,IF(F100="Motor",1,2))))</x:f>
      </x:c>
      <x:c r="V100" s="9" t="str">
        <x:f>IF(C100="","",IF(Q100="Not assessed","Not assessed",IF(OR(O100="",NOT(ISNUMBER(H100)),NOT(ISNUMBER(P100))),"Evidence required",IF(OR(P100&lt;'Settings'!$F$8,H100&gt;'Settings'!$F$8,YEAR(H100)&lt;&gt;YEAR('Settings'!$F$8)),"Period / expiry review",IF(S100&lt;&gt;"Yes","Boundary incomplete",IF(OR(Q100="Reported verified",Q100="Reported unverified"),IF(NOT(OR(F100="Corporate private",F100="Corporate listed",F100="Project finance")),"Asset method required",IF(OR(NOT(ISNUMBER(R100)),R100&lt;0),"Reported value required","Ready")),IF(Q100="Activity",IF(AND(COUNTIFS('Activity Data'!$D$9:$D$308,C100,'Activity Data'!$F$9:$F$308,"S1")&gt;0,COUNTIFS('Activity Data'!$D$9:$D$308,C100,'Activity Data'!$F$9:$F$308,"S1")=COUNTIFS('Activity Data'!$D$9:$D$308,C100,'Activity Data'!$F$9:$F$308,"S1",'Activity Data'!$V$9:$V$308,"Ready")),"Ready","Activity incomplete"),"Method required")))))))</x:f>
      </x:c>
      <x:c r="W100" s="8"/>
      <x:c r="X100" s="16"/>
      <x:c r="Y100" s="8"/>
      <x:c r="Z100" s="23" t="str">
        <x:f>IF(AB100="Ready",IF(W100="Activity",SUMIFS('Activity Data'!$U$9:$U$308,'Activity Data'!$D$9:$D$308,C100,'Activity Data'!$F$9:$F$308,"S2"),X100),"")</x:f>
      </x:c>
      <x:c r="AA100" s="44" t="str">
        <x:f>IF(AB100&lt;&gt;"Ready","",IF(W100="Reported verified",1,IF(W100="Reported unverified",2,IF(F100="Motor",1,2))))</x:f>
      </x:c>
      <x:c r="AB100" s="9" t="str">
        <x:f>IF(C100="","",IF(W100="Not assessed","Not assessed",IF(OR(O100="",NOT(ISNUMBER(H100)),NOT(ISNUMBER(P100))),"Evidence required",IF(OR(P100&lt;'Settings'!$F$8,H100&gt;'Settings'!$F$8,YEAR(H100)&lt;&gt;YEAR('Settings'!$F$8)),"Period / expiry review",IF(Y100&lt;&gt;"Yes","Boundary incomplete",IF(OR(AND(AC100&lt;&gt;"Location-based",AC100&lt;&gt;"Market-based"),AND(W100="Activity",AC100&lt;&gt;"Location-based")),"S2 basis mismatch",IF(OR(W100="Reported verified",W100="Reported unverified"),IF(NOT(OR(F100="Corporate private",F100="Corporate listed",F100="Project finance")),"Asset method required",IF(OR(NOT(ISNUMBER(X100)),X100&lt;0),"Reported value required","Ready")),IF(W100="Activity",IF(AND(COUNTIFS('Activity Data'!$D$9:$D$308,C100,'Activity Data'!$F$9:$F$308,"S2")&gt;0,COUNTIFS('Activity Data'!$D$9:$D$308,C100,'Activity Data'!$F$9:$F$308,"S2")=COUNTIFS('Activity Data'!$D$9:$D$308,C100,'Activity Data'!$F$9:$F$308,"S2",'Activity Data'!$V$9:$V$308,"Ready")),"Ready","Activity incomplete"),"Method required"))))))))</x:f>
      </x:c>
      <x:c r="AC100" s="8"/>
      <x:c r="AD100" s="8"/>
      <x:c r="AE100" s="16"/>
      <x:c r="AF100" s="8"/>
      <x:c r="AG100" s="23" t="str">
        <x:f>IF(AI100="Ready",IF(AD100="Activity",SUMIFS('Activity Data'!$U$9:$U$308,'Activity Data'!$D$9:$D$308,C100,'Activity Data'!$F$9:$F$308,"S3"),AE100),"")</x:f>
      </x:c>
      <x:c r="AH100" s="44" t="str">
        <x:f>IF(AI100&lt;&gt;"Ready","",IF(AD100="Reported verified",1,IF(AD100="Reported unverified",2,IF(F100="Motor",1,2))))</x:f>
      </x:c>
      <x:c r="AI100" s="9" t="str">
        <x:f>IF(C100="","",IF(AD100="Not assessed","Not assessed",IF(OR(O100="",NOT(ISNUMBER(H100)),NOT(ISNUMBER(P100))),"Evidence required",IF(OR(P100&lt;'Settings'!$F$8,H100&gt;'Settings'!$F$8,YEAR(H100)&lt;&gt;YEAR('Settings'!$F$8)),"Period / expiry review",IF(AF100&lt;&gt;"Yes","Boundary incomplete",IF(AM100="","S3 screening required",IF(OR(AD100="Reported verified",AD100="Reported unverified"),IF(NOT(OR(F100="Corporate private",F100="Corporate listed",F100="Project finance")),"Asset method required",IF(OR(NOT(ISNUMBER(AE100)),AE100&lt;0),"Reported value required","Ready")),"Scope 3 method required")))))))</x:f>
      </x:c>
      <x:c r="AJ100" s="9" t="str">
        <x:f>IF(C100="","",IF(OR(F100="Corporate private",F100="Corporate listed"),IFERROR(IF(INDEX('Borrowers'!$X$9:$X$108,MATCH(D100,'Borrowers'!$C$9:$C$108,0))="","",INDEX('Borrowers'!$X$9:$X$108,MATCH(D100,'Borrowers'!$C$9:$C$108,0))),""),IF(AQ100="","",AQ100)))</x:f>
      </x:c>
      <x:c r="AK100" s="43" t="str">
        <x:f>IF(C100="","",IF(OR(F100="Corporate private",F100="Corporate listed"),IFERROR(IF(INDEX('Borrowers'!$H$9:$H$108,MATCH(D100,'Borrowers'!$C$9:$C$108,0))="","",INDEX('Borrowers'!$H$9:$H$108,MATCH(D100,'Borrowers'!$C$9:$C$108,0))),""),IF(AR100="","",AR100)))</x:f>
      </x:c>
      <x:c r="AL100" s="9" t="str">
        <x:f>IF(C100="","",IF(COUNTIFS($C$9:$C$108,C100)&lt;&gt;1,"Duplicate entity ID",IF(COUNTIFS('Borrowers'!$C$9:$C$108,D100)&lt;&gt;1,"Borrower required",IF(AND(F100&lt;&gt;"Corporate private",F100&lt;&gt;"Corporate listed",F100&lt;&gt;"Project finance",F100&lt;&gt;"CRE",F100&lt;&gt;"Mortgage",F100&lt;&gt;"Motor"),"Method required",IF(OR(AND(F100="Corporate private",IFERROR(IF(INDEX('Borrowers'!$G$9:$G$108,MATCH(D100,'Borrowers'!$C$9:$C$108,0))="","",INDEX('Borrowers'!$G$9:$G$108,MATCH(D100,'Borrowers'!$C$9:$C$108,0))),"")&lt;&gt;"Private"),AND(F100="Corporate listed",IFERROR(IF(INDEX('Borrowers'!$G$9:$G$108,MATCH(D100,'Borrowers'!$C$9:$C$108,0))="","",INDEX('Borrowers'!$G$9:$G$108,MATCH(D100,'Borrowers'!$C$9:$C$108,0))),"")&lt;&gt;"Listed")),"Listing / class mismatch",IF(OR(NOT(ISNUMBER(N100)),N100&lt;=0,AJ100="",NOT(ISNUMBER(AK100))),"Value evidence required",IF(AND(OR(F100="Corporate private",F100="Corporate listed"),IFERROR(IF(INDEX('Borrowers'!$Y$9:$Y$108,MATCH(D100,'Borrowers'!$C$9:$C$108,0))="","",INDEX('Borrowers'!$Y$9:$Y$108,MATCH(D100,'Borrowers'!$C$9:$C$108,0))),"")&lt;'Settings'!$F$8),"Expired financial evidence",IF(AK100&gt;'Settings'!$F$8,"Future value date",IF(OR(AND(OR(F100="Corporate private",F100="Project finance"),OR(J100&lt;0,M100&lt;&gt;"Current financials")),AND(F100="Corporate listed",M100&lt;&gt;"Current financials"),AND(OR(F100="CRE",F100="Mortgage",F100="Motor"),AND(M100&lt;&gt;"Origination",M100&lt;&gt;"Fixed fallback"))),"Value basis review",IF(AND(M100="Current financials",YEAR(AK100)&lt;&gt;YEAR('Settings'!$F$8)),"Stale financial period","Ready"))))))))))</x:f>
      </x:c>
      <x:c r="AM100" s="8"/>
      <x:c r="AN100" s="8"/>
      <x:c r="AO100" s="16"/>
      <x:c r="AP100" s="16"/>
      <x:c r="AQ100" s="8"/>
      <x:c r="AR100" s="40"/>
    </x:row>
    <x:row r="101" ht="40" customHeight="1">
      <x:c r="A101" s="1"/>
      <x:c r="B101" s="1"/>
      <x:c r="C101" s="8"/>
      <x:c r="D101" s="8"/>
      <x:c r="E101" s="8"/>
      <x:c r="F101" s="8"/>
      <x:c r="G101" s="9" t="str">
        <x:f>IF(C101="","",IFERROR(IF(INDEX('Borrowers'!$E$9:$E$108,MATCH(D101,'Borrowers'!$C$9:$C$108,0))="","",INDEX('Borrowers'!$E$9:$E$108,MATCH(D101,'Borrowers'!$C$9:$C$108,0))),""))</x:f>
      </x:c>
      <x:c r="H101" s="40"/>
      <x:c r="I101" s="23" t="str">
        <x:f>IF(C101="","",IF(OR(F101="Corporate private",F101="Corporate listed"),IFERROR(IF(INDEX('Borrowers'!$M$9:$M$108,MATCH(D101,'Borrowers'!$C$9:$C$108,0))="","",INDEX('Borrowers'!$M$9:$M$108,MATCH(D101,'Borrowers'!$C$9:$C$108,0))),""),IF(F101="Project finance",IF(ISNUMBER(AO101),AO101,""),"")))</x:f>
      </x:c>
      <x:c r="J101" s="23" t="str">
        <x:f>IF(C101="","",IF(OR(F101="Corporate private",F101="Corporate listed"),IFERROR(IF(INDEX('Borrowers'!$N$9:$N$108,MATCH(D101,'Borrowers'!$C$9:$C$108,0))="","",INDEX('Borrowers'!$N$9:$N$108,MATCH(D101,'Borrowers'!$C$9:$C$108,0))),""),IF(F101="Project finance",IF(ISNUMBER(AP101),AP101,""),"")))</x:f>
      </x:c>
      <x:c r="K101" s="23" t="str">
        <x:f>IF(C101="","",IF(F101="Corporate listed",IFERROR(IF(INDEX('Borrowers'!$O$9:$O$108,MATCH(D101,'Borrowers'!$C$9:$C$108,0))="","",INDEX('Borrowers'!$O$9:$O$108,MATCH(D101,'Borrowers'!$C$9:$C$108,0))),""),""))</x:f>
      </x:c>
      <x:c r="L101" s="16"/>
      <x:c r="M101" s="8"/>
      <x:c r="N101" s="21" t="str">
        <x:f>IF(C101="","",IF(F101="Corporate listed",IF(ISNUMBER(K101),K101,""),IF(OR(F101="Corporate private",F101="Project finance"),IF(AND(ISNUMBER(I101),ISNUMBER(J101)),MAX(I101,0)+J101,""),IF(OR(F101="CRE",F101="Mortgage",F101="Motor"),IF(ISNUMBER(L101),L101,""),""))))</x:f>
      </x:c>
      <x:c r="O101" s="8"/>
      <x:c r="P101" s="40"/>
      <x:c r="Q101" s="8"/>
      <x:c r="R101" s="16"/>
      <x:c r="S101" s="8"/>
      <x:c r="T101" s="23" t="str">
        <x:f>IF(V101="Ready",IF(Q101="Activity",SUMIFS('Activity Data'!$U$9:$U$308,'Activity Data'!$D$9:$D$308,C101,'Activity Data'!$F$9:$F$308,"S1"),R101),"")</x:f>
      </x:c>
      <x:c r="U101" s="44" t="str">
        <x:f>IF(V101&lt;&gt;"Ready","",IF(Q101="Reported verified",1,IF(Q101="Reported unverified",2,IF(F101="Motor",1,2))))</x:f>
      </x:c>
      <x:c r="V101" s="9" t="str">
        <x:f>IF(C101="","",IF(Q101="Not assessed","Not assessed",IF(OR(O101="",NOT(ISNUMBER(H101)),NOT(ISNUMBER(P101))),"Evidence required",IF(OR(P101&lt;'Settings'!$F$8,H101&gt;'Settings'!$F$8,YEAR(H101)&lt;&gt;YEAR('Settings'!$F$8)),"Period / expiry review",IF(S101&lt;&gt;"Yes","Boundary incomplete",IF(OR(Q101="Reported verified",Q101="Reported unverified"),IF(NOT(OR(F101="Corporate private",F101="Corporate listed",F101="Project finance")),"Asset method required",IF(OR(NOT(ISNUMBER(R101)),R101&lt;0),"Reported value required","Ready")),IF(Q101="Activity",IF(AND(COUNTIFS('Activity Data'!$D$9:$D$308,C101,'Activity Data'!$F$9:$F$308,"S1")&gt;0,COUNTIFS('Activity Data'!$D$9:$D$308,C101,'Activity Data'!$F$9:$F$308,"S1")=COUNTIFS('Activity Data'!$D$9:$D$308,C101,'Activity Data'!$F$9:$F$308,"S1",'Activity Data'!$V$9:$V$308,"Ready")),"Ready","Activity incomplete"),"Method required")))))))</x:f>
      </x:c>
      <x:c r="W101" s="8"/>
      <x:c r="X101" s="16"/>
      <x:c r="Y101" s="8"/>
      <x:c r="Z101" s="23" t="str">
        <x:f>IF(AB101="Ready",IF(W101="Activity",SUMIFS('Activity Data'!$U$9:$U$308,'Activity Data'!$D$9:$D$308,C101,'Activity Data'!$F$9:$F$308,"S2"),X101),"")</x:f>
      </x:c>
      <x:c r="AA101" s="44" t="str">
        <x:f>IF(AB101&lt;&gt;"Ready","",IF(W101="Reported verified",1,IF(W101="Reported unverified",2,IF(F101="Motor",1,2))))</x:f>
      </x:c>
      <x:c r="AB101" s="9" t="str">
        <x:f>IF(C101="","",IF(W101="Not assessed","Not assessed",IF(OR(O101="",NOT(ISNUMBER(H101)),NOT(ISNUMBER(P101))),"Evidence required",IF(OR(P101&lt;'Settings'!$F$8,H101&gt;'Settings'!$F$8,YEAR(H101)&lt;&gt;YEAR('Settings'!$F$8)),"Period / expiry review",IF(Y101&lt;&gt;"Yes","Boundary incomplete",IF(OR(AND(AC101&lt;&gt;"Location-based",AC101&lt;&gt;"Market-based"),AND(W101="Activity",AC101&lt;&gt;"Location-based")),"S2 basis mismatch",IF(OR(W101="Reported verified",W101="Reported unverified"),IF(NOT(OR(F101="Corporate private",F101="Corporate listed",F101="Project finance")),"Asset method required",IF(OR(NOT(ISNUMBER(X101)),X101&lt;0),"Reported value required","Ready")),IF(W101="Activity",IF(AND(COUNTIFS('Activity Data'!$D$9:$D$308,C101,'Activity Data'!$F$9:$F$308,"S2")&gt;0,COUNTIFS('Activity Data'!$D$9:$D$308,C101,'Activity Data'!$F$9:$F$308,"S2")=COUNTIFS('Activity Data'!$D$9:$D$308,C101,'Activity Data'!$F$9:$F$308,"S2",'Activity Data'!$V$9:$V$308,"Ready")),"Ready","Activity incomplete"),"Method required"))))))))</x:f>
      </x:c>
      <x:c r="AC101" s="8"/>
      <x:c r="AD101" s="8"/>
      <x:c r="AE101" s="16"/>
      <x:c r="AF101" s="8"/>
      <x:c r="AG101" s="23" t="str">
        <x:f>IF(AI101="Ready",IF(AD101="Activity",SUMIFS('Activity Data'!$U$9:$U$308,'Activity Data'!$D$9:$D$308,C101,'Activity Data'!$F$9:$F$308,"S3"),AE101),"")</x:f>
      </x:c>
      <x:c r="AH101" s="44" t="str">
        <x:f>IF(AI101&lt;&gt;"Ready","",IF(AD101="Reported verified",1,IF(AD101="Reported unverified",2,IF(F101="Motor",1,2))))</x:f>
      </x:c>
      <x:c r="AI101" s="9" t="str">
        <x:f>IF(C101="","",IF(AD101="Not assessed","Not assessed",IF(OR(O101="",NOT(ISNUMBER(H101)),NOT(ISNUMBER(P101))),"Evidence required",IF(OR(P101&lt;'Settings'!$F$8,H101&gt;'Settings'!$F$8,YEAR(H101)&lt;&gt;YEAR('Settings'!$F$8)),"Period / expiry review",IF(AF101&lt;&gt;"Yes","Boundary incomplete",IF(AM101="","S3 screening required",IF(OR(AD101="Reported verified",AD101="Reported unverified"),IF(NOT(OR(F101="Corporate private",F101="Corporate listed",F101="Project finance")),"Asset method required",IF(OR(NOT(ISNUMBER(AE101)),AE101&lt;0),"Reported value required","Ready")),"Scope 3 method required")))))))</x:f>
      </x:c>
      <x:c r="AJ101" s="9" t="str">
        <x:f>IF(C101="","",IF(OR(F101="Corporate private",F101="Corporate listed"),IFERROR(IF(INDEX('Borrowers'!$X$9:$X$108,MATCH(D101,'Borrowers'!$C$9:$C$108,0))="","",INDEX('Borrowers'!$X$9:$X$108,MATCH(D101,'Borrowers'!$C$9:$C$108,0))),""),IF(AQ101="","",AQ101)))</x:f>
      </x:c>
      <x:c r="AK101" s="43" t="str">
        <x:f>IF(C101="","",IF(OR(F101="Corporate private",F101="Corporate listed"),IFERROR(IF(INDEX('Borrowers'!$H$9:$H$108,MATCH(D101,'Borrowers'!$C$9:$C$108,0))="","",INDEX('Borrowers'!$H$9:$H$108,MATCH(D101,'Borrowers'!$C$9:$C$108,0))),""),IF(AR101="","",AR101)))</x:f>
      </x:c>
      <x:c r="AL101" s="9" t="str">
        <x:f>IF(C101="","",IF(COUNTIFS($C$9:$C$108,C101)&lt;&gt;1,"Duplicate entity ID",IF(COUNTIFS('Borrowers'!$C$9:$C$108,D101)&lt;&gt;1,"Borrower required",IF(AND(F101&lt;&gt;"Corporate private",F101&lt;&gt;"Corporate listed",F101&lt;&gt;"Project finance",F101&lt;&gt;"CRE",F101&lt;&gt;"Mortgage",F101&lt;&gt;"Motor"),"Method required",IF(OR(AND(F101="Corporate private",IFERROR(IF(INDEX('Borrowers'!$G$9:$G$108,MATCH(D101,'Borrowers'!$C$9:$C$108,0))="","",INDEX('Borrowers'!$G$9:$G$108,MATCH(D101,'Borrowers'!$C$9:$C$108,0))),"")&lt;&gt;"Private"),AND(F101="Corporate listed",IFERROR(IF(INDEX('Borrowers'!$G$9:$G$108,MATCH(D101,'Borrowers'!$C$9:$C$108,0))="","",INDEX('Borrowers'!$G$9:$G$108,MATCH(D101,'Borrowers'!$C$9:$C$108,0))),"")&lt;&gt;"Listed")),"Listing / class mismatch",IF(OR(NOT(ISNUMBER(N101)),N101&lt;=0,AJ101="",NOT(ISNUMBER(AK101))),"Value evidence required",IF(AND(OR(F101="Corporate private",F101="Corporate listed"),IFERROR(IF(INDEX('Borrowers'!$Y$9:$Y$108,MATCH(D101,'Borrowers'!$C$9:$C$108,0))="","",INDEX('Borrowers'!$Y$9:$Y$108,MATCH(D101,'Borrowers'!$C$9:$C$108,0))),"")&lt;'Settings'!$F$8),"Expired financial evidence",IF(AK101&gt;'Settings'!$F$8,"Future value date",IF(OR(AND(OR(F101="Corporate private",F101="Project finance"),OR(J101&lt;0,M101&lt;&gt;"Current financials")),AND(F101="Corporate listed",M101&lt;&gt;"Current financials"),AND(OR(F101="CRE",F101="Mortgage",F101="Motor"),AND(M101&lt;&gt;"Origination",M101&lt;&gt;"Fixed fallback"))),"Value basis review",IF(AND(M101="Current financials",YEAR(AK101)&lt;&gt;YEAR('Settings'!$F$8)),"Stale financial period","Ready"))))))))))</x:f>
      </x:c>
      <x:c r="AM101" s="8"/>
      <x:c r="AN101" s="8"/>
      <x:c r="AO101" s="16"/>
      <x:c r="AP101" s="16"/>
      <x:c r="AQ101" s="8"/>
      <x:c r="AR101" s="40"/>
    </x:row>
    <x:row r="102" ht="40" customHeight="1">
      <x:c r="A102" s="1"/>
      <x:c r="B102" s="1"/>
      <x:c r="C102" s="8"/>
      <x:c r="D102" s="8"/>
      <x:c r="E102" s="8"/>
      <x:c r="F102" s="8"/>
      <x:c r="G102" s="9" t="str">
        <x:f>IF(C102="","",IFERROR(IF(INDEX('Borrowers'!$E$9:$E$108,MATCH(D102,'Borrowers'!$C$9:$C$108,0))="","",INDEX('Borrowers'!$E$9:$E$108,MATCH(D102,'Borrowers'!$C$9:$C$108,0))),""))</x:f>
      </x:c>
      <x:c r="H102" s="40"/>
      <x:c r="I102" s="23" t="str">
        <x:f>IF(C102="","",IF(OR(F102="Corporate private",F102="Corporate listed"),IFERROR(IF(INDEX('Borrowers'!$M$9:$M$108,MATCH(D102,'Borrowers'!$C$9:$C$108,0))="","",INDEX('Borrowers'!$M$9:$M$108,MATCH(D102,'Borrowers'!$C$9:$C$108,0))),""),IF(F102="Project finance",IF(ISNUMBER(AO102),AO102,""),"")))</x:f>
      </x:c>
      <x:c r="J102" s="23" t="str">
        <x:f>IF(C102="","",IF(OR(F102="Corporate private",F102="Corporate listed"),IFERROR(IF(INDEX('Borrowers'!$N$9:$N$108,MATCH(D102,'Borrowers'!$C$9:$C$108,0))="","",INDEX('Borrowers'!$N$9:$N$108,MATCH(D102,'Borrowers'!$C$9:$C$108,0))),""),IF(F102="Project finance",IF(ISNUMBER(AP102),AP102,""),"")))</x:f>
      </x:c>
      <x:c r="K102" s="23" t="str">
        <x:f>IF(C102="","",IF(F102="Corporate listed",IFERROR(IF(INDEX('Borrowers'!$O$9:$O$108,MATCH(D102,'Borrowers'!$C$9:$C$108,0))="","",INDEX('Borrowers'!$O$9:$O$108,MATCH(D102,'Borrowers'!$C$9:$C$108,0))),""),""))</x:f>
      </x:c>
      <x:c r="L102" s="16"/>
      <x:c r="M102" s="8"/>
      <x:c r="N102" s="21" t="str">
        <x:f>IF(C102="","",IF(F102="Corporate listed",IF(ISNUMBER(K102),K102,""),IF(OR(F102="Corporate private",F102="Project finance"),IF(AND(ISNUMBER(I102),ISNUMBER(J102)),MAX(I102,0)+J102,""),IF(OR(F102="CRE",F102="Mortgage",F102="Motor"),IF(ISNUMBER(L102),L102,""),""))))</x:f>
      </x:c>
      <x:c r="O102" s="8"/>
      <x:c r="P102" s="40"/>
      <x:c r="Q102" s="8"/>
      <x:c r="R102" s="16"/>
      <x:c r="S102" s="8"/>
      <x:c r="T102" s="23" t="str">
        <x:f>IF(V102="Ready",IF(Q102="Activity",SUMIFS('Activity Data'!$U$9:$U$308,'Activity Data'!$D$9:$D$308,C102,'Activity Data'!$F$9:$F$308,"S1"),R102),"")</x:f>
      </x:c>
      <x:c r="U102" s="44" t="str">
        <x:f>IF(V102&lt;&gt;"Ready","",IF(Q102="Reported verified",1,IF(Q102="Reported unverified",2,IF(F102="Motor",1,2))))</x:f>
      </x:c>
      <x:c r="V102" s="9" t="str">
        <x:f>IF(C102="","",IF(Q102="Not assessed","Not assessed",IF(OR(O102="",NOT(ISNUMBER(H102)),NOT(ISNUMBER(P102))),"Evidence required",IF(OR(P102&lt;'Settings'!$F$8,H102&gt;'Settings'!$F$8,YEAR(H102)&lt;&gt;YEAR('Settings'!$F$8)),"Period / expiry review",IF(S102&lt;&gt;"Yes","Boundary incomplete",IF(OR(Q102="Reported verified",Q102="Reported unverified"),IF(NOT(OR(F102="Corporate private",F102="Corporate listed",F102="Project finance")),"Asset method required",IF(OR(NOT(ISNUMBER(R102)),R102&lt;0),"Reported value required","Ready")),IF(Q102="Activity",IF(AND(COUNTIFS('Activity Data'!$D$9:$D$308,C102,'Activity Data'!$F$9:$F$308,"S1")&gt;0,COUNTIFS('Activity Data'!$D$9:$D$308,C102,'Activity Data'!$F$9:$F$308,"S1")=COUNTIFS('Activity Data'!$D$9:$D$308,C102,'Activity Data'!$F$9:$F$308,"S1",'Activity Data'!$V$9:$V$308,"Ready")),"Ready","Activity incomplete"),"Method required")))))))</x:f>
      </x:c>
      <x:c r="W102" s="8"/>
      <x:c r="X102" s="16"/>
      <x:c r="Y102" s="8"/>
      <x:c r="Z102" s="23" t="str">
        <x:f>IF(AB102="Ready",IF(W102="Activity",SUMIFS('Activity Data'!$U$9:$U$308,'Activity Data'!$D$9:$D$308,C102,'Activity Data'!$F$9:$F$308,"S2"),X102),"")</x:f>
      </x:c>
      <x:c r="AA102" s="44" t="str">
        <x:f>IF(AB102&lt;&gt;"Ready","",IF(W102="Reported verified",1,IF(W102="Reported unverified",2,IF(F102="Motor",1,2))))</x:f>
      </x:c>
      <x:c r="AB102" s="9" t="str">
        <x:f>IF(C102="","",IF(W102="Not assessed","Not assessed",IF(OR(O102="",NOT(ISNUMBER(H102)),NOT(ISNUMBER(P102))),"Evidence required",IF(OR(P102&lt;'Settings'!$F$8,H102&gt;'Settings'!$F$8,YEAR(H102)&lt;&gt;YEAR('Settings'!$F$8)),"Period / expiry review",IF(Y102&lt;&gt;"Yes","Boundary incomplete",IF(OR(AND(AC102&lt;&gt;"Location-based",AC102&lt;&gt;"Market-based"),AND(W102="Activity",AC102&lt;&gt;"Location-based")),"S2 basis mismatch",IF(OR(W102="Reported verified",W102="Reported unverified"),IF(NOT(OR(F102="Corporate private",F102="Corporate listed",F102="Project finance")),"Asset method required",IF(OR(NOT(ISNUMBER(X102)),X102&lt;0),"Reported value required","Ready")),IF(W102="Activity",IF(AND(COUNTIFS('Activity Data'!$D$9:$D$308,C102,'Activity Data'!$F$9:$F$308,"S2")&gt;0,COUNTIFS('Activity Data'!$D$9:$D$308,C102,'Activity Data'!$F$9:$F$308,"S2")=COUNTIFS('Activity Data'!$D$9:$D$308,C102,'Activity Data'!$F$9:$F$308,"S2",'Activity Data'!$V$9:$V$308,"Ready")),"Ready","Activity incomplete"),"Method required"))))))))</x:f>
      </x:c>
      <x:c r="AC102" s="8"/>
      <x:c r="AD102" s="8"/>
      <x:c r="AE102" s="16"/>
      <x:c r="AF102" s="8"/>
      <x:c r="AG102" s="23" t="str">
        <x:f>IF(AI102="Ready",IF(AD102="Activity",SUMIFS('Activity Data'!$U$9:$U$308,'Activity Data'!$D$9:$D$308,C102,'Activity Data'!$F$9:$F$308,"S3"),AE102),"")</x:f>
      </x:c>
      <x:c r="AH102" s="44" t="str">
        <x:f>IF(AI102&lt;&gt;"Ready","",IF(AD102="Reported verified",1,IF(AD102="Reported unverified",2,IF(F102="Motor",1,2))))</x:f>
      </x:c>
      <x:c r="AI102" s="9" t="str">
        <x:f>IF(C102="","",IF(AD102="Not assessed","Not assessed",IF(OR(O102="",NOT(ISNUMBER(H102)),NOT(ISNUMBER(P102))),"Evidence required",IF(OR(P102&lt;'Settings'!$F$8,H102&gt;'Settings'!$F$8,YEAR(H102)&lt;&gt;YEAR('Settings'!$F$8)),"Period / expiry review",IF(AF102&lt;&gt;"Yes","Boundary incomplete",IF(AM102="","S3 screening required",IF(OR(AD102="Reported verified",AD102="Reported unverified"),IF(NOT(OR(F102="Corporate private",F102="Corporate listed",F102="Project finance")),"Asset method required",IF(OR(NOT(ISNUMBER(AE102)),AE102&lt;0),"Reported value required","Ready")),"Scope 3 method required")))))))</x:f>
      </x:c>
      <x:c r="AJ102" s="9" t="str">
        <x:f>IF(C102="","",IF(OR(F102="Corporate private",F102="Corporate listed"),IFERROR(IF(INDEX('Borrowers'!$X$9:$X$108,MATCH(D102,'Borrowers'!$C$9:$C$108,0))="","",INDEX('Borrowers'!$X$9:$X$108,MATCH(D102,'Borrowers'!$C$9:$C$108,0))),""),IF(AQ102="","",AQ102)))</x:f>
      </x:c>
      <x:c r="AK102" s="43" t="str">
        <x:f>IF(C102="","",IF(OR(F102="Corporate private",F102="Corporate listed"),IFERROR(IF(INDEX('Borrowers'!$H$9:$H$108,MATCH(D102,'Borrowers'!$C$9:$C$108,0))="","",INDEX('Borrowers'!$H$9:$H$108,MATCH(D102,'Borrowers'!$C$9:$C$108,0))),""),IF(AR102="","",AR102)))</x:f>
      </x:c>
      <x:c r="AL102" s="9" t="str">
        <x:f>IF(C102="","",IF(COUNTIFS($C$9:$C$108,C102)&lt;&gt;1,"Duplicate entity ID",IF(COUNTIFS('Borrowers'!$C$9:$C$108,D102)&lt;&gt;1,"Borrower required",IF(AND(F102&lt;&gt;"Corporate private",F102&lt;&gt;"Corporate listed",F102&lt;&gt;"Project finance",F102&lt;&gt;"CRE",F102&lt;&gt;"Mortgage",F102&lt;&gt;"Motor"),"Method required",IF(OR(AND(F102="Corporate private",IFERROR(IF(INDEX('Borrowers'!$G$9:$G$108,MATCH(D102,'Borrowers'!$C$9:$C$108,0))="","",INDEX('Borrowers'!$G$9:$G$108,MATCH(D102,'Borrowers'!$C$9:$C$108,0))),"")&lt;&gt;"Private"),AND(F102="Corporate listed",IFERROR(IF(INDEX('Borrowers'!$G$9:$G$108,MATCH(D102,'Borrowers'!$C$9:$C$108,0))="","",INDEX('Borrowers'!$G$9:$G$108,MATCH(D102,'Borrowers'!$C$9:$C$108,0))),"")&lt;&gt;"Listed")),"Listing / class mismatch",IF(OR(NOT(ISNUMBER(N102)),N102&lt;=0,AJ102="",NOT(ISNUMBER(AK102))),"Value evidence required",IF(AND(OR(F102="Corporate private",F102="Corporate listed"),IFERROR(IF(INDEX('Borrowers'!$Y$9:$Y$108,MATCH(D102,'Borrowers'!$C$9:$C$108,0))="","",INDEX('Borrowers'!$Y$9:$Y$108,MATCH(D102,'Borrowers'!$C$9:$C$108,0))),"")&lt;'Settings'!$F$8),"Expired financial evidence",IF(AK102&gt;'Settings'!$F$8,"Future value date",IF(OR(AND(OR(F102="Corporate private",F102="Project finance"),OR(J102&lt;0,M102&lt;&gt;"Current financials")),AND(F102="Corporate listed",M102&lt;&gt;"Current financials"),AND(OR(F102="CRE",F102="Mortgage",F102="Motor"),AND(M102&lt;&gt;"Origination",M102&lt;&gt;"Fixed fallback"))),"Value basis review",IF(AND(M102="Current financials",YEAR(AK102)&lt;&gt;YEAR('Settings'!$F$8)),"Stale financial period","Ready"))))))))))</x:f>
      </x:c>
      <x:c r="AM102" s="8"/>
      <x:c r="AN102" s="8"/>
      <x:c r="AO102" s="16"/>
      <x:c r="AP102" s="16"/>
      <x:c r="AQ102" s="8"/>
      <x:c r="AR102" s="40"/>
    </x:row>
    <x:row r="103" ht="40" customHeight="1">
      <x:c r="A103" s="1"/>
      <x:c r="B103" s="1"/>
      <x:c r="C103" s="8"/>
      <x:c r="D103" s="8"/>
      <x:c r="E103" s="8"/>
      <x:c r="F103" s="8"/>
      <x:c r="G103" s="9" t="str">
        <x:f>IF(C103="","",IFERROR(IF(INDEX('Borrowers'!$E$9:$E$108,MATCH(D103,'Borrowers'!$C$9:$C$108,0))="","",INDEX('Borrowers'!$E$9:$E$108,MATCH(D103,'Borrowers'!$C$9:$C$108,0))),""))</x:f>
      </x:c>
      <x:c r="H103" s="40"/>
      <x:c r="I103" s="23" t="str">
        <x:f>IF(C103="","",IF(OR(F103="Corporate private",F103="Corporate listed"),IFERROR(IF(INDEX('Borrowers'!$M$9:$M$108,MATCH(D103,'Borrowers'!$C$9:$C$108,0))="","",INDEX('Borrowers'!$M$9:$M$108,MATCH(D103,'Borrowers'!$C$9:$C$108,0))),""),IF(F103="Project finance",IF(ISNUMBER(AO103),AO103,""),"")))</x:f>
      </x:c>
      <x:c r="J103" s="23" t="str">
        <x:f>IF(C103="","",IF(OR(F103="Corporate private",F103="Corporate listed"),IFERROR(IF(INDEX('Borrowers'!$N$9:$N$108,MATCH(D103,'Borrowers'!$C$9:$C$108,0))="","",INDEX('Borrowers'!$N$9:$N$108,MATCH(D103,'Borrowers'!$C$9:$C$108,0))),""),IF(F103="Project finance",IF(ISNUMBER(AP103),AP103,""),"")))</x:f>
      </x:c>
      <x:c r="K103" s="23" t="str">
        <x:f>IF(C103="","",IF(F103="Corporate listed",IFERROR(IF(INDEX('Borrowers'!$O$9:$O$108,MATCH(D103,'Borrowers'!$C$9:$C$108,0))="","",INDEX('Borrowers'!$O$9:$O$108,MATCH(D103,'Borrowers'!$C$9:$C$108,0))),""),""))</x:f>
      </x:c>
      <x:c r="L103" s="16"/>
      <x:c r="M103" s="8"/>
      <x:c r="N103" s="21" t="str">
        <x:f>IF(C103="","",IF(F103="Corporate listed",IF(ISNUMBER(K103),K103,""),IF(OR(F103="Corporate private",F103="Project finance"),IF(AND(ISNUMBER(I103),ISNUMBER(J103)),MAX(I103,0)+J103,""),IF(OR(F103="CRE",F103="Mortgage",F103="Motor"),IF(ISNUMBER(L103),L103,""),""))))</x:f>
      </x:c>
      <x:c r="O103" s="8"/>
      <x:c r="P103" s="40"/>
      <x:c r="Q103" s="8"/>
      <x:c r="R103" s="16"/>
      <x:c r="S103" s="8"/>
      <x:c r="T103" s="23" t="str">
        <x:f>IF(V103="Ready",IF(Q103="Activity",SUMIFS('Activity Data'!$U$9:$U$308,'Activity Data'!$D$9:$D$308,C103,'Activity Data'!$F$9:$F$308,"S1"),R103),"")</x:f>
      </x:c>
      <x:c r="U103" s="44" t="str">
        <x:f>IF(V103&lt;&gt;"Ready","",IF(Q103="Reported verified",1,IF(Q103="Reported unverified",2,IF(F103="Motor",1,2))))</x:f>
      </x:c>
      <x:c r="V103" s="9" t="str">
        <x:f>IF(C103="","",IF(Q103="Not assessed","Not assessed",IF(OR(O103="",NOT(ISNUMBER(H103)),NOT(ISNUMBER(P103))),"Evidence required",IF(OR(P103&lt;'Settings'!$F$8,H103&gt;'Settings'!$F$8,YEAR(H103)&lt;&gt;YEAR('Settings'!$F$8)),"Period / expiry review",IF(S103&lt;&gt;"Yes","Boundary incomplete",IF(OR(Q103="Reported verified",Q103="Reported unverified"),IF(NOT(OR(F103="Corporate private",F103="Corporate listed",F103="Project finance")),"Asset method required",IF(OR(NOT(ISNUMBER(R103)),R103&lt;0),"Reported value required","Ready")),IF(Q103="Activity",IF(AND(COUNTIFS('Activity Data'!$D$9:$D$308,C103,'Activity Data'!$F$9:$F$308,"S1")&gt;0,COUNTIFS('Activity Data'!$D$9:$D$308,C103,'Activity Data'!$F$9:$F$308,"S1")=COUNTIFS('Activity Data'!$D$9:$D$308,C103,'Activity Data'!$F$9:$F$308,"S1",'Activity Data'!$V$9:$V$308,"Ready")),"Ready","Activity incomplete"),"Method required")))))))</x:f>
      </x:c>
      <x:c r="W103" s="8"/>
      <x:c r="X103" s="16"/>
      <x:c r="Y103" s="8"/>
      <x:c r="Z103" s="23" t="str">
        <x:f>IF(AB103="Ready",IF(W103="Activity",SUMIFS('Activity Data'!$U$9:$U$308,'Activity Data'!$D$9:$D$308,C103,'Activity Data'!$F$9:$F$308,"S2"),X103),"")</x:f>
      </x:c>
      <x:c r="AA103" s="44" t="str">
        <x:f>IF(AB103&lt;&gt;"Ready","",IF(W103="Reported verified",1,IF(W103="Reported unverified",2,IF(F103="Motor",1,2))))</x:f>
      </x:c>
      <x:c r="AB103" s="9" t="str">
        <x:f>IF(C103="","",IF(W103="Not assessed","Not assessed",IF(OR(O103="",NOT(ISNUMBER(H103)),NOT(ISNUMBER(P103))),"Evidence required",IF(OR(P103&lt;'Settings'!$F$8,H103&gt;'Settings'!$F$8,YEAR(H103)&lt;&gt;YEAR('Settings'!$F$8)),"Period / expiry review",IF(Y103&lt;&gt;"Yes","Boundary incomplete",IF(OR(AND(AC103&lt;&gt;"Location-based",AC103&lt;&gt;"Market-based"),AND(W103="Activity",AC103&lt;&gt;"Location-based")),"S2 basis mismatch",IF(OR(W103="Reported verified",W103="Reported unverified"),IF(NOT(OR(F103="Corporate private",F103="Corporate listed",F103="Project finance")),"Asset method required",IF(OR(NOT(ISNUMBER(X103)),X103&lt;0),"Reported value required","Ready")),IF(W103="Activity",IF(AND(COUNTIFS('Activity Data'!$D$9:$D$308,C103,'Activity Data'!$F$9:$F$308,"S2")&gt;0,COUNTIFS('Activity Data'!$D$9:$D$308,C103,'Activity Data'!$F$9:$F$308,"S2")=COUNTIFS('Activity Data'!$D$9:$D$308,C103,'Activity Data'!$F$9:$F$308,"S2",'Activity Data'!$V$9:$V$308,"Ready")),"Ready","Activity incomplete"),"Method required"))))))))</x:f>
      </x:c>
      <x:c r="AC103" s="8"/>
      <x:c r="AD103" s="8"/>
      <x:c r="AE103" s="16"/>
      <x:c r="AF103" s="8"/>
      <x:c r="AG103" s="23" t="str">
        <x:f>IF(AI103="Ready",IF(AD103="Activity",SUMIFS('Activity Data'!$U$9:$U$308,'Activity Data'!$D$9:$D$308,C103,'Activity Data'!$F$9:$F$308,"S3"),AE103),"")</x:f>
      </x:c>
      <x:c r="AH103" s="44" t="str">
        <x:f>IF(AI103&lt;&gt;"Ready","",IF(AD103="Reported verified",1,IF(AD103="Reported unverified",2,IF(F103="Motor",1,2))))</x:f>
      </x:c>
      <x:c r="AI103" s="9" t="str">
        <x:f>IF(C103="","",IF(AD103="Not assessed","Not assessed",IF(OR(O103="",NOT(ISNUMBER(H103)),NOT(ISNUMBER(P103))),"Evidence required",IF(OR(P103&lt;'Settings'!$F$8,H103&gt;'Settings'!$F$8,YEAR(H103)&lt;&gt;YEAR('Settings'!$F$8)),"Period / expiry review",IF(AF103&lt;&gt;"Yes","Boundary incomplete",IF(AM103="","S3 screening required",IF(OR(AD103="Reported verified",AD103="Reported unverified"),IF(NOT(OR(F103="Corporate private",F103="Corporate listed",F103="Project finance")),"Asset method required",IF(OR(NOT(ISNUMBER(AE103)),AE103&lt;0),"Reported value required","Ready")),"Scope 3 method required")))))))</x:f>
      </x:c>
      <x:c r="AJ103" s="9" t="str">
        <x:f>IF(C103="","",IF(OR(F103="Corporate private",F103="Corporate listed"),IFERROR(IF(INDEX('Borrowers'!$X$9:$X$108,MATCH(D103,'Borrowers'!$C$9:$C$108,0))="","",INDEX('Borrowers'!$X$9:$X$108,MATCH(D103,'Borrowers'!$C$9:$C$108,0))),""),IF(AQ103="","",AQ103)))</x:f>
      </x:c>
      <x:c r="AK103" s="43" t="str">
        <x:f>IF(C103="","",IF(OR(F103="Corporate private",F103="Corporate listed"),IFERROR(IF(INDEX('Borrowers'!$H$9:$H$108,MATCH(D103,'Borrowers'!$C$9:$C$108,0))="","",INDEX('Borrowers'!$H$9:$H$108,MATCH(D103,'Borrowers'!$C$9:$C$108,0))),""),IF(AR103="","",AR103)))</x:f>
      </x:c>
      <x:c r="AL103" s="9" t="str">
        <x:f>IF(C103="","",IF(COUNTIFS($C$9:$C$108,C103)&lt;&gt;1,"Duplicate entity ID",IF(COUNTIFS('Borrowers'!$C$9:$C$108,D103)&lt;&gt;1,"Borrower required",IF(AND(F103&lt;&gt;"Corporate private",F103&lt;&gt;"Corporate listed",F103&lt;&gt;"Project finance",F103&lt;&gt;"CRE",F103&lt;&gt;"Mortgage",F103&lt;&gt;"Motor"),"Method required",IF(OR(AND(F103="Corporate private",IFERROR(IF(INDEX('Borrowers'!$G$9:$G$108,MATCH(D103,'Borrowers'!$C$9:$C$108,0))="","",INDEX('Borrowers'!$G$9:$G$108,MATCH(D103,'Borrowers'!$C$9:$C$108,0))),"")&lt;&gt;"Private"),AND(F103="Corporate listed",IFERROR(IF(INDEX('Borrowers'!$G$9:$G$108,MATCH(D103,'Borrowers'!$C$9:$C$108,0))="","",INDEX('Borrowers'!$G$9:$G$108,MATCH(D103,'Borrowers'!$C$9:$C$108,0))),"")&lt;&gt;"Listed")),"Listing / class mismatch",IF(OR(NOT(ISNUMBER(N103)),N103&lt;=0,AJ103="",NOT(ISNUMBER(AK103))),"Value evidence required",IF(AND(OR(F103="Corporate private",F103="Corporate listed"),IFERROR(IF(INDEX('Borrowers'!$Y$9:$Y$108,MATCH(D103,'Borrowers'!$C$9:$C$108,0))="","",INDEX('Borrowers'!$Y$9:$Y$108,MATCH(D103,'Borrowers'!$C$9:$C$108,0))),"")&lt;'Settings'!$F$8),"Expired financial evidence",IF(AK103&gt;'Settings'!$F$8,"Future value date",IF(OR(AND(OR(F103="Corporate private",F103="Project finance"),OR(J103&lt;0,M103&lt;&gt;"Current financials")),AND(F103="Corporate listed",M103&lt;&gt;"Current financials"),AND(OR(F103="CRE",F103="Mortgage",F103="Motor"),AND(M103&lt;&gt;"Origination",M103&lt;&gt;"Fixed fallback"))),"Value basis review",IF(AND(M103="Current financials",YEAR(AK103)&lt;&gt;YEAR('Settings'!$F$8)),"Stale financial period","Ready"))))))))))</x:f>
      </x:c>
      <x:c r="AM103" s="8"/>
      <x:c r="AN103" s="8"/>
      <x:c r="AO103" s="16"/>
      <x:c r="AP103" s="16"/>
      <x:c r="AQ103" s="8"/>
      <x:c r="AR103" s="40"/>
    </x:row>
    <x:row r="104" ht="40" customHeight="1">
      <x:c r="A104" s="1"/>
      <x:c r="B104" s="1"/>
      <x:c r="C104" s="8"/>
      <x:c r="D104" s="8"/>
      <x:c r="E104" s="8"/>
      <x:c r="F104" s="8"/>
      <x:c r="G104" s="9" t="str">
        <x:f>IF(C104="","",IFERROR(IF(INDEX('Borrowers'!$E$9:$E$108,MATCH(D104,'Borrowers'!$C$9:$C$108,0))="","",INDEX('Borrowers'!$E$9:$E$108,MATCH(D104,'Borrowers'!$C$9:$C$108,0))),""))</x:f>
      </x:c>
      <x:c r="H104" s="40"/>
      <x:c r="I104" s="23" t="str">
        <x:f>IF(C104="","",IF(OR(F104="Corporate private",F104="Corporate listed"),IFERROR(IF(INDEX('Borrowers'!$M$9:$M$108,MATCH(D104,'Borrowers'!$C$9:$C$108,0))="","",INDEX('Borrowers'!$M$9:$M$108,MATCH(D104,'Borrowers'!$C$9:$C$108,0))),""),IF(F104="Project finance",IF(ISNUMBER(AO104),AO104,""),"")))</x:f>
      </x:c>
      <x:c r="J104" s="23" t="str">
        <x:f>IF(C104="","",IF(OR(F104="Corporate private",F104="Corporate listed"),IFERROR(IF(INDEX('Borrowers'!$N$9:$N$108,MATCH(D104,'Borrowers'!$C$9:$C$108,0))="","",INDEX('Borrowers'!$N$9:$N$108,MATCH(D104,'Borrowers'!$C$9:$C$108,0))),""),IF(F104="Project finance",IF(ISNUMBER(AP104),AP104,""),"")))</x:f>
      </x:c>
      <x:c r="K104" s="23" t="str">
        <x:f>IF(C104="","",IF(F104="Corporate listed",IFERROR(IF(INDEX('Borrowers'!$O$9:$O$108,MATCH(D104,'Borrowers'!$C$9:$C$108,0))="","",INDEX('Borrowers'!$O$9:$O$108,MATCH(D104,'Borrowers'!$C$9:$C$108,0))),""),""))</x:f>
      </x:c>
      <x:c r="L104" s="16"/>
      <x:c r="M104" s="8"/>
      <x:c r="N104" s="21" t="str">
        <x:f>IF(C104="","",IF(F104="Corporate listed",IF(ISNUMBER(K104),K104,""),IF(OR(F104="Corporate private",F104="Project finance"),IF(AND(ISNUMBER(I104),ISNUMBER(J104)),MAX(I104,0)+J104,""),IF(OR(F104="CRE",F104="Mortgage",F104="Motor"),IF(ISNUMBER(L104),L104,""),""))))</x:f>
      </x:c>
      <x:c r="O104" s="8"/>
      <x:c r="P104" s="40"/>
      <x:c r="Q104" s="8"/>
      <x:c r="R104" s="16"/>
      <x:c r="S104" s="8"/>
      <x:c r="T104" s="23" t="str">
        <x:f>IF(V104="Ready",IF(Q104="Activity",SUMIFS('Activity Data'!$U$9:$U$308,'Activity Data'!$D$9:$D$308,C104,'Activity Data'!$F$9:$F$308,"S1"),R104),"")</x:f>
      </x:c>
      <x:c r="U104" s="44" t="str">
        <x:f>IF(V104&lt;&gt;"Ready","",IF(Q104="Reported verified",1,IF(Q104="Reported unverified",2,IF(F104="Motor",1,2))))</x:f>
      </x:c>
      <x:c r="V104" s="9" t="str">
        <x:f>IF(C104="","",IF(Q104="Not assessed","Not assessed",IF(OR(O104="",NOT(ISNUMBER(H104)),NOT(ISNUMBER(P104))),"Evidence required",IF(OR(P104&lt;'Settings'!$F$8,H104&gt;'Settings'!$F$8,YEAR(H104)&lt;&gt;YEAR('Settings'!$F$8)),"Period / expiry review",IF(S104&lt;&gt;"Yes","Boundary incomplete",IF(OR(Q104="Reported verified",Q104="Reported unverified"),IF(NOT(OR(F104="Corporate private",F104="Corporate listed",F104="Project finance")),"Asset method required",IF(OR(NOT(ISNUMBER(R104)),R104&lt;0),"Reported value required","Ready")),IF(Q104="Activity",IF(AND(COUNTIFS('Activity Data'!$D$9:$D$308,C104,'Activity Data'!$F$9:$F$308,"S1")&gt;0,COUNTIFS('Activity Data'!$D$9:$D$308,C104,'Activity Data'!$F$9:$F$308,"S1")=COUNTIFS('Activity Data'!$D$9:$D$308,C104,'Activity Data'!$F$9:$F$308,"S1",'Activity Data'!$V$9:$V$308,"Ready")),"Ready","Activity incomplete"),"Method required")))))))</x:f>
      </x:c>
      <x:c r="W104" s="8"/>
      <x:c r="X104" s="16"/>
      <x:c r="Y104" s="8"/>
      <x:c r="Z104" s="23" t="str">
        <x:f>IF(AB104="Ready",IF(W104="Activity",SUMIFS('Activity Data'!$U$9:$U$308,'Activity Data'!$D$9:$D$308,C104,'Activity Data'!$F$9:$F$308,"S2"),X104),"")</x:f>
      </x:c>
      <x:c r="AA104" s="44" t="str">
        <x:f>IF(AB104&lt;&gt;"Ready","",IF(W104="Reported verified",1,IF(W104="Reported unverified",2,IF(F104="Motor",1,2))))</x:f>
      </x:c>
      <x:c r="AB104" s="9" t="str">
        <x:f>IF(C104="","",IF(W104="Not assessed","Not assessed",IF(OR(O104="",NOT(ISNUMBER(H104)),NOT(ISNUMBER(P104))),"Evidence required",IF(OR(P104&lt;'Settings'!$F$8,H104&gt;'Settings'!$F$8,YEAR(H104)&lt;&gt;YEAR('Settings'!$F$8)),"Period / expiry review",IF(Y104&lt;&gt;"Yes","Boundary incomplete",IF(OR(AND(AC104&lt;&gt;"Location-based",AC104&lt;&gt;"Market-based"),AND(W104="Activity",AC104&lt;&gt;"Location-based")),"S2 basis mismatch",IF(OR(W104="Reported verified",W104="Reported unverified"),IF(NOT(OR(F104="Corporate private",F104="Corporate listed",F104="Project finance")),"Asset method required",IF(OR(NOT(ISNUMBER(X104)),X104&lt;0),"Reported value required","Ready")),IF(W104="Activity",IF(AND(COUNTIFS('Activity Data'!$D$9:$D$308,C104,'Activity Data'!$F$9:$F$308,"S2")&gt;0,COUNTIFS('Activity Data'!$D$9:$D$308,C104,'Activity Data'!$F$9:$F$308,"S2")=COUNTIFS('Activity Data'!$D$9:$D$308,C104,'Activity Data'!$F$9:$F$308,"S2",'Activity Data'!$V$9:$V$308,"Ready")),"Ready","Activity incomplete"),"Method required"))))))))</x:f>
      </x:c>
      <x:c r="AC104" s="8"/>
      <x:c r="AD104" s="8"/>
      <x:c r="AE104" s="16"/>
      <x:c r="AF104" s="8"/>
      <x:c r="AG104" s="23" t="str">
        <x:f>IF(AI104="Ready",IF(AD104="Activity",SUMIFS('Activity Data'!$U$9:$U$308,'Activity Data'!$D$9:$D$308,C104,'Activity Data'!$F$9:$F$308,"S3"),AE104),"")</x:f>
      </x:c>
      <x:c r="AH104" s="44" t="str">
        <x:f>IF(AI104&lt;&gt;"Ready","",IF(AD104="Reported verified",1,IF(AD104="Reported unverified",2,IF(F104="Motor",1,2))))</x:f>
      </x:c>
      <x:c r="AI104" s="9" t="str">
        <x:f>IF(C104="","",IF(AD104="Not assessed","Not assessed",IF(OR(O104="",NOT(ISNUMBER(H104)),NOT(ISNUMBER(P104))),"Evidence required",IF(OR(P104&lt;'Settings'!$F$8,H104&gt;'Settings'!$F$8,YEAR(H104)&lt;&gt;YEAR('Settings'!$F$8)),"Period / expiry review",IF(AF104&lt;&gt;"Yes","Boundary incomplete",IF(AM104="","S3 screening required",IF(OR(AD104="Reported verified",AD104="Reported unverified"),IF(NOT(OR(F104="Corporate private",F104="Corporate listed",F104="Project finance")),"Asset method required",IF(OR(NOT(ISNUMBER(AE104)),AE104&lt;0),"Reported value required","Ready")),"Scope 3 method required")))))))</x:f>
      </x:c>
      <x:c r="AJ104" s="9" t="str">
        <x:f>IF(C104="","",IF(OR(F104="Corporate private",F104="Corporate listed"),IFERROR(IF(INDEX('Borrowers'!$X$9:$X$108,MATCH(D104,'Borrowers'!$C$9:$C$108,0))="","",INDEX('Borrowers'!$X$9:$X$108,MATCH(D104,'Borrowers'!$C$9:$C$108,0))),""),IF(AQ104="","",AQ104)))</x:f>
      </x:c>
      <x:c r="AK104" s="43" t="str">
        <x:f>IF(C104="","",IF(OR(F104="Corporate private",F104="Corporate listed"),IFERROR(IF(INDEX('Borrowers'!$H$9:$H$108,MATCH(D104,'Borrowers'!$C$9:$C$108,0))="","",INDEX('Borrowers'!$H$9:$H$108,MATCH(D104,'Borrowers'!$C$9:$C$108,0))),""),IF(AR104="","",AR104)))</x:f>
      </x:c>
      <x:c r="AL104" s="9" t="str">
        <x:f>IF(C104="","",IF(COUNTIFS($C$9:$C$108,C104)&lt;&gt;1,"Duplicate entity ID",IF(COUNTIFS('Borrowers'!$C$9:$C$108,D104)&lt;&gt;1,"Borrower required",IF(AND(F104&lt;&gt;"Corporate private",F104&lt;&gt;"Corporate listed",F104&lt;&gt;"Project finance",F104&lt;&gt;"CRE",F104&lt;&gt;"Mortgage",F104&lt;&gt;"Motor"),"Method required",IF(OR(AND(F104="Corporate private",IFERROR(IF(INDEX('Borrowers'!$G$9:$G$108,MATCH(D104,'Borrowers'!$C$9:$C$108,0))="","",INDEX('Borrowers'!$G$9:$G$108,MATCH(D104,'Borrowers'!$C$9:$C$108,0))),"")&lt;&gt;"Private"),AND(F104="Corporate listed",IFERROR(IF(INDEX('Borrowers'!$G$9:$G$108,MATCH(D104,'Borrowers'!$C$9:$C$108,0))="","",INDEX('Borrowers'!$G$9:$G$108,MATCH(D104,'Borrowers'!$C$9:$C$108,0))),"")&lt;&gt;"Listed")),"Listing / class mismatch",IF(OR(NOT(ISNUMBER(N104)),N104&lt;=0,AJ104="",NOT(ISNUMBER(AK104))),"Value evidence required",IF(AND(OR(F104="Corporate private",F104="Corporate listed"),IFERROR(IF(INDEX('Borrowers'!$Y$9:$Y$108,MATCH(D104,'Borrowers'!$C$9:$C$108,0))="","",INDEX('Borrowers'!$Y$9:$Y$108,MATCH(D104,'Borrowers'!$C$9:$C$108,0))),"")&lt;'Settings'!$F$8),"Expired financial evidence",IF(AK104&gt;'Settings'!$F$8,"Future value date",IF(OR(AND(OR(F104="Corporate private",F104="Project finance"),OR(J104&lt;0,M104&lt;&gt;"Current financials")),AND(F104="Corporate listed",M104&lt;&gt;"Current financials"),AND(OR(F104="CRE",F104="Mortgage",F104="Motor"),AND(M104&lt;&gt;"Origination",M104&lt;&gt;"Fixed fallback"))),"Value basis review",IF(AND(M104="Current financials",YEAR(AK104)&lt;&gt;YEAR('Settings'!$F$8)),"Stale financial period","Ready"))))))))))</x:f>
      </x:c>
      <x:c r="AM104" s="8"/>
      <x:c r="AN104" s="8"/>
      <x:c r="AO104" s="16"/>
      <x:c r="AP104" s="16"/>
      <x:c r="AQ104" s="8"/>
      <x:c r="AR104" s="40"/>
    </x:row>
    <x:row r="105" ht="40" customHeight="1">
      <x:c r="A105" s="1"/>
      <x:c r="B105" s="1"/>
      <x:c r="C105" s="8"/>
      <x:c r="D105" s="8"/>
      <x:c r="E105" s="8"/>
      <x:c r="F105" s="8"/>
      <x:c r="G105" s="9" t="str">
        <x:f>IF(C105="","",IFERROR(IF(INDEX('Borrowers'!$E$9:$E$108,MATCH(D105,'Borrowers'!$C$9:$C$108,0))="","",INDEX('Borrowers'!$E$9:$E$108,MATCH(D105,'Borrowers'!$C$9:$C$108,0))),""))</x:f>
      </x:c>
      <x:c r="H105" s="40"/>
      <x:c r="I105" s="23" t="str">
        <x:f>IF(C105="","",IF(OR(F105="Corporate private",F105="Corporate listed"),IFERROR(IF(INDEX('Borrowers'!$M$9:$M$108,MATCH(D105,'Borrowers'!$C$9:$C$108,0))="","",INDEX('Borrowers'!$M$9:$M$108,MATCH(D105,'Borrowers'!$C$9:$C$108,0))),""),IF(F105="Project finance",IF(ISNUMBER(AO105),AO105,""),"")))</x:f>
      </x:c>
      <x:c r="J105" s="23" t="str">
        <x:f>IF(C105="","",IF(OR(F105="Corporate private",F105="Corporate listed"),IFERROR(IF(INDEX('Borrowers'!$N$9:$N$108,MATCH(D105,'Borrowers'!$C$9:$C$108,0))="","",INDEX('Borrowers'!$N$9:$N$108,MATCH(D105,'Borrowers'!$C$9:$C$108,0))),""),IF(F105="Project finance",IF(ISNUMBER(AP105),AP105,""),"")))</x:f>
      </x:c>
      <x:c r="K105" s="23" t="str">
        <x:f>IF(C105="","",IF(F105="Corporate listed",IFERROR(IF(INDEX('Borrowers'!$O$9:$O$108,MATCH(D105,'Borrowers'!$C$9:$C$108,0))="","",INDEX('Borrowers'!$O$9:$O$108,MATCH(D105,'Borrowers'!$C$9:$C$108,0))),""),""))</x:f>
      </x:c>
      <x:c r="L105" s="16"/>
      <x:c r="M105" s="8"/>
      <x:c r="N105" s="21" t="str">
        <x:f>IF(C105="","",IF(F105="Corporate listed",IF(ISNUMBER(K105),K105,""),IF(OR(F105="Corporate private",F105="Project finance"),IF(AND(ISNUMBER(I105),ISNUMBER(J105)),MAX(I105,0)+J105,""),IF(OR(F105="CRE",F105="Mortgage",F105="Motor"),IF(ISNUMBER(L105),L105,""),""))))</x:f>
      </x:c>
      <x:c r="O105" s="8"/>
      <x:c r="P105" s="40"/>
      <x:c r="Q105" s="8"/>
      <x:c r="R105" s="16"/>
      <x:c r="S105" s="8"/>
      <x:c r="T105" s="23" t="str">
        <x:f>IF(V105="Ready",IF(Q105="Activity",SUMIFS('Activity Data'!$U$9:$U$308,'Activity Data'!$D$9:$D$308,C105,'Activity Data'!$F$9:$F$308,"S1"),R105),"")</x:f>
      </x:c>
      <x:c r="U105" s="44" t="str">
        <x:f>IF(V105&lt;&gt;"Ready","",IF(Q105="Reported verified",1,IF(Q105="Reported unverified",2,IF(F105="Motor",1,2))))</x:f>
      </x:c>
      <x:c r="V105" s="9" t="str">
        <x:f>IF(C105="","",IF(Q105="Not assessed","Not assessed",IF(OR(O105="",NOT(ISNUMBER(H105)),NOT(ISNUMBER(P105))),"Evidence required",IF(OR(P105&lt;'Settings'!$F$8,H105&gt;'Settings'!$F$8,YEAR(H105)&lt;&gt;YEAR('Settings'!$F$8)),"Period / expiry review",IF(S105&lt;&gt;"Yes","Boundary incomplete",IF(OR(Q105="Reported verified",Q105="Reported unverified"),IF(NOT(OR(F105="Corporate private",F105="Corporate listed",F105="Project finance")),"Asset method required",IF(OR(NOT(ISNUMBER(R105)),R105&lt;0),"Reported value required","Ready")),IF(Q105="Activity",IF(AND(COUNTIFS('Activity Data'!$D$9:$D$308,C105,'Activity Data'!$F$9:$F$308,"S1")&gt;0,COUNTIFS('Activity Data'!$D$9:$D$308,C105,'Activity Data'!$F$9:$F$308,"S1")=COUNTIFS('Activity Data'!$D$9:$D$308,C105,'Activity Data'!$F$9:$F$308,"S1",'Activity Data'!$V$9:$V$308,"Ready")),"Ready","Activity incomplete"),"Method required")))))))</x:f>
      </x:c>
      <x:c r="W105" s="8"/>
      <x:c r="X105" s="16"/>
      <x:c r="Y105" s="8"/>
      <x:c r="Z105" s="23" t="str">
        <x:f>IF(AB105="Ready",IF(W105="Activity",SUMIFS('Activity Data'!$U$9:$U$308,'Activity Data'!$D$9:$D$308,C105,'Activity Data'!$F$9:$F$308,"S2"),X105),"")</x:f>
      </x:c>
      <x:c r="AA105" s="44" t="str">
        <x:f>IF(AB105&lt;&gt;"Ready","",IF(W105="Reported verified",1,IF(W105="Reported unverified",2,IF(F105="Motor",1,2))))</x:f>
      </x:c>
      <x:c r="AB105" s="9" t="str">
        <x:f>IF(C105="","",IF(W105="Not assessed","Not assessed",IF(OR(O105="",NOT(ISNUMBER(H105)),NOT(ISNUMBER(P105))),"Evidence required",IF(OR(P105&lt;'Settings'!$F$8,H105&gt;'Settings'!$F$8,YEAR(H105)&lt;&gt;YEAR('Settings'!$F$8)),"Period / expiry review",IF(Y105&lt;&gt;"Yes","Boundary incomplete",IF(OR(AND(AC105&lt;&gt;"Location-based",AC105&lt;&gt;"Market-based"),AND(W105="Activity",AC105&lt;&gt;"Location-based")),"S2 basis mismatch",IF(OR(W105="Reported verified",W105="Reported unverified"),IF(NOT(OR(F105="Corporate private",F105="Corporate listed",F105="Project finance")),"Asset method required",IF(OR(NOT(ISNUMBER(X105)),X105&lt;0),"Reported value required","Ready")),IF(W105="Activity",IF(AND(COUNTIFS('Activity Data'!$D$9:$D$308,C105,'Activity Data'!$F$9:$F$308,"S2")&gt;0,COUNTIFS('Activity Data'!$D$9:$D$308,C105,'Activity Data'!$F$9:$F$308,"S2")=COUNTIFS('Activity Data'!$D$9:$D$308,C105,'Activity Data'!$F$9:$F$308,"S2",'Activity Data'!$V$9:$V$308,"Ready")),"Ready","Activity incomplete"),"Method required"))))))))</x:f>
      </x:c>
      <x:c r="AC105" s="8"/>
      <x:c r="AD105" s="8"/>
      <x:c r="AE105" s="16"/>
      <x:c r="AF105" s="8"/>
      <x:c r="AG105" s="23" t="str">
        <x:f>IF(AI105="Ready",IF(AD105="Activity",SUMIFS('Activity Data'!$U$9:$U$308,'Activity Data'!$D$9:$D$308,C105,'Activity Data'!$F$9:$F$308,"S3"),AE105),"")</x:f>
      </x:c>
      <x:c r="AH105" s="44" t="str">
        <x:f>IF(AI105&lt;&gt;"Ready","",IF(AD105="Reported verified",1,IF(AD105="Reported unverified",2,IF(F105="Motor",1,2))))</x:f>
      </x:c>
      <x:c r="AI105" s="9" t="str">
        <x:f>IF(C105="","",IF(AD105="Not assessed","Not assessed",IF(OR(O105="",NOT(ISNUMBER(H105)),NOT(ISNUMBER(P105))),"Evidence required",IF(OR(P105&lt;'Settings'!$F$8,H105&gt;'Settings'!$F$8,YEAR(H105)&lt;&gt;YEAR('Settings'!$F$8)),"Period / expiry review",IF(AF105&lt;&gt;"Yes","Boundary incomplete",IF(AM105="","S3 screening required",IF(OR(AD105="Reported verified",AD105="Reported unverified"),IF(NOT(OR(F105="Corporate private",F105="Corporate listed",F105="Project finance")),"Asset method required",IF(OR(NOT(ISNUMBER(AE105)),AE105&lt;0),"Reported value required","Ready")),"Scope 3 method required")))))))</x:f>
      </x:c>
      <x:c r="AJ105" s="9" t="str">
        <x:f>IF(C105="","",IF(OR(F105="Corporate private",F105="Corporate listed"),IFERROR(IF(INDEX('Borrowers'!$X$9:$X$108,MATCH(D105,'Borrowers'!$C$9:$C$108,0))="","",INDEX('Borrowers'!$X$9:$X$108,MATCH(D105,'Borrowers'!$C$9:$C$108,0))),""),IF(AQ105="","",AQ105)))</x:f>
      </x:c>
      <x:c r="AK105" s="43" t="str">
        <x:f>IF(C105="","",IF(OR(F105="Corporate private",F105="Corporate listed"),IFERROR(IF(INDEX('Borrowers'!$H$9:$H$108,MATCH(D105,'Borrowers'!$C$9:$C$108,0))="","",INDEX('Borrowers'!$H$9:$H$108,MATCH(D105,'Borrowers'!$C$9:$C$108,0))),""),IF(AR105="","",AR105)))</x:f>
      </x:c>
      <x:c r="AL105" s="9" t="str">
        <x:f>IF(C105="","",IF(COUNTIFS($C$9:$C$108,C105)&lt;&gt;1,"Duplicate entity ID",IF(COUNTIFS('Borrowers'!$C$9:$C$108,D105)&lt;&gt;1,"Borrower required",IF(AND(F105&lt;&gt;"Corporate private",F105&lt;&gt;"Corporate listed",F105&lt;&gt;"Project finance",F105&lt;&gt;"CRE",F105&lt;&gt;"Mortgage",F105&lt;&gt;"Motor"),"Method required",IF(OR(AND(F105="Corporate private",IFERROR(IF(INDEX('Borrowers'!$G$9:$G$108,MATCH(D105,'Borrowers'!$C$9:$C$108,0))="","",INDEX('Borrowers'!$G$9:$G$108,MATCH(D105,'Borrowers'!$C$9:$C$108,0))),"")&lt;&gt;"Private"),AND(F105="Corporate listed",IFERROR(IF(INDEX('Borrowers'!$G$9:$G$108,MATCH(D105,'Borrowers'!$C$9:$C$108,0))="","",INDEX('Borrowers'!$G$9:$G$108,MATCH(D105,'Borrowers'!$C$9:$C$108,0))),"")&lt;&gt;"Listed")),"Listing / class mismatch",IF(OR(NOT(ISNUMBER(N105)),N105&lt;=0,AJ105="",NOT(ISNUMBER(AK105))),"Value evidence required",IF(AND(OR(F105="Corporate private",F105="Corporate listed"),IFERROR(IF(INDEX('Borrowers'!$Y$9:$Y$108,MATCH(D105,'Borrowers'!$C$9:$C$108,0))="","",INDEX('Borrowers'!$Y$9:$Y$108,MATCH(D105,'Borrowers'!$C$9:$C$108,0))),"")&lt;'Settings'!$F$8),"Expired financial evidence",IF(AK105&gt;'Settings'!$F$8,"Future value date",IF(OR(AND(OR(F105="Corporate private",F105="Project finance"),OR(J105&lt;0,M105&lt;&gt;"Current financials")),AND(F105="Corporate listed",M105&lt;&gt;"Current financials"),AND(OR(F105="CRE",F105="Mortgage",F105="Motor"),AND(M105&lt;&gt;"Origination",M105&lt;&gt;"Fixed fallback"))),"Value basis review",IF(AND(M105="Current financials",YEAR(AK105)&lt;&gt;YEAR('Settings'!$F$8)),"Stale financial period","Ready"))))))))))</x:f>
      </x:c>
      <x:c r="AM105" s="8"/>
      <x:c r="AN105" s="8"/>
      <x:c r="AO105" s="16"/>
      <x:c r="AP105" s="16"/>
      <x:c r="AQ105" s="8"/>
      <x:c r="AR105" s="40"/>
    </x:row>
    <x:row r="106" ht="40" customHeight="1">
      <x:c r="A106" s="1"/>
      <x:c r="B106" s="1"/>
      <x:c r="C106" s="8"/>
      <x:c r="D106" s="8"/>
      <x:c r="E106" s="8"/>
      <x:c r="F106" s="8"/>
      <x:c r="G106" s="9" t="str">
        <x:f>IF(C106="","",IFERROR(IF(INDEX('Borrowers'!$E$9:$E$108,MATCH(D106,'Borrowers'!$C$9:$C$108,0))="","",INDEX('Borrowers'!$E$9:$E$108,MATCH(D106,'Borrowers'!$C$9:$C$108,0))),""))</x:f>
      </x:c>
      <x:c r="H106" s="40"/>
      <x:c r="I106" s="23" t="str">
        <x:f>IF(C106="","",IF(OR(F106="Corporate private",F106="Corporate listed"),IFERROR(IF(INDEX('Borrowers'!$M$9:$M$108,MATCH(D106,'Borrowers'!$C$9:$C$108,0))="","",INDEX('Borrowers'!$M$9:$M$108,MATCH(D106,'Borrowers'!$C$9:$C$108,0))),""),IF(F106="Project finance",IF(ISNUMBER(AO106),AO106,""),"")))</x:f>
      </x:c>
      <x:c r="J106" s="23" t="str">
        <x:f>IF(C106="","",IF(OR(F106="Corporate private",F106="Corporate listed"),IFERROR(IF(INDEX('Borrowers'!$N$9:$N$108,MATCH(D106,'Borrowers'!$C$9:$C$108,0))="","",INDEX('Borrowers'!$N$9:$N$108,MATCH(D106,'Borrowers'!$C$9:$C$108,0))),""),IF(F106="Project finance",IF(ISNUMBER(AP106),AP106,""),"")))</x:f>
      </x:c>
      <x:c r="K106" s="23" t="str">
        <x:f>IF(C106="","",IF(F106="Corporate listed",IFERROR(IF(INDEX('Borrowers'!$O$9:$O$108,MATCH(D106,'Borrowers'!$C$9:$C$108,0))="","",INDEX('Borrowers'!$O$9:$O$108,MATCH(D106,'Borrowers'!$C$9:$C$108,0))),""),""))</x:f>
      </x:c>
      <x:c r="L106" s="16"/>
      <x:c r="M106" s="8"/>
      <x:c r="N106" s="21" t="str">
        <x:f>IF(C106="","",IF(F106="Corporate listed",IF(ISNUMBER(K106),K106,""),IF(OR(F106="Corporate private",F106="Project finance"),IF(AND(ISNUMBER(I106),ISNUMBER(J106)),MAX(I106,0)+J106,""),IF(OR(F106="CRE",F106="Mortgage",F106="Motor"),IF(ISNUMBER(L106),L106,""),""))))</x:f>
      </x:c>
      <x:c r="O106" s="8"/>
      <x:c r="P106" s="40"/>
      <x:c r="Q106" s="8"/>
      <x:c r="R106" s="16"/>
      <x:c r="S106" s="8"/>
      <x:c r="T106" s="23" t="str">
        <x:f>IF(V106="Ready",IF(Q106="Activity",SUMIFS('Activity Data'!$U$9:$U$308,'Activity Data'!$D$9:$D$308,C106,'Activity Data'!$F$9:$F$308,"S1"),R106),"")</x:f>
      </x:c>
      <x:c r="U106" s="44" t="str">
        <x:f>IF(V106&lt;&gt;"Ready","",IF(Q106="Reported verified",1,IF(Q106="Reported unverified",2,IF(F106="Motor",1,2))))</x:f>
      </x:c>
      <x:c r="V106" s="9" t="str">
        <x:f>IF(C106="","",IF(Q106="Not assessed","Not assessed",IF(OR(O106="",NOT(ISNUMBER(H106)),NOT(ISNUMBER(P106))),"Evidence required",IF(OR(P106&lt;'Settings'!$F$8,H106&gt;'Settings'!$F$8,YEAR(H106)&lt;&gt;YEAR('Settings'!$F$8)),"Period / expiry review",IF(S106&lt;&gt;"Yes","Boundary incomplete",IF(OR(Q106="Reported verified",Q106="Reported unverified"),IF(NOT(OR(F106="Corporate private",F106="Corporate listed",F106="Project finance")),"Asset method required",IF(OR(NOT(ISNUMBER(R106)),R106&lt;0),"Reported value required","Ready")),IF(Q106="Activity",IF(AND(COUNTIFS('Activity Data'!$D$9:$D$308,C106,'Activity Data'!$F$9:$F$308,"S1")&gt;0,COUNTIFS('Activity Data'!$D$9:$D$308,C106,'Activity Data'!$F$9:$F$308,"S1")=COUNTIFS('Activity Data'!$D$9:$D$308,C106,'Activity Data'!$F$9:$F$308,"S1",'Activity Data'!$V$9:$V$308,"Ready")),"Ready","Activity incomplete"),"Method required")))))))</x:f>
      </x:c>
      <x:c r="W106" s="8"/>
      <x:c r="X106" s="16"/>
      <x:c r="Y106" s="8"/>
      <x:c r="Z106" s="23" t="str">
        <x:f>IF(AB106="Ready",IF(W106="Activity",SUMIFS('Activity Data'!$U$9:$U$308,'Activity Data'!$D$9:$D$308,C106,'Activity Data'!$F$9:$F$308,"S2"),X106),"")</x:f>
      </x:c>
      <x:c r="AA106" s="44" t="str">
        <x:f>IF(AB106&lt;&gt;"Ready","",IF(W106="Reported verified",1,IF(W106="Reported unverified",2,IF(F106="Motor",1,2))))</x:f>
      </x:c>
      <x:c r="AB106" s="9" t="str">
        <x:f>IF(C106="","",IF(W106="Not assessed","Not assessed",IF(OR(O106="",NOT(ISNUMBER(H106)),NOT(ISNUMBER(P106))),"Evidence required",IF(OR(P106&lt;'Settings'!$F$8,H106&gt;'Settings'!$F$8,YEAR(H106)&lt;&gt;YEAR('Settings'!$F$8)),"Period / expiry review",IF(Y106&lt;&gt;"Yes","Boundary incomplete",IF(OR(AND(AC106&lt;&gt;"Location-based",AC106&lt;&gt;"Market-based"),AND(W106="Activity",AC106&lt;&gt;"Location-based")),"S2 basis mismatch",IF(OR(W106="Reported verified",W106="Reported unverified"),IF(NOT(OR(F106="Corporate private",F106="Corporate listed",F106="Project finance")),"Asset method required",IF(OR(NOT(ISNUMBER(X106)),X106&lt;0),"Reported value required","Ready")),IF(W106="Activity",IF(AND(COUNTIFS('Activity Data'!$D$9:$D$308,C106,'Activity Data'!$F$9:$F$308,"S2")&gt;0,COUNTIFS('Activity Data'!$D$9:$D$308,C106,'Activity Data'!$F$9:$F$308,"S2")=COUNTIFS('Activity Data'!$D$9:$D$308,C106,'Activity Data'!$F$9:$F$308,"S2",'Activity Data'!$V$9:$V$308,"Ready")),"Ready","Activity incomplete"),"Method required"))))))))</x:f>
      </x:c>
      <x:c r="AC106" s="8"/>
      <x:c r="AD106" s="8"/>
      <x:c r="AE106" s="16"/>
      <x:c r="AF106" s="8"/>
      <x:c r="AG106" s="23" t="str">
        <x:f>IF(AI106="Ready",IF(AD106="Activity",SUMIFS('Activity Data'!$U$9:$U$308,'Activity Data'!$D$9:$D$308,C106,'Activity Data'!$F$9:$F$308,"S3"),AE106),"")</x:f>
      </x:c>
      <x:c r="AH106" s="44" t="str">
        <x:f>IF(AI106&lt;&gt;"Ready","",IF(AD106="Reported verified",1,IF(AD106="Reported unverified",2,IF(F106="Motor",1,2))))</x:f>
      </x:c>
      <x:c r="AI106" s="9" t="str">
        <x:f>IF(C106="","",IF(AD106="Not assessed","Not assessed",IF(OR(O106="",NOT(ISNUMBER(H106)),NOT(ISNUMBER(P106))),"Evidence required",IF(OR(P106&lt;'Settings'!$F$8,H106&gt;'Settings'!$F$8,YEAR(H106)&lt;&gt;YEAR('Settings'!$F$8)),"Period / expiry review",IF(AF106&lt;&gt;"Yes","Boundary incomplete",IF(AM106="","S3 screening required",IF(OR(AD106="Reported verified",AD106="Reported unverified"),IF(NOT(OR(F106="Corporate private",F106="Corporate listed",F106="Project finance")),"Asset method required",IF(OR(NOT(ISNUMBER(AE106)),AE106&lt;0),"Reported value required","Ready")),"Scope 3 method required")))))))</x:f>
      </x:c>
      <x:c r="AJ106" s="9" t="str">
        <x:f>IF(C106="","",IF(OR(F106="Corporate private",F106="Corporate listed"),IFERROR(IF(INDEX('Borrowers'!$X$9:$X$108,MATCH(D106,'Borrowers'!$C$9:$C$108,0))="","",INDEX('Borrowers'!$X$9:$X$108,MATCH(D106,'Borrowers'!$C$9:$C$108,0))),""),IF(AQ106="","",AQ106)))</x:f>
      </x:c>
      <x:c r="AK106" s="43" t="str">
        <x:f>IF(C106="","",IF(OR(F106="Corporate private",F106="Corporate listed"),IFERROR(IF(INDEX('Borrowers'!$H$9:$H$108,MATCH(D106,'Borrowers'!$C$9:$C$108,0))="","",INDEX('Borrowers'!$H$9:$H$108,MATCH(D106,'Borrowers'!$C$9:$C$108,0))),""),IF(AR106="","",AR106)))</x:f>
      </x:c>
      <x:c r="AL106" s="9" t="str">
        <x:f>IF(C106="","",IF(COUNTIFS($C$9:$C$108,C106)&lt;&gt;1,"Duplicate entity ID",IF(COUNTIFS('Borrowers'!$C$9:$C$108,D106)&lt;&gt;1,"Borrower required",IF(AND(F106&lt;&gt;"Corporate private",F106&lt;&gt;"Corporate listed",F106&lt;&gt;"Project finance",F106&lt;&gt;"CRE",F106&lt;&gt;"Mortgage",F106&lt;&gt;"Motor"),"Method required",IF(OR(AND(F106="Corporate private",IFERROR(IF(INDEX('Borrowers'!$G$9:$G$108,MATCH(D106,'Borrowers'!$C$9:$C$108,0))="","",INDEX('Borrowers'!$G$9:$G$108,MATCH(D106,'Borrowers'!$C$9:$C$108,0))),"")&lt;&gt;"Private"),AND(F106="Corporate listed",IFERROR(IF(INDEX('Borrowers'!$G$9:$G$108,MATCH(D106,'Borrowers'!$C$9:$C$108,0))="","",INDEX('Borrowers'!$G$9:$G$108,MATCH(D106,'Borrowers'!$C$9:$C$108,0))),"")&lt;&gt;"Listed")),"Listing / class mismatch",IF(OR(NOT(ISNUMBER(N106)),N106&lt;=0,AJ106="",NOT(ISNUMBER(AK106))),"Value evidence required",IF(AND(OR(F106="Corporate private",F106="Corporate listed"),IFERROR(IF(INDEX('Borrowers'!$Y$9:$Y$108,MATCH(D106,'Borrowers'!$C$9:$C$108,0))="","",INDEX('Borrowers'!$Y$9:$Y$108,MATCH(D106,'Borrowers'!$C$9:$C$108,0))),"")&lt;'Settings'!$F$8),"Expired financial evidence",IF(AK106&gt;'Settings'!$F$8,"Future value date",IF(OR(AND(OR(F106="Corporate private",F106="Project finance"),OR(J106&lt;0,M106&lt;&gt;"Current financials")),AND(F106="Corporate listed",M106&lt;&gt;"Current financials"),AND(OR(F106="CRE",F106="Mortgage",F106="Motor"),AND(M106&lt;&gt;"Origination",M106&lt;&gt;"Fixed fallback"))),"Value basis review",IF(AND(M106="Current financials",YEAR(AK106)&lt;&gt;YEAR('Settings'!$F$8)),"Stale financial period","Ready"))))))))))</x:f>
      </x:c>
      <x:c r="AM106" s="8"/>
      <x:c r="AN106" s="8"/>
      <x:c r="AO106" s="16"/>
      <x:c r="AP106" s="16"/>
      <x:c r="AQ106" s="8"/>
      <x:c r="AR106" s="40"/>
    </x:row>
    <x:row r="107" ht="40" customHeight="1">
      <x:c r="A107" s="1"/>
      <x:c r="B107" s="1"/>
      <x:c r="C107" s="8"/>
      <x:c r="D107" s="8"/>
      <x:c r="E107" s="8"/>
      <x:c r="F107" s="8"/>
      <x:c r="G107" s="9" t="str">
        <x:f>IF(C107="","",IFERROR(IF(INDEX('Borrowers'!$E$9:$E$108,MATCH(D107,'Borrowers'!$C$9:$C$108,0))="","",INDEX('Borrowers'!$E$9:$E$108,MATCH(D107,'Borrowers'!$C$9:$C$108,0))),""))</x:f>
      </x:c>
      <x:c r="H107" s="40"/>
      <x:c r="I107" s="23" t="str">
        <x:f>IF(C107="","",IF(OR(F107="Corporate private",F107="Corporate listed"),IFERROR(IF(INDEX('Borrowers'!$M$9:$M$108,MATCH(D107,'Borrowers'!$C$9:$C$108,0))="","",INDEX('Borrowers'!$M$9:$M$108,MATCH(D107,'Borrowers'!$C$9:$C$108,0))),""),IF(F107="Project finance",IF(ISNUMBER(AO107),AO107,""),"")))</x:f>
      </x:c>
      <x:c r="J107" s="23" t="str">
        <x:f>IF(C107="","",IF(OR(F107="Corporate private",F107="Corporate listed"),IFERROR(IF(INDEX('Borrowers'!$N$9:$N$108,MATCH(D107,'Borrowers'!$C$9:$C$108,0))="","",INDEX('Borrowers'!$N$9:$N$108,MATCH(D107,'Borrowers'!$C$9:$C$108,0))),""),IF(F107="Project finance",IF(ISNUMBER(AP107),AP107,""),"")))</x:f>
      </x:c>
      <x:c r="K107" s="23" t="str">
        <x:f>IF(C107="","",IF(F107="Corporate listed",IFERROR(IF(INDEX('Borrowers'!$O$9:$O$108,MATCH(D107,'Borrowers'!$C$9:$C$108,0))="","",INDEX('Borrowers'!$O$9:$O$108,MATCH(D107,'Borrowers'!$C$9:$C$108,0))),""),""))</x:f>
      </x:c>
      <x:c r="L107" s="16"/>
      <x:c r="M107" s="8"/>
      <x:c r="N107" s="21" t="str">
        <x:f>IF(C107="","",IF(F107="Corporate listed",IF(ISNUMBER(K107),K107,""),IF(OR(F107="Corporate private",F107="Project finance"),IF(AND(ISNUMBER(I107),ISNUMBER(J107)),MAX(I107,0)+J107,""),IF(OR(F107="CRE",F107="Mortgage",F107="Motor"),IF(ISNUMBER(L107),L107,""),""))))</x:f>
      </x:c>
      <x:c r="O107" s="8"/>
      <x:c r="P107" s="40"/>
      <x:c r="Q107" s="8"/>
      <x:c r="R107" s="16"/>
      <x:c r="S107" s="8"/>
      <x:c r="T107" s="23" t="str">
        <x:f>IF(V107="Ready",IF(Q107="Activity",SUMIFS('Activity Data'!$U$9:$U$308,'Activity Data'!$D$9:$D$308,C107,'Activity Data'!$F$9:$F$308,"S1"),R107),"")</x:f>
      </x:c>
      <x:c r="U107" s="44" t="str">
        <x:f>IF(V107&lt;&gt;"Ready","",IF(Q107="Reported verified",1,IF(Q107="Reported unverified",2,IF(F107="Motor",1,2))))</x:f>
      </x:c>
      <x:c r="V107" s="9" t="str">
        <x:f>IF(C107="","",IF(Q107="Not assessed","Not assessed",IF(OR(O107="",NOT(ISNUMBER(H107)),NOT(ISNUMBER(P107))),"Evidence required",IF(OR(P107&lt;'Settings'!$F$8,H107&gt;'Settings'!$F$8,YEAR(H107)&lt;&gt;YEAR('Settings'!$F$8)),"Period / expiry review",IF(S107&lt;&gt;"Yes","Boundary incomplete",IF(OR(Q107="Reported verified",Q107="Reported unverified"),IF(NOT(OR(F107="Corporate private",F107="Corporate listed",F107="Project finance")),"Asset method required",IF(OR(NOT(ISNUMBER(R107)),R107&lt;0),"Reported value required","Ready")),IF(Q107="Activity",IF(AND(COUNTIFS('Activity Data'!$D$9:$D$308,C107,'Activity Data'!$F$9:$F$308,"S1")&gt;0,COUNTIFS('Activity Data'!$D$9:$D$308,C107,'Activity Data'!$F$9:$F$308,"S1")=COUNTIFS('Activity Data'!$D$9:$D$308,C107,'Activity Data'!$F$9:$F$308,"S1",'Activity Data'!$V$9:$V$308,"Ready")),"Ready","Activity incomplete"),"Method required")))))))</x:f>
      </x:c>
      <x:c r="W107" s="8"/>
      <x:c r="X107" s="16"/>
      <x:c r="Y107" s="8"/>
      <x:c r="Z107" s="23" t="str">
        <x:f>IF(AB107="Ready",IF(W107="Activity",SUMIFS('Activity Data'!$U$9:$U$308,'Activity Data'!$D$9:$D$308,C107,'Activity Data'!$F$9:$F$308,"S2"),X107),"")</x:f>
      </x:c>
      <x:c r="AA107" s="44" t="str">
        <x:f>IF(AB107&lt;&gt;"Ready","",IF(W107="Reported verified",1,IF(W107="Reported unverified",2,IF(F107="Motor",1,2))))</x:f>
      </x:c>
      <x:c r="AB107" s="9" t="str">
        <x:f>IF(C107="","",IF(W107="Not assessed","Not assessed",IF(OR(O107="",NOT(ISNUMBER(H107)),NOT(ISNUMBER(P107))),"Evidence required",IF(OR(P107&lt;'Settings'!$F$8,H107&gt;'Settings'!$F$8,YEAR(H107)&lt;&gt;YEAR('Settings'!$F$8)),"Period / expiry review",IF(Y107&lt;&gt;"Yes","Boundary incomplete",IF(OR(AND(AC107&lt;&gt;"Location-based",AC107&lt;&gt;"Market-based"),AND(W107="Activity",AC107&lt;&gt;"Location-based")),"S2 basis mismatch",IF(OR(W107="Reported verified",W107="Reported unverified"),IF(NOT(OR(F107="Corporate private",F107="Corporate listed",F107="Project finance")),"Asset method required",IF(OR(NOT(ISNUMBER(X107)),X107&lt;0),"Reported value required","Ready")),IF(W107="Activity",IF(AND(COUNTIFS('Activity Data'!$D$9:$D$308,C107,'Activity Data'!$F$9:$F$308,"S2")&gt;0,COUNTIFS('Activity Data'!$D$9:$D$308,C107,'Activity Data'!$F$9:$F$308,"S2")=COUNTIFS('Activity Data'!$D$9:$D$308,C107,'Activity Data'!$F$9:$F$308,"S2",'Activity Data'!$V$9:$V$308,"Ready")),"Ready","Activity incomplete"),"Method required"))))))))</x:f>
      </x:c>
      <x:c r="AC107" s="8"/>
      <x:c r="AD107" s="8"/>
      <x:c r="AE107" s="16"/>
      <x:c r="AF107" s="8"/>
      <x:c r="AG107" s="23" t="str">
        <x:f>IF(AI107="Ready",IF(AD107="Activity",SUMIFS('Activity Data'!$U$9:$U$308,'Activity Data'!$D$9:$D$308,C107,'Activity Data'!$F$9:$F$308,"S3"),AE107),"")</x:f>
      </x:c>
      <x:c r="AH107" s="44" t="str">
        <x:f>IF(AI107&lt;&gt;"Ready","",IF(AD107="Reported verified",1,IF(AD107="Reported unverified",2,IF(F107="Motor",1,2))))</x:f>
      </x:c>
      <x:c r="AI107" s="9" t="str">
        <x:f>IF(C107="","",IF(AD107="Not assessed","Not assessed",IF(OR(O107="",NOT(ISNUMBER(H107)),NOT(ISNUMBER(P107))),"Evidence required",IF(OR(P107&lt;'Settings'!$F$8,H107&gt;'Settings'!$F$8,YEAR(H107)&lt;&gt;YEAR('Settings'!$F$8)),"Period / expiry review",IF(AF107&lt;&gt;"Yes","Boundary incomplete",IF(AM107="","S3 screening required",IF(OR(AD107="Reported verified",AD107="Reported unverified"),IF(NOT(OR(F107="Corporate private",F107="Corporate listed",F107="Project finance")),"Asset method required",IF(OR(NOT(ISNUMBER(AE107)),AE107&lt;0),"Reported value required","Ready")),"Scope 3 method required")))))))</x:f>
      </x:c>
      <x:c r="AJ107" s="9" t="str">
        <x:f>IF(C107="","",IF(OR(F107="Corporate private",F107="Corporate listed"),IFERROR(IF(INDEX('Borrowers'!$X$9:$X$108,MATCH(D107,'Borrowers'!$C$9:$C$108,0))="","",INDEX('Borrowers'!$X$9:$X$108,MATCH(D107,'Borrowers'!$C$9:$C$108,0))),""),IF(AQ107="","",AQ107)))</x:f>
      </x:c>
      <x:c r="AK107" s="43" t="str">
        <x:f>IF(C107="","",IF(OR(F107="Corporate private",F107="Corporate listed"),IFERROR(IF(INDEX('Borrowers'!$H$9:$H$108,MATCH(D107,'Borrowers'!$C$9:$C$108,0))="","",INDEX('Borrowers'!$H$9:$H$108,MATCH(D107,'Borrowers'!$C$9:$C$108,0))),""),IF(AR107="","",AR107)))</x:f>
      </x:c>
      <x:c r="AL107" s="9" t="str">
        <x:f>IF(C107="","",IF(COUNTIFS($C$9:$C$108,C107)&lt;&gt;1,"Duplicate entity ID",IF(COUNTIFS('Borrowers'!$C$9:$C$108,D107)&lt;&gt;1,"Borrower required",IF(AND(F107&lt;&gt;"Corporate private",F107&lt;&gt;"Corporate listed",F107&lt;&gt;"Project finance",F107&lt;&gt;"CRE",F107&lt;&gt;"Mortgage",F107&lt;&gt;"Motor"),"Method required",IF(OR(AND(F107="Corporate private",IFERROR(IF(INDEX('Borrowers'!$G$9:$G$108,MATCH(D107,'Borrowers'!$C$9:$C$108,0))="","",INDEX('Borrowers'!$G$9:$G$108,MATCH(D107,'Borrowers'!$C$9:$C$108,0))),"")&lt;&gt;"Private"),AND(F107="Corporate listed",IFERROR(IF(INDEX('Borrowers'!$G$9:$G$108,MATCH(D107,'Borrowers'!$C$9:$C$108,0))="","",INDEX('Borrowers'!$G$9:$G$108,MATCH(D107,'Borrowers'!$C$9:$C$108,0))),"")&lt;&gt;"Listed")),"Listing / class mismatch",IF(OR(NOT(ISNUMBER(N107)),N107&lt;=0,AJ107="",NOT(ISNUMBER(AK107))),"Value evidence required",IF(AND(OR(F107="Corporate private",F107="Corporate listed"),IFERROR(IF(INDEX('Borrowers'!$Y$9:$Y$108,MATCH(D107,'Borrowers'!$C$9:$C$108,0))="","",INDEX('Borrowers'!$Y$9:$Y$108,MATCH(D107,'Borrowers'!$C$9:$C$108,0))),"")&lt;'Settings'!$F$8),"Expired financial evidence",IF(AK107&gt;'Settings'!$F$8,"Future value date",IF(OR(AND(OR(F107="Corporate private",F107="Project finance"),OR(J107&lt;0,M107&lt;&gt;"Current financials")),AND(F107="Corporate listed",M107&lt;&gt;"Current financials"),AND(OR(F107="CRE",F107="Mortgage",F107="Motor"),AND(M107&lt;&gt;"Origination",M107&lt;&gt;"Fixed fallback"))),"Value basis review",IF(AND(M107="Current financials",YEAR(AK107)&lt;&gt;YEAR('Settings'!$F$8)),"Stale financial period","Ready"))))))))))</x:f>
      </x:c>
      <x:c r="AM107" s="8"/>
      <x:c r="AN107" s="8"/>
      <x:c r="AO107" s="16"/>
      <x:c r="AP107" s="16"/>
      <x:c r="AQ107" s="8"/>
      <x:c r="AR107" s="40"/>
    </x:row>
    <x:row r="108" ht="40" customHeight="1">
      <x:c r="A108" s="1"/>
      <x:c r="B108" s="1"/>
      <x:c r="C108" s="8"/>
      <x:c r="D108" s="8"/>
      <x:c r="E108" s="8"/>
      <x:c r="F108" s="8"/>
      <x:c r="G108" s="9" t="str">
        <x:f>IF(C108="","",IFERROR(IF(INDEX('Borrowers'!$E$9:$E$108,MATCH(D108,'Borrowers'!$C$9:$C$108,0))="","",INDEX('Borrowers'!$E$9:$E$108,MATCH(D108,'Borrowers'!$C$9:$C$108,0))),""))</x:f>
      </x:c>
      <x:c r="H108" s="40"/>
      <x:c r="I108" s="23" t="str">
        <x:f>IF(C108="","",IF(OR(F108="Corporate private",F108="Corporate listed"),IFERROR(IF(INDEX('Borrowers'!$M$9:$M$108,MATCH(D108,'Borrowers'!$C$9:$C$108,0))="","",INDEX('Borrowers'!$M$9:$M$108,MATCH(D108,'Borrowers'!$C$9:$C$108,0))),""),IF(F108="Project finance",IF(ISNUMBER(AO108),AO108,""),"")))</x:f>
      </x:c>
      <x:c r="J108" s="23" t="str">
        <x:f>IF(C108="","",IF(OR(F108="Corporate private",F108="Corporate listed"),IFERROR(IF(INDEX('Borrowers'!$N$9:$N$108,MATCH(D108,'Borrowers'!$C$9:$C$108,0))="","",INDEX('Borrowers'!$N$9:$N$108,MATCH(D108,'Borrowers'!$C$9:$C$108,0))),""),IF(F108="Project finance",IF(ISNUMBER(AP108),AP108,""),"")))</x:f>
      </x:c>
      <x:c r="K108" s="23" t="str">
        <x:f>IF(C108="","",IF(F108="Corporate listed",IFERROR(IF(INDEX('Borrowers'!$O$9:$O$108,MATCH(D108,'Borrowers'!$C$9:$C$108,0))="","",INDEX('Borrowers'!$O$9:$O$108,MATCH(D108,'Borrowers'!$C$9:$C$108,0))),""),""))</x:f>
      </x:c>
      <x:c r="L108" s="16"/>
      <x:c r="M108" s="8"/>
      <x:c r="N108" s="21" t="str">
        <x:f>IF(C108="","",IF(F108="Corporate listed",IF(ISNUMBER(K108),K108,""),IF(OR(F108="Corporate private",F108="Project finance"),IF(AND(ISNUMBER(I108),ISNUMBER(J108)),MAX(I108,0)+J108,""),IF(OR(F108="CRE",F108="Mortgage",F108="Motor"),IF(ISNUMBER(L108),L108,""),""))))</x:f>
      </x:c>
      <x:c r="O108" s="8"/>
      <x:c r="P108" s="40"/>
      <x:c r="Q108" s="8"/>
      <x:c r="R108" s="16"/>
      <x:c r="S108" s="8"/>
      <x:c r="T108" s="23" t="str">
        <x:f>IF(V108="Ready",IF(Q108="Activity",SUMIFS('Activity Data'!$U$9:$U$308,'Activity Data'!$D$9:$D$308,C108,'Activity Data'!$F$9:$F$308,"S1"),R108),"")</x:f>
      </x:c>
      <x:c r="U108" s="44" t="str">
        <x:f>IF(V108&lt;&gt;"Ready","",IF(Q108="Reported verified",1,IF(Q108="Reported unverified",2,IF(F108="Motor",1,2))))</x:f>
      </x:c>
      <x:c r="V108" s="9" t="str">
        <x:f>IF(C108="","",IF(Q108="Not assessed","Not assessed",IF(OR(O108="",NOT(ISNUMBER(H108)),NOT(ISNUMBER(P108))),"Evidence required",IF(OR(P108&lt;'Settings'!$F$8,H108&gt;'Settings'!$F$8,YEAR(H108)&lt;&gt;YEAR('Settings'!$F$8)),"Period / expiry review",IF(S108&lt;&gt;"Yes","Boundary incomplete",IF(OR(Q108="Reported verified",Q108="Reported unverified"),IF(NOT(OR(F108="Corporate private",F108="Corporate listed",F108="Project finance")),"Asset method required",IF(OR(NOT(ISNUMBER(R108)),R108&lt;0),"Reported value required","Ready")),IF(Q108="Activity",IF(AND(COUNTIFS('Activity Data'!$D$9:$D$308,C108,'Activity Data'!$F$9:$F$308,"S1")&gt;0,COUNTIFS('Activity Data'!$D$9:$D$308,C108,'Activity Data'!$F$9:$F$308,"S1")=COUNTIFS('Activity Data'!$D$9:$D$308,C108,'Activity Data'!$F$9:$F$308,"S1",'Activity Data'!$V$9:$V$308,"Ready")),"Ready","Activity incomplete"),"Method required")))))))</x:f>
      </x:c>
      <x:c r="W108" s="8"/>
      <x:c r="X108" s="16"/>
      <x:c r="Y108" s="8"/>
      <x:c r="Z108" s="23" t="str">
        <x:f>IF(AB108="Ready",IF(W108="Activity",SUMIFS('Activity Data'!$U$9:$U$308,'Activity Data'!$D$9:$D$308,C108,'Activity Data'!$F$9:$F$308,"S2"),X108),"")</x:f>
      </x:c>
      <x:c r="AA108" s="44" t="str">
        <x:f>IF(AB108&lt;&gt;"Ready","",IF(W108="Reported verified",1,IF(W108="Reported unverified",2,IF(F108="Motor",1,2))))</x:f>
      </x:c>
      <x:c r="AB108" s="9" t="str">
        <x:f>IF(C108="","",IF(W108="Not assessed","Not assessed",IF(OR(O108="",NOT(ISNUMBER(H108)),NOT(ISNUMBER(P108))),"Evidence required",IF(OR(P108&lt;'Settings'!$F$8,H108&gt;'Settings'!$F$8,YEAR(H108)&lt;&gt;YEAR('Settings'!$F$8)),"Period / expiry review",IF(Y108&lt;&gt;"Yes","Boundary incomplete",IF(OR(AND(AC108&lt;&gt;"Location-based",AC108&lt;&gt;"Market-based"),AND(W108="Activity",AC108&lt;&gt;"Location-based")),"S2 basis mismatch",IF(OR(W108="Reported verified",W108="Reported unverified"),IF(NOT(OR(F108="Corporate private",F108="Corporate listed",F108="Project finance")),"Asset method required",IF(OR(NOT(ISNUMBER(X108)),X108&lt;0),"Reported value required","Ready")),IF(W108="Activity",IF(AND(COUNTIFS('Activity Data'!$D$9:$D$308,C108,'Activity Data'!$F$9:$F$308,"S2")&gt;0,COUNTIFS('Activity Data'!$D$9:$D$308,C108,'Activity Data'!$F$9:$F$308,"S2")=COUNTIFS('Activity Data'!$D$9:$D$308,C108,'Activity Data'!$F$9:$F$308,"S2",'Activity Data'!$V$9:$V$308,"Ready")),"Ready","Activity incomplete"),"Method required"))))))))</x:f>
      </x:c>
      <x:c r="AC108" s="8"/>
      <x:c r="AD108" s="8"/>
      <x:c r="AE108" s="16"/>
      <x:c r="AF108" s="8"/>
      <x:c r="AG108" s="23" t="str">
        <x:f>IF(AI108="Ready",IF(AD108="Activity",SUMIFS('Activity Data'!$U$9:$U$308,'Activity Data'!$D$9:$D$308,C108,'Activity Data'!$F$9:$F$308,"S3"),AE108),"")</x:f>
      </x:c>
      <x:c r="AH108" s="44" t="str">
        <x:f>IF(AI108&lt;&gt;"Ready","",IF(AD108="Reported verified",1,IF(AD108="Reported unverified",2,IF(F108="Motor",1,2))))</x:f>
      </x:c>
      <x:c r="AI108" s="9" t="str">
        <x:f>IF(C108="","",IF(AD108="Not assessed","Not assessed",IF(OR(O108="",NOT(ISNUMBER(H108)),NOT(ISNUMBER(P108))),"Evidence required",IF(OR(P108&lt;'Settings'!$F$8,H108&gt;'Settings'!$F$8,YEAR(H108)&lt;&gt;YEAR('Settings'!$F$8)),"Period / expiry review",IF(AF108&lt;&gt;"Yes","Boundary incomplete",IF(AM108="","S3 screening required",IF(OR(AD108="Reported verified",AD108="Reported unverified"),IF(NOT(OR(F108="Corporate private",F108="Corporate listed",F108="Project finance")),"Asset method required",IF(OR(NOT(ISNUMBER(AE108)),AE108&lt;0),"Reported value required","Ready")),"Scope 3 method required")))))))</x:f>
      </x:c>
      <x:c r="AJ108" s="9" t="str">
        <x:f>IF(C108="","",IF(OR(F108="Corporate private",F108="Corporate listed"),IFERROR(IF(INDEX('Borrowers'!$X$9:$X$108,MATCH(D108,'Borrowers'!$C$9:$C$108,0))="","",INDEX('Borrowers'!$X$9:$X$108,MATCH(D108,'Borrowers'!$C$9:$C$108,0))),""),IF(AQ108="","",AQ108)))</x:f>
      </x:c>
      <x:c r="AK108" s="43" t="str">
        <x:f>IF(C108="","",IF(OR(F108="Corporate private",F108="Corporate listed"),IFERROR(IF(INDEX('Borrowers'!$H$9:$H$108,MATCH(D108,'Borrowers'!$C$9:$C$108,0))="","",INDEX('Borrowers'!$H$9:$H$108,MATCH(D108,'Borrowers'!$C$9:$C$108,0))),""),IF(AR108="","",AR108)))</x:f>
      </x:c>
      <x:c r="AL108" s="9" t="str">
        <x:f>IF(C108="","",IF(COUNTIFS($C$9:$C$108,C108)&lt;&gt;1,"Duplicate entity ID",IF(COUNTIFS('Borrowers'!$C$9:$C$108,D108)&lt;&gt;1,"Borrower required",IF(AND(F108&lt;&gt;"Corporate private",F108&lt;&gt;"Corporate listed",F108&lt;&gt;"Project finance",F108&lt;&gt;"CRE",F108&lt;&gt;"Mortgage",F108&lt;&gt;"Motor"),"Method required",IF(OR(AND(F108="Corporate private",IFERROR(IF(INDEX('Borrowers'!$G$9:$G$108,MATCH(D108,'Borrowers'!$C$9:$C$108,0))="","",INDEX('Borrowers'!$G$9:$G$108,MATCH(D108,'Borrowers'!$C$9:$C$108,0))),"")&lt;&gt;"Private"),AND(F108="Corporate listed",IFERROR(IF(INDEX('Borrowers'!$G$9:$G$108,MATCH(D108,'Borrowers'!$C$9:$C$108,0))="","",INDEX('Borrowers'!$G$9:$G$108,MATCH(D108,'Borrowers'!$C$9:$C$108,0))),"")&lt;&gt;"Listed")),"Listing / class mismatch",IF(OR(NOT(ISNUMBER(N108)),N108&lt;=0,AJ108="",NOT(ISNUMBER(AK108))),"Value evidence required",IF(AND(OR(F108="Corporate private",F108="Corporate listed"),IFERROR(IF(INDEX('Borrowers'!$Y$9:$Y$108,MATCH(D108,'Borrowers'!$C$9:$C$108,0))="","",INDEX('Borrowers'!$Y$9:$Y$108,MATCH(D108,'Borrowers'!$C$9:$C$108,0))),"")&lt;'Settings'!$F$8),"Expired financial evidence",IF(AK108&gt;'Settings'!$F$8,"Future value date",IF(OR(AND(OR(F108="Corporate private",F108="Project finance"),OR(J108&lt;0,M108&lt;&gt;"Current financials")),AND(F108="Corporate listed",M108&lt;&gt;"Current financials"),AND(OR(F108="CRE",F108="Mortgage",F108="Motor"),AND(M108&lt;&gt;"Origination",M108&lt;&gt;"Fixed fallback"))),"Value basis review",IF(AND(M108="Current financials",YEAR(AK108)&lt;&gt;YEAR('Settings'!$F$8)),"Stale financial period","Ready"))))))))))</x:f>
      </x:c>
      <x:c r="AM108" s="8"/>
      <x:c r="AN108" s="8"/>
      <x:c r="AO108" s="16"/>
      <x:c r="AP108" s="16"/>
      <x:c r="AQ108" s="8"/>
      <x:c r="AR108" s="40"/>
    </x:row>
  </x:sheetData>
  <x:mergeCells>
    <x:mergeCell ref="C2:H2"/>
    <x:mergeCell ref="C3:M3"/>
    <x:mergeCell ref="H6:AR6"/>
    <x:mergeCell ref="C7:F7"/>
    <x:mergeCell ref="G7:J7"/>
    <x:mergeCell ref="K7:N7"/>
    <x:mergeCell ref="D6:F6"/>
    <x:mergeCell ref="C1:D1"/>
    <x:mergeCell ref="E1:F1"/>
    <x:mergeCell ref="G1:H1"/>
    <x:mergeCell ref="I1:J1"/>
    <x:mergeCell ref="K1:L1"/>
    <x:mergeCell ref="M1:N1"/>
  </x:mergeCells>
  <x:conditionalFormatting sqref="V9:V108">
    <x:cfRule type="containsText" dxfId="304" priority="1" operator="containsText" text="Missing"/>
    <x:cfRule type="containsText" dxfId="305" priority="2" operator="containsText" text="Required"/>
    <x:cfRule type="containsText" dxfId="306" priority="3" operator="containsText" text="required"/>
    <x:cfRule type="containsText" dxfId="307" priority="4" operator="containsText" text="Expired"/>
    <x:cfRule type="containsText" dxfId="308" priority="5" operator="containsText" text="Hold"/>
    <x:cfRule type="containsText" dxfId="309" priority="6" operator="containsText" text="Review"/>
    <x:cfRule type="containsText" dxfId="310" priority="7" operator="containsText" text="Incomplete"/>
    <x:cfRule type="containsText" dxfId="311" priority="8" operator="containsText" text="Pending"/>
    <x:cfRule type="containsText" dxfId="312" priority="9" operator="containsText" text="Unsupported"/>
    <x:cfRule type="containsText" dxfId="313" priority="10" operator="containsText" text="Criteria"/>
    <x:cfRule type="containsText" dxfId="314" priority="11" operator="containsText" text="Fail"/>
    <x:cfRule type="containsText" dxfId="315" priority="12" operator="containsText" text="Stop"/>
    <x:cfRule type="containsText" dxfId="316" priority="13" operator="containsText" text="Breach"/>
    <x:cfRule type="containsText" dxfId="317" priority="14" operator="containsText" text="Invalid"/>
    <x:cfRule type="containsText" dxfId="318" priority="15" operator="containsText" text="Duplicate"/>
    <x:cfRule type="containsText" dxfId="319" priority="16" operator="containsText" text="Not aligned"/>
  </x:conditionalFormatting>
  <x:conditionalFormatting sqref="AB9:AB108">
    <x:cfRule type="containsText" dxfId="320" priority="17" operator="containsText" text="Missing"/>
    <x:cfRule type="containsText" dxfId="321" priority="18" operator="containsText" text="Required"/>
    <x:cfRule type="containsText" dxfId="322" priority="19" operator="containsText" text="required"/>
    <x:cfRule type="containsText" dxfId="323" priority="20" operator="containsText" text="Expired"/>
    <x:cfRule type="containsText" dxfId="324" priority="21" operator="containsText" text="Hold"/>
    <x:cfRule type="containsText" dxfId="325" priority="22" operator="containsText" text="Review"/>
    <x:cfRule type="containsText" dxfId="326" priority="23" operator="containsText" text="Incomplete"/>
    <x:cfRule type="containsText" dxfId="327" priority="24" operator="containsText" text="Pending"/>
    <x:cfRule type="containsText" dxfId="328" priority="25" operator="containsText" text="Unsupported"/>
    <x:cfRule type="containsText" dxfId="329" priority="26" operator="containsText" text="Criteria"/>
    <x:cfRule type="containsText" dxfId="330" priority="27" operator="containsText" text="Fail"/>
    <x:cfRule type="containsText" dxfId="331" priority="28" operator="containsText" text="Stop"/>
    <x:cfRule type="containsText" dxfId="332" priority="29" operator="containsText" text="Breach"/>
    <x:cfRule type="containsText" dxfId="333" priority="30" operator="containsText" text="Invalid"/>
    <x:cfRule type="containsText" dxfId="334" priority="31" operator="containsText" text="Duplicate"/>
    <x:cfRule type="containsText" dxfId="335" priority="32" operator="containsText" text="Not aligned"/>
  </x:conditionalFormatting>
  <x:conditionalFormatting sqref="AI9:AI108">
    <x:cfRule type="containsText" dxfId="336" priority="33" operator="containsText" text="Missing"/>
    <x:cfRule type="containsText" dxfId="337" priority="34" operator="containsText" text="Required"/>
    <x:cfRule type="containsText" dxfId="338" priority="35" operator="containsText" text="required"/>
    <x:cfRule type="containsText" dxfId="339" priority="36" operator="containsText" text="Expired"/>
    <x:cfRule type="containsText" dxfId="340" priority="37" operator="containsText" text="Hold"/>
    <x:cfRule type="containsText" dxfId="341" priority="38" operator="containsText" text="Review"/>
    <x:cfRule type="containsText" dxfId="342" priority="39" operator="containsText" text="Incomplete"/>
    <x:cfRule type="containsText" dxfId="343" priority="40" operator="containsText" text="Pending"/>
    <x:cfRule type="containsText" dxfId="344" priority="41" operator="containsText" text="Unsupported"/>
    <x:cfRule type="containsText" dxfId="345" priority="42" operator="containsText" text="Criteria"/>
    <x:cfRule type="containsText" dxfId="346" priority="43" operator="containsText" text="Fail"/>
    <x:cfRule type="containsText" dxfId="347" priority="44" operator="containsText" text="Stop"/>
    <x:cfRule type="containsText" dxfId="348" priority="45" operator="containsText" text="Breach"/>
    <x:cfRule type="containsText" dxfId="349" priority="46" operator="containsText" text="Invalid"/>
    <x:cfRule type="containsText" dxfId="350" priority="47" operator="containsText" text="Duplicate"/>
    <x:cfRule type="containsText" dxfId="351" priority="48" operator="containsText" text="Not aligned"/>
  </x:conditionalFormatting>
  <x:conditionalFormatting sqref="AL9:AL108">
    <x:cfRule type="containsText" dxfId="352" priority="49" operator="containsText" text="Missing"/>
    <x:cfRule type="containsText" dxfId="353" priority="50" operator="containsText" text="Required"/>
    <x:cfRule type="containsText" dxfId="354" priority="51" operator="containsText" text="required"/>
    <x:cfRule type="containsText" dxfId="355" priority="52" operator="containsText" text="Expired"/>
    <x:cfRule type="containsText" dxfId="356" priority="53" operator="containsText" text="Hold"/>
    <x:cfRule type="containsText" dxfId="357" priority="54" operator="containsText" text="Review"/>
    <x:cfRule type="containsText" dxfId="358" priority="55" operator="containsText" text="Incomplete"/>
    <x:cfRule type="containsText" dxfId="359" priority="56" operator="containsText" text="Pending"/>
    <x:cfRule type="containsText" dxfId="360" priority="57" operator="containsText" text="Unsupported"/>
    <x:cfRule type="containsText" dxfId="361" priority="58" operator="containsText" text="Criteria"/>
    <x:cfRule type="containsText" dxfId="362" priority="59" operator="containsText" text="Fail"/>
    <x:cfRule type="containsText" dxfId="363" priority="60" operator="containsText" text="Stop"/>
    <x:cfRule type="containsText" dxfId="364" priority="61" operator="containsText" text="Breach"/>
    <x:cfRule type="containsText" dxfId="365" priority="62" operator="containsText" text="Invalid"/>
    <x:cfRule type="containsText" dxfId="366" priority="63" operator="containsText" text="Duplicate"/>
    <x:cfRule type="containsText" dxfId="367" priority="64" operator="containsText" text="Not aligned"/>
  </x:conditionalFormatting>
  <x:dataValidations count="10">
    <x:dataValidation type="list" sqref="F9:F108">
      <x:formula1>"Corporate private,Corporate listed,Project finance,CRE,Mortgage,Motor,Method required"</x:formula1>
    </x:dataValidation>
    <x:dataValidation type="list" sqref="M9:M108">
      <x:formula1>"Current financials,Origination,Fixed fallback"</x:formula1>
    </x:dataValidation>
    <x:dataValidation type="list" sqref="Q9:Q108">
      <x:formula1>"Reported verified,Reported unverified,Activity,Not assessed"</x:formula1>
    </x:dataValidation>
    <x:dataValidation type="list" sqref="W9:W108">
      <x:formula1>"Reported verified,Reported unverified,Activity,Not assessed"</x:formula1>
    </x:dataValidation>
    <x:dataValidation type="list" sqref="AD9:AD108">
      <x:formula1>"Reported verified,Reported unverified,Activity,Not assessed"</x:formula1>
    </x:dataValidation>
    <x:dataValidation type="list" sqref="S9:S108">
      <x:formula1>"Yes,No"</x:formula1>
    </x:dataValidation>
    <x:dataValidation type="list" sqref="Y9:Y108">
      <x:formula1>"Yes,No"</x:formula1>
    </x:dataValidation>
    <x:dataValidation type="list" sqref="AF9:AF108">
      <x:formula1>"Yes,No"</x:formula1>
    </x:dataValidation>
    <x:dataValidation type="list" sqref="AC9:AC108">
      <x:formula1>"Location-based,Market-based"</x:formula1>
    </x:dataValidation>
    <x:dataValidation type="list" sqref="AN9:AN108">
      <x:formula1>"Single boundary,Review overlap,Reviewed overlap"</x:formula1>
    </x:dataValidation>
  </x:dataValidations>
  <x:hyperlinks>
    <x:hyperlink ref="C7" location="'Inventory'!I8" display="Entity value" tooltip="Open Inventory"/>
    <x:hyperlink ref="G7" location="'Inventory'!Q8" display="Scope 1 and Scope 2" tooltip="Open Inventory"/>
    <x:hyperlink ref="K7" location="'Inventory'!AD8" display="Scope 3 and status" tooltip="Open Inventory"/>
    <x:hyperlink ref="C1" location="'Overview'!C2" display="Home" tooltip="Open Overview"/>
    <x:hyperlink ref="E1" location="'Customer'!C2" display="Customer" tooltip="Open Customer"/>
    <x:hyperlink ref="G1" location="'Capital'!C2" display="Capital" tooltip="Open Capital"/>
    <x:hyperlink ref="I1" location="'Disclosures'!C2" display="Reporting" tooltip="Open Disclosures"/>
    <x:hyperlink ref="K1" location="'Borrowers'!C8" display="Inputs" tooltip="Open Borrowers"/>
    <x:hyperlink ref="M1" location="'Settings'!C5" display="Settings" tooltip="Open Settings"/>
  </x:hyperlinks>
  <x:pageMargins left="0.7" right="0.7" top="0.75" bottom="0.75" header="0.3" footer="0.3"/>
  <x:tableParts count="1">
    <x:tablePart xmlns:r="http://schemas.openxmlformats.org/officeDocument/2006/relationships" r:id="R4462403dd12f43e3"/>
  </x:tableParts>
</x:worksheet>
</file>

<file path=xl/worksheets/sheet18.xml><?xml version="1.0" encoding="utf-8"?>
<x:worksheet xmlns:x="http://schemas.openxmlformats.org/spreadsheetml/2006/main">
  <x:sheetPr>
    <x:tabColor rgb="FF007F86"/>
  </x:sheetPr>
  <x:sheetViews>
    <x:sheetView showGridLines="0" workbookViewId="0">
      <x:pane xSplit="4" ySplit="8" topLeftCell="E9" activePane="bottomRight" state="frozen"/>
    </x:sheetView>
  </x:sheetViews>
  <x:sheetFormatPr defaultRowHeight="15"/>
  <x:cols>
    <x:col min="1" max="1" width="2.4000000953674316" hidden="0" customWidth="1"/>
    <x:col min="2" max="2" width="2.4000000953674316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  <x:col min="29" max="29" width="17" hidden="0" customWidth="1"/>
    <x:col min="30" max="30" width="17" hidden="0" customWidth="1"/>
    <x:col min="31" max="31" width="17" hidden="0" customWidth="1"/>
    <x:col min="32" max="32" width="17" hidden="0" customWidth="1"/>
  </x:cols>
  <x:sheetData>
    <x:row r="1" ht="27" customHeight="1">
      <x:c r="A1" s="1"/>
      <x:c r="B1" s="1"/>
      <x:c r="C1" s="50" t="str">
        <x:v>Home</x:v>
      </x:c>
      <x:c r="D1" s="50"/>
      <x:c r="E1" s="63" t="str">
        <x:v>Customer</x:v>
      </x:c>
      <x:c r="F1" s="63"/>
      <x:c r="G1" s="63" t="str">
        <x:v>Capital</x:v>
      </x:c>
      <x:c r="H1" s="63"/>
      <x:c r="I1" s="63" t="str">
        <x:v>Reporting</x:v>
      </x:c>
      <x:c r="J1" s="63"/>
      <x:c r="K1" s="63" t="str">
        <x:v>Inputs</x:v>
      </x:c>
      <x:c r="L1" s="63"/>
      <x:c r="M1" s="63" t="str">
        <x:v>Settings</x:v>
      </x:c>
      <x:c r="N1" s="6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</x:row>
    <x:row r="2" ht="45" customHeight="1">
      <x:c r="A2" s="1"/>
      <x:c r="B2" s="1"/>
      <x:c r="C2" s="5" t="str">
        <x:v>Financed emissions</x:v>
      </x:c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  <x:c r="Y2" s="5"/>
      <x:c r="Z2" s="5"/>
      <x:c r="AA2" s="5"/>
      <x:c r="AB2" s="5"/>
      <x:c r="AC2" s="5"/>
      <x:c r="AD2" s="5"/>
      <x:c r="AE2" s="5"/>
      <x:c r="AF2" s="5"/>
    </x:row>
    <x:row r="3" ht="32" customHeight="1">
      <x:c r="A3" s="1"/>
      <x:c r="B3" s="1"/>
      <x:c r="C3" s="6" t="str">
        <x:v>Annual gross attributed emissions. Drawn USDm / class-specific denominator. Coverage and DQ are reported separately by scope.</x:v>
      </x:c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  <x:c r="AA3" s="3"/>
      <x:c r="AB3" s="3"/>
      <x:c r="AC3" s="3"/>
      <x:c r="AD3" s="3"/>
      <x:c r="AE3" s="3"/>
      <x:c r="AF3" s="3"/>
    </x:row>
    <x:row r="4" ht="26" customHeight="1">
      <x:c r="A4" s="1"/>
      <x:c r="B4" s="1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  <x:c r="Y4" s="3"/>
      <x:c r="Z4" s="3"/>
      <x:c r="AA4" s="3"/>
      <x:c r="AB4" s="3"/>
      <x:c r="AC4" s="3"/>
      <x:c r="AD4" s="3"/>
      <x:c r="AE4" s="3"/>
      <x:c r="AF4" s="3"/>
    </x:row>
    <x:row r="5" ht="42" customHeight="1">
      <x:c r="A5" s="1"/>
      <x:c r="B5" s="1"/>
      <x:c r="C5" s="3" t="str">
        <x:v>Covered S1 + S2 t</x:v>
      </x:c>
      <x:c r="D5" s="21" t="n">
        <x:f>SUMIFS(J9:J108,R9:R108,"Ready",S9:S108,"Ready",T9:T108,"Ready")+SUMIFS(K9:K108,R9:R108,"Ready",S9:S108,"Ready",T9:T108,"Ready")</x:f>
        <x:v>48668.63080271585</x:v>
      </x:c>
      <x:c r="E5" s="3"/>
      <x:c r="F5" s="3"/>
      <x:c r="G5" s="3" t="str">
        <x:v>S3 t</x:v>
      </x:c>
      <x:c r="H5" s="21" t="n">
        <x:f>SUM(L9:L108)</x:f>
        <x:v>93029.8912921727</x:v>
      </x:c>
      <x:c r="I5" s="3"/>
      <x:c r="J5" s="3"/>
      <x:c r="K5" s="3" t="str">
        <x:v>S1 + S2 coverage</x:v>
      </x:c>
      <x:c r="L5" s="17" t="n">
        <x:f>IF(OR(COUNTIFS(R9:R108,"Drawn value required")&gt;0,SUM(G9:G108)&lt;=0),"",SUM(M9:M108)/SUM(G9:G108))</x:f>
        <x:v>1</x:v>
      </x:c>
      <x:c r="M5" s="3"/>
      <x:c r="N5" s="3"/>
      <x:c r="O5" s="3" t="str">
        <x:v>S3 coverage</x:v>
      </x:c>
      <x:c r="P5" s="17" t="n">
        <x:f>IF(OR(COUNTIFS(R9:R108,"Drawn value required")&gt;0,SUM(G9:G108)&lt;=0),"",SUM(N9:N108)/SUM(G9:G108))</x:f>
        <x:v>0.8648498331479422</x:v>
      </x:c>
      <x:c r="Q5" s="3"/>
      <x:c r="R5" s="3"/>
      <x:c r="S5" s="3" t="str">
        <x:v>S1 + S2 DQ</x:v>
      </x:c>
      <x:c r="T5" s="21" t="n">
        <x:f>IF(SUM(M9:M108)&gt;0,SUM(AD9:AD108)/SUM(M9:M108),"")</x:f>
        <x:v>1.632183908045977</x:v>
      </x:c>
      <x:c r="U5" s="3"/>
      <x:c r="V5" s="3"/>
      <x:c r="W5" s="3" t="str">
        <x:v>S3 DQ</x:v>
      </x:c>
      <x:c r="X5" s="21" t="n">
        <x:f>IF(SUM(N9:N108)&gt;0,SUM(AC9:AC108)/SUM(N9:N108),"")</x:f>
        <x:v>2</x:v>
      </x:c>
      <x:c r="Y5" s="3"/>
      <x:c r="Z5" s="3"/>
      <x:c r="AA5" s="3"/>
      <x:c r="AB5" s="3"/>
      <x:c r="AC5" s="3"/>
      <x:c r="AD5" s="3"/>
      <x:c r="AE5" s="3"/>
      <x:c r="AF5" s="3"/>
    </x:row>
    <x:row r="6" ht="42" customHeight="1">
      <x:c r="A6" s="1"/>
      <x:c r="B6" s="1"/>
      <x:c r="C6" s="3" t="str">
        <x:v>S1 coverage</x:v>
      </x:c>
      <x:c r="D6" s="17" t="n">
        <x:f>IF(OR(COUNTIFS(R9:R108,"Drawn value required")&gt;0,SUM(G9:G108)&lt;=0),"",SUM(Y9:Y108)/SUM(G9:G108))</x:f>
        <x:v>1</x:v>
      </x:c>
      <x:c r="E6" s="3"/>
      <x:c r="F6" s="3"/>
      <x:c r="G6" s="3" t="str">
        <x:v>S2 coverage</x:v>
      </x:c>
      <x:c r="H6" s="17" t="n">
        <x:f>IF(OR(COUNTIFS(R9:R108,"Drawn value required")&gt;0,SUM(G9:G108)&lt;=0),"",SUM(Z9:Z108)/SUM(G9:G108))</x:f>
        <x:v>1</x:v>
      </x:c>
      <x:c r="I6" s="3"/>
      <x:c r="J6" s="3"/>
      <x:c r="K6" s="3" t="str">
        <x:v>Methods pending</x:v>
      </x:c>
      <x:c r="L6" s="9" t="n">
        <x:f>COUNTA('Facilities'!$C$9:$C$108)-COUNTIFS(R9:R108,"Ready")</x:f>
        <x:v>0</x:v>
      </x:c>
      <x:c r="M6" s="3"/>
      <x:c r="N6" s="3"/>
      <x:c r="O6" s="3" t="str">
        <x:v>Overlap review USDm</x:v>
      </x:c>
      <x:c r="P6" s="21" t="n">
        <x:f>SUMIFS(G9:G108,AF9:AF108,"Review overlap")</x:f>
        <x:v>67.39999999999999</x:v>
      </x:c>
      <x:c r="Q6" s="3"/>
      <x:c r="R6" s="3"/>
      <x:c r="S6" s="3"/>
      <x:c r="T6" s="3"/>
      <x:c r="U6" s="3"/>
      <x:c r="V6" s="3"/>
      <x:c r="W6" s="3"/>
      <x:c r="X6" s="3"/>
      <x:c r="Y6" s="3"/>
      <x:c r="Z6" s="3"/>
      <x:c r="AA6" s="3"/>
      <x:c r="AB6" s="3"/>
      <x:c r="AC6" s="3"/>
      <x:c r="AD6" s="3"/>
      <x:c r="AE6" s="3"/>
      <x:c r="AF6" s="3"/>
    </x:row>
    <x:row r="7" ht="26" customHeight="1">
      <x:c r="A7" s="1"/>
      <x:c r="B7" s="1"/>
      <x:c r="C7" s="50" t="str">
        <x:v>Attribution and scopes</x:v>
      </x:c>
      <x:c r="D7" s="50"/>
      <x:c r="E7" s="50"/>
      <x:c r="F7" s="50"/>
      <x:c r="G7" s="63" t="str">
        <x:v>Coverage and status</x:v>
      </x:c>
      <x:c r="H7" s="63"/>
      <x:c r="I7" s="63"/>
      <x:c r="J7" s="63"/>
      <x:c r="K7" s="63" t="str">
        <x:v>Quality and overlap</x:v>
      </x:c>
      <x:c r="L7" s="63"/>
      <x:c r="M7" s="63"/>
      <x:c r="N7" s="63"/>
      <x:c r="O7" s="3"/>
      <x:c r="P7" s="3"/>
      <x:c r="Q7" s="3"/>
      <x:c r="R7" s="3"/>
      <x:c r="S7" s="3"/>
      <x:c r="T7" s="3"/>
      <x:c r="U7" s="3"/>
      <x:c r="V7" s="3"/>
      <x:c r="W7" s="3"/>
      <x:c r="X7" s="3"/>
      <x:c r="Y7" s="3"/>
      <x:c r="Z7" s="3"/>
      <x:c r="AA7" s="3"/>
      <x:c r="AB7" s="3"/>
      <x:c r="AC7" s="3"/>
      <x:c r="AD7" s="3"/>
      <x:c r="AE7" s="3"/>
      <x:c r="AF7" s="3"/>
    </x:row>
    <x:row r="8" ht="46" customHeight="1">
      <x:c r="A8" s="1"/>
      <x:c r="B8" s="1"/>
      <x:c r="C8" s="15" t="str">
        <x:v>Facility ID</x:v>
      </x:c>
      <x:c r="D8" s="15" t="str">
        <x:v>Borrower ID</x:v>
      </x:c>
      <x:c r="E8" s="15" t="str">
        <x:v>Asset class</x:v>
      </x:c>
      <x:c r="F8" s="15" t="str">
        <x:v>Entity ID</x:v>
      </x:c>
      <x:c r="G8" s="15" t="str">
        <x:v>Drawn USDm</x:v>
      </x:c>
      <x:c r="H8" s="15" t="str">
        <x:v>Denominator USDm</x:v>
      </x:c>
      <x:c r="I8" s="15" t="str">
        <x:v>Attribution</x:v>
      </x:c>
      <x:c r="J8" s="15" t="str">
        <x:v>Financed S1 t</x:v>
      </x:c>
      <x:c r="K8" s="15" t="str">
        <x:v>Financed S2 t</x:v>
      </x:c>
      <x:c r="L8" s="15" t="str">
        <x:v>Financed S3 t</x:v>
      </x:c>
      <x:c r="M8" s="15" t="str">
        <x:v>S1 + S2 covered USDm</x:v>
      </x:c>
      <x:c r="N8" s="15" t="str">
        <x:v>S3 covered USDm</x:v>
      </x:c>
      <x:c r="O8" s="15" t="str">
        <x:v>S1 DQ</x:v>
      </x:c>
      <x:c r="P8" s="15" t="str">
        <x:v>S2 DQ</x:v>
      </x:c>
      <x:c r="Q8" s="15" t="str">
        <x:v>S3 DQ</x:v>
      </x:c>
      <x:c r="R8" s="15" t="str">
        <x:v>Method status</x:v>
      </x:c>
      <x:c r="S8" s="15" t="str">
        <x:v>S1 status</x:v>
      </x:c>
      <x:c r="T8" s="15" t="str">
        <x:v>S2 status</x:v>
      </x:c>
      <x:c r="U8" s="15" t="str">
        <x:v>S3 status</x:v>
      </x:c>
      <x:c r="V8" s="15" t="str">
        <x:v>Evidence expiry</x:v>
      </x:c>
      <x:c r="W8" s="15" t="str">
        <x:v>Method reference</x:v>
      </x:c>
      <x:c r="X8" s="15" t="str">
        <x:v>Entity drawn USDm</x:v>
      </x:c>
      <x:c r="Y8" s="15" t="str">
        <x:v>S1 covered USDm</x:v>
      </x:c>
      <x:c r="Z8" s="15" t="str">
        <x:v>S2 covered USDm</x:v>
      </x:c>
      <x:c r="AA8" s="15" t="str">
        <x:v>S1 DQ weighted</x:v>
      </x:c>
      <x:c r="AB8" s="15" t="str">
        <x:v>S2 DQ weighted</x:v>
      </x:c>
      <x:c r="AC8" s="15" t="str">
        <x:v>S3 DQ weighted</x:v>
      </x:c>
      <x:c r="AD8" s="15" t="str">
        <x:v>S1 + S2 DQ weighted</x:v>
      </x:c>
      <x:c r="AE8" s="15" t="str">
        <x:v>S2 basis</x:v>
      </x:c>
      <x:c r="AF8" s="15" t="str">
        <x:v>Overlap status</x:v>
      </x:c>
    </x:row>
    <x:row r="9" ht="26" customHeight="1">
      <x:c r="A9" s="1"/>
      <x:c r="B9" s="1"/>
      <x:c r="C9" s="9" t="str">
        <x:f>IF('Facilities'!C9="","",'Facilities'!C9)</x:f>
        <x:v>F001</x:v>
      </x:c>
      <x:c r="D9" s="9" t="str">
        <x:f>IF(C9="","",IFERROR(IF(INDEX('Facilities'!$D$9:$D$108,MATCH(C9,'Facilities'!$C$9:$C$108,0))="","",INDEX('Facilities'!$D$9:$D$108,MATCH(C9,'Facilities'!$C$9:$C$108,0))),""))</x:f>
        <x:v>B001</x:v>
      </x:c>
      <x:c r="E9" s="9" t="str">
        <x:f>IF(C9="","",IFERROR(IF(INDEX('Facilities'!$E$9:$E$108,MATCH(C9,'Facilities'!$C$9:$C$108,0))="","",INDEX('Facilities'!$E$9:$E$108,MATCH(C9,'Facilities'!$C$9:$C$108,0))),""))</x:f>
        <x:v>Corporate listed</x:v>
      </x:c>
      <x:c r="F9" s="9" t="str">
        <x:f>IF(C9="","",IFERROR(IF(INDEX('Facilities'!$U$9:$U$108,MATCH(C9,'Facilities'!$C$9:$C$108,0))="","",INDEX('Facilities'!$U$9:$U$108,MATCH(C9,'Facilities'!$C$9:$C$108,0))),""))</x:f>
        <x:v>B001</x:v>
      </x:c>
      <x:c r="G9" s="23" t="n">
        <x:f>IF(C9="","",IFERROR(IF(INDEX('Facilities'!$AA$9:$AA$108,MATCH(C9,'Facilities'!$C$9:$C$108,0))="","",INDEX('Facilities'!$AA$9:$AA$108,MATCH(C9,'Facilities'!$C$9:$C$108,0))),""))</x:f>
        <x:v>5</x:v>
      </x:c>
      <x:c r="H9" s="23" t="n">
        <x:f>IF(C9="","",IFERROR(IF(INDEX('Inventory'!$N$9:$N$108,MATCH(F9,'Inventory'!$C$9:$C$108,0))="","",INDEX('Inventory'!$N$9:$N$108,MATCH(F9,'Inventory'!$C$9:$C$108,0))),""))</x:f>
        <x:v>110</x:v>
      </x:c>
      <x:c r="I9" s="17" t="n">
        <x:f>IF(R9="Ready",G9/H9,"")</x:f>
        <x:v>0.045454545454545456</x:v>
      </x:c>
      <x:c r="J9" s="23" t="n">
        <x:f>IF(AND(R9="Ready",S9="Ready"),I9*IFERROR(IF(INDEX('Inventory'!$T$9:$T$108,MATCH(F9,'Inventory'!$C$9:$C$108,0))="","",INDEX('Inventory'!$T$9:$T$108,MATCH(F9,'Inventory'!$C$9:$C$108,0))),""),"")</x:f>
        <x:v>5909.090909090909</x:v>
      </x:c>
      <x:c r="K9" s="23" t="n">
        <x:f>IF(AND(R9="Ready",T9="Ready"),I9*IFERROR(IF(INDEX('Inventory'!$Z$9:$Z$108,MATCH(F9,'Inventory'!$C$9:$C$108,0))="","",INDEX('Inventory'!$Z$9:$Z$108,MATCH(F9,'Inventory'!$C$9:$C$108,0))),""),"")</x:f>
        <x:v>77.27272727272728</x:v>
      </x:c>
      <x:c r="L9" s="23" t="n">
        <x:f>IF(AND(R9="Ready",U9="Ready"),I9*IFERROR(IF(INDEX('Inventory'!$AG$9:$AG$108,MATCH(F9,'Inventory'!$C$9:$C$108,0))="","",INDEX('Inventory'!$AG$9:$AG$108,MATCH(F9,'Inventory'!$C$9:$C$108,0))),""),"")</x:f>
        <x:v>10000</x:v>
      </x:c>
      <x:c r="M9" s="21" t="n">
        <x:f>IF(AND(R9="Ready",S9="Ready",T9="Ready"),G9,0)</x:f>
        <x:v>5</x:v>
      </x:c>
      <x:c r="N9" s="21" t="n">
        <x:f>IF(AND(R9="Ready",U9="Ready"),G9,0)</x:f>
        <x:v>5</x:v>
      </x:c>
      <x:c r="O9" s="42" t="n">
        <x:f>IF(C9="","",IFERROR(IF(INDEX('Inventory'!$U$9:$U$108,MATCH(F9,'Inventory'!$C$9:$C$108,0))="","",INDEX('Inventory'!$U$9:$U$108,MATCH(F9,'Inventory'!$C$9:$C$108,0))),""))</x:f>
        <x:v>1</x:v>
      </x:c>
      <x:c r="P9" s="42" t="n">
        <x:f>IF(C9="","",IFERROR(IF(INDEX('Inventory'!$AA$9:$AA$108,MATCH(F9,'Inventory'!$C$9:$C$108,0))="","",INDEX('Inventory'!$AA$9:$AA$108,MATCH(F9,'Inventory'!$C$9:$C$108,0))),""))</x:f>
        <x:v>1</x:v>
      </x:c>
      <x:c r="Q9" s="42" t="n">
        <x:f>IF(C9="","",IFERROR(IF(INDEX('Inventory'!$AH$9:$AH$108,MATCH(F9,'Inventory'!$C$9:$C$108,0))="","",INDEX('Inventory'!$AH$9:$AH$108,MATCH(F9,'Inventory'!$C$9:$C$108,0))),""))</x:f>
        <x:v>2</x:v>
      </x:c>
      <x:c r="R9" s="9" t="str">
        <x:f>IF(C9="","",IF(COUNTIFS('Facilities'!$C$9:$C$108,C9)&lt;&gt;1,"Duplicate facility ID",IF(OR(NOT(ISNUMBER(IFERROR(IF(INDEX('Facilities'!$G$9:$G$108,MATCH(C9,'Facilities'!$C$9:$C$108,0))="","",INDEX('Facilities'!$G$9:$G$108,MATCH(C9,'Facilities'!$C$9:$C$108,0))),""))),NOT(ISNUMBER(G9)),G9&lt;0,IFERROR(IF(INDEX('Facilities'!$Z$9:$Z$108,MATCH(C9,'Facilities'!$C$9:$C$108,0))="","",INDEX('Facilities'!$Z$9:$Z$108,MATCH(C9,'Facilities'!$C$9:$C$108,0))),"")&lt;=0),"Drawn value required",IF(COUNTIFS('Inventory'!$C$9:$C$108,F9)&lt;&gt;1,"Entity required",IF(OR(E9&lt;&gt;IFERROR(IF(INDEX('Inventory'!$F$9:$F$108,MATCH(F9,'Inventory'!$C$9:$C$108,0))="","",INDEX('Inventory'!$F$9:$F$108,MATCH(F9,'Inventory'!$C$9:$C$108,0))),""),D9&lt;&gt;IFERROR(IF(INDEX('Inventory'!$D$9:$D$108,MATCH(F9,'Inventory'!$C$9:$C$108,0))="","",INDEX('Inventory'!$D$9:$D$108,MATCH(F9,'Inventory'!$C$9:$C$108,0))),"")),"Entity / class mismatch",IF(IFERROR(IF(INDEX('Inventory'!$AL$9:$AL$108,MATCH(F9,'Inventory'!$C$9:$C$108,0))="","",INDEX('Inventory'!$AL$9:$AL$108,MATCH(F9,'Inventory'!$C$9:$C$108,0))),"")&lt;&gt;"Ready",IFERROR(IF(INDEX('Inventory'!$AL$9:$AL$108,MATCH(F9,'Inventory'!$C$9:$C$108,0))="","",INDEX('Inventory'!$AL$9:$AL$108,MATCH(F9,'Inventory'!$C$9:$C$108,0))),""),IF(AND(OR(E9="Project finance",E9="CRE",E9="Mortgage",E9="Motor"),IFERROR(IF(INDEX('Facilities'!$V$9:$V$108,MATCH(C9,'Facilities'!$C$9:$C$108,0))="","",INDEX('Facilities'!$V$9:$V$108,MATCH(C9,'Facilities'!$C$9:$C$108,0))),"")&lt;&gt;"Designated asset"),"Purpose review",IF(X9&gt;H9,"Exposure exceeds value","Ready"))))))))</x:f>
        <x:v>Ready</x:v>
      </x:c>
      <x:c r="S9" s="9" t="str">
        <x:f>IF(C9="","",IFERROR(IF(INDEX('Inventory'!$V$9:$V$108,MATCH(F9,'Inventory'!$C$9:$C$108,0))="","",INDEX('Inventory'!$V$9:$V$108,MATCH(F9,'Inventory'!$C$9:$C$108,0))),""))</x:f>
        <x:v>Ready</x:v>
      </x:c>
      <x:c r="T9" s="9" t="str">
        <x:f>IF(C9="","",IFERROR(IF(INDEX('Inventory'!$AB$9:$AB$108,MATCH(F9,'Inventory'!$C$9:$C$108,0))="","",INDEX('Inventory'!$AB$9:$AB$108,MATCH(F9,'Inventory'!$C$9:$C$108,0))),""))</x:f>
        <x:v>Ready</x:v>
      </x:c>
      <x:c r="U9" s="9" t="str">
        <x:f>IF(C9="","",IFERROR(IF(INDEX('Inventory'!$AI$9:$AI$108,MATCH(F9,'Inventory'!$C$9:$C$108,0))="","",INDEX('Inventory'!$AI$9:$AI$108,MATCH(F9,'Inventory'!$C$9:$C$108,0))),""))</x:f>
        <x:v>Ready</x:v>
      </x:c>
      <x:c r="V9" s="43" t="n">
        <x:f>IF(C9="","",IFERROR(IF(INDEX('Inventory'!$P$9:$P$108,MATCH(F9,'Inventory'!$C$9:$C$108,0))="","",INDEX('Inventory'!$P$9:$P$108,MATCH(F9,'Inventory'!$C$9:$C$108,0))),""))</x:f>
        <x:v>46752</x:v>
      </x:c>
      <x:c r="W9" s="3" t="str">
        <x:f>IF(C9="","",IF(E9="Corporate listed","PCAF 2025 pp40-46",IF(E9="Corporate private","PCAF 2025 pp55-60",IF(E9="Project finance","PCAF 2025 pp67-71",IF(E9="CRE","PCAF 2025 pp77-81",IF(E9="Mortgage","PCAF 2025 pp83-87",IF(E9="Motor","PCAF 2025 pp90-94","Method required")))))))</x:f>
        <x:v>PCAF 2025 pp40-46</x:v>
      </x:c>
      <x:c r="X9" s="23" t="n">
        <x:f>IF(C9="","",SUMIFS('Facilities'!$AA$9:$AA$108,'Facilities'!$U$9:$U$108,F9))</x:f>
        <x:v>7.5</x:v>
      </x:c>
      <x:c r="Y9" s="21" t="n">
        <x:f>IF(AND(R9="Ready",S9="Ready"),G9,0)</x:f>
        <x:v>5</x:v>
      </x:c>
      <x:c r="Z9" s="21" t="n">
        <x:f>IF(AND(R9="Ready",T9="Ready"),G9,0)</x:f>
        <x:v>5</x:v>
      </x:c>
      <x:c r="AA9" s="21" t="n">
        <x:f>IF(Y9&gt;0,Y9*O9,0)</x:f>
        <x:v>5</x:v>
      </x:c>
      <x:c r="AB9" s="21" t="n">
        <x:f>IF(Z9&gt;0,Z9*P9,0)</x:f>
        <x:v>5</x:v>
      </x:c>
      <x:c r="AC9" s="21" t="n">
        <x:f>IF(N9&gt;0,N9*Q9,0)</x:f>
        <x:v>10</x:v>
      </x:c>
      <x:c r="AD9" s="21" t="n">
        <x:f>IF(M9&gt;0,M9*MAX(O9,P9),0)</x:f>
        <x:v>5</x:v>
      </x:c>
      <x:c r="AE9" s="9" t="str">
        <x:f>IF(C9="","",IFERROR(IF(INDEX('Inventory'!$AC$9:$AC$108,MATCH(F9,'Inventory'!$C$9:$C$108,0))="","",INDEX('Inventory'!$AC$9:$AC$108,MATCH(F9,'Inventory'!$C$9:$C$108,0))),""))</x:f>
        <x:v>Location-based</x:v>
      </x:c>
      <x:c r="AF9" s="9" t="str">
        <x:f>IF(C9="","",IFERROR(IF(INDEX('Inventory'!$AN$9:$AN$108,MATCH(F9,'Inventory'!$C$9:$C$108,0))="","",INDEX('Inventory'!$AN$9:$AN$108,MATCH(F9,'Inventory'!$C$9:$C$108,0))),""))</x:f>
        <x:v>Single boundary</x:v>
      </x:c>
    </x:row>
    <x:row r="10" ht="26" customHeight="1">
      <x:c r="A10" s="1"/>
      <x:c r="B10" s="1"/>
      <x:c r="C10" s="9" t="str">
        <x:f>IF('Facilities'!C10="","",'Facilities'!C10)</x:f>
        <x:v>F002</x:v>
      </x:c>
      <x:c r="D10" s="9" t="str">
        <x:f>IF(C10="","",IFERROR(IF(INDEX('Facilities'!$D$9:$D$108,MATCH(C10,'Facilities'!$C$9:$C$108,0))="","",INDEX('Facilities'!$D$9:$D$108,MATCH(C10,'Facilities'!$C$9:$C$108,0))),""))</x:f>
        <x:v>B001</x:v>
      </x:c>
      <x:c r="E10" s="9" t="str">
        <x:f>IF(C10="","",IFERROR(IF(INDEX('Facilities'!$E$9:$E$108,MATCH(C10,'Facilities'!$C$9:$C$108,0))="","",INDEX('Facilities'!$E$9:$E$108,MATCH(C10,'Facilities'!$C$9:$C$108,0))),""))</x:f>
        <x:v>Corporate listed</x:v>
      </x:c>
      <x:c r="F10" s="9" t="str">
        <x:f>IF(C10="","",IFERROR(IF(INDEX('Facilities'!$U$9:$U$108,MATCH(C10,'Facilities'!$C$9:$C$108,0))="","",INDEX('Facilities'!$U$9:$U$108,MATCH(C10,'Facilities'!$C$9:$C$108,0))),""))</x:f>
        <x:v>B001</x:v>
      </x:c>
      <x:c r="G10" s="23" t="n">
        <x:f>IF(C10="","",IFERROR(IF(INDEX('Facilities'!$AA$9:$AA$108,MATCH(C10,'Facilities'!$C$9:$C$108,0))="","",INDEX('Facilities'!$AA$9:$AA$108,MATCH(C10,'Facilities'!$C$9:$C$108,0))),""))</x:f>
        <x:v>2.5</x:v>
      </x:c>
      <x:c r="H10" s="23" t="n">
        <x:f>IF(C10="","",IFERROR(IF(INDEX('Inventory'!$N$9:$N$108,MATCH(F10,'Inventory'!$C$9:$C$108,0))="","",INDEX('Inventory'!$N$9:$N$108,MATCH(F10,'Inventory'!$C$9:$C$108,0))),""))</x:f>
        <x:v>110</x:v>
      </x:c>
      <x:c r="I10" s="17" t="n">
        <x:f>IF(R10="Ready",G10/H10,"")</x:f>
        <x:v>0.022727272727272728</x:v>
      </x:c>
      <x:c r="J10" s="23" t="n">
        <x:f>IF(AND(R10="Ready",S10="Ready"),I10*IFERROR(IF(INDEX('Inventory'!$T$9:$T$108,MATCH(F10,'Inventory'!$C$9:$C$108,0))="","",INDEX('Inventory'!$T$9:$T$108,MATCH(F10,'Inventory'!$C$9:$C$108,0))),""),"")</x:f>
        <x:v>2954.5454545454545</x:v>
      </x:c>
      <x:c r="K10" s="23" t="n">
        <x:f>IF(AND(R10="Ready",T10="Ready"),I10*IFERROR(IF(INDEX('Inventory'!$Z$9:$Z$108,MATCH(F10,'Inventory'!$C$9:$C$108,0))="","",INDEX('Inventory'!$Z$9:$Z$108,MATCH(F10,'Inventory'!$C$9:$C$108,0))),""),"")</x:f>
        <x:v>38.63636363636364</x:v>
      </x:c>
      <x:c r="L10" s="23" t="n">
        <x:f>IF(AND(R10="Ready",U10="Ready"),I10*IFERROR(IF(INDEX('Inventory'!$AG$9:$AG$108,MATCH(F10,'Inventory'!$C$9:$C$108,0))="","",INDEX('Inventory'!$AG$9:$AG$108,MATCH(F10,'Inventory'!$C$9:$C$108,0))),""),"")</x:f>
        <x:v>5000</x:v>
      </x:c>
      <x:c r="M10" s="21" t="n">
        <x:f>IF(AND(R10="Ready",S10="Ready",T10="Ready"),G10,0)</x:f>
        <x:v>2.5</x:v>
      </x:c>
      <x:c r="N10" s="21" t="n">
        <x:f>IF(AND(R10="Ready",U10="Ready"),G10,0)</x:f>
        <x:v>2.5</x:v>
      </x:c>
      <x:c r="O10" s="42" t="n">
        <x:f>IF(C10="","",IFERROR(IF(INDEX('Inventory'!$U$9:$U$108,MATCH(F10,'Inventory'!$C$9:$C$108,0))="","",INDEX('Inventory'!$U$9:$U$108,MATCH(F10,'Inventory'!$C$9:$C$108,0))),""))</x:f>
        <x:v>1</x:v>
      </x:c>
      <x:c r="P10" s="42" t="n">
        <x:f>IF(C10="","",IFERROR(IF(INDEX('Inventory'!$AA$9:$AA$108,MATCH(F10,'Inventory'!$C$9:$C$108,0))="","",INDEX('Inventory'!$AA$9:$AA$108,MATCH(F10,'Inventory'!$C$9:$C$108,0))),""))</x:f>
        <x:v>1</x:v>
      </x:c>
      <x:c r="Q10" s="42" t="n">
        <x:f>IF(C10="","",IFERROR(IF(INDEX('Inventory'!$AH$9:$AH$108,MATCH(F10,'Inventory'!$C$9:$C$108,0))="","",INDEX('Inventory'!$AH$9:$AH$108,MATCH(F10,'Inventory'!$C$9:$C$108,0))),""))</x:f>
        <x:v>2</x:v>
      </x:c>
      <x:c r="R10" s="9" t="str">
        <x:f>IF(C10="","",IF(COUNTIFS('Facilities'!$C$9:$C$108,C10)&lt;&gt;1,"Duplicate facility ID",IF(OR(NOT(ISNUMBER(IFERROR(IF(INDEX('Facilities'!$G$9:$G$108,MATCH(C10,'Facilities'!$C$9:$C$108,0))="","",INDEX('Facilities'!$G$9:$G$108,MATCH(C10,'Facilities'!$C$9:$C$108,0))),""))),NOT(ISNUMBER(G10)),G10&lt;0,IFERROR(IF(INDEX('Facilities'!$Z$9:$Z$108,MATCH(C10,'Facilities'!$C$9:$C$108,0))="","",INDEX('Facilities'!$Z$9:$Z$108,MATCH(C10,'Facilities'!$C$9:$C$108,0))),"")&lt;=0),"Drawn value required",IF(COUNTIFS('Inventory'!$C$9:$C$108,F10)&lt;&gt;1,"Entity required",IF(OR(E10&lt;&gt;IFERROR(IF(INDEX('Inventory'!$F$9:$F$108,MATCH(F10,'Inventory'!$C$9:$C$108,0))="","",INDEX('Inventory'!$F$9:$F$108,MATCH(F10,'Inventory'!$C$9:$C$108,0))),""),D10&lt;&gt;IFERROR(IF(INDEX('Inventory'!$D$9:$D$108,MATCH(F10,'Inventory'!$C$9:$C$108,0))="","",INDEX('Inventory'!$D$9:$D$108,MATCH(F10,'Inventory'!$C$9:$C$108,0))),"")),"Entity / class mismatch",IF(IFERROR(IF(INDEX('Inventory'!$AL$9:$AL$108,MATCH(F10,'Inventory'!$C$9:$C$108,0))="","",INDEX('Inventory'!$AL$9:$AL$108,MATCH(F10,'Inventory'!$C$9:$C$108,0))),"")&lt;&gt;"Ready",IFERROR(IF(INDEX('Inventory'!$AL$9:$AL$108,MATCH(F10,'Inventory'!$C$9:$C$108,0))="","",INDEX('Inventory'!$AL$9:$AL$108,MATCH(F10,'Inventory'!$C$9:$C$108,0))),""),IF(AND(OR(E10="Project finance",E10="CRE",E10="Mortgage",E10="Motor"),IFERROR(IF(INDEX('Facilities'!$V$9:$V$108,MATCH(C10,'Facilities'!$C$9:$C$108,0))="","",INDEX('Facilities'!$V$9:$V$108,MATCH(C10,'Facilities'!$C$9:$C$108,0))),"")&lt;&gt;"Designated asset"),"Purpose review",IF(X10&gt;H10,"Exposure exceeds value","Ready"))))))))</x:f>
        <x:v>Ready</x:v>
      </x:c>
      <x:c r="S10" s="9" t="str">
        <x:f>IF(C10="","",IFERROR(IF(INDEX('Inventory'!$V$9:$V$108,MATCH(F10,'Inventory'!$C$9:$C$108,0))="","",INDEX('Inventory'!$V$9:$V$108,MATCH(F10,'Inventory'!$C$9:$C$108,0))),""))</x:f>
        <x:v>Ready</x:v>
      </x:c>
      <x:c r="T10" s="9" t="str">
        <x:f>IF(C10="","",IFERROR(IF(INDEX('Inventory'!$AB$9:$AB$108,MATCH(F10,'Inventory'!$C$9:$C$108,0))="","",INDEX('Inventory'!$AB$9:$AB$108,MATCH(F10,'Inventory'!$C$9:$C$108,0))),""))</x:f>
        <x:v>Ready</x:v>
      </x:c>
      <x:c r="U10" s="9" t="str">
        <x:f>IF(C10="","",IFERROR(IF(INDEX('Inventory'!$AI$9:$AI$108,MATCH(F10,'Inventory'!$C$9:$C$108,0))="","",INDEX('Inventory'!$AI$9:$AI$108,MATCH(F10,'Inventory'!$C$9:$C$108,0))),""))</x:f>
        <x:v>Ready</x:v>
      </x:c>
      <x:c r="V10" s="43" t="n">
        <x:f>IF(C10="","",IFERROR(IF(INDEX('Inventory'!$P$9:$P$108,MATCH(F10,'Inventory'!$C$9:$C$108,0))="","",INDEX('Inventory'!$P$9:$P$108,MATCH(F10,'Inventory'!$C$9:$C$108,0))),""))</x:f>
        <x:v>46752</x:v>
      </x:c>
      <x:c r="W10" s="3" t="str">
        <x:f>IF(C10="","",IF(E10="Corporate listed","PCAF 2025 pp40-46",IF(E10="Corporate private","PCAF 2025 pp55-60",IF(E10="Project finance","PCAF 2025 pp67-71",IF(E10="CRE","PCAF 2025 pp77-81",IF(E10="Mortgage","PCAF 2025 pp83-87",IF(E10="Motor","PCAF 2025 pp90-94","Method required")))))))</x:f>
        <x:v>PCAF 2025 pp40-46</x:v>
      </x:c>
      <x:c r="X10" s="23" t="n">
        <x:f>IF(C10="","",SUMIFS('Facilities'!$AA$9:$AA$108,'Facilities'!$U$9:$U$108,F10))</x:f>
        <x:v>7.5</x:v>
      </x:c>
      <x:c r="Y10" s="21" t="n">
        <x:f>IF(AND(R10="Ready",S10="Ready"),G10,0)</x:f>
        <x:v>2.5</x:v>
      </x:c>
      <x:c r="Z10" s="21" t="n">
        <x:f>IF(AND(R10="Ready",T10="Ready"),G10,0)</x:f>
        <x:v>2.5</x:v>
      </x:c>
      <x:c r="AA10" s="21" t="n">
        <x:f>IF(Y10&gt;0,Y10*O10,0)</x:f>
        <x:v>2.5</x:v>
      </x:c>
      <x:c r="AB10" s="21" t="n">
        <x:f>IF(Z10&gt;0,Z10*P10,0)</x:f>
        <x:v>2.5</x:v>
      </x:c>
      <x:c r="AC10" s="21" t="n">
        <x:f>IF(N10&gt;0,N10*Q10,0)</x:f>
        <x:v>5</x:v>
      </x:c>
      <x:c r="AD10" s="21" t="n">
        <x:f>IF(M10&gt;0,M10*MAX(O10,P10),0)</x:f>
        <x:v>2.5</x:v>
      </x:c>
      <x:c r="AE10" s="9" t="str">
        <x:f>IF(C10="","",IFERROR(IF(INDEX('Inventory'!$AC$9:$AC$108,MATCH(F10,'Inventory'!$C$9:$C$108,0))="","",INDEX('Inventory'!$AC$9:$AC$108,MATCH(F10,'Inventory'!$C$9:$C$108,0))),""))</x:f>
        <x:v>Location-based</x:v>
      </x:c>
      <x:c r="AF10" s="9" t="str">
        <x:f>IF(C10="","",IFERROR(IF(INDEX('Inventory'!$AN$9:$AN$108,MATCH(F10,'Inventory'!$C$9:$C$108,0))="","",INDEX('Inventory'!$AN$9:$AN$108,MATCH(F10,'Inventory'!$C$9:$C$108,0))),""))</x:f>
        <x:v>Single boundary</x:v>
      </x:c>
    </x:row>
    <x:row r="11" ht="26" customHeight="1">
      <x:c r="A11" s="1"/>
      <x:c r="B11" s="1"/>
      <x:c r="C11" s="9" t="str">
        <x:f>IF('Facilities'!C11="","",'Facilities'!C11)</x:f>
        <x:v>F003</x:v>
      </x:c>
      <x:c r="D11" s="9" t="str">
        <x:f>IF(C11="","",IFERROR(IF(INDEX('Facilities'!$D$9:$D$108,MATCH(C11,'Facilities'!$C$9:$C$108,0))="","",INDEX('Facilities'!$D$9:$D$108,MATCH(C11,'Facilities'!$C$9:$C$108,0))),""))</x:f>
        <x:v>B002</x:v>
      </x:c>
      <x:c r="E11" s="9" t="str">
        <x:f>IF(C11="","",IFERROR(IF(INDEX('Facilities'!$E$9:$E$108,MATCH(C11,'Facilities'!$C$9:$C$108,0))="","",INDEX('Facilities'!$E$9:$E$108,MATCH(C11,'Facilities'!$C$9:$C$108,0))),""))</x:f>
        <x:v>Corporate private</x:v>
      </x:c>
      <x:c r="F11" s="9" t="str">
        <x:f>IF(C11="","",IFERROR(IF(INDEX('Facilities'!$U$9:$U$108,MATCH(C11,'Facilities'!$C$9:$C$108,0))="","",INDEX('Facilities'!$U$9:$U$108,MATCH(C11,'Facilities'!$C$9:$C$108,0))),""))</x:f>
        <x:v>B002</x:v>
      </x:c>
      <x:c r="G11" s="23" t="n">
        <x:f>IF(C11="","",IFERROR(IF(INDEX('Facilities'!$AA$9:$AA$108,MATCH(C11,'Facilities'!$C$9:$C$108,0))="","",INDEX('Facilities'!$AA$9:$AA$108,MATCH(C11,'Facilities'!$C$9:$C$108,0))),""))</x:f>
        <x:v>5.35</x:v>
      </x:c>
      <x:c r="H11" s="23" t="n">
        <x:f>IF(C11="","",IFERROR(IF(INDEX('Inventory'!$N$9:$N$108,MATCH(F11,'Inventory'!$C$9:$C$108,0))="","",INDEX('Inventory'!$N$9:$N$108,MATCH(F11,'Inventory'!$C$9:$C$108,0))),""))</x:f>
        <x:v>70</x:v>
      </x:c>
      <x:c r="I11" s="17" t="n">
        <x:f>IF(R11="Ready",G11/H11,"")</x:f>
        <x:v>0.07642857142857143</x:v>
      </x:c>
      <x:c r="J11" s="23" t="n">
        <x:f>IF(AND(R11="Ready",S11="Ready"),I11*IFERROR(IF(INDEX('Inventory'!$T$9:$T$108,MATCH(F11,'Inventory'!$C$9:$C$108,0))="","",INDEX('Inventory'!$T$9:$T$108,MATCH(F11,'Inventory'!$C$9:$C$108,0))),""),"")</x:f>
        <x:v>0.6144857142857144</x:v>
      </x:c>
      <x:c r="K11" s="23" t="n">
        <x:f>IF(AND(R11="Ready",T11="Ready"),I11*IFERROR(IF(INDEX('Inventory'!$Z$9:$Z$108,MATCH(F11,'Inventory'!$C$9:$C$108,0))="","",INDEX('Inventory'!$Z$9:$Z$108,MATCH(F11,'Inventory'!$C$9:$C$108,0))),""),"")</x:f>
        <x:v>1.7578571428571428</x:v>
      </x:c>
      <x:c r="L11" s="23" t="n">
        <x:f>IF(AND(R11="Ready",U11="Ready"),I11*IFERROR(IF(INDEX('Inventory'!$AG$9:$AG$108,MATCH(F11,'Inventory'!$C$9:$C$108,0))="","",INDEX('Inventory'!$AG$9:$AG$108,MATCH(F11,'Inventory'!$C$9:$C$108,0))),""),"")</x:f>
        <x:v>519.7142857142857</x:v>
      </x:c>
      <x:c r="M11" s="21" t="n">
        <x:f>IF(AND(R11="Ready",S11="Ready",T11="Ready"),G11,0)</x:f>
        <x:v>5.35</x:v>
      </x:c>
      <x:c r="N11" s="21" t="n">
        <x:f>IF(AND(R11="Ready",U11="Ready"),G11,0)</x:f>
        <x:v>5.35</x:v>
      </x:c>
      <x:c r="O11" s="42" t="n">
        <x:f>IF(C11="","",IFERROR(IF(INDEX('Inventory'!$U$9:$U$108,MATCH(F11,'Inventory'!$C$9:$C$108,0))="","",INDEX('Inventory'!$U$9:$U$108,MATCH(F11,'Inventory'!$C$9:$C$108,0))),""))</x:f>
        <x:v>2</x:v>
      </x:c>
      <x:c r="P11" s="42" t="n">
        <x:f>IF(C11="","",IFERROR(IF(INDEX('Inventory'!$AA$9:$AA$108,MATCH(F11,'Inventory'!$C$9:$C$108,0))="","",INDEX('Inventory'!$AA$9:$AA$108,MATCH(F11,'Inventory'!$C$9:$C$108,0))),""))</x:f>
        <x:v>2</x:v>
      </x:c>
      <x:c r="Q11" s="42" t="n">
        <x:f>IF(C11="","",IFERROR(IF(INDEX('Inventory'!$AH$9:$AH$108,MATCH(F11,'Inventory'!$C$9:$C$108,0))="","",INDEX('Inventory'!$AH$9:$AH$108,MATCH(F11,'Inventory'!$C$9:$C$108,0))),""))</x:f>
        <x:v>2</x:v>
      </x:c>
      <x:c r="R11" s="9" t="str">
        <x:f>IF(C11="","",IF(COUNTIFS('Facilities'!$C$9:$C$108,C11)&lt;&gt;1,"Duplicate facility ID",IF(OR(NOT(ISNUMBER(IFERROR(IF(INDEX('Facilities'!$G$9:$G$108,MATCH(C11,'Facilities'!$C$9:$C$108,0))="","",INDEX('Facilities'!$G$9:$G$108,MATCH(C11,'Facilities'!$C$9:$C$108,0))),""))),NOT(ISNUMBER(G11)),G11&lt;0,IFERROR(IF(INDEX('Facilities'!$Z$9:$Z$108,MATCH(C11,'Facilities'!$C$9:$C$108,0))="","",INDEX('Facilities'!$Z$9:$Z$108,MATCH(C11,'Facilities'!$C$9:$C$108,0))),"")&lt;=0),"Drawn value required",IF(COUNTIFS('Inventory'!$C$9:$C$108,F11)&lt;&gt;1,"Entity required",IF(OR(E11&lt;&gt;IFERROR(IF(INDEX('Inventory'!$F$9:$F$108,MATCH(F11,'Inventory'!$C$9:$C$108,0))="","",INDEX('Inventory'!$F$9:$F$108,MATCH(F11,'Inventory'!$C$9:$C$108,0))),""),D11&lt;&gt;IFERROR(IF(INDEX('Inventory'!$D$9:$D$108,MATCH(F11,'Inventory'!$C$9:$C$108,0))="","",INDEX('Inventory'!$D$9:$D$108,MATCH(F11,'Inventory'!$C$9:$C$108,0))),"")),"Entity / class mismatch",IF(IFERROR(IF(INDEX('Inventory'!$AL$9:$AL$108,MATCH(F11,'Inventory'!$C$9:$C$108,0))="","",INDEX('Inventory'!$AL$9:$AL$108,MATCH(F11,'Inventory'!$C$9:$C$108,0))),"")&lt;&gt;"Ready",IFERROR(IF(INDEX('Inventory'!$AL$9:$AL$108,MATCH(F11,'Inventory'!$C$9:$C$108,0))="","",INDEX('Inventory'!$AL$9:$AL$108,MATCH(F11,'Inventory'!$C$9:$C$108,0))),""),IF(AND(OR(E11="Project finance",E11="CRE",E11="Mortgage",E11="Motor"),IFERROR(IF(INDEX('Facilities'!$V$9:$V$108,MATCH(C11,'Facilities'!$C$9:$C$108,0))="","",INDEX('Facilities'!$V$9:$V$108,MATCH(C11,'Facilities'!$C$9:$C$108,0))),"")&lt;&gt;"Designated asset"),"Purpose review",IF(X11&gt;H11,"Exposure exceeds value","Ready"))))))))</x:f>
        <x:v>Ready</x:v>
      </x:c>
      <x:c r="S11" s="9" t="str">
        <x:f>IF(C11="","",IFERROR(IF(INDEX('Inventory'!$V$9:$V$108,MATCH(F11,'Inventory'!$C$9:$C$108,0))="","",INDEX('Inventory'!$V$9:$V$108,MATCH(F11,'Inventory'!$C$9:$C$108,0))),""))</x:f>
        <x:v>Ready</x:v>
      </x:c>
      <x:c r="T11" s="9" t="str">
        <x:f>IF(C11="","",IFERROR(IF(INDEX('Inventory'!$AB$9:$AB$108,MATCH(F11,'Inventory'!$C$9:$C$108,0))="","",INDEX('Inventory'!$AB$9:$AB$108,MATCH(F11,'Inventory'!$C$9:$C$108,0))),""))</x:f>
        <x:v>Ready</x:v>
      </x:c>
      <x:c r="U11" s="9" t="str">
        <x:f>IF(C11="","",IFERROR(IF(INDEX('Inventory'!$AI$9:$AI$108,MATCH(F11,'Inventory'!$C$9:$C$108,0))="","",INDEX('Inventory'!$AI$9:$AI$108,MATCH(F11,'Inventory'!$C$9:$C$108,0))),""))</x:f>
        <x:v>Ready</x:v>
      </x:c>
      <x:c r="V11" s="43" t="n">
        <x:f>IF(C11="","",IFERROR(IF(INDEX('Inventory'!$P$9:$P$108,MATCH(F11,'Inventory'!$C$9:$C$108,0))="","",INDEX('Inventory'!$P$9:$P$108,MATCH(F11,'Inventory'!$C$9:$C$108,0))),""))</x:f>
        <x:v>46752</x:v>
      </x:c>
      <x:c r="W11" s="3" t="str">
        <x:f>IF(C11="","",IF(E11="Corporate listed","PCAF 2025 pp40-46",IF(E11="Corporate private","PCAF 2025 pp55-60",IF(E11="Project finance","PCAF 2025 pp67-71",IF(E11="CRE","PCAF 2025 pp77-81",IF(E11="Mortgage","PCAF 2025 pp83-87",IF(E11="Motor","PCAF 2025 pp90-94","Method required")))))))</x:f>
        <x:v>PCAF 2025 pp55-60</x:v>
      </x:c>
      <x:c r="X11" s="23" t="n">
        <x:f>IF(C11="","",SUMIFS('Facilities'!$AA$9:$AA$108,'Facilities'!$U$9:$U$108,F11))</x:f>
        <x:v>5.35</x:v>
      </x:c>
      <x:c r="Y11" s="21" t="n">
        <x:f>IF(AND(R11="Ready",S11="Ready"),G11,0)</x:f>
        <x:v>5.35</x:v>
      </x:c>
      <x:c r="Z11" s="21" t="n">
        <x:f>IF(AND(R11="Ready",T11="Ready"),G11,0)</x:f>
        <x:v>5.35</x:v>
      </x:c>
      <x:c r="AA11" s="21" t="n">
        <x:f>IF(Y11&gt;0,Y11*O11,0)</x:f>
        <x:v>10.7</x:v>
      </x:c>
      <x:c r="AB11" s="21" t="n">
        <x:f>IF(Z11&gt;0,Z11*P11,0)</x:f>
        <x:v>10.7</x:v>
      </x:c>
      <x:c r="AC11" s="21" t="n">
        <x:f>IF(N11&gt;0,N11*Q11,0)</x:f>
        <x:v>10.7</x:v>
      </x:c>
      <x:c r="AD11" s="21" t="n">
        <x:f>IF(M11&gt;0,M11*MAX(O11,P11),0)</x:f>
        <x:v>10.7</x:v>
      </x:c>
      <x:c r="AE11" s="9" t="str">
        <x:f>IF(C11="","",IFERROR(IF(INDEX('Inventory'!$AC$9:$AC$108,MATCH(F11,'Inventory'!$C$9:$C$108,0))="","",INDEX('Inventory'!$AC$9:$AC$108,MATCH(F11,'Inventory'!$C$9:$C$108,0))),""))</x:f>
        <x:v>Location-based</x:v>
      </x:c>
      <x:c r="AF11" s="9" t="str">
        <x:f>IF(C11="","",IFERROR(IF(INDEX('Inventory'!$AN$9:$AN$108,MATCH(F11,'Inventory'!$C$9:$C$108,0))="","",INDEX('Inventory'!$AN$9:$AN$108,MATCH(F11,'Inventory'!$C$9:$C$108,0))),""))</x:f>
        <x:v>Review overlap</x:v>
      </x:c>
    </x:row>
    <x:row r="12" ht="26" customHeight="1">
      <x:c r="A12" s="1"/>
      <x:c r="B12" s="1"/>
      <x:c r="C12" s="9" t="str">
        <x:f>IF('Facilities'!C12="","",'Facilities'!C12)</x:f>
        <x:v>F004</x:v>
      </x:c>
      <x:c r="D12" s="9" t="str">
        <x:f>IF(C12="","",IFERROR(IF(INDEX('Facilities'!$D$9:$D$108,MATCH(C12,'Facilities'!$C$9:$C$108,0))="","",INDEX('Facilities'!$D$9:$D$108,MATCH(C12,'Facilities'!$C$9:$C$108,0))),""))</x:f>
        <x:v>B002</x:v>
      </x:c>
      <x:c r="E12" s="9" t="str">
        <x:f>IF(C12="","",IFERROR(IF(INDEX('Facilities'!$E$9:$E$108,MATCH(C12,'Facilities'!$C$9:$C$108,0))="","",INDEX('Facilities'!$E$9:$E$108,MATCH(C12,'Facilities'!$C$9:$C$108,0))),""))</x:f>
        <x:v>Project finance</x:v>
      </x:c>
      <x:c r="F12" s="9" t="str">
        <x:f>IF(C12="","",IFERROR(IF(INDEX('Facilities'!$U$9:$U$108,MATCH(C12,'Facilities'!$C$9:$C$108,0))="","",INDEX('Facilities'!$U$9:$U$108,MATCH(C12,'Facilities'!$C$9:$C$108,0))),""))</x:f>
        <x:v>A002</x:v>
      </x:c>
      <x:c r="G12" s="23" t="n">
        <x:f>IF(C12="","",IFERROR(IF(INDEX('Facilities'!$AA$9:$AA$108,MATCH(C12,'Facilities'!$C$9:$C$108,0))="","",INDEX('Facilities'!$AA$9:$AA$108,MATCH(C12,'Facilities'!$C$9:$C$108,0))),""))</x:f>
        <x:v>2.85</x:v>
      </x:c>
      <x:c r="H12" s="23" t="n">
        <x:f>IF(C12="","",IFERROR(IF(INDEX('Inventory'!$N$9:$N$108,MATCH(F12,'Inventory'!$C$9:$C$108,0))="","",INDEX('Inventory'!$N$9:$N$108,MATCH(F12,'Inventory'!$C$9:$C$108,0))),""))</x:f>
        <x:v>35</x:v>
      </x:c>
      <x:c r="I12" s="17" t="n">
        <x:f>IF(R12="Ready",G12/H12,"")</x:f>
        <x:v>0.08142857142857143</x:v>
      </x:c>
      <x:c r="J12" s="23" t="n">
        <x:f>IF(AND(R12="Ready",S12="Ready"),I12*IFERROR(IF(INDEX('Inventory'!$T$9:$T$108,MATCH(F12,'Inventory'!$C$9:$C$108,0))="","",INDEX('Inventory'!$T$9:$T$108,MATCH(F12,'Inventory'!$C$9:$C$108,0))),""),"")</x:f>
        <x:v>2.1822857142857144</x:v>
      </x:c>
      <x:c r="K12" s="23" t="n">
        <x:f>IF(AND(R12="Ready",T12="Ready"),I12*IFERROR(IF(INDEX('Inventory'!$Z$9:$Z$108,MATCH(F12,'Inventory'!$C$9:$C$108,0))="","",INDEX('Inventory'!$Z$9:$Z$108,MATCH(F12,'Inventory'!$C$9:$C$108,0))),""),"")</x:f>
        <x:v>2.9965714285714284</x:v>
      </x:c>
      <x:c r="L12" s="23" t="str">
        <x:f>IF(AND(R12="Ready",U12="Ready"),I12*IFERROR(IF(INDEX('Inventory'!$AG$9:$AG$108,MATCH(F12,'Inventory'!$C$9:$C$108,0))="","",INDEX('Inventory'!$AG$9:$AG$108,MATCH(F12,'Inventory'!$C$9:$C$108,0))),""),"")</x:f>
      </x:c>
      <x:c r="M12" s="21" t="n">
        <x:f>IF(AND(R12="Ready",S12="Ready",T12="Ready"),G12,0)</x:f>
        <x:v>2.85</x:v>
      </x:c>
      <x:c r="N12" s="21" t="n">
        <x:f>IF(AND(R12="Ready",U12="Ready"),G12,0)</x:f>
        <x:v>0</x:v>
      </x:c>
      <x:c r="O12" s="42" t="n">
        <x:f>IF(C12="","",IFERROR(IF(INDEX('Inventory'!$U$9:$U$108,MATCH(F12,'Inventory'!$C$9:$C$108,0))="","",INDEX('Inventory'!$U$9:$U$108,MATCH(F12,'Inventory'!$C$9:$C$108,0))),""))</x:f>
        <x:v>2</x:v>
      </x:c>
      <x:c r="P12" s="42" t="n">
        <x:f>IF(C12="","",IFERROR(IF(INDEX('Inventory'!$AA$9:$AA$108,MATCH(F12,'Inventory'!$C$9:$C$108,0))="","",INDEX('Inventory'!$AA$9:$AA$108,MATCH(F12,'Inventory'!$C$9:$C$108,0))),""))</x:f>
        <x:v>2</x:v>
      </x:c>
      <x:c r="Q12" s="42" t="str">
        <x:f>IF(C12="","",IFERROR(IF(INDEX('Inventory'!$AH$9:$AH$108,MATCH(F12,'Inventory'!$C$9:$C$108,0))="","",INDEX('Inventory'!$AH$9:$AH$108,MATCH(F12,'Inventory'!$C$9:$C$108,0))),""))</x:f>
      </x:c>
      <x:c r="R12" s="9" t="str">
        <x:f>IF(C12="","",IF(COUNTIFS('Facilities'!$C$9:$C$108,C12)&lt;&gt;1,"Duplicate facility ID",IF(OR(NOT(ISNUMBER(IFERROR(IF(INDEX('Facilities'!$G$9:$G$108,MATCH(C12,'Facilities'!$C$9:$C$108,0))="","",INDEX('Facilities'!$G$9:$G$108,MATCH(C12,'Facilities'!$C$9:$C$108,0))),""))),NOT(ISNUMBER(G12)),G12&lt;0,IFERROR(IF(INDEX('Facilities'!$Z$9:$Z$108,MATCH(C12,'Facilities'!$C$9:$C$108,0))="","",INDEX('Facilities'!$Z$9:$Z$108,MATCH(C12,'Facilities'!$C$9:$C$108,0))),"")&lt;=0),"Drawn value required",IF(COUNTIFS('Inventory'!$C$9:$C$108,F12)&lt;&gt;1,"Entity required",IF(OR(E12&lt;&gt;IFERROR(IF(INDEX('Inventory'!$F$9:$F$108,MATCH(F12,'Inventory'!$C$9:$C$108,0))="","",INDEX('Inventory'!$F$9:$F$108,MATCH(F12,'Inventory'!$C$9:$C$108,0))),""),D12&lt;&gt;IFERROR(IF(INDEX('Inventory'!$D$9:$D$108,MATCH(F12,'Inventory'!$C$9:$C$108,0))="","",INDEX('Inventory'!$D$9:$D$108,MATCH(F12,'Inventory'!$C$9:$C$108,0))),"")),"Entity / class mismatch",IF(IFERROR(IF(INDEX('Inventory'!$AL$9:$AL$108,MATCH(F12,'Inventory'!$C$9:$C$108,0))="","",INDEX('Inventory'!$AL$9:$AL$108,MATCH(F12,'Inventory'!$C$9:$C$108,0))),"")&lt;&gt;"Ready",IFERROR(IF(INDEX('Inventory'!$AL$9:$AL$108,MATCH(F12,'Inventory'!$C$9:$C$108,0))="","",INDEX('Inventory'!$AL$9:$AL$108,MATCH(F12,'Inventory'!$C$9:$C$108,0))),""),IF(AND(OR(E12="Project finance",E12="CRE",E12="Mortgage",E12="Motor"),IFERROR(IF(INDEX('Facilities'!$V$9:$V$108,MATCH(C12,'Facilities'!$C$9:$C$108,0))="","",INDEX('Facilities'!$V$9:$V$108,MATCH(C12,'Facilities'!$C$9:$C$108,0))),"")&lt;&gt;"Designated asset"),"Purpose review",IF(X12&gt;H12,"Exposure exceeds value","Ready"))))))))</x:f>
        <x:v>Ready</x:v>
      </x:c>
      <x:c r="S12" s="9" t="str">
        <x:f>IF(C12="","",IFERROR(IF(INDEX('Inventory'!$V$9:$V$108,MATCH(F12,'Inventory'!$C$9:$C$108,0))="","",INDEX('Inventory'!$V$9:$V$108,MATCH(F12,'Inventory'!$C$9:$C$108,0))),""))</x:f>
        <x:v>Ready</x:v>
      </x:c>
      <x:c r="T12" s="9" t="str">
        <x:f>IF(C12="","",IFERROR(IF(INDEX('Inventory'!$AB$9:$AB$108,MATCH(F12,'Inventory'!$C$9:$C$108,0))="","",INDEX('Inventory'!$AB$9:$AB$108,MATCH(F12,'Inventory'!$C$9:$C$108,0))),""))</x:f>
        <x:v>Ready</x:v>
      </x:c>
      <x:c r="U12" s="9" t="str">
        <x:f>IF(C12="","",IFERROR(IF(INDEX('Inventory'!$AI$9:$AI$108,MATCH(F12,'Inventory'!$C$9:$C$108,0))="","",INDEX('Inventory'!$AI$9:$AI$108,MATCH(F12,'Inventory'!$C$9:$C$108,0))),""))</x:f>
        <x:v>Not assessed</x:v>
      </x:c>
      <x:c r="V12" s="43" t="n">
        <x:f>IF(C12="","",IFERROR(IF(INDEX('Inventory'!$P$9:$P$108,MATCH(F12,'Inventory'!$C$9:$C$108,0))="","",INDEX('Inventory'!$P$9:$P$108,MATCH(F12,'Inventory'!$C$9:$C$108,0))),""))</x:f>
        <x:v>46752</x:v>
      </x:c>
      <x:c r="W12" s="3" t="str">
        <x:f>IF(C12="","",IF(E12="Corporate listed","PCAF 2025 pp40-46",IF(E12="Corporate private","PCAF 2025 pp55-60",IF(E12="Project finance","PCAF 2025 pp67-71",IF(E12="CRE","PCAF 2025 pp77-81",IF(E12="Mortgage","PCAF 2025 pp83-87",IF(E12="Motor","PCAF 2025 pp90-94","Method required")))))))</x:f>
        <x:v>PCAF 2025 pp67-71</x:v>
      </x:c>
      <x:c r="X12" s="23" t="n">
        <x:f>IF(C12="","",SUMIFS('Facilities'!$AA$9:$AA$108,'Facilities'!$U$9:$U$108,F12))</x:f>
        <x:v>2.85</x:v>
      </x:c>
      <x:c r="Y12" s="21" t="n">
        <x:f>IF(AND(R12="Ready",S12="Ready"),G12,0)</x:f>
        <x:v>2.85</x:v>
      </x:c>
      <x:c r="Z12" s="21" t="n">
        <x:f>IF(AND(R12="Ready",T12="Ready"),G12,0)</x:f>
        <x:v>2.85</x:v>
      </x:c>
      <x:c r="AA12" s="21" t="n">
        <x:f>IF(Y12&gt;0,Y12*O12,0)</x:f>
        <x:v>5.7</x:v>
      </x:c>
      <x:c r="AB12" s="21" t="n">
        <x:f>IF(Z12&gt;0,Z12*P12,0)</x:f>
        <x:v>5.7</x:v>
      </x:c>
      <x:c r="AC12" s="21" t="n">
        <x:f>IF(N12&gt;0,N12*Q12,0)</x:f>
        <x:v>0</x:v>
      </x:c>
      <x:c r="AD12" s="21" t="n">
        <x:f>IF(M12&gt;0,M12*MAX(O12,P12),0)</x:f>
        <x:v>5.7</x:v>
      </x:c>
      <x:c r="AE12" s="9" t="str">
        <x:f>IF(C12="","",IFERROR(IF(INDEX('Inventory'!$AC$9:$AC$108,MATCH(F12,'Inventory'!$C$9:$C$108,0))="","",INDEX('Inventory'!$AC$9:$AC$108,MATCH(F12,'Inventory'!$C$9:$C$108,0))),""))</x:f>
        <x:v>Location-based</x:v>
      </x:c>
      <x:c r="AF12" s="9" t="str">
        <x:f>IF(C12="","",IFERROR(IF(INDEX('Inventory'!$AN$9:$AN$108,MATCH(F12,'Inventory'!$C$9:$C$108,0))="","",INDEX('Inventory'!$AN$9:$AN$108,MATCH(F12,'Inventory'!$C$9:$C$108,0))),""))</x:f>
        <x:v>Review overlap</x:v>
      </x:c>
    </x:row>
    <x:row r="13" ht="26" customHeight="1">
      <x:c r="A13" s="1"/>
      <x:c r="B13" s="1"/>
      <x:c r="C13" s="9" t="str">
        <x:f>IF('Facilities'!C13="","",'Facilities'!C13)</x:f>
        <x:v>F005</x:v>
      </x:c>
      <x:c r="D13" s="9" t="str">
        <x:f>IF(C13="","",IFERROR(IF(INDEX('Facilities'!$D$9:$D$108,MATCH(C13,'Facilities'!$C$9:$C$108,0))="","",INDEX('Facilities'!$D$9:$D$108,MATCH(C13,'Facilities'!$C$9:$C$108,0))),""))</x:f>
        <x:v>B003</x:v>
      </x:c>
      <x:c r="E13" s="9" t="str">
        <x:f>IF(C13="","",IFERROR(IF(INDEX('Facilities'!$E$9:$E$108,MATCH(C13,'Facilities'!$C$9:$C$108,0))="","",INDEX('Facilities'!$E$9:$E$108,MATCH(C13,'Facilities'!$C$9:$C$108,0))),""))</x:f>
        <x:v>Corporate private</x:v>
      </x:c>
      <x:c r="F13" s="9" t="str">
        <x:f>IF(C13="","",IFERROR(IF(INDEX('Facilities'!$U$9:$U$108,MATCH(C13,'Facilities'!$C$9:$C$108,0))="","",INDEX('Facilities'!$U$9:$U$108,MATCH(C13,'Facilities'!$C$9:$C$108,0))),""))</x:f>
        <x:v>B003</x:v>
      </x:c>
      <x:c r="G13" s="23" t="n">
        <x:f>IF(C13="","",IFERROR(IF(INDEX('Facilities'!$AA$9:$AA$108,MATCH(C13,'Facilities'!$C$9:$C$108,0))="","",INDEX('Facilities'!$AA$9:$AA$108,MATCH(C13,'Facilities'!$C$9:$C$108,0))),""))</x:f>
        <x:v>5.7</x:v>
      </x:c>
      <x:c r="H13" s="23" t="n">
        <x:f>IF(C13="","",IFERROR(IF(INDEX('Inventory'!$N$9:$N$108,MATCH(F13,'Inventory'!$C$9:$C$108,0))="","",INDEX('Inventory'!$N$9:$N$108,MATCH(F13,'Inventory'!$C$9:$C$108,0))),""))</x:f>
        <x:v>75</x:v>
      </x:c>
      <x:c r="I13" s="17" t="n">
        <x:f>IF(R13="Ready",G13/H13,"")</x:f>
        <x:v>0.076</x:v>
      </x:c>
      <x:c r="J13" s="23" t="n">
        <x:f>IF(AND(R13="Ready",S13="Ready"),I13*IFERROR(IF(INDEX('Inventory'!$T$9:$T$108,MATCH(F13,'Inventory'!$C$9:$C$108,0))="","",INDEX('Inventory'!$T$9:$T$108,MATCH(F13,'Inventory'!$C$9:$C$108,0))),""),"")</x:f>
        <x:v>107.16</x:v>
      </x:c>
      <x:c r="K13" s="23" t="n">
        <x:f>IF(AND(R13="Ready",T13="Ready"),I13*IFERROR(IF(INDEX('Inventory'!$Z$9:$Z$108,MATCH(F13,'Inventory'!$C$9:$C$108,0))="","",INDEX('Inventory'!$Z$9:$Z$108,MATCH(F13,'Inventory'!$C$9:$C$108,0))),""),"")</x:f>
        <x:v>152</x:v>
      </x:c>
      <x:c r="L13" s="23" t="n">
        <x:f>IF(AND(R13="Ready",U13="Ready"),I13*IFERROR(IF(INDEX('Inventory'!$AG$9:$AG$108,MATCH(F13,'Inventory'!$C$9:$C$108,0))="","",INDEX('Inventory'!$AG$9:$AG$108,MATCH(F13,'Inventory'!$C$9:$C$108,0))),""),"")</x:f>
        <x:v>638.4</x:v>
      </x:c>
      <x:c r="M13" s="21" t="n">
        <x:f>IF(AND(R13="Ready",S13="Ready",T13="Ready"),G13,0)</x:f>
        <x:v>5.7</x:v>
      </x:c>
      <x:c r="N13" s="21" t="n">
        <x:f>IF(AND(R13="Ready",U13="Ready"),G13,0)</x:f>
        <x:v>5.7</x:v>
      </x:c>
      <x:c r="O13" s="42" t="n">
        <x:f>IF(C13="","",IFERROR(IF(INDEX('Inventory'!$U$9:$U$108,MATCH(F13,'Inventory'!$C$9:$C$108,0))="","",INDEX('Inventory'!$U$9:$U$108,MATCH(F13,'Inventory'!$C$9:$C$108,0))),""))</x:f>
        <x:v>1</x:v>
      </x:c>
      <x:c r="P13" s="42" t="n">
        <x:f>IF(C13="","",IFERROR(IF(INDEX('Inventory'!$AA$9:$AA$108,MATCH(F13,'Inventory'!$C$9:$C$108,0))="","",INDEX('Inventory'!$AA$9:$AA$108,MATCH(F13,'Inventory'!$C$9:$C$108,0))),""))</x:f>
        <x:v>1</x:v>
      </x:c>
      <x:c r="Q13" s="42" t="n">
        <x:f>IF(C13="","",IFERROR(IF(INDEX('Inventory'!$AH$9:$AH$108,MATCH(F13,'Inventory'!$C$9:$C$108,0))="","",INDEX('Inventory'!$AH$9:$AH$108,MATCH(F13,'Inventory'!$C$9:$C$108,0))),""))</x:f>
        <x:v>2</x:v>
      </x:c>
      <x:c r="R13" s="9" t="str">
        <x:f>IF(C13="","",IF(COUNTIFS('Facilities'!$C$9:$C$108,C13)&lt;&gt;1,"Duplicate facility ID",IF(OR(NOT(ISNUMBER(IFERROR(IF(INDEX('Facilities'!$G$9:$G$108,MATCH(C13,'Facilities'!$C$9:$C$108,0))="","",INDEX('Facilities'!$G$9:$G$108,MATCH(C13,'Facilities'!$C$9:$C$108,0))),""))),NOT(ISNUMBER(G13)),G13&lt;0,IFERROR(IF(INDEX('Facilities'!$Z$9:$Z$108,MATCH(C13,'Facilities'!$C$9:$C$108,0))="","",INDEX('Facilities'!$Z$9:$Z$108,MATCH(C13,'Facilities'!$C$9:$C$108,0))),"")&lt;=0),"Drawn value required",IF(COUNTIFS('Inventory'!$C$9:$C$108,F13)&lt;&gt;1,"Entity required",IF(OR(E13&lt;&gt;IFERROR(IF(INDEX('Inventory'!$F$9:$F$108,MATCH(F13,'Inventory'!$C$9:$C$108,0))="","",INDEX('Inventory'!$F$9:$F$108,MATCH(F13,'Inventory'!$C$9:$C$108,0))),""),D13&lt;&gt;IFERROR(IF(INDEX('Inventory'!$D$9:$D$108,MATCH(F13,'Inventory'!$C$9:$C$108,0))="","",INDEX('Inventory'!$D$9:$D$108,MATCH(F13,'Inventory'!$C$9:$C$108,0))),"")),"Entity / class mismatch",IF(IFERROR(IF(INDEX('Inventory'!$AL$9:$AL$108,MATCH(F13,'Inventory'!$C$9:$C$108,0))="","",INDEX('Inventory'!$AL$9:$AL$108,MATCH(F13,'Inventory'!$C$9:$C$108,0))),"")&lt;&gt;"Ready",IFERROR(IF(INDEX('Inventory'!$AL$9:$AL$108,MATCH(F13,'Inventory'!$C$9:$C$108,0))="","",INDEX('Inventory'!$AL$9:$AL$108,MATCH(F13,'Inventory'!$C$9:$C$108,0))),""),IF(AND(OR(E13="Project finance",E13="CRE",E13="Mortgage",E13="Motor"),IFERROR(IF(INDEX('Facilities'!$V$9:$V$108,MATCH(C13,'Facilities'!$C$9:$C$108,0))="","",INDEX('Facilities'!$V$9:$V$108,MATCH(C13,'Facilities'!$C$9:$C$108,0))),"")&lt;&gt;"Designated asset"),"Purpose review",IF(X13&gt;H13,"Exposure exceeds value","Ready"))))))))</x:f>
        <x:v>Ready</x:v>
      </x:c>
      <x:c r="S13" s="9" t="str">
        <x:f>IF(C13="","",IFERROR(IF(INDEX('Inventory'!$V$9:$V$108,MATCH(F13,'Inventory'!$C$9:$C$108,0))="","",INDEX('Inventory'!$V$9:$V$108,MATCH(F13,'Inventory'!$C$9:$C$108,0))),""))</x:f>
        <x:v>Ready</x:v>
      </x:c>
      <x:c r="T13" s="9" t="str">
        <x:f>IF(C13="","",IFERROR(IF(INDEX('Inventory'!$AB$9:$AB$108,MATCH(F13,'Inventory'!$C$9:$C$108,0))="","",INDEX('Inventory'!$AB$9:$AB$108,MATCH(F13,'Inventory'!$C$9:$C$108,0))),""))</x:f>
        <x:v>Ready</x:v>
      </x:c>
      <x:c r="U13" s="9" t="str">
        <x:f>IF(C13="","",IFERROR(IF(INDEX('Inventory'!$AI$9:$AI$108,MATCH(F13,'Inventory'!$C$9:$C$108,0))="","",INDEX('Inventory'!$AI$9:$AI$108,MATCH(F13,'Inventory'!$C$9:$C$108,0))),""))</x:f>
        <x:v>Ready</x:v>
      </x:c>
      <x:c r="V13" s="43" t="n">
        <x:f>IF(C13="","",IFERROR(IF(INDEX('Inventory'!$P$9:$P$108,MATCH(F13,'Inventory'!$C$9:$C$108,0))="","",INDEX('Inventory'!$P$9:$P$108,MATCH(F13,'Inventory'!$C$9:$C$108,0))),""))</x:f>
        <x:v>46752</x:v>
      </x:c>
      <x:c r="W13" s="3" t="str">
        <x:f>IF(C13="","",IF(E13="Corporate listed","PCAF 2025 pp40-46",IF(E13="Corporate private","PCAF 2025 pp55-60",IF(E13="Project finance","PCAF 2025 pp67-71",IF(E13="CRE","PCAF 2025 pp77-81",IF(E13="Mortgage","PCAF 2025 pp83-87",IF(E13="Motor","PCAF 2025 pp90-94","Method required")))))))</x:f>
        <x:v>PCAF 2025 pp55-60</x:v>
      </x:c>
      <x:c r="X13" s="23" t="n">
        <x:f>IF(C13="","",SUMIFS('Facilities'!$AA$9:$AA$108,'Facilities'!$U$9:$U$108,F13))</x:f>
        <x:v>5.7</x:v>
      </x:c>
      <x:c r="Y13" s="21" t="n">
        <x:f>IF(AND(R13="Ready",S13="Ready"),G13,0)</x:f>
        <x:v>5.7</x:v>
      </x:c>
      <x:c r="Z13" s="21" t="n">
        <x:f>IF(AND(R13="Ready",T13="Ready"),G13,0)</x:f>
        <x:v>5.7</x:v>
      </x:c>
      <x:c r="AA13" s="21" t="n">
        <x:f>IF(Y13&gt;0,Y13*O13,0)</x:f>
        <x:v>5.7</x:v>
      </x:c>
      <x:c r="AB13" s="21" t="n">
        <x:f>IF(Z13&gt;0,Z13*P13,0)</x:f>
        <x:v>5.7</x:v>
      </x:c>
      <x:c r="AC13" s="21" t="n">
        <x:f>IF(N13&gt;0,N13*Q13,0)</x:f>
        <x:v>11.4</x:v>
      </x:c>
      <x:c r="AD13" s="21" t="n">
        <x:f>IF(M13&gt;0,M13*MAX(O13,P13),0)</x:f>
        <x:v>5.7</x:v>
      </x:c>
      <x:c r="AE13" s="9" t="str">
        <x:f>IF(C13="","",IFERROR(IF(INDEX('Inventory'!$AC$9:$AC$108,MATCH(F13,'Inventory'!$C$9:$C$108,0))="","",INDEX('Inventory'!$AC$9:$AC$108,MATCH(F13,'Inventory'!$C$9:$C$108,0))),""))</x:f>
        <x:v>Location-based</x:v>
      </x:c>
      <x:c r="AF13" s="9" t="str">
        <x:f>IF(C13="","",IFERROR(IF(INDEX('Inventory'!$AN$9:$AN$108,MATCH(F13,'Inventory'!$C$9:$C$108,0))="","",INDEX('Inventory'!$AN$9:$AN$108,MATCH(F13,'Inventory'!$C$9:$C$108,0))),""))</x:f>
        <x:v>Review overlap</x:v>
      </x:c>
    </x:row>
    <x:row r="14" ht="26" customHeight="1">
      <x:c r="A14" s="1"/>
      <x:c r="B14" s="1"/>
      <x:c r="C14" s="9" t="str">
        <x:f>IF('Facilities'!C14="","",'Facilities'!C14)</x:f>
        <x:v>F006</x:v>
      </x:c>
      <x:c r="D14" s="9" t="str">
        <x:f>IF(C14="","",IFERROR(IF(INDEX('Facilities'!$D$9:$D$108,MATCH(C14,'Facilities'!$C$9:$C$108,0))="","",INDEX('Facilities'!$D$9:$D$108,MATCH(C14,'Facilities'!$C$9:$C$108,0))),""))</x:f>
        <x:v>B003</x:v>
      </x:c>
      <x:c r="E14" s="9" t="str">
        <x:f>IF(C14="","",IFERROR(IF(INDEX('Facilities'!$E$9:$E$108,MATCH(C14,'Facilities'!$C$9:$C$108,0))="","",INDEX('Facilities'!$E$9:$E$108,MATCH(C14,'Facilities'!$C$9:$C$108,0))),""))</x:f>
        <x:v>Motor</x:v>
      </x:c>
      <x:c r="F14" s="9" t="str">
        <x:f>IF(C14="","",IFERROR(IF(INDEX('Facilities'!$U$9:$U$108,MATCH(C14,'Facilities'!$C$9:$C$108,0))="","",INDEX('Facilities'!$U$9:$U$108,MATCH(C14,'Facilities'!$C$9:$C$108,0))),""))</x:f>
        <x:v>A003</x:v>
      </x:c>
      <x:c r="G14" s="23" t="n">
        <x:f>IF(C14="","",IFERROR(IF(INDEX('Facilities'!$AA$9:$AA$108,MATCH(C14,'Facilities'!$C$9:$C$108,0))="","",INDEX('Facilities'!$AA$9:$AA$108,MATCH(C14,'Facilities'!$C$9:$C$108,0))),""))</x:f>
        <x:v>3.2</x:v>
      </x:c>
      <x:c r="H14" s="23" t="n">
        <x:f>IF(C14="","",IFERROR(IF(INDEX('Inventory'!$N$9:$N$108,MATCH(F14,'Inventory'!$C$9:$C$108,0))="","",INDEX('Inventory'!$N$9:$N$108,MATCH(F14,'Inventory'!$C$9:$C$108,0))),""))</x:f>
        <x:v>30</x:v>
      </x:c>
      <x:c r="I14" s="17" t="n">
        <x:f>IF(R14="Ready",G14/H14,"")</x:f>
        <x:v>0.10666666666666667</x:v>
      </x:c>
      <x:c r="J14" s="23" t="n">
        <x:f>IF(AND(R14="Ready",S14="Ready"),I14*IFERROR(IF(INDEX('Inventory'!$T$9:$T$108,MATCH(F14,'Inventory'!$C$9:$C$108,0))="","",INDEX('Inventory'!$T$9:$T$108,MATCH(F14,'Inventory'!$C$9:$C$108,0))),""),"")</x:f>
        <x:v>228.69333333333336</x:v>
      </x:c>
      <x:c r="K14" s="23" t="n">
        <x:f>IF(AND(R14="Ready",T14="Ready"),I14*IFERROR(IF(INDEX('Inventory'!$Z$9:$Z$108,MATCH(F14,'Inventory'!$C$9:$C$108,0))="","",INDEX('Inventory'!$Z$9:$Z$108,MATCH(F14,'Inventory'!$C$9:$C$108,0))),""),"")</x:f>
        <x:v>3.925333333333333</x:v>
      </x:c>
      <x:c r="L14" s="23" t="str">
        <x:f>IF(AND(R14="Ready",U14="Ready"),I14*IFERROR(IF(INDEX('Inventory'!$AG$9:$AG$108,MATCH(F14,'Inventory'!$C$9:$C$108,0))="","",INDEX('Inventory'!$AG$9:$AG$108,MATCH(F14,'Inventory'!$C$9:$C$108,0))),""),"")</x:f>
      </x:c>
      <x:c r="M14" s="21" t="n">
        <x:f>IF(AND(R14="Ready",S14="Ready",T14="Ready"),G14,0)</x:f>
        <x:v>3.2</x:v>
      </x:c>
      <x:c r="N14" s="21" t="n">
        <x:f>IF(AND(R14="Ready",U14="Ready"),G14,0)</x:f>
        <x:v>0</x:v>
      </x:c>
      <x:c r="O14" s="42" t="n">
        <x:f>IF(C14="","",IFERROR(IF(INDEX('Inventory'!$U$9:$U$108,MATCH(F14,'Inventory'!$C$9:$C$108,0))="","",INDEX('Inventory'!$U$9:$U$108,MATCH(F14,'Inventory'!$C$9:$C$108,0))),""))</x:f>
        <x:v>1</x:v>
      </x:c>
      <x:c r="P14" s="42" t="n">
        <x:f>IF(C14="","",IFERROR(IF(INDEX('Inventory'!$AA$9:$AA$108,MATCH(F14,'Inventory'!$C$9:$C$108,0))="","",INDEX('Inventory'!$AA$9:$AA$108,MATCH(F14,'Inventory'!$C$9:$C$108,0))),""))</x:f>
        <x:v>1</x:v>
      </x:c>
      <x:c r="Q14" s="42" t="str">
        <x:f>IF(C14="","",IFERROR(IF(INDEX('Inventory'!$AH$9:$AH$108,MATCH(F14,'Inventory'!$C$9:$C$108,0))="","",INDEX('Inventory'!$AH$9:$AH$108,MATCH(F14,'Inventory'!$C$9:$C$108,0))),""))</x:f>
      </x:c>
      <x:c r="R14" s="9" t="str">
        <x:f>IF(C14="","",IF(COUNTIFS('Facilities'!$C$9:$C$108,C14)&lt;&gt;1,"Duplicate facility ID",IF(OR(NOT(ISNUMBER(IFERROR(IF(INDEX('Facilities'!$G$9:$G$108,MATCH(C14,'Facilities'!$C$9:$C$108,0))="","",INDEX('Facilities'!$G$9:$G$108,MATCH(C14,'Facilities'!$C$9:$C$108,0))),""))),NOT(ISNUMBER(G14)),G14&lt;0,IFERROR(IF(INDEX('Facilities'!$Z$9:$Z$108,MATCH(C14,'Facilities'!$C$9:$C$108,0))="","",INDEX('Facilities'!$Z$9:$Z$108,MATCH(C14,'Facilities'!$C$9:$C$108,0))),"")&lt;=0),"Drawn value required",IF(COUNTIFS('Inventory'!$C$9:$C$108,F14)&lt;&gt;1,"Entity required",IF(OR(E14&lt;&gt;IFERROR(IF(INDEX('Inventory'!$F$9:$F$108,MATCH(F14,'Inventory'!$C$9:$C$108,0))="","",INDEX('Inventory'!$F$9:$F$108,MATCH(F14,'Inventory'!$C$9:$C$108,0))),""),D14&lt;&gt;IFERROR(IF(INDEX('Inventory'!$D$9:$D$108,MATCH(F14,'Inventory'!$C$9:$C$108,0))="","",INDEX('Inventory'!$D$9:$D$108,MATCH(F14,'Inventory'!$C$9:$C$108,0))),"")),"Entity / class mismatch",IF(IFERROR(IF(INDEX('Inventory'!$AL$9:$AL$108,MATCH(F14,'Inventory'!$C$9:$C$108,0))="","",INDEX('Inventory'!$AL$9:$AL$108,MATCH(F14,'Inventory'!$C$9:$C$108,0))),"")&lt;&gt;"Ready",IFERROR(IF(INDEX('Inventory'!$AL$9:$AL$108,MATCH(F14,'Inventory'!$C$9:$C$108,0))="","",INDEX('Inventory'!$AL$9:$AL$108,MATCH(F14,'Inventory'!$C$9:$C$108,0))),""),IF(AND(OR(E14="Project finance",E14="CRE",E14="Mortgage",E14="Motor"),IFERROR(IF(INDEX('Facilities'!$V$9:$V$108,MATCH(C14,'Facilities'!$C$9:$C$108,0))="","",INDEX('Facilities'!$V$9:$V$108,MATCH(C14,'Facilities'!$C$9:$C$108,0))),"")&lt;&gt;"Designated asset"),"Purpose review",IF(X14&gt;H14,"Exposure exceeds value","Ready"))))))))</x:f>
        <x:v>Ready</x:v>
      </x:c>
      <x:c r="S14" s="9" t="str">
        <x:f>IF(C14="","",IFERROR(IF(INDEX('Inventory'!$V$9:$V$108,MATCH(F14,'Inventory'!$C$9:$C$108,0))="","",INDEX('Inventory'!$V$9:$V$108,MATCH(F14,'Inventory'!$C$9:$C$108,0))),""))</x:f>
        <x:v>Ready</x:v>
      </x:c>
      <x:c r="T14" s="9" t="str">
        <x:f>IF(C14="","",IFERROR(IF(INDEX('Inventory'!$AB$9:$AB$108,MATCH(F14,'Inventory'!$C$9:$C$108,0))="","",INDEX('Inventory'!$AB$9:$AB$108,MATCH(F14,'Inventory'!$C$9:$C$108,0))),""))</x:f>
        <x:v>Ready</x:v>
      </x:c>
      <x:c r="U14" s="9" t="str">
        <x:f>IF(C14="","",IFERROR(IF(INDEX('Inventory'!$AI$9:$AI$108,MATCH(F14,'Inventory'!$C$9:$C$108,0))="","",INDEX('Inventory'!$AI$9:$AI$108,MATCH(F14,'Inventory'!$C$9:$C$108,0))),""))</x:f>
        <x:v>Not assessed</x:v>
      </x:c>
      <x:c r="V14" s="43" t="n">
        <x:f>IF(C14="","",IFERROR(IF(INDEX('Inventory'!$P$9:$P$108,MATCH(F14,'Inventory'!$C$9:$C$108,0))="","",INDEX('Inventory'!$P$9:$P$108,MATCH(F14,'Inventory'!$C$9:$C$108,0))),""))</x:f>
        <x:v>46752</x:v>
      </x:c>
      <x:c r="W14" s="3" t="str">
        <x:f>IF(C14="","",IF(E14="Corporate listed","PCAF 2025 pp40-46",IF(E14="Corporate private","PCAF 2025 pp55-60",IF(E14="Project finance","PCAF 2025 pp67-71",IF(E14="CRE","PCAF 2025 pp77-81",IF(E14="Mortgage","PCAF 2025 pp83-87",IF(E14="Motor","PCAF 2025 pp90-94","Method required")))))))</x:f>
        <x:v>PCAF 2025 pp90-94</x:v>
      </x:c>
      <x:c r="X14" s="23" t="n">
        <x:f>IF(C14="","",SUMIFS('Facilities'!$AA$9:$AA$108,'Facilities'!$U$9:$U$108,F14))</x:f>
        <x:v>3.2</x:v>
      </x:c>
      <x:c r="Y14" s="21" t="n">
        <x:f>IF(AND(R14="Ready",S14="Ready"),G14,0)</x:f>
        <x:v>3.2</x:v>
      </x:c>
      <x:c r="Z14" s="21" t="n">
        <x:f>IF(AND(R14="Ready",T14="Ready"),G14,0)</x:f>
        <x:v>3.2</x:v>
      </x:c>
      <x:c r="AA14" s="21" t="n">
        <x:f>IF(Y14&gt;0,Y14*O14,0)</x:f>
        <x:v>3.2</x:v>
      </x:c>
      <x:c r="AB14" s="21" t="n">
        <x:f>IF(Z14&gt;0,Z14*P14,0)</x:f>
        <x:v>3.2</x:v>
      </x:c>
      <x:c r="AC14" s="21" t="n">
        <x:f>IF(N14&gt;0,N14*Q14,0)</x:f>
        <x:v>0</x:v>
      </x:c>
      <x:c r="AD14" s="21" t="n">
        <x:f>IF(M14&gt;0,M14*MAX(O14,P14),0)</x:f>
        <x:v>3.2</x:v>
      </x:c>
      <x:c r="AE14" s="9" t="str">
        <x:f>IF(C14="","",IFERROR(IF(INDEX('Inventory'!$AC$9:$AC$108,MATCH(F14,'Inventory'!$C$9:$C$108,0))="","",INDEX('Inventory'!$AC$9:$AC$108,MATCH(F14,'Inventory'!$C$9:$C$108,0))),""))</x:f>
        <x:v>Location-based</x:v>
      </x:c>
      <x:c r="AF14" s="9" t="str">
        <x:f>IF(C14="","",IFERROR(IF(INDEX('Inventory'!$AN$9:$AN$108,MATCH(F14,'Inventory'!$C$9:$C$108,0))="","",INDEX('Inventory'!$AN$9:$AN$108,MATCH(F14,'Inventory'!$C$9:$C$108,0))),""))</x:f>
        <x:v>Review overlap</x:v>
      </x:c>
    </x:row>
    <x:row r="15" ht="26" customHeight="1">
      <x:c r="A15" s="1"/>
      <x:c r="B15" s="1"/>
      <x:c r="C15" s="9" t="str">
        <x:f>IF('Facilities'!C15="","",'Facilities'!C15)</x:f>
        <x:v>F007</x:v>
      </x:c>
      <x:c r="D15" s="9" t="str">
        <x:f>IF(C15="","",IFERROR(IF(INDEX('Facilities'!$D$9:$D$108,MATCH(C15,'Facilities'!$C$9:$C$108,0))="","",INDEX('Facilities'!$D$9:$D$108,MATCH(C15,'Facilities'!$C$9:$C$108,0))),""))</x:f>
        <x:v>B004</x:v>
      </x:c>
      <x:c r="E15" s="9" t="str">
        <x:f>IF(C15="","",IFERROR(IF(INDEX('Facilities'!$E$9:$E$108,MATCH(C15,'Facilities'!$C$9:$C$108,0))="","",INDEX('Facilities'!$E$9:$E$108,MATCH(C15,'Facilities'!$C$9:$C$108,0))),""))</x:f>
        <x:v>Corporate private</x:v>
      </x:c>
      <x:c r="F15" s="9" t="str">
        <x:f>IF(C15="","",IFERROR(IF(INDEX('Facilities'!$U$9:$U$108,MATCH(C15,'Facilities'!$C$9:$C$108,0))="","",INDEX('Facilities'!$U$9:$U$108,MATCH(C15,'Facilities'!$C$9:$C$108,0))),""))</x:f>
        <x:v>B004</x:v>
      </x:c>
      <x:c r="G15" s="23" t="n">
        <x:f>IF(C15="","",IFERROR(IF(INDEX('Facilities'!$AA$9:$AA$108,MATCH(C15,'Facilities'!$C$9:$C$108,0))="","",INDEX('Facilities'!$AA$9:$AA$108,MATCH(C15,'Facilities'!$C$9:$C$108,0))),""))</x:f>
        <x:v>6.05</x:v>
      </x:c>
      <x:c r="H15" s="23" t="n">
        <x:f>IF(C15="","",IFERROR(IF(INDEX('Inventory'!$N$9:$N$108,MATCH(F15,'Inventory'!$C$9:$C$108,0))="","",INDEX('Inventory'!$N$9:$N$108,MATCH(F15,'Inventory'!$C$9:$C$108,0))),""))</x:f>
        <x:v>80</x:v>
      </x:c>
      <x:c r="I15" s="17" t="n">
        <x:f>IF(R15="Ready",G15/H15,"")</x:f>
        <x:v>0.075625</x:v>
      </x:c>
      <x:c r="J15" s="23" t="n">
        <x:f>IF(AND(R15="Ready",S15="Ready"),I15*IFERROR(IF(INDEX('Inventory'!$T$9:$T$108,MATCH(F15,'Inventory'!$C$9:$C$108,0))="","",INDEX('Inventory'!$T$9:$T$108,MATCH(F15,'Inventory'!$C$9:$C$108,0))),""),"")</x:f>
        <x:v>132.34375</x:v>
      </x:c>
      <x:c r="K15" s="23" t="n">
        <x:f>IF(AND(R15="Ready",T15="Ready"),I15*IFERROR(IF(INDEX('Inventory'!$Z$9:$Z$108,MATCH(F15,'Inventory'!$C$9:$C$108,0))="","",INDEX('Inventory'!$Z$9:$Z$108,MATCH(F15,'Inventory'!$C$9:$C$108,0))),""),"")</x:f>
        <x:v>166.375</x:v>
      </x:c>
      <x:c r="L15" s="23" t="n">
        <x:f>IF(AND(R15="Ready",U15="Ready"),I15*IFERROR(IF(INDEX('Inventory'!$AG$9:$AG$108,MATCH(F15,'Inventory'!$C$9:$C$108,0))="","",INDEX('Inventory'!$AG$9:$AG$108,MATCH(F15,'Inventory'!$C$9:$C$108,0))),""),"")</x:f>
        <x:v>756.25</x:v>
      </x:c>
      <x:c r="M15" s="21" t="n">
        <x:f>IF(AND(R15="Ready",S15="Ready",T15="Ready"),G15,0)</x:f>
        <x:v>6.05</x:v>
      </x:c>
      <x:c r="N15" s="21" t="n">
        <x:f>IF(AND(R15="Ready",U15="Ready"),G15,0)</x:f>
        <x:v>6.05</x:v>
      </x:c>
      <x:c r="O15" s="42" t="n">
        <x:f>IF(C15="","",IFERROR(IF(INDEX('Inventory'!$U$9:$U$108,MATCH(F15,'Inventory'!$C$9:$C$108,0))="","",INDEX('Inventory'!$U$9:$U$108,MATCH(F15,'Inventory'!$C$9:$C$108,0))),""))</x:f>
        <x:v>2</x:v>
      </x:c>
      <x:c r="P15" s="42" t="n">
        <x:f>IF(C15="","",IFERROR(IF(INDEX('Inventory'!$AA$9:$AA$108,MATCH(F15,'Inventory'!$C$9:$C$108,0))="","",INDEX('Inventory'!$AA$9:$AA$108,MATCH(F15,'Inventory'!$C$9:$C$108,0))),""))</x:f>
        <x:v>2</x:v>
      </x:c>
      <x:c r="Q15" s="42" t="n">
        <x:f>IF(C15="","",IFERROR(IF(INDEX('Inventory'!$AH$9:$AH$108,MATCH(F15,'Inventory'!$C$9:$C$108,0))="","",INDEX('Inventory'!$AH$9:$AH$108,MATCH(F15,'Inventory'!$C$9:$C$108,0))),""))</x:f>
        <x:v>2</x:v>
      </x:c>
      <x:c r="R15" s="9" t="str">
        <x:f>IF(C15="","",IF(COUNTIFS('Facilities'!$C$9:$C$108,C15)&lt;&gt;1,"Duplicate facility ID",IF(OR(NOT(ISNUMBER(IFERROR(IF(INDEX('Facilities'!$G$9:$G$108,MATCH(C15,'Facilities'!$C$9:$C$108,0))="","",INDEX('Facilities'!$G$9:$G$108,MATCH(C15,'Facilities'!$C$9:$C$108,0))),""))),NOT(ISNUMBER(G15)),G15&lt;0,IFERROR(IF(INDEX('Facilities'!$Z$9:$Z$108,MATCH(C15,'Facilities'!$C$9:$C$108,0))="","",INDEX('Facilities'!$Z$9:$Z$108,MATCH(C15,'Facilities'!$C$9:$C$108,0))),"")&lt;=0),"Drawn value required",IF(COUNTIFS('Inventory'!$C$9:$C$108,F15)&lt;&gt;1,"Entity required",IF(OR(E15&lt;&gt;IFERROR(IF(INDEX('Inventory'!$F$9:$F$108,MATCH(F15,'Inventory'!$C$9:$C$108,0))="","",INDEX('Inventory'!$F$9:$F$108,MATCH(F15,'Inventory'!$C$9:$C$108,0))),""),D15&lt;&gt;IFERROR(IF(INDEX('Inventory'!$D$9:$D$108,MATCH(F15,'Inventory'!$C$9:$C$108,0))="","",INDEX('Inventory'!$D$9:$D$108,MATCH(F15,'Inventory'!$C$9:$C$108,0))),"")),"Entity / class mismatch",IF(IFERROR(IF(INDEX('Inventory'!$AL$9:$AL$108,MATCH(F15,'Inventory'!$C$9:$C$108,0))="","",INDEX('Inventory'!$AL$9:$AL$108,MATCH(F15,'Inventory'!$C$9:$C$108,0))),"")&lt;&gt;"Ready",IFERROR(IF(INDEX('Inventory'!$AL$9:$AL$108,MATCH(F15,'Inventory'!$C$9:$C$108,0))="","",INDEX('Inventory'!$AL$9:$AL$108,MATCH(F15,'Inventory'!$C$9:$C$108,0))),""),IF(AND(OR(E15="Project finance",E15="CRE",E15="Mortgage",E15="Motor"),IFERROR(IF(INDEX('Facilities'!$V$9:$V$108,MATCH(C15,'Facilities'!$C$9:$C$108,0))="","",INDEX('Facilities'!$V$9:$V$108,MATCH(C15,'Facilities'!$C$9:$C$108,0))),"")&lt;&gt;"Designated asset"),"Purpose review",IF(X15&gt;H15,"Exposure exceeds value","Ready"))))))))</x:f>
        <x:v>Ready</x:v>
      </x:c>
      <x:c r="S15" s="9" t="str">
        <x:f>IF(C15="","",IFERROR(IF(INDEX('Inventory'!$V$9:$V$108,MATCH(F15,'Inventory'!$C$9:$C$108,0))="","",INDEX('Inventory'!$V$9:$V$108,MATCH(F15,'Inventory'!$C$9:$C$108,0))),""))</x:f>
        <x:v>Ready</x:v>
      </x:c>
      <x:c r="T15" s="9" t="str">
        <x:f>IF(C15="","",IFERROR(IF(INDEX('Inventory'!$AB$9:$AB$108,MATCH(F15,'Inventory'!$C$9:$C$108,0))="","",INDEX('Inventory'!$AB$9:$AB$108,MATCH(F15,'Inventory'!$C$9:$C$108,0))),""))</x:f>
        <x:v>Ready</x:v>
      </x:c>
      <x:c r="U15" s="9" t="str">
        <x:f>IF(C15="","",IFERROR(IF(INDEX('Inventory'!$AI$9:$AI$108,MATCH(F15,'Inventory'!$C$9:$C$108,0))="","",INDEX('Inventory'!$AI$9:$AI$108,MATCH(F15,'Inventory'!$C$9:$C$108,0))),""))</x:f>
        <x:v>Ready</x:v>
      </x:c>
      <x:c r="V15" s="43" t="n">
        <x:f>IF(C15="","",IFERROR(IF(INDEX('Inventory'!$P$9:$P$108,MATCH(F15,'Inventory'!$C$9:$C$108,0))="","",INDEX('Inventory'!$P$9:$P$108,MATCH(F15,'Inventory'!$C$9:$C$108,0))),""))</x:f>
        <x:v>46752</x:v>
      </x:c>
      <x:c r="W15" s="3" t="str">
        <x:f>IF(C15="","",IF(E15="Corporate listed","PCAF 2025 pp40-46",IF(E15="Corporate private","PCAF 2025 pp55-60",IF(E15="Project finance","PCAF 2025 pp67-71",IF(E15="CRE","PCAF 2025 pp77-81",IF(E15="Mortgage","PCAF 2025 pp83-87",IF(E15="Motor","PCAF 2025 pp90-94","Method required")))))))</x:f>
        <x:v>PCAF 2025 pp55-60</x:v>
      </x:c>
      <x:c r="X15" s="23" t="n">
        <x:f>IF(C15="","",SUMIFS('Facilities'!$AA$9:$AA$108,'Facilities'!$U$9:$U$108,F15))</x:f>
        <x:v>9.6</x:v>
      </x:c>
      <x:c r="Y15" s="21" t="n">
        <x:f>IF(AND(R15="Ready",S15="Ready"),G15,0)</x:f>
        <x:v>6.05</x:v>
      </x:c>
      <x:c r="Z15" s="21" t="n">
        <x:f>IF(AND(R15="Ready",T15="Ready"),G15,0)</x:f>
        <x:v>6.05</x:v>
      </x:c>
      <x:c r="AA15" s="21" t="n">
        <x:f>IF(Y15&gt;0,Y15*O15,0)</x:f>
        <x:v>12.1</x:v>
      </x:c>
      <x:c r="AB15" s="21" t="n">
        <x:f>IF(Z15&gt;0,Z15*P15,0)</x:f>
        <x:v>12.1</x:v>
      </x:c>
      <x:c r="AC15" s="21" t="n">
        <x:f>IF(N15&gt;0,N15*Q15,0)</x:f>
        <x:v>12.1</x:v>
      </x:c>
      <x:c r="AD15" s="21" t="n">
        <x:f>IF(M15&gt;0,M15*MAX(O15,P15),0)</x:f>
        <x:v>12.1</x:v>
      </x:c>
      <x:c r="AE15" s="9" t="str">
        <x:f>IF(C15="","",IFERROR(IF(INDEX('Inventory'!$AC$9:$AC$108,MATCH(F15,'Inventory'!$C$9:$C$108,0))="","",INDEX('Inventory'!$AC$9:$AC$108,MATCH(F15,'Inventory'!$C$9:$C$108,0))),""))</x:f>
        <x:v>Location-based</x:v>
      </x:c>
      <x:c r="AF15" s="9" t="str">
        <x:f>IF(C15="","",IFERROR(IF(INDEX('Inventory'!$AN$9:$AN$108,MATCH(F15,'Inventory'!$C$9:$C$108,0))="","",INDEX('Inventory'!$AN$9:$AN$108,MATCH(F15,'Inventory'!$C$9:$C$108,0))),""))</x:f>
        <x:v>Single boundary</x:v>
      </x:c>
    </x:row>
    <x:row r="16" ht="26" customHeight="1">
      <x:c r="A16" s="1"/>
      <x:c r="B16" s="1"/>
      <x:c r="C16" s="9" t="str">
        <x:f>IF('Facilities'!C16="","",'Facilities'!C16)</x:f>
        <x:v>F008</x:v>
      </x:c>
      <x:c r="D16" s="9" t="str">
        <x:f>IF(C16="","",IFERROR(IF(INDEX('Facilities'!$D$9:$D$108,MATCH(C16,'Facilities'!$C$9:$C$108,0))="","",INDEX('Facilities'!$D$9:$D$108,MATCH(C16,'Facilities'!$C$9:$C$108,0))),""))</x:f>
        <x:v>B004</x:v>
      </x:c>
      <x:c r="E16" s="9" t="str">
        <x:f>IF(C16="","",IFERROR(IF(INDEX('Facilities'!$E$9:$E$108,MATCH(C16,'Facilities'!$C$9:$C$108,0))="","",INDEX('Facilities'!$E$9:$E$108,MATCH(C16,'Facilities'!$C$9:$C$108,0))),""))</x:f>
        <x:v>Corporate private</x:v>
      </x:c>
      <x:c r="F16" s="9" t="str">
        <x:f>IF(C16="","",IFERROR(IF(INDEX('Facilities'!$U$9:$U$108,MATCH(C16,'Facilities'!$C$9:$C$108,0))="","",INDEX('Facilities'!$U$9:$U$108,MATCH(C16,'Facilities'!$C$9:$C$108,0))),""))</x:f>
        <x:v>B004</x:v>
      </x:c>
      <x:c r="G16" s="23" t="n">
        <x:f>IF(C16="","",IFERROR(IF(INDEX('Facilities'!$AA$9:$AA$108,MATCH(C16,'Facilities'!$C$9:$C$108,0))="","",INDEX('Facilities'!$AA$9:$AA$108,MATCH(C16,'Facilities'!$C$9:$C$108,0))),""))</x:f>
        <x:v>3.55</x:v>
      </x:c>
      <x:c r="H16" s="23" t="n">
        <x:f>IF(C16="","",IFERROR(IF(INDEX('Inventory'!$N$9:$N$108,MATCH(F16,'Inventory'!$C$9:$C$108,0))="","",INDEX('Inventory'!$N$9:$N$108,MATCH(F16,'Inventory'!$C$9:$C$108,0))),""))</x:f>
        <x:v>80</x:v>
      </x:c>
      <x:c r="I16" s="17" t="n">
        <x:f>IF(R16="Ready",G16/H16,"")</x:f>
        <x:v>0.044375</x:v>
      </x:c>
      <x:c r="J16" s="23" t="n">
        <x:f>IF(AND(R16="Ready",S16="Ready"),I16*IFERROR(IF(INDEX('Inventory'!$T$9:$T$108,MATCH(F16,'Inventory'!$C$9:$C$108,0))="","",INDEX('Inventory'!$T$9:$T$108,MATCH(F16,'Inventory'!$C$9:$C$108,0))),""),"")</x:f>
        <x:v>77.65625</x:v>
      </x:c>
      <x:c r="K16" s="23" t="n">
        <x:f>IF(AND(R16="Ready",T16="Ready"),I16*IFERROR(IF(INDEX('Inventory'!$Z$9:$Z$108,MATCH(F16,'Inventory'!$C$9:$C$108,0))="","",INDEX('Inventory'!$Z$9:$Z$108,MATCH(F16,'Inventory'!$C$9:$C$108,0))),""),"")</x:f>
        <x:v>97.625</x:v>
      </x:c>
      <x:c r="L16" s="23" t="n">
        <x:f>IF(AND(R16="Ready",U16="Ready"),I16*IFERROR(IF(INDEX('Inventory'!$AG$9:$AG$108,MATCH(F16,'Inventory'!$C$9:$C$108,0))="","",INDEX('Inventory'!$AG$9:$AG$108,MATCH(F16,'Inventory'!$C$9:$C$108,0))),""),"")</x:f>
        <x:v>443.75</x:v>
      </x:c>
      <x:c r="M16" s="21" t="n">
        <x:f>IF(AND(R16="Ready",S16="Ready",T16="Ready"),G16,0)</x:f>
        <x:v>3.55</x:v>
      </x:c>
      <x:c r="N16" s="21" t="n">
        <x:f>IF(AND(R16="Ready",U16="Ready"),G16,0)</x:f>
        <x:v>3.55</x:v>
      </x:c>
      <x:c r="O16" s="42" t="n">
        <x:f>IF(C16="","",IFERROR(IF(INDEX('Inventory'!$U$9:$U$108,MATCH(F16,'Inventory'!$C$9:$C$108,0))="","",INDEX('Inventory'!$U$9:$U$108,MATCH(F16,'Inventory'!$C$9:$C$108,0))),""))</x:f>
        <x:v>2</x:v>
      </x:c>
      <x:c r="P16" s="42" t="n">
        <x:f>IF(C16="","",IFERROR(IF(INDEX('Inventory'!$AA$9:$AA$108,MATCH(F16,'Inventory'!$C$9:$C$108,0))="","",INDEX('Inventory'!$AA$9:$AA$108,MATCH(F16,'Inventory'!$C$9:$C$108,0))),""))</x:f>
        <x:v>2</x:v>
      </x:c>
      <x:c r="Q16" s="42" t="n">
        <x:f>IF(C16="","",IFERROR(IF(INDEX('Inventory'!$AH$9:$AH$108,MATCH(F16,'Inventory'!$C$9:$C$108,0))="","",INDEX('Inventory'!$AH$9:$AH$108,MATCH(F16,'Inventory'!$C$9:$C$108,0))),""))</x:f>
        <x:v>2</x:v>
      </x:c>
      <x:c r="R16" s="9" t="str">
        <x:f>IF(C16="","",IF(COUNTIFS('Facilities'!$C$9:$C$108,C16)&lt;&gt;1,"Duplicate facility ID",IF(OR(NOT(ISNUMBER(IFERROR(IF(INDEX('Facilities'!$G$9:$G$108,MATCH(C16,'Facilities'!$C$9:$C$108,0))="","",INDEX('Facilities'!$G$9:$G$108,MATCH(C16,'Facilities'!$C$9:$C$108,0))),""))),NOT(ISNUMBER(G16)),G16&lt;0,IFERROR(IF(INDEX('Facilities'!$Z$9:$Z$108,MATCH(C16,'Facilities'!$C$9:$C$108,0))="","",INDEX('Facilities'!$Z$9:$Z$108,MATCH(C16,'Facilities'!$C$9:$C$108,0))),"")&lt;=0),"Drawn value required",IF(COUNTIFS('Inventory'!$C$9:$C$108,F16)&lt;&gt;1,"Entity required",IF(OR(E16&lt;&gt;IFERROR(IF(INDEX('Inventory'!$F$9:$F$108,MATCH(F16,'Inventory'!$C$9:$C$108,0))="","",INDEX('Inventory'!$F$9:$F$108,MATCH(F16,'Inventory'!$C$9:$C$108,0))),""),D16&lt;&gt;IFERROR(IF(INDEX('Inventory'!$D$9:$D$108,MATCH(F16,'Inventory'!$C$9:$C$108,0))="","",INDEX('Inventory'!$D$9:$D$108,MATCH(F16,'Inventory'!$C$9:$C$108,0))),"")),"Entity / class mismatch",IF(IFERROR(IF(INDEX('Inventory'!$AL$9:$AL$108,MATCH(F16,'Inventory'!$C$9:$C$108,0))="","",INDEX('Inventory'!$AL$9:$AL$108,MATCH(F16,'Inventory'!$C$9:$C$108,0))),"")&lt;&gt;"Ready",IFERROR(IF(INDEX('Inventory'!$AL$9:$AL$108,MATCH(F16,'Inventory'!$C$9:$C$108,0))="","",INDEX('Inventory'!$AL$9:$AL$108,MATCH(F16,'Inventory'!$C$9:$C$108,0))),""),IF(AND(OR(E16="Project finance",E16="CRE",E16="Mortgage",E16="Motor"),IFERROR(IF(INDEX('Facilities'!$V$9:$V$108,MATCH(C16,'Facilities'!$C$9:$C$108,0))="","",INDEX('Facilities'!$V$9:$V$108,MATCH(C16,'Facilities'!$C$9:$C$108,0))),"")&lt;&gt;"Designated asset"),"Purpose review",IF(X16&gt;H16,"Exposure exceeds value","Ready"))))))))</x:f>
        <x:v>Ready</x:v>
      </x:c>
      <x:c r="S16" s="9" t="str">
        <x:f>IF(C16="","",IFERROR(IF(INDEX('Inventory'!$V$9:$V$108,MATCH(F16,'Inventory'!$C$9:$C$108,0))="","",INDEX('Inventory'!$V$9:$V$108,MATCH(F16,'Inventory'!$C$9:$C$108,0))),""))</x:f>
        <x:v>Ready</x:v>
      </x:c>
      <x:c r="T16" s="9" t="str">
        <x:f>IF(C16="","",IFERROR(IF(INDEX('Inventory'!$AB$9:$AB$108,MATCH(F16,'Inventory'!$C$9:$C$108,0))="","",INDEX('Inventory'!$AB$9:$AB$108,MATCH(F16,'Inventory'!$C$9:$C$108,0))),""))</x:f>
        <x:v>Ready</x:v>
      </x:c>
      <x:c r="U16" s="9" t="str">
        <x:f>IF(C16="","",IFERROR(IF(INDEX('Inventory'!$AI$9:$AI$108,MATCH(F16,'Inventory'!$C$9:$C$108,0))="","",INDEX('Inventory'!$AI$9:$AI$108,MATCH(F16,'Inventory'!$C$9:$C$108,0))),""))</x:f>
        <x:v>Ready</x:v>
      </x:c>
      <x:c r="V16" s="43" t="n">
        <x:f>IF(C16="","",IFERROR(IF(INDEX('Inventory'!$P$9:$P$108,MATCH(F16,'Inventory'!$C$9:$C$108,0))="","",INDEX('Inventory'!$P$9:$P$108,MATCH(F16,'Inventory'!$C$9:$C$108,0))),""))</x:f>
        <x:v>46752</x:v>
      </x:c>
      <x:c r="W16" s="3" t="str">
        <x:f>IF(C16="","",IF(E16="Corporate listed","PCAF 2025 pp40-46",IF(E16="Corporate private","PCAF 2025 pp55-60",IF(E16="Project finance","PCAF 2025 pp67-71",IF(E16="CRE","PCAF 2025 pp77-81",IF(E16="Mortgage","PCAF 2025 pp83-87",IF(E16="Motor","PCAF 2025 pp90-94","Method required")))))))</x:f>
        <x:v>PCAF 2025 pp55-60</x:v>
      </x:c>
      <x:c r="X16" s="23" t="n">
        <x:f>IF(C16="","",SUMIFS('Facilities'!$AA$9:$AA$108,'Facilities'!$U$9:$U$108,F16))</x:f>
        <x:v>9.6</x:v>
      </x:c>
      <x:c r="Y16" s="21" t="n">
        <x:f>IF(AND(R16="Ready",S16="Ready"),G16,0)</x:f>
        <x:v>3.55</x:v>
      </x:c>
      <x:c r="Z16" s="21" t="n">
        <x:f>IF(AND(R16="Ready",T16="Ready"),G16,0)</x:f>
        <x:v>3.55</x:v>
      </x:c>
      <x:c r="AA16" s="21" t="n">
        <x:f>IF(Y16&gt;0,Y16*O16,0)</x:f>
        <x:v>7.1</x:v>
      </x:c>
      <x:c r="AB16" s="21" t="n">
        <x:f>IF(Z16&gt;0,Z16*P16,0)</x:f>
        <x:v>7.1</x:v>
      </x:c>
      <x:c r="AC16" s="21" t="n">
        <x:f>IF(N16&gt;0,N16*Q16,0)</x:f>
        <x:v>7.1</x:v>
      </x:c>
      <x:c r="AD16" s="21" t="n">
        <x:f>IF(M16&gt;0,M16*MAX(O16,P16),0)</x:f>
        <x:v>7.1</x:v>
      </x:c>
      <x:c r="AE16" s="9" t="str">
        <x:f>IF(C16="","",IFERROR(IF(INDEX('Inventory'!$AC$9:$AC$108,MATCH(F16,'Inventory'!$C$9:$C$108,0))="","",INDEX('Inventory'!$AC$9:$AC$108,MATCH(F16,'Inventory'!$C$9:$C$108,0))),""))</x:f>
        <x:v>Location-based</x:v>
      </x:c>
      <x:c r="AF16" s="9" t="str">
        <x:f>IF(C16="","",IFERROR(IF(INDEX('Inventory'!$AN$9:$AN$108,MATCH(F16,'Inventory'!$C$9:$C$108,0))="","",INDEX('Inventory'!$AN$9:$AN$108,MATCH(F16,'Inventory'!$C$9:$C$108,0))),""))</x:f>
        <x:v>Single boundary</x:v>
      </x:c>
    </x:row>
    <x:row r="17" ht="26" customHeight="1">
      <x:c r="A17" s="1"/>
      <x:c r="B17" s="1"/>
      <x:c r="C17" s="9" t="str">
        <x:f>IF('Facilities'!C17="","",'Facilities'!C17)</x:f>
        <x:v>F009</x:v>
      </x:c>
      <x:c r="D17" s="9" t="str">
        <x:f>IF(C17="","",IFERROR(IF(INDEX('Facilities'!$D$9:$D$108,MATCH(C17,'Facilities'!$C$9:$C$108,0))="","",INDEX('Facilities'!$D$9:$D$108,MATCH(C17,'Facilities'!$C$9:$C$108,0))),""))</x:f>
        <x:v>B005</x:v>
      </x:c>
      <x:c r="E17" s="9" t="str">
        <x:f>IF(C17="","",IFERROR(IF(INDEX('Facilities'!$E$9:$E$108,MATCH(C17,'Facilities'!$C$9:$C$108,0))="","",INDEX('Facilities'!$E$9:$E$108,MATCH(C17,'Facilities'!$C$9:$C$108,0))),""))</x:f>
        <x:v>Corporate private</x:v>
      </x:c>
      <x:c r="F17" s="9" t="str">
        <x:f>IF(C17="","",IFERROR(IF(INDEX('Facilities'!$U$9:$U$108,MATCH(C17,'Facilities'!$C$9:$C$108,0))="","",INDEX('Facilities'!$U$9:$U$108,MATCH(C17,'Facilities'!$C$9:$C$108,0))),""))</x:f>
        <x:v>B005</x:v>
      </x:c>
      <x:c r="G17" s="23" t="n">
        <x:f>IF(C17="","",IFERROR(IF(INDEX('Facilities'!$AA$9:$AA$108,MATCH(C17,'Facilities'!$C$9:$C$108,0))="","",INDEX('Facilities'!$AA$9:$AA$108,MATCH(C17,'Facilities'!$C$9:$C$108,0))),""))</x:f>
        <x:v>6.4</x:v>
      </x:c>
      <x:c r="H17" s="23" t="n">
        <x:f>IF(C17="","",IFERROR(IF(INDEX('Inventory'!$N$9:$N$108,MATCH(F17,'Inventory'!$C$9:$C$108,0))="","",INDEX('Inventory'!$N$9:$N$108,MATCH(F17,'Inventory'!$C$9:$C$108,0))),""))</x:f>
        <x:v>85</x:v>
      </x:c>
      <x:c r="I17" s="17" t="n">
        <x:f>IF(R17="Ready",G17/H17,"")</x:f>
        <x:v>0.07529411764705883</x:v>
      </x:c>
      <x:c r="J17" s="23" t="n">
        <x:f>IF(AND(R17="Ready",S17="Ready"),I17*IFERROR(IF(INDEX('Inventory'!$T$9:$T$108,MATCH(F17,'Inventory'!$C$9:$C$108,0))="","",INDEX('Inventory'!$T$9:$T$108,MATCH(F17,'Inventory'!$C$9:$C$108,0))),""),"")</x:f>
        <x:v>144.56470588235297</x:v>
      </x:c>
      <x:c r="K17" s="23" t="n">
        <x:f>IF(AND(R17="Ready",T17="Ready"),I17*IFERROR(IF(INDEX('Inventory'!$Z$9:$Z$108,MATCH(F17,'Inventory'!$C$9:$C$108,0))="","",INDEX('Inventory'!$Z$9:$Z$108,MATCH(F17,'Inventory'!$C$9:$C$108,0))),""),"")</x:f>
        <x:v>173.1764705882353</x:v>
      </x:c>
      <x:c r="L17" s="23" t="n">
        <x:f>IF(AND(R17="Ready",U17="Ready"),I17*IFERROR(IF(INDEX('Inventory'!$AG$9:$AG$108,MATCH(F17,'Inventory'!$C$9:$C$108,0))="","",INDEX('Inventory'!$AG$9:$AG$108,MATCH(F17,'Inventory'!$C$9:$C$108,0))),""),"")</x:f>
        <x:v>813.1764705882354</x:v>
      </x:c>
      <x:c r="M17" s="21" t="n">
        <x:f>IF(AND(R17="Ready",S17="Ready",T17="Ready"),G17,0)</x:f>
        <x:v>6.4</x:v>
      </x:c>
      <x:c r="N17" s="21" t="n">
        <x:f>IF(AND(R17="Ready",U17="Ready"),G17,0)</x:f>
        <x:v>6.4</x:v>
      </x:c>
      <x:c r="O17" s="42" t="n">
        <x:f>IF(C17="","",IFERROR(IF(INDEX('Inventory'!$U$9:$U$108,MATCH(F17,'Inventory'!$C$9:$C$108,0))="","",INDEX('Inventory'!$U$9:$U$108,MATCH(F17,'Inventory'!$C$9:$C$108,0))),""))</x:f>
        <x:v>1</x:v>
      </x:c>
      <x:c r="P17" s="42" t="n">
        <x:f>IF(C17="","",IFERROR(IF(INDEX('Inventory'!$AA$9:$AA$108,MATCH(F17,'Inventory'!$C$9:$C$108,0))="","",INDEX('Inventory'!$AA$9:$AA$108,MATCH(F17,'Inventory'!$C$9:$C$108,0))),""))</x:f>
        <x:v>1</x:v>
      </x:c>
      <x:c r="Q17" s="42" t="n">
        <x:f>IF(C17="","",IFERROR(IF(INDEX('Inventory'!$AH$9:$AH$108,MATCH(F17,'Inventory'!$C$9:$C$108,0))="","",INDEX('Inventory'!$AH$9:$AH$108,MATCH(F17,'Inventory'!$C$9:$C$108,0))),""))</x:f>
        <x:v>2</x:v>
      </x:c>
      <x:c r="R17" s="9" t="str">
        <x:f>IF(C17="","",IF(COUNTIFS('Facilities'!$C$9:$C$108,C17)&lt;&gt;1,"Duplicate facility ID",IF(OR(NOT(ISNUMBER(IFERROR(IF(INDEX('Facilities'!$G$9:$G$108,MATCH(C17,'Facilities'!$C$9:$C$108,0))="","",INDEX('Facilities'!$G$9:$G$108,MATCH(C17,'Facilities'!$C$9:$C$108,0))),""))),NOT(ISNUMBER(G17)),G17&lt;0,IFERROR(IF(INDEX('Facilities'!$Z$9:$Z$108,MATCH(C17,'Facilities'!$C$9:$C$108,0))="","",INDEX('Facilities'!$Z$9:$Z$108,MATCH(C17,'Facilities'!$C$9:$C$108,0))),"")&lt;=0),"Drawn value required",IF(COUNTIFS('Inventory'!$C$9:$C$108,F17)&lt;&gt;1,"Entity required",IF(OR(E17&lt;&gt;IFERROR(IF(INDEX('Inventory'!$F$9:$F$108,MATCH(F17,'Inventory'!$C$9:$C$108,0))="","",INDEX('Inventory'!$F$9:$F$108,MATCH(F17,'Inventory'!$C$9:$C$108,0))),""),D17&lt;&gt;IFERROR(IF(INDEX('Inventory'!$D$9:$D$108,MATCH(F17,'Inventory'!$C$9:$C$108,0))="","",INDEX('Inventory'!$D$9:$D$108,MATCH(F17,'Inventory'!$C$9:$C$108,0))),"")),"Entity / class mismatch",IF(IFERROR(IF(INDEX('Inventory'!$AL$9:$AL$108,MATCH(F17,'Inventory'!$C$9:$C$108,0))="","",INDEX('Inventory'!$AL$9:$AL$108,MATCH(F17,'Inventory'!$C$9:$C$108,0))),"")&lt;&gt;"Ready",IFERROR(IF(INDEX('Inventory'!$AL$9:$AL$108,MATCH(F17,'Inventory'!$C$9:$C$108,0))="","",INDEX('Inventory'!$AL$9:$AL$108,MATCH(F17,'Inventory'!$C$9:$C$108,0))),""),IF(AND(OR(E17="Project finance",E17="CRE",E17="Mortgage",E17="Motor"),IFERROR(IF(INDEX('Facilities'!$V$9:$V$108,MATCH(C17,'Facilities'!$C$9:$C$108,0))="","",INDEX('Facilities'!$V$9:$V$108,MATCH(C17,'Facilities'!$C$9:$C$108,0))),"")&lt;&gt;"Designated asset"),"Purpose review",IF(X17&gt;H17,"Exposure exceeds value","Ready"))))))))</x:f>
        <x:v>Ready</x:v>
      </x:c>
      <x:c r="S17" s="9" t="str">
        <x:f>IF(C17="","",IFERROR(IF(INDEX('Inventory'!$V$9:$V$108,MATCH(F17,'Inventory'!$C$9:$C$108,0))="","",INDEX('Inventory'!$V$9:$V$108,MATCH(F17,'Inventory'!$C$9:$C$108,0))),""))</x:f>
        <x:v>Ready</x:v>
      </x:c>
      <x:c r="T17" s="9" t="str">
        <x:f>IF(C17="","",IFERROR(IF(INDEX('Inventory'!$AB$9:$AB$108,MATCH(F17,'Inventory'!$C$9:$C$108,0))="","",INDEX('Inventory'!$AB$9:$AB$108,MATCH(F17,'Inventory'!$C$9:$C$108,0))),""))</x:f>
        <x:v>Ready</x:v>
      </x:c>
      <x:c r="U17" s="9" t="str">
        <x:f>IF(C17="","",IFERROR(IF(INDEX('Inventory'!$AI$9:$AI$108,MATCH(F17,'Inventory'!$C$9:$C$108,0))="","",INDEX('Inventory'!$AI$9:$AI$108,MATCH(F17,'Inventory'!$C$9:$C$108,0))),""))</x:f>
        <x:v>Ready</x:v>
      </x:c>
      <x:c r="V17" s="43" t="n">
        <x:f>IF(C17="","",IFERROR(IF(INDEX('Inventory'!$P$9:$P$108,MATCH(F17,'Inventory'!$C$9:$C$108,0))="","",INDEX('Inventory'!$P$9:$P$108,MATCH(F17,'Inventory'!$C$9:$C$108,0))),""))</x:f>
        <x:v>46752</x:v>
      </x:c>
      <x:c r="W17" s="3" t="str">
        <x:f>IF(C17="","",IF(E17="Corporate listed","PCAF 2025 pp40-46",IF(E17="Corporate private","PCAF 2025 pp55-60",IF(E17="Project finance","PCAF 2025 pp67-71",IF(E17="CRE","PCAF 2025 pp77-81",IF(E17="Mortgage","PCAF 2025 pp83-87",IF(E17="Motor","PCAF 2025 pp90-94","Method required")))))))</x:f>
        <x:v>PCAF 2025 pp55-60</x:v>
      </x:c>
      <x:c r="X17" s="23" t="n">
        <x:f>IF(C17="","",SUMIFS('Facilities'!$AA$9:$AA$108,'Facilities'!$U$9:$U$108,F17))</x:f>
        <x:v>6.4</x:v>
      </x:c>
      <x:c r="Y17" s="21" t="n">
        <x:f>IF(AND(R17="Ready",S17="Ready"),G17,0)</x:f>
        <x:v>6.4</x:v>
      </x:c>
      <x:c r="Z17" s="21" t="n">
        <x:f>IF(AND(R17="Ready",T17="Ready"),G17,0)</x:f>
        <x:v>6.4</x:v>
      </x:c>
      <x:c r="AA17" s="21" t="n">
        <x:f>IF(Y17&gt;0,Y17*O17,0)</x:f>
        <x:v>6.4</x:v>
      </x:c>
      <x:c r="AB17" s="21" t="n">
        <x:f>IF(Z17&gt;0,Z17*P17,0)</x:f>
        <x:v>6.4</x:v>
      </x:c>
      <x:c r="AC17" s="21" t="n">
        <x:f>IF(N17&gt;0,N17*Q17,0)</x:f>
        <x:v>12.8</x:v>
      </x:c>
      <x:c r="AD17" s="21" t="n">
        <x:f>IF(M17&gt;0,M17*MAX(O17,P17),0)</x:f>
        <x:v>6.4</x:v>
      </x:c>
      <x:c r="AE17" s="9" t="str">
        <x:f>IF(C17="","",IFERROR(IF(INDEX('Inventory'!$AC$9:$AC$108,MATCH(F17,'Inventory'!$C$9:$C$108,0))="","",INDEX('Inventory'!$AC$9:$AC$108,MATCH(F17,'Inventory'!$C$9:$C$108,0))),""))</x:f>
        <x:v>Location-based</x:v>
      </x:c>
      <x:c r="AF17" s="9" t="str">
        <x:f>IF(C17="","",IFERROR(IF(INDEX('Inventory'!$AN$9:$AN$108,MATCH(F17,'Inventory'!$C$9:$C$108,0))="","",INDEX('Inventory'!$AN$9:$AN$108,MATCH(F17,'Inventory'!$C$9:$C$108,0))),""))</x:f>
        <x:v>Review overlap</x:v>
      </x:c>
    </x:row>
    <x:row r="18" ht="26" customHeight="1">
      <x:c r="A18" s="1"/>
      <x:c r="B18" s="1"/>
      <x:c r="C18" s="9" t="str">
        <x:f>IF('Facilities'!C18="","",'Facilities'!C18)</x:f>
        <x:v>F010</x:v>
      </x:c>
      <x:c r="D18" s="9" t="str">
        <x:f>IF(C18="","",IFERROR(IF(INDEX('Facilities'!$D$9:$D$108,MATCH(C18,'Facilities'!$C$9:$C$108,0))="","",INDEX('Facilities'!$D$9:$D$108,MATCH(C18,'Facilities'!$C$9:$C$108,0))),""))</x:f>
        <x:v>B005</x:v>
      </x:c>
      <x:c r="E18" s="9" t="str">
        <x:f>IF(C18="","",IFERROR(IF(INDEX('Facilities'!$E$9:$E$108,MATCH(C18,'Facilities'!$C$9:$C$108,0))="","",INDEX('Facilities'!$E$9:$E$108,MATCH(C18,'Facilities'!$C$9:$C$108,0))),""))</x:f>
        <x:v>CRE</x:v>
      </x:c>
      <x:c r="F18" s="9" t="str">
        <x:f>IF(C18="","",IFERROR(IF(INDEX('Facilities'!$U$9:$U$108,MATCH(C18,'Facilities'!$C$9:$C$108,0))="","",INDEX('Facilities'!$U$9:$U$108,MATCH(C18,'Facilities'!$C$9:$C$108,0))),""))</x:f>
        <x:v>A005</x:v>
      </x:c>
      <x:c r="G18" s="23" t="n">
        <x:f>IF(C18="","",IFERROR(IF(INDEX('Facilities'!$AA$9:$AA$108,MATCH(C18,'Facilities'!$C$9:$C$108,0))="","",INDEX('Facilities'!$AA$9:$AA$108,MATCH(C18,'Facilities'!$C$9:$C$108,0))),""))</x:f>
        <x:v>3.9</x:v>
      </x:c>
      <x:c r="H18" s="23" t="n">
        <x:f>IF(C18="","",IFERROR(IF(INDEX('Inventory'!$N$9:$N$108,MATCH(F18,'Inventory'!$C$9:$C$108,0))="","",INDEX('Inventory'!$N$9:$N$108,MATCH(F18,'Inventory'!$C$9:$C$108,0))),""))</x:f>
        <x:v>30</x:v>
      </x:c>
      <x:c r="I18" s="17" t="n">
        <x:f>IF(R18="Ready",G18/H18,"")</x:f>
        <x:v>0.13</x:v>
      </x:c>
      <x:c r="J18" s="23" t="n">
        <x:f>IF(AND(R18="Ready",S18="Ready"),I18*IFERROR(IF(INDEX('Inventory'!$T$9:$T$108,MATCH(F18,'Inventory'!$C$9:$C$108,0))="","",INDEX('Inventory'!$T$9:$T$108,MATCH(F18,'Inventory'!$C$9:$C$108,0))),""),"")</x:f>
        <x:v>3.4840000000000004</x:v>
      </x:c>
      <x:c r="K18" s="23" t="n">
        <x:f>IF(AND(R18="Ready",T18="Ready"),I18*IFERROR(IF(INDEX('Inventory'!$Z$9:$Z$108,MATCH(F18,'Inventory'!$C$9:$C$108,0))="","",INDEX('Inventory'!$Z$9:$Z$108,MATCH(F18,'Inventory'!$C$9:$C$108,0))),""),"")</x:f>
        <x:v>89.7</x:v>
      </x:c>
      <x:c r="L18" s="23" t="str">
        <x:f>IF(AND(R18="Ready",U18="Ready"),I18*IFERROR(IF(INDEX('Inventory'!$AG$9:$AG$108,MATCH(F18,'Inventory'!$C$9:$C$108,0))="","",INDEX('Inventory'!$AG$9:$AG$108,MATCH(F18,'Inventory'!$C$9:$C$108,0))),""),"")</x:f>
      </x:c>
      <x:c r="M18" s="21" t="n">
        <x:f>IF(AND(R18="Ready",S18="Ready",T18="Ready"),G18,0)</x:f>
        <x:v>3.9</x:v>
      </x:c>
      <x:c r="N18" s="21" t="n">
        <x:f>IF(AND(R18="Ready",U18="Ready"),G18,0)</x:f>
        <x:v>0</x:v>
      </x:c>
      <x:c r="O18" s="42" t="n">
        <x:f>IF(C18="","",IFERROR(IF(INDEX('Inventory'!$U$9:$U$108,MATCH(F18,'Inventory'!$C$9:$C$108,0))="","",INDEX('Inventory'!$U$9:$U$108,MATCH(F18,'Inventory'!$C$9:$C$108,0))),""))</x:f>
        <x:v>2</x:v>
      </x:c>
      <x:c r="P18" s="42" t="n">
        <x:f>IF(C18="","",IFERROR(IF(INDEX('Inventory'!$AA$9:$AA$108,MATCH(F18,'Inventory'!$C$9:$C$108,0))="","",INDEX('Inventory'!$AA$9:$AA$108,MATCH(F18,'Inventory'!$C$9:$C$108,0))),""))</x:f>
        <x:v>2</x:v>
      </x:c>
      <x:c r="Q18" s="42" t="str">
        <x:f>IF(C18="","",IFERROR(IF(INDEX('Inventory'!$AH$9:$AH$108,MATCH(F18,'Inventory'!$C$9:$C$108,0))="","",INDEX('Inventory'!$AH$9:$AH$108,MATCH(F18,'Inventory'!$C$9:$C$108,0))),""))</x:f>
      </x:c>
      <x:c r="R18" s="9" t="str">
        <x:f>IF(C18="","",IF(COUNTIFS('Facilities'!$C$9:$C$108,C18)&lt;&gt;1,"Duplicate facility ID",IF(OR(NOT(ISNUMBER(IFERROR(IF(INDEX('Facilities'!$G$9:$G$108,MATCH(C18,'Facilities'!$C$9:$C$108,0))="","",INDEX('Facilities'!$G$9:$G$108,MATCH(C18,'Facilities'!$C$9:$C$108,0))),""))),NOT(ISNUMBER(G18)),G18&lt;0,IFERROR(IF(INDEX('Facilities'!$Z$9:$Z$108,MATCH(C18,'Facilities'!$C$9:$C$108,0))="","",INDEX('Facilities'!$Z$9:$Z$108,MATCH(C18,'Facilities'!$C$9:$C$108,0))),"")&lt;=0),"Drawn value required",IF(COUNTIFS('Inventory'!$C$9:$C$108,F18)&lt;&gt;1,"Entity required",IF(OR(E18&lt;&gt;IFERROR(IF(INDEX('Inventory'!$F$9:$F$108,MATCH(F18,'Inventory'!$C$9:$C$108,0))="","",INDEX('Inventory'!$F$9:$F$108,MATCH(F18,'Inventory'!$C$9:$C$108,0))),""),D18&lt;&gt;IFERROR(IF(INDEX('Inventory'!$D$9:$D$108,MATCH(F18,'Inventory'!$C$9:$C$108,0))="","",INDEX('Inventory'!$D$9:$D$108,MATCH(F18,'Inventory'!$C$9:$C$108,0))),"")),"Entity / class mismatch",IF(IFERROR(IF(INDEX('Inventory'!$AL$9:$AL$108,MATCH(F18,'Inventory'!$C$9:$C$108,0))="","",INDEX('Inventory'!$AL$9:$AL$108,MATCH(F18,'Inventory'!$C$9:$C$108,0))),"")&lt;&gt;"Ready",IFERROR(IF(INDEX('Inventory'!$AL$9:$AL$108,MATCH(F18,'Inventory'!$C$9:$C$108,0))="","",INDEX('Inventory'!$AL$9:$AL$108,MATCH(F18,'Inventory'!$C$9:$C$108,0))),""),IF(AND(OR(E18="Project finance",E18="CRE",E18="Mortgage",E18="Motor"),IFERROR(IF(INDEX('Facilities'!$V$9:$V$108,MATCH(C18,'Facilities'!$C$9:$C$108,0))="","",INDEX('Facilities'!$V$9:$V$108,MATCH(C18,'Facilities'!$C$9:$C$108,0))),"")&lt;&gt;"Designated asset"),"Purpose review",IF(X18&gt;H18,"Exposure exceeds value","Ready"))))))))</x:f>
        <x:v>Ready</x:v>
      </x:c>
      <x:c r="S18" s="9" t="str">
        <x:f>IF(C18="","",IFERROR(IF(INDEX('Inventory'!$V$9:$V$108,MATCH(F18,'Inventory'!$C$9:$C$108,0))="","",INDEX('Inventory'!$V$9:$V$108,MATCH(F18,'Inventory'!$C$9:$C$108,0))),""))</x:f>
        <x:v>Ready</x:v>
      </x:c>
      <x:c r="T18" s="9" t="str">
        <x:f>IF(C18="","",IFERROR(IF(INDEX('Inventory'!$AB$9:$AB$108,MATCH(F18,'Inventory'!$C$9:$C$108,0))="","",INDEX('Inventory'!$AB$9:$AB$108,MATCH(F18,'Inventory'!$C$9:$C$108,0))),""))</x:f>
        <x:v>Ready</x:v>
      </x:c>
      <x:c r="U18" s="9" t="str">
        <x:f>IF(C18="","",IFERROR(IF(INDEX('Inventory'!$AI$9:$AI$108,MATCH(F18,'Inventory'!$C$9:$C$108,0))="","",INDEX('Inventory'!$AI$9:$AI$108,MATCH(F18,'Inventory'!$C$9:$C$108,0))),""))</x:f>
        <x:v>Not assessed</x:v>
      </x:c>
      <x:c r="V18" s="43" t="n">
        <x:f>IF(C18="","",IFERROR(IF(INDEX('Inventory'!$P$9:$P$108,MATCH(F18,'Inventory'!$C$9:$C$108,0))="","",INDEX('Inventory'!$P$9:$P$108,MATCH(F18,'Inventory'!$C$9:$C$108,0))),""))</x:f>
        <x:v>46752</x:v>
      </x:c>
      <x:c r="W18" s="3" t="str">
        <x:f>IF(C18="","",IF(E18="Corporate listed","PCAF 2025 pp40-46",IF(E18="Corporate private","PCAF 2025 pp55-60",IF(E18="Project finance","PCAF 2025 pp67-71",IF(E18="CRE","PCAF 2025 pp77-81",IF(E18="Mortgage","PCAF 2025 pp83-87",IF(E18="Motor","PCAF 2025 pp90-94","Method required")))))))</x:f>
        <x:v>PCAF 2025 pp77-81</x:v>
      </x:c>
      <x:c r="X18" s="23" t="n">
        <x:f>IF(C18="","",SUMIFS('Facilities'!$AA$9:$AA$108,'Facilities'!$U$9:$U$108,F18))</x:f>
        <x:v>3.9</x:v>
      </x:c>
      <x:c r="Y18" s="21" t="n">
        <x:f>IF(AND(R18="Ready",S18="Ready"),G18,0)</x:f>
        <x:v>3.9</x:v>
      </x:c>
      <x:c r="Z18" s="21" t="n">
        <x:f>IF(AND(R18="Ready",T18="Ready"),G18,0)</x:f>
        <x:v>3.9</x:v>
      </x:c>
      <x:c r="AA18" s="21" t="n">
        <x:f>IF(Y18&gt;0,Y18*O18,0)</x:f>
        <x:v>7.8</x:v>
      </x:c>
      <x:c r="AB18" s="21" t="n">
        <x:f>IF(Z18&gt;0,Z18*P18,0)</x:f>
        <x:v>7.8</x:v>
      </x:c>
      <x:c r="AC18" s="21" t="n">
        <x:f>IF(N18&gt;0,N18*Q18,0)</x:f>
        <x:v>0</x:v>
      </x:c>
      <x:c r="AD18" s="21" t="n">
        <x:f>IF(M18&gt;0,M18*MAX(O18,P18),0)</x:f>
        <x:v>7.8</x:v>
      </x:c>
      <x:c r="AE18" s="9" t="str">
        <x:f>IF(C18="","",IFERROR(IF(INDEX('Inventory'!$AC$9:$AC$108,MATCH(F18,'Inventory'!$C$9:$C$108,0))="","",INDEX('Inventory'!$AC$9:$AC$108,MATCH(F18,'Inventory'!$C$9:$C$108,0))),""))</x:f>
        <x:v>Location-based</x:v>
      </x:c>
      <x:c r="AF18" s="9" t="str">
        <x:f>IF(C18="","",IFERROR(IF(INDEX('Inventory'!$AN$9:$AN$108,MATCH(F18,'Inventory'!$C$9:$C$108,0))="","",INDEX('Inventory'!$AN$9:$AN$108,MATCH(F18,'Inventory'!$C$9:$C$108,0))),""))</x:f>
        <x:v>Review overlap</x:v>
      </x:c>
    </x:row>
    <x:row r="19" ht="26" customHeight="1">
      <x:c r="A19" s="1"/>
      <x:c r="B19" s="1"/>
      <x:c r="C19" s="9" t="str">
        <x:f>IF('Facilities'!C19="","",'Facilities'!C19)</x:f>
        <x:v>F011</x:v>
      </x:c>
      <x:c r="D19" s="9" t="str">
        <x:f>IF(C19="","",IFERROR(IF(INDEX('Facilities'!$D$9:$D$108,MATCH(C19,'Facilities'!$C$9:$C$108,0))="","",INDEX('Facilities'!$D$9:$D$108,MATCH(C19,'Facilities'!$C$9:$C$108,0))),""))</x:f>
        <x:v>B006</x:v>
      </x:c>
      <x:c r="E19" s="9" t="str">
        <x:f>IF(C19="","",IFERROR(IF(INDEX('Facilities'!$E$9:$E$108,MATCH(C19,'Facilities'!$C$9:$C$108,0))="","",INDEX('Facilities'!$E$9:$E$108,MATCH(C19,'Facilities'!$C$9:$C$108,0))),""))</x:f>
        <x:v>Corporate listed</x:v>
      </x:c>
      <x:c r="F19" s="9" t="str">
        <x:f>IF(C19="","",IFERROR(IF(INDEX('Facilities'!$U$9:$U$108,MATCH(C19,'Facilities'!$C$9:$C$108,0))="","",INDEX('Facilities'!$U$9:$U$108,MATCH(C19,'Facilities'!$C$9:$C$108,0))),""))</x:f>
        <x:v>B006</x:v>
      </x:c>
      <x:c r="G19" s="23" t="n">
        <x:f>IF(C19="","",IFERROR(IF(INDEX('Facilities'!$AA$9:$AA$108,MATCH(C19,'Facilities'!$C$9:$C$108,0))="","",INDEX('Facilities'!$AA$9:$AA$108,MATCH(C19,'Facilities'!$C$9:$C$108,0))),""))</x:f>
        <x:v>6.75</x:v>
      </x:c>
      <x:c r="H19" s="23" t="n">
        <x:f>IF(C19="","",IFERROR(IF(INDEX('Inventory'!$N$9:$N$108,MATCH(F19,'Inventory'!$C$9:$C$108,0))="","",INDEX('Inventory'!$N$9:$N$108,MATCH(F19,'Inventory'!$C$9:$C$108,0))),""))</x:f>
        <x:v>140</x:v>
      </x:c>
      <x:c r="I19" s="17" t="n">
        <x:f>IF(R19="Ready",G19/H19,"")</x:f>
        <x:v>0.048214285714285716</x:v>
      </x:c>
      <x:c r="J19" s="23" t="n">
        <x:f>IF(AND(R19="Ready",S19="Ready"),I19*IFERROR(IF(INDEX('Inventory'!$T$9:$T$108,MATCH(F19,'Inventory'!$C$9:$C$108,0))="","",INDEX('Inventory'!$T$9:$T$108,MATCH(F19,'Inventory'!$C$9:$C$108,0))),""),"")</x:f>
        <x:v>108.96428571428572</x:v>
      </x:c>
      <x:c r="K19" s="23" t="n">
        <x:f>IF(AND(R19="Ready",T19="Ready"),I19*IFERROR(IF(INDEX('Inventory'!$Z$9:$Z$108,MATCH(F19,'Inventory'!$C$9:$C$108,0))="","",INDEX('Inventory'!$Z$9:$Z$108,MATCH(F19,'Inventory'!$C$9:$C$108,0))),""),"")</x:f>
        <x:v>120.53571428571429</x:v>
      </x:c>
      <x:c r="L19" s="23" t="n">
        <x:f>IF(AND(R19="Ready",U19="Ready"),I19*IFERROR(IF(INDEX('Inventory'!$AG$9:$AG$108,MATCH(F19,'Inventory'!$C$9:$C$108,0))="","",INDEX('Inventory'!$AG$9:$AG$108,MATCH(F19,'Inventory'!$C$9:$C$108,0))),""),"")</x:f>
        <x:v>597.8571428571429</x:v>
      </x:c>
      <x:c r="M19" s="21" t="n">
        <x:f>IF(AND(R19="Ready",S19="Ready",T19="Ready"),G19,0)</x:f>
        <x:v>6.75</x:v>
      </x:c>
      <x:c r="N19" s="21" t="n">
        <x:f>IF(AND(R19="Ready",U19="Ready"),G19,0)</x:f>
        <x:v>6.75</x:v>
      </x:c>
      <x:c r="O19" s="42" t="n">
        <x:f>IF(C19="","",IFERROR(IF(INDEX('Inventory'!$U$9:$U$108,MATCH(F19,'Inventory'!$C$9:$C$108,0))="","",INDEX('Inventory'!$U$9:$U$108,MATCH(F19,'Inventory'!$C$9:$C$108,0))),""))</x:f>
        <x:v>2</x:v>
      </x:c>
      <x:c r="P19" s="42" t="n">
        <x:f>IF(C19="","",IFERROR(IF(INDEX('Inventory'!$AA$9:$AA$108,MATCH(F19,'Inventory'!$C$9:$C$108,0))="","",INDEX('Inventory'!$AA$9:$AA$108,MATCH(F19,'Inventory'!$C$9:$C$108,0))),""))</x:f>
        <x:v>2</x:v>
      </x:c>
      <x:c r="Q19" s="42" t="n">
        <x:f>IF(C19="","",IFERROR(IF(INDEX('Inventory'!$AH$9:$AH$108,MATCH(F19,'Inventory'!$C$9:$C$108,0))="","",INDEX('Inventory'!$AH$9:$AH$108,MATCH(F19,'Inventory'!$C$9:$C$108,0))),""))</x:f>
        <x:v>2</x:v>
      </x:c>
      <x:c r="R19" s="9" t="str">
        <x:f>IF(C19="","",IF(COUNTIFS('Facilities'!$C$9:$C$108,C19)&lt;&gt;1,"Duplicate facility ID",IF(OR(NOT(ISNUMBER(IFERROR(IF(INDEX('Facilities'!$G$9:$G$108,MATCH(C19,'Facilities'!$C$9:$C$108,0))="","",INDEX('Facilities'!$G$9:$G$108,MATCH(C19,'Facilities'!$C$9:$C$108,0))),""))),NOT(ISNUMBER(G19)),G19&lt;0,IFERROR(IF(INDEX('Facilities'!$Z$9:$Z$108,MATCH(C19,'Facilities'!$C$9:$C$108,0))="","",INDEX('Facilities'!$Z$9:$Z$108,MATCH(C19,'Facilities'!$C$9:$C$108,0))),"")&lt;=0),"Drawn value required",IF(COUNTIFS('Inventory'!$C$9:$C$108,F19)&lt;&gt;1,"Entity required",IF(OR(E19&lt;&gt;IFERROR(IF(INDEX('Inventory'!$F$9:$F$108,MATCH(F19,'Inventory'!$C$9:$C$108,0))="","",INDEX('Inventory'!$F$9:$F$108,MATCH(F19,'Inventory'!$C$9:$C$108,0))),""),D19&lt;&gt;IFERROR(IF(INDEX('Inventory'!$D$9:$D$108,MATCH(F19,'Inventory'!$C$9:$C$108,0))="","",INDEX('Inventory'!$D$9:$D$108,MATCH(F19,'Inventory'!$C$9:$C$108,0))),"")),"Entity / class mismatch",IF(IFERROR(IF(INDEX('Inventory'!$AL$9:$AL$108,MATCH(F19,'Inventory'!$C$9:$C$108,0))="","",INDEX('Inventory'!$AL$9:$AL$108,MATCH(F19,'Inventory'!$C$9:$C$108,0))),"")&lt;&gt;"Ready",IFERROR(IF(INDEX('Inventory'!$AL$9:$AL$108,MATCH(F19,'Inventory'!$C$9:$C$108,0))="","",INDEX('Inventory'!$AL$9:$AL$108,MATCH(F19,'Inventory'!$C$9:$C$108,0))),""),IF(AND(OR(E19="Project finance",E19="CRE",E19="Mortgage",E19="Motor"),IFERROR(IF(INDEX('Facilities'!$V$9:$V$108,MATCH(C19,'Facilities'!$C$9:$C$108,0))="","",INDEX('Facilities'!$V$9:$V$108,MATCH(C19,'Facilities'!$C$9:$C$108,0))),"")&lt;&gt;"Designated asset"),"Purpose review",IF(X19&gt;H19,"Exposure exceeds value","Ready"))))))))</x:f>
        <x:v>Ready</x:v>
      </x:c>
      <x:c r="S19" s="9" t="str">
        <x:f>IF(C19="","",IFERROR(IF(INDEX('Inventory'!$V$9:$V$108,MATCH(F19,'Inventory'!$C$9:$C$108,0))="","",INDEX('Inventory'!$V$9:$V$108,MATCH(F19,'Inventory'!$C$9:$C$108,0))),""))</x:f>
        <x:v>Ready</x:v>
      </x:c>
      <x:c r="T19" s="9" t="str">
        <x:f>IF(C19="","",IFERROR(IF(INDEX('Inventory'!$AB$9:$AB$108,MATCH(F19,'Inventory'!$C$9:$C$108,0))="","",INDEX('Inventory'!$AB$9:$AB$108,MATCH(F19,'Inventory'!$C$9:$C$108,0))),""))</x:f>
        <x:v>Ready</x:v>
      </x:c>
      <x:c r="U19" s="9" t="str">
        <x:f>IF(C19="","",IFERROR(IF(INDEX('Inventory'!$AI$9:$AI$108,MATCH(F19,'Inventory'!$C$9:$C$108,0))="","",INDEX('Inventory'!$AI$9:$AI$108,MATCH(F19,'Inventory'!$C$9:$C$108,0))),""))</x:f>
        <x:v>Ready</x:v>
      </x:c>
      <x:c r="V19" s="43" t="n">
        <x:f>IF(C19="","",IFERROR(IF(INDEX('Inventory'!$P$9:$P$108,MATCH(F19,'Inventory'!$C$9:$C$108,0))="","",INDEX('Inventory'!$P$9:$P$108,MATCH(F19,'Inventory'!$C$9:$C$108,0))),""))</x:f>
        <x:v>46752</x:v>
      </x:c>
      <x:c r="W19" s="3" t="str">
        <x:f>IF(C19="","",IF(E19="Corporate listed","PCAF 2025 pp40-46",IF(E19="Corporate private","PCAF 2025 pp55-60",IF(E19="Project finance","PCAF 2025 pp67-71",IF(E19="CRE","PCAF 2025 pp77-81",IF(E19="Mortgage","PCAF 2025 pp83-87",IF(E19="Motor","PCAF 2025 pp90-94","Method required")))))))</x:f>
        <x:v>PCAF 2025 pp40-46</x:v>
      </x:c>
      <x:c r="X19" s="23" t="n">
        <x:f>IF(C19="","",SUMIFS('Facilities'!$AA$9:$AA$108,'Facilities'!$U$9:$U$108,F19))</x:f>
        <x:v>11</x:v>
      </x:c>
      <x:c r="Y19" s="21" t="n">
        <x:f>IF(AND(R19="Ready",S19="Ready"),G19,0)</x:f>
        <x:v>6.75</x:v>
      </x:c>
      <x:c r="Z19" s="21" t="n">
        <x:f>IF(AND(R19="Ready",T19="Ready"),G19,0)</x:f>
        <x:v>6.75</x:v>
      </x:c>
      <x:c r="AA19" s="21" t="n">
        <x:f>IF(Y19&gt;0,Y19*O19,0)</x:f>
        <x:v>13.5</x:v>
      </x:c>
      <x:c r="AB19" s="21" t="n">
        <x:f>IF(Z19&gt;0,Z19*P19,0)</x:f>
        <x:v>13.5</x:v>
      </x:c>
      <x:c r="AC19" s="21" t="n">
        <x:f>IF(N19&gt;0,N19*Q19,0)</x:f>
        <x:v>13.5</x:v>
      </x:c>
      <x:c r="AD19" s="21" t="n">
        <x:f>IF(M19&gt;0,M19*MAX(O19,P19),0)</x:f>
        <x:v>13.5</x:v>
      </x:c>
      <x:c r="AE19" s="9" t="str">
        <x:f>IF(C19="","",IFERROR(IF(INDEX('Inventory'!$AC$9:$AC$108,MATCH(F19,'Inventory'!$C$9:$C$108,0))="","",INDEX('Inventory'!$AC$9:$AC$108,MATCH(F19,'Inventory'!$C$9:$C$108,0))),""))</x:f>
        <x:v>Location-based</x:v>
      </x:c>
      <x:c r="AF19" s="9" t="str">
        <x:f>IF(C19="","",IFERROR(IF(INDEX('Inventory'!$AN$9:$AN$108,MATCH(F19,'Inventory'!$C$9:$C$108,0))="","",INDEX('Inventory'!$AN$9:$AN$108,MATCH(F19,'Inventory'!$C$9:$C$108,0))),""))</x:f>
        <x:v>Single boundary</x:v>
      </x:c>
    </x:row>
    <x:row r="20" ht="26" customHeight="1">
      <x:c r="A20" s="1"/>
      <x:c r="B20" s="1"/>
      <x:c r="C20" s="9" t="str">
        <x:f>IF('Facilities'!C20="","",'Facilities'!C20)</x:f>
        <x:v>F012</x:v>
      </x:c>
      <x:c r="D20" s="9" t="str">
        <x:f>IF(C20="","",IFERROR(IF(INDEX('Facilities'!$D$9:$D$108,MATCH(C20,'Facilities'!$C$9:$C$108,0))="","",INDEX('Facilities'!$D$9:$D$108,MATCH(C20,'Facilities'!$C$9:$C$108,0))),""))</x:f>
        <x:v>B006</x:v>
      </x:c>
      <x:c r="E20" s="9" t="str">
        <x:f>IF(C20="","",IFERROR(IF(INDEX('Facilities'!$E$9:$E$108,MATCH(C20,'Facilities'!$C$9:$C$108,0))="","",INDEX('Facilities'!$E$9:$E$108,MATCH(C20,'Facilities'!$C$9:$C$108,0))),""))</x:f>
        <x:v>Corporate listed</x:v>
      </x:c>
      <x:c r="F20" s="9" t="str">
        <x:f>IF(C20="","",IFERROR(IF(INDEX('Facilities'!$U$9:$U$108,MATCH(C20,'Facilities'!$C$9:$C$108,0))="","",INDEX('Facilities'!$U$9:$U$108,MATCH(C20,'Facilities'!$C$9:$C$108,0))),""))</x:f>
        <x:v>B006</x:v>
      </x:c>
      <x:c r="G20" s="23" t="n">
        <x:f>IF(C20="","",IFERROR(IF(INDEX('Facilities'!$AA$9:$AA$108,MATCH(C20,'Facilities'!$C$9:$C$108,0))="","",INDEX('Facilities'!$AA$9:$AA$108,MATCH(C20,'Facilities'!$C$9:$C$108,0))),""))</x:f>
        <x:v>4.25</x:v>
      </x:c>
      <x:c r="H20" s="23" t="n">
        <x:f>IF(C20="","",IFERROR(IF(INDEX('Inventory'!$N$9:$N$108,MATCH(F20,'Inventory'!$C$9:$C$108,0))="","",INDEX('Inventory'!$N$9:$N$108,MATCH(F20,'Inventory'!$C$9:$C$108,0))),""))</x:f>
        <x:v>140</x:v>
      </x:c>
      <x:c r="I20" s="17" t="n">
        <x:f>IF(R20="Ready",G20/H20,"")</x:f>
        <x:v>0.030357142857142857</x:v>
      </x:c>
      <x:c r="J20" s="23" t="n">
        <x:f>IF(AND(R20="Ready",S20="Ready"),I20*IFERROR(IF(INDEX('Inventory'!$T$9:$T$108,MATCH(F20,'Inventory'!$C$9:$C$108,0))="","",INDEX('Inventory'!$T$9:$T$108,MATCH(F20,'Inventory'!$C$9:$C$108,0))),""),"")</x:f>
        <x:v>68.60714285714286</x:v>
      </x:c>
      <x:c r="K20" s="23" t="n">
        <x:f>IF(AND(R20="Ready",T20="Ready"),I20*IFERROR(IF(INDEX('Inventory'!$Z$9:$Z$108,MATCH(F20,'Inventory'!$C$9:$C$108,0))="","",INDEX('Inventory'!$Z$9:$Z$108,MATCH(F20,'Inventory'!$C$9:$C$108,0))),""),"")</x:f>
        <x:v>75.89285714285714</x:v>
      </x:c>
      <x:c r="L20" s="23" t="n">
        <x:f>IF(AND(R20="Ready",U20="Ready"),I20*IFERROR(IF(INDEX('Inventory'!$AG$9:$AG$108,MATCH(F20,'Inventory'!$C$9:$C$108,0))="","",INDEX('Inventory'!$AG$9:$AG$108,MATCH(F20,'Inventory'!$C$9:$C$108,0))),""),"")</x:f>
        <x:v>376.42857142857144</x:v>
      </x:c>
      <x:c r="M20" s="21" t="n">
        <x:f>IF(AND(R20="Ready",S20="Ready",T20="Ready"),G20,0)</x:f>
        <x:v>4.25</x:v>
      </x:c>
      <x:c r="N20" s="21" t="n">
        <x:f>IF(AND(R20="Ready",U20="Ready"),G20,0)</x:f>
        <x:v>4.25</x:v>
      </x:c>
      <x:c r="O20" s="42" t="n">
        <x:f>IF(C20="","",IFERROR(IF(INDEX('Inventory'!$U$9:$U$108,MATCH(F20,'Inventory'!$C$9:$C$108,0))="","",INDEX('Inventory'!$U$9:$U$108,MATCH(F20,'Inventory'!$C$9:$C$108,0))),""))</x:f>
        <x:v>2</x:v>
      </x:c>
      <x:c r="P20" s="42" t="n">
        <x:f>IF(C20="","",IFERROR(IF(INDEX('Inventory'!$AA$9:$AA$108,MATCH(F20,'Inventory'!$C$9:$C$108,0))="","",INDEX('Inventory'!$AA$9:$AA$108,MATCH(F20,'Inventory'!$C$9:$C$108,0))),""))</x:f>
        <x:v>2</x:v>
      </x:c>
      <x:c r="Q20" s="42" t="n">
        <x:f>IF(C20="","",IFERROR(IF(INDEX('Inventory'!$AH$9:$AH$108,MATCH(F20,'Inventory'!$C$9:$C$108,0))="","",INDEX('Inventory'!$AH$9:$AH$108,MATCH(F20,'Inventory'!$C$9:$C$108,0))),""))</x:f>
        <x:v>2</x:v>
      </x:c>
      <x:c r="R20" s="9" t="str">
        <x:f>IF(C20="","",IF(COUNTIFS('Facilities'!$C$9:$C$108,C20)&lt;&gt;1,"Duplicate facility ID",IF(OR(NOT(ISNUMBER(IFERROR(IF(INDEX('Facilities'!$G$9:$G$108,MATCH(C20,'Facilities'!$C$9:$C$108,0))="","",INDEX('Facilities'!$G$9:$G$108,MATCH(C20,'Facilities'!$C$9:$C$108,0))),""))),NOT(ISNUMBER(G20)),G20&lt;0,IFERROR(IF(INDEX('Facilities'!$Z$9:$Z$108,MATCH(C20,'Facilities'!$C$9:$C$108,0))="","",INDEX('Facilities'!$Z$9:$Z$108,MATCH(C20,'Facilities'!$C$9:$C$108,0))),"")&lt;=0),"Drawn value required",IF(COUNTIFS('Inventory'!$C$9:$C$108,F20)&lt;&gt;1,"Entity required",IF(OR(E20&lt;&gt;IFERROR(IF(INDEX('Inventory'!$F$9:$F$108,MATCH(F20,'Inventory'!$C$9:$C$108,0))="","",INDEX('Inventory'!$F$9:$F$108,MATCH(F20,'Inventory'!$C$9:$C$108,0))),""),D20&lt;&gt;IFERROR(IF(INDEX('Inventory'!$D$9:$D$108,MATCH(F20,'Inventory'!$C$9:$C$108,0))="","",INDEX('Inventory'!$D$9:$D$108,MATCH(F20,'Inventory'!$C$9:$C$108,0))),"")),"Entity / class mismatch",IF(IFERROR(IF(INDEX('Inventory'!$AL$9:$AL$108,MATCH(F20,'Inventory'!$C$9:$C$108,0))="","",INDEX('Inventory'!$AL$9:$AL$108,MATCH(F20,'Inventory'!$C$9:$C$108,0))),"")&lt;&gt;"Ready",IFERROR(IF(INDEX('Inventory'!$AL$9:$AL$108,MATCH(F20,'Inventory'!$C$9:$C$108,0))="","",INDEX('Inventory'!$AL$9:$AL$108,MATCH(F20,'Inventory'!$C$9:$C$108,0))),""),IF(AND(OR(E20="Project finance",E20="CRE",E20="Mortgage",E20="Motor"),IFERROR(IF(INDEX('Facilities'!$V$9:$V$108,MATCH(C20,'Facilities'!$C$9:$C$108,0))="","",INDEX('Facilities'!$V$9:$V$108,MATCH(C20,'Facilities'!$C$9:$C$108,0))),"")&lt;&gt;"Designated asset"),"Purpose review",IF(X20&gt;H20,"Exposure exceeds value","Ready"))))))))</x:f>
        <x:v>Ready</x:v>
      </x:c>
      <x:c r="S20" s="9" t="str">
        <x:f>IF(C20="","",IFERROR(IF(INDEX('Inventory'!$V$9:$V$108,MATCH(F20,'Inventory'!$C$9:$C$108,0))="","",INDEX('Inventory'!$V$9:$V$108,MATCH(F20,'Inventory'!$C$9:$C$108,0))),""))</x:f>
        <x:v>Ready</x:v>
      </x:c>
      <x:c r="T20" s="9" t="str">
        <x:f>IF(C20="","",IFERROR(IF(INDEX('Inventory'!$AB$9:$AB$108,MATCH(F20,'Inventory'!$C$9:$C$108,0))="","",INDEX('Inventory'!$AB$9:$AB$108,MATCH(F20,'Inventory'!$C$9:$C$108,0))),""))</x:f>
        <x:v>Ready</x:v>
      </x:c>
      <x:c r="U20" s="9" t="str">
        <x:f>IF(C20="","",IFERROR(IF(INDEX('Inventory'!$AI$9:$AI$108,MATCH(F20,'Inventory'!$C$9:$C$108,0))="","",INDEX('Inventory'!$AI$9:$AI$108,MATCH(F20,'Inventory'!$C$9:$C$108,0))),""))</x:f>
        <x:v>Ready</x:v>
      </x:c>
      <x:c r="V20" s="43" t="n">
        <x:f>IF(C20="","",IFERROR(IF(INDEX('Inventory'!$P$9:$P$108,MATCH(F20,'Inventory'!$C$9:$C$108,0))="","",INDEX('Inventory'!$P$9:$P$108,MATCH(F20,'Inventory'!$C$9:$C$108,0))),""))</x:f>
        <x:v>46752</x:v>
      </x:c>
      <x:c r="W20" s="3" t="str">
        <x:f>IF(C20="","",IF(E20="Corporate listed","PCAF 2025 pp40-46",IF(E20="Corporate private","PCAF 2025 pp55-60",IF(E20="Project finance","PCAF 2025 pp67-71",IF(E20="CRE","PCAF 2025 pp77-81",IF(E20="Mortgage","PCAF 2025 pp83-87",IF(E20="Motor","PCAF 2025 pp90-94","Method required")))))))</x:f>
        <x:v>PCAF 2025 pp40-46</x:v>
      </x:c>
      <x:c r="X20" s="23" t="n">
        <x:f>IF(C20="","",SUMIFS('Facilities'!$AA$9:$AA$108,'Facilities'!$U$9:$U$108,F20))</x:f>
        <x:v>11</x:v>
      </x:c>
      <x:c r="Y20" s="21" t="n">
        <x:f>IF(AND(R20="Ready",S20="Ready"),G20,0)</x:f>
        <x:v>4.25</x:v>
      </x:c>
      <x:c r="Z20" s="21" t="n">
        <x:f>IF(AND(R20="Ready",T20="Ready"),G20,0)</x:f>
        <x:v>4.25</x:v>
      </x:c>
      <x:c r="AA20" s="21" t="n">
        <x:f>IF(Y20&gt;0,Y20*O20,0)</x:f>
        <x:v>8.5</x:v>
      </x:c>
      <x:c r="AB20" s="21" t="n">
        <x:f>IF(Z20&gt;0,Z20*P20,0)</x:f>
        <x:v>8.5</x:v>
      </x:c>
      <x:c r="AC20" s="21" t="n">
        <x:f>IF(N20&gt;0,N20*Q20,0)</x:f>
        <x:v>8.5</x:v>
      </x:c>
      <x:c r="AD20" s="21" t="n">
        <x:f>IF(M20&gt;0,M20*MAX(O20,P20),0)</x:f>
        <x:v>8.5</x:v>
      </x:c>
      <x:c r="AE20" s="9" t="str">
        <x:f>IF(C20="","",IFERROR(IF(INDEX('Inventory'!$AC$9:$AC$108,MATCH(F20,'Inventory'!$C$9:$C$108,0))="","",INDEX('Inventory'!$AC$9:$AC$108,MATCH(F20,'Inventory'!$C$9:$C$108,0))),""))</x:f>
        <x:v>Location-based</x:v>
      </x:c>
      <x:c r="AF20" s="9" t="str">
        <x:f>IF(C20="","",IFERROR(IF(INDEX('Inventory'!$AN$9:$AN$108,MATCH(F20,'Inventory'!$C$9:$C$108,0))="","",INDEX('Inventory'!$AN$9:$AN$108,MATCH(F20,'Inventory'!$C$9:$C$108,0))),""))</x:f>
        <x:v>Single boundary</x:v>
      </x:c>
    </x:row>
    <x:row r="21" ht="26" customHeight="1">
      <x:c r="A21" s="1"/>
      <x:c r="B21" s="1"/>
      <x:c r="C21" s="9" t="str">
        <x:f>IF('Facilities'!C21="","",'Facilities'!C21)</x:f>
        <x:v>F013</x:v>
      </x:c>
      <x:c r="D21" s="9" t="str">
        <x:f>IF(C21="","",IFERROR(IF(INDEX('Facilities'!$D$9:$D$108,MATCH(C21,'Facilities'!$C$9:$C$108,0))="","",INDEX('Facilities'!$D$9:$D$108,MATCH(C21,'Facilities'!$C$9:$C$108,0))),""))</x:f>
        <x:v>B007</x:v>
      </x:c>
      <x:c r="E21" s="9" t="str">
        <x:f>IF(C21="","",IFERROR(IF(INDEX('Facilities'!$E$9:$E$108,MATCH(C21,'Facilities'!$C$9:$C$108,0))="","",INDEX('Facilities'!$E$9:$E$108,MATCH(C21,'Facilities'!$C$9:$C$108,0))),""))</x:f>
        <x:v>Corporate private</x:v>
      </x:c>
      <x:c r="F21" s="9" t="str">
        <x:f>IF(C21="","",IFERROR(IF(INDEX('Facilities'!$U$9:$U$108,MATCH(C21,'Facilities'!$C$9:$C$108,0))="","",INDEX('Facilities'!$U$9:$U$108,MATCH(C21,'Facilities'!$C$9:$C$108,0))),""))</x:f>
        <x:v>B007</x:v>
      </x:c>
      <x:c r="G21" s="23" t="n">
        <x:f>IF(C21="","",IFERROR(IF(INDEX('Facilities'!$AA$9:$AA$108,MATCH(C21,'Facilities'!$C$9:$C$108,0))="","",INDEX('Facilities'!$AA$9:$AA$108,MATCH(C21,'Facilities'!$C$9:$C$108,0))),""))</x:f>
        <x:v>7.1</x:v>
      </x:c>
      <x:c r="H21" s="23" t="n">
        <x:f>IF(C21="","",IFERROR(IF(INDEX('Inventory'!$N$9:$N$108,MATCH(F21,'Inventory'!$C$9:$C$108,0))="","",INDEX('Inventory'!$N$9:$N$108,MATCH(F21,'Inventory'!$C$9:$C$108,0))),""))</x:f>
        <x:v>95</x:v>
      </x:c>
      <x:c r="I21" s="17" t="n">
        <x:f>IF(R21="Ready",G21/H21,"")</x:f>
        <x:v>0.07473684210526316</x:v>
      </x:c>
      <x:c r="J21" s="23" t="n">
        <x:f>IF(AND(R21="Ready",S21="Ready"),I21*IFERROR(IF(INDEX('Inventory'!$T$9:$T$108,MATCH(F21,'Inventory'!$C$9:$C$108,0))="","",INDEX('Inventory'!$T$9:$T$108,MATCH(F21,'Inventory'!$C$9:$C$108,0))),""),"")</x:f>
        <x:v>10724.736842105263</x:v>
      </x:c>
      <x:c r="K21" s="23" t="n">
        <x:f>IF(AND(R21="Ready",T21="Ready"),I21*IFERROR(IF(INDEX('Inventory'!$Z$9:$Z$108,MATCH(F21,'Inventory'!$C$9:$C$108,0))="","",INDEX('Inventory'!$Z$9:$Z$108,MATCH(F21,'Inventory'!$C$9:$C$108,0))),""),"")</x:f>
        <x:v>194.31578947368422</x:v>
      </x:c>
      <x:c r="L21" s="23" t="n">
        <x:f>IF(AND(R21="Ready",U21="Ready"),I21*IFERROR(IF(INDEX('Inventory'!$AG$9:$AG$108,MATCH(F21,'Inventory'!$C$9:$C$108,0))="","",INDEX('Inventory'!$AG$9:$AG$108,MATCH(F21,'Inventory'!$C$9:$C$108,0))),""),"")</x:f>
        <x:v>17787.36842105263</x:v>
      </x:c>
      <x:c r="M21" s="21" t="n">
        <x:f>IF(AND(R21="Ready",S21="Ready",T21="Ready"),G21,0)</x:f>
        <x:v>7.1</x:v>
      </x:c>
      <x:c r="N21" s="21" t="n">
        <x:f>IF(AND(R21="Ready",U21="Ready"),G21,0)</x:f>
        <x:v>7.1</x:v>
      </x:c>
      <x:c r="O21" s="42" t="n">
        <x:f>IF(C21="","",IFERROR(IF(INDEX('Inventory'!$U$9:$U$108,MATCH(F21,'Inventory'!$C$9:$C$108,0))="","",INDEX('Inventory'!$U$9:$U$108,MATCH(F21,'Inventory'!$C$9:$C$108,0))),""))</x:f>
        <x:v>1</x:v>
      </x:c>
      <x:c r="P21" s="42" t="n">
        <x:f>IF(C21="","",IFERROR(IF(INDEX('Inventory'!$AA$9:$AA$108,MATCH(F21,'Inventory'!$C$9:$C$108,0))="","",INDEX('Inventory'!$AA$9:$AA$108,MATCH(F21,'Inventory'!$C$9:$C$108,0))),""))</x:f>
        <x:v>1</x:v>
      </x:c>
      <x:c r="Q21" s="42" t="n">
        <x:f>IF(C21="","",IFERROR(IF(INDEX('Inventory'!$AH$9:$AH$108,MATCH(F21,'Inventory'!$C$9:$C$108,0))="","",INDEX('Inventory'!$AH$9:$AH$108,MATCH(F21,'Inventory'!$C$9:$C$108,0))),""))</x:f>
        <x:v>2</x:v>
      </x:c>
      <x:c r="R21" s="9" t="str">
        <x:f>IF(C21="","",IF(COUNTIFS('Facilities'!$C$9:$C$108,C21)&lt;&gt;1,"Duplicate facility ID",IF(OR(NOT(ISNUMBER(IFERROR(IF(INDEX('Facilities'!$G$9:$G$108,MATCH(C21,'Facilities'!$C$9:$C$108,0))="","",INDEX('Facilities'!$G$9:$G$108,MATCH(C21,'Facilities'!$C$9:$C$108,0))),""))),NOT(ISNUMBER(G21)),G21&lt;0,IFERROR(IF(INDEX('Facilities'!$Z$9:$Z$108,MATCH(C21,'Facilities'!$C$9:$C$108,0))="","",INDEX('Facilities'!$Z$9:$Z$108,MATCH(C21,'Facilities'!$C$9:$C$108,0))),"")&lt;=0),"Drawn value required",IF(COUNTIFS('Inventory'!$C$9:$C$108,F21)&lt;&gt;1,"Entity required",IF(OR(E21&lt;&gt;IFERROR(IF(INDEX('Inventory'!$F$9:$F$108,MATCH(F21,'Inventory'!$C$9:$C$108,0))="","",INDEX('Inventory'!$F$9:$F$108,MATCH(F21,'Inventory'!$C$9:$C$108,0))),""),D21&lt;&gt;IFERROR(IF(INDEX('Inventory'!$D$9:$D$108,MATCH(F21,'Inventory'!$C$9:$C$108,0))="","",INDEX('Inventory'!$D$9:$D$108,MATCH(F21,'Inventory'!$C$9:$C$108,0))),"")),"Entity / class mismatch",IF(IFERROR(IF(INDEX('Inventory'!$AL$9:$AL$108,MATCH(F21,'Inventory'!$C$9:$C$108,0))="","",INDEX('Inventory'!$AL$9:$AL$108,MATCH(F21,'Inventory'!$C$9:$C$108,0))),"")&lt;&gt;"Ready",IFERROR(IF(INDEX('Inventory'!$AL$9:$AL$108,MATCH(F21,'Inventory'!$C$9:$C$108,0))="","",INDEX('Inventory'!$AL$9:$AL$108,MATCH(F21,'Inventory'!$C$9:$C$108,0))),""),IF(AND(OR(E21="Project finance",E21="CRE",E21="Mortgage",E21="Motor"),IFERROR(IF(INDEX('Facilities'!$V$9:$V$108,MATCH(C21,'Facilities'!$C$9:$C$108,0))="","",INDEX('Facilities'!$V$9:$V$108,MATCH(C21,'Facilities'!$C$9:$C$108,0))),"")&lt;&gt;"Designated asset"),"Purpose review",IF(X21&gt;H21,"Exposure exceeds value","Ready"))))))))</x:f>
        <x:v>Ready</x:v>
      </x:c>
      <x:c r="S21" s="9" t="str">
        <x:f>IF(C21="","",IFERROR(IF(INDEX('Inventory'!$V$9:$V$108,MATCH(F21,'Inventory'!$C$9:$C$108,0))="","",INDEX('Inventory'!$V$9:$V$108,MATCH(F21,'Inventory'!$C$9:$C$108,0))),""))</x:f>
        <x:v>Ready</x:v>
      </x:c>
      <x:c r="T21" s="9" t="str">
        <x:f>IF(C21="","",IFERROR(IF(INDEX('Inventory'!$AB$9:$AB$108,MATCH(F21,'Inventory'!$C$9:$C$108,0))="","",INDEX('Inventory'!$AB$9:$AB$108,MATCH(F21,'Inventory'!$C$9:$C$108,0))),""))</x:f>
        <x:v>Ready</x:v>
      </x:c>
      <x:c r="U21" s="9" t="str">
        <x:f>IF(C21="","",IFERROR(IF(INDEX('Inventory'!$AI$9:$AI$108,MATCH(F21,'Inventory'!$C$9:$C$108,0))="","",INDEX('Inventory'!$AI$9:$AI$108,MATCH(F21,'Inventory'!$C$9:$C$108,0))),""))</x:f>
        <x:v>Ready</x:v>
      </x:c>
      <x:c r="V21" s="43" t="n">
        <x:f>IF(C21="","",IFERROR(IF(INDEX('Inventory'!$P$9:$P$108,MATCH(F21,'Inventory'!$C$9:$C$108,0))="","",INDEX('Inventory'!$P$9:$P$108,MATCH(F21,'Inventory'!$C$9:$C$108,0))),""))</x:f>
        <x:v>46752</x:v>
      </x:c>
      <x:c r="W21" s="3" t="str">
        <x:f>IF(C21="","",IF(E21="Corporate listed","PCAF 2025 pp40-46",IF(E21="Corporate private","PCAF 2025 pp55-60",IF(E21="Project finance","PCAF 2025 pp67-71",IF(E21="CRE","PCAF 2025 pp77-81",IF(E21="Mortgage","PCAF 2025 pp83-87",IF(E21="Motor","PCAF 2025 pp90-94","Method required")))))))</x:f>
        <x:v>PCAF 2025 pp55-60</x:v>
      </x:c>
      <x:c r="X21" s="23" t="n">
        <x:f>IF(C21="","",SUMIFS('Facilities'!$AA$9:$AA$108,'Facilities'!$U$9:$U$108,F21))</x:f>
        <x:v>11.7</x:v>
      </x:c>
      <x:c r="Y21" s="21" t="n">
        <x:f>IF(AND(R21="Ready",S21="Ready"),G21,0)</x:f>
        <x:v>7.1</x:v>
      </x:c>
      <x:c r="Z21" s="21" t="n">
        <x:f>IF(AND(R21="Ready",T21="Ready"),G21,0)</x:f>
        <x:v>7.1</x:v>
      </x:c>
      <x:c r="AA21" s="21" t="n">
        <x:f>IF(Y21&gt;0,Y21*O21,0)</x:f>
        <x:v>7.1</x:v>
      </x:c>
      <x:c r="AB21" s="21" t="n">
        <x:f>IF(Z21&gt;0,Z21*P21,0)</x:f>
        <x:v>7.1</x:v>
      </x:c>
      <x:c r="AC21" s="21" t="n">
        <x:f>IF(N21&gt;0,N21*Q21,0)</x:f>
        <x:v>14.2</x:v>
      </x:c>
      <x:c r="AD21" s="21" t="n">
        <x:f>IF(M21&gt;0,M21*MAX(O21,P21),0)</x:f>
        <x:v>7.1</x:v>
      </x:c>
      <x:c r="AE21" s="9" t="str">
        <x:f>IF(C21="","",IFERROR(IF(INDEX('Inventory'!$AC$9:$AC$108,MATCH(F21,'Inventory'!$C$9:$C$108,0))="","",INDEX('Inventory'!$AC$9:$AC$108,MATCH(F21,'Inventory'!$C$9:$C$108,0))),""))</x:f>
        <x:v>Location-based</x:v>
      </x:c>
      <x:c r="AF21" s="9" t="str">
        <x:f>IF(C21="","",IFERROR(IF(INDEX('Inventory'!$AN$9:$AN$108,MATCH(F21,'Inventory'!$C$9:$C$108,0))="","",INDEX('Inventory'!$AN$9:$AN$108,MATCH(F21,'Inventory'!$C$9:$C$108,0))),""))</x:f>
        <x:v>Single boundary</x:v>
      </x:c>
    </x:row>
    <x:row r="22" ht="26" customHeight="1">
      <x:c r="A22" s="1"/>
      <x:c r="B22" s="1"/>
      <x:c r="C22" s="9" t="str">
        <x:f>IF('Facilities'!C22="","",'Facilities'!C22)</x:f>
        <x:v>F014</x:v>
      </x:c>
      <x:c r="D22" s="9" t="str">
        <x:f>IF(C22="","",IFERROR(IF(INDEX('Facilities'!$D$9:$D$108,MATCH(C22,'Facilities'!$C$9:$C$108,0))="","",INDEX('Facilities'!$D$9:$D$108,MATCH(C22,'Facilities'!$C$9:$C$108,0))),""))</x:f>
        <x:v>B007</x:v>
      </x:c>
      <x:c r="E22" s="9" t="str">
        <x:f>IF(C22="","",IFERROR(IF(INDEX('Facilities'!$E$9:$E$108,MATCH(C22,'Facilities'!$C$9:$C$108,0))="","",INDEX('Facilities'!$E$9:$E$108,MATCH(C22,'Facilities'!$C$9:$C$108,0))),""))</x:f>
        <x:v>Corporate private</x:v>
      </x:c>
      <x:c r="F22" s="9" t="str">
        <x:f>IF(C22="","",IFERROR(IF(INDEX('Facilities'!$U$9:$U$108,MATCH(C22,'Facilities'!$C$9:$C$108,0))="","",INDEX('Facilities'!$U$9:$U$108,MATCH(C22,'Facilities'!$C$9:$C$108,0))),""))</x:f>
        <x:v>B007</x:v>
      </x:c>
      <x:c r="G22" s="23" t="n">
        <x:f>IF(C22="","",IFERROR(IF(INDEX('Facilities'!$AA$9:$AA$108,MATCH(C22,'Facilities'!$C$9:$C$108,0))="","",INDEX('Facilities'!$AA$9:$AA$108,MATCH(C22,'Facilities'!$C$9:$C$108,0))),""))</x:f>
        <x:v>4.6</x:v>
      </x:c>
      <x:c r="H22" s="23" t="n">
        <x:f>IF(C22="","",IFERROR(IF(INDEX('Inventory'!$N$9:$N$108,MATCH(F22,'Inventory'!$C$9:$C$108,0))="","",INDEX('Inventory'!$N$9:$N$108,MATCH(F22,'Inventory'!$C$9:$C$108,0))),""))</x:f>
        <x:v>95</x:v>
      </x:c>
      <x:c r="I22" s="17" t="n">
        <x:f>IF(R22="Ready",G22/H22,"")</x:f>
        <x:v>0.04842105263157894</x:v>
      </x:c>
      <x:c r="J22" s="23" t="n">
        <x:f>IF(AND(R22="Ready",S22="Ready"),I22*IFERROR(IF(INDEX('Inventory'!$T$9:$T$108,MATCH(F22,'Inventory'!$C$9:$C$108,0))="","",INDEX('Inventory'!$T$9:$T$108,MATCH(F22,'Inventory'!$C$9:$C$108,0))),""),"")</x:f>
        <x:v>6948.421052631578</x:v>
      </x:c>
      <x:c r="K22" s="23" t="n">
        <x:f>IF(AND(R22="Ready",T22="Ready"),I22*IFERROR(IF(INDEX('Inventory'!$Z$9:$Z$108,MATCH(F22,'Inventory'!$C$9:$C$108,0))="","",INDEX('Inventory'!$Z$9:$Z$108,MATCH(F22,'Inventory'!$C$9:$C$108,0))),""),"")</x:f>
        <x:v>125.89473684210525</x:v>
      </x:c>
      <x:c r="L22" s="23" t="n">
        <x:f>IF(AND(R22="Ready",U22="Ready"),I22*IFERROR(IF(INDEX('Inventory'!$AG$9:$AG$108,MATCH(F22,'Inventory'!$C$9:$C$108,0))="","",INDEX('Inventory'!$AG$9:$AG$108,MATCH(F22,'Inventory'!$C$9:$C$108,0))),""),"")</x:f>
        <x:v>11524.210526315788</x:v>
      </x:c>
      <x:c r="M22" s="21" t="n">
        <x:f>IF(AND(R22="Ready",S22="Ready",T22="Ready"),G22,0)</x:f>
        <x:v>4.6</x:v>
      </x:c>
      <x:c r="N22" s="21" t="n">
        <x:f>IF(AND(R22="Ready",U22="Ready"),G22,0)</x:f>
        <x:v>4.6</x:v>
      </x:c>
      <x:c r="O22" s="42" t="n">
        <x:f>IF(C22="","",IFERROR(IF(INDEX('Inventory'!$U$9:$U$108,MATCH(F22,'Inventory'!$C$9:$C$108,0))="","",INDEX('Inventory'!$U$9:$U$108,MATCH(F22,'Inventory'!$C$9:$C$108,0))),""))</x:f>
        <x:v>1</x:v>
      </x:c>
      <x:c r="P22" s="42" t="n">
        <x:f>IF(C22="","",IFERROR(IF(INDEX('Inventory'!$AA$9:$AA$108,MATCH(F22,'Inventory'!$C$9:$C$108,0))="","",INDEX('Inventory'!$AA$9:$AA$108,MATCH(F22,'Inventory'!$C$9:$C$108,0))),""))</x:f>
        <x:v>1</x:v>
      </x:c>
      <x:c r="Q22" s="42" t="n">
        <x:f>IF(C22="","",IFERROR(IF(INDEX('Inventory'!$AH$9:$AH$108,MATCH(F22,'Inventory'!$C$9:$C$108,0))="","",INDEX('Inventory'!$AH$9:$AH$108,MATCH(F22,'Inventory'!$C$9:$C$108,0))),""))</x:f>
        <x:v>2</x:v>
      </x:c>
      <x:c r="R22" s="9" t="str">
        <x:f>IF(C22="","",IF(COUNTIFS('Facilities'!$C$9:$C$108,C22)&lt;&gt;1,"Duplicate facility ID",IF(OR(NOT(ISNUMBER(IFERROR(IF(INDEX('Facilities'!$G$9:$G$108,MATCH(C22,'Facilities'!$C$9:$C$108,0))="","",INDEX('Facilities'!$G$9:$G$108,MATCH(C22,'Facilities'!$C$9:$C$108,0))),""))),NOT(ISNUMBER(G22)),G22&lt;0,IFERROR(IF(INDEX('Facilities'!$Z$9:$Z$108,MATCH(C22,'Facilities'!$C$9:$C$108,0))="","",INDEX('Facilities'!$Z$9:$Z$108,MATCH(C22,'Facilities'!$C$9:$C$108,0))),"")&lt;=0),"Drawn value required",IF(COUNTIFS('Inventory'!$C$9:$C$108,F22)&lt;&gt;1,"Entity required",IF(OR(E22&lt;&gt;IFERROR(IF(INDEX('Inventory'!$F$9:$F$108,MATCH(F22,'Inventory'!$C$9:$C$108,0))="","",INDEX('Inventory'!$F$9:$F$108,MATCH(F22,'Inventory'!$C$9:$C$108,0))),""),D22&lt;&gt;IFERROR(IF(INDEX('Inventory'!$D$9:$D$108,MATCH(F22,'Inventory'!$C$9:$C$108,0))="","",INDEX('Inventory'!$D$9:$D$108,MATCH(F22,'Inventory'!$C$9:$C$108,0))),"")),"Entity / class mismatch",IF(IFERROR(IF(INDEX('Inventory'!$AL$9:$AL$108,MATCH(F22,'Inventory'!$C$9:$C$108,0))="","",INDEX('Inventory'!$AL$9:$AL$108,MATCH(F22,'Inventory'!$C$9:$C$108,0))),"")&lt;&gt;"Ready",IFERROR(IF(INDEX('Inventory'!$AL$9:$AL$108,MATCH(F22,'Inventory'!$C$9:$C$108,0))="","",INDEX('Inventory'!$AL$9:$AL$108,MATCH(F22,'Inventory'!$C$9:$C$108,0))),""),IF(AND(OR(E22="Project finance",E22="CRE",E22="Mortgage",E22="Motor"),IFERROR(IF(INDEX('Facilities'!$V$9:$V$108,MATCH(C22,'Facilities'!$C$9:$C$108,0))="","",INDEX('Facilities'!$V$9:$V$108,MATCH(C22,'Facilities'!$C$9:$C$108,0))),"")&lt;&gt;"Designated asset"),"Purpose review",IF(X22&gt;H22,"Exposure exceeds value","Ready"))))))))</x:f>
        <x:v>Ready</x:v>
      </x:c>
      <x:c r="S22" s="9" t="str">
        <x:f>IF(C22="","",IFERROR(IF(INDEX('Inventory'!$V$9:$V$108,MATCH(F22,'Inventory'!$C$9:$C$108,0))="","",INDEX('Inventory'!$V$9:$V$108,MATCH(F22,'Inventory'!$C$9:$C$108,0))),""))</x:f>
        <x:v>Ready</x:v>
      </x:c>
      <x:c r="T22" s="9" t="str">
        <x:f>IF(C22="","",IFERROR(IF(INDEX('Inventory'!$AB$9:$AB$108,MATCH(F22,'Inventory'!$C$9:$C$108,0))="","",INDEX('Inventory'!$AB$9:$AB$108,MATCH(F22,'Inventory'!$C$9:$C$108,0))),""))</x:f>
        <x:v>Ready</x:v>
      </x:c>
      <x:c r="U22" s="9" t="str">
        <x:f>IF(C22="","",IFERROR(IF(INDEX('Inventory'!$AI$9:$AI$108,MATCH(F22,'Inventory'!$C$9:$C$108,0))="","",INDEX('Inventory'!$AI$9:$AI$108,MATCH(F22,'Inventory'!$C$9:$C$108,0))),""))</x:f>
        <x:v>Ready</x:v>
      </x:c>
      <x:c r="V22" s="43" t="n">
        <x:f>IF(C22="","",IFERROR(IF(INDEX('Inventory'!$P$9:$P$108,MATCH(F22,'Inventory'!$C$9:$C$108,0))="","",INDEX('Inventory'!$P$9:$P$108,MATCH(F22,'Inventory'!$C$9:$C$108,0))),""))</x:f>
        <x:v>46752</x:v>
      </x:c>
      <x:c r="W22" s="3" t="str">
        <x:f>IF(C22="","",IF(E22="Corporate listed","PCAF 2025 pp40-46",IF(E22="Corporate private","PCAF 2025 pp55-60",IF(E22="Project finance","PCAF 2025 pp67-71",IF(E22="CRE","PCAF 2025 pp77-81",IF(E22="Mortgage","PCAF 2025 pp83-87",IF(E22="Motor","PCAF 2025 pp90-94","Method required")))))))</x:f>
        <x:v>PCAF 2025 pp55-60</x:v>
      </x:c>
      <x:c r="X22" s="23" t="n">
        <x:f>IF(C22="","",SUMIFS('Facilities'!$AA$9:$AA$108,'Facilities'!$U$9:$U$108,F22))</x:f>
        <x:v>11.7</x:v>
      </x:c>
      <x:c r="Y22" s="21" t="n">
        <x:f>IF(AND(R22="Ready",S22="Ready"),G22,0)</x:f>
        <x:v>4.6</x:v>
      </x:c>
      <x:c r="Z22" s="21" t="n">
        <x:f>IF(AND(R22="Ready",T22="Ready"),G22,0)</x:f>
        <x:v>4.6</x:v>
      </x:c>
      <x:c r="AA22" s="21" t="n">
        <x:f>IF(Y22&gt;0,Y22*O22,0)</x:f>
        <x:v>4.6</x:v>
      </x:c>
      <x:c r="AB22" s="21" t="n">
        <x:f>IF(Z22&gt;0,Z22*P22,0)</x:f>
        <x:v>4.6</x:v>
      </x:c>
      <x:c r="AC22" s="21" t="n">
        <x:f>IF(N22&gt;0,N22*Q22,0)</x:f>
        <x:v>9.2</x:v>
      </x:c>
      <x:c r="AD22" s="21" t="n">
        <x:f>IF(M22&gt;0,M22*MAX(O22,P22),0)</x:f>
        <x:v>4.6</x:v>
      </x:c>
      <x:c r="AE22" s="9" t="str">
        <x:f>IF(C22="","",IFERROR(IF(INDEX('Inventory'!$AC$9:$AC$108,MATCH(F22,'Inventory'!$C$9:$C$108,0))="","",INDEX('Inventory'!$AC$9:$AC$108,MATCH(F22,'Inventory'!$C$9:$C$108,0))),""))</x:f>
        <x:v>Location-based</x:v>
      </x:c>
      <x:c r="AF22" s="9" t="str">
        <x:f>IF(C22="","",IFERROR(IF(INDEX('Inventory'!$AN$9:$AN$108,MATCH(F22,'Inventory'!$C$9:$C$108,0))="","",INDEX('Inventory'!$AN$9:$AN$108,MATCH(F22,'Inventory'!$C$9:$C$108,0))),""))</x:f>
        <x:v>Single boundary</x:v>
      </x:c>
    </x:row>
    <x:row r="23" ht="26" customHeight="1">
      <x:c r="A23" s="1"/>
      <x:c r="B23" s="1"/>
      <x:c r="C23" s="9" t="str">
        <x:f>IF('Facilities'!C23="","",'Facilities'!C23)</x:f>
        <x:v>F015</x:v>
      </x:c>
      <x:c r="D23" s="9" t="str">
        <x:f>IF(C23="","",IFERROR(IF(INDEX('Facilities'!$D$9:$D$108,MATCH(C23,'Facilities'!$C$9:$C$108,0))="","",INDEX('Facilities'!$D$9:$D$108,MATCH(C23,'Facilities'!$C$9:$C$108,0))),""))</x:f>
        <x:v>B008</x:v>
      </x:c>
      <x:c r="E23" s="9" t="str">
        <x:f>IF(C23="","",IFERROR(IF(INDEX('Facilities'!$E$9:$E$108,MATCH(C23,'Facilities'!$C$9:$C$108,0))="","",INDEX('Facilities'!$E$9:$E$108,MATCH(C23,'Facilities'!$C$9:$C$108,0))),""))</x:f>
        <x:v>Corporate private</x:v>
      </x:c>
      <x:c r="F23" s="9" t="str">
        <x:f>IF(C23="","",IFERROR(IF(INDEX('Facilities'!$U$9:$U$108,MATCH(C23,'Facilities'!$C$9:$C$108,0))="","",INDEX('Facilities'!$U$9:$U$108,MATCH(C23,'Facilities'!$C$9:$C$108,0))),""))</x:f>
        <x:v>B008</x:v>
      </x:c>
      <x:c r="G23" s="23" t="n">
        <x:f>IF(C23="","",IFERROR(IF(INDEX('Facilities'!$AA$9:$AA$108,MATCH(C23,'Facilities'!$C$9:$C$108,0))="","",INDEX('Facilities'!$AA$9:$AA$108,MATCH(C23,'Facilities'!$C$9:$C$108,0))),""))</x:f>
        <x:v>7.449999999999999</x:v>
      </x:c>
      <x:c r="H23" s="23" t="n">
        <x:f>IF(C23="","",IFERROR(IF(INDEX('Inventory'!$N$9:$N$108,MATCH(F23,'Inventory'!$C$9:$C$108,0))="","",INDEX('Inventory'!$N$9:$N$108,MATCH(F23,'Inventory'!$C$9:$C$108,0))),""))</x:f>
        <x:v>100</x:v>
      </x:c>
      <x:c r="I23" s="17" t="n">
        <x:f>IF(R23="Ready",G23/H23,"")</x:f>
        <x:v>0.0745</x:v>
      </x:c>
      <x:c r="J23" s="23" t="n">
        <x:f>IF(AND(R23="Ready",S23="Ready"),I23*IFERROR(IF(INDEX('Inventory'!$T$9:$T$108,MATCH(F23,'Inventory'!$C$9:$C$108,0))="","",INDEX('Inventory'!$T$9:$T$108,MATCH(F23,'Inventory'!$C$9:$C$108,0))),""),"")</x:f>
        <x:v>0.5989800000000001</x:v>
      </x:c>
      <x:c r="K23" s="23" t="n">
        <x:f>IF(AND(R23="Ready",T23="Ready"),I23*IFERROR(IF(INDEX('Inventory'!$Z$9:$Z$108,MATCH(F23,'Inventory'!$C$9:$C$108,0))="","",INDEX('Inventory'!$Z$9:$Z$108,MATCH(F23,'Inventory'!$C$9:$C$108,0))),""),"")</x:f>
        <x:v>1.60175</x:v>
      </x:c>
      <x:c r="L23" s="23" t="n">
        <x:f>IF(AND(R23="Ready",U23="Ready"),I23*IFERROR(IF(INDEX('Inventory'!$AG$9:$AG$108,MATCH(F23,'Inventory'!$C$9:$C$108,0))="","",INDEX('Inventory'!$AG$9:$AG$108,MATCH(F23,'Inventory'!$C$9:$C$108,0))),""),"")</x:f>
        <x:v>1043</x:v>
      </x:c>
      <x:c r="M23" s="21" t="n">
        <x:f>IF(AND(R23="Ready",S23="Ready",T23="Ready"),G23,0)</x:f>
        <x:v>7.449999999999999</x:v>
      </x:c>
      <x:c r="N23" s="21" t="n">
        <x:f>IF(AND(R23="Ready",U23="Ready"),G23,0)</x:f>
        <x:v>7.449999999999999</x:v>
      </x:c>
      <x:c r="O23" s="42" t="n">
        <x:f>IF(C23="","",IFERROR(IF(INDEX('Inventory'!$U$9:$U$108,MATCH(F23,'Inventory'!$C$9:$C$108,0))="","",INDEX('Inventory'!$U$9:$U$108,MATCH(F23,'Inventory'!$C$9:$C$108,0))),""))</x:f>
        <x:v>2</x:v>
      </x:c>
      <x:c r="P23" s="42" t="n">
        <x:f>IF(C23="","",IFERROR(IF(INDEX('Inventory'!$AA$9:$AA$108,MATCH(F23,'Inventory'!$C$9:$C$108,0))="","",INDEX('Inventory'!$AA$9:$AA$108,MATCH(F23,'Inventory'!$C$9:$C$108,0))),""))</x:f>
        <x:v>2</x:v>
      </x:c>
      <x:c r="Q23" s="42" t="n">
        <x:f>IF(C23="","",IFERROR(IF(INDEX('Inventory'!$AH$9:$AH$108,MATCH(F23,'Inventory'!$C$9:$C$108,0))="","",INDEX('Inventory'!$AH$9:$AH$108,MATCH(F23,'Inventory'!$C$9:$C$108,0))),""))</x:f>
        <x:v>2</x:v>
      </x:c>
      <x:c r="R23" s="9" t="str">
        <x:f>IF(C23="","",IF(COUNTIFS('Facilities'!$C$9:$C$108,C23)&lt;&gt;1,"Duplicate facility ID",IF(OR(NOT(ISNUMBER(IFERROR(IF(INDEX('Facilities'!$G$9:$G$108,MATCH(C23,'Facilities'!$C$9:$C$108,0))="","",INDEX('Facilities'!$G$9:$G$108,MATCH(C23,'Facilities'!$C$9:$C$108,0))),""))),NOT(ISNUMBER(G23)),G23&lt;0,IFERROR(IF(INDEX('Facilities'!$Z$9:$Z$108,MATCH(C23,'Facilities'!$C$9:$C$108,0))="","",INDEX('Facilities'!$Z$9:$Z$108,MATCH(C23,'Facilities'!$C$9:$C$108,0))),"")&lt;=0),"Drawn value required",IF(COUNTIFS('Inventory'!$C$9:$C$108,F23)&lt;&gt;1,"Entity required",IF(OR(E23&lt;&gt;IFERROR(IF(INDEX('Inventory'!$F$9:$F$108,MATCH(F23,'Inventory'!$C$9:$C$108,0))="","",INDEX('Inventory'!$F$9:$F$108,MATCH(F23,'Inventory'!$C$9:$C$108,0))),""),D23&lt;&gt;IFERROR(IF(INDEX('Inventory'!$D$9:$D$108,MATCH(F23,'Inventory'!$C$9:$C$108,0))="","",INDEX('Inventory'!$D$9:$D$108,MATCH(F23,'Inventory'!$C$9:$C$108,0))),"")),"Entity / class mismatch",IF(IFERROR(IF(INDEX('Inventory'!$AL$9:$AL$108,MATCH(F23,'Inventory'!$C$9:$C$108,0))="","",INDEX('Inventory'!$AL$9:$AL$108,MATCH(F23,'Inventory'!$C$9:$C$108,0))),"")&lt;&gt;"Ready",IFERROR(IF(INDEX('Inventory'!$AL$9:$AL$108,MATCH(F23,'Inventory'!$C$9:$C$108,0))="","",INDEX('Inventory'!$AL$9:$AL$108,MATCH(F23,'Inventory'!$C$9:$C$108,0))),""),IF(AND(OR(E23="Project finance",E23="CRE",E23="Mortgage",E23="Motor"),IFERROR(IF(INDEX('Facilities'!$V$9:$V$108,MATCH(C23,'Facilities'!$C$9:$C$108,0))="","",INDEX('Facilities'!$V$9:$V$108,MATCH(C23,'Facilities'!$C$9:$C$108,0))),"")&lt;&gt;"Designated asset"),"Purpose review",IF(X23&gt;H23,"Exposure exceeds value","Ready"))))))))</x:f>
        <x:v>Ready</x:v>
      </x:c>
      <x:c r="S23" s="9" t="str">
        <x:f>IF(C23="","",IFERROR(IF(INDEX('Inventory'!$V$9:$V$108,MATCH(F23,'Inventory'!$C$9:$C$108,0))="","",INDEX('Inventory'!$V$9:$V$108,MATCH(F23,'Inventory'!$C$9:$C$108,0))),""))</x:f>
        <x:v>Ready</x:v>
      </x:c>
      <x:c r="T23" s="9" t="str">
        <x:f>IF(C23="","",IFERROR(IF(INDEX('Inventory'!$AB$9:$AB$108,MATCH(F23,'Inventory'!$C$9:$C$108,0))="","",INDEX('Inventory'!$AB$9:$AB$108,MATCH(F23,'Inventory'!$C$9:$C$108,0))),""))</x:f>
        <x:v>Ready</x:v>
      </x:c>
      <x:c r="U23" s="9" t="str">
        <x:f>IF(C23="","",IFERROR(IF(INDEX('Inventory'!$AI$9:$AI$108,MATCH(F23,'Inventory'!$C$9:$C$108,0))="","",INDEX('Inventory'!$AI$9:$AI$108,MATCH(F23,'Inventory'!$C$9:$C$108,0))),""))</x:f>
        <x:v>Ready</x:v>
      </x:c>
      <x:c r="V23" s="43" t="n">
        <x:f>IF(C23="","",IFERROR(IF(INDEX('Inventory'!$P$9:$P$108,MATCH(F23,'Inventory'!$C$9:$C$108,0))="","",INDEX('Inventory'!$P$9:$P$108,MATCH(F23,'Inventory'!$C$9:$C$108,0))),""))</x:f>
        <x:v>46752</x:v>
      </x:c>
      <x:c r="W23" s="3" t="str">
        <x:f>IF(C23="","",IF(E23="Corporate listed","PCAF 2025 pp40-46",IF(E23="Corporate private","PCAF 2025 pp55-60",IF(E23="Project finance","PCAF 2025 pp67-71",IF(E23="CRE","PCAF 2025 pp77-81",IF(E23="Mortgage","PCAF 2025 pp83-87",IF(E23="Motor","PCAF 2025 pp90-94","Method required")))))))</x:f>
        <x:v>PCAF 2025 pp55-60</x:v>
      </x:c>
      <x:c r="X23" s="23" t="n">
        <x:f>IF(C23="","",SUMIFS('Facilities'!$AA$9:$AA$108,'Facilities'!$U$9:$U$108,F23))</x:f>
        <x:v>7.449999999999999</x:v>
      </x:c>
      <x:c r="Y23" s="21" t="n">
        <x:f>IF(AND(R23="Ready",S23="Ready"),G23,0)</x:f>
        <x:v>7.449999999999999</x:v>
      </x:c>
      <x:c r="Z23" s="21" t="n">
        <x:f>IF(AND(R23="Ready",T23="Ready"),G23,0)</x:f>
        <x:v>7.449999999999999</x:v>
      </x:c>
      <x:c r="AA23" s="21" t="n">
        <x:f>IF(Y23&gt;0,Y23*O23,0)</x:f>
        <x:v>14.899999999999999</x:v>
      </x:c>
      <x:c r="AB23" s="21" t="n">
        <x:f>IF(Z23&gt;0,Z23*P23,0)</x:f>
        <x:v>14.899999999999999</x:v>
      </x:c>
      <x:c r="AC23" s="21" t="n">
        <x:f>IF(N23&gt;0,N23*Q23,0)</x:f>
        <x:v>14.899999999999999</x:v>
      </x:c>
      <x:c r="AD23" s="21" t="n">
        <x:f>IF(M23&gt;0,M23*MAX(O23,P23),0)</x:f>
        <x:v>14.899999999999999</x:v>
      </x:c>
      <x:c r="AE23" s="9" t="str">
        <x:f>IF(C23="","",IFERROR(IF(INDEX('Inventory'!$AC$9:$AC$108,MATCH(F23,'Inventory'!$C$9:$C$108,0))="","",INDEX('Inventory'!$AC$9:$AC$108,MATCH(F23,'Inventory'!$C$9:$C$108,0))),""))</x:f>
        <x:v>Location-based</x:v>
      </x:c>
      <x:c r="AF23" s="9" t="str">
        <x:f>IF(C23="","",IFERROR(IF(INDEX('Inventory'!$AN$9:$AN$108,MATCH(F23,'Inventory'!$C$9:$C$108,0))="","",INDEX('Inventory'!$AN$9:$AN$108,MATCH(F23,'Inventory'!$C$9:$C$108,0))),""))</x:f>
        <x:v>Review overlap</x:v>
      </x:c>
    </x:row>
    <x:row r="24" ht="26" customHeight="1">
      <x:c r="A24" s="1"/>
      <x:c r="B24" s="1"/>
      <x:c r="C24" s="9" t="str">
        <x:f>IF('Facilities'!C24="","",'Facilities'!C24)</x:f>
        <x:v>F016</x:v>
      </x:c>
      <x:c r="D24" s="9" t="str">
        <x:f>IF(C24="","",IFERROR(IF(INDEX('Facilities'!$D$9:$D$108,MATCH(C24,'Facilities'!$C$9:$C$108,0))="","",INDEX('Facilities'!$D$9:$D$108,MATCH(C24,'Facilities'!$C$9:$C$108,0))),""))</x:f>
        <x:v>B008</x:v>
      </x:c>
      <x:c r="E24" s="9" t="str">
        <x:f>IF(C24="","",IFERROR(IF(INDEX('Facilities'!$E$9:$E$108,MATCH(C24,'Facilities'!$C$9:$C$108,0))="","",INDEX('Facilities'!$E$9:$E$108,MATCH(C24,'Facilities'!$C$9:$C$108,0))),""))</x:f>
        <x:v>Project finance</x:v>
      </x:c>
      <x:c r="F24" s="9" t="str">
        <x:f>IF(C24="","",IFERROR(IF(INDEX('Facilities'!$U$9:$U$108,MATCH(C24,'Facilities'!$C$9:$C$108,0))="","",INDEX('Facilities'!$U$9:$U$108,MATCH(C24,'Facilities'!$C$9:$C$108,0))),""))</x:f>
        <x:v>A008</x:v>
      </x:c>
      <x:c r="G24" s="23" t="n">
        <x:f>IF(C24="","",IFERROR(IF(INDEX('Facilities'!$AA$9:$AA$108,MATCH(C24,'Facilities'!$C$9:$C$108,0))="","",INDEX('Facilities'!$AA$9:$AA$108,MATCH(C24,'Facilities'!$C$9:$C$108,0))),""))</x:f>
        <x:v>4.949999999999999</x:v>
      </x:c>
      <x:c r="H24" s="23" t="n">
        <x:f>IF(C24="","",IFERROR(IF(INDEX('Inventory'!$N$9:$N$108,MATCH(F24,'Inventory'!$C$9:$C$108,0))="","",INDEX('Inventory'!$N$9:$N$108,MATCH(F24,'Inventory'!$C$9:$C$108,0))),""))</x:f>
        <x:v>35</x:v>
      </x:c>
      <x:c r="I24" s="17" t="n">
        <x:f>IF(R24="Ready",G24/H24,"")</x:f>
        <x:v>0.1414285714285714</x:v>
      </x:c>
      <x:c r="J24" s="23" t="n">
        <x:f>IF(AND(R24="Ready",S24="Ready"),I24*IFERROR(IF(INDEX('Inventory'!$T$9:$T$108,MATCH(F24,'Inventory'!$C$9:$C$108,0))="","",INDEX('Inventory'!$T$9:$T$108,MATCH(F24,'Inventory'!$C$9:$C$108,0))),""),"")</x:f>
        <x:v>3.7902857142857136</x:v>
      </x:c>
      <x:c r="K24" s="23" t="n">
        <x:f>IF(AND(R24="Ready",T24="Ready"),I24*IFERROR(IF(INDEX('Inventory'!$Z$9:$Z$108,MATCH(F24,'Inventory'!$C$9:$C$108,0))="","",INDEX('Inventory'!$Z$9:$Z$108,MATCH(F24,'Inventory'!$C$9:$C$108,0))),""),"")</x:f>
        <x:v>4.865142857142856</x:v>
      </x:c>
      <x:c r="L24" s="23" t="str">
        <x:f>IF(AND(R24="Ready",U24="Ready"),I24*IFERROR(IF(INDEX('Inventory'!$AG$9:$AG$108,MATCH(F24,'Inventory'!$C$9:$C$108,0))="","",INDEX('Inventory'!$AG$9:$AG$108,MATCH(F24,'Inventory'!$C$9:$C$108,0))),""),"")</x:f>
      </x:c>
      <x:c r="M24" s="21" t="n">
        <x:f>IF(AND(R24="Ready",S24="Ready",T24="Ready"),G24,0)</x:f>
        <x:v>4.949999999999999</x:v>
      </x:c>
      <x:c r="N24" s="21" t="n">
        <x:f>IF(AND(R24="Ready",U24="Ready"),G24,0)</x:f>
        <x:v>0</x:v>
      </x:c>
      <x:c r="O24" s="42" t="n">
        <x:f>IF(C24="","",IFERROR(IF(INDEX('Inventory'!$U$9:$U$108,MATCH(F24,'Inventory'!$C$9:$C$108,0))="","",INDEX('Inventory'!$U$9:$U$108,MATCH(F24,'Inventory'!$C$9:$C$108,0))),""))</x:f>
        <x:v>2</x:v>
      </x:c>
      <x:c r="P24" s="42" t="n">
        <x:f>IF(C24="","",IFERROR(IF(INDEX('Inventory'!$AA$9:$AA$108,MATCH(F24,'Inventory'!$C$9:$C$108,0))="","",INDEX('Inventory'!$AA$9:$AA$108,MATCH(F24,'Inventory'!$C$9:$C$108,0))),""))</x:f>
        <x:v>2</x:v>
      </x:c>
      <x:c r="Q24" s="42" t="str">
        <x:f>IF(C24="","",IFERROR(IF(INDEX('Inventory'!$AH$9:$AH$108,MATCH(F24,'Inventory'!$C$9:$C$108,0))="","",INDEX('Inventory'!$AH$9:$AH$108,MATCH(F24,'Inventory'!$C$9:$C$108,0))),""))</x:f>
      </x:c>
      <x:c r="R24" s="9" t="str">
        <x:f>IF(C24="","",IF(COUNTIFS('Facilities'!$C$9:$C$108,C24)&lt;&gt;1,"Duplicate facility ID",IF(OR(NOT(ISNUMBER(IFERROR(IF(INDEX('Facilities'!$G$9:$G$108,MATCH(C24,'Facilities'!$C$9:$C$108,0))="","",INDEX('Facilities'!$G$9:$G$108,MATCH(C24,'Facilities'!$C$9:$C$108,0))),""))),NOT(ISNUMBER(G24)),G24&lt;0,IFERROR(IF(INDEX('Facilities'!$Z$9:$Z$108,MATCH(C24,'Facilities'!$C$9:$C$108,0))="","",INDEX('Facilities'!$Z$9:$Z$108,MATCH(C24,'Facilities'!$C$9:$C$108,0))),"")&lt;=0),"Drawn value required",IF(COUNTIFS('Inventory'!$C$9:$C$108,F24)&lt;&gt;1,"Entity required",IF(OR(E24&lt;&gt;IFERROR(IF(INDEX('Inventory'!$F$9:$F$108,MATCH(F24,'Inventory'!$C$9:$C$108,0))="","",INDEX('Inventory'!$F$9:$F$108,MATCH(F24,'Inventory'!$C$9:$C$108,0))),""),D24&lt;&gt;IFERROR(IF(INDEX('Inventory'!$D$9:$D$108,MATCH(F24,'Inventory'!$C$9:$C$108,0))="","",INDEX('Inventory'!$D$9:$D$108,MATCH(F24,'Inventory'!$C$9:$C$108,0))),"")),"Entity / class mismatch",IF(IFERROR(IF(INDEX('Inventory'!$AL$9:$AL$108,MATCH(F24,'Inventory'!$C$9:$C$108,0))="","",INDEX('Inventory'!$AL$9:$AL$108,MATCH(F24,'Inventory'!$C$9:$C$108,0))),"")&lt;&gt;"Ready",IFERROR(IF(INDEX('Inventory'!$AL$9:$AL$108,MATCH(F24,'Inventory'!$C$9:$C$108,0))="","",INDEX('Inventory'!$AL$9:$AL$108,MATCH(F24,'Inventory'!$C$9:$C$108,0))),""),IF(AND(OR(E24="Project finance",E24="CRE",E24="Mortgage",E24="Motor"),IFERROR(IF(INDEX('Facilities'!$V$9:$V$108,MATCH(C24,'Facilities'!$C$9:$C$108,0))="","",INDEX('Facilities'!$V$9:$V$108,MATCH(C24,'Facilities'!$C$9:$C$108,0))),"")&lt;&gt;"Designated asset"),"Purpose review",IF(X24&gt;H24,"Exposure exceeds value","Ready"))))))))</x:f>
        <x:v>Ready</x:v>
      </x:c>
      <x:c r="S24" s="9" t="str">
        <x:f>IF(C24="","",IFERROR(IF(INDEX('Inventory'!$V$9:$V$108,MATCH(F24,'Inventory'!$C$9:$C$108,0))="","",INDEX('Inventory'!$V$9:$V$108,MATCH(F24,'Inventory'!$C$9:$C$108,0))),""))</x:f>
        <x:v>Ready</x:v>
      </x:c>
      <x:c r="T24" s="9" t="str">
        <x:f>IF(C24="","",IFERROR(IF(INDEX('Inventory'!$AB$9:$AB$108,MATCH(F24,'Inventory'!$C$9:$C$108,0))="","",INDEX('Inventory'!$AB$9:$AB$108,MATCH(F24,'Inventory'!$C$9:$C$108,0))),""))</x:f>
        <x:v>Ready</x:v>
      </x:c>
      <x:c r="U24" s="9" t="str">
        <x:f>IF(C24="","",IFERROR(IF(INDEX('Inventory'!$AI$9:$AI$108,MATCH(F24,'Inventory'!$C$9:$C$108,0))="","",INDEX('Inventory'!$AI$9:$AI$108,MATCH(F24,'Inventory'!$C$9:$C$108,0))),""))</x:f>
        <x:v>Not assessed</x:v>
      </x:c>
      <x:c r="V24" s="43" t="n">
        <x:f>IF(C24="","",IFERROR(IF(INDEX('Inventory'!$P$9:$P$108,MATCH(F24,'Inventory'!$C$9:$C$108,0))="","",INDEX('Inventory'!$P$9:$P$108,MATCH(F24,'Inventory'!$C$9:$C$108,0))),""))</x:f>
        <x:v>46752</x:v>
      </x:c>
      <x:c r="W24" s="3" t="str">
        <x:f>IF(C24="","",IF(E24="Corporate listed","PCAF 2025 pp40-46",IF(E24="Corporate private","PCAF 2025 pp55-60",IF(E24="Project finance","PCAF 2025 pp67-71",IF(E24="CRE","PCAF 2025 pp77-81",IF(E24="Mortgage","PCAF 2025 pp83-87",IF(E24="Motor","PCAF 2025 pp90-94","Method required")))))))</x:f>
        <x:v>PCAF 2025 pp67-71</x:v>
      </x:c>
      <x:c r="X24" s="23" t="n">
        <x:f>IF(C24="","",SUMIFS('Facilities'!$AA$9:$AA$108,'Facilities'!$U$9:$U$108,F24))</x:f>
        <x:v>4.949999999999999</x:v>
      </x:c>
      <x:c r="Y24" s="21" t="n">
        <x:f>IF(AND(R24="Ready",S24="Ready"),G24,0)</x:f>
        <x:v>4.949999999999999</x:v>
      </x:c>
      <x:c r="Z24" s="21" t="n">
        <x:f>IF(AND(R24="Ready",T24="Ready"),G24,0)</x:f>
        <x:v>4.949999999999999</x:v>
      </x:c>
      <x:c r="AA24" s="21" t="n">
        <x:f>IF(Y24&gt;0,Y24*O24,0)</x:f>
        <x:v>9.899999999999999</x:v>
      </x:c>
      <x:c r="AB24" s="21" t="n">
        <x:f>IF(Z24&gt;0,Z24*P24,0)</x:f>
        <x:v>9.899999999999999</x:v>
      </x:c>
      <x:c r="AC24" s="21" t="n">
        <x:f>IF(N24&gt;0,N24*Q24,0)</x:f>
        <x:v>0</x:v>
      </x:c>
      <x:c r="AD24" s="21" t="n">
        <x:f>IF(M24&gt;0,M24*MAX(O24,P24),0)</x:f>
        <x:v>9.899999999999999</x:v>
      </x:c>
      <x:c r="AE24" s="9" t="str">
        <x:f>IF(C24="","",IFERROR(IF(INDEX('Inventory'!$AC$9:$AC$108,MATCH(F24,'Inventory'!$C$9:$C$108,0))="","",INDEX('Inventory'!$AC$9:$AC$108,MATCH(F24,'Inventory'!$C$9:$C$108,0))),""))</x:f>
        <x:v>Location-based</x:v>
      </x:c>
      <x:c r="AF24" s="9" t="str">
        <x:f>IF(C24="","",IFERROR(IF(INDEX('Inventory'!$AN$9:$AN$108,MATCH(F24,'Inventory'!$C$9:$C$108,0))="","",INDEX('Inventory'!$AN$9:$AN$108,MATCH(F24,'Inventory'!$C$9:$C$108,0))),""))</x:f>
        <x:v>Review overlap</x:v>
      </x:c>
    </x:row>
    <x:row r="25" ht="26" customHeight="1">
      <x:c r="A25" s="1"/>
      <x:c r="B25" s="1"/>
      <x:c r="C25" s="9" t="str">
        <x:f>IF('Facilities'!C25="","",'Facilities'!C25)</x:f>
        <x:v>F017</x:v>
      </x:c>
      <x:c r="D25" s="9" t="str">
        <x:f>IF(C25="","",IFERROR(IF(INDEX('Facilities'!$D$9:$D$108,MATCH(C25,'Facilities'!$C$9:$C$108,0))="","",INDEX('Facilities'!$D$9:$D$108,MATCH(C25,'Facilities'!$C$9:$C$108,0))),""))</x:f>
        <x:v>B009</x:v>
      </x:c>
      <x:c r="E25" s="9" t="str">
        <x:f>IF(C25="","",IFERROR(IF(INDEX('Facilities'!$E$9:$E$108,MATCH(C25,'Facilities'!$C$9:$C$108,0))="","",INDEX('Facilities'!$E$9:$E$108,MATCH(C25,'Facilities'!$C$9:$C$108,0))),""))</x:f>
        <x:v>Corporate private</x:v>
      </x:c>
      <x:c r="F25" s="9" t="str">
        <x:f>IF(C25="","",IFERROR(IF(INDEX('Facilities'!$U$9:$U$108,MATCH(C25,'Facilities'!$C$9:$C$108,0))="","",INDEX('Facilities'!$U$9:$U$108,MATCH(C25,'Facilities'!$C$9:$C$108,0))),""))</x:f>
        <x:v>B009</x:v>
      </x:c>
      <x:c r="G25" s="23" t="n">
        <x:f>IF(C25="","",IFERROR(IF(INDEX('Facilities'!$AA$9:$AA$108,MATCH(C25,'Facilities'!$C$9:$C$108,0))="","",INDEX('Facilities'!$AA$9:$AA$108,MATCH(C25,'Facilities'!$C$9:$C$108,0))),""))</x:f>
        <x:v>7.8</x:v>
      </x:c>
      <x:c r="H25" s="23" t="n">
        <x:f>IF(C25="","",IFERROR(IF(INDEX('Inventory'!$N$9:$N$108,MATCH(F25,'Inventory'!$C$9:$C$108,0))="","",INDEX('Inventory'!$N$9:$N$108,MATCH(F25,'Inventory'!$C$9:$C$108,0))),""))</x:f>
        <x:v>105</x:v>
      </x:c>
      <x:c r="I25" s="17" t="n">
        <x:f>IF(R25="Ready",G25/H25,"")</x:f>
        <x:v>0.07428571428571429</x:v>
      </x:c>
      <x:c r="J25" s="23" t="n">
        <x:f>IF(AND(R25="Ready",S25="Ready"),I25*IFERROR(IF(INDEX('Inventory'!$T$9:$T$108,MATCH(F25,'Inventory'!$C$9:$C$108,0))="","",INDEX('Inventory'!$T$9:$T$108,MATCH(F25,'Inventory'!$C$9:$C$108,0))),""),"")</x:f>
        <x:v>218.4</x:v>
      </x:c>
      <x:c r="K25" s="23" t="n">
        <x:f>IF(AND(R25="Ready",T25="Ready"),I25*IFERROR(IF(INDEX('Inventory'!$Z$9:$Z$108,MATCH(F25,'Inventory'!$C$9:$C$108,0))="","",INDEX('Inventory'!$Z$9:$Z$108,MATCH(F25,'Inventory'!$C$9:$C$108,0))),""),"")</x:f>
        <x:v>215.42857142857144</x:v>
      </x:c>
      <x:c r="L25" s="23" t="n">
        <x:f>IF(AND(R25="Ready",U25="Ready"),I25*IFERROR(IF(INDEX('Inventory'!$AG$9:$AG$108,MATCH(F25,'Inventory'!$C$9:$C$108,0))="","",INDEX('Inventory'!$AG$9:$AG$108,MATCH(F25,'Inventory'!$C$9:$C$108,0))),""),"")</x:f>
        <x:v>1158.857142857143</x:v>
      </x:c>
      <x:c r="M25" s="21" t="n">
        <x:f>IF(AND(R25="Ready",S25="Ready",T25="Ready"),G25,0)</x:f>
        <x:v>7.8</x:v>
      </x:c>
      <x:c r="N25" s="21" t="n">
        <x:f>IF(AND(R25="Ready",U25="Ready"),G25,0)</x:f>
        <x:v>7.8</x:v>
      </x:c>
      <x:c r="O25" s="42" t="n">
        <x:f>IF(C25="","",IFERROR(IF(INDEX('Inventory'!$U$9:$U$108,MATCH(F25,'Inventory'!$C$9:$C$108,0))="","",INDEX('Inventory'!$U$9:$U$108,MATCH(F25,'Inventory'!$C$9:$C$108,0))),""))</x:f>
        <x:v>1</x:v>
      </x:c>
      <x:c r="P25" s="42" t="n">
        <x:f>IF(C25="","",IFERROR(IF(INDEX('Inventory'!$AA$9:$AA$108,MATCH(F25,'Inventory'!$C$9:$C$108,0))="","",INDEX('Inventory'!$AA$9:$AA$108,MATCH(F25,'Inventory'!$C$9:$C$108,0))),""))</x:f>
        <x:v>1</x:v>
      </x:c>
      <x:c r="Q25" s="42" t="n">
        <x:f>IF(C25="","",IFERROR(IF(INDEX('Inventory'!$AH$9:$AH$108,MATCH(F25,'Inventory'!$C$9:$C$108,0))="","",INDEX('Inventory'!$AH$9:$AH$108,MATCH(F25,'Inventory'!$C$9:$C$108,0))),""))</x:f>
        <x:v>2</x:v>
      </x:c>
      <x:c r="R25" s="9" t="str">
        <x:f>IF(C25="","",IF(COUNTIFS('Facilities'!$C$9:$C$108,C25)&lt;&gt;1,"Duplicate facility ID",IF(OR(NOT(ISNUMBER(IFERROR(IF(INDEX('Facilities'!$G$9:$G$108,MATCH(C25,'Facilities'!$C$9:$C$108,0))="","",INDEX('Facilities'!$G$9:$G$108,MATCH(C25,'Facilities'!$C$9:$C$108,0))),""))),NOT(ISNUMBER(G25)),G25&lt;0,IFERROR(IF(INDEX('Facilities'!$Z$9:$Z$108,MATCH(C25,'Facilities'!$C$9:$C$108,0))="","",INDEX('Facilities'!$Z$9:$Z$108,MATCH(C25,'Facilities'!$C$9:$C$108,0))),"")&lt;=0),"Drawn value required",IF(COUNTIFS('Inventory'!$C$9:$C$108,F25)&lt;&gt;1,"Entity required",IF(OR(E25&lt;&gt;IFERROR(IF(INDEX('Inventory'!$F$9:$F$108,MATCH(F25,'Inventory'!$C$9:$C$108,0))="","",INDEX('Inventory'!$F$9:$F$108,MATCH(F25,'Inventory'!$C$9:$C$108,0))),""),D25&lt;&gt;IFERROR(IF(INDEX('Inventory'!$D$9:$D$108,MATCH(F25,'Inventory'!$C$9:$C$108,0))="","",INDEX('Inventory'!$D$9:$D$108,MATCH(F25,'Inventory'!$C$9:$C$108,0))),"")),"Entity / class mismatch",IF(IFERROR(IF(INDEX('Inventory'!$AL$9:$AL$108,MATCH(F25,'Inventory'!$C$9:$C$108,0))="","",INDEX('Inventory'!$AL$9:$AL$108,MATCH(F25,'Inventory'!$C$9:$C$108,0))),"")&lt;&gt;"Ready",IFERROR(IF(INDEX('Inventory'!$AL$9:$AL$108,MATCH(F25,'Inventory'!$C$9:$C$108,0))="","",INDEX('Inventory'!$AL$9:$AL$108,MATCH(F25,'Inventory'!$C$9:$C$108,0))),""),IF(AND(OR(E25="Project finance",E25="CRE",E25="Mortgage",E25="Motor"),IFERROR(IF(INDEX('Facilities'!$V$9:$V$108,MATCH(C25,'Facilities'!$C$9:$C$108,0))="","",INDEX('Facilities'!$V$9:$V$108,MATCH(C25,'Facilities'!$C$9:$C$108,0))),"")&lt;&gt;"Designated asset"),"Purpose review",IF(X25&gt;H25,"Exposure exceeds value","Ready"))))))))</x:f>
        <x:v>Ready</x:v>
      </x:c>
      <x:c r="S25" s="9" t="str">
        <x:f>IF(C25="","",IFERROR(IF(INDEX('Inventory'!$V$9:$V$108,MATCH(F25,'Inventory'!$C$9:$C$108,0))="","",INDEX('Inventory'!$V$9:$V$108,MATCH(F25,'Inventory'!$C$9:$C$108,0))),""))</x:f>
        <x:v>Ready</x:v>
      </x:c>
      <x:c r="T25" s="9" t="str">
        <x:f>IF(C25="","",IFERROR(IF(INDEX('Inventory'!$AB$9:$AB$108,MATCH(F25,'Inventory'!$C$9:$C$108,0))="","",INDEX('Inventory'!$AB$9:$AB$108,MATCH(F25,'Inventory'!$C$9:$C$108,0))),""))</x:f>
        <x:v>Ready</x:v>
      </x:c>
      <x:c r="U25" s="9" t="str">
        <x:f>IF(C25="","",IFERROR(IF(INDEX('Inventory'!$AI$9:$AI$108,MATCH(F25,'Inventory'!$C$9:$C$108,0))="","",INDEX('Inventory'!$AI$9:$AI$108,MATCH(F25,'Inventory'!$C$9:$C$108,0))),""))</x:f>
        <x:v>Ready</x:v>
      </x:c>
      <x:c r="V25" s="43" t="n">
        <x:f>IF(C25="","",IFERROR(IF(INDEX('Inventory'!$P$9:$P$108,MATCH(F25,'Inventory'!$C$9:$C$108,0))="","",INDEX('Inventory'!$P$9:$P$108,MATCH(F25,'Inventory'!$C$9:$C$108,0))),""))</x:f>
        <x:v>46752</x:v>
      </x:c>
      <x:c r="W25" s="3" t="str">
        <x:f>IF(C25="","",IF(E25="Corporate listed","PCAF 2025 pp40-46",IF(E25="Corporate private","PCAF 2025 pp55-60",IF(E25="Project finance","PCAF 2025 pp67-71",IF(E25="CRE","PCAF 2025 pp77-81",IF(E25="Mortgage","PCAF 2025 pp83-87",IF(E25="Motor","PCAF 2025 pp90-94","Method required")))))))</x:f>
        <x:v>PCAF 2025 pp55-60</x:v>
      </x:c>
      <x:c r="X25" s="23" t="n">
        <x:f>IF(C25="","",SUMIFS('Facilities'!$AA$9:$AA$108,'Facilities'!$U$9:$U$108,F25))</x:f>
        <x:v>7.8</x:v>
      </x:c>
      <x:c r="Y25" s="21" t="n">
        <x:f>IF(AND(R25="Ready",S25="Ready"),G25,0)</x:f>
        <x:v>7.8</x:v>
      </x:c>
      <x:c r="Z25" s="21" t="n">
        <x:f>IF(AND(R25="Ready",T25="Ready"),G25,0)</x:f>
        <x:v>7.8</x:v>
      </x:c>
      <x:c r="AA25" s="21" t="n">
        <x:f>IF(Y25&gt;0,Y25*O25,0)</x:f>
        <x:v>7.8</x:v>
      </x:c>
      <x:c r="AB25" s="21" t="n">
        <x:f>IF(Z25&gt;0,Z25*P25,0)</x:f>
        <x:v>7.8</x:v>
      </x:c>
      <x:c r="AC25" s="21" t="n">
        <x:f>IF(N25&gt;0,N25*Q25,0)</x:f>
        <x:v>15.6</x:v>
      </x:c>
      <x:c r="AD25" s="21" t="n">
        <x:f>IF(M25&gt;0,M25*MAX(O25,P25),0)</x:f>
        <x:v>7.8</x:v>
      </x:c>
      <x:c r="AE25" s="9" t="str">
        <x:f>IF(C25="","",IFERROR(IF(INDEX('Inventory'!$AC$9:$AC$108,MATCH(F25,'Inventory'!$C$9:$C$108,0))="","",INDEX('Inventory'!$AC$9:$AC$108,MATCH(F25,'Inventory'!$C$9:$C$108,0))),""))</x:f>
        <x:v>Location-based</x:v>
      </x:c>
      <x:c r="AF25" s="9" t="str">
        <x:f>IF(C25="","",IFERROR(IF(INDEX('Inventory'!$AN$9:$AN$108,MATCH(F25,'Inventory'!$C$9:$C$108,0))="","",INDEX('Inventory'!$AN$9:$AN$108,MATCH(F25,'Inventory'!$C$9:$C$108,0))),""))</x:f>
        <x:v>Review overlap</x:v>
      </x:c>
    </x:row>
    <x:row r="26" ht="26" customHeight="1">
      <x:c r="A26" s="1"/>
      <x:c r="B26" s="1"/>
      <x:c r="C26" s="9" t="str">
        <x:f>IF('Facilities'!C26="","",'Facilities'!C26)</x:f>
        <x:v>F018</x:v>
      </x:c>
      <x:c r="D26" s="9" t="str">
        <x:f>IF(C26="","",IFERROR(IF(INDEX('Facilities'!$D$9:$D$108,MATCH(C26,'Facilities'!$C$9:$C$108,0))="","",INDEX('Facilities'!$D$9:$D$108,MATCH(C26,'Facilities'!$C$9:$C$108,0))),""))</x:f>
        <x:v>B009</x:v>
      </x:c>
      <x:c r="E26" s="9" t="str">
        <x:f>IF(C26="","",IFERROR(IF(INDEX('Facilities'!$E$9:$E$108,MATCH(C26,'Facilities'!$C$9:$C$108,0))="","",INDEX('Facilities'!$E$9:$E$108,MATCH(C26,'Facilities'!$C$9:$C$108,0))),""))</x:f>
        <x:v>Motor</x:v>
      </x:c>
      <x:c r="F26" s="9" t="str">
        <x:f>IF(C26="","",IFERROR(IF(INDEX('Facilities'!$U$9:$U$108,MATCH(C26,'Facilities'!$C$9:$C$108,0))="","",INDEX('Facilities'!$U$9:$U$108,MATCH(C26,'Facilities'!$C$9:$C$108,0))),""))</x:f>
        <x:v>A009</x:v>
      </x:c>
      <x:c r="G26" s="23" t="n">
        <x:f>IF(C26="","",IFERROR(IF(INDEX('Facilities'!$AA$9:$AA$108,MATCH(C26,'Facilities'!$C$9:$C$108,0))="","",INDEX('Facilities'!$AA$9:$AA$108,MATCH(C26,'Facilities'!$C$9:$C$108,0))),""))</x:f>
        <x:v>5.3</x:v>
      </x:c>
      <x:c r="H26" s="23" t="n">
        <x:f>IF(C26="","",IFERROR(IF(INDEX('Inventory'!$N$9:$N$108,MATCH(F26,'Inventory'!$C$9:$C$108,0))="","",INDEX('Inventory'!$N$9:$N$108,MATCH(F26,'Inventory'!$C$9:$C$108,0))),""))</x:f>
        <x:v>30</x:v>
      </x:c>
      <x:c r="I26" s="17" t="n">
        <x:f>IF(R26="Ready",G26/H26,"")</x:f>
        <x:v>0.17666666666666667</x:v>
      </x:c>
      <x:c r="J26" s="23" t="n">
        <x:f>IF(AND(R26="Ready",S26="Ready"),I26*IFERROR(IF(INDEX('Inventory'!$T$9:$T$108,MATCH(F26,'Inventory'!$C$9:$C$108,0))="","",INDEX('Inventory'!$T$9:$T$108,MATCH(F26,'Inventory'!$C$9:$C$108,0))),""),"")</x:f>
        <x:v>378.7733333333333</x:v>
      </x:c>
      <x:c r="K26" s="23" t="n">
        <x:f>IF(AND(R26="Ready",T26="Ready"),I26*IFERROR(IF(INDEX('Inventory'!$Z$9:$Z$108,MATCH(F26,'Inventory'!$C$9:$C$108,0))="","",INDEX('Inventory'!$Z$9:$Z$108,MATCH(F26,'Inventory'!$C$9:$C$108,0))),""),"")</x:f>
        <x:v>6.077333333333333</x:v>
      </x:c>
      <x:c r="L26" s="23" t="str">
        <x:f>IF(AND(R26="Ready",U26="Ready"),I26*IFERROR(IF(INDEX('Inventory'!$AG$9:$AG$108,MATCH(F26,'Inventory'!$C$9:$C$108,0))="","",INDEX('Inventory'!$AG$9:$AG$108,MATCH(F26,'Inventory'!$C$9:$C$108,0))),""),"")</x:f>
      </x:c>
      <x:c r="M26" s="21" t="n">
        <x:f>IF(AND(R26="Ready",S26="Ready",T26="Ready"),G26,0)</x:f>
        <x:v>5.3</x:v>
      </x:c>
      <x:c r="N26" s="21" t="n">
        <x:f>IF(AND(R26="Ready",U26="Ready"),G26,0)</x:f>
        <x:v>0</x:v>
      </x:c>
      <x:c r="O26" s="42" t="n">
        <x:f>IF(C26="","",IFERROR(IF(INDEX('Inventory'!$U$9:$U$108,MATCH(F26,'Inventory'!$C$9:$C$108,0))="","",INDEX('Inventory'!$U$9:$U$108,MATCH(F26,'Inventory'!$C$9:$C$108,0))),""))</x:f>
        <x:v>1</x:v>
      </x:c>
      <x:c r="P26" s="42" t="n">
        <x:f>IF(C26="","",IFERROR(IF(INDEX('Inventory'!$AA$9:$AA$108,MATCH(F26,'Inventory'!$C$9:$C$108,0))="","",INDEX('Inventory'!$AA$9:$AA$108,MATCH(F26,'Inventory'!$C$9:$C$108,0))),""))</x:f>
        <x:v>1</x:v>
      </x:c>
      <x:c r="Q26" s="42" t="str">
        <x:f>IF(C26="","",IFERROR(IF(INDEX('Inventory'!$AH$9:$AH$108,MATCH(F26,'Inventory'!$C$9:$C$108,0))="","",INDEX('Inventory'!$AH$9:$AH$108,MATCH(F26,'Inventory'!$C$9:$C$108,0))),""))</x:f>
      </x:c>
      <x:c r="R26" s="9" t="str">
        <x:f>IF(C26="","",IF(COUNTIFS('Facilities'!$C$9:$C$108,C26)&lt;&gt;1,"Duplicate facility ID",IF(OR(NOT(ISNUMBER(IFERROR(IF(INDEX('Facilities'!$G$9:$G$108,MATCH(C26,'Facilities'!$C$9:$C$108,0))="","",INDEX('Facilities'!$G$9:$G$108,MATCH(C26,'Facilities'!$C$9:$C$108,0))),""))),NOT(ISNUMBER(G26)),G26&lt;0,IFERROR(IF(INDEX('Facilities'!$Z$9:$Z$108,MATCH(C26,'Facilities'!$C$9:$C$108,0))="","",INDEX('Facilities'!$Z$9:$Z$108,MATCH(C26,'Facilities'!$C$9:$C$108,0))),"")&lt;=0),"Drawn value required",IF(COUNTIFS('Inventory'!$C$9:$C$108,F26)&lt;&gt;1,"Entity required",IF(OR(E26&lt;&gt;IFERROR(IF(INDEX('Inventory'!$F$9:$F$108,MATCH(F26,'Inventory'!$C$9:$C$108,0))="","",INDEX('Inventory'!$F$9:$F$108,MATCH(F26,'Inventory'!$C$9:$C$108,0))),""),D26&lt;&gt;IFERROR(IF(INDEX('Inventory'!$D$9:$D$108,MATCH(F26,'Inventory'!$C$9:$C$108,0))="","",INDEX('Inventory'!$D$9:$D$108,MATCH(F26,'Inventory'!$C$9:$C$108,0))),"")),"Entity / class mismatch",IF(IFERROR(IF(INDEX('Inventory'!$AL$9:$AL$108,MATCH(F26,'Inventory'!$C$9:$C$108,0))="","",INDEX('Inventory'!$AL$9:$AL$108,MATCH(F26,'Inventory'!$C$9:$C$108,0))),"")&lt;&gt;"Ready",IFERROR(IF(INDEX('Inventory'!$AL$9:$AL$108,MATCH(F26,'Inventory'!$C$9:$C$108,0))="","",INDEX('Inventory'!$AL$9:$AL$108,MATCH(F26,'Inventory'!$C$9:$C$108,0))),""),IF(AND(OR(E26="Project finance",E26="CRE",E26="Mortgage",E26="Motor"),IFERROR(IF(INDEX('Facilities'!$V$9:$V$108,MATCH(C26,'Facilities'!$C$9:$C$108,0))="","",INDEX('Facilities'!$V$9:$V$108,MATCH(C26,'Facilities'!$C$9:$C$108,0))),"")&lt;&gt;"Designated asset"),"Purpose review",IF(X26&gt;H26,"Exposure exceeds value","Ready"))))))))</x:f>
        <x:v>Ready</x:v>
      </x:c>
      <x:c r="S26" s="9" t="str">
        <x:f>IF(C26="","",IFERROR(IF(INDEX('Inventory'!$V$9:$V$108,MATCH(F26,'Inventory'!$C$9:$C$108,0))="","",INDEX('Inventory'!$V$9:$V$108,MATCH(F26,'Inventory'!$C$9:$C$108,0))),""))</x:f>
        <x:v>Ready</x:v>
      </x:c>
      <x:c r="T26" s="9" t="str">
        <x:f>IF(C26="","",IFERROR(IF(INDEX('Inventory'!$AB$9:$AB$108,MATCH(F26,'Inventory'!$C$9:$C$108,0))="","",INDEX('Inventory'!$AB$9:$AB$108,MATCH(F26,'Inventory'!$C$9:$C$108,0))),""))</x:f>
        <x:v>Ready</x:v>
      </x:c>
      <x:c r="U26" s="9" t="str">
        <x:f>IF(C26="","",IFERROR(IF(INDEX('Inventory'!$AI$9:$AI$108,MATCH(F26,'Inventory'!$C$9:$C$108,0))="","",INDEX('Inventory'!$AI$9:$AI$108,MATCH(F26,'Inventory'!$C$9:$C$108,0))),""))</x:f>
        <x:v>Not assessed</x:v>
      </x:c>
      <x:c r="V26" s="43" t="n">
        <x:f>IF(C26="","",IFERROR(IF(INDEX('Inventory'!$P$9:$P$108,MATCH(F26,'Inventory'!$C$9:$C$108,0))="","",INDEX('Inventory'!$P$9:$P$108,MATCH(F26,'Inventory'!$C$9:$C$108,0))),""))</x:f>
        <x:v>46752</x:v>
      </x:c>
      <x:c r="W26" s="3" t="str">
        <x:f>IF(C26="","",IF(E26="Corporate listed","PCAF 2025 pp40-46",IF(E26="Corporate private","PCAF 2025 pp55-60",IF(E26="Project finance","PCAF 2025 pp67-71",IF(E26="CRE","PCAF 2025 pp77-81",IF(E26="Mortgage","PCAF 2025 pp83-87",IF(E26="Motor","PCAF 2025 pp90-94","Method required")))))))</x:f>
        <x:v>PCAF 2025 pp90-94</x:v>
      </x:c>
      <x:c r="X26" s="23" t="n">
        <x:f>IF(C26="","",SUMIFS('Facilities'!$AA$9:$AA$108,'Facilities'!$U$9:$U$108,F26))</x:f>
        <x:v>5.3</x:v>
      </x:c>
      <x:c r="Y26" s="21" t="n">
        <x:f>IF(AND(R26="Ready",S26="Ready"),G26,0)</x:f>
        <x:v>5.3</x:v>
      </x:c>
      <x:c r="Z26" s="21" t="n">
        <x:f>IF(AND(R26="Ready",T26="Ready"),G26,0)</x:f>
        <x:v>5.3</x:v>
      </x:c>
      <x:c r="AA26" s="21" t="n">
        <x:f>IF(Y26&gt;0,Y26*O26,0)</x:f>
        <x:v>5.3</x:v>
      </x:c>
      <x:c r="AB26" s="21" t="n">
        <x:f>IF(Z26&gt;0,Z26*P26,0)</x:f>
        <x:v>5.3</x:v>
      </x:c>
      <x:c r="AC26" s="21" t="n">
        <x:f>IF(N26&gt;0,N26*Q26,0)</x:f>
        <x:v>0</x:v>
      </x:c>
      <x:c r="AD26" s="21" t="n">
        <x:f>IF(M26&gt;0,M26*MAX(O26,P26),0)</x:f>
        <x:v>5.3</x:v>
      </x:c>
      <x:c r="AE26" s="9" t="str">
        <x:f>IF(C26="","",IFERROR(IF(INDEX('Inventory'!$AC$9:$AC$108,MATCH(F26,'Inventory'!$C$9:$C$108,0))="","",INDEX('Inventory'!$AC$9:$AC$108,MATCH(F26,'Inventory'!$C$9:$C$108,0))),""))</x:f>
        <x:v>Location-based</x:v>
      </x:c>
      <x:c r="AF26" s="9" t="str">
        <x:f>IF(C26="","",IFERROR(IF(INDEX('Inventory'!$AN$9:$AN$108,MATCH(F26,'Inventory'!$C$9:$C$108,0))="","",INDEX('Inventory'!$AN$9:$AN$108,MATCH(F26,'Inventory'!$C$9:$C$108,0))),""))</x:f>
        <x:v>Review overlap</x:v>
      </x:c>
    </x:row>
    <x:row r="27" ht="26" customHeight="1">
      <x:c r="A27" s="1"/>
      <x:c r="B27" s="1"/>
      <x:c r="C27" s="9" t="str">
        <x:f>IF('Facilities'!C27="","",'Facilities'!C27)</x:f>
        <x:v>F019</x:v>
      </x:c>
      <x:c r="D27" s="9" t="str">
        <x:f>IF(C27="","",IFERROR(IF(INDEX('Facilities'!$D$9:$D$108,MATCH(C27,'Facilities'!$C$9:$C$108,0))="","",INDEX('Facilities'!$D$9:$D$108,MATCH(C27,'Facilities'!$C$9:$C$108,0))),""))</x:f>
        <x:v>B010</x:v>
      </x:c>
      <x:c r="E27" s="9" t="str">
        <x:f>IF(C27="","",IFERROR(IF(INDEX('Facilities'!$E$9:$E$108,MATCH(C27,'Facilities'!$C$9:$C$108,0))="","",INDEX('Facilities'!$E$9:$E$108,MATCH(C27,'Facilities'!$C$9:$C$108,0))),""))</x:f>
        <x:v>Corporate private</x:v>
      </x:c>
      <x:c r="F27" s="9" t="str">
        <x:f>IF(C27="","",IFERROR(IF(INDEX('Facilities'!$U$9:$U$108,MATCH(C27,'Facilities'!$C$9:$C$108,0))="","",INDEX('Facilities'!$U$9:$U$108,MATCH(C27,'Facilities'!$C$9:$C$108,0))),""))</x:f>
        <x:v>B010</x:v>
      </x:c>
      <x:c r="G27" s="23" t="n">
        <x:f>IF(C27="","",IFERROR(IF(INDEX('Facilities'!$AA$9:$AA$108,MATCH(C27,'Facilities'!$C$9:$C$108,0))="","",INDEX('Facilities'!$AA$9:$AA$108,MATCH(C27,'Facilities'!$C$9:$C$108,0))),""))</x:f>
        <x:v>8.15</x:v>
      </x:c>
      <x:c r="H27" s="23" t="n">
        <x:f>IF(C27="","",IFERROR(IF(INDEX('Inventory'!$N$9:$N$108,MATCH(F27,'Inventory'!$C$9:$C$108,0))="","",INDEX('Inventory'!$N$9:$N$108,MATCH(F27,'Inventory'!$C$9:$C$108,0))),""))</x:f>
        <x:v>110</x:v>
      </x:c>
      <x:c r="I27" s="17" t="n">
        <x:f>IF(R27="Ready",G27/H27,"")</x:f>
        <x:v>0.0740909090909091</x:v>
      </x:c>
      <x:c r="J27" s="23" t="n">
        <x:f>IF(AND(R27="Ready",S27="Ready"),I27*IFERROR(IF(INDEX('Inventory'!$T$9:$T$108,MATCH(F27,'Inventory'!$C$9:$C$108,0))="","",INDEX('Inventory'!$T$9:$T$108,MATCH(F27,'Inventory'!$C$9:$C$108,0))),""),"")</x:f>
        <x:v>243.01818181818183</x:v>
      </x:c>
      <x:c r="K27" s="23" t="n">
        <x:f>IF(AND(R27="Ready",T27="Ready"),I27*IFERROR(IF(INDEX('Inventory'!$Z$9:$Z$108,MATCH(F27,'Inventory'!$C$9:$C$108,0))="","",INDEX('Inventory'!$Z$9:$Z$108,MATCH(F27,'Inventory'!$C$9:$C$108,0))),""),"")</x:f>
        <x:v>229.6818181818182</x:v>
      </x:c>
      <x:c r="L27" s="23" t="n">
        <x:f>IF(AND(R27="Ready",U27="Ready"),I27*IFERROR(IF(INDEX('Inventory'!$AG$9:$AG$108,MATCH(F27,'Inventory'!$C$9:$C$108,0))="","",INDEX('Inventory'!$AG$9:$AG$108,MATCH(F27,'Inventory'!$C$9:$C$108,0))),""),"")</x:f>
        <x:v>1274.3636363636365</x:v>
      </x:c>
      <x:c r="M27" s="21" t="n">
        <x:f>IF(AND(R27="Ready",S27="Ready",T27="Ready"),G27,0)</x:f>
        <x:v>8.15</x:v>
      </x:c>
      <x:c r="N27" s="21" t="n">
        <x:f>IF(AND(R27="Ready",U27="Ready"),G27,0)</x:f>
        <x:v>8.15</x:v>
      </x:c>
      <x:c r="O27" s="42" t="n">
        <x:f>IF(C27="","",IFERROR(IF(INDEX('Inventory'!$U$9:$U$108,MATCH(F27,'Inventory'!$C$9:$C$108,0))="","",INDEX('Inventory'!$U$9:$U$108,MATCH(F27,'Inventory'!$C$9:$C$108,0))),""))</x:f>
        <x:v>2</x:v>
      </x:c>
      <x:c r="P27" s="42" t="n">
        <x:f>IF(C27="","",IFERROR(IF(INDEX('Inventory'!$AA$9:$AA$108,MATCH(F27,'Inventory'!$C$9:$C$108,0))="","",INDEX('Inventory'!$AA$9:$AA$108,MATCH(F27,'Inventory'!$C$9:$C$108,0))),""))</x:f>
        <x:v>2</x:v>
      </x:c>
      <x:c r="Q27" s="42" t="n">
        <x:f>IF(C27="","",IFERROR(IF(INDEX('Inventory'!$AH$9:$AH$108,MATCH(F27,'Inventory'!$C$9:$C$108,0))="","",INDEX('Inventory'!$AH$9:$AH$108,MATCH(F27,'Inventory'!$C$9:$C$108,0))),""))</x:f>
        <x:v>2</x:v>
      </x:c>
      <x:c r="R27" s="9" t="str">
        <x:f>IF(C27="","",IF(COUNTIFS('Facilities'!$C$9:$C$108,C27)&lt;&gt;1,"Duplicate facility ID",IF(OR(NOT(ISNUMBER(IFERROR(IF(INDEX('Facilities'!$G$9:$G$108,MATCH(C27,'Facilities'!$C$9:$C$108,0))="","",INDEX('Facilities'!$G$9:$G$108,MATCH(C27,'Facilities'!$C$9:$C$108,0))),""))),NOT(ISNUMBER(G27)),G27&lt;0,IFERROR(IF(INDEX('Facilities'!$Z$9:$Z$108,MATCH(C27,'Facilities'!$C$9:$C$108,0))="","",INDEX('Facilities'!$Z$9:$Z$108,MATCH(C27,'Facilities'!$C$9:$C$108,0))),"")&lt;=0),"Drawn value required",IF(COUNTIFS('Inventory'!$C$9:$C$108,F27)&lt;&gt;1,"Entity required",IF(OR(E27&lt;&gt;IFERROR(IF(INDEX('Inventory'!$F$9:$F$108,MATCH(F27,'Inventory'!$C$9:$C$108,0))="","",INDEX('Inventory'!$F$9:$F$108,MATCH(F27,'Inventory'!$C$9:$C$108,0))),""),D27&lt;&gt;IFERROR(IF(INDEX('Inventory'!$D$9:$D$108,MATCH(F27,'Inventory'!$C$9:$C$108,0))="","",INDEX('Inventory'!$D$9:$D$108,MATCH(F27,'Inventory'!$C$9:$C$108,0))),"")),"Entity / class mismatch",IF(IFERROR(IF(INDEX('Inventory'!$AL$9:$AL$108,MATCH(F27,'Inventory'!$C$9:$C$108,0))="","",INDEX('Inventory'!$AL$9:$AL$108,MATCH(F27,'Inventory'!$C$9:$C$108,0))),"")&lt;&gt;"Ready",IFERROR(IF(INDEX('Inventory'!$AL$9:$AL$108,MATCH(F27,'Inventory'!$C$9:$C$108,0))="","",INDEX('Inventory'!$AL$9:$AL$108,MATCH(F27,'Inventory'!$C$9:$C$108,0))),""),IF(AND(OR(E27="Project finance",E27="CRE",E27="Mortgage",E27="Motor"),IFERROR(IF(INDEX('Facilities'!$V$9:$V$108,MATCH(C27,'Facilities'!$C$9:$C$108,0))="","",INDEX('Facilities'!$V$9:$V$108,MATCH(C27,'Facilities'!$C$9:$C$108,0))),"")&lt;&gt;"Designated asset"),"Purpose review",IF(X27&gt;H27,"Exposure exceeds value","Ready"))))))))</x:f>
        <x:v>Ready</x:v>
      </x:c>
      <x:c r="S27" s="9" t="str">
        <x:f>IF(C27="","",IFERROR(IF(INDEX('Inventory'!$V$9:$V$108,MATCH(F27,'Inventory'!$C$9:$C$108,0))="","",INDEX('Inventory'!$V$9:$V$108,MATCH(F27,'Inventory'!$C$9:$C$108,0))),""))</x:f>
        <x:v>Ready</x:v>
      </x:c>
      <x:c r="T27" s="9" t="str">
        <x:f>IF(C27="","",IFERROR(IF(INDEX('Inventory'!$AB$9:$AB$108,MATCH(F27,'Inventory'!$C$9:$C$108,0))="","",INDEX('Inventory'!$AB$9:$AB$108,MATCH(F27,'Inventory'!$C$9:$C$108,0))),""))</x:f>
        <x:v>Ready</x:v>
      </x:c>
      <x:c r="U27" s="9" t="str">
        <x:f>IF(C27="","",IFERROR(IF(INDEX('Inventory'!$AI$9:$AI$108,MATCH(F27,'Inventory'!$C$9:$C$108,0))="","",INDEX('Inventory'!$AI$9:$AI$108,MATCH(F27,'Inventory'!$C$9:$C$108,0))),""))</x:f>
        <x:v>Ready</x:v>
      </x:c>
      <x:c r="V27" s="43" t="n">
        <x:f>IF(C27="","",IFERROR(IF(INDEX('Inventory'!$P$9:$P$108,MATCH(F27,'Inventory'!$C$9:$C$108,0))="","",INDEX('Inventory'!$P$9:$P$108,MATCH(F27,'Inventory'!$C$9:$C$108,0))),""))</x:f>
        <x:v>46752</x:v>
      </x:c>
      <x:c r="W27" s="3" t="str">
        <x:f>IF(C27="","",IF(E27="Corporate listed","PCAF 2025 pp40-46",IF(E27="Corporate private","PCAF 2025 pp55-60",IF(E27="Project finance","PCAF 2025 pp67-71",IF(E27="CRE","PCAF 2025 pp77-81",IF(E27="Mortgage","PCAF 2025 pp83-87",IF(E27="Motor","PCAF 2025 pp90-94","Method required")))))))</x:f>
        <x:v>PCAF 2025 pp55-60</x:v>
      </x:c>
      <x:c r="X27" s="23" t="n">
        <x:f>IF(C27="","",SUMIFS('Facilities'!$AA$9:$AA$108,'Facilities'!$U$9:$U$108,F27))</x:f>
        <x:v>13.8</x:v>
      </x:c>
      <x:c r="Y27" s="21" t="n">
        <x:f>IF(AND(R27="Ready",S27="Ready"),G27,0)</x:f>
        <x:v>8.15</x:v>
      </x:c>
      <x:c r="Z27" s="21" t="n">
        <x:f>IF(AND(R27="Ready",T27="Ready"),G27,0)</x:f>
        <x:v>8.15</x:v>
      </x:c>
      <x:c r="AA27" s="21" t="n">
        <x:f>IF(Y27&gt;0,Y27*O27,0)</x:f>
        <x:v>16.3</x:v>
      </x:c>
      <x:c r="AB27" s="21" t="n">
        <x:f>IF(Z27&gt;0,Z27*P27,0)</x:f>
        <x:v>16.3</x:v>
      </x:c>
      <x:c r="AC27" s="21" t="n">
        <x:f>IF(N27&gt;0,N27*Q27,0)</x:f>
        <x:v>16.3</x:v>
      </x:c>
      <x:c r="AD27" s="21" t="n">
        <x:f>IF(M27&gt;0,M27*MAX(O27,P27),0)</x:f>
        <x:v>16.3</x:v>
      </x:c>
      <x:c r="AE27" s="9" t="str">
        <x:f>IF(C27="","",IFERROR(IF(INDEX('Inventory'!$AC$9:$AC$108,MATCH(F27,'Inventory'!$C$9:$C$108,0))="","",INDEX('Inventory'!$AC$9:$AC$108,MATCH(F27,'Inventory'!$C$9:$C$108,0))),""))</x:f>
        <x:v>Location-based</x:v>
      </x:c>
      <x:c r="AF27" s="9" t="str">
        <x:f>IF(C27="","",IFERROR(IF(INDEX('Inventory'!$AN$9:$AN$108,MATCH(F27,'Inventory'!$C$9:$C$108,0))="","",INDEX('Inventory'!$AN$9:$AN$108,MATCH(F27,'Inventory'!$C$9:$C$108,0))),""))</x:f>
        <x:v>Single boundary</x:v>
      </x:c>
    </x:row>
    <x:row r="28" ht="26" customHeight="1">
      <x:c r="A28" s="1"/>
      <x:c r="B28" s="1"/>
      <x:c r="C28" s="9" t="str">
        <x:f>IF('Facilities'!C28="","",'Facilities'!C28)</x:f>
        <x:v>F020</x:v>
      </x:c>
      <x:c r="D28" s="9" t="str">
        <x:f>IF(C28="","",IFERROR(IF(INDEX('Facilities'!$D$9:$D$108,MATCH(C28,'Facilities'!$C$9:$C$108,0))="","",INDEX('Facilities'!$D$9:$D$108,MATCH(C28,'Facilities'!$C$9:$C$108,0))),""))</x:f>
        <x:v>B010</x:v>
      </x:c>
      <x:c r="E28" s="9" t="str">
        <x:f>IF(C28="","",IFERROR(IF(INDEX('Facilities'!$E$9:$E$108,MATCH(C28,'Facilities'!$C$9:$C$108,0))="","",INDEX('Facilities'!$E$9:$E$108,MATCH(C28,'Facilities'!$C$9:$C$108,0))),""))</x:f>
        <x:v>Corporate private</x:v>
      </x:c>
      <x:c r="F28" s="9" t="str">
        <x:f>IF(C28="","",IFERROR(IF(INDEX('Facilities'!$U$9:$U$108,MATCH(C28,'Facilities'!$C$9:$C$108,0))="","",INDEX('Facilities'!$U$9:$U$108,MATCH(C28,'Facilities'!$C$9:$C$108,0))),""))</x:f>
        <x:v>B010</x:v>
      </x:c>
      <x:c r="G28" s="23" t="n">
        <x:f>IF(C28="","",IFERROR(IF(INDEX('Facilities'!$AA$9:$AA$108,MATCH(C28,'Facilities'!$C$9:$C$108,0))="","",INDEX('Facilities'!$AA$9:$AA$108,MATCH(C28,'Facilities'!$C$9:$C$108,0))),""))</x:f>
        <x:v>5.65</x:v>
      </x:c>
      <x:c r="H28" s="23" t="n">
        <x:f>IF(C28="","",IFERROR(IF(INDEX('Inventory'!$N$9:$N$108,MATCH(F28,'Inventory'!$C$9:$C$108,0))="","",INDEX('Inventory'!$N$9:$N$108,MATCH(F28,'Inventory'!$C$9:$C$108,0))),""))</x:f>
        <x:v>110</x:v>
      </x:c>
      <x:c r="I28" s="17" t="n">
        <x:f>IF(R28="Ready",G28/H28,"")</x:f>
        <x:v>0.05136363636363637</x:v>
      </x:c>
      <x:c r="J28" s="23" t="n">
        <x:f>IF(AND(R28="Ready",S28="Ready"),I28*IFERROR(IF(INDEX('Inventory'!$T$9:$T$108,MATCH(F28,'Inventory'!$C$9:$C$108,0))="","",INDEX('Inventory'!$T$9:$T$108,MATCH(F28,'Inventory'!$C$9:$C$108,0))),""),"")</x:f>
        <x:v>168.4727272727273</x:v>
      </x:c>
      <x:c r="K28" s="23" t="n">
        <x:f>IF(AND(R28="Ready",T28="Ready"),I28*IFERROR(IF(INDEX('Inventory'!$Z$9:$Z$108,MATCH(F28,'Inventory'!$C$9:$C$108,0))="","",INDEX('Inventory'!$Z$9:$Z$108,MATCH(F28,'Inventory'!$C$9:$C$108,0))),""),"")</x:f>
        <x:v>159.22727272727275</x:v>
      </x:c>
      <x:c r="L28" s="23" t="n">
        <x:f>IF(AND(R28="Ready",U28="Ready"),I28*IFERROR(IF(INDEX('Inventory'!$AG$9:$AG$108,MATCH(F28,'Inventory'!$C$9:$C$108,0))="","",INDEX('Inventory'!$AG$9:$AG$108,MATCH(F28,'Inventory'!$C$9:$C$108,0))),""),"")</x:f>
        <x:v>883.4545454545455</x:v>
      </x:c>
      <x:c r="M28" s="21" t="n">
        <x:f>IF(AND(R28="Ready",S28="Ready",T28="Ready"),G28,0)</x:f>
        <x:v>5.65</x:v>
      </x:c>
      <x:c r="N28" s="21" t="n">
        <x:f>IF(AND(R28="Ready",U28="Ready"),G28,0)</x:f>
        <x:v>5.65</x:v>
      </x:c>
      <x:c r="O28" s="42" t="n">
        <x:f>IF(C28="","",IFERROR(IF(INDEX('Inventory'!$U$9:$U$108,MATCH(F28,'Inventory'!$C$9:$C$108,0))="","",INDEX('Inventory'!$U$9:$U$108,MATCH(F28,'Inventory'!$C$9:$C$108,0))),""))</x:f>
        <x:v>2</x:v>
      </x:c>
      <x:c r="P28" s="42" t="n">
        <x:f>IF(C28="","",IFERROR(IF(INDEX('Inventory'!$AA$9:$AA$108,MATCH(F28,'Inventory'!$C$9:$C$108,0))="","",INDEX('Inventory'!$AA$9:$AA$108,MATCH(F28,'Inventory'!$C$9:$C$108,0))),""))</x:f>
        <x:v>2</x:v>
      </x:c>
      <x:c r="Q28" s="42" t="n">
        <x:f>IF(C28="","",IFERROR(IF(INDEX('Inventory'!$AH$9:$AH$108,MATCH(F28,'Inventory'!$C$9:$C$108,0))="","",INDEX('Inventory'!$AH$9:$AH$108,MATCH(F28,'Inventory'!$C$9:$C$108,0))),""))</x:f>
        <x:v>2</x:v>
      </x:c>
      <x:c r="R28" s="9" t="str">
        <x:f>IF(C28="","",IF(COUNTIFS('Facilities'!$C$9:$C$108,C28)&lt;&gt;1,"Duplicate facility ID",IF(OR(NOT(ISNUMBER(IFERROR(IF(INDEX('Facilities'!$G$9:$G$108,MATCH(C28,'Facilities'!$C$9:$C$108,0))="","",INDEX('Facilities'!$G$9:$G$108,MATCH(C28,'Facilities'!$C$9:$C$108,0))),""))),NOT(ISNUMBER(G28)),G28&lt;0,IFERROR(IF(INDEX('Facilities'!$Z$9:$Z$108,MATCH(C28,'Facilities'!$C$9:$C$108,0))="","",INDEX('Facilities'!$Z$9:$Z$108,MATCH(C28,'Facilities'!$C$9:$C$108,0))),"")&lt;=0),"Drawn value required",IF(COUNTIFS('Inventory'!$C$9:$C$108,F28)&lt;&gt;1,"Entity required",IF(OR(E28&lt;&gt;IFERROR(IF(INDEX('Inventory'!$F$9:$F$108,MATCH(F28,'Inventory'!$C$9:$C$108,0))="","",INDEX('Inventory'!$F$9:$F$108,MATCH(F28,'Inventory'!$C$9:$C$108,0))),""),D28&lt;&gt;IFERROR(IF(INDEX('Inventory'!$D$9:$D$108,MATCH(F28,'Inventory'!$C$9:$C$108,0))="","",INDEX('Inventory'!$D$9:$D$108,MATCH(F28,'Inventory'!$C$9:$C$108,0))),"")),"Entity / class mismatch",IF(IFERROR(IF(INDEX('Inventory'!$AL$9:$AL$108,MATCH(F28,'Inventory'!$C$9:$C$108,0))="","",INDEX('Inventory'!$AL$9:$AL$108,MATCH(F28,'Inventory'!$C$9:$C$108,0))),"")&lt;&gt;"Ready",IFERROR(IF(INDEX('Inventory'!$AL$9:$AL$108,MATCH(F28,'Inventory'!$C$9:$C$108,0))="","",INDEX('Inventory'!$AL$9:$AL$108,MATCH(F28,'Inventory'!$C$9:$C$108,0))),""),IF(AND(OR(E28="Project finance",E28="CRE",E28="Mortgage",E28="Motor"),IFERROR(IF(INDEX('Facilities'!$V$9:$V$108,MATCH(C28,'Facilities'!$C$9:$C$108,0))="","",INDEX('Facilities'!$V$9:$V$108,MATCH(C28,'Facilities'!$C$9:$C$108,0))),"")&lt;&gt;"Designated asset"),"Purpose review",IF(X28&gt;H28,"Exposure exceeds value","Ready"))))))))</x:f>
        <x:v>Ready</x:v>
      </x:c>
      <x:c r="S28" s="9" t="str">
        <x:f>IF(C28="","",IFERROR(IF(INDEX('Inventory'!$V$9:$V$108,MATCH(F28,'Inventory'!$C$9:$C$108,0))="","",INDEX('Inventory'!$V$9:$V$108,MATCH(F28,'Inventory'!$C$9:$C$108,0))),""))</x:f>
        <x:v>Ready</x:v>
      </x:c>
      <x:c r="T28" s="9" t="str">
        <x:f>IF(C28="","",IFERROR(IF(INDEX('Inventory'!$AB$9:$AB$108,MATCH(F28,'Inventory'!$C$9:$C$108,0))="","",INDEX('Inventory'!$AB$9:$AB$108,MATCH(F28,'Inventory'!$C$9:$C$108,0))),""))</x:f>
        <x:v>Ready</x:v>
      </x:c>
      <x:c r="U28" s="9" t="str">
        <x:f>IF(C28="","",IFERROR(IF(INDEX('Inventory'!$AI$9:$AI$108,MATCH(F28,'Inventory'!$C$9:$C$108,0))="","",INDEX('Inventory'!$AI$9:$AI$108,MATCH(F28,'Inventory'!$C$9:$C$108,0))),""))</x:f>
        <x:v>Ready</x:v>
      </x:c>
      <x:c r="V28" s="43" t="n">
        <x:f>IF(C28="","",IFERROR(IF(INDEX('Inventory'!$P$9:$P$108,MATCH(F28,'Inventory'!$C$9:$C$108,0))="","",INDEX('Inventory'!$P$9:$P$108,MATCH(F28,'Inventory'!$C$9:$C$108,0))),""))</x:f>
        <x:v>46752</x:v>
      </x:c>
      <x:c r="W28" s="3" t="str">
        <x:f>IF(C28="","",IF(E28="Corporate listed","PCAF 2025 pp40-46",IF(E28="Corporate private","PCAF 2025 pp55-60",IF(E28="Project finance","PCAF 2025 pp67-71",IF(E28="CRE","PCAF 2025 pp77-81",IF(E28="Mortgage","PCAF 2025 pp83-87",IF(E28="Motor","PCAF 2025 pp90-94","Method required")))))))</x:f>
        <x:v>PCAF 2025 pp55-60</x:v>
      </x:c>
      <x:c r="X28" s="23" t="n">
        <x:f>IF(C28="","",SUMIFS('Facilities'!$AA$9:$AA$108,'Facilities'!$U$9:$U$108,F28))</x:f>
        <x:v>13.8</x:v>
      </x:c>
      <x:c r="Y28" s="21" t="n">
        <x:f>IF(AND(R28="Ready",S28="Ready"),G28,0)</x:f>
        <x:v>5.65</x:v>
      </x:c>
      <x:c r="Z28" s="21" t="n">
        <x:f>IF(AND(R28="Ready",T28="Ready"),G28,0)</x:f>
        <x:v>5.65</x:v>
      </x:c>
      <x:c r="AA28" s="21" t="n">
        <x:f>IF(Y28&gt;0,Y28*O28,0)</x:f>
        <x:v>11.3</x:v>
      </x:c>
      <x:c r="AB28" s="21" t="n">
        <x:f>IF(Z28&gt;0,Z28*P28,0)</x:f>
        <x:v>11.3</x:v>
      </x:c>
      <x:c r="AC28" s="21" t="n">
        <x:f>IF(N28&gt;0,N28*Q28,0)</x:f>
        <x:v>11.3</x:v>
      </x:c>
      <x:c r="AD28" s="21" t="n">
        <x:f>IF(M28&gt;0,M28*MAX(O28,P28),0)</x:f>
        <x:v>11.3</x:v>
      </x:c>
      <x:c r="AE28" s="9" t="str">
        <x:f>IF(C28="","",IFERROR(IF(INDEX('Inventory'!$AC$9:$AC$108,MATCH(F28,'Inventory'!$C$9:$C$108,0))="","",INDEX('Inventory'!$AC$9:$AC$108,MATCH(F28,'Inventory'!$C$9:$C$108,0))),""))</x:f>
        <x:v>Location-based</x:v>
      </x:c>
      <x:c r="AF28" s="9" t="str">
        <x:f>IF(C28="","",IFERROR(IF(INDEX('Inventory'!$AN$9:$AN$108,MATCH(F28,'Inventory'!$C$9:$C$108,0))="","",INDEX('Inventory'!$AN$9:$AN$108,MATCH(F28,'Inventory'!$C$9:$C$108,0))),""))</x:f>
        <x:v>Single boundary</x:v>
      </x:c>
    </x:row>
    <x:row r="29" ht="26" customHeight="1">
      <x:c r="A29" s="1"/>
      <x:c r="B29" s="1"/>
      <x:c r="C29" s="9" t="str">
        <x:f>IF('Facilities'!C29="","",'Facilities'!C29)</x:f>
        <x:v>F021</x:v>
      </x:c>
      <x:c r="D29" s="9" t="str">
        <x:f>IF(C29="","",IFERROR(IF(INDEX('Facilities'!$D$9:$D$108,MATCH(C29,'Facilities'!$C$9:$C$108,0))="","",INDEX('Facilities'!$D$9:$D$108,MATCH(C29,'Facilities'!$C$9:$C$108,0))),""))</x:f>
        <x:v>B011</x:v>
      </x:c>
      <x:c r="E29" s="9" t="str">
        <x:f>IF(C29="","",IFERROR(IF(INDEX('Facilities'!$E$9:$E$108,MATCH(C29,'Facilities'!$C$9:$C$108,0))="","",INDEX('Facilities'!$E$9:$E$108,MATCH(C29,'Facilities'!$C$9:$C$108,0))),""))</x:f>
        <x:v>Corporate listed</x:v>
      </x:c>
      <x:c r="F29" s="9" t="str">
        <x:f>IF(C29="","",IFERROR(IF(INDEX('Facilities'!$U$9:$U$108,MATCH(C29,'Facilities'!$C$9:$C$108,0))="","",INDEX('Facilities'!$U$9:$U$108,MATCH(C29,'Facilities'!$C$9:$C$108,0))),""))</x:f>
        <x:v>B011</x:v>
      </x:c>
      <x:c r="G29" s="23" t="n">
        <x:f>IF(C29="","",IFERROR(IF(INDEX('Facilities'!$AA$9:$AA$108,MATCH(C29,'Facilities'!$C$9:$C$108,0))="","",INDEX('Facilities'!$AA$9:$AA$108,MATCH(C29,'Facilities'!$C$9:$C$108,0))),""))</x:f>
        <x:v>8.5</x:v>
      </x:c>
      <x:c r="H29" s="23" t="n">
        <x:f>IF(C29="","",IFERROR(IF(INDEX('Inventory'!$N$9:$N$108,MATCH(F29,'Inventory'!$C$9:$C$108,0))="","",INDEX('Inventory'!$N$9:$N$108,MATCH(F29,'Inventory'!$C$9:$C$108,0))),""))</x:f>
        <x:v>170</x:v>
      </x:c>
      <x:c r="I29" s="17" t="n">
        <x:f>IF(R29="Ready",G29/H29,"")</x:f>
        <x:v>0.05</x:v>
      </x:c>
      <x:c r="J29" s="23" t="n">
        <x:f>IF(AND(R29="Ready",S29="Ready"),I29*IFERROR(IF(INDEX('Inventory'!$T$9:$T$108,MATCH(F29,'Inventory'!$C$9:$C$108,0))="","",INDEX('Inventory'!$T$9:$T$108,MATCH(F29,'Inventory'!$C$9:$C$108,0))),""),"")</x:f>
        <x:v>172.5</x:v>
      </x:c>
      <x:c r="K29" s="23" t="n">
        <x:f>IF(AND(R29="Ready",T29="Ready"),I29*IFERROR(IF(INDEX('Inventory'!$Z$9:$Z$108,MATCH(F29,'Inventory'!$C$9:$C$108,0))="","",INDEX('Inventory'!$Z$9:$Z$108,MATCH(F29,'Inventory'!$C$9:$C$108,0))),""),"")</x:f>
        <x:v>160</x:v>
      </x:c>
      <x:c r="L29" s="23" t="n">
        <x:f>IF(AND(R29="Ready",U29="Ready"),I29*IFERROR(IF(INDEX('Inventory'!$AG$9:$AG$108,MATCH(F29,'Inventory'!$C$9:$C$108,0))="","",INDEX('Inventory'!$AG$9:$AG$108,MATCH(F29,'Inventory'!$C$9:$C$108,0))),""),"")</x:f>
        <x:v>900</x:v>
      </x:c>
      <x:c r="M29" s="21" t="n">
        <x:f>IF(AND(R29="Ready",S29="Ready",T29="Ready"),G29,0)</x:f>
        <x:v>8.5</x:v>
      </x:c>
      <x:c r="N29" s="21" t="n">
        <x:f>IF(AND(R29="Ready",U29="Ready"),G29,0)</x:f>
        <x:v>8.5</x:v>
      </x:c>
      <x:c r="O29" s="42" t="n">
        <x:f>IF(C29="","",IFERROR(IF(INDEX('Inventory'!$U$9:$U$108,MATCH(F29,'Inventory'!$C$9:$C$108,0))="","",INDEX('Inventory'!$U$9:$U$108,MATCH(F29,'Inventory'!$C$9:$C$108,0))),""))</x:f>
        <x:v>1</x:v>
      </x:c>
      <x:c r="P29" s="42" t="n">
        <x:f>IF(C29="","",IFERROR(IF(INDEX('Inventory'!$AA$9:$AA$108,MATCH(F29,'Inventory'!$C$9:$C$108,0))="","",INDEX('Inventory'!$AA$9:$AA$108,MATCH(F29,'Inventory'!$C$9:$C$108,0))),""))</x:f>
        <x:v>1</x:v>
      </x:c>
      <x:c r="Q29" s="42" t="n">
        <x:f>IF(C29="","",IFERROR(IF(INDEX('Inventory'!$AH$9:$AH$108,MATCH(F29,'Inventory'!$C$9:$C$108,0))="","",INDEX('Inventory'!$AH$9:$AH$108,MATCH(F29,'Inventory'!$C$9:$C$108,0))),""))</x:f>
        <x:v>2</x:v>
      </x:c>
      <x:c r="R29" s="9" t="str">
        <x:f>IF(C29="","",IF(COUNTIFS('Facilities'!$C$9:$C$108,C29)&lt;&gt;1,"Duplicate facility ID",IF(OR(NOT(ISNUMBER(IFERROR(IF(INDEX('Facilities'!$G$9:$G$108,MATCH(C29,'Facilities'!$C$9:$C$108,0))="","",INDEX('Facilities'!$G$9:$G$108,MATCH(C29,'Facilities'!$C$9:$C$108,0))),""))),NOT(ISNUMBER(G29)),G29&lt;0,IFERROR(IF(INDEX('Facilities'!$Z$9:$Z$108,MATCH(C29,'Facilities'!$C$9:$C$108,0))="","",INDEX('Facilities'!$Z$9:$Z$108,MATCH(C29,'Facilities'!$C$9:$C$108,0))),"")&lt;=0),"Drawn value required",IF(COUNTIFS('Inventory'!$C$9:$C$108,F29)&lt;&gt;1,"Entity required",IF(OR(E29&lt;&gt;IFERROR(IF(INDEX('Inventory'!$F$9:$F$108,MATCH(F29,'Inventory'!$C$9:$C$108,0))="","",INDEX('Inventory'!$F$9:$F$108,MATCH(F29,'Inventory'!$C$9:$C$108,0))),""),D29&lt;&gt;IFERROR(IF(INDEX('Inventory'!$D$9:$D$108,MATCH(F29,'Inventory'!$C$9:$C$108,0))="","",INDEX('Inventory'!$D$9:$D$108,MATCH(F29,'Inventory'!$C$9:$C$108,0))),"")),"Entity / class mismatch",IF(IFERROR(IF(INDEX('Inventory'!$AL$9:$AL$108,MATCH(F29,'Inventory'!$C$9:$C$108,0))="","",INDEX('Inventory'!$AL$9:$AL$108,MATCH(F29,'Inventory'!$C$9:$C$108,0))),"")&lt;&gt;"Ready",IFERROR(IF(INDEX('Inventory'!$AL$9:$AL$108,MATCH(F29,'Inventory'!$C$9:$C$108,0))="","",INDEX('Inventory'!$AL$9:$AL$108,MATCH(F29,'Inventory'!$C$9:$C$108,0))),""),IF(AND(OR(E29="Project finance",E29="CRE",E29="Mortgage",E29="Motor"),IFERROR(IF(INDEX('Facilities'!$V$9:$V$108,MATCH(C29,'Facilities'!$C$9:$C$108,0))="","",INDEX('Facilities'!$V$9:$V$108,MATCH(C29,'Facilities'!$C$9:$C$108,0))),"")&lt;&gt;"Designated asset"),"Purpose review",IF(X29&gt;H29,"Exposure exceeds value","Ready"))))))))</x:f>
        <x:v>Ready</x:v>
      </x:c>
      <x:c r="S29" s="9" t="str">
        <x:f>IF(C29="","",IFERROR(IF(INDEX('Inventory'!$V$9:$V$108,MATCH(F29,'Inventory'!$C$9:$C$108,0))="","",INDEX('Inventory'!$V$9:$V$108,MATCH(F29,'Inventory'!$C$9:$C$108,0))),""))</x:f>
        <x:v>Ready</x:v>
      </x:c>
      <x:c r="T29" s="9" t="str">
        <x:f>IF(C29="","",IFERROR(IF(INDEX('Inventory'!$AB$9:$AB$108,MATCH(F29,'Inventory'!$C$9:$C$108,0))="","",INDEX('Inventory'!$AB$9:$AB$108,MATCH(F29,'Inventory'!$C$9:$C$108,0))),""))</x:f>
        <x:v>Ready</x:v>
      </x:c>
      <x:c r="U29" s="9" t="str">
        <x:f>IF(C29="","",IFERROR(IF(INDEX('Inventory'!$AI$9:$AI$108,MATCH(F29,'Inventory'!$C$9:$C$108,0))="","",INDEX('Inventory'!$AI$9:$AI$108,MATCH(F29,'Inventory'!$C$9:$C$108,0))),""))</x:f>
        <x:v>Ready</x:v>
      </x:c>
      <x:c r="V29" s="43" t="n">
        <x:f>IF(C29="","",IFERROR(IF(INDEX('Inventory'!$P$9:$P$108,MATCH(F29,'Inventory'!$C$9:$C$108,0))="","",INDEX('Inventory'!$P$9:$P$108,MATCH(F29,'Inventory'!$C$9:$C$108,0))),""))</x:f>
        <x:v>46752</x:v>
      </x:c>
      <x:c r="W29" s="3" t="str">
        <x:f>IF(C29="","",IF(E29="Corporate listed","PCAF 2025 pp40-46",IF(E29="Corporate private","PCAF 2025 pp55-60",IF(E29="Project finance","PCAF 2025 pp67-71",IF(E29="CRE","PCAF 2025 pp77-81",IF(E29="Mortgage","PCAF 2025 pp83-87",IF(E29="Motor","PCAF 2025 pp90-94","Method required")))))))</x:f>
        <x:v>PCAF 2025 pp40-46</x:v>
      </x:c>
      <x:c r="X29" s="23" t="n">
        <x:f>IF(C29="","",SUMIFS('Facilities'!$AA$9:$AA$108,'Facilities'!$U$9:$U$108,F29))</x:f>
        <x:v>8.5</x:v>
      </x:c>
      <x:c r="Y29" s="21" t="n">
        <x:f>IF(AND(R29="Ready",S29="Ready"),G29,0)</x:f>
        <x:v>8.5</x:v>
      </x:c>
      <x:c r="Z29" s="21" t="n">
        <x:f>IF(AND(R29="Ready",T29="Ready"),G29,0)</x:f>
        <x:v>8.5</x:v>
      </x:c>
      <x:c r="AA29" s="21" t="n">
        <x:f>IF(Y29&gt;0,Y29*O29,0)</x:f>
        <x:v>8.5</x:v>
      </x:c>
      <x:c r="AB29" s="21" t="n">
        <x:f>IF(Z29&gt;0,Z29*P29,0)</x:f>
        <x:v>8.5</x:v>
      </x:c>
      <x:c r="AC29" s="21" t="n">
        <x:f>IF(N29&gt;0,N29*Q29,0)</x:f>
        <x:v>17</x:v>
      </x:c>
      <x:c r="AD29" s="21" t="n">
        <x:f>IF(M29&gt;0,M29*MAX(O29,P29),0)</x:f>
        <x:v>8.5</x:v>
      </x:c>
      <x:c r="AE29" s="9" t="str">
        <x:f>IF(C29="","",IFERROR(IF(INDEX('Inventory'!$AC$9:$AC$108,MATCH(F29,'Inventory'!$C$9:$C$108,0))="","",INDEX('Inventory'!$AC$9:$AC$108,MATCH(F29,'Inventory'!$C$9:$C$108,0))),""))</x:f>
        <x:v>Location-based</x:v>
      </x:c>
      <x:c r="AF29" s="9" t="str">
        <x:f>IF(C29="","",IFERROR(IF(INDEX('Inventory'!$AN$9:$AN$108,MATCH(F29,'Inventory'!$C$9:$C$108,0))="","",INDEX('Inventory'!$AN$9:$AN$108,MATCH(F29,'Inventory'!$C$9:$C$108,0))),""))</x:f>
        <x:v>Review overlap</x:v>
      </x:c>
    </x:row>
    <x:row r="30" ht="26" customHeight="1">
      <x:c r="A30" s="1"/>
      <x:c r="B30" s="1"/>
      <x:c r="C30" s="9" t="str">
        <x:f>IF('Facilities'!C30="","",'Facilities'!C30)</x:f>
        <x:v>F022</x:v>
      </x:c>
      <x:c r="D30" s="9" t="str">
        <x:f>IF(C30="","",IFERROR(IF(INDEX('Facilities'!$D$9:$D$108,MATCH(C30,'Facilities'!$C$9:$C$108,0))="","",INDEX('Facilities'!$D$9:$D$108,MATCH(C30,'Facilities'!$C$9:$C$108,0))),""))</x:f>
        <x:v>B011</x:v>
      </x:c>
      <x:c r="E30" s="9" t="str">
        <x:f>IF(C30="","",IFERROR(IF(INDEX('Facilities'!$E$9:$E$108,MATCH(C30,'Facilities'!$C$9:$C$108,0))="","",INDEX('Facilities'!$E$9:$E$108,MATCH(C30,'Facilities'!$C$9:$C$108,0))),""))</x:f>
        <x:v>CRE</x:v>
      </x:c>
      <x:c r="F30" s="9" t="str">
        <x:f>IF(C30="","",IFERROR(IF(INDEX('Facilities'!$U$9:$U$108,MATCH(C30,'Facilities'!$C$9:$C$108,0))="","",INDEX('Facilities'!$U$9:$U$108,MATCH(C30,'Facilities'!$C$9:$C$108,0))),""))</x:f>
        <x:v>A011</x:v>
      </x:c>
      <x:c r="G30" s="23" t="n">
        <x:f>IF(C30="","",IFERROR(IF(INDEX('Facilities'!$AA$9:$AA$108,MATCH(C30,'Facilities'!$C$9:$C$108,0))="","",INDEX('Facilities'!$AA$9:$AA$108,MATCH(C30,'Facilities'!$C$9:$C$108,0))),""))</x:f>
        <x:v>6</x:v>
      </x:c>
      <x:c r="H30" s="23" t="n">
        <x:f>IF(C30="","",IFERROR(IF(INDEX('Inventory'!$N$9:$N$108,MATCH(F30,'Inventory'!$C$9:$C$108,0))="","",INDEX('Inventory'!$N$9:$N$108,MATCH(F30,'Inventory'!$C$9:$C$108,0))),""))</x:f>
        <x:v>30</x:v>
      </x:c>
      <x:c r="I30" s="17" t="n">
        <x:f>IF(R30="Ready",G30/H30,"")</x:f>
        <x:v>0.2</x:v>
      </x:c>
      <x:c r="J30" s="23" t="n">
        <x:f>IF(AND(R30="Ready",S30="Ready"),I30*IFERROR(IF(INDEX('Inventory'!$T$9:$T$108,MATCH(F30,'Inventory'!$C$9:$C$108,0))="","",INDEX('Inventory'!$T$9:$T$108,MATCH(F30,'Inventory'!$C$9:$C$108,0))),""),"")</x:f>
        <x:v>5.36</x:v>
      </x:c>
      <x:c r="K30" s="23" t="n">
        <x:f>IF(AND(R30="Ready",T30="Ready"),I30*IFERROR(IF(INDEX('Inventory'!$Z$9:$Z$108,MATCH(F30,'Inventory'!$C$9:$C$108,0))="","",INDEX('Inventory'!$Z$9:$Z$108,MATCH(F30,'Inventory'!$C$9:$C$108,0))),""),"")</x:f>
        <x:v>129</x:v>
      </x:c>
      <x:c r="L30" s="23" t="str">
        <x:f>IF(AND(R30="Ready",U30="Ready"),I30*IFERROR(IF(INDEX('Inventory'!$AG$9:$AG$108,MATCH(F30,'Inventory'!$C$9:$C$108,0))="","",INDEX('Inventory'!$AG$9:$AG$108,MATCH(F30,'Inventory'!$C$9:$C$108,0))),""),"")</x:f>
      </x:c>
      <x:c r="M30" s="21" t="n">
        <x:f>IF(AND(R30="Ready",S30="Ready",T30="Ready"),G30,0)</x:f>
        <x:v>6</x:v>
      </x:c>
      <x:c r="N30" s="21" t="n">
        <x:f>IF(AND(R30="Ready",U30="Ready"),G30,0)</x:f>
        <x:v>0</x:v>
      </x:c>
      <x:c r="O30" s="42" t="n">
        <x:f>IF(C30="","",IFERROR(IF(INDEX('Inventory'!$U$9:$U$108,MATCH(F30,'Inventory'!$C$9:$C$108,0))="","",INDEX('Inventory'!$U$9:$U$108,MATCH(F30,'Inventory'!$C$9:$C$108,0))),""))</x:f>
        <x:v>2</x:v>
      </x:c>
      <x:c r="P30" s="42" t="n">
        <x:f>IF(C30="","",IFERROR(IF(INDEX('Inventory'!$AA$9:$AA$108,MATCH(F30,'Inventory'!$C$9:$C$108,0))="","",INDEX('Inventory'!$AA$9:$AA$108,MATCH(F30,'Inventory'!$C$9:$C$108,0))),""))</x:f>
        <x:v>2</x:v>
      </x:c>
      <x:c r="Q30" s="42" t="str">
        <x:f>IF(C30="","",IFERROR(IF(INDEX('Inventory'!$AH$9:$AH$108,MATCH(F30,'Inventory'!$C$9:$C$108,0))="","",INDEX('Inventory'!$AH$9:$AH$108,MATCH(F30,'Inventory'!$C$9:$C$108,0))),""))</x:f>
      </x:c>
      <x:c r="R30" s="9" t="str">
        <x:f>IF(C30="","",IF(COUNTIFS('Facilities'!$C$9:$C$108,C30)&lt;&gt;1,"Duplicate facility ID",IF(OR(NOT(ISNUMBER(IFERROR(IF(INDEX('Facilities'!$G$9:$G$108,MATCH(C30,'Facilities'!$C$9:$C$108,0))="","",INDEX('Facilities'!$G$9:$G$108,MATCH(C30,'Facilities'!$C$9:$C$108,0))),""))),NOT(ISNUMBER(G30)),G30&lt;0,IFERROR(IF(INDEX('Facilities'!$Z$9:$Z$108,MATCH(C30,'Facilities'!$C$9:$C$108,0))="","",INDEX('Facilities'!$Z$9:$Z$108,MATCH(C30,'Facilities'!$C$9:$C$108,0))),"")&lt;=0),"Drawn value required",IF(COUNTIFS('Inventory'!$C$9:$C$108,F30)&lt;&gt;1,"Entity required",IF(OR(E30&lt;&gt;IFERROR(IF(INDEX('Inventory'!$F$9:$F$108,MATCH(F30,'Inventory'!$C$9:$C$108,0))="","",INDEX('Inventory'!$F$9:$F$108,MATCH(F30,'Inventory'!$C$9:$C$108,0))),""),D30&lt;&gt;IFERROR(IF(INDEX('Inventory'!$D$9:$D$108,MATCH(F30,'Inventory'!$C$9:$C$108,0))="","",INDEX('Inventory'!$D$9:$D$108,MATCH(F30,'Inventory'!$C$9:$C$108,0))),"")),"Entity / class mismatch",IF(IFERROR(IF(INDEX('Inventory'!$AL$9:$AL$108,MATCH(F30,'Inventory'!$C$9:$C$108,0))="","",INDEX('Inventory'!$AL$9:$AL$108,MATCH(F30,'Inventory'!$C$9:$C$108,0))),"")&lt;&gt;"Ready",IFERROR(IF(INDEX('Inventory'!$AL$9:$AL$108,MATCH(F30,'Inventory'!$C$9:$C$108,0))="","",INDEX('Inventory'!$AL$9:$AL$108,MATCH(F30,'Inventory'!$C$9:$C$108,0))),""),IF(AND(OR(E30="Project finance",E30="CRE",E30="Mortgage",E30="Motor"),IFERROR(IF(INDEX('Facilities'!$V$9:$V$108,MATCH(C30,'Facilities'!$C$9:$C$108,0))="","",INDEX('Facilities'!$V$9:$V$108,MATCH(C30,'Facilities'!$C$9:$C$108,0))),"")&lt;&gt;"Designated asset"),"Purpose review",IF(X30&gt;H30,"Exposure exceeds value","Ready"))))))))</x:f>
        <x:v>Ready</x:v>
      </x:c>
      <x:c r="S30" s="9" t="str">
        <x:f>IF(C30="","",IFERROR(IF(INDEX('Inventory'!$V$9:$V$108,MATCH(F30,'Inventory'!$C$9:$C$108,0))="","",INDEX('Inventory'!$V$9:$V$108,MATCH(F30,'Inventory'!$C$9:$C$108,0))),""))</x:f>
        <x:v>Ready</x:v>
      </x:c>
      <x:c r="T30" s="9" t="str">
        <x:f>IF(C30="","",IFERROR(IF(INDEX('Inventory'!$AB$9:$AB$108,MATCH(F30,'Inventory'!$C$9:$C$108,0))="","",INDEX('Inventory'!$AB$9:$AB$108,MATCH(F30,'Inventory'!$C$9:$C$108,0))),""))</x:f>
        <x:v>Ready</x:v>
      </x:c>
      <x:c r="U30" s="9" t="str">
        <x:f>IF(C30="","",IFERROR(IF(INDEX('Inventory'!$AI$9:$AI$108,MATCH(F30,'Inventory'!$C$9:$C$108,0))="","",INDEX('Inventory'!$AI$9:$AI$108,MATCH(F30,'Inventory'!$C$9:$C$108,0))),""))</x:f>
        <x:v>Not assessed</x:v>
      </x:c>
      <x:c r="V30" s="43" t="n">
        <x:f>IF(C30="","",IFERROR(IF(INDEX('Inventory'!$P$9:$P$108,MATCH(F30,'Inventory'!$C$9:$C$108,0))="","",INDEX('Inventory'!$P$9:$P$108,MATCH(F30,'Inventory'!$C$9:$C$108,0))),""))</x:f>
        <x:v>46752</x:v>
      </x:c>
      <x:c r="W30" s="3" t="str">
        <x:f>IF(C30="","",IF(E30="Corporate listed","PCAF 2025 pp40-46",IF(E30="Corporate private","PCAF 2025 pp55-60",IF(E30="Project finance","PCAF 2025 pp67-71",IF(E30="CRE","PCAF 2025 pp77-81",IF(E30="Mortgage","PCAF 2025 pp83-87",IF(E30="Motor","PCAF 2025 pp90-94","Method required")))))))</x:f>
        <x:v>PCAF 2025 pp77-81</x:v>
      </x:c>
      <x:c r="X30" s="23" t="n">
        <x:f>IF(C30="","",SUMIFS('Facilities'!$AA$9:$AA$108,'Facilities'!$U$9:$U$108,F30))</x:f>
        <x:v>6</x:v>
      </x:c>
      <x:c r="Y30" s="21" t="n">
        <x:f>IF(AND(R30="Ready",S30="Ready"),G30,0)</x:f>
        <x:v>6</x:v>
      </x:c>
      <x:c r="Z30" s="21" t="n">
        <x:f>IF(AND(R30="Ready",T30="Ready"),G30,0)</x:f>
        <x:v>6</x:v>
      </x:c>
      <x:c r="AA30" s="21" t="n">
        <x:f>IF(Y30&gt;0,Y30*O30,0)</x:f>
        <x:v>12</x:v>
      </x:c>
      <x:c r="AB30" s="21" t="n">
        <x:f>IF(Z30&gt;0,Z30*P30,0)</x:f>
        <x:v>12</x:v>
      </x:c>
      <x:c r="AC30" s="21" t="n">
        <x:f>IF(N30&gt;0,N30*Q30,0)</x:f>
        <x:v>0</x:v>
      </x:c>
      <x:c r="AD30" s="21" t="n">
        <x:f>IF(M30&gt;0,M30*MAX(O30,P30),0)</x:f>
        <x:v>12</x:v>
      </x:c>
      <x:c r="AE30" s="9" t="str">
        <x:f>IF(C30="","",IFERROR(IF(INDEX('Inventory'!$AC$9:$AC$108,MATCH(F30,'Inventory'!$C$9:$C$108,0))="","",INDEX('Inventory'!$AC$9:$AC$108,MATCH(F30,'Inventory'!$C$9:$C$108,0))),""))</x:f>
        <x:v>Location-based</x:v>
      </x:c>
      <x:c r="AF30" s="9" t="str">
        <x:f>IF(C30="","",IFERROR(IF(INDEX('Inventory'!$AN$9:$AN$108,MATCH(F30,'Inventory'!$C$9:$C$108,0))="","",INDEX('Inventory'!$AN$9:$AN$108,MATCH(F30,'Inventory'!$C$9:$C$108,0))),""))</x:f>
        <x:v>Review overlap</x:v>
      </x:c>
    </x:row>
    <x:row r="31" ht="26" customHeight="1">
      <x:c r="A31" s="1"/>
      <x:c r="B31" s="1"/>
      <x:c r="C31" s="9" t="str">
        <x:f>IF('Facilities'!C31="","",'Facilities'!C31)</x:f>
        <x:v>F023</x:v>
      </x:c>
      <x:c r="D31" s="9" t="str">
        <x:f>IF(C31="","",IFERROR(IF(INDEX('Facilities'!$D$9:$D$108,MATCH(C31,'Facilities'!$C$9:$C$108,0))="","",INDEX('Facilities'!$D$9:$D$108,MATCH(C31,'Facilities'!$C$9:$C$108,0))),""))</x:f>
        <x:v>B012</x:v>
      </x:c>
      <x:c r="E31" s="9" t="str">
        <x:f>IF(C31="","",IFERROR(IF(INDEX('Facilities'!$E$9:$E$108,MATCH(C31,'Facilities'!$C$9:$C$108,0))="","",INDEX('Facilities'!$E$9:$E$108,MATCH(C31,'Facilities'!$C$9:$C$108,0))),""))</x:f>
        <x:v>Corporate private</x:v>
      </x:c>
      <x:c r="F31" s="9" t="str">
        <x:f>IF(C31="","",IFERROR(IF(INDEX('Facilities'!$U$9:$U$108,MATCH(C31,'Facilities'!$C$9:$C$108,0))="","",INDEX('Facilities'!$U$9:$U$108,MATCH(C31,'Facilities'!$C$9:$C$108,0))),""))</x:f>
        <x:v>B012</x:v>
      </x:c>
      <x:c r="G31" s="23" t="n">
        <x:f>IF(C31="","",IFERROR(IF(INDEX('Facilities'!$AA$9:$AA$108,MATCH(C31,'Facilities'!$C$9:$C$108,0))="","",INDEX('Facilities'!$AA$9:$AA$108,MATCH(C31,'Facilities'!$C$9:$C$108,0))),""))</x:f>
        <x:v>8.85</x:v>
      </x:c>
      <x:c r="H31" s="23" t="n">
        <x:f>IF(C31="","",IFERROR(IF(INDEX('Inventory'!$N$9:$N$108,MATCH(F31,'Inventory'!$C$9:$C$108,0))="","",INDEX('Inventory'!$N$9:$N$108,MATCH(F31,'Inventory'!$C$9:$C$108,0))),""))</x:f>
        <x:v>120</x:v>
      </x:c>
      <x:c r="I31" s="17" t="n">
        <x:f>IF(R31="Ready",G31/H31,"")</x:f>
        <x:v>0.07375</x:v>
      </x:c>
      <x:c r="J31" s="23" t="n">
        <x:f>IF(AND(R31="Ready",S31="Ready"),I31*IFERROR(IF(INDEX('Inventory'!$T$9:$T$108,MATCH(F31,'Inventory'!$C$9:$C$108,0))="","",INDEX('Inventory'!$T$9:$T$108,MATCH(F31,'Inventory'!$C$9:$C$108,0))),""),"")</x:f>
        <x:v>279.5125</x:v>
      </x:c>
      <x:c r="K31" s="23" t="n">
        <x:f>IF(AND(R31="Ready",T31="Ready"),I31*IFERROR(IF(INDEX('Inventory'!$Z$9:$Z$108,MATCH(F31,'Inventory'!$C$9:$C$108,0))="","",INDEX('Inventory'!$Z$9:$Z$108,MATCH(F31,'Inventory'!$C$9:$C$108,0))),""),"")</x:f>
        <x:v>250.75</x:v>
      </x:c>
      <x:c r="L31" s="23" t="n">
        <x:f>IF(AND(R31="Ready",U31="Ready"),I31*IFERROR(IF(INDEX('Inventory'!$AG$9:$AG$108,MATCH(F31,'Inventory'!$C$9:$C$108,0))="","",INDEX('Inventory'!$AG$9:$AG$108,MATCH(F31,'Inventory'!$C$9:$C$108,0))),""),"")</x:f>
        <x:v>1445.5</x:v>
      </x:c>
      <x:c r="M31" s="21" t="n">
        <x:f>IF(AND(R31="Ready",S31="Ready",T31="Ready"),G31,0)</x:f>
        <x:v>8.85</x:v>
      </x:c>
      <x:c r="N31" s="21" t="n">
        <x:f>IF(AND(R31="Ready",U31="Ready"),G31,0)</x:f>
        <x:v>8.85</x:v>
      </x:c>
      <x:c r="O31" s="42" t="n">
        <x:f>IF(C31="","",IFERROR(IF(INDEX('Inventory'!$U$9:$U$108,MATCH(F31,'Inventory'!$C$9:$C$108,0))="","",INDEX('Inventory'!$U$9:$U$108,MATCH(F31,'Inventory'!$C$9:$C$108,0))),""))</x:f>
        <x:v>2</x:v>
      </x:c>
      <x:c r="P31" s="42" t="n">
        <x:f>IF(C31="","",IFERROR(IF(INDEX('Inventory'!$AA$9:$AA$108,MATCH(F31,'Inventory'!$C$9:$C$108,0))="","",INDEX('Inventory'!$AA$9:$AA$108,MATCH(F31,'Inventory'!$C$9:$C$108,0))),""))</x:f>
        <x:v>2</x:v>
      </x:c>
      <x:c r="Q31" s="42" t="n">
        <x:f>IF(C31="","",IFERROR(IF(INDEX('Inventory'!$AH$9:$AH$108,MATCH(F31,'Inventory'!$C$9:$C$108,0))="","",INDEX('Inventory'!$AH$9:$AH$108,MATCH(F31,'Inventory'!$C$9:$C$108,0))),""))</x:f>
        <x:v>2</x:v>
      </x:c>
      <x:c r="R31" s="9" t="str">
        <x:f>IF(C31="","",IF(COUNTIFS('Facilities'!$C$9:$C$108,C31)&lt;&gt;1,"Duplicate facility ID",IF(OR(NOT(ISNUMBER(IFERROR(IF(INDEX('Facilities'!$G$9:$G$108,MATCH(C31,'Facilities'!$C$9:$C$108,0))="","",INDEX('Facilities'!$G$9:$G$108,MATCH(C31,'Facilities'!$C$9:$C$108,0))),""))),NOT(ISNUMBER(G31)),G31&lt;0,IFERROR(IF(INDEX('Facilities'!$Z$9:$Z$108,MATCH(C31,'Facilities'!$C$9:$C$108,0))="","",INDEX('Facilities'!$Z$9:$Z$108,MATCH(C31,'Facilities'!$C$9:$C$108,0))),"")&lt;=0),"Drawn value required",IF(COUNTIFS('Inventory'!$C$9:$C$108,F31)&lt;&gt;1,"Entity required",IF(OR(E31&lt;&gt;IFERROR(IF(INDEX('Inventory'!$F$9:$F$108,MATCH(F31,'Inventory'!$C$9:$C$108,0))="","",INDEX('Inventory'!$F$9:$F$108,MATCH(F31,'Inventory'!$C$9:$C$108,0))),""),D31&lt;&gt;IFERROR(IF(INDEX('Inventory'!$D$9:$D$108,MATCH(F31,'Inventory'!$C$9:$C$108,0))="","",INDEX('Inventory'!$D$9:$D$108,MATCH(F31,'Inventory'!$C$9:$C$108,0))),"")),"Entity / class mismatch",IF(IFERROR(IF(INDEX('Inventory'!$AL$9:$AL$108,MATCH(F31,'Inventory'!$C$9:$C$108,0))="","",INDEX('Inventory'!$AL$9:$AL$108,MATCH(F31,'Inventory'!$C$9:$C$108,0))),"")&lt;&gt;"Ready",IFERROR(IF(INDEX('Inventory'!$AL$9:$AL$108,MATCH(F31,'Inventory'!$C$9:$C$108,0))="","",INDEX('Inventory'!$AL$9:$AL$108,MATCH(F31,'Inventory'!$C$9:$C$108,0))),""),IF(AND(OR(E31="Project finance",E31="CRE",E31="Mortgage",E31="Motor"),IFERROR(IF(INDEX('Facilities'!$V$9:$V$108,MATCH(C31,'Facilities'!$C$9:$C$108,0))="","",INDEX('Facilities'!$V$9:$V$108,MATCH(C31,'Facilities'!$C$9:$C$108,0))),"")&lt;&gt;"Designated asset"),"Purpose review",IF(X31&gt;H31,"Exposure exceeds value","Ready"))))))))</x:f>
        <x:v>Ready</x:v>
      </x:c>
      <x:c r="S31" s="9" t="str">
        <x:f>IF(C31="","",IFERROR(IF(INDEX('Inventory'!$V$9:$V$108,MATCH(F31,'Inventory'!$C$9:$C$108,0))="","",INDEX('Inventory'!$V$9:$V$108,MATCH(F31,'Inventory'!$C$9:$C$108,0))),""))</x:f>
        <x:v>Ready</x:v>
      </x:c>
      <x:c r="T31" s="9" t="str">
        <x:f>IF(C31="","",IFERROR(IF(INDEX('Inventory'!$AB$9:$AB$108,MATCH(F31,'Inventory'!$C$9:$C$108,0))="","",INDEX('Inventory'!$AB$9:$AB$108,MATCH(F31,'Inventory'!$C$9:$C$108,0))),""))</x:f>
        <x:v>Ready</x:v>
      </x:c>
      <x:c r="U31" s="9" t="str">
        <x:f>IF(C31="","",IFERROR(IF(INDEX('Inventory'!$AI$9:$AI$108,MATCH(F31,'Inventory'!$C$9:$C$108,0))="","",INDEX('Inventory'!$AI$9:$AI$108,MATCH(F31,'Inventory'!$C$9:$C$108,0))),""))</x:f>
        <x:v>Ready</x:v>
      </x:c>
      <x:c r="V31" s="43" t="n">
        <x:f>IF(C31="","",IFERROR(IF(INDEX('Inventory'!$P$9:$P$108,MATCH(F31,'Inventory'!$C$9:$C$108,0))="","",INDEX('Inventory'!$P$9:$P$108,MATCH(F31,'Inventory'!$C$9:$C$108,0))),""))</x:f>
        <x:v>46752</x:v>
      </x:c>
      <x:c r="W31" s="3" t="str">
        <x:f>IF(C31="","",IF(E31="Corporate listed","PCAF 2025 pp40-46",IF(E31="Corporate private","PCAF 2025 pp55-60",IF(E31="Project finance","PCAF 2025 pp67-71",IF(E31="CRE","PCAF 2025 pp77-81",IF(E31="Mortgage","PCAF 2025 pp83-87",IF(E31="Motor","PCAF 2025 pp90-94","Method required")))))))</x:f>
        <x:v>PCAF 2025 pp55-60</x:v>
      </x:c>
      <x:c r="X31" s="23" t="n">
        <x:f>IF(C31="","",SUMIFS('Facilities'!$AA$9:$AA$108,'Facilities'!$U$9:$U$108,F31))</x:f>
        <x:v>15.2</x:v>
      </x:c>
      <x:c r="Y31" s="21" t="n">
        <x:f>IF(AND(R31="Ready",S31="Ready"),G31,0)</x:f>
        <x:v>8.85</x:v>
      </x:c>
      <x:c r="Z31" s="21" t="n">
        <x:f>IF(AND(R31="Ready",T31="Ready"),G31,0)</x:f>
        <x:v>8.85</x:v>
      </x:c>
      <x:c r="AA31" s="21" t="n">
        <x:f>IF(Y31&gt;0,Y31*O31,0)</x:f>
        <x:v>17.7</x:v>
      </x:c>
      <x:c r="AB31" s="21" t="n">
        <x:f>IF(Z31&gt;0,Z31*P31,0)</x:f>
        <x:v>17.7</x:v>
      </x:c>
      <x:c r="AC31" s="21" t="n">
        <x:f>IF(N31&gt;0,N31*Q31,0)</x:f>
        <x:v>17.7</x:v>
      </x:c>
      <x:c r="AD31" s="21" t="n">
        <x:f>IF(M31&gt;0,M31*MAX(O31,P31),0)</x:f>
        <x:v>17.7</x:v>
      </x:c>
      <x:c r="AE31" s="9" t="str">
        <x:f>IF(C31="","",IFERROR(IF(INDEX('Inventory'!$AC$9:$AC$108,MATCH(F31,'Inventory'!$C$9:$C$108,0))="","",INDEX('Inventory'!$AC$9:$AC$108,MATCH(F31,'Inventory'!$C$9:$C$108,0))),""))</x:f>
        <x:v>Location-based</x:v>
      </x:c>
      <x:c r="AF31" s="9" t="str">
        <x:f>IF(C31="","",IFERROR(IF(INDEX('Inventory'!$AN$9:$AN$108,MATCH(F31,'Inventory'!$C$9:$C$108,0))="","",INDEX('Inventory'!$AN$9:$AN$108,MATCH(F31,'Inventory'!$C$9:$C$108,0))),""))</x:f>
        <x:v>Single boundary</x:v>
      </x:c>
    </x:row>
    <x:row r="32" ht="26" customHeight="1">
      <x:c r="A32" s="1"/>
      <x:c r="B32" s="1"/>
      <x:c r="C32" s="9" t="str">
        <x:f>IF('Facilities'!C32="","",'Facilities'!C32)</x:f>
        <x:v>F024</x:v>
      </x:c>
      <x:c r="D32" s="9" t="str">
        <x:f>IF(C32="","",IFERROR(IF(INDEX('Facilities'!$D$9:$D$108,MATCH(C32,'Facilities'!$C$9:$C$108,0))="","",INDEX('Facilities'!$D$9:$D$108,MATCH(C32,'Facilities'!$C$9:$C$108,0))),""))</x:f>
        <x:v>B012</x:v>
      </x:c>
      <x:c r="E32" s="9" t="str">
        <x:f>IF(C32="","",IFERROR(IF(INDEX('Facilities'!$E$9:$E$108,MATCH(C32,'Facilities'!$C$9:$C$108,0))="","",INDEX('Facilities'!$E$9:$E$108,MATCH(C32,'Facilities'!$C$9:$C$108,0))),""))</x:f>
        <x:v>Corporate private</x:v>
      </x:c>
      <x:c r="F32" s="9" t="str">
        <x:f>IF(C32="","",IFERROR(IF(INDEX('Facilities'!$U$9:$U$108,MATCH(C32,'Facilities'!$C$9:$C$108,0))="","",INDEX('Facilities'!$U$9:$U$108,MATCH(C32,'Facilities'!$C$9:$C$108,0))),""))</x:f>
        <x:v>B012</x:v>
      </x:c>
      <x:c r="G32" s="23" t="n">
        <x:f>IF(C32="","",IFERROR(IF(INDEX('Facilities'!$AA$9:$AA$108,MATCH(C32,'Facilities'!$C$9:$C$108,0))="","",INDEX('Facilities'!$AA$9:$AA$108,MATCH(C32,'Facilities'!$C$9:$C$108,0))),""))</x:f>
        <x:v>6.35</x:v>
      </x:c>
      <x:c r="H32" s="23" t="n">
        <x:f>IF(C32="","",IFERROR(IF(INDEX('Inventory'!$N$9:$N$108,MATCH(F32,'Inventory'!$C$9:$C$108,0))="","",INDEX('Inventory'!$N$9:$N$108,MATCH(F32,'Inventory'!$C$9:$C$108,0))),""))</x:f>
        <x:v>120</x:v>
      </x:c>
      <x:c r="I32" s="17" t="n">
        <x:f>IF(R32="Ready",G32/H32,"")</x:f>
        <x:v>0.05291666666666666</x:v>
      </x:c>
      <x:c r="J32" s="23" t="n">
        <x:f>IF(AND(R32="Ready",S32="Ready"),I32*IFERROR(IF(INDEX('Inventory'!$T$9:$T$108,MATCH(F32,'Inventory'!$C$9:$C$108,0))="","",INDEX('Inventory'!$T$9:$T$108,MATCH(F32,'Inventory'!$C$9:$C$108,0))),""),"")</x:f>
        <x:v>200.55416666666665</x:v>
      </x:c>
      <x:c r="K32" s="23" t="n">
        <x:f>IF(AND(R32="Ready",T32="Ready"),I32*IFERROR(IF(INDEX('Inventory'!$Z$9:$Z$108,MATCH(F32,'Inventory'!$C$9:$C$108,0))="","",INDEX('Inventory'!$Z$9:$Z$108,MATCH(F32,'Inventory'!$C$9:$C$108,0))),""),"")</x:f>
        <x:v>179.91666666666666</x:v>
      </x:c>
      <x:c r="L32" s="23" t="n">
        <x:f>IF(AND(R32="Ready",U32="Ready"),I32*IFERROR(IF(INDEX('Inventory'!$AG$9:$AG$108,MATCH(F32,'Inventory'!$C$9:$C$108,0))="","",INDEX('Inventory'!$AG$9:$AG$108,MATCH(F32,'Inventory'!$C$9:$C$108,0))),""),"")</x:f>
        <x:v>1037.1666666666665</x:v>
      </x:c>
      <x:c r="M32" s="21" t="n">
        <x:f>IF(AND(R32="Ready",S32="Ready",T32="Ready"),G32,0)</x:f>
        <x:v>6.35</x:v>
      </x:c>
      <x:c r="N32" s="21" t="n">
        <x:f>IF(AND(R32="Ready",U32="Ready"),G32,0)</x:f>
        <x:v>6.35</x:v>
      </x:c>
      <x:c r="O32" s="42" t="n">
        <x:f>IF(C32="","",IFERROR(IF(INDEX('Inventory'!$U$9:$U$108,MATCH(F32,'Inventory'!$C$9:$C$108,0))="","",INDEX('Inventory'!$U$9:$U$108,MATCH(F32,'Inventory'!$C$9:$C$108,0))),""))</x:f>
        <x:v>2</x:v>
      </x:c>
      <x:c r="P32" s="42" t="n">
        <x:f>IF(C32="","",IFERROR(IF(INDEX('Inventory'!$AA$9:$AA$108,MATCH(F32,'Inventory'!$C$9:$C$108,0))="","",INDEX('Inventory'!$AA$9:$AA$108,MATCH(F32,'Inventory'!$C$9:$C$108,0))),""))</x:f>
        <x:v>2</x:v>
      </x:c>
      <x:c r="Q32" s="42" t="n">
        <x:f>IF(C32="","",IFERROR(IF(INDEX('Inventory'!$AH$9:$AH$108,MATCH(F32,'Inventory'!$C$9:$C$108,0))="","",INDEX('Inventory'!$AH$9:$AH$108,MATCH(F32,'Inventory'!$C$9:$C$108,0))),""))</x:f>
        <x:v>2</x:v>
      </x:c>
      <x:c r="R32" s="9" t="str">
        <x:f>IF(C32="","",IF(COUNTIFS('Facilities'!$C$9:$C$108,C32)&lt;&gt;1,"Duplicate facility ID",IF(OR(NOT(ISNUMBER(IFERROR(IF(INDEX('Facilities'!$G$9:$G$108,MATCH(C32,'Facilities'!$C$9:$C$108,0))="","",INDEX('Facilities'!$G$9:$G$108,MATCH(C32,'Facilities'!$C$9:$C$108,0))),""))),NOT(ISNUMBER(G32)),G32&lt;0,IFERROR(IF(INDEX('Facilities'!$Z$9:$Z$108,MATCH(C32,'Facilities'!$C$9:$C$108,0))="","",INDEX('Facilities'!$Z$9:$Z$108,MATCH(C32,'Facilities'!$C$9:$C$108,0))),"")&lt;=0),"Drawn value required",IF(COUNTIFS('Inventory'!$C$9:$C$108,F32)&lt;&gt;1,"Entity required",IF(OR(E32&lt;&gt;IFERROR(IF(INDEX('Inventory'!$F$9:$F$108,MATCH(F32,'Inventory'!$C$9:$C$108,0))="","",INDEX('Inventory'!$F$9:$F$108,MATCH(F32,'Inventory'!$C$9:$C$108,0))),""),D32&lt;&gt;IFERROR(IF(INDEX('Inventory'!$D$9:$D$108,MATCH(F32,'Inventory'!$C$9:$C$108,0))="","",INDEX('Inventory'!$D$9:$D$108,MATCH(F32,'Inventory'!$C$9:$C$108,0))),"")),"Entity / class mismatch",IF(IFERROR(IF(INDEX('Inventory'!$AL$9:$AL$108,MATCH(F32,'Inventory'!$C$9:$C$108,0))="","",INDEX('Inventory'!$AL$9:$AL$108,MATCH(F32,'Inventory'!$C$9:$C$108,0))),"")&lt;&gt;"Ready",IFERROR(IF(INDEX('Inventory'!$AL$9:$AL$108,MATCH(F32,'Inventory'!$C$9:$C$108,0))="","",INDEX('Inventory'!$AL$9:$AL$108,MATCH(F32,'Inventory'!$C$9:$C$108,0))),""),IF(AND(OR(E32="Project finance",E32="CRE",E32="Mortgage",E32="Motor"),IFERROR(IF(INDEX('Facilities'!$V$9:$V$108,MATCH(C32,'Facilities'!$C$9:$C$108,0))="","",INDEX('Facilities'!$V$9:$V$108,MATCH(C32,'Facilities'!$C$9:$C$108,0))),"")&lt;&gt;"Designated asset"),"Purpose review",IF(X32&gt;H32,"Exposure exceeds value","Ready"))))))))</x:f>
        <x:v>Ready</x:v>
      </x:c>
      <x:c r="S32" s="9" t="str">
        <x:f>IF(C32="","",IFERROR(IF(INDEX('Inventory'!$V$9:$V$108,MATCH(F32,'Inventory'!$C$9:$C$108,0))="","",INDEX('Inventory'!$V$9:$V$108,MATCH(F32,'Inventory'!$C$9:$C$108,0))),""))</x:f>
        <x:v>Ready</x:v>
      </x:c>
      <x:c r="T32" s="9" t="str">
        <x:f>IF(C32="","",IFERROR(IF(INDEX('Inventory'!$AB$9:$AB$108,MATCH(F32,'Inventory'!$C$9:$C$108,0))="","",INDEX('Inventory'!$AB$9:$AB$108,MATCH(F32,'Inventory'!$C$9:$C$108,0))),""))</x:f>
        <x:v>Ready</x:v>
      </x:c>
      <x:c r="U32" s="9" t="str">
        <x:f>IF(C32="","",IFERROR(IF(INDEX('Inventory'!$AI$9:$AI$108,MATCH(F32,'Inventory'!$C$9:$C$108,0))="","",INDEX('Inventory'!$AI$9:$AI$108,MATCH(F32,'Inventory'!$C$9:$C$108,0))),""))</x:f>
        <x:v>Ready</x:v>
      </x:c>
      <x:c r="V32" s="43" t="n">
        <x:f>IF(C32="","",IFERROR(IF(INDEX('Inventory'!$P$9:$P$108,MATCH(F32,'Inventory'!$C$9:$C$108,0))="","",INDEX('Inventory'!$P$9:$P$108,MATCH(F32,'Inventory'!$C$9:$C$108,0))),""))</x:f>
        <x:v>46752</x:v>
      </x:c>
      <x:c r="W32" s="3" t="str">
        <x:f>IF(C32="","",IF(E32="Corporate listed","PCAF 2025 pp40-46",IF(E32="Corporate private","PCAF 2025 pp55-60",IF(E32="Project finance","PCAF 2025 pp67-71",IF(E32="CRE","PCAF 2025 pp77-81",IF(E32="Mortgage","PCAF 2025 pp83-87",IF(E32="Motor","PCAF 2025 pp90-94","Method required")))))))</x:f>
        <x:v>PCAF 2025 pp55-60</x:v>
      </x:c>
      <x:c r="X32" s="23" t="n">
        <x:f>IF(C32="","",SUMIFS('Facilities'!$AA$9:$AA$108,'Facilities'!$U$9:$U$108,F32))</x:f>
        <x:v>15.2</x:v>
      </x:c>
      <x:c r="Y32" s="21" t="n">
        <x:f>IF(AND(R32="Ready",S32="Ready"),G32,0)</x:f>
        <x:v>6.35</x:v>
      </x:c>
      <x:c r="Z32" s="21" t="n">
        <x:f>IF(AND(R32="Ready",T32="Ready"),G32,0)</x:f>
        <x:v>6.35</x:v>
      </x:c>
      <x:c r="AA32" s="21" t="n">
        <x:f>IF(Y32&gt;0,Y32*O32,0)</x:f>
        <x:v>12.7</x:v>
      </x:c>
      <x:c r="AB32" s="21" t="n">
        <x:f>IF(Z32&gt;0,Z32*P32,0)</x:f>
        <x:v>12.7</x:v>
      </x:c>
      <x:c r="AC32" s="21" t="n">
        <x:f>IF(N32&gt;0,N32*Q32,0)</x:f>
        <x:v>12.7</x:v>
      </x:c>
      <x:c r="AD32" s="21" t="n">
        <x:f>IF(M32&gt;0,M32*MAX(O32,P32),0)</x:f>
        <x:v>12.7</x:v>
      </x:c>
      <x:c r="AE32" s="9" t="str">
        <x:f>IF(C32="","",IFERROR(IF(INDEX('Inventory'!$AC$9:$AC$108,MATCH(F32,'Inventory'!$C$9:$C$108,0))="","",INDEX('Inventory'!$AC$9:$AC$108,MATCH(F32,'Inventory'!$C$9:$C$108,0))),""))</x:f>
        <x:v>Location-based</x:v>
      </x:c>
      <x:c r="AF32" s="9" t="str">
        <x:f>IF(C32="","",IFERROR(IF(INDEX('Inventory'!$AN$9:$AN$108,MATCH(F32,'Inventory'!$C$9:$C$108,0))="","",INDEX('Inventory'!$AN$9:$AN$108,MATCH(F32,'Inventory'!$C$9:$C$108,0))),""))</x:f>
        <x:v>Single boundary</x:v>
      </x:c>
    </x:row>
    <x:row r="33" ht="26" customHeight="1">
      <x:c r="A33" s="1"/>
      <x:c r="B33" s="1"/>
      <x:c r="C33" s="9" t="str">
        <x:f>IF('Facilities'!C33="","",'Facilities'!C33)</x:f>
        <x:v>F025</x:v>
      </x:c>
      <x:c r="D33" s="9" t="str">
        <x:f>IF(C33="","",IFERROR(IF(INDEX('Facilities'!$D$9:$D$108,MATCH(C33,'Facilities'!$C$9:$C$108,0))="","",INDEX('Facilities'!$D$9:$D$108,MATCH(C33,'Facilities'!$C$9:$C$108,0))),""))</x:f>
        <x:v>B013</x:v>
      </x:c>
      <x:c r="E33" s="9" t="str">
        <x:f>IF(C33="","",IFERROR(IF(INDEX('Facilities'!$E$9:$E$108,MATCH(C33,'Facilities'!$C$9:$C$108,0))="","",INDEX('Facilities'!$E$9:$E$108,MATCH(C33,'Facilities'!$C$9:$C$108,0))),""))</x:f>
        <x:v>Corporate private</x:v>
      </x:c>
      <x:c r="F33" s="9" t="str">
        <x:f>IF(C33="","",IFERROR(IF(INDEX('Facilities'!$U$9:$U$108,MATCH(C33,'Facilities'!$C$9:$C$108,0))="","",INDEX('Facilities'!$U$9:$U$108,MATCH(C33,'Facilities'!$C$9:$C$108,0))),""))</x:f>
        <x:v>B013</x:v>
      </x:c>
      <x:c r="G33" s="23" t="n">
        <x:f>IF(C33="","",IFERROR(IF(INDEX('Facilities'!$AA$9:$AA$108,MATCH(C33,'Facilities'!$C$9:$C$108,0))="","",INDEX('Facilities'!$AA$9:$AA$108,MATCH(C33,'Facilities'!$C$9:$C$108,0))),""))</x:f>
        <x:v>9.2</x:v>
      </x:c>
      <x:c r="H33" s="23" t="n">
        <x:f>IF(C33="","",IFERROR(IF(INDEX('Inventory'!$N$9:$N$108,MATCH(F33,'Inventory'!$C$9:$C$108,0))="","",INDEX('Inventory'!$N$9:$N$108,MATCH(F33,'Inventory'!$C$9:$C$108,0))),""))</x:f>
        <x:v>125</x:v>
      </x:c>
      <x:c r="I33" s="17" t="n">
        <x:f>IF(R33="Ready",G33/H33,"")</x:f>
        <x:v>0.0736</x:v>
      </x:c>
      <x:c r="J33" s="23" t="n">
        <x:f>IF(AND(R33="Ready",S33="Ready"),I33*IFERROR(IF(INDEX('Inventory'!$T$9:$T$108,MATCH(F33,'Inventory'!$C$9:$C$108,0))="","",INDEX('Inventory'!$T$9:$T$108,MATCH(F33,'Inventory'!$C$9:$C$108,0))),""),"")</x:f>
        <x:v>11555.199999999999</x:v>
      </x:c>
      <x:c r="K33" s="23" t="n">
        <x:f>IF(AND(R33="Ready",T33="Ready"),I33*IFERROR(IF(INDEX('Inventory'!$Z$9:$Z$108,MATCH(F33,'Inventory'!$C$9:$C$108,0))="","",INDEX('Inventory'!$Z$9:$Z$108,MATCH(F33,'Inventory'!$C$9:$C$108,0))),""),"")</x:f>
        <x:v>257.6</x:v>
      </x:c>
      <x:c r="L33" s="23" t="n">
        <x:f>IF(AND(R33="Ready",U33="Ready"),I33*IFERROR(IF(INDEX('Inventory'!$AG$9:$AG$108,MATCH(F33,'Inventory'!$C$9:$C$108,0))="","",INDEX('Inventory'!$AG$9:$AG$108,MATCH(F33,'Inventory'!$C$9:$C$108,0))),""),"")</x:f>
        <x:v>18841.6</x:v>
      </x:c>
      <x:c r="M33" s="21" t="n">
        <x:f>IF(AND(R33="Ready",S33="Ready",T33="Ready"),G33,0)</x:f>
        <x:v>9.2</x:v>
      </x:c>
      <x:c r="N33" s="21" t="n">
        <x:f>IF(AND(R33="Ready",U33="Ready"),G33,0)</x:f>
        <x:v>9.2</x:v>
      </x:c>
      <x:c r="O33" s="42" t="n">
        <x:f>IF(C33="","",IFERROR(IF(INDEX('Inventory'!$U$9:$U$108,MATCH(F33,'Inventory'!$C$9:$C$108,0))="","",INDEX('Inventory'!$U$9:$U$108,MATCH(F33,'Inventory'!$C$9:$C$108,0))),""))</x:f>
        <x:v>1</x:v>
      </x:c>
      <x:c r="P33" s="42" t="n">
        <x:f>IF(C33="","",IFERROR(IF(INDEX('Inventory'!$AA$9:$AA$108,MATCH(F33,'Inventory'!$C$9:$C$108,0))="","",INDEX('Inventory'!$AA$9:$AA$108,MATCH(F33,'Inventory'!$C$9:$C$108,0))),""))</x:f>
        <x:v>1</x:v>
      </x:c>
      <x:c r="Q33" s="42" t="n">
        <x:f>IF(C33="","",IFERROR(IF(INDEX('Inventory'!$AH$9:$AH$108,MATCH(F33,'Inventory'!$C$9:$C$108,0))="","",INDEX('Inventory'!$AH$9:$AH$108,MATCH(F33,'Inventory'!$C$9:$C$108,0))),""))</x:f>
        <x:v>2</x:v>
      </x:c>
      <x:c r="R33" s="9" t="str">
        <x:f>IF(C33="","",IF(COUNTIFS('Facilities'!$C$9:$C$108,C33)&lt;&gt;1,"Duplicate facility ID",IF(OR(NOT(ISNUMBER(IFERROR(IF(INDEX('Facilities'!$G$9:$G$108,MATCH(C33,'Facilities'!$C$9:$C$108,0))="","",INDEX('Facilities'!$G$9:$G$108,MATCH(C33,'Facilities'!$C$9:$C$108,0))),""))),NOT(ISNUMBER(G33)),G33&lt;0,IFERROR(IF(INDEX('Facilities'!$Z$9:$Z$108,MATCH(C33,'Facilities'!$C$9:$C$108,0))="","",INDEX('Facilities'!$Z$9:$Z$108,MATCH(C33,'Facilities'!$C$9:$C$108,0))),"")&lt;=0),"Drawn value required",IF(COUNTIFS('Inventory'!$C$9:$C$108,F33)&lt;&gt;1,"Entity required",IF(OR(E33&lt;&gt;IFERROR(IF(INDEX('Inventory'!$F$9:$F$108,MATCH(F33,'Inventory'!$C$9:$C$108,0))="","",INDEX('Inventory'!$F$9:$F$108,MATCH(F33,'Inventory'!$C$9:$C$108,0))),""),D33&lt;&gt;IFERROR(IF(INDEX('Inventory'!$D$9:$D$108,MATCH(F33,'Inventory'!$C$9:$C$108,0))="","",INDEX('Inventory'!$D$9:$D$108,MATCH(F33,'Inventory'!$C$9:$C$108,0))),"")),"Entity / class mismatch",IF(IFERROR(IF(INDEX('Inventory'!$AL$9:$AL$108,MATCH(F33,'Inventory'!$C$9:$C$108,0))="","",INDEX('Inventory'!$AL$9:$AL$108,MATCH(F33,'Inventory'!$C$9:$C$108,0))),"")&lt;&gt;"Ready",IFERROR(IF(INDEX('Inventory'!$AL$9:$AL$108,MATCH(F33,'Inventory'!$C$9:$C$108,0))="","",INDEX('Inventory'!$AL$9:$AL$108,MATCH(F33,'Inventory'!$C$9:$C$108,0))),""),IF(AND(OR(E33="Project finance",E33="CRE",E33="Mortgage",E33="Motor"),IFERROR(IF(INDEX('Facilities'!$V$9:$V$108,MATCH(C33,'Facilities'!$C$9:$C$108,0))="","",INDEX('Facilities'!$V$9:$V$108,MATCH(C33,'Facilities'!$C$9:$C$108,0))),"")&lt;&gt;"Designated asset"),"Purpose review",IF(X33&gt;H33,"Exposure exceeds value","Ready"))))))))</x:f>
        <x:v>Ready</x:v>
      </x:c>
      <x:c r="S33" s="9" t="str">
        <x:f>IF(C33="","",IFERROR(IF(INDEX('Inventory'!$V$9:$V$108,MATCH(F33,'Inventory'!$C$9:$C$108,0))="","",INDEX('Inventory'!$V$9:$V$108,MATCH(F33,'Inventory'!$C$9:$C$108,0))),""))</x:f>
        <x:v>Ready</x:v>
      </x:c>
      <x:c r="T33" s="9" t="str">
        <x:f>IF(C33="","",IFERROR(IF(INDEX('Inventory'!$AB$9:$AB$108,MATCH(F33,'Inventory'!$C$9:$C$108,0))="","",INDEX('Inventory'!$AB$9:$AB$108,MATCH(F33,'Inventory'!$C$9:$C$108,0))),""))</x:f>
        <x:v>Ready</x:v>
      </x:c>
      <x:c r="U33" s="9" t="str">
        <x:f>IF(C33="","",IFERROR(IF(INDEX('Inventory'!$AI$9:$AI$108,MATCH(F33,'Inventory'!$C$9:$C$108,0))="","",INDEX('Inventory'!$AI$9:$AI$108,MATCH(F33,'Inventory'!$C$9:$C$108,0))),""))</x:f>
        <x:v>Ready</x:v>
      </x:c>
      <x:c r="V33" s="43" t="n">
        <x:f>IF(C33="","",IFERROR(IF(INDEX('Inventory'!$P$9:$P$108,MATCH(F33,'Inventory'!$C$9:$C$108,0))="","",INDEX('Inventory'!$P$9:$P$108,MATCH(F33,'Inventory'!$C$9:$C$108,0))),""))</x:f>
        <x:v>46752</x:v>
      </x:c>
      <x:c r="W33" s="3" t="str">
        <x:f>IF(C33="","",IF(E33="Corporate listed","PCAF 2025 pp40-46",IF(E33="Corporate private","PCAF 2025 pp55-60",IF(E33="Project finance","PCAF 2025 pp67-71",IF(E33="CRE","PCAF 2025 pp77-81",IF(E33="Mortgage","PCAF 2025 pp83-87",IF(E33="Motor","PCAF 2025 pp90-94","Method required")))))))</x:f>
        <x:v>PCAF 2025 pp55-60</x:v>
      </x:c>
      <x:c r="X33" s="23" t="n">
        <x:f>IF(C33="","",SUMIFS('Facilities'!$AA$9:$AA$108,'Facilities'!$U$9:$U$108,F33))</x:f>
        <x:v>9.2</x:v>
      </x:c>
      <x:c r="Y33" s="21" t="n">
        <x:f>IF(AND(R33="Ready",S33="Ready"),G33,0)</x:f>
        <x:v>9.2</x:v>
      </x:c>
      <x:c r="Z33" s="21" t="n">
        <x:f>IF(AND(R33="Ready",T33="Ready"),G33,0)</x:f>
        <x:v>9.2</x:v>
      </x:c>
      <x:c r="AA33" s="21" t="n">
        <x:f>IF(Y33&gt;0,Y33*O33,0)</x:f>
        <x:v>9.2</x:v>
      </x:c>
      <x:c r="AB33" s="21" t="n">
        <x:f>IF(Z33&gt;0,Z33*P33,0)</x:f>
        <x:v>9.2</x:v>
      </x:c>
      <x:c r="AC33" s="21" t="n">
        <x:f>IF(N33&gt;0,N33*Q33,0)</x:f>
        <x:v>18.4</x:v>
      </x:c>
      <x:c r="AD33" s="21" t="n">
        <x:f>IF(M33&gt;0,M33*MAX(O33,P33),0)</x:f>
        <x:v>9.2</x:v>
      </x:c>
      <x:c r="AE33" s="9" t="str">
        <x:f>IF(C33="","",IFERROR(IF(INDEX('Inventory'!$AC$9:$AC$108,MATCH(F33,'Inventory'!$C$9:$C$108,0))="","",INDEX('Inventory'!$AC$9:$AC$108,MATCH(F33,'Inventory'!$C$9:$C$108,0))),""))</x:f>
        <x:v>Location-based</x:v>
      </x:c>
      <x:c r="AF33" s="9" t="str">
        <x:f>IF(C33="","",IFERROR(IF(INDEX('Inventory'!$AN$9:$AN$108,MATCH(F33,'Inventory'!$C$9:$C$108,0))="","",INDEX('Inventory'!$AN$9:$AN$108,MATCH(F33,'Inventory'!$C$9:$C$108,0))),""))</x:f>
        <x:v>Single boundary</x:v>
      </x:c>
    </x:row>
    <x:row r="34" ht="26" customHeight="1">
      <x:c r="A34" s="1"/>
      <x:c r="B34" s="1"/>
      <x:c r="C34" s="9" t="str">
        <x:f>IF('Facilities'!C34="","",'Facilities'!C34)</x:f>
        <x:v>F026</x:v>
      </x:c>
      <x:c r="D34" s="9" t="str">
        <x:f>IF(C34="","",IFERROR(IF(INDEX('Facilities'!$D$9:$D$108,MATCH(C34,'Facilities'!$C$9:$C$108,0))="","",INDEX('Facilities'!$D$9:$D$108,MATCH(C34,'Facilities'!$C$9:$C$108,0))),""))</x:f>
        <x:v>B014</x:v>
      </x:c>
      <x:c r="E34" s="9" t="str">
        <x:f>IF(C34="","",IFERROR(IF(INDEX('Facilities'!$E$9:$E$108,MATCH(C34,'Facilities'!$C$9:$C$108,0))="","",INDEX('Facilities'!$E$9:$E$108,MATCH(C34,'Facilities'!$C$9:$C$108,0))),""))</x:f>
        <x:v>Corporate private</x:v>
      </x:c>
      <x:c r="F34" s="9" t="str">
        <x:f>IF(C34="","",IFERROR(IF(INDEX('Facilities'!$U$9:$U$108,MATCH(C34,'Facilities'!$C$9:$C$108,0))="","",INDEX('Facilities'!$U$9:$U$108,MATCH(C34,'Facilities'!$C$9:$C$108,0))),""))</x:f>
        <x:v>B014</x:v>
      </x:c>
      <x:c r="G34" s="23" t="n">
        <x:f>IF(C34="","",IFERROR(IF(INDEX('Facilities'!$AA$9:$AA$108,MATCH(C34,'Facilities'!$C$9:$C$108,0))="","",INDEX('Facilities'!$AA$9:$AA$108,MATCH(C34,'Facilities'!$C$9:$C$108,0))),""))</x:f>
        <x:v>9.55</x:v>
      </x:c>
      <x:c r="H34" s="23" t="n">
        <x:f>IF(C34="","",IFERROR(IF(INDEX('Inventory'!$N$9:$N$108,MATCH(F34,'Inventory'!$C$9:$C$108,0))="","",INDEX('Inventory'!$N$9:$N$108,MATCH(F34,'Inventory'!$C$9:$C$108,0))),""))</x:f>
        <x:v>130</x:v>
      </x:c>
      <x:c r="I34" s="17" t="n">
        <x:f>IF(R34="Ready",G34/H34,"")</x:f>
        <x:v>0.07346153846153847</x:v>
      </x:c>
      <x:c r="J34" s="23" t="n">
        <x:f>IF(AND(R34="Ready",S34="Ready"),I34*IFERROR(IF(INDEX('Inventory'!$T$9:$T$108,MATCH(F34,'Inventory'!$C$9:$C$108,0))="","",INDEX('Inventory'!$T$9:$T$108,MATCH(F34,'Inventory'!$C$9:$C$108,0))),""),"")</x:f>
        <x:v>0.5906307692307693</x:v>
      </x:c>
      <x:c r="K34" s="23" t="n">
        <x:f>IF(AND(R34="Ready",T34="Ready"),I34*IFERROR(IF(INDEX('Inventory'!$Z$9:$Z$108,MATCH(F34,'Inventory'!$C$9:$C$108,0))="","",INDEX('Inventory'!$Z$9:$Z$108,MATCH(F34,'Inventory'!$C$9:$C$108,0))),""),"")</x:f>
        <x:v>1.4325</x:v>
      </x:c>
      <x:c r="L34" s="23" t="n">
        <x:f>IF(AND(R34="Ready",U34="Ready"),I34*IFERROR(IF(INDEX('Inventory'!$AG$9:$AG$108,MATCH(F34,'Inventory'!$C$9:$C$108,0))="","",INDEX('Inventory'!$AG$9:$AG$108,MATCH(F34,'Inventory'!$C$9:$C$108,0))),""),"")</x:f>
        <x:v>1557.3846153846155</x:v>
      </x:c>
      <x:c r="M34" s="21" t="n">
        <x:f>IF(AND(R34="Ready",S34="Ready",T34="Ready"),G34,0)</x:f>
        <x:v>9.55</x:v>
      </x:c>
      <x:c r="N34" s="21" t="n">
        <x:f>IF(AND(R34="Ready",U34="Ready"),G34,0)</x:f>
        <x:v>9.55</x:v>
      </x:c>
      <x:c r="O34" s="42" t="n">
        <x:f>IF(C34="","",IFERROR(IF(INDEX('Inventory'!$U$9:$U$108,MATCH(F34,'Inventory'!$C$9:$C$108,0))="","",INDEX('Inventory'!$U$9:$U$108,MATCH(F34,'Inventory'!$C$9:$C$108,0))),""))</x:f>
        <x:v>2</x:v>
      </x:c>
      <x:c r="P34" s="42" t="n">
        <x:f>IF(C34="","",IFERROR(IF(INDEX('Inventory'!$AA$9:$AA$108,MATCH(F34,'Inventory'!$C$9:$C$108,0))="","",INDEX('Inventory'!$AA$9:$AA$108,MATCH(F34,'Inventory'!$C$9:$C$108,0))),""))</x:f>
        <x:v>2</x:v>
      </x:c>
      <x:c r="Q34" s="42" t="n">
        <x:f>IF(C34="","",IFERROR(IF(INDEX('Inventory'!$AH$9:$AH$108,MATCH(F34,'Inventory'!$C$9:$C$108,0))="","",INDEX('Inventory'!$AH$9:$AH$108,MATCH(F34,'Inventory'!$C$9:$C$108,0))),""))</x:f>
        <x:v>2</x:v>
      </x:c>
      <x:c r="R34" s="9" t="str">
        <x:f>IF(C34="","",IF(COUNTIFS('Facilities'!$C$9:$C$108,C34)&lt;&gt;1,"Duplicate facility ID",IF(OR(NOT(ISNUMBER(IFERROR(IF(INDEX('Facilities'!$G$9:$G$108,MATCH(C34,'Facilities'!$C$9:$C$108,0))="","",INDEX('Facilities'!$G$9:$G$108,MATCH(C34,'Facilities'!$C$9:$C$108,0))),""))),NOT(ISNUMBER(G34)),G34&lt;0,IFERROR(IF(INDEX('Facilities'!$Z$9:$Z$108,MATCH(C34,'Facilities'!$C$9:$C$108,0))="","",INDEX('Facilities'!$Z$9:$Z$108,MATCH(C34,'Facilities'!$C$9:$C$108,0))),"")&lt;=0),"Drawn value required",IF(COUNTIFS('Inventory'!$C$9:$C$108,F34)&lt;&gt;1,"Entity required",IF(OR(E34&lt;&gt;IFERROR(IF(INDEX('Inventory'!$F$9:$F$108,MATCH(F34,'Inventory'!$C$9:$C$108,0))="","",INDEX('Inventory'!$F$9:$F$108,MATCH(F34,'Inventory'!$C$9:$C$108,0))),""),D34&lt;&gt;IFERROR(IF(INDEX('Inventory'!$D$9:$D$108,MATCH(F34,'Inventory'!$C$9:$C$108,0))="","",INDEX('Inventory'!$D$9:$D$108,MATCH(F34,'Inventory'!$C$9:$C$108,0))),"")),"Entity / class mismatch",IF(IFERROR(IF(INDEX('Inventory'!$AL$9:$AL$108,MATCH(F34,'Inventory'!$C$9:$C$108,0))="","",INDEX('Inventory'!$AL$9:$AL$108,MATCH(F34,'Inventory'!$C$9:$C$108,0))),"")&lt;&gt;"Ready",IFERROR(IF(INDEX('Inventory'!$AL$9:$AL$108,MATCH(F34,'Inventory'!$C$9:$C$108,0))="","",INDEX('Inventory'!$AL$9:$AL$108,MATCH(F34,'Inventory'!$C$9:$C$108,0))),""),IF(AND(OR(E34="Project finance",E34="CRE",E34="Mortgage",E34="Motor"),IFERROR(IF(INDEX('Facilities'!$V$9:$V$108,MATCH(C34,'Facilities'!$C$9:$C$108,0))="","",INDEX('Facilities'!$V$9:$V$108,MATCH(C34,'Facilities'!$C$9:$C$108,0))),"")&lt;&gt;"Designated asset"),"Purpose review",IF(X34&gt;H34,"Exposure exceeds value","Ready"))))))))</x:f>
        <x:v>Ready</x:v>
      </x:c>
      <x:c r="S34" s="9" t="str">
        <x:f>IF(C34="","",IFERROR(IF(INDEX('Inventory'!$V$9:$V$108,MATCH(F34,'Inventory'!$C$9:$C$108,0))="","",INDEX('Inventory'!$V$9:$V$108,MATCH(F34,'Inventory'!$C$9:$C$108,0))),""))</x:f>
        <x:v>Ready</x:v>
      </x:c>
      <x:c r="T34" s="9" t="str">
        <x:f>IF(C34="","",IFERROR(IF(INDEX('Inventory'!$AB$9:$AB$108,MATCH(F34,'Inventory'!$C$9:$C$108,0))="","",INDEX('Inventory'!$AB$9:$AB$108,MATCH(F34,'Inventory'!$C$9:$C$108,0))),""))</x:f>
        <x:v>Ready</x:v>
      </x:c>
      <x:c r="U34" s="9" t="str">
        <x:f>IF(C34="","",IFERROR(IF(INDEX('Inventory'!$AI$9:$AI$108,MATCH(F34,'Inventory'!$C$9:$C$108,0))="","",INDEX('Inventory'!$AI$9:$AI$108,MATCH(F34,'Inventory'!$C$9:$C$108,0))),""))</x:f>
        <x:v>Ready</x:v>
      </x:c>
      <x:c r="V34" s="43" t="n">
        <x:f>IF(C34="","",IFERROR(IF(INDEX('Inventory'!$P$9:$P$108,MATCH(F34,'Inventory'!$C$9:$C$108,0))="","",INDEX('Inventory'!$P$9:$P$108,MATCH(F34,'Inventory'!$C$9:$C$108,0))),""))</x:f>
        <x:v>46752</x:v>
      </x:c>
      <x:c r="W34" s="3" t="str">
        <x:f>IF(C34="","",IF(E34="Corporate listed","PCAF 2025 pp40-46",IF(E34="Corporate private","PCAF 2025 pp55-60",IF(E34="Project finance","PCAF 2025 pp67-71",IF(E34="CRE","PCAF 2025 pp77-81",IF(E34="Mortgage","PCAF 2025 pp83-87",IF(E34="Motor","PCAF 2025 pp90-94","Method required")))))))</x:f>
        <x:v>PCAF 2025 pp55-60</x:v>
      </x:c>
      <x:c r="X34" s="23" t="n">
        <x:f>IF(C34="","",SUMIFS('Facilities'!$AA$9:$AA$108,'Facilities'!$U$9:$U$108,F34))</x:f>
        <x:v>9.55</x:v>
      </x:c>
      <x:c r="Y34" s="21" t="n">
        <x:f>IF(AND(R34="Ready",S34="Ready"),G34,0)</x:f>
        <x:v>9.55</x:v>
      </x:c>
      <x:c r="Z34" s="21" t="n">
        <x:f>IF(AND(R34="Ready",T34="Ready"),G34,0)</x:f>
        <x:v>9.55</x:v>
      </x:c>
      <x:c r="AA34" s="21" t="n">
        <x:f>IF(Y34&gt;0,Y34*O34,0)</x:f>
        <x:v>19.1</x:v>
      </x:c>
      <x:c r="AB34" s="21" t="n">
        <x:f>IF(Z34&gt;0,Z34*P34,0)</x:f>
        <x:v>19.1</x:v>
      </x:c>
      <x:c r="AC34" s="21" t="n">
        <x:f>IF(N34&gt;0,N34*Q34,0)</x:f>
        <x:v>19.1</x:v>
      </x:c>
      <x:c r="AD34" s="21" t="n">
        <x:f>IF(M34&gt;0,M34*MAX(O34,P34),0)</x:f>
        <x:v>19.1</x:v>
      </x:c>
      <x:c r="AE34" s="9" t="str">
        <x:f>IF(C34="","",IFERROR(IF(INDEX('Inventory'!$AC$9:$AC$108,MATCH(F34,'Inventory'!$C$9:$C$108,0))="","",INDEX('Inventory'!$AC$9:$AC$108,MATCH(F34,'Inventory'!$C$9:$C$108,0))),""))</x:f>
        <x:v>Location-based</x:v>
      </x:c>
      <x:c r="AF34" s="9" t="str">
        <x:f>IF(C34="","",IFERROR(IF(INDEX('Inventory'!$AN$9:$AN$108,MATCH(F34,'Inventory'!$C$9:$C$108,0))="","",INDEX('Inventory'!$AN$9:$AN$108,MATCH(F34,'Inventory'!$C$9:$C$108,0))),""))</x:f>
        <x:v>Single boundary</x:v>
      </x:c>
    </x:row>
    <x:row r="35" ht="26" customHeight="1">
      <x:c r="A35" s="1"/>
      <x:c r="B35" s="1"/>
      <x:c r="C35" s="9" t="str">
        <x:f>IF('Facilities'!C35="","",'Facilities'!C35)</x:f>
        <x:v>F027</x:v>
      </x:c>
      <x:c r="D35" s="9" t="str">
        <x:f>IF(C35="","",IFERROR(IF(INDEX('Facilities'!$D$9:$D$108,MATCH(C35,'Facilities'!$C$9:$C$108,0))="","",INDEX('Facilities'!$D$9:$D$108,MATCH(C35,'Facilities'!$C$9:$C$108,0))),""))</x:f>
        <x:v>B015</x:v>
      </x:c>
      <x:c r="E35" s="9" t="str">
        <x:f>IF(C35="","",IFERROR(IF(INDEX('Facilities'!$E$9:$E$108,MATCH(C35,'Facilities'!$C$9:$C$108,0))="","",INDEX('Facilities'!$E$9:$E$108,MATCH(C35,'Facilities'!$C$9:$C$108,0))),""))</x:f>
        <x:v>Corporate private</x:v>
      </x:c>
      <x:c r="F35" s="9" t="str">
        <x:f>IF(C35="","",IFERROR(IF(INDEX('Facilities'!$U$9:$U$108,MATCH(C35,'Facilities'!$C$9:$C$108,0))="","",INDEX('Facilities'!$U$9:$U$108,MATCH(C35,'Facilities'!$C$9:$C$108,0))),""))</x:f>
        <x:v>B015</x:v>
      </x:c>
      <x:c r="G35" s="23" t="n">
        <x:f>IF(C35="","",IFERROR(IF(INDEX('Facilities'!$AA$9:$AA$108,MATCH(C35,'Facilities'!$C$9:$C$108,0))="","",INDEX('Facilities'!$AA$9:$AA$108,MATCH(C35,'Facilities'!$C$9:$C$108,0))),""))</x:f>
        <x:v>9.899999999999999</x:v>
      </x:c>
      <x:c r="H35" s="23" t="n">
        <x:f>IF(C35="","",IFERROR(IF(INDEX('Inventory'!$N$9:$N$108,MATCH(F35,'Inventory'!$C$9:$C$108,0))="","",INDEX('Inventory'!$N$9:$N$108,MATCH(F35,'Inventory'!$C$9:$C$108,0))),""))</x:f>
        <x:v>135</x:v>
      </x:c>
      <x:c r="I35" s="17" t="n">
        <x:f>IF(R35="Ready",G35/H35,"")</x:f>
        <x:v>0.07333333333333332</x:v>
      </x:c>
      <x:c r="J35" s="23" t="n">
        <x:f>IF(AND(R35="Ready",S35="Ready"),I35*IFERROR(IF(INDEX('Inventory'!$T$9:$T$108,MATCH(F35,'Inventory'!$C$9:$C$108,0))="","",INDEX('Inventory'!$T$9:$T$108,MATCH(F35,'Inventory'!$C$9:$C$108,0))),""),"")</x:f>
        <x:v>315.33333333333326</x:v>
      </x:c>
      <x:c r="K35" s="23" t="n">
        <x:f>IF(AND(R35="Ready",T35="Ready"),I35*IFERROR(IF(INDEX('Inventory'!$Z$9:$Z$108,MATCH(F35,'Inventory'!$C$9:$C$108,0))="","",INDEX('Inventory'!$Z$9:$Z$108,MATCH(F35,'Inventory'!$C$9:$C$108,0))),""),"")</x:f>
        <x:v>271.33333333333326</x:v>
      </x:c>
      <x:c r="L35" s="23" t="n">
        <x:f>IF(AND(R35="Ready",U35="Ready"),I35*IFERROR(IF(INDEX('Inventory'!$AG$9:$AG$108,MATCH(F35,'Inventory'!$C$9:$C$108,0))="","",INDEX('Inventory'!$AG$9:$AG$108,MATCH(F35,'Inventory'!$C$9:$C$108,0))),""),"")</x:f>
        <x:v>1613.333333333333</x:v>
      </x:c>
      <x:c r="M35" s="21" t="n">
        <x:f>IF(AND(R35="Ready",S35="Ready",T35="Ready"),G35,0)</x:f>
        <x:v>9.899999999999999</x:v>
      </x:c>
      <x:c r="N35" s="21" t="n">
        <x:f>IF(AND(R35="Ready",U35="Ready"),G35,0)</x:f>
        <x:v>9.899999999999999</x:v>
      </x:c>
      <x:c r="O35" s="42" t="n">
        <x:f>IF(C35="","",IFERROR(IF(INDEX('Inventory'!$U$9:$U$108,MATCH(F35,'Inventory'!$C$9:$C$108,0))="","",INDEX('Inventory'!$U$9:$U$108,MATCH(F35,'Inventory'!$C$9:$C$108,0))),""))</x:f>
        <x:v>2</x:v>
      </x:c>
      <x:c r="P35" s="42" t="n">
        <x:f>IF(C35="","",IFERROR(IF(INDEX('Inventory'!$AA$9:$AA$108,MATCH(F35,'Inventory'!$C$9:$C$108,0))="","",INDEX('Inventory'!$AA$9:$AA$108,MATCH(F35,'Inventory'!$C$9:$C$108,0))),""))</x:f>
        <x:v>2</x:v>
      </x:c>
      <x:c r="Q35" s="42" t="n">
        <x:f>IF(C35="","",IFERROR(IF(INDEX('Inventory'!$AH$9:$AH$108,MATCH(F35,'Inventory'!$C$9:$C$108,0))="","",INDEX('Inventory'!$AH$9:$AH$108,MATCH(F35,'Inventory'!$C$9:$C$108,0))),""))</x:f>
        <x:v>2</x:v>
      </x:c>
      <x:c r="R35" s="9" t="str">
        <x:f>IF(C35="","",IF(COUNTIFS('Facilities'!$C$9:$C$108,C35)&lt;&gt;1,"Duplicate facility ID",IF(OR(NOT(ISNUMBER(IFERROR(IF(INDEX('Facilities'!$G$9:$G$108,MATCH(C35,'Facilities'!$C$9:$C$108,0))="","",INDEX('Facilities'!$G$9:$G$108,MATCH(C35,'Facilities'!$C$9:$C$108,0))),""))),NOT(ISNUMBER(G35)),G35&lt;0,IFERROR(IF(INDEX('Facilities'!$Z$9:$Z$108,MATCH(C35,'Facilities'!$C$9:$C$108,0))="","",INDEX('Facilities'!$Z$9:$Z$108,MATCH(C35,'Facilities'!$C$9:$C$108,0))),"")&lt;=0),"Drawn value required",IF(COUNTIFS('Inventory'!$C$9:$C$108,F35)&lt;&gt;1,"Entity required",IF(OR(E35&lt;&gt;IFERROR(IF(INDEX('Inventory'!$F$9:$F$108,MATCH(F35,'Inventory'!$C$9:$C$108,0))="","",INDEX('Inventory'!$F$9:$F$108,MATCH(F35,'Inventory'!$C$9:$C$108,0))),""),D35&lt;&gt;IFERROR(IF(INDEX('Inventory'!$D$9:$D$108,MATCH(F35,'Inventory'!$C$9:$C$108,0))="","",INDEX('Inventory'!$D$9:$D$108,MATCH(F35,'Inventory'!$C$9:$C$108,0))),"")),"Entity / class mismatch",IF(IFERROR(IF(INDEX('Inventory'!$AL$9:$AL$108,MATCH(F35,'Inventory'!$C$9:$C$108,0))="","",INDEX('Inventory'!$AL$9:$AL$108,MATCH(F35,'Inventory'!$C$9:$C$108,0))),"")&lt;&gt;"Ready",IFERROR(IF(INDEX('Inventory'!$AL$9:$AL$108,MATCH(F35,'Inventory'!$C$9:$C$108,0))="","",INDEX('Inventory'!$AL$9:$AL$108,MATCH(F35,'Inventory'!$C$9:$C$108,0))),""),IF(AND(OR(E35="Project finance",E35="CRE",E35="Mortgage",E35="Motor"),IFERROR(IF(INDEX('Facilities'!$V$9:$V$108,MATCH(C35,'Facilities'!$C$9:$C$108,0))="","",INDEX('Facilities'!$V$9:$V$108,MATCH(C35,'Facilities'!$C$9:$C$108,0))),"")&lt;&gt;"Designated asset"),"Purpose review",IF(X35&gt;H35,"Exposure exceeds value","Ready"))))))))</x:f>
        <x:v>Ready</x:v>
      </x:c>
      <x:c r="S35" s="9" t="str">
        <x:f>IF(C35="","",IFERROR(IF(INDEX('Inventory'!$V$9:$V$108,MATCH(F35,'Inventory'!$C$9:$C$108,0))="","",INDEX('Inventory'!$V$9:$V$108,MATCH(F35,'Inventory'!$C$9:$C$108,0))),""))</x:f>
        <x:v>Ready</x:v>
      </x:c>
      <x:c r="T35" s="9" t="str">
        <x:f>IF(C35="","",IFERROR(IF(INDEX('Inventory'!$AB$9:$AB$108,MATCH(F35,'Inventory'!$C$9:$C$108,0))="","",INDEX('Inventory'!$AB$9:$AB$108,MATCH(F35,'Inventory'!$C$9:$C$108,0))),""))</x:f>
        <x:v>Ready</x:v>
      </x:c>
      <x:c r="U35" s="9" t="str">
        <x:f>IF(C35="","",IFERROR(IF(INDEX('Inventory'!$AI$9:$AI$108,MATCH(F35,'Inventory'!$C$9:$C$108,0))="","",INDEX('Inventory'!$AI$9:$AI$108,MATCH(F35,'Inventory'!$C$9:$C$108,0))),""))</x:f>
        <x:v>Ready</x:v>
      </x:c>
      <x:c r="V35" s="43" t="n">
        <x:f>IF(C35="","",IFERROR(IF(INDEX('Inventory'!$P$9:$P$108,MATCH(F35,'Inventory'!$C$9:$C$108,0))="","",INDEX('Inventory'!$P$9:$P$108,MATCH(F35,'Inventory'!$C$9:$C$108,0))),""))</x:f>
        <x:v>46752</x:v>
      </x:c>
      <x:c r="W35" s="3" t="str">
        <x:f>IF(C35="","",IF(E35="Corporate listed","PCAF 2025 pp40-46",IF(E35="Corporate private","PCAF 2025 pp55-60",IF(E35="Project finance","PCAF 2025 pp67-71",IF(E35="CRE","PCAF 2025 pp77-81",IF(E35="Mortgage","PCAF 2025 pp83-87",IF(E35="Motor","PCAF 2025 pp90-94","Method required")))))))</x:f>
        <x:v>PCAF 2025 pp55-60</x:v>
      </x:c>
      <x:c r="X35" s="23" t="n">
        <x:f>IF(C35="","",SUMIFS('Facilities'!$AA$9:$AA$108,'Facilities'!$U$9:$U$108,F35))</x:f>
        <x:v>9.899999999999999</x:v>
      </x:c>
      <x:c r="Y35" s="21" t="n">
        <x:f>IF(AND(R35="Ready",S35="Ready"),G35,0)</x:f>
        <x:v>9.899999999999999</x:v>
      </x:c>
      <x:c r="Z35" s="21" t="n">
        <x:f>IF(AND(R35="Ready",T35="Ready"),G35,0)</x:f>
        <x:v>9.899999999999999</x:v>
      </x:c>
      <x:c r="AA35" s="21" t="n">
        <x:f>IF(Y35&gt;0,Y35*O35,0)</x:f>
        <x:v>19.799999999999997</x:v>
      </x:c>
      <x:c r="AB35" s="21" t="n">
        <x:f>IF(Z35&gt;0,Z35*P35,0)</x:f>
        <x:v>19.799999999999997</x:v>
      </x:c>
      <x:c r="AC35" s="21" t="n">
        <x:f>IF(N35&gt;0,N35*Q35,0)</x:f>
        <x:v>19.799999999999997</x:v>
      </x:c>
      <x:c r="AD35" s="21" t="n">
        <x:f>IF(M35&gt;0,M35*MAX(O35,P35),0)</x:f>
        <x:v>19.799999999999997</x:v>
      </x:c>
      <x:c r="AE35" s="9" t="str">
        <x:f>IF(C35="","",IFERROR(IF(INDEX('Inventory'!$AC$9:$AC$108,MATCH(F35,'Inventory'!$C$9:$C$108,0))="","",INDEX('Inventory'!$AC$9:$AC$108,MATCH(F35,'Inventory'!$C$9:$C$108,0))),""))</x:f>
        <x:v>Location-based</x:v>
      </x:c>
      <x:c r="AF35" s="9" t="str">
        <x:f>IF(C35="","",IFERROR(IF(INDEX('Inventory'!$AN$9:$AN$108,MATCH(F35,'Inventory'!$C$9:$C$108,0))="","",INDEX('Inventory'!$AN$9:$AN$108,MATCH(F35,'Inventory'!$C$9:$C$108,0))),""))</x:f>
        <x:v>Single boundary</x:v>
      </x:c>
    </x:row>
    <x:row r="36" ht="26" customHeight="1">
      <x:c r="A36" s="1"/>
      <x:c r="B36" s="1"/>
      <x:c r="C36" s="9" t="str">
        <x:f>IF('Facilities'!C36="","",'Facilities'!C36)</x:f>
        <x:v>F028</x:v>
      </x:c>
      <x:c r="D36" s="9" t="str">
        <x:f>IF(C36="","",IFERROR(IF(INDEX('Facilities'!$D$9:$D$108,MATCH(C36,'Facilities'!$C$9:$C$108,0))="","",INDEX('Facilities'!$D$9:$D$108,MATCH(C36,'Facilities'!$C$9:$C$108,0))),""))</x:f>
        <x:v>B016</x:v>
      </x:c>
      <x:c r="E36" s="9" t="str">
        <x:f>IF(C36="","",IFERROR(IF(INDEX('Facilities'!$E$9:$E$108,MATCH(C36,'Facilities'!$C$9:$C$108,0))="","",INDEX('Facilities'!$E$9:$E$108,MATCH(C36,'Facilities'!$C$9:$C$108,0))),""))</x:f>
        <x:v>Corporate listed</x:v>
      </x:c>
      <x:c r="F36" s="9" t="str">
        <x:f>IF(C36="","",IFERROR(IF(INDEX('Facilities'!$U$9:$U$108,MATCH(C36,'Facilities'!$C$9:$C$108,0))="","",INDEX('Facilities'!$U$9:$U$108,MATCH(C36,'Facilities'!$C$9:$C$108,0))),""))</x:f>
        <x:v>B016</x:v>
      </x:c>
      <x:c r="G36" s="23" t="n">
        <x:f>IF(C36="","",IFERROR(IF(INDEX('Facilities'!$AA$9:$AA$108,MATCH(C36,'Facilities'!$C$9:$C$108,0))="","",INDEX('Facilities'!$AA$9:$AA$108,MATCH(C36,'Facilities'!$C$9:$C$108,0))),""))</x:f>
        <x:v>10.25</x:v>
      </x:c>
      <x:c r="H36" s="23" t="n">
        <x:f>IF(C36="","",IFERROR(IF(INDEX('Inventory'!$N$9:$N$108,MATCH(F36,'Inventory'!$C$9:$C$108,0))="","",INDEX('Inventory'!$N$9:$N$108,MATCH(F36,'Inventory'!$C$9:$C$108,0))),""))</x:f>
        <x:v>200</x:v>
      </x:c>
      <x:c r="I36" s="17" t="n">
        <x:f>IF(R36="Ready",G36/H36,"")</x:f>
        <x:v>0.05125</x:v>
      </x:c>
      <x:c r="J36" s="23" t="n">
        <x:f>IF(AND(R36="Ready",S36="Ready"),I36*IFERROR(IF(INDEX('Inventory'!$T$9:$T$108,MATCH(F36,'Inventory'!$C$9:$C$108,0))="","",INDEX('Inventory'!$T$9:$T$108,MATCH(F36,'Inventory'!$C$9:$C$108,0))),""),"")</x:f>
        <x:v>229.08749999999998</x:v>
      </x:c>
      <x:c r="K36" s="23" t="n">
        <x:f>IF(AND(R36="Ready",T36="Ready"),I36*IFERROR(IF(INDEX('Inventory'!$Z$9:$Z$108,MATCH(F36,'Inventory'!$C$9:$C$108,0))="","",INDEX('Inventory'!$Z$9:$Z$108,MATCH(F36,'Inventory'!$C$9:$C$108,0))),""),"")</x:f>
        <x:v>194.75</x:v>
      </x:c>
      <x:c r="L36" s="23" t="str">
        <x:f>IF(AND(R36="Ready",U36="Ready"),I36*IFERROR(IF(INDEX('Inventory'!$AG$9:$AG$108,MATCH(F36,'Inventory'!$C$9:$C$108,0))="","",INDEX('Inventory'!$AG$9:$AG$108,MATCH(F36,'Inventory'!$C$9:$C$108,0))),""),"")</x:f>
      </x:c>
      <x:c r="M36" s="21" t="n">
        <x:f>IF(AND(R36="Ready",S36="Ready",T36="Ready"),G36,0)</x:f>
        <x:v>10.25</x:v>
      </x:c>
      <x:c r="N36" s="21" t="n">
        <x:f>IF(AND(R36="Ready",U36="Ready"),G36,0)</x:f>
        <x:v>0</x:v>
      </x:c>
      <x:c r="O36" s="42" t="n">
        <x:f>IF(C36="","",IFERROR(IF(INDEX('Inventory'!$U$9:$U$108,MATCH(F36,'Inventory'!$C$9:$C$108,0))="","",INDEX('Inventory'!$U$9:$U$108,MATCH(F36,'Inventory'!$C$9:$C$108,0))),""))</x:f>
        <x:v>1</x:v>
      </x:c>
      <x:c r="P36" s="42" t="n">
        <x:f>IF(C36="","",IFERROR(IF(INDEX('Inventory'!$AA$9:$AA$108,MATCH(F36,'Inventory'!$C$9:$C$108,0))="","",INDEX('Inventory'!$AA$9:$AA$108,MATCH(F36,'Inventory'!$C$9:$C$108,0))),""))</x:f>
        <x:v>1</x:v>
      </x:c>
      <x:c r="Q36" s="42" t="str">
        <x:f>IF(C36="","",IFERROR(IF(INDEX('Inventory'!$AH$9:$AH$108,MATCH(F36,'Inventory'!$C$9:$C$108,0))="","",INDEX('Inventory'!$AH$9:$AH$108,MATCH(F36,'Inventory'!$C$9:$C$108,0))),""))</x:f>
      </x:c>
      <x:c r="R36" s="9" t="str">
        <x:f>IF(C36="","",IF(COUNTIFS('Facilities'!$C$9:$C$108,C36)&lt;&gt;1,"Duplicate facility ID",IF(OR(NOT(ISNUMBER(IFERROR(IF(INDEX('Facilities'!$G$9:$G$108,MATCH(C36,'Facilities'!$C$9:$C$108,0))="","",INDEX('Facilities'!$G$9:$G$108,MATCH(C36,'Facilities'!$C$9:$C$108,0))),""))),NOT(ISNUMBER(G36)),G36&lt;0,IFERROR(IF(INDEX('Facilities'!$Z$9:$Z$108,MATCH(C36,'Facilities'!$C$9:$C$108,0))="","",INDEX('Facilities'!$Z$9:$Z$108,MATCH(C36,'Facilities'!$C$9:$C$108,0))),"")&lt;=0),"Drawn value required",IF(COUNTIFS('Inventory'!$C$9:$C$108,F36)&lt;&gt;1,"Entity required",IF(OR(E36&lt;&gt;IFERROR(IF(INDEX('Inventory'!$F$9:$F$108,MATCH(F36,'Inventory'!$C$9:$C$108,0))="","",INDEX('Inventory'!$F$9:$F$108,MATCH(F36,'Inventory'!$C$9:$C$108,0))),""),D36&lt;&gt;IFERROR(IF(INDEX('Inventory'!$D$9:$D$108,MATCH(F36,'Inventory'!$C$9:$C$108,0))="","",INDEX('Inventory'!$D$9:$D$108,MATCH(F36,'Inventory'!$C$9:$C$108,0))),"")),"Entity / class mismatch",IF(IFERROR(IF(INDEX('Inventory'!$AL$9:$AL$108,MATCH(F36,'Inventory'!$C$9:$C$108,0))="","",INDEX('Inventory'!$AL$9:$AL$108,MATCH(F36,'Inventory'!$C$9:$C$108,0))),"")&lt;&gt;"Ready",IFERROR(IF(INDEX('Inventory'!$AL$9:$AL$108,MATCH(F36,'Inventory'!$C$9:$C$108,0))="","",INDEX('Inventory'!$AL$9:$AL$108,MATCH(F36,'Inventory'!$C$9:$C$108,0))),""),IF(AND(OR(E36="Project finance",E36="CRE",E36="Mortgage",E36="Motor"),IFERROR(IF(INDEX('Facilities'!$V$9:$V$108,MATCH(C36,'Facilities'!$C$9:$C$108,0))="","",INDEX('Facilities'!$V$9:$V$108,MATCH(C36,'Facilities'!$C$9:$C$108,0))),"")&lt;&gt;"Designated asset"),"Purpose review",IF(X36&gt;H36,"Exposure exceeds value","Ready"))))))))</x:f>
        <x:v>Ready</x:v>
      </x:c>
      <x:c r="S36" s="9" t="str">
        <x:f>IF(C36="","",IFERROR(IF(INDEX('Inventory'!$V$9:$V$108,MATCH(F36,'Inventory'!$C$9:$C$108,0))="","",INDEX('Inventory'!$V$9:$V$108,MATCH(F36,'Inventory'!$C$9:$C$108,0))),""))</x:f>
        <x:v>Ready</x:v>
      </x:c>
      <x:c r="T36" s="9" t="str">
        <x:f>IF(C36="","",IFERROR(IF(INDEX('Inventory'!$AB$9:$AB$108,MATCH(F36,'Inventory'!$C$9:$C$108,0))="","",INDEX('Inventory'!$AB$9:$AB$108,MATCH(F36,'Inventory'!$C$9:$C$108,0))),""))</x:f>
        <x:v>Ready</x:v>
      </x:c>
      <x:c r="U36" s="9" t="str">
        <x:f>IF(C36="","",IFERROR(IF(INDEX('Inventory'!$AI$9:$AI$108,MATCH(F36,'Inventory'!$C$9:$C$108,0))="","",INDEX('Inventory'!$AI$9:$AI$108,MATCH(F36,'Inventory'!$C$9:$C$108,0))),""))</x:f>
        <x:v>Not assessed</x:v>
      </x:c>
      <x:c r="V36" s="43" t="n">
        <x:f>IF(C36="","",IFERROR(IF(INDEX('Inventory'!$P$9:$P$108,MATCH(F36,'Inventory'!$C$9:$C$108,0))="","",INDEX('Inventory'!$P$9:$P$108,MATCH(F36,'Inventory'!$C$9:$C$108,0))),""))</x:f>
        <x:v>46752</x:v>
      </x:c>
      <x:c r="W36" s="3" t="str">
        <x:f>IF(C36="","",IF(E36="Corporate listed","PCAF 2025 pp40-46",IF(E36="Corporate private","PCAF 2025 pp55-60",IF(E36="Project finance","PCAF 2025 pp67-71",IF(E36="CRE","PCAF 2025 pp77-81",IF(E36="Mortgage","PCAF 2025 pp83-87",IF(E36="Motor","PCAF 2025 pp90-94","Method required")))))))</x:f>
        <x:v>PCAF 2025 pp40-46</x:v>
      </x:c>
      <x:c r="X36" s="23" t="n">
        <x:f>IF(C36="","",SUMIFS('Facilities'!$AA$9:$AA$108,'Facilities'!$U$9:$U$108,F36))</x:f>
        <x:v>10.25</x:v>
      </x:c>
      <x:c r="Y36" s="21" t="n">
        <x:f>IF(AND(R36="Ready",S36="Ready"),G36,0)</x:f>
        <x:v>10.25</x:v>
      </x:c>
      <x:c r="Z36" s="21" t="n">
        <x:f>IF(AND(R36="Ready",T36="Ready"),G36,0)</x:f>
        <x:v>10.25</x:v>
      </x:c>
      <x:c r="AA36" s="21" t="n">
        <x:f>IF(Y36&gt;0,Y36*O36,0)</x:f>
        <x:v>10.25</x:v>
      </x:c>
      <x:c r="AB36" s="21" t="n">
        <x:f>IF(Z36&gt;0,Z36*P36,0)</x:f>
        <x:v>10.25</x:v>
      </x:c>
      <x:c r="AC36" s="21" t="n">
        <x:f>IF(N36&gt;0,N36*Q36,0)</x:f>
        <x:v>0</x:v>
      </x:c>
      <x:c r="AD36" s="21" t="n">
        <x:f>IF(M36&gt;0,M36*MAX(O36,P36),0)</x:f>
        <x:v>10.25</x:v>
      </x:c>
      <x:c r="AE36" s="9" t="str">
        <x:f>IF(C36="","",IFERROR(IF(INDEX('Inventory'!$AC$9:$AC$108,MATCH(F36,'Inventory'!$C$9:$C$108,0))="","",INDEX('Inventory'!$AC$9:$AC$108,MATCH(F36,'Inventory'!$C$9:$C$108,0))),""))</x:f>
        <x:v>Location-based</x:v>
      </x:c>
      <x:c r="AF36" s="9" t="str">
        <x:f>IF(C36="","",IFERROR(IF(INDEX('Inventory'!$AN$9:$AN$108,MATCH(F36,'Inventory'!$C$9:$C$108,0))="","",INDEX('Inventory'!$AN$9:$AN$108,MATCH(F36,'Inventory'!$C$9:$C$108,0))),""))</x:f>
        <x:v>Single boundary</x:v>
      </x:c>
    </x:row>
    <x:row r="37" ht="26" customHeight="1">
      <x:c r="A37" s="1"/>
      <x:c r="B37" s="1"/>
      <x:c r="C37" s="9" t="str">
        <x:f>IF('Facilities'!C37="","",'Facilities'!C37)</x:f>
        <x:v>F029</x:v>
      </x:c>
      <x:c r="D37" s="9" t="str">
        <x:f>IF(C37="","",IFERROR(IF(INDEX('Facilities'!$D$9:$D$108,MATCH(C37,'Facilities'!$C$9:$C$108,0))="","",INDEX('Facilities'!$D$9:$D$108,MATCH(C37,'Facilities'!$C$9:$C$108,0))),""))</x:f>
        <x:v>B017</x:v>
      </x:c>
      <x:c r="E37" s="9" t="str">
        <x:f>IF(C37="","",IFERROR(IF(INDEX('Facilities'!$E$9:$E$108,MATCH(C37,'Facilities'!$C$9:$C$108,0))="","",INDEX('Facilities'!$E$9:$E$108,MATCH(C37,'Facilities'!$C$9:$C$108,0))),""))</x:f>
        <x:v>Corporate private</x:v>
      </x:c>
      <x:c r="F37" s="9" t="str">
        <x:f>IF(C37="","",IFERROR(IF(INDEX('Facilities'!$U$9:$U$108,MATCH(C37,'Facilities'!$C$9:$C$108,0))="","",INDEX('Facilities'!$U$9:$U$108,MATCH(C37,'Facilities'!$C$9:$C$108,0))),""))</x:f>
        <x:v>B017</x:v>
      </x:c>
      <x:c r="G37" s="23" t="n">
        <x:f>IF(C37="","",IFERROR(IF(INDEX('Facilities'!$AA$9:$AA$108,MATCH(C37,'Facilities'!$C$9:$C$108,0))="","",INDEX('Facilities'!$AA$9:$AA$108,MATCH(C37,'Facilities'!$C$9:$C$108,0))),""))</x:f>
        <x:v>10.6</x:v>
      </x:c>
      <x:c r="H37" s="23" t="n">
        <x:f>IF(C37="","",IFERROR(IF(INDEX('Inventory'!$N$9:$N$108,MATCH(F37,'Inventory'!$C$9:$C$108,0))="","",INDEX('Inventory'!$N$9:$N$108,MATCH(F37,'Inventory'!$C$9:$C$108,0))),""))</x:f>
        <x:v>145</x:v>
      </x:c>
      <x:c r="I37" s="17" t="n">
        <x:f>IF(R37="Ready",G37/H37,"")</x:f>
        <x:v>0.07310344827586207</x:v>
      </x:c>
      <x:c r="J37" s="23" t="n">
        <x:f>IF(AND(R37="Ready",S37="Ready"),I37*IFERROR(IF(INDEX('Inventory'!$T$9:$T$108,MATCH(F37,'Inventory'!$C$9:$C$108,0))="","",INDEX('Inventory'!$T$9:$T$108,MATCH(F37,'Inventory'!$C$9:$C$108,0))),""),"")</x:f>
        <x:v>153.79503448275864</x:v>
      </x:c>
      <x:c r="K37" s="23" t="n">
        <x:f>IF(AND(R37="Ready",T37="Ready"),I37*IFERROR(IF(INDEX('Inventory'!$Z$9:$Z$108,MATCH(F37,'Inventory'!$C$9:$C$108,0))="","",INDEX('Inventory'!$Z$9:$Z$108,MATCH(F37,'Inventory'!$C$9:$C$108,0))),""),"")</x:f>
        <x:v>86.24379310344828</x:v>
      </x:c>
      <x:c r="L37" s="23" t="n">
        <x:f>IF(AND(R37="Ready",U37="Ready"),I37*IFERROR(IF(INDEX('Inventory'!$AG$9:$AG$108,MATCH(F37,'Inventory'!$C$9:$C$108,0))="","",INDEX('Inventory'!$AG$9:$AG$108,MATCH(F37,'Inventory'!$C$9:$C$108,0))),""),"")</x:f>
        <x:v>1725.2413793103449</x:v>
      </x:c>
      <x:c r="M37" s="21" t="n">
        <x:f>IF(AND(R37="Ready",S37="Ready",T37="Ready"),G37,0)</x:f>
        <x:v>10.6</x:v>
      </x:c>
      <x:c r="N37" s="21" t="n">
        <x:f>IF(AND(R37="Ready",U37="Ready"),G37,0)</x:f>
        <x:v>10.6</x:v>
      </x:c>
      <x:c r="O37" s="42" t="n">
        <x:f>IF(C37="","",IFERROR(IF(INDEX('Inventory'!$U$9:$U$108,MATCH(F37,'Inventory'!$C$9:$C$108,0))="","",INDEX('Inventory'!$U$9:$U$108,MATCH(F37,'Inventory'!$C$9:$C$108,0))),""))</x:f>
        <x:v>2</x:v>
      </x:c>
      <x:c r="P37" s="42" t="n">
        <x:f>IF(C37="","",IFERROR(IF(INDEX('Inventory'!$AA$9:$AA$108,MATCH(F37,'Inventory'!$C$9:$C$108,0))="","",INDEX('Inventory'!$AA$9:$AA$108,MATCH(F37,'Inventory'!$C$9:$C$108,0))),""))</x:f>
        <x:v>2</x:v>
      </x:c>
      <x:c r="Q37" s="42" t="n">
        <x:f>IF(C37="","",IFERROR(IF(INDEX('Inventory'!$AH$9:$AH$108,MATCH(F37,'Inventory'!$C$9:$C$108,0))="","",INDEX('Inventory'!$AH$9:$AH$108,MATCH(F37,'Inventory'!$C$9:$C$108,0))),""))</x:f>
        <x:v>2</x:v>
      </x:c>
      <x:c r="R37" s="9" t="str">
        <x:f>IF(C37="","",IF(COUNTIFS('Facilities'!$C$9:$C$108,C37)&lt;&gt;1,"Duplicate facility ID",IF(OR(NOT(ISNUMBER(IFERROR(IF(INDEX('Facilities'!$G$9:$G$108,MATCH(C37,'Facilities'!$C$9:$C$108,0))="","",INDEX('Facilities'!$G$9:$G$108,MATCH(C37,'Facilities'!$C$9:$C$108,0))),""))),NOT(ISNUMBER(G37)),G37&lt;0,IFERROR(IF(INDEX('Facilities'!$Z$9:$Z$108,MATCH(C37,'Facilities'!$C$9:$C$108,0))="","",INDEX('Facilities'!$Z$9:$Z$108,MATCH(C37,'Facilities'!$C$9:$C$108,0))),"")&lt;=0),"Drawn value required",IF(COUNTIFS('Inventory'!$C$9:$C$108,F37)&lt;&gt;1,"Entity required",IF(OR(E37&lt;&gt;IFERROR(IF(INDEX('Inventory'!$F$9:$F$108,MATCH(F37,'Inventory'!$C$9:$C$108,0))="","",INDEX('Inventory'!$F$9:$F$108,MATCH(F37,'Inventory'!$C$9:$C$108,0))),""),D37&lt;&gt;IFERROR(IF(INDEX('Inventory'!$D$9:$D$108,MATCH(F37,'Inventory'!$C$9:$C$108,0))="","",INDEX('Inventory'!$D$9:$D$108,MATCH(F37,'Inventory'!$C$9:$C$108,0))),"")),"Entity / class mismatch",IF(IFERROR(IF(INDEX('Inventory'!$AL$9:$AL$108,MATCH(F37,'Inventory'!$C$9:$C$108,0))="","",INDEX('Inventory'!$AL$9:$AL$108,MATCH(F37,'Inventory'!$C$9:$C$108,0))),"")&lt;&gt;"Ready",IFERROR(IF(INDEX('Inventory'!$AL$9:$AL$108,MATCH(F37,'Inventory'!$C$9:$C$108,0))="","",INDEX('Inventory'!$AL$9:$AL$108,MATCH(F37,'Inventory'!$C$9:$C$108,0))),""),IF(AND(OR(E37="Project finance",E37="CRE",E37="Mortgage",E37="Motor"),IFERROR(IF(INDEX('Facilities'!$V$9:$V$108,MATCH(C37,'Facilities'!$C$9:$C$108,0))="","",INDEX('Facilities'!$V$9:$V$108,MATCH(C37,'Facilities'!$C$9:$C$108,0))),"")&lt;&gt;"Designated asset"),"Purpose review",IF(X37&gt;H37,"Exposure exceeds value","Ready"))))))))</x:f>
        <x:v>Ready</x:v>
      </x:c>
      <x:c r="S37" s="9" t="str">
        <x:f>IF(C37="","",IFERROR(IF(INDEX('Inventory'!$V$9:$V$108,MATCH(F37,'Inventory'!$C$9:$C$108,0))="","",INDEX('Inventory'!$V$9:$V$108,MATCH(F37,'Inventory'!$C$9:$C$108,0))),""))</x:f>
        <x:v>Ready</x:v>
      </x:c>
      <x:c r="T37" s="9" t="str">
        <x:f>IF(C37="","",IFERROR(IF(INDEX('Inventory'!$AB$9:$AB$108,MATCH(F37,'Inventory'!$C$9:$C$108,0))="","",INDEX('Inventory'!$AB$9:$AB$108,MATCH(F37,'Inventory'!$C$9:$C$108,0))),""))</x:f>
        <x:v>Ready</x:v>
      </x:c>
      <x:c r="U37" s="9" t="str">
        <x:f>IF(C37="","",IFERROR(IF(INDEX('Inventory'!$AI$9:$AI$108,MATCH(F37,'Inventory'!$C$9:$C$108,0))="","",INDEX('Inventory'!$AI$9:$AI$108,MATCH(F37,'Inventory'!$C$9:$C$108,0))),""))</x:f>
        <x:v>Ready</x:v>
      </x:c>
      <x:c r="V37" s="43" t="n">
        <x:f>IF(C37="","",IFERROR(IF(INDEX('Inventory'!$P$9:$P$108,MATCH(F37,'Inventory'!$C$9:$C$108,0))="","",INDEX('Inventory'!$P$9:$P$108,MATCH(F37,'Inventory'!$C$9:$C$108,0))),""))</x:f>
        <x:v>46752</x:v>
      </x:c>
      <x:c r="W37" s="3" t="str">
        <x:f>IF(C37="","",IF(E37="Corporate listed","PCAF 2025 pp40-46",IF(E37="Corporate private","PCAF 2025 pp55-60",IF(E37="Project finance","PCAF 2025 pp67-71",IF(E37="CRE","PCAF 2025 pp77-81",IF(E37="Mortgage","PCAF 2025 pp83-87",IF(E37="Motor","PCAF 2025 pp90-94","Method required")))))))</x:f>
        <x:v>PCAF 2025 pp55-60</x:v>
      </x:c>
      <x:c r="X37" s="23" t="n">
        <x:f>IF(C37="","",SUMIFS('Facilities'!$AA$9:$AA$108,'Facilities'!$U$9:$U$108,F37))</x:f>
        <x:v>10.6</x:v>
      </x:c>
      <x:c r="Y37" s="21" t="n">
        <x:f>IF(AND(R37="Ready",S37="Ready"),G37,0)</x:f>
        <x:v>10.6</x:v>
      </x:c>
      <x:c r="Z37" s="21" t="n">
        <x:f>IF(AND(R37="Ready",T37="Ready"),G37,0)</x:f>
        <x:v>10.6</x:v>
      </x:c>
      <x:c r="AA37" s="21" t="n">
        <x:f>IF(Y37&gt;0,Y37*O37,0)</x:f>
        <x:v>21.2</x:v>
      </x:c>
      <x:c r="AB37" s="21" t="n">
        <x:f>IF(Z37&gt;0,Z37*P37,0)</x:f>
        <x:v>21.2</x:v>
      </x:c>
      <x:c r="AC37" s="21" t="n">
        <x:f>IF(N37&gt;0,N37*Q37,0)</x:f>
        <x:v>21.2</x:v>
      </x:c>
      <x:c r="AD37" s="21" t="n">
        <x:f>IF(M37&gt;0,M37*MAX(O37,P37),0)</x:f>
        <x:v>21.2</x:v>
      </x:c>
      <x:c r="AE37" s="9" t="str">
        <x:f>IF(C37="","",IFERROR(IF(INDEX('Inventory'!$AC$9:$AC$108,MATCH(F37,'Inventory'!$C$9:$C$108,0))="","",INDEX('Inventory'!$AC$9:$AC$108,MATCH(F37,'Inventory'!$C$9:$C$108,0))),""))</x:f>
        <x:v>Location-based</x:v>
      </x:c>
      <x:c r="AF37" s="9" t="str">
        <x:f>IF(C37="","",IFERROR(IF(INDEX('Inventory'!$AN$9:$AN$108,MATCH(F37,'Inventory'!$C$9:$C$108,0))="","",INDEX('Inventory'!$AN$9:$AN$108,MATCH(F37,'Inventory'!$C$9:$C$108,0))),""))</x:f>
        <x:v>Single boundary</x:v>
      </x:c>
    </x:row>
    <x:row r="38" ht="26" customHeight="1">
      <x:c r="A38" s="1"/>
      <x:c r="B38" s="1"/>
      <x:c r="C38" s="9" t="str">
        <x:f>IF('Facilities'!C38="","",'Facilities'!C38)</x:f>
        <x:v>F030</x:v>
      </x:c>
      <x:c r="D38" s="9" t="str">
        <x:f>IF(C38="","",IFERROR(IF(INDEX('Facilities'!$D$9:$D$108,MATCH(C38,'Facilities'!$C$9:$C$108,0))="","",INDEX('Facilities'!$D$9:$D$108,MATCH(C38,'Facilities'!$C$9:$C$108,0))),""))</x:f>
        <x:v>B018</x:v>
      </x:c>
      <x:c r="E38" s="9" t="str">
        <x:f>IF(C38="","",IFERROR(IF(INDEX('Facilities'!$E$9:$E$108,MATCH(C38,'Facilities'!$C$9:$C$108,0))="","",INDEX('Facilities'!$E$9:$E$108,MATCH(C38,'Facilities'!$C$9:$C$108,0))),""))</x:f>
        <x:v>Corporate private</x:v>
      </x:c>
      <x:c r="F38" s="9" t="str">
        <x:f>IF(C38="","",IFERROR(IF(INDEX('Facilities'!$U$9:$U$108,MATCH(C38,'Facilities'!$C$9:$C$108,0))="","",INDEX('Facilities'!$U$9:$U$108,MATCH(C38,'Facilities'!$C$9:$C$108,0))),""))</x:f>
        <x:v>B018</x:v>
      </x:c>
      <x:c r="G38" s="23" t="n">
        <x:f>IF(C38="","",IFERROR(IF(INDEX('Facilities'!$AA$9:$AA$108,MATCH(C38,'Facilities'!$C$9:$C$108,0))="","",INDEX('Facilities'!$AA$9:$AA$108,MATCH(C38,'Facilities'!$C$9:$C$108,0))),""))</x:f>
        <x:v>10.95</x:v>
      </x:c>
      <x:c r="H38" s="23" t="n">
        <x:f>IF(C38="","",IFERROR(IF(INDEX('Inventory'!$N$9:$N$108,MATCH(F38,'Inventory'!$C$9:$C$108,0))="","",INDEX('Inventory'!$N$9:$N$108,MATCH(F38,'Inventory'!$C$9:$C$108,0))),""))</x:f>
        <x:v>150</x:v>
      </x:c>
      <x:c r="I38" s="17" t="n">
        <x:f>IF(R38="Ready",G38/H38,"")</x:f>
        <x:v>0.073</x:v>
      </x:c>
      <x:c r="J38" s="23" t="n">
        <x:f>IF(AND(R38="Ready",S38="Ready"),I38*IFERROR(IF(INDEX('Inventory'!$T$9:$T$108,MATCH(F38,'Inventory'!$C$9:$C$108,0))="","",INDEX('Inventory'!$T$9:$T$108,MATCH(F38,'Inventory'!$C$9:$C$108,0))),""),"")</x:f>
        <x:v>351.13</x:v>
      </x:c>
      <x:c r="K38" s="23" t="n">
        <x:f>IF(AND(R38="Ready",T38="Ready"),I38*IFERROR(IF(INDEX('Inventory'!$Z$9:$Z$108,MATCH(F38,'Inventory'!$C$9:$C$108,0))="","",INDEX('Inventory'!$Z$9:$Z$108,MATCH(F38,'Inventory'!$C$9:$C$108,0))),""),"")</x:f>
        <x:v>292</x:v>
      </x:c>
      <x:c r="L38" s="23" t="n">
        <x:f>IF(AND(R38="Ready",U38="Ready"),I38*IFERROR(IF(INDEX('Inventory'!$AG$9:$AG$108,MATCH(F38,'Inventory'!$C$9:$C$108,0))="","",INDEX('Inventory'!$AG$9:$AG$108,MATCH(F38,'Inventory'!$C$9:$C$108,0))),""),"")</x:f>
        <x:v>1781.1999999999998</x:v>
      </x:c>
      <x:c r="M38" s="21" t="n">
        <x:f>IF(AND(R38="Ready",S38="Ready",T38="Ready"),G38,0)</x:f>
        <x:v>10.95</x:v>
      </x:c>
      <x:c r="N38" s="21" t="n">
        <x:f>IF(AND(R38="Ready",U38="Ready"),G38,0)</x:f>
        <x:v>10.95</x:v>
      </x:c>
      <x:c r="O38" s="42" t="n">
        <x:f>IF(C38="","",IFERROR(IF(INDEX('Inventory'!$U$9:$U$108,MATCH(F38,'Inventory'!$C$9:$C$108,0))="","",INDEX('Inventory'!$U$9:$U$108,MATCH(F38,'Inventory'!$C$9:$C$108,0))),""))</x:f>
        <x:v>2</x:v>
      </x:c>
      <x:c r="P38" s="42" t="n">
        <x:f>IF(C38="","",IFERROR(IF(INDEX('Inventory'!$AA$9:$AA$108,MATCH(F38,'Inventory'!$C$9:$C$108,0))="","",INDEX('Inventory'!$AA$9:$AA$108,MATCH(F38,'Inventory'!$C$9:$C$108,0))),""))</x:f>
        <x:v>2</x:v>
      </x:c>
      <x:c r="Q38" s="42" t="n">
        <x:f>IF(C38="","",IFERROR(IF(INDEX('Inventory'!$AH$9:$AH$108,MATCH(F38,'Inventory'!$C$9:$C$108,0))="","",INDEX('Inventory'!$AH$9:$AH$108,MATCH(F38,'Inventory'!$C$9:$C$108,0))),""))</x:f>
        <x:v>2</x:v>
      </x:c>
      <x:c r="R38" s="9" t="str">
        <x:f>IF(C38="","",IF(COUNTIFS('Facilities'!$C$9:$C$108,C38)&lt;&gt;1,"Duplicate facility ID",IF(OR(NOT(ISNUMBER(IFERROR(IF(INDEX('Facilities'!$G$9:$G$108,MATCH(C38,'Facilities'!$C$9:$C$108,0))="","",INDEX('Facilities'!$G$9:$G$108,MATCH(C38,'Facilities'!$C$9:$C$108,0))),""))),NOT(ISNUMBER(G38)),G38&lt;0,IFERROR(IF(INDEX('Facilities'!$Z$9:$Z$108,MATCH(C38,'Facilities'!$C$9:$C$108,0))="","",INDEX('Facilities'!$Z$9:$Z$108,MATCH(C38,'Facilities'!$C$9:$C$108,0))),"")&lt;=0),"Drawn value required",IF(COUNTIFS('Inventory'!$C$9:$C$108,F38)&lt;&gt;1,"Entity required",IF(OR(E38&lt;&gt;IFERROR(IF(INDEX('Inventory'!$F$9:$F$108,MATCH(F38,'Inventory'!$C$9:$C$108,0))="","",INDEX('Inventory'!$F$9:$F$108,MATCH(F38,'Inventory'!$C$9:$C$108,0))),""),D38&lt;&gt;IFERROR(IF(INDEX('Inventory'!$D$9:$D$108,MATCH(F38,'Inventory'!$C$9:$C$108,0))="","",INDEX('Inventory'!$D$9:$D$108,MATCH(F38,'Inventory'!$C$9:$C$108,0))),"")),"Entity / class mismatch",IF(IFERROR(IF(INDEX('Inventory'!$AL$9:$AL$108,MATCH(F38,'Inventory'!$C$9:$C$108,0))="","",INDEX('Inventory'!$AL$9:$AL$108,MATCH(F38,'Inventory'!$C$9:$C$108,0))),"")&lt;&gt;"Ready",IFERROR(IF(INDEX('Inventory'!$AL$9:$AL$108,MATCH(F38,'Inventory'!$C$9:$C$108,0))="","",INDEX('Inventory'!$AL$9:$AL$108,MATCH(F38,'Inventory'!$C$9:$C$108,0))),""),IF(AND(OR(E38="Project finance",E38="CRE",E38="Mortgage",E38="Motor"),IFERROR(IF(INDEX('Facilities'!$V$9:$V$108,MATCH(C38,'Facilities'!$C$9:$C$108,0))="","",INDEX('Facilities'!$V$9:$V$108,MATCH(C38,'Facilities'!$C$9:$C$108,0))),"")&lt;&gt;"Designated asset"),"Purpose review",IF(X38&gt;H38,"Exposure exceeds value","Ready"))))))))</x:f>
        <x:v>Ready</x:v>
      </x:c>
      <x:c r="S38" s="9" t="str">
        <x:f>IF(C38="","",IFERROR(IF(INDEX('Inventory'!$V$9:$V$108,MATCH(F38,'Inventory'!$C$9:$C$108,0))="","",INDEX('Inventory'!$V$9:$V$108,MATCH(F38,'Inventory'!$C$9:$C$108,0))),""))</x:f>
        <x:v>Ready</x:v>
      </x:c>
      <x:c r="T38" s="9" t="str">
        <x:f>IF(C38="","",IFERROR(IF(INDEX('Inventory'!$AB$9:$AB$108,MATCH(F38,'Inventory'!$C$9:$C$108,0))="","",INDEX('Inventory'!$AB$9:$AB$108,MATCH(F38,'Inventory'!$C$9:$C$108,0))),""))</x:f>
        <x:v>Ready</x:v>
      </x:c>
      <x:c r="U38" s="9" t="str">
        <x:f>IF(C38="","",IFERROR(IF(INDEX('Inventory'!$AI$9:$AI$108,MATCH(F38,'Inventory'!$C$9:$C$108,0))="","",INDEX('Inventory'!$AI$9:$AI$108,MATCH(F38,'Inventory'!$C$9:$C$108,0))),""))</x:f>
        <x:v>Ready</x:v>
      </x:c>
      <x:c r="V38" s="43" t="n">
        <x:f>IF(C38="","",IFERROR(IF(INDEX('Inventory'!$P$9:$P$108,MATCH(F38,'Inventory'!$C$9:$C$108,0))="","",INDEX('Inventory'!$P$9:$P$108,MATCH(F38,'Inventory'!$C$9:$C$108,0))),""))</x:f>
        <x:v>46752</x:v>
      </x:c>
      <x:c r="W38" s="3" t="str">
        <x:f>IF(C38="","",IF(E38="Corporate listed","PCAF 2025 pp40-46",IF(E38="Corporate private","PCAF 2025 pp55-60",IF(E38="Project finance","PCAF 2025 pp67-71",IF(E38="CRE","PCAF 2025 pp77-81",IF(E38="Mortgage","PCAF 2025 pp83-87",IF(E38="Motor","PCAF 2025 pp90-94","Method required")))))))</x:f>
        <x:v>PCAF 2025 pp55-60</x:v>
      </x:c>
      <x:c r="X38" s="23" t="n">
        <x:f>IF(C38="","",SUMIFS('Facilities'!$AA$9:$AA$108,'Facilities'!$U$9:$U$108,F38))</x:f>
        <x:v>10.95</x:v>
      </x:c>
      <x:c r="Y38" s="21" t="n">
        <x:f>IF(AND(R38="Ready",S38="Ready"),G38,0)</x:f>
        <x:v>10.95</x:v>
      </x:c>
      <x:c r="Z38" s="21" t="n">
        <x:f>IF(AND(R38="Ready",T38="Ready"),G38,0)</x:f>
        <x:v>10.95</x:v>
      </x:c>
      <x:c r="AA38" s="21" t="n">
        <x:f>IF(Y38&gt;0,Y38*O38,0)</x:f>
        <x:v>21.9</x:v>
      </x:c>
      <x:c r="AB38" s="21" t="n">
        <x:f>IF(Z38&gt;0,Z38*P38,0)</x:f>
        <x:v>21.9</x:v>
      </x:c>
      <x:c r="AC38" s="21" t="n">
        <x:f>IF(N38&gt;0,N38*Q38,0)</x:f>
        <x:v>21.9</x:v>
      </x:c>
      <x:c r="AD38" s="21" t="n">
        <x:f>IF(M38&gt;0,M38*MAX(O38,P38),0)</x:f>
        <x:v>21.9</x:v>
      </x:c>
      <x:c r="AE38" s="9" t="str">
        <x:f>IF(C38="","",IFERROR(IF(INDEX('Inventory'!$AC$9:$AC$108,MATCH(F38,'Inventory'!$C$9:$C$108,0))="","",INDEX('Inventory'!$AC$9:$AC$108,MATCH(F38,'Inventory'!$C$9:$C$108,0))),""))</x:f>
        <x:v>Location-based</x:v>
      </x:c>
      <x:c r="AF38" s="9" t="str">
        <x:f>IF(C38="","",IFERROR(IF(INDEX('Inventory'!$AN$9:$AN$108,MATCH(F38,'Inventory'!$C$9:$C$108,0))="","",INDEX('Inventory'!$AN$9:$AN$108,MATCH(F38,'Inventory'!$C$9:$C$108,0))),""))</x:f>
        <x:v>Single boundary</x:v>
      </x:c>
    </x:row>
    <x:row r="39" ht="26" customHeight="1">
      <x:c r="A39" s="1"/>
      <x:c r="B39" s="1"/>
      <x:c r="C39" s="9" t="str">
        <x:f>IF('Facilities'!C39="","",'Facilities'!C39)</x:f>
        <x:v>F031</x:v>
      </x:c>
      <x:c r="D39" s="9" t="str">
        <x:f>IF(C39="","",IFERROR(IF(INDEX('Facilities'!$D$9:$D$108,MATCH(C39,'Facilities'!$C$9:$C$108,0))="","",INDEX('Facilities'!$D$9:$D$108,MATCH(C39,'Facilities'!$C$9:$C$108,0))),""))</x:f>
        <x:v>B019</x:v>
      </x:c>
      <x:c r="E39" s="9" t="str">
        <x:f>IF(C39="","",IFERROR(IF(INDEX('Facilities'!$E$9:$E$108,MATCH(C39,'Facilities'!$C$9:$C$108,0))="","",INDEX('Facilities'!$E$9:$E$108,MATCH(C39,'Facilities'!$C$9:$C$108,0))),""))</x:f>
        <x:v>Corporate private</x:v>
      </x:c>
      <x:c r="F39" s="9" t="str">
        <x:f>IF(C39="","",IFERROR(IF(INDEX('Facilities'!$U$9:$U$108,MATCH(C39,'Facilities'!$C$9:$C$108,0))="","",INDEX('Facilities'!$U$9:$U$108,MATCH(C39,'Facilities'!$C$9:$C$108,0))),""))</x:f>
        <x:v>B019</x:v>
      </x:c>
      <x:c r="G39" s="23" t="n">
        <x:f>IF(C39="","",IFERROR(IF(INDEX('Facilities'!$AA$9:$AA$108,MATCH(C39,'Facilities'!$C$9:$C$108,0))="","",INDEX('Facilities'!$AA$9:$AA$108,MATCH(C39,'Facilities'!$C$9:$C$108,0))),""))</x:f>
        <x:v>11.3</x:v>
      </x:c>
      <x:c r="H39" s="23" t="n">
        <x:f>IF(C39="","",IFERROR(IF(INDEX('Inventory'!$N$9:$N$108,MATCH(F39,'Inventory'!$C$9:$C$108,0))="","",INDEX('Inventory'!$N$9:$N$108,MATCH(F39,'Inventory'!$C$9:$C$108,0))),""))</x:f>
        <x:v>155</x:v>
      </x:c>
      <x:c r="I39" s="17" t="n">
        <x:f>IF(R39="Ready",G39/H39,"")</x:f>
        <x:v>0.07290322580645162</x:v>
      </x:c>
      <x:c r="J39" s="23" t="n">
        <x:f>IF(AND(R39="Ready",S39="Ready"),I39*IFERROR(IF(INDEX('Inventory'!$T$9:$T$108,MATCH(F39,'Inventory'!$C$9:$C$108,0))="","",INDEX('Inventory'!$T$9:$T$108,MATCH(F39,'Inventory'!$C$9:$C$108,0))),""),"")</x:f>
        <x:v>363.05806451612904</x:v>
      </x:c>
      <x:c r="K39" s="23" t="n">
        <x:f>IF(AND(R39="Ready",T39="Ready"),I39*IFERROR(IF(INDEX('Inventory'!$Z$9:$Z$108,MATCH(F39,'Inventory'!$C$9:$C$108,0))="","",INDEX('Inventory'!$Z$9:$Z$108,MATCH(F39,'Inventory'!$C$9:$C$108,0))),""),"")</x:f>
        <x:v>298.90322580645164</x:v>
      </x:c>
      <x:c r="L39" s="23" t="n">
        <x:f>IF(AND(R39="Ready",U39="Ready"),I39*IFERROR(IF(INDEX('Inventory'!$AG$9:$AG$108,MATCH(F39,'Inventory'!$C$9:$C$108,0))="","",INDEX('Inventory'!$AG$9:$AG$108,MATCH(F39,'Inventory'!$C$9:$C$108,0))),""),"")</x:f>
        <x:v>1837.1612903225807</x:v>
      </x:c>
      <x:c r="M39" s="21" t="n">
        <x:f>IF(AND(R39="Ready",S39="Ready",T39="Ready"),G39,0)</x:f>
        <x:v>11.3</x:v>
      </x:c>
      <x:c r="N39" s="21" t="n">
        <x:f>IF(AND(R39="Ready",U39="Ready"),G39,0)</x:f>
        <x:v>11.3</x:v>
      </x:c>
      <x:c r="O39" s="42" t="n">
        <x:f>IF(C39="","",IFERROR(IF(INDEX('Inventory'!$U$9:$U$108,MATCH(F39,'Inventory'!$C$9:$C$108,0))="","",INDEX('Inventory'!$U$9:$U$108,MATCH(F39,'Inventory'!$C$9:$C$108,0))),""))</x:f>
        <x:v>1</x:v>
      </x:c>
      <x:c r="P39" s="42" t="n">
        <x:f>IF(C39="","",IFERROR(IF(INDEX('Inventory'!$AA$9:$AA$108,MATCH(F39,'Inventory'!$C$9:$C$108,0))="","",INDEX('Inventory'!$AA$9:$AA$108,MATCH(F39,'Inventory'!$C$9:$C$108,0))),""))</x:f>
        <x:v>1</x:v>
      </x:c>
      <x:c r="Q39" s="42" t="n">
        <x:f>IF(C39="","",IFERROR(IF(INDEX('Inventory'!$AH$9:$AH$108,MATCH(F39,'Inventory'!$C$9:$C$108,0))="","",INDEX('Inventory'!$AH$9:$AH$108,MATCH(F39,'Inventory'!$C$9:$C$108,0))),""))</x:f>
        <x:v>2</x:v>
      </x:c>
      <x:c r="R39" s="9" t="str">
        <x:f>IF(C39="","",IF(COUNTIFS('Facilities'!$C$9:$C$108,C39)&lt;&gt;1,"Duplicate facility ID",IF(OR(NOT(ISNUMBER(IFERROR(IF(INDEX('Facilities'!$G$9:$G$108,MATCH(C39,'Facilities'!$C$9:$C$108,0))="","",INDEX('Facilities'!$G$9:$G$108,MATCH(C39,'Facilities'!$C$9:$C$108,0))),""))),NOT(ISNUMBER(G39)),G39&lt;0,IFERROR(IF(INDEX('Facilities'!$Z$9:$Z$108,MATCH(C39,'Facilities'!$C$9:$C$108,0))="","",INDEX('Facilities'!$Z$9:$Z$108,MATCH(C39,'Facilities'!$C$9:$C$108,0))),"")&lt;=0),"Drawn value required",IF(COUNTIFS('Inventory'!$C$9:$C$108,F39)&lt;&gt;1,"Entity required",IF(OR(E39&lt;&gt;IFERROR(IF(INDEX('Inventory'!$F$9:$F$108,MATCH(F39,'Inventory'!$C$9:$C$108,0))="","",INDEX('Inventory'!$F$9:$F$108,MATCH(F39,'Inventory'!$C$9:$C$108,0))),""),D39&lt;&gt;IFERROR(IF(INDEX('Inventory'!$D$9:$D$108,MATCH(F39,'Inventory'!$C$9:$C$108,0))="","",INDEX('Inventory'!$D$9:$D$108,MATCH(F39,'Inventory'!$C$9:$C$108,0))),"")),"Entity / class mismatch",IF(IFERROR(IF(INDEX('Inventory'!$AL$9:$AL$108,MATCH(F39,'Inventory'!$C$9:$C$108,0))="","",INDEX('Inventory'!$AL$9:$AL$108,MATCH(F39,'Inventory'!$C$9:$C$108,0))),"")&lt;&gt;"Ready",IFERROR(IF(INDEX('Inventory'!$AL$9:$AL$108,MATCH(F39,'Inventory'!$C$9:$C$108,0))="","",INDEX('Inventory'!$AL$9:$AL$108,MATCH(F39,'Inventory'!$C$9:$C$108,0))),""),IF(AND(OR(E39="Project finance",E39="CRE",E39="Mortgage",E39="Motor"),IFERROR(IF(INDEX('Facilities'!$V$9:$V$108,MATCH(C39,'Facilities'!$C$9:$C$108,0))="","",INDEX('Facilities'!$V$9:$V$108,MATCH(C39,'Facilities'!$C$9:$C$108,0))),"")&lt;&gt;"Designated asset"),"Purpose review",IF(X39&gt;H39,"Exposure exceeds value","Ready"))))))))</x:f>
        <x:v>Ready</x:v>
      </x:c>
      <x:c r="S39" s="9" t="str">
        <x:f>IF(C39="","",IFERROR(IF(INDEX('Inventory'!$V$9:$V$108,MATCH(F39,'Inventory'!$C$9:$C$108,0))="","",INDEX('Inventory'!$V$9:$V$108,MATCH(F39,'Inventory'!$C$9:$C$108,0))),""))</x:f>
        <x:v>Ready</x:v>
      </x:c>
      <x:c r="T39" s="9" t="str">
        <x:f>IF(C39="","",IFERROR(IF(INDEX('Inventory'!$AB$9:$AB$108,MATCH(F39,'Inventory'!$C$9:$C$108,0))="","",INDEX('Inventory'!$AB$9:$AB$108,MATCH(F39,'Inventory'!$C$9:$C$108,0))),""))</x:f>
        <x:v>Ready</x:v>
      </x:c>
      <x:c r="U39" s="9" t="str">
        <x:f>IF(C39="","",IFERROR(IF(INDEX('Inventory'!$AI$9:$AI$108,MATCH(F39,'Inventory'!$C$9:$C$108,0))="","",INDEX('Inventory'!$AI$9:$AI$108,MATCH(F39,'Inventory'!$C$9:$C$108,0))),""))</x:f>
        <x:v>Ready</x:v>
      </x:c>
      <x:c r="V39" s="43" t="n">
        <x:f>IF(C39="","",IFERROR(IF(INDEX('Inventory'!$P$9:$P$108,MATCH(F39,'Inventory'!$C$9:$C$108,0))="","",INDEX('Inventory'!$P$9:$P$108,MATCH(F39,'Inventory'!$C$9:$C$108,0))),""))</x:f>
        <x:v>46752</x:v>
      </x:c>
      <x:c r="W39" s="3" t="str">
        <x:f>IF(C39="","",IF(E39="Corporate listed","PCAF 2025 pp40-46",IF(E39="Corporate private","PCAF 2025 pp55-60",IF(E39="Project finance","PCAF 2025 pp67-71",IF(E39="CRE","PCAF 2025 pp77-81",IF(E39="Mortgage","PCAF 2025 pp83-87",IF(E39="Motor","PCAF 2025 pp90-94","Method required")))))))</x:f>
        <x:v>PCAF 2025 pp55-60</x:v>
      </x:c>
      <x:c r="X39" s="23" t="n">
        <x:f>IF(C39="","",SUMIFS('Facilities'!$AA$9:$AA$108,'Facilities'!$U$9:$U$108,F39))</x:f>
        <x:v>11.3</x:v>
      </x:c>
      <x:c r="Y39" s="21" t="n">
        <x:f>IF(AND(R39="Ready",S39="Ready"),G39,0)</x:f>
        <x:v>11.3</x:v>
      </x:c>
      <x:c r="Z39" s="21" t="n">
        <x:f>IF(AND(R39="Ready",T39="Ready"),G39,0)</x:f>
        <x:v>11.3</x:v>
      </x:c>
      <x:c r="AA39" s="21" t="n">
        <x:f>IF(Y39&gt;0,Y39*O39,0)</x:f>
        <x:v>11.3</x:v>
      </x:c>
      <x:c r="AB39" s="21" t="n">
        <x:f>IF(Z39&gt;0,Z39*P39,0)</x:f>
        <x:v>11.3</x:v>
      </x:c>
      <x:c r="AC39" s="21" t="n">
        <x:f>IF(N39&gt;0,N39*Q39,0)</x:f>
        <x:v>22.6</x:v>
      </x:c>
      <x:c r="AD39" s="21" t="n">
        <x:f>IF(M39&gt;0,M39*MAX(O39,P39),0)</x:f>
        <x:v>11.3</x:v>
      </x:c>
      <x:c r="AE39" s="9" t="str">
        <x:f>IF(C39="","",IFERROR(IF(INDEX('Inventory'!$AC$9:$AC$108,MATCH(F39,'Inventory'!$C$9:$C$108,0))="","",INDEX('Inventory'!$AC$9:$AC$108,MATCH(F39,'Inventory'!$C$9:$C$108,0))),""))</x:f>
        <x:v>Location-based</x:v>
      </x:c>
      <x:c r="AF39" s="9" t="str">
        <x:f>IF(C39="","",IFERROR(IF(INDEX('Inventory'!$AN$9:$AN$108,MATCH(F39,'Inventory'!$C$9:$C$108,0))="","",INDEX('Inventory'!$AN$9:$AN$108,MATCH(F39,'Inventory'!$C$9:$C$108,0))),""))</x:f>
        <x:v>Single boundary</x:v>
      </x:c>
    </x:row>
    <x:row r="40" ht="26" customHeight="1">
      <x:c r="A40" s="1"/>
      <x:c r="B40" s="1"/>
      <x:c r="C40" s="9" t="str">
        <x:f>IF('Facilities'!C40="","",'Facilities'!C40)</x:f>
        <x:v>F032</x:v>
      </x:c>
      <x:c r="D40" s="9" t="str">
        <x:f>IF(C40="","",IFERROR(IF(INDEX('Facilities'!$D$9:$D$108,MATCH(C40,'Facilities'!$C$9:$C$108,0))="","",INDEX('Facilities'!$D$9:$D$108,MATCH(C40,'Facilities'!$C$9:$C$108,0))),""))</x:f>
        <x:v>B020</x:v>
      </x:c>
      <x:c r="E40" s="9" t="str">
        <x:f>IF(C40="","",IFERROR(IF(INDEX('Facilities'!$E$9:$E$108,MATCH(C40,'Facilities'!$C$9:$C$108,0))="","",INDEX('Facilities'!$E$9:$E$108,MATCH(C40,'Facilities'!$C$9:$C$108,0))),""))</x:f>
        <x:v>Corporate private</x:v>
      </x:c>
      <x:c r="F40" s="9" t="str">
        <x:f>IF(C40="","",IFERROR(IF(INDEX('Facilities'!$U$9:$U$108,MATCH(C40,'Facilities'!$C$9:$C$108,0))="","",INDEX('Facilities'!$U$9:$U$108,MATCH(C40,'Facilities'!$C$9:$C$108,0))),""))</x:f>
        <x:v>B020</x:v>
      </x:c>
      <x:c r="G40" s="23" t="n">
        <x:f>IF(C40="","",IFERROR(IF(INDEX('Facilities'!$AA$9:$AA$108,MATCH(C40,'Facilities'!$C$9:$C$108,0))="","",INDEX('Facilities'!$AA$9:$AA$108,MATCH(C40,'Facilities'!$C$9:$C$108,0))),""))</x:f>
        <x:v>11.649999999999999</x:v>
      </x:c>
      <x:c r="H40" s="23" t="n">
        <x:f>IF(C40="","",IFERROR(IF(INDEX('Inventory'!$N$9:$N$108,MATCH(F40,'Inventory'!$C$9:$C$108,0))="","",INDEX('Inventory'!$N$9:$N$108,MATCH(F40,'Inventory'!$C$9:$C$108,0))),""))</x:f>
        <x:v>160</x:v>
      </x:c>
      <x:c r="I40" s="17" t="n">
        <x:f>IF(R40="Ready",G40/H40,"")</x:f>
        <x:v>0.07281249999999999</x:v>
      </x:c>
      <x:c r="J40" s="23" t="n">
        <x:f>IF(AND(R40="Ready",S40="Ready"),I40*IFERROR(IF(INDEX('Inventory'!$T$9:$T$108,MATCH(F40,'Inventory'!$C$9:$C$108,0))="","",INDEX('Inventory'!$T$9:$T$108,MATCH(F40,'Inventory'!$C$9:$C$108,0))),""),"")</x:f>
        <x:v>174.25778749999995</x:v>
      </x:c>
      <x:c r="K40" s="23" t="n">
        <x:f>IF(AND(R40="Ready",T40="Ready"),I40*IFERROR(IF(INDEX('Inventory'!$Z$9:$Z$108,MATCH(F40,'Inventory'!$C$9:$C$108,0))="","",INDEX('Inventory'!$Z$9:$Z$108,MATCH(F40,'Inventory'!$C$9:$C$108,0))),""),"")</x:f>
        <x:v>111.36671874999998</x:v>
      </x:c>
      <x:c r="L40" s="23" t="n">
        <x:f>IF(AND(R40="Ready",U40="Ready"),I40*IFERROR(IF(INDEX('Inventory'!$AG$9:$AG$108,MATCH(F40,'Inventory'!$C$9:$C$108,0))="","",INDEX('Inventory'!$AG$9:$AG$108,MATCH(F40,'Inventory'!$C$9:$C$108,0))),""),"")</x:f>
        <x:v>1893.1249999999998</x:v>
      </x:c>
      <x:c r="M40" s="21" t="n">
        <x:f>IF(AND(R40="Ready",S40="Ready",T40="Ready"),G40,0)</x:f>
        <x:v>11.649999999999999</x:v>
      </x:c>
      <x:c r="N40" s="21" t="n">
        <x:f>IF(AND(R40="Ready",U40="Ready"),G40,0)</x:f>
        <x:v>11.649999999999999</x:v>
      </x:c>
      <x:c r="O40" s="42" t="n">
        <x:f>IF(C40="","",IFERROR(IF(INDEX('Inventory'!$U$9:$U$108,MATCH(F40,'Inventory'!$C$9:$C$108,0))="","",INDEX('Inventory'!$U$9:$U$108,MATCH(F40,'Inventory'!$C$9:$C$108,0))),""))</x:f>
        <x:v>2</x:v>
      </x:c>
      <x:c r="P40" s="42" t="n">
        <x:f>IF(C40="","",IFERROR(IF(INDEX('Inventory'!$AA$9:$AA$108,MATCH(F40,'Inventory'!$C$9:$C$108,0))="","",INDEX('Inventory'!$AA$9:$AA$108,MATCH(F40,'Inventory'!$C$9:$C$108,0))),""))</x:f>
        <x:v>2</x:v>
      </x:c>
      <x:c r="Q40" s="42" t="n">
        <x:f>IF(C40="","",IFERROR(IF(INDEX('Inventory'!$AH$9:$AH$108,MATCH(F40,'Inventory'!$C$9:$C$108,0))="","",INDEX('Inventory'!$AH$9:$AH$108,MATCH(F40,'Inventory'!$C$9:$C$108,0))),""))</x:f>
        <x:v>2</x:v>
      </x:c>
      <x:c r="R40" s="9" t="str">
        <x:f>IF(C40="","",IF(COUNTIFS('Facilities'!$C$9:$C$108,C40)&lt;&gt;1,"Duplicate facility ID",IF(OR(NOT(ISNUMBER(IFERROR(IF(INDEX('Facilities'!$G$9:$G$108,MATCH(C40,'Facilities'!$C$9:$C$108,0))="","",INDEX('Facilities'!$G$9:$G$108,MATCH(C40,'Facilities'!$C$9:$C$108,0))),""))),NOT(ISNUMBER(G40)),G40&lt;0,IFERROR(IF(INDEX('Facilities'!$Z$9:$Z$108,MATCH(C40,'Facilities'!$C$9:$C$108,0))="","",INDEX('Facilities'!$Z$9:$Z$108,MATCH(C40,'Facilities'!$C$9:$C$108,0))),"")&lt;=0),"Drawn value required",IF(COUNTIFS('Inventory'!$C$9:$C$108,F40)&lt;&gt;1,"Entity required",IF(OR(E40&lt;&gt;IFERROR(IF(INDEX('Inventory'!$F$9:$F$108,MATCH(F40,'Inventory'!$C$9:$C$108,0))="","",INDEX('Inventory'!$F$9:$F$108,MATCH(F40,'Inventory'!$C$9:$C$108,0))),""),D40&lt;&gt;IFERROR(IF(INDEX('Inventory'!$D$9:$D$108,MATCH(F40,'Inventory'!$C$9:$C$108,0))="","",INDEX('Inventory'!$D$9:$D$108,MATCH(F40,'Inventory'!$C$9:$C$108,0))),"")),"Entity / class mismatch",IF(IFERROR(IF(INDEX('Inventory'!$AL$9:$AL$108,MATCH(F40,'Inventory'!$C$9:$C$108,0))="","",INDEX('Inventory'!$AL$9:$AL$108,MATCH(F40,'Inventory'!$C$9:$C$108,0))),"")&lt;&gt;"Ready",IFERROR(IF(INDEX('Inventory'!$AL$9:$AL$108,MATCH(F40,'Inventory'!$C$9:$C$108,0))="","",INDEX('Inventory'!$AL$9:$AL$108,MATCH(F40,'Inventory'!$C$9:$C$108,0))),""),IF(AND(OR(E40="Project finance",E40="CRE",E40="Mortgage",E40="Motor"),IFERROR(IF(INDEX('Facilities'!$V$9:$V$108,MATCH(C40,'Facilities'!$C$9:$C$108,0))="","",INDEX('Facilities'!$V$9:$V$108,MATCH(C40,'Facilities'!$C$9:$C$108,0))),"")&lt;&gt;"Designated asset"),"Purpose review",IF(X40&gt;H40,"Exposure exceeds value","Ready"))))))))</x:f>
        <x:v>Ready</x:v>
      </x:c>
      <x:c r="S40" s="9" t="str">
        <x:f>IF(C40="","",IFERROR(IF(INDEX('Inventory'!$V$9:$V$108,MATCH(F40,'Inventory'!$C$9:$C$108,0))="","",INDEX('Inventory'!$V$9:$V$108,MATCH(F40,'Inventory'!$C$9:$C$108,0))),""))</x:f>
        <x:v>Ready</x:v>
      </x:c>
      <x:c r="T40" s="9" t="str">
        <x:f>IF(C40="","",IFERROR(IF(INDEX('Inventory'!$AB$9:$AB$108,MATCH(F40,'Inventory'!$C$9:$C$108,0))="","",INDEX('Inventory'!$AB$9:$AB$108,MATCH(F40,'Inventory'!$C$9:$C$108,0))),""))</x:f>
        <x:v>Ready</x:v>
      </x:c>
      <x:c r="U40" s="9" t="str">
        <x:f>IF(C40="","",IFERROR(IF(INDEX('Inventory'!$AI$9:$AI$108,MATCH(F40,'Inventory'!$C$9:$C$108,0))="","",INDEX('Inventory'!$AI$9:$AI$108,MATCH(F40,'Inventory'!$C$9:$C$108,0))),""))</x:f>
        <x:v>Ready</x:v>
      </x:c>
      <x:c r="V40" s="43" t="n">
        <x:f>IF(C40="","",IFERROR(IF(INDEX('Inventory'!$P$9:$P$108,MATCH(F40,'Inventory'!$C$9:$C$108,0))="","",INDEX('Inventory'!$P$9:$P$108,MATCH(F40,'Inventory'!$C$9:$C$108,0))),""))</x:f>
        <x:v>46752</x:v>
      </x:c>
      <x:c r="W40" s="3" t="str">
        <x:f>IF(C40="","",IF(E40="Corporate listed","PCAF 2025 pp40-46",IF(E40="Corporate private","PCAF 2025 pp55-60",IF(E40="Project finance","PCAF 2025 pp67-71",IF(E40="CRE","PCAF 2025 pp77-81",IF(E40="Mortgage","PCAF 2025 pp83-87",IF(E40="Motor","PCAF 2025 pp90-94","Method required")))))))</x:f>
        <x:v>PCAF 2025 pp55-60</x:v>
      </x:c>
      <x:c r="X40" s="23" t="n">
        <x:f>IF(C40="","",SUMIFS('Facilities'!$AA$9:$AA$108,'Facilities'!$U$9:$U$108,F40))</x:f>
        <x:v>11.649999999999999</x:v>
      </x:c>
      <x:c r="Y40" s="21" t="n">
        <x:f>IF(AND(R40="Ready",S40="Ready"),G40,0)</x:f>
        <x:v>11.649999999999999</x:v>
      </x:c>
      <x:c r="Z40" s="21" t="n">
        <x:f>IF(AND(R40="Ready",T40="Ready"),G40,0)</x:f>
        <x:v>11.649999999999999</x:v>
      </x:c>
      <x:c r="AA40" s="21" t="n">
        <x:f>IF(Y40&gt;0,Y40*O40,0)</x:f>
        <x:v>23.299999999999997</x:v>
      </x:c>
      <x:c r="AB40" s="21" t="n">
        <x:f>IF(Z40&gt;0,Z40*P40,0)</x:f>
        <x:v>23.299999999999997</x:v>
      </x:c>
      <x:c r="AC40" s="21" t="n">
        <x:f>IF(N40&gt;0,N40*Q40,0)</x:f>
        <x:v>23.299999999999997</x:v>
      </x:c>
      <x:c r="AD40" s="21" t="n">
        <x:f>IF(M40&gt;0,M40*MAX(O40,P40),0)</x:f>
        <x:v>23.299999999999997</x:v>
      </x:c>
      <x:c r="AE40" s="9" t="str">
        <x:f>IF(C40="","",IFERROR(IF(INDEX('Inventory'!$AC$9:$AC$108,MATCH(F40,'Inventory'!$C$9:$C$108,0))="","",INDEX('Inventory'!$AC$9:$AC$108,MATCH(F40,'Inventory'!$C$9:$C$108,0))),""))</x:f>
        <x:v>Location-based</x:v>
      </x:c>
      <x:c r="AF40" s="9" t="str">
        <x:f>IF(C40="","",IFERROR(IF(INDEX('Inventory'!$AN$9:$AN$108,MATCH(F40,'Inventory'!$C$9:$C$108,0))="","",INDEX('Inventory'!$AN$9:$AN$108,MATCH(F40,'Inventory'!$C$9:$C$108,0))),""))</x:f>
        <x:v>Single boundary</x:v>
      </x:c>
    </x:row>
    <x:row r="41" ht="26" customHeight="1">
      <x:c r="A41" s="1"/>
      <x:c r="B41" s="1"/>
      <x:c r="C41" s="9" t="str">
        <x:f>IF('Facilities'!C41="","",'Facilities'!C41)</x:f>
        <x:v>F033</x:v>
      </x:c>
      <x:c r="D41" s="9" t="str">
        <x:f>IF(C41="","",IFERROR(IF(INDEX('Facilities'!$D$9:$D$108,MATCH(C41,'Facilities'!$C$9:$C$108,0))="","",INDEX('Facilities'!$D$9:$D$108,MATCH(C41,'Facilities'!$C$9:$C$108,0))),""))</x:f>
        <x:v>B021</x:v>
      </x:c>
      <x:c r="E41" s="9" t="str">
        <x:f>IF(C41="","",IFERROR(IF(INDEX('Facilities'!$E$9:$E$108,MATCH(C41,'Facilities'!$C$9:$C$108,0))="","",INDEX('Facilities'!$E$9:$E$108,MATCH(C41,'Facilities'!$C$9:$C$108,0))),""))</x:f>
        <x:v>Corporate listed</x:v>
      </x:c>
      <x:c r="F41" s="9" t="str">
        <x:f>IF(C41="","",IFERROR(IF(INDEX('Facilities'!$U$9:$U$108,MATCH(C41,'Facilities'!$C$9:$C$108,0))="","",INDEX('Facilities'!$U$9:$U$108,MATCH(C41,'Facilities'!$C$9:$C$108,0))),""))</x:f>
        <x:v>B021</x:v>
      </x:c>
      <x:c r="G41" s="23" t="n">
        <x:f>IF(C41="","",IFERROR(IF(INDEX('Facilities'!$AA$9:$AA$108,MATCH(C41,'Facilities'!$C$9:$C$108,0))="","",INDEX('Facilities'!$AA$9:$AA$108,MATCH(C41,'Facilities'!$C$9:$C$108,0))),""))</x:f>
        <x:v>12</x:v>
      </x:c>
      <x:c r="H41" s="23" t="n">
        <x:f>IF(C41="","",IFERROR(IF(INDEX('Inventory'!$N$9:$N$108,MATCH(F41,'Inventory'!$C$9:$C$108,0))="","",INDEX('Inventory'!$N$9:$N$108,MATCH(F41,'Inventory'!$C$9:$C$108,0))),""))</x:f>
        <x:v>230</x:v>
      </x:c>
      <x:c r="I41" s="17" t="n">
        <x:f>IF(R41="Ready",G41/H41,"")</x:f>
        <x:v>0.05217391304347826</x:v>
      </x:c>
      <x:c r="J41" s="23" t="n">
        <x:f>IF(AND(R41="Ready",S41="Ready"),I41*IFERROR(IF(INDEX('Inventory'!$T$9:$T$108,MATCH(F41,'Inventory'!$C$9:$C$108,0))="","",INDEX('Inventory'!$T$9:$T$108,MATCH(F41,'Inventory'!$C$9:$C$108,0))),""),"")</x:f>
        <x:v>277.5652173913043</x:v>
      </x:c>
      <x:c r="K41" s="23" t="n">
        <x:f>IF(AND(R41="Ready",T41="Ready"),I41*IFERROR(IF(INDEX('Inventory'!$Z$9:$Z$108,MATCH(F41,'Inventory'!$C$9:$C$108,0))="","",INDEX('Inventory'!$Z$9:$Z$108,MATCH(F41,'Inventory'!$C$9:$C$108,0))),""),"")</x:f>
        <x:v>224.3478260869565</x:v>
      </x:c>
      <x:c r="L41" s="23" t="n">
        <x:f>IF(AND(R41="Ready",U41="Ready"),I41*IFERROR(IF(INDEX('Inventory'!$AG$9:$AG$108,MATCH(F41,'Inventory'!$C$9:$C$108,0))="","",INDEX('Inventory'!$AG$9:$AG$108,MATCH(F41,'Inventory'!$C$9:$C$108,0))),""),"")</x:f>
        <x:v>1398.2608695652173</x:v>
      </x:c>
      <x:c r="M41" s="21" t="n">
        <x:f>IF(AND(R41="Ready",S41="Ready",T41="Ready"),G41,0)</x:f>
        <x:v>12</x:v>
      </x:c>
      <x:c r="N41" s="21" t="n">
        <x:f>IF(AND(R41="Ready",U41="Ready"),G41,0)</x:f>
        <x:v>12</x:v>
      </x:c>
      <x:c r="O41" s="42" t="n">
        <x:f>IF(C41="","",IFERROR(IF(INDEX('Inventory'!$U$9:$U$108,MATCH(F41,'Inventory'!$C$9:$C$108,0))="","",INDEX('Inventory'!$U$9:$U$108,MATCH(F41,'Inventory'!$C$9:$C$108,0))),""))</x:f>
        <x:v>2</x:v>
      </x:c>
      <x:c r="P41" s="42" t="n">
        <x:f>IF(C41="","",IFERROR(IF(INDEX('Inventory'!$AA$9:$AA$108,MATCH(F41,'Inventory'!$C$9:$C$108,0))="","",INDEX('Inventory'!$AA$9:$AA$108,MATCH(F41,'Inventory'!$C$9:$C$108,0))),""))</x:f>
        <x:v>2</x:v>
      </x:c>
      <x:c r="Q41" s="42" t="n">
        <x:f>IF(C41="","",IFERROR(IF(INDEX('Inventory'!$AH$9:$AH$108,MATCH(F41,'Inventory'!$C$9:$C$108,0))="","",INDEX('Inventory'!$AH$9:$AH$108,MATCH(F41,'Inventory'!$C$9:$C$108,0))),""))</x:f>
        <x:v>2</x:v>
      </x:c>
      <x:c r="R41" s="9" t="str">
        <x:f>IF(C41="","",IF(COUNTIFS('Facilities'!$C$9:$C$108,C41)&lt;&gt;1,"Duplicate facility ID",IF(OR(NOT(ISNUMBER(IFERROR(IF(INDEX('Facilities'!$G$9:$G$108,MATCH(C41,'Facilities'!$C$9:$C$108,0))="","",INDEX('Facilities'!$G$9:$G$108,MATCH(C41,'Facilities'!$C$9:$C$108,0))),""))),NOT(ISNUMBER(G41)),G41&lt;0,IFERROR(IF(INDEX('Facilities'!$Z$9:$Z$108,MATCH(C41,'Facilities'!$C$9:$C$108,0))="","",INDEX('Facilities'!$Z$9:$Z$108,MATCH(C41,'Facilities'!$C$9:$C$108,0))),"")&lt;=0),"Drawn value required",IF(COUNTIFS('Inventory'!$C$9:$C$108,F41)&lt;&gt;1,"Entity required",IF(OR(E41&lt;&gt;IFERROR(IF(INDEX('Inventory'!$F$9:$F$108,MATCH(F41,'Inventory'!$C$9:$C$108,0))="","",INDEX('Inventory'!$F$9:$F$108,MATCH(F41,'Inventory'!$C$9:$C$108,0))),""),D41&lt;&gt;IFERROR(IF(INDEX('Inventory'!$D$9:$D$108,MATCH(F41,'Inventory'!$C$9:$C$108,0))="","",INDEX('Inventory'!$D$9:$D$108,MATCH(F41,'Inventory'!$C$9:$C$108,0))),"")),"Entity / class mismatch",IF(IFERROR(IF(INDEX('Inventory'!$AL$9:$AL$108,MATCH(F41,'Inventory'!$C$9:$C$108,0))="","",INDEX('Inventory'!$AL$9:$AL$108,MATCH(F41,'Inventory'!$C$9:$C$108,0))),"")&lt;&gt;"Ready",IFERROR(IF(INDEX('Inventory'!$AL$9:$AL$108,MATCH(F41,'Inventory'!$C$9:$C$108,0))="","",INDEX('Inventory'!$AL$9:$AL$108,MATCH(F41,'Inventory'!$C$9:$C$108,0))),""),IF(AND(OR(E41="Project finance",E41="CRE",E41="Mortgage",E41="Motor"),IFERROR(IF(INDEX('Facilities'!$V$9:$V$108,MATCH(C41,'Facilities'!$C$9:$C$108,0))="","",INDEX('Facilities'!$V$9:$V$108,MATCH(C41,'Facilities'!$C$9:$C$108,0))),"")&lt;&gt;"Designated asset"),"Purpose review",IF(X41&gt;H41,"Exposure exceeds value","Ready"))))))))</x:f>
        <x:v>Ready</x:v>
      </x:c>
      <x:c r="S41" s="9" t="str">
        <x:f>IF(C41="","",IFERROR(IF(INDEX('Inventory'!$V$9:$V$108,MATCH(F41,'Inventory'!$C$9:$C$108,0))="","",INDEX('Inventory'!$V$9:$V$108,MATCH(F41,'Inventory'!$C$9:$C$108,0))),""))</x:f>
        <x:v>Ready</x:v>
      </x:c>
      <x:c r="T41" s="9" t="str">
        <x:f>IF(C41="","",IFERROR(IF(INDEX('Inventory'!$AB$9:$AB$108,MATCH(F41,'Inventory'!$C$9:$C$108,0))="","",INDEX('Inventory'!$AB$9:$AB$108,MATCH(F41,'Inventory'!$C$9:$C$108,0))),""))</x:f>
        <x:v>Ready</x:v>
      </x:c>
      <x:c r="U41" s="9" t="str">
        <x:f>IF(C41="","",IFERROR(IF(INDEX('Inventory'!$AI$9:$AI$108,MATCH(F41,'Inventory'!$C$9:$C$108,0))="","",INDEX('Inventory'!$AI$9:$AI$108,MATCH(F41,'Inventory'!$C$9:$C$108,0))),""))</x:f>
        <x:v>Ready</x:v>
      </x:c>
      <x:c r="V41" s="43" t="n">
        <x:f>IF(C41="","",IFERROR(IF(INDEX('Inventory'!$P$9:$P$108,MATCH(F41,'Inventory'!$C$9:$C$108,0))="","",INDEX('Inventory'!$P$9:$P$108,MATCH(F41,'Inventory'!$C$9:$C$108,0))),""))</x:f>
        <x:v>46752</x:v>
      </x:c>
      <x:c r="W41" s="3" t="str">
        <x:f>IF(C41="","",IF(E41="Corporate listed","PCAF 2025 pp40-46",IF(E41="Corporate private","PCAF 2025 pp55-60",IF(E41="Project finance","PCAF 2025 pp67-71",IF(E41="CRE","PCAF 2025 pp77-81",IF(E41="Mortgage","PCAF 2025 pp83-87",IF(E41="Motor","PCAF 2025 pp90-94","Method required")))))))</x:f>
        <x:v>PCAF 2025 pp40-46</x:v>
      </x:c>
      <x:c r="X41" s="23" t="n">
        <x:f>IF(C41="","",SUMIFS('Facilities'!$AA$9:$AA$108,'Facilities'!$U$9:$U$108,F41))</x:f>
        <x:v>12</x:v>
      </x:c>
      <x:c r="Y41" s="21" t="n">
        <x:f>IF(AND(R41="Ready",S41="Ready"),G41,0)</x:f>
        <x:v>12</x:v>
      </x:c>
      <x:c r="Z41" s="21" t="n">
        <x:f>IF(AND(R41="Ready",T41="Ready"),G41,0)</x:f>
        <x:v>12</x:v>
      </x:c>
      <x:c r="AA41" s="21" t="n">
        <x:f>IF(Y41&gt;0,Y41*O41,0)</x:f>
        <x:v>24</x:v>
      </x:c>
      <x:c r="AB41" s="21" t="n">
        <x:f>IF(Z41&gt;0,Z41*P41,0)</x:f>
        <x:v>24</x:v>
      </x:c>
      <x:c r="AC41" s="21" t="n">
        <x:f>IF(N41&gt;0,N41*Q41,0)</x:f>
        <x:v>24</x:v>
      </x:c>
      <x:c r="AD41" s="21" t="n">
        <x:f>IF(M41&gt;0,M41*MAX(O41,P41),0)</x:f>
        <x:v>24</x:v>
      </x:c>
      <x:c r="AE41" s="9" t="str">
        <x:f>IF(C41="","",IFERROR(IF(INDEX('Inventory'!$AC$9:$AC$108,MATCH(F41,'Inventory'!$C$9:$C$108,0))="","",INDEX('Inventory'!$AC$9:$AC$108,MATCH(F41,'Inventory'!$C$9:$C$108,0))),""))</x:f>
        <x:v>Location-based</x:v>
      </x:c>
      <x:c r="AF41" s="9" t="str">
        <x:f>IF(C41="","",IFERROR(IF(INDEX('Inventory'!$AN$9:$AN$108,MATCH(F41,'Inventory'!$C$9:$C$108,0))="","",INDEX('Inventory'!$AN$9:$AN$108,MATCH(F41,'Inventory'!$C$9:$C$108,0))),""))</x:f>
        <x:v>Single boundary</x:v>
      </x:c>
    </x:row>
    <x:row r="42" ht="26" customHeight="1">
      <x:c r="A42" s="1"/>
      <x:c r="B42" s="1"/>
      <x:c r="C42" s="9" t="str">
        <x:f>IF('Facilities'!C42="","",'Facilities'!C42)</x:f>
        <x:v>F034</x:v>
      </x:c>
      <x:c r="D42" s="9" t="str">
        <x:f>IF(C42="","",IFERROR(IF(INDEX('Facilities'!$D$9:$D$108,MATCH(C42,'Facilities'!$C$9:$C$108,0))="","",INDEX('Facilities'!$D$9:$D$108,MATCH(C42,'Facilities'!$C$9:$C$108,0))),""))</x:f>
        <x:v>B022</x:v>
      </x:c>
      <x:c r="E42" s="9" t="str">
        <x:f>IF(C42="","",IFERROR(IF(INDEX('Facilities'!$E$9:$E$108,MATCH(C42,'Facilities'!$C$9:$C$108,0))="","",INDEX('Facilities'!$E$9:$E$108,MATCH(C42,'Facilities'!$C$9:$C$108,0))),""))</x:f>
        <x:v>Corporate private</x:v>
      </x:c>
      <x:c r="F42" s="9" t="str">
        <x:f>IF(C42="","",IFERROR(IF(INDEX('Facilities'!$U$9:$U$108,MATCH(C42,'Facilities'!$C$9:$C$108,0))="","",INDEX('Facilities'!$U$9:$U$108,MATCH(C42,'Facilities'!$C$9:$C$108,0))),""))</x:f>
        <x:v>B022</x:v>
      </x:c>
      <x:c r="G42" s="23" t="n">
        <x:f>IF(C42="","",IFERROR(IF(INDEX('Facilities'!$AA$9:$AA$108,MATCH(C42,'Facilities'!$C$9:$C$108,0))="","",INDEX('Facilities'!$AA$9:$AA$108,MATCH(C42,'Facilities'!$C$9:$C$108,0))),""))</x:f>
        <x:v>12.35</x:v>
      </x:c>
      <x:c r="H42" s="23" t="n">
        <x:f>IF(C42="","",IFERROR(IF(INDEX('Inventory'!$N$9:$N$108,MATCH(F42,'Inventory'!$C$9:$C$108,0))="","",INDEX('Inventory'!$N$9:$N$108,MATCH(F42,'Inventory'!$C$9:$C$108,0))),""))</x:f>
        <x:v>170</x:v>
      </x:c>
      <x:c r="I42" s="17" t="n">
        <x:f>IF(R42="Ready",G42/H42,"")</x:f>
        <x:v>0.07264705882352941</x:v>
      </x:c>
      <x:c r="J42" s="23" t="n">
        <x:f>IF(AND(R42="Ready",S42="Ready"),I42*IFERROR(IF(INDEX('Inventory'!$T$9:$T$108,MATCH(F42,'Inventory'!$C$9:$C$108,0))="","",INDEX('Inventory'!$T$9:$T$108,MATCH(F42,'Inventory'!$C$9:$C$108,0))),""),"")</x:f>
        <x:v>398.83235294117645</x:v>
      </x:c>
      <x:c r="K42" s="23" t="n">
        <x:f>IF(AND(R42="Ready",T42="Ready"),I42*IFERROR(IF(INDEX('Inventory'!$Z$9:$Z$108,MATCH(F42,'Inventory'!$C$9:$C$108,0))="","",INDEX('Inventory'!$Z$9:$Z$108,MATCH(F42,'Inventory'!$C$9:$C$108,0))),""),"")</x:f>
        <x:v>319.6470588235294</x:v>
      </x:c>
      <x:c r="L42" s="23" t="n">
        <x:f>IF(AND(R42="Ready",U42="Ready"),I42*IFERROR(IF(INDEX('Inventory'!$AG$9:$AG$108,MATCH(F42,'Inventory'!$C$9:$C$108,0))="","",INDEX('Inventory'!$AG$9:$AG$108,MATCH(F42,'Inventory'!$C$9:$C$108,0))),""),"")</x:f>
        <x:v>2005.0588235294117</x:v>
      </x:c>
      <x:c r="M42" s="21" t="n">
        <x:f>IF(AND(R42="Ready",S42="Ready",T42="Ready"),G42,0)</x:f>
        <x:v>12.35</x:v>
      </x:c>
      <x:c r="N42" s="21" t="n">
        <x:f>IF(AND(R42="Ready",U42="Ready"),G42,0)</x:f>
        <x:v>12.35</x:v>
      </x:c>
      <x:c r="O42" s="42" t="n">
        <x:f>IF(C42="","",IFERROR(IF(INDEX('Inventory'!$U$9:$U$108,MATCH(F42,'Inventory'!$C$9:$C$108,0))="","",INDEX('Inventory'!$U$9:$U$108,MATCH(F42,'Inventory'!$C$9:$C$108,0))),""))</x:f>
        <x:v>1</x:v>
      </x:c>
      <x:c r="P42" s="42" t="n">
        <x:f>IF(C42="","",IFERROR(IF(INDEX('Inventory'!$AA$9:$AA$108,MATCH(F42,'Inventory'!$C$9:$C$108,0))="","",INDEX('Inventory'!$AA$9:$AA$108,MATCH(F42,'Inventory'!$C$9:$C$108,0))),""))</x:f>
        <x:v>1</x:v>
      </x:c>
      <x:c r="Q42" s="42" t="n">
        <x:f>IF(C42="","",IFERROR(IF(INDEX('Inventory'!$AH$9:$AH$108,MATCH(F42,'Inventory'!$C$9:$C$108,0))="","",INDEX('Inventory'!$AH$9:$AH$108,MATCH(F42,'Inventory'!$C$9:$C$108,0))),""))</x:f>
        <x:v>2</x:v>
      </x:c>
      <x:c r="R42" s="9" t="str">
        <x:f>IF(C42="","",IF(COUNTIFS('Facilities'!$C$9:$C$108,C42)&lt;&gt;1,"Duplicate facility ID",IF(OR(NOT(ISNUMBER(IFERROR(IF(INDEX('Facilities'!$G$9:$G$108,MATCH(C42,'Facilities'!$C$9:$C$108,0))="","",INDEX('Facilities'!$G$9:$G$108,MATCH(C42,'Facilities'!$C$9:$C$108,0))),""))),NOT(ISNUMBER(G42)),G42&lt;0,IFERROR(IF(INDEX('Facilities'!$Z$9:$Z$108,MATCH(C42,'Facilities'!$C$9:$C$108,0))="","",INDEX('Facilities'!$Z$9:$Z$108,MATCH(C42,'Facilities'!$C$9:$C$108,0))),"")&lt;=0),"Drawn value required",IF(COUNTIFS('Inventory'!$C$9:$C$108,F42)&lt;&gt;1,"Entity required",IF(OR(E42&lt;&gt;IFERROR(IF(INDEX('Inventory'!$F$9:$F$108,MATCH(F42,'Inventory'!$C$9:$C$108,0))="","",INDEX('Inventory'!$F$9:$F$108,MATCH(F42,'Inventory'!$C$9:$C$108,0))),""),D42&lt;&gt;IFERROR(IF(INDEX('Inventory'!$D$9:$D$108,MATCH(F42,'Inventory'!$C$9:$C$108,0))="","",INDEX('Inventory'!$D$9:$D$108,MATCH(F42,'Inventory'!$C$9:$C$108,0))),"")),"Entity / class mismatch",IF(IFERROR(IF(INDEX('Inventory'!$AL$9:$AL$108,MATCH(F42,'Inventory'!$C$9:$C$108,0))="","",INDEX('Inventory'!$AL$9:$AL$108,MATCH(F42,'Inventory'!$C$9:$C$108,0))),"")&lt;&gt;"Ready",IFERROR(IF(INDEX('Inventory'!$AL$9:$AL$108,MATCH(F42,'Inventory'!$C$9:$C$108,0))="","",INDEX('Inventory'!$AL$9:$AL$108,MATCH(F42,'Inventory'!$C$9:$C$108,0))),""),IF(AND(OR(E42="Project finance",E42="CRE",E42="Mortgage",E42="Motor"),IFERROR(IF(INDEX('Facilities'!$V$9:$V$108,MATCH(C42,'Facilities'!$C$9:$C$108,0))="","",INDEX('Facilities'!$V$9:$V$108,MATCH(C42,'Facilities'!$C$9:$C$108,0))),"")&lt;&gt;"Designated asset"),"Purpose review",IF(X42&gt;H42,"Exposure exceeds value","Ready"))))))))</x:f>
        <x:v>Ready</x:v>
      </x:c>
      <x:c r="S42" s="9" t="str">
        <x:f>IF(C42="","",IFERROR(IF(INDEX('Inventory'!$V$9:$V$108,MATCH(F42,'Inventory'!$C$9:$C$108,0))="","",INDEX('Inventory'!$V$9:$V$108,MATCH(F42,'Inventory'!$C$9:$C$108,0))),""))</x:f>
        <x:v>Ready</x:v>
      </x:c>
      <x:c r="T42" s="9" t="str">
        <x:f>IF(C42="","",IFERROR(IF(INDEX('Inventory'!$AB$9:$AB$108,MATCH(F42,'Inventory'!$C$9:$C$108,0))="","",INDEX('Inventory'!$AB$9:$AB$108,MATCH(F42,'Inventory'!$C$9:$C$108,0))),""))</x:f>
        <x:v>Ready</x:v>
      </x:c>
      <x:c r="U42" s="9" t="str">
        <x:f>IF(C42="","",IFERROR(IF(INDEX('Inventory'!$AI$9:$AI$108,MATCH(F42,'Inventory'!$C$9:$C$108,0))="","",INDEX('Inventory'!$AI$9:$AI$108,MATCH(F42,'Inventory'!$C$9:$C$108,0))),""))</x:f>
        <x:v>Ready</x:v>
      </x:c>
      <x:c r="V42" s="43" t="n">
        <x:f>IF(C42="","",IFERROR(IF(INDEX('Inventory'!$P$9:$P$108,MATCH(F42,'Inventory'!$C$9:$C$108,0))="","",INDEX('Inventory'!$P$9:$P$108,MATCH(F42,'Inventory'!$C$9:$C$108,0))),""))</x:f>
        <x:v>46752</x:v>
      </x:c>
      <x:c r="W42" s="3" t="str">
        <x:f>IF(C42="","",IF(E42="Corporate listed","PCAF 2025 pp40-46",IF(E42="Corporate private","PCAF 2025 pp55-60",IF(E42="Project finance","PCAF 2025 pp67-71",IF(E42="CRE","PCAF 2025 pp77-81",IF(E42="Mortgage","PCAF 2025 pp83-87",IF(E42="Motor","PCAF 2025 pp90-94","Method required")))))))</x:f>
        <x:v>PCAF 2025 pp55-60</x:v>
      </x:c>
      <x:c r="X42" s="23" t="n">
        <x:f>IF(C42="","",SUMIFS('Facilities'!$AA$9:$AA$108,'Facilities'!$U$9:$U$108,F42))</x:f>
        <x:v>12.35</x:v>
      </x:c>
      <x:c r="Y42" s="21" t="n">
        <x:f>IF(AND(R42="Ready",S42="Ready"),G42,0)</x:f>
        <x:v>12.35</x:v>
      </x:c>
      <x:c r="Z42" s="21" t="n">
        <x:f>IF(AND(R42="Ready",T42="Ready"),G42,0)</x:f>
        <x:v>12.35</x:v>
      </x:c>
      <x:c r="AA42" s="21" t="n">
        <x:f>IF(Y42&gt;0,Y42*O42,0)</x:f>
        <x:v>12.35</x:v>
      </x:c>
      <x:c r="AB42" s="21" t="n">
        <x:f>IF(Z42&gt;0,Z42*P42,0)</x:f>
        <x:v>12.35</x:v>
      </x:c>
      <x:c r="AC42" s="21" t="n">
        <x:f>IF(N42&gt;0,N42*Q42,0)</x:f>
        <x:v>24.7</x:v>
      </x:c>
      <x:c r="AD42" s="21" t="n">
        <x:f>IF(M42&gt;0,M42*MAX(O42,P42),0)</x:f>
        <x:v>12.35</x:v>
      </x:c>
      <x:c r="AE42" s="9" t="str">
        <x:f>IF(C42="","",IFERROR(IF(INDEX('Inventory'!$AC$9:$AC$108,MATCH(F42,'Inventory'!$C$9:$C$108,0))="","",INDEX('Inventory'!$AC$9:$AC$108,MATCH(F42,'Inventory'!$C$9:$C$108,0))),""))</x:f>
        <x:v>Location-based</x:v>
      </x:c>
      <x:c r="AF42" s="9" t="str">
        <x:f>IF(C42="","",IFERROR(IF(INDEX('Inventory'!$AN$9:$AN$108,MATCH(F42,'Inventory'!$C$9:$C$108,0))="","",INDEX('Inventory'!$AN$9:$AN$108,MATCH(F42,'Inventory'!$C$9:$C$108,0))),""))</x:f>
        <x:v>Single boundary</x:v>
      </x:c>
    </x:row>
    <x:row r="43" ht="26" customHeight="1">
      <x:c r="A43" s="1"/>
      <x:c r="B43" s="1"/>
      <x:c r="C43" s="9" t="str">
        <x:f>IF('Facilities'!C43="","",'Facilities'!C43)</x:f>
        <x:v>F035</x:v>
      </x:c>
      <x:c r="D43" s="9" t="str">
        <x:f>IF(C43="","",IFERROR(IF(INDEX('Facilities'!$D$9:$D$108,MATCH(C43,'Facilities'!$C$9:$C$108,0))="","",INDEX('Facilities'!$D$9:$D$108,MATCH(C43,'Facilities'!$C$9:$C$108,0))),""))</x:f>
        <x:v>B023</x:v>
      </x:c>
      <x:c r="E43" s="9" t="str">
        <x:f>IF(C43="","",IFERROR(IF(INDEX('Facilities'!$E$9:$E$108,MATCH(C43,'Facilities'!$C$9:$C$108,0))="","",INDEX('Facilities'!$E$9:$E$108,MATCH(C43,'Facilities'!$C$9:$C$108,0))),""))</x:f>
        <x:v>Corporate private</x:v>
      </x:c>
      <x:c r="F43" s="9" t="str">
        <x:f>IF(C43="","",IFERROR(IF(INDEX('Facilities'!$U$9:$U$108,MATCH(C43,'Facilities'!$C$9:$C$108,0))="","",INDEX('Facilities'!$U$9:$U$108,MATCH(C43,'Facilities'!$C$9:$C$108,0))),""))</x:f>
        <x:v>B023</x:v>
      </x:c>
      <x:c r="G43" s="23" t="n">
        <x:f>IF(C43="","",IFERROR(IF(INDEX('Facilities'!$AA$9:$AA$108,MATCH(C43,'Facilities'!$C$9:$C$108,0))="","",INDEX('Facilities'!$AA$9:$AA$108,MATCH(C43,'Facilities'!$C$9:$C$108,0))),""))</x:f>
        <x:v>12.7</x:v>
      </x:c>
      <x:c r="H43" s="23" t="n">
        <x:f>IF(C43="","",IFERROR(IF(INDEX('Inventory'!$N$9:$N$108,MATCH(F43,'Inventory'!$C$9:$C$108,0))="","",INDEX('Inventory'!$N$9:$N$108,MATCH(F43,'Inventory'!$C$9:$C$108,0))),""))</x:f>
        <x:v>175</x:v>
      </x:c>
      <x:c r="I43" s="17" t="n">
        <x:f>IF(R43="Ready",G43/H43,"")</x:f>
        <x:v>0.07257142857142856</x:v>
      </x:c>
      <x:c r="J43" s="23" t="n">
        <x:f>IF(AND(R43="Ready",S43="Ready"),I43*IFERROR(IF(INDEX('Inventory'!$T$9:$T$108,MATCH(F43,'Inventory'!$C$9:$C$108,0))="","",INDEX('Inventory'!$T$9:$T$108,MATCH(F43,'Inventory'!$C$9:$C$108,0))),""),"")</x:f>
        <x:v>194.68592</x:v>
      </x:c>
      <x:c r="K43" s="23" t="n">
        <x:f>IF(AND(R43="Ready",T43="Ready"),I43*IFERROR(IF(INDEX('Inventory'!$Z$9:$Z$108,MATCH(F43,'Inventory'!$C$9:$C$108,0))="","",INDEX('Inventory'!$Z$9:$Z$108,MATCH(F43,'Inventory'!$C$9:$C$108,0))),""),"")</x:f>
        <x:v>102.59785714285714</x:v>
      </x:c>
      <x:c r="L43" s="23" t="n">
        <x:f>IF(AND(R43="Ready",U43="Ready"),I43*IFERROR(IF(INDEX('Inventory'!$AG$9:$AG$108,MATCH(F43,'Inventory'!$C$9:$C$108,0))="","",INDEX('Inventory'!$AG$9:$AG$108,MATCH(F43,'Inventory'!$C$9:$C$108,0))),""),"")</x:f>
        <x:v>2061.028571428571</x:v>
      </x:c>
      <x:c r="M43" s="21" t="n">
        <x:f>IF(AND(R43="Ready",S43="Ready",T43="Ready"),G43,0)</x:f>
        <x:v>12.7</x:v>
      </x:c>
      <x:c r="N43" s="21" t="n">
        <x:f>IF(AND(R43="Ready",U43="Ready"),G43,0)</x:f>
        <x:v>12.7</x:v>
      </x:c>
      <x:c r="O43" s="42" t="n">
        <x:f>IF(C43="","",IFERROR(IF(INDEX('Inventory'!$U$9:$U$108,MATCH(F43,'Inventory'!$C$9:$C$108,0))="","",INDEX('Inventory'!$U$9:$U$108,MATCH(F43,'Inventory'!$C$9:$C$108,0))),""))</x:f>
        <x:v>2</x:v>
      </x:c>
      <x:c r="P43" s="42" t="n">
        <x:f>IF(C43="","",IFERROR(IF(INDEX('Inventory'!$AA$9:$AA$108,MATCH(F43,'Inventory'!$C$9:$C$108,0))="","",INDEX('Inventory'!$AA$9:$AA$108,MATCH(F43,'Inventory'!$C$9:$C$108,0))),""))</x:f>
        <x:v>2</x:v>
      </x:c>
      <x:c r="Q43" s="42" t="n">
        <x:f>IF(C43="","",IFERROR(IF(INDEX('Inventory'!$AH$9:$AH$108,MATCH(F43,'Inventory'!$C$9:$C$108,0))="","",INDEX('Inventory'!$AH$9:$AH$108,MATCH(F43,'Inventory'!$C$9:$C$108,0))),""))</x:f>
        <x:v>2</x:v>
      </x:c>
      <x:c r="R43" s="9" t="str">
        <x:f>IF(C43="","",IF(COUNTIFS('Facilities'!$C$9:$C$108,C43)&lt;&gt;1,"Duplicate facility ID",IF(OR(NOT(ISNUMBER(IFERROR(IF(INDEX('Facilities'!$G$9:$G$108,MATCH(C43,'Facilities'!$C$9:$C$108,0))="","",INDEX('Facilities'!$G$9:$G$108,MATCH(C43,'Facilities'!$C$9:$C$108,0))),""))),NOT(ISNUMBER(G43)),G43&lt;0,IFERROR(IF(INDEX('Facilities'!$Z$9:$Z$108,MATCH(C43,'Facilities'!$C$9:$C$108,0))="","",INDEX('Facilities'!$Z$9:$Z$108,MATCH(C43,'Facilities'!$C$9:$C$108,0))),"")&lt;=0),"Drawn value required",IF(COUNTIFS('Inventory'!$C$9:$C$108,F43)&lt;&gt;1,"Entity required",IF(OR(E43&lt;&gt;IFERROR(IF(INDEX('Inventory'!$F$9:$F$108,MATCH(F43,'Inventory'!$C$9:$C$108,0))="","",INDEX('Inventory'!$F$9:$F$108,MATCH(F43,'Inventory'!$C$9:$C$108,0))),""),D43&lt;&gt;IFERROR(IF(INDEX('Inventory'!$D$9:$D$108,MATCH(F43,'Inventory'!$C$9:$C$108,0))="","",INDEX('Inventory'!$D$9:$D$108,MATCH(F43,'Inventory'!$C$9:$C$108,0))),"")),"Entity / class mismatch",IF(IFERROR(IF(INDEX('Inventory'!$AL$9:$AL$108,MATCH(F43,'Inventory'!$C$9:$C$108,0))="","",INDEX('Inventory'!$AL$9:$AL$108,MATCH(F43,'Inventory'!$C$9:$C$108,0))),"")&lt;&gt;"Ready",IFERROR(IF(INDEX('Inventory'!$AL$9:$AL$108,MATCH(F43,'Inventory'!$C$9:$C$108,0))="","",INDEX('Inventory'!$AL$9:$AL$108,MATCH(F43,'Inventory'!$C$9:$C$108,0))),""),IF(AND(OR(E43="Project finance",E43="CRE",E43="Mortgage",E43="Motor"),IFERROR(IF(INDEX('Facilities'!$V$9:$V$108,MATCH(C43,'Facilities'!$C$9:$C$108,0))="","",INDEX('Facilities'!$V$9:$V$108,MATCH(C43,'Facilities'!$C$9:$C$108,0))),"")&lt;&gt;"Designated asset"),"Purpose review",IF(X43&gt;H43,"Exposure exceeds value","Ready"))))))))</x:f>
        <x:v>Ready</x:v>
      </x:c>
      <x:c r="S43" s="9" t="str">
        <x:f>IF(C43="","",IFERROR(IF(INDEX('Inventory'!$V$9:$V$108,MATCH(F43,'Inventory'!$C$9:$C$108,0))="","",INDEX('Inventory'!$V$9:$V$108,MATCH(F43,'Inventory'!$C$9:$C$108,0))),""))</x:f>
        <x:v>Ready</x:v>
      </x:c>
      <x:c r="T43" s="9" t="str">
        <x:f>IF(C43="","",IFERROR(IF(INDEX('Inventory'!$AB$9:$AB$108,MATCH(F43,'Inventory'!$C$9:$C$108,0))="","",INDEX('Inventory'!$AB$9:$AB$108,MATCH(F43,'Inventory'!$C$9:$C$108,0))),""))</x:f>
        <x:v>Ready</x:v>
      </x:c>
      <x:c r="U43" s="9" t="str">
        <x:f>IF(C43="","",IFERROR(IF(INDEX('Inventory'!$AI$9:$AI$108,MATCH(F43,'Inventory'!$C$9:$C$108,0))="","",INDEX('Inventory'!$AI$9:$AI$108,MATCH(F43,'Inventory'!$C$9:$C$108,0))),""))</x:f>
        <x:v>Ready</x:v>
      </x:c>
      <x:c r="V43" s="43" t="n">
        <x:f>IF(C43="","",IFERROR(IF(INDEX('Inventory'!$P$9:$P$108,MATCH(F43,'Inventory'!$C$9:$C$108,0))="","",INDEX('Inventory'!$P$9:$P$108,MATCH(F43,'Inventory'!$C$9:$C$108,0))),""))</x:f>
        <x:v>46752</x:v>
      </x:c>
      <x:c r="W43" s="3" t="str">
        <x:f>IF(C43="","",IF(E43="Corporate listed","PCAF 2025 pp40-46",IF(E43="Corporate private","PCAF 2025 pp55-60",IF(E43="Project finance","PCAF 2025 pp67-71",IF(E43="CRE","PCAF 2025 pp77-81",IF(E43="Mortgage","PCAF 2025 pp83-87",IF(E43="Motor","PCAF 2025 pp90-94","Method required")))))))</x:f>
        <x:v>PCAF 2025 pp55-60</x:v>
      </x:c>
      <x:c r="X43" s="23" t="n">
        <x:f>IF(C43="","",SUMIFS('Facilities'!$AA$9:$AA$108,'Facilities'!$U$9:$U$108,F43))</x:f>
        <x:v>12.7</x:v>
      </x:c>
      <x:c r="Y43" s="21" t="n">
        <x:f>IF(AND(R43="Ready",S43="Ready"),G43,0)</x:f>
        <x:v>12.7</x:v>
      </x:c>
      <x:c r="Z43" s="21" t="n">
        <x:f>IF(AND(R43="Ready",T43="Ready"),G43,0)</x:f>
        <x:v>12.7</x:v>
      </x:c>
      <x:c r="AA43" s="21" t="n">
        <x:f>IF(Y43&gt;0,Y43*O43,0)</x:f>
        <x:v>25.4</x:v>
      </x:c>
      <x:c r="AB43" s="21" t="n">
        <x:f>IF(Z43&gt;0,Z43*P43,0)</x:f>
        <x:v>25.4</x:v>
      </x:c>
      <x:c r="AC43" s="21" t="n">
        <x:f>IF(N43&gt;0,N43*Q43,0)</x:f>
        <x:v>25.4</x:v>
      </x:c>
      <x:c r="AD43" s="21" t="n">
        <x:f>IF(M43&gt;0,M43*MAX(O43,P43),0)</x:f>
        <x:v>25.4</x:v>
      </x:c>
      <x:c r="AE43" s="9" t="str">
        <x:f>IF(C43="","",IFERROR(IF(INDEX('Inventory'!$AC$9:$AC$108,MATCH(F43,'Inventory'!$C$9:$C$108,0))="","",INDEX('Inventory'!$AC$9:$AC$108,MATCH(F43,'Inventory'!$C$9:$C$108,0))),""))</x:f>
        <x:v>Location-based</x:v>
      </x:c>
      <x:c r="AF43" s="9" t="str">
        <x:f>IF(C43="","",IFERROR(IF(INDEX('Inventory'!$AN$9:$AN$108,MATCH(F43,'Inventory'!$C$9:$C$108,0))="","",INDEX('Inventory'!$AN$9:$AN$108,MATCH(F43,'Inventory'!$C$9:$C$108,0))),""))</x:f>
        <x:v>Single boundary</x:v>
      </x:c>
    </x:row>
    <x:row r="44" ht="26" customHeight="1">
      <x:c r="A44" s="1"/>
      <x:c r="B44" s="1"/>
      <x:c r="C44" s="9" t="str">
        <x:f>IF('Facilities'!C44="","",'Facilities'!C44)</x:f>
        <x:v>F036</x:v>
      </x:c>
      <x:c r="D44" s="9" t="str">
        <x:f>IF(C44="","",IFERROR(IF(INDEX('Facilities'!$D$9:$D$108,MATCH(C44,'Facilities'!$C$9:$C$108,0))="","",INDEX('Facilities'!$D$9:$D$108,MATCH(C44,'Facilities'!$C$9:$C$108,0))),""))</x:f>
        <x:v>B024</x:v>
      </x:c>
      <x:c r="E44" s="9" t="str">
        <x:f>IF(C44="","",IFERROR(IF(INDEX('Facilities'!$E$9:$E$108,MATCH(C44,'Facilities'!$C$9:$C$108,0))="","",INDEX('Facilities'!$E$9:$E$108,MATCH(C44,'Facilities'!$C$9:$C$108,0))),""))</x:f>
        <x:v>Corporate private</x:v>
      </x:c>
      <x:c r="F44" s="9" t="str">
        <x:f>IF(C44="","",IFERROR(IF(INDEX('Facilities'!$U$9:$U$108,MATCH(C44,'Facilities'!$C$9:$C$108,0))="","",INDEX('Facilities'!$U$9:$U$108,MATCH(C44,'Facilities'!$C$9:$C$108,0))),""))</x:f>
        <x:v>B024</x:v>
      </x:c>
      <x:c r="G44" s="23" t="n">
        <x:f>IF(C44="","",IFERROR(IF(INDEX('Facilities'!$AA$9:$AA$108,MATCH(C44,'Facilities'!$C$9:$C$108,0))="","",INDEX('Facilities'!$AA$9:$AA$108,MATCH(C44,'Facilities'!$C$9:$C$108,0))),""))</x:f>
        <x:v>13.049999999999999</x:v>
      </x:c>
      <x:c r="H44" s="23" t="n">
        <x:f>IF(C44="","",IFERROR(IF(INDEX('Inventory'!$N$9:$N$108,MATCH(F44,'Inventory'!$C$9:$C$108,0))="","",INDEX('Inventory'!$N$9:$N$108,MATCH(F44,'Inventory'!$C$9:$C$108,0))),""))</x:f>
        <x:v>180</x:v>
      </x:c>
      <x:c r="I44" s="17" t="n">
        <x:f>IF(R44="Ready",G44/H44,"")</x:f>
        <x:v>0.0725</x:v>
      </x:c>
      <x:c r="J44" s="23" t="n">
        <x:f>IF(AND(R44="Ready",S44="Ready"),I44*IFERROR(IF(INDEX('Inventory'!$T$9:$T$108,MATCH(F44,'Inventory'!$C$9:$C$108,0))="","",INDEX('Inventory'!$T$9:$T$108,MATCH(F44,'Inventory'!$C$9:$C$108,0))),""),"")</x:f>
        <x:v>422.67499999999995</x:v>
      </x:c>
      <x:c r="K44" s="23" t="n">
        <x:f>IF(AND(R44="Ready",T44="Ready"),I44*IFERROR(IF(INDEX('Inventory'!$Z$9:$Z$108,MATCH(F44,'Inventory'!$C$9:$C$108,0))="","",INDEX('Inventory'!$Z$9:$Z$108,MATCH(F44,'Inventory'!$C$9:$C$108,0))),""),"")</x:f>
        <x:v>333.5</x:v>
      </x:c>
      <x:c r="L44" s="23" t="n">
        <x:f>IF(AND(R44="Ready",U44="Ready"),I44*IFERROR(IF(INDEX('Inventory'!$AG$9:$AG$108,MATCH(F44,'Inventory'!$C$9:$C$108,0))="","",INDEX('Inventory'!$AG$9:$AG$108,MATCH(F44,'Inventory'!$C$9:$C$108,0))),""),"")</x:f>
        <x:v>2117</x:v>
      </x:c>
      <x:c r="M44" s="21" t="n">
        <x:f>IF(AND(R44="Ready",S44="Ready",T44="Ready"),G44,0)</x:f>
        <x:v>13.049999999999999</x:v>
      </x:c>
      <x:c r="N44" s="21" t="n">
        <x:f>IF(AND(R44="Ready",U44="Ready"),G44,0)</x:f>
        <x:v>13.049999999999999</x:v>
      </x:c>
      <x:c r="O44" s="42" t="n">
        <x:f>IF(C44="","",IFERROR(IF(INDEX('Inventory'!$U$9:$U$108,MATCH(F44,'Inventory'!$C$9:$C$108,0))="","",INDEX('Inventory'!$U$9:$U$108,MATCH(F44,'Inventory'!$C$9:$C$108,0))),""))</x:f>
        <x:v>2</x:v>
      </x:c>
      <x:c r="P44" s="42" t="n">
        <x:f>IF(C44="","",IFERROR(IF(INDEX('Inventory'!$AA$9:$AA$108,MATCH(F44,'Inventory'!$C$9:$C$108,0))="","",INDEX('Inventory'!$AA$9:$AA$108,MATCH(F44,'Inventory'!$C$9:$C$108,0))),""))</x:f>
        <x:v>2</x:v>
      </x:c>
      <x:c r="Q44" s="42" t="n">
        <x:f>IF(C44="","",IFERROR(IF(INDEX('Inventory'!$AH$9:$AH$108,MATCH(F44,'Inventory'!$C$9:$C$108,0))="","",INDEX('Inventory'!$AH$9:$AH$108,MATCH(F44,'Inventory'!$C$9:$C$108,0))),""))</x:f>
        <x:v>2</x:v>
      </x:c>
      <x:c r="R44" s="9" t="str">
        <x:f>IF(C44="","",IF(COUNTIFS('Facilities'!$C$9:$C$108,C44)&lt;&gt;1,"Duplicate facility ID",IF(OR(NOT(ISNUMBER(IFERROR(IF(INDEX('Facilities'!$G$9:$G$108,MATCH(C44,'Facilities'!$C$9:$C$108,0))="","",INDEX('Facilities'!$G$9:$G$108,MATCH(C44,'Facilities'!$C$9:$C$108,0))),""))),NOT(ISNUMBER(G44)),G44&lt;0,IFERROR(IF(INDEX('Facilities'!$Z$9:$Z$108,MATCH(C44,'Facilities'!$C$9:$C$108,0))="","",INDEX('Facilities'!$Z$9:$Z$108,MATCH(C44,'Facilities'!$C$9:$C$108,0))),"")&lt;=0),"Drawn value required",IF(COUNTIFS('Inventory'!$C$9:$C$108,F44)&lt;&gt;1,"Entity required",IF(OR(E44&lt;&gt;IFERROR(IF(INDEX('Inventory'!$F$9:$F$108,MATCH(F44,'Inventory'!$C$9:$C$108,0))="","",INDEX('Inventory'!$F$9:$F$108,MATCH(F44,'Inventory'!$C$9:$C$108,0))),""),D44&lt;&gt;IFERROR(IF(INDEX('Inventory'!$D$9:$D$108,MATCH(F44,'Inventory'!$C$9:$C$108,0))="","",INDEX('Inventory'!$D$9:$D$108,MATCH(F44,'Inventory'!$C$9:$C$108,0))),"")),"Entity / class mismatch",IF(IFERROR(IF(INDEX('Inventory'!$AL$9:$AL$108,MATCH(F44,'Inventory'!$C$9:$C$108,0))="","",INDEX('Inventory'!$AL$9:$AL$108,MATCH(F44,'Inventory'!$C$9:$C$108,0))),"")&lt;&gt;"Ready",IFERROR(IF(INDEX('Inventory'!$AL$9:$AL$108,MATCH(F44,'Inventory'!$C$9:$C$108,0))="","",INDEX('Inventory'!$AL$9:$AL$108,MATCH(F44,'Inventory'!$C$9:$C$108,0))),""),IF(AND(OR(E44="Project finance",E44="CRE",E44="Mortgage",E44="Motor"),IFERROR(IF(INDEX('Facilities'!$V$9:$V$108,MATCH(C44,'Facilities'!$C$9:$C$108,0))="","",INDEX('Facilities'!$V$9:$V$108,MATCH(C44,'Facilities'!$C$9:$C$108,0))),"")&lt;&gt;"Designated asset"),"Purpose review",IF(X44&gt;H44,"Exposure exceeds value","Ready"))))))))</x:f>
        <x:v>Ready</x:v>
      </x:c>
      <x:c r="S44" s="9" t="str">
        <x:f>IF(C44="","",IFERROR(IF(INDEX('Inventory'!$V$9:$V$108,MATCH(F44,'Inventory'!$C$9:$C$108,0))="","",INDEX('Inventory'!$V$9:$V$108,MATCH(F44,'Inventory'!$C$9:$C$108,0))),""))</x:f>
        <x:v>Ready</x:v>
      </x:c>
      <x:c r="T44" s="9" t="str">
        <x:f>IF(C44="","",IFERROR(IF(INDEX('Inventory'!$AB$9:$AB$108,MATCH(F44,'Inventory'!$C$9:$C$108,0))="","",INDEX('Inventory'!$AB$9:$AB$108,MATCH(F44,'Inventory'!$C$9:$C$108,0))),""))</x:f>
        <x:v>Ready</x:v>
      </x:c>
      <x:c r="U44" s="9" t="str">
        <x:f>IF(C44="","",IFERROR(IF(INDEX('Inventory'!$AI$9:$AI$108,MATCH(F44,'Inventory'!$C$9:$C$108,0))="","",INDEX('Inventory'!$AI$9:$AI$108,MATCH(F44,'Inventory'!$C$9:$C$108,0))),""))</x:f>
        <x:v>Ready</x:v>
      </x:c>
      <x:c r="V44" s="43" t="n">
        <x:f>IF(C44="","",IFERROR(IF(INDEX('Inventory'!$P$9:$P$108,MATCH(F44,'Inventory'!$C$9:$C$108,0))="","",INDEX('Inventory'!$P$9:$P$108,MATCH(F44,'Inventory'!$C$9:$C$108,0))),""))</x:f>
        <x:v>46752</x:v>
      </x:c>
      <x:c r="W44" s="3" t="str">
        <x:f>IF(C44="","",IF(E44="Corporate listed","PCAF 2025 pp40-46",IF(E44="Corporate private","PCAF 2025 pp55-60",IF(E44="Project finance","PCAF 2025 pp67-71",IF(E44="CRE","PCAF 2025 pp77-81",IF(E44="Mortgage","PCAF 2025 pp83-87",IF(E44="Motor","PCAF 2025 pp90-94","Method required")))))))</x:f>
        <x:v>PCAF 2025 pp55-60</x:v>
      </x:c>
      <x:c r="X44" s="23" t="n">
        <x:f>IF(C44="","",SUMIFS('Facilities'!$AA$9:$AA$108,'Facilities'!$U$9:$U$108,F44))</x:f>
        <x:v>13.049999999999999</x:v>
      </x:c>
      <x:c r="Y44" s="21" t="n">
        <x:f>IF(AND(R44="Ready",S44="Ready"),G44,0)</x:f>
        <x:v>13.049999999999999</x:v>
      </x:c>
      <x:c r="Z44" s="21" t="n">
        <x:f>IF(AND(R44="Ready",T44="Ready"),G44,0)</x:f>
        <x:v>13.049999999999999</x:v>
      </x:c>
      <x:c r="AA44" s="21" t="n">
        <x:f>IF(Y44&gt;0,Y44*O44,0)</x:f>
        <x:v>26.099999999999998</x:v>
      </x:c>
      <x:c r="AB44" s="21" t="n">
        <x:f>IF(Z44&gt;0,Z44*P44,0)</x:f>
        <x:v>26.099999999999998</x:v>
      </x:c>
      <x:c r="AC44" s="21" t="n">
        <x:f>IF(N44&gt;0,N44*Q44,0)</x:f>
        <x:v>26.099999999999998</x:v>
      </x:c>
      <x:c r="AD44" s="21" t="n">
        <x:f>IF(M44&gt;0,M44*MAX(O44,P44),0)</x:f>
        <x:v>26.099999999999998</x:v>
      </x:c>
      <x:c r="AE44" s="9" t="str">
        <x:f>IF(C44="","",IFERROR(IF(INDEX('Inventory'!$AC$9:$AC$108,MATCH(F44,'Inventory'!$C$9:$C$108,0))="","",INDEX('Inventory'!$AC$9:$AC$108,MATCH(F44,'Inventory'!$C$9:$C$108,0))),""))</x:f>
        <x:v>Location-based</x:v>
      </x:c>
      <x:c r="AF44" s="9" t="str">
        <x:f>IF(C44="","",IFERROR(IF(INDEX('Inventory'!$AN$9:$AN$108,MATCH(F44,'Inventory'!$C$9:$C$108,0))="","",INDEX('Inventory'!$AN$9:$AN$108,MATCH(F44,'Inventory'!$C$9:$C$108,0))),""))</x:f>
        <x:v>Single boundary</x:v>
      </x:c>
    </x:row>
    <x:row r="45" ht="26" customHeight="1">
      <x:c r="A45" s="1"/>
      <x:c r="B45" s="1"/>
      <x:c r="C45" s="9" t="str">
        <x:f>IF('Facilities'!C45="","",'Facilities'!C45)</x:f>
      </x:c>
      <x:c r="D45" s="9" t="str">
        <x:f>IF(C45="","",IFERROR(IF(INDEX('Facilities'!$D$9:$D$108,MATCH(C45,'Facilities'!$C$9:$C$108,0))="","",INDEX('Facilities'!$D$9:$D$108,MATCH(C45,'Facilities'!$C$9:$C$108,0))),""))</x:f>
      </x:c>
      <x:c r="E45" s="9" t="str">
        <x:f>IF(C45="","",IFERROR(IF(INDEX('Facilities'!$E$9:$E$108,MATCH(C45,'Facilities'!$C$9:$C$108,0))="","",INDEX('Facilities'!$E$9:$E$108,MATCH(C45,'Facilities'!$C$9:$C$108,0))),""))</x:f>
      </x:c>
      <x:c r="F45" s="9" t="str">
        <x:f>IF(C45="","",IFERROR(IF(INDEX('Facilities'!$U$9:$U$108,MATCH(C45,'Facilities'!$C$9:$C$108,0))="","",INDEX('Facilities'!$U$9:$U$108,MATCH(C45,'Facilities'!$C$9:$C$108,0))),""))</x:f>
      </x:c>
      <x:c r="G45" s="23" t="str">
        <x:f>IF(C45="","",IFERROR(IF(INDEX('Facilities'!$AA$9:$AA$108,MATCH(C45,'Facilities'!$C$9:$C$108,0))="","",INDEX('Facilities'!$AA$9:$AA$108,MATCH(C45,'Facilities'!$C$9:$C$108,0))),""))</x:f>
      </x:c>
      <x:c r="H45" s="23" t="str">
        <x:f>IF(C45="","",IFERROR(IF(INDEX('Inventory'!$N$9:$N$108,MATCH(F45,'Inventory'!$C$9:$C$108,0))="","",INDEX('Inventory'!$N$9:$N$108,MATCH(F45,'Inventory'!$C$9:$C$108,0))),""))</x:f>
      </x:c>
      <x:c r="I45" s="17" t="str">
        <x:f>IF(R45="Ready",G45/H45,"")</x:f>
      </x:c>
      <x:c r="J45" s="23" t="str">
        <x:f>IF(AND(R45="Ready",S45="Ready"),I45*IFERROR(IF(INDEX('Inventory'!$T$9:$T$108,MATCH(F45,'Inventory'!$C$9:$C$108,0))="","",INDEX('Inventory'!$T$9:$T$108,MATCH(F45,'Inventory'!$C$9:$C$108,0))),""),"")</x:f>
      </x:c>
      <x:c r="K45" s="23" t="str">
        <x:f>IF(AND(R45="Ready",T45="Ready"),I45*IFERROR(IF(INDEX('Inventory'!$Z$9:$Z$108,MATCH(F45,'Inventory'!$C$9:$C$108,0))="","",INDEX('Inventory'!$Z$9:$Z$108,MATCH(F45,'Inventory'!$C$9:$C$108,0))),""),"")</x:f>
      </x:c>
      <x:c r="L45" s="23" t="str">
        <x:f>IF(AND(R45="Ready",U45="Ready"),I45*IFERROR(IF(INDEX('Inventory'!$AG$9:$AG$108,MATCH(F45,'Inventory'!$C$9:$C$108,0))="","",INDEX('Inventory'!$AG$9:$AG$108,MATCH(F45,'Inventory'!$C$9:$C$108,0))),""),"")</x:f>
      </x:c>
      <x:c r="M45" s="21" t="n">
        <x:f>IF(AND(R45="Ready",S45="Ready",T45="Ready"),G45,0)</x:f>
        <x:v>0</x:v>
      </x:c>
      <x:c r="N45" s="21" t="n">
        <x:f>IF(AND(R45="Ready",U45="Ready"),G45,0)</x:f>
        <x:v>0</x:v>
      </x:c>
      <x:c r="O45" s="42" t="str">
        <x:f>IF(C45="","",IFERROR(IF(INDEX('Inventory'!$U$9:$U$108,MATCH(F45,'Inventory'!$C$9:$C$108,0))="","",INDEX('Inventory'!$U$9:$U$108,MATCH(F45,'Inventory'!$C$9:$C$108,0))),""))</x:f>
      </x:c>
      <x:c r="P45" s="42" t="str">
        <x:f>IF(C45="","",IFERROR(IF(INDEX('Inventory'!$AA$9:$AA$108,MATCH(F45,'Inventory'!$C$9:$C$108,0))="","",INDEX('Inventory'!$AA$9:$AA$108,MATCH(F45,'Inventory'!$C$9:$C$108,0))),""))</x:f>
      </x:c>
      <x:c r="Q45" s="42" t="str">
        <x:f>IF(C45="","",IFERROR(IF(INDEX('Inventory'!$AH$9:$AH$108,MATCH(F45,'Inventory'!$C$9:$C$108,0))="","",INDEX('Inventory'!$AH$9:$AH$108,MATCH(F45,'Inventory'!$C$9:$C$108,0))),""))</x:f>
      </x:c>
      <x:c r="R45" s="9" t="str">
        <x:f>IF(C45="","",IF(COUNTIFS('Facilities'!$C$9:$C$108,C45)&lt;&gt;1,"Duplicate facility ID",IF(OR(NOT(ISNUMBER(IFERROR(IF(INDEX('Facilities'!$G$9:$G$108,MATCH(C45,'Facilities'!$C$9:$C$108,0))="","",INDEX('Facilities'!$G$9:$G$108,MATCH(C45,'Facilities'!$C$9:$C$108,0))),""))),NOT(ISNUMBER(G45)),G45&lt;0,IFERROR(IF(INDEX('Facilities'!$Z$9:$Z$108,MATCH(C45,'Facilities'!$C$9:$C$108,0))="","",INDEX('Facilities'!$Z$9:$Z$108,MATCH(C45,'Facilities'!$C$9:$C$108,0))),"")&lt;=0),"Drawn value required",IF(COUNTIFS('Inventory'!$C$9:$C$108,F45)&lt;&gt;1,"Entity required",IF(OR(E45&lt;&gt;IFERROR(IF(INDEX('Inventory'!$F$9:$F$108,MATCH(F45,'Inventory'!$C$9:$C$108,0))="","",INDEX('Inventory'!$F$9:$F$108,MATCH(F45,'Inventory'!$C$9:$C$108,0))),""),D45&lt;&gt;IFERROR(IF(INDEX('Inventory'!$D$9:$D$108,MATCH(F45,'Inventory'!$C$9:$C$108,0))="","",INDEX('Inventory'!$D$9:$D$108,MATCH(F45,'Inventory'!$C$9:$C$108,0))),"")),"Entity / class mismatch",IF(IFERROR(IF(INDEX('Inventory'!$AL$9:$AL$108,MATCH(F45,'Inventory'!$C$9:$C$108,0))="","",INDEX('Inventory'!$AL$9:$AL$108,MATCH(F45,'Inventory'!$C$9:$C$108,0))),"")&lt;&gt;"Ready",IFERROR(IF(INDEX('Inventory'!$AL$9:$AL$108,MATCH(F45,'Inventory'!$C$9:$C$108,0))="","",INDEX('Inventory'!$AL$9:$AL$108,MATCH(F45,'Inventory'!$C$9:$C$108,0))),""),IF(AND(OR(E45="Project finance",E45="CRE",E45="Mortgage",E45="Motor"),IFERROR(IF(INDEX('Facilities'!$V$9:$V$108,MATCH(C45,'Facilities'!$C$9:$C$108,0))="","",INDEX('Facilities'!$V$9:$V$108,MATCH(C45,'Facilities'!$C$9:$C$108,0))),"")&lt;&gt;"Designated asset"),"Purpose review",IF(X45&gt;H45,"Exposure exceeds value","Ready"))))))))</x:f>
      </x:c>
      <x:c r="S45" s="9" t="str">
        <x:f>IF(C45="","",IFERROR(IF(INDEX('Inventory'!$V$9:$V$108,MATCH(F45,'Inventory'!$C$9:$C$108,0))="","",INDEX('Inventory'!$V$9:$V$108,MATCH(F45,'Inventory'!$C$9:$C$108,0))),""))</x:f>
      </x:c>
      <x:c r="T45" s="9" t="str">
        <x:f>IF(C45="","",IFERROR(IF(INDEX('Inventory'!$AB$9:$AB$108,MATCH(F45,'Inventory'!$C$9:$C$108,0))="","",INDEX('Inventory'!$AB$9:$AB$108,MATCH(F45,'Inventory'!$C$9:$C$108,0))),""))</x:f>
      </x:c>
      <x:c r="U45" s="9" t="str">
        <x:f>IF(C45="","",IFERROR(IF(INDEX('Inventory'!$AI$9:$AI$108,MATCH(F45,'Inventory'!$C$9:$C$108,0))="","",INDEX('Inventory'!$AI$9:$AI$108,MATCH(F45,'Inventory'!$C$9:$C$108,0))),""))</x:f>
      </x:c>
      <x:c r="V45" s="43" t="str">
        <x:f>IF(C45="","",IFERROR(IF(INDEX('Inventory'!$P$9:$P$108,MATCH(F45,'Inventory'!$C$9:$C$108,0))="","",INDEX('Inventory'!$P$9:$P$108,MATCH(F45,'Inventory'!$C$9:$C$108,0))),""))</x:f>
      </x:c>
      <x:c r="W45" s="3" t="str">
        <x:f>IF(C45="","",IF(E45="Corporate listed","PCAF 2025 pp40-46",IF(E45="Corporate private","PCAF 2025 pp55-60",IF(E45="Project finance","PCAF 2025 pp67-71",IF(E45="CRE","PCAF 2025 pp77-81",IF(E45="Mortgage","PCAF 2025 pp83-87",IF(E45="Motor","PCAF 2025 pp90-94","Method required")))))))</x:f>
      </x:c>
      <x:c r="X45" s="23" t="str">
        <x:f>IF(C45="","",SUMIFS('Facilities'!$AA$9:$AA$108,'Facilities'!$U$9:$U$108,F45))</x:f>
      </x:c>
      <x:c r="Y45" s="21" t="n">
        <x:f>IF(AND(R45="Ready",S45="Ready"),G45,0)</x:f>
        <x:v>0</x:v>
      </x:c>
      <x:c r="Z45" s="21" t="n">
        <x:f>IF(AND(R45="Ready",T45="Ready"),G45,0)</x:f>
        <x:v>0</x:v>
      </x:c>
      <x:c r="AA45" s="21" t="n">
        <x:f>IF(Y45&gt;0,Y45*O45,0)</x:f>
        <x:v>0</x:v>
      </x:c>
      <x:c r="AB45" s="21" t="n">
        <x:f>IF(Z45&gt;0,Z45*P45,0)</x:f>
        <x:v>0</x:v>
      </x:c>
      <x:c r="AC45" s="21" t="n">
        <x:f>IF(N45&gt;0,N45*Q45,0)</x:f>
        <x:v>0</x:v>
      </x:c>
      <x:c r="AD45" s="21" t="n">
        <x:f>IF(M45&gt;0,M45*MAX(O45,P45),0)</x:f>
        <x:v>0</x:v>
      </x:c>
      <x:c r="AE45" s="9" t="str">
        <x:f>IF(C45="","",IFERROR(IF(INDEX('Inventory'!$AC$9:$AC$108,MATCH(F45,'Inventory'!$C$9:$C$108,0))="","",INDEX('Inventory'!$AC$9:$AC$108,MATCH(F45,'Inventory'!$C$9:$C$108,0))),""))</x:f>
      </x:c>
      <x:c r="AF45" s="9" t="str">
        <x:f>IF(C45="","",IFERROR(IF(INDEX('Inventory'!$AN$9:$AN$108,MATCH(F45,'Inventory'!$C$9:$C$108,0))="","",INDEX('Inventory'!$AN$9:$AN$108,MATCH(F45,'Inventory'!$C$9:$C$108,0))),""))</x:f>
      </x:c>
    </x:row>
    <x:row r="46" ht="26" customHeight="1">
      <x:c r="A46" s="1"/>
      <x:c r="B46" s="1"/>
      <x:c r="C46" s="9" t="str">
        <x:f>IF('Facilities'!C46="","",'Facilities'!C46)</x:f>
      </x:c>
      <x:c r="D46" s="9" t="str">
        <x:f>IF(C46="","",IFERROR(IF(INDEX('Facilities'!$D$9:$D$108,MATCH(C46,'Facilities'!$C$9:$C$108,0))="","",INDEX('Facilities'!$D$9:$D$108,MATCH(C46,'Facilities'!$C$9:$C$108,0))),""))</x:f>
      </x:c>
      <x:c r="E46" s="9" t="str">
        <x:f>IF(C46="","",IFERROR(IF(INDEX('Facilities'!$E$9:$E$108,MATCH(C46,'Facilities'!$C$9:$C$108,0))="","",INDEX('Facilities'!$E$9:$E$108,MATCH(C46,'Facilities'!$C$9:$C$108,0))),""))</x:f>
      </x:c>
      <x:c r="F46" s="9" t="str">
        <x:f>IF(C46="","",IFERROR(IF(INDEX('Facilities'!$U$9:$U$108,MATCH(C46,'Facilities'!$C$9:$C$108,0))="","",INDEX('Facilities'!$U$9:$U$108,MATCH(C46,'Facilities'!$C$9:$C$108,0))),""))</x:f>
      </x:c>
      <x:c r="G46" s="23" t="str">
        <x:f>IF(C46="","",IFERROR(IF(INDEX('Facilities'!$AA$9:$AA$108,MATCH(C46,'Facilities'!$C$9:$C$108,0))="","",INDEX('Facilities'!$AA$9:$AA$108,MATCH(C46,'Facilities'!$C$9:$C$108,0))),""))</x:f>
      </x:c>
      <x:c r="H46" s="23" t="str">
        <x:f>IF(C46="","",IFERROR(IF(INDEX('Inventory'!$N$9:$N$108,MATCH(F46,'Inventory'!$C$9:$C$108,0))="","",INDEX('Inventory'!$N$9:$N$108,MATCH(F46,'Inventory'!$C$9:$C$108,0))),""))</x:f>
      </x:c>
      <x:c r="I46" s="17" t="str">
        <x:f>IF(R46="Ready",G46/H46,"")</x:f>
      </x:c>
      <x:c r="J46" s="23" t="str">
        <x:f>IF(AND(R46="Ready",S46="Ready"),I46*IFERROR(IF(INDEX('Inventory'!$T$9:$T$108,MATCH(F46,'Inventory'!$C$9:$C$108,0))="","",INDEX('Inventory'!$T$9:$T$108,MATCH(F46,'Inventory'!$C$9:$C$108,0))),""),"")</x:f>
      </x:c>
      <x:c r="K46" s="23" t="str">
        <x:f>IF(AND(R46="Ready",T46="Ready"),I46*IFERROR(IF(INDEX('Inventory'!$Z$9:$Z$108,MATCH(F46,'Inventory'!$C$9:$C$108,0))="","",INDEX('Inventory'!$Z$9:$Z$108,MATCH(F46,'Inventory'!$C$9:$C$108,0))),""),"")</x:f>
      </x:c>
      <x:c r="L46" s="23" t="str">
        <x:f>IF(AND(R46="Ready",U46="Ready"),I46*IFERROR(IF(INDEX('Inventory'!$AG$9:$AG$108,MATCH(F46,'Inventory'!$C$9:$C$108,0))="","",INDEX('Inventory'!$AG$9:$AG$108,MATCH(F46,'Inventory'!$C$9:$C$108,0))),""),"")</x:f>
      </x:c>
      <x:c r="M46" s="21" t="n">
        <x:f>IF(AND(R46="Ready",S46="Ready",T46="Ready"),G46,0)</x:f>
        <x:v>0</x:v>
      </x:c>
      <x:c r="N46" s="21" t="n">
        <x:f>IF(AND(R46="Ready",U46="Ready"),G46,0)</x:f>
        <x:v>0</x:v>
      </x:c>
      <x:c r="O46" s="42" t="str">
        <x:f>IF(C46="","",IFERROR(IF(INDEX('Inventory'!$U$9:$U$108,MATCH(F46,'Inventory'!$C$9:$C$108,0))="","",INDEX('Inventory'!$U$9:$U$108,MATCH(F46,'Inventory'!$C$9:$C$108,0))),""))</x:f>
      </x:c>
      <x:c r="P46" s="42" t="str">
        <x:f>IF(C46="","",IFERROR(IF(INDEX('Inventory'!$AA$9:$AA$108,MATCH(F46,'Inventory'!$C$9:$C$108,0))="","",INDEX('Inventory'!$AA$9:$AA$108,MATCH(F46,'Inventory'!$C$9:$C$108,0))),""))</x:f>
      </x:c>
      <x:c r="Q46" s="42" t="str">
        <x:f>IF(C46="","",IFERROR(IF(INDEX('Inventory'!$AH$9:$AH$108,MATCH(F46,'Inventory'!$C$9:$C$108,0))="","",INDEX('Inventory'!$AH$9:$AH$108,MATCH(F46,'Inventory'!$C$9:$C$108,0))),""))</x:f>
      </x:c>
      <x:c r="R46" s="9" t="str">
        <x:f>IF(C46="","",IF(COUNTIFS('Facilities'!$C$9:$C$108,C46)&lt;&gt;1,"Duplicate facility ID",IF(OR(NOT(ISNUMBER(IFERROR(IF(INDEX('Facilities'!$G$9:$G$108,MATCH(C46,'Facilities'!$C$9:$C$108,0))="","",INDEX('Facilities'!$G$9:$G$108,MATCH(C46,'Facilities'!$C$9:$C$108,0))),""))),NOT(ISNUMBER(G46)),G46&lt;0,IFERROR(IF(INDEX('Facilities'!$Z$9:$Z$108,MATCH(C46,'Facilities'!$C$9:$C$108,0))="","",INDEX('Facilities'!$Z$9:$Z$108,MATCH(C46,'Facilities'!$C$9:$C$108,0))),"")&lt;=0),"Drawn value required",IF(COUNTIFS('Inventory'!$C$9:$C$108,F46)&lt;&gt;1,"Entity required",IF(OR(E46&lt;&gt;IFERROR(IF(INDEX('Inventory'!$F$9:$F$108,MATCH(F46,'Inventory'!$C$9:$C$108,0))="","",INDEX('Inventory'!$F$9:$F$108,MATCH(F46,'Inventory'!$C$9:$C$108,0))),""),D46&lt;&gt;IFERROR(IF(INDEX('Inventory'!$D$9:$D$108,MATCH(F46,'Inventory'!$C$9:$C$108,0))="","",INDEX('Inventory'!$D$9:$D$108,MATCH(F46,'Inventory'!$C$9:$C$108,0))),"")),"Entity / class mismatch",IF(IFERROR(IF(INDEX('Inventory'!$AL$9:$AL$108,MATCH(F46,'Inventory'!$C$9:$C$108,0))="","",INDEX('Inventory'!$AL$9:$AL$108,MATCH(F46,'Inventory'!$C$9:$C$108,0))),"")&lt;&gt;"Ready",IFERROR(IF(INDEX('Inventory'!$AL$9:$AL$108,MATCH(F46,'Inventory'!$C$9:$C$108,0))="","",INDEX('Inventory'!$AL$9:$AL$108,MATCH(F46,'Inventory'!$C$9:$C$108,0))),""),IF(AND(OR(E46="Project finance",E46="CRE",E46="Mortgage",E46="Motor"),IFERROR(IF(INDEX('Facilities'!$V$9:$V$108,MATCH(C46,'Facilities'!$C$9:$C$108,0))="","",INDEX('Facilities'!$V$9:$V$108,MATCH(C46,'Facilities'!$C$9:$C$108,0))),"")&lt;&gt;"Designated asset"),"Purpose review",IF(X46&gt;H46,"Exposure exceeds value","Ready"))))))))</x:f>
      </x:c>
      <x:c r="S46" s="9" t="str">
        <x:f>IF(C46="","",IFERROR(IF(INDEX('Inventory'!$V$9:$V$108,MATCH(F46,'Inventory'!$C$9:$C$108,0))="","",INDEX('Inventory'!$V$9:$V$108,MATCH(F46,'Inventory'!$C$9:$C$108,0))),""))</x:f>
      </x:c>
      <x:c r="T46" s="9" t="str">
        <x:f>IF(C46="","",IFERROR(IF(INDEX('Inventory'!$AB$9:$AB$108,MATCH(F46,'Inventory'!$C$9:$C$108,0))="","",INDEX('Inventory'!$AB$9:$AB$108,MATCH(F46,'Inventory'!$C$9:$C$108,0))),""))</x:f>
      </x:c>
      <x:c r="U46" s="9" t="str">
        <x:f>IF(C46="","",IFERROR(IF(INDEX('Inventory'!$AI$9:$AI$108,MATCH(F46,'Inventory'!$C$9:$C$108,0))="","",INDEX('Inventory'!$AI$9:$AI$108,MATCH(F46,'Inventory'!$C$9:$C$108,0))),""))</x:f>
      </x:c>
      <x:c r="V46" s="43" t="str">
        <x:f>IF(C46="","",IFERROR(IF(INDEX('Inventory'!$P$9:$P$108,MATCH(F46,'Inventory'!$C$9:$C$108,0))="","",INDEX('Inventory'!$P$9:$P$108,MATCH(F46,'Inventory'!$C$9:$C$108,0))),""))</x:f>
      </x:c>
      <x:c r="W46" s="3" t="str">
        <x:f>IF(C46="","",IF(E46="Corporate listed","PCAF 2025 pp40-46",IF(E46="Corporate private","PCAF 2025 pp55-60",IF(E46="Project finance","PCAF 2025 pp67-71",IF(E46="CRE","PCAF 2025 pp77-81",IF(E46="Mortgage","PCAF 2025 pp83-87",IF(E46="Motor","PCAF 2025 pp90-94","Method required")))))))</x:f>
      </x:c>
      <x:c r="X46" s="23" t="str">
        <x:f>IF(C46="","",SUMIFS('Facilities'!$AA$9:$AA$108,'Facilities'!$U$9:$U$108,F46))</x:f>
      </x:c>
      <x:c r="Y46" s="21" t="n">
        <x:f>IF(AND(R46="Ready",S46="Ready"),G46,0)</x:f>
        <x:v>0</x:v>
      </x:c>
      <x:c r="Z46" s="21" t="n">
        <x:f>IF(AND(R46="Ready",T46="Ready"),G46,0)</x:f>
        <x:v>0</x:v>
      </x:c>
      <x:c r="AA46" s="21" t="n">
        <x:f>IF(Y46&gt;0,Y46*O46,0)</x:f>
        <x:v>0</x:v>
      </x:c>
      <x:c r="AB46" s="21" t="n">
        <x:f>IF(Z46&gt;0,Z46*P46,0)</x:f>
        <x:v>0</x:v>
      </x:c>
      <x:c r="AC46" s="21" t="n">
        <x:f>IF(N46&gt;0,N46*Q46,0)</x:f>
        <x:v>0</x:v>
      </x:c>
      <x:c r="AD46" s="21" t="n">
        <x:f>IF(M46&gt;0,M46*MAX(O46,P46),0)</x:f>
        <x:v>0</x:v>
      </x:c>
      <x:c r="AE46" s="9" t="str">
        <x:f>IF(C46="","",IFERROR(IF(INDEX('Inventory'!$AC$9:$AC$108,MATCH(F46,'Inventory'!$C$9:$C$108,0))="","",INDEX('Inventory'!$AC$9:$AC$108,MATCH(F46,'Inventory'!$C$9:$C$108,0))),""))</x:f>
      </x:c>
      <x:c r="AF46" s="9" t="str">
        <x:f>IF(C46="","",IFERROR(IF(INDEX('Inventory'!$AN$9:$AN$108,MATCH(F46,'Inventory'!$C$9:$C$108,0))="","",INDEX('Inventory'!$AN$9:$AN$108,MATCH(F46,'Inventory'!$C$9:$C$108,0))),""))</x:f>
      </x:c>
    </x:row>
    <x:row r="47" ht="26" customHeight="1">
      <x:c r="A47" s="1"/>
      <x:c r="B47" s="1"/>
      <x:c r="C47" s="9" t="str">
        <x:f>IF('Facilities'!C47="","",'Facilities'!C47)</x:f>
      </x:c>
      <x:c r="D47" s="9" t="str">
        <x:f>IF(C47="","",IFERROR(IF(INDEX('Facilities'!$D$9:$D$108,MATCH(C47,'Facilities'!$C$9:$C$108,0))="","",INDEX('Facilities'!$D$9:$D$108,MATCH(C47,'Facilities'!$C$9:$C$108,0))),""))</x:f>
      </x:c>
      <x:c r="E47" s="9" t="str">
        <x:f>IF(C47="","",IFERROR(IF(INDEX('Facilities'!$E$9:$E$108,MATCH(C47,'Facilities'!$C$9:$C$108,0))="","",INDEX('Facilities'!$E$9:$E$108,MATCH(C47,'Facilities'!$C$9:$C$108,0))),""))</x:f>
      </x:c>
      <x:c r="F47" s="9" t="str">
        <x:f>IF(C47="","",IFERROR(IF(INDEX('Facilities'!$U$9:$U$108,MATCH(C47,'Facilities'!$C$9:$C$108,0))="","",INDEX('Facilities'!$U$9:$U$108,MATCH(C47,'Facilities'!$C$9:$C$108,0))),""))</x:f>
      </x:c>
      <x:c r="G47" s="23" t="str">
        <x:f>IF(C47="","",IFERROR(IF(INDEX('Facilities'!$AA$9:$AA$108,MATCH(C47,'Facilities'!$C$9:$C$108,0))="","",INDEX('Facilities'!$AA$9:$AA$108,MATCH(C47,'Facilities'!$C$9:$C$108,0))),""))</x:f>
      </x:c>
      <x:c r="H47" s="23" t="str">
        <x:f>IF(C47="","",IFERROR(IF(INDEX('Inventory'!$N$9:$N$108,MATCH(F47,'Inventory'!$C$9:$C$108,0))="","",INDEX('Inventory'!$N$9:$N$108,MATCH(F47,'Inventory'!$C$9:$C$108,0))),""))</x:f>
      </x:c>
      <x:c r="I47" s="17" t="str">
        <x:f>IF(R47="Ready",G47/H47,"")</x:f>
      </x:c>
      <x:c r="J47" s="23" t="str">
        <x:f>IF(AND(R47="Ready",S47="Ready"),I47*IFERROR(IF(INDEX('Inventory'!$T$9:$T$108,MATCH(F47,'Inventory'!$C$9:$C$108,0))="","",INDEX('Inventory'!$T$9:$T$108,MATCH(F47,'Inventory'!$C$9:$C$108,0))),""),"")</x:f>
      </x:c>
      <x:c r="K47" s="23" t="str">
        <x:f>IF(AND(R47="Ready",T47="Ready"),I47*IFERROR(IF(INDEX('Inventory'!$Z$9:$Z$108,MATCH(F47,'Inventory'!$C$9:$C$108,0))="","",INDEX('Inventory'!$Z$9:$Z$108,MATCH(F47,'Inventory'!$C$9:$C$108,0))),""),"")</x:f>
      </x:c>
      <x:c r="L47" s="23" t="str">
        <x:f>IF(AND(R47="Ready",U47="Ready"),I47*IFERROR(IF(INDEX('Inventory'!$AG$9:$AG$108,MATCH(F47,'Inventory'!$C$9:$C$108,0))="","",INDEX('Inventory'!$AG$9:$AG$108,MATCH(F47,'Inventory'!$C$9:$C$108,0))),""),"")</x:f>
      </x:c>
      <x:c r="M47" s="21" t="n">
        <x:f>IF(AND(R47="Ready",S47="Ready",T47="Ready"),G47,0)</x:f>
        <x:v>0</x:v>
      </x:c>
      <x:c r="N47" s="21" t="n">
        <x:f>IF(AND(R47="Ready",U47="Ready"),G47,0)</x:f>
        <x:v>0</x:v>
      </x:c>
      <x:c r="O47" s="42" t="str">
        <x:f>IF(C47="","",IFERROR(IF(INDEX('Inventory'!$U$9:$U$108,MATCH(F47,'Inventory'!$C$9:$C$108,0))="","",INDEX('Inventory'!$U$9:$U$108,MATCH(F47,'Inventory'!$C$9:$C$108,0))),""))</x:f>
      </x:c>
      <x:c r="P47" s="42" t="str">
        <x:f>IF(C47="","",IFERROR(IF(INDEX('Inventory'!$AA$9:$AA$108,MATCH(F47,'Inventory'!$C$9:$C$108,0))="","",INDEX('Inventory'!$AA$9:$AA$108,MATCH(F47,'Inventory'!$C$9:$C$108,0))),""))</x:f>
      </x:c>
      <x:c r="Q47" s="42" t="str">
        <x:f>IF(C47="","",IFERROR(IF(INDEX('Inventory'!$AH$9:$AH$108,MATCH(F47,'Inventory'!$C$9:$C$108,0))="","",INDEX('Inventory'!$AH$9:$AH$108,MATCH(F47,'Inventory'!$C$9:$C$108,0))),""))</x:f>
      </x:c>
      <x:c r="R47" s="9" t="str">
        <x:f>IF(C47="","",IF(COUNTIFS('Facilities'!$C$9:$C$108,C47)&lt;&gt;1,"Duplicate facility ID",IF(OR(NOT(ISNUMBER(IFERROR(IF(INDEX('Facilities'!$G$9:$G$108,MATCH(C47,'Facilities'!$C$9:$C$108,0))="","",INDEX('Facilities'!$G$9:$G$108,MATCH(C47,'Facilities'!$C$9:$C$108,0))),""))),NOT(ISNUMBER(G47)),G47&lt;0,IFERROR(IF(INDEX('Facilities'!$Z$9:$Z$108,MATCH(C47,'Facilities'!$C$9:$C$108,0))="","",INDEX('Facilities'!$Z$9:$Z$108,MATCH(C47,'Facilities'!$C$9:$C$108,0))),"")&lt;=0),"Drawn value required",IF(COUNTIFS('Inventory'!$C$9:$C$108,F47)&lt;&gt;1,"Entity required",IF(OR(E47&lt;&gt;IFERROR(IF(INDEX('Inventory'!$F$9:$F$108,MATCH(F47,'Inventory'!$C$9:$C$108,0))="","",INDEX('Inventory'!$F$9:$F$108,MATCH(F47,'Inventory'!$C$9:$C$108,0))),""),D47&lt;&gt;IFERROR(IF(INDEX('Inventory'!$D$9:$D$108,MATCH(F47,'Inventory'!$C$9:$C$108,0))="","",INDEX('Inventory'!$D$9:$D$108,MATCH(F47,'Inventory'!$C$9:$C$108,0))),"")),"Entity / class mismatch",IF(IFERROR(IF(INDEX('Inventory'!$AL$9:$AL$108,MATCH(F47,'Inventory'!$C$9:$C$108,0))="","",INDEX('Inventory'!$AL$9:$AL$108,MATCH(F47,'Inventory'!$C$9:$C$108,0))),"")&lt;&gt;"Ready",IFERROR(IF(INDEX('Inventory'!$AL$9:$AL$108,MATCH(F47,'Inventory'!$C$9:$C$108,0))="","",INDEX('Inventory'!$AL$9:$AL$108,MATCH(F47,'Inventory'!$C$9:$C$108,0))),""),IF(AND(OR(E47="Project finance",E47="CRE",E47="Mortgage",E47="Motor"),IFERROR(IF(INDEX('Facilities'!$V$9:$V$108,MATCH(C47,'Facilities'!$C$9:$C$108,0))="","",INDEX('Facilities'!$V$9:$V$108,MATCH(C47,'Facilities'!$C$9:$C$108,0))),"")&lt;&gt;"Designated asset"),"Purpose review",IF(X47&gt;H47,"Exposure exceeds value","Ready"))))))))</x:f>
      </x:c>
      <x:c r="S47" s="9" t="str">
        <x:f>IF(C47="","",IFERROR(IF(INDEX('Inventory'!$V$9:$V$108,MATCH(F47,'Inventory'!$C$9:$C$108,0))="","",INDEX('Inventory'!$V$9:$V$108,MATCH(F47,'Inventory'!$C$9:$C$108,0))),""))</x:f>
      </x:c>
      <x:c r="T47" s="9" t="str">
        <x:f>IF(C47="","",IFERROR(IF(INDEX('Inventory'!$AB$9:$AB$108,MATCH(F47,'Inventory'!$C$9:$C$108,0))="","",INDEX('Inventory'!$AB$9:$AB$108,MATCH(F47,'Inventory'!$C$9:$C$108,0))),""))</x:f>
      </x:c>
      <x:c r="U47" s="9" t="str">
        <x:f>IF(C47="","",IFERROR(IF(INDEX('Inventory'!$AI$9:$AI$108,MATCH(F47,'Inventory'!$C$9:$C$108,0))="","",INDEX('Inventory'!$AI$9:$AI$108,MATCH(F47,'Inventory'!$C$9:$C$108,0))),""))</x:f>
      </x:c>
      <x:c r="V47" s="43" t="str">
        <x:f>IF(C47="","",IFERROR(IF(INDEX('Inventory'!$P$9:$P$108,MATCH(F47,'Inventory'!$C$9:$C$108,0))="","",INDEX('Inventory'!$P$9:$P$108,MATCH(F47,'Inventory'!$C$9:$C$108,0))),""))</x:f>
      </x:c>
      <x:c r="W47" s="3" t="str">
        <x:f>IF(C47="","",IF(E47="Corporate listed","PCAF 2025 pp40-46",IF(E47="Corporate private","PCAF 2025 pp55-60",IF(E47="Project finance","PCAF 2025 pp67-71",IF(E47="CRE","PCAF 2025 pp77-81",IF(E47="Mortgage","PCAF 2025 pp83-87",IF(E47="Motor","PCAF 2025 pp90-94","Method required")))))))</x:f>
      </x:c>
      <x:c r="X47" s="23" t="str">
        <x:f>IF(C47="","",SUMIFS('Facilities'!$AA$9:$AA$108,'Facilities'!$U$9:$U$108,F47))</x:f>
      </x:c>
      <x:c r="Y47" s="21" t="n">
        <x:f>IF(AND(R47="Ready",S47="Ready"),G47,0)</x:f>
        <x:v>0</x:v>
      </x:c>
      <x:c r="Z47" s="21" t="n">
        <x:f>IF(AND(R47="Ready",T47="Ready"),G47,0)</x:f>
        <x:v>0</x:v>
      </x:c>
      <x:c r="AA47" s="21" t="n">
        <x:f>IF(Y47&gt;0,Y47*O47,0)</x:f>
        <x:v>0</x:v>
      </x:c>
      <x:c r="AB47" s="21" t="n">
        <x:f>IF(Z47&gt;0,Z47*P47,0)</x:f>
        <x:v>0</x:v>
      </x:c>
      <x:c r="AC47" s="21" t="n">
        <x:f>IF(N47&gt;0,N47*Q47,0)</x:f>
        <x:v>0</x:v>
      </x:c>
      <x:c r="AD47" s="21" t="n">
        <x:f>IF(M47&gt;0,M47*MAX(O47,P47),0)</x:f>
        <x:v>0</x:v>
      </x:c>
      <x:c r="AE47" s="9" t="str">
        <x:f>IF(C47="","",IFERROR(IF(INDEX('Inventory'!$AC$9:$AC$108,MATCH(F47,'Inventory'!$C$9:$C$108,0))="","",INDEX('Inventory'!$AC$9:$AC$108,MATCH(F47,'Inventory'!$C$9:$C$108,0))),""))</x:f>
      </x:c>
      <x:c r="AF47" s="9" t="str">
        <x:f>IF(C47="","",IFERROR(IF(INDEX('Inventory'!$AN$9:$AN$108,MATCH(F47,'Inventory'!$C$9:$C$108,0))="","",INDEX('Inventory'!$AN$9:$AN$108,MATCH(F47,'Inventory'!$C$9:$C$108,0))),""))</x:f>
      </x:c>
    </x:row>
    <x:row r="48" ht="26" customHeight="1">
      <x:c r="A48" s="1"/>
      <x:c r="B48" s="1"/>
      <x:c r="C48" s="9" t="str">
        <x:f>IF('Facilities'!C48="","",'Facilities'!C48)</x:f>
      </x:c>
      <x:c r="D48" s="9" t="str">
        <x:f>IF(C48="","",IFERROR(IF(INDEX('Facilities'!$D$9:$D$108,MATCH(C48,'Facilities'!$C$9:$C$108,0))="","",INDEX('Facilities'!$D$9:$D$108,MATCH(C48,'Facilities'!$C$9:$C$108,0))),""))</x:f>
      </x:c>
      <x:c r="E48" s="9" t="str">
        <x:f>IF(C48="","",IFERROR(IF(INDEX('Facilities'!$E$9:$E$108,MATCH(C48,'Facilities'!$C$9:$C$108,0))="","",INDEX('Facilities'!$E$9:$E$108,MATCH(C48,'Facilities'!$C$9:$C$108,0))),""))</x:f>
      </x:c>
      <x:c r="F48" s="9" t="str">
        <x:f>IF(C48="","",IFERROR(IF(INDEX('Facilities'!$U$9:$U$108,MATCH(C48,'Facilities'!$C$9:$C$108,0))="","",INDEX('Facilities'!$U$9:$U$108,MATCH(C48,'Facilities'!$C$9:$C$108,0))),""))</x:f>
      </x:c>
      <x:c r="G48" s="23" t="str">
        <x:f>IF(C48="","",IFERROR(IF(INDEX('Facilities'!$AA$9:$AA$108,MATCH(C48,'Facilities'!$C$9:$C$108,0))="","",INDEX('Facilities'!$AA$9:$AA$108,MATCH(C48,'Facilities'!$C$9:$C$108,0))),""))</x:f>
      </x:c>
      <x:c r="H48" s="23" t="str">
        <x:f>IF(C48="","",IFERROR(IF(INDEX('Inventory'!$N$9:$N$108,MATCH(F48,'Inventory'!$C$9:$C$108,0))="","",INDEX('Inventory'!$N$9:$N$108,MATCH(F48,'Inventory'!$C$9:$C$108,0))),""))</x:f>
      </x:c>
      <x:c r="I48" s="17" t="str">
        <x:f>IF(R48="Ready",G48/H48,"")</x:f>
      </x:c>
      <x:c r="J48" s="23" t="str">
        <x:f>IF(AND(R48="Ready",S48="Ready"),I48*IFERROR(IF(INDEX('Inventory'!$T$9:$T$108,MATCH(F48,'Inventory'!$C$9:$C$108,0))="","",INDEX('Inventory'!$T$9:$T$108,MATCH(F48,'Inventory'!$C$9:$C$108,0))),""),"")</x:f>
      </x:c>
      <x:c r="K48" s="23" t="str">
        <x:f>IF(AND(R48="Ready",T48="Ready"),I48*IFERROR(IF(INDEX('Inventory'!$Z$9:$Z$108,MATCH(F48,'Inventory'!$C$9:$C$108,0))="","",INDEX('Inventory'!$Z$9:$Z$108,MATCH(F48,'Inventory'!$C$9:$C$108,0))),""),"")</x:f>
      </x:c>
      <x:c r="L48" s="23" t="str">
        <x:f>IF(AND(R48="Ready",U48="Ready"),I48*IFERROR(IF(INDEX('Inventory'!$AG$9:$AG$108,MATCH(F48,'Inventory'!$C$9:$C$108,0))="","",INDEX('Inventory'!$AG$9:$AG$108,MATCH(F48,'Inventory'!$C$9:$C$108,0))),""),"")</x:f>
      </x:c>
      <x:c r="M48" s="21" t="n">
        <x:f>IF(AND(R48="Ready",S48="Ready",T48="Ready"),G48,0)</x:f>
        <x:v>0</x:v>
      </x:c>
      <x:c r="N48" s="21" t="n">
        <x:f>IF(AND(R48="Ready",U48="Ready"),G48,0)</x:f>
        <x:v>0</x:v>
      </x:c>
      <x:c r="O48" s="42" t="str">
        <x:f>IF(C48="","",IFERROR(IF(INDEX('Inventory'!$U$9:$U$108,MATCH(F48,'Inventory'!$C$9:$C$108,0))="","",INDEX('Inventory'!$U$9:$U$108,MATCH(F48,'Inventory'!$C$9:$C$108,0))),""))</x:f>
      </x:c>
      <x:c r="P48" s="42" t="str">
        <x:f>IF(C48="","",IFERROR(IF(INDEX('Inventory'!$AA$9:$AA$108,MATCH(F48,'Inventory'!$C$9:$C$108,0))="","",INDEX('Inventory'!$AA$9:$AA$108,MATCH(F48,'Inventory'!$C$9:$C$108,0))),""))</x:f>
      </x:c>
      <x:c r="Q48" s="42" t="str">
        <x:f>IF(C48="","",IFERROR(IF(INDEX('Inventory'!$AH$9:$AH$108,MATCH(F48,'Inventory'!$C$9:$C$108,0))="","",INDEX('Inventory'!$AH$9:$AH$108,MATCH(F48,'Inventory'!$C$9:$C$108,0))),""))</x:f>
      </x:c>
      <x:c r="R48" s="9" t="str">
        <x:f>IF(C48="","",IF(COUNTIFS('Facilities'!$C$9:$C$108,C48)&lt;&gt;1,"Duplicate facility ID",IF(OR(NOT(ISNUMBER(IFERROR(IF(INDEX('Facilities'!$G$9:$G$108,MATCH(C48,'Facilities'!$C$9:$C$108,0))="","",INDEX('Facilities'!$G$9:$G$108,MATCH(C48,'Facilities'!$C$9:$C$108,0))),""))),NOT(ISNUMBER(G48)),G48&lt;0,IFERROR(IF(INDEX('Facilities'!$Z$9:$Z$108,MATCH(C48,'Facilities'!$C$9:$C$108,0))="","",INDEX('Facilities'!$Z$9:$Z$108,MATCH(C48,'Facilities'!$C$9:$C$108,0))),"")&lt;=0),"Drawn value required",IF(COUNTIFS('Inventory'!$C$9:$C$108,F48)&lt;&gt;1,"Entity required",IF(OR(E48&lt;&gt;IFERROR(IF(INDEX('Inventory'!$F$9:$F$108,MATCH(F48,'Inventory'!$C$9:$C$108,0))="","",INDEX('Inventory'!$F$9:$F$108,MATCH(F48,'Inventory'!$C$9:$C$108,0))),""),D48&lt;&gt;IFERROR(IF(INDEX('Inventory'!$D$9:$D$108,MATCH(F48,'Inventory'!$C$9:$C$108,0))="","",INDEX('Inventory'!$D$9:$D$108,MATCH(F48,'Inventory'!$C$9:$C$108,0))),"")),"Entity / class mismatch",IF(IFERROR(IF(INDEX('Inventory'!$AL$9:$AL$108,MATCH(F48,'Inventory'!$C$9:$C$108,0))="","",INDEX('Inventory'!$AL$9:$AL$108,MATCH(F48,'Inventory'!$C$9:$C$108,0))),"")&lt;&gt;"Ready",IFERROR(IF(INDEX('Inventory'!$AL$9:$AL$108,MATCH(F48,'Inventory'!$C$9:$C$108,0))="","",INDEX('Inventory'!$AL$9:$AL$108,MATCH(F48,'Inventory'!$C$9:$C$108,0))),""),IF(AND(OR(E48="Project finance",E48="CRE",E48="Mortgage",E48="Motor"),IFERROR(IF(INDEX('Facilities'!$V$9:$V$108,MATCH(C48,'Facilities'!$C$9:$C$108,0))="","",INDEX('Facilities'!$V$9:$V$108,MATCH(C48,'Facilities'!$C$9:$C$108,0))),"")&lt;&gt;"Designated asset"),"Purpose review",IF(X48&gt;H48,"Exposure exceeds value","Ready"))))))))</x:f>
      </x:c>
      <x:c r="S48" s="9" t="str">
        <x:f>IF(C48="","",IFERROR(IF(INDEX('Inventory'!$V$9:$V$108,MATCH(F48,'Inventory'!$C$9:$C$108,0))="","",INDEX('Inventory'!$V$9:$V$108,MATCH(F48,'Inventory'!$C$9:$C$108,0))),""))</x:f>
      </x:c>
      <x:c r="T48" s="9" t="str">
        <x:f>IF(C48="","",IFERROR(IF(INDEX('Inventory'!$AB$9:$AB$108,MATCH(F48,'Inventory'!$C$9:$C$108,0))="","",INDEX('Inventory'!$AB$9:$AB$108,MATCH(F48,'Inventory'!$C$9:$C$108,0))),""))</x:f>
      </x:c>
      <x:c r="U48" s="9" t="str">
        <x:f>IF(C48="","",IFERROR(IF(INDEX('Inventory'!$AI$9:$AI$108,MATCH(F48,'Inventory'!$C$9:$C$108,0))="","",INDEX('Inventory'!$AI$9:$AI$108,MATCH(F48,'Inventory'!$C$9:$C$108,0))),""))</x:f>
      </x:c>
      <x:c r="V48" s="43" t="str">
        <x:f>IF(C48="","",IFERROR(IF(INDEX('Inventory'!$P$9:$P$108,MATCH(F48,'Inventory'!$C$9:$C$108,0))="","",INDEX('Inventory'!$P$9:$P$108,MATCH(F48,'Inventory'!$C$9:$C$108,0))),""))</x:f>
      </x:c>
      <x:c r="W48" s="3" t="str">
        <x:f>IF(C48="","",IF(E48="Corporate listed","PCAF 2025 pp40-46",IF(E48="Corporate private","PCAF 2025 pp55-60",IF(E48="Project finance","PCAF 2025 pp67-71",IF(E48="CRE","PCAF 2025 pp77-81",IF(E48="Mortgage","PCAF 2025 pp83-87",IF(E48="Motor","PCAF 2025 pp90-94","Method required")))))))</x:f>
      </x:c>
      <x:c r="X48" s="23" t="str">
        <x:f>IF(C48="","",SUMIFS('Facilities'!$AA$9:$AA$108,'Facilities'!$U$9:$U$108,F48))</x:f>
      </x:c>
      <x:c r="Y48" s="21" t="n">
        <x:f>IF(AND(R48="Ready",S48="Ready"),G48,0)</x:f>
        <x:v>0</x:v>
      </x:c>
      <x:c r="Z48" s="21" t="n">
        <x:f>IF(AND(R48="Ready",T48="Ready"),G48,0)</x:f>
        <x:v>0</x:v>
      </x:c>
      <x:c r="AA48" s="21" t="n">
        <x:f>IF(Y48&gt;0,Y48*O48,0)</x:f>
        <x:v>0</x:v>
      </x:c>
      <x:c r="AB48" s="21" t="n">
        <x:f>IF(Z48&gt;0,Z48*P48,0)</x:f>
        <x:v>0</x:v>
      </x:c>
      <x:c r="AC48" s="21" t="n">
        <x:f>IF(N48&gt;0,N48*Q48,0)</x:f>
        <x:v>0</x:v>
      </x:c>
      <x:c r="AD48" s="21" t="n">
        <x:f>IF(M48&gt;0,M48*MAX(O48,P48),0)</x:f>
        <x:v>0</x:v>
      </x:c>
      <x:c r="AE48" s="9" t="str">
        <x:f>IF(C48="","",IFERROR(IF(INDEX('Inventory'!$AC$9:$AC$108,MATCH(F48,'Inventory'!$C$9:$C$108,0))="","",INDEX('Inventory'!$AC$9:$AC$108,MATCH(F48,'Inventory'!$C$9:$C$108,0))),""))</x:f>
      </x:c>
      <x:c r="AF48" s="9" t="str">
        <x:f>IF(C48="","",IFERROR(IF(INDEX('Inventory'!$AN$9:$AN$108,MATCH(F48,'Inventory'!$C$9:$C$108,0))="","",INDEX('Inventory'!$AN$9:$AN$108,MATCH(F48,'Inventory'!$C$9:$C$108,0))),""))</x:f>
      </x:c>
    </x:row>
    <x:row r="49" ht="26" customHeight="1">
      <x:c r="A49" s="1"/>
      <x:c r="B49" s="1"/>
      <x:c r="C49" s="9" t="str">
        <x:f>IF('Facilities'!C49="","",'Facilities'!C49)</x:f>
      </x:c>
      <x:c r="D49" s="9" t="str">
        <x:f>IF(C49="","",IFERROR(IF(INDEX('Facilities'!$D$9:$D$108,MATCH(C49,'Facilities'!$C$9:$C$108,0))="","",INDEX('Facilities'!$D$9:$D$108,MATCH(C49,'Facilities'!$C$9:$C$108,0))),""))</x:f>
      </x:c>
      <x:c r="E49" s="9" t="str">
        <x:f>IF(C49="","",IFERROR(IF(INDEX('Facilities'!$E$9:$E$108,MATCH(C49,'Facilities'!$C$9:$C$108,0))="","",INDEX('Facilities'!$E$9:$E$108,MATCH(C49,'Facilities'!$C$9:$C$108,0))),""))</x:f>
      </x:c>
      <x:c r="F49" s="9" t="str">
        <x:f>IF(C49="","",IFERROR(IF(INDEX('Facilities'!$U$9:$U$108,MATCH(C49,'Facilities'!$C$9:$C$108,0))="","",INDEX('Facilities'!$U$9:$U$108,MATCH(C49,'Facilities'!$C$9:$C$108,0))),""))</x:f>
      </x:c>
      <x:c r="G49" s="23" t="str">
        <x:f>IF(C49="","",IFERROR(IF(INDEX('Facilities'!$AA$9:$AA$108,MATCH(C49,'Facilities'!$C$9:$C$108,0))="","",INDEX('Facilities'!$AA$9:$AA$108,MATCH(C49,'Facilities'!$C$9:$C$108,0))),""))</x:f>
      </x:c>
      <x:c r="H49" s="23" t="str">
        <x:f>IF(C49="","",IFERROR(IF(INDEX('Inventory'!$N$9:$N$108,MATCH(F49,'Inventory'!$C$9:$C$108,0))="","",INDEX('Inventory'!$N$9:$N$108,MATCH(F49,'Inventory'!$C$9:$C$108,0))),""))</x:f>
      </x:c>
      <x:c r="I49" s="17" t="str">
        <x:f>IF(R49="Ready",G49/H49,"")</x:f>
      </x:c>
      <x:c r="J49" s="23" t="str">
        <x:f>IF(AND(R49="Ready",S49="Ready"),I49*IFERROR(IF(INDEX('Inventory'!$T$9:$T$108,MATCH(F49,'Inventory'!$C$9:$C$108,0))="","",INDEX('Inventory'!$T$9:$T$108,MATCH(F49,'Inventory'!$C$9:$C$108,0))),""),"")</x:f>
      </x:c>
      <x:c r="K49" s="23" t="str">
        <x:f>IF(AND(R49="Ready",T49="Ready"),I49*IFERROR(IF(INDEX('Inventory'!$Z$9:$Z$108,MATCH(F49,'Inventory'!$C$9:$C$108,0))="","",INDEX('Inventory'!$Z$9:$Z$108,MATCH(F49,'Inventory'!$C$9:$C$108,0))),""),"")</x:f>
      </x:c>
      <x:c r="L49" s="23" t="str">
        <x:f>IF(AND(R49="Ready",U49="Ready"),I49*IFERROR(IF(INDEX('Inventory'!$AG$9:$AG$108,MATCH(F49,'Inventory'!$C$9:$C$108,0))="","",INDEX('Inventory'!$AG$9:$AG$108,MATCH(F49,'Inventory'!$C$9:$C$108,0))),""),"")</x:f>
      </x:c>
      <x:c r="M49" s="21" t="n">
        <x:f>IF(AND(R49="Ready",S49="Ready",T49="Ready"),G49,0)</x:f>
        <x:v>0</x:v>
      </x:c>
      <x:c r="N49" s="21" t="n">
        <x:f>IF(AND(R49="Ready",U49="Ready"),G49,0)</x:f>
        <x:v>0</x:v>
      </x:c>
      <x:c r="O49" s="42" t="str">
        <x:f>IF(C49="","",IFERROR(IF(INDEX('Inventory'!$U$9:$U$108,MATCH(F49,'Inventory'!$C$9:$C$108,0))="","",INDEX('Inventory'!$U$9:$U$108,MATCH(F49,'Inventory'!$C$9:$C$108,0))),""))</x:f>
      </x:c>
      <x:c r="P49" s="42" t="str">
        <x:f>IF(C49="","",IFERROR(IF(INDEX('Inventory'!$AA$9:$AA$108,MATCH(F49,'Inventory'!$C$9:$C$108,0))="","",INDEX('Inventory'!$AA$9:$AA$108,MATCH(F49,'Inventory'!$C$9:$C$108,0))),""))</x:f>
      </x:c>
      <x:c r="Q49" s="42" t="str">
        <x:f>IF(C49="","",IFERROR(IF(INDEX('Inventory'!$AH$9:$AH$108,MATCH(F49,'Inventory'!$C$9:$C$108,0))="","",INDEX('Inventory'!$AH$9:$AH$108,MATCH(F49,'Inventory'!$C$9:$C$108,0))),""))</x:f>
      </x:c>
      <x:c r="R49" s="9" t="str">
        <x:f>IF(C49="","",IF(COUNTIFS('Facilities'!$C$9:$C$108,C49)&lt;&gt;1,"Duplicate facility ID",IF(OR(NOT(ISNUMBER(IFERROR(IF(INDEX('Facilities'!$G$9:$G$108,MATCH(C49,'Facilities'!$C$9:$C$108,0))="","",INDEX('Facilities'!$G$9:$G$108,MATCH(C49,'Facilities'!$C$9:$C$108,0))),""))),NOT(ISNUMBER(G49)),G49&lt;0,IFERROR(IF(INDEX('Facilities'!$Z$9:$Z$108,MATCH(C49,'Facilities'!$C$9:$C$108,0))="","",INDEX('Facilities'!$Z$9:$Z$108,MATCH(C49,'Facilities'!$C$9:$C$108,0))),"")&lt;=0),"Drawn value required",IF(COUNTIFS('Inventory'!$C$9:$C$108,F49)&lt;&gt;1,"Entity required",IF(OR(E49&lt;&gt;IFERROR(IF(INDEX('Inventory'!$F$9:$F$108,MATCH(F49,'Inventory'!$C$9:$C$108,0))="","",INDEX('Inventory'!$F$9:$F$108,MATCH(F49,'Inventory'!$C$9:$C$108,0))),""),D49&lt;&gt;IFERROR(IF(INDEX('Inventory'!$D$9:$D$108,MATCH(F49,'Inventory'!$C$9:$C$108,0))="","",INDEX('Inventory'!$D$9:$D$108,MATCH(F49,'Inventory'!$C$9:$C$108,0))),"")),"Entity / class mismatch",IF(IFERROR(IF(INDEX('Inventory'!$AL$9:$AL$108,MATCH(F49,'Inventory'!$C$9:$C$108,0))="","",INDEX('Inventory'!$AL$9:$AL$108,MATCH(F49,'Inventory'!$C$9:$C$108,0))),"")&lt;&gt;"Ready",IFERROR(IF(INDEX('Inventory'!$AL$9:$AL$108,MATCH(F49,'Inventory'!$C$9:$C$108,0))="","",INDEX('Inventory'!$AL$9:$AL$108,MATCH(F49,'Inventory'!$C$9:$C$108,0))),""),IF(AND(OR(E49="Project finance",E49="CRE",E49="Mortgage",E49="Motor"),IFERROR(IF(INDEX('Facilities'!$V$9:$V$108,MATCH(C49,'Facilities'!$C$9:$C$108,0))="","",INDEX('Facilities'!$V$9:$V$108,MATCH(C49,'Facilities'!$C$9:$C$108,0))),"")&lt;&gt;"Designated asset"),"Purpose review",IF(X49&gt;H49,"Exposure exceeds value","Ready"))))))))</x:f>
      </x:c>
      <x:c r="S49" s="9" t="str">
        <x:f>IF(C49="","",IFERROR(IF(INDEX('Inventory'!$V$9:$V$108,MATCH(F49,'Inventory'!$C$9:$C$108,0))="","",INDEX('Inventory'!$V$9:$V$108,MATCH(F49,'Inventory'!$C$9:$C$108,0))),""))</x:f>
      </x:c>
      <x:c r="T49" s="9" t="str">
        <x:f>IF(C49="","",IFERROR(IF(INDEX('Inventory'!$AB$9:$AB$108,MATCH(F49,'Inventory'!$C$9:$C$108,0))="","",INDEX('Inventory'!$AB$9:$AB$108,MATCH(F49,'Inventory'!$C$9:$C$108,0))),""))</x:f>
      </x:c>
      <x:c r="U49" s="9" t="str">
        <x:f>IF(C49="","",IFERROR(IF(INDEX('Inventory'!$AI$9:$AI$108,MATCH(F49,'Inventory'!$C$9:$C$108,0))="","",INDEX('Inventory'!$AI$9:$AI$108,MATCH(F49,'Inventory'!$C$9:$C$108,0))),""))</x:f>
      </x:c>
      <x:c r="V49" s="43" t="str">
        <x:f>IF(C49="","",IFERROR(IF(INDEX('Inventory'!$P$9:$P$108,MATCH(F49,'Inventory'!$C$9:$C$108,0))="","",INDEX('Inventory'!$P$9:$P$108,MATCH(F49,'Inventory'!$C$9:$C$108,0))),""))</x:f>
      </x:c>
      <x:c r="W49" s="3" t="str">
        <x:f>IF(C49="","",IF(E49="Corporate listed","PCAF 2025 pp40-46",IF(E49="Corporate private","PCAF 2025 pp55-60",IF(E49="Project finance","PCAF 2025 pp67-71",IF(E49="CRE","PCAF 2025 pp77-81",IF(E49="Mortgage","PCAF 2025 pp83-87",IF(E49="Motor","PCAF 2025 pp90-94","Method required")))))))</x:f>
      </x:c>
      <x:c r="X49" s="23" t="str">
        <x:f>IF(C49="","",SUMIFS('Facilities'!$AA$9:$AA$108,'Facilities'!$U$9:$U$108,F49))</x:f>
      </x:c>
      <x:c r="Y49" s="21" t="n">
        <x:f>IF(AND(R49="Ready",S49="Ready"),G49,0)</x:f>
        <x:v>0</x:v>
      </x:c>
      <x:c r="Z49" s="21" t="n">
        <x:f>IF(AND(R49="Ready",T49="Ready"),G49,0)</x:f>
        <x:v>0</x:v>
      </x:c>
      <x:c r="AA49" s="21" t="n">
        <x:f>IF(Y49&gt;0,Y49*O49,0)</x:f>
        <x:v>0</x:v>
      </x:c>
      <x:c r="AB49" s="21" t="n">
        <x:f>IF(Z49&gt;0,Z49*P49,0)</x:f>
        <x:v>0</x:v>
      </x:c>
      <x:c r="AC49" s="21" t="n">
        <x:f>IF(N49&gt;0,N49*Q49,0)</x:f>
        <x:v>0</x:v>
      </x:c>
      <x:c r="AD49" s="21" t="n">
        <x:f>IF(M49&gt;0,M49*MAX(O49,P49),0)</x:f>
        <x:v>0</x:v>
      </x:c>
      <x:c r="AE49" s="9" t="str">
        <x:f>IF(C49="","",IFERROR(IF(INDEX('Inventory'!$AC$9:$AC$108,MATCH(F49,'Inventory'!$C$9:$C$108,0))="","",INDEX('Inventory'!$AC$9:$AC$108,MATCH(F49,'Inventory'!$C$9:$C$108,0))),""))</x:f>
      </x:c>
      <x:c r="AF49" s="9" t="str">
        <x:f>IF(C49="","",IFERROR(IF(INDEX('Inventory'!$AN$9:$AN$108,MATCH(F49,'Inventory'!$C$9:$C$108,0))="","",INDEX('Inventory'!$AN$9:$AN$108,MATCH(F49,'Inventory'!$C$9:$C$108,0))),""))</x:f>
      </x:c>
    </x:row>
    <x:row r="50" ht="26" customHeight="1">
      <x:c r="A50" s="1"/>
      <x:c r="B50" s="1"/>
      <x:c r="C50" s="9" t="str">
        <x:f>IF('Facilities'!C50="","",'Facilities'!C50)</x:f>
      </x:c>
      <x:c r="D50" s="9" t="str">
        <x:f>IF(C50="","",IFERROR(IF(INDEX('Facilities'!$D$9:$D$108,MATCH(C50,'Facilities'!$C$9:$C$108,0))="","",INDEX('Facilities'!$D$9:$D$108,MATCH(C50,'Facilities'!$C$9:$C$108,0))),""))</x:f>
      </x:c>
      <x:c r="E50" s="9" t="str">
        <x:f>IF(C50="","",IFERROR(IF(INDEX('Facilities'!$E$9:$E$108,MATCH(C50,'Facilities'!$C$9:$C$108,0))="","",INDEX('Facilities'!$E$9:$E$108,MATCH(C50,'Facilities'!$C$9:$C$108,0))),""))</x:f>
      </x:c>
      <x:c r="F50" s="9" t="str">
        <x:f>IF(C50="","",IFERROR(IF(INDEX('Facilities'!$U$9:$U$108,MATCH(C50,'Facilities'!$C$9:$C$108,0))="","",INDEX('Facilities'!$U$9:$U$108,MATCH(C50,'Facilities'!$C$9:$C$108,0))),""))</x:f>
      </x:c>
      <x:c r="G50" s="23" t="str">
        <x:f>IF(C50="","",IFERROR(IF(INDEX('Facilities'!$AA$9:$AA$108,MATCH(C50,'Facilities'!$C$9:$C$108,0))="","",INDEX('Facilities'!$AA$9:$AA$108,MATCH(C50,'Facilities'!$C$9:$C$108,0))),""))</x:f>
      </x:c>
      <x:c r="H50" s="23" t="str">
        <x:f>IF(C50="","",IFERROR(IF(INDEX('Inventory'!$N$9:$N$108,MATCH(F50,'Inventory'!$C$9:$C$108,0))="","",INDEX('Inventory'!$N$9:$N$108,MATCH(F50,'Inventory'!$C$9:$C$108,0))),""))</x:f>
      </x:c>
      <x:c r="I50" s="17" t="str">
        <x:f>IF(R50="Ready",G50/H50,"")</x:f>
      </x:c>
      <x:c r="J50" s="23" t="str">
        <x:f>IF(AND(R50="Ready",S50="Ready"),I50*IFERROR(IF(INDEX('Inventory'!$T$9:$T$108,MATCH(F50,'Inventory'!$C$9:$C$108,0))="","",INDEX('Inventory'!$T$9:$T$108,MATCH(F50,'Inventory'!$C$9:$C$108,0))),""),"")</x:f>
      </x:c>
      <x:c r="K50" s="23" t="str">
        <x:f>IF(AND(R50="Ready",T50="Ready"),I50*IFERROR(IF(INDEX('Inventory'!$Z$9:$Z$108,MATCH(F50,'Inventory'!$C$9:$C$108,0))="","",INDEX('Inventory'!$Z$9:$Z$108,MATCH(F50,'Inventory'!$C$9:$C$108,0))),""),"")</x:f>
      </x:c>
      <x:c r="L50" s="23" t="str">
        <x:f>IF(AND(R50="Ready",U50="Ready"),I50*IFERROR(IF(INDEX('Inventory'!$AG$9:$AG$108,MATCH(F50,'Inventory'!$C$9:$C$108,0))="","",INDEX('Inventory'!$AG$9:$AG$108,MATCH(F50,'Inventory'!$C$9:$C$108,0))),""),"")</x:f>
      </x:c>
      <x:c r="M50" s="21" t="n">
        <x:f>IF(AND(R50="Ready",S50="Ready",T50="Ready"),G50,0)</x:f>
        <x:v>0</x:v>
      </x:c>
      <x:c r="N50" s="21" t="n">
        <x:f>IF(AND(R50="Ready",U50="Ready"),G50,0)</x:f>
        <x:v>0</x:v>
      </x:c>
      <x:c r="O50" s="42" t="str">
        <x:f>IF(C50="","",IFERROR(IF(INDEX('Inventory'!$U$9:$U$108,MATCH(F50,'Inventory'!$C$9:$C$108,0))="","",INDEX('Inventory'!$U$9:$U$108,MATCH(F50,'Inventory'!$C$9:$C$108,0))),""))</x:f>
      </x:c>
      <x:c r="P50" s="42" t="str">
        <x:f>IF(C50="","",IFERROR(IF(INDEX('Inventory'!$AA$9:$AA$108,MATCH(F50,'Inventory'!$C$9:$C$108,0))="","",INDEX('Inventory'!$AA$9:$AA$108,MATCH(F50,'Inventory'!$C$9:$C$108,0))),""))</x:f>
      </x:c>
      <x:c r="Q50" s="42" t="str">
        <x:f>IF(C50="","",IFERROR(IF(INDEX('Inventory'!$AH$9:$AH$108,MATCH(F50,'Inventory'!$C$9:$C$108,0))="","",INDEX('Inventory'!$AH$9:$AH$108,MATCH(F50,'Inventory'!$C$9:$C$108,0))),""))</x:f>
      </x:c>
      <x:c r="R50" s="9" t="str">
        <x:f>IF(C50="","",IF(COUNTIFS('Facilities'!$C$9:$C$108,C50)&lt;&gt;1,"Duplicate facility ID",IF(OR(NOT(ISNUMBER(IFERROR(IF(INDEX('Facilities'!$G$9:$G$108,MATCH(C50,'Facilities'!$C$9:$C$108,0))="","",INDEX('Facilities'!$G$9:$G$108,MATCH(C50,'Facilities'!$C$9:$C$108,0))),""))),NOT(ISNUMBER(G50)),G50&lt;0,IFERROR(IF(INDEX('Facilities'!$Z$9:$Z$108,MATCH(C50,'Facilities'!$C$9:$C$108,0))="","",INDEX('Facilities'!$Z$9:$Z$108,MATCH(C50,'Facilities'!$C$9:$C$108,0))),"")&lt;=0),"Drawn value required",IF(COUNTIFS('Inventory'!$C$9:$C$108,F50)&lt;&gt;1,"Entity required",IF(OR(E50&lt;&gt;IFERROR(IF(INDEX('Inventory'!$F$9:$F$108,MATCH(F50,'Inventory'!$C$9:$C$108,0))="","",INDEX('Inventory'!$F$9:$F$108,MATCH(F50,'Inventory'!$C$9:$C$108,0))),""),D50&lt;&gt;IFERROR(IF(INDEX('Inventory'!$D$9:$D$108,MATCH(F50,'Inventory'!$C$9:$C$108,0))="","",INDEX('Inventory'!$D$9:$D$108,MATCH(F50,'Inventory'!$C$9:$C$108,0))),"")),"Entity / class mismatch",IF(IFERROR(IF(INDEX('Inventory'!$AL$9:$AL$108,MATCH(F50,'Inventory'!$C$9:$C$108,0))="","",INDEX('Inventory'!$AL$9:$AL$108,MATCH(F50,'Inventory'!$C$9:$C$108,0))),"")&lt;&gt;"Ready",IFERROR(IF(INDEX('Inventory'!$AL$9:$AL$108,MATCH(F50,'Inventory'!$C$9:$C$108,0))="","",INDEX('Inventory'!$AL$9:$AL$108,MATCH(F50,'Inventory'!$C$9:$C$108,0))),""),IF(AND(OR(E50="Project finance",E50="CRE",E50="Mortgage",E50="Motor"),IFERROR(IF(INDEX('Facilities'!$V$9:$V$108,MATCH(C50,'Facilities'!$C$9:$C$108,0))="","",INDEX('Facilities'!$V$9:$V$108,MATCH(C50,'Facilities'!$C$9:$C$108,0))),"")&lt;&gt;"Designated asset"),"Purpose review",IF(X50&gt;H50,"Exposure exceeds value","Ready"))))))))</x:f>
      </x:c>
      <x:c r="S50" s="9" t="str">
        <x:f>IF(C50="","",IFERROR(IF(INDEX('Inventory'!$V$9:$V$108,MATCH(F50,'Inventory'!$C$9:$C$108,0))="","",INDEX('Inventory'!$V$9:$V$108,MATCH(F50,'Inventory'!$C$9:$C$108,0))),""))</x:f>
      </x:c>
      <x:c r="T50" s="9" t="str">
        <x:f>IF(C50="","",IFERROR(IF(INDEX('Inventory'!$AB$9:$AB$108,MATCH(F50,'Inventory'!$C$9:$C$108,0))="","",INDEX('Inventory'!$AB$9:$AB$108,MATCH(F50,'Inventory'!$C$9:$C$108,0))),""))</x:f>
      </x:c>
      <x:c r="U50" s="9" t="str">
        <x:f>IF(C50="","",IFERROR(IF(INDEX('Inventory'!$AI$9:$AI$108,MATCH(F50,'Inventory'!$C$9:$C$108,0))="","",INDEX('Inventory'!$AI$9:$AI$108,MATCH(F50,'Inventory'!$C$9:$C$108,0))),""))</x:f>
      </x:c>
      <x:c r="V50" s="43" t="str">
        <x:f>IF(C50="","",IFERROR(IF(INDEX('Inventory'!$P$9:$P$108,MATCH(F50,'Inventory'!$C$9:$C$108,0))="","",INDEX('Inventory'!$P$9:$P$108,MATCH(F50,'Inventory'!$C$9:$C$108,0))),""))</x:f>
      </x:c>
      <x:c r="W50" s="3" t="str">
        <x:f>IF(C50="","",IF(E50="Corporate listed","PCAF 2025 pp40-46",IF(E50="Corporate private","PCAF 2025 pp55-60",IF(E50="Project finance","PCAF 2025 pp67-71",IF(E50="CRE","PCAF 2025 pp77-81",IF(E50="Mortgage","PCAF 2025 pp83-87",IF(E50="Motor","PCAF 2025 pp90-94","Method required")))))))</x:f>
      </x:c>
      <x:c r="X50" s="23" t="str">
        <x:f>IF(C50="","",SUMIFS('Facilities'!$AA$9:$AA$108,'Facilities'!$U$9:$U$108,F50))</x:f>
      </x:c>
      <x:c r="Y50" s="21" t="n">
        <x:f>IF(AND(R50="Ready",S50="Ready"),G50,0)</x:f>
        <x:v>0</x:v>
      </x:c>
      <x:c r="Z50" s="21" t="n">
        <x:f>IF(AND(R50="Ready",T50="Ready"),G50,0)</x:f>
        <x:v>0</x:v>
      </x:c>
      <x:c r="AA50" s="21" t="n">
        <x:f>IF(Y50&gt;0,Y50*O50,0)</x:f>
        <x:v>0</x:v>
      </x:c>
      <x:c r="AB50" s="21" t="n">
        <x:f>IF(Z50&gt;0,Z50*P50,0)</x:f>
        <x:v>0</x:v>
      </x:c>
      <x:c r="AC50" s="21" t="n">
        <x:f>IF(N50&gt;0,N50*Q50,0)</x:f>
        <x:v>0</x:v>
      </x:c>
      <x:c r="AD50" s="21" t="n">
        <x:f>IF(M50&gt;0,M50*MAX(O50,P50),0)</x:f>
        <x:v>0</x:v>
      </x:c>
      <x:c r="AE50" s="9" t="str">
        <x:f>IF(C50="","",IFERROR(IF(INDEX('Inventory'!$AC$9:$AC$108,MATCH(F50,'Inventory'!$C$9:$C$108,0))="","",INDEX('Inventory'!$AC$9:$AC$108,MATCH(F50,'Inventory'!$C$9:$C$108,0))),""))</x:f>
      </x:c>
      <x:c r="AF50" s="9" t="str">
        <x:f>IF(C50="","",IFERROR(IF(INDEX('Inventory'!$AN$9:$AN$108,MATCH(F50,'Inventory'!$C$9:$C$108,0))="","",INDEX('Inventory'!$AN$9:$AN$108,MATCH(F50,'Inventory'!$C$9:$C$108,0))),""))</x:f>
      </x:c>
    </x:row>
    <x:row r="51" ht="26" customHeight="1">
      <x:c r="A51" s="1"/>
      <x:c r="B51" s="1"/>
      <x:c r="C51" s="9" t="str">
        <x:f>IF('Facilities'!C51="","",'Facilities'!C51)</x:f>
      </x:c>
      <x:c r="D51" s="9" t="str">
        <x:f>IF(C51="","",IFERROR(IF(INDEX('Facilities'!$D$9:$D$108,MATCH(C51,'Facilities'!$C$9:$C$108,0))="","",INDEX('Facilities'!$D$9:$D$108,MATCH(C51,'Facilities'!$C$9:$C$108,0))),""))</x:f>
      </x:c>
      <x:c r="E51" s="9" t="str">
        <x:f>IF(C51="","",IFERROR(IF(INDEX('Facilities'!$E$9:$E$108,MATCH(C51,'Facilities'!$C$9:$C$108,0))="","",INDEX('Facilities'!$E$9:$E$108,MATCH(C51,'Facilities'!$C$9:$C$108,0))),""))</x:f>
      </x:c>
      <x:c r="F51" s="9" t="str">
        <x:f>IF(C51="","",IFERROR(IF(INDEX('Facilities'!$U$9:$U$108,MATCH(C51,'Facilities'!$C$9:$C$108,0))="","",INDEX('Facilities'!$U$9:$U$108,MATCH(C51,'Facilities'!$C$9:$C$108,0))),""))</x:f>
      </x:c>
      <x:c r="G51" s="23" t="str">
        <x:f>IF(C51="","",IFERROR(IF(INDEX('Facilities'!$AA$9:$AA$108,MATCH(C51,'Facilities'!$C$9:$C$108,0))="","",INDEX('Facilities'!$AA$9:$AA$108,MATCH(C51,'Facilities'!$C$9:$C$108,0))),""))</x:f>
      </x:c>
      <x:c r="H51" s="23" t="str">
        <x:f>IF(C51="","",IFERROR(IF(INDEX('Inventory'!$N$9:$N$108,MATCH(F51,'Inventory'!$C$9:$C$108,0))="","",INDEX('Inventory'!$N$9:$N$108,MATCH(F51,'Inventory'!$C$9:$C$108,0))),""))</x:f>
      </x:c>
      <x:c r="I51" s="17" t="str">
        <x:f>IF(R51="Ready",G51/H51,"")</x:f>
      </x:c>
      <x:c r="J51" s="23" t="str">
        <x:f>IF(AND(R51="Ready",S51="Ready"),I51*IFERROR(IF(INDEX('Inventory'!$T$9:$T$108,MATCH(F51,'Inventory'!$C$9:$C$108,0))="","",INDEX('Inventory'!$T$9:$T$108,MATCH(F51,'Inventory'!$C$9:$C$108,0))),""),"")</x:f>
      </x:c>
      <x:c r="K51" s="23" t="str">
        <x:f>IF(AND(R51="Ready",T51="Ready"),I51*IFERROR(IF(INDEX('Inventory'!$Z$9:$Z$108,MATCH(F51,'Inventory'!$C$9:$C$108,0))="","",INDEX('Inventory'!$Z$9:$Z$108,MATCH(F51,'Inventory'!$C$9:$C$108,0))),""),"")</x:f>
      </x:c>
      <x:c r="L51" s="23" t="str">
        <x:f>IF(AND(R51="Ready",U51="Ready"),I51*IFERROR(IF(INDEX('Inventory'!$AG$9:$AG$108,MATCH(F51,'Inventory'!$C$9:$C$108,0))="","",INDEX('Inventory'!$AG$9:$AG$108,MATCH(F51,'Inventory'!$C$9:$C$108,0))),""),"")</x:f>
      </x:c>
      <x:c r="M51" s="21" t="n">
        <x:f>IF(AND(R51="Ready",S51="Ready",T51="Ready"),G51,0)</x:f>
        <x:v>0</x:v>
      </x:c>
      <x:c r="N51" s="21" t="n">
        <x:f>IF(AND(R51="Ready",U51="Ready"),G51,0)</x:f>
        <x:v>0</x:v>
      </x:c>
      <x:c r="O51" s="42" t="str">
        <x:f>IF(C51="","",IFERROR(IF(INDEX('Inventory'!$U$9:$U$108,MATCH(F51,'Inventory'!$C$9:$C$108,0))="","",INDEX('Inventory'!$U$9:$U$108,MATCH(F51,'Inventory'!$C$9:$C$108,0))),""))</x:f>
      </x:c>
      <x:c r="P51" s="42" t="str">
        <x:f>IF(C51="","",IFERROR(IF(INDEX('Inventory'!$AA$9:$AA$108,MATCH(F51,'Inventory'!$C$9:$C$108,0))="","",INDEX('Inventory'!$AA$9:$AA$108,MATCH(F51,'Inventory'!$C$9:$C$108,0))),""))</x:f>
      </x:c>
      <x:c r="Q51" s="42" t="str">
        <x:f>IF(C51="","",IFERROR(IF(INDEX('Inventory'!$AH$9:$AH$108,MATCH(F51,'Inventory'!$C$9:$C$108,0))="","",INDEX('Inventory'!$AH$9:$AH$108,MATCH(F51,'Inventory'!$C$9:$C$108,0))),""))</x:f>
      </x:c>
      <x:c r="R51" s="9" t="str">
        <x:f>IF(C51="","",IF(COUNTIFS('Facilities'!$C$9:$C$108,C51)&lt;&gt;1,"Duplicate facility ID",IF(OR(NOT(ISNUMBER(IFERROR(IF(INDEX('Facilities'!$G$9:$G$108,MATCH(C51,'Facilities'!$C$9:$C$108,0))="","",INDEX('Facilities'!$G$9:$G$108,MATCH(C51,'Facilities'!$C$9:$C$108,0))),""))),NOT(ISNUMBER(G51)),G51&lt;0,IFERROR(IF(INDEX('Facilities'!$Z$9:$Z$108,MATCH(C51,'Facilities'!$C$9:$C$108,0))="","",INDEX('Facilities'!$Z$9:$Z$108,MATCH(C51,'Facilities'!$C$9:$C$108,0))),"")&lt;=0),"Drawn value required",IF(COUNTIFS('Inventory'!$C$9:$C$108,F51)&lt;&gt;1,"Entity required",IF(OR(E51&lt;&gt;IFERROR(IF(INDEX('Inventory'!$F$9:$F$108,MATCH(F51,'Inventory'!$C$9:$C$108,0))="","",INDEX('Inventory'!$F$9:$F$108,MATCH(F51,'Inventory'!$C$9:$C$108,0))),""),D51&lt;&gt;IFERROR(IF(INDEX('Inventory'!$D$9:$D$108,MATCH(F51,'Inventory'!$C$9:$C$108,0))="","",INDEX('Inventory'!$D$9:$D$108,MATCH(F51,'Inventory'!$C$9:$C$108,0))),"")),"Entity / class mismatch",IF(IFERROR(IF(INDEX('Inventory'!$AL$9:$AL$108,MATCH(F51,'Inventory'!$C$9:$C$108,0))="","",INDEX('Inventory'!$AL$9:$AL$108,MATCH(F51,'Inventory'!$C$9:$C$108,0))),"")&lt;&gt;"Ready",IFERROR(IF(INDEX('Inventory'!$AL$9:$AL$108,MATCH(F51,'Inventory'!$C$9:$C$108,0))="","",INDEX('Inventory'!$AL$9:$AL$108,MATCH(F51,'Inventory'!$C$9:$C$108,0))),""),IF(AND(OR(E51="Project finance",E51="CRE",E51="Mortgage",E51="Motor"),IFERROR(IF(INDEX('Facilities'!$V$9:$V$108,MATCH(C51,'Facilities'!$C$9:$C$108,0))="","",INDEX('Facilities'!$V$9:$V$108,MATCH(C51,'Facilities'!$C$9:$C$108,0))),"")&lt;&gt;"Designated asset"),"Purpose review",IF(X51&gt;H51,"Exposure exceeds value","Ready"))))))))</x:f>
      </x:c>
      <x:c r="S51" s="9" t="str">
        <x:f>IF(C51="","",IFERROR(IF(INDEX('Inventory'!$V$9:$V$108,MATCH(F51,'Inventory'!$C$9:$C$108,0))="","",INDEX('Inventory'!$V$9:$V$108,MATCH(F51,'Inventory'!$C$9:$C$108,0))),""))</x:f>
      </x:c>
      <x:c r="T51" s="9" t="str">
        <x:f>IF(C51="","",IFERROR(IF(INDEX('Inventory'!$AB$9:$AB$108,MATCH(F51,'Inventory'!$C$9:$C$108,0))="","",INDEX('Inventory'!$AB$9:$AB$108,MATCH(F51,'Inventory'!$C$9:$C$108,0))),""))</x:f>
      </x:c>
      <x:c r="U51" s="9" t="str">
        <x:f>IF(C51="","",IFERROR(IF(INDEX('Inventory'!$AI$9:$AI$108,MATCH(F51,'Inventory'!$C$9:$C$108,0))="","",INDEX('Inventory'!$AI$9:$AI$108,MATCH(F51,'Inventory'!$C$9:$C$108,0))),""))</x:f>
      </x:c>
      <x:c r="V51" s="43" t="str">
        <x:f>IF(C51="","",IFERROR(IF(INDEX('Inventory'!$P$9:$P$108,MATCH(F51,'Inventory'!$C$9:$C$108,0))="","",INDEX('Inventory'!$P$9:$P$108,MATCH(F51,'Inventory'!$C$9:$C$108,0))),""))</x:f>
      </x:c>
      <x:c r="W51" s="3" t="str">
        <x:f>IF(C51="","",IF(E51="Corporate listed","PCAF 2025 pp40-46",IF(E51="Corporate private","PCAF 2025 pp55-60",IF(E51="Project finance","PCAF 2025 pp67-71",IF(E51="CRE","PCAF 2025 pp77-81",IF(E51="Mortgage","PCAF 2025 pp83-87",IF(E51="Motor","PCAF 2025 pp90-94","Method required")))))))</x:f>
      </x:c>
      <x:c r="X51" s="23" t="str">
        <x:f>IF(C51="","",SUMIFS('Facilities'!$AA$9:$AA$108,'Facilities'!$U$9:$U$108,F51))</x:f>
      </x:c>
      <x:c r="Y51" s="21" t="n">
        <x:f>IF(AND(R51="Ready",S51="Ready"),G51,0)</x:f>
        <x:v>0</x:v>
      </x:c>
      <x:c r="Z51" s="21" t="n">
        <x:f>IF(AND(R51="Ready",T51="Ready"),G51,0)</x:f>
        <x:v>0</x:v>
      </x:c>
      <x:c r="AA51" s="21" t="n">
        <x:f>IF(Y51&gt;0,Y51*O51,0)</x:f>
        <x:v>0</x:v>
      </x:c>
      <x:c r="AB51" s="21" t="n">
        <x:f>IF(Z51&gt;0,Z51*P51,0)</x:f>
        <x:v>0</x:v>
      </x:c>
      <x:c r="AC51" s="21" t="n">
        <x:f>IF(N51&gt;0,N51*Q51,0)</x:f>
        <x:v>0</x:v>
      </x:c>
      <x:c r="AD51" s="21" t="n">
        <x:f>IF(M51&gt;0,M51*MAX(O51,P51),0)</x:f>
        <x:v>0</x:v>
      </x:c>
      <x:c r="AE51" s="9" t="str">
        <x:f>IF(C51="","",IFERROR(IF(INDEX('Inventory'!$AC$9:$AC$108,MATCH(F51,'Inventory'!$C$9:$C$108,0))="","",INDEX('Inventory'!$AC$9:$AC$108,MATCH(F51,'Inventory'!$C$9:$C$108,0))),""))</x:f>
      </x:c>
      <x:c r="AF51" s="9" t="str">
        <x:f>IF(C51="","",IFERROR(IF(INDEX('Inventory'!$AN$9:$AN$108,MATCH(F51,'Inventory'!$C$9:$C$108,0))="","",INDEX('Inventory'!$AN$9:$AN$108,MATCH(F51,'Inventory'!$C$9:$C$108,0))),""))</x:f>
      </x:c>
    </x:row>
    <x:row r="52" ht="26" customHeight="1">
      <x:c r="A52" s="1"/>
      <x:c r="B52" s="1"/>
      <x:c r="C52" s="9" t="str">
        <x:f>IF('Facilities'!C52="","",'Facilities'!C52)</x:f>
      </x:c>
      <x:c r="D52" s="9" t="str">
        <x:f>IF(C52="","",IFERROR(IF(INDEX('Facilities'!$D$9:$D$108,MATCH(C52,'Facilities'!$C$9:$C$108,0))="","",INDEX('Facilities'!$D$9:$D$108,MATCH(C52,'Facilities'!$C$9:$C$108,0))),""))</x:f>
      </x:c>
      <x:c r="E52" s="9" t="str">
        <x:f>IF(C52="","",IFERROR(IF(INDEX('Facilities'!$E$9:$E$108,MATCH(C52,'Facilities'!$C$9:$C$108,0))="","",INDEX('Facilities'!$E$9:$E$108,MATCH(C52,'Facilities'!$C$9:$C$108,0))),""))</x:f>
      </x:c>
      <x:c r="F52" s="9" t="str">
        <x:f>IF(C52="","",IFERROR(IF(INDEX('Facilities'!$U$9:$U$108,MATCH(C52,'Facilities'!$C$9:$C$108,0))="","",INDEX('Facilities'!$U$9:$U$108,MATCH(C52,'Facilities'!$C$9:$C$108,0))),""))</x:f>
      </x:c>
      <x:c r="G52" s="23" t="str">
        <x:f>IF(C52="","",IFERROR(IF(INDEX('Facilities'!$AA$9:$AA$108,MATCH(C52,'Facilities'!$C$9:$C$108,0))="","",INDEX('Facilities'!$AA$9:$AA$108,MATCH(C52,'Facilities'!$C$9:$C$108,0))),""))</x:f>
      </x:c>
      <x:c r="H52" s="23" t="str">
        <x:f>IF(C52="","",IFERROR(IF(INDEX('Inventory'!$N$9:$N$108,MATCH(F52,'Inventory'!$C$9:$C$108,0))="","",INDEX('Inventory'!$N$9:$N$108,MATCH(F52,'Inventory'!$C$9:$C$108,0))),""))</x:f>
      </x:c>
      <x:c r="I52" s="17" t="str">
        <x:f>IF(R52="Ready",G52/H52,"")</x:f>
      </x:c>
      <x:c r="J52" s="23" t="str">
        <x:f>IF(AND(R52="Ready",S52="Ready"),I52*IFERROR(IF(INDEX('Inventory'!$T$9:$T$108,MATCH(F52,'Inventory'!$C$9:$C$108,0))="","",INDEX('Inventory'!$T$9:$T$108,MATCH(F52,'Inventory'!$C$9:$C$108,0))),""),"")</x:f>
      </x:c>
      <x:c r="K52" s="23" t="str">
        <x:f>IF(AND(R52="Ready",T52="Ready"),I52*IFERROR(IF(INDEX('Inventory'!$Z$9:$Z$108,MATCH(F52,'Inventory'!$C$9:$C$108,0))="","",INDEX('Inventory'!$Z$9:$Z$108,MATCH(F52,'Inventory'!$C$9:$C$108,0))),""),"")</x:f>
      </x:c>
      <x:c r="L52" s="23" t="str">
        <x:f>IF(AND(R52="Ready",U52="Ready"),I52*IFERROR(IF(INDEX('Inventory'!$AG$9:$AG$108,MATCH(F52,'Inventory'!$C$9:$C$108,0))="","",INDEX('Inventory'!$AG$9:$AG$108,MATCH(F52,'Inventory'!$C$9:$C$108,0))),""),"")</x:f>
      </x:c>
      <x:c r="M52" s="21" t="n">
        <x:f>IF(AND(R52="Ready",S52="Ready",T52="Ready"),G52,0)</x:f>
        <x:v>0</x:v>
      </x:c>
      <x:c r="N52" s="21" t="n">
        <x:f>IF(AND(R52="Ready",U52="Ready"),G52,0)</x:f>
        <x:v>0</x:v>
      </x:c>
      <x:c r="O52" s="42" t="str">
        <x:f>IF(C52="","",IFERROR(IF(INDEX('Inventory'!$U$9:$U$108,MATCH(F52,'Inventory'!$C$9:$C$108,0))="","",INDEX('Inventory'!$U$9:$U$108,MATCH(F52,'Inventory'!$C$9:$C$108,0))),""))</x:f>
      </x:c>
      <x:c r="P52" s="42" t="str">
        <x:f>IF(C52="","",IFERROR(IF(INDEX('Inventory'!$AA$9:$AA$108,MATCH(F52,'Inventory'!$C$9:$C$108,0))="","",INDEX('Inventory'!$AA$9:$AA$108,MATCH(F52,'Inventory'!$C$9:$C$108,0))),""))</x:f>
      </x:c>
      <x:c r="Q52" s="42" t="str">
        <x:f>IF(C52="","",IFERROR(IF(INDEX('Inventory'!$AH$9:$AH$108,MATCH(F52,'Inventory'!$C$9:$C$108,0))="","",INDEX('Inventory'!$AH$9:$AH$108,MATCH(F52,'Inventory'!$C$9:$C$108,0))),""))</x:f>
      </x:c>
      <x:c r="R52" s="9" t="str">
        <x:f>IF(C52="","",IF(COUNTIFS('Facilities'!$C$9:$C$108,C52)&lt;&gt;1,"Duplicate facility ID",IF(OR(NOT(ISNUMBER(IFERROR(IF(INDEX('Facilities'!$G$9:$G$108,MATCH(C52,'Facilities'!$C$9:$C$108,0))="","",INDEX('Facilities'!$G$9:$G$108,MATCH(C52,'Facilities'!$C$9:$C$108,0))),""))),NOT(ISNUMBER(G52)),G52&lt;0,IFERROR(IF(INDEX('Facilities'!$Z$9:$Z$108,MATCH(C52,'Facilities'!$C$9:$C$108,0))="","",INDEX('Facilities'!$Z$9:$Z$108,MATCH(C52,'Facilities'!$C$9:$C$108,0))),"")&lt;=0),"Drawn value required",IF(COUNTIFS('Inventory'!$C$9:$C$108,F52)&lt;&gt;1,"Entity required",IF(OR(E52&lt;&gt;IFERROR(IF(INDEX('Inventory'!$F$9:$F$108,MATCH(F52,'Inventory'!$C$9:$C$108,0))="","",INDEX('Inventory'!$F$9:$F$108,MATCH(F52,'Inventory'!$C$9:$C$108,0))),""),D52&lt;&gt;IFERROR(IF(INDEX('Inventory'!$D$9:$D$108,MATCH(F52,'Inventory'!$C$9:$C$108,0))="","",INDEX('Inventory'!$D$9:$D$108,MATCH(F52,'Inventory'!$C$9:$C$108,0))),"")),"Entity / class mismatch",IF(IFERROR(IF(INDEX('Inventory'!$AL$9:$AL$108,MATCH(F52,'Inventory'!$C$9:$C$108,0))="","",INDEX('Inventory'!$AL$9:$AL$108,MATCH(F52,'Inventory'!$C$9:$C$108,0))),"")&lt;&gt;"Ready",IFERROR(IF(INDEX('Inventory'!$AL$9:$AL$108,MATCH(F52,'Inventory'!$C$9:$C$108,0))="","",INDEX('Inventory'!$AL$9:$AL$108,MATCH(F52,'Inventory'!$C$9:$C$108,0))),""),IF(AND(OR(E52="Project finance",E52="CRE",E52="Mortgage",E52="Motor"),IFERROR(IF(INDEX('Facilities'!$V$9:$V$108,MATCH(C52,'Facilities'!$C$9:$C$108,0))="","",INDEX('Facilities'!$V$9:$V$108,MATCH(C52,'Facilities'!$C$9:$C$108,0))),"")&lt;&gt;"Designated asset"),"Purpose review",IF(X52&gt;H52,"Exposure exceeds value","Ready"))))))))</x:f>
      </x:c>
      <x:c r="S52" s="9" t="str">
        <x:f>IF(C52="","",IFERROR(IF(INDEX('Inventory'!$V$9:$V$108,MATCH(F52,'Inventory'!$C$9:$C$108,0))="","",INDEX('Inventory'!$V$9:$V$108,MATCH(F52,'Inventory'!$C$9:$C$108,0))),""))</x:f>
      </x:c>
      <x:c r="T52" s="9" t="str">
        <x:f>IF(C52="","",IFERROR(IF(INDEX('Inventory'!$AB$9:$AB$108,MATCH(F52,'Inventory'!$C$9:$C$108,0))="","",INDEX('Inventory'!$AB$9:$AB$108,MATCH(F52,'Inventory'!$C$9:$C$108,0))),""))</x:f>
      </x:c>
      <x:c r="U52" s="9" t="str">
        <x:f>IF(C52="","",IFERROR(IF(INDEX('Inventory'!$AI$9:$AI$108,MATCH(F52,'Inventory'!$C$9:$C$108,0))="","",INDEX('Inventory'!$AI$9:$AI$108,MATCH(F52,'Inventory'!$C$9:$C$108,0))),""))</x:f>
      </x:c>
      <x:c r="V52" s="43" t="str">
        <x:f>IF(C52="","",IFERROR(IF(INDEX('Inventory'!$P$9:$P$108,MATCH(F52,'Inventory'!$C$9:$C$108,0))="","",INDEX('Inventory'!$P$9:$P$108,MATCH(F52,'Inventory'!$C$9:$C$108,0))),""))</x:f>
      </x:c>
      <x:c r="W52" s="3" t="str">
        <x:f>IF(C52="","",IF(E52="Corporate listed","PCAF 2025 pp40-46",IF(E52="Corporate private","PCAF 2025 pp55-60",IF(E52="Project finance","PCAF 2025 pp67-71",IF(E52="CRE","PCAF 2025 pp77-81",IF(E52="Mortgage","PCAF 2025 pp83-87",IF(E52="Motor","PCAF 2025 pp90-94","Method required")))))))</x:f>
      </x:c>
      <x:c r="X52" s="23" t="str">
        <x:f>IF(C52="","",SUMIFS('Facilities'!$AA$9:$AA$108,'Facilities'!$U$9:$U$108,F52))</x:f>
      </x:c>
      <x:c r="Y52" s="21" t="n">
        <x:f>IF(AND(R52="Ready",S52="Ready"),G52,0)</x:f>
        <x:v>0</x:v>
      </x:c>
      <x:c r="Z52" s="21" t="n">
        <x:f>IF(AND(R52="Ready",T52="Ready"),G52,0)</x:f>
        <x:v>0</x:v>
      </x:c>
      <x:c r="AA52" s="21" t="n">
        <x:f>IF(Y52&gt;0,Y52*O52,0)</x:f>
        <x:v>0</x:v>
      </x:c>
      <x:c r="AB52" s="21" t="n">
        <x:f>IF(Z52&gt;0,Z52*P52,0)</x:f>
        <x:v>0</x:v>
      </x:c>
      <x:c r="AC52" s="21" t="n">
        <x:f>IF(N52&gt;0,N52*Q52,0)</x:f>
        <x:v>0</x:v>
      </x:c>
      <x:c r="AD52" s="21" t="n">
        <x:f>IF(M52&gt;0,M52*MAX(O52,P52),0)</x:f>
        <x:v>0</x:v>
      </x:c>
      <x:c r="AE52" s="9" t="str">
        <x:f>IF(C52="","",IFERROR(IF(INDEX('Inventory'!$AC$9:$AC$108,MATCH(F52,'Inventory'!$C$9:$C$108,0))="","",INDEX('Inventory'!$AC$9:$AC$108,MATCH(F52,'Inventory'!$C$9:$C$108,0))),""))</x:f>
      </x:c>
      <x:c r="AF52" s="9" t="str">
        <x:f>IF(C52="","",IFERROR(IF(INDEX('Inventory'!$AN$9:$AN$108,MATCH(F52,'Inventory'!$C$9:$C$108,0))="","",INDEX('Inventory'!$AN$9:$AN$108,MATCH(F52,'Inventory'!$C$9:$C$108,0))),""))</x:f>
      </x:c>
    </x:row>
    <x:row r="53" ht="26" customHeight="1">
      <x:c r="A53" s="1"/>
      <x:c r="B53" s="1"/>
      <x:c r="C53" s="9" t="str">
        <x:f>IF('Facilities'!C53="","",'Facilities'!C53)</x:f>
      </x:c>
      <x:c r="D53" s="9" t="str">
        <x:f>IF(C53="","",IFERROR(IF(INDEX('Facilities'!$D$9:$D$108,MATCH(C53,'Facilities'!$C$9:$C$108,0))="","",INDEX('Facilities'!$D$9:$D$108,MATCH(C53,'Facilities'!$C$9:$C$108,0))),""))</x:f>
      </x:c>
      <x:c r="E53" s="9" t="str">
        <x:f>IF(C53="","",IFERROR(IF(INDEX('Facilities'!$E$9:$E$108,MATCH(C53,'Facilities'!$C$9:$C$108,0))="","",INDEX('Facilities'!$E$9:$E$108,MATCH(C53,'Facilities'!$C$9:$C$108,0))),""))</x:f>
      </x:c>
      <x:c r="F53" s="9" t="str">
        <x:f>IF(C53="","",IFERROR(IF(INDEX('Facilities'!$U$9:$U$108,MATCH(C53,'Facilities'!$C$9:$C$108,0))="","",INDEX('Facilities'!$U$9:$U$108,MATCH(C53,'Facilities'!$C$9:$C$108,0))),""))</x:f>
      </x:c>
      <x:c r="G53" s="23" t="str">
        <x:f>IF(C53="","",IFERROR(IF(INDEX('Facilities'!$AA$9:$AA$108,MATCH(C53,'Facilities'!$C$9:$C$108,0))="","",INDEX('Facilities'!$AA$9:$AA$108,MATCH(C53,'Facilities'!$C$9:$C$108,0))),""))</x:f>
      </x:c>
      <x:c r="H53" s="23" t="str">
        <x:f>IF(C53="","",IFERROR(IF(INDEX('Inventory'!$N$9:$N$108,MATCH(F53,'Inventory'!$C$9:$C$108,0))="","",INDEX('Inventory'!$N$9:$N$108,MATCH(F53,'Inventory'!$C$9:$C$108,0))),""))</x:f>
      </x:c>
      <x:c r="I53" s="17" t="str">
        <x:f>IF(R53="Ready",G53/H53,"")</x:f>
      </x:c>
      <x:c r="J53" s="23" t="str">
        <x:f>IF(AND(R53="Ready",S53="Ready"),I53*IFERROR(IF(INDEX('Inventory'!$T$9:$T$108,MATCH(F53,'Inventory'!$C$9:$C$108,0))="","",INDEX('Inventory'!$T$9:$T$108,MATCH(F53,'Inventory'!$C$9:$C$108,0))),""),"")</x:f>
      </x:c>
      <x:c r="K53" s="23" t="str">
        <x:f>IF(AND(R53="Ready",T53="Ready"),I53*IFERROR(IF(INDEX('Inventory'!$Z$9:$Z$108,MATCH(F53,'Inventory'!$C$9:$C$108,0))="","",INDEX('Inventory'!$Z$9:$Z$108,MATCH(F53,'Inventory'!$C$9:$C$108,0))),""),"")</x:f>
      </x:c>
      <x:c r="L53" s="23" t="str">
        <x:f>IF(AND(R53="Ready",U53="Ready"),I53*IFERROR(IF(INDEX('Inventory'!$AG$9:$AG$108,MATCH(F53,'Inventory'!$C$9:$C$108,0))="","",INDEX('Inventory'!$AG$9:$AG$108,MATCH(F53,'Inventory'!$C$9:$C$108,0))),""),"")</x:f>
      </x:c>
      <x:c r="M53" s="21" t="n">
        <x:f>IF(AND(R53="Ready",S53="Ready",T53="Ready"),G53,0)</x:f>
        <x:v>0</x:v>
      </x:c>
      <x:c r="N53" s="21" t="n">
        <x:f>IF(AND(R53="Ready",U53="Ready"),G53,0)</x:f>
        <x:v>0</x:v>
      </x:c>
      <x:c r="O53" s="42" t="str">
        <x:f>IF(C53="","",IFERROR(IF(INDEX('Inventory'!$U$9:$U$108,MATCH(F53,'Inventory'!$C$9:$C$108,0))="","",INDEX('Inventory'!$U$9:$U$108,MATCH(F53,'Inventory'!$C$9:$C$108,0))),""))</x:f>
      </x:c>
      <x:c r="P53" s="42" t="str">
        <x:f>IF(C53="","",IFERROR(IF(INDEX('Inventory'!$AA$9:$AA$108,MATCH(F53,'Inventory'!$C$9:$C$108,0))="","",INDEX('Inventory'!$AA$9:$AA$108,MATCH(F53,'Inventory'!$C$9:$C$108,0))),""))</x:f>
      </x:c>
      <x:c r="Q53" s="42" t="str">
        <x:f>IF(C53="","",IFERROR(IF(INDEX('Inventory'!$AH$9:$AH$108,MATCH(F53,'Inventory'!$C$9:$C$108,0))="","",INDEX('Inventory'!$AH$9:$AH$108,MATCH(F53,'Inventory'!$C$9:$C$108,0))),""))</x:f>
      </x:c>
      <x:c r="R53" s="9" t="str">
        <x:f>IF(C53="","",IF(COUNTIFS('Facilities'!$C$9:$C$108,C53)&lt;&gt;1,"Duplicate facility ID",IF(OR(NOT(ISNUMBER(IFERROR(IF(INDEX('Facilities'!$G$9:$G$108,MATCH(C53,'Facilities'!$C$9:$C$108,0))="","",INDEX('Facilities'!$G$9:$G$108,MATCH(C53,'Facilities'!$C$9:$C$108,0))),""))),NOT(ISNUMBER(G53)),G53&lt;0,IFERROR(IF(INDEX('Facilities'!$Z$9:$Z$108,MATCH(C53,'Facilities'!$C$9:$C$108,0))="","",INDEX('Facilities'!$Z$9:$Z$108,MATCH(C53,'Facilities'!$C$9:$C$108,0))),"")&lt;=0),"Drawn value required",IF(COUNTIFS('Inventory'!$C$9:$C$108,F53)&lt;&gt;1,"Entity required",IF(OR(E53&lt;&gt;IFERROR(IF(INDEX('Inventory'!$F$9:$F$108,MATCH(F53,'Inventory'!$C$9:$C$108,0))="","",INDEX('Inventory'!$F$9:$F$108,MATCH(F53,'Inventory'!$C$9:$C$108,0))),""),D53&lt;&gt;IFERROR(IF(INDEX('Inventory'!$D$9:$D$108,MATCH(F53,'Inventory'!$C$9:$C$108,0))="","",INDEX('Inventory'!$D$9:$D$108,MATCH(F53,'Inventory'!$C$9:$C$108,0))),"")),"Entity / class mismatch",IF(IFERROR(IF(INDEX('Inventory'!$AL$9:$AL$108,MATCH(F53,'Inventory'!$C$9:$C$108,0))="","",INDEX('Inventory'!$AL$9:$AL$108,MATCH(F53,'Inventory'!$C$9:$C$108,0))),"")&lt;&gt;"Ready",IFERROR(IF(INDEX('Inventory'!$AL$9:$AL$108,MATCH(F53,'Inventory'!$C$9:$C$108,0))="","",INDEX('Inventory'!$AL$9:$AL$108,MATCH(F53,'Inventory'!$C$9:$C$108,0))),""),IF(AND(OR(E53="Project finance",E53="CRE",E53="Mortgage",E53="Motor"),IFERROR(IF(INDEX('Facilities'!$V$9:$V$108,MATCH(C53,'Facilities'!$C$9:$C$108,0))="","",INDEX('Facilities'!$V$9:$V$108,MATCH(C53,'Facilities'!$C$9:$C$108,0))),"")&lt;&gt;"Designated asset"),"Purpose review",IF(X53&gt;H53,"Exposure exceeds value","Ready"))))))))</x:f>
      </x:c>
      <x:c r="S53" s="9" t="str">
        <x:f>IF(C53="","",IFERROR(IF(INDEX('Inventory'!$V$9:$V$108,MATCH(F53,'Inventory'!$C$9:$C$108,0))="","",INDEX('Inventory'!$V$9:$V$108,MATCH(F53,'Inventory'!$C$9:$C$108,0))),""))</x:f>
      </x:c>
      <x:c r="T53" s="9" t="str">
        <x:f>IF(C53="","",IFERROR(IF(INDEX('Inventory'!$AB$9:$AB$108,MATCH(F53,'Inventory'!$C$9:$C$108,0))="","",INDEX('Inventory'!$AB$9:$AB$108,MATCH(F53,'Inventory'!$C$9:$C$108,0))),""))</x:f>
      </x:c>
      <x:c r="U53" s="9" t="str">
        <x:f>IF(C53="","",IFERROR(IF(INDEX('Inventory'!$AI$9:$AI$108,MATCH(F53,'Inventory'!$C$9:$C$108,0))="","",INDEX('Inventory'!$AI$9:$AI$108,MATCH(F53,'Inventory'!$C$9:$C$108,0))),""))</x:f>
      </x:c>
      <x:c r="V53" s="43" t="str">
        <x:f>IF(C53="","",IFERROR(IF(INDEX('Inventory'!$P$9:$P$108,MATCH(F53,'Inventory'!$C$9:$C$108,0))="","",INDEX('Inventory'!$P$9:$P$108,MATCH(F53,'Inventory'!$C$9:$C$108,0))),""))</x:f>
      </x:c>
      <x:c r="W53" s="3" t="str">
        <x:f>IF(C53="","",IF(E53="Corporate listed","PCAF 2025 pp40-46",IF(E53="Corporate private","PCAF 2025 pp55-60",IF(E53="Project finance","PCAF 2025 pp67-71",IF(E53="CRE","PCAF 2025 pp77-81",IF(E53="Mortgage","PCAF 2025 pp83-87",IF(E53="Motor","PCAF 2025 pp90-94","Method required")))))))</x:f>
      </x:c>
      <x:c r="X53" s="23" t="str">
        <x:f>IF(C53="","",SUMIFS('Facilities'!$AA$9:$AA$108,'Facilities'!$U$9:$U$108,F53))</x:f>
      </x:c>
      <x:c r="Y53" s="21" t="n">
        <x:f>IF(AND(R53="Ready",S53="Ready"),G53,0)</x:f>
        <x:v>0</x:v>
      </x:c>
      <x:c r="Z53" s="21" t="n">
        <x:f>IF(AND(R53="Ready",T53="Ready"),G53,0)</x:f>
        <x:v>0</x:v>
      </x:c>
      <x:c r="AA53" s="21" t="n">
        <x:f>IF(Y53&gt;0,Y53*O53,0)</x:f>
        <x:v>0</x:v>
      </x:c>
      <x:c r="AB53" s="21" t="n">
        <x:f>IF(Z53&gt;0,Z53*P53,0)</x:f>
        <x:v>0</x:v>
      </x:c>
      <x:c r="AC53" s="21" t="n">
        <x:f>IF(N53&gt;0,N53*Q53,0)</x:f>
        <x:v>0</x:v>
      </x:c>
      <x:c r="AD53" s="21" t="n">
        <x:f>IF(M53&gt;0,M53*MAX(O53,P53),0)</x:f>
        <x:v>0</x:v>
      </x:c>
      <x:c r="AE53" s="9" t="str">
        <x:f>IF(C53="","",IFERROR(IF(INDEX('Inventory'!$AC$9:$AC$108,MATCH(F53,'Inventory'!$C$9:$C$108,0))="","",INDEX('Inventory'!$AC$9:$AC$108,MATCH(F53,'Inventory'!$C$9:$C$108,0))),""))</x:f>
      </x:c>
      <x:c r="AF53" s="9" t="str">
        <x:f>IF(C53="","",IFERROR(IF(INDEX('Inventory'!$AN$9:$AN$108,MATCH(F53,'Inventory'!$C$9:$C$108,0))="","",INDEX('Inventory'!$AN$9:$AN$108,MATCH(F53,'Inventory'!$C$9:$C$108,0))),""))</x:f>
      </x:c>
    </x:row>
    <x:row r="54" ht="26" customHeight="1">
      <x:c r="A54" s="1"/>
      <x:c r="B54" s="1"/>
      <x:c r="C54" s="9" t="str">
        <x:f>IF('Facilities'!C54="","",'Facilities'!C54)</x:f>
      </x:c>
      <x:c r="D54" s="9" t="str">
        <x:f>IF(C54="","",IFERROR(IF(INDEX('Facilities'!$D$9:$D$108,MATCH(C54,'Facilities'!$C$9:$C$108,0))="","",INDEX('Facilities'!$D$9:$D$108,MATCH(C54,'Facilities'!$C$9:$C$108,0))),""))</x:f>
      </x:c>
      <x:c r="E54" s="9" t="str">
        <x:f>IF(C54="","",IFERROR(IF(INDEX('Facilities'!$E$9:$E$108,MATCH(C54,'Facilities'!$C$9:$C$108,0))="","",INDEX('Facilities'!$E$9:$E$108,MATCH(C54,'Facilities'!$C$9:$C$108,0))),""))</x:f>
      </x:c>
      <x:c r="F54" s="9" t="str">
        <x:f>IF(C54="","",IFERROR(IF(INDEX('Facilities'!$U$9:$U$108,MATCH(C54,'Facilities'!$C$9:$C$108,0))="","",INDEX('Facilities'!$U$9:$U$108,MATCH(C54,'Facilities'!$C$9:$C$108,0))),""))</x:f>
      </x:c>
      <x:c r="G54" s="23" t="str">
        <x:f>IF(C54="","",IFERROR(IF(INDEX('Facilities'!$AA$9:$AA$108,MATCH(C54,'Facilities'!$C$9:$C$108,0))="","",INDEX('Facilities'!$AA$9:$AA$108,MATCH(C54,'Facilities'!$C$9:$C$108,0))),""))</x:f>
      </x:c>
      <x:c r="H54" s="23" t="str">
        <x:f>IF(C54="","",IFERROR(IF(INDEX('Inventory'!$N$9:$N$108,MATCH(F54,'Inventory'!$C$9:$C$108,0))="","",INDEX('Inventory'!$N$9:$N$108,MATCH(F54,'Inventory'!$C$9:$C$108,0))),""))</x:f>
      </x:c>
      <x:c r="I54" s="17" t="str">
        <x:f>IF(R54="Ready",G54/H54,"")</x:f>
      </x:c>
      <x:c r="J54" s="23" t="str">
        <x:f>IF(AND(R54="Ready",S54="Ready"),I54*IFERROR(IF(INDEX('Inventory'!$T$9:$T$108,MATCH(F54,'Inventory'!$C$9:$C$108,0))="","",INDEX('Inventory'!$T$9:$T$108,MATCH(F54,'Inventory'!$C$9:$C$108,0))),""),"")</x:f>
      </x:c>
      <x:c r="K54" s="23" t="str">
        <x:f>IF(AND(R54="Ready",T54="Ready"),I54*IFERROR(IF(INDEX('Inventory'!$Z$9:$Z$108,MATCH(F54,'Inventory'!$C$9:$C$108,0))="","",INDEX('Inventory'!$Z$9:$Z$108,MATCH(F54,'Inventory'!$C$9:$C$108,0))),""),"")</x:f>
      </x:c>
      <x:c r="L54" s="23" t="str">
        <x:f>IF(AND(R54="Ready",U54="Ready"),I54*IFERROR(IF(INDEX('Inventory'!$AG$9:$AG$108,MATCH(F54,'Inventory'!$C$9:$C$108,0))="","",INDEX('Inventory'!$AG$9:$AG$108,MATCH(F54,'Inventory'!$C$9:$C$108,0))),""),"")</x:f>
      </x:c>
      <x:c r="M54" s="21" t="n">
        <x:f>IF(AND(R54="Ready",S54="Ready",T54="Ready"),G54,0)</x:f>
        <x:v>0</x:v>
      </x:c>
      <x:c r="N54" s="21" t="n">
        <x:f>IF(AND(R54="Ready",U54="Ready"),G54,0)</x:f>
        <x:v>0</x:v>
      </x:c>
      <x:c r="O54" s="42" t="str">
        <x:f>IF(C54="","",IFERROR(IF(INDEX('Inventory'!$U$9:$U$108,MATCH(F54,'Inventory'!$C$9:$C$108,0))="","",INDEX('Inventory'!$U$9:$U$108,MATCH(F54,'Inventory'!$C$9:$C$108,0))),""))</x:f>
      </x:c>
      <x:c r="P54" s="42" t="str">
        <x:f>IF(C54="","",IFERROR(IF(INDEX('Inventory'!$AA$9:$AA$108,MATCH(F54,'Inventory'!$C$9:$C$108,0))="","",INDEX('Inventory'!$AA$9:$AA$108,MATCH(F54,'Inventory'!$C$9:$C$108,0))),""))</x:f>
      </x:c>
      <x:c r="Q54" s="42" t="str">
        <x:f>IF(C54="","",IFERROR(IF(INDEX('Inventory'!$AH$9:$AH$108,MATCH(F54,'Inventory'!$C$9:$C$108,0))="","",INDEX('Inventory'!$AH$9:$AH$108,MATCH(F54,'Inventory'!$C$9:$C$108,0))),""))</x:f>
      </x:c>
      <x:c r="R54" s="9" t="str">
        <x:f>IF(C54="","",IF(COUNTIFS('Facilities'!$C$9:$C$108,C54)&lt;&gt;1,"Duplicate facility ID",IF(OR(NOT(ISNUMBER(IFERROR(IF(INDEX('Facilities'!$G$9:$G$108,MATCH(C54,'Facilities'!$C$9:$C$108,0))="","",INDEX('Facilities'!$G$9:$G$108,MATCH(C54,'Facilities'!$C$9:$C$108,0))),""))),NOT(ISNUMBER(G54)),G54&lt;0,IFERROR(IF(INDEX('Facilities'!$Z$9:$Z$108,MATCH(C54,'Facilities'!$C$9:$C$108,0))="","",INDEX('Facilities'!$Z$9:$Z$108,MATCH(C54,'Facilities'!$C$9:$C$108,0))),"")&lt;=0),"Drawn value required",IF(COUNTIFS('Inventory'!$C$9:$C$108,F54)&lt;&gt;1,"Entity required",IF(OR(E54&lt;&gt;IFERROR(IF(INDEX('Inventory'!$F$9:$F$108,MATCH(F54,'Inventory'!$C$9:$C$108,0))="","",INDEX('Inventory'!$F$9:$F$108,MATCH(F54,'Inventory'!$C$9:$C$108,0))),""),D54&lt;&gt;IFERROR(IF(INDEX('Inventory'!$D$9:$D$108,MATCH(F54,'Inventory'!$C$9:$C$108,0))="","",INDEX('Inventory'!$D$9:$D$108,MATCH(F54,'Inventory'!$C$9:$C$108,0))),"")),"Entity / class mismatch",IF(IFERROR(IF(INDEX('Inventory'!$AL$9:$AL$108,MATCH(F54,'Inventory'!$C$9:$C$108,0))="","",INDEX('Inventory'!$AL$9:$AL$108,MATCH(F54,'Inventory'!$C$9:$C$108,0))),"")&lt;&gt;"Ready",IFERROR(IF(INDEX('Inventory'!$AL$9:$AL$108,MATCH(F54,'Inventory'!$C$9:$C$108,0))="","",INDEX('Inventory'!$AL$9:$AL$108,MATCH(F54,'Inventory'!$C$9:$C$108,0))),""),IF(AND(OR(E54="Project finance",E54="CRE",E54="Mortgage",E54="Motor"),IFERROR(IF(INDEX('Facilities'!$V$9:$V$108,MATCH(C54,'Facilities'!$C$9:$C$108,0))="","",INDEX('Facilities'!$V$9:$V$108,MATCH(C54,'Facilities'!$C$9:$C$108,0))),"")&lt;&gt;"Designated asset"),"Purpose review",IF(X54&gt;H54,"Exposure exceeds value","Ready"))))))))</x:f>
      </x:c>
      <x:c r="S54" s="9" t="str">
        <x:f>IF(C54="","",IFERROR(IF(INDEX('Inventory'!$V$9:$V$108,MATCH(F54,'Inventory'!$C$9:$C$108,0))="","",INDEX('Inventory'!$V$9:$V$108,MATCH(F54,'Inventory'!$C$9:$C$108,0))),""))</x:f>
      </x:c>
      <x:c r="T54" s="9" t="str">
        <x:f>IF(C54="","",IFERROR(IF(INDEX('Inventory'!$AB$9:$AB$108,MATCH(F54,'Inventory'!$C$9:$C$108,0))="","",INDEX('Inventory'!$AB$9:$AB$108,MATCH(F54,'Inventory'!$C$9:$C$108,0))),""))</x:f>
      </x:c>
      <x:c r="U54" s="9" t="str">
        <x:f>IF(C54="","",IFERROR(IF(INDEX('Inventory'!$AI$9:$AI$108,MATCH(F54,'Inventory'!$C$9:$C$108,0))="","",INDEX('Inventory'!$AI$9:$AI$108,MATCH(F54,'Inventory'!$C$9:$C$108,0))),""))</x:f>
      </x:c>
      <x:c r="V54" s="43" t="str">
        <x:f>IF(C54="","",IFERROR(IF(INDEX('Inventory'!$P$9:$P$108,MATCH(F54,'Inventory'!$C$9:$C$108,0))="","",INDEX('Inventory'!$P$9:$P$108,MATCH(F54,'Inventory'!$C$9:$C$108,0))),""))</x:f>
      </x:c>
      <x:c r="W54" s="3" t="str">
        <x:f>IF(C54="","",IF(E54="Corporate listed","PCAF 2025 pp40-46",IF(E54="Corporate private","PCAF 2025 pp55-60",IF(E54="Project finance","PCAF 2025 pp67-71",IF(E54="CRE","PCAF 2025 pp77-81",IF(E54="Mortgage","PCAF 2025 pp83-87",IF(E54="Motor","PCAF 2025 pp90-94","Method required")))))))</x:f>
      </x:c>
      <x:c r="X54" s="23" t="str">
        <x:f>IF(C54="","",SUMIFS('Facilities'!$AA$9:$AA$108,'Facilities'!$U$9:$U$108,F54))</x:f>
      </x:c>
      <x:c r="Y54" s="21" t="n">
        <x:f>IF(AND(R54="Ready",S54="Ready"),G54,0)</x:f>
        <x:v>0</x:v>
      </x:c>
      <x:c r="Z54" s="21" t="n">
        <x:f>IF(AND(R54="Ready",T54="Ready"),G54,0)</x:f>
        <x:v>0</x:v>
      </x:c>
      <x:c r="AA54" s="21" t="n">
        <x:f>IF(Y54&gt;0,Y54*O54,0)</x:f>
        <x:v>0</x:v>
      </x:c>
      <x:c r="AB54" s="21" t="n">
        <x:f>IF(Z54&gt;0,Z54*P54,0)</x:f>
        <x:v>0</x:v>
      </x:c>
      <x:c r="AC54" s="21" t="n">
        <x:f>IF(N54&gt;0,N54*Q54,0)</x:f>
        <x:v>0</x:v>
      </x:c>
      <x:c r="AD54" s="21" t="n">
        <x:f>IF(M54&gt;0,M54*MAX(O54,P54),0)</x:f>
        <x:v>0</x:v>
      </x:c>
      <x:c r="AE54" s="9" t="str">
        <x:f>IF(C54="","",IFERROR(IF(INDEX('Inventory'!$AC$9:$AC$108,MATCH(F54,'Inventory'!$C$9:$C$108,0))="","",INDEX('Inventory'!$AC$9:$AC$108,MATCH(F54,'Inventory'!$C$9:$C$108,0))),""))</x:f>
      </x:c>
      <x:c r="AF54" s="9" t="str">
        <x:f>IF(C54="","",IFERROR(IF(INDEX('Inventory'!$AN$9:$AN$108,MATCH(F54,'Inventory'!$C$9:$C$108,0))="","",INDEX('Inventory'!$AN$9:$AN$108,MATCH(F54,'Inventory'!$C$9:$C$108,0))),""))</x:f>
      </x:c>
    </x:row>
    <x:row r="55" ht="26" customHeight="1">
      <x:c r="A55" s="1"/>
      <x:c r="B55" s="1"/>
      <x:c r="C55" s="9" t="str">
        <x:f>IF('Facilities'!C55="","",'Facilities'!C55)</x:f>
      </x:c>
      <x:c r="D55" s="9" t="str">
        <x:f>IF(C55="","",IFERROR(IF(INDEX('Facilities'!$D$9:$D$108,MATCH(C55,'Facilities'!$C$9:$C$108,0))="","",INDEX('Facilities'!$D$9:$D$108,MATCH(C55,'Facilities'!$C$9:$C$108,0))),""))</x:f>
      </x:c>
      <x:c r="E55" s="9" t="str">
        <x:f>IF(C55="","",IFERROR(IF(INDEX('Facilities'!$E$9:$E$108,MATCH(C55,'Facilities'!$C$9:$C$108,0))="","",INDEX('Facilities'!$E$9:$E$108,MATCH(C55,'Facilities'!$C$9:$C$108,0))),""))</x:f>
      </x:c>
      <x:c r="F55" s="9" t="str">
        <x:f>IF(C55="","",IFERROR(IF(INDEX('Facilities'!$U$9:$U$108,MATCH(C55,'Facilities'!$C$9:$C$108,0))="","",INDEX('Facilities'!$U$9:$U$108,MATCH(C55,'Facilities'!$C$9:$C$108,0))),""))</x:f>
      </x:c>
      <x:c r="G55" s="23" t="str">
        <x:f>IF(C55="","",IFERROR(IF(INDEX('Facilities'!$AA$9:$AA$108,MATCH(C55,'Facilities'!$C$9:$C$108,0))="","",INDEX('Facilities'!$AA$9:$AA$108,MATCH(C55,'Facilities'!$C$9:$C$108,0))),""))</x:f>
      </x:c>
      <x:c r="H55" s="23" t="str">
        <x:f>IF(C55="","",IFERROR(IF(INDEX('Inventory'!$N$9:$N$108,MATCH(F55,'Inventory'!$C$9:$C$108,0))="","",INDEX('Inventory'!$N$9:$N$108,MATCH(F55,'Inventory'!$C$9:$C$108,0))),""))</x:f>
      </x:c>
      <x:c r="I55" s="17" t="str">
        <x:f>IF(R55="Ready",G55/H55,"")</x:f>
      </x:c>
      <x:c r="J55" s="23" t="str">
        <x:f>IF(AND(R55="Ready",S55="Ready"),I55*IFERROR(IF(INDEX('Inventory'!$T$9:$T$108,MATCH(F55,'Inventory'!$C$9:$C$108,0))="","",INDEX('Inventory'!$T$9:$T$108,MATCH(F55,'Inventory'!$C$9:$C$108,0))),""),"")</x:f>
      </x:c>
      <x:c r="K55" s="23" t="str">
        <x:f>IF(AND(R55="Ready",T55="Ready"),I55*IFERROR(IF(INDEX('Inventory'!$Z$9:$Z$108,MATCH(F55,'Inventory'!$C$9:$C$108,0))="","",INDEX('Inventory'!$Z$9:$Z$108,MATCH(F55,'Inventory'!$C$9:$C$108,0))),""),"")</x:f>
      </x:c>
      <x:c r="L55" s="23" t="str">
        <x:f>IF(AND(R55="Ready",U55="Ready"),I55*IFERROR(IF(INDEX('Inventory'!$AG$9:$AG$108,MATCH(F55,'Inventory'!$C$9:$C$108,0))="","",INDEX('Inventory'!$AG$9:$AG$108,MATCH(F55,'Inventory'!$C$9:$C$108,0))),""),"")</x:f>
      </x:c>
      <x:c r="M55" s="21" t="n">
        <x:f>IF(AND(R55="Ready",S55="Ready",T55="Ready"),G55,0)</x:f>
        <x:v>0</x:v>
      </x:c>
      <x:c r="N55" s="21" t="n">
        <x:f>IF(AND(R55="Ready",U55="Ready"),G55,0)</x:f>
        <x:v>0</x:v>
      </x:c>
      <x:c r="O55" s="42" t="str">
        <x:f>IF(C55="","",IFERROR(IF(INDEX('Inventory'!$U$9:$U$108,MATCH(F55,'Inventory'!$C$9:$C$108,0))="","",INDEX('Inventory'!$U$9:$U$108,MATCH(F55,'Inventory'!$C$9:$C$108,0))),""))</x:f>
      </x:c>
      <x:c r="P55" s="42" t="str">
        <x:f>IF(C55="","",IFERROR(IF(INDEX('Inventory'!$AA$9:$AA$108,MATCH(F55,'Inventory'!$C$9:$C$108,0))="","",INDEX('Inventory'!$AA$9:$AA$108,MATCH(F55,'Inventory'!$C$9:$C$108,0))),""))</x:f>
      </x:c>
      <x:c r="Q55" s="42" t="str">
        <x:f>IF(C55="","",IFERROR(IF(INDEX('Inventory'!$AH$9:$AH$108,MATCH(F55,'Inventory'!$C$9:$C$108,0))="","",INDEX('Inventory'!$AH$9:$AH$108,MATCH(F55,'Inventory'!$C$9:$C$108,0))),""))</x:f>
      </x:c>
      <x:c r="R55" s="9" t="str">
        <x:f>IF(C55="","",IF(COUNTIFS('Facilities'!$C$9:$C$108,C55)&lt;&gt;1,"Duplicate facility ID",IF(OR(NOT(ISNUMBER(IFERROR(IF(INDEX('Facilities'!$G$9:$G$108,MATCH(C55,'Facilities'!$C$9:$C$108,0))="","",INDEX('Facilities'!$G$9:$G$108,MATCH(C55,'Facilities'!$C$9:$C$108,0))),""))),NOT(ISNUMBER(G55)),G55&lt;0,IFERROR(IF(INDEX('Facilities'!$Z$9:$Z$108,MATCH(C55,'Facilities'!$C$9:$C$108,0))="","",INDEX('Facilities'!$Z$9:$Z$108,MATCH(C55,'Facilities'!$C$9:$C$108,0))),"")&lt;=0),"Drawn value required",IF(COUNTIFS('Inventory'!$C$9:$C$108,F55)&lt;&gt;1,"Entity required",IF(OR(E55&lt;&gt;IFERROR(IF(INDEX('Inventory'!$F$9:$F$108,MATCH(F55,'Inventory'!$C$9:$C$108,0))="","",INDEX('Inventory'!$F$9:$F$108,MATCH(F55,'Inventory'!$C$9:$C$108,0))),""),D55&lt;&gt;IFERROR(IF(INDEX('Inventory'!$D$9:$D$108,MATCH(F55,'Inventory'!$C$9:$C$108,0))="","",INDEX('Inventory'!$D$9:$D$108,MATCH(F55,'Inventory'!$C$9:$C$108,0))),"")),"Entity / class mismatch",IF(IFERROR(IF(INDEX('Inventory'!$AL$9:$AL$108,MATCH(F55,'Inventory'!$C$9:$C$108,0))="","",INDEX('Inventory'!$AL$9:$AL$108,MATCH(F55,'Inventory'!$C$9:$C$108,0))),"")&lt;&gt;"Ready",IFERROR(IF(INDEX('Inventory'!$AL$9:$AL$108,MATCH(F55,'Inventory'!$C$9:$C$108,0))="","",INDEX('Inventory'!$AL$9:$AL$108,MATCH(F55,'Inventory'!$C$9:$C$108,0))),""),IF(AND(OR(E55="Project finance",E55="CRE",E55="Mortgage",E55="Motor"),IFERROR(IF(INDEX('Facilities'!$V$9:$V$108,MATCH(C55,'Facilities'!$C$9:$C$108,0))="","",INDEX('Facilities'!$V$9:$V$108,MATCH(C55,'Facilities'!$C$9:$C$108,0))),"")&lt;&gt;"Designated asset"),"Purpose review",IF(X55&gt;H55,"Exposure exceeds value","Ready"))))))))</x:f>
      </x:c>
      <x:c r="S55" s="9" t="str">
        <x:f>IF(C55="","",IFERROR(IF(INDEX('Inventory'!$V$9:$V$108,MATCH(F55,'Inventory'!$C$9:$C$108,0))="","",INDEX('Inventory'!$V$9:$V$108,MATCH(F55,'Inventory'!$C$9:$C$108,0))),""))</x:f>
      </x:c>
      <x:c r="T55" s="9" t="str">
        <x:f>IF(C55="","",IFERROR(IF(INDEX('Inventory'!$AB$9:$AB$108,MATCH(F55,'Inventory'!$C$9:$C$108,0))="","",INDEX('Inventory'!$AB$9:$AB$108,MATCH(F55,'Inventory'!$C$9:$C$108,0))),""))</x:f>
      </x:c>
      <x:c r="U55" s="9" t="str">
        <x:f>IF(C55="","",IFERROR(IF(INDEX('Inventory'!$AI$9:$AI$108,MATCH(F55,'Inventory'!$C$9:$C$108,0))="","",INDEX('Inventory'!$AI$9:$AI$108,MATCH(F55,'Inventory'!$C$9:$C$108,0))),""))</x:f>
      </x:c>
      <x:c r="V55" s="43" t="str">
        <x:f>IF(C55="","",IFERROR(IF(INDEX('Inventory'!$P$9:$P$108,MATCH(F55,'Inventory'!$C$9:$C$108,0))="","",INDEX('Inventory'!$P$9:$P$108,MATCH(F55,'Inventory'!$C$9:$C$108,0))),""))</x:f>
      </x:c>
      <x:c r="W55" s="3" t="str">
        <x:f>IF(C55="","",IF(E55="Corporate listed","PCAF 2025 pp40-46",IF(E55="Corporate private","PCAF 2025 pp55-60",IF(E55="Project finance","PCAF 2025 pp67-71",IF(E55="CRE","PCAF 2025 pp77-81",IF(E55="Mortgage","PCAF 2025 pp83-87",IF(E55="Motor","PCAF 2025 pp90-94","Method required")))))))</x:f>
      </x:c>
      <x:c r="X55" s="23" t="str">
        <x:f>IF(C55="","",SUMIFS('Facilities'!$AA$9:$AA$108,'Facilities'!$U$9:$U$108,F55))</x:f>
      </x:c>
      <x:c r="Y55" s="21" t="n">
        <x:f>IF(AND(R55="Ready",S55="Ready"),G55,0)</x:f>
        <x:v>0</x:v>
      </x:c>
      <x:c r="Z55" s="21" t="n">
        <x:f>IF(AND(R55="Ready",T55="Ready"),G55,0)</x:f>
        <x:v>0</x:v>
      </x:c>
      <x:c r="AA55" s="21" t="n">
        <x:f>IF(Y55&gt;0,Y55*O55,0)</x:f>
        <x:v>0</x:v>
      </x:c>
      <x:c r="AB55" s="21" t="n">
        <x:f>IF(Z55&gt;0,Z55*P55,0)</x:f>
        <x:v>0</x:v>
      </x:c>
      <x:c r="AC55" s="21" t="n">
        <x:f>IF(N55&gt;0,N55*Q55,0)</x:f>
        <x:v>0</x:v>
      </x:c>
      <x:c r="AD55" s="21" t="n">
        <x:f>IF(M55&gt;0,M55*MAX(O55,P55),0)</x:f>
        <x:v>0</x:v>
      </x:c>
      <x:c r="AE55" s="9" t="str">
        <x:f>IF(C55="","",IFERROR(IF(INDEX('Inventory'!$AC$9:$AC$108,MATCH(F55,'Inventory'!$C$9:$C$108,0))="","",INDEX('Inventory'!$AC$9:$AC$108,MATCH(F55,'Inventory'!$C$9:$C$108,0))),""))</x:f>
      </x:c>
      <x:c r="AF55" s="9" t="str">
        <x:f>IF(C55="","",IFERROR(IF(INDEX('Inventory'!$AN$9:$AN$108,MATCH(F55,'Inventory'!$C$9:$C$108,0))="","",INDEX('Inventory'!$AN$9:$AN$108,MATCH(F55,'Inventory'!$C$9:$C$108,0))),""))</x:f>
      </x:c>
    </x:row>
    <x:row r="56" ht="26" customHeight="1">
      <x:c r="A56" s="1"/>
      <x:c r="B56" s="1"/>
      <x:c r="C56" s="9" t="str">
        <x:f>IF('Facilities'!C56="","",'Facilities'!C56)</x:f>
      </x:c>
      <x:c r="D56" s="9" t="str">
        <x:f>IF(C56="","",IFERROR(IF(INDEX('Facilities'!$D$9:$D$108,MATCH(C56,'Facilities'!$C$9:$C$108,0))="","",INDEX('Facilities'!$D$9:$D$108,MATCH(C56,'Facilities'!$C$9:$C$108,0))),""))</x:f>
      </x:c>
      <x:c r="E56" s="9" t="str">
        <x:f>IF(C56="","",IFERROR(IF(INDEX('Facilities'!$E$9:$E$108,MATCH(C56,'Facilities'!$C$9:$C$108,0))="","",INDEX('Facilities'!$E$9:$E$108,MATCH(C56,'Facilities'!$C$9:$C$108,0))),""))</x:f>
      </x:c>
      <x:c r="F56" s="9" t="str">
        <x:f>IF(C56="","",IFERROR(IF(INDEX('Facilities'!$U$9:$U$108,MATCH(C56,'Facilities'!$C$9:$C$108,0))="","",INDEX('Facilities'!$U$9:$U$108,MATCH(C56,'Facilities'!$C$9:$C$108,0))),""))</x:f>
      </x:c>
      <x:c r="G56" s="23" t="str">
        <x:f>IF(C56="","",IFERROR(IF(INDEX('Facilities'!$AA$9:$AA$108,MATCH(C56,'Facilities'!$C$9:$C$108,0))="","",INDEX('Facilities'!$AA$9:$AA$108,MATCH(C56,'Facilities'!$C$9:$C$108,0))),""))</x:f>
      </x:c>
      <x:c r="H56" s="23" t="str">
        <x:f>IF(C56="","",IFERROR(IF(INDEX('Inventory'!$N$9:$N$108,MATCH(F56,'Inventory'!$C$9:$C$108,0))="","",INDEX('Inventory'!$N$9:$N$108,MATCH(F56,'Inventory'!$C$9:$C$108,0))),""))</x:f>
      </x:c>
      <x:c r="I56" s="17" t="str">
        <x:f>IF(R56="Ready",G56/H56,"")</x:f>
      </x:c>
      <x:c r="J56" s="23" t="str">
        <x:f>IF(AND(R56="Ready",S56="Ready"),I56*IFERROR(IF(INDEX('Inventory'!$T$9:$T$108,MATCH(F56,'Inventory'!$C$9:$C$108,0))="","",INDEX('Inventory'!$T$9:$T$108,MATCH(F56,'Inventory'!$C$9:$C$108,0))),""),"")</x:f>
      </x:c>
      <x:c r="K56" s="23" t="str">
        <x:f>IF(AND(R56="Ready",T56="Ready"),I56*IFERROR(IF(INDEX('Inventory'!$Z$9:$Z$108,MATCH(F56,'Inventory'!$C$9:$C$108,0))="","",INDEX('Inventory'!$Z$9:$Z$108,MATCH(F56,'Inventory'!$C$9:$C$108,0))),""),"")</x:f>
      </x:c>
      <x:c r="L56" s="23" t="str">
        <x:f>IF(AND(R56="Ready",U56="Ready"),I56*IFERROR(IF(INDEX('Inventory'!$AG$9:$AG$108,MATCH(F56,'Inventory'!$C$9:$C$108,0))="","",INDEX('Inventory'!$AG$9:$AG$108,MATCH(F56,'Inventory'!$C$9:$C$108,0))),""),"")</x:f>
      </x:c>
      <x:c r="M56" s="21" t="n">
        <x:f>IF(AND(R56="Ready",S56="Ready",T56="Ready"),G56,0)</x:f>
        <x:v>0</x:v>
      </x:c>
      <x:c r="N56" s="21" t="n">
        <x:f>IF(AND(R56="Ready",U56="Ready"),G56,0)</x:f>
        <x:v>0</x:v>
      </x:c>
      <x:c r="O56" s="42" t="str">
        <x:f>IF(C56="","",IFERROR(IF(INDEX('Inventory'!$U$9:$U$108,MATCH(F56,'Inventory'!$C$9:$C$108,0))="","",INDEX('Inventory'!$U$9:$U$108,MATCH(F56,'Inventory'!$C$9:$C$108,0))),""))</x:f>
      </x:c>
      <x:c r="P56" s="42" t="str">
        <x:f>IF(C56="","",IFERROR(IF(INDEX('Inventory'!$AA$9:$AA$108,MATCH(F56,'Inventory'!$C$9:$C$108,0))="","",INDEX('Inventory'!$AA$9:$AA$108,MATCH(F56,'Inventory'!$C$9:$C$108,0))),""))</x:f>
      </x:c>
      <x:c r="Q56" s="42" t="str">
        <x:f>IF(C56="","",IFERROR(IF(INDEX('Inventory'!$AH$9:$AH$108,MATCH(F56,'Inventory'!$C$9:$C$108,0))="","",INDEX('Inventory'!$AH$9:$AH$108,MATCH(F56,'Inventory'!$C$9:$C$108,0))),""))</x:f>
      </x:c>
      <x:c r="R56" s="9" t="str">
        <x:f>IF(C56="","",IF(COUNTIFS('Facilities'!$C$9:$C$108,C56)&lt;&gt;1,"Duplicate facility ID",IF(OR(NOT(ISNUMBER(IFERROR(IF(INDEX('Facilities'!$G$9:$G$108,MATCH(C56,'Facilities'!$C$9:$C$108,0))="","",INDEX('Facilities'!$G$9:$G$108,MATCH(C56,'Facilities'!$C$9:$C$108,0))),""))),NOT(ISNUMBER(G56)),G56&lt;0,IFERROR(IF(INDEX('Facilities'!$Z$9:$Z$108,MATCH(C56,'Facilities'!$C$9:$C$108,0))="","",INDEX('Facilities'!$Z$9:$Z$108,MATCH(C56,'Facilities'!$C$9:$C$108,0))),"")&lt;=0),"Drawn value required",IF(COUNTIFS('Inventory'!$C$9:$C$108,F56)&lt;&gt;1,"Entity required",IF(OR(E56&lt;&gt;IFERROR(IF(INDEX('Inventory'!$F$9:$F$108,MATCH(F56,'Inventory'!$C$9:$C$108,0))="","",INDEX('Inventory'!$F$9:$F$108,MATCH(F56,'Inventory'!$C$9:$C$108,0))),""),D56&lt;&gt;IFERROR(IF(INDEX('Inventory'!$D$9:$D$108,MATCH(F56,'Inventory'!$C$9:$C$108,0))="","",INDEX('Inventory'!$D$9:$D$108,MATCH(F56,'Inventory'!$C$9:$C$108,0))),"")),"Entity / class mismatch",IF(IFERROR(IF(INDEX('Inventory'!$AL$9:$AL$108,MATCH(F56,'Inventory'!$C$9:$C$108,0))="","",INDEX('Inventory'!$AL$9:$AL$108,MATCH(F56,'Inventory'!$C$9:$C$108,0))),"")&lt;&gt;"Ready",IFERROR(IF(INDEX('Inventory'!$AL$9:$AL$108,MATCH(F56,'Inventory'!$C$9:$C$108,0))="","",INDEX('Inventory'!$AL$9:$AL$108,MATCH(F56,'Inventory'!$C$9:$C$108,0))),""),IF(AND(OR(E56="Project finance",E56="CRE",E56="Mortgage",E56="Motor"),IFERROR(IF(INDEX('Facilities'!$V$9:$V$108,MATCH(C56,'Facilities'!$C$9:$C$108,0))="","",INDEX('Facilities'!$V$9:$V$108,MATCH(C56,'Facilities'!$C$9:$C$108,0))),"")&lt;&gt;"Designated asset"),"Purpose review",IF(X56&gt;H56,"Exposure exceeds value","Ready"))))))))</x:f>
      </x:c>
      <x:c r="S56" s="9" t="str">
        <x:f>IF(C56="","",IFERROR(IF(INDEX('Inventory'!$V$9:$V$108,MATCH(F56,'Inventory'!$C$9:$C$108,0))="","",INDEX('Inventory'!$V$9:$V$108,MATCH(F56,'Inventory'!$C$9:$C$108,0))),""))</x:f>
      </x:c>
      <x:c r="T56" s="9" t="str">
        <x:f>IF(C56="","",IFERROR(IF(INDEX('Inventory'!$AB$9:$AB$108,MATCH(F56,'Inventory'!$C$9:$C$108,0))="","",INDEX('Inventory'!$AB$9:$AB$108,MATCH(F56,'Inventory'!$C$9:$C$108,0))),""))</x:f>
      </x:c>
      <x:c r="U56" s="9" t="str">
        <x:f>IF(C56="","",IFERROR(IF(INDEX('Inventory'!$AI$9:$AI$108,MATCH(F56,'Inventory'!$C$9:$C$108,0))="","",INDEX('Inventory'!$AI$9:$AI$108,MATCH(F56,'Inventory'!$C$9:$C$108,0))),""))</x:f>
      </x:c>
      <x:c r="V56" s="43" t="str">
        <x:f>IF(C56="","",IFERROR(IF(INDEX('Inventory'!$P$9:$P$108,MATCH(F56,'Inventory'!$C$9:$C$108,0))="","",INDEX('Inventory'!$P$9:$P$108,MATCH(F56,'Inventory'!$C$9:$C$108,0))),""))</x:f>
      </x:c>
      <x:c r="W56" s="3" t="str">
        <x:f>IF(C56="","",IF(E56="Corporate listed","PCAF 2025 pp40-46",IF(E56="Corporate private","PCAF 2025 pp55-60",IF(E56="Project finance","PCAF 2025 pp67-71",IF(E56="CRE","PCAF 2025 pp77-81",IF(E56="Mortgage","PCAF 2025 pp83-87",IF(E56="Motor","PCAF 2025 pp90-94","Method required")))))))</x:f>
      </x:c>
      <x:c r="X56" s="23" t="str">
        <x:f>IF(C56="","",SUMIFS('Facilities'!$AA$9:$AA$108,'Facilities'!$U$9:$U$108,F56))</x:f>
      </x:c>
      <x:c r="Y56" s="21" t="n">
        <x:f>IF(AND(R56="Ready",S56="Ready"),G56,0)</x:f>
        <x:v>0</x:v>
      </x:c>
      <x:c r="Z56" s="21" t="n">
        <x:f>IF(AND(R56="Ready",T56="Ready"),G56,0)</x:f>
        <x:v>0</x:v>
      </x:c>
      <x:c r="AA56" s="21" t="n">
        <x:f>IF(Y56&gt;0,Y56*O56,0)</x:f>
        <x:v>0</x:v>
      </x:c>
      <x:c r="AB56" s="21" t="n">
        <x:f>IF(Z56&gt;0,Z56*P56,0)</x:f>
        <x:v>0</x:v>
      </x:c>
      <x:c r="AC56" s="21" t="n">
        <x:f>IF(N56&gt;0,N56*Q56,0)</x:f>
        <x:v>0</x:v>
      </x:c>
      <x:c r="AD56" s="21" t="n">
        <x:f>IF(M56&gt;0,M56*MAX(O56,P56),0)</x:f>
        <x:v>0</x:v>
      </x:c>
      <x:c r="AE56" s="9" t="str">
        <x:f>IF(C56="","",IFERROR(IF(INDEX('Inventory'!$AC$9:$AC$108,MATCH(F56,'Inventory'!$C$9:$C$108,0))="","",INDEX('Inventory'!$AC$9:$AC$108,MATCH(F56,'Inventory'!$C$9:$C$108,0))),""))</x:f>
      </x:c>
      <x:c r="AF56" s="9" t="str">
        <x:f>IF(C56="","",IFERROR(IF(INDEX('Inventory'!$AN$9:$AN$108,MATCH(F56,'Inventory'!$C$9:$C$108,0))="","",INDEX('Inventory'!$AN$9:$AN$108,MATCH(F56,'Inventory'!$C$9:$C$108,0))),""))</x:f>
      </x:c>
    </x:row>
    <x:row r="57" ht="26" customHeight="1">
      <x:c r="A57" s="1"/>
      <x:c r="B57" s="1"/>
      <x:c r="C57" s="9" t="str">
        <x:f>IF('Facilities'!C57="","",'Facilities'!C57)</x:f>
      </x:c>
      <x:c r="D57" s="9" t="str">
        <x:f>IF(C57="","",IFERROR(IF(INDEX('Facilities'!$D$9:$D$108,MATCH(C57,'Facilities'!$C$9:$C$108,0))="","",INDEX('Facilities'!$D$9:$D$108,MATCH(C57,'Facilities'!$C$9:$C$108,0))),""))</x:f>
      </x:c>
      <x:c r="E57" s="9" t="str">
        <x:f>IF(C57="","",IFERROR(IF(INDEX('Facilities'!$E$9:$E$108,MATCH(C57,'Facilities'!$C$9:$C$108,0))="","",INDEX('Facilities'!$E$9:$E$108,MATCH(C57,'Facilities'!$C$9:$C$108,0))),""))</x:f>
      </x:c>
      <x:c r="F57" s="9" t="str">
        <x:f>IF(C57="","",IFERROR(IF(INDEX('Facilities'!$U$9:$U$108,MATCH(C57,'Facilities'!$C$9:$C$108,0))="","",INDEX('Facilities'!$U$9:$U$108,MATCH(C57,'Facilities'!$C$9:$C$108,0))),""))</x:f>
      </x:c>
      <x:c r="G57" s="23" t="str">
        <x:f>IF(C57="","",IFERROR(IF(INDEX('Facilities'!$AA$9:$AA$108,MATCH(C57,'Facilities'!$C$9:$C$108,0))="","",INDEX('Facilities'!$AA$9:$AA$108,MATCH(C57,'Facilities'!$C$9:$C$108,0))),""))</x:f>
      </x:c>
      <x:c r="H57" s="23" t="str">
        <x:f>IF(C57="","",IFERROR(IF(INDEX('Inventory'!$N$9:$N$108,MATCH(F57,'Inventory'!$C$9:$C$108,0))="","",INDEX('Inventory'!$N$9:$N$108,MATCH(F57,'Inventory'!$C$9:$C$108,0))),""))</x:f>
      </x:c>
      <x:c r="I57" s="17" t="str">
        <x:f>IF(R57="Ready",G57/H57,"")</x:f>
      </x:c>
      <x:c r="J57" s="23" t="str">
        <x:f>IF(AND(R57="Ready",S57="Ready"),I57*IFERROR(IF(INDEX('Inventory'!$T$9:$T$108,MATCH(F57,'Inventory'!$C$9:$C$108,0))="","",INDEX('Inventory'!$T$9:$T$108,MATCH(F57,'Inventory'!$C$9:$C$108,0))),""),"")</x:f>
      </x:c>
      <x:c r="K57" s="23" t="str">
        <x:f>IF(AND(R57="Ready",T57="Ready"),I57*IFERROR(IF(INDEX('Inventory'!$Z$9:$Z$108,MATCH(F57,'Inventory'!$C$9:$C$108,0))="","",INDEX('Inventory'!$Z$9:$Z$108,MATCH(F57,'Inventory'!$C$9:$C$108,0))),""),"")</x:f>
      </x:c>
      <x:c r="L57" s="23" t="str">
        <x:f>IF(AND(R57="Ready",U57="Ready"),I57*IFERROR(IF(INDEX('Inventory'!$AG$9:$AG$108,MATCH(F57,'Inventory'!$C$9:$C$108,0))="","",INDEX('Inventory'!$AG$9:$AG$108,MATCH(F57,'Inventory'!$C$9:$C$108,0))),""),"")</x:f>
      </x:c>
      <x:c r="M57" s="21" t="n">
        <x:f>IF(AND(R57="Ready",S57="Ready",T57="Ready"),G57,0)</x:f>
        <x:v>0</x:v>
      </x:c>
      <x:c r="N57" s="21" t="n">
        <x:f>IF(AND(R57="Ready",U57="Ready"),G57,0)</x:f>
        <x:v>0</x:v>
      </x:c>
      <x:c r="O57" s="42" t="str">
        <x:f>IF(C57="","",IFERROR(IF(INDEX('Inventory'!$U$9:$U$108,MATCH(F57,'Inventory'!$C$9:$C$108,0))="","",INDEX('Inventory'!$U$9:$U$108,MATCH(F57,'Inventory'!$C$9:$C$108,0))),""))</x:f>
      </x:c>
      <x:c r="P57" s="42" t="str">
        <x:f>IF(C57="","",IFERROR(IF(INDEX('Inventory'!$AA$9:$AA$108,MATCH(F57,'Inventory'!$C$9:$C$108,0))="","",INDEX('Inventory'!$AA$9:$AA$108,MATCH(F57,'Inventory'!$C$9:$C$108,0))),""))</x:f>
      </x:c>
      <x:c r="Q57" s="42" t="str">
        <x:f>IF(C57="","",IFERROR(IF(INDEX('Inventory'!$AH$9:$AH$108,MATCH(F57,'Inventory'!$C$9:$C$108,0))="","",INDEX('Inventory'!$AH$9:$AH$108,MATCH(F57,'Inventory'!$C$9:$C$108,0))),""))</x:f>
      </x:c>
      <x:c r="R57" s="9" t="str">
        <x:f>IF(C57="","",IF(COUNTIFS('Facilities'!$C$9:$C$108,C57)&lt;&gt;1,"Duplicate facility ID",IF(OR(NOT(ISNUMBER(IFERROR(IF(INDEX('Facilities'!$G$9:$G$108,MATCH(C57,'Facilities'!$C$9:$C$108,0))="","",INDEX('Facilities'!$G$9:$G$108,MATCH(C57,'Facilities'!$C$9:$C$108,0))),""))),NOT(ISNUMBER(G57)),G57&lt;0,IFERROR(IF(INDEX('Facilities'!$Z$9:$Z$108,MATCH(C57,'Facilities'!$C$9:$C$108,0))="","",INDEX('Facilities'!$Z$9:$Z$108,MATCH(C57,'Facilities'!$C$9:$C$108,0))),"")&lt;=0),"Drawn value required",IF(COUNTIFS('Inventory'!$C$9:$C$108,F57)&lt;&gt;1,"Entity required",IF(OR(E57&lt;&gt;IFERROR(IF(INDEX('Inventory'!$F$9:$F$108,MATCH(F57,'Inventory'!$C$9:$C$108,0))="","",INDEX('Inventory'!$F$9:$F$108,MATCH(F57,'Inventory'!$C$9:$C$108,0))),""),D57&lt;&gt;IFERROR(IF(INDEX('Inventory'!$D$9:$D$108,MATCH(F57,'Inventory'!$C$9:$C$108,0))="","",INDEX('Inventory'!$D$9:$D$108,MATCH(F57,'Inventory'!$C$9:$C$108,0))),"")),"Entity / class mismatch",IF(IFERROR(IF(INDEX('Inventory'!$AL$9:$AL$108,MATCH(F57,'Inventory'!$C$9:$C$108,0))="","",INDEX('Inventory'!$AL$9:$AL$108,MATCH(F57,'Inventory'!$C$9:$C$108,0))),"")&lt;&gt;"Ready",IFERROR(IF(INDEX('Inventory'!$AL$9:$AL$108,MATCH(F57,'Inventory'!$C$9:$C$108,0))="","",INDEX('Inventory'!$AL$9:$AL$108,MATCH(F57,'Inventory'!$C$9:$C$108,0))),""),IF(AND(OR(E57="Project finance",E57="CRE",E57="Mortgage",E57="Motor"),IFERROR(IF(INDEX('Facilities'!$V$9:$V$108,MATCH(C57,'Facilities'!$C$9:$C$108,0))="","",INDEX('Facilities'!$V$9:$V$108,MATCH(C57,'Facilities'!$C$9:$C$108,0))),"")&lt;&gt;"Designated asset"),"Purpose review",IF(X57&gt;H57,"Exposure exceeds value","Ready"))))))))</x:f>
      </x:c>
      <x:c r="S57" s="9" t="str">
        <x:f>IF(C57="","",IFERROR(IF(INDEX('Inventory'!$V$9:$V$108,MATCH(F57,'Inventory'!$C$9:$C$108,0))="","",INDEX('Inventory'!$V$9:$V$108,MATCH(F57,'Inventory'!$C$9:$C$108,0))),""))</x:f>
      </x:c>
      <x:c r="T57" s="9" t="str">
        <x:f>IF(C57="","",IFERROR(IF(INDEX('Inventory'!$AB$9:$AB$108,MATCH(F57,'Inventory'!$C$9:$C$108,0))="","",INDEX('Inventory'!$AB$9:$AB$108,MATCH(F57,'Inventory'!$C$9:$C$108,0))),""))</x:f>
      </x:c>
      <x:c r="U57" s="9" t="str">
        <x:f>IF(C57="","",IFERROR(IF(INDEX('Inventory'!$AI$9:$AI$108,MATCH(F57,'Inventory'!$C$9:$C$108,0))="","",INDEX('Inventory'!$AI$9:$AI$108,MATCH(F57,'Inventory'!$C$9:$C$108,0))),""))</x:f>
      </x:c>
      <x:c r="V57" s="43" t="str">
        <x:f>IF(C57="","",IFERROR(IF(INDEX('Inventory'!$P$9:$P$108,MATCH(F57,'Inventory'!$C$9:$C$108,0))="","",INDEX('Inventory'!$P$9:$P$108,MATCH(F57,'Inventory'!$C$9:$C$108,0))),""))</x:f>
      </x:c>
      <x:c r="W57" s="3" t="str">
        <x:f>IF(C57="","",IF(E57="Corporate listed","PCAF 2025 pp40-46",IF(E57="Corporate private","PCAF 2025 pp55-60",IF(E57="Project finance","PCAF 2025 pp67-71",IF(E57="CRE","PCAF 2025 pp77-81",IF(E57="Mortgage","PCAF 2025 pp83-87",IF(E57="Motor","PCAF 2025 pp90-94","Method required")))))))</x:f>
      </x:c>
      <x:c r="X57" s="23" t="str">
        <x:f>IF(C57="","",SUMIFS('Facilities'!$AA$9:$AA$108,'Facilities'!$U$9:$U$108,F57))</x:f>
      </x:c>
      <x:c r="Y57" s="21" t="n">
        <x:f>IF(AND(R57="Ready",S57="Ready"),G57,0)</x:f>
        <x:v>0</x:v>
      </x:c>
      <x:c r="Z57" s="21" t="n">
        <x:f>IF(AND(R57="Ready",T57="Ready"),G57,0)</x:f>
        <x:v>0</x:v>
      </x:c>
      <x:c r="AA57" s="21" t="n">
        <x:f>IF(Y57&gt;0,Y57*O57,0)</x:f>
        <x:v>0</x:v>
      </x:c>
      <x:c r="AB57" s="21" t="n">
        <x:f>IF(Z57&gt;0,Z57*P57,0)</x:f>
        <x:v>0</x:v>
      </x:c>
      <x:c r="AC57" s="21" t="n">
        <x:f>IF(N57&gt;0,N57*Q57,0)</x:f>
        <x:v>0</x:v>
      </x:c>
      <x:c r="AD57" s="21" t="n">
        <x:f>IF(M57&gt;0,M57*MAX(O57,P57),0)</x:f>
        <x:v>0</x:v>
      </x:c>
      <x:c r="AE57" s="9" t="str">
        <x:f>IF(C57="","",IFERROR(IF(INDEX('Inventory'!$AC$9:$AC$108,MATCH(F57,'Inventory'!$C$9:$C$108,0))="","",INDEX('Inventory'!$AC$9:$AC$108,MATCH(F57,'Inventory'!$C$9:$C$108,0))),""))</x:f>
      </x:c>
      <x:c r="AF57" s="9" t="str">
        <x:f>IF(C57="","",IFERROR(IF(INDEX('Inventory'!$AN$9:$AN$108,MATCH(F57,'Inventory'!$C$9:$C$108,0))="","",INDEX('Inventory'!$AN$9:$AN$108,MATCH(F57,'Inventory'!$C$9:$C$108,0))),""))</x:f>
      </x:c>
    </x:row>
    <x:row r="58" ht="26" customHeight="1">
      <x:c r="A58" s="1"/>
      <x:c r="B58" s="1"/>
      <x:c r="C58" s="9" t="str">
        <x:f>IF('Facilities'!C58="","",'Facilities'!C58)</x:f>
      </x:c>
      <x:c r="D58" s="9" t="str">
        <x:f>IF(C58="","",IFERROR(IF(INDEX('Facilities'!$D$9:$D$108,MATCH(C58,'Facilities'!$C$9:$C$108,0))="","",INDEX('Facilities'!$D$9:$D$108,MATCH(C58,'Facilities'!$C$9:$C$108,0))),""))</x:f>
      </x:c>
      <x:c r="E58" s="9" t="str">
        <x:f>IF(C58="","",IFERROR(IF(INDEX('Facilities'!$E$9:$E$108,MATCH(C58,'Facilities'!$C$9:$C$108,0))="","",INDEX('Facilities'!$E$9:$E$108,MATCH(C58,'Facilities'!$C$9:$C$108,0))),""))</x:f>
      </x:c>
      <x:c r="F58" s="9" t="str">
        <x:f>IF(C58="","",IFERROR(IF(INDEX('Facilities'!$U$9:$U$108,MATCH(C58,'Facilities'!$C$9:$C$108,0))="","",INDEX('Facilities'!$U$9:$U$108,MATCH(C58,'Facilities'!$C$9:$C$108,0))),""))</x:f>
      </x:c>
      <x:c r="G58" s="23" t="str">
        <x:f>IF(C58="","",IFERROR(IF(INDEX('Facilities'!$AA$9:$AA$108,MATCH(C58,'Facilities'!$C$9:$C$108,0))="","",INDEX('Facilities'!$AA$9:$AA$108,MATCH(C58,'Facilities'!$C$9:$C$108,0))),""))</x:f>
      </x:c>
      <x:c r="H58" s="23" t="str">
        <x:f>IF(C58="","",IFERROR(IF(INDEX('Inventory'!$N$9:$N$108,MATCH(F58,'Inventory'!$C$9:$C$108,0))="","",INDEX('Inventory'!$N$9:$N$108,MATCH(F58,'Inventory'!$C$9:$C$108,0))),""))</x:f>
      </x:c>
      <x:c r="I58" s="17" t="str">
        <x:f>IF(R58="Ready",G58/H58,"")</x:f>
      </x:c>
      <x:c r="J58" s="23" t="str">
        <x:f>IF(AND(R58="Ready",S58="Ready"),I58*IFERROR(IF(INDEX('Inventory'!$T$9:$T$108,MATCH(F58,'Inventory'!$C$9:$C$108,0))="","",INDEX('Inventory'!$T$9:$T$108,MATCH(F58,'Inventory'!$C$9:$C$108,0))),""),"")</x:f>
      </x:c>
      <x:c r="K58" s="23" t="str">
        <x:f>IF(AND(R58="Ready",T58="Ready"),I58*IFERROR(IF(INDEX('Inventory'!$Z$9:$Z$108,MATCH(F58,'Inventory'!$C$9:$C$108,0))="","",INDEX('Inventory'!$Z$9:$Z$108,MATCH(F58,'Inventory'!$C$9:$C$108,0))),""),"")</x:f>
      </x:c>
      <x:c r="L58" s="23" t="str">
        <x:f>IF(AND(R58="Ready",U58="Ready"),I58*IFERROR(IF(INDEX('Inventory'!$AG$9:$AG$108,MATCH(F58,'Inventory'!$C$9:$C$108,0))="","",INDEX('Inventory'!$AG$9:$AG$108,MATCH(F58,'Inventory'!$C$9:$C$108,0))),""),"")</x:f>
      </x:c>
      <x:c r="M58" s="21" t="n">
        <x:f>IF(AND(R58="Ready",S58="Ready",T58="Ready"),G58,0)</x:f>
        <x:v>0</x:v>
      </x:c>
      <x:c r="N58" s="21" t="n">
        <x:f>IF(AND(R58="Ready",U58="Ready"),G58,0)</x:f>
        <x:v>0</x:v>
      </x:c>
      <x:c r="O58" s="42" t="str">
        <x:f>IF(C58="","",IFERROR(IF(INDEX('Inventory'!$U$9:$U$108,MATCH(F58,'Inventory'!$C$9:$C$108,0))="","",INDEX('Inventory'!$U$9:$U$108,MATCH(F58,'Inventory'!$C$9:$C$108,0))),""))</x:f>
      </x:c>
      <x:c r="P58" s="42" t="str">
        <x:f>IF(C58="","",IFERROR(IF(INDEX('Inventory'!$AA$9:$AA$108,MATCH(F58,'Inventory'!$C$9:$C$108,0))="","",INDEX('Inventory'!$AA$9:$AA$108,MATCH(F58,'Inventory'!$C$9:$C$108,0))),""))</x:f>
      </x:c>
      <x:c r="Q58" s="42" t="str">
        <x:f>IF(C58="","",IFERROR(IF(INDEX('Inventory'!$AH$9:$AH$108,MATCH(F58,'Inventory'!$C$9:$C$108,0))="","",INDEX('Inventory'!$AH$9:$AH$108,MATCH(F58,'Inventory'!$C$9:$C$108,0))),""))</x:f>
      </x:c>
      <x:c r="R58" s="9" t="str">
        <x:f>IF(C58="","",IF(COUNTIFS('Facilities'!$C$9:$C$108,C58)&lt;&gt;1,"Duplicate facility ID",IF(OR(NOT(ISNUMBER(IFERROR(IF(INDEX('Facilities'!$G$9:$G$108,MATCH(C58,'Facilities'!$C$9:$C$108,0))="","",INDEX('Facilities'!$G$9:$G$108,MATCH(C58,'Facilities'!$C$9:$C$108,0))),""))),NOT(ISNUMBER(G58)),G58&lt;0,IFERROR(IF(INDEX('Facilities'!$Z$9:$Z$108,MATCH(C58,'Facilities'!$C$9:$C$108,0))="","",INDEX('Facilities'!$Z$9:$Z$108,MATCH(C58,'Facilities'!$C$9:$C$108,0))),"")&lt;=0),"Drawn value required",IF(COUNTIFS('Inventory'!$C$9:$C$108,F58)&lt;&gt;1,"Entity required",IF(OR(E58&lt;&gt;IFERROR(IF(INDEX('Inventory'!$F$9:$F$108,MATCH(F58,'Inventory'!$C$9:$C$108,0))="","",INDEX('Inventory'!$F$9:$F$108,MATCH(F58,'Inventory'!$C$9:$C$108,0))),""),D58&lt;&gt;IFERROR(IF(INDEX('Inventory'!$D$9:$D$108,MATCH(F58,'Inventory'!$C$9:$C$108,0))="","",INDEX('Inventory'!$D$9:$D$108,MATCH(F58,'Inventory'!$C$9:$C$108,0))),"")),"Entity / class mismatch",IF(IFERROR(IF(INDEX('Inventory'!$AL$9:$AL$108,MATCH(F58,'Inventory'!$C$9:$C$108,0))="","",INDEX('Inventory'!$AL$9:$AL$108,MATCH(F58,'Inventory'!$C$9:$C$108,0))),"")&lt;&gt;"Ready",IFERROR(IF(INDEX('Inventory'!$AL$9:$AL$108,MATCH(F58,'Inventory'!$C$9:$C$108,0))="","",INDEX('Inventory'!$AL$9:$AL$108,MATCH(F58,'Inventory'!$C$9:$C$108,0))),""),IF(AND(OR(E58="Project finance",E58="CRE",E58="Mortgage",E58="Motor"),IFERROR(IF(INDEX('Facilities'!$V$9:$V$108,MATCH(C58,'Facilities'!$C$9:$C$108,0))="","",INDEX('Facilities'!$V$9:$V$108,MATCH(C58,'Facilities'!$C$9:$C$108,0))),"")&lt;&gt;"Designated asset"),"Purpose review",IF(X58&gt;H58,"Exposure exceeds value","Ready"))))))))</x:f>
      </x:c>
      <x:c r="S58" s="9" t="str">
        <x:f>IF(C58="","",IFERROR(IF(INDEX('Inventory'!$V$9:$V$108,MATCH(F58,'Inventory'!$C$9:$C$108,0))="","",INDEX('Inventory'!$V$9:$V$108,MATCH(F58,'Inventory'!$C$9:$C$108,0))),""))</x:f>
      </x:c>
      <x:c r="T58" s="9" t="str">
        <x:f>IF(C58="","",IFERROR(IF(INDEX('Inventory'!$AB$9:$AB$108,MATCH(F58,'Inventory'!$C$9:$C$108,0))="","",INDEX('Inventory'!$AB$9:$AB$108,MATCH(F58,'Inventory'!$C$9:$C$108,0))),""))</x:f>
      </x:c>
      <x:c r="U58" s="9" t="str">
        <x:f>IF(C58="","",IFERROR(IF(INDEX('Inventory'!$AI$9:$AI$108,MATCH(F58,'Inventory'!$C$9:$C$108,0))="","",INDEX('Inventory'!$AI$9:$AI$108,MATCH(F58,'Inventory'!$C$9:$C$108,0))),""))</x:f>
      </x:c>
      <x:c r="V58" s="43" t="str">
        <x:f>IF(C58="","",IFERROR(IF(INDEX('Inventory'!$P$9:$P$108,MATCH(F58,'Inventory'!$C$9:$C$108,0))="","",INDEX('Inventory'!$P$9:$P$108,MATCH(F58,'Inventory'!$C$9:$C$108,0))),""))</x:f>
      </x:c>
      <x:c r="W58" s="3" t="str">
        <x:f>IF(C58="","",IF(E58="Corporate listed","PCAF 2025 pp40-46",IF(E58="Corporate private","PCAF 2025 pp55-60",IF(E58="Project finance","PCAF 2025 pp67-71",IF(E58="CRE","PCAF 2025 pp77-81",IF(E58="Mortgage","PCAF 2025 pp83-87",IF(E58="Motor","PCAF 2025 pp90-94","Method required")))))))</x:f>
      </x:c>
      <x:c r="X58" s="23" t="str">
        <x:f>IF(C58="","",SUMIFS('Facilities'!$AA$9:$AA$108,'Facilities'!$U$9:$U$108,F58))</x:f>
      </x:c>
      <x:c r="Y58" s="21" t="n">
        <x:f>IF(AND(R58="Ready",S58="Ready"),G58,0)</x:f>
        <x:v>0</x:v>
      </x:c>
      <x:c r="Z58" s="21" t="n">
        <x:f>IF(AND(R58="Ready",T58="Ready"),G58,0)</x:f>
        <x:v>0</x:v>
      </x:c>
      <x:c r="AA58" s="21" t="n">
        <x:f>IF(Y58&gt;0,Y58*O58,0)</x:f>
        <x:v>0</x:v>
      </x:c>
      <x:c r="AB58" s="21" t="n">
        <x:f>IF(Z58&gt;0,Z58*P58,0)</x:f>
        <x:v>0</x:v>
      </x:c>
      <x:c r="AC58" s="21" t="n">
        <x:f>IF(N58&gt;0,N58*Q58,0)</x:f>
        <x:v>0</x:v>
      </x:c>
      <x:c r="AD58" s="21" t="n">
        <x:f>IF(M58&gt;0,M58*MAX(O58,P58),0)</x:f>
        <x:v>0</x:v>
      </x:c>
      <x:c r="AE58" s="9" t="str">
        <x:f>IF(C58="","",IFERROR(IF(INDEX('Inventory'!$AC$9:$AC$108,MATCH(F58,'Inventory'!$C$9:$C$108,0))="","",INDEX('Inventory'!$AC$9:$AC$108,MATCH(F58,'Inventory'!$C$9:$C$108,0))),""))</x:f>
      </x:c>
      <x:c r="AF58" s="9" t="str">
        <x:f>IF(C58="","",IFERROR(IF(INDEX('Inventory'!$AN$9:$AN$108,MATCH(F58,'Inventory'!$C$9:$C$108,0))="","",INDEX('Inventory'!$AN$9:$AN$108,MATCH(F58,'Inventory'!$C$9:$C$108,0))),""))</x:f>
      </x:c>
    </x:row>
    <x:row r="59" ht="26" customHeight="1">
      <x:c r="A59" s="1"/>
      <x:c r="B59" s="1"/>
      <x:c r="C59" s="9" t="str">
        <x:f>IF('Facilities'!C59="","",'Facilities'!C59)</x:f>
      </x:c>
      <x:c r="D59" s="9" t="str">
        <x:f>IF(C59="","",IFERROR(IF(INDEX('Facilities'!$D$9:$D$108,MATCH(C59,'Facilities'!$C$9:$C$108,0))="","",INDEX('Facilities'!$D$9:$D$108,MATCH(C59,'Facilities'!$C$9:$C$108,0))),""))</x:f>
      </x:c>
      <x:c r="E59" s="9" t="str">
        <x:f>IF(C59="","",IFERROR(IF(INDEX('Facilities'!$E$9:$E$108,MATCH(C59,'Facilities'!$C$9:$C$108,0))="","",INDEX('Facilities'!$E$9:$E$108,MATCH(C59,'Facilities'!$C$9:$C$108,0))),""))</x:f>
      </x:c>
      <x:c r="F59" s="9" t="str">
        <x:f>IF(C59="","",IFERROR(IF(INDEX('Facilities'!$U$9:$U$108,MATCH(C59,'Facilities'!$C$9:$C$108,0))="","",INDEX('Facilities'!$U$9:$U$108,MATCH(C59,'Facilities'!$C$9:$C$108,0))),""))</x:f>
      </x:c>
      <x:c r="G59" s="23" t="str">
        <x:f>IF(C59="","",IFERROR(IF(INDEX('Facilities'!$AA$9:$AA$108,MATCH(C59,'Facilities'!$C$9:$C$108,0))="","",INDEX('Facilities'!$AA$9:$AA$108,MATCH(C59,'Facilities'!$C$9:$C$108,0))),""))</x:f>
      </x:c>
      <x:c r="H59" s="23" t="str">
        <x:f>IF(C59="","",IFERROR(IF(INDEX('Inventory'!$N$9:$N$108,MATCH(F59,'Inventory'!$C$9:$C$108,0))="","",INDEX('Inventory'!$N$9:$N$108,MATCH(F59,'Inventory'!$C$9:$C$108,0))),""))</x:f>
      </x:c>
      <x:c r="I59" s="17" t="str">
        <x:f>IF(R59="Ready",G59/H59,"")</x:f>
      </x:c>
      <x:c r="J59" s="23" t="str">
        <x:f>IF(AND(R59="Ready",S59="Ready"),I59*IFERROR(IF(INDEX('Inventory'!$T$9:$T$108,MATCH(F59,'Inventory'!$C$9:$C$108,0))="","",INDEX('Inventory'!$T$9:$T$108,MATCH(F59,'Inventory'!$C$9:$C$108,0))),""),"")</x:f>
      </x:c>
      <x:c r="K59" s="23" t="str">
        <x:f>IF(AND(R59="Ready",T59="Ready"),I59*IFERROR(IF(INDEX('Inventory'!$Z$9:$Z$108,MATCH(F59,'Inventory'!$C$9:$C$108,0))="","",INDEX('Inventory'!$Z$9:$Z$108,MATCH(F59,'Inventory'!$C$9:$C$108,0))),""),"")</x:f>
      </x:c>
      <x:c r="L59" s="23" t="str">
        <x:f>IF(AND(R59="Ready",U59="Ready"),I59*IFERROR(IF(INDEX('Inventory'!$AG$9:$AG$108,MATCH(F59,'Inventory'!$C$9:$C$108,0))="","",INDEX('Inventory'!$AG$9:$AG$108,MATCH(F59,'Inventory'!$C$9:$C$108,0))),""),"")</x:f>
      </x:c>
      <x:c r="M59" s="21" t="n">
        <x:f>IF(AND(R59="Ready",S59="Ready",T59="Ready"),G59,0)</x:f>
        <x:v>0</x:v>
      </x:c>
      <x:c r="N59" s="21" t="n">
        <x:f>IF(AND(R59="Ready",U59="Ready"),G59,0)</x:f>
        <x:v>0</x:v>
      </x:c>
      <x:c r="O59" s="42" t="str">
        <x:f>IF(C59="","",IFERROR(IF(INDEX('Inventory'!$U$9:$U$108,MATCH(F59,'Inventory'!$C$9:$C$108,0))="","",INDEX('Inventory'!$U$9:$U$108,MATCH(F59,'Inventory'!$C$9:$C$108,0))),""))</x:f>
      </x:c>
      <x:c r="P59" s="42" t="str">
        <x:f>IF(C59="","",IFERROR(IF(INDEX('Inventory'!$AA$9:$AA$108,MATCH(F59,'Inventory'!$C$9:$C$108,0))="","",INDEX('Inventory'!$AA$9:$AA$108,MATCH(F59,'Inventory'!$C$9:$C$108,0))),""))</x:f>
      </x:c>
      <x:c r="Q59" s="42" t="str">
        <x:f>IF(C59="","",IFERROR(IF(INDEX('Inventory'!$AH$9:$AH$108,MATCH(F59,'Inventory'!$C$9:$C$108,0))="","",INDEX('Inventory'!$AH$9:$AH$108,MATCH(F59,'Inventory'!$C$9:$C$108,0))),""))</x:f>
      </x:c>
      <x:c r="R59" s="9" t="str">
        <x:f>IF(C59="","",IF(COUNTIFS('Facilities'!$C$9:$C$108,C59)&lt;&gt;1,"Duplicate facility ID",IF(OR(NOT(ISNUMBER(IFERROR(IF(INDEX('Facilities'!$G$9:$G$108,MATCH(C59,'Facilities'!$C$9:$C$108,0))="","",INDEX('Facilities'!$G$9:$G$108,MATCH(C59,'Facilities'!$C$9:$C$108,0))),""))),NOT(ISNUMBER(G59)),G59&lt;0,IFERROR(IF(INDEX('Facilities'!$Z$9:$Z$108,MATCH(C59,'Facilities'!$C$9:$C$108,0))="","",INDEX('Facilities'!$Z$9:$Z$108,MATCH(C59,'Facilities'!$C$9:$C$108,0))),"")&lt;=0),"Drawn value required",IF(COUNTIFS('Inventory'!$C$9:$C$108,F59)&lt;&gt;1,"Entity required",IF(OR(E59&lt;&gt;IFERROR(IF(INDEX('Inventory'!$F$9:$F$108,MATCH(F59,'Inventory'!$C$9:$C$108,0))="","",INDEX('Inventory'!$F$9:$F$108,MATCH(F59,'Inventory'!$C$9:$C$108,0))),""),D59&lt;&gt;IFERROR(IF(INDEX('Inventory'!$D$9:$D$108,MATCH(F59,'Inventory'!$C$9:$C$108,0))="","",INDEX('Inventory'!$D$9:$D$108,MATCH(F59,'Inventory'!$C$9:$C$108,0))),"")),"Entity / class mismatch",IF(IFERROR(IF(INDEX('Inventory'!$AL$9:$AL$108,MATCH(F59,'Inventory'!$C$9:$C$108,0))="","",INDEX('Inventory'!$AL$9:$AL$108,MATCH(F59,'Inventory'!$C$9:$C$108,0))),"")&lt;&gt;"Ready",IFERROR(IF(INDEX('Inventory'!$AL$9:$AL$108,MATCH(F59,'Inventory'!$C$9:$C$108,0))="","",INDEX('Inventory'!$AL$9:$AL$108,MATCH(F59,'Inventory'!$C$9:$C$108,0))),""),IF(AND(OR(E59="Project finance",E59="CRE",E59="Mortgage",E59="Motor"),IFERROR(IF(INDEX('Facilities'!$V$9:$V$108,MATCH(C59,'Facilities'!$C$9:$C$108,0))="","",INDEX('Facilities'!$V$9:$V$108,MATCH(C59,'Facilities'!$C$9:$C$108,0))),"")&lt;&gt;"Designated asset"),"Purpose review",IF(X59&gt;H59,"Exposure exceeds value","Ready"))))))))</x:f>
      </x:c>
      <x:c r="S59" s="9" t="str">
        <x:f>IF(C59="","",IFERROR(IF(INDEX('Inventory'!$V$9:$V$108,MATCH(F59,'Inventory'!$C$9:$C$108,0))="","",INDEX('Inventory'!$V$9:$V$108,MATCH(F59,'Inventory'!$C$9:$C$108,0))),""))</x:f>
      </x:c>
      <x:c r="T59" s="9" t="str">
        <x:f>IF(C59="","",IFERROR(IF(INDEX('Inventory'!$AB$9:$AB$108,MATCH(F59,'Inventory'!$C$9:$C$108,0))="","",INDEX('Inventory'!$AB$9:$AB$108,MATCH(F59,'Inventory'!$C$9:$C$108,0))),""))</x:f>
      </x:c>
      <x:c r="U59" s="9" t="str">
        <x:f>IF(C59="","",IFERROR(IF(INDEX('Inventory'!$AI$9:$AI$108,MATCH(F59,'Inventory'!$C$9:$C$108,0))="","",INDEX('Inventory'!$AI$9:$AI$108,MATCH(F59,'Inventory'!$C$9:$C$108,0))),""))</x:f>
      </x:c>
      <x:c r="V59" s="43" t="str">
        <x:f>IF(C59="","",IFERROR(IF(INDEX('Inventory'!$P$9:$P$108,MATCH(F59,'Inventory'!$C$9:$C$108,0))="","",INDEX('Inventory'!$P$9:$P$108,MATCH(F59,'Inventory'!$C$9:$C$108,0))),""))</x:f>
      </x:c>
      <x:c r="W59" s="3" t="str">
        <x:f>IF(C59="","",IF(E59="Corporate listed","PCAF 2025 pp40-46",IF(E59="Corporate private","PCAF 2025 pp55-60",IF(E59="Project finance","PCAF 2025 pp67-71",IF(E59="CRE","PCAF 2025 pp77-81",IF(E59="Mortgage","PCAF 2025 pp83-87",IF(E59="Motor","PCAF 2025 pp90-94","Method required")))))))</x:f>
      </x:c>
      <x:c r="X59" s="23" t="str">
        <x:f>IF(C59="","",SUMIFS('Facilities'!$AA$9:$AA$108,'Facilities'!$U$9:$U$108,F59))</x:f>
      </x:c>
      <x:c r="Y59" s="21" t="n">
        <x:f>IF(AND(R59="Ready",S59="Ready"),G59,0)</x:f>
        <x:v>0</x:v>
      </x:c>
      <x:c r="Z59" s="21" t="n">
        <x:f>IF(AND(R59="Ready",T59="Ready"),G59,0)</x:f>
        <x:v>0</x:v>
      </x:c>
      <x:c r="AA59" s="21" t="n">
        <x:f>IF(Y59&gt;0,Y59*O59,0)</x:f>
        <x:v>0</x:v>
      </x:c>
      <x:c r="AB59" s="21" t="n">
        <x:f>IF(Z59&gt;0,Z59*P59,0)</x:f>
        <x:v>0</x:v>
      </x:c>
      <x:c r="AC59" s="21" t="n">
        <x:f>IF(N59&gt;0,N59*Q59,0)</x:f>
        <x:v>0</x:v>
      </x:c>
      <x:c r="AD59" s="21" t="n">
        <x:f>IF(M59&gt;0,M59*MAX(O59,P59),0)</x:f>
        <x:v>0</x:v>
      </x:c>
      <x:c r="AE59" s="9" t="str">
        <x:f>IF(C59="","",IFERROR(IF(INDEX('Inventory'!$AC$9:$AC$108,MATCH(F59,'Inventory'!$C$9:$C$108,0))="","",INDEX('Inventory'!$AC$9:$AC$108,MATCH(F59,'Inventory'!$C$9:$C$108,0))),""))</x:f>
      </x:c>
      <x:c r="AF59" s="9" t="str">
        <x:f>IF(C59="","",IFERROR(IF(INDEX('Inventory'!$AN$9:$AN$108,MATCH(F59,'Inventory'!$C$9:$C$108,0))="","",INDEX('Inventory'!$AN$9:$AN$108,MATCH(F59,'Inventory'!$C$9:$C$108,0))),""))</x:f>
      </x:c>
    </x:row>
    <x:row r="60" ht="26" customHeight="1">
      <x:c r="A60" s="1"/>
      <x:c r="B60" s="1"/>
      <x:c r="C60" s="9" t="str">
        <x:f>IF('Facilities'!C60="","",'Facilities'!C60)</x:f>
      </x:c>
      <x:c r="D60" s="9" t="str">
        <x:f>IF(C60="","",IFERROR(IF(INDEX('Facilities'!$D$9:$D$108,MATCH(C60,'Facilities'!$C$9:$C$108,0))="","",INDEX('Facilities'!$D$9:$D$108,MATCH(C60,'Facilities'!$C$9:$C$108,0))),""))</x:f>
      </x:c>
      <x:c r="E60" s="9" t="str">
        <x:f>IF(C60="","",IFERROR(IF(INDEX('Facilities'!$E$9:$E$108,MATCH(C60,'Facilities'!$C$9:$C$108,0))="","",INDEX('Facilities'!$E$9:$E$108,MATCH(C60,'Facilities'!$C$9:$C$108,0))),""))</x:f>
      </x:c>
      <x:c r="F60" s="9" t="str">
        <x:f>IF(C60="","",IFERROR(IF(INDEX('Facilities'!$U$9:$U$108,MATCH(C60,'Facilities'!$C$9:$C$108,0))="","",INDEX('Facilities'!$U$9:$U$108,MATCH(C60,'Facilities'!$C$9:$C$108,0))),""))</x:f>
      </x:c>
      <x:c r="G60" s="23" t="str">
        <x:f>IF(C60="","",IFERROR(IF(INDEX('Facilities'!$AA$9:$AA$108,MATCH(C60,'Facilities'!$C$9:$C$108,0))="","",INDEX('Facilities'!$AA$9:$AA$108,MATCH(C60,'Facilities'!$C$9:$C$108,0))),""))</x:f>
      </x:c>
      <x:c r="H60" s="23" t="str">
        <x:f>IF(C60="","",IFERROR(IF(INDEX('Inventory'!$N$9:$N$108,MATCH(F60,'Inventory'!$C$9:$C$108,0))="","",INDEX('Inventory'!$N$9:$N$108,MATCH(F60,'Inventory'!$C$9:$C$108,0))),""))</x:f>
      </x:c>
      <x:c r="I60" s="17" t="str">
        <x:f>IF(R60="Ready",G60/H60,"")</x:f>
      </x:c>
      <x:c r="J60" s="23" t="str">
        <x:f>IF(AND(R60="Ready",S60="Ready"),I60*IFERROR(IF(INDEX('Inventory'!$T$9:$T$108,MATCH(F60,'Inventory'!$C$9:$C$108,0))="","",INDEX('Inventory'!$T$9:$T$108,MATCH(F60,'Inventory'!$C$9:$C$108,0))),""),"")</x:f>
      </x:c>
      <x:c r="K60" s="23" t="str">
        <x:f>IF(AND(R60="Ready",T60="Ready"),I60*IFERROR(IF(INDEX('Inventory'!$Z$9:$Z$108,MATCH(F60,'Inventory'!$C$9:$C$108,0))="","",INDEX('Inventory'!$Z$9:$Z$108,MATCH(F60,'Inventory'!$C$9:$C$108,0))),""),"")</x:f>
      </x:c>
      <x:c r="L60" s="23" t="str">
        <x:f>IF(AND(R60="Ready",U60="Ready"),I60*IFERROR(IF(INDEX('Inventory'!$AG$9:$AG$108,MATCH(F60,'Inventory'!$C$9:$C$108,0))="","",INDEX('Inventory'!$AG$9:$AG$108,MATCH(F60,'Inventory'!$C$9:$C$108,0))),""),"")</x:f>
      </x:c>
      <x:c r="M60" s="21" t="n">
        <x:f>IF(AND(R60="Ready",S60="Ready",T60="Ready"),G60,0)</x:f>
        <x:v>0</x:v>
      </x:c>
      <x:c r="N60" s="21" t="n">
        <x:f>IF(AND(R60="Ready",U60="Ready"),G60,0)</x:f>
        <x:v>0</x:v>
      </x:c>
      <x:c r="O60" s="42" t="str">
        <x:f>IF(C60="","",IFERROR(IF(INDEX('Inventory'!$U$9:$U$108,MATCH(F60,'Inventory'!$C$9:$C$108,0))="","",INDEX('Inventory'!$U$9:$U$108,MATCH(F60,'Inventory'!$C$9:$C$108,0))),""))</x:f>
      </x:c>
      <x:c r="P60" s="42" t="str">
        <x:f>IF(C60="","",IFERROR(IF(INDEX('Inventory'!$AA$9:$AA$108,MATCH(F60,'Inventory'!$C$9:$C$108,0))="","",INDEX('Inventory'!$AA$9:$AA$108,MATCH(F60,'Inventory'!$C$9:$C$108,0))),""))</x:f>
      </x:c>
      <x:c r="Q60" s="42" t="str">
        <x:f>IF(C60="","",IFERROR(IF(INDEX('Inventory'!$AH$9:$AH$108,MATCH(F60,'Inventory'!$C$9:$C$108,0))="","",INDEX('Inventory'!$AH$9:$AH$108,MATCH(F60,'Inventory'!$C$9:$C$108,0))),""))</x:f>
      </x:c>
      <x:c r="R60" s="9" t="str">
        <x:f>IF(C60="","",IF(COUNTIFS('Facilities'!$C$9:$C$108,C60)&lt;&gt;1,"Duplicate facility ID",IF(OR(NOT(ISNUMBER(IFERROR(IF(INDEX('Facilities'!$G$9:$G$108,MATCH(C60,'Facilities'!$C$9:$C$108,0))="","",INDEX('Facilities'!$G$9:$G$108,MATCH(C60,'Facilities'!$C$9:$C$108,0))),""))),NOT(ISNUMBER(G60)),G60&lt;0,IFERROR(IF(INDEX('Facilities'!$Z$9:$Z$108,MATCH(C60,'Facilities'!$C$9:$C$108,0))="","",INDEX('Facilities'!$Z$9:$Z$108,MATCH(C60,'Facilities'!$C$9:$C$108,0))),"")&lt;=0),"Drawn value required",IF(COUNTIFS('Inventory'!$C$9:$C$108,F60)&lt;&gt;1,"Entity required",IF(OR(E60&lt;&gt;IFERROR(IF(INDEX('Inventory'!$F$9:$F$108,MATCH(F60,'Inventory'!$C$9:$C$108,0))="","",INDEX('Inventory'!$F$9:$F$108,MATCH(F60,'Inventory'!$C$9:$C$108,0))),""),D60&lt;&gt;IFERROR(IF(INDEX('Inventory'!$D$9:$D$108,MATCH(F60,'Inventory'!$C$9:$C$108,0))="","",INDEX('Inventory'!$D$9:$D$108,MATCH(F60,'Inventory'!$C$9:$C$108,0))),"")),"Entity / class mismatch",IF(IFERROR(IF(INDEX('Inventory'!$AL$9:$AL$108,MATCH(F60,'Inventory'!$C$9:$C$108,0))="","",INDEX('Inventory'!$AL$9:$AL$108,MATCH(F60,'Inventory'!$C$9:$C$108,0))),"")&lt;&gt;"Ready",IFERROR(IF(INDEX('Inventory'!$AL$9:$AL$108,MATCH(F60,'Inventory'!$C$9:$C$108,0))="","",INDEX('Inventory'!$AL$9:$AL$108,MATCH(F60,'Inventory'!$C$9:$C$108,0))),""),IF(AND(OR(E60="Project finance",E60="CRE",E60="Mortgage",E60="Motor"),IFERROR(IF(INDEX('Facilities'!$V$9:$V$108,MATCH(C60,'Facilities'!$C$9:$C$108,0))="","",INDEX('Facilities'!$V$9:$V$108,MATCH(C60,'Facilities'!$C$9:$C$108,0))),"")&lt;&gt;"Designated asset"),"Purpose review",IF(X60&gt;H60,"Exposure exceeds value","Ready"))))))))</x:f>
      </x:c>
      <x:c r="S60" s="9" t="str">
        <x:f>IF(C60="","",IFERROR(IF(INDEX('Inventory'!$V$9:$V$108,MATCH(F60,'Inventory'!$C$9:$C$108,0))="","",INDEX('Inventory'!$V$9:$V$108,MATCH(F60,'Inventory'!$C$9:$C$108,0))),""))</x:f>
      </x:c>
      <x:c r="T60" s="9" t="str">
        <x:f>IF(C60="","",IFERROR(IF(INDEX('Inventory'!$AB$9:$AB$108,MATCH(F60,'Inventory'!$C$9:$C$108,0))="","",INDEX('Inventory'!$AB$9:$AB$108,MATCH(F60,'Inventory'!$C$9:$C$108,0))),""))</x:f>
      </x:c>
      <x:c r="U60" s="9" t="str">
        <x:f>IF(C60="","",IFERROR(IF(INDEX('Inventory'!$AI$9:$AI$108,MATCH(F60,'Inventory'!$C$9:$C$108,0))="","",INDEX('Inventory'!$AI$9:$AI$108,MATCH(F60,'Inventory'!$C$9:$C$108,0))),""))</x:f>
      </x:c>
      <x:c r="V60" s="43" t="str">
        <x:f>IF(C60="","",IFERROR(IF(INDEX('Inventory'!$P$9:$P$108,MATCH(F60,'Inventory'!$C$9:$C$108,0))="","",INDEX('Inventory'!$P$9:$P$108,MATCH(F60,'Inventory'!$C$9:$C$108,0))),""))</x:f>
      </x:c>
      <x:c r="W60" s="3" t="str">
        <x:f>IF(C60="","",IF(E60="Corporate listed","PCAF 2025 pp40-46",IF(E60="Corporate private","PCAF 2025 pp55-60",IF(E60="Project finance","PCAF 2025 pp67-71",IF(E60="CRE","PCAF 2025 pp77-81",IF(E60="Mortgage","PCAF 2025 pp83-87",IF(E60="Motor","PCAF 2025 pp90-94","Method required")))))))</x:f>
      </x:c>
      <x:c r="X60" s="23" t="str">
        <x:f>IF(C60="","",SUMIFS('Facilities'!$AA$9:$AA$108,'Facilities'!$U$9:$U$108,F60))</x:f>
      </x:c>
      <x:c r="Y60" s="21" t="n">
        <x:f>IF(AND(R60="Ready",S60="Ready"),G60,0)</x:f>
        <x:v>0</x:v>
      </x:c>
      <x:c r="Z60" s="21" t="n">
        <x:f>IF(AND(R60="Ready",T60="Ready"),G60,0)</x:f>
        <x:v>0</x:v>
      </x:c>
      <x:c r="AA60" s="21" t="n">
        <x:f>IF(Y60&gt;0,Y60*O60,0)</x:f>
        <x:v>0</x:v>
      </x:c>
      <x:c r="AB60" s="21" t="n">
        <x:f>IF(Z60&gt;0,Z60*P60,0)</x:f>
        <x:v>0</x:v>
      </x:c>
      <x:c r="AC60" s="21" t="n">
        <x:f>IF(N60&gt;0,N60*Q60,0)</x:f>
        <x:v>0</x:v>
      </x:c>
      <x:c r="AD60" s="21" t="n">
        <x:f>IF(M60&gt;0,M60*MAX(O60,P60),0)</x:f>
        <x:v>0</x:v>
      </x:c>
      <x:c r="AE60" s="9" t="str">
        <x:f>IF(C60="","",IFERROR(IF(INDEX('Inventory'!$AC$9:$AC$108,MATCH(F60,'Inventory'!$C$9:$C$108,0))="","",INDEX('Inventory'!$AC$9:$AC$108,MATCH(F60,'Inventory'!$C$9:$C$108,0))),""))</x:f>
      </x:c>
      <x:c r="AF60" s="9" t="str">
        <x:f>IF(C60="","",IFERROR(IF(INDEX('Inventory'!$AN$9:$AN$108,MATCH(F60,'Inventory'!$C$9:$C$108,0))="","",INDEX('Inventory'!$AN$9:$AN$108,MATCH(F60,'Inventory'!$C$9:$C$108,0))),""))</x:f>
      </x:c>
    </x:row>
    <x:row r="61" ht="26" customHeight="1">
      <x:c r="A61" s="1"/>
      <x:c r="B61" s="1"/>
      <x:c r="C61" s="9" t="str">
        <x:f>IF('Facilities'!C61="","",'Facilities'!C61)</x:f>
      </x:c>
      <x:c r="D61" s="9" t="str">
        <x:f>IF(C61="","",IFERROR(IF(INDEX('Facilities'!$D$9:$D$108,MATCH(C61,'Facilities'!$C$9:$C$108,0))="","",INDEX('Facilities'!$D$9:$D$108,MATCH(C61,'Facilities'!$C$9:$C$108,0))),""))</x:f>
      </x:c>
      <x:c r="E61" s="9" t="str">
        <x:f>IF(C61="","",IFERROR(IF(INDEX('Facilities'!$E$9:$E$108,MATCH(C61,'Facilities'!$C$9:$C$108,0))="","",INDEX('Facilities'!$E$9:$E$108,MATCH(C61,'Facilities'!$C$9:$C$108,0))),""))</x:f>
      </x:c>
      <x:c r="F61" s="9" t="str">
        <x:f>IF(C61="","",IFERROR(IF(INDEX('Facilities'!$U$9:$U$108,MATCH(C61,'Facilities'!$C$9:$C$108,0))="","",INDEX('Facilities'!$U$9:$U$108,MATCH(C61,'Facilities'!$C$9:$C$108,0))),""))</x:f>
      </x:c>
      <x:c r="G61" s="23" t="str">
        <x:f>IF(C61="","",IFERROR(IF(INDEX('Facilities'!$AA$9:$AA$108,MATCH(C61,'Facilities'!$C$9:$C$108,0))="","",INDEX('Facilities'!$AA$9:$AA$108,MATCH(C61,'Facilities'!$C$9:$C$108,0))),""))</x:f>
      </x:c>
      <x:c r="H61" s="23" t="str">
        <x:f>IF(C61="","",IFERROR(IF(INDEX('Inventory'!$N$9:$N$108,MATCH(F61,'Inventory'!$C$9:$C$108,0))="","",INDEX('Inventory'!$N$9:$N$108,MATCH(F61,'Inventory'!$C$9:$C$108,0))),""))</x:f>
      </x:c>
      <x:c r="I61" s="17" t="str">
        <x:f>IF(R61="Ready",G61/H61,"")</x:f>
      </x:c>
      <x:c r="J61" s="23" t="str">
        <x:f>IF(AND(R61="Ready",S61="Ready"),I61*IFERROR(IF(INDEX('Inventory'!$T$9:$T$108,MATCH(F61,'Inventory'!$C$9:$C$108,0))="","",INDEX('Inventory'!$T$9:$T$108,MATCH(F61,'Inventory'!$C$9:$C$108,0))),""),"")</x:f>
      </x:c>
      <x:c r="K61" s="23" t="str">
        <x:f>IF(AND(R61="Ready",T61="Ready"),I61*IFERROR(IF(INDEX('Inventory'!$Z$9:$Z$108,MATCH(F61,'Inventory'!$C$9:$C$108,0))="","",INDEX('Inventory'!$Z$9:$Z$108,MATCH(F61,'Inventory'!$C$9:$C$108,0))),""),"")</x:f>
      </x:c>
      <x:c r="L61" s="23" t="str">
        <x:f>IF(AND(R61="Ready",U61="Ready"),I61*IFERROR(IF(INDEX('Inventory'!$AG$9:$AG$108,MATCH(F61,'Inventory'!$C$9:$C$108,0))="","",INDEX('Inventory'!$AG$9:$AG$108,MATCH(F61,'Inventory'!$C$9:$C$108,0))),""),"")</x:f>
      </x:c>
      <x:c r="M61" s="21" t="n">
        <x:f>IF(AND(R61="Ready",S61="Ready",T61="Ready"),G61,0)</x:f>
        <x:v>0</x:v>
      </x:c>
      <x:c r="N61" s="21" t="n">
        <x:f>IF(AND(R61="Ready",U61="Ready"),G61,0)</x:f>
        <x:v>0</x:v>
      </x:c>
      <x:c r="O61" s="42" t="str">
        <x:f>IF(C61="","",IFERROR(IF(INDEX('Inventory'!$U$9:$U$108,MATCH(F61,'Inventory'!$C$9:$C$108,0))="","",INDEX('Inventory'!$U$9:$U$108,MATCH(F61,'Inventory'!$C$9:$C$108,0))),""))</x:f>
      </x:c>
      <x:c r="P61" s="42" t="str">
        <x:f>IF(C61="","",IFERROR(IF(INDEX('Inventory'!$AA$9:$AA$108,MATCH(F61,'Inventory'!$C$9:$C$108,0))="","",INDEX('Inventory'!$AA$9:$AA$108,MATCH(F61,'Inventory'!$C$9:$C$108,0))),""))</x:f>
      </x:c>
      <x:c r="Q61" s="42" t="str">
        <x:f>IF(C61="","",IFERROR(IF(INDEX('Inventory'!$AH$9:$AH$108,MATCH(F61,'Inventory'!$C$9:$C$108,0))="","",INDEX('Inventory'!$AH$9:$AH$108,MATCH(F61,'Inventory'!$C$9:$C$108,0))),""))</x:f>
      </x:c>
      <x:c r="R61" s="9" t="str">
        <x:f>IF(C61="","",IF(COUNTIFS('Facilities'!$C$9:$C$108,C61)&lt;&gt;1,"Duplicate facility ID",IF(OR(NOT(ISNUMBER(IFERROR(IF(INDEX('Facilities'!$G$9:$G$108,MATCH(C61,'Facilities'!$C$9:$C$108,0))="","",INDEX('Facilities'!$G$9:$G$108,MATCH(C61,'Facilities'!$C$9:$C$108,0))),""))),NOT(ISNUMBER(G61)),G61&lt;0,IFERROR(IF(INDEX('Facilities'!$Z$9:$Z$108,MATCH(C61,'Facilities'!$C$9:$C$108,0))="","",INDEX('Facilities'!$Z$9:$Z$108,MATCH(C61,'Facilities'!$C$9:$C$108,0))),"")&lt;=0),"Drawn value required",IF(COUNTIFS('Inventory'!$C$9:$C$108,F61)&lt;&gt;1,"Entity required",IF(OR(E61&lt;&gt;IFERROR(IF(INDEX('Inventory'!$F$9:$F$108,MATCH(F61,'Inventory'!$C$9:$C$108,0))="","",INDEX('Inventory'!$F$9:$F$108,MATCH(F61,'Inventory'!$C$9:$C$108,0))),""),D61&lt;&gt;IFERROR(IF(INDEX('Inventory'!$D$9:$D$108,MATCH(F61,'Inventory'!$C$9:$C$108,0))="","",INDEX('Inventory'!$D$9:$D$108,MATCH(F61,'Inventory'!$C$9:$C$108,0))),"")),"Entity / class mismatch",IF(IFERROR(IF(INDEX('Inventory'!$AL$9:$AL$108,MATCH(F61,'Inventory'!$C$9:$C$108,0))="","",INDEX('Inventory'!$AL$9:$AL$108,MATCH(F61,'Inventory'!$C$9:$C$108,0))),"")&lt;&gt;"Ready",IFERROR(IF(INDEX('Inventory'!$AL$9:$AL$108,MATCH(F61,'Inventory'!$C$9:$C$108,0))="","",INDEX('Inventory'!$AL$9:$AL$108,MATCH(F61,'Inventory'!$C$9:$C$108,0))),""),IF(AND(OR(E61="Project finance",E61="CRE",E61="Mortgage",E61="Motor"),IFERROR(IF(INDEX('Facilities'!$V$9:$V$108,MATCH(C61,'Facilities'!$C$9:$C$108,0))="","",INDEX('Facilities'!$V$9:$V$108,MATCH(C61,'Facilities'!$C$9:$C$108,0))),"")&lt;&gt;"Designated asset"),"Purpose review",IF(X61&gt;H61,"Exposure exceeds value","Ready"))))))))</x:f>
      </x:c>
      <x:c r="S61" s="9" t="str">
        <x:f>IF(C61="","",IFERROR(IF(INDEX('Inventory'!$V$9:$V$108,MATCH(F61,'Inventory'!$C$9:$C$108,0))="","",INDEX('Inventory'!$V$9:$V$108,MATCH(F61,'Inventory'!$C$9:$C$108,0))),""))</x:f>
      </x:c>
      <x:c r="T61" s="9" t="str">
        <x:f>IF(C61="","",IFERROR(IF(INDEX('Inventory'!$AB$9:$AB$108,MATCH(F61,'Inventory'!$C$9:$C$108,0))="","",INDEX('Inventory'!$AB$9:$AB$108,MATCH(F61,'Inventory'!$C$9:$C$108,0))),""))</x:f>
      </x:c>
      <x:c r="U61" s="9" t="str">
        <x:f>IF(C61="","",IFERROR(IF(INDEX('Inventory'!$AI$9:$AI$108,MATCH(F61,'Inventory'!$C$9:$C$108,0))="","",INDEX('Inventory'!$AI$9:$AI$108,MATCH(F61,'Inventory'!$C$9:$C$108,0))),""))</x:f>
      </x:c>
      <x:c r="V61" s="43" t="str">
        <x:f>IF(C61="","",IFERROR(IF(INDEX('Inventory'!$P$9:$P$108,MATCH(F61,'Inventory'!$C$9:$C$108,0))="","",INDEX('Inventory'!$P$9:$P$108,MATCH(F61,'Inventory'!$C$9:$C$108,0))),""))</x:f>
      </x:c>
      <x:c r="W61" s="3" t="str">
        <x:f>IF(C61="","",IF(E61="Corporate listed","PCAF 2025 pp40-46",IF(E61="Corporate private","PCAF 2025 pp55-60",IF(E61="Project finance","PCAF 2025 pp67-71",IF(E61="CRE","PCAF 2025 pp77-81",IF(E61="Mortgage","PCAF 2025 pp83-87",IF(E61="Motor","PCAF 2025 pp90-94","Method required")))))))</x:f>
      </x:c>
      <x:c r="X61" s="23" t="str">
        <x:f>IF(C61="","",SUMIFS('Facilities'!$AA$9:$AA$108,'Facilities'!$U$9:$U$108,F61))</x:f>
      </x:c>
      <x:c r="Y61" s="21" t="n">
        <x:f>IF(AND(R61="Ready",S61="Ready"),G61,0)</x:f>
        <x:v>0</x:v>
      </x:c>
      <x:c r="Z61" s="21" t="n">
        <x:f>IF(AND(R61="Ready",T61="Ready"),G61,0)</x:f>
        <x:v>0</x:v>
      </x:c>
      <x:c r="AA61" s="21" t="n">
        <x:f>IF(Y61&gt;0,Y61*O61,0)</x:f>
        <x:v>0</x:v>
      </x:c>
      <x:c r="AB61" s="21" t="n">
        <x:f>IF(Z61&gt;0,Z61*P61,0)</x:f>
        <x:v>0</x:v>
      </x:c>
      <x:c r="AC61" s="21" t="n">
        <x:f>IF(N61&gt;0,N61*Q61,0)</x:f>
        <x:v>0</x:v>
      </x:c>
      <x:c r="AD61" s="21" t="n">
        <x:f>IF(M61&gt;0,M61*MAX(O61,P61),0)</x:f>
        <x:v>0</x:v>
      </x:c>
      <x:c r="AE61" s="9" t="str">
        <x:f>IF(C61="","",IFERROR(IF(INDEX('Inventory'!$AC$9:$AC$108,MATCH(F61,'Inventory'!$C$9:$C$108,0))="","",INDEX('Inventory'!$AC$9:$AC$108,MATCH(F61,'Inventory'!$C$9:$C$108,0))),""))</x:f>
      </x:c>
      <x:c r="AF61" s="9" t="str">
        <x:f>IF(C61="","",IFERROR(IF(INDEX('Inventory'!$AN$9:$AN$108,MATCH(F61,'Inventory'!$C$9:$C$108,0))="","",INDEX('Inventory'!$AN$9:$AN$108,MATCH(F61,'Inventory'!$C$9:$C$108,0))),""))</x:f>
      </x:c>
    </x:row>
    <x:row r="62" ht="26" customHeight="1">
      <x:c r="A62" s="1"/>
      <x:c r="B62" s="1"/>
      <x:c r="C62" s="9" t="str">
        <x:f>IF('Facilities'!C62="","",'Facilities'!C62)</x:f>
      </x:c>
      <x:c r="D62" s="9" t="str">
        <x:f>IF(C62="","",IFERROR(IF(INDEX('Facilities'!$D$9:$D$108,MATCH(C62,'Facilities'!$C$9:$C$108,0))="","",INDEX('Facilities'!$D$9:$D$108,MATCH(C62,'Facilities'!$C$9:$C$108,0))),""))</x:f>
      </x:c>
      <x:c r="E62" s="9" t="str">
        <x:f>IF(C62="","",IFERROR(IF(INDEX('Facilities'!$E$9:$E$108,MATCH(C62,'Facilities'!$C$9:$C$108,0))="","",INDEX('Facilities'!$E$9:$E$108,MATCH(C62,'Facilities'!$C$9:$C$108,0))),""))</x:f>
      </x:c>
      <x:c r="F62" s="9" t="str">
        <x:f>IF(C62="","",IFERROR(IF(INDEX('Facilities'!$U$9:$U$108,MATCH(C62,'Facilities'!$C$9:$C$108,0))="","",INDEX('Facilities'!$U$9:$U$108,MATCH(C62,'Facilities'!$C$9:$C$108,0))),""))</x:f>
      </x:c>
      <x:c r="G62" s="23" t="str">
        <x:f>IF(C62="","",IFERROR(IF(INDEX('Facilities'!$AA$9:$AA$108,MATCH(C62,'Facilities'!$C$9:$C$108,0))="","",INDEX('Facilities'!$AA$9:$AA$108,MATCH(C62,'Facilities'!$C$9:$C$108,0))),""))</x:f>
      </x:c>
      <x:c r="H62" s="23" t="str">
        <x:f>IF(C62="","",IFERROR(IF(INDEX('Inventory'!$N$9:$N$108,MATCH(F62,'Inventory'!$C$9:$C$108,0))="","",INDEX('Inventory'!$N$9:$N$108,MATCH(F62,'Inventory'!$C$9:$C$108,0))),""))</x:f>
      </x:c>
      <x:c r="I62" s="17" t="str">
        <x:f>IF(R62="Ready",G62/H62,"")</x:f>
      </x:c>
      <x:c r="J62" s="23" t="str">
        <x:f>IF(AND(R62="Ready",S62="Ready"),I62*IFERROR(IF(INDEX('Inventory'!$T$9:$T$108,MATCH(F62,'Inventory'!$C$9:$C$108,0))="","",INDEX('Inventory'!$T$9:$T$108,MATCH(F62,'Inventory'!$C$9:$C$108,0))),""),"")</x:f>
      </x:c>
      <x:c r="K62" s="23" t="str">
        <x:f>IF(AND(R62="Ready",T62="Ready"),I62*IFERROR(IF(INDEX('Inventory'!$Z$9:$Z$108,MATCH(F62,'Inventory'!$C$9:$C$108,0))="","",INDEX('Inventory'!$Z$9:$Z$108,MATCH(F62,'Inventory'!$C$9:$C$108,0))),""),"")</x:f>
      </x:c>
      <x:c r="L62" s="23" t="str">
        <x:f>IF(AND(R62="Ready",U62="Ready"),I62*IFERROR(IF(INDEX('Inventory'!$AG$9:$AG$108,MATCH(F62,'Inventory'!$C$9:$C$108,0))="","",INDEX('Inventory'!$AG$9:$AG$108,MATCH(F62,'Inventory'!$C$9:$C$108,0))),""),"")</x:f>
      </x:c>
      <x:c r="M62" s="21" t="n">
        <x:f>IF(AND(R62="Ready",S62="Ready",T62="Ready"),G62,0)</x:f>
        <x:v>0</x:v>
      </x:c>
      <x:c r="N62" s="21" t="n">
        <x:f>IF(AND(R62="Ready",U62="Ready"),G62,0)</x:f>
        <x:v>0</x:v>
      </x:c>
      <x:c r="O62" s="42" t="str">
        <x:f>IF(C62="","",IFERROR(IF(INDEX('Inventory'!$U$9:$U$108,MATCH(F62,'Inventory'!$C$9:$C$108,0))="","",INDEX('Inventory'!$U$9:$U$108,MATCH(F62,'Inventory'!$C$9:$C$108,0))),""))</x:f>
      </x:c>
      <x:c r="P62" s="42" t="str">
        <x:f>IF(C62="","",IFERROR(IF(INDEX('Inventory'!$AA$9:$AA$108,MATCH(F62,'Inventory'!$C$9:$C$108,0))="","",INDEX('Inventory'!$AA$9:$AA$108,MATCH(F62,'Inventory'!$C$9:$C$108,0))),""))</x:f>
      </x:c>
      <x:c r="Q62" s="42" t="str">
        <x:f>IF(C62="","",IFERROR(IF(INDEX('Inventory'!$AH$9:$AH$108,MATCH(F62,'Inventory'!$C$9:$C$108,0))="","",INDEX('Inventory'!$AH$9:$AH$108,MATCH(F62,'Inventory'!$C$9:$C$108,0))),""))</x:f>
      </x:c>
      <x:c r="R62" s="9" t="str">
        <x:f>IF(C62="","",IF(COUNTIFS('Facilities'!$C$9:$C$108,C62)&lt;&gt;1,"Duplicate facility ID",IF(OR(NOT(ISNUMBER(IFERROR(IF(INDEX('Facilities'!$G$9:$G$108,MATCH(C62,'Facilities'!$C$9:$C$108,0))="","",INDEX('Facilities'!$G$9:$G$108,MATCH(C62,'Facilities'!$C$9:$C$108,0))),""))),NOT(ISNUMBER(G62)),G62&lt;0,IFERROR(IF(INDEX('Facilities'!$Z$9:$Z$108,MATCH(C62,'Facilities'!$C$9:$C$108,0))="","",INDEX('Facilities'!$Z$9:$Z$108,MATCH(C62,'Facilities'!$C$9:$C$108,0))),"")&lt;=0),"Drawn value required",IF(COUNTIFS('Inventory'!$C$9:$C$108,F62)&lt;&gt;1,"Entity required",IF(OR(E62&lt;&gt;IFERROR(IF(INDEX('Inventory'!$F$9:$F$108,MATCH(F62,'Inventory'!$C$9:$C$108,0))="","",INDEX('Inventory'!$F$9:$F$108,MATCH(F62,'Inventory'!$C$9:$C$108,0))),""),D62&lt;&gt;IFERROR(IF(INDEX('Inventory'!$D$9:$D$108,MATCH(F62,'Inventory'!$C$9:$C$108,0))="","",INDEX('Inventory'!$D$9:$D$108,MATCH(F62,'Inventory'!$C$9:$C$108,0))),"")),"Entity / class mismatch",IF(IFERROR(IF(INDEX('Inventory'!$AL$9:$AL$108,MATCH(F62,'Inventory'!$C$9:$C$108,0))="","",INDEX('Inventory'!$AL$9:$AL$108,MATCH(F62,'Inventory'!$C$9:$C$108,0))),"")&lt;&gt;"Ready",IFERROR(IF(INDEX('Inventory'!$AL$9:$AL$108,MATCH(F62,'Inventory'!$C$9:$C$108,0))="","",INDEX('Inventory'!$AL$9:$AL$108,MATCH(F62,'Inventory'!$C$9:$C$108,0))),""),IF(AND(OR(E62="Project finance",E62="CRE",E62="Mortgage",E62="Motor"),IFERROR(IF(INDEX('Facilities'!$V$9:$V$108,MATCH(C62,'Facilities'!$C$9:$C$108,0))="","",INDEX('Facilities'!$V$9:$V$108,MATCH(C62,'Facilities'!$C$9:$C$108,0))),"")&lt;&gt;"Designated asset"),"Purpose review",IF(X62&gt;H62,"Exposure exceeds value","Ready"))))))))</x:f>
      </x:c>
      <x:c r="S62" s="9" t="str">
        <x:f>IF(C62="","",IFERROR(IF(INDEX('Inventory'!$V$9:$V$108,MATCH(F62,'Inventory'!$C$9:$C$108,0))="","",INDEX('Inventory'!$V$9:$V$108,MATCH(F62,'Inventory'!$C$9:$C$108,0))),""))</x:f>
      </x:c>
      <x:c r="T62" s="9" t="str">
        <x:f>IF(C62="","",IFERROR(IF(INDEX('Inventory'!$AB$9:$AB$108,MATCH(F62,'Inventory'!$C$9:$C$108,0))="","",INDEX('Inventory'!$AB$9:$AB$108,MATCH(F62,'Inventory'!$C$9:$C$108,0))),""))</x:f>
      </x:c>
      <x:c r="U62" s="9" t="str">
        <x:f>IF(C62="","",IFERROR(IF(INDEX('Inventory'!$AI$9:$AI$108,MATCH(F62,'Inventory'!$C$9:$C$108,0))="","",INDEX('Inventory'!$AI$9:$AI$108,MATCH(F62,'Inventory'!$C$9:$C$108,0))),""))</x:f>
      </x:c>
      <x:c r="V62" s="43" t="str">
        <x:f>IF(C62="","",IFERROR(IF(INDEX('Inventory'!$P$9:$P$108,MATCH(F62,'Inventory'!$C$9:$C$108,0))="","",INDEX('Inventory'!$P$9:$P$108,MATCH(F62,'Inventory'!$C$9:$C$108,0))),""))</x:f>
      </x:c>
      <x:c r="W62" s="3" t="str">
        <x:f>IF(C62="","",IF(E62="Corporate listed","PCAF 2025 pp40-46",IF(E62="Corporate private","PCAF 2025 pp55-60",IF(E62="Project finance","PCAF 2025 pp67-71",IF(E62="CRE","PCAF 2025 pp77-81",IF(E62="Mortgage","PCAF 2025 pp83-87",IF(E62="Motor","PCAF 2025 pp90-94","Method required")))))))</x:f>
      </x:c>
      <x:c r="X62" s="23" t="str">
        <x:f>IF(C62="","",SUMIFS('Facilities'!$AA$9:$AA$108,'Facilities'!$U$9:$U$108,F62))</x:f>
      </x:c>
      <x:c r="Y62" s="21" t="n">
        <x:f>IF(AND(R62="Ready",S62="Ready"),G62,0)</x:f>
        <x:v>0</x:v>
      </x:c>
      <x:c r="Z62" s="21" t="n">
        <x:f>IF(AND(R62="Ready",T62="Ready"),G62,0)</x:f>
        <x:v>0</x:v>
      </x:c>
      <x:c r="AA62" s="21" t="n">
        <x:f>IF(Y62&gt;0,Y62*O62,0)</x:f>
        <x:v>0</x:v>
      </x:c>
      <x:c r="AB62" s="21" t="n">
        <x:f>IF(Z62&gt;0,Z62*P62,0)</x:f>
        <x:v>0</x:v>
      </x:c>
      <x:c r="AC62" s="21" t="n">
        <x:f>IF(N62&gt;0,N62*Q62,0)</x:f>
        <x:v>0</x:v>
      </x:c>
      <x:c r="AD62" s="21" t="n">
        <x:f>IF(M62&gt;0,M62*MAX(O62,P62),0)</x:f>
        <x:v>0</x:v>
      </x:c>
      <x:c r="AE62" s="9" t="str">
        <x:f>IF(C62="","",IFERROR(IF(INDEX('Inventory'!$AC$9:$AC$108,MATCH(F62,'Inventory'!$C$9:$C$108,0))="","",INDEX('Inventory'!$AC$9:$AC$108,MATCH(F62,'Inventory'!$C$9:$C$108,0))),""))</x:f>
      </x:c>
      <x:c r="AF62" s="9" t="str">
        <x:f>IF(C62="","",IFERROR(IF(INDEX('Inventory'!$AN$9:$AN$108,MATCH(F62,'Inventory'!$C$9:$C$108,0))="","",INDEX('Inventory'!$AN$9:$AN$108,MATCH(F62,'Inventory'!$C$9:$C$108,0))),""))</x:f>
      </x:c>
    </x:row>
    <x:row r="63" ht="26" customHeight="1">
      <x:c r="A63" s="1"/>
      <x:c r="B63" s="1"/>
      <x:c r="C63" s="9" t="str">
        <x:f>IF('Facilities'!C63="","",'Facilities'!C63)</x:f>
      </x:c>
      <x:c r="D63" s="9" t="str">
        <x:f>IF(C63="","",IFERROR(IF(INDEX('Facilities'!$D$9:$D$108,MATCH(C63,'Facilities'!$C$9:$C$108,0))="","",INDEX('Facilities'!$D$9:$D$108,MATCH(C63,'Facilities'!$C$9:$C$108,0))),""))</x:f>
      </x:c>
      <x:c r="E63" s="9" t="str">
        <x:f>IF(C63="","",IFERROR(IF(INDEX('Facilities'!$E$9:$E$108,MATCH(C63,'Facilities'!$C$9:$C$108,0))="","",INDEX('Facilities'!$E$9:$E$108,MATCH(C63,'Facilities'!$C$9:$C$108,0))),""))</x:f>
      </x:c>
      <x:c r="F63" s="9" t="str">
        <x:f>IF(C63="","",IFERROR(IF(INDEX('Facilities'!$U$9:$U$108,MATCH(C63,'Facilities'!$C$9:$C$108,0))="","",INDEX('Facilities'!$U$9:$U$108,MATCH(C63,'Facilities'!$C$9:$C$108,0))),""))</x:f>
      </x:c>
      <x:c r="G63" s="23" t="str">
        <x:f>IF(C63="","",IFERROR(IF(INDEX('Facilities'!$AA$9:$AA$108,MATCH(C63,'Facilities'!$C$9:$C$108,0))="","",INDEX('Facilities'!$AA$9:$AA$108,MATCH(C63,'Facilities'!$C$9:$C$108,0))),""))</x:f>
      </x:c>
      <x:c r="H63" s="23" t="str">
        <x:f>IF(C63="","",IFERROR(IF(INDEX('Inventory'!$N$9:$N$108,MATCH(F63,'Inventory'!$C$9:$C$108,0))="","",INDEX('Inventory'!$N$9:$N$108,MATCH(F63,'Inventory'!$C$9:$C$108,0))),""))</x:f>
      </x:c>
      <x:c r="I63" s="17" t="str">
        <x:f>IF(R63="Ready",G63/H63,"")</x:f>
      </x:c>
      <x:c r="J63" s="23" t="str">
        <x:f>IF(AND(R63="Ready",S63="Ready"),I63*IFERROR(IF(INDEX('Inventory'!$T$9:$T$108,MATCH(F63,'Inventory'!$C$9:$C$108,0))="","",INDEX('Inventory'!$T$9:$T$108,MATCH(F63,'Inventory'!$C$9:$C$108,0))),""),"")</x:f>
      </x:c>
      <x:c r="K63" s="23" t="str">
        <x:f>IF(AND(R63="Ready",T63="Ready"),I63*IFERROR(IF(INDEX('Inventory'!$Z$9:$Z$108,MATCH(F63,'Inventory'!$C$9:$C$108,0))="","",INDEX('Inventory'!$Z$9:$Z$108,MATCH(F63,'Inventory'!$C$9:$C$108,0))),""),"")</x:f>
      </x:c>
      <x:c r="L63" s="23" t="str">
        <x:f>IF(AND(R63="Ready",U63="Ready"),I63*IFERROR(IF(INDEX('Inventory'!$AG$9:$AG$108,MATCH(F63,'Inventory'!$C$9:$C$108,0))="","",INDEX('Inventory'!$AG$9:$AG$108,MATCH(F63,'Inventory'!$C$9:$C$108,0))),""),"")</x:f>
      </x:c>
      <x:c r="M63" s="21" t="n">
        <x:f>IF(AND(R63="Ready",S63="Ready",T63="Ready"),G63,0)</x:f>
        <x:v>0</x:v>
      </x:c>
      <x:c r="N63" s="21" t="n">
        <x:f>IF(AND(R63="Ready",U63="Ready"),G63,0)</x:f>
        <x:v>0</x:v>
      </x:c>
      <x:c r="O63" s="42" t="str">
        <x:f>IF(C63="","",IFERROR(IF(INDEX('Inventory'!$U$9:$U$108,MATCH(F63,'Inventory'!$C$9:$C$108,0))="","",INDEX('Inventory'!$U$9:$U$108,MATCH(F63,'Inventory'!$C$9:$C$108,0))),""))</x:f>
      </x:c>
      <x:c r="P63" s="42" t="str">
        <x:f>IF(C63="","",IFERROR(IF(INDEX('Inventory'!$AA$9:$AA$108,MATCH(F63,'Inventory'!$C$9:$C$108,0))="","",INDEX('Inventory'!$AA$9:$AA$108,MATCH(F63,'Inventory'!$C$9:$C$108,0))),""))</x:f>
      </x:c>
      <x:c r="Q63" s="42" t="str">
        <x:f>IF(C63="","",IFERROR(IF(INDEX('Inventory'!$AH$9:$AH$108,MATCH(F63,'Inventory'!$C$9:$C$108,0))="","",INDEX('Inventory'!$AH$9:$AH$108,MATCH(F63,'Inventory'!$C$9:$C$108,0))),""))</x:f>
      </x:c>
      <x:c r="R63" s="9" t="str">
        <x:f>IF(C63="","",IF(COUNTIFS('Facilities'!$C$9:$C$108,C63)&lt;&gt;1,"Duplicate facility ID",IF(OR(NOT(ISNUMBER(IFERROR(IF(INDEX('Facilities'!$G$9:$G$108,MATCH(C63,'Facilities'!$C$9:$C$108,0))="","",INDEX('Facilities'!$G$9:$G$108,MATCH(C63,'Facilities'!$C$9:$C$108,0))),""))),NOT(ISNUMBER(G63)),G63&lt;0,IFERROR(IF(INDEX('Facilities'!$Z$9:$Z$108,MATCH(C63,'Facilities'!$C$9:$C$108,0))="","",INDEX('Facilities'!$Z$9:$Z$108,MATCH(C63,'Facilities'!$C$9:$C$108,0))),"")&lt;=0),"Drawn value required",IF(COUNTIFS('Inventory'!$C$9:$C$108,F63)&lt;&gt;1,"Entity required",IF(OR(E63&lt;&gt;IFERROR(IF(INDEX('Inventory'!$F$9:$F$108,MATCH(F63,'Inventory'!$C$9:$C$108,0))="","",INDEX('Inventory'!$F$9:$F$108,MATCH(F63,'Inventory'!$C$9:$C$108,0))),""),D63&lt;&gt;IFERROR(IF(INDEX('Inventory'!$D$9:$D$108,MATCH(F63,'Inventory'!$C$9:$C$108,0))="","",INDEX('Inventory'!$D$9:$D$108,MATCH(F63,'Inventory'!$C$9:$C$108,0))),"")),"Entity / class mismatch",IF(IFERROR(IF(INDEX('Inventory'!$AL$9:$AL$108,MATCH(F63,'Inventory'!$C$9:$C$108,0))="","",INDEX('Inventory'!$AL$9:$AL$108,MATCH(F63,'Inventory'!$C$9:$C$108,0))),"")&lt;&gt;"Ready",IFERROR(IF(INDEX('Inventory'!$AL$9:$AL$108,MATCH(F63,'Inventory'!$C$9:$C$108,0))="","",INDEX('Inventory'!$AL$9:$AL$108,MATCH(F63,'Inventory'!$C$9:$C$108,0))),""),IF(AND(OR(E63="Project finance",E63="CRE",E63="Mortgage",E63="Motor"),IFERROR(IF(INDEX('Facilities'!$V$9:$V$108,MATCH(C63,'Facilities'!$C$9:$C$108,0))="","",INDEX('Facilities'!$V$9:$V$108,MATCH(C63,'Facilities'!$C$9:$C$108,0))),"")&lt;&gt;"Designated asset"),"Purpose review",IF(X63&gt;H63,"Exposure exceeds value","Ready"))))))))</x:f>
      </x:c>
      <x:c r="S63" s="9" t="str">
        <x:f>IF(C63="","",IFERROR(IF(INDEX('Inventory'!$V$9:$V$108,MATCH(F63,'Inventory'!$C$9:$C$108,0))="","",INDEX('Inventory'!$V$9:$V$108,MATCH(F63,'Inventory'!$C$9:$C$108,0))),""))</x:f>
      </x:c>
      <x:c r="T63" s="9" t="str">
        <x:f>IF(C63="","",IFERROR(IF(INDEX('Inventory'!$AB$9:$AB$108,MATCH(F63,'Inventory'!$C$9:$C$108,0))="","",INDEX('Inventory'!$AB$9:$AB$108,MATCH(F63,'Inventory'!$C$9:$C$108,0))),""))</x:f>
      </x:c>
      <x:c r="U63" s="9" t="str">
        <x:f>IF(C63="","",IFERROR(IF(INDEX('Inventory'!$AI$9:$AI$108,MATCH(F63,'Inventory'!$C$9:$C$108,0))="","",INDEX('Inventory'!$AI$9:$AI$108,MATCH(F63,'Inventory'!$C$9:$C$108,0))),""))</x:f>
      </x:c>
      <x:c r="V63" s="43" t="str">
        <x:f>IF(C63="","",IFERROR(IF(INDEX('Inventory'!$P$9:$P$108,MATCH(F63,'Inventory'!$C$9:$C$108,0))="","",INDEX('Inventory'!$P$9:$P$108,MATCH(F63,'Inventory'!$C$9:$C$108,0))),""))</x:f>
      </x:c>
      <x:c r="W63" s="3" t="str">
        <x:f>IF(C63="","",IF(E63="Corporate listed","PCAF 2025 pp40-46",IF(E63="Corporate private","PCAF 2025 pp55-60",IF(E63="Project finance","PCAF 2025 pp67-71",IF(E63="CRE","PCAF 2025 pp77-81",IF(E63="Mortgage","PCAF 2025 pp83-87",IF(E63="Motor","PCAF 2025 pp90-94","Method required")))))))</x:f>
      </x:c>
      <x:c r="X63" s="23" t="str">
        <x:f>IF(C63="","",SUMIFS('Facilities'!$AA$9:$AA$108,'Facilities'!$U$9:$U$108,F63))</x:f>
      </x:c>
      <x:c r="Y63" s="21" t="n">
        <x:f>IF(AND(R63="Ready",S63="Ready"),G63,0)</x:f>
        <x:v>0</x:v>
      </x:c>
      <x:c r="Z63" s="21" t="n">
        <x:f>IF(AND(R63="Ready",T63="Ready"),G63,0)</x:f>
        <x:v>0</x:v>
      </x:c>
      <x:c r="AA63" s="21" t="n">
        <x:f>IF(Y63&gt;0,Y63*O63,0)</x:f>
        <x:v>0</x:v>
      </x:c>
      <x:c r="AB63" s="21" t="n">
        <x:f>IF(Z63&gt;0,Z63*P63,0)</x:f>
        <x:v>0</x:v>
      </x:c>
      <x:c r="AC63" s="21" t="n">
        <x:f>IF(N63&gt;0,N63*Q63,0)</x:f>
        <x:v>0</x:v>
      </x:c>
      <x:c r="AD63" s="21" t="n">
        <x:f>IF(M63&gt;0,M63*MAX(O63,P63),0)</x:f>
        <x:v>0</x:v>
      </x:c>
      <x:c r="AE63" s="9" t="str">
        <x:f>IF(C63="","",IFERROR(IF(INDEX('Inventory'!$AC$9:$AC$108,MATCH(F63,'Inventory'!$C$9:$C$108,0))="","",INDEX('Inventory'!$AC$9:$AC$108,MATCH(F63,'Inventory'!$C$9:$C$108,0))),""))</x:f>
      </x:c>
      <x:c r="AF63" s="9" t="str">
        <x:f>IF(C63="","",IFERROR(IF(INDEX('Inventory'!$AN$9:$AN$108,MATCH(F63,'Inventory'!$C$9:$C$108,0))="","",INDEX('Inventory'!$AN$9:$AN$108,MATCH(F63,'Inventory'!$C$9:$C$108,0))),""))</x:f>
      </x:c>
    </x:row>
    <x:row r="64" ht="26" customHeight="1">
      <x:c r="A64" s="1"/>
      <x:c r="B64" s="1"/>
      <x:c r="C64" s="9" t="str">
        <x:f>IF('Facilities'!C64="","",'Facilities'!C64)</x:f>
      </x:c>
      <x:c r="D64" s="9" t="str">
        <x:f>IF(C64="","",IFERROR(IF(INDEX('Facilities'!$D$9:$D$108,MATCH(C64,'Facilities'!$C$9:$C$108,0))="","",INDEX('Facilities'!$D$9:$D$108,MATCH(C64,'Facilities'!$C$9:$C$108,0))),""))</x:f>
      </x:c>
      <x:c r="E64" s="9" t="str">
        <x:f>IF(C64="","",IFERROR(IF(INDEX('Facilities'!$E$9:$E$108,MATCH(C64,'Facilities'!$C$9:$C$108,0))="","",INDEX('Facilities'!$E$9:$E$108,MATCH(C64,'Facilities'!$C$9:$C$108,0))),""))</x:f>
      </x:c>
      <x:c r="F64" s="9" t="str">
        <x:f>IF(C64="","",IFERROR(IF(INDEX('Facilities'!$U$9:$U$108,MATCH(C64,'Facilities'!$C$9:$C$108,0))="","",INDEX('Facilities'!$U$9:$U$108,MATCH(C64,'Facilities'!$C$9:$C$108,0))),""))</x:f>
      </x:c>
      <x:c r="G64" s="23" t="str">
        <x:f>IF(C64="","",IFERROR(IF(INDEX('Facilities'!$AA$9:$AA$108,MATCH(C64,'Facilities'!$C$9:$C$108,0))="","",INDEX('Facilities'!$AA$9:$AA$108,MATCH(C64,'Facilities'!$C$9:$C$108,0))),""))</x:f>
      </x:c>
      <x:c r="H64" s="23" t="str">
        <x:f>IF(C64="","",IFERROR(IF(INDEX('Inventory'!$N$9:$N$108,MATCH(F64,'Inventory'!$C$9:$C$108,0))="","",INDEX('Inventory'!$N$9:$N$108,MATCH(F64,'Inventory'!$C$9:$C$108,0))),""))</x:f>
      </x:c>
      <x:c r="I64" s="17" t="str">
        <x:f>IF(R64="Ready",G64/H64,"")</x:f>
      </x:c>
      <x:c r="J64" s="23" t="str">
        <x:f>IF(AND(R64="Ready",S64="Ready"),I64*IFERROR(IF(INDEX('Inventory'!$T$9:$T$108,MATCH(F64,'Inventory'!$C$9:$C$108,0))="","",INDEX('Inventory'!$T$9:$T$108,MATCH(F64,'Inventory'!$C$9:$C$108,0))),""),"")</x:f>
      </x:c>
      <x:c r="K64" s="23" t="str">
        <x:f>IF(AND(R64="Ready",T64="Ready"),I64*IFERROR(IF(INDEX('Inventory'!$Z$9:$Z$108,MATCH(F64,'Inventory'!$C$9:$C$108,0))="","",INDEX('Inventory'!$Z$9:$Z$108,MATCH(F64,'Inventory'!$C$9:$C$108,0))),""),"")</x:f>
      </x:c>
      <x:c r="L64" s="23" t="str">
        <x:f>IF(AND(R64="Ready",U64="Ready"),I64*IFERROR(IF(INDEX('Inventory'!$AG$9:$AG$108,MATCH(F64,'Inventory'!$C$9:$C$108,0))="","",INDEX('Inventory'!$AG$9:$AG$108,MATCH(F64,'Inventory'!$C$9:$C$108,0))),""),"")</x:f>
      </x:c>
      <x:c r="M64" s="21" t="n">
        <x:f>IF(AND(R64="Ready",S64="Ready",T64="Ready"),G64,0)</x:f>
        <x:v>0</x:v>
      </x:c>
      <x:c r="N64" s="21" t="n">
        <x:f>IF(AND(R64="Ready",U64="Ready"),G64,0)</x:f>
        <x:v>0</x:v>
      </x:c>
      <x:c r="O64" s="42" t="str">
        <x:f>IF(C64="","",IFERROR(IF(INDEX('Inventory'!$U$9:$U$108,MATCH(F64,'Inventory'!$C$9:$C$108,0))="","",INDEX('Inventory'!$U$9:$U$108,MATCH(F64,'Inventory'!$C$9:$C$108,0))),""))</x:f>
      </x:c>
      <x:c r="P64" s="42" t="str">
        <x:f>IF(C64="","",IFERROR(IF(INDEX('Inventory'!$AA$9:$AA$108,MATCH(F64,'Inventory'!$C$9:$C$108,0))="","",INDEX('Inventory'!$AA$9:$AA$108,MATCH(F64,'Inventory'!$C$9:$C$108,0))),""))</x:f>
      </x:c>
      <x:c r="Q64" s="42" t="str">
        <x:f>IF(C64="","",IFERROR(IF(INDEX('Inventory'!$AH$9:$AH$108,MATCH(F64,'Inventory'!$C$9:$C$108,0))="","",INDEX('Inventory'!$AH$9:$AH$108,MATCH(F64,'Inventory'!$C$9:$C$108,0))),""))</x:f>
      </x:c>
      <x:c r="R64" s="9" t="str">
        <x:f>IF(C64="","",IF(COUNTIFS('Facilities'!$C$9:$C$108,C64)&lt;&gt;1,"Duplicate facility ID",IF(OR(NOT(ISNUMBER(IFERROR(IF(INDEX('Facilities'!$G$9:$G$108,MATCH(C64,'Facilities'!$C$9:$C$108,0))="","",INDEX('Facilities'!$G$9:$G$108,MATCH(C64,'Facilities'!$C$9:$C$108,0))),""))),NOT(ISNUMBER(G64)),G64&lt;0,IFERROR(IF(INDEX('Facilities'!$Z$9:$Z$108,MATCH(C64,'Facilities'!$C$9:$C$108,0))="","",INDEX('Facilities'!$Z$9:$Z$108,MATCH(C64,'Facilities'!$C$9:$C$108,0))),"")&lt;=0),"Drawn value required",IF(COUNTIFS('Inventory'!$C$9:$C$108,F64)&lt;&gt;1,"Entity required",IF(OR(E64&lt;&gt;IFERROR(IF(INDEX('Inventory'!$F$9:$F$108,MATCH(F64,'Inventory'!$C$9:$C$108,0))="","",INDEX('Inventory'!$F$9:$F$108,MATCH(F64,'Inventory'!$C$9:$C$108,0))),""),D64&lt;&gt;IFERROR(IF(INDEX('Inventory'!$D$9:$D$108,MATCH(F64,'Inventory'!$C$9:$C$108,0))="","",INDEX('Inventory'!$D$9:$D$108,MATCH(F64,'Inventory'!$C$9:$C$108,0))),"")),"Entity / class mismatch",IF(IFERROR(IF(INDEX('Inventory'!$AL$9:$AL$108,MATCH(F64,'Inventory'!$C$9:$C$108,0))="","",INDEX('Inventory'!$AL$9:$AL$108,MATCH(F64,'Inventory'!$C$9:$C$108,0))),"")&lt;&gt;"Ready",IFERROR(IF(INDEX('Inventory'!$AL$9:$AL$108,MATCH(F64,'Inventory'!$C$9:$C$108,0))="","",INDEX('Inventory'!$AL$9:$AL$108,MATCH(F64,'Inventory'!$C$9:$C$108,0))),""),IF(AND(OR(E64="Project finance",E64="CRE",E64="Mortgage",E64="Motor"),IFERROR(IF(INDEX('Facilities'!$V$9:$V$108,MATCH(C64,'Facilities'!$C$9:$C$108,0))="","",INDEX('Facilities'!$V$9:$V$108,MATCH(C64,'Facilities'!$C$9:$C$108,0))),"")&lt;&gt;"Designated asset"),"Purpose review",IF(X64&gt;H64,"Exposure exceeds value","Ready"))))))))</x:f>
      </x:c>
      <x:c r="S64" s="9" t="str">
        <x:f>IF(C64="","",IFERROR(IF(INDEX('Inventory'!$V$9:$V$108,MATCH(F64,'Inventory'!$C$9:$C$108,0))="","",INDEX('Inventory'!$V$9:$V$108,MATCH(F64,'Inventory'!$C$9:$C$108,0))),""))</x:f>
      </x:c>
      <x:c r="T64" s="9" t="str">
        <x:f>IF(C64="","",IFERROR(IF(INDEX('Inventory'!$AB$9:$AB$108,MATCH(F64,'Inventory'!$C$9:$C$108,0))="","",INDEX('Inventory'!$AB$9:$AB$108,MATCH(F64,'Inventory'!$C$9:$C$108,0))),""))</x:f>
      </x:c>
      <x:c r="U64" s="9" t="str">
        <x:f>IF(C64="","",IFERROR(IF(INDEX('Inventory'!$AI$9:$AI$108,MATCH(F64,'Inventory'!$C$9:$C$108,0))="","",INDEX('Inventory'!$AI$9:$AI$108,MATCH(F64,'Inventory'!$C$9:$C$108,0))),""))</x:f>
      </x:c>
      <x:c r="V64" s="43" t="str">
        <x:f>IF(C64="","",IFERROR(IF(INDEX('Inventory'!$P$9:$P$108,MATCH(F64,'Inventory'!$C$9:$C$108,0))="","",INDEX('Inventory'!$P$9:$P$108,MATCH(F64,'Inventory'!$C$9:$C$108,0))),""))</x:f>
      </x:c>
      <x:c r="W64" s="3" t="str">
        <x:f>IF(C64="","",IF(E64="Corporate listed","PCAF 2025 pp40-46",IF(E64="Corporate private","PCAF 2025 pp55-60",IF(E64="Project finance","PCAF 2025 pp67-71",IF(E64="CRE","PCAF 2025 pp77-81",IF(E64="Mortgage","PCAF 2025 pp83-87",IF(E64="Motor","PCAF 2025 pp90-94","Method required")))))))</x:f>
      </x:c>
      <x:c r="X64" s="23" t="str">
        <x:f>IF(C64="","",SUMIFS('Facilities'!$AA$9:$AA$108,'Facilities'!$U$9:$U$108,F64))</x:f>
      </x:c>
      <x:c r="Y64" s="21" t="n">
        <x:f>IF(AND(R64="Ready",S64="Ready"),G64,0)</x:f>
        <x:v>0</x:v>
      </x:c>
      <x:c r="Z64" s="21" t="n">
        <x:f>IF(AND(R64="Ready",T64="Ready"),G64,0)</x:f>
        <x:v>0</x:v>
      </x:c>
      <x:c r="AA64" s="21" t="n">
        <x:f>IF(Y64&gt;0,Y64*O64,0)</x:f>
        <x:v>0</x:v>
      </x:c>
      <x:c r="AB64" s="21" t="n">
        <x:f>IF(Z64&gt;0,Z64*P64,0)</x:f>
        <x:v>0</x:v>
      </x:c>
      <x:c r="AC64" s="21" t="n">
        <x:f>IF(N64&gt;0,N64*Q64,0)</x:f>
        <x:v>0</x:v>
      </x:c>
      <x:c r="AD64" s="21" t="n">
        <x:f>IF(M64&gt;0,M64*MAX(O64,P64),0)</x:f>
        <x:v>0</x:v>
      </x:c>
      <x:c r="AE64" s="9" t="str">
        <x:f>IF(C64="","",IFERROR(IF(INDEX('Inventory'!$AC$9:$AC$108,MATCH(F64,'Inventory'!$C$9:$C$108,0))="","",INDEX('Inventory'!$AC$9:$AC$108,MATCH(F64,'Inventory'!$C$9:$C$108,0))),""))</x:f>
      </x:c>
      <x:c r="AF64" s="9" t="str">
        <x:f>IF(C64="","",IFERROR(IF(INDEX('Inventory'!$AN$9:$AN$108,MATCH(F64,'Inventory'!$C$9:$C$108,0))="","",INDEX('Inventory'!$AN$9:$AN$108,MATCH(F64,'Inventory'!$C$9:$C$108,0))),""))</x:f>
      </x:c>
    </x:row>
    <x:row r="65" ht="26" customHeight="1">
      <x:c r="A65" s="1"/>
      <x:c r="B65" s="1"/>
      <x:c r="C65" s="9" t="str">
        <x:f>IF('Facilities'!C65="","",'Facilities'!C65)</x:f>
      </x:c>
      <x:c r="D65" s="9" t="str">
        <x:f>IF(C65="","",IFERROR(IF(INDEX('Facilities'!$D$9:$D$108,MATCH(C65,'Facilities'!$C$9:$C$108,0))="","",INDEX('Facilities'!$D$9:$D$108,MATCH(C65,'Facilities'!$C$9:$C$108,0))),""))</x:f>
      </x:c>
      <x:c r="E65" s="9" t="str">
        <x:f>IF(C65="","",IFERROR(IF(INDEX('Facilities'!$E$9:$E$108,MATCH(C65,'Facilities'!$C$9:$C$108,0))="","",INDEX('Facilities'!$E$9:$E$108,MATCH(C65,'Facilities'!$C$9:$C$108,0))),""))</x:f>
      </x:c>
      <x:c r="F65" s="9" t="str">
        <x:f>IF(C65="","",IFERROR(IF(INDEX('Facilities'!$U$9:$U$108,MATCH(C65,'Facilities'!$C$9:$C$108,0))="","",INDEX('Facilities'!$U$9:$U$108,MATCH(C65,'Facilities'!$C$9:$C$108,0))),""))</x:f>
      </x:c>
      <x:c r="G65" s="23" t="str">
        <x:f>IF(C65="","",IFERROR(IF(INDEX('Facilities'!$AA$9:$AA$108,MATCH(C65,'Facilities'!$C$9:$C$108,0))="","",INDEX('Facilities'!$AA$9:$AA$108,MATCH(C65,'Facilities'!$C$9:$C$108,0))),""))</x:f>
      </x:c>
      <x:c r="H65" s="23" t="str">
        <x:f>IF(C65="","",IFERROR(IF(INDEX('Inventory'!$N$9:$N$108,MATCH(F65,'Inventory'!$C$9:$C$108,0))="","",INDEX('Inventory'!$N$9:$N$108,MATCH(F65,'Inventory'!$C$9:$C$108,0))),""))</x:f>
      </x:c>
      <x:c r="I65" s="17" t="str">
        <x:f>IF(R65="Ready",G65/H65,"")</x:f>
      </x:c>
      <x:c r="J65" s="23" t="str">
        <x:f>IF(AND(R65="Ready",S65="Ready"),I65*IFERROR(IF(INDEX('Inventory'!$T$9:$T$108,MATCH(F65,'Inventory'!$C$9:$C$108,0))="","",INDEX('Inventory'!$T$9:$T$108,MATCH(F65,'Inventory'!$C$9:$C$108,0))),""),"")</x:f>
      </x:c>
      <x:c r="K65" s="23" t="str">
        <x:f>IF(AND(R65="Ready",T65="Ready"),I65*IFERROR(IF(INDEX('Inventory'!$Z$9:$Z$108,MATCH(F65,'Inventory'!$C$9:$C$108,0))="","",INDEX('Inventory'!$Z$9:$Z$108,MATCH(F65,'Inventory'!$C$9:$C$108,0))),""),"")</x:f>
      </x:c>
      <x:c r="L65" s="23" t="str">
        <x:f>IF(AND(R65="Ready",U65="Ready"),I65*IFERROR(IF(INDEX('Inventory'!$AG$9:$AG$108,MATCH(F65,'Inventory'!$C$9:$C$108,0))="","",INDEX('Inventory'!$AG$9:$AG$108,MATCH(F65,'Inventory'!$C$9:$C$108,0))),""),"")</x:f>
      </x:c>
      <x:c r="M65" s="21" t="n">
        <x:f>IF(AND(R65="Ready",S65="Ready",T65="Ready"),G65,0)</x:f>
        <x:v>0</x:v>
      </x:c>
      <x:c r="N65" s="21" t="n">
        <x:f>IF(AND(R65="Ready",U65="Ready"),G65,0)</x:f>
        <x:v>0</x:v>
      </x:c>
      <x:c r="O65" s="42" t="str">
        <x:f>IF(C65="","",IFERROR(IF(INDEX('Inventory'!$U$9:$U$108,MATCH(F65,'Inventory'!$C$9:$C$108,0))="","",INDEX('Inventory'!$U$9:$U$108,MATCH(F65,'Inventory'!$C$9:$C$108,0))),""))</x:f>
      </x:c>
      <x:c r="P65" s="42" t="str">
        <x:f>IF(C65="","",IFERROR(IF(INDEX('Inventory'!$AA$9:$AA$108,MATCH(F65,'Inventory'!$C$9:$C$108,0))="","",INDEX('Inventory'!$AA$9:$AA$108,MATCH(F65,'Inventory'!$C$9:$C$108,0))),""))</x:f>
      </x:c>
      <x:c r="Q65" s="42" t="str">
        <x:f>IF(C65="","",IFERROR(IF(INDEX('Inventory'!$AH$9:$AH$108,MATCH(F65,'Inventory'!$C$9:$C$108,0))="","",INDEX('Inventory'!$AH$9:$AH$108,MATCH(F65,'Inventory'!$C$9:$C$108,0))),""))</x:f>
      </x:c>
      <x:c r="R65" s="9" t="str">
        <x:f>IF(C65="","",IF(COUNTIFS('Facilities'!$C$9:$C$108,C65)&lt;&gt;1,"Duplicate facility ID",IF(OR(NOT(ISNUMBER(IFERROR(IF(INDEX('Facilities'!$G$9:$G$108,MATCH(C65,'Facilities'!$C$9:$C$108,0))="","",INDEX('Facilities'!$G$9:$G$108,MATCH(C65,'Facilities'!$C$9:$C$108,0))),""))),NOT(ISNUMBER(G65)),G65&lt;0,IFERROR(IF(INDEX('Facilities'!$Z$9:$Z$108,MATCH(C65,'Facilities'!$C$9:$C$108,0))="","",INDEX('Facilities'!$Z$9:$Z$108,MATCH(C65,'Facilities'!$C$9:$C$108,0))),"")&lt;=0),"Drawn value required",IF(COUNTIFS('Inventory'!$C$9:$C$108,F65)&lt;&gt;1,"Entity required",IF(OR(E65&lt;&gt;IFERROR(IF(INDEX('Inventory'!$F$9:$F$108,MATCH(F65,'Inventory'!$C$9:$C$108,0))="","",INDEX('Inventory'!$F$9:$F$108,MATCH(F65,'Inventory'!$C$9:$C$108,0))),""),D65&lt;&gt;IFERROR(IF(INDEX('Inventory'!$D$9:$D$108,MATCH(F65,'Inventory'!$C$9:$C$108,0))="","",INDEX('Inventory'!$D$9:$D$108,MATCH(F65,'Inventory'!$C$9:$C$108,0))),"")),"Entity / class mismatch",IF(IFERROR(IF(INDEX('Inventory'!$AL$9:$AL$108,MATCH(F65,'Inventory'!$C$9:$C$108,0))="","",INDEX('Inventory'!$AL$9:$AL$108,MATCH(F65,'Inventory'!$C$9:$C$108,0))),"")&lt;&gt;"Ready",IFERROR(IF(INDEX('Inventory'!$AL$9:$AL$108,MATCH(F65,'Inventory'!$C$9:$C$108,0))="","",INDEX('Inventory'!$AL$9:$AL$108,MATCH(F65,'Inventory'!$C$9:$C$108,0))),""),IF(AND(OR(E65="Project finance",E65="CRE",E65="Mortgage",E65="Motor"),IFERROR(IF(INDEX('Facilities'!$V$9:$V$108,MATCH(C65,'Facilities'!$C$9:$C$108,0))="","",INDEX('Facilities'!$V$9:$V$108,MATCH(C65,'Facilities'!$C$9:$C$108,0))),"")&lt;&gt;"Designated asset"),"Purpose review",IF(X65&gt;H65,"Exposure exceeds value","Ready"))))))))</x:f>
      </x:c>
      <x:c r="S65" s="9" t="str">
        <x:f>IF(C65="","",IFERROR(IF(INDEX('Inventory'!$V$9:$V$108,MATCH(F65,'Inventory'!$C$9:$C$108,0))="","",INDEX('Inventory'!$V$9:$V$108,MATCH(F65,'Inventory'!$C$9:$C$108,0))),""))</x:f>
      </x:c>
      <x:c r="T65" s="9" t="str">
        <x:f>IF(C65="","",IFERROR(IF(INDEX('Inventory'!$AB$9:$AB$108,MATCH(F65,'Inventory'!$C$9:$C$108,0))="","",INDEX('Inventory'!$AB$9:$AB$108,MATCH(F65,'Inventory'!$C$9:$C$108,0))),""))</x:f>
      </x:c>
      <x:c r="U65" s="9" t="str">
        <x:f>IF(C65="","",IFERROR(IF(INDEX('Inventory'!$AI$9:$AI$108,MATCH(F65,'Inventory'!$C$9:$C$108,0))="","",INDEX('Inventory'!$AI$9:$AI$108,MATCH(F65,'Inventory'!$C$9:$C$108,0))),""))</x:f>
      </x:c>
      <x:c r="V65" s="43" t="str">
        <x:f>IF(C65="","",IFERROR(IF(INDEX('Inventory'!$P$9:$P$108,MATCH(F65,'Inventory'!$C$9:$C$108,0))="","",INDEX('Inventory'!$P$9:$P$108,MATCH(F65,'Inventory'!$C$9:$C$108,0))),""))</x:f>
      </x:c>
      <x:c r="W65" s="3" t="str">
        <x:f>IF(C65="","",IF(E65="Corporate listed","PCAF 2025 pp40-46",IF(E65="Corporate private","PCAF 2025 pp55-60",IF(E65="Project finance","PCAF 2025 pp67-71",IF(E65="CRE","PCAF 2025 pp77-81",IF(E65="Mortgage","PCAF 2025 pp83-87",IF(E65="Motor","PCAF 2025 pp90-94","Method required")))))))</x:f>
      </x:c>
      <x:c r="X65" s="23" t="str">
        <x:f>IF(C65="","",SUMIFS('Facilities'!$AA$9:$AA$108,'Facilities'!$U$9:$U$108,F65))</x:f>
      </x:c>
      <x:c r="Y65" s="21" t="n">
        <x:f>IF(AND(R65="Ready",S65="Ready"),G65,0)</x:f>
        <x:v>0</x:v>
      </x:c>
      <x:c r="Z65" s="21" t="n">
        <x:f>IF(AND(R65="Ready",T65="Ready"),G65,0)</x:f>
        <x:v>0</x:v>
      </x:c>
      <x:c r="AA65" s="21" t="n">
        <x:f>IF(Y65&gt;0,Y65*O65,0)</x:f>
        <x:v>0</x:v>
      </x:c>
      <x:c r="AB65" s="21" t="n">
        <x:f>IF(Z65&gt;0,Z65*P65,0)</x:f>
        <x:v>0</x:v>
      </x:c>
      <x:c r="AC65" s="21" t="n">
        <x:f>IF(N65&gt;0,N65*Q65,0)</x:f>
        <x:v>0</x:v>
      </x:c>
      <x:c r="AD65" s="21" t="n">
        <x:f>IF(M65&gt;0,M65*MAX(O65,P65),0)</x:f>
        <x:v>0</x:v>
      </x:c>
      <x:c r="AE65" s="9" t="str">
        <x:f>IF(C65="","",IFERROR(IF(INDEX('Inventory'!$AC$9:$AC$108,MATCH(F65,'Inventory'!$C$9:$C$108,0))="","",INDEX('Inventory'!$AC$9:$AC$108,MATCH(F65,'Inventory'!$C$9:$C$108,0))),""))</x:f>
      </x:c>
      <x:c r="AF65" s="9" t="str">
        <x:f>IF(C65="","",IFERROR(IF(INDEX('Inventory'!$AN$9:$AN$108,MATCH(F65,'Inventory'!$C$9:$C$108,0))="","",INDEX('Inventory'!$AN$9:$AN$108,MATCH(F65,'Inventory'!$C$9:$C$108,0))),""))</x:f>
      </x:c>
    </x:row>
    <x:row r="66" ht="26" customHeight="1">
      <x:c r="A66" s="1"/>
      <x:c r="B66" s="1"/>
      <x:c r="C66" s="9" t="str">
        <x:f>IF('Facilities'!C66="","",'Facilities'!C66)</x:f>
      </x:c>
      <x:c r="D66" s="9" t="str">
        <x:f>IF(C66="","",IFERROR(IF(INDEX('Facilities'!$D$9:$D$108,MATCH(C66,'Facilities'!$C$9:$C$108,0))="","",INDEX('Facilities'!$D$9:$D$108,MATCH(C66,'Facilities'!$C$9:$C$108,0))),""))</x:f>
      </x:c>
      <x:c r="E66" s="9" t="str">
        <x:f>IF(C66="","",IFERROR(IF(INDEX('Facilities'!$E$9:$E$108,MATCH(C66,'Facilities'!$C$9:$C$108,0))="","",INDEX('Facilities'!$E$9:$E$108,MATCH(C66,'Facilities'!$C$9:$C$108,0))),""))</x:f>
      </x:c>
      <x:c r="F66" s="9" t="str">
        <x:f>IF(C66="","",IFERROR(IF(INDEX('Facilities'!$U$9:$U$108,MATCH(C66,'Facilities'!$C$9:$C$108,0))="","",INDEX('Facilities'!$U$9:$U$108,MATCH(C66,'Facilities'!$C$9:$C$108,0))),""))</x:f>
      </x:c>
      <x:c r="G66" s="23" t="str">
        <x:f>IF(C66="","",IFERROR(IF(INDEX('Facilities'!$AA$9:$AA$108,MATCH(C66,'Facilities'!$C$9:$C$108,0))="","",INDEX('Facilities'!$AA$9:$AA$108,MATCH(C66,'Facilities'!$C$9:$C$108,0))),""))</x:f>
      </x:c>
      <x:c r="H66" s="23" t="str">
        <x:f>IF(C66="","",IFERROR(IF(INDEX('Inventory'!$N$9:$N$108,MATCH(F66,'Inventory'!$C$9:$C$108,0))="","",INDEX('Inventory'!$N$9:$N$108,MATCH(F66,'Inventory'!$C$9:$C$108,0))),""))</x:f>
      </x:c>
      <x:c r="I66" s="17" t="str">
        <x:f>IF(R66="Ready",G66/H66,"")</x:f>
      </x:c>
      <x:c r="J66" s="23" t="str">
        <x:f>IF(AND(R66="Ready",S66="Ready"),I66*IFERROR(IF(INDEX('Inventory'!$T$9:$T$108,MATCH(F66,'Inventory'!$C$9:$C$108,0))="","",INDEX('Inventory'!$T$9:$T$108,MATCH(F66,'Inventory'!$C$9:$C$108,0))),""),"")</x:f>
      </x:c>
      <x:c r="K66" s="23" t="str">
        <x:f>IF(AND(R66="Ready",T66="Ready"),I66*IFERROR(IF(INDEX('Inventory'!$Z$9:$Z$108,MATCH(F66,'Inventory'!$C$9:$C$108,0))="","",INDEX('Inventory'!$Z$9:$Z$108,MATCH(F66,'Inventory'!$C$9:$C$108,0))),""),"")</x:f>
      </x:c>
      <x:c r="L66" s="23" t="str">
        <x:f>IF(AND(R66="Ready",U66="Ready"),I66*IFERROR(IF(INDEX('Inventory'!$AG$9:$AG$108,MATCH(F66,'Inventory'!$C$9:$C$108,0))="","",INDEX('Inventory'!$AG$9:$AG$108,MATCH(F66,'Inventory'!$C$9:$C$108,0))),""),"")</x:f>
      </x:c>
      <x:c r="M66" s="21" t="n">
        <x:f>IF(AND(R66="Ready",S66="Ready",T66="Ready"),G66,0)</x:f>
        <x:v>0</x:v>
      </x:c>
      <x:c r="N66" s="21" t="n">
        <x:f>IF(AND(R66="Ready",U66="Ready"),G66,0)</x:f>
        <x:v>0</x:v>
      </x:c>
      <x:c r="O66" s="42" t="str">
        <x:f>IF(C66="","",IFERROR(IF(INDEX('Inventory'!$U$9:$U$108,MATCH(F66,'Inventory'!$C$9:$C$108,0))="","",INDEX('Inventory'!$U$9:$U$108,MATCH(F66,'Inventory'!$C$9:$C$108,0))),""))</x:f>
      </x:c>
      <x:c r="P66" s="42" t="str">
        <x:f>IF(C66="","",IFERROR(IF(INDEX('Inventory'!$AA$9:$AA$108,MATCH(F66,'Inventory'!$C$9:$C$108,0))="","",INDEX('Inventory'!$AA$9:$AA$108,MATCH(F66,'Inventory'!$C$9:$C$108,0))),""))</x:f>
      </x:c>
      <x:c r="Q66" s="42" t="str">
        <x:f>IF(C66="","",IFERROR(IF(INDEX('Inventory'!$AH$9:$AH$108,MATCH(F66,'Inventory'!$C$9:$C$108,0))="","",INDEX('Inventory'!$AH$9:$AH$108,MATCH(F66,'Inventory'!$C$9:$C$108,0))),""))</x:f>
      </x:c>
      <x:c r="R66" s="9" t="str">
        <x:f>IF(C66="","",IF(COUNTIFS('Facilities'!$C$9:$C$108,C66)&lt;&gt;1,"Duplicate facility ID",IF(OR(NOT(ISNUMBER(IFERROR(IF(INDEX('Facilities'!$G$9:$G$108,MATCH(C66,'Facilities'!$C$9:$C$108,0))="","",INDEX('Facilities'!$G$9:$G$108,MATCH(C66,'Facilities'!$C$9:$C$108,0))),""))),NOT(ISNUMBER(G66)),G66&lt;0,IFERROR(IF(INDEX('Facilities'!$Z$9:$Z$108,MATCH(C66,'Facilities'!$C$9:$C$108,0))="","",INDEX('Facilities'!$Z$9:$Z$108,MATCH(C66,'Facilities'!$C$9:$C$108,0))),"")&lt;=0),"Drawn value required",IF(COUNTIFS('Inventory'!$C$9:$C$108,F66)&lt;&gt;1,"Entity required",IF(OR(E66&lt;&gt;IFERROR(IF(INDEX('Inventory'!$F$9:$F$108,MATCH(F66,'Inventory'!$C$9:$C$108,0))="","",INDEX('Inventory'!$F$9:$F$108,MATCH(F66,'Inventory'!$C$9:$C$108,0))),""),D66&lt;&gt;IFERROR(IF(INDEX('Inventory'!$D$9:$D$108,MATCH(F66,'Inventory'!$C$9:$C$108,0))="","",INDEX('Inventory'!$D$9:$D$108,MATCH(F66,'Inventory'!$C$9:$C$108,0))),"")),"Entity / class mismatch",IF(IFERROR(IF(INDEX('Inventory'!$AL$9:$AL$108,MATCH(F66,'Inventory'!$C$9:$C$108,0))="","",INDEX('Inventory'!$AL$9:$AL$108,MATCH(F66,'Inventory'!$C$9:$C$108,0))),"")&lt;&gt;"Ready",IFERROR(IF(INDEX('Inventory'!$AL$9:$AL$108,MATCH(F66,'Inventory'!$C$9:$C$108,0))="","",INDEX('Inventory'!$AL$9:$AL$108,MATCH(F66,'Inventory'!$C$9:$C$108,0))),""),IF(AND(OR(E66="Project finance",E66="CRE",E66="Mortgage",E66="Motor"),IFERROR(IF(INDEX('Facilities'!$V$9:$V$108,MATCH(C66,'Facilities'!$C$9:$C$108,0))="","",INDEX('Facilities'!$V$9:$V$108,MATCH(C66,'Facilities'!$C$9:$C$108,0))),"")&lt;&gt;"Designated asset"),"Purpose review",IF(X66&gt;H66,"Exposure exceeds value","Ready"))))))))</x:f>
      </x:c>
      <x:c r="S66" s="9" t="str">
        <x:f>IF(C66="","",IFERROR(IF(INDEX('Inventory'!$V$9:$V$108,MATCH(F66,'Inventory'!$C$9:$C$108,0))="","",INDEX('Inventory'!$V$9:$V$108,MATCH(F66,'Inventory'!$C$9:$C$108,0))),""))</x:f>
      </x:c>
      <x:c r="T66" s="9" t="str">
        <x:f>IF(C66="","",IFERROR(IF(INDEX('Inventory'!$AB$9:$AB$108,MATCH(F66,'Inventory'!$C$9:$C$108,0))="","",INDEX('Inventory'!$AB$9:$AB$108,MATCH(F66,'Inventory'!$C$9:$C$108,0))),""))</x:f>
      </x:c>
      <x:c r="U66" s="9" t="str">
        <x:f>IF(C66="","",IFERROR(IF(INDEX('Inventory'!$AI$9:$AI$108,MATCH(F66,'Inventory'!$C$9:$C$108,0))="","",INDEX('Inventory'!$AI$9:$AI$108,MATCH(F66,'Inventory'!$C$9:$C$108,0))),""))</x:f>
      </x:c>
      <x:c r="V66" s="43" t="str">
        <x:f>IF(C66="","",IFERROR(IF(INDEX('Inventory'!$P$9:$P$108,MATCH(F66,'Inventory'!$C$9:$C$108,0))="","",INDEX('Inventory'!$P$9:$P$108,MATCH(F66,'Inventory'!$C$9:$C$108,0))),""))</x:f>
      </x:c>
      <x:c r="W66" s="3" t="str">
        <x:f>IF(C66="","",IF(E66="Corporate listed","PCAF 2025 pp40-46",IF(E66="Corporate private","PCAF 2025 pp55-60",IF(E66="Project finance","PCAF 2025 pp67-71",IF(E66="CRE","PCAF 2025 pp77-81",IF(E66="Mortgage","PCAF 2025 pp83-87",IF(E66="Motor","PCAF 2025 pp90-94","Method required")))))))</x:f>
      </x:c>
      <x:c r="X66" s="23" t="str">
        <x:f>IF(C66="","",SUMIFS('Facilities'!$AA$9:$AA$108,'Facilities'!$U$9:$U$108,F66))</x:f>
      </x:c>
      <x:c r="Y66" s="21" t="n">
        <x:f>IF(AND(R66="Ready",S66="Ready"),G66,0)</x:f>
        <x:v>0</x:v>
      </x:c>
      <x:c r="Z66" s="21" t="n">
        <x:f>IF(AND(R66="Ready",T66="Ready"),G66,0)</x:f>
        <x:v>0</x:v>
      </x:c>
      <x:c r="AA66" s="21" t="n">
        <x:f>IF(Y66&gt;0,Y66*O66,0)</x:f>
        <x:v>0</x:v>
      </x:c>
      <x:c r="AB66" s="21" t="n">
        <x:f>IF(Z66&gt;0,Z66*P66,0)</x:f>
        <x:v>0</x:v>
      </x:c>
      <x:c r="AC66" s="21" t="n">
        <x:f>IF(N66&gt;0,N66*Q66,0)</x:f>
        <x:v>0</x:v>
      </x:c>
      <x:c r="AD66" s="21" t="n">
        <x:f>IF(M66&gt;0,M66*MAX(O66,P66),0)</x:f>
        <x:v>0</x:v>
      </x:c>
      <x:c r="AE66" s="9" t="str">
        <x:f>IF(C66="","",IFERROR(IF(INDEX('Inventory'!$AC$9:$AC$108,MATCH(F66,'Inventory'!$C$9:$C$108,0))="","",INDEX('Inventory'!$AC$9:$AC$108,MATCH(F66,'Inventory'!$C$9:$C$108,0))),""))</x:f>
      </x:c>
      <x:c r="AF66" s="9" t="str">
        <x:f>IF(C66="","",IFERROR(IF(INDEX('Inventory'!$AN$9:$AN$108,MATCH(F66,'Inventory'!$C$9:$C$108,0))="","",INDEX('Inventory'!$AN$9:$AN$108,MATCH(F66,'Inventory'!$C$9:$C$108,0))),""))</x:f>
      </x:c>
    </x:row>
    <x:row r="67" ht="26" customHeight="1">
      <x:c r="A67" s="1"/>
      <x:c r="B67" s="1"/>
      <x:c r="C67" s="9" t="str">
        <x:f>IF('Facilities'!C67="","",'Facilities'!C67)</x:f>
      </x:c>
      <x:c r="D67" s="9" t="str">
        <x:f>IF(C67="","",IFERROR(IF(INDEX('Facilities'!$D$9:$D$108,MATCH(C67,'Facilities'!$C$9:$C$108,0))="","",INDEX('Facilities'!$D$9:$D$108,MATCH(C67,'Facilities'!$C$9:$C$108,0))),""))</x:f>
      </x:c>
      <x:c r="E67" s="9" t="str">
        <x:f>IF(C67="","",IFERROR(IF(INDEX('Facilities'!$E$9:$E$108,MATCH(C67,'Facilities'!$C$9:$C$108,0))="","",INDEX('Facilities'!$E$9:$E$108,MATCH(C67,'Facilities'!$C$9:$C$108,0))),""))</x:f>
      </x:c>
      <x:c r="F67" s="9" t="str">
        <x:f>IF(C67="","",IFERROR(IF(INDEX('Facilities'!$U$9:$U$108,MATCH(C67,'Facilities'!$C$9:$C$108,0))="","",INDEX('Facilities'!$U$9:$U$108,MATCH(C67,'Facilities'!$C$9:$C$108,0))),""))</x:f>
      </x:c>
      <x:c r="G67" s="23" t="str">
        <x:f>IF(C67="","",IFERROR(IF(INDEX('Facilities'!$AA$9:$AA$108,MATCH(C67,'Facilities'!$C$9:$C$108,0))="","",INDEX('Facilities'!$AA$9:$AA$108,MATCH(C67,'Facilities'!$C$9:$C$108,0))),""))</x:f>
      </x:c>
      <x:c r="H67" s="23" t="str">
        <x:f>IF(C67="","",IFERROR(IF(INDEX('Inventory'!$N$9:$N$108,MATCH(F67,'Inventory'!$C$9:$C$108,0))="","",INDEX('Inventory'!$N$9:$N$108,MATCH(F67,'Inventory'!$C$9:$C$108,0))),""))</x:f>
      </x:c>
      <x:c r="I67" s="17" t="str">
        <x:f>IF(R67="Ready",G67/H67,"")</x:f>
      </x:c>
      <x:c r="J67" s="23" t="str">
        <x:f>IF(AND(R67="Ready",S67="Ready"),I67*IFERROR(IF(INDEX('Inventory'!$T$9:$T$108,MATCH(F67,'Inventory'!$C$9:$C$108,0))="","",INDEX('Inventory'!$T$9:$T$108,MATCH(F67,'Inventory'!$C$9:$C$108,0))),""),"")</x:f>
      </x:c>
      <x:c r="K67" s="23" t="str">
        <x:f>IF(AND(R67="Ready",T67="Ready"),I67*IFERROR(IF(INDEX('Inventory'!$Z$9:$Z$108,MATCH(F67,'Inventory'!$C$9:$C$108,0))="","",INDEX('Inventory'!$Z$9:$Z$108,MATCH(F67,'Inventory'!$C$9:$C$108,0))),""),"")</x:f>
      </x:c>
      <x:c r="L67" s="23" t="str">
        <x:f>IF(AND(R67="Ready",U67="Ready"),I67*IFERROR(IF(INDEX('Inventory'!$AG$9:$AG$108,MATCH(F67,'Inventory'!$C$9:$C$108,0))="","",INDEX('Inventory'!$AG$9:$AG$108,MATCH(F67,'Inventory'!$C$9:$C$108,0))),""),"")</x:f>
      </x:c>
      <x:c r="M67" s="21" t="n">
        <x:f>IF(AND(R67="Ready",S67="Ready",T67="Ready"),G67,0)</x:f>
        <x:v>0</x:v>
      </x:c>
      <x:c r="N67" s="21" t="n">
        <x:f>IF(AND(R67="Ready",U67="Ready"),G67,0)</x:f>
        <x:v>0</x:v>
      </x:c>
      <x:c r="O67" s="42" t="str">
        <x:f>IF(C67="","",IFERROR(IF(INDEX('Inventory'!$U$9:$U$108,MATCH(F67,'Inventory'!$C$9:$C$108,0))="","",INDEX('Inventory'!$U$9:$U$108,MATCH(F67,'Inventory'!$C$9:$C$108,0))),""))</x:f>
      </x:c>
      <x:c r="P67" s="42" t="str">
        <x:f>IF(C67="","",IFERROR(IF(INDEX('Inventory'!$AA$9:$AA$108,MATCH(F67,'Inventory'!$C$9:$C$108,0))="","",INDEX('Inventory'!$AA$9:$AA$108,MATCH(F67,'Inventory'!$C$9:$C$108,0))),""))</x:f>
      </x:c>
      <x:c r="Q67" s="42" t="str">
        <x:f>IF(C67="","",IFERROR(IF(INDEX('Inventory'!$AH$9:$AH$108,MATCH(F67,'Inventory'!$C$9:$C$108,0))="","",INDEX('Inventory'!$AH$9:$AH$108,MATCH(F67,'Inventory'!$C$9:$C$108,0))),""))</x:f>
      </x:c>
      <x:c r="R67" s="9" t="str">
        <x:f>IF(C67="","",IF(COUNTIFS('Facilities'!$C$9:$C$108,C67)&lt;&gt;1,"Duplicate facility ID",IF(OR(NOT(ISNUMBER(IFERROR(IF(INDEX('Facilities'!$G$9:$G$108,MATCH(C67,'Facilities'!$C$9:$C$108,0))="","",INDEX('Facilities'!$G$9:$G$108,MATCH(C67,'Facilities'!$C$9:$C$108,0))),""))),NOT(ISNUMBER(G67)),G67&lt;0,IFERROR(IF(INDEX('Facilities'!$Z$9:$Z$108,MATCH(C67,'Facilities'!$C$9:$C$108,0))="","",INDEX('Facilities'!$Z$9:$Z$108,MATCH(C67,'Facilities'!$C$9:$C$108,0))),"")&lt;=0),"Drawn value required",IF(COUNTIFS('Inventory'!$C$9:$C$108,F67)&lt;&gt;1,"Entity required",IF(OR(E67&lt;&gt;IFERROR(IF(INDEX('Inventory'!$F$9:$F$108,MATCH(F67,'Inventory'!$C$9:$C$108,0))="","",INDEX('Inventory'!$F$9:$F$108,MATCH(F67,'Inventory'!$C$9:$C$108,0))),""),D67&lt;&gt;IFERROR(IF(INDEX('Inventory'!$D$9:$D$108,MATCH(F67,'Inventory'!$C$9:$C$108,0))="","",INDEX('Inventory'!$D$9:$D$108,MATCH(F67,'Inventory'!$C$9:$C$108,0))),"")),"Entity / class mismatch",IF(IFERROR(IF(INDEX('Inventory'!$AL$9:$AL$108,MATCH(F67,'Inventory'!$C$9:$C$108,0))="","",INDEX('Inventory'!$AL$9:$AL$108,MATCH(F67,'Inventory'!$C$9:$C$108,0))),"")&lt;&gt;"Ready",IFERROR(IF(INDEX('Inventory'!$AL$9:$AL$108,MATCH(F67,'Inventory'!$C$9:$C$108,0))="","",INDEX('Inventory'!$AL$9:$AL$108,MATCH(F67,'Inventory'!$C$9:$C$108,0))),""),IF(AND(OR(E67="Project finance",E67="CRE",E67="Mortgage",E67="Motor"),IFERROR(IF(INDEX('Facilities'!$V$9:$V$108,MATCH(C67,'Facilities'!$C$9:$C$108,0))="","",INDEX('Facilities'!$V$9:$V$108,MATCH(C67,'Facilities'!$C$9:$C$108,0))),"")&lt;&gt;"Designated asset"),"Purpose review",IF(X67&gt;H67,"Exposure exceeds value","Ready"))))))))</x:f>
      </x:c>
      <x:c r="S67" s="9" t="str">
        <x:f>IF(C67="","",IFERROR(IF(INDEX('Inventory'!$V$9:$V$108,MATCH(F67,'Inventory'!$C$9:$C$108,0))="","",INDEX('Inventory'!$V$9:$V$108,MATCH(F67,'Inventory'!$C$9:$C$108,0))),""))</x:f>
      </x:c>
      <x:c r="T67" s="9" t="str">
        <x:f>IF(C67="","",IFERROR(IF(INDEX('Inventory'!$AB$9:$AB$108,MATCH(F67,'Inventory'!$C$9:$C$108,0))="","",INDEX('Inventory'!$AB$9:$AB$108,MATCH(F67,'Inventory'!$C$9:$C$108,0))),""))</x:f>
      </x:c>
      <x:c r="U67" s="9" t="str">
        <x:f>IF(C67="","",IFERROR(IF(INDEX('Inventory'!$AI$9:$AI$108,MATCH(F67,'Inventory'!$C$9:$C$108,0))="","",INDEX('Inventory'!$AI$9:$AI$108,MATCH(F67,'Inventory'!$C$9:$C$108,0))),""))</x:f>
      </x:c>
      <x:c r="V67" s="43" t="str">
        <x:f>IF(C67="","",IFERROR(IF(INDEX('Inventory'!$P$9:$P$108,MATCH(F67,'Inventory'!$C$9:$C$108,0))="","",INDEX('Inventory'!$P$9:$P$108,MATCH(F67,'Inventory'!$C$9:$C$108,0))),""))</x:f>
      </x:c>
      <x:c r="W67" s="3" t="str">
        <x:f>IF(C67="","",IF(E67="Corporate listed","PCAF 2025 pp40-46",IF(E67="Corporate private","PCAF 2025 pp55-60",IF(E67="Project finance","PCAF 2025 pp67-71",IF(E67="CRE","PCAF 2025 pp77-81",IF(E67="Mortgage","PCAF 2025 pp83-87",IF(E67="Motor","PCAF 2025 pp90-94","Method required")))))))</x:f>
      </x:c>
      <x:c r="X67" s="23" t="str">
        <x:f>IF(C67="","",SUMIFS('Facilities'!$AA$9:$AA$108,'Facilities'!$U$9:$U$108,F67))</x:f>
      </x:c>
      <x:c r="Y67" s="21" t="n">
        <x:f>IF(AND(R67="Ready",S67="Ready"),G67,0)</x:f>
        <x:v>0</x:v>
      </x:c>
      <x:c r="Z67" s="21" t="n">
        <x:f>IF(AND(R67="Ready",T67="Ready"),G67,0)</x:f>
        <x:v>0</x:v>
      </x:c>
      <x:c r="AA67" s="21" t="n">
        <x:f>IF(Y67&gt;0,Y67*O67,0)</x:f>
        <x:v>0</x:v>
      </x:c>
      <x:c r="AB67" s="21" t="n">
        <x:f>IF(Z67&gt;0,Z67*P67,0)</x:f>
        <x:v>0</x:v>
      </x:c>
      <x:c r="AC67" s="21" t="n">
        <x:f>IF(N67&gt;0,N67*Q67,0)</x:f>
        <x:v>0</x:v>
      </x:c>
      <x:c r="AD67" s="21" t="n">
        <x:f>IF(M67&gt;0,M67*MAX(O67,P67),0)</x:f>
        <x:v>0</x:v>
      </x:c>
      <x:c r="AE67" s="9" t="str">
        <x:f>IF(C67="","",IFERROR(IF(INDEX('Inventory'!$AC$9:$AC$108,MATCH(F67,'Inventory'!$C$9:$C$108,0))="","",INDEX('Inventory'!$AC$9:$AC$108,MATCH(F67,'Inventory'!$C$9:$C$108,0))),""))</x:f>
      </x:c>
      <x:c r="AF67" s="9" t="str">
        <x:f>IF(C67="","",IFERROR(IF(INDEX('Inventory'!$AN$9:$AN$108,MATCH(F67,'Inventory'!$C$9:$C$108,0))="","",INDEX('Inventory'!$AN$9:$AN$108,MATCH(F67,'Inventory'!$C$9:$C$108,0))),""))</x:f>
      </x:c>
    </x:row>
    <x:row r="68" ht="26" customHeight="1">
      <x:c r="A68" s="1"/>
      <x:c r="B68" s="1"/>
      <x:c r="C68" s="9" t="str">
        <x:f>IF('Facilities'!C68="","",'Facilities'!C68)</x:f>
      </x:c>
      <x:c r="D68" s="9" t="str">
        <x:f>IF(C68="","",IFERROR(IF(INDEX('Facilities'!$D$9:$D$108,MATCH(C68,'Facilities'!$C$9:$C$108,0))="","",INDEX('Facilities'!$D$9:$D$108,MATCH(C68,'Facilities'!$C$9:$C$108,0))),""))</x:f>
      </x:c>
      <x:c r="E68" s="9" t="str">
        <x:f>IF(C68="","",IFERROR(IF(INDEX('Facilities'!$E$9:$E$108,MATCH(C68,'Facilities'!$C$9:$C$108,0))="","",INDEX('Facilities'!$E$9:$E$108,MATCH(C68,'Facilities'!$C$9:$C$108,0))),""))</x:f>
      </x:c>
      <x:c r="F68" s="9" t="str">
        <x:f>IF(C68="","",IFERROR(IF(INDEX('Facilities'!$U$9:$U$108,MATCH(C68,'Facilities'!$C$9:$C$108,0))="","",INDEX('Facilities'!$U$9:$U$108,MATCH(C68,'Facilities'!$C$9:$C$108,0))),""))</x:f>
      </x:c>
      <x:c r="G68" s="23" t="str">
        <x:f>IF(C68="","",IFERROR(IF(INDEX('Facilities'!$AA$9:$AA$108,MATCH(C68,'Facilities'!$C$9:$C$108,0))="","",INDEX('Facilities'!$AA$9:$AA$108,MATCH(C68,'Facilities'!$C$9:$C$108,0))),""))</x:f>
      </x:c>
      <x:c r="H68" s="23" t="str">
        <x:f>IF(C68="","",IFERROR(IF(INDEX('Inventory'!$N$9:$N$108,MATCH(F68,'Inventory'!$C$9:$C$108,0))="","",INDEX('Inventory'!$N$9:$N$108,MATCH(F68,'Inventory'!$C$9:$C$108,0))),""))</x:f>
      </x:c>
      <x:c r="I68" s="17" t="str">
        <x:f>IF(R68="Ready",G68/H68,"")</x:f>
      </x:c>
      <x:c r="J68" s="23" t="str">
        <x:f>IF(AND(R68="Ready",S68="Ready"),I68*IFERROR(IF(INDEX('Inventory'!$T$9:$T$108,MATCH(F68,'Inventory'!$C$9:$C$108,0))="","",INDEX('Inventory'!$T$9:$T$108,MATCH(F68,'Inventory'!$C$9:$C$108,0))),""),"")</x:f>
      </x:c>
      <x:c r="K68" s="23" t="str">
        <x:f>IF(AND(R68="Ready",T68="Ready"),I68*IFERROR(IF(INDEX('Inventory'!$Z$9:$Z$108,MATCH(F68,'Inventory'!$C$9:$C$108,0))="","",INDEX('Inventory'!$Z$9:$Z$108,MATCH(F68,'Inventory'!$C$9:$C$108,0))),""),"")</x:f>
      </x:c>
      <x:c r="L68" s="23" t="str">
        <x:f>IF(AND(R68="Ready",U68="Ready"),I68*IFERROR(IF(INDEX('Inventory'!$AG$9:$AG$108,MATCH(F68,'Inventory'!$C$9:$C$108,0))="","",INDEX('Inventory'!$AG$9:$AG$108,MATCH(F68,'Inventory'!$C$9:$C$108,0))),""),"")</x:f>
      </x:c>
      <x:c r="M68" s="21" t="n">
        <x:f>IF(AND(R68="Ready",S68="Ready",T68="Ready"),G68,0)</x:f>
        <x:v>0</x:v>
      </x:c>
      <x:c r="N68" s="21" t="n">
        <x:f>IF(AND(R68="Ready",U68="Ready"),G68,0)</x:f>
        <x:v>0</x:v>
      </x:c>
      <x:c r="O68" s="42" t="str">
        <x:f>IF(C68="","",IFERROR(IF(INDEX('Inventory'!$U$9:$U$108,MATCH(F68,'Inventory'!$C$9:$C$108,0))="","",INDEX('Inventory'!$U$9:$U$108,MATCH(F68,'Inventory'!$C$9:$C$108,0))),""))</x:f>
      </x:c>
      <x:c r="P68" s="42" t="str">
        <x:f>IF(C68="","",IFERROR(IF(INDEX('Inventory'!$AA$9:$AA$108,MATCH(F68,'Inventory'!$C$9:$C$108,0))="","",INDEX('Inventory'!$AA$9:$AA$108,MATCH(F68,'Inventory'!$C$9:$C$108,0))),""))</x:f>
      </x:c>
      <x:c r="Q68" s="42" t="str">
        <x:f>IF(C68="","",IFERROR(IF(INDEX('Inventory'!$AH$9:$AH$108,MATCH(F68,'Inventory'!$C$9:$C$108,0))="","",INDEX('Inventory'!$AH$9:$AH$108,MATCH(F68,'Inventory'!$C$9:$C$108,0))),""))</x:f>
      </x:c>
      <x:c r="R68" s="9" t="str">
        <x:f>IF(C68="","",IF(COUNTIFS('Facilities'!$C$9:$C$108,C68)&lt;&gt;1,"Duplicate facility ID",IF(OR(NOT(ISNUMBER(IFERROR(IF(INDEX('Facilities'!$G$9:$G$108,MATCH(C68,'Facilities'!$C$9:$C$108,0))="","",INDEX('Facilities'!$G$9:$G$108,MATCH(C68,'Facilities'!$C$9:$C$108,0))),""))),NOT(ISNUMBER(G68)),G68&lt;0,IFERROR(IF(INDEX('Facilities'!$Z$9:$Z$108,MATCH(C68,'Facilities'!$C$9:$C$108,0))="","",INDEX('Facilities'!$Z$9:$Z$108,MATCH(C68,'Facilities'!$C$9:$C$108,0))),"")&lt;=0),"Drawn value required",IF(COUNTIFS('Inventory'!$C$9:$C$108,F68)&lt;&gt;1,"Entity required",IF(OR(E68&lt;&gt;IFERROR(IF(INDEX('Inventory'!$F$9:$F$108,MATCH(F68,'Inventory'!$C$9:$C$108,0))="","",INDEX('Inventory'!$F$9:$F$108,MATCH(F68,'Inventory'!$C$9:$C$108,0))),""),D68&lt;&gt;IFERROR(IF(INDEX('Inventory'!$D$9:$D$108,MATCH(F68,'Inventory'!$C$9:$C$108,0))="","",INDEX('Inventory'!$D$9:$D$108,MATCH(F68,'Inventory'!$C$9:$C$108,0))),"")),"Entity / class mismatch",IF(IFERROR(IF(INDEX('Inventory'!$AL$9:$AL$108,MATCH(F68,'Inventory'!$C$9:$C$108,0))="","",INDEX('Inventory'!$AL$9:$AL$108,MATCH(F68,'Inventory'!$C$9:$C$108,0))),"")&lt;&gt;"Ready",IFERROR(IF(INDEX('Inventory'!$AL$9:$AL$108,MATCH(F68,'Inventory'!$C$9:$C$108,0))="","",INDEX('Inventory'!$AL$9:$AL$108,MATCH(F68,'Inventory'!$C$9:$C$108,0))),""),IF(AND(OR(E68="Project finance",E68="CRE",E68="Mortgage",E68="Motor"),IFERROR(IF(INDEX('Facilities'!$V$9:$V$108,MATCH(C68,'Facilities'!$C$9:$C$108,0))="","",INDEX('Facilities'!$V$9:$V$108,MATCH(C68,'Facilities'!$C$9:$C$108,0))),"")&lt;&gt;"Designated asset"),"Purpose review",IF(X68&gt;H68,"Exposure exceeds value","Ready"))))))))</x:f>
      </x:c>
      <x:c r="S68" s="9" t="str">
        <x:f>IF(C68="","",IFERROR(IF(INDEX('Inventory'!$V$9:$V$108,MATCH(F68,'Inventory'!$C$9:$C$108,0))="","",INDEX('Inventory'!$V$9:$V$108,MATCH(F68,'Inventory'!$C$9:$C$108,0))),""))</x:f>
      </x:c>
      <x:c r="T68" s="9" t="str">
        <x:f>IF(C68="","",IFERROR(IF(INDEX('Inventory'!$AB$9:$AB$108,MATCH(F68,'Inventory'!$C$9:$C$108,0))="","",INDEX('Inventory'!$AB$9:$AB$108,MATCH(F68,'Inventory'!$C$9:$C$108,0))),""))</x:f>
      </x:c>
      <x:c r="U68" s="9" t="str">
        <x:f>IF(C68="","",IFERROR(IF(INDEX('Inventory'!$AI$9:$AI$108,MATCH(F68,'Inventory'!$C$9:$C$108,0))="","",INDEX('Inventory'!$AI$9:$AI$108,MATCH(F68,'Inventory'!$C$9:$C$108,0))),""))</x:f>
      </x:c>
      <x:c r="V68" s="43" t="str">
        <x:f>IF(C68="","",IFERROR(IF(INDEX('Inventory'!$P$9:$P$108,MATCH(F68,'Inventory'!$C$9:$C$108,0))="","",INDEX('Inventory'!$P$9:$P$108,MATCH(F68,'Inventory'!$C$9:$C$108,0))),""))</x:f>
      </x:c>
      <x:c r="W68" s="3" t="str">
        <x:f>IF(C68="","",IF(E68="Corporate listed","PCAF 2025 pp40-46",IF(E68="Corporate private","PCAF 2025 pp55-60",IF(E68="Project finance","PCAF 2025 pp67-71",IF(E68="CRE","PCAF 2025 pp77-81",IF(E68="Mortgage","PCAF 2025 pp83-87",IF(E68="Motor","PCAF 2025 pp90-94","Method required")))))))</x:f>
      </x:c>
      <x:c r="X68" s="23" t="str">
        <x:f>IF(C68="","",SUMIFS('Facilities'!$AA$9:$AA$108,'Facilities'!$U$9:$U$108,F68))</x:f>
      </x:c>
      <x:c r="Y68" s="21" t="n">
        <x:f>IF(AND(R68="Ready",S68="Ready"),G68,0)</x:f>
        <x:v>0</x:v>
      </x:c>
      <x:c r="Z68" s="21" t="n">
        <x:f>IF(AND(R68="Ready",T68="Ready"),G68,0)</x:f>
        <x:v>0</x:v>
      </x:c>
      <x:c r="AA68" s="21" t="n">
        <x:f>IF(Y68&gt;0,Y68*O68,0)</x:f>
        <x:v>0</x:v>
      </x:c>
      <x:c r="AB68" s="21" t="n">
        <x:f>IF(Z68&gt;0,Z68*P68,0)</x:f>
        <x:v>0</x:v>
      </x:c>
      <x:c r="AC68" s="21" t="n">
        <x:f>IF(N68&gt;0,N68*Q68,0)</x:f>
        <x:v>0</x:v>
      </x:c>
      <x:c r="AD68" s="21" t="n">
        <x:f>IF(M68&gt;0,M68*MAX(O68,P68),0)</x:f>
        <x:v>0</x:v>
      </x:c>
      <x:c r="AE68" s="9" t="str">
        <x:f>IF(C68="","",IFERROR(IF(INDEX('Inventory'!$AC$9:$AC$108,MATCH(F68,'Inventory'!$C$9:$C$108,0))="","",INDEX('Inventory'!$AC$9:$AC$108,MATCH(F68,'Inventory'!$C$9:$C$108,0))),""))</x:f>
      </x:c>
      <x:c r="AF68" s="9" t="str">
        <x:f>IF(C68="","",IFERROR(IF(INDEX('Inventory'!$AN$9:$AN$108,MATCH(F68,'Inventory'!$C$9:$C$108,0))="","",INDEX('Inventory'!$AN$9:$AN$108,MATCH(F68,'Inventory'!$C$9:$C$108,0))),""))</x:f>
      </x:c>
    </x:row>
    <x:row r="69" ht="26" customHeight="1">
      <x:c r="A69" s="1"/>
      <x:c r="B69" s="1"/>
      <x:c r="C69" s="9" t="str">
        <x:f>IF('Facilities'!C69="","",'Facilities'!C69)</x:f>
      </x:c>
      <x:c r="D69" s="9" t="str">
        <x:f>IF(C69="","",IFERROR(IF(INDEX('Facilities'!$D$9:$D$108,MATCH(C69,'Facilities'!$C$9:$C$108,0))="","",INDEX('Facilities'!$D$9:$D$108,MATCH(C69,'Facilities'!$C$9:$C$108,0))),""))</x:f>
      </x:c>
      <x:c r="E69" s="9" t="str">
        <x:f>IF(C69="","",IFERROR(IF(INDEX('Facilities'!$E$9:$E$108,MATCH(C69,'Facilities'!$C$9:$C$108,0))="","",INDEX('Facilities'!$E$9:$E$108,MATCH(C69,'Facilities'!$C$9:$C$108,0))),""))</x:f>
      </x:c>
      <x:c r="F69" s="9" t="str">
        <x:f>IF(C69="","",IFERROR(IF(INDEX('Facilities'!$U$9:$U$108,MATCH(C69,'Facilities'!$C$9:$C$108,0))="","",INDEX('Facilities'!$U$9:$U$108,MATCH(C69,'Facilities'!$C$9:$C$108,0))),""))</x:f>
      </x:c>
      <x:c r="G69" s="23" t="str">
        <x:f>IF(C69="","",IFERROR(IF(INDEX('Facilities'!$AA$9:$AA$108,MATCH(C69,'Facilities'!$C$9:$C$108,0))="","",INDEX('Facilities'!$AA$9:$AA$108,MATCH(C69,'Facilities'!$C$9:$C$108,0))),""))</x:f>
      </x:c>
      <x:c r="H69" s="23" t="str">
        <x:f>IF(C69="","",IFERROR(IF(INDEX('Inventory'!$N$9:$N$108,MATCH(F69,'Inventory'!$C$9:$C$108,0))="","",INDEX('Inventory'!$N$9:$N$108,MATCH(F69,'Inventory'!$C$9:$C$108,0))),""))</x:f>
      </x:c>
      <x:c r="I69" s="17" t="str">
        <x:f>IF(R69="Ready",G69/H69,"")</x:f>
      </x:c>
      <x:c r="J69" s="23" t="str">
        <x:f>IF(AND(R69="Ready",S69="Ready"),I69*IFERROR(IF(INDEX('Inventory'!$T$9:$T$108,MATCH(F69,'Inventory'!$C$9:$C$108,0))="","",INDEX('Inventory'!$T$9:$T$108,MATCH(F69,'Inventory'!$C$9:$C$108,0))),""),"")</x:f>
      </x:c>
      <x:c r="K69" s="23" t="str">
        <x:f>IF(AND(R69="Ready",T69="Ready"),I69*IFERROR(IF(INDEX('Inventory'!$Z$9:$Z$108,MATCH(F69,'Inventory'!$C$9:$C$108,0))="","",INDEX('Inventory'!$Z$9:$Z$108,MATCH(F69,'Inventory'!$C$9:$C$108,0))),""),"")</x:f>
      </x:c>
      <x:c r="L69" s="23" t="str">
        <x:f>IF(AND(R69="Ready",U69="Ready"),I69*IFERROR(IF(INDEX('Inventory'!$AG$9:$AG$108,MATCH(F69,'Inventory'!$C$9:$C$108,0))="","",INDEX('Inventory'!$AG$9:$AG$108,MATCH(F69,'Inventory'!$C$9:$C$108,0))),""),"")</x:f>
      </x:c>
      <x:c r="M69" s="21" t="n">
        <x:f>IF(AND(R69="Ready",S69="Ready",T69="Ready"),G69,0)</x:f>
        <x:v>0</x:v>
      </x:c>
      <x:c r="N69" s="21" t="n">
        <x:f>IF(AND(R69="Ready",U69="Ready"),G69,0)</x:f>
        <x:v>0</x:v>
      </x:c>
      <x:c r="O69" s="42" t="str">
        <x:f>IF(C69="","",IFERROR(IF(INDEX('Inventory'!$U$9:$U$108,MATCH(F69,'Inventory'!$C$9:$C$108,0))="","",INDEX('Inventory'!$U$9:$U$108,MATCH(F69,'Inventory'!$C$9:$C$108,0))),""))</x:f>
      </x:c>
      <x:c r="P69" s="42" t="str">
        <x:f>IF(C69="","",IFERROR(IF(INDEX('Inventory'!$AA$9:$AA$108,MATCH(F69,'Inventory'!$C$9:$C$108,0))="","",INDEX('Inventory'!$AA$9:$AA$108,MATCH(F69,'Inventory'!$C$9:$C$108,0))),""))</x:f>
      </x:c>
      <x:c r="Q69" s="42" t="str">
        <x:f>IF(C69="","",IFERROR(IF(INDEX('Inventory'!$AH$9:$AH$108,MATCH(F69,'Inventory'!$C$9:$C$108,0))="","",INDEX('Inventory'!$AH$9:$AH$108,MATCH(F69,'Inventory'!$C$9:$C$108,0))),""))</x:f>
      </x:c>
      <x:c r="R69" s="9" t="str">
        <x:f>IF(C69="","",IF(COUNTIFS('Facilities'!$C$9:$C$108,C69)&lt;&gt;1,"Duplicate facility ID",IF(OR(NOT(ISNUMBER(IFERROR(IF(INDEX('Facilities'!$G$9:$G$108,MATCH(C69,'Facilities'!$C$9:$C$108,0))="","",INDEX('Facilities'!$G$9:$G$108,MATCH(C69,'Facilities'!$C$9:$C$108,0))),""))),NOT(ISNUMBER(G69)),G69&lt;0,IFERROR(IF(INDEX('Facilities'!$Z$9:$Z$108,MATCH(C69,'Facilities'!$C$9:$C$108,0))="","",INDEX('Facilities'!$Z$9:$Z$108,MATCH(C69,'Facilities'!$C$9:$C$108,0))),"")&lt;=0),"Drawn value required",IF(COUNTIFS('Inventory'!$C$9:$C$108,F69)&lt;&gt;1,"Entity required",IF(OR(E69&lt;&gt;IFERROR(IF(INDEX('Inventory'!$F$9:$F$108,MATCH(F69,'Inventory'!$C$9:$C$108,0))="","",INDEX('Inventory'!$F$9:$F$108,MATCH(F69,'Inventory'!$C$9:$C$108,0))),""),D69&lt;&gt;IFERROR(IF(INDEX('Inventory'!$D$9:$D$108,MATCH(F69,'Inventory'!$C$9:$C$108,0))="","",INDEX('Inventory'!$D$9:$D$108,MATCH(F69,'Inventory'!$C$9:$C$108,0))),"")),"Entity / class mismatch",IF(IFERROR(IF(INDEX('Inventory'!$AL$9:$AL$108,MATCH(F69,'Inventory'!$C$9:$C$108,0))="","",INDEX('Inventory'!$AL$9:$AL$108,MATCH(F69,'Inventory'!$C$9:$C$108,0))),"")&lt;&gt;"Ready",IFERROR(IF(INDEX('Inventory'!$AL$9:$AL$108,MATCH(F69,'Inventory'!$C$9:$C$108,0))="","",INDEX('Inventory'!$AL$9:$AL$108,MATCH(F69,'Inventory'!$C$9:$C$108,0))),""),IF(AND(OR(E69="Project finance",E69="CRE",E69="Mortgage",E69="Motor"),IFERROR(IF(INDEX('Facilities'!$V$9:$V$108,MATCH(C69,'Facilities'!$C$9:$C$108,0))="","",INDEX('Facilities'!$V$9:$V$108,MATCH(C69,'Facilities'!$C$9:$C$108,0))),"")&lt;&gt;"Designated asset"),"Purpose review",IF(X69&gt;H69,"Exposure exceeds value","Ready"))))))))</x:f>
      </x:c>
      <x:c r="S69" s="9" t="str">
        <x:f>IF(C69="","",IFERROR(IF(INDEX('Inventory'!$V$9:$V$108,MATCH(F69,'Inventory'!$C$9:$C$108,0))="","",INDEX('Inventory'!$V$9:$V$108,MATCH(F69,'Inventory'!$C$9:$C$108,0))),""))</x:f>
      </x:c>
      <x:c r="T69" s="9" t="str">
        <x:f>IF(C69="","",IFERROR(IF(INDEX('Inventory'!$AB$9:$AB$108,MATCH(F69,'Inventory'!$C$9:$C$108,0))="","",INDEX('Inventory'!$AB$9:$AB$108,MATCH(F69,'Inventory'!$C$9:$C$108,0))),""))</x:f>
      </x:c>
      <x:c r="U69" s="9" t="str">
        <x:f>IF(C69="","",IFERROR(IF(INDEX('Inventory'!$AI$9:$AI$108,MATCH(F69,'Inventory'!$C$9:$C$108,0))="","",INDEX('Inventory'!$AI$9:$AI$108,MATCH(F69,'Inventory'!$C$9:$C$108,0))),""))</x:f>
      </x:c>
      <x:c r="V69" s="43" t="str">
        <x:f>IF(C69="","",IFERROR(IF(INDEX('Inventory'!$P$9:$P$108,MATCH(F69,'Inventory'!$C$9:$C$108,0))="","",INDEX('Inventory'!$P$9:$P$108,MATCH(F69,'Inventory'!$C$9:$C$108,0))),""))</x:f>
      </x:c>
      <x:c r="W69" s="3" t="str">
        <x:f>IF(C69="","",IF(E69="Corporate listed","PCAF 2025 pp40-46",IF(E69="Corporate private","PCAF 2025 pp55-60",IF(E69="Project finance","PCAF 2025 pp67-71",IF(E69="CRE","PCAF 2025 pp77-81",IF(E69="Mortgage","PCAF 2025 pp83-87",IF(E69="Motor","PCAF 2025 pp90-94","Method required")))))))</x:f>
      </x:c>
      <x:c r="X69" s="23" t="str">
        <x:f>IF(C69="","",SUMIFS('Facilities'!$AA$9:$AA$108,'Facilities'!$U$9:$U$108,F69))</x:f>
      </x:c>
      <x:c r="Y69" s="21" t="n">
        <x:f>IF(AND(R69="Ready",S69="Ready"),G69,0)</x:f>
        <x:v>0</x:v>
      </x:c>
      <x:c r="Z69" s="21" t="n">
        <x:f>IF(AND(R69="Ready",T69="Ready"),G69,0)</x:f>
        <x:v>0</x:v>
      </x:c>
      <x:c r="AA69" s="21" t="n">
        <x:f>IF(Y69&gt;0,Y69*O69,0)</x:f>
        <x:v>0</x:v>
      </x:c>
      <x:c r="AB69" s="21" t="n">
        <x:f>IF(Z69&gt;0,Z69*P69,0)</x:f>
        <x:v>0</x:v>
      </x:c>
      <x:c r="AC69" s="21" t="n">
        <x:f>IF(N69&gt;0,N69*Q69,0)</x:f>
        <x:v>0</x:v>
      </x:c>
      <x:c r="AD69" s="21" t="n">
        <x:f>IF(M69&gt;0,M69*MAX(O69,P69),0)</x:f>
        <x:v>0</x:v>
      </x:c>
      <x:c r="AE69" s="9" t="str">
        <x:f>IF(C69="","",IFERROR(IF(INDEX('Inventory'!$AC$9:$AC$108,MATCH(F69,'Inventory'!$C$9:$C$108,0))="","",INDEX('Inventory'!$AC$9:$AC$108,MATCH(F69,'Inventory'!$C$9:$C$108,0))),""))</x:f>
      </x:c>
      <x:c r="AF69" s="9" t="str">
        <x:f>IF(C69="","",IFERROR(IF(INDEX('Inventory'!$AN$9:$AN$108,MATCH(F69,'Inventory'!$C$9:$C$108,0))="","",INDEX('Inventory'!$AN$9:$AN$108,MATCH(F69,'Inventory'!$C$9:$C$108,0))),""))</x:f>
      </x:c>
    </x:row>
    <x:row r="70" ht="26" customHeight="1">
      <x:c r="A70" s="1"/>
      <x:c r="B70" s="1"/>
      <x:c r="C70" s="9" t="str">
        <x:f>IF('Facilities'!C70="","",'Facilities'!C70)</x:f>
      </x:c>
      <x:c r="D70" s="9" t="str">
        <x:f>IF(C70="","",IFERROR(IF(INDEX('Facilities'!$D$9:$D$108,MATCH(C70,'Facilities'!$C$9:$C$108,0))="","",INDEX('Facilities'!$D$9:$D$108,MATCH(C70,'Facilities'!$C$9:$C$108,0))),""))</x:f>
      </x:c>
      <x:c r="E70" s="9" t="str">
        <x:f>IF(C70="","",IFERROR(IF(INDEX('Facilities'!$E$9:$E$108,MATCH(C70,'Facilities'!$C$9:$C$108,0))="","",INDEX('Facilities'!$E$9:$E$108,MATCH(C70,'Facilities'!$C$9:$C$108,0))),""))</x:f>
      </x:c>
      <x:c r="F70" s="9" t="str">
        <x:f>IF(C70="","",IFERROR(IF(INDEX('Facilities'!$U$9:$U$108,MATCH(C70,'Facilities'!$C$9:$C$108,0))="","",INDEX('Facilities'!$U$9:$U$108,MATCH(C70,'Facilities'!$C$9:$C$108,0))),""))</x:f>
      </x:c>
      <x:c r="G70" s="23" t="str">
        <x:f>IF(C70="","",IFERROR(IF(INDEX('Facilities'!$AA$9:$AA$108,MATCH(C70,'Facilities'!$C$9:$C$108,0))="","",INDEX('Facilities'!$AA$9:$AA$108,MATCH(C70,'Facilities'!$C$9:$C$108,0))),""))</x:f>
      </x:c>
      <x:c r="H70" s="23" t="str">
        <x:f>IF(C70="","",IFERROR(IF(INDEX('Inventory'!$N$9:$N$108,MATCH(F70,'Inventory'!$C$9:$C$108,0))="","",INDEX('Inventory'!$N$9:$N$108,MATCH(F70,'Inventory'!$C$9:$C$108,0))),""))</x:f>
      </x:c>
      <x:c r="I70" s="17" t="str">
        <x:f>IF(R70="Ready",G70/H70,"")</x:f>
      </x:c>
      <x:c r="J70" s="23" t="str">
        <x:f>IF(AND(R70="Ready",S70="Ready"),I70*IFERROR(IF(INDEX('Inventory'!$T$9:$T$108,MATCH(F70,'Inventory'!$C$9:$C$108,0))="","",INDEX('Inventory'!$T$9:$T$108,MATCH(F70,'Inventory'!$C$9:$C$108,0))),""),"")</x:f>
      </x:c>
      <x:c r="K70" s="23" t="str">
        <x:f>IF(AND(R70="Ready",T70="Ready"),I70*IFERROR(IF(INDEX('Inventory'!$Z$9:$Z$108,MATCH(F70,'Inventory'!$C$9:$C$108,0))="","",INDEX('Inventory'!$Z$9:$Z$108,MATCH(F70,'Inventory'!$C$9:$C$108,0))),""),"")</x:f>
      </x:c>
      <x:c r="L70" s="23" t="str">
        <x:f>IF(AND(R70="Ready",U70="Ready"),I70*IFERROR(IF(INDEX('Inventory'!$AG$9:$AG$108,MATCH(F70,'Inventory'!$C$9:$C$108,0))="","",INDEX('Inventory'!$AG$9:$AG$108,MATCH(F70,'Inventory'!$C$9:$C$108,0))),""),"")</x:f>
      </x:c>
      <x:c r="M70" s="21" t="n">
        <x:f>IF(AND(R70="Ready",S70="Ready",T70="Ready"),G70,0)</x:f>
        <x:v>0</x:v>
      </x:c>
      <x:c r="N70" s="21" t="n">
        <x:f>IF(AND(R70="Ready",U70="Ready"),G70,0)</x:f>
        <x:v>0</x:v>
      </x:c>
      <x:c r="O70" s="42" t="str">
        <x:f>IF(C70="","",IFERROR(IF(INDEX('Inventory'!$U$9:$U$108,MATCH(F70,'Inventory'!$C$9:$C$108,0))="","",INDEX('Inventory'!$U$9:$U$108,MATCH(F70,'Inventory'!$C$9:$C$108,0))),""))</x:f>
      </x:c>
      <x:c r="P70" s="42" t="str">
        <x:f>IF(C70="","",IFERROR(IF(INDEX('Inventory'!$AA$9:$AA$108,MATCH(F70,'Inventory'!$C$9:$C$108,0))="","",INDEX('Inventory'!$AA$9:$AA$108,MATCH(F70,'Inventory'!$C$9:$C$108,0))),""))</x:f>
      </x:c>
      <x:c r="Q70" s="42" t="str">
        <x:f>IF(C70="","",IFERROR(IF(INDEX('Inventory'!$AH$9:$AH$108,MATCH(F70,'Inventory'!$C$9:$C$108,0))="","",INDEX('Inventory'!$AH$9:$AH$108,MATCH(F70,'Inventory'!$C$9:$C$108,0))),""))</x:f>
      </x:c>
      <x:c r="R70" s="9" t="str">
        <x:f>IF(C70="","",IF(COUNTIFS('Facilities'!$C$9:$C$108,C70)&lt;&gt;1,"Duplicate facility ID",IF(OR(NOT(ISNUMBER(IFERROR(IF(INDEX('Facilities'!$G$9:$G$108,MATCH(C70,'Facilities'!$C$9:$C$108,0))="","",INDEX('Facilities'!$G$9:$G$108,MATCH(C70,'Facilities'!$C$9:$C$108,0))),""))),NOT(ISNUMBER(G70)),G70&lt;0,IFERROR(IF(INDEX('Facilities'!$Z$9:$Z$108,MATCH(C70,'Facilities'!$C$9:$C$108,0))="","",INDEX('Facilities'!$Z$9:$Z$108,MATCH(C70,'Facilities'!$C$9:$C$108,0))),"")&lt;=0),"Drawn value required",IF(COUNTIFS('Inventory'!$C$9:$C$108,F70)&lt;&gt;1,"Entity required",IF(OR(E70&lt;&gt;IFERROR(IF(INDEX('Inventory'!$F$9:$F$108,MATCH(F70,'Inventory'!$C$9:$C$108,0))="","",INDEX('Inventory'!$F$9:$F$108,MATCH(F70,'Inventory'!$C$9:$C$108,0))),""),D70&lt;&gt;IFERROR(IF(INDEX('Inventory'!$D$9:$D$108,MATCH(F70,'Inventory'!$C$9:$C$108,0))="","",INDEX('Inventory'!$D$9:$D$108,MATCH(F70,'Inventory'!$C$9:$C$108,0))),"")),"Entity / class mismatch",IF(IFERROR(IF(INDEX('Inventory'!$AL$9:$AL$108,MATCH(F70,'Inventory'!$C$9:$C$108,0))="","",INDEX('Inventory'!$AL$9:$AL$108,MATCH(F70,'Inventory'!$C$9:$C$108,0))),"")&lt;&gt;"Ready",IFERROR(IF(INDEX('Inventory'!$AL$9:$AL$108,MATCH(F70,'Inventory'!$C$9:$C$108,0))="","",INDEX('Inventory'!$AL$9:$AL$108,MATCH(F70,'Inventory'!$C$9:$C$108,0))),""),IF(AND(OR(E70="Project finance",E70="CRE",E70="Mortgage",E70="Motor"),IFERROR(IF(INDEX('Facilities'!$V$9:$V$108,MATCH(C70,'Facilities'!$C$9:$C$108,0))="","",INDEX('Facilities'!$V$9:$V$108,MATCH(C70,'Facilities'!$C$9:$C$108,0))),"")&lt;&gt;"Designated asset"),"Purpose review",IF(X70&gt;H70,"Exposure exceeds value","Ready"))))))))</x:f>
      </x:c>
      <x:c r="S70" s="9" t="str">
        <x:f>IF(C70="","",IFERROR(IF(INDEX('Inventory'!$V$9:$V$108,MATCH(F70,'Inventory'!$C$9:$C$108,0))="","",INDEX('Inventory'!$V$9:$V$108,MATCH(F70,'Inventory'!$C$9:$C$108,0))),""))</x:f>
      </x:c>
      <x:c r="T70" s="9" t="str">
        <x:f>IF(C70="","",IFERROR(IF(INDEX('Inventory'!$AB$9:$AB$108,MATCH(F70,'Inventory'!$C$9:$C$108,0))="","",INDEX('Inventory'!$AB$9:$AB$108,MATCH(F70,'Inventory'!$C$9:$C$108,0))),""))</x:f>
      </x:c>
      <x:c r="U70" s="9" t="str">
        <x:f>IF(C70="","",IFERROR(IF(INDEX('Inventory'!$AI$9:$AI$108,MATCH(F70,'Inventory'!$C$9:$C$108,0))="","",INDEX('Inventory'!$AI$9:$AI$108,MATCH(F70,'Inventory'!$C$9:$C$108,0))),""))</x:f>
      </x:c>
      <x:c r="V70" s="43" t="str">
        <x:f>IF(C70="","",IFERROR(IF(INDEX('Inventory'!$P$9:$P$108,MATCH(F70,'Inventory'!$C$9:$C$108,0))="","",INDEX('Inventory'!$P$9:$P$108,MATCH(F70,'Inventory'!$C$9:$C$108,0))),""))</x:f>
      </x:c>
      <x:c r="W70" s="3" t="str">
        <x:f>IF(C70="","",IF(E70="Corporate listed","PCAF 2025 pp40-46",IF(E70="Corporate private","PCAF 2025 pp55-60",IF(E70="Project finance","PCAF 2025 pp67-71",IF(E70="CRE","PCAF 2025 pp77-81",IF(E70="Mortgage","PCAF 2025 pp83-87",IF(E70="Motor","PCAF 2025 pp90-94","Method required")))))))</x:f>
      </x:c>
      <x:c r="X70" s="23" t="str">
        <x:f>IF(C70="","",SUMIFS('Facilities'!$AA$9:$AA$108,'Facilities'!$U$9:$U$108,F70))</x:f>
      </x:c>
      <x:c r="Y70" s="21" t="n">
        <x:f>IF(AND(R70="Ready",S70="Ready"),G70,0)</x:f>
        <x:v>0</x:v>
      </x:c>
      <x:c r="Z70" s="21" t="n">
        <x:f>IF(AND(R70="Ready",T70="Ready"),G70,0)</x:f>
        <x:v>0</x:v>
      </x:c>
      <x:c r="AA70" s="21" t="n">
        <x:f>IF(Y70&gt;0,Y70*O70,0)</x:f>
        <x:v>0</x:v>
      </x:c>
      <x:c r="AB70" s="21" t="n">
        <x:f>IF(Z70&gt;0,Z70*P70,0)</x:f>
        <x:v>0</x:v>
      </x:c>
      <x:c r="AC70" s="21" t="n">
        <x:f>IF(N70&gt;0,N70*Q70,0)</x:f>
        <x:v>0</x:v>
      </x:c>
      <x:c r="AD70" s="21" t="n">
        <x:f>IF(M70&gt;0,M70*MAX(O70,P70),0)</x:f>
        <x:v>0</x:v>
      </x:c>
      <x:c r="AE70" s="9" t="str">
        <x:f>IF(C70="","",IFERROR(IF(INDEX('Inventory'!$AC$9:$AC$108,MATCH(F70,'Inventory'!$C$9:$C$108,0))="","",INDEX('Inventory'!$AC$9:$AC$108,MATCH(F70,'Inventory'!$C$9:$C$108,0))),""))</x:f>
      </x:c>
      <x:c r="AF70" s="9" t="str">
        <x:f>IF(C70="","",IFERROR(IF(INDEX('Inventory'!$AN$9:$AN$108,MATCH(F70,'Inventory'!$C$9:$C$108,0))="","",INDEX('Inventory'!$AN$9:$AN$108,MATCH(F70,'Inventory'!$C$9:$C$108,0))),""))</x:f>
      </x:c>
    </x:row>
    <x:row r="71" ht="26" customHeight="1">
      <x:c r="A71" s="1"/>
      <x:c r="B71" s="1"/>
      <x:c r="C71" s="9" t="str">
        <x:f>IF('Facilities'!C71="","",'Facilities'!C71)</x:f>
      </x:c>
      <x:c r="D71" s="9" t="str">
        <x:f>IF(C71="","",IFERROR(IF(INDEX('Facilities'!$D$9:$D$108,MATCH(C71,'Facilities'!$C$9:$C$108,0))="","",INDEX('Facilities'!$D$9:$D$108,MATCH(C71,'Facilities'!$C$9:$C$108,0))),""))</x:f>
      </x:c>
      <x:c r="E71" s="9" t="str">
        <x:f>IF(C71="","",IFERROR(IF(INDEX('Facilities'!$E$9:$E$108,MATCH(C71,'Facilities'!$C$9:$C$108,0))="","",INDEX('Facilities'!$E$9:$E$108,MATCH(C71,'Facilities'!$C$9:$C$108,0))),""))</x:f>
      </x:c>
      <x:c r="F71" s="9" t="str">
        <x:f>IF(C71="","",IFERROR(IF(INDEX('Facilities'!$U$9:$U$108,MATCH(C71,'Facilities'!$C$9:$C$108,0))="","",INDEX('Facilities'!$U$9:$U$108,MATCH(C71,'Facilities'!$C$9:$C$108,0))),""))</x:f>
      </x:c>
      <x:c r="G71" s="23" t="str">
        <x:f>IF(C71="","",IFERROR(IF(INDEX('Facilities'!$AA$9:$AA$108,MATCH(C71,'Facilities'!$C$9:$C$108,0))="","",INDEX('Facilities'!$AA$9:$AA$108,MATCH(C71,'Facilities'!$C$9:$C$108,0))),""))</x:f>
      </x:c>
      <x:c r="H71" s="23" t="str">
        <x:f>IF(C71="","",IFERROR(IF(INDEX('Inventory'!$N$9:$N$108,MATCH(F71,'Inventory'!$C$9:$C$108,0))="","",INDEX('Inventory'!$N$9:$N$108,MATCH(F71,'Inventory'!$C$9:$C$108,0))),""))</x:f>
      </x:c>
      <x:c r="I71" s="17" t="str">
        <x:f>IF(R71="Ready",G71/H71,"")</x:f>
      </x:c>
      <x:c r="J71" s="23" t="str">
        <x:f>IF(AND(R71="Ready",S71="Ready"),I71*IFERROR(IF(INDEX('Inventory'!$T$9:$T$108,MATCH(F71,'Inventory'!$C$9:$C$108,0))="","",INDEX('Inventory'!$T$9:$T$108,MATCH(F71,'Inventory'!$C$9:$C$108,0))),""),"")</x:f>
      </x:c>
      <x:c r="K71" s="23" t="str">
        <x:f>IF(AND(R71="Ready",T71="Ready"),I71*IFERROR(IF(INDEX('Inventory'!$Z$9:$Z$108,MATCH(F71,'Inventory'!$C$9:$C$108,0))="","",INDEX('Inventory'!$Z$9:$Z$108,MATCH(F71,'Inventory'!$C$9:$C$108,0))),""),"")</x:f>
      </x:c>
      <x:c r="L71" s="23" t="str">
        <x:f>IF(AND(R71="Ready",U71="Ready"),I71*IFERROR(IF(INDEX('Inventory'!$AG$9:$AG$108,MATCH(F71,'Inventory'!$C$9:$C$108,0))="","",INDEX('Inventory'!$AG$9:$AG$108,MATCH(F71,'Inventory'!$C$9:$C$108,0))),""),"")</x:f>
      </x:c>
      <x:c r="M71" s="21" t="n">
        <x:f>IF(AND(R71="Ready",S71="Ready",T71="Ready"),G71,0)</x:f>
        <x:v>0</x:v>
      </x:c>
      <x:c r="N71" s="21" t="n">
        <x:f>IF(AND(R71="Ready",U71="Ready"),G71,0)</x:f>
        <x:v>0</x:v>
      </x:c>
      <x:c r="O71" s="42" t="str">
        <x:f>IF(C71="","",IFERROR(IF(INDEX('Inventory'!$U$9:$U$108,MATCH(F71,'Inventory'!$C$9:$C$108,0))="","",INDEX('Inventory'!$U$9:$U$108,MATCH(F71,'Inventory'!$C$9:$C$108,0))),""))</x:f>
      </x:c>
      <x:c r="P71" s="42" t="str">
        <x:f>IF(C71="","",IFERROR(IF(INDEX('Inventory'!$AA$9:$AA$108,MATCH(F71,'Inventory'!$C$9:$C$108,0))="","",INDEX('Inventory'!$AA$9:$AA$108,MATCH(F71,'Inventory'!$C$9:$C$108,0))),""))</x:f>
      </x:c>
      <x:c r="Q71" s="42" t="str">
        <x:f>IF(C71="","",IFERROR(IF(INDEX('Inventory'!$AH$9:$AH$108,MATCH(F71,'Inventory'!$C$9:$C$108,0))="","",INDEX('Inventory'!$AH$9:$AH$108,MATCH(F71,'Inventory'!$C$9:$C$108,0))),""))</x:f>
      </x:c>
      <x:c r="R71" s="9" t="str">
        <x:f>IF(C71="","",IF(COUNTIFS('Facilities'!$C$9:$C$108,C71)&lt;&gt;1,"Duplicate facility ID",IF(OR(NOT(ISNUMBER(IFERROR(IF(INDEX('Facilities'!$G$9:$G$108,MATCH(C71,'Facilities'!$C$9:$C$108,0))="","",INDEX('Facilities'!$G$9:$G$108,MATCH(C71,'Facilities'!$C$9:$C$108,0))),""))),NOT(ISNUMBER(G71)),G71&lt;0,IFERROR(IF(INDEX('Facilities'!$Z$9:$Z$108,MATCH(C71,'Facilities'!$C$9:$C$108,0))="","",INDEX('Facilities'!$Z$9:$Z$108,MATCH(C71,'Facilities'!$C$9:$C$108,0))),"")&lt;=0),"Drawn value required",IF(COUNTIFS('Inventory'!$C$9:$C$108,F71)&lt;&gt;1,"Entity required",IF(OR(E71&lt;&gt;IFERROR(IF(INDEX('Inventory'!$F$9:$F$108,MATCH(F71,'Inventory'!$C$9:$C$108,0))="","",INDEX('Inventory'!$F$9:$F$108,MATCH(F71,'Inventory'!$C$9:$C$108,0))),""),D71&lt;&gt;IFERROR(IF(INDEX('Inventory'!$D$9:$D$108,MATCH(F71,'Inventory'!$C$9:$C$108,0))="","",INDEX('Inventory'!$D$9:$D$108,MATCH(F71,'Inventory'!$C$9:$C$108,0))),"")),"Entity / class mismatch",IF(IFERROR(IF(INDEX('Inventory'!$AL$9:$AL$108,MATCH(F71,'Inventory'!$C$9:$C$108,0))="","",INDEX('Inventory'!$AL$9:$AL$108,MATCH(F71,'Inventory'!$C$9:$C$108,0))),"")&lt;&gt;"Ready",IFERROR(IF(INDEX('Inventory'!$AL$9:$AL$108,MATCH(F71,'Inventory'!$C$9:$C$108,0))="","",INDEX('Inventory'!$AL$9:$AL$108,MATCH(F71,'Inventory'!$C$9:$C$108,0))),""),IF(AND(OR(E71="Project finance",E71="CRE",E71="Mortgage",E71="Motor"),IFERROR(IF(INDEX('Facilities'!$V$9:$V$108,MATCH(C71,'Facilities'!$C$9:$C$108,0))="","",INDEX('Facilities'!$V$9:$V$108,MATCH(C71,'Facilities'!$C$9:$C$108,0))),"")&lt;&gt;"Designated asset"),"Purpose review",IF(X71&gt;H71,"Exposure exceeds value","Ready"))))))))</x:f>
      </x:c>
      <x:c r="S71" s="9" t="str">
        <x:f>IF(C71="","",IFERROR(IF(INDEX('Inventory'!$V$9:$V$108,MATCH(F71,'Inventory'!$C$9:$C$108,0))="","",INDEX('Inventory'!$V$9:$V$108,MATCH(F71,'Inventory'!$C$9:$C$108,0))),""))</x:f>
      </x:c>
      <x:c r="T71" s="9" t="str">
        <x:f>IF(C71="","",IFERROR(IF(INDEX('Inventory'!$AB$9:$AB$108,MATCH(F71,'Inventory'!$C$9:$C$108,0))="","",INDEX('Inventory'!$AB$9:$AB$108,MATCH(F71,'Inventory'!$C$9:$C$108,0))),""))</x:f>
      </x:c>
      <x:c r="U71" s="9" t="str">
        <x:f>IF(C71="","",IFERROR(IF(INDEX('Inventory'!$AI$9:$AI$108,MATCH(F71,'Inventory'!$C$9:$C$108,0))="","",INDEX('Inventory'!$AI$9:$AI$108,MATCH(F71,'Inventory'!$C$9:$C$108,0))),""))</x:f>
      </x:c>
      <x:c r="V71" s="43" t="str">
        <x:f>IF(C71="","",IFERROR(IF(INDEX('Inventory'!$P$9:$P$108,MATCH(F71,'Inventory'!$C$9:$C$108,0))="","",INDEX('Inventory'!$P$9:$P$108,MATCH(F71,'Inventory'!$C$9:$C$108,0))),""))</x:f>
      </x:c>
      <x:c r="W71" s="3" t="str">
        <x:f>IF(C71="","",IF(E71="Corporate listed","PCAF 2025 pp40-46",IF(E71="Corporate private","PCAF 2025 pp55-60",IF(E71="Project finance","PCAF 2025 pp67-71",IF(E71="CRE","PCAF 2025 pp77-81",IF(E71="Mortgage","PCAF 2025 pp83-87",IF(E71="Motor","PCAF 2025 pp90-94","Method required")))))))</x:f>
      </x:c>
      <x:c r="X71" s="23" t="str">
        <x:f>IF(C71="","",SUMIFS('Facilities'!$AA$9:$AA$108,'Facilities'!$U$9:$U$108,F71))</x:f>
      </x:c>
      <x:c r="Y71" s="21" t="n">
        <x:f>IF(AND(R71="Ready",S71="Ready"),G71,0)</x:f>
        <x:v>0</x:v>
      </x:c>
      <x:c r="Z71" s="21" t="n">
        <x:f>IF(AND(R71="Ready",T71="Ready"),G71,0)</x:f>
        <x:v>0</x:v>
      </x:c>
      <x:c r="AA71" s="21" t="n">
        <x:f>IF(Y71&gt;0,Y71*O71,0)</x:f>
        <x:v>0</x:v>
      </x:c>
      <x:c r="AB71" s="21" t="n">
        <x:f>IF(Z71&gt;0,Z71*P71,0)</x:f>
        <x:v>0</x:v>
      </x:c>
      <x:c r="AC71" s="21" t="n">
        <x:f>IF(N71&gt;0,N71*Q71,0)</x:f>
        <x:v>0</x:v>
      </x:c>
      <x:c r="AD71" s="21" t="n">
        <x:f>IF(M71&gt;0,M71*MAX(O71,P71),0)</x:f>
        <x:v>0</x:v>
      </x:c>
      <x:c r="AE71" s="9" t="str">
        <x:f>IF(C71="","",IFERROR(IF(INDEX('Inventory'!$AC$9:$AC$108,MATCH(F71,'Inventory'!$C$9:$C$108,0))="","",INDEX('Inventory'!$AC$9:$AC$108,MATCH(F71,'Inventory'!$C$9:$C$108,0))),""))</x:f>
      </x:c>
      <x:c r="AF71" s="9" t="str">
        <x:f>IF(C71="","",IFERROR(IF(INDEX('Inventory'!$AN$9:$AN$108,MATCH(F71,'Inventory'!$C$9:$C$108,0))="","",INDEX('Inventory'!$AN$9:$AN$108,MATCH(F71,'Inventory'!$C$9:$C$108,0))),""))</x:f>
      </x:c>
    </x:row>
    <x:row r="72" ht="26" customHeight="1">
      <x:c r="A72" s="1"/>
      <x:c r="B72" s="1"/>
      <x:c r="C72" s="9" t="str">
        <x:f>IF('Facilities'!C72="","",'Facilities'!C72)</x:f>
      </x:c>
      <x:c r="D72" s="9" t="str">
        <x:f>IF(C72="","",IFERROR(IF(INDEX('Facilities'!$D$9:$D$108,MATCH(C72,'Facilities'!$C$9:$C$108,0))="","",INDEX('Facilities'!$D$9:$D$108,MATCH(C72,'Facilities'!$C$9:$C$108,0))),""))</x:f>
      </x:c>
      <x:c r="E72" s="9" t="str">
        <x:f>IF(C72="","",IFERROR(IF(INDEX('Facilities'!$E$9:$E$108,MATCH(C72,'Facilities'!$C$9:$C$108,0))="","",INDEX('Facilities'!$E$9:$E$108,MATCH(C72,'Facilities'!$C$9:$C$108,0))),""))</x:f>
      </x:c>
      <x:c r="F72" s="9" t="str">
        <x:f>IF(C72="","",IFERROR(IF(INDEX('Facilities'!$U$9:$U$108,MATCH(C72,'Facilities'!$C$9:$C$108,0))="","",INDEX('Facilities'!$U$9:$U$108,MATCH(C72,'Facilities'!$C$9:$C$108,0))),""))</x:f>
      </x:c>
      <x:c r="G72" s="23" t="str">
        <x:f>IF(C72="","",IFERROR(IF(INDEX('Facilities'!$AA$9:$AA$108,MATCH(C72,'Facilities'!$C$9:$C$108,0))="","",INDEX('Facilities'!$AA$9:$AA$108,MATCH(C72,'Facilities'!$C$9:$C$108,0))),""))</x:f>
      </x:c>
      <x:c r="H72" s="23" t="str">
        <x:f>IF(C72="","",IFERROR(IF(INDEX('Inventory'!$N$9:$N$108,MATCH(F72,'Inventory'!$C$9:$C$108,0))="","",INDEX('Inventory'!$N$9:$N$108,MATCH(F72,'Inventory'!$C$9:$C$108,0))),""))</x:f>
      </x:c>
      <x:c r="I72" s="17" t="str">
        <x:f>IF(R72="Ready",G72/H72,"")</x:f>
      </x:c>
      <x:c r="J72" s="23" t="str">
        <x:f>IF(AND(R72="Ready",S72="Ready"),I72*IFERROR(IF(INDEX('Inventory'!$T$9:$T$108,MATCH(F72,'Inventory'!$C$9:$C$108,0))="","",INDEX('Inventory'!$T$9:$T$108,MATCH(F72,'Inventory'!$C$9:$C$108,0))),""),"")</x:f>
      </x:c>
      <x:c r="K72" s="23" t="str">
        <x:f>IF(AND(R72="Ready",T72="Ready"),I72*IFERROR(IF(INDEX('Inventory'!$Z$9:$Z$108,MATCH(F72,'Inventory'!$C$9:$C$108,0))="","",INDEX('Inventory'!$Z$9:$Z$108,MATCH(F72,'Inventory'!$C$9:$C$108,0))),""),"")</x:f>
      </x:c>
      <x:c r="L72" s="23" t="str">
        <x:f>IF(AND(R72="Ready",U72="Ready"),I72*IFERROR(IF(INDEX('Inventory'!$AG$9:$AG$108,MATCH(F72,'Inventory'!$C$9:$C$108,0))="","",INDEX('Inventory'!$AG$9:$AG$108,MATCH(F72,'Inventory'!$C$9:$C$108,0))),""),"")</x:f>
      </x:c>
      <x:c r="M72" s="21" t="n">
        <x:f>IF(AND(R72="Ready",S72="Ready",T72="Ready"),G72,0)</x:f>
        <x:v>0</x:v>
      </x:c>
      <x:c r="N72" s="21" t="n">
        <x:f>IF(AND(R72="Ready",U72="Ready"),G72,0)</x:f>
        <x:v>0</x:v>
      </x:c>
      <x:c r="O72" s="42" t="str">
        <x:f>IF(C72="","",IFERROR(IF(INDEX('Inventory'!$U$9:$U$108,MATCH(F72,'Inventory'!$C$9:$C$108,0))="","",INDEX('Inventory'!$U$9:$U$108,MATCH(F72,'Inventory'!$C$9:$C$108,0))),""))</x:f>
      </x:c>
      <x:c r="P72" s="42" t="str">
        <x:f>IF(C72="","",IFERROR(IF(INDEX('Inventory'!$AA$9:$AA$108,MATCH(F72,'Inventory'!$C$9:$C$108,0))="","",INDEX('Inventory'!$AA$9:$AA$108,MATCH(F72,'Inventory'!$C$9:$C$108,0))),""))</x:f>
      </x:c>
      <x:c r="Q72" s="42" t="str">
        <x:f>IF(C72="","",IFERROR(IF(INDEX('Inventory'!$AH$9:$AH$108,MATCH(F72,'Inventory'!$C$9:$C$108,0))="","",INDEX('Inventory'!$AH$9:$AH$108,MATCH(F72,'Inventory'!$C$9:$C$108,0))),""))</x:f>
      </x:c>
      <x:c r="R72" s="9" t="str">
        <x:f>IF(C72="","",IF(COUNTIFS('Facilities'!$C$9:$C$108,C72)&lt;&gt;1,"Duplicate facility ID",IF(OR(NOT(ISNUMBER(IFERROR(IF(INDEX('Facilities'!$G$9:$G$108,MATCH(C72,'Facilities'!$C$9:$C$108,0))="","",INDEX('Facilities'!$G$9:$G$108,MATCH(C72,'Facilities'!$C$9:$C$108,0))),""))),NOT(ISNUMBER(G72)),G72&lt;0,IFERROR(IF(INDEX('Facilities'!$Z$9:$Z$108,MATCH(C72,'Facilities'!$C$9:$C$108,0))="","",INDEX('Facilities'!$Z$9:$Z$108,MATCH(C72,'Facilities'!$C$9:$C$108,0))),"")&lt;=0),"Drawn value required",IF(COUNTIFS('Inventory'!$C$9:$C$108,F72)&lt;&gt;1,"Entity required",IF(OR(E72&lt;&gt;IFERROR(IF(INDEX('Inventory'!$F$9:$F$108,MATCH(F72,'Inventory'!$C$9:$C$108,0))="","",INDEX('Inventory'!$F$9:$F$108,MATCH(F72,'Inventory'!$C$9:$C$108,0))),""),D72&lt;&gt;IFERROR(IF(INDEX('Inventory'!$D$9:$D$108,MATCH(F72,'Inventory'!$C$9:$C$108,0))="","",INDEX('Inventory'!$D$9:$D$108,MATCH(F72,'Inventory'!$C$9:$C$108,0))),"")),"Entity / class mismatch",IF(IFERROR(IF(INDEX('Inventory'!$AL$9:$AL$108,MATCH(F72,'Inventory'!$C$9:$C$108,0))="","",INDEX('Inventory'!$AL$9:$AL$108,MATCH(F72,'Inventory'!$C$9:$C$108,0))),"")&lt;&gt;"Ready",IFERROR(IF(INDEX('Inventory'!$AL$9:$AL$108,MATCH(F72,'Inventory'!$C$9:$C$108,0))="","",INDEX('Inventory'!$AL$9:$AL$108,MATCH(F72,'Inventory'!$C$9:$C$108,0))),""),IF(AND(OR(E72="Project finance",E72="CRE",E72="Mortgage",E72="Motor"),IFERROR(IF(INDEX('Facilities'!$V$9:$V$108,MATCH(C72,'Facilities'!$C$9:$C$108,0))="","",INDEX('Facilities'!$V$9:$V$108,MATCH(C72,'Facilities'!$C$9:$C$108,0))),"")&lt;&gt;"Designated asset"),"Purpose review",IF(X72&gt;H72,"Exposure exceeds value","Ready"))))))))</x:f>
      </x:c>
      <x:c r="S72" s="9" t="str">
        <x:f>IF(C72="","",IFERROR(IF(INDEX('Inventory'!$V$9:$V$108,MATCH(F72,'Inventory'!$C$9:$C$108,0))="","",INDEX('Inventory'!$V$9:$V$108,MATCH(F72,'Inventory'!$C$9:$C$108,0))),""))</x:f>
      </x:c>
      <x:c r="T72" s="9" t="str">
        <x:f>IF(C72="","",IFERROR(IF(INDEX('Inventory'!$AB$9:$AB$108,MATCH(F72,'Inventory'!$C$9:$C$108,0))="","",INDEX('Inventory'!$AB$9:$AB$108,MATCH(F72,'Inventory'!$C$9:$C$108,0))),""))</x:f>
      </x:c>
      <x:c r="U72" s="9" t="str">
        <x:f>IF(C72="","",IFERROR(IF(INDEX('Inventory'!$AI$9:$AI$108,MATCH(F72,'Inventory'!$C$9:$C$108,0))="","",INDEX('Inventory'!$AI$9:$AI$108,MATCH(F72,'Inventory'!$C$9:$C$108,0))),""))</x:f>
      </x:c>
      <x:c r="V72" s="43" t="str">
        <x:f>IF(C72="","",IFERROR(IF(INDEX('Inventory'!$P$9:$P$108,MATCH(F72,'Inventory'!$C$9:$C$108,0))="","",INDEX('Inventory'!$P$9:$P$108,MATCH(F72,'Inventory'!$C$9:$C$108,0))),""))</x:f>
      </x:c>
      <x:c r="W72" s="3" t="str">
        <x:f>IF(C72="","",IF(E72="Corporate listed","PCAF 2025 pp40-46",IF(E72="Corporate private","PCAF 2025 pp55-60",IF(E72="Project finance","PCAF 2025 pp67-71",IF(E72="CRE","PCAF 2025 pp77-81",IF(E72="Mortgage","PCAF 2025 pp83-87",IF(E72="Motor","PCAF 2025 pp90-94","Method required")))))))</x:f>
      </x:c>
      <x:c r="X72" s="23" t="str">
        <x:f>IF(C72="","",SUMIFS('Facilities'!$AA$9:$AA$108,'Facilities'!$U$9:$U$108,F72))</x:f>
      </x:c>
      <x:c r="Y72" s="21" t="n">
        <x:f>IF(AND(R72="Ready",S72="Ready"),G72,0)</x:f>
        <x:v>0</x:v>
      </x:c>
      <x:c r="Z72" s="21" t="n">
        <x:f>IF(AND(R72="Ready",T72="Ready"),G72,0)</x:f>
        <x:v>0</x:v>
      </x:c>
      <x:c r="AA72" s="21" t="n">
        <x:f>IF(Y72&gt;0,Y72*O72,0)</x:f>
        <x:v>0</x:v>
      </x:c>
      <x:c r="AB72" s="21" t="n">
        <x:f>IF(Z72&gt;0,Z72*P72,0)</x:f>
        <x:v>0</x:v>
      </x:c>
      <x:c r="AC72" s="21" t="n">
        <x:f>IF(N72&gt;0,N72*Q72,0)</x:f>
        <x:v>0</x:v>
      </x:c>
      <x:c r="AD72" s="21" t="n">
        <x:f>IF(M72&gt;0,M72*MAX(O72,P72),0)</x:f>
        <x:v>0</x:v>
      </x:c>
      <x:c r="AE72" s="9" t="str">
        <x:f>IF(C72="","",IFERROR(IF(INDEX('Inventory'!$AC$9:$AC$108,MATCH(F72,'Inventory'!$C$9:$C$108,0))="","",INDEX('Inventory'!$AC$9:$AC$108,MATCH(F72,'Inventory'!$C$9:$C$108,0))),""))</x:f>
      </x:c>
      <x:c r="AF72" s="9" t="str">
        <x:f>IF(C72="","",IFERROR(IF(INDEX('Inventory'!$AN$9:$AN$108,MATCH(F72,'Inventory'!$C$9:$C$108,0))="","",INDEX('Inventory'!$AN$9:$AN$108,MATCH(F72,'Inventory'!$C$9:$C$108,0))),""))</x:f>
      </x:c>
    </x:row>
    <x:row r="73" ht="26" customHeight="1">
      <x:c r="A73" s="1"/>
      <x:c r="B73" s="1"/>
      <x:c r="C73" s="9" t="str">
        <x:f>IF('Facilities'!C73="","",'Facilities'!C73)</x:f>
      </x:c>
      <x:c r="D73" s="9" t="str">
        <x:f>IF(C73="","",IFERROR(IF(INDEX('Facilities'!$D$9:$D$108,MATCH(C73,'Facilities'!$C$9:$C$108,0))="","",INDEX('Facilities'!$D$9:$D$108,MATCH(C73,'Facilities'!$C$9:$C$108,0))),""))</x:f>
      </x:c>
      <x:c r="E73" s="9" t="str">
        <x:f>IF(C73="","",IFERROR(IF(INDEX('Facilities'!$E$9:$E$108,MATCH(C73,'Facilities'!$C$9:$C$108,0))="","",INDEX('Facilities'!$E$9:$E$108,MATCH(C73,'Facilities'!$C$9:$C$108,0))),""))</x:f>
      </x:c>
      <x:c r="F73" s="9" t="str">
        <x:f>IF(C73="","",IFERROR(IF(INDEX('Facilities'!$U$9:$U$108,MATCH(C73,'Facilities'!$C$9:$C$108,0))="","",INDEX('Facilities'!$U$9:$U$108,MATCH(C73,'Facilities'!$C$9:$C$108,0))),""))</x:f>
      </x:c>
      <x:c r="G73" s="23" t="str">
        <x:f>IF(C73="","",IFERROR(IF(INDEX('Facilities'!$AA$9:$AA$108,MATCH(C73,'Facilities'!$C$9:$C$108,0))="","",INDEX('Facilities'!$AA$9:$AA$108,MATCH(C73,'Facilities'!$C$9:$C$108,0))),""))</x:f>
      </x:c>
      <x:c r="H73" s="23" t="str">
        <x:f>IF(C73="","",IFERROR(IF(INDEX('Inventory'!$N$9:$N$108,MATCH(F73,'Inventory'!$C$9:$C$108,0))="","",INDEX('Inventory'!$N$9:$N$108,MATCH(F73,'Inventory'!$C$9:$C$108,0))),""))</x:f>
      </x:c>
      <x:c r="I73" s="17" t="str">
        <x:f>IF(R73="Ready",G73/H73,"")</x:f>
      </x:c>
      <x:c r="J73" s="23" t="str">
        <x:f>IF(AND(R73="Ready",S73="Ready"),I73*IFERROR(IF(INDEX('Inventory'!$T$9:$T$108,MATCH(F73,'Inventory'!$C$9:$C$108,0))="","",INDEX('Inventory'!$T$9:$T$108,MATCH(F73,'Inventory'!$C$9:$C$108,0))),""),"")</x:f>
      </x:c>
      <x:c r="K73" s="23" t="str">
        <x:f>IF(AND(R73="Ready",T73="Ready"),I73*IFERROR(IF(INDEX('Inventory'!$Z$9:$Z$108,MATCH(F73,'Inventory'!$C$9:$C$108,0))="","",INDEX('Inventory'!$Z$9:$Z$108,MATCH(F73,'Inventory'!$C$9:$C$108,0))),""),"")</x:f>
      </x:c>
      <x:c r="L73" s="23" t="str">
        <x:f>IF(AND(R73="Ready",U73="Ready"),I73*IFERROR(IF(INDEX('Inventory'!$AG$9:$AG$108,MATCH(F73,'Inventory'!$C$9:$C$108,0))="","",INDEX('Inventory'!$AG$9:$AG$108,MATCH(F73,'Inventory'!$C$9:$C$108,0))),""),"")</x:f>
      </x:c>
      <x:c r="M73" s="21" t="n">
        <x:f>IF(AND(R73="Ready",S73="Ready",T73="Ready"),G73,0)</x:f>
        <x:v>0</x:v>
      </x:c>
      <x:c r="N73" s="21" t="n">
        <x:f>IF(AND(R73="Ready",U73="Ready"),G73,0)</x:f>
        <x:v>0</x:v>
      </x:c>
      <x:c r="O73" s="42" t="str">
        <x:f>IF(C73="","",IFERROR(IF(INDEX('Inventory'!$U$9:$U$108,MATCH(F73,'Inventory'!$C$9:$C$108,0))="","",INDEX('Inventory'!$U$9:$U$108,MATCH(F73,'Inventory'!$C$9:$C$108,0))),""))</x:f>
      </x:c>
      <x:c r="P73" s="42" t="str">
        <x:f>IF(C73="","",IFERROR(IF(INDEX('Inventory'!$AA$9:$AA$108,MATCH(F73,'Inventory'!$C$9:$C$108,0))="","",INDEX('Inventory'!$AA$9:$AA$108,MATCH(F73,'Inventory'!$C$9:$C$108,0))),""))</x:f>
      </x:c>
      <x:c r="Q73" s="42" t="str">
        <x:f>IF(C73="","",IFERROR(IF(INDEX('Inventory'!$AH$9:$AH$108,MATCH(F73,'Inventory'!$C$9:$C$108,0))="","",INDEX('Inventory'!$AH$9:$AH$108,MATCH(F73,'Inventory'!$C$9:$C$108,0))),""))</x:f>
      </x:c>
      <x:c r="R73" s="9" t="str">
        <x:f>IF(C73="","",IF(COUNTIFS('Facilities'!$C$9:$C$108,C73)&lt;&gt;1,"Duplicate facility ID",IF(OR(NOT(ISNUMBER(IFERROR(IF(INDEX('Facilities'!$G$9:$G$108,MATCH(C73,'Facilities'!$C$9:$C$108,0))="","",INDEX('Facilities'!$G$9:$G$108,MATCH(C73,'Facilities'!$C$9:$C$108,0))),""))),NOT(ISNUMBER(G73)),G73&lt;0,IFERROR(IF(INDEX('Facilities'!$Z$9:$Z$108,MATCH(C73,'Facilities'!$C$9:$C$108,0))="","",INDEX('Facilities'!$Z$9:$Z$108,MATCH(C73,'Facilities'!$C$9:$C$108,0))),"")&lt;=0),"Drawn value required",IF(COUNTIFS('Inventory'!$C$9:$C$108,F73)&lt;&gt;1,"Entity required",IF(OR(E73&lt;&gt;IFERROR(IF(INDEX('Inventory'!$F$9:$F$108,MATCH(F73,'Inventory'!$C$9:$C$108,0))="","",INDEX('Inventory'!$F$9:$F$108,MATCH(F73,'Inventory'!$C$9:$C$108,0))),""),D73&lt;&gt;IFERROR(IF(INDEX('Inventory'!$D$9:$D$108,MATCH(F73,'Inventory'!$C$9:$C$108,0))="","",INDEX('Inventory'!$D$9:$D$108,MATCH(F73,'Inventory'!$C$9:$C$108,0))),"")),"Entity / class mismatch",IF(IFERROR(IF(INDEX('Inventory'!$AL$9:$AL$108,MATCH(F73,'Inventory'!$C$9:$C$108,0))="","",INDEX('Inventory'!$AL$9:$AL$108,MATCH(F73,'Inventory'!$C$9:$C$108,0))),"")&lt;&gt;"Ready",IFERROR(IF(INDEX('Inventory'!$AL$9:$AL$108,MATCH(F73,'Inventory'!$C$9:$C$108,0))="","",INDEX('Inventory'!$AL$9:$AL$108,MATCH(F73,'Inventory'!$C$9:$C$108,0))),""),IF(AND(OR(E73="Project finance",E73="CRE",E73="Mortgage",E73="Motor"),IFERROR(IF(INDEX('Facilities'!$V$9:$V$108,MATCH(C73,'Facilities'!$C$9:$C$108,0))="","",INDEX('Facilities'!$V$9:$V$108,MATCH(C73,'Facilities'!$C$9:$C$108,0))),"")&lt;&gt;"Designated asset"),"Purpose review",IF(X73&gt;H73,"Exposure exceeds value","Ready"))))))))</x:f>
      </x:c>
      <x:c r="S73" s="9" t="str">
        <x:f>IF(C73="","",IFERROR(IF(INDEX('Inventory'!$V$9:$V$108,MATCH(F73,'Inventory'!$C$9:$C$108,0))="","",INDEX('Inventory'!$V$9:$V$108,MATCH(F73,'Inventory'!$C$9:$C$108,0))),""))</x:f>
      </x:c>
      <x:c r="T73" s="9" t="str">
        <x:f>IF(C73="","",IFERROR(IF(INDEX('Inventory'!$AB$9:$AB$108,MATCH(F73,'Inventory'!$C$9:$C$108,0))="","",INDEX('Inventory'!$AB$9:$AB$108,MATCH(F73,'Inventory'!$C$9:$C$108,0))),""))</x:f>
      </x:c>
      <x:c r="U73" s="9" t="str">
        <x:f>IF(C73="","",IFERROR(IF(INDEX('Inventory'!$AI$9:$AI$108,MATCH(F73,'Inventory'!$C$9:$C$108,0))="","",INDEX('Inventory'!$AI$9:$AI$108,MATCH(F73,'Inventory'!$C$9:$C$108,0))),""))</x:f>
      </x:c>
      <x:c r="V73" s="43" t="str">
        <x:f>IF(C73="","",IFERROR(IF(INDEX('Inventory'!$P$9:$P$108,MATCH(F73,'Inventory'!$C$9:$C$108,0))="","",INDEX('Inventory'!$P$9:$P$108,MATCH(F73,'Inventory'!$C$9:$C$108,0))),""))</x:f>
      </x:c>
      <x:c r="W73" s="3" t="str">
        <x:f>IF(C73="","",IF(E73="Corporate listed","PCAF 2025 pp40-46",IF(E73="Corporate private","PCAF 2025 pp55-60",IF(E73="Project finance","PCAF 2025 pp67-71",IF(E73="CRE","PCAF 2025 pp77-81",IF(E73="Mortgage","PCAF 2025 pp83-87",IF(E73="Motor","PCAF 2025 pp90-94","Method required")))))))</x:f>
      </x:c>
      <x:c r="X73" s="23" t="str">
        <x:f>IF(C73="","",SUMIFS('Facilities'!$AA$9:$AA$108,'Facilities'!$U$9:$U$108,F73))</x:f>
      </x:c>
      <x:c r="Y73" s="21" t="n">
        <x:f>IF(AND(R73="Ready",S73="Ready"),G73,0)</x:f>
        <x:v>0</x:v>
      </x:c>
      <x:c r="Z73" s="21" t="n">
        <x:f>IF(AND(R73="Ready",T73="Ready"),G73,0)</x:f>
        <x:v>0</x:v>
      </x:c>
      <x:c r="AA73" s="21" t="n">
        <x:f>IF(Y73&gt;0,Y73*O73,0)</x:f>
        <x:v>0</x:v>
      </x:c>
      <x:c r="AB73" s="21" t="n">
        <x:f>IF(Z73&gt;0,Z73*P73,0)</x:f>
        <x:v>0</x:v>
      </x:c>
      <x:c r="AC73" s="21" t="n">
        <x:f>IF(N73&gt;0,N73*Q73,0)</x:f>
        <x:v>0</x:v>
      </x:c>
      <x:c r="AD73" s="21" t="n">
        <x:f>IF(M73&gt;0,M73*MAX(O73,P73),0)</x:f>
        <x:v>0</x:v>
      </x:c>
      <x:c r="AE73" s="9" t="str">
        <x:f>IF(C73="","",IFERROR(IF(INDEX('Inventory'!$AC$9:$AC$108,MATCH(F73,'Inventory'!$C$9:$C$108,0))="","",INDEX('Inventory'!$AC$9:$AC$108,MATCH(F73,'Inventory'!$C$9:$C$108,0))),""))</x:f>
      </x:c>
      <x:c r="AF73" s="9" t="str">
        <x:f>IF(C73="","",IFERROR(IF(INDEX('Inventory'!$AN$9:$AN$108,MATCH(F73,'Inventory'!$C$9:$C$108,0))="","",INDEX('Inventory'!$AN$9:$AN$108,MATCH(F73,'Inventory'!$C$9:$C$108,0))),""))</x:f>
      </x:c>
    </x:row>
    <x:row r="74" ht="26" customHeight="1">
      <x:c r="A74" s="1"/>
      <x:c r="B74" s="1"/>
      <x:c r="C74" s="9" t="str">
        <x:f>IF('Facilities'!C74="","",'Facilities'!C74)</x:f>
      </x:c>
      <x:c r="D74" s="9" t="str">
        <x:f>IF(C74="","",IFERROR(IF(INDEX('Facilities'!$D$9:$D$108,MATCH(C74,'Facilities'!$C$9:$C$108,0))="","",INDEX('Facilities'!$D$9:$D$108,MATCH(C74,'Facilities'!$C$9:$C$108,0))),""))</x:f>
      </x:c>
      <x:c r="E74" s="9" t="str">
        <x:f>IF(C74="","",IFERROR(IF(INDEX('Facilities'!$E$9:$E$108,MATCH(C74,'Facilities'!$C$9:$C$108,0))="","",INDEX('Facilities'!$E$9:$E$108,MATCH(C74,'Facilities'!$C$9:$C$108,0))),""))</x:f>
      </x:c>
      <x:c r="F74" s="9" t="str">
        <x:f>IF(C74="","",IFERROR(IF(INDEX('Facilities'!$U$9:$U$108,MATCH(C74,'Facilities'!$C$9:$C$108,0))="","",INDEX('Facilities'!$U$9:$U$108,MATCH(C74,'Facilities'!$C$9:$C$108,0))),""))</x:f>
      </x:c>
      <x:c r="G74" s="23" t="str">
        <x:f>IF(C74="","",IFERROR(IF(INDEX('Facilities'!$AA$9:$AA$108,MATCH(C74,'Facilities'!$C$9:$C$108,0))="","",INDEX('Facilities'!$AA$9:$AA$108,MATCH(C74,'Facilities'!$C$9:$C$108,0))),""))</x:f>
      </x:c>
      <x:c r="H74" s="23" t="str">
        <x:f>IF(C74="","",IFERROR(IF(INDEX('Inventory'!$N$9:$N$108,MATCH(F74,'Inventory'!$C$9:$C$108,0))="","",INDEX('Inventory'!$N$9:$N$108,MATCH(F74,'Inventory'!$C$9:$C$108,0))),""))</x:f>
      </x:c>
      <x:c r="I74" s="17" t="str">
        <x:f>IF(R74="Ready",G74/H74,"")</x:f>
      </x:c>
      <x:c r="J74" s="23" t="str">
        <x:f>IF(AND(R74="Ready",S74="Ready"),I74*IFERROR(IF(INDEX('Inventory'!$T$9:$T$108,MATCH(F74,'Inventory'!$C$9:$C$108,0))="","",INDEX('Inventory'!$T$9:$T$108,MATCH(F74,'Inventory'!$C$9:$C$108,0))),""),"")</x:f>
      </x:c>
      <x:c r="K74" s="23" t="str">
        <x:f>IF(AND(R74="Ready",T74="Ready"),I74*IFERROR(IF(INDEX('Inventory'!$Z$9:$Z$108,MATCH(F74,'Inventory'!$C$9:$C$108,0))="","",INDEX('Inventory'!$Z$9:$Z$108,MATCH(F74,'Inventory'!$C$9:$C$108,0))),""),"")</x:f>
      </x:c>
      <x:c r="L74" s="23" t="str">
        <x:f>IF(AND(R74="Ready",U74="Ready"),I74*IFERROR(IF(INDEX('Inventory'!$AG$9:$AG$108,MATCH(F74,'Inventory'!$C$9:$C$108,0))="","",INDEX('Inventory'!$AG$9:$AG$108,MATCH(F74,'Inventory'!$C$9:$C$108,0))),""),"")</x:f>
      </x:c>
      <x:c r="M74" s="21" t="n">
        <x:f>IF(AND(R74="Ready",S74="Ready",T74="Ready"),G74,0)</x:f>
        <x:v>0</x:v>
      </x:c>
      <x:c r="N74" s="21" t="n">
        <x:f>IF(AND(R74="Ready",U74="Ready"),G74,0)</x:f>
        <x:v>0</x:v>
      </x:c>
      <x:c r="O74" s="42" t="str">
        <x:f>IF(C74="","",IFERROR(IF(INDEX('Inventory'!$U$9:$U$108,MATCH(F74,'Inventory'!$C$9:$C$108,0))="","",INDEX('Inventory'!$U$9:$U$108,MATCH(F74,'Inventory'!$C$9:$C$108,0))),""))</x:f>
      </x:c>
      <x:c r="P74" s="42" t="str">
        <x:f>IF(C74="","",IFERROR(IF(INDEX('Inventory'!$AA$9:$AA$108,MATCH(F74,'Inventory'!$C$9:$C$108,0))="","",INDEX('Inventory'!$AA$9:$AA$108,MATCH(F74,'Inventory'!$C$9:$C$108,0))),""))</x:f>
      </x:c>
      <x:c r="Q74" s="42" t="str">
        <x:f>IF(C74="","",IFERROR(IF(INDEX('Inventory'!$AH$9:$AH$108,MATCH(F74,'Inventory'!$C$9:$C$108,0))="","",INDEX('Inventory'!$AH$9:$AH$108,MATCH(F74,'Inventory'!$C$9:$C$108,0))),""))</x:f>
      </x:c>
      <x:c r="R74" s="9" t="str">
        <x:f>IF(C74="","",IF(COUNTIFS('Facilities'!$C$9:$C$108,C74)&lt;&gt;1,"Duplicate facility ID",IF(OR(NOT(ISNUMBER(IFERROR(IF(INDEX('Facilities'!$G$9:$G$108,MATCH(C74,'Facilities'!$C$9:$C$108,0))="","",INDEX('Facilities'!$G$9:$G$108,MATCH(C74,'Facilities'!$C$9:$C$108,0))),""))),NOT(ISNUMBER(G74)),G74&lt;0,IFERROR(IF(INDEX('Facilities'!$Z$9:$Z$108,MATCH(C74,'Facilities'!$C$9:$C$108,0))="","",INDEX('Facilities'!$Z$9:$Z$108,MATCH(C74,'Facilities'!$C$9:$C$108,0))),"")&lt;=0),"Drawn value required",IF(COUNTIFS('Inventory'!$C$9:$C$108,F74)&lt;&gt;1,"Entity required",IF(OR(E74&lt;&gt;IFERROR(IF(INDEX('Inventory'!$F$9:$F$108,MATCH(F74,'Inventory'!$C$9:$C$108,0))="","",INDEX('Inventory'!$F$9:$F$108,MATCH(F74,'Inventory'!$C$9:$C$108,0))),""),D74&lt;&gt;IFERROR(IF(INDEX('Inventory'!$D$9:$D$108,MATCH(F74,'Inventory'!$C$9:$C$108,0))="","",INDEX('Inventory'!$D$9:$D$108,MATCH(F74,'Inventory'!$C$9:$C$108,0))),"")),"Entity / class mismatch",IF(IFERROR(IF(INDEX('Inventory'!$AL$9:$AL$108,MATCH(F74,'Inventory'!$C$9:$C$108,0))="","",INDEX('Inventory'!$AL$9:$AL$108,MATCH(F74,'Inventory'!$C$9:$C$108,0))),"")&lt;&gt;"Ready",IFERROR(IF(INDEX('Inventory'!$AL$9:$AL$108,MATCH(F74,'Inventory'!$C$9:$C$108,0))="","",INDEX('Inventory'!$AL$9:$AL$108,MATCH(F74,'Inventory'!$C$9:$C$108,0))),""),IF(AND(OR(E74="Project finance",E74="CRE",E74="Mortgage",E74="Motor"),IFERROR(IF(INDEX('Facilities'!$V$9:$V$108,MATCH(C74,'Facilities'!$C$9:$C$108,0))="","",INDEX('Facilities'!$V$9:$V$108,MATCH(C74,'Facilities'!$C$9:$C$108,0))),"")&lt;&gt;"Designated asset"),"Purpose review",IF(X74&gt;H74,"Exposure exceeds value","Ready"))))))))</x:f>
      </x:c>
      <x:c r="S74" s="9" t="str">
        <x:f>IF(C74="","",IFERROR(IF(INDEX('Inventory'!$V$9:$V$108,MATCH(F74,'Inventory'!$C$9:$C$108,0))="","",INDEX('Inventory'!$V$9:$V$108,MATCH(F74,'Inventory'!$C$9:$C$108,0))),""))</x:f>
      </x:c>
      <x:c r="T74" s="9" t="str">
        <x:f>IF(C74="","",IFERROR(IF(INDEX('Inventory'!$AB$9:$AB$108,MATCH(F74,'Inventory'!$C$9:$C$108,0))="","",INDEX('Inventory'!$AB$9:$AB$108,MATCH(F74,'Inventory'!$C$9:$C$108,0))),""))</x:f>
      </x:c>
      <x:c r="U74" s="9" t="str">
        <x:f>IF(C74="","",IFERROR(IF(INDEX('Inventory'!$AI$9:$AI$108,MATCH(F74,'Inventory'!$C$9:$C$108,0))="","",INDEX('Inventory'!$AI$9:$AI$108,MATCH(F74,'Inventory'!$C$9:$C$108,0))),""))</x:f>
      </x:c>
      <x:c r="V74" s="43" t="str">
        <x:f>IF(C74="","",IFERROR(IF(INDEX('Inventory'!$P$9:$P$108,MATCH(F74,'Inventory'!$C$9:$C$108,0))="","",INDEX('Inventory'!$P$9:$P$108,MATCH(F74,'Inventory'!$C$9:$C$108,0))),""))</x:f>
      </x:c>
      <x:c r="W74" s="3" t="str">
        <x:f>IF(C74="","",IF(E74="Corporate listed","PCAF 2025 pp40-46",IF(E74="Corporate private","PCAF 2025 pp55-60",IF(E74="Project finance","PCAF 2025 pp67-71",IF(E74="CRE","PCAF 2025 pp77-81",IF(E74="Mortgage","PCAF 2025 pp83-87",IF(E74="Motor","PCAF 2025 pp90-94","Method required")))))))</x:f>
      </x:c>
      <x:c r="X74" s="23" t="str">
        <x:f>IF(C74="","",SUMIFS('Facilities'!$AA$9:$AA$108,'Facilities'!$U$9:$U$108,F74))</x:f>
      </x:c>
      <x:c r="Y74" s="21" t="n">
        <x:f>IF(AND(R74="Ready",S74="Ready"),G74,0)</x:f>
        <x:v>0</x:v>
      </x:c>
      <x:c r="Z74" s="21" t="n">
        <x:f>IF(AND(R74="Ready",T74="Ready"),G74,0)</x:f>
        <x:v>0</x:v>
      </x:c>
      <x:c r="AA74" s="21" t="n">
        <x:f>IF(Y74&gt;0,Y74*O74,0)</x:f>
        <x:v>0</x:v>
      </x:c>
      <x:c r="AB74" s="21" t="n">
        <x:f>IF(Z74&gt;0,Z74*P74,0)</x:f>
        <x:v>0</x:v>
      </x:c>
      <x:c r="AC74" s="21" t="n">
        <x:f>IF(N74&gt;0,N74*Q74,0)</x:f>
        <x:v>0</x:v>
      </x:c>
      <x:c r="AD74" s="21" t="n">
        <x:f>IF(M74&gt;0,M74*MAX(O74,P74),0)</x:f>
        <x:v>0</x:v>
      </x:c>
      <x:c r="AE74" s="9" t="str">
        <x:f>IF(C74="","",IFERROR(IF(INDEX('Inventory'!$AC$9:$AC$108,MATCH(F74,'Inventory'!$C$9:$C$108,0))="","",INDEX('Inventory'!$AC$9:$AC$108,MATCH(F74,'Inventory'!$C$9:$C$108,0))),""))</x:f>
      </x:c>
      <x:c r="AF74" s="9" t="str">
        <x:f>IF(C74="","",IFERROR(IF(INDEX('Inventory'!$AN$9:$AN$108,MATCH(F74,'Inventory'!$C$9:$C$108,0))="","",INDEX('Inventory'!$AN$9:$AN$108,MATCH(F74,'Inventory'!$C$9:$C$108,0))),""))</x:f>
      </x:c>
    </x:row>
    <x:row r="75" ht="26" customHeight="1">
      <x:c r="A75" s="1"/>
      <x:c r="B75" s="1"/>
      <x:c r="C75" s="9" t="str">
        <x:f>IF('Facilities'!C75="","",'Facilities'!C75)</x:f>
      </x:c>
      <x:c r="D75" s="9" t="str">
        <x:f>IF(C75="","",IFERROR(IF(INDEX('Facilities'!$D$9:$D$108,MATCH(C75,'Facilities'!$C$9:$C$108,0))="","",INDEX('Facilities'!$D$9:$D$108,MATCH(C75,'Facilities'!$C$9:$C$108,0))),""))</x:f>
      </x:c>
      <x:c r="E75" s="9" t="str">
        <x:f>IF(C75="","",IFERROR(IF(INDEX('Facilities'!$E$9:$E$108,MATCH(C75,'Facilities'!$C$9:$C$108,0))="","",INDEX('Facilities'!$E$9:$E$108,MATCH(C75,'Facilities'!$C$9:$C$108,0))),""))</x:f>
      </x:c>
      <x:c r="F75" s="9" t="str">
        <x:f>IF(C75="","",IFERROR(IF(INDEX('Facilities'!$U$9:$U$108,MATCH(C75,'Facilities'!$C$9:$C$108,0))="","",INDEX('Facilities'!$U$9:$U$108,MATCH(C75,'Facilities'!$C$9:$C$108,0))),""))</x:f>
      </x:c>
      <x:c r="G75" s="23" t="str">
        <x:f>IF(C75="","",IFERROR(IF(INDEX('Facilities'!$AA$9:$AA$108,MATCH(C75,'Facilities'!$C$9:$C$108,0))="","",INDEX('Facilities'!$AA$9:$AA$108,MATCH(C75,'Facilities'!$C$9:$C$108,0))),""))</x:f>
      </x:c>
      <x:c r="H75" s="23" t="str">
        <x:f>IF(C75="","",IFERROR(IF(INDEX('Inventory'!$N$9:$N$108,MATCH(F75,'Inventory'!$C$9:$C$108,0))="","",INDEX('Inventory'!$N$9:$N$108,MATCH(F75,'Inventory'!$C$9:$C$108,0))),""))</x:f>
      </x:c>
      <x:c r="I75" s="17" t="str">
        <x:f>IF(R75="Ready",G75/H75,"")</x:f>
      </x:c>
      <x:c r="J75" s="23" t="str">
        <x:f>IF(AND(R75="Ready",S75="Ready"),I75*IFERROR(IF(INDEX('Inventory'!$T$9:$T$108,MATCH(F75,'Inventory'!$C$9:$C$108,0))="","",INDEX('Inventory'!$T$9:$T$108,MATCH(F75,'Inventory'!$C$9:$C$108,0))),""),"")</x:f>
      </x:c>
      <x:c r="K75" s="23" t="str">
        <x:f>IF(AND(R75="Ready",T75="Ready"),I75*IFERROR(IF(INDEX('Inventory'!$Z$9:$Z$108,MATCH(F75,'Inventory'!$C$9:$C$108,0))="","",INDEX('Inventory'!$Z$9:$Z$108,MATCH(F75,'Inventory'!$C$9:$C$108,0))),""),"")</x:f>
      </x:c>
      <x:c r="L75" s="23" t="str">
        <x:f>IF(AND(R75="Ready",U75="Ready"),I75*IFERROR(IF(INDEX('Inventory'!$AG$9:$AG$108,MATCH(F75,'Inventory'!$C$9:$C$108,0))="","",INDEX('Inventory'!$AG$9:$AG$108,MATCH(F75,'Inventory'!$C$9:$C$108,0))),""),"")</x:f>
      </x:c>
      <x:c r="M75" s="21" t="n">
        <x:f>IF(AND(R75="Ready",S75="Ready",T75="Ready"),G75,0)</x:f>
        <x:v>0</x:v>
      </x:c>
      <x:c r="N75" s="21" t="n">
        <x:f>IF(AND(R75="Ready",U75="Ready"),G75,0)</x:f>
        <x:v>0</x:v>
      </x:c>
      <x:c r="O75" s="42" t="str">
        <x:f>IF(C75="","",IFERROR(IF(INDEX('Inventory'!$U$9:$U$108,MATCH(F75,'Inventory'!$C$9:$C$108,0))="","",INDEX('Inventory'!$U$9:$U$108,MATCH(F75,'Inventory'!$C$9:$C$108,0))),""))</x:f>
      </x:c>
      <x:c r="P75" s="42" t="str">
        <x:f>IF(C75="","",IFERROR(IF(INDEX('Inventory'!$AA$9:$AA$108,MATCH(F75,'Inventory'!$C$9:$C$108,0))="","",INDEX('Inventory'!$AA$9:$AA$108,MATCH(F75,'Inventory'!$C$9:$C$108,0))),""))</x:f>
      </x:c>
      <x:c r="Q75" s="42" t="str">
        <x:f>IF(C75="","",IFERROR(IF(INDEX('Inventory'!$AH$9:$AH$108,MATCH(F75,'Inventory'!$C$9:$C$108,0))="","",INDEX('Inventory'!$AH$9:$AH$108,MATCH(F75,'Inventory'!$C$9:$C$108,0))),""))</x:f>
      </x:c>
      <x:c r="R75" s="9" t="str">
        <x:f>IF(C75="","",IF(COUNTIFS('Facilities'!$C$9:$C$108,C75)&lt;&gt;1,"Duplicate facility ID",IF(OR(NOT(ISNUMBER(IFERROR(IF(INDEX('Facilities'!$G$9:$G$108,MATCH(C75,'Facilities'!$C$9:$C$108,0))="","",INDEX('Facilities'!$G$9:$G$108,MATCH(C75,'Facilities'!$C$9:$C$108,0))),""))),NOT(ISNUMBER(G75)),G75&lt;0,IFERROR(IF(INDEX('Facilities'!$Z$9:$Z$108,MATCH(C75,'Facilities'!$C$9:$C$108,0))="","",INDEX('Facilities'!$Z$9:$Z$108,MATCH(C75,'Facilities'!$C$9:$C$108,0))),"")&lt;=0),"Drawn value required",IF(COUNTIFS('Inventory'!$C$9:$C$108,F75)&lt;&gt;1,"Entity required",IF(OR(E75&lt;&gt;IFERROR(IF(INDEX('Inventory'!$F$9:$F$108,MATCH(F75,'Inventory'!$C$9:$C$108,0))="","",INDEX('Inventory'!$F$9:$F$108,MATCH(F75,'Inventory'!$C$9:$C$108,0))),""),D75&lt;&gt;IFERROR(IF(INDEX('Inventory'!$D$9:$D$108,MATCH(F75,'Inventory'!$C$9:$C$108,0))="","",INDEX('Inventory'!$D$9:$D$108,MATCH(F75,'Inventory'!$C$9:$C$108,0))),"")),"Entity / class mismatch",IF(IFERROR(IF(INDEX('Inventory'!$AL$9:$AL$108,MATCH(F75,'Inventory'!$C$9:$C$108,0))="","",INDEX('Inventory'!$AL$9:$AL$108,MATCH(F75,'Inventory'!$C$9:$C$108,0))),"")&lt;&gt;"Ready",IFERROR(IF(INDEX('Inventory'!$AL$9:$AL$108,MATCH(F75,'Inventory'!$C$9:$C$108,0))="","",INDEX('Inventory'!$AL$9:$AL$108,MATCH(F75,'Inventory'!$C$9:$C$108,0))),""),IF(AND(OR(E75="Project finance",E75="CRE",E75="Mortgage",E75="Motor"),IFERROR(IF(INDEX('Facilities'!$V$9:$V$108,MATCH(C75,'Facilities'!$C$9:$C$108,0))="","",INDEX('Facilities'!$V$9:$V$108,MATCH(C75,'Facilities'!$C$9:$C$108,0))),"")&lt;&gt;"Designated asset"),"Purpose review",IF(X75&gt;H75,"Exposure exceeds value","Ready"))))))))</x:f>
      </x:c>
      <x:c r="S75" s="9" t="str">
        <x:f>IF(C75="","",IFERROR(IF(INDEX('Inventory'!$V$9:$V$108,MATCH(F75,'Inventory'!$C$9:$C$108,0))="","",INDEX('Inventory'!$V$9:$V$108,MATCH(F75,'Inventory'!$C$9:$C$108,0))),""))</x:f>
      </x:c>
      <x:c r="T75" s="9" t="str">
        <x:f>IF(C75="","",IFERROR(IF(INDEX('Inventory'!$AB$9:$AB$108,MATCH(F75,'Inventory'!$C$9:$C$108,0))="","",INDEX('Inventory'!$AB$9:$AB$108,MATCH(F75,'Inventory'!$C$9:$C$108,0))),""))</x:f>
      </x:c>
      <x:c r="U75" s="9" t="str">
        <x:f>IF(C75="","",IFERROR(IF(INDEX('Inventory'!$AI$9:$AI$108,MATCH(F75,'Inventory'!$C$9:$C$108,0))="","",INDEX('Inventory'!$AI$9:$AI$108,MATCH(F75,'Inventory'!$C$9:$C$108,0))),""))</x:f>
      </x:c>
      <x:c r="V75" s="43" t="str">
        <x:f>IF(C75="","",IFERROR(IF(INDEX('Inventory'!$P$9:$P$108,MATCH(F75,'Inventory'!$C$9:$C$108,0))="","",INDEX('Inventory'!$P$9:$P$108,MATCH(F75,'Inventory'!$C$9:$C$108,0))),""))</x:f>
      </x:c>
      <x:c r="W75" s="3" t="str">
        <x:f>IF(C75="","",IF(E75="Corporate listed","PCAF 2025 pp40-46",IF(E75="Corporate private","PCAF 2025 pp55-60",IF(E75="Project finance","PCAF 2025 pp67-71",IF(E75="CRE","PCAF 2025 pp77-81",IF(E75="Mortgage","PCAF 2025 pp83-87",IF(E75="Motor","PCAF 2025 pp90-94","Method required")))))))</x:f>
      </x:c>
      <x:c r="X75" s="23" t="str">
        <x:f>IF(C75="","",SUMIFS('Facilities'!$AA$9:$AA$108,'Facilities'!$U$9:$U$108,F75))</x:f>
      </x:c>
      <x:c r="Y75" s="21" t="n">
        <x:f>IF(AND(R75="Ready",S75="Ready"),G75,0)</x:f>
        <x:v>0</x:v>
      </x:c>
      <x:c r="Z75" s="21" t="n">
        <x:f>IF(AND(R75="Ready",T75="Ready"),G75,0)</x:f>
        <x:v>0</x:v>
      </x:c>
      <x:c r="AA75" s="21" t="n">
        <x:f>IF(Y75&gt;0,Y75*O75,0)</x:f>
        <x:v>0</x:v>
      </x:c>
      <x:c r="AB75" s="21" t="n">
        <x:f>IF(Z75&gt;0,Z75*P75,0)</x:f>
        <x:v>0</x:v>
      </x:c>
      <x:c r="AC75" s="21" t="n">
        <x:f>IF(N75&gt;0,N75*Q75,0)</x:f>
        <x:v>0</x:v>
      </x:c>
      <x:c r="AD75" s="21" t="n">
        <x:f>IF(M75&gt;0,M75*MAX(O75,P75),0)</x:f>
        <x:v>0</x:v>
      </x:c>
      <x:c r="AE75" s="9" t="str">
        <x:f>IF(C75="","",IFERROR(IF(INDEX('Inventory'!$AC$9:$AC$108,MATCH(F75,'Inventory'!$C$9:$C$108,0))="","",INDEX('Inventory'!$AC$9:$AC$108,MATCH(F75,'Inventory'!$C$9:$C$108,0))),""))</x:f>
      </x:c>
      <x:c r="AF75" s="9" t="str">
        <x:f>IF(C75="","",IFERROR(IF(INDEX('Inventory'!$AN$9:$AN$108,MATCH(F75,'Inventory'!$C$9:$C$108,0))="","",INDEX('Inventory'!$AN$9:$AN$108,MATCH(F75,'Inventory'!$C$9:$C$108,0))),""))</x:f>
      </x:c>
    </x:row>
    <x:row r="76" ht="26" customHeight="1">
      <x:c r="A76" s="1"/>
      <x:c r="B76" s="1"/>
      <x:c r="C76" s="9" t="str">
        <x:f>IF('Facilities'!C76="","",'Facilities'!C76)</x:f>
      </x:c>
      <x:c r="D76" s="9" t="str">
        <x:f>IF(C76="","",IFERROR(IF(INDEX('Facilities'!$D$9:$D$108,MATCH(C76,'Facilities'!$C$9:$C$108,0))="","",INDEX('Facilities'!$D$9:$D$108,MATCH(C76,'Facilities'!$C$9:$C$108,0))),""))</x:f>
      </x:c>
      <x:c r="E76" s="9" t="str">
        <x:f>IF(C76="","",IFERROR(IF(INDEX('Facilities'!$E$9:$E$108,MATCH(C76,'Facilities'!$C$9:$C$108,0))="","",INDEX('Facilities'!$E$9:$E$108,MATCH(C76,'Facilities'!$C$9:$C$108,0))),""))</x:f>
      </x:c>
      <x:c r="F76" s="9" t="str">
        <x:f>IF(C76="","",IFERROR(IF(INDEX('Facilities'!$U$9:$U$108,MATCH(C76,'Facilities'!$C$9:$C$108,0))="","",INDEX('Facilities'!$U$9:$U$108,MATCH(C76,'Facilities'!$C$9:$C$108,0))),""))</x:f>
      </x:c>
      <x:c r="G76" s="23" t="str">
        <x:f>IF(C76="","",IFERROR(IF(INDEX('Facilities'!$AA$9:$AA$108,MATCH(C76,'Facilities'!$C$9:$C$108,0))="","",INDEX('Facilities'!$AA$9:$AA$108,MATCH(C76,'Facilities'!$C$9:$C$108,0))),""))</x:f>
      </x:c>
      <x:c r="H76" s="23" t="str">
        <x:f>IF(C76="","",IFERROR(IF(INDEX('Inventory'!$N$9:$N$108,MATCH(F76,'Inventory'!$C$9:$C$108,0))="","",INDEX('Inventory'!$N$9:$N$108,MATCH(F76,'Inventory'!$C$9:$C$108,0))),""))</x:f>
      </x:c>
      <x:c r="I76" s="17" t="str">
        <x:f>IF(R76="Ready",G76/H76,"")</x:f>
      </x:c>
      <x:c r="J76" s="23" t="str">
        <x:f>IF(AND(R76="Ready",S76="Ready"),I76*IFERROR(IF(INDEX('Inventory'!$T$9:$T$108,MATCH(F76,'Inventory'!$C$9:$C$108,0))="","",INDEX('Inventory'!$T$9:$T$108,MATCH(F76,'Inventory'!$C$9:$C$108,0))),""),"")</x:f>
      </x:c>
      <x:c r="K76" s="23" t="str">
        <x:f>IF(AND(R76="Ready",T76="Ready"),I76*IFERROR(IF(INDEX('Inventory'!$Z$9:$Z$108,MATCH(F76,'Inventory'!$C$9:$C$108,0))="","",INDEX('Inventory'!$Z$9:$Z$108,MATCH(F76,'Inventory'!$C$9:$C$108,0))),""),"")</x:f>
      </x:c>
      <x:c r="L76" s="23" t="str">
        <x:f>IF(AND(R76="Ready",U76="Ready"),I76*IFERROR(IF(INDEX('Inventory'!$AG$9:$AG$108,MATCH(F76,'Inventory'!$C$9:$C$108,0))="","",INDEX('Inventory'!$AG$9:$AG$108,MATCH(F76,'Inventory'!$C$9:$C$108,0))),""),"")</x:f>
      </x:c>
      <x:c r="M76" s="21" t="n">
        <x:f>IF(AND(R76="Ready",S76="Ready",T76="Ready"),G76,0)</x:f>
        <x:v>0</x:v>
      </x:c>
      <x:c r="N76" s="21" t="n">
        <x:f>IF(AND(R76="Ready",U76="Ready"),G76,0)</x:f>
        <x:v>0</x:v>
      </x:c>
      <x:c r="O76" s="42" t="str">
        <x:f>IF(C76="","",IFERROR(IF(INDEX('Inventory'!$U$9:$U$108,MATCH(F76,'Inventory'!$C$9:$C$108,0))="","",INDEX('Inventory'!$U$9:$U$108,MATCH(F76,'Inventory'!$C$9:$C$108,0))),""))</x:f>
      </x:c>
      <x:c r="P76" s="42" t="str">
        <x:f>IF(C76="","",IFERROR(IF(INDEX('Inventory'!$AA$9:$AA$108,MATCH(F76,'Inventory'!$C$9:$C$108,0))="","",INDEX('Inventory'!$AA$9:$AA$108,MATCH(F76,'Inventory'!$C$9:$C$108,0))),""))</x:f>
      </x:c>
      <x:c r="Q76" s="42" t="str">
        <x:f>IF(C76="","",IFERROR(IF(INDEX('Inventory'!$AH$9:$AH$108,MATCH(F76,'Inventory'!$C$9:$C$108,0))="","",INDEX('Inventory'!$AH$9:$AH$108,MATCH(F76,'Inventory'!$C$9:$C$108,0))),""))</x:f>
      </x:c>
      <x:c r="R76" s="9" t="str">
        <x:f>IF(C76="","",IF(COUNTIFS('Facilities'!$C$9:$C$108,C76)&lt;&gt;1,"Duplicate facility ID",IF(OR(NOT(ISNUMBER(IFERROR(IF(INDEX('Facilities'!$G$9:$G$108,MATCH(C76,'Facilities'!$C$9:$C$108,0))="","",INDEX('Facilities'!$G$9:$G$108,MATCH(C76,'Facilities'!$C$9:$C$108,0))),""))),NOT(ISNUMBER(G76)),G76&lt;0,IFERROR(IF(INDEX('Facilities'!$Z$9:$Z$108,MATCH(C76,'Facilities'!$C$9:$C$108,0))="","",INDEX('Facilities'!$Z$9:$Z$108,MATCH(C76,'Facilities'!$C$9:$C$108,0))),"")&lt;=0),"Drawn value required",IF(COUNTIFS('Inventory'!$C$9:$C$108,F76)&lt;&gt;1,"Entity required",IF(OR(E76&lt;&gt;IFERROR(IF(INDEX('Inventory'!$F$9:$F$108,MATCH(F76,'Inventory'!$C$9:$C$108,0))="","",INDEX('Inventory'!$F$9:$F$108,MATCH(F76,'Inventory'!$C$9:$C$108,0))),""),D76&lt;&gt;IFERROR(IF(INDEX('Inventory'!$D$9:$D$108,MATCH(F76,'Inventory'!$C$9:$C$108,0))="","",INDEX('Inventory'!$D$9:$D$108,MATCH(F76,'Inventory'!$C$9:$C$108,0))),"")),"Entity / class mismatch",IF(IFERROR(IF(INDEX('Inventory'!$AL$9:$AL$108,MATCH(F76,'Inventory'!$C$9:$C$108,0))="","",INDEX('Inventory'!$AL$9:$AL$108,MATCH(F76,'Inventory'!$C$9:$C$108,0))),"")&lt;&gt;"Ready",IFERROR(IF(INDEX('Inventory'!$AL$9:$AL$108,MATCH(F76,'Inventory'!$C$9:$C$108,0))="","",INDEX('Inventory'!$AL$9:$AL$108,MATCH(F76,'Inventory'!$C$9:$C$108,0))),""),IF(AND(OR(E76="Project finance",E76="CRE",E76="Mortgage",E76="Motor"),IFERROR(IF(INDEX('Facilities'!$V$9:$V$108,MATCH(C76,'Facilities'!$C$9:$C$108,0))="","",INDEX('Facilities'!$V$9:$V$108,MATCH(C76,'Facilities'!$C$9:$C$108,0))),"")&lt;&gt;"Designated asset"),"Purpose review",IF(X76&gt;H76,"Exposure exceeds value","Ready"))))))))</x:f>
      </x:c>
      <x:c r="S76" s="9" t="str">
        <x:f>IF(C76="","",IFERROR(IF(INDEX('Inventory'!$V$9:$V$108,MATCH(F76,'Inventory'!$C$9:$C$108,0))="","",INDEX('Inventory'!$V$9:$V$108,MATCH(F76,'Inventory'!$C$9:$C$108,0))),""))</x:f>
      </x:c>
      <x:c r="T76" s="9" t="str">
        <x:f>IF(C76="","",IFERROR(IF(INDEX('Inventory'!$AB$9:$AB$108,MATCH(F76,'Inventory'!$C$9:$C$108,0))="","",INDEX('Inventory'!$AB$9:$AB$108,MATCH(F76,'Inventory'!$C$9:$C$108,0))),""))</x:f>
      </x:c>
      <x:c r="U76" s="9" t="str">
        <x:f>IF(C76="","",IFERROR(IF(INDEX('Inventory'!$AI$9:$AI$108,MATCH(F76,'Inventory'!$C$9:$C$108,0))="","",INDEX('Inventory'!$AI$9:$AI$108,MATCH(F76,'Inventory'!$C$9:$C$108,0))),""))</x:f>
      </x:c>
      <x:c r="V76" s="43" t="str">
        <x:f>IF(C76="","",IFERROR(IF(INDEX('Inventory'!$P$9:$P$108,MATCH(F76,'Inventory'!$C$9:$C$108,0))="","",INDEX('Inventory'!$P$9:$P$108,MATCH(F76,'Inventory'!$C$9:$C$108,0))),""))</x:f>
      </x:c>
      <x:c r="W76" s="3" t="str">
        <x:f>IF(C76="","",IF(E76="Corporate listed","PCAF 2025 pp40-46",IF(E76="Corporate private","PCAF 2025 pp55-60",IF(E76="Project finance","PCAF 2025 pp67-71",IF(E76="CRE","PCAF 2025 pp77-81",IF(E76="Mortgage","PCAF 2025 pp83-87",IF(E76="Motor","PCAF 2025 pp90-94","Method required")))))))</x:f>
      </x:c>
      <x:c r="X76" s="23" t="str">
        <x:f>IF(C76="","",SUMIFS('Facilities'!$AA$9:$AA$108,'Facilities'!$U$9:$U$108,F76))</x:f>
      </x:c>
      <x:c r="Y76" s="21" t="n">
        <x:f>IF(AND(R76="Ready",S76="Ready"),G76,0)</x:f>
        <x:v>0</x:v>
      </x:c>
      <x:c r="Z76" s="21" t="n">
        <x:f>IF(AND(R76="Ready",T76="Ready"),G76,0)</x:f>
        <x:v>0</x:v>
      </x:c>
      <x:c r="AA76" s="21" t="n">
        <x:f>IF(Y76&gt;0,Y76*O76,0)</x:f>
        <x:v>0</x:v>
      </x:c>
      <x:c r="AB76" s="21" t="n">
        <x:f>IF(Z76&gt;0,Z76*P76,0)</x:f>
        <x:v>0</x:v>
      </x:c>
      <x:c r="AC76" s="21" t="n">
        <x:f>IF(N76&gt;0,N76*Q76,0)</x:f>
        <x:v>0</x:v>
      </x:c>
      <x:c r="AD76" s="21" t="n">
        <x:f>IF(M76&gt;0,M76*MAX(O76,P76),0)</x:f>
        <x:v>0</x:v>
      </x:c>
      <x:c r="AE76" s="9" t="str">
        <x:f>IF(C76="","",IFERROR(IF(INDEX('Inventory'!$AC$9:$AC$108,MATCH(F76,'Inventory'!$C$9:$C$108,0))="","",INDEX('Inventory'!$AC$9:$AC$108,MATCH(F76,'Inventory'!$C$9:$C$108,0))),""))</x:f>
      </x:c>
      <x:c r="AF76" s="9" t="str">
        <x:f>IF(C76="","",IFERROR(IF(INDEX('Inventory'!$AN$9:$AN$108,MATCH(F76,'Inventory'!$C$9:$C$108,0))="","",INDEX('Inventory'!$AN$9:$AN$108,MATCH(F76,'Inventory'!$C$9:$C$108,0))),""))</x:f>
      </x:c>
    </x:row>
    <x:row r="77" ht="26" customHeight="1">
      <x:c r="A77" s="1"/>
      <x:c r="B77" s="1"/>
      <x:c r="C77" s="9" t="str">
        <x:f>IF('Facilities'!C77="","",'Facilities'!C77)</x:f>
      </x:c>
      <x:c r="D77" s="9" t="str">
        <x:f>IF(C77="","",IFERROR(IF(INDEX('Facilities'!$D$9:$D$108,MATCH(C77,'Facilities'!$C$9:$C$108,0))="","",INDEX('Facilities'!$D$9:$D$108,MATCH(C77,'Facilities'!$C$9:$C$108,0))),""))</x:f>
      </x:c>
      <x:c r="E77" s="9" t="str">
        <x:f>IF(C77="","",IFERROR(IF(INDEX('Facilities'!$E$9:$E$108,MATCH(C77,'Facilities'!$C$9:$C$108,0))="","",INDEX('Facilities'!$E$9:$E$108,MATCH(C77,'Facilities'!$C$9:$C$108,0))),""))</x:f>
      </x:c>
      <x:c r="F77" s="9" t="str">
        <x:f>IF(C77="","",IFERROR(IF(INDEX('Facilities'!$U$9:$U$108,MATCH(C77,'Facilities'!$C$9:$C$108,0))="","",INDEX('Facilities'!$U$9:$U$108,MATCH(C77,'Facilities'!$C$9:$C$108,0))),""))</x:f>
      </x:c>
      <x:c r="G77" s="23" t="str">
        <x:f>IF(C77="","",IFERROR(IF(INDEX('Facilities'!$AA$9:$AA$108,MATCH(C77,'Facilities'!$C$9:$C$108,0))="","",INDEX('Facilities'!$AA$9:$AA$108,MATCH(C77,'Facilities'!$C$9:$C$108,0))),""))</x:f>
      </x:c>
      <x:c r="H77" s="23" t="str">
        <x:f>IF(C77="","",IFERROR(IF(INDEX('Inventory'!$N$9:$N$108,MATCH(F77,'Inventory'!$C$9:$C$108,0))="","",INDEX('Inventory'!$N$9:$N$108,MATCH(F77,'Inventory'!$C$9:$C$108,0))),""))</x:f>
      </x:c>
      <x:c r="I77" s="17" t="str">
        <x:f>IF(R77="Ready",G77/H77,"")</x:f>
      </x:c>
      <x:c r="J77" s="23" t="str">
        <x:f>IF(AND(R77="Ready",S77="Ready"),I77*IFERROR(IF(INDEX('Inventory'!$T$9:$T$108,MATCH(F77,'Inventory'!$C$9:$C$108,0))="","",INDEX('Inventory'!$T$9:$T$108,MATCH(F77,'Inventory'!$C$9:$C$108,0))),""),"")</x:f>
      </x:c>
      <x:c r="K77" s="23" t="str">
        <x:f>IF(AND(R77="Ready",T77="Ready"),I77*IFERROR(IF(INDEX('Inventory'!$Z$9:$Z$108,MATCH(F77,'Inventory'!$C$9:$C$108,0))="","",INDEX('Inventory'!$Z$9:$Z$108,MATCH(F77,'Inventory'!$C$9:$C$108,0))),""),"")</x:f>
      </x:c>
      <x:c r="L77" s="23" t="str">
        <x:f>IF(AND(R77="Ready",U77="Ready"),I77*IFERROR(IF(INDEX('Inventory'!$AG$9:$AG$108,MATCH(F77,'Inventory'!$C$9:$C$108,0))="","",INDEX('Inventory'!$AG$9:$AG$108,MATCH(F77,'Inventory'!$C$9:$C$108,0))),""),"")</x:f>
      </x:c>
      <x:c r="M77" s="21" t="n">
        <x:f>IF(AND(R77="Ready",S77="Ready",T77="Ready"),G77,0)</x:f>
        <x:v>0</x:v>
      </x:c>
      <x:c r="N77" s="21" t="n">
        <x:f>IF(AND(R77="Ready",U77="Ready"),G77,0)</x:f>
        <x:v>0</x:v>
      </x:c>
      <x:c r="O77" s="42" t="str">
        <x:f>IF(C77="","",IFERROR(IF(INDEX('Inventory'!$U$9:$U$108,MATCH(F77,'Inventory'!$C$9:$C$108,0))="","",INDEX('Inventory'!$U$9:$U$108,MATCH(F77,'Inventory'!$C$9:$C$108,0))),""))</x:f>
      </x:c>
      <x:c r="P77" s="42" t="str">
        <x:f>IF(C77="","",IFERROR(IF(INDEX('Inventory'!$AA$9:$AA$108,MATCH(F77,'Inventory'!$C$9:$C$108,0))="","",INDEX('Inventory'!$AA$9:$AA$108,MATCH(F77,'Inventory'!$C$9:$C$108,0))),""))</x:f>
      </x:c>
      <x:c r="Q77" s="42" t="str">
        <x:f>IF(C77="","",IFERROR(IF(INDEX('Inventory'!$AH$9:$AH$108,MATCH(F77,'Inventory'!$C$9:$C$108,0))="","",INDEX('Inventory'!$AH$9:$AH$108,MATCH(F77,'Inventory'!$C$9:$C$108,0))),""))</x:f>
      </x:c>
      <x:c r="R77" s="9" t="str">
        <x:f>IF(C77="","",IF(COUNTIFS('Facilities'!$C$9:$C$108,C77)&lt;&gt;1,"Duplicate facility ID",IF(OR(NOT(ISNUMBER(IFERROR(IF(INDEX('Facilities'!$G$9:$G$108,MATCH(C77,'Facilities'!$C$9:$C$108,0))="","",INDEX('Facilities'!$G$9:$G$108,MATCH(C77,'Facilities'!$C$9:$C$108,0))),""))),NOT(ISNUMBER(G77)),G77&lt;0,IFERROR(IF(INDEX('Facilities'!$Z$9:$Z$108,MATCH(C77,'Facilities'!$C$9:$C$108,0))="","",INDEX('Facilities'!$Z$9:$Z$108,MATCH(C77,'Facilities'!$C$9:$C$108,0))),"")&lt;=0),"Drawn value required",IF(COUNTIFS('Inventory'!$C$9:$C$108,F77)&lt;&gt;1,"Entity required",IF(OR(E77&lt;&gt;IFERROR(IF(INDEX('Inventory'!$F$9:$F$108,MATCH(F77,'Inventory'!$C$9:$C$108,0))="","",INDEX('Inventory'!$F$9:$F$108,MATCH(F77,'Inventory'!$C$9:$C$108,0))),""),D77&lt;&gt;IFERROR(IF(INDEX('Inventory'!$D$9:$D$108,MATCH(F77,'Inventory'!$C$9:$C$108,0))="","",INDEX('Inventory'!$D$9:$D$108,MATCH(F77,'Inventory'!$C$9:$C$108,0))),"")),"Entity / class mismatch",IF(IFERROR(IF(INDEX('Inventory'!$AL$9:$AL$108,MATCH(F77,'Inventory'!$C$9:$C$108,0))="","",INDEX('Inventory'!$AL$9:$AL$108,MATCH(F77,'Inventory'!$C$9:$C$108,0))),"")&lt;&gt;"Ready",IFERROR(IF(INDEX('Inventory'!$AL$9:$AL$108,MATCH(F77,'Inventory'!$C$9:$C$108,0))="","",INDEX('Inventory'!$AL$9:$AL$108,MATCH(F77,'Inventory'!$C$9:$C$108,0))),""),IF(AND(OR(E77="Project finance",E77="CRE",E77="Mortgage",E77="Motor"),IFERROR(IF(INDEX('Facilities'!$V$9:$V$108,MATCH(C77,'Facilities'!$C$9:$C$108,0))="","",INDEX('Facilities'!$V$9:$V$108,MATCH(C77,'Facilities'!$C$9:$C$108,0))),"")&lt;&gt;"Designated asset"),"Purpose review",IF(X77&gt;H77,"Exposure exceeds value","Ready"))))))))</x:f>
      </x:c>
      <x:c r="S77" s="9" t="str">
        <x:f>IF(C77="","",IFERROR(IF(INDEX('Inventory'!$V$9:$V$108,MATCH(F77,'Inventory'!$C$9:$C$108,0))="","",INDEX('Inventory'!$V$9:$V$108,MATCH(F77,'Inventory'!$C$9:$C$108,0))),""))</x:f>
      </x:c>
      <x:c r="T77" s="9" t="str">
        <x:f>IF(C77="","",IFERROR(IF(INDEX('Inventory'!$AB$9:$AB$108,MATCH(F77,'Inventory'!$C$9:$C$108,0))="","",INDEX('Inventory'!$AB$9:$AB$108,MATCH(F77,'Inventory'!$C$9:$C$108,0))),""))</x:f>
      </x:c>
      <x:c r="U77" s="9" t="str">
        <x:f>IF(C77="","",IFERROR(IF(INDEX('Inventory'!$AI$9:$AI$108,MATCH(F77,'Inventory'!$C$9:$C$108,0))="","",INDEX('Inventory'!$AI$9:$AI$108,MATCH(F77,'Inventory'!$C$9:$C$108,0))),""))</x:f>
      </x:c>
      <x:c r="V77" s="43" t="str">
        <x:f>IF(C77="","",IFERROR(IF(INDEX('Inventory'!$P$9:$P$108,MATCH(F77,'Inventory'!$C$9:$C$108,0))="","",INDEX('Inventory'!$P$9:$P$108,MATCH(F77,'Inventory'!$C$9:$C$108,0))),""))</x:f>
      </x:c>
      <x:c r="W77" s="3" t="str">
        <x:f>IF(C77="","",IF(E77="Corporate listed","PCAF 2025 pp40-46",IF(E77="Corporate private","PCAF 2025 pp55-60",IF(E77="Project finance","PCAF 2025 pp67-71",IF(E77="CRE","PCAF 2025 pp77-81",IF(E77="Mortgage","PCAF 2025 pp83-87",IF(E77="Motor","PCAF 2025 pp90-94","Method required")))))))</x:f>
      </x:c>
      <x:c r="X77" s="23" t="str">
        <x:f>IF(C77="","",SUMIFS('Facilities'!$AA$9:$AA$108,'Facilities'!$U$9:$U$108,F77))</x:f>
      </x:c>
      <x:c r="Y77" s="21" t="n">
        <x:f>IF(AND(R77="Ready",S77="Ready"),G77,0)</x:f>
        <x:v>0</x:v>
      </x:c>
      <x:c r="Z77" s="21" t="n">
        <x:f>IF(AND(R77="Ready",T77="Ready"),G77,0)</x:f>
        <x:v>0</x:v>
      </x:c>
      <x:c r="AA77" s="21" t="n">
        <x:f>IF(Y77&gt;0,Y77*O77,0)</x:f>
        <x:v>0</x:v>
      </x:c>
      <x:c r="AB77" s="21" t="n">
        <x:f>IF(Z77&gt;0,Z77*P77,0)</x:f>
        <x:v>0</x:v>
      </x:c>
      <x:c r="AC77" s="21" t="n">
        <x:f>IF(N77&gt;0,N77*Q77,0)</x:f>
        <x:v>0</x:v>
      </x:c>
      <x:c r="AD77" s="21" t="n">
        <x:f>IF(M77&gt;0,M77*MAX(O77,P77),0)</x:f>
        <x:v>0</x:v>
      </x:c>
      <x:c r="AE77" s="9" t="str">
        <x:f>IF(C77="","",IFERROR(IF(INDEX('Inventory'!$AC$9:$AC$108,MATCH(F77,'Inventory'!$C$9:$C$108,0))="","",INDEX('Inventory'!$AC$9:$AC$108,MATCH(F77,'Inventory'!$C$9:$C$108,0))),""))</x:f>
      </x:c>
      <x:c r="AF77" s="9" t="str">
        <x:f>IF(C77="","",IFERROR(IF(INDEX('Inventory'!$AN$9:$AN$108,MATCH(F77,'Inventory'!$C$9:$C$108,0))="","",INDEX('Inventory'!$AN$9:$AN$108,MATCH(F77,'Inventory'!$C$9:$C$108,0))),""))</x:f>
      </x:c>
    </x:row>
    <x:row r="78" ht="26" customHeight="1">
      <x:c r="A78" s="1"/>
      <x:c r="B78" s="1"/>
      <x:c r="C78" s="9" t="str">
        <x:f>IF('Facilities'!C78="","",'Facilities'!C78)</x:f>
      </x:c>
      <x:c r="D78" s="9" t="str">
        <x:f>IF(C78="","",IFERROR(IF(INDEX('Facilities'!$D$9:$D$108,MATCH(C78,'Facilities'!$C$9:$C$108,0))="","",INDEX('Facilities'!$D$9:$D$108,MATCH(C78,'Facilities'!$C$9:$C$108,0))),""))</x:f>
      </x:c>
      <x:c r="E78" s="9" t="str">
        <x:f>IF(C78="","",IFERROR(IF(INDEX('Facilities'!$E$9:$E$108,MATCH(C78,'Facilities'!$C$9:$C$108,0))="","",INDEX('Facilities'!$E$9:$E$108,MATCH(C78,'Facilities'!$C$9:$C$108,0))),""))</x:f>
      </x:c>
      <x:c r="F78" s="9" t="str">
        <x:f>IF(C78="","",IFERROR(IF(INDEX('Facilities'!$U$9:$U$108,MATCH(C78,'Facilities'!$C$9:$C$108,0))="","",INDEX('Facilities'!$U$9:$U$108,MATCH(C78,'Facilities'!$C$9:$C$108,0))),""))</x:f>
      </x:c>
      <x:c r="G78" s="23" t="str">
        <x:f>IF(C78="","",IFERROR(IF(INDEX('Facilities'!$AA$9:$AA$108,MATCH(C78,'Facilities'!$C$9:$C$108,0))="","",INDEX('Facilities'!$AA$9:$AA$108,MATCH(C78,'Facilities'!$C$9:$C$108,0))),""))</x:f>
      </x:c>
      <x:c r="H78" s="23" t="str">
        <x:f>IF(C78="","",IFERROR(IF(INDEX('Inventory'!$N$9:$N$108,MATCH(F78,'Inventory'!$C$9:$C$108,0))="","",INDEX('Inventory'!$N$9:$N$108,MATCH(F78,'Inventory'!$C$9:$C$108,0))),""))</x:f>
      </x:c>
      <x:c r="I78" s="17" t="str">
        <x:f>IF(R78="Ready",G78/H78,"")</x:f>
      </x:c>
      <x:c r="J78" s="23" t="str">
        <x:f>IF(AND(R78="Ready",S78="Ready"),I78*IFERROR(IF(INDEX('Inventory'!$T$9:$T$108,MATCH(F78,'Inventory'!$C$9:$C$108,0))="","",INDEX('Inventory'!$T$9:$T$108,MATCH(F78,'Inventory'!$C$9:$C$108,0))),""),"")</x:f>
      </x:c>
      <x:c r="K78" s="23" t="str">
        <x:f>IF(AND(R78="Ready",T78="Ready"),I78*IFERROR(IF(INDEX('Inventory'!$Z$9:$Z$108,MATCH(F78,'Inventory'!$C$9:$C$108,0))="","",INDEX('Inventory'!$Z$9:$Z$108,MATCH(F78,'Inventory'!$C$9:$C$108,0))),""),"")</x:f>
      </x:c>
      <x:c r="L78" s="23" t="str">
        <x:f>IF(AND(R78="Ready",U78="Ready"),I78*IFERROR(IF(INDEX('Inventory'!$AG$9:$AG$108,MATCH(F78,'Inventory'!$C$9:$C$108,0))="","",INDEX('Inventory'!$AG$9:$AG$108,MATCH(F78,'Inventory'!$C$9:$C$108,0))),""),"")</x:f>
      </x:c>
      <x:c r="M78" s="21" t="n">
        <x:f>IF(AND(R78="Ready",S78="Ready",T78="Ready"),G78,0)</x:f>
        <x:v>0</x:v>
      </x:c>
      <x:c r="N78" s="21" t="n">
        <x:f>IF(AND(R78="Ready",U78="Ready"),G78,0)</x:f>
        <x:v>0</x:v>
      </x:c>
      <x:c r="O78" s="42" t="str">
        <x:f>IF(C78="","",IFERROR(IF(INDEX('Inventory'!$U$9:$U$108,MATCH(F78,'Inventory'!$C$9:$C$108,0))="","",INDEX('Inventory'!$U$9:$U$108,MATCH(F78,'Inventory'!$C$9:$C$108,0))),""))</x:f>
      </x:c>
      <x:c r="P78" s="42" t="str">
        <x:f>IF(C78="","",IFERROR(IF(INDEX('Inventory'!$AA$9:$AA$108,MATCH(F78,'Inventory'!$C$9:$C$108,0))="","",INDEX('Inventory'!$AA$9:$AA$108,MATCH(F78,'Inventory'!$C$9:$C$108,0))),""))</x:f>
      </x:c>
      <x:c r="Q78" s="42" t="str">
        <x:f>IF(C78="","",IFERROR(IF(INDEX('Inventory'!$AH$9:$AH$108,MATCH(F78,'Inventory'!$C$9:$C$108,0))="","",INDEX('Inventory'!$AH$9:$AH$108,MATCH(F78,'Inventory'!$C$9:$C$108,0))),""))</x:f>
      </x:c>
      <x:c r="R78" s="9" t="str">
        <x:f>IF(C78="","",IF(COUNTIFS('Facilities'!$C$9:$C$108,C78)&lt;&gt;1,"Duplicate facility ID",IF(OR(NOT(ISNUMBER(IFERROR(IF(INDEX('Facilities'!$G$9:$G$108,MATCH(C78,'Facilities'!$C$9:$C$108,0))="","",INDEX('Facilities'!$G$9:$G$108,MATCH(C78,'Facilities'!$C$9:$C$108,0))),""))),NOT(ISNUMBER(G78)),G78&lt;0,IFERROR(IF(INDEX('Facilities'!$Z$9:$Z$108,MATCH(C78,'Facilities'!$C$9:$C$108,0))="","",INDEX('Facilities'!$Z$9:$Z$108,MATCH(C78,'Facilities'!$C$9:$C$108,0))),"")&lt;=0),"Drawn value required",IF(COUNTIFS('Inventory'!$C$9:$C$108,F78)&lt;&gt;1,"Entity required",IF(OR(E78&lt;&gt;IFERROR(IF(INDEX('Inventory'!$F$9:$F$108,MATCH(F78,'Inventory'!$C$9:$C$108,0))="","",INDEX('Inventory'!$F$9:$F$108,MATCH(F78,'Inventory'!$C$9:$C$108,0))),""),D78&lt;&gt;IFERROR(IF(INDEX('Inventory'!$D$9:$D$108,MATCH(F78,'Inventory'!$C$9:$C$108,0))="","",INDEX('Inventory'!$D$9:$D$108,MATCH(F78,'Inventory'!$C$9:$C$108,0))),"")),"Entity / class mismatch",IF(IFERROR(IF(INDEX('Inventory'!$AL$9:$AL$108,MATCH(F78,'Inventory'!$C$9:$C$108,0))="","",INDEX('Inventory'!$AL$9:$AL$108,MATCH(F78,'Inventory'!$C$9:$C$108,0))),"")&lt;&gt;"Ready",IFERROR(IF(INDEX('Inventory'!$AL$9:$AL$108,MATCH(F78,'Inventory'!$C$9:$C$108,0))="","",INDEX('Inventory'!$AL$9:$AL$108,MATCH(F78,'Inventory'!$C$9:$C$108,0))),""),IF(AND(OR(E78="Project finance",E78="CRE",E78="Mortgage",E78="Motor"),IFERROR(IF(INDEX('Facilities'!$V$9:$V$108,MATCH(C78,'Facilities'!$C$9:$C$108,0))="","",INDEX('Facilities'!$V$9:$V$108,MATCH(C78,'Facilities'!$C$9:$C$108,0))),"")&lt;&gt;"Designated asset"),"Purpose review",IF(X78&gt;H78,"Exposure exceeds value","Ready"))))))))</x:f>
      </x:c>
      <x:c r="S78" s="9" t="str">
        <x:f>IF(C78="","",IFERROR(IF(INDEX('Inventory'!$V$9:$V$108,MATCH(F78,'Inventory'!$C$9:$C$108,0))="","",INDEX('Inventory'!$V$9:$V$108,MATCH(F78,'Inventory'!$C$9:$C$108,0))),""))</x:f>
      </x:c>
      <x:c r="T78" s="9" t="str">
        <x:f>IF(C78="","",IFERROR(IF(INDEX('Inventory'!$AB$9:$AB$108,MATCH(F78,'Inventory'!$C$9:$C$108,0))="","",INDEX('Inventory'!$AB$9:$AB$108,MATCH(F78,'Inventory'!$C$9:$C$108,0))),""))</x:f>
      </x:c>
      <x:c r="U78" s="9" t="str">
        <x:f>IF(C78="","",IFERROR(IF(INDEX('Inventory'!$AI$9:$AI$108,MATCH(F78,'Inventory'!$C$9:$C$108,0))="","",INDEX('Inventory'!$AI$9:$AI$108,MATCH(F78,'Inventory'!$C$9:$C$108,0))),""))</x:f>
      </x:c>
      <x:c r="V78" s="43" t="str">
        <x:f>IF(C78="","",IFERROR(IF(INDEX('Inventory'!$P$9:$P$108,MATCH(F78,'Inventory'!$C$9:$C$108,0))="","",INDEX('Inventory'!$P$9:$P$108,MATCH(F78,'Inventory'!$C$9:$C$108,0))),""))</x:f>
      </x:c>
      <x:c r="W78" s="3" t="str">
        <x:f>IF(C78="","",IF(E78="Corporate listed","PCAF 2025 pp40-46",IF(E78="Corporate private","PCAF 2025 pp55-60",IF(E78="Project finance","PCAF 2025 pp67-71",IF(E78="CRE","PCAF 2025 pp77-81",IF(E78="Mortgage","PCAF 2025 pp83-87",IF(E78="Motor","PCAF 2025 pp90-94","Method required")))))))</x:f>
      </x:c>
      <x:c r="X78" s="23" t="str">
        <x:f>IF(C78="","",SUMIFS('Facilities'!$AA$9:$AA$108,'Facilities'!$U$9:$U$108,F78))</x:f>
      </x:c>
      <x:c r="Y78" s="21" t="n">
        <x:f>IF(AND(R78="Ready",S78="Ready"),G78,0)</x:f>
        <x:v>0</x:v>
      </x:c>
      <x:c r="Z78" s="21" t="n">
        <x:f>IF(AND(R78="Ready",T78="Ready"),G78,0)</x:f>
        <x:v>0</x:v>
      </x:c>
      <x:c r="AA78" s="21" t="n">
        <x:f>IF(Y78&gt;0,Y78*O78,0)</x:f>
        <x:v>0</x:v>
      </x:c>
      <x:c r="AB78" s="21" t="n">
        <x:f>IF(Z78&gt;0,Z78*P78,0)</x:f>
        <x:v>0</x:v>
      </x:c>
      <x:c r="AC78" s="21" t="n">
        <x:f>IF(N78&gt;0,N78*Q78,0)</x:f>
        <x:v>0</x:v>
      </x:c>
      <x:c r="AD78" s="21" t="n">
        <x:f>IF(M78&gt;0,M78*MAX(O78,P78),0)</x:f>
        <x:v>0</x:v>
      </x:c>
      <x:c r="AE78" s="9" t="str">
        <x:f>IF(C78="","",IFERROR(IF(INDEX('Inventory'!$AC$9:$AC$108,MATCH(F78,'Inventory'!$C$9:$C$108,0))="","",INDEX('Inventory'!$AC$9:$AC$108,MATCH(F78,'Inventory'!$C$9:$C$108,0))),""))</x:f>
      </x:c>
      <x:c r="AF78" s="9" t="str">
        <x:f>IF(C78="","",IFERROR(IF(INDEX('Inventory'!$AN$9:$AN$108,MATCH(F78,'Inventory'!$C$9:$C$108,0))="","",INDEX('Inventory'!$AN$9:$AN$108,MATCH(F78,'Inventory'!$C$9:$C$108,0))),""))</x:f>
      </x:c>
    </x:row>
    <x:row r="79" ht="26" customHeight="1">
      <x:c r="A79" s="1"/>
      <x:c r="B79" s="1"/>
      <x:c r="C79" s="9" t="str">
        <x:f>IF('Facilities'!C79="","",'Facilities'!C79)</x:f>
      </x:c>
      <x:c r="D79" s="9" t="str">
        <x:f>IF(C79="","",IFERROR(IF(INDEX('Facilities'!$D$9:$D$108,MATCH(C79,'Facilities'!$C$9:$C$108,0))="","",INDEX('Facilities'!$D$9:$D$108,MATCH(C79,'Facilities'!$C$9:$C$108,0))),""))</x:f>
      </x:c>
      <x:c r="E79" s="9" t="str">
        <x:f>IF(C79="","",IFERROR(IF(INDEX('Facilities'!$E$9:$E$108,MATCH(C79,'Facilities'!$C$9:$C$108,0))="","",INDEX('Facilities'!$E$9:$E$108,MATCH(C79,'Facilities'!$C$9:$C$108,0))),""))</x:f>
      </x:c>
      <x:c r="F79" s="9" t="str">
        <x:f>IF(C79="","",IFERROR(IF(INDEX('Facilities'!$U$9:$U$108,MATCH(C79,'Facilities'!$C$9:$C$108,0))="","",INDEX('Facilities'!$U$9:$U$108,MATCH(C79,'Facilities'!$C$9:$C$108,0))),""))</x:f>
      </x:c>
      <x:c r="G79" s="23" t="str">
        <x:f>IF(C79="","",IFERROR(IF(INDEX('Facilities'!$AA$9:$AA$108,MATCH(C79,'Facilities'!$C$9:$C$108,0))="","",INDEX('Facilities'!$AA$9:$AA$108,MATCH(C79,'Facilities'!$C$9:$C$108,0))),""))</x:f>
      </x:c>
      <x:c r="H79" s="23" t="str">
        <x:f>IF(C79="","",IFERROR(IF(INDEX('Inventory'!$N$9:$N$108,MATCH(F79,'Inventory'!$C$9:$C$108,0))="","",INDEX('Inventory'!$N$9:$N$108,MATCH(F79,'Inventory'!$C$9:$C$108,0))),""))</x:f>
      </x:c>
      <x:c r="I79" s="17" t="str">
        <x:f>IF(R79="Ready",G79/H79,"")</x:f>
      </x:c>
      <x:c r="J79" s="23" t="str">
        <x:f>IF(AND(R79="Ready",S79="Ready"),I79*IFERROR(IF(INDEX('Inventory'!$T$9:$T$108,MATCH(F79,'Inventory'!$C$9:$C$108,0))="","",INDEX('Inventory'!$T$9:$T$108,MATCH(F79,'Inventory'!$C$9:$C$108,0))),""),"")</x:f>
      </x:c>
      <x:c r="K79" s="23" t="str">
        <x:f>IF(AND(R79="Ready",T79="Ready"),I79*IFERROR(IF(INDEX('Inventory'!$Z$9:$Z$108,MATCH(F79,'Inventory'!$C$9:$C$108,0))="","",INDEX('Inventory'!$Z$9:$Z$108,MATCH(F79,'Inventory'!$C$9:$C$108,0))),""),"")</x:f>
      </x:c>
      <x:c r="L79" s="23" t="str">
        <x:f>IF(AND(R79="Ready",U79="Ready"),I79*IFERROR(IF(INDEX('Inventory'!$AG$9:$AG$108,MATCH(F79,'Inventory'!$C$9:$C$108,0))="","",INDEX('Inventory'!$AG$9:$AG$108,MATCH(F79,'Inventory'!$C$9:$C$108,0))),""),"")</x:f>
      </x:c>
      <x:c r="M79" s="21" t="n">
        <x:f>IF(AND(R79="Ready",S79="Ready",T79="Ready"),G79,0)</x:f>
        <x:v>0</x:v>
      </x:c>
      <x:c r="N79" s="21" t="n">
        <x:f>IF(AND(R79="Ready",U79="Ready"),G79,0)</x:f>
        <x:v>0</x:v>
      </x:c>
      <x:c r="O79" s="42" t="str">
        <x:f>IF(C79="","",IFERROR(IF(INDEX('Inventory'!$U$9:$U$108,MATCH(F79,'Inventory'!$C$9:$C$108,0))="","",INDEX('Inventory'!$U$9:$U$108,MATCH(F79,'Inventory'!$C$9:$C$108,0))),""))</x:f>
      </x:c>
      <x:c r="P79" s="42" t="str">
        <x:f>IF(C79="","",IFERROR(IF(INDEX('Inventory'!$AA$9:$AA$108,MATCH(F79,'Inventory'!$C$9:$C$108,0))="","",INDEX('Inventory'!$AA$9:$AA$108,MATCH(F79,'Inventory'!$C$9:$C$108,0))),""))</x:f>
      </x:c>
      <x:c r="Q79" s="42" t="str">
        <x:f>IF(C79="","",IFERROR(IF(INDEX('Inventory'!$AH$9:$AH$108,MATCH(F79,'Inventory'!$C$9:$C$108,0))="","",INDEX('Inventory'!$AH$9:$AH$108,MATCH(F79,'Inventory'!$C$9:$C$108,0))),""))</x:f>
      </x:c>
      <x:c r="R79" s="9" t="str">
        <x:f>IF(C79="","",IF(COUNTIFS('Facilities'!$C$9:$C$108,C79)&lt;&gt;1,"Duplicate facility ID",IF(OR(NOT(ISNUMBER(IFERROR(IF(INDEX('Facilities'!$G$9:$G$108,MATCH(C79,'Facilities'!$C$9:$C$108,0))="","",INDEX('Facilities'!$G$9:$G$108,MATCH(C79,'Facilities'!$C$9:$C$108,0))),""))),NOT(ISNUMBER(G79)),G79&lt;0,IFERROR(IF(INDEX('Facilities'!$Z$9:$Z$108,MATCH(C79,'Facilities'!$C$9:$C$108,0))="","",INDEX('Facilities'!$Z$9:$Z$108,MATCH(C79,'Facilities'!$C$9:$C$108,0))),"")&lt;=0),"Drawn value required",IF(COUNTIFS('Inventory'!$C$9:$C$108,F79)&lt;&gt;1,"Entity required",IF(OR(E79&lt;&gt;IFERROR(IF(INDEX('Inventory'!$F$9:$F$108,MATCH(F79,'Inventory'!$C$9:$C$108,0))="","",INDEX('Inventory'!$F$9:$F$108,MATCH(F79,'Inventory'!$C$9:$C$108,0))),""),D79&lt;&gt;IFERROR(IF(INDEX('Inventory'!$D$9:$D$108,MATCH(F79,'Inventory'!$C$9:$C$108,0))="","",INDEX('Inventory'!$D$9:$D$108,MATCH(F79,'Inventory'!$C$9:$C$108,0))),"")),"Entity / class mismatch",IF(IFERROR(IF(INDEX('Inventory'!$AL$9:$AL$108,MATCH(F79,'Inventory'!$C$9:$C$108,0))="","",INDEX('Inventory'!$AL$9:$AL$108,MATCH(F79,'Inventory'!$C$9:$C$108,0))),"")&lt;&gt;"Ready",IFERROR(IF(INDEX('Inventory'!$AL$9:$AL$108,MATCH(F79,'Inventory'!$C$9:$C$108,0))="","",INDEX('Inventory'!$AL$9:$AL$108,MATCH(F79,'Inventory'!$C$9:$C$108,0))),""),IF(AND(OR(E79="Project finance",E79="CRE",E79="Mortgage",E79="Motor"),IFERROR(IF(INDEX('Facilities'!$V$9:$V$108,MATCH(C79,'Facilities'!$C$9:$C$108,0))="","",INDEX('Facilities'!$V$9:$V$108,MATCH(C79,'Facilities'!$C$9:$C$108,0))),"")&lt;&gt;"Designated asset"),"Purpose review",IF(X79&gt;H79,"Exposure exceeds value","Ready"))))))))</x:f>
      </x:c>
      <x:c r="S79" s="9" t="str">
        <x:f>IF(C79="","",IFERROR(IF(INDEX('Inventory'!$V$9:$V$108,MATCH(F79,'Inventory'!$C$9:$C$108,0))="","",INDEX('Inventory'!$V$9:$V$108,MATCH(F79,'Inventory'!$C$9:$C$108,0))),""))</x:f>
      </x:c>
      <x:c r="T79" s="9" t="str">
        <x:f>IF(C79="","",IFERROR(IF(INDEX('Inventory'!$AB$9:$AB$108,MATCH(F79,'Inventory'!$C$9:$C$108,0))="","",INDEX('Inventory'!$AB$9:$AB$108,MATCH(F79,'Inventory'!$C$9:$C$108,0))),""))</x:f>
      </x:c>
      <x:c r="U79" s="9" t="str">
        <x:f>IF(C79="","",IFERROR(IF(INDEX('Inventory'!$AI$9:$AI$108,MATCH(F79,'Inventory'!$C$9:$C$108,0))="","",INDEX('Inventory'!$AI$9:$AI$108,MATCH(F79,'Inventory'!$C$9:$C$108,0))),""))</x:f>
      </x:c>
      <x:c r="V79" s="43" t="str">
        <x:f>IF(C79="","",IFERROR(IF(INDEX('Inventory'!$P$9:$P$108,MATCH(F79,'Inventory'!$C$9:$C$108,0))="","",INDEX('Inventory'!$P$9:$P$108,MATCH(F79,'Inventory'!$C$9:$C$108,0))),""))</x:f>
      </x:c>
      <x:c r="W79" s="3" t="str">
        <x:f>IF(C79="","",IF(E79="Corporate listed","PCAF 2025 pp40-46",IF(E79="Corporate private","PCAF 2025 pp55-60",IF(E79="Project finance","PCAF 2025 pp67-71",IF(E79="CRE","PCAF 2025 pp77-81",IF(E79="Mortgage","PCAF 2025 pp83-87",IF(E79="Motor","PCAF 2025 pp90-94","Method required")))))))</x:f>
      </x:c>
      <x:c r="X79" s="23" t="str">
        <x:f>IF(C79="","",SUMIFS('Facilities'!$AA$9:$AA$108,'Facilities'!$U$9:$U$108,F79))</x:f>
      </x:c>
      <x:c r="Y79" s="21" t="n">
        <x:f>IF(AND(R79="Ready",S79="Ready"),G79,0)</x:f>
        <x:v>0</x:v>
      </x:c>
      <x:c r="Z79" s="21" t="n">
        <x:f>IF(AND(R79="Ready",T79="Ready"),G79,0)</x:f>
        <x:v>0</x:v>
      </x:c>
      <x:c r="AA79" s="21" t="n">
        <x:f>IF(Y79&gt;0,Y79*O79,0)</x:f>
        <x:v>0</x:v>
      </x:c>
      <x:c r="AB79" s="21" t="n">
        <x:f>IF(Z79&gt;0,Z79*P79,0)</x:f>
        <x:v>0</x:v>
      </x:c>
      <x:c r="AC79" s="21" t="n">
        <x:f>IF(N79&gt;0,N79*Q79,0)</x:f>
        <x:v>0</x:v>
      </x:c>
      <x:c r="AD79" s="21" t="n">
        <x:f>IF(M79&gt;0,M79*MAX(O79,P79),0)</x:f>
        <x:v>0</x:v>
      </x:c>
      <x:c r="AE79" s="9" t="str">
        <x:f>IF(C79="","",IFERROR(IF(INDEX('Inventory'!$AC$9:$AC$108,MATCH(F79,'Inventory'!$C$9:$C$108,0))="","",INDEX('Inventory'!$AC$9:$AC$108,MATCH(F79,'Inventory'!$C$9:$C$108,0))),""))</x:f>
      </x:c>
      <x:c r="AF79" s="9" t="str">
        <x:f>IF(C79="","",IFERROR(IF(INDEX('Inventory'!$AN$9:$AN$108,MATCH(F79,'Inventory'!$C$9:$C$108,0))="","",INDEX('Inventory'!$AN$9:$AN$108,MATCH(F79,'Inventory'!$C$9:$C$108,0))),""))</x:f>
      </x:c>
    </x:row>
    <x:row r="80" ht="26" customHeight="1">
      <x:c r="A80" s="1"/>
      <x:c r="B80" s="1"/>
      <x:c r="C80" s="9" t="str">
        <x:f>IF('Facilities'!C80="","",'Facilities'!C80)</x:f>
      </x:c>
      <x:c r="D80" s="9" t="str">
        <x:f>IF(C80="","",IFERROR(IF(INDEX('Facilities'!$D$9:$D$108,MATCH(C80,'Facilities'!$C$9:$C$108,0))="","",INDEX('Facilities'!$D$9:$D$108,MATCH(C80,'Facilities'!$C$9:$C$108,0))),""))</x:f>
      </x:c>
      <x:c r="E80" s="9" t="str">
        <x:f>IF(C80="","",IFERROR(IF(INDEX('Facilities'!$E$9:$E$108,MATCH(C80,'Facilities'!$C$9:$C$108,0))="","",INDEX('Facilities'!$E$9:$E$108,MATCH(C80,'Facilities'!$C$9:$C$108,0))),""))</x:f>
      </x:c>
      <x:c r="F80" s="9" t="str">
        <x:f>IF(C80="","",IFERROR(IF(INDEX('Facilities'!$U$9:$U$108,MATCH(C80,'Facilities'!$C$9:$C$108,0))="","",INDEX('Facilities'!$U$9:$U$108,MATCH(C80,'Facilities'!$C$9:$C$108,0))),""))</x:f>
      </x:c>
      <x:c r="G80" s="23" t="str">
        <x:f>IF(C80="","",IFERROR(IF(INDEX('Facilities'!$AA$9:$AA$108,MATCH(C80,'Facilities'!$C$9:$C$108,0))="","",INDEX('Facilities'!$AA$9:$AA$108,MATCH(C80,'Facilities'!$C$9:$C$108,0))),""))</x:f>
      </x:c>
      <x:c r="H80" s="23" t="str">
        <x:f>IF(C80="","",IFERROR(IF(INDEX('Inventory'!$N$9:$N$108,MATCH(F80,'Inventory'!$C$9:$C$108,0))="","",INDEX('Inventory'!$N$9:$N$108,MATCH(F80,'Inventory'!$C$9:$C$108,0))),""))</x:f>
      </x:c>
      <x:c r="I80" s="17" t="str">
        <x:f>IF(R80="Ready",G80/H80,"")</x:f>
      </x:c>
      <x:c r="J80" s="23" t="str">
        <x:f>IF(AND(R80="Ready",S80="Ready"),I80*IFERROR(IF(INDEX('Inventory'!$T$9:$T$108,MATCH(F80,'Inventory'!$C$9:$C$108,0))="","",INDEX('Inventory'!$T$9:$T$108,MATCH(F80,'Inventory'!$C$9:$C$108,0))),""),"")</x:f>
      </x:c>
      <x:c r="K80" s="23" t="str">
        <x:f>IF(AND(R80="Ready",T80="Ready"),I80*IFERROR(IF(INDEX('Inventory'!$Z$9:$Z$108,MATCH(F80,'Inventory'!$C$9:$C$108,0))="","",INDEX('Inventory'!$Z$9:$Z$108,MATCH(F80,'Inventory'!$C$9:$C$108,0))),""),"")</x:f>
      </x:c>
      <x:c r="L80" s="23" t="str">
        <x:f>IF(AND(R80="Ready",U80="Ready"),I80*IFERROR(IF(INDEX('Inventory'!$AG$9:$AG$108,MATCH(F80,'Inventory'!$C$9:$C$108,0))="","",INDEX('Inventory'!$AG$9:$AG$108,MATCH(F80,'Inventory'!$C$9:$C$108,0))),""),"")</x:f>
      </x:c>
      <x:c r="M80" s="21" t="n">
        <x:f>IF(AND(R80="Ready",S80="Ready",T80="Ready"),G80,0)</x:f>
        <x:v>0</x:v>
      </x:c>
      <x:c r="N80" s="21" t="n">
        <x:f>IF(AND(R80="Ready",U80="Ready"),G80,0)</x:f>
        <x:v>0</x:v>
      </x:c>
      <x:c r="O80" s="42" t="str">
        <x:f>IF(C80="","",IFERROR(IF(INDEX('Inventory'!$U$9:$U$108,MATCH(F80,'Inventory'!$C$9:$C$108,0))="","",INDEX('Inventory'!$U$9:$U$108,MATCH(F80,'Inventory'!$C$9:$C$108,0))),""))</x:f>
      </x:c>
      <x:c r="P80" s="42" t="str">
        <x:f>IF(C80="","",IFERROR(IF(INDEX('Inventory'!$AA$9:$AA$108,MATCH(F80,'Inventory'!$C$9:$C$108,0))="","",INDEX('Inventory'!$AA$9:$AA$108,MATCH(F80,'Inventory'!$C$9:$C$108,0))),""))</x:f>
      </x:c>
      <x:c r="Q80" s="42" t="str">
        <x:f>IF(C80="","",IFERROR(IF(INDEX('Inventory'!$AH$9:$AH$108,MATCH(F80,'Inventory'!$C$9:$C$108,0))="","",INDEX('Inventory'!$AH$9:$AH$108,MATCH(F80,'Inventory'!$C$9:$C$108,0))),""))</x:f>
      </x:c>
      <x:c r="R80" s="9" t="str">
        <x:f>IF(C80="","",IF(COUNTIFS('Facilities'!$C$9:$C$108,C80)&lt;&gt;1,"Duplicate facility ID",IF(OR(NOT(ISNUMBER(IFERROR(IF(INDEX('Facilities'!$G$9:$G$108,MATCH(C80,'Facilities'!$C$9:$C$108,0))="","",INDEX('Facilities'!$G$9:$G$108,MATCH(C80,'Facilities'!$C$9:$C$108,0))),""))),NOT(ISNUMBER(G80)),G80&lt;0,IFERROR(IF(INDEX('Facilities'!$Z$9:$Z$108,MATCH(C80,'Facilities'!$C$9:$C$108,0))="","",INDEX('Facilities'!$Z$9:$Z$108,MATCH(C80,'Facilities'!$C$9:$C$108,0))),"")&lt;=0),"Drawn value required",IF(COUNTIFS('Inventory'!$C$9:$C$108,F80)&lt;&gt;1,"Entity required",IF(OR(E80&lt;&gt;IFERROR(IF(INDEX('Inventory'!$F$9:$F$108,MATCH(F80,'Inventory'!$C$9:$C$108,0))="","",INDEX('Inventory'!$F$9:$F$108,MATCH(F80,'Inventory'!$C$9:$C$108,0))),""),D80&lt;&gt;IFERROR(IF(INDEX('Inventory'!$D$9:$D$108,MATCH(F80,'Inventory'!$C$9:$C$108,0))="","",INDEX('Inventory'!$D$9:$D$108,MATCH(F80,'Inventory'!$C$9:$C$108,0))),"")),"Entity / class mismatch",IF(IFERROR(IF(INDEX('Inventory'!$AL$9:$AL$108,MATCH(F80,'Inventory'!$C$9:$C$108,0))="","",INDEX('Inventory'!$AL$9:$AL$108,MATCH(F80,'Inventory'!$C$9:$C$108,0))),"")&lt;&gt;"Ready",IFERROR(IF(INDEX('Inventory'!$AL$9:$AL$108,MATCH(F80,'Inventory'!$C$9:$C$108,0))="","",INDEX('Inventory'!$AL$9:$AL$108,MATCH(F80,'Inventory'!$C$9:$C$108,0))),""),IF(AND(OR(E80="Project finance",E80="CRE",E80="Mortgage",E80="Motor"),IFERROR(IF(INDEX('Facilities'!$V$9:$V$108,MATCH(C80,'Facilities'!$C$9:$C$108,0))="","",INDEX('Facilities'!$V$9:$V$108,MATCH(C80,'Facilities'!$C$9:$C$108,0))),"")&lt;&gt;"Designated asset"),"Purpose review",IF(X80&gt;H80,"Exposure exceeds value","Ready"))))))))</x:f>
      </x:c>
      <x:c r="S80" s="9" t="str">
        <x:f>IF(C80="","",IFERROR(IF(INDEX('Inventory'!$V$9:$V$108,MATCH(F80,'Inventory'!$C$9:$C$108,0))="","",INDEX('Inventory'!$V$9:$V$108,MATCH(F80,'Inventory'!$C$9:$C$108,0))),""))</x:f>
      </x:c>
      <x:c r="T80" s="9" t="str">
        <x:f>IF(C80="","",IFERROR(IF(INDEX('Inventory'!$AB$9:$AB$108,MATCH(F80,'Inventory'!$C$9:$C$108,0))="","",INDEX('Inventory'!$AB$9:$AB$108,MATCH(F80,'Inventory'!$C$9:$C$108,0))),""))</x:f>
      </x:c>
      <x:c r="U80" s="9" t="str">
        <x:f>IF(C80="","",IFERROR(IF(INDEX('Inventory'!$AI$9:$AI$108,MATCH(F80,'Inventory'!$C$9:$C$108,0))="","",INDEX('Inventory'!$AI$9:$AI$108,MATCH(F80,'Inventory'!$C$9:$C$108,0))),""))</x:f>
      </x:c>
      <x:c r="V80" s="43" t="str">
        <x:f>IF(C80="","",IFERROR(IF(INDEX('Inventory'!$P$9:$P$108,MATCH(F80,'Inventory'!$C$9:$C$108,0))="","",INDEX('Inventory'!$P$9:$P$108,MATCH(F80,'Inventory'!$C$9:$C$108,0))),""))</x:f>
      </x:c>
      <x:c r="W80" s="3" t="str">
        <x:f>IF(C80="","",IF(E80="Corporate listed","PCAF 2025 pp40-46",IF(E80="Corporate private","PCAF 2025 pp55-60",IF(E80="Project finance","PCAF 2025 pp67-71",IF(E80="CRE","PCAF 2025 pp77-81",IF(E80="Mortgage","PCAF 2025 pp83-87",IF(E80="Motor","PCAF 2025 pp90-94","Method required")))))))</x:f>
      </x:c>
      <x:c r="X80" s="23" t="str">
        <x:f>IF(C80="","",SUMIFS('Facilities'!$AA$9:$AA$108,'Facilities'!$U$9:$U$108,F80))</x:f>
      </x:c>
      <x:c r="Y80" s="21" t="n">
        <x:f>IF(AND(R80="Ready",S80="Ready"),G80,0)</x:f>
        <x:v>0</x:v>
      </x:c>
      <x:c r="Z80" s="21" t="n">
        <x:f>IF(AND(R80="Ready",T80="Ready"),G80,0)</x:f>
        <x:v>0</x:v>
      </x:c>
      <x:c r="AA80" s="21" t="n">
        <x:f>IF(Y80&gt;0,Y80*O80,0)</x:f>
        <x:v>0</x:v>
      </x:c>
      <x:c r="AB80" s="21" t="n">
        <x:f>IF(Z80&gt;0,Z80*P80,0)</x:f>
        <x:v>0</x:v>
      </x:c>
      <x:c r="AC80" s="21" t="n">
        <x:f>IF(N80&gt;0,N80*Q80,0)</x:f>
        <x:v>0</x:v>
      </x:c>
      <x:c r="AD80" s="21" t="n">
        <x:f>IF(M80&gt;0,M80*MAX(O80,P80),0)</x:f>
        <x:v>0</x:v>
      </x:c>
      <x:c r="AE80" s="9" t="str">
        <x:f>IF(C80="","",IFERROR(IF(INDEX('Inventory'!$AC$9:$AC$108,MATCH(F80,'Inventory'!$C$9:$C$108,0))="","",INDEX('Inventory'!$AC$9:$AC$108,MATCH(F80,'Inventory'!$C$9:$C$108,0))),""))</x:f>
      </x:c>
      <x:c r="AF80" s="9" t="str">
        <x:f>IF(C80="","",IFERROR(IF(INDEX('Inventory'!$AN$9:$AN$108,MATCH(F80,'Inventory'!$C$9:$C$108,0))="","",INDEX('Inventory'!$AN$9:$AN$108,MATCH(F80,'Inventory'!$C$9:$C$108,0))),""))</x:f>
      </x:c>
    </x:row>
    <x:row r="81" ht="26" customHeight="1">
      <x:c r="A81" s="1"/>
      <x:c r="B81" s="1"/>
      <x:c r="C81" s="9" t="str">
        <x:f>IF('Facilities'!C81="","",'Facilities'!C81)</x:f>
      </x:c>
      <x:c r="D81" s="9" t="str">
        <x:f>IF(C81="","",IFERROR(IF(INDEX('Facilities'!$D$9:$D$108,MATCH(C81,'Facilities'!$C$9:$C$108,0))="","",INDEX('Facilities'!$D$9:$D$108,MATCH(C81,'Facilities'!$C$9:$C$108,0))),""))</x:f>
      </x:c>
      <x:c r="E81" s="9" t="str">
        <x:f>IF(C81="","",IFERROR(IF(INDEX('Facilities'!$E$9:$E$108,MATCH(C81,'Facilities'!$C$9:$C$108,0))="","",INDEX('Facilities'!$E$9:$E$108,MATCH(C81,'Facilities'!$C$9:$C$108,0))),""))</x:f>
      </x:c>
      <x:c r="F81" s="9" t="str">
        <x:f>IF(C81="","",IFERROR(IF(INDEX('Facilities'!$U$9:$U$108,MATCH(C81,'Facilities'!$C$9:$C$108,0))="","",INDEX('Facilities'!$U$9:$U$108,MATCH(C81,'Facilities'!$C$9:$C$108,0))),""))</x:f>
      </x:c>
      <x:c r="G81" s="23" t="str">
        <x:f>IF(C81="","",IFERROR(IF(INDEX('Facilities'!$AA$9:$AA$108,MATCH(C81,'Facilities'!$C$9:$C$108,0))="","",INDEX('Facilities'!$AA$9:$AA$108,MATCH(C81,'Facilities'!$C$9:$C$108,0))),""))</x:f>
      </x:c>
      <x:c r="H81" s="23" t="str">
        <x:f>IF(C81="","",IFERROR(IF(INDEX('Inventory'!$N$9:$N$108,MATCH(F81,'Inventory'!$C$9:$C$108,0))="","",INDEX('Inventory'!$N$9:$N$108,MATCH(F81,'Inventory'!$C$9:$C$108,0))),""))</x:f>
      </x:c>
      <x:c r="I81" s="17" t="str">
        <x:f>IF(R81="Ready",G81/H81,"")</x:f>
      </x:c>
      <x:c r="J81" s="23" t="str">
        <x:f>IF(AND(R81="Ready",S81="Ready"),I81*IFERROR(IF(INDEX('Inventory'!$T$9:$T$108,MATCH(F81,'Inventory'!$C$9:$C$108,0))="","",INDEX('Inventory'!$T$9:$T$108,MATCH(F81,'Inventory'!$C$9:$C$108,0))),""),"")</x:f>
      </x:c>
      <x:c r="K81" s="23" t="str">
        <x:f>IF(AND(R81="Ready",T81="Ready"),I81*IFERROR(IF(INDEX('Inventory'!$Z$9:$Z$108,MATCH(F81,'Inventory'!$C$9:$C$108,0))="","",INDEX('Inventory'!$Z$9:$Z$108,MATCH(F81,'Inventory'!$C$9:$C$108,0))),""),"")</x:f>
      </x:c>
      <x:c r="L81" s="23" t="str">
        <x:f>IF(AND(R81="Ready",U81="Ready"),I81*IFERROR(IF(INDEX('Inventory'!$AG$9:$AG$108,MATCH(F81,'Inventory'!$C$9:$C$108,0))="","",INDEX('Inventory'!$AG$9:$AG$108,MATCH(F81,'Inventory'!$C$9:$C$108,0))),""),"")</x:f>
      </x:c>
      <x:c r="M81" s="21" t="n">
        <x:f>IF(AND(R81="Ready",S81="Ready",T81="Ready"),G81,0)</x:f>
        <x:v>0</x:v>
      </x:c>
      <x:c r="N81" s="21" t="n">
        <x:f>IF(AND(R81="Ready",U81="Ready"),G81,0)</x:f>
        <x:v>0</x:v>
      </x:c>
      <x:c r="O81" s="42" t="str">
        <x:f>IF(C81="","",IFERROR(IF(INDEX('Inventory'!$U$9:$U$108,MATCH(F81,'Inventory'!$C$9:$C$108,0))="","",INDEX('Inventory'!$U$9:$U$108,MATCH(F81,'Inventory'!$C$9:$C$108,0))),""))</x:f>
      </x:c>
      <x:c r="P81" s="42" t="str">
        <x:f>IF(C81="","",IFERROR(IF(INDEX('Inventory'!$AA$9:$AA$108,MATCH(F81,'Inventory'!$C$9:$C$108,0))="","",INDEX('Inventory'!$AA$9:$AA$108,MATCH(F81,'Inventory'!$C$9:$C$108,0))),""))</x:f>
      </x:c>
      <x:c r="Q81" s="42" t="str">
        <x:f>IF(C81="","",IFERROR(IF(INDEX('Inventory'!$AH$9:$AH$108,MATCH(F81,'Inventory'!$C$9:$C$108,0))="","",INDEX('Inventory'!$AH$9:$AH$108,MATCH(F81,'Inventory'!$C$9:$C$108,0))),""))</x:f>
      </x:c>
      <x:c r="R81" s="9" t="str">
        <x:f>IF(C81="","",IF(COUNTIFS('Facilities'!$C$9:$C$108,C81)&lt;&gt;1,"Duplicate facility ID",IF(OR(NOT(ISNUMBER(IFERROR(IF(INDEX('Facilities'!$G$9:$G$108,MATCH(C81,'Facilities'!$C$9:$C$108,0))="","",INDEX('Facilities'!$G$9:$G$108,MATCH(C81,'Facilities'!$C$9:$C$108,0))),""))),NOT(ISNUMBER(G81)),G81&lt;0,IFERROR(IF(INDEX('Facilities'!$Z$9:$Z$108,MATCH(C81,'Facilities'!$C$9:$C$108,0))="","",INDEX('Facilities'!$Z$9:$Z$108,MATCH(C81,'Facilities'!$C$9:$C$108,0))),"")&lt;=0),"Drawn value required",IF(COUNTIFS('Inventory'!$C$9:$C$108,F81)&lt;&gt;1,"Entity required",IF(OR(E81&lt;&gt;IFERROR(IF(INDEX('Inventory'!$F$9:$F$108,MATCH(F81,'Inventory'!$C$9:$C$108,0))="","",INDEX('Inventory'!$F$9:$F$108,MATCH(F81,'Inventory'!$C$9:$C$108,0))),""),D81&lt;&gt;IFERROR(IF(INDEX('Inventory'!$D$9:$D$108,MATCH(F81,'Inventory'!$C$9:$C$108,0))="","",INDEX('Inventory'!$D$9:$D$108,MATCH(F81,'Inventory'!$C$9:$C$108,0))),"")),"Entity / class mismatch",IF(IFERROR(IF(INDEX('Inventory'!$AL$9:$AL$108,MATCH(F81,'Inventory'!$C$9:$C$108,0))="","",INDEX('Inventory'!$AL$9:$AL$108,MATCH(F81,'Inventory'!$C$9:$C$108,0))),"")&lt;&gt;"Ready",IFERROR(IF(INDEX('Inventory'!$AL$9:$AL$108,MATCH(F81,'Inventory'!$C$9:$C$108,0))="","",INDEX('Inventory'!$AL$9:$AL$108,MATCH(F81,'Inventory'!$C$9:$C$108,0))),""),IF(AND(OR(E81="Project finance",E81="CRE",E81="Mortgage",E81="Motor"),IFERROR(IF(INDEX('Facilities'!$V$9:$V$108,MATCH(C81,'Facilities'!$C$9:$C$108,0))="","",INDEX('Facilities'!$V$9:$V$108,MATCH(C81,'Facilities'!$C$9:$C$108,0))),"")&lt;&gt;"Designated asset"),"Purpose review",IF(X81&gt;H81,"Exposure exceeds value","Ready"))))))))</x:f>
      </x:c>
      <x:c r="S81" s="9" t="str">
        <x:f>IF(C81="","",IFERROR(IF(INDEX('Inventory'!$V$9:$V$108,MATCH(F81,'Inventory'!$C$9:$C$108,0))="","",INDEX('Inventory'!$V$9:$V$108,MATCH(F81,'Inventory'!$C$9:$C$108,0))),""))</x:f>
      </x:c>
      <x:c r="T81" s="9" t="str">
        <x:f>IF(C81="","",IFERROR(IF(INDEX('Inventory'!$AB$9:$AB$108,MATCH(F81,'Inventory'!$C$9:$C$108,0))="","",INDEX('Inventory'!$AB$9:$AB$108,MATCH(F81,'Inventory'!$C$9:$C$108,0))),""))</x:f>
      </x:c>
      <x:c r="U81" s="9" t="str">
        <x:f>IF(C81="","",IFERROR(IF(INDEX('Inventory'!$AI$9:$AI$108,MATCH(F81,'Inventory'!$C$9:$C$108,0))="","",INDEX('Inventory'!$AI$9:$AI$108,MATCH(F81,'Inventory'!$C$9:$C$108,0))),""))</x:f>
      </x:c>
      <x:c r="V81" s="43" t="str">
        <x:f>IF(C81="","",IFERROR(IF(INDEX('Inventory'!$P$9:$P$108,MATCH(F81,'Inventory'!$C$9:$C$108,0))="","",INDEX('Inventory'!$P$9:$P$108,MATCH(F81,'Inventory'!$C$9:$C$108,0))),""))</x:f>
      </x:c>
      <x:c r="W81" s="3" t="str">
        <x:f>IF(C81="","",IF(E81="Corporate listed","PCAF 2025 pp40-46",IF(E81="Corporate private","PCAF 2025 pp55-60",IF(E81="Project finance","PCAF 2025 pp67-71",IF(E81="CRE","PCAF 2025 pp77-81",IF(E81="Mortgage","PCAF 2025 pp83-87",IF(E81="Motor","PCAF 2025 pp90-94","Method required")))))))</x:f>
      </x:c>
      <x:c r="X81" s="23" t="str">
        <x:f>IF(C81="","",SUMIFS('Facilities'!$AA$9:$AA$108,'Facilities'!$U$9:$U$108,F81))</x:f>
      </x:c>
      <x:c r="Y81" s="21" t="n">
        <x:f>IF(AND(R81="Ready",S81="Ready"),G81,0)</x:f>
        <x:v>0</x:v>
      </x:c>
      <x:c r="Z81" s="21" t="n">
        <x:f>IF(AND(R81="Ready",T81="Ready"),G81,0)</x:f>
        <x:v>0</x:v>
      </x:c>
      <x:c r="AA81" s="21" t="n">
        <x:f>IF(Y81&gt;0,Y81*O81,0)</x:f>
        <x:v>0</x:v>
      </x:c>
      <x:c r="AB81" s="21" t="n">
        <x:f>IF(Z81&gt;0,Z81*P81,0)</x:f>
        <x:v>0</x:v>
      </x:c>
      <x:c r="AC81" s="21" t="n">
        <x:f>IF(N81&gt;0,N81*Q81,0)</x:f>
        <x:v>0</x:v>
      </x:c>
      <x:c r="AD81" s="21" t="n">
        <x:f>IF(M81&gt;0,M81*MAX(O81,P81),0)</x:f>
        <x:v>0</x:v>
      </x:c>
      <x:c r="AE81" s="9" t="str">
        <x:f>IF(C81="","",IFERROR(IF(INDEX('Inventory'!$AC$9:$AC$108,MATCH(F81,'Inventory'!$C$9:$C$108,0))="","",INDEX('Inventory'!$AC$9:$AC$108,MATCH(F81,'Inventory'!$C$9:$C$108,0))),""))</x:f>
      </x:c>
      <x:c r="AF81" s="9" t="str">
        <x:f>IF(C81="","",IFERROR(IF(INDEX('Inventory'!$AN$9:$AN$108,MATCH(F81,'Inventory'!$C$9:$C$108,0))="","",INDEX('Inventory'!$AN$9:$AN$108,MATCH(F81,'Inventory'!$C$9:$C$108,0))),""))</x:f>
      </x:c>
    </x:row>
    <x:row r="82" ht="26" customHeight="1">
      <x:c r="A82" s="1"/>
      <x:c r="B82" s="1"/>
      <x:c r="C82" s="9" t="str">
        <x:f>IF('Facilities'!C82="","",'Facilities'!C82)</x:f>
      </x:c>
      <x:c r="D82" s="9" t="str">
        <x:f>IF(C82="","",IFERROR(IF(INDEX('Facilities'!$D$9:$D$108,MATCH(C82,'Facilities'!$C$9:$C$108,0))="","",INDEX('Facilities'!$D$9:$D$108,MATCH(C82,'Facilities'!$C$9:$C$108,0))),""))</x:f>
      </x:c>
      <x:c r="E82" s="9" t="str">
        <x:f>IF(C82="","",IFERROR(IF(INDEX('Facilities'!$E$9:$E$108,MATCH(C82,'Facilities'!$C$9:$C$108,0))="","",INDEX('Facilities'!$E$9:$E$108,MATCH(C82,'Facilities'!$C$9:$C$108,0))),""))</x:f>
      </x:c>
      <x:c r="F82" s="9" t="str">
        <x:f>IF(C82="","",IFERROR(IF(INDEX('Facilities'!$U$9:$U$108,MATCH(C82,'Facilities'!$C$9:$C$108,0))="","",INDEX('Facilities'!$U$9:$U$108,MATCH(C82,'Facilities'!$C$9:$C$108,0))),""))</x:f>
      </x:c>
      <x:c r="G82" s="23" t="str">
        <x:f>IF(C82="","",IFERROR(IF(INDEX('Facilities'!$AA$9:$AA$108,MATCH(C82,'Facilities'!$C$9:$C$108,0))="","",INDEX('Facilities'!$AA$9:$AA$108,MATCH(C82,'Facilities'!$C$9:$C$108,0))),""))</x:f>
      </x:c>
      <x:c r="H82" s="23" t="str">
        <x:f>IF(C82="","",IFERROR(IF(INDEX('Inventory'!$N$9:$N$108,MATCH(F82,'Inventory'!$C$9:$C$108,0))="","",INDEX('Inventory'!$N$9:$N$108,MATCH(F82,'Inventory'!$C$9:$C$108,0))),""))</x:f>
      </x:c>
      <x:c r="I82" s="17" t="str">
        <x:f>IF(R82="Ready",G82/H82,"")</x:f>
      </x:c>
      <x:c r="J82" s="23" t="str">
        <x:f>IF(AND(R82="Ready",S82="Ready"),I82*IFERROR(IF(INDEX('Inventory'!$T$9:$T$108,MATCH(F82,'Inventory'!$C$9:$C$108,0))="","",INDEX('Inventory'!$T$9:$T$108,MATCH(F82,'Inventory'!$C$9:$C$108,0))),""),"")</x:f>
      </x:c>
      <x:c r="K82" s="23" t="str">
        <x:f>IF(AND(R82="Ready",T82="Ready"),I82*IFERROR(IF(INDEX('Inventory'!$Z$9:$Z$108,MATCH(F82,'Inventory'!$C$9:$C$108,0))="","",INDEX('Inventory'!$Z$9:$Z$108,MATCH(F82,'Inventory'!$C$9:$C$108,0))),""),"")</x:f>
      </x:c>
      <x:c r="L82" s="23" t="str">
        <x:f>IF(AND(R82="Ready",U82="Ready"),I82*IFERROR(IF(INDEX('Inventory'!$AG$9:$AG$108,MATCH(F82,'Inventory'!$C$9:$C$108,0))="","",INDEX('Inventory'!$AG$9:$AG$108,MATCH(F82,'Inventory'!$C$9:$C$108,0))),""),"")</x:f>
      </x:c>
      <x:c r="M82" s="21" t="n">
        <x:f>IF(AND(R82="Ready",S82="Ready",T82="Ready"),G82,0)</x:f>
        <x:v>0</x:v>
      </x:c>
      <x:c r="N82" s="21" t="n">
        <x:f>IF(AND(R82="Ready",U82="Ready"),G82,0)</x:f>
        <x:v>0</x:v>
      </x:c>
      <x:c r="O82" s="42" t="str">
        <x:f>IF(C82="","",IFERROR(IF(INDEX('Inventory'!$U$9:$U$108,MATCH(F82,'Inventory'!$C$9:$C$108,0))="","",INDEX('Inventory'!$U$9:$U$108,MATCH(F82,'Inventory'!$C$9:$C$108,0))),""))</x:f>
      </x:c>
      <x:c r="P82" s="42" t="str">
        <x:f>IF(C82="","",IFERROR(IF(INDEX('Inventory'!$AA$9:$AA$108,MATCH(F82,'Inventory'!$C$9:$C$108,0))="","",INDEX('Inventory'!$AA$9:$AA$108,MATCH(F82,'Inventory'!$C$9:$C$108,0))),""))</x:f>
      </x:c>
      <x:c r="Q82" s="42" t="str">
        <x:f>IF(C82="","",IFERROR(IF(INDEX('Inventory'!$AH$9:$AH$108,MATCH(F82,'Inventory'!$C$9:$C$108,0))="","",INDEX('Inventory'!$AH$9:$AH$108,MATCH(F82,'Inventory'!$C$9:$C$108,0))),""))</x:f>
      </x:c>
      <x:c r="R82" s="9" t="str">
        <x:f>IF(C82="","",IF(COUNTIFS('Facilities'!$C$9:$C$108,C82)&lt;&gt;1,"Duplicate facility ID",IF(OR(NOT(ISNUMBER(IFERROR(IF(INDEX('Facilities'!$G$9:$G$108,MATCH(C82,'Facilities'!$C$9:$C$108,0))="","",INDEX('Facilities'!$G$9:$G$108,MATCH(C82,'Facilities'!$C$9:$C$108,0))),""))),NOT(ISNUMBER(G82)),G82&lt;0,IFERROR(IF(INDEX('Facilities'!$Z$9:$Z$108,MATCH(C82,'Facilities'!$C$9:$C$108,0))="","",INDEX('Facilities'!$Z$9:$Z$108,MATCH(C82,'Facilities'!$C$9:$C$108,0))),"")&lt;=0),"Drawn value required",IF(COUNTIFS('Inventory'!$C$9:$C$108,F82)&lt;&gt;1,"Entity required",IF(OR(E82&lt;&gt;IFERROR(IF(INDEX('Inventory'!$F$9:$F$108,MATCH(F82,'Inventory'!$C$9:$C$108,0))="","",INDEX('Inventory'!$F$9:$F$108,MATCH(F82,'Inventory'!$C$9:$C$108,0))),""),D82&lt;&gt;IFERROR(IF(INDEX('Inventory'!$D$9:$D$108,MATCH(F82,'Inventory'!$C$9:$C$108,0))="","",INDEX('Inventory'!$D$9:$D$108,MATCH(F82,'Inventory'!$C$9:$C$108,0))),"")),"Entity / class mismatch",IF(IFERROR(IF(INDEX('Inventory'!$AL$9:$AL$108,MATCH(F82,'Inventory'!$C$9:$C$108,0))="","",INDEX('Inventory'!$AL$9:$AL$108,MATCH(F82,'Inventory'!$C$9:$C$108,0))),"")&lt;&gt;"Ready",IFERROR(IF(INDEX('Inventory'!$AL$9:$AL$108,MATCH(F82,'Inventory'!$C$9:$C$108,0))="","",INDEX('Inventory'!$AL$9:$AL$108,MATCH(F82,'Inventory'!$C$9:$C$108,0))),""),IF(AND(OR(E82="Project finance",E82="CRE",E82="Mortgage",E82="Motor"),IFERROR(IF(INDEX('Facilities'!$V$9:$V$108,MATCH(C82,'Facilities'!$C$9:$C$108,0))="","",INDEX('Facilities'!$V$9:$V$108,MATCH(C82,'Facilities'!$C$9:$C$108,0))),"")&lt;&gt;"Designated asset"),"Purpose review",IF(X82&gt;H82,"Exposure exceeds value","Ready"))))))))</x:f>
      </x:c>
      <x:c r="S82" s="9" t="str">
        <x:f>IF(C82="","",IFERROR(IF(INDEX('Inventory'!$V$9:$V$108,MATCH(F82,'Inventory'!$C$9:$C$108,0))="","",INDEX('Inventory'!$V$9:$V$108,MATCH(F82,'Inventory'!$C$9:$C$108,0))),""))</x:f>
      </x:c>
      <x:c r="T82" s="9" t="str">
        <x:f>IF(C82="","",IFERROR(IF(INDEX('Inventory'!$AB$9:$AB$108,MATCH(F82,'Inventory'!$C$9:$C$108,0))="","",INDEX('Inventory'!$AB$9:$AB$108,MATCH(F82,'Inventory'!$C$9:$C$108,0))),""))</x:f>
      </x:c>
      <x:c r="U82" s="9" t="str">
        <x:f>IF(C82="","",IFERROR(IF(INDEX('Inventory'!$AI$9:$AI$108,MATCH(F82,'Inventory'!$C$9:$C$108,0))="","",INDEX('Inventory'!$AI$9:$AI$108,MATCH(F82,'Inventory'!$C$9:$C$108,0))),""))</x:f>
      </x:c>
      <x:c r="V82" s="43" t="str">
        <x:f>IF(C82="","",IFERROR(IF(INDEX('Inventory'!$P$9:$P$108,MATCH(F82,'Inventory'!$C$9:$C$108,0))="","",INDEX('Inventory'!$P$9:$P$108,MATCH(F82,'Inventory'!$C$9:$C$108,0))),""))</x:f>
      </x:c>
      <x:c r="W82" s="3" t="str">
        <x:f>IF(C82="","",IF(E82="Corporate listed","PCAF 2025 pp40-46",IF(E82="Corporate private","PCAF 2025 pp55-60",IF(E82="Project finance","PCAF 2025 pp67-71",IF(E82="CRE","PCAF 2025 pp77-81",IF(E82="Mortgage","PCAF 2025 pp83-87",IF(E82="Motor","PCAF 2025 pp90-94","Method required")))))))</x:f>
      </x:c>
      <x:c r="X82" s="23" t="str">
        <x:f>IF(C82="","",SUMIFS('Facilities'!$AA$9:$AA$108,'Facilities'!$U$9:$U$108,F82))</x:f>
      </x:c>
      <x:c r="Y82" s="21" t="n">
        <x:f>IF(AND(R82="Ready",S82="Ready"),G82,0)</x:f>
        <x:v>0</x:v>
      </x:c>
      <x:c r="Z82" s="21" t="n">
        <x:f>IF(AND(R82="Ready",T82="Ready"),G82,0)</x:f>
        <x:v>0</x:v>
      </x:c>
      <x:c r="AA82" s="21" t="n">
        <x:f>IF(Y82&gt;0,Y82*O82,0)</x:f>
        <x:v>0</x:v>
      </x:c>
      <x:c r="AB82" s="21" t="n">
        <x:f>IF(Z82&gt;0,Z82*P82,0)</x:f>
        <x:v>0</x:v>
      </x:c>
      <x:c r="AC82" s="21" t="n">
        <x:f>IF(N82&gt;0,N82*Q82,0)</x:f>
        <x:v>0</x:v>
      </x:c>
      <x:c r="AD82" s="21" t="n">
        <x:f>IF(M82&gt;0,M82*MAX(O82,P82),0)</x:f>
        <x:v>0</x:v>
      </x:c>
      <x:c r="AE82" s="9" t="str">
        <x:f>IF(C82="","",IFERROR(IF(INDEX('Inventory'!$AC$9:$AC$108,MATCH(F82,'Inventory'!$C$9:$C$108,0))="","",INDEX('Inventory'!$AC$9:$AC$108,MATCH(F82,'Inventory'!$C$9:$C$108,0))),""))</x:f>
      </x:c>
      <x:c r="AF82" s="9" t="str">
        <x:f>IF(C82="","",IFERROR(IF(INDEX('Inventory'!$AN$9:$AN$108,MATCH(F82,'Inventory'!$C$9:$C$108,0))="","",INDEX('Inventory'!$AN$9:$AN$108,MATCH(F82,'Inventory'!$C$9:$C$108,0))),""))</x:f>
      </x:c>
    </x:row>
    <x:row r="83" ht="26" customHeight="1">
      <x:c r="A83" s="1"/>
      <x:c r="B83" s="1"/>
      <x:c r="C83" s="9" t="str">
        <x:f>IF('Facilities'!C83="","",'Facilities'!C83)</x:f>
      </x:c>
      <x:c r="D83" s="9" t="str">
        <x:f>IF(C83="","",IFERROR(IF(INDEX('Facilities'!$D$9:$D$108,MATCH(C83,'Facilities'!$C$9:$C$108,0))="","",INDEX('Facilities'!$D$9:$D$108,MATCH(C83,'Facilities'!$C$9:$C$108,0))),""))</x:f>
      </x:c>
      <x:c r="E83" s="9" t="str">
        <x:f>IF(C83="","",IFERROR(IF(INDEX('Facilities'!$E$9:$E$108,MATCH(C83,'Facilities'!$C$9:$C$108,0))="","",INDEX('Facilities'!$E$9:$E$108,MATCH(C83,'Facilities'!$C$9:$C$108,0))),""))</x:f>
      </x:c>
      <x:c r="F83" s="9" t="str">
        <x:f>IF(C83="","",IFERROR(IF(INDEX('Facilities'!$U$9:$U$108,MATCH(C83,'Facilities'!$C$9:$C$108,0))="","",INDEX('Facilities'!$U$9:$U$108,MATCH(C83,'Facilities'!$C$9:$C$108,0))),""))</x:f>
      </x:c>
      <x:c r="G83" s="23" t="str">
        <x:f>IF(C83="","",IFERROR(IF(INDEX('Facilities'!$AA$9:$AA$108,MATCH(C83,'Facilities'!$C$9:$C$108,0))="","",INDEX('Facilities'!$AA$9:$AA$108,MATCH(C83,'Facilities'!$C$9:$C$108,0))),""))</x:f>
      </x:c>
      <x:c r="H83" s="23" t="str">
        <x:f>IF(C83="","",IFERROR(IF(INDEX('Inventory'!$N$9:$N$108,MATCH(F83,'Inventory'!$C$9:$C$108,0))="","",INDEX('Inventory'!$N$9:$N$108,MATCH(F83,'Inventory'!$C$9:$C$108,0))),""))</x:f>
      </x:c>
      <x:c r="I83" s="17" t="str">
        <x:f>IF(R83="Ready",G83/H83,"")</x:f>
      </x:c>
      <x:c r="J83" s="23" t="str">
        <x:f>IF(AND(R83="Ready",S83="Ready"),I83*IFERROR(IF(INDEX('Inventory'!$T$9:$T$108,MATCH(F83,'Inventory'!$C$9:$C$108,0))="","",INDEX('Inventory'!$T$9:$T$108,MATCH(F83,'Inventory'!$C$9:$C$108,0))),""),"")</x:f>
      </x:c>
      <x:c r="K83" s="23" t="str">
        <x:f>IF(AND(R83="Ready",T83="Ready"),I83*IFERROR(IF(INDEX('Inventory'!$Z$9:$Z$108,MATCH(F83,'Inventory'!$C$9:$C$108,0))="","",INDEX('Inventory'!$Z$9:$Z$108,MATCH(F83,'Inventory'!$C$9:$C$108,0))),""),"")</x:f>
      </x:c>
      <x:c r="L83" s="23" t="str">
        <x:f>IF(AND(R83="Ready",U83="Ready"),I83*IFERROR(IF(INDEX('Inventory'!$AG$9:$AG$108,MATCH(F83,'Inventory'!$C$9:$C$108,0))="","",INDEX('Inventory'!$AG$9:$AG$108,MATCH(F83,'Inventory'!$C$9:$C$108,0))),""),"")</x:f>
      </x:c>
      <x:c r="M83" s="21" t="n">
        <x:f>IF(AND(R83="Ready",S83="Ready",T83="Ready"),G83,0)</x:f>
        <x:v>0</x:v>
      </x:c>
      <x:c r="N83" s="21" t="n">
        <x:f>IF(AND(R83="Ready",U83="Ready"),G83,0)</x:f>
        <x:v>0</x:v>
      </x:c>
      <x:c r="O83" s="42" t="str">
        <x:f>IF(C83="","",IFERROR(IF(INDEX('Inventory'!$U$9:$U$108,MATCH(F83,'Inventory'!$C$9:$C$108,0))="","",INDEX('Inventory'!$U$9:$U$108,MATCH(F83,'Inventory'!$C$9:$C$108,0))),""))</x:f>
      </x:c>
      <x:c r="P83" s="42" t="str">
        <x:f>IF(C83="","",IFERROR(IF(INDEX('Inventory'!$AA$9:$AA$108,MATCH(F83,'Inventory'!$C$9:$C$108,0))="","",INDEX('Inventory'!$AA$9:$AA$108,MATCH(F83,'Inventory'!$C$9:$C$108,0))),""))</x:f>
      </x:c>
      <x:c r="Q83" s="42" t="str">
        <x:f>IF(C83="","",IFERROR(IF(INDEX('Inventory'!$AH$9:$AH$108,MATCH(F83,'Inventory'!$C$9:$C$108,0))="","",INDEX('Inventory'!$AH$9:$AH$108,MATCH(F83,'Inventory'!$C$9:$C$108,0))),""))</x:f>
      </x:c>
      <x:c r="R83" s="9" t="str">
        <x:f>IF(C83="","",IF(COUNTIFS('Facilities'!$C$9:$C$108,C83)&lt;&gt;1,"Duplicate facility ID",IF(OR(NOT(ISNUMBER(IFERROR(IF(INDEX('Facilities'!$G$9:$G$108,MATCH(C83,'Facilities'!$C$9:$C$108,0))="","",INDEX('Facilities'!$G$9:$G$108,MATCH(C83,'Facilities'!$C$9:$C$108,0))),""))),NOT(ISNUMBER(G83)),G83&lt;0,IFERROR(IF(INDEX('Facilities'!$Z$9:$Z$108,MATCH(C83,'Facilities'!$C$9:$C$108,0))="","",INDEX('Facilities'!$Z$9:$Z$108,MATCH(C83,'Facilities'!$C$9:$C$108,0))),"")&lt;=0),"Drawn value required",IF(COUNTIFS('Inventory'!$C$9:$C$108,F83)&lt;&gt;1,"Entity required",IF(OR(E83&lt;&gt;IFERROR(IF(INDEX('Inventory'!$F$9:$F$108,MATCH(F83,'Inventory'!$C$9:$C$108,0))="","",INDEX('Inventory'!$F$9:$F$108,MATCH(F83,'Inventory'!$C$9:$C$108,0))),""),D83&lt;&gt;IFERROR(IF(INDEX('Inventory'!$D$9:$D$108,MATCH(F83,'Inventory'!$C$9:$C$108,0))="","",INDEX('Inventory'!$D$9:$D$108,MATCH(F83,'Inventory'!$C$9:$C$108,0))),"")),"Entity / class mismatch",IF(IFERROR(IF(INDEX('Inventory'!$AL$9:$AL$108,MATCH(F83,'Inventory'!$C$9:$C$108,0))="","",INDEX('Inventory'!$AL$9:$AL$108,MATCH(F83,'Inventory'!$C$9:$C$108,0))),"")&lt;&gt;"Ready",IFERROR(IF(INDEX('Inventory'!$AL$9:$AL$108,MATCH(F83,'Inventory'!$C$9:$C$108,0))="","",INDEX('Inventory'!$AL$9:$AL$108,MATCH(F83,'Inventory'!$C$9:$C$108,0))),""),IF(AND(OR(E83="Project finance",E83="CRE",E83="Mortgage",E83="Motor"),IFERROR(IF(INDEX('Facilities'!$V$9:$V$108,MATCH(C83,'Facilities'!$C$9:$C$108,0))="","",INDEX('Facilities'!$V$9:$V$108,MATCH(C83,'Facilities'!$C$9:$C$108,0))),"")&lt;&gt;"Designated asset"),"Purpose review",IF(X83&gt;H83,"Exposure exceeds value","Ready"))))))))</x:f>
      </x:c>
      <x:c r="S83" s="9" t="str">
        <x:f>IF(C83="","",IFERROR(IF(INDEX('Inventory'!$V$9:$V$108,MATCH(F83,'Inventory'!$C$9:$C$108,0))="","",INDEX('Inventory'!$V$9:$V$108,MATCH(F83,'Inventory'!$C$9:$C$108,0))),""))</x:f>
      </x:c>
      <x:c r="T83" s="9" t="str">
        <x:f>IF(C83="","",IFERROR(IF(INDEX('Inventory'!$AB$9:$AB$108,MATCH(F83,'Inventory'!$C$9:$C$108,0))="","",INDEX('Inventory'!$AB$9:$AB$108,MATCH(F83,'Inventory'!$C$9:$C$108,0))),""))</x:f>
      </x:c>
      <x:c r="U83" s="9" t="str">
        <x:f>IF(C83="","",IFERROR(IF(INDEX('Inventory'!$AI$9:$AI$108,MATCH(F83,'Inventory'!$C$9:$C$108,0))="","",INDEX('Inventory'!$AI$9:$AI$108,MATCH(F83,'Inventory'!$C$9:$C$108,0))),""))</x:f>
      </x:c>
      <x:c r="V83" s="43" t="str">
        <x:f>IF(C83="","",IFERROR(IF(INDEX('Inventory'!$P$9:$P$108,MATCH(F83,'Inventory'!$C$9:$C$108,0))="","",INDEX('Inventory'!$P$9:$P$108,MATCH(F83,'Inventory'!$C$9:$C$108,0))),""))</x:f>
      </x:c>
      <x:c r="W83" s="3" t="str">
        <x:f>IF(C83="","",IF(E83="Corporate listed","PCAF 2025 pp40-46",IF(E83="Corporate private","PCAF 2025 pp55-60",IF(E83="Project finance","PCAF 2025 pp67-71",IF(E83="CRE","PCAF 2025 pp77-81",IF(E83="Mortgage","PCAF 2025 pp83-87",IF(E83="Motor","PCAF 2025 pp90-94","Method required")))))))</x:f>
      </x:c>
      <x:c r="X83" s="23" t="str">
        <x:f>IF(C83="","",SUMIFS('Facilities'!$AA$9:$AA$108,'Facilities'!$U$9:$U$108,F83))</x:f>
      </x:c>
      <x:c r="Y83" s="21" t="n">
        <x:f>IF(AND(R83="Ready",S83="Ready"),G83,0)</x:f>
        <x:v>0</x:v>
      </x:c>
      <x:c r="Z83" s="21" t="n">
        <x:f>IF(AND(R83="Ready",T83="Ready"),G83,0)</x:f>
        <x:v>0</x:v>
      </x:c>
      <x:c r="AA83" s="21" t="n">
        <x:f>IF(Y83&gt;0,Y83*O83,0)</x:f>
        <x:v>0</x:v>
      </x:c>
      <x:c r="AB83" s="21" t="n">
        <x:f>IF(Z83&gt;0,Z83*P83,0)</x:f>
        <x:v>0</x:v>
      </x:c>
      <x:c r="AC83" s="21" t="n">
        <x:f>IF(N83&gt;0,N83*Q83,0)</x:f>
        <x:v>0</x:v>
      </x:c>
      <x:c r="AD83" s="21" t="n">
        <x:f>IF(M83&gt;0,M83*MAX(O83,P83),0)</x:f>
        <x:v>0</x:v>
      </x:c>
      <x:c r="AE83" s="9" t="str">
        <x:f>IF(C83="","",IFERROR(IF(INDEX('Inventory'!$AC$9:$AC$108,MATCH(F83,'Inventory'!$C$9:$C$108,0))="","",INDEX('Inventory'!$AC$9:$AC$108,MATCH(F83,'Inventory'!$C$9:$C$108,0))),""))</x:f>
      </x:c>
      <x:c r="AF83" s="9" t="str">
        <x:f>IF(C83="","",IFERROR(IF(INDEX('Inventory'!$AN$9:$AN$108,MATCH(F83,'Inventory'!$C$9:$C$108,0))="","",INDEX('Inventory'!$AN$9:$AN$108,MATCH(F83,'Inventory'!$C$9:$C$108,0))),""))</x:f>
      </x:c>
    </x:row>
    <x:row r="84" ht="26" customHeight="1">
      <x:c r="A84" s="1"/>
      <x:c r="B84" s="1"/>
      <x:c r="C84" s="9" t="str">
        <x:f>IF('Facilities'!C84="","",'Facilities'!C84)</x:f>
      </x:c>
      <x:c r="D84" s="9" t="str">
        <x:f>IF(C84="","",IFERROR(IF(INDEX('Facilities'!$D$9:$D$108,MATCH(C84,'Facilities'!$C$9:$C$108,0))="","",INDEX('Facilities'!$D$9:$D$108,MATCH(C84,'Facilities'!$C$9:$C$108,0))),""))</x:f>
      </x:c>
      <x:c r="E84" s="9" t="str">
        <x:f>IF(C84="","",IFERROR(IF(INDEX('Facilities'!$E$9:$E$108,MATCH(C84,'Facilities'!$C$9:$C$108,0))="","",INDEX('Facilities'!$E$9:$E$108,MATCH(C84,'Facilities'!$C$9:$C$108,0))),""))</x:f>
      </x:c>
      <x:c r="F84" s="9" t="str">
        <x:f>IF(C84="","",IFERROR(IF(INDEX('Facilities'!$U$9:$U$108,MATCH(C84,'Facilities'!$C$9:$C$108,0))="","",INDEX('Facilities'!$U$9:$U$108,MATCH(C84,'Facilities'!$C$9:$C$108,0))),""))</x:f>
      </x:c>
      <x:c r="G84" s="23" t="str">
        <x:f>IF(C84="","",IFERROR(IF(INDEX('Facilities'!$AA$9:$AA$108,MATCH(C84,'Facilities'!$C$9:$C$108,0))="","",INDEX('Facilities'!$AA$9:$AA$108,MATCH(C84,'Facilities'!$C$9:$C$108,0))),""))</x:f>
      </x:c>
      <x:c r="H84" s="23" t="str">
        <x:f>IF(C84="","",IFERROR(IF(INDEX('Inventory'!$N$9:$N$108,MATCH(F84,'Inventory'!$C$9:$C$108,0))="","",INDEX('Inventory'!$N$9:$N$108,MATCH(F84,'Inventory'!$C$9:$C$108,0))),""))</x:f>
      </x:c>
      <x:c r="I84" s="17" t="str">
        <x:f>IF(R84="Ready",G84/H84,"")</x:f>
      </x:c>
      <x:c r="J84" s="23" t="str">
        <x:f>IF(AND(R84="Ready",S84="Ready"),I84*IFERROR(IF(INDEX('Inventory'!$T$9:$T$108,MATCH(F84,'Inventory'!$C$9:$C$108,0))="","",INDEX('Inventory'!$T$9:$T$108,MATCH(F84,'Inventory'!$C$9:$C$108,0))),""),"")</x:f>
      </x:c>
      <x:c r="K84" s="23" t="str">
        <x:f>IF(AND(R84="Ready",T84="Ready"),I84*IFERROR(IF(INDEX('Inventory'!$Z$9:$Z$108,MATCH(F84,'Inventory'!$C$9:$C$108,0))="","",INDEX('Inventory'!$Z$9:$Z$108,MATCH(F84,'Inventory'!$C$9:$C$108,0))),""),"")</x:f>
      </x:c>
      <x:c r="L84" s="23" t="str">
        <x:f>IF(AND(R84="Ready",U84="Ready"),I84*IFERROR(IF(INDEX('Inventory'!$AG$9:$AG$108,MATCH(F84,'Inventory'!$C$9:$C$108,0))="","",INDEX('Inventory'!$AG$9:$AG$108,MATCH(F84,'Inventory'!$C$9:$C$108,0))),""),"")</x:f>
      </x:c>
      <x:c r="M84" s="21" t="n">
        <x:f>IF(AND(R84="Ready",S84="Ready",T84="Ready"),G84,0)</x:f>
        <x:v>0</x:v>
      </x:c>
      <x:c r="N84" s="21" t="n">
        <x:f>IF(AND(R84="Ready",U84="Ready"),G84,0)</x:f>
        <x:v>0</x:v>
      </x:c>
      <x:c r="O84" s="42" t="str">
        <x:f>IF(C84="","",IFERROR(IF(INDEX('Inventory'!$U$9:$U$108,MATCH(F84,'Inventory'!$C$9:$C$108,0))="","",INDEX('Inventory'!$U$9:$U$108,MATCH(F84,'Inventory'!$C$9:$C$108,0))),""))</x:f>
      </x:c>
      <x:c r="P84" s="42" t="str">
        <x:f>IF(C84="","",IFERROR(IF(INDEX('Inventory'!$AA$9:$AA$108,MATCH(F84,'Inventory'!$C$9:$C$108,0))="","",INDEX('Inventory'!$AA$9:$AA$108,MATCH(F84,'Inventory'!$C$9:$C$108,0))),""))</x:f>
      </x:c>
      <x:c r="Q84" s="42" t="str">
        <x:f>IF(C84="","",IFERROR(IF(INDEX('Inventory'!$AH$9:$AH$108,MATCH(F84,'Inventory'!$C$9:$C$108,0))="","",INDEX('Inventory'!$AH$9:$AH$108,MATCH(F84,'Inventory'!$C$9:$C$108,0))),""))</x:f>
      </x:c>
      <x:c r="R84" s="9" t="str">
        <x:f>IF(C84="","",IF(COUNTIFS('Facilities'!$C$9:$C$108,C84)&lt;&gt;1,"Duplicate facility ID",IF(OR(NOT(ISNUMBER(IFERROR(IF(INDEX('Facilities'!$G$9:$G$108,MATCH(C84,'Facilities'!$C$9:$C$108,0))="","",INDEX('Facilities'!$G$9:$G$108,MATCH(C84,'Facilities'!$C$9:$C$108,0))),""))),NOT(ISNUMBER(G84)),G84&lt;0,IFERROR(IF(INDEX('Facilities'!$Z$9:$Z$108,MATCH(C84,'Facilities'!$C$9:$C$108,0))="","",INDEX('Facilities'!$Z$9:$Z$108,MATCH(C84,'Facilities'!$C$9:$C$108,0))),"")&lt;=0),"Drawn value required",IF(COUNTIFS('Inventory'!$C$9:$C$108,F84)&lt;&gt;1,"Entity required",IF(OR(E84&lt;&gt;IFERROR(IF(INDEX('Inventory'!$F$9:$F$108,MATCH(F84,'Inventory'!$C$9:$C$108,0))="","",INDEX('Inventory'!$F$9:$F$108,MATCH(F84,'Inventory'!$C$9:$C$108,0))),""),D84&lt;&gt;IFERROR(IF(INDEX('Inventory'!$D$9:$D$108,MATCH(F84,'Inventory'!$C$9:$C$108,0))="","",INDEX('Inventory'!$D$9:$D$108,MATCH(F84,'Inventory'!$C$9:$C$108,0))),"")),"Entity / class mismatch",IF(IFERROR(IF(INDEX('Inventory'!$AL$9:$AL$108,MATCH(F84,'Inventory'!$C$9:$C$108,0))="","",INDEX('Inventory'!$AL$9:$AL$108,MATCH(F84,'Inventory'!$C$9:$C$108,0))),"")&lt;&gt;"Ready",IFERROR(IF(INDEX('Inventory'!$AL$9:$AL$108,MATCH(F84,'Inventory'!$C$9:$C$108,0))="","",INDEX('Inventory'!$AL$9:$AL$108,MATCH(F84,'Inventory'!$C$9:$C$108,0))),""),IF(AND(OR(E84="Project finance",E84="CRE",E84="Mortgage",E84="Motor"),IFERROR(IF(INDEX('Facilities'!$V$9:$V$108,MATCH(C84,'Facilities'!$C$9:$C$108,0))="","",INDEX('Facilities'!$V$9:$V$108,MATCH(C84,'Facilities'!$C$9:$C$108,0))),"")&lt;&gt;"Designated asset"),"Purpose review",IF(X84&gt;H84,"Exposure exceeds value","Ready"))))))))</x:f>
      </x:c>
      <x:c r="S84" s="9" t="str">
        <x:f>IF(C84="","",IFERROR(IF(INDEX('Inventory'!$V$9:$V$108,MATCH(F84,'Inventory'!$C$9:$C$108,0))="","",INDEX('Inventory'!$V$9:$V$108,MATCH(F84,'Inventory'!$C$9:$C$108,0))),""))</x:f>
      </x:c>
      <x:c r="T84" s="9" t="str">
        <x:f>IF(C84="","",IFERROR(IF(INDEX('Inventory'!$AB$9:$AB$108,MATCH(F84,'Inventory'!$C$9:$C$108,0))="","",INDEX('Inventory'!$AB$9:$AB$108,MATCH(F84,'Inventory'!$C$9:$C$108,0))),""))</x:f>
      </x:c>
      <x:c r="U84" s="9" t="str">
        <x:f>IF(C84="","",IFERROR(IF(INDEX('Inventory'!$AI$9:$AI$108,MATCH(F84,'Inventory'!$C$9:$C$108,0))="","",INDEX('Inventory'!$AI$9:$AI$108,MATCH(F84,'Inventory'!$C$9:$C$108,0))),""))</x:f>
      </x:c>
      <x:c r="V84" s="43" t="str">
        <x:f>IF(C84="","",IFERROR(IF(INDEX('Inventory'!$P$9:$P$108,MATCH(F84,'Inventory'!$C$9:$C$108,0))="","",INDEX('Inventory'!$P$9:$P$108,MATCH(F84,'Inventory'!$C$9:$C$108,0))),""))</x:f>
      </x:c>
      <x:c r="W84" s="3" t="str">
        <x:f>IF(C84="","",IF(E84="Corporate listed","PCAF 2025 pp40-46",IF(E84="Corporate private","PCAF 2025 pp55-60",IF(E84="Project finance","PCAF 2025 pp67-71",IF(E84="CRE","PCAF 2025 pp77-81",IF(E84="Mortgage","PCAF 2025 pp83-87",IF(E84="Motor","PCAF 2025 pp90-94","Method required")))))))</x:f>
      </x:c>
      <x:c r="X84" s="23" t="str">
        <x:f>IF(C84="","",SUMIFS('Facilities'!$AA$9:$AA$108,'Facilities'!$U$9:$U$108,F84))</x:f>
      </x:c>
      <x:c r="Y84" s="21" t="n">
        <x:f>IF(AND(R84="Ready",S84="Ready"),G84,0)</x:f>
        <x:v>0</x:v>
      </x:c>
      <x:c r="Z84" s="21" t="n">
        <x:f>IF(AND(R84="Ready",T84="Ready"),G84,0)</x:f>
        <x:v>0</x:v>
      </x:c>
      <x:c r="AA84" s="21" t="n">
        <x:f>IF(Y84&gt;0,Y84*O84,0)</x:f>
        <x:v>0</x:v>
      </x:c>
      <x:c r="AB84" s="21" t="n">
        <x:f>IF(Z84&gt;0,Z84*P84,0)</x:f>
        <x:v>0</x:v>
      </x:c>
      <x:c r="AC84" s="21" t="n">
        <x:f>IF(N84&gt;0,N84*Q84,0)</x:f>
        <x:v>0</x:v>
      </x:c>
      <x:c r="AD84" s="21" t="n">
        <x:f>IF(M84&gt;0,M84*MAX(O84,P84),0)</x:f>
        <x:v>0</x:v>
      </x:c>
      <x:c r="AE84" s="9" t="str">
        <x:f>IF(C84="","",IFERROR(IF(INDEX('Inventory'!$AC$9:$AC$108,MATCH(F84,'Inventory'!$C$9:$C$108,0))="","",INDEX('Inventory'!$AC$9:$AC$108,MATCH(F84,'Inventory'!$C$9:$C$108,0))),""))</x:f>
      </x:c>
      <x:c r="AF84" s="9" t="str">
        <x:f>IF(C84="","",IFERROR(IF(INDEX('Inventory'!$AN$9:$AN$108,MATCH(F84,'Inventory'!$C$9:$C$108,0))="","",INDEX('Inventory'!$AN$9:$AN$108,MATCH(F84,'Inventory'!$C$9:$C$108,0))),""))</x:f>
      </x:c>
    </x:row>
    <x:row r="85" ht="26" customHeight="1">
      <x:c r="A85" s="1"/>
      <x:c r="B85" s="1"/>
      <x:c r="C85" s="9" t="str">
        <x:f>IF('Facilities'!C85="","",'Facilities'!C85)</x:f>
      </x:c>
      <x:c r="D85" s="9" t="str">
        <x:f>IF(C85="","",IFERROR(IF(INDEX('Facilities'!$D$9:$D$108,MATCH(C85,'Facilities'!$C$9:$C$108,0))="","",INDEX('Facilities'!$D$9:$D$108,MATCH(C85,'Facilities'!$C$9:$C$108,0))),""))</x:f>
      </x:c>
      <x:c r="E85" s="9" t="str">
        <x:f>IF(C85="","",IFERROR(IF(INDEX('Facilities'!$E$9:$E$108,MATCH(C85,'Facilities'!$C$9:$C$108,0))="","",INDEX('Facilities'!$E$9:$E$108,MATCH(C85,'Facilities'!$C$9:$C$108,0))),""))</x:f>
      </x:c>
      <x:c r="F85" s="9" t="str">
        <x:f>IF(C85="","",IFERROR(IF(INDEX('Facilities'!$U$9:$U$108,MATCH(C85,'Facilities'!$C$9:$C$108,0))="","",INDEX('Facilities'!$U$9:$U$108,MATCH(C85,'Facilities'!$C$9:$C$108,0))),""))</x:f>
      </x:c>
      <x:c r="G85" s="23" t="str">
        <x:f>IF(C85="","",IFERROR(IF(INDEX('Facilities'!$AA$9:$AA$108,MATCH(C85,'Facilities'!$C$9:$C$108,0))="","",INDEX('Facilities'!$AA$9:$AA$108,MATCH(C85,'Facilities'!$C$9:$C$108,0))),""))</x:f>
      </x:c>
      <x:c r="H85" s="23" t="str">
        <x:f>IF(C85="","",IFERROR(IF(INDEX('Inventory'!$N$9:$N$108,MATCH(F85,'Inventory'!$C$9:$C$108,0))="","",INDEX('Inventory'!$N$9:$N$108,MATCH(F85,'Inventory'!$C$9:$C$108,0))),""))</x:f>
      </x:c>
      <x:c r="I85" s="17" t="str">
        <x:f>IF(R85="Ready",G85/H85,"")</x:f>
      </x:c>
      <x:c r="J85" s="23" t="str">
        <x:f>IF(AND(R85="Ready",S85="Ready"),I85*IFERROR(IF(INDEX('Inventory'!$T$9:$T$108,MATCH(F85,'Inventory'!$C$9:$C$108,0))="","",INDEX('Inventory'!$T$9:$T$108,MATCH(F85,'Inventory'!$C$9:$C$108,0))),""),"")</x:f>
      </x:c>
      <x:c r="K85" s="23" t="str">
        <x:f>IF(AND(R85="Ready",T85="Ready"),I85*IFERROR(IF(INDEX('Inventory'!$Z$9:$Z$108,MATCH(F85,'Inventory'!$C$9:$C$108,0))="","",INDEX('Inventory'!$Z$9:$Z$108,MATCH(F85,'Inventory'!$C$9:$C$108,0))),""),"")</x:f>
      </x:c>
      <x:c r="L85" s="23" t="str">
        <x:f>IF(AND(R85="Ready",U85="Ready"),I85*IFERROR(IF(INDEX('Inventory'!$AG$9:$AG$108,MATCH(F85,'Inventory'!$C$9:$C$108,0))="","",INDEX('Inventory'!$AG$9:$AG$108,MATCH(F85,'Inventory'!$C$9:$C$108,0))),""),"")</x:f>
      </x:c>
      <x:c r="M85" s="21" t="n">
        <x:f>IF(AND(R85="Ready",S85="Ready",T85="Ready"),G85,0)</x:f>
        <x:v>0</x:v>
      </x:c>
      <x:c r="N85" s="21" t="n">
        <x:f>IF(AND(R85="Ready",U85="Ready"),G85,0)</x:f>
        <x:v>0</x:v>
      </x:c>
      <x:c r="O85" s="42" t="str">
        <x:f>IF(C85="","",IFERROR(IF(INDEX('Inventory'!$U$9:$U$108,MATCH(F85,'Inventory'!$C$9:$C$108,0))="","",INDEX('Inventory'!$U$9:$U$108,MATCH(F85,'Inventory'!$C$9:$C$108,0))),""))</x:f>
      </x:c>
      <x:c r="P85" s="42" t="str">
        <x:f>IF(C85="","",IFERROR(IF(INDEX('Inventory'!$AA$9:$AA$108,MATCH(F85,'Inventory'!$C$9:$C$108,0))="","",INDEX('Inventory'!$AA$9:$AA$108,MATCH(F85,'Inventory'!$C$9:$C$108,0))),""))</x:f>
      </x:c>
      <x:c r="Q85" s="42" t="str">
        <x:f>IF(C85="","",IFERROR(IF(INDEX('Inventory'!$AH$9:$AH$108,MATCH(F85,'Inventory'!$C$9:$C$108,0))="","",INDEX('Inventory'!$AH$9:$AH$108,MATCH(F85,'Inventory'!$C$9:$C$108,0))),""))</x:f>
      </x:c>
      <x:c r="R85" s="9" t="str">
        <x:f>IF(C85="","",IF(COUNTIFS('Facilities'!$C$9:$C$108,C85)&lt;&gt;1,"Duplicate facility ID",IF(OR(NOT(ISNUMBER(IFERROR(IF(INDEX('Facilities'!$G$9:$G$108,MATCH(C85,'Facilities'!$C$9:$C$108,0))="","",INDEX('Facilities'!$G$9:$G$108,MATCH(C85,'Facilities'!$C$9:$C$108,0))),""))),NOT(ISNUMBER(G85)),G85&lt;0,IFERROR(IF(INDEX('Facilities'!$Z$9:$Z$108,MATCH(C85,'Facilities'!$C$9:$C$108,0))="","",INDEX('Facilities'!$Z$9:$Z$108,MATCH(C85,'Facilities'!$C$9:$C$108,0))),"")&lt;=0),"Drawn value required",IF(COUNTIFS('Inventory'!$C$9:$C$108,F85)&lt;&gt;1,"Entity required",IF(OR(E85&lt;&gt;IFERROR(IF(INDEX('Inventory'!$F$9:$F$108,MATCH(F85,'Inventory'!$C$9:$C$108,0))="","",INDEX('Inventory'!$F$9:$F$108,MATCH(F85,'Inventory'!$C$9:$C$108,0))),""),D85&lt;&gt;IFERROR(IF(INDEX('Inventory'!$D$9:$D$108,MATCH(F85,'Inventory'!$C$9:$C$108,0))="","",INDEX('Inventory'!$D$9:$D$108,MATCH(F85,'Inventory'!$C$9:$C$108,0))),"")),"Entity / class mismatch",IF(IFERROR(IF(INDEX('Inventory'!$AL$9:$AL$108,MATCH(F85,'Inventory'!$C$9:$C$108,0))="","",INDEX('Inventory'!$AL$9:$AL$108,MATCH(F85,'Inventory'!$C$9:$C$108,0))),"")&lt;&gt;"Ready",IFERROR(IF(INDEX('Inventory'!$AL$9:$AL$108,MATCH(F85,'Inventory'!$C$9:$C$108,0))="","",INDEX('Inventory'!$AL$9:$AL$108,MATCH(F85,'Inventory'!$C$9:$C$108,0))),""),IF(AND(OR(E85="Project finance",E85="CRE",E85="Mortgage",E85="Motor"),IFERROR(IF(INDEX('Facilities'!$V$9:$V$108,MATCH(C85,'Facilities'!$C$9:$C$108,0))="","",INDEX('Facilities'!$V$9:$V$108,MATCH(C85,'Facilities'!$C$9:$C$108,0))),"")&lt;&gt;"Designated asset"),"Purpose review",IF(X85&gt;H85,"Exposure exceeds value","Ready"))))))))</x:f>
      </x:c>
      <x:c r="S85" s="9" t="str">
        <x:f>IF(C85="","",IFERROR(IF(INDEX('Inventory'!$V$9:$V$108,MATCH(F85,'Inventory'!$C$9:$C$108,0))="","",INDEX('Inventory'!$V$9:$V$108,MATCH(F85,'Inventory'!$C$9:$C$108,0))),""))</x:f>
      </x:c>
      <x:c r="T85" s="9" t="str">
        <x:f>IF(C85="","",IFERROR(IF(INDEX('Inventory'!$AB$9:$AB$108,MATCH(F85,'Inventory'!$C$9:$C$108,0))="","",INDEX('Inventory'!$AB$9:$AB$108,MATCH(F85,'Inventory'!$C$9:$C$108,0))),""))</x:f>
      </x:c>
      <x:c r="U85" s="9" t="str">
        <x:f>IF(C85="","",IFERROR(IF(INDEX('Inventory'!$AI$9:$AI$108,MATCH(F85,'Inventory'!$C$9:$C$108,0))="","",INDEX('Inventory'!$AI$9:$AI$108,MATCH(F85,'Inventory'!$C$9:$C$108,0))),""))</x:f>
      </x:c>
      <x:c r="V85" s="43" t="str">
        <x:f>IF(C85="","",IFERROR(IF(INDEX('Inventory'!$P$9:$P$108,MATCH(F85,'Inventory'!$C$9:$C$108,0))="","",INDEX('Inventory'!$P$9:$P$108,MATCH(F85,'Inventory'!$C$9:$C$108,0))),""))</x:f>
      </x:c>
      <x:c r="W85" s="3" t="str">
        <x:f>IF(C85="","",IF(E85="Corporate listed","PCAF 2025 pp40-46",IF(E85="Corporate private","PCAF 2025 pp55-60",IF(E85="Project finance","PCAF 2025 pp67-71",IF(E85="CRE","PCAF 2025 pp77-81",IF(E85="Mortgage","PCAF 2025 pp83-87",IF(E85="Motor","PCAF 2025 pp90-94","Method required")))))))</x:f>
      </x:c>
      <x:c r="X85" s="23" t="str">
        <x:f>IF(C85="","",SUMIFS('Facilities'!$AA$9:$AA$108,'Facilities'!$U$9:$U$108,F85))</x:f>
      </x:c>
      <x:c r="Y85" s="21" t="n">
        <x:f>IF(AND(R85="Ready",S85="Ready"),G85,0)</x:f>
        <x:v>0</x:v>
      </x:c>
      <x:c r="Z85" s="21" t="n">
        <x:f>IF(AND(R85="Ready",T85="Ready"),G85,0)</x:f>
        <x:v>0</x:v>
      </x:c>
      <x:c r="AA85" s="21" t="n">
        <x:f>IF(Y85&gt;0,Y85*O85,0)</x:f>
        <x:v>0</x:v>
      </x:c>
      <x:c r="AB85" s="21" t="n">
        <x:f>IF(Z85&gt;0,Z85*P85,0)</x:f>
        <x:v>0</x:v>
      </x:c>
      <x:c r="AC85" s="21" t="n">
        <x:f>IF(N85&gt;0,N85*Q85,0)</x:f>
        <x:v>0</x:v>
      </x:c>
      <x:c r="AD85" s="21" t="n">
        <x:f>IF(M85&gt;0,M85*MAX(O85,P85),0)</x:f>
        <x:v>0</x:v>
      </x:c>
      <x:c r="AE85" s="9" t="str">
        <x:f>IF(C85="","",IFERROR(IF(INDEX('Inventory'!$AC$9:$AC$108,MATCH(F85,'Inventory'!$C$9:$C$108,0))="","",INDEX('Inventory'!$AC$9:$AC$108,MATCH(F85,'Inventory'!$C$9:$C$108,0))),""))</x:f>
      </x:c>
      <x:c r="AF85" s="9" t="str">
        <x:f>IF(C85="","",IFERROR(IF(INDEX('Inventory'!$AN$9:$AN$108,MATCH(F85,'Inventory'!$C$9:$C$108,0))="","",INDEX('Inventory'!$AN$9:$AN$108,MATCH(F85,'Inventory'!$C$9:$C$108,0))),""))</x:f>
      </x:c>
    </x:row>
    <x:row r="86" ht="26" customHeight="1">
      <x:c r="A86" s="1"/>
      <x:c r="B86" s="1"/>
      <x:c r="C86" s="9" t="str">
        <x:f>IF('Facilities'!C86="","",'Facilities'!C86)</x:f>
      </x:c>
      <x:c r="D86" s="9" t="str">
        <x:f>IF(C86="","",IFERROR(IF(INDEX('Facilities'!$D$9:$D$108,MATCH(C86,'Facilities'!$C$9:$C$108,0))="","",INDEX('Facilities'!$D$9:$D$108,MATCH(C86,'Facilities'!$C$9:$C$108,0))),""))</x:f>
      </x:c>
      <x:c r="E86" s="9" t="str">
        <x:f>IF(C86="","",IFERROR(IF(INDEX('Facilities'!$E$9:$E$108,MATCH(C86,'Facilities'!$C$9:$C$108,0))="","",INDEX('Facilities'!$E$9:$E$108,MATCH(C86,'Facilities'!$C$9:$C$108,0))),""))</x:f>
      </x:c>
      <x:c r="F86" s="9" t="str">
        <x:f>IF(C86="","",IFERROR(IF(INDEX('Facilities'!$U$9:$U$108,MATCH(C86,'Facilities'!$C$9:$C$108,0))="","",INDEX('Facilities'!$U$9:$U$108,MATCH(C86,'Facilities'!$C$9:$C$108,0))),""))</x:f>
      </x:c>
      <x:c r="G86" s="23" t="str">
        <x:f>IF(C86="","",IFERROR(IF(INDEX('Facilities'!$AA$9:$AA$108,MATCH(C86,'Facilities'!$C$9:$C$108,0))="","",INDEX('Facilities'!$AA$9:$AA$108,MATCH(C86,'Facilities'!$C$9:$C$108,0))),""))</x:f>
      </x:c>
      <x:c r="H86" s="23" t="str">
        <x:f>IF(C86="","",IFERROR(IF(INDEX('Inventory'!$N$9:$N$108,MATCH(F86,'Inventory'!$C$9:$C$108,0))="","",INDEX('Inventory'!$N$9:$N$108,MATCH(F86,'Inventory'!$C$9:$C$108,0))),""))</x:f>
      </x:c>
      <x:c r="I86" s="17" t="str">
        <x:f>IF(R86="Ready",G86/H86,"")</x:f>
      </x:c>
      <x:c r="J86" s="23" t="str">
        <x:f>IF(AND(R86="Ready",S86="Ready"),I86*IFERROR(IF(INDEX('Inventory'!$T$9:$T$108,MATCH(F86,'Inventory'!$C$9:$C$108,0))="","",INDEX('Inventory'!$T$9:$T$108,MATCH(F86,'Inventory'!$C$9:$C$108,0))),""),"")</x:f>
      </x:c>
      <x:c r="K86" s="23" t="str">
        <x:f>IF(AND(R86="Ready",T86="Ready"),I86*IFERROR(IF(INDEX('Inventory'!$Z$9:$Z$108,MATCH(F86,'Inventory'!$C$9:$C$108,0))="","",INDEX('Inventory'!$Z$9:$Z$108,MATCH(F86,'Inventory'!$C$9:$C$108,0))),""),"")</x:f>
      </x:c>
      <x:c r="L86" s="23" t="str">
        <x:f>IF(AND(R86="Ready",U86="Ready"),I86*IFERROR(IF(INDEX('Inventory'!$AG$9:$AG$108,MATCH(F86,'Inventory'!$C$9:$C$108,0))="","",INDEX('Inventory'!$AG$9:$AG$108,MATCH(F86,'Inventory'!$C$9:$C$108,0))),""),"")</x:f>
      </x:c>
      <x:c r="M86" s="21" t="n">
        <x:f>IF(AND(R86="Ready",S86="Ready",T86="Ready"),G86,0)</x:f>
        <x:v>0</x:v>
      </x:c>
      <x:c r="N86" s="21" t="n">
        <x:f>IF(AND(R86="Ready",U86="Ready"),G86,0)</x:f>
        <x:v>0</x:v>
      </x:c>
      <x:c r="O86" s="42" t="str">
        <x:f>IF(C86="","",IFERROR(IF(INDEX('Inventory'!$U$9:$U$108,MATCH(F86,'Inventory'!$C$9:$C$108,0))="","",INDEX('Inventory'!$U$9:$U$108,MATCH(F86,'Inventory'!$C$9:$C$108,0))),""))</x:f>
      </x:c>
      <x:c r="P86" s="42" t="str">
        <x:f>IF(C86="","",IFERROR(IF(INDEX('Inventory'!$AA$9:$AA$108,MATCH(F86,'Inventory'!$C$9:$C$108,0))="","",INDEX('Inventory'!$AA$9:$AA$108,MATCH(F86,'Inventory'!$C$9:$C$108,0))),""))</x:f>
      </x:c>
      <x:c r="Q86" s="42" t="str">
        <x:f>IF(C86="","",IFERROR(IF(INDEX('Inventory'!$AH$9:$AH$108,MATCH(F86,'Inventory'!$C$9:$C$108,0))="","",INDEX('Inventory'!$AH$9:$AH$108,MATCH(F86,'Inventory'!$C$9:$C$108,0))),""))</x:f>
      </x:c>
      <x:c r="R86" s="9" t="str">
        <x:f>IF(C86="","",IF(COUNTIFS('Facilities'!$C$9:$C$108,C86)&lt;&gt;1,"Duplicate facility ID",IF(OR(NOT(ISNUMBER(IFERROR(IF(INDEX('Facilities'!$G$9:$G$108,MATCH(C86,'Facilities'!$C$9:$C$108,0))="","",INDEX('Facilities'!$G$9:$G$108,MATCH(C86,'Facilities'!$C$9:$C$108,0))),""))),NOT(ISNUMBER(G86)),G86&lt;0,IFERROR(IF(INDEX('Facilities'!$Z$9:$Z$108,MATCH(C86,'Facilities'!$C$9:$C$108,0))="","",INDEX('Facilities'!$Z$9:$Z$108,MATCH(C86,'Facilities'!$C$9:$C$108,0))),"")&lt;=0),"Drawn value required",IF(COUNTIFS('Inventory'!$C$9:$C$108,F86)&lt;&gt;1,"Entity required",IF(OR(E86&lt;&gt;IFERROR(IF(INDEX('Inventory'!$F$9:$F$108,MATCH(F86,'Inventory'!$C$9:$C$108,0))="","",INDEX('Inventory'!$F$9:$F$108,MATCH(F86,'Inventory'!$C$9:$C$108,0))),""),D86&lt;&gt;IFERROR(IF(INDEX('Inventory'!$D$9:$D$108,MATCH(F86,'Inventory'!$C$9:$C$108,0))="","",INDEX('Inventory'!$D$9:$D$108,MATCH(F86,'Inventory'!$C$9:$C$108,0))),"")),"Entity / class mismatch",IF(IFERROR(IF(INDEX('Inventory'!$AL$9:$AL$108,MATCH(F86,'Inventory'!$C$9:$C$108,0))="","",INDEX('Inventory'!$AL$9:$AL$108,MATCH(F86,'Inventory'!$C$9:$C$108,0))),"")&lt;&gt;"Ready",IFERROR(IF(INDEX('Inventory'!$AL$9:$AL$108,MATCH(F86,'Inventory'!$C$9:$C$108,0))="","",INDEX('Inventory'!$AL$9:$AL$108,MATCH(F86,'Inventory'!$C$9:$C$108,0))),""),IF(AND(OR(E86="Project finance",E86="CRE",E86="Mortgage",E86="Motor"),IFERROR(IF(INDEX('Facilities'!$V$9:$V$108,MATCH(C86,'Facilities'!$C$9:$C$108,0))="","",INDEX('Facilities'!$V$9:$V$108,MATCH(C86,'Facilities'!$C$9:$C$108,0))),"")&lt;&gt;"Designated asset"),"Purpose review",IF(X86&gt;H86,"Exposure exceeds value","Ready"))))))))</x:f>
      </x:c>
      <x:c r="S86" s="9" t="str">
        <x:f>IF(C86="","",IFERROR(IF(INDEX('Inventory'!$V$9:$V$108,MATCH(F86,'Inventory'!$C$9:$C$108,0))="","",INDEX('Inventory'!$V$9:$V$108,MATCH(F86,'Inventory'!$C$9:$C$108,0))),""))</x:f>
      </x:c>
      <x:c r="T86" s="9" t="str">
        <x:f>IF(C86="","",IFERROR(IF(INDEX('Inventory'!$AB$9:$AB$108,MATCH(F86,'Inventory'!$C$9:$C$108,0))="","",INDEX('Inventory'!$AB$9:$AB$108,MATCH(F86,'Inventory'!$C$9:$C$108,0))),""))</x:f>
      </x:c>
      <x:c r="U86" s="9" t="str">
        <x:f>IF(C86="","",IFERROR(IF(INDEX('Inventory'!$AI$9:$AI$108,MATCH(F86,'Inventory'!$C$9:$C$108,0))="","",INDEX('Inventory'!$AI$9:$AI$108,MATCH(F86,'Inventory'!$C$9:$C$108,0))),""))</x:f>
      </x:c>
      <x:c r="V86" s="43" t="str">
        <x:f>IF(C86="","",IFERROR(IF(INDEX('Inventory'!$P$9:$P$108,MATCH(F86,'Inventory'!$C$9:$C$108,0))="","",INDEX('Inventory'!$P$9:$P$108,MATCH(F86,'Inventory'!$C$9:$C$108,0))),""))</x:f>
      </x:c>
      <x:c r="W86" s="3" t="str">
        <x:f>IF(C86="","",IF(E86="Corporate listed","PCAF 2025 pp40-46",IF(E86="Corporate private","PCAF 2025 pp55-60",IF(E86="Project finance","PCAF 2025 pp67-71",IF(E86="CRE","PCAF 2025 pp77-81",IF(E86="Mortgage","PCAF 2025 pp83-87",IF(E86="Motor","PCAF 2025 pp90-94","Method required")))))))</x:f>
      </x:c>
      <x:c r="X86" s="23" t="str">
        <x:f>IF(C86="","",SUMIFS('Facilities'!$AA$9:$AA$108,'Facilities'!$U$9:$U$108,F86))</x:f>
      </x:c>
      <x:c r="Y86" s="21" t="n">
        <x:f>IF(AND(R86="Ready",S86="Ready"),G86,0)</x:f>
        <x:v>0</x:v>
      </x:c>
      <x:c r="Z86" s="21" t="n">
        <x:f>IF(AND(R86="Ready",T86="Ready"),G86,0)</x:f>
        <x:v>0</x:v>
      </x:c>
      <x:c r="AA86" s="21" t="n">
        <x:f>IF(Y86&gt;0,Y86*O86,0)</x:f>
        <x:v>0</x:v>
      </x:c>
      <x:c r="AB86" s="21" t="n">
        <x:f>IF(Z86&gt;0,Z86*P86,0)</x:f>
        <x:v>0</x:v>
      </x:c>
      <x:c r="AC86" s="21" t="n">
        <x:f>IF(N86&gt;0,N86*Q86,0)</x:f>
        <x:v>0</x:v>
      </x:c>
      <x:c r="AD86" s="21" t="n">
        <x:f>IF(M86&gt;0,M86*MAX(O86,P86),0)</x:f>
        <x:v>0</x:v>
      </x:c>
      <x:c r="AE86" s="9" t="str">
        <x:f>IF(C86="","",IFERROR(IF(INDEX('Inventory'!$AC$9:$AC$108,MATCH(F86,'Inventory'!$C$9:$C$108,0))="","",INDEX('Inventory'!$AC$9:$AC$108,MATCH(F86,'Inventory'!$C$9:$C$108,0))),""))</x:f>
      </x:c>
      <x:c r="AF86" s="9" t="str">
        <x:f>IF(C86="","",IFERROR(IF(INDEX('Inventory'!$AN$9:$AN$108,MATCH(F86,'Inventory'!$C$9:$C$108,0))="","",INDEX('Inventory'!$AN$9:$AN$108,MATCH(F86,'Inventory'!$C$9:$C$108,0))),""))</x:f>
      </x:c>
    </x:row>
    <x:row r="87" ht="26" customHeight="1">
      <x:c r="A87" s="1"/>
      <x:c r="B87" s="1"/>
      <x:c r="C87" s="9" t="str">
        <x:f>IF('Facilities'!C87="","",'Facilities'!C87)</x:f>
      </x:c>
      <x:c r="D87" s="9" t="str">
        <x:f>IF(C87="","",IFERROR(IF(INDEX('Facilities'!$D$9:$D$108,MATCH(C87,'Facilities'!$C$9:$C$108,0))="","",INDEX('Facilities'!$D$9:$D$108,MATCH(C87,'Facilities'!$C$9:$C$108,0))),""))</x:f>
      </x:c>
      <x:c r="E87" s="9" t="str">
        <x:f>IF(C87="","",IFERROR(IF(INDEX('Facilities'!$E$9:$E$108,MATCH(C87,'Facilities'!$C$9:$C$108,0))="","",INDEX('Facilities'!$E$9:$E$108,MATCH(C87,'Facilities'!$C$9:$C$108,0))),""))</x:f>
      </x:c>
      <x:c r="F87" s="9" t="str">
        <x:f>IF(C87="","",IFERROR(IF(INDEX('Facilities'!$U$9:$U$108,MATCH(C87,'Facilities'!$C$9:$C$108,0))="","",INDEX('Facilities'!$U$9:$U$108,MATCH(C87,'Facilities'!$C$9:$C$108,0))),""))</x:f>
      </x:c>
      <x:c r="G87" s="23" t="str">
        <x:f>IF(C87="","",IFERROR(IF(INDEX('Facilities'!$AA$9:$AA$108,MATCH(C87,'Facilities'!$C$9:$C$108,0))="","",INDEX('Facilities'!$AA$9:$AA$108,MATCH(C87,'Facilities'!$C$9:$C$108,0))),""))</x:f>
      </x:c>
      <x:c r="H87" s="23" t="str">
        <x:f>IF(C87="","",IFERROR(IF(INDEX('Inventory'!$N$9:$N$108,MATCH(F87,'Inventory'!$C$9:$C$108,0))="","",INDEX('Inventory'!$N$9:$N$108,MATCH(F87,'Inventory'!$C$9:$C$108,0))),""))</x:f>
      </x:c>
      <x:c r="I87" s="17" t="str">
        <x:f>IF(R87="Ready",G87/H87,"")</x:f>
      </x:c>
      <x:c r="J87" s="23" t="str">
        <x:f>IF(AND(R87="Ready",S87="Ready"),I87*IFERROR(IF(INDEX('Inventory'!$T$9:$T$108,MATCH(F87,'Inventory'!$C$9:$C$108,0))="","",INDEX('Inventory'!$T$9:$T$108,MATCH(F87,'Inventory'!$C$9:$C$108,0))),""),"")</x:f>
      </x:c>
      <x:c r="K87" s="23" t="str">
        <x:f>IF(AND(R87="Ready",T87="Ready"),I87*IFERROR(IF(INDEX('Inventory'!$Z$9:$Z$108,MATCH(F87,'Inventory'!$C$9:$C$108,0))="","",INDEX('Inventory'!$Z$9:$Z$108,MATCH(F87,'Inventory'!$C$9:$C$108,0))),""),"")</x:f>
      </x:c>
      <x:c r="L87" s="23" t="str">
        <x:f>IF(AND(R87="Ready",U87="Ready"),I87*IFERROR(IF(INDEX('Inventory'!$AG$9:$AG$108,MATCH(F87,'Inventory'!$C$9:$C$108,0))="","",INDEX('Inventory'!$AG$9:$AG$108,MATCH(F87,'Inventory'!$C$9:$C$108,0))),""),"")</x:f>
      </x:c>
      <x:c r="M87" s="21" t="n">
        <x:f>IF(AND(R87="Ready",S87="Ready",T87="Ready"),G87,0)</x:f>
        <x:v>0</x:v>
      </x:c>
      <x:c r="N87" s="21" t="n">
        <x:f>IF(AND(R87="Ready",U87="Ready"),G87,0)</x:f>
        <x:v>0</x:v>
      </x:c>
      <x:c r="O87" s="42" t="str">
        <x:f>IF(C87="","",IFERROR(IF(INDEX('Inventory'!$U$9:$U$108,MATCH(F87,'Inventory'!$C$9:$C$108,0))="","",INDEX('Inventory'!$U$9:$U$108,MATCH(F87,'Inventory'!$C$9:$C$108,0))),""))</x:f>
      </x:c>
      <x:c r="P87" s="42" t="str">
        <x:f>IF(C87="","",IFERROR(IF(INDEX('Inventory'!$AA$9:$AA$108,MATCH(F87,'Inventory'!$C$9:$C$108,0))="","",INDEX('Inventory'!$AA$9:$AA$108,MATCH(F87,'Inventory'!$C$9:$C$108,0))),""))</x:f>
      </x:c>
      <x:c r="Q87" s="42" t="str">
        <x:f>IF(C87="","",IFERROR(IF(INDEX('Inventory'!$AH$9:$AH$108,MATCH(F87,'Inventory'!$C$9:$C$108,0))="","",INDEX('Inventory'!$AH$9:$AH$108,MATCH(F87,'Inventory'!$C$9:$C$108,0))),""))</x:f>
      </x:c>
      <x:c r="R87" s="9" t="str">
        <x:f>IF(C87="","",IF(COUNTIFS('Facilities'!$C$9:$C$108,C87)&lt;&gt;1,"Duplicate facility ID",IF(OR(NOT(ISNUMBER(IFERROR(IF(INDEX('Facilities'!$G$9:$G$108,MATCH(C87,'Facilities'!$C$9:$C$108,0))="","",INDEX('Facilities'!$G$9:$G$108,MATCH(C87,'Facilities'!$C$9:$C$108,0))),""))),NOT(ISNUMBER(G87)),G87&lt;0,IFERROR(IF(INDEX('Facilities'!$Z$9:$Z$108,MATCH(C87,'Facilities'!$C$9:$C$108,0))="","",INDEX('Facilities'!$Z$9:$Z$108,MATCH(C87,'Facilities'!$C$9:$C$108,0))),"")&lt;=0),"Drawn value required",IF(COUNTIFS('Inventory'!$C$9:$C$108,F87)&lt;&gt;1,"Entity required",IF(OR(E87&lt;&gt;IFERROR(IF(INDEX('Inventory'!$F$9:$F$108,MATCH(F87,'Inventory'!$C$9:$C$108,0))="","",INDEX('Inventory'!$F$9:$F$108,MATCH(F87,'Inventory'!$C$9:$C$108,0))),""),D87&lt;&gt;IFERROR(IF(INDEX('Inventory'!$D$9:$D$108,MATCH(F87,'Inventory'!$C$9:$C$108,0))="","",INDEX('Inventory'!$D$9:$D$108,MATCH(F87,'Inventory'!$C$9:$C$108,0))),"")),"Entity / class mismatch",IF(IFERROR(IF(INDEX('Inventory'!$AL$9:$AL$108,MATCH(F87,'Inventory'!$C$9:$C$108,0))="","",INDEX('Inventory'!$AL$9:$AL$108,MATCH(F87,'Inventory'!$C$9:$C$108,0))),"")&lt;&gt;"Ready",IFERROR(IF(INDEX('Inventory'!$AL$9:$AL$108,MATCH(F87,'Inventory'!$C$9:$C$108,0))="","",INDEX('Inventory'!$AL$9:$AL$108,MATCH(F87,'Inventory'!$C$9:$C$108,0))),""),IF(AND(OR(E87="Project finance",E87="CRE",E87="Mortgage",E87="Motor"),IFERROR(IF(INDEX('Facilities'!$V$9:$V$108,MATCH(C87,'Facilities'!$C$9:$C$108,0))="","",INDEX('Facilities'!$V$9:$V$108,MATCH(C87,'Facilities'!$C$9:$C$108,0))),"")&lt;&gt;"Designated asset"),"Purpose review",IF(X87&gt;H87,"Exposure exceeds value","Ready"))))))))</x:f>
      </x:c>
      <x:c r="S87" s="9" t="str">
        <x:f>IF(C87="","",IFERROR(IF(INDEX('Inventory'!$V$9:$V$108,MATCH(F87,'Inventory'!$C$9:$C$108,0))="","",INDEX('Inventory'!$V$9:$V$108,MATCH(F87,'Inventory'!$C$9:$C$108,0))),""))</x:f>
      </x:c>
      <x:c r="T87" s="9" t="str">
        <x:f>IF(C87="","",IFERROR(IF(INDEX('Inventory'!$AB$9:$AB$108,MATCH(F87,'Inventory'!$C$9:$C$108,0))="","",INDEX('Inventory'!$AB$9:$AB$108,MATCH(F87,'Inventory'!$C$9:$C$108,0))),""))</x:f>
      </x:c>
      <x:c r="U87" s="9" t="str">
        <x:f>IF(C87="","",IFERROR(IF(INDEX('Inventory'!$AI$9:$AI$108,MATCH(F87,'Inventory'!$C$9:$C$108,0))="","",INDEX('Inventory'!$AI$9:$AI$108,MATCH(F87,'Inventory'!$C$9:$C$108,0))),""))</x:f>
      </x:c>
      <x:c r="V87" s="43" t="str">
        <x:f>IF(C87="","",IFERROR(IF(INDEX('Inventory'!$P$9:$P$108,MATCH(F87,'Inventory'!$C$9:$C$108,0))="","",INDEX('Inventory'!$P$9:$P$108,MATCH(F87,'Inventory'!$C$9:$C$108,0))),""))</x:f>
      </x:c>
      <x:c r="W87" s="3" t="str">
        <x:f>IF(C87="","",IF(E87="Corporate listed","PCAF 2025 pp40-46",IF(E87="Corporate private","PCAF 2025 pp55-60",IF(E87="Project finance","PCAF 2025 pp67-71",IF(E87="CRE","PCAF 2025 pp77-81",IF(E87="Mortgage","PCAF 2025 pp83-87",IF(E87="Motor","PCAF 2025 pp90-94","Method required")))))))</x:f>
      </x:c>
      <x:c r="X87" s="23" t="str">
        <x:f>IF(C87="","",SUMIFS('Facilities'!$AA$9:$AA$108,'Facilities'!$U$9:$U$108,F87))</x:f>
      </x:c>
      <x:c r="Y87" s="21" t="n">
        <x:f>IF(AND(R87="Ready",S87="Ready"),G87,0)</x:f>
        <x:v>0</x:v>
      </x:c>
      <x:c r="Z87" s="21" t="n">
        <x:f>IF(AND(R87="Ready",T87="Ready"),G87,0)</x:f>
        <x:v>0</x:v>
      </x:c>
      <x:c r="AA87" s="21" t="n">
        <x:f>IF(Y87&gt;0,Y87*O87,0)</x:f>
        <x:v>0</x:v>
      </x:c>
      <x:c r="AB87" s="21" t="n">
        <x:f>IF(Z87&gt;0,Z87*P87,0)</x:f>
        <x:v>0</x:v>
      </x:c>
      <x:c r="AC87" s="21" t="n">
        <x:f>IF(N87&gt;0,N87*Q87,0)</x:f>
        <x:v>0</x:v>
      </x:c>
      <x:c r="AD87" s="21" t="n">
        <x:f>IF(M87&gt;0,M87*MAX(O87,P87),0)</x:f>
        <x:v>0</x:v>
      </x:c>
      <x:c r="AE87" s="9" t="str">
        <x:f>IF(C87="","",IFERROR(IF(INDEX('Inventory'!$AC$9:$AC$108,MATCH(F87,'Inventory'!$C$9:$C$108,0))="","",INDEX('Inventory'!$AC$9:$AC$108,MATCH(F87,'Inventory'!$C$9:$C$108,0))),""))</x:f>
      </x:c>
      <x:c r="AF87" s="9" t="str">
        <x:f>IF(C87="","",IFERROR(IF(INDEX('Inventory'!$AN$9:$AN$108,MATCH(F87,'Inventory'!$C$9:$C$108,0))="","",INDEX('Inventory'!$AN$9:$AN$108,MATCH(F87,'Inventory'!$C$9:$C$108,0))),""))</x:f>
      </x:c>
    </x:row>
    <x:row r="88" ht="26" customHeight="1">
      <x:c r="A88" s="1"/>
      <x:c r="B88" s="1"/>
      <x:c r="C88" s="9" t="str">
        <x:f>IF('Facilities'!C88="","",'Facilities'!C88)</x:f>
      </x:c>
      <x:c r="D88" s="9" t="str">
        <x:f>IF(C88="","",IFERROR(IF(INDEX('Facilities'!$D$9:$D$108,MATCH(C88,'Facilities'!$C$9:$C$108,0))="","",INDEX('Facilities'!$D$9:$D$108,MATCH(C88,'Facilities'!$C$9:$C$108,0))),""))</x:f>
      </x:c>
      <x:c r="E88" s="9" t="str">
        <x:f>IF(C88="","",IFERROR(IF(INDEX('Facilities'!$E$9:$E$108,MATCH(C88,'Facilities'!$C$9:$C$108,0))="","",INDEX('Facilities'!$E$9:$E$108,MATCH(C88,'Facilities'!$C$9:$C$108,0))),""))</x:f>
      </x:c>
      <x:c r="F88" s="9" t="str">
        <x:f>IF(C88="","",IFERROR(IF(INDEX('Facilities'!$U$9:$U$108,MATCH(C88,'Facilities'!$C$9:$C$108,0))="","",INDEX('Facilities'!$U$9:$U$108,MATCH(C88,'Facilities'!$C$9:$C$108,0))),""))</x:f>
      </x:c>
      <x:c r="G88" s="23" t="str">
        <x:f>IF(C88="","",IFERROR(IF(INDEX('Facilities'!$AA$9:$AA$108,MATCH(C88,'Facilities'!$C$9:$C$108,0))="","",INDEX('Facilities'!$AA$9:$AA$108,MATCH(C88,'Facilities'!$C$9:$C$108,0))),""))</x:f>
      </x:c>
      <x:c r="H88" s="23" t="str">
        <x:f>IF(C88="","",IFERROR(IF(INDEX('Inventory'!$N$9:$N$108,MATCH(F88,'Inventory'!$C$9:$C$108,0))="","",INDEX('Inventory'!$N$9:$N$108,MATCH(F88,'Inventory'!$C$9:$C$108,0))),""))</x:f>
      </x:c>
      <x:c r="I88" s="17" t="str">
        <x:f>IF(R88="Ready",G88/H88,"")</x:f>
      </x:c>
      <x:c r="J88" s="23" t="str">
        <x:f>IF(AND(R88="Ready",S88="Ready"),I88*IFERROR(IF(INDEX('Inventory'!$T$9:$T$108,MATCH(F88,'Inventory'!$C$9:$C$108,0))="","",INDEX('Inventory'!$T$9:$T$108,MATCH(F88,'Inventory'!$C$9:$C$108,0))),""),"")</x:f>
      </x:c>
      <x:c r="K88" s="23" t="str">
        <x:f>IF(AND(R88="Ready",T88="Ready"),I88*IFERROR(IF(INDEX('Inventory'!$Z$9:$Z$108,MATCH(F88,'Inventory'!$C$9:$C$108,0))="","",INDEX('Inventory'!$Z$9:$Z$108,MATCH(F88,'Inventory'!$C$9:$C$108,0))),""),"")</x:f>
      </x:c>
      <x:c r="L88" s="23" t="str">
        <x:f>IF(AND(R88="Ready",U88="Ready"),I88*IFERROR(IF(INDEX('Inventory'!$AG$9:$AG$108,MATCH(F88,'Inventory'!$C$9:$C$108,0))="","",INDEX('Inventory'!$AG$9:$AG$108,MATCH(F88,'Inventory'!$C$9:$C$108,0))),""),"")</x:f>
      </x:c>
      <x:c r="M88" s="21" t="n">
        <x:f>IF(AND(R88="Ready",S88="Ready",T88="Ready"),G88,0)</x:f>
        <x:v>0</x:v>
      </x:c>
      <x:c r="N88" s="21" t="n">
        <x:f>IF(AND(R88="Ready",U88="Ready"),G88,0)</x:f>
        <x:v>0</x:v>
      </x:c>
      <x:c r="O88" s="42" t="str">
        <x:f>IF(C88="","",IFERROR(IF(INDEX('Inventory'!$U$9:$U$108,MATCH(F88,'Inventory'!$C$9:$C$108,0))="","",INDEX('Inventory'!$U$9:$U$108,MATCH(F88,'Inventory'!$C$9:$C$108,0))),""))</x:f>
      </x:c>
      <x:c r="P88" s="42" t="str">
        <x:f>IF(C88="","",IFERROR(IF(INDEX('Inventory'!$AA$9:$AA$108,MATCH(F88,'Inventory'!$C$9:$C$108,0))="","",INDEX('Inventory'!$AA$9:$AA$108,MATCH(F88,'Inventory'!$C$9:$C$108,0))),""))</x:f>
      </x:c>
      <x:c r="Q88" s="42" t="str">
        <x:f>IF(C88="","",IFERROR(IF(INDEX('Inventory'!$AH$9:$AH$108,MATCH(F88,'Inventory'!$C$9:$C$108,0))="","",INDEX('Inventory'!$AH$9:$AH$108,MATCH(F88,'Inventory'!$C$9:$C$108,0))),""))</x:f>
      </x:c>
      <x:c r="R88" s="9" t="str">
        <x:f>IF(C88="","",IF(COUNTIFS('Facilities'!$C$9:$C$108,C88)&lt;&gt;1,"Duplicate facility ID",IF(OR(NOT(ISNUMBER(IFERROR(IF(INDEX('Facilities'!$G$9:$G$108,MATCH(C88,'Facilities'!$C$9:$C$108,0))="","",INDEX('Facilities'!$G$9:$G$108,MATCH(C88,'Facilities'!$C$9:$C$108,0))),""))),NOT(ISNUMBER(G88)),G88&lt;0,IFERROR(IF(INDEX('Facilities'!$Z$9:$Z$108,MATCH(C88,'Facilities'!$C$9:$C$108,0))="","",INDEX('Facilities'!$Z$9:$Z$108,MATCH(C88,'Facilities'!$C$9:$C$108,0))),"")&lt;=0),"Drawn value required",IF(COUNTIFS('Inventory'!$C$9:$C$108,F88)&lt;&gt;1,"Entity required",IF(OR(E88&lt;&gt;IFERROR(IF(INDEX('Inventory'!$F$9:$F$108,MATCH(F88,'Inventory'!$C$9:$C$108,0))="","",INDEX('Inventory'!$F$9:$F$108,MATCH(F88,'Inventory'!$C$9:$C$108,0))),""),D88&lt;&gt;IFERROR(IF(INDEX('Inventory'!$D$9:$D$108,MATCH(F88,'Inventory'!$C$9:$C$108,0))="","",INDEX('Inventory'!$D$9:$D$108,MATCH(F88,'Inventory'!$C$9:$C$108,0))),"")),"Entity / class mismatch",IF(IFERROR(IF(INDEX('Inventory'!$AL$9:$AL$108,MATCH(F88,'Inventory'!$C$9:$C$108,0))="","",INDEX('Inventory'!$AL$9:$AL$108,MATCH(F88,'Inventory'!$C$9:$C$108,0))),"")&lt;&gt;"Ready",IFERROR(IF(INDEX('Inventory'!$AL$9:$AL$108,MATCH(F88,'Inventory'!$C$9:$C$108,0))="","",INDEX('Inventory'!$AL$9:$AL$108,MATCH(F88,'Inventory'!$C$9:$C$108,0))),""),IF(AND(OR(E88="Project finance",E88="CRE",E88="Mortgage",E88="Motor"),IFERROR(IF(INDEX('Facilities'!$V$9:$V$108,MATCH(C88,'Facilities'!$C$9:$C$108,0))="","",INDEX('Facilities'!$V$9:$V$108,MATCH(C88,'Facilities'!$C$9:$C$108,0))),"")&lt;&gt;"Designated asset"),"Purpose review",IF(X88&gt;H88,"Exposure exceeds value","Ready"))))))))</x:f>
      </x:c>
      <x:c r="S88" s="9" t="str">
        <x:f>IF(C88="","",IFERROR(IF(INDEX('Inventory'!$V$9:$V$108,MATCH(F88,'Inventory'!$C$9:$C$108,0))="","",INDEX('Inventory'!$V$9:$V$108,MATCH(F88,'Inventory'!$C$9:$C$108,0))),""))</x:f>
      </x:c>
      <x:c r="T88" s="9" t="str">
        <x:f>IF(C88="","",IFERROR(IF(INDEX('Inventory'!$AB$9:$AB$108,MATCH(F88,'Inventory'!$C$9:$C$108,0))="","",INDEX('Inventory'!$AB$9:$AB$108,MATCH(F88,'Inventory'!$C$9:$C$108,0))),""))</x:f>
      </x:c>
      <x:c r="U88" s="9" t="str">
        <x:f>IF(C88="","",IFERROR(IF(INDEX('Inventory'!$AI$9:$AI$108,MATCH(F88,'Inventory'!$C$9:$C$108,0))="","",INDEX('Inventory'!$AI$9:$AI$108,MATCH(F88,'Inventory'!$C$9:$C$108,0))),""))</x:f>
      </x:c>
      <x:c r="V88" s="43" t="str">
        <x:f>IF(C88="","",IFERROR(IF(INDEX('Inventory'!$P$9:$P$108,MATCH(F88,'Inventory'!$C$9:$C$108,0))="","",INDEX('Inventory'!$P$9:$P$108,MATCH(F88,'Inventory'!$C$9:$C$108,0))),""))</x:f>
      </x:c>
      <x:c r="W88" s="3" t="str">
        <x:f>IF(C88="","",IF(E88="Corporate listed","PCAF 2025 pp40-46",IF(E88="Corporate private","PCAF 2025 pp55-60",IF(E88="Project finance","PCAF 2025 pp67-71",IF(E88="CRE","PCAF 2025 pp77-81",IF(E88="Mortgage","PCAF 2025 pp83-87",IF(E88="Motor","PCAF 2025 pp90-94","Method required")))))))</x:f>
      </x:c>
      <x:c r="X88" s="23" t="str">
        <x:f>IF(C88="","",SUMIFS('Facilities'!$AA$9:$AA$108,'Facilities'!$U$9:$U$108,F88))</x:f>
      </x:c>
      <x:c r="Y88" s="21" t="n">
        <x:f>IF(AND(R88="Ready",S88="Ready"),G88,0)</x:f>
        <x:v>0</x:v>
      </x:c>
      <x:c r="Z88" s="21" t="n">
        <x:f>IF(AND(R88="Ready",T88="Ready"),G88,0)</x:f>
        <x:v>0</x:v>
      </x:c>
      <x:c r="AA88" s="21" t="n">
        <x:f>IF(Y88&gt;0,Y88*O88,0)</x:f>
        <x:v>0</x:v>
      </x:c>
      <x:c r="AB88" s="21" t="n">
        <x:f>IF(Z88&gt;0,Z88*P88,0)</x:f>
        <x:v>0</x:v>
      </x:c>
      <x:c r="AC88" s="21" t="n">
        <x:f>IF(N88&gt;0,N88*Q88,0)</x:f>
        <x:v>0</x:v>
      </x:c>
      <x:c r="AD88" s="21" t="n">
        <x:f>IF(M88&gt;0,M88*MAX(O88,P88),0)</x:f>
        <x:v>0</x:v>
      </x:c>
      <x:c r="AE88" s="9" t="str">
        <x:f>IF(C88="","",IFERROR(IF(INDEX('Inventory'!$AC$9:$AC$108,MATCH(F88,'Inventory'!$C$9:$C$108,0))="","",INDEX('Inventory'!$AC$9:$AC$108,MATCH(F88,'Inventory'!$C$9:$C$108,0))),""))</x:f>
      </x:c>
      <x:c r="AF88" s="9" t="str">
        <x:f>IF(C88="","",IFERROR(IF(INDEX('Inventory'!$AN$9:$AN$108,MATCH(F88,'Inventory'!$C$9:$C$108,0))="","",INDEX('Inventory'!$AN$9:$AN$108,MATCH(F88,'Inventory'!$C$9:$C$108,0))),""))</x:f>
      </x:c>
    </x:row>
    <x:row r="89" ht="26" customHeight="1">
      <x:c r="A89" s="1"/>
      <x:c r="B89" s="1"/>
      <x:c r="C89" s="9" t="str">
        <x:f>IF('Facilities'!C89="","",'Facilities'!C89)</x:f>
      </x:c>
      <x:c r="D89" s="9" t="str">
        <x:f>IF(C89="","",IFERROR(IF(INDEX('Facilities'!$D$9:$D$108,MATCH(C89,'Facilities'!$C$9:$C$108,0))="","",INDEX('Facilities'!$D$9:$D$108,MATCH(C89,'Facilities'!$C$9:$C$108,0))),""))</x:f>
      </x:c>
      <x:c r="E89" s="9" t="str">
        <x:f>IF(C89="","",IFERROR(IF(INDEX('Facilities'!$E$9:$E$108,MATCH(C89,'Facilities'!$C$9:$C$108,0))="","",INDEX('Facilities'!$E$9:$E$108,MATCH(C89,'Facilities'!$C$9:$C$108,0))),""))</x:f>
      </x:c>
      <x:c r="F89" s="9" t="str">
        <x:f>IF(C89="","",IFERROR(IF(INDEX('Facilities'!$U$9:$U$108,MATCH(C89,'Facilities'!$C$9:$C$108,0))="","",INDEX('Facilities'!$U$9:$U$108,MATCH(C89,'Facilities'!$C$9:$C$108,0))),""))</x:f>
      </x:c>
      <x:c r="G89" s="23" t="str">
        <x:f>IF(C89="","",IFERROR(IF(INDEX('Facilities'!$AA$9:$AA$108,MATCH(C89,'Facilities'!$C$9:$C$108,0))="","",INDEX('Facilities'!$AA$9:$AA$108,MATCH(C89,'Facilities'!$C$9:$C$108,0))),""))</x:f>
      </x:c>
      <x:c r="H89" s="23" t="str">
        <x:f>IF(C89="","",IFERROR(IF(INDEX('Inventory'!$N$9:$N$108,MATCH(F89,'Inventory'!$C$9:$C$108,0))="","",INDEX('Inventory'!$N$9:$N$108,MATCH(F89,'Inventory'!$C$9:$C$108,0))),""))</x:f>
      </x:c>
      <x:c r="I89" s="17" t="str">
        <x:f>IF(R89="Ready",G89/H89,"")</x:f>
      </x:c>
      <x:c r="J89" s="23" t="str">
        <x:f>IF(AND(R89="Ready",S89="Ready"),I89*IFERROR(IF(INDEX('Inventory'!$T$9:$T$108,MATCH(F89,'Inventory'!$C$9:$C$108,0))="","",INDEX('Inventory'!$T$9:$T$108,MATCH(F89,'Inventory'!$C$9:$C$108,0))),""),"")</x:f>
      </x:c>
      <x:c r="K89" s="23" t="str">
        <x:f>IF(AND(R89="Ready",T89="Ready"),I89*IFERROR(IF(INDEX('Inventory'!$Z$9:$Z$108,MATCH(F89,'Inventory'!$C$9:$C$108,0))="","",INDEX('Inventory'!$Z$9:$Z$108,MATCH(F89,'Inventory'!$C$9:$C$108,0))),""),"")</x:f>
      </x:c>
      <x:c r="L89" s="23" t="str">
        <x:f>IF(AND(R89="Ready",U89="Ready"),I89*IFERROR(IF(INDEX('Inventory'!$AG$9:$AG$108,MATCH(F89,'Inventory'!$C$9:$C$108,0))="","",INDEX('Inventory'!$AG$9:$AG$108,MATCH(F89,'Inventory'!$C$9:$C$108,0))),""),"")</x:f>
      </x:c>
      <x:c r="M89" s="21" t="n">
        <x:f>IF(AND(R89="Ready",S89="Ready",T89="Ready"),G89,0)</x:f>
        <x:v>0</x:v>
      </x:c>
      <x:c r="N89" s="21" t="n">
        <x:f>IF(AND(R89="Ready",U89="Ready"),G89,0)</x:f>
        <x:v>0</x:v>
      </x:c>
      <x:c r="O89" s="42" t="str">
        <x:f>IF(C89="","",IFERROR(IF(INDEX('Inventory'!$U$9:$U$108,MATCH(F89,'Inventory'!$C$9:$C$108,0))="","",INDEX('Inventory'!$U$9:$U$108,MATCH(F89,'Inventory'!$C$9:$C$108,0))),""))</x:f>
      </x:c>
      <x:c r="P89" s="42" t="str">
        <x:f>IF(C89="","",IFERROR(IF(INDEX('Inventory'!$AA$9:$AA$108,MATCH(F89,'Inventory'!$C$9:$C$108,0))="","",INDEX('Inventory'!$AA$9:$AA$108,MATCH(F89,'Inventory'!$C$9:$C$108,0))),""))</x:f>
      </x:c>
      <x:c r="Q89" s="42" t="str">
        <x:f>IF(C89="","",IFERROR(IF(INDEX('Inventory'!$AH$9:$AH$108,MATCH(F89,'Inventory'!$C$9:$C$108,0))="","",INDEX('Inventory'!$AH$9:$AH$108,MATCH(F89,'Inventory'!$C$9:$C$108,0))),""))</x:f>
      </x:c>
      <x:c r="R89" s="9" t="str">
        <x:f>IF(C89="","",IF(COUNTIFS('Facilities'!$C$9:$C$108,C89)&lt;&gt;1,"Duplicate facility ID",IF(OR(NOT(ISNUMBER(IFERROR(IF(INDEX('Facilities'!$G$9:$G$108,MATCH(C89,'Facilities'!$C$9:$C$108,0))="","",INDEX('Facilities'!$G$9:$G$108,MATCH(C89,'Facilities'!$C$9:$C$108,0))),""))),NOT(ISNUMBER(G89)),G89&lt;0,IFERROR(IF(INDEX('Facilities'!$Z$9:$Z$108,MATCH(C89,'Facilities'!$C$9:$C$108,0))="","",INDEX('Facilities'!$Z$9:$Z$108,MATCH(C89,'Facilities'!$C$9:$C$108,0))),"")&lt;=0),"Drawn value required",IF(COUNTIFS('Inventory'!$C$9:$C$108,F89)&lt;&gt;1,"Entity required",IF(OR(E89&lt;&gt;IFERROR(IF(INDEX('Inventory'!$F$9:$F$108,MATCH(F89,'Inventory'!$C$9:$C$108,0))="","",INDEX('Inventory'!$F$9:$F$108,MATCH(F89,'Inventory'!$C$9:$C$108,0))),""),D89&lt;&gt;IFERROR(IF(INDEX('Inventory'!$D$9:$D$108,MATCH(F89,'Inventory'!$C$9:$C$108,0))="","",INDEX('Inventory'!$D$9:$D$108,MATCH(F89,'Inventory'!$C$9:$C$108,0))),"")),"Entity / class mismatch",IF(IFERROR(IF(INDEX('Inventory'!$AL$9:$AL$108,MATCH(F89,'Inventory'!$C$9:$C$108,0))="","",INDEX('Inventory'!$AL$9:$AL$108,MATCH(F89,'Inventory'!$C$9:$C$108,0))),"")&lt;&gt;"Ready",IFERROR(IF(INDEX('Inventory'!$AL$9:$AL$108,MATCH(F89,'Inventory'!$C$9:$C$108,0))="","",INDEX('Inventory'!$AL$9:$AL$108,MATCH(F89,'Inventory'!$C$9:$C$108,0))),""),IF(AND(OR(E89="Project finance",E89="CRE",E89="Mortgage",E89="Motor"),IFERROR(IF(INDEX('Facilities'!$V$9:$V$108,MATCH(C89,'Facilities'!$C$9:$C$108,0))="","",INDEX('Facilities'!$V$9:$V$108,MATCH(C89,'Facilities'!$C$9:$C$108,0))),"")&lt;&gt;"Designated asset"),"Purpose review",IF(X89&gt;H89,"Exposure exceeds value","Ready"))))))))</x:f>
      </x:c>
      <x:c r="S89" s="9" t="str">
        <x:f>IF(C89="","",IFERROR(IF(INDEX('Inventory'!$V$9:$V$108,MATCH(F89,'Inventory'!$C$9:$C$108,0))="","",INDEX('Inventory'!$V$9:$V$108,MATCH(F89,'Inventory'!$C$9:$C$108,0))),""))</x:f>
      </x:c>
      <x:c r="T89" s="9" t="str">
        <x:f>IF(C89="","",IFERROR(IF(INDEX('Inventory'!$AB$9:$AB$108,MATCH(F89,'Inventory'!$C$9:$C$108,0))="","",INDEX('Inventory'!$AB$9:$AB$108,MATCH(F89,'Inventory'!$C$9:$C$108,0))),""))</x:f>
      </x:c>
      <x:c r="U89" s="9" t="str">
        <x:f>IF(C89="","",IFERROR(IF(INDEX('Inventory'!$AI$9:$AI$108,MATCH(F89,'Inventory'!$C$9:$C$108,0))="","",INDEX('Inventory'!$AI$9:$AI$108,MATCH(F89,'Inventory'!$C$9:$C$108,0))),""))</x:f>
      </x:c>
      <x:c r="V89" s="43" t="str">
        <x:f>IF(C89="","",IFERROR(IF(INDEX('Inventory'!$P$9:$P$108,MATCH(F89,'Inventory'!$C$9:$C$108,0))="","",INDEX('Inventory'!$P$9:$P$108,MATCH(F89,'Inventory'!$C$9:$C$108,0))),""))</x:f>
      </x:c>
      <x:c r="W89" s="3" t="str">
        <x:f>IF(C89="","",IF(E89="Corporate listed","PCAF 2025 pp40-46",IF(E89="Corporate private","PCAF 2025 pp55-60",IF(E89="Project finance","PCAF 2025 pp67-71",IF(E89="CRE","PCAF 2025 pp77-81",IF(E89="Mortgage","PCAF 2025 pp83-87",IF(E89="Motor","PCAF 2025 pp90-94","Method required")))))))</x:f>
      </x:c>
      <x:c r="X89" s="23" t="str">
        <x:f>IF(C89="","",SUMIFS('Facilities'!$AA$9:$AA$108,'Facilities'!$U$9:$U$108,F89))</x:f>
      </x:c>
      <x:c r="Y89" s="21" t="n">
        <x:f>IF(AND(R89="Ready",S89="Ready"),G89,0)</x:f>
        <x:v>0</x:v>
      </x:c>
      <x:c r="Z89" s="21" t="n">
        <x:f>IF(AND(R89="Ready",T89="Ready"),G89,0)</x:f>
        <x:v>0</x:v>
      </x:c>
      <x:c r="AA89" s="21" t="n">
        <x:f>IF(Y89&gt;0,Y89*O89,0)</x:f>
        <x:v>0</x:v>
      </x:c>
      <x:c r="AB89" s="21" t="n">
        <x:f>IF(Z89&gt;0,Z89*P89,0)</x:f>
        <x:v>0</x:v>
      </x:c>
      <x:c r="AC89" s="21" t="n">
        <x:f>IF(N89&gt;0,N89*Q89,0)</x:f>
        <x:v>0</x:v>
      </x:c>
      <x:c r="AD89" s="21" t="n">
        <x:f>IF(M89&gt;0,M89*MAX(O89,P89),0)</x:f>
        <x:v>0</x:v>
      </x:c>
      <x:c r="AE89" s="9" t="str">
        <x:f>IF(C89="","",IFERROR(IF(INDEX('Inventory'!$AC$9:$AC$108,MATCH(F89,'Inventory'!$C$9:$C$108,0))="","",INDEX('Inventory'!$AC$9:$AC$108,MATCH(F89,'Inventory'!$C$9:$C$108,0))),""))</x:f>
      </x:c>
      <x:c r="AF89" s="9" t="str">
        <x:f>IF(C89="","",IFERROR(IF(INDEX('Inventory'!$AN$9:$AN$108,MATCH(F89,'Inventory'!$C$9:$C$108,0))="","",INDEX('Inventory'!$AN$9:$AN$108,MATCH(F89,'Inventory'!$C$9:$C$108,0))),""))</x:f>
      </x:c>
    </x:row>
    <x:row r="90" ht="26" customHeight="1">
      <x:c r="A90" s="1"/>
      <x:c r="B90" s="1"/>
      <x:c r="C90" s="9" t="str">
        <x:f>IF('Facilities'!C90="","",'Facilities'!C90)</x:f>
      </x:c>
      <x:c r="D90" s="9" t="str">
        <x:f>IF(C90="","",IFERROR(IF(INDEX('Facilities'!$D$9:$D$108,MATCH(C90,'Facilities'!$C$9:$C$108,0))="","",INDEX('Facilities'!$D$9:$D$108,MATCH(C90,'Facilities'!$C$9:$C$108,0))),""))</x:f>
      </x:c>
      <x:c r="E90" s="9" t="str">
        <x:f>IF(C90="","",IFERROR(IF(INDEX('Facilities'!$E$9:$E$108,MATCH(C90,'Facilities'!$C$9:$C$108,0))="","",INDEX('Facilities'!$E$9:$E$108,MATCH(C90,'Facilities'!$C$9:$C$108,0))),""))</x:f>
      </x:c>
      <x:c r="F90" s="9" t="str">
        <x:f>IF(C90="","",IFERROR(IF(INDEX('Facilities'!$U$9:$U$108,MATCH(C90,'Facilities'!$C$9:$C$108,0))="","",INDEX('Facilities'!$U$9:$U$108,MATCH(C90,'Facilities'!$C$9:$C$108,0))),""))</x:f>
      </x:c>
      <x:c r="G90" s="23" t="str">
        <x:f>IF(C90="","",IFERROR(IF(INDEX('Facilities'!$AA$9:$AA$108,MATCH(C90,'Facilities'!$C$9:$C$108,0))="","",INDEX('Facilities'!$AA$9:$AA$108,MATCH(C90,'Facilities'!$C$9:$C$108,0))),""))</x:f>
      </x:c>
      <x:c r="H90" s="23" t="str">
        <x:f>IF(C90="","",IFERROR(IF(INDEX('Inventory'!$N$9:$N$108,MATCH(F90,'Inventory'!$C$9:$C$108,0))="","",INDEX('Inventory'!$N$9:$N$108,MATCH(F90,'Inventory'!$C$9:$C$108,0))),""))</x:f>
      </x:c>
      <x:c r="I90" s="17" t="str">
        <x:f>IF(R90="Ready",G90/H90,"")</x:f>
      </x:c>
      <x:c r="J90" s="23" t="str">
        <x:f>IF(AND(R90="Ready",S90="Ready"),I90*IFERROR(IF(INDEX('Inventory'!$T$9:$T$108,MATCH(F90,'Inventory'!$C$9:$C$108,0))="","",INDEX('Inventory'!$T$9:$T$108,MATCH(F90,'Inventory'!$C$9:$C$108,0))),""),"")</x:f>
      </x:c>
      <x:c r="K90" s="23" t="str">
        <x:f>IF(AND(R90="Ready",T90="Ready"),I90*IFERROR(IF(INDEX('Inventory'!$Z$9:$Z$108,MATCH(F90,'Inventory'!$C$9:$C$108,0))="","",INDEX('Inventory'!$Z$9:$Z$108,MATCH(F90,'Inventory'!$C$9:$C$108,0))),""),"")</x:f>
      </x:c>
      <x:c r="L90" s="23" t="str">
        <x:f>IF(AND(R90="Ready",U90="Ready"),I90*IFERROR(IF(INDEX('Inventory'!$AG$9:$AG$108,MATCH(F90,'Inventory'!$C$9:$C$108,0))="","",INDEX('Inventory'!$AG$9:$AG$108,MATCH(F90,'Inventory'!$C$9:$C$108,0))),""),"")</x:f>
      </x:c>
      <x:c r="M90" s="21" t="n">
        <x:f>IF(AND(R90="Ready",S90="Ready",T90="Ready"),G90,0)</x:f>
        <x:v>0</x:v>
      </x:c>
      <x:c r="N90" s="21" t="n">
        <x:f>IF(AND(R90="Ready",U90="Ready"),G90,0)</x:f>
        <x:v>0</x:v>
      </x:c>
      <x:c r="O90" s="42" t="str">
        <x:f>IF(C90="","",IFERROR(IF(INDEX('Inventory'!$U$9:$U$108,MATCH(F90,'Inventory'!$C$9:$C$108,0))="","",INDEX('Inventory'!$U$9:$U$108,MATCH(F90,'Inventory'!$C$9:$C$108,0))),""))</x:f>
      </x:c>
      <x:c r="P90" s="42" t="str">
        <x:f>IF(C90="","",IFERROR(IF(INDEX('Inventory'!$AA$9:$AA$108,MATCH(F90,'Inventory'!$C$9:$C$108,0))="","",INDEX('Inventory'!$AA$9:$AA$108,MATCH(F90,'Inventory'!$C$9:$C$108,0))),""))</x:f>
      </x:c>
      <x:c r="Q90" s="42" t="str">
        <x:f>IF(C90="","",IFERROR(IF(INDEX('Inventory'!$AH$9:$AH$108,MATCH(F90,'Inventory'!$C$9:$C$108,0))="","",INDEX('Inventory'!$AH$9:$AH$108,MATCH(F90,'Inventory'!$C$9:$C$108,0))),""))</x:f>
      </x:c>
      <x:c r="R90" s="9" t="str">
        <x:f>IF(C90="","",IF(COUNTIFS('Facilities'!$C$9:$C$108,C90)&lt;&gt;1,"Duplicate facility ID",IF(OR(NOT(ISNUMBER(IFERROR(IF(INDEX('Facilities'!$G$9:$G$108,MATCH(C90,'Facilities'!$C$9:$C$108,0))="","",INDEX('Facilities'!$G$9:$G$108,MATCH(C90,'Facilities'!$C$9:$C$108,0))),""))),NOT(ISNUMBER(G90)),G90&lt;0,IFERROR(IF(INDEX('Facilities'!$Z$9:$Z$108,MATCH(C90,'Facilities'!$C$9:$C$108,0))="","",INDEX('Facilities'!$Z$9:$Z$108,MATCH(C90,'Facilities'!$C$9:$C$108,0))),"")&lt;=0),"Drawn value required",IF(COUNTIFS('Inventory'!$C$9:$C$108,F90)&lt;&gt;1,"Entity required",IF(OR(E90&lt;&gt;IFERROR(IF(INDEX('Inventory'!$F$9:$F$108,MATCH(F90,'Inventory'!$C$9:$C$108,0))="","",INDEX('Inventory'!$F$9:$F$108,MATCH(F90,'Inventory'!$C$9:$C$108,0))),""),D90&lt;&gt;IFERROR(IF(INDEX('Inventory'!$D$9:$D$108,MATCH(F90,'Inventory'!$C$9:$C$108,0))="","",INDEX('Inventory'!$D$9:$D$108,MATCH(F90,'Inventory'!$C$9:$C$108,0))),"")),"Entity / class mismatch",IF(IFERROR(IF(INDEX('Inventory'!$AL$9:$AL$108,MATCH(F90,'Inventory'!$C$9:$C$108,0))="","",INDEX('Inventory'!$AL$9:$AL$108,MATCH(F90,'Inventory'!$C$9:$C$108,0))),"")&lt;&gt;"Ready",IFERROR(IF(INDEX('Inventory'!$AL$9:$AL$108,MATCH(F90,'Inventory'!$C$9:$C$108,0))="","",INDEX('Inventory'!$AL$9:$AL$108,MATCH(F90,'Inventory'!$C$9:$C$108,0))),""),IF(AND(OR(E90="Project finance",E90="CRE",E90="Mortgage",E90="Motor"),IFERROR(IF(INDEX('Facilities'!$V$9:$V$108,MATCH(C90,'Facilities'!$C$9:$C$108,0))="","",INDEX('Facilities'!$V$9:$V$108,MATCH(C90,'Facilities'!$C$9:$C$108,0))),"")&lt;&gt;"Designated asset"),"Purpose review",IF(X90&gt;H90,"Exposure exceeds value","Ready"))))))))</x:f>
      </x:c>
      <x:c r="S90" s="9" t="str">
        <x:f>IF(C90="","",IFERROR(IF(INDEX('Inventory'!$V$9:$V$108,MATCH(F90,'Inventory'!$C$9:$C$108,0))="","",INDEX('Inventory'!$V$9:$V$108,MATCH(F90,'Inventory'!$C$9:$C$108,0))),""))</x:f>
      </x:c>
      <x:c r="T90" s="9" t="str">
        <x:f>IF(C90="","",IFERROR(IF(INDEX('Inventory'!$AB$9:$AB$108,MATCH(F90,'Inventory'!$C$9:$C$108,0))="","",INDEX('Inventory'!$AB$9:$AB$108,MATCH(F90,'Inventory'!$C$9:$C$108,0))),""))</x:f>
      </x:c>
      <x:c r="U90" s="9" t="str">
        <x:f>IF(C90="","",IFERROR(IF(INDEX('Inventory'!$AI$9:$AI$108,MATCH(F90,'Inventory'!$C$9:$C$108,0))="","",INDEX('Inventory'!$AI$9:$AI$108,MATCH(F90,'Inventory'!$C$9:$C$108,0))),""))</x:f>
      </x:c>
      <x:c r="V90" s="43" t="str">
        <x:f>IF(C90="","",IFERROR(IF(INDEX('Inventory'!$P$9:$P$108,MATCH(F90,'Inventory'!$C$9:$C$108,0))="","",INDEX('Inventory'!$P$9:$P$108,MATCH(F90,'Inventory'!$C$9:$C$108,0))),""))</x:f>
      </x:c>
      <x:c r="W90" s="3" t="str">
        <x:f>IF(C90="","",IF(E90="Corporate listed","PCAF 2025 pp40-46",IF(E90="Corporate private","PCAF 2025 pp55-60",IF(E90="Project finance","PCAF 2025 pp67-71",IF(E90="CRE","PCAF 2025 pp77-81",IF(E90="Mortgage","PCAF 2025 pp83-87",IF(E90="Motor","PCAF 2025 pp90-94","Method required")))))))</x:f>
      </x:c>
      <x:c r="X90" s="23" t="str">
        <x:f>IF(C90="","",SUMIFS('Facilities'!$AA$9:$AA$108,'Facilities'!$U$9:$U$108,F90))</x:f>
      </x:c>
      <x:c r="Y90" s="21" t="n">
        <x:f>IF(AND(R90="Ready",S90="Ready"),G90,0)</x:f>
        <x:v>0</x:v>
      </x:c>
      <x:c r="Z90" s="21" t="n">
        <x:f>IF(AND(R90="Ready",T90="Ready"),G90,0)</x:f>
        <x:v>0</x:v>
      </x:c>
      <x:c r="AA90" s="21" t="n">
        <x:f>IF(Y90&gt;0,Y90*O90,0)</x:f>
        <x:v>0</x:v>
      </x:c>
      <x:c r="AB90" s="21" t="n">
        <x:f>IF(Z90&gt;0,Z90*P90,0)</x:f>
        <x:v>0</x:v>
      </x:c>
      <x:c r="AC90" s="21" t="n">
        <x:f>IF(N90&gt;0,N90*Q90,0)</x:f>
        <x:v>0</x:v>
      </x:c>
      <x:c r="AD90" s="21" t="n">
        <x:f>IF(M90&gt;0,M90*MAX(O90,P90),0)</x:f>
        <x:v>0</x:v>
      </x:c>
      <x:c r="AE90" s="9" t="str">
        <x:f>IF(C90="","",IFERROR(IF(INDEX('Inventory'!$AC$9:$AC$108,MATCH(F90,'Inventory'!$C$9:$C$108,0))="","",INDEX('Inventory'!$AC$9:$AC$108,MATCH(F90,'Inventory'!$C$9:$C$108,0))),""))</x:f>
      </x:c>
      <x:c r="AF90" s="9" t="str">
        <x:f>IF(C90="","",IFERROR(IF(INDEX('Inventory'!$AN$9:$AN$108,MATCH(F90,'Inventory'!$C$9:$C$108,0))="","",INDEX('Inventory'!$AN$9:$AN$108,MATCH(F90,'Inventory'!$C$9:$C$108,0))),""))</x:f>
      </x:c>
    </x:row>
    <x:row r="91" ht="26" customHeight="1">
      <x:c r="A91" s="1"/>
      <x:c r="B91" s="1"/>
      <x:c r="C91" s="9" t="str">
        <x:f>IF('Facilities'!C91="","",'Facilities'!C91)</x:f>
      </x:c>
      <x:c r="D91" s="9" t="str">
        <x:f>IF(C91="","",IFERROR(IF(INDEX('Facilities'!$D$9:$D$108,MATCH(C91,'Facilities'!$C$9:$C$108,0))="","",INDEX('Facilities'!$D$9:$D$108,MATCH(C91,'Facilities'!$C$9:$C$108,0))),""))</x:f>
      </x:c>
      <x:c r="E91" s="9" t="str">
        <x:f>IF(C91="","",IFERROR(IF(INDEX('Facilities'!$E$9:$E$108,MATCH(C91,'Facilities'!$C$9:$C$108,0))="","",INDEX('Facilities'!$E$9:$E$108,MATCH(C91,'Facilities'!$C$9:$C$108,0))),""))</x:f>
      </x:c>
      <x:c r="F91" s="9" t="str">
        <x:f>IF(C91="","",IFERROR(IF(INDEX('Facilities'!$U$9:$U$108,MATCH(C91,'Facilities'!$C$9:$C$108,0))="","",INDEX('Facilities'!$U$9:$U$108,MATCH(C91,'Facilities'!$C$9:$C$108,0))),""))</x:f>
      </x:c>
      <x:c r="G91" s="23" t="str">
        <x:f>IF(C91="","",IFERROR(IF(INDEX('Facilities'!$AA$9:$AA$108,MATCH(C91,'Facilities'!$C$9:$C$108,0))="","",INDEX('Facilities'!$AA$9:$AA$108,MATCH(C91,'Facilities'!$C$9:$C$108,0))),""))</x:f>
      </x:c>
      <x:c r="H91" s="23" t="str">
        <x:f>IF(C91="","",IFERROR(IF(INDEX('Inventory'!$N$9:$N$108,MATCH(F91,'Inventory'!$C$9:$C$108,0))="","",INDEX('Inventory'!$N$9:$N$108,MATCH(F91,'Inventory'!$C$9:$C$108,0))),""))</x:f>
      </x:c>
      <x:c r="I91" s="17" t="str">
        <x:f>IF(R91="Ready",G91/H91,"")</x:f>
      </x:c>
      <x:c r="J91" s="23" t="str">
        <x:f>IF(AND(R91="Ready",S91="Ready"),I91*IFERROR(IF(INDEX('Inventory'!$T$9:$T$108,MATCH(F91,'Inventory'!$C$9:$C$108,0))="","",INDEX('Inventory'!$T$9:$T$108,MATCH(F91,'Inventory'!$C$9:$C$108,0))),""),"")</x:f>
      </x:c>
      <x:c r="K91" s="23" t="str">
        <x:f>IF(AND(R91="Ready",T91="Ready"),I91*IFERROR(IF(INDEX('Inventory'!$Z$9:$Z$108,MATCH(F91,'Inventory'!$C$9:$C$108,0))="","",INDEX('Inventory'!$Z$9:$Z$108,MATCH(F91,'Inventory'!$C$9:$C$108,0))),""),"")</x:f>
      </x:c>
      <x:c r="L91" s="23" t="str">
        <x:f>IF(AND(R91="Ready",U91="Ready"),I91*IFERROR(IF(INDEX('Inventory'!$AG$9:$AG$108,MATCH(F91,'Inventory'!$C$9:$C$108,0))="","",INDEX('Inventory'!$AG$9:$AG$108,MATCH(F91,'Inventory'!$C$9:$C$108,0))),""),"")</x:f>
      </x:c>
      <x:c r="M91" s="21" t="n">
        <x:f>IF(AND(R91="Ready",S91="Ready",T91="Ready"),G91,0)</x:f>
        <x:v>0</x:v>
      </x:c>
      <x:c r="N91" s="21" t="n">
        <x:f>IF(AND(R91="Ready",U91="Ready"),G91,0)</x:f>
        <x:v>0</x:v>
      </x:c>
      <x:c r="O91" s="42" t="str">
        <x:f>IF(C91="","",IFERROR(IF(INDEX('Inventory'!$U$9:$U$108,MATCH(F91,'Inventory'!$C$9:$C$108,0))="","",INDEX('Inventory'!$U$9:$U$108,MATCH(F91,'Inventory'!$C$9:$C$108,0))),""))</x:f>
      </x:c>
      <x:c r="P91" s="42" t="str">
        <x:f>IF(C91="","",IFERROR(IF(INDEX('Inventory'!$AA$9:$AA$108,MATCH(F91,'Inventory'!$C$9:$C$108,0))="","",INDEX('Inventory'!$AA$9:$AA$108,MATCH(F91,'Inventory'!$C$9:$C$108,0))),""))</x:f>
      </x:c>
      <x:c r="Q91" s="42" t="str">
        <x:f>IF(C91="","",IFERROR(IF(INDEX('Inventory'!$AH$9:$AH$108,MATCH(F91,'Inventory'!$C$9:$C$108,0))="","",INDEX('Inventory'!$AH$9:$AH$108,MATCH(F91,'Inventory'!$C$9:$C$108,0))),""))</x:f>
      </x:c>
      <x:c r="R91" s="9" t="str">
        <x:f>IF(C91="","",IF(COUNTIFS('Facilities'!$C$9:$C$108,C91)&lt;&gt;1,"Duplicate facility ID",IF(OR(NOT(ISNUMBER(IFERROR(IF(INDEX('Facilities'!$G$9:$G$108,MATCH(C91,'Facilities'!$C$9:$C$108,0))="","",INDEX('Facilities'!$G$9:$G$108,MATCH(C91,'Facilities'!$C$9:$C$108,0))),""))),NOT(ISNUMBER(G91)),G91&lt;0,IFERROR(IF(INDEX('Facilities'!$Z$9:$Z$108,MATCH(C91,'Facilities'!$C$9:$C$108,0))="","",INDEX('Facilities'!$Z$9:$Z$108,MATCH(C91,'Facilities'!$C$9:$C$108,0))),"")&lt;=0),"Drawn value required",IF(COUNTIFS('Inventory'!$C$9:$C$108,F91)&lt;&gt;1,"Entity required",IF(OR(E91&lt;&gt;IFERROR(IF(INDEX('Inventory'!$F$9:$F$108,MATCH(F91,'Inventory'!$C$9:$C$108,0))="","",INDEX('Inventory'!$F$9:$F$108,MATCH(F91,'Inventory'!$C$9:$C$108,0))),""),D91&lt;&gt;IFERROR(IF(INDEX('Inventory'!$D$9:$D$108,MATCH(F91,'Inventory'!$C$9:$C$108,0))="","",INDEX('Inventory'!$D$9:$D$108,MATCH(F91,'Inventory'!$C$9:$C$108,0))),"")),"Entity / class mismatch",IF(IFERROR(IF(INDEX('Inventory'!$AL$9:$AL$108,MATCH(F91,'Inventory'!$C$9:$C$108,0))="","",INDEX('Inventory'!$AL$9:$AL$108,MATCH(F91,'Inventory'!$C$9:$C$108,0))),"")&lt;&gt;"Ready",IFERROR(IF(INDEX('Inventory'!$AL$9:$AL$108,MATCH(F91,'Inventory'!$C$9:$C$108,0))="","",INDEX('Inventory'!$AL$9:$AL$108,MATCH(F91,'Inventory'!$C$9:$C$108,0))),""),IF(AND(OR(E91="Project finance",E91="CRE",E91="Mortgage",E91="Motor"),IFERROR(IF(INDEX('Facilities'!$V$9:$V$108,MATCH(C91,'Facilities'!$C$9:$C$108,0))="","",INDEX('Facilities'!$V$9:$V$108,MATCH(C91,'Facilities'!$C$9:$C$108,0))),"")&lt;&gt;"Designated asset"),"Purpose review",IF(X91&gt;H91,"Exposure exceeds value","Ready"))))))))</x:f>
      </x:c>
      <x:c r="S91" s="9" t="str">
        <x:f>IF(C91="","",IFERROR(IF(INDEX('Inventory'!$V$9:$V$108,MATCH(F91,'Inventory'!$C$9:$C$108,0))="","",INDEX('Inventory'!$V$9:$V$108,MATCH(F91,'Inventory'!$C$9:$C$108,0))),""))</x:f>
      </x:c>
      <x:c r="T91" s="9" t="str">
        <x:f>IF(C91="","",IFERROR(IF(INDEX('Inventory'!$AB$9:$AB$108,MATCH(F91,'Inventory'!$C$9:$C$108,0))="","",INDEX('Inventory'!$AB$9:$AB$108,MATCH(F91,'Inventory'!$C$9:$C$108,0))),""))</x:f>
      </x:c>
      <x:c r="U91" s="9" t="str">
        <x:f>IF(C91="","",IFERROR(IF(INDEX('Inventory'!$AI$9:$AI$108,MATCH(F91,'Inventory'!$C$9:$C$108,0))="","",INDEX('Inventory'!$AI$9:$AI$108,MATCH(F91,'Inventory'!$C$9:$C$108,0))),""))</x:f>
      </x:c>
      <x:c r="V91" s="43" t="str">
        <x:f>IF(C91="","",IFERROR(IF(INDEX('Inventory'!$P$9:$P$108,MATCH(F91,'Inventory'!$C$9:$C$108,0))="","",INDEX('Inventory'!$P$9:$P$108,MATCH(F91,'Inventory'!$C$9:$C$108,0))),""))</x:f>
      </x:c>
      <x:c r="W91" s="3" t="str">
        <x:f>IF(C91="","",IF(E91="Corporate listed","PCAF 2025 pp40-46",IF(E91="Corporate private","PCAF 2025 pp55-60",IF(E91="Project finance","PCAF 2025 pp67-71",IF(E91="CRE","PCAF 2025 pp77-81",IF(E91="Mortgage","PCAF 2025 pp83-87",IF(E91="Motor","PCAF 2025 pp90-94","Method required")))))))</x:f>
      </x:c>
      <x:c r="X91" s="23" t="str">
        <x:f>IF(C91="","",SUMIFS('Facilities'!$AA$9:$AA$108,'Facilities'!$U$9:$U$108,F91))</x:f>
      </x:c>
      <x:c r="Y91" s="21" t="n">
        <x:f>IF(AND(R91="Ready",S91="Ready"),G91,0)</x:f>
        <x:v>0</x:v>
      </x:c>
      <x:c r="Z91" s="21" t="n">
        <x:f>IF(AND(R91="Ready",T91="Ready"),G91,0)</x:f>
        <x:v>0</x:v>
      </x:c>
      <x:c r="AA91" s="21" t="n">
        <x:f>IF(Y91&gt;0,Y91*O91,0)</x:f>
        <x:v>0</x:v>
      </x:c>
      <x:c r="AB91" s="21" t="n">
        <x:f>IF(Z91&gt;0,Z91*P91,0)</x:f>
        <x:v>0</x:v>
      </x:c>
      <x:c r="AC91" s="21" t="n">
        <x:f>IF(N91&gt;0,N91*Q91,0)</x:f>
        <x:v>0</x:v>
      </x:c>
      <x:c r="AD91" s="21" t="n">
        <x:f>IF(M91&gt;0,M91*MAX(O91,P91),0)</x:f>
        <x:v>0</x:v>
      </x:c>
      <x:c r="AE91" s="9" t="str">
        <x:f>IF(C91="","",IFERROR(IF(INDEX('Inventory'!$AC$9:$AC$108,MATCH(F91,'Inventory'!$C$9:$C$108,0))="","",INDEX('Inventory'!$AC$9:$AC$108,MATCH(F91,'Inventory'!$C$9:$C$108,0))),""))</x:f>
      </x:c>
      <x:c r="AF91" s="9" t="str">
        <x:f>IF(C91="","",IFERROR(IF(INDEX('Inventory'!$AN$9:$AN$108,MATCH(F91,'Inventory'!$C$9:$C$108,0))="","",INDEX('Inventory'!$AN$9:$AN$108,MATCH(F91,'Inventory'!$C$9:$C$108,0))),""))</x:f>
      </x:c>
    </x:row>
    <x:row r="92" ht="26" customHeight="1">
      <x:c r="A92" s="1"/>
      <x:c r="B92" s="1"/>
      <x:c r="C92" s="9" t="str">
        <x:f>IF('Facilities'!C92="","",'Facilities'!C92)</x:f>
      </x:c>
      <x:c r="D92" s="9" t="str">
        <x:f>IF(C92="","",IFERROR(IF(INDEX('Facilities'!$D$9:$D$108,MATCH(C92,'Facilities'!$C$9:$C$108,0))="","",INDEX('Facilities'!$D$9:$D$108,MATCH(C92,'Facilities'!$C$9:$C$108,0))),""))</x:f>
      </x:c>
      <x:c r="E92" s="9" t="str">
        <x:f>IF(C92="","",IFERROR(IF(INDEX('Facilities'!$E$9:$E$108,MATCH(C92,'Facilities'!$C$9:$C$108,0))="","",INDEX('Facilities'!$E$9:$E$108,MATCH(C92,'Facilities'!$C$9:$C$108,0))),""))</x:f>
      </x:c>
      <x:c r="F92" s="9" t="str">
        <x:f>IF(C92="","",IFERROR(IF(INDEX('Facilities'!$U$9:$U$108,MATCH(C92,'Facilities'!$C$9:$C$108,0))="","",INDEX('Facilities'!$U$9:$U$108,MATCH(C92,'Facilities'!$C$9:$C$108,0))),""))</x:f>
      </x:c>
      <x:c r="G92" s="23" t="str">
        <x:f>IF(C92="","",IFERROR(IF(INDEX('Facilities'!$AA$9:$AA$108,MATCH(C92,'Facilities'!$C$9:$C$108,0))="","",INDEX('Facilities'!$AA$9:$AA$108,MATCH(C92,'Facilities'!$C$9:$C$108,0))),""))</x:f>
      </x:c>
      <x:c r="H92" s="23" t="str">
        <x:f>IF(C92="","",IFERROR(IF(INDEX('Inventory'!$N$9:$N$108,MATCH(F92,'Inventory'!$C$9:$C$108,0))="","",INDEX('Inventory'!$N$9:$N$108,MATCH(F92,'Inventory'!$C$9:$C$108,0))),""))</x:f>
      </x:c>
      <x:c r="I92" s="17" t="str">
        <x:f>IF(R92="Ready",G92/H92,"")</x:f>
      </x:c>
      <x:c r="J92" s="23" t="str">
        <x:f>IF(AND(R92="Ready",S92="Ready"),I92*IFERROR(IF(INDEX('Inventory'!$T$9:$T$108,MATCH(F92,'Inventory'!$C$9:$C$108,0))="","",INDEX('Inventory'!$T$9:$T$108,MATCH(F92,'Inventory'!$C$9:$C$108,0))),""),"")</x:f>
      </x:c>
      <x:c r="K92" s="23" t="str">
        <x:f>IF(AND(R92="Ready",T92="Ready"),I92*IFERROR(IF(INDEX('Inventory'!$Z$9:$Z$108,MATCH(F92,'Inventory'!$C$9:$C$108,0))="","",INDEX('Inventory'!$Z$9:$Z$108,MATCH(F92,'Inventory'!$C$9:$C$108,0))),""),"")</x:f>
      </x:c>
      <x:c r="L92" s="23" t="str">
        <x:f>IF(AND(R92="Ready",U92="Ready"),I92*IFERROR(IF(INDEX('Inventory'!$AG$9:$AG$108,MATCH(F92,'Inventory'!$C$9:$C$108,0))="","",INDEX('Inventory'!$AG$9:$AG$108,MATCH(F92,'Inventory'!$C$9:$C$108,0))),""),"")</x:f>
      </x:c>
      <x:c r="M92" s="21" t="n">
        <x:f>IF(AND(R92="Ready",S92="Ready",T92="Ready"),G92,0)</x:f>
        <x:v>0</x:v>
      </x:c>
      <x:c r="N92" s="21" t="n">
        <x:f>IF(AND(R92="Ready",U92="Ready"),G92,0)</x:f>
        <x:v>0</x:v>
      </x:c>
      <x:c r="O92" s="42" t="str">
        <x:f>IF(C92="","",IFERROR(IF(INDEX('Inventory'!$U$9:$U$108,MATCH(F92,'Inventory'!$C$9:$C$108,0))="","",INDEX('Inventory'!$U$9:$U$108,MATCH(F92,'Inventory'!$C$9:$C$108,0))),""))</x:f>
      </x:c>
      <x:c r="P92" s="42" t="str">
        <x:f>IF(C92="","",IFERROR(IF(INDEX('Inventory'!$AA$9:$AA$108,MATCH(F92,'Inventory'!$C$9:$C$108,0))="","",INDEX('Inventory'!$AA$9:$AA$108,MATCH(F92,'Inventory'!$C$9:$C$108,0))),""))</x:f>
      </x:c>
      <x:c r="Q92" s="42" t="str">
        <x:f>IF(C92="","",IFERROR(IF(INDEX('Inventory'!$AH$9:$AH$108,MATCH(F92,'Inventory'!$C$9:$C$108,0))="","",INDEX('Inventory'!$AH$9:$AH$108,MATCH(F92,'Inventory'!$C$9:$C$108,0))),""))</x:f>
      </x:c>
      <x:c r="R92" s="9" t="str">
        <x:f>IF(C92="","",IF(COUNTIFS('Facilities'!$C$9:$C$108,C92)&lt;&gt;1,"Duplicate facility ID",IF(OR(NOT(ISNUMBER(IFERROR(IF(INDEX('Facilities'!$G$9:$G$108,MATCH(C92,'Facilities'!$C$9:$C$108,0))="","",INDEX('Facilities'!$G$9:$G$108,MATCH(C92,'Facilities'!$C$9:$C$108,0))),""))),NOT(ISNUMBER(G92)),G92&lt;0,IFERROR(IF(INDEX('Facilities'!$Z$9:$Z$108,MATCH(C92,'Facilities'!$C$9:$C$108,0))="","",INDEX('Facilities'!$Z$9:$Z$108,MATCH(C92,'Facilities'!$C$9:$C$108,0))),"")&lt;=0),"Drawn value required",IF(COUNTIFS('Inventory'!$C$9:$C$108,F92)&lt;&gt;1,"Entity required",IF(OR(E92&lt;&gt;IFERROR(IF(INDEX('Inventory'!$F$9:$F$108,MATCH(F92,'Inventory'!$C$9:$C$108,0))="","",INDEX('Inventory'!$F$9:$F$108,MATCH(F92,'Inventory'!$C$9:$C$108,0))),""),D92&lt;&gt;IFERROR(IF(INDEX('Inventory'!$D$9:$D$108,MATCH(F92,'Inventory'!$C$9:$C$108,0))="","",INDEX('Inventory'!$D$9:$D$108,MATCH(F92,'Inventory'!$C$9:$C$108,0))),"")),"Entity / class mismatch",IF(IFERROR(IF(INDEX('Inventory'!$AL$9:$AL$108,MATCH(F92,'Inventory'!$C$9:$C$108,0))="","",INDEX('Inventory'!$AL$9:$AL$108,MATCH(F92,'Inventory'!$C$9:$C$108,0))),"")&lt;&gt;"Ready",IFERROR(IF(INDEX('Inventory'!$AL$9:$AL$108,MATCH(F92,'Inventory'!$C$9:$C$108,0))="","",INDEX('Inventory'!$AL$9:$AL$108,MATCH(F92,'Inventory'!$C$9:$C$108,0))),""),IF(AND(OR(E92="Project finance",E92="CRE",E92="Mortgage",E92="Motor"),IFERROR(IF(INDEX('Facilities'!$V$9:$V$108,MATCH(C92,'Facilities'!$C$9:$C$108,0))="","",INDEX('Facilities'!$V$9:$V$108,MATCH(C92,'Facilities'!$C$9:$C$108,0))),"")&lt;&gt;"Designated asset"),"Purpose review",IF(X92&gt;H92,"Exposure exceeds value","Ready"))))))))</x:f>
      </x:c>
      <x:c r="S92" s="9" t="str">
        <x:f>IF(C92="","",IFERROR(IF(INDEX('Inventory'!$V$9:$V$108,MATCH(F92,'Inventory'!$C$9:$C$108,0))="","",INDEX('Inventory'!$V$9:$V$108,MATCH(F92,'Inventory'!$C$9:$C$108,0))),""))</x:f>
      </x:c>
      <x:c r="T92" s="9" t="str">
        <x:f>IF(C92="","",IFERROR(IF(INDEX('Inventory'!$AB$9:$AB$108,MATCH(F92,'Inventory'!$C$9:$C$108,0))="","",INDEX('Inventory'!$AB$9:$AB$108,MATCH(F92,'Inventory'!$C$9:$C$108,0))),""))</x:f>
      </x:c>
      <x:c r="U92" s="9" t="str">
        <x:f>IF(C92="","",IFERROR(IF(INDEX('Inventory'!$AI$9:$AI$108,MATCH(F92,'Inventory'!$C$9:$C$108,0))="","",INDEX('Inventory'!$AI$9:$AI$108,MATCH(F92,'Inventory'!$C$9:$C$108,0))),""))</x:f>
      </x:c>
      <x:c r="V92" s="43" t="str">
        <x:f>IF(C92="","",IFERROR(IF(INDEX('Inventory'!$P$9:$P$108,MATCH(F92,'Inventory'!$C$9:$C$108,0))="","",INDEX('Inventory'!$P$9:$P$108,MATCH(F92,'Inventory'!$C$9:$C$108,0))),""))</x:f>
      </x:c>
      <x:c r="W92" s="3" t="str">
        <x:f>IF(C92="","",IF(E92="Corporate listed","PCAF 2025 pp40-46",IF(E92="Corporate private","PCAF 2025 pp55-60",IF(E92="Project finance","PCAF 2025 pp67-71",IF(E92="CRE","PCAF 2025 pp77-81",IF(E92="Mortgage","PCAF 2025 pp83-87",IF(E92="Motor","PCAF 2025 pp90-94","Method required")))))))</x:f>
      </x:c>
      <x:c r="X92" s="23" t="str">
        <x:f>IF(C92="","",SUMIFS('Facilities'!$AA$9:$AA$108,'Facilities'!$U$9:$U$108,F92))</x:f>
      </x:c>
      <x:c r="Y92" s="21" t="n">
        <x:f>IF(AND(R92="Ready",S92="Ready"),G92,0)</x:f>
        <x:v>0</x:v>
      </x:c>
      <x:c r="Z92" s="21" t="n">
        <x:f>IF(AND(R92="Ready",T92="Ready"),G92,0)</x:f>
        <x:v>0</x:v>
      </x:c>
      <x:c r="AA92" s="21" t="n">
        <x:f>IF(Y92&gt;0,Y92*O92,0)</x:f>
        <x:v>0</x:v>
      </x:c>
      <x:c r="AB92" s="21" t="n">
        <x:f>IF(Z92&gt;0,Z92*P92,0)</x:f>
        <x:v>0</x:v>
      </x:c>
      <x:c r="AC92" s="21" t="n">
        <x:f>IF(N92&gt;0,N92*Q92,0)</x:f>
        <x:v>0</x:v>
      </x:c>
      <x:c r="AD92" s="21" t="n">
        <x:f>IF(M92&gt;0,M92*MAX(O92,P92),0)</x:f>
        <x:v>0</x:v>
      </x:c>
      <x:c r="AE92" s="9" t="str">
        <x:f>IF(C92="","",IFERROR(IF(INDEX('Inventory'!$AC$9:$AC$108,MATCH(F92,'Inventory'!$C$9:$C$108,0))="","",INDEX('Inventory'!$AC$9:$AC$108,MATCH(F92,'Inventory'!$C$9:$C$108,0))),""))</x:f>
      </x:c>
      <x:c r="AF92" s="9" t="str">
        <x:f>IF(C92="","",IFERROR(IF(INDEX('Inventory'!$AN$9:$AN$108,MATCH(F92,'Inventory'!$C$9:$C$108,0))="","",INDEX('Inventory'!$AN$9:$AN$108,MATCH(F92,'Inventory'!$C$9:$C$108,0))),""))</x:f>
      </x:c>
    </x:row>
    <x:row r="93" ht="26" customHeight="1">
      <x:c r="A93" s="1"/>
      <x:c r="B93" s="1"/>
      <x:c r="C93" s="9" t="str">
        <x:f>IF('Facilities'!C93="","",'Facilities'!C93)</x:f>
      </x:c>
      <x:c r="D93" s="9" t="str">
        <x:f>IF(C93="","",IFERROR(IF(INDEX('Facilities'!$D$9:$D$108,MATCH(C93,'Facilities'!$C$9:$C$108,0))="","",INDEX('Facilities'!$D$9:$D$108,MATCH(C93,'Facilities'!$C$9:$C$108,0))),""))</x:f>
      </x:c>
      <x:c r="E93" s="9" t="str">
        <x:f>IF(C93="","",IFERROR(IF(INDEX('Facilities'!$E$9:$E$108,MATCH(C93,'Facilities'!$C$9:$C$108,0))="","",INDEX('Facilities'!$E$9:$E$108,MATCH(C93,'Facilities'!$C$9:$C$108,0))),""))</x:f>
      </x:c>
      <x:c r="F93" s="9" t="str">
        <x:f>IF(C93="","",IFERROR(IF(INDEX('Facilities'!$U$9:$U$108,MATCH(C93,'Facilities'!$C$9:$C$108,0))="","",INDEX('Facilities'!$U$9:$U$108,MATCH(C93,'Facilities'!$C$9:$C$108,0))),""))</x:f>
      </x:c>
      <x:c r="G93" s="23" t="str">
        <x:f>IF(C93="","",IFERROR(IF(INDEX('Facilities'!$AA$9:$AA$108,MATCH(C93,'Facilities'!$C$9:$C$108,0))="","",INDEX('Facilities'!$AA$9:$AA$108,MATCH(C93,'Facilities'!$C$9:$C$108,0))),""))</x:f>
      </x:c>
      <x:c r="H93" s="23" t="str">
        <x:f>IF(C93="","",IFERROR(IF(INDEX('Inventory'!$N$9:$N$108,MATCH(F93,'Inventory'!$C$9:$C$108,0))="","",INDEX('Inventory'!$N$9:$N$108,MATCH(F93,'Inventory'!$C$9:$C$108,0))),""))</x:f>
      </x:c>
      <x:c r="I93" s="17" t="str">
        <x:f>IF(R93="Ready",G93/H93,"")</x:f>
      </x:c>
      <x:c r="J93" s="23" t="str">
        <x:f>IF(AND(R93="Ready",S93="Ready"),I93*IFERROR(IF(INDEX('Inventory'!$T$9:$T$108,MATCH(F93,'Inventory'!$C$9:$C$108,0))="","",INDEX('Inventory'!$T$9:$T$108,MATCH(F93,'Inventory'!$C$9:$C$108,0))),""),"")</x:f>
      </x:c>
      <x:c r="K93" s="23" t="str">
        <x:f>IF(AND(R93="Ready",T93="Ready"),I93*IFERROR(IF(INDEX('Inventory'!$Z$9:$Z$108,MATCH(F93,'Inventory'!$C$9:$C$108,0))="","",INDEX('Inventory'!$Z$9:$Z$108,MATCH(F93,'Inventory'!$C$9:$C$108,0))),""),"")</x:f>
      </x:c>
      <x:c r="L93" s="23" t="str">
        <x:f>IF(AND(R93="Ready",U93="Ready"),I93*IFERROR(IF(INDEX('Inventory'!$AG$9:$AG$108,MATCH(F93,'Inventory'!$C$9:$C$108,0))="","",INDEX('Inventory'!$AG$9:$AG$108,MATCH(F93,'Inventory'!$C$9:$C$108,0))),""),"")</x:f>
      </x:c>
      <x:c r="M93" s="21" t="n">
        <x:f>IF(AND(R93="Ready",S93="Ready",T93="Ready"),G93,0)</x:f>
        <x:v>0</x:v>
      </x:c>
      <x:c r="N93" s="21" t="n">
        <x:f>IF(AND(R93="Ready",U93="Ready"),G93,0)</x:f>
        <x:v>0</x:v>
      </x:c>
      <x:c r="O93" s="42" t="str">
        <x:f>IF(C93="","",IFERROR(IF(INDEX('Inventory'!$U$9:$U$108,MATCH(F93,'Inventory'!$C$9:$C$108,0))="","",INDEX('Inventory'!$U$9:$U$108,MATCH(F93,'Inventory'!$C$9:$C$108,0))),""))</x:f>
      </x:c>
      <x:c r="P93" s="42" t="str">
        <x:f>IF(C93="","",IFERROR(IF(INDEX('Inventory'!$AA$9:$AA$108,MATCH(F93,'Inventory'!$C$9:$C$108,0))="","",INDEX('Inventory'!$AA$9:$AA$108,MATCH(F93,'Inventory'!$C$9:$C$108,0))),""))</x:f>
      </x:c>
      <x:c r="Q93" s="42" t="str">
        <x:f>IF(C93="","",IFERROR(IF(INDEX('Inventory'!$AH$9:$AH$108,MATCH(F93,'Inventory'!$C$9:$C$108,0))="","",INDEX('Inventory'!$AH$9:$AH$108,MATCH(F93,'Inventory'!$C$9:$C$108,0))),""))</x:f>
      </x:c>
      <x:c r="R93" s="9" t="str">
        <x:f>IF(C93="","",IF(COUNTIFS('Facilities'!$C$9:$C$108,C93)&lt;&gt;1,"Duplicate facility ID",IF(OR(NOT(ISNUMBER(IFERROR(IF(INDEX('Facilities'!$G$9:$G$108,MATCH(C93,'Facilities'!$C$9:$C$108,0))="","",INDEX('Facilities'!$G$9:$G$108,MATCH(C93,'Facilities'!$C$9:$C$108,0))),""))),NOT(ISNUMBER(G93)),G93&lt;0,IFERROR(IF(INDEX('Facilities'!$Z$9:$Z$108,MATCH(C93,'Facilities'!$C$9:$C$108,0))="","",INDEX('Facilities'!$Z$9:$Z$108,MATCH(C93,'Facilities'!$C$9:$C$108,0))),"")&lt;=0),"Drawn value required",IF(COUNTIFS('Inventory'!$C$9:$C$108,F93)&lt;&gt;1,"Entity required",IF(OR(E93&lt;&gt;IFERROR(IF(INDEX('Inventory'!$F$9:$F$108,MATCH(F93,'Inventory'!$C$9:$C$108,0))="","",INDEX('Inventory'!$F$9:$F$108,MATCH(F93,'Inventory'!$C$9:$C$108,0))),""),D93&lt;&gt;IFERROR(IF(INDEX('Inventory'!$D$9:$D$108,MATCH(F93,'Inventory'!$C$9:$C$108,0))="","",INDEX('Inventory'!$D$9:$D$108,MATCH(F93,'Inventory'!$C$9:$C$108,0))),"")),"Entity / class mismatch",IF(IFERROR(IF(INDEX('Inventory'!$AL$9:$AL$108,MATCH(F93,'Inventory'!$C$9:$C$108,0))="","",INDEX('Inventory'!$AL$9:$AL$108,MATCH(F93,'Inventory'!$C$9:$C$108,0))),"")&lt;&gt;"Ready",IFERROR(IF(INDEX('Inventory'!$AL$9:$AL$108,MATCH(F93,'Inventory'!$C$9:$C$108,0))="","",INDEX('Inventory'!$AL$9:$AL$108,MATCH(F93,'Inventory'!$C$9:$C$108,0))),""),IF(AND(OR(E93="Project finance",E93="CRE",E93="Mortgage",E93="Motor"),IFERROR(IF(INDEX('Facilities'!$V$9:$V$108,MATCH(C93,'Facilities'!$C$9:$C$108,0))="","",INDEX('Facilities'!$V$9:$V$108,MATCH(C93,'Facilities'!$C$9:$C$108,0))),"")&lt;&gt;"Designated asset"),"Purpose review",IF(X93&gt;H93,"Exposure exceeds value","Ready"))))))))</x:f>
      </x:c>
      <x:c r="S93" s="9" t="str">
        <x:f>IF(C93="","",IFERROR(IF(INDEX('Inventory'!$V$9:$V$108,MATCH(F93,'Inventory'!$C$9:$C$108,0))="","",INDEX('Inventory'!$V$9:$V$108,MATCH(F93,'Inventory'!$C$9:$C$108,0))),""))</x:f>
      </x:c>
      <x:c r="T93" s="9" t="str">
        <x:f>IF(C93="","",IFERROR(IF(INDEX('Inventory'!$AB$9:$AB$108,MATCH(F93,'Inventory'!$C$9:$C$108,0))="","",INDEX('Inventory'!$AB$9:$AB$108,MATCH(F93,'Inventory'!$C$9:$C$108,0))),""))</x:f>
      </x:c>
      <x:c r="U93" s="9" t="str">
        <x:f>IF(C93="","",IFERROR(IF(INDEX('Inventory'!$AI$9:$AI$108,MATCH(F93,'Inventory'!$C$9:$C$108,0))="","",INDEX('Inventory'!$AI$9:$AI$108,MATCH(F93,'Inventory'!$C$9:$C$108,0))),""))</x:f>
      </x:c>
      <x:c r="V93" s="43" t="str">
        <x:f>IF(C93="","",IFERROR(IF(INDEX('Inventory'!$P$9:$P$108,MATCH(F93,'Inventory'!$C$9:$C$108,0))="","",INDEX('Inventory'!$P$9:$P$108,MATCH(F93,'Inventory'!$C$9:$C$108,0))),""))</x:f>
      </x:c>
      <x:c r="W93" s="3" t="str">
        <x:f>IF(C93="","",IF(E93="Corporate listed","PCAF 2025 pp40-46",IF(E93="Corporate private","PCAF 2025 pp55-60",IF(E93="Project finance","PCAF 2025 pp67-71",IF(E93="CRE","PCAF 2025 pp77-81",IF(E93="Mortgage","PCAF 2025 pp83-87",IF(E93="Motor","PCAF 2025 pp90-94","Method required")))))))</x:f>
      </x:c>
      <x:c r="X93" s="23" t="str">
        <x:f>IF(C93="","",SUMIFS('Facilities'!$AA$9:$AA$108,'Facilities'!$U$9:$U$108,F93))</x:f>
      </x:c>
      <x:c r="Y93" s="21" t="n">
        <x:f>IF(AND(R93="Ready",S93="Ready"),G93,0)</x:f>
        <x:v>0</x:v>
      </x:c>
      <x:c r="Z93" s="21" t="n">
        <x:f>IF(AND(R93="Ready",T93="Ready"),G93,0)</x:f>
        <x:v>0</x:v>
      </x:c>
      <x:c r="AA93" s="21" t="n">
        <x:f>IF(Y93&gt;0,Y93*O93,0)</x:f>
        <x:v>0</x:v>
      </x:c>
      <x:c r="AB93" s="21" t="n">
        <x:f>IF(Z93&gt;0,Z93*P93,0)</x:f>
        <x:v>0</x:v>
      </x:c>
      <x:c r="AC93" s="21" t="n">
        <x:f>IF(N93&gt;0,N93*Q93,0)</x:f>
        <x:v>0</x:v>
      </x:c>
      <x:c r="AD93" s="21" t="n">
        <x:f>IF(M93&gt;0,M93*MAX(O93,P93),0)</x:f>
        <x:v>0</x:v>
      </x:c>
      <x:c r="AE93" s="9" t="str">
        <x:f>IF(C93="","",IFERROR(IF(INDEX('Inventory'!$AC$9:$AC$108,MATCH(F93,'Inventory'!$C$9:$C$108,0))="","",INDEX('Inventory'!$AC$9:$AC$108,MATCH(F93,'Inventory'!$C$9:$C$108,0))),""))</x:f>
      </x:c>
      <x:c r="AF93" s="9" t="str">
        <x:f>IF(C93="","",IFERROR(IF(INDEX('Inventory'!$AN$9:$AN$108,MATCH(F93,'Inventory'!$C$9:$C$108,0))="","",INDEX('Inventory'!$AN$9:$AN$108,MATCH(F93,'Inventory'!$C$9:$C$108,0))),""))</x:f>
      </x:c>
    </x:row>
    <x:row r="94" ht="26" customHeight="1">
      <x:c r="A94" s="1"/>
      <x:c r="B94" s="1"/>
      <x:c r="C94" s="9" t="str">
        <x:f>IF('Facilities'!C94="","",'Facilities'!C94)</x:f>
      </x:c>
      <x:c r="D94" s="9" t="str">
        <x:f>IF(C94="","",IFERROR(IF(INDEX('Facilities'!$D$9:$D$108,MATCH(C94,'Facilities'!$C$9:$C$108,0))="","",INDEX('Facilities'!$D$9:$D$108,MATCH(C94,'Facilities'!$C$9:$C$108,0))),""))</x:f>
      </x:c>
      <x:c r="E94" s="9" t="str">
        <x:f>IF(C94="","",IFERROR(IF(INDEX('Facilities'!$E$9:$E$108,MATCH(C94,'Facilities'!$C$9:$C$108,0))="","",INDEX('Facilities'!$E$9:$E$108,MATCH(C94,'Facilities'!$C$9:$C$108,0))),""))</x:f>
      </x:c>
      <x:c r="F94" s="9" t="str">
        <x:f>IF(C94="","",IFERROR(IF(INDEX('Facilities'!$U$9:$U$108,MATCH(C94,'Facilities'!$C$9:$C$108,0))="","",INDEX('Facilities'!$U$9:$U$108,MATCH(C94,'Facilities'!$C$9:$C$108,0))),""))</x:f>
      </x:c>
      <x:c r="G94" s="23" t="str">
        <x:f>IF(C94="","",IFERROR(IF(INDEX('Facilities'!$AA$9:$AA$108,MATCH(C94,'Facilities'!$C$9:$C$108,0))="","",INDEX('Facilities'!$AA$9:$AA$108,MATCH(C94,'Facilities'!$C$9:$C$108,0))),""))</x:f>
      </x:c>
      <x:c r="H94" s="23" t="str">
        <x:f>IF(C94="","",IFERROR(IF(INDEX('Inventory'!$N$9:$N$108,MATCH(F94,'Inventory'!$C$9:$C$108,0))="","",INDEX('Inventory'!$N$9:$N$108,MATCH(F94,'Inventory'!$C$9:$C$108,0))),""))</x:f>
      </x:c>
      <x:c r="I94" s="17" t="str">
        <x:f>IF(R94="Ready",G94/H94,"")</x:f>
      </x:c>
      <x:c r="J94" s="23" t="str">
        <x:f>IF(AND(R94="Ready",S94="Ready"),I94*IFERROR(IF(INDEX('Inventory'!$T$9:$T$108,MATCH(F94,'Inventory'!$C$9:$C$108,0))="","",INDEX('Inventory'!$T$9:$T$108,MATCH(F94,'Inventory'!$C$9:$C$108,0))),""),"")</x:f>
      </x:c>
      <x:c r="K94" s="23" t="str">
        <x:f>IF(AND(R94="Ready",T94="Ready"),I94*IFERROR(IF(INDEX('Inventory'!$Z$9:$Z$108,MATCH(F94,'Inventory'!$C$9:$C$108,0))="","",INDEX('Inventory'!$Z$9:$Z$108,MATCH(F94,'Inventory'!$C$9:$C$108,0))),""),"")</x:f>
      </x:c>
      <x:c r="L94" s="23" t="str">
        <x:f>IF(AND(R94="Ready",U94="Ready"),I94*IFERROR(IF(INDEX('Inventory'!$AG$9:$AG$108,MATCH(F94,'Inventory'!$C$9:$C$108,0))="","",INDEX('Inventory'!$AG$9:$AG$108,MATCH(F94,'Inventory'!$C$9:$C$108,0))),""),"")</x:f>
      </x:c>
      <x:c r="M94" s="21" t="n">
        <x:f>IF(AND(R94="Ready",S94="Ready",T94="Ready"),G94,0)</x:f>
        <x:v>0</x:v>
      </x:c>
      <x:c r="N94" s="21" t="n">
        <x:f>IF(AND(R94="Ready",U94="Ready"),G94,0)</x:f>
        <x:v>0</x:v>
      </x:c>
      <x:c r="O94" s="42" t="str">
        <x:f>IF(C94="","",IFERROR(IF(INDEX('Inventory'!$U$9:$U$108,MATCH(F94,'Inventory'!$C$9:$C$108,0))="","",INDEX('Inventory'!$U$9:$U$108,MATCH(F94,'Inventory'!$C$9:$C$108,0))),""))</x:f>
      </x:c>
      <x:c r="P94" s="42" t="str">
        <x:f>IF(C94="","",IFERROR(IF(INDEX('Inventory'!$AA$9:$AA$108,MATCH(F94,'Inventory'!$C$9:$C$108,0))="","",INDEX('Inventory'!$AA$9:$AA$108,MATCH(F94,'Inventory'!$C$9:$C$108,0))),""))</x:f>
      </x:c>
      <x:c r="Q94" s="42" t="str">
        <x:f>IF(C94="","",IFERROR(IF(INDEX('Inventory'!$AH$9:$AH$108,MATCH(F94,'Inventory'!$C$9:$C$108,0))="","",INDEX('Inventory'!$AH$9:$AH$108,MATCH(F94,'Inventory'!$C$9:$C$108,0))),""))</x:f>
      </x:c>
      <x:c r="R94" s="9" t="str">
        <x:f>IF(C94="","",IF(COUNTIFS('Facilities'!$C$9:$C$108,C94)&lt;&gt;1,"Duplicate facility ID",IF(OR(NOT(ISNUMBER(IFERROR(IF(INDEX('Facilities'!$G$9:$G$108,MATCH(C94,'Facilities'!$C$9:$C$108,0))="","",INDEX('Facilities'!$G$9:$G$108,MATCH(C94,'Facilities'!$C$9:$C$108,0))),""))),NOT(ISNUMBER(G94)),G94&lt;0,IFERROR(IF(INDEX('Facilities'!$Z$9:$Z$108,MATCH(C94,'Facilities'!$C$9:$C$108,0))="","",INDEX('Facilities'!$Z$9:$Z$108,MATCH(C94,'Facilities'!$C$9:$C$108,0))),"")&lt;=0),"Drawn value required",IF(COUNTIFS('Inventory'!$C$9:$C$108,F94)&lt;&gt;1,"Entity required",IF(OR(E94&lt;&gt;IFERROR(IF(INDEX('Inventory'!$F$9:$F$108,MATCH(F94,'Inventory'!$C$9:$C$108,0))="","",INDEX('Inventory'!$F$9:$F$108,MATCH(F94,'Inventory'!$C$9:$C$108,0))),""),D94&lt;&gt;IFERROR(IF(INDEX('Inventory'!$D$9:$D$108,MATCH(F94,'Inventory'!$C$9:$C$108,0))="","",INDEX('Inventory'!$D$9:$D$108,MATCH(F94,'Inventory'!$C$9:$C$108,0))),"")),"Entity / class mismatch",IF(IFERROR(IF(INDEX('Inventory'!$AL$9:$AL$108,MATCH(F94,'Inventory'!$C$9:$C$108,0))="","",INDEX('Inventory'!$AL$9:$AL$108,MATCH(F94,'Inventory'!$C$9:$C$108,0))),"")&lt;&gt;"Ready",IFERROR(IF(INDEX('Inventory'!$AL$9:$AL$108,MATCH(F94,'Inventory'!$C$9:$C$108,0))="","",INDEX('Inventory'!$AL$9:$AL$108,MATCH(F94,'Inventory'!$C$9:$C$108,0))),""),IF(AND(OR(E94="Project finance",E94="CRE",E94="Mortgage",E94="Motor"),IFERROR(IF(INDEX('Facilities'!$V$9:$V$108,MATCH(C94,'Facilities'!$C$9:$C$108,0))="","",INDEX('Facilities'!$V$9:$V$108,MATCH(C94,'Facilities'!$C$9:$C$108,0))),"")&lt;&gt;"Designated asset"),"Purpose review",IF(X94&gt;H94,"Exposure exceeds value","Ready"))))))))</x:f>
      </x:c>
      <x:c r="S94" s="9" t="str">
        <x:f>IF(C94="","",IFERROR(IF(INDEX('Inventory'!$V$9:$V$108,MATCH(F94,'Inventory'!$C$9:$C$108,0))="","",INDEX('Inventory'!$V$9:$V$108,MATCH(F94,'Inventory'!$C$9:$C$108,0))),""))</x:f>
      </x:c>
      <x:c r="T94" s="9" t="str">
        <x:f>IF(C94="","",IFERROR(IF(INDEX('Inventory'!$AB$9:$AB$108,MATCH(F94,'Inventory'!$C$9:$C$108,0))="","",INDEX('Inventory'!$AB$9:$AB$108,MATCH(F94,'Inventory'!$C$9:$C$108,0))),""))</x:f>
      </x:c>
      <x:c r="U94" s="9" t="str">
        <x:f>IF(C94="","",IFERROR(IF(INDEX('Inventory'!$AI$9:$AI$108,MATCH(F94,'Inventory'!$C$9:$C$108,0))="","",INDEX('Inventory'!$AI$9:$AI$108,MATCH(F94,'Inventory'!$C$9:$C$108,0))),""))</x:f>
      </x:c>
      <x:c r="V94" s="43" t="str">
        <x:f>IF(C94="","",IFERROR(IF(INDEX('Inventory'!$P$9:$P$108,MATCH(F94,'Inventory'!$C$9:$C$108,0))="","",INDEX('Inventory'!$P$9:$P$108,MATCH(F94,'Inventory'!$C$9:$C$108,0))),""))</x:f>
      </x:c>
      <x:c r="W94" s="3" t="str">
        <x:f>IF(C94="","",IF(E94="Corporate listed","PCAF 2025 pp40-46",IF(E94="Corporate private","PCAF 2025 pp55-60",IF(E94="Project finance","PCAF 2025 pp67-71",IF(E94="CRE","PCAF 2025 pp77-81",IF(E94="Mortgage","PCAF 2025 pp83-87",IF(E94="Motor","PCAF 2025 pp90-94","Method required")))))))</x:f>
      </x:c>
      <x:c r="X94" s="23" t="str">
        <x:f>IF(C94="","",SUMIFS('Facilities'!$AA$9:$AA$108,'Facilities'!$U$9:$U$108,F94))</x:f>
      </x:c>
      <x:c r="Y94" s="21" t="n">
        <x:f>IF(AND(R94="Ready",S94="Ready"),G94,0)</x:f>
        <x:v>0</x:v>
      </x:c>
      <x:c r="Z94" s="21" t="n">
        <x:f>IF(AND(R94="Ready",T94="Ready"),G94,0)</x:f>
        <x:v>0</x:v>
      </x:c>
      <x:c r="AA94" s="21" t="n">
        <x:f>IF(Y94&gt;0,Y94*O94,0)</x:f>
        <x:v>0</x:v>
      </x:c>
      <x:c r="AB94" s="21" t="n">
        <x:f>IF(Z94&gt;0,Z94*P94,0)</x:f>
        <x:v>0</x:v>
      </x:c>
      <x:c r="AC94" s="21" t="n">
        <x:f>IF(N94&gt;0,N94*Q94,0)</x:f>
        <x:v>0</x:v>
      </x:c>
      <x:c r="AD94" s="21" t="n">
        <x:f>IF(M94&gt;0,M94*MAX(O94,P94),0)</x:f>
        <x:v>0</x:v>
      </x:c>
      <x:c r="AE94" s="9" t="str">
        <x:f>IF(C94="","",IFERROR(IF(INDEX('Inventory'!$AC$9:$AC$108,MATCH(F94,'Inventory'!$C$9:$C$108,0))="","",INDEX('Inventory'!$AC$9:$AC$108,MATCH(F94,'Inventory'!$C$9:$C$108,0))),""))</x:f>
      </x:c>
      <x:c r="AF94" s="9" t="str">
        <x:f>IF(C94="","",IFERROR(IF(INDEX('Inventory'!$AN$9:$AN$108,MATCH(F94,'Inventory'!$C$9:$C$108,0))="","",INDEX('Inventory'!$AN$9:$AN$108,MATCH(F94,'Inventory'!$C$9:$C$108,0))),""))</x:f>
      </x:c>
    </x:row>
    <x:row r="95" ht="26" customHeight="1">
      <x:c r="A95" s="1"/>
      <x:c r="B95" s="1"/>
      <x:c r="C95" s="9" t="str">
        <x:f>IF('Facilities'!C95="","",'Facilities'!C95)</x:f>
      </x:c>
      <x:c r="D95" s="9" t="str">
        <x:f>IF(C95="","",IFERROR(IF(INDEX('Facilities'!$D$9:$D$108,MATCH(C95,'Facilities'!$C$9:$C$108,0))="","",INDEX('Facilities'!$D$9:$D$108,MATCH(C95,'Facilities'!$C$9:$C$108,0))),""))</x:f>
      </x:c>
      <x:c r="E95" s="9" t="str">
        <x:f>IF(C95="","",IFERROR(IF(INDEX('Facilities'!$E$9:$E$108,MATCH(C95,'Facilities'!$C$9:$C$108,0))="","",INDEX('Facilities'!$E$9:$E$108,MATCH(C95,'Facilities'!$C$9:$C$108,0))),""))</x:f>
      </x:c>
      <x:c r="F95" s="9" t="str">
        <x:f>IF(C95="","",IFERROR(IF(INDEX('Facilities'!$U$9:$U$108,MATCH(C95,'Facilities'!$C$9:$C$108,0))="","",INDEX('Facilities'!$U$9:$U$108,MATCH(C95,'Facilities'!$C$9:$C$108,0))),""))</x:f>
      </x:c>
      <x:c r="G95" s="23" t="str">
        <x:f>IF(C95="","",IFERROR(IF(INDEX('Facilities'!$AA$9:$AA$108,MATCH(C95,'Facilities'!$C$9:$C$108,0))="","",INDEX('Facilities'!$AA$9:$AA$108,MATCH(C95,'Facilities'!$C$9:$C$108,0))),""))</x:f>
      </x:c>
      <x:c r="H95" s="23" t="str">
        <x:f>IF(C95="","",IFERROR(IF(INDEX('Inventory'!$N$9:$N$108,MATCH(F95,'Inventory'!$C$9:$C$108,0))="","",INDEX('Inventory'!$N$9:$N$108,MATCH(F95,'Inventory'!$C$9:$C$108,0))),""))</x:f>
      </x:c>
      <x:c r="I95" s="17" t="str">
        <x:f>IF(R95="Ready",G95/H95,"")</x:f>
      </x:c>
      <x:c r="J95" s="23" t="str">
        <x:f>IF(AND(R95="Ready",S95="Ready"),I95*IFERROR(IF(INDEX('Inventory'!$T$9:$T$108,MATCH(F95,'Inventory'!$C$9:$C$108,0))="","",INDEX('Inventory'!$T$9:$T$108,MATCH(F95,'Inventory'!$C$9:$C$108,0))),""),"")</x:f>
      </x:c>
      <x:c r="K95" s="23" t="str">
        <x:f>IF(AND(R95="Ready",T95="Ready"),I95*IFERROR(IF(INDEX('Inventory'!$Z$9:$Z$108,MATCH(F95,'Inventory'!$C$9:$C$108,0))="","",INDEX('Inventory'!$Z$9:$Z$108,MATCH(F95,'Inventory'!$C$9:$C$108,0))),""),"")</x:f>
      </x:c>
      <x:c r="L95" s="23" t="str">
        <x:f>IF(AND(R95="Ready",U95="Ready"),I95*IFERROR(IF(INDEX('Inventory'!$AG$9:$AG$108,MATCH(F95,'Inventory'!$C$9:$C$108,0))="","",INDEX('Inventory'!$AG$9:$AG$108,MATCH(F95,'Inventory'!$C$9:$C$108,0))),""),"")</x:f>
      </x:c>
      <x:c r="M95" s="21" t="n">
        <x:f>IF(AND(R95="Ready",S95="Ready",T95="Ready"),G95,0)</x:f>
        <x:v>0</x:v>
      </x:c>
      <x:c r="N95" s="21" t="n">
        <x:f>IF(AND(R95="Ready",U95="Ready"),G95,0)</x:f>
        <x:v>0</x:v>
      </x:c>
      <x:c r="O95" s="42" t="str">
        <x:f>IF(C95="","",IFERROR(IF(INDEX('Inventory'!$U$9:$U$108,MATCH(F95,'Inventory'!$C$9:$C$108,0))="","",INDEX('Inventory'!$U$9:$U$108,MATCH(F95,'Inventory'!$C$9:$C$108,0))),""))</x:f>
      </x:c>
      <x:c r="P95" s="42" t="str">
        <x:f>IF(C95="","",IFERROR(IF(INDEX('Inventory'!$AA$9:$AA$108,MATCH(F95,'Inventory'!$C$9:$C$108,0))="","",INDEX('Inventory'!$AA$9:$AA$108,MATCH(F95,'Inventory'!$C$9:$C$108,0))),""))</x:f>
      </x:c>
      <x:c r="Q95" s="42" t="str">
        <x:f>IF(C95="","",IFERROR(IF(INDEX('Inventory'!$AH$9:$AH$108,MATCH(F95,'Inventory'!$C$9:$C$108,0))="","",INDEX('Inventory'!$AH$9:$AH$108,MATCH(F95,'Inventory'!$C$9:$C$108,0))),""))</x:f>
      </x:c>
      <x:c r="R95" s="9" t="str">
        <x:f>IF(C95="","",IF(COUNTIFS('Facilities'!$C$9:$C$108,C95)&lt;&gt;1,"Duplicate facility ID",IF(OR(NOT(ISNUMBER(IFERROR(IF(INDEX('Facilities'!$G$9:$G$108,MATCH(C95,'Facilities'!$C$9:$C$108,0))="","",INDEX('Facilities'!$G$9:$G$108,MATCH(C95,'Facilities'!$C$9:$C$108,0))),""))),NOT(ISNUMBER(G95)),G95&lt;0,IFERROR(IF(INDEX('Facilities'!$Z$9:$Z$108,MATCH(C95,'Facilities'!$C$9:$C$108,0))="","",INDEX('Facilities'!$Z$9:$Z$108,MATCH(C95,'Facilities'!$C$9:$C$108,0))),"")&lt;=0),"Drawn value required",IF(COUNTIFS('Inventory'!$C$9:$C$108,F95)&lt;&gt;1,"Entity required",IF(OR(E95&lt;&gt;IFERROR(IF(INDEX('Inventory'!$F$9:$F$108,MATCH(F95,'Inventory'!$C$9:$C$108,0))="","",INDEX('Inventory'!$F$9:$F$108,MATCH(F95,'Inventory'!$C$9:$C$108,0))),""),D95&lt;&gt;IFERROR(IF(INDEX('Inventory'!$D$9:$D$108,MATCH(F95,'Inventory'!$C$9:$C$108,0))="","",INDEX('Inventory'!$D$9:$D$108,MATCH(F95,'Inventory'!$C$9:$C$108,0))),"")),"Entity / class mismatch",IF(IFERROR(IF(INDEX('Inventory'!$AL$9:$AL$108,MATCH(F95,'Inventory'!$C$9:$C$108,0))="","",INDEX('Inventory'!$AL$9:$AL$108,MATCH(F95,'Inventory'!$C$9:$C$108,0))),"")&lt;&gt;"Ready",IFERROR(IF(INDEX('Inventory'!$AL$9:$AL$108,MATCH(F95,'Inventory'!$C$9:$C$108,0))="","",INDEX('Inventory'!$AL$9:$AL$108,MATCH(F95,'Inventory'!$C$9:$C$108,0))),""),IF(AND(OR(E95="Project finance",E95="CRE",E95="Mortgage",E95="Motor"),IFERROR(IF(INDEX('Facilities'!$V$9:$V$108,MATCH(C95,'Facilities'!$C$9:$C$108,0))="","",INDEX('Facilities'!$V$9:$V$108,MATCH(C95,'Facilities'!$C$9:$C$108,0))),"")&lt;&gt;"Designated asset"),"Purpose review",IF(X95&gt;H95,"Exposure exceeds value","Ready"))))))))</x:f>
      </x:c>
      <x:c r="S95" s="9" t="str">
        <x:f>IF(C95="","",IFERROR(IF(INDEX('Inventory'!$V$9:$V$108,MATCH(F95,'Inventory'!$C$9:$C$108,0))="","",INDEX('Inventory'!$V$9:$V$108,MATCH(F95,'Inventory'!$C$9:$C$108,0))),""))</x:f>
      </x:c>
      <x:c r="T95" s="9" t="str">
        <x:f>IF(C95="","",IFERROR(IF(INDEX('Inventory'!$AB$9:$AB$108,MATCH(F95,'Inventory'!$C$9:$C$108,0))="","",INDEX('Inventory'!$AB$9:$AB$108,MATCH(F95,'Inventory'!$C$9:$C$108,0))),""))</x:f>
      </x:c>
      <x:c r="U95" s="9" t="str">
        <x:f>IF(C95="","",IFERROR(IF(INDEX('Inventory'!$AI$9:$AI$108,MATCH(F95,'Inventory'!$C$9:$C$108,0))="","",INDEX('Inventory'!$AI$9:$AI$108,MATCH(F95,'Inventory'!$C$9:$C$108,0))),""))</x:f>
      </x:c>
      <x:c r="V95" s="43" t="str">
        <x:f>IF(C95="","",IFERROR(IF(INDEX('Inventory'!$P$9:$P$108,MATCH(F95,'Inventory'!$C$9:$C$108,0))="","",INDEX('Inventory'!$P$9:$P$108,MATCH(F95,'Inventory'!$C$9:$C$108,0))),""))</x:f>
      </x:c>
      <x:c r="W95" s="3" t="str">
        <x:f>IF(C95="","",IF(E95="Corporate listed","PCAF 2025 pp40-46",IF(E95="Corporate private","PCAF 2025 pp55-60",IF(E95="Project finance","PCAF 2025 pp67-71",IF(E95="CRE","PCAF 2025 pp77-81",IF(E95="Mortgage","PCAF 2025 pp83-87",IF(E95="Motor","PCAF 2025 pp90-94","Method required")))))))</x:f>
      </x:c>
      <x:c r="X95" s="23" t="str">
        <x:f>IF(C95="","",SUMIFS('Facilities'!$AA$9:$AA$108,'Facilities'!$U$9:$U$108,F95))</x:f>
      </x:c>
      <x:c r="Y95" s="21" t="n">
        <x:f>IF(AND(R95="Ready",S95="Ready"),G95,0)</x:f>
        <x:v>0</x:v>
      </x:c>
      <x:c r="Z95" s="21" t="n">
        <x:f>IF(AND(R95="Ready",T95="Ready"),G95,0)</x:f>
        <x:v>0</x:v>
      </x:c>
      <x:c r="AA95" s="21" t="n">
        <x:f>IF(Y95&gt;0,Y95*O95,0)</x:f>
        <x:v>0</x:v>
      </x:c>
      <x:c r="AB95" s="21" t="n">
        <x:f>IF(Z95&gt;0,Z95*P95,0)</x:f>
        <x:v>0</x:v>
      </x:c>
      <x:c r="AC95" s="21" t="n">
        <x:f>IF(N95&gt;0,N95*Q95,0)</x:f>
        <x:v>0</x:v>
      </x:c>
      <x:c r="AD95" s="21" t="n">
        <x:f>IF(M95&gt;0,M95*MAX(O95,P95),0)</x:f>
        <x:v>0</x:v>
      </x:c>
      <x:c r="AE95" s="9" t="str">
        <x:f>IF(C95="","",IFERROR(IF(INDEX('Inventory'!$AC$9:$AC$108,MATCH(F95,'Inventory'!$C$9:$C$108,0))="","",INDEX('Inventory'!$AC$9:$AC$108,MATCH(F95,'Inventory'!$C$9:$C$108,0))),""))</x:f>
      </x:c>
      <x:c r="AF95" s="9" t="str">
        <x:f>IF(C95="","",IFERROR(IF(INDEX('Inventory'!$AN$9:$AN$108,MATCH(F95,'Inventory'!$C$9:$C$108,0))="","",INDEX('Inventory'!$AN$9:$AN$108,MATCH(F95,'Inventory'!$C$9:$C$108,0))),""))</x:f>
      </x:c>
    </x:row>
    <x:row r="96" ht="26" customHeight="1">
      <x:c r="A96" s="1"/>
      <x:c r="B96" s="1"/>
      <x:c r="C96" s="9" t="str">
        <x:f>IF('Facilities'!C96="","",'Facilities'!C96)</x:f>
      </x:c>
      <x:c r="D96" s="9" t="str">
        <x:f>IF(C96="","",IFERROR(IF(INDEX('Facilities'!$D$9:$D$108,MATCH(C96,'Facilities'!$C$9:$C$108,0))="","",INDEX('Facilities'!$D$9:$D$108,MATCH(C96,'Facilities'!$C$9:$C$108,0))),""))</x:f>
      </x:c>
      <x:c r="E96" s="9" t="str">
        <x:f>IF(C96="","",IFERROR(IF(INDEX('Facilities'!$E$9:$E$108,MATCH(C96,'Facilities'!$C$9:$C$108,0))="","",INDEX('Facilities'!$E$9:$E$108,MATCH(C96,'Facilities'!$C$9:$C$108,0))),""))</x:f>
      </x:c>
      <x:c r="F96" s="9" t="str">
        <x:f>IF(C96="","",IFERROR(IF(INDEX('Facilities'!$U$9:$U$108,MATCH(C96,'Facilities'!$C$9:$C$108,0))="","",INDEX('Facilities'!$U$9:$U$108,MATCH(C96,'Facilities'!$C$9:$C$108,0))),""))</x:f>
      </x:c>
      <x:c r="G96" s="23" t="str">
        <x:f>IF(C96="","",IFERROR(IF(INDEX('Facilities'!$AA$9:$AA$108,MATCH(C96,'Facilities'!$C$9:$C$108,0))="","",INDEX('Facilities'!$AA$9:$AA$108,MATCH(C96,'Facilities'!$C$9:$C$108,0))),""))</x:f>
      </x:c>
      <x:c r="H96" s="23" t="str">
        <x:f>IF(C96="","",IFERROR(IF(INDEX('Inventory'!$N$9:$N$108,MATCH(F96,'Inventory'!$C$9:$C$108,0))="","",INDEX('Inventory'!$N$9:$N$108,MATCH(F96,'Inventory'!$C$9:$C$108,0))),""))</x:f>
      </x:c>
      <x:c r="I96" s="17" t="str">
        <x:f>IF(R96="Ready",G96/H96,"")</x:f>
      </x:c>
      <x:c r="J96" s="23" t="str">
        <x:f>IF(AND(R96="Ready",S96="Ready"),I96*IFERROR(IF(INDEX('Inventory'!$T$9:$T$108,MATCH(F96,'Inventory'!$C$9:$C$108,0))="","",INDEX('Inventory'!$T$9:$T$108,MATCH(F96,'Inventory'!$C$9:$C$108,0))),""),"")</x:f>
      </x:c>
      <x:c r="K96" s="23" t="str">
        <x:f>IF(AND(R96="Ready",T96="Ready"),I96*IFERROR(IF(INDEX('Inventory'!$Z$9:$Z$108,MATCH(F96,'Inventory'!$C$9:$C$108,0))="","",INDEX('Inventory'!$Z$9:$Z$108,MATCH(F96,'Inventory'!$C$9:$C$108,0))),""),"")</x:f>
      </x:c>
      <x:c r="L96" s="23" t="str">
        <x:f>IF(AND(R96="Ready",U96="Ready"),I96*IFERROR(IF(INDEX('Inventory'!$AG$9:$AG$108,MATCH(F96,'Inventory'!$C$9:$C$108,0))="","",INDEX('Inventory'!$AG$9:$AG$108,MATCH(F96,'Inventory'!$C$9:$C$108,0))),""),"")</x:f>
      </x:c>
      <x:c r="M96" s="21" t="n">
        <x:f>IF(AND(R96="Ready",S96="Ready",T96="Ready"),G96,0)</x:f>
        <x:v>0</x:v>
      </x:c>
      <x:c r="N96" s="21" t="n">
        <x:f>IF(AND(R96="Ready",U96="Ready"),G96,0)</x:f>
        <x:v>0</x:v>
      </x:c>
      <x:c r="O96" s="42" t="str">
        <x:f>IF(C96="","",IFERROR(IF(INDEX('Inventory'!$U$9:$U$108,MATCH(F96,'Inventory'!$C$9:$C$108,0))="","",INDEX('Inventory'!$U$9:$U$108,MATCH(F96,'Inventory'!$C$9:$C$108,0))),""))</x:f>
      </x:c>
      <x:c r="P96" s="42" t="str">
        <x:f>IF(C96="","",IFERROR(IF(INDEX('Inventory'!$AA$9:$AA$108,MATCH(F96,'Inventory'!$C$9:$C$108,0))="","",INDEX('Inventory'!$AA$9:$AA$108,MATCH(F96,'Inventory'!$C$9:$C$108,0))),""))</x:f>
      </x:c>
      <x:c r="Q96" s="42" t="str">
        <x:f>IF(C96="","",IFERROR(IF(INDEX('Inventory'!$AH$9:$AH$108,MATCH(F96,'Inventory'!$C$9:$C$108,0))="","",INDEX('Inventory'!$AH$9:$AH$108,MATCH(F96,'Inventory'!$C$9:$C$108,0))),""))</x:f>
      </x:c>
      <x:c r="R96" s="9" t="str">
        <x:f>IF(C96="","",IF(COUNTIFS('Facilities'!$C$9:$C$108,C96)&lt;&gt;1,"Duplicate facility ID",IF(OR(NOT(ISNUMBER(IFERROR(IF(INDEX('Facilities'!$G$9:$G$108,MATCH(C96,'Facilities'!$C$9:$C$108,0))="","",INDEX('Facilities'!$G$9:$G$108,MATCH(C96,'Facilities'!$C$9:$C$108,0))),""))),NOT(ISNUMBER(G96)),G96&lt;0,IFERROR(IF(INDEX('Facilities'!$Z$9:$Z$108,MATCH(C96,'Facilities'!$C$9:$C$108,0))="","",INDEX('Facilities'!$Z$9:$Z$108,MATCH(C96,'Facilities'!$C$9:$C$108,0))),"")&lt;=0),"Drawn value required",IF(COUNTIFS('Inventory'!$C$9:$C$108,F96)&lt;&gt;1,"Entity required",IF(OR(E96&lt;&gt;IFERROR(IF(INDEX('Inventory'!$F$9:$F$108,MATCH(F96,'Inventory'!$C$9:$C$108,0))="","",INDEX('Inventory'!$F$9:$F$108,MATCH(F96,'Inventory'!$C$9:$C$108,0))),""),D96&lt;&gt;IFERROR(IF(INDEX('Inventory'!$D$9:$D$108,MATCH(F96,'Inventory'!$C$9:$C$108,0))="","",INDEX('Inventory'!$D$9:$D$108,MATCH(F96,'Inventory'!$C$9:$C$108,0))),"")),"Entity / class mismatch",IF(IFERROR(IF(INDEX('Inventory'!$AL$9:$AL$108,MATCH(F96,'Inventory'!$C$9:$C$108,0))="","",INDEX('Inventory'!$AL$9:$AL$108,MATCH(F96,'Inventory'!$C$9:$C$108,0))),"")&lt;&gt;"Ready",IFERROR(IF(INDEX('Inventory'!$AL$9:$AL$108,MATCH(F96,'Inventory'!$C$9:$C$108,0))="","",INDEX('Inventory'!$AL$9:$AL$108,MATCH(F96,'Inventory'!$C$9:$C$108,0))),""),IF(AND(OR(E96="Project finance",E96="CRE",E96="Mortgage",E96="Motor"),IFERROR(IF(INDEX('Facilities'!$V$9:$V$108,MATCH(C96,'Facilities'!$C$9:$C$108,0))="","",INDEX('Facilities'!$V$9:$V$108,MATCH(C96,'Facilities'!$C$9:$C$108,0))),"")&lt;&gt;"Designated asset"),"Purpose review",IF(X96&gt;H96,"Exposure exceeds value","Ready"))))))))</x:f>
      </x:c>
      <x:c r="S96" s="9" t="str">
        <x:f>IF(C96="","",IFERROR(IF(INDEX('Inventory'!$V$9:$V$108,MATCH(F96,'Inventory'!$C$9:$C$108,0))="","",INDEX('Inventory'!$V$9:$V$108,MATCH(F96,'Inventory'!$C$9:$C$108,0))),""))</x:f>
      </x:c>
      <x:c r="T96" s="9" t="str">
        <x:f>IF(C96="","",IFERROR(IF(INDEX('Inventory'!$AB$9:$AB$108,MATCH(F96,'Inventory'!$C$9:$C$108,0))="","",INDEX('Inventory'!$AB$9:$AB$108,MATCH(F96,'Inventory'!$C$9:$C$108,0))),""))</x:f>
      </x:c>
      <x:c r="U96" s="9" t="str">
        <x:f>IF(C96="","",IFERROR(IF(INDEX('Inventory'!$AI$9:$AI$108,MATCH(F96,'Inventory'!$C$9:$C$108,0))="","",INDEX('Inventory'!$AI$9:$AI$108,MATCH(F96,'Inventory'!$C$9:$C$108,0))),""))</x:f>
      </x:c>
      <x:c r="V96" s="43" t="str">
        <x:f>IF(C96="","",IFERROR(IF(INDEX('Inventory'!$P$9:$P$108,MATCH(F96,'Inventory'!$C$9:$C$108,0))="","",INDEX('Inventory'!$P$9:$P$108,MATCH(F96,'Inventory'!$C$9:$C$108,0))),""))</x:f>
      </x:c>
      <x:c r="W96" s="3" t="str">
        <x:f>IF(C96="","",IF(E96="Corporate listed","PCAF 2025 pp40-46",IF(E96="Corporate private","PCAF 2025 pp55-60",IF(E96="Project finance","PCAF 2025 pp67-71",IF(E96="CRE","PCAF 2025 pp77-81",IF(E96="Mortgage","PCAF 2025 pp83-87",IF(E96="Motor","PCAF 2025 pp90-94","Method required")))))))</x:f>
      </x:c>
      <x:c r="X96" s="23" t="str">
        <x:f>IF(C96="","",SUMIFS('Facilities'!$AA$9:$AA$108,'Facilities'!$U$9:$U$108,F96))</x:f>
      </x:c>
      <x:c r="Y96" s="21" t="n">
        <x:f>IF(AND(R96="Ready",S96="Ready"),G96,0)</x:f>
        <x:v>0</x:v>
      </x:c>
      <x:c r="Z96" s="21" t="n">
        <x:f>IF(AND(R96="Ready",T96="Ready"),G96,0)</x:f>
        <x:v>0</x:v>
      </x:c>
      <x:c r="AA96" s="21" t="n">
        <x:f>IF(Y96&gt;0,Y96*O96,0)</x:f>
        <x:v>0</x:v>
      </x:c>
      <x:c r="AB96" s="21" t="n">
        <x:f>IF(Z96&gt;0,Z96*P96,0)</x:f>
        <x:v>0</x:v>
      </x:c>
      <x:c r="AC96" s="21" t="n">
        <x:f>IF(N96&gt;0,N96*Q96,0)</x:f>
        <x:v>0</x:v>
      </x:c>
      <x:c r="AD96" s="21" t="n">
        <x:f>IF(M96&gt;0,M96*MAX(O96,P96),0)</x:f>
        <x:v>0</x:v>
      </x:c>
      <x:c r="AE96" s="9" t="str">
        <x:f>IF(C96="","",IFERROR(IF(INDEX('Inventory'!$AC$9:$AC$108,MATCH(F96,'Inventory'!$C$9:$C$108,0))="","",INDEX('Inventory'!$AC$9:$AC$108,MATCH(F96,'Inventory'!$C$9:$C$108,0))),""))</x:f>
      </x:c>
      <x:c r="AF96" s="9" t="str">
        <x:f>IF(C96="","",IFERROR(IF(INDEX('Inventory'!$AN$9:$AN$108,MATCH(F96,'Inventory'!$C$9:$C$108,0))="","",INDEX('Inventory'!$AN$9:$AN$108,MATCH(F96,'Inventory'!$C$9:$C$108,0))),""))</x:f>
      </x:c>
    </x:row>
    <x:row r="97" ht="26" customHeight="1">
      <x:c r="A97" s="1"/>
      <x:c r="B97" s="1"/>
      <x:c r="C97" s="9" t="str">
        <x:f>IF('Facilities'!C97="","",'Facilities'!C97)</x:f>
      </x:c>
      <x:c r="D97" s="9" t="str">
        <x:f>IF(C97="","",IFERROR(IF(INDEX('Facilities'!$D$9:$D$108,MATCH(C97,'Facilities'!$C$9:$C$108,0))="","",INDEX('Facilities'!$D$9:$D$108,MATCH(C97,'Facilities'!$C$9:$C$108,0))),""))</x:f>
      </x:c>
      <x:c r="E97" s="9" t="str">
        <x:f>IF(C97="","",IFERROR(IF(INDEX('Facilities'!$E$9:$E$108,MATCH(C97,'Facilities'!$C$9:$C$108,0))="","",INDEX('Facilities'!$E$9:$E$108,MATCH(C97,'Facilities'!$C$9:$C$108,0))),""))</x:f>
      </x:c>
      <x:c r="F97" s="9" t="str">
        <x:f>IF(C97="","",IFERROR(IF(INDEX('Facilities'!$U$9:$U$108,MATCH(C97,'Facilities'!$C$9:$C$108,0))="","",INDEX('Facilities'!$U$9:$U$108,MATCH(C97,'Facilities'!$C$9:$C$108,0))),""))</x:f>
      </x:c>
      <x:c r="G97" s="23" t="str">
        <x:f>IF(C97="","",IFERROR(IF(INDEX('Facilities'!$AA$9:$AA$108,MATCH(C97,'Facilities'!$C$9:$C$108,0))="","",INDEX('Facilities'!$AA$9:$AA$108,MATCH(C97,'Facilities'!$C$9:$C$108,0))),""))</x:f>
      </x:c>
      <x:c r="H97" s="23" t="str">
        <x:f>IF(C97="","",IFERROR(IF(INDEX('Inventory'!$N$9:$N$108,MATCH(F97,'Inventory'!$C$9:$C$108,0))="","",INDEX('Inventory'!$N$9:$N$108,MATCH(F97,'Inventory'!$C$9:$C$108,0))),""))</x:f>
      </x:c>
      <x:c r="I97" s="17" t="str">
        <x:f>IF(R97="Ready",G97/H97,"")</x:f>
      </x:c>
      <x:c r="J97" s="23" t="str">
        <x:f>IF(AND(R97="Ready",S97="Ready"),I97*IFERROR(IF(INDEX('Inventory'!$T$9:$T$108,MATCH(F97,'Inventory'!$C$9:$C$108,0))="","",INDEX('Inventory'!$T$9:$T$108,MATCH(F97,'Inventory'!$C$9:$C$108,0))),""),"")</x:f>
      </x:c>
      <x:c r="K97" s="23" t="str">
        <x:f>IF(AND(R97="Ready",T97="Ready"),I97*IFERROR(IF(INDEX('Inventory'!$Z$9:$Z$108,MATCH(F97,'Inventory'!$C$9:$C$108,0))="","",INDEX('Inventory'!$Z$9:$Z$108,MATCH(F97,'Inventory'!$C$9:$C$108,0))),""),"")</x:f>
      </x:c>
      <x:c r="L97" s="23" t="str">
        <x:f>IF(AND(R97="Ready",U97="Ready"),I97*IFERROR(IF(INDEX('Inventory'!$AG$9:$AG$108,MATCH(F97,'Inventory'!$C$9:$C$108,0))="","",INDEX('Inventory'!$AG$9:$AG$108,MATCH(F97,'Inventory'!$C$9:$C$108,0))),""),"")</x:f>
      </x:c>
      <x:c r="M97" s="21" t="n">
        <x:f>IF(AND(R97="Ready",S97="Ready",T97="Ready"),G97,0)</x:f>
        <x:v>0</x:v>
      </x:c>
      <x:c r="N97" s="21" t="n">
        <x:f>IF(AND(R97="Ready",U97="Ready"),G97,0)</x:f>
        <x:v>0</x:v>
      </x:c>
      <x:c r="O97" s="42" t="str">
        <x:f>IF(C97="","",IFERROR(IF(INDEX('Inventory'!$U$9:$U$108,MATCH(F97,'Inventory'!$C$9:$C$108,0))="","",INDEX('Inventory'!$U$9:$U$108,MATCH(F97,'Inventory'!$C$9:$C$108,0))),""))</x:f>
      </x:c>
      <x:c r="P97" s="42" t="str">
        <x:f>IF(C97="","",IFERROR(IF(INDEX('Inventory'!$AA$9:$AA$108,MATCH(F97,'Inventory'!$C$9:$C$108,0))="","",INDEX('Inventory'!$AA$9:$AA$108,MATCH(F97,'Inventory'!$C$9:$C$108,0))),""))</x:f>
      </x:c>
      <x:c r="Q97" s="42" t="str">
        <x:f>IF(C97="","",IFERROR(IF(INDEX('Inventory'!$AH$9:$AH$108,MATCH(F97,'Inventory'!$C$9:$C$108,0))="","",INDEX('Inventory'!$AH$9:$AH$108,MATCH(F97,'Inventory'!$C$9:$C$108,0))),""))</x:f>
      </x:c>
      <x:c r="R97" s="9" t="str">
        <x:f>IF(C97="","",IF(COUNTIFS('Facilities'!$C$9:$C$108,C97)&lt;&gt;1,"Duplicate facility ID",IF(OR(NOT(ISNUMBER(IFERROR(IF(INDEX('Facilities'!$G$9:$G$108,MATCH(C97,'Facilities'!$C$9:$C$108,0))="","",INDEX('Facilities'!$G$9:$G$108,MATCH(C97,'Facilities'!$C$9:$C$108,0))),""))),NOT(ISNUMBER(G97)),G97&lt;0,IFERROR(IF(INDEX('Facilities'!$Z$9:$Z$108,MATCH(C97,'Facilities'!$C$9:$C$108,0))="","",INDEX('Facilities'!$Z$9:$Z$108,MATCH(C97,'Facilities'!$C$9:$C$108,0))),"")&lt;=0),"Drawn value required",IF(COUNTIFS('Inventory'!$C$9:$C$108,F97)&lt;&gt;1,"Entity required",IF(OR(E97&lt;&gt;IFERROR(IF(INDEX('Inventory'!$F$9:$F$108,MATCH(F97,'Inventory'!$C$9:$C$108,0))="","",INDEX('Inventory'!$F$9:$F$108,MATCH(F97,'Inventory'!$C$9:$C$108,0))),""),D97&lt;&gt;IFERROR(IF(INDEX('Inventory'!$D$9:$D$108,MATCH(F97,'Inventory'!$C$9:$C$108,0))="","",INDEX('Inventory'!$D$9:$D$108,MATCH(F97,'Inventory'!$C$9:$C$108,0))),"")),"Entity / class mismatch",IF(IFERROR(IF(INDEX('Inventory'!$AL$9:$AL$108,MATCH(F97,'Inventory'!$C$9:$C$108,0))="","",INDEX('Inventory'!$AL$9:$AL$108,MATCH(F97,'Inventory'!$C$9:$C$108,0))),"")&lt;&gt;"Ready",IFERROR(IF(INDEX('Inventory'!$AL$9:$AL$108,MATCH(F97,'Inventory'!$C$9:$C$108,0))="","",INDEX('Inventory'!$AL$9:$AL$108,MATCH(F97,'Inventory'!$C$9:$C$108,0))),""),IF(AND(OR(E97="Project finance",E97="CRE",E97="Mortgage",E97="Motor"),IFERROR(IF(INDEX('Facilities'!$V$9:$V$108,MATCH(C97,'Facilities'!$C$9:$C$108,0))="","",INDEX('Facilities'!$V$9:$V$108,MATCH(C97,'Facilities'!$C$9:$C$108,0))),"")&lt;&gt;"Designated asset"),"Purpose review",IF(X97&gt;H97,"Exposure exceeds value","Ready"))))))))</x:f>
      </x:c>
      <x:c r="S97" s="9" t="str">
        <x:f>IF(C97="","",IFERROR(IF(INDEX('Inventory'!$V$9:$V$108,MATCH(F97,'Inventory'!$C$9:$C$108,0))="","",INDEX('Inventory'!$V$9:$V$108,MATCH(F97,'Inventory'!$C$9:$C$108,0))),""))</x:f>
      </x:c>
      <x:c r="T97" s="9" t="str">
        <x:f>IF(C97="","",IFERROR(IF(INDEX('Inventory'!$AB$9:$AB$108,MATCH(F97,'Inventory'!$C$9:$C$108,0))="","",INDEX('Inventory'!$AB$9:$AB$108,MATCH(F97,'Inventory'!$C$9:$C$108,0))),""))</x:f>
      </x:c>
      <x:c r="U97" s="9" t="str">
        <x:f>IF(C97="","",IFERROR(IF(INDEX('Inventory'!$AI$9:$AI$108,MATCH(F97,'Inventory'!$C$9:$C$108,0))="","",INDEX('Inventory'!$AI$9:$AI$108,MATCH(F97,'Inventory'!$C$9:$C$108,0))),""))</x:f>
      </x:c>
      <x:c r="V97" s="43" t="str">
        <x:f>IF(C97="","",IFERROR(IF(INDEX('Inventory'!$P$9:$P$108,MATCH(F97,'Inventory'!$C$9:$C$108,0))="","",INDEX('Inventory'!$P$9:$P$108,MATCH(F97,'Inventory'!$C$9:$C$108,0))),""))</x:f>
      </x:c>
      <x:c r="W97" s="3" t="str">
        <x:f>IF(C97="","",IF(E97="Corporate listed","PCAF 2025 pp40-46",IF(E97="Corporate private","PCAF 2025 pp55-60",IF(E97="Project finance","PCAF 2025 pp67-71",IF(E97="CRE","PCAF 2025 pp77-81",IF(E97="Mortgage","PCAF 2025 pp83-87",IF(E97="Motor","PCAF 2025 pp90-94","Method required")))))))</x:f>
      </x:c>
      <x:c r="X97" s="23" t="str">
        <x:f>IF(C97="","",SUMIFS('Facilities'!$AA$9:$AA$108,'Facilities'!$U$9:$U$108,F97))</x:f>
      </x:c>
      <x:c r="Y97" s="21" t="n">
        <x:f>IF(AND(R97="Ready",S97="Ready"),G97,0)</x:f>
        <x:v>0</x:v>
      </x:c>
      <x:c r="Z97" s="21" t="n">
        <x:f>IF(AND(R97="Ready",T97="Ready"),G97,0)</x:f>
        <x:v>0</x:v>
      </x:c>
      <x:c r="AA97" s="21" t="n">
        <x:f>IF(Y97&gt;0,Y97*O97,0)</x:f>
        <x:v>0</x:v>
      </x:c>
      <x:c r="AB97" s="21" t="n">
        <x:f>IF(Z97&gt;0,Z97*P97,0)</x:f>
        <x:v>0</x:v>
      </x:c>
      <x:c r="AC97" s="21" t="n">
        <x:f>IF(N97&gt;0,N97*Q97,0)</x:f>
        <x:v>0</x:v>
      </x:c>
      <x:c r="AD97" s="21" t="n">
        <x:f>IF(M97&gt;0,M97*MAX(O97,P97),0)</x:f>
        <x:v>0</x:v>
      </x:c>
      <x:c r="AE97" s="9" t="str">
        <x:f>IF(C97="","",IFERROR(IF(INDEX('Inventory'!$AC$9:$AC$108,MATCH(F97,'Inventory'!$C$9:$C$108,0))="","",INDEX('Inventory'!$AC$9:$AC$108,MATCH(F97,'Inventory'!$C$9:$C$108,0))),""))</x:f>
      </x:c>
      <x:c r="AF97" s="9" t="str">
        <x:f>IF(C97="","",IFERROR(IF(INDEX('Inventory'!$AN$9:$AN$108,MATCH(F97,'Inventory'!$C$9:$C$108,0))="","",INDEX('Inventory'!$AN$9:$AN$108,MATCH(F97,'Inventory'!$C$9:$C$108,0))),""))</x:f>
      </x:c>
    </x:row>
    <x:row r="98" ht="26" customHeight="1">
      <x:c r="A98" s="1"/>
      <x:c r="B98" s="1"/>
      <x:c r="C98" s="9" t="str">
        <x:f>IF('Facilities'!C98="","",'Facilities'!C98)</x:f>
      </x:c>
      <x:c r="D98" s="9" t="str">
        <x:f>IF(C98="","",IFERROR(IF(INDEX('Facilities'!$D$9:$D$108,MATCH(C98,'Facilities'!$C$9:$C$108,0))="","",INDEX('Facilities'!$D$9:$D$108,MATCH(C98,'Facilities'!$C$9:$C$108,0))),""))</x:f>
      </x:c>
      <x:c r="E98" s="9" t="str">
        <x:f>IF(C98="","",IFERROR(IF(INDEX('Facilities'!$E$9:$E$108,MATCH(C98,'Facilities'!$C$9:$C$108,0))="","",INDEX('Facilities'!$E$9:$E$108,MATCH(C98,'Facilities'!$C$9:$C$108,0))),""))</x:f>
      </x:c>
      <x:c r="F98" s="9" t="str">
        <x:f>IF(C98="","",IFERROR(IF(INDEX('Facilities'!$U$9:$U$108,MATCH(C98,'Facilities'!$C$9:$C$108,0))="","",INDEX('Facilities'!$U$9:$U$108,MATCH(C98,'Facilities'!$C$9:$C$108,0))),""))</x:f>
      </x:c>
      <x:c r="G98" s="23" t="str">
        <x:f>IF(C98="","",IFERROR(IF(INDEX('Facilities'!$AA$9:$AA$108,MATCH(C98,'Facilities'!$C$9:$C$108,0))="","",INDEX('Facilities'!$AA$9:$AA$108,MATCH(C98,'Facilities'!$C$9:$C$108,0))),""))</x:f>
      </x:c>
      <x:c r="H98" s="23" t="str">
        <x:f>IF(C98="","",IFERROR(IF(INDEX('Inventory'!$N$9:$N$108,MATCH(F98,'Inventory'!$C$9:$C$108,0))="","",INDEX('Inventory'!$N$9:$N$108,MATCH(F98,'Inventory'!$C$9:$C$108,0))),""))</x:f>
      </x:c>
      <x:c r="I98" s="17" t="str">
        <x:f>IF(R98="Ready",G98/H98,"")</x:f>
      </x:c>
      <x:c r="J98" s="23" t="str">
        <x:f>IF(AND(R98="Ready",S98="Ready"),I98*IFERROR(IF(INDEX('Inventory'!$T$9:$T$108,MATCH(F98,'Inventory'!$C$9:$C$108,0))="","",INDEX('Inventory'!$T$9:$T$108,MATCH(F98,'Inventory'!$C$9:$C$108,0))),""),"")</x:f>
      </x:c>
      <x:c r="K98" s="23" t="str">
        <x:f>IF(AND(R98="Ready",T98="Ready"),I98*IFERROR(IF(INDEX('Inventory'!$Z$9:$Z$108,MATCH(F98,'Inventory'!$C$9:$C$108,0))="","",INDEX('Inventory'!$Z$9:$Z$108,MATCH(F98,'Inventory'!$C$9:$C$108,0))),""),"")</x:f>
      </x:c>
      <x:c r="L98" s="23" t="str">
        <x:f>IF(AND(R98="Ready",U98="Ready"),I98*IFERROR(IF(INDEX('Inventory'!$AG$9:$AG$108,MATCH(F98,'Inventory'!$C$9:$C$108,0))="","",INDEX('Inventory'!$AG$9:$AG$108,MATCH(F98,'Inventory'!$C$9:$C$108,0))),""),"")</x:f>
      </x:c>
      <x:c r="M98" s="21" t="n">
        <x:f>IF(AND(R98="Ready",S98="Ready",T98="Ready"),G98,0)</x:f>
        <x:v>0</x:v>
      </x:c>
      <x:c r="N98" s="21" t="n">
        <x:f>IF(AND(R98="Ready",U98="Ready"),G98,0)</x:f>
        <x:v>0</x:v>
      </x:c>
      <x:c r="O98" s="42" t="str">
        <x:f>IF(C98="","",IFERROR(IF(INDEX('Inventory'!$U$9:$U$108,MATCH(F98,'Inventory'!$C$9:$C$108,0))="","",INDEX('Inventory'!$U$9:$U$108,MATCH(F98,'Inventory'!$C$9:$C$108,0))),""))</x:f>
      </x:c>
      <x:c r="P98" s="42" t="str">
        <x:f>IF(C98="","",IFERROR(IF(INDEX('Inventory'!$AA$9:$AA$108,MATCH(F98,'Inventory'!$C$9:$C$108,0))="","",INDEX('Inventory'!$AA$9:$AA$108,MATCH(F98,'Inventory'!$C$9:$C$108,0))),""))</x:f>
      </x:c>
      <x:c r="Q98" s="42" t="str">
        <x:f>IF(C98="","",IFERROR(IF(INDEX('Inventory'!$AH$9:$AH$108,MATCH(F98,'Inventory'!$C$9:$C$108,0))="","",INDEX('Inventory'!$AH$9:$AH$108,MATCH(F98,'Inventory'!$C$9:$C$108,0))),""))</x:f>
      </x:c>
      <x:c r="R98" s="9" t="str">
        <x:f>IF(C98="","",IF(COUNTIFS('Facilities'!$C$9:$C$108,C98)&lt;&gt;1,"Duplicate facility ID",IF(OR(NOT(ISNUMBER(IFERROR(IF(INDEX('Facilities'!$G$9:$G$108,MATCH(C98,'Facilities'!$C$9:$C$108,0))="","",INDEX('Facilities'!$G$9:$G$108,MATCH(C98,'Facilities'!$C$9:$C$108,0))),""))),NOT(ISNUMBER(G98)),G98&lt;0,IFERROR(IF(INDEX('Facilities'!$Z$9:$Z$108,MATCH(C98,'Facilities'!$C$9:$C$108,0))="","",INDEX('Facilities'!$Z$9:$Z$108,MATCH(C98,'Facilities'!$C$9:$C$108,0))),"")&lt;=0),"Drawn value required",IF(COUNTIFS('Inventory'!$C$9:$C$108,F98)&lt;&gt;1,"Entity required",IF(OR(E98&lt;&gt;IFERROR(IF(INDEX('Inventory'!$F$9:$F$108,MATCH(F98,'Inventory'!$C$9:$C$108,0))="","",INDEX('Inventory'!$F$9:$F$108,MATCH(F98,'Inventory'!$C$9:$C$108,0))),""),D98&lt;&gt;IFERROR(IF(INDEX('Inventory'!$D$9:$D$108,MATCH(F98,'Inventory'!$C$9:$C$108,0))="","",INDEX('Inventory'!$D$9:$D$108,MATCH(F98,'Inventory'!$C$9:$C$108,0))),"")),"Entity / class mismatch",IF(IFERROR(IF(INDEX('Inventory'!$AL$9:$AL$108,MATCH(F98,'Inventory'!$C$9:$C$108,0))="","",INDEX('Inventory'!$AL$9:$AL$108,MATCH(F98,'Inventory'!$C$9:$C$108,0))),"")&lt;&gt;"Ready",IFERROR(IF(INDEX('Inventory'!$AL$9:$AL$108,MATCH(F98,'Inventory'!$C$9:$C$108,0))="","",INDEX('Inventory'!$AL$9:$AL$108,MATCH(F98,'Inventory'!$C$9:$C$108,0))),""),IF(AND(OR(E98="Project finance",E98="CRE",E98="Mortgage",E98="Motor"),IFERROR(IF(INDEX('Facilities'!$V$9:$V$108,MATCH(C98,'Facilities'!$C$9:$C$108,0))="","",INDEX('Facilities'!$V$9:$V$108,MATCH(C98,'Facilities'!$C$9:$C$108,0))),"")&lt;&gt;"Designated asset"),"Purpose review",IF(X98&gt;H98,"Exposure exceeds value","Ready"))))))))</x:f>
      </x:c>
      <x:c r="S98" s="9" t="str">
        <x:f>IF(C98="","",IFERROR(IF(INDEX('Inventory'!$V$9:$V$108,MATCH(F98,'Inventory'!$C$9:$C$108,0))="","",INDEX('Inventory'!$V$9:$V$108,MATCH(F98,'Inventory'!$C$9:$C$108,0))),""))</x:f>
      </x:c>
      <x:c r="T98" s="9" t="str">
        <x:f>IF(C98="","",IFERROR(IF(INDEX('Inventory'!$AB$9:$AB$108,MATCH(F98,'Inventory'!$C$9:$C$108,0))="","",INDEX('Inventory'!$AB$9:$AB$108,MATCH(F98,'Inventory'!$C$9:$C$108,0))),""))</x:f>
      </x:c>
      <x:c r="U98" s="9" t="str">
        <x:f>IF(C98="","",IFERROR(IF(INDEX('Inventory'!$AI$9:$AI$108,MATCH(F98,'Inventory'!$C$9:$C$108,0))="","",INDEX('Inventory'!$AI$9:$AI$108,MATCH(F98,'Inventory'!$C$9:$C$108,0))),""))</x:f>
      </x:c>
      <x:c r="V98" s="43" t="str">
        <x:f>IF(C98="","",IFERROR(IF(INDEX('Inventory'!$P$9:$P$108,MATCH(F98,'Inventory'!$C$9:$C$108,0))="","",INDEX('Inventory'!$P$9:$P$108,MATCH(F98,'Inventory'!$C$9:$C$108,0))),""))</x:f>
      </x:c>
      <x:c r="W98" s="3" t="str">
        <x:f>IF(C98="","",IF(E98="Corporate listed","PCAF 2025 pp40-46",IF(E98="Corporate private","PCAF 2025 pp55-60",IF(E98="Project finance","PCAF 2025 pp67-71",IF(E98="CRE","PCAF 2025 pp77-81",IF(E98="Mortgage","PCAF 2025 pp83-87",IF(E98="Motor","PCAF 2025 pp90-94","Method required")))))))</x:f>
      </x:c>
      <x:c r="X98" s="23" t="str">
        <x:f>IF(C98="","",SUMIFS('Facilities'!$AA$9:$AA$108,'Facilities'!$U$9:$U$108,F98))</x:f>
      </x:c>
      <x:c r="Y98" s="21" t="n">
        <x:f>IF(AND(R98="Ready",S98="Ready"),G98,0)</x:f>
        <x:v>0</x:v>
      </x:c>
      <x:c r="Z98" s="21" t="n">
        <x:f>IF(AND(R98="Ready",T98="Ready"),G98,0)</x:f>
        <x:v>0</x:v>
      </x:c>
      <x:c r="AA98" s="21" t="n">
        <x:f>IF(Y98&gt;0,Y98*O98,0)</x:f>
        <x:v>0</x:v>
      </x:c>
      <x:c r="AB98" s="21" t="n">
        <x:f>IF(Z98&gt;0,Z98*P98,0)</x:f>
        <x:v>0</x:v>
      </x:c>
      <x:c r="AC98" s="21" t="n">
        <x:f>IF(N98&gt;0,N98*Q98,0)</x:f>
        <x:v>0</x:v>
      </x:c>
      <x:c r="AD98" s="21" t="n">
        <x:f>IF(M98&gt;0,M98*MAX(O98,P98),0)</x:f>
        <x:v>0</x:v>
      </x:c>
      <x:c r="AE98" s="9" t="str">
        <x:f>IF(C98="","",IFERROR(IF(INDEX('Inventory'!$AC$9:$AC$108,MATCH(F98,'Inventory'!$C$9:$C$108,0))="","",INDEX('Inventory'!$AC$9:$AC$108,MATCH(F98,'Inventory'!$C$9:$C$108,0))),""))</x:f>
      </x:c>
      <x:c r="AF98" s="9" t="str">
        <x:f>IF(C98="","",IFERROR(IF(INDEX('Inventory'!$AN$9:$AN$108,MATCH(F98,'Inventory'!$C$9:$C$108,0))="","",INDEX('Inventory'!$AN$9:$AN$108,MATCH(F98,'Inventory'!$C$9:$C$108,0))),""))</x:f>
      </x:c>
    </x:row>
    <x:row r="99" ht="26" customHeight="1">
      <x:c r="A99" s="1"/>
      <x:c r="B99" s="1"/>
      <x:c r="C99" s="9" t="str">
        <x:f>IF('Facilities'!C99="","",'Facilities'!C99)</x:f>
      </x:c>
      <x:c r="D99" s="9" t="str">
        <x:f>IF(C99="","",IFERROR(IF(INDEX('Facilities'!$D$9:$D$108,MATCH(C99,'Facilities'!$C$9:$C$108,0))="","",INDEX('Facilities'!$D$9:$D$108,MATCH(C99,'Facilities'!$C$9:$C$108,0))),""))</x:f>
      </x:c>
      <x:c r="E99" s="9" t="str">
        <x:f>IF(C99="","",IFERROR(IF(INDEX('Facilities'!$E$9:$E$108,MATCH(C99,'Facilities'!$C$9:$C$108,0))="","",INDEX('Facilities'!$E$9:$E$108,MATCH(C99,'Facilities'!$C$9:$C$108,0))),""))</x:f>
      </x:c>
      <x:c r="F99" s="9" t="str">
        <x:f>IF(C99="","",IFERROR(IF(INDEX('Facilities'!$U$9:$U$108,MATCH(C99,'Facilities'!$C$9:$C$108,0))="","",INDEX('Facilities'!$U$9:$U$108,MATCH(C99,'Facilities'!$C$9:$C$108,0))),""))</x:f>
      </x:c>
      <x:c r="G99" s="23" t="str">
        <x:f>IF(C99="","",IFERROR(IF(INDEX('Facilities'!$AA$9:$AA$108,MATCH(C99,'Facilities'!$C$9:$C$108,0))="","",INDEX('Facilities'!$AA$9:$AA$108,MATCH(C99,'Facilities'!$C$9:$C$108,0))),""))</x:f>
      </x:c>
      <x:c r="H99" s="23" t="str">
        <x:f>IF(C99="","",IFERROR(IF(INDEX('Inventory'!$N$9:$N$108,MATCH(F99,'Inventory'!$C$9:$C$108,0))="","",INDEX('Inventory'!$N$9:$N$108,MATCH(F99,'Inventory'!$C$9:$C$108,0))),""))</x:f>
      </x:c>
      <x:c r="I99" s="17" t="str">
        <x:f>IF(R99="Ready",G99/H99,"")</x:f>
      </x:c>
      <x:c r="J99" s="23" t="str">
        <x:f>IF(AND(R99="Ready",S99="Ready"),I99*IFERROR(IF(INDEX('Inventory'!$T$9:$T$108,MATCH(F99,'Inventory'!$C$9:$C$108,0))="","",INDEX('Inventory'!$T$9:$T$108,MATCH(F99,'Inventory'!$C$9:$C$108,0))),""),"")</x:f>
      </x:c>
      <x:c r="K99" s="23" t="str">
        <x:f>IF(AND(R99="Ready",T99="Ready"),I99*IFERROR(IF(INDEX('Inventory'!$Z$9:$Z$108,MATCH(F99,'Inventory'!$C$9:$C$108,0))="","",INDEX('Inventory'!$Z$9:$Z$108,MATCH(F99,'Inventory'!$C$9:$C$108,0))),""),"")</x:f>
      </x:c>
      <x:c r="L99" s="23" t="str">
        <x:f>IF(AND(R99="Ready",U99="Ready"),I99*IFERROR(IF(INDEX('Inventory'!$AG$9:$AG$108,MATCH(F99,'Inventory'!$C$9:$C$108,0))="","",INDEX('Inventory'!$AG$9:$AG$108,MATCH(F99,'Inventory'!$C$9:$C$108,0))),""),"")</x:f>
      </x:c>
      <x:c r="M99" s="21" t="n">
        <x:f>IF(AND(R99="Ready",S99="Ready",T99="Ready"),G99,0)</x:f>
        <x:v>0</x:v>
      </x:c>
      <x:c r="N99" s="21" t="n">
        <x:f>IF(AND(R99="Ready",U99="Ready"),G99,0)</x:f>
        <x:v>0</x:v>
      </x:c>
      <x:c r="O99" s="42" t="str">
        <x:f>IF(C99="","",IFERROR(IF(INDEX('Inventory'!$U$9:$U$108,MATCH(F99,'Inventory'!$C$9:$C$108,0))="","",INDEX('Inventory'!$U$9:$U$108,MATCH(F99,'Inventory'!$C$9:$C$108,0))),""))</x:f>
      </x:c>
      <x:c r="P99" s="42" t="str">
        <x:f>IF(C99="","",IFERROR(IF(INDEX('Inventory'!$AA$9:$AA$108,MATCH(F99,'Inventory'!$C$9:$C$108,0))="","",INDEX('Inventory'!$AA$9:$AA$108,MATCH(F99,'Inventory'!$C$9:$C$108,0))),""))</x:f>
      </x:c>
      <x:c r="Q99" s="42" t="str">
        <x:f>IF(C99="","",IFERROR(IF(INDEX('Inventory'!$AH$9:$AH$108,MATCH(F99,'Inventory'!$C$9:$C$108,0))="","",INDEX('Inventory'!$AH$9:$AH$108,MATCH(F99,'Inventory'!$C$9:$C$108,0))),""))</x:f>
      </x:c>
      <x:c r="R99" s="9" t="str">
        <x:f>IF(C99="","",IF(COUNTIFS('Facilities'!$C$9:$C$108,C99)&lt;&gt;1,"Duplicate facility ID",IF(OR(NOT(ISNUMBER(IFERROR(IF(INDEX('Facilities'!$G$9:$G$108,MATCH(C99,'Facilities'!$C$9:$C$108,0))="","",INDEX('Facilities'!$G$9:$G$108,MATCH(C99,'Facilities'!$C$9:$C$108,0))),""))),NOT(ISNUMBER(G99)),G99&lt;0,IFERROR(IF(INDEX('Facilities'!$Z$9:$Z$108,MATCH(C99,'Facilities'!$C$9:$C$108,0))="","",INDEX('Facilities'!$Z$9:$Z$108,MATCH(C99,'Facilities'!$C$9:$C$108,0))),"")&lt;=0),"Drawn value required",IF(COUNTIFS('Inventory'!$C$9:$C$108,F99)&lt;&gt;1,"Entity required",IF(OR(E99&lt;&gt;IFERROR(IF(INDEX('Inventory'!$F$9:$F$108,MATCH(F99,'Inventory'!$C$9:$C$108,0))="","",INDEX('Inventory'!$F$9:$F$108,MATCH(F99,'Inventory'!$C$9:$C$108,0))),""),D99&lt;&gt;IFERROR(IF(INDEX('Inventory'!$D$9:$D$108,MATCH(F99,'Inventory'!$C$9:$C$108,0))="","",INDEX('Inventory'!$D$9:$D$108,MATCH(F99,'Inventory'!$C$9:$C$108,0))),"")),"Entity / class mismatch",IF(IFERROR(IF(INDEX('Inventory'!$AL$9:$AL$108,MATCH(F99,'Inventory'!$C$9:$C$108,0))="","",INDEX('Inventory'!$AL$9:$AL$108,MATCH(F99,'Inventory'!$C$9:$C$108,0))),"")&lt;&gt;"Ready",IFERROR(IF(INDEX('Inventory'!$AL$9:$AL$108,MATCH(F99,'Inventory'!$C$9:$C$108,0))="","",INDEX('Inventory'!$AL$9:$AL$108,MATCH(F99,'Inventory'!$C$9:$C$108,0))),""),IF(AND(OR(E99="Project finance",E99="CRE",E99="Mortgage",E99="Motor"),IFERROR(IF(INDEX('Facilities'!$V$9:$V$108,MATCH(C99,'Facilities'!$C$9:$C$108,0))="","",INDEX('Facilities'!$V$9:$V$108,MATCH(C99,'Facilities'!$C$9:$C$108,0))),"")&lt;&gt;"Designated asset"),"Purpose review",IF(X99&gt;H99,"Exposure exceeds value","Ready"))))))))</x:f>
      </x:c>
      <x:c r="S99" s="9" t="str">
        <x:f>IF(C99="","",IFERROR(IF(INDEX('Inventory'!$V$9:$V$108,MATCH(F99,'Inventory'!$C$9:$C$108,0))="","",INDEX('Inventory'!$V$9:$V$108,MATCH(F99,'Inventory'!$C$9:$C$108,0))),""))</x:f>
      </x:c>
      <x:c r="T99" s="9" t="str">
        <x:f>IF(C99="","",IFERROR(IF(INDEX('Inventory'!$AB$9:$AB$108,MATCH(F99,'Inventory'!$C$9:$C$108,0))="","",INDEX('Inventory'!$AB$9:$AB$108,MATCH(F99,'Inventory'!$C$9:$C$108,0))),""))</x:f>
      </x:c>
      <x:c r="U99" s="9" t="str">
        <x:f>IF(C99="","",IFERROR(IF(INDEX('Inventory'!$AI$9:$AI$108,MATCH(F99,'Inventory'!$C$9:$C$108,0))="","",INDEX('Inventory'!$AI$9:$AI$108,MATCH(F99,'Inventory'!$C$9:$C$108,0))),""))</x:f>
      </x:c>
      <x:c r="V99" s="43" t="str">
        <x:f>IF(C99="","",IFERROR(IF(INDEX('Inventory'!$P$9:$P$108,MATCH(F99,'Inventory'!$C$9:$C$108,0))="","",INDEX('Inventory'!$P$9:$P$108,MATCH(F99,'Inventory'!$C$9:$C$108,0))),""))</x:f>
      </x:c>
      <x:c r="W99" s="3" t="str">
        <x:f>IF(C99="","",IF(E99="Corporate listed","PCAF 2025 pp40-46",IF(E99="Corporate private","PCAF 2025 pp55-60",IF(E99="Project finance","PCAF 2025 pp67-71",IF(E99="CRE","PCAF 2025 pp77-81",IF(E99="Mortgage","PCAF 2025 pp83-87",IF(E99="Motor","PCAF 2025 pp90-94","Method required")))))))</x:f>
      </x:c>
      <x:c r="X99" s="23" t="str">
        <x:f>IF(C99="","",SUMIFS('Facilities'!$AA$9:$AA$108,'Facilities'!$U$9:$U$108,F99))</x:f>
      </x:c>
      <x:c r="Y99" s="21" t="n">
        <x:f>IF(AND(R99="Ready",S99="Ready"),G99,0)</x:f>
        <x:v>0</x:v>
      </x:c>
      <x:c r="Z99" s="21" t="n">
        <x:f>IF(AND(R99="Ready",T99="Ready"),G99,0)</x:f>
        <x:v>0</x:v>
      </x:c>
      <x:c r="AA99" s="21" t="n">
        <x:f>IF(Y99&gt;0,Y99*O99,0)</x:f>
        <x:v>0</x:v>
      </x:c>
      <x:c r="AB99" s="21" t="n">
        <x:f>IF(Z99&gt;0,Z99*P99,0)</x:f>
        <x:v>0</x:v>
      </x:c>
      <x:c r="AC99" s="21" t="n">
        <x:f>IF(N99&gt;0,N99*Q99,0)</x:f>
        <x:v>0</x:v>
      </x:c>
      <x:c r="AD99" s="21" t="n">
        <x:f>IF(M99&gt;0,M99*MAX(O99,P99),0)</x:f>
        <x:v>0</x:v>
      </x:c>
      <x:c r="AE99" s="9" t="str">
        <x:f>IF(C99="","",IFERROR(IF(INDEX('Inventory'!$AC$9:$AC$108,MATCH(F99,'Inventory'!$C$9:$C$108,0))="","",INDEX('Inventory'!$AC$9:$AC$108,MATCH(F99,'Inventory'!$C$9:$C$108,0))),""))</x:f>
      </x:c>
      <x:c r="AF99" s="9" t="str">
        <x:f>IF(C99="","",IFERROR(IF(INDEX('Inventory'!$AN$9:$AN$108,MATCH(F99,'Inventory'!$C$9:$C$108,0))="","",INDEX('Inventory'!$AN$9:$AN$108,MATCH(F99,'Inventory'!$C$9:$C$108,0))),""))</x:f>
      </x:c>
    </x:row>
    <x:row r="100" ht="26" customHeight="1">
      <x:c r="A100" s="1"/>
      <x:c r="B100" s="1"/>
      <x:c r="C100" s="9" t="str">
        <x:f>IF('Facilities'!C100="","",'Facilities'!C100)</x:f>
      </x:c>
      <x:c r="D100" s="9" t="str">
        <x:f>IF(C100="","",IFERROR(IF(INDEX('Facilities'!$D$9:$D$108,MATCH(C100,'Facilities'!$C$9:$C$108,0))="","",INDEX('Facilities'!$D$9:$D$108,MATCH(C100,'Facilities'!$C$9:$C$108,0))),""))</x:f>
      </x:c>
      <x:c r="E100" s="9" t="str">
        <x:f>IF(C100="","",IFERROR(IF(INDEX('Facilities'!$E$9:$E$108,MATCH(C100,'Facilities'!$C$9:$C$108,0))="","",INDEX('Facilities'!$E$9:$E$108,MATCH(C100,'Facilities'!$C$9:$C$108,0))),""))</x:f>
      </x:c>
      <x:c r="F100" s="9" t="str">
        <x:f>IF(C100="","",IFERROR(IF(INDEX('Facilities'!$U$9:$U$108,MATCH(C100,'Facilities'!$C$9:$C$108,0))="","",INDEX('Facilities'!$U$9:$U$108,MATCH(C100,'Facilities'!$C$9:$C$108,0))),""))</x:f>
      </x:c>
      <x:c r="G100" s="23" t="str">
        <x:f>IF(C100="","",IFERROR(IF(INDEX('Facilities'!$AA$9:$AA$108,MATCH(C100,'Facilities'!$C$9:$C$108,0))="","",INDEX('Facilities'!$AA$9:$AA$108,MATCH(C100,'Facilities'!$C$9:$C$108,0))),""))</x:f>
      </x:c>
      <x:c r="H100" s="23" t="str">
        <x:f>IF(C100="","",IFERROR(IF(INDEX('Inventory'!$N$9:$N$108,MATCH(F100,'Inventory'!$C$9:$C$108,0))="","",INDEX('Inventory'!$N$9:$N$108,MATCH(F100,'Inventory'!$C$9:$C$108,0))),""))</x:f>
      </x:c>
      <x:c r="I100" s="17" t="str">
        <x:f>IF(R100="Ready",G100/H100,"")</x:f>
      </x:c>
      <x:c r="J100" s="23" t="str">
        <x:f>IF(AND(R100="Ready",S100="Ready"),I100*IFERROR(IF(INDEX('Inventory'!$T$9:$T$108,MATCH(F100,'Inventory'!$C$9:$C$108,0))="","",INDEX('Inventory'!$T$9:$T$108,MATCH(F100,'Inventory'!$C$9:$C$108,0))),""),"")</x:f>
      </x:c>
      <x:c r="K100" s="23" t="str">
        <x:f>IF(AND(R100="Ready",T100="Ready"),I100*IFERROR(IF(INDEX('Inventory'!$Z$9:$Z$108,MATCH(F100,'Inventory'!$C$9:$C$108,0))="","",INDEX('Inventory'!$Z$9:$Z$108,MATCH(F100,'Inventory'!$C$9:$C$108,0))),""),"")</x:f>
      </x:c>
      <x:c r="L100" s="23" t="str">
        <x:f>IF(AND(R100="Ready",U100="Ready"),I100*IFERROR(IF(INDEX('Inventory'!$AG$9:$AG$108,MATCH(F100,'Inventory'!$C$9:$C$108,0))="","",INDEX('Inventory'!$AG$9:$AG$108,MATCH(F100,'Inventory'!$C$9:$C$108,0))),""),"")</x:f>
      </x:c>
      <x:c r="M100" s="21" t="n">
        <x:f>IF(AND(R100="Ready",S100="Ready",T100="Ready"),G100,0)</x:f>
        <x:v>0</x:v>
      </x:c>
      <x:c r="N100" s="21" t="n">
        <x:f>IF(AND(R100="Ready",U100="Ready"),G100,0)</x:f>
        <x:v>0</x:v>
      </x:c>
      <x:c r="O100" s="42" t="str">
        <x:f>IF(C100="","",IFERROR(IF(INDEX('Inventory'!$U$9:$U$108,MATCH(F100,'Inventory'!$C$9:$C$108,0))="","",INDEX('Inventory'!$U$9:$U$108,MATCH(F100,'Inventory'!$C$9:$C$108,0))),""))</x:f>
      </x:c>
      <x:c r="P100" s="42" t="str">
        <x:f>IF(C100="","",IFERROR(IF(INDEX('Inventory'!$AA$9:$AA$108,MATCH(F100,'Inventory'!$C$9:$C$108,0))="","",INDEX('Inventory'!$AA$9:$AA$108,MATCH(F100,'Inventory'!$C$9:$C$108,0))),""))</x:f>
      </x:c>
      <x:c r="Q100" s="42" t="str">
        <x:f>IF(C100="","",IFERROR(IF(INDEX('Inventory'!$AH$9:$AH$108,MATCH(F100,'Inventory'!$C$9:$C$108,0))="","",INDEX('Inventory'!$AH$9:$AH$108,MATCH(F100,'Inventory'!$C$9:$C$108,0))),""))</x:f>
      </x:c>
      <x:c r="R100" s="9" t="str">
        <x:f>IF(C100="","",IF(COUNTIFS('Facilities'!$C$9:$C$108,C100)&lt;&gt;1,"Duplicate facility ID",IF(OR(NOT(ISNUMBER(IFERROR(IF(INDEX('Facilities'!$G$9:$G$108,MATCH(C100,'Facilities'!$C$9:$C$108,0))="","",INDEX('Facilities'!$G$9:$G$108,MATCH(C100,'Facilities'!$C$9:$C$108,0))),""))),NOT(ISNUMBER(G100)),G100&lt;0,IFERROR(IF(INDEX('Facilities'!$Z$9:$Z$108,MATCH(C100,'Facilities'!$C$9:$C$108,0))="","",INDEX('Facilities'!$Z$9:$Z$108,MATCH(C100,'Facilities'!$C$9:$C$108,0))),"")&lt;=0),"Drawn value required",IF(COUNTIFS('Inventory'!$C$9:$C$108,F100)&lt;&gt;1,"Entity required",IF(OR(E100&lt;&gt;IFERROR(IF(INDEX('Inventory'!$F$9:$F$108,MATCH(F100,'Inventory'!$C$9:$C$108,0))="","",INDEX('Inventory'!$F$9:$F$108,MATCH(F100,'Inventory'!$C$9:$C$108,0))),""),D100&lt;&gt;IFERROR(IF(INDEX('Inventory'!$D$9:$D$108,MATCH(F100,'Inventory'!$C$9:$C$108,0))="","",INDEX('Inventory'!$D$9:$D$108,MATCH(F100,'Inventory'!$C$9:$C$108,0))),"")),"Entity / class mismatch",IF(IFERROR(IF(INDEX('Inventory'!$AL$9:$AL$108,MATCH(F100,'Inventory'!$C$9:$C$108,0))="","",INDEX('Inventory'!$AL$9:$AL$108,MATCH(F100,'Inventory'!$C$9:$C$108,0))),"")&lt;&gt;"Ready",IFERROR(IF(INDEX('Inventory'!$AL$9:$AL$108,MATCH(F100,'Inventory'!$C$9:$C$108,0))="","",INDEX('Inventory'!$AL$9:$AL$108,MATCH(F100,'Inventory'!$C$9:$C$108,0))),""),IF(AND(OR(E100="Project finance",E100="CRE",E100="Mortgage",E100="Motor"),IFERROR(IF(INDEX('Facilities'!$V$9:$V$108,MATCH(C100,'Facilities'!$C$9:$C$108,0))="","",INDEX('Facilities'!$V$9:$V$108,MATCH(C100,'Facilities'!$C$9:$C$108,0))),"")&lt;&gt;"Designated asset"),"Purpose review",IF(X100&gt;H100,"Exposure exceeds value","Ready"))))))))</x:f>
      </x:c>
      <x:c r="S100" s="9" t="str">
        <x:f>IF(C100="","",IFERROR(IF(INDEX('Inventory'!$V$9:$V$108,MATCH(F100,'Inventory'!$C$9:$C$108,0))="","",INDEX('Inventory'!$V$9:$V$108,MATCH(F100,'Inventory'!$C$9:$C$108,0))),""))</x:f>
      </x:c>
      <x:c r="T100" s="9" t="str">
        <x:f>IF(C100="","",IFERROR(IF(INDEX('Inventory'!$AB$9:$AB$108,MATCH(F100,'Inventory'!$C$9:$C$108,0))="","",INDEX('Inventory'!$AB$9:$AB$108,MATCH(F100,'Inventory'!$C$9:$C$108,0))),""))</x:f>
      </x:c>
      <x:c r="U100" s="9" t="str">
        <x:f>IF(C100="","",IFERROR(IF(INDEX('Inventory'!$AI$9:$AI$108,MATCH(F100,'Inventory'!$C$9:$C$108,0))="","",INDEX('Inventory'!$AI$9:$AI$108,MATCH(F100,'Inventory'!$C$9:$C$108,0))),""))</x:f>
      </x:c>
      <x:c r="V100" s="43" t="str">
        <x:f>IF(C100="","",IFERROR(IF(INDEX('Inventory'!$P$9:$P$108,MATCH(F100,'Inventory'!$C$9:$C$108,0))="","",INDEX('Inventory'!$P$9:$P$108,MATCH(F100,'Inventory'!$C$9:$C$108,0))),""))</x:f>
      </x:c>
      <x:c r="W100" s="3" t="str">
        <x:f>IF(C100="","",IF(E100="Corporate listed","PCAF 2025 pp40-46",IF(E100="Corporate private","PCAF 2025 pp55-60",IF(E100="Project finance","PCAF 2025 pp67-71",IF(E100="CRE","PCAF 2025 pp77-81",IF(E100="Mortgage","PCAF 2025 pp83-87",IF(E100="Motor","PCAF 2025 pp90-94","Method required")))))))</x:f>
      </x:c>
      <x:c r="X100" s="23" t="str">
        <x:f>IF(C100="","",SUMIFS('Facilities'!$AA$9:$AA$108,'Facilities'!$U$9:$U$108,F100))</x:f>
      </x:c>
      <x:c r="Y100" s="21" t="n">
        <x:f>IF(AND(R100="Ready",S100="Ready"),G100,0)</x:f>
        <x:v>0</x:v>
      </x:c>
      <x:c r="Z100" s="21" t="n">
        <x:f>IF(AND(R100="Ready",T100="Ready"),G100,0)</x:f>
        <x:v>0</x:v>
      </x:c>
      <x:c r="AA100" s="21" t="n">
        <x:f>IF(Y100&gt;0,Y100*O100,0)</x:f>
        <x:v>0</x:v>
      </x:c>
      <x:c r="AB100" s="21" t="n">
        <x:f>IF(Z100&gt;0,Z100*P100,0)</x:f>
        <x:v>0</x:v>
      </x:c>
      <x:c r="AC100" s="21" t="n">
        <x:f>IF(N100&gt;0,N100*Q100,0)</x:f>
        <x:v>0</x:v>
      </x:c>
      <x:c r="AD100" s="21" t="n">
        <x:f>IF(M100&gt;0,M100*MAX(O100,P100),0)</x:f>
        <x:v>0</x:v>
      </x:c>
      <x:c r="AE100" s="9" t="str">
        <x:f>IF(C100="","",IFERROR(IF(INDEX('Inventory'!$AC$9:$AC$108,MATCH(F100,'Inventory'!$C$9:$C$108,0))="","",INDEX('Inventory'!$AC$9:$AC$108,MATCH(F100,'Inventory'!$C$9:$C$108,0))),""))</x:f>
      </x:c>
      <x:c r="AF100" s="9" t="str">
        <x:f>IF(C100="","",IFERROR(IF(INDEX('Inventory'!$AN$9:$AN$108,MATCH(F100,'Inventory'!$C$9:$C$108,0))="","",INDEX('Inventory'!$AN$9:$AN$108,MATCH(F100,'Inventory'!$C$9:$C$108,0))),""))</x:f>
      </x:c>
    </x:row>
    <x:row r="101" ht="26" customHeight="1">
      <x:c r="A101" s="1"/>
      <x:c r="B101" s="1"/>
      <x:c r="C101" s="9" t="str">
        <x:f>IF('Facilities'!C101="","",'Facilities'!C101)</x:f>
      </x:c>
      <x:c r="D101" s="9" t="str">
        <x:f>IF(C101="","",IFERROR(IF(INDEX('Facilities'!$D$9:$D$108,MATCH(C101,'Facilities'!$C$9:$C$108,0))="","",INDEX('Facilities'!$D$9:$D$108,MATCH(C101,'Facilities'!$C$9:$C$108,0))),""))</x:f>
      </x:c>
      <x:c r="E101" s="9" t="str">
        <x:f>IF(C101="","",IFERROR(IF(INDEX('Facilities'!$E$9:$E$108,MATCH(C101,'Facilities'!$C$9:$C$108,0))="","",INDEX('Facilities'!$E$9:$E$108,MATCH(C101,'Facilities'!$C$9:$C$108,0))),""))</x:f>
      </x:c>
      <x:c r="F101" s="9" t="str">
        <x:f>IF(C101="","",IFERROR(IF(INDEX('Facilities'!$U$9:$U$108,MATCH(C101,'Facilities'!$C$9:$C$108,0))="","",INDEX('Facilities'!$U$9:$U$108,MATCH(C101,'Facilities'!$C$9:$C$108,0))),""))</x:f>
      </x:c>
      <x:c r="G101" s="23" t="str">
        <x:f>IF(C101="","",IFERROR(IF(INDEX('Facilities'!$AA$9:$AA$108,MATCH(C101,'Facilities'!$C$9:$C$108,0))="","",INDEX('Facilities'!$AA$9:$AA$108,MATCH(C101,'Facilities'!$C$9:$C$108,0))),""))</x:f>
      </x:c>
      <x:c r="H101" s="23" t="str">
        <x:f>IF(C101="","",IFERROR(IF(INDEX('Inventory'!$N$9:$N$108,MATCH(F101,'Inventory'!$C$9:$C$108,0))="","",INDEX('Inventory'!$N$9:$N$108,MATCH(F101,'Inventory'!$C$9:$C$108,0))),""))</x:f>
      </x:c>
      <x:c r="I101" s="17" t="str">
        <x:f>IF(R101="Ready",G101/H101,"")</x:f>
      </x:c>
      <x:c r="J101" s="23" t="str">
        <x:f>IF(AND(R101="Ready",S101="Ready"),I101*IFERROR(IF(INDEX('Inventory'!$T$9:$T$108,MATCH(F101,'Inventory'!$C$9:$C$108,0))="","",INDEX('Inventory'!$T$9:$T$108,MATCH(F101,'Inventory'!$C$9:$C$108,0))),""),"")</x:f>
      </x:c>
      <x:c r="K101" s="23" t="str">
        <x:f>IF(AND(R101="Ready",T101="Ready"),I101*IFERROR(IF(INDEX('Inventory'!$Z$9:$Z$108,MATCH(F101,'Inventory'!$C$9:$C$108,0))="","",INDEX('Inventory'!$Z$9:$Z$108,MATCH(F101,'Inventory'!$C$9:$C$108,0))),""),"")</x:f>
      </x:c>
      <x:c r="L101" s="23" t="str">
        <x:f>IF(AND(R101="Ready",U101="Ready"),I101*IFERROR(IF(INDEX('Inventory'!$AG$9:$AG$108,MATCH(F101,'Inventory'!$C$9:$C$108,0))="","",INDEX('Inventory'!$AG$9:$AG$108,MATCH(F101,'Inventory'!$C$9:$C$108,0))),""),"")</x:f>
      </x:c>
      <x:c r="M101" s="21" t="n">
        <x:f>IF(AND(R101="Ready",S101="Ready",T101="Ready"),G101,0)</x:f>
        <x:v>0</x:v>
      </x:c>
      <x:c r="N101" s="21" t="n">
        <x:f>IF(AND(R101="Ready",U101="Ready"),G101,0)</x:f>
        <x:v>0</x:v>
      </x:c>
      <x:c r="O101" s="42" t="str">
        <x:f>IF(C101="","",IFERROR(IF(INDEX('Inventory'!$U$9:$U$108,MATCH(F101,'Inventory'!$C$9:$C$108,0))="","",INDEX('Inventory'!$U$9:$U$108,MATCH(F101,'Inventory'!$C$9:$C$108,0))),""))</x:f>
      </x:c>
      <x:c r="P101" s="42" t="str">
        <x:f>IF(C101="","",IFERROR(IF(INDEX('Inventory'!$AA$9:$AA$108,MATCH(F101,'Inventory'!$C$9:$C$108,0))="","",INDEX('Inventory'!$AA$9:$AA$108,MATCH(F101,'Inventory'!$C$9:$C$108,0))),""))</x:f>
      </x:c>
      <x:c r="Q101" s="42" t="str">
        <x:f>IF(C101="","",IFERROR(IF(INDEX('Inventory'!$AH$9:$AH$108,MATCH(F101,'Inventory'!$C$9:$C$108,0))="","",INDEX('Inventory'!$AH$9:$AH$108,MATCH(F101,'Inventory'!$C$9:$C$108,0))),""))</x:f>
      </x:c>
      <x:c r="R101" s="9" t="str">
        <x:f>IF(C101="","",IF(COUNTIFS('Facilities'!$C$9:$C$108,C101)&lt;&gt;1,"Duplicate facility ID",IF(OR(NOT(ISNUMBER(IFERROR(IF(INDEX('Facilities'!$G$9:$G$108,MATCH(C101,'Facilities'!$C$9:$C$108,0))="","",INDEX('Facilities'!$G$9:$G$108,MATCH(C101,'Facilities'!$C$9:$C$108,0))),""))),NOT(ISNUMBER(G101)),G101&lt;0,IFERROR(IF(INDEX('Facilities'!$Z$9:$Z$108,MATCH(C101,'Facilities'!$C$9:$C$108,0))="","",INDEX('Facilities'!$Z$9:$Z$108,MATCH(C101,'Facilities'!$C$9:$C$108,0))),"")&lt;=0),"Drawn value required",IF(COUNTIFS('Inventory'!$C$9:$C$108,F101)&lt;&gt;1,"Entity required",IF(OR(E101&lt;&gt;IFERROR(IF(INDEX('Inventory'!$F$9:$F$108,MATCH(F101,'Inventory'!$C$9:$C$108,0))="","",INDEX('Inventory'!$F$9:$F$108,MATCH(F101,'Inventory'!$C$9:$C$108,0))),""),D101&lt;&gt;IFERROR(IF(INDEX('Inventory'!$D$9:$D$108,MATCH(F101,'Inventory'!$C$9:$C$108,0))="","",INDEX('Inventory'!$D$9:$D$108,MATCH(F101,'Inventory'!$C$9:$C$108,0))),"")),"Entity / class mismatch",IF(IFERROR(IF(INDEX('Inventory'!$AL$9:$AL$108,MATCH(F101,'Inventory'!$C$9:$C$108,0))="","",INDEX('Inventory'!$AL$9:$AL$108,MATCH(F101,'Inventory'!$C$9:$C$108,0))),"")&lt;&gt;"Ready",IFERROR(IF(INDEX('Inventory'!$AL$9:$AL$108,MATCH(F101,'Inventory'!$C$9:$C$108,0))="","",INDEX('Inventory'!$AL$9:$AL$108,MATCH(F101,'Inventory'!$C$9:$C$108,0))),""),IF(AND(OR(E101="Project finance",E101="CRE",E101="Mortgage",E101="Motor"),IFERROR(IF(INDEX('Facilities'!$V$9:$V$108,MATCH(C101,'Facilities'!$C$9:$C$108,0))="","",INDEX('Facilities'!$V$9:$V$108,MATCH(C101,'Facilities'!$C$9:$C$108,0))),"")&lt;&gt;"Designated asset"),"Purpose review",IF(X101&gt;H101,"Exposure exceeds value","Ready"))))))))</x:f>
      </x:c>
      <x:c r="S101" s="9" t="str">
        <x:f>IF(C101="","",IFERROR(IF(INDEX('Inventory'!$V$9:$V$108,MATCH(F101,'Inventory'!$C$9:$C$108,0))="","",INDEX('Inventory'!$V$9:$V$108,MATCH(F101,'Inventory'!$C$9:$C$108,0))),""))</x:f>
      </x:c>
      <x:c r="T101" s="9" t="str">
        <x:f>IF(C101="","",IFERROR(IF(INDEX('Inventory'!$AB$9:$AB$108,MATCH(F101,'Inventory'!$C$9:$C$108,0))="","",INDEX('Inventory'!$AB$9:$AB$108,MATCH(F101,'Inventory'!$C$9:$C$108,0))),""))</x:f>
      </x:c>
      <x:c r="U101" s="9" t="str">
        <x:f>IF(C101="","",IFERROR(IF(INDEX('Inventory'!$AI$9:$AI$108,MATCH(F101,'Inventory'!$C$9:$C$108,0))="","",INDEX('Inventory'!$AI$9:$AI$108,MATCH(F101,'Inventory'!$C$9:$C$108,0))),""))</x:f>
      </x:c>
      <x:c r="V101" s="43" t="str">
        <x:f>IF(C101="","",IFERROR(IF(INDEX('Inventory'!$P$9:$P$108,MATCH(F101,'Inventory'!$C$9:$C$108,0))="","",INDEX('Inventory'!$P$9:$P$108,MATCH(F101,'Inventory'!$C$9:$C$108,0))),""))</x:f>
      </x:c>
      <x:c r="W101" s="3" t="str">
        <x:f>IF(C101="","",IF(E101="Corporate listed","PCAF 2025 pp40-46",IF(E101="Corporate private","PCAF 2025 pp55-60",IF(E101="Project finance","PCAF 2025 pp67-71",IF(E101="CRE","PCAF 2025 pp77-81",IF(E101="Mortgage","PCAF 2025 pp83-87",IF(E101="Motor","PCAF 2025 pp90-94","Method required")))))))</x:f>
      </x:c>
      <x:c r="X101" s="23" t="str">
        <x:f>IF(C101="","",SUMIFS('Facilities'!$AA$9:$AA$108,'Facilities'!$U$9:$U$108,F101))</x:f>
      </x:c>
      <x:c r="Y101" s="21" t="n">
        <x:f>IF(AND(R101="Ready",S101="Ready"),G101,0)</x:f>
        <x:v>0</x:v>
      </x:c>
      <x:c r="Z101" s="21" t="n">
        <x:f>IF(AND(R101="Ready",T101="Ready"),G101,0)</x:f>
        <x:v>0</x:v>
      </x:c>
      <x:c r="AA101" s="21" t="n">
        <x:f>IF(Y101&gt;0,Y101*O101,0)</x:f>
        <x:v>0</x:v>
      </x:c>
      <x:c r="AB101" s="21" t="n">
        <x:f>IF(Z101&gt;0,Z101*P101,0)</x:f>
        <x:v>0</x:v>
      </x:c>
      <x:c r="AC101" s="21" t="n">
        <x:f>IF(N101&gt;0,N101*Q101,0)</x:f>
        <x:v>0</x:v>
      </x:c>
      <x:c r="AD101" s="21" t="n">
        <x:f>IF(M101&gt;0,M101*MAX(O101,P101),0)</x:f>
        <x:v>0</x:v>
      </x:c>
      <x:c r="AE101" s="9" t="str">
        <x:f>IF(C101="","",IFERROR(IF(INDEX('Inventory'!$AC$9:$AC$108,MATCH(F101,'Inventory'!$C$9:$C$108,0))="","",INDEX('Inventory'!$AC$9:$AC$108,MATCH(F101,'Inventory'!$C$9:$C$108,0))),""))</x:f>
      </x:c>
      <x:c r="AF101" s="9" t="str">
        <x:f>IF(C101="","",IFERROR(IF(INDEX('Inventory'!$AN$9:$AN$108,MATCH(F101,'Inventory'!$C$9:$C$108,0))="","",INDEX('Inventory'!$AN$9:$AN$108,MATCH(F101,'Inventory'!$C$9:$C$108,0))),""))</x:f>
      </x:c>
    </x:row>
    <x:row r="102" ht="26" customHeight="1">
      <x:c r="A102" s="1"/>
      <x:c r="B102" s="1"/>
      <x:c r="C102" s="9" t="str">
        <x:f>IF('Facilities'!C102="","",'Facilities'!C102)</x:f>
      </x:c>
      <x:c r="D102" s="9" t="str">
        <x:f>IF(C102="","",IFERROR(IF(INDEX('Facilities'!$D$9:$D$108,MATCH(C102,'Facilities'!$C$9:$C$108,0))="","",INDEX('Facilities'!$D$9:$D$108,MATCH(C102,'Facilities'!$C$9:$C$108,0))),""))</x:f>
      </x:c>
      <x:c r="E102" s="9" t="str">
        <x:f>IF(C102="","",IFERROR(IF(INDEX('Facilities'!$E$9:$E$108,MATCH(C102,'Facilities'!$C$9:$C$108,0))="","",INDEX('Facilities'!$E$9:$E$108,MATCH(C102,'Facilities'!$C$9:$C$108,0))),""))</x:f>
      </x:c>
      <x:c r="F102" s="9" t="str">
        <x:f>IF(C102="","",IFERROR(IF(INDEX('Facilities'!$U$9:$U$108,MATCH(C102,'Facilities'!$C$9:$C$108,0))="","",INDEX('Facilities'!$U$9:$U$108,MATCH(C102,'Facilities'!$C$9:$C$108,0))),""))</x:f>
      </x:c>
      <x:c r="G102" s="23" t="str">
        <x:f>IF(C102="","",IFERROR(IF(INDEX('Facilities'!$AA$9:$AA$108,MATCH(C102,'Facilities'!$C$9:$C$108,0))="","",INDEX('Facilities'!$AA$9:$AA$108,MATCH(C102,'Facilities'!$C$9:$C$108,0))),""))</x:f>
      </x:c>
      <x:c r="H102" s="23" t="str">
        <x:f>IF(C102="","",IFERROR(IF(INDEX('Inventory'!$N$9:$N$108,MATCH(F102,'Inventory'!$C$9:$C$108,0))="","",INDEX('Inventory'!$N$9:$N$108,MATCH(F102,'Inventory'!$C$9:$C$108,0))),""))</x:f>
      </x:c>
      <x:c r="I102" s="17" t="str">
        <x:f>IF(R102="Ready",G102/H102,"")</x:f>
      </x:c>
      <x:c r="J102" s="23" t="str">
        <x:f>IF(AND(R102="Ready",S102="Ready"),I102*IFERROR(IF(INDEX('Inventory'!$T$9:$T$108,MATCH(F102,'Inventory'!$C$9:$C$108,0))="","",INDEX('Inventory'!$T$9:$T$108,MATCH(F102,'Inventory'!$C$9:$C$108,0))),""),"")</x:f>
      </x:c>
      <x:c r="K102" s="23" t="str">
        <x:f>IF(AND(R102="Ready",T102="Ready"),I102*IFERROR(IF(INDEX('Inventory'!$Z$9:$Z$108,MATCH(F102,'Inventory'!$C$9:$C$108,0))="","",INDEX('Inventory'!$Z$9:$Z$108,MATCH(F102,'Inventory'!$C$9:$C$108,0))),""),"")</x:f>
      </x:c>
      <x:c r="L102" s="23" t="str">
        <x:f>IF(AND(R102="Ready",U102="Ready"),I102*IFERROR(IF(INDEX('Inventory'!$AG$9:$AG$108,MATCH(F102,'Inventory'!$C$9:$C$108,0))="","",INDEX('Inventory'!$AG$9:$AG$108,MATCH(F102,'Inventory'!$C$9:$C$108,0))),""),"")</x:f>
      </x:c>
      <x:c r="M102" s="21" t="n">
        <x:f>IF(AND(R102="Ready",S102="Ready",T102="Ready"),G102,0)</x:f>
        <x:v>0</x:v>
      </x:c>
      <x:c r="N102" s="21" t="n">
        <x:f>IF(AND(R102="Ready",U102="Ready"),G102,0)</x:f>
        <x:v>0</x:v>
      </x:c>
      <x:c r="O102" s="42" t="str">
        <x:f>IF(C102="","",IFERROR(IF(INDEX('Inventory'!$U$9:$U$108,MATCH(F102,'Inventory'!$C$9:$C$108,0))="","",INDEX('Inventory'!$U$9:$U$108,MATCH(F102,'Inventory'!$C$9:$C$108,0))),""))</x:f>
      </x:c>
      <x:c r="P102" s="42" t="str">
        <x:f>IF(C102="","",IFERROR(IF(INDEX('Inventory'!$AA$9:$AA$108,MATCH(F102,'Inventory'!$C$9:$C$108,0))="","",INDEX('Inventory'!$AA$9:$AA$108,MATCH(F102,'Inventory'!$C$9:$C$108,0))),""))</x:f>
      </x:c>
      <x:c r="Q102" s="42" t="str">
        <x:f>IF(C102="","",IFERROR(IF(INDEX('Inventory'!$AH$9:$AH$108,MATCH(F102,'Inventory'!$C$9:$C$108,0))="","",INDEX('Inventory'!$AH$9:$AH$108,MATCH(F102,'Inventory'!$C$9:$C$108,0))),""))</x:f>
      </x:c>
      <x:c r="R102" s="9" t="str">
        <x:f>IF(C102="","",IF(COUNTIFS('Facilities'!$C$9:$C$108,C102)&lt;&gt;1,"Duplicate facility ID",IF(OR(NOT(ISNUMBER(IFERROR(IF(INDEX('Facilities'!$G$9:$G$108,MATCH(C102,'Facilities'!$C$9:$C$108,0))="","",INDEX('Facilities'!$G$9:$G$108,MATCH(C102,'Facilities'!$C$9:$C$108,0))),""))),NOT(ISNUMBER(G102)),G102&lt;0,IFERROR(IF(INDEX('Facilities'!$Z$9:$Z$108,MATCH(C102,'Facilities'!$C$9:$C$108,0))="","",INDEX('Facilities'!$Z$9:$Z$108,MATCH(C102,'Facilities'!$C$9:$C$108,0))),"")&lt;=0),"Drawn value required",IF(COUNTIFS('Inventory'!$C$9:$C$108,F102)&lt;&gt;1,"Entity required",IF(OR(E102&lt;&gt;IFERROR(IF(INDEX('Inventory'!$F$9:$F$108,MATCH(F102,'Inventory'!$C$9:$C$108,0))="","",INDEX('Inventory'!$F$9:$F$108,MATCH(F102,'Inventory'!$C$9:$C$108,0))),""),D102&lt;&gt;IFERROR(IF(INDEX('Inventory'!$D$9:$D$108,MATCH(F102,'Inventory'!$C$9:$C$108,0))="","",INDEX('Inventory'!$D$9:$D$108,MATCH(F102,'Inventory'!$C$9:$C$108,0))),"")),"Entity / class mismatch",IF(IFERROR(IF(INDEX('Inventory'!$AL$9:$AL$108,MATCH(F102,'Inventory'!$C$9:$C$108,0))="","",INDEX('Inventory'!$AL$9:$AL$108,MATCH(F102,'Inventory'!$C$9:$C$108,0))),"")&lt;&gt;"Ready",IFERROR(IF(INDEX('Inventory'!$AL$9:$AL$108,MATCH(F102,'Inventory'!$C$9:$C$108,0))="","",INDEX('Inventory'!$AL$9:$AL$108,MATCH(F102,'Inventory'!$C$9:$C$108,0))),""),IF(AND(OR(E102="Project finance",E102="CRE",E102="Mortgage",E102="Motor"),IFERROR(IF(INDEX('Facilities'!$V$9:$V$108,MATCH(C102,'Facilities'!$C$9:$C$108,0))="","",INDEX('Facilities'!$V$9:$V$108,MATCH(C102,'Facilities'!$C$9:$C$108,0))),"")&lt;&gt;"Designated asset"),"Purpose review",IF(X102&gt;H102,"Exposure exceeds value","Ready"))))))))</x:f>
      </x:c>
      <x:c r="S102" s="9" t="str">
        <x:f>IF(C102="","",IFERROR(IF(INDEX('Inventory'!$V$9:$V$108,MATCH(F102,'Inventory'!$C$9:$C$108,0))="","",INDEX('Inventory'!$V$9:$V$108,MATCH(F102,'Inventory'!$C$9:$C$108,0))),""))</x:f>
      </x:c>
      <x:c r="T102" s="9" t="str">
        <x:f>IF(C102="","",IFERROR(IF(INDEX('Inventory'!$AB$9:$AB$108,MATCH(F102,'Inventory'!$C$9:$C$108,0))="","",INDEX('Inventory'!$AB$9:$AB$108,MATCH(F102,'Inventory'!$C$9:$C$108,0))),""))</x:f>
      </x:c>
      <x:c r="U102" s="9" t="str">
        <x:f>IF(C102="","",IFERROR(IF(INDEX('Inventory'!$AI$9:$AI$108,MATCH(F102,'Inventory'!$C$9:$C$108,0))="","",INDEX('Inventory'!$AI$9:$AI$108,MATCH(F102,'Inventory'!$C$9:$C$108,0))),""))</x:f>
      </x:c>
      <x:c r="V102" s="43" t="str">
        <x:f>IF(C102="","",IFERROR(IF(INDEX('Inventory'!$P$9:$P$108,MATCH(F102,'Inventory'!$C$9:$C$108,0))="","",INDEX('Inventory'!$P$9:$P$108,MATCH(F102,'Inventory'!$C$9:$C$108,0))),""))</x:f>
      </x:c>
      <x:c r="W102" s="3" t="str">
        <x:f>IF(C102="","",IF(E102="Corporate listed","PCAF 2025 pp40-46",IF(E102="Corporate private","PCAF 2025 pp55-60",IF(E102="Project finance","PCAF 2025 pp67-71",IF(E102="CRE","PCAF 2025 pp77-81",IF(E102="Mortgage","PCAF 2025 pp83-87",IF(E102="Motor","PCAF 2025 pp90-94","Method required")))))))</x:f>
      </x:c>
      <x:c r="X102" s="23" t="str">
        <x:f>IF(C102="","",SUMIFS('Facilities'!$AA$9:$AA$108,'Facilities'!$U$9:$U$108,F102))</x:f>
      </x:c>
      <x:c r="Y102" s="21" t="n">
        <x:f>IF(AND(R102="Ready",S102="Ready"),G102,0)</x:f>
        <x:v>0</x:v>
      </x:c>
      <x:c r="Z102" s="21" t="n">
        <x:f>IF(AND(R102="Ready",T102="Ready"),G102,0)</x:f>
        <x:v>0</x:v>
      </x:c>
      <x:c r="AA102" s="21" t="n">
        <x:f>IF(Y102&gt;0,Y102*O102,0)</x:f>
        <x:v>0</x:v>
      </x:c>
      <x:c r="AB102" s="21" t="n">
        <x:f>IF(Z102&gt;0,Z102*P102,0)</x:f>
        <x:v>0</x:v>
      </x:c>
      <x:c r="AC102" s="21" t="n">
        <x:f>IF(N102&gt;0,N102*Q102,0)</x:f>
        <x:v>0</x:v>
      </x:c>
      <x:c r="AD102" s="21" t="n">
        <x:f>IF(M102&gt;0,M102*MAX(O102,P102),0)</x:f>
        <x:v>0</x:v>
      </x:c>
      <x:c r="AE102" s="9" t="str">
        <x:f>IF(C102="","",IFERROR(IF(INDEX('Inventory'!$AC$9:$AC$108,MATCH(F102,'Inventory'!$C$9:$C$108,0))="","",INDEX('Inventory'!$AC$9:$AC$108,MATCH(F102,'Inventory'!$C$9:$C$108,0))),""))</x:f>
      </x:c>
      <x:c r="AF102" s="9" t="str">
        <x:f>IF(C102="","",IFERROR(IF(INDEX('Inventory'!$AN$9:$AN$108,MATCH(F102,'Inventory'!$C$9:$C$108,0))="","",INDEX('Inventory'!$AN$9:$AN$108,MATCH(F102,'Inventory'!$C$9:$C$108,0))),""))</x:f>
      </x:c>
    </x:row>
    <x:row r="103" ht="26" customHeight="1">
      <x:c r="A103" s="1"/>
      <x:c r="B103" s="1"/>
      <x:c r="C103" s="9" t="str">
        <x:f>IF('Facilities'!C103="","",'Facilities'!C103)</x:f>
      </x:c>
      <x:c r="D103" s="9" t="str">
        <x:f>IF(C103="","",IFERROR(IF(INDEX('Facilities'!$D$9:$D$108,MATCH(C103,'Facilities'!$C$9:$C$108,0))="","",INDEX('Facilities'!$D$9:$D$108,MATCH(C103,'Facilities'!$C$9:$C$108,0))),""))</x:f>
      </x:c>
      <x:c r="E103" s="9" t="str">
        <x:f>IF(C103="","",IFERROR(IF(INDEX('Facilities'!$E$9:$E$108,MATCH(C103,'Facilities'!$C$9:$C$108,0))="","",INDEX('Facilities'!$E$9:$E$108,MATCH(C103,'Facilities'!$C$9:$C$108,0))),""))</x:f>
      </x:c>
      <x:c r="F103" s="9" t="str">
        <x:f>IF(C103="","",IFERROR(IF(INDEX('Facilities'!$U$9:$U$108,MATCH(C103,'Facilities'!$C$9:$C$108,0))="","",INDEX('Facilities'!$U$9:$U$108,MATCH(C103,'Facilities'!$C$9:$C$108,0))),""))</x:f>
      </x:c>
      <x:c r="G103" s="23" t="str">
        <x:f>IF(C103="","",IFERROR(IF(INDEX('Facilities'!$AA$9:$AA$108,MATCH(C103,'Facilities'!$C$9:$C$108,0))="","",INDEX('Facilities'!$AA$9:$AA$108,MATCH(C103,'Facilities'!$C$9:$C$108,0))),""))</x:f>
      </x:c>
      <x:c r="H103" s="23" t="str">
        <x:f>IF(C103="","",IFERROR(IF(INDEX('Inventory'!$N$9:$N$108,MATCH(F103,'Inventory'!$C$9:$C$108,0))="","",INDEX('Inventory'!$N$9:$N$108,MATCH(F103,'Inventory'!$C$9:$C$108,0))),""))</x:f>
      </x:c>
      <x:c r="I103" s="17" t="str">
        <x:f>IF(R103="Ready",G103/H103,"")</x:f>
      </x:c>
      <x:c r="J103" s="23" t="str">
        <x:f>IF(AND(R103="Ready",S103="Ready"),I103*IFERROR(IF(INDEX('Inventory'!$T$9:$T$108,MATCH(F103,'Inventory'!$C$9:$C$108,0))="","",INDEX('Inventory'!$T$9:$T$108,MATCH(F103,'Inventory'!$C$9:$C$108,0))),""),"")</x:f>
      </x:c>
      <x:c r="K103" s="23" t="str">
        <x:f>IF(AND(R103="Ready",T103="Ready"),I103*IFERROR(IF(INDEX('Inventory'!$Z$9:$Z$108,MATCH(F103,'Inventory'!$C$9:$C$108,0))="","",INDEX('Inventory'!$Z$9:$Z$108,MATCH(F103,'Inventory'!$C$9:$C$108,0))),""),"")</x:f>
      </x:c>
      <x:c r="L103" s="23" t="str">
        <x:f>IF(AND(R103="Ready",U103="Ready"),I103*IFERROR(IF(INDEX('Inventory'!$AG$9:$AG$108,MATCH(F103,'Inventory'!$C$9:$C$108,0))="","",INDEX('Inventory'!$AG$9:$AG$108,MATCH(F103,'Inventory'!$C$9:$C$108,0))),""),"")</x:f>
      </x:c>
      <x:c r="M103" s="21" t="n">
        <x:f>IF(AND(R103="Ready",S103="Ready",T103="Ready"),G103,0)</x:f>
        <x:v>0</x:v>
      </x:c>
      <x:c r="N103" s="21" t="n">
        <x:f>IF(AND(R103="Ready",U103="Ready"),G103,0)</x:f>
        <x:v>0</x:v>
      </x:c>
      <x:c r="O103" s="42" t="str">
        <x:f>IF(C103="","",IFERROR(IF(INDEX('Inventory'!$U$9:$U$108,MATCH(F103,'Inventory'!$C$9:$C$108,0))="","",INDEX('Inventory'!$U$9:$U$108,MATCH(F103,'Inventory'!$C$9:$C$108,0))),""))</x:f>
      </x:c>
      <x:c r="P103" s="42" t="str">
        <x:f>IF(C103="","",IFERROR(IF(INDEX('Inventory'!$AA$9:$AA$108,MATCH(F103,'Inventory'!$C$9:$C$108,0))="","",INDEX('Inventory'!$AA$9:$AA$108,MATCH(F103,'Inventory'!$C$9:$C$108,0))),""))</x:f>
      </x:c>
      <x:c r="Q103" s="42" t="str">
        <x:f>IF(C103="","",IFERROR(IF(INDEX('Inventory'!$AH$9:$AH$108,MATCH(F103,'Inventory'!$C$9:$C$108,0))="","",INDEX('Inventory'!$AH$9:$AH$108,MATCH(F103,'Inventory'!$C$9:$C$108,0))),""))</x:f>
      </x:c>
      <x:c r="R103" s="9" t="str">
        <x:f>IF(C103="","",IF(COUNTIFS('Facilities'!$C$9:$C$108,C103)&lt;&gt;1,"Duplicate facility ID",IF(OR(NOT(ISNUMBER(IFERROR(IF(INDEX('Facilities'!$G$9:$G$108,MATCH(C103,'Facilities'!$C$9:$C$108,0))="","",INDEX('Facilities'!$G$9:$G$108,MATCH(C103,'Facilities'!$C$9:$C$108,0))),""))),NOT(ISNUMBER(G103)),G103&lt;0,IFERROR(IF(INDEX('Facilities'!$Z$9:$Z$108,MATCH(C103,'Facilities'!$C$9:$C$108,0))="","",INDEX('Facilities'!$Z$9:$Z$108,MATCH(C103,'Facilities'!$C$9:$C$108,0))),"")&lt;=0),"Drawn value required",IF(COUNTIFS('Inventory'!$C$9:$C$108,F103)&lt;&gt;1,"Entity required",IF(OR(E103&lt;&gt;IFERROR(IF(INDEX('Inventory'!$F$9:$F$108,MATCH(F103,'Inventory'!$C$9:$C$108,0))="","",INDEX('Inventory'!$F$9:$F$108,MATCH(F103,'Inventory'!$C$9:$C$108,0))),""),D103&lt;&gt;IFERROR(IF(INDEX('Inventory'!$D$9:$D$108,MATCH(F103,'Inventory'!$C$9:$C$108,0))="","",INDEX('Inventory'!$D$9:$D$108,MATCH(F103,'Inventory'!$C$9:$C$108,0))),"")),"Entity / class mismatch",IF(IFERROR(IF(INDEX('Inventory'!$AL$9:$AL$108,MATCH(F103,'Inventory'!$C$9:$C$108,0))="","",INDEX('Inventory'!$AL$9:$AL$108,MATCH(F103,'Inventory'!$C$9:$C$108,0))),"")&lt;&gt;"Ready",IFERROR(IF(INDEX('Inventory'!$AL$9:$AL$108,MATCH(F103,'Inventory'!$C$9:$C$108,0))="","",INDEX('Inventory'!$AL$9:$AL$108,MATCH(F103,'Inventory'!$C$9:$C$108,0))),""),IF(AND(OR(E103="Project finance",E103="CRE",E103="Mortgage",E103="Motor"),IFERROR(IF(INDEX('Facilities'!$V$9:$V$108,MATCH(C103,'Facilities'!$C$9:$C$108,0))="","",INDEX('Facilities'!$V$9:$V$108,MATCH(C103,'Facilities'!$C$9:$C$108,0))),"")&lt;&gt;"Designated asset"),"Purpose review",IF(X103&gt;H103,"Exposure exceeds value","Ready"))))))))</x:f>
      </x:c>
      <x:c r="S103" s="9" t="str">
        <x:f>IF(C103="","",IFERROR(IF(INDEX('Inventory'!$V$9:$V$108,MATCH(F103,'Inventory'!$C$9:$C$108,0))="","",INDEX('Inventory'!$V$9:$V$108,MATCH(F103,'Inventory'!$C$9:$C$108,0))),""))</x:f>
      </x:c>
      <x:c r="T103" s="9" t="str">
        <x:f>IF(C103="","",IFERROR(IF(INDEX('Inventory'!$AB$9:$AB$108,MATCH(F103,'Inventory'!$C$9:$C$108,0))="","",INDEX('Inventory'!$AB$9:$AB$108,MATCH(F103,'Inventory'!$C$9:$C$108,0))),""))</x:f>
      </x:c>
      <x:c r="U103" s="9" t="str">
        <x:f>IF(C103="","",IFERROR(IF(INDEX('Inventory'!$AI$9:$AI$108,MATCH(F103,'Inventory'!$C$9:$C$108,0))="","",INDEX('Inventory'!$AI$9:$AI$108,MATCH(F103,'Inventory'!$C$9:$C$108,0))),""))</x:f>
      </x:c>
      <x:c r="V103" s="43" t="str">
        <x:f>IF(C103="","",IFERROR(IF(INDEX('Inventory'!$P$9:$P$108,MATCH(F103,'Inventory'!$C$9:$C$108,0))="","",INDEX('Inventory'!$P$9:$P$108,MATCH(F103,'Inventory'!$C$9:$C$108,0))),""))</x:f>
      </x:c>
      <x:c r="W103" s="3" t="str">
        <x:f>IF(C103="","",IF(E103="Corporate listed","PCAF 2025 pp40-46",IF(E103="Corporate private","PCAF 2025 pp55-60",IF(E103="Project finance","PCAF 2025 pp67-71",IF(E103="CRE","PCAF 2025 pp77-81",IF(E103="Mortgage","PCAF 2025 pp83-87",IF(E103="Motor","PCAF 2025 pp90-94","Method required")))))))</x:f>
      </x:c>
      <x:c r="X103" s="23" t="str">
        <x:f>IF(C103="","",SUMIFS('Facilities'!$AA$9:$AA$108,'Facilities'!$U$9:$U$108,F103))</x:f>
      </x:c>
      <x:c r="Y103" s="21" t="n">
        <x:f>IF(AND(R103="Ready",S103="Ready"),G103,0)</x:f>
        <x:v>0</x:v>
      </x:c>
      <x:c r="Z103" s="21" t="n">
        <x:f>IF(AND(R103="Ready",T103="Ready"),G103,0)</x:f>
        <x:v>0</x:v>
      </x:c>
      <x:c r="AA103" s="21" t="n">
        <x:f>IF(Y103&gt;0,Y103*O103,0)</x:f>
        <x:v>0</x:v>
      </x:c>
      <x:c r="AB103" s="21" t="n">
        <x:f>IF(Z103&gt;0,Z103*P103,0)</x:f>
        <x:v>0</x:v>
      </x:c>
      <x:c r="AC103" s="21" t="n">
        <x:f>IF(N103&gt;0,N103*Q103,0)</x:f>
        <x:v>0</x:v>
      </x:c>
      <x:c r="AD103" s="21" t="n">
        <x:f>IF(M103&gt;0,M103*MAX(O103,P103),0)</x:f>
        <x:v>0</x:v>
      </x:c>
      <x:c r="AE103" s="9" t="str">
        <x:f>IF(C103="","",IFERROR(IF(INDEX('Inventory'!$AC$9:$AC$108,MATCH(F103,'Inventory'!$C$9:$C$108,0))="","",INDEX('Inventory'!$AC$9:$AC$108,MATCH(F103,'Inventory'!$C$9:$C$108,0))),""))</x:f>
      </x:c>
      <x:c r="AF103" s="9" t="str">
        <x:f>IF(C103="","",IFERROR(IF(INDEX('Inventory'!$AN$9:$AN$108,MATCH(F103,'Inventory'!$C$9:$C$108,0))="","",INDEX('Inventory'!$AN$9:$AN$108,MATCH(F103,'Inventory'!$C$9:$C$108,0))),""))</x:f>
      </x:c>
    </x:row>
    <x:row r="104" ht="26" customHeight="1">
      <x:c r="A104" s="1"/>
      <x:c r="B104" s="1"/>
      <x:c r="C104" s="9" t="str">
        <x:f>IF('Facilities'!C104="","",'Facilities'!C104)</x:f>
      </x:c>
      <x:c r="D104" s="9" t="str">
        <x:f>IF(C104="","",IFERROR(IF(INDEX('Facilities'!$D$9:$D$108,MATCH(C104,'Facilities'!$C$9:$C$108,0))="","",INDEX('Facilities'!$D$9:$D$108,MATCH(C104,'Facilities'!$C$9:$C$108,0))),""))</x:f>
      </x:c>
      <x:c r="E104" s="9" t="str">
        <x:f>IF(C104="","",IFERROR(IF(INDEX('Facilities'!$E$9:$E$108,MATCH(C104,'Facilities'!$C$9:$C$108,0))="","",INDEX('Facilities'!$E$9:$E$108,MATCH(C104,'Facilities'!$C$9:$C$108,0))),""))</x:f>
      </x:c>
      <x:c r="F104" s="9" t="str">
        <x:f>IF(C104="","",IFERROR(IF(INDEX('Facilities'!$U$9:$U$108,MATCH(C104,'Facilities'!$C$9:$C$108,0))="","",INDEX('Facilities'!$U$9:$U$108,MATCH(C104,'Facilities'!$C$9:$C$108,0))),""))</x:f>
      </x:c>
      <x:c r="G104" s="23" t="str">
        <x:f>IF(C104="","",IFERROR(IF(INDEX('Facilities'!$AA$9:$AA$108,MATCH(C104,'Facilities'!$C$9:$C$108,0))="","",INDEX('Facilities'!$AA$9:$AA$108,MATCH(C104,'Facilities'!$C$9:$C$108,0))),""))</x:f>
      </x:c>
      <x:c r="H104" s="23" t="str">
        <x:f>IF(C104="","",IFERROR(IF(INDEX('Inventory'!$N$9:$N$108,MATCH(F104,'Inventory'!$C$9:$C$108,0))="","",INDEX('Inventory'!$N$9:$N$108,MATCH(F104,'Inventory'!$C$9:$C$108,0))),""))</x:f>
      </x:c>
      <x:c r="I104" s="17" t="str">
        <x:f>IF(R104="Ready",G104/H104,"")</x:f>
      </x:c>
      <x:c r="J104" s="23" t="str">
        <x:f>IF(AND(R104="Ready",S104="Ready"),I104*IFERROR(IF(INDEX('Inventory'!$T$9:$T$108,MATCH(F104,'Inventory'!$C$9:$C$108,0))="","",INDEX('Inventory'!$T$9:$T$108,MATCH(F104,'Inventory'!$C$9:$C$108,0))),""),"")</x:f>
      </x:c>
      <x:c r="K104" s="23" t="str">
        <x:f>IF(AND(R104="Ready",T104="Ready"),I104*IFERROR(IF(INDEX('Inventory'!$Z$9:$Z$108,MATCH(F104,'Inventory'!$C$9:$C$108,0))="","",INDEX('Inventory'!$Z$9:$Z$108,MATCH(F104,'Inventory'!$C$9:$C$108,0))),""),"")</x:f>
      </x:c>
      <x:c r="L104" s="23" t="str">
        <x:f>IF(AND(R104="Ready",U104="Ready"),I104*IFERROR(IF(INDEX('Inventory'!$AG$9:$AG$108,MATCH(F104,'Inventory'!$C$9:$C$108,0))="","",INDEX('Inventory'!$AG$9:$AG$108,MATCH(F104,'Inventory'!$C$9:$C$108,0))),""),"")</x:f>
      </x:c>
      <x:c r="M104" s="21" t="n">
        <x:f>IF(AND(R104="Ready",S104="Ready",T104="Ready"),G104,0)</x:f>
        <x:v>0</x:v>
      </x:c>
      <x:c r="N104" s="21" t="n">
        <x:f>IF(AND(R104="Ready",U104="Ready"),G104,0)</x:f>
        <x:v>0</x:v>
      </x:c>
      <x:c r="O104" s="42" t="str">
        <x:f>IF(C104="","",IFERROR(IF(INDEX('Inventory'!$U$9:$U$108,MATCH(F104,'Inventory'!$C$9:$C$108,0))="","",INDEX('Inventory'!$U$9:$U$108,MATCH(F104,'Inventory'!$C$9:$C$108,0))),""))</x:f>
      </x:c>
      <x:c r="P104" s="42" t="str">
        <x:f>IF(C104="","",IFERROR(IF(INDEX('Inventory'!$AA$9:$AA$108,MATCH(F104,'Inventory'!$C$9:$C$108,0))="","",INDEX('Inventory'!$AA$9:$AA$108,MATCH(F104,'Inventory'!$C$9:$C$108,0))),""))</x:f>
      </x:c>
      <x:c r="Q104" s="42" t="str">
        <x:f>IF(C104="","",IFERROR(IF(INDEX('Inventory'!$AH$9:$AH$108,MATCH(F104,'Inventory'!$C$9:$C$108,0))="","",INDEX('Inventory'!$AH$9:$AH$108,MATCH(F104,'Inventory'!$C$9:$C$108,0))),""))</x:f>
      </x:c>
      <x:c r="R104" s="9" t="str">
        <x:f>IF(C104="","",IF(COUNTIFS('Facilities'!$C$9:$C$108,C104)&lt;&gt;1,"Duplicate facility ID",IF(OR(NOT(ISNUMBER(IFERROR(IF(INDEX('Facilities'!$G$9:$G$108,MATCH(C104,'Facilities'!$C$9:$C$108,0))="","",INDEX('Facilities'!$G$9:$G$108,MATCH(C104,'Facilities'!$C$9:$C$108,0))),""))),NOT(ISNUMBER(G104)),G104&lt;0,IFERROR(IF(INDEX('Facilities'!$Z$9:$Z$108,MATCH(C104,'Facilities'!$C$9:$C$108,0))="","",INDEX('Facilities'!$Z$9:$Z$108,MATCH(C104,'Facilities'!$C$9:$C$108,0))),"")&lt;=0),"Drawn value required",IF(COUNTIFS('Inventory'!$C$9:$C$108,F104)&lt;&gt;1,"Entity required",IF(OR(E104&lt;&gt;IFERROR(IF(INDEX('Inventory'!$F$9:$F$108,MATCH(F104,'Inventory'!$C$9:$C$108,0))="","",INDEX('Inventory'!$F$9:$F$108,MATCH(F104,'Inventory'!$C$9:$C$108,0))),""),D104&lt;&gt;IFERROR(IF(INDEX('Inventory'!$D$9:$D$108,MATCH(F104,'Inventory'!$C$9:$C$108,0))="","",INDEX('Inventory'!$D$9:$D$108,MATCH(F104,'Inventory'!$C$9:$C$108,0))),"")),"Entity / class mismatch",IF(IFERROR(IF(INDEX('Inventory'!$AL$9:$AL$108,MATCH(F104,'Inventory'!$C$9:$C$108,0))="","",INDEX('Inventory'!$AL$9:$AL$108,MATCH(F104,'Inventory'!$C$9:$C$108,0))),"")&lt;&gt;"Ready",IFERROR(IF(INDEX('Inventory'!$AL$9:$AL$108,MATCH(F104,'Inventory'!$C$9:$C$108,0))="","",INDEX('Inventory'!$AL$9:$AL$108,MATCH(F104,'Inventory'!$C$9:$C$108,0))),""),IF(AND(OR(E104="Project finance",E104="CRE",E104="Mortgage",E104="Motor"),IFERROR(IF(INDEX('Facilities'!$V$9:$V$108,MATCH(C104,'Facilities'!$C$9:$C$108,0))="","",INDEX('Facilities'!$V$9:$V$108,MATCH(C104,'Facilities'!$C$9:$C$108,0))),"")&lt;&gt;"Designated asset"),"Purpose review",IF(X104&gt;H104,"Exposure exceeds value","Ready"))))))))</x:f>
      </x:c>
      <x:c r="S104" s="9" t="str">
        <x:f>IF(C104="","",IFERROR(IF(INDEX('Inventory'!$V$9:$V$108,MATCH(F104,'Inventory'!$C$9:$C$108,0))="","",INDEX('Inventory'!$V$9:$V$108,MATCH(F104,'Inventory'!$C$9:$C$108,0))),""))</x:f>
      </x:c>
      <x:c r="T104" s="9" t="str">
        <x:f>IF(C104="","",IFERROR(IF(INDEX('Inventory'!$AB$9:$AB$108,MATCH(F104,'Inventory'!$C$9:$C$108,0))="","",INDEX('Inventory'!$AB$9:$AB$108,MATCH(F104,'Inventory'!$C$9:$C$108,0))),""))</x:f>
      </x:c>
      <x:c r="U104" s="9" t="str">
        <x:f>IF(C104="","",IFERROR(IF(INDEX('Inventory'!$AI$9:$AI$108,MATCH(F104,'Inventory'!$C$9:$C$108,0))="","",INDEX('Inventory'!$AI$9:$AI$108,MATCH(F104,'Inventory'!$C$9:$C$108,0))),""))</x:f>
      </x:c>
      <x:c r="V104" s="43" t="str">
        <x:f>IF(C104="","",IFERROR(IF(INDEX('Inventory'!$P$9:$P$108,MATCH(F104,'Inventory'!$C$9:$C$108,0))="","",INDEX('Inventory'!$P$9:$P$108,MATCH(F104,'Inventory'!$C$9:$C$108,0))),""))</x:f>
      </x:c>
      <x:c r="W104" s="3" t="str">
        <x:f>IF(C104="","",IF(E104="Corporate listed","PCAF 2025 pp40-46",IF(E104="Corporate private","PCAF 2025 pp55-60",IF(E104="Project finance","PCAF 2025 pp67-71",IF(E104="CRE","PCAF 2025 pp77-81",IF(E104="Mortgage","PCAF 2025 pp83-87",IF(E104="Motor","PCAF 2025 pp90-94","Method required")))))))</x:f>
      </x:c>
      <x:c r="X104" s="23" t="str">
        <x:f>IF(C104="","",SUMIFS('Facilities'!$AA$9:$AA$108,'Facilities'!$U$9:$U$108,F104))</x:f>
      </x:c>
      <x:c r="Y104" s="21" t="n">
        <x:f>IF(AND(R104="Ready",S104="Ready"),G104,0)</x:f>
        <x:v>0</x:v>
      </x:c>
      <x:c r="Z104" s="21" t="n">
        <x:f>IF(AND(R104="Ready",T104="Ready"),G104,0)</x:f>
        <x:v>0</x:v>
      </x:c>
      <x:c r="AA104" s="21" t="n">
        <x:f>IF(Y104&gt;0,Y104*O104,0)</x:f>
        <x:v>0</x:v>
      </x:c>
      <x:c r="AB104" s="21" t="n">
        <x:f>IF(Z104&gt;0,Z104*P104,0)</x:f>
        <x:v>0</x:v>
      </x:c>
      <x:c r="AC104" s="21" t="n">
        <x:f>IF(N104&gt;0,N104*Q104,0)</x:f>
        <x:v>0</x:v>
      </x:c>
      <x:c r="AD104" s="21" t="n">
        <x:f>IF(M104&gt;0,M104*MAX(O104,P104),0)</x:f>
        <x:v>0</x:v>
      </x:c>
      <x:c r="AE104" s="9" t="str">
        <x:f>IF(C104="","",IFERROR(IF(INDEX('Inventory'!$AC$9:$AC$108,MATCH(F104,'Inventory'!$C$9:$C$108,0))="","",INDEX('Inventory'!$AC$9:$AC$108,MATCH(F104,'Inventory'!$C$9:$C$108,0))),""))</x:f>
      </x:c>
      <x:c r="AF104" s="9" t="str">
        <x:f>IF(C104="","",IFERROR(IF(INDEX('Inventory'!$AN$9:$AN$108,MATCH(F104,'Inventory'!$C$9:$C$108,0))="","",INDEX('Inventory'!$AN$9:$AN$108,MATCH(F104,'Inventory'!$C$9:$C$108,0))),""))</x:f>
      </x:c>
    </x:row>
    <x:row r="105" ht="26" customHeight="1">
      <x:c r="A105" s="1"/>
      <x:c r="B105" s="1"/>
      <x:c r="C105" s="9" t="str">
        <x:f>IF('Facilities'!C105="","",'Facilities'!C105)</x:f>
      </x:c>
      <x:c r="D105" s="9" t="str">
        <x:f>IF(C105="","",IFERROR(IF(INDEX('Facilities'!$D$9:$D$108,MATCH(C105,'Facilities'!$C$9:$C$108,0))="","",INDEX('Facilities'!$D$9:$D$108,MATCH(C105,'Facilities'!$C$9:$C$108,0))),""))</x:f>
      </x:c>
      <x:c r="E105" s="9" t="str">
        <x:f>IF(C105="","",IFERROR(IF(INDEX('Facilities'!$E$9:$E$108,MATCH(C105,'Facilities'!$C$9:$C$108,0))="","",INDEX('Facilities'!$E$9:$E$108,MATCH(C105,'Facilities'!$C$9:$C$108,0))),""))</x:f>
      </x:c>
      <x:c r="F105" s="9" t="str">
        <x:f>IF(C105="","",IFERROR(IF(INDEX('Facilities'!$U$9:$U$108,MATCH(C105,'Facilities'!$C$9:$C$108,0))="","",INDEX('Facilities'!$U$9:$U$108,MATCH(C105,'Facilities'!$C$9:$C$108,0))),""))</x:f>
      </x:c>
      <x:c r="G105" s="23" t="str">
        <x:f>IF(C105="","",IFERROR(IF(INDEX('Facilities'!$AA$9:$AA$108,MATCH(C105,'Facilities'!$C$9:$C$108,0))="","",INDEX('Facilities'!$AA$9:$AA$108,MATCH(C105,'Facilities'!$C$9:$C$108,0))),""))</x:f>
      </x:c>
      <x:c r="H105" s="23" t="str">
        <x:f>IF(C105="","",IFERROR(IF(INDEX('Inventory'!$N$9:$N$108,MATCH(F105,'Inventory'!$C$9:$C$108,0))="","",INDEX('Inventory'!$N$9:$N$108,MATCH(F105,'Inventory'!$C$9:$C$108,0))),""))</x:f>
      </x:c>
      <x:c r="I105" s="17" t="str">
        <x:f>IF(R105="Ready",G105/H105,"")</x:f>
      </x:c>
      <x:c r="J105" s="23" t="str">
        <x:f>IF(AND(R105="Ready",S105="Ready"),I105*IFERROR(IF(INDEX('Inventory'!$T$9:$T$108,MATCH(F105,'Inventory'!$C$9:$C$108,0))="","",INDEX('Inventory'!$T$9:$T$108,MATCH(F105,'Inventory'!$C$9:$C$108,0))),""),"")</x:f>
      </x:c>
      <x:c r="K105" s="23" t="str">
        <x:f>IF(AND(R105="Ready",T105="Ready"),I105*IFERROR(IF(INDEX('Inventory'!$Z$9:$Z$108,MATCH(F105,'Inventory'!$C$9:$C$108,0))="","",INDEX('Inventory'!$Z$9:$Z$108,MATCH(F105,'Inventory'!$C$9:$C$108,0))),""),"")</x:f>
      </x:c>
      <x:c r="L105" s="23" t="str">
        <x:f>IF(AND(R105="Ready",U105="Ready"),I105*IFERROR(IF(INDEX('Inventory'!$AG$9:$AG$108,MATCH(F105,'Inventory'!$C$9:$C$108,0))="","",INDEX('Inventory'!$AG$9:$AG$108,MATCH(F105,'Inventory'!$C$9:$C$108,0))),""),"")</x:f>
      </x:c>
      <x:c r="M105" s="21" t="n">
        <x:f>IF(AND(R105="Ready",S105="Ready",T105="Ready"),G105,0)</x:f>
        <x:v>0</x:v>
      </x:c>
      <x:c r="N105" s="21" t="n">
        <x:f>IF(AND(R105="Ready",U105="Ready"),G105,0)</x:f>
        <x:v>0</x:v>
      </x:c>
      <x:c r="O105" s="42" t="str">
        <x:f>IF(C105="","",IFERROR(IF(INDEX('Inventory'!$U$9:$U$108,MATCH(F105,'Inventory'!$C$9:$C$108,0))="","",INDEX('Inventory'!$U$9:$U$108,MATCH(F105,'Inventory'!$C$9:$C$108,0))),""))</x:f>
      </x:c>
      <x:c r="P105" s="42" t="str">
        <x:f>IF(C105="","",IFERROR(IF(INDEX('Inventory'!$AA$9:$AA$108,MATCH(F105,'Inventory'!$C$9:$C$108,0))="","",INDEX('Inventory'!$AA$9:$AA$108,MATCH(F105,'Inventory'!$C$9:$C$108,0))),""))</x:f>
      </x:c>
      <x:c r="Q105" s="42" t="str">
        <x:f>IF(C105="","",IFERROR(IF(INDEX('Inventory'!$AH$9:$AH$108,MATCH(F105,'Inventory'!$C$9:$C$108,0))="","",INDEX('Inventory'!$AH$9:$AH$108,MATCH(F105,'Inventory'!$C$9:$C$108,0))),""))</x:f>
      </x:c>
      <x:c r="R105" s="9" t="str">
        <x:f>IF(C105="","",IF(COUNTIFS('Facilities'!$C$9:$C$108,C105)&lt;&gt;1,"Duplicate facility ID",IF(OR(NOT(ISNUMBER(IFERROR(IF(INDEX('Facilities'!$G$9:$G$108,MATCH(C105,'Facilities'!$C$9:$C$108,0))="","",INDEX('Facilities'!$G$9:$G$108,MATCH(C105,'Facilities'!$C$9:$C$108,0))),""))),NOT(ISNUMBER(G105)),G105&lt;0,IFERROR(IF(INDEX('Facilities'!$Z$9:$Z$108,MATCH(C105,'Facilities'!$C$9:$C$108,0))="","",INDEX('Facilities'!$Z$9:$Z$108,MATCH(C105,'Facilities'!$C$9:$C$108,0))),"")&lt;=0),"Drawn value required",IF(COUNTIFS('Inventory'!$C$9:$C$108,F105)&lt;&gt;1,"Entity required",IF(OR(E105&lt;&gt;IFERROR(IF(INDEX('Inventory'!$F$9:$F$108,MATCH(F105,'Inventory'!$C$9:$C$108,0))="","",INDEX('Inventory'!$F$9:$F$108,MATCH(F105,'Inventory'!$C$9:$C$108,0))),""),D105&lt;&gt;IFERROR(IF(INDEX('Inventory'!$D$9:$D$108,MATCH(F105,'Inventory'!$C$9:$C$108,0))="","",INDEX('Inventory'!$D$9:$D$108,MATCH(F105,'Inventory'!$C$9:$C$108,0))),"")),"Entity / class mismatch",IF(IFERROR(IF(INDEX('Inventory'!$AL$9:$AL$108,MATCH(F105,'Inventory'!$C$9:$C$108,0))="","",INDEX('Inventory'!$AL$9:$AL$108,MATCH(F105,'Inventory'!$C$9:$C$108,0))),"")&lt;&gt;"Ready",IFERROR(IF(INDEX('Inventory'!$AL$9:$AL$108,MATCH(F105,'Inventory'!$C$9:$C$108,0))="","",INDEX('Inventory'!$AL$9:$AL$108,MATCH(F105,'Inventory'!$C$9:$C$108,0))),""),IF(AND(OR(E105="Project finance",E105="CRE",E105="Mortgage",E105="Motor"),IFERROR(IF(INDEX('Facilities'!$V$9:$V$108,MATCH(C105,'Facilities'!$C$9:$C$108,0))="","",INDEX('Facilities'!$V$9:$V$108,MATCH(C105,'Facilities'!$C$9:$C$108,0))),"")&lt;&gt;"Designated asset"),"Purpose review",IF(X105&gt;H105,"Exposure exceeds value","Ready"))))))))</x:f>
      </x:c>
      <x:c r="S105" s="9" t="str">
        <x:f>IF(C105="","",IFERROR(IF(INDEX('Inventory'!$V$9:$V$108,MATCH(F105,'Inventory'!$C$9:$C$108,0))="","",INDEX('Inventory'!$V$9:$V$108,MATCH(F105,'Inventory'!$C$9:$C$108,0))),""))</x:f>
      </x:c>
      <x:c r="T105" s="9" t="str">
        <x:f>IF(C105="","",IFERROR(IF(INDEX('Inventory'!$AB$9:$AB$108,MATCH(F105,'Inventory'!$C$9:$C$108,0))="","",INDEX('Inventory'!$AB$9:$AB$108,MATCH(F105,'Inventory'!$C$9:$C$108,0))),""))</x:f>
      </x:c>
      <x:c r="U105" s="9" t="str">
        <x:f>IF(C105="","",IFERROR(IF(INDEX('Inventory'!$AI$9:$AI$108,MATCH(F105,'Inventory'!$C$9:$C$108,0))="","",INDEX('Inventory'!$AI$9:$AI$108,MATCH(F105,'Inventory'!$C$9:$C$108,0))),""))</x:f>
      </x:c>
      <x:c r="V105" s="43" t="str">
        <x:f>IF(C105="","",IFERROR(IF(INDEX('Inventory'!$P$9:$P$108,MATCH(F105,'Inventory'!$C$9:$C$108,0))="","",INDEX('Inventory'!$P$9:$P$108,MATCH(F105,'Inventory'!$C$9:$C$108,0))),""))</x:f>
      </x:c>
      <x:c r="W105" s="3" t="str">
        <x:f>IF(C105="","",IF(E105="Corporate listed","PCAF 2025 pp40-46",IF(E105="Corporate private","PCAF 2025 pp55-60",IF(E105="Project finance","PCAF 2025 pp67-71",IF(E105="CRE","PCAF 2025 pp77-81",IF(E105="Mortgage","PCAF 2025 pp83-87",IF(E105="Motor","PCAF 2025 pp90-94","Method required")))))))</x:f>
      </x:c>
      <x:c r="X105" s="23" t="str">
        <x:f>IF(C105="","",SUMIFS('Facilities'!$AA$9:$AA$108,'Facilities'!$U$9:$U$108,F105))</x:f>
      </x:c>
      <x:c r="Y105" s="21" t="n">
        <x:f>IF(AND(R105="Ready",S105="Ready"),G105,0)</x:f>
        <x:v>0</x:v>
      </x:c>
      <x:c r="Z105" s="21" t="n">
        <x:f>IF(AND(R105="Ready",T105="Ready"),G105,0)</x:f>
        <x:v>0</x:v>
      </x:c>
      <x:c r="AA105" s="21" t="n">
        <x:f>IF(Y105&gt;0,Y105*O105,0)</x:f>
        <x:v>0</x:v>
      </x:c>
      <x:c r="AB105" s="21" t="n">
        <x:f>IF(Z105&gt;0,Z105*P105,0)</x:f>
        <x:v>0</x:v>
      </x:c>
      <x:c r="AC105" s="21" t="n">
        <x:f>IF(N105&gt;0,N105*Q105,0)</x:f>
        <x:v>0</x:v>
      </x:c>
      <x:c r="AD105" s="21" t="n">
        <x:f>IF(M105&gt;0,M105*MAX(O105,P105),0)</x:f>
        <x:v>0</x:v>
      </x:c>
      <x:c r="AE105" s="9" t="str">
        <x:f>IF(C105="","",IFERROR(IF(INDEX('Inventory'!$AC$9:$AC$108,MATCH(F105,'Inventory'!$C$9:$C$108,0))="","",INDEX('Inventory'!$AC$9:$AC$108,MATCH(F105,'Inventory'!$C$9:$C$108,0))),""))</x:f>
      </x:c>
      <x:c r="AF105" s="9" t="str">
        <x:f>IF(C105="","",IFERROR(IF(INDEX('Inventory'!$AN$9:$AN$108,MATCH(F105,'Inventory'!$C$9:$C$108,0))="","",INDEX('Inventory'!$AN$9:$AN$108,MATCH(F105,'Inventory'!$C$9:$C$108,0))),""))</x:f>
      </x:c>
    </x:row>
    <x:row r="106" ht="26" customHeight="1">
      <x:c r="A106" s="1"/>
      <x:c r="B106" s="1"/>
      <x:c r="C106" s="9" t="str">
        <x:f>IF('Facilities'!C106="","",'Facilities'!C106)</x:f>
      </x:c>
      <x:c r="D106" s="9" t="str">
        <x:f>IF(C106="","",IFERROR(IF(INDEX('Facilities'!$D$9:$D$108,MATCH(C106,'Facilities'!$C$9:$C$108,0))="","",INDEX('Facilities'!$D$9:$D$108,MATCH(C106,'Facilities'!$C$9:$C$108,0))),""))</x:f>
      </x:c>
      <x:c r="E106" s="9" t="str">
        <x:f>IF(C106="","",IFERROR(IF(INDEX('Facilities'!$E$9:$E$108,MATCH(C106,'Facilities'!$C$9:$C$108,0))="","",INDEX('Facilities'!$E$9:$E$108,MATCH(C106,'Facilities'!$C$9:$C$108,0))),""))</x:f>
      </x:c>
      <x:c r="F106" s="9" t="str">
        <x:f>IF(C106="","",IFERROR(IF(INDEX('Facilities'!$U$9:$U$108,MATCH(C106,'Facilities'!$C$9:$C$108,0))="","",INDEX('Facilities'!$U$9:$U$108,MATCH(C106,'Facilities'!$C$9:$C$108,0))),""))</x:f>
      </x:c>
      <x:c r="G106" s="23" t="str">
        <x:f>IF(C106="","",IFERROR(IF(INDEX('Facilities'!$AA$9:$AA$108,MATCH(C106,'Facilities'!$C$9:$C$108,0))="","",INDEX('Facilities'!$AA$9:$AA$108,MATCH(C106,'Facilities'!$C$9:$C$108,0))),""))</x:f>
      </x:c>
      <x:c r="H106" s="23" t="str">
        <x:f>IF(C106="","",IFERROR(IF(INDEX('Inventory'!$N$9:$N$108,MATCH(F106,'Inventory'!$C$9:$C$108,0))="","",INDEX('Inventory'!$N$9:$N$108,MATCH(F106,'Inventory'!$C$9:$C$108,0))),""))</x:f>
      </x:c>
      <x:c r="I106" s="17" t="str">
        <x:f>IF(R106="Ready",G106/H106,"")</x:f>
      </x:c>
      <x:c r="J106" s="23" t="str">
        <x:f>IF(AND(R106="Ready",S106="Ready"),I106*IFERROR(IF(INDEX('Inventory'!$T$9:$T$108,MATCH(F106,'Inventory'!$C$9:$C$108,0))="","",INDEX('Inventory'!$T$9:$T$108,MATCH(F106,'Inventory'!$C$9:$C$108,0))),""),"")</x:f>
      </x:c>
      <x:c r="K106" s="23" t="str">
        <x:f>IF(AND(R106="Ready",T106="Ready"),I106*IFERROR(IF(INDEX('Inventory'!$Z$9:$Z$108,MATCH(F106,'Inventory'!$C$9:$C$108,0))="","",INDEX('Inventory'!$Z$9:$Z$108,MATCH(F106,'Inventory'!$C$9:$C$108,0))),""),"")</x:f>
      </x:c>
      <x:c r="L106" s="23" t="str">
        <x:f>IF(AND(R106="Ready",U106="Ready"),I106*IFERROR(IF(INDEX('Inventory'!$AG$9:$AG$108,MATCH(F106,'Inventory'!$C$9:$C$108,0))="","",INDEX('Inventory'!$AG$9:$AG$108,MATCH(F106,'Inventory'!$C$9:$C$108,0))),""),"")</x:f>
      </x:c>
      <x:c r="M106" s="21" t="n">
        <x:f>IF(AND(R106="Ready",S106="Ready",T106="Ready"),G106,0)</x:f>
        <x:v>0</x:v>
      </x:c>
      <x:c r="N106" s="21" t="n">
        <x:f>IF(AND(R106="Ready",U106="Ready"),G106,0)</x:f>
        <x:v>0</x:v>
      </x:c>
      <x:c r="O106" s="42" t="str">
        <x:f>IF(C106="","",IFERROR(IF(INDEX('Inventory'!$U$9:$U$108,MATCH(F106,'Inventory'!$C$9:$C$108,0))="","",INDEX('Inventory'!$U$9:$U$108,MATCH(F106,'Inventory'!$C$9:$C$108,0))),""))</x:f>
      </x:c>
      <x:c r="P106" s="42" t="str">
        <x:f>IF(C106="","",IFERROR(IF(INDEX('Inventory'!$AA$9:$AA$108,MATCH(F106,'Inventory'!$C$9:$C$108,0))="","",INDEX('Inventory'!$AA$9:$AA$108,MATCH(F106,'Inventory'!$C$9:$C$108,0))),""))</x:f>
      </x:c>
      <x:c r="Q106" s="42" t="str">
        <x:f>IF(C106="","",IFERROR(IF(INDEX('Inventory'!$AH$9:$AH$108,MATCH(F106,'Inventory'!$C$9:$C$108,0))="","",INDEX('Inventory'!$AH$9:$AH$108,MATCH(F106,'Inventory'!$C$9:$C$108,0))),""))</x:f>
      </x:c>
      <x:c r="R106" s="9" t="str">
        <x:f>IF(C106="","",IF(COUNTIFS('Facilities'!$C$9:$C$108,C106)&lt;&gt;1,"Duplicate facility ID",IF(OR(NOT(ISNUMBER(IFERROR(IF(INDEX('Facilities'!$G$9:$G$108,MATCH(C106,'Facilities'!$C$9:$C$108,0))="","",INDEX('Facilities'!$G$9:$G$108,MATCH(C106,'Facilities'!$C$9:$C$108,0))),""))),NOT(ISNUMBER(G106)),G106&lt;0,IFERROR(IF(INDEX('Facilities'!$Z$9:$Z$108,MATCH(C106,'Facilities'!$C$9:$C$108,0))="","",INDEX('Facilities'!$Z$9:$Z$108,MATCH(C106,'Facilities'!$C$9:$C$108,0))),"")&lt;=0),"Drawn value required",IF(COUNTIFS('Inventory'!$C$9:$C$108,F106)&lt;&gt;1,"Entity required",IF(OR(E106&lt;&gt;IFERROR(IF(INDEX('Inventory'!$F$9:$F$108,MATCH(F106,'Inventory'!$C$9:$C$108,0))="","",INDEX('Inventory'!$F$9:$F$108,MATCH(F106,'Inventory'!$C$9:$C$108,0))),""),D106&lt;&gt;IFERROR(IF(INDEX('Inventory'!$D$9:$D$108,MATCH(F106,'Inventory'!$C$9:$C$108,0))="","",INDEX('Inventory'!$D$9:$D$108,MATCH(F106,'Inventory'!$C$9:$C$108,0))),"")),"Entity / class mismatch",IF(IFERROR(IF(INDEX('Inventory'!$AL$9:$AL$108,MATCH(F106,'Inventory'!$C$9:$C$108,0))="","",INDEX('Inventory'!$AL$9:$AL$108,MATCH(F106,'Inventory'!$C$9:$C$108,0))),"")&lt;&gt;"Ready",IFERROR(IF(INDEX('Inventory'!$AL$9:$AL$108,MATCH(F106,'Inventory'!$C$9:$C$108,0))="","",INDEX('Inventory'!$AL$9:$AL$108,MATCH(F106,'Inventory'!$C$9:$C$108,0))),""),IF(AND(OR(E106="Project finance",E106="CRE",E106="Mortgage",E106="Motor"),IFERROR(IF(INDEX('Facilities'!$V$9:$V$108,MATCH(C106,'Facilities'!$C$9:$C$108,0))="","",INDEX('Facilities'!$V$9:$V$108,MATCH(C106,'Facilities'!$C$9:$C$108,0))),"")&lt;&gt;"Designated asset"),"Purpose review",IF(X106&gt;H106,"Exposure exceeds value","Ready"))))))))</x:f>
      </x:c>
      <x:c r="S106" s="9" t="str">
        <x:f>IF(C106="","",IFERROR(IF(INDEX('Inventory'!$V$9:$V$108,MATCH(F106,'Inventory'!$C$9:$C$108,0))="","",INDEX('Inventory'!$V$9:$V$108,MATCH(F106,'Inventory'!$C$9:$C$108,0))),""))</x:f>
      </x:c>
      <x:c r="T106" s="9" t="str">
        <x:f>IF(C106="","",IFERROR(IF(INDEX('Inventory'!$AB$9:$AB$108,MATCH(F106,'Inventory'!$C$9:$C$108,0))="","",INDEX('Inventory'!$AB$9:$AB$108,MATCH(F106,'Inventory'!$C$9:$C$108,0))),""))</x:f>
      </x:c>
      <x:c r="U106" s="9" t="str">
        <x:f>IF(C106="","",IFERROR(IF(INDEX('Inventory'!$AI$9:$AI$108,MATCH(F106,'Inventory'!$C$9:$C$108,0))="","",INDEX('Inventory'!$AI$9:$AI$108,MATCH(F106,'Inventory'!$C$9:$C$108,0))),""))</x:f>
      </x:c>
      <x:c r="V106" s="43" t="str">
        <x:f>IF(C106="","",IFERROR(IF(INDEX('Inventory'!$P$9:$P$108,MATCH(F106,'Inventory'!$C$9:$C$108,0))="","",INDEX('Inventory'!$P$9:$P$108,MATCH(F106,'Inventory'!$C$9:$C$108,0))),""))</x:f>
      </x:c>
      <x:c r="W106" s="3" t="str">
        <x:f>IF(C106="","",IF(E106="Corporate listed","PCAF 2025 pp40-46",IF(E106="Corporate private","PCAF 2025 pp55-60",IF(E106="Project finance","PCAF 2025 pp67-71",IF(E106="CRE","PCAF 2025 pp77-81",IF(E106="Mortgage","PCAF 2025 pp83-87",IF(E106="Motor","PCAF 2025 pp90-94","Method required")))))))</x:f>
      </x:c>
      <x:c r="X106" s="23" t="str">
        <x:f>IF(C106="","",SUMIFS('Facilities'!$AA$9:$AA$108,'Facilities'!$U$9:$U$108,F106))</x:f>
      </x:c>
      <x:c r="Y106" s="21" t="n">
        <x:f>IF(AND(R106="Ready",S106="Ready"),G106,0)</x:f>
        <x:v>0</x:v>
      </x:c>
      <x:c r="Z106" s="21" t="n">
        <x:f>IF(AND(R106="Ready",T106="Ready"),G106,0)</x:f>
        <x:v>0</x:v>
      </x:c>
      <x:c r="AA106" s="21" t="n">
        <x:f>IF(Y106&gt;0,Y106*O106,0)</x:f>
        <x:v>0</x:v>
      </x:c>
      <x:c r="AB106" s="21" t="n">
        <x:f>IF(Z106&gt;0,Z106*P106,0)</x:f>
        <x:v>0</x:v>
      </x:c>
      <x:c r="AC106" s="21" t="n">
        <x:f>IF(N106&gt;0,N106*Q106,0)</x:f>
        <x:v>0</x:v>
      </x:c>
      <x:c r="AD106" s="21" t="n">
        <x:f>IF(M106&gt;0,M106*MAX(O106,P106),0)</x:f>
        <x:v>0</x:v>
      </x:c>
      <x:c r="AE106" s="9" t="str">
        <x:f>IF(C106="","",IFERROR(IF(INDEX('Inventory'!$AC$9:$AC$108,MATCH(F106,'Inventory'!$C$9:$C$108,0))="","",INDEX('Inventory'!$AC$9:$AC$108,MATCH(F106,'Inventory'!$C$9:$C$108,0))),""))</x:f>
      </x:c>
      <x:c r="AF106" s="9" t="str">
        <x:f>IF(C106="","",IFERROR(IF(INDEX('Inventory'!$AN$9:$AN$108,MATCH(F106,'Inventory'!$C$9:$C$108,0))="","",INDEX('Inventory'!$AN$9:$AN$108,MATCH(F106,'Inventory'!$C$9:$C$108,0))),""))</x:f>
      </x:c>
    </x:row>
    <x:row r="107" ht="26" customHeight="1">
      <x:c r="A107" s="1"/>
      <x:c r="B107" s="1"/>
      <x:c r="C107" s="9" t="str">
        <x:f>IF('Facilities'!C107="","",'Facilities'!C107)</x:f>
      </x:c>
      <x:c r="D107" s="9" t="str">
        <x:f>IF(C107="","",IFERROR(IF(INDEX('Facilities'!$D$9:$D$108,MATCH(C107,'Facilities'!$C$9:$C$108,0))="","",INDEX('Facilities'!$D$9:$D$108,MATCH(C107,'Facilities'!$C$9:$C$108,0))),""))</x:f>
      </x:c>
      <x:c r="E107" s="9" t="str">
        <x:f>IF(C107="","",IFERROR(IF(INDEX('Facilities'!$E$9:$E$108,MATCH(C107,'Facilities'!$C$9:$C$108,0))="","",INDEX('Facilities'!$E$9:$E$108,MATCH(C107,'Facilities'!$C$9:$C$108,0))),""))</x:f>
      </x:c>
      <x:c r="F107" s="9" t="str">
        <x:f>IF(C107="","",IFERROR(IF(INDEX('Facilities'!$U$9:$U$108,MATCH(C107,'Facilities'!$C$9:$C$108,0))="","",INDEX('Facilities'!$U$9:$U$108,MATCH(C107,'Facilities'!$C$9:$C$108,0))),""))</x:f>
      </x:c>
      <x:c r="G107" s="23" t="str">
        <x:f>IF(C107="","",IFERROR(IF(INDEX('Facilities'!$AA$9:$AA$108,MATCH(C107,'Facilities'!$C$9:$C$108,0))="","",INDEX('Facilities'!$AA$9:$AA$108,MATCH(C107,'Facilities'!$C$9:$C$108,0))),""))</x:f>
      </x:c>
      <x:c r="H107" s="23" t="str">
        <x:f>IF(C107="","",IFERROR(IF(INDEX('Inventory'!$N$9:$N$108,MATCH(F107,'Inventory'!$C$9:$C$108,0))="","",INDEX('Inventory'!$N$9:$N$108,MATCH(F107,'Inventory'!$C$9:$C$108,0))),""))</x:f>
      </x:c>
      <x:c r="I107" s="17" t="str">
        <x:f>IF(R107="Ready",G107/H107,"")</x:f>
      </x:c>
      <x:c r="J107" s="23" t="str">
        <x:f>IF(AND(R107="Ready",S107="Ready"),I107*IFERROR(IF(INDEX('Inventory'!$T$9:$T$108,MATCH(F107,'Inventory'!$C$9:$C$108,0))="","",INDEX('Inventory'!$T$9:$T$108,MATCH(F107,'Inventory'!$C$9:$C$108,0))),""),"")</x:f>
      </x:c>
      <x:c r="K107" s="23" t="str">
        <x:f>IF(AND(R107="Ready",T107="Ready"),I107*IFERROR(IF(INDEX('Inventory'!$Z$9:$Z$108,MATCH(F107,'Inventory'!$C$9:$C$108,0))="","",INDEX('Inventory'!$Z$9:$Z$108,MATCH(F107,'Inventory'!$C$9:$C$108,0))),""),"")</x:f>
      </x:c>
      <x:c r="L107" s="23" t="str">
        <x:f>IF(AND(R107="Ready",U107="Ready"),I107*IFERROR(IF(INDEX('Inventory'!$AG$9:$AG$108,MATCH(F107,'Inventory'!$C$9:$C$108,0))="","",INDEX('Inventory'!$AG$9:$AG$108,MATCH(F107,'Inventory'!$C$9:$C$108,0))),""),"")</x:f>
      </x:c>
      <x:c r="M107" s="21" t="n">
        <x:f>IF(AND(R107="Ready",S107="Ready",T107="Ready"),G107,0)</x:f>
        <x:v>0</x:v>
      </x:c>
      <x:c r="N107" s="21" t="n">
        <x:f>IF(AND(R107="Ready",U107="Ready"),G107,0)</x:f>
        <x:v>0</x:v>
      </x:c>
      <x:c r="O107" s="42" t="str">
        <x:f>IF(C107="","",IFERROR(IF(INDEX('Inventory'!$U$9:$U$108,MATCH(F107,'Inventory'!$C$9:$C$108,0))="","",INDEX('Inventory'!$U$9:$U$108,MATCH(F107,'Inventory'!$C$9:$C$108,0))),""))</x:f>
      </x:c>
      <x:c r="P107" s="42" t="str">
        <x:f>IF(C107="","",IFERROR(IF(INDEX('Inventory'!$AA$9:$AA$108,MATCH(F107,'Inventory'!$C$9:$C$108,0))="","",INDEX('Inventory'!$AA$9:$AA$108,MATCH(F107,'Inventory'!$C$9:$C$108,0))),""))</x:f>
      </x:c>
      <x:c r="Q107" s="42" t="str">
        <x:f>IF(C107="","",IFERROR(IF(INDEX('Inventory'!$AH$9:$AH$108,MATCH(F107,'Inventory'!$C$9:$C$108,0))="","",INDEX('Inventory'!$AH$9:$AH$108,MATCH(F107,'Inventory'!$C$9:$C$108,0))),""))</x:f>
      </x:c>
      <x:c r="R107" s="9" t="str">
        <x:f>IF(C107="","",IF(COUNTIFS('Facilities'!$C$9:$C$108,C107)&lt;&gt;1,"Duplicate facility ID",IF(OR(NOT(ISNUMBER(IFERROR(IF(INDEX('Facilities'!$G$9:$G$108,MATCH(C107,'Facilities'!$C$9:$C$108,0))="","",INDEX('Facilities'!$G$9:$G$108,MATCH(C107,'Facilities'!$C$9:$C$108,0))),""))),NOT(ISNUMBER(G107)),G107&lt;0,IFERROR(IF(INDEX('Facilities'!$Z$9:$Z$108,MATCH(C107,'Facilities'!$C$9:$C$108,0))="","",INDEX('Facilities'!$Z$9:$Z$108,MATCH(C107,'Facilities'!$C$9:$C$108,0))),"")&lt;=0),"Drawn value required",IF(COUNTIFS('Inventory'!$C$9:$C$108,F107)&lt;&gt;1,"Entity required",IF(OR(E107&lt;&gt;IFERROR(IF(INDEX('Inventory'!$F$9:$F$108,MATCH(F107,'Inventory'!$C$9:$C$108,0))="","",INDEX('Inventory'!$F$9:$F$108,MATCH(F107,'Inventory'!$C$9:$C$108,0))),""),D107&lt;&gt;IFERROR(IF(INDEX('Inventory'!$D$9:$D$108,MATCH(F107,'Inventory'!$C$9:$C$108,0))="","",INDEX('Inventory'!$D$9:$D$108,MATCH(F107,'Inventory'!$C$9:$C$108,0))),"")),"Entity / class mismatch",IF(IFERROR(IF(INDEX('Inventory'!$AL$9:$AL$108,MATCH(F107,'Inventory'!$C$9:$C$108,0))="","",INDEX('Inventory'!$AL$9:$AL$108,MATCH(F107,'Inventory'!$C$9:$C$108,0))),"")&lt;&gt;"Ready",IFERROR(IF(INDEX('Inventory'!$AL$9:$AL$108,MATCH(F107,'Inventory'!$C$9:$C$108,0))="","",INDEX('Inventory'!$AL$9:$AL$108,MATCH(F107,'Inventory'!$C$9:$C$108,0))),""),IF(AND(OR(E107="Project finance",E107="CRE",E107="Mortgage",E107="Motor"),IFERROR(IF(INDEX('Facilities'!$V$9:$V$108,MATCH(C107,'Facilities'!$C$9:$C$108,0))="","",INDEX('Facilities'!$V$9:$V$108,MATCH(C107,'Facilities'!$C$9:$C$108,0))),"")&lt;&gt;"Designated asset"),"Purpose review",IF(X107&gt;H107,"Exposure exceeds value","Ready"))))))))</x:f>
      </x:c>
      <x:c r="S107" s="9" t="str">
        <x:f>IF(C107="","",IFERROR(IF(INDEX('Inventory'!$V$9:$V$108,MATCH(F107,'Inventory'!$C$9:$C$108,0))="","",INDEX('Inventory'!$V$9:$V$108,MATCH(F107,'Inventory'!$C$9:$C$108,0))),""))</x:f>
      </x:c>
      <x:c r="T107" s="9" t="str">
        <x:f>IF(C107="","",IFERROR(IF(INDEX('Inventory'!$AB$9:$AB$108,MATCH(F107,'Inventory'!$C$9:$C$108,0))="","",INDEX('Inventory'!$AB$9:$AB$108,MATCH(F107,'Inventory'!$C$9:$C$108,0))),""))</x:f>
      </x:c>
      <x:c r="U107" s="9" t="str">
        <x:f>IF(C107="","",IFERROR(IF(INDEX('Inventory'!$AI$9:$AI$108,MATCH(F107,'Inventory'!$C$9:$C$108,0))="","",INDEX('Inventory'!$AI$9:$AI$108,MATCH(F107,'Inventory'!$C$9:$C$108,0))),""))</x:f>
      </x:c>
      <x:c r="V107" s="43" t="str">
        <x:f>IF(C107="","",IFERROR(IF(INDEX('Inventory'!$P$9:$P$108,MATCH(F107,'Inventory'!$C$9:$C$108,0))="","",INDEX('Inventory'!$P$9:$P$108,MATCH(F107,'Inventory'!$C$9:$C$108,0))),""))</x:f>
      </x:c>
      <x:c r="W107" s="3" t="str">
        <x:f>IF(C107="","",IF(E107="Corporate listed","PCAF 2025 pp40-46",IF(E107="Corporate private","PCAF 2025 pp55-60",IF(E107="Project finance","PCAF 2025 pp67-71",IF(E107="CRE","PCAF 2025 pp77-81",IF(E107="Mortgage","PCAF 2025 pp83-87",IF(E107="Motor","PCAF 2025 pp90-94","Method required")))))))</x:f>
      </x:c>
      <x:c r="X107" s="23" t="str">
        <x:f>IF(C107="","",SUMIFS('Facilities'!$AA$9:$AA$108,'Facilities'!$U$9:$U$108,F107))</x:f>
      </x:c>
      <x:c r="Y107" s="21" t="n">
        <x:f>IF(AND(R107="Ready",S107="Ready"),G107,0)</x:f>
        <x:v>0</x:v>
      </x:c>
      <x:c r="Z107" s="21" t="n">
        <x:f>IF(AND(R107="Ready",T107="Ready"),G107,0)</x:f>
        <x:v>0</x:v>
      </x:c>
      <x:c r="AA107" s="21" t="n">
        <x:f>IF(Y107&gt;0,Y107*O107,0)</x:f>
        <x:v>0</x:v>
      </x:c>
      <x:c r="AB107" s="21" t="n">
        <x:f>IF(Z107&gt;0,Z107*P107,0)</x:f>
        <x:v>0</x:v>
      </x:c>
      <x:c r="AC107" s="21" t="n">
        <x:f>IF(N107&gt;0,N107*Q107,0)</x:f>
        <x:v>0</x:v>
      </x:c>
      <x:c r="AD107" s="21" t="n">
        <x:f>IF(M107&gt;0,M107*MAX(O107,P107),0)</x:f>
        <x:v>0</x:v>
      </x:c>
      <x:c r="AE107" s="9" t="str">
        <x:f>IF(C107="","",IFERROR(IF(INDEX('Inventory'!$AC$9:$AC$108,MATCH(F107,'Inventory'!$C$9:$C$108,0))="","",INDEX('Inventory'!$AC$9:$AC$108,MATCH(F107,'Inventory'!$C$9:$C$108,0))),""))</x:f>
      </x:c>
      <x:c r="AF107" s="9" t="str">
        <x:f>IF(C107="","",IFERROR(IF(INDEX('Inventory'!$AN$9:$AN$108,MATCH(F107,'Inventory'!$C$9:$C$108,0))="","",INDEX('Inventory'!$AN$9:$AN$108,MATCH(F107,'Inventory'!$C$9:$C$108,0))),""))</x:f>
      </x:c>
    </x:row>
    <x:row r="108" ht="26" customHeight="1">
      <x:c r="A108" s="1"/>
      <x:c r="B108" s="1"/>
      <x:c r="C108" s="9" t="str">
        <x:f>IF('Facilities'!C108="","",'Facilities'!C108)</x:f>
      </x:c>
      <x:c r="D108" s="9" t="str">
        <x:f>IF(C108="","",IFERROR(IF(INDEX('Facilities'!$D$9:$D$108,MATCH(C108,'Facilities'!$C$9:$C$108,0))="","",INDEX('Facilities'!$D$9:$D$108,MATCH(C108,'Facilities'!$C$9:$C$108,0))),""))</x:f>
      </x:c>
      <x:c r="E108" s="9" t="str">
        <x:f>IF(C108="","",IFERROR(IF(INDEX('Facilities'!$E$9:$E$108,MATCH(C108,'Facilities'!$C$9:$C$108,0))="","",INDEX('Facilities'!$E$9:$E$108,MATCH(C108,'Facilities'!$C$9:$C$108,0))),""))</x:f>
      </x:c>
      <x:c r="F108" s="9" t="str">
        <x:f>IF(C108="","",IFERROR(IF(INDEX('Facilities'!$U$9:$U$108,MATCH(C108,'Facilities'!$C$9:$C$108,0))="","",INDEX('Facilities'!$U$9:$U$108,MATCH(C108,'Facilities'!$C$9:$C$108,0))),""))</x:f>
      </x:c>
      <x:c r="G108" s="23" t="str">
        <x:f>IF(C108="","",IFERROR(IF(INDEX('Facilities'!$AA$9:$AA$108,MATCH(C108,'Facilities'!$C$9:$C$108,0))="","",INDEX('Facilities'!$AA$9:$AA$108,MATCH(C108,'Facilities'!$C$9:$C$108,0))),""))</x:f>
      </x:c>
      <x:c r="H108" s="23" t="str">
        <x:f>IF(C108="","",IFERROR(IF(INDEX('Inventory'!$N$9:$N$108,MATCH(F108,'Inventory'!$C$9:$C$108,0))="","",INDEX('Inventory'!$N$9:$N$108,MATCH(F108,'Inventory'!$C$9:$C$108,0))),""))</x:f>
      </x:c>
      <x:c r="I108" s="17" t="str">
        <x:f>IF(R108="Ready",G108/H108,"")</x:f>
      </x:c>
      <x:c r="J108" s="23" t="str">
        <x:f>IF(AND(R108="Ready",S108="Ready"),I108*IFERROR(IF(INDEX('Inventory'!$T$9:$T$108,MATCH(F108,'Inventory'!$C$9:$C$108,0))="","",INDEX('Inventory'!$T$9:$T$108,MATCH(F108,'Inventory'!$C$9:$C$108,0))),""),"")</x:f>
      </x:c>
      <x:c r="K108" s="23" t="str">
        <x:f>IF(AND(R108="Ready",T108="Ready"),I108*IFERROR(IF(INDEX('Inventory'!$Z$9:$Z$108,MATCH(F108,'Inventory'!$C$9:$C$108,0))="","",INDEX('Inventory'!$Z$9:$Z$108,MATCH(F108,'Inventory'!$C$9:$C$108,0))),""),"")</x:f>
      </x:c>
      <x:c r="L108" s="23" t="str">
        <x:f>IF(AND(R108="Ready",U108="Ready"),I108*IFERROR(IF(INDEX('Inventory'!$AG$9:$AG$108,MATCH(F108,'Inventory'!$C$9:$C$108,0))="","",INDEX('Inventory'!$AG$9:$AG$108,MATCH(F108,'Inventory'!$C$9:$C$108,0))),""),"")</x:f>
      </x:c>
      <x:c r="M108" s="21" t="n">
        <x:f>IF(AND(R108="Ready",S108="Ready",T108="Ready"),G108,0)</x:f>
        <x:v>0</x:v>
      </x:c>
      <x:c r="N108" s="21" t="n">
        <x:f>IF(AND(R108="Ready",U108="Ready"),G108,0)</x:f>
        <x:v>0</x:v>
      </x:c>
      <x:c r="O108" s="42" t="str">
        <x:f>IF(C108="","",IFERROR(IF(INDEX('Inventory'!$U$9:$U$108,MATCH(F108,'Inventory'!$C$9:$C$108,0))="","",INDEX('Inventory'!$U$9:$U$108,MATCH(F108,'Inventory'!$C$9:$C$108,0))),""))</x:f>
      </x:c>
      <x:c r="P108" s="42" t="str">
        <x:f>IF(C108="","",IFERROR(IF(INDEX('Inventory'!$AA$9:$AA$108,MATCH(F108,'Inventory'!$C$9:$C$108,0))="","",INDEX('Inventory'!$AA$9:$AA$108,MATCH(F108,'Inventory'!$C$9:$C$108,0))),""))</x:f>
      </x:c>
      <x:c r="Q108" s="42" t="str">
        <x:f>IF(C108="","",IFERROR(IF(INDEX('Inventory'!$AH$9:$AH$108,MATCH(F108,'Inventory'!$C$9:$C$108,0))="","",INDEX('Inventory'!$AH$9:$AH$108,MATCH(F108,'Inventory'!$C$9:$C$108,0))),""))</x:f>
      </x:c>
      <x:c r="R108" s="9" t="str">
        <x:f>IF(C108="","",IF(COUNTIFS('Facilities'!$C$9:$C$108,C108)&lt;&gt;1,"Duplicate facility ID",IF(OR(NOT(ISNUMBER(IFERROR(IF(INDEX('Facilities'!$G$9:$G$108,MATCH(C108,'Facilities'!$C$9:$C$108,0))="","",INDEX('Facilities'!$G$9:$G$108,MATCH(C108,'Facilities'!$C$9:$C$108,0))),""))),NOT(ISNUMBER(G108)),G108&lt;0,IFERROR(IF(INDEX('Facilities'!$Z$9:$Z$108,MATCH(C108,'Facilities'!$C$9:$C$108,0))="","",INDEX('Facilities'!$Z$9:$Z$108,MATCH(C108,'Facilities'!$C$9:$C$108,0))),"")&lt;=0),"Drawn value required",IF(COUNTIFS('Inventory'!$C$9:$C$108,F108)&lt;&gt;1,"Entity required",IF(OR(E108&lt;&gt;IFERROR(IF(INDEX('Inventory'!$F$9:$F$108,MATCH(F108,'Inventory'!$C$9:$C$108,0))="","",INDEX('Inventory'!$F$9:$F$108,MATCH(F108,'Inventory'!$C$9:$C$108,0))),""),D108&lt;&gt;IFERROR(IF(INDEX('Inventory'!$D$9:$D$108,MATCH(F108,'Inventory'!$C$9:$C$108,0))="","",INDEX('Inventory'!$D$9:$D$108,MATCH(F108,'Inventory'!$C$9:$C$108,0))),"")),"Entity / class mismatch",IF(IFERROR(IF(INDEX('Inventory'!$AL$9:$AL$108,MATCH(F108,'Inventory'!$C$9:$C$108,0))="","",INDEX('Inventory'!$AL$9:$AL$108,MATCH(F108,'Inventory'!$C$9:$C$108,0))),"")&lt;&gt;"Ready",IFERROR(IF(INDEX('Inventory'!$AL$9:$AL$108,MATCH(F108,'Inventory'!$C$9:$C$108,0))="","",INDEX('Inventory'!$AL$9:$AL$108,MATCH(F108,'Inventory'!$C$9:$C$108,0))),""),IF(AND(OR(E108="Project finance",E108="CRE",E108="Mortgage",E108="Motor"),IFERROR(IF(INDEX('Facilities'!$V$9:$V$108,MATCH(C108,'Facilities'!$C$9:$C$108,0))="","",INDEX('Facilities'!$V$9:$V$108,MATCH(C108,'Facilities'!$C$9:$C$108,0))),"")&lt;&gt;"Designated asset"),"Purpose review",IF(X108&gt;H108,"Exposure exceeds value","Ready"))))))))</x:f>
      </x:c>
      <x:c r="S108" s="9" t="str">
        <x:f>IF(C108="","",IFERROR(IF(INDEX('Inventory'!$V$9:$V$108,MATCH(F108,'Inventory'!$C$9:$C$108,0))="","",INDEX('Inventory'!$V$9:$V$108,MATCH(F108,'Inventory'!$C$9:$C$108,0))),""))</x:f>
      </x:c>
      <x:c r="T108" s="9" t="str">
        <x:f>IF(C108="","",IFERROR(IF(INDEX('Inventory'!$AB$9:$AB$108,MATCH(F108,'Inventory'!$C$9:$C$108,0))="","",INDEX('Inventory'!$AB$9:$AB$108,MATCH(F108,'Inventory'!$C$9:$C$108,0))),""))</x:f>
      </x:c>
      <x:c r="U108" s="9" t="str">
        <x:f>IF(C108="","",IFERROR(IF(INDEX('Inventory'!$AI$9:$AI$108,MATCH(F108,'Inventory'!$C$9:$C$108,0))="","",INDEX('Inventory'!$AI$9:$AI$108,MATCH(F108,'Inventory'!$C$9:$C$108,0))),""))</x:f>
      </x:c>
      <x:c r="V108" s="43" t="str">
        <x:f>IF(C108="","",IFERROR(IF(INDEX('Inventory'!$P$9:$P$108,MATCH(F108,'Inventory'!$C$9:$C$108,0))="","",INDEX('Inventory'!$P$9:$P$108,MATCH(F108,'Inventory'!$C$9:$C$108,0))),""))</x:f>
      </x:c>
      <x:c r="W108" s="3" t="str">
        <x:f>IF(C108="","",IF(E108="Corporate listed","PCAF 2025 pp40-46",IF(E108="Corporate private","PCAF 2025 pp55-60",IF(E108="Project finance","PCAF 2025 pp67-71",IF(E108="CRE","PCAF 2025 pp77-81",IF(E108="Mortgage","PCAF 2025 pp83-87",IF(E108="Motor","PCAF 2025 pp90-94","Method required")))))))</x:f>
      </x:c>
      <x:c r="X108" s="23" t="str">
        <x:f>IF(C108="","",SUMIFS('Facilities'!$AA$9:$AA$108,'Facilities'!$U$9:$U$108,F108))</x:f>
      </x:c>
      <x:c r="Y108" s="21" t="n">
        <x:f>IF(AND(R108="Ready",S108="Ready"),G108,0)</x:f>
        <x:v>0</x:v>
      </x:c>
      <x:c r="Z108" s="21" t="n">
        <x:f>IF(AND(R108="Ready",T108="Ready"),G108,0)</x:f>
        <x:v>0</x:v>
      </x:c>
      <x:c r="AA108" s="21" t="n">
        <x:f>IF(Y108&gt;0,Y108*O108,0)</x:f>
        <x:v>0</x:v>
      </x:c>
      <x:c r="AB108" s="21" t="n">
        <x:f>IF(Z108&gt;0,Z108*P108,0)</x:f>
        <x:v>0</x:v>
      </x:c>
      <x:c r="AC108" s="21" t="n">
        <x:f>IF(N108&gt;0,N108*Q108,0)</x:f>
        <x:v>0</x:v>
      </x:c>
      <x:c r="AD108" s="21" t="n">
        <x:f>IF(M108&gt;0,M108*MAX(O108,P108),0)</x:f>
        <x:v>0</x:v>
      </x:c>
      <x:c r="AE108" s="9" t="str">
        <x:f>IF(C108="","",IFERROR(IF(INDEX('Inventory'!$AC$9:$AC$108,MATCH(F108,'Inventory'!$C$9:$C$108,0))="","",INDEX('Inventory'!$AC$9:$AC$108,MATCH(F108,'Inventory'!$C$9:$C$108,0))),""))</x:f>
      </x:c>
      <x:c r="AF108" s="9" t="str">
        <x:f>IF(C108="","",IFERROR(IF(INDEX('Inventory'!$AN$9:$AN$108,MATCH(F108,'Inventory'!$C$9:$C$108,0))="","",INDEX('Inventory'!$AN$9:$AN$108,MATCH(F108,'Inventory'!$C$9:$C$108,0))),""))</x:f>
      </x:c>
    </x:row>
  </x:sheetData>
  <x:mergeCells>
    <x:mergeCell ref="C2:H2"/>
    <x:mergeCell ref="C3:M3"/>
    <x:mergeCell ref="C7:F7"/>
    <x:mergeCell ref="G7:J7"/>
    <x:mergeCell ref="K7:N7"/>
    <x:mergeCell ref="C1:D1"/>
    <x:mergeCell ref="E1:F1"/>
    <x:mergeCell ref="G1:H1"/>
    <x:mergeCell ref="I1:J1"/>
    <x:mergeCell ref="K1:L1"/>
    <x:mergeCell ref="M1:N1"/>
  </x:mergeCells>
  <x:conditionalFormatting sqref="R9:R108">
    <x:cfRule type="containsText" dxfId="368" priority="1" operator="containsText" text="Missing"/>
    <x:cfRule type="containsText" dxfId="369" priority="2" operator="containsText" text="Required"/>
    <x:cfRule type="containsText" dxfId="370" priority="3" operator="containsText" text="required"/>
    <x:cfRule type="containsText" dxfId="371" priority="4" operator="containsText" text="Expired"/>
    <x:cfRule type="containsText" dxfId="372" priority="5" operator="containsText" text="Hold"/>
    <x:cfRule type="containsText" dxfId="373" priority="6" operator="containsText" text="Review"/>
    <x:cfRule type="containsText" dxfId="374" priority="7" operator="containsText" text="Incomplete"/>
    <x:cfRule type="containsText" dxfId="375" priority="8" operator="containsText" text="Pending"/>
    <x:cfRule type="containsText" dxfId="376" priority="9" operator="containsText" text="Unsupported"/>
    <x:cfRule type="containsText" dxfId="377" priority="10" operator="containsText" text="Criteria"/>
    <x:cfRule type="containsText" dxfId="378" priority="11" operator="containsText" text="Fail"/>
    <x:cfRule type="containsText" dxfId="379" priority="12" operator="containsText" text="Stop"/>
    <x:cfRule type="containsText" dxfId="380" priority="13" operator="containsText" text="Breach"/>
    <x:cfRule type="containsText" dxfId="381" priority="14" operator="containsText" text="Invalid"/>
    <x:cfRule type="containsText" dxfId="382" priority="15" operator="containsText" text="Duplicate"/>
    <x:cfRule type="containsText" dxfId="383" priority="16" operator="containsText" text="Not aligned"/>
  </x:conditionalFormatting>
  <x:conditionalFormatting sqref="S9:S108">
    <x:cfRule type="containsText" dxfId="384" priority="17" operator="containsText" text="Missing"/>
    <x:cfRule type="containsText" dxfId="385" priority="18" operator="containsText" text="Required"/>
    <x:cfRule type="containsText" dxfId="386" priority="19" operator="containsText" text="required"/>
    <x:cfRule type="containsText" dxfId="387" priority="20" operator="containsText" text="Expired"/>
    <x:cfRule type="containsText" dxfId="388" priority="21" operator="containsText" text="Hold"/>
    <x:cfRule type="containsText" dxfId="389" priority="22" operator="containsText" text="Review"/>
    <x:cfRule type="containsText" dxfId="390" priority="23" operator="containsText" text="Incomplete"/>
    <x:cfRule type="containsText" dxfId="391" priority="24" operator="containsText" text="Pending"/>
    <x:cfRule type="containsText" dxfId="392" priority="25" operator="containsText" text="Unsupported"/>
    <x:cfRule type="containsText" dxfId="393" priority="26" operator="containsText" text="Criteria"/>
    <x:cfRule type="containsText" dxfId="394" priority="27" operator="containsText" text="Fail"/>
    <x:cfRule type="containsText" dxfId="395" priority="28" operator="containsText" text="Stop"/>
    <x:cfRule type="containsText" dxfId="396" priority="29" operator="containsText" text="Breach"/>
    <x:cfRule type="containsText" dxfId="397" priority="30" operator="containsText" text="Invalid"/>
    <x:cfRule type="containsText" dxfId="398" priority="31" operator="containsText" text="Duplicate"/>
    <x:cfRule type="containsText" dxfId="399" priority="32" operator="containsText" text="Not aligned"/>
  </x:conditionalFormatting>
  <x:conditionalFormatting sqref="T9:T108">
    <x:cfRule type="containsText" dxfId="400" priority="33" operator="containsText" text="Missing"/>
    <x:cfRule type="containsText" dxfId="401" priority="34" operator="containsText" text="Required"/>
    <x:cfRule type="containsText" dxfId="402" priority="35" operator="containsText" text="required"/>
    <x:cfRule type="containsText" dxfId="403" priority="36" operator="containsText" text="Expired"/>
    <x:cfRule type="containsText" dxfId="404" priority="37" operator="containsText" text="Hold"/>
    <x:cfRule type="containsText" dxfId="405" priority="38" operator="containsText" text="Review"/>
    <x:cfRule type="containsText" dxfId="406" priority="39" operator="containsText" text="Incomplete"/>
    <x:cfRule type="containsText" dxfId="407" priority="40" operator="containsText" text="Pending"/>
    <x:cfRule type="containsText" dxfId="408" priority="41" operator="containsText" text="Unsupported"/>
    <x:cfRule type="containsText" dxfId="409" priority="42" operator="containsText" text="Criteria"/>
    <x:cfRule type="containsText" dxfId="410" priority="43" operator="containsText" text="Fail"/>
    <x:cfRule type="containsText" dxfId="411" priority="44" operator="containsText" text="Stop"/>
    <x:cfRule type="containsText" dxfId="412" priority="45" operator="containsText" text="Breach"/>
    <x:cfRule type="containsText" dxfId="413" priority="46" operator="containsText" text="Invalid"/>
    <x:cfRule type="containsText" dxfId="414" priority="47" operator="containsText" text="Duplicate"/>
    <x:cfRule type="containsText" dxfId="415" priority="48" operator="containsText" text="Not aligned"/>
  </x:conditionalFormatting>
  <x:conditionalFormatting sqref="U9:U108">
    <x:cfRule type="containsText" dxfId="416" priority="49" operator="containsText" text="Missing"/>
    <x:cfRule type="containsText" dxfId="417" priority="50" operator="containsText" text="Required"/>
    <x:cfRule type="containsText" dxfId="418" priority="51" operator="containsText" text="required"/>
    <x:cfRule type="containsText" dxfId="419" priority="52" operator="containsText" text="Expired"/>
    <x:cfRule type="containsText" dxfId="420" priority="53" operator="containsText" text="Hold"/>
    <x:cfRule type="containsText" dxfId="421" priority="54" operator="containsText" text="Review"/>
    <x:cfRule type="containsText" dxfId="422" priority="55" operator="containsText" text="Incomplete"/>
    <x:cfRule type="containsText" dxfId="423" priority="56" operator="containsText" text="Pending"/>
    <x:cfRule type="containsText" dxfId="424" priority="57" operator="containsText" text="Unsupported"/>
    <x:cfRule type="containsText" dxfId="425" priority="58" operator="containsText" text="Criteria"/>
    <x:cfRule type="containsText" dxfId="426" priority="59" operator="containsText" text="Fail"/>
    <x:cfRule type="containsText" dxfId="427" priority="60" operator="containsText" text="Stop"/>
    <x:cfRule type="containsText" dxfId="428" priority="61" operator="containsText" text="Breach"/>
    <x:cfRule type="containsText" dxfId="429" priority="62" operator="containsText" text="Invalid"/>
    <x:cfRule type="containsText" dxfId="430" priority="63" operator="containsText" text="Duplicate"/>
    <x:cfRule type="containsText" dxfId="431" priority="64" operator="containsText" text="Not aligned"/>
  </x:conditionalFormatting>
  <x:conditionalFormatting sqref="AF9:AF108">
    <x:cfRule type="containsText" dxfId="432" priority="65" operator="containsText" text="Missing"/>
    <x:cfRule type="containsText" dxfId="433" priority="66" operator="containsText" text="Required"/>
    <x:cfRule type="containsText" dxfId="434" priority="67" operator="containsText" text="required"/>
    <x:cfRule type="containsText" dxfId="435" priority="68" operator="containsText" text="Expired"/>
    <x:cfRule type="containsText" dxfId="436" priority="69" operator="containsText" text="Hold"/>
    <x:cfRule type="containsText" dxfId="437" priority="70" operator="containsText" text="Review"/>
    <x:cfRule type="containsText" dxfId="438" priority="71" operator="containsText" text="Incomplete"/>
    <x:cfRule type="containsText" dxfId="439" priority="72" operator="containsText" text="Pending"/>
    <x:cfRule type="containsText" dxfId="440" priority="73" operator="containsText" text="Unsupported"/>
    <x:cfRule type="containsText" dxfId="441" priority="74" operator="containsText" text="Criteria"/>
    <x:cfRule type="containsText" dxfId="442" priority="75" operator="containsText" text="Fail"/>
    <x:cfRule type="containsText" dxfId="443" priority="76" operator="containsText" text="Stop"/>
    <x:cfRule type="containsText" dxfId="444" priority="77" operator="containsText" text="Breach"/>
    <x:cfRule type="containsText" dxfId="445" priority="78" operator="containsText" text="Invalid"/>
    <x:cfRule type="containsText" dxfId="446" priority="79" operator="containsText" text="Duplicate"/>
    <x:cfRule type="containsText" dxfId="447" priority="80" operator="containsText" text="Not aligned"/>
  </x:conditionalFormatting>
  <x:hyperlinks>
    <x:hyperlink ref="C7" location="'Financed Emissions'!G8" display="Attribution and scopes" tooltip="Open Financed Emissions"/>
    <x:hyperlink ref="G7" location="'Financed Emissions'!M8" display="Coverage and status" tooltip="Open Financed Emissions"/>
    <x:hyperlink ref="K7" location="'Financed Emissions'!X8" display="Quality and overlap" tooltip="Open Financed Emissions"/>
    <x:hyperlink ref="C1" location="'Overview'!C2" display="Home" tooltip="Open Overview"/>
    <x:hyperlink ref="E1" location="'Customer'!C2" display="Customer" tooltip="Open Customer"/>
    <x:hyperlink ref="G1" location="'Capital'!C2" display="Capital" tooltip="Open Capital"/>
    <x:hyperlink ref="I1" location="'Disclosures'!C2" display="Reporting" tooltip="Open Disclosures"/>
    <x:hyperlink ref="K1" location="'Borrowers'!C8" display="Inputs" tooltip="Open Borrowers"/>
    <x:hyperlink ref="M1" location="'Settings'!C5" display="Settings" tooltip="Open Settings"/>
  </x:hyperlinks>
  <x:pageMargins left="0.7" right="0.7" top="0.75" bottom="0.75" header="0.3" footer="0.3"/>
  <x:tableParts count="1">
    <x:tablePart xmlns:r="http://schemas.openxmlformats.org/officeDocument/2006/relationships" r:id="R73b3f302879b4a93"/>
  </x:tableParts>
</x:worksheet>
</file>

<file path=xl/worksheets/sheet19.xml><?xml version="1.0" encoding="utf-8"?>
<x:worksheet xmlns:x="http://schemas.openxmlformats.org/spreadsheetml/2006/main">
  <x:sheetPr>
    <x:tabColor rgb="FF007F86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2.4000000953674316" hidden="0" customWidth="1"/>
    <x:col min="2" max="2" width="2.4000000953674316" hidden="0" customWidth="1"/>
    <x:col min="3" max="3" width="17" hidden="0" customWidth="1"/>
    <x:col min="4" max="4" width="17" hidden="0" customWidth="1"/>
    <x:col min="5" max="5" width="28" hidden="0" customWidth="1"/>
    <x:col min="6" max="6" width="17" hidden="0" customWidth="1"/>
    <x:col min="7" max="7" width="17" hidden="0" customWidth="1"/>
    <x:col min="8" max="8" width="17" hidden="0" customWidth="1"/>
    <x:col min="9" max="9" width="23" hidden="0" customWidth="1"/>
    <x:col min="10" max="10" width="17" hidden="0" customWidth="1"/>
    <x:col min="11" max="11" width="23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  <x:col min="29" max="29" width="17" hidden="0" customWidth="1"/>
  </x:cols>
  <x:sheetData>
    <x:row r="1" ht="27" customHeight="1">
      <x:c r="A1" s="1"/>
      <x:c r="B1" s="1"/>
      <x:c r="C1" s="50" t="str">
        <x:v>Home</x:v>
      </x:c>
      <x:c r="D1" s="50"/>
      <x:c r="E1" s="63" t="str">
        <x:v>Customer</x:v>
      </x:c>
      <x:c r="F1" s="63"/>
      <x:c r="G1" s="63" t="str">
        <x:v>Capital</x:v>
      </x:c>
      <x:c r="H1" s="63"/>
      <x:c r="I1" s="63" t="str">
        <x:v>Reporting</x:v>
      </x:c>
      <x:c r="J1" s="63"/>
      <x:c r="K1" s="63" t="str">
        <x:v>Inputs</x:v>
      </x:c>
      <x:c r="L1" s="63"/>
      <x:c r="M1" s="63" t="str">
        <x:v>Settings</x:v>
      </x:c>
      <x:c r="N1" s="6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</x:row>
    <x:row r="2" ht="45" customHeight="1">
      <x:c r="A2" s="1"/>
      <x:c r="B2" s="1"/>
      <x:c r="C2" s="5" t="str">
        <x:v>Bank operational inventory</x:v>
      </x:c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  <x:c r="Y2" s="5"/>
      <x:c r="Z2" s="5"/>
      <x:c r="AA2" s="5"/>
      <x:c r="AB2" s="5"/>
      <x:c r="AC2" s="5"/>
    </x:row>
    <x:row r="3" ht="32" customHeight="1">
      <x:c r="A3" s="1"/>
      <x:c r="B3" s="1"/>
      <x:c r="C3" s="6" t="str">
        <x:v>Gross S1 and alternative S2 totals. Market-based reporting includes every controlled operation when qualifying-market information exists anywhere.</x:v>
      </x:c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  <x:c r="AA3" s="3"/>
      <x:c r="AB3" s="3"/>
      <x:c r="AC3" s="3"/>
    </x:row>
    <x:row r="4" ht="26" customHeight="1">
      <x:c r="A4" s="1"/>
      <x:c r="B4" s="1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  <x:c r="Y4" s="3"/>
      <x:c r="Z4" s="3"/>
      <x:c r="AA4" s="3"/>
      <x:c r="AB4" s="3"/>
      <x:c r="AC4" s="3"/>
    </x:row>
    <x:row r="5" ht="42" customHeight="1">
      <x:c r="A5" s="1"/>
      <x:c r="B5" s="1"/>
      <x:c r="C5" s="3" t="str">
        <x:v>Scope 1 t</x:v>
      </x:c>
      <x:c r="D5" s="21" t="n">
        <x:f>SUM(U9:U108)</x:f>
        <x:v>115.24000000000001</x:v>
      </x:c>
      <x:c r="E5" s="3"/>
      <x:c r="F5" s="3"/>
      <x:c r="G5" s="3" t="str">
        <x:v>Scope 2 LB t</x:v>
      </x:c>
      <x:c r="H5" s="21" t="n">
        <x:f>SUM(V9:V108)</x:f>
        <x:v>1599</x:v>
      </x:c>
      <x:c r="I5" s="3"/>
      <x:c r="J5" s="3"/>
      <x:c r="K5" s="3" t="str">
        <x:v>Scope 2 MB t</x:v>
      </x:c>
      <x:c r="L5" s="21" t="n">
        <x:f>IF($H$6="Yes",SUM(W9:W108),"")</x:f>
        <x:v>1407</x:v>
      </x:c>
      <x:c r="M5" s="3"/>
      <x:c r="N5" s="3"/>
      <x:c r="O5" s="3" t="str">
        <x:v>Method source</x:v>
      </x:c>
      <x:c r="P5" s="3" t="str">
        <x:v>https://ghgprotocol.org/scope-2-guidance</x:v>
      </x:c>
      <x:c r="Q5" s="3"/>
      <x:c r="R5" s="3"/>
      <x:c r="S5" s="3"/>
      <x:c r="T5" s="3"/>
      <x:c r="U5" s="3"/>
      <x:c r="V5" s="3"/>
      <x:c r="W5" s="3"/>
      <x:c r="X5" s="3"/>
      <x:c r="Y5" s="3"/>
      <x:c r="Z5" s="3"/>
      <x:c r="AA5" s="3"/>
      <x:c r="AB5" s="3"/>
      <x:c r="AC5" s="3"/>
    </x:row>
    <x:row r="6" ht="42" customHeight="1">
      <x:c r="A6" s="1"/>
      <x:c r="B6" s="1"/>
      <x:c r="C6" s="3" t="str">
        <x:v>Control basis</x:v>
      </x:c>
      <x:c r="D6" s="8" t="str">
        <x:v>Operational control</x:v>
      </x:c>
      <x:c r="E6" s="3"/>
      <x:c r="F6" s="3"/>
      <x:c r="G6" s="3" t="str">
        <x:v>Dual reporting</x:v>
      </x:c>
      <x:c r="H6" s="3" t="str">
        <x:f>IF(COUNTIFS(F9:F108,"Yes",M9:M108,"&gt;0",L9:L108,"No")&gt;0,"Unknown",IF(COUNTIFS(F9:F108,"Yes",L9:L108,"Yes")&gt;0,"Yes",IF(COUNTIFS(F9:F108,"Yes")=0,"Unknown",IF(COUNTIFS(F9:F108,"Yes",L9:L108,"No")=COUNTIFS(F9:F108,"Yes"),"No","Unknown"))))</x:f>
        <x:v>Yes</x:v>
      </x:c>
      <x:c r="I6" s="3"/>
      <x:c r="J6" s="3"/>
      <x:c r="K6" s="3" t="str">
        <x:v>Inventory status</x:v>
      </x:c>
      <x:c r="L6" s="3" t="str">
        <x:f>IF(OR(COUNTA(C9:C108)&lt;&gt;COUNTIFS(F9:F108,"Yes")+COUNTIFS(F9:F108,"No"),COUNTIFS(F9:F108,"Yes")=0,COUNTIFS(F9:F108,"Yes")&lt;&gt;COUNTIFS(X9:X108,"Ready"),COUNTIFS(F9:F108,"Yes")&lt;&gt;COUNTIFS(Y9:Y108,"Ready"),$H$6="Unknown",AND($H$6="Yes",COUNTIFS(F9:F108,"Yes")&lt;&gt;COUNTIFS(Z9:Z108,"Ready")+COUNTIFS(Z9:Z108,"Grid fallback"))),"Incomplete","Complete for listed operations")</x:f>
        <x:v>Complete for listed operations</x:v>
      </x:c>
      <x:c r="M6" s="3"/>
      <x:c r="N6" s="3"/>
      <x:c r="O6" s="3"/>
      <x:c r="P6" s="3"/>
      <x:c r="Q6" s="3"/>
      <x:c r="R6" s="3"/>
      <x:c r="S6" s="3"/>
      <x:c r="T6" s="3"/>
      <x:c r="U6" s="3"/>
      <x:c r="V6" s="3"/>
      <x:c r="W6" s="3"/>
      <x:c r="X6" s="3"/>
      <x:c r="Y6" s="3"/>
      <x:c r="Z6" s="3"/>
      <x:c r="AA6" s="3"/>
      <x:c r="AB6" s="3"/>
      <x:c r="AC6" s="3"/>
    </x:row>
    <x:row r="7" ht="26" customHeight="1">
      <x:c r="A7" s="1"/>
      <x:c r="B7" s="1"/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3"/>
      <x:c r="Q7" s="3"/>
      <x:c r="R7" s="3"/>
      <x:c r="S7" s="3"/>
      <x:c r="T7" s="3"/>
      <x:c r="U7" s="3"/>
      <x:c r="V7" s="3"/>
      <x:c r="W7" s="3"/>
      <x:c r="X7" s="3"/>
      <x:c r="Y7" s="3"/>
      <x:c r="Z7" s="3"/>
      <x:c r="AA7" s="3"/>
      <x:c r="AB7" s="3"/>
      <x:c r="AC7" s="3"/>
    </x:row>
    <x:row r="8" ht="46" customHeight="1">
      <x:c r="A8" s="1"/>
      <x:c r="B8" s="1"/>
      <x:c r="C8" s="15" t="str">
        <x:v>Operation ID</x:v>
      </x:c>
      <x:c r="D8" s="15" t="str">
        <x:v>Country</x:v>
      </x:c>
      <x:c r="E8" s="15" t="str">
        <x:v>Operation</x:v>
      </x:c>
      <x:c r="F8" s="15" t="str">
        <x:v>Within control</x:v>
      </x:c>
      <x:c r="G8" s="15" t="str">
        <x:v>Year</x:v>
      </x:c>
      <x:c r="H8" s="15" t="str">
        <x:v>Diesel litres</x:v>
      </x:c>
      <x:c r="I8" s="15" t="str">
        <x:v>Fuel factor ID</x:v>
      </x:c>
      <x:c r="J8" s="15" t="str">
        <x:v>Electricity kWh</x:v>
      </x:c>
      <x:c r="K8" s="15" t="str">
        <x:v>LB factor ID</x:v>
      </x:c>
      <x:c r="L8" s="15" t="str">
        <x:v>Market information</x:v>
      </x:c>
      <x:c r="M8" s="15" t="str">
        <x:v>Contract kWh</x:v>
      </x:c>
      <x:c r="N8" s="15" t="str">
        <x:v>Contract factor ID</x:v>
      </x:c>
      <x:c r="O8" s="15" t="str">
        <x:v>8 criteria review</x:v>
      </x:c>
      <x:c r="P8" s="15" t="str">
        <x:v>Retirement evidence</x:v>
      </x:c>
      <x:c r="Q8" s="15" t="str">
        <x:v>Residual available</x:v>
      </x:c>
      <x:c r="R8" s="15" t="str">
        <x:v>Residual factor ID</x:v>
      </x:c>
      <x:c r="S8" s="15" t="str">
        <x:v>Activity evidence</x:v>
      </x:c>
      <x:c r="T8" s="15" t="str">
        <x:v>Expires</x:v>
      </x:c>
      <x:c r="U8" s="15" t="str">
        <x:v>S1 t</x:v>
      </x:c>
      <x:c r="V8" s="15" t="str">
        <x:v>S2 LB t</x:v>
      </x:c>
      <x:c r="W8" s="15" t="str">
        <x:v>S2 MB t</x:v>
      </x:c>
      <x:c r="X8" s="15" t="str">
        <x:v>S1 status</x:v>
      </x:c>
      <x:c r="Y8" s="15" t="str">
        <x:v>S2 LB status</x:v>
      </x:c>
      <x:c r="Z8" s="15" t="str">
        <x:v>S2 MB status</x:v>
      </x:c>
      <x:c r="AA8" s="15" t="str">
        <x:v>S1 boundary complete</x:v>
      </x:c>
      <x:c r="AB8" s="15" t="str">
        <x:v>Other S1 gross t</x:v>
      </x:c>
      <x:c r="AC8" s="15" t="str">
        <x:v>Other S1 evidence</x:v>
      </x:c>
    </x:row>
    <x:row r="9" ht="36" customHeight="1">
      <x:c r="A9" s="1"/>
      <x:c r="B9" s="1"/>
      <x:c r="C9" s="8" t="str">
        <x:v>OP01</x:v>
      </x:c>
      <x:c r="D9" s="8" t="str">
        <x:v>Egypt</x:v>
      </x:c>
      <x:c r="E9" s="8" t="str">
        <x:v>Cairo head office</x:v>
      </x:c>
      <x:c r="F9" s="8" t="str">
        <x:v>Yes</x:v>
      </x:c>
      <x:c r="G9" s="22" t="n">
        <x:v>2026</x:v>
      </x:c>
      <x:c r="H9" s="16" t="n">
        <x:v>18000</x:v>
      </x:c>
      <x:c r="I9" s="8" t="str">
        <x:v>GLOBAL-DIESEL-26</x:v>
      </x:c>
      <x:c r="J9" s="16" t="n">
        <x:v>1600000</x:v>
      </x:c>
      <x:c r="K9" s="8" t="str">
        <x:v>EG-GRID-26</x:v>
      </x:c>
      <x:c r="L9" s="8" t="str">
        <x:v>Yes</x:v>
      </x:c>
      <x:c r="M9" s="16" t="n">
        <x:v>600000</x:v>
      </x:c>
      <x:c r="N9" s="8" t="str">
        <x:v>EG-CONTRACT-26</x:v>
      </x:c>
      <x:c r="O9" s="8" t="str">
        <x:v>Pass</x:v>
      </x:c>
      <x:c r="P9" s="8" t="str">
        <x:v>SYN-RETIRE-EG</x:v>
      </x:c>
      <x:c r="Q9" s="8" t="str">
        <x:v>Yes</x:v>
      </x:c>
      <x:c r="R9" s="8" t="str">
        <x:v>EG-RESID-26</x:v>
      </x:c>
      <x:c r="S9" s="8" t="str">
        <x:v>SYN-OPS-01</x:v>
      </x:c>
      <x:c r="T9" s="40" t="n">
        <x:v>46752</x:v>
      </x:c>
      <x:c r="U9" s="23" t="n">
        <x:f>IF(X9="Ready",H9*IFERROR(IF(INDEX('Factors'!$G$9:$G$108,MATCH(I9,'Factors'!$C$9:$C$108,0))="","",INDEX('Factors'!$G$9:$G$108,MATCH(I9,'Factors'!$C$9:$C$108,0))),"")/1000+AB9,"")</x:f>
        <x:v>48.24</x:v>
      </x:c>
      <x:c r="V9" s="23" t="n">
        <x:f>IF(Y9="Ready",J9*IFERROR(IF(INDEX('Factors'!$G$9:$G$108,MATCH(K9,'Factors'!$C$9:$C$108,0))="","",INDEX('Factors'!$G$9:$G$108,MATCH(K9,'Factors'!$C$9:$C$108,0))),"")/1000,"")</x:f>
        <x:v>736</x:v>
      </x:c>
      <x:c r="W9" s="23" t="n">
        <x:f>IF(OR(Z9="Ready",Z9="Grid fallback"),(IF(M9&gt;0,M9*IFERROR(IF(INDEX('Factors'!$G$9:$G$108,MATCH(N9,'Factors'!$C$9:$C$108,0))="","",INDEX('Factors'!$G$9:$G$108,MATCH(N9,'Factors'!$C$9:$C$108,0))),""),0)+(J9-M9)*IF(M9=J9,0,IF(Q9="No",IFERROR(IF(INDEX('Factors'!$G$9:$G$108,MATCH(K9,'Factors'!$C$9:$C$108,0))="","",INDEX('Factors'!$G$9:$G$108,MATCH(K9,'Factors'!$C$9:$C$108,0))),""),IFERROR(IF(INDEX('Factors'!$G$9:$G$108,MATCH(R9,'Factors'!$C$9:$C$108,0))="","",INDEX('Factors'!$G$9:$G$108,MATCH(R9,'Factors'!$C$9:$C$108,0))),""))))/1000,"")</x:f>
        <x:v>535</x:v>
      </x:c>
      <x:c r="X9" s="9" t="str">
        <x:f>IF(C9="","",IF(AND($D$6&lt;&gt;"Operational control",$D$6&lt;&gt;"Financial control"),"Control basis required",IF(F9="No","Outside control",IF(F9&lt;&gt;"Yes","Control review",IF(COUNTIFS($C$9:$C$108,C9)&lt;&gt;1,"Duplicate operation ID",IF(OR(S9="",NOT(ISNUMBER(T9)),T9&lt;'Settings'!$F$8,NOT(ISNUMBER(G9)),G9&lt;&gt;YEAR('Settings'!$F$8)),"Evidence / period review",IF(OR(NOT(ISNUMBER(H9)),H9&lt;0,AA9&lt;&gt;"Yes",NOT(ISNUMBER(AB9)),AB9&lt;0,AC9=""),"Activity required",IF(AND(IFERROR(IF(INDEX('Factors'!$P$9:$P$108,MATCH(I9,'Factors'!$C$9:$C$108,0))="","",INDEX('Factors'!$P$9:$P$108,MATCH(I9,'Factors'!$C$9:$C$108,0))),"")="Ready",IFERROR(IF(INDEX('Factors'!$F$9:$F$108,MATCH(I9,'Factors'!$C$9:$C$108,0))="","",INDEX('Factors'!$F$9:$F$108,MATCH(I9,'Factors'!$C$9:$C$108,0))),"")="litre",IFERROR(IF(INDEX('Factors'!$H$9:$H$108,MATCH(I9,'Factors'!$C$9:$C$108,0))="","",INDEX('Factors'!$H$9:$H$108,MATCH(I9,'Factors'!$C$9:$C$108,0))),"")="S1",IFERROR(IF(INDEX('Factors'!$I$9:$I$108,MATCH(I9,'Factors'!$C$9:$C$108,0))="","",INDEX('Factors'!$I$9:$I$108,MATCH(I9,'Factors'!$C$9:$C$108,0))),"")="Combustion",IFERROR(IF(INDEX('Factors'!$J$9:$J$108,MATCH(I9,'Factors'!$C$9:$C$108,0))="","",INDEX('Factors'!$J$9:$J$108,MATCH(I9,'Factors'!$C$9:$C$108,0))),"")=G9,OR(IFERROR(IF(INDEX('Factors'!$E$9:$E$108,MATCH(I9,'Factors'!$C$9:$C$108,0))="","",INDEX('Factors'!$E$9:$E$108,MATCH(I9,'Factors'!$C$9:$C$108,0))),"")="Global",IFERROR(IF(INDEX('Factors'!$E$9:$E$108,MATCH(I9,'Factors'!$C$9:$C$108,0))="","",INDEX('Factors'!$E$9:$E$108,MATCH(I9,'Factors'!$C$9:$C$108,0))),"")=D9)),"Ready","Factor / unit review"))))))))</x:f>
        <x:v>Ready</x:v>
      </x:c>
      <x:c r="Y9" s="9" t="str">
        <x:f>IF(C9="","",IF(AND($D$6&lt;&gt;"Operational control",$D$6&lt;&gt;"Financial control"),"Control basis required",IF(F9="No","Outside control",IF(F9&lt;&gt;"Yes","Control review",IF(COUNTIFS($C$9:$C$108,C9)&lt;&gt;1,"Duplicate operation ID",IF(OR(S9="",NOT(ISNUMBER(T9)),T9&lt;'Settings'!$F$8,NOT(ISNUMBER(G9)),G9&lt;&gt;YEAR('Settings'!$F$8)),"Evidence / period review",IF(OR(NOT(ISNUMBER(J9)),J9&lt;0),"Activity required",IF(AND(IFERROR(IF(INDEX('Factors'!$P$9:$P$108,MATCH(K9,'Factors'!$C$9:$C$108,0))="","",INDEX('Factors'!$P$9:$P$108,MATCH(K9,'Factors'!$C$9:$C$108,0))),"")="Ready",IFERROR(IF(INDEX('Factors'!$F$9:$F$108,MATCH(K9,'Factors'!$C$9:$C$108,0))="","",INDEX('Factors'!$F$9:$F$108,MATCH(K9,'Factors'!$C$9:$C$108,0))),"")="kWh",IFERROR(IF(INDEX('Factors'!$H$9:$H$108,MATCH(K9,'Factors'!$C$9:$C$108,0))="","",INDEX('Factors'!$H$9:$H$108,MATCH(K9,'Factors'!$C$9:$C$108,0))),"")="S2",IFERROR(IF(INDEX('Factors'!$I$9:$I$108,MATCH(K9,'Factors'!$C$9:$C$108,0))="","",INDEX('Factors'!$I$9:$I$108,MATCH(K9,'Factors'!$C$9:$C$108,0))),"")="Location-based",IFERROR(IF(INDEX('Factors'!$J$9:$J$108,MATCH(K9,'Factors'!$C$9:$C$108,0))="","",INDEX('Factors'!$J$9:$J$108,MATCH(K9,'Factors'!$C$9:$C$108,0))),"")=G9,OR(IFERROR(IF(INDEX('Factors'!$E$9:$E$108,MATCH(K9,'Factors'!$C$9:$C$108,0))="","",INDEX('Factors'!$E$9:$E$108,MATCH(K9,'Factors'!$C$9:$C$108,0))),"")="Global",IFERROR(IF(INDEX('Factors'!$E$9:$E$108,MATCH(K9,'Factors'!$C$9:$C$108,0))="","",INDEX('Factors'!$E$9:$E$108,MATCH(K9,'Factors'!$C$9:$C$108,0))),"")=D9)),"Ready","Factor / unit review"))))))))</x:f>
        <x:v>Ready</x:v>
      </x:c>
      <x:c r="Z9" s="9" t="str">
        <x:f>IF(C9="","",IF(F9="No","Outside control",IF(F9&lt;&gt;"Yes","Control review",IF($H$6="No","Not required",IF($H$6&lt;&gt;"Yes","Applicability review",IF(Y9&lt;&gt;"Ready",Y9,IF(OR(NOT(ISNUMBER(M9)),M9&lt;0,M9&gt;J9),"Contract quantity review",IF(AND(M9&gt;0,OR(O9&lt;&gt;"Pass",P9="",NOT(AND(IFERROR(IF(INDEX('Factors'!$P$9:$P$108,MATCH(N9,'Factors'!$C$9:$C$108,0))="","",INDEX('Factors'!$P$9:$P$108,MATCH(N9,'Factors'!$C$9:$C$108,0))),"")="Ready",IFERROR(IF(INDEX('Factors'!$F$9:$F$108,MATCH(N9,'Factors'!$C$9:$C$108,0))="","",INDEX('Factors'!$F$9:$F$108,MATCH(N9,'Factors'!$C$9:$C$108,0))),"")="kWh",IFERROR(IF(INDEX('Factors'!$H$9:$H$108,MATCH(N9,'Factors'!$C$9:$C$108,0))="","",INDEX('Factors'!$H$9:$H$108,MATCH(N9,'Factors'!$C$9:$C$108,0))),"")="S2",IFERROR(IF(INDEX('Factors'!$I$9:$I$108,MATCH(N9,'Factors'!$C$9:$C$108,0))="","",INDEX('Factors'!$I$9:$I$108,MATCH(N9,'Factors'!$C$9:$C$108,0))),"")="Market-based",IFERROR(IF(INDEX('Factors'!$J$9:$J$108,MATCH(N9,'Factors'!$C$9:$C$108,0))="","",INDEX('Factors'!$J$9:$J$108,MATCH(N9,'Factors'!$C$9:$C$108,0))),"")=G9,OR(IFERROR(IF(INDEX('Factors'!$E$9:$E$108,MATCH(N9,'Factors'!$C$9:$C$108,0))="","",INDEX('Factors'!$E$9:$E$108,MATCH(N9,'Factors'!$C$9:$C$108,0))),"")="Global",IFERROR(IF(INDEX('Factors'!$E$9:$E$108,MATCH(N9,'Factors'!$C$9:$C$108,0))="","",INDEX('Factors'!$E$9:$E$108,MATCH(N9,'Factors'!$C$9:$C$108,0))),"")=D9))))),"Contract criteria review",IF(M9=J9,"Ready",IF(Q9="No","Grid fallback",IF(Q9="Yes",IF(AND(IFERROR(IF(INDEX('Factors'!$P$9:$P$108,MATCH(R9,'Factors'!$C$9:$C$108,0))="","",INDEX('Factors'!$P$9:$P$108,MATCH(R9,'Factors'!$C$9:$C$108,0))),"")="Ready",IFERROR(IF(INDEX('Factors'!$F$9:$F$108,MATCH(R9,'Factors'!$C$9:$C$108,0))="","",INDEX('Factors'!$F$9:$F$108,MATCH(R9,'Factors'!$C$9:$C$108,0))),"")="kWh",IFERROR(IF(INDEX('Factors'!$H$9:$H$108,MATCH(R9,'Factors'!$C$9:$C$108,0))="","",INDEX('Factors'!$H$9:$H$108,MATCH(R9,'Factors'!$C$9:$C$108,0))),"")="S2",IFERROR(IF(INDEX('Factors'!$I$9:$I$108,MATCH(R9,'Factors'!$C$9:$C$108,0))="","",INDEX('Factors'!$I$9:$I$108,MATCH(R9,'Factors'!$C$9:$C$108,0))),"")="Residual mix",IFERROR(IF(INDEX('Factors'!$J$9:$J$108,MATCH(R9,'Factors'!$C$9:$C$108,0))="","",INDEX('Factors'!$J$9:$J$108,MATCH(R9,'Factors'!$C$9:$C$108,0))),"")=G9,OR(IFERROR(IF(INDEX('Factors'!$E$9:$E$108,MATCH(R9,'Factors'!$C$9:$C$108,0))="","",INDEX('Factors'!$E$9:$E$108,MATCH(R9,'Factors'!$C$9:$C$108,0))),"")="Global",IFERROR(IF(INDEX('Factors'!$E$9:$E$108,MATCH(R9,'Factors'!$C$9:$C$108,0))="","",INDEX('Factors'!$E$9:$E$108,MATCH(R9,'Factors'!$C$9:$C$108,0))),"")=D9)),"Ready","Residual factor review"),"Residual availability review")))))))))))</x:f>
        <x:v>Ready</x:v>
      </x:c>
      <x:c r="AA9" s="8" t="str">
        <x:v>Yes</x:v>
      </x:c>
      <x:c r="AB9" s="16" t="n">
        <x:v>0</x:v>
      </x:c>
      <x:c r="AC9" s="8" t="str">
        <x:v>SYN-OTHER-S1-1</x:v>
      </x:c>
    </x:row>
    <x:row r="10" ht="36" customHeight="1">
      <x:c r="A10" s="1"/>
      <x:c r="B10" s="1"/>
      <x:c r="C10" s="8" t="str">
        <x:v>OP02</x:v>
      </x:c>
      <x:c r="D10" s="8" t="str">
        <x:v>Egypt</x:v>
      </x:c>
      <x:c r="E10" s="8" t="str">
        <x:v>Alexandria operations</x:v>
      </x:c>
      <x:c r="F10" s="8" t="str">
        <x:v>Yes</x:v>
      </x:c>
      <x:c r="G10" s="22" t="n">
        <x:v>2026</x:v>
      </x:c>
      <x:c r="H10" s="16" t="n">
        <x:v>12000</x:v>
      </x:c>
      <x:c r="I10" s="8" t="str">
        <x:v>GLOBAL-DIESEL-26</x:v>
      </x:c>
      <x:c r="J10" s="16" t="n">
        <x:v>900000</x:v>
      </x:c>
      <x:c r="K10" s="8" t="str">
        <x:v>EG-GRID-26</x:v>
      </x:c>
      <x:c r="L10" s="8" t="str">
        <x:v>Yes</x:v>
      </x:c>
      <x:c r="M10" s="16" t="n">
        <x:v>0</x:v>
      </x:c>
      <x:c r="N10" s="8"/>
      <x:c r="O10" s="8" t="str">
        <x:v>Not applicable</x:v>
      </x:c>
      <x:c r="P10" s="8"/>
      <x:c r="Q10" s="8" t="str">
        <x:v>Yes</x:v>
      </x:c>
      <x:c r="R10" s="8" t="str">
        <x:v>EG-RESID-26</x:v>
      </x:c>
      <x:c r="S10" s="8" t="str">
        <x:v>SYN-OPS-02</x:v>
      </x:c>
      <x:c r="T10" s="40" t="n">
        <x:v>46752</x:v>
      </x:c>
      <x:c r="U10" s="23" t="n">
        <x:f>IF(X10="Ready",H10*IFERROR(IF(INDEX('Factors'!$G$9:$G$108,MATCH(I10,'Factors'!$C$9:$C$108,0))="","",INDEX('Factors'!$G$9:$G$108,MATCH(I10,'Factors'!$C$9:$C$108,0))),"")/1000+AB10,"")</x:f>
        <x:v>32.160000000000004</x:v>
      </x:c>
      <x:c r="V10" s="23" t="n">
        <x:f>IF(Y10="Ready",J10*IFERROR(IF(INDEX('Factors'!$G$9:$G$108,MATCH(K10,'Factors'!$C$9:$C$108,0))="","",INDEX('Factors'!$G$9:$G$108,MATCH(K10,'Factors'!$C$9:$C$108,0))),"")/1000,"")</x:f>
        <x:v>414</x:v>
      </x:c>
      <x:c r="W10" s="23" t="n">
        <x:f>IF(OR(Z10="Ready",Z10="Grid fallback"),(IF(M10&gt;0,M10*IFERROR(IF(INDEX('Factors'!$G$9:$G$108,MATCH(N10,'Factors'!$C$9:$C$108,0))="","",INDEX('Factors'!$G$9:$G$108,MATCH(N10,'Factors'!$C$9:$C$108,0))),""),0)+(J10-M10)*IF(M10=J10,0,IF(Q10="No",IFERROR(IF(INDEX('Factors'!$G$9:$G$108,MATCH(K10,'Factors'!$C$9:$C$108,0))="","",INDEX('Factors'!$G$9:$G$108,MATCH(K10,'Factors'!$C$9:$C$108,0))),""),IFERROR(IF(INDEX('Factors'!$G$9:$G$108,MATCH(R10,'Factors'!$C$9:$C$108,0))="","",INDEX('Factors'!$G$9:$G$108,MATCH(R10,'Factors'!$C$9:$C$108,0))),""))))/1000,"")</x:f>
        <x:v>468</x:v>
      </x:c>
      <x:c r="X10" s="9" t="str">
        <x:f>IF(C10="","",IF(AND($D$6&lt;&gt;"Operational control",$D$6&lt;&gt;"Financial control"),"Control basis required",IF(F10="No","Outside control",IF(F10&lt;&gt;"Yes","Control review",IF(COUNTIFS($C$9:$C$108,C10)&lt;&gt;1,"Duplicate operation ID",IF(OR(S10="",NOT(ISNUMBER(T10)),T10&lt;'Settings'!$F$8,NOT(ISNUMBER(G10)),G10&lt;&gt;YEAR('Settings'!$F$8)),"Evidence / period review",IF(OR(NOT(ISNUMBER(H10)),H10&lt;0,AA10&lt;&gt;"Yes",NOT(ISNUMBER(AB10)),AB10&lt;0,AC10=""),"Activity required",IF(AND(IFERROR(IF(INDEX('Factors'!$P$9:$P$108,MATCH(I10,'Factors'!$C$9:$C$108,0))="","",INDEX('Factors'!$P$9:$P$108,MATCH(I10,'Factors'!$C$9:$C$108,0))),"")="Ready",IFERROR(IF(INDEX('Factors'!$F$9:$F$108,MATCH(I10,'Factors'!$C$9:$C$108,0))="","",INDEX('Factors'!$F$9:$F$108,MATCH(I10,'Factors'!$C$9:$C$108,0))),"")="litre",IFERROR(IF(INDEX('Factors'!$H$9:$H$108,MATCH(I10,'Factors'!$C$9:$C$108,0))="","",INDEX('Factors'!$H$9:$H$108,MATCH(I10,'Factors'!$C$9:$C$108,0))),"")="S1",IFERROR(IF(INDEX('Factors'!$I$9:$I$108,MATCH(I10,'Factors'!$C$9:$C$108,0))="","",INDEX('Factors'!$I$9:$I$108,MATCH(I10,'Factors'!$C$9:$C$108,0))),"")="Combustion",IFERROR(IF(INDEX('Factors'!$J$9:$J$108,MATCH(I10,'Factors'!$C$9:$C$108,0))="","",INDEX('Factors'!$J$9:$J$108,MATCH(I10,'Factors'!$C$9:$C$108,0))),"")=G10,OR(IFERROR(IF(INDEX('Factors'!$E$9:$E$108,MATCH(I10,'Factors'!$C$9:$C$108,0))="","",INDEX('Factors'!$E$9:$E$108,MATCH(I10,'Factors'!$C$9:$C$108,0))),"")="Global",IFERROR(IF(INDEX('Factors'!$E$9:$E$108,MATCH(I10,'Factors'!$C$9:$C$108,0))="","",INDEX('Factors'!$E$9:$E$108,MATCH(I10,'Factors'!$C$9:$C$108,0))),"")=D10)),"Ready","Factor / unit review"))))))))</x:f>
        <x:v>Ready</x:v>
      </x:c>
      <x:c r="Y10" s="9" t="str">
        <x:f>IF(C10="","",IF(AND($D$6&lt;&gt;"Operational control",$D$6&lt;&gt;"Financial control"),"Control basis required",IF(F10="No","Outside control",IF(F10&lt;&gt;"Yes","Control review",IF(COUNTIFS($C$9:$C$108,C10)&lt;&gt;1,"Duplicate operation ID",IF(OR(S10="",NOT(ISNUMBER(T10)),T10&lt;'Settings'!$F$8,NOT(ISNUMBER(G10)),G10&lt;&gt;YEAR('Settings'!$F$8)),"Evidence / period review",IF(OR(NOT(ISNUMBER(J10)),J10&lt;0),"Activity required",IF(AND(IFERROR(IF(INDEX('Factors'!$P$9:$P$108,MATCH(K10,'Factors'!$C$9:$C$108,0))="","",INDEX('Factors'!$P$9:$P$108,MATCH(K10,'Factors'!$C$9:$C$108,0))),"")="Ready",IFERROR(IF(INDEX('Factors'!$F$9:$F$108,MATCH(K10,'Factors'!$C$9:$C$108,0))="","",INDEX('Factors'!$F$9:$F$108,MATCH(K10,'Factors'!$C$9:$C$108,0))),"")="kWh",IFERROR(IF(INDEX('Factors'!$H$9:$H$108,MATCH(K10,'Factors'!$C$9:$C$108,0))="","",INDEX('Factors'!$H$9:$H$108,MATCH(K10,'Factors'!$C$9:$C$108,0))),"")="S2",IFERROR(IF(INDEX('Factors'!$I$9:$I$108,MATCH(K10,'Factors'!$C$9:$C$108,0))="","",INDEX('Factors'!$I$9:$I$108,MATCH(K10,'Factors'!$C$9:$C$108,0))),"")="Location-based",IFERROR(IF(INDEX('Factors'!$J$9:$J$108,MATCH(K10,'Factors'!$C$9:$C$108,0))="","",INDEX('Factors'!$J$9:$J$108,MATCH(K10,'Factors'!$C$9:$C$108,0))),"")=G10,OR(IFERROR(IF(INDEX('Factors'!$E$9:$E$108,MATCH(K10,'Factors'!$C$9:$C$108,0))="","",INDEX('Factors'!$E$9:$E$108,MATCH(K10,'Factors'!$C$9:$C$108,0))),"")="Global",IFERROR(IF(INDEX('Factors'!$E$9:$E$108,MATCH(K10,'Factors'!$C$9:$C$108,0))="","",INDEX('Factors'!$E$9:$E$108,MATCH(K10,'Factors'!$C$9:$C$108,0))),"")=D10)),"Ready","Factor / unit review"))))))))</x:f>
        <x:v>Ready</x:v>
      </x:c>
      <x:c r="Z10" s="9" t="str">
        <x:f>IF(C10="","",IF(F10="No","Outside control",IF(F10&lt;&gt;"Yes","Control review",IF($H$6="No","Not required",IF($H$6&lt;&gt;"Yes","Applicability review",IF(Y10&lt;&gt;"Ready",Y10,IF(OR(NOT(ISNUMBER(M10)),M10&lt;0,M10&gt;J10),"Contract quantity review",IF(AND(M10&gt;0,OR(O10&lt;&gt;"Pass",P10="",NOT(AND(IFERROR(IF(INDEX('Factors'!$P$9:$P$108,MATCH(N10,'Factors'!$C$9:$C$108,0))="","",INDEX('Factors'!$P$9:$P$108,MATCH(N10,'Factors'!$C$9:$C$108,0))),"")="Ready",IFERROR(IF(INDEX('Factors'!$F$9:$F$108,MATCH(N10,'Factors'!$C$9:$C$108,0))="","",INDEX('Factors'!$F$9:$F$108,MATCH(N10,'Factors'!$C$9:$C$108,0))),"")="kWh",IFERROR(IF(INDEX('Factors'!$H$9:$H$108,MATCH(N10,'Factors'!$C$9:$C$108,0))="","",INDEX('Factors'!$H$9:$H$108,MATCH(N10,'Factors'!$C$9:$C$108,0))),"")="S2",IFERROR(IF(INDEX('Factors'!$I$9:$I$108,MATCH(N10,'Factors'!$C$9:$C$108,0))="","",INDEX('Factors'!$I$9:$I$108,MATCH(N10,'Factors'!$C$9:$C$108,0))),"")="Market-based",IFERROR(IF(INDEX('Factors'!$J$9:$J$108,MATCH(N10,'Factors'!$C$9:$C$108,0))="","",INDEX('Factors'!$J$9:$J$108,MATCH(N10,'Factors'!$C$9:$C$108,0))),"")=G10,OR(IFERROR(IF(INDEX('Factors'!$E$9:$E$108,MATCH(N10,'Factors'!$C$9:$C$108,0))="","",INDEX('Factors'!$E$9:$E$108,MATCH(N10,'Factors'!$C$9:$C$108,0))),"")="Global",IFERROR(IF(INDEX('Factors'!$E$9:$E$108,MATCH(N10,'Factors'!$C$9:$C$108,0))="","",INDEX('Factors'!$E$9:$E$108,MATCH(N10,'Factors'!$C$9:$C$108,0))),"")=D10))))),"Contract criteria review",IF(M10=J10,"Ready",IF(Q10="No","Grid fallback",IF(Q10="Yes",IF(AND(IFERROR(IF(INDEX('Factors'!$P$9:$P$108,MATCH(R10,'Factors'!$C$9:$C$108,0))="","",INDEX('Factors'!$P$9:$P$108,MATCH(R10,'Factors'!$C$9:$C$108,0))),"")="Ready",IFERROR(IF(INDEX('Factors'!$F$9:$F$108,MATCH(R10,'Factors'!$C$9:$C$108,0))="","",INDEX('Factors'!$F$9:$F$108,MATCH(R10,'Factors'!$C$9:$C$108,0))),"")="kWh",IFERROR(IF(INDEX('Factors'!$H$9:$H$108,MATCH(R10,'Factors'!$C$9:$C$108,0))="","",INDEX('Factors'!$H$9:$H$108,MATCH(R10,'Factors'!$C$9:$C$108,0))),"")="S2",IFERROR(IF(INDEX('Factors'!$I$9:$I$108,MATCH(R10,'Factors'!$C$9:$C$108,0))="","",INDEX('Factors'!$I$9:$I$108,MATCH(R10,'Factors'!$C$9:$C$108,0))),"")="Residual mix",IFERROR(IF(INDEX('Factors'!$J$9:$J$108,MATCH(R10,'Factors'!$C$9:$C$108,0))="","",INDEX('Factors'!$J$9:$J$108,MATCH(R10,'Factors'!$C$9:$C$108,0))),"")=G10,OR(IFERROR(IF(INDEX('Factors'!$E$9:$E$108,MATCH(R10,'Factors'!$C$9:$C$108,0))="","",INDEX('Factors'!$E$9:$E$108,MATCH(R10,'Factors'!$C$9:$C$108,0))),"")="Global",IFERROR(IF(INDEX('Factors'!$E$9:$E$108,MATCH(R10,'Factors'!$C$9:$C$108,0))="","",INDEX('Factors'!$E$9:$E$108,MATCH(R10,'Factors'!$C$9:$C$108,0))),"")=D10)),"Ready","Residual factor review"),"Residual availability review")))))))))))</x:f>
        <x:v>Ready</x:v>
      </x:c>
      <x:c r="AA10" s="8" t="str">
        <x:v>Yes</x:v>
      </x:c>
      <x:c r="AB10" s="16" t="n">
        <x:v>0</x:v>
      </x:c>
      <x:c r="AC10" s="8" t="str">
        <x:v>SYN-OTHER-S1-2</x:v>
      </x:c>
    </x:row>
    <x:row r="11" ht="36" customHeight="1">
      <x:c r="A11" s="1"/>
      <x:c r="B11" s="1"/>
      <x:c r="C11" s="8" t="str">
        <x:v>OP03</x:v>
      </x:c>
      <x:c r="D11" s="8" t="str">
        <x:v>Jordan</x:v>
      </x:c>
      <x:c r="E11" s="8" t="str">
        <x:v>Amman operations</x:v>
      </x:c>
      <x:c r="F11" s="8" t="str">
        <x:v>Yes</x:v>
      </x:c>
      <x:c r="G11" s="22" t="n">
        <x:v>2026</x:v>
      </x:c>
      <x:c r="H11" s="16" t="n">
        <x:v>8000</x:v>
      </x:c>
      <x:c r="I11" s="8" t="str">
        <x:v>GLOBAL-DIESEL-26</x:v>
      </x:c>
      <x:c r="J11" s="16" t="n">
        <x:v>500000</x:v>
      </x:c>
      <x:c r="K11" s="8" t="str">
        <x:v>JO-GRID-26</x:v>
      </x:c>
      <x:c r="L11" s="8" t="str">
        <x:v>Yes</x:v>
      </x:c>
      <x:c r="M11" s="16" t="n">
        <x:v>200000</x:v>
      </x:c>
      <x:c r="N11" s="8" t="str">
        <x:v>JO-CONTRACT-26</x:v>
      </x:c>
      <x:c r="O11" s="8" t="str">
        <x:v>Pass</x:v>
      </x:c>
      <x:c r="P11" s="8" t="str">
        <x:v>SYN-RETIRE-JO</x:v>
      </x:c>
      <x:c r="Q11" s="8" t="str">
        <x:v>No</x:v>
      </x:c>
      <x:c r="R11" s="8"/>
      <x:c r="S11" s="8" t="str">
        <x:v>SYN-OPS-03</x:v>
      </x:c>
      <x:c r="T11" s="40" t="n">
        <x:v>46752</x:v>
      </x:c>
      <x:c r="U11" s="23" t="n">
        <x:f>IF(X11="Ready",H11*IFERROR(IF(INDEX('Factors'!$G$9:$G$108,MATCH(I11,'Factors'!$C$9:$C$108,0))="","",INDEX('Factors'!$G$9:$G$108,MATCH(I11,'Factors'!$C$9:$C$108,0))),"")/1000+AB11,"")</x:f>
        <x:v>21.44</x:v>
      </x:c>
      <x:c r="V11" s="23" t="n">
        <x:f>IF(Y11="Ready",J11*IFERROR(IF(INDEX('Factors'!$G$9:$G$108,MATCH(K11,'Factors'!$C$9:$C$108,0))="","",INDEX('Factors'!$G$9:$G$108,MATCH(K11,'Factors'!$C$9:$C$108,0))),"")/1000,"")</x:f>
        <x:v>215</x:v>
      </x:c>
      <x:c r="W11" s="23" t="n">
        <x:f>IF(OR(Z11="Ready",Z11="Grid fallback"),(IF(M11&gt;0,M11*IFERROR(IF(INDEX('Factors'!$G$9:$G$108,MATCH(N11,'Factors'!$C$9:$C$108,0))="","",INDEX('Factors'!$G$9:$G$108,MATCH(N11,'Factors'!$C$9:$C$108,0))),""),0)+(J11-M11)*IF(M11=J11,0,IF(Q11="No",IFERROR(IF(INDEX('Factors'!$G$9:$G$108,MATCH(K11,'Factors'!$C$9:$C$108,0))="","",INDEX('Factors'!$G$9:$G$108,MATCH(K11,'Factors'!$C$9:$C$108,0))),""),IFERROR(IF(INDEX('Factors'!$G$9:$G$108,MATCH(R11,'Factors'!$C$9:$C$108,0))="","",INDEX('Factors'!$G$9:$G$108,MATCH(R11,'Factors'!$C$9:$C$108,0))),""))))/1000,"")</x:f>
        <x:v>134</x:v>
      </x:c>
      <x:c r="X11" s="9" t="str">
        <x:f>IF(C11="","",IF(AND($D$6&lt;&gt;"Operational control",$D$6&lt;&gt;"Financial control"),"Control basis required",IF(F11="No","Outside control",IF(F11&lt;&gt;"Yes","Control review",IF(COUNTIFS($C$9:$C$108,C11)&lt;&gt;1,"Duplicate operation ID",IF(OR(S11="",NOT(ISNUMBER(T11)),T11&lt;'Settings'!$F$8,NOT(ISNUMBER(G11)),G11&lt;&gt;YEAR('Settings'!$F$8)),"Evidence / period review",IF(OR(NOT(ISNUMBER(H11)),H11&lt;0,AA11&lt;&gt;"Yes",NOT(ISNUMBER(AB11)),AB11&lt;0,AC11=""),"Activity required",IF(AND(IFERROR(IF(INDEX('Factors'!$P$9:$P$108,MATCH(I11,'Factors'!$C$9:$C$108,0))="","",INDEX('Factors'!$P$9:$P$108,MATCH(I11,'Factors'!$C$9:$C$108,0))),"")="Ready",IFERROR(IF(INDEX('Factors'!$F$9:$F$108,MATCH(I11,'Factors'!$C$9:$C$108,0))="","",INDEX('Factors'!$F$9:$F$108,MATCH(I11,'Factors'!$C$9:$C$108,0))),"")="litre",IFERROR(IF(INDEX('Factors'!$H$9:$H$108,MATCH(I11,'Factors'!$C$9:$C$108,0))="","",INDEX('Factors'!$H$9:$H$108,MATCH(I11,'Factors'!$C$9:$C$108,0))),"")="S1",IFERROR(IF(INDEX('Factors'!$I$9:$I$108,MATCH(I11,'Factors'!$C$9:$C$108,0))="","",INDEX('Factors'!$I$9:$I$108,MATCH(I11,'Factors'!$C$9:$C$108,0))),"")="Combustion",IFERROR(IF(INDEX('Factors'!$J$9:$J$108,MATCH(I11,'Factors'!$C$9:$C$108,0))="","",INDEX('Factors'!$J$9:$J$108,MATCH(I11,'Factors'!$C$9:$C$108,0))),"")=G11,OR(IFERROR(IF(INDEX('Factors'!$E$9:$E$108,MATCH(I11,'Factors'!$C$9:$C$108,0))="","",INDEX('Factors'!$E$9:$E$108,MATCH(I11,'Factors'!$C$9:$C$108,0))),"")="Global",IFERROR(IF(INDEX('Factors'!$E$9:$E$108,MATCH(I11,'Factors'!$C$9:$C$108,0))="","",INDEX('Factors'!$E$9:$E$108,MATCH(I11,'Factors'!$C$9:$C$108,0))),"")=D11)),"Ready","Factor / unit review"))))))))</x:f>
        <x:v>Ready</x:v>
      </x:c>
      <x:c r="Y11" s="9" t="str">
        <x:f>IF(C11="","",IF(AND($D$6&lt;&gt;"Operational control",$D$6&lt;&gt;"Financial control"),"Control basis required",IF(F11="No","Outside control",IF(F11&lt;&gt;"Yes","Control review",IF(COUNTIFS($C$9:$C$108,C11)&lt;&gt;1,"Duplicate operation ID",IF(OR(S11="",NOT(ISNUMBER(T11)),T11&lt;'Settings'!$F$8,NOT(ISNUMBER(G11)),G11&lt;&gt;YEAR('Settings'!$F$8)),"Evidence / period review",IF(OR(NOT(ISNUMBER(J11)),J11&lt;0),"Activity required",IF(AND(IFERROR(IF(INDEX('Factors'!$P$9:$P$108,MATCH(K11,'Factors'!$C$9:$C$108,0))="","",INDEX('Factors'!$P$9:$P$108,MATCH(K11,'Factors'!$C$9:$C$108,0))),"")="Ready",IFERROR(IF(INDEX('Factors'!$F$9:$F$108,MATCH(K11,'Factors'!$C$9:$C$108,0))="","",INDEX('Factors'!$F$9:$F$108,MATCH(K11,'Factors'!$C$9:$C$108,0))),"")="kWh",IFERROR(IF(INDEX('Factors'!$H$9:$H$108,MATCH(K11,'Factors'!$C$9:$C$108,0))="","",INDEX('Factors'!$H$9:$H$108,MATCH(K11,'Factors'!$C$9:$C$108,0))),"")="S2",IFERROR(IF(INDEX('Factors'!$I$9:$I$108,MATCH(K11,'Factors'!$C$9:$C$108,0))="","",INDEX('Factors'!$I$9:$I$108,MATCH(K11,'Factors'!$C$9:$C$108,0))),"")="Location-based",IFERROR(IF(INDEX('Factors'!$J$9:$J$108,MATCH(K11,'Factors'!$C$9:$C$108,0))="","",INDEX('Factors'!$J$9:$J$108,MATCH(K11,'Factors'!$C$9:$C$108,0))),"")=G11,OR(IFERROR(IF(INDEX('Factors'!$E$9:$E$108,MATCH(K11,'Factors'!$C$9:$C$108,0))="","",INDEX('Factors'!$E$9:$E$108,MATCH(K11,'Factors'!$C$9:$C$108,0))),"")="Global",IFERROR(IF(INDEX('Factors'!$E$9:$E$108,MATCH(K11,'Factors'!$C$9:$C$108,0))="","",INDEX('Factors'!$E$9:$E$108,MATCH(K11,'Factors'!$C$9:$C$108,0))),"")=D11)),"Ready","Factor / unit review"))))))))</x:f>
        <x:v>Ready</x:v>
      </x:c>
      <x:c r="Z11" s="9" t="str">
        <x:f>IF(C11="","",IF(F11="No","Outside control",IF(F11&lt;&gt;"Yes","Control review",IF($H$6="No","Not required",IF($H$6&lt;&gt;"Yes","Applicability review",IF(Y11&lt;&gt;"Ready",Y11,IF(OR(NOT(ISNUMBER(M11)),M11&lt;0,M11&gt;J11),"Contract quantity review",IF(AND(M11&gt;0,OR(O11&lt;&gt;"Pass",P11="",NOT(AND(IFERROR(IF(INDEX('Factors'!$P$9:$P$108,MATCH(N11,'Factors'!$C$9:$C$108,0))="","",INDEX('Factors'!$P$9:$P$108,MATCH(N11,'Factors'!$C$9:$C$108,0))),"")="Ready",IFERROR(IF(INDEX('Factors'!$F$9:$F$108,MATCH(N11,'Factors'!$C$9:$C$108,0))="","",INDEX('Factors'!$F$9:$F$108,MATCH(N11,'Factors'!$C$9:$C$108,0))),"")="kWh",IFERROR(IF(INDEX('Factors'!$H$9:$H$108,MATCH(N11,'Factors'!$C$9:$C$108,0))="","",INDEX('Factors'!$H$9:$H$108,MATCH(N11,'Factors'!$C$9:$C$108,0))),"")="S2",IFERROR(IF(INDEX('Factors'!$I$9:$I$108,MATCH(N11,'Factors'!$C$9:$C$108,0))="","",INDEX('Factors'!$I$9:$I$108,MATCH(N11,'Factors'!$C$9:$C$108,0))),"")="Market-based",IFERROR(IF(INDEX('Factors'!$J$9:$J$108,MATCH(N11,'Factors'!$C$9:$C$108,0))="","",INDEX('Factors'!$J$9:$J$108,MATCH(N11,'Factors'!$C$9:$C$108,0))),"")=G11,OR(IFERROR(IF(INDEX('Factors'!$E$9:$E$108,MATCH(N11,'Factors'!$C$9:$C$108,0))="","",INDEX('Factors'!$E$9:$E$108,MATCH(N11,'Factors'!$C$9:$C$108,0))),"")="Global",IFERROR(IF(INDEX('Factors'!$E$9:$E$108,MATCH(N11,'Factors'!$C$9:$C$108,0))="","",INDEX('Factors'!$E$9:$E$108,MATCH(N11,'Factors'!$C$9:$C$108,0))),"")=D11))))),"Contract criteria review",IF(M11=J11,"Ready",IF(Q11="No","Grid fallback",IF(Q11="Yes",IF(AND(IFERROR(IF(INDEX('Factors'!$P$9:$P$108,MATCH(R11,'Factors'!$C$9:$C$108,0))="","",INDEX('Factors'!$P$9:$P$108,MATCH(R11,'Factors'!$C$9:$C$108,0))),"")="Ready",IFERROR(IF(INDEX('Factors'!$F$9:$F$108,MATCH(R11,'Factors'!$C$9:$C$108,0))="","",INDEX('Factors'!$F$9:$F$108,MATCH(R11,'Factors'!$C$9:$C$108,0))),"")="kWh",IFERROR(IF(INDEX('Factors'!$H$9:$H$108,MATCH(R11,'Factors'!$C$9:$C$108,0))="","",INDEX('Factors'!$H$9:$H$108,MATCH(R11,'Factors'!$C$9:$C$108,0))),"")="S2",IFERROR(IF(INDEX('Factors'!$I$9:$I$108,MATCH(R11,'Factors'!$C$9:$C$108,0))="","",INDEX('Factors'!$I$9:$I$108,MATCH(R11,'Factors'!$C$9:$C$108,0))),"")="Residual mix",IFERROR(IF(INDEX('Factors'!$J$9:$J$108,MATCH(R11,'Factors'!$C$9:$C$108,0))="","",INDEX('Factors'!$J$9:$J$108,MATCH(R11,'Factors'!$C$9:$C$108,0))),"")=G11,OR(IFERROR(IF(INDEX('Factors'!$E$9:$E$108,MATCH(R11,'Factors'!$C$9:$C$108,0))="","",INDEX('Factors'!$E$9:$E$108,MATCH(R11,'Factors'!$C$9:$C$108,0))),"")="Global",IFERROR(IF(INDEX('Factors'!$E$9:$E$108,MATCH(R11,'Factors'!$C$9:$C$108,0))="","",INDEX('Factors'!$E$9:$E$108,MATCH(R11,'Factors'!$C$9:$C$108,0))),"")=D11)),"Ready","Residual factor review"),"Residual availability review")))))))))))</x:f>
        <x:v>Grid fallback</x:v>
      </x:c>
      <x:c r="AA11" s="8" t="str">
        <x:v>Yes</x:v>
      </x:c>
      <x:c r="AB11" s="16" t="n">
        <x:v>0</x:v>
      </x:c>
      <x:c r="AC11" s="8" t="str">
        <x:v>SYN-OTHER-S1-3</x:v>
      </x:c>
    </x:row>
    <x:row r="12" ht="36" customHeight="1">
      <x:c r="A12" s="1"/>
      <x:c r="B12" s="1"/>
      <x:c r="C12" s="8" t="str">
        <x:v>OP04</x:v>
      </x:c>
      <x:c r="D12" s="8" t="str">
        <x:v>UAE</x:v>
      </x:c>
      <x:c r="E12" s="8" t="str">
        <x:v>Dubai operations</x:v>
      </x:c>
      <x:c r="F12" s="8" t="str">
        <x:v>Yes</x:v>
      </x:c>
      <x:c r="G12" s="22" t="n">
        <x:v>2026</x:v>
      </x:c>
      <x:c r="H12" s="16" t="n">
        <x:v>5000</x:v>
      </x:c>
      <x:c r="I12" s="8" t="str">
        <x:v>GLOBAL-DIESEL-26</x:v>
      </x:c>
      <x:c r="J12" s="16" t="n">
        <x:v>600000</x:v>
      </x:c>
      <x:c r="K12" s="8" t="str">
        <x:v>AE-GRID-26</x:v>
      </x:c>
      <x:c r="L12" s="8" t="str">
        <x:v>Yes</x:v>
      </x:c>
      <x:c r="M12" s="16" t="n">
        <x:v>0</x:v>
      </x:c>
      <x:c r="N12" s="8"/>
      <x:c r="O12" s="8" t="str">
        <x:v>Not applicable</x:v>
      </x:c>
      <x:c r="P12" s="8"/>
      <x:c r="Q12" s="8" t="str">
        <x:v>Yes</x:v>
      </x:c>
      <x:c r="R12" s="8" t="str">
        <x:v>AE-RESID-26</x:v>
      </x:c>
      <x:c r="S12" s="8" t="str">
        <x:v>SYN-OPS-04</x:v>
      </x:c>
      <x:c r="T12" s="40" t="n">
        <x:v>46752</x:v>
      </x:c>
      <x:c r="U12" s="23" t="n">
        <x:f>IF(X12="Ready",H12*IFERROR(IF(INDEX('Factors'!$G$9:$G$108,MATCH(I12,'Factors'!$C$9:$C$108,0))="","",INDEX('Factors'!$G$9:$G$108,MATCH(I12,'Factors'!$C$9:$C$108,0))),"")/1000+AB12,"")</x:f>
        <x:v>13.4</x:v>
      </x:c>
      <x:c r="V12" s="23" t="n">
        <x:f>IF(Y12="Ready",J12*IFERROR(IF(INDEX('Factors'!$G$9:$G$108,MATCH(K12,'Factors'!$C$9:$C$108,0))="","",INDEX('Factors'!$G$9:$G$108,MATCH(K12,'Factors'!$C$9:$C$108,0))),"")/1000,"")</x:f>
        <x:v>234</x:v>
      </x:c>
      <x:c r="W12" s="23" t="n">
        <x:f>IF(OR(Z12="Ready",Z12="Grid fallback"),(IF(M12&gt;0,M12*IFERROR(IF(INDEX('Factors'!$G$9:$G$108,MATCH(N12,'Factors'!$C$9:$C$108,0))="","",INDEX('Factors'!$G$9:$G$108,MATCH(N12,'Factors'!$C$9:$C$108,0))),""),0)+(J12-M12)*IF(M12=J12,0,IF(Q12="No",IFERROR(IF(INDEX('Factors'!$G$9:$G$108,MATCH(K12,'Factors'!$C$9:$C$108,0))="","",INDEX('Factors'!$G$9:$G$108,MATCH(K12,'Factors'!$C$9:$C$108,0))),""),IFERROR(IF(INDEX('Factors'!$G$9:$G$108,MATCH(R12,'Factors'!$C$9:$C$108,0))="","",INDEX('Factors'!$G$9:$G$108,MATCH(R12,'Factors'!$C$9:$C$108,0))),""))))/1000,"")</x:f>
        <x:v>270</x:v>
      </x:c>
      <x:c r="X12" s="9" t="str">
        <x:f>IF(C12="","",IF(AND($D$6&lt;&gt;"Operational control",$D$6&lt;&gt;"Financial control"),"Control basis required",IF(F12="No","Outside control",IF(F12&lt;&gt;"Yes","Control review",IF(COUNTIFS($C$9:$C$108,C12)&lt;&gt;1,"Duplicate operation ID",IF(OR(S12="",NOT(ISNUMBER(T12)),T12&lt;'Settings'!$F$8,NOT(ISNUMBER(G12)),G12&lt;&gt;YEAR('Settings'!$F$8)),"Evidence / period review",IF(OR(NOT(ISNUMBER(H12)),H12&lt;0,AA12&lt;&gt;"Yes",NOT(ISNUMBER(AB12)),AB12&lt;0,AC12=""),"Activity required",IF(AND(IFERROR(IF(INDEX('Factors'!$P$9:$P$108,MATCH(I12,'Factors'!$C$9:$C$108,0))="","",INDEX('Factors'!$P$9:$P$108,MATCH(I12,'Factors'!$C$9:$C$108,0))),"")="Ready",IFERROR(IF(INDEX('Factors'!$F$9:$F$108,MATCH(I12,'Factors'!$C$9:$C$108,0))="","",INDEX('Factors'!$F$9:$F$108,MATCH(I12,'Factors'!$C$9:$C$108,0))),"")="litre",IFERROR(IF(INDEX('Factors'!$H$9:$H$108,MATCH(I12,'Factors'!$C$9:$C$108,0))="","",INDEX('Factors'!$H$9:$H$108,MATCH(I12,'Factors'!$C$9:$C$108,0))),"")="S1",IFERROR(IF(INDEX('Factors'!$I$9:$I$108,MATCH(I12,'Factors'!$C$9:$C$108,0))="","",INDEX('Factors'!$I$9:$I$108,MATCH(I12,'Factors'!$C$9:$C$108,0))),"")="Combustion",IFERROR(IF(INDEX('Factors'!$J$9:$J$108,MATCH(I12,'Factors'!$C$9:$C$108,0))="","",INDEX('Factors'!$J$9:$J$108,MATCH(I12,'Factors'!$C$9:$C$108,0))),"")=G12,OR(IFERROR(IF(INDEX('Factors'!$E$9:$E$108,MATCH(I12,'Factors'!$C$9:$C$108,0))="","",INDEX('Factors'!$E$9:$E$108,MATCH(I12,'Factors'!$C$9:$C$108,0))),"")="Global",IFERROR(IF(INDEX('Factors'!$E$9:$E$108,MATCH(I12,'Factors'!$C$9:$C$108,0))="","",INDEX('Factors'!$E$9:$E$108,MATCH(I12,'Factors'!$C$9:$C$108,0))),"")=D12)),"Ready","Factor / unit review"))))))))</x:f>
        <x:v>Ready</x:v>
      </x:c>
      <x:c r="Y12" s="9" t="str">
        <x:f>IF(C12="","",IF(AND($D$6&lt;&gt;"Operational control",$D$6&lt;&gt;"Financial control"),"Control basis required",IF(F12="No","Outside control",IF(F12&lt;&gt;"Yes","Control review",IF(COUNTIFS($C$9:$C$108,C12)&lt;&gt;1,"Duplicate operation ID",IF(OR(S12="",NOT(ISNUMBER(T12)),T12&lt;'Settings'!$F$8,NOT(ISNUMBER(G12)),G12&lt;&gt;YEAR('Settings'!$F$8)),"Evidence / period review",IF(OR(NOT(ISNUMBER(J12)),J12&lt;0),"Activity required",IF(AND(IFERROR(IF(INDEX('Factors'!$P$9:$P$108,MATCH(K12,'Factors'!$C$9:$C$108,0))="","",INDEX('Factors'!$P$9:$P$108,MATCH(K12,'Factors'!$C$9:$C$108,0))),"")="Ready",IFERROR(IF(INDEX('Factors'!$F$9:$F$108,MATCH(K12,'Factors'!$C$9:$C$108,0))="","",INDEX('Factors'!$F$9:$F$108,MATCH(K12,'Factors'!$C$9:$C$108,0))),"")="kWh",IFERROR(IF(INDEX('Factors'!$H$9:$H$108,MATCH(K12,'Factors'!$C$9:$C$108,0))="","",INDEX('Factors'!$H$9:$H$108,MATCH(K12,'Factors'!$C$9:$C$108,0))),"")="S2",IFERROR(IF(INDEX('Factors'!$I$9:$I$108,MATCH(K12,'Factors'!$C$9:$C$108,0))="","",INDEX('Factors'!$I$9:$I$108,MATCH(K12,'Factors'!$C$9:$C$108,0))),"")="Location-based",IFERROR(IF(INDEX('Factors'!$J$9:$J$108,MATCH(K12,'Factors'!$C$9:$C$108,0))="","",INDEX('Factors'!$J$9:$J$108,MATCH(K12,'Factors'!$C$9:$C$108,0))),"")=G12,OR(IFERROR(IF(INDEX('Factors'!$E$9:$E$108,MATCH(K12,'Factors'!$C$9:$C$108,0))="","",INDEX('Factors'!$E$9:$E$108,MATCH(K12,'Factors'!$C$9:$C$108,0))),"")="Global",IFERROR(IF(INDEX('Factors'!$E$9:$E$108,MATCH(K12,'Factors'!$C$9:$C$108,0))="","",INDEX('Factors'!$E$9:$E$108,MATCH(K12,'Factors'!$C$9:$C$108,0))),"")=D12)),"Ready","Factor / unit review"))))))))</x:f>
        <x:v>Ready</x:v>
      </x:c>
      <x:c r="Z12" s="9" t="str">
        <x:f>IF(C12="","",IF(F12="No","Outside control",IF(F12&lt;&gt;"Yes","Control review",IF($H$6="No","Not required",IF($H$6&lt;&gt;"Yes","Applicability review",IF(Y12&lt;&gt;"Ready",Y12,IF(OR(NOT(ISNUMBER(M12)),M12&lt;0,M12&gt;J12),"Contract quantity review",IF(AND(M12&gt;0,OR(O12&lt;&gt;"Pass",P12="",NOT(AND(IFERROR(IF(INDEX('Factors'!$P$9:$P$108,MATCH(N12,'Factors'!$C$9:$C$108,0))="","",INDEX('Factors'!$P$9:$P$108,MATCH(N12,'Factors'!$C$9:$C$108,0))),"")="Ready",IFERROR(IF(INDEX('Factors'!$F$9:$F$108,MATCH(N12,'Factors'!$C$9:$C$108,0))="","",INDEX('Factors'!$F$9:$F$108,MATCH(N12,'Factors'!$C$9:$C$108,0))),"")="kWh",IFERROR(IF(INDEX('Factors'!$H$9:$H$108,MATCH(N12,'Factors'!$C$9:$C$108,0))="","",INDEX('Factors'!$H$9:$H$108,MATCH(N12,'Factors'!$C$9:$C$108,0))),"")="S2",IFERROR(IF(INDEX('Factors'!$I$9:$I$108,MATCH(N12,'Factors'!$C$9:$C$108,0))="","",INDEX('Factors'!$I$9:$I$108,MATCH(N12,'Factors'!$C$9:$C$108,0))),"")="Market-based",IFERROR(IF(INDEX('Factors'!$J$9:$J$108,MATCH(N12,'Factors'!$C$9:$C$108,0))="","",INDEX('Factors'!$J$9:$J$108,MATCH(N12,'Factors'!$C$9:$C$108,0))),"")=G12,OR(IFERROR(IF(INDEX('Factors'!$E$9:$E$108,MATCH(N12,'Factors'!$C$9:$C$108,0))="","",INDEX('Factors'!$E$9:$E$108,MATCH(N12,'Factors'!$C$9:$C$108,0))),"")="Global",IFERROR(IF(INDEX('Factors'!$E$9:$E$108,MATCH(N12,'Factors'!$C$9:$C$108,0))="","",INDEX('Factors'!$E$9:$E$108,MATCH(N12,'Factors'!$C$9:$C$108,0))),"")=D12))))),"Contract criteria review",IF(M12=J12,"Ready",IF(Q12="No","Grid fallback",IF(Q12="Yes",IF(AND(IFERROR(IF(INDEX('Factors'!$P$9:$P$108,MATCH(R12,'Factors'!$C$9:$C$108,0))="","",INDEX('Factors'!$P$9:$P$108,MATCH(R12,'Factors'!$C$9:$C$108,0))),"")="Ready",IFERROR(IF(INDEX('Factors'!$F$9:$F$108,MATCH(R12,'Factors'!$C$9:$C$108,0))="","",INDEX('Factors'!$F$9:$F$108,MATCH(R12,'Factors'!$C$9:$C$108,0))),"")="kWh",IFERROR(IF(INDEX('Factors'!$H$9:$H$108,MATCH(R12,'Factors'!$C$9:$C$108,0))="","",INDEX('Factors'!$H$9:$H$108,MATCH(R12,'Factors'!$C$9:$C$108,0))),"")="S2",IFERROR(IF(INDEX('Factors'!$I$9:$I$108,MATCH(R12,'Factors'!$C$9:$C$108,0))="","",INDEX('Factors'!$I$9:$I$108,MATCH(R12,'Factors'!$C$9:$C$108,0))),"")="Residual mix",IFERROR(IF(INDEX('Factors'!$J$9:$J$108,MATCH(R12,'Factors'!$C$9:$C$108,0))="","",INDEX('Factors'!$J$9:$J$108,MATCH(R12,'Factors'!$C$9:$C$108,0))),"")=G12,OR(IFERROR(IF(INDEX('Factors'!$E$9:$E$108,MATCH(R12,'Factors'!$C$9:$C$108,0))="","",INDEX('Factors'!$E$9:$E$108,MATCH(R12,'Factors'!$C$9:$C$108,0))),"")="Global",IFERROR(IF(INDEX('Factors'!$E$9:$E$108,MATCH(R12,'Factors'!$C$9:$C$108,0))="","",INDEX('Factors'!$E$9:$E$108,MATCH(R12,'Factors'!$C$9:$C$108,0))),"")=D12)),"Ready","Residual factor review"),"Residual availability review")))))))))))</x:f>
        <x:v>Ready</x:v>
      </x:c>
      <x:c r="AA12" s="8" t="str">
        <x:v>Yes</x:v>
      </x:c>
      <x:c r="AB12" s="16" t="n">
        <x:v>0</x:v>
      </x:c>
      <x:c r="AC12" s="8" t="str">
        <x:v>SYN-OTHER-S1-4</x:v>
      </x:c>
    </x:row>
    <x:row r="13" ht="36" customHeight="1">
      <x:c r="A13" s="1"/>
      <x:c r="B13" s="1"/>
      <x:c r="C13" s="8"/>
      <x:c r="D13" s="8"/>
      <x:c r="E13" s="8"/>
      <x:c r="F13" s="8"/>
      <x:c r="G13" s="22"/>
      <x:c r="H13" s="16"/>
      <x:c r="I13" s="8"/>
      <x:c r="J13" s="16"/>
      <x:c r="K13" s="8"/>
      <x:c r="L13" s="8"/>
      <x:c r="M13" s="16"/>
      <x:c r="N13" s="8"/>
      <x:c r="O13" s="8"/>
      <x:c r="P13" s="8"/>
      <x:c r="Q13" s="8"/>
      <x:c r="R13" s="8"/>
      <x:c r="S13" s="8"/>
      <x:c r="T13" s="40"/>
      <x:c r="U13" s="23" t="str">
        <x:f>IF(X13="Ready",H13*IFERROR(IF(INDEX('Factors'!$G$9:$G$108,MATCH(I13,'Factors'!$C$9:$C$108,0))="","",INDEX('Factors'!$G$9:$G$108,MATCH(I13,'Factors'!$C$9:$C$108,0))),"")/1000+AB13,"")</x:f>
      </x:c>
      <x:c r="V13" s="23" t="str">
        <x:f>IF(Y13="Ready",J13*IFERROR(IF(INDEX('Factors'!$G$9:$G$108,MATCH(K13,'Factors'!$C$9:$C$108,0))="","",INDEX('Factors'!$G$9:$G$108,MATCH(K13,'Factors'!$C$9:$C$108,0))),"")/1000,"")</x:f>
      </x:c>
      <x:c r="W13" s="23" t="str">
        <x:f>IF(OR(Z13="Ready",Z13="Grid fallback"),(IF(M13&gt;0,M13*IFERROR(IF(INDEX('Factors'!$G$9:$G$108,MATCH(N13,'Factors'!$C$9:$C$108,0))="","",INDEX('Factors'!$G$9:$G$108,MATCH(N13,'Factors'!$C$9:$C$108,0))),""),0)+(J13-M13)*IF(M13=J13,0,IF(Q13="No",IFERROR(IF(INDEX('Factors'!$G$9:$G$108,MATCH(K13,'Factors'!$C$9:$C$108,0))="","",INDEX('Factors'!$G$9:$G$108,MATCH(K13,'Factors'!$C$9:$C$108,0))),""),IFERROR(IF(INDEX('Factors'!$G$9:$G$108,MATCH(R13,'Factors'!$C$9:$C$108,0))="","",INDEX('Factors'!$G$9:$G$108,MATCH(R13,'Factors'!$C$9:$C$108,0))),""))))/1000,"")</x:f>
      </x:c>
      <x:c r="X13" s="9" t="str">
        <x:f>IF(C13="","",IF(AND($D$6&lt;&gt;"Operational control",$D$6&lt;&gt;"Financial control"),"Control basis required",IF(F13="No","Outside control",IF(F13&lt;&gt;"Yes","Control review",IF(COUNTIFS($C$9:$C$108,C13)&lt;&gt;1,"Duplicate operation ID",IF(OR(S13="",NOT(ISNUMBER(T13)),T13&lt;'Settings'!$F$8,NOT(ISNUMBER(G13)),G13&lt;&gt;YEAR('Settings'!$F$8)),"Evidence / period review",IF(OR(NOT(ISNUMBER(H13)),H13&lt;0,AA13&lt;&gt;"Yes",NOT(ISNUMBER(AB13)),AB13&lt;0,AC13=""),"Activity required",IF(AND(IFERROR(IF(INDEX('Factors'!$P$9:$P$108,MATCH(I13,'Factors'!$C$9:$C$108,0))="","",INDEX('Factors'!$P$9:$P$108,MATCH(I13,'Factors'!$C$9:$C$108,0))),"")="Ready",IFERROR(IF(INDEX('Factors'!$F$9:$F$108,MATCH(I13,'Factors'!$C$9:$C$108,0))="","",INDEX('Factors'!$F$9:$F$108,MATCH(I13,'Factors'!$C$9:$C$108,0))),"")="litre",IFERROR(IF(INDEX('Factors'!$H$9:$H$108,MATCH(I13,'Factors'!$C$9:$C$108,0))="","",INDEX('Factors'!$H$9:$H$108,MATCH(I13,'Factors'!$C$9:$C$108,0))),"")="S1",IFERROR(IF(INDEX('Factors'!$I$9:$I$108,MATCH(I13,'Factors'!$C$9:$C$108,0))="","",INDEX('Factors'!$I$9:$I$108,MATCH(I13,'Factors'!$C$9:$C$108,0))),"")="Combustion",IFERROR(IF(INDEX('Factors'!$J$9:$J$108,MATCH(I13,'Factors'!$C$9:$C$108,0))="","",INDEX('Factors'!$J$9:$J$108,MATCH(I13,'Factors'!$C$9:$C$108,0))),"")=G13,OR(IFERROR(IF(INDEX('Factors'!$E$9:$E$108,MATCH(I13,'Factors'!$C$9:$C$108,0))="","",INDEX('Factors'!$E$9:$E$108,MATCH(I13,'Factors'!$C$9:$C$108,0))),"")="Global",IFERROR(IF(INDEX('Factors'!$E$9:$E$108,MATCH(I13,'Factors'!$C$9:$C$108,0))="","",INDEX('Factors'!$E$9:$E$108,MATCH(I13,'Factors'!$C$9:$C$108,0))),"")=D13)),"Ready","Factor / unit review"))))))))</x:f>
      </x:c>
      <x:c r="Y13" s="9" t="str">
        <x:f>IF(C13="","",IF(AND($D$6&lt;&gt;"Operational control",$D$6&lt;&gt;"Financial control"),"Control basis required",IF(F13="No","Outside control",IF(F13&lt;&gt;"Yes","Control review",IF(COUNTIFS($C$9:$C$108,C13)&lt;&gt;1,"Duplicate operation ID",IF(OR(S13="",NOT(ISNUMBER(T13)),T13&lt;'Settings'!$F$8,NOT(ISNUMBER(G13)),G13&lt;&gt;YEAR('Settings'!$F$8)),"Evidence / period review",IF(OR(NOT(ISNUMBER(J13)),J13&lt;0),"Activity required",IF(AND(IFERROR(IF(INDEX('Factors'!$P$9:$P$108,MATCH(K13,'Factors'!$C$9:$C$108,0))="","",INDEX('Factors'!$P$9:$P$108,MATCH(K13,'Factors'!$C$9:$C$108,0))),"")="Ready",IFERROR(IF(INDEX('Factors'!$F$9:$F$108,MATCH(K13,'Factors'!$C$9:$C$108,0))="","",INDEX('Factors'!$F$9:$F$108,MATCH(K13,'Factors'!$C$9:$C$108,0))),"")="kWh",IFERROR(IF(INDEX('Factors'!$H$9:$H$108,MATCH(K13,'Factors'!$C$9:$C$108,0))="","",INDEX('Factors'!$H$9:$H$108,MATCH(K13,'Factors'!$C$9:$C$108,0))),"")="S2",IFERROR(IF(INDEX('Factors'!$I$9:$I$108,MATCH(K13,'Factors'!$C$9:$C$108,0))="","",INDEX('Factors'!$I$9:$I$108,MATCH(K13,'Factors'!$C$9:$C$108,0))),"")="Location-based",IFERROR(IF(INDEX('Factors'!$J$9:$J$108,MATCH(K13,'Factors'!$C$9:$C$108,0))="","",INDEX('Factors'!$J$9:$J$108,MATCH(K13,'Factors'!$C$9:$C$108,0))),"")=G13,OR(IFERROR(IF(INDEX('Factors'!$E$9:$E$108,MATCH(K13,'Factors'!$C$9:$C$108,0))="","",INDEX('Factors'!$E$9:$E$108,MATCH(K13,'Factors'!$C$9:$C$108,0))),"")="Global",IFERROR(IF(INDEX('Factors'!$E$9:$E$108,MATCH(K13,'Factors'!$C$9:$C$108,0))="","",INDEX('Factors'!$E$9:$E$108,MATCH(K13,'Factors'!$C$9:$C$108,0))),"")=D13)),"Ready","Factor / unit review"))))))))</x:f>
      </x:c>
      <x:c r="Z13" s="9" t="str">
        <x:f>IF(C13="","",IF(F13="No","Outside control",IF(F13&lt;&gt;"Yes","Control review",IF($H$6="No","Not required",IF($H$6&lt;&gt;"Yes","Applicability review",IF(Y13&lt;&gt;"Ready",Y13,IF(OR(NOT(ISNUMBER(M13)),M13&lt;0,M13&gt;J13),"Contract quantity review",IF(AND(M13&gt;0,OR(O13&lt;&gt;"Pass",P13="",NOT(AND(IFERROR(IF(INDEX('Factors'!$P$9:$P$108,MATCH(N13,'Factors'!$C$9:$C$108,0))="","",INDEX('Factors'!$P$9:$P$108,MATCH(N13,'Factors'!$C$9:$C$108,0))),"")="Ready",IFERROR(IF(INDEX('Factors'!$F$9:$F$108,MATCH(N13,'Factors'!$C$9:$C$108,0))="","",INDEX('Factors'!$F$9:$F$108,MATCH(N13,'Factors'!$C$9:$C$108,0))),"")="kWh",IFERROR(IF(INDEX('Factors'!$H$9:$H$108,MATCH(N13,'Factors'!$C$9:$C$108,0))="","",INDEX('Factors'!$H$9:$H$108,MATCH(N13,'Factors'!$C$9:$C$108,0))),"")="S2",IFERROR(IF(INDEX('Factors'!$I$9:$I$108,MATCH(N13,'Factors'!$C$9:$C$108,0))="","",INDEX('Factors'!$I$9:$I$108,MATCH(N13,'Factors'!$C$9:$C$108,0))),"")="Market-based",IFERROR(IF(INDEX('Factors'!$J$9:$J$108,MATCH(N13,'Factors'!$C$9:$C$108,0))="","",INDEX('Factors'!$J$9:$J$108,MATCH(N13,'Factors'!$C$9:$C$108,0))),"")=G13,OR(IFERROR(IF(INDEX('Factors'!$E$9:$E$108,MATCH(N13,'Factors'!$C$9:$C$108,0))="","",INDEX('Factors'!$E$9:$E$108,MATCH(N13,'Factors'!$C$9:$C$108,0))),"")="Global",IFERROR(IF(INDEX('Factors'!$E$9:$E$108,MATCH(N13,'Factors'!$C$9:$C$108,0))="","",INDEX('Factors'!$E$9:$E$108,MATCH(N13,'Factors'!$C$9:$C$108,0))),"")=D13))))),"Contract criteria review",IF(M13=J13,"Ready",IF(Q13="No","Grid fallback",IF(Q13="Yes",IF(AND(IFERROR(IF(INDEX('Factors'!$P$9:$P$108,MATCH(R13,'Factors'!$C$9:$C$108,0))="","",INDEX('Factors'!$P$9:$P$108,MATCH(R13,'Factors'!$C$9:$C$108,0))),"")="Ready",IFERROR(IF(INDEX('Factors'!$F$9:$F$108,MATCH(R13,'Factors'!$C$9:$C$108,0))="","",INDEX('Factors'!$F$9:$F$108,MATCH(R13,'Factors'!$C$9:$C$108,0))),"")="kWh",IFERROR(IF(INDEX('Factors'!$H$9:$H$108,MATCH(R13,'Factors'!$C$9:$C$108,0))="","",INDEX('Factors'!$H$9:$H$108,MATCH(R13,'Factors'!$C$9:$C$108,0))),"")="S2",IFERROR(IF(INDEX('Factors'!$I$9:$I$108,MATCH(R13,'Factors'!$C$9:$C$108,0))="","",INDEX('Factors'!$I$9:$I$108,MATCH(R13,'Factors'!$C$9:$C$108,0))),"")="Residual mix",IFERROR(IF(INDEX('Factors'!$J$9:$J$108,MATCH(R13,'Factors'!$C$9:$C$108,0))="","",INDEX('Factors'!$J$9:$J$108,MATCH(R13,'Factors'!$C$9:$C$108,0))),"")=G13,OR(IFERROR(IF(INDEX('Factors'!$E$9:$E$108,MATCH(R13,'Factors'!$C$9:$C$108,0))="","",INDEX('Factors'!$E$9:$E$108,MATCH(R13,'Factors'!$C$9:$C$108,0))),"")="Global",IFERROR(IF(INDEX('Factors'!$E$9:$E$108,MATCH(R13,'Factors'!$C$9:$C$108,0))="","",INDEX('Factors'!$E$9:$E$108,MATCH(R13,'Factors'!$C$9:$C$108,0))),"")=D13)),"Ready","Residual factor review"),"Residual availability review")))))))))))</x:f>
      </x:c>
      <x:c r="AA13" s="8"/>
      <x:c r="AB13" s="16"/>
      <x:c r="AC13" s="8"/>
    </x:row>
    <x:row r="14" ht="36" customHeight="1">
      <x:c r="A14" s="1"/>
      <x:c r="B14" s="1"/>
      <x:c r="C14" s="8"/>
      <x:c r="D14" s="8"/>
      <x:c r="E14" s="8"/>
      <x:c r="F14" s="8"/>
      <x:c r="G14" s="22"/>
      <x:c r="H14" s="16"/>
      <x:c r="I14" s="8"/>
      <x:c r="J14" s="16"/>
      <x:c r="K14" s="8"/>
      <x:c r="L14" s="8"/>
      <x:c r="M14" s="16"/>
      <x:c r="N14" s="8"/>
      <x:c r="O14" s="8"/>
      <x:c r="P14" s="8"/>
      <x:c r="Q14" s="8"/>
      <x:c r="R14" s="8"/>
      <x:c r="S14" s="8"/>
      <x:c r="T14" s="40"/>
      <x:c r="U14" s="23" t="str">
        <x:f>IF(X14="Ready",H14*IFERROR(IF(INDEX('Factors'!$G$9:$G$108,MATCH(I14,'Factors'!$C$9:$C$108,0))="","",INDEX('Factors'!$G$9:$G$108,MATCH(I14,'Factors'!$C$9:$C$108,0))),"")/1000+AB14,"")</x:f>
      </x:c>
      <x:c r="V14" s="23" t="str">
        <x:f>IF(Y14="Ready",J14*IFERROR(IF(INDEX('Factors'!$G$9:$G$108,MATCH(K14,'Factors'!$C$9:$C$108,0))="","",INDEX('Factors'!$G$9:$G$108,MATCH(K14,'Factors'!$C$9:$C$108,0))),"")/1000,"")</x:f>
      </x:c>
      <x:c r="W14" s="23" t="str">
        <x:f>IF(OR(Z14="Ready",Z14="Grid fallback"),(IF(M14&gt;0,M14*IFERROR(IF(INDEX('Factors'!$G$9:$G$108,MATCH(N14,'Factors'!$C$9:$C$108,0))="","",INDEX('Factors'!$G$9:$G$108,MATCH(N14,'Factors'!$C$9:$C$108,0))),""),0)+(J14-M14)*IF(M14=J14,0,IF(Q14="No",IFERROR(IF(INDEX('Factors'!$G$9:$G$108,MATCH(K14,'Factors'!$C$9:$C$108,0))="","",INDEX('Factors'!$G$9:$G$108,MATCH(K14,'Factors'!$C$9:$C$108,0))),""),IFERROR(IF(INDEX('Factors'!$G$9:$G$108,MATCH(R14,'Factors'!$C$9:$C$108,0))="","",INDEX('Factors'!$G$9:$G$108,MATCH(R14,'Factors'!$C$9:$C$108,0))),""))))/1000,"")</x:f>
      </x:c>
      <x:c r="X14" s="9" t="str">
        <x:f>IF(C14="","",IF(AND($D$6&lt;&gt;"Operational control",$D$6&lt;&gt;"Financial control"),"Control basis required",IF(F14="No","Outside control",IF(F14&lt;&gt;"Yes","Control review",IF(COUNTIFS($C$9:$C$108,C14)&lt;&gt;1,"Duplicate operation ID",IF(OR(S14="",NOT(ISNUMBER(T14)),T14&lt;'Settings'!$F$8,NOT(ISNUMBER(G14)),G14&lt;&gt;YEAR('Settings'!$F$8)),"Evidence / period review",IF(OR(NOT(ISNUMBER(H14)),H14&lt;0,AA14&lt;&gt;"Yes",NOT(ISNUMBER(AB14)),AB14&lt;0,AC14=""),"Activity required",IF(AND(IFERROR(IF(INDEX('Factors'!$P$9:$P$108,MATCH(I14,'Factors'!$C$9:$C$108,0))="","",INDEX('Factors'!$P$9:$P$108,MATCH(I14,'Factors'!$C$9:$C$108,0))),"")="Ready",IFERROR(IF(INDEX('Factors'!$F$9:$F$108,MATCH(I14,'Factors'!$C$9:$C$108,0))="","",INDEX('Factors'!$F$9:$F$108,MATCH(I14,'Factors'!$C$9:$C$108,0))),"")="litre",IFERROR(IF(INDEX('Factors'!$H$9:$H$108,MATCH(I14,'Factors'!$C$9:$C$108,0))="","",INDEX('Factors'!$H$9:$H$108,MATCH(I14,'Factors'!$C$9:$C$108,0))),"")="S1",IFERROR(IF(INDEX('Factors'!$I$9:$I$108,MATCH(I14,'Factors'!$C$9:$C$108,0))="","",INDEX('Factors'!$I$9:$I$108,MATCH(I14,'Factors'!$C$9:$C$108,0))),"")="Combustion",IFERROR(IF(INDEX('Factors'!$J$9:$J$108,MATCH(I14,'Factors'!$C$9:$C$108,0))="","",INDEX('Factors'!$J$9:$J$108,MATCH(I14,'Factors'!$C$9:$C$108,0))),"")=G14,OR(IFERROR(IF(INDEX('Factors'!$E$9:$E$108,MATCH(I14,'Factors'!$C$9:$C$108,0))="","",INDEX('Factors'!$E$9:$E$108,MATCH(I14,'Factors'!$C$9:$C$108,0))),"")="Global",IFERROR(IF(INDEX('Factors'!$E$9:$E$108,MATCH(I14,'Factors'!$C$9:$C$108,0))="","",INDEX('Factors'!$E$9:$E$108,MATCH(I14,'Factors'!$C$9:$C$108,0))),"")=D14)),"Ready","Factor / unit review"))))))))</x:f>
      </x:c>
      <x:c r="Y14" s="9" t="str">
        <x:f>IF(C14="","",IF(AND($D$6&lt;&gt;"Operational control",$D$6&lt;&gt;"Financial control"),"Control basis required",IF(F14="No","Outside control",IF(F14&lt;&gt;"Yes","Control review",IF(COUNTIFS($C$9:$C$108,C14)&lt;&gt;1,"Duplicate operation ID",IF(OR(S14="",NOT(ISNUMBER(T14)),T14&lt;'Settings'!$F$8,NOT(ISNUMBER(G14)),G14&lt;&gt;YEAR('Settings'!$F$8)),"Evidence / period review",IF(OR(NOT(ISNUMBER(J14)),J14&lt;0),"Activity required",IF(AND(IFERROR(IF(INDEX('Factors'!$P$9:$P$108,MATCH(K14,'Factors'!$C$9:$C$108,0))="","",INDEX('Factors'!$P$9:$P$108,MATCH(K14,'Factors'!$C$9:$C$108,0))),"")="Ready",IFERROR(IF(INDEX('Factors'!$F$9:$F$108,MATCH(K14,'Factors'!$C$9:$C$108,0))="","",INDEX('Factors'!$F$9:$F$108,MATCH(K14,'Factors'!$C$9:$C$108,0))),"")="kWh",IFERROR(IF(INDEX('Factors'!$H$9:$H$108,MATCH(K14,'Factors'!$C$9:$C$108,0))="","",INDEX('Factors'!$H$9:$H$108,MATCH(K14,'Factors'!$C$9:$C$108,0))),"")="S2",IFERROR(IF(INDEX('Factors'!$I$9:$I$108,MATCH(K14,'Factors'!$C$9:$C$108,0))="","",INDEX('Factors'!$I$9:$I$108,MATCH(K14,'Factors'!$C$9:$C$108,0))),"")="Location-based",IFERROR(IF(INDEX('Factors'!$J$9:$J$108,MATCH(K14,'Factors'!$C$9:$C$108,0))="","",INDEX('Factors'!$J$9:$J$108,MATCH(K14,'Factors'!$C$9:$C$108,0))),"")=G14,OR(IFERROR(IF(INDEX('Factors'!$E$9:$E$108,MATCH(K14,'Factors'!$C$9:$C$108,0))="","",INDEX('Factors'!$E$9:$E$108,MATCH(K14,'Factors'!$C$9:$C$108,0))),"")="Global",IFERROR(IF(INDEX('Factors'!$E$9:$E$108,MATCH(K14,'Factors'!$C$9:$C$108,0))="","",INDEX('Factors'!$E$9:$E$108,MATCH(K14,'Factors'!$C$9:$C$108,0))),"")=D14)),"Ready","Factor / unit review"))))))))</x:f>
      </x:c>
      <x:c r="Z14" s="9" t="str">
        <x:f>IF(C14="","",IF(F14="No","Outside control",IF(F14&lt;&gt;"Yes","Control review",IF($H$6="No","Not required",IF($H$6&lt;&gt;"Yes","Applicability review",IF(Y14&lt;&gt;"Ready",Y14,IF(OR(NOT(ISNUMBER(M14)),M14&lt;0,M14&gt;J14),"Contract quantity review",IF(AND(M14&gt;0,OR(O14&lt;&gt;"Pass",P14="",NOT(AND(IFERROR(IF(INDEX('Factors'!$P$9:$P$108,MATCH(N14,'Factors'!$C$9:$C$108,0))="","",INDEX('Factors'!$P$9:$P$108,MATCH(N14,'Factors'!$C$9:$C$108,0))),"")="Ready",IFERROR(IF(INDEX('Factors'!$F$9:$F$108,MATCH(N14,'Factors'!$C$9:$C$108,0))="","",INDEX('Factors'!$F$9:$F$108,MATCH(N14,'Factors'!$C$9:$C$108,0))),"")="kWh",IFERROR(IF(INDEX('Factors'!$H$9:$H$108,MATCH(N14,'Factors'!$C$9:$C$108,0))="","",INDEX('Factors'!$H$9:$H$108,MATCH(N14,'Factors'!$C$9:$C$108,0))),"")="S2",IFERROR(IF(INDEX('Factors'!$I$9:$I$108,MATCH(N14,'Factors'!$C$9:$C$108,0))="","",INDEX('Factors'!$I$9:$I$108,MATCH(N14,'Factors'!$C$9:$C$108,0))),"")="Market-based",IFERROR(IF(INDEX('Factors'!$J$9:$J$108,MATCH(N14,'Factors'!$C$9:$C$108,0))="","",INDEX('Factors'!$J$9:$J$108,MATCH(N14,'Factors'!$C$9:$C$108,0))),"")=G14,OR(IFERROR(IF(INDEX('Factors'!$E$9:$E$108,MATCH(N14,'Factors'!$C$9:$C$108,0))="","",INDEX('Factors'!$E$9:$E$108,MATCH(N14,'Factors'!$C$9:$C$108,0))),"")="Global",IFERROR(IF(INDEX('Factors'!$E$9:$E$108,MATCH(N14,'Factors'!$C$9:$C$108,0))="","",INDEX('Factors'!$E$9:$E$108,MATCH(N14,'Factors'!$C$9:$C$108,0))),"")=D14))))),"Contract criteria review",IF(M14=J14,"Ready",IF(Q14="No","Grid fallback",IF(Q14="Yes",IF(AND(IFERROR(IF(INDEX('Factors'!$P$9:$P$108,MATCH(R14,'Factors'!$C$9:$C$108,0))="","",INDEX('Factors'!$P$9:$P$108,MATCH(R14,'Factors'!$C$9:$C$108,0))),"")="Ready",IFERROR(IF(INDEX('Factors'!$F$9:$F$108,MATCH(R14,'Factors'!$C$9:$C$108,0))="","",INDEX('Factors'!$F$9:$F$108,MATCH(R14,'Factors'!$C$9:$C$108,0))),"")="kWh",IFERROR(IF(INDEX('Factors'!$H$9:$H$108,MATCH(R14,'Factors'!$C$9:$C$108,0))="","",INDEX('Factors'!$H$9:$H$108,MATCH(R14,'Factors'!$C$9:$C$108,0))),"")="S2",IFERROR(IF(INDEX('Factors'!$I$9:$I$108,MATCH(R14,'Factors'!$C$9:$C$108,0))="","",INDEX('Factors'!$I$9:$I$108,MATCH(R14,'Factors'!$C$9:$C$108,0))),"")="Residual mix",IFERROR(IF(INDEX('Factors'!$J$9:$J$108,MATCH(R14,'Factors'!$C$9:$C$108,0))="","",INDEX('Factors'!$J$9:$J$108,MATCH(R14,'Factors'!$C$9:$C$108,0))),"")=G14,OR(IFERROR(IF(INDEX('Factors'!$E$9:$E$108,MATCH(R14,'Factors'!$C$9:$C$108,0))="","",INDEX('Factors'!$E$9:$E$108,MATCH(R14,'Factors'!$C$9:$C$108,0))),"")="Global",IFERROR(IF(INDEX('Factors'!$E$9:$E$108,MATCH(R14,'Factors'!$C$9:$C$108,0))="","",INDEX('Factors'!$E$9:$E$108,MATCH(R14,'Factors'!$C$9:$C$108,0))),"")=D14)),"Ready","Residual factor review"),"Residual availability review")))))))))))</x:f>
      </x:c>
      <x:c r="AA14" s="8"/>
      <x:c r="AB14" s="16"/>
      <x:c r="AC14" s="8"/>
    </x:row>
    <x:row r="15" ht="36" customHeight="1">
      <x:c r="A15" s="1"/>
      <x:c r="B15" s="1"/>
      <x:c r="C15" s="8"/>
      <x:c r="D15" s="8"/>
      <x:c r="E15" s="8"/>
      <x:c r="F15" s="8"/>
      <x:c r="G15" s="22"/>
      <x:c r="H15" s="16"/>
      <x:c r="I15" s="8"/>
      <x:c r="J15" s="16"/>
      <x:c r="K15" s="8"/>
      <x:c r="L15" s="8"/>
      <x:c r="M15" s="16"/>
      <x:c r="N15" s="8"/>
      <x:c r="O15" s="8"/>
      <x:c r="P15" s="8"/>
      <x:c r="Q15" s="8"/>
      <x:c r="R15" s="8"/>
      <x:c r="S15" s="8"/>
      <x:c r="T15" s="40"/>
      <x:c r="U15" s="23" t="str">
        <x:f>IF(X15="Ready",H15*IFERROR(IF(INDEX('Factors'!$G$9:$G$108,MATCH(I15,'Factors'!$C$9:$C$108,0))="","",INDEX('Factors'!$G$9:$G$108,MATCH(I15,'Factors'!$C$9:$C$108,0))),"")/1000+AB15,"")</x:f>
      </x:c>
      <x:c r="V15" s="23" t="str">
        <x:f>IF(Y15="Ready",J15*IFERROR(IF(INDEX('Factors'!$G$9:$G$108,MATCH(K15,'Factors'!$C$9:$C$108,0))="","",INDEX('Factors'!$G$9:$G$108,MATCH(K15,'Factors'!$C$9:$C$108,0))),"")/1000,"")</x:f>
      </x:c>
      <x:c r="W15" s="23" t="str">
        <x:f>IF(OR(Z15="Ready",Z15="Grid fallback"),(IF(M15&gt;0,M15*IFERROR(IF(INDEX('Factors'!$G$9:$G$108,MATCH(N15,'Factors'!$C$9:$C$108,0))="","",INDEX('Factors'!$G$9:$G$108,MATCH(N15,'Factors'!$C$9:$C$108,0))),""),0)+(J15-M15)*IF(M15=J15,0,IF(Q15="No",IFERROR(IF(INDEX('Factors'!$G$9:$G$108,MATCH(K15,'Factors'!$C$9:$C$108,0))="","",INDEX('Factors'!$G$9:$G$108,MATCH(K15,'Factors'!$C$9:$C$108,0))),""),IFERROR(IF(INDEX('Factors'!$G$9:$G$108,MATCH(R15,'Factors'!$C$9:$C$108,0))="","",INDEX('Factors'!$G$9:$G$108,MATCH(R15,'Factors'!$C$9:$C$108,0))),""))))/1000,"")</x:f>
      </x:c>
      <x:c r="X15" s="9" t="str">
        <x:f>IF(C15="","",IF(AND($D$6&lt;&gt;"Operational control",$D$6&lt;&gt;"Financial control"),"Control basis required",IF(F15="No","Outside control",IF(F15&lt;&gt;"Yes","Control review",IF(COUNTIFS($C$9:$C$108,C15)&lt;&gt;1,"Duplicate operation ID",IF(OR(S15="",NOT(ISNUMBER(T15)),T15&lt;'Settings'!$F$8,NOT(ISNUMBER(G15)),G15&lt;&gt;YEAR('Settings'!$F$8)),"Evidence / period review",IF(OR(NOT(ISNUMBER(H15)),H15&lt;0,AA15&lt;&gt;"Yes",NOT(ISNUMBER(AB15)),AB15&lt;0,AC15=""),"Activity required",IF(AND(IFERROR(IF(INDEX('Factors'!$P$9:$P$108,MATCH(I15,'Factors'!$C$9:$C$108,0))="","",INDEX('Factors'!$P$9:$P$108,MATCH(I15,'Factors'!$C$9:$C$108,0))),"")="Ready",IFERROR(IF(INDEX('Factors'!$F$9:$F$108,MATCH(I15,'Factors'!$C$9:$C$108,0))="","",INDEX('Factors'!$F$9:$F$108,MATCH(I15,'Factors'!$C$9:$C$108,0))),"")="litre",IFERROR(IF(INDEX('Factors'!$H$9:$H$108,MATCH(I15,'Factors'!$C$9:$C$108,0))="","",INDEX('Factors'!$H$9:$H$108,MATCH(I15,'Factors'!$C$9:$C$108,0))),"")="S1",IFERROR(IF(INDEX('Factors'!$I$9:$I$108,MATCH(I15,'Factors'!$C$9:$C$108,0))="","",INDEX('Factors'!$I$9:$I$108,MATCH(I15,'Factors'!$C$9:$C$108,0))),"")="Combustion",IFERROR(IF(INDEX('Factors'!$J$9:$J$108,MATCH(I15,'Factors'!$C$9:$C$108,0))="","",INDEX('Factors'!$J$9:$J$108,MATCH(I15,'Factors'!$C$9:$C$108,0))),"")=G15,OR(IFERROR(IF(INDEX('Factors'!$E$9:$E$108,MATCH(I15,'Factors'!$C$9:$C$108,0))="","",INDEX('Factors'!$E$9:$E$108,MATCH(I15,'Factors'!$C$9:$C$108,0))),"")="Global",IFERROR(IF(INDEX('Factors'!$E$9:$E$108,MATCH(I15,'Factors'!$C$9:$C$108,0))="","",INDEX('Factors'!$E$9:$E$108,MATCH(I15,'Factors'!$C$9:$C$108,0))),"")=D15)),"Ready","Factor / unit review"))))))))</x:f>
      </x:c>
      <x:c r="Y15" s="9" t="str">
        <x:f>IF(C15="","",IF(AND($D$6&lt;&gt;"Operational control",$D$6&lt;&gt;"Financial control"),"Control basis required",IF(F15="No","Outside control",IF(F15&lt;&gt;"Yes","Control review",IF(COUNTIFS($C$9:$C$108,C15)&lt;&gt;1,"Duplicate operation ID",IF(OR(S15="",NOT(ISNUMBER(T15)),T15&lt;'Settings'!$F$8,NOT(ISNUMBER(G15)),G15&lt;&gt;YEAR('Settings'!$F$8)),"Evidence / period review",IF(OR(NOT(ISNUMBER(J15)),J15&lt;0),"Activity required",IF(AND(IFERROR(IF(INDEX('Factors'!$P$9:$P$108,MATCH(K15,'Factors'!$C$9:$C$108,0))="","",INDEX('Factors'!$P$9:$P$108,MATCH(K15,'Factors'!$C$9:$C$108,0))),"")="Ready",IFERROR(IF(INDEX('Factors'!$F$9:$F$108,MATCH(K15,'Factors'!$C$9:$C$108,0))="","",INDEX('Factors'!$F$9:$F$108,MATCH(K15,'Factors'!$C$9:$C$108,0))),"")="kWh",IFERROR(IF(INDEX('Factors'!$H$9:$H$108,MATCH(K15,'Factors'!$C$9:$C$108,0))="","",INDEX('Factors'!$H$9:$H$108,MATCH(K15,'Factors'!$C$9:$C$108,0))),"")="S2",IFERROR(IF(INDEX('Factors'!$I$9:$I$108,MATCH(K15,'Factors'!$C$9:$C$108,0))="","",INDEX('Factors'!$I$9:$I$108,MATCH(K15,'Factors'!$C$9:$C$108,0))),"")="Location-based",IFERROR(IF(INDEX('Factors'!$J$9:$J$108,MATCH(K15,'Factors'!$C$9:$C$108,0))="","",INDEX('Factors'!$J$9:$J$108,MATCH(K15,'Factors'!$C$9:$C$108,0))),"")=G15,OR(IFERROR(IF(INDEX('Factors'!$E$9:$E$108,MATCH(K15,'Factors'!$C$9:$C$108,0))="","",INDEX('Factors'!$E$9:$E$108,MATCH(K15,'Factors'!$C$9:$C$108,0))),"")="Global",IFERROR(IF(INDEX('Factors'!$E$9:$E$108,MATCH(K15,'Factors'!$C$9:$C$108,0))="","",INDEX('Factors'!$E$9:$E$108,MATCH(K15,'Factors'!$C$9:$C$108,0))),"")=D15)),"Ready","Factor / unit review"))))))))</x:f>
      </x:c>
      <x:c r="Z15" s="9" t="str">
        <x:f>IF(C15="","",IF(F15="No","Outside control",IF(F15&lt;&gt;"Yes","Control review",IF($H$6="No","Not required",IF($H$6&lt;&gt;"Yes","Applicability review",IF(Y15&lt;&gt;"Ready",Y15,IF(OR(NOT(ISNUMBER(M15)),M15&lt;0,M15&gt;J15),"Contract quantity review",IF(AND(M15&gt;0,OR(O15&lt;&gt;"Pass",P15="",NOT(AND(IFERROR(IF(INDEX('Factors'!$P$9:$P$108,MATCH(N15,'Factors'!$C$9:$C$108,0))="","",INDEX('Factors'!$P$9:$P$108,MATCH(N15,'Factors'!$C$9:$C$108,0))),"")="Ready",IFERROR(IF(INDEX('Factors'!$F$9:$F$108,MATCH(N15,'Factors'!$C$9:$C$108,0))="","",INDEX('Factors'!$F$9:$F$108,MATCH(N15,'Factors'!$C$9:$C$108,0))),"")="kWh",IFERROR(IF(INDEX('Factors'!$H$9:$H$108,MATCH(N15,'Factors'!$C$9:$C$108,0))="","",INDEX('Factors'!$H$9:$H$108,MATCH(N15,'Factors'!$C$9:$C$108,0))),"")="S2",IFERROR(IF(INDEX('Factors'!$I$9:$I$108,MATCH(N15,'Factors'!$C$9:$C$108,0))="","",INDEX('Factors'!$I$9:$I$108,MATCH(N15,'Factors'!$C$9:$C$108,0))),"")="Market-based",IFERROR(IF(INDEX('Factors'!$J$9:$J$108,MATCH(N15,'Factors'!$C$9:$C$108,0))="","",INDEX('Factors'!$J$9:$J$108,MATCH(N15,'Factors'!$C$9:$C$108,0))),"")=G15,OR(IFERROR(IF(INDEX('Factors'!$E$9:$E$108,MATCH(N15,'Factors'!$C$9:$C$108,0))="","",INDEX('Factors'!$E$9:$E$108,MATCH(N15,'Factors'!$C$9:$C$108,0))),"")="Global",IFERROR(IF(INDEX('Factors'!$E$9:$E$108,MATCH(N15,'Factors'!$C$9:$C$108,0))="","",INDEX('Factors'!$E$9:$E$108,MATCH(N15,'Factors'!$C$9:$C$108,0))),"")=D15))))),"Contract criteria review",IF(M15=J15,"Ready",IF(Q15="No","Grid fallback",IF(Q15="Yes",IF(AND(IFERROR(IF(INDEX('Factors'!$P$9:$P$108,MATCH(R15,'Factors'!$C$9:$C$108,0))="","",INDEX('Factors'!$P$9:$P$108,MATCH(R15,'Factors'!$C$9:$C$108,0))),"")="Ready",IFERROR(IF(INDEX('Factors'!$F$9:$F$108,MATCH(R15,'Factors'!$C$9:$C$108,0))="","",INDEX('Factors'!$F$9:$F$108,MATCH(R15,'Factors'!$C$9:$C$108,0))),"")="kWh",IFERROR(IF(INDEX('Factors'!$H$9:$H$108,MATCH(R15,'Factors'!$C$9:$C$108,0))="","",INDEX('Factors'!$H$9:$H$108,MATCH(R15,'Factors'!$C$9:$C$108,0))),"")="S2",IFERROR(IF(INDEX('Factors'!$I$9:$I$108,MATCH(R15,'Factors'!$C$9:$C$108,0))="","",INDEX('Factors'!$I$9:$I$108,MATCH(R15,'Factors'!$C$9:$C$108,0))),"")="Residual mix",IFERROR(IF(INDEX('Factors'!$J$9:$J$108,MATCH(R15,'Factors'!$C$9:$C$108,0))="","",INDEX('Factors'!$J$9:$J$108,MATCH(R15,'Factors'!$C$9:$C$108,0))),"")=G15,OR(IFERROR(IF(INDEX('Factors'!$E$9:$E$108,MATCH(R15,'Factors'!$C$9:$C$108,0))="","",INDEX('Factors'!$E$9:$E$108,MATCH(R15,'Factors'!$C$9:$C$108,0))),"")="Global",IFERROR(IF(INDEX('Factors'!$E$9:$E$108,MATCH(R15,'Factors'!$C$9:$C$108,0))="","",INDEX('Factors'!$E$9:$E$108,MATCH(R15,'Factors'!$C$9:$C$108,0))),"")=D15)),"Ready","Residual factor review"),"Residual availability review")))))))))))</x:f>
      </x:c>
      <x:c r="AA15" s="8"/>
      <x:c r="AB15" s="16"/>
      <x:c r="AC15" s="8"/>
    </x:row>
    <x:row r="16" ht="36" customHeight="1">
      <x:c r="A16" s="1"/>
      <x:c r="B16" s="1"/>
      <x:c r="C16" s="8"/>
      <x:c r="D16" s="8"/>
      <x:c r="E16" s="8"/>
      <x:c r="F16" s="8"/>
      <x:c r="G16" s="22"/>
      <x:c r="H16" s="16"/>
      <x:c r="I16" s="8"/>
      <x:c r="J16" s="16"/>
      <x:c r="K16" s="8"/>
      <x:c r="L16" s="8"/>
      <x:c r="M16" s="16"/>
      <x:c r="N16" s="8"/>
      <x:c r="O16" s="8"/>
      <x:c r="P16" s="8"/>
      <x:c r="Q16" s="8"/>
      <x:c r="R16" s="8"/>
      <x:c r="S16" s="8"/>
      <x:c r="T16" s="40"/>
      <x:c r="U16" s="23" t="str">
        <x:f>IF(X16="Ready",H16*IFERROR(IF(INDEX('Factors'!$G$9:$G$108,MATCH(I16,'Factors'!$C$9:$C$108,0))="","",INDEX('Factors'!$G$9:$G$108,MATCH(I16,'Factors'!$C$9:$C$108,0))),"")/1000+AB16,"")</x:f>
      </x:c>
      <x:c r="V16" s="23" t="str">
        <x:f>IF(Y16="Ready",J16*IFERROR(IF(INDEX('Factors'!$G$9:$G$108,MATCH(K16,'Factors'!$C$9:$C$108,0))="","",INDEX('Factors'!$G$9:$G$108,MATCH(K16,'Factors'!$C$9:$C$108,0))),"")/1000,"")</x:f>
      </x:c>
      <x:c r="W16" s="23" t="str">
        <x:f>IF(OR(Z16="Ready",Z16="Grid fallback"),(IF(M16&gt;0,M16*IFERROR(IF(INDEX('Factors'!$G$9:$G$108,MATCH(N16,'Factors'!$C$9:$C$108,0))="","",INDEX('Factors'!$G$9:$G$108,MATCH(N16,'Factors'!$C$9:$C$108,0))),""),0)+(J16-M16)*IF(M16=J16,0,IF(Q16="No",IFERROR(IF(INDEX('Factors'!$G$9:$G$108,MATCH(K16,'Factors'!$C$9:$C$108,0))="","",INDEX('Factors'!$G$9:$G$108,MATCH(K16,'Factors'!$C$9:$C$108,0))),""),IFERROR(IF(INDEX('Factors'!$G$9:$G$108,MATCH(R16,'Factors'!$C$9:$C$108,0))="","",INDEX('Factors'!$G$9:$G$108,MATCH(R16,'Factors'!$C$9:$C$108,0))),""))))/1000,"")</x:f>
      </x:c>
      <x:c r="X16" s="9" t="str">
        <x:f>IF(C16="","",IF(AND($D$6&lt;&gt;"Operational control",$D$6&lt;&gt;"Financial control"),"Control basis required",IF(F16="No","Outside control",IF(F16&lt;&gt;"Yes","Control review",IF(COUNTIFS($C$9:$C$108,C16)&lt;&gt;1,"Duplicate operation ID",IF(OR(S16="",NOT(ISNUMBER(T16)),T16&lt;'Settings'!$F$8,NOT(ISNUMBER(G16)),G16&lt;&gt;YEAR('Settings'!$F$8)),"Evidence / period review",IF(OR(NOT(ISNUMBER(H16)),H16&lt;0,AA16&lt;&gt;"Yes",NOT(ISNUMBER(AB16)),AB16&lt;0,AC16=""),"Activity required",IF(AND(IFERROR(IF(INDEX('Factors'!$P$9:$P$108,MATCH(I16,'Factors'!$C$9:$C$108,0))="","",INDEX('Factors'!$P$9:$P$108,MATCH(I16,'Factors'!$C$9:$C$108,0))),"")="Ready",IFERROR(IF(INDEX('Factors'!$F$9:$F$108,MATCH(I16,'Factors'!$C$9:$C$108,0))="","",INDEX('Factors'!$F$9:$F$108,MATCH(I16,'Factors'!$C$9:$C$108,0))),"")="litre",IFERROR(IF(INDEX('Factors'!$H$9:$H$108,MATCH(I16,'Factors'!$C$9:$C$108,0))="","",INDEX('Factors'!$H$9:$H$108,MATCH(I16,'Factors'!$C$9:$C$108,0))),"")="S1",IFERROR(IF(INDEX('Factors'!$I$9:$I$108,MATCH(I16,'Factors'!$C$9:$C$108,0))="","",INDEX('Factors'!$I$9:$I$108,MATCH(I16,'Factors'!$C$9:$C$108,0))),"")="Combustion",IFERROR(IF(INDEX('Factors'!$J$9:$J$108,MATCH(I16,'Factors'!$C$9:$C$108,0))="","",INDEX('Factors'!$J$9:$J$108,MATCH(I16,'Factors'!$C$9:$C$108,0))),"")=G16,OR(IFERROR(IF(INDEX('Factors'!$E$9:$E$108,MATCH(I16,'Factors'!$C$9:$C$108,0))="","",INDEX('Factors'!$E$9:$E$108,MATCH(I16,'Factors'!$C$9:$C$108,0))),"")="Global",IFERROR(IF(INDEX('Factors'!$E$9:$E$108,MATCH(I16,'Factors'!$C$9:$C$108,0))="","",INDEX('Factors'!$E$9:$E$108,MATCH(I16,'Factors'!$C$9:$C$108,0))),"")=D16)),"Ready","Factor / unit review"))))))))</x:f>
      </x:c>
      <x:c r="Y16" s="9" t="str">
        <x:f>IF(C16="","",IF(AND($D$6&lt;&gt;"Operational control",$D$6&lt;&gt;"Financial control"),"Control basis required",IF(F16="No","Outside control",IF(F16&lt;&gt;"Yes","Control review",IF(COUNTIFS($C$9:$C$108,C16)&lt;&gt;1,"Duplicate operation ID",IF(OR(S16="",NOT(ISNUMBER(T16)),T16&lt;'Settings'!$F$8,NOT(ISNUMBER(G16)),G16&lt;&gt;YEAR('Settings'!$F$8)),"Evidence / period review",IF(OR(NOT(ISNUMBER(J16)),J16&lt;0),"Activity required",IF(AND(IFERROR(IF(INDEX('Factors'!$P$9:$P$108,MATCH(K16,'Factors'!$C$9:$C$108,0))="","",INDEX('Factors'!$P$9:$P$108,MATCH(K16,'Factors'!$C$9:$C$108,0))),"")="Ready",IFERROR(IF(INDEX('Factors'!$F$9:$F$108,MATCH(K16,'Factors'!$C$9:$C$108,0))="","",INDEX('Factors'!$F$9:$F$108,MATCH(K16,'Factors'!$C$9:$C$108,0))),"")="kWh",IFERROR(IF(INDEX('Factors'!$H$9:$H$108,MATCH(K16,'Factors'!$C$9:$C$108,0))="","",INDEX('Factors'!$H$9:$H$108,MATCH(K16,'Factors'!$C$9:$C$108,0))),"")="S2",IFERROR(IF(INDEX('Factors'!$I$9:$I$108,MATCH(K16,'Factors'!$C$9:$C$108,0))="","",INDEX('Factors'!$I$9:$I$108,MATCH(K16,'Factors'!$C$9:$C$108,0))),"")="Location-based",IFERROR(IF(INDEX('Factors'!$J$9:$J$108,MATCH(K16,'Factors'!$C$9:$C$108,0))="","",INDEX('Factors'!$J$9:$J$108,MATCH(K16,'Factors'!$C$9:$C$108,0))),"")=G16,OR(IFERROR(IF(INDEX('Factors'!$E$9:$E$108,MATCH(K16,'Factors'!$C$9:$C$108,0))="","",INDEX('Factors'!$E$9:$E$108,MATCH(K16,'Factors'!$C$9:$C$108,0))),"")="Global",IFERROR(IF(INDEX('Factors'!$E$9:$E$108,MATCH(K16,'Factors'!$C$9:$C$108,0))="","",INDEX('Factors'!$E$9:$E$108,MATCH(K16,'Factors'!$C$9:$C$108,0))),"")=D16)),"Ready","Factor / unit review"))))))))</x:f>
      </x:c>
      <x:c r="Z16" s="9" t="str">
        <x:f>IF(C16="","",IF(F16="No","Outside control",IF(F16&lt;&gt;"Yes","Control review",IF($H$6="No","Not required",IF($H$6&lt;&gt;"Yes","Applicability review",IF(Y16&lt;&gt;"Ready",Y16,IF(OR(NOT(ISNUMBER(M16)),M16&lt;0,M16&gt;J16),"Contract quantity review",IF(AND(M16&gt;0,OR(O16&lt;&gt;"Pass",P16="",NOT(AND(IFERROR(IF(INDEX('Factors'!$P$9:$P$108,MATCH(N16,'Factors'!$C$9:$C$108,0))="","",INDEX('Factors'!$P$9:$P$108,MATCH(N16,'Factors'!$C$9:$C$108,0))),"")="Ready",IFERROR(IF(INDEX('Factors'!$F$9:$F$108,MATCH(N16,'Factors'!$C$9:$C$108,0))="","",INDEX('Factors'!$F$9:$F$108,MATCH(N16,'Factors'!$C$9:$C$108,0))),"")="kWh",IFERROR(IF(INDEX('Factors'!$H$9:$H$108,MATCH(N16,'Factors'!$C$9:$C$108,0))="","",INDEX('Factors'!$H$9:$H$108,MATCH(N16,'Factors'!$C$9:$C$108,0))),"")="S2",IFERROR(IF(INDEX('Factors'!$I$9:$I$108,MATCH(N16,'Factors'!$C$9:$C$108,0))="","",INDEX('Factors'!$I$9:$I$108,MATCH(N16,'Factors'!$C$9:$C$108,0))),"")="Market-based",IFERROR(IF(INDEX('Factors'!$J$9:$J$108,MATCH(N16,'Factors'!$C$9:$C$108,0))="","",INDEX('Factors'!$J$9:$J$108,MATCH(N16,'Factors'!$C$9:$C$108,0))),"")=G16,OR(IFERROR(IF(INDEX('Factors'!$E$9:$E$108,MATCH(N16,'Factors'!$C$9:$C$108,0))="","",INDEX('Factors'!$E$9:$E$108,MATCH(N16,'Factors'!$C$9:$C$108,0))),"")="Global",IFERROR(IF(INDEX('Factors'!$E$9:$E$108,MATCH(N16,'Factors'!$C$9:$C$108,0))="","",INDEX('Factors'!$E$9:$E$108,MATCH(N16,'Factors'!$C$9:$C$108,0))),"")=D16))))),"Contract criteria review",IF(M16=J16,"Ready",IF(Q16="No","Grid fallback",IF(Q16="Yes",IF(AND(IFERROR(IF(INDEX('Factors'!$P$9:$P$108,MATCH(R16,'Factors'!$C$9:$C$108,0))="","",INDEX('Factors'!$P$9:$P$108,MATCH(R16,'Factors'!$C$9:$C$108,0))),"")="Ready",IFERROR(IF(INDEX('Factors'!$F$9:$F$108,MATCH(R16,'Factors'!$C$9:$C$108,0))="","",INDEX('Factors'!$F$9:$F$108,MATCH(R16,'Factors'!$C$9:$C$108,0))),"")="kWh",IFERROR(IF(INDEX('Factors'!$H$9:$H$108,MATCH(R16,'Factors'!$C$9:$C$108,0))="","",INDEX('Factors'!$H$9:$H$108,MATCH(R16,'Factors'!$C$9:$C$108,0))),"")="S2",IFERROR(IF(INDEX('Factors'!$I$9:$I$108,MATCH(R16,'Factors'!$C$9:$C$108,0))="","",INDEX('Factors'!$I$9:$I$108,MATCH(R16,'Factors'!$C$9:$C$108,0))),"")="Residual mix",IFERROR(IF(INDEX('Factors'!$J$9:$J$108,MATCH(R16,'Factors'!$C$9:$C$108,0))="","",INDEX('Factors'!$J$9:$J$108,MATCH(R16,'Factors'!$C$9:$C$108,0))),"")=G16,OR(IFERROR(IF(INDEX('Factors'!$E$9:$E$108,MATCH(R16,'Factors'!$C$9:$C$108,0))="","",INDEX('Factors'!$E$9:$E$108,MATCH(R16,'Factors'!$C$9:$C$108,0))),"")="Global",IFERROR(IF(INDEX('Factors'!$E$9:$E$108,MATCH(R16,'Factors'!$C$9:$C$108,0))="","",INDEX('Factors'!$E$9:$E$108,MATCH(R16,'Factors'!$C$9:$C$108,0))),"")=D16)),"Ready","Residual factor review"),"Residual availability review")))))))))))</x:f>
      </x:c>
      <x:c r="AA16" s="8"/>
      <x:c r="AB16" s="16"/>
      <x:c r="AC16" s="8"/>
    </x:row>
    <x:row r="17" ht="36" customHeight="1">
      <x:c r="A17" s="1"/>
      <x:c r="B17" s="1"/>
      <x:c r="C17" s="8"/>
      <x:c r="D17" s="8"/>
      <x:c r="E17" s="8"/>
      <x:c r="F17" s="8"/>
      <x:c r="G17" s="22"/>
      <x:c r="H17" s="16"/>
      <x:c r="I17" s="8"/>
      <x:c r="J17" s="16"/>
      <x:c r="K17" s="8"/>
      <x:c r="L17" s="8"/>
      <x:c r="M17" s="16"/>
      <x:c r="N17" s="8"/>
      <x:c r="O17" s="8"/>
      <x:c r="P17" s="8"/>
      <x:c r="Q17" s="8"/>
      <x:c r="R17" s="8"/>
      <x:c r="S17" s="8"/>
      <x:c r="T17" s="40"/>
      <x:c r="U17" s="23" t="str">
        <x:f>IF(X17="Ready",H17*IFERROR(IF(INDEX('Factors'!$G$9:$G$108,MATCH(I17,'Factors'!$C$9:$C$108,0))="","",INDEX('Factors'!$G$9:$G$108,MATCH(I17,'Factors'!$C$9:$C$108,0))),"")/1000+AB17,"")</x:f>
      </x:c>
      <x:c r="V17" s="23" t="str">
        <x:f>IF(Y17="Ready",J17*IFERROR(IF(INDEX('Factors'!$G$9:$G$108,MATCH(K17,'Factors'!$C$9:$C$108,0))="","",INDEX('Factors'!$G$9:$G$108,MATCH(K17,'Factors'!$C$9:$C$108,0))),"")/1000,"")</x:f>
      </x:c>
      <x:c r="W17" s="23" t="str">
        <x:f>IF(OR(Z17="Ready",Z17="Grid fallback"),(IF(M17&gt;0,M17*IFERROR(IF(INDEX('Factors'!$G$9:$G$108,MATCH(N17,'Factors'!$C$9:$C$108,0))="","",INDEX('Factors'!$G$9:$G$108,MATCH(N17,'Factors'!$C$9:$C$108,0))),""),0)+(J17-M17)*IF(M17=J17,0,IF(Q17="No",IFERROR(IF(INDEX('Factors'!$G$9:$G$108,MATCH(K17,'Factors'!$C$9:$C$108,0))="","",INDEX('Factors'!$G$9:$G$108,MATCH(K17,'Factors'!$C$9:$C$108,0))),""),IFERROR(IF(INDEX('Factors'!$G$9:$G$108,MATCH(R17,'Factors'!$C$9:$C$108,0))="","",INDEX('Factors'!$G$9:$G$108,MATCH(R17,'Factors'!$C$9:$C$108,0))),""))))/1000,"")</x:f>
      </x:c>
      <x:c r="X17" s="9" t="str">
        <x:f>IF(C17="","",IF(AND($D$6&lt;&gt;"Operational control",$D$6&lt;&gt;"Financial control"),"Control basis required",IF(F17="No","Outside control",IF(F17&lt;&gt;"Yes","Control review",IF(COUNTIFS($C$9:$C$108,C17)&lt;&gt;1,"Duplicate operation ID",IF(OR(S17="",NOT(ISNUMBER(T17)),T17&lt;'Settings'!$F$8,NOT(ISNUMBER(G17)),G17&lt;&gt;YEAR('Settings'!$F$8)),"Evidence / period review",IF(OR(NOT(ISNUMBER(H17)),H17&lt;0,AA17&lt;&gt;"Yes",NOT(ISNUMBER(AB17)),AB17&lt;0,AC17=""),"Activity required",IF(AND(IFERROR(IF(INDEX('Factors'!$P$9:$P$108,MATCH(I17,'Factors'!$C$9:$C$108,0))="","",INDEX('Factors'!$P$9:$P$108,MATCH(I17,'Factors'!$C$9:$C$108,0))),"")="Ready",IFERROR(IF(INDEX('Factors'!$F$9:$F$108,MATCH(I17,'Factors'!$C$9:$C$108,0))="","",INDEX('Factors'!$F$9:$F$108,MATCH(I17,'Factors'!$C$9:$C$108,0))),"")="litre",IFERROR(IF(INDEX('Factors'!$H$9:$H$108,MATCH(I17,'Factors'!$C$9:$C$108,0))="","",INDEX('Factors'!$H$9:$H$108,MATCH(I17,'Factors'!$C$9:$C$108,0))),"")="S1",IFERROR(IF(INDEX('Factors'!$I$9:$I$108,MATCH(I17,'Factors'!$C$9:$C$108,0))="","",INDEX('Factors'!$I$9:$I$108,MATCH(I17,'Factors'!$C$9:$C$108,0))),"")="Combustion",IFERROR(IF(INDEX('Factors'!$J$9:$J$108,MATCH(I17,'Factors'!$C$9:$C$108,0))="","",INDEX('Factors'!$J$9:$J$108,MATCH(I17,'Factors'!$C$9:$C$108,0))),"")=G17,OR(IFERROR(IF(INDEX('Factors'!$E$9:$E$108,MATCH(I17,'Factors'!$C$9:$C$108,0))="","",INDEX('Factors'!$E$9:$E$108,MATCH(I17,'Factors'!$C$9:$C$108,0))),"")="Global",IFERROR(IF(INDEX('Factors'!$E$9:$E$108,MATCH(I17,'Factors'!$C$9:$C$108,0))="","",INDEX('Factors'!$E$9:$E$108,MATCH(I17,'Factors'!$C$9:$C$108,0))),"")=D17)),"Ready","Factor / unit review"))))))))</x:f>
      </x:c>
      <x:c r="Y17" s="9" t="str">
        <x:f>IF(C17="","",IF(AND($D$6&lt;&gt;"Operational control",$D$6&lt;&gt;"Financial control"),"Control basis required",IF(F17="No","Outside control",IF(F17&lt;&gt;"Yes","Control review",IF(COUNTIFS($C$9:$C$108,C17)&lt;&gt;1,"Duplicate operation ID",IF(OR(S17="",NOT(ISNUMBER(T17)),T17&lt;'Settings'!$F$8,NOT(ISNUMBER(G17)),G17&lt;&gt;YEAR('Settings'!$F$8)),"Evidence / period review",IF(OR(NOT(ISNUMBER(J17)),J17&lt;0),"Activity required",IF(AND(IFERROR(IF(INDEX('Factors'!$P$9:$P$108,MATCH(K17,'Factors'!$C$9:$C$108,0))="","",INDEX('Factors'!$P$9:$P$108,MATCH(K17,'Factors'!$C$9:$C$108,0))),"")="Ready",IFERROR(IF(INDEX('Factors'!$F$9:$F$108,MATCH(K17,'Factors'!$C$9:$C$108,0))="","",INDEX('Factors'!$F$9:$F$108,MATCH(K17,'Factors'!$C$9:$C$108,0))),"")="kWh",IFERROR(IF(INDEX('Factors'!$H$9:$H$108,MATCH(K17,'Factors'!$C$9:$C$108,0))="","",INDEX('Factors'!$H$9:$H$108,MATCH(K17,'Factors'!$C$9:$C$108,0))),"")="S2",IFERROR(IF(INDEX('Factors'!$I$9:$I$108,MATCH(K17,'Factors'!$C$9:$C$108,0))="","",INDEX('Factors'!$I$9:$I$108,MATCH(K17,'Factors'!$C$9:$C$108,0))),"")="Location-based",IFERROR(IF(INDEX('Factors'!$J$9:$J$108,MATCH(K17,'Factors'!$C$9:$C$108,0))="","",INDEX('Factors'!$J$9:$J$108,MATCH(K17,'Factors'!$C$9:$C$108,0))),"")=G17,OR(IFERROR(IF(INDEX('Factors'!$E$9:$E$108,MATCH(K17,'Factors'!$C$9:$C$108,0))="","",INDEX('Factors'!$E$9:$E$108,MATCH(K17,'Factors'!$C$9:$C$108,0))),"")="Global",IFERROR(IF(INDEX('Factors'!$E$9:$E$108,MATCH(K17,'Factors'!$C$9:$C$108,0))="","",INDEX('Factors'!$E$9:$E$108,MATCH(K17,'Factors'!$C$9:$C$108,0))),"")=D17)),"Ready","Factor / unit review"))))))))</x:f>
      </x:c>
      <x:c r="Z17" s="9" t="str">
        <x:f>IF(C17="","",IF(F17="No","Outside control",IF(F17&lt;&gt;"Yes","Control review",IF($H$6="No","Not required",IF($H$6&lt;&gt;"Yes","Applicability review",IF(Y17&lt;&gt;"Ready",Y17,IF(OR(NOT(ISNUMBER(M17)),M17&lt;0,M17&gt;J17),"Contract quantity review",IF(AND(M17&gt;0,OR(O17&lt;&gt;"Pass",P17="",NOT(AND(IFERROR(IF(INDEX('Factors'!$P$9:$P$108,MATCH(N17,'Factors'!$C$9:$C$108,0))="","",INDEX('Factors'!$P$9:$P$108,MATCH(N17,'Factors'!$C$9:$C$108,0))),"")="Ready",IFERROR(IF(INDEX('Factors'!$F$9:$F$108,MATCH(N17,'Factors'!$C$9:$C$108,0))="","",INDEX('Factors'!$F$9:$F$108,MATCH(N17,'Factors'!$C$9:$C$108,0))),"")="kWh",IFERROR(IF(INDEX('Factors'!$H$9:$H$108,MATCH(N17,'Factors'!$C$9:$C$108,0))="","",INDEX('Factors'!$H$9:$H$108,MATCH(N17,'Factors'!$C$9:$C$108,0))),"")="S2",IFERROR(IF(INDEX('Factors'!$I$9:$I$108,MATCH(N17,'Factors'!$C$9:$C$108,0))="","",INDEX('Factors'!$I$9:$I$108,MATCH(N17,'Factors'!$C$9:$C$108,0))),"")="Market-based",IFERROR(IF(INDEX('Factors'!$J$9:$J$108,MATCH(N17,'Factors'!$C$9:$C$108,0))="","",INDEX('Factors'!$J$9:$J$108,MATCH(N17,'Factors'!$C$9:$C$108,0))),"")=G17,OR(IFERROR(IF(INDEX('Factors'!$E$9:$E$108,MATCH(N17,'Factors'!$C$9:$C$108,0))="","",INDEX('Factors'!$E$9:$E$108,MATCH(N17,'Factors'!$C$9:$C$108,0))),"")="Global",IFERROR(IF(INDEX('Factors'!$E$9:$E$108,MATCH(N17,'Factors'!$C$9:$C$108,0))="","",INDEX('Factors'!$E$9:$E$108,MATCH(N17,'Factors'!$C$9:$C$108,0))),"")=D17))))),"Contract criteria review",IF(M17=J17,"Ready",IF(Q17="No","Grid fallback",IF(Q17="Yes",IF(AND(IFERROR(IF(INDEX('Factors'!$P$9:$P$108,MATCH(R17,'Factors'!$C$9:$C$108,0))="","",INDEX('Factors'!$P$9:$P$108,MATCH(R17,'Factors'!$C$9:$C$108,0))),"")="Ready",IFERROR(IF(INDEX('Factors'!$F$9:$F$108,MATCH(R17,'Factors'!$C$9:$C$108,0))="","",INDEX('Factors'!$F$9:$F$108,MATCH(R17,'Factors'!$C$9:$C$108,0))),"")="kWh",IFERROR(IF(INDEX('Factors'!$H$9:$H$108,MATCH(R17,'Factors'!$C$9:$C$108,0))="","",INDEX('Factors'!$H$9:$H$108,MATCH(R17,'Factors'!$C$9:$C$108,0))),"")="S2",IFERROR(IF(INDEX('Factors'!$I$9:$I$108,MATCH(R17,'Factors'!$C$9:$C$108,0))="","",INDEX('Factors'!$I$9:$I$108,MATCH(R17,'Factors'!$C$9:$C$108,0))),"")="Residual mix",IFERROR(IF(INDEX('Factors'!$J$9:$J$108,MATCH(R17,'Factors'!$C$9:$C$108,0))="","",INDEX('Factors'!$J$9:$J$108,MATCH(R17,'Factors'!$C$9:$C$108,0))),"")=G17,OR(IFERROR(IF(INDEX('Factors'!$E$9:$E$108,MATCH(R17,'Factors'!$C$9:$C$108,0))="","",INDEX('Factors'!$E$9:$E$108,MATCH(R17,'Factors'!$C$9:$C$108,0))),"")="Global",IFERROR(IF(INDEX('Factors'!$E$9:$E$108,MATCH(R17,'Factors'!$C$9:$C$108,0))="","",INDEX('Factors'!$E$9:$E$108,MATCH(R17,'Factors'!$C$9:$C$108,0))),"")=D17)),"Ready","Residual factor review"),"Residual availability review")))))))))))</x:f>
      </x:c>
      <x:c r="AA17" s="8"/>
      <x:c r="AB17" s="16"/>
      <x:c r="AC17" s="8"/>
    </x:row>
    <x:row r="18" ht="36" customHeight="1">
      <x:c r="A18" s="1"/>
      <x:c r="B18" s="1"/>
      <x:c r="C18" s="8"/>
      <x:c r="D18" s="8"/>
      <x:c r="E18" s="8"/>
      <x:c r="F18" s="8"/>
      <x:c r="G18" s="22"/>
      <x:c r="H18" s="16"/>
      <x:c r="I18" s="8"/>
      <x:c r="J18" s="16"/>
      <x:c r="K18" s="8"/>
      <x:c r="L18" s="8"/>
      <x:c r="M18" s="16"/>
      <x:c r="N18" s="8"/>
      <x:c r="O18" s="8"/>
      <x:c r="P18" s="8"/>
      <x:c r="Q18" s="8"/>
      <x:c r="R18" s="8"/>
      <x:c r="S18" s="8"/>
      <x:c r="T18" s="40"/>
      <x:c r="U18" s="23" t="str">
        <x:f>IF(X18="Ready",H18*IFERROR(IF(INDEX('Factors'!$G$9:$G$108,MATCH(I18,'Factors'!$C$9:$C$108,0))="","",INDEX('Factors'!$G$9:$G$108,MATCH(I18,'Factors'!$C$9:$C$108,0))),"")/1000+AB18,"")</x:f>
      </x:c>
      <x:c r="V18" s="23" t="str">
        <x:f>IF(Y18="Ready",J18*IFERROR(IF(INDEX('Factors'!$G$9:$G$108,MATCH(K18,'Factors'!$C$9:$C$108,0))="","",INDEX('Factors'!$G$9:$G$108,MATCH(K18,'Factors'!$C$9:$C$108,0))),"")/1000,"")</x:f>
      </x:c>
      <x:c r="W18" s="23" t="str">
        <x:f>IF(OR(Z18="Ready",Z18="Grid fallback"),(IF(M18&gt;0,M18*IFERROR(IF(INDEX('Factors'!$G$9:$G$108,MATCH(N18,'Factors'!$C$9:$C$108,0))="","",INDEX('Factors'!$G$9:$G$108,MATCH(N18,'Factors'!$C$9:$C$108,0))),""),0)+(J18-M18)*IF(M18=J18,0,IF(Q18="No",IFERROR(IF(INDEX('Factors'!$G$9:$G$108,MATCH(K18,'Factors'!$C$9:$C$108,0))="","",INDEX('Factors'!$G$9:$G$108,MATCH(K18,'Factors'!$C$9:$C$108,0))),""),IFERROR(IF(INDEX('Factors'!$G$9:$G$108,MATCH(R18,'Factors'!$C$9:$C$108,0))="","",INDEX('Factors'!$G$9:$G$108,MATCH(R18,'Factors'!$C$9:$C$108,0))),""))))/1000,"")</x:f>
      </x:c>
      <x:c r="X18" s="9" t="str">
        <x:f>IF(C18="","",IF(AND($D$6&lt;&gt;"Operational control",$D$6&lt;&gt;"Financial control"),"Control basis required",IF(F18="No","Outside control",IF(F18&lt;&gt;"Yes","Control review",IF(COUNTIFS($C$9:$C$108,C18)&lt;&gt;1,"Duplicate operation ID",IF(OR(S18="",NOT(ISNUMBER(T18)),T18&lt;'Settings'!$F$8,NOT(ISNUMBER(G18)),G18&lt;&gt;YEAR('Settings'!$F$8)),"Evidence / period review",IF(OR(NOT(ISNUMBER(H18)),H18&lt;0,AA18&lt;&gt;"Yes",NOT(ISNUMBER(AB18)),AB18&lt;0,AC18=""),"Activity required",IF(AND(IFERROR(IF(INDEX('Factors'!$P$9:$P$108,MATCH(I18,'Factors'!$C$9:$C$108,0))="","",INDEX('Factors'!$P$9:$P$108,MATCH(I18,'Factors'!$C$9:$C$108,0))),"")="Ready",IFERROR(IF(INDEX('Factors'!$F$9:$F$108,MATCH(I18,'Factors'!$C$9:$C$108,0))="","",INDEX('Factors'!$F$9:$F$108,MATCH(I18,'Factors'!$C$9:$C$108,0))),"")="litre",IFERROR(IF(INDEX('Factors'!$H$9:$H$108,MATCH(I18,'Factors'!$C$9:$C$108,0))="","",INDEX('Factors'!$H$9:$H$108,MATCH(I18,'Factors'!$C$9:$C$108,0))),"")="S1",IFERROR(IF(INDEX('Factors'!$I$9:$I$108,MATCH(I18,'Factors'!$C$9:$C$108,0))="","",INDEX('Factors'!$I$9:$I$108,MATCH(I18,'Factors'!$C$9:$C$108,0))),"")="Combustion",IFERROR(IF(INDEX('Factors'!$J$9:$J$108,MATCH(I18,'Factors'!$C$9:$C$108,0))="","",INDEX('Factors'!$J$9:$J$108,MATCH(I18,'Factors'!$C$9:$C$108,0))),"")=G18,OR(IFERROR(IF(INDEX('Factors'!$E$9:$E$108,MATCH(I18,'Factors'!$C$9:$C$108,0))="","",INDEX('Factors'!$E$9:$E$108,MATCH(I18,'Factors'!$C$9:$C$108,0))),"")="Global",IFERROR(IF(INDEX('Factors'!$E$9:$E$108,MATCH(I18,'Factors'!$C$9:$C$108,0))="","",INDEX('Factors'!$E$9:$E$108,MATCH(I18,'Factors'!$C$9:$C$108,0))),"")=D18)),"Ready","Factor / unit review"))))))))</x:f>
      </x:c>
      <x:c r="Y18" s="9" t="str">
        <x:f>IF(C18="","",IF(AND($D$6&lt;&gt;"Operational control",$D$6&lt;&gt;"Financial control"),"Control basis required",IF(F18="No","Outside control",IF(F18&lt;&gt;"Yes","Control review",IF(COUNTIFS($C$9:$C$108,C18)&lt;&gt;1,"Duplicate operation ID",IF(OR(S18="",NOT(ISNUMBER(T18)),T18&lt;'Settings'!$F$8,NOT(ISNUMBER(G18)),G18&lt;&gt;YEAR('Settings'!$F$8)),"Evidence / period review",IF(OR(NOT(ISNUMBER(J18)),J18&lt;0),"Activity required",IF(AND(IFERROR(IF(INDEX('Factors'!$P$9:$P$108,MATCH(K18,'Factors'!$C$9:$C$108,0))="","",INDEX('Factors'!$P$9:$P$108,MATCH(K18,'Factors'!$C$9:$C$108,0))),"")="Ready",IFERROR(IF(INDEX('Factors'!$F$9:$F$108,MATCH(K18,'Factors'!$C$9:$C$108,0))="","",INDEX('Factors'!$F$9:$F$108,MATCH(K18,'Factors'!$C$9:$C$108,0))),"")="kWh",IFERROR(IF(INDEX('Factors'!$H$9:$H$108,MATCH(K18,'Factors'!$C$9:$C$108,0))="","",INDEX('Factors'!$H$9:$H$108,MATCH(K18,'Factors'!$C$9:$C$108,0))),"")="S2",IFERROR(IF(INDEX('Factors'!$I$9:$I$108,MATCH(K18,'Factors'!$C$9:$C$108,0))="","",INDEX('Factors'!$I$9:$I$108,MATCH(K18,'Factors'!$C$9:$C$108,0))),"")="Location-based",IFERROR(IF(INDEX('Factors'!$J$9:$J$108,MATCH(K18,'Factors'!$C$9:$C$108,0))="","",INDEX('Factors'!$J$9:$J$108,MATCH(K18,'Factors'!$C$9:$C$108,0))),"")=G18,OR(IFERROR(IF(INDEX('Factors'!$E$9:$E$108,MATCH(K18,'Factors'!$C$9:$C$108,0))="","",INDEX('Factors'!$E$9:$E$108,MATCH(K18,'Factors'!$C$9:$C$108,0))),"")="Global",IFERROR(IF(INDEX('Factors'!$E$9:$E$108,MATCH(K18,'Factors'!$C$9:$C$108,0))="","",INDEX('Factors'!$E$9:$E$108,MATCH(K18,'Factors'!$C$9:$C$108,0))),"")=D18)),"Ready","Factor / unit review"))))))))</x:f>
      </x:c>
      <x:c r="Z18" s="9" t="str">
        <x:f>IF(C18="","",IF(F18="No","Outside control",IF(F18&lt;&gt;"Yes","Control review",IF($H$6="No","Not required",IF($H$6&lt;&gt;"Yes","Applicability review",IF(Y18&lt;&gt;"Ready",Y18,IF(OR(NOT(ISNUMBER(M18)),M18&lt;0,M18&gt;J18),"Contract quantity review",IF(AND(M18&gt;0,OR(O18&lt;&gt;"Pass",P18="",NOT(AND(IFERROR(IF(INDEX('Factors'!$P$9:$P$108,MATCH(N18,'Factors'!$C$9:$C$108,0))="","",INDEX('Factors'!$P$9:$P$108,MATCH(N18,'Factors'!$C$9:$C$108,0))),"")="Ready",IFERROR(IF(INDEX('Factors'!$F$9:$F$108,MATCH(N18,'Factors'!$C$9:$C$108,0))="","",INDEX('Factors'!$F$9:$F$108,MATCH(N18,'Factors'!$C$9:$C$108,0))),"")="kWh",IFERROR(IF(INDEX('Factors'!$H$9:$H$108,MATCH(N18,'Factors'!$C$9:$C$108,0))="","",INDEX('Factors'!$H$9:$H$108,MATCH(N18,'Factors'!$C$9:$C$108,0))),"")="S2",IFERROR(IF(INDEX('Factors'!$I$9:$I$108,MATCH(N18,'Factors'!$C$9:$C$108,0))="","",INDEX('Factors'!$I$9:$I$108,MATCH(N18,'Factors'!$C$9:$C$108,0))),"")="Market-based",IFERROR(IF(INDEX('Factors'!$J$9:$J$108,MATCH(N18,'Factors'!$C$9:$C$108,0))="","",INDEX('Factors'!$J$9:$J$108,MATCH(N18,'Factors'!$C$9:$C$108,0))),"")=G18,OR(IFERROR(IF(INDEX('Factors'!$E$9:$E$108,MATCH(N18,'Factors'!$C$9:$C$108,0))="","",INDEX('Factors'!$E$9:$E$108,MATCH(N18,'Factors'!$C$9:$C$108,0))),"")="Global",IFERROR(IF(INDEX('Factors'!$E$9:$E$108,MATCH(N18,'Factors'!$C$9:$C$108,0))="","",INDEX('Factors'!$E$9:$E$108,MATCH(N18,'Factors'!$C$9:$C$108,0))),"")=D18))))),"Contract criteria review",IF(M18=J18,"Ready",IF(Q18="No","Grid fallback",IF(Q18="Yes",IF(AND(IFERROR(IF(INDEX('Factors'!$P$9:$P$108,MATCH(R18,'Factors'!$C$9:$C$108,0))="","",INDEX('Factors'!$P$9:$P$108,MATCH(R18,'Factors'!$C$9:$C$108,0))),"")="Ready",IFERROR(IF(INDEX('Factors'!$F$9:$F$108,MATCH(R18,'Factors'!$C$9:$C$108,0))="","",INDEX('Factors'!$F$9:$F$108,MATCH(R18,'Factors'!$C$9:$C$108,0))),"")="kWh",IFERROR(IF(INDEX('Factors'!$H$9:$H$108,MATCH(R18,'Factors'!$C$9:$C$108,0))="","",INDEX('Factors'!$H$9:$H$108,MATCH(R18,'Factors'!$C$9:$C$108,0))),"")="S2",IFERROR(IF(INDEX('Factors'!$I$9:$I$108,MATCH(R18,'Factors'!$C$9:$C$108,0))="","",INDEX('Factors'!$I$9:$I$108,MATCH(R18,'Factors'!$C$9:$C$108,0))),"")="Residual mix",IFERROR(IF(INDEX('Factors'!$J$9:$J$108,MATCH(R18,'Factors'!$C$9:$C$108,0))="","",INDEX('Factors'!$J$9:$J$108,MATCH(R18,'Factors'!$C$9:$C$108,0))),"")=G18,OR(IFERROR(IF(INDEX('Factors'!$E$9:$E$108,MATCH(R18,'Factors'!$C$9:$C$108,0))="","",INDEX('Factors'!$E$9:$E$108,MATCH(R18,'Factors'!$C$9:$C$108,0))),"")="Global",IFERROR(IF(INDEX('Factors'!$E$9:$E$108,MATCH(R18,'Factors'!$C$9:$C$108,0))="","",INDEX('Factors'!$E$9:$E$108,MATCH(R18,'Factors'!$C$9:$C$108,0))),"")=D18)),"Ready","Residual factor review"),"Residual availability review")))))))))))</x:f>
      </x:c>
      <x:c r="AA18" s="8"/>
      <x:c r="AB18" s="16"/>
      <x:c r="AC18" s="8"/>
    </x:row>
    <x:row r="19" ht="36" customHeight="1">
      <x:c r="A19" s="1"/>
      <x:c r="B19" s="1"/>
      <x:c r="C19" s="8"/>
      <x:c r="D19" s="8"/>
      <x:c r="E19" s="8"/>
      <x:c r="F19" s="8"/>
      <x:c r="G19" s="22"/>
      <x:c r="H19" s="16"/>
      <x:c r="I19" s="8"/>
      <x:c r="J19" s="16"/>
      <x:c r="K19" s="8"/>
      <x:c r="L19" s="8"/>
      <x:c r="M19" s="16"/>
      <x:c r="N19" s="8"/>
      <x:c r="O19" s="8"/>
      <x:c r="P19" s="8"/>
      <x:c r="Q19" s="8"/>
      <x:c r="R19" s="8"/>
      <x:c r="S19" s="8"/>
      <x:c r="T19" s="40"/>
      <x:c r="U19" s="23" t="str">
        <x:f>IF(X19="Ready",H19*IFERROR(IF(INDEX('Factors'!$G$9:$G$108,MATCH(I19,'Factors'!$C$9:$C$108,0))="","",INDEX('Factors'!$G$9:$G$108,MATCH(I19,'Factors'!$C$9:$C$108,0))),"")/1000+AB19,"")</x:f>
      </x:c>
      <x:c r="V19" s="23" t="str">
        <x:f>IF(Y19="Ready",J19*IFERROR(IF(INDEX('Factors'!$G$9:$G$108,MATCH(K19,'Factors'!$C$9:$C$108,0))="","",INDEX('Factors'!$G$9:$G$108,MATCH(K19,'Factors'!$C$9:$C$108,0))),"")/1000,"")</x:f>
      </x:c>
      <x:c r="W19" s="23" t="str">
        <x:f>IF(OR(Z19="Ready",Z19="Grid fallback"),(IF(M19&gt;0,M19*IFERROR(IF(INDEX('Factors'!$G$9:$G$108,MATCH(N19,'Factors'!$C$9:$C$108,0))="","",INDEX('Factors'!$G$9:$G$108,MATCH(N19,'Factors'!$C$9:$C$108,0))),""),0)+(J19-M19)*IF(M19=J19,0,IF(Q19="No",IFERROR(IF(INDEX('Factors'!$G$9:$G$108,MATCH(K19,'Factors'!$C$9:$C$108,0))="","",INDEX('Factors'!$G$9:$G$108,MATCH(K19,'Factors'!$C$9:$C$108,0))),""),IFERROR(IF(INDEX('Factors'!$G$9:$G$108,MATCH(R19,'Factors'!$C$9:$C$108,0))="","",INDEX('Factors'!$G$9:$G$108,MATCH(R19,'Factors'!$C$9:$C$108,0))),""))))/1000,"")</x:f>
      </x:c>
      <x:c r="X19" s="9" t="str">
        <x:f>IF(C19="","",IF(AND($D$6&lt;&gt;"Operational control",$D$6&lt;&gt;"Financial control"),"Control basis required",IF(F19="No","Outside control",IF(F19&lt;&gt;"Yes","Control review",IF(COUNTIFS($C$9:$C$108,C19)&lt;&gt;1,"Duplicate operation ID",IF(OR(S19="",NOT(ISNUMBER(T19)),T19&lt;'Settings'!$F$8,NOT(ISNUMBER(G19)),G19&lt;&gt;YEAR('Settings'!$F$8)),"Evidence / period review",IF(OR(NOT(ISNUMBER(H19)),H19&lt;0,AA19&lt;&gt;"Yes",NOT(ISNUMBER(AB19)),AB19&lt;0,AC19=""),"Activity required",IF(AND(IFERROR(IF(INDEX('Factors'!$P$9:$P$108,MATCH(I19,'Factors'!$C$9:$C$108,0))="","",INDEX('Factors'!$P$9:$P$108,MATCH(I19,'Factors'!$C$9:$C$108,0))),"")="Ready",IFERROR(IF(INDEX('Factors'!$F$9:$F$108,MATCH(I19,'Factors'!$C$9:$C$108,0))="","",INDEX('Factors'!$F$9:$F$108,MATCH(I19,'Factors'!$C$9:$C$108,0))),"")="litre",IFERROR(IF(INDEX('Factors'!$H$9:$H$108,MATCH(I19,'Factors'!$C$9:$C$108,0))="","",INDEX('Factors'!$H$9:$H$108,MATCH(I19,'Factors'!$C$9:$C$108,0))),"")="S1",IFERROR(IF(INDEX('Factors'!$I$9:$I$108,MATCH(I19,'Factors'!$C$9:$C$108,0))="","",INDEX('Factors'!$I$9:$I$108,MATCH(I19,'Factors'!$C$9:$C$108,0))),"")="Combustion",IFERROR(IF(INDEX('Factors'!$J$9:$J$108,MATCH(I19,'Factors'!$C$9:$C$108,0))="","",INDEX('Factors'!$J$9:$J$108,MATCH(I19,'Factors'!$C$9:$C$108,0))),"")=G19,OR(IFERROR(IF(INDEX('Factors'!$E$9:$E$108,MATCH(I19,'Factors'!$C$9:$C$108,0))="","",INDEX('Factors'!$E$9:$E$108,MATCH(I19,'Factors'!$C$9:$C$108,0))),"")="Global",IFERROR(IF(INDEX('Factors'!$E$9:$E$108,MATCH(I19,'Factors'!$C$9:$C$108,0))="","",INDEX('Factors'!$E$9:$E$108,MATCH(I19,'Factors'!$C$9:$C$108,0))),"")=D19)),"Ready","Factor / unit review"))))))))</x:f>
      </x:c>
      <x:c r="Y19" s="9" t="str">
        <x:f>IF(C19="","",IF(AND($D$6&lt;&gt;"Operational control",$D$6&lt;&gt;"Financial control"),"Control basis required",IF(F19="No","Outside control",IF(F19&lt;&gt;"Yes","Control review",IF(COUNTIFS($C$9:$C$108,C19)&lt;&gt;1,"Duplicate operation ID",IF(OR(S19="",NOT(ISNUMBER(T19)),T19&lt;'Settings'!$F$8,NOT(ISNUMBER(G19)),G19&lt;&gt;YEAR('Settings'!$F$8)),"Evidence / period review",IF(OR(NOT(ISNUMBER(J19)),J19&lt;0),"Activity required",IF(AND(IFERROR(IF(INDEX('Factors'!$P$9:$P$108,MATCH(K19,'Factors'!$C$9:$C$108,0))="","",INDEX('Factors'!$P$9:$P$108,MATCH(K19,'Factors'!$C$9:$C$108,0))),"")="Ready",IFERROR(IF(INDEX('Factors'!$F$9:$F$108,MATCH(K19,'Factors'!$C$9:$C$108,0))="","",INDEX('Factors'!$F$9:$F$108,MATCH(K19,'Factors'!$C$9:$C$108,0))),"")="kWh",IFERROR(IF(INDEX('Factors'!$H$9:$H$108,MATCH(K19,'Factors'!$C$9:$C$108,0))="","",INDEX('Factors'!$H$9:$H$108,MATCH(K19,'Factors'!$C$9:$C$108,0))),"")="S2",IFERROR(IF(INDEX('Factors'!$I$9:$I$108,MATCH(K19,'Factors'!$C$9:$C$108,0))="","",INDEX('Factors'!$I$9:$I$108,MATCH(K19,'Factors'!$C$9:$C$108,0))),"")="Location-based",IFERROR(IF(INDEX('Factors'!$J$9:$J$108,MATCH(K19,'Factors'!$C$9:$C$108,0))="","",INDEX('Factors'!$J$9:$J$108,MATCH(K19,'Factors'!$C$9:$C$108,0))),"")=G19,OR(IFERROR(IF(INDEX('Factors'!$E$9:$E$108,MATCH(K19,'Factors'!$C$9:$C$108,0))="","",INDEX('Factors'!$E$9:$E$108,MATCH(K19,'Factors'!$C$9:$C$108,0))),"")="Global",IFERROR(IF(INDEX('Factors'!$E$9:$E$108,MATCH(K19,'Factors'!$C$9:$C$108,0))="","",INDEX('Factors'!$E$9:$E$108,MATCH(K19,'Factors'!$C$9:$C$108,0))),"")=D19)),"Ready","Factor / unit review"))))))))</x:f>
      </x:c>
      <x:c r="Z19" s="9" t="str">
        <x:f>IF(C19="","",IF(F19="No","Outside control",IF(F19&lt;&gt;"Yes","Control review",IF($H$6="No","Not required",IF($H$6&lt;&gt;"Yes","Applicability review",IF(Y19&lt;&gt;"Ready",Y19,IF(OR(NOT(ISNUMBER(M19)),M19&lt;0,M19&gt;J19),"Contract quantity review",IF(AND(M19&gt;0,OR(O19&lt;&gt;"Pass",P19="",NOT(AND(IFERROR(IF(INDEX('Factors'!$P$9:$P$108,MATCH(N19,'Factors'!$C$9:$C$108,0))="","",INDEX('Factors'!$P$9:$P$108,MATCH(N19,'Factors'!$C$9:$C$108,0))),"")="Ready",IFERROR(IF(INDEX('Factors'!$F$9:$F$108,MATCH(N19,'Factors'!$C$9:$C$108,0))="","",INDEX('Factors'!$F$9:$F$108,MATCH(N19,'Factors'!$C$9:$C$108,0))),"")="kWh",IFERROR(IF(INDEX('Factors'!$H$9:$H$108,MATCH(N19,'Factors'!$C$9:$C$108,0))="","",INDEX('Factors'!$H$9:$H$108,MATCH(N19,'Factors'!$C$9:$C$108,0))),"")="S2",IFERROR(IF(INDEX('Factors'!$I$9:$I$108,MATCH(N19,'Factors'!$C$9:$C$108,0))="","",INDEX('Factors'!$I$9:$I$108,MATCH(N19,'Factors'!$C$9:$C$108,0))),"")="Market-based",IFERROR(IF(INDEX('Factors'!$J$9:$J$108,MATCH(N19,'Factors'!$C$9:$C$108,0))="","",INDEX('Factors'!$J$9:$J$108,MATCH(N19,'Factors'!$C$9:$C$108,0))),"")=G19,OR(IFERROR(IF(INDEX('Factors'!$E$9:$E$108,MATCH(N19,'Factors'!$C$9:$C$108,0))="","",INDEX('Factors'!$E$9:$E$108,MATCH(N19,'Factors'!$C$9:$C$108,0))),"")="Global",IFERROR(IF(INDEX('Factors'!$E$9:$E$108,MATCH(N19,'Factors'!$C$9:$C$108,0))="","",INDEX('Factors'!$E$9:$E$108,MATCH(N19,'Factors'!$C$9:$C$108,0))),"")=D19))))),"Contract criteria review",IF(M19=J19,"Ready",IF(Q19="No","Grid fallback",IF(Q19="Yes",IF(AND(IFERROR(IF(INDEX('Factors'!$P$9:$P$108,MATCH(R19,'Factors'!$C$9:$C$108,0))="","",INDEX('Factors'!$P$9:$P$108,MATCH(R19,'Factors'!$C$9:$C$108,0))),"")="Ready",IFERROR(IF(INDEX('Factors'!$F$9:$F$108,MATCH(R19,'Factors'!$C$9:$C$108,0))="","",INDEX('Factors'!$F$9:$F$108,MATCH(R19,'Factors'!$C$9:$C$108,0))),"")="kWh",IFERROR(IF(INDEX('Factors'!$H$9:$H$108,MATCH(R19,'Factors'!$C$9:$C$108,0))="","",INDEX('Factors'!$H$9:$H$108,MATCH(R19,'Factors'!$C$9:$C$108,0))),"")="S2",IFERROR(IF(INDEX('Factors'!$I$9:$I$108,MATCH(R19,'Factors'!$C$9:$C$108,0))="","",INDEX('Factors'!$I$9:$I$108,MATCH(R19,'Factors'!$C$9:$C$108,0))),"")="Residual mix",IFERROR(IF(INDEX('Factors'!$J$9:$J$108,MATCH(R19,'Factors'!$C$9:$C$108,0))="","",INDEX('Factors'!$J$9:$J$108,MATCH(R19,'Factors'!$C$9:$C$108,0))),"")=G19,OR(IFERROR(IF(INDEX('Factors'!$E$9:$E$108,MATCH(R19,'Factors'!$C$9:$C$108,0))="","",INDEX('Factors'!$E$9:$E$108,MATCH(R19,'Factors'!$C$9:$C$108,0))),"")="Global",IFERROR(IF(INDEX('Factors'!$E$9:$E$108,MATCH(R19,'Factors'!$C$9:$C$108,0))="","",INDEX('Factors'!$E$9:$E$108,MATCH(R19,'Factors'!$C$9:$C$108,0))),"")=D19)),"Ready","Residual factor review"),"Residual availability review")))))))))))</x:f>
      </x:c>
      <x:c r="AA19" s="8"/>
      <x:c r="AB19" s="16"/>
      <x:c r="AC19" s="8"/>
    </x:row>
    <x:row r="20" ht="36" customHeight="1">
      <x:c r="A20" s="1"/>
      <x:c r="B20" s="1"/>
      <x:c r="C20" s="8"/>
      <x:c r="D20" s="8"/>
      <x:c r="E20" s="8"/>
      <x:c r="F20" s="8"/>
      <x:c r="G20" s="22"/>
      <x:c r="H20" s="16"/>
      <x:c r="I20" s="8"/>
      <x:c r="J20" s="16"/>
      <x:c r="K20" s="8"/>
      <x:c r="L20" s="8"/>
      <x:c r="M20" s="16"/>
      <x:c r="N20" s="8"/>
      <x:c r="O20" s="8"/>
      <x:c r="P20" s="8"/>
      <x:c r="Q20" s="8"/>
      <x:c r="R20" s="8"/>
      <x:c r="S20" s="8"/>
      <x:c r="T20" s="40"/>
      <x:c r="U20" s="23" t="str">
        <x:f>IF(X20="Ready",H20*IFERROR(IF(INDEX('Factors'!$G$9:$G$108,MATCH(I20,'Factors'!$C$9:$C$108,0))="","",INDEX('Factors'!$G$9:$G$108,MATCH(I20,'Factors'!$C$9:$C$108,0))),"")/1000+AB20,"")</x:f>
      </x:c>
      <x:c r="V20" s="23" t="str">
        <x:f>IF(Y20="Ready",J20*IFERROR(IF(INDEX('Factors'!$G$9:$G$108,MATCH(K20,'Factors'!$C$9:$C$108,0))="","",INDEX('Factors'!$G$9:$G$108,MATCH(K20,'Factors'!$C$9:$C$108,0))),"")/1000,"")</x:f>
      </x:c>
      <x:c r="W20" s="23" t="str">
        <x:f>IF(OR(Z20="Ready",Z20="Grid fallback"),(IF(M20&gt;0,M20*IFERROR(IF(INDEX('Factors'!$G$9:$G$108,MATCH(N20,'Factors'!$C$9:$C$108,0))="","",INDEX('Factors'!$G$9:$G$108,MATCH(N20,'Factors'!$C$9:$C$108,0))),""),0)+(J20-M20)*IF(M20=J20,0,IF(Q20="No",IFERROR(IF(INDEX('Factors'!$G$9:$G$108,MATCH(K20,'Factors'!$C$9:$C$108,0))="","",INDEX('Factors'!$G$9:$G$108,MATCH(K20,'Factors'!$C$9:$C$108,0))),""),IFERROR(IF(INDEX('Factors'!$G$9:$G$108,MATCH(R20,'Factors'!$C$9:$C$108,0))="","",INDEX('Factors'!$G$9:$G$108,MATCH(R20,'Factors'!$C$9:$C$108,0))),""))))/1000,"")</x:f>
      </x:c>
      <x:c r="X20" s="9" t="str">
        <x:f>IF(C20="","",IF(AND($D$6&lt;&gt;"Operational control",$D$6&lt;&gt;"Financial control"),"Control basis required",IF(F20="No","Outside control",IF(F20&lt;&gt;"Yes","Control review",IF(COUNTIFS($C$9:$C$108,C20)&lt;&gt;1,"Duplicate operation ID",IF(OR(S20="",NOT(ISNUMBER(T20)),T20&lt;'Settings'!$F$8,NOT(ISNUMBER(G20)),G20&lt;&gt;YEAR('Settings'!$F$8)),"Evidence / period review",IF(OR(NOT(ISNUMBER(H20)),H20&lt;0,AA20&lt;&gt;"Yes",NOT(ISNUMBER(AB20)),AB20&lt;0,AC20=""),"Activity required",IF(AND(IFERROR(IF(INDEX('Factors'!$P$9:$P$108,MATCH(I20,'Factors'!$C$9:$C$108,0))="","",INDEX('Factors'!$P$9:$P$108,MATCH(I20,'Factors'!$C$9:$C$108,0))),"")="Ready",IFERROR(IF(INDEX('Factors'!$F$9:$F$108,MATCH(I20,'Factors'!$C$9:$C$108,0))="","",INDEX('Factors'!$F$9:$F$108,MATCH(I20,'Factors'!$C$9:$C$108,0))),"")="litre",IFERROR(IF(INDEX('Factors'!$H$9:$H$108,MATCH(I20,'Factors'!$C$9:$C$108,0))="","",INDEX('Factors'!$H$9:$H$108,MATCH(I20,'Factors'!$C$9:$C$108,0))),"")="S1",IFERROR(IF(INDEX('Factors'!$I$9:$I$108,MATCH(I20,'Factors'!$C$9:$C$108,0))="","",INDEX('Factors'!$I$9:$I$108,MATCH(I20,'Factors'!$C$9:$C$108,0))),"")="Combustion",IFERROR(IF(INDEX('Factors'!$J$9:$J$108,MATCH(I20,'Factors'!$C$9:$C$108,0))="","",INDEX('Factors'!$J$9:$J$108,MATCH(I20,'Factors'!$C$9:$C$108,0))),"")=G20,OR(IFERROR(IF(INDEX('Factors'!$E$9:$E$108,MATCH(I20,'Factors'!$C$9:$C$108,0))="","",INDEX('Factors'!$E$9:$E$108,MATCH(I20,'Factors'!$C$9:$C$108,0))),"")="Global",IFERROR(IF(INDEX('Factors'!$E$9:$E$108,MATCH(I20,'Factors'!$C$9:$C$108,0))="","",INDEX('Factors'!$E$9:$E$108,MATCH(I20,'Factors'!$C$9:$C$108,0))),"")=D20)),"Ready","Factor / unit review"))))))))</x:f>
      </x:c>
      <x:c r="Y20" s="9" t="str">
        <x:f>IF(C20="","",IF(AND($D$6&lt;&gt;"Operational control",$D$6&lt;&gt;"Financial control"),"Control basis required",IF(F20="No","Outside control",IF(F20&lt;&gt;"Yes","Control review",IF(COUNTIFS($C$9:$C$108,C20)&lt;&gt;1,"Duplicate operation ID",IF(OR(S20="",NOT(ISNUMBER(T20)),T20&lt;'Settings'!$F$8,NOT(ISNUMBER(G20)),G20&lt;&gt;YEAR('Settings'!$F$8)),"Evidence / period review",IF(OR(NOT(ISNUMBER(J20)),J20&lt;0),"Activity required",IF(AND(IFERROR(IF(INDEX('Factors'!$P$9:$P$108,MATCH(K20,'Factors'!$C$9:$C$108,0))="","",INDEX('Factors'!$P$9:$P$108,MATCH(K20,'Factors'!$C$9:$C$108,0))),"")="Ready",IFERROR(IF(INDEX('Factors'!$F$9:$F$108,MATCH(K20,'Factors'!$C$9:$C$108,0))="","",INDEX('Factors'!$F$9:$F$108,MATCH(K20,'Factors'!$C$9:$C$108,0))),"")="kWh",IFERROR(IF(INDEX('Factors'!$H$9:$H$108,MATCH(K20,'Factors'!$C$9:$C$108,0))="","",INDEX('Factors'!$H$9:$H$108,MATCH(K20,'Factors'!$C$9:$C$108,0))),"")="S2",IFERROR(IF(INDEX('Factors'!$I$9:$I$108,MATCH(K20,'Factors'!$C$9:$C$108,0))="","",INDEX('Factors'!$I$9:$I$108,MATCH(K20,'Factors'!$C$9:$C$108,0))),"")="Location-based",IFERROR(IF(INDEX('Factors'!$J$9:$J$108,MATCH(K20,'Factors'!$C$9:$C$108,0))="","",INDEX('Factors'!$J$9:$J$108,MATCH(K20,'Factors'!$C$9:$C$108,0))),"")=G20,OR(IFERROR(IF(INDEX('Factors'!$E$9:$E$108,MATCH(K20,'Factors'!$C$9:$C$108,0))="","",INDEX('Factors'!$E$9:$E$108,MATCH(K20,'Factors'!$C$9:$C$108,0))),"")="Global",IFERROR(IF(INDEX('Factors'!$E$9:$E$108,MATCH(K20,'Factors'!$C$9:$C$108,0))="","",INDEX('Factors'!$E$9:$E$108,MATCH(K20,'Factors'!$C$9:$C$108,0))),"")=D20)),"Ready","Factor / unit review"))))))))</x:f>
      </x:c>
      <x:c r="Z20" s="9" t="str">
        <x:f>IF(C20="","",IF(F20="No","Outside control",IF(F20&lt;&gt;"Yes","Control review",IF($H$6="No","Not required",IF($H$6&lt;&gt;"Yes","Applicability review",IF(Y20&lt;&gt;"Ready",Y20,IF(OR(NOT(ISNUMBER(M20)),M20&lt;0,M20&gt;J20),"Contract quantity review",IF(AND(M20&gt;0,OR(O20&lt;&gt;"Pass",P20="",NOT(AND(IFERROR(IF(INDEX('Factors'!$P$9:$P$108,MATCH(N20,'Factors'!$C$9:$C$108,0))="","",INDEX('Factors'!$P$9:$P$108,MATCH(N20,'Factors'!$C$9:$C$108,0))),"")="Ready",IFERROR(IF(INDEX('Factors'!$F$9:$F$108,MATCH(N20,'Factors'!$C$9:$C$108,0))="","",INDEX('Factors'!$F$9:$F$108,MATCH(N20,'Factors'!$C$9:$C$108,0))),"")="kWh",IFERROR(IF(INDEX('Factors'!$H$9:$H$108,MATCH(N20,'Factors'!$C$9:$C$108,0))="","",INDEX('Factors'!$H$9:$H$108,MATCH(N20,'Factors'!$C$9:$C$108,0))),"")="S2",IFERROR(IF(INDEX('Factors'!$I$9:$I$108,MATCH(N20,'Factors'!$C$9:$C$108,0))="","",INDEX('Factors'!$I$9:$I$108,MATCH(N20,'Factors'!$C$9:$C$108,0))),"")="Market-based",IFERROR(IF(INDEX('Factors'!$J$9:$J$108,MATCH(N20,'Factors'!$C$9:$C$108,0))="","",INDEX('Factors'!$J$9:$J$108,MATCH(N20,'Factors'!$C$9:$C$108,0))),"")=G20,OR(IFERROR(IF(INDEX('Factors'!$E$9:$E$108,MATCH(N20,'Factors'!$C$9:$C$108,0))="","",INDEX('Factors'!$E$9:$E$108,MATCH(N20,'Factors'!$C$9:$C$108,0))),"")="Global",IFERROR(IF(INDEX('Factors'!$E$9:$E$108,MATCH(N20,'Factors'!$C$9:$C$108,0))="","",INDEX('Factors'!$E$9:$E$108,MATCH(N20,'Factors'!$C$9:$C$108,0))),"")=D20))))),"Contract criteria review",IF(M20=J20,"Ready",IF(Q20="No","Grid fallback",IF(Q20="Yes",IF(AND(IFERROR(IF(INDEX('Factors'!$P$9:$P$108,MATCH(R20,'Factors'!$C$9:$C$108,0))="","",INDEX('Factors'!$P$9:$P$108,MATCH(R20,'Factors'!$C$9:$C$108,0))),"")="Ready",IFERROR(IF(INDEX('Factors'!$F$9:$F$108,MATCH(R20,'Factors'!$C$9:$C$108,0))="","",INDEX('Factors'!$F$9:$F$108,MATCH(R20,'Factors'!$C$9:$C$108,0))),"")="kWh",IFERROR(IF(INDEX('Factors'!$H$9:$H$108,MATCH(R20,'Factors'!$C$9:$C$108,0))="","",INDEX('Factors'!$H$9:$H$108,MATCH(R20,'Factors'!$C$9:$C$108,0))),"")="S2",IFERROR(IF(INDEX('Factors'!$I$9:$I$108,MATCH(R20,'Factors'!$C$9:$C$108,0))="","",INDEX('Factors'!$I$9:$I$108,MATCH(R20,'Factors'!$C$9:$C$108,0))),"")="Residual mix",IFERROR(IF(INDEX('Factors'!$J$9:$J$108,MATCH(R20,'Factors'!$C$9:$C$108,0))="","",INDEX('Factors'!$J$9:$J$108,MATCH(R20,'Factors'!$C$9:$C$108,0))),"")=G20,OR(IFERROR(IF(INDEX('Factors'!$E$9:$E$108,MATCH(R20,'Factors'!$C$9:$C$108,0))="","",INDEX('Factors'!$E$9:$E$108,MATCH(R20,'Factors'!$C$9:$C$108,0))),"")="Global",IFERROR(IF(INDEX('Factors'!$E$9:$E$108,MATCH(R20,'Factors'!$C$9:$C$108,0))="","",INDEX('Factors'!$E$9:$E$108,MATCH(R20,'Factors'!$C$9:$C$108,0))),"")=D20)),"Ready","Residual factor review"),"Residual availability review")))))))))))</x:f>
      </x:c>
      <x:c r="AA20" s="8"/>
      <x:c r="AB20" s="16"/>
      <x:c r="AC20" s="8"/>
    </x:row>
    <x:row r="21" ht="36" customHeight="1">
      <x:c r="A21" s="1"/>
      <x:c r="B21" s="1"/>
      <x:c r="C21" s="8"/>
      <x:c r="D21" s="8"/>
      <x:c r="E21" s="8"/>
      <x:c r="F21" s="8"/>
      <x:c r="G21" s="22"/>
      <x:c r="H21" s="16"/>
      <x:c r="I21" s="8"/>
      <x:c r="J21" s="16"/>
      <x:c r="K21" s="8"/>
      <x:c r="L21" s="8"/>
      <x:c r="M21" s="16"/>
      <x:c r="N21" s="8"/>
      <x:c r="O21" s="8"/>
      <x:c r="P21" s="8"/>
      <x:c r="Q21" s="8"/>
      <x:c r="R21" s="8"/>
      <x:c r="S21" s="8"/>
      <x:c r="T21" s="40"/>
      <x:c r="U21" s="23" t="str">
        <x:f>IF(X21="Ready",H21*IFERROR(IF(INDEX('Factors'!$G$9:$G$108,MATCH(I21,'Factors'!$C$9:$C$108,0))="","",INDEX('Factors'!$G$9:$G$108,MATCH(I21,'Factors'!$C$9:$C$108,0))),"")/1000+AB21,"")</x:f>
      </x:c>
      <x:c r="V21" s="23" t="str">
        <x:f>IF(Y21="Ready",J21*IFERROR(IF(INDEX('Factors'!$G$9:$G$108,MATCH(K21,'Factors'!$C$9:$C$108,0))="","",INDEX('Factors'!$G$9:$G$108,MATCH(K21,'Factors'!$C$9:$C$108,0))),"")/1000,"")</x:f>
      </x:c>
      <x:c r="W21" s="23" t="str">
        <x:f>IF(OR(Z21="Ready",Z21="Grid fallback"),(IF(M21&gt;0,M21*IFERROR(IF(INDEX('Factors'!$G$9:$G$108,MATCH(N21,'Factors'!$C$9:$C$108,0))="","",INDEX('Factors'!$G$9:$G$108,MATCH(N21,'Factors'!$C$9:$C$108,0))),""),0)+(J21-M21)*IF(M21=J21,0,IF(Q21="No",IFERROR(IF(INDEX('Factors'!$G$9:$G$108,MATCH(K21,'Factors'!$C$9:$C$108,0))="","",INDEX('Factors'!$G$9:$G$108,MATCH(K21,'Factors'!$C$9:$C$108,0))),""),IFERROR(IF(INDEX('Factors'!$G$9:$G$108,MATCH(R21,'Factors'!$C$9:$C$108,0))="","",INDEX('Factors'!$G$9:$G$108,MATCH(R21,'Factors'!$C$9:$C$108,0))),""))))/1000,"")</x:f>
      </x:c>
      <x:c r="X21" s="9" t="str">
        <x:f>IF(C21="","",IF(AND($D$6&lt;&gt;"Operational control",$D$6&lt;&gt;"Financial control"),"Control basis required",IF(F21="No","Outside control",IF(F21&lt;&gt;"Yes","Control review",IF(COUNTIFS($C$9:$C$108,C21)&lt;&gt;1,"Duplicate operation ID",IF(OR(S21="",NOT(ISNUMBER(T21)),T21&lt;'Settings'!$F$8,NOT(ISNUMBER(G21)),G21&lt;&gt;YEAR('Settings'!$F$8)),"Evidence / period review",IF(OR(NOT(ISNUMBER(H21)),H21&lt;0,AA21&lt;&gt;"Yes",NOT(ISNUMBER(AB21)),AB21&lt;0,AC21=""),"Activity required",IF(AND(IFERROR(IF(INDEX('Factors'!$P$9:$P$108,MATCH(I21,'Factors'!$C$9:$C$108,0))="","",INDEX('Factors'!$P$9:$P$108,MATCH(I21,'Factors'!$C$9:$C$108,0))),"")="Ready",IFERROR(IF(INDEX('Factors'!$F$9:$F$108,MATCH(I21,'Factors'!$C$9:$C$108,0))="","",INDEX('Factors'!$F$9:$F$108,MATCH(I21,'Factors'!$C$9:$C$108,0))),"")="litre",IFERROR(IF(INDEX('Factors'!$H$9:$H$108,MATCH(I21,'Factors'!$C$9:$C$108,0))="","",INDEX('Factors'!$H$9:$H$108,MATCH(I21,'Factors'!$C$9:$C$108,0))),"")="S1",IFERROR(IF(INDEX('Factors'!$I$9:$I$108,MATCH(I21,'Factors'!$C$9:$C$108,0))="","",INDEX('Factors'!$I$9:$I$108,MATCH(I21,'Factors'!$C$9:$C$108,0))),"")="Combustion",IFERROR(IF(INDEX('Factors'!$J$9:$J$108,MATCH(I21,'Factors'!$C$9:$C$108,0))="","",INDEX('Factors'!$J$9:$J$108,MATCH(I21,'Factors'!$C$9:$C$108,0))),"")=G21,OR(IFERROR(IF(INDEX('Factors'!$E$9:$E$108,MATCH(I21,'Factors'!$C$9:$C$108,0))="","",INDEX('Factors'!$E$9:$E$108,MATCH(I21,'Factors'!$C$9:$C$108,0))),"")="Global",IFERROR(IF(INDEX('Factors'!$E$9:$E$108,MATCH(I21,'Factors'!$C$9:$C$108,0))="","",INDEX('Factors'!$E$9:$E$108,MATCH(I21,'Factors'!$C$9:$C$108,0))),"")=D21)),"Ready","Factor / unit review"))))))))</x:f>
      </x:c>
      <x:c r="Y21" s="9" t="str">
        <x:f>IF(C21="","",IF(AND($D$6&lt;&gt;"Operational control",$D$6&lt;&gt;"Financial control"),"Control basis required",IF(F21="No","Outside control",IF(F21&lt;&gt;"Yes","Control review",IF(COUNTIFS($C$9:$C$108,C21)&lt;&gt;1,"Duplicate operation ID",IF(OR(S21="",NOT(ISNUMBER(T21)),T21&lt;'Settings'!$F$8,NOT(ISNUMBER(G21)),G21&lt;&gt;YEAR('Settings'!$F$8)),"Evidence / period review",IF(OR(NOT(ISNUMBER(J21)),J21&lt;0),"Activity required",IF(AND(IFERROR(IF(INDEX('Factors'!$P$9:$P$108,MATCH(K21,'Factors'!$C$9:$C$108,0))="","",INDEX('Factors'!$P$9:$P$108,MATCH(K21,'Factors'!$C$9:$C$108,0))),"")="Ready",IFERROR(IF(INDEX('Factors'!$F$9:$F$108,MATCH(K21,'Factors'!$C$9:$C$108,0))="","",INDEX('Factors'!$F$9:$F$108,MATCH(K21,'Factors'!$C$9:$C$108,0))),"")="kWh",IFERROR(IF(INDEX('Factors'!$H$9:$H$108,MATCH(K21,'Factors'!$C$9:$C$108,0))="","",INDEX('Factors'!$H$9:$H$108,MATCH(K21,'Factors'!$C$9:$C$108,0))),"")="S2",IFERROR(IF(INDEX('Factors'!$I$9:$I$108,MATCH(K21,'Factors'!$C$9:$C$108,0))="","",INDEX('Factors'!$I$9:$I$108,MATCH(K21,'Factors'!$C$9:$C$108,0))),"")="Location-based",IFERROR(IF(INDEX('Factors'!$J$9:$J$108,MATCH(K21,'Factors'!$C$9:$C$108,0))="","",INDEX('Factors'!$J$9:$J$108,MATCH(K21,'Factors'!$C$9:$C$108,0))),"")=G21,OR(IFERROR(IF(INDEX('Factors'!$E$9:$E$108,MATCH(K21,'Factors'!$C$9:$C$108,0))="","",INDEX('Factors'!$E$9:$E$108,MATCH(K21,'Factors'!$C$9:$C$108,0))),"")="Global",IFERROR(IF(INDEX('Factors'!$E$9:$E$108,MATCH(K21,'Factors'!$C$9:$C$108,0))="","",INDEX('Factors'!$E$9:$E$108,MATCH(K21,'Factors'!$C$9:$C$108,0))),"")=D21)),"Ready","Factor / unit review"))))))))</x:f>
      </x:c>
      <x:c r="Z21" s="9" t="str">
        <x:f>IF(C21="","",IF(F21="No","Outside control",IF(F21&lt;&gt;"Yes","Control review",IF($H$6="No","Not required",IF($H$6&lt;&gt;"Yes","Applicability review",IF(Y21&lt;&gt;"Ready",Y21,IF(OR(NOT(ISNUMBER(M21)),M21&lt;0,M21&gt;J21),"Contract quantity review",IF(AND(M21&gt;0,OR(O21&lt;&gt;"Pass",P21="",NOT(AND(IFERROR(IF(INDEX('Factors'!$P$9:$P$108,MATCH(N21,'Factors'!$C$9:$C$108,0))="","",INDEX('Factors'!$P$9:$P$108,MATCH(N21,'Factors'!$C$9:$C$108,0))),"")="Ready",IFERROR(IF(INDEX('Factors'!$F$9:$F$108,MATCH(N21,'Factors'!$C$9:$C$108,0))="","",INDEX('Factors'!$F$9:$F$108,MATCH(N21,'Factors'!$C$9:$C$108,0))),"")="kWh",IFERROR(IF(INDEX('Factors'!$H$9:$H$108,MATCH(N21,'Factors'!$C$9:$C$108,0))="","",INDEX('Factors'!$H$9:$H$108,MATCH(N21,'Factors'!$C$9:$C$108,0))),"")="S2",IFERROR(IF(INDEX('Factors'!$I$9:$I$108,MATCH(N21,'Factors'!$C$9:$C$108,0))="","",INDEX('Factors'!$I$9:$I$108,MATCH(N21,'Factors'!$C$9:$C$108,0))),"")="Market-based",IFERROR(IF(INDEX('Factors'!$J$9:$J$108,MATCH(N21,'Factors'!$C$9:$C$108,0))="","",INDEX('Factors'!$J$9:$J$108,MATCH(N21,'Factors'!$C$9:$C$108,0))),"")=G21,OR(IFERROR(IF(INDEX('Factors'!$E$9:$E$108,MATCH(N21,'Factors'!$C$9:$C$108,0))="","",INDEX('Factors'!$E$9:$E$108,MATCH(N21,'Factors'!$C$9:$C$108,0))),"")="Global",IFERROR(IF(INDEX('Factors'!$E$9:$E$108,MATCH(N21,'Factors'!$C$9:$C$108,0))="","",INDEX('Factors'!$E$9:$E$108,MATCH(N21,'Factors'!$C$9:$C$108,0))),"")=D21))))),"Contract criteria review",IF(M21=J21,"Ready",IF(Q21="No","Grid fallback",IF(Q21="Yes",IF(AND(IFERROR(IF(INDEX('Factors'!$P$9:$P$108,MATCH(R21,'Factors'!$C$9:$C$108,0))="","",INDEX('Factors'!$P$9:$P$108,MATCH(R21,'Factors'!$C$9:$C$108,0))),"")="Ready",IFERROR(IF(INDEX('Factors'!$F$9:$F$108,MATCH(R21,'Factors'!$C$9:$C$108,0))="","",INDEX('Factors'!$F$9:$F$108,MATCH(R21,'Factors'!$C$9:$C$108,0))),"")="kWh",IFERROR(IF(INDEX('Factors'!$H$9:$H$108,MATCH(R21,'Factors'!$C$9:$C$108,0))="","",INDEX('Factors'!$H$9:$H$108,MATCH(R21,'Factors'!$C$9:$C$108,0))),"")="S2",IFERROR(IF(INDEX('Factors'!$I$9:$I$108,MATCH(R21,'Factors'!$C$9:$C$108,0))="","",INDEX('Factors'!$I$9:$I$108,MATCH(R21,'Factors'!$C$9:$C$108,0))),"")="Residual mix",IFERROR(IF(INDEX('Factors'!$J$9:$J$108,MATCH(R21,'Factors'!$C$9:$C$108,0))="","",INDEX('Factors'!$J$9:$J$108,MATCH(R21,'Factors'!$C$9:$C$108,0))),"")=G21,OR(IFERROR(IF(INDEX('Factors'!$E$9:$E$108,MATCH(R21,'Factors'!$C$9:$C$108,0))="","",INDEX('Factors'!$E$9:$E$108,MATCH(R21,'Factors'!$C$9:$C$108,0))),"")="Global",IFERROR(IF(INDEX('Factors'!$E$9:$E$108,MATCH(R21,'Factors'!$C$9:$C$108,0))="","",INDEX('Factors'!$E$9:$E$108,MATCH(R21,'Factors'!$C$9:$C$108,0))),"")=D21)),"Ready","Residual factor review"),"Residual availability review")))))))))))</x:f>
      </x:c>
      <x:c r="AA21" s="8"/>
      <x:c r="AB21" s="16"/>
      <x:c r="AC21" s="8"/>
    </x:row>
    <x:row r="22" ht="36" customHeight="1">
      <x:c r="A22" s="1"/>
      <x:c r="B22" s="1"/>
      <x:c r="C22" s="8"/>
      <x:c r="D22" s="8"/>
      <x:c r="E22" s="8"/>
      <x:c r="F22" s="8"/>
      <x:c r="G22" s="22"/>
      <x:c r="H22" s="16"/>
      <x:c r="I22" s="8"/>
      <x:c r="J22" s="16"/>
      <x:c r="K22" s="8"/>
      <x:c r="L22" s="8"/>
      <x:c r="M22" s="16"/>
      <x:c r="N22" s="8"/>
      <x:c r="O22" s="8"/>
      <x:c r="P22" s="8"/>
      <x:c r="Q22" s="8"/>
      <x:c r="R22" s="8"/>
      <x:c r="S22" s="8"/>
      <x:c r="T22" s="40"/>
      <x:c r="U22" s="23" t="str">
        <x:f>IF(X22="Ready",H22*IFERROR(IF(INDEX('Factors'!$G$9:$G$108,MATCH(I22,'Factors'!$C$9:$C$108,0))="","",INDEX('Factors'!$G$9:$G$108,MATCH(I22,'Factors'!$C$9:$C$108,0))),"")/1000+AB22,"")</x:f>
      </x:c>
      <x:c r="V22" s="23" t="str">
        <x:f>IF(Y22="Ready",J22*IFERROR(IF(INDEX('Factors'!$G$9:$G$108,MATCH(K22,'Factors'!$C$9:$C$108,0))="","",INDEX('Factors'!$G$9:$G$108,MATCH(K22,'Factors'!$C$9:$C$108,0))),"")/1000,"")</x:f>
      </x:c>
      <x:c r="W22" s="23" t="str">
        <x:f>IF(OR(Z22="Ready",Z22="Grid fallback"),(IF(M22&gt;0,M22*IFERROR(IF(INDEX('Factors'!$G$9:$G$108,MATCH(N22,'Factors'!$C$9:$C$108,0))="","",INDEX('Factors'!$G$9:$G$108,MATCH(N22,'Factors'!$C$9:$C$108,0))),""),0)+(J22-M22)*IF(M22=J22,0,IF(Q22="No",IFERROR(IF(INDEX('Factors'!$G$9:$G$108,MATCH(K22,'Factors'!$C$9:$C$108,0))="","",INDEX('Factors'!$G$9:$G$108,MATCH(K22,'Factors'!$C$9:$C$108,0))),""),IFERROR(IF(INDEX('Factors'!$G$9:$G$108,MATCH(R22,'Factors'!$C$9:$C$108,0))="","",INDEX('Factors'!$G$9:$G$108,MATCH(R22,'Factors'!$C$9:$C$108,0))),""))))/1000,"")</x:f>
      </x:c>
      <x:c r="X22" s="9" t="str">
        <x:f>IF(C22="","",IF(AND($D$6&lt;&gt;"Operational control",$D$6&lt;&gt;"Financial control"),"Control basis required",IF(F22="No","Outside control",IF(F22&lt;&gt;"Yes","Control review",IF(COUNTIFS($C$9:$C$108,C22)&lt;&gt;1,"Duplicate operation ID",IF(OR(S22="",NOT(ISNUMBER(T22)),T22&lt;'Settings'!$F$8,NOT(ISNUMBER(G22)),G22&lt;&gt;YEAR('Settings'!$F$8)),"Evidence / period review",IF(OR(NOT(ISNUMBER(H22)),H22&lt;0,AA22&lt;&gt;"Yes",NOT(ISNUMBER(AB22)),AB22&lt;0,AC22=""),"Activity required",IF(AND(IFERROR(IF(INDEX('Factors'!$P$9:$P$108,MATCH(I22,'Factors'!$C$9:$C$108,0))="","",INDEX('Factors'!$P$9:$P$108,MATCH(I22,'Factors'!$C$9:$C$108,0))),"")="Ready",IFERROR(IF(INDEX('Factors'!$F$9:$F$108,MATCH(I22,'Factors'!$C$9:$C$108,0))="","",INDEX('Factors'!$F$9:$F$108,MATCH(I22,'Factors'!$C$9:$C$108,0))),"")="litre",IFERROR(IF(INDEX('Factors'!$H$9:$H$108,MATCH(I22,'Factors'!$C$9:$C$108,0))="","",INDEX('Factors'!$H$9:$H$108,MATCH(I22,'Factors'!$C$9:$C$108,0))),"")="S1",IFERROR(IF(INDEX('Factors'!$I$9:$I$108,MATCH(I22,'Factors'!$C$9:$C$108,0))="","",INDEX('Factors'!$I$9:$I$108,MATCH(I22,'Factors'!$C$9:$C$108,0))),"")="Combustion",IFERROR(IF(INDEX('Factors'!$J$9:$J$108,MATCH(I22,'Factors'!$C$9:$C$108,0))="","",INDEX('Factors'!$J$9:$J$108,MATCH(I22,'Factors'!$C$9:$C$108,0))),"")=G22,OR(IFERROR(IF(INDEX('Factors'!$E$9:$E$108,MATCH(I22,'Factors'!$C$9:$C$108,0))="","",INDEX('Factors'!$E$9:$E$108,MATCH(I22,'Factors'!$C$9:$C$108,0))),"")="Global",IFERROR(IF(INDEX('Factors'!$E$9:$E$108,MATCH(I22,'Factors'!$C$9:$C$108,0))="","",INDEX('Factors'!$E$9:$E$108,MATCH(I22,'Factors'!$C$9:$C$108,0))),"")=D22)),"Ready","Factor / unit review"))))))))</x:f>
      </x:c>
      <x:c r="Y22" s="9" t="str">
        <x:f>IF(C22="","",IF(AND($D$6&lt;&gt;"Operational control",$D$6&lt;&gt;"Financial control"),"Control basis required",IF(F22="No","Outside control",IF(F22&lt;&gt;"Yes","Control review",IF(COUNTIFS($C$9:$C$108,C22)&lt;&gt;1,"Duplicate operation ID",IF(OR(S22="",NOT(ISNUMBER(T22)),T22&lt;'Settings'!$F$8,NOT(ISNUMBER(G22)),G22&lt;&gt;YEAR('Settings'!$F$8)),"Evidence / period review",IF(OR(NOT(ISNUMBER(J22)),J22&lt;0),"Activity required",IF(AND(IFERROR(IF(INDEX('Factors'!$P$9:$P$108,MATCH(K22,'Factors'!$C$9:$C$108,0))="","",INDEX('Factors'!$P$9:$P$108,MATCH(K22,'Factors'!$C$9:$C$108,0))),"")="Ready",IFERROR(IF(INDEX('Factors'!$F$9:$F$108,MATCH(K22,'Factors'!$C$9:$C$108,0))="","",INDEX('Factors'!$F$9:$F$108,MATCH(K22,'Factors'!$C$9:$C$108,0))),"")="kWh",IFERROR(IF(INDEX('Factors'!$H$9:$H$108,MATCH(K22,'Factors'!$C$9:$C$108,0))="","",INDEX('Factors'!$H$9:$H$108,MATCH(K22,'Factors'!$C$9:$C$108,0))),"")="S2",IFERROR(IF(INDEX('Factors'!$I$9:$I$108,MATCH(K22,'Factors'!$C$9:$C$108,0))="","",INDEX('Factors'!$I$9:$I$108,MATCH(K22,'Factors'!$C$9:$C$108,0))),"")="Location-based",IFERROR(IF(INDEX('Factors'!$J$9:$J$108,MATCH(K22,'Factors'!$C$9:$C$108,0))="","",INDEX('Factors'!$J$9:$J$108,MATCH(K22,'Factors'!$C$9:$C$108,0))),"")=G22,OR(IFERROR(IF(INDEX('Factors'!$E$9:$E$108,MATCH(K22,'Factors'!$C$9:$C$108,0))="","",INDEX('Factors'!$E$9:$E$108,MATCH(K22,'Factors'!$C$9:$C$108,0))),"")="Global",IFERROR(IF(INDEX('Factors'!$E$9:$E$108,MATCH(K22,'Factors'!$C$9:$C$108,0))="","",INDEX('Factors'!$E$9:$E$108,MATCH(K22,'Factors'!$C$9:$C$108,0))),"")=D22)),"Ready","Factor / unit review"))))))))</x:f>
      </x:c>
      <x:c r="Z22" s="9" t="str">
        <x:f>IF(C22="","",IF(F22="No","Outside control",IF(F22&lt;&gt;"Yes","Control review",IF($H$6="No","Not required",IF($H$6&lt;&gt;"Yes","Applicability review",IF(Y22&lt;&gt;"Ready",Y22,IF(OR(NOT(ISNUMBER(M22)),M22&lt;0,M22&gt;J22),"Contract quantity review",IF(AND(M22&gt;0,OR(O22&lt;&gt;"Pass",P22="",NOT(AND(IFERROR(IF(INDEX('Factors'!$P$9:$P$108,MATCH(N22,'Factors'!$C$9:$C$108,0))="","",INDEX('Factors'!$P$9:$P$108,MATCH(N22,'Factors'!$C$9:$C$108,0))),"")="Ready",IFERROR(IF(INDEX('Factors'!$F$9:$F$108,MATCH(N22,'Factors'!$C$9:$C$108,0))="","",INDEX('Factors'!$F$9:$F$108,MATCH(N22,'Factors'!$C$9:$C$108,0))),"")="kWh",IFERROR(IF(INDEX('Factors'!$H$9:$H$108,MATCH(N22,'Factors'!$C$9:$C$108,0))="","",INDEX('Factors'!$H$9:$H$108,MATCH(N22,'Factors'!$C$9:$C$108,0))),"")="S2",IFERROR(IF(INDEX('Factors'!$I$9:$I$108,MATCH(N22,'Factors'!$C$9:$C$108,0))="","",INDEX('Factors'!$I$9:$I$108,MATCH(N22,'Factors'!$C$9:$C$108,0))),"")="Market-based",IFERROR(IF(INDEX('Factors'!$J$9:$J$108,MATCH(N22,'Factors'!$C$9:$C$108,0))="","",INDEX('Factors'!$J$9:$J$108,MATCH(N22,'Factors'!$C$9:$C$108,0))),"")=G22,OR(IFERROR(IF(INDEX('Factors'!$E$9:$E$108,MATCH(N22,'Factors'!$C$9:$C$108,0))="","",INDEX('Factors'!$E$9:$E$108,MATCH(N22,'Factors'!$C$9:$C$108,0))),"")="Global",IFERROR(IF(INDEX('Factors'!$E$9:$E$108,MATCH(N22,'Factors'!$C$9:$C$108,0))="","",INDEX('Factors'!$E$9:$E$108,MATCH(N22,'Factors'!$C$9:$C$108,0))),"")=D22))))),"Contract criteria review",IF(M22=J22,"Ready",IF(Q22="No","Grid fallback",IF(Q22="Yes",IF(AND(IFERROR(IF(INDEX('Factors'!$P$9:$P$108,MATCH(R22,'Factors'!$C$9:$C$108,0))="","",INDEX('Factors'!$P$9:$P$108,MATCH(R22,'Factors'!$C$9:$C$108,0))),"")="Ready",IFERROR(IF(INDEX('Factors'!$F$9:$F$108,MATCH(R22,'Factors'!$C$9:$C$108,0))="","",INDEX('Factors'!$F$9:$F$108,MATCH(R22,'Factors'!$C$9:$C$108,0))),"")="kWh",IFERROR(IF(INDEX('Factors'!$H$9:$H$108,MATCH(R22,'Factors'!$C$9:$C$108,0))="","",INDEX('Factors'!$H$9:$H$108,MATCH(R22,'Factors'!$C$9:$C$108,0))),"")="S2",IFERROR(IF(INDEX('Factors'!$I$9:$I$108,MATCH(R22,'Factors'!$C$9:$C$108,0))="","",INDEX('Factors'!$I$9:$I$108,MATCH(R22,'Factors'!$C$9:$C$108,0))),"")="Residual mix",IFERROR(IF(INDEX('Factors'!$J$9:$J$108,MATCH(R22,'Factors'!$C$9:$C$108,0))="","",INDEX('Factors'!$J$9:$J$108,MATCH(R22,'Factors'!$C$9:$C$108,0))),"")=G22,OR(IFERROR(IF(INDEX('Factors'!$E$9:$E$108,MATCH(R22,'Factors'!$C$9:$C$108,0))="","",INDEX('Factors'!$E$9:$E$108,MATCH(R22,'Factors'!$C$9:$C$108,0))),"")="Global",IFERROR(IF(INDEX('Factors'!$E$9:$E$108,MATCH(R22,'Factors'!$C$9:$C$108,0))="","",INDEX('Factors'!$E$9:$E$108,MATCH(R22,'Factors'!$C$9:$C$108,0))),"")=D22)),"Ready","Residual factor review"),"Residual availability review")))))))))))</x:f>
      </x:c>
      <x:c r="AA22" s="8"/>
      <x:c r="AB22" s="16"/>
      <x:c r="AC22" s="8"/>
    </x:row>
    <x:row r="23" ht="36" customHeight="1">
      <x:c r="A23" s="1"/>
      <x:c r="B23" s="1"/>
      <x:c r="C23" s="8"/>
      <x:c r="D23" s="8"/>
      <x:c r="E23" s="8"/>
      <x:c r="F23" s="8"/>
      <x:c r="G23" s="22"/>
      <x:c r="H23" s="16"/>
      <x:c r="I23" s="8"/>
      <x:c r="J23" s="16"/>
      <x:c r="K23" s="8"/>
      <x:c r="L23" s="8"/>
      <x:c r="M23" s="16"/>
      <x:c r="N23" s="8"/>
      <x:c r="O23" s="8"/>
      <x:c r="P23" s="8"/>
      <x:c r="Q23" s="8"/>
      <x:c r="R23" s="8"/>
      <x:c r="S23" s="8"/>
      <x:c r="T23" s="40"/>
      <x:c r="U23" s="23" t="str">
        <x:f>IF(X23="Ready",H23*IFERROR(IF(INDEX('Factors'!$G$9:$G$108,MATCH(I23,'Factors'!$C$9:$C$108,0))="","",INDEX('Factors'!$G$9:$G$108,MATCH(I23,'Factors'!$C$9:$C$108,0))),"")/1000+AB23,"")</x:f>
      </x:c>
      <x:c r="V23" s="23" t="str">
        <x:f>IF(Y23="Ready",J23*IFERROR(IF(INDEX('Factors'!$G$9:$G$108,MATCH(K23,'Factors'!$C$9:$C$108,0))="","",INDEX('Factors'!$G$9:$G$108,MATCH(K23,'Factors'!$C$9:$C$108,0))),"")/1000,"")</x:f>
      </x:c>
      <x:c r="W23" s="23" t="str">
        <x:f>IF(OR(Z23="Ready",Z23="Grid fallback"),(IF(M23&gt;0,M23*IFERROR(IF(INDEX('Factors'!$G$9:$G$108,MATCH(N23,'Factors'!$C$9:$C$108,0))="","",INDEX('Factors'!$G$9:$G$108,MATCH(N23,'Factors'!$C$9:$C$108,0))),""),0)+(J23-M23)*IF(M23=J23,0,IF(Q23="No",IFERROR(IF(INDEX('Factors'!$G$9:$G$108,MATCH(K23,'Factors'!$C$9:$C$108,0))="","",INDEX('Factors'!$G$9:$G$108,MATCH(K23,'Factors'!$C$9:$C$108,0))),""),IFERROR(IF(INDEX('Factors'!$G$9:$G$108,MATCH(R23,'Factors'!$C$9:$C$108,0))="","",INDEX('Factors'!$G$9:$G$108,MATCH(R23,'Factors'!$C$9:$C$108,0))),""))))/1000,"")</x:f>
      </x:c>
      <x:c r="X23" s="9" t="str">
        <x:f>IF(C23="","",IF(AND($D$6&lt;&gt;"Operational control",$D$6&lt;&gt;"Financial control"),"Control basis required",IF(F23="No","Outside control",IF(F23&lt;&gt;"Yes","Control review",IF(COUNTIFS($C$9:$C$108,C23)&lt;&gt;1,"Duplicate operation ID",IF(OR(S23="",NOT(ISNUMBER(T23)),T23&lt;'Settings'!$F$8,NOT(ISNUMBER(G23)),G23&lt;&gt;YEAR('Settings'!$F$8)),"Evidence / period review",IF(OR(NOT(ISNUMBER(H23)),H23&lt;0,AA23&lt;&gt;"Yes",NOT(ISNUMBER(AB23)),AB23&lt;0,AC23=""),"Activity required",IF(AND(IFERROR(IF(INDEX('Factors'!$P$9:$P$108,MATCH(I23,'Factors'!$C$9:$C$108,0))="","",INDEX('Factors'!$P$9:$P$108,MATCH(I23,'Factors'!$C$9:$C$108,0))),"")="Ready",IFERROR(IF(INDEX('Factors'!$F$9:$F$108,MATCH(I23,'Factors'!$C$9:$C$108,0))="","",INDEX('Factors'!$F$9:$F$108,MATCH(I23,'Factors'!$C$9:$C$108,0))),"")="litre",IFERROR(IF(INDEX('Factors'!$H$9:$H$108,MATCH(I23,'Factors'!$C$9:$C$108,0))="","",INDEX('Factors'!$H$9:$H$108,MATCH(I23,'Factors'!$C$9:$C$108,0))),"")="S1",IFERROR(IF(INDEX('Factors'!$I$9:$I$108,MATCH(I23,'Factors'!$C$9:$C$108,0))="","",INDEX('Factors'!$I$9:$I$108,MATCH(I23,'Factors'!$C$9:$C$108,0))),"")="Combustion",IFERROR(IF(INDEX('Factors'!$J$9:$J$108,MATCH(I23,'Factors'!$C$9:$C$108,0))="","",INDEX('Factors'!$J$9:$J$108,MATCH(I23,'Factors'!$C$9:$C$108,0))),"")=G23,OR(IFERROR(IF(INDEX('Factors'!$E$9:$E$108,MATCH(I23,'Factors'!$C$9:$C$108,0))="","",INDEX('Factors'!$E$9:$E$108,MATCH(I23,'Factors'!$C$9:$C$108,0))),"")="Global",IFERROR(IF(INDEX('Factors'!$E$9:$E$108,MATCH(I23,'Factors'!$C$9:$C$108,0))="","",INDEX('Factors'!$E$9:$E$108,MATCH(I23,'Factors'!$C$9:$C$108,0))),"")=D23)),"Ready","Factor / unit review"))))))))</x:f>
      </x:c>
      <x:c r="Y23" s="9" t="str">
        <x:f>IF(C23="","",IF(AND($D$6&lt;&gt;"Operational control",$D$6&lt;&gt;"Financial control"),"Control basis required",IF(F23="No","Outside control",IF(F23&lt;&gt;"Yes","Control review",IF(COUNTIFS($C$9:$C$108,C23)&lt;&gt;1,"Duplicate operation ID",IF(OR(S23="",NOT(ISNUMBER(T23)),T23&lt;'Settings'!$F$8,NOT(ISNUMBER(G23)),G23&lt;&gt;YEAR('Settings'!$F$8)),"Evidence / period review",IF(OR(NOT(ISNUMBER(J23)),J23&lt;0),"Activity required",IF(AND(IFERROR(IF(INDEX('Factors'!$P$9:$P$108,MATCH(K23,'Factors'!$C$9:$C$108,0))="","",INDEX('Factors'!$P$9:$P$108,MATCH(K23,'Factors'!$C$9:$C$108,0))),"")="Ready",IFERROR(IF(INDEX('Factors'!$F$9:$F$108,MATCH(K23,'Factors'!$C$9:$C$108,0))="","",INDEX('Factors'!$F$9:$F$108,MATCH(K23,'Factors'!$C$9:$C$108,0))),"")="kWh",IFERROR(IF(INDEX('Factors'!$H$9:$H$108,MATCH(K23,'Factors'!$C$9:$C$108,0))="","",INDEX('Factors'!$H$9:$H$108,MATCH(K23,'Factors'!$C$9:$C$108,0))),"")="S2",IFERROR(IF(INDEX('Factors'!$I$9:$I$108,MATCH(K23,'Factors'!$C$9:$C$108,0))="","",INDEX('Factors'!$I$9:$I$108,MATCH(K23,'Factors'!$C$9:$C$108,0))),"")="Location-based",IFERROR(IF(INDEX('Factors'!$J$9:$J$108,MATCH(K23,'Factors'!$C$9:$C$108,0))="","",INDEX('Factors'!$J$9:$J$108,MATCH(K23,'Factors'!$C$9:$C$108,0))),"")=G23,OR(IFERROR(IF(INDEX('Factors'!$E$9:$E$108,MATCH(K23,'Factors'!$C$9:$C$108,0))="","",INDEX('Factors'!$E$9:$E$108,MATCH(K23,'Factors'!$C$9:$C$108,0))),"")="Global",IFERROR(IF(INDEX('Factors'!$E$9:$E$108,MATCH(K23,'Factors'!$C$9:$C$108,0))="","",INDEX('Factors'!$E$9:$E$108,MATCH(K23,'Factors'!$C$9:$C$108,0))),"")=D23)),"Ready","Factor / unit review"))))))))</x:f>
      </x:c>
      <x:c r="Z23" s="9" t="str">
        <x:f>IF(C23="","",IF(F23="No","Outside control",IF(F23&lt;&gt;"Yes","Control review",IF($H$6="No","Not required",IF($H$6&lt;&gt;"Yes","Applicability review",IF(Y23&lt;&gt;"Ready",Y23,IF(OR(NOT(ISNUMBER(M23)),M23&lt;0,M23&gt;J23),"Contract quantity review",IF(AND(M23&gt;0,OR(O23&lt;&gt;"Pass",P23="",NOT(AND(IFERROR(IF(INDEX('Factors'!$P$9:$P$108,MATCH(N23,'Factors'!$C$9:$C$108,0))="","",INDEX('Factors'!$P$9:$P$108,MATCH(N23,'Factors'!$C$9:$C$108,0))),"")="Ready",IFERROR(IF(INDEX('Factors'!$F$9:$F$108,MATCH(N23,'Factors'!$C$9:$C$108,0))="","",INDEX('Factors'!$F$9:$F$108,MATCH(N23,'Factors'!$C$9:$C$108,0))),"")="kWh",IFERROR(IF(INDEX('Factors'!$H$9:$H$108,MATCH(N23,'Factors'!$C$9:$C$108,0))="","",INDEX('Factors'!$H$9:$H$108,MATCH(N23,'Factors'!$C$9:$C$108,0))),"")="S2",IFERROR(IF(INDEX('Factors'!$I$9:$I$108,MATCH(N23,'Factors'!$C$9:$C$108,0))="","",INDEX('Factors'!$I$9:$I$108,MATCH(N23,'Factors'!$C$9:$C$108,0))),"")="Market-based",IFERROR(IF(INDEX('Factors'!$J$9:$J$108,MATCH(N23,'Factors'!$C$9:$C$108,0))="","",INDEX('Factors'!$J$9:$J$108,MATCH(N23,'Factors'!$C$9:$C$108,0))),"")=G23,OR(IFERROR(IF(INDEX('Factors'!$E$9:$E$108,MATCH(N23,'Factors'!$C$9:$C$108,0))="","",INDEX('Factors'!$E$9:$E$108,MATCH(N23,'Factors'!$C$9:$C$108,0))),"")="Global",IFERROR(IF(INDEX('Factors'!$E$9:$E$108,MATCH(N23,'Factors'!$C$9:$C$108,0))="","",INDEX('Factors'!$E$9:$E$108,MATCH(N23,'Factors'!$C$9:$C$108,0))),"")=D23))))),"Contract criteria review",IF(M23=J23,"Ready",IF(Q23="No","Grid fallback",IF(Q23="Yes",IF(AND(IFERROR(IF(INDEX('Factors'!$P$9:$P$108,MATCH(R23,'Factors'!$C$9:$C$108,0))="","",INDEX('Factors'!$P$9:$P$108,MATCH(R23,'Factors'!$C$9:$C$108,0))),"")="Ready",IFERROR(IF(INDEX('Factors'!$F$9:$F$108,MATCH(R23,'Factors'!$C$9:$C$108,0))="","",INDEX('Factors'!$F$9:$F$108,MATCH(R23,'Factors'!$C$9:$C$108,0))),"")="kWh",IFERROR(IF(INDEX('Factors'!$H$9:$H$108,MATCH(R23,'Factors'!$C$9:$C$108,0))="","",INDEX('Factors'!$H$9:$H$108,MATCH(R23,'Factors'!$C$9:$C$108,0))),"")="S2",IFERROR(IF(INDEX('Factors'!$I$9:$I$108,MATCH(R23,'Factors'!$C$9:$C$108,0))="","",INDEX('Factors'!$I$9:$I$108,MATCH(R23,'Factors'!$C$9:$C$108,0))),"")="Residual mix",IFERROR(IF(INDEX('Factors'!$J$9:$J$108,MATCH(R23,'Factors'!$C$9:$C$108,0))="","",INDEX('Factors'!$J$9:$J$108,MATCH(R23,'Factors'!$C$9:$C$108,0))),"")=G23,OR(IFERROR(IF(INDEX('Factors'!$E$9:$E$108,MATCH(R23,'Factors'!$C$9:$C$108,0))="","",INDEX('Factors'!$E$9:$E$108,MATCH(R23,'Factors'!$C$9:$C$108,0))),"")="Global",IFERROR(IF(INDEX('Factors'!$E$9:$E$108,MATCH(R23,'Factors'!$C$9:$C$108,0))="","",INDEX('Factors'!$E$9:$E$108,MATCH(R23,'Factors'!$C$9:$C$108,0))),"")=D23)),"Ready","Residual factor review"),"Residual availability review")))))))))))</x:f>
      </x:c>
      <x:c r="AA23" s="8"/>
      <x:c r="AB23" s="16"/>
      <x:c r="AC23" s="8"/>
    </x:row>
    <x:row r="24" ht="36" customHeight="1">
      <x:c r="A24" s="1"/>
      <x:c r="B24" s="1"/>
      <x:c r="C24" s="8"/>
      <x:c r="D24" s="8"/>
      <x:c r="E24" s="8"/>
      <x:c r="F24" s="8"/>
      <x:c r="G24" s="22"/>
      <x:c r="H24" s="16"/>
      <x:c r="I24" s="8"/>
      <x:c r="J24" s="16"/>
      <x:c r="K24" s="8"/>
      <x:c r="L24" s="8"/>
      <x:c r="M24" s="16"/>
      <x:c r="N24" s="8"/>
      <x:c r="O24" s="8"/>
      <x:c r="P24" s="8"/>
      <x:c r="Q24" s="8"/>
      <x:c r="R24" s="8"/>
      <x:c r="S24" s="8"/>
      <x:c r="T24" s="40"/>
      <x:c r="U24" s="23" t="str">
        <x:f>IF(X24="Ready",H24*IFERROR(IF(INDEX('Factors'!$G$9:$G$108,MATCH(I24,'Factors'!$C$9:$C$108,0))="","",INDEX('Factors'!$G$9:$G$108,MATCH(I24,'Factors'!$C$9:$C$108,0))),"")/1000+AB24,"")</x:f>
      </x:c>
      <x:c r="V24" s="23" t="str">
        <x:f>IF(Y24="Ready",J24*IFERROR(IF(INDEX('Factors'!$G$9:$G$108,MATCH(K24,'Factors'!$C$9:$C$108,0))="","",INDEX('Factors'!$G$9:$G$108,MATCH(K24,'Factors'!$C$9:$C$108,0))),"")/1000,"")</x:f>
      </x:c>
      <x:c r="W24" s="23" t="str">
        <x:f>IF(OR(Z24="Ready",Z24="Grid fallback"),(IF(M24&gt;0,M24*IFERROR(IF(INDEX('Factors'!$G$9:$G$108,MATCH(N24,'Factors'!$C$9:$C$108,0))="","",INDEX('Factors'!$G$9:$G$108,MATCH(N24,'Factors'!$C$9:$C$108,0))),""),0)+(J24-M24)*IF(M24=J24,0,IF(Q24="No",IFERROR(IF(INDEX('Factors'!$G$9:$G$108,MATCH(K24,'Factors'!$C$9:$C$108,0))="","",INDEX('Factors'!$G$9:$G$108,MATCH(K24,'Factors'!$C$9:$C$108,0))),""),IFERROR(IF(INDEX('Factors'!$G$9:$G$108,MATCH(R24,'Factors'!$C$9:$C$108,0))="","",INDEX('Factors'!$G$9:$G$108,MATCH(R24,'Factors'!$C$9:$C$108,0))),""))))/1000,"")</x:f>
      </x:c>
      <x:c r="X24" s="9" t="str">
        <x:f>IF(C24="","",IF(AND($D$6&lt;&gt;"Operational control",$D$6&lt;&gt;"Financial control"),"Control basis required",IF(F24="No","Outside control",IF(F24&lt;&gt;"Yes","Control review",IF(COUNTIFS($C$9:$C$108,C24)&lt;&gt;1,"Duplicate operation ID",IF(OR(S24="",NOT(ISNUMBER(T24)),T24&lt;'Settings'!$F$8,NOT(ISNUMBER(G24)),G24&lt;&gt;YEAR('Settings'!$F$8)),"Evidence / period review",IF(OR(NOT(ISNUMBER(H24)),H24&lt;0,AA24&lt;&gt;"Yes",NOT(ISNUMBER(AB24)),AB24&lt;0,AC24=""),"Activity required",IF(AND(IFERROR(IF(INDEX('Factors'!$P$9:$P$108,MATCH(I24,'Factors'!$C$9:$C$108,0))="","",INDEX('Factors'!$P$9:$P$108,MATCH(I24,'Factors'!$C$9:$C$108,0))),"")="Ready",IFERROR(IF(INDEX('Factors'!$F$9:$F$108,MATCH(I24,'Factors'!$C$9:$C$108,0))="","",INDEX('Factors'!$F$9:$F$108,MATCH(I24,'Factors'!$C$9:$C$108,0))),"")="litre",IFERROR(IF(INDEX('Factors'!$H$9:$H$108,MATCH(I24,'Factors'!$C$9:$C$108,0))="","",INDEX('Factors'!$H$9:$H$108,MATCH(I24,'Factors'!$C$9:$C$108,0))),"")="S1",IFERROR(IF(INDEX('Factors'!$I$9:$I$108,MATCH(I24,'Factors'!$C$9:$C$108,0))="","",INDEX('Factors'!$I$9:$I$108,MATCH(I24,'Factors'!$C$9:$C$108,0))),"")="Combustion",IFERROR(IF(INDEX('Factors'!$J$9:$J$108,MATCH(I24,'Factors'!$C$9:$C$108,0))="","",INDEX('Factors'!$J$9:$J$108,MATCH(I24,'Factors'!$C$9:$C$108,0))),"")=G24,OR(IFERROR(IF(INDEX('Factors'!$E$9:$E$108,MATCH(I24,'Factors'!$C$9:$C$108,0))="","",INDEX('Factors'!$E$9:$E$108,MATCH(I24,'Factors'!$C$9:$C$108,0))),"")="Global",IFERROR(IF(INDEX('Factors'!$E$9:$E$108,MATCH(I24,'Factors'!$C$9:$C$108,0))="","",INDEX('Factors'!$E$9:$E$108,MATCH(I24,'Factors'!$C$9:$C$108,0))),"")=D24)),"Ready","Factor / unit review"))))))))</x:f>
      </x:c>
      <x:c r="Y24" s="9" t="str">
        <x:f>IF(C24="","",IF(AND($D$6&lt;&gt;"Operational control",$D$6&lt;&gt;"Financial control"),"Control basis required",IF(F24="No","Outside control",IF(F24&lt;&gt;"Yes","Control review",IF(COUNTIFS($C$9:$C$108,C24)&lt;&gt;1,"Duplicate operation ID",IF(OR(S24="",NOT(ISNUMBER(T24)),T24&lt;'Settings'!$F$8,NOT(ISNUMBER(G24)),G24&lt;&gt;YEAR('Settings'!$F$8)),"Evidence / period review",IF(OR(NOT(ISNUMBER(J24)),J24&lt;0),"Activity required",IF(AND(IFERROR(IF(INDEX('Factors'!$P$9:$P$108,MATCH(K24,'Factors'!$C$9:$C$108,0))="","",INDEX('Factors'!$P$9:$P$108,MATCH(K24,'Factors'!$C$9:$C$108,0))),"")="Ready",IFERROR(IF(INDEX('Factors'!$F$9:$F$108,MATCH(K24,'Factors'!$C$9:$C$108,0))="","",INDEX('Factors'!$F$9:$F$108,MATCH(K24,'Factors'!$C$9:$C$108,0))),"")="kWh",IFERROR(IF(INDEX('Factors'!$H$9:$H$108,MATCH(K24,'Factors'!$C$9:$C$108,0))="","",INDEX('Factors'!$H$9:$H$108,MATCH(K24,'Factors'!$C$9:$C$108,0))),"")="S2",IFERROR(IF(INDEX('Factors'!$I$9:$I$108,MATCH(K24,'Factors'!$C$9:$C$108,0))="","",INDEX('Factors'!$I$9:$I$108,MATCH(K24,'Factors'!$C$9:$C$108,0))),"")="Location-based",IFERROR(IF(INDEX('Factors'!$J$9:$J$108,MATCH(K24,'Factors'!$C$9:$C$108,0))="","",INDEX('Factors'!$J$9:$J$108,MATCH(K24,'Factors'!$C$9:$C$108,0))),"")=G24,OR(IFERROR(IF(INDEX('Factors'!$E$9:$E$108,MATCH(K24,'Factors'!$C$9:$C$108,0))="","",INDEX('Factors'!$E$9:$E$108,MATCH(K24,'Factors'!$C$9:$C$108,0))),"")="Global",IFERROR(IF(INDEX('Factors'!$E$9:$E$108,MATCH(K24,'Factors'!$C$9:$C$108,0))="","",INDEX('Factors'!$E$9:$E$108,MATCH(K24,'Factors'!$C$9:$C$108,0))),"")=D24)),"Ready","Factor / unit review"))))))))</x:f>
      </x:c>
      <x:c r="Z24" s="9" t="str">
        <x:f>IF(C24="","",IF(F24="No","Outside control",IF(F24&lt;&gt;"Yes","Control review",IF($H$6="No","Not required",IF($H$6&lt;&gt;"Yes","Applicability review",IF(Y24&lt;&gt;"Ready",Y24,IF(OR(NOT(ISNUMBER(M24)),M24&lt;0,M24&gt;J24),"Contract quantity review",IF(AND(M24&gt;0,OR(O24&lt;&gt;"Pass",P24="",NOT(AND(IFERROR(IF(INDEX('Factors'!$P$9:$P$108,MATCH(N24,'Factors'!$C$9:$C$108,0))="","",INDEX('Factors'!$P$9:$P$108,MATCH(N24,'Factors'!$C$9:$C$108,0))),"")="Ready",IFERROR(IF(INDEX('Factors'!$F$9:$F$108,MATCH(N24,'Factors'!$C$9:$C$108,0))="","",INDEX('Factors'!$F$9:$F$108,MATCH(N24,'Factors'!$C$9:$C$108,0))),"")="kWh",IFERROR(IF(INDEX('Factors'!$H$9:$H$108,MATCH(N24,'Factors'!$C$9:$C$108,0))="","",INDEX('Factors'!$H$9:$H$108,MATCH(N24,'Factors'!$C$9:$C$108,0))),"")="S2",IFERROR(IF(INDEX('Factors'!$I$9:$I$108,MATCH(N24,'Factors'!$C$9:$C$108,0))="","",INDEX('Factors'!$I$9:$I$108,MATCH(N24,'Factors'!$C$9:$C$108,0))),"")="Market-based",IFERROR(IF(INDEX('Factors'!$J$9:$J$108,MATCH(N24,'Factors'!$C$9:$C$108,0))="","",INDEX('Factors'!$J$9:$J$108,MATCH(N24,'Factors'!$C$9:$C$108,0))),"")=G24,OR(IFERROR(IF(INDEX('Factors'!$E$9:$E$108,MATCH(N24,'Factors'!$C$9:$C$108,0))="","",INDEX('Factors'!$E$9:$E$108,MATCH(N24,'Factors'!$C$9:$C$108,0))),"")="Global",IFERROR(IF(INDEX('Factors'!$E$9:$E$108,MATCH(N24,'Factors'!$C$9:$C$108,0))="","",INDEX('Factors'!$E$9:$E$108,MATCH(N24,'Factors'!$C$9:$C$108,0))),"")=D24))))),"Contract criteria review",IF(M24=J24,"Ready",IF(Q24="No","Grid fallback",IF(Q24="Yes",IF(AND(IFERROR(IF(INDEX('Factors'!$P$9:$P$108,MATCH(R24,'Factors'!$C$9:$C$108,0))="","",INDEX('Factors'!$P$9:$P$108,MATCH(R24,'Factors'!$C$9:$C$108,0))),"")="Ready",IFERROR(IF(INDEX('Factors'!$F$9:$F$108,MATCH(R24,'Factors'!$C$9:$C$108,0))="","",INDEX('Factors'!$F$9:$F$108,MATCH(R24,'Factors'!$C$9:$C$108,0))),"")="kWh",IFERROR(IF(INDEX('Factors'!$H$9:$H$108,MATCH(R24,'Factors'!$C$9:$C$108,0))="","",INDEX('Factors'!$H$9:$H$108,MATCH(R24,'Factors'!$C$9:$C$108,0))),"")="S2",IFERROR(IF(INDEX('Factors'!$I$9:$I$108,MATCH(R24,'Factors'!$C$9:$C$108,0))="","",INDEX('Factors'!$I$9:$I$108,MATCH(R24,'Factors'!$C$9:$C$108,0))),"")="Residual mix",IFERROR(IF(INDEX('Factors'!$J$9:$J$108,MATCH(R24,'Factors'!$C$9:$C$108,0))="","",INDEX('Factors'!$J$9:$J$108,MATCH(R24,'Factors'!$C$9:$C$108,0))),"")=G24,OR(IFERROR(IF(INDEX('Factors'!$E$9:$E$108,MATCH(R24,'Factors'!$C$9:$C$108,0))="","",INDEX('Factors'!$E$9:$E$108,MATCH(R24,'Factors'!$C$9:$C$108,0))),"")="Global",IFERROR(IF(INDEX('Factors'!$E$9:$E$108,MATCH(R24,'Factors'!$C$9:$C$108,0))="","",INDEX('Factors'!$E$9:$E$108,MATCH(R24,'Factors'!$C$9:$C$108,0))),"")=D24)),"Ready","Residual factor review"),"Residual availability review")))))))))))</x:f>
      </x:c>
      <x:c r="AA24" s="8"/>
      <x:c r="AB24" s="16"/>
      <x:c r="AC24" s="8"/>
    </x:row>
    <x:row r="25" ht="36" customHeight="1">
      <x:c r="A25" s="1"/>
      <x:c r="B25" s="1"/>
      <x:c r="C25" s="8"/>
      <x:c r="D25" s="8"/>
      <x:c r="E25" s="8"/>
      <x:c r="F25" s="8"/>
      <x:c r="G25" s="22"/>
      <x:c r="H25" s="16"/>
      <x:c r="I25" s="8"/>
      <x:c r="J25" s="16"/>
      <x:c r="K25" s="8"/>
      <x:c r="L25" s="8"/>
      <x:c r="M25" s="16"/>
      <x:c r="N25" s="8"/>
      <x:c r="O25" s="8"/>
      <x:c r="P25" s="8"/>
      <x:c r="Q25" s="8"/>
      <x:c r="R25" s="8"/>
      <x:c r="S25" s="8"/>
      <x:c r="T25" s="40"/>
      <x:c r="U25" s="23" t="str">
        <x:f>IF(X25="Ready",H25*IFERROR(IF(INDEX('Factors'!$G$9:$G$108,MATCH(I25,'Factors'!$C$9:$C$108,0))="","",INDEX('Factors'!$G$9:$G$108,MATCH(I25,'Factors'!$C$9:$C$108,0))),"")/1000+AB25,"")</x:f>
      </x:c>
      <x:c r="V25" s="23" t="str">
        <x:f>IF(Y25="Ready",J25*IFERROR(IF(INDEX('Factors'!$G$9:$G$108,MATCH(K25,'Factors'!$C$9:$C$108,0))="","",INDEX('Factors'!$G$9:$G$108,MATCH(K25,'Factors'!$C$9:$C$108,0))),"")/1000,"")</x:f>
      </x:c>
      <x:c r="W25" s="23" t="str">
        <x:f>IF(OR(Z25="Ready",Z25="Grid fallback"),(IF(M25&gt;0,M25*IFERROR(IF(INDEX('Factors'!$G$9:$G$108,MATCH(N25,'Factors'!$C$9:$C$108,0))="","",INDEX('Factors'!$G$9:$G$108,MATCH(N25,'Factors'!$C$9:$C$108,0))),""),0)+(J25-M25)*IF(M25=J25,0,IF(Q25="No",IFERROR(IF(INDEX('Factors'!$G$9:$G$108,MATCH(K25,'Factors'!$C$9:$C$108,0))="","",INDEX('Factors'!$G$9:$G$108,MATCH(K25,'Factors'!$C$9:$C$108,0))),""),IFERROR(IF(INDEX('Factors'!$G$9:$G$108,MATCH(R25,'Factors'!$C$9:$C$108,0))="","",INDEX('Factors'!$G$9:$G$108,MATCH(R25,'Factors'!$C$9:$C$108,0))),""))))/1000,"")</x:f>
      </x:c>
      <x:c r="X25" s="9" t="str">
        <x:f>IF(C25="","",IF(AND($D$6&lt;&gt;"Operational control",$D$6&lt;&gt;"Financial control"),"Control basis required",IF(F25="No","Outside control",IF(F25&lt;&gt;"Yes","Control review",IF(COUNTIFS($C$9:$C$108,C25)&lt;&gt;1,"Duplicate operation ID",IF(OR(S25="",NOT(ISNUMBER(T25)),T25&lt;'Settings'!$F$8,NOT(ISNUMBER(G25)),G25&lt;&gt;YEAR('Settings'!$F$8)),"Evidence / period review",IF(OR(NOT(ISNUMBER(H25)),H25&lt;0,AA25&lt;&gt;"Yes",NOT(ISNUMBER(AB25)),AB25&lt;0,AC25=""),"Activity required",IF(AND(IFERROR(IF(INDEX('Factors'!$P$9:$P$108,MATCH(I25,'Factors'!$C$9:$C$108,0))="","",INDEX('Factors'!$P$9:$P$108,MATCH(I25,'Factors'!$C$9:$C$108,0))),"")="Ready",IFERROR(IF(INDEX('Factors'!$F$9:$F$108,MATCH(I25,'Factors'!$C$9:$C$108,0))="","",INDEX('Factors'!$F$9:$F$108,MATCH(I25,'Factors'!$C$9:$C$108,0))),"")="litre",IFERROR(IF(INDEX('Factors'!$H$9:$H$108,MATCH(I25,'Factors'!$C$9:$C$108,0))="","",INDEX('Factors'!$H$9:$H$108,MATCH(I25,'Factors'!$C$9:$C$108,0))),"")="S1",IFERROR(IF(INDEX('Factors'!$I$9:$I$108,MATCH(I25,'Factors'!$C$9:$C$108,0))="","",INDEX('Factors'!$I$9:$I$108,MATCH(I25,'Factors'!$C$9:$C$108,0))),"")="Combustion",IFERROR(IF(INDEX('Factors'!$J$9:$J$108,MATCH(I25,'Factors'!$C$9:$C$108,0))="","",INDEX('Factors'!$J$9:$J$108,MATCH(I25,'Factors'!$C$9:$C$108,0))),"")=G25,OR(IFERROR(IF(INDEX('Factors'!$E$9:$E$108,MATCH(I25,'Factors'!$C$9:$C$108,0))="","",INDEX('Factors'!$E$9:$E$108,MATCH(I25,'Factors'!$C$9:$C$108,0))),"")="Global",IFERROR(IF(INDEX('Factors'!$E$9:$E$108,MATCH(I25,'Factors'!$C$9:$C$108,0))="","",INDEX('Factors'!$E$9:$E$108,MATCH(I25,'Factors'!$C$9:$C$108,0))),"")=D25)),"Ready","Factor / unit review"))))))))</x:f>
      </x:c>
      <x:c r="Y25" s="9" t="str">
        <x:f>IF(C25="","",IF(AND($D$6&lt;&gt;"Operational control",$D$6&lt;&gt;"Financial control"),"Control basis required",IF(F25="No","Outside control",IF(F25&lt;&gt;"Yes","Control review",IF(COUNTIFS($C$9:$C$108,C25)&lt;&gt;1,"Duplicate operation ID",IF(OR(S25="",NOT(ISNUMBER(T25)),T25&lt;'Settings'!$F$8,NOT(ISNUMBER(G25)),G25&lt;&gt;YEAR('Settings'!$F$8)),"Evidence / period review",IF(OR(NOT(ISNUMBER(J25)),J25&lt;0),"Activity required",IF(AND(IFERROR(IF(INDEX('Factors'!$P$9:$P$108,MATCH(K25,'Factors'!$C$9:$C$108,0))="","",INDEX('Factors'!$P$9:$P$108,MATCH(K25,'Factors'!$C$9:$C$108,0))),"")="Ready",IFERROR(IF(INDEX('Factors'!$F$9:$F$108,MATCH(K25,'Factors'!$C$9:$C$108,0))="","",INDEX('Factors'!$F$9:$F$108,MATCH(K25,'Factors'!$C$9:$C$108,0))),"")="kWh",IFERROR(IF(INDEX('Factors'!$H$9:$H$108,MATCH(K25,'Factors'!$C$9:$C$108,0))="","",INDEX('Factors'!$H$9:$H$108,MATCH(K25,'Factors'!$C$9:$C$108,0))),"")="S2",IFERROR(IF(INDEX('Factors'!$I$9:$I$108,MATCH(K25,'Factors'!$C$9:$C$108,0))="","",INDEX('Factors'!$I$9:$I$108,MATCH(K25,'Factors'!$C$9:$C$108,0))),"")="Location-based",IFERROR(IF(INDEX('Factors'!$J$9:$J$108,MATCH(K25,'Factors'!$C$9:$C$108,0))="","",INDEX('Factors'!$J$9:$J$108,MATCH(K25,'Factors'!$C$9:$C$108,0))),"")=G25,OR(IFERROR(IF(INDEX('Factors'!$E$9:$E$108,MATCH(K25,'Factors'!$C$9:$C$108,0))="","",INDEX('Factors'!$E$9:$E$108,MATCH(K25,'Factors'!$C$9:$C$108,0))),"")="Global",IFERROR(IF(INDEX('Factors'!$E$9:$E$108,MATCH(K25,'Factors'!$C$9:$C$108,0))="","",INDEX('Factors'!$E$9:$E$108,MATCH(K25,'Factors'!$C$9:$C$108,0))),"")=D25)),"Ready","Factor / unit review"))))))))</x:f>
      </x:c>
      <x:c r="Z25" s="9" t="str">
        <x:f>IF(C25="","",IF(F25="No","Outside control",IF(F25&lt;&gt;"Yes","Control review",IF($H$6="No","Not required",IF($H$6&lt;&gt;"Yes","Applicability review",IF(Y25&lt;&gt;"Ready",Y25,IF(OR(NOT(ISNUMBER(M25)),M25&lt;0,M25&gt;J25),"Contract quantity review",IF(AND(M25&gt;0,OR(O25&lt;&gt;"Pass",P25="",NOT(AND(IFERROR(IF(INDEX('Factors'!$P$9:$P$108,MATCH(N25,'Factors'!$C$9:$C$108,0))="","",INDEX('Factors'!$P$9:$P$108,MATCH(N25,'Factors'!$C$9:$C$108,0))),"")="Ready",IFERROR(IF(INDEX('Factors'!$F$9:$F$108,MATCH(N25,'Factors'!$C$9:$C$108,0))="","",INDEX('Factors'!$F$9:$F$108,MATCH(N25,'Factors'!$C$9:$C$108,0))),"")="kWh",IFERROR(IF(INDEX('Factors'!$H$9:$H$108,MATCH(N25,'Factors'!$C$9:$C$108,0))="","",INDEX('Factors'!$H$9:$H$108,MATCH(N25,'Factors'!$C$9:$C$108,0))),"")="S2",IFERROR(IF(INDEX('Factors'!$I$9:$I$108,MATCH(N25,'Factors'!$C$9:$C$108,0))="","",INDEX('Factors'!$I$9:$I$108,MATCH(N25,'Factors'!$C$9:$C$108,0))),"")="Market-based",IFERROR(IF(INDEX('Factors'!$J$9:$J$108,MATCH(N25,'Factors'!$C$9:$C$108,0))="","",INDEX('Factors'!$J$9:$J$108,MATCH(N25,'Factors'!$C$9:$C$108,0))),"")=G25,OR(IFERROR(IF(INDEX('Factors'!$E$9:$E$108,MATCH(N25,'Factors'!$C$9:$C$108,0))="","",INDEX('Factors'!$E$9:$E$108,MATCH(N25,'Factors'!$C$9:$C$108,0))),"")="Global",IFERROR(IF(INDEX('Factors'!$E$9:$E$108,MATCH(N25,'Factors'!$C$9:$C$108,0))="","",INDEX('Factors'!$E$9:$E$108,MATCH(N25,'Factors'!$C$9:$C$108,0))),"")=D25))))),"Contract criteria review",IF(M25=J25,"Ready",IF(Q25="No","Grid fallback",IF(Q25="Yes",IF(AND(IFERROR(IF(INDEX('Factors'!$P$9:$P$108,MATCH(R25,'Factors'!$C$9:$C$108,0))="","",INDEX('Factors'!$P$9:$P$108,MATCH(R25,'Factors'!$C$9:$C$108,0))),"")="Ready",IFERROR(IF(INDEX('Factors'!$F$9:$F$108,MATCH(R25,'Factors'!$C$9:$C$108,0))="","",INDEX('Factors'!$F$9:$F$108,MATCH(R25,'Factors'!$C$9:$C$108,0))),"")="kWh",IFERROR(IF(INDEX('Factors'!$H$9:$H$108,MATCH(R25,'Factors'!$C$9:$C$108,0))="","",INDEX('Factors'!$H$9:$H$108,MATCH(R25,'Factors'!$C$9:$C$108,0))),"")="S2",IFERROR(IF(INDEX('Factors'!$I$9:$I$108,MATCH(R25,'Factors'!$C$9:$C$108,0))="","",INDEX('Factors'!$I$9:$I$108,MATCH(R25,'Factors'!$C$9:$C$108,0))),"")="Residual mix",IFERROR(IF(INDEX('Factors'!$J$9:$J$108,MATCH(R25,'Factors'!$C$9:$C$108,0))="","",INDEX('Factors'!$J$9:$J$108,MATCH(R25,'Factors'!$C$9:$C$108,0))),"")=G25,OR(IFERROR(IF(INDEX('Factors'!$E$9:$E$108,MATCH(R25,'Factors'!$C$9:$C$108,0))="","",INDEX('Factors'!$E$9:$E$108,MATCH(R25,'Factors'!$C$9:$C$108,0))),"")="Global",IFERROR(IF(INDEX('Factors'!$E$9:$E$108,MATCH(R25,'Factors'!$C$9:$C$108,0))="","",INDEX('Factors'!$E$9:$E$108,MATCH(R25,'Factors'!$C$9:$C$108,0))),"")=D25)),"Ready","Residual factor review"),"Residual availability review")))))))))))</x:f>
      </x:c>
      <x:c r="AA25" s="8"/>
      <x:c r="AB25" s="16"/>
      <x:c r="AC25" s="8"/>
    </x:row>
    <x:row r="26" ht="36" customHeight="1">
      <x:c r="A26" s="1"/>
      <x:c r="B26" s="1"/>
      <x:c r="C26" s="8"/>
      <x:c r="D26" s="8"/>
      <x:c r="E26" s="8"/>
      <x:c r="F26" s="8"/>
      <x:c r="G26" s="22"/>
      <x:c r="H26" s="16"/>
      <x:c r="I26" s="8"/>
      <x:c r="J26" s="16"/>
      <x:c r="K26" s="8"/>
      <x:c r="L26" s="8"/>
      <x:c r="M26" s="16"/>
      <x:c r="N26" s="8"/>
      <x:c r="O26" s="8"/>
      <x:c r="P26" s="8"/>
      <x:c r="Q26" s="8"/>
      <x:c r="R26" s="8"/>
      <x:c r="S26" s="8"/>
      <x:c r="T26" s="40"/>
      <x:c r="U26" s="23" t="str">
        <x:f>IF(X26="Ready",H26*IFERROR(IF(INDEX('Factors'!$G$9:$G$108,MATCH(I26,'Factors'!$C$9:$C$108,0))="","",INDEX('Factors'!$G$9:$G$108,MATCH(I26,'Factors'!$C$9:$C$108,0))),"")/1000+AB26,"")</x:f>
      </x:c>
      <x:c r="V26" s="23" t="str">
        <x:f>IF(Y26="Ready",J26*IFERROR(IF(INDEX('Factors'!$G$9:$G$108,MATCH(K26,'Factors'!$C$9:$C$108,0))="","",INDEX('Factors'!$G$9:$G$108,MATCH(K26,'Factors'!$C$9:$C$108,0))),"")/1000,"")</x:f>
      </x:c>
      <x:c r="W26" s="23" t="str">
        <x:f>IF(OR(Z26="Ready",Z26="Grid fallback"),(IF(M26&gt;0,M26*IFERROR(IF(INDEX('Factors'!$G$9:$G$108,MATCH(N26,'Factors'!$C$9:$C$108,0))="","",INDEX('Factors'!$G$9:$G$108,MATCH(N26,'Factors'!$C$9:$C$108,0))),""),0)+(J26-M26)*IF(M26=J26,0,IF(Q26="No",IFERROR(IF(INDEX('Factors'!$G$9:$G$108,MATCH(K26,'Factors'!$C$9:$C$108,0))="","",INDEX('Factors'!$G$9:$G$108,MATCH(K26,'Factors'!$C$9:$C$108,0))),""),IFERROR(IF(INDEX('Factors'!$G$9:$G$108,MATCH(R26,'Factors'!$C$9:$C$108,0))="","",INDEX('Factors'!$G$9:$G$108,MATCH(R26,'Factors'!$C$9:$C$108,0))),""))))/1000,"")</x:f>
      </x:c>
      <x:c r="X26" s="9" t="str">
        <x:f>IF(C26="","",IF(AND($D$6&lt;&gt;"Operational control",$D$6&lt;&gt;"Financial control"),"Control basis required",IF(F26="No","Outside control",IF(F26&lt;&gt;"Yes","Control review",IF(COUNTIFS($C$9:$C$108,C26)&lt;&gt;1,"Duplicate operation ID",IF(OR(S26="",NOT(ISNUMBER(T26)),T26&lt;'Settings'!$F$8,NOT(ISNUMBER(G26)),G26&lt;&gt;YEAR('Settings'!$F$8)),"Evidence / period review",IF(OR(NOT(ISNUMBER(H26)),H26&lt;0,AA26&lt;&gt;"Yes",NOT(ISNUMBER(AB26)),AB26&lt;0,AC26=""),"Activity required",IF(AND(IFERROR(IF(INDEX('Factors'!$P$9:$P$108,MATCH(I26,'Factors'!$C$9:$C$108,0))="","",INDEX('Factors'!$P$9:$P$108,MATCH(I26,'Factors'!$C$9:$C$108,0))),"")="Ready",IFERROR(IF(INDEX('Factors'!$F$9:$F$108,MATCH(I26,'Factors'!$C$9:$C$108,0))="","",INDEX('Factors'!$F$9:$F$108,MATCH(I26,'Factors'!$C$9:$C$108,0))),"")="litre",IFERROR(IF(INDEX('Factors'!$H$9:$H$108,MATCH(I26,'Factors'!$C$9:$C$108,0))="","",INDEX('Factors'!$H$9:$H$108,MATCH(I26,'Factors'!$C$9:$C$108,0))),"")="S1",IFERROR(IF(INDEX('Factors'!$I$9:$I$108,MATCH(I26,'Factors'!$C$9:$C$108,0))="","",INDEX('Factors'!$I$9:$I$108,MATCH(I26,'Factors'!$C$9:$C$108,0))),"")="Combustion",IFERROR(IF(INDEX('Factors'!$J$9:$J$108,MATCH(I26,'Factors'!$C$9:$C$108,0))="","",INDEX('Factors'!$J$9:$J$108,MATCH(I26,'Factors'!$C$9:$C$108,0))),"")=G26,OR(IFERROR(IF(INDEX('Factors'!$E$9:$E$108,MATCH(I26,'Factors'!$C$9:$C$108,0))="","",INDEX('Factors'!$E$9:$E$108,MATCH(I26,'Factors'!$C$9:$C$108,0))),"")="Global",IFERROR(IF(INDEX('Factors'!$E$9:$E$108,MATCH(I26,'Factors'!$C$9:$C$108,0))="","",INDEX('Factors'!$E$9:$E$108,MATCH(I26,'Factors'!$C$9:$C$108,0))),"")=D26)),"Ready","Factor / unit review"))))))))</x:f>
      </x:c>
      <x:c r="Y26" s="9" t="str">
        <x:f>IF(C26="","",IF(AND($D$6&lt;&gt;"Operational control",$D$6&lt;&gt;"Financial control"),"Control basis required",IF(F26="No","Outside control",IF(F26&lt;&gt;"Yes","Control review",IF(COUNTIFS($C$9:$C$108,C26)&lt;&gt;1,"Duplicate operation ID",IF(OR(S26="",NOT(ISNUMBER(T26)),T26&lt;'Settings'!$F$8,NOT(ISNUMBER(G26)),G26&lt;&gt;YEAR('Settings'!$F$8)),"Evidence / period review",IF(OR(NOT(ISNUMBER(J26)),J26&lt;0),"Activity required",IF(AND(IFERROR(IF(INDEX('Factors'!$P$9:$P$108,MATCH(K26,'Factors'!$C$9:$C$108,0))="","",INDEX('Factors'!$P$9:$P$108,MATCH(K26,'Factors'!$C$9:$C$108,0))),"")="Ready",IFERROR(IF(INDEX('Factors'!$F$9:$F$108,MATCH(K26,'Factors'!$C$9:$C$108,0))="","",INDEX('Factors'!$F$9:$F$108,MATCH(K26,'Factors'!$C$9:$C$108,0))),"")="kWh",IFERROR(IF(INDEX('Factors'!$H$9:$H$108,MATCH(K26,'Factors'!$C$9:$C$108,0))="","",INDEX('Factors'!$H$9:$H$108,MATCH(K26,'Factors'!$C$9:$C$108,0))),"")="S2",IFERROR(IF(INDEX('Factors'!$I$9:$I$108,MATCH(K26,'Factors'!$C$9:$C$108,0))="","",INDEX('Factors'!$I$9:$I$108,MATCH(K26,'Factors'!$C$9:$C$108,0))),"")="Location-based",IFERROR(IF(INDEX('Factors'!$J$9:$J$108,MATCH(K26,'Factors'!$C$9:$C$108,0))="","",INDEX('Factors'!$J$9:$J$108,MATCH(K26,'Factors'!$C$9:$C$108,0))),"")=G26,OR(IFERROR(IF(INDEX('Factors'!$E$9:$E$108,MATCH(K26,'Factors'!$C$9:$C$108,0))="","",INDEX('Factors'!$E$9:$E$108,MATCH(K26,'Factors'!$C$9:$C$108,0))),"")="Global",IFERROR(IF(INDEX('Factors'!$E$9:$E$108,MATCH(K26,'Factors'!$C$9:$C$108,0))="","",INDEX('Factors'!$E$9:$E$108,MATCH(K26,'Factors'!$C$9:$C$108,0))),"")=D26)),"Ready","Factor / unit review"))))))))</x:f>
      </x:c>
      <x:c r="Z26" s="9" t="str">
        <x:f>IF(C26="","",IF(F26="No","Outside control",IF(F26&lt;&gt;"Yes","Control review",IF($H$6="No","Not required",IF($H$6&lt;&gt;"Yes","Applicability review",IF(Y26&lt;&gt;"Ready",Y26,IF(OR(NOT(ISNUMBER(M26)),M26&lt;0,M26&gt;J26),"Contract quantity review",IF(AND(M26&gt;0,OR(O26&lt;&gt;"Pass",P26="",NOT(AND(IFERROR(IF(INDEX('Factors'!$P$9:$P$108,MATCH(N26,'Factors'!$C$9:$C$108,0))="","",INDEX('Factors'!$P$9:$P$108,MATCH(N26,'Factors'!$C$9:$C$108,0))),"")="Ready",IFERROR(IF(INDEX('Factors'!$F$9:$F$108,MATCH(N26,'Factors'!$C$9:$C$108,0))="","",INDEX('Factors'!$F$9:$F$108,MATCH(N26,'Factors'!$C$9:$C$108,0))),"")="kWh",IFERROR(IF(INDEX('Factors'!$H$9:$H$108,MATCH(N26,'Factors'!$C$9:$C$108,0))="","",INDEX('Factors'!$H$9:$H$108,MATCH(N26,'Factors'!$C$9:$C$108,0))),"")="S2",IFERROR(IF(INDEX('Factors'!$I$9:$I$108,MATCH(N26,'Factors'!$C$9:$C$108,0))="","",INDEX('Factors'!$I$9:$I$108,MATCH(N26,'Factors'!$C$9:$C$108,0))),"")="Market-based",IFERROR(IF(INDEX('Factors'!$J$9:$J$108,MATCH(N26,'Factors'!$C$9:$C$108,0))="","",INDEX('Factors'!$J$9:$J$108,MATCH(N26,'Factors'!$C$9:$C$108,0))),"")=G26,OR(IFERROR(IF(INDEX('Factors'!$E$9:$E$108,MATCH(N26,'Factors'!$C$9:$C$108,0))="","",INDEX('Factors'!$E$9:$E$108,MATCH(N26,'Factors'!$C$9:$C$108,0))),"")="Global",IFERROR(IF(INDEX('Factors'!$E$9:$E$108,MATCH(N26,'Factors'!$C$9:$C$108,0))="","",INDEX('Factors'!$E$9:$E$108,MATCH(N26,'Factors'!$C$9:$C$108,0))),"")=D26))))),"Contract criteria review",IF(M26=J26,"Ready",IF(Q26="No","Grid fallback",IF(Q26="Yes",IF(AND(IFERROR(IF(INDEX('Factors'!$P$9:$P$108,MATCH(R26,'Factors'!$C$9:$C$108,0))="","",INDEX('Factors'!$P$9:$P$108,MATCH(R26,'Factors'!$C$9:$C$108,0))),"")="Ready",IFERROR(IF(INDEX('Factors'!$F$9:$F$108,MATCH(R26,'Factors'!$C$9:$C$108,0))="","",INDEX('Factors'!$F$9:$F$108,MATCH(R26,'Factors'!$C$9:$C$108,0))),"")="kWh",IFERROR(IF(INDEX('Factors'!$H$9:$H$108,MATCH(R26,'Factors'!$C$9:$C$108,0))="","",INDEX('Factors'!$H$9:$H$108,MATCH(R26,'Factors'!$C$9:$C$108,0))),"")="S2",IFERROR(IF(INDEX('Factors'!$I$9:$I$108,MATCH(R26,'Factors'!$C$9:$C$108,0))="","",INDEX('Factors'!$I$9:$I$108,MATCH(R26,'Factors'!$C$9:$C$108,0))),"")="Residual mix",IFERROR(IF(INDEX('Factors'!$J$9:$J$108,MATCH(R26,'Factors'!$C$9:$C$108,0))="","",INDEX('Factors'!$J$9:$J$108,MATCH(R26,'Factors'!$C$9:$C$108,0))),"")=G26,OR(IFERROR(IF(INDEX('Factors'!$E$9:$E$108,MATCH(R26,'Factors'!$C$9:$C$108,0))="","",INDEX('Factors'!$E$9:$E$108,MATCH(R26,'Factors'!$C$9:$C$108,0))),"")="Global",IFERROR(IF(INDEX('Factors'!$E$9:$E$108,MATCH(R26,'Factors'!$C$9:$C$108,0))="","",INDEX('Factors'!$E$9:$E$108,MATCH(R26,'Factors'!$C$9:$C$108,0))),"")=D26)),"Ready","Residual factor review"),"Residual availability review")))))))))))</x:f>
      </x:c>
      <x:c r="AA26" s="8"/>
      <x:c r="AB26" s="16"/>
      <x:c r="AC26" s="8"/>
    </x:row>
    <x:row r="27" ht="36" customHeight="1">
      <x:c r="A27" s="1"/>
      <x:c r="B27" s="1"/>
      <x:c r="C27" s="8"/>
      <x:c r="D27" s="8"/>
      <x:c r="E27" s="8"/>
      <x:c r="F27" s="8"/>
      <x:c r="G27" s="22"/>
      <x:c r="H27" s="16"/>
      <x:c r="I27" s="8"/>
      <x:c r="J27" s="16"/>
      <x:c r="K27" s="8"/>
      <x:c r="L27" s="8"/>
      <x:c r="M27" s="16"/>
      <x:c r="N27" s="8"/>
      <x:c r="O27" s="8"/>
      <x:c r="P27" s="8"/>
      <x:c r="Q27" s="8"/>
      <x:c r="R27" s="8"/>
      <x:c r="S27" s="8"/>
      <x:c r="T27" s="40"/>
      <x:c r="U27" s="23" t="str">
        <x:f>IF(X27="Ready",H27*IFERROR(IF(INDEX('Factors'!$G$9:$G$108,MATCH(I27,'Factors'!$C$9:$C$108,0))="","",INDEX('Factors'!$G$9:$G$108,MATCH(I27,'Factors'!$C$9:$C$108,0))),"")/1000+AB27,"")</x:f>
      </x:c>
      <x:c r="V27" s="23" t="str">
        <x:f>IF(Y27="Ready",J27*IFERROR(IF(INDEX('Factors'!$G$9:$G$108,MATCH(K27,'Factors'!$C$9:$C$108,0))="","",INDEX('Factors'!$G$9:$G$108,MATCH(K27,'Factors'!$C$9:$C$108,0))),"")/1000,"")</x:f>
      </x:c>
      <x:c r="W27" s="23" t="str">
        <x:f>IF(OR(Z27="Ready",Z27="Grid fallback"),(IF(M27&gt;0,M27*IFERROR(IF(INDEX('Factors'!$G$9:$G$108,MATCH(N27,'Factors'!$C$9:$C$108,0))="","",INDEX('Factors'!$G$9:$G$108,MATCH(N27,'Factors'!$C$9:$C$108,0))),""),0)+(J27-M27)*IF(M27=J27,0,IF(Q27="No",IFERROR(IF(INDEX('Factors'!$G$9:$G$108,MATCH(K27,'Factors'!$C$9:$C$108,0))="","",INDEX('Factors'!$G$9:$G$108,MATCH(K27,'Factors'!$C$9:$C$108,0))),""),IFERROR(IF(INDEX('Factors'!$G$9:$G$108,MATCH(R27,'Factors'!$C$9:$C$108,0))="","",INDEX('Factors'!$G$9:$G$108,MATCH(R27,'Factors'!$C$9:$C$108,0))),""))))/1000,"")</x:f>
      </x:c>
      <x:c r="X27" s="9" t="str">
        <x:f>IF(C27="","",IF(AND($D$6&lt;&gt;"Operational control",$D$6&lt;&gt;"Financial control"),"Control basis required",IF(F27="No","Outside control",IF(F27&lt;&gt;"Yes","Control review",IF(COUNTIFS($C$9:$C$108,C27)&lt;&gt;1,"Duplicate operation ID",IF(OR(S27="",NOT(ISNUMBER(T27)),T27&lt;'Settings'!$F$8,NOT(ISNUMBER(G27)),G27&lt;&gt;YEAR('Settings'!$F$8)),"Evidence / period review",IF(OR(NOT(ISNUMBER(H27)),H27&lt;0,AA27&lt;&gt;"Yes",NOT(ISNUMBER(AB27)),AB27&lt;0,AC27=""),"Activity required",IF(AND(IFERROR(IF(INDEX('Factors'!$P$9:$P$108,MATCH(I27,'Factors'!$C$9:$C$108,0))="","",INDEX('Factors'!$P$9:$P$108,MATCH(I27,'Factors'!$C$9:$C$108,0))),"")="Ready",IFERROR(IF(INDEX('Factors'!$F$9:$F$108,MATCH(I27,'Factors'!$C$9:$C$108,0))="","",INDEX('Factors'!$F$9:$F$108,MATCH(I27,'Factors'!$C$9:$C$108,0))),"")="litre",IFERROR(IF(INDEX('Factors'!$H$9:$H$108,MATCH(I27,'Factors'!$C$9:$C$108,0))="","",INDEX('Factors'!$H$9:$H$108,MATCH(I27,'Factors'!$C$9:$C$108,0))),"")="S1",IFERROR(IF(INDEX('Factors'!$I$9:$I$108,MATCH(I27,'Factors'!$C$9:$C$108,0))="","",INDEX('Factors'!$I$9:$I$108,MATCH(I27,'Factors'!$C$9:$C$108,0))),"")="Combustion",IFERROR(IF(INDEX('Factors'!$J$9:$J$108,MATCH(I27,'Factors'!$C$9:$C$108,0))="","",INDEX('Factors'!$J$9:$J$108,MATCH(I27,'Factors'!$C$9:$C$108,0))),"")=G27,OR(IFERROR(IF(INDEX('Factors'!$E$9:$E$108,MATCH(I27,'Factors'!$C$9:$C$108,0))="","",INDEX('Factors'!$E$9:$E$108,MATCH(I27,'Factors'!$C$9:$C$108,0))),"")="Global",IFERROR(IF(INDEX('Factors'!$E$9:$E$108,MATCH(I27,'Factors'!$C$9:$C$108,0))="","",INDEX('Factors'!$E$9:$E$108,MATCH(I27,'Factors'!$C$9:$C$108,0))),"")=D27)),"Ready","Factor / unit review"))))))))</x:f>
      </x:c>
      <x:c r="Y27" s="9" t="str">
        <x:f>IF(C27="","",IF(AND($D$6&lt;&gt;"Operational control",$D$6&lt;&gt;"Financial control"),"Control basis required",IF(F27="No","Outside control",IF(F27&lt;&gt;"Yes","Control review",IF(COUNTIFS($C$9:$C$108,C27)&lt;&gt;1,"Duplicate operation ID",IF(OR(S27="",NOT(ISNUMBER(T27)),T27&lt;'Settings'!$F$8,NOT(ISNUMBER(G27)),G27&lt;&gt;YEAR('Settings'!$F$8)),"Evidence / period review",IF(OR(NOT(ISNUMBER(J27)),J27&lt;0),"Activity required",IF(AND(IFERROR(IF(INDEX('Factors'!$P$9:$P$108,MATCH(K27,'Factors'!$C$9:$C$108,0))="","",INDEX('Factors'!$P$9:$P$108,MATCH(K27,'Factors'!$C$9:$C$108,0))),"")="Ready",IFERROR(IF(INDEX('Factors'!$F$9:$F$108,MATCH(K27,'Factors'!$C$9:$C$108,0))="","",INDEX('Factors'!$F$9:$F$108,MATCH(K27,'Factors'!$C$9:$C$108,0))),"")="kWh",IFERROR(IF(INDEX('Factors'!$H$9:$H$108,MATCH(K27,'Factors'!$C$9:$C$108,0))="","",INDEX('Factors'!$H$9:$H$108,MATCH(K27,'Factors'!$C$9:$C$108,0))),"")="S2",IFERROR(IF(INDEX('Factors'!$I$9:$I$108,MATCH(K27,'Factors'!$C$9:$C$108,0))="","",INDEX('Factors'!$I$9:$I$108,MATCH(K27,'Factors'!$C$9:$C$108,0))),"")="Location-based",IFERROR(IF(INDEX('Factors'!$J$9:$J$108,MATCH(K27,'Factors'!$C$9:$C$108,0))="","",INDEX('Factors'!$J$9:$J$108,MATCH(K27,'Factors'!$C$9:$C$108,0))),"")=G27,OR(IFERROR(IF(INDEX('Factors'!$E$9:$E$108,MATCH(K27,'Factors'!$C$9:$C$108,0))="","",INDEX('Factors'!$E$9:$E$108,MATCH(K27,'Factors'!$C$9:$C$108,0))),"")="Global",IFERROR(IF(INDEX('Factors'!$E$9:$E$108,MATCH(K27,'Factors'!$C$9:$C$108,0))="","",INDEX('Factors'!$E$9:$E$108,MATCH(K27,'Factors'!$C$9:$C$108,0))),"")=D27)),"Ready","Factor / unit review"))))))))</x:f>
      </x:c>
      <x:c r="Z27" s="9" t="str">
        <x:f>IF(C27="","",IF(F27="No","Outside control",IF(F27&lt;&gt;"Yes","Control review",IF($H$6="No","Not required",IF($H$6&lt;&gt;"Yes","Applicability review",IF(Y27&lt;&gt;"Ready",Y27,IF(OR(NOT(ISNUMBER(M27)),M27&lt;0,M27&gt;J27),"Contract quantity review",IF(AND(M27&gt;0,OR(O27&lt;&gt;"Pass",P27="",NOT(AND(IFERROR(IF(INDEX('Factors'!$P$9:$P$108,MATCH(N27,'Factors'!$C$9:$C$108,0))="","",INDEX('Factors'!$P$9:$P$108,MATCH(N27,'Factors'!$C$9:$C$108,0))),"")="Ready",IFERROR(IF(INDEX('Factors'!$F$9:$F$108,MATCH(N27,'Factors'!$C$9:$C$108,0))="","",INDEX('Factors'!$F$9:$F$108,MATCH(N27,'Factors'!$C$9:$C$108,0))),"")="kWh",IFERROR(IF(INDEX('Factors'!$H$9:$H$108,MATCH(N27,'Factors'!$C$9:$C$108,0))="","",INDEX('Factors'!$H$9:$H$108,MATCH(N27,'Factors'!$C$9:$C$108,0))),"")="S2",IFERROR(IF(INDEX('Factors'!$I$9:$I$108,MATCH(N27,'Factors'!$C$9:$C$108,0))="","",INDEX('Factors'!$I$9:$I$108,MATCH(N27,'Factors'!$C$9:$C$108,0))),"")="Market-based",IFERROR(IF(INDEX('Factors'!$J$9:$J$108,MATCH(N27,'Factors'!$C$9:$C$108,0))="","",INDEX('Factors'!$J$9:$J$108,MATCH(N27,'Factors'!$C$9:$C$108,0))),"")=G27,OR(IFERROR(IF(INDEX('Factors'!$E$9:$E$108,MATCH(N27,'Factors'!$C$9:$C$108,0))="","",INDEX('Factors'!$E$9:$E$108,MATCH(N27,'Factors'!$C$9:$C$108,0))),"")="Global",IFERROR(IF(INDEX('Factors'!$E$9:$E$108,MATCH(N27,'Factors'!$C$9:$C$108,0))="","",INDEX('Factors'!$E$9:$E$108,MATCH(N27,'Factors'!$C$9:$C$108,0))),"")=D27))))),"Contract criteria review",IF(M27=J27,"Ready",IF(Q27="No","Grid fallback",IF(Q27="Yes",IF(AND(IFERROR(IF(INDEX('Factors'!$P$9:$P$108,MATCH(R27,'Factors'!$C$9:$C$108,0))="","",INDEX('Factors'!$P$9:$P$108,MATCH(R27,'Factors'!$C$9:$C$108,0))),"")="Ready",IFERROR(IF(INDEX('Factors'!$F$9:$F$108,MATCH(R27,'Factors'!$C$9:$C$108,0))="","",INDEX('Factors'!$F$9:$F$108,MATCH(R27,'Factors'!$C$9:$C$108,0))),"")="kWh",IFERROR(IF(INDEX('Factors'!$H$9:$H$108,MATCH(R27,'Factors'!$C$9:$C$108,0))="","",INDEX('Factors'!$H$9:$H$108,MATCH(R27,'Factors'!$C$9:$C$108,0))),"")="S2",IFERROR(IF(INDEX('Factors'!$I$9:$I$108,MATCH(R27,'Factors'!$C$9:$C$108,0))="","",INDEX('Factors'!$I$9:$I$108,MATCH(R27,'Factors'!$C$9:$C$108,0))),"")="Residual mix",IFERROR(IF(INDEX('Factors'!$J$9:$J$108,MATCH(R27,'Factors'!$C$9:$C$108,0))="","",INDEX('Factors'!$J$9:$J$108,MATCH(R27,'Factors'!$C$9:$C$108,0))),"")=G27,OR(IFERROR(IF(INDEX('Factors'!$E$9:$E$108,MATCH(R27,'Factors'!$C$9:$C$108,0))="","",INDEX('Factors'!$E$9:$E$108,MATCH(R27,'Factors'!$C$9:$C$108,0))),"")="Global",IFERROR(IF(INDEX('Factors'!$E$9:$E$108,MATCH(R27,'Factors'!$C$9:$C$108,0))="","",INDEX('Factors'!$E$9:$E$108,MATCH(R27,'Factors'!$C$9:$C$108,0))),"")=D27)),"Ready","Residual factor review"),"Residual availability review")))))))))))</x:f>
      </x:c>
      <x:c r="AA27" s="8"/>
      <x:c r="AB27" s="16"/>
      <x:c r="AC27" s="8"/>
    </x:row>
    <x:row r="28" ht="36" customHeight="1">
      <x:c r="A28" s="1"/>
      <x:c r="B28" s="1"/>
      <x:c r="C28" s="8"/>
      <x:c r="D28" s="8"/>
      <x:c r="E28" s="8"/>
      <x:c r="F28" s="8"/>
      <x:c r="G28" s="22"/>
      <x:c r="H28" s="16"/>
      <x:c r="I28" s="8"/>
      <x:c r="J28" s="16"/>
      <x:c r="K28" s="8"/>
      <x:c r="L28" s="8"/>
      <x:c r="M28" s="16"/>
      <x:c r="N28" s="8"/>
      <x:c r="O28" s="8"/>
      <x:c r="P28" s="8"/>
      <x:c r="Q28" s="8"/>
      <x:c r="R28" s="8"/>
      <x:c r="S28" s="8"/>
      <x:c r="T28" s="40"/>
      <x:c r="U28" s="23" t="str">
        <x:f>IF(X28="Ready",H28*IFERROR(IF(INDEX('Factors'!$G$9:$G$108,MATCH(I28,'Factors'!$C$9:$C$108,0))="","",INDEX('Factors'!$G$9:$G$108,MATCH(I28,'Factors'!$C$9:$C$108,0))),"")/1000+AB28,"")</x:f>
      </x:c>
      <x:c r="V28" s="23" t="str">
        <x:f>IF(Y28="Ready",J28*IFERROR(IF(INDEX('Factors'!$G$9:$G$108,MATCH(K28,'Factors'!$C$9:$C$108,0))="","",INDEX('Factors'!$G$9:$G$108,MATCH(K28,'Factors'!$C$9:$C$108,0))),"")/1000,"")</x:f>
      </x:c>
      <x:c r="W28" s="23" t="str">
        <x:f>IF(OR(Z28="Ready",Z28="Grid fallback"),(IF(M28&gt;0,M28*IFERROR(IF(INDEX('Factors'!$G$9:$G$108,MATCH(N28,'Factors'!$C$9:$C$108,0))="","",INDEX('Factors'!$G$9:$G$108,MATCH(N28,'Factors'!$C$9:$C$108,0))),""),0)+(J28-M28)*IF(M28=J28,0,IF(Q28="No",IFERROR(IF(INDEX('Factors'!$G$9:$G$108,MATCH(K28,'Factors'!$C$9:$C$108,0))="","",INDEX('Factors'!$G$9:$G$108,MATCH(K28,'Factors'!$C$9:$C$108,0))),""),IFERROR(IF(INDEX('Factors'!$G$9:$G$108,MATCH(R28,'Factors'!$C$9:$C$108,0))="","",INDEX('Factors'!$G$9:$G$108,MATCH(R28,'Factors'!$C$9:$C$108,0))),""))))/1000,"")</x:f>
      </x:c>
      <x:c r="X28" s="9" t="str">
        <x:f>IF(C28="","",IF(AND($D$6&lt;&gt;"Operational control",$D$6&lt;&gt;"Financial control"),"Control basis required",IF(F28="No","Outside control",IF(F28&lt;&gt;"Yes","Control review",IF(COUNTIFS($C$9:$C$108,C28)&lt;&gt;1,"Duplicate operation ID",IF(OR(S28="",NOT(ISNUMBER(T28)),T28&lt;'Settings'!$F$8,NOT(ISNUMBER(G28)),G28&lt;&gt;YEAR('Settings'!$F$8)),"Evidence / period review",IF(OR(NOT(ISNUMBER(H28)),H28&lt;0,AA28&lt;&gt;"Yes",NOT(ISNUMBER(AB28)),AB28&lt;0,AC28=""),"Activity required",IF(AND(IFERROR(IF(INDEX('Factors'!$P$9:$P$108,MATCH(I28,'Factors'!$C$9:$C$108,0))="","",INDEX('Factors'!$P$9:$P$108,MATCH(I28,'Factors'!$C$9:$C$108,0))),"")="Ready",IFERROR(IF(INDEX('Factors'!$F$9:$F$108,MATCH(I28,'Factors'!$C$9:$C$108,0))="","",INDEX('Factors'!$F$9:$F$108,MATCH(I28,'Factors'!$C$9:$C$108,0))),"")="litre",IFERROR(IF(INDEX('Factors'!$H$9:$H$108,MATCH(I28,'Factors'!$C$9:$C$108,0))="","",INDEX('Factors'!$H$9:$H$108,MATCH(I28,'Factors'!$C$9:$C$108,0))),"")="S1",IFERROR(IF(INDEX('Factors'!$I$9:$I$108,MATCH(I28,'Factors'!$C$9:$C$108,0))="","",INDEX('Factors'!$I$9:$I$108,MATCH(I28,'Factors'!$C$9:$C$108,0))),"")="Combustion",IFERROR(IF(INDEX('Factors'!$J$9:$J$108,MATCH(I28,'Factors'!$C$9:$C$108,0))="","",INDEX('Factors'!$J$9:$J$108,MATCH(I28,'Factors'!$C$9:$C$108,0))),"")=G28,OR(IFERROR(IF(INDEX('Factors'!$E$9:$E$108,MATCH(I28,'Factors'!$C$9:$C$108,0))="","",INDEX('Factors'!$E$9:$E$108,MATCH(I28,'Factors'!$C$9:$C$108,0))),"")="Global",IFERROR(IF(INDEX('Factors'!$E$9:$E$108,MATCH(I28,'Factors'!$C$9:$C$108,0))="","",INDEX('Factors'!$E$9:$E$108,MATCH(I28,'Factors'!$C$9:$C$108,0))),"")=D28)),"Ready","Factor / unit review"))))))))</x:f>
      </x:c>
      <x:c r="Y28" s="9" t="str">
        <x:f>IF(C28="","",IF(AND($D$6&lt;&gt;"Operational control",$D$6&lt;&gt;"Financial control"),"Control basis required",IF(F28="No","Outside control",IF(F28&lt;&gt;"Yes","Control review",IF(COUNTIFS($C$9:$C$108,C28)&lt;&gt;1,"Duplicate operation ID",IF(OR(S28="",NOT(ISNUMBER(T28)),T28&lt;'Settings'!$F$8,NOT(ISNUMBER(G28)),G28&lt;&gt;YEAR('Settings'!$F$8)),"Evidence / period review",IF(OR(NOT(ISNUMBER(J28)),J28&lt;0),"Activity required",IF(AND(IFERROR(IF(INDEX('Factors'!$P$9:$P$108,MATCH(K28,'Factors'!$C$9:$C$108,0))="","",INDEX('Factors'!$P$9:$P$108,MATCH(K28,'Factors'!$C$9:$C$108,0))),"")="Ready",IFERROR(IF(INDEX('Factors'!$F$9:$F$108,MATCH(K28,'Factors'!$C$9:$C$108,0))="","",INDEX('Factors'!$F$9:$F$108,MATCH(K28,'Factors'!$C$9:$C$108,0))),"")="kWh",IFERROR(IF(INDEX('Factors'!$H$9:$H$108,MATCH(K28,'Factors'!$C$9:$C$108,0))="","",INDEX('Factors'!$H$9:$H$108,MATCH(K28,'Factors'!$C$9:$C$108,0))),"")="S2",IFERROR(IF(INDEX('Factors'!$I$9:$I$108,MATCH(K28,'Factors'!$C$9:$C$108,0))="","",INDEX('Factors'!$I$9:$I$108,MATCH(K28,'Factors'!$C$9:$C$108,0))),"")="Location-based",IFERROR(IF(INDEX('Factors'!$J$9:$J$108,MATCH(K28,'Factors'!$C$9:$C$108,0))="","",INDEX('Factors'!$J$9:$J$108,MATCH(K28,'Factors'!$C$9:$C$108,0))),"")=G28,OR(IFERROR(IF(INDEX('Factors'!$E$9:$E$108,MATCH(K28,'Factors'!$C$9:$C$108,0))="","",INDEX('Factors'!$E$9:$E$108,MATCH(K28,'Factors'!$C$9:$C$108,0))),"")="Global",IFERROR(IF(INDEX('Factors'!$E$9:$E$108,MATCH(K28,'Factors'!$C$9:$C$108,0))="","",INDEX('Factors'!$E$9:$E$108,MATCH(K28,'Factors'!$C$9:$C$108,0))),"")=D28)),"Ready","Factor / unit review"))))))))</x:f>
      </x:c>
      <x:c r="Z28" s="9" t="str">
        <x:f>IF(C28="","",IF(F28="No","Outside control",IF(F28&lt;&gt;"Yes","Control review",IF($H$6="No","Not required",IF($H$6&lt;&gt;"Yes","Applicability review",IF(Y28&lt;&gt;"Ready",Y28,IF(OR(NOT(ISNUMBER(M28)),M28&lt;0,M28&gt;J28),"Contract quantity review",IF(AND(M28&gt;0,OR(O28&lt;&gt;"Pass",P28="",NOT(AND(IFERROR(IF(INDEX('Factors'!$P$9:$P$108,MATCH(N28,'Factors'!$C$9:$C$108,0))="","",INDEX('Factors'!$P$9:$P$108,MATCH(N28,'Factors'!$C$9:$C$108,0))),"")="Ready",IFERROR(IF(INDEX('Factors'!$F$9:$F$108,MATCH(N28,'Factors'!$C$9:$C$108,0))="","",INDEX('Factors'!$F$9:$F$108,MATCH(N28,'Factors'!$C$9:$C$108,0))),"")="kWh",IFERROR(IF(INDEX('Factors'!$H$9:$H$108,MATCH(N28,'Factors'!$C$9:$C$108,0))="","",INDEX('Factors'!$H$9:$H$108,MATCH(N28,'Factors'!$C$9:$C$108,0))),"")="S2",IFERROR(IF(INDEX('Factors'!$I$9:$I$108,MATCH(N28,'Factors'!$C$9:$C$108,0))="","",INDEX('Factors'!$I$9:$I$108,MATCH(N28,'Factors'!$C$9:$C$108,0))),"")="Market-based",IFERROR(IF(INDEX('Factors'!$J$9:$J$108,MATCH(N28,'Factors'!$C$9:$C$108,0))="","",INDEX('Factors'!$J$9:$J$108,MATCH(N28,'Factors'!$C$9:$C$108,0))),"")=G28,OR(IFERROR(IF(INDEX('Factors'!$E$9:$E$108,MATCH(N28,'Factors'!$C$9:$C$108,0))="","",INDEX('Factors'!$E$9:$E$108,MATCH(N28,'Factors'!$C$9:$C$108,0))),"")="Global",IFERROR(IF(INDEX('Factors'!$E$9:$E$108,MATCH(N28,'Factors'!$C$9:$C$108,0))="","",INDEX('Factors'!$E$9:$E$108,MATCH(N28,'Factors'!$C$9:$C$108,0))),"")=D28))))),"Contract criteria review",IF(M28=J28,"Ready",IF(Q28="No","Grid fallback",IF(Q28="Yes",IF(AND(IFERROR(IF(INDEX('Factors'!$P$9:$P$108,MATCH(R28,'Factors'!$C$9:$C$108,0))="","",INDEX('Factors'!$P$9:$P$108,MATCH(R28,'Factors'!$C$9:$C$108,0))),"")="Ready",IFERROR(IF(INDEX('Factors'!$F$9:$F$108,MATCH(R28,'Factors'!$C$9:$C$108,0))="","",INDEX('Factors'!$F$9:$F$108,MATCH(R28,'Factors'!$C$9:$C$108,0))),"")="kWh",IFERROR(IF(INDEX('Factors'!$H$9:$H$108,MATCH(R28,'Factors'!$C$9:$C$108,0))="","",INDEX('Factors'!$H$9:$H$108,MATCH(R28,'Factors'!$C$9:$C$108,0))),"")="S2",IFERROR(IF(INDEX('Factors'!$I$9:$I$108,MATCH(R28,'Factors'!$C$9:$C$108,0))="","",INDEX('Factors'!$I$9:$I$108,MATCH(R28,'Factors'!$C$9:$C$108,0))),"")="Residual mix",IFERROR(IF(INDEX('Factors'!$J$9:$J$108,MATCH(R28,'Factors'!$C$9:$C$108,0))="","",INDEX('Factors'!$J$9:$J$108,MATCH(R28,'Factors'!$C$9:$C$108,0))),"")=G28,OR(IFERROR(IF(INDEX('Factors'!$E$9:$E$108,MATCH(R28,'Factors'!$C$9:$C$108,0))="","",INDEX('Factors'!$E$9:$E$108,MATCH(R28,'Factors'!$C$9:$C$108,0))),"")="Global",IFERROR(IF(INDEX('Factors'!$E$9:$E$108,MATCH(R28,'Factors'!$C$9:$C$108,0))="","",INDEX('Factors'!$E$9:$E$108,MATCH(R28,'Factors'!$C$9:$C$108,0))),"")=D28)),"Ready","Residual factor review"),"Residual availability review")))))))))))</x:f>
      </x:c>
      <x:c r="AA28" s="8"/>
      <x:c r="AB28" s="16"/>
      <x:c r="AC28" s="8"/>
    </x:row>
    <x:row r="29" ht="36" customHeight="1">
      <x:c r="A29" s="1"/>
      <x:c r="B29" s="1"/>
      <x:c r="C29" s="8"/>
      <x:c r="D29" s="8"/>
      <x:c r="E29" s="8"/>
      <x:c r="F29" s="8"/>
      <x:c r="G29" s="22"/>
      <x:c r="H29" s="16"/>
      <x:c r="I29" s="8"/>
      <x:c r="J29" s="16"/>
      <x:c r="K29" s="8"/>
      <x:c r="L29" s="8"/>
      <x:c r="M29" s="16"/>
      <x:c r="N29" s="8"/>
      <x:c r="O29" s="8"/>
      <x:c r="P29" s="8"/>
      <x:c r="Q29" s="8"/>
      <x:c r="R29" s="8"/>
      <x:c r="S29" s="8"/>
      <x:c r="T29" s="40"/>
      <x:c r="U29" s="23" t="str">
        <x:f>IF(X29="Ready",H29*IFERROR(IF(INDEX('Factors'!$G$9:$G$108,MATCH(I29,'Factors'!$C$9:$C$108,0))="","",INDEX('Factors'!$G$9:$G$108,MATCH(I29,'Factors'!$C$9:$C$108,0))),"")/1000+AB29,"")</x:f>
      </x:c>
      <x:c r="V29" s="23" t="str">
        <x:f>IF(Y29="Ready",J29*IFERROR(IF(INDEX('Factors'!$G$9:$G$108,MATCH(K29,'Factors'!$C$9:$C$108,0))="","",INDEX('Factors'!$G$9:$G$108,MATCH(K29,'Factors'!$C$9:$C$108,0))),"")/1000,"")</x:f>
      </x:c>
      <x:c r="W29" s="23" t="str">
        <x:f>IF(OR(Z29="Ready",Z29="Grid fallback"),(IF(M29&gt;0,M29*IFERROR(IF(INDEX('Factors'!$G$9:$G$108,MATCH(N29,'Factors'!$C$9:$C$108,0))="","",INDEX('Factors'!$G$9:$G$108,MATCH(N29,'Factors'!$C$9:$C$108,0))),""),0)+(J29-M29)*IF(M29=J29,0,IF(Q29="No",IFERROR(IF(INDEX('Factors'!$G$9:$G$108,MATCH(K29,'Factors'!$C$9:$C$108,0))="","",INDEX('Factors'!$G$9:$G$108,MATCH(K29,'Factors'!$C$9:$C$108,0))),""),IFERROR(IF(INDEX('Factors'!$G$9:$G$108,MATCH(R29,'Factors'!$C$9:$C$108,0))="","",INDEX('Factors'!$G$9:$G$108,MATCH(R29,'Factors'!$C$9:$C$108,0))),""))))/1000,"")</x:f>
      </x:c>
      <x:c r="X29" s="9" t="str">
        <x:f>IF(C29="","",IF(AND($D$6&lt;&gt;"Operational control",$D$6&lt;&gt;"Financial control"),"Control basis required",IF(F29="No","Outside control",IF(F29&lt;&gt;"Yes","Control review",IF(COUNTIFS($C$9:$C$108,C29)&lt;&gt;1,"Duplicate operation ID",IF(OR(S29="",NOT(ISNUMBER(T29)),T29&lt;'Settings'!$F$8,NOT(ISNUMBER(G29)),G29&lt;&gt;YEAR('Settings'!$F$8)),"Evidence / period review",IF(OR(NOT(ISNUMBER(H29)),H29&lt;0,AA29&lt;&gt;"Yes",NOT(ISNUMBER(AB29)),AB29&lt;0,AC29=""),"Activity required",IF(AND(IFERROR(IF(INDEX('Factors'!$P$9:$P$108,MATCH(I29,'Factors'!$C$9:$C$108,0))="","",INDEX('Factors'!$P$9:$P$108,MATCH(I29,'Factors'!$C$9:$C$108,0))),"")="Ready",IFERROR(IF(INDEX('Factors'!$F$9:$F$108,MATCH(I29,'Factors'!$C$9:$C$108,0))="","",INDEX('Factors'!$F$9:$F$108,MATCH(I29,'Factors'!$C$9:$C$108,0))),"")="litre",IFERROR(IF(INDEX('Factors'!$H$9:$H$108,MATCH(I29,'Factors'!$C$9:$C$108,0))="","",INDEX('Factors'!$H$9:$H$108,MATCH(I29,'Factors'!$C$9:$C$108,0))),"")="S1",IFERROR(IF(INDEX('Factors'!$I$9:$I$108,MATCH(I29,'Factors'!$C$9:$C$108,0))="","",INDEX('Factors'!$I$9:$I$108,MATCH(I29,'Factors'!$C$9:$C$108,0))),"")="Combustion",IFERROR(IF(INDEX('Factors'!$J$9:$J$108,MATCH(I29,'Factors'!$C$9:$C$108,0))="","",INDEX('Factors'!$J$9:$J$108,MATCH(I29,'Factors'!$C$9:$C$108,0))),"")=G29,OR(IFERROR(IF(INDEX('Factors'!$E$9:$E$108,MATCH(I29,'Factors'!$C$9:$C$108,0))="","",INDEX('Factors'!$E$9:$E$108,MATCH(I29,'Factors'!$C$9:$C$108,0))),"")="Global",IFERROR(IF(INDEX('Factors'!$E$9:$E$108,MATCH(I29,'Factors'!$C$9:$C$108,0))="","",INDEX('Factors'!$E$9:$E$108,MATCH(I29,'Factors'!$C$9:$C$108,0))),"")=D29)),"Ready","Factor / unit review"))))))))</x:f>
      </x:c>
      <x:c r="Y29" s="9" t="str">
        <x:f>IF(C29="","",IF(AND($D$6&lt;&gt;"Operational control",$D$6&lt;&gt;"Financial control"),"Control basis required",IF(F29="No","Outside control",IF(F29&lt;&gt;"Yes","Control review",IF(COUNTIFS($C$9:$C$108,C29)&lt;&gt;1,"Duplicate operation ID",IF(OR(S29="",NOT(ISNUMBER(T29)),T29&lt;'Settings'!$F$8,NOT(ISNUMBER(G29)),G29&lt;&gt;YEAR('Settings'!$F$8)),"Evidence / period review",IF(OR(NOT(ISNUMBER(J29)),J29&lt;0),"Activity required",IF(AND(IFERROR(IF(INDEX('Factors'!$P$9:$P$108,MATCH(K29,'Factors'!$C$9:$C$108,0))="","",INDEX('Factors'!$P$9:$P$108,MATCH(K29,'Factors'!$C$9:$C$108,0))),"")="Ready",IFERROR(IF(INDEX('Factors'!$F$9:$F$108,MATCH(K29,'Factors'!$C$9:$C$108,0))="","",INDEX('Factors'!$F$9:$F$108,MATCH(K29,'Factors'!$C$9:$C$108,0))),"")="kWh",IFERROR(IF(INDEX('Factors'!$H$9:$H$108,MATCH(K29,'Factors'!$C$9:$C$108,0))="","",INDEX('Factors'!$H$9:$H$108,MATCH(K29,'Factors'!$C$9:$C$108,0))),"")="S2",IFERROR(IF(INDEX('Factors'!$I$9:$I$108,MATCH(K29,'Factors'!$C$9:$C$108,0))="","",INDEX('Factors'!$I$9:$I$108,MATCH(K29,'Factors'!$C$9:$C$108,0))),"")="Location-based",IFERROR(IF(INDEX('Factors'!$J$9:$J$108,MATCH(K29,'Factors'!$C$9:$C$108,0))="","",INDEX('Factors'!$J$9:$J$108,MATCH(K29,'Factors'!$C$9:$C$108,0))),"")=G29,OR(IFERROR(IF(INDEX('Factors'!$E$9:$E$108,MATCH(K29,'Factors'!$C$9:$C$108,0))="","",INDEX('Factors'!$E$9:$E$108,MATCH(K29,'Factors'!$C$9:$C$108,0))),"")="Global",IFERROR(IF(INDEX('Factors'!$E$9:$E$108,MATCH(K29,'Factors'!$C$9:$C$108,0))="","",INDEX('Factors'!$E$9:$E$108,MATCH(K29,'Factors'!$C$9:$C$108,0))),"")=D29)),"Ready","Factor / unit review"))))))))</x:f>
      </x:c>
      <x:c r="Z29" s="9" t="str">
        <x:f>IF(C29="","",IF(F29="No","Outside control",IF(F29&lt;&gt;"Yes","Control review",IF($H$6="No","Not required",IF($H$6&lt;&gt;"Yes","Applicability review",IF(Y29&lt;&gt;"Ready",Y29,IF(OR(NOT(ISNUMBER(M29)),M29&lt;0,M29&gt;J29),"Contract quantity review",IF(AND(M29&gt;0,OR(O29&lt;&gt;"Pass",P29="",NOT(AND(IFERROR(IF(INDEX('Factors'!$P$9:$P$108,MATCH(N29,'Factors'!$C$9:$C$108,0))="","",INDEX('Factors'!$P$9:$P$108,MATCH(N29,'Factors'!$C$9:$C$108,0))),"")="Ready",IFERROR(IF(INDEX('Factors'!$F$9:$F$108,MATCH(N29,'Factors'!$C$9:$C$108,0))="","",INDEX('Factors'!$F$9:$F$108,MATCH(N29,'Factors'!$C$9:$C$108,0))),"")="kWh",IFERROR(IF(INDEX('Factors'!$H$9:$H$108,MATCH(N29,'Factors'!$C$9:$C$108,0))="","",INDEX('Factors'!$H$9:$H$108,MATCH(N29,'Factors'!$C$9:$C$108,0))),"")="S2",IFERROR(IF(INDEX('Factors'!$I$9:$I$108,MATCH(N29,'Factors'!$C$9:$C$108,0))="","",INDEX('Factors'!$I$9:$I$108,MATCH(N29,'Factors'!$C$9:$C$108,0))),"")="Market-based",IFERROR(IF(INDEX('Factors'!$J$9:$J$108,MATCH(N29,'Factors'!$C$9:$C$108,0))="","",INDEX('Factors'!$J$9:$J$108,MATCH(N29,'Factors'!$C$9:$C$108,0))),"")=G29,OR(IFERROR(IF(INDEX('Factors'!$E$9:$E$108,MATCH(N29,'Factors'!$C$9:$C$108,0))="","",INDEX('Factors'!$E$9:$E$108,MATCH(N29,'Factors'!$C$9:$C$108,0))),"")="Global",IFERROR(IF(INDEX('Factors'!$E$9:$E$108,MATCH(N29,'Factors'!$C$9:$C$108,0))="","",INDEX('Factors'!$E$9:$E$108,MATCH(N29,'Factors'!$C$9:$C$108,0))),"")=D29))))),"Contract criteria review",IF(M29=J29,"Ready",IF(Q29="No","Grid fallback",IF(Q29="Yes",IF(AND(IFERROR(IF(INDEX('Factors'!$P$9:$P$108,MATCH(R29,'Factors'!$C$9:$C$108,0))="","",INDEX('Factors'!$P$9:$P$108,MATCH(R29,'Factors'!$C$9:$C$108,0))),"")="Ready",IFERROR(IF(INDEX('Factors'!$F$9:$F$108,MATCH(R29,'Factors'!$C$9:$C$108,0))="","",INDEX('Factors'!$F$9:$F$108,MATCH(R29,'Factors'!$C$9:$C$108,0))),"")="kWh",IFERROR(IF(INDEX('Factors'!$H$9:$H$108,MATCH(R29,'Factors'!$C$9:$C$108,0))="","",INDEX('Factors'!$H$9:$H$108,MATCH(R29,'Factors'!$C$9:$C$108,0))),"")="S2",IFERROR(IF(INDEX('Factors'!$I$9:$I$108,MATCH(R29,'Factors'!$C$9:$C$108,0))="","",INDEX('Factors'!$I$9:$I$108,MATCH(R29,'Factors'!$C$9:$C$108,0))),"")="Residual mix",IFERROR(IF(INDEX('Factors'!$J$9:$J$108,MATCH(R29,'Factors'!$C$9:$C$108,0))="","",INDEX('Factors'!$J$9:$J$108,MATCH(R29,'Factors'!$C$9:$C$108,0))),"")=G29,OR(IFERROR(IF(INDEX('Factors'!$E$9:$E$108,MATCH(R29,'Factors'!$C$9:$C$108,0))="","",INDEX('Factors'!$E$9:$E$108,MATCH(R29,'Factors'!$C$9:$C$108,0))),"")="Global",IFERROR(IF(INDEX('Factors'!$E$9:$E$108,MATCH(R29,'Factors'!$C$9:$C$108,0))="","",INDEX('Factors'!$E$9:$E$108,MATCH(R29,'Factors'!$C$9:$C$108,0))),"")=D29)),"Ready","Residual factor review"),"Residual availability review")))))))))))</x:f>
      </x:c>
      <x:c r="AA29" s="8"/>
      <x:c r="AB29" s="16"/>
      <x:c r="AC29" s="8"/>
    </x:row>
    <x:row r="30" ht="36" customHeight="1">
      <x:c r="A30" s="1"/>
      <x:c r="B30" s="1"/>
      <x:c r="C30" s="8"/>
      <x:c r="D30" s="8"/>
      <x:c r="E30" s="8"/>
      <x:c r="F30" s="8"/>
      <x:c r="G30" s="22"/>
      <x:c r="H30" s="16"/>
      <x:c r="I30" s="8"/>
      <x:c r="J30" s="16"/>
      <x:c r="K30" s="8"/>
      <x:c r="L30" s="8"/>
      <x:c r="M30" s="16"/>
      <x:c r="N30" s="8"/>
      <x:c r="O30" s="8"/>
      <x:c r="P30" s="8"/>
      <x:c r="Q30" s="8"/>
      <x:c r="R30" s="8"/>
      <x:c r="S30" s="8"/>
      <x:c r="T30" s="40"/>
      <x:c r="U30" s="23" t="str">
        <x:f>IF(X30="Ready",H30*IFERROR(IF(INDEX('Factors'!$G$9:$G$108,MATCH(I30,'Factors'!$C$9:$C$108,0))="","",INDEX('Factors'!$G$9:$G$108,MATCH(I30,'Factors'!$C$9:$C$108,0))),"")/1000+AB30,"")</x:f>
      </x:c>
      <x:c r="V30" s="23" t="str">
        <x:f>IF(Y30="Ready",J30*IFERROR(IF(INDEX('Factors'!$G$9:$G$108,MATCH(K30,'Factors'!$C$9:$C$108,0))="","",INDEX('Factors'!$G$9:$G$108,MATCH(K30,'Factors'!$C$9:$C$108,0))),"")/1000,"")</x:f>
      </x:c>
      <x:c r="W30" s="23" t="str">
        <x:f>IF(OR(Z30="Ready",Z30="Grid fallback"),(IF(M30&gt;0,M30*IFERROR(IF(INDEX('Factors'!$G$9:$G$108,MATCH(N30,'Factors'!$C$9:$C$108,0))="","",INDEX('Factors'!$G$9:$G$108,MATCH(N30,'Factors'!$C$9:$C$108,0))),""),0)+(J30-M30)*IF(M30=J30,0,IF(Q30="No",IFERROR(IF(INDEX('Factors'!$G$9:$G$108,MATCH(K30,'Factors'!$C$9:$C$108,0))="","",INDEX('Factors'!$G$9:$G$108,MATCH(K30,'Factors'!$C$9:$C$108,0))),""),IFERROR(IF(INDEX('Factors'!$G$9:$G$108,MATCH(R30,'Factors'!$C$9:$C$108,0))="","",INDEX('Factors'!$G$9:$G$108,MATCH(R30,'Factors'!$C$9:$C$108,0))),""))))/1000,"")</x:f>
      </x:c>
      <x:c r="X30" s="9" t="str">
        <x:f>IF(C30="","",IF(AND($D$6&lt;&gt;"Operational control",$D$6&lt;&gt;"Financial control"),"Control basis required",IF(F30="No","Outside control",IF(F30&lt;&gt;"Yes","Control review",IF(COUNTIFS($C$9:$C$108,C30)&lt;&gt;1,"Duplicate operation ID",IF(OR(S30="",NOT(ISNUMBER(T30)),T30&lt;'Settings'!$F$8,NOT(ISNUMBER(G30)),G30&lt;&gt;YEAR('Settings'!$F$8)),"Evidence / period review",IF(OR(NOT(ISNUMBER(H30)),H30&lt;0,AA30&lt;&gt;"Yes",NOT(ISNUMBER(AB30)),AB30&lt;0,AC30=""),"Activity required",IF(AND(IFERROR(IF(INDEX('Factors'!$P$9:$P$108,MATCH(I30,'Factors'!$C$9:$C$108,0))="","",INDEX('Factors'!$P$9:$P$108,MATCH(I30,'Factors'!$C$9:$C$108,0))),"")="Ready",IFERROR(IF(INDEX('Factors'!$F$9:$F$108,MATCH(I30,'Factors'!$C$9:$C$108,0))="","",INDEX('Factors'!$F$9:$F$108,MATCH(I30,'Factors'!$C$9:$C$108,0))),"")="litre",IFERROR(IF(INDEX('Factors'!$H$9:$H$108,MATCH(I30,'Factors'!$C$9:$C$108,0))="","",INDEX('Factors'!$H$9:$H$108,MATCH(I30,'Factors'!$C$9:$C$108,0))),"")="S1",IFERROR(IF(INDEX('Factors'!$I$9:$I$108,MATCH(I30,'Factors'!$C$9:$C$108,0))="","",INDEX('Factors'!$I$9:$I$108,MATCH(I30,'Factors'!$C$9:$C$108,0))),"")="Combustion",IFERROR(IF(INDEX('Factors'!$J$9:$J$108,MATCH(I30,'Factors'!$C$9:$C$108,0))="","",INDEX('Factors'!$J$9:$J$108,MATCH(I30,'Factors'!$C$9:$C$108,0))),"")=G30,OR(IFERROR(IF(INDEX('Factors'!$E$9:$E$108,MATCH(I30,'Factors'!$C$9:$C$108,0))="","",INDEX('Factors'!$E$9:$E$108,MATCH(I30,'Factors'!$C$9:$C$108,0))),"")="Global",IFERROR(IF(INDEX('Factors'!$E$9:$E$108,MATCH(I30,'Factors'!$C$9:$C$108,0))="","",INDEX('Factors'!$E$9:$E$108,MATCH(I30,'Factors'!$C$9:$C$108,0))),"")=D30)),"Ready","Factor / unit review"))))))))</x:f>
      </x:c>
      <x:c r="Y30" s="9" t="str">
        <x:f>IF(C30="","",IF(AND($D$6&lt;&gt;"Operational control",$D$6&lt;&gt;"Financial control"),"Control basis required",IF(F30="No","Outside control",IF(F30&lt;&gt;"Yes","Control review",IF(COUNTIFS($C$9:$C$108,C30)&lt;&gt;1,"Duplicate operation ID",IF(OR(S30="",NOT(ISNUMBER(T30)),T30&lt;'Settings'!$F$8,NOT(ISNUMBER(G30)),G30&lt;&gt;YEAR('Settings'!$F$8)),"Evidence / period review",IF(OR(NOT(ISNUMBER(J30)),J30&lt;0),"Activity required",IF(AND(IFERROR(IF(INDEX('Factors'!$P$9:$P$108,MATCH(K30,'Factors'!$C$9:$C$108,0))="","",INDEX('Factors'!$P$9:$P$108,MATCH(K30,'Factors'!$C$9:$C$108,0))),"")="Ready",IFERROR(IF(INDEX('Factors'!$F$9:$F$108,MATCH(K30,'Factors'!$C$9:$C$108,0))="","",INDEX('Factors'!$F$9:$F$108,MATCH(K30,'Factors'!$C$9:$C$108,0))),"")="kWh",IFERROR(IF(INDEX('Factors'!$H$9:$H$108,MATCH(K30,'Factors'!$C$9:$C$108,0))="","",INDEX('Factors'!$H$9:$H$108,MATCH(K30,'Factors'!$C$9:$C$108,0))),"")="S2",IFERROR(IF(INDEX('Factors'!$I$9:$I$108,MATCH(K30,'Factors'!$C$9:$C$108,0))="","",INDEX('Factors'!$I$9:$I$108,MATCH(K30,'Factors'!$C$9:$C$108,0))),"")="Location-based",IFERROR(IF(INDEX('Factors'!$J$9:$J$108,MATCH(K30,'Factors'!$C$9:$C$108,0))="","",INDEX('Factors'!$J$9:$J$108,MATCH(K30,'Factors'!$C$9:$C$108,0))),"")=G30,OR(IFERROR(IF(INDEX('Factors'!$E$9:$E$108,MATCH(K30,'Factors'!$C$9:$C$108,0))="","",INDEX('Factors'!$E$9:$E$108,MATCH(K30,'Factors'!$C$9:$C$108,0))),"")="Global",IFERROR(IF(INDEX('Factors'!$E$9:$E$108,MATCH(K30,'Factors'!$C$9:$C$108,0))="","",INDEX('Factors'!$E$9:$E$108,MATCH(K30,'Factors'!$C$9:$C$108,0))),"")=D30)),"Ready","Factor / unit review"))))))))</x:f>
      </x:c>
      <x:c r="Z30" s="9" t="str">
        <x:f>IF(C30="","",IF(F30="No","Outside control",IF(F30&lt;&gt;"Yes","Control review",IF($H$6="No","Not required",IF($H$6&lt;&gt;"Yes","Applicability review",IF(Y30&lt;&gt;"Ready",Y30,IF(OR(NOT(ISNUMBER(M30)),M30&lt;0,M30&gt;J30),"Contract quantity review",IF(AND(M30&gt;0,OR(O30&lt;&gt;"Pass",P30="",NOT(AND(IFERROR(IF(INDEX('Factors'!$P$9:$P$108,MATCH(N30,'Factors'!$C$9:$C$108,0))="","",INDEX('Factors'!$P$9:$P$108,MATCH(N30,'Factors'!$C$9:$C$108,0))),"")="Ready",IFERROR(IF(INDEX('Factors'!$F$9:$F$108,MATCH(N30,'Factors'!$C$9:$C$108,0))="","",INDEX('Factors'!$F$9:$F$108,MATCH(N30,'Factors'!$C$9:$C$108,0))),"")="kWh",IFERROR(IF(INDEX('Factors'!$H$9:$H$108,MATCH(N30,'Factors'!$C$9:$C$108,0))="","",INDEX('Factors'!$H$9:$H$108,MATCH(N30,'Factors'!$C$9:$C$108,0))),"")="S2",IFERROR(IF(INDEX('Factors'!$I$9:$I$108,MATCH(N30,'Factors'!$C$9:$C$108,0))="","",INDEX('Factors'!$I$9:$I$108,MATCH(N30,'Factors'!$C$9:$C$108,0))),"")="Market-based",IFERROR(IF(INDEX('Factors'!$J$9:$J$108,MATCH(N30,'Factors'!$C$9:$C$108,0))="","",INDEX('Factors'!$J$9:$J$108,MATCH(N30,'Factors'!$C$9:$C$108,0))),"")=G30,OR(IFERROR(IF(INDEX('Factors'!$E$9:$E$108,MATCH(N30,'Factors'!$C$9:$C$108,0))="","",INDEX('Factors'!$E$9:$E$108,MATCH(N30,'Factors'!$C$9:$C$108,0))),"")="Global",IFERROR(IF(INDEX('Factors'!$E$9:$E$108,MATCH(N30,'Factors'!$C$9:$C$108,0))="","",INDEX('Factors'!$E$9:$E$108,MATCH(N30,'Factors'!$C$9:$C$108,0))),"")=D30))))),"Contract criteria review",IF(M30=J30,"Ready",IF(Q30="No","Grid fallback",IF(Q30="Yes",IF(AND(IFERROR(IF(INDEX('Factors'!$P$9:$P$108,MATCH(R30,'Factors'!$C$9:$C$108,0))="","",INDEX('Factors'!$P$9:$P$108,MATCH(R30,'Factors'!$C$9:$C$108,0))),"")="Ready",IFERROR(IF(INDEX('Factors'!$F$9:$F$108,MATCH(R30,'Factors'!$C$9:$C$108,0))="","",INDEX('Factors'!$F$9:$F$108,MATCH(R30,'Factors'!$C$9:$C$108,0))),"")="kWh",IFERROR(IF(INDEX('Factors'!$H$9:$H$108,MATCH(R30,'Factors'!$C$9:$C$108,0))="","",INDEX('Factors'!$H$9:$H$108,MATCH(R30,'Factors'!$C$9:$C$108,0))),"")="S2",IFERROR(IF(INDEX('Factors'!$I$9:$I$108,MATCH(R30,'Factors'!$C$9:$C$108,0))="","",INDEX('Factors'!$I$9:$I$108,MATCH(R30,'Factors'!$C$9:$C$108,0))),"")="Residual mix",IFERROR(IF(INDEX('Factors'!$J$9:$J$108,MATCH(R30,'Factors'!$C$9:$C$108,0))="","",INDEX('Factors'!$J$9:$J$108,MATCH(R30,'Factors'!$C$9:$C$108,0))),"")=G30,OR(IFERROR(IF(INDEX('Factors'!$E$9:$E$108,MATCH(R30,'Factors'!$C$9:$C$108,0))="","",INDEX('Factors'!$E$9:$E$108,MATCH(R30,'Factors'!$C$9:$C$108,0))),"")="Global",IFERROR(IF(INDEX('Factors'!$E$9:$E$108,MATCH(R30,'Factors'!$C$9:$C$108,0))="","",INDEX('Factors'!$E$9:$E$108,MATCH(R30,'Factors'!$C$9:$C$108,0))),"")=D30)),"Ready","Residual factor review"),"Residual availability review")))))))))))</x:f>
      </x:c>
      <x:c r="AA30" s="8"/>
      <x:c r="AB30" s="16"/>
      <x:c r="AC30" s="8"/>
    </x:row>
    <x:row r="31" ht="36" customHeight="1">
      <x:c r="A31" s="1"/>
      <x:c r="B31" s="1"/>
      <x:c r="C31" s="8"/>
      <x:c r="D31" s="8"/>
      <x:c r="E31" s="8"/>
      <x:c r="F31" s="8"/>
      <x:c r="G31" s="22"/>
      <x:c r="H31" s="16"/>
      <x:c r="I31" s="8"/>
      <x:c r="J31" s="16"/>
      <x:c r="K31" s="8"/>
      <x:c r="L31" s="8"/>
      <x:c r="M31" s="16"/>
      <x:c r="N31" s="8"/>
      <x:c r="O31" s="8"/>
      <x:c r="P31" s="8"/>
      <x:c r="Q31" s="8"/>
      <x:c r="R31" s="8"/>
      <x:c r="S31" s="8"/>
      <x:c r="T31" s="40"/>
      <x:c r="U31" s="23" t="str">
        <x:f>IF(X31="Ready",H31*IFERROR(IF(INDEX('Factors'!$G$9:$G$108,MATCH(I31,'Factors'!$C$9:$C$108,0))="","",INDEX('Factors'!$G$9:$G$108,MATCH(I31,'Factors'!$C$9:$C$108,0))),"")/1000+AB31,"")</x:f>
      </x:c>
      <x:c r="V31" s="23" t="str">
        <x:f>IF(Y31="Ready",J31*IFERROR(IF(INDEX('Factors'!$G$9:$G$108,MATCH(K31,'Factors'!$C$9:$C$108,0))="","",INDEX('Factors'!$G$9:$G$108,MATCH(K31,'Factors'!$C$9:$C$108,0))),"")/1000,"")</x:f>
      </x:c>
      <x:c r="W31" s="23" t="str">
        <x:f>IF(OR(Z31="Ready",Z31="Grid fallback"),(IF(M31&gt;0,M31*IFERROR(IF(INDEX('Factors'!$G$9:$G$108,MATCH(N31,'Factors'!$C$9:$C$108,0))="","",INDEX('Factors'!$G$9:$G$108,MATCH(N31,'Factors'!$C$9:$C$108,0))),""),0)+(J31-M31)*IF(M31=J31,0,IF(Q31="No",IFERROR(IF(INDEX('Factors'!$G$9:$G$108,MATCH(K31,'Factors'!$C$9:$C$108,0))="","",INDEX('Factors'!$G$9:$G$108,MATCH(K31,'Factors'!$C$9:$C$108,0))),""),IFERROR(IF(INDEX('Factors'!$G$9:$G$108,MATCH(R31,'Factors'!$C$9:$C$108,0))="","",INDEX('Factors'!$G$9:$G$108,MATCH(R31,'Factors'!$C$9:$C$108,0))),""))))/1000,"")</x:f>
      </x:c>
      <x:c r="X31" s="9" t="str">
        <x:f>IF(C31="","",IF(AND($D$6&lt;&gt;"Operational control",$D$6&lt;&gt;"Financial control"),"Control basis required",IF(F31="No","Outside control",IF(F31&lt;&gt;"Yes","Control review",IF(COUNTIFS($C$9:$C$108,C31)&lt;&gt;1,"Duplicate operation ID",IF(OR(S31="",NOT(ISNUMBER(T31)),T31&lt;'Settings'!$F$8,NOT(ISNUMBER(G31)),G31&lt;&gt;YEAR('Settings'!$F$8)),"Evidence / period review",IF(OR(NOT(ISNUMBER(H31)),H31&lt;0,AA31&lt;&gt;"Yes",NOT(ISNUMBER(AB31)),AB31&lt;0,AC31=""),"Activity required",IF(AND(IFERROR(IF(INDEX('Factors'!$P$9:$P$108,MATCH(I31,'Factors'!$C$9:$C$108,0))="","",INDEX('Factors'!$P$9:$P$108,MATCH(I31,'Factors'!$C$9:$C$108,0))),"")="Ready",IFERROR(IF(INDEX('Factors'!$F$9:$F$108,MATCH(I31,'Factors'!$C$9:$C$108,0))="","",INDEX('Factors'!$F$9:$F$108,MATCH(I31,'Factors'!$C$9:$C$108,0))),"")="litre",IFERROR(IF(INDEX('Factors'!$H$9:$H$108,MATCH(I31,'Factors'!$C$9:$C$108,0))="","",INDEX('Factors'!$H$9:$H$108,MATCH(I31,'Factors'!$C$9:$C$108,0))),"")="S1",IFERROR(IF(INDEX('Factors'!$I$9:$I$108,MATCH(I31,'Factors'!$C$9:$C$108,0))="","",INDEX('Factors'!$I$9:$I$108,MATCH(I31,'Factors'!$C$9:$C$108,0))),"")="Combustion",IFERROR(IF(INDEX('Factors'!$J$9:$J$108,MATCH(I31,'Factors'!$C$9:$C$108,0))="","",INDEX('Factors'!$J$9:$J$108,MATCH(I31,'Factors'!$C$9:$C$108,0))),"")=G31,OR(IFERROR(IF(INDEX('Factors'!$E$9:$E$108,MATCH(I31,'Factors'!$C$9:$C$108,0))="","",INDEX('Factors'!$E$9:$E$108,MATCH(I31,'Factors'!$C$9:$C$108,0))),"")="Global",IFERROR(IF(INDEX('Factors'!$E$9:$E$108,MATCH(I31,'Factors'!$C$9:$C$108,0))="","",INDEX('Factors'!$E$9:$E$108,MATCH(I31,'Factors'!$C$9:$C$108,0))),"")=D31)),"Ready","Factor / unit review"))))))))</x:f>
      </x:c>
      <x:c r="Y31" s="9" t="str">
        <x:f>IF(C31="","",IF(AND($D$6&lt;&gt;"Operational control",$D$6&lt;&gt;"Financial control"),"Control basis required",IF(F31="No","Outside control",IF(F31&lt;&gt;"Yes","Control review",IF(COUNTIFS($C$9:$C$108,C31)&lt;&gt;1,"Duplicate operation ID",IF(OR(S31="",NOT(ISNUMBER(T31)),T31&lt;'Settings'!$F$8,NOT(ISNUMBER(G31)),G31&lt;&gt;YEAR('Settings'!$F$8)),"Evidence / period review",IF(OR(NOT(ISNUMBER(J31)),J31&lt;0),"Activity required",IF(AND(IFERROR(IF(INDEX('Factors'!$P$9:$P$108,MATCH(K31,'Factors'!$C$9:$C$108,0))="","",INDEX('Factors'!$P$9:$P$108,MATCH(K31,'Factors'!$C$9:$C$108,0))),"")="Ready",IFERROR(IF(INDEX('Factors'!$F$9:$F$108,MATCH(K31,'Factors'!$C$9:$C$108,0))="","",INDEX('Factors'!$F$9:$F$108,MATCH(K31,'Factors'!$C$9:$C$108,0))),"")="kWh",IFERROR(IF(INDEX('Factors'!$H$9:$H$108,MATCH(K31,'Factors'!$C$9:$C$108,0))="","",INDEX('Factors'!$H$9:$H$108,MATCH(K31,'Factors'!$C$9:$C$108,0))),"")="S2",IFERROR(IF(INDEX('Factors'!$I$9:$I$108,MATCH(K31,'Factors'!$C$9:$C$108,0))="","",INDEX('Factors'!$I$9:$I$108,MATCH(K31,'Factors'!$C$9:$C$108,0))),"")="Location-based",IFERROR(IF(INDEX('Factors'!$J$9:$J$108,MATCH(K31,'Factors'!$C$9:$C$108,0))="","",INDEX('Factors'!$J$9:$J$108,MATCH(K31,'Factors'!$C$9:$C$108,0))),"")=G31,OR(IFERROR(IF(INDEX('Factors'!$E$9:$E$108,MATCH(K31,'Factors'!$C$9:$C$108,0))="","",INDEX('Factors'!$E$9:$E$108,MATCH(K31,'Factors'!$C$9:$C$108,0))),"")="Global",IFERROR(IF(INDEX('Factors'!$E$9:$E$108,MATCH(K31,'Factors'!$C$9:$C$108,0))="","",INDEX('Factors'!$E$9:$E$108,MATCH(K31,'Factors'!$C$9:$C$108,0))),"")=D31)),"Ready","Factor / unit review"))))))))</x:f>
      </x:c>
      <x:c r="Z31" s="9" t="str">
        <x:f>IF(C31="","",IF(F31="No","Outside control",IF(F31&lt;&gt;"Yes","Control review",IF($H$6="No","Not required",IF($H$6&lt;&gt;"Yes","Applicability review",IF(Y31&lt;&gt;"Ready",Y31,IF(OR(NOT(ISNUMBER(M31)),M31&lt;0,M31&gt;J31),"Contract quantity review",IF(AND(M31&gt;0,OR(O31&lt;&gt;"Pass",P31="",NOT(AND(IFERROR(IF(INDEX('Factors'!$P$9:$P$108,MATCH(N31,'Factors'!$C$9:$C$108,0))="","",INDEX('Factors'!$P$9:$P$108,MATCH(N31,'Factors'!$C$9:$C$108,0))),"")="Ready",IFERROR(IF(INDEX('Factors'!$F$9:$F$108,MATCH(N31,'Factors'!$C$9:$C$108,0))="","",INDEX('Factors'!$F$9:$F$108,MATCH(N31,'Factors'!$C$9:$C$108,0))),"")="kWh",IFERROR(IF(INDEX('Factors'!$H$9:$H$108,MATCH(N31,'Factors'!$C$9:$C$108,0))="","",INDEX('Factors'!$H$9:$H$108,MATCH(N31,'Factors'!$C$9:$C$108,0))),"")="S2",IFERROR(IF(INDEX('Factors'!$I$9:$I$108,MATCH(N31,'Factors'!$C$9:$C$108,0))="","",INDEX('Factors'!$I$9:$I$108,MATCH(N31,'Factors'!$C$9:$C$108,0))),"")="Market-based",IFERROR(IF(INDEX('Factors'!$J$9:$J$108,MATCH(N31,'Factors'!$C$9:$C$108,0))="","",INDEX('Factors'!$J$9:$J$108,MATCH(N31,'Factors'!$C$9:$C$108,0))),"")=G31,OR(IFERROR(IF(INDEX('Factors'!$E$9:$E$108,MATCH(N31,'Factors'!$C$9:$C$108,0))="","",INDEX('Factors'!$E$9:$E$108,MATCH(N31,'Factors'!$C$9:$C$108,0))),"")="Global",IFERROR(IF(INDEX('Factors'!$E$9:$E$108,MATCH(N31,'Factors'!$C$9:$C$108,0))="","",INDEX('Factors'!$E$9:$E$108,MATCH(N31,'Factors'!$C$9:$C$108,0))),"")=D31))))),"Contract criteria review",IF(M31=J31,"Ready",IF(Q31="No","Grid fallback",IF(Q31="Yes",IF(AND(IFERROR(IF(INDEX('Factors'!$P$9:$P$108,MATCH(R31,'Factors'!$C$9:$C$108,0))="","",INDEX('Factors'!$P$9:$P$108,MATCH(R31,'Factors'!$C$9:$C$108,0))),"")="Ready",IFERROR(IF(INDEX('Factors'!$F$9:$F$108,MATCH(R31,'Factors'!$C$9:$C$108,0))="","",INDEX('Factors'!$F$9:$F$108,MATCH(R31,'Factors'!$C$9:$C$108,0))),"")="kWh",IFERROR(IF(INDEX('Factors'!$H$9:$H$108,MATCH(R31,'Factors'!$C$9:$C$108,0))="","",INDEX('Factors'!$H$9:$H$108,MATCH(R31,'Factors'!$C$9:$C$108,0))),"")="S2",IFERROR(IF(INDEX('Factors'!$I$9:$I$108,MATCH(R31,'Factors'!$C$9:$C$108,0))="","",INDEX('Factors'!$I$9:$I$108,MATCH(R31,'Factors'!$C$9:$C$108,0))),"")="Residual mix",IFERROR(IF(INDEX('Factors'!$J$9:$J$108,MATCH(R31,'Factors'!$C$9:$C$108,0))="","",INDEX('Factors'!$J$9:$J$108,MATCH(R31,'Factors'!$C$9:$C$108,0))),"")=G31,OR(IFERROR(IF(INDEX('Factors'!$E$9:$E$108,MATCH(R31,'Factors'!$C$9:$C$108,0))="","",INDEX('Factors'!$E$9:$E$108,MATCH(R31,'Factors'!$C$9:$C$108,0))),"")="Global",IFERROR(IF(INDEX('Factors'!$E$9:$E$108,MATCH(R31,'Factors'!$C$9:$C$108,0))="","",INDEX('Factors'!$E$9:$E$108,MATCH(R31,'Factors'!$C$9:$C$108,0))),"")=D31)),"Ready","Residual factor review"),"Residual availability review")))))))))))</x:f>
      </x:c>
      <x:c r="AA31" s="8"/>
      <x:c r="AB31" s="16"/>
      <x:c r="AC31" s="8"/>
    </x:row>
    <x:row r="32" ht="36" customHeight="1">
      <x:c r="A32" s="1"/>
      <x:c r="B32" s="1"/>
      <x:c r="C32" s="8"/>
      <x:c r="D32" s="8"/>
      <x:c r="E32" s="8"/>
      <x:c r="F32" s="8"/>
      <x:c r="G32" s="22"/>
      <x:c r="H32" s="16"/>
      <x:c r="I32" s="8"/>
      <x:c r="J32" s="16"/>
      <x:c r="K32" s="8"/>
      <x:c r="L32" s="8"/>
      <x:c r="M32" s="16"/>
      <x:c r="N32" s="8"/>
      <x:c r="O32" s="8"/>
      <x:c r="P32" s="8"/>
      <x:c r="Q32" s="8"/>
      <x:c r="R32" s="8"/>
      <x:c r="S32" s="8"/>
      <x:c r="T32" s="40"/>
      <x:c r="U32" s="23" t="str">
        <x:f>IF(X32="Ready",H32*IFERROR(IF(INDEX('Factors'!$G$9:$G$108,MATCH(I32,'Factors'!$C$9:$C$108,0))="","",INDEX('Factors'!$G$9:$G$108,MATCH(I32,'Factors'!$C$9:$C$108,0))),"")/1000+AB32,"")</x:f>
      </x:c>
      <x:c r="V32" s="23" t="str">
        <x:f>IF(Y32="Ready",J32*IFERROR(IF(INDEX('Factors'!$G$9:$G$108,MATCH(K32,'Factors'!$C$9:$C$108,0))="","",INDEX('Factors'!$G$9:$G$108,MATCH(K32,'Factors'!$C$9:$C$108,0))),"")/1000,"")</x:f>
      </x:c>
      <x:c r="W32" s="23" t="str">
        <x:f>IF(OR(Z32="Ready",Z32="Grid fallback"),(IF(M32&gt;0,M32*IFERROR(IF(INDEX('Factors'!$G$9:$G$108,MATCH(N32,'Factors'!$C$9:$C$108,0))="","",INDEX('Factors'!$G$9:$G$108,MATCH(N32,'Factors'!$C$9:$C$108,0))),""),0)+(J32-M32)*IF(M32=J32,0,IF(Q32="No",IFERROR(IF(INDEX('Factors'!$G$9:$G$108,MATCH(K32,'Factors'!$C$9:$C$108,0))="","",INDEX('Factors'!$G$9:$G$108,MATCH(K32,'Factors'!$C$9:$C$108,0))),""),IFERROR(IF(INDEX('Factors'!$G$9:$G$108,MATCH(R32,'Factors'!$C$9:$C$108,0))="","",INDEX('Factors'!$G$9:$G$108,MATCH(R32,'Factors'!$C$9:$C$108,0))),""))))/1000,"")</x:f>
      </x:c>
      <x:c r="X32" s="9" t="str">
        <x:f>IF(C32="","",IF(AND($D$6&lt;&gt;"Operational control",$D$6&lt;&gt;"Financial control"),"Control basis required",IF(F32="No","Outside control",IF(F32&lt;&gt;"Yes","Control review",IF(COUNTIFS($C$9:$C$108,C32)&lt;&gt;1,"Duplicate operation ID",IF(OR(S32="",NOT(ISNUMBER(T32)),T32&lt;'Settings'!$F$8,NOT(ISNUMBER(G32)),G32&lt;&gt;YEAR('Settings'!$F$8)),"Evidence / period review",IF(OR(NOT(ISNUMBER(H32)),H32&lt;0,AA32&lt;&gt;"Yes",NOT(ISNUMBER(AB32)),AB32&lt;0,AC32=""),"Activity required",IF(AND(IFERROR(IF(INDEX('Factors'!$P$9:$P$108,MATCH(I32,'Factors'!$C$9:$C$108,0))="","",INDEX('Factors'!$P$9:$P$108,MATCH(I32,'Factors'!$C$9:$C$108,0))),"")="Ready",IFERROR(IF(INDEX('Factors'!$F$9:$F$108,MATCH(I32,'Factors'!$C$9:$C$108,0))="","",INDEX('Factors'!$F$9:$F$108,MATCH(I32,'Factors'!$C$9:$C$108,0))),"")="litre",IFERROR(IF(INDEX('Factors'!$H$9:$H$108,MATCH(I32,'Factors'!$C$9:$C$108,0))="","",INDEX('Factors'!$H$9:$H$108,MATCH(I32,'Factors'!$C$9:$C$108,0))),"")="S1",IFERROR(IF(INDEX('Factors'!$I$9:$I$108,MATCH(I32,'Factors'!$C$9:$C$108,0))="","",INDEX('Factors'!$I$9:$I$108,MATCH(I32,'Factors'!$C$9:$C$108,0))),"")="Combustion",IFERROR(IF(INDEX('Factors'!$J$9:$J$108,MATCH(I32,'Factors'!$C$9:$C$108,0))="","",INDEX('Factors'!$J$9:$J$108,MATCH(I32,'Factors'!$C$9:$C$108,0))),"")=G32,OR(IFERROR(IF(INDEX('Factors'!$E$9:$E$108,MATCH(I32,'Factors'!$C$9:$C$108,0))="","",INDEX('Factors'!$E$9:$E$108,MATCH(I32,'Factors'!$C$9:$C$108,0))),"")="Global",IFERROR(IF(INDEX('Factors'!$E$9:$E$108,MATCH(I32,'Factors'!$C$9:$C$108,0))="","",INDEX('Factors'!$E$9:$E$108,MATCH(I32,'Factors'!$C$9:$C$108,0))),"")=D32)),"Ready","Factor / unit review"))))))))</x:f>
      </x:c>
      <x:c r="Y32" s="9" t="str">
        <x:f>IF(C32="","",IF(AND($D$6&lt;&gt;"Operational control",$D$6&lt;&gt;"Financial control"),"Control basis required",IF(F32="No","Outside control",IF(F32&lt;&gt;"Yes","Control review",IF(COUNTIFS($C$9:$C$108,C32)&lt;&gt;1,"Duplicate operation ID",IF(OR(S32="",NOT(ISNUMBER(T32)),T32&lt;'Settings'!$F$8,NOT(ISNUMBER(G32)),G32&lt;&gt;YEAR('Settings'!$F$8)),"Evidence / period review",IF(OR(NOT(ISNUMBER(J32)),J32&lt;0),"Activity required",IF(AND(IFERROR(IF(INDEX('Factors'!$P$9:$P$108,MATCH(K32,'Factors'!$C$9:$C$108,0))="","",INDEX('Factors'!$P$9:$P$108,MATCH(K32,'Factors'!$C$9:$C$108,0))),"")="Ready",IFERROR(IF(INDEX('Factors'!$F$9:$F$108,MATCH(K32,'Factors'!$C$9:$C$108,0))="","",INDEX('Factors'!$F$9:$F$108,MATCH(K32,'Factors'!$C$9:$C$108,0))),"")="kWh",IFERROR(IF(INDEX('Factors'!$H$9:$H$108,MATCH(K32,'Factors'!$C$9:$C$108,0))="","",INDEX('Factors'!$H$9:$H$108,MATCH(K32,'Factors'!$C$9:$C$108,0))),"")="S2",IFERROR(IF(INDEX('Factors'!$I$9:$I$108,MATCH(K32,'Factors'!$C$9:$C$108,0))="","",INDEX('Factors'!$I$9:$I$108,MATCH(K32,'Factors'!$C$9:$C$108,0))),"")="Location-based",IFERROR(IF(INDEX('Factors'!$J$9:$J$108,MATCH(K32,'Factors'!$C$9:$C$108,0))="","",INDEX('Factors'!$J$9:$J$108,MATCH(K32,'Factors'!$C$9:$C$108,0))),"")=G32,OR(IFERROR(IF(INDEX('Factors'!$E$9:$E$108,MATCH(K32,'Factors'!$C$9:$C$108,0))="","",INDEX('Factors'!$E$9:$E$108,MATCH(K32,'Factors'!$C$9:$C$108,0))),"")="Global",IFERROR(IF(INDEX('Factors'!$E$9:$E$108,MATCH(K32,'Factors'!$C$9:$C$108,0))="","",INDEX('Factors'!$E$9:$E$108,MATCH(K32,'Factors'!$C$9:$C$108,0))),"")=D32)),"Ready","Factor / unit review"))))))))</x:f>
      </x:c>
      <x:c r="Z32" s="9" t="str">
        <x:f>IF(C32="","",IF(F32="No","Outside control",IF(F32&lt;&gt;"Yes","Control review",IF($H$6="No","Not required",IF($H$6&lt;&gt;"Yes","Applicability review",IF(Y32&lt;&gt;"Ready",Y32,IF(OR(NOT(ISNUMBER(M32)),M32&lt;0,M32&gt;J32),"Contract quantity review",IF(AND(M32&gt;0,OR(O32&lt;&gt;"Pass",P32="",NOT(AND(IFERROR(IF(INDEX('Factors'!$P$9:$P$108,MATCH(N32,'Factors'!$C$9:$C$108,0))="","",INDEX('Factors'!$P$9:$P$108,MATCH(N32,'Factors'!$C$9:$C$108,0))),"")="Ready",IFERROR(IF(INDEX('Factors'!$F$9:$F$108,MATCH(N32,'Factors'!$C$9:$C$108,0))="","",INDEX('Factors'!$F$9:$F$108,MATCH(N32,'Factors'!$C$9:$C$108,0))),"")="kWh",IFERROR(IF(INDEX('Factors'!$H$9:$H$108,MATCH(N32,'Factors'!$C$9:$C$108,0))="","",INDEX('Factors'!$H$9:$H$108,MATCH(N32,'Factors'!$C$9:$C$108,0))),"")="S2",IFERROR(IF(INDEX('Factors'!$I$9:$I$108,MATCH(N32,'Factors'!$C$9:$C$108,0))="","",INDEX('Factors'!$I$9:$I$108,MATCH(N32,'Factors'!$C$9:$C$108,0))),"")="Market-based",IFERROR(IF(INDEX('Factors'!$J$9:$J$108,MATCH(N32,'Factors'!$C$9:$C$108,0))="","",INDEX('Factors'!$J$9:$J$108,MATCH(N32,'Factors'!$C$9:$C$108,0))),"")=G32,OR(IFERROR(IF(INDEX('Factors'!$E$9:$E$108,MATCH(N32,'Factors'!$C$9:$C$108,0))="","",INDEX('Factors'!$E$9:$E$108,MATCH(N32,'Factors'!$C$9:$C$108,0))),"")="Global",IFERROR(IF(INDEX('Factors'!$E$9:$E$108,MATCH(N32,'Factors'!$C$9:$C$108,0))="","",INDEX('Factors'!$E$9:$E$108,MATCH(N32,'Factors'!$C$9:$C$108,0))),"")=D32))))),"Contract criteria review",IF(M32=J32,"Ready",IF(Q32="No","Grid fallback",IF(Q32="Yes",IF(AND(IFERROR(IF(INDEX('Factors'!$P$9:$P$108,MATCH(R32,'Factors'!$C$9:$C$108,0))="","",INDEX('Factors'!$P$9:$P$108,MATCH(R32,'Factors'!$C$9:$C$108,0))),"")="Ready",IFERROR(IF(INDEX('Factors'!$F$9:$F$108,MATCH(R32,'Factors'!$C$9:$C$108,0))="","",INDEX('Factors'!$F$9:$F$108,MATCH(R32,'Factors'!$C$9:$C$108,0))),"")="kWh",IFERROR(IF(INDEX('Factors'!$H$9:$H$108,MATCH(R32,'Factors'!$C$9:$C$108,0))="","",INDEX('Factors'!$H$9:$H$108,MATCH(R32,'Factors'!$C$9:$C$108,0))),"")="S2",IFERROR(IF(INDEX('Factors'!$I$9:$I$108,MATCH(R32,'Factors'!$C$9:$C$108,0))="","",INDEX('Factors'!$I$9:$I$108,MATCH(R32,'Factors'!$C$9:$C$108,0))),"")="Residual mix",IFERROR(IF(INDEX('Factors'!$J$9:$J$108,MATCH(R32,'Factors'!$C$9:$C$108,0))="","",INDEX('Factors'!$J$9:$J$108,MATCH(R32,'Factors'!$C$9:$C$108,0))),"")=G32,OR(IFERROR(IF(INDEX('Factors'!$E$9:$E$108,MATCH(R32,'Factors'!$C$9:$C$108,0))="","",INDEX('Factors'!$E$9:$E$108,MATCH(R32,'Factors'!$C$9:$C$108,0))),"")="Global",IFERROR(IF(INDEX('Factors'!$E$9:$E$108,MATCH(R32,'Factors'!$C$9:$C$108,0))="","",INDEX('Factors'!$E$9:$E$108,MATCH(R32,'Factors'!$C$9:$C$108,0))),"")=D32)),"Ready","Residual factor review"),"Residual availability review")))))))))))</x:f>
      </x:c>
      <x:c r="AA32" s="8"/>
      <x:c r="AB32" s="16"/>
      <x:c r="AC32" s="8"/>
    </x:row>
    <x:row r="33" ht="36" customHeight="1">
      <x:c r="A33" s="1"/>
      <x:c r="B33" s="1"/>
      <x:c r="C33" s="8"/>
      <x:c r="D33" s="8"/>
      <x:c r="E33" s="8"/>
      <x:c r="F33" s="8"/>
      <x:c r="G33" s="22"/>
      <x:c r="H33" s="16"/>
      <x:c r="I33" s="8"/>
      <x:c r="J33" s="16"/>
      <x:c r="K33" s="8"/>
      <x:c r="L33" s="8"/>
      <x:c r="M33" s="16"/>
      <x:c r="N33" s="8"/>
      <x:c r="O33" s="8"/>
      <x:c r="P33" s="8"/>
      <x:c r="Q33" s="8"/>
      <x:c r="R33" s="8"/>
      <x:c r="S33" s="8"/>
      <x:c r="T33" s="40"/>
      <x:c r="U33" s="23" t="str">
        <x:f>IF(X33="Ready",H33*IFERROR(IF(INDEX('Factors'!$G$9:$G$108,MATCH(I33,'Factors'!$C$9:$C$108,0))="","",INDEX('Factors'!$G$9:$G$108,MATCH(I33,'Factors'!$C$9:$C$108,0))),"")/1000+AB33,"")</x:f>
      </x:c>
      <x:c r="V33" s="23" t="str">
        <x:f>IF(Y33="Ready",J33*IFERROR(IF(INDEX('Factors'!$G$9:$G$108,MATCH(K33,'Factors'!$C$9:$C$108,0))="","",INDEX('Factors'!$G$9:$G$108,MATCH(K33,'Factors'!$C$9:$C$108,0))),"")/1000,"")</x:f>
      </x:c>
      <x:c r="W33" s="23" t="str">
        <x:f>IF(OR(Z33="Ready",Z33="Grid fallback"),(IF(M33&gt;0,M33*IFERROR(IF(INDEX('Factors'!$G$9:$G$108,MATCH(N33,'Factors'!$C$9:$C$108,0))="","",INDEX('Factors'!$G$9:$G$108,MATCH(N33,'Factors'!$C$9:$C$108,0))),""),0)+(J33-M33)*IF(M33=J33,0,IF(Q33="No",IFERROR(IF(INDEX('Factors'!$G$9:$G$108,MATCH(K33,'Factors'!$C$9:$C$108,0))="","",INDEX('Factors'!$G$9:$G$108,MATCH(K33,'Factors'!$C$9:$C$108,0))),""),IFERROR(IF(INDEX('Factors'!$G$9:$G$108,MATCH(R33,'Factors'!$C$9:$C$108,0))="","",INDEX('Factors'!$G$9:$G$108,MATCH(R33,'Factors'!$C$9:$C$108,0))),""))))/1000,"")</x:f>
      </x:c>
      <x:c r="X33" s="9" t="str">
        <x:f>IF(C33="","",IF(AND($D$6&lt;&gt;"Operational control",$D$6&lt;&gt;"Financial control"),"Control basis required",IF(F33="No","Outside control",IF(F33&lt;&gt;"Yes","Control review",IF(COUNTIFS($C$9:$C$108,C33)&lt;&gt;1,"Duplicate operation ID",IF(OR(S33="",NOT(ISNUMBER(T33)),T33&lt;'Settings'!$F$8,NOT(ISNUMBER(G33)),G33&lt;&gt;YEAR('Settings'!$F$8)),"Evidence / period review",IF(OR(NOT(ISNUMBER(H33)),H33&lt;0,AA33&lt;&gt;"Yes",NOT(ISNUMBER(AB33)),AB33&lt;0,AC33=""),"Activity required",IF(AND(IFERROR(IF(INDEX('Factors'!$P$9:$P$108,MATCH(I33,'Factors'!$C$9:$C$108,0))="","",INDEX('Factors'!$P$9:$P$108,MATCH(I33,'Factors'!$C$9:$C$108,0))),"")="Ready",IFERROR(IF(INDEX('Factors'!$F$9:$F$108,MATCH(I33,'Factors'!$C$9:$C$108,0))="","",INDEX('Factors'!$F$9:$F$108,MATCH(I33,'Factors'!$C$9:$C$108,0))),"")="litre",IFERROR(IF(INDEX('Factors'!$H$9:$H$108,MATCH(I33,'Factors'!$C$9:$C$108,0))="","",INDEX('Factors'!$H$9:$H$108,MATCH(I33,'Factors'!$C$9:$C$108,0))),"")="S1",IFERROR(IF(INDEX('Factors'!$I$9:$I$108,MATCH(I33,'Factors'!$C$9:$C$108,0))="","",INDEX('Factors'!$I$9:$I$108,MATCH(I33,'Factors'!$C$9:$C$108,0))),"")="Combustion",IFERROR(IF(INDEX('Factors'!$J$9:$J$108,MATCH(I33,'Factors'!$C$9:$C$108,0))="","",INDEX('Factors'!$J$9:$J$108,MATCH(I33,'Factors'!$C$9:$C$108,0))),"")=G33,OR(IFERROR(IF(INDEX('Factors'!$E$9:$E$108,MATCH(I33,'Factors'!$C$9:$C$108,0))="","",INDEX('Factors'!$E$9:$E$108,MATCH(I33,'Factors'!$C$9:$C$108,0))),"")="Global",IFERROR(IF(INDEX('Factors'!$E$9:$E$108,MATCH(I33,'Factors'!$C$9:$C$108,0))="","",INDEX('Factors'!$E$9:$E$108,MATCH(I33,'Factors'!$C$9:$C$108,0))),"")=D33)),"Ready","Factor / unit review"))))))))</x:f>
      </x:c>
      <x:c r="Y33" s="9" t="str">
        <x:f>IF(C33="","",IF(AND($D$6&lt;&gt;"Operational control",$D$6&lt;&gt;"Financial control"),"Control basis required",IF(F33="No","Outside control",IF(F33&lt;&gt;"Yes","Control review",IF(COUNTIFS($C$9:$C$108,C33)&lt;&gt;1,"Duplicate operation ID",IF(OR(S33="",NOT(ISNUMBER(T33)),T33&lt;'Settings'!$F$8,NOT(ISNUMBER(G33)),G33&lt;&gt;YEAR('Settings'!$F$8)),"Evidence / period review",IF(OR(NOT(ISNUMBER(J33)),J33&lt;0),"Activity required",IF(AND(IFERROR(IF(INDEX('Factors'!$P$9:$P$108,MATCH(K33,'Factors'!$C$9:$C$108,0))="","",INDEX('Factors'!$P$9:$P$108,MATCH(K33,'Factors'!$C$9:$C$108,0))),"")="Ready",IFERROR(IF(INDEX('Factors'!$F$9:$F$108,MATCH(K33,'Factors'!$C$9:$C$108,0))="","",INDEX('Factors'!$F$9:$F$108,MATCH(K33,'Factors'!$C$9:$C$108,0))),"")="kWh",IFERROR(IF(INDEX('Factors'!$H$9:$H$108,MATCH(K33,'Factors'!$C$9:$C$108,0))="","",INDEX('Factors'!$H$9:$H$108,MATCH(K33,'Factors'!$C$9:$C$108,0))),"")="S2",IFERROR(IF(INDEX('Factors'!$I$9:$I$108,MATCH(K33,'Factors'!$C$9:$C$108,0))="","",INDEX('Factors'!$I$9:$I$108,MATCH(K33,'Factors'!$C$9:$C$108,0))),"")="Location-based",IFERROR(IF(INDEX('Factors'!$J$9:$J$108,MATCH(K33,'Factors'!$C$9:$C$108,0))="","",INDEX('Factors'!$J$9:$J$108,MATCH(K33,'Factors'!$C$9:$C$108,0))),"")=G33,OR(IFERROR(IF(INDEX('Factors'!$E$9:$E$108,MATCH(K33,'Factors'!$C$9:$C$108,0))="","",INDEX('Factors'!$E$9:$E$108,MATCH(K33,'Factors'!$C$9:$C$108,0))),"")="Global",IFERROR(IF(INDEX('Factors'!$E$9:$E$108,MATCH(K33,'Factors'!$C$9:$C$108,0))="","",INDEX('Factors'!$E$9:$E$108,MATCH(K33,'Factors'!$C$9:$C$108,0))),"")=D33)),"Ready","Factor / unit review"))))))))</x:f>
      </x:c>
      <x:c r="Z33" s="9" t="str">
        <x:f>IF(C33="","",IF(F33="No","Outside control",IF(F33&lt;&gt;"Yes","Control review",IF($H$6="No","Not required",IF($H$6&lt;&gt;"Yes","Applicability review",IF(Y33&lt;&gt;"Ready",Y33,IF(OR(NOT(ISNUMBER(M33)),M33&lt;0,M33&gt;J33),"Contract quantity review",IF(AND(M33&gt;0,OR(O33&lt;&gt;"Pass",P33="",NOT(AND(IFERROR(IF(INDEX('Factors'!$P$9:$P$108,MATCH(N33,'Factors'!$C$9:$C$108,0))="","",INDEX('Factors'!$P$9:$P$108,MATCH(N33,'Factors'!$C$9:$C$108,0))),"")="Ready",IFERROR(IF(INDEX('Factors'!$F$9:$F$108,MATCH(N33,'Factors'!$C$9:$C$108,0))="","",INDEX('Factors'!$F$9:$F$108,MATCH(N33,'Factors'!$C$9:$C$108,0))),"")="kWh",IFERROR(IF(INDEX('Factors'!$H$9:$H$108,MATCH(N33,'Factors'!$C$9:$C$108,0))="","",INDEX('Factors'!$H$9:$H$108,MATCH(N33,'Factors'!$C$9:$C$108,0))),"")="S2",IFERROR(IF(INDEX('Factors'!$I$9:$I$108,MATCH(N33,'Factors'!$C$9:$C$108,0))="","",INDEX('Factors'!$I$9:$I$108,MATCH(N33,'Factors'!$C$9:$C$108,0))),"")="Market-based",IFERROR(IF(INDEX('Factors'!$J$9:$J$108,MATCH(N33,'Factors'!$C$9:$C$108,0))="","",INDEX('Factors'!$J$9:$J$108,MATCH(N33,'Factors'!$C$9:$C$108,0))),"")=G33,OR(IFERROR(IF(INDEX('Factors'!$E$9:$E$108,MATCH(N33,'Factors'!$C$9:$C$108,0))="","",INDEX('Factors'!$E$9:$E$108,MATCH(N33,'Factors'!$C$9:$C$108,0))),"")="Global",IFERROR(IF(INDEX('Factors'!$E$9:$E$108,MATCH(N33,'Factors'!$C$9:$C$108,0))="","",INDEX('Factors'!$E$9:$E$108,MATCH(N33,'Factors'!$C$9:$C$108,0))),"")=D33))))),"Contract criteria review",IF(M33=J33,"Ready",IF(Q33="No","Grid fallback",IF(Q33="Yes",IF(AND(IFERROR(IF(INDEX('Factors'!$P$9:$P$108,MATCH(R33,'Factors'!$C$9:$C$108,0))="","",INDEX('Factors'!$P$9:$P$108,MATCH(R33,'Factors'!$C$9:$C$108,0))),"")="Ready",IFERROR(IF(INDEX('Factors'!$F$9:$F$108,MATCH(R33,'Factors'!$C$9:$C$108,0))="","",INDEX('Factors'!$F$9:$F$108,MATCH(R33,'Factors'!$C$9:$C$108,0))),"")="kWh",IFERROR(IF(INDEX('Factors'!$H$9:$H$108,MATCH(R33,'Factors'!$C$9:$C$108,0))="","",INDEX('Factors'!$H$9:$H$108,MATCH(R33,'Factors'!$C$9:$C$108,0))),"")="S2",IFERROR(IF(INDEX('Factors'!$I$9:$I$108,MATCH(R33,'Factors'!$C$9:$C$108,0))="","",INDEX('Factors'!$I$9:$I$108,MATCH(R33,'Factors'!$C$9:$C$108,0))),"")="Residual mix",IFERROR(IF(INDEX('Factors'!$J$9:$J$108,MATCH(R33,'Factors'!$C$9:$C$108,0))="","",INDEX('Factors'!$J$9:$J$108,MATCH(R33,'Factors'!$C$9:$C$108,0))),"")=G33,OR(IFERROR(IF(INDEX('Factors'!$E$9:$E$108,MATCH(R33,'Factors'!$C$9:$C$108,0))="","",INDEX('Factors'!$E$9:$E$108,MATCH(R33,'Factors'!$C$9:$C$108,0))),"")="Global",IFERROR(IF(INDEX('Factors'!$E$9:$E$108,MATCH(R33,'Factors'!$C$9:$C$108,0))="","",INDEX('Factors'!$E$9:$E$108,MATCH(R33,'Factors'!$C$9:$C$108,0))),"")=D33)),"Ready","Residual factor review"),"Residual availability review")))))))))))</x:f>
      </x:c>
      <x:c r="AA33" s="8"/>
      <x:c r="AB33" s="16"/>
      <x:c r="AC33" s="8"/>
    </x:row>
    <x:row r="34" ht="36" customHeight="1">
      <x:c r="A34" s="1"/>
      <x:c r="B34" s="1"/>
      <x:c r="C34" s="8"/>
      <x:c r="D34" s="8"/>
      <x:c r="E34" s="8"/>
      <x:c r="F34" s="8"/>
      <x:c r="G34" s="22"/>
      <x:c r="H34" s="16"/>
      <x:c r="I34" s="8"/>
      <x:c r="J34" s="16"/>
      <x:c r="K34" s="8"/>
      <x:c r="L34" s="8"/>
      <x:c r="M34" s="16"/>
      <x:c r="N34" s="8"/>
      <x:c r="O34" s="8"/>
      <x:c r="P34" s="8"/>
      <x:c r="Q34" s="8"/>
      <x:c r="R34" s="8"/>
      <x:c r="S34" s="8"/>
      <x:c r="T34" s="40"/>
      <x:c r="U34" s="23" t="str">
        <x:f>IF(X34="Ready",H34*IFERROR(IF(INDEX('Factors'!$G$9:$G$108,MATCH(I34,'Factors'!$C$9:$C$108,0))="","",INDEX('Factors'!$G$9:$G$108,MATCH(I34,'Factors'!$C$9:$C$108,0))),"")/1000+AB34,"")</x:f>
      </x:c>
      <x:c r="V34" s="23" t="str">
        <x:f>IF(Y34="Ready",J34*IFERROR(IF(INDEX('Factors'!$G$9:$G$108,MATCH(K34,'Factors'!$C$9:$C$108,0))="","",INDEX('Factors'!$G$9:$G$108,MATCH(K34,'Factors'!$C$9:$C$108,0))),"")/1000,"")</x:f>
      </x:c>
      <x:c r="W34" s="23" t="str">
        <x:f>IF(OR(Z34="Ready",Z34="Grid fallback"),(IF(M34&gt;0,M34*IFERROR(IF(INDEX('Factors'!$G$9:$G$108,MATCH(N34,'Factors'!$C$9:$C$108,0))="","",INDEX('Factors'!$G$9:$G$108,MATCH(N34,'Factors'!$C$9:$C$108,0))),""),0)+(J34-M34)*IF(M34=J34,0,IF(Q34="No",IFERROR(IF(INDEX('Factors'!$G$9:$G$108,MATCH(K34,'Factors'!$C$9:$C$108,0))="","",INDEX('Factors'!$G$9:$G$108,MATCH(K34,'Factors'!$C$9:$C$108,0))),""),IFERROR(IF(INDEX('Factors'!$G$9:$G$108,MATCH(R34,'Factors'!$C$9:$C$108,0))="","",INDEX('Factors'!$G$9:$G$108,MATCH(R34,'Factors'!$C$9:$C$108,0))),""))))/1000,"")</x:f>
      </x:c>
      <x:c r="X34" s="9" t="str">
        <x:f>IF(C34="","",IF(AND($D$6&lt;&gt;"Operational control",$D$6&lt;&gt;"Financial control"),"Control basis required",IF(F34="No","Outside control",IF(F34&lt;&gt;"Yes","Control review",IF(COUNTIFS($C$9:$C$108,C34)&lt;&gt;1,"Duplicate operation ID",IF(OR(S34="",NOT(ISNUMBER(T34)),T34&lt;'Settings'!$F$8,NOT(ISNUMBER(G34)),G34&lt;&gt;YEAR('Settings'!$F$8)),"Evidence / period review",IF(OR(NOT(ISNUMBER(H34)),H34&lt;0,AA34&lt;&gt;"Yes",NOT(ISNUMBER(AB34)),AB34&lt;0,AC34=""),"Activity required",IF(AND(IFERROR(IF(INDEX('Factors'!$P$9:$P$108,MATCH(I34,'Factors'!$C$9:$C$108,0))="","",INDEX('Factors'!$P$9:$P$108,MATCH(I34,'Factors'!$C$9:$C$108,0))),"")="Ready",IFERROR(IF(INDEX('Factors'!$F$9:$F$108,MATCH(I34,'Factors'!$C$9:$C$108,0))="","",INDEX('Factors'!$F$9:$F$108,MATCH(I34,'Factors'!$C$9:$C$108,0))),"")="litre",IFERROR(IF(INDEX('Factors'!$H$9:$H$108,MATCH(I34,'Factors'!$C$9:$C$108,0))="","",INDEX('Factors'!$H$9:$H$108,MATCH(I34,'Factors'!$C$9:$C$108,0))),"")="S1",IFERROR(IF(INDEX('Factors'!$I$9:$I$108,MATCH(I34,'Factors'!$C$9:$C$108,0))="","",INDEX('Factors'!$I$9:$I$108,MATCH(I34,'Factors'!$C$9:$C$108,0))),"")="Combustion",IFERROR(IF(INDEX('Factors'!$J$9:$J$108,MATCH(I34,'Factors'!$C$9:$C$108,0))="","",INDEX('Factors'!$J$9:$J$108,MATCH(I34,'Factors'!$C$9:$C$108,0))),"")=G34,OR(IFERROR(IF(INDEX('Factors'!$E$9:$E$108,MATCH(I34,'Factors'!$C$9:$C$108,0))="","",INDEX('Factors'!$E$9:$E$108,MATCH(I34,'Factors'!$C$9:$C$108,0))),"")="Global",IFERROR(IF(INDEX('Factors'!$E$9:$E$108,MATCH(I34,'Factors'!$C$9:$C$108,0))="","",INDEX('Factors'!$E$9:$E$108,MATCH(I34,'Factors'!$C$9:$C$108,0))),"")=D34)),"Ready","Factor / unit review"))))))))</x:f>
      </x:c>
      <x:c r="Y34" s="9" t="str">
        <x:f>IF(C34="","",IF(AND($D$6&lt;&gt;"Operational control",$D$6&lt;&gt;"Financial control"),"Control basis required",IF(F34="No","Outside control",IF(F34&lt;&gt;"Yes","Control review",IF(COUNTIFS($C$9:$C$108,C34)&lt;&gt;1,"Duplicate operation ID",IF(OR(S34="",NOT(ISNUMBER(T34)),T34&lt;'Settings'!$F$8,NOT(ISNUMBER(G34)),G34&lt;&gt;YEAR('Settings'!$F$8)),"Evidence / period review",IF(OR(NOT(ISNUMBER(J34)),J34&lt;0),"Activity required",IF(AND(IFERROR(IF(INDEX('Factors'!$P$9:$P$108,MATCH(K34,'Factors'!$C$9:$C$108,0))="","",INDEX('Factors'!$P$9:$P$108,MATCH(K34,'Factors'!$C$9:$C$108,0))),"")="Ready",IFERROR(IF(INDEX('Factors'!$F$9:$F$108,MATCH(K34,'Factors'!$C$9:$C$108,0))="","",INDEX('Factors'!$F$9:$F$108,MATCH(K34,'Factors'!$C$9:$C$108,0))),"")="kWh",IFERROR(IF(INDEX('Factors'!$H$9:$H$108,MATCH(K34,'Factors'!$C$9:$C$108,0))="","",INDEX('Factors'!$H$9:$H$108,MATCH(K34,'Factors'!$C$9:$C$108,0))),"")="S2",IFERROR(IF(INDEX('Factors'!$I$9:$I$108,MATCH(K34,'Factors'!$C$9:$C$108,0))="","",INDEX('Factors'!$I$9:$I$108,MATCH(K34,'Factors'!$C$9:$C$108,0))),"")="Location-based",IFERROR(IF(INDEX('Factors'!$J$9:$J$108,MATCH(K34,'Factors'!$C$9:$C$108,0))="","",INDEX('Factors'!$J$9:$J$108,MATCH(K34,'Factors'!$C$9:$C$108,0))),"")=G34,OR(IFERROR(IF(INDEX('Factors'!$E$9:$E$108,MATCH(K34,'Factors'!$C$9:$C$108,0))="","",INDEX('Factors'!$E$9:$E$108,MATCH(K34,'Factors'!$C$9:$C$108,0))),"")="Global",IFERROR(IF(INDEX('Factors'!$E$9:$E$108,MATCH(K34,'Factors'!$C$9:$C$108,0))="","",INDEX('Factors'!$E$9:$E$108,MATCH(K34,'Factors'!$C$9:$C$108,0))),"")=D34)),"Ready","Factor / unit review"))))))))</x:f>
      </x:c>
      <x:c r="Z34" s="9" t="str">
        <x:f>IF(C34="","",IF(F34="No","Outside control",IF(F34&lt;&gt;"Yes","Control review",IF($H$6="No","Not required",IF($H$6&lt;&gt;"Yes","Applicability review",IF(Y34&lt;&gt;"Ready",Y34,IF(OR(NOT(ISNUMBER(M34)),M34&lt;0,M34&gt;J34),"Contract quantity review",IF(AND(M34&gt;0,OR(O34&lt;&gt;"Pass",P34="",NOT(AND(IFERROR(IF(INDEX('Factors'!$P$9:$P$108,MATCH(N34,'Factors'!$C$9:$C$108,0))="","",INDEX('Factors'!$P$9:$P$108,MATCH(N34,'Factors'!$C$9:$C$108,0))),"")="Ready",IFERROR(IF(INDEX('Factors'!$F$9:$F$108,MATCH(N34,'Factors'!$C$9:$C$108,0))="","",INDEX('Factors'!$F$9:$F$108,MATCH(N34,'Factors'!$C$9:$C$108,0))),"")="kWh",IFERROR(IF(INDEX('Factors'!$H$9:$H$108,MATCH(N34,'Factors'!$C$9:$C$108,0))="","",INDEX('Factors'!$H$9:$H$108,MATCH(N34,'Factors'!$C$9:$C$108,0))),"")="S2",IFERROR(IF(INDEX('Factors'!$I$9:$I$108,MATCH(N34,'Factors'!$C$9:$C$108,0))="","",INDEX('Factors'!$I$9:$I$108,MATCH(N34,'Factors'!$C$9:$C$108,0))),"")="Market-based",IFERROR(IF(INDEX('Factors'!$J$9:$J$108,MATCH(N34,'Factors'!$C$9:$C$108,0))="","",INDEX('Factors'!$J$9:$J$108,MATCH(N34,'Factors'!$C$9:$C$108,0))),"")=G34,OR(IFERROR(IF(INDEX('Factors'!$E$9:$E$108,MATCH(N34,'Factors'!$C$9:$C$108,0))="","",INDEX('Factors'!$E$9:$E$108,MATCH(N34,'Factors'!$C$9:$C$108,0))),"")="Global",IFERROR(IF(INDEX('Factors'!$E$9:$E$108,MATCH(N34,'Factors'!$C$9:$C$108,0))="","",INDEX('Factors'!$E$9:$E$108,MATCH(N34,'Factors'!$C$9:$C$108,0))),"")=D34))))),"Contract criteria review",IF(M34=J34,"Ready",IF(Q34="No","Grid fallback",IF(Q34="Yes",IF(AND(IFERROR(IF(INDEX('Factors'!$P$9:$P$108,MATCH(R34,'Factors'!$C$9:$C$108,0))="","",INDEX('Factors'!$P$9:$P$108,MATCH(R34,'Factors'!$C$9:$C$108,0))),"")="Ready",IFERROR(IF(INDEX('Factors'!$F$9:$F$108,MATCH(R34,'Factors'!$C$9:$C$108,0))="","",INDEX('Factors'!$F$9:$F$108,MATCH(R34,'Factors'!$C$9:$C$108,0))),"")="kWh",IFERROR(IF(INDEX('Factors'!$H$9:$H$108,MATCH(R34,'Factors'!$C$9:$C$108,0))="","",INDEX('Factors'!$H$9:$H$108,MATCH(R34,'Factors'!$C$9:$C$108,0))),"")="S2",IFERROR(IF(INDEX('Factors'!$I$9:$I$108,MATCH(R34,'Factors'!$C$9:$C$108,0))="","",INDEX('Factors'!$I$9:$I$108,MATCH(R34,'Factors'!$C$9:$C$108,0))),"")="Residual mix",IFERROR(IF(INDEX('Factors'!$J$9:$J$108,MATCH(R34,'Factors'!$C$9:$C$108,0))="","",INDEX('Factors'!$J$9:$J$108,MATCH(R34,'Factors'!$C$9:$C$108,0))),"")=G34,OR(IFERROR(IF(INDEX('Factors'!$E$9:$E$108,MATCH(R34,'Factors'!$C$9:$C$108,0))="","",INDEX('Factors'!$E$9:$E$108,MATCH(R34,'Factors'!$C$9:$C$108,0))),"")="Global",IFERROR(IF(INDEX('Factors'!$E$9:$E$108,MATCH(R34,'Factors'!$C$9:$C$108,0))="","",INDEX('Factors'!$E$9:$E$108,MATCH(R34,'Factors'!$C$9:$C$108,0))),"")=D34)),"Ready","Residual factor review"),"Residual availability review")))))))))))</x:f>
      </x:c>
      <x:c r="AA34" s="8"/>
      <x:c r="AB34" s="16"/>
      <x:c r="AC34" s="8"/>
    </x:row>
    <x:row r="35" ht="36" customHeight="1">
      <x:c r="A35" s="1"/>
      <x:c r="B35" s="1"/>
      <x:c r="C35" s="8"/>
      <x:c r="D35" s="8"/>
      <x:c r="E35" s="8"/>
      <x:c r="F35" s="8"/>
      <x:c r="G35" s="22"/>
      <x:c r="H35" s="16"/>
      <x:c r="I35" s="8"/>
      <x:c r="J35" s="16"/>
      <x:c r="K35" s="8"/>
      <x:c r="L35" s="8"/>
      <x:c r="M35" s="16"/>
      <x:c r="N35" s="8"/>
      <x:c r="O35" s="8"/>
      <x:c r="P35" s="8"/>
      <x:c r="Q35" s="8"/>
      <x:c r="R35" s="8"/>
      <x:c r="S35" s="8"/>
      <x:c r="T35" s="40"/>
      <x:c r="U35" s="23" t="str">
        <x:f>IF(X35="Ready",H35*IFERROR(IF(INDEX('Factors'!$G$9:$G$108,MATCH(I35,'Factors'!$C$9:$C$108,0))="","",INDEX('Factors'!$G$9:$G$108,MATCH(I35,'Factors'!$C$9:$C$108,0))),"")/1000+AB35,"")</x:f>
      </x:c>
      <x:c r="V35" s="23" t="str">
        <x:f>IF(Y35="Ready",J35*IFERROR(IF(INDEX('Factors'!$G$9:$G$108,MATCH(K35,'Factors'!$C$9:$C$108,0))="","",INDEX('Factors'!$G$9:$G$108,MATCH(K35,'Factors'!$C$9:$C$108,0))),"")/1000,"")</x:f>
      </x:c>
      <x:c r="W35" s="23" t="str">
        <x:f>IF(OR(Z35="Ready",Z35="Grid fallback"),(IF(M35&gt;0,M35*IFERROR(IF(INDEX('Factors'!$G$9:$G$108,MATCH(N35,'Factors'!$C$9:$C$108,0))="","",INDEX('Factors'!$G$9:$G$108,MATCH(N35,'Factors'!$C$9:$C$108,0))),""),0)+(J35-M35)*IF(M35=J35,0,IF(Q35="No",IFERROR(IF(INDEX('Factors'!$G$9:$G$108,MATCH(K35,'Factors'!$C$9:$C$108,0))="","",INDEX('Factors'!$G$9:$G$108,MATCH(K35,'Factors'!$C$9:$C$108,0))),""),IFERROR(IF(INDEX('Factors'!$G$9:$G$108,MATCH(R35,'Factors'!$C$9:$C$108,0))="","",INDEX('Factors'!$G$9:$G$108,MATCH(R35,'Factors'!$C$9:$C$108,0))),""))))/1000,"")</x:f>
      </x:c>
      <x:c r="X35" s="9" t="str">
        <x:f>IF(C35="","",IF(AND($D$6&lt;&gt;"Operational control",$D$6&lt;&gt;"Financial control"),"Control basis required",IF(F35="No","Outside control",IF(F35&lt;&gt;"Yes","Control review",IF(COUNTIFS($C$9:$C$108,C35)&lt;&gt;1,"Duplicate operation ID",IF(OR(S35="",NOT(ISNUMBER(T35)),T35&lt;'Settings'!$F$8,NOT(ISNUMBER(G35)),G35&lt;&gt;YEAR('Settings'!$F$8)),"Evidence / period review",IF(OR(NOT(ISNUMBER(H35)),H35&lt;0,AA35&lt;&gt;"Yes",NOT(ISNUMBER(AB35)),AB35&lt;0,AC35=""),"Activity required",IF(AND(IFERROR(IF(INDEX('Factors'!$P$9:$P$108,MATCH(I35,'Factors'!$C$9:$C$108,0))="","",INDEX('Factors'!$P$9:$P$108,MATCH(I35,'Factors'!$C$9:$C$108,0))),"")="Ready",IFERROR(IF(INDEX('Factors'!$F$9:$F$108,MATCH(I35,'Factors'!$C$9:$C$108,0))="","",INDEX('Factors'!$F$9:$F$108,MATCH(I35,'Factors'!$C$9:$C$108,0))),"")="litre",IFERROR(IF(INDEX('Factors'!$H$9:$H$108,MATCH(I35,'Factors'!$C$9:$C$108,0))="","",INDEX('Factors'!$H$9:$H$108,MATCH(I35,'Factors'!$C$9:$C$108,0))),"")="S1",IFERROR(IF(INDEX('Factors'!$I$9:$I$108,MATCH(I35,'Factors'!$C$9:$C$108,0))="","",INDEX('Factors'!$I$9:$I$108,MATCH(I35,'Factors'!$C$9:$C$108,0))),"")="Combustion",IFERROR(IF(INDEX('Factors'!$J$9:$J$108,MATCH(I35,'Factors'!$C$9:$C$108,0))="","",INDEX('Factors'!$J$9:$J$108,MATCH(I35,'Factors'!$C$9:$C$108,0))),"")=G35,OR(IFERROR(IF(INDEX('Factors'!$E$9:$E$108,MATCH(I35,'Factors'!$C$9:$C$108,0))="","",INDEX('Factors'!$E$9:$E$108,MATCH(I35,'Factors'!$C$9:$C$108,0))),"")="Global",IFERROR(IF(INDEX('Factors'!$E$9:$E$108,MATCH(I35,'Factors'!$C$9:$C$108,0))="","",INDEX('Factors'!$E$9:$E$108,MATCH(I35,'Factors'!$C$9:$C$108,0))),"")=D35)),"Ready","Factor / unit review"))))))))</x:f>
      </x:c>
      <x:c r="Y35" s="9" t="str">
        <x:f>IF(C35="","",IF(AND($D$6&lt;&gt;"Operational control",$D$6&lt;&gt;"Financial control"),"Control basis required",IF(F35="No","Outside control",IF(F35&lt;&gt;"Yes","Control review",IF(COUNTIFS($C$9:$C$108,C35)&lt;&gt;1,"Duplicate operation ID",IF(OR(S35="",NOT(ISNUMBER(T35)),T35&lt;'Settings'!$F$8,NOT(ISNUMBER(G35)),G35&lt;&gt;YEAR('Settings'!$F$8)),"Evidence / period review",IF(OR(NOT(ISNUMBER(J35)),J35&lt;0),"Activity required",IF(AND(IFERROR(IF(INDEX('Factors'!$P$9:$P$108,MATCH(K35,'Factors'!$C$9:$C$108,0))="","",INDEX('Factors'!$P$9:$P$108,MATCH(K35,'Factors'!$C$9:$C$108,0))),"")="Ready",IFERROR(IF(INDEX('Factors'!$F$9:$F$108,MATCH(K35,'Factors'!$C$9:$C$108,0))="","",INDEX('Factors'!$F$9:$F$108,MATCH(K35,'Factors'!$C$9:$C$108,0))),"")="kWh",IFERROR(IF(INDEX('Factors'!$H$9:$H$108,MATCH(K35,'Factors'!$C$9:$C$108,0))="","",INDEX('Factors'!$H$9:$H$108,MATCH(K35,'Factors'!$C$9:$C$108,0))),"")="S2",IFERROR(IF(INDEX('Factors'!$I$9:$I$108,MATCH(K35,'Factors'!$C$9:$C$108,0))="","",INDEX('Factors'!$I$9:$I$108,MATCH(K35,'Factors'!$C$9:$C$108,0))),"")="Location-based",IFERROR(IF(INDEX('Factors'!$J$9:$J$108,MATCH(K35,'Factors'!$C$9:$C$108,0))="","",INDEX('Factors'!$J$9:$J$108,MATCH(K35,'Factors'!$C$9:$C$108,0))),"")=G35,OR(IFERROR(IF(INDEX('Factors'!$E$9:$E$108,MATCH(K35,'Factors'!$C$9:$C$108,0))="","",INDEX('Factors'!$E$9:$E$108,MATCH(K35,'Factors'!$C$9:$C$108,0))),"")="Global",IFERROR(IF(INDEX('Factors'!$E$9:$E$108,MATCH(K35,'Factors'!$C$9:$C$108,0))="","",INDEX('Factors'!$E$9:$E$108,MATCH(K35,'Factors'!$C$9:$C$108,0))),"")=D35)),"Ready","Factor / unit review"))))))))</x:f>
      </x:c>
      <x:c r="Z35" s="9" t="str">
        <x:f>IF(C35="","",IF(F35="No","Outside control",IF(F35&lt;&gt;"Yes","Control review",IF($H$6="No","Not required",IF($H$6&lt;&gt;"Yes","Applicability review",IF(Y35&lt;&gt;"Ready",Y35,IF(OR(NOT(ISNUMBER(M35)),M35&lt;0,M35&gt;J35),"Contract quantity review",IF(AND(M35&gt;0,OR(O35&lt;&gt;"Pass",P35="",NOT(AND(IFERROR(IF(INDEX('Factors'!$P$9:$P$108,MATCH(N35,'Factors'!$C$9:$C$108,0))="","",INDEX('Factors'!$P$9:$P$108,MATCH(N35,'Factors'!$C$9:$C$108,0))),"")="Ready",IFERROR(IF(INDEX('Factors'!$F$9:$F$108,MATCH(N35,'Factors'!$C$9:$C$108,0))="","",INDEX('Factors'!$F$9:$F$108,MATCH(N35,'Factors'!$C$9:$C$108,0))),"")="kWh",IFERROR(IF(INDEX('Factors'!$H$9:$H$108,MATCH(N35,'Factors'!$C$9:$C$108,0))="","",INDEX('Factors'!$H$9:$H$108,MATCH(N35,'Factors'!$C$9:$C$108,0))),"")="S2",IFERROR(IF(INDEX('Factors'!$I$9:$I$108,MATCH(N35,'Factors'!$C$9:$C$108,0))="","",INDEX('Factors'!$I$9:$I$108,MATCH(N35,'Factors'!$C$9:$C$108,0))),"")="Market-based",IFERROR(IF(INDEX('Factors'!$J$9:$J$108,MATCH(N35,'Factors'!$C$9:$C$108,0))="","",INDEX('Factors'!$J$9:$J$108,MATCH(N35,'Factors'!$C$9:$C$108,0))),"")=G35,OR(IFERROR(IF(INDEX('Factors'!$E$9:$E$108,MATCH(N35,'Factors'!$C$9:$C$108,0))="","",INDEX('Factors'!$E$9:$E$108,MATCH(N35,'Factors'!$C$9:$C$108,0))),"")="Global",IFERROR(IF(INDEX('Factors'!$E$9:$E$108,MATCH(N35,'Factors'!$C$9:$C$108,0))="","",INDEX('Factors'!$E$9:$E$108,MATCH(N35,'Factors'!$C$9:$C$108,0))),"")=D35))))),"Contract criteria review",IF(M35=J35,"Ready",IF(Q35="No","Grid fallback",IF(Q35="Yes",IF(AND(IFERROR(IF(INDEX('Factors'!$P$9:$P$108,MATCH(R35,'Factors'!$C$9:$C$108,0))="","",INDEX('Factors'!$P$9:$P$108,MATCH(R35,'Factors'!$C$9:$C$108,0))),"")="Ready",IFERROR(IF(INDEX('Factors'!$F$9:$F$108,MATCH(R35,'Factors'!$C$9:$C$108,0))="","",INDEX('Factors'!$F$9:$F$108,MATCH(R35,'Factors'!$C$9:$C$108,0))),"")="kWh",IFERROR(IF(INDEX('Factors'!$H$9:$H$108,MATCH(R35,'Factors'!$C$9:$C$108,0))="","",INDEX('Factors'!$H$9:$H$108,MATCH(R35,'Factors'!$C$9:$C$108,0))),"")="S2",IFERROR(IF(INDEX('Factors'!$I$9:$I$108,MATCH(R35,'Factors'!$C$9:$C$108,0))="","",INDEX('Factors'!$I$9:$I$108,MATCH(R35,'Factors'!$C$9:$C$108,0))),"")="Residual mix",IFERROR(IF(INDEX('Factors'!$J$9:$J$108,MATCH(R35,'Factors'!$C$9:$C$108,0))="","",INDEX('Factors'!$J$9:$J$108,MATCH(R35,'Factors'!$C$9:$C$108,0))),"")=G35,OR(IFERROR(IF(INDEX('Factors'!$E$9:$E$108,MATCH(R35,'Factors'!$C$9:$C$108,0))="","",INDEX('Factors'!$E$9:$E$108,MATCH(R35,'Factors'!$C$9:$C$108,0))),"")="Global",IFERROR(IF(INDEX('Factors'!$E$9:$E$108,MATCH(R35,'Factors'!$C$9:$C$108,0))="","",INDEX('Factors'!$E$9:$E$108,MATCH(R35,'Factors'!$C$9:$C$108,0))),"")=D35)),"Ready","Residual factor review"),"Residual availability review")))))))))))</x:f>
      </x:c>
      <x:c r="AA35" s="8"/>
      <x:c r="AB35" s="16"/>
      <x:c r="AC35" s="8"/>
    </x:row>
    <x:row r="36" ht="36" customHeight="1">
      <x:c r="A36" s="1"/>
      <x:c r="B36" s="1"/>
      <x:c r="C36" s="8"/>
      <x:c r="D36" s="8"/>
      <x:c r="E36" s="8"/>
      <x:c r="F36" s="8"/>
      <x:c r="G36" s="22"/>
      <x:c r="H36" s="16"/>
      <x:c r="I36" s="8"/>
      <x:c r="J36" s="16"/>
      <x:c r="K36" s="8"/>
      <x:c r="L36" s="8"/>
      <x:c r="M36" s="16"/>
      <x:c r="N36" s="8"/>
      <x:c r="O36" s="8"/>
      <x:c r="P36" s="8"/>
      <x:c r="Q36" s="8"/>
      <x:c r="R36" s="8"/>
      <x:c r="S36" s="8"/>
      <x:c r="T36" s="40"/>
      <x:c r="U36" s="23" t="str">
        <x:f>IF(X36="Ready",H36*IFERROR(IF(INDEX('Factors'!$G$9:$G$108,MATCH(I36,'Factors'!$C$9:$C$108,0))="","",INDEX('Factors'!$G$9:$G$108,MATCH(I36,'Factors'!$C$9:$C$108,0))),"")/1000+AB36,"")</x:f>
      </x:c>
      <x:c r="V36" s="23" t="str">
        <x:f>IF(Y36="Ready",J36*IFERROR(IF(INDEX('Factors'!$G$9:$G$108,MATCH(K36,'Factors'!$C$9:$C$108,0))="","",INDEX('Factors'!$G$9:$G$108,MATCH(K36,'Factors'!$C$9:$C$108,0))),"")/1000,"")</x:f>
      </x:c>
      <x:c r="W36" s="23" t="str">
        <x:f>IF(OR(Z36="Ready",Z36="Grid fallback"),(IF(M36&gt;0,M36*IFERROR(IF(INDEX('Factors'!$G$9:$G$108,MATCH(N36,'Factors'!$C$9:$C$108,0))="","",INDEX('Factors'!$G$9:$G$108,MATCH(N36,'Factors'!$C$9:$C$108,0))),""),0)+(J36-M36)*IF(M36=J36,0,IF(Q36="No",IFERROR(IF(INDEX('Factors'!$G$9:$G$108,MATCH(K36,'Factors'!$C$9:$C$108,0))="","",INDEX('Factors'!$G$9:$G$108,MATCH(K36,'Factors'!$C$9:$C$108,0))),""),IFERROR(IF(INDEX('Factors'!$G$9:$G$108,MATCH(R36,'Factors'!$C$9:$C$108,0))="","",INDEX('Factors'!$G$9:$G$108,MATCH(R36,'Factors'!$C$9:$C$108,0))),""))))/1000,"")</x:f>
      </x:c>
      <x:c r="X36" s="9" t="str">
        <x:f>IF(C36="","",IF(AND($D$6&lt;&gt;"Operational control",$D$6&lt;&gt;"Financial control"),"Control basis required",IF(F36="No","Outside control",IF(F36&lt;&gt;"Yes","Control review",IF(COUNTIFS($C$9:$C$108,C36)&lt;&gt;1,"Duplicate operation ID",IF(OR(S36="",NOT(ISNUMBER(T36)),T36&lt;'Settings'!$F$8,NOT(ISNUMBER(G36)),G36&lt;&gt;YEAR('Settings'!$F$8)),"Evidence / period review",IF(OR(NOT(ISNUMBER(H36)),H36&lt;0,AA36&lt;&gt;"Yes",NOT(ISNUMBER(AB36)),AB36&lt;0,AC36=""),"Activity required",IF(AND(IFERROR(IF(INDEX('Factors'!$P$9:$P$108,MATCH(I36,'Factors'!$C$9:$C$108,0))="","",INDEX('Factors'!$P$9:$P$108,MATCH(I36,'Factors'!$C$9:$C$108,0))),"")="Ready",IFERROR(IF(INDEX('Factors'!$F$9:$F$108,MATCH(I36,'Factors'!$C$9:$C$108,0))="","",INDEX('Factors'!$F$9:$F$108,MATCH(I36,'Factors'!$C$9:$C$108,0))),"")="litre",IFERROR(IF(INDEX('Factors'!$H$9:$H$108,MATCH(I36,'Factors'!$C$9:$C$108,0))="","",INDEX('Factors'!$H$9:$H$108,MATCH(I36,'Factors'!$C$9:$C$108,0))),"")="S1",IFERROR(IF(INDEX('Factors'!$I$9:$I$108,MATCH(I36,'Factors'!$C$9:$C$108,0))="","",INDEX('Factors'!$I$9:$I$108,MATCH(I36,'Factors'!$C$9:$C$108,0))),"")="Combustion",IFERROR(IF(INDEX('Factors'!$J$9:$J$108,MATCH(I36,'Factors'!$C$9:$C$108,0))="","",INDEX('Factors'!$J$9:$J$108,MATCH(I36,'Factors'!$C$9:$C$108,0))),"")=G36,OR(IFERROR(IF(INDEX('Factors'!$E$9:$E$108,MATCH(I36,'Factors'!$C$9:$C$108,0))="","",INDEX('Factors'!$E$9:$E$108,MATCH(I36,'Factors'!$C$9:$C$108,0))),"")="Global",IFERROR(IF(INDEX('Factors'!$E$9:$E$108,MATCH(I36,'Factors'!$C$9:$C$108,0))="","",INDEX('Factors'!$E$9:$E$108,MATCH(I36,'Factors'!$C$9:$C$108,0))),"")=D36)),"Ready","Factor / unit review"))))))))</x:f>
      </x:c>
      <x:c r="Y36" s="9" t="str">
        <x:f>IF(C36="","",IF(AND($D$6&lt;&gt;"Operational control",$D$6&lt;&gt;"Financial control"),"Control basis required",IF(F36="No","Outside control",IF(F36&lt;&gt;"Yes","Control review",IF(COUNTIFS($C$9:$C$108,C36)&lt;&gt;1,"Duplicate operation ID",IF(OR(S36="",NOT(ISNUMBER(T36)),T36&lt;'Settings'!$F$8,NOT(ISNUMBER(G36)),G36&lt;&gt;YEAR('Settings'!$F$8)),"Evidence / period review",IF(OR(NOT(ISNUMBER(J36)),J36&lt;0),"Activity required",IF(AND(IFERROR(IF(INDEX('Factors'!$P$9:$P$108,MATCH(K36,'Factors'!$C$9:$C$108,0))="","",INDEX('Factors'!$P$9:$P$108,MATCH(K36,'Factors'!$C$9:$C$108,0))),"")="Ready",IFERROR(IF(INDEX('Factors'!$F$9:$F$108,MATCH(K36,'Factors'!$C$9:$C$108,0))="","",INDEX('Factors'!$F$9:$F$108,MATCH(K36,'Factors'!$C$9:$C$108,0))),"")="kWh",IFERROR(IF(INDEX('Factors'!$H$9:$H$108,MATCH(K36,'Factors'!$C$9:$C$108,0))="","",INDEX('Factors'!$H$9:$H$108,MATCH(K36,'Factors'!$C$9:$C$108,0))),"")="S2",IFERROR(IF(INDEX('Factors'!$I$9:$I$108,MATCH(K36,'Factors'!$C$9:$C$108,0))="","",INDEX('Factors'!$I$9:$I$108,MATCH(K36,'Factors'!$C$9:$C$108,0))),"")="Location-based",IFERROR(IF(INDEX('Factors'!$J$9:$J$108,MATCH(K36,'Factors'!$C$9:$C$108,0))="","",INDEX('Factors'!$J$9:$J$108,MATCH(K36,'Factors'!$C$9:$C$108,0))),"")=G36,OR(IFERROR(IF(INDEX('Factors'!$E$9:$E$108,MATCH(K36,'Factors'!$C$9:$C$108,0))="","",INDEX('Factors'!$E$9:$E$108,MATCH(K36,'Factors'!$C$9:$C$108,0))),"")="Global",IFERROR(IF(INDEX('Factors'!$E$9:$E$108,MATCH(K36,'Factors'!$C$9:$C$108,0))="","",INDEX('Factors'!$E$9:$E$108,MATCH(K36,'Factors'!$C$9:$C$108,0))),"")=D36)),"Ready","Factor / unit review"))))))))</x:f>
      </x:c>
      <x:c r="Z36" s="9" t="str">
        <x:f>IF(C36="","",IF(F36="No","Outside control",IF(F36&lt;&gt;"Yes","Control review",IF($H$6="No","Not required",IF($H$6&lt;&gt;"Yes","Applicability review",IF(Y36&lt;&gt;"Ready",Y36,IF(OR(NOT(ISNUMBER(M36)),M36&lt;0,M36&gt;J36),"Contract quantity review",IF(AND(M36&gt;0,OR(O36&lt;&gt;"Pass",P36="",NOT(AND(IFERROR(IF(INDEX('Factors'!$P$9:$P$108,MATCH(N36,'Factors'!$C$9:$C$108,0))="","",INDEX('Factors'!$P$9:$P$108,MATCH(N36,'Factors'!$C$9:$C$108,0))),"")="Ready",IFERROR(IF(INDEX('Factors'!$F$9:$F$108,MATCH(N36,'Factors'!$C$9:$C$108,0))="","",INDEX('Factors'!$F$9:$F$108,MATCH(N36,'Factors'!$C$9:$C$108,0))),"")="kWh",IFERROR(IF(INDEX('Factors'!$H$9:$H$108,MATCH(N36,'Factors'!$C$9:$C$108,0))="","",INDEX('Factors'!$H$9:$H$108,MATCH(N36,'Factors'!$C$9:$C$108,0))),"")="S2",IFERROR(IF(INDEX('Factors'!$I$9:$I$108,MATCH(N36,'Factors'!$C$9:$C$108,0))="","",INDEX('Factors'!$I$9:$I$108,MATCH(N36,'Factors'!$C$9:$C$108,0))),"")="Market-based",IFERROR(IF(INDEX('Factors'!$J$9:$J$108,MATCH(N36,'Factors'!$C$9:$C$108,0))="","",INDEX('Factors'!$J$9:$J$108,MATCH(N36,'Factors'!$C$9:$C$108,0))),"")=G36,OR(IFERROR(IF(INDEX('Factors'!$E$9:$E$108,MATCH(N36,'Factors'!$C$9:$C$108,0))="","",INDEX('Factors'!$E$9:$E$108,MATCH(N36,'Factors'!$C$9:$C$108,0))),"")="Global",IFERROR(IF(INDEX('Factors'!$E$9:$E$108,MATCH(N36,'Factors'!$C$9:$C$108,0))="","",INDEX('Factors'!$E$9:$E$108,MATCH(N36,'Factors'!$C$9:$C$108,0))),"")=D36))))),"Contract criteria review",IF(M36=J36,"Ready",IF(Q36="No","Grid fallback",IF(Q36="Yes",IF(AND(IFERROR(IF(INDEX('Factors'!$P$9:$P$108,MATCH(R36,'Factors'!$C$9:$C$108,0))="","",INDEX('Factors'!$P$9:$P$108,MATCH(R36,'Factors'!$C$9:$C$108,0))),"")="Ready",IFERROR(IF(INDEX('Factors'!$F$9:$F$108,MATCH(R36,'Factors'!$C$9:$C$108,0))="","",INDEX('Factors'!$F$9:$F$108,MATCH(R36,'Factors'!$C$9:$C$108,0))),"")="kWh",IFERROR(IF(INDEX('Factors'!$H$9:$H$108,MATCH(R36,'Factors'!$C$9:$C$108,0))="","",INDEX('Factors'!$H$9:$H$108,MATCH(R36,'Factors'!$C$9:$C$108,0))),"")="S2",IFERROR(IF(INDEX('Factors'!$I$9:$I$108,MATCH(R36,'Factors'!$C$9:$C$108,0))="","",INDEX('Factors'!$I$9:$I$108,MATCH(R36,'Factors'!$C$9:$C$108,0))),"")="Residual mix",IFERROR(IF(INDEX('Factors'!$J$9:$J$108,MATCH(R36,'Factors'!$C$9:$C$108,0))="","",INDEX('Factors'!$J$9:$J$108,MATCH(R36,'Factors'!$C$9:$C$108,0))),"")=G36,OR(IFERROR(IF(INDEX('Factors'!$E$9:$E$108,MATCH(R36,'Factors'!$C$9:$C$108,0))="","",INDEX('Factors'!$E$9:$E$108,MATCH(R36,'Factors'!$C$9:$C$108,0))),"")="Global",IFERROR(IF(INDEX('Factors'!$E$9:$E$108,MATCH(R36,'Factors'!$C$9:$C$108,0))="","",INDEX('Factors'!$E$9:$E$108,MATCH(R36,'Factors'!$C$9:$C$108,0))),"")=D36)),"Ready","Residual factor review"),"Residual availability review")))))))))))</x:f>
      </x:c>
      <x:c r="AA36" s="8"/>
      <x:c r="AB36" s="16"/>
      <x:c r="AC36" s="8"/>
    </x:row>
    <x:row r="37" ht="36" customHeight="1">
      <x:c r="A37" s="1"/>
      <x:c r="B37" s="1"/>
      <x:c r="C37" s="8"/>
      <x:c r="D37" s="8"/>
      <x:c r="E37" s="8"/>
      <x:c r="F37" s="8"/>
      <x:c r="G37" s="22"/>
      <x:c r="H37" s="16"/>
      <x:c r="I37" s="8"/>
      <x:c r="J37" s="16"/>
      <x:c r="K37" s="8"/>
      <x:c r="L37" s="8"/>
      <x:c r="M37" s="16"/>
      <x:c r="N37" s="8"/>
      <x:c r="O37" s="8"/>
      <x:c r="P37" s="8"/>
      <x:c r="Q37" s="8"/>
      <x:c r="R37" s="8"/>
      <x:c r="S37" s="8"/>
      <x:c r="T37" s="40"/>
      <x:c r="U37" s="23" t="str">
        <x:f>IF(X37="Ready",H37*IFERROR(IF(INDEX('Factors'!$G$9:$G$108,MATCH(I37,'Factors'!$C$9:$C$108,0))="","",INDEX('Factors'!$G$9:$G$108,MATCH(I37,'Factors'!$C$9:$C$108,0))),"")/1000+AB37,"")</x:f>
      </x:c>
      <x:c r="V37" s="23" t="str">
        <x:f>IF(Y37="Ready",J37*IFERROR(IF(INDEX('Factors'!$G$9:$G$108,MATCH(K37,'Factors'!$C$9:$C$108,0))="","",INDEX('Factors'!$G$9:$G$108,MATCH(K37,'Factors'!$C$9:$C$108,0))),"")/1000,"")</x:f>
      </x:c>
      <x:c r="W37" s="23" t="str">
        <x:f>IF(OR(Z37="Ready",Z37="Grid fallback"),(IF(M37&gt;0,M37*IFERROR(IF(INDEX('Factors'!$G$9:$G$108,MATCH(N37,'Factors'!$C$9:$C$108,0))="","",INDEX('Factors'!$G$9:$G$108,MATCH(N37,'Factors'!$C$9:$C$108,0))),""),0)+(J37-M37)*IF(M37=J37,0,IF(Q37="No",IFERROR(IF(INDEX('Factors'!$G$9:$G$108,MATCH(K37,'Factors'!$C$9:$C$108,0))="","",INDEX('Factors'!$G$9:$G$108,MATCH(K37,'Factors'!$C$9:$C$108,0))),""),IFERROR(IF(INDEX('Factors'!$G$9:$G$108,MATCH(R37,'Factors'!$C$9:$C$108,0))="","",INDEX('Factors'!$G$9:$G$108,MATCH(R37,'Factors'!$C$9:$C$108,0))),""))))/1000,"")</x:f>
      </x:c>
      <x:c r="X37" s="9" t="str">
        <x:f>IF(C37="","",IF(AND($D$6&lt;&gt;"Operational control",$D$6&lt;&gt;"Financial control"),"Control basis required",IF(F37="No","Outside control",IF(F37&lt;&gt;"Yes","Control review",IF(COUNTIFS($C$9:$C$108,C37)&lt;&gt;1,"Duplicate operation ID",IF(OR(S37="",NOT(ISNUMBER(T37)),T37&lt;'Settings'!$F$8,NOT(ISNUMBER(G37)),G37&lt;&gt;YEAR('Settings'!$F$8)),"Evidence / period review",IF(OR(NOT(ISNUMBER(H37)),H37&lt;0,AA37&lt;&gt;"Yes",NOT(ISNUMBER(AB37)),AB37&lt;0,AC37=""),"Activity required",IF(AND(IFERROR(IF(INDEX('Factors'!$P$9:$P$108,MATCH(I37,'Factors'!$C$9:$C$108,0))="","",INDEX('Factors'!$P$9:$P$108,MATCH(I37,'Factors'!$C$9:$C$108,0))),"")="Ready",IFERROR(IF(INDEX('Factors'!$F$9:$F$108,MATCH(I37,'Factors'!$C$9:$C$108,0))="","",INDEX('Factors'!$F$9:$F$108,MATCH(I37,'Factors'!$C$9:$C$108,0))),"")="litre",IFERROR(IF(INDEX('Factors'!$H$9:$H$108,MATCH(I37,'Factors'!$C$9:$C$108,0))="","",INDEX('Factors'!$H$9:$H$108,MATCH(I37,'Factors'!$C$9:$C$108,0))),"")="S1",IFERROR(IF(INDEX('Factors'!$I$9:$I$108,MATCH(I37,'Factors'!$C$9:$C$108,0))="","",INDEX('Factors'!$I$9:$I$108,MATCH(I37,'Factors'!$C$9:$C$108,0))),"")="Combustion",IFERROR(IF(INDEX('Factors'!$J$9:$J$108,MATCH(I37,'Factors'!$C$9:$C$108,0))="","",INDEX('Factors'!$J$9:$J$108,MATCH(I37,'Factors'!$C$9:$C$108,0))),"")=G37,OR(IFERROR(IF(INDEX('Factors'!$E$9:$E$108,MATCH(I37,'Factors'!$C$9:$C$108,0))="","",INDEX('Factors'!$E$9:$E$108,MATCH(I37,'Factors'!$C$9:$C$108,0))),"")="Global",IFERROR(IF(INDEX('Factors'!$E$9:$E$108,MATCH(I37,'Factors'!$C$9:$C$108,0))="","",INDEX('Factors'!$E$9:$E$108,MATCH(I37,'Factors'!$C$9:$C$108,0))),"")=D37)),"Ready","Factor / unit review"))))))))</x:f>
      </x:c>
      <x:c r="Y37" s="9" t="str">
        <x:f>IF(C37="","",IF(AND($D$6&lt;&gt;"Operational control",$D$6&lt;&gt;"Financial control"),"Control basis required",IF(F37="No","Outside control",IF(F37&lt;&gt;"Yes","Control review",IF(COUNTIFS($C$9:$C$108,C37)&lt;&gt;1,"Duplicate operation ID",IF(OR(S37="",NOT(ISNUMBER(T37)),T37&lt;'Settings'!$F$8,NOT(ISNUMBER(G37)),G37&lt;&gt;YEAR('Settings'!$F$8)),"Evidence / period review",IF(OR(NOT(ISNUMBER(J37)),J37&lt;0),"Activity required",IF(AND(IFERROR(IF(INDEX('Factors'!$P$9:$P$108,MATCH(K37,'Factors'!$C$9:$C$108,0))="","",INDEX('Factors'!$P$9:$P$108,MATCH(K37,'Factors'!$C$9:$C$108,0))),"")="Ready",IFERROR(IF(INDEX('Factors'!$F$9:$F$108,MATCH(K37,'Factors'!$C$9:$C$108,0))="","",INDEX('Factors'!$F$9:$F$108,MATCH(K37,'Factors'!$C$9:$C$108,0))),"")="kWh",IFERROR(IF(INDEX('Factors'!$H$9:$H$108,MATCH(K37,'Factors'!$C$9:$C$108,0))="","",INDEX('Factors'!$H$9:$H$108,MATCH(K37,'Factors'!$C$9:$C$108,0))),"")="S2",IFERROR(IF(INDEX('Factors'!$I$9:$I$108,MATCH(K37,'Factors'!$C$9:$C$108,0))="","",INDEX('Factors'!$I$9:$I$108,MATCH(K37,'Factors'!$C$9:$C$108,0))),"")="Location-based",IFERROR(IF(INDEX('Factors'!$J$9:$J$108,MATCH(K37,'Factors'!$C$9:$C$108,0))="","",INDEX('Factors'!$J$9:$J$108,MATCH(K37,'Factors'!$C$9:$C$108,0))),"")=G37,OR(IFERROR(IF(INDEX('Factors'!$E$9:$E$108,MATCH(K37,'Factors'!$C$9:$C$108,0))="","",INDEX('Factors'!$E$9:$E$108,MATCH(K37,'Factors'!$C$9:$C$108,0))),"")="Global",IFERROR(IF(INDEX('Factors'!$E$9:$E$108,MATCH(K37,'Factors'!$C$9:$C$108,0))="","",INDEX('Factors'!$E$9:$E$108,MATCH(K37,'Factors'!$C$9:$C$108,0))),"")=D37)),"Ready","Factor / unit review"))))))))</x:f>
      </x:c>
      <x:c r="Z37" s="9" t="str">
        <x:f>IF(C37="","",IF(F37="No","Outside control",IF(F37&lt;&gt;"Yes","Control review",IF($H$6="No","Not required",IF($H$6&lt;&gt;"Yes","Applicability review",IF(Y37&lt;&gt;"Ready",Y37,IF(OR(NOT(ISNUMBER(M37)),M37&lt;0,M37&gt;J37),"Contract quantity review",IF(AND(M37&gt;0,OR(O37&lt;&gt;"Pass",P37="",NOT(AND(IFERROR(IF(INDEX('Factors'!$P$9:$P$108,MATCH(N37,'Factors'!$C$9:$C$108,0))="","",INDEX('Factors'!$P$9:$P$108,MATCH(N37,'Factors'!$C$9:$C$108,0))),"")="Ready",IFERROR(IF(INDEX('Factors'!$F$9:$F$108,MATCH(N37,'Factors'!$C$9:$C$108,0))="","",INDEX('Factors'!$F$9:$F$108,MATCH(N37,'Factors'!$C$9:$C$108,0))),"")="kWh",IFERROR(IF(INDEX('Factors'!$H$9:$H$108,MATCH(N37,'Factors'!$C$9:$C$108,0))="","",INDEX('Factors'!$H$9:$H$108,MATCH(N37,'Factors'!$C$9:$C$108,0))),"")="S2",IFERROR(IF(INDEX('Factors'!$I$9:$I$108,MATCH(N37,'Factors'!$C$9:$C$108,0))="","",INDEX('Factors'!$I$9:$I$108,MATCH(N37,'Factors'!$C$9:$C$108,0))),"")="Market-based",IFERROR(IF(INDEX('Factors'!$J$9:$J$108,MATCH(N37,'Factors'!$C$9:$C$108,0))="","",INDEX('Factors'!$J$9:$J$108,MATCH(N37,'Factors'!$C$9:$C$108,0))),"")=G37,OR(IFERROR(IF(INDEX('Factors'!$E$9:$E$108,MATCH(N37,'Factors'!$C$9:$C$108,0))="","",INDEX('Factors'!$E$9:$E$108,MATCH(N37,'Factors'!$C$9:$C$108,0))),"")="Global",IFERROR(IF(INDEX('Factors'!$E$9:$E$108,MATCH(N37,'Factors'!$C$9:$C$108,0))="","",INDEX('Factors'!$E$9:$E$108,MATCH(N37,'Factors'!$C$9:$C$108,0))),"")=D37))))),"Contract criteria review",IF(M37=J37,"Ready",IF(Q37="No","Grid fallback",IF(Q37="Yes",IF(AND(IFERROR(IF(INDEX('Factors'!$P$9:$P$108,MATCH(R37,'Factors'!$C$9:$C$108,0))="","",INDEX('Factors'!$P$9:$P$108,MATCH(R37,'Factors'!$C$9:$C$108,0))),"")="Ready",IFERROR(IF(INDEX('Factors'!$F$9:$F$108,MATCH(R37,'Factors'!$C$9:$C$108,0))="","",INDEX('Factors'!$F$9:$F$108,MATCH(R37,'Factors'!$C$9:$C$108,0))),"")="kWh",IFERROR(IF(INDEX('Factors'!$H$9:$H$108,MATCH(R37,'Factors'!$C$9:$C$108,0))="","",INDEX('Factors'!$H$9:$H$108,MATCH(R37,'Factors'!$C$9:$C$108,0))),"")="S2",IFERROR(IF(INDEX('Factors'!$I$9:$I$108,MATCH(R37,'Factors'!$C$9:$C$108,0))="","",INDEX('Factors'!$I$9:$I$108,MATCH(R37,'Factors'!$C$9:$C$108,0))),"")="Residual mix",IFERROR(IF(INDEX('Factors'!$J$9:$J$108,MATCH(R37,'Factors'!$C$9:$C$108,0))="","",INDEX('Factors'!$J$9:$J$108,MATCH(R37,'Factors'!$C$9:$C$108,0))),"")=G37,OR(IFERROR(IF(INDEX('Factors'!$E$9:$E$108,MATCH(R37,'Factors'!$C$9:$C$108,0))="","",INDEX('Factors'!$E$9:$E$108,MATCH(R37,'Factors'!$C$9:$C$108,0))),"")="Global",IFERROR(IF(INDEX('Factors'!$E$9:$E$108,MATCH(R37,'Factors'!$C$9:$C$108,0))="","",INDEX('Factors'!$E$9:$E$108,MATCH(R37,'Factors'!$C$9:$C$108,0))),"")=D37)),"Ready","Residual factor review"),"Residual availability review")))))))))))</x:f>
      </x:c>
      <x:c r="AA37" s="8"/>
      <x:c r="AB37" s="16"/>
      <x:c r="AC37" s="8"/>
    </x:row>
    <x:row r="38" ht="36" customHeight="1">
      <x:c r="A38" s="1"/>
      <x:c r="B38" s="1"/>
      <x:c r="C38" s="8"/>
      <x:c r="D38" s="8"/>
      <x:c r="E38" s="8"/>
      <x:c r="F38" s="8"/>
      <x:c r="G38" s="22"/>
      <x:c r="H38" s="16"/>
      <x:c r="I38" s="8"/>
      <x:c r="J38" s="16"/>
      <x:c r="K38" s="8"/>
      <x:c r="L38" s="8"/>
      <x:c r="M38" s="16"/>
      <x:c r="N38" s="8"/>
      <x:c r="O38" s="8"/>
      <x:c r="P38" s="8"/>
      <x:c r="Q38" s="8"/>
      <x:c r="R38" s="8"/>
      <x:c r="S38" s="8"/>
      <x:c r="T38" s="40"/>
      <x:c r="U38" s="23" t="str">
        <x:f>IF(X38="Ready",H38*IFERROR(IF(INDEX('Factors'!$G$9:$G$108,MATCH(I38,'Factors'!$C$9:$C$108,0))="","",INDEX('Factors'!$G$9:$G$108,MATCH(I38,'Factors'!$C$9:$C$108,0))),"")/1000+AB38,"")</x:f>
      </x:c>
      <x:c r="V38" s="23" t="str">
        <x:f>IF(Y38="Ready",J38*IFERROR(IF(INDEX('Factors'!$G$9:$G$108,MATCH(K38,'Factors'!$C$9:$C$108,0))="","",INDEX('Factors'!$G$9:$G$108,MATCH(K38,'Factors'!$C$9:$C$108,0))),"")/1000,"")</x:f>
      </x:c>
      <x:c r="W38" s="23" t="str">
        <x:f>IF(OR(Z38="Ready",Z38="Grid fallback"),(IF(M38&gt;0,M38*IFERROR(IF(INDEX('Factors'!$G$9:$G$108,MATCH(N38,'Factors'!$C$9:$C$108,0))="","",INDEX('Factors'!$G$9:$G$108,MATCH(N38,'Factors'!$C$9:$C$108,0))),""),0)+(J38-M38)*IF(M38=J38,0,IF(Q38="No",IFERROR(IF(INDEX('Factors'!$G$9:$G$108,MATCH(K38,'Factors'!$C$9:$C$108,0))="","",INDEX('Factors'!$G$9:$G$108,MATCH(K38,'Factors'!$C$9:$C$108,0))),""),IFERROR(IF(INDEX('Factors'!$G$9:$G$108,MATCH(R38,'Factors'!$C$9:$C$108,0))="","",INDEX('Factors'!$G$9:$G$108,MATCH(R38,'Factors'!$C$9:$C$108,0))),""))))/1000,"")</x:f>
      </x:c>
      <x:c r="X38" s="9" t="str">
        <x:f>IF(C38="","",IF(AND($D$6&lt;&gt;"Operational control",$D$6&lt;&gt;"Financial control"),"Control basis required",IF(F38="No","Outside control",IF(F38&lt;&gt;"Yes","Control review",IF(COUNTIFS($C$9:$C$108,C38)&lt;&gt;1,"Duplicate operation ID",IF(OR(S38="",NOT(ISNUMBER(T38)),T38&lt;'Settings'!$F$8,NOT(ISNUMBER(G38)),G38&lt;&gt;YEAR('Settings'!$F$8)),"Evidence / period review",IF(OR(NOT(ISNUMBER(H38)),H38&lt;0,AA38&lt;&gt;"Yes",NOT(ISNUMBER(AB38)),AB38&lt;0,AC38=""),"Activity required",IF(AND(IFERROR(IF(INDEX('Factors'!$P$9:$P$108,MATCH(I38,'Factors'!$C$9:$C$108,0))="","",INDEX('Factors'!$P$9:$P$108,MATCH(I38,'Factors'!$C$9:$C$108,0))),"")="Ready",IFERROR(IF(INDEX('Factors'!$F$9:$F$108,MATCH(I38,'Factors'!$C$9:$C$108,0))="","",INDEX('Factors'!$F$9:$F$108,MATCH(I38,'Factors'!$C$9:$C$108,0))),"")="litre",IFERROR(IF(INDEX('Factors'!$H$9:$H$108,MATCH(I38,'Factors'!$C$9:$C$108,0))="","",INDEX('Factors'!$H$9:$H$108,MATCH(I38,'Factors'!$C$9:$C$108,0))),"")="S1",IFERROR(IF(INDEX('Factors'!$I$9:$I$108,MATCH(I38,'Factors'!$C$9:$C$108,0))="","",INDEX('Factors'!$I$9:$I$108,MATCH(I38,'Factors'!$C$9:$C$108,0))),"")="Combustion",IFERROR(IF(INDEX('Factors'!$J$9:$J$108,MATCH(I38,'Factors'!$C$9:$C$108,0))="","",INDEX('Factors'!$J$9:$J$108,MATCH(I38,'Factors'!$C$9:$C$108,0))),"")=G38,OR(IFERROR(IF(INDEX('Factors'!$E$9:$E$108,MATCH(I38,'Factors'!$C$9:$C$108,0))="","",INDEX('Factors'!$E$9:$E$108,MATCH(I38,'Factors'!$C$9:$C$108,0))),"")="Global",IFERROR(IF(INDEX('Factors'!$E$9:$E$108,MATCH(I38,'Factors'!$C$9:$C$108,0))="","",INDEX('Factors'!$E$9:$E$108,MATCH(I38,'Factors'!$C$9:$C$108,0))),"")=D38)),"Ready","Factor / unit review"))))))))</x:f>
      </x:c>
      <x:c r="Y38" s="9" t="str">
        <x:f>IF(C38="","",IF(AND($D$6&lt;&gt;"Operational control",$D$6&lt;&gt;"Financial control"),"Control basis required",IF(F38="No","Outside control",IF(F38&lt;&gt;"Yes","Control review",IF(COUNTIFS($C$9:$C$108,C38)&lt;&gt;1,"Duplicate operation ID",IF(OR(S38="",NOT(ISNUMBER(T38)),T38&lt;'Settings'!$F$8,NOT(ISNUMBER(G38)),G38&lt;&gt;YEAR('Settings'!$F$8)),"Evidence / period review",IF(OR(NOT(ISNUMBER(J38)),J38&lt;0),"Activity required",IF(AND(IFERROR(IF(INDEX('Factors'!$P$9:$P$108,MATCH(K38,'Factors'!$C$9:$C$108,0))="","",INDEX('Factors'!$P$9:$P$108,MATCH(K38,'Factors'!$C$9:$C$108,0))),"")="Ready",IFERROR(IF(INDEX('Factors'!$F$9:$F$108,MATCH(K38,'Factors'!$C$9:$C$108,0))="","",INDEX('Factors'!$F$9:$F$108,MATCH(K38,'Factors'!$C$9:$C$108,0))),"")="kWh",IFERROR(IF(INDEX('Factors'!$H$9:$H$108,MATCH(K38,'Factors'!$C$9:$C$108,0))="","",INDEX('Factors'!$H$9:$H$108,MATCH(K38,'Factors'!$C$9:$C$108,0))),"")="S2",IFERROR(IF(INDEX('Factors'!$I$9:$I$108,MATCH(K38,'Factors'!$C$9:$C$108,0))="","",INDEX('Factors'!$I$9:$I$108,MATCH(K38,'Factors'!$C$9:$C$108,0))),"")="Location-based",IFERROR(IF(INDEX('Factors'!$J$9:$J$108,MATCH(K38,'Factors'!$C$9:$C$108,0))="","",INDEX('Factors'!$J$9:$J$108,MATCH(K38,'Factors'!$C$9:$C$108,0))),"")=G38,OR(IFERROR(IF(INDEX('Factors'!$E$9:$E$108,MATCH(K38,'Factors'!$C$9:$C$108,0))="","",INDEX('Factors'!$E$9:$E$108,MATCH(K38,'Factors'!$C$9:$C$108,0))),"")="Global",IFERROR(IF(INDEX('Factors'!$E$9:$E$108,MATCH(K38,'Factors'!$C$9:$C$108,0))="","",INDEX('Factors'!$E$9:$E$108,MATCH(K38,'Factors'!$C$9:$C$108,0))),"")=D38)),"Ready","Factor / unit review"))))))))</x:f>
      </x:c>
      <x:c r="Z38" s="9" t="str">
        <x:f>IF(C38="","",IF(F38="No","Outside control",IF(F38&lt;&gt;"Yes","Control review",IF($H$6="No","Not required",IF($H$6&lt;&gt;"Yes","Applicability review",IF(Y38&lt;&gt;"Ready",Y38,IF(OR(NOT(ISNUMBER(M38)),M38&lt;0,M38&gt;J38),"Contract quantity review",IF(AND(M38&gt;0,OR(O38&lt;&gt;"Pass",P38="",NOT(AND(IFERROR(IF(INDEX('Factors'!$P$9:$P$108,MATCH(N38,'Factors'!$C$9:$C$108,0))="","",INDEX('Factors'!$P$9:$P$108,MATCH(N38,'Factors'!$C$9:$C$108,0))),"")="Ready",IFERROR(IF(INDEX('Factors'!$F$9:$F$108,MATCH(N38,'Factors'!$C$9:$C$108,0))="","",INDEX('Factors'!$F$9:$F$108,MATCH(N38,'Factors'!$C$9:$C$108,0))),"")="kWh",IFERROR(IF(INDEX('Factors'!$H$9:$H$108,MATCH(N38,'Factors'!$C$9:$C$108,0))="","",INDEX('Factors'!$H$9:$H$108,MATCH(N38,'Factors'!$C$9:$C$108,0))),"")="S2",IFERROR(IF(INDEX('Factors'!$I$9:$I$108,MATCH(N38,'Factors'!$C$9:$C$108,0))="","",INDEX('Factors'!$I$9:$I$108,MATCH(N38,'Factors'!$C$9:$C$108,0))),"")="Market-based",IFERROR(IF(INDEX('Factors'!$J$9:$J$108,MATCH(N38,'Factors'!$C$9:$C$108,0))="","",INDEX('Factors'!$J$9:$J$108,MATCH(N38,'Factors'!$C$9:$C$108,0))),"")=G38,OR(IFERROR(IF(INDEX('Factors'!$E$9:$E$108,MATCH(N38,'Factors'!$C$9:$C$108,0))="","",INDEX('Factors'!$E$9:$E$108,MATCH(N38,'Factors'!$C$9:$C$108,0))),"")="Global",IFERROR(IF(INDEX('Factors'!$E$9:$E$108,MATCH(N38,'Factors'!$C$9:$C$108,0))="","",INDEX('Factors'!$E$9:$E$108,MATCH(N38,'Factors'!$C$9:$C$108,0))),"")=D38))))),"Contract criteria review",IF(M38=J38,"Ready",IF(Q38="No","Grid fallback",IF(Q38="Yes",IF(AND(IFERROR(IF(INDEX('Factors'!$P$9:$P$108,MATCH(R38,'Factors'!$C$9:$C$108,0))="","",INDEX('Factors'!$P$9:$P$108,MATCH(R38,'Factors'!$C$9:$C$108,0))),"")="Ready",IFERROR(IF(INDEX('Factors'!$F$9:$F$108,MATCH(R38,'Factors'!$C$9:$C$108,0))="","",INDEX('Factors'!$F$9:$F$108,MATCH(R38,'Factors'!$C$9:$C$108,0))),"")="kWh",IFERROR(IF(INDEX('Factors'!$H$9:$H$108,MATCH(R38,'Factors'!$C$9:$C$108,0))="","",INDEX('Factors'!$H$9:$H$108,MATCH(R38,'Factors'!$C$9:$C$108,0))),"")="S2",IFERROR(IF(INDEX('Factors'!$I$9:$I$108,MATCH(R38,'Factors'!$C$9:$C$108,0))="","",INDEX('Factors'!$I$9:$I$108,MATCH(R38,'Factors'!$C$9:$C$108,0))),"")="Residual mix",IFERROR(IF(INDEX('Factors'!$J$9:$J$108,MATCH(R38,'Factors'!$C$9:$C$108,0))="","",INDEX('Factors'!$J$9:$J$108,MATCH(R38,'Factors'!$C$9:$C$108,0))),"")=G38,OR(IFERROR(IF(INDEX('Factors'!$E$9:$E$108,MATCH(R38,'Factors'!$C$9:$C$108,0))="","",INDEX('Factors'!$E$9:$E$108,MATCH(R38,'Factors'!$C$9:$C$108,0))),"")="Global",IFERROR(IF(INDEX('Factors'!$E$9:$E$108,MATCH(R38,'Factors'!$C$9:$C$108,0))="","",INDEX('Factors'!$E$9:$E$108,MATCH(R38,'Factors'!$C$9:$C$108,0))),"")=D38)),"Ready","Residual factor review"),"Residual availability review")))))))))))</x:f>
      </x:c>
      <x:c r="AA38" s="8"/>
      <x:c r="AB38" s="16"/>
      <x:c r="AC38" s="8"/>
    </x:row>
    <x:row r="39" ht="36" customHeight="1">
      <x:c r="A39" s="1"/>
      <x:c r="B39" s="1"/>
      <x:c r="C39" s="8"/>
      <x:c r="D39" s="8"/>
      <x:c r="E39" s="8"/>
      <x:c r="F39" s="8"/>
      <x:c r="G39" s="22"/>
      <x:c r="H39" s="16"/>
      <x:c r="I39" s="8"/>
      <x:c r="J39" s="16"/>
      <x:c r="K39" s="8"/>
      <x:c r="L39" s="8"/>
      <x:c r="M39" s="16"/>
      <x:c r="N39" s="8"/>
      <x:c r="O39" s="8"/>
      <x:c r="P39" s="8"/>
      <x:c r="Q39" s="8"/>
      <x:c r="R39" s="8"/>
      <x:c r="S39" s="8"/>
      <x:c r="T39" s="40"/>
      <x:c r="U39" s="23" t="str">
        <x:f>IF(X39="Ready",H39*IFERROR(IF(INDEX('Factors'!$G$9:$G$108,MATCH(I39,'Factors'!$C$9:$C$108,0))="","",INDEX('Factors'!$G$9:$G$108,MATCH(I39,'Factors'!$C$9:$C$108,0))),"")/1000+AB39,"")</x:f>
      </x:c>
      <x:c r="V39" s="23" t="str">
        <x:f>IF(Y39="Ready",J39*IFERROR(IF(INDEX('Factors'!$G$9:$G$108,MATCH(K39,'Factors'!$C$9:$C$108,0))="","",INDEX('Factors'!$G$9:$G$108,MATCH(K39,'Factors'!$C$9:$C$108,0))),"")/1000,"")</x:f>
      </x:c>
      <x:c r="W39" s="23" t="str">
        <x:f>IF(OR(Z39="Ready",Z39="Grid fallback"),(IF(M39&gt;0,M39*IFERROR(IF(INDEX('Factors'!$G$9:$G$108,MATCH(N39,'Factors'!$C$9:$C$108,0))="","",INDEX('Factors'!$G$9:$G$108,MATCH(N39,'Factors'!$C$9:$C$108,0))),""),0)+(J39-M39)*IF(M39=J39,0,IF(Q39="No",IFERROR(IF(INDEX('Factors'!$G$9:$G$108,MATCH(K39,'Factors'!$C$9:$C$108,0))="","",INDEX('Factors'!$G$9:$G$108,MATCH(K39,'Factors'!$C$9:$C$108,0))),""),IFERROR(IF(INDEX('Factors'!$G$9:$G$108,MATCH(R39,'Factors'!$C$9:$C$108,0))="","",INDEX('Factors'!$G$9:$G$108,MATCH(R39,'Factors'!$C$9:$C$108,0))),""))))/1000,"")</x:f>
      </x:c>
      <x:c r="X39" s="9" t="str">
        <x:f>IF(C39="","",IF(AND($D$6&lt;&gt;"Operational control",$D$6&lt;&gt;"Financial control"),"Control basis required",IF(F39="No","Outside control",IF(F39&lt;&gt;"Yes","Control review",IF(COUNTIFS($C$9:$C$108,C39)&lt;&gt;1,"Duplicate operation ID",IF(OR(S39="",NOT(ISNUMBER(T39)),T39&lt;'Settings'!$F$8,NOT(ISNUMBER(G39)),G39&lt;&gt;YEAR('Settings'!$F$8)),"Evidence / period review",IF(OR(NOT(ISNUMBER(H39)),H39&lt;0,AA39&lt;&gt;"Yes",NOT(ISNUMBER(AB39)),AB39&lt;0,AC39=""),"Activity required",IF(AND(IFERROR(IF(INDEX('Factors'!$P$9:$P$108,MATCH(I39,'Factors'!$C$9:$C$108,0))="","",INDEX('Factors'!$P$9:$P$108,MATCH(I39,'Factors'!$C$9:$C$108,0))),"")="Ready",IFERROR(IF(INDEX('Factors'!$F$9:$F$108,MATCH(I39,'Factors'!$C$9:$C$108,0))="","",INDEX('Factors'!$F$9:$F$108,MATCH(I39,'Factors'!$C$9:$C$108,0))),"")="litre",IFERROR(IF(INDEX('Factors'!$H$9:$H$108,MATCH(I39,'Factors'!$C$9:$C$108,0))="","",INDEX('Factors'!$H$9:$H$108,MATCH(I39,'Factors'!$C$9:$C$108,0))),"")="S1",IFERROR(IF(INDEX('Factors'!$I$9:$I$108,MATCH(I39,'Factors'!$C$9:$C$108,0))="","",INDEX('Factors'!$I$9:$I$108,MATCH(I39,'Factors'!$C$9:$C$108,0))),"")="Combustion",IFERROR(IF(INDEX('Factors'!$J$9:$J$108,MATCH(I39,'Factors'!$C$9:$C$108,0))="","",INDEX('Factors'!$J$9:$J$108,MATCH(I39,'Factors'!$C$9:$C$108,0))),"")=G39,OR(IFERROR(IF(INDEX('Factors'!$E$9:$E$108,MATCH(I39,'Factors'!$C$9:$C$108,0))="","",INDEX('Factors'!$E$9:$E$108,MATCH(I39,'Factors'!$C$9:$C$108,0))),"")="Global",IFERROR(IF(INDEX('Factors'!$E$9:$E$108,MATCH(I39,'Factors'!$C$9:$C$108,0))="","",INDEX('Factors'!$E$9:$E$108,MATCH(I39,'Factors'!$C$9:$C$108,0))),"")=D39)),"Ready","Factor / unit review"))))))))</x:f>
      </x:c>
      <x:c r="Y39" s="9" t="str">
        <x:f>IF(C39="","",IF(AND($D$6&lt;&gt;"Operational control",$D$6&lt;&gt;"Financial control"),"Control basis required",IF(F39="No","Outside control",IF(F39&lt;&gt;"Yes","Control review",IF(COUNTIFS($C$9:$C$108,C39)&lt;&gt;1,"Duplicate operation ID",IF(OR(S39="",NOT(ISNUMBER(T39)),T39&lt;'Settings'!$F$8,NOT(ISNUMBER(G39)),G39&lt;&gt;YEAR('Settings'!$F$8)),"Evidence / period review",IF(OR(NOT(ISNUMBER(J39)),J39&lt;0),"Activity required",IF(AND(IFERROR(IF(INDEX('Factors'!$P$9:$P$108,MATCH(K39,'Factors'!$C$9:$C$108,0))="","",INDEX('Factors'!$P$9:$P$108,MATCH(K39,'Factors'!$C$9:$C$108,0))),"")="Ready",IFERROR(IF(INDEX('Factors'!$F$9:$F$108,MATCH(K39,'Factors'!$C$9:$C$108,0))="","",INDEX('Factors'!$F$9:$F$108,MATCH(K39,'Factors'!$C$9:$C$108,0))),"")="kWh",IFERROR(IF(INDEX('Factors'!$H$9:$H$108,MATCH(K39,'Factors'!$C$9:$C$108,0))="","",INDEX('Factors'!$H$9:$H$108,MATCH(K39,'Factors'!$C$9:$C$108,0))),"")="S2",IFERROR(IF(INDEX('Factors'!$I$9:$I$108,MATCH(K39,'Factors'!$C$9:$C$108,0))="","",INDEX('Factors'!$I$9:$I$108,MATCH(K39,'Factors'!$C$9:$C$108,0))),"")="Location-based",IFERROR(IF(INDEX('Factors'!$J$9:$J$108,MATCH(K39,'Factors'!$C$9:$C$108,0))="","",INDEX('Factors'!$J$9:$J$108,MATCH(K39,'Factors'!$C$9:$C$108,0))),"")=G39,OR(IFERROR(IF(INDEX('Factors'!$E$9:$E$108,MATCH(K39,'Factors'!$C$9:$C$108,0))="","",INDEX('Factors'!$E$9:$E$108,MATCH(K39,'Factors'!$C$9:$C$108,0))),"")="Global",IFERROR(IF(INDEX('Factors'!$E$9:$E$108,MATCH(K39,'Factors'!$C$9:$C$108,0))="","",INDEX('Factors'!$E$9:$E$108,MATCH(K39,'Factors'!$C$9:$C$108,0))),"")=D39)),"Ready","Factor / unit review"))))))))</x:f>
      </x:c>
      <x:c r="Z39" s="9" t="str">
        <x:f>IF(C39="","",IF(F39="No","Outside control",IF(F39&lt;&gt;"Yes","Control review",IF($H$6="No","Not required",IF($H$6&lt;&gt;"Yes","Applicability review",IF(Y39&lt;&gt;"Ready",Y39,IF(OR(NOT(ISNUMBER(M39)),M39&lt;0,M39&gt;J39),"Contract quantity review",IF(AND(M39&gt;0,OR(O39&lt;&gt;"Pass",P39="",NOT(AND(IFERROR(IF(INDEX('Factors'!$P$9:$P$108,MATCH(N39,'Factors'!$C$9:$C$108,0))="","",INDEX('Factors'!$P$9:$P$108,MATCH(N39,'Factors'!$C$9:$C$108,0))),"")="Ready",IFERROR(IF(INDEX('Factors'!$F$9:$F$108,MATCH(N39,'Factors'!$C$9:$C$108,0))="","",INDEX('Factors'!$F$9:$F$108,MATCH(N39,'Factors'!$C$9:$C$108,0))),"")="kWh",IFERROR(IF(INDEX('Factors'!$H$9:$H$108,MATCH(N39,'Factors'!$C$9:$C$108,0))="","",INDEX('Factors'!$H$9:$H$108,MATCH(N39,'Factors'!$C$9:$C$108,0))),"")="S2",IFERROR(IF(INDEX('Factors'!$I$9:$I$108,MATCH(N39,'Factors'!$C$9:$C$108,0))="","",INDEX('Factors'!$I$9:$I$108,MATCH(N39,'Factors'!$C$9:$C$108,0))),"")="Market-based",IFERROR(IF(INDEX('Factors'!$J$9:$J$108,MATCH(N39,'Factors'!$C$9:$C$108,0))="","",INDEX('Factors'!$J$9:$J$108,MATCH(N39,'Factors'!$C$9:$C$108,0))),"")=G39,OR(IFERROR(IF(INDEX('Factors'!$E$9:$E$108,MATCH(N39,'Factors'!$C$9:$C$108,0))="","",INDEX('Factors'!$E$9:$E$108,MATCH(N39,'Factors'!$C$9:$C$108,0))),"")="Global",IFERROR(IF(INDEX('Factors'!$E$9:$E$108,MATCH(N39,'Factors'!$C$9:$C$108,0))="","",INDEX('Factors'!$E$9:$E$108,MATCH(N39,'Factors'!$C$9:$C$108,0))),"")=D39))))),"Contract criteria review",IF(M39=J39,"Ready",IF(Q39="No","Grid fallback",IF(Q39="Yes",IF(AND(IFERROR(IF(INDEX('Factors'!$P$9:$P$108,MATCH(R39,'Factors'!$C$9:$C$108,0))="","",INDEX('Factors'!$P$9:$P$108,MATCH(R39,'Factors'!$C$9:$C$108,0))),"")="Ready",IFERROR(IF(INDEX('Factors'!$F$9:$F$108,MATCH(R39,'Factors'!$C$9:$C$108,0))="","",INDEX('Factors'!$F$9:$F$108,MATCH(R39,'Factors'!$C$9:$C$108,0))),"")="kWh",IFERROR(IF(INDEX('Factors'!$H$9:$H$108,MATCH(R39,'Factors'!$C$9:$C$108,0))="","",INDEX('Factors'!$H$9:$H$108,MATCH(R39,'Factors'!$C$9:$C$108,0))),"")="S2",IFERROR(IF(INDEX('Factors'!$I$9:$I$108,MATCH(R39,'Factors'!$C$9:$C$108,0))="","",INDEX('Factors'!$I$9:$I$108,MATCH(R39,'Factors'!$C$9:$C$108,0))),"")="Residual mix",IFERROR(IF(INDEX('Factors'!$J$9:$J$108,MATCH(R39,'Factors'!$C$9:$C$108,0))="","",INDEX('Factors'!$J$9:$J$108,MATCH(R39,'Factors'!$C$9:$C$108,0))),"")=G39,OR(IFERROR(IF(INDEX('Factors'!$E$9:$E$108,MATCH(R39,'Factors'!$C$9:$C$108,0))="","",INDEX('Factors'!$E$9:$E$108,MATCH(R39,'Factors'!$C$9:$C$108,0))),"")="Global",IFERROR(IF(INDEX('Factors'!$E$9:$E$108,MATCH(R39,'Factors'!$C$9:$C$108,0))="","",INDEX('Factors'!$E$9:$E$108,MATCH(R39,'Factors'!$C$9:$C$108,0))),"")=D39)),"Ready","Residual factor review"),"Residual availability review")))))))))))</x:f>
      </x:c>
      <x:c r="AA39" s="8"/>
      <x:c r="AB39" s="16"/>
      <x:c r="AC39" s="8"/>
    </x:row>
    <x:row r="40" ht="36" customHeight="1">
      <x:c r="A40" s="1"/>
      <x:c r="B40" s="1"/>
      <x:c r="C40" s="8"/>
      <x:c r="D40" s="8"/>
      <x:c r="E40" s="8"/>
      <x:c r="F40" s="8"/>
      <x:c r="G40" s="22"/>
      <x:c r="H40" s="16"/>
      <x:c r="I40" s="8"/>
      <x:c r="J40" s="16"/>
      <x:c r="K40" s="8"/>
      <x:c r="L40" s="8"/>
      <x:c r="M40" s="16"/>
      <x:c r="N40" s="8"/>
      <x:c r="O40" s="8"/>
      <x:c r="P40" s="8"/>
      <x:c r="Q40" s="8"/>
      <x:c r="R40" s="8"/>
      <x:c r="S40" s="8"/>
      <x:c r="T40" s="40"/>
      <x:c r="U40" s="23" t="str">
        <x:f>IF(X40="Ready",H40*IFERROR(IF(INDEX('Factors'!$G$9:$G$108,MATCH(I40,'Factors'!$C$9:$C$108,0))="","",INDEX('Factors'!$G$9:$G$108,MATCH(I40,'Factors'!$C$9:$C$108,0))),"")/1000+AB40,"")</x:f>
      </x:c>
      <x:c r="V40" s="23" t="str">
        <x:f>IF(Y40="Ready",J40*IFERROR(IF(INDEX('Factors'!$G$9:$G$108,MATCH(K40,'Factors'!$C$9:$C$108,0))="","",INDEX('Factors'!$G$9:$G$108,MATCH(K40,'Factors'!$C$9:$C$108,0))),"")/1000,"")</x:f>
      </x:c>
      <x:c r="W40" s="23" t="str">
        <x:f>IF(OR(Z40="Ready",Z40="Grid fallback"),(IF(M40&gt;0,M40*IFERROR(IF(INDEX('Factors'!$G$9:$G$108,MATCH(N40,'Factors'!$C$9:$C$108,0))="","",INDEX('Factors'!$G$9:$G$108,MATCH(N40,'Factors'!$C$9:$C$108,0))),""),0)+(J40-M40)*IF(M40=J40,0,IF(Q40="No",IFERROR(IF(INDEX('Factors'!$G$9:$G$108,MATCH(K40,'Factors'!$C$9:$C$108,0))="","",INDEX('Factors'!$G$9:$G$108,MATCH(K40,'Factors'!$C$9:$C$108,0))),""),IFERROR(IF(INDEX('Factors'!$G$9:$G$108,MATCH(R40,'Factors'!$C$9:$C$108,0))="","",INDEX('Factors'!$G$9:$G$108,MATCH(R40,'Factors'!$C$9:$C$108,0))),""))))/1000,"")</x:f>
      </x:c>
      <x:c r="X40" s="9" t="str">
        <x:f>IF(C40="","",IF(AND($D$6&lt;&gt;"Operational control",$D$6&lt;&gt;"Financial control"),"Control basis required",IF(F40="No","Outside control",IF(F40&lt;&gt;"Yes","Control review",IF(COUNTIFS($C$9:$C$108,C40)&lt;&gt;1,"Duplicate operation ID",IF(OR(S40="",NOT(ISNUMBER(T40)),T40&lt;'Settings'!$F$8,NOT(ISNUMBER(G40)),G40&lt;&gt;YEAR('Settings'!$F$8)),"Evidence / period review",IF(OR(NOT(ISNUMBER(H40)),H40&lt;0,AA40&lt;&gt;"Yes",NOT(ISNUMBER(AB40)),AB40&lt;0,AC40=""),"Activity required",IF(AND(IFERROR(IF(INDEX('Factors'!$P$9:$P$108,MATCH(I40,'Factors'!$C$9:$C$108,0))="","",INDEX('Factors'!$P$9:$P$108,MATCH(I40,'Factors'!$C$9:$C$108,0))),"")="Ready",IFERROR(IF(INDEX('Factors'!$F$9:$F$108,MATCH(I40,'Factors'!$C$9:$C$108,0))="","",INDEX('Factors'!$F$9:$F$108,MATCH(I40,'Factors'!$C$9:$C$108,0))),"")="litre",IFERROR(IF(INDEX('Factors'!$H$9:$H$108,MATCH(I40,'Factors'!$C$9:$C$108,0))="","",INDEX('Factors'!$H$9:$H$108,MATCH(I40,'Factors'!$C$9:$C$108,0))),"")="S1",IFERROR(IF(INDEX('Factors'!$I$9:$I$108,MATCH(I40,'Factors'!$C$9:$C$108,0))="","",INDEX('Factors'!$I$9:$I$108,MATCH(I40,'Factors'!$C$9:$C$108,0))),"")="Combustion",IFERROR(IF(INDEX('Factors'!$J$9:$J$108,MATCH(I40,'Factors'!$C$9:$C$108,0))="","",INDEX('Factors'!$J$9:$J$108,MATCH(I40,'Factors'!$C$9:$C$108,0))),"")=G40,OR(IFERROR(IF(INDEX('Factors'!$E$9:$E$108,MATCH(I40,'Factors'!$C$9:$C$108,0))="","",INDEX('Factors'!$E$9:$E$108,MATCH(I40,'Factors'!$C$9:$C$108,0))),"")="Global",IFERROR(IF(INDEX('Factors'!$E$9:$E$108,MATCH(I40,'Factors'!$C$9:$C$108,0))="","",INDEX('Factors'!$E$9:$E$108,MATCH(I40,'Factors'!$C$9:$C$108,0))),"")=D40)),"Ready","Factor / unit review"))))))))</x:f>
      </x:c>
      <x:c r="Y40" s="9" t="str">
        <x:f>IF(C40="","",IF(AND($D$6&lt;&gt;"Operational control",$D$6&lt;&gt;"Financial control"),"Control basis required",IF(F40="No","Outside control",IF(F40&lt;&gt;"Yes","Control review",IF(COUNTIFS($C$9:$C$108,C40)&lt;&gt;1,"Duplicate operation ID",IF(OR(S40="",NOT(ISNUMBER(T40)),T40&lt;'Settings'!$F$8,NOT(ISNUMBER(G40)),G40&lt;&gt;YEAR('Settings'!$F$8)),"Evidence / period review",IF(OR(NOT(ISNUMBER(J40)),J40&lt;0),"Activity required",IF(AND(IFERROR(IF(INDEX('Factors'!$P$9:$P$108,MATCH(K40,'Factors'!$C$9:$C$108,0))="","",INDEX('Factors'!$P$9:$P$108,MATCH(K40,'Factors'!$C$9:$C$108,0))),"")="Ready",IFERROR(IF(INDEX('Factors'!$F$9:$F$108,MATCH(K40,'Factors'!$C$9:$C$108,0))="","",INDEX('Factors'!$F$9:$F$108,MATCH(K40,'Factors'!$C$9:$C$108,0))),"")="kWh",IFERROR(IF(INDEX('Factors'!$H$9:$H$108,MATCH(K40,'Factors'!$C$9:$C$108,0))="","",INDEX('Factors'!$H$9:$H$108,MATCH(K40,'Factors'!$C$9:$C$108,0))),"")="S2",IFERROR(IF(INDEX('Factors'!$I$9:$I$108,MATCH(K40,'Factors'!$C$9:$C$108,0))="","",INDEX('Factors'!$I$9:$I$108,MATCH(K40,'Factors'!$C$9:$C$108,0))),"")="Location-based",IFERROR(IF(INDEX('Factors'!$J$9:$J$108,MATCH(K40,'Factors'!$C$9:$C$108,0))="","",INDEX('Factors'!$J$9:$J$108,MATCH(K40,'Factors'!$C$9:$C$108,0))),"")=G40,OR(IFERROR(IF(INDEX('Factors'!$E$9:$E$108,MATCH(K40,'Factors'!$C$9:$C$108,0))="","",INDEX('Factors'!$E$9:$E$108,MATCH(K40,'Factors'!$C$9:$C$108,0))),"")="Global",IFERROR(IF(INDEX('Factors'!$E$9:$E$108,MATCH(K40,'Factors'!$C$9:$C$108,0))="","",INDEX('Factors'!$E$9:$E$108,MATCH(K40,'Factors'!$C$9:$C$108,0))),"")=D40)),"Ready","Factor / unit review"))))))))</x:f>
      </x:c>
      <x:c r="Z40" s="9" t="str">
        <x:f>IF(C40="","",IF(F40="No","Outside control",IF(F40&lt;&gt;"Yes","Control review",IF($H$6="No","Not required",IF($H$6&lt;&gt;"Yes","Applicability review",IF(Y40&lt;&gt;"Ready",Y40,IF(OR(NOT(ISNUMBER(M40)),M40&lt;0,M40&gt;J40),"Contract quantity review",IF(AND(M40&gt;0,OR(O40&lt;&gt;"Pass",P40="",NOT(AND(IFERROR(IF(INDEX('Factors'!$P$9:$P$108,MATCH(N40,'Factors'!$C$9:$C$108,0))="","",INDEX('Factors'!$P$9:$P$108,MATCH(N40,'Factors'!$C$9:$C$108,0))),"")="Ready",IFERROR(IF(INDEX('Factors'!$F$9:$F$108,MATCH(N40,'Factors'!$C$9:$C$108,0))="","",INDEX('Factors'!$F$9:$F$108,MATCH(N40,'Factors'!$C$9:$C$108,0))),"")="kWh",IFERROR(IF(INDEX('Factors'!$H$9:$H$108,MATCH(N40,'Factors'!$C$9:$C$108,0))="","",INDEX('Factors'!$H$9:$H$108,MATCH(N40,'Factors'!$C$9:$C$108,0))),"")="S2",IFERROR(IF(INDEX('Factors'!$I$9:$I$108,MATCH(N40,'Factors'!$C$9:$C$108,0))="","",INDEX('Factors'!$I$9:$I$108,MATCH(N40,'Factors'!$C$9:$C$108,0))),"")="Market-based",IFERROR(IF(INDEX('Factors'!$J$9:$J$108,MATCH(N40,'Factors'!$C$9:$C$108,0))="","",INDEX('Factors'!$J$9:$J$108,MATCH(N40,'Factors'!$C$9:$C$108,0))),"")=G40,OR(IFERROR(IF(INDEX('Factors'!$E$9:$E$108,MATCH(N40,'Factors'!$C$9:$C$108,0))="","",INDEX('Factors'!$E$9:$E$108,MATCH(N40,'Factors'!$C$9:$C$108,0))),"")="Global",IFERROR(IF(INDEX('Factors'!$E$9:$E$108,MATCH(N40,'Factors'!$C$9:$C$108,0))="","",INDEX('Factors'!$E$9:$E$108,MATCH(N40,'Factors'!$C$9:$C$108,0))),"")=D40))))),"Contract criteria review",IF(M40=J40,"Ready",IF(Q40="No","Grid fallback",IF(Q40="Yes",IF(AND(IFERROR(IF(INDEX('Factors'!$P$9:$P$108,MATCH(R40,'Factors'!$C$9:$C$108,0))="","",INDEX('Factors'!$P$9:$P$108,MATCH(R40,'Factors'!$C$9:$C$108,0))),"")="Ready",IFERROR(IF(INDEX('Factors'!$F$9:$F$108,MATCH(R40,'Factors'!$C$9:$C$108,0))="","",INDEX('Factors'!$F$9:$F$108,MATCH(R40,'Factors'!$C$9:$C$108,0))),"")="kWh",IFERROR(IF(INDEX('Factors'!$H$9:$H$108,MATCH(R40,'Factors'!$C$9:$C$108,0))="","",INDEX('Factors'!$H$9:$H$108,MATCH(R40,'Factors'!$C$9:$C$108,0))),"")="S2",IFERROR(IF(INDEX('Factors'!$I$9:$I$108,MATCH(R40,'Factors'!$C$9:$C$108,0))="","",INDEX('Factors'!$I$9:$I$108,MATCH(R40,'Factors'!$C$9:$C$108,0))),"")="Residual mix",IFERROR(IF(INDEX('Factors'!$J$9:$J$108,MATCH(R40,'Factors'!$C$9:$C$108,0))="","",INDEX('Factors'!$J$9:$J$108,MATCH(R40,'Factors'!$C$9:$C$108,0))),"")=G40,OR(IFERROR(IF(INDEX('Factors'!$E$9:$E$108,MATCH(R40,'Factors'!$C$9:$C$108,0))="","",INDEX('Factors'!$E$9:$E$108,MATCH(R40,'Factors'!$C$9:$C$108,0))),"")="Global",IFERROR(IF(INDEX('Factors'!$E$9:$E$108,MATCH(R40,'Factors'!$C$9:$C$108,0))="","",INDEX('Factors'!$E$9:$E$108,MATCH(R40,'Factors'!$C$9:$C$108,0))),"")=D40)),"Ready","Residual factor review"),"Residual availability review")))))))))))</x:f>
      </x:c>
      <x:c r="AA40" s="8"/>
      <x:c r="AB40" s="16"/>
      <x:c r="AC40" s="8"/>
    </x:row>
    <x:row r="41" ht="36" customHeight="1">
      <x:c r="A41" s="1"/>
      <x:c r="B41" s="1"/>
      <x:c r="C41" s="8"/>
      <x:c r="D41" s="8"/>
      <x:c r="E41" s="8"/>
      <x:c r="F41" s="8"/>
      <x:c r="G41" s="22"/>
      <x:c r="H41" s="16"/>
      <x:c r="I41" s="8"/>
      <x:c r="J41" s="16"/>
      <x:c r="K41" s="8"/>
      <x:c r="L41" s="8"/>
      <x:c r="M41" s="16"/>
      <x:c r="N41" s="8"/>
      <x:c r="O41" s="8"/>
      <x:c r="P41" s="8"/>
      <x:c r="Q41" s="8"/>
      <x:c r="R41" s="8"/>
      <x:c r="S41" s="8"/>
      <x:c r="T41" s="40"/>
      <x:c r="U41" s="23" t="str">
        <x:f>IF(X41="Ready",H41*IFERROR(IF(INDEX('Factors'!$G$9:$G$108,MATCH(I41,'Factors'!$C$9:$C$108,0))="","",INDEX('Factors'!$G$9:$G$108,MATCH(I41,'Factors'!$C$9:$C$108,0))),"")/1000+AB41,"")</x:f>
      </x:c>
      <x:c r="V41" s="23" t="str">
        <x:f>IF(Y41="Ready",J41*IFERROR(IF(INDEX('Factors'!$G$9:$G$108,MATCH(K41,'Factors'!$C$9:$C$108,0))="","",INDEX('Factors'!$G$9:$G$108,MATCH(K41,'Factors'!$C$9:$C$108,0))),"")/1000,"")</x:f>
      </x:c>
      <x:c r="W41" s="23" t="str">
        <x:f>IF(OR(Z41="Ready",Z41="Grid fallback"),(IF(M41&gt;0,M41*IFERROR(IF(INDEX('Factors'!$G$9:$G$108,MATCH(N41,'Factors'!$C$9:$C$108,0))="","",INDEX('Factors'!$G$9:$G$108,MATCH(N41,'Factors'!$C$9:$C$108,0))),""),0)+(J41-M41)*IF(M41=J41,0,IF(Q41="No",IFERROR(IF(INDEX('Factors'!$G$9:$G$108,MATCH(K41,'Factors'!$C$9:$C$108,0))="","",INDEX('Factors'!$G$9:$G$108,MATCH(K41,'Factors'!$C$9:$C$108,0))),""),IFERROR(IF(INDEX('Factors'!$G$9:$G$108,MATCH(R41,'Factors'!$C$9:$C$108,0))="","",INDEX('Factors'!$G$9:$G$108,MATCH(R41,'Factors'!$C$9:$C$108,0))),""))))/1000,"")</x:f>
      </x:c>
      <x:c r="X41" s="9" t="str">
        <x:f>IF(C41="","",IF(AND($D$6&lt;&gt;"Operational control",$D$6&lt;&gt;"Financial control"),"Control basis required",IF(F41="No","Outside control",IF(F41&lt;&gt;"Yes","Control review",IF(COUNTIFS($C$9:$C$108,C41)&lt;&gt;1,"Duplicate operation ID",IF(OR(S41="",NOT(ISNUMBER(T41)),T41&lt;'Settings'!$F$8,NOT(ISNUMBER(G41)),G41&lt;&gt;YEAR('Settings'!$F$8)),"Evidence / period review",IF(OR(NOT(ISNUMBER(H41)),H41&lt;0,AA41&lt;&gt;"Yes",NOT(ISNUMBER(AB41)),AB41&lt;0,AC41=""),"Activity required",IF(AND(IFERROR(IF(INDEX('Factors'!$P$9:$P$108,MATCH(I41,'Factors'!$C$9:$C$108,0))="","",INDEX('Factors'!$P$9:$P$108,MATCH(I41,'Factors'!$C$9:$C$108,0))),"")="Ready",IFERROR(IF(INDEX('Factors'!$F$9:$F$108,MATCH(I41,'Factors'!$C$9:$C$108,0))="","",INDEX('Factors'!$F$9:$F$108,MATCH(I41,'Factors'!$C$9:$C$108,0))),"")="litre",IFERROR(IF(INDEX('Factors'!$H$9:$H$108,MATCH(I41,'Factors'!$C$9:$C$108,0))="","",INDEX('Factors'!$H$9:$H$108,MATCH(I41,'Factors'!$C$9:$C$108,0))),"")="S1",IFERROR(IF(INDEX('Factors'!$I$9:$I$108,MATCH(I41,'Factors'!$C$9:$C$108,0))="","",INDEX('Factors'!$I$9:$I$108,MATCH(I41,'Factors'!$C$9:$C$108,0))),"")="Combustion",IFERROR(IF(INDEX('Factors'!$J$9:$J$108,MATCH(I41,'Factors'!$C$9:$C$108,0))="","",INDEX('Factors'!$J$9:$J$108,MATCH(I41,'Factors'!$C$9:$C$108,0))),"")=G41,OR(IFERROR(IF(INDEX('Factors'!$E$9:$E$108,MATCH(I41,'Factors'!$C$9:$C$108,0))="","",INDEX('Factors'!$E$9:$E$108,MATCH(I41,'Factors'!$C$9:$C$108,0))),"")="Global",IFERROR(IF(INDEX('Factors'!$E$9:$E$108,MATCH(I41,'Factors'!$C$9:$C$108,0))="","",INDEX('Factors'!$E$9:$E$108,MATCH(I41,'Factors'!$C$9:$C$108,0))),"")=D41)),"Ready","Factor / unit review"))))))))</x:f>
      </x:c>
      <x:c r="Y41" s="9" t="str">
        <x:f>IF(C41="","",IF(AND($D$6&lt;&gt;"Operational control",$D$6&lt;&gt;"Financial control"),"Control basis required",IF(F41="No","Outside control",IF(F41&lt;&gt;"Yes","Control review",IF(COUNTIFS($C$9:$C$108,C41)&lt;&gt;1,"Duplicate operation ID",IF(OR(S41="",NOT(ISNUMBER(T41)),T41&lt;'Settings'!$F$8,NOT(ISNUMBER(G41)),G41&lt;&gt;YEAR('Settings'!$F$8)),"Evidence / period review",IF(OR(NOT(ISNUMBER(J41)),J41&lt;0),"Activity required",IF(AND(IFERROR(IF(INDEX('Factors'!$P$9:$P$108,MATCH(K41,'Factors'!$C$9:$C$108,0))="","",INDEX('Factors'!$P$9:$P$108,MATCH(K41,'Factors'!$C$9:$C$108,0))),"")="Ready",IFERROR(IF(INDEX('Factors'!$F$9:$F$108,MATCH(K41,'Factors'!$C$9:$C$108,0))="","",INDEX('Factors'!$F$9:$F$108,MATCH(K41,'Factors'!$C$9:$C$108,0))),"")="kWh",IFERROR(IF(INDEX('Factors'!$H$9:$H$108,MATCH(K41,'Factors'!$C$9:$C$108,0))="","",INDEX('Factors'!$H$9:$H$108,MATCH(K41,'Factors'!$C$9:$C$108,0))),"")="S2",IFERROR(IF(INDEX('Factors'!$I$9:$I$108,MATCH(K41,'Factors'!$C$9:$C$108,0))="","",INDEX('Factors'!$I$9:$I$108,MATCH(K41,'Factors'!$C$9:$C$108,0))),"")="Location-based",IFERROR(IF(INDEX('Factors'!$J$9:$J$108,MATCH(K41,'Factors'!$C$9:$C$108,0))="","",INDEX('Factors'!$J$9:$J$108,MATCH(K41,'Factors'!$C$9:$C$108,0))),"")=G41,OR(IFERROR(IF(INDEX('Factors'!$E$9:$E$108,MATCH(K41,'Factors'!$C$9:$C$108,0))="","",INDEX('Factors'!$E$9:$E$108,MATCH(K41,'Factors'!$C$9:$C$108,0))),"")="Global",IFERROR(IF(INDEX('Factors'!$E$9:$E$108,MATCH(K41,'Factors'!$C$9:$C$108,0))="","",INDEX('Factors'!$E$9:$E$108,MATCH(K41,'Factors'!$C$9:$C$108,0))),"")=D41)),"Ready","Factor / unit review"))))))))</x:f>
      </x:c>
      <x:c r="Z41" s="9" t="str">
        <x:f>IF(C41="","",IF(F41="No","Outside control",IF(F41&lt;&gt;"Yes","Control review",IF($H$6="No","Not required",IF($H$6&lt;&gt;"Yes","Applicability review",IF(Y41&lt;&gt;"Ready",Y41,IF(OR(NOT(ISNUMBER(M41)),M41&lt;0,M41&gt;J41),"Contract quantity review",IF(AND(M41&gt;0,OR(O41&lt;&gt;"Pass",P41="",NOT(AND(IFERROR(IF(INDEX('Factors'!$P$9:$P$108,MATCH(N41,'Factors'!$C$9:$C$108,0))="","",INDEX('Factors'!$P$9:$P$108,MATCH(N41,'Factors'!$C$9:$C$108,0))),"")="Ready",IFERROR(IF(INDEX('Factors'!$F$9:$F$108,MATCH(N41,'Factors'!$C$9:$C$108,0))="","",INDEX('Factors'!$F$9:$F$108,MATCH(N41,'Factors'!$C$9:$C$108,0))),"")="kWh",IFERROR(IF(INDEX('Factors'!$H$9:$H$108,MATCH(N41,'Factors'!$C$9:$C$108,0))="","",INDEX('Factors'!$H$9:$H$108,MATCH(N41,'Factors'!$C$9:$C$108,0))),"")="S2",IFERROR(IF(INDEX('Factors'!$I$9:$I$108,MATCH(N41,'Factors'!$C$9:$C$108,0))="","",INDEX('Factors'!$I$9:$I$108,MATCH(N41,'Factors'!$C$9:$C$108,0))),"")="Market-based",IFERROR(IF(INDEX('Factors'!$J$9:$J$108,MATCH(N41,'Factors'!$C$9:$C$108,0))="","",INDEX('Factors'!$J$9:$J$108,MATCH(N41,'Factors'!$C$9:$C$108,0))),"")=G41,OR(IFERROR(IF(INDEX('Factors'!$E$9:$E$108,MATCH(N41,'Factors'!$C$9:$C$108,0))="","",INDEX('Factors'!$E$9:$E$108,MATCH(N41,'Factors'!$C$9:$C$108,0))),"")="Global",IFERROR(IF(INDEX('Factors'!$E$9:$E$108,MATCH(N41,'Factors'!$C$9:$C$108,0))="","",INDEX('Factors'!$E$9:$E$108,MATCH(N41,'Factors'!$C$9:$C$108,0))),"")=D41))))),"Contract criteria review",IF(M41=J41,"Ready",IF(Q41="No","Grid fallback",IF(Q41="Yes",IF(AND(IFERROR(IF(INDEX('Factors'!$P$9:$P$108,MATCH(R41,'Factors'!$C$9:$C$108,0))="","",INDEX('Factors'!$P$9:$P$108,MATCH(R41,'Factors'!$C$9:$C$108,0))),"")="Ready",IFERROR(IF(INDEX('Factors'!$F$9:$F$108,MATCH(R41,'Factors'!$C$9:$C$108,0))="","",INDEX('Factors'!$F$9:$F$108,MATCH(R41,'Factors'!$C$9:$C$108,0))),"")="kWh",IFERROR(IF(INDEX('Factors'!$H$9:$H$108,MATCH(R41,'Factors'!$C$9:$C$108,0))="","",INDEX('Factors'!$H$9:$H$108,MATCH(R41,'Factors'!$C$9:$C$108,0))),"")="S2",IFERROR(IF(INDEX('Factors'!$I$9:$I$108,MATCH(R41,'Factors'!$C$9:$C$108,0))="","",INDEX('Factors'!$I$9:$I$108,MATCH(R41,'Factors'!$C$9:$C$108,0))),"")="Residual mix",IFERROR(IF(INDEX('Factors'!$J$9:$J$108,MATCH(R41,'Factors'!$C$9:$C$108,0))="","",INDEX('Factors'!$J$9:$J$108,MATCH(R41,'Factors'!$C$9:$C$108,0))),"")=G41,OR(IFERROR(IF(INDEX('Factors'!$E$9:$E$108,MATCH(R41,'Factors'!$C$9:$C$108,0))="","",INDEX('Factors'!$E$9:$E$108,MATCH(R41,'Factors'!$C$9:$C$108,0))),"")="Global",IFERROR(IF(INDEX('Factors'!$E$9:$E$108,MATCH(R41,'Factors'!$C$9:$C$108,0))="","",INDEX('Factors'!$E$9:$E$108,MATCH(R41,'Factors'!$C$9:$C$108,0))),"")=D41)),"Ready","Residual factor review"),"Residual availability review")))))))))))</x:f>
      </x:c>
      <x:c r="AA41" s="8"/>
      <x:c r="AB41" s="16"/>
      <x:c r="AC41" s="8"/>
    </x:row>
    <x:row r="42" ht="36" customHeight="1">
      <x:c r="A42" s="1"/>
      <x:c r="B42" s="1"/>
      <x:c r="C42" s="8"/>
      <x:c r="D42" s="8"/>
      <x:c r="E42" s="8"/>
      <x:c r="F42" s="8"/>
      <x:c r="G42" s="22"/>
      <x:c r="H42" s="16"/>
      <x:c r="I42" s="8"/>
      <x:c r="J42" s="16"/>
      <x:c r="K42" s="8"/>
      <x:c r="L42" s="8"/>
      <x:c r="M42" s="16"/>
      <x:c r="N42" s="8"/>
      <x:c r="O42" s="8"/>
      <x:c r="P42" s="8"/>
      <x:c r="Q42" s="8"/>
      <x:c r="R42" s="8"/>
      <x:c r="S42" s="8"/>
      <x:c r="T42" s="40"/>
      <x:c r="U42" s="23" t="str">
        <x:f>IF(X42="Ready",H42*IFERROR(IF(INDEX('Factors'!$G$9:$G$108,MATCH(I42,'Factors'!$C$9:$C$108,0))="","",INDEX('Factors'!$G$9:$G$108,MATCH(I42,'Factors'!$C$9:$C$108,0))),"")/1000+AB42,"")</x:f>
      </x:c>
      <x:c r="V42" s="23" t="str">
        <x:f>IF(Y42="Ready",J42*IFERROR(IF(INDEX('Factors'!$G$9:$G$108,MATCH(K42,'Factors'!$C$9:$C$108,0))="","",INDEX('Factors'!$G$9:$G$108,MATCH(K42,'Factors'!$C$9:$C$108,0))),"")/1000,"")</x:f>
      </x:c>
      <x:c r="W42" s="23" t="str">
        <x:f>IF(OR(Z42="Ready",Z42="Grid fallback"),(IF(M42&gt;0,M42*IFERROR(IF(INDEX('Factors'!$G$9:$G$108,MATCH(N42,'Factors'!$C$9:$C$108,0))="","",INDEX('Factors'!$G$9:$G$108,MATCH(N42,'Factors'!$C$9:$C$108,0))),""),0)+(J42-M42)*IF(M42=J42,0,IF(Q42="No",IFERROR(IF(INDEX('Factors'!$G$9:$G$108,MATCH(K42,'Factors'!$C$9:$C$108,0))="","",INDEX('Factors'!$G$9:$G$108,MATCH(K42,'Factors'!$C$9:$C$108,0))),""),IFERROR(IF(INDEX('Factors'!$G$9:$G$108,MATCH(R42,'Factors'!$C$9:$C$108,0))="","",INDEX('Factors'!$G$9:$G$108,MATCH(R42,'Factors'!$C$9:$C$108,0))),""))))/1000,"")</x:f>
      </x:c>
      <x:c r="X42" s="9" t="str">
        <x:f>IF(C42="","",IF(AND($D$6&lt;&gt;"Operational control",$D$6&lt;&gt;"Financial control"),"Control basis required",IF(F42="No","Outside control",IF(F42&lt;&gt;"Yes","Control review",IF(COUNTIFS($C$9:$C$108,C42)&lt;&gt;1,"Duplicate operation ID",IF(OR(S42="",NOT(ISNUMBER(T42)),T42&lt;'Settings'!$F$8,NOT(ISNUMBER(G42)),G42&lt;&gt;YEAR('Settings'!$F$8)),"Evidence / period review",IF(OR(NOT(ISNUMBER(H42)),H42&lt;0,AA42&lt;&gt;"Yes",NOT(ISNUMBER(AB42)),AB42&lt;0,AC42=""),"Activity required",IF(AND(IFERROR(IF(INDEX('Factors'!$P$9:$P$108,MATCH(I42,'Factors'!$C$9:$C$108,0))="","",INDEX('Factors'!$P$9:$P$108,MATCH(I42,'Factors'!$C$9:$C$108,0))),"")="Ready",IFERROR(IF(INDEX('Factors'!$F$9:$F$108,MATCH(I42,'Factors'!$C$9:$C$108,0))="","",INDEX('Factors'!$F$9:$F$108,MATCH(I42,'Factors'!$C$9:$C$108,0))),"")="litre",IFERROR(IF(INDEX('Factors'!$H$9:$H$108,MATCH(I42,'Factors'!$C$9:$C$108,0))="","",INDEX('Factors'!$H$9:$H$108,MATCH(I42,'Factors'!$C$9:$C$108,0))),"")="S1",IFERROR(IF(INDEX('Factors'!$I$9:$I$108,MATCH(I42,'Factors'!$C$9:$C$108,0))="","",INDEX('Factors'!$I$9:$I$108,MATCH(I42,'Factors'!$C$9:$C$108,0))),"")="Combustion",IFERROR(IF(INDEX('Factors'!$J$9:$J$108,MATCH(I42,'Factors'!$C$9:$C$108,0))="","",INDEX('Factors'!$J$9:$J$108,MATCH(I42,'Factors'!$C$9:$C$108,0))),"")=G42,OR(IFERROR(IF(INDEX('Factors'!$E$9:$E$108,MATCH(I42,'Factors'!$C$9:$C$108,0))="","",INDEX('Factors'!$E$9:$E$108,MATCH(I42,'Factors'!$C$9:$C$108,0))),"")="Global",IFERROR(IF(INDEX('Factors'!$E$9:$E$108,MATCH(I42,'Factors'!$C$9:$C$108,0))="","",INDEX('Factors'!$E$9:$E$108,MATCH(I42,'Factors'!$C$9:$C$108,0))),"")=D42)),"Ready","Factor / unit review"))))))))</x:f>
      </x:c>
      <x:c r="Y42" s="9" t="str">
        <x:f>IF(C42="","",IF(AND($D$6&lt;&gt;"Operational control",$D$6&lt;&gt;"Financial control"),"Control basis required",IF(F42="No","Outside control",IF(F42&lt;&gt;"Yes","Control review",IF(COUNTIFS($C$9:$C$108,C42)&lt;&gt;1,"Duplicate operation ID",IF(OR(S42="",NOT(ISNUMBER(T42)),T42&lt;'Settings'!$F$8,NOT(ISNUMBER(G42)),G42&lt;&gt;YEAR('Settings'!$F$8)),"Evidence / period review",IF(OR(NOT(ISNUMBER(J42)),J42&lt;0),"Activity required",IF(AND(IFERROR(IF(INDEX('Factors'!$P$9:$P$108,MATCH(K42,'Factors'!$C$9:$C$108,0))="","",INDEX('Factors'!$P$9:$P$108,MATCH(K42,'Factors'!$C$9:$C$108,0))),"")="Ready",IFERROR(IF(INDEX('Factors'!$F$9:$F$108,MATCH(K42,'Factors'!$C$9:$C$108,0))="","",INDEX('Factors'!$F$9:$F$108,MATCH(K42,'Factors'!$C$9:$C$108,0))),"")="kWh",IFERROR(IF(INDEX('Factors'!$H$9:$H$108,MATCH(K42,'Factors'!$C$9:$C$108,0))="","",INDEX('Factors'!$H$9:$H$108,MATCH(K42,'Factors'!$C$9:$C$108,0))),"")="S2",IFERROR(IF(INDEX('Factors'!$I$9:$I$108,MATCH(K42,'Factors'!$C$9:$C$108,0))="","",INDEX('Factors'!$I$9:$I$108,MATCH(K42,'Factors'!$C$9:$C$108,0))),"")="Location-based",IFERROR(IF(INDEX('Factors'!$J$9:$J$108,MATCH(K42,'Factors'!$C$9:$C$108,0))="","",INDEX('Factors'!$J$9:$J$108,MATCH(K42,'Factors'!$C$9:$C$108,0))),"")=G42,OR(IFERROR(IF(INDEX('Factors'!$E$9:$E$108,MATCH(K42,'Factors'!$C$9:$C$108,0))="","",INDEX('Factors'!$E$9:$E$108,MATCH(K42,'Factors'!$C$9:$C$108,0))),"")="Global",IFERROR(IF(INDEX('Factors'!$E$9:$E$108,MATCH(K42,'Factors'!$C$9:$C$108,0))="","",INDEX('Factors'!$E$9:$E$108,MATCH(K42,'Factors'!$C$9:$C$108,0))),"")=D42)),"Ready","Factor / unit review"))))))))</x:f>
      </x:c>
      <x:c r="Z42" s="9" t="str">
        <x:f>IF(C42="","",IF(F42="No","Outside control",IF(F42&lt;&gt;"Yes","Control review",IF($H$6="No","Not required",IF($H$6&lt;&gt;"Yes","Applicability review",IF(Y42&lt;&gt;"Ready",Y42,IF(OR(NOT(ISNUMBER(M42)),M42&lt;0,M42&gt;J42),"Contract quantity review",IF(AND(M42&gt;0,OR(O42&lt;&gt;"Pass",P42="",NOT(AND(IFERROR(IF(INDEX('Factors'!$P$9:$P$108,MATCH(N42,'Factors'!$C$9:$C$108,0))="","",INDEX('Factors'!$P$9:$P$108,MATCH(N42,'Factors'!$C$9:$C$108,0))),"")="Ready",IFERROR(IF(INDEX('Factors'!$F$9:$F$108,MATCH(N42,'Factors'!$C$9:$C$108,0))="","",INDEX('Factors'!$F$9:$F$108,MATCH(N42,'Factors'!$C$9:$C$108,0))),"")="kWh",IFERROR(IF(INDEX('Factors'!$H$9:$H$108,MATCH(N42,'Factors'!$C$9:$C$108,0))="","",INDEX('Factors'!$H$9:$H$108,MATCH(N42,'Factors'!$C$9:$C$108,0))),"")="S2",IFERROR(IF(INDEX('Factors'!$I$9:$I$108,MATCH(N42,'Factors'!$C$9:$C$108,0))="","",INDEX('Factors'!$I$9:$I$108,MATCH(N42,'Factors'!$C$9:$C$108,0))),"")="Market-based",IFERROR(IF(INDEX('Factors'!$J$9:$J$108,MATCH(N42,'Factors'!$C$9:$C$108,0))="","",INDEX('Factors'!$J$9:$J$108,MATCH(N42,'Factors'!$C$9:$C$108,0))),"")=G42,OR(IFERROR(IF(INDEX('Factors'!$E$9:$E$108,MATCH(N42,'Factors'!$C$9:$C$108,0))="","",INDEX('Factors'!$E$9:$E$108,MATCH(N42,'Factors'!$C$9:$C$108,0))),"")="Global",IFERROR(IF(INDEX('Factors'!$E$9:$E$108,MATCH(N42,'Factors'!$C$9:$C$108,0))="","",INDEX('Factors'!$E$9:$E$108,MATCH(N42,'Factors'!$C$9:$C$108,0))),"")=D42))))),"Contract criteria review",IF(M42=J42,"Ready",IF(Q42="No","Grid fallback",IF(Q42="Yes",IF(AND(IFERROR(IF(INDEX('Factors'!$P$9:$P$108,MATCH(R42,'Factors'!$C$9:$C$108,0))="","",INDEX('Factors'!$P$9:$P$108,MATCH(R42,'Factors'!$C$9:$C$108,0))),"")="Ready",IFERROR(IF(INDEX('Factors'!$F$9:$F$108,MATCH(R42,'Factors'!$C$9:$C$108,0))="","",INDEX('Factors'!$F$9:$F$108,MATCH(R42,'Factors'!$C$9:$C$108,0))),"")="kWh",IFERROR(IF(INDEX('Factors'!$H$9:$H$108,MATCH(R42,'Factors'!$C$9:$C$108,0))="","",INDEX('Factors'!$H$9:$H$108,MATCH(R42,'Factors'!$C$9:$C$108,0))),"")="S2",IFERROR(IF(INDEX('Factors'!$I$9:$I$108,MATCH(R42,'Factors'!$C$9:$C$108,0))="","",INDEX('Factors'!$I$9:$I$108,MATCH(R42,'Factors'!$C$9:$C$108,0))),"")="Residual mix",IFERROR(IF(INDEX('Factors'!$J$9:$J$108,MATCH(R42,'Factors'!$C$9:$C$108,0))="","",INDEX('Factors'!$J$9:$J$108,MATCH(R42,'Factors'!$C$9:$C$108,0))),"")=G42,OR(IFERROR(IF(INDEX('Factors'!$E$9:$E$108,MATCH(R42,'Factors'!$C$9:$C$108,0))="","",INDEX('Factors'!$E$9:$E$108,MATCH(R42,'Factors'!$C$9:$C$108,0))),"")="Global",IFERROR(IF(INDEX('Factors'!$E$9:$E$108,MATCH(R42,'Factors'!$C$9:$C$108,0))="","",INDEX('Factors'!$E$9:$E$108,MATCH(R42,'Factors'!$C$9:$C$108,0))),"")=D42)),"Ready","Residual factor review"),"Residual availability review")))))))))))</x:f>
      </x:c>
      <x:c r="AA42" s="8"/>
      <x:c r="AB42" s="16"/>
      <x:c r="AC42" s="8"/>
    </x:row>
    <x:row r="43" ht="36" customHeight="1">
      <x:c r="A43" s="1"/>
      <x:c r="B43" s="1"/>
      <x:c r="C43" s="8"/>
      <x:c r="D43" s="8"/>
      <x:c r="E43" s="8"/>
      <x:c r="F43" s="8"/>
      <x:c r="G43" s="22"/>
      <x:c r="H43" s="16"/>
      <x:c r="I43" s="8"/>
      <x:c r="J43" s="16"/>
      <x:c r="K43" s="8"/>
      <x:c r="L43" s="8"/>
      <x:c r="M43" s="16"/>
      <x:c r="N43" s="8"/>
      <x:c r="O43" s="8"/>
      <x:c r="P43" s="8"/>
      <x:c r="Q43" s="8"/>
      <x:c r="R43" s="8"/>
      <x:c r="S43" s="8"/>
      <x:c r="T43" s="40"/>
      <x:c r="U43" s="23" t="str">
        <x:f>IF(X43="Ready",H43*IFERROR(IF(INDEX('Factors'!$G$9:$G$108,MATCH(I43,'Factors'!$C$9:$C$108,0))="","",INDEX('Factors'!$G$9:$G$108,MATCH(I43,'Factors'!$C$9:$C$108,0))),"")/1000+AB43,"")</x:f>
      </x:c>
      <x:c r="V43" s="23" t="str">
        <x:f>IF(Y43="Ready",J43*IFERROR(IF(INDEX('Factors'!$G$9:$G$108,MATCH(K43,'Factors'!$C$9:$C$108,0))="","",INDEX('Factors'!$G$9:$G$108,MATCH(K43,'Factors'!$C$9:$C$108,0))),"")/1000,"")</x:f>
      </x:c>
      <x:c r="W43" s="23" t="str">
        <x:f>IF(OR(Z43="Ready",Z43="Grid fallback"),(IF(M43&gt;0,M43*IFERROR(IF(INDEX('Factors'!$G$9:$G$108,MATCH(N43,'Factors'!$C$9:$C$108,0))="","",INDEX('Factors'!$G$9:$G$108,MATCH(N43,'Factors'!$C$9:$C$108,0))),""),0)+(J43-M43)*IF(M43=J43,0,IF(Q43="No",IFERROR(IF(INDEX('Factors'!$G$9:$G$108,MATCH(K43,'Factors'!$C$9:$C$108,0))="","",INDEX('Factors'!$G$9:$G$108,MATCH(K43,'Factors'!$C$9:$C$108,0))),""),IFERROR(IF(INDEX('Factors'!$G$9:$G$108,MATCH(R43,'Factors'!$C$9:$C$108,0))="","",INDEX('Factors'!$G$9:$G$108,MATCH(R43,'Factors'!$C$9:$C$108,0))),""))))/1000,"")</x:f>
      </x:c>
      <x:c r="X43" s="9" t="str">
        <x:f>IF(C43="","",IF(AND($D$6&lt;&gt;"Operational control",$D$6&lt;&gt;"Financial control"),"Control basis required",IF(F43="No","Outside control",IF(F43&lt;&gt;"Yes","Control review",IF(COUNTIFS($C$9:$C$108,C43)&lt;&gt;1,"Duplicate operation ID",IF(OR(S43="",NOT(ISNUMBER(T43)),T43&lt;'Settings'!$F$8,NOT(ISNUMBER(G43)),G43&lt;&gt;YEAR('Settings'!$F$8)),"Evidence / period review",IF(OR(NOT(ISNUMBER(H43)),H43&lt;0,AA43&lt;&gt;"Yes",NOT(ISNUMBER(AB43)),AB43&lt;0,AC43=""),"Activity required",IF(AND(IFERROR(IF(INDEX('Factors'!$P$9:$P$108,MATCH(I43,'Factors'!$C$9:$C$108,0))="","",INDEX('Factors'!$P$9:$P$108,MATCH(I43,'Factors'!$C$9:$C$108,0))),"")="Ready",IFERROR(IF(INDEX('Factors'!$F$9:$F$108,MATCH(I43,'Factors'!$C$9:$C$108,0))="","",INDEX('Factors'!$F$9:$F$108,MATCH(I43,'Factors'!$C$9:$C$108,0))),"")="litre",IFERROR(IF(INDEX('Factors'!$H$9:$H$108,MATCH(I43,'Factors'!$C$9:$C$108,0))="","",INDEX('Factors'!$H$9:$H$108,MATCH(I43,'Factors'!$C$9:$C$108,0))),"")="S1",IFERROR(IF(INDEX('Factors'!$I$9:$I$108,MATCH(I43,'Factors'!$C$9:$C$108,0))="","",INDEX('Factors'!$I$9:$I$108,MATCH(I43,'Factors'!$C$9:$C$108,0))),"")="Combustion",IFERROR(IF(INDEX('Factors'!$J$9:$J$108,MATCH(I43,'Factors'!$C$9:$C$108,0))="","",INDEX('Factors'!$J$9:$J$108,MATCH(I43,'Factors'!$C$9:$C$108,0))),"")=G43,OR(IFERROR(IF(INDEX('Factors'!$E$9:$E$108,MATCH(I43,'Factors'!$C$9:$C$108,0))="","",INDEX('Factors'!$E$9:$E$108,MATCH(I43,'Factors'!$C$9:$C$108,0))),"")="Global",IFERROR(IF(INDEX('Factors'!$E$9:$E$108,MATCH(I43,'Factors'!$C$9:$C$108,0))="","",INDEX('Factors'!$E$9:$E$108,MATCH(I43,'Factors'!$C$9:$C$108,0))),"")=D43)),"Ready","Factor / unit review"))))))))</x:f>
      </x:c>
      <x:c r="Y43" s="9" t="str">
        <x:f>IF(C43="","",IF(AND($D$6&lt;&gt;"Operational control",$D$6&lt;&gt;"Financial control"),"Control basis required",IF(F43="No","Outside control",IF(F43&lt;&gt;"Yes","Control review",IF(COUNTIFS($C$9:$C$108,C43)&lt;&gt;1,"Duplicate operation ID",IF(OR(S43="",NOT(ISNUMBER(T43)),T43&lt;'Settings'!$F$8,NOT(ISNUMBER(G43)),G43&lt;&gt;YEAR('Settings'!$F$8)),"Evidence / period review",IF(OR(NOT(ISNUMBER(J43)),J43&lt;0),"Activity required",IF(AND(IFERROR(IF(INDEX('Factors'!$P$9:$P$108,MATCH(K43,'Factors'!$C$9:$C$108,0))="","",INDEX('Factors'!$P$9:$P$108,MATCH(K43,'Factors'!$C$9:$C$108,0))),"")="Ready",IFERROR(IF(INDEX('Factors'!$F$9:$F$108,MATCH(K43,'Factors'!$C$9:$C$108,0))="","",INDEX('Factors'!$F$9:$F$108,MATCH(K43,'Factors'!$C$9:$C$108,0))),"")="kWh",IFERROR(IF(INDEX('Factors'!$H$9:$H$108,MATCH(K43,'Factors'!$C$9:$C$108,0))="","",INDEX('Factors'!$H$9:$H$108,MATCH(K43,'Factors'!$C$9:$C$108,0))),"")="S2",IFERROR(IF(INDEX('Factors'!$I$9:$I$108,MATCH(K43,'Factors'!$C$9:$C$108,0))="","",INDEX('Factors'!$I$9:$I$108,MATCH(K43,'Factors'!$C$9:$C$108,0))),"")="Location-based",IFERROR(IF(INDEX('Factors'!$J$9:$J$108,MATCH(K43,'Factors'!$C$9:$C$108,0))="","",INDEX('Factors'!$J$9:$J$108,MATCH(K43,'Factors'!$C$9:$C$108,0))),"")=G43,OR(IFERROR(IF(INDEX('Factors'!$E$9:$E$108,MATCH(K43,'Factors'!$C$9:$C$108,0))="","",INDEX('Factors'!$E$9:$E$108,MATCH(K43,'Factors'!$C$9:$C$108,0))),"")="Global",IFERROR(IF(INDEX('Factors'!$E$9:$E$108,MATCH(K43,'Factors'!$C$9:$C$108,0))="","",INDEX('Factors'!$E$9:$E$108,MATCH(K43,'Factors'!$C$9:$C$108,0))),"")=D43)),"Ready","Factor / unit review"))))))))</x:f>
      </x:c>
      <x:c r="Z43" s="9" t="str">
        <x:f>IF(C43="","",IF(F43="No","Outside control",IF(F43&lt;&gt;"Yes","Control review",IF($H$6="No","Not required",IF($H$6&lt;&gt;"Yes","Applicability review",IF(Y43&lt;&gt;"Ready",Y43,IF(OR(NOT(ISNUMBER(M43)),M43&lt;0,M43&gt;J43),"Contract quantity review",IF(AND(M43&gt;0,OR(O43&lt;&gt;"Pass",P43="",NOT(AND(IFERROR(IF(INDEX('Factors'!$P$9:$P$108,MATCH(N43,'Factors'!$C$9:$C$108,0))="","",INDEX('Factors'!$P$9:$P$108,MATCH(N43,'Factors'!$C$9:$C$108,0))),"")="Ready",IFERROR(IF(INDEX('Factors'!$F$9:$F$108,MATCH(N43,'Factors'!$C$9:$C$108,0))="","",INDEX('Factors'!$F$9:$F$108,MATCH(N43,'Factors'!$C$9:$C$108,0))),"")="kWh",IFERROR(IF(INDEX('Factors'!$H$9:$H$108,MATCH(N43,'Factors'!$C$9:$C$108,0))="","",INDEX('Factors'!$H$9:$H$108,MATCH(N43,'Factors'!$C$9:$C$108,0))),"")="S2",IFERROR(IF(INDEX('Factors'!$I$9:$I$108,MATCH(N43,'Factors'!$C$9:$C$108,0))="","",INDEX('Factors'!$I$9:$I$108,MATCH(N43,'Factors'!$C$9:$C$108,0))),"")="Market-based",IFERROR(IF(INDEX('Factors'!$J$9:$J$108,MATCH(N43,'Factors'!$C$9:$C$108,0))="","",INDEX('Factors'!$J$9:$J$108,MATCH(N43,'Factors'!$C$9:$C$108,0))),"")=G43,OR(IFERROR(IF(INDEX('Factors'!$E$9:$E$108,MATCH(N43,'Factors'!$C$9:$C$108,0))="","",INDEX('Factors'!$E$9:$E$108,MATCH(N43,'Factors'!$C$9:$C$108,0))),"")="Global",IFERROR(IF(INDEX('Factors'!$E$9:$E$108,MATCH(N43,'Factors'!$C$9:$C$108,0))="","",INDEX('Factors'!$E$9:$E$108,MATCH(N43,'Factors'!$C$9:$C$108,0))),"")=D43))))),"Contract criteria review",IF(M43=J43,"Ready",IF(Q43="No","Grid fallback",IF(Q43="Yes",IF(AND(IFERROR(IF(INDEX('Factors'!$P$9:$P$108,MATCH(R43,'Factors'!$C$9:$C$108,0))="","",INDEX('Factors'!$P$9:$P$108,MATCH(R43,'Factors'!$C$9:$C$108,0))),"")="Ready",IFERROR(IF(INDEX('Factors'!$F$9:$F$108,MATCH(R43,'Factors'!$C$9:$C$108,0))="","",INDEX('Factors'!$F$9:$F$108,MATCH(R43,'Factors'!$C$9:$C$108,0))),"")="kWh",IFERROR(IF(INDEX('Factors'!$H$9:$H$108,MATCH(R43,'Factors'!$C$9:$C$108,0))="","",INDEX('Factors'!$H$9:$H$108,MATCH(R43,'Factors'!$C$9:$C$108,0))),"")="S2",IFERROR(IF(INDEX('Factors'!$I$9:$I$108,MATCH(R43,'Factors'!$C$9:$C$108,0))="","",INDEX('Factors'!$I$9:$I$108,MATCH(R43,'Factors'!$C$9:$C$108,0))),"")="Residual mix",IFERROR(IF(INDEX('Factors'!$J$9:$J$108,MATCH(R43,'Factors'!$C$9:$C$108,0))="","",INDEX('Factors'!$J$9:$J$108,MATCH(R43,'Factors'!$C$9:$C$108,0))),"")=G43,OR(IFERROR(IF(INDEX('Factors'!$E$9:$E$108,MATCH(R43,'Factors'!$C$9:$C$108,0))="","",INDEX('Factors'!$E$9:$E$108,MATCH(R43,'Factors'!$C$9:$C$108,0))),"")="Global",IFERROR(IF(INDEX('Factors'!$E$9:$E$108,MATCH(R43,'Factors'!$C$9:$C$108,0))="","",INDEX('Factors'!$E$9:$E$108,MATCH(R43,'Factors'!$C$9:$C$108,0))),"")=D43)),"Ready","Residual factor review"),"Residual availability review")))))))))))</x:f>
      </x:c>
      <x:c r="AA43" s="8"/>
      <x:c r="AB43" s="16"/>
      <x:c r="AC43" s="8"/>
    </x:row>
    <x:row r="44" ht="36" customHeight="1">
      <x:c r="A44" s="1"/>
      <x:c r="B44" s="1"/>
      <x:c r="C44" s="8"/>
      <x:c r="D44" s="8"/>
      <x:c r="E44" s="8"/>
      <x:c r="F44" s="8"/>
      <x:c r="G44" s="22"/>
      <x:c r="H44" s="16"/>
      <x:c r="I44" s="8"/>
      <x:c r="J44" s="16"/>
      <x:c r="K44" s="8"/>
      <x:c r="L44" s="8"/>
      <x:c r="M44" s="16"/>
      <x:c r="N44" s="8"/>
      <x:c r="O44" s="8"/>
      <x:c r="P44" s="8"/>
      <x:c r="Q44" s="8"/>
      <x:c r="R44" s="8"/>
      <x:c r="S44" s="8"/>
      <x:c r="T44" s="40"/>
      <x:c r="U44" s="23" t="str">
        <x:f>IF(X44="Ready",H44*IFERROR(IF(INDEX('Factors'!$G$9:$G$108,MATCH(I44,'Factors'!$C$9:$C$108,0))="","",INDEX('Factors'!$G$9:$G$108,MATCH(I44,'Factors'!$C$9:$C$108,0))),"")/1000+AB44,"")</x:f>
      </x:c>
      <x:c r="V44" s="23" t="str">
        <x:f>IF(Y44="Ready",J44*IFERROR(IF(INDEX('Factors'!$G$9:$G$108,MATCH(K44,'Factors'!$C$9:$C$108,0))="","",INDEX('Factors'!$G$9:$G$108,MATCH(K44,'Factors'!$C$9:$C$108,0))),"")/1000,"")</x:f>
      </x:c>
      <x:c r="W44" s="23" t="str">
        <x:f>IF(OR(Z44="Ready",Z44="Grid fallback"),(IF(M44&gt;0,M44*IFERROR(IF(INDEX('Factors'!$G$9:$G$108,MATCH(N44,'Factors'!$C$9:$C$108,0))="","",INDEX('Factors'!$G$9:$G$108,MATCH(N44,'Factors'!$C$9:$C$108,0))),""),0)+(J44-M44)*IF(M44=J44,0,IF(Q44="No",IFERROR(IF(INDEX('Factors'!$G$9:$G$108,MATCH(K44,'Factors'!$C$9:$C$108,0))="","",INDEX('Factors'!$G$9:$G$108,MATCH(K44,'Factors'!$C$9:$C$108,0))),""),IFERROR(IF(INDEX('Factors'!$G$9:$G$108,MATCH(R44,'Factors'!$C$9:$C$108,0))="","",INDEX('Factors'!$G$9:$G$108,MATCH(R44,'Factors'!$C$9:$C$108,0))),""))))/1000,"")</x:f>
      </x:c>
      <x:c r="X44" s="9" t="str">
        <x:f>IF(C44="","",IF(AND($D$6&lt;&gt;"Operational control",$D$6&lt;&gt;"Financial control"),"Control basis required",IF(F44="No","Outside control",IF(F44&lt;&gt;"Yes","Control review",IF(COUNTIFS($C$9:$C$108,C44)&lt;&gt;1,"Duplicate operation ID",IF(OR(S44="",NOT(ISNUMBER(T44)),T44&lt;'Settings'!$F$8,NOT(ISNUMBER(G44)),G44&lt;&gt;YEAR('Settings'!$F$8)),"Evidence / period review",IF(OR(NOT(ISNUMBER(H44)),H44&lt;0,AA44&lt;&gt;"Yes",NOT(ISNUMBER(AB44)),AB44&lt;0,AC44=""),"Activity required",IF(AND(IFERROR(IF(INDEX('Factors'!$P$9:$P$108,MATCH(I44,'Factors'!$C$9:$C$108,0))="","",INDEX('Factors'!$P$9:$P$108,MATCH(I44,'Factors'!$C$9:$C$108,0))),"")="Ready",IFERROR(IF(INDEX('Factors'!$F$9:$F$108,MATCH(I44,'Factors'!$C$9:$C$108,0))="","",INDEX('Factors'!$F$9:$F$108,MATCH(I44,'Factors'!$C$9:$C$108,0))),"")="litre",IFERROR(IF(INDEX('Factors'!$H$9:$H$108,MATCH(I44,'Factors'!$C$9:$C$108,0))="","",INDEX('Factors'!$H$9:$H$108,MATCH(I44,'Factors'!$C$9:$C$108,0))),"")="S1",IFERROR(IF(INDEX('Factors'!$I$9:$I$108,MATCH(I44,'Factors'!$C$9:$C$108,0))="","",INDEX('Factors'!$I$9:$I$108,MATCH(I44,'Factors'!$C$9:$C$108,0))),"")="Combustion",IFERROR(IF(INDEX('Factors'!$J$9:$J$108,MATCH(I44,'Factors'!$C$9:$C$108,0))="","",INDEX('Factors'!$J$9:$J$108,MATCH(I44,'Factors'!$C$9:$C$108,0))),"")=G44,OR(IFERROR(IF(INDEX('Factors'!$E$9:$E$108,MATCH(I44,'Factors'!$C$9:$C$108,0))="","",INDEX('Factors'!$E$9:$E$108,MATCH(I44,'Factors'!$C$9:$C$108,0))),"")="Global",IFERROR(IF(INDEX('Factors'!$E$9:$E$108,MATCH(I44,'Factors'!$C$9:$C$108,0))="","",INDEX('Factors'!$E$9:$E$108,MATCH(I44,'Factors'!$C$9:$C$108,0))),"")=D44)),"Ready","Factor / unit review"))))))))</x:f>
      </x:c>
      <x:c r="Y44" s="9" t="str">
        <x:f>IF(C44="","",IF(AND($D$6&lt;&gt;"Operational control",$D$6&lt;&gt;"Financial control"),"Control basis required",IF(F44="No","Outside control",IF(F44&lt;&gt;"Yes","Control review",IF(COUNTIFS($C$9:$C$108,C44)&lt;&gt;1,"Duplicate operation ID",IF(OR(S44="",NOT(ISNUMBER(T44)),T44&lt;'Settings'!$F$8,NOT(ISNUMBER(G44)),G44&lt;&gt;YEAR('Settings'!$F$8)),"Evidence / period review",IF(OR(NOT(ISNUMBER(J44)),J44&lt;0),"Activity required",IF(AND(IFERROR(IF(INDEX('Factors'!$P$9:$P$108,MATCH(K44,'Factors'!$C$9:$C$108,0))="","",INDEX('Factors'!$P$9:$P$108,MATCH(K44,'Factors'!$C$9:$C$108,0))),"")="Ready",IFERROR(IF(INDEX('Factors'!$F$9:$F$108,MATCH(K44,'Factors'!$C$9:$C$108,0))="","",INDEX('Factors'!$F$9:$F$108,MATCH(K44,'Factors'!$C$9:$C$108,0))),"")="kWh",IFERROR(IF(INDEX('Factors'!$H$9:$H$108,MATCH(K44,'Factors'!$C$9:$C$108,0))="","",INDEX('Factors'!$H$9:$H$108,MATCH(K44,'Factors'!$C$9:$C$108,0))),"")="S2",IFERROR(IF(INDEX('Factors'!$I$9:$I$108,MATCH(K44,'Factors'!$C$9:$C$108,0))="","",INDEX('Factors'!$I$9:$I$108,MATCH(K44,'Factors'!$C$9:$C$108,0))),"")="Location-based",IFERROR(IF(INDEX('Factors'!$J$9:$J$108,MATCH(K44,'Factors'!$C$9:$C$108,0))="","",INDEX('Factors'!$J$9:$J$108,MATCH(K44,'Factors'!$C$9:$C$108,0))),"")=G44,OR(IFERROR(IF(INDEX('Factors'!$E$9:$E$108,MATCH(K44,'Factors'!$C$9:$C$108,0))="","",INDEX('Factors'!$E$9:$E$108,MATCH(K44,'Factors'!$C$9:$C$108,0))),"")="Global",IFERROR(IF(INDEX('Factors'!$E$9:$E$108,MATCH(K44,'Factors'!$C$9:$C$108,0))="","",INDEX('Factors'!$E$9:$E$108,MATCH(K44,'Factors'!$C$9:$C$108,0))),"")=D44)),"Ready","Factor / unit review"))))))))</x:f>
      </x:c>
      <x:c r="Z44" s="9" t="str">
        <x:f>IF(C44="","",IF(F44="No","Outside control",IF(F44&lt;&gt;"Yes","Control review",IF($H$6="No","Not required",IF($H$6&lt;&gt;"Yes","Applicability review",IF(Y44&lt;&gt;"Ready",Y44,IF(OR(NOT(ISNUMBER(M44)),M44&lt;0,M44&gt;J44),"Contract quantity review",IF(AND(M44&gt;0,OR(O44&lt;&gt;"Pass",P44="",NOT(AND(IFERROR(IF(INDEX('Factors'!$P$9:$P$108,MATCH(N44,'Factors'!$C$9:$C$108,0))="","",INDEX('Factors'!$P$9:$P$108,MATCH(N44,'Factors'!$C$9:$C$108,0))),"")="Ready",IFERROR(IF(INDEX('Factors'!$F$9:$F$108,MATCH(N44,'Factors'!$C$9:$C$108,0))="","",INDEX('Factors'!$F$9:$F$108,MATCH(N44,'Factors'!$C$9:$C$108,0))),"")="kWh",IFERROR(IF(INDEX('Factors'!$H$9:$H$108,MATCH(N44,'Factors'!$C$9:$C$108,0))="","",INDEX('Factors'!$H$9:$H$108,MATCH(N44,'Factors'!$C$9:$C$108,0))),"")="S2",IFERROR(IF(INDEX('Factors'!$I$9:$I$108,MATCH(N44,'Factors'!$C$9:$C$108,0))="","",INDEX('Factors'!$I$9:$I$108,MATCH(N44,'Factors'!$C$9:$C$108,0))),"")="Market-based",IFERROR(IF(INDEX('Factors'!$J$9:$J$108,MATCH(N44,'Factors'!$C$9:$C$108,0))="","",INDEX('Factors'!$J$9:$J$108,MATCH(N44,'Factors'!$C$9:$C$108,0))),"")=G44,OR(IFERROR(IF(INDEX('Factors'!$E$9:$E$108,MATCH(N44,'Factors'!$C$9:$C$108,0))="","",INDEX('Factors'!$E$9:$E$108,MATCH(N44,'Factors'!$C$9:$C$108,0))),"")="Global",IFERROR(IF(INDEX('Factors'!$E$9:$E$108,MATCH(N44,'Factors'!$C$9:$C$108,0))="","",INDEX('Factors'!$E$9:$E$108,MATCH(N44,'Factors'!$C$9:$C$108,0))),"")=D44))))),"Contract criteria review",IF(M44=J44,"Ready",IF(Q44="No","Grid fallback",IF(Q44="Yes",IF(AND(IFERROR(IF(INDEX('Factors'!$P$9:$P$108,MATCH(R44,'Factors'!$C$9:$C$108,0))="","",INDEX('Factors'!$P$9:$P$108,MATCH(R44,'Factors'!$C$9:$C$108,0))),"")="Ready",IFERROR(IF(INDEX('Factors'!$F$9:$F$108,MATCH(R44,'Factors'!$C$9:$C$108,0))="","",INDEX('Factors'!$F$9:$F$108,MATCH(R44,'Factors'!$C$9:$C$108,0))),"")="kWh",IFERROR(IF(INDEX('Factors'!$H$9:$H$108,MATCH(R44,'Factors'!$C$9:$C$108,0))="","",INDEX('Factors'!$H$9:$H$108,MATCH(R44,'Factors'!$C$9:$C$108,0))),"")="S2",IFERROR(IF(INDEX('Factors'!$I$9:$I$108,MATCH(R44,'Factors'!$C$9:$C$108,0))="","",INDEX('Factors'!$I$9:$I$108,MATCH(R44,'Factors'!$C$9:$C$108,0))),"")="Residual mix",IFERROR(IF(INDEX('Factors'!$J$9:$J$108,MATCH(R44,'Factors'!$C$9:$C$108,0))="","",INDEX('Factors'!$J$9:$J$108,MATCH(R44,'Factors'!$C$9:$C$108,0))),"")=G44,OR(IFERROR(IF(INDEX('Factors'!$E$9:$E$108,MATCH(R44,'Factors'!$C$9:$C$108,0))="","",INDEX('Factors'!$E$9:$E$108,MATCH(R44,'Factors'!$C$9:$C$108,0))),"")="Global",IFERROR(IF(INDEX('Factors'!$E$9:$E$108,MATCH(R44,'Factors'!$C$9:$C$108,0))="","",INDEX('Factors'!$E$9:$E$108,MATCH(R44,'Factors'!$C$9:$C$108,0))),"")=D44)),"Ready","Residual factor review"),"Residual availability review")))))))))))</x:f>
      </x:c>
      <x:c r="AA44" s="8"/>
      <x:c r="AB44" s="16"/>
      <x:c r="AC44" s="8"/>
    </x:row>
    <x:row r="45" ht="36" customHeight="1">
      <x:c r="A45" s="1"/>
      <x:c r="B45" s="1"/>
      <x:c r="C45" s="8"/>
      <x:c r="D45" s="8"/>
      <x:c r="E45" s="8"/>
      <x:c r="F45" s="8"/>
      <x:c r="G45" s="22"/>
      <x:c r="H45" s="16"/>
      <x:c r="I45" s="8"/>
      <x:c r="J45" s="16"/>
      <x:c r="K45" s="8"/>
      <x:c r="L45" s="8"/>
      <x:c r="M45" s="16"/>
      <x:c r="N45" s="8"/>
      <x:c r="O45" s="8"/>
      <x:c r="P45" s="8"/>
      <x:c r="Q45" s="8"/>
      <x:c r="R45" s="8"/>
      <x:c r="S45" s="8"/>
      <x:c r="T45" s="40"/>
      <x:c r="U45" s="23" t="str">
        <x:f>IF(X45="Ready",H45*IFERROR(IF(INDEX('Factors'!$G$9:$G$108,MATCH(I45,'Factors'!$C$9:$C$108,0))="","",INDEX('Factors'!$G$9:$G$108,MATCH(I45,'Factors'!$C$9:$C$108,0))),"")/1000+AB45,"")</x:f>
      </x:c>
      <x:c r="V45" s="23" t="str">
        <x:f>IF(Y45="Ready",J45*IFERROR(IF(INDEX('Factors'!$G$9:$G$108,MATCH(K45,'Factors'!$C$9:$C$108,0))="","",INDEX('Factors'!$G$9:$G$108,MATCH(K45,'Factors'!$C$9:$C$108,0))),"")/1000,"")</x:f>
      </x:c>
      <x:c r="W45" s="23" t="str">
        <x:f>IF(OR(Z45="Ready",Z45="Grid fallback"),(IF(M45&gt;0,M45*IFERROR(IF(INDEX('Factors'!$G$9:$G$108,MATCH(N45,'Factors'!$C$9:$C$108,0))="","",INDEX('Factors'!$G$9:$G$108,MATCH(N45,'Factors'!$C$9:$C$108,0))),""),0)+(J45-M45)*IF(M45=J45,0,IF(Q45="No",IFERROR(IF(INDEX('Factors'!$G$9:$G$108,MATCH(K45,'Factors'!$C$9:$C$108,0))="","",INDEX('Factors'!$G$9:$G$108,MATCH(K45,'Factors'!$C$9:$C$108,0))),""),IFERROR(IF(INDEX('Factors'!$G$9:$G$108,MATCH(R45,'Factors'!$C$9:$C$108,0))="","",INDEX('Factors'!$G$9:$G$108,MATCH(R45,'Factors'!$C$9:$C$108,0))),""))))/1000,"")</x:f>
      </x:c>
      <x:c r="X45" s="9" t="str">
        <x:f>IF(C45="","",IF(AND($D$6&lt;&gt;"Operational control",$D$6&lt;&gt;"Financial control"),"Control basis required",IF(F45="No","Outside control",IF(F45&lt;&gt;"Yes","Control review",IF(COUNTIFS($C$9:$C$108,C45)&lt;&gt;1,"Duplicate operation ID",IF(OR(S45="",NOT(ISNUMBER(T45)),T45&lt;'Settings'!$F$8,NOT(ISNUMBER(G45)),G45&lt;&gt;YEAR('Settings'!$F$8)),"Evidence / period review",IF(OR(NOT(ISNUMBER(H45)),H45&lt;0,AA45&lt;&gt;"Yes",NOT(ISNUMBER(AB45)),AB45&lt;0,AC45=""),"Activity required",IF(AND(IFERROR(IF(INDEX('Factors'!$P$9:$P$108,MATCH(I45,'Factors'!$C$9:$C$108,0))="","",INDEX('Factors'!$P$9:$P$108,MATCH(I45,'Factors'!$C$9:$C$108,0))),"")="Ready",IFERROR(IF(INDEX('Factors'!$F$9:$F$108,MATCH(I45,'Factors'!$C$9:$C$108,0))="","",INDEX('Factors'!$F$9:$F$108,MATCH(I45,'Factors'!$C$9:$C$108,0))),"")="litre",IFERROR(IF(INDEX('Factors'!$H$9:$H$108,MATCH(I45,'Factors'!$C$9:$C$108,0))="","",INDEX('Factors'!$H$9:$H$108,MATCH(I45,'Factors'!$C$9:$C$108,0))),"")="S1",IFERROR(IF(INDEX('Factors'!$I$9:$I$108,MATCH(I45,'Factors'!$C$9:$C$108,0))="","",INDEX('Factors'!$I$9:$I$108,MATCH(I45,'Factors'!$C$9:$C$108,0))),"")="Combustion",IFERROR(IF(INDEX('Factors'!$J$9:$J$108,MATCH(I45,'Factors'!$C$9:$C$108,0))="","",INDEX('Factors'!$J$9:$J$108,MATCH(I45,'Factors'!$C$9:$C$108,0))),"")=G45,OR(IFERROR(IF(INDEX('Factors'!$E$9:$E$108,MATCH(I45,'Factors'!$C$9:$C$108,0))="","",INDEX('Factors'!$E$9:$E$108,MATCH(I45,'Factors'!$C$9:$C$108,0))),"")="Global",IFERROR(IF(INDEX('Factors'!$E$9:$E$108,MATCH(I45,'Factors'!$C$9:$C$108,0))="","",INDEX('Factors'!$E$9:$E$108,MATCH(I45,'Factors'!$C$9:$C$108,0))),"")=D45)),"Ready","Factor / unit review"))))))))</x:f>
      </x:c>
      <x:c r="Y45" s="9" t="str">
        <x:f>IF(C45="","",IF(AND($D$6&lt;&gt;"Operational control",$D$6&lt;&gt;"Financial control"),"Control basis required",IF(F45="No","Outside control",IF(F45&lt;&gt;"Yes","Control review",IF(COUNTIFS($C$9:$C$108,C45)&lt;&gt;1,"Duplicate operation ID",IF(OR(S45="",NOT(ISNUMBER(T45)),T45&lt;'Settings'!$F$8,NOT(ISNUMBER(G45)),G45&lt;&gt;YEAR('Settings'!$F$8)),"Evidence / period review",IF(OR(NOT(ISNUMBER(J45)),J45&lt;0),"Activity required",IF(AND(IFERROR(IF(INDEX('Factors'!$P$9:$P$108,MATCH(K45,'Factors'!$C$9:$C$108,0))="","",INDEX('Factors'!$P$9:$P$108,MATCH(K45,'Factors'!$C$9:$C$108,0))),"")="Ready",IFERROR(IF(INDEX('Factors'!$F$9:$F$108,MATCH(K45,'Factors'!$C$9:$C$108,0))="","",INDEX('Factors'!$F$9:$F$108,MATCH(K45,'Factors'!$C$9:$C$108,0))),"")="kWh",IFERROR(IF(INDEX('Factors'!$H$9:$H$108,MATCH(K45,'Factors'!$C$9:$C$108,0))="","",INDEX('Factors'!$H$9:$H$108,MATCH(K45,'Factors'!$C$9:$C$108,0))),"")="S2",IFERROR(IF(INDEX('Factors'!$I$9:$I$108,MATCH(K45,'Factors'!$C$9:$C$108,0))="","",INDEX('Factors'!$I$9:$I$108,MATCH(K45,'Factors'!$C$9:$C$108,0))),"")="Location-based",IFERROR(IF(INDEX('Factors'!$J$9:$J$108,MATCH(K45,'Factors'!$C$9:$C$108,0))="","",INDEX('Factors'!$J$9:$J$108,MATCH(K45,'Factors'!$C$9:$C$108,0))),"")=G45,OR(IFERROR(IF(INDEX('Factors'!$E$9:$E$108,MATCH(K45,'Factors'!$C$9:$C$108,0))="","",INDEX('Factors'!$E$9:$E$108,MATCH(K45,'Factors'!$C$9:$C$108,0))),"")="Global",IFERROR(IF(INDEX('Factors'!$E$9:$E$108,MATCH(K45,'Factors'!$C$9:$C$108,0))="","",INDEX('Factors'!$E$9:$E$108,MATCH(K45,'Factors'!$C$9:$C$108,0))),"")=D45)),"Ready","Factor / unit review"))))))))</x:f>
      </x:c>
      <x:c r="Z45" s="9" t="str">
        <x:f>IF(C45="","",IF(F45="No","Outside control",IF(F45&lt;&gt;"Yes","Control review",IF($H$6="No","Not required",IF($H$6&lt;&gt;"Yes","Applicability review",IF(Y45&lt;&gt;"Ready",Y45,IF(OR(NOT(ISNUMBER(M45)),M45&lt;0,M45&gt;J45),"Contract quantity review",IF(AND(M45&gt;0,OR(O45&lt;&gt;"Pass",P45="",NOT(AND(IFERROR(IF(INDEX('Factors'!$P$9:$P$108,MATCH(N45,'Factors'!$C$9:$C$108,0))="","",INDEX('Factors'!$P$9:$P$108,MATCH(N45,'Factors'!$C$9:$C$108,0))),"")="Ready",IFERROR(IF(INDEX('Factors'!$F$9:$F$108,MATCH(N45,'Factors'!$C$9:$C$108,0))="","",INDEX('Factors'!$F$9:$F$108,MATCH(N45,'Factors'!$C$9:$C$108,0))),"")="kWh",IFERROR(IF(INDEX('Factors'!$H$9:$H$108,MATCH(N45,'Factors'!$C$9:$C$108,0))="","",INDEX('Factors'!$H$9:$H$108,MATCH(N45,'Factors'!$C$9:$C$108,0))),"")="S2",IFERROR(IF(INDEX('Factors'!$I$9:$I$108,MATCH(N45,'Factors'!$C$9:$C$108,0))="","",INDEX('Factors'!$I$9:$I$108,MATCH(N45,'Factors'!$C$9:$C$108,0))),"")="Market-based",IFERROR(IF(INDEX('Factors'!$J$9:$J$108,MATCH(N45,'Factors'!$C$9:$C$108,0))="","",INDEX('Factors'!$J$9:$J$108,MATCH(N45,'Factors'!$C$9:$C$108,0))),"")=G45,OR(IFERROR(IF(INDEX('Factors'!$E$9:$E$108,MATCH(N45,'Factors'!$C$9:$C$108,0))="","",INDEX('Factors'!$E$9:$E$108,MATCH(N45,'Factors'!$C$9:$C$108,0))),"")="Global",IFERROR(IF(INDEX('Factors'!$E$9:$E$108,MATCH(N45,'Factors'!$C$9:$C$108,0))="","",INDEX('Factors'!$E$9:$E$108,MATCH(N45,'Factors'!$C$9:$C$108,0))),"")=D45))))),"Contract criteria review",IF(M45=J45,"Ready",IF(Q45="No","Grid fallback",IF(Q45="Yes",IF(AND(IFERROR(IF(INDEX('Factors'!$P$9:$P$108,MATCH(R45,'Factors'!$C$9:$C$108,0))="","",INDEX('Factors'!$P$9:$P$108,MATCH(R45,'Factors'!$C$9:$C$108,0))),"")="Ready",IFERROR(IF(INDEX('Factors'!$F$9:$F$108,MATCH(R45,'Factors'!$C$9:$C$108,0))="","",INDEX('Factors'!$F$9:$F$108,MATCH(R45,'Factors'!$C$9:$C$108,0))),"")="kWh",IFERROR(IF(INDEX('Factors'!$H$9:$H$108,MATCH(R45,'Factors'!$C$9:$C$108,0))="","",INDEX('Factors'!$H$9:$H$108,MATCH(R45,'Factors'!$C$9:$C$108,0))),"")="S2",IFERROR(IF(INDEX('Factors'!$I$9:$I$108,MATCH(R45,'Factors'!$C$9:$C$108,0))="","",INDEX('Factors'!$I$9:$I$108,MATCH(R45,'Factors'!$C$9:$C$108,0))),"")="Residual mix",IFERROR(IF(INDEX('Factors'!$J$9:$J$108,MATCH(R45,'Factors'!$C$9:$C$108,0))="","",INDEX('Factors'!$J$9:$J$108,MATCH(R45,'Factors'!$C$9:$C$108,0))),"")=G45,OR(IFERROR(IF(INDEX('Factors'!$E$9:$E$108,MATCH(R45,'Factors'!$C$9:$C$108,0))="","",INDEX('Factors'!$E$9:$E$108,MATCH(R45,'Factors'!$C$9:$C$108,0))),"")="Global",IFERROR(IF(INDEX('Factors'!$E$9:$E$108,MATCH(R45,'Factors'!$C$9:$C$108,0))="","",INDEX('Factors'!$E$9:$E$108,MATCH(R45,'Factors'!$C$9:$C$108,0))),"")=D45)),"Ready","Residual factor review"),"Residual availability review")))))))))))</x:f>
      </x:c>
      <x:c r="AA45" s="8"/>
      <x:c r="AB45" s="16"/>
      <x:c r="AC45" s="8"/>
    </x:row>
    <x:row r="46" ht="36" customHeight="1">
      <x:c r="A46" s="1"/>
      <x:c r="B46" s="1"/>
      <x:c r="C46" s="8"/>
      <x:c r="D46" s="8"/>
      <x:c r="E46" s="8"/>
      <x:c r="F46" s="8"/>
      <x:c r="G46" s="22"/>
      <x:c r="H46" s="16"/>
      <x:c r="I46" s="8"/>
      <x:c r="J46" s="16"/>
      <x:c r="K46" s="8"/>
      <x:c r="L46" s="8"/>
      <x:c r="M46" s="16"/>
      <x:c r="N46" s="8"/>
      <x:c r="O46" s="8"/>
      <x:c r="P46" s="8"/>
      <x:c r="Q46" s="8"/>
      <x:c r="R46" s="8"/>
      <x:c r="S46" s="8"/>
      <x:c r="T46" s="40"/>
      <x:c r="U46" s="23" t="str">
        <x:f>IF(X46="Ready",H46*IFERROR(IF(INDEX('Factors'!$G$9:$G$108,MATCH(I46,'Factors'!$C$9:$C$108,0))="","",INDEX('Factors'!$G$9:$G$108,MATCH(I46,'Factors'!$C$9:$C$108,0))),"")/1000+AB46,"")</x:f>
      </x:c>
      <x:c r="V46" s="23" t="str">
        <x:f>IF(Y46="Ready",J46*IFERROR(IF(INDEX('Factors'!$G$9:$G$108,MATCH(K46,'Factors'!$C$9:$C$108,0))="","",INDEX('Factors'!$G$9:$G$108,MATCH(K46,'Factors'!$C$9:$C$108,0))),"")/1000,"")</x:f>
      </x:c>
      <x:c r="W46" s="23" t="str">
        <x:f>IF(OR(Z46="Ready",Z46="Grid fallback"),(IF(M46&gt;0,M46*IFERROR(IF(INDEX('Factors'!$G$9:$G$108,MATCH(N46,'Factors'!$C$9:$C$108,0))="","",INDEX('Factors'!$G$9:$G$108,MATCH(N46,'Factors'!$C$9:$C$108,0))),""),0)+(J46-M46)*IF(M46=J46,0,IF(Q46="No",IFERROR(IF(INDEX('Factors'!$G$9:$G$108,MATCH(K46,'Factors'!$C$9:$C$108,0))="","",INDEX('Factors'!$G$9:$G$108,MATCH(K46,'Factors'!$C$9:$C$108,0))),""),IFERROR(IF(INDEX('Factors'!$G$9:$G$108,MATCH(R46,'Factors'!$C$9:$C$108,0))="","",INDEX('Factors'!$G$9:$G$108,MATCH(R46,'Factors'!$C$9:$C$108,0))),""))))/1000,"")</x:f>
      </x:c>
      <x:c r="X46" s="9" t="str">
        <x:f>IF(C46="","",IF(AND($D$6&lt;&gt;"Operational control",$D$6&lt;&gt;"Financial control"),"Control basis required",IF(F46="No","Outside control",IF(F46&lt;&gt;"Yes","Control review",IF(COUNTIFS($C$9:$C$108,C46)&lt;&gt;1,"Duplicate operation ID",IF(OR(S46="",NOT(ISNUMBER(T46)),T46&lt;'Settings'!$F$8,NOT(ISNUMBER(G46)),G46&lt;&gt;YEAR('Settings'!$F$8)),"Evidence / period review",IF(OR(NOT(ISNUMBER(H46)),H46&lt;0,AA46&lt;&gt;"Yes",NOT(ISNUMBER(AB46)),AB46&lt;0,AC46=""),"Activity required",IF(AND(IFERROR(IF(INDEX('Factors'!$P$9:$P$108,MATCH(I46,'Factors'!$C$9:$C$108,0))="","",INDEX('Factors'!$P$9:$P$108,MATCH(I46,'Factors'!$C$9:$C$108,0))),"")="Ready",IFERROR(IF(INDEX('Factors'!$F$9:$F$108,MATCH(I46,'Factors'!$C$9:$C$108,0))="","",INDEX('Factors'!$F$9:$F$108,MATCH(I46,'Factors'!$C$9:$C$108,0))),"")="litre",IFERROR(IF(INDEX('Factors'!$H$9:$H$108,MATCH(I46,'Factors'!$C$9:$C$108,0))="","",INDEX('Factors'!$H$9:$H$108,MATCH(I46,'Factors'!$C$9:$C$108,0))),"")="S1",IFERROR(IF(INDEX('Factors'!$I$9:$I$108,MATCH(I46,'Factors'!$C$9:$C$108,0))="","",INDEX('Factors'!$I$9:$I$108,MATCH(I46,'Factors'!$C$9:$C$108,0))),"")="Combustion",IFERROR(IF(INDEX('Factors'!$J$9:$J$108,MATCH(I46,'Factors'!$C$9:$C$108,0))="","",INDEX('Factors'!$J$9:$J$108,MATCH(I46,'Factors'!$C$9:$C$108,0))),"")=G46,OR(IFERROR(IF(INDEX('Factors'!$E$9:$E$108,MATCH(I46,'Factors'!$C$9:$C$108,0))="","",INDEX('Factors'!$E$9:$E$108,MATCH(I46,'Factors'!$C$9:$C$108,0))),"")="Global",IFERROR(IF(INDEX('Factors'!$E$9:$E$108,MATCH(I46,'Factors'!$C$9:$C$108,0))="","",INDEX('Factors'!$E$9:$E$108,MATCH(I46,'Factors'!$C$9:$C$108,0))),"")=D46)),"Ready","Factor / unit review"))))))))</x:f>
      </x:c>
      <x:c r="Y46" s="9" t="str">
        <x:f>IF(C46="","",IF(AND($D$6&lt;&gt;"Operational control",$D$6&lt;&gt;"Financial control"),"Control basis required",IF(F46="No","Outside control",IF(F46&lt;&gt;"Yes","Control review",IF(COUNTIFS($C$9:$C$108,C46)&lt;&gt;1,"Duplicate operation ID",IF(OR(S46="",NOT(ISNUMBER(T46)),T46&lt;'Settings'!$F$8,NOT(ISNUMBER(G46)),G46&lt;&gt;YEAR('Settings'!$F$8)),"Evidence / period review",IF(OR(NOT(ISNUMBER(J46)),J46&lt;0),"Activity required",IF(AND(IFERROR(IF(INDEX('Factors'!$P$9:$P$108,MATCH(K46,'Factors'!$C$9:$C$108,0))="","",INDEX('Factors'!$P$9:$P$108,MATCH(K46,'Factors'!$C$9:$C$108,0))),"")="Ready",IFERROR(IF(INDEX('Factors'!$F$9:$F$108,MATCH(K46,'Factors'!$C$9:$C$108,0))="","",INDEX('Factors'!$F$9:$F$108,MATCH(K46,'Factors'!$C$9:$C$108,0))),"")="kWh",IFERROR(IF(INDEX('Factors'!$H$9:$H$108,MATCH(K46,'Factors'!$C$9:$C$108,0))="","",INDEX('Factors'!$H$9:$H$108,MATCH(K46,'Factors'!$C$9:$C$108,0))),"")="S2",IFERROR(IF(INDEX('Factors'!$I$9:$I$108,MATCH(K46,'Factors'!$C$9:$C$108,0))="","",INDEX('Factors'!$I$9:$I$108,MATCH(K46,'Factors'!$C$9:$C$108,0))),"")="Location-based",IFERROR(IF(INDEX('Factors'!$J$9:$J$108,MATCH(K46,'Factors'!$C$9:$C$108,0))="","",INDEX('Factors'!$J$9:$J$108,MATCH(K46,'Factors'!$C$9:$C$108,0))),"")=G46,OR(IFERROR(IF(INDEX('Factors'!$E$9:$E$108,MATCH(K46,'Factors'!$C$9:$C$108,0))="","",INDEX('Factors'!$E$9:$E$108,MATCH(K46,'Factors'!$C$9:$C$108,0))),"")="Global",IFERROR(IF(INDEX('Factors'!$E$9:$E$108,MATCH(K46,'Factors'!$C$9:$C$108,0))="","",INDEX('Factors'!$E$9:$E$108,MATCH(K46,'Factors'!$C$9:$C$108,0))),"")=D46)),"Ready","Factor / unit review"))))))))</x:f>
      </x:c>
      <x:c r="Z46" s="9" t="str">
        <x:f>IF(C46="","",IF(F46="No","Outside control",IF(F46&lt;&gt;"Yes","Control review",IF($H$6="No","Not required",IF($H$6&lt;&gt;"Yes","Applicability review",IF(Y46&lt;&gt;"Ready",Y46,IF(OR(NOT(ISNUMBER(M46)),M46&lt;0,M46&gt;J46),"Contract quantity review",IF(AND(M46&gt;0,OR(O46&lt;&gt;"Pass",P46="",NOT(AND(IFERROR(IF(INDEX('Factors'!$P$9:$P$108,MATCH(N46,'Factors'!$C$9:$C$108,0))="","",INDEX('Factors'!$P$9:$P$108,MATCH(N46,'Factors'!$C$9:$C$108,0))),"")="Ready",IFERROR(IF(INDEX('Factors'!$F$9:$F$108,MATCH(N46,'Factors'!$C$9:$C$108,0))="","",INDEX('Factors'!$F$9:$F$108,MATCH(N46,'Factors'!$C$9:$C$108,0))),"")="kWh",IFERROR(IF(INDEX('Factors'!$H$9:$H$108,MATCH(N46,'Factors'!$C$9:$C$108,0))="","",INDEX('Factors'!$H$9:$H$108,MATCH(N46,'Factors'!$C$9:$C$108,0))),"")="S2",IFERROR(IF(INDEX('Factors'!$I$9:$I$108,MATCH(N46,'Factors'!$C$9:$C$108,0))="","",INDEX('Factors'!$I$9:$I$108,MATCH(N46,'Factors'!$C$9:$C$108,0))),"")="Market-based",IFERROR(IF(INDEX('Factors'!$J$9:$J$108,MATCH(N46,'Factors'!$C$9:$C$108,0))="","",INDEX('Factors'!$J$9:$J$108,MATCH(N46,'Factors'!$C$9:$C$108,0))),"")=G46,OR(IFERROR(IF(INDEX('Factors'!$E$9:$E$108,MATCH(N46,'Factors'!$C$9:$C$108,0))="","",INDEX('Factors'!$E$9:$E$108,MATCH(N46,'Factors'!$C$9:$C$108,0))),"")="Global",IFERROR(IF(INDEX('Factors'!$E$9:$E$108,MATCH(N46,'Factors'!$C$9:$C$108,0))="","",INDEX('Factors'!$E$9:$E$108,MATCH(N46,'Factors'!$C$9:$C$108,0))),"")=D46))))),"Contract criteria review",IF(M46=J46,"Ready",IF(Q46="No","Grid fallback",IF(Q46="Yes",IF(AND(IFERROR(IF(INDEX('Factors'!$P$9:$P$108,MATCH(R46,'Factors'!$C$9:$C$108,0))="","",INDEX('Factors'!$P$9:$P$108,MATCH(R46,'Factors'!$C$9:$C$108,0))),"")="Ready",IFERROR(IF(INDEX('Factors'!$F$9:$F$108,MATCH(R46,'Factors'!$C$9:$C$108,0))="","",INDEX('Factors'!$F$9:$F$108,MATCH(R46,'Factors'!$C$9:$C$108,0))),"")="kWh",IFERROR(IF(INDEX('Factors'!$H$9:$H$108,MATCH(R46,'Factors'!$C$9:$C$108,0))="","",INDEX('Factors'!$H$9:$H$108,MATCH(R46,'Factors'!$C$9:$C$108,0))),"")="S2",IFERROR(IF(INDEX('Factors'!$I$9:$I$108,MATCH(R46,'Factors'!$C$9:$C$108,0))="","",INDEX('Factors'!$I$9:$I$108,MATCH(R46,'Factors'!$C$9:$C$108,0))),"")="Residual mix",IFERROR(IF(INDEX('Factors'!$J$9:$J$108,MATCH(R46,'Factors'!$C$9:$C$108,0))="","",INDEX('Factors'!$J$9:$J$108,MATCH(R46,'Factors'!$C$9:$C$108,0))),"")=G46,OR(IFERROR(IF(INDEX('Factors'!$E$9:$E$108,MATCH(R46,'Factors'!$C$9:$C$108,0))="","",INDEX('Factors'!$E$9:$E$108,MATCH(R46,'Factors'!$C$9:$C$108,0))),"")="Global",IFERROR(IF(INDEX('Factors'!$E$9:$E$108,MATCH(R46,'Factors'!$C$9:$C$108,0))="","",INDEX('Factors'!$E$9:$E$108,MATCH(R46,'Factors'!$C$9:$C$108,0))),"")=D46)),"Ready","Residual factor review"),"Residual availability review")))))))))))</x:f>
      </x:c>
      <x:c r="AA46" s="8"/>
      <x:c r="AB46" s="16"/>
      <x:c r="AC46" s="8"/>
    </x:row>
    <x:row r="47" ht="36" customHeight="1">
      <x:c r="A47" s="1"/>
      <x:c r="B47" s="1"/>
      <x:c r="C47" s="8"/>
      <x:c r="D47" s="8"/>
      <x:c r="E47" s="8"/>
      <x:c r="F47" s="8"/>
      <x:c r="G47" s="22"/>
      <x:c r="H47" s="16"/>
      <x:c r="I47" s="8"/>
      <x:c r="J47" s="16"/>
      <x:c r="K47" s="8"/>
      <x:c r="L47" s="8"/>
      <x:c r="M47" s="16"/>
      <x:c r="N47" s="8"/>
      <x:c r="O47" s="8"/>
      <x:c r="P47" s="8"/>
      <x:c r="Q47" s="8"/>
      <x:c r="R47" s="8"/>
      <x:c r="S47" s="8"/>
      <x:c r="T47" s="40"/>
      <x:c r="U47" s="23" t="str">
        <x:f>IF(X47="Ready",H47*IFERROR(IF(INDEX('Factors'!$G$9:$G$108,MATCH(I47,'Factors'!$C$9:$C$108,0))="","",INDEX('Factors'!$G$9:$G$108,MATCH(I47,'Factors'!$C$9:$C$108,0))),"")/1000+AB47,"")</x:f>
      </x:c>
      <x:c r="V47" s="23" t="str">
        <x:f>IF(Y47="Ready",J47*IFERROR(IF(INDEX('Factors'!$G$9:$G$108,MATCH(K47,'Factors'!$C$9:$C$108,0))="","",INDEX('Factors'!$G$9:$G$108,MATCH(K47,'Factors'!$C$9:$C$108,0))),"")/1000,"")</x:f>
      </x:c>
      <x:c r="W47" s="23" t="str">
        <x:f>IF(OR(Z47="Ready",Z47="Grid fallback"),(IF(M47&gt;0,M47*IFERROR(IF(INDEX('Factors'!$G$9:$G$108,MATCH(N47,'Factors'!$C$9:$C$108,0))="","",INDEX('Factors'!$G$9:$G$108,MATCH(N47,'Factors'!$C$9:$C$108,0))),""),0)+(J47-M47)*IF(M47=J47,0,IF(Q47="No",IFERROR(IF(INDEX('Factors'!$G$9:$G$108,MATCH(K47,'Factors'!$C$9:$C$108,0))="","",INDEX('Factors'!$G$9:$G$108,MATCH(K47,'Factors'!$C$9:$C$108,0))),""),IFERROR(IF(INDEX('Factors'!$G$9:$G$108,MATCH(R47,'Factors'!$C$9:$C$108,0))="","",INDEX('Factors'!$G$9:$G$108,MATCH(R47,'Factors'!$C$9:$C$108,0))),""))))/1000,"")</x:f>
      </x:c>
      <x:c r="X47" s="9" t="str">
        <x:f>IF(C47="","",IF(AND($D$6&lt;&gt;"Operational control",$D$6&lt;&gt;"Financial control"),"Control basis required",IF(F47="No","Outside control",IF(F47&lt;&gt;"Yes","Control review",IF(COUNTIFS($C$9:$C$108,C47)&lt;&gt;1,"Duplicate operation ID",IF(OR(S47="",NOT(ISNUMBER(T47)),T47&lt;'Settings'!$F$8,NOT(ISNUMBER(G47)),G47&lt;&gt;YEAR('Settings'!$F$8)),"Evidence / period review",IF(OR(NOT(ISNUMBER(H47)),H47&lt;0,AA47&lt;&gt;"Yes",NOT(ISNUMBER(AB47)),AB47&lt;0,AC47=""),"Activity required",IF(AND(IFERROR(IF(INDEX('Factors'!$P$9:$P$108,MATCH(I47,'Factors'!$C$9:$C$108,0))="","",INDEX('Factors'!$P$9:$P$108,MATCH(I47,'Factors'!$C$9:$C$108,0))),"")="Ready",IFERROR(IF(INDEX('Factors'!$F$9:$F$108,MATCH(I47,'Factors'!$C$9:$C$108,0))="","",INDEX('Factors'!$F$9:$F$108,MATCH(I47,'Factors'!$C$9:$C$108,0))),"")="litre",IFERROR(IF(INDEX('Factors'!$H$9:$H$108,MATCH(I47,'Factors'!$C$9:$C$108,0))="","",INDEX('Factors'!$H$9:$H$108,MATCH(I47,'Factors'!$C$9:$C$108,0))),"")="S1",IFERROR(IF(INDEX('Factors'!$I$9:$I$108,MATCH(I47,'Factors'!$C$9:$C$108,0))="","",INDEX('Factors'!$I$9:$I$108,MATCH(I47,'Factors'!$C$9:$C$108,0))),"")="Combustion",IFERROR(IF(INDEX('Factors'!$J$9:$J$108,MATCH(I47,'Factors'!$C$9:$C$108,0))="","",INDEX('Factors'!$J$9:$J$108,MATCH(I47,'Factors'!$C$9:$C$108,0))),"")=G47,OR(IFERROR(IF(INDEX('Factors'!$E$9:$E$108,MATCH(I47,'Factors'!$C$9:$C$108,0))="","",INDEX('Factors'!$E$9:$E$108,MATCH(I47,'Factors'!$C$9:$C$108,0))),"")="Global",IFERROR(IF(INDEX('Factors'!$E$9:$E$108,MATCH(I47,'Factors'!$C$9:$C$108,0))="","",INDEX('Factors'!$E$9:$E$108,MATCH(I47,'Factors'!$C$9:$C$108,0))),"")=D47)),"Ready","Factor / unit review"))))))))</x:f>
      </x:c>
      <x:c r="Y47" s="9" t="str">
        <x:f>IF(C47="","",IF(AND($D$6&lt;&gt;"Operational control",$D$6&lt;&gt;"Financial control"),"Control basis required",IF(F47="No","Outside control",IF(F47&lt;&gt;"Yes","Control review",IF(COUNTIFS($C$9:$C$108,C47)&lt;&gt;1,"Duplicate operation ID",IF(OR(S47="",NOT(ISNUMBER(T47)),T47&lt;'Settings'!$F$8,NOT(ISNUMBER(G47)),G47&lt;&gt;YEAR('Settings'!$F$8)),"Evidence / period review",IF(OR(NOT(ISNUMBER(J47)),J47&lt;0),"Activity required",IF(AND(IFERROR(IF(INDEX('Factors'!$P$9:$P$108,MATCH(K47,'Factors'!$C$9:$C$108,0))="","",INDEX('Factors'!$P$9:$P$108,MATCH(K47,'Factors'!$C$9:$C$108,0))),"")="Ready",IFERROR(IF(INDEX('Factors'!$F$9:$F$108,MATCH(K47,'Factors'!$C$9:$C$108,0))="","",INDEX('Factors'!$F$9:$F$108,MATCH(K47,'Factors'!$C$9:$C$108,0))),"")="kWh",IFERROR(IF(INDEX('Factors'!$H$9:$H$108,MATCH(K47,'Factors'!$C$9:$C$108,0))="","",INDEX('Factors'!$H$9:$H$108,MATCH(K47,'Factors'!$C$9:$C$108,0))),"")="S2",IFERROR(IF(INDEX('Factors'!$I$9:$I$108,MATCH(K47,'Factors'!$C$9:$C$108,0))="","",INDEX('Factors'!$I$9:$I$108,MATCH(K47,'Factors'!$C$9:$C$108,0))),"")="Location-based",IFERROR(IF(INDEX('Factors'!$J$9:$J$108,MATCH(K47,'Factors'!$C$9:$C$108,0))="","",INDEX('Factors'!$J$9:$J$108,MATCH(K47,'Factors'!$C$9:$C$108,0))),"")=G47,OR(IFERROR(IF(INDEX('Factors'!$E$9:$E$108,MATCH(K47,'Factors'!$C$9:$C$108,0))="","",INDEX('Factors'!$E$9:$E$108,MATCH(K47,'Factors'!$C$9:$C$108,0))),"")="Global",IFERROR(IF(INDEX('Factors'!$E$9:$E$108,MATCH(K47,'Factors'!$C$9:$C$108,0))="","",INDEX('Factors'!$E$9:$E$108,MATCH(K47,'Factors'!$C$9:$C$108,0))),"")=D47)),"Ready","Factor / unit review"))))))))</x:f>
      </x:c>
      <x:c r="Z47" s="9" t="str">
        <x:f>IF(C47="","",IF(F47="No","Outside control",IF(F47&lt;&gt;"Yes","Control review",IF($H$6="No","Not required",IF($H$6&lt;&gt;"Yes","Applicability review",IF(Y47&lt;&gt;"Ready",Y47,IF(OR(NOT(ISNUMBER(M47)),M47&lt;0,M47&gt;J47),"Contract quantity review",IF(AND(M47&gt;0,OR(O47&lt;&gt;"Pass",P47="",NOT(AND(IFERROR(IF(INDEX('Factors'!$P$9:$P$108,MATCH(N47,'Factors'!$C$9:$C$108,0))="","",INDEX('Factors'!$P$9:$P$108,MATCH(N47,'Factors'!$C$9:$C$108,0))),"")="Ready",IFERROR(IF(INDEX('Factors'!$F$9:$F$108,MATCH(N47,'Factors'!$C$9:$C$108,0))="","",INDEX('Factors'!$F$9:$F$108,MATCH(N47,'Factors'!$C$9:$C$108,0))),"")="kWh",IFERROR(IF(INDEX('Factors'!$H$9:$H$108,MATCH(N47,'Factors'!$C$9:$C$108,0))="","",INDEX('Factors'!$H$9:$H$108,MATCH(N47,'Factors'!$C$9:$C$108,0))),"")="S2",IFERROR(IF(INDEX('Factors'!$I$9:$I$108,MATCH(N47,'Factors'!$C$9:$C$108,0))="","",INDEX('Factors'!$I$9:$I$108,MATCH(N47,'Factors'!$C$9:$C$108,0))),"")="Market-based",IFERROR(IF(INDEX('Factors'!$J$9:$J$108,MATCH(N47,'Factors'!$C$9:$C$108,0))="","",INDEX('Factors'!$J$9:$J$108,MATCH(N47,'Factors'!$C$9:$C$108,0))),"")=G47,OR(IFERROR(IF(INDEX('Factors'!$E$9:$E$108,MATCH(N47,'Factors'!$C$9:$C$108,0))="","",INDEX('Factors'!$E$9:$E$108,MATCH(N47,'Factors'!$C$9:$C$108,0))),"")="Global",IFERROR(IF(INDEX('Factors'!$E$9:$E$108,MATCH(N47,'Factors'!$C$9:$C$108,0))="","",INDEX('Factors'!$E$9:$E$108,MATCH(N47,'Factors'!$C$9:$C$108,0))),"")=D47))))),"Contract criteria review",IF(M47=J47,"Ready",IF(Q47="No","Grid fallback",IF(Q47="Yes",IF(AND(IFERROR(IF(INDEX('Factors'!$P$9:$P$108,MATCH(R47,'Factors'!$C$9:$C$108,0))="","",INDEX('Factors'!$P$9:$P$108,MATCH(R47,'Factors'!$C$9:$C$108,0))),"")="Ready",IFERROR(IF(INDEX('Factors'!$F$9:$F$108,MATCH(R47,'Factors'!$C$9:$C$108,0))="","",INDEX('Factors'!$F$9:$F$108,MATCH(R47,'Factors'!$C$9:$C$108,0))),"")="kWh",IFERROR(IF(INDEX('Factors'!$H$9:$H$108,MATCH(R47,'Factors'!$C$9:$C$108,0))="","",INDEX('Factors'!$H$9:$H$108,MATCH(R47,'Factors'!$C$9:$C$108,0))),"")="S2",IFERROR(IF(INDEX('Factors'!$I$9:$I$108,MATCH(R47,'Factors'!$C$9:$C$108,0))="","",INDEX('Factors'!$I$9:$I$108,MATCH(R47,'Factors'!$C$9:$C$108,0))),"")="Residual mix",IFERROR(IF(INDEX('Factors'!$J$9:$J$108,MATCH(R47,'Factors'!$C$9:$C$108,0))="","",INDEX('Factors'!$J$9:$J$108,MATCH(R47,'Factors'!$C$9:$C$108,0))),"")=G47,OR(IFERROR(IF(INDEX('Factors'!$E$9:$E$108,MATCH(R47,'Factors'!$C$9:$C$108,0))="","",INDEX('Factors'!$E$9:$E$108,MATCH(R47,'Factors'!$C$9:$C$108,0))),"")="Global",IFERROR(IF(INDEX('Factors'!$E$9:$E$108,MATCH(R47,'Factors'!$C$9:$C$108,0))="","",INDEX('Factors'!$E$9:$E$108,MATCH(R47,'Factors'!$C$9:$C$108,0))),"")=D47)),"Ready","Residual factor review"),"Residual availability review")))))))))))</x:f>
      </x:c>
      <x:c r="AA47" s="8"/>
      <x:c r="AB47" s="16"/>
      <x:c r="AC47" s="8"/>
    </x:row>
    <x:row r="48" ht="36" customHeight="1">
      <x:c r="A48" s="1"/>
      <x:c r="B48" s="1"/>
      <x:c r="C48" s="8"/>
      <x:c r="D48" s="8"/>
      <x:c r="E48" s="8"/>
      <x:c r="F48" s="8"/>
      <x:c r="G48" s="22"/>
      <x:c r="H48" s="16"/>
      <x:c r="I48" s="8"/>
      <x:c r="J48" s="16"/>
      <x:c r="K48" s="8"/>
      <x:c r="L48" s="8"/>
      <x:c r="M48" s="16"/>
      <x:c r="N48" s="8"/>
      <x:c r="O48" s="8"/>
      <x:c r="P48" s="8"/>
      <x:c r="Q48" s="8"/>
      <x:c r="R48" s="8"/>
      <x:c r="S48" s="8"/>
      <x:c r="T48" s="40"/>
      <x:c r="U48" s="23" t="str">
        <x:f>IF(X48="Ready",H48*IFERROR(IF(INDEX('Factors'!$G$9:$G$108,MATCH(I48,'Factors'!$C$9:$C$108,0))="","",INDEX('Factors'!$G$9:$G$108,MATCH(I48,'Factors'!$C$9:$C$108,0))),"")/1000+AB48,"")</x:f>
      </x:c>
      <x:c r="V48" s="23" t="str">
        <x:f>IF(Y48="Ready",J48*IFERROR(IF(INDEX('Factors'!$G$9:$G$108,MATCH(K48,'Factors'!$C$9:$C$108,0))="","",INDEX('Factors'!$G$9:$G$108,MATCH(K48,'Factors'!$C$9:$C$108,0))),"")/1000,"")</x:f>
      </x:c>
      <x:c r="W48" s="23" t="str">
        <x:f>IF(OR(Z48="Ready",Z48="Grid fallback"),(IF(M48&gt;0,M48*IFERROR(IF(INDEX('Factors'!$G$9:$G$108,MATCH(N48,'Factors'!$C$9:$C$108,0))="","",INDEX('Factors'!$G$9:$G$108,MATCH(N48,'Factors'!$C$9:$C$108,0))),""),0)+(J48-M48)*IF(M48=J48,0,IF(Q48="No",IFERROR(IF(INDEX('Factors'!$G$9:$G$108,MATCH(K48,'Factors'!$C$9:$C$108,0))="","",INDEX('Factors'!$G$9:$G$108,MATCH(K48,'Factors'!$C$9:$C$108,0))),""),IFERROR(IF(INDEX('Factors'!$G$9:$G$108,MATCH(R48,'Factors'!$C$9:$C$108,0))="","",INDEX('Factors'!$G$9:$G$108,MATCH(R48,'Factors'!$C$9:$C$108,0))),""))))/1000,"")</x:f>
      </x:c>
      <x:c r="X48" s="9" t="str">
        <x:f>IF(C48="","",IF(AND($D$6&lt;&gt;"Operational control",$D$6&lt;&gt;"Financial control"),"Control basis required",IF(F48="No","Outside control",IF(F48&lt;&gt;"Yes","Control review",IF(COUNTIFS($C$9:$C$108,C48)&lt;&gt;1,"Duplicate operation ID",IF(OR(S48="",NOT(ISNUMBER(T48)),T48&lt;'Settings'!$F$8,NOT(ISNUMBER(G48)),G48&lt;&gt;YEAR('Settings'!$F$8)),"Evidence / period review",IF(OR(NOT(ISNUMBER(H48)),H48&lt;0,AA48&lt;&gt;"Yes",NOT(ISNUMBER(AB48)),AB48&lt;0,AC48=""),"Activity required",IF(AND(IFERROR(IF(INDEX('Factors'!$P$9:$P$108,MATCH(I48,'Factors'!$C$9:$C$108,0))="","",INDEX('Factors'!$P$9:$P$108,MATCH(I48,'Factors'!$C$9:$C$108,0))),"")="Ready",IFERROR(IF(INDEX('Factors'!$F$9:$F$108,MATCH(I48,'Factors'!$C$9:$C$108,0))="","",INDEX('Factors'!$F$9:$F$108,MATCH(I48,'Factors'!$C$9:$C$108,0))),"")="litre",IFERROR(IF(INDEX('Factors'!$H$9:$H$108,MATCH(I48,'Factors'!$C$9:$C$108,0))="","",INDEX('Factors'!$H$9:$H$108,MATCH(I48,'Factors'!$C$9:$C$108,0))),"")="S1",IFERROR(IF(INDEX('Factors'!$I$9:$I$108,MATCH(I48,'Factors'!$C$9:$C$108,0))="","",INDEX('Factors'!$I$9:$I$108,MATCH(I48,'Factors'!$C$9:$C$108,0))),"")="Combustion",IFERROR(IF(INDEX('Factors'!$J$9:$J$108,MATCH(I48,'Factors'!$C$9:$C$108,0))="","",INDEX('Factors'!$J$9:$J$108,MATCH(I48,'Factors'!$C$9:$C$108,0))),"")=G48,OR(IFERROR(IF(INDEX('Factors'!$E$9:$E$108,MATCH(I48,'Factors'!$C$9:$C$108,0))="","",INDEX('Factors'!$E$9:$E$108,MATCH(I48,'Factors'!$C$9:$C$108,0))),"")="Global",IFERROR(IF(INDEX('Factors'!$E$9:$E$108,MATCH(I48,'Factors'!$C$9:$C$108,0))="","",INDEX('Factors'!$E$9:$E$108,MATCH(I48,'Factors'!$C$9:$C$108,0))),"")=D48)),"Ready","Factor / unit review"))))))))</x:f>
      </x:c>
      <x:c r="Y48" s="9" t="str">
        <x:f>IF(C48="","",IF(AND($D$6&lt;&gt;"Operational control",$D$6&lt;&gt;"Financial control"),"Control basis required",IF(F48="No","Outside control",IF(F48&lt;&gt;"Yes","Control review",IF(COUNTIFS($C$9:$C$108,C48)&lt;&gt;1,"Duplicate operation ID",IF(OR(S48="",NOT(ISNUMBER(T48)),T48&lt;'Settings'!$F$8,NOT(ISNUMBER(G48)),G48&lt;&gt;YEAR('Settings'!$F$8)),"Evidence / period review",IF(OR(NOT(ISNUMBER(J48)),J48&lt;0),"Activity required",IF(AND(IFERROR(IF(INDEX('Factors'!$P$9:$P$108,MATCH(K48,'Factors'!$C$9:$C$108,0))="","",INDEX('Factors'!$P$9:$P$108,MATCH(K48,'Factors'!$C$9:$C$108,0))),"")="Ready",IFERROR(IF(INDEX('Factors'!$F$9:$F$108,MATCH(K48,'Factors'!$C$9:$C$108,0))="","",INDEX('Factors'!$F$9:$F$108,MATCH(K48,'Factors'!$C$9:$C$108,0))),"")="kWh",IFERROR(IF(INDEX('Factors'!$H$9:$H$108,MATCH(K48,'Factors'!$C$9:$C$108,0))="","",INDEX('Factors'!$H$9:$H$108,MATCH(K48,'Factors'!$C$9:$C$108,0))),"")="S2",IFERROR(IF(INDEX('Factors'!$I$9:$I$108,MATCH(K48,'Factors'!$C$9:$C$108,0))="","",INDEX('Factors'!$I$9:$I$108,MATCH(K48,'Factors'!$C$9:$C$108,0))),"")="Location-based",IFERROR(IF(INDEX('Factors'!$J$9:$J$108,MATCH(K48,'Factors'!$C$9:$C$108,0))="","",INDEX('Factors'!$J$9:$J$108,MATCH(K48,'Factors'!$C$9:$C$108,0))),"")=G48,OR(IFERROR(IF(INDEX('Factors'!$E$9:$E$108,MATCH(K48,'Factors'!$C$9:$C$108,0))="","",INDEX('Factors'!$E$9:$E$108,MATCH(K48,'Factors'!$C$9:$C$108,0))),"")="Global",IFERROR(IF(INDEX('Factors'!$E$9:$E$108,MATCH(K48,'Factors'!$C$9:$C$108,0))="","",INDEX('Factors'!$E$9:$E$108,MATCH(K48,'Factors'!$C$9:$C$108,0))),"")=D48)),"Ready","Factor / unit review"))))))))</x:f>
      </x:c>
      <x:c r="Z48" s="9" t="str">
        <x:f>IF(C48="","",IF(F48="No","Outside control",IF(F48&lt;&gt;"Yes","Control review",IF($H$6="No","Not required",IF($H$6&lt;&gt;"Yes","Applicability review",IF(Y48&lt;&gt;"Ready",Y48,IF(OR(NOT(ISNUMBER(M48)),M48&lt;0,M48&gt;J48),"Contract quantity review",IF(AND(M48&gt;0,OR(O48&lt;&gt;"Pass",P48="",NOT(AND(IFERROR(IF(INDEX('Factors'!$P$9:$P$108,MATCH(N48,'Factors'!$C$9:$C$108,0))="","",INDEX('Factors'!$P$9:$P$108,MATCH(N48,'Factors'!$C$9:$C$108,0))),"")="Ready",IFERROR(IF(INDEX('Factors'!$F$9:$F$108,MATCH(N48,'Factors'!$C$9:$C$108,0))="","",INDEX('Factors'!$F$9:$F$108,MATCH(N48,'Factors'!$C$9:$C$108,0))),"")="kWh",IFERROR(IF(INDEX('Factors'!$H$9:$H$108,MATCH(N48,'Factors'!$C$9:$C$108,0))="","",INDEX('Factors'!$H$9:$H$108,MATCH(N48,'Factors'!$C$9:$C$108,0))),"")="S2",IFERROR(IF(INDEX('Factors'!$I$9:$I$108,MATCH(N48,'Factors'!$C$9:$C$108,0))="","",INDEX('Factors'!$I$9:$I$108,MATCH(N48,'Factors'!$C$9:$C$108,0))),"")="Market-based",IFERROR(IF(INDEX('Factors'!$J$9:$J$108,MATCH(N48,'Factors'!$C$9:$C$108,0))="","",INDEX('Factors'!$J$9:$J$108,MATCH(N48,'Factors'!$C$9:$C$108,0))),"")=G48,OR(IFERROR(IF(INDEX('Factors'!$E$9:$E$108,MATCH(N48,'Factors'!$C$9:$C$108,0))="","",INDEX('Factors'!$E$9:$E$108,MATCH(N48,'Factors'!$C$9:$C$108,0))),"")="Global",IFERROR(IF(INDEX('Factors'!$E$9:$E$108,MATCH(N48,'Factors'!$C$9:$C$108,0))="","",INDEX('Factors'!$E$9:$E$108,MATCH(N48,'Factors'!$C$9:$C$108,0))),"")=D48))))),"Contract criteria review",IF(M48=J48,"Ready",IF(Q48="No","Grid fallback",IF(Q48="Yes",IF(AND(IFERROR(IF(INDEX('Factors'!$P$9:$P$108,MATCH(R48,'Factors'!$C$9:$C$108,0))="","",INDEX('Factors'!$P$9:$P$108,MATCH(R48,'Factors'!$C$9:$C$108,0))),"")="Ready",IFERROR(IF(INDEX('Factors'!$F$9:$F$108,MATCH(R48,'Factors'!$C$9:$C$108,0))="","",INDEX('Factors'!$F$9:$F$108,MATCH(R48,'Factors'!$C$9:$C$108,0))),"")="kWh",IFERROR(IF(INDEX('Factors'!$H$9:$H$108,MATCH(R48,'Factors'!$C$9:$C$108,0))="","",INDEX('Factors'!$H$9:$H$108,MATCH(R48,'Factors'!$C$9:$C$108,0))),"")="S2",IFERROR(IF(INDEX('Factors'!$I$9:$I$108,MATCH(R48,'Factors'!$C$9:$C$108,0))="","",INDEX('Factors'!$I$9:$I$108,MATCH(R48,'Factors'!$C$9:$C$108,0))),"")="Residual mix",IFERROR(IF(INDEX('Factors'!$J$9:$J$108,MATCH(R48,'Factors'!$C$9:$C$108,0))="","",INDEX('Factors'!$J$9:$J$108,MATCH(R48,'Factors'!$C$9:$C$108,0))),"")=G48,OR(IFERROR(IF(INDEX('Factors'!$E$9:$E$108,MATCH(R48,'Factors'!$C$9:$C$108,0))="","",INDEX('Factors'!$E$9:$E$108,MATCH(R48,'Factors'!$C$9:$C$108,0))),"")="Global",IFERROR(IF(INDEX('Factors'!$E$9:$E$108,MATCH(R48,'Factors'!$C$9:$C$108,0))="","",INDEX('Factors'!$E$9:$E$108,MATCH(R48,'Factors'!$C$9:$C$108,0))),"")=D48)),"Ready","Residual factor review"),"Residual availability review")))))))))))</x:f>
      </x:c>
      <x:c r="AA48" s="8"/>
      <x:c r="AB48" s="16"/>
      <x:c r="AC48" s="8"/>
    </x:row>
    <x:row r="49" ht="36" customHeight="1">
      <x:c r="A49" s="1"/>
      <x:c r="B49" s="1"/>
      <x:c r="C49" s="8"/>
      <x:c r="D49" s="8"/>
      <x:c r="E49" s="8"/>
      <x:c r="F49" s="8"/>
      <x:c r="G49" s="22"/>
      <x:c r="H49" s="16"/>
      <x:c r="I49" s="8"/>
      <x:c r="J49" s="16"/>
      <x:c r="K49" s="8"/>
      <x:c r="L49" s="8"/>
      <x:c r="M49" s="16"/>
      <x:c r="N49" s="8"/>
      <x:c r="O49" s="8"/>
      <x:c r="P49" s="8"/>
      <x:c r="Q49" s="8"/>
      <x:c r="R49" s="8"/>
      <x:c r="S49" s="8"/>
      <x:c r="T49" s="40"/>
      <x:c r="U49" s="23" t="str">
        <x:f>IF(X49="Ready",H49*IFERROR(IF(INDEX('Factors'!$G$9:$G$108,MATCH(I49,'Factors'!$C$9:$C$108,0))="","",INDEX('Factors'!$G$9:$G$108,MATCH(I49,'Factors'!$C$9:$C$108,0))),"")/1000+AB49,"")</x:f>
      </x:c>
      <x:c r="V49" s="23" t="str">
        <x:f>IF(Y49="Ready",J49*IFERROR(IF(INDEX('Factors'!$G$9:$G$108,MATCH(K49,'Factors'!$C$9:$C$108,0))="","",INDEX('Factors'!$G$9:$G$108,MATCH(K49,'Factors'!$C$9:$C$108,0))),"")/1000,"")</x:f>
      </x:c>
      <x:c r="W49" s="23" t="str">
        <x:f>IF(OR(Z49="Ready",Z49="Grid fallback"),(IF(M49&gt;0,M49*IFERROR(IF(INDEX('Factors'!$G$9:$G$108,MATCH(N49,'Factors'!$C$9:$C$108,0))="","",INDEX('Factors'!$G$9:$G$108,MATCH(N49,'Factors'!$C$9:$C$108,0))),""),0)+(J49-M49)*IF(M49=J49,0,IF(Q49="No",IFERROR(IF(INDEX('Factors'!$G$9:$G$108,MATCH(K49,'Factors'!$C$9:$C$108,0))="","",INDEX('Factors'!$G$9:$G$108,MATCH(K49,'Factors'!$C$9:$C$108,0))),""),IFERROR(IF(INDEX('Factors'!$G$9:$G$108,MATCH(R49,'Factors'!$C$9:$C$108,0))="","",INDEX('Factors'!$G$9:$G$108,MATCH(R49,'Factors'!$C$9:$C$108,0))),""))))/1000,"")</x:f>
      </x:c>
      <x:c r="X49" s="9" t="str">
        <x:f>IF(C49="","",IF(AND($D$6&lt;&gt;"Operational control",$D$6&lt;&gt;"Financial control"),"Control basis required",IF(F49="No","Outside control",IF(F49&lt;&gt;"Yes","Control review",IF(COUNTIFS($C$9:$C$108,C49)&lt;&gt;1,"Duplicate operation ID",IF(OR(S49="",NOT(ISNUMBER(T49)),T49&lt;'Settings'!$F$8,NOT(ISNUMBER(G49)),G49&lt;&gt;YEAR('Settings'!$F$8)),"Evidence / period review",IF(OR(NOT(ISNUMBER(H49)),H49&lt;0,AA49&lt;&gt;"Yes",NOT(ISNUMBER(AB49)),AB49&lt;0,AC49=""),"Activity required",IF(AND(IFERROR(IF(INDEX('Factors'!$P$9:$P$108,MATCH(I49,'Factors'!$C$9:$C$108,0))="","",INDEX('Factors'!$P$9:$P$108,MATCH(I49,'Factors'!$C$9:$C$108,0))),"")="Ready",IFERROR(IF(INDEX('Factors'!$F$9:$F$108,MATCH(I49,'Factors'!$C$9:$C$108,0))="","",INDEX('Factors'!$F$9:$F$108,MATCH(I49,'Factors'!$C$9:$C$108,0))),"")="litre",IFERROR(IF(INDEX('Factors'!$H$9:$H$108,MATCH(I49,'Factors'!$C$9:$C$108,0))="","",INDEX('Factors'!$H$9:$H$108,MATCH(I49,'Factors'!$C$9:$C$108,0))),"")="S1",IFERROR(IF(INDEX('Factors'!$I$9:$I$108,MATCH(I49,'Factors'!$C$9:$C$108,0))="","",INDEX('Factors'!$I$9:$I$108,MATCH(I49,'Factors'!$C$9:$C$108,0))),"")="Combustion",IFERROR(IF(INDEX('Factors'!$J$9:$J$108,MATCH(I49,'Factors'!$C$9:$C$108,0))="","",INDEX('Factors'!$J$9:$J$108,MATCH(I49,'Factors'!$C$9:$C$108,0))),"")=G49,OR(IFERROR(IF(INDEX('Factors'!$E$9:$E$108,MATCH(I49,'Factors'!$C$9:$C$108,0))="","",INDEX('Factors'!$E$9:$E$108,MATCH(I49,'Factors'!$C$9:$C$108,0))),"")="Global",IFERROR(IF(INDEX('Factors'!$E$9:$E$108,MATCH(I49,'Factors'!$C$9:$C$108,0))="","",INDEX('Factors'!$E$9:$E$108,MATCH(I49,'Factors'!$C$9:$C$108,0))),"")=D49)),"Ready","Factor / unit review"))))))))</x:f>
      </x:c>
      <x:c r="Y49" s="9" t="str">
        <x:f>IF(C49="","",IF(AND($D$6&lt;&gt;"Operational control",$D$6&lt;&gt;"Financial control"),"Control basis required",IF(F49="No","Outside control",IF(F49&lt;&gt;"Yes","Control review",IF(COUNTIFS($C$9:$C$108,C49)&lt;&gt;1,"Duplicate operation ID",IF(OR(S49="",NOT(ISNUMBER(T49)),T49&lt;'Settings'!$F$8,NOT(ISNUMBER(G49)),G49&lt;&gt;YEAR('Settings'!$F$8)),"Evidence / period review",IF(OR(NOT(ISNUMBER(J49)),J49&lt;0),"Activity required",IF(AND(IFERROR(IF(INDEX('Factors'!$P$9:$P$108,MATCH(K49,'Factors'!$C$9:$C$108,0))="","",INDEX('Factors'!$P$9:$P$108,MATCH(K49,'Factors'!$C$9:$C$108,0))),"")="Ready",IFERROR(IF(INDEX('Factors'!$F$9:$F$108,MATCH(K49,'Factors'!$C$9:$C$108,0))="","",INDEX('Factors'!$F$9:$F$108,MATCH(K49,'Factors'!$C$9:$C$108,0))),"")="kWh",IFERROR(IF(INDEX('Factors'!$H$9:$H$108,MATCH(K49,'Factors'!$C$9:$C$108,0))="","",INDEX('Factors'!$H$9:$H$108,MATCH(K49,'Factors'!$C$9:$C$108,0))),"")="S2",IFERROR(IF(INDEX('Factors'!$I$9:$I$108,MATCH(K49,'Factors'!$C$9:$C$108,0))="","",INDEX('Factors'!$I$9:$I$108,MATCH(K49,'Factors'!$C$9:$C$108,0))),"")="Location-based",IFERROR(IF(INDEX('Factors'!$J$9:$J$108,MATCH(K49,'Factors'!$C$9:$C$108,0))="","",INDEX('Factors'!$J$9:$J$108,MATCH(K49,'Factors'!$C$9:$C$108,0))),"")=G49,OR(IFERROR(IF(INDEX('Factors'!$E$9:$E$108,MATCH(K49,'Factors'!$C$9:$C$108,0))="","",INDEX('Factors'!$E$9:$E$108,MATCH(K49,'Factors'!$C$9:$C$108,0))),"")="Global",IFERROR(IF(INDEX('Factors'!$E$9:$E$108,MATCH(K49,'Factors'!$C$9:$C$108,0))="","",INDEX('Factors'!$E$9:$E$108,MATCH(K49,'Factors'!$C$9:$C$108,0))),"")=D49)),"Ready","Factor / unit review"))))))))</x:f>
      </x:c>
      <x:c r="Z49" s="9" t="str">
        <x:f>IF(C49="","",IF(F49="No","Outside control",IF(F49&lt;&gt;"Yes","Control review",IF($H$6="No","Not required",IF($H$6&lt;&gt;"Yes","Applicability review",IF(Y49&lt;&gt;"Ready",Y49,IF(OR(NOT(ISNUMBER(M49)),M49&lt;0,M49&gt;J49),"Contract quantity review",IF(AND(M49&gt;0,OR(O49&lt;&gt;"Pass",P49="",NOT(AND(IFERROR(IF(INDEX('Factors'!$P$9:$P$108,MATCH(N49,'Factors'!$C$9:$C$108,0))="","",INDEX('Factors'!$P$9:$P$108,MATCH(N49,'Factors'!$C$9:$C$108,0))),"")="Ready",IFERROR(IF(INDEX('Factors'!$F$9:$F$108,MATCH(N49,'Factors'!$C$9:$C$108,0))="","",INDEX('Factors'!$F$9:$F$108,MATCH(N49,'Factors'!$C$9:$C$108,0))),"")="kWh",IFERROR(IF(INDEX('Factors'!$H$9:$H$108,MATCH(N49,'Factors'!$C$9:$C$108,0))="","",INDEX('Factors'!$H$9:$H$108,MATCH(N49,'Factors'!$C$9:$C$108,0))),"")="S2",IFERROR(IF(INDEX('Factors'!$I$9:$I$108,MATCH(N49,'Factors'!$C$9:$C$108,0))="","",INDEX('Factors'!$I$9:$I$108,MATCH(N49,'Factors'!$C$9:$C$108,0))),"")="Market-based",IFERROR(IF(INDEX('Factors'!$J$9:$J$108,MATCH(N49,'Factors'!$C$9:$C$108,0))="","",INDEX('Factors'!$J$9:$J$108,MATCH(N49,'Factors'!$C$9:$C$108,0))),"")=G49,OR(IFERROR(IF(INDEX('Factors'!$E$9:$E$108,MATCH(N49,'Factors'!$C$9:$C$108,0))="","",INDEX('Factors'!$E$9:$E$108,MATCH(N49,'Factors'!$C$9:$C$108,0))),"")="Global",IFERROR(IF(INDEX('Factors'!$E$9:$E$108,MATCH(N49,'Factors'!$C$9:$C$108,0))="","",INDEX('Factors'!$E$9:$E$108,MATCH(N49,'Factors'!$C$9:$C$108,0))),"")=D49))))),"Contract criteria review",IF(M49=J49,"Ready",IF(Q49="No","Grid fallback",IF(Q49="Yes",IF(AND(IFERROR(IF(INDEX('Factors'!$P$9:$P$108,MATCH(R49,'Factors'!$C$9:$C$108,0))="","",INDEX('Factors'!$P$9:$P$108,MATCH(R49,'Factors'!$C$9:$C$108,0))),"")="Ready",IFERROR(IF(INDEX('Factors'!$F$9:$F$108,MATCH(R49,'Factors'!$C$9:$C$108,0))="","",INDEX('Factors'!$F$9:$F$108,MATCH(R49,'Factors'!$C$9:$C$108,0))),"")="kWh",IFERROR(IF(INDEX('Factors'!$H$9:$H$108,MATCH(R49,'Factors'!$C$9:$C$108,0))="","",INDEX('Factors'!$H$9:$H$108,MATCH(R49,'Factors'!$C$9:$C$108,0))),"")="S2",IFERROR(IF(INDEX('Factors'!$I$9:$I$108,MATCH(R49,'Factors'!$C$9:$C$108,0))="","",INDEX('Factors'!$I$9:$I$108,MATCH(R49,'Factors'!$C$9:$C$108,0))),"")="Residual mix",IFERROR(IF(INDEX('Factors'!$J$9:$J$108,MATCH(R49,'Factors'!$C$9:$C$108,0))="","",INDEX('Factors'!$J$9:$J$108,MATCH(R49,'Factors'!$C$9:$C$108,0))),"")=G49,OR(IFERROR(IF(INDEX('Factors'!$E$9:$E$108,MATCH(R49,'Factors'!$C$9:$C$108,0))="","",INDEX('Factors'!$E$9:$E$108,MATCH(R49,'Factors'!$C$9:$C$108,0))),"")="Global",IFERROR(IF(INDEX('Factors'!$E$9:$E$108,MATCH(R49,'Factors'!$C$9:$C$108,0))="","",INDEX('Factors'!$E$9:$E$108,MATCH(R49,'Factors'!$C$9:$C$108,0))),"")=D49)),"Ready","Residual factor review"),"Residual availability review")))))))))))</x:f>
      </x:c>
      <x:c r="AA49" s="8"/>
      <x:c r="AB49" s="16"/>
      <x:c r="AC49" s="8"/>
    </x:row>
    <x:row r="50" ht="36" customHeight="1">
      <x:c r="A50" s="1"/>
      <x:c r="B50" s="1"/>
      <x:c r="C50" s="8"/>
      <x:c r="D50" s="8"/>
      <x:c r="E50" s="8"/>
      <x:c r="F50" s="8"/>
      <x:c r="G50" s="22"/>
      <x:c r="H50" s="16"/>
      <x:c r="I50" s="8"/>
      <x:c r="J50" s="16"/>
      <x:c r="K50" s="8"/>
      <x:c r="L50" s="8"/>
      <x:c r="M50" s="16"/>
      <x:c r="N50" s="8"/>
      <x:c r="O50" s="8"/>
      <x:c r="P50" s="8"/>
      <x:c r="Q50" s="8"/>
      <x:c r="R50" s="8"/>
      <x:c r="S50" s="8"/>
      <x:c r="T50" s="40"/>
      <x:c r="U50" s="23" t="str">
        <x:f>IF(X50="Ready",H50*IFERROR(IF(INDEX('Factors'!$G$9:$G$108,MATCH(I50,'Factors'!$C$9:$C$108,0))="","",INDEX('Factors'!$G$9:$G$108,MATCH(I50,'Factors'!$C$9:$C$108,0))),"")/1000+AB50,"")</x:f>
      </x:c>
      <x:c r="V50" s="23" t="str">
        <x:f>IF(Y50="Ready",J50*IFERROR(IF(INDEX('Factors'!$G$9:$G$108,MATCH(K50,'Factors'!$C$9:$C$108,0))="","",INDEX('Factors'!$G$9:$G$108,MATCH(K50,'Factors'!$C$9:$C$108,0))),"")/1000,"")</x:f>
      </x:c>
      <x:c r="W50" s="23" t="str">
        <x:f>IF(OR(Z50="Ready",Z50="Grid fallback"),(IF(M50&gt;0,M50*IFERROR(IF(INDEX('Factors'!$G$9:$G$108,MATCH(N50,'Factors'!$C$9:$C$108,0))="","",INDEX('Factors'!$G$9:$G$108,MATCH(N50,'Factors'!$C$9:$C$108,0))),""),0)+(J50-M50)*IF(M50=J50,0,IF(Q50="No",IFERROR(IF(INDEX('Factors'!$G$9:$G$108,MATCH(K50,'Factors'!$C$9:$C$108,0))="","",INDEX('Factors'!$G$9:$G$108,MATCH(K50,'Factors'!$C$9:$C$108,0))),""),IFERROR(IF(INDEX('Factors'!$G$9:$G$108,MATCH(R50,'Factors'!$C$9:$C$108,0))="","",INDEX('Factors'!$G$9:$G$108,MATCH(R50,'Factors'!$C$9:$C$108,0))),""))))/1000,"")</x:f>
      </x:c>
      <x:c r="X50" s="9" t="str">
        <x:f>IF(C50="","",IF(AND($D$6&lt;&gt;"Operational control",$D$6&lt;&gt;"Financial control"),"Control basis required",IF(F50="No","Outside control",IF(F50&lt;&gt;"Yes","Control review",IF(COUNTIFS($C$9:$C$108,C50)&lt;&gt;1,"Duplicate operation ID",IF(OR(S50="",NOT(ISNUMBER(T50)),T50&lt;'Settings'!$F$8,NOT(ISNUMBER(G50)),G50&lt;&gt;YEAR('Settings'!$F$8)),"Evidence / period review",IF(OR(NOT(ISNUMBER(H50)),H50&lt;0,AA50&lt;&gt;"Yes",NOT(ISNUMBER(AB50)),AB50&lt;0,AC50=""),"Activity required",IF(AND(IFERROR(IF(INDEX('Factors'!$P$9:$P$108,MATCH(I50,'Factors'!$C$9:$C$108,0))="","",INDEX('Factors'!$P$9:$P$108,MATCH(I50,'Factors'!$C$9:$C$108,0))),"")="Ready",IFERROR(IF(INDEX('Factors'!$F$9:$F$108,MATCH(I50,'Factors'!$C$9:$C$108,0))="","",INDEX('Factors'!$F$9:$F$108,MATCH(I50,'Factors'!$C$9:$C$108,0))),"")="litre",IFERROR(IF(INDEX('Factors'!$H$9:$H$108,MATCH(I50,'Factors'!$C$9:$C$108,0))="","",INDEX('Factors'!$H$9:$H$108,MATCH(I50,'Factors'!$C$9:$C$108,0))),"")="S1",IFERROR(IF(INDEX('Factors'!$I$9:$I$108,MATCH(I50,'Factors'!$C$9:$C$108,0))="","",INDEX('Factors'!$I$9:$I$108,MATCH(I50,'Factors'!$C$9:$C$108,0))),"")="Combustion",IFERROR(IF(INDEX('Factors'!$J$9:$J$108,MATCH(I50,'Factors'!$C$9:$C$108,0))="","",INDEX('Factors'!$J$9:$J$108,MATCH(I50,'Factors'!$C$9:$C$108,0))),"")=G50,OR(IFERROR(IF(INDEX('Factors'!$E$9:$E$108,MATCH(I50,'Factors'!$C$9:$C$108,0))="","",INDEX('Factors'!$E$9:$E$108,MATCH(I50,'Factors'!$C$9:$C$108,0))),"")="Global",IFERROR(IF(INDEX('Factors'!$E$9:$E$108,MATCH(I50,'Factors'!$C$9:$C$108,0))="","",INDEX('Factors'!$E$9:$E$108,MATCH(I50,'Factors'!$C$9:$C$108,0))),"")=D50)),"Ready","Factor / unit review"))))))))</x:f>
      </x:c>
      <x:c r="Y50" s="9" t="str">
        <x:f>IF(C50="","",IF(AND($D$6&lt;&gt;"Operational control",$D$6&lt;&gt;"Financial control"),"Control basis required",IF(F50="No","Outside control",IF(F50&lt;&gt;"Yes","Control review",IF(COUNTIFS($C$9:$C$108,C50)&lt;&gt;1,"Duplicate operation ID",IF(OR(S50="",NOT(ISNUMBER(T50)),T50&lt;'Settings'!$F$8,NOT(ISNUMBER(G50)),G50&lt;&gt;YEAR('Settings'!$F$8)),"Evidence / period review",IF(OR(NOT(ISNUMBER(J50)),J50&lt;0),"Activity required",IF(AND(IFERROR(IF(INDEX('Factors'!$P$9:$P$108,MATCH(K50,'Factors'!$C$9:$C$108,0))="","",INDEX('Factors'!$P$9:$P$108,MATCH(K50,'Factors'!$C$9:$C$108,0))),"")="Ready",IFERROR(IF(INDEX('Factors'!$F$9:$F$108,MATCH(K50,'Factors'!$C$9:$C$108,0))="","",INDEX('Factors'!$F$9:$F$108,MATCH(K50,'Factors'!$C$9:$C$108,0))),"")="kWh",IFERROR(IF(INDEX('Factors'!$H$9:$H$108,MATCH(K50,'Factors'!$C$9:$C$108,0))="","",INDEX('Factors'!$H$9:$H$108,MATCH(K50,'Factors'!$C$9:$C$108,0))),"")="S2",IFERROR(IF(INDEX('Factors'!$I$9:$I$108,MATCH(K50,'Factors'!$C$9:$C$108,0))="","",INDEX('Factors'!$I$9:$I$108,MATCH(K50,'Factors'!$C$9:$C$108,0))),"")="Location-based",IFERROR(IF(INDEX('Factors'!$J$9:$J$108,MATCH(K50,'Factors'!$C$9:$C$108,0))="","",INDEX('Factors'!$J$9:$J$108,MATCH(K50,'Factors'!$C$9:$C$108,0))),"")=G50,OR(IFERROR(IF(INDEX('Factors'!$E$9:$E$108,MATCH(K50,'Factors'!$C$9:$C$108,0))="","",INDEX('Factors'!$E$9:$E$108,MATCH(K50,'Factors'!$C$9:$C$108,0))),"")="Global",IFERROR(IF(INDEX('Factors'!$E$9:$E$108,MATCH(K50,'Factors'!$C$9:$C$108,0))="","",INDEX('Factors'!$E$9:$E$108,MATCH(K50,'Factors'!$C$9:$C$108,0))),"")=D50)),"Ready","Factor / unit review"))))))))</x:f>
      </x:c>
      <x:c r="Z50" s="9" t="str">
        <x:f>IF(C50="","",IF(F50="No","Outside control",IF(F50&lt;&gt;"Yes","Control review",IF($H$6="No","Not required",IF($H$6&lt;&gt;"Yes","Applicability review",IF(Y50&lt;&gt;"Ready",Y50,IF(OR(NOT(ISNUMBER(M50)),M50&lt;0,M50&gt;J50),"Contract quantity review",IF(AND(M50&gt;0,OR(O50&lt;&gt;"Pass",P50="",NOT(AND(IFERROR(IF(INDEX('Factors'!$P$9:$P$108,MATCH(N50,'Factors'!$C$9:$C$108,0))="","",INDEX('Factors'!$P$9:$P$108,MATCH(N50,'Factors'!$C$9:$C$108,0))),"")="Ready",IFERROR(IF(INDEX('Factors'!$F$9:$F$108,MATCH(N50,'Factors'!$C$9:$C$108,0))="","",INDEX('Factors'!$F$9:$F$108,MATCH(N50,'Factors'!$C$9:$C$108,0))),"")="kWh",IFERROR(IF(INDEX('Factors'!$H$9:$H$108,MATCH(N50,'Factors'!$C$9:$C$108,0))="","",INDEX('Factors'!$H$9:$H$108,MATCH(N50,'Factors'!$C$9:$C$108,0))),"")="S2",IFERROR(IF(INDEX('Factors'!$I$9:$I$108,MATCH(N50,'Factors'!$C$9:$C$108,0))="","",INDEX('Factors'!$I$9:$I$108,MATCH(N50,'Factors'!$C$9:$C$108,0))),"")="Market-based",IFERROR(IF(INDEX('Factors'!$J$9:$J$108,MATCH(N50,'Factors'!$C$9:$C$108,0))="","",INDEX('Factors'!$J$9:$J$108,MATCH(N50,'Factors'!$C$9:$C$108,0))),"")=G50,OR(IFERROR(IF(INDEX('Factors'!$E$9:$E$108,MATCH(N50,'Factors'!$C$9:$C$108,0))="","",INDEX('Factors'!$E$9:$E$108,MATCH(N50,'Factors'!$C$9:$C$108,0))),"")="Global",IFERROR(IF(INDEX('Factors'!$E$9:$E$108,MATCH(N50,'Factors'!$C$9:$C$108,0))="","",INDEX('Factors'!$E$9:$E$108,MATCH(N50,'Factors'!$C$9:$C$108,0))),"")=D50))))),"Contract criteria review",IF(M50=J50,"Ready",IF(Q50="No","Grid fallback",IF(Q50="Yes",IF(AND(IFERROR(IF(INDEX('Factors'!$P$9:$P$108,MATCH(R50,'Factors'!$C$9:$C$108,0))="","",INDEX('Factors'!$P$9:$P$108,MATCH(R50,'Factors'!$C$9:$C$108,0))),"")="Ready",IFERROR(IF(INDEX('Factors'!$F$9:$F$108,MATCH(R50,'Factors'!$C$9:$C$108,0))="","",INDEX('Factors'!$F$9:$F$108,MATCH(R50,'Factors'!$C$9:$C$108,0))),"")="kWh",IFERROR(IF(INDEX('Factors'!$H$9:$H$108,MATCH(R50,'Factors'!$C$9:$C$108,0))="","",INDEX('Factors'!$H$9:$H$108,MATCH(R50,'Factors'!$C$9:$C$108,0))),"")="S2",IFERROR(IF(INDEX('Factors'!$I$9:$I$108,MATCH(R50,'Factors'!$C$9:$C$108,0))="","",INDEX('Factors'!$I$9:$I$108,MATCH(R50,'Factors'!$C$9:$C$108,0))),"")="Residual mix",IFERROR(IF(INDEX('Factors'!$J$9:$J$108,MATCH(R50,'Factors'!$C$9:$C$108,0))="","",INDEX('Factors'!$J$9:$J$108,MATCH(R50,'Factors'!$C$9:$C$108,0))),"")=G50,OR(IFERROR(IF(INDEX('Factors'!$E$9:$E$108,MATCH(R50,'Factors'!$C$9:$C$108,0))="","",INDEX('Factors'!$E$9:$E$108,MATCH(R50,'Factors'!$C$9:$C$108,0))),"")="Global",IFERROR(IF(INDEX('Factors'!$E$9:$E$108,MATCH(R50,'Factors'!$C$9:$C$108,0))="","",INDEX('Factors'!$E$9:$E$108,MATCH(R50,'Factors'!$C$9:$C$108,0))),"")=D50)),"Ready","Residual factor review"),"Residual availability review")))))))))))</x:f>
      </x:c>
      <x:c r="AA50" s="8"/>
      <x:c r="AB50" s="16"/>
      <x:c r="AC50" s="8"/>
    </x:row>
    <x:row r="51" ht="36" customHeight="1">
      <x:c r="A51" s="1"/>
      <x:c r="B51" s="1"/>
      <x:c r="C51" s="8"/>
      <x:c r="D51" s="8"/>
      <x:c r="E51" s="8"/>
      <x:c r="F51" s="8"/>
      <x:c r="G51" s="22"/>
      <x:c r="H51" s="16"/>
      <x:c r="I51" s="8"/>
      <x:c r="J51" s="16"/>
      <x:c r="K51" s="8"/>
      <x:c r="L51" s="8"/>
      <x:c r="M51" s="16"/>
      <x:c r="N51" s="8"/>
      <x:c r="O51" s="8"/>
      <x:c r="P51" s="8"/>
      <x:c r="Q51" s="8"/>
      <x:c r="R51" s="8"/>
      <x:c r="S51" s="8"/>
      <x:c r="T51" s="40"/>
      <x:c r="U51" s="23" t="str">
        <x:f>IF(X51="Ready",H51*IFERROR(IF(INDEX('Factors'!$G$9:$G$108,MATCH(I51,'Factors'!$C$9:$C$108,0))="","",INDEX('Factors'!$G$9:$G$108,MATCH(I51,'Factors'!$C$9:$C$108,0))),"")/1000+AB51,"")</x:f>
      </x:c>
      <x:c r="V51" s="23" t="str">
        <x:f>IF(Y51="Ready",J51*IFERROR(IF(INDEX('Factors'!$G$9:$G$108,MATCH(K51,'Factors'!$C$9:$C$108,0))="","",INDEX('Factors'!$G$9:$G$108,MATCH(K51,'Factors'!$C$9:$C$108,0))),"")/1000,"")</x:f>
      </x:c>
      <x:c r="W51" s="23" t="str">
        <x:f>IF(OR(Z51="Ready",Z51="Grid fallback"),(IF(M51&gt;0,M51*IFERROR(IF(INDEX('Factors'!$G$9:$G$108,MATCH(N51,'Factors'!$C$9:$C$108,0))="","",INDEX('Factors'!$G$9:$G$108,MATCH(N51,'Factors'!$C$9:$C$108,0))),""),0)+(J51-M51)*IF(M51=J51,0,IF(Q51="No",IFERROR(IF(INDEX('Factors'!$G$9:$G$108,MATCH(K51,'Factors'!$C$9:$C$108,0))="","",INDEX('Factors'!$G$9:$G$108,MATCH(K51,'Factors'!$C$9:$C$108,0))),""),IFERROR(IF(INDEX('Factors'!$G$9:$G$108,MATCH(R51,'Factors'!$C$9:$C$108,0))="","",INDEX('Factors'!$G$9:$G$108,MATCH(R51,'Factors'!$C$9:$C$108,0))),""))))/1000,"")</x:f>
      </x:c>
      <x:c r="X51" s="9" t="str">
        <x:f>IF(C51="","",IF(AND($D$6&lt;&gt;"Operational control",$D$6&lt;&gt;"Financial control"),"Control basis required",IF(F51="No","Outside control",IF(F51&lt;&gt;"Yes","Control review",IF(COUNTIFS($C$9:$C$108,C51)&lt;&gt;1,"Duplicate operation ID",IF(OR(S51="",NOT(ISNUMBER(T51)),T51&lt;'Settings'!$F$8,NOT(ISNUMBER(G51)),G51&lt;&gt;YEAR('Settings'!$F$8)),"Evidence / period review",IF(OR(NOT(ISNUMBER(H51)),H51&lt;0,AA51&lt;&gt;"Yes",NOT(ISNUMBER(AB51)),AB51&lt;0,AC51=""),"Activity required",IF(AND(IFERROR(IF(INDEX('Factors'!$P$9:$P$108,MATCH(I51,'Factors'!$C$9:$C$108,0))="","",INDEX('Factors'!$P$9:$P$108,MATCH(I51,'Factors'!$C$9:$C$108,0))),"")="Ready",IFERROR(IF(INDEX('Factors'!$F$9:$F$108,MATCH(I51,'Factors'!$C$9:$C$108,0))="","",INDEX('Factors'!$F$9:$F$108,MATCH(I51,'Factors'!$C$9:$C$108,0))),"")="litre",IFERROR(IF(INDEX('Factors'!$H$9:$H$108,MATCH(I51,'Factors'!$C$9:$C$108,0))="","",INDEX('Factors'!$H$9:$H$108,MATCH(I51,'Factors'!$C$9:$C$108,0))),"")="S1",IFERROR(IF(INDEX('Factors'!$I$9:$I$108,MATCH(I51,'Factors'!$C$9:$C$108,0))="","",INDEX('Factors'!$I$9:$I$108,MATCH(I51,'Factors'!$C$9:$C$108,0))),"")="Combustion",IFERROR(IF(INDEX('Factors'!$J$9:$J$108,MATCH(I51,'Factors'!$C$9:$C$108,0))="","",INDEX('Factors'!$J$9:$J$108,MATCH(I51,'Factors'!$C$9:$C$108,0))),"")=G51,OR(IFERROR(IF(INDEX('Factors'!$E$9:$E$108,MATCH(I51,'Factors'!$C$9:$C$108,0))="","",INDEX('Factors'!$E$9:$E$108,MATCH(I51,'Factors'!$C$9:$C$108,0))),"")="Global",IFERROR(IF(INDEX('Factors'!$E$9:$E$108,MATCH(I51,'Factors'!$C$9:$C$108,0))="","",INDEX('Factors'!$E$9:$E$108,MATCH(I51,'Factors'!$C$9:$C$108,0))),"")=D51)),"Ready","Factor / unit review"))))))))</x:f>
      </x:c>
      <x:c r="Y51" s="9" t="str">
        <x:f>IF(C51="","",IF(AND($D$6&lt;&gt;"Operational control",$D$6&lt;&gt;"Financial control"),"Control basis required",IF(F51="No","Outside control",IF(F51&lt;&gt;"Yes","Control review",IF(COUNTIFS($C$9:$C$108,C51)&lt;&gt;1,"Duplicate operation ID",IF(OR(S51="",NOT(ISNUMBER(T51)),T51&lt;'Settings'!$F$8,NOT(ISNUMBER(G51)),G51&lt;&gt;YEAR('Settings'!$F$8)),"Evidence / period review",IF(OR(NOT(ISNUMBER(J51)),J51&lt;0),"Activity required",IF(AND(IFERROR(IF(INDEX('Factors'!$P$9:$P$108,MATCH(K51,'Factors'!$C$9:$C$108,0))="","",INDEX('Factors'!$P$9:$P$108,MATCH(K51,'Factors'!$C$9:$C$108,0))),"")="Ready",IFERROR(IF(INDEX('Factors'!$F$9:$F$108,MATCH(K51,'Factors'!$C$9:$C$108,0))="","",INDEX('Factors'!$F$9:$F$108,MATCH(K51,'Factors'!$C$9:$C$108,0))),"")="kWh",IFERROR(IF(INDEX('Factors'!$H$9:$H$108,MATCH(K51,'Factors'!$C$9:$C$108,0))="","",INDEX('Factors'!$H$9:$H$108,MATCH(K51,'Factors'!$C$9:$C$108,0))),"")="S2",IFERROR(IF(INDEX('Factors'!$I$9:$I$108,MATCH(K51,'Factors'!$C$9:$C$108,0))="","",INDEX('Factors'!$I$9:$I$108,MATCH(K51,'Factors'!$C$9:$C$108,0))),"")="Location-based",IFERROR(IF(INDEX('Factors'!$J$9:$J$108,MATCH(K51,'Factors'!$C$9:$C$108,0))="","",INDEX('Factors'!$J$9:$J$108,MATCH(K51,'Factors'!$C$9:$C$108,0))),"")=G51,OR(IFERROR(IF(INDEX('Factors'!$E$9:$E$108,MATCH(K51,'Factors'!$C$9:$C$108,0))="","",INDEX('Factors'!$E$9:$E$108,MATCH(K51,'Factors'!$C$9:$C$108,0))),"")="Global",IFERROR(IF(INDEX('Factors'!$E$9:$E$108,MATCH(K51,'Factors'!$C$9:$C$108,0))="","",INDEX('Factors'!$E$9:$E$108,MATCH(K51,'Factors'!$C$9:$C$108,0))),"")=D51)),"Ready","Factor / unit review"))))))))</x:f>
      </x:c>
      <x:c r="Z51" s="9" t="str">
        <x:f>IF(C51="","",IF(F51="No","Outside control",IF(F51&lt;&gt;"Yes","Control review",IF($H$6="No","Not required",IF($H$6&lt;&gt;"Yes","Applicability review",IF(Y51&lt;&gt;"Ready",Y51,IF(OR(NOT(ISNUMBER(M51)),M51&lt;0,M51&gt;J51),"Contract quantity review",IF(AND(M51&gt;0,OR(O51&lt;&gt;"Pass",P51="",NOT(AND(IFERROR(IF(INDEX('Factors'!$P$9:$P$108,MATCH(N51,'Factors'!$C$9:$C$108,0))="","",INDEX('Factors'!$P$9:$P$108,MATCH(N51,'Factors'!$C$9:$C$108,0))),"")="Ready",IFERROR(IF(INDEX('Factors'!$F$9:$F$108,MATCH(N51,'Factors'!$C$9:$C$108,0))="","",INDEX('Factors'!$F$9:$F$108,MATCH(N51,'Factors'!$C$9:$C$108,0))),"")="kWh",IFERROR(IF(INDEX('Factors'!$H$9:$H$108,MATCH(N51,'Factors'!$C$9:$C$108,0))="","",INDEX('Factors'!$H$9:$H$108,MATCH(N51,'Factors'!$C$9:$C$108,0))),"")="S2",IFERROR(IF(INDEX('Factors'!$I$9:$I$108,MATCH(N51,'Factors'!$C$9:$C$108,0))="","",INDEX('Factors'!$I$9:$I$108,MATCH(N51,'Factors'!$C$9:$C$108,0))),"")="Market-based",IFERROR(IF(INDEX('Factors'!$J$9:$J$108,MATCH(N51,'Factors'!$C$9:$C$108,0))="","",INDEX('Factors'!$J$9:$J$108,MATCH(N51,'Factors'!$C$9:$C$108,0))),"")=G51,OR(IFERROR(IF(INDEX('Factors'!$E$9:$E$108,MATCH(N51,'Factors'!$C$9:$C$108,0))="","",INDEX('Factors'!$E$9:$E$108,MATCH(N51,'Factors'!$C$9:$C$108,0))),"")="Global",IFERROR(IF(INDEX('Factors'!$E$9:$E$108,MATCH(N51,'Factors'!$C$9:$C$108,0))="","",INDEX('Factors'!$E$9:$E$108,MATCH(N51,'Factors'!$C$9:$C$108,0))),"")=D51))))),"Contract criteria review",IF(M51=J51,"Ready",IF(Q51="No","Grid fallback",IF(Q51="Yes",IF(AND(IFERROR(IF(INDEX('Factors'!$P$9:$P$108,MATCH(R51,'Factors'!$C$9:$C$108,0))="","",INDEX('Factors'!$P$9:$P$108,MATCH(R51,'Factors'!$C$9:$C$108,0))),"")="Ready",IFERROR(IF(INDEX('Factors'!$F$9:$F$108,MATCH(R51,'Factors'!$C$9:$C$108,0))="","",INDEX('Factors'!$F$9:$F$108,MATCH(R51,'Factors'!$C$9:$C$108,0))),"")="kWh",IFERROR(IF(INDEX('Factors'!$H$9:$H$108,MATCH(R51,'Factors'!$C$9:$C$108,0))="","",INDEX('Factors'!$H$9:$H$108,MATCH(R51,'Factors'!$C$9:$C$108,0))),"")="S2",IFERROR(IF(INDEX('Factors'!$I$9:$I$108,MATCH(R51,'Factors'!$C$9:$C$108,0))="","",INDEX('Factors'!$I$9:$I$108,MATCH(R51,'Factors'!$C$9:$C$108,0))),"")="Residual mix",IFERROR(IF(INDEX('Factors'!$J$9:$J$108,MATCH(R51,'Factors'!$C$9:$C$108,0))="","",INDEX('Factors'!$J$9:$J$108,MATCH(R51,'Factors'!$C$9:$C$108,0))),"")=G51,OR(IFERROR(IF(INDEX('Factors'!$E$9:$E$108,MATCH(R51,'Factors'!$C$9:$C$108,0))="","",INDEX('Factors'!$E$9:$E$108,MATCH(R51,'Factors'!$C$9:$C$108,0))),"")="Global",IFERROR(IF(INDEX('Factors'!$E$9:$E$108,MATCH(R51,'Factors'!$C$9:$C$108,0))="","",INDEX('Factors'!$E$9:$E$108,MATCH(R51,'Factors'!$C$9:$C$108,0))),"")=D51)),"Ready","Residual factor review"),"Residual availability review")))))))))))</x:f>
      </x:c>
      <x:c r="AA51" s="8"/>
      <x:c r="AB51" s="16"/>
      <x:c r="AC51" s="8"/>
    </x:row>
    <x:row r="52" ht="36" customHeight="1">
      <x:c r="A52" s="1"/>
      <x:c r="B52" s="1"/>
      <x:c r="C52" s="8"/>
      <x:c r="D52" s="8"/>
      <x:c r="E52" s="8"/>
      <x:c r="F52" s="8"/>
      <x:c r="G52" s="22"/>
      <x:c r="H52" s="16"/>
      <x:c r="I52" s="8"/>
      <x:c r="J52" s="16"/>
      <x:c r="K52" s="8"/>
      <x:c r="L52" s="8"/>
      <x:c r="M52" s="16"/>
      <x:c r="N52" s="8"/>
      <x:c r="O52" s="8"/>
      <x:c r="P52" s="8"/>
      <x:c r="Q52" s="8"/>
      <x:c r="R52" s="8"/>
      <x:c r="S52" s="8"/>
      <x:c r="T52" s="40"/>
      <x:c r="U52" s="23" t="str">
        <x:f>IF(X52="Ready",H52*IFERROR(IF(INDEX('Factors'!$G$9:$G$108,MATCH(I52,'Factors'!$C$9:$C$108,0))="","",INDEX('Factors'!$G$9:$G$108,MATCH(I52,'Factors'!$C$9:$C$108,0))),"")/1000+AB52,"")</x:f>
      </x:c>
      <x:c r="V52" s="23" t="str">
        <x:f>IF(Y52="Ready",J52*IFERROR(IF(INDEX('Factors'!$G$9:$G$108,MATCH(K52,'Factors'!$C$9:$C$108,0))="","",INDEX('Factors'!$G$9:$G$108,MATCH(K52,'Factors'!$C$9:$C$108,0))),"")/1000,"")</x:f>
      </x:c>
      <x:c r="W52" s="23" t="str">
        <x:f>IF(OR(Z52="Ready",Z52="Grid fallback"),(IF(M52&gt;0,M52*IFERROR(IF(INDEX('Factors'!$G$9:$G$108,MATCH(N52,'Factors'!$C$9:$C$108,0))="","",INDEX('Factors'!$G$9:$G$108,MATCH(N52,'Factors'!$C$9:$C$108,0))),""),0)+(J52-M52)*IF(M52=J52,0,IF(Q52="No",IFERROR(IF(INDEX('Factors'!$G$9:$G$108,MATCH(K52,'Factors'!$C$9:$C$108,0))="","",INDEX('Factors'!$G$9:$G$108,MATCH(K52,'Factors'!$C$9:$C$108,0))),""),IFERROR(IF(INDEX('Factors'!$G$9:$G$108,MATCH(R52,'Factors'!$C$9:$C$108,0))="","",INDEX('Factors'!$G$9:$G$108,MATCH(R52,'Factors'!$C$9:$C$108,0))),""))))/1000,"")</x:f>
      </x:c>
      <x:c r="X52" s="9" t="str">
        <x:f>IF(C52="","",IF(AND($D$6&lt;&gt;"Operational control",$D$6&lt;&gt;"Financial control"),"Control basis required",IF(F52="No","Outside control",IF(F52&lt;&gt;"Yes","Control review",IF(COUNTIFS($C$9:$C$108,C52)&lt;&gt;1,"Duplicate operation ID",IF(OR(S52="",NOT(ISNUMBER(T52)),T52&lt;'Settings'!$F$8,NOT(ISNUMBER(G52)),G52&lt;&gt;YEAR('Settings'!$F$8)),"Evidence / period review",IF(OR(NOT(ISNUMBER(H52)),H52&lt;0,AA52&lt;&gt;"Yes",NOT(ISNUMBER(AB52)),AB52&lt;0,AC52=""),"Activity required",IF(AND(IFERROR(IF(INDEX('Factors'!$P$9:$P$108,MATCH(I52,'Factors'!$C$9:$C$108,0))="","",INDEX('Factors'!$P$9:$P$108,MATCH(I52,'Factors'!$C$9:$C$108,0))),"")="Ready",IFERROR(IF(INDEX('Factors'!$F$9:$F$108,MATCH(I52,'Factors'!$C$9:$C$108,0))="","",INDEX('Factors'!$F$9:$F$108,MATCH(I52,'Factors'!$C$9:$C$108,0))),"")="litre",IFERROR(IF(INDEX('Factors'!$H$9:$H$108,MATCH(I52,'Factors'!$C$9:$C$108,0))="","",INDEX('Factors'!$H$9:$H$108,MATCH(I52,'Factors'!$C$9:$C$108,0))),"")="S1",IFERROR(IF(INDEX('Factors'!$I$9:$I$108,MATCH(I52,'Factors'!$C$9:$C$108,0))="","",INDEX('Factors'!$I$9:$I$108,MATCH(I52,'Factors'!$C$9:$C$108,0))),"")="Combustion",IFERROR(IF(INDEX('Factors'!$J$9:$J$108,MATCH(I52,'Factors'!$C$9:$C$108,0))="","",INDEX('Factors'!$J$9:$J$108,MATCH(I52,'Factors'!$C$9:$C$108,0))),"")=G52,OR(IFERROR(IF(INDEX('Factors'!$E$9:$E$108,MATCH(I52,'Factors'!$C$9:$C$108,0))="","",INDEX('Factors'!$E$9:$E$108,MATCH(I52,'Factors'!$C$9:$C$108,0))),"")="Global",IFERROR(IF(INDEX('Factors'!$E$9:$E$108,MATCH(I52,'Factors'!$C$9:$C$108,0))="","",INDEX('Factors'!$E$9:$E$108,MATCH(I52,'Factors'!$C$9:$C$108,0))),"")=D52)),"Ready","Factor / unit review"))))))))</x:f>
      </x:c>
      <x:c r="Y52" s="9" t="str">
        <x:f>IF(C52="","",IF(AND($D$6&lt;&gt;"Operational control",$D$6&lt;&gt;"Financial control"),"Control basis required",IF(F52="No","Outside control",IF(F52&lt;&gt;"Yes","Control review",IF(COUNTIFS($C$9:$C$108,C52)&lt;&gt;1,"Duplicate operation ID",IF(OR(S52="",NOT(ISNUMBER(T52)),T52&lt;'Settings'!$F$8,NOT(ISNUMBER(G52)),G52&lt;&gt;YEAR('Settings'!$F$8)),"Evidence / period review",IF(OR(NOT(ISNUMBER(J52)),J52&lt;0),"Activity required",IF(AND(IFERROR(IF(INDEX('Factors'!$P$9:$P$108,MATCH(K52,'Factors'!$C$9:$C$108,0))="","",INDEX('Factors'!$P$9:$P$108,MATCH(K52,'Factors'!$C$9:$C$108,0))),"")="Ready",IFERROR(IF(INDEX('Factors'!$F$9:$F$108,MATCH(K52,'Factors'!$C$9:$C$108,0))="","",INDEX('Factors'!$F$9:$F$108,MATCH(K52,'Factors'!$C$9:$C$108,0))),"")="kWh",IFERROR(IF(INDEX('Factors'!$H$9:$H$108,MATCH(K52,'Factors'!$C$9:$C$108,0))="","",INDEX('Factors'!$H$9:$H$108,MATCH(K52,'Factors'!$C$9:$C$108,0))),"")="S2",IFERROR(IF(INDEX('Factors'!$I$9:$I$108,MATCH(K52,'Factors'!$C$9:$C$108,0))="","",INDEX('Factors'!$I$9:$I$108,MATCH(K52,'Factors'!$C$9:$C$108,0))),"")="Location-based",IFERROR(IF(INDEX('Factors'!$J$9:$J$108,MATCH(K52,'Factors'!$C$9:$C$108,0))="","",INDEX('Factors'!$J$9:$J$108,MATCH(K52,'Factors'!$C$9:$C$108,0))),"")=G52,OR(IFERROR(IF(INDEX('Factors'!$E$9:$E$108,MATCH(K52,'Factors'!$C$9:$C$108,0))="","",INDEX('Factors'!$E$9:$E$108,MATCH(K52,'Factors'!$C$9:$C$108,0))),"")="Global",IFERROR(IF(INDEX('Factors'!$E$9:$E$108,MATCH(K52,'Factors'!$C$9:$C$108,0))="","",INDEX('Factors'!$E$9:$E$108,MATCH(K52,'Factors'!$C$9:$C$108,0))),"")=D52)),"Ready","Factor / unit review"))))))))</x:f>
      </x:c>
      <x:c r="Z52" s="9" t="str">
        <x:f>IF(C52="","",IF(F52="No","Outside control",IF(F52&lt;&gt;"Yes","Control review",IF($H$6="No","Not required",IF($H$6&lt;&gt;"Yes","Applicability review",IF(Y52&lt;&gt;"Ready",Y52,IF(OR(NOT(ISNUMBER(M52)),M52&lt;0,M52&gt;J52),"Contract quantity review",IF(AND(M52&gt;0,OR(O52&lt;&gt;"Pass",P52="",NOT(AND(IFERROR(IF(INDEX('Factors'!$P$9:$P$108,MATCH(N52,'Factors'!$C$9:$C$108,0))="","",INDEX('Factors'!$P$9:$P$108,MATCH(N52,'Factors'!$C$9:$C$108,0))),"")="Ready",IFERROR(IF(INDEX('Factors'!$F$9:$F$108,MATCH(N52,'Factors'!$C$9:$C$108,0))="","",INDEX('Factors'!$F$9:$F$108,MATCH(N52,'Factors'!$C$9:$C$108,0))),"")="kWh",IFERROR(IF(INDEX('Factors'!$H$9:$H$108,MATCH(N52,'Factors'!$C$9:$C$108,0))="","",INDEX('Factors'!$H$9:$H$108,MATCH(N52,'Factors'!$C$9:$C$108,0))),"")="S2",IFERROR(IF(INDEX('Factors'!$I$9:$I$108,MATCH(N52,'Factors'!$C$9:$C$108,0))="","",INDEX('Factors'!$I$9:$I$108,MATCH(N52,'Factors'!$C$9:$C$108,0))),"")="Market-based",IFERROR(IF(INDEX('Factors'!$J$9:$J$108,MATCH(N52,'Factors'!$C$9:$C$108,0))="","",INDEX('Factors'!$J$9:$J$108,MATCH(N52,'Factors'!$C$9:$C$108,0))),"")=G52,OR(IFERROR(IF(INDEX('Factors'!$E$9:$E$108,MATCH(N52,'Factors'!$C$9:$C$108,0))="","",INDEX('Factors'!$E$9:$E$108,MATCH(N52,'Factors'!$C$9:$C$108,0))),"")="Global",IFERROR(IF(INDEX('Factors'!$E$9:$E$108,MATCH(N52,'Factors'!$C$9:$C$108,0))="","",INDEX('Factors'!$E$9:$E$108,MATCH(N52,'Factors'!$C$9:$C$108,0))),"")=D52))))),"Contract criteria review",IF(M52=J52,"Ready",IF(Q52="No","Grid fallback",IF(Q52="Yes",IF(AND(IFERROR(IF(INDEX('Factors'!$P$9:$P$108,MATCH(R52,'Factors'!$C$9:$C$108,0))="","",INDEX('Factors'!$P$9:$P$108,MATCH(R52,'Factors'!$C$9:$C$108,0))),"")="Ready",IFERROR(IF(INDEX('Factors'!$F$9:$F$108,MATCH(R52,'Factors'!$C$9:$C$108,0))="","",INDEX('Factors'!$F$9:$F$108,MATCH(R52,'Factors'!$C$9:$C$108,0))),"")="kWh",IFERROR(IF(INDEX('Factors'!$H$9:$H$108,MATCH(R52,'Factors'!$C$9:$C$108,0))="","",INDEX('Factors'!$H$9:$H$108,MATCH(R52,'Factors'!$C$9:$C$108,0))),"")="S2",IFERROR(IF(INDEX('Factors'!$I$9:$I$108,MATCH(R52,'Factors'!$C$9:$C$108,0))="","",INDEX('Factors'!$I$9:$I$108,MATCH(R52,'Factors'!$C$9:$C$108,0))),"")="Residual mix",IFERROR(IF(INDEX('Factors'!$J$9:$J$108,MATCH(R52,'Factors'!$C$9:$C$108,0))="","",INDEX('Factors'!$J$9:$J$108,MATCH(R52,'Factors'!$C$9:$C$108,0))),"")=G52,OR(IFERROR(IF(INDEX('Factors'!$E$9:$E$108,MATCH(R52,'Factors'!$C$9:$C$108,0))="","",INDEX('Factors'!$E$9:$E$108,MATCH(R52,'Factors'!$C$9:$C$108,0))),"")="Global",IFERROR(IF(INDEX('Factors'!$E$9:$E$108,MATCH(R52,'Factors'!$C$9:$C$108,0))="","",INDEX('Factors'!$E$9:$E$108,MATCH(R52,'Factors'!$C$9:$C$108,0))),"")=D52)),"Ready","Residual factor review"),"Residual availability review")))))))))))</x:f>
      </x:c>
      <x:c r="AA52" s="8"/>
      <x:c r="AB52" s="16"/>
      <x:c r="AC52" s="8"/>
    </x:row>
    <x:row r="53" ht="36" customHeight="1">
      <x:c r="A53" s="1"/>
      <x:c r="B53" s="1"/>
      <x:c r="C53" s="8"/>
      <x:c r="D53" s="8"/>
      <x:c r="E53" s="8"/>
      <x:c r="F53" s="8"/>
      <x:c r="G53" s="22"/>
      <x:c r="H53" s="16"/>
      <x:c r="I53" s="8"/>
      <x:c r="J53" s="16"/>
      <x:c r="K53" s="8"/>
      <x:c r="L53" s="8"/>
      <x:c r="M53" s="16"/>
      <x:c r="N53" s="8"/>
      <x:c r="O53" s="8"/>
      <x:c r="P53" s="8"/>
      <x:c r="Q53" s="8"/>
      <x:c r="R53" s="8"/>
      <x:c r="S53" s="8"/>
      <x:c r="T53" s="40"/>
      <x:c r="U53" s="23" t="str">
        <x:f>IF(X53="Ready",H53*IFERROR(IF(INDEX('Factors'!$G$9:$G$108,MATCH(I53,'Factors'!$C$9:$C$108,0))="","",INDEX('Factors'!$G$9:$G$108,MATCH(I53,'Factors'!$C$9:$C$108,0))),"")/1000+AB53,"")</x:f>
      </x:c>
      <x:c r="V53" s="23" t="str">
        <x:f>IF(Y53="Ready",J53*IFERROR(IF(INDEX('Factors'!$G$9:$G$108,MATCH(K53,'Factors'!$C$9:$C$108,0))="","",INDEX('Factors'!$G$9:$G$108,MATCH(K53,'Factors'!$C$9:$C$108,0))),"")/1000,"")</x:f>
      </x:c>
      <x:c r="W53" s="23" t="str">
        <x:f>IF(OR(Z53="Ready",Z53="Grid fallback"),(IF(M53&gt;0,M53*IFERROR(IF(INDEX('Factors'!$G$9:$G$108,MATCH(N53,'Factors'!$C$9:$C$108,0))="","",INDEX('Factors'!$G$9:$G$108,MATCH(N53,'Factors'!$C$9:$C$108,0))),""),0)+(J53-M53)*IF(M53=J53,0,IF(Q53="No",IFERROR(IF(INDEX('Factors'!$G$9:$G$108,MATCH(K53,'Factors'!$C$9:$C$108,0))="","",INDEX('Factors'!$G$9:$G$108,MATCH(K53,'Factors'!$C$9:$C$108,0))),""),IFERROR(IF(INDEX('Factors'!$G$9:$G$108,MATCH(R53,'Factors'!$C$9:$C$108,0))="","",INDEX('Factors'!$G$9:$G$108,MATCH(R53,'Factors'!$C$9:$C$108,0))),""))))/1000,"")</x:f>
      </x:c>
      <x:c r="X53" s="9" t="str">
        <x:f>IF(C53="","",IF(AND($D$6&lt;&gt;"Operational control",$D$6&lt;&gt;"Financial control"),"Control basis required",IF(F53="No","Outside control",IF(F53&lt;&gt;"Yes","Control review",IF(COUNTIFS($C$9:$C$108,C53)&lt;&gt;1,"Duplicate operation ID",IF(OR(S53="",NOT(ISNUMBER(T53)),T53&lt;'Settings'!$F$8,NOT(ISNUMBER(G53)),G53&lt;&gt;YEAR('Settings'!$F$8)),"Evidence / period review",IF(OR(NOT(ISNUMBER(H53)),H53&lt;0,AA53&lt;&gt;"Yes",NOT(ISNUMBER(AB53)),AB53&lt;0,AC53=""),"Activity required",IF(AND(IFERROR(IF(INDEX('Factors'!$P$9:$P$108,MATCH(I53,'Factors'!$C$9:$C$108,0))="","",INDEX('Factors'!$P$9:$P$108,MATCH(I53,'Factors'!$C$9:$C$108,0))),"")="Ready",IFERROR(IF(INDEX('Factors'!$F$9:$F$108,MATCH(I53,'Factors'!$C$9:$C$108,0))="","",INDEX('Factors'!$F$9:$F$108,MATCH(I53,'Factors'!$C$9:$C$108,0))),"")="litre",IFERROR(IF(INDEX('Factors'!$H$9:$H$108,MATCH(I53,'Factors'!$C$9:$C$108,0))="","",INDEX('Factors'!$H$9:$H$108,MATCH(I53,'Factors'!$C$9:$C$108,0))),"")="S1",IFERROR(IF(INDEX('Factors'!$I$9:$I$108,MATCH(I53,'Factors'!$C$9:$C$108,0))="","",INDEX('Factors'!$I$9:$I$108,MATCH(I53,'Factors'!$C$9:$C$108,0))),"")="Combustion",IFERROR(IF(INDEX('Factors'!$J$9:$J$108,MATCH(I53,'Factors'!$C$9:$C$108,0))="","",INDEX('Factors'!$J$9:$J$108,MATCH(I53,'Factors'!$C$9:$C$108,0))),"")=G53,OR(IFERROR(IF(INDEX('Factors'!$E$9:$E$108,MATCH(I53,'Factors'!$C$9:$C$108,0))="","",INDEX('Factors'!$E$9:$E$108,MATCH(I53,'Factors'!$C$9:$C$108,0))),"")="Global",IFERROR(IF(INDEX('Factors'!$E$9:$E$108,MATCH(I53,'Factors'!$C$9:$C$108,0))="","",INDEX('Factors'!$E$9:$E$108,MATCH(I53,'Factors'!$C$9:$C$108,0))),"")=D53)),"Ready","Factor / unit review"))))))))</x:f>
      </x:c>
      <x:c r="Y53" s="9" t="str">
        <x:f>IF(C53="","",IF(AND($D$6&lt;&gt;"Operational control",$D$6&lt;&gt;"Financial control"),"Control basis required",IF(F53="No","Outside control",IF(F53&lt;&gt;"Yes","Control review",IF(COUNTIFS($C$9:$C$108,C53)&lt;&gt;1,"Duplicate operation ID",IF(OR(S53="",NOT(ISNUMBER(T53)),T53&lt;'Settings'!$F$8,NOT(ISNUMBER(G53)),G53&lt;&gt;YEAR('Settings'!$F$8)),"Evidence / period review",IF(OR(NOT(ISNUMBER(J53)),J53&lt;0),"Activity required",IF(AND(IFERROR(IF(INDEX('Factors'!$P$9:$P$108,MATCH(K53,'Factors'!$C$9:$C$108,0))="","",INDEX('Factors'!$P$9:$P$108,MATCH(K53,'Factors'!$C$9:$C$108,0))),"")="Ready",IFERROR(IF(INDEX('Factors'!$F$9:$F$108,MATCH(K53,'Factors'!$C$9:$C$108,0))="","",INDEX('Factors'!$F$9:$F$108,MATCH(K53,'Factors'!$C$9:$C$108,0))),"")="kWh",IFERROR(IF(INDEX('Factors'!$H$9:$H$108,MATCH(K53,'Factors'!$C$9:$C$108,0))="","",INDEX('Factors'!$H$9:$H$108,MATCH(K53,'Factors'!$C$9:$C$108,0))),"")="S2",IFERROR(IF(INDEX('Factors'!$I$9:$I$108,MATCH(K53,'Factors'!$C$9:$C$108,0))="","",INDEX('Factors'!$I$9:$I$108,MATCH(K53,'Factors'!$C$9:$C$108,0))),"")="Location-based",IFERROR(IF(INDEX('Factors'!$J$9:$J$108,MATCH(K53,'Factors'!$C$9:$C$108,0))="","",INDEX('Factors'!$J$9:$J$108,MATCH(K53,'Factors'!$C$9:$C$108,0))),"")=G53,OR(IFERROR(IF(INDEX('Factors'!$E$9:$E$108,MATCH(K53,'Factors'!$C$9:$C$108,0))="","",INDEX('Factors'!$E$9:$E$108,MATCH(K53,'Factors'!$C$9:$C$108,0))),"")="Global",IFERROR(IF(INDEX('Factors'!$E$9:$E$108,MATCH(K53,'Factors'!$C$9:$C$108,0))="","",INDEX('Factors'!$E$9:$E$108,MATCH(K53,'Factors'!$C$9:$C$108,0))),"")=D53)),"Ready","Factor / unit review"))))))))</x:f>
      </x:c>
      <x:c r="Z53" s="9" t="str">
        <x:f>IF(C53="","",IF(F53="No","Outside control",IF(F53&lt;&gt;"Yes","Control review",IF($H$6="No","Not required",IF($H$6&lt;&gt;"Yes","Applicability review",IF(Y53&lt;&gt;"Ready",Y53,IF(OR(NOT(ISNUMBER(M53)),M53&lt;0,M53&gt;J53),"Contract quantity review",IF(AND(M53&gt;0,OR(O53&lt;&gt;"Pass",P53="",NOT(AND(IFERROR(IF(INDEX('Factors'!$P$9:$P$108,MATCH(N53,'Factors'!$C$9:$C$108,0))="","",INDEX('Factors'!$P$9:$P$108,MATCH(N53,'Factors'!$C$9:$C$108,0))),"")="Ready",IFERROR(IF(INDEX('Factors'!$F$9:$F$108,MATCH(N53,'Factors'!$C$9:$C$108,0))="","",INDEX('Factors'!$F$9:$F$108,MATCH(N53,'Factors'!$C$9:$C$108,0))),"")="kWh",IFERROR(IF(INDEX('Factors'!$H$9:$H$108,MATCH(N53,'Factors'!$C$9:$C$108,0))="","",INDEX('Factors'!$H$9:$H$108,MATCH(N53,'Factors'!$C$9:$C$108,0))),"")="S2",IFERROR(IF(INDEX('Factors'!$I$9:$I$108,MATCH(N53,'Factors'!$C$9:$C$108,0))="","",INDEX('Factors'!$I$9:$I$108,MATCH(N53,'Factors'!$C$9:$C$108,0))),"")="Market-based",IFERROR(IF(INDEX('Factors'!$J$9:$J$108,MATCH(N53,'Factors'!$C$9:$C$108,0))="","",INDEX('Factors'!$J$9:$J$108,MATCH(N53,'Factors'!$C$9:$C$108,0))),"")=G53,OR(IFERROR(IF(INDEX('Factors'!$E$9:$E$108,MATCH(N53,'Factors'!$C$9:$C$108,0))="","",INDEX('Factors'!$E$9:$E$108,MATCH(N53,'Factors'!$C$9:$C$108,0))),"")="Global",IFERROR(IF(INDEX('Factors'!$E$9:$E$108,MATCH(N53,'Factors'!$C$9:$C$108,0))="","",INDEX('Factors'!$E$9:$E$108,MATCH(N53,'Factors'!$C$9:$C$108,0))),"")=D53))))),"Contract criteria review",IF(M53=J53,"Ready",IF(Q53="No","Grid fallback",IF(Q53="Yes",IF(AND(IFERROR(IF(INDEX('Factors'!$P$9:$P$108,MATCH(R53,'Factors'!$C$9:$C$108,0))="","",INDEX('Factors'!$P$9:$P$108,MATCH(R53,'Factors'!$C$9:$C$108,0))),"")="Ready",IFERROR(IF(INDEX('Factors'!$F$9:$F$108,MATCH(R53,'Factors'!$C$9:$C$108,0))="","",INDEX('Factors'!$F$9:$F$108,MATCH(R53,'Factors'!$C$9:$C$108,0))),"")="kWh",IFERROR(IF(INDEX('Factors'!$H$9:$H$108,MATCH(R53,'Factors'!$C$9:$C$108,0))="","",INDEX('Factors'!$H$9:$H$108,MATCH(R53,'Factors'!$C$9:$C$108,0))),"")="S2",IFERROR(IF(INDEX('Factors'!$I$9:$I$108,MATCH(R53,'Factors'!$C$9:$C$108,0))="","",INDEX('Factors'!$I$9:$I$108,MATCH(R53,'Factors'!$C$9:$C$108,0))),"")="Residual mix",IFERROR(IF(INDEX('Factors'!$J$9:$J$108,MATCH(R53,'Factors'!$C$9:$C$108,0))="","",INDEX('Factors'!$J$9:$J$108,MATCH(R53,'Factors'!$C$9:$C$108,0))),"")=G53,OR(IFERROR(IF(INDEX('Factors'!$E$9:$E$108,MATCH(R53,'Factors'!$C$9:$C$108,0))="","",INDEX('Factors'!$E$9:$E$108,MATCH(R53,'Factors'!$C$9:$C$108,0))),"")="Global",IFERROR(IF(INDEX('Factors'!$E$9:$E$108,MATCH(R53,'Factors'!$C$9:$C$108,0))="","",INDEX('Factors'!$E$9:$E$108,MATCH(R53,'Factors'!$C$9:$C$108,0))),"")=D53)),"Ready","Residual factor review"),"Residual availability review")))))))))))</x:f>
      </x:c>
      <x:c r="AA53" s="8"/>
      <x:c r="AB53" s="16"/>
      <x:c r="AC53" s="8"/>
    </x:row>
    <x:row r="54" ht="36" customHeight="1">
      <x:c r="A54" s="1"/>
      <x:c r="B54" s="1"/>
      <x:c r="C54" s="8"/>
      <x:c r="D54" s="8"/>
      <x:c r="E54" s="8"/>
      <x:c r="F54" s="8"/>
      <x:c r="G54" s="22"/>
      <x:c r="H54" s="16"/>
      <x:c r="I54" s="8"/>
      <x:c r="J54" s="16"/>
      <x:c r="K54" s="8"/>
      <x:c r="L54" s="8"/>
      <x:c r="M54" s="16"/>
      <x:c r="N54" s="8"/>
      <x:c r="O54" s="8"/>
      <x:c r="P54" s="8"/>
      <x:c r="Q54" s="8"/>
      <x:c r="R54" s="8"/>
      <x:c r="S54" s="8"/>
      <x:c r="T54" s="40"/>
      <x:c r="U54" s="23" t="str">
        <x:f>IF(X54="Ready",H54*IFERROR(IF(INDEX('Factors'!$G$9:$G$108,MATCH(I54,'Factors'!$C$9:$C$108,0))="","",INDEX('Factors'!$G$9:$G$108,MATCH(I54,'Factors'!$C$9:$C$108,0))),"")/1000+AB54,"")</x:f>
      </x:c>
      <x:c r="V54" s="23" t="str">
        <x:f>IF(Y54="Ready",J54*IFERROR(IF(INDEX('Factors'!$G$9:$G$108,MATCH(K54,'Factors'!$C$9:$C$108,0))="","",INDEX('Factors'!$G$9:$G$108,MATCH(K54,'Factors'!$C$9:$C$108,0))),"")/1000,"")</x:f>
      </x:c>
      <x:c r="W54" s="23" t="str">
        <x:f>IF(OR(Z54="Ready",Z54="Grid fallback"),(IF(M54&gt;0,M54*IFERROR(IF(INDEX('Factors'!$G$9:$G$108,MATCH(N54,'Factors'!$C$9:$C$108,0))="","",INDEX('Factors'!$G$9:$G$108,MATCH(N54,'Factors'!$C$9:$C$108,0))),""),0)+(J54-M54)*IF(M54=J54,0,IF(Q54="No",IFERROR(IF(INDEX('Factors'!$G$9:$G$108,MATCH(K54,'Factors'!$C$9:$C$108,0))="","",INDEX('Factors'!$G$9:$G$108,MATCH(K54,'Factors'!$C$9:$C$108,0))),""),IFERROR(IF(INDEX('Factors'!$G$9:$G$108,MATCH(R54,'Factors'!$C$9:$C$108,0))="","",INDEX('Factors'!$G$9:$G$108,MATCH(R54,'Factors'!$C$9:$C$108,0))),""))))/1000,"")</x:f>
      </x:c>
      <x:c r="X54" s="9" t="str">
        <x:f>IF(C54="","",IF(AND($D$6&lt;&gt;"Operational control",$D$6&lt;&gt;"Financial control"),"Control basis required",IF(F54="No","Outside control",IF(F54&lt;&gt;"Yes","Control review",IF(COUNTIFS($C$9:$C$108,C54)&lt;&gt;1,"Duplicate operation ID",IF(OR(S54="",NOT(ISNUMBER(T54)),T54&lt;'Settings'!$F$8,NOT(ISNUMBER(G54)),G54&lt;&gt;YEAR('Settings'!$F$8)),"Evidence / period review",IF(OR(NOT(ISNUMBER(H54)),H54&lt;0,AA54&lt;&gt;"Yes",NOT(ISNUMBER(AB54)),AB54&lt;0,AC54=""),"Activity required",IF(AND(IFERROR(IF(INDEX('Factors'!$P$9:$P$108,MATCH(I54,'Factors'!$C$9:$C$108,0))="","",INDEX('Factors'!$P$9:$P$108,MATCH(I54,'Factors'!$C$9:$C$108,0))),"")="Ready",IFERROR(IF(INDEX('Factors'!$F$9:$F$108,MATCH(I54,'Factors'!$C$9:$C$108,0))="","",INDEX('Factors'!$F$9:$F$108,MATCH(I54,'Factors'!$C$9:$C$108,0))),"")="litre",IFERROR(IF(INDEX('Factors'!$H$9:$H$108,MATCH(I54,'Factors'!$C$9:$C$108,0))="","",INDEX('Factors'!$H$9:$H$108,MATCH(I54,'Factors'!$C$9:$C$108,0))),"")="S1",IFERROR(IF(INDEX('Factors'!$I$9:$I$108,MATCH(I54,'Factors'!$C$9:$C$108,0))="","",INDEX('Factors'!$I$9:$I$108,MATCH(I54,'Factors'!$C$9:$C$108,0))),"")="Combustion",IFERROR(IF(INDEX('Factors'!$J$9:$J$108,MATCH(I54,'Factors'!$C$9:$C$108,0))="","",INDEX('Factors'!$J$9:$J$108,MATCH(I54,'Factors'!$C$9:$C$108,0))),"")=G54,OR(IFERROR(IF(INDEX('Factors'!$E$9:$E$108,MATCH(I54,'Factors'!$C$9:$C$108,0))="","",INDEX('Factors'!$E$9:$E$108,MATCH(I54,'Factors'!$C$9:$C$108,0))),"")="Global",IFERROR(IF(INDEX('Factors'!$E$9:$E$108,MATCH(I54,'Factors'!$C$9:$C$108,0))="","",INDEX('Factors'!$E$9:$E$108,MATCH(I54,'Factors'!$C$9:$C$108,0))),"")=D54)),"Ready","Factor / unit review"))))))))</x:f>
      </x:c>
      <x:c r="Y54" s="9" t="str">
        <x:f>IF(C54="","",IF(AND($D$6&lt;&gt;"Operational control",$D$6&lt;&gt;"Financial control"),"Control basis required",IF(F54="No","Outside control",IF(F54&lt;&gt;"Yes","Control review",IF(COUNTIFS($C$9:$C$108,C54)&lt;&gt;1,"Duplicate operation ID",IF(OR(S54="",NOT(ISNUMBER(T54)),T54&lt;'Settings'!$F$8,NOT(ISNUMBER(G54)),G54&lt;&gt;YEAR('Settings'!$F$8)),"Evidence / period review",IF(OR(NOT(ISNUMBER(J54)),J54&lt;0),"Activity required",IF(AND(IFERROR(IF(INDEX('Factors'!$P$9:$P$108,MATCH(K54,'Factors'!$C$9:$C$108,0))="","",INDEX('Factors'!$P$9:$P$108,MATCH(K54,'Factors'!$C$9:$C$108,0))),"")="Ready",IFERROR(IF(INDEX('Factors'!$F$9:$F$108,MATCH(K54,'Factors'!$C$9:$C$108,0))="","",INDEX('Factors'!$F$9:$F$108,MATCH(K54,'Factors'!$C$9:$C$108,0))),"")="kWh",IFERROR(IF(INDEX('Factors'!$H$9:$H$108,MATCH(K54,'Factors'!$C$9:$C$108,0))="","",INDEX('Factors'!$H$9:$H$108,MATCH(K54,'Factors'!$C$9:$C$108,0))),"")="S2",IFERROR(IF(INDEX('Factors'!$I$9:$I$108,MATCH(K54,'Factors'!$C$9:$C$108,0))="","",INDEX('Factors'!$I$9:$I$108,MATCH(K54,'Factors'!$C$9:$C$108,0))),"")="Location-based",IFERROR(IF(INDEX('Factors'!$J$9:$J$108,MATCH(K54,'Factors'!$C$9:$C$108,0))="","",INDEX('Factors'!$J$9:$J$108,MATCH(K54,'Factors'!$C$9:$C$108,0))),"")=G54,OR(IFERROR(IF(INDEX('Factors'!$E$9:$E$108,MATCH(K54,'Factors'!$C$9:$C$108,0))="","",INDEX('Factors'!$E$9:$E$108,MATCH(K54,'Factors'!$C$9:$C$108,0))),"")="Global",IFERROR(IF(INDEX('Factors'!$E$9:$E$108,MATCH(K54,'Factors'!$C$9:$C$108,0))="","",INDEX('Factors'!$E$9:$E$108,MATCH(K54,'Factors'!$C$9:$C$108,0))),"")=D54)),"Ready","Factor / unit review"))))))))</x:f>
      </x:c>
      <x:c r="Z54" s="9" t="str">
        <x:f>IF(C54="","",IF(F54="No","Outside control",IF(F54&lt;&gt;"Yes","Control review",IF($H$6="No","Not required",IF($H$6&lt;&gt;"Yes","Applicability review",IF(Y54&lt;&gt;"Ready",Y54,IF(OR(NOT(ISNUMBER(M54)),M54&lt;0,M54&gt;J54),"Contract quantity review",IF(AND(M54&gt;0,OR(O54&lt;&gt;"Pass",P54="",NOT(AND(IFERROR(IF(INDEX('Factors'!$P$9:$P$108,MATCH(N54,'Factors'!$C$9:$C$108,0))="","",INDEX('Factors'!$P$9:$P$108,MATCH(N54,'Factors'!$C$9:$C$108,0))),"")="Ready",IFERROR(IF(INDEX('Factors'!$F$9:$F$108,MATCH(N54,'Factors'!$C$9:$C$108,0))="","",INDEX('Factors'!$F$9:$F$108,MATCH(N54,'Factors'!$C$9:$C$108,0))),"")="kWh",IFERROR(IF(INDEX('Factors'!$H$9:$H$108,MATCH(N54,'Factors'!$C$9:$C$108,0))="","",INDEX('Factors'!$H$9:$H$108,MATCH(N54,'Factors'!$C$9:$C$108,0))),"")="S2",IFERROR(IF(INDEX('Factors'!$I$9:$I$108,MATCH(N54,'Factors'!$C$9:$C$108,0))="","",INDEX('Factors'!$I$9:$I$108,MATCH(N54,'Factors'!$C$9:$C$108,0))),"")="Market-based",IFERROR(IF(INDEX('Factors'!$J$9:$J$108,MATCH(N54,'Factors'!$C$9:$C$108,0))="","",INDEX('Factors'!$J$9:$J$108,MATCH(N54,'Factors'!$C$9:$C$108,0))),"")=G54,OR(IFERROR(IF(INDEX('Factors'!$E$9:$E$108,MATCH(N54,'Factors'!$C$9:$C$108,0))="","",INDEX('Factors'!$E$9:$E$108,MATCH(N54,'Factors'!$C$9:$C$108,0))),"")="Global",IFERROR(IF(INDEX('Factors'!$E$9:$E$108,MATCH(N54,'Factors'!$C$9:$C$108,0))="","",INDEX('Factors'!$E$9:$E$108,MATCH(N54,'Factors'!$C$9:$C$108,0))),"")=D54))))),"Contract criteria review",IF(M54=J54,"Ready",IF(Q54="No","Grid fallback",IF(Q54="Yes",IF(AND(IFERROR(IF(INDEX('Factors'!$P$9:$P$108,MATCH(R54,'Factors'!$C$9:$C$108,0))="","",INDEX('Factors'!$P$9:$P$108,MATCH(R54,'Factors'!$C$9:$C$108,0))),"")="Ready",IFERROR(IF(INDEX('Factors'!$F$9:$F$108,MATCH(R54,'Factors'!$C$9:$C$108,0))="","",INDEX('Factors'!$F$9:$F$108,MATCH(R54,'Factors'!$C$9:$C$108,0))),"")="kWh",IFERROR(IF(INDEX('Factors'!$H$9:$H$108,MATCH(R54,'Factors'!$C$9:$C$108,0))="","",INDEX('Factors'!$H$9:$H$108,MATCH(R54,'Factors'!$C$9:$C$108,0))),"")="S2",IFERROR(IF(INDEX('Factors'!$I$9:$I$108,MATCH(R54,'Factors'!$C$9:$C$108,0))="","",INDEX('Factors'!$I$9:$I$108,MATCH(R54,'Factors'!$C$9:$C$108,0))),"")="Residual mix",IFERROR(IF(INDEX('Factors'!$J$9:$J$108,MATCH(R54,'Factors'!$C$9:$C$108,0))="","",INDEX('Factors'!$J$9:$J$108,MATCH(R54,'Factors'!$C$9:$C$108,0))),"")=G54,OR(IFERROR(IF(INDEX('Factors'!$E$9:$E$108,MATCH(R54,'Factors'!$C$9:$C$108,0))="","",INDEX('Factors'!$E$9:$E$108,MATCH(R54,'Factors'!$C$9:$C$108,0))),"")="Global",IFERROR(IF(INDEX('Factors'!$E$9:$E$108,MATCH(R54,'Factors'!$C$9:$C$108,0))="","",INDEX('Factors'!$E$9:$E$108,MATCH(R54,'Factors'!$C$9:$C$108,0))),"")=D54)),"Ready","Residual factor review"),"Residual availability review")))))))))))</x:f>
      </x:c>
      <x:c r="AA54" s="8"/>
      <x:c r="AB54" s="16"/>
      <x:c r="AC54" s="8"/>
    </x:row>
    <x:row r="55" ht="36" customHeight="1">
      <x:c r="A55" s="1"/>
      <x:c r="B55" s="1"/>
      <x:c r="C55" s="8"/>
      <x:c r="D55" s="8"/>
      <x:c r="E55" s="8"/>
      <x:c r="F55" s="8"/>
      <x:c r="G55" s="22"/>
      <x:c r="H55" s="16"/>
      <x:c r="I55" s="8"/>
      <x:c r="J55" s="16"/>
      <x:c r="K55" s="8"/>
      <x:c r="L55" s="8"/>
      <x:c r="M55" s="16"/>
      <x:c r="N55" s="8"/>
      <x:c r="O55" s="8"/>
      <x:c r="P55" s="8"/>
      <x:c r="Q55" s="8"/>
      <x:c r="R55" s="8"/>
      <x:c r="S55" s="8"/>
      <x:c r="T55" s="40"/>
      <x:c r="U55" s="23" t="str">
        <x:f>IF(X55="Ready",H55*IFERROR(IF(INDEX('Factors'!$G$9:$G$108,MATCH(I55,'Factors'!$C$9:$C$108,0))="","",INDEX('Factors'!$G$9:$G$108,MATCH(I55,'Factors'!$C$9:$C$108,0))),"")/1000+AB55,"")</x:f>
      </x:c>
      <x:c r="V55" s="23" t="str">
        <x:f>IF(Y55="Ready",J55*IFERROR(IF(INDEX('Factors'!$G$9:$G$108,MATCH(K55,'Factors'!$C$9:$C$108,0))="","",INDEX('Factors'!$G$9:$G$108,MATCH(K55,'Factors'!$C$9:$C$108,0))),"")/1000,"")</x:f>
      </x:c>
      <x:c r="W55" s="23" t="str">
        <x:f>IF(OR(Z55="Ready",Z55="Grid fallback"),(IF(M55&gt;0,M55*IFERROR(IF(INDEX('Factors'!$G$9:$G$108,MATCH(N55,'Factors'!$C$9:$C$108,0))="","",INDEX('Factors'!$G$9:$G$108,MATCH(N55,'Factors'!$C$9:$C$108,0))),""),0)+(J55-M55)*IF(M55=J55,0,IF(Q55="No",IFERROR(IF(INDEX('Factors'!$G$9:$G$108,MATCH(K55,'Factors'!$C$9:$C$108,0))="","",INDEX('Factors'!$G$9:$G$108,MATCH(K55,'Factors'!$C$9:$C$108,0))),""),IFERROR(IF(INDEX('Factors'!$G$9:$G$108,MATCH(R55,'Factors'!$C$9:$C$108,0))="","",INDEX('Factors'!$G$9:$G$108,MATCH(R55,'Factors'!$C$9:$C$108,0))),""))))/1000,"")</x:f>
      </x:c>
      <x:c r="X55" s="9" t="str">
        <x:f>IF(C55="","",IF(AND($D$6&lt;&gt;"Operational control",$D$6&lt;&gt;"Financial control"),"Control basis required",IF(F55="No","Outside control",IF(F55&lt;&gt;"Yes","Control review",IF(COUNTIFS($C$9:$C$108,C55)&lt;&gt;1,"Duplicate operation ID",IF(OR(S55="",NOT(ISNUMBER(T55)),T55&lt;'Settings'!$F$8,NOT(ISNUMBER(G55)),G55&lt;&gt;YEAR('Settings'!$F$8)),"Evidence / period review",IF(OR(NOT(ISNUMBER(H55)),H55&lt;0,AA55&lt;&gt;"Yes",NOT(ISNUMBER(AB55)),AB55&lt;0,AC55=""),"Activity required",IF(AND(IFERROR(IF(INDEX('Factors'!$P$9:$P$108,MATCH(I55,'Factors'!$C$9:$C$108,0))="","",INDEX('Factors'!$P$9:$P$108,MATCH(I55,'Factors'!$C$9:$C$108,0))),"")="Ready",IFERROR(IF(INDEX('Factors'!$F$9:$F$108,MATCH(I55,'Factors'!$C$9:$C$108,0))="","",INDEX('Factors'!$F$9:$F$108,MATCH(I55,'Factors'!$C$9:$C$108,0))),"")="litre",IFERROR(IF(INDEX('Factors'!$H$9:$H$108,MATCH(I55,'Factors'!$C$9:$C$108,0))="","",INDEX('Factors'!$H$9:$H$108,MATCH(I55,'Factors'!$C$9:$C$108,0))),"")="S1",IFERROR(IF(INDEX('Factors'!$I$9:$I$108,MATCH(I55,'Factors'!$C$9:$C$108,0))="","",INDEX('Factors'!$I$9:$I$108,MATCH(I55,'Factors'!$C$9:$C$108,0))),"")="Combustion",IFERROR(IF(INDEX('Factors'!$J$9:$J$108,MATCH(I55,'Factors'!$C$9:$C$108,0))="","",INDEX('Factors'!$J$9:$J$108,MATCH(I55,'Factors'!$C$9:$C$108,0))),"")=G55,OR(IFERROR(IF(INDEX('Factors'!$E$9:$E$108,MATCH(I55,'Factors'!$C$9:$C$108,0))="","",INDEX('Factors'!$E$9:$E$108,MATCH(I55,'Factors'!$C$9:$C$108,0))),"")="Global",IFERROR(IF(INDEX('Factors'!$E$9:$E$108,MATCH(I55,'Factors'!$C$9:$C$108,0))="","",INDEX('Factors'!$E$9:$E$108,MATCH(I55,'Factors'!$C$9:$C$108,0))),"")=D55)),"Ready","Factor / unit review"))))))))</x:f>
      </x:c>
      <x:c r="Y55" s="9" t="str">
        <x:f>IF(C55="","",IF(AND($D$6&lt;&gt;"Operational control",$D$6&lt;&gt;"Financial control"),"Control basis required",IF(F55="No","Outside control",IF(F55&lt;&gt;"Yes","Control review",IF(COUNTIFS($C$9:$C$108,C55)&lt;&gt;1,"Duplicate operation ID",IF(OR(S55="",NOT(ISNUMBER(T55)),T55&lt;'Settings'!$F$8,NOT(ISNUMBER(G55)),G55&lt;&gt;YEAR('Settings'!$F$8)),"Evidence / period review",IF(OR(NOT(ISNUMBER(J55)),J55&lt;0),"Activity required",IF(AND(IFERROR(IF(INDEX('Factors'!$P$9:$P$108,MATCH(K55,'Factors'!$C$9:$C$108,0))="","",INDEX('Factors'!$P$9:$P$108,MATCH(K55,'Factors'!$C$9:$C$108,0))),"")="Ready",IFERROR(IF(INDEX('Factors'!$F$9:$F$108,MATCH(K55,'Factors'!$C$9:$C$108,0))="","",INDEX('Factors'!$F$9:$F$108,MATCH(K55,'Factors'!$C$9:$C$108,0))),"")="kWh",IFERROR(IF(INDEX('Factors'!$H$9:$H$108,MATCH(K55,'Factors'!$C$9:$C$108,0))="","",INDEX('Factors'!$H$9:$H$108,MATCH(K55,'Factors'!$C$9:$C$108,0))),"")="S2",IFERROR(IF(INDEX('Factors'!$I$9:$I$108,MATCH(K55,'Factors'!$C$9:$C$108,0))="","",INDEX('Factors'!$I$9:$I$108,MATCH(K55,'Factors'!$C$9:$C$108,0))),"")="Location-based",IFERROR(IF(INDEX('Factors'!$J$9:$J$108,MATCH(K55,'Factors'!$C$9:$C$108,0))="","",INDEX('Factors'!$J$9:$J$108,MATCH(K55,'Factors'!$C$9:$C$108,0))),"")=G55,OR(IFERROR(IF(INDEX('Factors'!$E$9:$E$108,MATCH(K55,'Factors'!$C$9:$C$108,0))="","",INDEX('Factors'!$E$9:$E$108,MATCH(K55,'Factors'!$C$9:$C$108,0))),"")="Global",IFERROR(IF(INDEX('Factors'!$E$9:$E$108,MATCH(K55,'Factors'!$C$9:$C$108,0))="","",INDEX('Factors'!$E$9:$E$108,MATCH(K55,'Factors'!$C$9:$C$108,0))),"")=D55)),"Ready","Factor / unit review"))))))))</x:f>
      </x:c>
      <x:c r="Z55" s="9" t="str">
        <x:f>IF(C55="","",IF(F55="No","Outside control",IF(F55&lt;&gt;"Yes","Control review",IF($H$6="No","Not required",IF($H$6&lt;&gt;"Yes","Applicability review",IF(Y55&lt;&gt;"Ready",Y55,IF(OR(NOT(ISNUMBER(M55)),M55&lt;0,M55&gt;J55),"Contract quantity review",IF(AND(M55&gt;0,OR(O55&lt;&gt;"Pass",P55="",NOT(AND(IFERROR(IF(INDEX('Factors'!$P$9:$P$108,MATCH(N55,'Factors'!$C$9:$C$108,0))="","",INDEX('Factors'!$P$9:$P$108,MATCH(N55,'Factors'!$C$9:$C$108,0))),"")="Ready",IFERROR(IF(INDEX('Factors'!$F$9:$F$108,MATCH(N55,'Factors'!$C$9:$C$108,0))="","",INDEX('Factors'!$F$9:$F$108,MATCH(N55,'Factors'!$C$9:$C$108,0))),"")="kWh",IFERROR(IF(INDEX('Factors'!$H$9:$H$108,MATCH(N55,'Factors'!$C$9:$C$108,0))="","",INDEX('Factors'!$H$9:$H$108,MATCH(N55,'Factors'!$C$9:$C$108,0))),"")="S2",IFERROR(IF(INDEX('Factors'!$I$9:$I$108,MATCH(N55,'Factors'!$C$9:$C$108,0))="","",INDEX('Factors'!$I$9:$I$108,MATCH(N55,'Factors'!$C$9:$C$108,0))),"")="Market-based",IFERROR(IF(INDEX('Factors'!$J$9:$J$108,MATCH(N55,'Factors'!$C$9:$C$108,0))="","",INDEX('Factors'!$J$9:$J$108,MATCH(N55,'Factors'!$C$9:$C$108,0))),"")=G55,OR(IFERROR(IF(INDEX('Factors'!$E$9:$E$108,MATCH(N55,'Factors'!$C$9:$C$108,0))="","",INDEX('Factors'!$E$9:$E$108,MATCH(N55,'Factors'!$C$9:$C$108,0))),"")="Global",IFERROR(IF(INDEX('Factors'!$E$9:$E$108,MATCH(N55,'Factors'!$C$9:$C$108,0))="","",INDEX('Factors'!$E$9:$E$108,MATCH(N55,'Factors'!$C$9:$C$108,0))),"")=D55))))),"Contract criteria review",IF(M55=J55,"Ready",IF(Q55="No","Grid fallback",IF(Q55="Yes",IF(AND(IFERROR(IF(INDEX('Factors'!$P$9:$P$108,MATCH(R55,'Factors'!$C$9:$C$108,0))="","",INDEX('Factors'!$P$9:$P$108,MATCH(R55,'Factors'!$C$9:$C$108,0))),"")="Ready",IFERROR(IF(INDEX('Factors'!$F$9:$F$108,MATCH(R55,'Factors'!$C$9:$C$108,0))="","",INDEX('Factors'!$F$9:$F$108,MATCH(R55,'Factors'!$C$9:$C$108,0))),"")="kWh",IFERROR(IF(INDEX('Factors'!$H$9:$H$108,MATCH(R55,'Factors'!$C$9:$C$108,0))="","",INDEX('Factors'!$H$9:$H$108,MATCH(R55,'Factors'!$C$9:$C$108,0))),"")="S2",IFERROR(IF(INDEX('Factors'!$I$9:$I$108,MATCH(R55,'Factors'!$C$9:$C$108,0))="","",INDEX('Factors'!$I$9:$I$108,MATCH(R55,'Factors'!$C$9:$C$108,0))),"")="Residual mix",IFERROR(IF(INDEX('Factors'!$J$9:$J$108,MATCH(R55,'Factors'!$C$9:$C$108,0))="","",INDEX('Factors'!$J$9:$J$108,MATCH(R55,'Factors'!$C$9:$C$108,0))),"")=G55,OR(IFERROR(IF(INDEX('Factors'!$E$9:$E$108,MATCH(R55,'Factors'!$C$9:$C$108,0))="","",INDEX('Factors'!$E$9:$E$108,MATCH(R55,'Factors'!$C$9:$C$108,0))),"")="Global",IFERROR(IF(INDEX('Factors'!$E$9:$E$108,MATCH(R55,'Factors'!$C$9:$C$108,0))="","",INDEX('Factors'!$E$9:$E$108,MATCH(R55,'Factors'!$C$9:$C$108,0))),"")=D55)),"Ready","Residual factor review"),"Residual availability review")))))))))))</x:f>
      </x:c>
      <x:c r="AA55" s="8"/>
      <x:c r="AB55" s="16"/>
      <x:c r="AC55" s="8"/>
    </x:row>
    <x:row r="56" ht="36" customHeight="1">
      <x:c r="A56" s="1"/>
      <x:c r="B56" s="1"/>
      <x:c r="C56" s="8"/>
      <x:c r="D56" s="8"/>
      <x:c r="E56" s="8"/>
      <x:c r="F56" s="8"/>
      <x:c r="G56" s="22"/>
      <x:c r="H56" s="16"/>
      <x:c r="I56" s="8"/>
      <x:c r="J56" s="16"/>
      <x:c r="K56" s="8"/>
      <x:c r="L56" s="8"/>
      <x:c r="M56" s="16"/>
      <x:c r="N56" s="8"/>
      <x:c r="O56" s="8"/>
      <x:c r="P56" s="8"/>
      <x:c r="Q56" s="8"/>
      <x:c r="R56" s="8"/>
      <x:c r="S56" s="8"/>
      <x:c r="T56" s="40"/>
      <x:c r="U56" s="23" t="str">
        <x:f>IF(X56="Ready",H56*IFERROR(IF(INDEX('Factors'!$G$9:$G$108,MATCH(I56,'Factors'!$C$9:$C$108,0))="","",INDEX('Factors'!$G$9:$G$108,MATCH(I56,'Factors'!$C$9:$C$108,0))),"")/1000+AB56,"")</x:f>
      </x:c>
      <x:c r="V56" s="23" t="str">
        <x:f>IF(Y56="Ready",J56*IFERROR(IF(INDEX('Factors'!$G$9:$G$108,MATCH(K56,'Factors'!$C$9:$C$108,0))="","",INDEX('Factors'!$G$9:$G$108,MATCH(K56,'Factors'!$C$9:$C$108,0))),"")/1000,"")</x:f>
      </x:c>
      <x:c r="W56" s="23" t="str">
        <x:f>IF(OR(Z56="Ready",Z56="Grid fallback"),(IF(M56&gt;0,M56*IFERROR(IF(INDEX('Factors'!$G$9:$G$108,MATCH(N56,'Factors'!$C$9:$C$108,0))="","",INDEX('Factors'!$G$9:$G$108,MATCH(N56,'Factors'!$C$9:$C$108,0))),""),0)+(J56-M56)*IF(M56=J56,0,IF(Q56="No",IFERROR(IF(INDEX('Factors'!$G$9:$G$108,MATCH(K56,'Factors'!$C$9:$C$108,0))="","",INDEX('Factors'!$G$9:$G$108,MATCH(K56,'Factors'!$C$9:$C$108,0))),""),IFERROR(IF(INDEX('Factors'!$G$9:$G$108,MATCH(R56,'Factors'!$C$9:$C$108,0))="","",INDEX('Factors'!$G$9:$G$108,MATCH(R56,'Factors'!$C$9:$C$108,0))),""))))/1000,"")</x:f>
      </x:c>
      <x:c r="X56" s="9" t="str">
        <x:f>IF(C56="","",IF(AND($D$6&lt;&gt;"Operational control",$D$6&lt;&gt;"Financial control"),"Control basis required",IF(F56="No","Outside control",IF(F56&lt;&gt;"Yes","Control review",IF(COUNTIFS($C$9:$C$108,C56)&lt;&gt;1,"Duplicate operation ID",IF(OR(S56="",NOT(ISNUMBER(T56)),T56&lt;'Settings'!$F$8,NOT(ISNUMBER(G56)),G56&lt;&gt;YEAR('Settings'!$F$8)),"Evidence / period review",IF(OR(NOT(ISNUMBER(H56)),H56&lt;0,AA56&lt;&gt;"Yes",NOT(ISNUMBER(AB56)),AB56&lt;0,AC56=""),"Activity required",IF(AND(IFERROR(IF(INDEX('Factors'!$P$9:$P$108,MATCH(I56,'Factors'!$C$9:$C$108,0))="","",INDEX('Factors'!$P$9:$P$108,MATCH(I56,'Factors'!$C$9:$C$108,0))),"")="Ready",IFERROR(IF(INDEX('Factors'!$F$9:$F$108,MATCH(I56,'Factors'!$C$9:$C$108,0))="","",INDEX('Factors'!$F$9:$F$108,MATCH(I56,'Factors'!$C$9:$C$108,0))),"")="litre",IFERROR(IF(INDEX('Factors'!$H$9:$H$108,MATCH(I56,'Factors'!$C$9:$C$108,0))="","",INDEX('Factors'!$H$9:$H$108,MATCH(I56,'Factors'!$C$9:$C$108,0))),"")="S1",IFERROR(IF(INDEX('Factors'!$I$9:$I$108,MATCH(I56,'Factors'!$C$9:$C$108,0))="","",INDEX('Factors'!$I$9:$I$108,MATCH(I56,'Factors'!$C$9:$C$108,0))),"")="Combustion",IFERROR(IF(INDEX('Factors'!$J$9:$J$108,MATCH(I56,'Factors'!$C$9:$C$108,0))="","",INDEX('Factors'!$J$9:$J$108,MATCH(I56,'Factors'!$C$9:$C$108,0))),"")=G56,OR(IFERROR(IF(INDEX('Factors'!$E$9:$E$108,MATCH(I56,'Factors'!$C$9:$C$108,0))="","",INDEX('Factors'!$E$9:$E$108,MATCH(I56,'Factors'!$C$9:$C$108,0))),"")="Global",IFERROR(IF(INDEX('Factors'!$E$9:$E$108,MATCH(I56,'Factors'!$C$9:$C$108,0))="","",INDEX('Factors'!$E$9:$E$108,MATCH(I56,'Factors'!$C$9:$C$108,0))),"")=D56)),"Ready","Factor / unit review"))))))))</x:f>
      </x:c>
      <x:c r="Y56" s="9" t="str">
        <x:f>IF(C56="","",IF(AND($D$6&lt;&gt;"Operational control",$D$6&lt;&gt;"Financial control"),"Control basis required",IF(F56="No","Outside control",IF(F56&lt;&gt;"Yes","Control review",IF(COUNTIFS($C$9:$C$108,C56)&lt;&gt;1,"Duplicate operation ID",IF(OR(S56="",NOT(ISNUMBER(T56)),T56&lt;'Settings'!$F$8,NOT(ISNUMBER(G56)),G56&lt;&gt;YEAR('Settings'!$F$8)),"Evidence / period review",IF(OR(NOT(ISNUMBER(J56)),J56&lt;0),"Activity required",IF(AND(IFERROR(IF(INDEX('Factors'!$P$9:$P$108,MATCH(K56,'Factors'!$C$9:$C$108,0))="","",INDEX('Factors'!$P$9:$P$108,MATCH(K56,'Factors'!$C$9:$C$108,0))),"")="Ready",IFERROR(IF(INDEX('Factors'!$F$9:$F$108,MATCH(K56,'Factors'!$C$9:$C$108,0))="","",INDEX('Factors'!$F$9:$F$108,MATCH(K56,'Factors'!$C$9:$C$108,0))),"")="kWh",IFERROR(IF(INDEX('Factors'!$H$9:$H$108,MATCH(K56,'Factors'!$C$9:$C$108,0))="","",INDEX('Factors'!$H$9:$H$108,MATCH(K56,'Factors'!$C$9:$C$108,0))),"")="S2",IFERROR(IF(INDEX('Factors'!$I$9:$I$108,MATCH(K56,'Factors'!$C$9:$C$108,0))="","",INDEX('Factors'!$I$9:$I$108,MATCH(K56,'Factors'!$C$9:$C$108,0))),"")="Location-based",IFERROR(IF(INDEX('Factors'!$J$9:$J$108,MATCH(K56,'Factors'!$C$9:$C$108,0))="","",INDEX('Factors'!$J$9:$J$108,MATCH(K56,'Factors'!$C$9:$C$108,0))),"")=G56,OR(IFERROR(IF(INDEX('Factors'!$E$9:$E$108,MATCH(K56,'Factors'!$C$9:$C$108,0))="","",INDEX('Factors'!$E$9:$E$108,MATCH(K56,'Factors'!$C$9:$C$108,0))),"")="Global",IFERROR(IF(INDEX('Factors'!$E$9:$E$108,MATCH(K56,'Factors'!$C$9:$C$108,0))="","",INDEX('Factors'!$E$9:$E$108,MATCH(K56,'Factors'!$C$9:$C$108,0))),"")=D56)),"Ready","Factor / unit review"))))))))</x:f>
      </x:c>
      <x:c r="Z56" s="9" t="str">
        <x:f>IF(C56="","",IF(F56="No","Outside control",IF(F56&lt;&gt;"Yes","Control review",IF($H$6="No","Not required",IF($H$6&lt;&gt;"Yes","Applicability review",IF(Y56&lt;&gt;"Ready",Y56,IF(OR(NOT(ISNUMBER(M56)),M56&lt;0,M56&gt;J56),"Contract quantity review",IF(AND(M56&gt;0,OR(O56&lt;&gt;"Pass",P56="",NOT(AND(IFERROR(IF(INDEX('Factors'!$P$9:$P$108,MATCH(N56,'Factors'!$C$9:$C$108,0))="","",INDEX('Factors'!$P$9:$P$108,MATCH(N56,'Factors'!$C$9:$C$108,0))),"")="Ready",IFERROR(IF(INDEX('Factors'!$F$9:$F$108,MATCH(N56,'Factors'!$C$9:$C$108,0))="","",INDEX('Factors'!$F$9:$F$108,MATCH(N56,'Factors'!$C$9:$C$108,0))),"")="kWh",IFERROR(IF(INDEX('Factors'!$H$9:$H$108,MATCH(N56,'Factors'!$C$9:$C$108,0))="","",INDEX('Factors'!$H$9:$H$108,MATCH(N56,'Factors'!$C$9:$C$108,0))),"")="S2",IFERROR(IF(INDEX('Factors'!$I$9:$I$108,MATCH(N56,'Factors'!$C$9:$C$108,0))="","",INDEX('Factors'!$I$9:$I$108,MATCH(N56,'Factors'!$C$9:$C$108,0))),"")="Market-based",IFERROR(IF(INDEX('Factors'!$J$9:$J$108,MATCH(N56,'Factors'!$C$9:$C$108,0))="","",INDEX('Factors'!$J$9:$J$108,MATCH(N56,'Factors'!$C$9:$C$108,0))),"")=G56,OR(IFERROR(IF(INDEX('Factors'!$E$9:$E$108,MATCH(N56,'Factors'!$C$9:$C$108,0))="","",INDEX('Factors'!$E$9:$E$108,MATCH(N56,'Factors'!$C$9:$C$108,0))),"")="Global",IFERROR(IF(INDEX('Factors'!$E$9:$E$108,MATCH(N56,'Factors'!$C$9:$C$108,0))="","",INDEX('Factors'!$E$9:$E$108,MATCH(N56,'Factors'!$C$9:$C$108,0))),"")=D56))))),"Contract criteria review",IF(M56=J56,"Ready",IF(Q56="No","Grid fallback",IF(Q56="Yes",IF(AND(IFERROR(IF(INDEX('Factors'!$P$9:$P$108,MATCH(R56,'Factors'!$C$9:$C$108,0))="","",INDEX('Factors'!$P$9:$P$108,MATCH(R56,'Factors'!$C$9:$C$108,0))),"")="Ready",IFERROR(IF(INDEX('Factors'!$F$9:$F$108,MATCH(R56,'Factors'!$C$9:$C$108,0))="","",INDEX('Factors'!$F$9:$F$108,MATCH(R56,'Factors'!$C$9:$C$108,0))),"")="kWh",IFERROR(IF(INDEX('Factors'!$H$9:$H$108,MATCH(R56,'Factors'!$C$9:$C$108,0))="","",INDEX('Factors'!$H$9:$H$108,MATCH(R56,'Factors'!$C$9:$C$108,0))),"")="S2",IFERROR(IF(INDEX('Factors'!$I$9:$I$108,MATCH(R56,'Factors'!$C$9:$C$108,0))="","",INDEX('Factors'!$I$9:$I$108,MATCH(R56,'Factors'!$C$9:$C$108,0))),"")="Residual mix",IFERROR(IF(INDEX('Factors'!$J$9:$J$108,MATCH(R56,'Factors'!$C$9:$C$108,0))="","",INDEX('Factors'!$J$9:$J$108,MATCH(R56,'Factors'!$C$9:$C$108,0))),"")=G56,OR(IFERROR(IF(INDEX('Factors'!$E$9:$E$108,MATCH(R56,'Factors'!$C$9:$C$108,0))="","",INDEX('Factors'!$E$9:$E$108,MATCH(R56,'Factors'!$C$9:$C$108,0))),"")="Global",IFERROR(IF(INDEX('Factors'!$E$9:$E$108,MATCH(R56,'Factors'!$C$9:$C$108,0))="","",INDEX('Factors'!$E$9:$E$108,MATCH(R56,'Factors'!$C$9:$C$108,0))),"")=D56)),"Ready","Residual factor review"),"Residual availability review")))))))))))</x:f>
      </x:c>
      <x:c r="AA56" s="8"/>
      <x:c r="AB56" s="16"/>
      <x:c r="AC56" s="8"/>
    </x:row>
    <x:row r="57" ht="36" customHeight="1">
      <x:c r="A57" s="1"/>
      <x:c r="B57" s="1"/>
      <x:c r="C57" s="8"/>
      <x:c r="D57" s="8"/>
      <x:c r="E57" s="8"/>
      <x:c r="F57" s="8"/>
      <x:c r="G57" s="22"/>
      <x:c r="H57" s="16"/>
      <x:c r="I57" s="8"/>
      <x:c r="J57" s="16"/>
      <x:c r="K57" s="8"/>
      <x:c r="L57" s="8"/>
      <x:c r="M57" s="16"/>
      <x:c r="N57" s="8"/>
      <x:c r="O57" s="8"/>
      <x:c r="P57" s="8"/>
      <x:c r="Q57" s="8"/>
      <x:c r="R57" s="8"/>
      <x:c r="S57" s="8"/>
      <x:c r="T57" s="40"/>
      <x:c r="U57" s="23" t="str">
        <x:f>IF(X57="Ready",H57*IFERROR(IF(INDEX('Factors'!$G$9:$G$108,MATCH(I57,'Factors'!$C$9:$C$108,0))="","",INDEX('Factors'!$G$9:$G$108,MATCH(I57,'Factors'!$C$9:$C$108,0))),"")/1000+AB57,"")</x:f>
      </x:c>
      <x:c r="V57" s="23" t="str">
        <x:f>IF(Y57="Ready",J57*IFERROR(IF(INDEX('Factors'!$G$9:$G$108,MATCH(K57,'Factors'!$C$9:$C$108,0))="","",INDEX('Factors'!$G$9:$G$108,MATCH(K57,'Factors'!$C$9:$C$108,0))),"")/1000,"")</x:f>
      </x:c>
      <x:c r="W57" s="23" t="str">
        <x:f>IF(OR(Z57="Ready",Z57="Grid fallback"),(IF(M57&gt;0,M57*IFERROR(IF(INDEX('Factors'!$G$9:$G$108,MATCH(N57,'Factors'!$C$9:$C$108,0))="","",INDEX('Factors'!$G$9:$G$108,MATCH(N57,'Factors'!$C$9:$C$108,0))),""),0)+(J57-M57)*IF(M57=J57,0,IF(Q57="No",IFERROR(IF(INDEX('Factors'!$G$9:$G$108,MATCH(K57,'Factors'!$C$9:$C$108,0))="","",INDEX('Factors'!$G$9:$G$108,MATCH(K57,'Factors'!$C$9:$C$108,0))),""),IFERROR(IF(INDEX('Factors'!$G$9:$G$108,MATCH(R57,'Factors'!$C$9:$C$108,0))="","",INDEX('Factors'!$G$9:$G$108,MATCH(R57,'Factors'!$C$9:$C$108,0))),""))))/1000,"")</x:f>
      </x:c>
      <x:c r="X57" s="9" t="str">
        <x:f>IF(C57="","",IF(AND($D$6&lt;&gt;"Operational control",$D$6&lt;&gt;"Financial control"),"Control basis required",IF(F57="No","Outside control",IF(F57&lt;&gt;"Yes","Control review",IF(COUNTIFS($C$9:$C$108,C57)&lt;&gt;1,"Duplicate operation ID",IF(OR(S57="",NOT(ISNUMBER(T57)),T57&lt;'Settings'!$F$8,NOT(ISNUMBER(G57)),G57&lt;&gt;YEAR('Settings'!$F$8)),"Evidence / period review",IF(OR(NOT(ISNUMBER(H57)),H57&lt;0,AA57&lt;&gt;"Yes",NOT(ISNUMBER(AB57)),AB57&lt;0,AC57=""),"Activity required",IF(AND(IFERROR(IF(INDEX('Factors'!$P$9:$P$108,MATCH(I57,'Factors'!$C$9:$C$108,0))="","",INDEX('Factors'!$P$9:$P$108,MATCH(I57,'Factors'!$C$9:$C$108,0))),"")="Ready",IFERROR(IF(INDEX('Factors'!$F$9:$F$108,MATCH(I57,'Factors'!$C$9:$C$108,0))="","",INDEX('Factors'!$F$9:$F$108,MATCH(I57,'Factors'!$C$9:$C$108,0))),"")="litre",IFERROR(IF(INDEX('Factors'!$H$9:$H$108,MATCH(I57,'Factors'!$C$9:$C$108,0))="","",INDEX('Factors'!$H$9:$H$108,MATCH(I57,'Factors'!$C$9:$C$108,0))),"")="S1",IFERROR(IF(INDEX('Factors'!$I$9:$I$108,MATCH(I57,'Factors'!$C$9:$C$108,0))="","",INDEX('Factors'!$I$9:$I$108,MATCH(I57,'Factors'!$C$9:$C$108,0))),"")="Combustion",IFERROR(IF(INDEX('Factors'!$J$9:$J$108,MATCH(I57,'Factors'!$C$9:$C$108,0))="","",INDEX('Factors'!$J$9:$J$108,MATCH(I57,'Factors'!$C$9:$C$108,0))),"")=G57,OR(IFERROR(IF(INDEX('Factors'!$E$9:$E$108,MATCH(I57,'Factors'!$C$9:$C$108,0))="","",INDEX('Factors'!$E$9:$E$108,MATCH(I57,'Factors'!$C$9:$C$108,0))),"")="Global",IFERROR(IF(INDEX('Factors'!$E$9:$E$108,MATCH(I57,'Factors'!$C$9:$C$108,0))="","",INDEX('Factors'!$E$9:$E$108,MATCH(I57,'Factors'!$C$9:$C$108,0))),"")=D57)),"Ready","Factor / unit review"))))))))</x:f>
      </x:c>
      <x:c r="Y57" s="9" t="str">
        <x:f>IF(C57="","",IF(AND($D$6&lt;&gt;"Operational control",$D$6&lt;&gt;"Financial control"),"Control basis required",IF(F57="No","Outside control",IF(F57&lt;&gt;"Yes","Control review",IF(COUNTIFS($C$9:$C$108,C57)&lt;&gt;1,"Duplicate operation ID",IF(OR(S57="",NOT(ISNUMBER(T57)),T57&lt;'Settings'!$F$8,NOT(ISNUMBER(G57)),G57&lt;&gt;YEAR('Settings'!$F$8)),"Evidence / period review",IF(OR(NOT(ISNUMBER(J57)),J57&lt;0),"Activity required",IF(AND(IFERROR(IF(INDEX('Factors'!$P$9:$P$108,MATCH(K57,'Factors'!$C$9:$C$108,0))="","",INDEX('Factors'!$P$9:$P$108,MATCH(K57,'Factors'!$C$9:$C$108,0))),"")="Ready",IFERROR(IF(INDEX('Factors'!$F$9:$F$108,MATCH(K57,'Factors'!$C$9:$C$108,0))="","",INDEX('Factors'!$F$9:$F$108,MATCH(K57,'Factors'!$C$9:$C$108,0))),"")="kWh",IFERROR(IF(INDEX('Factors'!$H$9:$H$108,MATCH(K57,'Factors'!$C$9:$C$108,0))="","",INDEX('Factors'!$H$9:$H$108,MATCH(K57,'Factors'!$C$9:$C$108,0))),"")="S2",IFERROR(IF(INDEX('Factors'!$I$9:$I$108,MATCH(K57,'Factors'!$C$9:$C$108,0))="","",INDEX('Factors'!$I$9:$I$108,MATCH(K57,'Factors'!$C$9:$C$108,0))),"")="Location-based",IFERROR(IF(INDEX('Factors'!$J$9:$J$108,MATCH(K57,'Factors'!$C$9:$C$108,0))="","",INDEX('Factors'!$J$9:$J$108,MATCH(K57,'Factors'!$C$9:$C$108,0))),"")=G57,OR(IFERROR(IF(INDEX('Factors'!$E$9:$E$108,MATCH(K57,'Factors'!$C$9:$C$108,0))="","",INDEX('Factors'!$E$9:$E$108,MATCH(K57,'Factors'!$C$9:$C$108,0))),"")="Global",IFERROR(IF(INDEX('Factors'!$E$9:$E$108,MATCH(K57,'Factors'!$C$9:$C$108,0))="","",INDEX('Factors'!$E$9:$E$108,MATCH(K57,'Factors'!$C$9:$C$108,0))),"")=D57)),"Ready","Factor / unit review"))))))))</x:f>
      </x:c>
      <x:c r="Z57" s="9" t="str">
        <x:f>IF(C57="","",IF(F57="No","Outside control",IF(F57&lt;&gt;"Yes","Control review",IF($H$6="No","Not required",IF($H$6&lt;&gt;"Yes","Applicability review",IF(Y57&lt;&gt;"Ready",Y57,IF(OR(NOT(ISNUMBER(M57)),M57&lt;0,M57&gt;J57),"Contract quantity review",IF(AND(M57&gt;0,OR(O57&lt;&gt;"Pass",P57="",NOT(AND(IFERROR(IF(INDEX('Factors'!$P$9:$P$108,MATCH(N57,'Factors'!$C$9:$C$108,0))="","",INDEX('Factors'!$P$9:$P$108,MATCH(N57,'Factors'!$C$9:$C$108,0))),"")="Ready",IFERROR(IF(INDEX('Factors'!$F$9:$F$108,MATCH(N57,'Factors'!$C$9:$C$108,0))="","",INDEX('Factors'!$F$9:$F$108,MATCH(N57,'Factors'!$C$9:$C$108,0))),"")="kWh",IFERROR(IF(INDEX('Factors'!$H$9:$H$108,MATCH(N57,'Factors'!$C$9:$C$108,0))="","",INDEX('Factors'!$H$9:$H$108,MATCH(N57,'Factors'!$C$9:$C$108,0))),"")="S2",IFERROR(IF(INDEX('Factors'!$I$9:$I$108,MATCH(N57,'Factors'!$C$9:$C$108,0))="","",INDEX('Factors'!$I$9:$I$108,MATCH(N57,'Factors'!$C$9:$C$108,0))),"")="Market-based",IFERROR(IF(INDEX('Factors'!$J$9:$J$108,MATCH(N57,'Factors'!$C$9:$C$108,0))="","",INDEX('Factors'!$J$9:$J$108,MATCH(N57,'Factors'!$C$9:$C$108,0))),"")=G57,OR(IFERROR(IF(INDEX('Factors'!$E$9:$E$108,MATCH(N57,'Factors'!$C$9:$C$108,0))="","",INDEX('Factors'!$E$9:$E$108,MATCH(N57,'Factors'!$C$9:$C$108,0))),"")="Global",IFERROR(IF(INDEX('Factors'!$E$9:$E$108,MATCH(N57,'Factors'!$C$9:$C$108,0))="","",INDEX('Factors'!$E$9:$E$108,MATCH(N57,'Factors'!$C$9:$C$108,0))),"")=D57))))),"Contract criteria review",IF(M57=J57,"Ready",IF(Q57="No","Grid fallback",IF(Q57="Yes",IF(AND(IFERROR(IF(INDEX('Factors'!$P$9:$P$108,MATCH(R57,'Factors'!$C$9:$C$108,0))="","",INDEX('Factors'!$P$9:$P$108,MATCH(R57,'Factors'!$C$9:$C$108,0))),"")="Ready",IFERROR(IF(INDEX('Factors'!$F$9:$F$108,MATCH(R57,'Factors'!$C$9:$C$108,0))="","",INDEX('Factors'!$F$9:$F$108,MATCH(R57,'Factors'!$C$9:$C$108,0))),"")="kWh",IFERROR(IF(INDEX('Factors'!$H$9:$H$108,MATCH(R57,'Factors'!$C$9:$C$108,0))="","",INDEX('Factors'!$H$9:$H$108,MATCH(R57,'Factors'!$C$9:$C$108,0))),"")="S2",IFERROR(IF(INDEX('Factors'!$I$9:$I$108,MATCH(R57,'Factors'!$C$9:$C$108,0))="","",INDEX('Factors'!$I$9:$I$108,MATCH(R57,'Factors'!$C$9:$C$108,0))),"")="Residual mix",IFERROR(IF(INDEX('Factors'!$J$9:$J$108,MATCH(R57,'Factors'!$C$9:$C$108,0))="","",INDEX('Factors'!$J$9:$J$108,MATCH(R57,'Factors'!$C$9:$C$108,0))),"")=G57,OR(IFERROR(IF(INDEX('Factors'!$E$9:$E$108,MATCH(R57,'Factors'!$C$9:$C$108,0))="","",INDEX('Factors'!$E$9:$E$108,MATCH(R57,'Factors'!$C$9:$C$108,0))),"")="Global",IFERROR(IF(INDEX('Factors'!$E$9:$E$108,MATCH(R57,'Factors'!$C$9:$C$108,0))="","",INDEX('Factors'!$E$9:$E$108,MATCH(R57,'Factors'!$C$9:$C$108,0))),"")=D57)),"Ready","Residual factor review"),"Residual availability review")))))))))))</x:f>
      </x:c>
      <x:c r="AA57" s="8"/>
      <x:c r="AB57" s="16"/>
      <x:c r="AC57" s="8"/>
    </x:row>
    <x:row r="58" ht="36" customHeight="1">
      <x:c r="A58" s="1"/>
      <x:c r="B58" s="1"/>
      <x:c r="C58" s="8"/>
      <x:c r="D58" s="8"/>
      <x:c r="E58" s="8"/>
      <x:c r="F58" s="8"/>
      <x:c r="G58" s="22"/>
      <x:c r="H58" s="16"/>
      <x:c r="I58" s="8"/>
      <x:c r="J58" s="16"/>
      <x:c r="K58" s="8"/>
      <x:c r="L58" s="8"/>
      <x:c r="M58" s="16"/>
      <x:c r="N58" s="8"/>
      <x:c r="O58" s="8"/>
      <x:c r="P58" s="8"/>
      <x:c r="Q58" s="8"/>
      <x:c r="R58" s="8"/>
      <x:c r="S58" s="8"/>
      <x:c r="T58" s="40"/>
      <x:c r="U58" s="23" t="str">
        <x:f>IF(X58="Ready",H58*IFERROR(IF(INDEX('Factors'!$G$9:$G$108,MATCH(I58,'Factors'!$C$9:$C$108,0))="","",INDEX('Factors'!$G$9:$G$108,MATCH(I58,'Factors'!$C$9:$C$108,0))),"")/1000+AB58,"")</x:f>
      </x:c>
      <x:c r="V58" s="23" t="str">
        <x:f>IF(Y58="Ready",J58*IFERROR(IF(INDEX('Factors'!$G$9:$G$108,MATCH(K58,'Factors'!$C$9:$C$108,0))="","",INDEX('Factors'!$G$9:$G$108,MATCH(K58,'Factors'!$C$9:$C$108,0))),"")/1000,"")</x:f>
      </x:c>
      <x:c r="W58" s="23" t="str">
        <x:f>IF(OR(Z58="Ready",Z58="Grid fallback"),(IF(M58&gt;0,M58*IFERROR(IF(INDEX('Factors'!$G$9:$G$108,MATCH(N58,'Factors'!$C$9:$C$108,0))="","",INDEX('Factors'!$G$9:$G$108,MATCH(N58,'Factors'!$C$9:$C$108,0))),""),0)+(J58-M58)*IF(M58=J58,0,IF(Q58="No",IFERROR(IF(INDEX('Factors'!$G$9:$G$108,MATCH(K58,'Factors'!$C$9:$C$108,0))="","",INDEX('Factors'!$G$9:$G$108,MATCH(K58,'Factors'!$C$9:$C$108,0))),""),IFERROR(IF(INDEX('Factors'!$G$9:$G$108,MATCH(R58,'Factors'!$C$9:$C$108,0))="","",INDEX('Factors'!$G$9:$G$108,MATCH(R58,'Factors'!$C$9:$C$108,0))),""))))/1000,"")</x:f>
      </x:c>
      <x:c r="X58" s="9" t="str">
        <x:f>IF(C58="","",IF(AND($D$6&lt;&gt;"Operational control",$D$6&lt;&gt;"Financial control"),"Control basis required",IF(F58="No","Outside control",IF(F58&lt;&gt;"Yes","Control review",IF(COUNTIFS($C$9:$C$108,C58)&lt;&gt;1,"Duplicate operation ID",IF(OR(S58="",NOT(ISNUMBER(T58)),T58&lt;'Settings'!$F$8,NOT(ISNUMBER(G58)),G58&lt;&gt;YEAR('Settings'!$F$8)),"Evidence / period review",IF(OR(NOT(ISNUMBER(H58)),H58&lt;0,AA58&lt;&gt;"Yes",NOT(ISNUMBER(AB58)),AB58&lt;0,AC58=""),"Activity required",IF(AND(IFERROR(IF(INDEX('Factors'!$P$9:$P$108,MATCH(I58,'Factors'!$C$9:$C$108,0))="","",INDEX('Factors'!$P$9:$P$108,MATCH(I58,'Factors'!$C$9:$C$108,0))),"")="Ready",IFERROR(IF(INDEX('Factors'!$F$9:$F$108,MATCH(I58,'Factors'!$C$9:$C$108,0))="","",INDEX('Factors'!$F$9:$F$108,MATCH(I58,'Factors'!$C$9:$C$108,0))),"")="litre",IFERROR(IF(INDEX('Factors'!$H$9:$H$108,MATCH(I58,'Factors'!$C$9:$C$108,0))="","",INDEX('Factors'!$H$9:$H$108,MATCH(I58,'Factors'!$C$9:$C$108,0))),"")="S1",IFERROR(IF(INDEX('Factors'!$I$9:$I$108,MATCH(I58,'Factors'!$C$9:$C$108,0))="","",INDEX('Factors'!$I$9:$I$108,MATCH(I58,'Factors'!$C$9:$C$108,0))),"")="Combustion",IFERROR(IF(INDEX('Factors'!$J$9:$J$108,MATCH(I58,'Factors'!$C$9:$C$108,0))="","",INDEX('Factors'!$J$9:$J$108,MATCH(I58,'Factors'!$C$9:$C$108,0))),"")=G58,OR(IFERROR(IF(INDEX('Factors'!$E$9:$E$108,MATCH(I58,'Factors'!$C$9:$C$108,0))="","",INDEX('Factors'!$E$9:$E$108,MATCH(I58,'Factors'!$C$9:$C$108,0))),"")="Global",IFERROR(IF(INDEX('Factors'!$E$9:$E$108,MATCH(I58,'Factors'!$C$9:$C$108,0))="","",INDEX('Factors'!$E$9:$E$108,MATCH(I58,'Factors'!$C$9:$C$108,0))),"")=D58)),"Ready","Factor / unit review"))))))))</x:f>
      </x:c>
      <x:c r="Y58" s="9" t="str">
        <x:f>IF(C58="","",IF(AND($D$6&lt;&gt;"Operational control",$D$6&lt;&gt;"Financial control"),"Control basis required",IF(F58="No","Outside control",IF(F58&lt;&gt;"Yes","Control review",IF(COUNTIFS($C$9:$C$108,C58)&lt;&gt;1,"Duplicate operation ID",IF(OR(S58="",NOT(ISNUMBER(T58)),T58&lt;'Settings'!$F$8,NOT(ISNUMBER(G58)),G58&lt;&gt;YEAR('Settings'!$F$8)),"Evidence / period review",IF(OR(NOT(ISNUMBER(J58)),J58&lt;0),"Activity required",IF(AND(IFERROR(IF(INDEX('Factors'!$P$9:$P$108,MATCH(K58,'Factors'!$C$9:$C$108,0))="","",INDEX('Factors'!$P$9:$P$108,MATCH(K58,'Factors'!$C$9:$C$108,0))),"")="Ready",IFERROR(IF(INDEX('Factors'!$F$9:$F$108,MATCH(K58,'Factors'!$C$9:$C$108,0))="","",INDEX('Factors'!$F$9:$F$108,MATCH(K58,'Factors'!$C$9:$C$108,0))),"")="kWh",IFERROR(IF(INDEX('Factors'!$H$9:$H$108,MATCH(K58,'Factors'!$C$9:$C$108,0))="","",INDEX('Factors'!$H$9:$H$108,MATCH(K58,'Factors'!$C$9:$C$108,0))),"")="S2",IFERROR(IF(INDEX('Factors'!$I$9:$I$108,MATCH(K58,'Factors'!$C$9:$C$108,0))="","",INDEX('Factors'!$I$9:$I$108,MATCH(K58,'Factors'!$C$9:$C$108,0))),"")="Location-based",IFERROR(IF(INDEX('Factors'!$J$9:$J$108,MATCH(K58,'Factors'!$C$9:$C$108,0))="","",INDEX('Factors'!$J$9:$J$108,MATCH(K58,'Factors'!$C$9:$C$108,0))),"")=G58,OR(IFERROR(IF(INDEX('Factors'!$E$9:$E$108,MATCH(K58,'Factors'!$C$9:$C$108,0))="","",INDEX('Factors'!$E$9:$E$108,MATCH(K58,'Factors'!$C$9:$C$108,0))),"")="Global",IFERROR(IF(INDEX('Factors'!$E$9:$E$108,MATCH(K58,'Factors'!$C$9:$C$108,0))="","",INDEX('Factors'!$E$9:$E$108,MATCH(K58,'Factors'!$C$9:$C$108,0))),"")=D58)),"Ready","Factor / unit review"))))))))</x:f>
      </x:c>
      <x:c r="Z58" s="9" t="str">
        <x:f>IF(C58="","",IF(F58="No","Outside control",IF(F58&lt;&gt;"Yes","Control review",IF($H$6="No","Not required",IF($H$6&lt;&gt;"Yes","Applicability review",IF(Y58&lt;&gt;"Ready",Y58,IF(OR(NOT(ISNUMBER(M58)),M58&lt;0,M58&gt;J58),"Contract quantity review",IF(AND(M58&gt;0,OR(O58&lt;&gt;"Pass",P58="",NOT(AND(IFERROR(IF(INDEX('Factors'!$P$9:$P$108,MATCH(N58,'Factors'!$C$9:$C$108,0))="","",INDEX('Factors'!$P$9:$P$108,MATCH(N58,'Factors'!$C$9:$C$108,0))),"")="Ready",IFERROR(IF(INDEX('Factors'!$F$9:$F$108,MATCH(N58,'Factors'!$C$9:$C$108,0))="","",INDEX('Factors'!$F$9:$F$108,MATCH(N58,'Factors'!$C$9:$C$108,0))),"")="kWh",IFERROR(IF(INDEX('Factors'!$H$9:$H$108,MATCH(N58,'Factors'!$C$9:$C$108,0))="","",INDEX('Factors'!$H$9:$H$108,MATCH(N58,'Factors'!$C$9:$C$108,0))),"")="S2",IFERROR(IF(INDEX('Factors'!$I$9:$I$108,MATCH(N58,'Factors'!$C$9:$C$108,0))="","",INDEX('Factors'!$I$9:$I$108,MATCH(N58,'Factors'!$C$9:$C$108,0))),"")="Market-based",IFERROR(IF(INDEX('Factors'!$J$9:$J$108,MATCH(N58,'Factors'!$C$9:$C$108,0))="","",INDEX('Factors'!$J$9:$J$108,MATCH(N58,'Factors'!$C$9:$C$108,0))),"")=G58,OR(IFERROR(IF(INDEX('Factors'!$E$9:$E$108,MATCH(N58,'Factors'!$C$9:$C$108,0))="","",INDEX('Factors'!$E$9:$E$108,MATCH(N58,'Factors'!$C$9:$C$108,0))),"")="Global",IFERROR(IF(INDEX('Factors'!$E$9:$E$108,MATCH(N58,'Factors'!$C$9:$C$108,0))="","",INDEX('Factors'!$E$9:$E$108,MATCH(N58,'Factors'!$C$9:$C$108,0))),"")=D58))))),"Contract criteria review",IF(M58=J58,"Ready",IF(Q58="No","Grid fallback",IF(Q58="Yes",IF(AND(IFERROR(IF(INDEX('Factors'!$P$9:$P$108,MATCH(R58,'Factors'!$C$9:$C$108,0))="","",INDEX('Factors'!$P$9:$P$108,MATCH(R58,'Factors'!$C$9:$C$108,0))),"")="Ready",IFERROR(IF(INDEX('Factors'!$F$9:$F$108,MATCH(R58,'Factors'!$C$9:$C$108,0))="","",INDEX('Factors'!$F$9:$F$108,MATCH(R58,'Factors'!$C$9:$C$108,0))),"")="kWh",IFERROR(IF(INDEX('Factors'!$H$9:$H$108,MATCH(R58,'Factors'!$C$9:$C$108,0))="","",INDEX('Factors'!$H$9:$H$108,MATCH(R58,'Factors'!$C$9:$C$108,0))),"")="S2",IFERROR(IF(INDEX('Factors'!$I$9:$I$108,MATCH(R58,'Factors'!$C$9:$C$108,0))="","",INDEX('Factors'!$I$9:$I$108,MATCH(R58,'Factors'!$C$9:$C$108,0))),"")="Residual mix",IFERROR(IF(INDEX('Factors'!$J$9:$J$108,MATCH(R58,'Factors'!$C$9:$C$108,0))="","",INDEX('Factors'!$J$9:$J$108,MATCH(R58,'Factors'!$C$9:$C$108,0))),"")=G58,OR(IFERROR(IF(INDEX('Factors'!$E$9:$E$108,MATCH(R58,'Factors'!$C$9:$C$108,0))="","",INDEX('Factors'!$E$9:$E$108,MATCH(R58,'Factors'!$C$9:$C$108,0))),"")="Global",IFERROR(IF(INDEX('Factors'!$E$9:$E$108,MATCH(R58,'Factors'!$C$9:$C$108,0))="","",INDEX('Factors'!$E$9:$E$108,MATCH(R58,'Factors'!$C$9:$C$108,0))),"")=D58)),"Ready","Residual factor review"),"Residual availability review")))))))))))</x:f>
      </x:c>
      <x:c r="AA58" s="8"/>
      <x:c r="AB58" s="16"/>
      <x:c r="AC58" s="8"/>
    </x:row>
    <x:row r="59" ht="36" customHeight="1">
      <x:c r="A59" s="1"/>
      <x:c r="B59" s="1"/>
      <x:c r="C59" s="8"/>
      <x:c r="D59" s="8"/>
      <x:c r="E59" s="8"/>
      <x:c r="F59" s="8"/>
      <x:c r="G59" s="22"/>
      <x:c r="H59" s="16"/>
      <x:c r="I59" s="8"/>
      <x:c r="J59" s="16"/>
      <x:c r="K59" s="8"/>
      <x:c r="L59" s="8"/>
      <x:c r="M59" s="16"/>
      <x:c r="N59" s="8"/>
      <x:c r="O59" s="8"/>
      <x:c r="P59" s="8"/>
      <x:c r="Q59" s="8"/>
      <x:c r="R59" s="8"/>
      <x:c r="S59" s="8"/>
      <x:c r="T59" s="40"/>
      <x:c r="U59" s="23" t="str">
        <x:f>IF(X59="Ready",H59*IFERROR(IF(INDEX('Factors'!$G$9:$G$108,MATCH(I59,'Factors'!$C$9:$C$108,0))="","",INDEX('Factors'!$G$9:$G$108,MATCH(I59,'Factors'!$C$9:$C$108,0))),"")/1000+AB59,"")</x:f>
      </x:c>
      <x:c r="V59" s="23" t="str">
        <x:f>IF(Y59="Ready",J59*IFERROR(IF(INDEX('Factors'!$G$9:$G$108,MATCH(K59,'Factors'!$C$9:$C$108,0))="","",INDEX('Factors'!$G$9:$G$108,MATCH(K59,'Factors'!$C$9:$C$108,0))),"")/1000,"")</x:f>
      </x:c>
      <x:c r="W59" s="23" t="str">
        <x:f>IF(OR(Z59="Ready",Z59="Grid fallback"),(IF(M59&gt;0,M59*IFERROR(IF(INDEX('Factors'!$G$9:$G$108,MATCH(N59,'Factors'!$C$9:$C$108,0))="","",INDEX('Factors'!$G$9:$G$108,MATCH(N59,'Factors'!$C$9:$C$108,0))),""),0)+(J59-M59)*IF(M59=J59,0,IF(Q59="No",IFERROR(IF(INDEX('Factors'!$G$9:$G$108,MATCH(K59,'Factors'!$C$9:$C$108,0))="","",INDEX('Factors'!$G$9:$G$108,MATCH(K59,'Factors'!$C$9:$C$108,0))),""),IFERROR(IF(INDEX('Factors'!$G$9:$G$108,MATCH(R59,'Factors'!$C$9:$C$108,0))="","",INDEX('Factors'!$G$9:$G$108,MATCH(R59,'Factors'!$C$9:$C$108,0))),""))))/1000,"")</x:f>
      </x:c>
      <x:c r="X59" s="9" t="str">
        <x:f>IF(C59="","",IF(AND($D$6&lt;&gt;"Operational control",$D$6&lt;&gt;"Financial control"),"Control basis required",IF(F59="No","Outside control",IF(F59&lt;&gt;"Yes","Control review",IF(COUNTIFS($C$9:$C$108,C59)&lt;&gt;1,"Duplicate operation ID",IF(OR(S59="",NOT(ISNUMBER(T59)),T59&lt;'Settings'!$F$8,NOT(ISNUMBER(G59)),G59&lt;&gt;YEAR('Settings'!$F$8)),"Evidence / period review",IF(OR(NOT(ISNUMBER(H59)),H59&lt;0,AA59&lt;&gt;"Yes",NOT(ISNUMBER(AB59)),AB59&lt;0,AC59=""),"Activity required",IF(AND(IFERROR(IF(INDEX('Factors'!$P$9:$P$108,MATCH(I59,'Factors'!$C$9:$C$108,0))="","",INDEX('Factors'!$P$9:$P$108,MATCH(I59,'Factors'!$C$9:$C$108,0))),"")="Ready",IFERROR(IF(INDEX('Factors'!$F$9:$F$108,MATCH(I59,'Factors'!$C$9:$C$108,0))="","",INDEX('Factors'!$F$9:$F$108,MATCH(I59,'Factors'!$C$9:$C$108,0))),"")="litre",IFERROR(IF(INDEX('Factors'!$H$9:$H$108,MATCH(I59,'Factors'!$C$9:$C$108,0))="","",INDEX('Factors'!$H$9:$H$108,MATCH(I59,'Factors'!$C$9:$C$108,0))),"")="S1",IFERROR(IF(INDEX('Factors'!$I$9:$I$108,MATCH(I59,'Factors'!$C$9:$C$108,0))="","",INDEX('Factors'!$I$9:$I$108,MATCH(I59,'Factors'!$C$9:$C$108,0))),"")="Combustion",IFERROR(IF(INDEX('Factors'!$J$9:$J$108,MATCH(I59,'Factors'!$C$9:$C$108,0))="","",INDEX('Factors'!$J$9:$J$108,MATCH(I59,'Factors'!$C$9:$C$108,0))),"")=G59,OR(IFERROR(IF(INDEX('Factors'!$E$9:$E$108,MATCH(I59,'Factors'!$C$9:$C$108,0))="","",INDEX('Factors'!$E$9:$E$108,MATCH(I59,'Factors'!$C$9:$C$108,0))),"")="Global",IFERROR(IF(INDEX('Factors'!$E$9:$E$108,MATCH(I59,'Factors'!$C$9:$C$108,0))="","",INDEX('Factors'!$E$9:$E$108,MATCH(I59,'Factors'!$C$9:$C$108,0))),"")=D59)),"Ready","Factor / unit review"))))))))</x:f>
      </x:c>
      <x:c r="Y59" s="9" t="str">
        <x:f>IF(C59="","",IF(AND($D$6&lt;&gt;"Operational control",$D$6&lt;&gt;"Financial control"),"Control basis required",IF(F59="No","Outside control",IF(F59&lt;&gt;"Yes","Control review",IF(COUNTIFS($C$9:$C$108,C59)&lt;&gt;1,"Duplicate operation ID",IF(OR(S59="",NOT(ISNUMBER(T59)),T59&lt;'Settings'!$F$8,NOT(ISNUMBER(G59)),G59&lt;&gt;YEAR('Settings'!$F$8)),"Evidence / period review",IF(OR(NOT(ISNUMBER(J59)),J59&lt;0),"Activity required",IF(AND(IFERROR(IF(INDEX('Factors'!$P$9:$P$108,MATCH(K59,'Factors'!$C$9:$C$108,0))="","",INDEX('Factors'!$P$9:$P$108,MATCH(K59,'Factors'!$C$9:$C$108,0))),"")="Ready",IFERROR(IF(INDEX('Factors'!$F$9:$F$108,MATCH(K59,'Factors'!$C$9:$C$108,0))="","",INDEX('Factors'!$F$9:$F$108,MATCH(K59,'Factors'!$C$9:$C$108,0))),"")="kWh",IFERROR(IF(INDEX('Factors'!$H$9:$H$108,MATCH(K59,'Factors'!$C$9:$C$108,0))="","",INDEX('Factors'!$H$9:$H$108,MATCH(K59,'Factors'!$C$9:$C$108,0))),"")="S2",IFERROR(IF(INDEX('Factors'!$I$9:$I$108,MATCH(K59,'Factors'!$C$9:$C$108,0))="","",INDEX('Factors'!$I$9:$I$108,MATCH(K59,'Factors'!$C$9:$C$108,0))),"")="Location-based",IFERROR(IF(INDEX('Factors'!$J$9:$J$108,MATCH(K59,'Factors'!$C$9:$C$108,0))="","",INDEX('Factors'!$J$9:$J$108,MATCH(K59,'Factors'!$C$9:$C$108,0))),"")=G59,OR(IFERROR(IF(INDEX('Factors'!$E$9:$E$108,MATCH(K59,'Factors'!$C$9:$C$108,0))="","",INDEX('Factors'!$E$9:$E$108,MATCH(K59,'Factors'!$C$9:$C$108,0))),"")="Global",IFERROR(IF(INDEX('Factors'!$E$9:$E$108,MATCH(K59,'Factors'!$C$9:$C$108,0))="","",INDEX('Factors'!$E$9:$E$108,MATCH(K59,'Factors'!$C$9:$C$108,0))),"")=D59)),"Ready","Factor / unit review"))))))))</x:f>
      </x:c>
      <x:c r="Z59" s="9" t="str">
        <x:f>IF(C59="","",IF(F59="No","Outside control",IF(F59&lt;&gt;"Yes","Control review",IF($H$6="No","Not required",IF($H$6&lt;&gt;"Yes","Applicability review",IF(Y59&lt;&gt;"Ready",Y59,IF(OR(NOT(ISNUMBER(M59)),M59&lt;0,M59&gt;J59),"Contract quantity review",IF(AND(M59&gt;0,OR(O59&lt;&gt;"Pass",P59="",NOT(AND(IFERROR(IF(INDEX('Factors'!$P$9:$P$108,MATCH(N59,'Factors'!$C$9:$C$108,0))="","",INDEX('Factors'!$P$9:$P$108,MATCH(N59,'Factors'!$C$9:$C$108,0))),"")="Ready",IFERROR(IF(INDEX('Factors'!$F$9:$F$108,MATCH(N59,'Factors'!$C$9:$C$108,0))="","",INDEX('Factors'!$F$9:$F$108,MATCH(N59,'Factors'!$C$9:$C$108,0))),"")="kWh",IFERROR(IF(INDEX('Factors'!$H$9:$H$108,MATCH(N59,'Factors'!$C$9:$C$108,0))="","",INDEX('Factors'!$H$9:$H$108,MATCH(N59,'Factors'!$C$9:$C$108,0))),"")="S2",IFERROR(IF(INDEX('Factors'!$I$9:$I$108,MATCH(N59,'Factors'!$C$9:$C$108,0))="","",INDEX('Factors'!$I$9:$I$108,MATCH(N59,'Factors'!$C$9:$C$108,0))),"")="Market-based",IFERROR(IF(INDEX('Factors'!$J$9:$J$108,MATCH(N59,'Factors'!$C$9:$C$108,0))="","",INDEX('Factors'!$J$9:$J$108,MATCH(N59,'Factors'!$C$9:$C$108,0))),"")=G59,OR(IFERROR(IF(INDEX('Factors'!$E$9:$E$108,MATCH(N59,'Factors'!$C$9:$C$108,0))="","",INDEX('Factors'!$E$9:$E$108,MATCH(N59,'Factors'!$C$9:$C$108,0))),"")="Global",IFERROR(IF(INDEX('Factors'!$E$9:$E$108,MATCH(N59,'Factors'!$C$9:$C$108,0))="","",INDEX('Factors'!$E$9:$E$108,MATCH(N59,'Factors'!$C$9:$C$108,0))),"")=D59))))),"Contract criteria review",IF(M59=J59,"Ready",IF(Q59="No","Grid fallback",IF(Q59="Yes",IF(AND(IFERROR(IF(INDEX('Factors'!$P$9:$P$108,MATCH(R59,'Factors'!$C$9:$C$108,0))="","",INDEX('Factors'!$P$9:$P$108,MATCH(R59,'Factors'!$C$9:$C$108,0))),"")="Ready",IFERROR(IF(INDEX('Factors'!$F$9:$F$108,MATCH(R59,'Factors'!$C$9:$C$108,0))="","",INDEX('Factors'!$F$9:$F$108,MATCH(R59,'Factors'!$C$9:$C$108,0))),"")="kWh",IFERROR(IF(INDEX('Factors'!$H$9:$H$108,MATCH(R59,'Factors'!$C$9:$C$108,0))="","",INDEX('Factors'!$H$9:$H$108,MATCH(R59,'Factors'!$C$9:$C$108,0))),"")="S2",IFERROR(IF(INDEX('Factors'!$I$9:$I$108,MATCH(R59,'Factors'!$C$9:$C$108,0))="","",INDEX('Factors'!$I$9:$I$108,MATCH(R59,'Factors'!$C$9:$C$108,0))),"")="Residual mix",IFERROR(IF(INDEX('Factors'!$J$9:$J$108,MATCH(R59,'Factors'!$C$9:$C$108,0))="","",INDEX('Factors'!$J$9:$J$108,MATCH(R59,'Factors'!$C$9:$C$108,0))),"")=G59,OR(IFERROR(IF(INDEX('Factors'!$E$9:$E$108,MATCH(R59,'Factors'!$C$9:$C$108,0))="","",INDEX('Factors'!$E$9:$E$108,MATCH(R59,'Factors'!$C$9:$C$108,0))),"")="Global",IFERROR(IF(INDEX('Factors'!$E$9:$E$108,MATCH(R59,'Factors'!$C$9:$C$108,0))="","",INDEX('Factors'!$E$9:$E$108,MATCH(R59,'Factors'!$C$9:$C$108,0))),"")=D59)),"Ready","Residual factor review"),"Residual availability review")))))))))))</x:f>
      </x:c>
      <x:c r="AA59" s="8"/>
      <x:c r="AB59" s="16"/>
      <x:c r="AC59" s="8"/>
    </x:row>
    <x:row r="60" ht="36" customHeight="1">
      <x:c r="A60" s="1"/>
      <x:c r="B60" s="1"/>
      <x:c r="C60" s="8"/>
      <x:c r="D60" s="8"/>
      <x:c r="E60" s="8"/>
      <x:c r="F60" s="8"/>
      <x:c r="G60" s="22"/>
      <x:c r="H60" s="16"/>
      <x:c r="I60" s="8"/>
      <x:c r="J60" s="16"/>
      <x:c r="K60" s="8"/>
      <x:c r="L60" s="8"/>
      <x:c r="M60" s="16"/>
      <x:c r="N60" s="8"/>
      <x:c r="O60" s="8"/>
      <x:c r="P60" s="8"/>
      <x:c r="Q60" s="8"/>
      <x:c r="R60" s="8"/>
      <x:c r="S60" s="8"/>
      <x:c r="T60" s="40"/>
      <x:c r="U60" s="23" t="str">
        <x:f>IF(X60="Ready",H60*IFERROR(IF(INDEX('Factors'!$G$9:$G$108,MATCH(I60,'Factors'!$C$9:$C$108,0))="","",INDEX('Factors'!$G$9:$G$108,MATCH(I60,'Factors'!$C$9:$C$108,0))),"")/1000+AB60,"")</x:f>
      </x:c>
      <x:c r="V60" s="23" t="str">
        <x:f>IF(Y60="Ready",J60*IFERROR(IF(INDEX('Factors'!$G$9:$G$108,MATCH(K60,'Factors'!$C$9:$C$108,0))="","",INDEX('Factors'!$G$9:$G$108,MATCH(K60,'Factors'!$C$9:$C$108,0))),"")/1000,"")</x:f>
      </x:c>
      <x:c r="W60" s="23" t="str">
        <x:f>IF(OR(Z60="Ready",Z60="Grid fallback"),(IF(M60&gt;0,M60*IFERROR(IF(INDEX('Factors'!$G$9:$G$108,MATCH(N60,'Factors'!$C$9:$C$108,0))="","",INDEX('Factors'!$G$9:$G$108,MATCH(N60,'Factors'!$C$9:$C$108,0))),""),0)+(J60-M60)*IF(M60=J60,0,IF(Q60="No",IFERROR(IF(INDEX('Factors'!$G$9:$G$108,MATCH(K60,'Factors'!$C$9:$C$108,0))="","",INDEX('Factors'!$G$9:$G$108,MATCH(K60,'Factors'!$C$9:$C$108,0))),""),IFERROR(IF(INDEX('Factors'!$G$9:$G$108,MATCH(R60,'Factors'!$C$9:$C$108,0))="","",INDEX('Factors'!$G$9:$G$108,MATCH(R60,'Factors'!$C$9:$C$108,0))),""))))/1000,"")</x:f>
      </x:c>
      <x:c r="X60" s="9" t="str">
        <x:f>IF(C60="","",IF(AND($D$6&lt;&gt;"Operational control",$D$6&lt;&gt;"Financial control"),"Control basis required",IF(F60="No","Outside control",IF(F60&lt;&gt;"Yes","Control review",IF(COUNTIFS($C$9:$C$108,C60)&lt;&gt;1,"Duplicate operation ID",IF(OR(S60="",NOT(ISNUMBER(T60)),T60&lt;'Settings'!$F$8,NOT(ISNUMBER(G60)),G60&lt;&gt;YEAR('Settings'!$F$8)),"Evidence / period review",IF(OR(NOT(ISNUMBER(H60)),H60&lt;0,AA60&lt;&gt;"Yes",NOT(ISNUMBER(AB60)),AB60&lt;0,AC60=""),"Activity required",IF(AND(IFERROR(IF(INDEX('Factors'!$P$9:$P$108,MATCH(I60,'Factors'!$C$9:$C$108,0))="","",INDEX('Factors'!$P$9:$P$108,MATCH(I60,'Factors'!$C$9:$C$108,0))),"")="Ready",IFERROR(IF(INDEX('Factors'!$F$9:$F$108,MATCH(I60,'Factors'!$C$9:$C$108,0))="","",INDEX('Factors'!$F$9:$F$108,MATCH(I60,'Factors'!$C$9:$C$108,0))),"")="litre",IFERROR(IF(INDEX('Factors'!$H$9:$H$108,MATCH(I60,'Factors'!$C$9:$C$108,0))="","",INDEX('Factors'!$H$9:$H$108,MATCH(I60,'Factors'!$C$9:$C$108,0))),"")="S1",IFERROR(IF(INDEX('Factors'!$I$9:$I$108,MATCH(I60,'Factors'!$C$9:$C$108,0))="","",INDEX('Factors'!$I$9:$I$108,MATCH(I60,'Factors'!$C$9:$C$108,0))),"")="Combustion",IFERROR(IF(INDEX('Factors'!$J$9:$J$108,MATCH(I60,'Factors'!$C$9:$C$108,0))="","",INDEX('Factors'!$J$9:$J$108,MATCH(I60,'Factors'!$C$9:$C$108,0))),"")=G60,OR(IFERROR(IF(INDEX('Factors'!$E$9:$E$108,MATCH(I60,'Factors'!$C$9:$C$108,0))="","",INDEX('Factors'!$E$9:$E$108,MATCH(I60,'Factors'!$C$9:$C$108,0))),"")="Global",IFERROR(IF(INDEX('Factors'!$E$9:$E$108,MATCH(I60,'Factors'!$C$9:$C$108,0))="","",INDEX('Factors'!$E$9:$E$108,MATCH(I60,'Factors'!$C$9:$C$108,0))),"")=D60)),"Ready","Factor / unit review"))))))))</x:f>
      </x:c>
      <x:c r="Y60" s="9" t="str">
        <x:f>IF(C60="","",IF(AND($D$6&lt;&gt;"Operational control",$D$6&lt;&gt;"Financial control"),"Control basis required",IF(F60="No","Outside control",IF(F60&lt;&gt;"Yes","Control review",IF(COUNTIFS($C$9:$C$108,C60)&lt;&gt;1,"Duplicate operation ID",IF(OR(S60="",NOT(ISNUMBER(T60)),T60&lt;'Settings'!$F$8,NOT(ISNUMBER(G60)),G60&lt;&gt;YEAR('Settings'!$F$8)),"Evidence / period review",IF(OR(NOT(ISNUMBER(J60)),J60&lt;0),"Activity required",IF(AND(IFERROR(IF(INDEX('Factors'!$P$9:$P$108,MATCH(K60,'Factors'!$C$9:$C$108,0))="","",INDEX('Factors'!$P$9:$P$108,MATCH(K60,'Factors'!$C$9:$C$108,0))),"")="Ready",IFERROR(IF(INDEX('Factors'!$F$9:$F$108,MATCH(K60,'Factors'!$C$9:$C$108,0))="","",INDEX('Factors'!$F$9:$F$108,MATCH(K60,'Factors'!$C$9:$C$108,0))),"")="kWh",IFERROR(IF(INDEX('Factors'!$H$9:$H$108,MATCH(K60,'Factors'!$C$9:$C$108,0))="","",INDEX('Factors'!$H$9:$H$108,MATCH(K60,'Factors'!$C$9:$C$108,0))),"")="S2",IFERROR(IF(INDEX('Factors'!$I$9:$I$108,MATCH(K60,'Factors'!$C$9:$C$108,0))="","",INDEX('Factors'!$I$9:$I$108,MATCH(K60,'Factors'!$C$9:$C$108,0))),"")="Location-based",IFERROR(IF(INDEX('Factors'!$J$9:$J$108,MATCH(K60,'Factors'!$C$9:$C$108,0))="","",INDEX('Factors'!$J$9:$J$108,MATCH(K60,'Factors'!$C$9:$C$108,0))),"")=G60,OR(IFERROR(IF(INDEX('Factors'!$E$9:$E$108,MATCH(K60,'Factors'!$C$9:$C$108,0))="","",INDEX('Factors'!$E$9:$E$108,MATCH(K60,'Factors'!$C$9:$C$108,0))),"")="Global",IFERROR(IF(INDEX('Factors'!$E$9:$E$108,MATCH(K60,'Factors'!$C$9:$C$108,0))="","",INDEX('Factors'!$E$9:$E$108,MATCH(K60,'Factors'!$C$9:$C$108,0))),"")=D60)),"Ready","Factor / unit review"))))))))</x:f>
      </x:c>
      <x:c r="Z60" s="9" t="str">
        <x:f>IF(C60="","",IF(F60="No","Outside control",IF(F60&lt;&gt;"Yes","Control review",IF($H$6="No","Not required",IF($H$6&lt;&gt;"Yes","Applicability review",IF(Y60&lt;&gt;"Ready",Y60,IF(OR(NOT(ISNUMBER(M60)),M60&lt;0,M60&gt;J60),"Contract quantity review",IF(AND(M60&gt;0,OR(O60&lt;&gt;"Pass",P60="",NOT(AND(IFERROR(IF(INDEX('Factors'!$P$9:$P$108,MATCH(N60,'Factors'!$C$9:$C$108,0))="","",INDEX('Factors'!$P$9:$P$108,MATCH(N60,'Factors'!$C$9:$C$108,0))),"")="Ready",IFERROR(IF(INDEX('Factors'!$F$9:$F$108,MATCH(N60,'Factors'!$C$9:$C$108,0))="","",INDEX('Factors'!$F$9:$F$108,MATCH(N60,'Factors'!$C$9:$C$108,0))),"")="kWh",IFERROR(IF(INDEX('Factors'!$H$9:$H$108,MATCH(N60,'Factors'!$C$9:$C$108,0))="","",INDEX('Factors'!$H$9:$H$108,MATCH(N60,'Factors'!$C$9:$C$108,0))),"")="S2",IFERROR(IF(INDEX('Factors'!$I$9:$I$108,MATCH(N60,'Factors'!$C$9:$C$108,0))="","",INDEX('Factors'!$I$9:$I$108,MATCH(N60,'Factors'!$C$9:$C$108,0))),"")="Market-based",IFERROR(IF(INDEX('Factors'!$J$9:$J$108,MATCH(N60,'Factors'!$C$9:$C$108,0))="","",INDEX('Factors'!$J$9:$J$108,MATCH(N60,'Factors'!$C$9:$C$108,0))),"")=G60,OR(IFERROR(IF(INDEX('Factors'!$E$9:$E$108,MATCH(N60,'Factors'!$C$9:$C$108,0))="","",INDEX('Factors'!$E$9:$E$108,MATCH(N60,'Factors'!$C$9:$C$108,0))),"")="Global",IFERROR(IF(INDEX('Factors'!$E$9:$E$108,MATCH(N60,'Factors'!$C$9:$C$108,0))="","",INDEX('Factors'!$E$9:$E$108,MATCH(N60,'Factors'!$C$9:$C$108,0))),"")=D60))))),"Contract criteria review",IF(M60=J60,"Ready",IF(Q60="No","Grid fallback",IF(Q60="Yes",IF(AND(IFERROR(IF(INDEX('Factors'!$P$9:$P$108,MATCH(R60,'Factors'!$C$9:$C$108,0))="","",INDEX('Factors'!$P$9:$P$108,MATCH(R60,'Factors'!$C$9:$C$108,0))),"")="Ready",IFERROR(IF(INDEX('Factors'!$F$9:$F$108,MATCH(R60,'Factors'!$C$9:$C$108,0))="","",INDEX('Factors'!$F$9:$F$108,MATCH(R60,'Factors'!$C$9:$C$108,0))),"")="kWh",IFERROR(IF(INDEX('Factors'!$H$9:$H$108,MATCH(R60,'Factors'!$C$9:$C$108,0))="","",INDEX('Factors'!$H$9:$H$108,MATCH(R60,'Factors'!$C$9:$C$108,0))),"")="S2",IFERROR(IF(INDEX('Factors'!$I$9:$I$108,MATCH(R60,'Factors'!$C$9:$C$108,0))="","",INDEX('Factors'!$I$9:$I$108,MATCH(R60,'Factors'!$C$9:$C$108,0))),"")="Residual mix",IFERROR(IF(INDEX('Factors'!$J$9:$J$108,MATCH(R60,'Factors'!$C$9:$C$108,0))="","",INDEX('Factors'!$J$9:$J$108,MATCH(R60,'Factors'!$C$9:$C$108,0))),"")=G60,OR(IFERROR(IF(INDEX('Factors'!$E$9:$E$108,MATCH(R60,'Factors'!$C$9:$C$108,0))="","",INDEX('Factors'!$E$9:$E$108,MATCH(R60,'Factors'!$C$9:$C$108,0))),"")="Global",IFERROR(IF(INDEX('Factors'!$E$9:$E$108,MATCH(R60,'Factors'!$C$9:$C$108,0))="","",INDEX('Factors'!$E$9:$E$108,MATCH(R60,'Factors'!$C$9:$C$108,0))),"")=D60)),"Ready","Residual factor review"),"Residual availability review")))))))))))</x:f>
      </x:c>
      <x:c r="AA60" s="8"/>
      <x:c r="AB60" s="16"/>
      <x:c r="AC60" s="8"/>
    </x:row>
    <x:row r="61" ht="36" customHeight="1">
      <x:c r="A61" s="1"/>
      <x:c r="B61" s="1"/>
      <x:c r="C61" s="8"/>
      <x:c r="D61" s="8"/>
      <x:c r="E61" s="8"/>
      <x:c r="F61" s="8"/>
      <x:c r="G61" s="22"/>
      <x:c r="H61" s="16"/>
      <x:c r="I61" s="8"/>
      <x:c r="J61" s="16"/>
      <x:c r="K61" s="8"/>
      <x:c r="L61" s="8"/>
      <x:c r="M61" s="16"/>
      <x:c r="N61" s="8"/>
      <x:c r="O61" s="8"/>
      <x:c r="P61" s="8"/>
      <x:c r="Q61" s="8"/>
      <x:c r="R61" s="8"/>
      <x:c r="S61" s="8"/>
      <x:c r="T61" s="40"/>
      <x:c r="U61" s="23" t="str">
        <x:f>IF(X61="Ready",H61*IFERROR(IF(INDEX('Factors'!$G$9:$G$108,MATCH(I61,'Factors'!$C$9:$C$108,0))="","",INDEX('Factors'!$G$9:$G$108,MATCH(I61,'Factors'!$C$9:$C$108,0))),"")/1000+AB61,"")</x:f>
      </x:c>
      <x:c r="V61" s="23" t="str">
        <x:f>IF(Y61="Ready",J61*IFERROR(IF(INDEX('Factors'!$G$9:$G$108,MATCH(K61,'Factors'!$C$9:$C$108,0))="","",INDEX('Factors'!$G$9:$G$108,MATCH(K61,'Factors'!$C$9:$C$108,0))),"")/1000,"")</x:f>
      </x:c>
      <x:c r="W61" s="23" t="str">
        <x:f>IF(OR(Z61="Ready",Z61="Grid fallback"),(IF(M61&gt;0,M61*IFERROR(IF(INDEX('Factors'!$G$9:$G$108,MATCH(N61,'Factors'!$C$9:$C$108,0))="","",INDEX('Factors'!$G$9:$G$108,MATCH(N61,'Factors'!$C$9:$C$108,0))),""),0)+(J61-M61)*IF(M61=J61,0,IF(Q61="No",IFERROR(IF(INDEX('Factors'!$G$9:$G$108,MATCH(K61,'Factors'!$C$9:$C$108,0))="","",INDEX('Factors'!$G$9:$G$108,MATCH(K61,'Factors'!$C$9:$C$108,0))),""),IFERROR(IF(INDEX('Factors'!$G$9:$G$108,MATCH(R61,'Factors'!$C$9:$C$108,0))="","",INDEX('Factors'!$G$9:$G$108,MATCH(R61,'Factors'!$C$9:$C$108,0))),""))))/1000,"")</x:f>
      </x:c>
      <x:c r="X61" s="9" t="str">
        <x:f>IF(C61="","",IF(AND($D$6&lt;&gt;"Operational control",$D$6&lt;&gt;"Financial control"),"Control basis required",IF(F61="No","Outside control",IF(F61&lt;&gt;"Yes","Control review",IF(COUNTIFS($C$9:$C$108,C61)&lt;&gt;1,"Duplicate operation ID",IF(OR(S61="",NOT(ISNUMBER(T61)),T61&lt;'Settings'!$F$8,NOT(ISNUMBER(G61)),G61&lt;&gt;YEAR('Settings'!$F$8)),"Evidence / period review",IF(OR(NOT(ISNUMBER(H61)),H61&lt;0,AA61&lt;&gt;"Yes",NOT(ISNUMBER(AB61)),AB61&lt;0,AC61=""),"Activity required",IF(AND(IFERROR(IF(INDEX('Factors'!$P$9:$P$108,MATCH(I61,'Factors'!$C$9:$C$108,0))="","",INDEX('Factors'!$P$9:$P$108,MATCH(I61,'Factors'!$C$9:$C$108,0))),"")="Ready",IFERROR(IF(INDEX('Factors'!$F$9:$F$108,MATCH(I61,'Factors'!$C$9:$C$108,0))="","",INDEX('Factors'!$F$9:$F$108,MATCH(I61,'Factors'!$C$9:$C$108,0))),"")="litre",IFERROR(IF(INDEX('Factors'!$H$9:$H$108,MATCH(I61,'Factors'!$C$9:$C$108,0))="","",INDEX('Factors'!$H$9:$H$108,MATCH(I61,'Factors'!$C$9:$C$108,0))),"")="S1",IFERROR(IF(INDEX('Factors'!$I$9:$I$108,MATCH(I61,'Factors'!$C$9:$C$108,0))="","",INDEX('Factors'!$I$9:$I$108,MATCH(I61,'Factors'!$C$9:$C$108,0))),"")="Combustion",IFERROR(IF(INDEX('Factors'!$J$9:$J$108,MATCH(I61,'Factors'!$C$9:$C$108,0))="","",INDEX('Factors'!$J$9:$J$108,MATCH(I61,'Factors'!$C$9:$C$108,0))),"")=G61,OR(IFERROR(IF(INDEX('Factors'!$E$9:$E$108,MATCH(I61,'Factors'!$C$9:$C$108,0))="","",INDEX('Factors'!$E$9:$E$108,MATCH(I61,'Factors'!$C$9:$C$108,0))),"")="Global",IFERROR(IF(INDEX('Factors'!$E$9:$E$108,MATCH(I61,'Factors'!$C$9:$C$108,0))="","",INDEX('Factors'!$E$9:$E$108,MATCH(I61,'Factors'!$C$9:$C$108,0))),"")=D61)),"Ready","Factor / unit review"))))))))</x:f>
      </x:c>
      <x:c r="Y61" s="9" t="str">
        <x:f>IF(C61="","",IF(AND($D$6&lt;&gt;"Operational control",$D$6&lt;&gt;"Financial control"),"Control basis required",IF(F61="No","Outside control",IF(F61&lt;&gt;"Yes","Control review",IF(COUNTIFS($C$9:$C$108,C61)&lt;&gt;1,"Duplicate operation ID",IF(OR(S61="",NOT(ISNUMBER(T61)),T61&lt;'Settings'!$F$8,NOT(ISNUMBER(G61)),G61&lt;&gt;YEAR('Settings'!$F$8)),"Evidence / period review",IF(OR(NOT(ISNUMBER(J61)),J61&lt;0),"Activity required",IF(AND(IFERROR(IF(INDEX('Factors'!$P$9:$P$108,MATCH(K61,'Factors'!$C$9:$C$108,0))="","",INDEX('Factors'!$P$9:$P$108,MATCH(K61,'Factors'!$C$9:$C$108,0))),"")="Ready",IFERROR(IF(INDEX('Factors'!$F$9:$F$108,MATCH(K61,'Factors'!$C$9:$C$108,0))="","",INDEX('Factors'!$F$9:$F$108,MATCH(K61,'Factors'!$C$9:$C$108,0))),"")="kWh",IFERROR(IF(INDEX('Factors'!$H$9:$H$108,MATCH(K61,'Factors'!$C$9:$C$108,0))="","",INDEX('Factors'!$H$9:$H$108,MATCH(K61,'Factors'!$C$9:$C$108,0))),"")="S2",IFERROR(IF(INDEX('Factors'!$I$9:$I$108,MATCH(K61,'Factors'!$C$9:$C$108,0))="","",INDEX('Factors'!$I$9:$I$108,MATCH(K61,'Factors'!$C$9:$C$108,0))),"")="Location-based",IFERROR(IF(INDEX('Factors'!$J$9:$J$108,MATCH(K61,'Factors'!$C$9:$C$108,0))="","",INDEX('Factors'!$J$9:$J$108,MATCH(K61,'Factors'!$C$9:$C$108,0))),"")=G61,OR(IFERROR(IF(INDEX('Factors'!$E$9:$E$108,MATCH(K61,'Factors'!$C$9:$C$108,0))="","",INDEX('Factors'!$E$9:$E$108,MATCH(K61,'Factors'!$C$9:$C$108,0))),"")="Global",IFERROR(IF(INDEX('Factors'!$E$9:$E$108,MATCH(K61,'Factors'!$C$9:$C$108,0))="","",INDEX('Factors'!$E$9:$E$108,MATCH(K61,'Factors'!$C$9:$C$108,0))),"")=D61)),"Ready","Factor / unit review"))))))))</x:f>
      </x:c>
      <x:c r="Z61" s="9" t="str">
        <x:f>IF(C61="","",IF(F61="No","Outside control",IF(F61&lt;&gt;"Yes","Control review",IF($H$6="No","Not required",IF($H$6&lt;&gt;"Yes","Applicability review",IF(Y61&lt;&gt;"Ready",Y61,IF(OR(NOT(ISNUMBER(M61)),M61&lt;0,M61&gt;J61),"Contract quantity review",IF(AND(M61&gt;0,OR(O61&lt;&gt;"Pass",P61="",NOT(AND(IFERROR(IF(INDEX('Factors'!$P$9:$P$108,MATCH(N61,'Factors'!$C$9:$C$108,0))="","",INDEX('Factors'!$P$9:$P$108,MATCH(N61,'Factors'!$C$9:$C$108,0))),"")="Ready",IFERROR(IF(INDEX('Factors'!$F$9:$F$108,MATCH(N61,'Factors'!$C$9:$C$108,0))="","",INDEX('Factors'!$F$9:$F$108,MATCH(N61,'Factors'!$C$9:$C$108,0))),"")="kWh",IFERROR(IF(INDEX('Factors'!$H$9:$H$108,MATCH(N61,'Factors'!$C$9:$C$108,0))="","",INDEX('Factors'!$H$9:$H$108,MATCH(N61,'Factors'!$C$9:$C$108,0))),"")="S2",IFERROR(IF(INDEX('Factors'!$I$9:$I$108,MATCH(N61,'Factors'!$C$9:$C$108,0))="","",INDEX('Factors'!$I$9:$I$108,MATCH(N61,'Factors'!$C$9:$C$108,0))),"")="Market-based",IFERROR(IF(INDEX('Factors'!$J$9:$J$108,MATCH(N61,'Factors'!$C$9:$C$108,0))="","",INDEX('Factors'!$J$9:$J$108,MATCH(N61,'Factors'!$C$9:$C$108,0))),"")=G61,OR(IFERROR(IF(INDEX('Factors'!$E$9:$E$108,MATCH(N61,'Factors'!$C$9:$C$108,0))="","",INDEX('Factors'!$E$9:$E$108,MATCH(N61,'Factors'!$C$9:$C$108,0))),"")="Global",IFERROR(IF(INDEX('Factors'!$E$9:$E$108,MATCH(N61,'Factors'!$C$9:$C$108,0))="","",INDEX('Factors'!$E$9:$E$108,MATCH(N61,'Factors'!$C$9:$C$108,0))),"")=D61))))),"Contract criteria review",IF(M61=J61,"Ready",IF(Q61="No","Grid fallback",IF(Q61="Yes",IF(AND(IFERROR(IF(INDEX('Factors'!$P$9:$P$108,MATCH(R61,'Factors'!$C$9:$C$108,0))="","",INDEX('Factors'!$P$9:$P$108,MATCH(R61,'Factors'!$C$9:$C$108,0))),"")="Ready",IFERROR(IF(INDEX('Factors'!$F$9:$F$108,MATCH(R61,'Factors'!$C$9:$C$108,0))="","",INDEX('Factors'!$F$9:$F$108,MATCH(R61,'Factors'!$C$9:$C$108,0))),"")="kWh",IFERROR(IF(INDEX('Factors'!$H$9:$H$108,MATCH(R61,'Factors'!$C$9:$C$108,0))="","",INDEX('Factors'!$H$9:$H$108,MATCH(R61,'Factors'!$C$9:$C$108,0))),"")="S2",IFERROR(IF(INDEX('Factors'!$I$9:$I$108,MATCH(R61,'Factors'!$C$9:$C$108,0))="","",INDEX('Factors'!$I$9:$I$108,MATCH(R61,'Factors'!$C$9:$C$108,0))),"")="Residual mix",IFERROR(IF(INDEX('Factors'!$J$9:$J$108,MATCH(R61,'Factors'!$C$9:$C$108,0))="","",INDEX('Factors'!$J$9:$J$108,MATCH(R61,'Factors'!$C$9:$C$108,0))),"")=G61,OR(IFERROR(IF(INDEX('Factors'!$E$9:$E$108,MATCH(R61,'Factors'!$C$9:$C$108,0))="","",INDEX('Factors'!$E$9:$E$108,MATCH(R61,'Factors'!$C$9:$C$108,0))),"")="Global",IFERROR(IF(INDEX('Factors'!$E$9:$E$108,MATCH(R61,'Factors'!$C$9:$C$108,0))="","",INDEX('Factors'!$E$9:$E$108,MATCH(R61,'Factors'!$C$9:$C$108,0))),"")=D61)),"Ready","Residual factor review"),"Residual availability review")))))))))))</x:f>
      </x:c>
      <x:c r="AA61" s="8"/>
      <x:c r="AB61" s="16"/>
      <x:c r="AC61" s="8"/>
    </x:row>
    <x:row r="62" ht="36" customHeight="1">
      <x:c r="A62" s="1"/>
      <x:c r="B62" s="1"/>
      <x:c r="C62" s="8"/>
      <x:c r="D62" s="8"/>
      <x:c r="E62" s="8"/>
      <x:c r="F62" s="8"/>
      <x:c r="G62" s="22"/>
      <x:c r="H62" s="16"/>
      <x:c r="I62" s="8"/>
      <x:c r="J62" s="16"/>
      <x:c r="K62" s="8"/>
      <x:c r="L62" s="8"/>
      <x:c r="M62" s="16"/>
      <x:c r="N62" s="8"/>
      <x:c r="O62" s="8"/>
      <x:c r="P62" s="8"/>
      <x:c r="Q62" s="8"/>
      <x:c r="R62" s="8"/>
      <x:c r="S62" s="8"/>
      <x:c r="T62" s="40"/>
      <x:c r="U62" s="23" t="str">
        <x:f>IF(X62="Ready",H62*IFERROR(IF(INDEX('Factors'!$G$9:$G$108,MATCH(I62,'Factors'!$C$9:$C$108,0))="","",INDEX('Factors'!$G$9:$G$108,MATCH(I62,'Factors'!$C$9:$C$108,0))),"")/1000+AB62,"")</x:f>
      </x:c>
      <x:c r="V62" s="23" t="str">
        <x:f>IF(Y62="Ready",J62*IFERROR(IF(INDEX('Factors'!$G$9:$G$108,MATCH(K62,'Factors'!$C$9:$C$108,0))="","",INDEX('Factors'!$G$9:$G$108,MATCH(K62,'Factors'!$C$9:$C$108,0))),"")/1000,"")</x:f>
      </x:c>
      <x:c r="W62" s="23" t="str">
        <x:f>IF(OR(Z62="Ready",Z62="Grid fallback"),(IF(M62&gt;0,M62*IFERROR(IF(INDEX('Factors'!$G$9:$G$108,MATCH(N62,'Factors'!$C$9:$C$108,0))="","",INDEX('Factors'!$G$9:$G$108,MATCH(N62,'Factors'!$C$9:$C$108,0))),""),0)+(J62-M62)*IF(M62=J62,0,IF(Q62="No",IFERROR(IF(INDEX('Factors'!$G$9:$G$108,MATCH(K62,'Factors'!$C$9:$C$108,0))="","",INDEX('Factors'!$G$9:$G$108,MATCH(K62,'Factors'!$C$9:$C$108,0))),""),IFERROR(IF(INDEX('Factors'!$G$9:$G$108,MATCH(R62,'Factors'!$C$9:$C$108,0))="","",INDEX('Factors'!$G$9:$G$108,MATCH(R62,'Factors'!$C$9:$C$108,0))),""))))/1000,"")</x:f>
      </x:c>
      <x:c r="X62" s="9" t="str">
        <x:f>IF(C62="","",IF(AND($D$6&lt;&gt;"Operational control",$D$6&lt;&gt;"Financial control"),"Control basis required",IF(F62="No","Outside control",IF(F62&lt;&gt;"Yes","Control review",IF(COUNTIFS($C$9:$C$108,C62)&lt;&gt;1,"Duplicate operation ID",IF(OR(S62="",NOT(ISNUMBER(T62)),T62&lt;'Settings'!$F$8,NOT(ISNUMBER(G62)),G62&lt;&gt;YEAR('Settings'!$F$8)),"Evidence / period review",IF(OR(NOT(ISNUMBER(H62)),H62&lt;0,AA62&lt;&gt;"Yes",NOT(ISNUMBER(AB62)),AB62&lt;0,AC62=""),"Activity required",IF(AND(IFERROR(IF(INDEX('Factors'!$P$9:$P$108,MATCH(I62,'Factors'!$C$9:$C$108,0))="","",INDEX('Factors'!$P$9:$P$108,MATCH(I62,'Factors'!$C$9:$C$108,0))),"")="Ready",IFERROR(IF(INDEX('Factors'!$F$9:$F$108,MATCH(I62,'Factors'!$C$9:$C$108,0))="","",INDEX('Factors'!$F$9:$F$108,MATCH(I62,'Factors'!$C$9:$C$108,0))),"")="litre",IFERROR(IF(INDEX('Factors'!$H$9:$H$108,MATCH(I62,'Factors'!$C$9:$C$108,0))="","",INDEX('Factors'!$H$9:$H$108,MATCH(I62,'Factors'!$C$9:$C$108,0))),"")="S1",IFERROR(IF(INDEX('Factors'!$I$9:$I$108,MATCH(I62,'Factors'!$C$9:$C$108,0))="","",INDEX('Factors'!$I$9:$I$108,MATCH(I62,'Factors'!$C$9:$C$108,0))),"")="Combustion",IFERROR(IF(INDEX('Factors'!$J$9:$J$108,MATCH(I62,'Factors'!$C$9:$C$108,0))="","",INDEX('Factors'!$J$9:$J$108,MATCH(I62,'Factors'!$C$9:$C$108,0))),"")=G62,OR(IFERROR(IF(INDEX('Factors'!$E$9:$E$108,MATCH(I62,'Factors'!$C$9:$C$108,0))="","",INDEX('Factors'!$E$9:$E$108,MATCH(I62,'Factors'!$C$9:$C$108,0))),"")="Global",IFERROR(IF(INDEX('Factors'!$E$9:$E$108,MATCH(I62,'Factors'!$C$9:$C$108,0))="","",INDEX('Factors'!$E$9:$E$108,MATCH(I62,'Factors'!$C$9:$C$108,0))),"")=D62)),"Ready","Factor / unit review"))))))))</x:f>
      </x:c>
      <x:c r="Y62" s="9" t="str">
        <x:f>IF(C62="","",IF(AND($D$6&lt;&gt;"Operational control",$D$6&lt;&gt;"Financial control"),"Control basis required",IF(F62="No","Outside control",IF(F62&lt;&gt;"Yes","Control review",IF(COUNTIFS($C$9:$C$108,C62)&lt;&gt;1,"Duplicate operation ID",IF(OR(S62="",NOT(ISNUMBER(T62)),T62&lt;'Settings'!$F$8,NOT(ISNUMBER(G62)),G62&lt;&gt;YEAR('Settings'!$F$8)),"Evidence / period review",IF(OR(NOT(ISNUMBER(J62)),J62&lt;0),"Activity required",IF(AND(IFERROR(IF(INDEX('Factors'!$P$9:$P$108,MATCH(K62,'Factors'!$C$9:$C$108,0))="","",INDEX('Factors'!$P$9:$P$108,MATCH(K62,'Factors'!$C$9:$C$108,0))),"")="Ready",IFERROR(IF(INDEX('Factors'!$F$9:$F$108,MATCH(K62,'Factors'!$C$9:$C$108,0))="","",INDEX('Factors'!$F$9:$F$108,MATCH(K62,'Factors'!$C$9:$C$108,0))),"")="kWh",IFERROR(IF(INDEX('Factors'!$H$9:$H$108,MATCH(K62,'Factors'!$C$9:$C$108,0))="","",INDEX('Factors'!$H$9:$H$108,MATCH(K62,'Factors'!$C$9:$C$108,0))),"")="S2",IFERROR(IF(INDEX('Factors'!$I$9:$I$108,MATCH(K62,'Factors'!$C$9:$C$108,0))="","",INDEX('Factors'!$I$9:$I$108,MATCH(K62,'Factors'!$C$9:$C$108,0))),"")="Location-based",IFERROR(IF(INDEX('Factors'!$J$9:$J$108,MATCH(K62,'Factors'!$C$9:$C$108,0))="","",INDEX('Factors'!$J$9:$J$108,MATCH(K62,'Factors'!$C$9:$C$108,0))),"")=G62,OR(IFERROR(IF(INDEX('Factors'!$E$9:$E$108,MATCH(K62,'Factors'!$C$9:$C$108,0))="","",INDEX('Factors'!$E$9:$E$108,MATCH(K62,'Factors'!$C$9:$C$108,0))),"")="Global",IFERROR(IF(INDEX('Factors'!$E$9:$E$108,MATCH(K62,'Factors'!$C$9:$C$108,0))="","",INDEX('Factors'!$E$9:$E$108,MATCH(K62,'Factors'!$C$9:$C$108,0))),"")=D62)),"Ready","Factor / unit review"))))))))</x:f>
      </x:c>
      <x:c r="Z62" s="9" t="str">
        <x:f>IF(C62="","",IF(F62="No","Outside control",IF(F62&lt;&gt;"Yes","Control review",IF($H$6="No","Not required",IF($H$6&lt;&gt;"Yes","Applicability review",IF(Y62&lt;&gt;"Ready",Y62,IF(OR(NOT(ISNUMBER(M62)),M62&lt;0,M62&gt;J62),"Contract quantity review",IF(AND(M62&gt;0,OR(O62&lt;&gt;"Pass",P62="",NOT(AND(IFERROR(IF(INDEX('Factors'!$P$9:$P$108,MATCH(N62,'Factors'!$C$9:$C$108,0))="","",INDEX('Factors'!$P$9:$P$108,MATCH(N62,'Factors'!$C$9:$C$108,0))),"")="Ready",IFERROR(IF(INDEX('Factors'!$F$9:$F$108,MATCH(N62,'Factors'!$C$9:$C$108,0))="","",INDEX('Factors'!$F$9:$F$108,MATCH(N62,'Factors'!$C$9:$C$108,0))),"")="kWh",IFERROR(IF(INDEX('Factors'!$H$9:$H$108,MATCH(N62,'Factors'!$C$9:$C$108,0))="","",INDEX('Factors'!$H$9:$H$108,MATCH(N62,'Factors'!$C$9:$C$108,0))),"")="S2",IFERROR(IF(INDEX('Factors'!$I$9:$I$108,MATCH(N62,'Factors'!$C$9:$C$108,0))="","",INDEX('Factors'!$I$9:$I$108,MATCH(N62,'Factors'!$C$9:$C$108,0))),"")="Market-based",IFERROR(IF(INDEX('Factors'!$J$9:$J$108,MATCH(N62,'Factors'!$C$9:$C$108,0))="","",INDEX('Factors'!$J$9:$J$108,MATCH(N62,'Factors'!$C$9:$C$108,0))),"")=G62,OR(IFERROR(IF(INDEX('Factors'!$E$9:$E$108,MATCH(N62,'Factors'!$C$9:$C$108,0))="","",INDEX('Factors'!$E$9:$E$108,MATCH(N62,'Factors'!$C$9:$C$108,0))),"")="Global",IFERROR(IF(INDEX('Factors'!$E$9:$E$108,MATCH(N62,'Factors'!$C$9:$C$108,0))="","",INDEX('Factors'!$E$9:$E$108,MATCH(N62,'Factors'!$C$9:$C$108,0))),"")=D62))))),"Contract criteria review",IF(M62=J62,"Ready",IF(Q62="No","Grid fallback",IF(Q62="Yes",IF(AND(IFERROR(IF(INDEX('Factors'!$P$9:$P$108,MATCH(R62,'Factors'!$C$9:$C$108,0))="","",INDEX('Factors'!$P$9:$P$108,MATCH(R62,'Factors'!$C$9:$C$108,0))),"")="Ready",IFERROR(IF(INDEX('Factors'!$F$9:$F$108,MATCH(R62,'Factors'!$C$9:$C$108,0))="","",INDEX('Factors'!$F$9:$F$108,MATCH(R62,'Factors'!$C$9:$C$108,0))),"")="kWh",IFERROR(IF(INDEX('Factors'!$H$9:$H$108,MATCH(R62,'Factors'!$C$9:$C$108,0))="","",INDEX('Factors'!$H$9:$H$108,MATCH(R62,'Factors'!$C$9:$C$108,0))),"")="S2",IFERROR(IF(INDEX('Factors'!$I$9:$I$108,MATCH(R62,'Factors'!$C$9:$C$108,0))="","",INDEX('Factors'!$I$9:$I$108,MATCH(R62,'Factors'!$C$9:$C$108,0))),"")="Residual mix",IFERROR(IF(INDEX('Factors'!$J$9:$J$108,MATCH(R62,'Factors'!$C$9:$C$108,0))="","",INDEX('Factors'!$J$9:$J$108,MATCH(R62,'Factors'!$C$9:$C$108,0))),"")=G62,OR(IFERROR(IF(INDEX('Factors'!$E$9:$E$108,MATCH(R62,'Factors'!$C$9:$C$108,0))="","",INDEX('Factors'!$E$9:$E$108,MATCH(R62,'Factors'!$C$9:$C$108,0))),"")="Global",IFERROR(IF(INDEX('Factors'!$E$9:$E$108,MATCH(R62,'Factors'!$C$9:$C$108,0))="","",INDEX('Factors'!$E$9:$E$108,MATCH(R62,'Factors'!$C$9:$C$108,0))),"")=D62)),"Ready","Residual factor review"),"Residual availability review")))))))))))</x:f>
      </x:c>
      <x:c r="AA62" s="8"/>
      <x:c r="AB62" s="16"/>
      <x:c r="AC62" s="8"/>
    </x:row>
    <x:row r="63" ht="36" customHeight="1">
      <x:c r="A63" s="1"/>
      <x:c r="B63" s="1"/>
      <x:c r="C63" s="8"/>
      <x:c r="D63" s="8"/>
      <x:c r="E63" s="8"/>
      <x:c r="F63" s="8"/>
      <x:c r="G63" s="22"/>
      <x:c r="H63" s="16"/>
      <x:c r="I63" s="8"/>
      <x:c r="J63" s="16"/>
      <x:c r="K63" s="8"/>
      <x:c r="L63" s="8"/>
      <x:c r="M63" s="16"/>
      <x:c r="N63" s="8"/>
      <x:c r="O63" s="8"/>
      <x:c r="P63" s="8"/>
      <x:c r="Q63" s="8"/>
      <x:c r="R63" s="8"/>
      <x:c r="S63" s="8"/>
      <x:c r="T63" s="40"/>
      <x:c r="U63" s="23" t="str">
        <x:f>IF(X63="Ready",H63*IFERROR(IF(INDEX('Factors'!$G$9:$G$108,MATCH(I63,'Factors'!$C$9:$C$108,0))="","",INDEX('Factors'!$G$9:$G$108,MATCH(I63,'Factors'!$C$9:$C$108,0))),"")/1000+AB63,"")</x:f>
      </x:c>
      <x:c r="V63" s="23" t="str">
        <x:f>IF(Y63="Ready",J63*IFERROR(IF(INDEX('Factors'!$G$9:$G$108,MATCH(K63,'Factors'!$C$9:$C$108,0))="","",INDEX('Factors'!$G$9:$G$108,MATCH(K63,'Factors'!$C$9:$C$108,0))),"")/1000,"")</x:f>
      </x:c>
      <x:c r="W63" s="23" t="str">
        <x:f>IF(OR(Z63="Ready",Z63="Grid fallback"),(IF(M63&gt;0,M63*IFERROR(IF(INDEX('Factors'!$G$9:$G$108,MATCH(N63,'Factors'!$C$9:$C$108,0))="","",INDEX('Factors'!$G$9:$G$108,MATCH(N63,'Factors'!$C$9:$C$108,0))),""),0)+(J63-M63)*IF(M63=J63,0,IF(Q63="No",IFERROR(IF(INDEX('Factors'!$G$9:$G$108,MATCH(K63,'Factors'!$C$9:$C$108,0))="","",INDEX('Factors'!$G$9:$G$108,MATCH(K63,'Factors'!$C$9:$C$108,0))),""),IFERROR(IF(INDEX('Factors'!$G$9:$G$108,MATCH(R63,'Factors'!$C$9:$C$108,0))="","",INDEX('Factors'!$G$9:$G$108,MATCH(R63,'Factors'!$C$9:$C$108,0))),""))))/1000,"")</x:f>
      </x:c>
      <x:c r="X63" s="9" t="str">
        <x:f>IF(C63="","",IF(AND($D$6&lt;&gt;"Operational control",$D$6&lt;&gt;"Financial control"),"Control basis required",IF(F63="No","Outside control",IF(F63&lt;&gt;"Yes","Control review",IF(COUNTIFS($C$9:$C$108,C63)&lt;&gt;1,"Duplicate operation ID",IF(OR(S63="",NOT(ISNUMBER(T63)),T63&lt;'Settings'!$F$8,NOT(ISNUMBER(G63)),G63&lt;&gt;YEAR('Settings'!$F$8)),"Evidence / period review",IF(OR(NOT(ISNUMBER(H63)),H63&lt;0,AA63&lt;&gt;"Yes",NOT(ISNUMBER(AB63)),AB63&lt;0,AC63=""),"Activity required",IF(AND(IFERROR(IF(INDEX('Factors'!$P$9:$P$108,MATCH(I63,'Factors'!$C$9:$C$108,0))="","",INDEX('Factors'!$P$9:$P$108,MATCH(I63,'Factors'!$C$9:$C$108,0))),"")="Ready",IFERROR(IF(INDEX('Factors'!$F$9:$F$108,MATCH(I63,'Factors'!$C$9:$C$108,0))="","",INDEX('Factors'!$F$9:$F$108,MATCH(I63,'Factors'!$C$9:$C$108,0))),"")="litre",IFERROR(IF(INDEX('Factors'!$H$9:$H$108,MATCH(I63,'Factors'!$C$9:$C$108,0))="","",INDEX('Factors'!$H$9:$H$108,MATCH(I63,'Factors'!$C$9:$C$108,0))),"")="S1",IFERROR(IF(INDEX('Factors'!$I$9:$I$108,MATCH(I63,'Factors'!$C$9:$C$108,0))="","",INDEX('Factors'!$I$9:$I$108,MATCH(I63,'Factors'!$C$9:$C$108,0))),"")="Combustion",IFERROR(IF(INDEX('Factors'!$J$9:$J$108,MATCH(I63,'Factors'!$C$9:$C$108,0))="","",INDEX('Factors'!$J$9:$J$108,MATCH(I63,'Factors'!$C$9:$C$108,0))),"")=G63,OR(IFERROR(IF(INDEX('Factors'!$E$9:$E$108,MATCH(I63,'Factors'!$C$9:$C$108,0))="","",INDEX('Factors'!$E$9:$E$108,MATCH(I63,'Factors'!$C$9:$C$108,0))),"")="Global",IFERROR(IF(INDEX('Factors'!$E$9:$E$108,MATCH(I63,'Factors'!$C$9:$C$108,0))="","",INDEX('Factors'!$E$9:$E$108,MATCH(I63,'Factors'!$C$9:$C$108,0))),"")=D63)),"Ready","Factor / unit review"))))))))</x:f>
      </x:c>
      <x:c r="Y63" s="9" t="str">
        <x:f>IF(C63="","",IF(AND($D$6&lt;&gt;"Operational control",$D$6&lt;&gt;"Financial control"),"Control basis required",IF(F63="No","Outside control",IF(F63&lt;&gt;"Yes","Control review",IF(COUNTIFS($C$9:$C$108,C63)&lt;&gt;1,"Duplicate operation ID",IF(OR(S63="",NOT(ISNUMBER(T63)),T63&lt;'Settings'!$F$8,NOT(ISNUMBER(G63)),G63&lt;&gt;YEAR('Settings'!$F$8)),"Evidence / period review",IF(OR(NOT(ISNUMBER(J63)),J63&lt;0),"Activity required",IF(AND(IFERROR(IF(INDEX('Factors'!$P$9:$P$108,MATCH(K63,'Factors'!$C$9:$C$108,0))="","",INDEX('Factors'!$P$9:$P$108,MATCH(K63,'Factors'!$C$9:$C$108,0))),"")="Ready",IFERROR(IF(INDEX('Factors'!$F$9:$F$108,MATCH(K63,'Factors'!$C$9:$C$108,0))="","",INDEX('Factors'!$F$9:$F$108,MATCH(K63,'Factors'!$C$9:$C$108,0))),"")="kWh",IFERROR(IF(INDEX('Factors'!$H$9:$H$108,MATCH(K63,'Factors'!$C$9:$C$108,0))="","",INDEX('Factors'!$H$9:$H$108,MATCH(K63,'Factors'!$C$9:$C$108,0))),"")="S2",IFERROR(IF(INDEX('Factors'!$I$9:$I$108,MATCH(K63,'Factors'!$C$9:$C$108,0))="","",INDEX('Factors'!$I$9:$I$108,MATCH(K63,'Factors'!$C$9:$C$108,0))),"")="Location-based",IFERROR(IF(INDEX('Factors'!$J$9:$J$108,MATCH(K63,'Factors'!$C$9:$C$108,0))="","",INDEX('Factors'!$J$9:$J$108,MATCH(K63,'Factors'!$C$9:$C$108,0))),"")=G63,OR(IFERROR(IF(INDEX('Factors'!$E$9:$E$108,MATCH(K63,'Factors'!$C$9:$C$108,0))="","",INDEX('Factors'!$E$9:$E$108,MATCH(K63,'Factors'!$C$9:$C$108,0))),"")="Global",IFERROR(IF(INDEX('Factors'!$E$9:$E$108,MATCH(K63,'Factors'!$C$9:$C$108,0))="","",INDEX('Factors'!$E$9:$E$108,MATCH(K63,'Factors'!$C$9:$C$108,0))),"")=D63)),"Ready","Factor / unit review"))))))))</x:f>
      </x:c>
      <x:c r="Z63" s="9" t="str">
        <x:f>IF(C63="","",IF(F63="No","Outside control",IF(F63&lt;&gt;"Yes","Control review",IF($H$6="No","Not required",IF($H$6&lt;&gt;"Yes","Applicability review",IF(Y63&lt;&gt;"Ready",Y63,IF(OR(NOT(ISNUMBER(M63)),M63&lt;0,M63&gt;J63),"Contract quantity review",IF(AND(M63&gt;0,OR(O63&lt;&gt;"Pass",P63="",NOT(AND(IFERROR(IF(INDEX('Factors'!$P$9:$P$108,MATCH(N63,'Factors'!$C$9:$C$108,0))="","",INDEX('Factors'!$P$9:$P$108,MATCH(N63,'Factors'!$C$9:$C$108,0))),"")="Ready",IFERROR(IF(INDEX('Factors'!$F$9:$F$108,MATCH(N63,'Factors'!$C$9:$C$108,0))="","",INDEX('Factors'!$F$9:$F$108,MATCH(N63,'Factors'!$C$9:$C$108,0))),"")="kWh",IFERROR(IF(INDEX('Factors'!$H$9:$H$108,MATCH(N63,'Factors'!$C$9:$C$108,0))="","",INDEX('Factors'!$H$9:$H$108,MATCH(N63,'Factors'!$C$9:$C$108,0))),"")="S2",IFERROR(IF(INDEX('Factors'!$I$9:$I$108,MATCH(N63,'Factors'!$C$9:$C$108,0))="","",INDEX('Factors'!$I$9:$I$108,MATCH(N63,'Factors'!$C$9:$C$108,0))),"")="Market-based",IFERROR(IF(INDEX('Factors'!$J$9:$J$108,MATCH(N63,'Factors'!$C$9:$C$108,0))="","",INDEX('Factors'!$J$9:$J$108,MATCH(N63,'Factors'!$C$9:$C$108,0))),"")=G63,OR(IFERROR(IF(INDEX('Factors'!$E$9:$E$108,MATCH(N63,'Factors'!$C$9:$C$108,0))="","",INDEX('Factors'!$E$9:$E$108,MATCH(N63,'Factors'!$C$9:$C$108,0))),"")="Global",IFERROR(IF(INDEX('Factors'!$E$9:$E$108,MATCH(N63,'Factors'!$C$9:$C$108,0))="","",INDEX('Factors'!$E$9:$E$108,MATCH(N63,'Factors'!$C$9:$C$108,0))),"")=D63))))),"Contract criteria review",IF(M63=J63,"Ready",IF(Q63="No","Grid fallback",IF(Q63="Yes",IF(AND(IFERROR(IF(INDEX('Factors'!$P$9:$P$108,MATCH(R63,'Factors'!$C$9:$C$108,0))="","",INDEX('Factors'!$P$9:$P$108,MATCH(R63,'Factors'!$C$9:$C$108,0))),"")="Ready",IFERROR(IF(INDEX('Factors'!$F$9:$F$108,MATCH(R63,'Factors'!$C$9:$C$108,0))="","",INDEX('Factors'!$F$9:$F$108,MATCH(R63,'Factors'!$C$9:$C$108,0))),"")="kWh",IFERROR(IF(INDEX('Factors'!$H$9:$H$108,MATCH(R63,'Factors'!$C$9:$C$108,0))="","",INDEX('Factors'!$H$9:$H$108,MATCH(R63,'Factors'!$C$9:$C$108,0))),"")="S2",IFERROR(IF(INDEX('Factors'!$I$9:$I$108,MATCH(R63,'Factors'!$C$9:$C$108,0))="","",INDEX('Factors'!$I$9:$I$108,MATCH(R63,'Factors'!$C$9:$C$108,0))),"")="Residual mix",IFERROR(IF(INDEX('Factors'!$J$9:$J$108,MATCH(R63,'Factors'!$C$9:$C$108,0))="","",INDEX('Factors'!$J$9:$J$108,MATCH(R63,'Factors'!$C$9:$C$108,0))),"")=G63,OR(IFERROR(IF(INDEX('Factors'!$E$9:$E$108,MATCH(R63,'Factors'!$C$9:$C$108,0))="","",INDEX('Factors'!$E$9:$E$108,MATCH(R63,'Factors'!$C$9:$C$108,0))),"")="Global",IFERROR(IF(INDEX('Factors'!$E$9:$E$108,MATCH(R63,'Factors'!$C$9:$C$108,0))="","",INDEX('Factors'!$E$9:$E$108,MATCH(R63,'Factors'!$C$9:$C$108,0))),"")=D63)),"Ready","Residual factor review"),"Residual availability review")))))))))))</x:f>
      </x:c>
      <x:c r="AA63" s="8"/>
      <x:c r="AB63" s="16"/>
      <x:c r="AC63" s="8"/>
    </x:row>
    <x:row r="64" ht="36" customHeight="1">
      <x:c r="A64" s="1"/>
      <x:c r="B64" s="1"/>
      <x:c r="C64" s="8"/>
      <x:c r="D64" s="8"/>
      <x:c r="E64" s="8"/>
      <x:c r="F64" s="8"/>
      <x:c r="G64" s="22"/>
      <x:c r="H64" s="16"/>
      <x:c r="I64" s="8"/>
      <x:c r="J64" s="16"/>
      <x:c r="K64" s="8"/>
      <x:c r="L64" s="8"/>
      <x:c r="M64" s="16"/>
      <x:c r="N64" s="8"/>
      <x:c r="O64" s="8"/>
      <x:c r="P64" s="8"/>
      <x:c r="Q64" s="8"/>
      <x:c r="R64" s="8"/>
      <x:c r="S64" s="8"/>
      <x:c r="T64" s="40"/>
      <x:c r="U64" s="23" t="str">
        <x:f>IF(X64="Ready",H64*IFERROR(IF(INDEX('Factors'!$G$9:$G$108,MATCH(I64,'Factors'!$C$9:$C$108,0))="","",INDEX('Factors'!$G$9:$G$108,MATCH(I64,'Factors'!$C$9:$C$108,0))),"")/1000+AB64,"")</x:f>
      </x:c>
      <x:c r="V64" s="23" t="str">
        <x:f>IF(Y64="Ready",J64*IFERROR(IF(INDEX('Factors'!$G$9:$G$108,MATCH(K64,'Factors'!$C$9:$C$108,0))="","",INDEX('Factors'!$G$9:$G$108,MATCH(K64,'Factors'!$C$9:$C$108,0))),"")/1000,"")</x:f>
      </x:c>
      <x:c r="W64" s="23" t="str">
        <x:f>IF(OR(Z64="Ready",Z64="Grid fallback"),(IF(M64&gt;0,M64*IFERROR(IF(INDEX('Factors'!$G$9:$G$108,MATCH(N64,'Factors'!$C$9:$C$108,0))="","",INDEX('Factors'!$G$9:$G$108,MATCH(N64,'Factors'!$C$9:$C$108,0))),""),0)+(J64-M64)*IF(M64=J64,0,IF(Q64="No",IFERROR(IF(INDEX('Factors'!$G$9:$G$108,MATCH(K64,'Factors'!$C$9:$C$108,0))="","",INDEX('Factors'!$G$9:$G$108,MATCH(K64,'Factors'!$C$9:$C$108,0))),""),IFERROR(IF(INDEX('Factors'!$G$9:$G$108,MATCH(R64,'Factors'!$C$9:$C$108,0))="","",INDEX('Factors'!$G$9:$G$108,MATCH(R64,'Factors'!$C$9:$C$108,0))),""))))/1000,"")</x:f>
      </x:c>
      <x:c r="X64" s="9" t="str">
        <x:f>IF(C64="","",IF(AND($D$6&lt;&gt;"Operational control",$D$6&lt;&gt;"Financial control"),"Control basis required",IF(F64="No","Outside control",IF(F64&lt;&gt;"Yes","Control review",IF(COUNTIFS($C$9:$C$108,C64)&lt;&gt;1,"Duplicate operation ID",IF(OR(S64="",NOT(ISNUMBER(T64)),T64&lt;'Settings'!$F$8,NOT(ISNUMBER(G64)),G64&lt;&gt;YEAR('Settings'!$F$8)),"Evidence / period review",IF(OR(NOT(ISNUMBER(H64)),H64&lt;0,AA64&lt;&gt;"Yes",NOT(ISNUMBER(AB64)),AB64&lt;0,AC64=""),"Activity required",IF(AND(IFERROR(IF(INDEX('Factors'!$P$9:$P$108,MATCH(I64,'Factors'!$C$9:$C$108,0))="","",INDEX('Factors'!$P$9:$P$108,MATCH(I64,'Factors'!$C$9:$C$108,0))),"")="Ready",IFERROR(IF(INDEX('Factors'!$F$9:$F$108,MATCH(I64,'Factors'!$C$9:$C$108,0))="","",INDEX('Factors'!$F$9:$F$108,MATCH(I64,'Factors'!$C$9:$C$108,0))),"")="litre",IFERROR(IF(INDEX('Factors'!$H$9:$H$108,MATCH(I64,'Factors'!$C$9:$C$108,0))="","",INDEX('Factors'!$H$9:$H$108,MATCH(I64,'Factors'!$C$9:$C$108,0))),"")="S1",IFERROR(IF(INDEX('Factors'!$I$9:$I$108,MATCH(I64,'Factors'!$C$9:$C$108,0))="","",INDEX('Factors'!$I$9:$I$108,MATCH(I64,'Factors'!$C$9:$C$108,0))),"")="Combustion",IFERROR(IF(INDEX('Factors'!$J$9:$J$108,MATCH(I64,'Factors'!$C$9:$C$108,0))="","",INDEX('Factors'!$J$9:$J$108,MATCH(I64,'Factors'!$C$9:$C$108,0))),"")=G64,OR(IFERROR(IF(INDEX('Factors'!$E$9:$E$108,MATCH(I64,'Factors'!$C$9:$C$108,0))="","",INDEX('Factors'!$E$9:$E$108,MATCH(I64,'Factors'!$C$9:$C$108,0))),"")="Global",IFERROR(IF(INDEX('Factors'!$E$9:$E$108,MATCH(I64,'Factors'!$C$9:$C$108,0))="","",INDEX('Factors'!$E$9:$E$108,MATCH(I64,'Factors'!$C$9:$C$108,0))),"")=D64)),"Ready","Factor / unit review"))))))))</x:f>
      </x:c>
      <x:c r="Y64" s="9" t="str">
        <x:f>IF(C64="","",IF(AND($D$6&lt;&gt;"Operational control",$D$6&lt;&gt;"Financial control"),"Control basis required",IF(F64="No","Outside control",IF(F64&lt;&gt;"Yes","Control review",IF(COUNTIFS($C$9:$C$108,C64)&lt;&gt;1,"Duplicate operation ID",IF(OR(S64="",NOT(ISNUMBER(T64)),T64&lt;'Settings'!$F$8,NOT(ISNUMBER(G64)),G64&lt;&gt;YEAR('Settings'!$F$8)),"Evidence / period review",IF(OR(NOT(ISNUMBER(J64)),J64&lt;0),"Activity required",IF(AND(IFERROR(IF(INDEX('Factors'!$P$9:$P$108,MATCH(K64,'Factors'!$C$9:$C$108,0))="","",INDEX('Factors'!$P$9:$P$108,MATCH(K64,'Factors'!$C$9:$C$108,0))),"")="Ready",IFERROR(IF(INDEX('Factors'!$F$9:$F$108,MATCH(K64,'Factors'!$C$9:$C$108,0))="","",INDEX('Factors'!$F$9:$F$108,MATCH(K64,'Factors'!$C$9:$C$108,0))),"")="kWh",IFERROR(IF(INDEX('Factors'!$H$9:$H$108,MATCH(K64,'Factors'!$C$9:$C$108,0))="","",INDEX('Factors'!$H$9:$H$108,MATCH(K64,'Factors'!$C$9:$C$108,0))),"")="S2",IFERROR(IF(INDEX('Factors'!$I$9:$I$108,MATCH(K64,'Factors'!$C$9:$C$108,0))="","",INDEX('Factors'!$I$9:$I$108,MATCH(K64,'Factors'!$C$9:$C$108,0))),"")="Location-based",IFERROR(IF(INDEX('Factors'!$J$9:$J$108,MATCH(K64,'Factors'!$C$9:$C$108,0))="","",INDEX('Factors'!$J$9:$J$108,MATCH(K64,'Factors'!$C$9:$C$108,0))),"")=G64,OR(IFERROR(IF(INDEX('Factors'!$E$9:$E$108,MATCH(K64,'Factors'!$C$9:$C$108,0))="","",INDEX('Factors'!$E$9:$E$108,MATCH(K64,'Factors'!$C$9:$C$108,0))),"")="Global",IFERROR(IF(INDEX('Factors'!$E$9:$E$108,MATCH(K64,'Factors'!$C$9:$C$108,0))="","",INDEX('Factors'!$E$9:$E$108,MATCH(K64,'Factors'!$C$9:$C$108,0))),"")=D64)),"Ready","Factor / unit review"))))))))</x:f>
      </x:c>
      <x:c r="Z64" s="9" t="str">
        <x:f>IF(C64="","",IF(F64="No","Outside control",IF(F64&lt;&gt;"Yes","Control review",IF($H$6="No","Not required",IF($H$6&lt;&gt;"Yes","Applicability review",IF(Y64&lt;&gt;"Ready",Y64,IF(OR(NOT(ISNUMBER(M64)),M64&lt;0,M64&gt;J64),"Contract quantity review",IF(AND(M64&gt;0,OR(O64&lt;&gt;"Pass",P64="",NOT(AND(IFERROR(IF(INDEX('Factors'!$P$9:$P$108,MATCH(N64,'Factors'!$C$9:$C$108,0))="","",INDEX('Factors'!$P$9:$P$108,MATCH(N64,'Factors'!$C$9:$C$108,0))),"")="Ready",IFERROR(IF(INDEX('Factors'!$F$9:$F$108,MATCH(N64,'Factors'!$C$9:$C$108,0))="","",INDEX('Factors'!$F$9:$F$108,MATCH(N64,'Factors'!$C$9:$C$108,0))),"")="kWh",IFERROR(IF(INDEX('Factors'!$H$9:$H$108,MATCH(N64,'Factors'!$C$9:$C$108,0))="","",INDEX('Factors'!$H$9:$H$108,MATCH(N64,'Factors'!$C$9:$C$108,0))),"")="S2",IFERROR(IF(INDEX('Factors'!$I$9:$I$108,MATCH(N64,'Factors'!$C$9:$C$108,0))="","",INDEX('Factors'!$I$9:$I$108,MATCH(N64,'Factors'!$C$9:$C$108,0))),"")="Market-based",IFERROR(IF(INDEX('Factors'!$J$9:$J$108,MATCH(N64,'Factors'!$C$9:$C$108,0))="","",INDEX('Factors'!$J$9:$J$108,MATCH(N64,'Factors'!$C$9:$C$108,0))),"")=G64,OR(IFERROR(IF(INDEX('Factors'!$E$9:$E$108,MATCH(N64,'Factors'!$C$9:$C$108,0))="","",INDEX('Factors'!$E$9:$E$108,MATCH(N64,'Factors'!$C$9:$C$108,0))),"")="Global",IFERROR(IF(INDEX('Factors'!$E$9:$E$108,MATCH(N64,'Factors'!$C$9:$C$108,0))="","",INDEX('Factors'!$E$9:$E$108,MATCH(N64,'Factors'!$C$9:$C$108,0))),"")=D64))))),"Contract criteria review",IF(M64=J64,"Ready",IF(Q64="No","Grid fallback",IF(Q64="Yes",IF(AND(IFERROR(IF(INDEX('Factors'!$P$9:$P$108,MATCH(R64,'Factors'!$C$9:$C$108,0))="","",INDEX('Factors'!$P$9:$P$108,MATCH(R64,'Factors'!$C$9:$C$108,0))),"")="Ready",IFERROR(IF(INDEX('Factors'!$F$9:$F$108,MATCH(R64,'Factors'!$C$9:$C$108,0))="","",INDEX('Factors'!$F$9:$F$108,MATCH(R64,'Factors'!$C$9:$C$108,0))),"")="kWh",IFERROR(IF(INDEX('Factors'!$H$9:$H$108,MATCH(R64,'Factors'!$C$9:$C$108,0))="","",INDEX('Factors'!$H$9:$H$108,MATCH(R64,'Factors'!$C$9:$C$108,0))),"")="S2",IFERROR(IF(INDEX('Factors'!$I$9:$I$108,MATCH(R64,'Factors'!$C$9:$C$108,0))="","",INDEX('Factors'!$I$9:$I$108,MATCH(R64,'Factors'!$C$9:$C$108,0))),"")="Residual mix",IFERROR(IF(INDEX('Factors'!$J$9:$J$108,MATCH(R64,'Factors'!$C$9:$C$108,0))="","",INDEX('Factors'!$J$9:$J$108,MATCH(R64,'Factors'!$C$9:$C$108,0))),"")=G64,OR(IFERROR(IF(INDEX('Factors'!$E$9:$E$108,MATCH(R64,'Factors'!$C$9:$C$108,0))="","",INDEX('Factors'!$E$9:$E$108,MATCH(R64,'Factors'!$C$9:$C$108,0))),"")="Global",IFERROR(IF(INDEX('Factors'!$E$9:$E$108,MATCH(R64,'Factors'!$C$9:$C$108,0))="","",INDEX('Factors'!$E$9:$E$108,MATCH(R64,'Factors'!$C$9:$C$108,0))),"")=D64)),"Ready","Residual factor review"),"Residual availability review")))))))))))</x:f>
      </x:c>
      <x:c r="AA64" s="8"/>
      <x:c r="AB64" s="16"/>
      <x:c r="AC64" s="8"/>
    </x:row>
    <x:row r="65" ht="36" customHeight="1">
      <x:c r="A65" s="1"/>
      <x:c r="B65" s="1"/>
      <x:c r="C65" s="8"/>
      <x:c r="D65" s="8"/>
      <x:c r="E65" s="8"/>
      <x:c r="F65" s="8"/>
      <x:c r="G65" s="22"/>
      <x:c r="H65" s="16"/>
      <x:c r="I65" s="8"/>
      <x:c r="J65" s="16"/>
      <x:c r="K65" s="8"/>
      <x:c r="L65" s="8"/>
      <x:c r="M65" s="16"/>
      <x:c r="N65" s="8"/>
      <x:c r="O65" s="8"/>
      <x:c r="P65" s="8"/>
      <x:c r="Q65" s="8"/>
      <x:c r="R65" s="8"/>
      <x:c r="S65" s="8"/>
      <x:c r="T65" s="40"/>
      <x:c r="U65" s="23" t="str">
        <x:f>IF(X65="Ready",H65*IFERROR(IF(INDEX('Factors'!$G$9:$G$108,MATCH(I65,'Factors'!$C$9:$C$108,0))="","",INDEX('Factors'!$G$9:$G$108,MATCH(I65,'Factors'!$C$9:$C$108,0))),"")/1000+AB65,"")</x:f>
      </x:c>
      <x:c r="V65" s="23" t="str">
        <x:f>IF(Y65="Ready",J65*IFERROR(IF(INDEX('Factors'!$G$9:$G$108,MATCH(K65,'Factors'!$C$9:$C$108,0))="","",INDEX('Factors'!$G$9:$G$108,MATCH(K65,'Factors'!$C$9:$C$108,0))),"")/1000,"")</x:f>
      </x:c>
      <x:c r="W65" s="23" t="str">
        <x:f>IF(OR(Z65="Ready",Z65="Grid fallback"),(IF(M65&gt;0,M65*IFERROR(IF(INDEX('Factors'!$G$9:$G$108,MATCH(N65,'Factors'!$C$9:$C$108,0))="","",INDEX('Factors'!$G$9:$G$108,MATCH(N65,'Factors'!$C$9:$C$108,0))),""),0)+(J65-M65)*IF(M65=J65,0,IF(Q65="No",IFERROR(IF(INDEX('Factors'!$G$9:$G$108,MATCH(K65,'Factors'!$C$9:$C$108,0))="","",INDEX('Factors'!$G$9:$G$108,MATCH(K65,'Factors'!$C$9:$C$108,0))),""),IFERROR(IF(INDEX('Factors'!$G$9:$G$108,MATCH(R65,'Factors'!$C$9:$C$108,0))="","",INDEX('Factors'!$G$9:$G$108,MATCH(R65,'Factors'!$C$9:$C$108,0))),""))))/1000,"")</x:f>
      </x:c>
      <x:c r="X65" s="9" t="str">
        <x:f>IF(C65="","",IF(AND($D$6&lt;&gt;"Operational control",$D$6&lt;&gt;"Financial control"),"Control basis required",IF(F65="No","Outside control",IF(F65&lt;&gt;"Yes","Control review",IF(COUNTIFS($C$9:$C$108,C65)&lt;&gt;1,"Duplicate operation ID",IF(OR(S65="",NOT(ISNUMBER(T65)),T65&lt;'Settings'!$F$8,NOT(ISNUMBER(G65)),G65&lt;&gt;YEAR('Settings'!$F$8)),"Evidence / period review",IF(OR(NOT(ISNUMBER(H65)),H65&lt;0,AA65&lt;&gt;"Yes",NOT(ISNUMBER(AB65)),AB65&lt;0,AC65=""),"Activity required",IF(AND(IFERROR(IF(INDEX('Factors'!$P$9:$P$108,MATCH(I65,'Factors'!$C$9:$C$108,0))="","",INDEX('Factors'!$P$9:$P$108,MATCH(I65,'Factors'!$C$9:$C$108,0))),"")="Ready",IFERROR(IF(INDEX('Factors'!$F$9:$F$108,MATCH(I65,'Factors'!$C$9:$C$108,0))="","",INDEX('Factors'!$F$9:$F$108,MATCH(I65,'Factors'!$C$9:$C$108,0))),"")="litre",IFERROR(IF(INDEX('Factors'!$H$9:$H$108,MATCH(I65,'Factors'!$C$9:$C$108,0))="","",INDEX('Factors'!$H$9:$H$108,MATCH(I65,'Factors'!$C$9:$C$108,0))),"")="S1",IFERROR(IF(INDEX('Factors'!$I$9:$I$108,MATCH(I65,'Factors'!$C$9:$C$108,0))="","",INDEX('Factors'!$I$9:$I$108,MATCH(I65,'Factors'!$C$9:$C$108,0))),"")="Combustion",IFERROR(IF(INDEX('Factors'!$J$9:$J$108,MATCH(I65,'Factors'!$C$9:$C$108,0))="","",INDEX('Factors'!$J$9:$J$108,MATCH(I65,'Factors'!$C$9:$C$108,0))),"")=G65,OR(IFERROR(IF(INDEX('Factors'!$E$9:$E$108,MATCH(I65,'Factors'!$C$9:$C$108,0))="","",INDEX('Factors'!$E$9:$E$108,MATCH(I65,'Factors'!$C$9:$C$108,0))),"")="Global",IFERROR(IF(INDEX('Factors'!$E$9:$E$108,MATCH(I65,'Factors'!$C$9:$C$108,0))="","",INDEX('Factors'!$E$9:$E$108,MATCH(I65,'Factors'!$C$9:$C$108,0))),"")=D65)),"Ready","Factor / unit review"))))))))</x:f>
      </x:c>
      <x:c r="Y65" s="9" t="str">
        <x:f>IF(C65="","",IF(AND($D$6&lt;&gt;"Operational control",$D$6&lt;&gt;"Financial control"),"Control basis required",IF(F65="No","Outside control",IF(F65&lt;&gt;"Yes","Control review",IF(COUNTIFS($C$9:$C$108,C65)&lt;&gt;1,"Duplicate operation ID",IF(OR(S65="",NOT(ISNUMBER(T65)),T65&lt;'Settings'!$F$8,NOT(ISNUMBER(G65)),G65&lt;&gt;YEAR('Settings'!$F$8)),"Evidence / period review",IF(OR(NOT(ISNUMBER(J65)),J65&lt;0),"Activity required",IF(AND(IFERROR(IF(INDEX('Factors'!$P$9:$P$108,MATCH(K65,'Factors'!$C$9:$C$108,0))="","",INDEX('Factors'!$P$9:$P$108,MATCH(K65,'Factors'!$C$9:$C$108,0))),"")="Ready",IFERROR(IF(INDEX('Factors'!$F$9:$F$108,MATCH(K65,'Factors'!$C$9:$C$108,0))="","",INDEX('Factors'!$F$9:$F$108,MATCH(K65,'Factors'!$C$9:$C$108,0))),"")="kWh",IFERROR(IF(INDEX('Factors'!$H$9:$H$108,MATCH(K65,'Factors'!$C$9:$C$108,0))="","",INDEX('Factors'!$H$9:$H$108,MATCH(K65,'Factors'!$C$9:$C$108,0))),"")="S2",IFERROR(IF(INDEX('Factors'!$I$9:$I$108,MATCH(K65,'Factors'!$C$9:$C$108,0))="","",INDEX('Factors'!$I$9:$I$108,MATCH(K65,'Factors'!$C$9:$C$108,0))),"")="Location-based",IFERROR(IF(INDEX('Factors'!$J$9:$J$108,MATCH(K65,'Factors'!$C$9:$C$108,0))="","",INDEX('Factors'!$J$9:$J$108,MATCH(K65,'Factors'!$C$9:$C$108,0))),"")=G65,OR(IFERROR(IF(INDEX('Factors'!$E$9:$E$108,MATCH(K65,'Factors'!$C$9:$C$108,0))="","",INDEX('Factors'!$E$9:$E$108,MATCH(K65,'Factors'!$C$9:$C$108,0))),"")="Global",IFERROR(IF(INDEX('Factors'!$E$9:$E$108,MATCH(K65,'Factors'!$C$9:$C$108,0))="","",INDEX('Factors'!$E$9:$E$108,MATCH(K65,'Factors'!$C$9:$C$108,0))),"")=D65)),"Ready","Factor / unit review"))))))))</x:f>
      </x:c>
      <x:c r="Z65" s="9" t="str">
        <x:f>IF(C65="","",IF(F65="No","Outside control",IF(F65&lt;&gt;"Yes","Control review",IF($H$6="No","Not required",IF($H$6&lt;&gt;"Yes","Applicability review",IF(Y65&lt;&gt;"Ready",Y65,IF(OR(NOT(ISNUMBER(M65)),M65&lt;0,M65&gt;J65),"Contract quantity review",IF(AND(M65&gt;0,OR(O65&lt;&gt;"Pass",P65="",NOT(AND(IFERROR(IF(INDEX('Factors'!$P$9:$P$108,MATCH(N65,'Factors'!$C$9:$C$108,0))="","",INDEX('Factors'!$P$9:$P$108,MATCH(N65,'Factors'!$C$9:$C$108,0))),"")="Ready",IFERROR(IF(INDEX('Factors'!$F$9:$F$108,MATCH(N65,'Factors'!$C$9:$C$108,0))="","",INDEX('Factors'!$F$9:$F$108,MATCH(N65,'Factors'!$C$9:$C$108,0))),"")="kWh",IFERROR(IF(INDEX('Factors'!$H$9:$H$108,MATCH(N65,'Factors'!$C$9:$C$108,0))="","",INDEX('Factors'!$H$9:$H$108,MATCH(N65,'Factors'!$C$9:$C$108,0))),"")="S2",IFERROR(IF(INDEX('Factors'!$I$9:$I$108,MATCH(N65,'Factors'!$C$9:$C$108,0))="","",INDEX('Factors'!$I$9:$I$108,MATCH(N65,'Factors'!$C$9:$C$108,0))),"")="Market-based",IFERROR(IF(INDEX('Factors'!$J$9:$J$108,MATCH(N65,'Factors'!$C$9:$C$108,0))="","",INDEX('Factors'!$J$9:$J$108,MATCH(N65,'Factors'!$C$9:$C$108,0))),"")=G65,OR(IFERROR(IF(INDEX('Factors'!$E$9:$E$108,MATCH(N65,'Factors'!$C$9:$C$108,0))="","",INDEX('Factors'!$E$9:$E$108,MATCH(N65,'Factors'!$C$9:$C$108,0))),"")="Global",IFERROR(IF(INDEX('Factors'!$E$9:$E$108,MATCH(N65,'Factors'!$C$9:$C$108,0))="","",INDEX('Factors'!$E$9:$E$108,MATCH(N65,'Factors'!$C$9:$C$108,0))),"")=D65))))),"Contract criteria review",IF(M65=J65,"Ready",IF(Q65="No","Grid fallback",IF(Q65="Yes",IF(AND(IFERROR(IF(INDEX('Factors'!$P$9:$P$108,MATCH(R65,'Factors'!$C$9:$C$108,0))="","",INDEX('Factors'!$P$9:$P$108,MATCH(R65,'Factors'!$C$9:$C$108,0))),"")="Ready",IFERROR(IF(INDEX('Factors'!$F$9:$F$108,MATCH(R65,'Factors'!$C$9:$C$108,0))="","",INDEX('Factors'!$F$9:$F$108,MATCH(R65,'Factors'!$C$9:$C$108,0))),"")="kWh",IFERROR(IF(INDEX('Factors'!$H$9:$H$108,MATCH(R65,'Factors'!$C$9:$C$108,0))="","",INDEX('Factors'!$H$9:$H$108,MATCH(R65,'Factors'!$C$9:$C$108,0))),"")="S2",IFERROR(IF(INDEX('Factors'!$I$9:$I$108,MATCH(R65,'Factors'!$C$9:$C$108,0))="","",INDEX('Factors'!$I$9:$I$108,MATCH(R65,'Factors'!$C$9:$C$108,0))),"")="Residual mix",IFERROR(IF(INDEX('Factors'!$J$9:$J$108,MATCH(R65,'Factors'!$C$9:$C$108,0))="","",INDEX('Factors'!$J$9:$J$108,MATCH(R65,'Factors'!$C$9:$C$108,0))),"")=G65,OR(IFERROR(IF(INDEX('Factors'!$E$9:$E$108,MATCH(R65,'Factors'!$C$9:$C$108,0))="","",INDEX('Factors'!$E$9:$E$108,MATCH(R65,'Factors'!$C$9:$C$108,0))),"")="Global",IFERROR(IF(INDEX('Factors'!$E$9:$E$108,MATCH(R65,'Factors'!$C$9:$C$108,0))="","",INDEX('Factors'!$E$9:$E$108,MATCH(R65,'Factors'!$C$9:$C$108,0))),"")=D65)),"Ready","Residual factor review"),"Residual availability review")))))))))))</x:f>
      </x:c>
      <x:c r="AA65" s="8"/>
      <x:c r="AB65" s="16"/>
      <x:c r="AC65" s="8"/>
    </x:row>
    <x:row r="66" ht="36" customHeight="1">
      <x:c r="A66" s="1"/>
      <x:c r="B66" s="1"/>
      <x:c r="C66" s="8"/>
      <x:c r="D66" s="8"/>
      <x:c r="E66" s="8"/>
      <x:c r="F66" s="8"/>
      <x:c r="G66" s="22"/>
      <x:c r="H66" s="16"/>
      <x:c r="I66" s="8"/>
      <x:c r="J66" s="16"/>
      <x:c r="K66" s="8"/>
      <x:c r="L66" s="8"/>
      <x:c r="M66" s="16"/>
      <x:c r="N66" s="8"/>
      <x:c r="O66" s="8"/>
      <x:c r="P66" s="8"/>
      <x:c r="Q66" s="8"/>
      <x:c r="R66" s="8"/>
      <x:c r="S66" s="8"/>
      <x:c r="T66" s="40"/>
      <x:c r="U66" s="23" t="str">
        <x:f>IF(X66="Ready",H66*IFERROR(IF(INDEX('Factors'!$G$9:$G$108,MATCH(I66,'Factors'!$C$9:$C$108,0))="","",INDEX('Factors'!$G$9:$G$108,MATCH(I66,'Factors'!$C$9:$C$108,0))),"")/1000+AB66,"")</x:f>
      </x:c>
      <x:c r="V66" s="23" t="str">
        <x:f>IF(Y66="Ready",J66*IFERROR(IF(INDEX('Factors'!$G$9:$G$108,MATCH(K66,'Factors'!$C$9:$C$108,0))="","",INDEX('Factors'!$G$9:$G$108,MATCH(K66,'Factors'!$C$9:$C$108,0))),"")/1000,"")</x:f>
      </x:c>
      <x:c r="W66" s="23" t="str">
        <x:f>IF(OR(Z66="Ready",Z66="Grid fallback"),(IF(M66&gt;0,M66*IFERROR(IF(INDEX('Factors'!$G$9:$G$108,MATCH(N66,'Factors'!$C$9:$C$108,0))="","",INDEX('Factors'!$G$9:$G$108,MATCH(N66,'Factors'!$C$9:$C$108,0))),""),0)+(J66-M66)*IF(M66=J66,0,IF(Q66="No",IFERROR(IF(INDEX('Factors'!$G$9:$G$108,MATCH(K66,'Factors'!$C$9:$C$108,0))="","",INDEX('Factors'!$G$9:$G$108,MATCH(K66,'Factors'!$C$9:$C$108,0))),""),IFERROR(IF(INDEX('Factors'!$G$9:$G$108,MATCH(R66,'Factors'!$C$9:$C$108,0))="","",INDEX('Factors'!$G$9:$G$108,MATCH(R66,'Factors'!$C$9:$C$108,0))),""))))/1000,"")</x:f>
      </x:c>
      <x:c r="X66" s="9" t="str">
        <x:f>IF(C66="","",IF(AND($D$6&lt;&gt;"Operational control",$D$6&lt;&gt;"Financial control"),"Control basis required",IF(F66="No","Outside control",IF(F66&lt;&gt;"Yes","Control review",IF(COUNTIFS($C$9:$C$108,C66)&lt;&gt;1,"Duplicate operation ID",IF(OR(S66="",NOT(ISNUMBER(T66)),T66&lt;'Settings'!$F$8,NOT(ISNUMBER(G66)),G66&lt;&gt;YEAR('Settings'!$F$8)),"Evidence / period review",IF(OR(NOT(ISNUMBER(H66)),H66&lt;0,AA66&lt;&gt;"Yes",NOT(ISNUMBER(AB66)),AB66&lt;0,AC66=""),"Activity required",IF(AND(IFERROR(IF(INDEX('Factors'!$P$9:$P$108,MATCH(I66,'Factors'!$C$9:$C$108,0))="","",INDEX('Factors'!$P$9:$P$108,MATCH(I66,'Factors'!$C$9:$C$108,0))),"")="Ready",IFERROR(IF(INDEX('Factors'!$F$9:$F$108,MATCH(I66,'Factors'!$C$9:$C$108,0))="","",INDEX('Factors'!$F$9:$F$108,MATCH(I66,'Factors'!$C$9:$C$108,0))),"")="litre",IFERROR(IF(INDEX('Factors'!$H$9:$H$108,MATCH(I66,'Factors'!$C$9:$C$108,0))="","",INDEX('Factors'!$H$9:$H$108,MATCH(I66,'Factors'!$C$9:$C$108,0))),"")="S1",IFERROR(IF(INDEX('Factors'!$I$9:$I$108,MATCH(I66,'Factors'!$C$9:$C$108,0))="","",INDEX('Factors'!$I$9:$I$108,MATCH(I66,'Factors'!$C$9:$C$108,0))),"")="Combustion",IFERROR(IF(INDEX('Factors'!$J$9:$J$108,MATCH(I66,'Factors'!$C$9:$C$108,0))="","",INDEX('Factors'!$J$9:$J$108,MATCH(I66,'Factors'!$C$9:$C$108,0))),"")=G66,OR(IFERROR(IF(INDEX('Factors'!$E$9:$E$108,MATCH(I66,'Factors'!$C$9:$C$108,0))="","",INDEX('Factors'!$E$9:$E$108,MATCH(I66,'Factors'!$C$9:$C$108,0))),"")="Global",IFERROR(IF(INDEX('Factors'!$E$9:$E$108,MATCH(I66,'Factors'!$C$9:$C$108,0))="","",INDEX('Factors'!$E$9:$E$108,MATCH(I66,'Factors'!$C$9:$C$108,0))),"")=D66)),"Ready","Factor / unit review"))))))))</x:f>
      </x:c>
      <x:c r="Y66" s="9" t="str">
        <x:f>IF(C66="","",IF(AND($D$6&lt;&gt;"Operational control",$D$6&lt;&gt;"Financial control"),"Control basis required",IF(F66="No","Outside control",IF(F66&lt;&gt;"Yes","Control review",IF(COUNTIFS($C$9:$C$108,C66)&lt;&gt;1,"Duplicate operation ID",IF(OR(S66="",NOT(ISNUMBER(T66)),T66&lt;'Settings'!$F$8,NOT(ISNUMBER(G66)),G66&lt;&gt;YEAR('Settings'!$F$8)),"Evidence / period review",IF(OR(NOT(ISNUMBER(J66)),J66&lt;0),"Activity required",IF(AND(IFERROR(IF(INDEX('Factors'!$P$9:$P$108,MATCH(K66,'Factors'!$C$9:$C$108,0))="","",INDEX('Factors'!$P$9:$P$108,MATCH(K66,'Factors'!$C$9:$C$108,0))),"")="Ready",IFERROR(IF(INDEX('Factors'!$F$9:$F$108,MATCH(K66,'Factors'!$C$9:$C$108,0))="","",INDEX('Factors'!$F$9:$F$108,MATCH(K66,'Factors'!$C$9:$C$108,0))),"")="kWh",IFERROR(IF(INDEX('Factors'!$H$9:$H$108,MATCH(K66,'Factors'!$C$9:$C$108,0))="","",INDEX('Factors'!$H$9:$H$108,MATCH(K66,'Factors'!$C$9:$C$108,0))),"")="S2",IFERROR(IF(INDEX('Factors'!$I$9:$I$108,MATCH(K66,'Factors'!$C$9:$C$108,0))="","",INDEX('Factors'!$I$9:$I$108,MATCH(K66,'Factors'!$C$9:$C$108,0))),"")="Location-based",IFERROR(IF(INDEX('Factors'!$J$9:$J$108,MATCH(K66,'Factors'!$C$9:$C$108,0))="","",INDEX('Factors'!$J$9:$J$108,MATCH(K66,'Factors'!$C$9:$C$108,0))),"")=G66,OR(IFERROR(IF(INDEX('Factors'!$E$9:$E$108,MATCH(K66,'Factors'!$C$9:$C$108,0))="","",INDEX('Factors'!$E$9:$E$108,MATCH(K66,'Factors'!$C$9:$C$108,0))),"")="Global",IFERROR(IF(INDEX('Factors'!$E$9:$E$108,MATCH(K66,'Factors'!$C$9:$C$108,0))="","",INDEX('Factors'!$E$9:$E$108,MATCH(K66,'Factors'!$C$9:$C$108,0))),"")=D66)),"Ready","Factor / unit review"))))))))</x:f>
      </x:c>
      <x:c r="Z66" s="9" t="str">
        <x:f>IF(C66="","",IF(F66="No","Outside control",IF(F66&lt;&gt;"Yes","Control review",IF($H$6="No","Not required",IF($H$6&lt;&gt;"Yes","Applicability review",IF(Y66&lt;&gt;"Ready",Y66,IF(OR(NOT(ISNUMBER(M66)),M66&lt;0,M66&gt;J66),"Contract quantity review",IF(AND(M66&gt;0,OR(O66&lt;&gt;"Pass",P66="",NOT(AND(IFERROR(IF(INDEX('Factors'!$P$9:$P$108,MATCH(N66,'Factors'!$C$9:$C$108,0))="","",INDEX('Factors'!$P$9:$P$108,MATCH(N66,'Factors'!$C$9:$C$108,0))),"")="Ready",IFERROR(IF(INDEX('Factors'!$F$9:$F$108,MATCH(N66,'Factors'!$C$9:$C$108,0))="","",INDEX('Factors'!$F$9:$F$108,MATCH(N66,'Factors'!$C$9:$C$108,0))),"")="kWh",IFERROR(IF(INDEX('Factors'!$H$9:$H$108,MATCH(N66,'Factors'!$C$9:$C$108,0))="","",INDEX('Factors'!$H$9:$H$108,MATCH(N66,'Factors'!$C$9:$C$108,0))),"")="S2",IFERROR(IF(INDEX('Factors'!$I$9:$I$108,MATCH(N66,'Factors'!$C$9:$C$108,0))="","",INDEX('Factors'!$I$9:$I$108,MATCH(N66,'Factors'!$C$9:$C$108,0))),"")="Market-based",IFERROR(IF(INDEX('Factors'!$J$9:$J$108,MATCH(N66,'Factors'!$C$9:$C$108,0))="","",INDEX('Factors'!$J$9:$J$108,MATCH(N66,'Factors'!$C$9:$C$108,0))),"")=G66,OR(IFERROR(IF(INDEX('Factors'!$E$9:$E$108,MATCH(N66,'Factors'!$C$9:$C$108,0))="","",INDEX('Factors'!$E$9:$E$108,MATCH(N66,'Factors'!$C$9:$C$108,0))),"")="Global",IFERROR(IF(INDEX('Factors'!$E$9:$E$108,MATCH(N66,'Factors'!$C$9:$C$108,0))="","",INDEX('Factors'!$E$9:$E$108,MATCH(N66,'Factors'!$C$9:$C$108,0))),"")=D66))))),"Contract criteria review",IF(M66=J66,"Ready",IF(Q66="No","Grid fallback",IF(Q66="Yes",IF(AND(IFERROR(IF(INDEX('Factors'!$P$9:$P$108,MATCH(R66,'Factors'!$C$9:$C$108,0))="","",INDEX('Factors'!$P$9:$P$108,MATCH(R66,'Factors'!$C$9:$C$108,0))),"")="Ready",IFERROR(IF(INDEX('Factors'!$F$9:$F$108,MATCH(R66,'Factors'!$C$9:$C$108,0))="","",INDEX('Factors'!$F$9:$F$108,MATCH(R66,'Factors'!$C$9:$C$108,0))),"")="kWh",IFERROR(IF(INDEX('Factors'!$H$9:$H$108,MATCH(R66,'Factors'!$C$9:$C$108,0))="","",INDEX('Factors'!$H$9:$H$108,MATCH(R66,'Factors'!$C$9:$C$108,0))),"")="S2",IFERROR(IF(INDEX('Factors'!$I$9:$I$108,MATCH(R66,'Factors'!$C$9:$C$108,0))="","",INDEX('Factors'!$I$9:$I$108,MATCH(R66,'Factors'!$C$9:$C$108,0))),"")="Residual mix",IFERROR(IF(INDEX('Factors'!$J$9:$J$108,MATCH(R66,'Factors'!$C$9:$C$108,0))="","",INDEX('Factors'!$J$9:$J$108,MATCH(R66,'Factors'!$C$9:$C$108,0))),"")=G66,OR(IFERROR(IF(INDEX('Factors'!$E$9:$E$108,MATCH(R66,'Factors'!$C$9:$C$108,0))="","",INDEX('Factors'!$E$9:$E$108,MATCH(R66,'Factors'!$C$9:$C$108,0))),"")="Global",IFERROR(IF(INDEX('Factors'!$E$9:$E$108,MATCH(R66,'Factors'!$C$9:$C$108,0))="","",INDEX('Factors'!$E$9:$E$108,MATCH(R66,'Factors'!$C$9:$C$108,0))),"")=D66)),"Ready","Residual factor review"),"Residual availability review")))))))))))</x:f>
      </x:c>
      <x:c r="AA66" s="8"/>
      <x:c r="AB66" s="16"/>
      <x:c r="AC66" s="8"/>
    </x:row>
    <x:row r="67" ht="36" customHeight="1">
      <x:c r="A67" s="1"/>
      <x:c r="B67" s="1"/>
      <x:c r="C67" s="8"/>
      <x:c r="D67" s="8"/>
      <x:c r="E67" s="8"/>
      <x:c r="F67" s="8"/>
      <x:c r="G67" s="22"/>
      <x:c r="H67" s="16"/>
      <x:c r="I67" s="8"/>
      <x:c r="J67" s="16"/>
      <x:c r="K67" s="8"/>
      <x:c r="L67" s="8"/>
      <x:c r="M67" s="16"/>
      <x:c r="N67" s="8"/>
      <x:c r="O67" s="8"/>
      <x:c r="P67" s="8"/>
      <x:c r="Q67" s="8"/>
      <x:c r="R67" s="8"/>
      <x:c r="S67" s="8"/>
      <x:c r="T67" s="40"/>
      <x:c r="U67" s="23" t="str">
        <x:f>IF(X67="Ready",H67*IFERROR(IF(INDEX('Factors'!$G$9:$G$108,MATCH(I67,'Factors'!$C$9:$C$108,0))="","",INDEX('Factors'!$G$9:$G$108,MATCH(I67,'Factors'!$C$9:$C$108,0))),"")/1000+AB67,"")</x:f>
      </x:c>
      <x:c r="V67" s="23" t="str">
        <x:f>IF(Y67="Ready",J67*IFERROR(IF(INDEX('Factors'!$G$9:$G$108,MATCH(K67,'Factors'!$C$9:$C$108,0))="","",INDEX('Factors'!$G$9:$G$108,MATCH(K67,'Factors'!$C$9:$C$108,0))),"")/1000,"")</x:f>
      </x:c>
      <x:c r="W67" s="23" t="str">
        <x:f>IF(OR(Z67="Ready",Z67="Grid fallback"),(IF(M67&gt;0,M67*IFERROR(IF(INDEX('Factors'!$G$9:$G$108,MATCH(N67,'Factors'!$C$9:$C$108,0))="","",INDEX('Factors'!$G$9:$G$108,MATCH(N67,'Factors'!$C$9:$C$108,0))),""),0)+(J67-M67)*IF(M67=J67,0,IF(Q67="No",IFERROR(IF(INDEX('Factors'!$G$9:$G$108,MATCH(K67,'Factors'!$C$9:$C$108,0))="","",INDEX('Factors'!$G$9:$G$108,MATCH(K67,'Factors'!$C$9:$C$108,0))),""),IFERROR(IF(INDEX('Factors'!$G$9:$G$108,MATCH(R67,'Factors'!$C$9:$C$108,0))="","",INDEX('Factors'!$G$9:$G$108,MATCH(R67,'Factors'!$C$9:$C$108,0))),""))))/1000,"")</x:f>
      </x:c>
      <x:c r="X67" s="9" t="str">
        <x:f>IF(C67="","",IF(AND($D$6&lt;&gt;"Operational control",$D$6&lt;&gt;"Financial control"),"Control basis required",IF(F67="No","Outside control",IF(F67&lt;&gt;"Yes","Control review",IF(COUNTIFS($C$9:$C$108,C67)&lt;&gt;1,"Duplicate operation ID",IF(OR(S67="",NOT(ISNUMBER(T67)),T67&lt;'Settings'!$F$8,NOT(ISNUMBER(G67)),G67&lt;&gt;YEAR('Settings'!$F$8)),"Evidence / period review",IF(OR(NOT(ISNUMBER(H67)),H67&lt;0,AA67&lt;&gt;"Yes",NOT(ISNUMBER(AB67)),AB67&lt;0,AC67=""),"Activity required",IF(AND(IFERROR(IF(INDEX('Factors'!$P$9:$P$108,MATCH(I67,'Factors'!$C$9:$C$108,0))="","",INDEX('Factors'!$P$9:$P$108,MATCH(I67,'Factors'!$C$9:$C$108,0))),"")="Ready",IFERROR(IF(INDEX('Factors'!$F$9:$F$108,MATCH(I67,'Factors'!$C$9:$C$108,0))="","",INDEX('Factors'!$F$9:$F$108,MATCH(I67,'Factors'!$C$9:$C$108,0))),"")="litre",IFERROR(IF(INDEX('Factors'!$H$9:$H$108,MATCH(I67,'Factors'!$C$9:$C$108,0))="","",INDEX('Factors'!$H$9:$H$108,MATCH(I67,'Factors'!$C$9:$C$108,0))),"")="S1",IFERROR(IF(INDEX('Factors'!$I$9:$I$108,MATCH(I67,'Factors'!$C$9:$C$108,0))="","",INDEX('Factors'!$I$9:$I$108,MATCH(I67,'Factors'!$C$9:$C$108,0))),"")="Combustion",IFERROR(IF(INDEX('Factors'!$J$9:$J$108,MATCH(I67,'Factors'!$C$9:$C$108,0))="","",INDEX('Factors'!$J$9:$J$108,MATCH(I67,'Factors'!$C$9:$C$108,0))),"")=G67,OR(IFERROR(IF(INDEX('Factors'!$E$9:$E$108,MATCH(I67,'Factors'!$C$9:$C$108,0))="","",INDEX('Factors'!$E$9:$E$108,MATCH(I67,'Factors'!$C$9:$C$108,0))),"")="Global",IFERROR(IF(INDEX('Factors'!$E$9:$E$108,MATCH(I67,'Factors'!$C$9:$C$108,0))="","",INDEX('Factors'!$E$9:$E$108,MATCH(I67,'Factors'!$C$9:$C$108,0))),"")=D67)),"Ready","Factor / unit review"))))))))</x:f>
      </x:c>
      <x:c r="Y67" s="9" t="str">
        <x:f>IF(C67="","",IF(AND($D$6&lt;&gt;"Operational control",$D$6&lt;&gt;"Financial control"),"Control basis required",IF(F67="No","Outside control",IF(F67&lt;&gt;"Yes","Control review",IF(COUNTIFS($C$9:$C$108,C67)&lt;&gt;1,"Duplicate operation ID",IF(OR(S67="",NOT(ISNUMBER(T67)),T67&lt;'Settings'!$F$8,NOT(ISNUMBER(G67)),G67&lt;&gt;YEAR('Settings'!$F$8)),"Evidence / period review",IF(OR(NOT(ISNUMBER(J67)),J67&lt;0),"Activity required",IF(AND(IFERROR(IF(INDEX('Factors'!$P$9:$P$108,MATCH(K67,'Factors'!$C$9:$C$108,0))="","",INDEX('Factors'!$P$9:$P$108,MATCH(K67,'Factors'!$C$9:$C$108,0))),"")="Ready",IFERROR(IF(INDEX('Factors'!$F$9:$F$108,MATCH(K67,'Factors'!$C$9:$C$108,0))="","",INDEX('Factors'!$F$9:$F$108,MATCH(K67,'Factors'!$C$9:$C$108,0))),"")="kWh",IFERROR(IF(INDEX('Factors'!$H$9:$H$108,MATCH(K67,'Factors'!$C$9:$C$108,0))="","",INDEX('Factors'!$H$9:$H$108,MATCH(K67,'Factors'!$C$9:$C$108,0))),"")="S2",IFERROR(IF(INDEX('Factors'!$I$9:$I$108,MATCH(K67,'Factors'!$C$9:$C$108,0))="","",INDEX('Factors'!$I$9:$I$108,MATCH(K67,'Factors'!$C$9:$C$108,0))),"")="Location-based",IFERROR(IF(INDEX('Factors'!$J$9:$J$108,MATCH(K67,'Factors'!$C$9:$C$108,0))="","",INDEX('Factors'!$J$9:$J$108,MATCH(K67,'Factors'!$C$9:$C$108,0))),"")=G67,OR(IFERROR(IF(INDEX('Factors'!$E$9:$E$108,MATCH(K67,'Factors'!$C$9:$C$108,0))="","",INDEX('Factors'!$E$9:$E$108,MATCH(K67,'Factors'!$C$9:$C$108,0))),"")="Global",IFERROR(IF(INDEX('Factors'!$E$9:$E$108,MATCH(K67,'Factors'!$C$9:$C$108,0))="","",INDEX('Factors'!$E$9:$E$108,MATCH(K67,'Factors'!$C$9:$C$108,0))),"")=D67)),"Ready","Factor / unit review"))))))))</x:f>
      </x:c>
      <x:c r="Z67" s="9" t="str">
        <x:f>IF(C67="","",IF(F67="No","Outside control",IF(F67&lt;&gt;"Yes","Control review",IF($H$6="No","Not required",IF($H$6&lt;&gt;"Yes","Applicability review",IF(Y67&lt;&gt;"Ready",Y67,IF(OR(NOT(ISNUMBER(M67)),M67&lt;0,M67&gt;J67),"Contract quantity review",IF(AND(M67&gt;0,OR(O67&lt;&gt;"Pass",P67="",NOT(AND(IFERROR(IF(INDEX('Factors'!$P$9:$P$108,MATCH(N67,'Factors'!$C$9:$C$108,0))="","",INDEX('Factors'!$P$9:$P$108,MATCH(N67,'Factors'!$C$9:$C$108,0))),"")="Ready",IFERROR(IF(INDEX('Factors'!$F$9:$F$108,MATCH(N67,'Factors'!$C$9:$C$108,0))="","",INDEX('Factors'!$F$9:$F$108,MATCH(N67,'Factors'!$C$9:$C$108,0))),"")="kWh",IFERROR(IF(INDEX('Factors'!$H$9:$H$108,MATCH(N67,'Factors'!$C$9:$C$108,0))="","",INDEX('Factors'!$H$9:$H$108,MATCH(N67,'Factors'!$C$9:$C$108,0))),"")="S2",IFERROR(IF(INDEX('Factors'!$I$9:$I$108,MATCH(N67,'Factors'!$C$9:$C$108,0))="","",INDEX('Factors'!$I$9:$I$108,MATCH(N67,'Factors'!$C$9:$C$108,0))),"")="Market-based",IFERROR(IF(INDEX('Factors'!$J$9:$J$108,MATCH(N67,'Factors'!$C$9:$C$108,0))="","",INDEX('Factors'!$J$9:$J$108,MATCH(N67,'Factors'!$C$9:$C$108,0))),"")=G67,OR(IFERROR(IF(INDEX('Factors'!$E$9:$E$108,MATCH(N67,'Factors'!$C$9:$C$108,0))="","",INDEX('Factors'!$E$9:$E$108,MATCH(N67,'Factors'!$C$9:$C$108,0))),"")="Global",IFERROR(IF(INDEX('Factors'!$E$9:$E$108,MATCH(N67,'Factors'!$C$9:$C$108,0))="","",INDEX('Factors'!$E$9:$E$108,MATCH(N67,'Factors'!$C$9:$C$108,0))),"")=D67))))),"Contract criteria review",IF(M67=J67,"Ready",IF(Q67="No","Grid fallback",IF(Q67="Yes",IF(AND(IFERROR(IF(INDEX('Factors'!$P$9:$P$108,MATCH(R67,'Factors'!$C$9:$C$108,0))="","",INDEX('Factors'!$P$9:$P$108,MATCH(R67,'Factors'!$C$9:$C$108,0))),"")="Ready",IFERROR(IF(INDEX('Factors'!$F$9:$F$108,MATCH(R67,'Factors'!$C$9:$C$108,0))="","",INDEX('Factors'!$F$9:$F$108,MATCH(R67,'Factors'!$C$9:$C$108,0))),"")="kWh",IFERROR(IF(INDEX('Factors'!$H$9:$H$108,MATCH(R67,'Factors'!$C$9:$C$108,0))="","",INDEX('Factors'!$H$9:$H$108,MATCH(R67,'Factors'!$C$9:$C$108,0))),"")="S2",IFERROR(IF(INDEX('Factors'!$I$9:$I$108,MATCH(R67,'Factors'!$C$9:$C$108,0))="","",INDEX('Factors'!$I$9:$I$108,MATCH(R67,'Factors'!$C$9:$C$108,0))),"")="Residual mix",IFERROR(IF(INDEX('Factors'!$J$9:$J$108,MATCH(R67,'Factors'!$C$9:$C$108,0))="","",INDEX('Factors'!$J$9:$J$108,MATCH(R67,'Factors'!$C$9:$C$108,0))),"")=G67,OR(IFERROR(IF(INDEX('Factors'!$E$9:$E$108,MATCH(R67,'Factors'!$C$9:$C$108,0))="","",INDEX('Factors'!$E$9:$E$108,MATCH(R67,'Factors'!$C$9:$C$108,0))),"")="Global",IFERROR(IF(INDEX('Factors'!$E$9:$E$108,MATCH(R67,'Factors'!$C$9:$C$108,0))="","",INDEX('Factors'!$E$9:$E$108,MATCH(R67,'Factors'!$C$9:$C$108,0))),"")=D67)),"Ready","Residual factor review"),"Residual availability review")))))))))))</x:f>
      </x:c>
      <x:c r="AA67" s="8"/>
      <x:c r="AB67" s="16"/>
      <x:c r="AC67" s="8"/>
    </x:row>
    <x:row r="68" ht="36" customHeight="1">
      <x:c r="A68" s="1"/>
      <x:c r="B68" s="1"/>
      <x:c r="C68" s="8"/>
      <x:c r="D68" s="8"/>
      <x:c r="E68" s="8"/>
      <x:c r="F68" s="8"/>
      <x:c r="G68" s="22"/>
      <x:c r="H68" s="16"/>
      <x:c r="I68" s="8"/>
      <x:c r="J68" s="16"/>
      <x:c r="K68" s="8"/>
      <x:c r="L68" s="8"/>
      <x:c r="M68" s="16"/>
      <x:c r="N68" s="8"/>
      <x:c r="O68" s="8"/>
      <x:c r="P68" s="8"/>
      <x:c r="Q68" s="8"/>
      <x:c r="R68" s="8"/>
      <x:c r="S68" s="8"/>
      <x:c r="T68" s="40"/>
      <x:c r="U68" s="23" t="str">
        <x:f>IF(X68="Ready",H68*IFERROR(IF(INDEX('Factors'!$G$9:$G$108,MATCH(I68,'Factors'!$C$9:$C$108,0))="","",INDEX('Factors'!$G$9:$G$108,MATCH(I68,'Factors'!$C$9:$C$108,0))),"")/1000+AB68,"")</x:f>
      </x:c>
      <x:c r="V68" s="23" t="str">
        <x:f>IF(Y68="Ready",J68*IFERROR(IF(INDEX('Factors'!$G$9:$G$108,MATCH(K68,'Factors'!$C$9:$C$108,0))="","",INDEX('Factors'!$G$9:$G$108,MATCH(K68,'Factors'!$C$9:$C$108,0))),"")/1000,"")</x:f>
      </x:c>
      <x:c r="W68" s="23" t="str">
        <x:f>IF(OR(Z68="Ready",Z68="Grid fallback"),(IF(M68&gt;0,M68*IFERROR(IF(INDEX('Factors'!$G$9:$G$108,MATCH(N68,'Factors'!$C$9:$C$108,0))="","",INDEX('Factors'!$G$9:$G$108,MATCH(N68,'Factors'!$C$9:$C$108,0))),""),0)+(J68-M68)*IF(M68=J68,0,IF(Q68="No",IFERROR(IF(INDEX('Factors'!$G$9:$G$108,MATCH(K68,'Factors'!$C$9:$C$108,0))="","",INDEX('Factors'!$G$9:$G$108,MATCH(K68,'Factors'!$C$9:$C$108,0))),""),IFERROR(IF(INDEX('Factors'!$G$9:$G$108,MATCH(R68,'Factors'!$C$9:$C$108,0))="","",INDEX('Factors'!$G$9:$G$108,MATCH(R68,'Factors'!$C$9:$C$108,0))),""))))/1000,"")</x:f>
      </x:c>
      <x:c r="X68" s="9" t="str">
        <x:f>IF(C68="","",IF(AND($D$6&lt;&gt;"Operational control",$D$6&lt;&gt;"Financial control"),"Control basis required",IF(F68="No","Outside control",IF(F68&lt;&gt;"Yes","Control review",IF(COUNTIFS($C$9:$C$108,C68)&lt;&gt;1,"Duplicate operation ID",IF(OR(S68="",NOT(ISNUMBER(T68)),T68&lt;'Settings'!$F$8,NOT(ISNUMBER(G68)),G68&lt;&gt;YEAR('Settings'!$F$8)),"Evidence / period review",IF(OR(NOT(ISNUMBER(H68)),H68&lt;0,AA68&lt;&gt;"Yes",NOT(ISNUMBER(AB68)),AB68&lt;0,AC68=""),"Activity required",IF(AND(IFERROR(IF(INDEX('Factors'!$P$9:$P$108,MATCH(I68,'Factors'!$C$9:$C$108,0))="","",INDEX('Factors'!$P$9:$P$108,MATCH(I68,'Factors'!$C$9:$C$108,0))),"")="Ready",IFERROR(IF(INDEX('Factors'!$F$9:$F$108,MATCH(I68,'Factors'!$C$9:$C$108,0))="","",INDEX('Factors'!$F$9:$F$108,MATCH(I68,'Factors'!$C$9:$C$108,0))),"")="litre",IFERROR(IF(INDEX('Factors'!$H$9:$H$108,MATCH(I68,'Factors'!$C$9:$C$108,0))="","",INDEX('Factors'!$H$9:$H$108,MATCH(I68,'Factors'!$C$9:$C$108,0))),"")="S1",IFERROR(IF(INDEX('Factors'!$I$9:$I$108,MATCH(I68,'Factors'!$C$9:$C$108,0))="","",INDEX('Factors'!$I$9:$I$108,MATCH(I68,'Factors'!$C$9:$C$108,0))),"")="Combustion",IFERROR(IF(INDEX('Factors'!$J$9:$J$108,MATCH(I68,'Factors'!$C$9:$C$108,0))="","",INDEX('Factors'!$J$9:$J$108,MATCH(I68,'Factors'!$C$9:$C$108,0))),"")=G68,OR(IFERROR(IF(INDEX('Factors'!$E$9:$E$108,MATCH(I68,'Factors'!$C$9:$C$108,0))="","",INDEX('Factors'!$E$9:$E$108,MATCH(I68,'Factors'!$C$9:$C$108,0))),"")="Global",IFERROR(IF(INDEX('Factors'!$E$9:$E$108,MATCH(I68,'Factors'!$C$9:$C$108,0))="","",INDEX('Factors'!$E$9:$E$108,MATCH(I68,'Factors'!$C$9:$C$108,0))),"")=D68)),"Ready","Factor / unit review"))))))))</x:f>
      </x:c>
      <x:c r="Y68" s="9" t="str">
        <x:f>IF(C68="","",IF(AND($D$6&lt;&gt;"Operational control",$D$6&lt;&gt;"Financial control"),"Control basis required",IF(F68="No","Outside control",IF(F68&lt;&gt;"Yes","Control review",IF(COUNTIFS($C$9:$C$108,C68)&lt;&gt;1,"Duplicate operation ID",IF(OR(S68="",NOT(ISNUMBER(T68)),T68&lt;'Settings'!$F$8,NOT(ISNUMBER(G68)),G68&lt;&gt;YEAR('Settings'!$F$8)),"Evidence / period review",IF(OR(NOT(ISNUMBER(J68)),J68&lt;0),"Activity required",IF(AND(IFERROR(IF(INDEX('Factors'!$P$9:$P$108,MATCH(K68,'Factors'!$C$9:$C$108,0))="","",INDEX('Factors'!$P$9:$P$108,MATCH(K68,'Factors'!$C$9:$C$108,0))),"")="Ready",IFERROR(IF(INDEX('Factors'!$F$9:$F$108,MATCH(K68,'Factors'!$C$9:$C$108,0))="","",INDEX('Factors'!$F$9:$F$108,MATCH(K68,'Factors'!$C$9:$C$108,0))),"")="kWh",IFERROR(IF(INDEX('Factors'!$H$9:$H$108,MATCH(K68,'Factors'!$C$9:$C$108,0))="","",INDEX('Factors'!$H$9:$H$108,MATCH(K68,'Factors'!$C$9:$C$108,0))),"")="S2",IFERROR(IF(INDEX('Factors'!$I$9:$I$108,MATCH(K68,'Factors'!$C$9:$C$108,0))="","",INDEX('Factors'!$I$9:$I$108,MATCH(K68,'Factors'!$C$9:$C$108,0))),"")="Location-based",IFERROR(IF(INDEX('Factors'!$J$9:$J$108,MATCH(K68,'Factors'!$C$9:$C$108,0))="","",INDEX('Factors'!$J$9:$J$108,MATCH(K68,'Factors'!$C$9:$C$108,0))),"")=G68,OR(IFERROR(IF(INDEX('Factors'!$E$9:$E$108,MATCH(K68,'Factors'!$C$9:$C$108,0))="","",INDEX('Factors'!$E$9:$E$108,MATCH(K68,'Factors'!$C$9:$C$108,0))),"")="Global",IFERROR(IF(INDEX('Factors'!$E$9:$E$108,MATCH(K68,'Factors'!$C$9:$C$108,0))="","",INDEX('Factors'!$E$9:$E$108,MATCH(K68,'Factors'!$C$9:$C$108,0))),"")=D68)),"Ready","Factor / unit review"))))))))</x:f>
      </x:c>
      <x:c r="Z68" s="9" t="str">
        <x:f>IF(C68="","",IF(F68="No","Outside control",IF(F68&lt;&gt;"Yes","Control review",IF($H$6="No","Not required",IF($H$6&lt;&gt;"Yes","Applicability review",IF(Y68&lt;&gt;"Ready",Y68,IF(OR(NOT(ISNUMBER(M68)),M68&lt;0,M68&gt;J68),"Contract quantity review",IF(AND(M68&gt;0,OR(O68&lt;&gt;"Pass",P68="",NOT(AND(IFERROR(IF(INDEX('Factors'!$P$9:$P$108,MATCH(N68,'Factors'!$C$9:$C$108,0))="","",INDEX('Factors'!$P$9:$P$108,MATCH(N68,'Factors'!$C$9:$C$108,0))),"")="Ready",IFERROR(IF(INDEX('Factors'!$F$9:$F$108,MATCH(N68,'Factors'!$C$9:$C$108,0))="","",INDEX('Factors'!$F$9:$F$108,MATCH(N68,'Factors'!$C$9:$C$108,0))),"")="kWh",IFERROR(IF(INDEX('Factors'!$H$9:$H$108,MATCH(N68,'Factors'!$C$9:$C$108,0))="","",INDEX('Factors'!$H$9:$H$108,MATCH(N68,'Factors'!$C$9:$C$108,0))),"")="S2",IFERROR(IF(INDEX('Factors'!$I$9:$I$108,MATCH(N68,'Factors'!$C$9:$C$108,0))="","",INDEX('Factors'!$I$9:$I$108,MATCH(N68,'Factors'!$C$9:$C$108,0))),"")="Market-based",IFERROR(IF(INDEX('Factors'!$J$9:$J$108,MATCH(N68,'Factors'!$C$9:$C$108,0))="","",INDEX('Factors'!$J$9:$J$108,MATCH(N68,'Factors'!$C$9:$C$108,0))),"")=G68,OR(IFERROR(IF(INDEX('Factors'!$E$9:$E$108,MATCH(N68,'Factors'!$C$9:$C$108,0))="","",INDEX('Factors'!$E$9:$E$108,MATCH(N68,'Factors'!$C$9:$C$108,0))),"")="Global",IFERROR(IF(INDEX('Factors'!$E$9:$E$108,MATCH(N68,'Factors'!$C$9:$C$108,0))="","",INDEX('Factors'!$E$9:$E$108,MATCH(N68,'Factors'!$C$9:$C$108,0))),"")=D68))))),"Contract criteria review",IF(M68=J68,"Ready",IF(Q68="No","Grid fallback",IF(Q68="Yes",IF(AND(IFERROR(IF(INDEX('Factors'!$P$9:$P$108,MATCH(R68,'Factors'!$C$9:$C$108,0))="","",INDEX('Factors'!$P$9:$P$108,MATCH(R68,'Factors'!$C$9:$C$108,0))),"")="Ready",IFERROR(IF(INDEX('Factors'!$F$9:$F$108,MATCH(R68,'Factors'!$C$9:$C$108,0))="","",INDEX('Factors'!$F$9:$F$108,MATCH(R68,'Factors'!$C$9:$C$108,0))),"")="kWh",IFERROR(IF(INDEX('Factors'!$H$9:$H$108,MATCH(R68,'Factors'!$C$9:$C$108,0))="","",INDEX('Factors'!$H$9:$H$108,MATCH(R68,'Factors'!$C$9:$C$108,0))),"")="S2",IFERROR(IF(INDEX('Factors'!$I$9:$I$108,MATCH(R68,'Factors'!$C$9:$C$108,0))="","",INDEX('Factors'!$I$9:$I$108,MATCH(R68,'Factors'!$C$9:$C$108,0))),"")="Residual mix",IFERROR(IF(INDEX('Factors'!$J$9:$J$108,MATCH(R68,'Factors'!$C$9:$C$108,0))="","",INDEX('Factors'!$J$9:$J$108,MATCH(R68,'Factors'!$C$9:$C$108,0))),"")=G68,OR(IFERROR(IF(INDEX('Factors'!$E$9:$E$108,MATCH(R68,'Factors'!$C$9:$C$108,0))="","",INDEX('Factors'!$E$9:$E$108,MATCH(R68,'Factors'!$C$9:$C$108,0))),"")="Global",IFERROR(IF(INDEX('Factors'!$E$9:$E$108,MATCH(R68,'Factors'!$C$9:$C$108,0))="","",INDEX('Factors'!$E$9:$E$108,MATCH(R68,'Factors'!$C$9:$C$108,0))),"")=D68)),"Ready","Residual factor review"),"Residual availability review")))))))))))</x:f>
      </x:c>
      <x:c r="AA68" s="8"/>
      <x:c r="AB68" s="16"/>
      <x:c r="AC68" s="8"/>
    </x:row>
    <x:row r="69" ht="36" customHeight="1">
      <x:c r="A69" s="1"/>
      <x:c r="B69" s="1"/>
      <x:c r="C69" s="8"/>
      <x:c r="D69" s="8"/>
      <x:c r="E69" s="8"/>
      <x:c r="F69" s="8"/>
      <x:c r="G69" s="22"/>
      <x:c r="H69" s="16"/>
      <x:c r="I69" s="8"/>
      <x:c r="J69" s="16"/>
      <x:c r="K69" s="8"/>
      <x:c r="L69" s="8"/>
      <x:c r="M69" s="16"/>
      <x:c r="N69" s="8"/>
      <x:c r="O69" s="8"/>
      <x:c r="P69" s="8"/>
      <x:c r="Q69" s="8"/>
      <x:c r="R69" s="8"/>
      <x:c r="S69" s="8"/>
      <x:c r="T69" s="40"/>
      <x:c r="U69" s="23" t="str">
        <x:f>IF(X69="Ready",H69*IFERROR(IF(INDEX('Factors'!$G$9:$G$108,MATCH(I69,'Factors'!$C$9:$C$108,0))="","",INDEX('Factors'!$G$9:$G$108,MATCH(I69,'Factors'!$C$9:$C$108,0))),"")/1000+AB69,"")</x:f>
      </x:c>
      <x:c r="V69" s="23" t="str">
        <x:f>IF(Y69="Ready",J69*IFERROR(IF(INDEX('Factors'!$G$9:$G$108,MATCH(K69,'Factors'!$C$9:$C$108,0))="","",INDEX('Factors'!$G$9:$G$108,MATCH(K69,'Factors'!$C$9:$C$108,0))),"")/1000,"")</x:f>
      </x:c>
      <x:c r="W69" s="23" t="str">
        <x:f>IF(OR(Z69="Ready",Z69="Grid fallback"),(IF(M69&gt;0,M69*IFERROR(IF(INDEX('Factors'!$G$9:$G$108,MATCH(N69,'Factors'!$C$9:$C$108,0))="","",INDEX('Factors'!$G$9:$G$108,MATCH(N69,'Factors'!$C$9:$C$108,0))),""),0)+(J69-M69)*IF(M69=J69,0,IF(Q69="No",IFERROR(IF(INDEX('Factors'!$G$9:$G$108,MATCH(K69,'Factors'!$C$9:$C$108,0))="","",INDEX('Factors'!$G$9:$G$108,MATCH(K69,'Factors'!$C$9:$C$108,0))),""),IFERROR(IF(INDEX('Factors'!$G$9:$G$108,MATCH(R69,'Factors'!$C$9:$C$108,0))="","",INDEX('Factors'!$G$9:$G$108,MATCH(R69,'Factors'!$C$9:$C$108,0))),""))))/1000,"")</x:f>
      </x:c>
      <x:c r="X69" s="9" t="str">
        <x:f>IF(C69="","",IF(AND($D$6&lt;&gt;"Operational control",$D$6&lt;&gt;"Financial control"),"Control basis required",IF(F69="No","Outside control",IF(F69&lt;&gt;"Yes","Control review",IF(COUNTIFS($C$9:$C$108,C69)&lt;&gt;1,"Duplicate operation ID",IF(OR(S69="",NOT(ISNUMBER(T69)),T69&lt;'Settings'!$F$8,NOT(ISNUMBER(G69)),G69&lt;&gt;YEAR('Settings'!$F$8)),"Evidence / period review",IF(OR(NOT(ISNUMBER(H69)),H69&lt;0,AA69&lt;&gt;"Yes",NOT(ISNUMBER(AB69)),AB69&lt;0,AC69=""),"Activity required",IF(AND(IFERROR(IF(INDEX('Factors'!$P$9:$P$108,MATCH(I69,'Factors'!$C$9:$C$108,0))="","",INDEX('Factors'!$P$9:$P$108,MATCH(I69,'Factors'!$C$9:$C$108,0))),"")="Ready",IFERROR(IF(INDEX('Factors'!$F$9:$F$108,MATCH(I69,'Factors'!$C$9:$C$108,0))="","",INDEX('Factors'!$F$9:$F$108,MATCH(I69,'Factors'!$C$9:$C$108,0))),"")="litre",IFERROR(IF(INDEX('Factors'!$H$9:$H$108,MATCH(I69,'Factors'!$C$9:$C$108,0))="","",INDEX('Factors'!$H$9:$H$108,MATCH(I69,'Factors'!$C$9:$C$108,0))),"")="S1",IFERROR(IF(INDEX('Factors'!$I$9:$I$108,MATCH(I69,'Factors'!$C$9:$C$108,0))="","",INDEX('Factors'!$I$9:$I$108,MATCH(I69,'Factors'!$C$9:$C$108,0))),"")="Combustion",IFERROR(IF(INDEX('Factors'!$J$9:$J$108,MATCH(I69,'Factors'!$C$9:$C$108,0))="","",INDEX('Factors'!$J$9:$J$108,MATCH(I69,'Factors'!$C$9:$C$108,0))),"")=G69,OR(IFERROR(IF(INDEX('Factors'!$E$9:$E$108,MATCH(I69,'Factors'!$C$9:$C$108,0))="","",INDEX('Factors'!$E$9:$E$108,MATCH(I69,'Factors'!$C$9:$C$108,0))),"")="Global",IFERROR(IF(INDEX('Factors'!$E$9:$E$108,MATCH(I69,'Factors'!$C$9:$C$108,0))="","",INDEX('Factors'!$E$9:$E$108,MATCH(I69,'Factors'!$C$9:$C$108,0))),"")=D69)),"Ready","Factor / unit review"))))))))</x:f>
      </x:c>
      <x:c r="Y69" s="9" t="str">
        <x:f>IF(C69="","",IF(AND($D$6&lt;&gt;"Operational control",$D$6&lt;&gt;"Financial control"),"Control basis required",IF(F69="No","Outside control",IF(F69&lt;&gt;"Yes","Control review",IF(COUNTIFS($C$9:$C$108,C69)&lt;&gt;1,"Duplicate operation ID",IF(OR(S69="",NOT(ISNUMBER(T69)),T69&lt;'Settings'!$F$8,NOT(ISNUMBER(G69)),G69&lt;&gt;YEAR('Settings'!$F$8)),"Evidence / period review",IF(OR(NOT(ISNUMBER(J69)),J69&lt;0),"Activity required",IF(AND(IFERROR(IF(INDEX('Factors'!$P$9:$P$108,MATCH(K69,'Factors'!$C$9:$C$108,0))="","",INDEX('Factors'!$P$9:$P$108,MATCH(K69,'Factors'!$C$9:$C$108,0))),"")="Ready",IFERROR(IF(INDEX('Factors'!$F$9:$F$108,MATCH(K69,'Factors'!$C$9:$C$108,0))="","",INDEX('Factors'!$F$9:$F$108,MATCH(K69,'Factors'!$C$9:$C$108,0))),"")="kWh",IFERROR(IF(INDEX('Factors'!$H$9:$H$108,MATCH(K69,'Factors'!$C$9:$C$108,0))="","",INDEX('Factors'!$H$9:$H$108,MATCH(K69,'Factors'!$C$9:$C$108,0))),"")="S2",IFERROR(IF(INDEX('Factors'!$I$9:$I$108,MATCH(K69,'Factors'!$C$9:$C$108,0))="","",INDEX('Factors'!$I$9:$I$108,MATCH(K69,'Factors'!$C$9:$C$108,0))),"")="Location-based",IFERROR(IF(INDEX('Factors'!$J$9:$J$108,MATCH(K69,'Factors'!$C$9:$C$108,0))="","",INDEX('Factors'!$J$9:$J$108,MATCH(K69,'Factors'!$C$9:$C$108,0))),"")=G69,OR(IFERROR(IF(INDEX('Factors'!$E$9:$E$108,MATCH(K69,'Factors'!$C$9:$C$108,0))="","",INDEX('Factors'!$E$9:$E$108,MATCH(K69,'Factors'!$C$9:$C$108,0))),"")="Global",IFERROR(IF(INDEX('Factors'!$E$9:$E$108,MATCH(K69,'Factors'!$C$9:$C$108,0))="","",INDEX('Factors'!$E$9:$E$108,MATCH(K69,'Factors'!$C$9:$C$108,0))),"")=D69)),"Ready","Factor / unit review"))))))))</x:f>
      </x:c>
      <x:c r="Z69" s="9" t="str">
        <x:f>IF(C69="","",IF(F69="No","Outside control",IF(F69&lt;&gt;"Yes","Control review",IF($H$6="No","Not required",IF($H$6&lt;&gt;"Yes","Applicability review",IF(Y69&lt;&gt;"Ready",Y69,IF(OR(NOT(ISNUMBER(M69)),M69&lt;0,M69&gt;J69),"Contract quantity review",IF(AND(M69&gt;0,OR(O69&lt;&gt;"Pass",P69="",NOT(AND(IFERROR(IF(INDEX('Factors'!$P$9:$P$108,MATCH(N69,'Factors'!$C$9:$C$108,0))="","",INDEX('Factors'!$P$9:$P$108,MATCH(N69,'Factors'!$C$9:$C$108,0))),"")="Ready",IFERROR(IF(INDEX('Factors'!$F$9:$F$108,MATCH(N69,'Factors'!$C$9:$C$108,0))="","",INDEX('Factors'!$F$9:$F$108,MATCH(N69,'Factors'!$C$9:$C$108,0))),"")="kWh",IFERROR(IF(INDEX('Factors'!$H$9:$H$108,MATCH(N69,'Factors'!$C$9:$C$108,0))="","",INDEX('Factors'!$H$9:$H$108,MATCH(N69,'Factors'!$C$9:$C$108,0))),"")="S2",IFERROR(IF(INDEX('Factors'!$I$9:$I$108,MATCH(N69,'Factors'!$C$9:$C$108,0))="","",INDEX('Factors'!$I$9:$I$108,MATCH(N69,'Factors'!$C$9:$C$108,0))),"")="Market-based",IFERROR(IF(INDEX('Factors'!$J$9:$J$108,MATCH(N69,'Factors'!$C$9:$C$108,0))="","",INDEX('Factors'!$J$9:$J$108,MATCH(N69,'Factors'!$C$9:$C$108,0))),"")=G69,OR(IFERROR(IF(INDEX('Factors'!$E$9:$E$108,MATCH(N69,'Factors'!$C$9:$C$108,0))="","",INDEX('Factors'!$E$9:$E$108,MATCH(N69,'Factors'!$C$9:$C$108,0))),"")="Global",IFERROR(IF(INDEX('Factors'!$E$9:$E$108,MATCH(N69,'Factors'!$C$9:$C$108,0))="","",INDEX('Factors'!$E$9:$E$108,MATCH(N69,'Factors'!$C$9:$C$108,0))),"")=D69))))),"Contract criteria review",IF(M69=J69,"Ready",IF(Q69="No","Grid fallback",IF(Q69="Yes",IF(AND(IFERROR(IF(INDEX('Factors'!$P$9:$P$108,MATCH(R69,'Factors'!$C$9:$C$108,0))="","",INDEX('Factors'!$P$9:$P$108,MATCH(R69,'Factors'!$C$9:$C$108,0))),"")="Ready",IFERROR(IF(INDEX('Factors'!$F$9:$F$108,MATCH(R69,'Factors'!$C$9:$C$108,0))="","",INDEX('Factors'!$F$9:$F$108,MATCH(R69,'Factors'!$C$9:$C$108,0))),"")="kWh",IFERROR(IF(INDEX('Factors'!$H$9:$H$108,MATCH(R69,'Factors'!$C$9:$C$108,0))="","",INDEX('Factors'!$H$9:$H$108,MATCH(R69,'Factors'!$C$9:$C$108,0))),"")="S2",IFERROR(IF(INDEX('Factors'!$I$9:$I$108,MATCH(R69,'Factors'!$C$9:$C$108,0))="","",INDEX('Factors'!$I$9:$I$108,MATCH(R69,'Factors'!$C$9:$C$108,0))),"")="Residual mix",IFERROR(IF(INDEX('Factors'!$J$9:$J$108,MATCH(R69,'Factors'!$C$9:$C$108,0))="","",INDEX('Factors'!$J$9:$J$108,MATCH(R69,'Factors'!$C$9:$C$108,0))),"")=G69,OR(IFERROR(IF(INDEX('Factors'!$E$9:$E$108,MATCH(R69,'Factors'!$C$9:$C$108,0))="","",INDEX('Factors'!$E$9:$E$108,MATCH(R69,'Factors'!$C$9:$C$108,0))),"")="Global",IFERROR(IF(INDEX('Factors'!$E$9:$E$108,MATCH(R69,'Factors'!$C$9:$C$108,0))="","",INDEX('Factors'!$E$9:$E$108,MATCH(R69,'Factors'!$C$9:$C$108,0))),"")=D69)),"Ready","Residual factor review"),"Residual availability review")))))))))))</x:f>
      </x:c>
      <x:c r="AA69" s="8"/>
      <x:c r="AB69" s="16"/>
      <x:c r="AC69" s="8"/>
    </x:row>
    <x:row r="70" ht="36" customHeight="1">
      <x:c r="A70" s="1"/>
      <x:c r="B70" s="1"/>
      <x:c r="C70" s="8"/>
      <x:c r="D70" s="8"/>
      <x:c r="E70" s="8"/>
      <x:c r="F70" s="8"/>
      <x:c r="G70" s="22"/>
      <x:c r="H70" s="16"/>
      <x:c r="I70" s="8"/>
      <x:c r="J70" s="16"/>
      <x:c r="K70" s="8"/>
      <x:c r="L70" s="8"/>
      <x:c r="M70" s="16"/>
      <x:c r="N70" s="8"/>
      <x:c r="O70" s="8"/>
      <x:c r="P70" s="8"/>
      <x:c r="Q70" s="8"/>
      <x:c r="R70" s="8"/>
      <x:c r="S70" s="8"/>
      <x:c r="T70" s="40"/>
      <x:c r="U70" s="23" t="str">
        <x:f>IF(X70="Ready",H70*IFERROR(IF(INDEX('Factors'!$G$9:$G$108,MATCH(I70,'Factors'!$C$9:$C$108,0))="","",INDEX('Factors'!$G$9:$G$108,MATCH(I70,'Factors'!$C$9:$C$108,0))),"")/1000+AB70,"")</x:f>
      </x:c>
      <x:c r="V70" s="23" t="str">
        <x:f>IF(Y70="Ready",J70*IFERROR(IF(INDEX('Factors'!$G$9:$G$108,MATCH(K70,'Factors'!$C$9:$C$108,0))="","",INDEX('Factors'!$G$9:$G$108,MATCH(K70,'Factors'!$C$9:$C$108,0))),"")/1000,"")</x:f>
      </x:c>
      <x:c r="W70" s="23" t="str">
        <x:f>IF(OR(Z70="Ready",Z70="Grid fallback"),(IF(M70&gt;0,M70*IFERROR(IF(INDEX('Factors'!$G$9:$G$108,MATCH(N70,'Factors'!$C$9:$C$108,0))="","",INDEX('Factors'!$G$9:$G$108,MATCH(N70,'Factors'!$C$9:$C$108,0))),""),0)+(J70-M70)*IF(M70=J70,0,IF(Q70="No",IFERROR(IF(INDEX('Factors'!$G$9:$G$108,MATCH(K70,'Factors'!$C$9:$C$108,0))="","",INDEX('Factors'!$G$9:$G$108,MATCH(K70,'Factors'!$C$9:$C$108,0))),""),IFERROR(IF(INDEX('Factors'!$G$9:$G$108,MATCH(R70,'Factors'!$C$9:$C$108,0))="","",INDEX('Factors'!$G$9:$G$108,MATCH(R70,'Factors'!$C$9:$C$108,0))),""))))/1000,"")</x:f>
      </x:c>
      <x:c r="X70" s="9" t="str">
        <x:f>IF(C70="","",IF(AND($D$6&lt;&gt;"Operational control",$D$6&lt;&gt;"Financial control"),"Control basis required",IF(F70="No","Outside control",IF(F70&lt;&gt;"Yes","Control review",IF(COUNTIFS($C$9:$C$108,C70)&lt;&gt;1,"Duplicate operation ID",IF(OR(S70="",NOT(ISNUMBER(T70)),T70&lt;'Settings'!$F$8,NOT(ISNUMBER(G70)),G70&lt;&gt;YEAR('Settings'!$F$8)),"Evidence / period review",IF(OR(NOT(ISNUMBER(H70)),H70&lt;0,AA70&lt;&gt;"Yes",NOT(ISNUMBER(AB70)),AB70&lt;0,AC70=""),"Activity required",IF(AND(IFERROR(IF(INDEX('Factors'!$P$9:$P$108,MATCH(I70,'Factors'!$C$9:$C$108,0))="","",INDEX('Factors'!$P$9:$P$108,MATCH(I70,'Factors'!$C$9:$C$108,0))),"")="Ready",IFERROR(IF(INDEX('Factors'!$F$9:$F$108,MATCH(I70,'Factors'!$C$9:$C$108,0))="","",INDEX('Factors'!$F$9:$F$108,MATCH(I70,'Factors'!$C$9:$C$108,0))),"")="litre",IFERROR(IF(INDEX('Factors'!$H$9:$H$108,MATCH(I70,'Factors'!$C$9:$C$108,0))="","",INDEX('Factors'!$H$9:$H$108,MATCH(I70,'Factors'!$C$9:$C$108,0))),"")="S1",IFERROR(IF(INDEX('Factors'!$I$9:$I$108,MATCH(I70,'Factors'!$C$9:$C$108,0))="","",INDEX('Factors'!$I$9:$I$108,MATCH(I70,'Factors'!$C$9:$C$108,0))),"")="Combustion",IFERROR(IF(INDEX('Factors'!$J$9:$J$108,MATCH(I70,'Factors'!$C$9:$C$108,0))="","",INDEX('Factors'!$J$9:$J$108,MATCH(I70,'Factors'!$C$9:$C$108,0))),"")=G70,OR(IFERROR(IF(INDEX('Factors'!$E$9:$E$108,MATCH(I70,'Factors'!$C$9:$C$108,0))="","",INDEX('Factors'!$E$9:$E$108,MATCH(I70,'Factors'!$C$9:$C$108,0))),"")="Global",IFERROR(IF(INDEX('Factors'!$E$9:$E$108,MATCH(I70,'Factors'!$C$9:$C$108,0))="","",INDEX('Factors'!$E$9:$E$108,MATCH(I70,'Factors'!$C$9:$C$108,0))),"")=D70)),"Ready","Factor / unit review"))))))))</x:f>
      </x:c>
      <x:c r="Y70" s="9" t="str">
        <x:f>IF(C70="","",IF(AND($D$6&lt;&gt;"Operational control",$D$6&lt;&gt;"Financial control"),"Control basis required",IF(F70="No","Outside control",IF(F70&lt;&gt;"Yes","Control review",IF(COUNTIFS($C$9:$C$108,C70)&lt;&gt;1,"Duplicate operation ID",IF(OR(S70="",NOT(ISNUMBER(T70)),T70&lt;'Settings'!$F$8,NOT(ISNUMBER(G70)),G70&lt;&gt;YEAR('Settings'!$F$8)),"Evidence / period review",IF(OR(NOT(ISNUMBER(J70)),J70&lt;0),"Activity required",IF(AND(IFERROR(IF(INDEX('Factors'!$P$9:$P$108,MATCH(K70,'Factors'!$C$9:$C$108,0))="","",INDEX('Factors'!$P$9:$P$108,MATCH(K70,'Factors'!$C$9:$C$108,0))),"")="Ready",IFERROR(IF(INDEX('Factors'!$F$9:$F$108,MATCH(K70,'Factors'!$C$9:$C$108,0))="","",INDEX('Factors'!$F$9:$F$108,MATCH(K70,'Factors'!$C$9:$C$108,0))),"")="kWh",IFERROR(IF(INDEX('Factors'!$H$9:$H$108,MATCH(K70,'Factors'!$C$9:$C$108,0))="","",INDEX('Factors'!$H$9:$H$108,MATCH(K70,'Factors'!$C$9:$C$108,0))),"")="S2",IFERROR(IF(INDEX('Factors'!$I$9:$I$108,MATCH(K70,'Factors'!$C$9:$C$108,0))="","",INDEX('Factors'!$I$9:$I$108,MATCH(K70,'Factors'!$C$9:$C$108,0))),"")="Location-based",IFERROR(IF(INDEX('Factors'!$J$9:$J$108,MATCH(K70,'Factors'!$C$9:$C$108,0))="","",INDEX('Factors'!$J$9:$J$108,MATCH(K70,'Factors'!$C$9:$C$108,0))),"")=G70,OR(IFERROR(IF(INDEX('Factors'!$E$9:$E$108,MATCH(K70,'Factors'!$C$9:$C$108,0))="","",INDEX('Factors'!$E$9:$E$108,MATCH(K70,'Factors'!$C$9:$C$108,0))),"")="Global",IFERROR(IF(INDEX('Factors'!$E$9:$E$108,MATCH(K70,'Factors'!$C$9:$C$108,0))="","",INDEX('Factors'!$E$9:$E$108,MATCH(K70,'Factors'!$C$9:$C$108,0))),"")=D70)),"Ready","Factor / unit review"))))))))</x:f>
      </x:c>
      <x:c r="Z70" s="9" t="str">
        <x:f>IF(C70="","",IF(F70="No","Outside control",IF(F70&lt;&gt;"Yes","Control review",IF($H$6="No","Not required",IF($H$6&lt;&gt;"Yes","Applicability review",IF(Y70&lt;&gt;"Ready",Y70,IF(OR(NOT(ISNUMBER(M70)),M70&lt;0,M70&gt;J70),"Contract quantity review",IF(AND(M70&gt;0,OR(O70&lt;&gt;"Pass",P70="",NOT(AND(IFERROR(IF(INDEX('Factors'!$P$9:$P$108,MATCH(N70,'Factors'!$C$9:$C$108,0))="","",INDEX('Factors'!$P$9:$P$108,MATCH(N70,'Factors'!$C$9:$C$108,0))),"")="Ready",IFERROR(IF(INDEX('Factors'!$F$9:$F$108,MATCH(N70,'Factors'!$C$9:$C$108,0))="","",INDEX('Factors'!$F$9:$F$108,MATCH(N70,'Factors'!$C$9:$C$108,0))),"")="kWh",IFERROR(IF(INDEX('Factors'!$H$9:$H$108,MATCH(N70,'Factors'!$C$9:$C$108,0))="","",INDEX('Factors'!$H$9:$H$108,MATCH(N70,'Factors'!$C$9:$C$108,0))),"")="S2",IFERROR(IF(INDEX('Factors'!$I$9:$I$108,MATCH(N70,'Factors'!$C$9:$C$108,0))="","",INDEX('Factors'!$I$9:$I$108,MATCH(N70,'Factors'!$C$9:$C$108,0))),"")="Market-based",IFERROR(IF(INDEX('Factors'!$J$9:$J$108,MATCH(N70,'Factors'!$C$9:$C$108,0))="","",INDEX('Factors'!$J$9:$J$108,MATCH(N70,'Factors'!$C$9:$C$108,0))),"")=G70,OR(IFERROR(IF(INDEX('Factors'!$E$9:$E$108,MATCH(N70,'Factors'!$C$9:$C$108,0))="","",INDEX('Factors'!$E$9:$E$108,MATCH(N70,'Factors'!$C$9:$C$108,0))),"")="Global",IFERROR(IF(INDEX('Factors'!$E$9:$E$108,MATCH(N70,'Factors'!$C$9:$C$108,0))="","",INDEX('Factors'!$E$9:$E$108,MATCH(N70,'Factors'!$C$9:$C$108,0))),"")=D70))))),"Contract criteria review",IF(M70=J70,"Ready",IF(Q70="No","Grid fallback",IF(Q70="Yes",IF(AND(IFERROR(IF(INDEX('Factors'!$P$9:$P$108,MATCH(R70,'Factors'!$C$9:$C$108,0))="","",INDEX('Factors'!$P$9:$P$108,MATCH(R70,'Factors'!$C$9:$C$108,0))),"")="Ready",IFERROR(IF(INDEX('Factors'!$F$9:$F$108,MATCH(R70,'Factors'!$C$9:$C$108,0))="","",INDEX('Factors'!$F$9:$F$108,MATCH(R70,'Factors'!$C$9:$C$108,0))),"")="kWh",IFERROR(IF(INDEX('Factors'!$H$9:$H$108,MATCH(R70,'Factors'!$C$9:$C$108,0))="","",INDEX('Factors'!$H$9:$H$108,MATCH(R70,'Factors'!$C$9:$C$108,0))),"")="S2",IFERROR(IF(INDEX('Factors'!$I$9:$I$108,MATCH(R70,'Factors'!$C$9:$C$108,0))="","",INDEX('Factors'!$I$9:$I$108,MATCH(R70,'Factors'!$C$9:$C$108,0))),"")="Residual mix",IFERROR(IF(INDEX('Factors'!$J$9:$J$108,MATCH(R70,'Factors'!$C$9:$C$108,0))="","",INDEX('Factors'!$J$9:$J$108,MATCH(R70,'Factors'!$C$9:$C$108,0))),"")=G70,OR(IFERROR(IF(INDEX('Factors'!$E$9:$E$108,MATCH(R70,'Factors'!$C$9:$C$108,0))="","",INDEX('Factors'!$E$9:$E$108,MATCH(R70,'Factors'!$C$9:$C$108,0))),"")="Global",IFERROR(IF(INDEX('Factors'!$E$9:$E$108,MATCH(R70,'Factors'!$C$9:$C$108,0))="","",INDEX('Factors'!$E$9:$E$108,MATCH(R70,'Factors'!$C$9:$C$108,0))),"")=D70)),"Ready","Residual factor review"),"Residual availability review")))))))))))</x:f>
      </x:c>
      <x:c r="AA70" s="8"/>
      <x:c r="AB70" s="16"/>
      <x:c r="AC70" s="8"/>
    </x:row>
    <x:row r="71" ht="36" customHeight="1">
      <x:c r="A71" s="1"/>
      <x:c r="B71" s="1"/>
      <x:c r="C71" s="8"/>
      <x:c r="D71" s="8"/>
      <x:c r="E71" s="8"/>
      <x:c r="F71" s="8"/>
      <x:c r="G71" s="22"/>
      <x:c r="H71" s="16"/>
      <x:c r="I71" s="8"/>
      <x:c r="J71" s="16"/>
      <x:c r="K71" s="8"/>
      <x:c r="L71" s="8"/>
      <x:c r="M71" s="16"/>
      <x:c r="N71" s="8"/>
      <x:c r="O71" s="8"/>
      <x:c r="P71" s="8"/>
      <x:c r="Q71" s="8"/>
      <x:c r="R71" s="8"/>
      <x:c r="S71" s="8"/>
      <x:c r="T71" s="40"/>
      <x:c r="U71" s="23" t="str">
        <x:f>IF(X71="Ready",H71*IFERROR(IF(INDEX('Factors'!$G$9:$G$108,MATCH(I71,'Factors'!$C$9:$C$108,0))="","",INDEX('Factors'!$G$9:$G$108,MATCH(I71,'Factors'!$C$9:$C$108,0))),"")/1000+AB71,"")</x:f>
      </x:c>
      <x:c r="V71" s="23" t="str">
        <x:f>IF(Y71="Ready",J71*IFERROR(IF(INDEX('Factors'!$G$9:$G$108,MATCH(K71,'Factors'!$C$9:$C$108,0))="","",INDEX('Factors'!$G$9:$G$108,MATCH(K71,'Factors'!$C$9:$C$108,0))),"")/1000,"")</x:f>
      </x:c>
      <x:c r="W71" s="23" t="str">
        <x:f>IF(OR(Z71="Ready",Z71="Grid fallback"),(IF(M71&gt;0,M71*IFERROR(IF(INDEX('Factors'!$G$9:$G$108,MATCH(N71,'Factors'!$C$9:$C$108,0))="","",INDEX('Factors'!$G$9:$G$108,MATCH(N71,'Factors'!$C$9:$C$108,0))),""),0)+(J71-M71)*IF(M71=J71,0,IF(Q71="No",IFERROR(IF(INDEX('Factors'!$G$9:$G$108,MATCH(K71,'Factors'!$C$9:$C$108,0))="","",INDEX('Factors'!$G$9:$G$108,MATCH(K71,'Factors'!$C$9:$C$108,0))),""),IFERROR(IF(INDEX('Factors'!$G$9:$G$108,MATCH(R71,'Factors'!$C$9:$C$108,0))="","",INDEX('Factors'!$G$9:$G$108,MATCH(R71,'Factors'!$C$9:$C$108,0))),""))))/1000,"")</x:f>
      </x:c>
      <x:c r="X71" s="9" t="str">
        <x:f>IF(C71="","",IF(AND($D$6&lt;&gt;"Operational control",$D$6&lt;&gt;"Financial control"),"Control basis required",IF(F71="No","Outside control",IF(F71&lt;&gt;"Yes","Control review",IF(COUNTIFS($C$9:$C$108,C71)&lt;&gt;1,"Duplicate operation ID",IF(OR(S71="",NOT(ISNUMBER(T71)),T71&lt;'Settings'!$F$8,NOT(ISNUMBER(G71)),G71&lt;&gt;YEAR('Settings'!$F$8)),"Evidence / period review",IF(OR(NOT(ISNUMBER(H71)),H71&lt;0,AA71&lt;&gt;"Yes",NOT(ISNUMBER(AB71)),AB71&lt;0,AC71=""),"Activity required",IF(AND(IFERROR(IF(INDEX('Factors'!$P$9:$P$108,MATCH(I71,'Factors'!$C$9:$C$108,0))="","",INDEX('Factors'!$P$9:$P$108,MATCH(I71,'Factors'!$C$9:$C$108,0))),"")="Ready",IFERROR(IF(INDEX('Factors'!$F$9:$F$108,MATCH(I71,'Factors'!$C$9:$C$108,0))="","",INDEX('Factors'!$F$9:$F$108,MATCH(I71,'Factors'!$C$9:$C$108,0))),"")="litre",IFERROR(IF(INDEX('Factors'!$H$9:$H$108,MATCH(I71,'Factors'!$C$9:$C$108,0))="","",INDEX('Factors'!$H$9:$H$108,MATCH(I71,'Factors'!$C$9:$C$108,0))),"")="S1",IFERROR(IF(INDEX('Factors'!$I$9:$I$108,MATCH(I71,'Factors'!$C$9:$C$108,0))="","",INDEX('Factors'!$I$9:$I$108,MATCH(I71,'Factors'!$C$9:$C$108,0))),"")="Combustion",IFERROR(IF(INDEX('Factors'!$J$9:$J$108,MATCH(I71,'Factors'!$C$9:$C$108,0))="","",INDEX('Factors'!$J$9:$J$108,MATCH(I71,'Factors'!$C$9:$C$108,0))),"")=G71,OR(IFERROR(IF(INDEX('Factors'!$E$9:$E$108,MATCH(I71,'Factors'!$C$9:$C$108,0))="","",INDEX('Factors'!$E$9:$E$108,MATCH(I71,'Factors'!$C$9:$C$108,0))),"")="Global",IFERROR(IF(INDEX('Factors'!$E$9:$E$108,MATCH(I71,'Factors'!$C$9:$C$108,0))="","",INDEX('Factors'!$E$9:$E$108,MATCH(I71,'Factors'!$C$9:$C$108,0))),"")=D71)),"Ready","Factor / unit review"))))))))</x:f>
      </x:c>
      <x:c r="Y71" s="9" t="str">
        <x:f>IF(C71="","",IF(AND($D$6&lt;&gt;"Operational control",$D$6&lt;&gt;"Financial control"),"Control basis required",IF(F71="No","Outside control",IF(F71&lt;&gt;"Yes","Control review",IF(COUNTIFS($C$9:$C$108,C71)&lt;&gt;1,"Duplicate operation ID",IF(OR(S71="",NOT(ISNUMBER(T71)),T71&lt;'Settings'!$F$8,NOT(ISNUMBER(G71)),G71&lt;&gt;YEAR('Settings'!$F$8)),"Evidence / period review",IF(OR(NOT(ISNUMBER(J71)),J71&lt;0),"Activity required",IF(AND(IFERROR(IF(INDEX('Factors'!$P$9:$P$108,MATCH(K71,'Factors'!$C$9:$C$108,0))="","",INDEX('Factors'!$P$9:$P$108,MATCH(K71,'Factors'!$C$9:$C$108,0))),"")="Ready",IFERROR(IF(INDEX('Factors'!$F$9:$F$108,MATCH(K71,'Factors'!$C$9:$C$108,0))="","",INDEX('Factors'!$F$9:$F$108,MATCH(K71,'Factors'!$C$9:$C$108,0))),"")="kWh",IFERROR(IF(INDEX('Factors'!$H$9:$H$108,MATCH(K71,'Factors'!$C$9:$C$108,0))="","",INDEX('Factors'!$H$9:$H$108,MATCH(K71,'Factors'!$C$9:$C$108,0))),"")="S2",IFERROR(IF(INDEX('Factors'!$I$9:$I$108,MATCH(K71,'Factors'!$C$9:$C$108,0))="","",INDEX('Factors'!$I$9:$I$108,MATCH(K71,'Factors'!$C$9:$C$108,0))),"")="Location-based",IFERROR(IF(INDEX('Factors'!$J$9:$J$108,MATCH(K71,'Factors'!$C$9:$C$108,0))="","",INDEX('Factors'!$J$9:$J$108,MATCH(K71,'Factors'!$C$9:$C$108,0))),"")=G71,OR(IFERROR(IF(INDEX('Factors'!$E$9:$E$108,MATCH(K71,'Factors'!$C$9:$C$108,0))="","",INDEX('Factors'!$E$9:$E$108,MATCH(K71,'Factors'!$C$9:$C$108,0))),"")="Global",IFERROR(IF(INDEX('Factors'!$E$9:$E$108,MATCH(K71,'Factors'!$C$9:$C$108,0))="","",INDEX('Factors'!$E$9:$E$108,MATCH(K71,'Factors'!$C$9:$C$108,0))),"")=D71)),"Ready","Factor / unit review"))))))))</x:f>
      </x:c>
      <x:c r="Z71" s="9" t="str">
        <x:f>IF(C71="","",IF(F71="No","Outside control",IF(F71&lt;&gt;"Yes","Control review",IF($H$6="No","Not required",IF($H$6&lt;&gt;"Yes","Applicability review",IF(Y71&lt;&gt;"Ready",Y71,IF(OR(NOT(ISNUMBER(M71)),M71&lt;0,M71&gt;J71),"Contract quantity review",IF(AND(M71&gt;0,OR(O71&lt;&gt;"Pass",P71="",NOT(AND(IFERROR(IF(INDEX('Factors'!$P$9:$P$108,MATCH(N71,'Factors'!$C$9:$C$108,0))="","",INDEX('Factors'!$P$9:$P$108,MATCH(N71,'Factors'!$C$9:$C$108,0))),"")="Ready",IFERROR(IF(INDEX('Factors'!$F$9:$F$108,MATCH(N71,'Factors'!$C$9:$C$108,0))="","",INDEX('Factors'!$F$9:$F$108,MATCH(N71,'Factors'!$C$9:$C$108,0))),"")="kWh",IFERROR(IF(INDEX('Factors'!$H$9:$H$108,MATCH(N71,'Factors'!$C$9:$C$108,0))="","",INDEX('Factors'!$H$9:$H$108,MATCH(N71,'Factors'!$C$9:$C$108,0))),"")="S2",IFERROR(IF(INDEX('Factors'!$I$9:$I$108,MATCH(N71,'Factors'!$C$9:$C$108,0))="","",INDEX('Factors'!$I$9:$I$108,MATCH(N71,'Factors'!$C$9:$C$108,0))),"")="Market-based",IFERROR(IF(INDEX('Factors'!$J$9:$J$108,MATCH(N71,'Factors'!$C$9:$C$108,0))="","",INDEX('Factors'!$J$9:$J$108,MATCH(N71,'Factors'!$C$9:$C$108,0))),"")=G71,OR(IFERROR(IF(INDEX('Factors'!$E$9:$E$108,MATCH(N71,'Factors'!$C$9:$C$108,0))="","",INDEX('Factors'!$E$9:$E$108,MATCH(N71,'Factors'!$C$9:$C$108,0))),"")="Global",IFERROR(IF(INDEX('Factors'!$E$9:$E$108,MATCH(N71,'Factors'!$C$9:$C$108,0))="","",INDEX('Factors'!$E$9:$E$108,MATCH(N71,'Factors'!$C$9:$C$108,0))),"")=D71))))),"Contract criteria review",IF(M71=J71,"Ready",IF(Q71="No","Grid fallback",IF(Q71="Yes",IF(AND(IFERROR(IF(INDEX('Factors'!$P$9:$P$108,MATCH(R71,'Factors'!$C$9:$C$108,0))="","",INDEX('Factors'!$P$9:$P$108,MATCH(R71,'Factors'!$C$9:$C$108,0))),"")="Ready",IFERROR(IF(INDEX('Factors'!$F$9:$F$108,MATCH(R71,'Factors'!$C$9:$C$108,0))="","",INDEX('Factors'!$F$9:$F$108,MATCH(R71,'Factors'!$C$9:$C$108,0))),"")="kWh",IFERROR(IF(INDEX('Factors'!$H$9:$H$108,MATCH(R71,'Factors'!$C$9:$C$108,0))="","",INDEX('Factors'!$H$9:$H$108,MATCH(R71,'Factors'!$C$9:$C$108,0))),"")="S2",IFERROR(IF(INDEX('Factors'!$I$9:$I$108,MATCH(R71,'Factors'!$C$9:$C$108,0))="","",INDEX('Factors'!$I$9:$I$108,MATCH(R71,'Factors'!$C$9:$C$108,0))),"")="Residual mix",IFERROR(IF(INDEX('Factors'!$J$9:$J$108,MATCH(R71,'Factors'!$C$9:$C$108,0))="","",INDEX('Factors'!$J$9:$J$108,MATCH(R71,'Factors'!$C$9:$C$108,0))),"")=G71,OR(IFERROR(IF(INDEX('Factors'!$E$9:$E$108,MATCH(R71,'Factors'!$C$9:$C$108,0))="","",INDEX('Factors'!$E$9:$E$108,MATCH(R71,'Factors'!$C$9:$C$108,0))),"")="Global",IFERROR(IF(INDEX('Factors'!$E$9:$E$108,MATCH(R71,'Factors'!$C$9:$C$108,0))="","",INDEX('Factors'!$E$9:$E$108,MATCH(R71,'Factors'!$C$9:$C$108,0))),"")=D71)),"Ready","Residual factor review"),"Residual availability review")))))))))))</x:f>
      </x:c>
      <x:c r="AA71" s="8"/>
      <x:c r="AB71" s="16"/>
      <x:c r="AC71" s="8"/>
    </x:row>
    <x:row r="72" ht="36" customHeight="1">
      <x:c r="A72" s="1"/>
      <x:c r="B72" s="1"/>
      <x:c r="C72" s="8"/>
      <x:c r="D72" s="8"/>
      <x:c r="E72" s="8"/>
      <x:c r="F72" s="8"/>
      <x:c r="G72" s="22"/>
      <x:c r="H72" s="16"/>
      <x:c r="I72" s="8"/>
      <x:c r="J72" s="16"/>
      <x:c r="K72" s="8"/>
      <x:c r="L72" s="8"/>
      <x:c r="M72" s="16"/>
      <x:c r="N72" s="8"/>
      <x:c r="O72" s="8"/>
      <x:c r="P72" s="8"/>
      <x:c r="Q72" s="8"/>
      <x:c r="R72" s="8"/>
      <x:c r="S72" s="8"/>
      <x:c r="T72" s="40"/>
      <x:c r="U72" s="23" t="str">
        <x:f>IF(X72="Ready",H72*IFERROR(IF(INDEX('Factors'!$G$9:$G$108,MATCH(I72,'Factors'!$C$9:$C$108,0))="","",INDEX('Factors'!$G$9:$G$108,MATCH(I72,'Factors'!$C$9:$C$108,0))),"")/1000+AB72,"")</x:f>
      </x:c>
      <x:c r="V72" s="23" t="str">
        <x:f>IF(Y72="Ready",J72*IFERROR(IF(INDEX('Factors'!$G$9:$G$108,MATCH(K72,'Factors'!$C$9:$C$108,0))="","",INDEX('Factors'!$G$9:$G$108,MATCH(K72,'Factors'!$C$9:$C$108,0))),"")/1000,"")</x:f>
      </x:c>
      <x:c r="W72" s="23" t="str">
        <x:f>IF(OR(Z72="Ready",Z72="Grid fallback"),(IF(M72&gt;0,M72*IFERROR(IF(INDEX('Factors'!$G$9:$G$108,MATCH(N72,'Factors'!$C$9:$C$108,0))="","",INDEX('Factors'!$G$9:$G$108,MATCH(N72,'Factors'!$C$9:$C$108,0))),""),0)+(J72-M72)*IF(M72=J72,0,IF(Q72="No",IFERROR(IF(INDEX('Factors'!$G$9:$G$108,MATCH(K72,'Factors'!$C$9:$C$108,0))="","",INDEX('Factors'!$G$9:$G$108,MATCH(K72,'Factors'!$C$9:$C$108,0))),""),IFERROR(IF(INDEX('Factors'!$G$9:$G$108,MATCH(R72,'Factors'!$C$9:$C$108,0))="","",INDEX('Factors'!$G$9:$G$108,MATCH(R72,'Factors'!$C$9:$C$108,0))),""))))/1000,"")</x:f>
      </x:c>
      <x:c r="X72" s="9" t="str">
        <x:f>IF(C72="","",IF(AND($D$6&lt;&gt;"Operational control",$D$6&lt;&gt;"Financial control"),"Control basis required",IF(F72="No","Outside control",IF(F72&lt;&gt;"Yes","Control review",IF(COUNTIFS($C$9:$C$108,C72)&lt;&gt;1,"Duplicate operation ID",IF(OR(S72="",NOT(ISNUMBER(T72)),T72&lt;'Settings'!$F$8,NOT(ISNUMBER(G72)),G72&lt;&gt;YEAR('Settings'!$F$8)),"Evidence / period review",IF(OR(NOT(ISNUMBER(H72)),H72&lt;0,AA72&lt;&gt;"Yes",NOT(ISNUMBER(AB72)),AB72&lt;0,AC72=""),"Activity required",IF(AND(IFERROR(IF(INDEX('Factors'!$P$9:$P$108,MATCH(I72,'Factors'!$C$9:$C$108,0))="","",INDEX('Factors'!$P$9:$P$108,MATCH(I72,'Factors'!$C$9:$C$108,0))),"")="Ready",IFERROR(IF(INDEX('Factors'!$F$9:$F$108,MATCH(I72,'Factors'!$C$9:$C$108,0))="","",INDEX('Factors'!$F$9:$F$108,MATCH(I72,'Factors'!$C$9:$C$108,0))),"")="litre",IFERROR(IF(INDEX('Factors'!$H$9:$H$108,MATCH(I72,'Factors'!$C$9:$C$108,0))="","",INDEX('Factors'!$H$9:$H$108,MATCH(I72,'Factors'!$C$9:$C$108,0))),"")="S1",IFERROR(IF(INDEX('Factors'!$I$9:$I$108,MATCH(I72,'Factors'!$C$9:$C$108,0))="","",INDEX('Factors'!$I$9:$I$108,MATCH(I72,'Factors'!$C$9:$C$108,0))),"")="Combustion",IFERROR(IF(INDEX('Factors'!$J$9:$J$108,MATCH(I72,'Factors'!$C$9:$C$108,0))="","",INDEX('Factors'!$J$9:$J$108,MATCH(I72,'Factors'!$C$9:$C$108,0))),"")=G72,OR(IFERROR(IF(INDEX('Factors'!$E$9:$E$108,MATCH(I72,'Factors'!$C$9:$C$108,0))="","",INDEX('Factors'!$E$9:$E$108,MATCH(I72,'Factors'!$C$9:$C$108,0))),"")="Global",IFERROR(IF(INDEX('Factors'!$E$9:$E$108,MATCH(I72,'Factors'!$C$9:$C$108,0))="","",INDEX('Factors'!$E$9:$E$108,MATCH(I72,'Factors'!$C$9:$C$108,0))),"")=D72)),"Ready","Factor / unit review"))))))))</x:f>
      </x:c>
      <x:c r="Y72" s="9" t="str">
        <x:f>IF(C72="","",IF(AND($D$6&lt;&gt;"Operational control",$D$6&lt;&gt;"Financial control"),"Control basis required",IF(F72="No","Outside control",IF(F72&lt;&gt;"Yes","Control review",IF(COUNTIFS($C$9:$C$108,C72)&lt;&gt;1,"Duplicate operation ID",IF(OR(S72="",NOT(ISNUMBER(T72)),T72&lt;'Settings'!$F$8,NOT(ISNUMBER(G72)),G72&lt;&gt;YEAR('Settings'!$F$8)),"Evidence / period review",IF(OR(NOT(ISNUMBER(J72)),J72&lt;0),"Activity required",IF(AND(IFERROR(IF(INDEX('Factors'!$P$9:$P$108,MATCH(K72,'Factors'!$C$9:$C$108,0))="","",INDEX('Factors'!$P$9:$P$108,MATCH(K72,'Factors'!$C$9:$C$108,0))),"")="Ready",IFERROR(IF(INDEX('Factors'!$F$9:$F$108,MATCH(K72,'Factors'!$C$9:$C$108,0))="","",INDEX('Factors'!$F$9:$F$108,MATCH(K72,'Factors'!$C$9:$C$108,0))),"")="kWh",IFERROR(IF(INDEX('Factors'!$H$9:$H$108,MATCH(K72,'Factors'!$C$9:$C$108,0))="","",INDEX('Factors'!$H$9:$H$108,MATCH(K72,'Factors'!$C$9:$C$108,0))),"")="S2",IFERROR(IF(INDEX('Factors'!$I$9:$I$108,MATCH(K72,'Factors'!$C$9:$C$108,0))="","",INDEX('Factors'!$I$9:$I$108,MATCH(K72,'Factors'!$C$9:$C$108,0))),"")="Location-based",IFERROR(IF(INDEX('Factors'!$J$9:$J$108,MATCH(K72,'Factors'!$C$9:$C$108,0))="","",INDEX('Factors'!$J$9:$J$108,MATCH(K72,'Factors'!$C$9:$C$108,0))),"")=G72,OR(IFERROR(IF(INDEX('Factors'!$E$9:$E$108,MATCH(K72,'Factors'!$C$9:$C$108,0))="","",INDEX('Factors'!$E$9:$E$108,MATCH(K72,'Factors'!$C$9:$C$108,0))),"")="Global",IFERROR(IF(INDEX('Factors'!$E$9:$E$108,MATCH(K72,'Factors'!$C$9:$C$108,0))="","",INDEX('Factors'!$E$9:$E$108,MATCH(K72,'Factors'!$C$9:$C$108,0))),"")=D72)),"Ready","Factor / unit review"))))))))</x:f>
      </x:c>
      <x:c r="Z72" s="9" t="str">
        <x:f>IF(C72="","",IF(F72="No","Outside control",IF(F72&lt;&gt;"Yes","Control review",IF($H$6="No","Not required",IF($H$6&lt;&gt;"Yes","Applicability review",IF(Y72&lt;&gt;"Ready",Y72,IF(OR(NOT(ISNUMBER(M72)),M72&lt;0,M72&gt;J72),"Contract quantity review",IF(AND(M72&gt;0,OR(O72&lt;&gt;"Pass",P72="",NOT(AND(IFERROR(IF(INDEX('Factors'!$P$9:$P$108,MATCH(N72,'Factors'!$C$9:$C$108,0))="","",INDEX('Factors'!$P$9:$P$108,MATCH(N72,'Factors'!$C$9:$C$108,0))),"")="Ready",IFERROR(IF(INDEX('Factors'!$F$9:$F$108,MATCH(N72,'Factors'!$C$9:$C$108,0))="","",INDEX('Factors'!$F$9:$F$108,MATCH(N72,'Factors'!$C$9:$C$108,0))),"")="kWh",IFERROR(IF(INDEX('Factors'!$H$9:$H$108,MATCH(N72,'Factors'!$C$9:$C$108,0))="","",INDEX('Factors'!$H$9:$H$108,MATCH(N72,'Factors'!$C$9:$C$108,0))),"")="S2",IFERROR(IF(INDEX('Factors'!$I$9:$I$108,MATCH(N72,'Factors'!$C$9:$C$108,0))="","",INDEX('Factors'!$I$9:$I$108,MATCH(N72,'Factors'!$C$9:$C$108,0))),"")="Market-based",IFERROR(IF(INDEX('Factors'!$J$9:$J$108,MATCH(N72,'Factors'!$C$9:$C$108,0))="","",INDEX('Factors'!$J$9:$J$108,MATCH(N72,'Factors'!$C$9:$C$108,0))),"")=G72,OR(IFERROR(IF(INDEX('Factors'!$E$9:$E$108,MATCH(N72,'Factors'!$C$9:$C$108,0))="","",INDEX('Factors'!$E$9:$E$108,MATCH(N72,'Factors'!$C$9:$C$108,0))),"")="Global",IFERROR(IF(INDEX('Factors'!$E$9:$E$108,MATCH(N72,'Factors'!$C$9:$C$108,0))="","",INDEX('Factors'!$E$9:$E$108,MATCH(N72,'Factors'!$C$9:$C$108,0))),"")=D72))))),"Contract criteria review",IF(M72=J72,"Ready",IF(Q72="No","Grid fallback",IF(Q72="Yes",IF(AND(IFERROR(IF(INDEX('Factors'!$P$9:$P$108,MATCH(R72,'Factors'!$C$9:$C$108,0))="","",INDEX('Factors'!$P$9:$P$108,MATCH(R72,'Factors'!$C$9:$C$108,0))),"")="Ready",IFERROR(IF(INDEX('Factors'!$F$9:$F$108,MATCH(R72,'Factors'!$C$9:$C$108,0))="","",INDEX('Factors'!$F$9:$F$108,MATCH(R72,'Factors'!$C$9:$C$108,0))),"")="kWh",IFERROR(IF(INDEX('Factors'!$H$9:$H$108,MATCH(R72,'Factors'!$C$9:$C$108,0))="","",INDEX('Factors'!$H$9:$H$108,MATCH(R72,'Factors'!$C$9:$C$108,0))),"")="S2",IFERROR(IF(INDEX('Factors'!$I$9:$I$108,MATCH(R72,'Factors'!$C$9:$C$108,0))="","",INDEX('Factors'!$I$9:$I$108,MATCH(R72,'Factors'!$C$9:$C$108,0))),"")="Residual mix",IFERROR(IF(INDEX('Factors'!$J$9:$J$108,MATCH(R72,'Factors'!$C$9:$C$108,0))="","",INDEX('Factors'!$J$9:$J$108,MATCH(R72,'Factors'!$C$9:$C$108,0))),"")=G72,OR(IFERROR(IF(INDEX('Factors'!$E$9:$E$108,MATCH(R72,'Factors'!$C$9:$C$108,0))="","",INDEX('Factors'!$E$9:$E$108,MATCH(R72,'Factors'!$C$9:$C$108,0))),"")="Global",IFERROR(IF(INDEX('Factors'!$E$9:$E$108,MATCH(R72,'Factors'!$C$9:$C$108,0))="","",INDEX('Factors'!$E$9:$E$108,MATCH(R72,'Factors'!$C$9:$C$108,0))),"")=D72)),"Ready","Residual factor review"),"Residual availability review")))))))))))</x:f>
      </x:c>
      <x:c r="AA72" s="8"/>
      <x:c r="AB72" s="16"/>
      <x:c r="AC72" s="8"/>
    </x:row>
    <x:row r="73" ht="36" customHeight="1">
      <x:c r="A73" s="1"/>
      <x:c r="B73" s="1"/>
      <x:c r="C73" s="8"/>
      <x:c r="D73" s="8"/>
      <x:c r="E73" s="8"/>
      <x:c r="F73" s="8"/>
      <x:c r="G73" s="22"/>
      <x:c r="H73" s="16"/>
      <x:c r="I73" s="8"/>
      <x:c r="J73" s="16"/>
      <x:c r="K73" s="8"/>
      <x:c r="L73" s="8"/>
      <x:c r="M73" s="16"/>
      <x:c r="N73" s="8"/>
      <x:c r="O73" s="8"/>
      <x:c r="P73" s="8"/>
      <x:c r="Q73" s="8"/>
      <x:c r="R73" s="8"/>
      <x:c r="S73" s="8"/>
      <x:c r="T73" s="40"/>
      <x:c r="U73" s="23" t="str">
        <x:f>IF(X73="Ready",H73*IFERROR(IF(INDEX('Factors'!$G$9:$G$108,MATCH(I73,'Factors'!$C$9:$C$108,0))="","",INDEX('Factors'!$G$9:$G$108,MATCH(I73,'Factors'!$C$9:$C$108,0))),"")/1000+AB73,"")</x:f>
      </x:c>
      <x:c r="V73" s="23" t="str">
        <x:f>IF(Y73="Ready",J73*IFERROR(IF(INDEX('Factors'!$G$9:$G$108,MATCH(K73,'Factors'!$C$9:$C$108,0))="","",INDEX('Factors'!$G$9:$G$108,MATCH(K73,'Factors'!$C$9:$C$108,0))),"")/1000,"")</x:f>
      </x:c>
      <x:c r="W73" s="23" t="str">
        <x:f>IF(OR(Z73="Ready",Z73="Grid fallback"),(IF(M73&gt;0,M73*IFERROR(IF(INDEX('Factors'!$G$9:$G$108,MATCH(N73,'Factors'!$C$9:$C$108,0))="","",INDEX('Factors'!$G$9:$G$108,MATCH(N73,'Factors'!$C$9:$C$108,0))),""),0)+(J73-M73)*IF(M73=J73,0,IF(Q73="No",IFERROR(IF(INDEX('Factors'!$G$9:$G$108,MATCH(K73,'Factors'!$C$9:$C$108,0))="","",INDEX('Factors'!$G$9:$G$108,MATCH(K73,'Factors'!$C$9:$C$108,0))),""),IFERROR(IF(INDEX('Factors'!$G$9:$G$108,MATCH(R73,'Factors'!$C$9:$C$108,0))="","",INDEX('Factors'!$G$9:$G$108,MATCH(R73,'Factors'!$C$9:$C$108,0))),""))))/1000,"")</x:f>
      </x:c>
      <x:c r="X73" s="9" t="str">
        <x:f>IF(C73="","",IF(AND($D$6&lt;&gt;"Operational control",$D$6&lt;&gt;"Financial control"),"Control basis required",IF(F73="No","Outside control",IF(F73&lt;&gt;"Yes","Control review",IF(COUNTIFS($C$9:$C$108,C73)&lt;&gt;1,"Duplicate operation ID",IF(OR(S73="",NOT(ISNUMBER(T73)),T73&lt;'Settings'!$F$8,NOT(ISNUMBER(G73)),G73&lt;&gt;YEAR('Settings'!$F$8)),"Evidence / period review",IF(OR(NOT(ISNUMBER(H73)),H73&lt;0,AA73&lt;&gt;"Yes",NOT(ISNUMBER(AB73)),AB73&lt;0,AC73=""),"Activity required",IF(AND(IFERROR(IF(INDEX('Factors'!$P$9:$P$108,MATCH(I73,'Factors'!$C$9:$C$108,0))="","",INDEX('Factors'!$P$9:$P$108,MATCH(I73,'Factors'!$C$9:$C$108,0))),"")="Ready",IFERROR(IF(INDEX('Factors'!$F$9:$F$108,MATCH(I73,'Factors'!$C$9:$C$108,0))="","",INDEX('Factors'!$F$9:$F$108,MATCH(I73,'Factors'!$C$9:$C$108,0))),"")="litre",IFERROR(IF(INDEX('Factors'!$H$9:$H$108,MATCH(I73,'Factors'!$C$9:$C$108,0))="","",INDEX('Factors'!$H$9:$H$108,MATCH(I73,'Factors'!$C$9:$C$108,0))),"")="S1",IFERROR(IF(INDEX('Factors'!$I$9:$I$108,MATCH(I73,'Factors'!$C$9:$C$108,0))="","",INDEX('Factors'!$I$9:$I$108,MATCH(I73,'Factors'!$C$9:$C$108,0))),"")="Combustion",IFERROR(IF(INDEX('Factors'!$J$9:$J$108,MATCH(I73,'Factors'!$C$9:$C$108,0))="","",INDEX('Factors'!$J$9:$J$108,MATCH(I73,'Factors'!$C$9:$C$108,0))),"")=G73,OR(IFERROR(IF(INDEX('Factors'!$E$9:$E$108,MATCH(I73,'Factors'!$C$9:$C$108,0))="","",INDEX('Factors'!$E$9:$E$108,MATCH(I73,'Factors'!$C$9:$C$108,0))),"")="Global",IFERROR(IF(INDEX('Factors'!$E$9:$E$108,MATCH(I73,'Factors'!$C$9:$C$108,0))="","",INDEX('Factors'!$E$9:$E$108,MATCH(I73,'Factors'!$C$9:$C$108,0))),"")=D73)),"Ready","Factor / unit review"))))))))</x:f>
      </x:c>
      <x:c r="Y73" s="9" t="str">
        <x:f>IF(C73="","",IF(AND($D$6&lt;&gt;"Operational control",$D$6&lt;&gt;"Financial control"),"Control basis required",IF(F73="No","Outside control",IF(F73&lt;&gt;"Yes","Control review",IF(COUNTIFS($C$9:$C$108,C73)&lt;&gt;1,"Duplicate operation ID",IF(OR(S73="",NOT(ISNUMBER(T73)),T73&lt;'Settings'!$F$8,NOT(ISNUMBER(G73)),G73&lt;&gt;YEAR('Settings'!$F$8)),"Evidence / period review",IF(OR(NOT(ISNUMBER(J73)),J73&lt;0),"Activity required",IF(AND(IFERROR(IF(INDEX('Factors'!$P$9:$P$108,MATCH(K73,'Factors'!$C$9:$C$108,0))="","",INDEX('Factors'!$P$9:$P$108,MATCH(K73,'Factors'!$C$9:$C$108,0))),"")="Ready",IFERROR(IF(INDEX('Factors'!$F$9:$F$108,MATCH(K73,'Factors'!$C$9:$C$108,0))="","",INDEX('Factors'!$F$9:$F$108,MATCH(K73,'Factors'!$C$9:$C$108,0))),"")="kWh",IFERROR(IF(INDEX('Factors'!$H$9:$H$108,MATCH(K73,'Factors'!$C$9:$C$108,0))="","",INDEX('Factors'!$H$9:$H$108,MATCH(K73,'Factors'!$C$9:$C$108,0))),"")="S2",IFERROR(IF(INDEX('Factors'!$I$9:$I$108,MATCH(K73,'Factors'!$C$9:$C$108,0))="","",INDEX('Factors'!$I$9:$I$108,MATCH(K73,'Factors'!$C$9:$C$108,0))),"")="Location-based",IFERROR(IF(INDEX('Factors'!$J$9:$J$108,MATCH(K73,'Factors'!$C$9:$C$108,0))="","",INDEX('Factors'!$J$9:$J$108,MATCH(K73,'Factors'!$C$9:$C$108,0))),"")=G73,OR(IFERROR(IF(INDEX('Factors'!$E$9:$E$108,MATCH(K73,'Factors'!$C$9:$C$108,0))="","",INDEX('Factors'!$E$9:$E$108,MATCH(K73,'Factors'!$C$9:$C$108,0))),"")="Global",IFERROR(IF(INDEX('Factors'!$E$9:$E$108,MATCH(K73,'Factors'!$C$9:$C$108,0))="","",INDEX('Factors'!$E$9:$E$108,MATCH(K73,'Factors'!$C$9:$C$108,0))),"")=D73)),"Ready","Factor / unit review"))))))))</x:f>
      </x:c>
      <x:c r="Z73" s="9" t="str">
        <x:f>IF(C73="","",IF(F73="No","Outside control",IF(F73&lt;&gt;"Yes","Control review",IF($H$6="No","Not required",IF($H$6&lt;&gt;"Yes","Applicability review",IF(Y73&lt;&gt;"Ready",Y73,IF(OR(NOT(ISNUMBER(M73)),M73&lt;0,M73&gt;J73),"Contract quantity review",IF(AND(M73&gt;0,OR(O73&lt;&gt;"Pass",P73="",NOT(AND(IFERROR(IF(INDEX('Factors'!$P$9:$P$108,MATCH(N73,'Factors'!$C$9:$C$108,0))="","",INDEX('Factors'!$P$9:$P$108,MATCH(N73,'Factors'!$C$9:$C$108,0))),"")="Ready",IFERROR(IF(INDEX('Factors'!$F$9:$F$108,MATCH(N73,'Factors'!$C$9:$C$108,0))="","",INDEX('Factors'!$F$9:$F$108,MATCH(N73,'Factors'!$C$9:$C$108,0))),"")="kWh",IFERROR(IF(INDEX('Factors'!$H$9:$H$108,MATCH(N73,'Factors'!$C$9:$C$108,0))="","",INDEX('Factors'!$H$9:$H$108,MATCH(N73,'Factors'!$C$9:$C$108,0))),"")="S2",IFERROR(IF(INDEX('Factors'!$I$9:$I$108,MATCH(N73,'Factors'!$C$9:$C$108,0))="","",INDEX('Factors'!$I$9:$I$108,MATCH(N73,'Factors'!$C$9:$C$108,0))),"")="Market-based",IFERROR(IF(INDEX('Factors'!$J$9:$J$108,MATCH(N73,'Factors'!$C$9:$C$108,0))="","",INDEX('Factors'!$J$9:$J$108,MATCH(N73,'Factors'!$C$9:$C$108,0))),"")=G73,OR(IFERROR(IF(INDEX('Factors'!$E$9:$E$108,MATCH(N73,'Factors'!$C$9:$C$108,0))="","",INDEX('Factors'!$E$9:$E$108,MATCH(N73,'Factors'!$C$9:$C$108,0))),"")="Global",IFERROR(IF(INDEX('Factors'!$E$9:$E$108,MATCH(N73,'Factors'!$C$9:$C$108,0))="","",INDEX('Factors'!$E$9:$E$108,MATCH(N73,'Factors'!$C$9:$C$108,0))),"")=D73))))),"Contract criteria review",IF(M73=J73,"Ready",IF(Q73="No","Grid fallback",IF(Q73="Yes",IF(AND(IFERROR(IF(INDEX('Factors'!$P$9:$P$108,MATCH(R73,'Factors'!$C$9:$C$108,0))="","",INDEX('Factors'!$P$9:$P$108,MATCH(R73,'Factors'!$C$9:$C$108,0))),"")="Ready",IFERROR(IF(INDEX('Factors'!$F$9:$F$108,MATCH(R73,'Factors'!$C$9:$C$108,0))="","",INDEX('Factors'!$F$9:$F$108,MATCH(R73,'Factors'!$C$9:$C$108,0))),"")="kWh",IFERROR(IF(INDEX('Factors'!$H$9:$H$108,MATCH(R73,'Factors'!$C$9:$C$108,0))="","",INDEX('Factors'!$H$9:$H$108,MATCH(R73,'Factors'!$C$9:$C$108,0))),"")="S2",IFERROR(IF(INDEX('Factors'!$I$9:$I$108,MATCH(R73,'Factors'!$C$9:$C$108,0))="","",INDEX('Factors'!$I$9:$I$108,MATCH(R73,'Factors'!$C$9:$C$108,0))),"")="Residual mix",IFERROR(IF(INDEX('Factors'!$J$9:$J$108,MATCH(R73,'Factors'!$C$9:$C$108,0))="","",INDEX('Factors'!$J$9:$J$108,MATCH(R73,'Factors'!$C$9:$C$108,0))),"")=G73,OR(IFERROR(IF(INDEX('Factors'!$E$9:$E$108,MATCH(R73,'Factors'!$C$9:$C$108,0))="","",INDEX('Factors'!$E$9:$E$108,MATCH(R73,'Factors'!$C$9:$C$108,0))),"")="Global",IFERROR(IF(INDEX('Factors'!$E$9:$E$108,MATCH(R73,'Factors'!$C$9:$C$108,0))="","",INDEX('Factors'!$E$9:$E$108,MATCH(R73,'Factors'!$C$9:$C$108,0))),"")=D73)),"Ready","Residual factor review"),"Residual availability review")))))))))))</x:f>
      </x:c>
      <x:c r="AA73" s="8"/>
      <x:c r="AB73" s="16"/>
      <x:c r="AC73" s="8"/>
    </x:row>
    <x:row r="74" ht="36" customHeight="1">
      <x:c r="A74" s="1"/>
      <x:c r="B74" s="1"/>
      <x:c r="C74" s="8"/>
      <x:c r="D74" s="8"/>
      <x:c r="E74" s="8"/>
      <x:c r="F74" s="8"/>
      <x:c r="G74" s="22"/>
      <x:c r="H74" s="16"/>
      <x:c r="I74" s="8"/>
      <x:c r="J74" s="16"/>
      <x:c r="K74" s="8"/>
      <x:c r="L74" s="8"/>
      <x:c r="M74" s="16"/>
      <x:c r="N74" s="8"/>
      <x:c r="O74" s="8"/>
      <x:c r="P74" s="8"/>
      <x:c r="Q74" s="8"/>
      <x:c r="R74" s="8"/>
      <x:c r="S74" s="8"/>
      <x:c r="T74" s="40"/>
      <x:c r="U74" s="23" t="str">
        <x:f>IF(X74="Ready",H74*IFERROR(IF(INDEX('Factors'!$G$9:$G$108,MATCH(I74,'Factors'!$C$9:$C$108,0))="","",INDEX('Factors'!$G$9:$G$108,MATCH(I74,'Factors'!$C$9:$C$108,0))),"")/1000+AB74,"")</x:f>
      </x:c>
      <x:c r="V74" s="23" t="str">
        <x:f>IF(Y74="Ready",J74*IFERROR(IF(INDEX('Factors'!$G$9:$G$108,MATCH(K74,'Factors'!$C$9:$C$108,0))="","",INDEX('Factors'!$G$9:$G$108,MATCH(K74,'Factors'!$C$9:$C$108,0))),"")/1000,"")</x:f>
      </x:c>
      <x:c r="W74" s="23" t="str">
        <x:f>IF(OR(Z74="Ready",Z74="Grid fallback"),(IF(M74&gt;0,M74*IFERROR(IF(INDEX('Factors'!$G$9:$G$108,MATCH(N74,'Factors'!$C$9:$C$108,0))="","",INDEX('Factors'!$G$9:$G$108,MATCH(N74,'Factors'!$C$9:$C$108,0))),""),0)+(J74-M74)*IF(M74=J74,0,IF(Q74="No",IFERROR(IF(INDEX('Factors'!$G$9:$G$108,MATCH(K74,'Factors'!$C$9:$C$108,0))="","",INDEX('Factors'!$G$9:$G$108,MATCH(K74,'Factors'!$C$9:$C$108,0))),""),IFERROR(IF(INDEX('Factors'!$G$9:$G$108,MATCH(R74,'Factors'!$C$9:$C$108,0))="","",INDEX('Factors'!$G$9:$G$108,MATCH(R74,'Factors'!$C$9:$C$108,0))),""))))/1000,"")</x:f>
      </x:c>
      <x:c r="X74" s="9" t="str">
        <x:f>IF(C74="","",IF(AND($D$6&lt;&gt;"Operational control",$D$6&lt;&gt;"Financial control"),"Control basis required",IF(F74="No","Outside control",IF(F74&lt;&gt;"Yes","Control review",IF(COUNTIFS($C$9:$C$108,C74)&lt;&gt;1,"Duplicate operation ID",IF(OR(S74="",NOT(ISNUMBER(T74)),T74&lt;'Settings'!$F$8,NOT(ISNUMBER(G74)),G74&lt;&gt;YEAR('Settings'!$F$8)),"Evidence / period review",IF(OR(NOT(ISNUMBER(H74)),H74&lt;0,AA74&lt;&gt;"Yes",NOT(ISNUMBER(AB74)),AB74&lt;0,AC74=""),"Activity required",IF(AND(IFERROR(IF(INDEX('Factors'!$P$9:$P$108,MATCH(I74,'Factors'!$C$9:$C$108,0))="","",INDEX('Factors'!$P$9:$P$108,MATCH(I74,'Factors'!$C$9:$C$108,0))),"")="Ready",IFERROR(IF(INDEX('Factors'!$F$9:$F$108,MATCH(I74,'Factors'!$C$9:$C$108,0))="","",INDEX('Factors'!$F$9:$F$108,MATCH(I74,'Factors'!$C$9:$C$108,0))),"")="litre",IFERROR(IF(INDEX('Factors'!$H$9:$H$108,MATCH(I74,'Factors'!$C$9:$C$108,0))="","",INDEX('Factors'!$H$9:$H$108,MATCH(I74,'Factors'!$C$9:$C$108,0))),"")="S1",IFERROR(IF(INDEX('Factors'!$I$9:$I$108,MATCH(I74,'Factors'!$C$9:$C$108,0))="","",INDEX('Factors'!$I$9:$I$108,MATCH(I74,'Factors'!$C$9:$C$108,0))),"")="Combustion",IFERROR(IF(INDEX('Factors'!$J$9:$J$108,MATCH(I74,'Factors'!$C$9:$C$108,0))="","",INDEX('Factors'!$J$9:$J$108,MATCH(I74,'Factors'!$C$9:$C$108,0))),"")=G74,OR(IFERROR(IF(INDEX('Factors'!$E$9:$E$108,MATCH(I74,'Factors'!$C$9:$C$108,0))="","",INDEX('Factors'!$E$9:$E$108,MATCH(I74,'Factors'!$C$9:$C$108,0))),"")="Global",IFERROR(IF(INDEX('Factors'!$E$9:$E$108,MATCH(I74,'Factors'!$C$9:$C$108,0))="","",INDEX('Factors'!$E$9:$E$108,MATCH(I74,'Factors'!$C$9:$C$108,0))),"")=D74)),"Ready","Factor / unit review"))))))))</x:f>
      </x:c>
      <x:c r="Y74" s="9" t="str">
        <x:f>IF(C74="","",IF(AND($D$6&lt;&gt;"Operational control",$D$6&lt;&gt;"Financial control"),"Control basis required",IF(F74="No","Outside control",IF(F74&lt;&gt;"Yes","Control review",IF(COUNTIFS($C$9:$C$108,C74)&lt;&gt;1,"Duplicate operation ID",IF(OR(S74="",NOT(ISNUMBER(T74)),T74&lt;'Settings'!$F$8,NOT(ISNUMBER(G74)),G74&lt;&gt;YEAR('Settings'!$F$8)),"Evidence / period review",IF(OR(NOT(ISNUMBER(J74)),J74&lt;0),"Activity required",IF(AND(IFERROR(IF(INDEX('Factors'!$P$9:$P$108,MATCH(K74,'Factors'!$C$9:$C$108,0))="","",INDEX('Factors'!$P$9:$P$108,MATCH(K74,'Factors'!$C$9:$C$108,0))),"")="Ready",IFERROR(IF(INDEX('Factors'!$F$9:$F$108,MATCH(K74,'Factors'!$C$9:$C$108,0))="","",INDEX('Factors'!$F$9:$F$108,MATCH(K74,'Factors'!$C$9:$C$108,0))),"")="kWh",IFERROR(IF(INDEX('Factors'!$H$9:$H$108,MATCH(K74,'Factors'!$C$9:$C$108,0))="","",INDEX('Factors'!$H$9:$H$108,MATCH(K74,'Factors'!$C$9:$C$108,0))),"")="S2",IFERROR(IF(INDEX('Factors'!$I$9:$I$108,MATCH(K74,'Factors'!$C$9:$C$108,0))="","",INDEX('Factors'!$I$9:$I$108,MATCH(K74,'Factors'!$C$9:$C$108,0))),"")="Location-based",IFERROR(IF(INDEX('Factors'!$J$9:$J$108,MATCH(K74,'Factors'!$C$9:$C$108,0))="","",INDEX('Factors'!$J$9:$J$108,MATCH(K74,'Factors'!$C$9:$C$108,0))),"")=G74,OR(IFERROR(IF(INDEX('Factors'!$E$9:$E$108,MATCH(K74,'Factors'!$C$9:$C$108,0))="","",INDEX('Factors'!$E$9:$E$108,MATCH(K74,'Factors'!$C$9:$C$108,0))),"")="Global",IFERROR(IF(INDEX('Factors'!$E$9:$E$108,MATCH(K74,'Factors'!$C$9:$C$108,0))="","",INDEX('Factors'!$E$9:$E$108,MATCH(K74,'Factors'!$C$9:$C$108,0))),"")=D74)),"Ready","Factor / unit review"))))))))</x:f>
      </x:c>
      <x:c r="Z74" s="9" t="str">
        <x:f>IF(C74="","",IF(F74="No","Outside control",IF(F74&lt;&gt;"Yes","Control review",IF($H$6="No","Not required",IF($H$6&lt;&gt;"Yes","Applicability review",IF(Y74&lt;&gt;"Ready",Y74,IF(OR(NOT(ISNUMBER(M74)),M74&lt;0,M74&gt;J74),"Contract quantity review",IF(AND(M74&gt;0,OR(O74&lt;&gt;"Pass",P74="",NOT(AND(IFERROR(IF(INDEX('Factors'!$P$9:$P$108,MATCH(N74,'Factors'!$C$9:$C$108,0))="","",INDEX('Factors'!$P$9:$P$108,MATCH(N74,'Factors'!$C$9:$C$108,0))),"")="Ready",IFERROR(IF(INDEX('Factors'!$F$9:$F$108,MATCH(N74,'Factors'!$C$9:$C$108,0))="","",INDEX('Factors'!$F$9:$F$108,MATCH(N74,'Factors'!$C$9:$C$108,0))),"")="kWh",IFERROR(IF(INDEX('Factors'!$H$9:$H$108,MATCH(N74,'Factors'!$C$9:$C$108,0))="","",INDEX('Factors'!$H$9:$H$108,MATCH(N74,'Factors'!$C$9:$C$108,0))),"")="S2",IFERROR(IF(INDEX('Factors'!$I$9:$I$108,MATCH(N74,'Factors'!$C$9:$C$108,0))="","",INDEX('Factors'!$I$9:$I$108,MATCH(N74,'Factors'!$C$9:$C$108,0))),"")="Market-based",IFERROR(IF(INDEX('Factors'!$J$9:$J$108,MATCH(N74,'Factors'!$C$9:$C$108,0))="","",INDEX('Factors'!$J$9:$J$108,MATCH(N74,'Factors'!$C$9:$C$108,0))),"")=G74,OR(IFERROR(IF(INDEX('Factors'!$E$9:$E$108,MATCH(N74,'Factors'!$C$9:$C$108,0))="","",INDEX('Factors'!$E$9:$E$108,MATCH(N74,'Factors'!$C$9:$C$108,0))),"")="Global",IFERROR(IF(INDEX('Factors'!$E$9:$E$108,MATCH(N74,'Factors'!$C$9:$C$108,0))="","",INDEX('Factors'!$E$9:$E$108,MATCH(N74,'Factors'!$C$9:$C$108,0))),"")=D74))))),"Contract criteria review",IF(M74=J74,"Ready",IF(Q74="No","Grid fallback",IF(Q74="Yes",IF(AND(IFERROR(IF(INDEX('Factors'!$P$9:$P$108,MATCH(R74,'Factors'!$C$9:$C$108,0))="","",INDEX('Factors'!$P$9:$P$108,MATCH(R74,'Factors'!$C$9:$C$108,0))),"")="Ready",IFERROR(IF(INDEX('Factors'!$F$9:$F$108,MATCH(R74,'Factors'!$C$9:$C$108,0))="","",INDEX('Factors'!$F$9:$F$108,MATCH(R74,'Factors'!$C$9:$C$108,0))),"")="kWh",IFERROR(IF(INDEX('Factors'!$H$9:$H$108,MATCH(R74,'Factors'!$C$9:$C$108,0))="","",INDEX('Factors'!$H$9:$H$108,MATCH(R74,'Factors'!$C$9:$C$108,0))),"")="S2",IFERROR(IF(INDEX('Factors'!$I$9:$I$108,MATCH(R74,'Factors'!$C$9:$C$108,0))="","",INDEX('Factors'!$I$9:$I$108,MATCH(R74,'Factors'!$C$9:$C$108,0))),"")="Residual mix",IFERROR(IF(INDEX('Factors'!$J$9:$J$108,MATCH(R74,'Factors'!$C$9:$C$108,0))="","",INDEX('Factors'!$J$9:$J$108,MATCH(R74,'Factors'!$C$9:$C$108,0))),"")=G74,OR(IFERROR(IF(INDEX('Factors'!$E$9:$E$108,MATCH(R74,'Factors'!$C$9:$C$108,0))="","",INDEX('Factors'!$E$9:$E$108,MATCH(R74,'Factors'!$C$9:$C$108,0))),"")="Global",IFERROR(IF(INDEX('Factors'!$E$9:$E$108,MATCH(R74,'Factors'!$C$9:$C$108,0))="","",INDEX('Factors'!$E$9:$E$108,MATCH(R74,'Factors'!$C$9:$C$108,0))),"")=D74)),"Ready","Residual factor review"),"Residual availability review")))))))))))</x:f>
      </x:c>
      <x:c r="AA74" s="8"/>
      <x:c r="AB74" s="16"/>
      <x:c r="AC74" s="8"/>
    </x:row>
    <x:row r="75" ht="36" customHeight="1">
      <x:c r="A75" s="1"/>
      <x:c r="B75" s="1"/>
      <x:c r="C75" s="8"/>
      <x:c r="D75" s="8"/>
      <x:c r="E75" s="8"/>
      <x:c r="F75" s="8"/>
      <x:c r="G75" s="22"/>
      <x:c r="H75" s="16"/>
      <x:c r="I75" s="8"/>
      <x:c r="J75" s="16"/>
      <x:c r="K75" s="8"/>
      <x:c r="L75" s="8"/>
      <x:c r="M75" s="16"/>
      <x:c r="N75" s="8"/>
      <x:c r="O75" s="8"/>
      <x:c r="P75" s="8"/>
      <x:c r="Q75" s="8"/>
      <x:c r="R75" s="8"/>
      <x:c r="S75" s="8"/>
      <x:c r="T75" s="40"/>
      <x:c r="U75" s="23" t="str">
        <x:f>IF(X75="Ready",H75*IFERROR(IF(INDEX('Factors'!$G$9:$G$108,MATCH(I75,'Factors'!$C$9:$C$108,0))="","",INDEX('Factors'!$G$9:$G$108,MATCH(I75,'Factors'!$C$9:$C$108,0))),"")/1000+AB75,"")</x:f>
      </x:c>
      <x:c r="V75" s="23" t="str">
        <x:f>IF(Y75="Ready",J75*IFERROR(IF(INDEX('Factors'!$G$9:$G$108,MATCH(K75,'Factors'!$C$9:$C$108,0))="","",INDEX('Factors'!$G$9:$G$108,MATCH(K75,'Factors'!$C$9:$C$108,0))),"")/1000,"")</x:f>
      </x:c>
      <x:c r="W75" s="23" t="str">
        <x:f>IF(OR(Z75="Ready",Z75="Grid fallback"),(IF(M75&gt;0,M75*IFERROR(IF(INDEX('Factors'!$G$9:$G$108,MATCH(N75,'Factors'!$C$9:$C$108,0))="","",INDEX('Factors'!$G$9:$G$108,MATCH(N75,'Factors'!$C$9:$C$108,0))),""),0)+(J75-M75)*IF(M75=J75,0,IF(Q75="No",IFERROR(IF(INDEX('Factors'!$G$9:$G$108,MATCH(K75,'Factors'!$C$9:$C$108,0))="","",INDEX('Factors'!$G$9:$G$108,MATCH(K75,'Factors'!$C$9:$C$108,0))),""),IFERROR(IF(INDEX('Factors'!$G$9:$G$108,MATCH(R75,'Factors'!$C$9:$C$108,0))="","",INDEX('Factors'!$G$9:$G$108,MATCH(R75,'Factors'!$C$9:$C$108,0))),""))))/1000,"")</x:f>
      </x:c>
      <x:c r="X75" s="9" t="str">
        <x:f>IF(C75="","",IF(AND($D$6&lt;&gt;"Operational control",$D$6&lt;&gt;"Financial control"),"Control basis required",IF(F75="No","Outside control",IF(F75&lt;&gt;"Yes","Control review",IF(COUNTIFS($C$9:$C$108,C75)&lt;&gt;1,"Duplicate operation ID",IF(OR(S75="",NOT(ISNUMBER(T75)),T75&lt;'Settings'!$F$8,NOT(ISNUMBER(G75)),G75&lt;&gt;YEAR('Settings'!$F$8)),"Evidence / period review",IF(OR(NOT(ISNUMBER(H75)),H75&lt;0,AA75&lt;&gt;"Yes",NOT(ISNUMBER(AB75)),AB75&lt;0,AC75=""),"Activity required",IF(AND(IFERROR(IF(INDEX('Factors'!$P$9:$P$108,MATCH(I75,'Factors'!$C$9:$C$108,0))="","",INDEX('Factors'!$P$9:$P$108,MATCH(I75,'Factors'!$C$9:$C$108,0))),"")="Ready",IFERROR(IF(INDEX('Factors'!$F$9:$F$108,MATCH(I75,'Factors'!$C$9:$C$108,0))="","",INDEX('Factors'!$F$9:$F$108,MATCH(I75,'Factors'!$C$9:$C$108,0))),"")="litre",IFERROR(IF(INDEX('Factors'!$H$9:$H$108,MATCH(I75,'Factors'!$C$9:$C$108,0))="","",INDEX('Factors'!$H$9:$H$108,MATCH(I75,'Factors'!$C$9:$C$108,0))),"")="S1",IFERROR(IF(INDEX('Factors'!$I$9:$I$108,MATCH(I75,'Factors'!$C$9:$C$108,0))="","",INDEX('Factors'!$I$9:$I$108,MATCH(I75,'Factors'!$C$9:$C$108,0))),"")="Combustion",IFERROR(IF(INDEX('Factors'!$J$9:$J$108,MATCH(I75,'Factors'!$C$9:$C$108,0))="","",INDEX('Factors'!$J$9:$J$108,MATCH(I75,'Factors'!$C$9:$C$108,0))),"")=G75,OR(IFERROR(IF(INDEX('Factors'!$E$9:$E$108,MATCH(I75,'Factors'!$C$9:$C$108,0))="","",INDEX('Factors'!$E$9:$E$108,MATCH(I75,'Factors'!$C$9:$C$108,0))),"")="Global",IFERROR(IF(INDEX('Factors'!$E$9:$E$108,MATCH(I75,'Factors'!$C$9:$C$108,0))="","",INDEX('Factors'!$E$9:$E$108,MATCH(I75,'Factors'!$C$9:$C$108,0))),"")=D75)),"Ready","Factor / unit review"))))))))</x:f>
      </x:c>
      <x:c r="Y75" s="9" t="str">
        <x:f>IF(C75="","",IF(AND($D$6&lt;&gt;"Operational control",$D$6&lt;&gt;"Financial control"),"Control basis required",IF(F75="No","Outside control",IF(F75&lt;&gt;"Yes","Control review",IF(COUNTIFS($C$9:$C$108,C75)&lt;&gt;1,"Duplicate operation ID",IF(OR(S75="",NOT(ISNUMBER(T75)),T75&lt;'Settings'!$F$8,NOT(ISNUMBER(G75)),G75&lt;&gt;YEAR('Settings'!$F$8)),"Evidence / period review",IF(OR(NOT(ISNUMBER(J75)),J75&lt;0),"Activity required",IF(AND(IFERROR(IF(INDEX('Factors'!$P$9:$P$108,MATCH(K75,'Factors'!$C$9:$C$108,0))="","",INDEX('Factors'!$P$9:$P$108,MATCH(K75,'Factors'!$C$9:$C$108,0))),"")="Ready",IFERROR(IF(INDEX('Factors'!$F$9:$F$108,MATCH(K75,'Factors'!$C$9:$C$108,0))="","",INDEX('Factors'!$F$9:$F$108,MATCH(K75,'Factors'!$C$9:$C$108,0))),"")="kWh",IFERROR(IF(INDEX('Factors'!$H$9:$H$108,MATCH(K75,'Factors'!$C$9:$C$108,0))="","",INDEX('Factors'!$H$9:$H$108,MATCH(K75,'Factors'!$C$9:$C$108,0))),"")="S2",IFERROR(IF(INDEX('Factors'!$I$9:$I$108,MATCH(K75,'Factors'!$C$9:$C$108,0))="","",INDEX('Factors'!$I$9:$I$108,MATCH(K75,'Factors'!$C$9:$C$108,0))),"")="Location-based",IFERROR(IF(INDEX('Factors'!$J$9:$J$108,MATCH(K75,'Factors'!$C$9:$C$108,0))="","",INDEX('Factors'!$J$9:$J$108,MATCH(K75,'Factors'!$C$9:$C$108,0))),"")=G75,OR(IFERROR(IF(INDEX('Factors'!$E$9:$E$108,MATCH(K75,'Factors'!$C$9:$C$108,0))="","",INDEX('Factors'!$E$9:$E$108,MATCH(K75,'Factors'!$C$9:$C$108,0))),"")="Global",IFERROR(IF(INDEX('Factors'!$E$9:$E$108,MATCH(K75,'Factors'!$C$9:$C$108,0))="","",INDEX('Factors'!$E$9:$E$108,MATCH(K75,'Factors'!$C$9:$C$108,0))),"")=D75)),"Ready","Factor / unit review"))))))))</x:f>
      </x:c>
      <x:c r="Z75" s="9" t="str">
        <x:f>IF(C75="","",IF(F75="No","Outside control",IF(F75&lt;&gt;"Yes","Control review",IF($H$6="No","Not required",IF($H$6&lt;&gt;"Yes","Applicability review",IF(Y75&lt;&gt;"Ready",Y75,IF(OR(NOT(ISNUMBER(M75)),M75&lt;0,M75&gt;J75),"Contract quantity review",IF(AND(M75&gt;0,OR(O75&lt;&gt;"Pass",P75="",NOT(AND(IFERROR(IF(INDEX('Factors'!$P$9:$P$108,MATCH(N75,'Factors'!$C$9:$C$108,0))="","",INDEX('Factors'!$P$9:$P$108,MATCH(N75,'Factors'!$C$9:$C$108,0))),"")="Ready",IFERROR(IF(INDEX('Factors'!$F$9:$F$108,MATCH(N75,'Factors'!$C$9:$C$108,0))="","",INDEX('Factors'!$F$9:$F$108,MATCH(N75,'Factors'!$C$9:$C$108,0))),"")="kWh",IFERROR(IF(INDEX('Factors'!$H$9:$H$108,MATCH(N75,'Factors'!$C$9:$C$108,0))="","",INDEX('Factors'!$H$9:$H$108,MATCH(N75,'Factors'!$C$9:$C$108,0))),"")="S2",IFERROR(IF(INDEX('Factors'!$I$9:$I$108,MATCH(N75,'Factors'!$C$9:$C$108,0))="","",INDEX('Factors'!$I$9:$I$108,MATCH(N75,'Factors'!$C$9:$C$108,0))),"")="Market-based",IFERROR(IF(INDEX('Factors'!$J$9:$J$108,MATCH(N75,'Factors'!$C$9:$C$108,0))="","",INDEX('Factors'!$J$9:$J$108,MATCH(N75,'Factors'!$C$9:$C$108,0))),"")=G75,OR(IFERROR(IF(INDEX('Factors'!$E$9:$E$108,MATCH(N75,'Factors'!$C$9:$C$108,0))="","",INDEX('Factors'!$E$9:$E$108,MATCH(N75,'Factors'!$C$9:$C$108,0))),"")="Global",IFERROR(IF(INDEX('Factors'!$E$9:$E$108,MATCH(N75,'Factors'!$C$9:$C$108,0))="","",INDEX('Factors'!$E$9:$E$108,MATCH(N75,'Factors'!$C$9:$C$108,0))),"")=D75))))),"Contract criteria review",IF(M75=J75,"Ready",IF(Q75="No","Grid fallback",IF(Q75="Yes",IF(AND(IFERROR(IF(INDEX('Factors'!$P$9:$P$108,MATCH(R75,'Factors'!$C$9:$C$108,0))="","",INDEX('Factors'!$P$9:$P$108,MATCH(R75,'Factors'!$C$9:$C$108,0))),"")="Ready",IFERROR(IF(INDEX('Factors'!$F$9:$F$108,MATCH(R75,'Factors'!$C$9:$C$108,0))="","",INDEX('Factors'!$F$9:$F$108,MATCH(R75,'Factors'!$C$9:$C$108,0))),"")="kWh",IFERROR(IF(INDEX('Factors'!$H$9:$H$108,MATCH(R75,'Factors'!$C$9:$C$108,0))="","",INDEX('Factors'!$H$9:$H$108,MATCH(R75,'Factors'!$C$9:$C$108,0))),"")="S2",IFERROR(IF(INDEX('Factors'!$I$9:$I$108,MATCH(R75,'Factors'!$C$9:$C$108,0))="","",INDEX('Factors'!$I$9:$I$108,MATCH(R75,'Factors'!$C$9:$C$108,0))),"")="Residual mix",IFERROR(IF(INDEX('Factors'!$J$9:$J$108,MATCH(R75,'Factors'!$C$9:$C$108,0))="","",INDEX('Factors'!$J$9:$J$108,MATCH(R75,'Factors'!$C$9:$C$108,0))),"")=G75,OR(IFERROR(IF(INDEX('Factors'!$E$9:$E$108,MATCH(R75,'Factors'!$C$9:$C$108,0))="","",INDEX('Factors'!$E$9:$E$108,MATCH(R75,'Factors'!$C$9:$C$108,0))),"")="Global",IFERROR(IF(INDEX('Factors'!$E$9:$E$108,MATCH(R75,'Factors'!$C$9:$C$108,0))="","",INDEX('Factors'!$E$9:$E$108,MATCH(R75,'Factors'!$C$9:$C$108,0))),"")=D75)),"Ready","Residual factor review"),"Residual availability review")))))))))))</x:f>
      </x:c>
      <x:c r="AA75" s="8"/>
      <x:c r="AB75" s="16"/>
      <x:c r="AC75" s="8"/>
    </x:row>
    <x:row r="76" ht="36" customHeight="1">
      <x:c r="A76" s="1"/>
      <x:c r="B76" s="1"/>
      <x:c r="C76" s="8"/>
      <x:c r="D76" s="8"/>
      <x:c r="E76" s="8"/>
      <x:c r="F76" s="8"/>
      <x:c r="G76" s="22"/>
      <x:c r="H76" s="16"/>
      <x:c r="I76" s="8"/>
      <x:c r="J76" s="16"/>
      <x:c r="K76" s="8"/>
      <x:c r="L76" s="8"/>
      <x:c r="M76" s="16"/>
      <x:c r="N76" s="8"/>
      <x:c r="O76" s="8"/>
      <x:c r="P76" s="8"/>
      <x:c r="Q76" s="8"/>
      <x:c r="R76" s="8"/>
      <x:c r="S76" s="8"/>
      <x:c r="T76" s="40"/>
      <x:c r="U76" s="23" t="str">
        <x:f>IF(X76="Ready",H76*IFERROR(IF(INDEX('Factors'!$G$9:$G$108,MATCH(I76,'Factors'!$C$9:$C$108,0))="","",INDEX('Factors'!$G$9:$G$108,MATCH(I76,'Factors'!$C$9:$C$108,0))),"")/1000+AB76,"")</x:f>
      </x:c>
      <x:c r="V76" s="23" t="str">
        <x:f>IF(Y76="Ready",J76*IFERROR(IF(INDEX('Factors'!$G$9:$G$108,MATCH(K76,'Factors'!$C$9:$C$108,0))="","",INDEX('Factors'!$G$9:$G$108,MATCH(K76,'Factors'!$C$9:$C$108,0))),"")/1000,"")</x:f>
      </x:c>
      <x:c r="W76" s="23" t="str">
        <x:f>IF(OR(Z76="Ready",Z76="Grid fallback"),(IF(M76&gt;0,M76*IFERROR(IF(INDEX('Factors'!$G$9:$G$108,MATCH(N76,'Factors'!$C$9:$C$108,0))="","",INDEX('Factors'!$G$9:$G$108,MATCH(N76,'Factors'!$C$9:$C$108,0))),""),0)+(J76-M76)*IF(M76=J76,0,IF(Q76="No",IFERROR(IF(INDEX('Factors'!$G$9:$G$108,MATCH(K76,'Factors'!$C$9:$C$108,0))="","",INDEX('Factors'!$G$9:$G$108,MATCH(K76,'Factors'!$C$9:$C$108,0))),""),IFERROR(IF(INDEX('Factors'!$G$9:$G$108,MATCH(R76,'Factors'!$C$9:$C$108,0))="","",INDEX('Factors'!$G$9:$G$108,MATCH(R76,'Factors'!$C$9:$C$108,0))),""))))/1000,"")</x:f>
      </x:c>
      <x:c r="X76" s="9" t="str">
        <x:f>IF(C76="","",IF(AND($D$6&lt;&gt;"Operational control",$D$6&lt;&gt;"Financial control"),"Control basis required",IF(F76="No","Outside control",IF(F76&lt;&gt;"Yes","Control review",IF(COUNTIFS($C$9:$C$108,C76)&lt;&gt;1,"Duplicate operation ID",IF(OR(S76="",NOT(ISNUMBER(T76)),T76&lt;'Settings'!$F$8,NOT(ISNUMBER(G76)),G76&lt;&gt;YEAR('Settings'!$F$8)),"Evidence / period review",IF(OR(NOT(ISNUMBER(H76)),H76&lt;0,AA76&lt;&gt;"Yes",NOT(ISNUMBER(AB76)),AB76&lt;0,AC76=""),"Activity required",IF(AND(IFERROR(IF(INDEX('Factors'!$P$9:$P$108,MATCH(I76,'Factors'!$C$9:$C$108,0))="","",INDEX('Factors'!$P$9:$P$108,MATCH(I76,'Factors'!$C$9:$C$108,0))),"")="Ready",IFERROR(IF(INDEX('Factors'!$F$9:$F$108,MATCH(I76,'Factors'!$C$9:$C$108,0))="","",INDEX('Factors'!$F$9:$F$108,MATCH(I76,'Factors'!$C$9:$C$108,0))),"")="litre",IFERROR(IF(INDEX('Factors'!$H$9:$H$108,MATCH(I76,'Factors'!$C$9:$C$108,0))="","",INDEX('Factors'!$H$9:$H$108,MATCH(I76,'Factors'!$C$9:$C$108,0))),"")="S1",IFERROR(IF(INDEX('Factors'!$I$9:$I$108,MATCH(I76,'Factors'!$C$9:$C$108,0))="","",INDEX('Factors'!$I$9:$I$108,MATCH(I76,'Factors'!$C$9:$C$108,0))),"")="Combustion",IFERROR(IF(INDEX('Factors'!$J$9:$J$108,MATCH(I76,'Factors'!$C$9:$C$108,0))="","",INDEX('Factors'!$J$9:$J$108,MATCH(I76,'Factors'!$C$9:$C$108,0))),"")=G76,OR(IFERROR(IF(INDEX('Factors'!$E$9:$E$108,MATCH(I76,'Factors'!$C$9:$C$108,0))="","",INDEX('Factors'!$E$9:$E$108,MATCH(I76,'Factors'!$C$9:$C$108,0))),"")="Global",IFERROR(IF(INDEX('Factors'!$E$9:$E$108,MATCH(I76,'Factors'!$C$9:$C$108,0))="","",INDEX('Factors'!$E$9:$E$108,MATCH(I76,'Factors'!$C$9:$C$108,0))),"")=D76)),"Ready","Factor / unit review"))))))))</x:f>
      </x:c>
      <x:c r="Y76" s="9" t="str">
        <x:f>IF(C76="","",IF(AND($D$6&lt;&gt;"Operational control",$D$6&lt;&gt;"Financial control"),"Control basis required",IF(F76="No","Outside control",IF(F76&lt;&gt;"Yes","Control review",IF(COUNTIFS($C$9:$C$108,C76)&lt;&gt;1,"Duplicate operation ID",IF(OR(S76="",NOT(ISNUMBER(T76)),T76&lt;'Settings'!$F$8,NOT(ISNUMBER(G76)),G76&lt;&gt;YEAR('Settings'!$F$8)),"Evidence / period review",IF(OR(NOT(ISNUMBER(J76)),J76&lt;0),"Activity required",IF(AND(IFERROR(IF(INDEX('Factors'!$P$9:$P$108,MATCH(K76,'Factors'!$C$9:$C$108,0))="","",INDEX('Factors'!$P$9:$P$108,MATCH(K76,'Factors'!$C$9:$C$108,0))),"")="Ready",IFERROR(IF(INDEX('Factors'!$F$9:$F$108,MATCH(K76,'Factors'!$C$9:$C$108,0))="","",INDEX('Factors'!$F$9:$F$108,MATCH(K76,'Factors'!$C$9:$C$108,0))),"")="kWh",IFERROR(IF(INDEX('Factors'!$H$9:$H$108,MATCH(K76,'Factors'!$C$9:$C$108,0))="","",INDEX('Factors'!$H$9:$H$108,MATCH(K76,'Factors'!$C$9:$C$108,0))),"")="S2",IFERROR(IF(INDEX('Factors'!$I$9:$I$108,MATCH(K76,'Factors'!$C$9:$C$108,0))="","",INDEX('Factors'!$I$9:$I$108,MATCH(K76,'Factors'!$C$9:$C$108,0))),"")="Location-based",IFERROR(IF(INDEX('Factors'!$J$9:$J$108,MATCH(K76,'Factors'!$C$9:$C$108,0))="","",INDEX('Factors'!$J$9:$J$108,MATCH(K76,'Factors'!$C$9:$C$108,0))),"")=G76,OR(IFERROR(IF(INDEX('Factors'!$E$9:$E$108,MATCH(K76,'Factors'!$C$9:$C$108,0))="","",INDEX('Factors'!$E$9:$E$108,MATCH(K76,'Factors'!$C$9:$C$108,0))),"")="Global",IFERROR(IF(INDEX('Factors'!$E$9:$E$108,MATCH(K76,'Factors'!$C$9:$C$108,0))="","",INDEX('Factors'!$E$9:$E$108,MATCH(K76,'Factors'!$C$9:$C$108,0))),"")=D76)),"Ready","Factor / unit review"))))))))</x:f>
      </x:c>
      <x:c r="Z76" s="9" t="str">
        <x:f>IF(C76="","",IF(F76="No","Outside control",IF(F76&lt;&gt;"Yes","Control review",IF($H$6="No","Not required",IF($H$6&lt;&gt;"Yes","Applicability review",IF(Y76&lt;&gt;"Ready",Y76,IF(OR(NOT(ISNUMBER(M76)),M76&lt;0,M76&gt;J76),"Contract quantity review",IF(AND(M76&gt;0,OR(O76&lt;&gt;"Pass",P76="",NOT(AND(IFERROR(IF(INDEX('Factors'!$P$9:$P$108,MATCH(N76,'Factors'!$C$9:$C$108,0))="","",INDEX('Factors'!$P$9:$P$108,MATCH(N76,'Factors'!$C$9:$C$108,0))),"")="Ready",IFERROR(IF(INDEX('Factors'!$F$9:$F$108,MATCH(N76,'Factors'!$C$9:$C$108,0))="","",INDEX('Factors'!$F$9:$F$108,MATCH(N76,'Factors'!$C$9:$C$108,0))),"")="kWh",IFERROR(IF(INDEX('Factors'!$H$9:$H$108,MATCH(N76,'Factors'!$C$9:$C$108,0))="","",INDEX('Factors'!$H$9:$H$108,MATCH(N76,'Factors'!$C$9:$C$108,0))),"")="S2",IFERROR(IF(INDEX('Factors'!$I$9:$I$108,MATCH(N76,'Factors'!$C$9:$C$108,0))="","",INDEX('Factors'!$I$9:$I$108,MATCH(N76,'Factors'!$C$9:$C$108,0))),"")="Market-based",IFERROR(IF(INDEX('Factors'!$J$9:$J$108,MATCH(N76,'Factors'!$C$9:$C$108,0))="","",INDEX('Factors'!$J$9:$J$108,MATCH(N76,'Factors'!$C$9:$C$108,0))),"")=G76,OR(IFERROR(IF(INDEX('Factors'!$E$9:$E$108,MATCH(N76,'Factors'!$C$9:$C$108,0))="","",INDEX('Factors'!$E$9:$E$108,MATCH(N76,'Factors'!$C$9:$C$108,0))),"")="Global",IFERROR(IF(INDEX('Factors'!$E$9:$E$108,MATCH(N76,'Factors'!$C$9:$C$108,0))="","",INDEX('Factors'!$E$9:$E$108,MATCH(N76,'Factors'!$C$9:$C$108,0))),"")=D76))))),"Contract criteria review",IF(M76=J76,"Ready",IF(Q76="No","Grid fallback",IF(Q76="Yes",IF(AND(IFERROR(IF(INDEX('Factors'!$P$9:$P$108,MATCH(R76,'Factors'!$C$9:$C$108,0))="","",INDEX('Factors'!$P$9:$P$108,MATCH(R76,'Factors'!$C$9:$C$108,0))),"")="Ready",IFERROR(IF(INDEX('Factors'!$F$9:$F$108,MATCH(R76,'Factors'!$C$9:$C$108,0))="","",INDEX('Factors'!$F$9:$F$108,MATCH(R76,'Factors'!$C$9:$C$108,0))),"")="kWh",IFERROR(IF(INDEX('Factors'!$H$9:$H$108,MATCH(R76,'Factors'!$C$9:$C$108,0))="","",INDEX('Factors'!$H$9:$H$108,MATCH(R76,'Factors'!$C$9:$C$108,0))),"")="S2",IFERROR(IF(INDEX('Factors'!$I$9:$I$108,MATCH(R76,'Factors'!$C$9:$C$108,0))="","",INDEX('Factors'!$I$9:$I$108,MATCH(R76,'Factors'!$C$9:$C$108,0))),"")="Residual mix",IFERROR(IF(INDEX('Factors'!$J$9:$J$108,MATCH(R76,'Factors'!$C$9:$C$108,0))="","",INDEX('Factors'!$J$9:$J$108,MATCH(R76,'Factors'!$C$9:$C$108,0))),"")=G76,OR(IFERROR(IF(INDEX('Factors'!$E$9:$E$108,MATCH(R76,'Factors'!$C$9:$C$108,0))="","",INDEX('Factors'!$E$9:$E$108,MATCH(R76,'Factors'!$C$9:$C$108,0))),"")="Global",IFERROR(IF(INDEX('Factors'!$E$9:$E$108,MATCH(R76,'Factors'!$C$9:$C$108,0))="","",INDEX('Factors'!$E$9:$E$108,MATCH(R76,'Factors'!$C$9:$C$108,0))),"")=D76)),"Ready","Residual factor review"),"Residual availability review")))))))))))</x:f>
      </x:c>
      <x:c r="AA76" s="8"/>
      <x:c r="AB76" s="16"/>
      <x:c r="AC76" s="8"/>
    </x:row>
    <x:row r="77" ht="36" customHeight="1">
      <x:c r="A77" s="1"/>
      <x:c r="B77" s="1"/>
      <x:c r="C77" s="8"/>
      <x:c r="D77" s="8"/>
      <x:c r="E77" s="8"/>
      <x:c r="F77" s="8"/>
      <x:c r="G77" s="22"/>
      <x:c r="H77" s="16"/>
      <x:c r="I77" s="8"/>
      <x:c r="J77" s="16"/>
      <x:c r="K77" s="8"/>
      <x:c r="L77" s="8"/>
      <x:c r="M77" s="16"/>
      <x:c r="N77" s="8"/>
      <x:c r="O77" s="8"/>
      <x:c r="P77" s="8"/>
      <x:c r="Q77" s="8"/>
      <x:c r="R77" s="8"/>
      <x:c r="S77" s="8"/>
      <x:c r="T77" s="40"/>
      <x:c r="U77" s="23" t="str">
        <x:f>IF(X77="Ready",H77*IFERROR(IF(INDEX('Factors'!$G$9:$G$108,MATCH(I77,'Factors'!$C$9:$C$108,0))="","",INDEX('Factors'!$G$9:$G$108,MATCH(I77,'Factors'!$C$9:$C$108,0))),"")/1000+AB77,"")</x:f>
      </x:c>
      <x:c r="V77" s="23" t="str">
        <x:f>IF(Y77="Ready",J77*IFERROR(IF(INDEX('Factors'!$G$9:$G$108,MATCH(K77,'Factors'!$C$9:$C$108,0))="","",INDEX('Factors'!$G$9:$G$108,MATCH(K77,'Factors'!$C$9:$C$108,0))),"")/1000,"")</x:f>
      </x:c>
      <x:c r="W77" s="23" t="str">
        <x:f>IF(OR(Z77="Ready",Z77="Grid fallback"),(IF(M77&gt;0,M77*IFERROR(IF(INDEX('Factors'!$G$9:$G$108,MATCH(N77,'Factors'!$C$9:$C$108,0))="","",INDEX('Factors'!$G$9:$G$108,MATCH(N77,'Factors'!$C$9:$C$108,0))),""),0)+(J77-M77)*IF(M77=J77,0,IF(Q77="No",IFERROR(IF(INDEX('Factors'!$G$9:$G$108,MATCH(K77,'Factors'!$C$9:$C$108,0))="","",INDEX('Factors'!$G$9:$G$108,MATCH(K77,'Factors'!$C$9:$C$108,0))),""),IFERROR(IF(INDEX('Factors'!$G$9:$G$108,MATCH(R77,'Factors'!$C$9:$C$108,0))="","",INDEX('Factors'!$G$9:$G$108,MATCH(R77,'Factors'!$C$9:$C$108,0))),""))))/1000,"")</x:f>
      </x:c>
      <x:c r="X77" s="9" t="str">
        <x:f>IF(C77="","",IF(AND($D$6&lt;&gt;"Operational control",$D$6&lt;&gt;"Financial control"),"Control basis required",IF(F77="No","Outside control",IF(F77&lt;&gt;"Yes","Control review",IF(COUNTIFS($C$9:$C$108,C77)&lt;&gt;1,"Duplicate operation ID",IF(OR(S77="",NOT(ISNUMBER(T77)),T77&lt;'Settings'!$F$8,NOT(ISNUMBER(G77)),G77&lt;&gt;YEAR('Settings'!$F$8)),"Evidence / period review",IF(OR(NOT(ISNUMBER(H77)),H77&lt;0,AA77&lt;&gt;"Yes",NOT(ISNUMBER(AB77)),AB77&lt;0,AC77=""),"Activity required",IF(AND(IFERROR(IF(INDEX('Factors'!$P$9:$P$108,MATCH(I77,'Factors'!$C$9:$C$108,0))="","",INDEX('Factors'!$P$9:$P$108,MATCH(I77,'Factors'!$C$9:$C$108,0))),"")="Ready",IFERROR(IF(INDEX('Factors'!$F$9:$F$108,MATCH(I77,'Factors'!$C$9:$C$108,0))="","",INDEX('Factors'!$F$9:$F$108,MATCH(I77,'Factors'!$C$9:$C$108,0))),"")="litre",IFERROR(IF(INDEX('Factors'!$H$9:$H$108,MATCH(I77,'Factors'!$C$9:$C$108,0))="","",INDEX('Factors'!$H$9:$H$108,MATCH(I77,'Factors'!$C$9:$C$108,0))),"")="S1",IFERROR(IF(INDEX('Factors'!$I$9:$I$108,MATCH(I77,'Factors'!$C$9:$C$108,0))="","",INDEX('Factors'!$I$9:$I$108,MATCH(I77,'Factors'!$C$9:$C$108,0))),"")="Combustion",IFERROR(IF(INDEX('Factors'!$J$9:$J$108,MATCH(I77,'Factors'!$C$9:$C$108,0))="","",INDEX('Factors'!$J$9:$J$108,MATCH(I77,'Factors'!$C$9:$C$108,0))),"")=G77,OR(IFERROR(IF(INDEX('Factors'!$E$9:$E$108,MATCH(I77,'Factors'!$C$9:$C$108,0))="","",INDEX('Factors'!$E$9:$E$108,MATCH(I77,'Factors'!$C$9:$C$108,0))),"")="Global",IFERROR(IF(INDEX('Factors'!$E$9:$E$108,MATCH(I77,'Factors'!$C$9:$C$108,0))="","",INDEX('Factors'!$E$9:$E$108,MATCH(I77,'Factors'!$C$9:$C$108,0))),"")=D77)),"Ready","Factor / unit review"))))))))</x:f>
      </x:c>
      <x:c r="Y77" s="9" t="str">
        <x:f>IF(C77="","",IF(AND($D$6&lt;&gt;"Operational control",$D$6&lt;&gt;"Financial control"),"Control basis required",IF(F77="No","Outside control",IF(F77&lt;&gt;"Yes","Control review",IF(COUNTIFS($C$9:$C$108,C77)&lt;&gt;1,"Duplicate operation ID",IF(OR(S77="",NOT(ISNUMBER(T77)),T77&lt;'Settings'!$F$8,NOT(ISNUMBER(G77)),G77&lt;&gt;YEAR('Settings'!$F$8)),"Evidence / period review",IF(OR(NOT(ISNUMBER(J77)),J77&lt;0),"Activity required",IF(AND(IFERROR(IF(INDEX('Factors'!$P$9:$P$108,MATCH(K77,'Factors'!$C$9:$C$108,0))="","",INDEX('Factors'!$P$9:$P$108,MATCH(K77,'Factors'!$C$9:$C$108,0))),"")="Ready",IFERROR(IF(INDEX('Factors'!$F$9:$F$108,MATCH(K77,'Factors'!$C$9:$C$108,0))="","",INDEX('Factors'!$F$9:$F$108,MATCH(K77,'Factors'!$C$9:$C$108,0))),"")="kWh",IFERROR(IF(INDEX('Factors'!$H$9:$H$108,MATCH(K77,'Factors'!$C$9:$C$108,0))="","",INDEX('Factors'!$H$9:$H$108,MATCH(K77,'Factors'!$C$9:$C$108,0))),"")="S2",IFERROR(IF(INDEX('Factors'!$I$9:$I$108,MATCH(K77,'Factors'!$C$9:$C$108,0))="","",INDEX('Factors'!$I$9:$I$108,MATCH(K77,'Factors'!$C$9:$C$108,0))),"")="Location-based",IFERROR(IF(INDEX('Factors'!$J$9:$J$108,MATCH(K77,'Factors'!$C$9:$C$108,0))="","",INDEX('Factors'!$J$9:$J$108,MATCH(K77,'Factors'!$C$9:$C$108,0))),"")=G77,OR(IFERROR(IF(INDEX('Factors'!$E$9:$E$108,MATCH(K77,'Factors'!$C$9:$C$108,0))="","",INDEX('Factors'!$E$9:$E$108,MATCH(K77,'Factors'!$C$9:$C$108,0))),"")="Global",IFERROR(IF(INDEX('Factors'!$E$9:$E$108,MATCH(K77,'Factors'!$C$9:$C$108,0))="","",INDEX('Factors'!$E$9:$E$108,MATCH(K77,'Factors'!$C$9:$C$108,0))),"")=D77)),"Ready","Factor / unit review"))))))))</x:f>
      </x:c>
      <x:c r="Z77" s="9" t="str">
        <x:f>IF(C77="","",IF(F77="No","Outside control",IF(F77&lt;&gt;"Yes","Control review",IF($H$6="No","Not required",IF($H$6&lt;&gt;"Yes","Applicability review",IF(Y77&lt;&gt;"Ready",Y77,IF(OR(NOT(ISNUMBER(M77)),M77&lt;0,M77&gt;J77),"Contract quantity review",IF(AND(M77&gt;0,OR(O77&lt;&gt;"Pass",P77="",NOT(AND(IFERROR(IF(INDEX('Factors'!$P$9:$P$108,MATCH(N77,'Factors'!$C$9:$C$108,0))="","",INDEX('Factors'!$P$9:$P$108,MATCH(N77,'Factors'!$C$9:$C$108,0))),"")="Ready",IFERROR(IF(INDEX('Factors'!$F$9:$F$108,MATCH(N77,'Factors'!$C$9:$C$108,0))="","",INDEX('Factors'!$F$9:$F$108,MATCH(N77,'Factors'!$C$9:$C$108,0))),"")="kWh",IFERROR(IF(INDEX('Factors'!$H$9:$H$108,MATCH(N77,'Factors'!$C$9:$C$108,0))="","",INDEX('Factors'!$H$9:$H$108,MATCH(N77,'Factors'!$C$9:$C$108,0))),"")="S2",IFERROR(IF(INDEX('Factors'!$I$9:$I$108,MATCH(N77,'Factors'!$C$9:$C$108,0))="","",INDEX('Factors'!$I$9:$I$108,MATCH(N77,'Factors'!$C$9:$C$108,0))),"")="Market-based",IFERROR(IF(INDEX('Factors'!$J$9:$J$108,MATCH(N77,'Factors'!$C$9:$C$108,0))="","",INDEX('Factors'!$J$9:$J$108,MATCH(N77,'Factors'!$C$9:$C$108,0))),"")=G77,OR(IFERROR(IF(INDEX('Factors'!$E$9:$E$108,MATCH(N77,'Factors'!$C$9:$C$108,0))="","",INDEX('Factors'!$E$9:$E$108,MATCH(N77,'Factors'!$C$9:$C$108,0))),"")="Global",IFERROR(IF(INDEX('Factors'!$E$9:$E$108,MATCH(N77,'Factors'!$C$9:$C$108,0))="","",INDEX('Factors'!$E$9:$E$108,MATCH(N77,'Factors'!$C$9:$C$108,0))),"")=D77))))),"Contract criteria review",IF(M77=J77,"Ready",IF(Q77="No","Grid fallback",IF(Q77="Yes",IF(AND(IFERROR(IF(INDEX('Factors'!$P$9:$P$108,MATCH(R77,'Factors'!$C$9:$C$108,0))="","",INDEX('Factors'!$P$9:$P$108,MATCH(R77,'Factors'!$C$9:$C$108,0))),"")="Ready",IFERROR(IF(INDEX('Factors'!$F$9:$F$108,MATCH(R77,'Factors'!$C$9:$C$108,0))="","",INDEX('Factors'!$F$9:$F$108,MATCH(R77,'Factors'!$C$9:$C$108,0))),"")="kWh",IFERROR(IF(INDEX('Factors'!$H$9:$H$108,MATCH(R77,'Factors'!$C$9:$C$108,0))="","",INDEX('Factors'!$H$9:$H$108,MATCH(R77,'Factors'!$C$9:$C$108,0))),"")="S2",IFERROR(IF(INDEX('Factors'!$I$9:$I$108,MATCH(R77,'Factors'!$C$9:$C$108,0))="","",INDEX('Factors'!$I$9:$I$108,MATCH(R77,'Factors'!$C$9:$C$108,0))),"")="Residual mix",IFERROR(IF(INDEX('Factors'!$J$9:$J$108,MATCH(R77,'Factors'!$C$9:$C$108,0))="","",INDEX('Factors'!$J$9:$J$108,MATCH(R77,'Factors'!$C$9:$C$108,0))),"")=G77,OR(IFERROR(IF(INDEX('Factors'!$E$9:$E$108,MATCH(R77,'Factors'!$C$9:$C$108,0))="","",INDEX('Factors'!$E$9:$E$108,MATCH(R77,'Factors'!$C$9:$C$108,0))),"")="Global",IFERROR(IF(INDEX('Factors'!$E$9:$E$108,MATCH(R77,'Factors'!$C$9:$C$108,0))="","",INDEX('Factors'!$E$9:$E$108,MATCH(R77,'Factors'!$C$9:$C$108,0))),"")=D77)),"Ready","Residual factor review"),"Residual availability review")))))))))))</x:f>
      </x:c>
      <x:c r="AA77" s="8"/>
      <x:c r="AB77" s="16"/>
      <x:c r="AC77" s="8"/>
    </x:row>
    <x:row r="78" ht="36" customHeight="1">
      <x:c r="A78" s="1"/>
      <x:c r="B78" s="1"/>
      <x:c r="C78" s="8"/>
      <x:c r="D78" s="8"/>
      <x:c r="E78" s="8"/>
      <x:c r="F78" s="8"/>
      <x:c r="G78" s="22"/>
      <x:c r="H78" s="16"/>
      <x:c r="I78" s="8"/>
      <x:c r="J78" s="16"/>
      <x:c r="K78" s="8"/>
      <x:c r="L78" s="8"/>
      <x:c r="M78" s="16"/>
      <x:c r="N78" s="8"/>
      <x:c r="O78" s="8"/>
      <x:c r="P78" s="8"/>
      <x:c r="Q78" s="8"/>
      <x:c r="R78" s="8"/>
      <x:c r="S78" s="8"/>
      <x:c r="T78" s="40"/>
      <x:c r="U78" s="23" t="str">
        <x:f>IF(X78="Ready",H78*IFERROR(IF(INDEX('Factors'!$G$9:$G$108,MATCH(I78,'Factors'!$C$9:$C$108,0))="","",INDEX('Factors'!$G$9:$G$108,MATCH(I78,'Factors'!$C$9:$C$108,0))),"")/1000+AB78,"")</x:f>
      </x:c>
      <x:c r="V78" s="23" t="str">
        <x:f>IF(Y78="Ready",J78*IFERROR(IF(INDEX('Factors'!$G$9:$G$108,MATCH(K78,'Factors'!$C$9:$C$108,0))="","",INDEX('Factors'!$G$9:$G$108,MATCH(K78,'Factors'!$C$9:$C$108,0))),"")/1000,"")</x:f>
      </x:c>
      <x:c r="W78" s="23" t="str">
        <x:f>IF(OR(Z78="Ready",Z78="Grid fallback"),(IF(M78&gt;0,M78*IFERROR(IF(INDEX('Factors'!$G$9:$G$108,MATCH(N78,'Factors'!$C$9:$C$108,0))="","",INDEX('Factors'!$G$9:$G$108,MATCH(N78,'Factors'!$C$9:$C$108,0))),""),0)+(J78-M78)*IF(M78=J78,0,IF(Q78="No",IFERROR(IF(INDEX('Factors'!$G$9:$G$108,MATCH(K78,'Factors'!$C$9:$C$108,0))="","",INDEX('Factors'!$G$9:$G$108,MATCH(K78,'Factors'!$C$9:$C$108,0))),""),IFERROR(IF(INDEX('Factors'!$G$9:$G$108,MATCH(R78,'Factors'!$C$9:$C$108,0))="","",INDEX('Factors'!$G$9:$G$108,MATCH(R78,'Factors'!$C$9:$C$108,0))),""))))/1000,"")</x:f>
      </x:c>
      <x:c r="X78" s="9" t="str">
        <x:f>IF(C78="","",IF(AND($D$6&lt;&gt;"Operational control",$D$6&lt;&gt;"Financial control"),"Control basis required",IF(F78="No","Outside control",IF(F78&lt;&gt;"Yes","Control review",IF(COUNTIFS($C$9:$C$108,C78)&lt;&gt;1,"Duplicate operation ID",IF(OR(S78="",NOT(ISNUMBER(T78)),T78&lt;'Settings'!$F$8,NOT(ISNUMBER(G78)),G78&lt;&gt;YEAR('Settings'!$F$8)),"Evidence / period review",IF(OR(NOT(ISNUMBER(H78)),H78&lt;0,AA78&lt;&gt;"Yes",NOT(ISNUMBER(AB78)),AB78&lt;0,AC78=""),"Activity required",IF(AND(IFERROR(IF(INDEX('Factors'!$P$9:$P$108,MATCH(I78,'Factors'!$C$9:$C$108,0))="","",INDEX('Factors'!$P$9:$P$108,MATCH(I78,'Factors'!$C$9:$C$108,0))),"")="Ready",IFERROR(IF(INDEX('Factors'!$F$9:$F$108,MATCH(I78,'Factors'!$C$9:$C$108,0))="","",INDEX('Factors'!$F$9:$F$108,MATCH(I78,'Factors'!$C$9:$C$108,0))),"")="litre",IFERROR(IF(INDEX('Factors'!$H$9:$H$108,MATCH(I78,'Factors'!$C$9:$C$108,0))="","",INDEX('Factors'!$H$9:$H$108,MATCH(I78,'Factors'!$C$9:$C$108,0))),"")="S1",IFERROR(IF(INDEX('Factors'!$I$9:$I$108,MATCH(I78,'Factors'!$C$9:$C$108,0))="","",INDEX('Factors'!$I$9:$I$108,MATCH(I78,'Factors'!$C$9:$C$108,0))),"")="Combustion",IFERROR(IF(INDEX('Factors'!$J$9:$J$108,MATCH(I78,'Factors'!$C$9:$C$108,0))="","",INDEX('Factors'!$J$9:$J$108,MATCH(I78,'Factors'!$C$9:$C$108,0))),"")=G78,OR(IFERROR(IF(INDEX('Factors'!$E$9:$E$108,MATCH(I78,'Factors'!$C$9:$C$108,0))="","",INDEX('Factors'!$E$9:$E$108,MATCH(I78,'Factors'!$C$9:$C$108,0))),"")="Global",IFERROR(IF(INDEX('Factors'!$E$9:$E$108,MATCH(I78,'Factors'!$C$9:$C$108,0))="","",INDEX('Factors'!$E$9:$E$108,MATCH(I78,'Factors'!$C$9:$C$108,0))),"")=D78)),"Ready","Factor / unit review"))))))))</x:f>
      </x:c>
      <x:c r="Y78" s="9" t="str">
        <x:f>IF(C78="","",IF(AND($D$6&lt;&gt;"Operational control",$D$6&lt;&gt;"Financial control"),"Control basis required",IF(F78="No","Outside control",IF(F78&lt;&gt;"Yes","Control review",IF(COUNTIFS($C$9:$C$108,C78)&lt;&gt;1,"Duplicate operation ID",IF(OR(S78="",NOT(ISNUMBER(T78)),T78&lt;'Settings'!$F$8,NOT(ISNUMBER(G78)),G78&lt;&gt;YEAR('Settings'!$F$8)),"Evidence / period review",IF(OR(NOT(ISNUMBER(J78)),J78&lt;0),"Activity required",IF(AND(IFERROR(IF(INDEX('Factors'!$P$9:$P$108,MATCH(K78,'Factors'!$C$9:$C$108,0))="","",INDEX('Factors'!$P$9:$P$108,MATCH(K78,'Factors'!$C$9:$C$108,0))),"")="Ready",IFERROR(IF(INDEX('Factors'!$F$9:$F$108,MATCH(K78,'Factors'!$C$9:$C$108,0))="","",INDEX('Factors'!$F$9:$F$108,MATCH(K78,'Factors'!$C$9:$C$108,0))),"")="kWh",IFERROR(IF(INDEX('Factors'!$H$9:$H$108,MATCH(K78,'Factors'!$C$9:$C$108,0))="","",INDEX('Factors'!$H$9:$H$108,MATCH(K78,'Factors'!$C$9:$C$108,0))),"")="S2",IFERROR(IF(INDEX('Factors'!$I$9:$I$108,MATCH(K78,'Factors'!$C$9:$C$108,0))="","",INDEX('Factors'!$I$9:$I$108,MATCH(K78,'Factors'!$C$9:$C$108,0))),"")="Location-based",IFERROR(IF(INDEX('Factors'!$J$9:$J$108,MATCH(K78,'Factors'!$C$9:$C$108,0))="","",INDEX('Factors'!$J$9:$J$108,MATCH(K78,'Factors'!$C$9:$C$108,0))),"")=G78,OR(IFERROR(IF(INDEX('Factors'!$E$9:$E$108,MATCH(K78,'Factors'!$C$9:$C$108,0))="","",INDEX('Factors'!$E$9:$E$108,MATCH(K78,'Factors'!$C$9:$C$108,0))),"")="Global",IFERROR(IF(INDEX('Factors'!$E$9:$E$108,MATCH(K78,'Factors'!$C$9:$C$108,0))="","",INDEX('Factors'!$E$9:$E$108,MATCH(K78,'Factors'!$C$9:$C$108,0))),"")=D78)),"Ready","Factor / unit review"))))))))</x:f>
      </x:c>
      <x:c r="Z78" s="9" t="str">
        <x:f>IF(C78="","",IF(F78="No","Outside control",IF(F78&lt;&gt;"Yes","Control review",IF($H$6="No","Not required",IF($H$6&lt;&gt;"Yes","Applicability review",IF(Y78&lt;&gt;"Ready",Y78,IF(OR(NOT(ISNUMBER(M78)),M78&lt;0,M78&gt;J78),"Contract quantity review",IF(AND(M78&gt;0,OR(O78&lt;&gt;"Pass",P78="",NOT(AND(IFERROR(IF(INDEX('Factors'!$P$9:$P$108,MATCH(N78,'Factors'!$C$9:$C$108,0))="","",INDEX('Factors'!$P$9:$P$108,MATCH(N78,'Factors'!$C$9:$C$108,0))),"")="Ready",IFERROR(IF(INDEX('Factors'!$F$9:$F$108,MATCH(N78,'Factors'!$C$9:$C$108,0))="","",INDEX('Factors'!$F$9:$F$108,MATCH(N78,'Factors'!$C$9:$C$108,0))),"")="kWh",IFERROR(IF(INDEX('Factors'!$H$9:$H$108,MATCH(N78,'Factors'!$C$9:$C$108,0))="","",INDEX('Factors'!$H$9:$H$108,MATCH(N78,'Factors'!$C$9:$C$108,0))),"")="S2",IFERROR(IF(INDEX('Factors'!$I$9:$I$108,MATCH(N78,'Factors'!$C$9:$C$108,0))="","",INDEX('Factors'!$I$9:$I$108,MATCH(N78,'Factors'!$C$9:$C$108,0))),"")="Market-based",IFERROR(IF(INDEX('Factors'!$J$9:$J$108,MATCH(N78,'Factors'!$C$9:$C$108,0))="","",INDEX('Factors'!$J$9:$J$108,MATCH(N78,'Factors'!$C$9:$C$108,0))),"")=G78,OR(IFERROR(IF(INDEX('Factors'!$E$9:$E$108,MATCH(N78,'Factors'!$C$9:$C$108,0))="","",INDEX('Factors'!$E$9:$E$108,MATCH(N78,'Factors'!$C$9:$C$108,0))),"")="Global",IFERROR(IF(INDEX('Factors'!$E$9:$E$108,MATCH(N78,'Factors'!$C$9:$C$108,0))="","",INDEX('Factors'!$E$9:$E$108,MATCH(N78,'Factors'!$C$9:$C$108,0))),"")=D78))))),"Contract criteria review",IF(M78=J78,"Ready",IF(Q78="No","Grid fallback",IF(Q78="Yes",IF(AND(IFERROR(IF(INDEX('Factors'!$P$9:$P$108,MATCH(R78,'Factors'!$C$9:$C$108,0))="","",INDEX('Factors'!$P$9:$P$108,MATCH(R78,'Factors'!$C$9:$C$108,0))),"")="Ready",IFERROR(IF(INDEX('Factors'!$F$9:$F$108,MATCH(R78,'Factors'!$C$9:$C$108,0))="","",INDEX('Factors'!$F$9:$F$108,MATCH(R78,'Factors'!$C$9:$C$108,0))),"")="kWh",IFERROR(IF(INDEX('Factors'!$H$9:$H$108,MATCH(R78,'Factors'!$C$9:$C$108,0))="","",INDEX('Factors'!$H$9:$H$108,MATCH(R78,'Factors'!$C$9:$C$108,0))),"")="S2",IFERROR(IF(INDEX('Factors'!$I$9:$I$108,MATCH(R78,'Factors'!$C$9:$C$108,0))="","",INDEX('Factors'!$I$9:$I$108,MATCH(R78,'Factors'!$C$9:$C$108,0))),"")="Residual mix",IFERROR(IF(INDEX('Factors'!$J$9:$J$108,MATCH(R78,'Factors'!$C$9:$C$108,0))="","",INDEX('Factors'!$J$9:$J$108,MATCH(R78,'Factors'!$C$9:$C$108,0))),"")=G78,OR(IFERROR(IF(INDEX('Factors'!$E$9:$E$108,MATCH(R78,'Factors'!$C$9:$C$108,0))="","",INDEX('Factors'!$E$9:$E$108,MATCH(R78,'Factors'!$C$9:$C$108,0))),"")="Global",IFERROR(IF(INDEX('Factors'!$E$9:$E$108,MATCH(R78,'Factors'!$C$9:$C$108,0))="","",INDEX('Factors'!$E$9:$E$108,MATCH(R78,'Factors'!$C$9:$C$108,0))),"")=D78)),"Ready","Residual factor review"),"Residual availability review")))))))))))</x:f>
      </x:c>
      <x:c r="AA78" s="8"/>
      <x:c r="AB78" s="16"/>
      <x:c r="AC78" s="8"/>
    </x:row>
    <x:row r="79" ht="36" customHeight="1">
      <x:c r="A79" s="1"/>
      <x:c r="B79" s="1"/>
      <x:c r="C79" s="8"/>
      <x:c r="D79" s="8"/>
      <x:c r="E79" s="8"/>
      <x:c r="F79" s="8"/>
      <x:c r="G79" s="22"/>
      <x:c r="H79" s="16"/>
      <x:c r="I79" s="8"/>
      <x:c r="J79" s="16"/>
      <x:c r="K79" s="8"/>
      <x:c r="L79" s="8"/>
      <x:c r="M79" s="16"/>
      <x:c r="N79" s="8"/>
      <x:c r="O79" s="8"/>
      <x:c r="P79" s="8"/>
      <x:c r="Q79" s="8"/>
      <x:c r="R79" s="8"/>
      <x:c r="S79" s="8"/>
      <x:c r="T79" s="40"/>
      <x:c r="U79" s="23" t="str">
        <x:f>IF(X79="Ready",H79*IFERROR(IF(INDEX('Factors'!$G$9:$G$108,MATCH(I79,'Factors'!$C$9:$C$108,0))="","",INDEX('Factors'!$G$9:$G$108,MATCH(I79,'Factors'!$C$9:$C$108,0))),"")/1000+AB79,"")</x:f>
      </x:c>
      <x:c r="V79" s="23" t="str">
        <x:f>IF(Y79="Ready",J79*IFERROR(IF(INDEX('Factors'!$G$9:$G$108,MATCH(K79,'Factors'!$C$9:$C$108,0))="","",INDEX('Factors'!$G$9:$G$108,MATCH(K79,'Factors'!$C$9:$C$108,0))),"")/1000,"")</x:f>
      </x:c>
      <x:c r="W79" s="23" t="str">
        <x:f>IF(OR(Z79="Ready",Z79="Grid fallback"),(IF(M79&gt;0,M79*IFERROR(IF(INDEX('Factors'!$G$9:$G$108,MATCH(N79,'Factors'!$C$9:$C$108,0))="","",INDEX('Factors'!$G$9:$G$108,MATCH(N79,'Factors'!$C$9:$C$108,0))),""),0)+(J79-M79)*IF(M79=J79,0,IF(Q79="No",IFERROR(IF(INDEX('Factors'!$G$9:$G$108,MATCH(K79,'Factors'!$C$9:$C$108,0))="","",INDEX('Factors'!$G$9:$G$108,MATCH(K79,'Factors'!$C$9:$C$108,0))),""),IFERROR(IF(INDEX('Factors'!$G$9:$G$108,MATCH(R79,'Factors'!$C$9:$C$108,0))="","",INDEX('Factors'!$G$9:$G$108,MATCH(R79,'Factors'!$C$9:$C$108,0))),""))))/1000,"")</x:f>
      </x:c>
      <x:c r="X79" s="9" t="str">
        <x:f>IF(C79="","",IF(AND($D$6&lt;&gt;"Operational control",$D$6&lt;&gt;"Financial control"),"Control basis required",IF(F79="No","Outside control",IF(F79&lt;&gt;"Yes","Control review",IF(COUNTIFS($C$9:$C$108,C79)&lt;&gt;1,"Duplicate operation ID",IF(OR(S79="",NOT(ISNUMBER(T79)),T79&lt;'Settings'!$F$8,NOT(ISNUMBER(G79)),G79&lt;&gt;YEAR('Settings'!$F$8)),"Evidence / period review",IF(OR(NOT(ISNUMBER(H79)),H79&lt;0,AA79&lt;&gt;"Yes",NOT(ISNUMBER(AB79)),AB79&lt;0,AC79=""),"Activity required",IF(AND(IFERROR(IF(INDEX('Factors'!$P$9:$P$108,MATCH(I79,'Factors'!$C$9:$C$108,0))="","",INDEX('Factors'!$P$9:$P$108,MATCH(I79,'Factors'!$C$9:$C$108,0))),"")="Ready",IFERROR(IF(INDEX('Factors'!$F$9:$F$108,MATCH(I79,'Factors'!$C$9:$C$108,0))="","",INDEX('Factors'!$F$9:$F$108,MATCH(I79,'Factors'!$C$9:$C$108,0))),"")="litre",IFERROR(IF(INDEX('Factors'!$H$9:$H$108,MATCH(I79,'Factors'!$C$9:$C$108,0))="","",INDEX('Factors'!$H$9:$H$108,MATCH(I79,'Factors'!$C$9:$C$108,0))),"")="S1",IFERROR(IF(INDEX('Factors'!$I$9:$I$108,MATCH(I79,'Factors'!$C$9:$C$108,0))="","",INDEX('Factors'!$I$9:$I$108,MATCH(I79,'Factors'!$C$9:$C$108,0))),"")="Combustion",IFERROR(IF(INDEX('Factors'!$J$9:$J$108,MATCH(I79,'Factors'!$C$9:$C$108,0))="","",INDEX('Factors'!$J$9:$J$108,MATCH(I79,'Factors'!$C$9:$C$108,0))),"")=G79,OR(IFERROR(IF(INDEX('Factors'!$E$9:$E$108,MATCH(I79,'Factors'!$C$9:$C$108,0))="","",INDEX('Factors'!$E$9:$E$108,MATCH(I79,'Factors'!$C$9:$C$108,0))),"")="Global",IFERROR(IF(INDEX('Factors'!$E$9:$E$108,MATCH(I79,'Factors'!$C$9:$C$108,0))="","",INDEX('Factors'!$E$9:$E$108,MATCH(I79,'Factors'!$C$9:$C$108,0))),"")=D79)),"Ready","Factor / unit review"))))))))</x:f>
      </x:c>
      <x:c r="Y79" s="9" t="str">
        <x:f>IF(C79="","",IF(AND($D$6&lt;&gt;"Operational control",$D$6&lt;&gt;"Financial control"),"Control basis required",IF(F79="No","Outside control",IF(F79&lt;&gt;"Yes","Control review",IF(COUNTIFS($C$9:$C$108,C79)&lt;&gt;1,"Duplicate operation ID",IF(OR(S79="",NOT(ISNUMBER(T79)),T79&lt;'Settings'!$F$8,NOT(ISNUMBER(G79)),G79&lt;&gt;YEAR('Settings'!$F$8)),"Evidence / period review",IF(OR(NOT(ISNUMBER(J79)),J79&lt;0),"Activity required",IF(AND(IFERROR(IF(INDEX('Factors'!$P$9:$P$108,MATCH(K79,'Factors'!$C$9:$C$108,0))="","",INDEX('Factors'!$P$9:$P$108,MATCH(K79,'Factors'!$C$9:$C$108,0))),"")="Ready",IFERROR(IF(INDEX('Factors'!$F$9:$F$108,MATCH(K79,'Factors'!$C$9:$C$108,0))="","",INDEX('Factors'!$F$9:$F$108,MATCH(K79,'Factors'!$C$9:$C$108,0))),"")="kWh",IFERROR(IF(INDEX('Factors'!$H$9:$H$108,MATCH(K79,'Factors'!$C$9:$C$108,0))="","",INDEX('Factors'!$H$9:$H$108,MATCH(K79,'Factors'!$C$9:$C$108,0))),"")="S2",IFERROR(IF(INDEX('Factors'!$I$9:$I$108,MATCH(K79,'Factors'!$C$9:$C$108,0))="","",INDEX('Factors'!$I$9:$I$108,MATCH(K79,'Factors'!$C$9:$C$108,0))),"")="Location-based",IFERROR(IF(INDEX('Factors'!$J$9:$J$108,MATCH(K79,'Factors'!$C$9:$C$108,0))="","",INDEX('Factors'!$J$9:$J$108,MATCH(K79,'Factors'!$C$9:$C$108,0))),"")=G79,OR(IFERROR(IF(INDEX('Factors'!$E$9:$E$108,MATCH(K79,'Factors'!$C$9:$C$108,0))="","",INDEX('Factors'!$E$9:$E$108,MATCH(K79,'Factors'!$C$9:$C$108,0))),"")="Global",IFERROR(IF(INDEX('Factors'!$E$9:$E$108,MATCH(K79,'Factors'!$C$9:$C$108,0))="","",INDEX('Factors'!$E$9:$E$108,MATCH(K79,'Factors'!$C$9:$C$108,0))),"")=D79)),"Ready","Factor / unit review"))))))))</x:f>
      </x:c>
      <x:c r="Z79" s="9" t="str">
        <x:f>IF(C79="","",IF(F79="No","Outside control",IF(F79&lt;&gt;"Yes","Control review",IF($H$6="No","Not required",IF($H$6&lt;&gt;"Yes","Applicability review",IF(Y79&lt;&gt;"Ready",Y79,IF(OR(NOT(ISNUMBER(M79)),M79&lt;0,M79&gt;J79),"Contract quantity review",IF(AND(M79&gt;0,OR(O79&lt;&gt;"Pass",P79="",NOT(AND(IFERROR(IF(INDEX('Factors'!$P$9:$P$108,MATCH(N79,'Factors'!$C$9:$C$108,0))="","",INDEX('Factors'!$P$9:$P$108,MATCH(N79,'Factors'!$C$9:$C$108,0))),"")="Ready",IFERROR(IF(INDEX('Factors'!$F$9:$F$108,MATCH(N79,'Factors'!$C$9:$C$108,0))="","",INDEX('Factors'!$F$9:$F$108,MATCH(N79,'Factors'!$C$9:$C$108,0))),"")="kWh",IFERROR(IF(INDEX('Factors'!$H$9:$H$108,MATCH(N79,'Factors'!$C$9:$C$108,0))="","",INDEX('Factors'!$H$9:$H$108,MATCH(N79,'Factors'!$C$9:$C$108,0))),"")="S2",IFERROR(IF(INDEX('Factors'!$I$9:$I$108,MATCH(N79,'Factors'!$C$9:$C$108,0))="","",INDEX('Factors'!$I$9:$I$108,MATCH(N79,'Factors'!$C$9:$C$108,0))),"")="Market-based",IFERROR(IF(INDEX('Factors'!$J$9:$J$108,MATCH(N79,'Factors'!$C$9:$C$108,0))="","",INDEX('Factors'!$J$9:$J$108,MATCH(N79,'Factors'!$C$9:$C$108,0))),"")=G79,OR(IFERROR(IF(INDEX('Factors'!$E$9:$E$108,MATCH(N79,'Factors'!$C$9:$C$108,0))="","",INDEX('Factors'!$E$9:$E$108,MATCH(N79,'Factors'!$C$9:$C$108,0))),"")="Global",IFERROR(IF(INDEX('Factors'!$E$9:$E$108,MATCH(N79,'Factors'!$C$9:$C$108,0))="","",INDEX('Factors'!$E$9:$E$108,MATCH(N79,'Factors'!$C$9:$C$108,0))),"")=D79))))),"Contract criteria review",IF(M79=J79,"Ready",IF(Q79="No","Grid fallback",IF(Q79="Yes",IF(AND(IFERROR(IF(INDEX('Factors'!$P$9:$P$108,MATCH(R79,'Factors'!$C$9:$C$108,0))="","",INDEX('Factors'!$P$9:$P$108,MATCH(R79,'Factors'!$C$9:$C$108,0))),"")="Ready",IFERROR(IF(INDEX('Factors'!$F$9:$F$108,MATCH(R79,'Factors'!$C$9:$C$108,0))="","",INDEX('Factors'!$F$9:$F$108,MATCH(R79,'Factors'!$C$9:$C$108,0))),"")="kWh",IFERROR(IF(INDEX('Factors'!$H$9:$H$108,MATCH(R79,'Factors'!$C$9:$C$108,0))="","",INDEX('Factors'!$H$9:$H$108,MATCH(R79,'Factors'!$C$9:$C$108,0))),"")="S2",IFERROR(IF(INDEX('Factors'!$I$9:$I$108,MATCH(R79,'Factors'!$C$9:$C$108,0))="","",INDEX('Factors'!$I$9:$I$108,MATCH(R79,'Factors'!$C$9:$C$108,0))),"")="Residual mix",IFERROR(IF(INDEX('Factors'!$J$9:$J$108,MATCH(R79,'Factors'!$C$9:$C$108,0))="","",INDEX('Factors'!$J$9:$J$108,MATCH(R79,'Factors'!$C$9:$C$108,0))),"")=G79,OR(IFERROR(IF(INDEX('Factors'!$E$9:$E$108,MATCH(R79,'Factors'!$C$9:$C$108,0))="","",INDEX('Factors'!$E$9:$E$108,MATCH(R79,'Factors'!$C$9:$C$108,0))),"")="Global",IFERROR(IF(INDEX('Factors'!$E$9:$E$108,MATCH(R79,'Factors'!$C$9:$C$108,0))="","",INDEX('Factors'!$E$9:$E$108,MATCH(R79,'Factors'!$C$9:$C$108,0))),"")=D79)),"Ready","Residual factor review"),"Residual availability review")))))))))))</x:f>
      </x:c>
      <x:c r="AA79" s="8"/>
      <x:c r="AB79" s="16"/>
      <x:c r="AC79" s="8"/>
    </x:row>
    <x:row r="80" ht="36" customHeight="1">
      <x:c r="A80" s="1"/>
      <x:c r="B80" s="1"/>
      <x:c r="C80" s="8"/>
      <x:c r="D80" s="8"/>
      <x:c r="E80" s="8"/>
      <x:c r="F80" s="8"/>
      <x:c r="G80" s="22"/>
      <x:c r="H80" s="16"/>
      <x:c r="I80" s="8"/>
      <x:c r="J80" s="16"/>
      <x:c r="K80" s="8"/>
      <x:c r="L80" s="8"/>
      <x:c r="M80" s="16"/>
      <x:c r="N80" s="8"/>
      <x:c r="O80" s="8"/>
      <x:c r="P80" s="8"/>
      <x:c r="Q80" s="8"/>
      <x:c r="R80" s="8"/>
      <x:c r="S80" s="8"/>
      <x:c r="T80" s="40"/>
      <x:c r="U80" s="23" t="str">
        <x:f>IF(X80="Ready",H80*IFERROR(IF(INDEX('Factors'!$G$9:$G$108,MATCH(I80,'Factors'!$C$9:$C$108,0))="","",INDEX('Factors'!$G$9:$G$108,MATCH(I80,'Factors'!$C$9:$C$108,0))),"")/1000+AB80,"")</x:f>
      </x:c>
      <x:c r="V80" s="23" t="str">
        <x:f>IF(Y80="Ready",J80*IFERROR(IF(INDEX('Factors'!$G$9:$G$108,MATCH(K80,'Factors'!$C$9:$C$108,0))="","",INDEX('Factors'!$G$9:$G$108,MATCH(K80,'Factors'!$C$9:$C$108,0))),"")/1000,"")</x:f>
      </x:c>
      <x:c r="W80" s="23" t="str">
        <x:f>IF(OR(Z80="Ready",Z80="Grid fallback"),(IF(M80&gt;0,M80*IFERROR(IF(INDEX('Factors'!$G$9:$G$108,MATCH(N80,'Factors'!$C$9:$C$108,0))="","",INDEX('Factors'!$G$9:$G$108,MATCH(N80,'Factors'!$C$9:$C$108,0))),""),0)+(J80-M80)*IF(M80=J80,0,IF(Q80="No",IFERROR(IF(INDEX('Factors'!$G$9:$G$108,MATCH(K80,'Factors'!$C$9:$C$108,0))="","",INDEX('Factors'!$G$9:$G$108,MATCH(K80,'Factors'!$C$9:$C$108,0))),""),IFERROR(IF(INDEX('Factors'!$G$9:$G$108,MATCH(R80,'Factors'!$C$9:$C$108,0))="","",INDEX('Factors'!$G$9:$G$108,MATCH(R80,'Factors'!$C$9:$C$108,0))),""))))/1000,"")</x:f>
      </x:c>
      <x:c r="X80" s="9" t="str">
        <x:f>IF(C80="","",IF(AND($D$6&lt;&gt;"Operational control",$D$6&lt;&gt;"Financial control"),"Control basis required",IF(F80="No","Outside control",IF(F80&lt;&gt;"Yes","Control review",IF(COUNTIFS($C$9:$C$108,C80)&lt;&gt;1,"Duplicate operation ID",IF(OR(S80="",NOT(ISNUMBER(T80)),T80&lt;'Settings'!$F$8,NOT(ISNUMBER(G80)),G80&lt;&gt;YEAR('Settings'!$F$8)),"Evidence / period review",IF(OR(NOT(ISNUMBER(H80)),H80&lt;0,AA80&lt;&gt;"Yes",NOT(ISNUMBER(AB80)),AB80&lt;0,AC80=""),"Activity required",IF(AND(IFERROR(IF(INDEX('Factors'!$P$9:$P$108,MATCH(I80,'Factors'!$C$9:$C$108,0))="","",INDEX('Factors'!$P$9:$P$108,MATCH(I80,'Factors'!$C$9:$C$108,0))),"")="Ready",IFERROR(IF(INDEX('Factors'!$F$9:$F$108,MATCH(I80,'Factors'!$C$9:$C$108,0))="","",INDEX('Factors'!$F$9:$F$108,MATCH(I80,'Factors'!$C$9:$C$108,0))),"")="litre",IFERROR(IF(INDEX('Factors'!$H$9:$H$108,MATCH(I80,'Factors'!$C$9:$C$108,0))="","",INDEX('Factors'!$H$9:$H$108,MATCH(I80,'Factors'!$C$9:$C$108,0))),"")="S1",IFERROR(IF(INDEX('Factors'!$I$9:$I$108,MATCH(I80,'Factors'!$C$9:$C$108,0))="","",INDEX('Factors'!$I$9:$I$108,MATCH(I80,'Factors'!$C$9:$C$108,0))),"")="Combustion",IFERROR(IF(INDEX('Factors'!$J$9:$J$108,MATCH(I80,'Factors'!$C$9:$C$108,0))="","",INDEX('Factors'!$J$9:$J$108,MATCH(I80,'Factors'!$C$9:$C$108,0))),"")=G80,OR(IFERROR(IF(INDEX('Factors'!$E$9:$E$108,MATCH(I80,'Factors'!$C$9:$C$108,0))="","",INDEX('Factors'!$E$9:$E$108,MATCH(I80,'Factors'!$C$9:$C$108,0))),"")="Global",IFERROR(IF(INDEX('Factors'!$E$9:$E$108,MATCH(I80,'Factors'!$C$9:$C$108,0))="","",INDEX('Factors'!$E$9:$E$108,MATCH(I80,'Factors'!$C$9:$C$108,0))),"")=D80)),"Ready","Factor / unit review"))))))))</x:f>
      </x:c>
      <x:c r="Y80" s="9" t="str">
        <x:f>IF(C80="","",IF(AND($D$6&lt;&gt;"Operational control",$D$6&lt;&gt;"Financial control"),"Control basis required",IF(F80="No","Outside control",IF(F80&lt;&gt;"Yes","Control review",IF(COUNTIFS($C$9:$C$108,C80)&lt;&gt;1,"Duplicate operation ID",IF(OR(S80="",NOT(ISNUMBER(T80)),T80&lt;'Settings'!$F$8,NOT(ISNUMBER(G80)),G80&lt;&gt;YEAR('Settings'!$F$8)),"Evidence / period review",IF(OR(NOT(ISNUMBER(J80)),J80&lt;0),"Activity required",IF(AND(IFERROR(IF(INDEX('Factors'!$P$9:$P$108,MATCH(K80,'Factors'!$C$9:$C$108,0))="","",INDEX('Factors'!$P$9:$P$108,MATCH(K80,'Factors'!$C$9:$C$108,0))),"")="Ready",IFERROR(IF(INDEX('Factors'!$F$9:$F$108,MATCH(K80,'Factors'!$C$9:$C$108,0))="","",INDEX('Factors'!$F$9:$F$108,MATCH(K80,'Factors'!$C$9:$C$108,0))),"")="kWh",IFERROR(IF(INDEX('Factors'!$H$9:$H$108,MATCH(K80,'Factors'!$C$9:$C$108,0))="","",INDEX('Factors'!$H$9:$H$108,MATCH(K80,'Factors'!$C$9:$C$108,0))),"")="S2",IFERROR(IF(INDEX('Factors'!$I$9:$I$108,MATCH(K80,'Factors'!$C$9:$C$108,0))="","",INDEX('Factors'!$I$9:$I$108,MATCH(K80,'Factors'!$C$9:$C$108,0))),"")="Location-based",IFERROR(IF(INDEX('Factors'!$J$9:$J$108,MATCH(K80,'Factors'!$C$9:$C$108,0))="","",INDEX('Factors'!$J$9:$J$108,MATCH(K80,'Factors'!$C$9:$C$108,0))),"")=G80,OR(IFERROR(IF(INDEX('Factors'!$E$9:$E$108,MATCH(K80,'Factors'!$C$9:$C$108,0))="","",INDEX('Factors'!$E$9:$E$108,MATCH(K80,'Factors'!$C$9:$C$108,0))),"")="Global",IFERROR(IF(INDEX('Factors'!$E$9:$E$108,MATCH(K80,'Factors'!$C$9:$C$108,0))="","",INDEX('Factors'!$E$9:$E$108,MATCH(K80,'Factors'!$C$9:$C$108,0))),"")=D80)),"Ready","Factor / unit review"))))))))</x:f>
      </x:c>
      <x:c r="Z80" s="9" t="str">
        <x:f>IF(C80="","",IF(F80="No","Outside control",IF(F80&lt;&gt;"Yes","Control review",IF($H$6="No","Not required",IF($H$6&lt;&gt;"Yes","Applicability review",IF(Y80&lt;&gt;"Ready",Y80,IF(OR(NOT(ISNUMBER(M80)),M80&lt;0,M80&gt;J80),"Contract quantity review",IF(AND(M80&gt;0,OR(O80&lt;&gt;"Pass",P80="",NOT(AND(IFERROR(IF(INDEX('Factors'!$P$9:$P$108,MATCH(N80,'Factors'!$C$9:$C$108,0))="","",INDEX('Factors'!$P$9:$P$108,MATCH(N80,'Factors'!$C$9:$C$108,0))),"")="Ready",IFERROR(IF(INDEX('Factors'!$F$9:$F$108,MATCH(N80,'Factors'!$C$9:$C$108,0))="","",INDEX('Factors'!$F$9:$F$108,MATCH(N80,'Factors'!$C$9:$C$108,0))),"")="kWh",IFERROR(IF(INDEX('Factors'!$H$9:$H$108,MATCH(N80,'Factors'!$C$9:$C$108,0))="","",INDEX('Factors'!$H$9:$H$108,MATCH(N80,'Factors'!$C$9:$C$108,0))),"")="S2",IFERROR(IF(INDEX('Factors'!$I$9:$I$108,MATCH(N80,'Factors'!$C$9:$C$108,0))="","",INDEX('Factors'!$I$9:$I$108,MATCH(N80,'Factors'!$C$9:$C$108,0))),"")="Market-based",IFERROR(IF(INDEX('Factors'!$J$9:$J$108,MATCH(N80,'Factors'!$C$9:$C$108,0))="","",INDEX('Factors'!$J$9:$J$108,MATCH(N80,'Factors'!$C$9:$C$108,0))),"")=G80,OR(IFERROR(IF(INDEX('Factors'!$E$9:$E$108,MATCH(N80,'Factors'!$C$9:$C$108,0))="","",INDEX('Factors'!$E$9:$E$108,MATCH(N80,'Factors'!$C$9:$C$108,0))),"")="Global",IFERROR(IF(INDEX('Factors'!$E$9:$E$108,MATCH(N80,'Factors'!$C$9:$C$108,0))="","",INDEX('Factors'!$E$9:$E$108,MATCH(N80,'Factors'!$C$9:$C$108,0))),"")=D80))))),"Contract criteria review",IF(M80=J80,"Ready",IF(Q80="No","Grid fallback",IF(Q80="Yes",IF(AND(IFERROR(IF(INDEX('Factors'!$P$9:$P$108,MATCH(R80,'Factors'!$C$9:$C$108,0))="","",INDEX('Factors'!$P$9:$P$108,MATCH(R80,'Factors'!$C$9:$C$108,0))),"")="Ready",IFERROR(IF(INDEX('Factors'!$F$9:$F$108,MATCH(R80,'Factors'!$C$9:$C$108,0))="","",INDEX('Factors'!$F$9:$F$108,MATCH(R80,'Factors'!$C$9:$C$108,0))),"")="kWh",IFERROR(IF(INDEX('Factors'!$H$9:$H$108,MATCH(R80,'Factors'!$C$9:$C$108,0))="","",INDEX('Factors'!$H$9:$H$108,MATCH(R80,'Factors'!$C$9:$C$108,0))),"")="S2",IFERROR(IF(INDEX('Factors'!$I$9:$I$108,MATCH(R80,'Factors'!$C$9:$C$108,0))="","",INDEX('Factors'!$I$9:$I$108,MATCH(R80,'Factors'!$C$9:$C$108,0))),"")="Residual mix",IFERROR(IF(INDEX('Factors'!$J$9:$J$108,MATCH(R80,'Factors'!$C$9:$C$108,0))="","",INDEX('Factors'!$J$9:$J$108,MATCH(R80,'Factors'!$C$9:$C$108,0))),"")=G80,OR(IFERROR(IF(INDEX('Factors'!$E$9:$E$108,MATCH(R80,'Factors'!$C$9:$C$108,0))="","",INDEX('Factors'!$E$9:$E$108,MATCH(R80,'Factors'!$C$9:$C$108,0))),"")="Global",IFERROR(IF(INDEX('Factors'!$E$9:$E$108,MATCH(R80,'Factors'!$C$9:$C$108,0))="","",INDEX('Factors'!$E$9:$E$108,MATCH(R80,'Factors'!$C$9:$C$108,0))),"")=D80)),"Ready","Residual factor review"),"Residual availability review")))))))))))</x:f>
      </x:c>
      <x:c r="AA80" s="8"/>
      <x:c r="AB80" s="16"/>
      <x:c r="AC80" s="8"/>
    </x:row>
    <x:row r="81" ht="36" customHeight="1">
      <x:c r="A81" s="1"/>
      <x:c r="B81" s="1"/>
      <x:c r="C81" s="8"/>
      <x:c r="D81" s="8"/>
      <x:c r="E81" s="8"/>
      <x:c r="F81" s="8"/>
      <x:c r="G81" s="22"/>
      <x:c r="H81" s="16"/>
      <x:c r="I81" s="8"/>
      <x:c r="J81" s="16"/>
      <x:c r="K81" s="8"/>
      <x:c r="L81" s="8"/>
      <x:c r="M81" s="16"/>
      <x:c r="N81" s="8"/>
      <x:c r="O81" s="8"/>
      <x:c r="P81" s="8"/>
      <x:c r="Q81" s="8"/>
      <x:c r="R81" s="8"/>
      <x:c r="S81" s="8"/>
      <x:c r="T81" s="40"/>
      <x:c r="U81" s="23" t="str">
        <x:f>IF(X81="Ready",H81*IFERROR(IF(INDEX('Factors'!$G$9:$G$108,MATCH(I81,'Factors'!$C$9:$C$108,0))="","",INDEX('Factors'!$G$9:$G$108,MATCH(I81,'Factors'!$C$9:$C$108,0))),"")/1000+AB81,"")</x:f>
      </x:c>
      <x:c r="V81" s="23" t="str">
        <x:f>IF(Y81="Ready",J81*IFERROR(IF(INDEX('Factors'!$G$9:$G$108,MATCH(K81,'Factors'!$C$9:$C$108,0))="","",INDEX('Factors'!$G$9:$G$108,MATCH(K81,'Factors'!$C$9:$C$108,0))),"")/1000,"")</x:f>
      </x:c>
      <x:c r="W81" s="23" t="str">
        <x:f>IF(OR(Z81="Ready",Z81="Grid fallback"),(IF(M81&gt;0,M81*IFERROR(IF(INDEX('Factors'!$G$9:$G$108,MATCH(N81,'Factors'!$C$9:$C$108,0))="","",INDEX('Factors'!$G$9:$G$108,MATCH(N81,'Factors'!$C$9:$C$108,0))),""),0)+(J81-M81)*IF(M81=J81,0,IF(Q81="No",IFERROR(IF(INDEX('Factors'!$G$9:$G$108,MATCH(K81,'Factors'!$C$9:$C$108,0))="","",INDEX('Factors'!$G$9:$G$108,MATCH(K81,'Factors'!$C$9:$C$108,0))),""),IFERROR(IF(INDEX('Factors'!$G$9:$G$108,MATCH(R81,'Factors'!$C$9:$C$108,0))="","",INDEX('Factors'!$G$9:$G$108,MATCH(R81,'Factors'!$C$9:$C$108,0))),""))))/1000,"")</x:f>
      </x:c>
      <x:c r="X81" s="9" t="str">
        <x:f>IF(C81="","",IF(AND($D$6&lt;&gt;"Operational control",$D$6&lt;&gt;"Financial control"),"Control basis required",IF(F81="No","Outside control",IF(F81&lt;&gt;"Yes","Control review",IF(COUNTIFS($C$9:$C$108,C81)&lt;&gt;1,"Duplicate operation ID",IF(OR(S81="",NOT(ISNUMBER(T81)),T81&lt;'Settings'!$F$8,NOT(ISNUMBER(G81)),G81&lt;&gt;YEAR('Settings'!$F$8)),"Evidence / period review",IF(OR(NOT(ISNUMBER(H81)),H81&lt;0,AA81&lt;&gt;"Yes",NOT(ISNUMBER(AB81)),AB81&lt;0,AC81=""),"Activity required",IF(AND(IFERROR(IF(INDEX('Factors'!$P$9:$P$108,MATCH(I81,'Factors'!$C$9:$C$108,0))="","",INDEX('Factors'!$P$9:$P$108,MATCH(I81,'Factors'!$C$9:$C$108,0))),"")="Ready",IFERROR(IF(INDEX('Factors'!$F$9:$F$108,MATCH(I81,'Factors'!$C$9:$C$108,0))="","",INDEX('Factors'!$F$9:$F$108,MATCH(I81,'Factors'!$C$9:$C$108,0))),"")="litre",IFERROR(IF(INDEX('Factors'!$H$9:$H$108,MATCH(I81,'Factors'!$C$9:$C$108,0))="","",INDEX('Factors'!$H$9:$H$108,MATCH(I81,'Factors'!$C$9:$C$108,0))),"")="S1",IFERROR(IF(INDEX('Factors'!$I$9:$I$108,MATCH(I81,'Factors'!$C$9:$C$108,0))="","",INDEX('Factors'!$I$9:$I$108,MATCH(I81,'Factors'!$C$9:$C$108,0))),"")="Combustion",IFERROR(IF(INDEX('Factors'!$J$9:$J$108,MATCH(I81,'Factors'!$C$9:$C$108,0))="","",INDEX('Factors'!$J$9:$J$108,MATCH(I81,'Factors'!$C$9:$C$108,0))),"")=G81,OR(IFERROR(IF(INDEX('Factors'!$E$9:$E$108,MATCH(I81,'Factors'!$C$9:$C$108,0))="","",INDEX('Factors'!$E$9:$E$108,MATCH(I81,'Factors'!$C$9:$C$108,0))),"")="Global",IFERROR(IF(INDEX('Factors'!$E$9:$E$108,MATCH(I81,'Factors'!$C$9:$C$108,0))="","",INDEX('Factors'!$E$9:$E$108,MATCH(I81,'Factors'!$C$9:$C$108,0))),"")=D81)),"Ready","Factor / unit review"))))))))</x:f>
      </x:c>
      <x:c r="Y81" s="9" t="str">
        <x:f>IF(C81="","",IF(AND($D$6&lt;&gt;"Operational control",$D$6&lt;&gt;"Financial control"),"Control basis required",IF(F81="No","Outside control",IF(F81&lt;&gt;"Yes","Control review",IF(COUNTIFS($C$9:$C$108,C81)&lt;&gt;1,"Duplicate operation ID",IF(OR(S81="",NOT(ISNUMBER(T81)),T81&lt;'Settings'!$F$8,NOT(ISNUMBER(G81)),G81&lt;&gt;YEAR('Settings'!$F$8)),"Evidence / period review",IF(OR(NOT(ISNUMBER(J81)),J81&lt;0),"Activity required",IF(AND(IFERROR(IF(INDEX('Factors'!$P$9:$P$108,MATCH(K81,'Factors'!$C$9:$C$108,0))="","",INDEX('Factors'!$P$9:$P$108,MATCH(K81,'Factors'!$C$9:$C$108,0))),"")="Ready",IFERROR(IF(INDEX('Factors'!$F$9:$F$108,MATCH(K81,'Factors'!$C$9:$C$108,0))="","",INDEX('Factors'!$F$9:$F$108,MATCH(K81,'Factors'!$C$9:$C$108,0))),"")="kWh",IFERROR(IF(INDEX('Factors'!$H$9:$H$108,MATCH(K81,'Factors'!$C$9:$C$108,0))="","",INDEX('Factors'!$H$9:$H$108,MATCH(K81,'Factors'!$C$9:$C$108,0))),"")="S2",IFERROR(IF(INDEX('Factors'!$I$9:$I$108,MATCH(K81,'Factors'!$C$9:$C$108,0))="","",INDEX('Factors'!$I$9:$I$108,MATCH(K81,'Factors'!$C$9:$C$108,0))),"")="Location-based",IFERROR(IF(INDEX('Factors'!$J$9:$J$108,MATCH(K81,'Factors'!$C$9:$C$108,0))="","",INDEX('Factors'!$J$9:$J$108,MATCH(K81,'Factors'!$C$9:$C$108,0))),"")=G81,OR(IFERROR(IF(INDEX('Factors'!$E$9:$E$108,MATCH(K81,'Factors'!$C$9:$C$108,0))="","",INDEX('Factors'!$E$9:$E$108,MATCH(K81,'Factors'!$C$9:$C$108,0))),"")="Global",IFERROR(IF(INDEX('Factors'!$E$9:$E$108,MATCH(K81,'Factors'!$C$9:$C$108,0))="","",INDEX('Factors'!$E$9:$E$108,MATCH(K81,'Factors'!$C$9:$C$108,0))),"")=D81)),"Ready","Factor / unit review"))))))))</x:f>
      </x:c>
      <x:c r="Z81" s="9" t="str">
        <x:f>IF(C81="","",IF(F81="No","Outside control",IF(F81&lt;&gt;"Yes","Control review",IF($H$6="No","Not required",IF($H$6&lt;&gt;"Yes","Applicability review",IF(Y81&lt;&gt;"Ready",Y81,IF(OR(NOT(ISNUMBER(M81)),M81&lt;0,M81&gt;J81),"Contract quantity review",IF(AND(M81&gt;0,OR(O81&lt;&gt;"Pass",P81="",NOT(AND(IFERROR(IF(INDEX('Factors'!$P$9:$P$108,MATCH(N81,'Factors'!$C$9:$C$108,0))="","",INDEX('Factors'!$P$9:$P$108,MATCH(N81,'Factors'!$C$9:$C$108,0))),"")="Ready",IFERROR(IF(INDEX('Factors'!$F$9:$F$108,MATCH(N81,'Factors'!$C$9:$C$108,0))="","",INDEX('Factors'!$F$9:$F$108,MATCH(N81,'Factors'!$C$9:$C$108,0))),"")="kWh",IFERROR(IF(INDEX('Factors'!$H$9:$H$108,MATCH(N81,'Factors'!$C$9:$C$108,0))="","",INDEX('Factors'!$H$9:$H$108,MATCH(N81,'Factors'!$C$9:$C$108,0))),"")="S2",IFERROR(IF(INDEX('Factors'!$I$9:$I$108,MATCH(N81,'Factors'!$C$9:$C$108,0))="","",INDEX('Factors'!$I$9:$I$108,MATCH(N81,'Factors'!$C$9:$C$108,0))),"")="Market-based",IFERROR(IF(INDEX('Factors'!$J$9:$J$108,MATCH(N81,'Factors'!$C$9:$C$108,0))="","",INDEX('Factors'!$J$9:$J$108,MATCH(N81,'Factors'!$C$9:$C$108,0))),"")=G81,OR(IFERROR(IF(INDEX('Factors'!$E$9:$E$108,MATCH(N81,'Factors'!$C$9:$C$108,0))="","",INDEX('Factors'!$E$9:$E$108,MATCH(N81,'Factors'!$C$9:$C$108,0))),"")="Global",IFERROR(IF(INDEX('Factors'!$E$9:$E$108,MATCH(N81,'Factors'!$C$9:$C$108,0))="","",INDEX('Factors'!$E$9:$E$108,MATCH(N81,'Factors'!$C$9:$C$108,0))),"")=D81))))),"Contract criteria review",IF(M81=J81,"Ready",IF(Q81="No","Grid fallback",IF(Q81="Yes",IF(AND(IFERROR(IF(INDEX('Factors'!$P$9:$P$108,MATCH(R81,'Factors'!$C$9:$C$108,0))="","",INDEX('Factors'!$P$9:$P$108,MATCH(R81,'Factors'!$C$9:$C$108,0))),"")="Ready",IFERROR(IF(INDEX('Factors'!$F$9:$F$108,MATCH(R81,'Factors'!$C$9:$C$108,0))="","",INDEX('Factors'!$F$9:$F$108,MATCH(R81,'Factors'!$C$9:$C$108,0))),"")="kWh",IFERROR(IF(INDEX('Factors'!$H$9:$H$108,MATCH(R81,'Factors'!$C$9:$C$108,0))="","",INDEX('Factors'!$H$9:$H$108,MATCH(R81,'Factors'!$C$9:$C$108,0))),"")="S2",IFERROR(IF(INDEX('Factors'!$I$9:$I$108,MATCH(R81,'Factors'!$C$9:$C$108,0))="","",INDEX('Factors'!$I$9:$I$108,MATCH(R81,'Factors'!$C$9:$C$108,0))),"")="Residual mix",IFERROR(IF(INDEX('Factors'!$J$9:$J$108,MATCH(R81,'Factors'!$C$9:$C$108,0))="","",INDEX('Factors'!$J$9:$J$108,MATCH(R81,'Factors'!$C$9:$C$108,0))),"")=G81,OR(IFERROR(IF(INDEX('Factors'!$E$9:$E$108,MATCH(R81,'Factors'!$C$9:$C$108,0))="","",INDEX('Factors'!$E$9:$E$108,MATCH(R81,'Factors'!$C$9:$C$108,0))),"")="Global",IFERROR(IF(INDEX('Factors'!$E$9:$E$108,MATCH(R81,'Factors'!$C$9:$C$108,0))="","",INDEX('Factors'!$E$9:$E$108,MATCH(R81,'Factors'!$C$9:$C$108,0))),"")=D81)),"Ready","Residual factor review"),"Residual availability review")))))))))))</x:f>
      </x:c>
      <x:c r="AA81" s="8"/>
      <x:c r="AB81" s="16"/>
      <x:c r="AC81" s="8"/>
    </x:row>
    <x:row r="82" ht="36" customHeight="1">
      <x:c r="A82" s="1"/>
      <x:c r="B82" s="1"/>
      <x:c r="C82" s="8"/>
      <x:c r="D82" s="8"/>
      <x:c r="E82" s="8"/>
      <x:c r="F82" s="8"/>
      <x:c r="G82" s="22"/>
      <x:c r="H82" s="16"/>
      <x:c r="I82" s="8"/>
      <x:c r="J82" s="16"/>
      <x:c r="K82" s="8"/>
      <x:c r="L82" s="8"/>
      <x:c r="M82" s="16"/>
      <x:c r="N82" s="8"/>
      <x:c r="O82" s="8"/>
      <x:c r="P82" s="8"/>
      <x:c r="Q82" s="8"/>
      <x:c r="R82" s="8"/>
      <x:c r="S82" s="8"/>
      <x:c r="T82" s="40"/>
      <x:c r="U82" s="23" t="str">
        <x:f>IF(X82="Ready",H82*IFERROR(IF(INDEX('Factors'!$G$9:$G$108,MATCH(I82,'Factors'!$C$9:$C$108,0))="","",INDEX('Factors'!$G$9:$G$108,MATCH(I82,'Factors'!$C$9:$C$108,0))),"")/1000+AB82,"")</x:f>
      </x:c>
      <x:c r="V82" s="23" t="str">
        <x:f>IF(Y82="Ready",J82*IFERROR(IF(INDEX('Factors'!$G$9:$G$108,MATCH(K82,'Factors'!$C$9:$C$108,0))="","",INDEX('Factors'!$G$9:$G$108,MATCH(K82,'Factors'!$C$9:$C$108,0))),"")/1000,"")</x:f>
      </x:c>
      <x:c r="W82" s="23" t="str">
        <x:f>IF(OR(Z82="Ready",Z82="Grid fallback"),(IF(M82&gt;0,M82*IFERROR(IF(INDEX('Factors'!$G$9:$G$108,MATCH(N82,'Factors'!$C$9:$C$108,0))="","",INDEX('Factors'!$G$9:$G$108,MATCH(N82,'Factors'!$C$9:$C$108,0))),""),0)+(J82-M82)*IF(M82=J82,0,IF(Q82="No",IFERROR(IF(INDEX('Factors'!$G$9:$G$108,MATCH(K82,'Factors'!$C$9:$C$108,0))="","",INDEX('Factors'!$G$9:$G$108,MATCH(K82,'Factors'!$C$9:$C$108,0))),""),IFERROR(IF(INDEX('Factors'!$G$9:$G$108,MATCH(R82,'Factors'!$C$9:$C$108,0))="","",INDEX('Factors'!$G$9:$G$108,MATCH(R82,'Factors'!$C$9:$C$108,0))),""))))/1000,"")</x:f>
      </x:c>
      <x:c r="X82" s="9" t="str">
        <x:f>IF(C82="","",IF(AND($D$6&lt;&gt;"Operational control",$D$6&lt;&gt;"Financial control"),"Control basis required",IF(F82="No","Outside control",IF(F82&lt;&gt;"Yes","Control review",IF(COUNTIFS($C$9:$C$108,C82)&lt;&gt;1,"Duplicate operation ID",IF(OR(S82="",NOT(ISNUMBER(T82)),T82&lt;'Settings'!$F$8,NOT(ISNUMBER(G82)),G82&lt;&gt;YEAR('Settings'!$F$8)),"Evidence / period review",IF(OR(NOT(ISNUMBER(H82)),H82&lt;0,AA82&lt;&gt;"Yes",NOT(ISNUMBER(AB82)),AB82&lt;0,AC82=""),"Activity required",IF(AND(IFERROR(IF(INDEX('Factors'!$P$9:$P$108,MATCH(I82,'Factors'!$C$9:$C$108,0))="","",INDEX('Factors'!$P$9:$P$108,MATCH(I82,'Factors'!$C$9:$C$108,0))),"")="Ready",IFERROR(IF(INDEX('Factors'!$F$9:$F$108,MATCH(I82,'Factors'!$C$9:$C$108,0))="","",INDEX('Factors'!$F$9:$F$108,MATCH(I82,'Factors'!$C$9:$C$108,0))),"")="litre",IFERROR(IF(INDEX('Factors'!$H$9:$H$108,MATCH(I82,'Factors'!$C$9:$C$108,0))="","",INDEX('Factors'!$H$9:$H$108,MATCH(I82,'Factors'!$C$9:$C$108,0))),"")="S1",IFERROR(IF(INDEX('Factors'!$I$9:$I$108,MATCH(I82,'Factors'!$C$9:$C$108,0))="","",INDEX('Factors'!$I$9:$I$108,MATCH(I82,'Factors'!$C$9:$C$108,0))),"")="Combustion",IFERROR(IF(INDEX('Factors'!$J$9:$J$108,MATCH(I82,'Factors'!$C$9:$C$108,0))="","",INDEX('Factors'!$J$9:$J$108,MATCH(I82,'Factors'!$C$9:$C$108,0))),"")=G82,OR(IFERROR(IF(INDEX('Factors'!$E$9:$E$108,MATCH(I82,'Factors'!$C$9:$C$108,0))="","",INDEX('Factors'!$E$9:$E$108,MATCH(I82,'Factors'!$C$9:$C$108,0))),"")="Global",IFERROR(IF(INDEX('Factors'!$E$9:$E$108,MATCH(I82,'Factors'!$C$9:$C$108,0))="","",INDEX('Factors'!$E$9:$E$108,MATCH(I82,'Factors'!$C$9:$C$108,0))),"")=D82)),"Ready","Factor / unit review"))))))))</x:f>
      </x:c>
      <x:c r="Y82" s="9" t="str">
        <x:f>IF(C82="","",IF(AND($D$6&lt;&gt;"Operational control",$D$6&lt;&gt;"Financial control"),"Control basis required",IF(F82="No","Outside control",IF(F82&lt;&gt;"Yes","Control review",IF(COUNTIFS($C$9:$C$108,C82)&lt;&gt;1,"Duplicate operation ID",IF(OR(S82="",NOT(ISNUMBER(T82)),T82&lt;'Settings'!$F$8,NOT(ISNUMBER(G82)),G82&lt;&gt;YEAR('Settings'!$F$8)),"Evidence / period review",IF(OR(NOT(ISNUMBER(J82)),J82&lt;0),"Activity required",IF(AND(IFERROR(IF(INDEX('Factors'!$P$9:$P$108,MATCH(K82,'Factors'!$C$9:$C$108,0))="","",INDEX('Factors'!$P$9:$P$108,MATCH(K82,'Factors'!$C$9:$C$108,0))),"")="Ready",IFERROR(IF(INDEX('Factors'!$F$9:$F$108,MATCH(K82,'Factors'!$C$9:$C$108,0))="","",INDEX('Factors'!$F$9:$F$108,MATCH(K82,'Factors'!$C$9:$C$108,0))),"")="kWh",IFERROR(IF(INDEX('Factors'!$H$9:$H$108,MATCH(K82,'Factors'!$C$9:$C$108,0))="","",INDEX('Factors'!$H$9:$H$108,MATCH(K82,'Factors'!$C$9:$C$108,0))),"")="S2",IFERROR(IF(INDEX('Factors'!$I$9:$I$108,MATCH(K82,'Factors'!$C$9:$C$108,0))="","",INDEX('Factors'!$I$9:$I$108,MATCH(K82,'Factors'!$C$9:$C$108,0))),"")="Location-based",IFERROR(IF(INDEX('Factors'!$J$9:$J$108,MATCH(K82,'Factors'!$C$9:$C$108,0))="","",INDEX('Factors'!$J$9:$J$108,MATCH(K82,'Factors'!$C$9:$C$108,0))),"")=G82,OR(IFERROR(IF(INDEX('Factors'!$E$9:$E$108,MATCH(K82,'Factors'!$C$9:$C$108,0))="","",INDEX('Factors'!$E$9:$E$108,MATCH(K82,'Factors'!$C$9:$C$108,0))),"")="Global",IFERROR(IF(INDEX('Factors'!$E$9:$E$108,MATCH(K82,'Factors'!$C$9:$C$108,0))="","",INDEX('Factors'!$E$9:$E$108,MATCH(K82,'Factors'!$C$9:$C$108,0))),"")=D82)),"Ready","Factor / unit review"))))))))</x:f>
      </x:c>
      <x:c r="Z82" s="9" t="str">
        <x:f>IF(C82="","",IF(F82="No","Outside control",IF(F82&lt;&gt;"Yes","Control review",IF($H$6="No","Not required",IF($H$6&lt;&gt;"Yes","Applicability review",IF(Y82&lt;&gt;"Ready",Y82,IF(OR(NOT(ISNUMBER(M82)),M82&lt;0,M82&gt;J82),"Contract quantity review",IF(AND(M82&gt;0,OR(O82&lt;&gt;"Pass",P82="",NOT(AND(IFERROR(IF(INDEX('Factors'!$P$9:$P$108,MATCH(N82,'Factors'!$C$9:$C$108,0))="","",INDEX('Factors'!$P$9:$P$108,MATCH(N82,'Factors'!$C$9:$C$108,0))),"")="Ready",IFERROR(IF(INDEX('Factors'!$F$9:$F$108,MATCH(N82,'Factors'!$C$9:$C$108,0))="","",INDEX('Factors'!$F$9:$F$108,MATCH(N82,'Factors'!$C$9:$C$108,0))),"")="kWh",IFERROR(IF(INDEX('Factors'!$H$9:$H$108,MATCH(N82,'Factors'!$C$9:$C$108,0))="","",INDEX('Factors'!$H$9:$H$108,MATCH(N82,'Factors'!$C$9:$C$108,0))),"")="S2",IFERROR(IF(INDEX('Factors'!$I$9:$I$108,MATCH(N82,'Factors'!$C$9:$C$108,0))="","",INDEX('Factors'!$I$9:$I$108,MATCH(N82,'Factors'!$C$9:$C$108,0))),"")="Market-based",IFERROR(IF(INDEX('Factors'!$J$9:$J$108,MATCH(N82,'Factors'!$C$9:$C$108,0))="","",INDEX('Factors'!$J$9:$J$108,MATCH(N82,'Factors'!$C$9:$C$108,0))),"")=G82,OR(IFERROR(IF(INDEX('Factors'!$E$9:$E$108,MATCH(N82,'Factors'!$C$9:$C$108,0))="","",INDEX('Factors'!$E$9:$E$108,MATCH(N82,'Factors'!$C$9:$C$108,0))),"")="Global",IFERROR(IF(INDEX('Factors'!$E$9:$E$108,MATCH(N82,'Factors'!$C$9:$C$108,0))="","",INDEX('Factors'!$E$9:$E$108,MATCH(N82,'Factors'!$C$9:$C$108,0))),"")=D82))))),"Contract criteria review",IF(M82=J82,"Ready",IF(Q82="No","Grid fallback",IF(Q82="Yes",IF(AND(IFERROR(IF(INDEX('Factors'!$P$9:$P$108,MATCH(R82,'Factors'!$C$9:$C$108,0))="","",INDEX('Factors'!$P$9:$P$108,MATCH(R82,'Factors'!$C$9:$C$108,0))),"")="Ready",IFERROR(IF(INDEX('Factors'!$F$9:$F$108,MATCH(R82,'Factors'!$C$9:$C$108,0))="","",INDEX('Factors'!$F$9:$F$108,MATCH(R82,'Factors'!$C$9:$C$108,0))),"")="kWh",IFERROR(IF(INDEX('Factors'!$H$9:$H$108,MATCH(R82,'Factors'!$C$9:$C$108,0))="","",INDEX('Factors'!$H$9:$H$108,MATCH(R82,'Factors'!$C$9:$C$108,0))),"")="S2",IFERROR(IF(INDEX('Factors'!$I$9:$I$108,MATCH(R82,'Factors'!$C$9:$C$108,0))="","",INDEX('Factors'!$I$9:$I$108,MATCH(R82,'Factors'!$C$9:$C$108,0))),"")="Residual mix",IFERROR(IF(INDEX('Factors'!$J$9:$J$108,MATCH(R82,'Factors'!$C$9:$C$108,0))="","",INDEX('Factors'!$J$9:$J$108,MATCH(R82,'Factors'!$C$9:$C$108,0))),"")=G82,OR(IFERROR(IF(INDEX('Factors'!$E$9:$E$108,MATCH(R82,'Factors'!$C$9:$C$108,0))="","",INDEX('Factors'!$E$9:$E$108,MATCH(R82,'Factors'!$C$9:$C$108,0))),"")="Global",IFERROR(IF(INDEX('Factors'!$E$9:$E$108,MATCH(R82,'Factors'!$C$9:$C$108,0))="","",INDEX('Factors'!$E$9:$E$108,MATCH(R82,'Factors'!$C$9:$C$108,0))),"")=D82)),"Ready","Residual factor review"),"Residual availability review")))))))))))</x:f>
      </x:c>
      <x:c r="AA82" s="8"/>
      <x:c r="AB82" s="16"/>
      <x:c r="AC82" s="8"/>
    </x:row>
    <x:row r="83" ht="36" customHeight="1">
      <x:c r="A83" s="1"/>
      <x:c r="B83" s="1"/>
      <x:c r="C83" s="8"/>
      <x:c r="D83" s="8"/>
      <x:c r="E83" s="8"/>
      <x:c r="F83" s="8"/>
      <x:c r="G83" s="22"/>
      <x:c r="H83" s="16"/>
      <x:c r="I83" s="8"/>
      <x:c r="J83" s="16"/>
      <x:c r="K83" s="8"/>
      <x:c r="L83" s="8"/>
      <x:c r="M83" s="16"/>
      <x:c r="N83" s="8"/>
      <x:c r="O83" s="8"/>
      <x:c r="P83" s="8"/>
      <x:c r="Q83" s="8"/>
      <x:c r="R83" s="8"/>
      <x:c r="S83" s="8"/>
      <x:c r="T83" s="40"/>
      <x:c r="U83" s="23" t="str">
        <x:f>IF(X83="Ready",H83*IFERROR(IF(INDEX('Factors'!$G$9:$G$108,MATCH(I83,'Factors'!$C$9:$C$108,0))="","",INDEX('Factors'!$G$9:$G$108,MATCH(I83,'Factors'!$C$9:$C$108,0))),"")/1000+AB83,"")</x:f>
      </x:c>
      <x:c r="V83" s="23" t="str">
        <x:f>IF(Y83="Ready",J83*IFERROR(IF(INDEX('Factors'!$G$9:$G$108,MATCH(K83,'Factors'!$C$9:$C$108,0))="","",INDEX('Factors'!$G$9:$G$108,MATCH(K83,'Factors'!$C$9:$C$108,0))),"")/1000,"")</x:f>
      </x:c>
      <x:c r="W83" s="23" t="str">
        <x:f>IF(OR(Z83="Ready",Z83="Grid fallback"),(IF(M83&gt;0,M83*IFERROR(IF(INDEX('Factors'!$G$9:$G$108,MATCH(N83,'Factors'!$C$9:$C$108,0))="","",INDEX('Factors'!$G$9:$G$108,MATCH(N83,'Factors'!$C$9:$C$108,0))),""),0)+(J83-M83)*IF(M83=J83,0,IF(Q83="No",IFERROR(IF(INDEX('Factors'!$G$9:$G$108,MATCH(K83,'Factors'!$C$9:$C$108,0))="","",INDEX('Factors'!$G$9:$G$108,MATCH(K83,'Factors'!$C$9:$C$108,0))),""),IFERROR(IF(INDEX('Factors'!$G$9:$G$108,MATCH(R83,'Factors'!$C$9:$C$108,0))="","",INDEX('Factors'!$G$9:$G$108,MATCH(R83,'Factors'!$C$9:$C$108,0))),""))))/1000,"")</x:f>
      </x:c>
      <x:c r="X83" s="9" t="str">
        <x:f>IF(C83="","",IF(AND($D$6&lt;&gt;"Operational control",$D$6&lt;&gt;"Financial control"),"Control basis required",IF(F83="No","Outside control",IF(F83&lt;&gt;"Yes","Control review",IF(COUNTIFS($C$9:$C$108,C83)&lt;&gt;1,"Duplicate operation ID",IF(OR(S83="",NOT(ISNUMBER(T83)),T83&lt;'Settings'!$F$8,NOT(ISNUMBER(G83)),G83&lt;&gt;YEAR('Settings'!$F$8)),"Evidence / period review",IF(OR(NOT(ISNUMBER(H83)),H83&lt;0,AA83&lt;&gt;"Yes",NOT(ISNUMBER(AB83)),AB83&lt;0,AC83=""),"Activity required",IF(AND(IFERROR(IF(INDEX('Factors'!$P$9:$P$108,MATCH(I83,'Factors'!$C$9:$C$108,0))="","",INDEX('Factors'!$P$9:$P$108,MATCH(I83,'Factors'!$C$9:$C$108,0))),"")="Ready",IFERROR(IF(INDEX('Factors'!$F$9:$F$108,MATCH(I83,'Factors'!$C$9:$C$108,0))="","",INDEX('Factors'!$F$9:$F$108,MATCH(I83,'Factors'!$C$9:$C$108,0))),"")="litre",IFERROR(IF(INDEX('Factors'!$H$9:$H$108,MATCH(I83,'Factors'!$C$9:$C$108,0))="","",INDEX('Factors'!$H$9:$H$108,MATCH(I83,'Factors'!$C$9:$C$108,0))),"")="S1",IFERROR(IF(INDEX('Factors'!$I$9:$I$108,MATCH(I83,'Factors'!$C$9:$C$108,0))="","",INDEX('Factors'!$I$9:$I$108,MATCH(I83,'Factors'!$C$9:$C$108,0))),"")="Combustion",IFERROR(IF(INDEX('Factors'!$J$9:$J$108,MATCH(I83,'Factors'!$C$9:$C$108,0))="","",INDEX('Factors'!$J$9:$J$108,MATCH(I83,'Factors'!$C$9:$C$108,0))),"")=G83,OR(IFERROR(IF(INDEX('Factors'!$E$9:$E$108,MATCH(I83,'Factors'!$C$9:$C$108,0))="","",INDEX('Factors'!$E$9:$E$108,MATCH(I83,'Factors'!$C$9:$C$108,0))),"")="Global",IFERROR(IF(INDEX('Factors'!$E$9:$E$108,MATCH(I83,'Factors'!$C$9:$C$108,0))="","",INDEX('Factors'!$E$9:$E$108,MATCH(I83,'Factors'!$C$9:$C$108,0))),"")=D83)),"Ready","Factor / unit review"))))))))</x:f>
      </x:c>
      <x:c r="Y83" s="9" t="str">
        <x:f>IF(C83="","",IF(AND($D$6&lt;&gt;"Operational control",$D$6&lt;&gt;"Financial control"),"Control basis required",IF(F83="No","Outside control",IF(F83&lt;&gt;"Yes","Control review",IF(COUNTIFS($C$9:$C$108,C83)&lt;&gt;1,"Duplicate operation ID",IF(OR(S83="",NOT(ISNUMBER(T83)),T83&lt;'Settings'!$F$8,NOT(ISNUMBER(G83)),G83&lt;&gt;YEAR('Settings'!$F$8)),"Evidence / period review",IF(OR(NOT(ISNUMBER(J83)),J83&lt;0),"Activity required",IF(AND(IFERROR(IF(INDEX('Factors'!$P$9:$P$108,MATCH(K83,'Factors'!$C$9:$C$108,0))="","",INDEX('Factors'!$P$9:$P$108,MATCH(K83,'Factors'!$C$9:$C$108,0))),"")="Ready",IFERROR(IF(INDEX('Factors'!$F$9:$F$108,MATCH(K83,'Factors'!$C$9:$C$108,0))="","",INDEX('Factors'!$F$9:$F$108,MATCH(K83,'Factors'!$C$9:$C$108,0))),"")="kWh",IFERROR(IF(INDEX('Factors'!$H$9:$H$108,MATCH(K83,'Factors'!$C$9:$C$108,0))="","",INDEX('Factors'!$H$9:$H$108,MATCH(K83,'Factors'!$C$9:$C$108,0))),"")="S2",IFERROR(IF(INDEX('Factors'!$I$9:$I$108,MATCH(K83,'Factors'!$C$9:$C$108,0))="","",INDEX('Factors'!$I$9:$I$108,MATCH(K83,'Factors'!$C$9:$C$108,0))),"")="Location-based",IFERROR(IF(INDEX('Factors'!$J$9:$J$108,MATCH(K83,'Factors'!$C$9:$C$108,0))="","",INDEX('Factors'!$J$9:$J$108,MATCH(K83,'Factors'!$C$9:$C$108,0))),"")=G83,OR(IFERROR(IF(INDEX('Factors'!$E$9:$E$108,MATCH(K83,'Factors'!$C$9:$C$108,0))="","",INDEX('Factors'!$E$9:$E$108,MATCH(K83,'Factors'!$C$9:$C$108,0))),"")="Global",IFERROR(IF(INDEX('Factors'!$E$9:$E$108,MATCH(K83,'Factors'!$C$9:$C$108,0))="","",INDEX('Factors'!$E$9:$E$108,MATCH(K83,'Factors'!$C$9:$C$108,0))),"")=D83)),"Ready","Factor / unit review"))))))))</x:f>
      </x:c>
      <x:c r="Z83" s="9" t="str">
        <x:f>IF(C83="","",IF(F83="No","Outside control",IF(F83&lt;&gt;"Yes","Control review",IF($H$6="No","Not required",IF($H$6&lt;&gt;"Yes","Applicability review",IF(Y83&lt;&gt;"Ready",Y83,IF(OR(NOT(ISNUMBER(M83)),M83&lt;0,M83&gt;J83),"Contract quantity review",IF(AND(M83&gt;0,OR(O83&lt;&gt;"Pass",P83="",NOT(AND(IFERROR(IF(INDEX('Factors'!$P$9:$P$108,MATCH(N83,'Factors'!$C$9:$C$108,0))="","",INDEX('Factors'!$P$9:$P$108,MATCH(N83,'Factors'!$C$9:$C$108,0))),"")="Ready",IFERROR(IF(INDEX('Factors'!$F$9:$F$108,MATCH(N83,'Factors'!$C$9:$C$108,0))="","",INDEX('Factors'!$F$9:$F$108,MATCH(N83,'Factors'!$C$9:$C$108,0))),"")="kWh",IFERROR(IF(INDEX('Factors'!$H$9:$H$108,MATCH(N83,'Factors'!$C$9:$C$108,0))="","",INDEX('Factors'!$H$9:$H$108,MATCH(N83,'Factors'!$C$9:$C$108,0))),"")="S2",IFERROR(IF(INDEX('Factors'!$I$9:$I$108,MATCH(N83,'Factors'!$C$9:$C$108,0))="","",INDEX('Factors'!$I$9:$I$108,MATCH(N83,'Factors'!$C$9:$C$108,0))),"")="Market-based",IFERROR(IF(INDEX('Factors'!$J$9:$J$108,MATCH(N83,'Factors'!$C$9:$C$108,0))="","",INDEX('Factors'!$J$9:$J$108,MATCH(N83,'Factors'!$C$9:$C$108,0))),"")=G83,OR(IFERROR(IF(INDEX('Factors'!$E$9:$E$108,MATCH(N83,'Factors'!$C$9:$C$108,0))="","",INDEX('Factors'!$E$9:$E$108,MATCH(N83,'Factors'!$C$9:$C$108,0))),"")="Global",IFERROR(IF(INDEX('Factors'!$E$9:$E$108,MATCH(N83,'Factors'!$C$9:$C$108,0))="","",INDEX('Factors'!$E$9:$E$108,MATCH(N83,'Factors'!$C$9:$C$108,0))),"")=D83))))),"Contract criteria review",IF(M83=J83,"Ready",IF(Q83="No","Grid fallback",IF(Q83="Yes",IF(AND(IFERROR(IF(INDEX('Factors'!$P$9:$P$108,MATCH(R83,'Factors'!$C$9:$C$108,0))="","",INDEX('Factors'!$P$9:$P$108,MATCH(R83,'Factors'!$C$9:$C$108,0))),"")="Ready",IFERROR(IF(INDEX('Factors'!$F$9:$F$108,MATCH(R83,'Factors'!$C$9:$C$108,0))="","",INDEX('Factors'!$F$9:$F$108,MATCH(R83,'Factors'!$C$9:$C$108,0))),"")="kWh",IFERROR(IF(INDEX('Factors'!$H$9:$H$108,MATCH(R83,'Factors'!$C$9:$C$108,0))="","",INDEX('Factors'!$H$9:$H$108,MATCH(R83,'Factors'!$C$9:$C$108,0))),"")="S2",IFERROR(IF(INDEX('Factors'!$I$9:$I$108,MATCH(R83,'Factors'!$C$9:$C$108,0))="","",INDEX('Factors'!$I$9:$I$108,MATCH(R83,'Factors'!$C$9:$C$108,0))),"")="Residual mix",IFERROR(IF(INDEX('Factors'!$J$9:$J$108,MATCH(R83,'Factors'!$C$9:$C$108,0))="","",INDEX('Factors'!$J$9:$J$108,MATCH(R83,'Factors'!$C$9:$C$108,0))),"")=G83,OR(IFERROR(IF(INDEX('Factors'!$E$9:$E$108,MATCH(R83,'Factors'!$C$9:$C$108,0))="","",INDEX('Factors'!$E$9:$E$108,MATCH(R83,'Factors'!$C$9:$C$108,0))),"")="Global",IFERROR(IF(INDEX('Factors'!$E$9:$E$108,MATCH(R83,'Factors'!$C$9:$C$108,0))="","",INDEX('Factors'!$E$9:$E$108,MATCH(R83,'Factors'!$C$9:$C$108,0))),"")=D83)),"Ready","Residual factor review"),"Residual availability review")))))))))))</x:f>
      </x:c>
      <x:c r="AA83" s="8"/>
      <x:c r="AB83" s="16"/>
      <x:c r="AC83" s="8"/>
    </x:row>
    <x:row r="84" ht="36" customHeight="1">
      <x:c r="A84" s="1"/>
      <x:c r="B84" s="1"/>
      <x:c r="C84" s="8"/>
      <x:c r="D84" s="8"/>
      <x:c r="E84" s="8"/>
      <x:c r="F84" s="8"/>
      <x:c r="G84" s="22"/>
      <x:c r="H84" s="16"/>
      <x:c r="I84" s="8"/>
      <x:c r="J84" s="16"/>
      <x:c r="K84" s="8"/>
      <x:c r="L84" s="8"/>
      <x:c r="M84" s="16"/>
      <x:c r="N84" s="8"/>
      <x:c r="O84" s="8"/>
      <x:c r="P84" s="8"/>
      <x:c r="Q84" s="8"/>
      <x:c r="R84" s="8"/>
      <x:c r="S84" s="8"/>
      <x:c r="T84" s="40"/>
      <x:c r="U84" s="23" t="str">
        <x:f>IF(X84="Ready",H84*IFERROR(IF(INDEX('Factors'!$G$9:$G$108,MATCH(I84,'Factors'!$C$9:$C$108,0))="","",INDEX('Factors'!$G$9:$G$108,MATCH(I84,'Factors'!$C$9:$C$108,0))),"")/1000+AB84,"")</x:f>
      </x:c>
      <x:c r="V84" s="23" t="str">
        <x:f>IF(Y84="Ready",J84*IFERROR(IF(INDEX('Factors'!$G$9:$G$108,MATCH(K84,'Factors'!$C$9:$C$108,0))="","",INDEX('Factors'!$G$9:$G$108,MATCH(K84,'Factors'!$C$9:$C$108,0))),"")/1000,"")</x:f>
      </x:c>
      <x:c r="W84" s="23" t="str">
        <x:f>IF(OR(Z84="Ready",Z84="Grid fallback"),(IF(M84&gt;0,M84*IFERROR(IF(INDEX('Factors'!$G$9:$G$108,MATCH(N84,'Factors'!$C$9:$C$108,0))="","",INDEX('Factors'!$G$9:$G$108,MATCH(N84,'Factors'!$C$9:$C$108,0))),""),0)+(J84-M84)*IF(M84=J84,0,IF(Q84="No",IFERROR(IF(INDEX('Factors'!$G$9:$G$108,MATCH(K84,'Factors'!$C$9:$C$108,0))="","",INDEX('Factors'!$G$9:$G$108,MATCH(K84,'Factors'!$C$9:$C$108,0))),""),IFERROR(IF(INDEX('Factors'!$G$9:$G$108,MATCH(R84,'Factors'!$C$9:$C$108,0))="","",INDEX('Factors'!$G$9:$G$108,MATCH(R84,'Factors'!$C$9:$C$108,0))),""))))/1000,"")</x:f>
      </x:c>
      <x:c r="X84" s="9" t="str">
        <x:f>IF(C84="","",IF(AND($D$6&lt;&gt;"Operational control",$D$6&lt;&gt;"Financial control"),"Control basis required",IF(F84="No","Outside control",IF(F84&lt;&gt;"Yes","Control review",IF(COUNTIFS($C$9:$C$108,C84)&lt;&gt;1,"Duplicate operation ID",IF(OR(S84="",NOT(ISNUMBER(T84)),T84&lt;'Settings'!$F$8,NOT(ISNUMBER(G84)),G84&lt;&gt;YEAR('Settings'!$F$8)),"Evidence / period review",IF(OR(NOT(ISNUMBER(H84)),H84&lt;0,AA84&lt;&gt;"Yes",NOT(ISNUMBER(AB84)),AB84&lt;0,AC84=""),"Activity required",IF(AND(IFERROR(IF(INDEX('Factors'!$P$9:$P$108,MATCH(I84,'Factors'!$C$9:$C$108,0))="","",INDEX('Factors'!$P$9:$P$108,MATCH(I84,'Factors'!$C$9:$C$108,0))),"")="Ready",IFERROR(IF(INDEX('Factors'!$F$9:$F$108,MATCH(I84,'Factors'!$C$9:$C$108,0))="","",INDEX('Factors'!$F$9:$F$108,MATCH(I84,'Factors'!$C$9:$C$108,0))),"")="litre",IFERROR(IF(INDEX('Factors'!$H$9:$H$108,MATCH(I84,'Factors'!$C$9:$C$108,0))="","",INDEX('Factors'!$H$9:$H$108,MATCH(I84,'Factors'!$C$9:$C$108,0))),"")="S1",IFERROR(IF(INDEX('Factors'!$I$9:$I$108,MATCH(I84,'Factors'!$C$9:$C$108,0))="","",INDEX('Factors'!$I$9:$I$108,MATCH(I84,'Factors'!$C$9:$C$108,0))),"")="Combustion",IFERROR(IF(INDEX('Factors'!$J$9:$J$108,MATCH(I84,'Factors'!$C$9:$C$108,0))="","",INDEX('Factors'!$J$9:$J$108,MATCH(I84,'Factors'!$C$9:$C$108,0))),"")=G84,OR(IFERROR(IF(INDEX('Factors'!$E$9:$E$108,MATCH(I84,'Factors'!$C$9:$C$108,0))="","",INDEX('Factors'!$E$9:$E$108,MATCH(I84,'Factors'!$C$9:$C$108,0))),"")="Global",IFERROR(IF(INDEX('Factors'!$E$9:$E$108,MATCH(I84,'Factors'!$C$9:$C$108,0))="","",INDEX('Factors'!$E$9:$E$108,MATCH(I84,'Factors'!$C$9:$C$108,0))),"")=D84)),"Ready","Factor / unit review"))))))))</x:f>
      </x:c>
      <x:c r="Y84" s="9" t="str">
        <x:f>IF(C84="","",IF(AND($D$6&lt;&gt;"Operational control",$D$6&lt;&gt;"Financial control"),"Control basis required",IF(F84="No","Outside control",IF(F84&lt;&gt;"Yes","Control review",IF(COUNTIFS($C$9:$C$108,C84)&lt;&gt;1,"Duplicate operation ID",IF(OR(S84="",NOT(ISNUMBER(T84)),T84&lt;'Settings'!$F$8,NOT(ISNUMBER(G84)),G84&lt;&gt;YEAR('Settings'!$F$8)),"Evidence / period review",IF(OR(NOT(ISNUMBER(J84)),J84&lt;0),"Activity required",IF(AND(IFERROR(IF(INDEX('Factors'!$P$9:$P$108,MATCH(K84,'Factors'!$C$9:$C$108,0))="","",INDEX('Factors'!$P$9:$P$108,MATCH(K84,'Factors'!$C$9:$C$108,0))),"")="Ready",IFERROR(IF(INDEX('Factors'!$F$9:$F$108,MATCH(K84,'Factors'!$C$9:$C$108,0))="","",INDEX('Factors'!$F$9:$F$108,MATCH(K84,'Factors'!$C$9:$C$108,0))),"")="kWh",IFERROR(IF(INDEX('Factors'!$H$9:$H$108,MATCH(K84,'Factors'!$C$9:$C$108,0))="","",INDEX('Factors'!$H$9:$H$108,MATCH(K84,'Factors'!$C$9:$C$108,0))),"")="S2",IFERROR(IF(INDEX('Factors'!$I$9:$I$108,MATCH(K84,'Factors'!$C$9:$C$108,0))="","",INDEX('Factors'!$I$9:$I$108,MATCH(K84,'Factors'!$C$9:$C$108,0))),"")="Location-based",IFERROR(IF(INDEX('Factors'!$J$9:$J$108,MATCH(K84,'Factors'!$C$9:$C$108,0))="","",INDEX('Factors'!$J$9:$J$108,MATCH(K84,'Factors'!$C$9:$C$108,0))),"")=G84,OR(IFERROR(IF(INDEX('Factors'!$E$9:$E$108,MATCH(K84,'Factors'!$C$9:$C$108,0))="","",INDEX('Factors'!$E$9:$E$108,MATCH(K84,'Factors'!$C$9:$C$108,0))),"")="Global",IFERROR(IF(INDEX('Factors'!$E$9:$E$108,MATCH(K84,'Factors'!$C$9:$C$108,0))="","",INDEX('Factors'!$E$9:$E$108,MATCH(K84,'Factors'!$C$9:$C$108,0))),"")=D84)),"Ready","Factor / unit review"))))))))</x:f>
      </x:c>
      <x:c r="Z84" s="9" t="str">
        <x:f>IF(C84="","",IF(F84="No","Outside control",IF(F84&lt;&gt;"Yes","Control review",IF($H$6="No","Not required",IF($H$6&lt;&gt;"Yes","Applicability review",IF(Y84&lt;&gt;"Ready",Y84,IF(OR(NOT(ISNUMBER(M84)),M84&lt;0,M84&gt;J84),"Contract quantity review",IF(AND(M84&gt;0,OR(O84&lt;&gt;"Pass",P84="",NOT(AND(IFERROR(IF(INDEX('Factors'!$P$9:$P$108,MATCH(N84,'Factors'!$C$9:$C$108,0))="","",INDEX('Factors'!$P$9:$P$108,MATCH(N84,'Factors'!$C$9:$C$108,0))),"")="Ready",IFERROR(IF(INDEX('Factors'!$F$9:$F$108,MATCH(N84,'Factors'!$C$9:$C$108,0))="","",INDEX('Factors'!$F$9:$F$108,MATCH(N84,'Factors'!$C$9:$C$108,0))),"")="kWh",IFERROR(IF(INDEX('Factors'!$H$9:$H$108,MATCH(N84,'Factors'!$C$9:$C$108,0))="","",INDEX('Factors'!$H$9:$H$108,MATCH(N84,'Factors'!$C$9:$C$108,0))),"")="S2",IFERROR(IF(INDEX('Factors'!$I$9:$I$108,MATCH(N84,'Factors'!$C$9:$C$108,0))="","",INDEX('Factors'!$I$9:$I$108,MATCH(N84,'Factors'!$C$9:$C$108,0))),"")="Market-based",IFERROR(IF(INDEX('Factors'!$J$9:$J$108,MATCH(N84,'Factors'!$C$9:$C$108,0))="","",INDEX('Factors'!$J$9:$J$108,MATCH(N84,'Factors'!$C$9:$C$108,0))),"")=G84,OR(IFERROR(IF(INDEX('Factors'!$E$9:$E$108,MATCH(N84,'Factors'!$C$9:$C$108,0))="","",INDEX('Factors'!$E$9:$E$108,MATCH(N84,'Factors'!$C$9:$C$108,0))),"")="Global",IFERROR(IF(INDEX('Factors'!$E$9:$E$108,MATCH(N84,'Factors'!$C$9:$C$108,0))="","",INDEX('Factors'!$E$9:$E$108,MATCH(N84,'Factors'!$C$9:$C$108,0))),"")=D84))))),"Contract criteria review",IF(M84=J84,"Ready",IF(Q84="No","Grid fallback",IF(Q84="Yes",IF(AND(IFERROR(IF(INDEX('Factors'!$P$9:$P$108,MATCH(R84,'Factors'!$C$9:$C$108,0))="","",INDEX('Factors'!$P$9:$P$108,MATCH(R84,'Factors'!$C$9:$C$108,0))),"")="Ready",IFERROR(IF(INDEX('Factors'!$F$9:$F$108,MATCH(R84,'Factors'!$C$9:$C$108,0))="","",INDEX('Factors'!$F$9:$F$108,MATCH(R84,'Factors'!$C$9:$C$108,0))),"")="kWh",IFERROR(IF(INDEX('Factors'!$H$9:$H$108,MATCH(R84,'Factors'!$C$9:$C$108,0))="","",INDEX('Factors'!$H$9:$H$108,MATCH(R84,'Factors'!$C$9:$C$108,0))),"")="S2",IFERROR(IF(INDEX('Factors'!$I$9:$I$108,MATCH(R84,'Factors'!$C$9:$C$108,0))="","",INDEX('Factors'!$I$9:$I$108,MATCH(R84,'Factors'!$C$9:$C$108,0))),"")="Residual mix",IFERROR(IF(INDEX('Factors'!$J$9:$J$108,MATCH(R84,'Factors'!$C$9:$C$108,0))="","",INDEX('Factors'!$J$9:$J$108,MATCH(R84,'Factors'!$C$9:$C$108,0))),"")=G84,OR(IFERROR(IF(INDEX('Factors'!$E$9:$E$108,MATCH(R84,'Factors'!$C$9:$C$108,0))="","",INDEX('Factors'!$E$9:$E$108,MATCH(R84,'Factors'!$C$9:$C$108,0))),"")="Global",IFERROR(IF(INDEX('Factors'!$E$9:$E$108,MATCH(R84,'Factors'!$C$9:$C$108,0))="","",INDEX('Factors'!$E$9:$E$108,MATCH(R84,'Factors'!$C$9:$C$108,0))),"")=D84)),"Ready","Residual factor review"),"Residual availability review")))))))))))</x:f>
      </x:c>
      <x:c r="AA84" s="8"/>
      <x:c r="AB84" s="16"/>
      <x:c r="AC84" s="8"/>
    </x:row>
    <x:row r="85" ht="36" customHeight="1">
      <x:c r="A85" s="1"/>
      <x:c r="B85" s="1"/>
      <x:c r="C85" s="8"/>
      <x:c r="D85" s="8"/>
      <x:c r="E85" s="8"/>
      <x:c r="F85" s="8"/>
      <x:c r="G85" s="22"/>
      <x:c r="H85" s="16"/>
      <x:c r="I85" s="8"/>
      <x:c r="J85" s="16"/>
      <x:c r="K85" s="8"/>
      <x:c r="L85" s="8"/>
      <x:c r="M85" s="16"/>
      <x:c r="N85" s="8"/>
      <x:c r="O85" s="8"/>
      <x:c r="P85" s="8"/>
      <x:c r="Q85" s="8"/>
      <x:c r="R85" s="8"/>
      <x:c r="S85" s="8"/>
      <x:c r="T85" s="40"/>
      <x:c r="U85" s="23" t="str">
        <x:f>IF(X85="Ready",H85*IFERROR(IF(INDEX('Factors'!$G$9:$G$108,MATCH(I85,'Factors'!$C$9:$C$108,0))="","",INDEX('Factors'!$G$9:$G$108,MATCH(I85,'Factors'!$C$9:$C$108,0))),"")/1000+AB85,"")</x:f>
      </x:c>
      <x:c r="V85" s="23" t="str">
        <x:f>IF(Y85="Ready",J85*IFERROR(IF(INDEX('Factors'!$G$9:$G$108,MATCH(K85,'Factors'!$C$9:$C$108,0))="","",INDEX('Factors'!$G$9:$G$108,MATCH(K85,'Factors'!$C$9:$C$108,0))),"")/1000,"")</x:f>
      </x:c>
      <x:c r="W85" s="23" t="str">
        <x:f>IF(OR(Z85="Ready",Z85="Grid fallback"),(IF(M85&gt;0,M85*IFERROR(IF(INDEX('Factors'!$G$9:$G$108,MATCH(N85,'Factors'!$C$9:$C$108,0))="","",INDEX('Factors'!$G$9:$G$108,MATCH(N85,'Factors'!$C$9:$C$108,0))),""),0)+(J85-M85)*IF(M85=J85,0,IF(Q85="No",IFERROR(IF(INDEX('Factors'!$G$9:$G$108,MATCH(K85,'Factors'!$C$9:$C$108,0))="","",INDEX('Factors'!$G$9:$G$108,MATCH(K85,'Factors'!$C$9:$C$108,0))),""),IFERROR(IF(INDEX('Factors'!$G$9:$G$108,MATCH(R85,'Factors'!$C$9:$C$108,0))="","",INDEX('Factors'!$G$9:$G$108,MATCH(R85,'Factors'!$C$9:$C$108,0))),""))))/1000,"")</x:f>
      </x:c>
      <x:c r="X85" s="9" t="str">
        <x:f>IF(C85="","",IF(AND($D$6&lt;&gt;"Operational control",$D$6&lt;&gt;"Financial control"),"Control basis required",IF(F85="No","Outside control",IF(F85&lt;&gt;"Yes","Control review",IF(COUNTIFS($C$9:$C$108,C85)&lt;&gt;1,"Duplicate operation ID",IF(OR(S85="",NOT(ISNUMBER(T85)),T85&lt;'Settings'!$F$8,NOT(ISNUMBER(G85)),G85&lt;&gt;YEAR('Settings'!$F$8)),"Evidence / period review",IF(OR(NOT(ISNUMBER(H85)),H85&lt;0,AA85&lt;&gt;"Yes",NOT(ISNUMBER(AB85)),AB85&lt;0,AC85=""),"Activity required",IF(AND(IFERROR(IF(INDEX('Factors'!$P$9:$P$108,MATCH(I85,'Factors'!$C$9:$C$108,0))="","",INDEX('Factors'!$P$9:$P$108,MATCH(I85,'Factors'!$C$9:$C$108,0))),"")="Ready",IFERROR(IF(INDEX('Factors'!$F$9:$F$108,MATCH(I85,'Factors'!$C$9:$C$108,0))="","",INDEX('Factors'!$F$9:$F$108,MATCH(I85,'Factors'!$C$9:$C$108,0))),"")="litre",IFERROR(IF(INDEX('Factors'!$H$9:$H$108,MATCH(I85,'Factors'!$C$9:$C$108,0))="","",INDEX('Factors'!$H$9:$H$108,MATCH(I85,'Factors'!$C$9:$C$108,0))),"")="S1",IFERROR(IF(INDEX('Factors'!$I$9:$I$108,MATCH(I85,'Factors'!$C$9:$C$108,0))="","",INDEX('Factors'!$I$9:$I$108,MATCH(I85,'Factors'!$C$9:$C$108,0))),"")="Combustion",IFERROR(IF(INDEX('Factors'!$J$9:$J$108,MATCH(I85,'Factors'!$C$9:$C$108,0))="","",INDEX('Factors'!$J$9:$J$108,MATCH(I85,'Factors'!$C$9:$C$108,0))),"")=G85,OR(IFERROR(IF(INDEX('Factors'!$E$9:$E$108,MATCH(I85,'Factors'!$C$9:$C$108,0))="","",INDEX('Factors'!$E$9:$E$108,MATCH(I85,'Factors'!$C$9:$C$108,0))),"")="Global",IFERROR(IF(INDEX('Factors'!$E$9:$E$108,MATCH(I85,'Factors'!$C$9:$C$108,0))="","",INDEX('Factors'!$E$9:$E$108,MATCH(I85,'Factors'!$C$9:$C$108,0))),"")=D85)),"Ready","Factor / unit review"))))))))</x:f>
      </x:c>
      <x:c r="Y85" s="9" t="str">
        <x:f>IF(C85="","",IF(AND($D$6&lt;&gt;"Operational control",$D$6&lt;&gt;"Financial control"),"Control basis required",IF(F85="No","Outside control",IF(F85&lt;&gt;"Yes","Control review",IF(COUNTIFS($C$9:$C$108,C85)&lt;&gt;1,"Duplicate operation ID",IF(OR(S85="",NOT(ISNUMBER(T85)),T85&lt;'Settings'!$F$8,NOT(ISNUMBER(G85)),G85&lt;&gt;YEAR('Settings'!$F$8)),"Evidence / period review",IF(OR(NOT(ISNUMBER(J85)),J85&lt;0),"Activity required",IF(AND(IFERROR(IF(INDEX('Factors'!$P$9:$P$108,MATCH(K85,'Factors'!$C$9:$C$108,0))="","",INDEX('Factors'!$P$9:$P$108,MATCH(K85,'Factors'!$C$9:$C$108,0))),"")="Ready",IFERROR(IF(INDEX('Factors'!$F$9:$F$108,MATCH(K85,'Factors'!$C$9:$C$108,0))="","",INDEX('Factors'!$F$9:$F$108,MATCH(K85,'Factors'!$C$9:$C$108,0))),"")="kWh",IFERROR(IF(INDEX('Factors'!$H$9:$H$108,MATCH(K85,'Factors'!$C$9:$C$108,0))="","",INDEX('Factors'!$H$9:$H$108,MATCH(K85,'Factors'!$C$9:$C$108,0))),"")="S2",IFERROR(IF(INDEX('Factors'!$I$9:$I$108,MATCH(K85,'Factors'!$C$9:$C$108,0))="","",INDEX('Factors'!$I$9:$I$108,MATCH(K85,'Factors'!$C$9:$C$108,0))),"")="Location-based",IFERROR(IF(INDEX('Factors'!$J$9:$J$108,MATCH(K85,'Factors'!$C$9:$C$108,0))="","",INDEX('Factors'!$J$9:$J$108,MATCH(K85,'Factors'!$C$9:$C$108,0))),"")=G85,OR(IFERROR(IF(INDEX('Factors'!$E$9:$E$108,MATCH(K85,'Factors'!$C$9:$C$108,0))="","",INDEX('Factors'!$E$9:$E$108,MATCH(K85,'Factors'!$C$9:$C$108,0))),"")="Global",IFERROR(IF(INDEX('Factors'!$E$9:$E$108,MATCH(K85,'Factors'!$C$9:$C$108,0))="","",INDEX('Factors'!$E$9:$E$108,MATCH(K85,'Factors'!$C$9:$C$108,0))),"")=D85)),"Ready","Factor / unit review"))))))))</x:f>
      </x:c>
      <x:c r="Z85" s="9" t="str">
        <x:f>IF(C85="","",IF(F85="No","Outside control",IF(F85&lt;&gt;"Yes","Control review",IF($H$6="No","Not required",IF($H$6&lt;&gt;"Yes","Applicability review",IF(Y85&lt;&gt;"Ready",Y85,IF(OR(NOT(ISNUMBER(M85)),M85&lt;0,M85&gt;J85),"Contract quantity review",IF(AND(M85&gt;0,OR(O85&lt;&gt;"Pass",P85="",NOT(AND(IFERROR(IF(INDEX('Factors'!$P$9:$P$108,MATCH(N85,'Factors'!$C$9:$C$108,0))="","",INDEX('Factors'!$P$9:$P$108,MATCH(N85,'Factors'!$C$9:$C$108,0))),"")="Ready",IFERROR(IF(INDEX('Factors'!$F$9:$F$108,MATCH(N85,'Factors'!$C$9:$C$108,0))="","",INDEX('Factors'!$F$9:$F$108,MATCH(N85,'Factors'!$C$9:$C$108,0))),"")="kWh",IFERROR(IF(INDEX('Factors'!$H$9:$H$108,MATCH(N85,'Factors'!$C$9:$C$108,0))="","",INDEX('Factors'!$H$9:$H$108,MATCH(N85,'Factors'!$C$9:$C$108,0))),"")="S2",IFERROR(IF(INDEX('Factors'!$I$9:$I$108,MATCH(N85,'Factors'!$C$9:$C$108,0))="","",INDEX('Factors'!$I$9:$I$108,MATCH(N85,'Factors'!$C$9:$C$108,0))),"")="Market-based",IFERROR(IF(INDEX('Factors'!$J$9:$J$108,MATCH(N85,'Factors'!$C$9:$C$108,0))="","",INDEX('Factors'!$J$9:$J$108,MATCH(N85,'Factors'!$C$9:$C$108,0))),"")=G85,OR(IFERROR(IF(INDEX('Factors'!$E$9:$E$108,MATCH(N85,'Factors'!$C$9:$C$108,0))="","",INDEX('Factors'!$E$9:$E$108,MATCH(N85,'Factors'!$C$9:$C$108,0))),"")="Global",IFERROR(IF(INDEX('Factors'!$E$9:$E$108,MATCH(N85,'Factors'!$C$9:$C$108,0))="","",INDEX('Factors'!$E$9:$E$108,MATCH(N85,'Factors'!$C$9:$C$108,0))),"")=D85))))),"Contract criteria review",IF(M85=J85,"Ready",IF(Q85="No","Grid fallback",IF(Q85="Yes",IF(AND(IFERROR(IF(INDEX('Factors'!$P$9:$P$108,MATCH(R85,'Factors'!$C$9:$C$108,0))="","",INDEX('Factors'!$P$9:$P$108,MATCH(R85,'Factors'!$C$9:$C$108,0))),"")="Ready",IFERROR(IF(INDEX('Factors'!$F$9:$F$108,MATCH(R85,'Factors'!$C$9:$C$108,0))="","",INDEX('Factors'!$F$9:$F$108,MATCH(R85,'Factors'!$C$9:$C$108,0))),"")="kWh",IFERROR(IF(INDEX('Factors'!$H$9:$H$108,MATCH(R85,'Factors'!$C$9:$C$108,0))="","",INDEX('Factors'!$H$9:$H$108,MATCH(R85,'Factors'!$C$9:$C$108,0))),"")="S2",IFERROR(IF(INDEX('Factors'!$I$9:$I$108,MATCH(R85,'Factors'!$C$9:$C$108,0))="","",INDEX('Factors'!$I$9:$I$108,MATCH(R85,'Factors'!$C$9:$C$108,0))),"")="Residual mix",IFERROR(IF(INDEX('Factors'!$J$9:$J$108,MATCH(R85,'Factors'!$C$9:$C$108,0))="","",INDEX('Factors'!$J$9:$J$108,MATCH(R85,'Factors'!$C$9:$C$108,0))),"")=G85,OR(IFERROR(IF(INDEX('Factors'!$E$9:$E$108,MATCH(R85,'Factors'!$C$9:$C$108,0))="","",INDEX('Factors'!$E$9:$E$108,MATCH(R85,'Factors'!$C$9:$C$108,0))),"")="Global",IFERROR(IF(INDEX('Factors'!$E$9:$E$108,MATCH(R85,'Factors'!$C$9:$C$108,0))="","",INDEX('Factors'!$E$9:$E$108,MATCH(R85,'Factors'!$C$9:$C$108,0))),"")=D85)),"Ready","Residual factor review"),"Residual availability review")))))))))))</x:f>
      </x:c>
      <x:c r="AA85" s="8"/>
      <x:c r="AB85" s="16"/>
      <x:c r="AC85" s="8"/>
    </x:row>
    <x:row r="86" ht="36" customHeight="1">
      <x:c r="A86" s="1"/>
      <x:c r="B86" s="1"/>
      <x:c r="C86" s="8"/>
      <x:c r="D86" s="8"/>
      <x:c r="E86" s="8"/>
      <x:c r="F86" s="8"/>
      <x:c r="G86" s="22"/>
      <x:c r="H86" s="16"/>
      <x:c r="I86" s="8"/>
      <x:c r="J86" s="16"/>
      <x:c r="K86" s="8"/>
      <x:c r="L86" s="8"/>
      <x:c r="M86" s="16"/>
      <x:c r="N86" s="8"/>
      <x:c r="O86" s="8"/>
      <x:c r="P86" s="8"/>
      <x:c r="Q86" s="8"/>
      <x:c r="R86" s="8"/>
      <x:c r="S86" s="8"/>
      <x:c r="T86" s="40"/>
      <x:c r="U86" s="23" t="str">
        <x:f>IF(X86="Ready",H86*IFERROR(IF(INDEX('Factors'!$G$9:$G$108,MATCH(I86,'Factors'!$C$9:$C$108,0))="","",INDEX('Factors'!$G$9:$G$108,MATCH(I86,'Factors'!$C$9:$C$108,0))),"")/1000+AB86,"")</x:f>
      </x:c>
      <x:c r="V86" s="23" t="str">
        <x:f>IF(Y86="Ready",J86*IFERROR(IF(INDEX('Factors'!$G$9:$G$108,MATCH(K86,'Factors'!$C$9:$C$108,0))="","",INDEX('Factors'!$G$9:$G$108,MATCH(K86,'Factors'!$C$9:$C$108,0))),"")/1000,"")</x:f>
      </x:c>
      <x:c r="W86" s="23" t="str">
        <x:f>IF(OR(Z86="Ready",Z86="Grid fallback"),(IF(M86&gt;0,M86*IFERROR(IF(INDEX('Factors'!$G$9:$G$108,MATCH(N86,'Factors'!$C$9:$C$108,0))="","",INDEX('Factors'!$G$9:$G$108,MATCH(N86,'Factors'!$C$9:$C$108,0))),""),0)+(J86-M86)*IF(M86=J86,0,IF(Q86="No",IFERROR(IF(INDEX('Factors'!$G$9:$G$108,MATCH(K86,'Factors'!$C$9:$C$108,0))="","",INDEX('Factors'!$G$9:$G$108,MATCH(K86,'Factors'!$C$9:$C$108,0))),""),IFERROR(IF(INDEX('Factors'!$G$9:$G$108,MATCH(R86,'Factors'!$C$9:$C$108,0))="","",INDEX('Factors'!$G$9:$G$108,MATCH(R86,'Factors'!$C$9:$C$108,0))),""))))/1000,"")</x:f>
      </x:c>
      <x:c r="X86" s="9" t="str">
        <x:f>IF(C86="","",IF(AND($D$6&lt;&gt;"Operational control",$D$6&lt;&gt;"Financial control"),"Control basis required",IF(F86="No","Outside control",IF(F86&lt;&gt;"Yes","Control review",IF(COUNTIFS($C$9:$C$108,C86)&lt;&gt;1,"Duplicate operation ID",IF(OR(S86="",NOT(ISNUMBER(T86)),T86&lt;'Settings'!$F$8,NOT(ISNUMBER(G86)),G86&lt;&gt;YEAR('Settings'!$F$8)),"Evidence / period review",IF(OR(NOT(ISNUMBER(H86)),H86&lt;0,AA86&lt;&gt;"Yes",NOT(ISNUMBER(AB86)),AB86&lt;0,AC86=""),"Activity required",IF(AND(IFERROR(IF(INDEX('Factors'!$P$9:$P$108,MATCH(I86,'Factors'!$C$9:$C$108,0))="","",INDEX('Factors'!$P$9:$P$108,MATCH(I86,'Factors'!$C$9:$C$108,0))),"")="Ready",IFERROR(IF(INDEX('Factors'!$F$9:$F$108,MATCH(I86,'Factors'!$C$9:$C$108,0))="","",INDEX('Factors'!$F$9:$F$108,MATCH(I86,'Factors'!$C$9:$C$108,0))),"")="litre",IFERROR(IF(INDEX('Factors'!$H$9:$H$108,MATCH(I86,'Factors'!$C$9:$C$108,0))="","",INDEX('Factors'!$H$9:$H$108,MATCH(I86,'Factors'!$C$9:$C$108,0))),"")="S1",IFERROR(IF(INDEX('Factors'!$I$9:$I$108,MATCH(I86,'Factors'!$C$9:$C$108,0))="","",INDEX('Factors'!$I$9:$I$108,MATCH(I86,'Factors'!$C$9:$C$108,0))),"")="Combustion",IFERROR(IF(INDEX('Factors'!$J$9:$J$108,MATCH(I86,'Factors'!$C$9:$C$108,0))="","",INDEX('Factors'!$J$9:$J$108,MATCH(I86,'Factors'!$C$9:$C$108,0))),"")=G86,OR(IFERROR(IF(INDEX('Factors'!$E$9:$E$108,MATCH(I86,'Factors'!$C$9:$C$108,0))="","",INDEX('Factors'!$E$9:$E$108,MATCH(I86,'Factors'!$C$9:$C$108,0))),"")="Global",IFERROR(IF(INDEX('Factors'!$E$9:$E$108,MATCH(I86,'Factors'!$C$9:$C$108,0))="","",INDEX('Factors'!$E$9:$E$108,MATCH(I86,'Factors'!$C$9:$C$108,0))),"")=D86)),"Ready","Factor / unit review"))))))))</x:f>
      </x:c>
      <x:c r="Y86" s="9" t="str">
        <x:f>IF(C86="","",IF(AND($D$6&lt;&gt;"Operational control",$D$6&lt;&gt;"Financial control"),"Control basis required",IF(F86="No","Outside control",IF(F86&lt;&gt;"Yes","Control review",IF(COUNTIFS($C$9:$C$108,C86)&lt;&gt;1,"Duplicate operation ID",IF(OR(S86="",NOT(ISNUMBER(T86)),T86&lt;'Settings'!$F$8,NOT(ISNUMBER(G86)),G86&lt;&gt;YEAR('Settings'!$F$8)),"Evidence / period review",IF(OR(NOT(ISNUMBER(J86)),J86&lt;0),"Activity required",IF(AND(IFERROR(IF(INDEX('Factors'!$P$9:$P$108,MATCH(K86,'Factors'!$C$9:$C$108,0))="","",INDEX('Factors'!$P$9:$P$108,MATCH(K86,'Factors'!$C$9:$C$108,0))),"")="Ready",IFERROR(IF(INDEX('Factors'!$F$9:$F$108,MATCH(K86,'Factors'!$C$9:$C$108,0))="","",INDEX('Factors'!$F$9:$F$108,MATCH(K86,'Factors'!$C$9:$C$108,0))),"")="kWh",IFERROR(IF(INDEX('Factors'!$H$9:$H$108,MATCH(K86,'Factors'!$C$9:$C$108,0))="","",INDEX('Factors'!$H$9:$H$108,MATCH(K86,'Factors'!$C$9:$C$108,0))),"")="S2",IFERROR(IF(INDEX('Factors'!$I$9:$I$108,MATCH(K86,'Factors'!$C$9:$C$108,0))="","",INDEX('Factors'!$I$9:$I$108,MATCH(K86,'Factors'!$C$9:$C$108,0))),"")="Location-based",IFERROR(IF(INDEX('Factors'!$J$9:$J$108,MATCH(K86,'Factors'!$C$9:$C$108,0))="","",INDEX('Factors'!$J$9:$J$108,MATCH(K86,'Factors'!$C$9:$C$108,0))),"")=G86,OR(IFERROR(IF(INDEX('Factors'!$E$9:$E$108,MATCH(K86,'Factors'!$C$9:$C$108,0))="","",INDEX('Factors'!$E$9:$E$108,MATCH(K86,'Factors'!$C$9:$C$108,0))),"")="Global",IFERROR(IF(INDEX('Factors'!$E$9:$E$108,MATCH(K86,'Factors'!$C$9:$C$108,0))="","",INDEX('Factors'!$E$9:$E$108,MATCH(K86,'Factors'!$C$9:$C$108,0))),"")=D86)),"Ready","Factor / unit review"))))))))</x:f>
      </x:c>
      <x:c r="Z86" s="9" t="str">
        <x:f>IF(C86="","",IF(F86="No","Outside control",IF(F86&lt;&gt;"Yes","Control review",IF($H$6="No","Not required",IF($H$6&lt;&gt;"Yes","Applicability review",IF(Y86&lt;&gt;"Ready",Y86,IF(OR(NOT(ISNUMBER(M86)),M86&lt;0,M86&gt;J86),"Contract quantity review",IF(AND(M86&gt;0,OR(O86&lt;&gt;"Pass",P86="",NOT(AND(IFERROR(IF(INDEX('Factors'!$P$9:$P$108,MATCH(N86,'Factors'!$C$9:$C$108,0))="","",INDEX('Factors'!$P$9:$P$108,MATCH(N86,'Factors'!$C$9:$C$108,0))),"")="Ready",IFERROR(IF(INDEX('Factors'!$F$9:$F$108,MATCH(N86,'Factors'!$C$9:$C$108,0))="","",INDEX('Factors'!$F$9:$F$108,MATCH(N86,'Factors'!$C$9:$C$108,0))),"")="kWh",IFERROR(IF(INDEX('Factors'!$H$9:$H$108,MATCH(N86,'Factors'!$C$9:$C$108,0))="","",INDEX('Factors'!$H$9:$H$108,MATCH(N86,'Factors'!$C$9:$C$108,0))),"")="S2",IFERROR(IF(INDEX('Factors'!$I$9:$I$108,MATCH(N86,'Factors'!$C$9:$C$108,0))="","",INDEX('Factors'!$I$9:$I$108,MATCH(N86,'Factors'!$C$9:$C$108,0))),"")="Market-based",IFERROR(IF(INDEX('Factors'!$J$9:$J$108,MATCH(N86,'Factors'!$C$9:$C$108,0))="","",INDEX('Factors'!$J$9:$J$108,MATCH(N86,'Factors'!$C$9:$C$108,0))),"")=G86,OR(IFERROR(IF(INDEX('Factors'!$E$9:$E$108,MATCH(N86,'Factors'!$C$9:$C$108,0))="","",INDEX('Factors'!$E$9:$E$108,MATCH(N86,'Factors'!$C$9:$C$108,0))),"")="Global",IFERROR(IF(INDEX('Factors'!$E$9:$E$108,MATCH(N86,'Factors'!$C$9:$C$108,0))="","",INDEX('Factors'!$E$9:$E$108,MATCH(N86,'Factors'!$C$9:$C$108,0))),"")=D86))))),"Contract criteria review",IF(M86=J86,"Ready",IF(Q86="No","Grid fallback",IF(Q86="Yes",IF(AND(IFERROR(IF(INDEX('Factors'!$P$9:$P$108,MATCH(R86,'Factors'!$C$9:$C$108,0))="","",INDEX('Factors'!$P$9:$P$108,MATCH(R86,'Factors'!$C$9:$C$108,0))),"")="Ready",IFERROR(IF(INDEX('Factors'!$F$9:$F$108,MATCH(R86,'Factors'!$C$9:$C$108,0))="","",INDEX('Factors'!$F$9:$F$108,MATCH(R86,'Factors'!$C$9:$C$108,0))),"")="kWh",IFERROR(IF(INDEX('Factors'!$H$9:$H$108,MATCH(R86,'Factors'!$C$9:$C$108,0))="","",INDEX('Factors'!$H$9:$H$108,MATCH(R86,'Factors'!$C$9:$C$108,0))),"")="S2",IFERROR(IF(INDEX('Factors'!$I$9:$I$108,MATCH(R86,'Factors'!$C$9:$C$108,0))="","",INDEX('Factors'!$I$9:$I$108,MATCH(R86,'Factors'!$C$9:$C$108,0))),"")="Residual mix",IFERROR(IF(INDEX('Factors'!$J$9:$J$108,MATCH(R86,'Factors'!$C$9:$C$108,0))="","",INDEX('Factors'!$J$9:$J$108,MATCH(R86,'Factors'!$C$9:$C$108,0))),"")=G86,OR(IFERROR(IF(INDEX('Factors'!$E$9:$E$108,MATCH(R86,'Factors'!$C$9:$C$108,0))="","",INDEX('Factors'!$E$9:$E$108,MATCH(R86,'Factors'!$C$9:$C$108,0))),"")="Global",IFERROR(IF(INDEX('Factors'!$E$9:$E$108,MATCH(R86,'Factors'!$C$9:$C$108,0))="","",INDEX('Factors'!$E$9:$E$108,MATCH(R86,'Factors'!$C$9:$C$108,0))),"")=D86)),"Ready","Residual factor review"),"Residual availability review")))))))))))</x:f>
      </x:c>
      <x:c r="AA86" s="8"/>
      <x:c r="AB86" s="16"/>
      <x:c r="AC86" s="8"/>
    </x:row>
    <x:row r="87" ht="36" customHeight="1">
      <x:c r="A87" s="1"/>
      <x:c r="B87" s="1"/>
      <x:c r="C87" s="8"/>
      <x:c r="D87" s="8"/>
      <x:c r="E87" s="8"/>
      <x:c r="F87" s="8"/>
      <x:c r="G87" s="22"/>
      <x:c r="H87" s="16"/>
      <x:c r="I87" s="8"/>
      <x:c r="J87" s="16"/>
      <x:c r="K87" s="8"/>
      <x:c r="L87" s="8"/>
      <x:c r="M87" s="16"/>
      <x:c r="N87" s="8"/>
      <x:c r="O87" s="8"/>
      <x:c r="P87" s="8"/>
      <x:c r="Q87" s="8"/>
      <x:c r="R87" s="8"/>
      <x:c r="S87" s="8"/>
      <x:c r="T87" s="40"/>
      <x:c r="U87" s="23" t="str">
        <x:f>IF(X87="Ready",H87*IFERROR(IF(INDEX('Factors'!$G$9:$G$108,MATCH(I87,'Factors'!$C$9:$C$108,0))="","",INDEX('Factors'!$G$9:$G$108,MATCH(I87,'Factors'!$C$9:$C$108,0))),"")/1000+AB87,"")</x:f>
      </x:c>
      <x:c r="V87" s="23" t="str">
        <x:f>IF(Y87="Ready",J87*IFERROR(IF(INDEX('Factors'!$G$9:$G$108,MATCH(K87,'Factors'!$C$9:$C$108,0))="","",INDEX('Factors'!$G$9:$G$108,MATCH(K87,'Factors'!$C$9:$C$108,0))),"")/1000,"")</x:f>
      </x:c>
      <x:c r="W87" s="23" t="str">
        <x:f>IF(OR(Z87="Ready",Z87="Grid fallback"),(IF(M87&gt;0,M87*IFERROR(IF(INDEX('Factors'!$G$9:$G$108,MATCH(N87,'Factors'!$C$9:$C$108,0))="","",INDEX('Factors'!$G$9:$G$108,MATCH(N87,'Factors'!$C$9:$C$108,0))),""),0)+(J87-M87)*IF(M87=J87,0,IF(Q87="No",IFERROR(IF(INDEX('Factors'!$G$9:$G$108,MATCH(K87,'Factors'!$C$9:$C$108,0))="","",INDEX('Factors'!$G$9:$G$108,MATCH(K87,'Factors'!$C$9:$C$108,0))),""),IFERROR(IF(INDEX('Factors'!$G$9:$G$108,MATCH(R87,'Factors'!$C$9:$C$108,0))="","",INDEX('Factors'!$G$9:$G$108,MATCH(R87,'Factors'!$C$9:$C$108,0))),""))))/1000,"")</x:f>
      </x:c>
      <x:c r="X87" s="9" t="str">
        <x:f>IF(C87="","",IF(AND($D$6&lt;&gt;"Operational control",$D$6&lt;&gt;"Financial control"),"Control basis required",IF(F87="No","Outside control",IF(F87&lt;&gt;"Yes","Control review",IF(COUNTIFS($C$9:$C$108,C87)&lt;&gt;1,"Duplicate operation ID",IF(OR(S87="",NOT(ISNUMBER(T87)),T87&lt;'Settings'!$F$8,NOT(ISNUMBER(G87)),G87&lt;&gt;YEAR('Settings'!$F$8)),"Evidence / period review",IF(OR(NOT(ISNUMBER(H87)),H87&lt;0,AA87&lt;&gt;"Yes",NOT(ISNUMBER(AB87)),AB87&lt;0,AC87=""),"Activity required",IF(AND(IFERROR(IF(INDEX('Factors'!$P$9:$P$108,MATCH(I87,'Factors'!$C$9:$C$108,0))="","",INDEX('Factors'!$P$9:$P$108,MATCH(I87,'Factors'!$C$9:$C$108,0))),"")="Ready",IFERROR(IF(INDEX('Factors'!$F$9:$F$108,MATCH(I87,'Factors'!$C$9:$C$108,0))="","",INDEX('Factors'!$F$9:$F$108,MATCH(I87,'Factors'!$C$9:$C$108,0))),"")="litre",IFERROR(IF(INDEX('Factors'!$H$9:$H$108,MATCH(I87,'Factors'!$C$9:$C$108,0))="","",INDEX('Factors'!$H$9:$H$108,MATCH(I87,'Factors'!$C$9:$C$108,0))),"")="S1",IFERROR(IF(INDEX('Factors'!$I$9:$I$108,MATCH(I87,'Factors'!$C$9:$C$108,0))="","",INDEX('Factors'!$I$9:$I$108,MATCH(I87,'Factors'!$C$9:$C$108,0))),"")="Combustion",IFERROR(IF(INDEX('Factors'!$J$9:$J$108,MATCH(I87,'Factors'!$C$9:$C$108,0))="","",INDEX('Factors'!$J$9:$J$108,MATCH(I87,'Factors'!$C$9:$C$108,0))),"")=G87,OR(IFERROR(IF(INDEX('Factors'!$E$9:$E$108,MATCH(I87,'Factors'!$C$9:$C$108,0))="","",INDEX('Factors'!$E$9:$E$108,MATCH(I87,'Factors'!$C$9:$C$108,0))),"")="Global",IFERROR(IF(INDEX('Factors'!$E$9:$E$108,MATCH(I87,'Factors'!$C$9:$C$108,0))="","",INDEX('Factors'!$E$9:$E$108,MATCH(I87,'Factors'!$C$9:$C$108,0))),"")=D87)),"Ready","Factor / unit review"))))))))</x:f>
      </x:c>
      <x:c r="Y87" s="9" t="str">
        <x:f>IF(C87="","",IF(AND($D$6&lt;&gt;"Operational control",$D$6&lt;&gt;"Financial control"),"Control basis required",IF(F87="No","Outside control",IF(F87&lt;&gt;"Yes","Control review",IF(COUNTIFS($C$9:$C$108,C87)&lt;&gt;1,"Duplicate operation ID",IF(OR(S87="",NOT(ISNUMBER(T87)),T87&lt;'Settings'!$F$8,NOT(ISNUMBER(G87)),G87&lt;&gt;YEAR('Settings'!$F$8)),"Evidence / period review",IF(OR(NOT(ISNUMBER(J87)),J87&lt;0),"Activity required",IF(AND(IFERROR(IF(INDEX('Factors'!$P$9:$P$108,MATCH(K87,'Factors'!$C$9:$C$108,0))="","",INDEX('Factors'!$P$9:$P$108,MATCH(K87,'Factors'!$C$9:$C$108,0))),"")="Ready",IFERROR(IF(INDEX('Factors'!$F$9:$F$108,MATCH(K87,'Factors'!$C$9:$C$108,0))="","",INDEX('Factors'!$F$9:$F$108,MATCH(K87,'Factors'!$C$9:$C$108,0))),"")="kWh",IFERROR(IF(INDEX('Factors'!$H$9:$H$108,MATCH(K87,'Factors'!$C$9:$C$108,0))="","",INDEX('Factors'!$H$9:$H$108,MATCH(K87,'Factors'!$C$9:$C$108,0))),"")="S2",IFERROR(IF(INDEX('Factors'!$I$9:$I$108,MATCH(K87,'Factors'!$C$9:$C$108,0))="","",INDEX('Factors'!$I$9:$I$108,MATCH(K87,'Factors'!$C$9:$C$108,0))),"")="Location-based",IFERROR(IF(INDEX('Factors'!$J$9:$J$108,MATCH(K87,'Factors'!$C$9:$C$108,0))="","",INDEX('Factors'!$J$9:$J$108,MATCH(K87,'Factors'!$C$9:$C$108,0))),"")=G87,OR(IFERROR(IF(INDEX('Factors'!$E$9:$E$108,MATCH(K87,'Factors'!$C$9:$C$108,0))="","",INDEX('Factors'!$E$9:$E$108,MATCH(K87,'Factors'!$C$9:$C$108,0))),"")="Global",IFERROR(IF(INDEX('Factors'!$E$9:$E$108,MATCH(K87,'Factors'!$C$9:$C$108,0))="","",INDEX('Factors'!$E$9:$E$108,MATCH(K87,'Factors'!$C$9:$C$108,0))),"")=D87)),"Ready","Factor / unit review"))))))))</x:f>
      </x:c>
      <x:c r="Z87" s="9" t="str">
        <x:f>IF(C87="","",IF(F87="No","Outside control",IF(F87&lt;&gt;"Yes","Control review",IF($H$6="No","Not required",IF($H$6&lt;&gt;"Yes","Applicability review",IF(Y87&lt;&gt;"Ready",Y87,IF(OR(NOT(ISNUMBER(M87)),M87&lt;0,M87&gt;J87),"Contract quantity review",IF(AND(M87&gt;0,OR(O87&lt;&gt;"Pass",P87="",NOT(AND(IFERROR(IF(INDEX('Factors'!$P$9:$P$108,MATCH(N87,'Factors'!$C$9:$C$108,0))="","",INDEX('Factors'!$P$9:$P$108,MATCH(N87,'Factors'!$C$9:$C$108,0))),"")="Ready",IFERROR(IF(INDEX('Factors'!$F$9:$F$108,MATCH(N87,'Factors'!$C$9:$C$108,0))="","",INDEX('Factors'!$F$9:$F$108,MATCH(N87,'Factors'!$C$9:$C$108,0))),"")="kWh",IFERROR(IF(INDEX('Factors'!$H$9:$H$108,MATCH(N87,'Factors'!$C$9:$C$108,0))="","",INDEX('Factors'!$H$9:$H$108,MATCH(N87,'Factors'!$C$9:$C$108,0))),"")="S2",IFERROR(IF(INDEX('Factors'!$I$9:$I$108,MATCH(N87,'Factors'!$C$9:$C$108,0))="","",INDEX('Factors'!$I$9:$I$108,MATCH(N87,'Factors'!$C$9:$C$108,0))),"")="Market-based",IFERROR(IF(INDEX('Factors'!$J$9:$J$108,MATCH(N87,'Factors'!$C$9:$C$108,0))="","",INDEX('Factors'!$J$9:$J$108,MATCH(N87,'Factors'!$C$9:$C$108,0))),"")=G87,OR(IFERROR(IF(INDEX('Factors'!$E$9:$E$108,MATCH(N87,'Factors'!$C$9:$C$108,0))="","",INDEX('Factors'!$E$9:$E$108,MATCH(N87,'Factors'!$C$9:$C$108,0))),"")="Global",IFERROR(IF(INDEX('Factors'!$E$9:$E$108,MATCH(N87,'Factors'!$C$9:$C$108,0))="","",INDEX('Factors'!$E$9:$E$108,MATCH(N87,'Factors'!$C$9:$C$108,0))),"")=D87))))),"Contract criteria review",IF(M87=J87,"Ready",IF(Q87="No","Grid fallback",IF(Q87="Yes",IF(AND(IFERROR(IF(INDEX('Factors'!$P$9:$P$108,MATCH(R87,'Factors'!$C$9:$C$108,0))="","",INDEX('Factors'!$P$9:$P$108,MATCH(R87,'Factors'!$C$9:$C$108,0))),"")="Ready",IFERROR(IF(INDEX('Factors'!$F$9:$F$108,MATCH(R87,'Factors'!$C$9:$C$108,0))="","",INDEX('Factors'!$F$9:$F$108,MATCH(R87,'Factors'!$C$9:$C$108,0))),"")="kWh",IFERROR(IF(INDEX('Factors'!$H$9:$H$108,MATCH(R87,'Factors'!$C$9:$C$108,0))="","",INDEX('Factors'!$H$9:$H$108,MATCH(R87,'Factors'!$C$9:$C$108,0))),"")="S2",IFERROR(IF(INDEX('Factors'!$I$9:$I$108,MATCH(R87,'Factors'!$C$9:$C$108,0))="","",INDEX('Factors'!$I$9:$I$108,MATCH(R87,'Factors'!$C$9:$C$108,0))),"")="Residual mix",IFERROR(IF(INDEX('Factors'!$J$9:$J$108,MATCH(R87,'Factors'!$C$9:$C$108,0))="","",INDEX('Factors'!$J$9:$J$108,MATCH(R87,'Factors'!$C$9:$C$108,0))),"")=G87,OR(IFERROR(IF(INDEX('Factors'!$E$9:$E$108,MATCH(R87,'Factors'!$C$9:$C$108,0))="","",INDEX('Factors'!$E$9:$E$108,MATCH(R87,'Factors'!$C$9:$C$108,0))),"")="Global",IFERROR(IF(INDEX('Factors'!$E$9:$E$108,MATCH(R87,'Factors'!$C$9:$C$108,0))="","",INDEX('Factors'!$E$9:$E$108,MATCH(R87,'Factors'!$C$9:$C$108,0))),"")=D87)),"Ready","Residual factor review"),"Residual availability review")))))))))))</x:f>
      </x:c>
      <x:c r="AA87" s="8"/>
      <x:c r="AB87" s="16"/>
      <x:c r="AC87" s="8"/>
    </x:row>
    <x:row r="88" ht="36" customHeight="1">
      <x:c r="A88" s="1"/>
      <x:c r="B88" s="1"/>
      <x:c r="C88" s="8"/>
      <x:c r="D88" s="8"/>
      <x:c r="E88" s="8"/>
      <x:c r="F88" s="8"/>
      <x:c r="G88" s="22"/>
      <x:c r="H88" s="16"/>
      <x:c r="I88" s="8"/>
      <x:c r="J88" s="16"/>
      <x:c r="K88" s="8"/>
      <x:c r="L88" s="8"/>
      <x:c r="M88" s="16"/>
      <x:c r="N88" s="8"/>
      <x:c r="O88" s="8"/>
      <x:c r="P88" s="8"/>
      <x:c r="Q88" s="8"/>
      <x:c r="R88" s="8"/>
      <x:c r="S88" s="8"/>
      <x:c r="T88" s="40"/>
      <x:c r="U88" s="23" t="str">
        <x:f>IF(X88="Ready",H88*IFERROR(IF(INDEX('Factors'!$G$9:$G$108,MATCH(I88,'Factors'!$C$9:$C$108,0))="","",INDEX('Factors'!$G$9:$G$108,MATCH(I88,'Factors'!$C$9:$C$108,0))),"")/1000+AB88,"")</x:f>
      </x:c>
      <x:c r="V88" s="23" t="str">
        <x:f>IF(Y88="Ready",J88*IFERROR(IF(INDEX('Factors'!$G$9:$G$108,MATCH(K88,'Factors'!$C$9:$C$108,0))="","",INDEX('Factors'!$G$9:$G$108,MATCH(K88,'Factors'!$C$9:$C$108,0))),"")/1000,"")</x:f>
      </x:c>
      <x:c r="W88" s="23" t="str">
        <x:f>IF(OR(Z88="Ready",Z88="Grid fallback"),(IF(M88&gt;0,M88*IFERROR(IF(INDEX('Factors'!$G$9:$G$108,MATCH(N88,'Factors'!$C$9:$C$108,0))="","",INDEX('Factors'!$G$9:$G$108,MATCH(N88,'Factors'!$C$9:$C$108,0))),""),0)+(J88-M88)*IF(M88=J88,0,IF(Q88="No",IFERROR(IF(INDEX('Factors'!$G$9:$G$108,MATCH(K88,'Factors'!$C$9:$C$108,0))="","",INDEX('Factors'!$G$9:$G$108,MATCH(K88,'Factors'!$C$9:$C$108,0))),""),IFERROR(IF(INDEX('Factors'!$G$9:$G$108,MATCH(R88,'Factors'!$C$9:$C$108,0))="","",INDEX('Factors'!$G$9:$G$108,MATCH(R88,'Factors'!$C$9:$C$108,0))),""))))/1000,"")</x:f>
      </x:c>
      <x:c r="X88" s="9" t="str">
        <x:f>IF(C88="","",IF(AND($D$6&lt;&gt;"Operational control",$D$6&lt;&gt;"Financial control"),"Control basis required",IF(F88="No","Outside control",IF(F88&lt;&gt;"Yes","Control review",IF(COUNTIFS($C$9:$C$108,C88)&lt;&gt;1,"Duplicate operation ID",IF(OR(S88="",NOT(ISNUMBER(T88)),T88&lt;'Settings'!$F$8,NOT(ISNUMBER(G88)),G88&lt;&gt;YEAR('Settings'!$F$8)),"Evidence / period review",IF(OR(NOT(ISNUMBER(H88)),H88&lt;0,AA88&lt;&gt;"Yes",NOT(ISNUMBER(AB88)),AB88&lt;0,AC88=""),"Activity required",IF(AND(IFERROR(IF(INDEX('Factors'!$P$9:$P$108,MATCH(I88,'Factors'!$C$9:$C$108,0))="","",INDEX('Factors'!$P$9:$P$108,MATCH(I88,'Factors'!$C$9:$C$108,0))),"")="Ready",IFERROR(IF(INDEX('Factors'!$F$9:$F$108,MATCH(I88,'Factors'!$C$9:$C$108,0))="","",INDEX('Factors'!$F$9:$F$108,MATCH(I88,'Factors'!$C$9:$C$108,0))),"")="litre",IFERROR(IF(INDEX('Factors'!$H$9:$H$108,MATCH(I88,'Factors'!$C$9:$C$108,0))="","",INDEX('Factors'!$H$9:$H$108,MATCH(I88,'Factors'!$C$9:$C$108,0))),"")="S1",IFERROR(IF(INDEX('Factors'!$I$9:$I$108,MATCH(I88,'Factors'!$C$9:$C$108,0))="","",INDEX('Factors'!$I$9:$I$108,MATCH(I88,'Factors'!$C$9:$C$108,0))),"")="Combustion",IFERROR(IF(INDEX('Factors'!$J$9:$J$108,MATCH(I88,'Factors'!$C$9:$C$108,0))="","",INDEX('Factors'!$J$9:$J$108,MATCH(I88,'Factors'!$C$9:$C$108,0))),"")=G88,OR(IFERROR(IF(INDEX('Factors'!$E$9:$E$108,MATCH(I88,'Factors'!$C$9:$C$108,0))="","",INDEX('Factors'!$E$9:$E$108,MATCH(I88,'Factors'!$C$9:$C$108,0))),"")="Global",IFERROR(IF(INDEX('Factors'!$E$9:$E$108,MATCH(I88,'Factors'!$C$9:$C$108,0))="","",INDEX('Factors'!$E$9:$E$108,MATCH(I88,'Factors'!$C$9:$C$108,0))),"")=D88)),"Ready","Factor / unit review"))))))))</x:f>
      </x:c>
      <x:c r="Y88" s="9" t="str">
        <x:f>IF(C88="","",IF(AND($D$6&lt;&gt;"Operational control",$D$6&lt;&gt;"Financial control"),"Control basis required",IF(F88="No","Outside control",IF(F88&lt;&gt;"Yes","Control review",IF(COUNTIFS($C$9:$C$108,C88)&lt;&gt;1,"Duplicate operation ID",IF(OR(S88="",NOT(ISNUMBER(T88)),T88&lt;'Settings'!$F$8,NOT(ISNUMBER(G88)),G88&lt;&gt;YEAR('Settings'!$F$8)),"Evidence / period review",IF(OR(NOT(ISNUMBER(J88)),J88&lt;0),"Activity required",IF(AND(IFERROR(IF(INDEX('Factors'!$P$9:$P$108,MATCH(K88,'Factors'!$C$9:$C$108,0))="","",INDEX('Factors'!$P$9:$P$108,MATCH(K88,'Factors'!$C$9:$C$108,0))),"")="Ready",IFERROR(IF(INDEX('Factors'!$F$9:$F$108,MATCH(K88,'Factors'!$C$9:$C$108,0))="","",INDEX('Factors'!$F$9:$F$108,MATCH(K88,'Factors'!$C$9:$C$108,0))),"")="kWh",IFERROR(IF(INDEX('Factors'!$H$9:$H$108,MATCH(K88,'Factors'!$C$9:$C$108,0))="","",INDEX('Factors'!$H$9:$H$108,MATCH(K88,'Factors'!$C$9:$C$108,0))),"")="S2",IFERROR(IF(INDEX('Factors'!$I$9:$I$108,MATCH(K88,'Factors'!$C$9:$C$108,0))="","",INDEX('Factors'!$I$9:$I$108,MATCH(K88,'Factors'!$C$9:$C$108,0))),"")="Location-based",IFERROR(IF(INDEX('Factors'!$J$9:$J$108,MATCH(K88,'Factors'!$C$9:$C$108,0))="","",INDEX('Factors'!$J$9:$J$108,MATCH(K88,'Factors'!$C$9:$C$108,0))),"")=G88,OR(IFERROR(IF(INDEX('Factors'!$E$9:$E$108,MATCH(K88,'Factors'!$C$9:$C$108,0))="","",INDEX('Factors'!$E$9:$E$108,MATCH(K88,'Factors'!$C$9:$C$108,0))),"")="Global",IFERROR(IF(INDEX('Factors'!$E$9:$E$108,MATCH(K88,'Factors'!$C$9:$C$108,0))="","",INDEX('Factors'!$E$9:$E$108,MATCH(K88,'Factors'!$C$9:$C$108,0))),"")=D88)),"Ready","Factor / unit review"))))))))</x:f>
      </x:c>
      <x:c r="Z88" s="9" t="str">
        <x:f>IF(C88="","",IF(F88="No","Outside control",IF(F88&lt;&gt;"Yes","Control review",IF($H$6="No","Not required",IF($H$6&lt;&gt;"Yes","Applicability review",IF(Y88&lt;&gt;"Ready",Y88,IF(OR(NOT(ISNUMBER(M88)),M88&lt;0,M88&gt;J88),"Contract quantity review",IF(AND(M88&gt;0,OR(O88&lt;&gt;"Pass",P88="",NOT(AND(IFERROR(IF(INDEX('Factors'!$P$9:$P$108,MATCH(N88,'Factors'!$C$9:$C$108,0))="","",INDEX('Factors'!$P$9:$P$108,MATCH(N88,'Factors'!$C$9:$C$108,0))),"")="Ready",IFERROR(IF(INDEX('Factors'!$F$9:$F$108,MATCH(N88,'Factors'!$C$9:$C$108,0))="","",INDEX('Factors'!$F$9:$F$108,MATCH(N88,'Factors'!$C$9:$C$108,0))),"")="kWh",IFERROR(IF(INDEX('Factors'!$H$9:$H$108,MATCH(N88,'Factors'!$C$9:$C$108,0))="","",INDEX('Factors'!$H$9:$H$108,MATCH(N88,'Factors'!$C$9:$C$108,0))),"")="S2",IFERROR(IF(INDEX('Factors'!$I$9:$I$108,MATCH(N88,'Factors'!$C$9:$C$108,0))="","",INDEX('Factors'!$I$9:$I$108,MATCH(N88,'Factors'!$C$9:$C$108,0))),"")="Market-based",IFERROR(IF(INDEX('Factors'!$J$9:$J$108,MATCH(N88,'Factors'!$C$9:$C$108,0))="","",INDEX('Factors'!$J$9:$J$108,MATCH(N88,'Factors'!$C$9:$C$108,0))),"")=G88,OR(IFERROR(IF(INDEX('Factors'!$E$9:$E$108,MATCH(N88,'Factors'!$C$9:$C$108,0))="","",INDEX('Factors'!$E$9:$E$108,MATCH(N88,'Factors'!$C$9:$C$108,0))),"")="Global",IFERROR(IF(INDEX('Factors'!$E$9:$E$108,MATCH(N88,'Factors'!$C$9:$C$108,0))="","",INDEX('Factors'!$E$9:$E$108,MATCH(N88,'Factors'!$C$9:$C$108,0))),"")=D88))))),"Contract criteria review",IF(M88=J88,"Ready",IF(Q88="No","Grid fallback",IF(Q88="Yes",IF(AND(IFERROR(IF(INDEX('Factors'!$P$9:$P$108,MATCH(R88,'Factors'!$C$9:$C$108,0))="","",INDEX('Factors'!$P$9:$P$108,MATCH(R88,'Factors'!$C$9:$C$108,0))),"")="Ready",IFERROR(IF(INDEX('Factors'!$F$9:$F$108,MATCH(R88,'Factors'!$C$9:$C$108,0))="","",INDEX('Factors'!$F$9:$F$108,MATCH(R88,'Factors'!$C$9:$C$108,0))),"")="kWh",IFERROR(IF(INDEX('Factors'!$H$9:$H$108,MATCH(R88,'Factors'!$C$9:$C$108,0))="","",INDEX('Factors'!$H$9:$H$108,MATCH(R88,'Factors'!$C$9:$C$108,0))),"")="S2",IFERROR(IF(INDEX('Factors'!$I$9:$I$108,MATCH(R88,'Factors'!$C$9:$C$108,0))="","",INDEX('Factors'!$I$9:$I$108,MATCH(R88,'Factors'!$C$9:$C$108,0))),"")="Residual mix",IFERROR(IF(INDEX('Factors'!$J$9:$J$108,MATCH(R88,'Factors'!$C$9:$C$108,0))="","",INDEX('Factors'!$J$9:$J$108,MATCH(R88,'Factors'!$C$9:$C$108,0))),"")=G88,OR(IFERROR(IF(INDEX('Factors'!$E$9:$E$108,MATCH(R88,'Factors'!$C$9:$C$108,0))="","",INDEX('Factors'!$E$9:$E$108,MATCH(R88,'Factors'!$C$9:$C$108,0))),"")="Global",IFERROR(IF(INDEX('Factors'!$E$9:$E$108,MATCH(R88,'Factors'!$C$9:$C$108,0))="","",INDEX('Factors'!$E$9:$E$108,MATCH(R88,'Factors'!$C$9:$C$108,0))),"")=D88)),"Ready","Residual factor review"),"Residual availability review")))))))))))</x:f>
      </x:c>
      <x:c r="AA88" s="8"/>
      <x:c r="AB88" s="16"/>
      <x:c r="AC88" s="8"/>
    </x:row>
    <x:row r="89" ht="36" customHeight="1">
      <x:c r="A89" s="1"/>
      <x:c r="B89" s="1"/>
      <x:c r="C89" s="8"/>
      <x:c r="D89" s="8"/>
      <x:c r="E89" s="8"/>
      <x:c r="F89" s="8"/>
      <x:c r="G89" s="22"/>
      <x:c r="H89" s="16"/>
      <x:c r="I89" s="8"/>
      <x:c r="J89" s="16"/>
      <x:c r="K89" s="8"/>
      <x:c r="L89" s="8"/>
      <x:c r="M89" s="16"/>
      <x:c r="N89" s="8"/>
      <x:c r="O89" s="8"/>
      <x:c r="P89" s="8"/>
      <x:c r="Q89" s="8"/>
      <x:c r="R89" s="8"/>
      <x:c r="S89" s="8"/>
      <x:c r="T89" s="40"/>
      <x:c r="U89" s="23" t="str">
        <x:f>IF(X89="Ready",H89*IFERROR(IF(INDEX('Factors'!$G$9:$G$108,MATCH(I89,'Factors'!$C$9:$C$108,0))="","",INDEX('Factors'!$G$9:$G$108,MATCH(I89,'Factors'!$C$9:$C$108,0))),"")/1000+AB89,"")</x:f>
      </x:c>
      <x:c r="V89" s="23" t="str">
        <x:f>IF(Y89="Ready",J89*IFERROR(IF(INDEX('Factors'!$G$9:$G$108,MATCH(K89,'Factors'!$C$9:$C$108,0))="","",INDEX('Factors'!$G$9:$G$108,MATCH(K89,'Factors'!$C$9:$C$108,0))),"")/1000,"")</x:f>
      </x:c>
      <x:c r="W89" s="23" t="str">
        <x:f>IF(OR(Z89="Ready",Z89="Grid fallback"),(IF(M89&gt;0,M89*IFERROR(IF(INDEX('Factors'!$G$9:$G$108,MATCH(N89,'Factors'!$C$9:$C$108,0))="","",INDEX('Factors'!$G$9:$G$108,MATCH(N89,'Factors'!$C$9:$C$108,0))),""),0)+(J89-M89)*IF(M89=J89,0,IF(Q89="No",IFERROR(IF(INDEX('Factors'!$G$9:$G$108,MATCH(K89,'Factors'!$C$9:$C$108,0))="","",INDEX('Factors'!$G$9:$G$108,MATCH(K89,'Factors'!$C$9:$C$108,0))),""),IFERROR(IF(INDEX('Factors'!$G$9:$G$108,MATCH(R89,'Factors'!$C$9:$C$108,0))="","",INDEX('Factors'!$G$9:$G$108,MATCH(R89,'Factors'!$C$9:$C$108,0))),""))))/1000,"")</x:f>
      </x:c>
      <x:c r="X89" s="9" t="str">
        <x:f>IF(C89="","",IF(AND($D$6&lt;&gt;"Operational control",$D$6&lt;&gt;"Financial control"),"Control basis required",IF(F89="No","Outside control",IF(F89&lt;&gt;"Yes","Control review",IF(COUNTIFS($C$9:$C$108,C89)&lt;&gt;1,"Duplicate operation ID",IF(OR(S89="",NOT(ISNUMBER(T89)),T89&lt;'Settings'!$F$8,NOT(ISNUMBER(G89)),G89&lt;&gt;YEAR('Settings'!$F$8)),"Evidence / period review",IF(OR(NOT(ISNUMBER(H89)),H89&lt;0,AA89&lt;&gt;"Yes",NOT(ISNUMBER(AB89)),AB89&lt;0,AC89=""),"Activity required",IF(AND(IFERROR(IF(INDEX('Factors'!$P$9:$P$108,MATCH(I89,'Factors'!$C$9:$C$108,0))="","",INDEX('Factors'!$P$9:$P$108,MATCH(I89,'Factors'!$C$9:$C$108,0))),"")="Ready",IFERROR(IF(INDEX('Factors'!$F$9:$F$108,MATCH(I89,'Factors'!$C$9:$C$108,0))="","",INDEX('Factors'!$F$9:$F$108,MATCH(I89,'Factors'!$C$9:$C$108,0))),"")="litre",IFERROR(IF(INDEX('Factors'!$H$9:$H$108,MATCH(I89,'Factors'!$C$9:$C$108,0))="","",INDEX('Factors'!$H$9:$H$108,MATCH(I89,'Factors'!$C$9:$C$108,0))),"")="S1",IFERROR(IF(INDEX('Factors'!$I$9:$I$108,MATCH(I89,'Factors'!$C$9:$C$108,0))="","",INDEX('Factors'!$I$9:$I$108,MATCH(I89,'Factors'!$C$9:$C$108,0))),"")="Combustion",IFERROR(IF(INDEX('Factors'!$J$9:$J$108,MATCH(I89,'Factors'!$C$9:$C$108,0))="","",INDEX('Factors'!$J$9:$J$108,MATCH(I89,'Factors'!$C$9:$C$108,0))),"")=G89,OR(IFERROR(IF(INDEX('Factors'!$E$9:$E$108,MATCH(I89,'Factors'!$C$9:$C$108,0))="","",INDEX('Factors'!$E$9:$E$108,MATCH(I89,'Factors'!$C$9:$C$108,0))),"")="Global",IFERROR(IF(INDEX('Factors'!$E$9:$E$108,MATCH(I89,'Factors'!$C$9:$C$108,0))="","",INDEX('Factors'!$E$9:$E$108,MATCH(I89,'Factors'!$C$9:$C$108,0))),"")=D89)),"Ready","Factor / unit review"))))))))</x:f>
      </x:c>
      <x:c r="Y89" s="9" t="str">
        <x:f>IF(C89="","",IF(AND($D$6&lt;&gt;"Operational control",$D$6&lt;&gt;"Financial control"),"Control basis required",IF(F89="No","Outside control",IF(F89&lt;&gt;"Yes","Control review",IF(COUNTIFS($C$9:$C$108,C89)&lt;&gt;1,"Duplicate operation ID",IF(OR(S89="",NOT(ISNUMBER(T89)),T89&lt;'Settings'!$F$8,NOT(ISNUMBER(G89)),G89&lt;&gt;YEAR('Settings'!$F$8)),"Evidence / period review",IF(OR(NOT(ISNUMBER(J89)),J89&lt;0),"Activity required",IF(AND(IFERROR(IF(INDEX('Factors'!$P$9:$P$108,MATCH(K89,'Factors'!$C$9:$C$108,0))="","",INDEX('Factors'!$P$9:$P$108,MATCH(K89,'Factors'!$C$9:$C$108,0))),"")="Ready",IFERROR(IF(INDEX('Factors'!$F$9:$F$108,MATCH(K89,'Factors'!$C$9:$C$108,0))="","",INDEX('Factors'!$F$9:$F$108,MATCH(K89,'Factors'!$C$9:$C$108,0))),"")="kWh",IFERROR(IF(INDEX('Factors'!$H$9:$H$108,MATCH(K89,'Factors'!$C$9:$C$108,0))="","",INDEX('Factors'!$H$9:$H$108,MATCH(K89,'Factors'!$C$9:$C$108,0))),"")="S2",IFERROR(IF(INDEX('Factors'!$I$9:$I$108,MATCH(K89,'Factors'!$C$9:$C$108,0))="","",INDEX('Factors'!$I$9:$I$108,MATCH(K89,'Factors'!$C$9:$C$108,0))),"")="Location-based",IFERROR(IF(INDEX('Factors'!$J$9:$J$108,MATCH(K89,'Factors'!$C$9:$C$108,0))="","",INDEX('Factors'!$J$9:$J$108,MATCH(K89,'Factors'!$C$9:$C$108,0))),"")=G89,OR(IFERROR(IF(INDEX('Factors'!$E$9:$E$108,MATCH(K89,'Factors'!$C$9:$C$108,0))="","",INDEX('Factors'!$E$9:$E$108,MATCH(K89,'Factors'!$C$9:$C$108,0))),"")="Global",IFERROR(IF(INDEX('Factors'!$E$9:$E$108,MATCH(K89,'Factors'!$C$9:$C$108,0))="","",INDEX('Factors'!$E$9:$E$108,MATCH(K89,'Factors'!$C$9:$C$108,0))),"")=D89)),"Ready","Factor / unit review"))))))))</x:f>
      </x:c>
      <x:c r="Z89" s="9" t="str">
        <x:f>IF(C89="","",IF(F89="No","Outside control",IF(F89&lt;&gt;"Yes","Control review",IF($H$6="No","Not required",IF($H$6&lt;&gt;"Yes","Applicability review",IF(Y89&lt;&gt;"Ready",Y89,IF(OR(NOT(ISNUMBER(M89)),M89&lt;0,M89&gt;J89),"Contract quantity review",IF(AND(M89&gt;0,OR(O89&lt;&gt;"Pass",P89="",NOT(AND(IFERROR(IF(INDEX('Factors'!$P$9:$P$108,MATCH(N89,'Factors'!$C$9:$C$108,0))="","",INDEX('Factors'!$P$9:$P$108,MATCH(N89,'Factors'!$C$9:$C$108,0))),"")="Ready",IFERROR(IF(INDEX('Factors'!$F$9:$F$108,MATCH(N89,'Factors'!$C$9:$C$108,0))="","",INDEX('Factors'!$F$9:$F$108,MATCH(N89,'Factors'!$C$9:$C$108,0))),"")="kWh",IFERROR(IF(INDEX('Factors'!$H$9:$H$108,MATCH(N89,'Factors'!$C$9:$C$108,0))="","",INDEX('Factors'!$H$9:$H$108,MATCH(N89,'Factors'!$C$9:$C$108,0))),"")="S2",IFERROR(IF(INDEX('Factors'!$I$9:$I$108,MATCH(N89,'Factors'!$C$9:$C$108,0))="","",INDEX('Factors'!$I$9:$I$108,MATCH(N89,'Factors'!$C$9:$C$108,0))),"")="Market-based",IFERROR(IF(INDEX('Factors'!$J$9:$J$108,MATCH(N89,'Factors'!$C$9:$C$108,0))="","",INDEX('Factors'!$J$9:$J$108,MATCH(N89,'Factors'!$C$9:$C$108,0))),"")=G89,OR(IFERROR(IF(INDEX('Factors'!$E$9:$E$108,MATCH(N89,'Factors'!$C$9:$C$108,0))="","",INDEX('Factors'!$E$9:$E$108,MATCH(N89,'Factors'!$C$9:$C$108,0))),"")="Global",IFERROR(IF(INDEX('Factors'!$E$9:$E$108,MATCH(N89,'Factors'!$C$9:$C$108,0))="","",INDEX('Factors'!$E$9:$E$108,MATCH(N89,'Factors'!$C$9:$C$108,0))),"")=D89))))),"Contract criteria review",IF(M89=J89,"Ready",IF(Q89="No","Grid fallback",IF(Q89="Yes",IF(AND(IFERROR(IF(INDEX('Factors'!$P$9:$P$108,MATCH(R89,'Factors'!$C$9:$C$108,0))="","",INDEX('Factors'!$P$9:$P$108,MATCH(R89,'Factors'!$C$9:$C$108,0))),"")="Ready",IFERROR(IF(INDEX('Factors'!$F$9:$F$108,MATCH(R89,'Factors'!$C$9:$C$108,0))="","",INDEX('Factors'!$F$9:$F$108,MATCH(R89,'Factors'!$C$9:$C$108,0))),"")="kWh",IFERROR(IF(INDEX('Factors'!$H$9:$H$108,MATCH(R89,'Factors'!$C$9:$C$108,0))="","",INDEX('Factors'!$H$9:$H$108,MATCH(R89,'Factors'!$C$9:$C$108,0))),"")="S2",IFERROR(IF(INDEX('Factors'!$I$9:$I$108,MATCH(R89,'Factors'!$C$9:$C$108,0))="","",INDEX('Factors'!$I$9:$I$108,MATCH(R89,'Factors'!$C$9:$C$108,0))),"")="Residual mix",IFERROR(IF(INDEX('Factors'!$J$9:$J$108,MATCH(R89,'Factors'!$C$9:$C$108,0))="","",INDEX('Factors'!$J$9:$J$108,MATCH(R89,'Factors'!$C$9:$C$108,0))),"")=G89,OR(IFERROR(IF(INDEX('Factors'!$E$9:$E$108,MATCH(R89,'Factors'!$C$9:$C$108,0))="","",INDEX('Factors'!$E$9:$E$108,MATCH(R89,'Factors'!$C$9:$C$108,0))),"")="Global",IFERROR(IF(INDEX('Factors'!$E$9:$E$108,MATCH(R89,'Factors'!$C$9:$C$108,0))="","",INDEX('Factors'!$E$9:$E$108,MATCH(R89,'Factors'!$C$9:$C$108,0))),"")=D89)),"Ready","Residual factor review"),"Residual availability review")))))))))))</x:f>
      </x:c>
      <x:c r="AA89" s="8"/>
      <x:c r="AB89" s="16"/>
      <x:c r="AC89" s="8"/>
    </x:row>
    <x:row r="90" ht="36" customHeight="1">
      <x:c r="A90" s="1"/>
      <x:c r="B90" s="1"/>
      <x:c r="C90" s="8"/>
      <x:c r="D90" s="8"/>
      <x:c r="E90" s="8"/>
      <x:c r="F90" s="8"/>
      <x:c r="G90" s="22"/>
      <x:c r="H90" s="16"/>
      <x:c r="I90" s="8"/>
      <x:c r="J90" s="16"/>
      <x:c r="K90" s="8"/>
      <x:c r="L90" s="8"/>
      <x:c r="M90" s="16"/>
      <x:c r="N90" s="8"/>
      <x:c r="O90" s="8"/>
      <x:c r="P90" s="8"/>
      <x:c r="Q90" s="8"/>
      <x:c r="R90" s="8"/>
      <x:c r="S90" s="8"/>
      <x:c r="T90" s="40"/>
      <x:c r="U90" s="23" t="str">
        <x:f>IF(X90="Ready",H90*IFERROR(IF(INDEX('Factors'!$G$9:$G$108,MATCH(I90,'Factors'!$C$9:$C$108,0))="","",INDEX('Factors'!$G$9:$G$108,MATCH(I90,'Factors'!$C$9:$C$108,0))),"")/1000+AB90,"")</x:f>
      </x:c>
      <x:c r="V90" s="23" t="str">
        <x:f>IF(Y90="Ready",J90*IFERROR(IF(INDEX('Factors'!$G$9:$G$108,MATCH(K90,'Factors'!$C$9:$C$108,0))="","",INDEX('Factors'!$G$9:$G$108,MATCH(K90,'Factors'!$C$9:$C$108,0))),"")/1000,"")</x:f>
      </x:c>
      <x:c r="W90" s="23" t="str">
        <x:f>IF(OR(Z90="Ready",Z90="Grid fallback"),(IF(M90&gt;0,M90*IFERROR(IF(INDEX('Factors'!$G$9:$G$108,MATCH(N90,'Factors'!$C$9:$C$108,0))="","",INDEX('Factors'!$G$9:$G$108,MATCH(N90,'Factors'!$C$9:$C$108,0))),""),0)+(J90-M90)*IF(M90=J90,0,IF(Q90="No",IFERROR(IF(INDEX('Factors'!$G$9:$G$108,MATCH(K90,'Factors'!$C$9:$C$108,0))="","",INDEX('Factors'!$G$9:$G$108,MATCH(K90,'Factors'!$C$9:$C$108,0))),""),IFERROR(IF(INDEX('Factors'!$G$9:$G$108,MATCH(R90,'Factors'!$C$9:$C$108,0))="","",INDEX('Factors'!$G$9:$G$108,MATCH(R90,'Factors'!$C$9:$C$108,0))),""))))/1000,"")</x:f>
      </x:c>
      <x:c r="X90" s="9" t="str">
        <x:f>IF(C90="","",IF(AND($D$6&lt;&gt;"Operational control",$D$6&lt;&gt;"Financial control"),"Control basis required",IF(F90="No","Outside control",IF(F90&lt;&gt;"Yes","Control review",IF(COUNTIFS($C$9:$C$108,C90)&lt;&gt;1,"Duplicate operation ID",IF(OR(S90="",NOT(ISNUMBER(T90)),T90&lt;'Settings'!$F$8,NOT(ISNUMBER(G90)),G90&lt;&gt;YEAR('Settings'!$F$8)),"Evidence / period review",IF(OR(NOT(ISNUMBER(H90)),H90&lt;0,AA90&lt;&gt;"Yes",NOT(ISNUMBER(AB90)),AB90&lt;0,AC90=""),"Activity required",IF(AND(IFERROR(IF(INDEX('Factors'!$P$9:$P$108,MATCH(I90,'Factors'!$C$9:$C$108,0))="","",INDEX('Factors'!$P$9:$P$108,MATCH(I90,'Factors'!$C$9:$C$108,0))),"")="Ready",IFERROR(IF(INDEX('Factors'!$F$9:$F$108,MATCH(I90,'Factors'!$C$9:$C$108,0))="","",INDEX('Factors'!$F$9:$F$108,MATCH(I90,'Factors'!$C$9:$C$108,0))),"")="litre",IFERROR(IF(INDEX('Factors'!$H$9:$H$108,MATCH(I90,'Factors'!$C$9:$C$108,0))="","",INDEX('Factors'!$H$9:$H$108,MATCH(I90,'Factors'!$C$9:$C$108,0))),"")="S1",IFERROR(IF(INDEX('Factors'!$I$9:$I$108,MATCH(I90,'Factors'!$C$9:$C$108,0))="","",INDEX('Factors'!$I$9:$I$108,MATCH(I90,'Factors'!$C$9:$C$108,0))),"")="Combustion",IFERROR(IF(INDEX('Factors'!$J$9:$J$108,MATCH(I90,'Factors'!$C$9:$C$108,0))="","",INDEX('Factors'!$J$9:$J$108,MATCH(I90,'Factors'!$C$9:$C$108,0))),"")=G90,OR(IFERROR(IF(INDEX('Factors'!$E$9:$E$108,MATCH(I90,'Factors'!$C$9:$C$108,0))="","",INDEX('Factors'!$E$9:$E$108,MATCH(I90,'Factors'!$C$9:$C$108,0))),"")="Global",IFERROR(IF(INDEX('Factors'!$E$9:$E$108,MATCH(I90,'Factors'!$C$9:$C$108,0))="","",INDEX('Factors'!$E$9:$E$108,MATCH(I90,'Factors'!$C$9:$C$108,0))),"")=D90)),"Ready","Factor / unit review"))))))))</x:f>
      </x:c>
      <x:c r="Y90" s="9" t="str">
        <x:f>IF(C90="","",IF(AND($D$6&lt;&gt;"Operational control",$D$6&lt;&gt;"Financial control"),"Control basis required",IF(F90="No","Outside control",IF(F90&lt;&gt;"Yes","Control review",IF(COUNTIFS($C$9:$C$108,C90)&lt;&gt;1,"Duplicate operation ID",IF(OR(S90="",NOT(ISNUMBER(T90)),T90&lt;'Settings'!$F$8,NOT(ISNUMBER(G90)),G90&lt;&gt;YEAR('Settings'!$F$8)),"Evidence / period review",IF(OR(NOT(ISNUMBER(J90)),J90&lt;0),"Activity required",IF(AND(IFERROR(IF(INDEX('Factors'!$P$9:$P$108,MATCH(K90,'Factors'!$C$9:$C$108,0))="","",INDEX('Factors'!$P$9:$P$108,MATCH(K90,'Factors'!$C$9:$C$108,0))),"")="Ready",IFERROR(IF(INDEX('Factors'!$F$9:$F$108,MATCH(K90,'Factors'!$C$9:$C$108,0))="","",INDEX('Factors'!$F$9:$F$108,MATCH(K90,'Factors'!$C$9:$C$108,0))),"")="kWh",IFERROR(IF(INDEX('Factors'!$H$9:$H$108,MATCH(K90,'Factors'!$C$9:$C$108,0))="","",INDEX('Factors'!$H$9:$H$108,MATCH(K90,'Factors'!$C$9:$C$108,0))),"")="S2",IFERROR(IF(INDEX('Factors'!$I$9:$I$108,MATCH(K90,'Factors'!$C$9:$C$108,0))="","",INDEX('Factors'!$I$9:$I$108,MATCH(K90,'Factors'!$C$9:$C$108,0))),"")="Location-based",IFERROR(IF(INDEX('Factors'!$J$9:$J$108,MATCH(K90,'Factors'!$C$9:$C$108,0))="","",INDEX('Factors'!$J$9:$J$108,MATCH(K90,'Factors'!$C$9:$C$108,0))),"")=G90,OR(IFERROR(IF(INDEX('Factors'!$E$9:$E$108,MATCH(K90,'Factors'!$C$9:$C$108,0))="","",INDEX('Factors'!$E$9:$E$108,MATCH(K90,'Factors'!$C$9:$C$108,0))),"")="Global",IFERROR(IF(INDEX('Factors'!$E$9:$E$108,MATCH(K90,'Factors'!$C$9:$C$108,0))="","",INDEX('Factors'!$E$9:$E$108,MATCH(K90,'Factors'!$C$9:$C$108,0))),"")=D90)),"Ready","Factor / unit review"))))))))</x:f>
      </x:c>
      <x:c r="Z90" s="9" t="str">
        <x:f>IF(C90="","",IF(F90="No","Outside control",IF(F90&lt;&gt;"Yes","Control review",IF($H$6="No","Not required",IF($H$6&lt;&gt;"Yes","Applicability review",IF(Y90&lt;&gt;"Ready",Y90,IF(OR(NOT(ISNUMBER(M90)),M90&lt;0,M90&gt;J90),"Contract quantity review",IF(AND(M90&gt;0,OR(O90&lt;&gt;"Pass",P90="",NOT(AND(IFERROR(IF(INDEX('Factors'!$P$9:$P$108,MATCH(N90,'Factors'!$C$9:$C$108,0))="","",INDEX('Factors'!$P$9:$P$108,MATCH(N90,'Factors'!$C$9:$C$108,0))),"")="Ready",IFERROR(IF(INDEX('Factors'!$F$9:$F$108,MATCH(N90,'Factors'!$C$9:$C$108,0))="","",INDEX('Factors'!$F$9:$F$108,MATCH(N90,'Factors'!$C$9:$C$108,0))),"")="kWh",IFERROR(IF(INDEX('Factors'!$H$9:$H$108,MATCH(N90,'Factors'!$C$9:$C$108,0))="","",INDEX('Factors'!$H$9:$H$108,MATCH(N90,'Factors'!$C$9:$C$108,0))),"")="S2",IFERROR(IF(INDEX('Factors'!$I$9:$I$108,MATCH(N90,'Factors'!$C$9:$C$108,0))="","",INDEX('Factors'!$I$9:$I$108,MATCH(N90,'Factors'!$C$9:$C$108,0))),"")="Market-based",IFERROR(IF(INDEX('Factors'!$J$9:$J$108,MATCH(N90,'Factors'!$C$9:$C$108,0))="","",INDEX('Factors'!$J$9:$J$108,MATCH(N90,'Factors'!$C$9:$C$108,0))),"")=G90,OR(IFERROR(IF(INDEX('Factors'!$E$9:$E$108,MATCH(N90,'Factors'!$C$9:$C$108,0))="","",INDEX('Factors'!$E$9:$E$108,MATCH(N90,'Factors'!$C$9:$C$108,0))),"")="Global",IFERROR(IF(INDEX('Factors'!$E$9:$E$108,MATCH(N90,'Factors'!$C$9:$C$108,0))="","",INDEX('Factors'!$E$9:$E$108,MATCH(N90,'Factors'!$C$9:$C$108,0))),"")=D90))))),"Contract criteria review",IF(M90=J90,"Ready",IF(Q90="No","Grid fallback",IF(Q90="Yes",IF(AND(IFERROR(IF(INDEX('Factors'!$P$9:$P$108,MATCH(R90,'Factors'!$C$9:$C$108,0))="","",INDEX('Factors'!$P$9:$P$108,MATCH(R90,'Factors'!$C$9:$C$108,0))),"")="Ready",IFERROR(IF(INDEX('Factors'!$F$9:$F$108,MATCH(R90,'Factors'!$C$9:$C$108,0))="","",INDEX('Factors'!$F$9:$F$108,MATCH(R90,'Factors'!$C$9:$C$108,0))),"")="kWh",IFERROR(IF(INDEX('Factors'!$H$9:$H$108,MATCH(R90,'Factors'!$C$9:$C$108,0))="","",INDEX('Factors'!$H$9:$H$108,MATCH(R90,'Factors'!$C$9:$C$108,0))),"")="S2",IFERROR(IF(INDEX('Factors'!$I$9:$I$108,MATCH(R90,'Factors'!$C$9:$C$108,0))="","",INDEX('Factors'!$I$9:$I$108,MATCH(R90,'Factors'!$C$9:$C$108,0))),"")="Residual mix",IFERROR(IF(INDEX('Factors'!$J$9:$J$108,MATCH(R90,'Factors'!$C$9:$C$108,0))="","",INDEX('Factors'!$J$9:$J$108,MATCH(R90,'Factors'!$C$9:$C$108,0))),"")=G90,OR(IFERROR(IF(INDEX('Factors'!$E$9:$E$108,MATCH(R90,'Factors'!$C$9:$C$108,0))="","",INDEX('Factors'!$E$9:$E$108,MATCH(R90,'Factors'!$C$9:$C$108,0))),"")="Global",IFERROR(IF(INDEX('Factors'!$E$9:$E$108,MATCH(R90,'Factors'!$C$9:$C$108,0))="","",INDEX('Factors'!$E$9:$E$108,MATCH(R90,'Factors'!$C$9:$C$108,0))),"")=D90)),"Ready","Residual factor review"),"Residual availability review")))))))))))</x:f>
      </x:c>
      <x:c r="AA90" s="8"/>
      <x:c r="AB90" s="16"/>
      <x:c r="AC90" s="8"/>
    </x:row>
    <x:row r="91" ht="36" customHeight="1">
      <x:c r="A91" s="1"/>
      <x:c r="B91" s="1"/>
      <x:c r="C91" s="8"/>
      <x:c r="D91" s="8"/>
      <x:c r="E91" s="8"/>
      <x:c r="F91" s="8"/>
      <x:c r="G91" s="22"/>
      <x:c r="H91" s="16"/>
      <x:c r="I91" s="8"/>
      <x:c r="J91" s="16"/>
      <x:c r="K91" s="8"/>
      <x:c r="L91" s="8"/>
      <x:c r="M91" s="16"/>
      <x:c r="N91" s="8"/>
      <x:c r="O91" s="8"/>
      <x:c r="P91" s="8"/>
      <x:c r="Q91" s="8"/>
      <x:c r="R91" s="8"/>
      <x:c r="S91" s="8"/>
      <x:c r="T91" s="40"/>
      <x:c r="U91" s="23" t="str">
        <x:f>IF(X91="Ready",H91*IFERROR(IF(INDEX('Factors'!$G$9:$G$108,MATCH(I91,'Factors'!$C$9:$C$108,0))="","",INDEX('Factors'!$G$9:$G$108,MATCH(I91,'Factors'!$C$9:$C$108,0))),"")/1000+AB91,"")</x:f>
      </x:c>
      <x:c r="V91" s="23" t="str">
        <x:f>IF(Y91="Ready",J91*IFERROR(IF(INDEX('Factors'!$G$9:$G$108,MATCH(K91,'Factors'!$C$9:$C$108,0))="","",INDEX('Factors'!$G$9:$G$108,MATCH(K91,'Factors'!$C$9:$C$108,0))),"")/1000,"")</x:f>
      </x:c>
      <x:c r="W91" s="23" t="str">
        <x:f>IF(OR(Z91="Ready",Z91="Grid fallback"),(IF(M91&gt;0,M91*IFERROR(IF(INDEX('Factors'!$G$9:$G$108,MATCH(N91,'Factors'!$C$9:$C$108,0))="","",INDEX('Factors'!$G$9:$G$108,MATCH(N91,'Factors'!$C$9:$C$108,0))),""),0)+(J91-M91)*IF(M91=J91,0,IF(Q91="No",IFERROR(IF(INDEX('Factors'!$G$9:$G$108,MATCH(K91,'Factors'!$C$9:$C$108,0))="","",INDEX('Factors'!$G$9:$G$108,MATCH(K91,'Factors'!$C$9:$C$108,0))),""),IFERROR(IF(INDEX('Factors'!$G$9:$G$108,MATCH(R91,'Factors'!$C$9:$C$108,0))="","",INDEX('Factors'!$G$9:$G$108,MATCH(R91,'Factors'!$C$9:$C$108,0))),""))))/1000,"")</x:f>
      </x:c>
      <x:c r="X91" s="9" t="str">
        <x:f>IF(C91="","",IF(AND($D$6&lt;&gt;"Operational control",$D$6&lt;&gt;"Financial control"),"Control basis required",IF(F91="No","Outside control",IF(F91&lt;&gt;"Yes","Control review",IF(COUNTIFS($C$9:$C$108,C91)&lt;&gt;1,"Duplicate operation ID",IF(OR(S91="",NOT(ISNUMBER(T91)),T91&lt;'Settings'!$F$8,NOT(ISNUMBER(G91)),G91&lt;&gt;YEAR('Settings'!$F$8)),"Evidence / period review",IF(OR(NOT(ISNUMBER(H91)),H91&lt;0,AA91&lt;&gt;"Yes",NOT(ISNUMBER(AB91)),AB91&lt;0,AC91=""),"Activity required",IF(AND(IFERROR(IF(INDEX('Factors'!$P$9:$P$108,MATCH(I91,'Factors'!$C$9:$C$108,0))="","",INDEX('Factors'!$P$9:$P$108,MATCH(I91,'Factors'!$C$9:$C$108,0))),"")="Ready",IFERROR(IF(INDEX('Factors'!$F$9:$F$108,MATCH(I91,'Factors'!$C$9:$C$108,0))="","",INDEX('Factors'!$F$9:$F$108,MATCH(I91,'Factors'!$C$9:$C$108,0))),"")="litre",IFERROR(IF(INDEX('Factors'!$H$9:$H$108,MATCH(I91,'Factors'!$C$9:$C$108,0))="","",INDEX('Factors'!$H$9:$H$108,MATCH(I91,'Factors'!$C$9:$C$108,0))),"")="S1",IFERROR(IF(INDEX('Factors'!$I$9:$I$108,MATCH(I91,'Factors'!$C$9:$C$108,0))="","",INDEX('Factors'!$I$9:$I$108,MATCH(I91,'Factors'!$C$9:$C$108,0))),"")="Combustion",IFERROR(IF(INDEX('Factors'!$J$9:$J$108,MATCH(I91,'Factors'!$C$9:$C$108,0))="","",INDEX('Factors'!$J$9:$J$108,MATCH(I91,'Factors'!$C$9:$C$108,0))),"")=G91,OR(IFERROR(IF(INDEX('Factors'!$E$9:$E$108,MATCH(I91,'Factors'!$C$9:$C$108,0))="","",INDEX('Factors'!$E$9:$E$108,MATCH(I91,'Factors'!$C$9:$C$108,0))),"")="Global",IFERROR(IF(INDEX('Factors'!$E$9:$E$108,MATCH(I91,'Factors'!$C$9:$C$108,0))="","",INDEX('Factors'!$E$9:$E$108,MATCH(I91,'Factors'!$C$9:$C$108,0))),"")=D91)),"Ready","Factor / unit review"))))))))</x:f>
      </x:c>
      <x:c r="Y91" s="9" t="str">
        <x:f>IF(C91="","",IF(AND($D$6&lt;&gt;"Operational control",$D$6&lt;&gt;"Financial control"),"Control basis required",IF(F91="No","Outside control",IF(F91&lt;&gt;"Yes","Control review",IF(COUNTIFS($C$9:$C$108,C91)&lt;&gt;1,"Duplicate operation ID",IF(OR(S91="",NOT(ISNUMBER(T91)),T91&lt;'Settings'!$F$8,NOT(ISNUMBER(G91)),G91&lt;&gt;YEAR('Settings'!$F$8)),"Evidence / period review",IF(OR(NOT(ISNUMBER(J91)),J91&lt;0),"Activity required",IF(AND(IFERROR(IF(INDEX('Factors'!$P$9:$P$108,MATCH(K91,'Factors'!$C$9:$C$108,0))="","",INDEX('Factors'!$P$9:$P$108,MATCH(K91,'Factors'!$C$9:$C$108,0))),"")="Ready",IFERROR(IF(INDEX('Factors'!$F$9:$F$108,MATCH(K91,'Factors'!$C$9:$C$108,0))="","",INDEX('Factors'!$F$9:$F$108,MATCH(K91,'Factors'!$C$9:$C$108,0))),"")="kWh",IFERROR(IF(INDEX('Factors'!$H$9:$H$108,MATCH(K91,'Factors'!$C$9:$C$108,0))="","",INDEX('Factors'!$H$9:$H$108,MATCH(K91,'Factors'!$C$9:$C$108,0))),"")="S2",IFERROR(IF(INDEX('Factors'!$I$9:$I$108,MATCH(K91,'Factors'!$C$9:$C$108,0))="","",INDEX('Factors'!$I$9:$I$108,MATCH(K91,'Factors'!$C$9:$C$108,0))),"")="Location-based",IFERROR(IF(INDEX('Factors'!$J$9:$J$108,MATCH(K91,'Factors'!$C$9:$C$108,0))="","",INDEX('Factors'!$J$9:$J$108,MATCH(K91,'Factors'!$C$9:$C$108,0))),"")=G91,OR(IFERROR(IF(INDEX('Factors'!$E$9:$E$108,MATCH(K91,'Factors'!$C$9:$C$108,0))="","",INDEX('Factors'!$E$9:$E$108,MATCH(K91,'Factors'!$C$9:$C$108,0))),"")="Global",IFERROR(IF(INDEX('Factors'!$E$9:$E$108,MATCH(K91,'Factors'!$C$9:$C$108,0))="","",INDEX('Factors'!$E$9:$E$108,MATCH(K91,'Factors'!$C$9:$C$108,0))),"")=D91)),"Ready","Factor / unit review"))))))))</x:f>
      </x:c>
      <x:c r="Z91" s="9" t="str">
        <x:f>IF(C91="","",IF(F91="No","Outside control",IF(F91&lt;&gt;"Yes","Control review",IF($H$6="No","Not required",IF($H$6&lt;&gt;"Yes","Applicability review",IF(Y91&lt;&gt;"Ready",Y91,IF(OR(NOT(ISNUMBER(M91)),M91&lt;0,M91&gt;J91),"Contract quantity review",IF(AND(M91&gt;0,OR(O91&lt;&gt;"Pass",P91="",NOT(AND(IFERROR(IF(INDEX('Factors'!$P$9:$P$108,MATCH(N91,'Factors'!$C$9:$C$108,0))="","",INDEX('Factors'!$P$9:$P$108,MATCH(N91,'Factors'!$C$9:$C$108,0))),"")="Ready",IFERROR(IF(INDEX('Factors'!$F$9:$F$108,MATCH(N91,'Factors'!$C$9:$C$108,0))="","",INDEX('Factors'!$F$9:$F$108,MATCH(N91,'Factors'!$C$9:$C$108,0))),"")="kWh",IFERROR(IF(INDEX('Factors'!$H$9:$H$108,MATCH(N91,'Factors'!$C$9:$C$108,0))="","",INDEX('Factors'!$H$9:$H$108,MATCH(N91,'Factors'!$C$9:$C$108,0))),"")="S2",IFERROR(IF(INDEX('Factors'!$I$9:$I$108,MATCH(N91,'Factors'!$C$9:$C$108,0))="","",INDEX('Factors'!$I$9:$I$108,MATCH(N91,'Factors'!$C$9:$C$108,0))),"")="Market-based",IFERROR(IF(INDEX('Factors'!$J$9:$J$108,MATCH(N91,'Factors'!$C$9:$C$108,0))="","",INDEX('Factors'!$J$9:$J$108,MATCH(N91,'Factors'!$C$9:$C$108,0))),"")=G91,OR(IFERROR(IF(INDEX('Factors'!$E$9:$E$108,MATCH(N91,'Factors'!$C$9:$C$108,0))="","",INDEX('Factors'!$E$9:$E$108,MATCH(N91,'Factors'!$C$9:$C$108,0))),"")="Global",IFERROR(IF(INDEX('Factors'!$E$9:$E$108,MATCH(N91,'Factors'!$C$9:$C$108,0))="","",INDEX('Factors'!$E$9:$E$108,MATCH(N91,'Factors'!$C$9:$C$108,0))),"")=D91))))),"Contract criteria review",IF(M91=J91,"Ready",IF(Q91="No","Grid fallback",IF(Q91="Yes",IF(AND(IFERROR(IF(INDEX('Factors'!$P$9:$P$108,MATCH(R91,'Factors'!$C$9:$C$108,0))="","",INDEX('Factors'!$P$9:$P$108,MATCH(R91,'Factors'!$C$9:$C$108,0))),"")="Ready",IFERROR(IF(INDEX('Factors'!$F$9:$F$108,MATCH(R91,'Factors'!$C$9:$C$108,0))="","",INDEX('Factors'!$F$9:$F$108,MATCH(R91,'Factors'!$C$9:$C$108,0))),"")="kWh",IFERROR(IF(INDEX('Factors'!$H$9:$H$108,MATCH(R91,'Factors'!$C$9:$C$108,0))="","",INDEX('Factors'!$H$9:$H$108,MATCH(R91,'Factors'!$C$9:$C$108,0))),"")="S2",IFERROR(IF(INDEX('Factors'!$I$9:$I$108,MATCH(R91,'Factors'!$C$9:$C$108,0))="","",INDEX('Factors'!$I$9:$I$108,MATCH(R91,'Factors'!$C$9:$C$108,0))),"")="Residual mix",IFERROR(IF(INDEX('Factors'!$J$9:$J$108,MATCH(R91,'Factors'!$C$9:$C$108,0))="","",INDEX('Factors'!$J$9:$J$108,MATCH(R91,'Factors'!$C$9:$C$108,0))),"")=G91,OR(IFERROR(IF(INDEX('Factors'!$E$9:$E$108,MATCH(R91,'Factors'!$C$9:$C$108,0))="","",INDEX('Factors'!$E$9:$E$108,MATCH(R91,'Factors'!$C$9:$C$108,0))),"")="Global",IFERROR(IF(INDEX('Factors'!$E$9:$E$108,MATCH(R91,'Factors'!$C$9:$C$108,0))="","",INDEX('Factors'!$E$9:$E$108,MATCH(R91,'Factors'!$C$9:$C$108,0))),"")=D91)),"Ready","Residual factor review"),"Residual availability review")))))))))))</x:f>
      </x:c>
      <x:c r="AA91" s="8"/>
      <x:c r="AB91" s="16"/>
      <x:c r="AC91" s="8"/>
    </x:row>
    <x:row r="92" ht="36" customHeight="1">
      <x:c r="A92" s="1"/>
      <x:c r="B92" s="1"/>
      <x:c r="C92" s="8"/>
      <x:c r="D92" s="8"/>
      <x:c r="E92" s="8"/>
      <x:c r="F92" s="8"/>
      <x:c r="G92" s="22"/>
      <x:c r="H92" s="16"/>
      <x:c r="I92" s="8"/>
      <x:c r="J92" s="16"/>
      <x:c r="K92" s="8"/>
      <x:c r="L92" s="8"/>
      <x:c r="M92" s="16"/>
      <x:c r="N92" s="8"/>
      <x:c r="O92" s="8"/>
      <x:c r="P92" s="8"/>
      <x:c r="Q92" s="8"/>
      <x:c r="R92" s="8"/>
      <x:c r="S92" s="8"/>
      <x:c r="T92" s="40"/>
      <x:c r="U92" s="23" t="str">
        <x:f>IF(X92="Ready",H92*IFERROR(IF(INDEX('Factors'!$G$9:$G$108,MATCH(I92,'Factors'!$C$9:$C$108,0))="","",INDEX('Factors'!$G$9:$G$108,MATCH(I92,'Factors'!$C$9:$C$108,0))),"")/1000+AB92,"")</x:f>
      </x:c>
      <x:c r="V92" s="23" t="str">
        <x:f>IF(Y92="Ready",J92*IFERROR(IF(INDEX('Factors'!$G$9:$G$108,MATCH(K92,'Factors'!$C$9:$C$108,0))="","",INDEX('Factors'!$G$9:$G$108,MATCH(K92,'Factors'!$C$9:$C$108,0))),"")/1000,"")</x:f>
      </x:c>
      <x:c r="W92" s="23" t="str">
        <x:f>IF(OR(Z92="Ready",Z92="Grid fallback"),(IF(M92&gt;0,M92*IFERROR(IF(INDEX('Factors'!$G$9:$G$108,MATCH(N92,'Factors'!$C$9:$C$108,0))="","",INDEX('Factors'!$G$9:$G$108,MATCH(N92,'Factors'!$C$9:$C$108,0))),""),0)+(J92-M92)*IF(M92=J92,0,IF(Q92="No",IFERROR(IF(INDEX('Factors'!$G$9:$G$108,MATCH(K92,'Factors'!$C$9:$C$108,0))="","",INDEX('Factors'!$G$9:$G$108,MATCH(K92,'Factors'!$C$9:$C$108,0))),""),IFERROR(IF(INDEX('Factors'!$G$9:$G$108,MATCH(R92,'Factors'!$C$9:$C$108,0))="","",INDEX('Factors'!$G$9:$G$108,MATCH(R92,'Factors'!$C$9:$C$108,0))),""))))/1000,"")</x:f>
      </x:c>
      <x:c r="X92" s="9" t="str">
        <x:f>IF(C92="","",IF(AND($D$6&lt;&gt;"Operational control",$D$6&lt;&gt;"Financial control"),"Control basis required",IF(F92="No","Outside control",IF(F92&lt;&gt;"Yes","Control review",IF(COUNTIFS($C$9:$C$108,C92)&lt;&gt;1,"Duplicate operation ID",IF(OR(S92="",NOT(ISNUMBER(T92)),T92&lt;'Settings'!$F$8,NOT(ISNUMBER(G92)),G92&lt;&gt;YEAR('Settings'!$F$8)),"Evidence / period review",IF(OR(NOT(ISNUMBER(H92)),H92&lt;0,AA92&lt;&gt;"Yes",NOT(ISNUMBER(AB92)),AB92&lt;0,AC92=""),"Activity required",IF(AND(IFERROR(IF(INDEX('Factors'!$P$9:$P$108,MATCH(I92,'Factors'!$C$9:$C$108,0))="","",INDEX('Factors'!$P$9:$P$108,MATCH(I92,'Factors'!$C$9:$C$108,0))),"")="Ready",IFERROR(IF(INDEX('Factors'!$F$9:$F$108,MATCH(I92,'Factors'!$C$9:$C$108,0))="","",INDEX('Factors'!$F$9:$F$108,MATCH(I92,'Factors'!$C$9:$C$108,0))),"")="litre",IFERROR(IF(INDEX('Factors'!$H$9:$H$108,MATCH(I92,'Factors'!$C$9:$C$108,0))="","",INDEX('Factors'!$H$9:$H$108,MATCH(I92,'Factors'!$C$9:$C$108,0))),"")="S1",IFERROR(IF(INDEX('Factors'!$I$9:$I$108,MATCH(I92,'Factors'!$C$9:$C$108,0))="","",INDEX('Factors'!$I$9:$I$108,MATCH(I92,'Factors'!$C$9:$C$108,0))),"")="Combustion",IFERROR(IF(INDEX('Factors'!$J$9:$J$108,MATCH(I92,'Factors'!$C$9:$C$108,0))="","",INDEX('Factors'!$J$9:$J$108,MATCH(I92,'Factors'!$C$9:$C$108,0))),"")=G92,OR(IFERROR(IF(INDEX('Factors'!$E$9:$E$108,MATCH(I92,'Factors'!$C$9:$C$108,0))="","",INDEX('Factors'!$E$9:$E$108,MATCH(I92,'Factors'!$C$9:$C$108,0))),"")="Global",IFERROR(IF(INDEX('Factors'!$E$9:$E$108,MATCH(I92,'Factors'!$C$9:$C$108,0))="","",INDEX('Factors'!$E$9:$E$108,MATCH(I92,'Factors'!$C$9:$C$108,0))),"")=D92)),"Ready","Factor / unit review"))))))))</x:f>
      </x:c>
      <x:c r="Y92" s="9" t="str">
        <x:f>IF(C92="","",IF(AND($D$6&lt;&gt;"Operational control",$D$6&lt;&gt;"Financial control"),"Control basis required",IF(F92="No","Outside control",IF(F92&lt;&gt;"Yes","Control review",IF(COUNTIFS($C$9:$C$108,C92)&lt;&gt;1,"Duplicate operation ID",IF(OR(S92="",NOT(ISNUMBER(T92)),T92&lt;'Settings'!$F$8,NOT(ISNUMBER(G92)),G92&lt;&gt;YEAR('Settings'!$F$8)),"Evidence / period review",IF(OR(NOT(ISNUMBER(J92)),J92&lt;0),"Activity required",IF(AND(IFERROR(IF(INDEX('Factors'!$P$9:$P$108,MATCH(K92,'Factors'!$C$9:$C$108,0))="","",INDEX('Factors'!$P$9:$P$108,MATCH(K92,'Factors'!$C$9:$C$108,0))),"")="Ready",IFERROR(IF(INDEX('Factors'!$F$9:$F$108,MATCH(K92,'Factors'!$C$9:$C$108,0))="","",INDEX('Factors'!$F$9:$F$108,MATCH(K92,'Factors'!$C$9:$C$108,0))),"")="kWh",IFERROR(IF(INDEX('Factors'!$H$9:$H$108,MATCH(K92,'Factors'!$C$9:$C$108,0))="","",INDEX('Factors'!$H$9:$H$108,MATCH(K92,'Factors'!$C$9:$C$108,0))),"")="S2",IFERROR(IF(INDEX('Factors'!$I$9:$I$108,MATCH(K92,'Factors'!$C$9:$C$108,0))="","",INDEX('Factors'!$I$9:$I$108,MATCH(K92,'Factors'!$C$9:$C$108,0))),"")="Location-based",IFERROR(IF(INDEX('Factors'!$J$9:$J$108,MATCH(K92,'Factors'!$C$9:$C$108,0))="","",INDEX('Factors'!$J$9:$J$108,MATCH(K92,'Factors'!$C$9:$C$108,0))),"")=G92,OR(IFERROR(IF(INDEX('Factors'!$E$9:$E$108,MATCH(K92,'Factors'!$C$9:$C$108,0))="","",INDEX('Factors'!$E$9:$E$108,MATCH(K92,'Factors'!$C$9:$C$108,0))),"")="Global",IFERROR(IF(INDEX('Factors'!$E$9:$E$108,MATCH(K92,'Factors'!$C$9:$C$108,0))="","",INDEX('Factors'!$E$9:$E$108,MATCH(K92,'Factors'!$C$9:$C$108,0))),"")=D92)),"Ready","Factor / unit review"))))))))</x:f>
      </x:c>
      <x:c r="Z92" s="9" t="str">
        <x:f>IF(C92="","",IF(F92="No","Outside control",IF(F92&lt;&gt;"Yes","Control review",IF($H$6="No","Not required",IF($H$6&lt;&gt;"Yes","Applicability review",IF(Y92&lt;&gt;"Ready",Y92,IF(OR(NOT(ISNUMBER(M92)),M92&lt;0,M92&gt;J92),"Contract quantity review",IF(AND(M92&gt;0,OR(O92&lt;&gt;"Pass",P92="",NOT(AND(IFERROR(IF(INDEX('Factors'!$P$9:$P$108,MATCH(N92,'Factors'!$C$9:$C$108,0))="","",INDEX('Factors'!$P$9:$P$108,MATCH(N92,'Factors'!$C$9:$C$108,0))),"")="Ready",IFERROR(IF(INDEX('Factors'!$F$9:$F$108,MATCH(N92,'Factors'!$C$9:$C$108,0))="","",INDEX('Factors'!$F$9:$F$108,MATCH(N92,'Factors'!$C$9:$C$108,0))),"")="kWh",IFERROR(IF(INDEX('Factors'!$H$9:$H$108,MATCH(N92,'Factors'!$C$9:$C$108,0))="","",INDEX('Factors'!$H$9:$H$108,MATCH(N92,'Factors'!$C$9:$C$108,0))),"")="S2",IFERROR(IF(INDEX('Factors'!$I$9:$I$108,MATCH(N92,'Factors'!$C$9:$C$108,0))="","",INDEX('Factors'!$I$9:$I$108,MATCH(N92,'Factors'!$C$9:$C$108,0))),"")="Market-based",IFERROR(IF(INDEX('Factors'!$J$9:$J$108,MATCH(N92,'Factors'!$C$9:$C$108,0))="","",INDEX('Factors'!$J$9:$J$108,MATCH(N92,'Factors'!$C$9:$C$108,0))),"")=G92,OR(IFERROR(IF(INDEX('Factors'!$E$9:$E$108,MATCH(N92,'Factors'!$C$9:$C$108,0))="","",INDEX('Factors'!$E$9:$E$108,MATCH(N92,'Factors'!$C$9:$C$108,0))),"")="Global",IFERROR(IF(INDEX('Factors'!$E$9:$E$108,MATCH(N92,'Factors'!$C$9:$C$108,0))="","",INDEX('Factors'!$E$9:$E$108,MATCH(N92,'Factors'!$C$9:$C$108,0))),"")=D92))))),"Contract criteria review",IF(M92=J92,"Ready",IF(Q92="No","Grid fallback",IF(Q92="Yes",IF(AND(IFERROR(IF(INDEX('Factors'!$P$9:$P$108,MATCH(R92,'Factors'!$C$9:$C$108,0))="","",INDEX('Factors'!$P$9:$P$108,MATCH(R92,'Factors'!$C$9:$C$108,0))),"")="Ready",IFERROR(IF(INDEX('Factors'!$F$9:$F$108,MATCH(R92,'Factors'!$C$9:$C$108,0))="","",INDEX('Factors'!$F$9:$F$108,MATCH(R92,'Factors'!$C$9:$C$108,0))),"")="kWh",IFERROR(IF(INDEX('Factors'!$H$9:$H$108,MATCH(R92,'Factors'!$C$9:$C$108,0))="","",INDEX('Factors'!$H$9:$H$108,MATCH(R92,'Factors'!$C$9:$C$108,0))),"")="S2",IFERROR(IF(INDEX('Factors'!$I$9:$I$108,MATCH(R92,'Factors'!$C$9:$C$108,0))="","",INDEX('Factors'!$I$9:$I$108,MATCH(R92,'Factors'!$C$9:$C$108,0))),"")="Residual mix",IFERROR(IF(INDEX('Factors'!$J$9:$J$108,MATCH(R92,'Factors'!$C$9:$C$108,0))="","",INDEX('Factors'!$J$9:$J$108,MATCH(R92,'Factors'!$C$9:$C$108,0))),"")=G92,OR(IFERROR(IF(INDEX('Factors'!$E$9:$E$108,MATCH(R92,'Factors'!$C$9:$C$108,0))="","",INDEX('Factors'!$E$9:$E$108,MATCH(R92,'Factors'!$C$9:$C$108,0))),"")="Global",IFERROR(IF(INDEX('Factors'!$E$9:$E$108,MATCH(R92,'Factors'!$C$9:$C$108,0))="","",INDEX('Factors'!$E$9:$E$108,MATCH(R92,'Factors'!$C$9:$C$108,0))),"")=D92)),"Ready","Residual factor review"),"Residual availability review")))))))))))</x:f>
      </x:c>
      <x:c r="AA92" s="8"/>
      <x:c r="AB92" s="16"/>
      <x:c r="AC92" s="8"/>
    </x:row>
    <x:row r="93" ht="36" customHeight="1">
      <x:c r="A93" s="1"/>
      <x:c r="B93" s="1"/>
      <x:c r="C93" s="8"/>
      <x:c r="D93" s="8"/>
      <x:c r="E93" s="8"/>
      <x:c r="F93" s="8"/>
      <x:c r="G93" s="22"/>
      <x:c r="H93" s="16"/>
      <x:c r="I93" s="8"/>
      <x:c r="J93" s="16"/>
      <x:c r="K93" s="8"/>
      <x:c r="L93" s="8"/>
      <x:c r="M93" s="16"/>
      <x:c r="N93" s="8"/>
      <x:c r="O93" s="8"/>
      <x:c r="P93" s="8"/>
      <x:c r="Q93" s="8"/>
      <x:c r="R93" s="8"/>
      <x:c r="S93" s="8"/>
      <x:c r="T93" s="40"/>
      <x:c r="U93" s="23" t="str">
        <x:f>IF(X93="Ready",H93*IFERROR(IF(INDEX('Factors'!$G$9:$G$108,MATCH(I93,'Factors'!$C$9:$C$108,0))="","",INDEX('Factors'!$G$9:$G$108,MATCH(I93,'Factors'!$C$9:$C$108,0))),"")/1000+AB93,"")</x:f>
      </x:c>
      <x:c r="V93" s="23" t="str">
        <x:f>IF(Y93="Ready",J93*IFERROR(IF(INDEX('Factors'!$G$9:$G$108,MATCH(K93,'Factors'!$C$9:$C$108,0))="","",INDEX('Factors'!$G$9:$G$108,MATCH(K93,'Factors'!$C$9:$C$108,0))),"")/1000,"")</x:f>
      </x:c>
      <x:c r="W93" s="23" t="str">
        <x:f>IF(OR(Z93="Ready",Z93="Grid fallback"),(IF(M93&gt;0,M93*IFERROR(IF(INDEX('Factors'!$G$9:$G$108,MATCH(N93,'Factors'!$C$9:$C$108,0))="","",INDEX('Factors'!$G$9:$G$108,MATCH(N93,'Factors'!$C$9:$C$108,0))),""),0)+(J93-M93)*IF(M93=J93,0,IF(Q93="No",IFERROR(IF(INDEX('Factors'!$G$9:$G$108,MATCH(K93,'Factors'!$C$9:$C$108,0))="","",INDEX('Factors'!$G$9:$G$108,MATCH(K93,'Factors'!$C$9:$C$108,0))),""),IFERROR(IF(INDEX('Factors'!$G$9:$G$108,MATCH(R93,'Factors'!$C$9:$C$108,0))="","",INDEX('Factors'!$G$9:$G$108,MATCH(R93,'Factors'!$C$9:$C$108,0))),""))))/1000,"")</x:f>
      </x:c>
      <x:c r="X93" s="9" t="str">
        <x:f>IF(C93="","",IF(AND($D$6&lt;&gt;"Operational control",$D$6&lt;&gt;"Financial control"),"Control basis required",IF(F93="No","Outside control",IF(F93&lt;&gt;"Yes","Control review",IF(COUNTIFS($C$9:$C$108,C93)&lt;&gt;1,"Duplicate operation ID",IF(OR(S93="",NOT(ISNUMBER(T93)),T93&lt;'Settings'!$F$8,NOT(ISNUMBER(G93)),G93&lt;&gt;YEAR('Settings'!$F$8)),"Evidence / period review",IF(OR(NOT(ISNUMBER(H93)),H93&lt;0,AA93&lt;&gt;"Yes",NOT(ISNUMBER(AB93)),AB93&lt;0,AC93=""),"Activity required",IF(AND(IFERROR(IF(INDEX('Factors'!$P$9:$P$108,MATCH(I93,'Factors'!$C$9:$C$108,0))="","",INDEX('Factors'!$P$9:$P$108,MATCH(I93,'Factors'!$C$9:$C$108,0))),"")="Ready",IFERROR(IF(INDEX('Factors'!$F$9:$F$108,MATCH(I93,'Factors'!$C$9:$C$108,0))="","",INDEX('Factors'!$F$9:$F$108,MATCH(I93,'Factors'!$C$9:$C$108,0))),"")="litre",IFERROR(IF(INDEX('Factors'!$H$9:$H$108,MATCH(I93,'Factors'!$C$9:$C$108,0))="","",INDEX('Factors'!$H$9:$H$108,MATCH(I93,'Factors'!$C$9:$C$108,0))),"")="S1",IFERROR(IF(INDEX('Factors'!$I$9:$I$108,MATCH(I93,'Factors'!$C$9:$C$108,0))="","",INDEX('Factors'!$I$9:$I$108,MATCH(I93,'Factors'!$C$9:$C$108,0))),"")="Combustion",IFERROR(IF(INDEX('Factors'!$J$9:$J$108,MATCH(I93,'Factors'!$C$9:$C$108,0))="","",INDEX('Factors'!$J$9:$J$108,MATCH(I93,'Factors'!$C$9:$C$108,0))),"")=G93,OR(IFERROR(IF(INDEX('Factors'!$E$9:$E$108,MATCH(I93,'Factors'!$C$9:$C$108,0))="","",INDEX('Factors'!$E$9:$E$108,MATCH(I93,'Factors'!$C$9:$C$108,0))),"")="Global",IFERROR(IF(INDEX('Factors'!$E$9:$E$108,MATCH(I93,'Factors'!$C$9:$C$108,0))="","",INDEX('Factors'!$E$9:$E$108,MATCH(I93,'Factors'!$C$9:$C$108,0))),"")=D93)),"Ready","Factor / unit review"))))))))</x:f>
      </x:c>
      <x:c r="Y93" s="9" t="str">
        <x:f>IF(C93="","",IF(AND($D$6&lt;&gt;"Operational control",$D$6&lt;&gt;"Financial control"),"Control basis required",IF(F93="No","Outside control",IF(F93&lt;&gt;"Yes","Control review",IF(COUNTIFS($C$9:$C$108,C93)&lt;&gt;1,"Duplicate operation ID",IF(OR(S93="",NOT(ISNUMBER(T93)),T93&lt;'Settings'!$F$8,NOT(ISNUMBER(G93)),G93&lt;&gt;YEAR('Settings'!$F$8)),"Evidence / period review",IF(OR(NOT(ISNUMBER(J93)),J93&lt;0),"Activity required",IF(AND(IFERROR(IF(INDEX('Factors'!$P$9:$P$108,MATCH(K93,'Factors'!$C$9:$C$108,0))="","",INDEX('Factors'!$P$9:$P$108,MATCH(K93,'Factors'!$C$9:$C$108,0))),"")="Ready",IFERROR(IF(INDEX('Factors'!$F$9:$F$108,MATCH(K93,'Factors'!$C$9:$C$108,0))="","",INDEX('Factors'!$F$9:$F$108,MATCH(K93,'Factors'!$C$9:$C$108,0))),"")="kWh",IFERROR(IF(INDEX('Factors'!$H$9:$H$108,MATCH(K93,'Factors'!$C$9:$C$108,0))="","",INDEX('Factors'!$H$9:$H$108,MATCH(K93,'Factors'!$C$9:$C$108,0))),"")="S2",IFERROR(IF(INDEX('Factors'!$I$9:$I$108,MATCH(K93,'Factors'!$C$9:$C$108,0))="","",INDEX('Factors'!$I$9:$I$108,MATCH(K93,'Factors'!$C$9:$C$108,0))),"")="Location-based",IFERROR(IF(INDEX('Factors'!$J$9:$J$108,MATCH(K93,'Factors'!$C$9:$C$108,0))="","",INDEX('Factors'!$J$9:$J$108,MATCH(K93,'Factors'!$C$9:$C$108,0))),"")=G93,OR(IFERROR(IF(INDEX('Factors'!$E$9:$E$108,MATCH(K93,'Factors'!$C$9:$C$108,0))="","",INDEX('Factors'!$E$9:$E$108,MATCH(K93,'Factors'!$C$9:$C$108,0))),"")="Global",IFERROR(IF(INDEX('Factors'!$E$9:$E$108,MATCH(K93,'Factors'!$C$9:$C$108,0))="","",INDEX('Factors'!$E$9:$E$108,MATCH(K93,'Factors'!$C$9:$C$108,0))),"")=D93)),"Ready","Factor / unit review"))))))))</x:f>
      </x:c>
      <x:c r="Z93" s="9" t="str">
        <x:f>IF(C93="","",IF(F93="No","Outside control",IF(F93&lt;&gt;"Yes","Control review",IF($H$6="No","Not required",IF($H$6&lt;&gt;"Yes","Applicability review",IF(Y93&lt;&gt;"Ready",Y93,IF(OR(NOT(ISNUMBER(M93)),M93&lt;0,M93&gt;J93),"Contract quantity review",IF(AND(M93&gt;0,OR(O93&lt;&gt;"Pass",P93="",NOT(AND(IFERROR(IF(INDEX('Factors'!$P$9:$P$108,MATCH(N93,'Factors'!$C$9:$C$108,0))="","",INDEX('Factors'!$P$9:$P$108,MATCH(N93,'Factors'!$C$9:$C$108,0))),"")="Ready",IFERROR(IF(INDEX('Factors'!$F$9:$F$108,MATCH(N93,'Factors'!$C$9:$C$108,0))="","",INDEX('Factors'!$F$9:$F$108,MATCH(N93,'Factors'!$C$9:$C$108,0))),"")="kWh",IFERROR(IF(INDEX('Factors'!$H$9:$H$108,MATCH(N93,'Factors'!$C$9:$C$108,0))="","",INDEX('Factors'!$H$9:$H$108,MATCH(N93,'Factors'!$C$9:$C$108,0))),"")="S2",IFERROR(IF(INDEX('Factors'!$I$9:$I$108,MATCH(N93,'Factors'!$C$9:$C$108,0))="","",INDEX('Factors'!$I$9:$I$108,MATCH(N93,'Factors'!$C$9:$C$108,0))),"")="Market-based",IFERROR(IF(INDEX('Factors'!$J$9:$J$108,MATCH(N93,'Factors'!$C$9:$C$108,0))="","",INDEX('Factors'!$J$9:$J$108,MATCH(N93,'Factors'!$C$9:$C$108,0))),"")=G93,OR(IFERROR(IF(INDEX('Factors'!$E$9:$E$108,MATCH(N93,'Factors'!$C$9:$C$108,0))="","",INDEX('Factors'!$E$9:$E$108,MATCH(N93,'Factors'!$C$9:$C$108,0))),"")="Global",IFERROR(IF(INDEX('Factors'!$E$9:$E$108,MATCH(N93,'Factors'!$C$9:$C$108,0))="","",INDEX('Factors'!$E$9:$E$108,MATCH(N93,'Factors'!$C$9:$C$108,0))),"")=D93))))),"Contract criteria review",IF(M93=J93,"Ready",IF(Q93="No","Grid fallback",IF(Q93="Yes",IF(AND(IFERROR(IF(INDEX('Factors'!$P$9:$P$108,MATCH(R93,'Factors'!$C$9:$C$108,0))="","",INDEX('Factors'!$P$9:$P$108,MATCH(R93,'Factors'!$C$9:$C$108,0))),"")="Ready",IFERROR(IF(INDEX('Factors'!$F$9:$F$108,MATCH(R93,'Factors'!$C$9:$C$108,0))="","",INDEX('Factors'!$F$9:$F$108,MATCH(R93,'Factors'!$C$9:$C$108,0))),"")="kWh",IFERROR(IF(INDEX('Factors'!$H$9:$H$108,MATCH(R93,'Factors'!$C$9:$C$108,0))="","",INDEX('Factors'!$H$9:$H$108,MATCH(R93,'Factors'!$C$9:$C$108,0))),"")="S2",IFERROR(IF(INDEX('Factors'!$I$9:$I$108,MATCH(R93,'Factors'!$C$9:$C$108,0))="","",INDEX('Factors'!$I$9:$I$108,MATCH(R93,'Factors'!$C$9:$C$108,0))),"")="Residual mix",IFERROR(IF(INDEX('Factors'!$J$9:$J$108,MATCH(R93,'Factors'!$C$9:$C$108,0))="","",INDEX('Factors'!$J$9:$J$108,MATCH(R93,'Factors'!$C$9:$C$108,0))),"")=G93,OR(IFERROR(IF(INDEX('Factors'!$E$9:$E$108,MATCH(R93,'Factors'!$C$9:$C$108,0))="","",INDEX('Factors'!$E$9:$E$108,MATCH(R93,'Factors'!$C$9:$C$108,0))),"")="Global",IFERROR(IF(INDEX('Factors'!$E$9:$E$108,MATCH(R93,'Factors'!$C$9:$C$108,0))="","",INDEX('Factors'!$E$9:$E$108,MATCH(R93,'Factors'!$C$9:$C$108,0))),"")=D93)),"Ready","Residual factor review"),"Residual availability review")))))))))))</x:f>
      </x:c>
      <x:c r="AA93" s="8"/>
      <x:c r="AB93" s="16"/>
      <x:c r="AC93" s="8"/>
    </x:row>
    <x:row r="94" ht="36" customHeight="1">
      <x:c r="A94" s="1"/>
      <x:c r="B94" s="1"/>
      <x:c r="C94" s="8"/>
      <x:c r="D94" s="8"/>
      <x:c r="E94" s="8"/>
      <x:c r="F94" s="8"/>
      <x:c r="G94" s="22"/>
      <x:c r="H94" s="16"/>
      <x:c r="I94" s="8"/>
      <x:c r="J94" s="16"/>
      <x:c r="K94" s="8"/>
      <x:c r="L94" s="8"/>
      <x:c r="M94" s="16"/>
      <x:c r="N94" s="8"/>
      <x:c r="O94" s="8"/>
      <x:c r="P94" s="8"/>
      <x:c r="Q94" s="8"/>
      <x:c r="R94" s="8"/>
      <x:c r="S94" s="8"/>
      <x:c r="T94" s="40"/>
      <x:c r="U94" s="23" t="str">
        <x:f>IF(X94="Ready",H94*IFERROR(IF(INDEX('Factors'!$G$9:$G$108,MATCH(I94,'Factors'!$C$9:$C$108,0))="","",INDEX('Factors'!$G$9:$G$108,MATCH(I94,'Factors'!$C$9:$C$108,0))),"")/1000+AB94,"")</x:f>
      </x:c>
      <x:c r="V94" s="23" t="str">
        <x:f>IF(Y94="Ready",J94*IFERROR(IF(INDEX('Factors'!$G$9:$G$108,MATCH(K94,'Factors'!$C$9:$C$108,0))="","",INDEX('Factors'!$G$9:$G$108,MATCH(K94,'Factors'!$C$9:$C$108,0))),"")/1000,"")</x:f>
      </x:c>
      <x:c r="W94" s="23" t="str">
        <x:f>IF(OR(Z94="Ready",Z94="Grid fallback"),(IF(M94&gt;0,M94*IFERROR(IF(INDEX('Factors'!$G$9:$G$108,MATCH(N94,'Factors'!$C$9:$C$108,0))="","",INDEX('Factors'!$G$9:$G$108,MATCH(N94,'Factors'!$C$9:$C$108,0))),""),0)+(J94-M94)*IF(M94=J94,0,IF(Q94="No",IFERROR(IF(INDEX('Factors'!$G$9:$G$108,MATCH(K94,'Factors'!$C$9:$C$108,0))="","",INDEX('Factors'!$G$9:$G$108,MATCH(K94,'Factors'!$C$9:$C$108,0))),""),IFERROR(IF(INDEX('Factors'!$G$9:$G$108,MATCH(R94,'Factors'!$C$9:$C$108,0))="","",INDEX('Factors'!$G$9:$G$108,MATCH(R94,'Factors'!$C$9:$C$108,0))),""))))/1000,"")</x:f>
      </x:c>
      <x:c r="X94" s="9" t="str">
        <x:f>IF(C94="","",IF(AND($D$6&lt;&gt;"Operational control",$D$6&lt;&gt;"Financial control"),"Control basis required",IF(F94="No","Outside control",IF(F94&lt;&gt;"Yes","Control review",IF(COUNTIFS($C$9:$C$108,C94)&lt;&gt;1,"Duplicate operation ID",IF(OR(S94="",NOT(ISNUMBER(T94)),T94&lt;'Settings'!$F$8,NOT(ISNUMBER(G94)),G94&lt;&gt;YEAR('Settings'!$F$8)),"Evidence / period review",IF(OR(NOT(ISNUMBER(H94)),H94&lt;0,AA94&lt;&gt;"Yes",NOT(ISNUMBER(AB94)),AB94&lt;0,AC94=""),"Activity required",IF(AND(IFERROR(IF(INDEX('Factors'!$P$9:$P$108,MATCH(I94,'Factors'!$C$9:$C$108,0))="","",INDEX('Factors'!$P$9:$P$108,MATCH(I94,'Factors'!$C$9:$C$108,0))),"")="Ready",IFERROR(IF(INDEX('Factors'!$F$9:$F$108,MATCH(I94,'Factors'!$C$9:$C$108,0))="","",INDEX('Factors'!$F$9:$F$108,MATCH(I94,'Factors'!$C$9:$C$108,0))),"")="litre",IFERROR(IF(INDEX('Factors'!$H$9:$H$108,MATCH(I94,'Factors'!$C$9:$C$108,0))="","",INDEX('Factors'!$H$9:$H$108,MATCH(I94,'Factors'!$C$9:$C$108,0))),"")="S1",IFERROR(IF(INDEX('Factors'!$I$9:$I$108,MATCH(I94,'Factors'!$C$9:$C$108,0))="","",INDEX('Factors'!$I$9:$I$108,MATCH(I94,'Factors'!$C$9:$C$108,0))),"")="Combustion",IFERROR(IF(INDEX('Factors'!$J$9:$J$108,MATCH(I94,'Factors'!$C$9:$C$108,0))="","",INDEX('Factors'!$J$9:$J$108,MATCH(I94,'Factors'!$C$9:$C$108,0))),"")=G94,OR(IFERROR(IF(INDEX('Factors'!$E$9:$E$108,MATCH(I94,'Factors'!$C$9:$C$108,0))="","",INDEX('Factors'!$E$9:$E$108,MATCH(I94,'Factors'!$C$9:$C$108,0))),"")="Global",IFERROR(IF(INDEX('Factors'!$E$9:$E$108,MATCH(I94,'Factors'!$C$9:$C$108,0))="","",INDEX('Factors'!$E$9:$E$108,MATCH(I94,'Factors'!$C$9:$C$108,0))),"")=D94)),"Ready","Factor / unit review"))))))))</x:f>
      </x:c>
      <x:c r="Y94" s="9" t="str">
        <x:f>IF(C94="","",IF(AND($D$6&lt;&gt;"Operational control",$D$6&lt;&gt;"Financial control"),"Control basis required",IF(F94="No","Outside control",IF(F94&lt;&gt;"Yes","Control review",IF(COUNTIFS($C$9:$C$108,C94)&lt;&gt;1,"Duplicate operation ID",IF(OR(S94="",NOT(ISNUMBER(T94)),T94&lt;'Settings'!$F$8,NOT(ISNUMBER(G94)),G94&lt;&gt;YEAR('Settings'!$F$8)),"Evidence / period review",IF(OR(NOT(ISNUMBER(J94)),J94&lt;0),"Activity required",IF(AND(IFERROR(IF(INDEX('Factors'!$P$9:$P$108,MATCH(K94,'Factors'!$C$9:$C$108,0))="","",INDEX('Factors'!$P$9:$P$108,MATCH(K94,'Factors'!$C$9:$C$108,0))),"")="Ready",IFERROR(IF(INDEX('Factors'!$F$9:$F$108,MATCH(K94,'Factors'!$C$9:$C$108,0))="","",INDEX('Factors'!$F$9:$F$108,MATCH(K94,'Factors'!$C$9:$C$108,0))),"")="kWh",IFERROR(IF(INDEX('Factors'!$H$9:$H$108,MATCH(K94,'Factors'!$C$9:$C$108,0))="","",INDEX('Factors'!$H$9:$H$108,MATCH(K94,'Factors'!$C$9:$C$108,0))),"")="S2",IFERROR(IF(INDEX('Factors'!$I$9:$I$108,MATCH(K94,'Factors'!$C$9:$C$108,0))="","",INDEX('Factors'!$I$9:$I$108,MATCH(K94,'Factors'!$C$9:$C$108,0))),"")="Location-based",IFERROR(IF(INDEX('Factors'!$J$9:$J$108,MATCH(K94,'Factors'!$C$9:$C$108,0))="","",INDEX('Factors'!$J$9:$J$108,MATCH(K94,'Factors'!$C$9:$C$108,0))),"")=G94,OR(IFERROR(IF(INDEX('Factors'!$E$9:$E$108,MATCH(K94,'Factors'!$C$9:$C$108,0))="","",INDEX('Factors'!$E$9:$E$108,MATCH(K94,'Factors'!$C$9:$C$108,0))),"")="Global",IFERROR(IF(INDEX('Factors'!$E$9:$E$108,MATCH(K94,'Factors'!$C$9:$C$108,0))="","",INDEX('Factors'!$E$9:$E$108,MATCH(K94,'Factors'!$C$9:$C$108,0))),"")=D94)),"Ready","Factor / unit review"))))))))</x:f>
      </x:c>
      <x:c r="Z94" s="9" t="str">
        <x:f>IF(C94="","",IF(F94="No","Outside control",IF(F94&lt;&gt;"Yes","Control review",IF($H$6="No","Not required",IF($H$6&lt;&gt;"Yes","Applicability review",IF(Y94&lt;&gt;"Ready",Y94,IF(OR(NOT(ISNUMBER(M94)),M94&lt;0,M94&gt;J94),"Contract quantity review",IF(AND(M94&gt;0,OR(O94&lt;&gt;"Pass",P94="",NOT(AND(IFERROR(IF(INDEX('Factors'!$P$9:$P$108,MATCH(N94,'Factors'!$C$9:$C$108,0))="","",INDEX('Factors'!$P$9:$P$108,MATCH(N94,'Factors'!$C$9:$C$108,0))),"")="Ready",IFERROR(IF(INDEX('Factors'!$F$9:$F$108,MATCH(N94,'Factors'!$C$9:$C$108,0))="","",INDEX('Factors'!$F$9:$F$108,MATCH(N94,'Factors'!$C$9:$C$108,0))),"")="kWh",IFERROR(IF(INDEX('Factors'!$H$9:$H$108,MATCH(N94,'Factors'!$C$9:$C$108,0))="","",INDEX('Factors'!$H$9:$H$108,MATCH(N94,'Factors'!$C$9:$C$108,0))),"")="S2",IFERROR(IF(INDEX('Factors'!$I$9:$I$108,MATCH(N94,'Factors'!$C$9:$C$108,0))="","",INDEX('Factors'!$I$9:$I$108,MATCH(N94,'Factors'!$C$9:$C$108,0))),"")="Market-based",IFERROR(IF(INDEX('Factors'!$J$9:$J$108,MATCH(N94,'Factors'!$C$9:$C$108,0))="","",INDEX('Factors'!$J$9:$J$108,MATCH(N94,'Factors'!$C$9:$C$108,0))),"")=G94,OR(IFERROR(IF(INDEX('Factors'!$E$9:$E$108,MATCH(N94,'Factors'!$C$9:$C$108,0))="","",INDEX('Factors'!$E$9:$E$108,MATCH(N94,'Factors'!$C$9:$C$108,0))),"")="Global",IFERROR(IF(INDEX('Factors'!$E$9:$E$108,MATCH(N94,'Factors'!$C$9:$C$108,0))="","",INDEX('Factors'!$E$9:$E$108,MATCH(N94,'Factors'!$C$9:$C$108,0))),"")=D94))))),"Contract criteria review",IF(M94=J94,"Ready",IF(Q94="No","Grid fallback",IF(Q94="Yes",IF(AND(IFERROR(IF(INDEX('Factors'!$P$9:$P$108,MATCH(R94,'Factors'!$C$9:$C$108,0))="","",INDEX('Factors'!$P$9:$P$108,MATCH(R94,'Factors'!$C$9:$C$108,0))),"")="Ready",IFERROR(IF(INDEX('Factors'!$F$9:$F$108,MATCH(R94,'Factors'!$C$9:$C$108,0))="","",INDEX('Factors'!$F$9:$F$108,MATCH(R94,'Factors'!$C$9:$C$108,0))),"")="kWh",IFERROR(IF(INDEX('Factors'!$H$9:$H$108,MATCH(R94,'Factors'!$C$9:$C$108,0))="","",INDEX('Factors'!$H$9:$H$108,MATCH(R94,'Factors'!$C$9:$C$108,0))),"")="S2",IFERROR(IF(INDEX('Factors'!$I$9:$I$108,MATCH(R94,'Factors'!$C$9:$C$108,0))="","",INDEX('Factors'!$I$9:$I$108,MATCH(R94,'Factors'!$C$9:$C$108,0))),"")="Residual mix",IFERROR(IF(INDEX('Factors'!$J$9:$J$108,MATCH(R94,'Factors'!$C$9:$C$108,0))="","",INDEX('Factors'!$J$9:$J$108,MATCH(R94,'Factors'!$C$9:$C$108,0))),"")=G94,OR(IFERROR(IF(INDEX('Factors'!$E$9:$E$108,MATCH(R94,'Factors'!$C$9:$C$108,0))="","",INDEX('Factors'!$E$9:$E$108,MATCH(R94,'Factors'!$C$9:$C$108,0))),"")="Global",IFERROR(IF(INDEX('Factors'!$E$9:$E$108,MATCH(R94,'Factors'!$C$9:$C$108,0))="","",INDEX('Factors'!$E$9:$E$108,MATCH(R94,'Factors'!$C$9:$C$108,0))),"")=D94)),"Ready","Residual factor review"),"Residual availability review")))))))))))</x:f>
      </x:c>
      <x:c r="AA94" s="8"/>
      <x:c r="AB94" s="16"/>
      <x:c r="AC94" s="8"/>
    </x:row>
    <x:row r="95" ht="36" customHeight="1">
      <x:c r="A95" s="1"/>
      <x:c r="B95" s="1"/>
      <x:c r="C95" s="8"/>
      <x:c r="D95" s="8"/>
      <x:c r="E95" s="8"/>
      <x:c r="F95" s="8"/>
      <x:c r="G95" s="22"/>
      <x:c r="H95" s="16"/>
      <x:c r="I95" s="8"/>
      <x:c r="J95" s="16"/>
      <x:c r="K95" s="8"/>
      <x:c r="L95" s="8"/>
      <x:c r="M95" s="16"/>
      <x:c r="N95" s="8"/>
      <x:c r="O95" s="8"/>
      <x:c r="P95" s="8"/>
      <x:c r="Q95" s="8"/>
      <x:c r="R95" s="8"/>
      <x:c r="S95" s="8"/>
      <x:c r="T95" s="40"/>
      <x:c r="U95" s="23" t="str">
        <x:f>IF(X95="Ready",H95*IFERROR(IF(INDEX('Factors'!$G$9:$G$108,MATCH(I95,'Factors'!$C$9:$C$108,0))="","",INDEX('Factors'!$G$9:$G$108,MATCH(I95,'Factors'!$C$9:$C$108,0))),"")/1000+AB95,"")</x:f>
      </x:c>
      <x:c r="V95" s="23" t="str">
        <x:f>IF(Y95="Ready",J95*IFERROR(IF(INDEX('Factors'!$G$9:$G$108,MATCH(K95,'Factors'!$C$9:$C$108,0))="","",INDEX('Factors'!$G$9:$G$108,MATCH(K95,'Factors'!$C$9:$C$108,0))),"")/1000,"")</x:f>
      </x:c>
      <x:c r="W95" s="23" t="str">
        <x:f>IF(OR(Z95="Ready",Z95="Grid fallback"),(IF(M95&gt;0,M95*IFERROR(IF(INDEX('Factors'!$G$9:$G$108,MATCH(N95,'Factors'!$C$9:$C$108,0))="","",INDEX('Factors'!$G$9:$G$108,MATCH(N95,'Factors'!$C$9:$C$108,0))),""),0)+(J95-M95)*IF(M95=J95,0,IF(Q95="No",IFERROR(IF(INDEX('Factors'!$G$9:$G$108,MATCH(K95,'Factors'!$C$9:$C$108,0))="","",INDEX('Factors'!$G$9:$G$108,MATCH(K95,'Factors'!$C$9:$C$108,0))),""),IFERROR(IF(INDEX('Factors'!$G$9:$G$108,MATCH(R95,'Factors'!$C$9:$C$108,0))="","",INDEX('Factors'!$G$9:$G$108,MATCH(R95,'Factors'!$C$9:$C$108,0))),""))))/1000,"")</x:f>
      </x:c>
      <x:c r="X95" s="9" t="str">
        <x:f>IF(C95="","",IF(AND($D$6&lt;&gt;"Operational control",$D$6&lt;&gt;"Financial control"),"Control basis required",IF(F95="No","Outside control",IF(F95&lt;&gt;"Yes","Control review",IF(COUNTIFS($C$9:$C$108,C95)&lt;&gt;1,"Duplicate operation ID",IF(OR(S95="",NOT(ISNUMBER(T95)),T95&lt;'Settings'!$F$8,NOT(ISNUMBER(G95)),G95&lt;&gt;YEAR('Settings'!$F$8)),"Evidence / period review",IF(OR(NOT(ISNUMBER(H95)),H95&lt;0,AA95&lt;&gt;"Yes",NOT(ISNUMBER(AB95)),AB95&lt;0,AC95=""),"Activity required",IF(AND(IFERROR(IF(INDEX('Factors'!$P$9:$P$108,MATCH(I95,'Factors'!$C$9:$C$108,0))="","",INDEX('Factors'!$P$9:$P$108,MATCH(I95,'Factors'!$C$9:$C$108,0))),"")="Ready",IFERROR(IF(INDEX('Factors'!$F$9:$F$108,MATCH(I95,'Factors'!$C$9:$C$108,0))="","",INDEX('Factors'!$F$9:$F$108,MATCH(I95,'Factors'!$C$9:$C$108,0))),"")="litre",IFERROR(IF(INDEX('Factors'!$H$9:$H$108,MATCH(I95,'Factors'!$C$9:$C$108,0))="","",INDEX('Factors'!$H$9:$H$108,MATCH(I95,'Factors'!$C$9:$C$108,0))),"")="S1",IFERROR(IF(INDEX('Factors'!$I$9:$I$108,MATCH(I95,'Factors'!$C$9:$C$108,0))="","",INDEX('Factors'!$I$9:$I$108,MATCH(I95,'Factors'!$C$9:$C$108,0))),"")="Combustion",IFERROR(IF(INDEX('Factors'!$J$9:$J$108,MATCH(I95,'Factors'!$C$9:$C$108,0))="","",INDEX('Factors'!$J$9:$J$108,MATCH(I95,'Factors'!$C$9:$C$108,0))),"")=G95,OR(IFERROR(IF(INDEX('Factors'!$E$9:$E$108,MATCH(I95,'Factors'!$C$9:$C$108,0))="","",INDEX('Factors'!$E$9:$E$108,MATCH(I95,'Factors'!$C$9:$C$108,0))),"")="Global",IFERROR(IF(INDEX('Factors'!$E$9:$E$108,MATCH(I95,'Factors'!$C$9:$C$108,0))="","",INDEX('Factors'!$E$9:$E$108,MATCH(I95,'Factors'!$C$9:$C$108,0))),"")=D95)),"Ready","Factor / unit review"))))))))</x:f>
      </x:c>
      <x:c r="Y95" s="9" t="str">
        <x:f>IF(C95="","",IF(AND($D$6&lt;&gt;"Operational control",$D$6&lt;&gt;"Financial control"),"Control basis required",IF(F95="No","Outside control",IF(F95&lt;&gt;"Yes","Control review",IF(COUNTIFS($C$9:$C$108,C95)&lt;&gt;1,"Duplicate operation ID",IF(OR(S95="",NOT(ISNUMBER(T95)),T95&lt;'Settings'!$F$8,NOT(ISNUMBER(G95)),G95&lt;&gt;YEAR('Settings'!$F$8)),"Evidence / period review",IF(OR(NOT(ISNUMBER(J95)),J95&lt;0),"Activity required",IF(AND(IFERROR(IF(INDEX('Factors'!$P$9:$P$108,MATCH(K95,'Factors'!$C$9:$C$108,0))="","",INDEX('Factors'!$P$9:$P$108,MATCH(K95,'Factors'!$C$9:$C$108,0))),"")="Ready",IFERROR(IF(INDEX('Factors'!$F$9:$F$108,MATCH(K95,'Factors'!$C$9:$C$108,0))="","",INDEX('Factors'!$F$9:$F$108,MATCH(K95,'Factors'!$C$9:$C$108,0))),"")="kWh",IFERROR(IF(INDEX('Factors'!$H$9:$H$108,MATCH(K95,'Factors'!$C$9:$C$108,0))="","",INDEX('Factors'!$H$9:$H$108,MATCH(K95,'Factors'!$C$9:$C$108,0))),"")="S2",IFERROR(IF(INDEX('Factors'!$I$9:$I$108,MATCH(K95,'Factors'!$C$9:$C$108,0))="","",INDEX('Factors'!$I$9:$I$108,MATCH(K95,'Factors'!$C$9:$C$108,0))),"")="Location-based",IFERROR(IF(INDEX('Factors'!$J$9:$J$108,MATCH(K95,'Factors'!$C$9:$C$108,0))="","",INDEX('Factors'!$J$9:$J$108,MATCH(K95,'Factors'!$C$9:$C$108,0))),"")=G95,OR(IFERROR(IF(INDEX('Factors'!$E$9:$E$108,MATCH(K95,'Factors'!$C$9:$C$108,0))="","",INDEX('Factors'!$E$9:$E$108,MATCH(K95,'Factors'!$C$9:$C$108,0))),"")="Global",IFERROR(IF(INDEX('Factors'!$E$9:$E$108,MATCH(K95,'Factors'!$C$9:$C$108,0))="","",INDEX('Factors'!$E$9:$E$108,MATCH(K95,'Factors'!$C$9:$C$108,0))),"")=D95)),"Ready","Factor / unit review"))))))))</x:f>
      </x:c>
      <x:c r="Z95" s="9" t="str">
        <x:f>IF(C95="","",IF(F95="No","Outside control",IF(F95&lt;&gt;"Yes","Control review",IF($H$6="No","Not required",IF($H$6&lt;&gt;"Yes","Applicability review",IF(Y95&lt;&gt;"Ready",Y95,IF(OR(NOT(ISNUMBER(M95)),M95&lt;0,M95&gt;J95),"Contract quantity review",IF(AND(M95&gt;0,OR(O95&lt;&gt;"Pass",P95="",NOT(AND(IFERROR(IF(INDEX('Factors'!$P$9:$P$108,MATCH(N95,'Factors'!$C$9:$C$108,0))="","",INDEX('Factors'!$P$9:$P$108,MATCH(N95,'Factors'!$C$9:$C$108,0))),"")="Ready",IFERROR(IF(INDEX('Factors'!$F$9:$F$108,MATCH(N95,'Factors'!$C$9:$C$108,0))="","",INDEX('Factors'!$F$9:$F$108,MATCH(N95,'Factors'!$C$9:$C$108,0))),"")="kWh",IFERROR(IF(INDEX('Factors'!$H$9:$H$108,MATCH(N95,'Factors'!$C$9:$C$108,0))="","",INDEX('Factors'!$H$9:$H$108,MATCH(N95,'Factors'!$C$9:$C$108,0))),"")="S2",IFERROR(IF(INDEX('Factors'!$I$9:$I$108,MATCH(N95,'Factors'!$C$9:$C$108,0))="","",INDEX('Factors'!$I$9:$I$108,MATCH(N95,'Factors'!$C$9:$C$108,0))),"")="Market-based",IFERROR(IF(INDEX('Factors'!$J$9:$J$108,MATCH(N95,'Factors'!$C$9:$C$108,0))="","",INDEX('Factors'!$J$9:$J$108,MATCH(N95,'Factors'!$C$9:$C$108,0))),"")=G95,OR(IFERROR(IF(INDEX('Factors'!$E$9:$E$108,MATCH(N95,'Factors'!$C$9:$C$108,0))="","",INDEX('Factors'!$E$9:$E$108,MATCH(N95,'Factors'!$C$9:$C$108,0))),"")="Global",IFERROR(IF(INDEX('Factors'!$E$9:$E$108,MATCH(N95,'Factors'!$C$9:$C$108,0))="","",INDEX('Factors'!$E$9:$E$108,MATCH(N95,'Factors'!$C$9:$C$108,0))),"")=D95))))),"Contract criteria review",IF(M95=J95,"Ready",IF(Q95="No","Grid fallback",IF(Q95="Yes",IF(AND(IFERROR(IF(INDEX('Factors'!$P$9:$P$108,MATCH(R95,'Factors'!$C$9:$C$108,0))="","",INDEX('Factors'!$P$9:$P$108,MATCH(R95,'Factors'!$C$9:$C$108,0))),"")="Ready",IFERROR(IF(INDEX('Factors'!$F$9:$F$108,MATCH(R95,'Factors'!$C$9:$C$108,0))="","",INDEX('Factors'!$F$9:$F$108,MATCH(R95,'Factors'!$C$9:$C$108,0))),"")="kWh",IFERROR(IF(INDEX('Factors'!$H$9:$H$108,MATCH(R95,'Factors'!$C$9:$C$108,0))="","",INDEX('Factors'!$H$9:$H$108,MATCH(R95,'Factors'!$C$9:$C$108,0))),"")="S2",IFERROR(IF(INDEX('Factors'!$I$9:$I$108,MATCH(R95,'Factors'!$C$9:$C$108,0))="","",INDEX('Factors'!$I$9:$I$108,MATCH(R95,'Factors'!$C$9:$C$108,0))),"")="Residual mix",IFERROR(IF(INDEX('Factors'!$J$9:$J$108,MATCH(R95,'Factors'!$C$9:$C$108,0))="","",INDEX('Factors'!$J$9:$J$108,MATCH(R95,'Factors'!$C$9:$C$108,0))),"")=G95,OR(IFERROR(IF(INDEX('Factors'!$E$9:$E$108,MATCH(R95,'Factors'!$C$9:$C$108,0))="","",INDEX('Factors'!$E$9:$E$108,MATCH(R95,'Factors'!$C$9:$C$108,0))),"")="Global",IFERROR(IF(INDEX('Factors'!$E$9:$E$108,MATCH(R95,'Factors'!$C$9:$C$108,0))="","",INDEX('Factors'!$E$9:$E$108,MATCH(R95,'Factors'!$C$9:$C$108,0))),"")=D95)),"Ready","Residual factor review"),"Residual availability review")))))))))))</x:f>
      </x:c>
      <x:c r="AA95" s="8"/>
      <x:c r="AB95" s="16"/>
      <x:c r="AC95" s="8"/>
    </x:row>
    <x:row r="96" ht="36" customHeight="1">
      <x:c r="A96" s="1"/>
      <x:c r="B96" s="1"/>
      <x:c r="C96" s="8"/>
      <x:c r="D96" s="8"/>
      <x:c r="E96" s="8"/>
      <x:c r="F96" s="8"/>
      <x:c r="G96" s="22"/>
      <x:c r="H96" s="16"/>
      <x:c r="I96" s="8"/>
      <x:c r="J96" s="16"/>
      <x:c r="K96" s="8"/>
      <x:c r="L96" s="8"/>
      <x:c r="M96" s="16"/>
      <x:c r="N96" s="8"/>
      <x:c r="O96" s="8"/>
      <x:c r="P96" s="8"/>
      <x:c r="Q96" s="8"/>
      <x:c r="R96" s="8"/>
      <x:c r="S96" s="8"/>
      <x:c r="T96" s="40"/>
      <x:c r="U96" s="23" t="str">
        <x:f>IF(X96="Ready",H96*IFERROR(IF(INDEX('Factors'!$G$9:$G$108,MATCH(I96,'Factors'!$C$9:$C$108,0))="","",INDEX('Factors'!$G$9:$G$108,MATCH(I96,'Factors'!$C$9:$C$108,0))),"")/1000+AB96,"")</x:f>
      </x:c>
      <x:c r="V96" s="23" t="str">
        <x:f>IF(Y96="Ready",J96*IFERROR(IF(INDEX('Factors'!$G$9:$G$108,MATCH(K96,'Factors'!$C$9:$C$108,0))="","",INDEX('Factors'!$G$9:$G$108,MATCH(K96,'Factors'!$C$9:$C$108,0))),"")/1000,"")</x:f>
      </x:c>
      <x:c r="W96" s="23" t="str">
        <x:f>IF(OR(Z96="Ready",Z96="Grid fallback"),(IF(M96&gt;0,M96*IFERROR(IF(INDEX('Factors'!$G$9:$G$108,MATCH(N96,'Factors'!$C$9:$C$108,0))="","",INDEX('Factors'!$G$9:$G$108,MATCH(N96,'Factors'!$C$9:$C$108,0))),""),0)+(J96-M96)*IF(M96=J96,0,IF(Q96="No",IFERROR(IF(INDEX('Factors'!$G$9:$G$108,MATCH(K96,'Factors'!$C$9:$C$108,0))="","",INDEX('Factors'!$G$9:$G$108,MATCH(K96,'Factors'!$C$9:$C$108,0))),""),IFERROR(IF(INDEX('Factors'!$G$9:$G$108,MATCH(R96,'Factors'!$C$9:$C$108,0))="","",INDEX('Factors'!$G$9:$G$108,MATCH(R96,'Factors'!$C$9:$C$108,0))),""))))/1000,"")</x:f>
      </x:c>
      <x:c r="X96" s="9" t="str">
        <x:f>IF(C96="","",IF(AND($D$6&lt;&gt;"Operational control",$D$6&lt;&gt;"Financial control"),"Control basis required",IF(F96="No","Outside control",IF(F96&lt;&gt;"Yes","Control review",IF(COUNTIFS($C$9:$C$108,C96)&lt;&gt;1,"Duplicate operation ID",IF(OR(S96="",NOT(ISNUMBER(T96)),T96&lt;'Settings'!$F$8,NOT(ISNUMBER(G96)),G96&lt;&gt;YEAR('Settings'!$F$8)),"Evidence / period review",IF(OR(NOT(ISNUMBER(H96)),H96&lt;0,AA96&lt;&gt;"Yes",NOT(ISNUMBER(AB96)),AB96&lt;0,AC96=""),"Activity required",IF(AND(IFERROR(IF(INDEX('Factors'!$P$9:$P$108,MATCH(I96,'Factors'!$C$9:$C$108,0))="","",INDEX('Factors'!$P$9:$P$108,MATCH(I96,'Factors'!$C$9:$C$108,0))),"")="Ready",IFERROR(IF(INDEX('Factors'!$F$9:$F$108,MATCH(I96,'Factors'!$C$9:$C$108,0))="","",INDEX('Factors'!$F$9:$F$108,MATCH(I96,'Factors'!$C$9:$C$108,0))),"")="litre",IFERROR(IF(INDEX('Factors'!$H$9:$H$108,MATCH(I96,'Factors'!$C$9:$C$108,0))="","",INDEX('Factors'!$H$9:$H$108,MATCH(I96,'Factors'!$C$9:$C$108,0))),"")="S1",IFERROR(IF(INDEX('Factors'!$I$9:$I$108,MATCH(I96,'Factors'!$C$9:$C$108,0))="","",INDEX('Factors'!$I$9:$I$108,MATCH(I96,'Factors'!$C$9:$C$108,0))),"")="Combustion",IFERROR(IF(INDEX('Factors'!$J$9:$J$108,MATCH(I96,'Factors'!$C$9:$C$108,0))="","",INDEX('Factors'!$J$9:$J$108,MATCH(I96,'Factors'!$C$9:$C$108,0))),"")=G96,OR(IFERROR(IF(INDEX('Factors'!$E$9:$E$108,MATCH(I96,'Factors'!$C$9:$C$108,0))="","",INDEX('Factors'!$E$9:$E$108,MATCH(I96,'Factors'!$C$9:$C$108,0))),"")="Global",IFERROR(IF(INDEX('Factors'!$E$9:$E$108,MATCH(I96,'Factors'!$C$9:$C$108,0))="","",INDEX('Factors'!$E$9:$E$108,MATCH(I96,'Factors'!$C$9:$C$108,0))),"")=D96)),"Ready","Factor / unit review"))))))))</x:f>
      </x:c>
      <x:c r="Y96" s="9" t="str">
        <x:f>IF(C96="","",IF(AND($D$6&lt;&gt;"Operational control",$D$6&lt;&gt;"Financial control"),"Control basis required",IF(F96="No","Outside control",IF(F96&lt;&gt;"Yes","Control review",IF(COUNTIFS($C$9:$C$108,C96)&lt;&gt;1,"Duplicate operation ID",IF(OR(S96="",NOT(ISNUMBER(T96)),T96&lt;'Settings'!$F$8,NOT(ISNUMBER(G96)),G96&lt;&gt;YEAR('Settings'!$F$8)),"Evidence / period review",IF(OR(NOT(ISNUMBER(J96)),J96&lt;0),"Activity required",IF(AND(IFERROR(IF(INDEX('Factors'!$P$9:$P$108,MATCH(K96,'Factors'!$C$9:$C$108,0))="","",INDEX('Factors'!$P$9:$P$108,MATCH(K96,'Factors'!$C$9:$C$108,0))),"")="Ready",IFERROR(IF(INDEX('Factors'!$F$9:$F$108,MATCH(K96,'Factors'!$C$9:$C$108,0))="","",INDEX('Factors'!$F$9:$F$108,MATCH(K96,'Factors'!$C$9:$C$108,0))),"")="kWh",IFERROR(IF(INDEX('Factors'!$H$9:$H$108,MATCH(K96,'Factors'!$C$9:$C$108,0))="","",INDEX('Factors'!$H$9:$H$108,MATCH(K96,'Factors'!$C$9:$C$108,0))),"")="S2",IFERROR(IF(INDEX('Factors'!$I$9:$I$108,MATCH(K96,'Factors'!$C$9:$C$108,0))="","",INDEX('Factors'!$I$9:$I$108,MATCH(K96,'Factors'!$C$9:$C$108,0))),"")="Location-based",IFERROR(IF(INDEX('Factors'!$J$9:$J$108,MATCH(K96,'Factors'!$C$9:$C$108,0))="","",INDEX('Factors'!$J$9:$J$108,MATCH(K96,'Factors'!$C$9:$C$108,0))),"")=G96,OR(IFERROR(IF(INDEX('Factors'!$E$9:$E$108,MATCH(K96,'Factors'!$C$9:$C$108,0))="","",INDEX('Factors'!$E$9:$E$108,MATCH(K96,'Factors'!$C$9:$C$108,0))),"")="Global",IFERROR(IF(INDEX('Factors'!$E$9:$E$108,MATCH(K96,'Factors'!$C$9:$C$108,0))="","",INDEX('Factors'!$E$9:$E$108,MATCH(K96,'Factors'!$C$9:$C$108,0))),"")=D96)),"Ready","Factor / unit review"))))))))</x:f>
      </x:c>
      <x:c r="Z96" s="9" t="str">
        <x:f>IF(C96="","",IF(F96="No","Outside control",IF(F96&lt;&gt;"Yes","Control review",IF($H$6="No","Not required",IF($H$6&lt;&gt;"Yes","Applicability review",IF(Y96&lt;&gt;"Ready",Y96,IF(OR(NOT(ISNUMBER(M96)),M96&lt;0,M96&gt;J96),"Contract quantity review",IF(AND(M96&gt;0,OR(O96&lt;&gt;"Pass",P96="",NOT(AND(IFERROR(IF(INDEX('Factors'!$P$9:$P$108,MATCH(N96,'Factors'!$C$9:$C$108,0))="","",INDEX('Factors'!$P$9:$P$108,MATCH(N96,'Factors'!$C$9:$C$108,0))),"")="Ready",IFERROR(IF(INDEX('Factors'!$F$9:$F$108,MATCH(N96,'Factors'!$C$9:$C$108,0))="","",INDEX('Factors'!$F$9:$F$108,MATCH(N96,'Factors'!$C$9:$C$108,0))),"")="kWh",IFERROR(IF(INDEX('Factors'!$H$9:$H$108,MATCH(N96,'Factors'!$C$9:$C$108,0))="","",INDEX('Factors'!$H$9:$H$108,MATCH(N96,'Factors'!$C$9:$C$108,0))),"")="S2",IFERROR(IF(INDEX('Factors'!$I$9:$I$108,MATCH(N96,'Factors'!$C$9:$C$108,0))="","",INDEX('Factors'!$I$9:$I$108,MATCH(N96,'Factors'!$C$9:$C$108,0))),"")="Market-based",IFERROR(IF(INDEX('Factors'!$J$9:$J$108,MATCH(N96,'Factors'!$C$9:$C$108,0))="","",INDEX('Factors'!$J$9:$J$108,MATCH(N96,'Factors'!$C$9:$C$108,0))),"")=G96,OR(IFERROR(IF(INDEX('Factors'!$E$9:$E$108,MATCH(N96,'Factors'!$C$9:$C$108,0))="","",INDEX('Factors'!$E$9:$E$108,MATCH(N96,'Factors'!$C$9:$C$108,0))),"")="Global",IFERROR(IF(INDEX('Factors'!$E$9:$E$108,MATCH(N96,'Factors'!$C$9:$C$108,0))="","",INDEX('Factors'!$E$9:$E$108,MATCH(N96,'Factors'!$C$9:$C$108,0))),"")=D96))))),"Contract criteria review",IF(M96=J96,"Ready",IF(Q96="No","Grid fallback",IF(Q96="Yes",IF(AND(IFERROR(IF(INDEX('Factors'!$P$9:$P$108,MATCH(R96,'Factors'!$C$9:$C$108,0))="","",INDEX('Factors'!$P$9:$P$108,MATCH(R96,'Factors'!$C$9:$C$108,0))),"")="Ready",IFERROR(IF(INDEX('Factors'!$F$9:$F$108,MATCH(R96,'Factors'!$C$9:$C$108,0))="","",INDEX('Factors'!$F$9:$F$108,MATCH(R96,'Factors'!$C$9:$C$108,0))),"")="kWh",IFERROR(IF(INDEX('Factors'!$H$9:$H$108,MATCH(R96,'Factors'!$C$9:$C$108,0))="","",INDEX('Factors'!$H$9:$H$108,MATCH(R96,'Factors'!$C$9:$C$108,0))),"")="S2",IFERROR(IF(INDEX('Factors'!$I$9:$I$108,MATCH(R96,'Factors'!$C$9:$C$108,0))="","",INDEX('Factors'!$I$9:$I$108,MATCH(R96,'Factors'!$C$9:$C$108,0))),"")="Residual mix",IFERROR(IF(INDEX('Factors'!$J$9:$J$108,MATCH(R96,'Factors'!$C$9:$C$108,0))="","",INDEX('Factors'!$J$9:$J$108,MATCH(R96,'Factors'!$C$9:$C$108,0))),"")=G96,OR(IFERROR(IF(INDEX('Factors'!$E$9:$E$108,MATCH(R96,'Factors'!$C$9:$C$108,0))="","",INDEX('Factors'!$E$9:$E$108,MATCH(R96,'Factors'!$C$9:$C$108,0))),"")="Global",IFERROR(IF(INDEX('Factors'!$E$9:$E$108,MATCH(R96,'Factors'!$C$9:$C$108,0))="","",INDEX('Factors'!$E$9:$E$108,MATCH(R96,'Factors'!$C$9:$C$108,0))),"")=D96)),"Ready","Residual factor review"),"Residual availability review")))))))))))</x:f>
      </x:c>
      <x:c r="AA96" s="8"/>
      <x:c r="AB96" s="16"/>
      <x:c r="AC96" s="8"/>
    </x:row>
    <x:row r="97" ht="36" customHeight="1">
      <x:c r="A97" s="1"/>
      <x:c r="B97" s="1"/>
      <x:c r="C97" s="8"/>
      <x:c r="D97" s="8"/>
      <x:c r="E97" s="8"/>
      <x:c r="F97" s="8"/>
      <x:c r="G97" s="22"/>
      <x:c r="H97" s="16"/>
      <x:c r="I97" s="8"/>
      <x:c r="J97" s="16"/>
      <x:c r="K97" s="8"/>
      <x:c r="L97" s="8"/>
      <x:c r="M97" s="16"/>
      <x:c r="N97" s="8"/>
      <x:c r="O97" s="8"/>
      <x:c r="P97" s="8"/>
      <x:c r="Q97" s="8"/>
      <x:c r="R97" s="8"/>
      <x:c r="S97" s="8"/>
      <x:c r="T97" s="40"/>
      <x:c r="U97" s="23" t="str">
        <x:f>IF(X97="Ready",H97*IFERROR(IF(INDEX('Factors'!$G$9:$G$108,MATCH(I97,'Factors'!$C$9:$C$108,0))="","",INDEX('Factors'!$G$9:$G$108,MATCH(I97,'Factors'!$C$9:$C$108,0))),"")/1000+AB97,"")</x:f>
      </x:c>
      <x:c r="V97" s="23" t="str">
        <x:f>IF(Y97="Ready",J97*IFERROR(IF(INDEX('Factors'!$G$9:$G$108,MATCH(K97,'Factors'!$C$9:$C$108,0))="","",INDEX('Factors'!$G$9:$G$108,MATCH(K97,'Factors'!$C$9:$C$108,0))),"")/1000,"")</x:f>
      </x:c>
      <x:c r="W97" s="23" t="str">
        <x:f>IF(OR(Z97="Ready",Z97="Grid fallback"),(IF(M97&gt;0,M97*IFERROR(IF(INDEX('Factors'!$G$9:$G$108,MATCH(N97,'Factors'!$C$9:$C$108,0))="","",INDEX('Factors'!$G$9:$G$108,MATCH(N97,'Factors'!$C$9:$C$108,0))),""),0)+(J97-M97)*IF(M97=J97,0,IF(Q97="No",IFERROR(IF(INDEX('Factors'!$G$9:$G$108,MATCH(K97,'Factors'!$C$9:$C$108,0))="","",INDEX('Factors'!$G$9:$G$108,MATCH(K97,'Factors'!$C$9:$C$108,0))),""),IFERROR(IF(INDEX('Factors'!$G$9:$G$108,MATCH(R97,'Factors'!$C$9:$C$108,0))="","",INDEX('Factors'!$G$9:$G$108,MATCH(R97,'Factors'!$C$9:$C$108,0))),""))))/1000,"")</x:f>
      </x:c>
      <x:c r="X97" s="9" t="str">
        <x:f>IF(C97="","",IF(AND($D$6&lt;&gt;"Operational control",$D$6&lt;&gt;"Financial control"),"Control basis required",IF(F97="No","Outside control",IF(F97&lt;&gt;"Yes","Control review",IF(COUNTIFS($C$9:$C$108,C97)&lt;&gt;1,"Duplicate operation ID",IF(OR(S97="",NOT(ISNUMBER(T97)),T97&lt;'Settings'!$F$8,NOT(ISNUMBER(G97)),G97&lt;&gt;YEAR('Settings'!$F$8)),"Evidence / period review",IF(OR(NOT(ISNUMBER(H97)),H97&lt;0,AA97&lt;&gt;"Yes",NOT(ISNUMBER(AB97)),AB97&lt;0,AC97=""),"Activity required",IF(AND(IFERROR(IF(INDEX('Factors'!$P$9:$P$108,MATCH(I97,'Factors'!$C$9:$C$108,0))="","",INDEX('Factors'!$P$9:$P$108,MATCH(I97,'Factors'!$C$9:$C$108,0))),"")="Ready",IFERROR(IF(INDEX('Factors'!$F$9:$F$108,MATCH(I97,'Factors'!$C$9:$C$108,0))="","",INDEX('Factors'!$F$9:$F$108,MATCH(I97,'Factors'!$C$9:$C$108,0))),"")="litre",IFERROR(IF(INDEX('Factors'!$H$9:$H$108,MATCH(I97,'Factors'!$C$9:$C$108,0))="","",INDEX('Factors'!$H$9:$H$108,MATCH(I97,'Factors'!$C$9:$C$108,0))),"")="S1",IFERROR(IF(INDEX('Factors'!$I$9:$I$108,MATCH(I97,'Factors'!$C$9:$C$108,0))="","",INDEX('Factors'!$I$9:$I$108,MATCH(I97,'Factors'!$C$9:$C$108,0))),"")="Combustion",IFERROR(IF(INDEX('Factors'!$J$9:$J$108,MATCH(I97,'Factors'!$C$9:$C$108,0))="","",INDEX('Factors'!$J$9:$J$108,MATCH(I97,'Factors'!$C$9:$C$108,0))),"")=G97,OR(IFERROR(IF(INDEX('Factors'!$E$9:$E$108,MATCH(I97,'Factors'!$C$9:$C$108,0))="","",INDEX('Factors'!$E$9:$E$108,MATCH(I97,'Factors'!$C$9:$C$108,0))),"")="Global",IFERROR(IF(INDEX('Factors'!$E$9:$E$108,MATCH(I97,'Factors'!$C$9:$C$108,0))="","",INDEX('Factors'!$E$9:$E$108,MATCH(I97,'Factors'!$C$9:$C$108,0))),"")=D97)),"Ready","Factor / unit review"))))))))</x:f>
      </x:c>
      <x:c r="Y97" s="9" t="str">
        <x:f>IF(C97="","",IF(AND($D$6&lt;&gt;"Operational control",$D$6&lt;&gt;"Financial control"),"Control basis required",IF(F97="No","Outside control",IF(F97&lt;&gt;"Yes","Control review",IF(COUNTIFS($C$9:$C$108,C97)&lt;&gt;1,"Duplicate operation ID",IF(OR(S97="",NOT(ISNUMBER(T97)),T97&lt;'Settings'!$F$8,NOT(ISNUMBER(G97)),G97&lt;&gt;YEAR('Settings'!$F$8)),"Evidence / period review",IF(OR(NOT(ISNUMBER(J97)),J97&lt;0),"Activity required",IF(AND(IFERROR(IF(INDEX('Factors'!$P$9:$P$108,MATCH(K97,'Factors'!$C$9:$C$108,0))="","",INDEX('Factors'!$P$9:$P$108,MATCH(K97,'Factors'!$C$9:$C$108,0))),"")="Ready",IFERROR(IF(INDEX('Factors'!$F$9:$F$108,MATCH(K97,'Factors'!$C$9:$C$108,0))="","",INDEX('Factors'!$F$9:$F$108,MATCH(K97,'Factors'!$C$9:$C$108,0))),"")="kWh",IFERROR(IF(INDEX('Factors'!$H$9:$H$108,MATCH(K97,'Factors'!$C$9:$C$108,0))="","",INDEX('Factors'!$H$9:$H$108,MATCH(K97,'Factors'!$C$9:$C$108,0))),"")="S2",IFERROR(IF(INDEX('Factors'!$I$9:$I$108,MATCH(K97,'Factors'!$C$9:$C$108,0))="","",INDEX('Factors'!$I$9:$I$108,MATCH(K97,'Factors'!$C$9:$C$108,0))),"")="Location-based",IFERROR(IF(INDEX('Factors'!$J$9:$J$108,MATCH(K97,'Factors'!$C$9:$C$108,0))="","",INDEX('Factors'!$J$9:$J$108,MATCH(K97,'Factors'!$C$9:$C$108,0))),"")=G97,OR(IFERROR(IF(INDEX('Factors'!$E$9:$E$108,MATCH(K97,'Factors'!$C$9:$C$108,0))="","",INDEX('Factors'!$E$9:$E$108,MATCH(K97,'Factors'!$C$9:$C$108,0))),"")="Global",IFERROR(IF(INDEX('Factors'!$E$9:$E$108,MATCH(K97,'Factors'!$C$9:$C$108,0))="","",INDEX('Factors'!$E$9:$E$108,MATCH(K97,'Factors'!$C$9:$C$108,0))),"")=D97)),"Ready","Factor / unit review"))))))))</x:f>
      </x:c>
      <x:c r="Z97" s="9" t="str">
        <x:f>IF(C97="","",IF(F97="No","Outside control",IF(F97&lt;&gt;"Yes","Control review",IF($H$6="No","Not required",IF($H$6&lt;&gt;"Yes","Applicability review",IF(Y97&lt;&gt;"Ready",Y97,IF(OR(NOT(ISNUMBER(M97)),M97&lt;0,M97&gt;J97),"Contract quantity review",IF(AND(M97&gt;0,OR(O97&lt;&gt;"Pass",P97="",NOT(AND(IFERROR(IF(INDEX('Factors'!$P$9:$P$108,MATCH(N97,'Factors'!$C$9:$C$108,0))="","",INDEX('Factors'!$P$9:$P$108,MATCH(N97,'Factors'!$C$9:$C$108,0))),"")="Ready",IFERROR(IF(INDEX('Factors'!$F$9:$F$108,MATCH(N97,'Factors'!$C$9:$C$108,0))="","",INDEX('Factors'!$F$9:$F$108,MATCH(N97,'Factors'!$C$9:$C$108,0))),"")="kWh",IFERROR(IF(INDEX('Factors'!$H$9:$H$108,MATCH(N97,'Factors'!$C$9:$C$108,0))="","",INDEX('Factors'!$H$9:$H$108,MATCH(N97,'Factors'!$C$9:$C$108,0))),"")="S2",IFERROR(IF(INDEX('Factors'!$I$9:$I$108,MATCH(N97,'Factors'!$C$9:$C$108,0))="","",INDEX('Factors'!$I$9:$I$108,MATCH(N97,'Factors'!$C$9:$C$108,0))),"")="Market-based",IFERROR(IF(INDEX('Factors'!$J$9:$J$108,MATCH(N97,'Factors'!$C$9:$C$108,0))="","",INDEX('Factors'!$J$9:$J$108,MATCH(N97,'Factors'!$C$9:$C$108,0))),"")=G97,OR(IFERROR(IF(INDEX('Factors'!$E$9:$E$108,MATCH(N97,'Factors'!$C$9:$C$108,0))="","",INDEX('Factors'!$E$9:$E$108,MATCH(N97,'Factors'!$C$9:$C$108,0))),"")="Global",IFERROR(IF(INDEX('Factors'!$E$9:$E$108,MATCH(N97,'Factors'!$C$9:$C$108,0))="","",INDEX('Factors'!$E$9:$E$108,MATCH(N97,'Factors'!$C$9:$C$108,0))),"")=D97))))),"Contract criteria review",IF(M97=J97,"Ready",IF(Q97="No","Grid fallback",IF(Q97="Yes",IF(AND(IFERROR(IF(INDEX('Factors'!$P$9:$P$108,MATCH(R97,'Factors'!$C$9:$C$108,0))="","",INDEX('Factors'!$P$9:$P$108,MATCH(R97,'Factors'!$C$9:$C$108,0))),"")="Ready",IFERROR(IF(INDEX('Factors'!$F$9:$F$108,MATCH(R97,'Factors'!$C$9:$C$108,0))="","",INDEX('Factors'!$F$9:$F$108,MATCH(R97,'Factors'!$C$9:$C$108,0))),"")="kWh",IFERROR(IF(INDEX('Factors'!$H$9:$H$108,MATCH(R97,'Factors'!$C$9:$C$108,0))="","",INDEX('Factors'!$H$9:$H$108,MATCH(R97,'Factors'!$C$9:$C$108,0))),"")="S2",IFERROR(IF(INDEX('Factors'!$I$9:$I$108,MATCH(R97,'Factors'!$C$9:$C$108,0))="","",INDEX('Factors'!$I$9:$I$108,MATCH(R97,'Factors'!$C$9:$C$108,0))),"")="Residual mix",IFERROR(IF(INDEX('Factors'!$J$9:$J$108,MATCH(R97,'Factors'!$C$9:$C$108,0))="","",INDEX('Factors'!$J$9:$J$108,MATCH(R97,'Factors'!$C$9:$C$108,0))),"")=G97,OR(IFERROR(IF(INDEX('Factors'!$E$9:$E$108,MATCH(R97,'Factors'!$C$9:$C$108,0))="","",INDEX('Factors'!$E$9:$E$108,MATCH(R97,'Factors'!$C$9:$C$108,0))),"")="Global",IFERROR(IF(INDEX('Factors'!$E$9:$E$108,MATCH(R97,'Factors'!$C$9:$C$108,0))="","",INDEX('Factors'!$E$9:$E$108,MATCH(R97,'Factors'!$C$9:$C$108,0))),"")=D97)),"Ready","Residual factor review"),"Residual availability review")))))))))))</x:f>
      </x:c>
      <x:c r="AA97" s="8"/>
      <x:c r="AB97" s="16"/>
      <x:c r="AC97" s="8"/>
    </x:row>
    <x:row r="98" ht="36" customHeight="1">
      <x:c r="A98" s="1"/>
      <x:c r="B98" s="1"/>
      <x:c r="C98" s="8"/>
      <x:c r="D98" s="8"/>
      <x:c r="E98" s="8"/>
      <x:c r="F98" s="8"/>
      <x:c r="G98" s="22"/>
      <x:c r="H98" s="16"/>
      <x:c r="I98" s="8"/>
      <x:c r="J98" s="16"/>
      <x:c r="K98" s="8"/>
      <x:c r="L98" s="8"/>
      <x:c r="M98" s="16"/>
      <x:c r="N98" s="8"/>
      <x:c r="O98" s="8"/>
      <x:c r="P98" s="8"/>
      <x:c r="Q98" s="8"/>
      <x:c r="R98" s="8"/>
      <x:c r="S98" s="8"/>
      <x:c r="T98" s="40"/>
      <x:c r="U98" s="23" t="str">
        <x:f>IF(X98="Ready",H98*IFERROR(IF(INDEX('Factors'!$G$9:$G$108,MATCH(I98,'Factors'!$C$9:$C$108,0))="","",INDEX('Factors'!$G$9:$G$108,MATCH(I98,'Factors'!$C$9:$C$108,0))),"")/1000+AB98,"")</x:f>
      </x:c>
      <x:c r="V98" s="23" t="str">
        <x:f>IF(Y98="Ready",J98*IFERROR(IF(INDEX('Factors'!$G$9:$G$108,MATCH(K98,'Factors'!$C$9:$C$108,0))="","",INDEX('Factors'!$G$9:$G$108,MATCH(K98,'Factors'!$C$9:$C$108,0))),"")/1000,"")</x:f>
      </x:c>
      <x:c r="W98" s="23" t="str">
        <x:f>IF(OR(Z98="Ready",Z98="Grid fallback"),(IF(M98&gt;0,M98*IFERROR(IF(INDEX('Factors'!$G$9:$G$108,MATCH(N98,'Factors'!$C$9:$C$108,0))="","",INDEX('Factors'!$G$9:$G$108,MATCH(N98,'Factors'!$C$9:$C$108,0))),""),0)+(J98-M98)*IF(M98=J98,0,IF(Q98="No",IFERROR(IF(INDEX('Factors'!$G$9:$G$108,MATCH(K98,'Factors'!$C$9:$C$108,0))="","",INDEX('Factors'!$G$9:$G$108,MATCH(K98,'Factors'!$C$9:$C$108,0))),""),IFERROR(IF(INDEX('Factors'!$G$9:$G$108,MATCH(R98,'Factors'!$C$9:$C$108,0))="","",INDEX('Factors'!$G$9:$G$108,MATCH(R98,'Factors'!$C$9:$C$108,0))),""))))/1000,"")</x:f>
      </x:c>
      <x:c r="X98" s="9" t="str">
        <x:f>IF(C98="","",IF(AND($D$6&lt;&gt;"Operational control",$D$6&lt;&gt;"Financial control"),"Control basis required",IF(F98="No","Outside control",IF(F98&lt;&gt;"Yes","Control review",IF(COUNTIFS($C$9:$C$108,C98)&lt;&gt;1,"Duplicate operation ID",IF(OR(S98="",NOT(ISNUMBER(T98)),T98&lt;'Settings'!$F$8,NOT(ISNUMBER(G98)),G98&lt;&gt;YEAR('Settings'!$F$8)),"Evidence / period review",IF(OR(NOT(ISNUMBER(H98)),H98&lt;0,AA98&lt;&gt;"Yes",NOT(ISNUMBER(AB98)),AB98&lt;0,AC98=""),"Activity required",IF(AND(IFERROR(IF(INDEX('Factors'!$P$9:$P$108,MATCH(I98,'Factors'!$C$9:$C$108,0))="","",INDEX('Factors'!$P$9:$P$108,MATCH(I98,'Factors'!$C$9:$C$108,0))),"")="Ready",IFERROR(IF(INDEX('Factors'!$F$9:$F$108,MATCH(I98,'Factors'!$C$9:$C$108,0))="","",INDEX('Factors'!$F$9:$F$108,MATCH(I98,'Factors'!$C$9:$C$108,0))),"")="litre",IFERROR(IF(INDEX('Factors'!$H$9:$H$108,MATCH(I98,'Factors'!$C$9:$C$108,0))="","",INDEX('Factors'!$H$9:$H$108,MATCH(I98,'Factors'!$C$9:$C$108,0))),"")="S1",IFERROR(IF(INDEX('Factors'!$I$9:$I$108,MATCH(I98,'Factors'!$C$9:$C$108,0))="","",INDEX('Factors'!$I$9:$I$108,MATCH(I98,'Factors'!$C$9:$C$108,0))),"")="Combustion",IFERROR(IF(INDEX('Factors'!$J$9:$J$108,MATCH(I98,'Factors'!$C$9:$C$108,0))="","",INDEX('Factors'!$J$9:$J$108,MATCH(I98,'Factors'!$C$9:$C$108,0))),"")=G98,OR(IFERROR(IF(INDEX('Factors'!$E$9:$E$108,MATCH(I98,'Factors'!$C$9:$C$108,0))="","",INDEX('Factors'!$E$9:$E$108,MATCH(I98,'Factors'!$C$9:$C$108,0))),"")="Global",IFERROR(IF(INDEX('Factors'!$E$9:$E$108,MATCH(I98,'Factors'!$C$9:$C$108,0))="","",INDEX('Factors'!$E$9:$E$108,MATCH(I98,'Factors'!$C$9:$C$108,0))),"")=D98)),"Ready","Factor / unit review"))))))))</x:f>
      </x:c>
      <x:c r="Y98" s="9" t="str">
        <x:f>IF(C98="","",IF(AND($D$6&lt;&gt;"Operational control",$D$6&lt;&gt;"Financial control"),"Control basis required",IF(F98="No","Outside control",IF(F98&lt;&gt;"Yes","Control review",IF(COUNTIFS($C$9:$C$108,C98)&lt;&gt;1,"Duplicate operation ID",IF(OR(S98="",NOT(ISNUMBER(T98)),T98&lt;'Settings'!$F$8,NOT(ISNUMBER(G98)),G98&lt;&gt;YEAR('Settings'!$F$8)),"Evidence / period review",IF(OR(NOT(ISNUMBER(J98)),J98&lt;0),"Activity required",IF(AND(IFERROR(IF(INDEX('Factors'!$P$9:$P$108,MATCH(K98,'Factors'!$C$9:$C$108,0))="","",INDEX('Factors'!$P$9:$P$108,MATCH(K98,'Factors'!$C$9:$C$108,0))),"")="Ready",IFERROR(IF(INDEX('Factors'!$F$9:$F$108,MATCH(K98,'Factors'!$C$9:$C$108,0))="","",INDEX('Factors'!$F$9:$F$108,MATCH(K98,'Factors'!$C$9:$C$108,0))),"")="kWh",IFERROR(IF(INDEX('Factors'!$H$9:$H$108,MATCH(K98,'Factors'!$C$9:$C$108,0))="","",INDEX('Factors'!$H$9:$H$108,MATCH(K98,'Factors'!$C$9:$C$108,0))),"")="S2",IFERROR(IF(INDEX('Factors'!$I$9:$I$108,MATCH(K98,'Factors'!$C$9:$C$108,0))="","",INDEX('Factors'!$I$9:$I$108,MATCH(K98,'Factors'!$C$9:$C$108,0))),"")="Location-based",IFERROR(IF(INDEX('Factors'!$J$9:$J$108,MATCH(K98,'Factors'!$C$9:$C$108,0))="","",INDEX('Factors'!$J$9:$J$108,MATCH(K98,'Factors'!$C$9:$C$108,0))),"")=G98,OR(IFERROR(IF(INDEX('Factors'!$E$9:$E$108,MATCH(K98,'Factors'!$C$9:$C$108,0))="","",INDEX('Factors'!$E$9:$E$108,MATCH(K98,'Factors'!$C$9:$C$108,0))),"")="Global",IFERROR(IF(INDEX('Factors'!$E$9:$E$108,MATCH(K98,'Factors'!$C$9:$C$108,0))="","",INDEX('Factors'!$E$9:$E$108,MATCH(K98,'Factors'!$C$9:$C$108,0))),"")=D98)),"Ready","Factor / unit review"))))))))</x:f>
      </x:c>
      <x:c r="Z98" s="9" t="str">
        <x:f>IF(C98="","",IF(F98="No","Outside control",IF(F98&lt;&gt;"Yes","Control review",IF($H$6="No","Not required",IF($H$6&lt;&gt;"Yes","Applicability review",IF(Y98&lt;&gt;"Ready",Y98,IF(OR(NOT(ISNUMBER(M98)),M98&lt;0,M98&gt;J98),"Contract quantity review",IF(AND(M98&gt;0,OR(O98&lt;&gt;"Pass",P98="",NOT(AND(IFERROR(IF(INDEX('Factors'!$P$9:$P$108,MATCH(N98,'Factors'!$C$9:$C$108,0))="","",INDEX('Factors'!$P$9:$P$108,MATCH(N98,'Factors'!$C$9:$C$108,0))),"")="Ready",IFERROR(IF(INDEX('Factors'!$F$9:$F$108,MATCH(N98,'Factors'!$C$9:$C$108,0))="","",INDEX('Factors'!$F$9:$F$108,MATCH(N98,'Factors'!$C$9:$C$108,0))),"")="kWh",IFERROR(IF(INDEX('Factors'!$H$9:$H$108,MATCH(N98,'Factors'!$C$9:$C$108,0))="","",INDEX('Factors'!$H$9:$H$108,MATCH(N98,'Factors'!$C$9:$C$108,0))),"")="S2",IFERROR(IF(INDEX('Factors'!$I$9:$I$108,MATCH(N98,'Factors'!$C$9:$C$108,0))="","",INDEX('Factors'!$I$9:$I$108,MATCH(N98,'Factors'!$C$9:$C$108,0))),"")="Market-based",IFERROR(IF(INDEX('Factors'!$J$9:$J$108,MATCH(N98,'Factors'!$C$9:$C$108,0))="","",INDEX('Factors'!$J$9:$J$108,MATCH(N98,'Factors'!$C$9:$C$108,0))),"")=G98,OR(IFERROR(IF(INDEX('Factors'!$E$9:$E$108,MATCH(N98,'Factors'!$C$9:$C$108,0))="","",INDEX('Factors'!$E$9:$E$108,MATCH(N98,'Factors'!$C$9:$C$108,0))),"")="Global",IFERROR(IF(INDEX('Factors'!$E$9:$E$108,MATCH(N98,'Factors'!$C$9:$C$108,0))="","",INDEX('Factors'!$E$9:$E$108,MATCH(N98,'Factors'!$C$9:$C$108,0))),"")=D98))))),"Contract criteria review",IF(M98=J98,"Ready",IF(Q98="No","Grid fallback",IF(Q98="Yes",IF(AND(IFERROR(IF(INDEX('Factors'!$P$9:$P$108,MATCH(R98,'Factors'!$C$9:$C$108,0))="","",INDEX('Factors'!$P$9:$P$108,MATCH(R98,'Factors'!$C$9:$C$108,0))),"")="Ready",IFERROR(IF(INDEX('Factors'!$F$9:$F$108,MATCH(R98,'Factors'!$C$9:$C$108,0))="","",INDEX('Factors'!$F$9:$F$108,MATCH(R98,'Factors'!$C$9:$C$108,0))),"")="kWh",IFERROR(IF(INDEX('Factors'!$H$9:$H$108,MATCH(R98,'Factors'!$C$9:$C$108,0))="","",INDEX('Factors'!$H$9:$H$108,MATCH(R98,'Factors'!$C$9:$C$108,0))),"")="S2",IFERROR(IF(INDEX('Factors'!$I$9:$I$108,MATCH(R98,'Factors'!$C$9:$C$108,0))="","",INDEX('Factors'!$I$9:$I$108,MATCH(R98,'Factors'!$C$9:$C$108,0))),"")="Residual mix",IFERROR(IF(INDEX('Factors'!$J$9:$J$108,MATCH(R98,'Factors'!$C$9:$C$108,0))="","",INDEX('Factors'!$J$9:$J$108,MATCH(R98,'Factors'!$C$9:$C$108,0))),"")=G98,OR(IFERROR(IF(INDEX('Factors'!$E$9:$E$108,MATCH(R98,'Factors'!$C$9:$C$108,0))="","",INDEX('Factors'!$E$9:$E$108,MATCH(R98,'Factors'!$C$9:$C$108,0))),"")="Global",IFERROR(IF(INDEX('Factors'!$E$9:$E$108,MATCH(R98,'Factors'!$C$9:$C$108,0))="","",INDEX('Factors'!$E$9:$E$108,MATCH(R98,'Factors'!$C$9:$C$108,0))),"")=D98)),"Ready","Residual factor review"),"Residual availability review")))))))))))</x:f>
      </x:c>
      <x:c r="AA98" s="8"/>
      <x:c r="AB98" s="16"/>
      <x:c r="AC98" s="8"/>
    </x:row>
    <x:row r="99" ht="36" customHeight="1">
      <x:c r="A99" s="1"/>
      <x:c r="B99" s="1"/>
      <x:c r="C99" s="8"/>
      <x:c r="D99" s="8"/>
      <x:c r="E99" s="8"/>
      <x:c r="F99" s="8"/>
      <x:c r="G99" s="22"/>
      <x:c r="H99" s="16"/>
      <x:c r="I99" s="8"/>
      <x:c r="J99" s="16"/>
      <x:c r="K99" s="8"/>
      <x:c r="L99" s="8"/>
      <x:c r="M99" s="16"/>
      <x:c r="N99" s="8"/>
      <x:c r="O99" s="8"/>
      <x:c r="P99" s="8"/>
      <x:c r="Q99" s="8"/>
      <x:c r="R99" s="8"/>
      <x:c r="S99" s="8"/>
      <x:c r="T99" s="40"/>
      <x:c r="U99" s="23" t="str">
        <x:f>IF(X99="Ready",H99*IFERROR(IF(INDEX('Factors'!$G$9:$G$108,MATCH(I99,'Factors'!$C$9:$C$108,0))="","",INDEX('Factors'!$G$9:$G$108,MATCH(I99,'Factors'!$C$9:$C$108,0))),"")/1000+AB99,"")</x:f>
      </x:c>
      <x:c r="V99" s="23" t="str">
        <x:f>IF(Y99="Ready",J99*IFERROR(IF(INDEX('Factors'!$G$9:$G$108,MATCH(K99,'Factors'!$C$9:$C$108,0))="","",INDEX('Factors'!$G$9:$G$108,MATCH(K99,'Factors'!$C$9:$C$108,0))),"")/1000,"")</x:f>
      </x:c>
      <x:c r="W99" s="23" t="str">
        <x:f>IF(OR(Z99="Ready",Z99="Grid fallback"),(IF(M99&gt;0,M99*IFERROR(IF(INDEX('Factors'!$G$9:$G$108,MATCH(N99,'Factors'!$C$9:$C$108,0))="","",INDEX('Factors'!$G$9:$G$108,MATCH(N99,'Factors'!$C$9:$C$108,0))),""),0)+(J99-M99)*IF(M99=J99,0,IF(Q99="No",IFERROR(IF(INDEX('Factors'!$G$9:$G$108,MATCH(K99,'Factors'!$C$9:$C$108,0))="","",INDEX('Factors'!$G$9:$G$108,MATCH(K99,'Factors'!$C$9:$C$108,0))),""),IFERROR(IF(INDEX('Factors'!$G$9:$G$108,MATCH(R99,'Factors'!$C$9:$C$108,0))="","",INDEX('Factors'!$G$9:$G$108,MATCH(R99,'Factors'!$C$9:$C$108,0))),""))))/1000,"")</x:f>
      </x:c>
      <x:c r="X99" s="9" t="str">
        <x:f>IF(C99="","",IF(AND($D$6&lt;&gt;"Operational control",$D$6&lt;&gt;"Financial control"),"Control basis required",IF(F99="No","Outside control",IF(F99&lt;&gt;"Yes","Control review",IF(COUNTIFS($C$9:$C$108,C99)&lt;&gt;1,"Duplicate operation ID",IF(OR(S99="",NOT(ISNUMBER(T99)),T99&lt;'Settings'!$F$8,NOT(ISNUMBER(G99)),G99&lt;&gt;YEAR('Settings'!$F$8)),"Evidence / period review",IF(OR(NOT(ISNUMBER(H99)),H99&lt;0,AA99&lt;&gt;"Yes",NOT(ISNUMBER(AB99)),AB99&lt;0,AC99=""),"Activity required",IF(AND(IFERROR(IF(INDEX('Factors'!$P$9:$P$108,MATCH(I99,'Factors'!$C$9:$C$108,0))="","",INDEX('Factors'!$P$9:$P$108,MATCH(I99,'Factors'!$C$9:$C$108,0))),"")="Ready",IFERROR(IF(INDEX('Factors'!$F$9:$F$108,MATCH(I99,'Factors'!$C$9:$C$108,0))="","",INDEX('Factors'!$F$9:$F$108,MATCH(I99,'Factors'!$C$9:$C$108,0))),"")="litre",IFERROR(IF(INDEX('Factors'!$H$9:$H$108,MATCH(I99,'Factors'!$C$9:$C$108,0))="","",INDEX('Factors'!$H$9:$H$108,MATCH(I99,'Factors'!$C$9:$C$108,0))),"")="S1",IFERROR(IF(INDEX('Factors'!$I$9:$I$108,MATCH(I99,'Factors'!$C$9:$C$108,0))="","",INDEX('Factors'!$I$9:$I$108,MATCH(I99,'Factors'!$C$9:$C$108,0))),"")="Combustion",IFERROR(IF(INDEX('Factors'!$J$9:$J$108,MATCH(I99,'Factors'!$C$9:$C$108,0))="","",INDEX('Factors'!$J$9:$J$108,MATCH(I99,'Factors'!$C$9:$C$108,0))),"")=G99,OR(IFERROR(IF(INDEX('Factors'!$E$9:$E$108,MATCH(I99,'Factors'!$C$9:$C$108,0))="","",INDEX('Factors'!$E$9:$E$108,MATCH(I99,'Factors'!$C$9:$C$108,0))),"")="Global",IFERROR(IF(INDEX('Factors'!$E$9:$E$108,MATCH(I99,'Factors'!$C$9:$C$108,0))="","",INDEX('Factors'!$E$9:$E$108,MATCH(I99,'Factors'!$C$9:$C$108,0))),"")=D99)),"Ready","Factor / unit review"))))))))</x:f>
      </x:c>
      <x:c r="Y99" s="9" t="str">
        <x:f>IF(C99="","",IF(AND($D$6&lt;&gt;"Operational control",$D$6&lt;&gt;"Financial control"),"Control basis required",IF(F99="No","Outside control",IF(F99&lt;&gt;"Yes","Control review",IF(COUNTIFS($C$9:$C$108,C99)&lt;&gt;1,"Duplicate operation ID",IF(OR(S99="",NOT(ISNUMBER(T99)),T99&lt;'Settings'!$F$8,NOT(ISNUMBER(G99)),G99&lt;&gt;YEAR('Settings'!$F$8)),"Evidence / period review",IF(OR(NOT(ISNUMBER(J99)),J99&lt;0),"Activity required",IF(AND(IFERROR(IF(INDEX('Factors'!$P$9:$P$108,MATCH(K99,'Factors'!$C$9:$C$108,0))="","",INDEX('Factors'!$P$9:$P$108,MATCH(K99,'Factors'!$C$9:$C$108,0))),"")="Ready",IFERROR(IF(INDEX('Factors'!$F$9:$F$108,MATCH(K99,'Factors'!$C$9:$C$108,0))="","",INDEX('Factors'!$F$9:$F$108,MATCH(K99,'Factors'!$C$9:$C$108,0))),"")="kWh",IFERROR(IF(INDEX('Factors'!$H$9:$H$108,MATCH(K99,'Factors'!$C$9:$C$108,0))="","",INDEX('Factors'!$H$9:$H$108,MATCH(K99,'Factors'!$C$9:$C$108,0))),"")="S2",IFERROR(IF(INDEX('Factors'!$I$9:$I$108,MATCH(K99,'Factors'!$C$9:$C$108,0))="","",INDEX('Factors'!$I$9:$I$108,MATCH(K99,'Factors'!$C$9:$C$108,0))),"")="Location-based",IFERROR(IF(INDEX('Factors'!$J$9:$J$108,MATCH(K99,'Factors'!$C$9:$C$108,0))="","",INDEX('Factors'!$J$9:$J$108,MATCH(K99,'Factors'!$C$9:$C$108,0))),"")=G99,OR(IFERROR(IF(INDEX('Factors'!$E$9:$E$108,MATCH(K99,'Factors'!$C$9:$C$108,0))="","",INDEX('Factors'!$E$9:$E$108,MATCH(K99,'Factors'!$C$9:$C$108,0))),"")="Global",IFERROR(IF(INDEX('Factors'!$E$9:$E$108,MATCH(K99,'Factors'!$C$9:$C$108,0))="","",INDEX('Factors'!$E$9:$E$108,MATCH(K99,'Factors'!$C$9:$C$108,0))),"")=D99)),"Ready","Factor / unit review"))))))))</x:f>
      </x:c>
      <x:c r="Z99" s="9" t="str">
        <x:f>IF(C99="","",IF(F99="No","Outside control",IF(F99&lt;&gt;"Yes","Control review",IF($H$6="No","Not required",IF($H$6&lt;&gt;"Yes","Applicability review",IF(Y99&lt;&gt;"Ready",Y99,IF(OR(NOT(ISNUMBER(M99)),M99&lt;0,M99&gt;J99),"Contract quantity review",IF(AND(M99&gt;0,OR(O99&lt;&gt;"Pass",P99="",NOT(AND(IFERROR(IF(INDEX('Factors'!$P$9:$P$108,MATCH(N99,'Factors'!$C$9:$C$108,0))="","",INDEX('Factors'!$P$9:$P$108,MATCH(N99,'Factors'!$C$9:$C$108,0))),"")="Ready",IFERROR(IF(INDEX('Factors'!$F$9:$F$108,MATCH(N99,'Factors'!$C$9:$C$108,0))="","",INDEX('Factors'!$F$9:$F$108,MATCH(N99,'Factors'!$C$9:$C$108,0))),"")="kWh",IFERROR(IF(INDEX('Factors'!$H$9:$H$108,MATCH(N99,'Factors'!$C$9:$C$108,0))="","",INDEX('Factors'!$H$9:$H$108,MATCH(N99,'Factors'!$C$9:$C$108,0))),"")="S2",IFERROR(IF(INDEX('Factors'!$I$9:$I$108,MATCH(N99,'Factors'!$C$9:$C$108,0))="","",INDEX('Factors'!$I$9:$I$108,MATCH(N99,'Factors'!$C$9:$C$108,0))),"")="Market-based",IFERROR(IF(INDEX('Factors'!$J$9:$J$108,MATCH(N99,'Factors'!$C$9:$C$108,0))="","",INDEX('Factors'!$J$9:$J$108,MATCH(N99,'Factors'!$C$9:$C$108,0))),"")=G99,OR(IFERROR(IF(INDEX('Factors'!$E$9:$E$108,MATCH(N99,'Factors'!$C$9:$C$108,0))="","",INDEX('Factors'!$E$9:$E$108,MATCH(N99,'Factors'!$C$9:$C$108,0))),"")="Global",IFERROR(IF(INDEX('Factors'!$E$9:$E$108,MATCH(N99,'Factors'!$C$9:$C$108,0))="","",INDEX('Factors'!$E$9:$E$108,MATCH(N99,'Factors'!$C$9:$C$108,0))),"")=D99))))),"Contract criteria review",IF(M99=J99,"Ready",IF(Q99="No","Grid fallback",IF(Q99="Yes",IF(AND(IFERROR(IF(INDEX('Factors'!$P$9:$P$108,MATCH(R99,'Factors'!$C$9:$C$108,0))="","",INDEX('Factors'!$P$9:$P$108,MATCH(R99,'Factors'!$C$9:$C$108,0))),"")="Ready",IFERROR(IF(INDEX('Factors'!$F$9:$F$108,MATCH(R99,'Factors'!$C$9:$C$108,0))="","",INDEX('Factors'!$F$9:$F$108,MATCH(R99,'Factors'!$C$9:$C$108,0))),"")="kWh",IFERROR(IF(INDEX('Factors'!$H$9:$H$108,MATCH(R99,'Factors'!$C$9:$C$108,0))="","",INDEX('Factors'!$H$9:$H$108,MATCH(R99,'Factors'!$C$9:$C$108,0))),"")="S2",IFERROR(IF(INDEX('Factors'!$I$9:$I$108,MATCH(R99,'Factors'!$C$9:$C$108,0))="","",INDEX('Factors'!$I$9:$I$108,MATCH(R99,'Factors'!$C$9:$C$108,0))),"")="Residual mix",IFERROR(IF(INDEX('Factors'!$J$9:$J$108,MATCH(R99,'Factors'!$C$9:$C$108,0))="","",INDEX('Factors'!$J$9:$J$108,MATCH(R99,'Factors'!$C$9:$C$108,0))),"")=G99,OR(IFERROR(IF(INDEX('Factors'!$E$9:$E$108,MATCH(R99,'Factors'!$C$9:$C$108,0))="","",INDEX('Factors'!$E$9:$E$108,MATCH(R99,'Factors'!$C$9:$C$108,0))),"")="Global",IFERROR(IF(INDEX('Factors'!$E$9:$E$108,MATCH(R99,'Factors'!$C$9:$C$108,0))="","",INDEX('Factors'!$E$9:$E$108,MATCH(R99,'Factors'!$C$9:$C$108,0))),"")=D99)),"Ready","Residual factor review"),"Residual availability review")))))))))))</x:f>
      </x:c>
      <x:c r="AA99" s="8"/>
      <x:c r="AB99" s="16"/>
      <x:c r="AC99" s="8"/>
    </x:row>
    <x:row r="100" ht="36" customHeight="1">
      <x:c r="A100" s="1"/>
      <x:c r="B100" s="1"/>
      <x:c r="C100" s="8"/>
      <x:c r="D100" s="8"/>
      <x:c r="E100" s="8"/>
      <x:c r="F100" s="8"/>
      <x:c r="G100" s="22"/>
      <x:c r="H100" s="16"/>
      <x:c r="I100" s="8"/>
      <x:c r="J100" s="16"/>
      <x:c r="K100" s="8"/>
      <x:c r="L100" s="8"/>
      <x:c r="M100" s="16"/>
      <x:c r="N100" s="8"/>
      <x:c r="O100" s="8"/>
      <x:c r="P100" s="8"/>
      <x:c r="Q100" s="8"/>
      <x:c r="R100" s="8"/>
      <x:c r="S100" s="8"/>
      <x:c r="T100" s="40"/>
      <x:c r="U100" s="23" t="str">
        <x:f>IF(X100="Ready",H100*IFERROR(IF(INDEX('Factors'!$G$9:$G$108,MATCH(I100,'Factors'!$C$9:$C$108,0))="","",INDEX('Factors'!$G$9:$G$108,MATCH(I100,'Factors'!$C$9:$C$108,0))),"")/1000+AB100,"")</x:f>
      </x:c>
      <x:c r="V100" s="23" t="str">
        <x:f>IF(Y100="Ready",J100*IFERROR(IF(INDEX('Factors'!$G$9:$G$108,MATCH(K100,'Factors'!$C$9:$C$108,0))="","",INDEX('Factors'!$G$9:$G$108,MATCH(K100,'Factors'!$C$9:$C$108,0))),"")/1000,"")</x:f>
      </x:c>
      <x:c r="W100" s="23" t="str">
        <x:f>IF(OR(Z100="Ready",Z100="Grid fallback"),(IF(M100&gt;0,M100*IFERROR(IF(INDEX('Factors'!$G$9:$G$108,MATCH(N100,'Factors'!$C$9:$C$108,0))="","",INDEX('Factors'!$G$9:$G$108,MATCH(N100,'Factors'!$C$9:$C$108,0))),""),0)+(J100-M100)*IF(M100=J100,0,IF(Q100="No",IFERROR(IF(INDEX('Factors'!$G$9:$G$108,MATCH(K100,'Factors'!$C$9:$C$108,0))="","",INDEX('Factors'!$G$9:$G$108,MATCH(K100,'Factors'!$C$9:$C$108,0))),""),IFERROR(IF(INDEX('Factors'!$G$9:$G$108,MATCH(R100,'Factors'!$C$9:$C$108,0))="","",INDEX('Factors'!$G$9:$G$108,MATCH(R100,'Factors'!$C$9:$C$108,0))),""))))/1000,"")</x:f>
      </x:c>
      <x:c r="X100" s="9" t="str">
        <x:f>IF(C100="","",IF(AND($D$6&lt;&gt;"Operational control",$D$6&lt;&gt;"Financial control"),"Control basis required",IF(F100="No","Outside control",IF(F100&lt;&gt;"Yes","Control review",IF(COUNTIFS($C$9:$C$108,C100)&lt;&gt;1,"Duplicate operation ID",IF(OR(S100="",NOT(ISNUMBER(T100)),T100&lt;'Settings'!$F$8,NOT(ISNUMBER(G100)),G100&lt;&gt;YEAR('Settings'!$F$8)),"Evidence / period review",IF(OR(NOT(ISNUMBER(H100)),H100&lt;0,AA100&lt;&gt;"Yes",NOT(ISNUMBER(AB100)),AB100&lt;0,AC100=""),"Activity required",IF(AND(IFERROR(IF(INDEX('Factors'!$P$9:$P$108,MATCH(I100,'Factors'!$C$9:$C$108,0))="","",INDEX('Factors'!$P$9:$P$108,MATCH(I100,'Factors'!$C$9:$C$108,0))),"")="Ready",IFERROR(IF(INDEX('Factors'!$F$9:$F$108,MATCH(I100,'Factors'!$C$9:$C$108,0))="","",INDEX('Factors'!$F$9:$F$108,MATCH(I100,'Factors'!$C$9:$C$108,0))),"")="litre",IFERROR(IF(INDEX('Factors'!$H$9:$H$108,MATCH(I100,'Factors'!$C$9:$C$108,0))="","",INDEX('Factors'!$H$9:$H$108,MATCH(I100,'Factors'!$C$9:$C$108,0))),"")="S1",IFERROR(IF(INDEX('Factors'!$I$9:$I$108,MATCH(I100,'Factors'!$C$9:$C$108,0))="","",INDEX('Factors'!$I$9:$I$108,MATCH(I100,'Factors'!$C$9:$C$108,0))),"")="Combustion",IFERROR(IF(INDEX('Factors'!$J$9:$J$108,MATCH(I100,'Factors'!$C$9:$C$108,0))="","",INDEX('Factors'!$J$9:$J$108,MATCH(I100,'Factors'!$C$9:$C$108,0))),"")=G100,OR(IFERROR(IF(INDEX('Factors'!$E$9:$E$108,MATCH(I100,'Factors'!$C$9:$C$108,0))="","",INDEX('Factors'!$E$9:$E$108,MATCH(I100,'Factors'!$C$9:$C$108,0))),"")="Global",IFERROR(IF(INDEX('Factors'!$E$9:$E$108,MATCH(I100,'Factors'!$C$9:$C$108,0))="","",INDEX('Factors'!$E$9:$E$108,MATCH(I100,'Factors'!$C$9:$C$108,0))),"")=D100)),"Ready","Factor / unit review"))))))))</x:f>
      </x:c>
      <x:c r="Y100" s="9" t="str">
        <x:f>IF(C100="","",IF(AND($D$6&lt;&gt;"Operational control",$D$6&lt;&gt;"Financial control"),"Control basis required",IF(F100="No","Outside control",IF(F100&lt;&gt;"Yes","Control review",IF(COUNTIFS($C$9:$C$108,C100)&lt;&gt;1,"Duplicate operation ID",IF(OR(S100="",NOT(ISNUMBER(T100)),T100&lt;'Settings'!$F$8,NOT(ISNUMBER(G100)),G100&lt;&gt;YEAR('Settings'!$F$8)),"Evidence / period review",IF(OR(NOT(ISNUMBER(J100)),J100&lt;0),"Activity required",IF(AND(IFERROR(IF(INDEX('Factors'!$P$9:$P$108,MATCH(K100,'Factors'!$C$9:$C$108,0))="","",INDEX('Factors'!$P$9:$P$108,MATCH(K100,'Factors'!$C$9:$C$108,0))),"")="Ready",IFERROR(IF(INDEX('Factors'!$F$9:$F$108,MATCH(K100,'Factors'!$C$9:$C$108,0))="","",INDEX('Factors'!$F$9:$F$108,MATCH(K100,'Factors'!$C$9:$C$108,0))),"")="kWh",IFERROR(IF(INDEX('Factors'!$H$9:$H$108,MATCH(K100,'Factors'!$C$9:$C$108,0))="","",INDEX('Factors'!$H$9:$H$108,MATCH(K100,'Factors'!$C$9:$C$108,0))),"")="S2",IFERROR(IF(INDEX('Factors'!$I$9:$I$108,MATCH(K100,'Factors'!$C$9:$C$108,0))="","",INDEX('Factors'!$I$9:$I$108,MATCH(K100,'Factors'!$C$9:$C$108,0))),"")="Location-based",IFERROR(IF(INDEX('Factors'!$J$9:$J$108,MATCH(K100,'Factors'!$C$9:$C$108,0))="","",INDEX('Factors'!$J$9:$J$108,MATCH(K100,'Factors'!$C$9:$C$108,0))),"")=G100,OR(IFERROR(IF(INDEX('Factors'!$E$9:$E$108,MATCH(K100,'Factors'!$C$9:$C$108,0))="","",INDEX('Factors'!$E$9:$E$108,MATCH(K100,'Factors'!$C$9:$C$108,0))),"")="Global",IFERROR(IF(INDEX('Factors'!$E$9:$E$108,MATCH(K100,'Factors'!$C$9:$C$108,0))="","",INDEX('Factors'!$E$9:$E$108,MATCH(K100,'Factors'!$C$9:$C$108,0))),"")=D100)),"Ready","Factor / unit review"))))))))</x:f>
      </x:c>
      <x:c r="Z100" s="9" t="str">
        <x:f>IF(C100="","",IF(F100="No","Outside control",IF(F100&lt;&gt;"Yes","Control review",IF($H$6="No","Not required",IF($H$6&lt;&gt;"Yes","Applicability review",IF(Y100&lt;&gt;"Ready",Y100,IF(OR(NOT(ISNUMBER(M100)),M100&lt;0,M100&gt;J100),"Contract quantity review",IF(AND(M100&gt;0,OR(O100&lt;&gt;"Pass",P100="",NOT(AND(IFERROR(IF(INDEX('Factors'!$P$9:$P$108,MATCH(N100,'Factors'!$C$9:$C$108,0))="","",INDEX('Factors'!$P$9:$P$108,MATCH(N100,'Factors'!$C$9:$C$108,0))),"")="Ready",IFERROR(IF(INDEX('Factors'!$F$9:$F$108,MATCH(N100,'Factors'!$C$9:$C$108,0))="","",INDEX('Factors'!$F$9:$F$108,MATCH(N100,'Factors'!$C$9:$C$108,0))),"")="kWh",IFERROR(IF(INDEX('Factors'!$H$9:$H$108,MATCH(N100,'Factors'!$C$9:$C$108,0))="","",INDEX('Factors'!$H$9:$H$108,MATCH(N100,'Factors'!$C$9:$C$108,0))),"")="S2",IFERROR(IF(INDEX('Factors'!$I$9:$I$108,MATCH(N100,'Factors'!$C$9:$C$108,0))="","",INDEX('Factors'!$I$9:$I$108,MATCH(N100,'Factors'!$C$9:$C$108,0))),"")="Market-based",IFERROR(IF(INDEX('Factors'!$J$9:$J$108,MATCH(N100,'Factors'!$C$9:$C$108,0))="","",INDEX('Factors'!$J$9:$J$108,MATCH(N100,'Factors'!$C$9:$C$108,0))),"")=G100,OR(IFERROR(IF(INDEX('Factors'!$E$9:$E$108,MATCH(N100,'Factors'!$C$9:$C$108,0))="","",INDEX('Factors'!$E$9:$E$108,MATCH(N100,'Factors'!$C$9:$C$108,0))),"")="Global",IFERROR(IF(INDEX('Factors'!$E$9:$E$108,MATCH(N100,'Factors'!$C$9:$C$108,0))="","",INDEX('Factors'!$E$9:$E$108,MATCH(N100,'Factors'!$C$9:$C$108,0))),"")=D100))))),"Contract criteria review",IF(M100=J100,"Ready",IF(Q100="No","Grid fallback",IF(Q100="Yes",IF(AND(IFERROR(IF(INDEX('Factors'!$P$9:$P$108,MATCH(R100,'Factors'!$C$9:$C$108,0))="","",INDEX('Factors'!$P$9:$P$108,MATCH(R100,'Factors'!$C$9:$C$108,0))),"")="Ready",IFERROR(IF(INDEX('Factors'!$F$9:$F$108,MATCH(R100,'Factors'!$C$9:$C$108,0))="","",INDEX('Factors'!$F$9:$F$108,MATCH(R100,'Factors'!$C$9:$C$108,0))),"")="kWh",IFERROR(IF(INDEX('Factors'!$H$9:$H$108,MATCH(R100,'Factors'!$C$9:$C$108,0))="","",INDEX('Factors'!$H$9:$H$108,MATCH(R100,'Factors'!$C$9:$C$108,0))),"")="S2",IFERROR(IF(INDEX('Factors'!$I$9:$I$108,MATCH(R100,'Factors'!$C$9:$C$108,0))="","",INDEX('Factors'!$I$9:$I$108,MATCH(R100,'Factors'!$C$9:$C$108,0))),"")="Residual mix",IFERROR(IF(INDEX('Factors'!$J$9:$J$108,MATCH(R100,'Factors'!$C$9:$C$108,0))="","",INDEX('Factors'!$J$9:$J$108,MATCH(R100,'Factors'!$C$9:$C$108,0))),"")=G100,OR(IFERROR(IF(INDEX('Factors'!$E$9:$E$108,MATCH(R100,'Factors'!$C$9:$C$108,0))="","",INDEX('Factors'!$E$9:$E$108,MATCH(R100,'Factors'!$C$9:$C$108,0))),"")="Global",IFERROR(IF(INDEX('Factors'!$E$9:$E$108,MATCH(R100,'Factors'!$C$9:$C$108,0))="","",INDEX('Factors'!$E$9:$E$108,MATCH(R100,'Factors'!$C$9:$C$108,0))),"")=D100)),"Ready","Residual factor review"),"Residual availability review")))))))))))</x:f>
      </x:c>
      <x:c r="AA100" s="8"/>
      <x:c r="AB100" s="16"/>
      <x:c r="AC100" s="8"/>
    </x:row>
    <x:row r="101" ht="36" customHeight="1">
      <x:c r="A101" s="1"/>
      <x:c r="B101" s="1"/>
      <x:c r="C101" s="8"/>
      <x:c r="D101" s="8"/>
      <x:c r="E101" s="8"/>
      <x:c r="F101" s="8"/>
      <x:c r="G101" s="22"/>
      <x:c r="H101" s="16"/>
      <x:c r="I101" s="8"/>
      <x:c r="J101" s="16"/>
      <x:c r="K101" s="8"/>
      <x:c r="L101" s="8"/>
      <x:c r="M101" s="16"/>
      <x:c r="N101" s="8"/>
      <x:c r="O101" s="8"/>
      <x:c r="P101" s="8"/>
      <x:c r="Q101" s="8"/>
      <x:c r="R101" s="8"/>
      <x:c r="S101" s="8"/>
      <x:c r="T101" s="40"/>
      <x:c r="U101" s="23" t="str">
        <x:f>IF(X101="Ready",H101*IFERROR(IF(INDEX('Factors'!$G$9:$G$108,MATCH(I101,'Factors'!$C$9:$C$108,0))="","",INDEX('Factors'!$G$9:$G$108,MATCH(I101,'Factors'!$C$9:$C$108,0))),"")/1000+AB101,"")</x:f>
      </x:c>
      <x:c r="V101" s="23" t="str">
        <x:f>IF(Y101="Ready",J101*IFERROR(IF(INDEX('Factors'!$G$9:$G$108,MATCH(K101,'Factors'!$C$9:$C$108,0))="","",INDEX('Factors'!$G$9:$G$108,MATCH(K101,'Factors'!$C$9:$C$108,0))),"")/1000,"")</x:f>
      </x:c>
      <x:c r="W101" s="23" t="str">
        <x:f>IF(OR(Z101="Ready",Z101="Grid fallback"),(IF(M101&gt;0,M101*IFERROR(IF(INDEX('Factors'!$G$9:$G$108,MATCH(N101,'Factors'!$C$9:$C$108,0))="","",INDEX('Factors'!$G$9:$G$108,MATCH(N101,'Factors'!$C$9:$C$108,0))),""),0)+(J101-M101)*IF(M101=J101,0,IF(Q101="No",IFERROR(IF(INDEX('Factors'!$G$9:$G$108,MATCH(K101,'Factors'!$C$9:$C$108,0))="","",INDEX('Factors'!$G$9:$G$108,MATCH(K101,'Factors'!$C$9:$C$108,0))),""),IFERROR(IF(INDEX('Factors'!$G$9:$G$108,MATCH(R101,'Factors'!$C$9:$C$108,0))="","",INDEX('Factors'!$G$9:$G$108,MATCH(R101,'Factors'!$C$9:$C$108,0))),""))))/1000,"")</x:f>
      </x:c>
      <x:c r="X101" s="9" t="str">
        <x:f>IF(C101="","",IF(AND($D$6&lt;&gt;"Operational control",$D$6&lt;&gt;"Financial control"),"Control basis required",IF(F101="No","Outside control",IF(F101&lt;&gt;"Yes","Control review",IF(COUNTIFS($C$9:$C$108,C101)&lt;&gt;1,"Duplicate operation ID",IF(OR(S101="",NOT(ISNUMBER(T101)),T101&lt;'Settings'!$F$8,NOT(ISNUMBER(G101)),G101&lt;&gt;YEAR('Settings'!$F$8)),"Evidence / period review",IF(OR(NOT(ISNUMBER(H101)),H101&lt;0,AA101&lt;&gt;"Yes",NOT(ISNUMBER(AB101)),AB101&lt;0,AC101=""),"Activity required",IF(AND(IFERROR(IF(INDEX('Factors'!$P$9:$P$108,MATCH(I101,'Factors'!$C$9:$C$108,0))="","",INDEX('Factors'!$P$9:$P$108,MATCH(I101,'Factors'!$C$9:$C$108,0))),"")="Ready",IFERROR(IF(INDEX('Factors'!$F$9:$F$108,MATCH(I101,'Factors'!$C$9:$C$108,0))="","",INDEX('Factors'!$F$9:$F$108,MATCH(I101,'Factors'!$C$9:$C$108,0))),"")="litre",IFERROR(IF(INDEX('Factors'!$H$9:$H$108,MATCH(I101,'Factors'!$C$9:$C$108,0))="","",INDEX('Factors'!$H$9:$H$108,MATCH(I101,'Factors'!$C$9:$C$108,0))),"")="S1",IFERROR(IF(INDEX('Factors'!$I$9:$I$108,MATCH(I101,'Factors'!$C$9:$C$108,0))="","",INDEX('Factors'!$I$9:$I$108,MATCH(I101,'Factors'!$C$9:$C$108,0))),"")="Combustion",IFERROR(IF(INDEX('Factors'!$J$9:$J$108,MATCH(I101,'Factors'!$C$9:$C$108,0))="","",INDEX('Factors'!$J$9:$J$108,MATCH(I101,'Factors'!$C$9:$C$108,0))),"")=G101,OR(IFERROR(IF(INDEX('Factors'!$E$9:$E$108,MATCH(I101,'Factors'!$C$9:$C$108,0))="","",INDEX('Factors'!$E$9:$E$108,MATCH(I101,'Factors'!$C$9:$C$108,0))),"")="Global",IFERROR(IF(INDEX('Factors'!$E$9:$E$108,MATCH(I101,'Factors'!$C$9:$C$108,0))="","",INDEX('Factors'!$E$9:$E$108,MATCH(I101,'Factors'!$C$9:$C$108,0))),"")=D101)),"Ready","Factor / unit review"))))))))</x:f>
      </x:c>
      <x:c r="Y101" s="9" t="str">
        <x:f>IF(C101="","",IF(AND($D$6&lt;&gt;"Operational control",$D$6&lt;&gt;"Financial control"),"Control basis required",IF(F101="No","Outside control",IF(F101&lt;&gt;"Yes","Control review",IF(COUNTIFS($C$9:$C$108,C101)&lt;&gt;1,"Duplicate operation ID",IF(OR(S101="",NOT(ISNUMBER(T101)),T101&lt;'Settings'!$F$8,NOT(ISNUMBER(G101)),G101&lt;&gt;YEAR('Settings'!$F$8)),"Evidence / period review",IF(OR(NOT(ISNUMBER(J101)),J101&lt;0),"Activity required",IF(AND(IFERROR(IF(INDEX('Factors'!$P$9:$P$108,MATCH(K101,'Factors'!$C$9:$C$108,0))="","",INDEX('Factors'!$P$9:$P$108,MATCH(K101,'Factors'!$C$9:$C$108,0))),"")="Ready",IFERROR(IF(INDEX('Factors'!$F$9:$F$108,MATCH(K101,'Factors'!$C$9:$C$108,0))="","",INDEX('Factors'!$F$9:$F$108,MATCH(K101,'Factors'!$C$9:$C$108,0))),"")="kWh",IFERROR(IF(INDEX('Factors'!$H$9:$H$108,MATCH(K101,'Factors'!$C$9:$C$108,0))="","",INDEX('Factors'!$H$9:$H$108,MATCH(K101,'Factors'!$C$9:$C$108,0))),"")="S2",IFERROR(IF(INDEX('Factors'!$I$9:$I$108,MATCH(K101,'Factors'!$C$9:$C$108,0))="","",INDEX('Factors'!$I$9:$I$108,MATCH(K101,'Factors'!$C$9:$C$108,0))),"")="Location-based",IFERROR(IF(INDEX('Factors'!$J$9:$J$108,MATCH(K101,'Factors'!$C$9:$C$108,0))="","",INDEX('Factors'!$J$9:$J$108,MATCH(K101,'Factors'!$C$9:$C$108,0))),"")=G101,OR(IFERROR(IF(INDEX('Factors'!$E$9:$E$108,MATCH(K101,'Factors'!$C$9:$C$108,0))="","",INDEX('Factors'!$E$9:$E$108,MATCH(K101,'Factors'!$C$9:$C$108,0))),"")="Global",IFERROR(IF(INDEX('Factors'!$E$9:$E$108,MATCH(K101,'Factors'!$C$9:$C$108,0))="","",INDEX('Factors'!$E$9:$E$108,MATCH(K101,'Factors'!$C$9:$C$108,0))),"")=D101)),"Ready","Factor / unit review"))))))))</x:f>
      </x:c>
      <x:c r="Z101" s="9" t="str">
        <x:f>IF(C101="","",IF(F101="No","Outside control",IF(F101&lt;&gt;"Yes","Control review",IF($H$6="No","Not required",IF($H$6&lt;&gt;"Yes","Applicability review",IF(Y101&lt;&gt;"Ready",Y101,IF(OR(NOT(ISNUMBER(M101)),M101&lt;0,M101&gt;J101),"Contract quantity review",IF(AND(M101&gt;0,OR(O101&lt;&gt;"Pass",P101="",NOT(AND(IFERROR(IF(INDEX('Factors'!$P$9:$P$108,MATCH(N101,'Factors'!$C$9:$C$108,0))="","",INDEX('Factors'!$P$9:$P$108,MATCH(N101,'Factors'!$C$9:$C$108,0))),"")="Ready",IFERROR(IF(INDEX('Factors'!$F$9:$F$108,MATCH(N101,'Factors'!$C$9:$C$108,0))="","",INDEX('Factors'!$F$9:$F$108,MATCH(N101,'Factors'!$C$9:$C$108,0))),"")="kWh",IFERROR(IF(INDEX('Factors'!$H$9:$H$108,MATCH(N101,'Factors'!$C$9:$C$108,0))="","",INDEX('Factors'!$H$9:$H$108,MATCH(N101,'Factors'!$C$9:$C$108,0))),"")="S2",IFERROR(IF(INDEX('Factors'!$I$9:$I$108,MATCH(N101,'Factors'!$C$9:$C$108,0))="","",INDEX('Factors'!$I$9:$I$108,MATCH(N101,'Factors'!$C$9:$C$108,0))),"")="Market-based",IFERROR(IF(INDEX('Factors'!$J$9:$J$108,MATCH(N101,'Factors'!$C$9:$C$108,0))="","",INDEX('Factors'!$J$9:$J$108,MATCH(N101,'Factors'!$C$9:$C$108,0))),"")=G101,OR(IFERROR(IF(INDEX('Factors'!$E$9:$E$108,MATCH(N101,'Factors'!$C$9:$C$108,0))="","",INDEX('Factors'!$E$9:$E$108,MATCH(N101,'Factors'!$C$9:$C$108,0))),"")="Global",IFERROR(IF(INDEX('Factors'!$E$9:$E$108,MATCH(N101,'Factors'!$C$9:$C$108,0))="","",INDEX('Factors'!$E$9:$E$108,MATCH(N101,'Factors'!$C$9:$C$108,0))),"")=D101))))),"Contract criteria review",IF(M101=J101,"Ready",IF(Q101="No","Grid fallback",IF(Q101="Yes",IF(AND(IFERROR(IF(INDEX('Factors'!$P$9:$P$108,MATCH(R101,'Factors'!$C$9:$C$108,0))="","",INDEX('Factors'!$P$9:$P$108,MATCH(R101,'Factors'!$C$9:$C$108,0))),"")="Ready",IFERROR(IF(INDEX('Factors'!$F$9:$F$108,MATCH(R101,'Factors'!$C$9:$C$108,0))="","",INDEX('Factors'!$F$9:$F$108,MATCH(R101,'Factors'!$C$9:$C$108,0))),"")="kWh",IFERROR(IF(INDEX('Factors'!$H$9:$H$108,MATCH(R101,'Factors'!$C$9:$C$108,0))="","",INDEX('Factors'!$H$9:$H$108,MATCH(R101,'Factors'!$C$9:$C$108,0))),"")="S2",IFERROR(IF(INDEX('Factors'!$I$9:$I$108,MATCH(R101,'Factors'!$C$9:$C$108,0))="","",INDEX('Factors'!$I$9:$I$108,MATCH(R101,'Factors'!$C$9:$C$108,0))),"")="Residual mix",IFERROR(IF(INDEX('Factors'!$J$9:$J$108,MATCH(R101,'Factors'!$C$9:$C$108,0))="","",INDEX('Factors'!$J$9:$J$108,MATCH(R101,'Factors'!$C$9:$C$108,0))),"")=G101,OR(IFERROR(IF(INDEX('Factors'!$E$9:$E$108,MATCH(R101,'Factors'!$C$9:$C$108,0))="","",INDEX('Factors'!$E$9:$E$108,MATCH(R101,'Factors'!$C$9:$C$108,0))),"")="Global",IFERROR(IF(INDEX('Factors'!$E$9:$E$108,MATCH(R101,'Factors'!$C$9:$C$108,0))="","",INDEX('Factors'!$E$9:$E$108,MATCH(R101,'Factors'!$C$9:$C$108,0))),"")=D101)),"Ready","Residual factor review"),"Residual availability review")))))))))))</x:f>
      </x:c>
      <x:c r="AA101" s="8"/>
      <x:c r="AB101" s="16"/>
      <x:c r="AC101" s="8"/>
    </x:row>
    <x:row r="102" ht="36" customHeight="1">
      <x:c r="A102" s="1"/>
      <x:c r="B102" s="1"/>
      <x:c r="C102" s="8"/>
      <x:c r="D102" s="8"/>
      <x:c r="E102" s="8"/>
      <x:c r="F102" s="8"/>
      <x:c r="G102" s="22"/>
      <x:c r="H102" s="16"/>
      <x:c r="I102" s="8"/>
      <x:c r="J102" s="16"/>
      <x:c r="K102" s="8"/>
      <x:c r="L102" s="8"/>
      <x:c r="M102" s="16"/>
      <x:c r="N102" s="8"/>
      <x:c r="O102" s="8"/>
      <x:c r="P102" s="8"/>
      <x:c r="Q102" s="8"/>
      <x:c r="R102" s="8"/>
      <x:c r="S102" s="8"/>
      <x:c r="T102" s="40"/>
      <x:c r="U102" s="23" t="str">
        <x:f>IF(X102="Ready",H102*IFERROR(IF(INDEX('Factors'!$G$9:$G$108,MATCH(I102,'Factors'!$C$9:$C$108,0))="","",INDEX('Factors'!$G$9:$G$108,MATCH(I102,'Factors'!$C$9:$C$108,0))),"")/1000+AB102,"")</x:f>
      </x:c>
      <x:c r="V102" s="23" t="str">
        <x:f>IF(Y102="Ready",J102*IFERROR(IF(INDEX('Factors'!$G$9:$G$108,MATCH(K102,'Factors'!$C$9:$C$108,0))="","",INDEX('Factors'!$G$9:$G$108,MATCH(K102,'Factors'!$C$9:$C$108,0))),"")/1000,"")</x:f>
      </x:c>
      <x:c r="W102" s="23" t="str">
        <x:f>IF(OR(Z102="Ready",Z102="Grid fallback"),(IF(M102&gt;0,M102*IFERROR(IF(INDEX('Factors'!$G$9:$G$108,MATCH(N102,'Factors'!$C$9:$C$108,0))="","",INDEX('Factors'!$G$9:$G$108,MATCH(N102,'Factors'!$C$9:$C$108,0))),""),0)+(J102-M102)*IF(M102=J102,0,IF(Q102="No",IFERROR(IF(INDEX('Factors'!$G$9:$G$108,MATCH(K102,'Factors'!$C$9:$C$108,0))="","",INDEX('Factors'!$G$9:$G$108,MATCH(K102,'Factors'!$C$9:$C$108,0))),""),IFERROR(IF(INDEX('Factors'!$G$9:$G$108,MATCH(R102,'Factors'!$C$9:$C$108,0))="","",INDEX('Factors'!$G$9:$G$108,MATCH(R102,'Factors'!$C$9:$C$108,0))),""))))/1000,"")</x:f>
      </x:c>
      <x:c r="X102" s="9" t="str">
        <x:f>IF(C102="","",IF(AND($D$6&lt;&gt;"Operational control",$D$6&lt;&gt;"Financial control"),"Control basis required",IF(F102="No","Outside control",IF(F102&lt;&gt;"Yes","Control review",IF(COUNTIFS($C$9:$C$108,C102)&lt;&gt;1,"Duplicate operation ID",IF(OR(S102="",NOT(ISNUMBER(T102)),T102&lt;'Settings'!$F$8,NOT(ISNUMBER(G102)),G102&lt;&gt;YEAR('Settings'!$F$8)),"Evidence / period review",IF(OR(NOT(ISNUMBER(H102)),H102&lt;0,AA102&lt;&gt;"Yes",NOT(ISNUMBER(AB102)),AB102&lt;0,AC102=""),"Activity required",IF(AND(IFERROR(IF(INDEX('Factors'!$P$9:$P$108,MATCH(I102,'Factors'!$C$9:$C$108,0))="","",INDEX('Factors'!$P$9:$P$108,MATCH(I102,'Factors'!$C$9:$C$108,0))),"")="Ready",IFERROR(IF(INDEX('Factors'!$F$9:$F$108,MATCH(I102,'Factors'!$C$9:$C$108,0))="","",INDEX('Factors'!$F$9:$F$108,MATCH(I102,'Factors'!$C$9:$C$108,0))),"")="litre",IFERROR(IF(INDEX('Factors'!$H$9:$H$108,MATCH(I102,'Factors'!$C$9:$C$108,0))="","",INDEX('Factors'!$H$9:$H$108,MATCH(I102,'Factors'!$C$9:$C$108,0))),"")="S1",IFERROR(IF(INDEX('Factors'!$I$9:$I$108,MATCH(I102,'Factors'!$C$9:$C$108,0))="","",INDEX('Factors'!$I$9:$I$108,MATCH(I102,'Factors'!$C$9:$C$108,0))),"")="Combustion",IFERROR(IF(INDEX('Factors'!$J$9:$J$108,MATCH(I102,'Factors'!$C$9:$C$108,0))="","",INDEX('Factors'!$J$9:$J$108,MATCH(I102,'Factors'!$C$9:$C$108,0))),"")=G102,OR(IFERROR(IF(INDEX('Factors'!$E$9:$E$108,MATCH(I102,'Factors'!$C$9:$C$108,0))="","",INDEX('Factors'!$E$9:$E$108,MATCH(I102,'Factors'!$C$9:$C$108,0))),"")="Global",IFERROR(IF(INDEX('Factors'!$E$9:$E$108,MATCH(I102,'Factors'!$C$9:$C$108,0))="","",INDEX('Factors'!$E$9:$E$108,MATCH(I102,'Factors'!$C$9:$C$108,0))),"")=D102)),"Ready","Factor / unit review"))))))))</x:f>
      </x:c>
      <x:c r="Y102" s="9" t="str">
        <x:f>IF(C102="","",IF(AND($D$6&lt;&gt;"Operational control",$D$6&lt;&gt;"Financial control"),"Control basis required",IF(F102="No","Outside control",IF(F102&lt;&gt;"Yes","Control review",IF(COUNTIFS($C$9:$C$108,C102)&lt;&gt;1,"Duplicate operation ID",IF(OR(S102="",NOT(ISNUMBER(T102)),T102&lt;'Settings'!$F$8,NOT(ISNUMBER(G102)),G102&lt;&gt;YEAR('Settings'!$F$8)),"Evidence / period review",IF(OR(NOT(ISNUMBER(J102)),J102&lt;0),"Activity required",IF(AND(IFERROR(IF(INDEX('Factors'!$P$9:$P$108,MATCH(K102,'Factors'!$C$9:$C$108,0))="","",INDEX('Factors'!$P$9:$P$108,MATCH(K102,'Factors'!$C$9:$C$108,0))),"")="Ready",IFERROR(IF(INDEX('Factors'!$F$9:$F$108,MATCH(K102,'Factors'!$C$9:$C$108,0))="","",INDEX('Factors'!$F$9:$F$108,MATCH(K102,'Factors'!$C$9:$C$108,0))),"")="kWh",IFERROR(IF(INDEX('Factors'!$H$9:$H$108,MATCH(K102,'Factors'!$C$9:$C$108,0))="","",INDEX('Factors'!$H$9:$H$108,MATCH(K102,'Factors'!$C$9:$C$108,0))),"")="S2",IFERROR(IF(INDEX('Factors'!$I$9:$I$108,MATCH(K102,'Factors'!$C$9:$C$108,0))="","",INDEX('Factors'!$I$9:$I$108,MATCH(K102,'Factors'!$C$9:$C$108,0))),"")="Location-based",IFERROR(IF(INDEX('Factors'!$J$9:$J$108,MATCH(K102,'Factors'!$C$9:$C$108,0))="","",INDEX('Factors'!$J$9:$J$108,MATCH(K102,'Factors'!$C$9:$C$108,0))),"")=G102,OR(IFERROR(IF(INDEX('Factors'!$E$9:$E$108,MATCH(K102,'Factors'!$C$9:$C$108,0))="","",INDEX('Factors'!$E$9:$E$108,MATCH(K102,'Factors'!$C$9:$C$108,0))),"")="Global",IFERROR(IF(INDEX('Factors'!$E$9:$E$108,MATCH(K102,'Factors'!$C$9:$C$108,0))="","",INDEX('Factors'!$E$9:$E$108,MATCH(K102,'Factors'!$C$9:$C$108,0))),"")=D102)),"Ready","Factor / unit review"))))))))</x:f>
      </x:c>
      <x:c r="Z102" s="9" t="str">
        <x:f>IF(C102="","",IF(F102="No","Outside control",IF(F102&lt;&gt;"Yes","Control review",IF($H$6="No","Not required",IF($H$6&lt;&gt;"Yes","Applicability review",IF(Y102&lt;&gt;"Ready",Y102,IF(OR(NOT(ISNUMBER(M102)),M102&lt;0,M102&gt;J102),"Contract quantity review",IF(AND(M102&gt;0,OR(O102&lt;&gt;"Pass",P102="",NOT(AND(IFERROR(IF(INDEX('Factors'!$P$9:$P$108,MATCH(N102,'Factors'!$C$9:$C$108,0))="","",INDEX('Factors'!$P$9:$P$108,MATCH(N102,'Factors'!$C$9:$C$108,0))),"")="Ready",IFERROR(IF(INDEX('Factors'!$F$9:$F$108,MATCH(N102,'Factors'!$C$9:$C$108,0))="","",INDEX('Factors'!$F$9:$F$108,MATCH(N102,'Factors'!$C$9:$C$108,0))),"")="kWh",IFERROR(IF(INDEX('Factors'!$H$9:$H$108,MATCH(N102,'Factors'!$C$9:$C$108,0))="","",INDEX('Factors'!$H$9:$H$108,MATCH(N102,'Factors'!$C$9:$C$108,0))),"")="S2",IFERROR(IF(INDEX('Factors'!$I$9:$I$108,MATCH(N102,'Factors'!$C$9:$C$108,0))="","",INDEX('Factors'!$I$9:$I$108,MATCH(N102,'Factors'!$C$9:$C$108,0))),"")="Market-based",IFERROR(IF(INDEX('Factors'!$J$9:$J$108,MATCH(N102,'Factors'!$C$9:$C$108,0))="","",INDEX('Factors'!$J$9:$J$108,MATCH(N102,'Factors'!$C$9:$C$108,0))),"")=G102,OR(IFERROR(IF(INDEX('Factors'!$E$9:$E$108,MATCH(N102,'Factors'!$C$9:$C$108,0))="","",INDEX('Factors'!$E$9:$E$108,MATCH(N102,'Factors'!$C$9:$C$108,0))),"")="Global",IFERROR(IF(INDEX('Factors'!$E$9:$E$108,MATCH(N102,'Factors'!$C$9:$C$108,0))="","",INDEX('Factors'!$E$9:$E$108,MATCH(N102,'Factors'!$C$9:$C$108,0))),"")=D102))))),"Contract criteria review",IF(M102=J102,"Ready",IF(Q102="No","Grid fallback",IF(Q102="Yes",IF(AND(IFERROR(IF(INDEX('Factors'!$P$9:$P$108,MATCH(R102,'Factors'!$C$9:$C$108,0))="","",INDEX('Factors'!$P$9:$P$108,MATCH(R102,'Factors'!$C$9:$C$108,0))),"")="Ready",IFERROR(IF(INDEX('Factors'!$F$9:$F$108,MATCH(R102,'Factors'!$C$9:$C$108,0))="","",INDEX('Factors'!$F$9:$F$108,MATCH(R102,'Factors'!$C$9:$C$108,0))),"")="kWh",IFERROR(IF(INDEX('Factors'!$H$9:$H$108,MATCH(R102,'Factors'!$C$9:$C$108,0))="","",INDEX('Factors'!$H$9:$H$108,MATCH(R102,'Factors'!$C$9:$C$108,0))),"")="S2",IFERROR(IF(INDEX('Factors'!$I$9:$I$108,MATCH(R102,'Factors'!$C$9:$C$108,0))="","",INDEX('Factors'!$I$9:$I$108,MATCH(R102,'Factors'!$C$9:$C$108,0))),"")="Residual mix",IFERROR(IF(INDEX('Factors'!$J$9:$J$108,MATCH(R102,'Factors'!$C$9:$C$108,0))="","",INDEX('Factors'!$J$9:$J$108,MATCH(R102,'Factors'!$C$9:$C$108,0))),"")=G102,OR(IFERROR(IF(INDEX('Factors'!$E$9:$E$108,MATCH(R102,'Factors'!$C$9:$C$108,0))="","",INDEX('Factors'!$E$9:$E$108,MATCH(R102,'Factors'!$C$9:$C$108,0))),"")="Global",IFERROR(IF(INDEX('Factors'!$E$9:$E$108,MATCH(R102,'Factors'!$C$9:$C$108,0))="","",INDEX('Factors'!$E$9:$E$108,MATCH(R102,'Factors'!$C$9:$C$108,0))),"")=D102)),"Ready","Residual factor review"),"Residual availability review")))))))))))</x:f>
      </x:c>
      <x:c r="AA102" s="8"/>
      <x:c r="AB102" s="16"/>
      <x:c r="AC102" s="8"/>
    </x:row>
    <x:row r="103" ht="36" customHeight="1">
      <x:c r="A103" s="1"/>
      <x:c r="B103" s="1"/>
      <x:c r="C103" s="8"/>
      <x:c r="D103" s="8"/>
      <x:c r="E103" s="8"/>
      <x:c r="F103" s="8"/>
      <x:c r="G103" s="22"/>
      <x:c r="H103" s="16"/>
      <x:c r="I103" s="8"/>
      <x:c r="J103" s="16"/>
      <x:c r="K103" s="8"/>
      <x:c r="L103" s="8"/>
      <x:c r="M103" s="16"/>
      <x:c r="N103" s="8"/>
      <x:c r="O103" s="8"/>
      <x:c r="P103" s="8"/>
      <x:c r="Q103" s="8"/>
      <x:c r="R103" s="8"/>
      <x:c r="S103" s="8"/>
      <x:c r="T103" s="40"/>
      <x:c r="U103" s="23" t="str">
        <x:f>IF(X103="Ready",H103*IFERROR(IF(INDEX('Factors'!$G$9:$G$108,MATCH(I103,'Factors'!$C$9:$C$108,0))="","",INDEX('Factors'!$G$9:$G$108,MATCH(I103,'Factors'!$C$9:$C$108,0))),"")/1000+AB103,"")</x:f>
      </x:c>
      <x:c r="V103" s="23" t="str">
        <x:f>IF(Y103="Ready",J103*IFERROR(IF(INDEX('Factors'!$G$9:$G$108,MATCH(K103,'Factors'!$C$9:$C$108,0))="","",INDEX('Factors'!$G$9:$G$108,MATCH(K103,'Factors'!$C$9:$C$108,0))),"")/1000,"")</x:f>
      </x:c>
      <x:c r="W103" s="23" t="str">
        <x:f>IF(OR(Z103="Ready",Z103="Grid fallback"),(IF(M103&gt;0,M103*IFERROR(IF(INDEX('Factors'!$G$9:$G$108,MATCH(N103,'Factors'!$C$9:$C$108,0))="","",INDEX('Factors'!$G$9:$G$108,MATCH(N103,'Factors'!$C$9:$C$108,0))),""),0)+(J103-M103)*IF(M103=J103,0,IF(Q103="No",IFERROR(IF(INDEX('Factors'!$G$9:$G$108,MATCH(K103,'Factors'!$C$9:$C$108,0))="","",INDEX('Factors'!$G$9:$G$108,MATCH(K103,'Factors'!$C$9:$C$108,0))),""),IFERROR(IF(INDEX('Factors'!$G$9:$G$108,MATCH(R103,'Factors'!$C$9:$C$108,0))="","",INDEX('Factors'!$G$9:$G$108,MATCH(R103,'Factors'!$C$9:$C$108,0))),""))))/1000,"")</x:f>
      </x:c>
      <x:c r="X103" s="9" t="str">
        <x:f>IF(C103="","",IF(AND($D$6&lt;&gt;"Operational control",$D$6&lt;&gt;"Financial control"),"Control basis required",IF(F103="No","Outside control",IF(F103&lt;&gt;"Yes","Control review",IF(COUNTIFS($C$9:$C$108,C103)&lt;&gt;1,"Duplicate operation ID",IF(OR(S103="",NOT(ISNUMBER(T103)),T103&lt;'Settings'!$F$8,NOT(ISNUMBER(G103)),G103&lt;&gt;YEAR('Settings'!$F$8)),"Evidence / period review",IF(OR(NOT(ISNUMBER(H103)),H103&lt;0,AA103&lt;&gt;"Yes",NOT(ISNUMBER(AB103)),AB103&lt;0,AC103=""),"Activity required",IF(AND(IFERROR(IF(INDEX('Factors'!$P$9:$P$108,MATCH(I103,'Factors'!$C$9:$C$108,0))="","",INDEX('Factors'!$P$9:$P$108,MATCH(I103,'Factors'!$C$9:$C$108,0))),"")="Ready",IFERROR(IF(INDEX('Factors'!$F$9:$F$108,MATCH(I103,'Factors'!$C$9:$C$108,0))="","",INDEX('Factors'!$F$9:$F$108,MATCH(I103,'Factors'!$C$9:$C$108,0))),"")="litre",IFERROR(IF(INDEX('Factors'!$H$9:$H$108,MATCH(I103,'Factors'!$C$9:$C$108,0))="","",INDEX('Factors'!$H$9:$H$108,MATCH(I103,'Factors'!$C$9:$C$108,0))),"")="S1",IFERROR(IF(INDEX('Factors'!$I$9:$I$108,MATCH(I103,'Factors'!$C$9:$C$108,0))="","",INDEX('Factors'!$I$9:$I$108,MATCH(I103,'Factors'!$C$9:$C$108,0))),"")="Combustion",IFERROR(IF(INDEX('Factors'!$J$9:$J$108,MATCH(I103,'Factors'!$C$9:$C$108,0))="","",INDEX('Factors'!$J$9:$J$108,MATCH(I103,'Factors'!$C$9:$C$108,0))),"")=G103,OR(IFERROR(IF(INDEX('Factors'!$E$9:$E$108,MATCH(I103,'Factors'!$C$9:$C$108,0))="","",INDEX('Factors'!$E$9:$E$108,MATCH(I103,'Factors'!$C$9:$C$108,0))),"")="Global",IFERROR(IF(INDEX('Factors'!$E$9:$E$108,MATCH(I103,'Factors'!$C$9:$C$108,0))="","",INDEX('Factors'!$E$9:$E$108,MATCH(I103,'Factors'!$C$9:$C$108,0))),"")=D103)),"Ready","Factor / unit review"))))))))</x:f>
      </x:c>
      <x:c r="Y103" s="9" t="str">
        <x:f>IF(C103="","",IF(AND($D$6&lt;&gt;"Operational control",$D$6&lt;&gt;"Financial control"),"Control basis required",IF(F103="No","Outside control",IF(F103&lt;&gt;"Yes","Control review",IF(COUNTIFS($C$9:$C$108,C103)&lt;&gt;1,"Duplicate operation ID",IF(OR(S103="",NOT(ISNUMBER(T103)),T103&lt;'Settings'!$F$8,NOT(ISNUMBER(G103)),G103&lt;&gt;YEAR('Settings'!$F$8)),"Evidence / period review",IF(OR(NOT(ISNUMBER(J103)),J103&lt;0),"Activity required",IF(AND(IFERROR(IF(INDEX('Factors'!$P$9:$P$108,MATCH(K103,'Factors'!$C$9:$C$108,0))="","",INDEX('Factors'!$P$9:$P$108,MATCH(K103,'Factors'!$C$9:$C$108,0))),"")="Ready",IFERROR(IF(INDEX('Factors'!$F$9:$F$108,MATCH(K103,'Factors'!$C$9:$C$108,0))="","",INDEX('Factors'!$F$9:$F$108,MATCH(K103,'Factors'!$C$9:$C$108,0))),"")="kWh",IFERROR(IF(INDEX('Factors'!$H$9:$H$108,MATCH(K103,'Factors'!$C$9:$C$108,0))="","",INDEX('Factors'!$H$9:$H$108,MATCH(K103,'Factors'!$C$9:$C$108,0))),"")="S2",IFERROR(IF(INDEX('Factors'!$I$9:$I$108,MATCH(K103,'Factors'!$C$9:$C$108,0))="","",INDEX('Factors'!$I$9:$I$108,MATCH(K103,'Factors'!$C$9:$C$108,0))),"")="Location-based",IFERROR(IF(INDEX('Factors'!$J$9:$J$108,MATCH(K103,'Factors'!$C$9:$C$108,0))="","",INDEX('Factors'!$J$9:$J$108,MATCH(K103,'Factors'!$C$9:$C$108,0))),"")=G103,OR(IFERROR(IF(INDEX('Factors'!$E$9:$E$108,MATCH(K103,'Factors'!$C$9:$C$108,0))="","",INDEX('Factors'!$E$9:$E$108,MATCH(K103,'Factors'!$C$9:$C$108,0))),"")="Global",IFERROR(IF(INDEX('Factors'!$E$9:$E$108,MATCH(K103,'Factors'!$C$9:$C$108,0))="","",INDEX('Factors'!$E$9:$E$108,MATCH(K103,'Factors'!$C$9:$C$108,0))),"")=D103)),"Ready","Factor / unit review"))))))))</x:f>
      </x:c>
      <x:c r="Z103" s="9" t="str">
        <x:f>IF(C103="","",IF(F103="No","Outside control",IF(F103&lt;&gt;"Yes","Control review",IF($H$6="No","Not required",IF($H$6&lt;&gt;"Yes","Applicability review",IF(Y103&lt;&gt;"Ready",Y103,IF(OR(NOT(ISNUMBER(M103)),M103&lt;0,M103&gt;J103),"Contract quantity review",IF(AND(M103&gt;0,OR(O103&lt;&gt;"Pass",P103="",NOT(AND(IFERROR(IF(INDEX('Factors'!$P$9:$P$108,MATCH(N103,'Factors'!$C$9:$C$108,0))="","",INDEX('Factors'!$P$9:$P$108,MATCH(N103,'Factors'!$C$9:$C$108,0))),"")="Ready",IFERROR(IF(INDEX('Factors'!$F$9:$F$108,MATCH(N103,'Factors'!$C$9:$C$108,0))="","",INDEX('Factors'!$F$9:$F$108,MATCH(N103,'Factors'!$C$9:$C$108,0))),"")="kWh",IFERROR(IF(INDEX('Factors'!$H$9:$H$108,MATCH(N103,'Factors'!$C$9:$C$108,0))="","",INDEX('Factors'!$H$9:$H$108,MATCH(N103,'Factors'!$C$9:$C$108,0))),"")="S2",IFERROR(IF(INDEX('Factors'!$I$9:$I$108,MATCH(N103,'Factors'!$C$9:$C$108,0))="","",INDEX('Factors'!$I$9:$I$108,MATCH(N103,'Factors'!$C$9:$C$108,0))),"")="Market-based",IFERROR(IF(INDEX('Factors'!$J$9:$J$108,MATCH(N103,'Factors'!$C$9:$C$108,0))="","",INDEX('Factors'!$J$9:$J$108,MATCH(N103,'Factors'!$C$9:$C$108,0))),"")=G103,OR(IFERROR(IF(INDEX('Factors'!$E$9:$E$108,MATCH(N103,'Factors'!$C$9:$C$108,0))="","",INDEX('Factors'!$E$9:$E$108,MATCH(N103,'Factors'!$C$9:$C$108,0))),"")="Global",IFERROR(IF(INDEX('Factors'!$E$9:$E$108,MATCH(N103,'Factors'!$C$9:$C$108,0))="","",INDEX('Factors'!$E$9:$E$108,MATCH(N103,'Factors'!$C$9:$C$108,0))),"")=D103))))),"Contract criteria review",IF(M103=J103,"Ready",IF(Q103="No","Grid fallback",IF(Q103="Yes",IF(AND(IFERROR(IF(INDEX('Factors'!$P$9:$P$108,MATCH(R103,'Factors'!$C$9:$C$108,0))="","",INDEX('Factors'!$P$9:$P$108,MATCH(R103,'Factors'!$C$9:$C$108,0))),"")="Ready",IFERROR(IF(INDEX('Factors'!$F$9:$F$108,MATCH(R103,'Factors'!$C$9:$C$108,0))="","",INDEX('Factors'!$F$9:$F$108,MATCH(R103,'Factors'!$C$9:$C$108,0))),"")="kWh",IFERROR(IF(INDEX('Factors'!$H$9:$H$108,MATCH(R103,'Factors'!$C$9:$C$108,0))="","",INDEX('Factors'!$H$9:$H$108,MATCH(R103,'Factors'!$C$9:$C$108,0))),"")="S2",IFERROR(IF(INDEX('Factors'!$I$9:$I$108,MATCH(R103,'Factors'!$C$9:$C$108,0))="","",INDEX('Factors'!$I$9:$I$108,MATCH(R103,'Factors'!$C$9:$C$108,0))),"")="Residual mix",IFERROR(IF(INDEX('Factors'!$J$9:$J$108,MATCH(R103,'Factors'!$C$9:$C$108,0))="","",INDEX('Factors'!$J$9:$J$108,MATCH(R103,'Factors'!$C$9:$C$108,0))),"")=G103,OR(IFERROR(IF(INDEX('Factors'!$E$9:$E$108,MATCH(R103,'Factors'!$C$9:$C$108,0))="","",INDEX('Factors'!$E$9:$E$108,MATCH(R103,'Factors'!$C$9:$C$108,0))),"")="Global",IFERROR(IF(INDEX('Factors'!$E$9:$E$108,MATCH(R103,'Factors'!$C$9:$C$108,0))="","",INDEX('Factors'!$E$9:$E$108,MATCH(R103,'Factors'!$C$9:$C$108,0))),"")=D103)),"Ready","Residual factor review"),"Residual availability review")))))))))))</x:f>
      </x:c>
      <x:c r="AA103" s="8"/>
      <x:c r="AB103" s="16"/>
      <x:c r="AC103" s="8"/>
    </x:row>
    <x:row r="104" ht="36" customHeight="1">
      <x:c r="A104" s="1"/>
      <x:c r="B104" s="1"/>
      <x:c r="C104" s="8"/>
      <x:c r="D104" s="8"/>
      <x:c r="E104" s="8"/>
      <x:c r="F104" s="8"/>
      <x:c r="G104" s="22"/>
      <x:c r="H104" s="16"/>
      <x:c r="I104" s="8"/>
      <x:c r="J104" s="16"/>
      <x:c r="K104" s="8"/>
      <x:c r="L104" s="8"/>
      <x:c r="M104" s="16"/>
      <x:c r="N104" s="8"/>
      <x:c r="O104" s="8"/>
      <x:c r="P104" s="8"/>
      <x:c r="Q104" s="8"/>
      <x:c r="R104" s="8"/>
      <x:c r="S104" s="8"/>
      <x:c r="T104" s="40"/>
      <x:c r="U104" s="23" t="str">
        <x:f>IF(X104="Ready",H104*IFERROR(IF(INDEX('Factors'!$G$9:$G$108,MATCH(I104,'Factors'!$C$9:$C$108,0))="","",INDEX('Factors'!$G$9:$G$108,MATCH(I104,'Factors'!$C$9:$C$108,0))),"")/1000+AB104,"")</x:f>
      </x:c>
      <x:c r="V104" s="23" t="str">
        <x:f>IF(Y104="Ready",J104*IFERROR(IF(INDEX('Factors'!$G$9:$G$108,MATCH(K104,'Factors'!$C$9:$C$108,0))="","",INDEX('Factors'!$G$9:$G$108,MATCH(K104,'Factors'!$C$9:$C$108,0))),"")/1000,"")</x:f>
      </x:c>
      <x:c r="W104" s="23" t="str">
        <x:f>IF(OR(Z104="Ready",Z104="Grid fallback"),(IF(M104&gt;0,M104*IFERROR(IF(INDEX('Factors'!$G$9:$G$108,MATCH(N104,'Factors'!$C$9:$C$108,0))="","",INDEX('Factors'!$G$9:$G$108,MATCH(N104,'Factors'!$C$9:$C$108,0))),""),0)+(J104-M104)*IF(M104=J104,0,IF(Q104="No",IFERROR(IF(INDEX('Factors'!$G$9:$G$108,MATCH(K104,'Factors'!$C$9:$C$108,0))="","",INDEX('Factors'!$G$9:$G$108,MATCH(K104,'Factors'!$C$9:$C$108,0))),""),IFERROR(IF(INDEX('Factors'!$G$9:$G$108,MATCH(R104,'Factors'!$C$9:$C$108,0))="","",INDEX('Factors'!$G$9:$G$108,MATCH(R104,'Factors'!$C$9:$C$108,0))),""))))/1000,"")</x:f>
      </x:c>
      <x:c r="X104" s="9" t="str">
        <x:f>IF(C104="","",IF(AND($D$6&lt;&gt;"Operational control",$D$6&lt;&gt;"Financial control"),"Control basis required",IF(F104="No","Outside control",IF(F104&lt;&gt;"Yes","Control review",IF(COUNTIFS($C$9:$C$108,C104)&lt;&gt;1,"Duplicate operation ID",IF(OR(S104="",NOT(ISNUMBER(T104)),T104&lt;'Settings'!$F$8,NOT(ISNUMBER(G104)),G104&lt;&gt;YEAR('Settings'!$F$8)),"Evidence / period review",IF(OR(NOT(ISNUMBER(H104)),H104&lt;0,AA104&lt;&gt;"Yes",NOT(ISNUMBER(AB104)),AB104&lt;0,AC104=""),"Activity required",IF(AND(IFERROR(IF(INDEX('Factors'!$P$9:$P$108,MATCH(I104,'Factors'!$C$9:$C$108,0))="","",INDEX('Factors'!$P$9:$P$108,MATCH(I104,'Factors'!$C$9:$C$108,0))),"")="Ready",IFERROR(IF(INDEX('Factors'!$F$9:$F$108,MATCH(I104,'Factors'!$C$9:$C$108,0))="","",INDEX('Factors'!$F$9:$F$108,MATCH(I104,'Factors'!$C$9:$C$108,0))),"")="litre",IFERROR(IF(INDEX('Factors'!$H$9:$H$108,MATCH(I104,'Factors'!$C$9:$C$108,0))="","",INDEX('Factors'!$H$9:$H$108,MATCH(I104,'Factors'!$C$9:$C$108,0))),"")="S1",IFERROR(IF(INDEX('Factors'!$I$9:$I$108,MATCH(I104,'Factors'!$C$9:$C$108,0))="","",INDEX('Factors'!$I$9:$I$108,MATCH(I104,'Factors'!$C$9:$C$108,0))),"")="Combustion",IFERROR(IF(INDEX('Factors'!$J$9:$J$108,MATCH(I104,'Factors'!$C$9:$C$108,0))="","",INDEX('Factors'!$J$9:$J$108,MATCH(I104,'Factors'!$C$9:$C$108,0))),"")=G104,OR(IFERROR(IF(INDEX('Factors'!$E$9:$E$108,MATCH(I104,'Factors'!$C$9:$C$108,0))="","",INDEX('Factors'!$E$9:$E$108,MATCH(I104,'Factors'!$C$9:$C$108,0))),"")="Global",IFERROR(IF(INDEX('Factors'!$E$9:$E$108,MATCH(I104,'Factors'!$C$9:$C$108,0))="","",INDEX('Factors'!$E$9:$E$108,MATCH(I104,'Factors'!$C$9:$C$108,0))),"")=D104)),"Ready","Factor / unit review"))))))))</x:f>
      </x:c>
      <x:c r="Y104" s="9" t="str">
        <x:f>IF(C104="","",IF(AND($D$6&lt;&gt;"Operational control",$D$6&lt;&gt;"Financial control"),"Control basis required",IF(F104="No","Outside control",IF(F104&lt;&gt;"Yes","Control review",IF(COUNTIFS($C$9:$C$108,C104)&lt;&gt;1,"Duplicate operation ID",IF(OR(S104="",NOT(ISNUMBER(T104)),T104&lt;'Settings'!$F$8,NOT(ISNUMBER(G104)),G104&lt;&gt;YEAR('Settings'!$F$8)),"Evidence / period review",IF(OR(NOT(ISNUMBER(J104)),J104&lt;0),"Activity required",IF(AND(IFERROR(IF(INDEX('Factors'!$P$9:$P$108,MATCH(K104,'Factors'!$C$9:$C$108,0))="","",INDEX('Factors'!$P$9:$P$108,MATCH(K104,'Factors'!$C$9:$C$108,0))),"")="Ready",IFERROR(IF(INDEX('Factors'!$F$9:$F$108,MATCH(K104,'Factors'!$C$9:$C$108,0))="","",INDEX('Factors'!$F$9:$F$108,MATCH(K104,'Factors'!$C$9:$C$108,0))),"")="kWh",IFERROR(IF(INDEX('Factors'!$H$9:$H$108,MATCH(K104,'Factors'!$C$9:$C$108,0))="","",INDEX('Factors'!$H$9:$H$108,MATCH(K104,'Factors'!$C$9:$C$108,0))),"")="S2",IFERROR(IF(INDEX('Factors'!$I$9:$I$108,MATCH(K104,'Factors'!$C$9:$C$108,0))="","",INDEX('Factors'!$I$9:$I$108,MATCH(K104,'Factors'!$C$9:$C$108,0))),"")="Location-based",IFERROR(IF(INDEX('Factors'!$J$9:$J$108,MATCH(K104,'Factors'!$C$9:$C$108,0))="","",INDEX('Factors'!$J$9:$J$108,MATCH(K104,'Factors'!$C$9:$C$108,0))),"")=G104,OR(IFERROR(IF(INDEX('Factors'!$E$9:$E$108,MATCH(K104,'Factors'!$C$9:$C$108,0))="","",INDEX('Factors'!$E$9:$E$108,MATCH(K104,'Factors'!$C$9:$C$108,0))),"")="Global",IFERROR(IF(INDEX('Factors'!$E$9:$E$108,MATCH(K104,'Factors'!$C$9:$C$108,0))="","",INDEX('Factors'!$E$9:$E$108,MATCH(K104,'Factors'!$C$9:$C$108,0))),"")=D104)),"Ready","Factor / unit review"))))))))</x:f>
      </x:c>
      <x:c r="Z104" s="9" t="str">
        <x:f>IF(C104="","",IF(F104="No","Outside control",IF(F104&lt;&gt;"Yes","Control review",IF($H$6="No","Not required",IF($H$6&lt;&gt;"Yes","Applicability review",IF(Y104&lt;&gt;"Ready",Y104,IF(OR(NOT(ISNUMBER(M104)),M104&lt;0,M104&gt;J104),"Contract quantity review",IF(AND(M104&gt;0,OR(O104&lt;&gt;"Pass",P104="",NOT(AND(IFERROR(IF(INDEX('Factors'!$P$9:$P$108,MATCH(N104,'Factors'!$C$9:$C$108,0))="","",INDEX('Factors'!$P$9:$P$108,MATCH(N104,'Factors'!$C$9:$C$108,0))),"")="Ready",IFERROR(IF(INDEX('Factors'!$F$9:$F$108,MATCH(N104,'Factors'!$C$9:$C$108,0))="","",INDEX('Factors'!$F$9:$F$108,MATCH(N104,'Factors'!$C$9:$C$108,0))),"")="kWh",IFERROR(IF(INDEX('Factors'!$H$9:$H$108,MATCH(N104,'Factors'!$C$9:$C$108,0))="","",INDEX('Factors'!$H$9:$H$108,MATCH(N104,'Factors'!$C$9:$C$108,0))),"")="S2",IFERROR(IF(INDEX('Factors'!$I$9:$I$108,MATCH(N104,'Factors'!$C$9:$C$108,0))="","",INDEX('Factors'!$I$9:$I$108,MATCH(N104,'Factors'!$C$9:$C$108,0))),"")="Market-based",IFERROR(IF(INDEX('Factors'!$J$9:$J$108,MATCH(N104,'Factors'!$C$9:$C$108,0))="","",INDEX('Factors'!$J$9:$J$108,MATCH(N104,'Factors'!$C$9:$C$108,0))),"")=G104,OR(IFERROR(IF(INDEX('Factors'!$E$9:$E$108,MATCH(N104,'Factors'!$C$9:$C$108,0))="","",INDEX('Factors'!$E$9:$E$108,MATCH(N104,'Factors'!$C$9:$C$108,0))),"")="Global",IFERROR(IF(INDEX('Factors'!$E$9:$E$108,MATCH(N104,'Factors'!$C$9:$C$108,0))="","",INDEX('Factors'!$E$9:$E$108,MATCH(N104,'Factors'!$C$9:$C$108,0))),"")=D104))))),"Contract criteria review",IF(M104=J104,"Ready",IF(Q104="No","Grid fallback",IF(Q104="Yes",IF(AND(IFERROR(IF(INDEX('Factors'!$P$9:$P$108,MATCH(R104,'Factors'!$C$9:$C$108,0))="","",INDEX('Factors'!$P$9:$P$108,MATCH(R104,'Factors'!$C$9:$C$108,0))),"")="Ready",IFERROR(IF(INDEX('Factors'!$F$9:$F$108,MATCH(R104,'Factors'!$C$9:$C$108,0))="","",INDEX('Factors'!$F$9:$F$108,MATCH(R104,'Factors'!$C$9:$C$108,0))),"")="kWh",IFERROR(IF(INDEX('Factors'!$H$9:$H$108,MATCH(R104,'Factors'!$C$9:$C$108,0))="","",INDEX('Factors'!$H$9:$H$108,MATCH(R104,'Factors'!$C$9:$C$108,0))),"")="S2",IFERROR(IF(INDEX('Factors'!$I$9:$I$108,MATCH(R104,'Factors'!$C$9:$C$108,0))="","",INDEX('Factors'!$I$9:$I$108,MATCH(R104,'Factors'!$C$9:$C$108,0))),"")="Residual mix",IFERROR(IF(INDEX('Factors'!$J$9:$J$108,MATCH(R104,'Factors'!$C$9:$C$108,0))="","",INDEX('Factors'!$J$9:$J$108,MATCH(R104,'Factors'!$C$9:$C$108,0))),"")=G104,OR(IFERROR(IF(INDEX('Factors'!$E$9:$E$108,MATCH(R104,'Factors'!$C$9:$C$108,0))="","",INDEX('Factors'!$E$9:$E$108,MATCH(R104,'Factors'!$C$9:$C$108,0))),"")="Global",IFERROR(IF(INDEX('Factors'!$E$9:$E$108,MATCH(R104,'Factors'!$C$9:$C$108,0))="","",INDEX('Factors'!$E$9:$E$108,MATCH(R104,'Factors'!$C$9:$C$108,0))),"")=D104)),"Ready","Residual factor review"),"Residual availability review")))))))))))</x:f>
      </x:c>
      <x:c r="AA104" s="8"/>
      <x:c r="AB104" s="16"/>
      <x:c r="AC104" s="8"/>
    </x:row>
    <x:row r="105" ht="36" customHeight="1">
      <x:c r="A105" s="1"/>
      <x:c r="B105" s="1"/>
      <x:c r="C105" s="8"/>
      <x:c r="D105" s="8"/>
      <x:c r="E105" s="8"/>
      <x:c r="F105" s="8"/>
      <x:c r="G105" s="22"/>
      <x:c r="H105" s="16"/>
      <x:c r="I105" s="8"/>
      <x:c r="J105" s="16"/>
      <x:c r="K105" s="8"/>
      <x:c r="L105" s="8"/>
      <x:c r="M105" s="16"/>
      <x:c r="N105" s="8"/>
      <x:c r="O105" s="8"/>
      <x:c r="P105" s="8"/>
      <x:c r="Q105" s="8"/>
      <x:c r="R105" s="8"/>
      <x:c r="S105" s="8"/>
      <x:c r="T105" s="40"/>
      <x:c r="U105" s="23" t="str">
        <x:f>IF(X105="Ready",H105*IFERROR(IF(INDEX('Factors'!$G$9:$G$108,MATCH(I105,'Factors'!$C$9:$C$108,0))="","",INDEX('Factors'!$G$9:$G$108,MATCH(I105,'Factors'!$C$9:$C$108,0))),"")/1000+AB105,"")</x:f>
      </x:c>
      <x:c r="V105" s="23" t="str">
        <x:f>IF(Y105="Ready",J105*IFERROR(IF(INDEX('Factors'!$G$9:$G$108,MATCH(K105,'Factors'!$C$9:$C$108,0))="","",INDEX('Factors'!$G$9:$G$108,MATCH(K105,'Factors'!$C$9:$C$108,0))),"")/1000,"")</x:f>
      </x:c>
      <x:c r="W105" s="23" t="str">
        <x:f>IF(OR(Z105="Ready",Z105="Grid fallback"),(IF(M105&gt;0,M105*IFERROR(IF(INDEX('Factors'!$G$9:$G$108,MATCH(N105,'Factors'!$C$9:$C$108,0))="","",INDEX('Factors'!$G$9:$G$108,MATCH(N105,'Factors'!$C$9:$C$108,0))),""),0)+(J105-M105)*IF(M105=J105,0,IF(Q105="No",IFERROR(IF(INDEX('Factors'!$G$9:$G$108,MATCH(K105,'Factors'!$C$9:$C$108,0))="","",INDEX('Factors'!$G$9:$G$108,MATCH(K105,'Factors'!$C$9:$C$108,0))),""),IFERROR(IF(INDEX('Factors'!$G$9:$G$108,MATCH(R105,'Factors'!$C$9:$C$108,0))="","",INDEX('Factors'!$G$9:$G$108,MATCH(R105,'Factors'!$C$9:$C$108,0))),""))))/1000,"")</x:f>
      </x:c>
      <x:c r="X105" s="9" t="str">
        <x:f>IF(C105="","",IF(AND($D$6&lt;&gt;"Operational control",$D$6&lt;&gt;"Financial control"),"Control basis required",IF(F105="No","Outside control",IF(F105&lt;&gt;"Yes","Control review",IF(COUNTIFS($C$9:$C$108,C105)&lt;&gt;1,"Duplicate operation ID",IF(OR(S105="",NOT(ISNUMBER(T105)),T105&lt;'Settings'!$F$8,NOT(ISNUMBER(G105)),G105&lt;&gt;YEAR('Settings'!$F$8)),"Evidence / period review",IF(OR(NOT(ISNUMBER(H105)),H105&lt;0,AA105&lt;&gt;"Yes",NOT(ISNUMBER(AB105)),AB105&lt;0,AC105=""),"Activity required",IF(AND(IFERROR(IF(INDEX('Factors'!$P$9:$P$108,MATCH(I105,'Factors'!$C$9:$C$108,0))="","",INDEX('Factors'!$P$9:$P$108,MATCH(I105,'Factors'!$C$9:$C$108,0))),"")="Ready",IFERROR(IF(INDEX('Factors'!$F$9:$F$108,MATCH(I105,'Factors'!$C$9:$C$108,0))="","",INDEX('Factors'!$F$9:$F$108,MATCH(I105,'Factors'!$C$9:$C$108,0))),"")="litre",IFERROR(IF(INDEX('Factors'!$H$9:$H$108,MATCH(I105,'Factors'!$C$9:$C$108,0))="","",INDEX('Factors'!$H$9:$H$108,MATCH(I105,'Factors'!$C$9:$C$108,0))),"")="S1",IFERROR(IF(INDEX('Factors'!$I$9:$I$108,MATCH(I105,'Factors'!$C$9:$C$108,0))="","",INDEX('Factors'!$I$9:$I$108,MATCH(I105,'Factors'!$C$9:$C$108,0))),"")="Combustion",IFERROR(IF(INDEX('Factors'!$J$9:$J$108,MATCH(I105,'Factors'!$C$9:$C$108,0))="","",INDEX('Factors'!$J$9:$J$108,MATCH(I105,'Factors'!$C$9:$C$108,0))),"")=G105,OR(IFERROR(IF(INDEX('Factors'!$E$9:$E$108,MATCH(I105,'Factors'!$C$9:$C$108,0))="","",INDEX('Factors'!$E$9:$E$108,MATCH(I105,'Factors'!$C$9:$C$108,0))),"")="Global",IFERROR(IF(INDEX('Factors'!$E$9:$E$108,MATCH(I105,'Factors'!$C$9:$C$108,0))="","",INDEX('Factors'!$E$9:$E$108,MATCH(I105,'Factors'!$C$9:$C$108,0))),"")=D105)),"Ready","Factor / unit review"))))))))</x:f>
      </x:c>
      <x:c r="Y105" s="9" t="str">
        <x:f>IF(C105="","",IF(AND($D$6&lt;&gt;"Operational control",$D$6&lt;&gt;"Financial control"),"Control basis required",IF(F105="No","Outside control",IF(F105&lt;&gt;"Yes","Control review",IF(COUNTIFS($C$9:$C$108,C105)&lt;&gt;1,"Duplicate operation ID",IF(OR(S105="",NOT(ISNUMBER(T105)),T105&lt;'Settings'!$F$8,NOT(ISNUMBER(G105)),G105&lt;&gt;YEAR('Settings'!$F$8)),"Evidence / period review",IF(OR(NOT(ISNUMBER(J105)),J105&lt;0),"Activity required",IF(AND(IFERROR(IF(INDEX('Factors'!$P$9:$P$108,MATCH(K105,'Factors'!$C$9:$C$108,0))="","",INDEX('Factors'!$P$9:$P$108,MATCH(K105,'Factors'!$C$9:$C$108,0))),"")="Ready",IFERROR(IF(INDEX('Factors'!$F$9:$F$108,MATCH(K105,'Factors'!$C$9:$C$108,0))="","",INDEX('Factors'!$F$9:$F$108,MATCH(K105,'Factors'!$C$9:$C$108,0))),"")="kWh",IFERROR(IF(INDEX('Factors'!$H$9:$H$108,MATCH(K105,'Factors'!$C$9:$C$108,0))="","",INDEX('Factors'!$H$9:$H$108,MATCH(K105,'Factors'!$C$9:$C$108,0))),"")="S2",IFERROR(IF(INDEX('Factors'!$I$9:$I$108,MATCH(K105,'Factors'!$C$9:$C$108,0))="","",INDEX('Factors'!$I$9:$I$108,MATCH(K105,'Factors'!$C$9:$C$108,0))),"")="Location-based",IFERROR(IF(INDEX('Factors'!$J$9:$J$108,MATCH(K105,'Factors'!$C$9:$C$108,0))="","",INDEX('Factors'!$J$9:$J$108,MATCH(K105,'Factors'!$C$9:$C$108,0))),"")=G105,OR(IFERROR(IF(INDEX('Factors'!$E$9:$E$108,MATCH(K105,'Factors'!$C$9:$C$108,0))="","",INDEX('Factors'!$E$9:$E$108,MATCH(K105,'Factors'!$C$9:$C$108,0))),"")="Global",IFERROR(IF(INDEX('Factors'!$E$9:$E$108,MATCH(K105,'Factors'!$C$9:$C$108,0))="","",INDEX('Factors'!$E$9:$E$108,MATCH(K105,'Factors'!$C$9:$C$108,0))),"")=D105)),"Ready","Factor / unit review"))))))))</x:f>
      </x:c>
      <x:c r="Z105" s="9" t="str">
        <x:f>IF(C105="","",IF(F105="No","Outside control",IF(F105&lt;&gt;"Yes","Control review",IF($H$6="No","Not required",IF($H$6&lt;&gt;"Yes","Applicability review",IF(Y105&lt;&gt;"Ready",Y105,IF(OR(NOT(ISNUMBER(M105)),M105&lt;0,M105&gt;J105),"Contract quantity review",IF(AND(M105&gt;0,OR(O105&lt;&gt;"Pass",P105="",NOT(AND(IFERROR(IF(INDEX('Factors'!$P$9:$P$108,MATCH(N105,'Factors'!$C$9:$C$108,0))="","",INDEX('Factors'!$P$9:$P$108,MATCH(N105,'Factors'!$C$9:$C$108,0))),"")="Ready",IFERROR(IF(INDEX('Factors'!$F$9:$F$108,MATCH(N105,'Factors'!$C$9:$C$108,0))="","",INDEX('Factors'!$F$9:$F$108,MATCH(N105,'Factors'!$C$9:$C$108,0))),"")="kWh",IFERROR(IF(INDEX('Factors'!$H$9:$H$108,MATCH(N105,'Factors'!$C$9:$C$108,0))="","",INDEX('Factors'!$H$9:$H$108,MATCH(N105,'Factors'!$C$9:$C$108,0))),"")="S2",IFERROR(IF(INDEX('Factors'!$I$9:$I$108,MATCH(N105,'Factors'!$C$9:$C$108,0))="","",INDEX('Factors'!$I$9:$I$108,MATCH(N105,'Factors'!$C$9:$C$108,0))),"")="Market-based",IFERROR(IF(INDEX('Factors'!$J$9:$J$108,MATCH(N105,'Factors'!$C$9:$C$108,0))="","",INDEX('Factors'!$J$9:$J$108,MATCH(N105,'Factors'!$C$9:$C$108,0))),"")=G105,OR(IFERROR(IF(INDEX('Factors'!$E$9:$E$108,MATCH(N105,'Factors'!$C$9:$C$108,0))="","",INDEX('Factors'!$E$9:$E$108,MATCH(N105,'Factors'!$C$9:$C$108,0))),"")="Global",IFERROR(IF(INDEX('Factors'!$E$9:$E$108,MATCH(N105,'Factors'!$C$9:$C$108,0))="","",INDEX('Factors'!$E$9:$E$108,MATCH(N105,'Factors'!$C$9:$C$108,0))),"")=D105))))),"Contract criteria review",IF(M105=J105,"Ready",IF(Q105="No","Grid fallback",IF(Q105="Yes",IF(AND(IFERROR(IF(INDEX('Factors'!$P$9:$P$108,MATCH(R105,'Factors'!$C$9:$C$108,0))="","",INDEX('Factors'!$P$9:$P$108,MATCH(R105,'Factors'!$C$9:$C$108,0))),"")="Ready",IFERROR(IF(INDEX('Factors'!$F$9:$F$108,MATCH(R105,'Factors'!$C$9:$C$108,0))="","",INDEX('Factors'!$F$9:$F$108,MATCH(R105,'Factors'!$C$9:$C$108,0))),"")="kWh",IFERROR(IF(INDEX('Factors'!$H$9:$H$108,MATCH(R105,'Factors'!$C$9:$C$108,0))="","",INDEX('Factors'!$H$9:$H$108,MATCH(R105,'Factors'!$C$9:$C$108,0))),"")="S2",IFERROR(IF(INDEX('Factors'!$I$9:$I$108,MATCH(R105,'Factors'!$C$9:$C$108,0))="","",INDEX('Factors'!$I$9:$I$108,MATCH(R105,'Factors'!$C$9:$C$108,0))),"")="Residual mix",IFERROR(IF(INDEX('Factors'!$J$9:$J$108,MATCH(R105,'Factors'!$C$9:$C$108,0))="","",INDEX('Factors'!$J$9:$J$108,MATCH(R105,'Factors'!$C$9:$C$108,0))),"")=G105,OR(IFERROR(IF(INDEX('Factors'!$E$9:$E$108,MATCH(R105,'Factors'!$C$9:$C$108,0))="","",INDEX('Factors'!$E$9:$E$108,MATCH(R105,'Factors'!$C$9:$C$108,0))),"")="Global",IFERROR(IF(INDEX('Factors'!$E$9:$E$108,MATCH(R105,'Factors'!$C$9:$C$108,0))="","",INDEX('Factors'!$E$9:$E$108,MATCH(R105,'Factors'!$C$9:$C$108,0))),"")=D105)),"Ready","Residual factor review"),"Residual availability review")))))))))))</x:f>
      </x:c>
      <x:c r="AA105" s="8"/>
      <x:c r="AB105" s="16"/>
      <x:c r="AC105" s="8"/>
    </x:row>
    <x:row r="106" ht="36" customHeight="1">
      <x:c r="A106" s="1"/>
      <x:c r="B106" s="1"/>
      <x:c r="C106" s="8"/>
      <x:c r="D106" s="8"/>
      <x:c r="E106" s="8"/>
      <x:c r="F106" s="8"/>
      <x:c r="G106" s="22"/>
      <x:c r="H106" s="16"/>
      <x:c r="I106" s="8"/>
      <x:c r="J106" s="16"/>
      <x:c r="K106" s="8"/>
      <x:c r="L106" s="8"/>
      <x:c r="M106" s="16"/>
      <x:c r="N106" s="8"/>
      <x:c r="O106" s="8"/>
      <x:c r="P106" s="8"/>
      <x:c r="Q106" s="8"/>
      <x:c r="R106" s="8"/>
      <x:c r="S106" s="8"/>
      <x:c r="T106" s="40"/>
      <x:c r="U106" s="23" t="str">
        <x:f>IF(X106="Ready",H106*IFERROR(IF(INDEX('Factors'!$G$9:$G$108,MATCH(I106,'Factors'!$C$9:$C$108,0))="","",INDEX('Factors'!$G$9:$G$108,MATCH(I106,'Factors'!$C$9:$C$108,0))),"")/1000+AB106,"")</x:f>
      </x:c>
      <x:c r="V106" s="23" t="str">
        <x:f>IF(Y106="Ready",J106*IFERROR(IF(INDEX('Factors'!$G$9:$G$108,MATCH(K106,'Factors'!$C$9:$C$108,0))="","",INDEX('Factors'!$G$9:$G$108,MATCH(K106,'Factors'!$C$9:$C$108,0))),"")/1000,"")</x:f>
      </x:c>
      <x:c r="W106" s="23" t="str">
        <x:f>IF(OR(Z106="Ready",Z106="Grid fallback"),(IF(M106&gt;0,M106*IFERROR(IF(INDEX('Factors'!$G$9:$G$108,MATCH(N106,'Factors'!$C$9:$C$108,0))="","",INDEX('Factors'!$G$9:$G$108,MATCH(N106,'Factors'!$C$9:$C$108,0))),""),0)+(J106-M106)*IF(M106=J106,0,IF(Q106="No",IFERROR(IF(INDEX('Factors'!$G$9:$G$108,MATCH(K106,'Factors'!$C$9:$C$108,0))="","",INDEX('Factors'!$G$9:$G$108,MATCH(K106,'Factors'!$C$9:$C$108,0))),""),IFERROR(IF(INDEX('Factors'!$G$9:$G$108,MATCH(R106,'Factors'!$C$9:$C$108,0))="","",INDEX('Factors'!$G$9:$G$108,MATCH(R106,'Factors'!$C$9:$C$108,0))),""))))/1000,"")</x:f>
      </x:c>
      <x:c r="X106" s="9" t="str">
        <x:f>IF(C106="","",IF(AND($D$6&lt;&gt;"Operational control",$D$6&lt;&gt;"Financial control"),"Control basis required",IF(F106="No","Outside control",IF(F106&lt;&gt;"Yes","Control review",IF(COUNTIFS($C$9:$C$108,C106)&lt;&gt;1,"Duplicate operation ID",IF(OR(S106="",NOT(ISNUMBER(T106)),T106&lt;'Settings'!$F$8,NOT(ISNUMBER(G106)),G106&lt;&gt;YEAR('Settings'!$F$8)),"Evidence / period review",IF(OR(NOT(ISNUMBER(H106)),H106&lt;0,AA106&lt;&gt;"Yes",NOT(ISNUMBER(AB106)),AB106&lt;0,AC106=""),"Activity required",IF(AND(IFERROR(IF(INDEX('Factors'!$P$9:$P$108,MATCH(I106,'Factors'!$C$9:$C$108,0))="","",INDEX('Factors'!$P$9:$P$108,MATCH(I106,'Factors'!$C$9:$C$108,0))),"")="Ready",IFERROR(IF(INDEX('Factors'!$F$9:$F$108,MATCH(I106,'Factors'!$C$9:$C$108,0))="","",INDEX('Factors'!$F$9:$F$108,MATCH(I106,'Factors'!$C$9:$C$108,0))),"")="litre",IFERROR(IF(INDEX('Factors'!$H$9:$H$108,MATCH(I106,'Factors'!$C$9:$C$108,0))="","",INDEX('Factors'!$H$9:$H$108,MATCH(I106,'Factors'!$C$9:$C$108,0))),"")="S1",IFERROR(IF(INDEX('Factors'!$I$9:$I$108,MATCH(I106,'Factors'!$C$9:$C$108,0))="","",INDEX('Factors'!$I$9:$I$108,MATCH(I106,'Factors'!$C$9:$C$108,0))),"")="Combustion",IFERROR(IF(INDEX('Factors'!$J$9:$J$108,MATCH(I106,'Factors'!$C$9:$C$108,0))="","",INDEX('Factors'!$J$9:$J$108,MATCH(I106,'Factors'!$C$9:$C$108,0))),"")=G106,OR(IFERROR(IF(INDEX('Factors'!$E$9:$E$108,MATCH(I106,'Factors'!$C$9:$C$108,0))="","",INDEX('Factors'!$E$9:$E$108,MATCH(I106,'Factors'!$C$9:$C$108,0))),"")="Global",IFERROR(IF(INDEX('Factors'!$E$9:$E$108,MATCH(I106,'Factors'!$C$9:$C$108,0))="","",INDEX('Factors'!$E$9:$E$108,MATCH(I106,'Factors'!$C$9:$C$108,0))),"")=D106)),"Ready","Factor / unit review"))))))))</x:f>
      </x:c>
      <x:c r="Y106" s="9" t="str">
        <x:f>IF(C106="","",IF(AND($D$6&lt;&gt;"Operational control",$D$6&lt;&gt;"Financial control"),"Control basis required",IF(F106="No","Outside control",IF(F106&lt;&gt;"Yes","Control review",IF(COUNTIFS($C$9:$C$108,C106)&lt;&gt;1,"Duplicate operation ID",IF(OR(S106="",NOT(ISNUMBER(T106)),T106&lt;'Settings'!$F$8,NOT(ISNUMBER(G106)),G106&lt;&gt;YEAR('Settings'!$F$8)),"Evidence / period review",IF(OR(NOT(ISNUMBER(J106)),J106&lt;0),"Activity required",IF(AND(IFERROR(IF(INDEX('Factors'!$P$9:$P$108,MATCH(K106,'Factors'!$C$9:$C$108,0))="","",INDEX('Factors'!$P$9:$P$108,MATCH(K106,'Factors'!$C$9:$C$108,0))),"")="Ready",IFERROR(IF(INDEX('Factors'!$F$9:$F$108,MATCH(K106,'Factors'!$C$9:$C$108,0))="","",INDEX('Factors'!$F$9:$F$108,MATCH(K106,'Factors'!$C$9:$C$108,0))),"")="kWh",IFERROR(IF(INDEX('Factors'!$H$9:$H$108,MATCH(K106,'Factors'!$C$9:$C$108,0))="","",INDEX('Factors'!$H$9:$H$108,MATCH(K106,'Factors'!$C$9:$C$108,0))),"")="S2",IFERROR(IF(INDEX('Factors'!$I$9:$I$108,MATCH(K106,'Factors'!$C$9:$C$108,0))="","",INDEX('Factors'!$I$9:$I$108,MATCH(K106,'Factors'!$C$9:$C$108,0))),"")="Location-based",IFERROR(IF(INDEX('Factors'!$J$9:$J$108,MATCH(K106,'Factors'!$C$9:$C$108,0))="","",INDEX('Factors'!$J$9:$J$108,MATCH(K106,'Factors'!$C$9:$C$108,0))),"")=G106,OR(IFERROR(IF(INDEX('Factors'!$E$9:$E$108,MATCH(K106,'Factors'!$C$9:$C$108,0))="","",INDEX('Factors'!$E$9:$E$108,MATCH(K106,'Factors'!$C$9:$C$108,0))),"")="Global",IFERROR(IF(INDEX('Factors'!$E$9:$E$108,MATCH(K106,'Factors'!$C$9:$C$108,0))="","",INDEX('Factors'!$E$9:$E$108,MATCH(K106,'Factors'!$C$9:$C$108,0))),"")=D106)),"Ready","Factor / unit review"))))))))</x:f>
      </x:c>
      <x:c r="Z106" s="9" t="str">
        <x:f>IF(C106="","",IF(F106="No","Outside control",IF(F106&lt;&gt;"Yes","Control review",IF($H$6="No","Not required",IF($H$6&lt;&gt;"Yes","Applicability review",IF(Y106&lt;&gt;"Ready",Y106,IF(OR(NOT(ISNUMBER(M106)),M106&lt;0,M106&gt;J106),"Contract quantity review",IF(AND(M106&gt;0,OR(O106&lt;&gt;"Pass",P106="",NOT(AND(IFERROR(IF(INDEX('Factors'!$P$9:$P$108,MATCH(N106,'Factors'!$C$9:$C$108,0))="","",INDEX('Factors'!$P$9:$P$108,MATCH(N106,'Factors'!$C$9:$C$108,0))),"")="Ready",IFERROR(IF(INDEX('Factors'!$F$9:$F$108,MATCH(N106,'Factors'!$C$9:$C$108,0))="","",INDEX('Factors'!$F$9:$F$108,MATCH(N106,'Factors'!$C$9:$C$108,0))),"")="kWh",IFERROR(IF(INDEX('Factors'!$H$9:$H$108,MATCH(N106,'Factors'!$C$9:$C$108,0))="","",INDEX('Factors'!$H$9:$H$108,MATCH(N106,'Factors'!$C$9:$C$108,0))),"")="S2",IFERROR(IF(INDEX('Factors'!$I$9:$I$108,MATCH(N106,'Factors'!$C$9:$C$108,0))="","",INDEX('Factors'!$I$9:$I$108,MATCH(N106,'Factors'!$C$9:$C$108,0))),"")="Market-based",IFERROR(IF(INDEX('Factors'!$J$9:$J$108,MATCH(N106,'Factors'!$C$9:$C$108,0))="","",INDEX('Factors'!$J$9:$J$108,MATCH(N106,'Factors'!$C$9:$C$108,0))),"")=G106,OR(IFERROR(IF(INDEX('Factors'!$E$9:$E$108,MATCH(N106,'Factors'!$C$9:$C$108,0))="","",INDEX('Factors'!$E$9:$E$108,MATCH(N106,'Factors'!$C$9:$C$108,0))),"")="Global",IFERROR(IF(INDEX('Factors'!$E$9:$E$108,MATCH(N106,'Factors'!$C$9:$C$108,0))="","",INDEX('Factors'!$E$9:$E$108,MATCH(N106,'Factors'!$C$9:$C$108,0))),"")=D106))))),"Contract criteria review",IF(M106=J106,"Ready",IF(Q106="No","Grid fallback",IF(Q106="Yes",IF(AND(IFERROR(IF(INDEX('Factors'!$P$9:$P$108,MATCH(R106,'Factors'!$C$9:$C$108,0))="","",INDEX('Factors'!$P$9:$P$108,MATCH(R106,'Factors'!$C$9:$C$108,0))),"")="Ready",IFERROR(IF(INDEX('Factors'!$F$9:$F$108,MATCH(R106,'Factors'!$C$9:$C$108,0))="","",INDEX('Factors'!$F$9:$F$108,MATCH(R106,'Factors'!$C$9:$C$108,0))),"")="kWh",IFERROR(IF(INDEX('Factors'!$H$9:$H$108,MATCH(R106,'Factors'!$C$9:$C$108,0))="","",INDEX('Factors'!$H$9:$H$108,MATCH(R106,'Factors'!$C$9:$C$108,0))),"")="S2",IFERROR(IF(INDEX('Factors'!$I$9:$I$108,MATCH(R106,'Factors'!$C$9:$C$108,0))="","",INDEX('Factors'!$I$9:$I$108,MATCH(R106,'Factors'!$C$9:$C$108,0))),"")="Residual mix",IFERROR(IF(INDEX('Factors'!$J$9:$J$108,MATCH(R106,'Factors'!$C$9:$C$108,0))="","",INDEX('Factors'!$J$9:$J$108,MATCH(R106,'Factors'!$C$9:$C$108,0))),"")=G106,OR(IFERROR(IF(INDEX('Factors'!$E$9:$E$108,MATCH(R106,'Factors'!$C$9:$C$108,0))="","",INDEX('Factors'!$E$9:$E$108,MATCH(R106,'Factors'!$C$9:$C$108,0))),"")="Global",IFERROR(IF(INDEX('Factors'!$E$9:$E$108,MATCH(R106,'Factors'!$C$9:$C$108,0))="","",INDEX('Factors'!$E$9:$E$108,MATCH(R106,'Factors'!$C$9:$C$108,0))),"")=D106)),"Ready","Residual factor review"),"Residual availability review")))))))))))</x:f>
      </x:c>
      <x:c r="AA106" s="8"/>
      <x:c r="AB106" s="16"/>
      <x:c r="AC106" s="8"/>
    </x:row>
    <x:row r="107" ht="36" customHeight="1">
      <x:c r="A107" s="1"/>
      <x:c r="B107" s="1"/>
      <x:c r="C107" s="8"/>
      <x:c r="D107" s="8"/>
      <x:c r="E107" s="8"/>
      <x:c r="F107" s="8"/>
      <x:c r="G107" s="22"/>
      <x:c r="H107" s="16"/>
      <x:c r="I107" s="8"/>
      <x:c r="J107" s="16"/>
      <x:c r="K107" s="8"/>
      <x:c r="L107" s="8"/>
      <x:c r="M107" s="16"/>
      <x:c r="N107" s="8"/>
      <x:c r="O107" s="8"/>
      <x:c r="P107" s="8"/>
      <x:c r="Q107" s="8"/>
      <x:c r="R107" s="8"/>
      <x:c r="S107" s="8"/>
      <x:c r="T107" s="40"/>
      <x:c r="U107" s="23" t="str">
        <x:f>IF(X107="Ready",H107*IFERROR(IF(INDEX('Factors'!$G$9:$G$108,MATCH(I107,'Factors'!$C$9:$C$108,0))="","",INDEX('Factors'!$G$9:$G$108,MATCH(I107,'Factors'!$C$9:$C$108,0))),"")/1000+AB107,"")</x:f>
      </x:c>
      <x:c r="V107" s="23" t="str">
        <x:f>IF(Y107="Ready",J107*IFERROR(IF(INDEX('Factors'!$G$9:$G$108,MATCH(K107,'Factors'!$C$9:$C$108,0))="","",INDEX('Factors'!$G$9:$G$108,MATCH(K107,'Factors'!$C$9:$C$108,0))),"")/1000,"")</x:f>
      </x:c>
      <x:c r="W107" s="23" t="str">
        <x:f>IF(OR(Z107="Ready",Z107="Grid fallback"),(IF(M107&gt;0,M107*IFERROR(IF(INDEX('Factors'!$G$9:$G$108,MATCH(N107,'Factors'!$C$9:$C$108,0))="","",INDEX('Factors'!$G$9:$G$108,MATCH(N107,'Factors'!$C$9:$C$108,0))),""),0)+(J107-M107)*IF(M107=J107,0,IF(Q107="No",IFERROR(IF(INDEX('Factors'!$G$9:$G$108,MATCH(K107,'Factors'!$C$9:$C$108,0))="","",INDEX('Factors'!$G$9:$G$108,MATCH(K107,'Factors'!$C$9:$C$108,0))),""),IFERROR(IF(INDEX('Factors'!$G$9:$G$108,MATCH(R107,'Factors'!$C$9:$C$108,0))="","",INDEX('Factors'!$G$9:$G$108,MATCH(R107,'Factors'!$C$9:$C$108,0))),""))))/1000,"")</x:f>
      </x:c>
      <x:c r="X107" s="9" t="str">
        <x:f>IF(C107="","",IF(AND($D$6&lt;&gt;"Operational control",$D$6&lt;&gt;"Financial control"),"Control basis required",IF(F107="No","Outside control",IF(F107&lt;&gt;"Yes","Control review",IF(COUNTIFS($C$9:$C$108,C107)&lt;&gt;1,"Duplicate operation ID",IF(OR(S107="",NOT(ISNUMBER(T107)),T107&lt;'Settings'!$F$8,NOT(ISNUMBER(G107)),G107&lt;&gt;YEAR('Settings'!$F$8)),"Evidence / period review",IF(OR(NOT(ISNUMBER(H107)),H107&lt;0,AA107&lt;&gt;"Yes",NOT(ISNUMBER(AB107)),AB107&lt;0,AC107=""),"Activity required",IF(AND(IFERROR(IF(INDEX('Factors'!$P$9:$P$108,MATCH(I107,'Factors'!$C$9:$C$108,0))="","",INDEX('Factors'!$P$9:$P$108,MATCH(I107,'Factors'!$C$9:$C$108,0))),"")="Ready",IFERROR(IF(INDEX('Factors'!$F$9:$F$108,MATCH(I107,'Factors'!$C$9:$C$108,0))="","",INDEX('Factors'!$F$9:$F$108,MATCH(I107,'Factors'!$C$9:$C$108,0))),"")="litre",IFERROR(IF(INDEX('Factors'!$H$9:$H$108,MATCH(I107,'Factors'!$C$9:$C$108,0))="","",INDEX('Factors'!$H$9:$H$108,MATCH(I107,'Factors'!$C$9:$C$108,0))),"")="S1",IFERROR(IF(INDEX('Factors'!$I$9:$I$108,MATCH(I107,'Factors'!$C$9:$C$108,0))="","",INDEX('Factors'!$I$9:$I$108,MATCH(I107,'Factors'!$C$9:$C$108,0))),"")="Combustion",IFERROR(IF(INDEX('Factors'!$J$9:$J$108,MATCH(I107,'Factors'!$C$9:$C$108,0))="","",INDEX('Factors'!$J$9:$J$108,MATCH(I107,'Factors'!$C$9:$C$108,0))),"")=G107,OR(IFERROR(IF(INDEX('Factors'!$E$9:$E$108,MATCH(I107,'Factors'!$C$9:$C$108,0))="","",INDEX('Factors'!$E$9:$E$108,MATCH(I107,'Factors'!$C$9:$C$108,0))),"")="Global",IFERROR(IF(INDEX('Factors'!$E$9:$E$108,MATCH(I107,'Factors'!$C$9:$C$108,0))="","",INDEX('Factors'!$E$9:$E$108,MATCH(I107,'Factors'!$C$9:$C$108,0))),"")=D107)),"Ready","Factor / unit review"))))))))</x:f>
      </x:c>
      <x:c r="Y107" s="9" t="str">
        <x:f>IF(C107="","",IF(AND($D$6&lt;&gt;"Operational control",$D$6&lt;&gt;"Financial control"),"Control basis required",IF(F107="No","Outside control",IF(F107&lt;&gt;"Yes","Control review",IF(COUNTIFS($C$9:$C$108,C107)&lt;&gt;1,"Duplicate operation ID",IF(OR(S107="",NOT(ISNUMBER(T107)),T107&lt;'Settings'!$F$8,NOT(ISNUMBER(G107)),G107&lt;&gt;YEAR('Settings'!$F$8)),"Evidence / period review",IF(OR(NOT(ISNUMBER(J107)),J107&lt;0),"Activity required",IF(AND(IFERROR(IF(INDEX('Factors'!$P$9:$P$108,MATCH(K107,'Factors'!$C$9:$C$108,0))="","",INDEX('Factors'!$P$9:$P$108,MATCH(K107,'Factors'!$C$9:$C$108,0))),"")="Ready",IFERROR(IF(INDEX('Factors'!$F$9:$F$108,MATCH(K107,'Factors'!$C$9:$C$108,0))="","",INDEX('Factors'!$F$9:$F$108,MATCH(K107,'Factors'!$C$9:$C$108,0))),"")="kWh",IFERROR(IF(INDEX('Factors'!$H$9:$H$108,MATCH(K107,'Factors'!$C$9:$C$108,0))="","",INDEX('Factors'!$H$9:$H$108,MATCH(K107,'Factors'!$C$9:$C$108,0))),"")="S2",IFERROR(IF(INDEX('Factors'!$I$9:$I$108,MATCH(K107,'Factors'!$C$9:$C$108,0))="","",INDEX('Factors'!$I$9:$I$108,MATCH(K107,'Factors'!$C$9:$C$108,0))),"")="Location-based",IFERROR(IF(INDEX('Factors'!$J$9:$J$108,MATCH(K107,'Factors'!$C$9:$C$108,0))="","",INDEX('Factors'!$J$9:$J$108,MATCH(K107,'Factors'!$C$9:$C$108,0))),"")=G107,OR(IFERROR(IF(INDEX('Factors'!$E$9:$E$108,MATCH(K107,'Factors'!$C$9:$C$108,0))="","",INDEX('Factors'!$E$9:$E$108,MATCH(K107,'Factors'!$C$9:$C$108,0))),"")="Global",IFERROR(IF(INDEX('Factors'!$E$9:$E$108,MATCH(K107,'Factors'!$C$9:$C$108,0))="","",INDEX('Factors'!$E$9:$E$108,MATCH(K107,'Factors'!$C$9:$C$108,0))),"")=D107)),"Ready","Factor / unit review"))))))))</x:f>
      </x:c>
      <x:c r="Z107" s="9" t="str">
        <x:f>IF(C107="","",IF(F107="No","Outside control",IF(F107&lt;&gt;"Yes","Control review",IF($H$6="No","Not required",IF($H$6&lt;&gt;"Yes","Applicability review",IF(Y107&lt;&gt;"Ready",Y107,IF(OR(NOT(ISNUMBER(M107)),M107&lt;0,M107&gt;J107),"Contract quantity review",IF(AND(M107&gt;0,OR(O107&lt;&gt;"Pass",P107="",NOT(AND(IFERROR(IF(INDEX('Factors'!$P$9:$P$108,MATCH(N107,'Factors'!$C$9:$C$108,0))="","",INDEX('Factors'!$P$9:$P$108,MATCH(N107,'Factors'!$C$9:$C$108,0))),"")="Ready",IFERROR(IF(INDEX('Factors'!$F$9:$F$108,MATCH(N107,'Factors'!$C$9:$C$108,0))="","",INDEX('Factors'!$F$9:$F$108,MATCH(N107,'Factors'!$C$9:$C$108,0))),"")="kWh",IFERROR(IF(INDEX('Factors'!$H$9:$H$108,MATCH(N107,'Factors'!$C$9:$C$108,0))="","",INDEX('Factors'!$H$9:$H$108,MATCH(N107,'Factors'!$C$9:$C$108,0))),"")="S2",IFERROR(IF(INDEX('Factors'!$I$9:$I$108,MATCH(N107,'Factors'!$C$9:$C$108,0))="","",INDEX('Factors'!$I$9:$I$108,MATCH(N107,'Factors'!$C$9:$C$108,0))),"")="Market-based",IFERROR(IF(INDEX('Factors'!$J$9:$J$108,MATCH(N107,'Factors'!$C$9:$C$108,0))="","",INDEX('Factors'!$J$9:$J$108,MATCH(N107,'Factors'!$C$9:$C$108,0))),"")=G107,OR(IFERROR(IF(INDEX('Factors'!$E$9:$E$108,MATCH(N107,'Factors'!$C$9:$C$108,0))="","",INDEX('Factors'!$E$9:$E$108,MATCH(N107,'Factors'!$C$9:$C$108,0))),"")="Global",IFERROR(IF(INDEX('Factors'!$E$9:$E$108,MATCH(N107,'Factors'!$C$9:$C$108,0))="","",INDEX('Factors'!$E$9:$E$108,MATCH(N107,'Factors'!$C$9:$C$108,0))),"")=D107))))),"Contract criteria review",IF(M107=J107,"Ready",IF(Q107="No","Grid fallback",IF(Q107="Yes",IF(AND(IFERROR(IF(INDEX('Factors'!$P$9:$P$108,MATCH(R107,'Factors'!$C$9:$C$108,0))="","",INDEX('Factors'!$P$9:$P$108,MATCH(R107,'Factors'!$C$9:$C$108,0))),"")="Ready",IFERROR(IF(INDEX('Factors'!$F$9:$F$108,MATCH(R107,'Factors'!$C$9:$C$108,0))="","",INDEX('Factors'!$F$9:$F$108,MATCH(R107,'Factors'!$C$9:$C$108,0))),"")="kWh",IFERROR(IF(INDEX('Factors'!$H$9:$H$108,MATCH(R107,'Factors'!$C$9:$C$108,0))="","",INDEX('Factors'!$H$9:$H$108,MATCH(R107,'Factors'!$C$9:$C$108,0))),"")="S2",IFERROR(IF(INDEX('Factors'!$I$9:$I$108,MATCH(R107,'Factors'!$C$9:$C$108,0))="","",INDEX('Factors'!$I$9:$I$108,MATCH(R107,'Factors'!$C$9:$C$108,0))),"")="Residual mix",IFERROR(IF(INDEX('Factors'!$J$9:$J$108,MATCH(R107,'Factors'!$C$9:$C$108,0))="","",INDEX('Factors'!$J$9:$J$108,MATCH(R107,'Factors'!$C$9:$C$108,0))),"")=G107,OR(IFERROR(IF(INDEX('Factors'!$E$9:$E$108,MATCH(R107,'Factors'!$C$9:$C$108,0))="","",INDEX('Factors'!$E$9:$E$108,MATCH(R107,'Factors'!$C$9:$C$108,0))),"")="Global",IFERROR(IF(INDEX('Factors'!$E$9:$E$108,MATCH(R107,'Factors'!$C$9:$C$108,0))="","",INDEX('Factors'!$E$9:$E$108,MATCH(R107,'Factors'!$C$9:$C$108,0))),"")=D107)),"Ready","Residual factor review"),"Residual availability review")))))))))))</x:f>
      </x:c>
      <x:c r="AA107" s="8"/>
      <x:c r="AB107" s="16"/>
      <x:c r="AC107" s="8"/>
    </x:row>
    <x:row r="108" ht="36" customHeight="1">
      <x:c r="A108" s="1"/>
      <x:c r="B108" s="1"/>
      <x:c r="C108" s="8"/>
      <x:c r="D108" s="8"/>
      <x:c r="E108" s="8"/>
      <x:c r="F108" s="8"/>
      <x:c r="G108" s="22"/>
      <x:c r="H108" s="16"/>
      <x:c r="I108" s="8"/>
      <x:c r="J108" s="16"/>
      <x:c r="K108" s="8"/>
      <x:c r="L108" s="8"/>
      <x:c r="M108" s="16"/>
      <x:c r="N108" s="8"/>
      <x:c r="O108" s="8"/>
      <x:c r="P108" s="8"/>
      <x:c r="Q108" s="8"/>
      <x:c r="R108" s="8"/>
      <x:c r="S108" s="8"/>
      <x:c r="T108" s="40"/>
      <x:c r="U108" s="23" t="str">
        <x:f>IF(X108="Ready",H108*IFERROR(IF(INDEX('Factors'!$G$9:$G$108,MATCH(I108,'Factors'!$C$9:$C$108,0))="","",INDEX('Factors'!$G$9:$G$108,MATCH(I108,'Factors'!$C$9:$C$108,0))),"")/1000+AB108,"")</x:f>
      </x:c>
      <x:c r="V108" s="23" t="str">
        <x:f>IF(Y108="Ready",J108*IFERROR(IF(INDEX('Factors'!$G$9:$G$108,MATCH(K108,'Factors'!$C$9:$C$108,0))="","",INDEX('Factors'!$G$9:$G$108,MATCH(K108,'Factors'!$C$9:$C$108,0))),"")/1000,"")</x:f>
      </x:c>
      <x:c r="W108" s="23" t="str">
        <x:f>IF(OR(Z108="Ready",Z108="Grid fallback"),(IF(M108&gt;0,M108*IFERROR(IF(INDEX('Factors'!$G$9:$G$108,MATCH(N108,'Factors'!$C$9:$C$108,0))="","",INDEX('Factors'!$G$9:$G$108,MATCH(N108,'Factors'!$C$9:$C$108,0))),""),0)+(J108-M108)*IF(M108=J108,0,IF(Q108="No",IFERROR(IF(INDEX('Factors'!$G$9:$G$108,MATCH(K108,'Factors'!$C$9:$C$108,0))="","",INDEX('Factors'!$G$9:$G$108,MATCH(K108,'Factors'!$C$9:$C$108,0))),""),IFERROR(IF(INDEX('Factors'!$G$9:$G$108,MATCH(R108,'Factors'!$C$9:$C$108,0))="","",INDEX('Factors'!$G$9:$G$108,MATCH(R108,'Factors'!$C$9:$C$108,0))),""))))/1000,"")</x:f>
      </x:c>
      <x:c r="X108" s="9" t="str">
        <x:f>IF(C108="","",IF(AND($D$6&lt;&gt;"Operational control",$D$6&lt;&gt;"Financial control"),"Control basis required",IF(F108="No","Outside control",IF(F108&lt;&gt;"Yes","Control review",IF(COUNTIFS($C$9:$C$108,C108)&lt;&gt;1,"Duplicate operation ID",IF(OR(S108="",NOT(ISNUMBER(T108)),T108&lt;'Settings'!$F$8,NOT(ISNUMBER(G108)),G108&lt;&gt;YEAR('Settings'!$F$8)),"Evidence / period review",IF(OR(NOT(ISNUMBER(H108)),H108&lt;0,AA108&lt;&gt;"Yes",NOT(ISNUMBER(AB108)),AB108&lt;0,AC108=""),"Activity required",IF(AND(IFERROR(IF(INDEX('Factors'!$P$9:$P$108,MATCH(I108,'Factors'!$C$9:$C$108,0))="","",INDEX('Factors'!$P$9:$P$108,MATCH(I108,'Factors'!$C$9:$C$108,0))),"")="Ready",IFERROR(IF(INDEX('Factors'!$F$9:$F$108,MATCH(I108,'Factors'!$C$9:$C$108,0))="","",INDEX('Factors'!$F$9:$F$108,MATCH(I108,'Factors'!$C$9:$C$108,0))),"")="litre",IFERROR(IF(INDEX('Factors'!$H$9:$H$108,MATCH(I108,'Factors'!$C$9:$C$108,0))="","",INDEX('Factors'!$H$9:$H$108,MATCH(I108,'Factors'!$C$9:$C$108,0))),"")="S1",IFERROR(IF(INDEX('Factors'!$I$9:$I$108,MATCH(I108,'Factors'!$C$9:$C$108,0))="","",INDEX('Factors'!$I$9:$I$108,MATCH(I108,'Factors'!$C$9:$C$108,0))),"")="Combustion",IFERROR(IF(INDEX('Factors'!$J$9:$J$108,MATCH(I108,'Factors'!$C$9:$C$108,0))="","",INDEX('Factors'!$J$9:$J$108,MATCH(I108,'Factors'!$C$9:$C$108,0))),"")=G108,OR(IFERROR(IF(INDEX('Factors'!$E$9:$E$108,MATCH(I108,'Factors'!$C$9:$C$108,0))="","",INDEX('Factors'!$E$9:$E$108,MATCH(I108,'Factors'!$C$9:$C$108,0))),"")="Global",IFERROR(IF(INDEX('Factors'!$E$9:$E$108,MATCH(I108,'Factors'!$C$9:$C$108,0))="","",INDEX('Factors'!$E$9:$E$108,MATCH(I108,'Factors'!$C$9:$C$108,0))),"")=D108)),"Ready","Factor / unit review"))))))))</x:f>
      </x:c>
      <x:c r="Y108" s="9" t="str">
        <x:f>IF(C108="","",IF(AND($D$6&lt;&gt;"Operational control",$D$6&lt;&gt;"Financial control"),"Control basis required",IF(F108="No","Outside control",IF(F108&lt;&gt;"Yes","Control review",IF(COUNTIFS($C$9:$C$108,C108)&lt;&gt;1,"Duplicate operation ID",IF(OR(S108="",NOT(ISNUMBER(T108)),T108&lt;'Settings'!$F$8,NOT(ISNUMBER(G108)),G108&lt;&gt;YEAR('Settings'!$F$8)),"Evidence / period review",IF(OR(NOT(ISNUMBER(J108)),J108&lt;0),"Activity required",IF(AND(IFERROR(IF(INDEX('Factors'!$P$9:$P$108,MATCH(K108,'Factors'!$C$9:$C$108,0))="","",INDEX('Factors'!$P$9:$P$108,MATCH(K108,'Factors'!$C$9:$C$108,0))),"")="Ready",IFERROR(IF(INDEX('Factors'!$F$9:$F$108,MATCH(K108,'Factors'!$C$9:$C$108,0))="","",INDEX('Factors'!$F$9:$F$108,MATCH(K108,'Factors'!$C$9:$C$108,0))),"")="kWh",IFERROR(IF(INDEX('Factors'!$H$9:$H$108,MATCH(K108,'Factors'!$C$9:$C$108,0))="","",INDEX('Factors'!$H$9:$H$108,MATCH(K108,'Factors'!$C$9:$C$108,0))),"")="S2",IFERROR(IF(INDEX('Factors'!$I$9:$I$108,MATCH(K108,'Factors'!$C$9:$C$108,0))="","",INDEX('Factors'!$I$9:$I$108,MATCH(K108,'Factors'!$C$9:$C$108,0))),"")="Location-based",IFERROR(IF(INDEX('Factors'!$J$9:$J$108,MATCH(K108,'Factors'!$C$9:$C$108,0))="","",INDEX('Factors'!$J$9:$J$108,MATCH(K108,'Factors'!$C$9:$C$108,0))),"")=G108,OR(IFERROR(IF(INDEX('Factors'!$E$9:$E$108,MATCH(K108,'Factors'!$C$9:$C$108,0))="","",INDEX('Factors'!$E$9:$E$108,MATCH(K108,'Factors'!$C$9:$C$108,0))),"")="Global",IFERROR(IF(INDEX('Factors'!$E$9:$E$108,MATCH(K108,'Factors'!$C$9:$C$108,0))="","",INDEX('Factors'!$E$9:$E$108,MATCH(K108,'Factors'!$C$9:$C$108,0))),"")=D108)),"Ready","Factor / unit review"))))))))</x:f>
      </x:c>
      <x:c r="Z108" s="9" t="str">
        <x:f>IF(C108="","",IF(F108="No","Outside control",IF(F108&lt;&gt;"Yes","Control review",IF($H$6="No","Not required",IF($H$6&lt;&gt;"Yes","Applicability review",IF(Y108&lt;&gt;"Ready",Y108,IF(OR(NOT(ISNUMBER(M108)),M108&lt;0,M108&gt;J108),"Contract quantity review",IF(AND(M108&gt;0,OR(O108&lt;&gt;"Pass",P108="",NOT(AND(IFERROR(IF(INDEX('Factors'!$P$9:$P$108,MATCH(N108,'Factors'!$C$9:$C$108,0))="","",INDEX('Factors'!$P$9:$P$108,MATCH(N108,'Factors'!$C$9:$C$108,0))),"")="Ready",IFERROR(IF(INDEX('Factors'!$F$9:$F$108,MATCH(N108,'Factors'!$C$9:$C$108,0))="","",INDEX('Factors'!$F$9:$F$108,MATCH(N108,'Factors'!$C$9:$C$108,0))),"")="kWh",IFERROR(IF(INDEX('Factors'!$H$9:$H$108,MATCH(N108,'Factors'!$C$9:$C$108,0))="","",INDEX('Factors'!$H$9:$H$108,MATCH(N108,'Factors'!$C$9:$C$108,0))),"")="S2",IFERROR(IF(INDEX('Factors'!$I$9:$I$108,MATCH(N108,'Factors'!$C$9:$C$108,0))="","",INDEX('Factors'!$I$9:$I$108,MATCH(N108,'Factors'!$C$9:$C$108,0))),"")="Market-based",IFERROR(IF(INDEX('Factors'!$J$9:$J$108,MATCH(N108,'Factors'!$C$9:$C$108,0))="","",INDEX('Factors'!$J$9:$J$108,MATCH(N108,'Factors'!$C$9:$C$108,0))),"")=G108,OR(IFERROR(IF(INDEX('Factors'!$E$9:$E$108,MATCH(N108,'Factors'!$C$9:$C$108,0))="","",INDEX('Factors'!$E$9:$E$108,MATCH(N108,'Factors'!$C$9:$C$108,0))),"")="Global",IFERROR(IF(INDEX('Factors'!$E$9:$E$108,MATCH(N108,'Factors'!$C$9:$C$108,0))="","",INDEX('Factors'!$E$9:$E$108,MATCH(N108,'Factors'!$C$9:$C$108,0))),"")=D108))))),"Contract criteria review",IF(M108=J108,"Ready",IF(Q108="No","Grid fallback",IF(Q108="Yes",IF(AND(IFERROR(IF(INDEX('Factors'!$P$9:$P$108,MATCH(R108,'Factors'!$C$9:$C$108,0))="","",INDEX('Factors'!$P$9:$P$108,MATCH(R108,'Factors'!$C$9:$C$108,0))),"")="Ready",IFERROR(IF(INDEX('Factors'!$F$9:$F$108,MATCH(R108,'Factors'!$C$9:$C$108,0))="","",INDEX('Factors'!$F$9:$F$108,MATCH(R108,'Factors'!$C$9:$C$108,0))),"")="kWh",IFERROR(IF(INDEX('Factors'!$H$9:$H$108,MATCH(R108,'Factors'!$C$9:$C$108,0))="","",INDEX('Factors'!$H$9:$H$108,MATCH(R108,'Factors'!$C$9:$C$108,0))),"")="S2",IFERROR(IF(INDEX('Factors'!$I$9:$I$108,MATCH(R108,'Factors'!$C$9:$C$108,0))="","",INDEX('Factors'!$I$9:$I$108,MATCH(R108,'Factors'!$C$9:$C$108,0))),"")="Residual mix",IFERROR(IF(INDEX('Factors'!$J$9:$J$108,MATCH(R108,'Factors'!$C$9:$C$108,0))="","",INDEX('Factors'!$J$9:$J$108,MATCH(R108,'Factors'!$C$9:$C$108,0))),"")=G108,OR(IFERROR(IF(INDEX('Factors'!$E$9:$E$108,MATCH(R108,'Factors'!$C$9:$C$108,0))="","",INDEX('Factors'!$E$9:$E$108,MATCH(R108,'Factors'!$C$9:$C$108,0))),"")="Global",IFERROR(IF(INDEX('Factors'!$E$9:$E$108,MATCH(R108,'Factors'!$C$9:$C$108,0))="","",INDEX('Factors'!$E$9:$E$108,MATCH(R108,'Factors'!$C$9:$C$108,0))),"")=D108)),"Ready","Residual factor review"),"Residual availability review")))))))))))</x:f>
      </x:c>
      <x:c r="AA108" s="8"/>
      <x:c r="AB108" s="16"/>
      <x:c r="AC108" s="8"/>
    </x:row>
  </x:sheetData>
  <x:mergeCells>
    <x:mergeCell ref="C2:H2"/>
    <x:mergeCell ref="C3:M3"/>
    <x:mergeCell ref="P5:Z5"/>
    <x:mergeCell ref="D6:F6"/>
    <x:mergeCell ref="L6:N6"/>
    <x:mergeCell ref="C1:D1"/>
    <x:mergeCell ref="E1:F1"/>
    <x:mergeCell ref="G1:H1"/>
    <x:mergeCell ref="I1:J1"/>
    <x:mergeCell ref="K1:L1"/>
    <x:mergeCell ref="M1:N1"/>
  </x:mergeCells>
  <x:conditionalFormatting sqref="X9:X108">
    <x:cfRule type="containsText" dxfId="448" priority="1" operator="containsText" text="Missing"/>
    <x:cfRule type="containsText" dxfId="449" priority="2" operator="containsText" text="Required"/>
    <x:cfRule type="containsText" dxfId="450" priority="3" operator="containsText" text="required"/>
    <x:cfRule type="containsText" dxfId="451" priority="4" operator="containsText" text="Expired"/>
    <x:cfRule type="containsText" dxfId="452" priority="5" operator="containsText" text="Hold"/>
    <x:cfRule type="containsText" dxfId="453" priority="6" operator="containsText" text="Review"/>
    <x:cfRule type="containsText" dxfId="454" priority="7" operator="containsText" text="Incomplete"/>
    <x:cfRule type="containsText" dxfId="455" priority="8" operator="containsText" text="Pending"/>
    <x:cfRule type="containsText" dxfId="456" priority="9" operator="containsText" text="Unsupported"/>
    <x:cfRule type="containsText" dxfId="457" priority="10" operator="containsText" text="Criteria"/>
    <x:cfRule type="containsText" dxfId="458" priority="11" operator="containsText" text="Fail"/>
    <x:cfRule type="containsText" dxfId="459" priority="12" operator="containsText" text="Stop"/>
    <x:cfRule type="containsText" dxfId="460" priority="13" operator="containsText" text="Breach"/>
    <x:cfRule type="containsText" dxfId="461" priority="14" operator="containsText" text="Invalid"/>
    <x:cfRule type="containsText" dxfId="462" priority="15" operator="containsText" text="Duplicate"/>
    <x:cfRule type="containsText" dxfId="463" priority="16" operator="containsText" text="Not aligned"/>
  </x:conditionalFormatting>
  <x:conditionalFormatting sqref="Y9:Y108">
    <x:cfRule type="containsText" dxfId="464" priority="17" operator="containsText" text="Missing"/>
    <x:cfRule type="containsText" dxfId="465" priority="18" operator="containsText" text="Required"/>
    <x:cfRule type="containsText" dxfId="466" priority="19" operator="containsText" text="required"/>
    <x:cfRule type="containsText" dxfId="467" priority="20" operator="containsText" text="Expired"/>
    <x:cfRule type="containsText" dxfId="468" priority="21" operator="containsText" text="Hold"/>
    <x:cfRule type="containsText" dxfId="469" priority="22" operator="containsText" text="Review"/>
    <x:cfRule type="containsText" dxfId="470" priority="23" operator="containsText" text="Incomplete"/>
    <x:cfRule type="containsText" dxfId="471" priority="24" operator="containsText" text="Pending"/>
    <x:cfRule type="containsText" dxfId="472" priority="25" operator="containsText" text="Unsupported"/>
    <x:cfRule type="containsText" dxfId="473" priority="26" operator="containsText" text="Criteria"/>
    <x:cfRule type="containsText" dxfId="474" priority="27" operator="containsText" text="Fail"/>
    <x:cfRule type="containsText" dxfId="475" priority="28" operator="containsText" text="Stop"/>
    <x:cfRule type="containsText" dxfId="476" priority="29" operator="containsText" text="Breach"/>
    <x:cfRule type="containsText" dxfId="477" priority="30" operator="containsText" text="Invalid"/>
    <x:cfRule type="containsText" dxfId="478" priority="31" operator="containsText" text="Duplicate"/>
    <x:cfRule type="containsText" dxfId="479" priority="32" operator="containsText" text="Not aligned"/>
  </x:conditionalFormatting>
  <x:conditionalFormatting sqref="Z9:Z108">
    <x:cfRule type="containsText" dxfId="480" priority="33" operator="containsText" text="Missing"/>
    <x:cfRule type="containsText" dxfId="481" priority="34" operator="containsText" text="Required"/>
    <x:cfRule type="containsText" dxfId="482" priority="35" operator="containsText" text="required"/>
    <x:cfRule type="containsText" dxfId="483" priority="36" operator="containsText" text="Expired"/>
    <x:cfRule type="containsText" dxfId="484" priority="37" operator="containsText" text="Hold"/>
    <x:cfRule type="containsText" dxfId="485" priority="38" operator="containsText" text="Review"/>
    <x:cfRule type="containsText" dxfId="486" priority="39" operator="containsText" text="Incomplete"/>
    <x:cfRule type="containsText" dxfId="487" priority="40" operator="containsText" text="Pending"/>
    <x:cfRule type="containsText" dxfId="488" priority="41" operator="containsText" text="Unsupported"/>
    <x:cfRule type="containsText" dxfId="489" priority="42" operator="containsText" text="Criteria"/>
    <x:cfRule type="containsText" dxfId="490" priority="43" operator="containsText" text="Fail"/>
    <x:cfRule type="containsText" dxfId="491" priority="44" operator="containsText" text="Stop"/>
    <x:cfRule type="containsText" dxfId="492" priority="45" operator="containsText" text="Breach"/>
    <x:cfRule type="containsText" dxfId="493" priority="46" operator="containsText" text="Invalid"/>
    <x:cfRule type="containsText" dxfId="494" priority="47" operator="containsText" text="Duplicate"/>
    <x:cfRule type="containsText" dxfId="495" priority="48" operator="containsText" text="Not aligned"/>
  </x:conditionalFormatting>
  <x:dataValidations count="7">
    <x:dataValidation type="list" sqref="D6">
      <x:formula1>"Operational control,Financial control"</x:formula1>
    </x:dataValidation>
    <x:dataValidation type="list" sqref="AA9:AA108">
      <x:formula1>"Yes,No"</x:formula1>
    </x:dataValidation>
    <x:dataValidation type="list" sqref="D9:D108">
      <x:formula1>"Egypt,Jordan,UAE"</x:formula1>
    </x:dataValidation>
    <x:dataValidation type="list" sqref="F9:F108">
      <x:formula1>"Yes,No,Unknown"</x:formula1>
    </x:dataValidation>
    <x:dataValidation type="list" sqref="L9:L108">
      <x:formula1>"Yes,No,Unknown"</x:formula1>
    </x:dataValidation>
    <x:dataValidation type="list" sqref="Q9:Q108">
      <x:formula1>"Yes,No,Unknown"</x:formula1>
    </x:dataValidation>
    <x:dataValidation type="list" sqref="O9:O108">
      <x:formula1>"Pass,Fail,Pending,Not applicable"</x:formula1>
    </x:dataValidation>
  </x:dataValidations>
  <x:hyperlinks>
    <x:hyperlink ref="C1" location="'Overview'!C2" display="Home" tooltip="Open Overview"/>
    <x:hyperlink ref="E1" location="'Customer'!C2" display="Customer" tooltip="Open Customer"/>
    <x:hyperlink ref="G1" location="'Capital'!C2" display="Capital" tooltip="Open Capital"/>
    <x:hyperlink ref="I1" location="'Disclosures'!C2" display="Reporting" tooltip="Open Disclosures"/>
    <x:hyperlink ref="K1" location="'Borrowers'!C8" display="Inputs" tooltip="Open Borrowers"/>
    <x:hyperlink ref="M1" location="'Settings'!C5" display="Settings" tooltip="Open Settings"/>
  </x:hyperlinks>
  <x:pageMargins left="0.7" right="0.7" top="0.75" bottom="0.75" header="0.3" footer="0.3"/>
  <x:tableParts count="1">
    <x:tablePart xmlns:r="http://schemas.openxmlformats.org/officeDocument/2006/relationships" r:id="R2cf33bc363b5440d"/>
  </x:tableParts>
</x:worksheet>
</file>

<file path=xl/worksheets/sheet20.xml><?xml version="1.0" encoding="utf-8"?>
<x:worksheet xmlns:x="http://schemas.openxmlformats.org/spreadsheetml/2006/main">
  <x:sheetPr>
    <x:tabColor rgb="FF007F86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2.4000000953674316" hidden="0" customWidth="1"/>
    <x:col min="2" max="2" width="2.4000000953674316" hidden="0" customWidth="1"/>
    <x:col min="3" max="3" width="17" hidden="0" customWidth="1"/>
    <x:col min="4" max="4" width="42" hidden="0" customWidth="1"/>
    <x:col min="5" max="5" width="17" hidden="0" customWidth="1"/>
    <x:col min="6" max="6" width="17" hidden="0" customWidth="1"/>
    <x:col min="7" max="7" width="30" hidden="0" customWidth="1"/>
    <x:col min="8" max="8" width="54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</x:cols>
  <x:sheetData>
    <x:row r="1" ht="27" customHeight="1">
      <x:c r="A1" s="1"/>
      <x:c r="B1" s="1"/>
      <x:c r="C1" s="50" t="str">
        <x:v>Home</x:v>
      </x:c>
      <x:c r="D1" s="50"/>
      <x:c r="E1" s="63" t="str">
        <x:v>Customer</x:v>
      </x:c>
      <x:c r="F1" s="63"/>
      <x:c r="G1" s="63" t="str">
        <x:v>Capital</x:v>
      </x:c>
      <x:c r="H1" s="63"/>
      <x:c r="I1" s="63" t="str">
        <x:v>Reporting</x:v>
      </x:c>
      <x:c r="J1" s="63"/>
      <x:c r="K1" s="63" t="str">
        <x:v>Inputs</x:v>
      </x:c>
      <x:c r="L1" s="63"/>
      <x:c r="M1" s="63" t="str">
        <x:v>Settings</x:v>
      </x:c>
      <x:c r="N1" s="63"/>
      <x:c r="O1" s="3"/>
      <x:c r="P1" s="3"/>
      <x:c r="Q1" s="3"/>
    </x:row>
    <x:row r="2" ht="45" customHeight="1">
      <x:c r="A2" s="1"/>
      <x:c r="B2" s="1"/>
      <x:c r="C2" s="5" t="str">
        <x:v>Bank Scope 3 register</x:v>
      </x:c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</x:row>
    <x:row r="3" ht="32" customHeight="1">
      <x:c r="A3" s="1"/>
      <x:c r="B3" s="1"/>
      <x:c r="C3" s="6" t="str">
        <x:v>All 15 categories. Lending Category 15 S1 + S2 and investee S3 remain separate. Unassessed and justified exclusions are visible.</x:v>
      </x:c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3"/>
      <x:c r="O3" s="3"/>
      <x:c r="P3" s="3"/>
      <x:c r="Q3" s="3"/>
    </x:row>
    <x:row r="4" ht="26" customHeight="1">
      <x:c r="A4" s="1"/>
      <x:c r="B4" s="1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</x:row>
    <x:row r="5" ht="42" customHeight="1">
      <x:c r="A5" s="1"/>
      <x:c r="B5" s="1"/>
      <x:c r="C5" s="3" t="str">
        <x:v>Categories 1–14 t</x:v>
      </x:c>
      <x:c r="D5" s="21" t="n">
        <x:f>SUM(K9:K22)</x:f>
        <x:v>1460</x:v>
      </x:c>
      <x:c r="E5" s="3"/>
      <x:c r="F5" s="3"/>
      <x:c r="G5" s="3" t="str">
        <x:v>Category 15 S1 + S2 t</x:v>
      </x:c>
      <x:c r="H5" s="21" t="n">
        <x:f>K23</x:f>
        <x:v>48668.63080271585</x:v>
      </x:c>
      <x:c r="I5" s="3"/>
      <x:c r="J5" s="3"/>
      <x:c r="K5" s="3" t="str">
        <x:v>Investee S3 t</x:v>
      </x:c>
      <x:c r="L5" s="21" t="n">
        <x:f>Q23</x:f>
        <x:v>93029.8912921727</x:v>
      </x:c>
      <x:c r="M5" s="3"/>
      <x:c r="N5" s="3"/>
      <x:c r="O5" s="3"/>
      <x:c r="P5" s="3"/>
      <x:c r="Q5" s="3"/>
    </x:row>
    <x:row r="6" ht="42" customHeight="1">
      <x:c r="A6" s="1"/>
      <x:c r="B6" s="1"/>
      <x:c r="C6" s="3" t="str">
        <x:v>Screened categories</x:v>
      </x:c>
      <x:c r="D6" s="3" t="n">
        <x:f>COUNTIFS(L9:L23,"Ready")+COUNTIFS(L9:L23,"Not applicable")+COUNTIFS(L9:L23,"Excluded justified")+COUNTIFS(L9:L23,"Modeled lending only")</x:f>
        <x:v>14</x:v>
      </x:c>
      <x:c r="E6" s="3"/>
      <x:c r="F6" s="3"/>
      <x:c r="G6" s="3" t="str">
        <x:v>Full bank inventory</x:v>
      </x:c>
      <x:c r="H6" s="3" t="str">
        <x:f>IF(D6&lt;15,"Screening incomplete","Partial investment coverage")</x:f>
        <x:v>Screening incomplete</x:v>
      </x:c>
      <x:c r="I6" s="3"/>
      <x:c r="J6" s="3"/>
      <x:c r="K6" s="3" t="str">
        <x:v>Method source</x:v>
      </x:c>
      <x:c r="L6" s="3" t="str">
        <x:v>GHG Scope 3 / PCAF</x:v>
      </x:c>
      <x:c r="M6" s="3"/>
      <x:c r="N6" s="3"/>
      <x:c r="O6" s="3"/>
      <x:c r="P6" s="3"/>
      <x:c r="Q6" s="3"/>
    </x:row>
    <x:row r="7" ht="26" customHeight="1">
      <x:c r="A7" s="1"/>
      <x:c r="B7" s="1"/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3"/>
      <x:c r="Q7" s="3"/>
    </x:row>
    <x:row r="8" ht="46" customHeight="1">
      <x:c r="A8" s="1"/>
      <x:c r="B8" s="1"/>
      <x:c r="C8" s="15" t="str">
        <x:v>Category</x:v>
      </x:c>
      <x:c r="D8" s="15" t="str">
        <x:v>Category name</x:v>
      </x:c>
      <x:c r="E8" s="15" t="str">
        <x:v>Disposition</x:v>
      </x:c>
      <x:c r="F8" s="15" t="str">
        <x:v>Gross t input</x:v>
      </x:c>
      <x:c r="G8" s="15" t="str">
        <x:v>Method</x:v>
      </x:c>
      <x:c r="H8" s="15" t="str">
        <x:v>Rationale</x:v>
      </x:c>
      <x:c r="I8" s="15" t="str">
        <x:v>Evidence</x:v>
      </x:c>
      <x:c r="J8" s="15" t="str">
        <x:v>Expires</x:v>
      </x:c>
      <x:c r="K8" s="15" t="str">
        <x:v>Selected gross t</x:v>
      </x:c>
      <x:c r="L8" s="15" t="str">
        <x:v>Category status</x:v>
      </x:c>
      <x:c r="M8" s="15" t="str">
        <x:v>Overlap review</x:v>
      </x:c>
      <x:c r="N8" s="15" t="str">
        <x:v>Boundary review</x:v>
      </x:c>
      <x:c r="O8" s="15" t="str">
        <x:v>Year</x:v>
      </x:c>
      <x:c r="P8" s="15" t="str">
        <x:v>Boundary</x:v>
      </x:c>
      <x:c r="Q8" s="15" t="str">
        <x:v>Investee S3 t</x:v>
      </x:c>
    </x:row>
    <x:row r="9" ht="50" customHeight="1">
      <x:c r="A9" s="1"/>
      <x:c r="B9" s="1"/>
      <x:c r="C9" s="3" t="n">
        <x:v>1</x:v>
      </x:c>
      <x:c r="D9" s="3" t="str">
        <x:v>Purchased goods and services</x:v>
      </x:c>
      <x:c r="E9" s="8" t="str">
        <x:v>Included</x:v>
      </x:c>
      <x:c r="F9" s="16" t="n">
        <x:v>650</x:v>
      </x:c>
      <x:c r="G9" s="8" t="str">
        <x:v>Synthetic activity estimate</x:v>
      </x:c>
      <x:c r="H9" s="8" t="str">
        <x:v>Gross emissions; no offsets netted</x:v>
      </x:c>
      <x:c r="I9" s="8" t="str">
        <x:v>SYN-S3-BANK-1</x:v>
      </x:c>
      <x:c r="J9" s="40" t="n">
        <x:v>46752</x:v>
      </x:c>
      <x:c r="K9" s="21" t="n">
        <x:f>IF(OR(L9="Ready",L9="Modeled lending only"),F9,"")</x:f>
        <x:v>650</x:v>
      </x:c>
      <x:c r="L9" s="9" t="str">
        <x:f>IF(C9="","",IF(COUNTIFS($C$9:$C$23,C9)&lt;&gt;1,"Duplicate category",IF(E9="Not assessed","Not assessed",IF(OR(I9="",H9="",NOT(ISNUMBER(J9)),J9&lt;'Settings'!$F$8,O9&lt;&gt;YEAR('Settings'!$F$8),M9&lt;&gt;"Pass",N9&lt;&gt;"Pass"),"Evidence / boundary review",IF(E9="Included",IF(OR(G9="",NOT(ISNUMBER(F9)),F9&lt;0),"Amount / method required",IF(C9=15,"Modeled lending only","Ready")),IF(E9="Not applicable","Not applicable",IF(E9="Excluded justified","Excluded justified","Disposition required")))))))</x:f>
        <x:v>Ready</x:v>
      </x:c>
      <x:c r="M9" s="8" t="str">
        <x:v>Pass</x:v>
      </x:c>
      <x:c r="N9" s="8" t="str">
        <x:v>Pass</x:v>
      </x:c>
      <x:c r="O9" s="8" t="n">
        <x:v>2026</x:v>
      </x:c>
      <x:c r="P9" s="8" t="str">
        <x:v>Bank controlled group</x:v>
      </x:c>
      <x:c r="Q9" s="21"/>
    </x:row>
    <x:row r="10" ht="50" customHeight="1">
      <x:c r="A10" s="1"/>
      <x:c r="B10" s="1"/>
      <x:c r="C10" s="3" t="n">
        <x:v>2</x:v>
      </x:c>
      <x:c r="D10" s="3" t="str">
        <x:v>Capital goods</x:v>
      </x:c>
      <x:c r="E10" s="8" t="str">
        <x:v>Included</x:v>
      </x:c>
      <x:c r="F10" s="16" t="n">
        <x:v>80</x:v>
      </x:c>
      <x:c r="G10" s="8" t="str">
        <x:v>Synthetic activity estimate</x:v>
      </x:c>
      <x:c r="H10" s="8" t="str">
        <x:v>Gross emissions; no offsets netted</x:v>
      </x:c>
      <x:c r="I10" s="8" t="str">
        <x:v>SYN-S3-BANK-2</x:v>
      </x:c>
      <x:c r="J10" s="40" t="n">
        <x:v>46752</x:v>
      </x:c>
      <x:c r="K10" s="21" t="n">
        <x:f>IF(OR(L10="Ready",L10="Modeled lending only"),F10,"")</x:f>
        <x:v>80</x:v>
      </x:c>
      <x:c r="L10" s="9" t="str">
        <x:f>IF(C10="","",IF(COUNTIFS($C$9:$C$23,C10)&lt;&gt;1,"Duplicate category",IF(E10="Not assessed","Not assessed",IF(OR(I10="",H10="",NOT(ISNUMBER(J10)),J10&lt;'Settings'!$F$8,O10&lt;&gt;YEAR('Settings'!$F$8),M10&lt;&gt;"Pass",N10&lt;&gt;"Pass"),"Evidence / boundary review",IF(E10="Included",IF(OR(G10="",NOT(ISNUMBER(F10)),F10&lt;0),"Amount / method required",IF(C10=15,"Modeled lending only","Ready")),IF(E10="Not applicable","Not applicable",IF(E10="Excluded justified","Excluded justified","Disposition required")))))))</x:f>
        <x:v>Ready</x:v>
      </x:c>
      <x:c r="M10" s="8" t="str">
        <x:v>Pass</x:v>
      </x:c>
      <x:c r="N10" s="8" t="str">
        <x:v>Pass</x:v>
      </x:c>
      <x:c r="O10" s="8" t="n">
        <x:v>2026</x:v>
      </x:c>
      <x:c r="P10" s="8" t="str">
        <x:v>Bank controlled group</x:v>
      </x:c>
      <x:c r="Q10" s="21"/>
    </x:row>
    <x:row r="11" ht="50" customHeight="1">
      <x:c r="A11" s="1"/>
      <x:c r="B11" s="1"/>
      <x:c r="C11" s="3" t="n">
        <x:v>3</x:v>
      </x:c>
      <x:c r="D11" s="3" t="str">
        <x:v>Fuel and energy related activities</x:v>
      </x:c>
      <x:c r="E11" s="8" t="str">
        <x:v>Included</x:v>
      </x:c>
      <x:c r="F11" s="16" t="n">
        <x:v>120</x:v>
      </x:c>
      <x:c r="G11" s="8" t="str">
        <x:v>Synthetic activity estimate</x:v>
      </x:c>
      <x:c r="H11" s="8" t="str">
        <x:v>Gross emissions; no offsets netted</x:v>
      </x:c>
      <x:c r="I11" s="8" t="str">
        <x:v>SYN-S3-BANK-3</x:v>
      </x:c>
      <x:c r="J11" s="40" t="n">
        <x:v>46752</x:v>
      </x:c>
      <x:c r="K11" s="21" t="n">
        <x:f>IF(OR(L11="Ready",L11="Modeled lending only"),F11,"")</x:f>
        <x:v>120</x:v>
      </x:c>
      <x:c r="L11" s="9" t="str">
        <x:f>IF(C11="","",IF(COUNTIFS($C$9:$C$23,C11)&lt;&gt;1,"Duplicate category",IF(E11="Not assessed","Not assessed",IF(OR(I11="",H11="",NOT(ISNUMBER(J11)),J11&lt;'Settings'!$F$8,O11&lt;&gt;YEAR('Settings'!$F$8),M11&lt;&gt;"Pass",N11&lt;&gt;"Pass"),"Evidence / boundary review",IF(E11="Included",IF(OR(G11="",NOT(ISNUMBER(F11)),F11&lt;0),"Amount / method required",IF(C11=15,"Modeled lending only","Ready")),IF(E11="Not applicable","Not applicable",IF(E11="Excluded justified","Excluded justified","Disposition required")))))))</x:f>
        <x:v>Ready</x:v>
      </x:c>
      <x:c r="M11" s="8" t="str">
        <x:v>Pass</x:v>
      </x:c>
      <x:c r="N11" s="8" t="str">
        <x:v>Pass</x:v>
      </x:c>
      <x:c r="O11" s="8" t="n">
        <x:v>2026</x:v>
      </x:c>
      <x:c r="P11" s="8" t="str">
        <x:v>Bank controlled group</x:v>
      </x:c>
      <x:c r="Q11" s="21"/>
    </x:row>
    <x:row r="12" ht="50" customHeight="1">
      <x:c r="A12" s="1"/>
      <x:c r="B12" s="1"/>
      <x:c r="C12" s="3" t="n">
        <x:v>4</x:v>
      </x:c>
      <x:c r="D12" s="3" t="str">
        <x:v>Upstream transportation</x:v>
      </x:c>
      <x:c r="E12" s="8" t="str">
        <x:v>Included</x:v>
      </x:c>
      <x:c r="F12" s="16" t="n">
        <x:v>22</x:v>
      </x:c>
      <x:c r="G12" s="8" t="str">
        <x:v>Synthetic activity estimate</x:v>
      </x:c>
      <x:c r="H12" s="8" t="str">
        <x:v>Gross emissions; no offsets netted</x:v>
      </x:c>
      <x:c r="I12" s="8" t="str">
        <x:v>SYN-S3-BANK-4</x:v>
      </x:c>
      <x:c r="J12" s="40" t="n">
        <x:v>46752</x:v>
      </x:c>
      <x:c r="K12" s="21" t="n">
        <x:f>IF(OR(L12="Ready",L12="Modeled lending only"),F12,"")</x:f>
        <x:v>22</x:v>
      </x:c>
      <x:c r="L12" s="9" t="str">
        <x:f>IF(C12="","",IF(COUNTIFS($C$9:$C$23,C12)&lt;&gt;1,"Duplicate category",IF(E12="Not assessed","Not assessed",IF(OR(I12="",H12="",NOT(ISNUMBER(J12)),J12&lt;'Settings'!$F$8,O12&lt;&gt;YEAR('Settings'!$F$8),M12&lt;&gt;"Pass",N12&lt;&gt;"Pass"),"Evidence / boundary review",IF(E12="Included",IF(OR(G12="",NOT(ISNUMBER(F12)),F12&lt;0),"Amount / method required",IF(C12=15,"Modeled lending only","Ready")),IF(E12="Not applicable","Not applicable",IF(E12="Excluded justified","Excluded justified","Disposition required")))))))</x:f>
        <x:v>Ready</x:v>
      </x:c>
      <x:c r="M12" s="8" t="str">
        <x:v>Pass</x:v>
      </x:c>
      <x:c r="N12" s="8" t="str">
        <x:v>Pass</x:v>
      </x:c>
      <x:c r="O12" s="8" t="n">
        <x:v>2026</x:v>
      </x:c>
      <x:c r="P12" s="8" t="str">
        <x:v>Bank controlled group</x:v>
      </x:c>
      <x:c r="Q12" s="21"/>
    </x:row>
    <x:row r="13" ht="50" customHeight="1">
      <x:c r="A13" s="1"/>
      <x:c r="B13" s="1"/>
      <x:c r="C13" s="3" t="n">
        <x:v>5</x:v>
      </x:c>
      <x:c r="D13" s="3" t="str">
        <x:v>Waste generated in operations</x:v>
      </x:c>
      <x:c r="E13" s="8" t="str">
        <x:v>Included</x:v>
      </x:c>
      <x:c r="F13" s="16" t="n">
        <x:v>18</x:v>
      </x:c>
      <x:c r="G13" s="8" t="str">
        <x:v>Synthetic activity estimate</x:v>
      </x:c>
      <x:c r="H13" s="8" t="str">
        <x:v>Gross emissions; no offsets netted</x:v>
      </x:c>
      <x:c r="I13" s="8" t="str">
        <x:v>SYN-S3-BANK-5</x:v>
      </x:c>
      <x:c r="J13" s="40" t="n">
        <x:v>46752</x:v>
      </x:c>
      <x:c r="K13" s="21" t="n">
        <x:f>IF(OR(L13="Ready",L13="Modeled lending only"),F13,"")</x:f>
        <x:v>18</x:v>
      </x:c>
      <x:c r="L13" s="9" t="str">
        <x:f>IF(C13="","",IF(COUNTIFS($C$9:$C$23,C13)&lt;&gt;1,"Duplicate category",IF(E13="Not assessed","Not assessed",IF(OR(I13="",H13="",NOT(ISNUMBER(J13)),J13&lt;'Settings'!$F$8,O13&lt;&gt;YEAR('Settings'!$F$8),M13&lt;&gt;"Pass",N13&lt;&gt;"Pass"),"Evidence / boundary review",IF(E13="Included",IF(OR(G13="",NOT(ISNUMBER(F13)),F13&lt;0),"Amount / method required",IF(C13=15,"Modeled lending only","Ready")),IF(E13="Not applicable","Not applicable",IF(E13="Excluded justified","Excluded justified","Disposition required")))))))</x:f>
        <x:v>Ready</x:v>
      </x:c>
      <x:c r="M13" s="8" t="str">
        <x:v>Pass</x:v>
      </x:c>
      <x:c r="N13" s="8" t="str">
        <x:v>Pass</x:v>
      </x:c>
      <x:c r="O13" s="8" t="n">
        <x:v>2026</x:v>
      </x:c>
      <x:c r="P13" s="8" t="str">
        <x:v>Bank controlled group</x:v>
      </x:c>
      <x:c r="Q13" s="21"/>
    </x:row>
    <x:row r="14" ht="50" customHeight="1">
      <x:c r="A14" s="1"/>
      <x:c r="B14" s="1"/>
      <x:c r="C14" s="3" t="n">
        <x:v>6</x:v>
      </x:c>
      <x:c r="D14" s="3" t="str">
        <x:v>Business travel</x:v>
      </x:c>
      <x:c r="E14" s="8" t="str">
        <x:v>Included</x:v>
      </x:c>
      <x:c r="F14" s="16" t="n">
        <x:v>260</x:v>
      </x:c>
      <x:c r="G14" s="8" t="str">
        <x:v>Synthetic activity estimate</x:v>
      </x:c>
      <x:c r="H14" s="8" t="str">
        <x:v>Gross emissions; no offsets netted</x:v>
      </x:c>
      <x:c r="I14" s="8" t="str">
        <x:v>SYN-S3-BANK-6</x:v>
      </x:c>
      <x:c r="J14" s="40" t="n">
        <x:v>46752</x:v>
      </x:c>
      <x:c r="K14" s="21" t="n">
        <x:f>IF(OR(L14="Ready",L14="Modeled lending only"),F14,"")</x:f>
        <x:v>260</x:v>
      </x:c>
      <x:c r="L14" s="9" t="str">
        <x:f>IF(C14="","",IF(COUNTIFS($C$9:$C$23,C14)&lt;&gt;1,"Duplicate category",IF(E14="Not assessed","Not assessed",IF(OR(I14="",H14="",NOT(ISNUMBER(J14)),J14&lt;'Settings'!$F$8,O14&lt;&gt;YEAR('Settings'!$F$8),M14&lt;&gt;"Pass",N14&lt;&gt;"Pass"),"Evidence / boundary review",IF(E14="Included",IF(OR(G14="",NOT(ISNUMBER(F14)),F14&lt;0),"Amount / method required",IF(C14=15,"Modeled lending only","Ready")),IF(E14="Not applicable","Not applicable",IF(E14="Excluded justified","Excluded justified","Disposition required")))))))</x:f>
        <x:v>Ready</x:v>
      </x:c>
      <x:c r="M14" s="8" t="str">
        <x:v>Pass</x:v>
      </x:c>
      <x:c r="N14" s="8" t="str">
        <x:v>Pass</x:v>
      </x:c>
      <x:c r="O14" s="8" t="n">
        <x:v>2026</x:v>
      </x:c>
      <x:c r="P14" s="8" t="str">
        <x:v>Bank controlled group</x:v>
      </x:c>
      <x:c r="Q14" s="21"/>
    </x:row>
    <x:row r="15" ht="50" customHeight="1">
      <x:c r="A15" s="1"/>
      <x:c r="B15" s="1"/>
      <x:c r="C15" s="3" t="n">
        <x:v>7</x:v>
      </x:c>
      <x:c r="D15" s="3" t="str">
        <x:v>Employee commuting</x:v>
      </x:c>
      <x:c r="E15" s="8" t="str">
        <x:v>Included</x:v>
      </x:c>
      <x:c r="F15" s="16" t="n">
        <x:v>310</x:v>
      </x:c>
      <x:c r="G15" s="8" t="str">
        <x:v>Synthetic activity estimate</x:v>
      </x:c>
      <x:c r="H15" s="8" t="str">
        <x:v>Gross emissions; no offsets netted</x:v>
      </x:c>
      <x:c r="I15" s="8" t="str">
        <x:v>SYN-S3-BANK-7</x:v>
      </x:c>
      <x:c r="J15" s="40" t="n">
        <x:v>46752</x:v>
      </x:c>
      <x:c r="K15" s="21" t="n">
        <x:f>IF(OR(L15="Ready",L15="Modeled lending only"),F15,"")</x:f>
        <x:v>310</x:v>
      </x:c>
      <x:c r="L15" s="9" t="str">
        <x:f>IF(C15="","",IF(COUNTIFS($C$9:$C$23,C15)&lt;&gt;1,"Duplicate category",IF(E15="Not assessed","Not assessed",IF(OR(I15="",H15="",NOT(ISNUMBER(J15)),J15&lt;'Settings'!$F$8,O15&lt;&gt;YEAR('Settings'!$F$8),M15&lt;&gt;"Pass",N15&lt;&gt;"Pass"),"Evidence / boundary review",IF(E15="Included",IF(OR(G15="",NOT(ISNUMBER(F15)),F15&lt;0),"Amount / method required",IF(C15=15,"Modeled lending only","Ready")),IF(E15="Not applicable","Not applicable",IF(E15="Excluded justified","Excluded justified","Disposition required")))))))</x:f>
        <x:v>Ready</x:v>
      </x:c>
      <x:c r="M15" s="8" t="str">
        <x:v>Pass</x:v>
      </x:c>
      <x:c r="N15" s="8" t="str">
        <x:v>Pass</x:v>
      </x:c>
      <x:c r="O15" s="8" t="n">
        <x:v>2026</x:v>
      </x:c>
      <x:c r="P15" s="8" t="str">
        <x:v>Bank controlled group</x:v>
      </x:c>
      <x:c r="Q15" s="21"/>
    </x:row>
    <x:row r="16" ht="50" customHeight="1">
      <x:c r="A16" s="1"/>
      <x:c r="B16" s="1"/>
      <x:c r="C16" s="3" t="n">
        <x:v>8</x:v>
      </x:c>
      <x:c r="D16" s="3" t="str">
        <x:v>Upstream leased assets</x:v>
      </x:c>
      <x:c r="E16" s="8" t="str">
        <x:v>Not applicable</x:v>
      </x:c>
      <x:c r="F16" s="16"/>
      <x:c r="G16" s="8" t="str">
        <x:v>Boundary screen</x:v>
      </x:c>
      <x:c r="H16" s="8" t="str">
        <x:v>Controlled premises included in S1 / S2</x:v>
      </x:c>
      <x:c r="I16" s="8" t="str">
        <x:v>SYN-S3-BANK-8</x:v>
      </x:c>
      <x:c r="J16" s="40" t="n">
        <x:v>46752</x:v>
      </x:c>
      <x:c r="K16" s="21" t="str">
        <x:f>IF(OR(L16="Ready",L16="Modeled lending only"),F16,"")</x:f>
      </x:c>
      <x:c r="L16" s="9" t="str">
        <x:f>IF(C16="","",IF(COUNTIFS($C$9:$C$23,C16)&lt;&gt;1,"Duplicate category",IF(E16="Not assessed","Not assessed",IF(OR(I16="",H16="",NOT(ISNUMBER(J16)),J16&lt;'Settings'!$F$8,O16&lt;&gt;YEAR('Settings'!$F$8),M16&lt;&gt;"Pass",N16&lt;&gt;"Pass"),"Evidence / boundary review",IF(E16="Included",IF(OR(G16="",NOT(ISNUMBER(F16)),F16&lt;0),"Amount / method required",IF(C16=15,"Modeled lending only","Ready")),IF(E16="Not applicable","Not applicable",IF(E16="Excluded justified","Excluded justified","Disposition required")))))))</x:f>
        <x:v>Not applicable</x:v>
      </x:c>
      <x:c r="M16" s="8" t="str">
        <x:v>Pass</x:v>
      </x:c>
      <x:c r="N16" s="8" t="str">
        <x:v>Pass</x:v>
      </x:c>
      <x:c r="O16" s="8" t="n">
        <x:v>2026</x:v>
      </x:c>
      <x:c r="P16" s="8" t="str">
        <x:v>Bank controlled group</x:v>
      </x:c>
      <x:c r="Q16" s="21"/>
    </x:row>
    <x:row r="17" ht="50" customHeight="1">
      <x:c r="A17" s="1"/>
      <x:c r="B17" s="1"/>
      <x:c r="C17" s="3" t="n">
        <x:v>9</x:v>
      </x:c>
      <x:c r="D17" s="3" t="str">
        <x:v>Downstream transportation</x:v>
      </x:c>
      <x:c r="E17" s="8" t="str">
        <x:v>Not applicable</x:v>
      </x:c>
      <x:c r="F17" s="16"/>
      <x:c r="G17" s="8" t="str">
        <x:v>Boundary screen</x:v>
      </x:c>
      <x:c r="H17" s="8" t="str">
        <x:v>No activity in synthetic bank boundary</x:v>
      </x:c>
      <x:c r="I17" s="8" t="str">
        <x:v>SYN-S3-BANK-9</x:v>
      </x:c>
      <x:c r="J17" s="40" t="n">
        <x:v>46752</x:v>
      </x:c>
      <x:c r="K17" s="21" t="str">
        <x:f>IF(OR(L17="Ready",L17="Modeled lending only"),F17,"")</x:f>
      </x:c>
      <x:c r="L17" s="9" t="str">
        <x:f>IF(C17="","",IF(COUNTIFS($C$9:$C$23,C17)&lt;&gt;1,"Duplicate category",IF(E17="Not assessed","Not assessed",IF(OR(I17="",H17="",NOT(ISNUMBER(J17)),J17&lt;'Settings'!$F$8,O17&lt;&gt;YEAR('Settings'!$F$8),M17&lt;&gt;"Pass",N17&lt;&gt;"Pass"),"Evidence / boundary review",IF(E17="Included",IF(OR(G17="",NOT(ISNUMBER(F17)),F17&lt;0),"Amount / method required",IF(C17=15,"Modeled lending only","Ready")),IF(E17="Not applicable","Not applicable",IF(E17="Excluded justified","Excluded justified","Disposition required")))))))</x:f>
        <x:v>Not applicable</x:v>
      </x:c>
      <x:c r="M17" s="8" t="str">
        <x:v>Pass</x:v>
      </x:c>
      <x:c r="N17" s="8" t="str">
        <x:v>Pass</x:v>
      </x:c>
      <x:c r="O17" s="8" t="n">
        <x:v>2026</x:v>
      </x:c>
      <x:c r="P17" s="8" t="str">
        <x:v>Bank controlled group</x:v>
      </x:c>
      <x:c r="Q17" s="21"/>
    </x:row>
    <x:row r="18" ht="50" customHeight="1">
      <x:c r="A18" s="1"/>
      <x:c r="B18" s="1"/>
      <x:c r="C18" s="3" t="n">
        <x:v>10</x:v>
      </x:c>
      <x:c r="D18" s="3" t="str">
        <x:v>Processing of sold products</x:v>
      </x:c>
      <x:c r="E18" s="8" t="str">
        <x:v>Not applicable</x:v>
      </x:c>
      <x:c r="F18" s="16"/>
      <x:c r="G18" s="8" t="str">
        <x:v>Boundary screen</x:v>
      </x:c>
      <x:c r="H18" s="8" t="str">
        <x:v>No activity in synthetic bank boundary</x:v>
      </x:c>
      <x:c r="I18" s="8" t="str">
        <x:v>SYN-S3-BANK-10</x:v>
      </x:c>
      <x:c r="J18" s="40" t="n">
        <x:v>46752</x:v>
      </x:c>
      <x:c r="K18" s="21" t="str">
        <x:f>IF(OR(L18="Ready",L18="Modeled lending only"),F18,"")</x:f>
      </x:c>
      <x:c r="L18" s="9" t="str">
        <x:f>IF(C18="","",IF(COUNTIFS($C$9:$C$23,C18)&lt;&gt;1,"Duplicate category",IF(E18="Not assessed","Not assessed",IF(OR(I18="",H18="",NOT(ISNUMBER(J18)),J18&lt;'Settings'!$F$8,O18&lt;&gt;YEAR('Settings'!$F$8),M18&lt;&gt;"Pass",N18&lt;&gt;"Pass"),"Evidence / boundary review",IF(E18="Included",IF(OR(G18="",NOT(ISNUMBER(F18)),F18&lt;0),"Amount / method required",IF(C18=15,"Modeled lending only","Ready")),IF(E18="Not applicable","Not applicable",IF(E18="Excluded justified","Excluded justified","Disposition required")))))))</x:f>
        <x:v>Not applicable</x:v>
      </x:c>
      <x:c r="M18" s="8" t="str">
        <x:v>Pass</x:v>
      </x:c>
      <x:c r="N18" s="8" t="str">
        <x:v>Pass</x:v>
      </x:c>
      <x:c r="O18" s="8" t="n">
        <x:v>2026</x:v>
      </x:c>
      <x:c r="P18" s="8" t="str">
        <x:v>Bank controlled group</x:v>
      </x:c>
      <x:c r="Q18" s="21"/>
    </x:row>
    <x:row r="19" ht="50" customHeight="1">
      <x:c r="A19" s="1"/>
      <x:c r="B19" s="1"/>
      <x:c r="C19" s="3" t="n">
        <x:v>11</x:v>
      </x:c>
      <x:c r="D19" s="3" t="str">
        <x:v>Use of sold products</x:v>
      </x:c>
      <x:c r="E19" s="8" t="str">
        <x:v>Not applicable</x:v>
      </x:c>
      <x:c r="F19" s="16"/>
      <x:c r="G19" s="8" t="str">
        <x:v>Boundary screen</x:v>
      </x:c>
      <x:c r="H19" s="8" t="str">
        <x:v>No activity in synthetic bank boundary</x:v>
      </x:c>
      <x:c r="I19" s="8" t="str">
        <x:v>SYN-S3-BANK-11</x:v>
      </x:c>
      <x:c r="J19" s="40" t="n">
        <x:v>46752</x:v>
      </x:c>
      <x:c r="K19" s="21" t="str">
        <x:f>IF(OR(L19="Ready",L19="Modeled lending only"),F19,"")</x:f>
      </x:c>
      <x:c r="L19" s="9" t="str">
        <x:f>IF(C19="","",IF(COUNTIFS($C$9:$C$23,C19)&lt;&gt;1,"Duplicate category",IF(E19="Not assessed","Not assessed",IF(OR(I19="",H19="",NOT(ISNUMBER(J19)),J19&lt;'Settings'!$F$8,O19&lt;&gt;YEAR('Settings'!$F$8),M19&lt;&gt;"Pass",N19&lt;&gt;"Pass"),"Evidence / boundary review",IF(E19="Included",IF(OR(G19="",NOT(ISNUMBER(F19)),F19&lt;0),"Amount / method required",IF(C19=15,"Modeled lending only","Ready")),IF(E19="Not applicable","Not applicable",IF(E19="Excluded justified","Excluded justified","Disposition required")))))))</x:f>
        <x:v>Not applicable</x:v>
      </x:c>
      <x:c r="M19" s="8" t="str">
        <x:v>Pass</x:v>
      </x:c>
      <x:c r="N19" s="8" t="str">
        <x:v>Pass</x:v>
      </x:c>
      <x:c r="O19" s="8" t="n">
        <x:v>2026</x:v>
      </x:c>
      <x:c r="P19" s="8" t="str">
        <x:v>Bank controlled group</x:v>
      </x:c>
      <x:c r="Q19" s="21"/>
    </x:row>
    <x:row r="20" ht="50" customHeight="1">
      <x:c r="A20" s="1"/>
      <x:c r="B20" s="1"/>
      <x:c r="C20" s="3" t="n">
        <x:v>12</x:v>
      </x:c>
      <x:c r="D20" s="3" t="str">
        <x:v>End of life of sold products</x:v>
      </x:c>
      <x:c r="E20" s="8" t="str">
        <x:v>Not applicable</x:v>
      </x:c>
      <x:c r="F20" s="16"/>
      <x:c r="G20" s="8" t="str">
        <x:v>Boundary screen</x:v>
      </x:c>
      <x:c r="H20" s="8" t="str">
        <x:v>No activity in synthetic bank boundary</x:v>
      </x:c>
      <x:c r="I20" s="8" t="str">
        <x:v>SYN-S3-BANK-12</x:v>
      </x:c>
      <x:c r="J20" s="40" t="n">
        <x:v>46752</x:v>
      </x:c>
      <x:c r="K20" s="21" t="str">
        <x:f>IF(OR(L20="Ready",L20="Modeled lending only"),F20,"")</x:f>
      </x:c>
      <x:c r="L20" s="9" t="str">
        <x:f>IF(C20="","",IF(COUNTIFS($C$9:$C$23,C20)&lt;&gt;1,"Duplicate category",IF(E20="Not assessed","Not assessed",IF(OR(I20="",H20="",NOT(ISNUMBER(J20)),J20&lt;'Settings'!$F$8,O20&lt;&gt;YEAR('Settings'!$F$8),M20&lt;&gt;"Pass",N20&lt;&gt;"Pass"),"Evidence / boundary review",IF(E20="Included",IF(OR(G20="",NOT(ISNUMBER(F20)),F20&lt;0),"Amount / method required",IF(C20=15,"Modeled lending only","Ready")),IF(E20="Not applicable","Not applicable",IF(E20="Excluded justified","Excluded justified","Disposition required")))))))</x:f>
        <x:v>Not applicable</x:v>
      </x:c>
      <x:c r="M20" s="8" t="str">
        <x:v>Pass</x:v>
      </x:c>
      <x:c r="N20" s="8" t="str">
        <x:v>Pass</x:v>
      </x:c>
      <x:c r="O20" s="8" t="n">
        <x:v>2026</x:v>
      </x:c>
      <x:c r="P20" s="8" t="str">
        <x:v>Bank controlled group</x:v>
      </x:c>
      <x:c r="Q20" s="21"/>
    </x:row>
    <x:row r="21" ht="50" customHeight="1">
      <x:c r="A21" s="1"/>
      <x:c r="B21" s="1"/>
      <x:c r="C21" s="3" t="n">
        <x:v>13</x:v>
      </x:c>
      <x:c r="D21" s="3" t="str">
        <x:v>Downstream leased assets</x:v>
      </x:c>
      <x:c r="E21" s="8" t="str">
        <x:v>Not assessed</x:v>
      </x:c>
      <x:c r="F21" s="16"/>
      <x:c r="G21" s="8" t="str"/>
      <x:c r="H21" s="8" t="str">
        <x:v>Assessment outstanding</x:v>
      </x:c>
      <x:c r="I21" s="8" t="str"/>
      <x:c r="J21" s="40" t="n">
        <x:v>46752</x:v>
      </x:c>
      <x:c r="K21" s="21" t="str">
        <x:f>IF(OR(L21="Ready",L21="Modeled lending only"),F21,"")</x:f>
      </x:c>
      <x:c r="L21" s="9" t="str">
        <x:f>IF(C21="","",IF(COUNTIFS($C$9:$C$23,C21)&lt;&gt;1,"Duplicate category",IF(E21="Not assessed","Not assessed",IF(OR(I21="",H21="",NOT(ISNUMBER(J21)),J21&lt;'Settings'!$F$8,O21&lt;&gt;YEAR('Settings'!$F$8),M21&lt;&gt;"Pass",N21&lt;&gt;"Pass"),"Evidence / boundary review",IF(E21="Included",IF(OR(G21="",NOT(ISNUMBER(F21)),F21&lt;0),"Amount / method required",IF(C21=15,"Modeled lending only","Ready")),IF(E21="Not applicable","Not applicable",IF(E21="Excluded justified","Excluded justified","Disposition required")))))))</x:f>
        <x:v>Not assessed</x:v>
      </x:c>
      <x:c r="M21" s="8" t="str">
        <x:v>Pending</x:v>
      </x:c>
      <x:c r="N21" s="8" t="str">
        <x:v>Pending</x:v>
      </x:c>
      <x:c r="O21" s="8" t="n">
        <x:v>2026</x:v>
      </x:c>
      <x:c r="P21" s="8" t="str">
        <x:v>Bank controlled group</x:v>
      </x:c>
      <x:c r="Q21" s="21"/>
    </x:row>
    <x:row r="22" ht="50" customHeight="1">
      <x:c r="A22" s="1"/>
      <x:c r="B22" s="1"/>
      <x:c r="C22" s="3" t="n">
        <x:v>14</x:v>
      </x:c>
      <x:c r="D22" s="3" t="str">
        <x:v>Franchises</x:v>
      </x:c>
      <x:c r="E22" s="8" t="str">
        <x:v>Not applicable</x:v>
      </x:c>
      <x:c r="F22" s="16"/>
      <x:c r="G22" s="8" t="str">
        <x:v>Boundary screen</x:v>
      </x:c>
      <x:c r="H22" s="8" t="str">
        <x:v>No activity in synthetic bank boundary</x:v>
      </x:c>
      <x:c r="I22" s="8" t="str">
        <x:v>SYN-S3-BANK-14</x:v>
      </x:c>
      <x:c r="J22" s="40" t="n">
        <x:v>46752</x:v>
      </x:c>
      <x:c r="K22" s="21" t="str">
        <x:f>IF(OR(L22="Ready",L22="Modeled lending only"),F22,"")</x:f>
      </x:c>
      <x:c r="L22" s="9" t="str">
        <x:f>IF(C22="","",IF(COUNTIFS($C$9:$C$23,C22)&lt;&gt;1,"Duplicate category",IF(E22="Not assessed","Not assessed",IF(OR(I22="",H22="",NOT(ISNUMBER(J22)),J22&lt;'Settings'!$F$8,O22&lt;&gt;YEAR('Settings'!$F$8),M22&lt;&gt;"Pass",N22&lt;&gt;"Pass"),"Evidence / boundary review",IF(E22="Included",IF(OR(G22="",NOT(ISNUMBER(F22)),F22&lt;0),"Amount / method required",IF(C22=15,"Modeled lending only","Ready")),IF(E22="Not applicable","Not applicable",IF(E22="Excluded justified","Excluded justified","Disposition required")))))))</x:f>
        <x:v>Not applicable</x:v>
      </x:c>
      <x:c r="M22" s="8" t="str">
        <x:v>Pass</x:v>
      </x:c>
      <x:c r="N22" s="8" t="str">
        <x:v>Pass</x:v>
      </x:c>
      <x:c r="O22" s="8" t="n">
        <x:v>2026</x:v>
      </x:c>
      <x:c r="P22" s="8" t="str">
        <x:v>Bank controlled group</x:v>
      </x:c>
      <x:c r="Q22" s="21"/>
    </x:row>
    <x:row r="23" ht="50" customHeight="1">
      <x:c r="A23" s="1"/>
      <x:c r="B23" s="1"/>
      <x:c r="C23" s="3" t="n">
        <x:v>15</x:v>
      </x:c>
      <x:c r="D23" s="3" t="str">
        <x:v>Investments</x:v>
      </x:c>
      <x:c r="E23" s="8" t="str">
        <x:v>Included</x:v>
      </x:c>
      <x:c r="F23" s="23" t="n">
        <x:f>'Financed Emissions'!D5</x:f>
        <x:v>48668.63080271585</x:v>
      </x:c>
      <x:c r="G23" s="8" t="str">
        <x:v>PCAF core lending</x:v>
      </x:c>
      <x:c r="H23" s="8" t="str">
        <x:v>Modeled lending only; other investment classes unassessed</x:v>
      </x:c>
      <x:c r="I23" s="8" t="str">
        <x:v>SYN-S3-BANK-15</x:v>
      </x:c>
      <x:c r="J23" s="40" t="n">
        <x:v>46752</x:v>
      </x:c>
      <x:c r="K23" s="21" t="n">
        <x:f>IF(OR(L23="Ready",L23="Modeled lending only"),F23,"")</x:f>
        <x:v>48668.63080271585</x:v>
      </x:c>
      <x:c r="L23" s="9" t="str">
        <x:f>IF(C23="","",IF(COUNTIFS($C$9:$C$23,C23)&lt;&gt;1,"Duplicate category",IF(E23="Not assessed","Not assessed",IF(OR(I23="",H23="",NOT(ISNUMBER(J23)),J23&lt;'Settings'!$F$8,O23&lt;&gt;YEAR('Settings'!$F$8),M23&lt;&gt;"Pass",N23&lt;&gt;"Pass"),"Evidence / boundary review",IF(E23="Included",IF(OR(G23="",NOT(ISNUMBER(F23)),F23&lt;0),"Amount / method required",IF(C23=15,"Modeled lending only","Ready")),IF(E23="Not applicable","Not applicable",IF(E23="Excluded justified","Excluded justified","Disposition required")))))))</x:f>
        <x:v>Modeled lending only</x:v>
      </x:c>
      <x:c r="M23" s="8" t="str">
        <x:v>Pass</x:v>
      </x:c>
      <x:c r="N23" s="8" t="str">
        <x:v>Pass</x:v>
      </x:c>
      <x:c r="O23" s="8" t="n">
        <x:v>2026</x:v>
      </x:c>
      <x:c r="P23" s="8" t="str">
        <x:v>Bank controlled group</x:v>
      </x:c>
      <x:c r="Q23" s="23" t="n">
        <x:f>'Financed Emissions'!$H$5</x:f>
        <x:v>93029.8912921727</x:v>
      </x:c>
    </x:row>
    <x:row r="24" ht="50" customHeight="1">
      <x:c r="A24" s="1"/>
      <x:c r="B24" s="1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3"/>
      <x:c r="Q24" s="3"/>
    </x:row>
    <x:row r="25" ht="50" customHeight="1">
      <x:c r="A25" s="1"/>
      <x:c r="B25" s="1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3"/>
      <x:c r="Q25" s="3"/>
    </x:row>
    <x:row r="26" ht="50" customHeight="1">
      <x:c r="A26" s="1"/>
      <x:c r="B26" s="1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3"/>
      <x:c r="Q26" s="3"/>
    </x:row>
    <x:row r="27" ht="50" customHeight="1">
      <x:c r="A27" s="1"/>
      <x:c r="B27" s="1"/>
      <x:c r="C27" s="3" t="str">
        <x:v>Source</x:v>
      </x:c>
      <x:c r="D27" s="3" t="str">
        <x:v>https://ghgprotocol.org/corporate-value-chain-scope-3-standard</x:v>
      </x:c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  <x:c r="Q27" s="3"/>
    </x:row>
    <x:row r="28" ht="50" customHeight="1">
      <x:c r="A28" s="1"/>
      <x:c r="B28" s="1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3"/>
      <x:c r="Q28" s="3"/>
    </x:row>
    <x:row r="29" ht="50" customHeight="1">
      <x:c r="A29" s="1"/>
      <x:c r="B29" s="1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  <x:c r="Q29" s="3"/>
    </x:row>
    <x:row r="30" ht="50" customHeight="1">
      <x:c r="A30" s="1"/>
      <x:c r="B30" s="1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3"/>
      <x:c r="P30" s="3"/>
      <x:c r="Q30" s="3"/>
    </x:row>
    <x:row r="31" ht="50" customHeight="1">
      <x:c r="A31" s="1"/>
      <x:c r="B31" s="1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3"/>
      <x:c r="Q31" s="3"/>
    </x:row>
    <x:row r="32" ht="50" customHeight="1">
      <x:c r="A32" s="1"/>
      <x:c r="B32" s="1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3"/>
      <x:c r="Q32" s="3"/>
    </x:row>
    <x:row r="33" ht="50" customHeight="1">
      <x:c r="A33" s="1"/>
      <x:c r="B33" s="1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  <x:c r="Q33" s="3"/>
    </x:row>
    <x:row r="34" ht="50" customHeight="1">
      <x:c r="A34" s="1"/>
      <x:c r="B34" s="1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  <x:c r="Q34" s="3"/>
    </x:row>
    <x:row r="35" ht="50" customHeight="1">
      <x:c r="A35" s="1"/>
      <x:c r="B35" s="1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  <x:c r="Q35" s="3"/>
    </x:row>
    <x:row r="36" ht="50" customHeight="1">
      <x:c r="A36" s="1"/>
      <x:c r="B36" s="1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3"/>
      <x:c r="Q36" s="3"/>
    </x:row>
    <x:row r="37" ht="50" customHeight="1">
      <x:c r="A37" s="1"/>
      <x:c r="B37" s="1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3"/>
      <x:c r="Q37" s="3"/>
    </x:row>
    <x:row r="38" ht="50" customHeight="1">
      <x:c r="A38" s="1"/>
      <x:c r="B38" s="1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  <x:c r="Q38" s="3"/>
    </x:row>
    <x:row r="39" ht="50" customHeight="1">
      <x:c r="A39" s="1"/>
      <x:c r="B39" s="1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3"/>
    </x:row>
    <x:row r="40" ht="50" customHeight="1">
      <x:c r="A40" s="1"/>
      <x:c r="B40" s="1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3"/>
    </x:row>
    <x:row r="41" ht="50" customHeight="1">
      <x:c r="A41" s="1"/>
      <x:c r="B41" s="1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3"/>
    </x:row>
    <x:row r="42" ht="50" customHeight="1">
      <x:c r="A42" s="1"/>
      <x:c r="B42" s="1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3"/>
    </x:row>
    <x:row r="43" ht="50" customHeight="1">
      <x:c r="A43" s="1"/>
      <x:c r="B43" s="1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3"/>
    </x:row>
    <x:row r="44" ht="50" customHeight="1">
      <x:c r="A44" s="1"/>
      <x:c r="B44" s="1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  <x:c r="Q44" s="3"/>
    </x:row>
    <x:row r="45" ht="50" customHeight="1">
      <x:c r="A45" s="1"/>
      <x:c r="B45" s="1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</x:row>
    <x:row r="46" ht="50" customHeight="1">
      <x:c r="A46" s="1"/>
      <x:c r="B46" s="1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  <x:c r="Q46" s="3"/>
    </x:row>
    <x:row r="47" ht="50" customHeight="1">
      <x:c r="A47" s="1"/>
      <x:c r="B47" s="1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  <x:c r="Q47" s="3"/>
    </x:row>
    <x:row r="48" ht="50" customHeight="1">
      <x:c r="A48" s="1"/>
      <x:c r="B48" s="1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  <x:c r="Q48" s="3"/>
    </x:row>
    <x:row r="49" ht="50" customHeight="1">
      <x:c r="A49" s="1"/>
      <x:c r="B49" s="1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3"/>
      <x:c r="Q49" s="3"/>
    </x:row>
    <x:row r="50" ht="50" customHeight="1">
      <x:c r="A50" s="1"/>
      <x:c r="B50" s="1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3"/>
      <x:c r="Q50" s="3"/>
    </x:row>
    <x:row r="51" ht="50" customHeight="1">
      <x:c r="A51" s="1"/>
      <x:c r="B51" s="1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3"/>
      <x:c r="Q51" s="3"/>
    </x:row>
    <x:row r="52" ht="50" customHeight="1">
      <x:c r="A52" s="1"/>
      <x:c r="B52" s="1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  <x:c r="Q52" s="3"/>
    </x:row>
    <x:row r="53" ht="50" customHeight="1">
      <x:c r="A53" s="1"/>
      <x:c r="B53" s="1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  <x:c r="Q53" s="3"/>
    </x:row>
    <x:row r="54" ht="50" customHeight="1">
      <x:c r="A54" s="1"/>
      <x:c r="B54" s="1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3"/>
    </x:row>
    <x:row r="55" ht="50" customHeight="1">
      <x:c r="A55" s="1"/>
      <x:c r="B55" s="1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  <x:c r="Q55" s="3"/>
    </x:row>
    <x:row r="56" ht="50" customHeight="1">
      <x:c r="A56" s="1"/>
      <x:c r="B56" s="1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3"/>
      <x:c r="Q56" s="3"/>
    </x:row>
    <x:row r="57" ht="50" customHeight="1">
      <x:c r="A57" s="1"/>
      <x:c r="B57" s="1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3"/>
      <x:c r="Q57" s="3"/>
    </x:row>
    <x:row r="58" ht="50" customHeight="1">
      <x:c r="A58" s="1"/>
      <x:c r="B58" s="1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3"/>
      <x:c r="Q58" s="3"/>
    </x:row>
    <x:row r="59" ht="50" customHeight="1">
      <x:c r="A59" s="1"/>
      <x:c r="B59" s="1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3"/>
      <x:c r="Q59" s="3"/>
    </x:row>
    <x:row r="60" ht="50" customHeight="1">
      <x:c r="A60" s="1"/>
      <x:c r="B60" s="1"/>
      <x:c r="C60" s="3"/>
      <x:c r="D60" s="3"/>
      <x:c r="E60" s="3"/>
      <x:c r="F60" s="3"/>
      <x:c r="G60" s="3"/>
      <x:c r="H60" s="3"/>
      <x:c r="I60" s="3"/>
      <x:c r="J60" s="3"/>
      <x:c r="K60" s="3"/>
      <x:c r="L60" s="3"/>
      <x:c r="M60" s="3"/>
      <x:c r="N60" s="3"/>
      <x:c r="O60" s="3"/>
      <x:c r="P60" s="3"/>
      <x:c r="Q60" s="3"/>
    </x:row>
    <x:row r="61" ht="50" customHeight="1">
      <x:c r="A61" s="1"/>
      <x:c r="B61" s="1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3"/>
      <x:c r="Q61" s="3"/>
    </x:row>
    <x:row r="62" ht="50" customHeight="1">
      <x:c r="A62" s="1"/>
      <x:c r="B62" s="1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N62" s="3"/>
      <x:c r="O62" s="3"/>
      <x:c r="P62" s="3"/>
      <x:c r="Q62" s="3"/>
    </x:row>
    <x:row r="63" ht="50" customHeight="1">
      <x:c r="A63" s="1"/>
      <x:c r="B63" s="1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  <x:c r="N63" s="3"/>
      <x:c r="O63" s="3"/>
      <x:c r="P63" s="3"/>
      <x:c r="Q63" s="3"/>
    </x:row>
    <x:row r="64" ht="50" customHeight="1">
      <x:c r="A64" s="1"/>
      <x:c r="B64" s="1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3"/>
      <x:c r="Q64" s="3"/>
    </x:row>
    <x:row r="65" ht="50" customHeight="1">
      <x:c r="A65" s="1"/>
      <x:c r="B65" s="1"/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  <x:c r="N65" s="3"/>
      <x:c r="O65" s="3"/>
      <x:c r="P65" s="3"/>
      <x:c r="Q65" s="3"/>
    </x:row>
    <x:row r="66" ht="50" customHeight="1">
      <x:c r="A66" s="1"/>
      <x:c r="B66" s="1"/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  <x:c r="N66" s="3"/>
      <x:c r="O66" s="3"/>
      <x:c r="P66" s="3"/>
      <x:c r="Q66" s="3"/>
    </x:row>
    <x:row r="67" ht="50" customHeight="1">
      <x:c r="A67" s="1"/>
      <x:c r="B67" s="1"/>
      <x:c r="C67" s="3"/>
      <x:c r="D67" s="3"/>
      <x:c r="E67" s="3"/>
      <x:c r="F67" s="3"/>
      <x:c r="G67" s="3"/>
      <x:c r="H67" s="3"/>
      <x:c r="I67" s="3"/>
      <x:c r="J67" s="3"/>
      <x:c r="K67" s="3"/>
      <x:c r="L67" s="3"/>
      <x:c r="M67" s="3"/>
      <x:c r="N67" s="3"/>
      <x:c r="O67" s="3"/>
      <x:c r="P67" s="3"/>
      <x:c r="Q67" s="3"/>
    </x:row>
    <x:row r="68" ht="50" customHeight="1">
      <x:c r="A68" s="1"/>
      <x:c r="B68" s="1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3"/>
      <x:c r="Q68" s="3"/>
    </x:row>
    <x:row r="69" ht="50" customHeight="1">
      <x:c r="A69" s="1"/>
      <x:c r="B69" s="1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N69" s="3"/>
      <x:c r="O69" s="3"/>
      <x:c r="P69" s="3"/>
      <x:c r="Q69" s="3"/>
    </x:row>
    <x:row r="70" ht="50" customHeight="1">
      <x:c r="A70" s="1"/>
      <x:c r="B70" s="1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  <x:c r="O70" s="3"/>
      <x:c r="P70" s="3"/>
      <x:c r="Q70" s="3"/>
    </x:row>
    <x:row r="71" ht="50" customHeight="1">
      <x:c r="A71" s="1"/>
      <x:c r="B71" s="1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  <x:c r="O71" s="3"/>
      <x:c r="P71" s="3"/>
      <x:c r="Q71" s="3"/>
    </x:row>
    <x:row r="72" ht="50" customHeight="1">
      <x:c r="A72" s="1"/>
      <x:c r="B72" s="1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3"/>
      <x:c r="O72" s="3"/>
      <x:c r="P72" s="3"/>
      <x:c r="Q72" s="3"/>
    </x:row>
    <x:row r="73" ht="50" customHeight="1">
      <x:c r="A73" s="1"/>
      <x:c r="B73" s="1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  <x:c r="O73" s="3"/>
      <x:c r="P73" s="3"/>
      <x:c r="Q73" s="3"/>
    </x:row>
    <x:row r="74" ht="50" customHeight="1">
      <x:c r="A74" s="1"/>
      <x:c r="B74" s="1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  <x:c r="O74" s="3"/>
      <x:c r="P74" s="3"/>
      <x:c r="Q74" s="3"/>
    </x:row>
    <x:row r="75" ht="50" customHeight="1">
      <x:c r="A75" s="1"/>
      <x:c r="B75" s="1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  <x:c r="O75" s="3"/>
      <x:c r="P75" s="3"/>
      <x:c r="Q75" s="3"/>
    </x:row>
    <x:row r="76" ht="50" customHeight="1">
      <x:c r="A76" s="1"/>
      <x:c r="B76" s="1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  <x:c r="O76" s="3"/>
      <x:c r="P76" s="3"/>
      <x:c r="Q76" s="3"/>
    </x:row>
    <x:row r="77" ht="50" customHeight="1">
      <x:c r="A77" s="1"/>
      <x:c r="B77" s="1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3"/>
      <x:c r="Q77" s="3"/>
    </x:row>
    <x:row r="78" ht="50" customHeight="1">
      <x:c r="A78" s="1"/>
      <x:c r="B78" s="1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  <x:c r="O78" s="3"/>
      <x:c r="P78" s="3"/>
      <x:c r="Q78" s="3"/>
    </x:row>
    <x:row r="79" ht="50" customHeight="1">
      <x:c r="A79" s="1"/>
      <x:c r="B79" s="1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  <x:c r="O79" s="3"/>
      <x:c r="P79" s="3"/>
      <x:c r="Q79" s="3"/>
    </x:row>
    <x:row r="80" ht="50" customHeight="1">
      <x:c r="A80" s="1"/>
      <x:c r="B80" s="1"/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  <x:c r="N80" s="3"/>
      <x:c r="O80" s="3"/>
      <x:c r="P80" s="3"/>
      <x:c r="Q80" s="3"/>
    </x:row>
    <x:row r="81" ht="50" customHeight="1">
      <x:c r="A81" s="1"/>
      <x:c r="B81" s="1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3"/>
      <x:c r="Q81" s="3"/>
    </x:row>
    <x:row r="82" ht="50" customHeight="1">
      <x:c r="A82" s="1"/>
      <x:c r="B82" s="1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  <x:c r="N82" s="3"/>
      <x:c r="O82" s="3"/>
      <x:c r="P82" s="3"/>
      <x:c r="Q82" s="3"/>
    </x:row>
    <x:row r="83" ht="50" customHeight="1">
      <x:c r="A83" s="1"/>
      <x:c r="B83" s="1"/>
      <x:c r="C83" s="3"/>
      <x:c r="D83" s="3"/>
      <x:c r="E83" s="3"/>
      <x:c r="F83" s="3"/>
      <x:c r="G83" s="3"/>
      <x:c r="H83" s="3"/>
      <x:c r="I83" s="3"/>
      <x:c r="J83" s="3"/>
      <x:c r="K83" s="3"/>
      <x:c r="L83" s="3"/>
      <x:c r="M83" s="3"/>
      <x:c r="N83" s="3"/>
      <x:c r="O83" s="3"/>
      <x:c r="P83" s="3"/>
      <x:c r="Q83" s="3"/>
    </x:row>
    <x:row r="84" ht="50" customHeight="1">
      <x:c r="A84" s="1"/>
      <x:c r="B84" s="1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  <x:c r="N84" s="3"/>
      <x:c r="O84" s="3"/>
      <x:c r="P84" s="3"/>
      <x:c r="Q84" s="3"/>
    </x:row>
    <x:row r="85" ht="50" customHeight="1">
      <x:c r="A85" s="1"/>
      <x:c r="B85" s="1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  <x:c r="N85" s="3"/>
      <x:c r="O85" s="3"/>
      <x:c r="P85" s="3"/>
      <x:c r="Q85" s="3"/>
    </x:row>
    <x:row r="86" ht="50" customHeight="1">
      <x:c r="A86" s="1"/>
      <x:c r="B86" s="1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  <x:c r="N86" s="3"/>
      <x:c r="O86" s="3"/>
      <x:c r="P86" s="3"/>
      <x:c r="Q86" s="3"/>
    </x:row>
    <x:row r="87" ht="50" customHeight="1">
      <x:c r="A87" s="1"/>
      <x:c r="B87" s="1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  <x:c r="N87" s="3"/>
      <x:c r="O87" s="3"/>
      <x:c r="P87" s="3"/>
      <x:c r="Q87" s="3"/>
    </x:row>
    <x:row r="88" ht="50" customHeight="1">
      <x:c r="A88" s="1"/>
      <x:c r="B88" s="1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  <x:c r="N88" s="3"/>
      <x:c r="O88" s="3"/>
      <x:c r="P88" s="3"/>
      <x:c r="Q88" s="3"/>
    </x:row>
    <x:row r="89" ht="50" customHeight="1">
      <x:c r="A89" s="1"/>
      <x:c r="B89" s="1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  <x:c r="N89" s="3"/>
      <x:c r="O89" s="3"/>
      <x:c r="P89" s="3"/>
      <x:c r="Q89" s="3"/>
    </x:row>
    <x:row r="90" ht="50" customHeight="1">
      <x:c r="A90" s="1"/>
      <x:c r="B90" s="1"/>
      <x:c r="C90" s="3"/>
      <x:c r="D90" s="3"/>
      <x:c r="E90" s="3"/>
      <x:c r="F90" s="3"/>
      <x:c r="G90" s="3"/>
      <x:c r="H90" s="3"/>
      <x:c r="I90" s="3"/>
      <x:c r="J90" s="3"/>
      <x:c r="K90" s="3"/>
      <x:c r="L90" s="3"/>
      <x:c r="M90" s="3"/>
      <x:c r="N90" s="3"/>
      <x:c r="O90" s="3"/>
      <x:c r="P90" s="3"/>
      <x:c r="Q90" s="3"/>
    </x:row>
    <x:row r="91" ht="50" customHeight="1">
      <x:c r="A91" s="1"/>
      <x:c r="B91" s="1"/>
      <x:c r="C91" s="3"/>
      <x:c r="D91" s="3"/>
      <x:c r="E91" s="3"/>
      <x:c r="F91" s="3"/>
      <x:c r="G91" s="3"/>
      <x:c r="H91" s="3"/>
      <x:c r="I91" s="3"/>
      <x:c r="J91" s="3"/>
      <x:c r="K91" s="3"/>
      <x:c r="L91" s="3"/>
      <x:c r="M91" s="3"/>
      <x:c r="N91" s="3"/>
      <x:c r="O91" s="3"/>
      <x:c r="P91" s="3"/>
      <x:c r="Q91" s="3"/>
    </x:row>
    <x:row r="92" ht="50" customHeight="1">
      <x:c r="A92" s="1"/>
      <x:c r="B92" s="1"/>
      <x:c r="C92" s="3"/>
      <x:c r="D92" s="3"/>
      <x:c r="E92" s="3"/>
      <x:c r="F92" s="3"/>
      <x:c r="G92" s="3"/>
      <x:c r="H92" s="3"/>
      <x:c r="I92" s="3"/>
      <x:c r="J92" s="3"/>
      <x:c r="K92" s="3"/>
      <x:c r="L92" s="3"/>
      <x:c r="M92" s="3"/>
      <x:c r="N92" s="3"/>
      <x:c r="O92" s="3"/>
      <x:c r="P92" s="3"/>
      <x:c r="Q92" s="3"/>
    </x:row>
    <x:row r="93" ht="50" customHeight="1">
      <x:c r="A93" s="1"/>
      <x:c r="B93" s="1"/>
      <x:c r="C93" s="3"/>
      <x:c r="D93" s="3"/>
      <x:c r="E93" s="3"/>
      <x:c r="F93" s="3"/>
      <x:c r="G93" s="3"/>
      <x:c r="H93" s="3"/>
      <x:c r="I93" s="3"/>
      <x:c r="J93" s="3"/>
      <x:c r="K93" s="3"/>
      <x:c r="L93" s="3"/>
      <x:c r="M93" s="3"/>
      <x:c r="N93" s="3"/>
      <x:c r="O93" s="3"/>
      <x:c r="P93" s="3"/>
      <x:c r="Q93" s="3"/>
    </x:row>
    <x:row r="94" ht="50" customHeight="1">
      <x:c r="A94" s="1"/>
      <x:c r="B94" s="1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  <x:c r="O94" s="3"/>
      <x:c r="P94" s="3"/>
      <x:c r="Q94" s="3"/>
    </x:row>
    <x:row r="95" ht="50" customHeight="1">
      <x:c r="A95" s="1"/>
      <x:c r="B95" s="1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  <x:c r="N95" s="3"/>
      <x:c r="O95" s="3"/>
      <x:c r="P95" s="3"/>
      <x:c r="Q95" s="3"/>
    </x:row>
    <x:row r="96" ht="50" customHeight="1">
      <x:c r="A96" s="1"/>
      <x:c r="B96" s="1"/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  <x:c r="N96" s="3"/>
      <x:c r="O96" s="3"/>
      <x:c r="P96" s="3"/>
      <x:c r="Q96" s="3"/>
    </x:row>
    <x:row r="97" ht="50" customHeight="1">
      <x:c r="A97" s="1"/>
      <x:c r="B97" s="1"/>
      <x:c r="C97" s="3"/>
      <x:c r="D97" s="3"/>
      <x:c r="E97" s="3"/>
      <x:c r="F97" s="3"/>
      <x:c r="G97" s="3"/>
      <x:c r="H97" s="3"/>
      <x:c r="I97" s="3"/>
      <x:c r="J97" s="3"/>
      <x:c r="K97" s="3"/>
      <x:c r="L97" s="3"/>
      <x:c r="M97" s="3"/>
      <x:c r="N97" s="3"/>
      <x:c r="O97" s="3"/>
      <x:c r="P97" s="3"/>
      <x:c r="Q97" s="3"/>
    </x:row>
    <x:row r="98" ht="50" customHeight="1">
      <x:c r="A98" s="1"/>
      <x:c r="B98" s="1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  <x:c r="N98" s="3"/>
      <x:c r="O98" s="3"/>
      <x:c r="P98" s="3"/>
      <x:c r="Q98" s="3"/>
    </x:row>
    <x:row r="99" ht="50" customHeight="1">
      <x:c r="A99" s="1"/>
      <x:c r="B99" s="1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  <x:c r="N99" s="3"/>
      <x:c r="O99" s="3"/>
      <x:c r="P99" s="3"/>
      <x:c r="Q99" s="3"/>
    </x:row>
    <x:row r="100" ht="50" customHeight="1">
      <x:c r="A100" s="1"/>
      <x:c r="B100" s="1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  <x:c r="N100" s="3"/>
      <x:c r="O100" s="3"/>
      <x:c r="P100" s="3"/>
      <x:c r="Q100" s="3"/>
    </x:row>
    <x:row r="101" ht="50" customHeight="1">
      <x:c r="A101" s="1"/>
      <x:c r="B101" s="1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  <x:c r="N101" s="3"/>
      <x:c r="O101" s="3"/>
      <x:c r="P101" s="3"/>
      <x:c r="Q101" s="3"/>
    </x:row>
    <x:row r="102" ht="50" customHeight="1">
      <x:c r="A102" s="1"/>
      <x:c r="B102" s="1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  <x:c r="N102" s="3"/>
      <x:c r="O102" s="3"/>
      <x:c r="P102" s="3"/>
      <x:c r="Q102" s="3"/>
    </x:row>
    <x:row r="103" ht="50" customHeight="1">
      <x:c r="A103" s="1"/>
      <x:c r="B103" s="1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N103" s="3"/>
      <x:c r="O103" s="3"/>
      <x:c r="P103" s="3"/>
      <x:c r="Q103" s="3"/>
    </x:row>
    <x:row r="104" ht="50" customHeight="1">
      <x:c r="A104" s="1"/>
      <x:c r="B104" s="1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  <x:c r="M104" s="3"/>
      <x:c r="N104" s="3"/>
      <x:c r="O104" s="3"/>
      <x:c r="P104" s="3"/>
      <x:c r="Q104" s="3"/>
    </x:row>
    <x:row r="105" ht="50" customHeight="1">
      <x:c r="A105" s="1"/>
      <x:c r="B105" s="1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  <x:c r="M105" s="3"/>
      <x:c r="N105" s="3"/>
      <x:c r="O105" s="3"/>
      <x:c r="P105" s="3"/>
      <x:c r="Q105" s="3"/>
    </x:row>
    <x:row r="106" ht="50" customHeight="1">
      <x:c r="A106" s="1"/>
      <x:c r="B106" s="1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  <x:c r="M106" s="3"/>
      <x:c r="N106" s="3"/>
      <x:c r="O106" s="3"/>
      <x:c r="P106" s="3"/>
      <x:c r="Q106" s="3"/>
    </x:row>
    <x:row r="107" ht="50" customHeight="1">
      <x:c r="A107" s="1"/>
      <x:c r="B107" s="1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N107" s="3"/>
      <x:c r="O107" s="3"/>
      <x:c r="P107" s="3"/>
      <x:c r="Q107" s="3"/>
    </x:row>
    <x:row r="108" ht="50" customHeight="1">
      <x:c r="A108" s="1"/>
      <x:c r="B108" s="1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  <x:c r="N108" s="3"/>
      <x:c r="O108" s="3"/>
      <x:c r="P108" s="3"/>
      <x:c r="Q108" s="3"/>
    </x:row>
  </x:sheetData>
  <x:mergeCells>
    <x:mergeCell ref="C2:H2"/>
    <x:mergeCell ref="C3:M3"/>
    <x:mergeCell ref="D27:Q28"/>
    <x:mergeCell ref="C1:D1"/>
    <x:mergeCell ref="E1:F1"/>
    <x:mergeCell ref="G1:H1"/>
    <x:mergeCell ref="I1:J1"/>
    <x:mergeCell ref="K1:L1"/>
    <x:mergeCell ref="M1:N1"/>
  </x:mergeCells>
  <x:conditionalFormatting sqref="L9:L23">
    <x:cfRule type="containsText" dxfId="496" priority="1" operator="containsText" text="Missing"/>
    <x:cfRule type="containsText" dxfId="497" priority="2" operator="containsText" text="Required"/>
    <x:cfRule type="containsText" dxfId="498" priority="3" operator="containsText" text="required"/>
    <x:cfRule type="containsText" dxfId="499" priority="4" operator="containsText" text="Expired"/>
    <x:cfRule type="containsText" dxfId="500" priority="5" operator="containsText" text="Hold"/>
    <x:cfRule type="containsText" dxfId="501" priority="6" operator="containsText" text="Review"/>
    <x:cfRule type="containsText" dxfId="502" priority="7" operator="containsText" text="Incomplete"/>
    <x:cfRule type="containsText" dxfId="503" priority="8" operator="containsText" text="Pending"/>
    <x:cfRule type="containsText" dxfId="504" priority="9" operator="containsText" text="Unsupported"/>
    <x:cfRule type="containsText" dxfId="505" priority="10" operator="containsText" text="Criteria"/>
    <x:cfRule type="containsText" dxfId="506" priority="11" operator="containsText" text="Fail"/>
    <x:cfRule type="containsText" dxfId="507" priority="12" operator="containsText" text="Stop"/>
    <x:cfRule type="containsText" dxfId="508" priority="13" operator="containsText" text="Breach"/>
    <x:cfRule type="containsText" dxfId="509" priority="14" operator="containsText" text="Invalid"/>
    <x:cfRule type="containsText" dxfId="510" priority="15" operator="containsText" text="Duplicate"/>
    <x:cfRule type="containsText" dxfId="511" priority="16" operator="containsText" text="Not aligned"/>
  </x:conditionalFormatting>
  <x:dataValidations count="3">
    <x:dataValidation type="list" sqref="E9:E23">
      <x:formula1>"Included,Excluded justified,Not applicable,Not assessed"</x:formula1>
    </x:dataValidation>
    <x:dataValidation type="list" sqref="M9:M23">
      <x:formula1>"Pass,Pending,Fail"</x:formula1>
    </x:dataValidation>
    <x:dataValidation type="list" sqref="N9:N23">
      <x:formula1>"Pass,Pending,Fail"</x:formula1>
    </x:dataValidation>
  </x:dataValidations>
  <x:hyperlinks>
    <x:hyperlink ref="C1" location="'Overview'!C2" display="Home" tooltip="Open Overview"/>
    <x:hyperlink ref="E1" location="'Customer'!C2" display="Customer" tooltip="Open Customer"/>
    <x:hyperlink ref="G1" location="'Capital'!C2" display="Capital" tooltip="Open Capital"/>
    <x:hyperlink ref="I1" location="'Disclosures'!C2" display="Reporting" tooltip="Open Disclosures"/>
    <x:hyperlink ref="K1" location="'Borrowers'!C8" display="Inputs" tooltip="Open Borrowers"/>
    <x:hyperlink ref="M1" location="'Settings'!C5" display="Settings" tooltip="Open Settings"/>
  </x:hyperlinks>
  <x:pageMargins left="0.7" right="0.7" top="0.75" bottom="0.75" header="0.3" footer="0.3"/>
  <x:tableParts count="1">
    <x:tablePart xmlns:r="http://schemas.openxmlformats.org/officeDocument/2006/relationships" r:id="R8295860ea0724b14"/>
  </x:tableParts>
</x:worksheet>
</file>

<file path=xl/worksheets/sheet21.xml><?xml version="1.0" encoding="utf-8"?>
<x:worksheet xmlns:x="http://schemas.openxmlformats.org/spreadsheetml/2006/main">
  <x:sheetPr>
    <x:tabColor rgb="FF007F86"/>
  </x:sheetPr>
  <x:sheetViews>
    <x:sheetView showGridLines="0" workbookViewId="0">
      <x:pane xSplit="4" ySplit="8" topLeftCell="E9" activePane="bottomRight" state="frozen"/>
    </x:sheetView>
  </x:sheetViews>
  <x:sheetFormatPr defaultRowHeight="15"/>
  <x:cols>
    <x:col min="1" max="1" width="2.4000000953674316" hidden="0" customWidth="1"/>
    <x:col min="2" max="2" width="2.4000000953674316" hidden="0" customWidth="1"/>
    <x:col min="3" max="3" width="17" hidden="0" customWidth="1"/>
    <x:col min="4" max="4" width="29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</x:cols>
  <x:sheetData>
    <x:row r="1" ht="27" customHeight="1">
      <x:c r="A1" s="1"/>
      <x:c r="B1" s="1"/>
      <x:c r="C1" s="50" t="str">
        <x:v>Home</x:v>
      </x:c>
      <x:c r="D1" s="50"/>
      <x:c r="E1" s="63" t="str">
        <x:v>Customer</x:v>
      </x:c>
      <x:c r="F1" s="63"/>
      <x:c r="G1" s="63" t="str">
        <x:v>Capital</x:v>
      </x:c>
      <x:c r="H1" s="63"/>
      <x:c r="I1" s="63" t="str">
        <x:v>Reporting</x:v>
      </x:c>
      <x:c r="J1" s="63"/>
      <x:c r="K1" s="63" t="str">
        <x:v>Inputs</x:v>
      </x:c>
      <x:c r="L1" s="63"/>
      <x:c r="M1" s="63" t="str">
        <x:v>Settings</x:v>
      </x:c>
      <x:c r="N1" s="6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</x:row>
    <x:row r="2" ht="45" customHeight="1">
      <x:c r="A2" s="1"/>
      <x:c r="B2" s="1"/>
      <x:c r="C2" s="5" t="str">
        <x:v>Borrower data</x:v>
      </x:c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  <x:c r="Y2" s="5"/>
      <x:c r="Z2" s="5"/>
      <x:c r="AA2" s="5"/>
    </x:row>
    <x:row r="3" ht="32" customHeight="1">
      <x:c r="A3" s="1"/>
      <x:c r="B3" s="1"/>
      <x:c r="C3" s="6" t="str">
        <x:v>Financials in USD millions. Stable borrower IDs connect facilities, sites and assessments.</x:v>
      </x:c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  <x:c r="AA3" s="3"/>
    </x:row>
    <x:row r="4" ht="26" customHeight="1">
      <x:c r="A4" s="1"/>
      <x:c r="B4" s="1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  <x:c r="Y4" s="3"/>
      <x:c r="Z4" s="3"/>
      <x:c r="AA4" s="3"/>
    </x:row>
    <x:row r="5" ht="26" customHeight="1">
      <x:c r="A5" s="1"/>
      <x:c r="B5" s="1"/>
      <x:c r="C5" s="3" t="str">
        <x:v>RECORDS</x:v>
      </x:c>
      <x:c r="D5" s="3"/>
      <x:c r="E5" s="3" t="n">
        <x:f>COUNTA(C9:C108)</x:f>
        <x:v>24</x:v>
      </x:c>
      <x:c r="F5" s="3"/>
      <x:c r="G5" s="3" t="str">
        <x:v>READY</x:v>
      </x:c>
      <x:c r="H5" s="3"/>
      <x:c r="I5" s="3" t="n">
        <x:f>COUNTIF(AA9:AA108,"Ready")</x:f>
        <x:v>24</x:v>
      </x:c>
      <x:c r="J5" s="3"/>
      <x:c r="K5" s="3" t="str">
        <x:v>REVIEW</x:v>
      </x:c>
      <x:c r="L5" s="3"/>
      <x:c r="M5" s="3" t="n">
        <x:f>E5-I5</x:f>
        <x:v>0</x:v>
      </x:c>
      <x:c r="N5" s="3"/>
      <x:c r="O5" s="3"/>
      <x:c r="P5" s="3"/>
      <x:c r="Q5" s="3"/>
      <x:c r="R5" s="3"/>
      <x:c r="S5" s="3"/>
      <x:c r="T5" s="3"/>
      <x:c r="U5" s="3"/>
      <x:c r="V5" s="3"/>
      <x:c r="W5" s="3"/>
      <x:c r="X5" s="3"/>
      <x:c r="Y5" s="3"/>
      <x:c r="Z5" s="3"/>
      <x:c r="AA5" s="3"/>
    </x:row>
    <x:row r="6" ht="26" customHeight="1">
      <x:c r="A6" s="1"/>
      <x:c r="B6" s="1"/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  <x:c r="O6" s="3"/>
      <x:c r="P6" s="3"/>
      <x:c r="Q6" s="3"/>
      <x:c r="R6" s="3"/>
      <x:c r="S6" s="3"/>
      <x:c r="T6" s="3"/>
      <x:c r="U6" s="3"/>
      <x:c r="V6" s="3"/>
      <x:c r="W6" s="3"/>
      <x:c r="X6" s="3"/>
      <x:c r="Y6" s="3"/>
      <x:c r="Z6" s="3"/>
      <x:c r="AA6" s="3"/>
    </x:row>
    <x:row r="7" ht="26" customHeight="1">
      <x:c r="A7" s="1"/>
      <x:c r="B7" s="1"/>
      <x:c r="C7" s="50" t="str">
        <x:v>Financial statements</x:v>
      </x:c>
      <x:c r="D7" s="50"/>
      <x:c r="E7" s="50"/>
      <x:c r="F7" s="50"/>
      <x:c r="G7" s="63" t="str">
        <x:v>Credit assumptions</x:v>
      </x:c>
      <x:c r="H7" s="63"/>
      <x:c r="I7" s="63"/>
      <x:c r="J7" s="63"/>
      <x:c r="K7" s="63" t="str">
        <x:v>Evidence and status</x:v>
      </x:c>
      <x:c r="L7" s="63"/>
      <x:c r="M7" s="63"/>
      <x:c r="N7" s="63"/>
      <x:c r="O7" s="3"/>
      <x:c r="P7" s="3"/>
      <x:c r="Q7" s="3"/>
      <x:c r="R7" s="3"/>
      <x:c r="S7" s="3"/>
      <x:c r="T7" s="3"/>
      <x:c r="U7" s="3"/>
      <x:c r="V7" s="3"/>
      <x:c r="W7" s="3"/>
      <x:c r="X7" s="3"/>
      <x:c r="Y7" s="3"/>
      <x:c r="Z7" s="3"/>
      <x:c r="AA7" s="3"/>
    </x:row>
    <x:row r="8" ht="46" customHeight="1">
      <x:c r="A8" s="1"/>
      <x:c r="B8" s="1"/>
      <x:c r="C8" s="15" t="str">
        <x:v>Borrower ID</x:v>
      </x:c>
      <x:c r="D8" s="15" t="str">
        <x:v>Borrower name</x:v>
      </x:c>
      <x:c r="E8" s="15" t="str">
        <x:v>Country</x:v>
      </x:c>
      <x:c r="F8" s="15" t="str">
        <x:v>Sector</x:v>
      </x:c>
      <x:c r="G8" s="15" t="str">
        <x:v>Listing</x:v>
      </x:c>
      <x:c r="H8" s="15" t="str">
        <x:v>Financial date</x:v>
      </x:c>
      <x:c r="I8" s="15" t="str">
        <x:v>Revenue USD m</x:v>
      </x:c>
      <x:c r="J8" s="15" t="str">
        <x:v>EBITDA USD m</x:v>
      </x:c>
      <x:c r="K8" s="15" t="str">
        <x:v>Maintenance capex USD m</x:v>
      </x:c>
      <x:c r="L8" s="15" t="str">
        <x:v>Debt service USD m</x:v>
      </x:c>
      <x:c r="M8" s="15" t="str">
        <x:v>Equity USD m</x:v>
      </x:c>
      <x:c r="N8" s="15" t="str">
        <x:v>Debt USD m</x:v>
      </x:c>
      <x:c r="O8" s="15" t="str">
        <x:v>EVIC USD m</x:v>
      </x:c>
      <x:c r="P8" s="15" t="str">
        <x:v>Annual PD</x:v>
      </x:c>
      <x:c r="Q8" s="15" t="str">
        <x:v>LGD</x:v>
      </x:c>
      <x:c r="R8" s="15" t="str">
        <x:v>Priced tonnes</x:v>
      </x:c>
      <x:c r="S8" s="15" t="str">
        <x:v>Energy cost / sales</x:v>
      </x:c>
      <x:c r="T8" s="15" t="str">
        <x:v>Cost pass-through</x:v>
      </x:c>
      <x:c r="U8" s="15" t="str">
        <x:v>Contribution margin</x:v>
      </x:c>
      <x:c r="V8" s="15" t="str">
        <x:v>PD sensitivity</x:v>
      </x:c>
      <x:c r="W8" s="15" t="str">
        <x:v>Planned abatement</x:v>
      </x:c>
      <x:c r="X8" s="15" t="str">
        <x:v>Evidence ID</x:v>
      </x:c>
      <x:c r="Y8" s="15" t="str">
        <x:v>Evidence expiry</x:v>
      </x:c>
      <x:c r="Z8" s="15" t="str">
        <x:v>Credit impaired</x:v>
      </x:c>
      <x:c r="AA8" s="15" t="str">
        <x:v>Input status</x:v>
      </x:c>
    </x:row>
    <x:row r="9" ht="38" customHeight="1">
      <x:c r="A9" s="1"/>
      <x:c r="B9" s="1"/>
      <x:c r="C9" s="8" t="str">
        <x:v>B001</x:v>
      </x:c>
      <x:c r="D9" s="8" t="str">
        <x:v>Demo Nile Cement</x:v>
      </x:c>
      <x:c r="E9" s="8" t="str">
        <x:v>Egypt</x:v>
      </x:c>
      <x:c r="F9" s="8" t="str">
        <x:v>Cement</x:v>
      </x:c>
      <x:c r="G9" s="8" t="str">
        <x:v>Listed</x:v>
      </x:c>
      <x:c r="H9" s="19" t="n">
        <x:v>46387</x:v>
      </x:c>
      <x:c r="I9" s="16" t="n">
        <x:v>60</x:v>
      </x:c>
      <x:c r="J9" s="16" t="n">
        <x:v>12</x:v>
      </x:c>
      <x:c r="K9" s="16" t="n">
        <x:v>2</x:v>
      </x:c>
      <x:c r="L9" s="16" t="n">
        <x:v>5</x:v>
      </x:c>
      <x:c r="M9" s="16" t="n">
        <x:v>40</x:v>
      </x:c>
      <x:c r="N9" s="16" t="n">
        <x:v>25</x:v>
      </x:c>
      <x:c r="O9" s="16" t="n">
        <x:v>110</x:v>
      </x:c>
      <x:c r="P9" s="11" t="n">
        <x:v>0.012</x:v>
      </x:c>
      <x:c r="Q9" s="11" t="n">
        <x:v>0.28</x:v>
      </x:c>
      <x:c r="R9" s="20" t="n">
        <x:v>120000</x:v>
      </x:c>
      <x:c r="S9" s="11" t="n">
        <x:v>0.23</x:v>
      </x:c>
      <x:c r="T9" s="11" t="n">
        <x:v>0.35</x:v>
      </x:c>
      <x:c r="U9" s="11" t="n">
        <x:v>0.32</x:v>
      </x:c>
      <x:c r="V9" s="8" t="n">
        <x:v>1.6</x:v>
      </x:c>
      <x:c r="W9" s="11" t="n">
        <x:v>0.2</x:v>
      </x:c>
      <x:c r="X9" s="8" t="str">
        <x:v>SYN-FIN-1</x:v>
      </x:c>
      <x:c r="Y9" s="19" t="n">
        <x:v>46752</x:v>
      </x:c>
      <x:c r="Z9" s="8" t="str">
        <x:v>No</x:v>
      </x:c>
      <x:c r="AA9" s="9" t="str">
        <x:f>IF(C9="","",IF(COUNTIF($C$9:$C$108,C9)&lt;&gt;1,"Duplicate borrower",IF(OR(COUNTA(D9:G9)&lt;4,COUNT(H9:W9)&lt;&gt;16,X9="",COUNT(Y9)&lt;&gt;1,Z9=""),"Missing inputs",IF(OR(I9&lt;=0,J9&lt;=K9,L9&lt;=0,MIN(P9:Q9)&lt;0,MAX(P9:Q9)&gt;1,MIN(R9:W9)&lt;0,MAX(S9:U9)&gt;1,W9&gt;1),"Invalid inputs",IF(Y9&lt;Settings!$F$8,"Expired evidence","Ready")))))</x:f>
        <x:v>Ready</x:v>
      </x:c>
    </x:row>
    <x:row r="10" ht="38" customHeight="1">
      <x:c r="A10" s="1"/>
      <x:c r="B10" s="1"/>
      <x:c r="C10" s="8" t="str">
        <x:v>B002</x:v>
      </x:c>
      <x:c r="D10" s="8" t="str">
        <x:v>Demo Delta Solar</x:v>
      </x:c>
      <x:c r="E10" s="8" t="str">
        <x:v>Egypt</x:v>
      </x:c>
      <x:c r="F10" s="8" t="str">
        <x:v>Solar</x:v>
      </x:c>
      <x:c r="G10" s="8" t="str">
        <x:v>Private</x:v>
      </x:c>
      <x:c r="H10" s="19" t="n">
        <x:v>46387</x:v>
      </x:c>
      <x:c r="I10" s="16" t="n">
        <x:v>67</x:v>
      </x:c>
      <x:c r="J10" s="16" t="n">
        <x:v>13.5</x:v>
      </x:c>
      <x:c r="K10" s="16" t="n">
        <x:v>2.15</x:v>
      </x:c>
      <x:c r="L10" s="16" t="n">
        <x:v>5.3</x:v>
      </x:c>
      <x:c r="M10" s="16" t="n">
        <x:v>43</x:v>
      </x:c>
      <x:c r="N10" s="16" t="n">
        <x:v>27</x:v>
      </x:c>
      <x:c r="O10" s="16" t="n">
        <x:v>116</x:v>
      </x:c>
      <x:c r="P10" s="11" t="n">
        <x:v>0.018000000000000002</x:v>
      </x:c>
      <x:c r="Q10" s="11" t="n">
        <x:v>0.32</x:v>
      </x:c>
      <x:c r="R10" s="20" t="n">
        <x:v>200</x:v>
      </x:c>
      <x:c r="S10" s="11" t="n">
        <x:v>0.09000000000000001</x:v>
      </x:c>
      <x:c r="T10" s="11" t="n">
        <x:v>0.44999999999999996</x:v>
      </x:c>
      <x:c r="U10" s="11" t="n">
        <x:v>0.38</x:v>
      </x:c>
      <x:c r="V10" s="8" t="n">
        <x:v>1.6</x:v>
      </x:c>
      <x:c r="W10" s="11" t="n">
        <x:v>0.2</x:v>
      </x:c>
      <x:c r="X10" s="8" t="str">
        <x:v>SYN-FIN-2</x:v>
      </x:c>
      <x:c r="Y10" s="19" t="n">
        <x:v>46752</x:v>
      </x:c>
      <x:c r="Z10" s="8" t="str">
        <x:v>No</x:v>
      </x:c>
      <x:c r="AA10" s="9" t="str">
        <x:f>IF(C10="","",IF(COUNTIF($C$9:$C$108,C10)&lt;&gt;1,"Duplicate borrower",IF(OR(COUNTA(D10:G10)&lt;4,COUNT(H10:W10)&lt;&gt;16,X10="",COUNT(Y10)&lt;&gt;1,Z10=""),"Missing inputs",IF(OR(I10&lt;=0,J10&lt;=K10,L10&lt;=0,MIN(P10:Q10)&lt;0,MAX(P10:Q10)&gt;1,MIN(R10:W10)&lt;0,MAX(S10:U10)&gt;1,W10&gt;1),"Invalid inputs",IF(Y10&lt;Settings!$F$8,"Expired evidence","Ready")))))</x:f>
        <x:v>Ready</x:v>
      </x:c>
    </x:row>
    <x:row r="11" ht="38" customHeight="1">
      <x:c r="A11" s="1"/>
      <x:c r="B11" s="1"/>
      <x:c r="C11" s="8" t="str">
        <x:v>B003</x:v>
      </x:c>
      <x:c r="D11" s="8" t="str">
        <x:v>Demo Alexandria Logistics</x:v>
      </x:c>
      <x:c r="E11" s="8" t="str">
        <x:v>Egypt</x:v>
      </x:c>
      <x:c r="F11" s="8" t="str">
        <x:v>Logistics</x:v>
      </x:c>
      <x:c r="G11" s="8" t="str">
        <x:v>Private</x:v>
      </x:c>
      <x:c r="H11" s="19" t="n">
        <x:v>46387</x:v>
      </x:c>
      <x:c r="I11" s="16" t="n">
        <x:v>74</x:v>
      </x:c>
      <x:c r="J11" s="16" t="n">
        <x:v>15</x:v>
      </x:c>
      <x:c r="K11" s="16" t="n">
        <x:v>2.3</x:v>
      </x:c>
      <x:c r="L11" s="16" t="n">
        <x:v>5.6</x:v>
      </x:c>
      <x:c r="M11" s="16" t="n">
        <x:v>46</x:v>
      </x:c>
      <x:c r="N11" s="16" t="n">
        <x:v>29</x:v>
      </x:c>
      <x:c r="O11" s="16" t="n">
        <x:v>122</x:v>
      </x:c>
      <x:c r="P11" s="11" t="n">
        <x:v>0.024</x:v>
      </x:c>
      <x:c r="Q11" s="11" t="n">
        <x:v>0.36000000000000004</x:v>
      </x:c>
      <x:c r="R11" s="20" t="n">
        <x:v>4800</x:v>
      </x:c>
      <x:c r="S11" s="11" t="n">
        <x:v>0.11000000000000001</x:v>
      </x:c>
      <x:c r="T11" s="11" t="n">
        <x:v>0.55</x:v>
      </x:c>
      <x:c r="U11" s="11" t="n">
        <x:v>0.44</x:v>
      </x:c>
      <x:c r="V11" s="8" t="n">
        <x:v>1.6</x:v>
      </x:c>
      <x:c r="W11" s="11" t="n">
        <x:v>0.2</x:v>
      </x:c>
      <x:c r="X11" s="8" t="str">
        <x:v>SYN-FIN-3</x:v>
      </x:c>
      <x:c r="Y11" s="19" t="n">
        <x:v>46752</x:v>
      </x:c>
      <x:c r="Z11" s="8" t="str">
        <x:v>No</x:v>
      </x:c>
      <x:c r="AA11" s="9" t="str">
        <x:f>IF(C11="","",IF(COUNTIF($C$9:$C$108,C11)&lt;&gt;1,"Duplicate borrower",IF(OR(COUNTA(D11:G11)&lt;4,COUNT(H11:W11)&lt;&gt;16,X11="",COUNT(Y11)&lt;&gt;1,Z11=""),"Missing inputs",IF(OR(I11&lt;=0,J11&lt;=K11,L11&lt;=0,MIN(P11:Q11)&lt;0,MAX(P11:Q11)&gt;1,MIN(R11:W11)&lt;0,MAX(S11:U11)&gt;1,W11&gt;1),"Invalid inputs",IF(Y11&lt;Settings!$F$8,"Expired evidence","Ready")))))</x:f>
        <x:v>Ready</x:v>
      </x:c>
    </x:row>
    <x:row r="12" ht="38" customHeight="1">
      <x:c r="A12" s="1"/>
      <x:c r="B12" s="1"/>
      <x:c r="C12" s="8" t="str">
        <x:v>B004</x:v>
      </x:c>
      <x:c r="D12" s="8" t="str">
        <x:v>Demo Oasis Foods</x:v>
      </x:c>
      <x:c r="E12" s="8" t="str">
        <x:v>Egypt</x:v>
      </x:c>
      <x:c r="F12" s="8" t="str">
        <x:v>Food</x:v>
      </x:c>
      <x:c r="G12" s="8" t="str">
        <x:v>Private</x:v>
      </x:c>
      <x:c r="H12" s="19" t="n">
        <x:v>46387</x:v>
      </x:c>
      <x:c r="I12" s="16" t="n">
        <x:v>81</x:v>
      </x:c>
      <x:c r="J12" s="16" t="n">
        <x:v>16.5</x:v>
      </x:c>
      <x:c r="K12" s="16" t="n">
        <x:v>2.45</x:v>
      </x:c>
      <x:c r="L12" s="16" t="n">
        <x:v>5.9</x:v>
      </x:c>
      <x:c r="M12" s="16" t="n">
        <x:v>49</x:v>
      </x:c>
      <x:c r="N12" s="16" t="n">
        <x:v>31</x:v>
      </x:c>
      <x:c r="O12" s="16" t="n">
        <x:v>128</x:v>
      </x:c>
      <x:c r="P12" s="11" t="n">
        <x:v>0.030000000000000002</x:v>
      </x:c>
      <x:c r="Q12" s="11" t="n">
        <x:v>0.4</x:v>
      </x:c>
      <x:c r="R12" s="20" t="n">
        <x:v>5200</x:v>
      </x:c>
      <x:c r="S12" s="11" t="n">
        <x:v>0.13</x:v>
      </x:c>
      <x:c r="T12" s="11" t="n">
        <x:v>0.65</x:v>
      </x:c>
      <x:c r="U12" s="11" t="n">
        <x:v>0.32</x:v>
      </x:c>
      <x:c r="V12" s="8" t="n">
        <x:v>1.6</x:v>
      </x:c>
      <x:c r="W12" s="11" t="n">
        <x:v>0.2</x:v>
      </x:c>
      <x:c r="X12" s="8" t="str">
        <x:v>SYN-FIN-4</x:v>
      </x:c>
      <x:c r="Y12" s="19" t="n">
        <x:v>46752</x:v>
      </x:c>
      <x:c r="Z12" s="8" t="str">
        <x:v>No</x:v>
      </x:c>
      <x:c r="AA12" s="9" t="str">
        <x:f>IF(C12="","",IF(COUNTIF($C$9:$C$108,C12)&lt;&gt;1,"Duplicate borrower",IF(OR(COUNTA(D12:G12)&lt;4,COUNT(H12:W12)&lt;&gt;16,X12="",COUNT(Y12)&lt;&gt;1,Z12=""),"Missing inputs",IF(OR(I12&lt;=0,J12&lt;=K12,L12&lt;=0,MIN(P12:Q12)&lt;0,MAX(P12:Q12)&gt;1,MIN(R12:W12)&lt;0,MAX(S12:U12)&gt;1,W12&gt;1),"Invalid inputs",IF(Y12&lt;Settings!$F$8,"Expired evidence","Ready")))))</x:f>
        <x:v>Ready</x:v>
      </x:c>
    </x:row>
    <x:row r="13" ht="38" customHeight="1">
      <x:c r="A13" s="1"/>
      <x:c r="B13" s="1"/>
      <x:c r="C13" s="8" t="str">
        <x:v>B005</x:v>
      </x:c>
      <x:c r="D13" s="8" t="str">
        <x:v>Demo Cairo Properties</x:v>
      </x:c>
      <x:c r="E13" s="8" t="str">
        <x:v>Egypt</x:v>
      </x:c>
      <x:c r="F13" s="8" t="str">
        <x:v>Property</x:v>
      </x:c>
      <x:c r="G13" s="8" t="str">
        <x:v>Private</x:v>
      </x:c>
      <x:c r="H13" s="19" t="n">
        <x:v>46387</x:v>
      </x:c>
      <x:c r="I13" s="16" t="n">
        <x:v>88</x:v>
      </x:c>
      <x:c r="J13" s="16" t="n">
        <x:v>18</x:v>
      </x:c>
      <x:c r="K13" s="16" t="n">
        <x:v>2.6</x:v>
      </x:c>
      <x:c r="L13" s="16" t="n">
        <x:v>6.2</x:v>
      </x:c>
      <x:c r="M13" s="16" t="n">
        <x:v>52</x:v>
      </x:c>
      <x:c r="N13" s="16" t="n">
        <x:v>33</x:v>
      </x:c>
      <x:c r="O13" s="16" t="n">
        <x:v>134</x:v>
      </x:c>
      <x:c r="P13" s="11" t="n">
        <x:v>0.036000000000000004</x:v>
      </x:c>
      <x:c r="Q13" s="11" t="n">
        <x:v>0.44000000000000006</x:v>
      </x:c>
      <x:c r="R13" s="20" t="n">
        <x:v>5600</x:v>
      </x:c>
      <x:c r="S13" s="11" t="n">
        <x:v>0.07</x:v>
      </x:c>
      <x:c r="T13" s="11" t="n">
        <x:v>0.35</x:v>
      </x:c>
      <x:c r="U13" s="11" t="n">
        <x:v>0.38</x:v>
      </x:c>
      <x:c r="V13" s="8" t="n">
        <x:v>1.6</x:v>
      </x:c>
      <x:c r="W13" s="11" t="n">
        <x:v>0.2</x:v>
      </x:c>
      <x:c r="X13" s="8" t="str">
        <x:v>SYN-FIN-5</x:v>
      </x:c>
      <x:c r="Y13" s="19" t="n">
        <x:v>46752</x:v>
      </x:c>
      <x:c r="Z13" s="8" t="str">
        <x:v>No</x:v>
      </x:c>
      <x:c r="AA13" s="9" t="str">
        <x:f>IF(C13="","",IF(COUNTIF($C$9:$C$108,C13)&lt;&gt;1,"Duplicate borrower",IF(OR(COUNTA(D13:G13)&lt;4,COUNT(H13:W13)&lt;&gt;16,X13="",COUNT(Y13)&lt;&gt;1,Z13=""),"Missing inputs",IF(OR(I13&lt;=0,J13&lt;=K13,L13&lt;=0,MIN(P13:Q13)&lt;0,MAX(P13:Q13)&gt;1,MIN(R13:W13)&lt;0,MAX(S13:U13)&gt;1,W13&gt;1),"Invalid inputs",IF(Y13&lt;Settings!$F$8,"Expired evidence","Ready")))))</x:f>
        <x:v>Ready</x:v>
      </x:c>
    </x:row>
    <x:row r="14" ht="38" customHeight="1">
      <x:c r="A14" s="1"/>
      <x:c r="B14" s="1"/>
      <x:c r="C14" s="8" t="str">
        <x:v>B006</x:v>
      </x:c>
      <x:c r="D14" s="8" t="str">
        <x:v>Demo Red Sea Hotels</x:v>
      </x:c>
      <x:c r="E14" s="8" t="str">
        <x:v>Egypt</x:v>
      </x:c>
      <x:c r="F14" s="8" t="str">
        <x:v>Hospitality</x:v>
      </x:c>
      <x:c r="G14" s="8" t="str">
        <x:v>Listed</x:v>
      </x:c>
      <x:c r="H14" s="19" t="n">
        <x:v>46387</x:v>
      </x:c>
      <x:c r="I14" s="16" t="n">
        <x:v>95</x:v>
      </x:c>
      <x:c r="J14" s="16" t="n">
        <x:v>19.5</x:v>
      </x:c>
      <x:c r="K14" s="16" t="n">
        <x:v>2.75</x:v>
      </x:c>
      <x:c r="L14" s="16" t="n">
        <x:v>6.5</x:v>
      </x:c>
      <x:c r="M14" s="16" t="n">
        <x:v>55</x:v>
      </x:c>
      <x:c r="N14" s="16" t="n">
        <x:v>35</x:v>
      </x:c>
      <x:c r="O14" s="16" t="n">
        <x:v>140</x:v>
      </x:c>
      <x:c r="P14" s="11" t="n">
        <x:v>0.041999999999999996</x:v>
      </x:c>
      <x:c r="Q14" s="11" t="n">
        <x:v>0.28</x:v>
      </x:c>
      <x:c r="R14" s="20" t="n">
        <x:v>6000</x:v>
      </x:c>
      <x:c r="S14" s="11" t="n">
        <x:v>0.09000000000000001</x:v>
      </x:c>
      <x:c r="T14" s="11" t="n">
        <x:v>0.44999999999999996</x:v>
      </x:c>
      <x:c r="U14" s="11" t="n">
        <x:v>0.44</x:v>
      </x:c>
      <x:c r="V14" s="8" t="n">
        <x:v>1.6</x:v>
      </x:c>
      <x:c r="W14" s="11" t="n">
        <x:v>0.2</x:v>
      </x:c>
      <x:c r="X14" s="8" t="str">
        <x:v>SYN-FIN-6</x:v>
      </x:c>
      <x:c r="Y14" s="19" t="n">
        <x:v>46752</x:v>
      </x:c>
      <x:c r="Z14" s="8" t="str">
        <x:v>No</x:v>
      </x:c>
      <x:c r="AA14" s="9" t="str">
        <x:f>IF(C14="","",IF(COUNTIF($C$9:$C$108,C14)&lt;&gt;1,"Duplicate borrower",IF(OR(COUNTA(D14:G14)&lt;4,COUNT(H14:W14)&lt;&gt;16,X14="",COUNT(Y14)&lt;&gt;1,Z14=""),"Missing inputs",IF(OR(I14&lt;=0,J14&lt;=K14,L14&lt;=0,MIN(P14:Q14)&lt;0,MAX(P14:Q14)&gt;1,MIN(R14:W14)&lt;0,MAX(S14:U14)&gt;1,W14&gt;1),"Invalid inputs",IF(Y14&lt;Settings!$F$8,"Expired evidence","Ready")))))</x:f>
        <x:v>Ready</x:v>
      </x:c>
    </x:row>
    <x:row r="15" ht="38" customHeight="1">
      <x:c r="A15" s="1"/>
      <x:c r="B15" s="1"/>
      <x:c r="C15" s="8" t="str">
        <x:v>B007</x:v>
      </x:c>
      <x:c r="D15" s="8" t="str">
        <x:v>Demo Amman Cement</x:v>
      </x:c>
      <x:c r="E15" s="8" t="str">
        <x:v>Jordan</x:v>
      </x:c>
      <x:c r="F15" s="8" t="str">
        <x:v>Cement</x:v>
      </x:c>
      <x:c r="G15" s="8" t="str">
        <x:v>Private</x:v>
      </x:c>
      <x:c r="H15" s="19" t="n">
        <x:v>46387</x:v>
      </x:c>
      <x:c r="I15" s="16" t="n">
        <x:v>102</x:v>
      </x:c>
      <x:c r="J15" s="16" t="n">
        <x:v>21</x:v>
      </x:c>
      <x:c r="K15" s="16" t="n">
        <x:v>2.9</x:v>
      </x:c>
      <x:c r="L15" s="16" t="n">
        <x:v>6.8</x:v>
      </x:c>
      <x:c r="M15" s="16" t="n">
        <x:v>58</x:v>
      </x:c>
      <x:c r="N15" s="16" t="n">
        <x:v>37</x:v>
      </x:c>
      <x:c r="O15" s="16" t="n">
        <x:v>146</x:v>
      </x:c>
      <x:c r="P15" s="11" t="n">
        <x:v>0.012</x:v>
      </x:c>
      <x:c r="Q15" s="11" t="n">
        <x:v>0.32</x:v>
      </x:c>
      <x:c r="R15" s="20" t="n">
        <x:v>126000</x:v>
      </x:c>
      <x:c r="S15" s="11" t="n">
        <x:v>0.23</x:v>
      </x:c>
      <x:c r="T15" s="11" t="n">
        <x:v>0.55</x:v>
      </x:c>
      <x:c r="U15" s="11" t="n">
        <x:v>0.32</x:v>
      </x:c>
      <x:c r="V15" s="8" t="n">
        <x:v>1.6</x:v>
      </x:c>
      <x:c r="W15" s="11" t="n">
        <x:v>0.2</x:v>
      </x:c>
      <x:c r="X15" s="8" t="str">
        <x:v>SYN-FIN-7</x:v>
      </x:c>
      <x:c r="Y15" s="19" t="n">
        <x:v>46752</x:v>
      </x:c>
      <x:c r="Z15" s="8" t="str">
        <x:v>No</x:v>
      </x:c>
      <x:c r="AA15" s="9" t="str">
        <x:f>IF(C15="","",IF(COUNTIF($C$9:$C$108,C15)&lt;&gt;1,"Duplicate borrower",IF(OR(COUNTA(D15:G15)&lt;4,COUNT(H15:W15)&lt;&gt;16,X15="",COUNT(Y15)&lt;&gt;1,Z15=""),"Missing inputs",IF(OR(I15&lt;=0,J15&lt;=K15,L15&lt;=0,MIN(P15:Q15)&lt;0,MAX(P15:Q15)&gt;1,MIN(R15:W15)&lt;0,MAX(S15:U15)&gt;1,W15&gt;1),"Invalid inputs",IF(Y15&lt;Settings!$F$8,"Expired evidence","Ready")))))</x:f>
        <x:v>Ready</x:v>
      </x:c>
    </x:row>
    <x:row r="16" ht="38" customHeight="1">
      <x:c r="A16" s="1"/>
      <x:c r="B16" s="1"/>
      <x:c r="C16" s="8" t="str">
        <x:v>B008</x:v>
      </x:c>
      <x:c r="D16" s="8" t="str">
        <x:v>Demo Petra Solar</x:v>
      </x:c>
      <x:c r="E16" s="8" t="str">
        <x:v>Jordan</x:v>
      </x:c>
      <x:c r="F16" s="8" t="str">
        <x:v>Solar</x:v>
      </x:c>
      <x:c r="G16" s="8" t="str">
        <x:v>Private</x:v>
      </x:c>
      <x:c r="H16" s="19" t="n">
        <x:v>46387</x:v>
      </x:c>
      <x:c r="I16" s="16" t="n">
        <x:v>109</x:v>
      </x:c>
      <x:c r="J16" s="16" t="n">
        <x:v>22.5</x:v>
      </x:c>
      <x:c r="K16" s="16" t="n">
        <x:v>3.05</x:v>
      </x:c>
      <x:c r="L16" s="16" t="n">
        <x:v>7.1</x:v>
      </x:c>
      <x:c r="M16" s="16" t="n">
        <x:v>61</x:v>
      </x:c>
      <x:c r="N16" s="16" t="n">
        <x:v>39</x:v>
      </x:c>
      <x:c r="O16" s="16" t="n">
        <x:v>152</x:v>
      </x:c>
      <x:c r="P16" s="11" t="n">
        <x:v>0.018000000000000002</x:v>
      </x:c>
      <x:c r="Q16" s="11" t="n">
        <x:v>0.36000000000000004</x:v>
      </x:c>
      <x:c r="R16" s="20" t="n">
        <x:v>200</x:v>
      </x:c>
      <x:c r="S16" s="11" t="n">
        <x:v>0.13</x:v>
      </x:c>
      <x:c r="T16" s="11" t="n">
        <x:v>0.65</x:v>
      </x:c>
      <x:c r="U16" s="11" t="n">
        <x:v>0.38</x:v>
      </x:c>
      <x:c r="V16" s="8" t="n">
        <x:v>1.6</x:v>
      </x:c>
      <x:c r="W16" s="11" t="n">
        <x:v>0.2</x:v>
      </x:c>
      <x:c r="X16" s="8" t="str">
        <x:v>SYN-FIN-8</x:v>
      </x:c>
      <x:c r="Y16" s="19" t="n">
        <x:v>46752</x:v>
      </x:c>
      <x:c r="Z16" s="8" t="str">
        <x:v>No</x:v>
      </x:c>
      <x:c r="AA16" s="9" t="str">
        <x:f>IF(C16="","",IF(COUNTIF($C$9:$C$108,C16)&lt;&gt;1,"Duplicate borrower",IF(OR(COUNTA(D16:G16)&lt;4,COUNT(H16:W16)&lt;&gt;16,X16="",COUNT(Y16)&lt;&gt;1,Z16=""),"Missing inputs",IF(OR(I16&lt;=0,J16&lt;=K16,L16&lt;=0,MIN(P16:Q16)&lt;0,MAX(P16:Q16)&gt;1,MIN(R16:W16)&lt;0,MAX(S16:U16)&gt;1,W16&gt;1),"Invalid inputs",IF(Y16&lt;Settings!$F$8,"Expired evidence","Ready")))))</x:f>
        <x:v>Ready</x:v>
      </x:c>
    </x:row>
    <x:row r="17" ht="38" customHeight="1">
      <x:c r="A17" s="1"/>
      <x:c r="B17" s="1"/>
      <x:c r="C17" s="8" t="str">
        <x:v>B009</x:v>
      </x:c>
      <x:c r="D17" s="8" t="str">
        <x:v>Demo Levant Freight</x:v>
      </x:c>
      <x:c r="E17" s="8" t="str">
        <x:v>Jordan</x:v>
      </x:c>
      <x:c r="F17" s="8" t="str">
        <x:v>Logistics</x:v>
      </x:c>
      <x:c r="G17" s="8" t="str">
        <x:v>Private</x:v>
      </x:c>
      <x:c r="H17" s="19" t="n">
        <x:v>46387</x:v>
      </x:c>
      <x:c r="I17" s="16" t="n">
        <x:v>116</x:v>
      </x:c>
      <x:c r="J17" s="16" t="n">
        <x:v>24</x:v>
      </x:c>
      <x:c r="K17" s="16" t="n">
        <x:v>3.2</x:v>
      </x:c>
      <x:c r="L17" s="16" t="n">
        <x:v>7.4</x:v>
      </x:c>
      <x:c r="M17" s="16" t="n">
        <x:v>64</x:v>
      </x:c>
      <x:c r="N17" s="16" t="n">
        <x:v>41</x:v>
      </x:c>
      <x:c r="O17" s="16" t="n">
        <x:v>158</x:v>
      </x:c>
      <x:c r="P17" s="11" t="n">
        <x:v>0.024</x:v>
      </x:c>
      <x:c r="Q17" s="11" t="n">
        <x:v>0.4</x:v>
      </x:c>
      <x:c r="R17" s="20" t="n">
        <x:v>7200</x:v>
      </x:c>
      <x:c r="S17" s="11" t="n">
        <x:v>0.07</x:v>
      </x:c>
      <x:c r="T17" s="11" t="n">
        <x:v>0.35</x:v>
      </x:c>
      <x:c r="U17" s="11" t="n">
        <x:v>0.44</x:v>
      </x:c>
      <x:c r="V17" s="8" t="n">
        <x:v>1.6</x:v>
      </x:c>
      <x:c r="W17" s="11" t="n">
        <x:v>0.2</x:v>
      </x:c>
      <x:c r="X17" s="8" t="str">
        <x:v>SYN-FIN-9</x:v>
      </x:c>
      <x:c r="Y17" s="19" t="n">
        <x:v>46752</x:v>
      </x:c>
      <x:c r="Z17" s="8" t="str">
        <x:v>No</x:v>
      </x:c>
      <x:c r="AA17" s="9" t="str">
        <x:f>IF(C17="","",IF(COUNTIF($C$9:$C$108,C17)&lt;&gt;1,"Duplicate borrower",IF(OR(COUNTA(D17:G17)&lt;4,COUNT(H17:W17)&lt;&gt;16,X17="",COUNT(Y17)&lt;&gt;1,Z17=""),"Missing inputs",IF(OR(I17&lt;=0,J17&lt;=K17,L17&lt;=0,MIN(P17:Q17)&lt;0,MAX(P17:Q17)&gt;1,MIN(R17:W17)&lt;0,MAX(S17:U17)&gt;1,W17&gt;1),"Invalid inputs",IF(Y17&lt;Settings!$F$8,"Expired evidence","Ready")))))</x:f>
        <x:v>Ready</x:v>
      </x:c>
    </x:row>
    <x:row r="18" ht="38" customHeight="1">
      <x:c r="A18" s="1"/>
      <x:c r="B18" s="1"/>
      <x:c r="C18" s="8" t="str">
        <x:v>B010</x:v>
      </x:c>
      <x:c r="D18" s="8" t="str">
        <x:v>Demo Jordan Foods</x:v>
      </x:c>
      <x:c r="E18" s="8" t="str">
        <x:v>Jordan</x:v>
      </x:c>
      <x:c r="F18" s="8" t="str">
        <x:v>Food</x:v>
      </x:c>
      <x:c r="G18" s="8" t="str">
        <x:v>Private</x:v>
      </x:c>
      <x:c r="H18" s="19" t="n">
        <x:v>46387</x:v>
      </x:c>
      <x:c r="I18" s="16" t="n">
        <x:v>123</x:v>
      </x:c>
      <x:c r="J18" s="16" t="n">
        <x:v>25.5</x:v>
      </x:c>
      <x:c r="K18" s="16" t="n">
        <x:v>3.3499999999999996</x:v>
      </x:c>
      <x:c r="L18" s="16" t="n">
        <x:v>7.699999999999999</x:v>
      </x:c>
      <x:c r="M18" s="16" t="n">
        <x:v>67</x:v>
      </x:c>
      <x:c r="N18" s="16" t="n">
        <x:v>43</x:v>
      </x:c>
      <x:c r="O18" s="16" t="n">
        <x:v>164</x:v>
      </x:c>
      <x:c r="P18" s="11" t="n">
        <x:v>0.030000000000000002</x:v>
      </x:c>
      <x:c r="Q18" s="11" t="n">
        <x:v>0.44000000000000006</x:v>
      </x:c>
      <x:c r="R18" s="20" t="n">
        <x:v>7600</x:v>
      </x:c>
      <x:c r="S18" s="11" t="n">
        <x:v>0.09000000000000001</x:v>
      </x:c>
      <x:c r="T18" s="11" t="n">
        <x:v>0.44999999999999996</x:v>
      </x:c>
      <x:c r="U18" s="11" t="n">
        <x:v>0.32</x:v>
      </x:c>
      <x:c r="V18" s="8" t="n">
        <x:v>1.6</x:v>
      </x:c>
      <x:c r="W18" s="11" t="n">
        <x:v>0.2</x:v>
      </x:c>
      <x:c r="X18" s="8" t="str">
        <x:v>SYN-FIN-10</x:v>
      </x:c>
      <x:c r="Y18" s="19" t="n">
        <x:v>46752</x:v>
      </x:c>
      <x:c r="Z18" s="8" t="str">
        <x:v>No</x:v>
      </x:c>
      <x:c r="AA18" s="9" t="str">
        <x:f>IF(C18="","",IF(COUNTIF($C$9:$C$108,C18)&lt;&gt;1,"Duplicate borrower",IF(OR(COUNTA(D18:G18)&lt;4,COUNT(H18:W18)&lt;&gt;16,X18="",COUNT(Y18)&lt;&gt;1,Z18=""),"Missing inputs",IF(OR(I18&lt;=0,J18&lt;=K18,L18&lt;=0,MIN(P18:Q18)&lt;0,MAX(P18:Q18)&gt;1,MIN(R18:W18)&lt;0,MAX(S18:U18)&gt;1,W18&gt;1),"Invalid inputs",IF(Y18&lt;Settings!$F$8,"Expired evidence","Ready")))))</x:f>
        <x:v>Ready</x:v>
      </x:c>
    </x:row>
    <x:row r="19" ht="38" customHeight="1">
      <x:c r="A19" s="1"/>
      <x:c r="B19" s="1"/>
      <x:c r="C19" s="8" t="str">
        <x:v>B011</x:v>
      </x:c>
      <x:c r="D19" s="8" t="str">
        <x:v>Demo Aqaba Properties</x:v>
      </x:c>
      <x:c r="E19" s="8" t="str">
        <x:v>Jordan</x:v>
      </x:c>
      <x:c r="F19" s="8" t="str">
        <x:v>Property</x:v>
      </x:c>
      <x:c r="G19" s="8" t="str">
        <x:v>Listed</x:v>
      </x:c>
      <x:c r="H19" s="19" t="n">
        <x:v>46387</x:v>
      </x:c>
      <x:c r="I19" s="16" t="n">
        <x:v>130</x:v>
      </x:c>
      <x:c r="J19" s="16" t="n">
        <x:v>27</x:v>
      </x:c>
      <x:c r="K19" s="16" t="n">
        <x:v>3.5</x:v>
      </x:c>
      <x:c r="L19" s="16" t="n">
        <x:v>8</x:v>
      </x:c>
      <x:c r="M19" s="16" t="n">
        <x:v>70</x:v>
      </x:c>
      <x:c r="N19" s="16" t="n">
        <x:v>45</x:v>
      </x:c>
      <x:c r="O19" s="16" t="n">
        <x:v>170</x:v>
      </x:c>
      <x:c r="P19" s="11" t="n">
        <x:v>0.036000000000000004</x:v>
      </x:c>
      <x:c r="Q19" s="11" t="n">
        <x:v>0.28</x:v>
      </x:c>
      <x:c r="R19" s="20" t="n">
        <x:v>8000</x:v>
      </x:c>
      <x:c r="S19" s="11" t="n">
        <x:v>0.11000000000000001</x:v>
      </x:c>
      <x:c r="T19" s="11" t="n">
        <x:v>0.55</x:v>
      </x:c>
      <x:c r="U19" s="11" t="n">
        <x:v>0.38</x:v>
      </x:c>
      <x:c r="V19" s="8" t="n">
        <x:v>1.6</x:v>
      </x:c>
      <x:c r="W19" s="11" t="n">
        <x:v>0.2</x:v>
      </x:c>
      <x:c r="X19" s="8" t="str">
        <x:v>SYN-FIN-11</x:v>
      </x:c>
      <x:c r="Y19" s="19" t="n">
        <x:v>46752</x:v>
      </x:c>
      <x:c r="Z19" s="8" t="str">
        <x:v>No</x:v>
      </x:c>
      <x:c r="AA19" s="9" t="str">
        <x:f>IF(C19="","",IF(COUNTIF($C$9:$C$108,C19)&lt;&gt;1,"Duplicate borrower",IF(OR(COUNTA(D19:G19)&lt;4,COUNT(H19:W19)&lt;&gt;16,X19="",COUNT(Y19)&lt;&gt;1,Z19=""),"Missing inputs",IF(OR(I19&lt;=0,J19&lt;=K19,L19&lt;=0,MIN(P19:Q19)&lt;0,MAX(P19:Q19)&gt;1,MIN(R19:W19)&lt;0,MAX(S19:U19)&gt;1,W19&gt;1),"Invalid inputs",IF(Y19&lt;Settings!$F$8,"Expired evidence","Ready")))))</x:f>
        <x:v>Ready</x:v>
      </x:c>
    </x:row>
    <x:row r="20" ht="38" customHeight="1">
      <x:c r="A20" s="1"/>
      <x:c r="B20" s="1"/>
      <x:c r="C20" s="8" t="str">
        <x:v>B012</x:v>
      </x:c>
      <x:c r="D20" s="8" t="str">
        <x:v>Demo Amman Healthcare</x:v>
      </x:c>
      <x:c r="E20" s="8" t="str">
        <x:v>Jordan</x:v>
      </x:c>
      <x:c r="F20" s="8" t="str">
        <x:v>Healthcare</x:v>
      </x:c>
      <x:c r="G20" s="8" t="str">
        <x:v>Private</x:v>
      </x:c>
      <x:c r="H20" s="19" t="n">
        <x:v>46387</x:v>
      </x:c>
      <x:c r="I20" s="16" t="n">
        <x:v>137</x:v>
      </x:c>
      <x:c r="J20" s="16" t="n">
        <x:v>28.5</x:v>
      </x:c>
      <x:c r="K20" s="16" t="n">
        <x:v>3.65</x:v>
      </x:c>
      <x:c r="L20" s="16" t="n">
        <x:v>8.3</x:v>
      </x:c>
      <x:c r="M20" s="16" t="n">
        <x:v>73</x:v>
      </x:c>
      <x:c r="N20" s="16" t="n">
        <x:v>47</x:v>
      </x:c>
      <x:c r="O20" s="16" t="n">
        <x:v>176</x:v>
      </x:c>
      <x:c r="P20" s="11" t="n">
        <x:v>0.041999999999999996</x:v>
      </x:c>
      <x:c r="Q20" s="11" t="n">
        <x:v>0.32</x:v>
      </x:c>
      <x:c r="R20" s="20" t="n">
        <x:v>8400</x:v>
      </x:c>
      <x:c r="S20" s="11" t="n">
        <x:v>0.13</x:v>
      </x:c>
      <x:c r="T20" s="11" t="n">
        <x:v>0.65</x:v>
      </x:c>
      <x:c r="U20" s="11" t="n">
        <x:v>0.44</x:v>
      </x:c>
      <x:c r="V20" s="8" t="n">
        <x:v>1.6</x:v>
      </x:c>
      <x:c r="W20" s="11" t="n">
        <x:v>0.2</x:v>
      </x:c>
      <x:c r="X20" s="8" t="str">
        <x:v>SYN-FIN-12</x:v>
      </x:c>
      <x:c r="Y20" s="19" t="n">
        <x:v>46752</x:v>
      </x:c>
      <x:c r="Z20" s="8" t="str">
        <x:v>No</x:v>
      </x:c>
      <x:c r="AA20" s="9" t="str">
        <x:f>IF(C20="","",IF(COUNTIF($C$9:$C$108,C20)&lt;&gt;1,"Duplicate borrower",IF(OR(COUNTA(D20:G20)&lt;4,COUNT(H20:W20)&lt;&gt;16,X20="",COUNT(Y20)&lt;&gt;1,Z20=""),"Missing inputs",IF(OR(I20&lt;=0,J20&lt;=K20,L20&lt;=0,MIN(P20:Q20)&lt;0,MAX(P20:Q20)&gt;1,MIN(R20:W20)&lt;0,MAX(S20:U20)&gt;1,W20&gt;1),"Invalid inputs",IF(Y20&lt;Settings!$F$8,"Expired evidence","Ready")))))</x:f>
        <x:v>Ready</x:v>
      </x:c>
    </x:row>
    <x:row r="21" ht="38" customHeight="1">
      <x:c r="A21" s="1"/>
      <x:c r="B21" s="1"/>
      <x:c r="C21" s="8" t="str">
        <x:v>B013</x:v>
      </x:c>
      <x:c r="D21" s="8" t="str">
        <x:v>Demo Emirates Materials</x:v>
      </x:c>
      <x:c r="E21" s="8" t="str">
        <x:v>UAE</x:v>
      </x:c>
      <x:c r="F21" s="8" t="str">
        <x:v>Cement</x:v>
      </x:c>
      <x:c r="G21" s="8" t="str">
        <x:v>Private</x:v>
      </x:c>
      <x:c r="H21" s="19" t="n">
        <x:v>46387</x:v>
      </x:c>
      <x:c r="I21" s="16" t="n">
        <x:v>144</x:v>
      </x:c>
      <x:c r="J21" s="16" t="n">
        <x:v>30</x:v>
      </x:c>
      <x:c r="K21" s="16" t="n">
        <x:v>3.8</x:v>
      </x:c>
      <x:c r="L21" s="16" t="n">
        <x:v>8.6</x:v>
      </x:c>
      <x:c r="M21" s="16" t="n">
        <x:v>76</x:v>
      </x:c>
      <x:c r="N21" s="16" t="n">
        <x:v>49</x:v>
      </x:c>
      <x:c r="O21" s="16" t="n">
        <x:v>182</x:v>
      </x:c>
      <x:c r="P21" s="11" t="n">
        <x:v>0.012</x:v>
      </x:c>
      <x:c r="Q21" s="11" t="n">
        <x:v>0.36000000000000004</x:v>
      </x:c>
      <x:c r="R21" s="20" t="n">
        <x:v>132000</x:v>
      </x:c>
      <x:c r="S21" s="11" t="n">
        <x:v>0.23</x:v>
      </x:c>
      <x:c r="T21" s="11" t="n">
        <x:v>0.35</x:v>
      </x:c>
      <x:c r="U21" s="11" t="n">
        <x:v>0.32</x:v>
      </x:c>
      <x:c r="V21" s="8" t="n">
        <x:v>1.6</x:v>
      </x:c>
      <x:c r="W21" s="11" t="n">
        <x:v>0.2</x:v>
      </x:c>
      <x:c r="X21" s="8" t="str">
        <x:v>SYN-FIN-13</x:v>
      </x:c>
      <x:c r="Y21" s="19" t="n">
        <x:v>46752</x:v>
      </x:c>
      <x:c r="Z21" s="8" t="str">
        <x:v>No</x:v>
      </x:c>
      <x:c r="AA21" s="9" t="str">
        <x:f>IF(C21="","",IF(COUNTIF($C$9:$C$108,C21)&lt;&gt;1,"Duplicate borrower",IF(OR(COUNTA(D21:G21)&lt;4,COUNT(H21:W21)&lt;&gt;16,X21="",COUNT(Y21)&lt;&gt;1,Z21=""),"Missing inputs",IF(OR(I21&lt;=0,J21&lt;=K21,L21&lt;=0,MIN(P21:Q21)&lt;0,MAX(P21:Q21)&gt;1,MIN(R21:W21)&lt;0,MAX(S21:U21)&gt;1,W21&gt;1),"Invalid inputs",IF(Y21&lt;Settings!$F$8,"Expired evidence","Ready")))))</x:f>
        <x:v>Ready</x:v>
      </x:c>
    </x:row>
    <x:row r="22" ht="38" customHeight="1">
      <x:c r="A22" s="1"/>
      <x:c r="B22" s="1"/>
      <x:c r="C22" s="8" t="str">
        <x:v>B014</x:v>
      </x:c>
      <x:c r="D22" s="8" t="str">
        <x:v>Demo Desert Solar</x:v>
      </x:c>
      <x:c r="E22" s="8" t="str">
        <x:v>UAE</x:v>
      </x:c>
      <x:c r="F22" s="8" t="str">
        <x:v>Solar</x:v>
      </x:c>
      <x:c r="G22" s="8" t="str">
        <x:v>Private</x:v>
      </x:c>
      <x:c r="H22" s="19" t="n">
        <x:v>46387</x:v>
      </x:c>
      <x:c r="I22" s="16" t="n">
        <x:v>151</x:v>
      </x:c>
      <x:c r="J22" s="16" t="n">
        <x:v>31.5</x:v>
      </x:c>
      <x:c r="K22" s="16" t="n">
        <x:v>3.95</x:v>
      </x:c>
      <x:c r="L22" s="16" t="n">
        <x:v>8.9</x:v>
      </x:c>
      <x:c r="M22" s="16" t="n">
        <x:v>79</x:v>
      </x:c>
      <x:c r="N22" s="16" t="n">
        <x:v>51</x:v>
      </x:c>
      <x:c r="O22" s="16" t="n">
        <x:v>188</x:v>
      </x:c>
      <x:c r="P22" s="11" t="n">
        <x:v>0.018000000000000002</x:v>
      </x:c>
      <x:c r="Q22" s="11" t="n">
        <x:v>0.4</x:v>
      </x:c>
      <x:c r="R22" s="20" t="n">
        <x:v>200</x:v>
      </x:c>
      <x:c r="S22" s="11" t="n">
        <x:v>0.09000000000000001</x:v>
      </x:c>
      <x:c r="T22" s="11" t="n">
        <x:v>0.44999999999999996</x:v>
      </x:c>
      <x:c r="U22" s="11" t="n">
        <x:v>0.38</x:v>
      </x:c>
      <x:c r="V22" s="8" t="n">
        <x:v>1.6</x:v>
      </x:c>
      <x:c r="W22" s="11" t="n">
        <x:v>0.2</x:v>
      </x:c>
      <x:c r="X22" s="8" t="str">
        <x:v>SYN-FIN-14</x:v>
      </x:c>
      <x:c r="Y22" s="19" t="n">
        <x:v>46752</x:v>
      </x:c>
      <x:c r="Z22" s="8" t="str">
        <x:v>No</x:v>
      </x:c>
      <x:c r="AA22" s="9" t="str">
        <x:f>IF(C22="","",IF(COUNTIF($C$9:$C$108,C22)&lt;&gt;1,"Duplicate borrower",IF(OR(COUNTA(D22:G22)&lt;4,COUNT(H22:W22)&lt;&gt;16,X22="",COUNT(Y22)&lt;&gt;1,Z22=""),"Missing inputs",IF(OR(I22&lt;=0,J22&lt;=K22,L22&lt;=0,MIN(P22:Q22)&lt;0,MAX(P22:Q22)&gt;1,MIN(R22:W22)&lt;0,MAX(S22:U22)&gt;1,W22&gt;1),"Invalid inputs",IF(Y22&lt;Settings!$F$8,"Expired evidence","Ready")))))</x:f>
        <x:v>Ready</x:v>
      </x:c>
    </x:row>
    <x:row r="23" ht="38" customHeight="1">
      <x:c r="A23" s="1"/>
      <x:c r="B23" s="1"/>
      <x:c r="C23" s="8" t="str">
        <x:v>B015</x:v>
      </x:c>
      <x:c r="D23" s="8" t="str">
        <x:v>Demo Gulf Logistics</x:v>
      </x:c>
      <x:c r="E23" s="8" t="str">
        <x:v>UAE</x:v>
      </x:c>
      <x:c r="F23" s="8" t="str">
        <x:v>Logistics</x:v>
      </x:c>
      <x:c r="G23" s="8" t="str">
        <x:v>Private</x:v>
      </x:c>
      <x:c r="H23" s="19" t="n">
        <x:v>46387</x:v>
      </x:c>
      <x:c r="I23" s="16" t="n">
        <x:v>158</x:v>
      </x:c>
      <x:c r="J23" s="16" t="n">
        <x:v>33</x:v>
      </x:c>
      <x:c r="K23" s="16" t="n">
        <x:v>4.1</x:v>
      </x:c>
      <x:c r="L23" s="16" t="n">
        <x:v>9.2</x:v>
      </x:c>
      <x:c r="M23" s="16" t="n">
        <x:v>82</x:v>
      </x:c>
      <x:c r="N23" s="16" t="n">
        <x:v>53</x:v>
      </x:c>
      <x:c r="O23" s="16" t="n">
        <x:v>194</x:v>
      </x:c>
      <x:c r="P23" s="11" t="n">
        <x:v>0.024</x:v>
      </x:c>
      <x:c r="Q23" s="11" t="n">
        <x:v>0.44000000000000006</x:v>
      </x:c>
      <x:c r="R23" s="20" t="n">
        <x:v>9600</x:v>
      </x:c>
      <x:c r="S23" s="11" t="n">
        <x:v>0.11000000000000001</x:v>
      </x:c>
      <x:c r="T23" s="11" t="n">
        <x:v>0.55</x:v>
      </x:c>
      <x:c r="U23" s="11" t="n">
        <x:v>0.44</x:v>
      </x:c>
      <x:c r="V23" s="8" t="n">
        <x:v>1.6</x:v>
      </x:c>
      <x:c r="W23" s="11" t="n">
        <x:v>0.2</x:v>
      </x:c>
      <x:c r="X23" s="8" t="str">
        <x:v>SYN-FIN-15</x:v>
      </x:c>
      <x:c r="Y23" s="19" t="n">
        <x:v>46752</x:v>
      </x:c>
      <x:c r="Z23" s="8" t="str">
        <x:v>No</x:v>
      </x:c>
      <x:c r="AA23" s="9" t="str">
        <x:f>IF(C23="","",IF(COUNTIF($C$9:$C$108,C23)&lt;&gt;1,"Duplicate borrower",IF(OR(COUNTA(D23:G23)&lt;4,COUNT(H23:W23)&lt;&gt;16,X23="",COUNT(Y23)&lt;&gt;1,Z23=""),"Missing inputs",IF(OR(I23&lt;=0,J23&lt;=K23,L23&lt;=0,MIN(P23:Q23)&lt;0,MAX(P23:Q23)&gt;1,MIN(R23:W23)&lt;0,MAX(S23:U23)&gt;1,W23&gt;1),"Invalid inputs",IF(Y23&lt;Settings!$F$8,"Expired evidence","Ready")))))</x:f>
        <x:v>Ready</x:v>
      </x:c>
    </x:row>
    <x:row r="24" ht="38" customHeight="1">
      <x:c r="A24" s="1"/>
      <x:c r="B24" s="1"/>
      <x:c r="C24" s="8" t="str">
        <x:v>B016</x:v>
      </x:c>
      <x:c r="D24" s="8" t="str">
        <x:v>Demo Emirates Foods</x:v>
      </x:c>
      <x:c r="E24" s="8" t="str">
        <x:v>UAE</x:v>
      </x:c>
      <x:c r="F24" s="8" t="str">
        <x:v>Food</x:v>
      </x:c>
      <x:c r="G24" s="8" t="str">
        <x:v>Listed</x:v>
      </x:c>
      <x:c r="H24" s="19" t="n">
        <x:v>46387</x:v>
      </x:c>
      <x:c r="I24" s="16" t="n">
        <x:v>165</x:v>
      </x:c>
      <x:c r="J24" s="16" t="n">
        <x:v>34.5</x:v>
      </x:c>
      <x:c r="K24" s="16" t="n">
        <x:v>4.25</x:v>
      </x:c>
      <x:c r="L24" s="16" t="n">
        <x:v>9.5</x:v>
      </x:c>
      <x:c r="M24" s="16" t="n">
        <x:v>85</x:v>
      </x:c>
      <x:c r="N24" s="16" t="n">
        <x:v>55</x:v>
      </x:c>
      <x:c r="O24" s="16" t="n">
        <x:v>200</x:v>
      </x:c>
      <x:c r="P24" s="11" t="n">
        <x:v>0.030000000000000002</x:v>
      </x:c>
      <x:c r="Q24" s="11" t="n">
        <x:v>0.28</x:v>
      </x:c>
      <x:c r="R24" s="20" t="n">
        <x:v>10000</x:v>
      </x:c>
      <x:c r="S24" s="11" t="n">
        <x:v>0.13</x:v>
      </x:c>
      <x:c r="T24" s="11" t="n">
        <x:v>0.65</x:v>
      </x:c>
      <x:c r="U24" s="11" t="n">
        <x:v>0.32</x:v>
      </x:c>
      <x:c r="V24" s="8" t="n">
        <x:v>1.6</x:v>
      </x:c>
      <x:c r="W24" s="11" t="n">
        <x:v>0.2</x:v>
      </x:c>
      <x:c r="X24" s="8" t="str">
        <x:v>SYN-FIN-16</x:v>
      </x:c>
      <x:c r="Y24" s="19" t="n">
        <x:v>46752</x:v>
      </x:c>
      <x:c r="Z24" s="8" t="str">
        <x:v>No</x:v>
      </x:c>
      <x:c r="AA24" s="9" t="str">
        <x:f>IF(C24="","",IF(COUNTIF($C$9:$C$108,C24)&lt;&gt;1,"Duplicate borrower",IF(OR(COUNTA(D24:G24)&lt;4,COUNT(H24:W24)&lt;&gt;16,X24="",COUNT(Y24)&lt;&gt;1,Z24=""),"Missing inputs",IF(OR(I24&lt;=0,J24&lt;=K24,L24&lt;=0,MIN(P24:Q24)&lt;0,MAX(P24:Q24)&gt;1,MIN(R24:W24)&lt;0,MAX(S24:U24)&gt;1,W24&gt;1),"Invalid inputs",IF(Y24&lt;Settings!$F$8,"Expired evidence","Ready")))))</x:f>
        <x:v>Ready</x:v>
      </x:c>
    </x:row>
    <x:row r="25" ht="38" customHeight="1">
      <x:c r="A25" s="1"/>
      <x:c r="B25" s="1"/>
      <x:c r="C25" s="8" t="str">
        <x:v>B017</x:v>
      </x:c>
      <x:c r="D25" s="8" t="str">
        <x:v>Demo Marina Properties</x:v>
      </x:c>
      <x:c r="E25" s="8" t="str">
        <x:v>UAE</x:v>
      </x:c>
      <x:c r="F25" s="8" t="str">
        <x:v>Property</x:v>
      </x:c>
      <x:c r="G25" s="8" t="str">
        <x:v>Private</x:v>
      </x:c>
      <x:c r="H25" s="19" t="n">
        <x:v>46387</x:v>
      </x:c>
      <x:c r="I25" s="16" t="n">
        <x:v>172</x:v>
      </x:c>
      <x:c r="J25" s="16" t="n">
        <x:v>36</x:v>
      </x:c>
      <x:c r="K25" s="16" t="n">
        <x:v>4.4</x:v>
      </x:c>
      <x:c r="L25" s="16" t="n">
        <x:v>9.8</x:v>
      </x:c>
      <x:c r="M25" s="16" t="n">
        <x:v>88</x:v>
      </x:c>
      <x:c r="N25" s="16" t="n">
        <x:v>57</x:v>
      </x:c>
      <x:c r="O25" s="16" t="n">
        <x:v>206</x:v>
      </x:c>
      <x:c r="P25" s="11" t="n">
        <x:v>0.036000000000000004</x:v>
      </x:c>
      <x:c r="Q25" s="11" t="n">
        <x:v>0.32</x:v>
      </x:c>
      <x:c r="R25" s="20" t="n">
        <x:v>10400</x:v>
      </x:c>
      <x:c r="S25" s="11" t="n">
        <x:v>0.07</x:v>
      </x:c>
      <x:c r="T25" s="11" t="n">
        <x:v>0.35</x:v>
      </x:c>
      <x:c r="U25" s="11" t="n">
        <x:v>0.38</x:v>
      </x:c>
      <x:c r="V25" s="8" t="n">
        <x:v>1.6</x:v>
      </x:c>
      <x:c r="W25" s="11" t="n">
        <x:v>0.2</x:v>
      </x:c>
      <x:c r="X25" s="8" t="str">
        <x:v>SYN-FIN-17</x:v>
      </x:c>
      <x:c r="Y25" s="19" t="n">
        <x:v>46752</x:v>
      </x:c>
      <x:c r="Z25" s="8" t="str">
        <x:v>No</x:v>
      </x:c>
      <x:c r="AA25" s="9" t="str">
        <x:f>IF(C25="","",IF(COUNTIF($C$9:$C$108,C25)&lt;&gt;1,"Duplicate borrower",IF(OR(COUNTA(D25:G25)&lt;4,COUNT(H25:W25)&lt;&gt;16,X25="",COUNT(Y25)&lt;&gt;1,Z25=""),"Missing inputs",IF(OR(I25&lt;=0,J25&lt;=K25,L25&lt;=0,MIN(P25:Q25)&lt;0,MAX(P25:Q25)&gt;1,MIN(R25:W25)&lt;0,MAX(S25:U25)&gt;1,W25&gt;1),"Invalid inputs",IF(Y25&lt;Settings!$F$8,"Expired evidence","Ready")))))</x:f>
        <x:v>Ready</x:v>
      </x:c>
    </x:row>
    <x:row r="26" ht="38" customHeight="1">
      <x:c r="A26" s="1"/>
      <x:c r="B26" s="1"/>
      <x:c r="C26" s="8" t="str">
        <x:v>B018</x:v>
      </x:c>
      <x:c r="D26" s="8" t="str">
        <x:v>Demo Gulf Hospitality</x:v>
      </x:c>
      <x:c r="E26" s="8" t="str">
        <x:v>UAE</x:v>
      </x:c>
      <x:c r="F26" s="8" t="str">
        <x:v>Hospitality</x:v>
      </x:c>
      <x:c r="G26" s="8" t="str">
        <x:v>Private</x:v>
      </x:c>
      <x:c r="H26" s="19" t="n">
        <x:v>46387</x:v>
      </x:c>
      <x:c r="I26" s="16" t="n">
        <x:v>179</x:v>
      </x:c>
      <x:c r="J26" s="16" t="n">
        <x:v>37.5</x:v>
      </x:c>
      <x:c r="K26" s="16" t="n">
        <x:v>4.55</x:v>
      </x:c>
      <x:c r="L26" s="16" t="n">
        <x:v>10.1</x:v>
      </x:c>
      <x:c r="M26" s="16" t="n">
        <x:v>91</x:v>
      </x:c>
      <x:c r="N26" s="16" t="n">
        <x:v>59</x:v>
      </x:c>
      <x:c r="O26" s="16" t="n">
        <x:v>212</x:v>
      </x:c>
      <x:c r="P26" s="11" t="n">
        <x:v>0.041999999999999996</x:v>
      </x:c>
      <x:c r="Q26" s="11" t="n">
        <x:v>0.36000000000000004</x:v>
      </x:c>
      <x:c r="R26" s="20" t="n">
        <x:v>10800</x:v>
      </x:c>
      <x:c r="S26" s="11" t="n">
        <x:v>0.09000000000000001</x:v>
      </x:c>
      <x:c r="T26" s="11" t="n">
        <x:v>0.44999999999999996</x:v>
      </x:c>
      <x:c r="U26" s="11" t="n">
        <x:v>0.44</x:v>
      </x:c>
      <x:c r="V26" s="8" t="n">
        <x:v>1.6</x:v>
      </x:c>
      <x:c r="W26" s="11" t="n">
        <x:v>0.2</x:v>
      </x:c>
      <x:c r="X26" s="8" t="str">
        <x:v>SYN-FIN-18</x:v>
      </x:c>
      <x:c r="Y26" s="19" t="n">
        <x:v>46752</x:v>
      </x:c>
      <x:c r="Z26" s="8" t="str">
        <x:v>No</x:v>
      </x:c>
      <x:c r="AA26" s="9" t="str">
        <x:f>IF(C26="","",IF(COUNTIF($C$9:$C$108,C26)&lt;&gt;1,"Duplicate borrower",IF(OR(COUNTA(D26:G26)&lt;4,COUNT(H26:W26)&lt;&gt;16,X26="",COUNT(Y26)&lt;&gt;1,Z26=""),"Missing inputs",IF(OR(I26&lt;=0,J26&lt;=K26,L26&lt;=0,MIN(P26:Q26)&lt;0,MAX(P26:Q26)&gt;1,MIN(R26:W26)&lt;0,MAX(S26:U26)&gt;1,W26&gt;1),"Invalid inputs",IF(Y26&lt;Settings!$F$8,"Expired evidence","Ready")))))</x:f>
        <x:v>Ready</x:v>
      </x:c>
    </x:row>
    <x:row r="27" ht="38" customHeight="1">
      <x:c r="A27" s="1"/>
      <x:c r="B27" s="1"/>
      <x:c r="C27" s="8" t="str">
        <x:v>B019</x:v>
      </x:c>
      <x:c r="D27" s="8" t="str">
        <x:v>Demo Nile Textiles</x:v>
      </x:c>
      <x:c r="E27" s="8" t="str">
        <x:v>Egypt</x:v>
      </x:c>
      <x:c r="F27" s="8" t="str">
        <x:v>Manufacturing</x:v>
      </x:c>
      <x:c r="G27" s="8" t="str">
        <x:v>Private</x:v>
      </x:c>
      <x:c r="H27" s="19" t="n">
        <x:v>46387</x:v>
      </x:c>
      <x:c r="I27" s="16" t="n">
        <x:v>186</x:v>
      </x:c>
      <x:c r="J27" s="16" t="n">
        <x:v>39</x:v>
      </x:c>
      <x:c r="K27" s="16" t="n">
        <x:v>4.699999999999999</x:v>
      </x:c>
      <x:c r="L27" s="16" t="n">
        <x:v>10.399999999999999</x:v>
      </x:c>
      <x:c r="M27" s="16" t="n">
        <x:v>94</x:v>
      </x:c>
      <x:c r="N27" s="16" t="n">
        <x:v>61</x:v>
      </x:c>
      <x:c r="O27" s="16" t="n">
        <x:v>218</x:v>
      </x:c>
      <x:c r="P27" s="11" t="n">
        <x:v>0.012</x:v>
      </x:c>
      <x:c r="Q27" s="11" t="n">
        <x:v>0.4</x:v>
      </x:c>
      <x:c r="R27" s="20" t="n">
        <x:v>11200</x:v>
      </x:c>
      <x:c r="S27" s="11" t="n">
        <x:v>0.11000000000000001</x:v>
      </x:c>
      <x:c r="T27" s="11" t="n">
        <x:v>0.55</x:v>
      </x:c>
      <x:c r="U27" s="11" t="n">
        <x:v>0.32</x:v>
      </x:c>
      <x:c r="V27" s="8" t="n">
        <x:v>1.6</x:v>
      </x:c>
      <x:c r="W27" s="11" t="n">
        <x:v>0.2</x:v>
      </x:c>
      <x:c r="X27" s="8" t="str">
        <x:v>SYN-FIN-19</x:v>
      </x:c>
      <x:c r="Y27" s="19" t="n">
        <x:v>46752</x:v>
      </x:c>
      <x:c r="Z27" s="8" t="str">
        <x:v>No</x:v>
      </x:c>
      <x:c r="AA27" s="9" t="str">
        <x:f>IF(C27="","",IF(COUNTIF($C$9:$C$108,C27)&lt;&gt;1,"Duplicate borrower",IF(OR(COUNTA(D27:G27)&lt;4,COUNT(H27:W27)&lt;&gt;16,X27="",COUNT(Y27)&lt;&gt;1,Z27=""),"Missing inputs",IF(OR(I27&lt;=0,J27&lt;=K27,L27&lt;=0,MIN(P27:Q27)&lt;0,MAX(P27:Q27)&gt;1,MIN(R27:W27)&lt;0,MAX(S27:U27)&gt;1,W27&gt;1),"Invalid inputs",IF(Y27&lt;Settings!$F$8,"Expired evidence","Ready")))))</x:f>
        <x:v>Ready</x:v>
      </x:c>
    </x:row>
    <x:row r="28" ht="38" customHeight="1">
      <x:c r="A28" s="1"/>
      <x:c r="B28" s="1"/>
      <x:c r="C28" s="8" t="str">
        <x:v>B020</x:v>
      </x:c>
      <x:c r="D28" s="8" t="str">
        <x:v>Demo Delta Agriculture</x:v>
      </x:c>
      <x:c r="E28" s="8" t="str">
        <x:v>Egypt</x:v>
      </x:c>
      <x:c r="F28" s="8" t="str">
        <x:v>Agriculture</x:v>
      </x:c>
      <x:c r="G28" s="8" t="str">
        <x:v>Private</x:v>
      </x:c>
      <x:c r="H28" s="19" t="n">
        <x:v>46387</x:v>
      </x:c>
      <x:c r="I28" s="16" t="n">
        <x:v>193</x:v>
      </x:c>
      <x:c r="J28" s="16" t="n">
        <x:v>40.5</x:v>
      </x:c>
      <x:c r="K28" s="16" t="n">
        <x:v>4.85</x:v>
      </x:c>
      <x:c r="L28" s="16" t="n">
        <x:v>10.7</x:v>
      </x:c>
      <x:c r="M28" s="16" t="n">
        <x:v>97</x:v>
      </x:c>
      <x:c r="N28" s="16" t="n">
        <x:v>63</x:v>
      </x:c>
      <x:c r="O28" s="16" t="n">
        <x:v>224</x:v>
      </x:c>
      <x:c r="P28" s="11" t="n">
        <x:v>0.018000000000000002</x:v>
      </x:c>
      <x:c r="Q28" s="11" t="n">
        <x:v>0.44000000000000006</x:v>
      </x:c>
      <x:c r="R28" s="20" t="n">
        <x:v>11600</x:v>
      </x:c>
      <x:c r="S28" s="11" t="n">
        <x:v>0.13</x:v>
      </x:c>
      <x:c r="T28" s="11" t="n">
        <x:v>0.65</x:v>
      </x:c>
      <x:c r="U28" s="11" t="n">
        <x:v>0.38</x:v>
      </x:c>
      <x:c r="V28" s="8" t="n">
        <x:v>1.6</x:v>
      </x:c>
      <x:c r="W28" s="11" t="n">
        <x:v>0.2</x:v>
      </x:c>
      <x:c r="X28" s="8" t="str">
        <x:v>SYN-FIN-20</x:v>
      </x:c>
      <x:c r="Y28" s="19" t="n">
        <x:v>46752</x:v>
      </x:c>
      <x:c r="Z28" s="8" t="str">
        <x:v>No</x:v>
      </x:c>
      <x:c r="AA28" s="9" t="str">
        <x:f>IF(C28="","",IF(COUNTIF($C$9:$C$108,C28)&lt;&gt;1,"Duplicate borrower",IF(OR(COUNTA(D28:G28)&lt;4,COUNT(H28:W28)&lt;&gt;16,X28="",COUNT(Y28)&lt;&gt;1,Z28=""),"Missing inputs",IF(OR(I28&lt;=0,J28&lt;=K28,L28&lt;=0,MIN(P28:Q28)&lt;0,MAX(P28:Q28)&gt;1,MIN(R28:W28)&lt;0,MAX(S28:U28)&gt;1,W28&gt;1),"Invalid inputs",IF(Y28&lt;Settings!$F$8,"Expired evidence","Ready")))))</x:f>
        <x:v>Ready</x:v>
      </x:c>
    </x:row>
    <x:row r="29" ht="38" customHeight="1">
      <x:c r="A29" s="1"/>
      <x:c r="B29" s="1"/>
      <x:c r="C29" s="8" t="str">
        <x:v>B021</x:v>
      </x:c>
      <x:c r="D29" s="8" t="str">
        <x:v>Demo Sinai Utilities</x:v>
      </x:c>
      <x:c r="E29" s="8" t="str">
        <x:v>Egypt</x:v>
      </x:c>
      <x:c r="F29" s="8" t="str">
        <x:v>Utilities</x:v>
      </x:c>
      <x:c r="G29" s="8" t="str">
        <x:v>Listed</x:v>
      </x:c>
      <x:c r="H29" s="19" t="n">
        <x:v>46387</x:v>
      </x:c>
      <x:c r="I29" s="16" t="n">
        <x:v>200</x:v>
      </x:c>
      <x:c r="J29" s="16" t="n">
        <x:v>42</x:v>
      </x:c>
      <x:c r="K29" s="16" t="n">
        <x:v>5</x:v>
      </x:c>
      <x:c r="L29" s="16" t="n">
        <x:v>11</x:v>
      </x:c>
      <x:c r="M29" s="16" t="n">
        <x:v>100</x:v>
      </x:c>
      <x:c r="N29" s="16" t="n">
        <x:v>65</x:v>
      </x:c>
      <x:c r="O29" s="16" t="n">
        <x:v>230</x:v>
      </x:c>
      <x:c r="P29" s="11" t="n">
        <x:v>0.024</x:v>
      </x:c>
      <x:c r="Q29" s="11" t="n">
        <x:v>0.28</x:v>
      </x:c>
      <x:c r="R29" s="20" t="n">
        <x:v>12000</x:v>
      </x:c>
      <x:c r="S29" s="11" t="n">
        <x:v>0.07</x:v>
      </x:c>
      <x:c r="T29" s="11" t="n">
        <x:v>0.35</x:v>
      </x:c>
      <x:c r="U29" s="11" t="n">
        <x:v>0.44</x:v>
      </x:c>
      <x:c r="V29" s="8" t="n">
        <x:v>1.6</x:v>
      </x:c>
      <x:c r="W29" s="11" t="n">
        <x:v>0.2</x:v>
      </x:c>
      <x:c r="X29" s="8" t="str">
        <x:v>SYN-FIN-21</x:v>
      </x:c>
      <x:c r="Y29" s="19" t="n">
        <x:v>46752</x:v>
      </x:c>
      <x:c r="Z29" s="8" t="str">
        <x:v>No</x:v>
      </x:c>
      <x:c r="AA29" s="9" t="str">
        <x:f>IF(C29="","",IF(COUNTIF($C$9:$C$108,C29)&lt;&gt;1,"Duplicate borrower",IF(OR(COUNTA(D29:G29)&lt;4,COUNT(H29:W29)&lt;&gt;16,X29="",COUNT(Y29)&lt;&gt;1,Z29=""),"Missing inputs",IF(OR(I29&lt;=0,J29&lt;=K29,L29&lt;=0,MIN(P29:Q29)&lt;0,MAX(P29:Q29)&gt;1,MIN(R29:W29)&lt;0,MAX(S29:U29)&gt;1,W29&gt;1),"Invalid inputs",IF(Y29&lt;Settings!$F$8,"Expired evidence","Ready")))))</x:f>
        <x:v>Ready</x:v>
      </x:c>
    </x:row>
    <x:row r="30" ht="38" customHeight="1">
      <x:c r="A30" s="1"/>
      <x:c r="B30" s="1"/>
      <x:c r="C30" s="8" t="str">
        <x:v>B022</x:v>
      </x:c>
      <x:c r="D30" s="8" t="str">
        <x:v>Demo Petra Manufacturing</x:v>
      </x:c>
      <x:c r="E30" s="8" t="str">
        <x:v>Jordan</x:v>
      </x:c>
      <x:c r="F30" s="8" t="str">
        <x:v>Manufacturing</x:v>
      </x:c>
      <x:c r="G30" s="8" t="str">
        <x:v>Private</x:v>
      </x:c>
      <x:c r="H30" s="19" t="n">
        <x:v>46387</x:v>
      </x:c>
      <x:c r="I30" s="16" t="n">
        <x:v>207</x:v>
      </x:c>
      <x:c r="J30" s="16" t="n">
        <x:v>43.5</x:v>
      </x:c>
      <x:c r="K30" s="16" t="n">
        <x:v>5.15</x:v>
      </x:c>
      <x:c r="L30" s="16" t="n">
        <x:v>11.3</x:v>
      </x:c>
      <x:c r="M30" s="16" t="n">
        <x:v>103</x:v>
      </x:c>
      <x:c r="N30" s="16" t="n">
        <x:v>67</x:v>
      </x:c>
      <x:c r="O30" s="16" t="n">
        <x:v>236</x:v>
      </x:c>
      <x:c r="P30" s="11" t="n">
        <x:v>0.030000000000000002</x:v>
      </x:c>
      <x:c r="Q30" s="11" t="n">
        <x:v>0.32</x:v>
      </x:c>
      <x:c r="R30" s="20" t="n">
        <x:v>12400</x:v>
      </x:c>
      <x:c r="S30" s="11" t="n">
        <x:v>0.09000000000000001</x:v>
      </x:c>
      <x:c r="T30" s="11" t="n">
        <x:v>0.44999999999999996</x:v>
      </x:c>
      <x:c r="U30" s="11" t="n">
        <x:v>0.32</x:v>
      </x:c>
      <x:c r="V30" s="8" t="n">
        <x:v>1.6</x:v>
      </x:c>
      <x:c r="W30" s="11" t="n">
        <x:v>0.2</x:v>
      </x:c>
      <x:c r="X30" s="8" t="str">
        <x:v>SYN-FIN-22</x:v>
      </x:c>
      <x:c r="Y30" s="19" t="n">
        <x:v>46752</x:v>
      </x:c>
      <x:c r="Z30" s="8" t="str">
        <x:v>No</x:v>
      </x:c>
      <x:c r="AA30" s="9" t="str">
        <x:f>IF(C30="","",IF(COUNTIF($C$9:$C$108,C30)&lt;&gt;1,"Duplicate borrower",IF(OR(COUNTA(D30:G30)&lt;4,COUNT(H30:W30)&lt;&gt;16,X30="",COUNT(Y30)&lt;&gt;1,Z30=""),"Missing inputs",IF(OR(I30&lt;=0,J30&lt;=K30,L30&lt;=0,MIN(P30:Q30)&lt;0,MAX(P30:Q30)&gt;1,MIN(R30:W30)&lt;0,MAX(S30:U30)&gt;1,W30&gt;1),"Invalid inputs",IF(Y30&lt;Settings!$F$8,"Expired evidence","Ready")))))</x:f>
        <x:v>Ready</x:v>
      </x:c>
    </x:row>
    <x:row r="31" ht="38" customHeight="1">
      <x:c r="A31" s="1"/>
      <x:c r="B31" s="1"/>
      <x:c r="C31" s="8" t="str">
        <x:v>B023</x:v>
      </x:c>
      <x:c r="D31" s="8" t="str">
        <x:v>Demo Gulf Technology</x:v>
      </x:c>
      <x:c r="E31" s="8" t="str">
        <x:v>UAE</x:v>
      </x:c>
      <x:c r="F31" s="8" t="str">
        <x:v>Technology</x:v>
      </x:c>
      <x:c r="G31" s="8" t="str">
        <x:v>Private</x:v>
      </x:c>
      <x:c r="H31" s="19" t="n">
        <x:v>46387</x:v>
      </x:c>
      <x:c r="I31" s="16" t="n">
        <x:v>214</x:v>
      </x:c>
      <x:c r="J31" s="16" t="n">
        <x:v>45</x:v>
      </x:c>
      <x:c r="K31" s="16" t="n">
        <x:v>5.3</x:v>
      </x:c>
      <x:c r="L31" s="16" t="n">
        <x:v>11.6</x:v>
      </x:c>
      <x:c r="M31" s="16" t="n">
        <x:v>106</x:v>
      </x:c>
      <x:c r="N31" s="16" t="n">
        <x:v>69</x:v>
      </x:c>
      <x:c r="O31" s="16" t="n">
        <x:v>242</x:v>
      </x:c>
      <x:c r="P31" s="11" t="n">
        <x:v>0.036000000000000004</x:v>
      </x:c>
      <x:c r="Q31" s="11" t="n">
        <x:v>0.36000000000000004</x:v>
      </x:c>
      <x:c r="R31" s="20" t="n">
        <x:v>12800</x:v>
      </x:c>
      <x:c r="S31" s="11" t="n">
        <x:v>0.11000000000000001</x:v>
      </x:c>
      <x:c r="T31" s="11" t="n">
        <x:v>0.55</x:v>
      </x:c>
      <x:c r="U31" s="11" t="n">
        <x:v>0.38</x:v>
      </x:c>
      <x:c r="V31" s="8" t="n">
        <x:v>1.6</x:v>
      </x:c>
      <x:c r="W31" s="11" t="n">
        <x:v>0.2</x:v>
      </x:c>
      <x:c r="X31" s="8" t="str">
        <x:v>SYN-FIN-23</x:v>
      </x:c>
      <x:c r="Y31" s="19" t="n">
        <x:v>46752</x:v>
      </x:c>
      <x:c r="Z31" s="8" t="str">
        <x:v>Yes</x:v>
      </x:c>
      <x:c r="AA31" s="9" t="str">
        <x:f>IF(C31="","",IF(COUNTIF($C$9:$C$108,C31)&lt;&gt;1,"Duplicate borrower",IF(OR(COUNTA(D31:G31)&lt;4,COUNT(H31:W31)&lt;&gt;16,X31="",COUNT(Y31)&lt;&gt;1,Z31=""),"Missing inputs",IF(OR(I31&lt;=0,J31&lt;=K31,L31&lt;=0,MIN(P31:Q31)&lt;0,MAX(P31:Q31)&gt;1,MIN(R31:W31)&lt;0,MAX(S31:U31)&gt;1,W31&gt;1),"Invalid inputs",IF(Y31&lt;Settings!$F$8,"Expired evidence","Ready")))))</x:f>
        <x:v>Ready</x:v>
      </x:c>
    </x:row>
    <x:row r="32" ht="38" customHeight="1">
      <x:c r="A32" s="1"/>
      <x:c r="B32" s="1"/>
      <x:c r="C32" s="8" t="str">
        <x:v>B024</x:v>
      </x:c>
      <x:c r="D32" s="8" t="str">
        <x:v>Demo Cairo Mobility</x:v>
      </x:c>
      <x:c r="E32" s="8" t="str">
        <x:v>Egypt</x:v>
      </x:c>
      <x:c r="F32" s="8" t="str">
        <x:v>Transport</x:v>
      </x:c>
      <x:c r="G32" s="8" t="str">
        <x:v>Private</x:v>
      </x:c>
      <x:c r="H32" s="19" t="n">
        <x:v>46387</x:v>
      </x:c>
      <x:c r="I32" s="16" t="n">
        <x:v>221</x:v>
      </x:c>
      <x:c r="J32" s="16" t="n">
        <x:v>46.5</x:v>
      </x:c>
      <x:c r="K32" s="16" t="n">
        <x:v>5.449999999999999</x:v>
      </x:c>
      <x:c r="L32" s="16" t="n">
        <x:v>11.899999999999999</x:v>
      </x:c>
      <x:c r="M32" s="16" t="n">
        <x:v>109</x:v>
      </x:c>
      <x:c r="N32" s="16" t="n">
        <x:v>71</x:v>
      </x:c>
      <x:c r="O32" s="16" t="n">
        <x:v>248</x:v>
      </x:c>
      <x:c r="P32" s="11" t="n">
        <x:v>0.041999999999999996</x:v>
      </x:c>
      <x:c r="Q32" s="11" t="n">
        <x:v>0.4</x:v>
      </x:c>
      <x:c r="R32" s="20" t="n">
        <x:v>13200</x:v>
      </x:c>
      <x:c r="S32" s="11" t="n">
        <x:v>0.13</x:v>
      </x:c>
      <x:c r="T32" s="11" t="n">
        <x:v>0.65</x:v>
      </x:c>
      <x:c r="U32" s="11" t="n">
        <x:v>0.44</x:v>
      </x:c>
      <x:c r="V32" s="8" t="n">
        <x:v>1.6</x:v>
      </x:c>
      <x:c r="W32" s="11" t="n">
        <x:v>0.2</x:v>
      </x:c>
      <x:c r="X32" s="8" t="str">
        <x:v>SYN-FIN-24</x:v>
      </x:c>
      <x:c r="Y32" s="19" t="n">
        <x:v>46752</x:v>
      </x:c>
      <x:c r="Z32" s="8" t="str">
        <x:v>No</x:v>
      </x:c>
      <x:c r="AA32" s="9" t="str">
        <x:f>IF(C32="","",IF(COUNTIF($C$9:$C$108,C32)&lt;&gt;1,"Duplicate borrower",IF(OR(COUNTA(D32:G32)&lt;4,COUNT(H32:W32)&lt;&gt;16,X32="",COUNT(Y32)&lt;&gt;1,Z32=""),"Missing inputs",IF(OR(I32&lt;=0,J32&lt;=K32,L32&lt;=0,MIN(P32:Q32)&lt;0,MAX(P32:Q32)&gt;1,MIN(R32:W32)&lt;0,MAX(S32:U32)&gt;1,W32&gt;1),"Invalid inputs",IF(Y32&lt;Settings!$F$8,"Expired evidence","Ready")))))</x:f>
        <x:v>Ready</x:v>
      </x:c>
    </x:row>
    <x:row r="33" ht="38" customHeight="1">
      <x:c r="A33" s="1"/>
      <x:c r="B33" s="1"/>
      <x:c r="C33" s="8"/>
      <x:c r="D33" s="8"/>
      <x:c r="E33" s="8"/>
      <x:c r="F33" s="8"/>
      <x:c r="G33" s="8"/>
      <x:c r="H33" s="19"/>
      <x:c r="I33" s="16"/>
      <x:c r="J33" s="16"/>
      <x:c r="K33" s="16"/>
      <x:c r="L33" s="16"/>
      <x:c r="M33" s="16"/>
      <x:c r="N33" s="16"/>
      <x:c r="O33" s="16"/>
      <x:c r="P33" s="11"/>
      <x:c r="Q33" s="11"/>
      <x:c r="R33" s="20"/>
      <x:c r="S33" s="11"/>
      <x:c r="T33" s="11"/>
      <x:c r="U33" s="11"/>
      <x:c r="V33" s="8"/>
      <x:c r="W33" s="11"/>
      <x:c r="X33" s="8"/>
      <x:c r="Y33" s="19"/>
      <x:c r="Z33" s="8"/>
      <x:c r="AA33" s="9" t="str">
        <x:f>IF(C33="","",IF(COUNTIF($C$9:$C$108,C33)&lt;&gt;1,"Duplicate borrower",IF(OR(COUNTA(D33:G33)&lt;4,COUNT(H33:W33)&lt;&gt;16,X33="",COUNT(Y33)&lt;&gt;1,Z33=""),"Missing inputs",IF(OR(I33&lt;=0,J33&lt;=K33,L33&lt;=0,MIN(P33:Q33)&lt;0,MAX(P33:Q33)&gt;1,MIN(R33:W33)&lt;0,MAX(S33:U33)&gt;1,W33&gt;1),"Invalid inputs",IF(Y33&lt;Settings!$F$8,"Expired evidence","Ready")))))</x:f>
      </x:c>
    </x:row>
    <x:row r="34" ht="38" customHeight="1">
      <x:c r="A34" s="1"/>
      <x:c r="B34" s="1"/>
      <x:c r="C34" s="8"/>
      <x:c r="D34" s="8"/>
      <x:c r="E34" s="8"/>
      <x:c r="F34" s="8"/>
      <x:c r="G34" s="8"/>
      <x:c r="H34" s="19"/>
      <x:c r="I34" s="16"/>
      <x:c r="J34" s="16"/>
      <x:c r="K34" s="16"/>
      <x:c r="L34" s="16"/>
      <x:c r="M34" s="16"/>
      <x:c r="N34" s="16"/>
      <x:c r="O34" s="16"/>
      <x:c r="P34" s="11"/>
      <x:c r="Q34" s="11"/>
      <x:c r="R34" s="20"/>
      <x:c r="S34" s="11"/>
      <x:c r="T34" s="11"/>
      <x:c r="U34" s="11"/>
      <x:c r="V34" s="8"/>
      <x:c r="W34" s="11"/>
      <x:c r="X34" s="8"/>
      <x:c r="Y34" s="19"/>
      <x:c r="Z34" s="8"/>
      <x:c r="AA34" s="9" t="str">
        <x:f>IF(C34="","",IF(COUNTIF($C$9:$C$108,C34)&lt;&gt;1,"Duplicate borrower",IF(OR(COUNTA(D34:G34)&lt;4,COUNT(H34:W34)&lt;&gt;16,X34="",COUNT(Y34)&lt;&gt;1,Z34=""),"Missing inputs",IF(OR(I34&lt;=0,J34&lt;=K34,L34&lt;=0,MIN(P34:Q34)&lt;0,MAX(P34:Q34)&gt;1,MIN(R34:W34)&lt;0,MAX(S34:U34)&gt;1,W34&gt;1),"Invalid inputs",IF(Y34&lt;Settings!$F$8,"Expired evidence","Ready")))))</x:f>
      </x:c>
    </x:row>
    <x:row r="35" ht="38" customHeight="1">
      <x:c r="A35" s="1"/>
      <x:c r="B35" s="1"/>
      <x:c r="C35" s="8"/>
      <x:c r="D35" s="8"/>
      <x:c r="E35" s="8"/>
      <x:c r="F35" s="8"/>
      <x:c r="G35" s="8"/>
      <x:c r="H35" s="19"/>
      <x:c r="I35" s="16"/>
      <x:c r="J35" s="16"/>
      <x:c r="K35" s="16"/>
      <x:c r="L35" s="16"/>
      <x:c r="M35" s="16"/>
      <x:c r="N35" s="16"/>
      <x:c r="O35" s="16"/>
      <x:c r="P35" s="11"/>
      <x:c r="Q35" s="11"/>
      <x:c r="R35" s="20"/>
      <x:c r="S35" s="11"/>
      <x:c r="T35" s="11"/>
      <x:c r="U35" s="11"/>
      <x:c r="V35" s="8"/>
      <x:c r="W35" s="11"/>
      <x:c r="X35" s="8"/>
      <x:c r="Y35" s="19"/>
      <x:c r="Z35" s="8"/>
      <x:c r="AA35" s="9" t="str">
        <x:f>IF(C35="","",IF(COUNTIF($C$9:$C$108,C35)&lt;&gt;1,"Duplicate borrower",IF(OR(COUNTA(D35:G35)&lt;4,COUNT(H35:W35)&lt;&gt;16,X35="",COUNT(Y35)&lt;&gt;1,Z35=""),"Missing inputs",IF(OR(I35&lt;=0,J35&lt;=K35,L35&lt;=0,MIN(P35:Q35)&lt;0,MAX(P35:Q35)&gt;1,MIN(R35:W35)&lt;0,MAX(S35:U35)&gt;1,W35&gt;1),"Invalid inputs",IF(Y35&lt;Settings!$F$8,"Expired evidence","Ready")))))</x:f>
      </x:c>
    </x:row>
    <x:row r="36" ht="38" customHeight="1">
      <x:c r="A36" s="1"/>
      <x:c r="B36" s="1"/>
      <x:c r="C36" s="8"/>
      <x:c r="D36" s="8"/>
      <x:c r="E36" s="8"/>
      <x:c r="F36" s="8"/>
      <x:c r="G36" s="8"/>
      <x:c r="H36" s="19"/>
      <x:c r="I36" s="16"/>
      <x:c r="J36" s="16"/>
      <x:c r="K36" s="16"/>
      <x:c r="L36" s="16"/>
      <x:c r="M36" s="16"/>
      <x:c r="N36" s="16"/>
      <x:c r="O36" s="16"/>
      <x:c r="P36" s="11"/>
      <x:c r="Q36" s="11"/>
      <x:c r="R36" s="20"/>
      <x:c r="S36" s="11"/>
      <x:c r="T36" s="11"/>
      <x:c r="U36" s="11"/>
      <x:c r="V36" s="8"/>
      <x:c r="W36" s="11"/>
      <x:c r="X36" s="8"/>
      <x:c r="Y36" s="19"/>
      <x:c r="Z36" s="8"/>
      <x:c r="AA36" s="9" t="str">
        <x:f>IF(C36="","",IF(COUNTIF($C$9:$C$108,C36)&lt;&gt;1,"Duplicate borrower",IF(OR(COUNTA(D36:G36)&lt;4,COUNT(H36:W36)&lt;&gt;16,X36="",COUNT(Y36)&lt;&gt;1,Z36=""),"Missing inputs",IF(OR(I36&lt;=0,J36&lt;=K36,L36&lt;=0,MIN(P36:Q36)&lt;0,MAX(P36:Q36)&gt;1,MIN(R36:W36)&lt;0,MAX(S36:U36)&gt;1,W36&gt;1),"Invalid inputs",IF(Y36&lt;Settings!$F$8,"Expired evidence","Ready")))))</x:f>
      </x:c>
    </x:row>
    <x:row r="37" ht="38" customHeight="1">
      <x:c r="A37" s="1"/>
      <x:c r="B37" s="1"/>
      <x:c r="C37" s="8"/>
      <x:c r="D37" s="8"/>
      <x:c r="E37" s="8"/>
      <x:c r="F37" s="8"/>
      <x:c r="G37" s="8"/>
      <x:c r="H37" s="19"/>
      <x:c r="I37" s="16"/>
      <x:c r="J37" s="16"/>
      <x:c r="K37" s="16"/>
      <x:c r="L37" s="16"/>
      <x:c r="M37" s="16"/>
      <x:c r="N37" s="16"/>
      <x:c r="O37" s="16"/>
      <x:c r="P37" s="11"/>
      <x:c r="Q37" s="11"/>
      <x:c r="R37" s="20"/>
      <x:c r="S37" s="11"/>
      <x:c r="T37" s="11"/>
      <x:c r="U37" s="11"/>
      <x:c r="V37" s="8"/>
      <x:c r="W37" s="11"/>
      <x:c r="X37" s="8"/>
      <x:c r="Y37" s="19"/>
      <x:c r="Z37" s="8"/>
      <x:c r="AA37" s="9" t="str">
        <x:f>IF(C37="","",IF(COUNTIF($C$9:$C$108,C37)&lt;&gt;1,"Duplicate borrower",IF(OR(COUNTA(D37:G37)&lt;4,COUNT(H37:W37)&lt;&gt;16,X37="",COUNT(Y37)&lt;&gt;1,Z37=""),"Missing inputs",IF(OR(I37&lt;=0,J37&lt;=K37,L37&lt;=0,MIN(P37:Q37)&lt;0,MAX(P37:Q37)&gt;1,MIN(R37:W37)&lt;0,MAX(S37:U37)&gt;1,W37&gt;1),"Invalid inputs",IF(Y37&lt;Settings!$F$8,"Expired evidence","Ready")))))</x:f>
      </x:c>
    </x:row>
    <x:row r="38" ht="38" customHeight="1">
      <x:c r="A38" s="1"/>
      <x:c r="B38" s="1"/>
      <x:c r="C38" s="8"/>
      <x:c r="D38" s="8"/>
      <x:c r="E38" s="8"/>
      <x:c r="F38" s="8"/>
      <x:c r="G38" s="8"/>
      <x:c r="H38" s="19"/>
      <x:c r="I38" s="16"/>
      <x:c r="J38" s="16"/>
      <x:c r="K38" s="16"/>
      <x:c r="L38" s="16"/>
      <x:c r="M38" s="16"/>
      <x:c r="N38" s="16"/>
      <x:c r="O38" s="16"/>
      <x:c r="P38" s="11"/>
      <x:c r="Q38" s="11"/>
      <x:c r="R38" s="20"/>
      <x:c r="S38" s="11"/>
      <x:c r="T38" s="11"/>
      <x:c r="U38" s="11"/>
      <x:c r="V38" s="8"/>
      <x:c r="W38" s="11"/>
      <x:c r="X38" s="8"/>
      <x:c r="Y38" s="19"/>
      <x:c r="Z38" s="8"/>
      <x:c r="AA38" s="9" t="str">
        <x:f>IF(C38="","",IF(COUNTIF($C$9:$C$108,C38)&lt;&gt;1,"Duplicate borrower",IF(OR(COUNTA(D38:G38)&lt;4,COUNT(H38:W38)&lt;&gt;16,X38="",COUNT(Y38)&lt;&gt;1,Z38=""),"Missing inputs",IF(OR(I38&lt;=0,J38&lt;=K38,L38&lt;=0,MIN(P38:Q38)&lt;0,MAX(P38:Q38)&gt;1,MIN(R38:W38)&lt;0,MAX(S38:U38)&gt;1,W38&gt;1),"Invalid inputs",IF(Y38&lt;Settings!$F$8,"Expired evidence","Ready")))))</x:f>
      </x:c>
    </x:row>
    <x:row r="39" ht="38" customHeight="1">
      <x:c r="A39" s="1"/>
      <x:c r="B39" s="1"/>
      <x:c r="C39" s="8"/>
      <x:c r="D39" s="8"/>
      <x:c r="E39" s="8"/>
      <x:c r="F39" s="8"/>
      <x:c r="G39" s="8"/>
      <x:c r="H39" s="19"/>
      <x:c r="I39" s="16"/>
      <x:c r="J39" s="16"/>
      <x:c r="K39" s="16"/>
      <x:c r="L39" s="16"/>
      <x:c r="M39" s="16"/>
      <x:c r="N39" s="16"/>
      <x:c r="O39" s="16"/>
      <x:c r="P39" s="11"/>
      <x:c r="Q39" s="11"/>
      <x:c r="R39" s="20"/>
      <x:c r="S39" s="11"/>
      <x:c r="T39" s="11"/>
      <x:c r="U39" s="11"/>
      <x:c r="V39" s="8"/>
      <x:c r="W39" s="11"/>
      <x:c r="X39" s="8"/>
      <x:c r="Y39" s="19"/>
      <x:c r="Z39" s="8"/>
      <x:c r="AA39" s="9" t="str">
        <x:f>IF(C39="","",IF(COUNTIF($C$9:$C$108,C39)&lt;&gt;1,"Duplicate borrower",IF(OR(COUNTA(D39:G39)&lt;4,COUNT(H39:W39)&lt;&gt;16,X39="",COUNT(Y39)&lt;&gt;1,Z39=""),"Missing inputs",IF(OR(I39&lt;=0,J39&lt;=K39,L39&lt;=0,MIN(P39:Q39)&lt;0,MAX(P39:Q39)&gt;1,MIN(R39:W39)&lt;0,MAX(S39:U39)&gt;1,W39&gt;1),"Invalid inputs",IF(Y39&lt;Settings!$F$8,"Expired evidence","Ready")))))</x:f>
      </x:c>
    </x:row>
    <x:row r="40" ht="38" customHeight="1">
      <x:c r="A40" s="1"/>
      <x:c r="B40" s="1"/>
      <x:c r="C40" s="8"/>
      <x:c r="D40" s="8"/>
      <x:c r="E40" s="8"/>
      <x:c r="F40" s="8"/>
      <x:c r="G40" s="8"/>
      <x:c r="H40" s="19"/>
      <x:c r="I40" s="16"/>
      <x:c r="J40" s="16"/>
      <x:c r="K40" s="16"/>
      <x:c r="L40" s="16"/>
      <x:c r="M40" s="16"/>
      <x:c r="N40" s="16"/>
      <x:c r="O40" s="16"/>
      <x:c r="P40" s="11"/>
      <x:c r="Q40" s="11"/>
      <x:c r="R40" s="20"/>
      <x:c r="S40" s="11"/>
      <x:c r="T40" s="11"/>
      <x:c r="U40" s="11"/>
      <x:c r="V40" s="8"/>
      <x:c r="W40" s="11"/>
      <x:c r="X40" s="8"/>
      <x:c r="Y40" s="19"/>
      <x:c r="Z40" s="8"/>
      <x:c r="AA40" s="9" t="str">
        <x:f>IF(C40="","",IF(COUNTIF($C$9:$C$108,C40)&lt;&gt;1,"Duplicate borrower",IF(OR(COUNTA(D40:G40)&lt;4,COUNT(H40:W40)&lt;&gt;16,X40="",COUNT(Y40)&lt;&gt;1,Z40=""),"Missing inputs",IF(OR(I40&lt;=0,J40&lt;=K40,L40&lt;=0,MIN(P40:Q40)&lt;0,MAX(P40:Q40)&gt;1,MIN(R40:W40)&lt;0,MAX(S40:U40)&gt;1,W40&gt;1),"Invalid inputs",IF(Y40&lt;Settings!$F$8,"Expired evidence","Ready")))))</x:f>
      </x:c>
    </x:row>
    <x:row r="41" ht="38" customHeight="1">
      <x:c r="A41" s="1"/>
      <x:c r="B41" s="1"/>
      <x:c r="C41" s="8"/>
      <x:c r="D41" s="8"/>
      <x:c r="E41" s="8"/>
      <x:c r="F41" s="8"/>
      <x:c r="G41" s="8"/>
      <x:c r="H41" s="19"/>
      <x:c r="I41" s="16"/>
      <x:c r="J41" s="16"/>
      <x:c r="K41" s="16"/>
      <x:c r="L41" s="16"/>
      <x:c r="M41" s="16"/>
      <x:c r="N41" s="16"/>
      <x:c r="O41" s="16"/>
      <x:c r="P41" s="11"/>
      <x:c r="Q41" s="11"/>
      <x:c r="R41" s="20"/>
      <x:c r="S41" s="11"/>
      <x:c r="T41" s="11"/>
      <x:c r="U41" s="11"/>
      <x:c r="V41" s="8"/>
      <x:c r="W41" s="11"/>
      <x:c r="X41" s="8"/>
      <x:c r="Y41" s="19"/>
      <x:c r="Z41" s="8"/>
      <x:c r="AA41" s="9" t="str">
        <x:f>IF(C41="","",IF(COUNTIF($C$9:$C$108,C41)&lt;&gt;1,"Duplicate borrower",IF(OR(COUNTA(D41:G41)&lt;4,COUNT(H41:W41)&lt;&gt;16,X41="",COUNT(Y41)&lt;&gt;1,Z41=""),"Missing inputs",IF(OR(I41&lt;=0,J41&lt;=K41,L41&lt;=0,MIN(P41:Q41)&lt;0,MAX(P41:Q41)&gt;1,MIN(R41:W41)&lt;0,MAX(S41:U41)&gt;1,W41&gt;1),"Invalid inputs",IF(Y41&lt;Settings!$F$8,"Expired evidence","Ready")))))</x:f>
      </x:c>
    </x:row>
    <x:row r="42" ht="38" customHeight="1">
      <x:c r="A42" s="1"/>
      <x:c r="B42" s="1"/>
      <x:c r="C42" s="8"/>
      <x:c r="D42" s="8"/>
      <x:c r="E42" s="8"/>
      <x:c r="F42" s="8"/>
      <x:c r="G42" s="8"/>
      <x:c r="H42" s="19"/>
      <x:c r="I42" s="16"/>
      <x:c r="J42" s="16"/>
      <x:c r="K42" s="16"/>
      <x:c r="L42" s="16"/>
      <x:c r="M42" s="16"/>
      <x:c r="N42" s="16"/>
      <x:c r="O42" s="16"/>
      <x:c r="P42" s="11"/>
      <x:c r="Q42" s="11"/>
      <x:c r="R42" s="20"/>
      <x:c r="S42" s="11"/>
      <x:c r="T42" s="11"/>
      <x:c r="U42" s="11"/>
      <x:c r="V42" s="8"/>
      <x:c r="W42" s="11"/>
      <x:c r="X42" s="8"/>
      <x:c r="Y42" s="19"/>
      <x:c r="Z42" s="8"/>
      <x:c r="AA42" s="9" t="str">
        <x:f>IF(C42="","",IF(COUNTIF($C$9:$C$108,C42)&lt;&gt;1,"Duplicate borrower",IF(OR(COUNTA(D42:G42)&lt;4,COUNT(H42:W42)&lt;&gt;16,X42="",COUNT(Y42)&lt;&gt;1,Z42=""),"Missing inputs",IF(OR(I42&lt;=0,J42&lt;=K42,L42&lt;=0,MIN(P42:Q42)&lt;0,MAX(P42:Q42)&gt;1,MIN(R42:W42)&lt;0,MAX(S42:U42)&gt;1,W42&gt;1),"Invalid inputs",IF(Y42&lt;Settings!$F$8,"Expired evidence","Ready")))))</x:f>
      </x:c>
    </x:row>
    <x:row r="43" ht="38" customHeight="1">
      <x:c r="A43" s="1"/>
      <x:c r="B43" s="1"/>
      <x:c r="C43" s="8"/>
      <x:c r="D43" s="8"/>
      <x:c r="E43" s="8"/>
      <x:c r="F43" s="8"/>
      <x:c r="G43" s="8"/>
      <x:c r="H43" s="19"/>
      <x:c r="I43" s="16"/>
      <x:c r="J43" s="16"/>
      <x:c r="K43" s="16"/>
      <x:c r="L43" s="16"/>
      <x:c r="M43" s="16"/>
      <x:c r="N43" s="16"/>
      <x:c r="O43" s="16"/>
      <x:c r="P43" s="11"/>
      <x:c r="Q43" s="11"/>
      <x:c r="R43" s="20"/>
      <x:c r="S43" s="11"/>
      <x:c r="T43" s="11"/>
      <x:c r="U43" s="11"/>
      <x:c r="V43" s="8"/>
      <x:c r="W43" s="11"/>
      <x:c r="X43" s="8"/>
      <x:c r="Y43" s="19"/>
      <x:c r="Z43" s="8"/>
      <x:c r="AA43" s="9" t="str">
        <x:f>IF(C43="","",IF(COUNTIF($C$9:$C$108,C43)&lt;&gt;1,"Duplicate borrower",IF(OR(COUNTA(D43:G43)&lt;4,COUNT(H43:W43)&lt;&gt;16,X43="",COUNT(Y43)&lt;&gt;1,Z43=""),"Missing inputs",IF(OR(I43&lt;=0,J43&lt;=K43,L43&lt;=0,MIN(P43:Q43)&lt;0,MAX(P43:Q43)&gt;1,MIN(R43:W43)&lt;0,MAX(S43:U43)&gt;1,W43&gt;1),"Invalid inputs",IF(Y43&lt;Settings!$F$8,"Expired evidence","Ready")))))</x:f>
      </x:c>
    </x:row>
    <x:row r="44" ht="38" customHeight="1">
      <x:c r="A44" s="1"/>
      <x:c r="B44" s="1"/>
      <x:c r="C44" s="8"/>
      <x:c r="D44" s="8"/>
      <x:c r="E44" s="8"/>
      <x:c r="F44" s="8"/>
      <x:c r="G44" s="8"/>
      <x:c r="H44" s="19"/>
      <x:c r="I44" s="16"/>
      <x:c r="J44" s="16"/>
      <x:c r="K44" s="16"/>
      <x:c r="L44" s="16"/>
      <x:c r="M44" s="16"/>
      <x:c r="N44" s="16"/>
      <x:c r="O44" s="16"/>
      <x:c r="P44" s="11"/>
      <x:c r="Q44" s="11"/>
      <x:c r="R44" s="20"/>
      <x:c r="S44" s="11"/>
      <x:c r="T44" s="11"/>
      <x:c r="U44" s="11"/>
      <x:c r="V44" s="8"/>
      <x:c r="W44" s="11"/>
      <x:c r="X44" s="8"/>
      <x:c r="Y44" s="19"/>
      <x:c r="Z44" s="8"/>
      <x:c r="AA44" s="9" t="str">
        <x:f>IF(C44="","",IF(COUNTIF($C$9:$C$108,C44)&lt;&gt;1,"Duplicate borrower",IF(OR(COUNTA(D44:G44)&lt;4,COUNT(H44:W44)&lt;&gt;16,X44="",COUNT(Y44)&lt;&gt;1,Z44=""),"Missing inputs",IF(OR(I44&lt;=0,J44&lt;=K44,L44&lt;=0,MIN(P44:Q44)&lt;0,MAX(P44:Q44)&gt;1,MIN(R44:W44)&lt;0,MAX(S44:U44)&gt;1,W44&gt;1),"Invalid inputs",IF(Y44&lt;Settings!$F$8,"Expired evidence","Ready")))))</x:f>
      </x:c>
    </x:row>
    <x:row r="45" ht="38" customHeight="1">
      <x:c r="A45" s="1"/>
      <x:c r="B45" s="1"/>
      <x:c r="C45" s="8"/>
      <x:c r="D45" s="8"/>
      <x:c r="E45" s="8"/>
      <x:c r="F45" s="8"/>
      <x:c r="G45" s="8"/>
      <x:c r="H45" s="19"/>
      <x:c r="I45" s="16"/>
      <x:c r="J45" s="16"/>
      <x:c r="K45" s="16"/>
      <x:c r="L45" s="16"/>
      <x:c r="M45" s="16"/>
      <x:c r="N45" s="16"/>
      <x:c r="O45" s="16"/>
      <x:c r="P45" s="11"/>
      <x:c r="Q45" s="11"/>
      <x:c r="R45" s="20"/>
      <x:c r="S45" s="11"/>
      <x:c r="T45" s="11"/>
      <x:c r="U45" s="11"/>
      <x:c r="V45" s="8"/>
      <x:c r="W45" s="11"/>
      <x:c r="X45" s="8"/>
      <x:c r="Y45" s="19"/>
      <x:c r="Z45" s="8"/>
      <x:c r="AA45" s="9" t="str">
        <x:f>IF(C45="","",IF(COUNTIF($C$9:$C$108,C45)&lt;&gt;1,"Duplicate borrower",IF(OR(COUNTA(D45:G45)&lt;4,COUNT(H45:W45)&lt;&gt;16,X45="",COUNT(Y45)&lt;&gt;1,Z45=""),"Missing inputs",IF(OR(I45&lt;=0,J45&lt;=K45,L45&lt;=0,MIN(P45:Q45)&lt;0,MAX(P45:Q45)&gt;1,MIN(R45:W45)&lt;0,MAX(S45:U45)&gt;1,W45&gt;1),"Invalid inputs",IF(Y45&lt;Settings!$F$8,"Expired evidence","Ready")))))</x:f>
      </x:c>
    </x:row>
    <x:row r="46" ht="38" customHeight="1">
      <x:c r="A46" s="1"/>
      <x:c r="B46" s="1"/>
      <x:c r="C46" s="8"/>
      <x:c r="D46" s="8"/>
      <x:c r="E46" s="8"/>
      <x:c r="F46" s="8"/>
      <x:c r="G46" s="8"/>
      <x:c r="H46" s="19"/>
      <x:c r="I46" s="16"/>
      <x:c r="J46" s="16"/>
      <x:c r="K46" s="16"/>
      <x:c r="L46" s="16"/>
      <x:c r="M46" s="16"/>
      <x:c r="N46" s="16"/>
      <x:c r="O46" s="16"/>
      <x:c r="P46" s="11"/>
      <x:c r="Q46" s="11"/>
      <x:c r="R46" s="20"/>
      <x:c r="S46" s="11"/>
      <x:c r="T46" s="11"/>
      <x:c r="U46" s="11"/>
      <x:c r="V46" s="8"/>
      <x:c r="W46" s="11"/>
      <x:c r="X46" s="8"/>
      <x:c r="Y46" s="19"/>
      <x:c r="Z46" s="8"/>
      <x:c r="AA46" s="9" t="str">
        <x:f>IF(C46="","",IF(COUNTIF($C$9:$C$108,C46)&lt;&gt;1,"Duplicate borrower",IF(OR(COUNTA(D46:G46)&lt;4,COUNT(H46:W46)&lt;&gt;16,X46="",COUNT(Y46)&lt;&gt;1,Z46=""),"Missing inputs",IF(OR(I46&lt;=0,J46&lt;=K46,L46&lt;=0,MIN(P46:Q46)&lt;0,MAX(P46:Q46)&gt;1,MIN(R46:W46)&lt;0,MAX(S46:U46)&gt;1,W46&gt;1),"Invalid inputs",IF(Y46&lt;Settings!$F$8,"Expired evidence","Ready")))))</x:f>
      </x:c>
    </x:row>
    <x:row r="47" ht="38" customHeight="1">
      <x:c r="A47" s="1"/>
      <x:c r="B47" s="1"/>
      <x:c r="C47" s="8"/>
      <x:c r="D47" s="8"/>
      <x:c r="E47" s="8"/>
      <x:c r="F47" s="8"/>
      <x:c r="G47" s="8"/>
      <x:c r="H47" s="19"/>
      <x:c r="I47" s="16"/>
      <x:c r="J47" s="16"/>
      <x:c r="K47" s="16"/>
      <x:c r="L47" s="16"/>
      <x:c r="M47" s="16"/>
      <x:c r="N47" s="16"/>
      <x:c r="O47" s="16"/>
      <x:c r="P47" s="11"/>
      <x:c r="Q47" s="11"/>
      <x:c r="R47" s="20"/>
      <x:c r="S47" s="11"/>
      <x:c r="T47" s="11"/>
      <x:c r="U47" s="11"/>
      <x:c r="V47" s="8"/>
      <x:c r="W47" s="11"/>
      <x:c r="X47" s="8"/>
      <x:c r="Y47" s="19"/>
      <x:c r="Z47" s="8"/>
      <x:c r="AA47" s="9" t="str">
        <x:f>IF(C47="","",IF(COUNTIF($C$9:$C$108,C47)&lt;&gt;1,"Duplicate borrower",IF(OR(COUNTA(D47:G47)&lt;4,COUNT(H47:W47)&lt;&gt;16,X47="",COUNT(Y47)&lt;&gt;1,Z47=""),"Missing inputs",IF(OR(I47&lt;=0,J47&lt;=K47,L47&lt;=0,MIN(P47:Q47)&lt;0,MAX(P47:Q47)&gt;1,MIN(R47:W47)&lt;0,MAX(S47:U47)&gt;1,W47&gt;1),"Invalid inputs",IF(Y47&lt;Settings!$F$8,"Expired evidence","Ready")))))</x:f>
      </x:c>
    </x:row>
    <x:row r="48" ht="38" customHeight="1">
      <x:c r="A48" s="1"/>
      <x:c r="B48" s="1"/>
      <x:c r="C48" s="8"/>
      <x:c r="D48" s="8"/>
      <x:c r="E48" s="8"/>
      <x:c r="F48" s="8"/>
      <x:c r="G48" s="8"/>
      <x:c r="H48" s="19"/>
      <x:c r="I48" s="16"/>
      <x:c r="J48" s="16"/>
      <x:c r="K48" s="16"/>
      <x:c r="L48" s="16"/>
      <x:c r="M48" s="16"/>
      <x:c r="N48" s="16"/>
      <x:c r="O48" s="16"/>
      <x:c r="P48" s="11"/>
      <x:c r="Q48" s="11"/>
      <x:c r="R48" s="20"/>
      <x:c r="S48" s="11"/>
      <x:c r="T48" s="11"/>
      <x:c r="U48" s="11"/>
      <x:c r="V48" s="8"/>
      <x:c r="W48" s="11"/>
      <x:c r="X48" s="8"/>
      <x:c r="Y48" s="19"/>
      <x:c r="Z48" s="8"/>
      <x:c r="AA48" s="9" t="str">
        <x:f>IF(C48="","",IF(COUNTIF($C$9:$C$108,C48)&lt;&gt;1,"Duplicate borrower",IF(OR(COUNTA(D48:G48)&lt;4,COUNT(H48:W48)&lt;&gt;16,X48="",COUNT(Y48)&lt;&gt;1,Z48=""),"Missing inputs",IF(OR(I48&lt;=0,J48&lt;=K48,L48&lt;=0,MIN(P48:Q48)&lt;0,MAX(P48:Q48)&gt;1,MIN(R48:W48)&lt;0,MAX(S48:U48)&gt;1,W48&gt;1),"Invalid inputs",IF(Y48&lt;Settings!$F$8,"Expired evidence","Ready")))))</x:f>
      </x:c>
    </x:row>
    <x:row r="49" ht="38" customHeight="1">
      <x:c r="A49" s="1"/>
      <x:c r="B49" s="1"/>
      <x:c r="C49" s="8"/>
      <x:c r="D49" s="8"/>
      <x:c r="E49" s="8"/>
      <x:c r="F49" s="8"/>
      <x:c r="G49" s="8"/>
      <x:c r="H49" s="19"/>
      <x:c r="I49" s="16"/>
      <x:c r="J49" s="16"/>
      <x:c r="K49" s="16"/>
      <x:c r="L49" s="16"/>
      <x:c r="M49" s="16"/>
      <x:c r="N49" s="16"/>
      <x:c r="O49" s="16"/>
      <x:c r="P49" s="11"/>
      <x:c r="Q49" s="11"/>
      <x:c r="R49" s="20"/>
      <x:c r="S49" s="11"/>
      <x:c r="T49" s="11"/>
      <x:c r="U49" s="11"/>
      <x:c r="V49" s="8"/>
      <x:c r="W49" s="11"/>
      <x:c r="X49" s="8"/>
      <x:c r="Y49" s="19"/>
      <x:c r="Z49" s="8"/>
      <x:c r="AA49" s="9" t="str">
        <x:f>IF(C49="","",IF(COUNTIF($C$9:$C$108,C49)&lt;&gt;1,"Duplicate borrower",IF(OR(COUNTA(D49:G49)&lt;4,COUNT(H49:W49)&lt;&gt;16,X49="",COUNT(Y49)&lt;&gt;1,Z49=""),"Missing inputs",IF(OR(I49&lt;=0,J49&lt;=K49,L49&lt;=0,MIN(P49:Q49)&lt;0,MAX(P49:Q49)&gt;1,MIN(R49:W49)&lt;0,MAX(S49:U49)&gt;1,W49&gt;1),"Invalid inputs",IF(Y49&lt;Settings!$F$8,"Expired evidence","Ready")))))</x:f>
      </x:c>
    </x:row>
    <x:row r="50" ht="38" customHeight="1">
      <x:c r="A50" s="1"/>
      <x:c r="B50" s="1"/>
      <x:c r="C50" s="8"/>
      <x:c r="D50" s="8"/>
      <x:c r="E50" s="8"/>
      <x:c r="F50" s="8"/>
      <x:c r="G50" s="8"/>
      <x:c r="H50" s="19"/>
      <x:c r="I50" s="16"/>
      <x:c r="J50" s="16"/>
      <x:c r="K50" s="16"/>
      <x:c r="L50" s="16"/>
      <x:c r="M50" s="16"/>
      <x:c r="N50" s="16"/>
      <x:c r="O50" s="16"/>
      <x:c r="P50" s="11"/>
      <x:c r="Q50" s="11"/>
      <x:c r="R50" s="20"/>
      <x:c r="S50" s="11"/>
      <x:c r="T50" s="11"/>
      <x:c r="U50" s="11"/>
      <x:c r="V50" s="8"/>
      <x:c r="W50" s="11"/>
      <x:c r="X50" s="8"/>
      <x:c r="Y50" s="19"/>
      <x:c r="Z50" s="8"/>
      <x:c r="AA50" s="9" t="str">
        <x:f>IF(C50="","",IF(COUNTIF($C$9:$C$108,C50)&lt;&gt;1,"Duplicate borrower",IF(OR(COUNTA(D50:G50)&lt;4,COUNT(H50:W50)&lt;&gt;16,X50="",COUNT(Y50)&lt;&gt;1,Z50=""),"Missing inputs",IF(OR(I50&lt;=0,J50&lt;=K50,L50&lt;=0,MIN(P50:Q50)&lt;0,MAX(P50:Q50)&gt;1,MIN(R50:W50)&lt;0,MAX(S50:U50)&gt;1,W50&gt;1),"Invalid inputs",IF(Y50&lt;Settings!$F$8,"Expired evidence","Ready")))))</x:f>
      </x:c>
    </x:row>
    <x:row r="51" ht="38" customHeight="1">
      <x:c r="A51" s="1"/>
      <x:c r="B51" s="1"/>
      <x:c r="C51" s="8"/>
      <x:c r="D51" s="8"/>
      <x:c r="E51" s="8"/>
      <x:c r="F51" s="8"/>
      <x:c r="G51" s="8"/>
      <x:c r="H51" s="19"/>
      <x:c r="I51" s="16"/>
      <x:c r="J51" s="16"/>
      <x:c r="K51" s="16"/>
      <x:c r="L51" s="16"/>
      <x:c r="M51" s="16"/>
      <x:c r="N51" s="16"/>
      <x:c r="O51" s="16"/>
      <x:c r="P51" s="11"/>
      <x:c r="Q51" s="11"/>
      <x:c r="R51" s="20"/>
      <x:c r="S51" s="11"/>
      <x:c r="T51" s="11"/>
      <x:c r="U51" s="11"/>
      <x:c r="V51" s="8"/>
      <x:c r="W51" s="11"/>
      <x:c r="X51" s="8"/>
      <x:c r="Y51" s="19"/>
      <x:c r="Z51" s="8"/>
      <x:c r="AA51" s="9" t="str">
        <x:f>IF(C51="","",IF(COUNTIF($C$9:$C$108,C51)&lt;&gt;1,"Duplicate borrower",IF(OR(COUNTA(D51:G51)&lt;4,COUNT(H51:W51)&lt;&gt;16,X51="",COUNT(Y51)&lt;&gt;1,Z51=""),"Missing inputs",IF(OR(I51&lt;=0,J51&lt;=K51,L51&lt;=0,MIN(P51:Q51)&lt;0,MAX(P51:Q51)&gt;1,MIN(R51:W51)&lt;0,MAX(S51:U51)&gt;1,W51&gt;1),"Invalid inputs",IF(Y51&lt;Settings!$F$8,"Expired evidence","Ready")))))</x:f>
      </x:c>
    </x:row>
    <x:row r="52" ht="38" customHeight="1">
      <x:c r="A52" s="1"/>
      <x:c r="B52" s="1"/>
      <x:c r="C52" s="8"/>
      <x:c r="D52" s="8"/>
      <x:c r="E52" s="8"/>
      <x:c r="F52" s="8"/>
      <x:c r="G52" s="8"/>
      <x:c r="H52" s="19"/>
      <x:c r="I52" s="16"/>
      <x:c r="J52" s="16"/>
      <x:c r="K52" s="16"/>
      <x:c r="L52" s="16"/>
      <x:c r="M52" s="16"/>
      <x:c r="N52" s="16"/>
      <x:c r="O52" s="16"/>
      <x:c r="P52" s="11"/>
      <x:c r="Q52" s="11"/>
      <x:c r="R52" s="20"/>
      <x:c r="S52" s="11"/>
      <x:c r="T52" s="11"/>
      <x:c r="U52" s="11"/>
      <x:c r="V52" s="8"/>
      <x:c r="W52" s="11"/>
      <x:c r="X52" s="8"/>
      <x:c r="Y52" s="19"/>
      <x:c r="Z52" s="8"/>
      <x:c r="AA52" s="9" t="str">
        <x:f>IF(C52="","",IF(COUNTIF($C$9:$C$108,C52)&lt;&gt;1,"Duplicate borrower",IF(OR(COUNTA(D52:G52)&lt;4,COUNT(H52:W52)&lt;&gt;16,X52="",COUNT(Y52)&lt;&gt;1,Z52=""),"Missing inputs",IF(OR(I52&lt;=0,J52&lt;=K52,L52&lt;=0,MIN(P52:Q52)&lt;0,MAX(P52:Q52)&gt;1,MIN(R52:W52)&lt;0,MAX(S52:U52)&gt;1,W52&gt;1),"Invalid inputs",IF(Y52&lt;Settings!$F$8,"Expired evidence","Ready")))))</x:f>
      </x:c>
    </x:row>
    <x:row r="53" ht="38" customHeight="1">
      <x:c r="A53" s="1"/>
      <x:c r="B53" s="1"/>
      <x:c r="C53" s="8"/>
      <x:c r="D53" s="8"/>
      <x:c r="E53" s="8"/>
      <x:c r="F53" s="8"/>
      <x:c r="G53" s="8"/>
      <x:c r="H53" s="19"/>
      <x:c r="I53" s="16"/>
      <x:c r="J53" s="16"/>
      <x:c r="K53" s="16"/>
      <x:c r="L53" s="16"/>
      <x:c r="M53" s="16"/>
      <x:c r="N53" s="16"/>
      <x:c r="O53" s="16"/>
      <x:c r="P53" s="11"/>
      <x:c r="Q53" s="11"/>
      <x:c r="R53" s="20"/>
      <x:c r="S53" s="11"/>
      <x:c r="T53" s="11"/>
      <x:c r="U53" s="11"/>
      <x:c r="V53" s="8"/>
      <x:c r="W53" s="11"/>
      <x:c r="X53" s="8"/>
      <x:c r="Y53" s="19"/>
      <x:c r="Z53" s="8"/>
      <x:c r="AA53" s="9" t="str">
        <x:f>IF(C53="","",IF(COUNTIF($C$9:$C$108,C53)&lt;&gt;1,"Duplicate borrower",IF(OR(COUNTA(D53:G53)&lt;4,COUNT(H53:W53)&lt;&gt;16,X53="",COUNT(Y53)&lt;&gt;1,Z53=""),"Missing inputs",IF(OR(I53&lt;=0,J53&lt;=K53,L53&lt;=0,MIN(P53:Q53)&lt;0,MAX(P53:Q53)&gt;1,MIN(R53:W53)&lt;0,MAX(S53:U53)&gt;1,W53&gt;1),"Invalid inputs",IF(Y53&lt;Settings!$F$8,"Expired evidence","Ready")))))</x:f>
      </x:c>
    </x:row>
    <x:row r="54" ht="38" customHeight="1">
      <x:c r="A54" s="1"/>
      <x:c r="B54" s="1"/>
      <x:c r="C54" s="8"/>
      <x:c r="D54" s="8"/>
      <x:c r="E54" s="8"/>
      <x:c r="F54" s="8"/>
      <x:c r="G54" s="8"/>
      <x:c r="H54" s="19"/>
      <x:c r="I54" s="16"/>
      <x:c r="J54" s="16"/>
      <x:c r="K54" s="16"/>
      <x:c r="L54" s="16"/>
      <x:c r="M54" s="16"/>
      <x:c r="N54" s="16"/>
      <x:c r="O54" s="16"/>
      <x:c r="P54" s="11"/>
      <x:c r="Q54" s="11"/>
      <x:c r="R54" s="20"/>
      <x:c r="S54" s="11"/>
      <x:c r="T54" s="11"/>
      <x:c r="U54" s="11"/>
      <x:c r="V54" s="8"/>
      <x:c r="W54" s="11"/>
      <x:c r="X54" s="8"/>
      <x:c r="Y54" s="19"/>
      <x:c r="Z54" s="8"/>
      <x:c r="AA54" s="9" t="str">
        <x:f>IF(C54="","",IF(COUNTIF($C$9:$C$108,C54)&lt;&gt;1,"Duplicate borrower",IF(OR(COUNTA(D54:G54)&lt;4,COUNT(H54:W54)&lt;&gt;16,X54="",COUNT(Y54)&lt;&gt;1,Z54=""),"Missing inputs",IF(OR(I54&lt;=0,J54&lt;=K54,L54&lt;=0,MIN(P54:Q54)&lt;0,MAX(P54:Q54)&gt;1,MIN(R54:W54)&lt;0,MAX(S54:U54)&gt;1,W54&gt;1),"Invalid inputs",IF(Y54&lt;Settings!$F$8,"Expired evidence","Ready")))))</x:f>
      </x:c>
    </x:row>
    <x:row r="55" ht="38" customHeight="1">
      <x:c r="A55" s="1"/>
      <x:c r="B55" s="1"/>
      <x:c r="C55" s="8"/>
      <x:c r="D55" s="8"/>
      <x:c r="E55" s="8"/>
      <x:c r="F55" s="8"/>
      <x:c r="G55" s="8"/>
      <x:c r="H55" s="19"/>
      <x:c r="I55" s="16"/>
      <x:c r="J55" s="16"/>
      <x:c r="K55" s="16"/>
      <x:c r="L55" s="16"/>
      <x:c r="M55" s="16"/>
      <x:c r="N55" s="16"/>
      <x:c r="O55" s="16"/>
      <x:c r="P55" s="11"/>
      <x:c r="Q55" s="11"/>
      <x:c r="R55" s="20"/>
      <x:c r="S55" s="11"/>
      <x:c r="T55" s="11"/>
      <x:c r="U55" s="11"/>
      <x:c r="V55" s="8"/>
      <x:c r="W55" s="11"/>
      <x:c r="X55" s="8"/>
      <x:c r="Y55" s="19"/>
      <x:c r="Z55" s="8"/>
      <x:c r="AA55" s="9" t="str">
        <x:f>IF(C55="","",IF(COUNTIF($C$9:$C$108,C55)&lt;&gt;1,"Duplicate borrower",IF(OR(COUNTA(D55:G55)&lt;4,COUNT(H55:W55)&lt;&gt;16,X55="",COUNT(Y55)&lt;&gt;1,Z55=""),"Missing inputs",IF(OR(I55&lt;=0,J55&lt;=K55,L55&lt;=0,MIN(P55:Q55)&lt;0,MAX(P55:Q55)&gt;1,MIN(R55:W55)&lt;0,MAX(S55:U55)&gt;1,W55&gt;1),"Invalid inputs",IF(Y55&lt;Settings!$F$8,"Expired evidence","Ready")))))</x:f>
      </x:c>
    </x:row>
    <x:row r="56" ht="38" customHeight="1">
      <x:c r="A56" s="1"/>
      <x:c r="B56" s="1"/>
      <x:c r="C56" s="8"/>
      <x:c r="D56" s="8"/>
      <x:c r="E56" s="8"/>
      <x:c r="F56" s="8"/>
      <x:c r="G56" s="8"/>
      <x:c r="H56" s="19"/>
      <x:c r="I56" s="16"/>
      <x:c r="J56" s="16"/>
      <x:c r="K56" s="16"/>
      <x:c r="L56" s="16"/>
      <x:c r="M56" s="16"/>
      <x:c r="N56" s="16"/>
      <x:c r="O56" s="16"/>
      <x:c r="P56" s="11"/>
      <x:c r="Q56" s="11"/>
      <x:c r="R56" s="20"/>
      <x:c r="S56" s="11"/>
      <x:c r="T56" s="11"/>
      <x:c r="U56" s="11"/>
      <x:c r="V56" s="8"/>
      <x:c r="W56" s="11"/>
      <x:c r="X56" s="8"/>
      <x:c r="Y56" s="19"/>
      <x:c r="Z56" s="8"/>
      <x:c r="AA56" s="9" t="str">
        <x:f>IF(C56="","",IF(COUNTIF($C$9:$C$108,C56)&lt;&gt;1,"Duplicate borrower",IF(OR(COUNTA(D56:G56)&lt;4,COUNT(H56:W56)&lt;&gt;16,X56="",COUNT(Y56)&lt;&gt;1,Z56=""),"Missing inputs",IF(OR(I56&lt;=0,J56&lt;=K56,L56&lt;=0,MIN(P56:Q56)&lt;0,MAX(P56:Q56)&gt;1,MIN(R56:W56)&lt;0,MAX(S56:U56)&gt;1,W56&gt;1),"Invalid inputs",IF(Y56&lt;Settings!$F$8,"Expired evidence","Ready")))))</x:f>
      </x:c>
    </x:row>
    <x:row r="57" ht="38" customHeight="1">
      <x:c r="A57" s="1"/>
      <x:c r="B57" s="1"/>
      <x:c r="C57" s="8"/>
      <x:c r="D57" s="8"/>
      <x:c r="E57" s="8"/>
      <x:c r="F57" s="8"/>
      <x:c r="G57" s="8"/>
      <x:c r="H57" s="19"/>
      <x:c r="I57" s="16"/>
      <x:c r="J57" s="16"/>
      <x:c r="K57" s="16"/>
      <x:c r="L57" s="16"/>
      <x:c r="M57" s="16"/>
      <x:c r="N57" s="16"/>
      <x:c r="O57" s="16"/>
      <x:c r="P57" s="11"/>
      <x:c r="Q57" s="11"/>
      <x:c r="R57" s="20"/>
      <x:c r="S57" s="11"/>
      <x:c r="T57" s="11"/>
      <x:c r="U57" s="11"/>
      <x:c r="V57" s="8"/>
      <x:c r="W57" s="11"/>
      <x:c r="X57" s="8"/>
      <x:c r="Y57" s="19"/>
      <x:c r="Z57" s="8"/>
      <x:c r="AA57" s="9" t="str">
        <x:f>IF(C57="","",IF(COUNTIF($C$9:$C$108,C57)&lt;&gt;1,"Duplicate borrower",IF(OR(COUNTA(D57:G57)&lt;4,COUNT(H57:W57)&lt;&gt;16,X57="",COUNT(Y57)&lt;&gt;1,Z57=""),"Missing inputs",IF(OR(I57&lt;=0,J57&lt;=K57,L57&lt;=0,MIN(P57:Q57)&lt;0,MAX(P57:Q57)&gt;1,MIN(R57:W57)&lt;0,MAX(S57:U57)&gt;1,W57&gt;1),"Invalid inputs",IF(Y57&lt;Settings!$F$8,"Expired evidence","Ready")))))</x:f>
      </x:c>
    </x:row>
    <x:row r="58" ht="38" customHeight="1">
      <x:c r="A58" s="1"/>
      <x:c r="B58" s="1"/>
      <x:c r="C58" s="8"/>
      <x:c r="D58" s="8"/>
      <x:c r="E58" s="8"/>
      <x:c r="F58" s="8"/>
      <x:c r="G58" s="8"/>
      <x:c r="H58" s="19"/>
      <x:c r="I58" s="16"/>
      <x:c r="J58" s="16"/>
      <x:c r="K58" s="16"/>
      <x:c r="L58" s="16"/>
      <x:c r="M58" s="16"/>
      <x:c r="N58" s="16"/>
      <x:c r="O58" s="16"/>
      <x:c r="P58" s="11"/>
      <x:c r="Q58" s="11"/>
      <x:c r="R58" s="20"/>
      <x:c r="S58" s="11"/>
      <x:c r="T58" s="11"/>
      <x:c r="U58" s="11"/>
      <x:c r="V58" s="8"/>
      <x:c r="W58" s="11"/>
      <x:c r="X58" s="8"/>
      <x:c r="Y58" s="19"/>
      <x:c r="Z58" s="8"/>
      <x:c r="AA58" s="9" t="str">
        <x:f>IF(C58="","",IF(COUNTIF($C$9:$C$108,C58)&lt;&gt;1,"Duplicate borrower",IF(OR(COUNTA(D58:G58)&lt;4,COUNT(H58:W58)&lt;&gt;16,X58="",COUNT(Y58)&lt;&gt;1,Z58=""),"Missing inputs",IF(OR(I58&lt;=0,J58&lt;=K58,L58&lt;=0,MIN(P58:Q58)&lt;0,MAX(P58:Q58)&gt;1,MIN(R58:W58)&lt;0,MAX(S58:U58)&gt;1,W58&gt;1),"Invalid inputs",IF(Y58&lt;Settings!$F$8,"Expired evidence","Ready")))))</x:f>
      </x:c>
    </x:row>
    <x:row r="59" ht="38" customHeight="1">
      <x:c r="A59" s="1"/>
      <x:c r="B59" s="1"/>
      <x:c r="C59" s="8"/>
      <x:c r="D59" s="8"/>
      <x:c r="E59" s="8"/>
      <x:c r="F59" s="8"/>
      <x:c r="G59" s="8"/>
      <x:c r="H59" s="19"/>
      <x:c r="I59" s="16"/>
      <x:c r="J59" s="16"/>
      <x:c r="K59" s="16"/>
      <x:c r="L59" s="16"/>
      <x:c r="M59" s="16"/>
      <x:c r="N59" s="16"/>
      <x:c r="O59" s="16"/>
      <x:c r="P59" s="11"/>
      <x:c r="Q59" s="11"/>
      <x:c r="R59" s="20"/>
      <x:c r="S59" s="11"/>
      <x:c r="T59" s="11"/>
      <x:c r="U59" s="11"/>
      <x:c r="V59" s="8"/>
      <x:c r="W59" s="11"/>
      <x:c r="X59" s="8"/>
      <x:c r="Y59" s="19"/>
      <x:c r="Z59" s="8"/>
      <x:c r="AA59" s="9" t="str">
        <x:f>IF(C59="","",IF(COUNTIF($C$9:$C$108,C59)&lt;&gt;1,"Duplicate borrower",IF(OR(COUNTA(D59:G59)&lt;4,COUNT(H59:W59)&lt;&gt;16,X59="",COUNT(Y59)&lt;&gt;1,Z59=""),"Missing inputs",IF(OR(I59&lt;=0,J59&lt;=K59,L59&lt;=0,MIN(P59:Q59)&lt;0,MAX(P59:Q59)&gt;1,MIN(R59:W59)&lt;0,MAX(S59:U59)&gt;1,W59&gt;1),"Invalid inputs",IF(Y59&lt;Settings!$F$8,"Expired evidence","Ready")))))</x:f>
      </x:c>
    </x:row>
    <x:row r="60" ht="38" customHeight="1">
      <x:c r="A60" s="1"/>
      <x:c r="B60" s="1"/>
      <x:c r="C60" s="8"/>
      <x:c r="D60" s="8"/>
      <x:c r="E60" s="8"/>
      <x:c r="F60" s="8"/>
      <x:c r="G60" s="8"/>
      <x:c r="H60" s="19"/>
      <x:c r="I60" s="16"/>
      <x:c r="J60" s="16"/>
      <x:c r="K60" s="16"/>
      <x:c r="L60" s="16"/>
      <x:c r="M60" s="16"/>
      <x:c r="N60" s="16"/>
      <x:c r="O60" s="16"/>
      <x:c r="P60" s="11"/>
      <x:c r="Q60" s="11"/>
      <x:c r="R60" s="20"/>
      <x:c r="S60" s="11"/>
      <x:c r="T60" s="11"/>
      <x:c r="U60" s="11"/>
      <x:c r="V60" s="8"/>
      <x:c r="W60" s="11"/>
      <x:c r="X60" s="8"/>
      <x:c r="Y60" s="19"/>
      <x:c r="Z60" s="8"/>
      <x:c r="AA60" s="9" t="str">
        <x:f>IF(C60="","",IF(COUNTIF($C$9:$C$108,C60)&lt;&gt;1,"Duplicate borrower",IF(OR(COUNTA(D60:G60)&lt;4,COUNT(H60:W60)&lt;&gt;16,X60="",COUNT(Y60)&lt;&gt;1,Z60=""),"Missing inputs",IF(OR(I60&lt;=0,J60&lt;=K60,L60&lt;=0,MIN(P60:Q60)&lt;0,MAX(P60:Q60)&gt;1,MIN(R60:W60)&lt;0,MAX(S60:U60)&gt;1,W60&gt;1),"Invalid inputs",IF(Y60&lt;Settings!$F$8,"Expired evidence","Ready")))))</x:f>
      </x:c>
    </x:row>
    <x:row r="61" ht="38" customHeight="1">
      <x:c r="A61" s="1"/>
      <x:c r="B61" s="1"/>
      <x:c r="C61" s="8"/>
      <x:c r="D61" s="8"/>
      <x:c r="E61" s="8"/>
      <x:c r="F61" s="8"/>
      <x:c r="G61" s="8"/>
      <x:c r="H61" s="19"/>
      <x:c r="I61" s="16"/>
      <x:c r="J61" s="16"/>
      <x:c r="K61" s="16"/>
      <x:c r="L61" s="16"/>
      <x:c r="M61" s="16"/>
      <x:c r="N61" s="16"/>
      <x:c r="O61" s="16"/>
      <x:c r="P61" s="11"/>
      <x:c r="Q61" s="11"/>
      <x:c r="R61" s="20"/>
      <x:c r="S61" s="11"/>
      <x:c r="T61" s="11"/>
      <x:c r="U61" s="11"/>
      <x:c r="V61" s="8"/>
      <x:c r="W61" s="11"/>
      <x:c r="X61" s="8"/>
      <x:c r="Y61" s="19"/>
      <x:c r="Z61" s="8"/>
      <x:c r="AA61" s="9" t="str">
        <x:f>IF(C61="","",IF(COUNTIF($C$9:$C$108,C61)&lt;&gt;1,"Duplicate borrower",IF(OR(COUNTA(D61:G61)&lt;4,COUNT(H61:W61)&lt;&gt;16,X61="",COUNT(Y61)&lt;&gt;1,Z61=""),"Missing inputs",IF(OR(I61&lt;=0,J61&lt;=K61,L61&lt;=0,MIN(P61:Q61)&lt;0,MAX(P61:Q61)&gt;1,MIN(R61:W61)&lt;0,MAX(S61:U61)&gt;1,W61&gt;1),"Invalid inputs",IF(Y61&lt;Settings!$F$8,"Expired evidence","Ready")))))</x:f>
      </x:c>
    </x:row>
    <x:row r="62" ht="38" customHeight="1">
      <x:c r="A62" s="1"/>
      <x:c r="B62" s="1"/>
      <x:c r="C62" s="8"/>
      <x:c r="D62" s="8"/>
      <x:c r="E62" s="8"/>
      <x:c r="F62" s="8"/>
      <x:c r="G62" s="8"/>
      <x:c r="H62" s="19"/>
      <x:c r="I62" s="16"/>
      <x:c r="J62" s="16"/>
      <x:c r="K62" s="16"/>
      <x:c r="L62" s="16"/>
      <x:c r="M62" s="16"/>
      <x:c r="N62" s="16"/>
      <x:c r="O62" s="16"/>
      <x:c r="P62" s="11"/>
      <x:c r="Q62" s="11"/>
      <x:c r="R62" s="20"/>
      <x:c r="S62" s="11"/>
      <x:c r="T62" s="11"/>
      <x:c r="U62" s="11"/>
      <x:c r="V62" s="8"/>
      <x:c r="W62" s="11"/>
      <x:c r="X62" s="8"/>
      <x:c r="Y62" s="19"/>
      <x:c r="Z62" s="8"/>
      <x:c r="AA62" s="9" t="str">
        <x:f>IF(C62="","",IF(COUNTIF($C$9:$C$108,C62)&lt;&gt;1,"Duplicate borrower",IF(OR(COUNTA(D62:G62)&lt;4,COUNT(H62:W62)&lt;&gt;16,X62="",COUNT(Y62)&lt;&gt;1,Z62=""),"Missing inputs",IF(OR(I62&lt;=0,J62&lt;=K62,L62&lt;=0,MIN(P62:Q62)&lt;0,MAX(P62:Q62)&gt;1,MIN(R62:W62)&lt;0,MAX(S62:U62)&gt;1,W62&gt;1),"Invalid inputs",IF(Y62&lt;Settings!$F$8,"Expired evidence","Ready")))))</x:f>
      </x:c>
    </x:row>
    <x:row r="63" ht="38" customHeight="1">
      <x:c r="A63" s="1"/>
      <x:c r="B63" s="1"/>
      <x:c r="C63" s="8"/>
      <x:c r="D63" s="8"/>
      <x:c r="E63" s="8"/>
      <x:c r="F63" s="8"/>
      <x:c r="G63" s="8"/>
      <x:c r="H63" s="19"/>
      <x:c r="I63" s="16"/>
      <x:c r="J63" s="16"/>
      <x:c r="K63" s="16"/>
      <x:c r="L63" s="16"/>
      <x:c r="M63" s="16"/>
      <x:c r="N63" s="16"/>
      <x:c r="O63" s="16"/>
      <x:c r="P63" s="11"/>
      <x:c r="Q63" s="11"/>
      <x:c r="R63" s="20"/>
      <x:c r="S63" s="11"/>
      <x:c r="T63" s="11"/>
      <x:c r="U63" s="11"/>
      <x:c r="V63" s="8"/>
      <x:c r="W63" s="11"/>
      <x:c r="X63" s="8"/>
      <x:c r="Y63" s="19"/>
      <x:c r="Z63" s="8"/>
      <x:c r="AA63" s="9" t="str">
        <x:f>IF(C63="","",IF(COUNTIF($C$9:$C$108,C63)&lt;&gt;1,"Duplicate borrower",IF(OR(COUNTA(D63:G63)&lt;4,COUNT(H63:W63)&lt;&gt;16,X63="",COUNT(Y63)&lt;&gt;1,Z63=""),"Missing inputs",IF(OR(I63&lt;=0,J63&lt;=K63,L63&lt;=0,MIN(P63:Q63)&lt;0,MAX(P63:Q63)&gt;1,MIN(R63:W63)&lt;0,MAX(S63:U63)&gt;1,W63&gt;1),"Invalid inputs",IF(Y63&lt;Settings!$F$8,"Expired evidence","Ready")))))</x:f>
      </x:c>
    </x:row>
    <x:row r="64" ht="38" customHeight="1">
      <x:c r="A64" s="1"/>
      <x:c r="B64" s="1"/>
      <x:c r="C64" s="8"/>
      <x:c r="D64" s="8"/>
      <x:c r="E64" s="8"/>
      <x:c r="F64" s="8"/>
      <x:c r="G64" s="8"/>
      <x:c r="H64" s="19"/>
      <x:c r="I64" s="16"/>
      <x:c r="J64" s="16"/>
      <x:c r="K64" s="16"/>
      <x:c r="L64" s="16"/>
      <x:c r="M64" s="16"/>
      <x:c r="N64" s="16"/>
      <x:c r="O64" s="16"/>
      <x:c r="P64" s="11"/>
      <x:c r="Q64" s="11"/>
      <x:c r="R64" s="20"/>
      <x:c r="S64" s="11"/>
      <x:c r="T64" s="11"/>
      <x:c r="U64" s="11"/>
      <x:c r="V64" s="8"/>
      <x:c r="W64" s="11"/>
      <x:c r="X64" s="8"/>
      <x:c r="Y64" s="19"/>
      <x:c r="Z64" s="8"/>
      <x:c r="AA64" s="9" t="str">
        <x:f>IF(C64="","",IF(COUNTIF($C$9:$C$108,C64)&lt;&gt;1,"Duplicate borrower",IF(OR(COUNTA(D64:G64)&lt;4,COUNT(H64:W64)&lt;&gt;16,X64="",COUNT(Y64)&lt;&gt;1,Z64=""),"Missing inputs",IF(OR(I64&lt;=0,J64&lt;=K64,L64&lt;=0,MIN(P64:Q64)&lt;0,MAX(P64:Q64)&gt;1,MIN(R64:W64)&lt;0,MAX(S64:U64)&gt;1,W64&gt;1),"Invalid inputs",IF(Y64&lt;Settings!$F$8,"Expired evidence","Ready")))))</x:f>
      </x:c>
    </x:row>
    <x:row r="65" ht="38" customHeight="1">
      <x:c r="A65" s="1"/>
      <x:c r="B65" s="1"/>
      <x:c r="C65" s="8"/>
      <x:c r="D65" s="8"/>
      <x:c r="E65" s="8"/>
      <x:c r="F65" s="8"/>
      <x:c r="G65" s="8"/>
      <x:c r="H65" s="19"/>
      <x:c r="I65" s="16"/>
      <x:c r="J65" s="16"/>
      <x:c r="K65" s="16"/>
      <x:c r="L65" s="16"/>
      <x:c r="M65" s="16"/>
      <x:c r="N65" s="16"/>
      <x:c r="O65" s="16"/>
      <x:c r="P65" s="11"/>
      <x:c r="Q65" s="11"/>
      <x:c r="R65" s="20"/>
      <x:c r="S65" s="11"/>
      <x:c r="T65" s="11"/>
      <x:c r="U65" s="11"/>
      <x:c r="V65" s="8"/>
      <x:c r="W65" s="11"/>
      <x:c r="X65" s="8"/>
      <x:c r="Y65" s="19"/>
      <x:c r="Z65" s="8"/>
      <x:c r="AA65" s="9" t="str">
        <x:f>IF(C65="","",IF(COUNTIF($C$9:$C$108,C65)&lt;&gt;1,"Duplicate borrower",IF(OR(COUNTA(D65:G65)&lt;4,COUNT(H65:W65)&lt;&gt;16,X65="",COUNT(Y65)&lt;&gt;1,Z65=""),"Missing inputs",IF(OR(I65&lt;=0,J65&lt;=K65,L65&lt;=0,MIN(P65:Q65)&lt;0,MAX(P65:Q65)&gt;1,MIN(R65:W65)&lt;0,MAX(S65:U65)&gt;1,W65&gt;1),"Invalid inputs",IF(Y65&lt;Settings!$F$8,"Expired evidence","Ready")))))</x:f>
      </x:c>
    </x:row>
    <x:row r="66" ht="38" customHeight="1">
      <x:c r="A66" s="1"/>
      <x:c r="B66" s="1"/>
      <x:c r="C66" s="8"/>
      <x:c r="D66" s="8"/>
      <x:c r="E66" s="8"/>
      <x:c r="F66" s="8"/>
      <x:c r="G66" s="8"/>
      <x:c r="H66" s="19"/>
      <x:c r="I66" s="16"/>
      <x:c r="J66" s="16"/>
      <x:c r="K66" s="16"/>
      <x:c r="L66" s="16"/>
      <x:c r="M66" s="16"/>
      <x:c r="N66" s="16"/>
      <x:c r="O66" s="16"/>
      <x:c r="P66" s="11"/>
      <x:c r="Q66" s="11"/>
      <x:c r="R66" s="20"/>
      <x:c r="S66" s="11"/>
      <x:c r="T66" s="11"/>
      <x:c r="U66" s="11"/>
      <x:c r="V66" s="8"/>
      <x:c r="W66" s="11"/>
      <x:c r="X66" s="8"/>
      <x:c r="Y66" s="19"/>
      <x:c r="Z66" s="8"/>
      <x:c r="AA66" s="9" t="str">
        <x:f>IF(C66="","",IF(COUNTIF($C$9:$C$108,C66)&lt;&gt;1,"Duplicate borrower",IF(OR(COUNTA(D66:G66)&lt;4,COUNT(H66:W66)&lt;&gt;16,X66="",COUNT(Y66)&lt;&gt;1,Z66=""),"Missing inputs",IF(OR(I66&lt;=0,J66&lt;=K66,L66&lt;=0,MIN(P66:Q66)&lt;0,MAX(P66:Q66)&gt;1,MIN(R66:W66)&lt;0,MAX(S66:U66)&gt;1,W66&gt;1),"Invalid inputs",IF(Y66&lt;Settings!$F$8,"Expired evidence","Ready")))))</x:f>
      </x:c>
    </x:row>
    <x:row r="67" ht="38" customHeight="1">
      <x:c r="A67" s="1"/>
      <x:c r="B67" s="1"/>
      <x:c r="C67" s="8"/>
      <x:c r="D67" s="8"/>
      <x:c r="E67" s="8"/>
      <x:c r="F67" s="8"/>
      <x:c r="G67" s="8"/>
      <x:c r="H67" s="19"/>
      <x:c r="I67" s="16"/>
      <x:c r="J67" s="16"/>
      <x:c r="K67" s="16"/>
      <x:c r="L67" s="16"/>
      <x:c r="M67" s="16"/>
      <x:c r="N67" s="16"/>
      <x:c r="O67" s="16"/>
      <x:c r="P67" s="11"/>
      <x:c r="Q67" s="11"/>
      <x:c r="R67" s="20"/>
      <x:c r="S67" s="11"/>
      <x:c r="T67" s="11"/>
      <x:c r="U67" s="11"/>
      <x:c r="V67" s="8"/>
      <x:c r="W67" s="11"/>
      <x:c r="X67" s="8"/>
      <x:c r="Y67" s="19"/>
      <x:c r="Z67" s="8"/>
      <x:c r="AA67" s="9" t="str">
        <x:f>IF(C67="","",IF(COUNTIF($C$9:$C$108,C67)&lt;&gt;1,"Duplicate borrower",IF(OR(COUNTA(D67:G67)&lt;4,COUNT(H67:W67)&lt;&gt;16,X67="",COUNT(Y67)&lt;&gt;1,Z67=""),"Missing inputs",IF(OR(I67&lt;=0,J67&lt;=K67,L67&lt;=0,MIN(P67:Q67)&lt;0,MAX(P67:Q67)&gt;1,MIN(R67:W67)&lt;0,MAX(S67:U67)&gt;1,W67&gt;1),"Invalid inputs",IF(Y67&lt;Settings!$F$8,"Expired evidence","Ready")))))</x:f>
      </x:c>
    </x:row>
    <x:row r="68" ht="38" customHeight="1">
      <x:c r="A68" s="1"/>
      <x:c r="B68" s="1"/>
      <x:c r="C68" s="8"/>
      <x:c r="D68" s="8"/>
      <x:c r="E68" s="8"/>
      <x:c r="F68" s="8"/>
      <x:c r="G68" s="8"/>
      <x:c r="H68" s="19"/>
      <x:c r="I68" s="16"/>
      <x:c r="J68" s="16"/>
      <x:c r="K68" s="16"/>
      <x:c r="L68" s="16"/>
      <x:c r="M68" s="16"/>
      <x:c r="N68" s="16"/>
      <x:c r="O68" s="16"/>
      <x:c r="P68" s="11"/>
      <x:c r="Q68" s="11"/>
      <x:c r="R68" s="20"/>
      <x:c r="S68" s="11"/>
      <x:c r="T68" s="11"/>
      <x:c r="U68" s="11"/>
      <x:c r="V68" s="8"/>
      <x:c r="W68" s="11"/>
      <x:c r="X68" s="8"/>
      <x:c r="Y68" s="19"/>
      <x:c r="Z68" s="8"/>
      <x:c r="AA68" s="9" t="str">
        <x:f>IF(C68="","",IF(COUNTIF($C$9:$C$108,C68)&lt;&gt;1,"Duplicate borrower",IF(OR(COUNTA(D68:G68)&lt;4,COUNT(H68:W68)&lt;&gt;16,X68="",COUNT(Y68)&lt;&gt;1,Z68=""),"Missing inputs",IF(OR(I68&lt;=0,J68&lt;=K68,L68&lt;=0,MIN(P68:Q68)&lt;0,MAX(P68:Q68)&gt;1,MIN(R68:W68)&lt;0,MAX(S68:U68)&gt;1,W68&gt;1),"Invalid inputs",IF(Y68&lt;Settings!$F$8,"Expired evidence","Ready")))))</x:f>
      </x:c>
    </x:row>
    <x:row r="69" ht="38" customHeight="1">
      <x:c r="A69" s="1"/>
      <x:c r="B69" s="1"/>
      <x:c r="C69" s="8"/>
      <x:c r="D69" s="8"/>
      <x:c r="E69" s="8"/>
      <x:c r="F69" s="8"/>
      <x:c r="G69" s="8"/>
      <x:c r="H69" s="19"/>
      <x:c r="I69" s="16"/>
      <x:c r="J69" s="16"/>
      <x:c r="K69" s="16"/>
      <x:c r="L69" s="16"/>
      <x:c r="M69" s="16"/>
      <x:c r="N69" s="16"/>
      <x:c r="O69" s="16"/>
      <x:c r="P69" s="11"/>
      <x:c r="Q69" s="11"/>
      <x:c r="R69" s="20"/>
      <x:c r="S69" s="11"/>
      <x:c r="T69" s="11"/>
      <x:c r="U69" s="11"/>
      <x:c r="V69" s="8"/>
      <x:c r="W69" s="11"/>
      <x:c r="X69" s="8"/>
      <x:c r="Y69" s="19"/>
      <x:c r="Z69" s="8"/>
      <x:c r="AA69" s="9" t="str">
        <x:f>IF(C69="","",IF(COUNTIF($C$9:$C$108,C69)&lt;&gt;1,"Duplicate borrower",IF(OR(COUNTA(D69:G69)&lt;4,COUNT(H69:W69)&lt;&gt;16,X69="",COUNT(Y69)&lt;&gt;1,Z69=""),"Missing inputs",IF(OR(I69&lt;=0,J69&lt;=K69,L69&lt;=0,MIN(P69:Q69)&lt;0,MAX(P69:Q69)&gt;1,MIN(R69:W69)&lt;0,MAX(S69:U69)&gt;1,W69&gt;1),"Invalid inputs",IF(Y69&lt;Settings!$F$8,"Expired evidence","Ready")))))</x:f>
      </x:c>
    </x:row>
    <x:row r="70" ht="38" customHeight="1">
      <x:c r="A70" s="1"/>
      <x:c r="B70" s="1"/>
      <x:c r="C70" s="8"/>
      <x:c r="D70" s="8"/>
      <x:c r="E70" s="8"/>
      <x:c r="F70" s="8"/>
      <x:c r="G70" s="8"/>
      <x:c r="H70" s="19"/>
      <x:c r="I70" s="16"/>
      <x:c r="J70" s="16"/>
      <x:c r="K70" s="16"/>
      <x:c r="L70" s="16"/>
      <x:c r="M70" s="16"/>
      <x:c r="N70" s="16"/>
      <x:c r="O70" s="16"/>
      <x:c r="P70" s="11"/>
      <x:c r="Q70" s="11"/>
      <x:c r="R70" s="20"/>
      <x:c r="S70" s="11"/>
      <x:c r="T70" s="11"/>
      <x:c r="U70" s="11"/>
      <x:c r="V70" s="8"/>
      <x:c r="W70" s="11"/>
      <x:c r="X70" s="8"/>
      <x:c r="Y70" s="19"/>
      <x:c r="Z70" s="8"/>
      <x:c r="AA70" s="9" t="str">
        <x:f>IF(C70="","",IF(COUNTIF($C$9:$C$108,C70)&lt;&gt;1,"Duplicate borrower",IF(OR(COUNTA(D70:G70)&lt;4,COUNT(H70:W70)&lt;&gt;16,X70="",COUNT(Y70)&lt;&gt;1,Z70=""),"Missing inputs",IF(OR(I70&lt;=0,J70&lt;=K70,L70&lt;=0,MIN(P70:Q70)&lt;0,MAX(P70:Q70)&gt;1,MIN(R70:W70)&lt;0,MAX(S70:U70)&gt;1,W70&gt;1),"Invalid inputs",IF(Y70&lt;Settings!$F$8,"Expired evidence","Ready")))))</x:f>
      </x:c>
    </x:row>
    <x:row r="71" ht="38" customHeight="1">
      <x:c r="A71" s="1"/>
      <x:c r="B71" s="1"/>
      <x:c r="C71" s="8"/>
      <x:c r="D71" s="8"/>
      <x:c r="E71" s="8"/>
      <x:c r="F71" s="8"/>
      <x:c r="G71" s="8"/>
      <x:c r="H71" s="19"/>
      <x:c r="I71" s="16"/>
      <x:c r="J71" s="16"/>
      <x:c r="K71" s="16"/>
      <x:c r="L71" s="16"/>
      <x:c r="M71" s="16"/>
      <x:c r="N71" s="16"/>
      <x:c r="O71" s="16"/>
      <x:c r="P71" s="11"/>
      <x:c r="Q71" s="11"/>
      <x:c r="R71" s="20"/>
      <x:c r="S71" s="11"/>
      <x:c r="T71" s="11"/>
      <x:c r="U71" s="11"/>
      <x:c r="V71" s="8"/>
      <x:c r="W71" s="11"/>
      <x:c r="X71" s="8"/>
      <x:c r="Y71" s="19"/>
      <x:c r="Z71" s="8"/>
      <x:c r="AA71" s="9" t="str">
        <x:f>IF(C71="","",IF(COUNTIF($C$9:$C$108,C71)&lt;&gt;1,"Duplicate borrower",IF(OR(COUNTA(D71:G71)&lt;4,COUNT(H71:W71)&lt;&gt;16,X71="",COUNT(Y71)&lt;&gt;1,Z71=""),"Missing inputs",IF(OR(I71&lt;=0,J71&lt;=K71,L71&lt;=0,MIN(P71:Q71)&lt;0,MAX(P71:Q71)&gt;1,MIN(R71:W71)&lt;0,MAX(S71:U71)&gt;1,W71&gt;1),"Invalid inputs",IF(Y71&lt;Settings!$F$8,"Expired evidence","Ready")))))</x:f>
      </x:c>
    </x:row>
    <x:row r="72" ht="38" customHeight="1">
      <x:c r="A72" s="1"/>
      <x:c r="B72" s="1"/>
      <x:c r="C72" s="8"/>
      <x:c r="D72" s="8"/>
      <x:c r="E72" s="8"/>
      <x:c r="F72" s="8"/>
      <x:c r="G72" s="8"/>
      <x:c r="H72" s="19"/>
      <x:c r="I72" s="16"/>
      <x:c r="J72" s="16"/>
      <x:c r="K72" s="16"/>
      <x:c r="L72" s="16"/>
      <x:c r="M72" s="16"/>
      <x:c r="N72" s="16"/>
      <x:c r="O72" s="16"/>
      <x:c r="P72" s="11"/>
      <x:c r="Q72" s="11"/>
      <x:c r="R72" s="20"/>
      <x:c r="S72" s="11"/>
      <x:c r="T72" s="11"/>
      <x:c r="U72" s="11"/>
      <x:c r="V72" s="8"/>
      <x:c r="W72" s="11"/>
      <x:c r="X72" s="8"/>
      <x:c r="Y72" s="19"/>
      <x:c r="Z72" s="8"/>
      <x:c r="AA72" s="9" t="str">
        <x:f>IF(C72="","",IF(COUNTIF($C$9:$C$108,C72)&lt;&gt;1,"Duplicate borrower",IF(OR(COUNTA(D72:G72)&lt;4,COUNT(H72:W72)&lt;&gt;16,X72="",COUNT(Y72)&lt;&gt;1,Z72=""),"Missing inputs",IF(OR(I72&lt;=0,J72&lt;=K72,L72&lt;=0,MIN(P72:Q72)&lt;0,MAX(P72:Q72)&gt;1,MIN(R72:W72)&lt;0,MAX(S72:U72)&gt;1,W72&gt;1),"Invalid inputs",IF(Y72&lt;Settings!$F$8,"Expired evidence","Ready")))))</x:f>
      </x:c>
    </x:row>
    <x:row r="73" ht="38" customHeight="1">
      <x:c r="A73" s="1"/>
      <x:c r="B73" s="1"/>
      <x:c r="C73" s="8"/>
      <x:c r="D73" s="8"/>
      <x:c r="E73" s="8"/>
      <x:c r="F73" s="8"/>
      <x:c r="G73" s="8"/>
      <x:c r="H73" s="19"/>
      <x:c r="I73" s="16"/>
      <x:c r="J73" s="16"/>
      <x:c r="K73" s="16"/>
      <x:c r="L73" s="16"/>
      <x:c r="M73" s="16"/>
      <x:c r="N73" s="16"/>
      <x:c r="O73" s="16"/>
      <x:c r="P73" s="11"/>
      <x:c r="Q73" s="11"/>
      <x:c r="R73" s="20"/>
      <x:c r="S73" s="11"/>
      <x:c r="T73" s="11"/>
      <x:c r="U73" s="11"/>
      <x:c r="V73" s="8"/>
      <x:c r="W73" s="11"/>
      <x:c r="X73" s="8"/>
      <x:c r="Y73" s="19"/>
      <x:c r="Z73" s="8"/>
      <x:c r="AA73" s="9" t="str">
        <x:f>IF(C73="","",IF(COUNTIF($C$9:$C$108,C73)&lt;&gt;1,"Duplicate borrower",IF(OR(COUNTA(D73:G73)&lt;4,COUNT(H73:W73)&lt;&gt;16,X73="",COUNT(Y73)&lt;&gt;1,Z73=""),"Missing inputs",IF(OR(I73&lt;=0,J73&lt;=K73,L73&lt;=0,MIN(P73:Q73)&lt;0,MAX(P73:Q73)&gt;1,MIN(R73:W73)&lt;0,MAX(S73:U73)&gt;1,W73&gt;1),"Invalid inputs",IF(Y73&lt;Settings!$F$8,"Expired evidence","Ready")))))</x:f>
      </x:c>
    </x:row>
    <x:row r="74" ht="38" customHeight="1">
      <x:c r="A74" s="1"/>
      <x:c r="B74" s="1"/>
      <x:c r="C74" s="8"/>
      <x:c r="D74" s="8"/>
      <x:c r="E74" s="8"/>
      <x:c r="F74" s="8"/>
      <x:c r="G74" s="8"/>
      <x:c r="H74" s="19"/>
      <x:c r="I74" s="16"/>
      <x:c r="J74" s="16"/>
      <x:c r="K74" s="16"/>
      <x:c r="L74" s="16"/>
      <x:c r="M74" s="16"/>
      <x:c r="N74" s="16"/>
      <x:c r="O74" s="16"/>
      <x:c r="P74" s="11"/>
      <x:c r="Q74" s="11"/>
      <x:c r="R74" s="20"/>
      <x:c r="S74" s="11"/>
      <x:c r="T74" s="11"/>
      <x:c r="U74" s="11"/>
      <x:c r="V74" s="8"/>
      <x:c r="W74" s="11"/>
      <x:c r="X74" s="8"/>
      <x:c r="Y74" s="19"/>
      <x:c r="Z74" s="8"/>
      <x:c r="AA74" s="9" t="str">
        <x:f>IF(C74="","",IF(COUNTIF($C$9:$C$108,C74)&lt;&gt;1,"Duplicate borrower",IF(OR(COUNTA(D74:G74)&lt;4,COUNT(H74:W74)&lt;&gt;16,X74="",COUNT(Y74)&lt;&gt;1,Z74=""),"Missing inputs",IF(OR(I74&lt;=0,J74&lt;=K74,L74&lt;=0,MIN(P74:Q74)&lt;0,MAX(P74:Q74)&gt;1,MIN(R74:W74)&lt;0,MAX(S74:U74)&gt;1,W74&gt;1),"Invalid inputs",IF(Y74&lt;Settings!$F$8,"Expired evidence","Ready")))))</x:f>
      </x:c>
    </x:row>
    <x:row r="75" ht="38" customHeight="1">
      <x:c r="A75" s="1"/>
      <x:c r="B75" s="1"/>
      <x:c r="C75" s="8"/>
      <x:c r="D75" s="8"/>
      <x:c r="E75" s="8"/>
      <x:c r="F75" s="8"/>
      <x:c r="G75" s="8"/>
      <x:c r="H75" s="19"/>
      <x:c r="I75" s="16"/>
      <x:c r="J75" s="16"/>
      <x:c r="K75" s="16"/>
      <x:c r="L75" s="16"/>
      <x:c r="M75" s="16"/>
      <x:c r="N75" s="16"/>
      <x:c r="O75" s="16"/>
      <x:c r="P75" s="11"/>
      <x:c r="Q75" s="11"/>
      <x:c r="R75" s="20"/>
      <x:c r="S75" s="11"/>
      <x:c r="T75" s="11"/>
      <x:c r="U75" s="11"/>
      <x:c r="V75" s="8"/>
      <x:c r="W75" s="11"/>
      <x:c r="X75" s="8"/>
      <x:c r="Y75" s="19"/>
      <x:c r="Z75" s="8"/>
      <x:c r="AA75" s="9" t="str">
        <x:f>IF(C75="","",IF(COUNTIF($C$9:$C$108,C75)&lt;&gt;1,"Duplicate borrower",IF(OR(COUNTA(D75:G75)&lt;4,COUNT(H75:W75)&lt;&gt;16,X75="",COUNT(Y75)&lt;&gt;1,Z75=""),"Missing inputs",IF(OR(I75&lt;=0,J75&lt;=K75,L75&lt;=0,MIN(P75:Q75)&lt;0,MAX(P75:Q75)&gt;1,MIN(R75:W75)&lt;0,MAX(S75:U75)&gt;1,W75&gt;1),"Invalid inputs",IF(Y75&lt;Settings!$F$8,"Expired evidence","Ready")))))</x:f>
      </x:c>
    </x:row>
    <x:row r="76" ht="38" customHeight="1">
      <x:c r="A76" s="1"/>
      <x:c r="B76" s="1"/>
      <x:c r="C76" s="8"/>
      <x:c r="D76" s="8"/>
      <x:c r="E76" s="8"/>
      <x:c r="F76" s="8"/>
      <x:c r="G76" s="8"/>
      <x:c r="H76" s="19"/>
      <x:c r="I76" s="16"/>
      <x:c r="J76" s="16"/>
      <x:c r="K76" s="16"/>
      <x:c r="L76" s="16"/>
      <x:c r="M76" s="16"/>
      <x:c r="N76" s="16"/>
      <x:c r="O76" s="16"/>
      <x:c r="P76" s="11"/>
      <x:c r="Q76" s="11"/>
      <x:c r="R76" s="20"/>
      <x:c r="S76" s="11"/>
      <x:c r="T76" s="11"/>
      <x:c r="U76" s="11"/>
      <x:c r="V76" s="8"/>
      <x:c r="W76" s="11"/>
      <x:c r="X76" s="8"/>
      <x:c r="Y76" s="19"/>
      <x:c r="Z76" s="8"/>
      <x:c r="AA76" s="9" t="str">
        <x:f>IF(C76="","",IF(COUNTIF($C$9:$C$108,C76)&lt;&gt;1,"Duplicate borrower",IF(OR(COUNTA(D76:G76)&lt;4,COUNT(H76:W76)&lt;&gt;16,X76="",COUNT(Y76)&lt;&gt;1,Z76=""),"Missing inputs",IF(OR(I76&lt;=0,J76&lt;=K76,L76&lt;=0,MIN(P76:Q76)&lt;0,MAX(P76:Q76)&gt;1,MIN(R76:W76)&lt;0,MAX(S76:U76)&gt;1,W76&gt;1),"Invalid inputs",IF(Y76&lt;Settings!$F$8,"Expired evidence","Ready")))))</x:f>
      </x:c>
    </x:row>
    <x:row r="77" ht="38" customHeight="1">
      <x:c r="A77" s="1"/>
      <x:c r="B77" s="1"/>
      <x:c r="C77" s="8"/>
      <x:c r="D77" s="8"/>
      <x:c r="E77" s="8"/>
      <x:c r="F77" s="8"/>
      <x:c r="G77" s="8"/>
      <x:c r="H77" s="19"/>
      <x:c r="I77" s="16"/>
      <x:c r="J77" s="16"/>
      <x:c r="K77" s="16"/>
      <x:c r="L77" s="16"/>
      <x:c r="M77" s="16"/>
      <x:c r="N77" s="16"/>
      <x:c r="O77" s="16"/>
      <x:c r="P77" s="11"/>
      <x:c r="Q77" s="11"/>
      <x:c r="R77" s="20"/>
      <x:c r="S77" s="11"/>
      <x:c r="T77" s="11"/>
      <x:c r="U77" s="11"/>
      <x:c r="V77" s="8"/>
      <x:c r="W77" s="11"/>
      <x:c r="X77" s="8"/>
      <x:c r="Y77" s="19"/>
      <x:c r="Z77" s="8"/>
      <x:c r="AA77" s="9" t="str">
        <x:f>IF(C77="","",IF(COUNTIF($C$9:$C$108,C77)&lt;&gt;1,"Duplicate borrower",IF(OR(COUNTA(D77:G77)&lt;4,COUNT(H77:W77)&lt;&gt;16,X77="",COUNT(Y77)&lt;&gt;1,Z77=""),"Missing inputs",IF(OR(I77&lt;=0,J77&lt;=K77,L77&lt;=0,MIN(P77:Q77)&lt;0,MAX(P77:Q77)&gt;1,MIN(R77:W77)&lt;0,MAX(S77:U77)&gt;1,W77&gt;1),"Invalid inputs",IF(Y77&lt;Settings!$F$8,"Expired evidence","Ready")))))</x:f>
      </x:c>
    </x:row>
    <x:row r="78" ht="38" customHeight="1">
      <x:c r="A78" s="1"/>
      <x:c r="B78" s="1"/>
      <x:c r="C78" s="8"/>
      <x:c r="D78" s="8"/>
      <x:c r="E78" s="8"/>
      <x:c r="F78" s="8"/>
      <x:c r="G78" s="8"/>
      <x:c r="H78" s="19"/>
      <x:c r="I78" s="16"/>
      <x:c r="J78" s="16"/>
      <x:c r="K78" s="16"/>
      <x:c r="L78" s="16"/>
      <x:c r="M78" s="16"/>
      <x:c r="N78" s="16"/>
      <x:c r="O78" s="16"/>
      <x:c r="P78" s="11"/>
      <x:c r="Q78" s="11"/>
      <x:c r="R78" s="20"/>
      <x:c r="S78" s="11"/>
      <x:c r="T78" s="11"/>
      <x:c r="U78" s="11"/>
      <x:c r="V78" s="8"/>
      <x:c r="W78" s="11"/>
      <x:c r="X78" s="8"/>
      <x:c r="Y78" s="19"/>
      <x:c r="Z78" s="8"/>
      <x:c r="AA78" s="9" t="str">
        <x:f>IF(C78="","",IF(COUNTIF($C$9:$C$108,C78)&lt;&gt;1,"Duplicate borrower",IF(OR(COUNTA(D78:G78)&lt;4,COUNT(H78:W78)&lt;&gt;16,X78="",COUNT(Y78)&lt;&gt;1,Z78=""),"Missing inputs",IF(OR(I78&lt;=0,J78&lt;=K78,L78&lt;=0,MIN(P78:Q78)&lt;0,MAX(P78:Q78)&gt;1,MIN(R78:W78)&lt;0,MAX(S78:U78)&gt;1,W78&gt;1),"Invalid inputs",IF(Y78&lt;Settings!$F$8,"Expired evidence","Ready")))))</x:f>
      </x:c>
    </x:row>
    <x:row r="79" ht="38" customHeight="1">
      <x:c r="A79" s="1"/>
      <x:c r="B79" s="1"/>
      <x:c r="C79" s="8"/>
      <x:c r="D79" s="8"/>
      <x:c r="E79" s="8"/>
      <x:c r="F79" s="8"/>
      <x:c r="G79" s="8"/>
      <x:c r="H79" s="19"/>
      <x:c r="I79" s="16"/>
      <x:c r="J79" s="16"/>
      <x:c r="K79" s="16"/>
      <x:c r="L79" s="16"/>
      <x:c r="M79" s="16"/>
      <x:c r="N79" s="16"/>
      <x:c r="O79" s="16"/>
      <x:c r="P79" s="11"/>
      <x:c r="Q79" s="11"/>
      <x:c r="R79" s="20"/>
      <x:c r="S79" s="11"/>
      <x:c r="T79" s="11"/>
      <x:c r="U79" s="11"/>
      <x:c r="V79" s="8"/>
      <x:c r="W79" s="11"/>
      <x:c r="X79" s="8"/>
      <x:c r="Y79" s="19"/>
      <x:c r="Z79" s="8"/>
      <x:c r="AA79" s="9" t="str">
        <x:f>IF(C79="","",IF(COUNTIF($C$9:$C$108,C79)&lt;&gt;1,"Duplicate borrower",IF(OR(COUNTA(D79:G79)&lt;4,COUNT(H79:W79)&lt;&gt;16,X79="",COUNT(Y79)&lt;&gt;1,Z79=""),"Missing inputs",IF(OR(I79&lt;=0,J79&lt;=K79,L79&lt;=0,MIN(P79:Q79)&lt;0,MAX(P79:Q79)&gt;1,MIN(R79:W79)&lt;0,MAX(S79:U79)&gt;1,W79&gt;1),"Invalid inputs",IF(Y79&lt;Settings!$F$8,"Expired evidence","Ready")))))</x:f>
      </x:c>
    </x:row>
    <x:row r="80" ht="38" customHeight="1">
      <x:c r="A80" s="1"/>
      <x:c r="B80" s="1"/>
      <x:c r="C80" s="8"/>
      <x:c r="D80" s="8"/>
      <x:c r="E80" s="8"/>
      <x:c r="F80" s="8"/>
      <x:c r="G80" s="8"/>
      <x:c r="H80" s="19"/>
      <x:c r="I80" s="16"/>
      <x:c r="J80" s="16"/>
      <x:c r="K80" s="16"/>
      <x:c r="L80" s="16"/>
      <x:c r="M80" s="16"/>
      <x:c r="N80" s="16"/>
      <x:c r="O80" s="16"/>
      <x:c r="P80" s="11"/>
      <x:c r="Q80" s="11"/>
      <x:c r="R80" s="20"/>
      <x:c r="S80" s="11"/>
      <x:c r="T80" s="11"/>
      <x:c r="U80" s="11"/>
      <x:c r="V80" s="8"/>
      <x:c r="W80" s="11"/>
      <x:c r="X80" s="8"/>
      <x:c r="Y80" s="19"/>
      <x:c r="Z80" s="8"/>
      <x:c r="AA80" s="9" t="str">
        <x:f>IF(C80="","",IF(COUNTIF($C$9:$C$108,C80)&lt;&gt;1,"Duplicate borrower",IF(OR(COUNTA(D80:G80)&lt;4,COUNT(H80:W80)&lt;&gt;16,X80="",COUNT(Y80)&lt;&gt;1,Z80=""),"Missing inputs",IF(OR(I80&lt;=0,J80&lt;=K80,L80&lt;=0,MIN(P80:Q80)&lt;0,MAX(P80:Q80)&gt;1,MIN(R80:W80)&lt;0,MAX(S80:U80)&gt;1,W80&gt;1),"Invalid inputs",IF(Y80&lt;Settings!$F$8,"Expired evidence","Ready")))))</x:f>
      </x:c>
    </x:row>
    <x:row r="81" ht="38" customHeight="1">
      <x:c r="A81" s="1"/>
      <x:c r="B81" s="1"/>
      <x:c r="C81" s="8"/>
      <x:c r="D81" s="8"/>
      <x:c r="E81" s="8"/>
      <x:c r="F81" s="8"/>
      <x:c r="G81" s="8"/>
      <x:c r="H81" s="19"/>
      <x:c r="I81" s="16"/>
      <x:c r="J81" s="16"/>
      <x:c r="K81" s="16"/>
      <x:c r="L81" s="16"/>
      <x:c r="M81" s="16"/>
      <x:c r="N81" s="16"/>
      <x:c r="O81" s="16"/>
      <x:c r="P81" s="11"/>
      <x:c r="Q81" s="11"/>
      <x:c r="R81" s="20"/>
      <x:c r="S81" s="11"/>
      <x:c r="T81" s="11"/>
      <x:c r="U81" s="11"/>
      <x:c r="V81" s="8"/>
      <x:c r="W81" s="11"/>
      <x:c r="X81" s="8"/>
      <x:c r="Y81" s="19"/>
      <x:c r="Z81" s="8"/>
      <x:c r="AA81" s="9" t="str">
        <x:f>IF(C81="","",IF(COUNTIF($C$9:$C$108,C81)&lt;&gt;1,"Duplicate borrower",IF(OR(COUNTA(D81:G81)&lt;4,COUNT(H81:W81)&lt;&gt;16,X81="",COUNT(Y81)&lt;&gt;1,Z81=""),"Missing inputs",IF(OR(I81&lt;=0,J81&lt;=K81,L81&lt;=0,MIN(P81:Q81)&lt;0,MAX(P81:Q81)&gt;1,MIN(R81:W81)&lt;0,MAX(S81:U81)&gt;1,W81&gt;1),"Invalid inputs",IF(Y81&lt;Settings!$F$8,"Expired evidence","Ready")))))</x:f>
      </x:c>
    </x:row>
    <x:row r="82" ht="38" customHeight="1">
      <x:c r="A82" s="1"/>
      <x:c r="B82" s="1"/>
      <x:c r="C82" s="8"/>
      <x:c r="D82" s="8"/>
      <x:c r="E82" s="8"/>
      <x:c r="F82" s="8"/>
      <x:c r="G82" s="8"/>
      <x:c r="H82" s="19"/>
      <x:c r="I82" s="16"/>
      <x:c r="J82" s="16"/>
      <x:c r="K82" s="16"/>
      <x:c r="L82" s="16"/>
      <x:c r="M82" s="16"/>
      <x:c r="N82" s="16"/>
      <x:c r="O82" s="16"/>
      <x:c r="P82" s="11"/>
      <x:c r="Q82" s="11"/>
      <x:c r="R82" s="20"/>
      <x:c r="S82" s="11"/>
      <x:c r="T82" s="11"/>
      <x:c r="U82" s="11"/>
      <x:c r="V82" s="8"/>
      <x:c r="W82" s="11"/>
      <x:c r="X82" s="8"/>
      <x:c r="Y82" s="19"/>
      <x:c r="Z82" s="8"/>
      <x:c r="AA82" s="9" t="str">
        <x:f>IF(C82="","",IF(COUNTIF($C$9:$C$108,C82)&lt;&gt;1,"Duplicate borrower",IF(OR(COUNTA(D82:G82)&lt;4,COUNT(H82:W82)&lt;&gt;16,X82="",COUNT(Y82)&lt;&gt;1,Z82=""),"Missing inputs",IF(OR(I82&lt;=0,J82&lt;=K82,L82&lt;=0,MIN(P82:Q82)&lt;0,MAX(P82:Q82)&gt;1,MIN(R82:W82)&lt;0,MAX(S82:U82)&gt;1,W82&gt;1),"Invalid inputs",IF(Y82&lt;Settings!$F$8,"Expired evidence","Ready")))))</x:f>
      </x:c>
    </x:row>
    <x:row r="83" ht="38" customHeight="1">
      <x:c r="A83" s="1"/>
      <x:c r="B83" s="1"/>
      <x:c r="C83" s="8"/>
      <x:c r="D83" s="8"/>
      <x:c r="E83" s="8"/>
      <x:c r="F83" s="8"/>
      <x:c r="G83" s="8"/>
      <x:c r="H83" s="19"/>
      <x:c r="I83" s="16"/>
      <x:c r="J83" s="16"/>
      <x:c r="K83" s="16"/>
      <x:c r="L83" s="16"/>
      <x:c r="M83" s="16"/>
      <x:c r="N83" s="16"/>
      <x:c r="O83" s="16"/>
      <x:c r="P83" s="11"/>
      <x:c r="Q83" s="11"/>
      <x:c r="R83" s="20"/>
      <x:c r="S83" s="11"/>
      <x:c r="T83" s="11"/>
      <x:c r="U83" s="11"/>
      <x:c r="V83" s="8"/>
      <x:c r="W83" s="11"/>
      <x:c r="X83" s="8"/>
      <x:c r="Y83" s="19"/>
      <x:c r="Z83" s="8"/>
      <x:c r="AA83" s="9" t="str">
        <x:f>IF(C83="","",IF(COUNTIF($C$9:$C$108,C83)&lt;&gt;1,"Duplicate borrower",IF(OR(COUNTA(D83:G83)&lt;4,COUNT(H83:W83)&lt;&gt;16,X83="",COUNT(Y83)&lt;&gt;1,Z83=""),"Missing inputs",IF(OR(I83&lt;=0,J83&lt;=K83,L83&lt;=0,MIN(P83:Q83)&lt;0,MAX(P83:Q83)&gt;1,MIN(R83:W83)&lt;0,MAX(S83:U83)&gt;1,W83&gt;1),"Invalid inputs",IF(Y83&lt;Settings!$F$8,"Expired evidence","Ready")))))</x:f>
      </x:c>
    </x:row>
    <x:row r="84" ht="38" customHeight="1">
      <x:c r="A84" s="1"/>
      <x:c r="B84" s="1"/>
      <x:c r="C84" s="8"/>
      <x:c r="D84" s="8"/>
      <x:c r="E84" s="8"/>
      <x:c r="F84" s="8"/>
      <x:c r="G84" s="8"/>
      <x:c r="H84" s="19"/>
      <x:c r="I84" s="16"/>
      <x:c r="J84" s="16"/>
      <x:c r="K84" s="16"/>
      <x:c r="L84" s="16"/>
      <x:c r="M84" s="16"/>
      <x:c r="N84" s="16"/>
      <x:c r="O84" s="16"/>
      <x:c r="P84" s="11"/>
      <x:c r="Q84" s="11"/>
      <x:c r="R84" s="20"/>
      <x:c r="S84" s="11"/>
      <x:c r="T84" s="11"/>
      <x:c r="U84" s="11"/>
      <x:c r="V84" s="8"/>
      <x:c r="W84" s="11"/>
      <x:c r="X84" s="8"/>
      <x:c r="Y84" s="19"/>
      <x:c r="Z84" s="8"/>
      <x:c r="AA84" s="9" t="str">
        <x:f>IF(C84="","",IF(COUNTIF($C$9:$C$108,C84)&lt;&gt;1,"Duplicate borrower",IF(OR(COUNTA(D84:G84)&lt;4,COUNT(H84:W84)&lt;&gt;16,X84="",COUNT(Y84)&lt;&gt;1,Z84=""),"Missing inputs",IF(OR(I84&lt;=0,J84&lt;=K84,L84&lt;=0,MIN(P84:Q84)&lt;0,MAX(P84:Q84)&gt;1,MIN(R84:W84)&lt;0,MAX(S84:U84)&gt;1,W84&gt;1),"Invalid inputs",IF(Y84&lt;Settings!$F$8,"Expired evidence","Ready")))))</x:f>
      </x:c>
    </x:row>
    <x:row r="85" ht="38" customHeight="1">
      <x:c r="A85" s="1"/>
      <x:c r="B85" s="1"/>
      <x:c r="C85" s="8"/>
      <x:c r="D85" s="8"/>
      <x:c r="E85" s="8"/>
      <x:c r="F85" s="8"/>
      <x:c r="G85" s="8"/>
      <x:c r="H85" s="19"/>
      <x:c r="I85" s="16"/>
      <x:c r="J85" s="16"/>
      <x:c r="K85" s="16"/>
      <x:c r="L85" s="16"/>
      <x:c r="M85" s="16"/>
      <x:c r="N85" s="16"/>
      <x:c r="O85" s="16"/>
      <x:c r="P85" s="11"/>
      <x:c r="Q85" s="11"/>
      <x:c r="R85" s="20"/>
      <x:c r="S85" s="11"/>
      <x:c r="T85" s="11"/>
      <x:c r="U85" s="11"/>
      <x:c r="V85" s="8"/>
      <x:c r="W85" s="11"/>
      <x:c r="X85" s="8"/>
      <x:c r="Y85" s="19"/>
      <x:c r="Z85" s="8"/>
      <x:c r="AA85" s="9" t="str">
        <x:f>IF(C85="","",IF(COUNTIF($C$9:$C$108,C85)&lt;&gt;1,"Duplicate borrower",IF(OR(COUNTA(D85:G85)&lt;4,COUNT(H85:W85)&lt;&gt;16,X85="",COUNT(Y85)&lt;&gt;1,Z85=""),"Missing inputs",IF(OR(I85&lt;=0,J85&lt;=K85,L85&lt;=0,MIN(P85:Q85)&lt;0,MAX(P85:Q85)&gt;1,MIN(R85:W85)&lt;0,MAX(S85:U85)&gt;1,W85&gt;1),"Invalid inputs",IF(Y85&lt;Settings!$F$8,"Expired evidence","Ready")))))</x:f>
      </x:c>
    </x:row>
    <x:row r="86" ht="38" customHeight="1">
      <x:c r="A86" s="1"/>
      <x:c r="B86" s="1"/>
      <x:c r="C86" s="8"/>
      <x:c r="D86" s="8"/>
      <x:c r="E86" s="8"/>
      <x:c r="F86" s="8"/>
      <x:c r="G86" s="8"/>
      <x:c r="H86" s="19"/>
      <x:c r="I86" s="16"/>
      <x:c r="J86" s="16"/>
      <x:c r="K86" s="16"/>
      <x:c r="L86" s="16"/>
      <x:c r="M86" s="16"/>
      <x:c r="N86" s="16"/>
      <x:c r="O86" s="16"/>
      <x:c r="P86" s="11"/>
      <x:c r="Q86" s="11"/>
      <x:c r="R86" s="20"/>
      <x:c r="S86" s="11"/>
      <x:c r="T86" s="11"/>
      <x:c r="U86" s="11"/>
      <x:c r="V86" s="8"/>
      <x:c r="W86" s="11"/>
      <x:c r="X86" s="8"/>
      <x:c r="Y86" s="19"/>
      <x:c r="Z86" s="8"/>
      <x:c r="AA86" s="9" t="str">
        <x:f>IF(C86="","",IF(COUNTIF($C$9:$C$108,C86)&lt;&gt;1,"Duplicate borrower",IF(OR(COUNTA(D86:G86)&lt;4,COUNT(H86:W86)&lt;&gt;16,X86="",COUNT(Y86)&lt;&gt;1,Z86=""),"Missing inputs",IF(OR(I86&lt;=0,J86&lt;=K86,L86&lt;=0,MIN(P86:Q86)&lt;0,MAX(P86:Q86)&gt;1,MIN(R86:W86)&lt;0,MAX(S86:U86)&gt;1,W86&gt;1),"Invalid inputs",IF(Y86&lt;Settings!$F$8,"Expired evidence","Ready")))))</x:f>
      </x:c>
    </x:row>
    <x:row r="87" ht="38" customHeight="1">
      <x:c r="A87" s="1"/>
      <x:c r="B87" s="1"/>
      <x:c r="C87" s="8"/>
      <x:c r="D87" s="8"/>
      <x:c r="E87" s="8"/>
      <x:c r="F87" s="8"/>
      <x:c r="G87" s="8"/>
      <x:c r="H87" s="19"/>
      <x:c r="I87" s="16"/>
      <x:c r="J87" s="16"/>
      <x:c r="K87" s="16"/>
      <x:c r="L87" s="16"/>
      <x:c r="M87" s="16"/>
      <x:c r="N87" s="16"/>
      <x:c r="O87" s="16"/>
      <x:c r="P87" s="11"/>
      <x:c r="Q87" s="11"/>
      <x:c r="R87" s="20"/>
      <x:c r="S87" s="11"/>
      <x:c r="T87" s="11"/>
      <x:c r="U87" s="11"/>
      <x:c r="V87" s="8"/>
      <x:c r="W87" s="11"/>
      <x:c r="X87" s="8"/>
      <x:c r="Y87" s="19"/>
      <x:c r="Z87" s="8"/>
      <x:c r="AA87" s="9" t="str">
        <x:f>IF(C87="","",IF(COUNTIF($C$9:$C$108,C87)&lt;&gt;1,"Duplicate borrower",IF(OR(COUNTA(D87:G87)&lt;4,COUNT(H87:W87)&lt;&gt;16,X87="",COUNT(Y87)&lt;&gt;1,Z87=""),"Missing inputs",IF(OR(I87&lt;=0,J87&lt;=K87,L87&lt;=0,MIN(P87:Q87)&lt;0,MAX(P87:Q87)&gt;1,MIN(R87:W87)&lt;0,MAX(S87:U87)&gt;1,W87&gt;1),"Invalid inputs",IF(Y87&lt;Settings!$F$8,"Expired evidence","Ready")))))</x:f>
      </x:c>
    </x:row>
    <x:row r="88" ht="38" customHeight="1">
      <x:c r="A88" s="1"/>
      <x:c r="B88" s="1"/>
      <x:c r="C88" s="8"/>
      <x:c r="D88" s="8"/>
      <x:c r="E88" s="8"/>
      <x:c r="F88" s="8"/>
      <x:c r="G88" s="8"/>
      <x:c r="H88" s="19"/>
      <x:c r="I88" s="16"/>
      <x:c r="J88" s="16"/>
      <x:c r="K88" s="16"/>
      <x:c r="L88" s="16"/>
      <x:c r="M88" s="16"/>
      <x:c r="N88" s="16"/>
      <x:c r="O88" s="16"/>
      <x:c r="P88" s="11"/>
      <x:c r="Q88" s="11"/>
      <x:c r="R88" s="20"/>
      <x:c r="S88" s="11"/>
      <x:c r="T88" s="11"/>
      <x:c r="U88" s="11"/>
      <x:c r="V88" s="8"/>
      <x:c r="W88" s="11"/>
      <x:c r="X88" s="8"/>
      <x:c r="Y88" s="19"/>
      <x:c r="Z88" s="8"/>
      <x:c r="AA88" s="9" t="str">
        <x:f>IF(C88="","",IF(COUNTIF($C$9:$C$108,C88)&lt;&gt;1,"Duplicate borrower",IF(OR(COUNTA(D88:G88)&lt;4,COUNT(H88:W88)&lt;&gt;16,X88="",COUNT(Y88)&lt;&gt;1,Z88=""),"Missing inputs",IF(OR(I88&lt;=0,J88&lt;=K88,L88&lt;=0,MIN(P88:Q88)&lt;0,MAX(P88:Q88)&gt;1,MIN(R88:W88)&lt;0,MAX(S88:U88)&gt;1,W88&gt;1),"Invalid inputs",IF(Y88&lt;Settings!$F$8,"Expired evidence","Ready")))))</x:f>
      </x:c>
    </x:row>
    <x:row r="89" ht="38" customHeight="1">
      <x:c r="A89" s="1"/>
      <x:c r="B89" s="1"/>
      <x:c r="C89" s="8"/>
      <x:c r="D89" s="8"/>
      <x:c r="E89" s="8"/>
      <x:c r="F89" s="8"/>
      <x:c r="G89" s="8"/>
      <x:c r="H89" s="19"/>
      <x:c r="I89" s="16"/>
      <x:c r="J89" s="16"/>
      <x:c r="K89" s="16"/>
      <x:c r="L89" s="16"/>
      <x:c r="M89" s="16"/>
      <x:c r="N89" s="16"/>
      <x:c r="O89" s="16"/>
      <x:c r="P89" s="11"/>
      <x:c r="Q89" s="11"/>
      <x:c r="R89" s="20"/>
      <x:c r="S89" s="11"/>
      <x:c r="T89" s="11"/>
      <x:c r="U89" s="11"/>
      <x:c r="V89" s="8"/>
      <x:c r="W89" s="11"/>
      <x:c r="X89" s="8"/>
      <x:c r="Y89" s="19"/>
      <x:c r="Z89" s="8"/>
      <x:c r="AA89" s="9" t="str">
        <x:f>IF(C89="","",IF(COUNTIF($C$9:$C$108,C89)&lt;&gt;1,"Duplicate borrower",IF(OR(COUNTA(D89:G89)&lt;4,COUNT(H89:W89)&lt;&gt;16,X89="",COUNT(Y89)&lt;&gt;1,Z89=""),"Missing inputs",IF(OR(I89&lt;=0,J89&lt;=K89,L89&lt;=0,MIN(P89:Q89)&lt;0,MAX(P89:Q89)&gt;1,MIN(R89:W89)&lt;0,MAX(S89:U89)&gt;1,W89&gt;1),"Invalid inputs",IF(Y89&lt;Settings!$F$8,"Expired evidence","Ready")))))</x:f>
      </x:c>
    </x:row>
    <x:row r="90" ht="38" customHeight="1">
      <x:c r="A90" s="1"/>
      <x:c r="B90" s="1"/>
      <x:c r="C90" s="8"/>
      <x:c r="D90" s="8"/>
      <x:c r="E90" s="8"/>
      <x:c r="F90" s="8"/>
      <x:c r="G90" s="8"/>
      <x:c r="H90" s="19"/>
      <x:c r="I90" s="16"/>
      <x:c r="J90" s="16"/>
      <x:c r="K90" s="16"/>
      <x:c r="L90" s="16"/>
      <x:c r="M90" s="16"/>
      <x:c r="N90" s="16"/>
      <x:c r="O90" s="16"/>
      <x:c r="P90" s="11"/>
      <x:c r="Q90" s="11"/>
      <x:c r="R90" s="20"/>
      <x:c r="S90" s="11"/>
      <x:c r="T90" s="11"/>
      <x:c r="U90" s="11"/>
      <x:c r="V90" s="8"/>
      <x:c r="W90" s="11"/>
      <x:c r="X90" s="8"/>
      <x:c r="Y90" s="19"/>
      <x:c r="Z90" s="8"/>
      <x:c r="AA90" s="9" t="str">
        <x:f>IF(C90="","",IF(COUNTIF($C$9:$C$108,C90)&lt;&gt;1,"Duplicate borrower",IF(OR(COUNTA(D90:G90)&lt;4,COUNT(H90:W90)&lt;&gt;16,X90="",COUNT(Y90)&lt;&gt;1,Z90=""),"Missing inputs",IF(OR(I90&lt;=0,J90&lt;=K90,L90&lt;=0,MIN(P90:Q90)&lt;0,MAX(P90:Q90)&gt;1,MIN(R90:W90)&lt;0,MAX(S90:U90)&gt;1,W90&gt;1),"Invalid inputs",IF(Y90&lt;Settings!$F$8,"Expired evidence","Ready")))))</x:f>
      </x:c>
    </x:row>
    <x:row r="91" ht="38" customHeight="1">
      <x:c r="A91" s="1"/>
      <x:c r="B91" s="1"/>
      <x:c r="C91" s="8"/>
      <x:c r="D91" s="8"/>
      <x:c r="E91" s="8"/>
      <x:c r="F91" s="8"/>
      <x:c r="G91" s="8"/>
      <x:c r="H91" s="19"/>
      <x:c r="I91" s="16"/>
      <x:c r="J91" s="16"/>
      <x:c r="K91" s="16"/>
      <x:c r="L91" s="16"/>
      <x:c r="M91" s="16"/>
      <x:c r="N91" s="16"/>
      <x:c r="O91" s="16"/>
      <x:c r="P91" s="11"/>
      <x:c r="Q91" s="11"/>
      <x:c r="R91" s="20"/>
      <x:c r="S91" s="11"/>
      <x:c r="T91" s="11"/>
      <x:c r="U91" s="11"/>
      <x:c r="V91" s="8"/>
      <x:c r="W91" s="11"/>
      <x:c r="X91" s="8"/>
      <x:c r="Y91" s="19"/>
      <x:c r="Z91" s="8"/>
      <x:c r="AA91" s="9" t="str">
        <x:f>IF(C91="","",IF(COUNTIF($C$9:$C$108,C91)&lt;&gt;1,"Duplicate borrower",IF(OR(COUNTA(D91:G91)&lt;4,COUNT(H91:W91)&lt;&gt;16,X91="",COUNT(Y91)&lt;&gt;1,Z91=""),"Missing inputs",IF(OR(I91&lt;=0,J91&lt;=K91,L91&lt;=0,MIN(P91:Q91)&lt;0,MAX(P91:Q91)&gt;1,MIN(R91:W91)&lt;0,MAX(S91:U91)&gt;1,W91&gt;1),"Invalid inputs",IF(Y91&lt;Settings!$F$8,"Expired evidence","Ready")))))</x:f>
      </x:c>
    </x:row>
    <x:row r="92" ht="38" customHeight="1">
      <x:c r="A92" s="1"/>
      <x:c r="B92" s="1"/>
      <x:c r="C92" s="8"/>
      <x:c r="D92" s="8"/>
      <x:c r="E92" s="8"/>
      <x:c r="F92" s="8"/>
      <x:c r="G92" s="8"/>
      <x:c r="H92" s="19"/>
      <x:c r="I92" s="16"/>
      <x:c r="J92" s="16"/>
      <x:c r="K92" s="16"/>
      <x:c r="L92" s="16"/>
      <x:c r="M92" s="16"/>
      <x:c r="N92" s="16"/>
      <x:c r="O92" s="16"/>
      <x:c r="P92" s="11"/>
      <x:c r="Q92" s="11"/>
      <x:c r="R92" s="20"/>
      <x:c r="S92" s="11"/>
      <x:c r="T92" s="11"/>
      <x:c r="U92" s="11"/>
      <x:c r="V92" s="8"/>
      <x:c r="W92" s="11"/>
      <x:c r="X92" s="8"/>
      <x:c r="Y92" s="19"/>
      <x:c r="Z92" s="8"/>
      <x:c r="AA92" s="9" t="str">
        <x:f>IF(C92="","",IF(COUNTIF($C$9:$C$108,C92)&lt;&gt;1,"Duplicate borrower",IF(OR(COUNTA(D92:G92)&lt;4,COUNT(H92:W92)&lt;&gt;16,X92="",COUNT(Y92)&lt;&gt;1,Z92=""),"Missing inputs",IF(OR(I92&lt;=0,J92&lt;=K92,L92&lt;=0,MIN(P92:Q92)&lt;0,MAX(P92:Q92)&gt;1,MIN(R92:W92)&lt;0,MAX(S92:U92)&gt;1,W92&gt;1),"Invalid inputs",IF(Y92&lt;Settings!$F$8,"Expired evidence","Ready")))))</x:f>
      </x:c>
    </x:row>
    <x:row r="93" ht="38" customHeight="1">
      <x:c r="A93" s="1"/>
      <x:c r="B93" s="1"/>
      <x:c r="C93" s="8"/>
      <x:c r="D93" s="8"/>
      <x:c r="E93" s="8"/>
      <x:c r="F93" s="8"/>
      <x:c r="G93" s="8"/>
      <x:c r="H93" s="19"/>
      <x:c r="I93" s="16"/>
      <x:c r="J93" s="16"/>
      <x:c r="K93" s="16"/>
      <x:c r="L93" s="16"/>
      <x:c r="M93" s="16"/>
      <x:c r="N93" s="16"/>
      <x:c r="O93" s="16"/>
      <x:c r="P93" s="11"/>
      <x:c r="Q93" s="11"/>
      <x:c r="R93" s="20"/>
      <x:c r="S93" s="11"/>
      <x:c r="T93" s="11"/>
      <x:c r="U93" s="11"/>
      <x:c r="V93" s="8"/>
      <x:c r="W93" s="11"/>
      <x:c r="X93" s="8"/>
      <x:c r="Y93" s="19"/>
      <x:c r="Z93" s="8"/>
      <x:c r="AA93" s="9" t="str">
        <x:f>IF(C93="","",IF(COUNTIF($C$9:$C$108,C93)&lt;&gt;1,"Duplicate borrower",IF(OR(COUNTA(D93:G93)&lt;4,COUNT(H93:W93)&lt;&gt;16,X93="",COUNT(Y93)&lt;&gt;1,Z93=""),"Missing inputs",IF(OR(I93&lt;=0,J93&lt;=K93,L93&lt;=0,MIN(P93:Q93)&lt;0,MAX(P93:Q93)&gt;1,MIN(R93:W93)&lt;0,MAX(S93:U93)&gt;1,W93&gt;1),"Invalid inputs",IF(Y93&lt;Settings!$F$8,"Expired evidence","Ready")))))</x:f>
      </x:c>
    </x:row>
    <x:row r="94" ht="38" customHeight="1">
      <x:c r="A94" s="1"/>
      <x:c r="B94" s="1"/>
      <x:c r="C94" s="8"/>
      <x:c r="D94" s="8"/>
      <x:c r="E94" s="8"/>
      <x:c r="F94" s="8"/>
      <x:c r="G94" s="8"/>
      <x:c r="H94" s="19"/>
      <x:c r="I94" s="16"/>
      <x:c r="J94" s="16"/>
      <x:c r="K94" s="16"/>
      <x:c r="L94" s="16"/>
      <x:c r="M94" s="16"/>
      <x:c r="N94" s="16"/>
      <x:c r="O94" s="16"/>
      <x:c r="P94" s="11"/>
      <x:c r="Q94" s="11"/>
      <x:c r="R94" s="20"/>
      <x:c r="S94" s="11"/>
      <x:c r="T94" s="11"/>
      <x:c r="U94" s="11"/>
      <x:c r="V94" s="8"/>
      <x:c r="W94" s="11"/>
      <x:c r="X94" s="8"/>
      <x:c r="Y94" s="19"/>
      <x:c r="Z94" s="8"/>
      <x:c r="AA94" s="9" t="str">
        <x:f>IF(C94="","",IF(COUNTIF($C$9:$C$108,C94)&lt;&gt;1,"Duplicate borrower",IF(OR(COUNTA(D94:G94)&lt;4,COUNT(H94:W94)&lt;&gt;16,X94="",COUNT(Y94)&lt;&gt;1,Z94=""),"Missing inputs",IF(OR(I94&lt;=0,J94&lt;=K94,L94&lt;=0,MIN(P94:Q94)&lt;0,MAX(P94:Q94)&gt;1,MIN(R94:W94)&lt;0,MAX(S94:U94)&gt;1,W94&gt;1),"Invalid inputs",IF(Y94&lt;Settings!$F$8,"Expired evidence","Ready")))))</x:f>
      </x:c>
    </x:row>
    <x:row r="95" ht="38" customHeight="1">
      <x:c r="A95" s="1"/>
      <x:c r="B95" s="1"/>
      <x:c r="C95" s="8"/>
      <x:c r="D95" s="8"/>
      <x:c r="E95" s="8"/>
      <x:c r="F95" s="8"/>
      <x:c r="G95" s="8"/>
      <x:c r="H95" s="19"/>
      <x:c r="I95" s="16"/>
      <x:c r="J95" s="16"/>
      <x:c r="K95" s="16"/>
      <x:c r="L95" s="16"/>
      <x:c r="M95" s="16"/>
      <x:c r="N95" s="16"/>
      <x:c r="O95" s="16"/>
      <x:c r="P95" s="11"/>
      <x:c r="Q95" s="11"/>
      <x:c r="R95" s="20"/>
      <x:c r="S95" s="11"/>
      <x:c r="T95" s="11"/>
      <x:c r="U95" s="11"/>
      <x:c r="V95" s="8"/>
      <x:c r="W95" s="11"/>
      <x:c r="X95" s="8"/>
      <x:c r="Y95" s="19"/>
      <x:c r="Z95" s="8"/>
      <x:c r="AA95" s="9" t="str">
        <x:f>IF(C95="","",IF(COUNTIF($C$9:$C$108,C95)&lt;&gt;1,"Duplicate borrower",IF(OR(COUNTA(D95:G95)&lt;4,COUNT(H95:W95)&lt;&gt;16,X95="",COUNT(Y95)&lt;&gt;1,Z95=""),"Missing inputs",IF(OR(I95&lt;=0,J95&lt;=K95,L95&lt;=0,MIN(P95:Q95)&lt;0,MAX(P95:Q95)&gt;1,MIN(R95:W95)&lt;0,MAX(S95:U95)&gt;1,W95&gt;1),"Invalid inputs",IF(Y95&lt;Settings!$F$8,"Expired evidence","Ready")))))</x:f>
      </x:c>
    </x:row>
    <x:row r="96" ht="38" customHeight="1">
      <x:c r="A96" s="1"/>
      <x:c r="B96" s="1"/>
      <x:c r="C96" s="8"/>
      <x:c r="D96" s="8"/>
      <x:c r="E96" s="8"/>
      <x:c r="F96" s="8"/>
      <x:c r="G96" s="8"/>
      <x:c r="H96" s="19"/>
      <x:c r="I96" s="16"/>
      <x:c r="J96" s="16"/>
      <x:c r="K96" s="16"/>
      <x:c r="L96" s="16"/>
      <x:c r="M96" s="16"/>
      <x:c r="N96" s="16"/>
      <x:c r="O96" s="16"/>
      <x:c r="P96" s="11"/>
      <x:c r="Q96" s="11"/>
      <x:c r="R96" s="20"/>
      <x:c r="S96" s="11"/>
      <x:c r="T96" s="11"/>
      <x:c r="U96" s="11"/>
      <x:c r="V96" s="8"/>
      <x:c r="W96" s="11"/>
      <x:c r="X96" s="8"/>
      <x:c r="Y96" s="19"/>
      <x:c r="Z96" s="8"/>
      <x:c r="AA96" s="9" t="str">
        <x:f>IF(C96="","",IF(COUNTIF($C$9:$C$108,C96)&lt;&gt;1,"Duplicate borrower",IF(OR(COUNTA(D96:G96)&lt;4,COUNT(H96:W96)&lt;&gt;16,X96="",COUNT(Y96)&lt;&gt;1,Z96=""),"Missing inputs",IF(OR(I96&lt;=0,J96&lt;=K96,L96&lt;=0,MIN(P96:Q96)&lt;0,MAX(P96:Q96)&gt;1,MIN(R96:W96)&lt;0,MAX(S96:U96)&gt;1,W96&gt;1),"Invalid inputs",IF(Y96&lt;Settings!$F$8,"Expired evidence","Ready")))))</x:f>
      </x:c>
    </x:row>
    <x:row r="97" ht="38" customHeight="1">
      <x:c r="A97" s="1"/>
      <x:c r="B97" s="1"/>
      <x:c r="C97" s="8"/>
      <x:c r="D97" s="8"/>
      <x:c r="E97" s="8"/>
      <x:c r="F97" s="8"/>
      <x:c r="G97" s="8"/>
      <x:c r="H97" s="19"/>
      <x:c r="I97" s="16"/>
      <x:c r="J97" s="16"/>
      <x:c r="K97" s="16"/>
      <x:c r="L97" s="16"/>
      <x:c r="M97" s="16"/>
      <x:c r="N97" s="16"/>
      <x:c r="O97" s="16"/>
      <x:c r="P97" s="11"/>
      <x:c r="Q97" s="11"/>
      <x:c r="R97" s="20"/>
      <x:c r="S97" s="11"/>
      <x:c r="T97" s="11"/>
      <x:c r="U97" s="11"/>
      <x:c r="V97" s="8"/>
      <x:c r="W97" s="11"/>
      <x:c r="X97" s="8"/>
      <x:c r="Y97" s="19"/>
      <x:c r="Z97" s="8"/>
      <x:c r="AA97" s="9" t="str">
        <x:f>IF(C97="","",IF(COUNTIF($C$9:$C$108,C97)&lt;&gt;1,"Duplicate borrower",IF(OR(COUNTA(D97:G97)&lt;4,COUNT(H97:W97)&lt;&gt;16,X97="",COUNT(Y97)&lt;&gt;1,Z97=""),"Missing inputs",IF(OR(I97&lt;=0,J97&lt;=K97,L97&lt;=0,MIN(P97:Q97)&lt;0,MAX(P97:Q97)&gt;1,MIN(R97:W97)&lt;0,MAX(S97:U97)&gt;1,W97&gt;1),"Invalid inputs",IF(Y97&lt;Settings!$F$8,"Expired evidence","Ready")))))</x:f>
      </x:c>
    </x:row>
    <x:row r="98" ht="38" customHeight="1">
      <x:c r="A98" s="1"/>
      <x:c r="B98" s="1"/>
      <x:c r="C98" s="8"/>
      <x:c r="D98" s="8"/>
      <x:c r="E98" s="8"/>
      <x:c r="F98" s="8"/>
      <x:c r="G98" s="8"/>
      <x:c r="H98" s="19"/>
      <x:c r="I98" s="16"/>
      <x:c r="J98" s="16"/>
      <x:c r="K98" s="16"/>
      <x:c r="L98" s="16"/>
      <x:c r="M98" s="16"/>
      <x:c r="N98" s="16"/>
      <x:c r="O98" s="16"/>
      <x:c r="P98" s="11"/>
      <x:c r="Q98" s="11"/>
      <x:c r="R98" s="20"/>
      <x:c r="S98" s="11"/>
      <x:c r="T98" s="11"/>
      <x:c r="U98" s="11"/>
      <x:c r="V98" s="8"/>
      <x:c r="W98" s="11"/>
      <x:c r="X98" s="8"/>
      <x:c r="Y98" s="19"/>
      <x:c r="Z98" s="8"/>
      <x:c r="AA98" s="9" t="str">
        <x:f>IF(C98="","",IF(COUNTIF($C$9:$C$108,C98)&lt;&gt;1,"Duplicate borrower",IF(OR(COUNTA(D98:G98)&lt;4,COUNT(H98:W98)&lt;&gt;16,X98="",COUNT(Y98)&lt;&gt;1,Z98=""),"Missing inputs",IF(OR(I98&lt;=0,J98&lt;=K98,L98&lt;=0,MIN(P98:Q98)&lt;0,MAX(P98:Q98)&gt;1,MIN(R98:W98)&lt;0,MAX(S98:U98)&gt;1,W98&gt;1),"Invalid inputs",IF(Y98&lt;Settings!$F$8,"Expired evidence","Ready")))))</x:f>
      </x:c>
    </x:row>
    <x:row r="99" ht="38" customHeight="1">
      <x:c r="A99" s="1"/>
      <x:c r="B99" s="1"/>
      <x:c r="C99" s="8"/>
      <x:c r="D99" s="8"/>
      <x:c r="E99" s="8"/>
      <x:c r="F99" s="8"/>
      <x:c r="G99" s="8"/>
      <x:c r="H99" s="19"/>
      <x:c r="I99" s="16"/>
      <x:c r="J99" s="16"/>
      <x:c r="K99" s="16"/>
      <x:c r="L99" s="16"/>
      <x:c r="M99" s="16"/>
      <x:c r="N99" s="16"/>
      <x:c r="O99" s="16"/>
      <x:c r="P99" s="11"/>
      <x:c r="Q99" s="11"/>
      <x:c r="R99" s="20"/>
      <x:c r="S99" s="11"/>
      <x:c r="T99" s="11"/>
      <x:c r="U99" s="11"/>
      <x:c r="V99" s="8"/>
      <x:c r="W99" s="11"/>
      <x:c r="X99" s="8"/>
      <x:c r="Y99" s="19"/>
      <x:c r="Z99" s="8"/>
      <x:c r="AA99" s="9" t="str">
        <x:f>IF(C99="","",IF(COUNTIF($C$9:$C$108,C99)&lt;&gt;1,"Duplicate borrower",IF(OR(COUNTA(D99:G99)&lt;4,COUNT(H99:W99)&lt;&gt;16,X99="",COUNT(Y99)&lt;&gt;1,Z99=""),"Missing inputs",IF(OR(I99&lt;=0,J99&lt;=K99,L99&lt;=0,MIN(P99:Q99)&lt;0,MAX(P99:Q99)&gt;1,MIN(R99:W99)&lt;0,MAX(S99:U99)&gt;1,W99&gt;1),"Invalid inputs",IF(Y99&lt;Settings!$F$8,"Expired evidence","Ready")))))</x:f>
      </x:c>
    </x:row>
    <x:row r="100" ht="38" customHeight="1">
      <x:c r="A100" s="1"/>
      <x:c r="B100" s="1"/>
      <x:c r="C100" s="8"/>
      <x:c r="D100" s="8"/>
      <x:c r="E100" s="8"/>
      <x:c r="F100" s="8"/>
      <x:c r="G100" s="8"/>
      <x:c r="H100" s="19"/>
      <x:c r="I100" s="16"/>
      <x:c r="J100" s="16"/>
      <x:c r="K100" s="16"/>
      <x:c r="L100" s="16"/>
      <x:c r="M100" s="16"/>
      <x:c r="N100" s="16"/>
      <x:c r="O100" s="16"/>
      <x:c r="P100" s="11"/>
      <x:c r="Q100" s="11"/>
      <x:c r="R100" s="20"/>
      <x:c r="S100" s="11"/>
      <x:c r="T100" s="11"/>
      <x:c r="U100" s="11"/>
      <x:c r="V100" s="8"/>
      <x:c r="W100" s="11"/>
      <x:c r="X100" s="8"/>
      <x:c r="Y100" s="19"/>
      <x:c r="Z100" s="8"/>
      <x:c r="AA100" s="9" t="str">
        <x:f>IF(C100="","",IF(COUNTIF($C$9:$C$108,C100)&lt;&gt;1,"Duplicate borrower",IF(OR(COUNTA(D100:G100)&lt;4,COUNT(H100:W100)&lt;&gt;16,X100="",COUNT(Y100)&lt;&gt;1,Z100=""),"Missing inputs",IF(OR(I100&lt;=0,J100&lt;=K100,L100&lt;=0,MIN(P100:Q100)&lt;0,MAX(P100:Q100)&gt;1,MIN(R100:W100)&lt;0,MAX(S100:U100)&gt;1,W100&gt;1),"Invalid inputs",IF(Y100&lt;Settings!$F$8,"Expired evidence","Ready")))))</x:f>
      </x:c>
    </x:row>
    <x:row r="101" ht="38" customHeight="1">
      <x:c r="A101" s="1"/>
      <x:c r="B101" s="1"/>
      <x:c r="C101" s="8"/>
      <x:c r="D101" s="8"/>
      <x:c r="E101" s="8"/>
      <x:c r="F101" s="8"/>
      <x:c r="G101" s="8"/>
      <x:c r="H101" s="19"/>
      <x:c r="I101" s="16"/>
      <x:c r="J101" s="16"/>
      <x:c r="K101" s="16"/>
      <x:c r="L101" s="16"/>
      <x:c r="M101" s="16"/>
      <x:c r="N101" s="16"/>
      <x:c r="O101" s="16"/>
      <x:c r="P101" s="11"/>
      <x:c r="Q101" s="11"/>
      <x:c r="R101" s="20"/>
      <x:c r="S101" s="11"/>
      <x:c r="T101" s="11"/>
      <x:c r="U101" s="11"/>
      <x:c r="V101" s="8"/>
      <x:c r="W101" s="11"/>
      <x:c r="X101" s="8"/>
      <x:c r="Y101" s="19"/>
      <x:c r="Z101" s="8"/>
      <x:c r="AA101" s="9" t="str">
        <x:f>IF(C101="","",IF(COUNTIF($C$9:$C$108,C101)&lt;&gt;1,"Duplicate borrower",IF(OR(COUNTA(D101:G101)&lt;4,COUNT(H101:W101)&lt;&gt;16,X101="",COUNT(Y101)&lt;&gt;1,Z101=""),"Missing inputs",IF(OR(I101&lt;=0,J101&lt;=K101,L101&lt;=0,MIN(P101:Q101)&lt;0,MAX(P101:Q101)&gt;1,MIN(R101:W101)&lt;0,MAX(S101:U101)&gt;1,W101&gt;1),"Invalid inputs",IF(Y101&lt;Settings!$F$8,"Expired evidence","Ready")))))</x:f>
      </x:c>
    </x:row>
    <x:row r="102" ht="38" customHeight="1">
      <x:c r="A102" s="1"/>
      <x:c r="B102" s="1"/>
      <x:c r="C102" s="8"/>
      <x:c r="D102" s="8"/>
      <x:c r="E102" s="8"/>
      <x:c r="F102" s="8"/>
      <x:c r="G102" s="8"/>
      <x:c r="H102" s="19"/>
      <x:c r="I102" s="16"/>
      <x:c r="J102" s="16"/>
      <x:c r="K102" s="16"/>
      <x:c r="L102" s="16"/>
      <x:c r="M102" s="16"/>
      <x:c r="N102" s="16"/>
      <x:c r="O102" s="16"/>
      <x:c r="P102" s="11"/>
      <x:c r="Q102" s="11"/>
      <x:c r="R102" s="20"/>
      <x:c r="S102" s="11"/>
      <x:c r="T102" s="11"/>
      <x:c r="U102" s="11"/>
      <x:c r="V102" s="8"/>
      <x:c r="W102" s="11"/>
      <x:c r="X102" s="8"/>
      <x:c r="Y102" s="19"/>
      <x:c r="Z102" s="8"/>
      <x:c r="AA102" s="9" t="str">
        <x:f>IF(C102="","",IF(COUNTIF($C$9:$C$108,C102)&lt;&gt;1,"Duplicate borrower",IF(OR(COUNTA(D102:G102)&lt;4,COUNT(H102:W102)&lt;&gt;16,X102="",COUNT(Y102)&lt;&gt;1,Z102=""),"Missing inputs",IF(OR(I102&lt;=0,J102&lt;=K102,L102&lt;=0,MIN(P102:Q102)&lt;0,MAX(P102:Q102)&gt;1,MIN(R102:W102)&lt;0,MAX(S102:U102)&gt;1,W102&gt;1),"Invalid inputs",IF(Y102&lt;Settings!$F$8,"Expired evidence","Ready")))))</x:f>
      </x:c>
    </x:row>
    <x:row r="103" ht="38" customHeight="1">
      <x:c r="A103" s="1"/>
      <x:c r="B103" s="1"/>
      <x:c r="C103" s="8"/>
      <x:c r="D103" s="8"/>
      <x:c r="E103" s="8"/>
      <x:c r="F103" s="8"/>
      <x:c r="G103" s="8"/>
      <x:c r="H103" s="19"/>
      <x:c r="I103" s="16"/>
      <x:c r="J103" s="16"/>
      <x:c r="K103" s="16"/>
      <x:c r="L103" s="16"/>
      <x:c r="M103" s="16"/>
      <x:c r="N103" s="16"/>
      <x:c r="O103" s="16"/>
      <x:c r="P103" s="11"/>
      <x:c r="Q103" s="11"/>
      <x:c r="R103" s="20"/>
      <x:c r="S103" s="11"/>
      <x:c r="T103" s="11"/>
      <x:c r="U103" s="11"/>
      <x:c r="V103" s="8"/>
      <x:c r="W103" s="11"/>
      <x:c r="X103" s="8"/>
      <x:c r="Y103" s="19"/>
      <x:c r="Z103" s="8"/>
      <x:c r="AA103" s="9" t="str">
        <x:f>IF(C103="","",IF(COUNTIF($C$9:$C$108,C103)&lt;&gt;1,"Duplicate borrower",IF(OR(COUNTA(D103:G103)&lt;4,COUNT(H103:W103)&lt;&gt;16,X103="",COUNT(Y103)&lt;&gt;1,Z103=""),"Missing inputs",IF(OR(I103&lt;=0,J103&lt;=K103,L103&lt;=0,MIN(P103:Q103)&lt;0,MAX(P103:Q103)&gt;1,MIN(R103:W103)&lt;0,MAX(S103:U103)&gt;1,W103&gt;1),"Invalid inputs",IF(Y103&lt;Settings!$F$8,"Expired evidence","Ready")))))</x:f>
      </x:c>
    </x:row>
    <x:row r="104" ht="38" customHeight="1">
      <x:c r="A104" s="1"/>
      <x:c r="B104" s="1"/>
      <x:c r="C104" s="8"/>
      <x:c r="D104" s="8"/>
      <x:c r="E104" s="8"/>
      <x:c r="F104" s="8"/>
      <x:c r="G104" s="8"/>
      <x:c r="H104" s="19"/>
      <x:c r="I104" s="16"/>
      <x:c r="J104" s="16"/>
      <x:c r="K104" s="16"/>
      <x:c r="L104" s="16"/>
      <x:c r="M104" s="16"/>
      <x:c r="N104" s="16"/>
      <x:c r="O104" s="16"/>
      <x:c r="P104" s="11"/>
      <x:c r="Q104" s="11"/>
      <x:c r="R104" s="20"/>
      <x:c r="S104" s="11"/>
      <x:c r="T104" s="11"/>
      <x:c r="U104" s="11"/>
      <x:c r="V104" s="8"/>
      <x:c r="W104" s="11"/>
      <x:c r="X104" s="8"/>
      <x:c r="Y104" s="19"/>
      <x:c r="Z104" s="8"/>
      <x:c r="AA104" s="9" t="str">
        <x:f>IF(C104="","",IF(COUNTIF($C$9:$C$108,C104)&lt;&gt;1,"Duplicate borrower",IF(OR(COUNTA(D104:G104)&lt;4,COUNT(H104:W104)&lt;&gt;16,X104="",COUNT(Y104)&lt;&gt;1,Z104=""),"Missing inputs",IF(OR(I104&lt;=0,J104&lt;=K104,L104&lt;=0,MIN(P104:Q104)&lt;0,MAX(P104:Q104)&gt;1,MIN(R104:W104)&lt;0,MAX(S104:U104)&gt;1,W104&gt;1),"Invalid inputs",IF(Y104&lt;Settings!$F$8,"Expired evidence","Ready")))))</x:f>
      </x:c>
    </x:row>
    <x:row r="105" ht="38" customHeight="1">
      <x:c r="A105" s="1"/>
      <x:c r="B105" s="1"/>
      <x:c r="C105" s="8"/>
      <x:c r="D105" s="8"/>
      <x:c r="E105" s="8"/>
      <x:c r="F105" s="8"/>
      <x:c r="G105" s="8"/>
      <x:c r="H105" s="19"/>
      <x:c r="I105" s="16"/>
      <x:c r="J105" s="16"/>
      <x:c r="K105" s="16"/>
      <x:c r="L105" s="16"/>
      <x:c r="M105" s="16"/>
      <x:c r="N105" s="16"/>
      <x:c r="O105" s="16"/>
      <x:c r="P105" s="11"/>
      <x:c r="Q105" s="11"/>
      <x:c r="R105" s="20"/>
      <x:c r="S105" s="11"/>
      <x:c r="T105" s="11"/>
      <x:c r="U105" s="11"/>
      <x:c r="V105" s="8"/>
      <x:c r="W105" s="11"/>
      <x:c r="X105" s="8"/>
      <x:c r="Y105" s="19"/>
      <x:c r="Z105" s="8"/>
      <x:c r="AA105" s="9" t="str">
        <x:f>IF(C105="","",IF(COUNTIF($C$9:$C$108,C105)&lt;&gt;1,"Duplicate borrower",IF(OR(COUNTA(D105:G105)&lt;4,COUNT(H105:W105)&lt;&gt;16,X105="",COUNT(Y105)&lt;&gt;1,Z105=""),"Missing inputs",IF(OR(I105&lt;=0,J105&lt;=K105,L105&lt;=0,MIN(P105:Q105)&lt;0,MAX(P105:Q105)&gt;1,MIN(R105:W105)&lt;0,MAX(S105:U105)&gt;1,W105&gt;1),"Invalid inputs",IF(Y105&lt;Settings!$F$8,"Expired evidence","Ready")))))</x:f>
      </x:c>
    </x:row>
    <x:row r="106" ht="38" customHeight="1">
      <x:c r="A106" s="1"/>
      <x:c r="B106" s="1"/>
      <x:c r="C106" s="8"/>
      <x:c r="D106" s="8"/>
      <x:c r="E106" s="8"/>
      <x:c r="F106" s="8"/>
      <x:c r="G106" s="8"/>
      <x:c r="H106" s="19"/>
      <x:c r="I106" s="16"/>
      <x:c r="J106" s="16"/>
      <x:c r="K106" s="16"/>
      <x:c r="L106" s="16"/>
      <x:c r="M106" s="16"/>
      <x:c r="N106" s="16"/>
      <x:c r="O106" s="16"/>
      <x:c r="P106" s="11"/>
      <x:c r="Q106" s="11"/>
      <x:c r="R106" s="20"/>
      <x:c r="S106" s="11"/>
      <x:c r="T106" s="11"/>
      <x:c r="U106" s="11"/>
      <x:c r="V106" s="8"/>
      <x:c r="W106" s="11"/>
      <x:c r="X106" s="8"/>
      <x:c r="Y106" s="19"/>
      <x:c r="Z106" s="8"/>
      <x:c r="AA106" s="9" t="str">
        <x:f>IF(C106="","",IF(COUNTIF($C$9:$C$108,C106)&lt;&gt;1,"Duplicate borrower",IF(OR(COUNTA(D106:G106)&lt;4,COUNT(H106:W106)&lt;&gt;16,X106="",COUNT(Y106)&lt;&gt;1,Z106=""),"Missing inputs",IF(OR(I106&lt;=0,J106&lt;=K106,L106&lt;=0,MIN(P106:Q106)&lt;0,MAX(P106:Q106)&gt;1,MIN(R106:W106)&lt;0,MAX(S106:U106)&gt;1,W106&gt;1),"Invalid inputs",IF(Y106&lt;Settings!$F$8,"Expired evidence","Ready")))))</x:f>
      </x:c>
    </x:row>
    <x:row r="107" ht="38" customHeight="1">
      <x:c r="A107" s="1"/>
      <x:c r="B107" s="1"/>
      <x:c r="C107" s="8"/>
      <x:c r="D107" s="8"/>
      <x:c r="E107" s="8"/>
      <x:c r="F107" s="8"/>
      <x:c r="G107" s="8"/>
      <x:c r="H107" s="19"/>
      <x:c r="I107" s="16"/>
      <x:c r="J107" s="16"/>
      <x:c r="K107" s="16"/>
      <x:c r="L107" s="16"/>
      <x:c r="M107" s="16"/>
      <x:c r="N107" s="16"/>
      <x:c r="O107" s="16"/>
      <x:c r="P107" s="11"/>
      <x:c r="Q107" s="11"/>
      <x:c r="R107" s="20"/>
      <x:c r="S107" s="11"/>
      <x:c r="T107" s="11"/>
      <x:c r="U107" s="11"/>
      <x:c r="V107" s="8"/>
      <x:c r="W107" s="11"/>
      <x:c r="X107" s="8"/>
      <x:c r="Y107" s="19"/>
      <x:c r="Z107" s="8"/>
      <x:c r="AA107" s="9" t="str">
        <x:f>IF(C107="","",IF(COUNTIF($C$9:$C$108,C107)&lt;&gt;1,"Duplicate borrower",IF(OR(COUNTA(D107:G107)&lt;4,COUNT(H107:W107)&lt;&gt;16,X107="",COUNT(Y107)&lt;&gt;1,Z107=""),"Missing inputs",IF(OR(I107&lt;=0,J107&lt;=K107,L107&lt;=0,MIN(P107:Q107)&lt;0,MAX(P107:Q107)&gt;1,MIN(R107:W107)&lt;0,MAX(S107:U107)&gt;1,W107&gt;1),"Invalid inputs",IF(Y107&lt;Settings!$F$8,"Expired evidence","Ready")))))</x:f>
      </x:c>
    </x:row>
    <x:row r="108" ht="38" customHeight="1">
      <x:c r="A108" s="1"/>
      <x:c r="B108" s="1"/>
      <x:c r="C108" s="8"/>
      <x:c r="D108" s="8"/>
      <x:c r="E108" s="8"/>
      <x:c r="F108" s="8"/>
      <x:c r="G108" s="8"/>
      <x:c r="H108" s="19"/>
      <x:c r="I108" s="16"/>
      <x:c r="J108" s="16"/>
      <x:c r="K108" s="16"/>
      <x:c r="L108" s="16"/>
      <x:c r="M108" s="16"/>
      <x:c r="N108" s="16"/>
      <x:c r="O108" s="16"/>
      <x:c r="P108" s="11"/>
      <x:c r="Q108" s="11"/>
      <x:c r="R108" s="20"/>
      <x:c r="S108" s="11"/>
      <x:c r="T108" s="11"/>
      <x:c r="U108" s="11"/>
      <x:c r="V108" s="8"/>
      <x:c r="W108" s="11"/>
      <x:c r="X108" s="8"/>
      <x:c r="Y108" s="19"/>
      <x:c r="Z108" s="8"/>
      <x:c r="AA108" s="9" t="str">
        <x:f>IF(C108="","",IF(COUNTIF($C$9:$C$108,C108)&lt;&gt;1,"Duplicate borrower",IF(OR(COUNTA(D108:G108)&lt;4,COUNT(H108:W108)&lt;&gt;16,X108="",COUNT(Y108)&lt;&gt;1,Z108=""),"Missing inputs",IF(OR(I108&lt;=0,J108&lt;=K108,L108&lt;=0,MIN(P108:Q108)&lt;0,MAX(P108:Q108)&gt;1,MIN(R108:W108)&lt;0,MAX(S108:U108)&gt;1,W108&gt;1),"Invalid inputs",IF(Y108&lt;Settings!$F$8,"Expired evidence","Ready")))))</x:f>
      </x:c>
    </x:row>
    <x:row r="109" ht="26" customHeight="1">
      <x:c r="A109" s="1"/>
      <x:c r="B109" s="1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  <x:c r="M109" s="3"/>
      <x:c r="N109" s="3"/>
      <x:c r="O109" s="3"/>
      <x:c r="P109" s="3"/>
      <x:c r="Q109" s="3"/>
      <x:c r="R109" s="3"/>
      <x:c r="S109" s="3"/>
      <x:c r="T109" s="3"/>
      <x:c r="U109" s="3"/>
      <x:c r="V109" s="3"/>
      <x:c r="W109" s="3"/>
      <x:c r="X109" s="3"/>
      <x:c r="Y109" s="3"/>
      <x:c r="Z109" s="3"/>
      <x:c r="AA109" s="3"/>
    </x:row>
    <x:row r="110" ht="26" customHeight="1">
      <x:c r="A110" s="1"/>
      <x:c r="B110" s="1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  <x:c r="M110" s="3"/>
      <x:c r="N110" s="3"/>
      <x:c r="O110" s="3"/>
      <x:c r="P110" s="3"/>
      <x:c r="Q110" s="3"/>
      <x:c r="R110" s="3"/>
      <x:c r="S110" s="3"/>
      <x:c r="T110" s="3"/>
      <x:c r="U110" s="3"/>
      <x:c r="V110" s="3"/>
      <x:c r="W110" s="3"/>
      <x:c r="X110" s="3"/>
      <x:c r="Y110" s="3"/>
      <x:c r="Z110" s="3"/>
      <x:c r="AA110" s="3"/>
    </x:row>
    <x:row r="111" ht="26" customHeight="1">
      <x:c r="A111" s="1"/>
      <x:c r="B111" s="1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  <x:c r="M111" s="3"/>
      <x:c r="N111" s="3"/>
      <x:c r="O111" s="3"/>
      <x:c r="P111" s="3"/>
      <x:c r="Q111" s="3"/>
      <x:c r="R111" s="3"/>
      <x:c r="S111" s="3"/>
      <x:c r="T111" s="3"/>
      <x:c r="U111" s="3"/>
      <x:c r="V111" s="3"/>
      <x:c r="W111" s="3"/>
      <x:c r="X111" s="3"/>
      <x:c r="Y111" s="3"/>
      <x:c r="Z111" s="3"/>
      <x:c r="AA111" s="3"/>
    </x:row>
    <x:row r="112" ht="26" customHeight="1">
      <x:c r="A112" s="1"/>
      <x:c r="B112" s="1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  <x:c r="M112" s="3"/>
      <x:c r="N112" s="3"/>
      <x:c r="O112" s="3"/>
      <x:c r="P112" s="3"/>
      <x:c r="Q112" s="3"/>
      <x:c r="R112" s="3"/>
      <x:c r="S112" s="3"/>
      <x:c r="T112" s="3"/>
      <x:c r="U112" s="3"/>
      <x:c r="V112" s="3"/>
      <x:c r="W112" s="3"/>
      <x:c r="X112" s="3"/>
      <x:c r="Y112" s="3"/>
      <x:c r="Z112" s="3"/>
      <x:c r="AA112" s="3"/>
    </x:row>
  </x:sheetData>
  <x:mergeCells>
    <x:mergeCell ref="C2:H2"/>
    <x:mergeCell ref="C3:M3"/>
    <x:mergeCell ref="C7:F7"/>
    <x:mergeCell ref="G7:J7"/>
    <x:mergeCell ref="K7:N7"/>
    <x:mergeCell ref="C1:D1"/>
    <x:mergeCell ref="E1:F1"/>
    <x:mergeCell ref="G1:H1"/>
    <x:mergeCell ref="I1:J1"/>
    <x:mergeCell ref="K1:L1"/>
    <x:mergeCell ref="M1:N1"/>
  </x:mergeCells>
  <x:conditionalFormatting sqref="AA9:AA108">
    <x:cfRule type="containsText" dxfId="16" priority="1" operator="containsText" text="Missing"/>
    <x:cfRule type="containsText" dxfId="17" priority="2" operator="containsText" text="Required"/>
    <x:cfRule type="containsText" dxfId="18" priority="3" operator="containsText" text="required"/>
    <x:cfRule type="containsText" dxfId="19" priority="4" operator="containsText" text="Expired"/>
    <x:cfRule type="containsText" dxfId="20" priority="5" operator="containsText" text="Hold"/>
    <x:cfRule type="containsText" dxfId="21" priority="6" operator="containsText" text="Review"/>
    <x:cfRule type="containsText" dxfId="22" priority="7" operator="containsText" text="Incomplete"/>
    <x:cfRule type="containsText" dxfId="23" priority="8" operator="containsText" text="Pending"/>
    <x:cfRule type="containsText" dxfId="24" priority="9" operator="containsText" text="Unsupported"/>
    <x:cfRule type="containsText" dxfId="25" priority="10" operator="containsText" text="Criteria"/>
    <x:cfRule type="containsText" dxfId="26" priority="11" operator="containsText" text="Fail"/>
    <x:cfRule type="containsText" dxfId="27" priority="12" operator="containsText" text="Stop"/>
    <x:cfRule type="containsText" dxfId="28" priority="13" operator="containsText" text="Breach"/>
    <x:cfRule type="containsText" dxfId="29" priority="14" operator="containsText" text="Invalid"/>
    <x:cfRule type="containsText" dxfId="30" priority="15" operator="containsText" text="Duplicate"/>
    <x:cfRule type="containsText" dxfId="31" priority="16" operator="containsText" text="Not aligned"/>
  </x:conditionalFormatting>
  <x:dataValidations count="4">
    <x:dataValidation type="list" sqref="E9:E108">
      <x:formula1>"Egypt,Jordan,UAE,Other"</x:formula1>
    </x:dataValidation>
    <x:dataValidation type="list" sqref="F9:F108">
      <x:formula1>"Cement,Solar,Logistics,Food,Property,Hospitality,Healthcare,Manufacturing,Agriculture,Utilities,Technology,Transport"</x:formula1>
    </x:dataValidation>
    <x:dataValidation type="list" sqref="G9:G108">
      <x:formula1>"Private,Listed"</x:formula1>
    </x:dataValidation>
    <x:dataValidation type="list" sqref="Z9:Z108">
      <x:formula1>"Yes,No"</x:formula1>
    </x:dataValidation>
  </x:dataValidations>
  <x:hyperlinks>
    <x:hyperlink ref="C7" location="'Borrowers'!I8" display="Financial statements" tooltip="Open Borrowers"/>
    <x:hyperlink ref="G7" location="'Borrowers'!P8" display="Credit assumptions" tooltip="Open Borrowers"/>
    <x:hyperlink ref="K7" location="'Borrowers'!X8" display="Evidence and status" tooltip="Open Borrowers"/>
    <x:hyperlink ref="C1" location="'Overview'!C2" display="Home" tooltip="Open Overview"/>
    <x:hyperlink ref="E1" location="'Customer'!C2" display="Customer" tooltip="Open Customer"/>
    <x:hyperlink ref="G1" location="'Capital'!C2" display="Capital" tooltip="Open Capital"/>
    <x:hyperlink ref="I1" location="'Disclosures'!C2" display="Reporting" tooltip="Open Disclosures"/>
    <x:hyperlink ref="K1" location="'Borrowers'!C8" display="Inputs" tooltip="Open Borrowers"/>
    <x:hyperlink ref="M1" location="'Settings'!C5" display="Settings" tooltip="Open Settings"/>
  </x:hyperlinks>
  <x:pageMargins left="0.7" right="0.7" top="0.75" bottom="0.75" header="0.3" footer="0.3"/>
  <x:tableParts count="1">
    <x:tablePart xmlns:r="http://schemas.openxmlformats.org/officeDocument/2006/relationships" r:id="R7c7cbc909ba74b0f"/>
  </x:tableParts>
</x:worksheet>
</file>

<file path=xl/worksheets/sheet22.xml><?xml version="1.0" encoding="utf-8"?>
<x:worksheet xmlns:x="http://schemas.openxmlformats.org/spreadsheetml/2006/main">
  <x:sheetPr>
    <x:tabColor rgb="FF007F86"/>
  </x:sheetPr>
  <x:sheetViews>
    <x:sheetView showGridLines="0" workbookViewId="0">
      <x:pane xSplit="4" ySplit="8" topLeftCell="E9" activePane="bottomRight" state="frozen"/>
    </x:sheetView>
  </x:sheetViews>
  <x:sheetFormatPr defaultRowHeight="15"/>
  <x:cols>
    <x:col min="1" max="1" width="2.4000000953674316" hidden="0" customWidth="1"/>
    <x:col min="2" max="2" width="2.4000000953674316" hidden="0" customWidth="1"/>
    <x:col min="3" max="3" width="17" hidden="0" customWidth="1"/>
    <x:col min="4" max="4" width="17" hidden="0" customWidth="1"/>
    <x:col min="5" max="5" width="24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24" hidden="0" customWidth="1"/>
    <x:col min="23" max="23" width="25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  <x:col min="29" max="29" width="17" hidden="0" customWidth="1"/>
    <x:col min="30" max="30" width="17" hidden="0" customWidth="1"/>
    <x:col min="31" max="31" width="17" hidden="0" customWidth="1"/>
    <x:col min="32" max="32" width="24" hidden="0" customWidth="1"/>
    <x:col min="33" max="33" width="17" hidden="0" customWidth="1"/>
    <x:col min="34" max="34" width="17" hidden="0" customWidth="1"/>
    <x:col min="35" max="35" width="17" hidden="0" customWidth="1"/>
    <x:col min="36" max="36" width="17" hidden="0" customWidth="1"/>
    <x:col min="37" max="37" width="17" hidden="0" customWidth="1"/>
    <x:col min="38" max="38" width="17" hidden="0" customWidth="1"/>
    <x:col min="39" max="39" width="17" hidden="0" customWidth="1"/>
    <x:col min="40" max="40" width="17" hidden="0" customWidth="1"/>
    <x:col min="41" max="41" width="17" hidden="0" customWidth="1"/>
    <x:col min="42" max="42" width="17" hidden="0" customWidth="1"/>
    <x:col min="43" max="43" width="17" hidden="0" customWidth="1"/>
  </x:cols>
  <x:sheetData>
    <x:row r="1" ht="27" customHeight="1">
      <x:c r="A1" s="1"/>
      <x:c r="B1" s="1"/>
      <x:c r="C1" s="50" t="str">
        <x:v>Home</x:v>
      </x:c>
      <x:c r="D1" s="50"/>
      <x:c r="E1" s="63" t="str">
        <x:v>Customer</x:v>
      </x:c>
      <x:c r="F1" s="63"/>
      <x:c r="G1" s="63" t="str">
        <x:v>Capital</x:v>
      </x:c>
      <x:c r="H1" s="63"/>
      <x:c r="I1" s="63" t="str">
        <x:v>Reporting</x:v>
      </x:c>
      <x:c r="J1" s="63"/>
      <x:c r="K1" s="63" t="str">
        <x:v>Inputs</x:v>
      </x:c>
      <x:c r="L1" s="63"/>
      <x:c r="M1" s="63" t="str">
        <x:v>Settings</x:v>
      </x:c>
      <x:c r="N1" s="6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  <x:c r="AK1" s="3"/>
      <x:c r="AL1" s="3"/>
      <x:c r="AM1" s="3"/>
      <x:c r="AN1" s="3"/>
      <x:c r="AO1" s="3"/>
      <x:c r="AP1" s="3"/>
      <x:c r="AQ1" s="3"/>
    </x:row>
    <x:row r="2" ht="45" customHeight="1">
      <x:c r="A2" s="1"/>
      <x:c r="B2" s="1"/>
      <x:c r="C2" s="5" t="str">
        <x:v>Facility data</x:v>
      </x:c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  <x:c r="Y2" s="5"/>
      <x:c r="Z2" s="5"/>
      <x:c r="AA2" s="5"/>
      <x:c r="AB2" s="5"/>
      <x:c r="AC2" s="5"/>
      <x:c r="AD2" s="5"/>
      <x:c r="AE2" s="5"/>
      <x:c r="AF2" s="5"/>
      <x:c r="AG2" s="5"/>
      <x:c r="AH2" s="5"/>
      <x:c r="AI2" s="5"/>
      <x:c r="AJ2" s="5"/>
      <x:c r="AK2" s="5"/>
      <x:c r="AL2" s="5"/>
      <x:c r="AM2" s="5"/>
      <x:c r="AN2" s="5"/>
      <x:c r="AO2" s="5"/>
      <x:c r="AP2" s="5"/>
      <x:c r="AQ2" s="5"/>
    </x:row>
    <x:row r="3" ht="32" customHeight="1">
      <x:c r="A3" s="1"/>
      <x:c r="B3" s="1"/>
      <x:c r="C3" s="6" t="str">
        <x:v>USD m after FX conversion. Accounting and regulatory CCF are separate inputs.</x:v>
      </x:c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  <x:c r="AA3" s="3"/>
      <x:c r="AB3" s="3"/>
      <x:c r="AC3" s="3"/>
      <x:c r="AD3" s="3"/>
      <x:c r="AE3" s="3"/>
      <x:c r="AF3" s="3"/>
      <x:c r="AG3" s="3"/>
      <x:c r="AH3" s="3"/>
      <x:c r="AI3" s="3"/>
      <x:c r="AJ3" s="3"/>
      <x:c r="AK3" s="3"/>
      <x:c r="AL3" s="3"/>
      <x:c r="AM3" s="3"/>
      <x:c r="AN3" s="3"/>
      <x:c r="AO3" s="3"/>
      <x:c r="AP3" s="3"/>
      <x:c r="AQ3" s="3"/>
    </x:row>
    <x:row r="4" ht="26" customHeight="1">
      <x:c r="A4" s="1"/>
      <x:c r="B4" s="1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  <x:c r="Y4" s="3"/>
      <x:c r="Z4" s="3"/>
      <x:c r="AA4" s="3"/>
      <x:c r="AB4" s="3"/>
      <x:c r="AC4" s="3"/>
      <x:c r="AD4" s="3"/>
      <x:c r="AE4" s="3"/>
      <x:c r="AF4" s="3"/>
      <x:c r="AG4" s="3"/>
      <x:c r="AH4" s="3"/>
      <x:c r="AI4" s="3"/>
      <x:c r="AJ4" s="3"/>
      <x:c r="AK4" s="3"/>
      <x:c r="AL4" s="3"/>
      <x:c r="AM4" s="3"/>
      <x:c r="AN4" s="3"/>
      <x:c r="AO4" s="3"/>
      <x:c r="AP4" s="3"/>
      <x:c r="AQ4" s="3"/>
    </x:row>
    <x:row r="5" ht="26" customHeight="1">
      <x:c r="A5" s="1"/>
      <x:c r="B5" s="1"/>
      <x:c r="C5" s="3" t="str">
        <x:v>RECORDS</x:v>
      </x:c>
      <x:c r="D5" s="3"/>
      <x:c r="E5" s="3" t="n">
        <x:f>COUNTA(C9:C108)</x:f>
        <x:v>36</x:v>
      </x:c>
      <x:c r="F5" s="3"/>
      <x:c r="G5" s="3" t="str">
        <x:v>READY</x:v>
      </x:c>
      <x:c r="H5" s="3"/>
      <x:c r="I5" s="3" t="n">
        <x:f>COUNTIF(AF9:AF108,"Ready")</x:f>
        <x:v>36</x:v>
      </x:c>
      <x:c r="J5" s="3"/>
      <x:c r="K5" s="3" t="str">
        <x:v>REVIEW</x:v>
      </x:c>
      <x:c r="L5" s="3"/>
      <x:c r="M5" s="3" t="n">
        <x:f>E5-I5</x:f>
        <x:v>0</x:v>
      </x:c>
      <x:c r="N5" s="3"/>
      <x:c r="O5" s="3"/>
      <x:c r="P5" s="3"/>
      <x:c r="Q5" s="3"/>
      <x:c r="R5" s="3"/>
      <x:c r="S5" s="3"/>
      <x:c r="T5" s="3"/>
      <x:c r="U5" s="3"/>
      <x:c r="V5" s="3"/>
      <x:c r="W5" s="3"/>
      <x:c r="X5" s="3"/>
      <x:c r="Y5" s="3"/>
      <x:c r="Z5" s="3"/>
      <x:c r="AA5" s="3"/>
      <x:c r="AB5" s="3"/>
      <x:c r="AC5" s="3"/>
      <x:c r="AD5" s="3"/>
      <x:c r="AE5" s="3"/>
      <x:c r="AF5" s="3"/>
      <x:c r="AG5" s="3"/>
      <x:c r="AH5" s="3"/>
      <x:c r="AI5" s="3"/>
      <x:c r="AJ5" s="3"/>
      <x:c r="AK5" s="3"/>
      <x:c r="AL5" s="3"/>
      <x:c r="AM5" s="3"/>
      <x:c r="AN5" s="3"/>
      <x:c r="AO5" s="3"/>
      <x:c r="AP5" s="3"/>
      <x:c r="AQ5" s="3"/>
    </x:row>
    <x:row r="6" ht="26" customHeight="1">
      <x:c r="A6" s="1"/>
      <x:c r="B6" s="1"/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  <x:c r="O6" s="3"/>
      <x:c r="P6" s="3"/>
      <x:c r="Q6" s="3"/>
      <x:c r="R6" s="3"/>
      <x:c r="S6" s="3"/>
      <x:c r="T6" s="3"/>
      <x:c r="U6" s="3"/>
      <x:c r="V6" s="3"/>
      <x:c r="W6" s="3"/>
      <x:c r="X6" s="3"/>
      <x:c r="Y6" s="3"/>
      <x:c r="Z6" s="3"/>
      <x:c r="AA6" s="3"/>
      <x:c r="AB6" s="3"/>
      <x:c r="AC6" s="3"/>
      <x:c r="AD6" s="3"/>
      <x:c r="AE6" s="3"/>
      <x:c r="AF6" s="3"/>
      <x:c r="AG6" s="3"/>
      <x:c r="AH6" s="3"/>
      <x:c r="AI6" s="3"/>
      <x:c r="AJ6" s="3"/>
      <x:c r="AK6" s="3"/>
      <x:c r="AL6" s="3"/>
      <x:c r="AM6" s="3"/>
      <x:c r="AN6" s="3"/>
      <x:c r="AO6" s="3"/>
      <x:c r="AP6" s="3"/>
      <x:c r="AQ6" s="3"/>
    </x:row>
    <x:row r="7" ht="26" customHeight="1">
      <x:c r="A7" s="1"/>
      <x:c r="B7" s="1"/>
      <x:c r="C7" s="50" t="str">
        <x:v>Exposure and terms</x:v>
      </x:c>
      <x:c r="D7" s="50"/>
      <x:c r="E7" s="50"/>
      <x:c r="F7" s="50"/>
      <x:c r="G7" s="63" t="str">
        <x:v>Emissions and activity</x:v>
      </x:c>
      <x:c r="H7" s="63"/>
      <x:c r="I7" s="63"/>
      <x:c r="J7" s="63"/>
      <x:c r="K7" s="63" t="str">
        <x:v>Credit controls</x:v>
      </x:c>
      <x:c r="L7" s="63"/>
      <x:c r="M7" s="63"/>
      <x:c r="N7" s="63"/>
      <x:c r="O7" s="3"/>
      <x:c r="P7" s="3"/>
      <x:c r="Q7" s="3"/>
      <x:c r="R7" s="3"/>
      <x:c r="S7" s="3"/>
      <x:c r="T7" s="3"/>
      <x:c r="U7" s="3"/>
      <x:c r="V7" s="3"/>
      <x:c r="W7" s="3"/>
      <x:c r="X7" s="3"/>
      <x:c r="Y7" s="3"/>
      <x:c r="Z7" s="3"/>
      <x:c r="AA7" s="3"/>
      <x:c r="AB7" s="3"/>
      <x:c r="AC7" s="3"/>
      <x:c r="AD7" s="3"/>
      <x:c r="AE7" s="3"/>
      <x:c r="AF7" s="3"/>
      <x:c r="AG7" s="3"/>
      <x:c r="AH7" s="3"/>
      <x:c r="AI7" s="3"/>
      <x:c r="AJ7" s="3"/>
      <x:c r="AK7" s="3"/>
      <x:c r="AL7" s="3"/>
      <x:c r="AM7" s="3"/>
      <x:c r="AN7" s="3"/>
      <x:c r="AO7" s="3"/>
      <x:c r="AP7" s="3"/>
      <x:c r="AQ7" s="3"/>
    </x:row>
    <x:row r="8" ht="46" customHeight="1">
      <x:c r="A8" s="1"/>
      <x:c r="B8" s="1"/>
      <x:c r="C8" s="15" t="str">
        <x:v>Facility ID</x:v>
      </x:c>
      <x:c r="D8" s="15" t="str">
        <x:v>Borrower ID</x:v>
      </x:c>
      <x:c r="E8" s="15" t="str">
        <x:v>PCAF asset class</x:v>
      </x:c>
      <x:c r="F8" s="15" t="str">
        <x:v>Currency</x:v>
      </x:c>
      <x:c r="G8" s="15" t="str">
        <x:v>Drawn local m</x:v>
      </x:c>
      <x:c r="H8" s="15" t="str">
        <x:v>Undrawn local m</x:v>
      </x:c>
      <x:c r="I8" s="15" t="str">
        <x:v>Accounting CCF</x:v>
      </x:c>
      <x:c r="J8" s="15" t="str">
        <x:v>Remaining years</x:v>
      </x:c>
      <x:c r="K8" s="15" t="str">
        <x:v>EIR</x:v>
      </x:c>
      <x:c r="L8" s="15" t="str">
        <x:v>Origination PD</x:v>
      </x:c>
      <x:c r="M8" s="15" t="str">
        <x:v>Days past due</x:v>
      </x:c>
      <x:c r="N8" s="15" t="str">
        <x:v>Stage override</x:v>
      </x:c>
      <x:c r="O8" s="15" t="str">
        <x:v>Origination collateral USD m</x:v>
      </x:c>
      <x:c r="P8" s="15" t="str">
        <x:v>Current collateral USD m</x:v>
      </x:c>
      <x:c r="Q8" s="15" t="str">
        <x:v>Secured recovery share</x:v>
      </x:c>
      <x:c r="R8" s="15" t="str">
        <x:v>Annual amortisation</x:v>
      </x:c>
      <x:c r="S8" s="15" t="str">
        <x:v>Approved base RW</x:v>
      </x:c>
      <x:c r="T8" s="15" t="str">
        <x:v>Loan yield</x:v>
      </x:c>
      <x:c r="U8" s="15" t="str">
        <x:v>Emissions entity ID</x:v>
      </x:c>
      <x:c r="V8" s="15" t="str">
        <x:v>Purpose</x:v>
      </x:c>
      <x:c r="W8" s="15" t="str">
        <x:v>Taxonomy activity</x:v>
      </x:c>
      <x:c r="X8" s="15" t="str">
        <x:v>Approved prudential provision USD m</x:v>
      </x:c>
      <x:c r="Y8" s="15" t="str">
        <x:v>Evidence ID</x:v>
      </x:c>
      <x:c r="Z8" s="15" t="str">
        <x:v>USD per unit</x:v>
      </x:c>
      <x:c r="AA8" s="15" t="str">
        <x:v>Drawn USD m</x:v>
      </x:c>
      <x:c r="AB8" s="15" t="str">
        <x:v>Undrawn USD m</x:v>
      </x:c>
      <x:c r="AC8" s="15" t="str">
        <x:v>Accounting EAD</x:v>
      </x:c>
      <x:c r="AD8" s="15" t="str">
        <x:v>Accounting stage</x:v>
      </x:c>
      <x:c r="AE8" s="15" t="str">
        <x:v>Credit RWA USD m</x:v>
      </x:c>
      <x:c r="AF8" s="15" t="str">
        <x:v>Input status</x:v>
      </x:c>
      <x:c r="AG8" s="15" t="str">
        <x:v>Override evidence</x:v>
      </x:c>
      <x:c r="AH8" s="15" t="str">
        <x:v>Override reviewer</x:v>
      </x:c>
      <x:c r="AI8" s="15" t="str">
        <x:v>Regulatory CCF</x:v>
      </x:c>
      <x:c r="AJ8" s="15" t="str">
        <x:v>Default RW</x:v>
      </x:c>
      <x:c r="AK8" s="15" t="str">
        <x:v>Recovery lag years</x:v>
      </x:c>
      <x:c r="AL8" s="15" t="str">
        <x:v>Expected recovery fraction</x:v>
      </x:c>
      <x:c r="AM8" s="15" t="str">
        <x:v>Qualitative SICR</x:v>
      </x:c>
      <x:c r="AN8" s="15" t="str">
        <x:v>Stress default year</x:v>
      </x:c>
      <x:c r="AO8" s="15" t="str">
        <x:v>Regulatory EAD</x:v>
      </x:c>
      <x:c r="AP8" s="15" t="str">
        <x:v>Booked undrawn provision local m (reference)</x:v>
      </x:c>
      <x:c r="AQ8" s="15" t="str">
        <x:v>Default schedule source</x:v>
      </x:c>
    </x:row>
    <x:row r="9" ht="36" customHeight="1">
      <x:c r="A9" s="1"/>
      <x:c r="B9" s="1"/>
      <x:c r="C9" s="8" t="str">
        <x:v>F001</x:v>
      </x:c>
      <x:c r="D9" s="8" t="str">
        <x:v>B001</x:v>
      </x:c>
      <x:c r="E9" s="8" t="str">
        <x:v>Corporate listed</x:v>
      </x:c>
      <x:c r="F9" s="8" t="str">
        <x:v>USD</x:v>
      </x:c>
      <x:c r="G9" s="16" t="n">
        <x:v>5</x:v>
      </x:c>
      <x:c r="H9" s="16" t="n">
        <x:v>1.5</x:v>
      </x:c>
      <x:c r="I9" s="11" t="n">
        <x:v>0.5</x:v>
      </x:c>
      <x:c r="J9" s="22" t="n">
        <x:v>12</x:v>
      </x:c>
      <x:c r="K9" s="11" t="n">
        <x:v>0.08</x:v>
      </x:c>
      <x:c r="L9" s="11" t="n">
        <x:v>0.005</x:v>
      </x:c>
      <x:c r="M9" s="22" t="n">
        <x:v>0</x:v>
      </x:c>
      <x:c r="N9" s="16" t="str">
        <x:v>Auto</x:v>
      </x:c>
      <x:c r="O9" s="16" t="n">
        <x:v>7</x:v>
      </x:c>
      <x:c r="P9" s="16" t="n">
        <x:v>6.75</x:v>
      </x:c>
      <x:c r="Q9" s="11" t="n">
        <x:v>0.65</x:v>
      </x:c>
      <x:c r="R9" s="11" t="n">
        <x:v>0.12</x:v>
      </x:c>
      <x:c r="S9" s="11" t="n">
        <x:v>1</x:v>
      </x:c>
      <x:c r="T9" s="11" t="n">
        <x:v>0.095</x:v>
      </x:c>
      <x:c r="U9" s="16" t="str">
        <x:v>B001</x:v>
      </x:c>
      <x:c r="V9" s="16" t="str">
        <x:v>General corporate</x:v>
      </x:c>
      <x:c r="W9" s="16" t="str">
        <x:v>Cement</x:v>
      </x:c>
      <x:c r="X9" s="16" t="n">
        <x:v>0.033600000000000005</x:v>
      </x:c>
      <x:c r="Y9" s="16" t="str">
        <x:v>SYN-LOAN-1</x:v>
      </x:c>
      <x:c r="Z9" s="23" t="n">
        <x:f>IF(C9="","",IFERROR(INDEX(Settings!$D$41:$D$44,MATCH(F9,Settings!$C$41:$C$44,0)),0))</x:f>
        <x:v>1</x:v>
      </x:c>
      <x:c r="AA9" s="21" t="n">
        <x:f>IF(C9="","",G9*Z9)</x:f>
        <x:v>5</x:v>
      </x:c>
      <x:c r="AB9" s="21" t="n">
        <x:f>IF(C9="","",H9*Z9)</x:f>
        <x:v>1.5</x:v>
      </x:c>
      <x:c r="AC9" s="21" t="n">
        <x:f>IF(C9="","",AA9+AB9*I9)</x:f>
        <x:v>5.75</x:v>
      </x:c>
      <x:c r="AD9" s="23" t="n">
        <x:f>IF(C9="","",IFERROR(IF(OR(INDEX(Borrowers!$Z$9:$Z$108,MATCH(D9,Borrowers!$C$9:$C$108,0))="Yes",M9&gt;=90),3,IF(AND(N9&lt;&gt;"Auto",AG9&lt;&gt;"",AH9&lt;&gt;""),VALUE(N9),IF(OR(M9&gt;=30,AM9="Yes",AND(INDEX(Borrowers!$P$9:$P$108,MATCH(D9,Borrowers!$C$9:$C$108,0))&gt;=L9*Settings!$F$19,INDEX(Borrowers!$P$9:$P$108,MATCH(D9,Borrowers!$C$9:$C$108,0))-L9&gt;=Settings!$F$20)),2,1))),"Missing borrower"))</x:f>
        <x:v>1</x:v>
      </x:c>
      <x:c r="AE9" s="21" t="n">
        <x:f>IF(C9="","",MAX(0,AA9-X9)*IF(AD9=3,AJ9,S9)+AB9*AI9*S9)</x:f>
        <x:v>5.7164</x:v>
      </x:c>
      <x:c r="AF9" s="23" t="str">
        <x:f>IF(C9="","",IF(COUNTIF($C$9:$C$108,C9)&lt;&gt;1,"Duplicate facility",IF(COUNTIF(Borrowers!$C$9:$C$108,D9)&lt;&gt;1,"Missing borrower",IF(OR(COUNT(G9:M9)&lt;&gt;7,COUNT(O9:T9)&lt;&gt;6,COUNT(AI9:AL9)&lt;&gt;4,COUNT(AN9)&lt;&gt;1,COUNT(AP9)&lt;&gt;1,COUNT(X9)&lt;&gt;1,Y9="",N9="",AM9=""),"Missing inputs",IF(OR(Z9&lt;=0,G9&lt;0,H9&lt;0,J9&lt;1,J9&gt;30,J9&lt;&gt;INT(J9),MIN(I9,K9,L9,Q9,R9,AI9,AL9)&lt;0,MAX(I9,K9,L9,Q9,R9,AI9,AL9)&gt;1,X9&lt;0,X9&gt;AA9,AP9&lt;0,M9&lt;0,M9&lt;&gt;INT(M9),S9&lt;0,T9&lt;0,AJ9&lt;0,AK9&lt;0,AK9&gt;30,AK9&lt;&gt;INT(AK9),AN9&lt;0,AN9&gt;5,AN9&gt;J9,AN9&lt;&gt;INT(AN9),AND(AN9&gt;0,AQ9=""),NOT(OR(AM9="Yes",AM9="No")),AND(N9&lt;&gt;"Auto",OR(AG9="",AH9=""))),"Review inputs",IF(INDEX(Borrowers!$AA$9:$AA$108,MATCH(D9,Borrowers!$C$9:$C$108,0))&lt;&gt;"Ready","Borrower review","Ready"))))))</x:f>
        <x:v>Ready</x:v>
      </x:c>
      <x:c r="AG9" s="16" t="str"/>
      <x:c r="AH9" s="16" t="str"/>
      <x:c r="AI9" s="11" t="n">
        <x:v>0.5</x:v>
      </x:c>
      <x:c r="AJ9" s="11" t="n">
        <x:v>1.5</x:v>
      </x:c>
      <x:c r="AK9" s="22" t="n">
        <x:v>2</x:v>
      </x:c>
      <x:c r="AL9" s="11" t="n">
        <x:v>0.55</x:v>
      </x:c>
      <x:c r="AM9" s="16" t="str">
        <x:v>No</x:v>
      </x:c>
      <x:c r="AN9" s="22" t="n">
        <x:v>0</x:v>
      </x:c>
      <x:c r="AO9" s="21" t="n">
        <x:f>IF(C9="","",AA9+AB9*AI9)</x:f>
        <x:v>5.75</x:v>
      </x:c>
      <x:c r="AP9" s="16" t="n">
        <x:v>0.006</x:v>
      </x:c>
      <x:c r="AQ9" s="8" t="str">
        <x:v>Synthetic conditional default schedule</x:v>
      </x:c>
    </x:row>
    <x:row r="10" ht="36" customHeight="1">
      <x:c r="A10" s="1"/>
      <x:c r="B10" s="1"/>
      <x:c r="C10" s="8" t="str">
        <x:v>F002</x:v>
      </x:c>
      <x:c r="D10" s="8" t="str">
        <x:v>B001</x:v>
      </x:c>
      <x:c r="E10" s="8" t="str">
        <x:v>Corporate listed</x:v>
      </x:c>
      <x:c r="F10" s="8" t="str">
        <x:v>USD</x:v>
      </x:c>
      <x:c r="G10" s="16" t="n">
        <x:v>2.5</x:v>
      </x:c>
      <x:c r="H10" s="16" t="n">
        <x:v>0.5</x:v>
      </x:c>
      <x:c r="I10" s="11" t="n">
        <x:v>0.5</x:v>
      </x:c>
      <x:c r="J10" s="22" t="n">
        <x:v>12</x:v>
      </x:c>
      <x:c r="K10" s="11" t="n">
        <x:v>0.08</x:v>
      </x:c>
      <x:c r="L10" s="11" t="n">
        <x:v>0.005</x:v>
      </x:c>
      <x:c r="M10" s="22" t="n">
        <x:v>0</x:v>
      </x:c>
      <x:c r="N10" s="16" t="str">
        <x:v>Auto</x:v>
      </x:c>
      <x:c r="O10" s="16" t="n">
        <x:v>3.5</x:v>
      </x:c>
      <x:c r="P10" s="16" t="n">
        <x:v>3.375</x:v>
      </x:c>
      <x:c r="Q10" s="11" t="n">
        <x:v>0.65</x:v>
      </x:c>
      <x:c r="R10" s="11" t="n">
        <x:v>0.12</x:v>
      </x:c>
      <x:c r="S10" s="11" t="n">
        <x:v>1</x:v>
      </x:c>
      <x:c r="T10" s="11" t="n">
        <x:v>0.095</x:v>
      </x:c>
      <x:c r="U10" s="16" t="str">
        <x:v>B001</x:v>
      </x:c>
      <x:c r="V10" s="16" t="str">
        <x:v>General corporate</x:v>
      </x:c>
      <x:c r="W10" s="16" t="str">
        <x:v>Cement</x:v>
      </x:c>
      <x:c r="X10" s="16" t="n">
        <x:v>0.016800000000000002</x:v>
      </x:c>
      <x:c r="Y10" s="16" t="str">
        <x:v>SYN-LOAN-2</x:v>
      </x:c>
      <x:c r="Z10" s="23" t="n">
        <x:f>IF(C10="","",IFERROR(INDEX(Settings!$D$41:$D$44,MATCH(F10,Settings!$C$41:$C$44,0)),0))</x:f>
        <x:v>1</x:v>
      </x:c>
      <x:c r="AA10" s="21" t="n">
        <x:f>IF(C10="","",G10*Z10)</x:f>
        <x:v>2.5</x:v>
      </x:c>
      <x:c r="AB10" s="21" t="n">
        <x:f>IF(C10="","",H10*Z10)</x:f>
        <x:v>0.5</x:v>
      </x:c>
      <x:c r="AC10" s="21" t="n">
        <x:f>IF(C10="","",AA10+AB10*I10)</x:f>
        <x:v>2.75</x:v>
      </x:c>
      <x:c r="AD10" s="23" t="n">
        <x:f>IF(C10="","",IFERROR(IF(OR(INDEX(Borrowers!$Z$9:$Z$108,MATCH(D10,Borrowers!$C$9:$C$108,0))="Yes",M10&gt;=90),3,IF(AND(N10&lt;&gt;"Auto",AG10&lt;&gt;"",AH10&lt;&gt;""),VALUE(N10),IF(OR(M10&gt;=30,AM10="Yes",AND(INDEX(Borrowers!$P$9:$P$108,MATCH(D10,Borrowers!$C$9:$C$108,0))&gt;=L10*Settings!$F$19,INDEX(Borrowers!$P$9:$P$108,MATCH(D10,Borrowers!$C$9:$C$108,0))-L10&gt;=Settings!$F$20)),2,1))),"Missing borrower"))</x:f>
        <x:v>1</x:v>
      </x:c>
      <x:c r="AE10" s="21" t="n">
        <x:f>IF(C10="","",MAX(0,AA10-X10)*IF(AD10=3,AJ10,S10)+AB10*AI10*S10)</x:f>
        <x:v>2.7332</x:v>
      </x:c>
      <x:c r="AF10" s="23" t="str">
        <x:f>IF(C10="","",IF(COUNTIF($C$9:$C$108,C10)&lt;&gt;1,"Duplicate facility",IF(COUNTIF(Borrowers!$C$9:$C$108,D10)&lt;&gt;1,"Missing borrower",IF(OR(COUNT(G10:M10)&lt;&gt;7,COUNT(O10:T10)&lt;&gt;6,COUNT(AI10:AL10)&lt;&gt;4,COUNT(AN10)&lt;&gt;1,COUNT(AP10)&lt;&gt;1,COUNT(X10)&lt;&gt;1,Y10="",N10="",AM10=""),"Missing inputs",IF(OR(Z10&lt;=0,G10&lt;0,H10&lt;0,J10&lt;1,J10&gt;30,J10&lt;&gt;INT(J10),MIN(I10,K10,L10,Q10,R10,AI10,AL10)&lt;0,MAX(I10,K10,L10,Q10,R10,AI10,AL10)&gt;1,X10&lt;0,X10&gt;AA10,AP10&lt;0,M10&lt;0,M10&lt;&gt;INT(M10),S10&lt;0,T10&lt;0,AJ10&lt;0,AK10&lt;0,AK10&gt;30,AK10&lt;&gt;INT(AK10),AN10&lt;0,AN10&gt;5,AN10&gt;J10,AN10&lt;&gt;INT(AN10),AND(AN10&gt;0,AQ10=""),NOT(OR(AM10="Yes",AM10="No")),AND(N10&lt;&gt;"Auto",OR(AG10="",AH10=""))),"Review inputs",IF(INDEX(Borrowers!$AA$9:$AA$108,MATCH(D10,Borrowers!$C$9:$C$108,0))&lt;&gt;"Ready","Borrower review","Ready"))))))</x:f>
        <x:v>Ready</x:v>
      </x:c>
      <x:c r="AG10" s="16" t="str"/>
      <x:c r="AH10" s="16" t="str"/>
      <x:c r="AI10" s="11" t="n">
        <x:v>0.5</x:v>
      </x:c>
      <x:c r="AJ10" s="11" t="n">
        <x:v>1.5</x:v>
      </x:c>
      <x:c r="AK10" s="22" t="n">
        <x:v>2</x:v>
      </x:c>
      <x:c r="AL10" s="11" t="n">
        <x:v>0.55</x:v>
      </x:c>
      <x:c r="AM10" s="16" t="str">
        <x:v>No</x:v>
      </x:c>
      <x:c r="AN10" s="22" t="n">
        <x:v>0</x:v>
      </x:c>
      <x:c r="AO10" s="21" t="n">
        <x:f>IF(C10="","",AA10+AB10*AI10)</x:f>
        <x:v>2.75</x:v>
      </x:c>
      <x:c r="AP10" s="16" t="n">
        <x:v>0.002</x:v>
      </x:c>
      <x:c r="AQ10" s="8" t="str">
        <x:v>Synthetic conditional default schedule</x:v>
      </x:c>
    </x:row>
    <x:row r="11" ht="36" customHeight="1">
      <x:c r="A11" s="1"/>
      <x:c r="B11" s="1"/>
      <x:c r="C11" s="8" t="str">
        <x:v>F003</x:v>
      </x:c>
      <x:c r="D11" s="8" t="str">
        <x:v>B002</x:v>
      </x:c>
      <x:c r="E11" s="8" t="str">
        <x:v>Corporate private</x:v>
      </x:c>
      <x:c r="F11" s="8" t="str">
        <x:v>USD</x:v>
      </x:c>
      <x:c r="G11" s="16" t="n">
        <x:v>5.35</x:v>
      </x:c>
      <x:c r="H11" s="16" t="n">
        <x:v>1.5</x:v>
      </x:c>
      <x:c r="I11" s="11" t="n">
        <x:v>0.5</x:v>
      </x:c>
      <x:c r="J11" s="22" t="n">
        <x:v>6</x:v>
      </x:c>
      <x:c r="K11" s="11" t="n">
        <x:v>0.08</x:v>
      </x:c>
      <x:c r="L11" s="11" t="n">
        <x:v>0.018000000000000002</x:v>
      </x:c>
      <x:c r="M11" s="22" t="n">
        <x:v>0</x:v>
      </x:c>
      <x:c r="N11" s="16" t="str">
        <x:v>Auto</x:v>
      </x:c>
      <x:c r="O11" s="16" t="n">
        <x:v>7.489999999999999</x:v>
      </x:c>
      <x:c r="P11" s="16" t="n">
        <x:v>7.2225</x:v>
      </x:c>
      <x:c r="Q11" s="11" t="n">
        <x:v>0.65</x:v>
      </x:c>
      <x:c r="R11" s="11" t="n">
        <x:v>0.12</x:v>
      </x:c>
      <x:c r="S11" s="11" t="n">
        <x:v>1</x:v>
      </x:c>
      <x:c r="T11" s="11" t="n">
        <x:v>0.095</x:v>
      </x:c>
      <x:c r="U11" s="16" t="str">
        <x:v>B002</x:v>
      </x:c>
      <x:c r="V11" s="16" t="str">
        <x:v>General corporate</x:v>
      </x:c>
      <x:c r="W11" s="16" t="str">
        <x:v>Solar PV</x:v>
      </x:c>
      <x:c r="X11" s="16" t="n">
        <x:v>0.061632000000000006</x:v>
      </x:c>
      <x:c r="Y11" s="16" t="str">
        <x:v>SYN-LOAN-3</x:v>
      </x:c>
      <x:c r="Z11" s="23" t="n">
        <x:f>IF(C11="","",IFERROR(INDEX(Settings!$D$41:$D$44,MATCH(F11,Settings!$C$41:$C$44,0)),0))</x:f>
        <x:v>1</x:v>
      </x:c>
      <x:c r="AA11" s="21" t="n">
        <x:f>IF(C11="","",G11*Z11)</x:f>
        <x:v>5.35</x:v>
      </x:c>
      <x:c r="AB11" s="21" t="n">
        <x:f>IF(C11="","",H11*Z11)</x:f>
        <x:v>1.5</x:v>
      </x:c>
      <x:c r="AC11" s="21" t="n">
        <x:f>IF(C11="","",AA11+AB11*I11)</x:f>
        <x:v>6.1</x:v>
      </x:c>
      <x:c r="AD11" s="23" t="n">
        <x:f>IF(C11="","",IFERROR(IF(OR(INDEX(Borrowers!$Z$9:$Z$108,MATCH(D11,Borrowers!$C$9:$C$108,0))="Yes",M11&gt;=90),3,IF(AND(N11&lt;&gt;"Auto",AG11&lt;&gt;"",AH11&lt;&gt;""),VALUE(N11),IF(OR(M11&gt;=30,AM11="Yes",AND(INDEX(Borrowers!$P$9:$P$108,MATCH(D11,Borrowers!$C$9:$C$108,0))&gt;=L11*Settings!$F$19,INDEX(Borrowers!$P$9:$P$108,MATCH(D11,Borrowers!$C$9:$C$108,0))-L11&gt;=Settings!$F$20)),2,1))),"Missing borrower"))</x:f>
        <x:v>1</x:v>
      </x:c>
      <x:c r="AE11" s="21" t="n">
        <x:f>IF(C11="","",MAX(0,AA11-X11)*IF(AD11=3,AJ11,S11)+AB11*AI11*S11)</x:f>
        <x:v>6.038367999999999</x:v>
      </x:c>
      <x:c r="AF11" s="23" t="str">
        <x:f>IF(C11="","",IF(COUNTIF($C$9:$C$108,C11)&lt;&gt;1,"Duplicate facility",IF(COUNTIF(Borrowers!$C$9:$C$108,D11)&lt;&gt;1,"Missing borrower",IF(OR(COUNT(G11:M11)&lt;&gt;7,COUNT(O11:T11)&lt;&gt;6,COUNT(AI11:AL11)&lt;&gt;4,COUNT(AN11)&lt;&gt;1,COUNT(AP11)&lt;&gt;1,COUNT(X11)&lt;&gt;1,Y11="",N11="",AM11=""),"Missing inputs",IF(OR(Z11&lt;=0,G11&lt;0,H11&lt;0,J11&lt;1,J11&gt;30,J11&lt;&gt;INT(J11),MIN(I11,K11,L11,Q11,R11,AI11,AL11)&lt;0,MAX(I11,K11,L11,Q11,R11,AI11,AL11)&gt;1,X11&lt;0,X11&gt;AA11,AP11&lt;0,M11&lt;0,M11&lt;&gt;INT(M11),S11&lt;0,T11&lt;0,AJ11&lt;0,AK11&lt;0,AK11&gt;30,AK11&lt;&gt;INT(AK11),AN11&lt;0,AN11&gt;5,AN11&gt;J11,AN11&lt;&gt;INT(AN11),AND(AN11&gt;0,AQ11=""),NOT(OR(AM11="Yes",AM11="No")),AND(N11&lt;&gt;"Auto",OR(AG11="",AH11=""))),"Review inputs",IF(INDEX(Borrowers!$AA$9:$AA$108,MATCH(D11,Borrowers!$C$9:$C$108,0))&lt;&gt;"Ready","Borrower review","Ready"))))))</x:f>
        <x:v>Ready</x:v>
      </x:c>
      <x:c r="AG11" s="16" t="str"/>
      <x:c r="AH11" s="16" t="str"/>
      <x:c r="AI11" s="11" t="n">
        <x:v>0.5</x:v>
      </x:c>
      <x:c r="AJ11" s="11" t="n">
        <x:v>1.5</x:v>
      </x:c>
      <x:c r="AK11" s="22" t="n">
        <x:v>2</x:v>
      </x:c>
      <x:c r="AL11" s="11" t="n">
        <x:v>0.55</x:v>
      </x:c>
      <x:c r="AM11" s="16" t="str">
        <x:v>No</x:v>
      </x:c>
      <x:c r="AN11" s="22" t="n">
        <x:v>0</x:v>
      </x:c>
      <x:c r="AO11" s="21" t="n">
        <x:f>IF(C11="","",AA11+AB11*AI11)</x:f>
        <x:v>6.1</x:v>
      </x:c>
      <x:c r="AP11" s="16" t="n">
        <x:v>0.006</x:v>
      </x:c>
      <x:c r="AQ11" s="8" t="str">
        <x:v>Synthetic conditional default schedule</x:v>
      </x:c>
    </x:row>
    <x:row r="12" ht="36" customHeight="1">
      <x:c r="A12" s="1"/>
      <x:c r="B12" s="1"/>
      <x:c r="C12" s="8" t="str">
        <x:v>F004</x:v>
      </x:c>
      <x:c r="D12" s="8" t="str">
        <x:v>B002</x:v>
      </x:c>
      <x:c r="E12" s="8" t="str">
        <x:v>Project finance</x:v>
      </x:c>
      <x:c r="F12" s="8" t="str">
        <x:v>USD</x:v>
      </x:c>
      <x:c r="G12" s="16" t="n">
        <x:v>2.85</x:v>
      </x:c>
      <x:c r="H12" s="16" t="n">
        <x:v>0.5</x:v>
      </x:c>
      <x:c r="I12" s="11" t="n">
        <x:v>0.5</x:v>
      </x:c>
      <x:c r="J12" s="22" t="n">
        <x:v>6</x:v>
      </x:c>
      <x:c r="K12" s="11" t="n">
        <x:v>0.08</x:v>
      </x:c>
      <x:c r="L12" s="11" t="n">
        <x:v>0.018000000000000002</x:v>
      </x:c>
      <x:c r="M12" s="22" t="n">
        <x:v>0</x:v>
      </x:c>
      <x:c r="N12" s="16" t="str">
        <x:v>Auto</x:v>
      </x:c>
      <x:c r="O12" s="16" t="n">
        <x:v>3.9899999999999998</x:v>
      </x:c>
      <x:c r="P12" s="16" t="n">
        <x:v>3.8475000000000006</x:v>
      </x:c>
      <x:c r="Q12" s="11" t="n">
        <x:v>0.65</x:v>
      </x:c>
      <x:c r="R12" s="11" t="n">
        <x:v>0.12</x:v>
      </x:c>
      <x:c r="S12" s="11" t="n">
        <x:v>1</x:v>
      </x:c>
      <x:c r="T12" s="11" t="n">
        <x:v>0.095</x:v>
      </x:c>
      <x:c r="U12" s="16" t="str">
        <x:v>A002</x:v>
      </x:c>
      <x:c r="V12" s="16" t="str">
        <x:v>Designated asset</x:v>
      </x:c>
      <x:c r="W12" s="16" t="str">
        <x:v>Solar PV</x:v>
      </x:c>
      <x:c r="X12" s="16" t="n">
        <x:v>0.03283200000000001</x:v>
      </x:c>
      <x:c r="Y12" s="16" t="str">
        <x:v>SYN-LOAN-4</x:v>
      </x:c>
      <x:c r="Z12" s="23" t="n">
        <x:f>IF(C12="","",IFERROR(INDEX(Settings!$D$41:$D$44,MATCH(F12,Settings!$C$41:$C$44,0)),0))</x:f>
        <x:v>1</x:v>
      </x:c>
      <x:c r="AA12" s="21" t="n">
        <x:f>IF(C12="","",G12*Z12)</x:f>
        <x:v>2.85</x:v>
      </x:c>
      <x:c r="AB12" s="21" t="n">
        <x:f>IF(C12="","",H12*Z12)</x:f>
        <x:v>0.5</x:v>
      </x:c>
      <x:c r="AC12" s="21" t="n">
        <x:f>IF(C12="","",AA12+AB12*I12)</x:f>
        <x:v>3.1</x:v>
      </x:c>
      <x:c r="AD12" s="23" t="n">
        <x:f>IF(C12="","",IFERROR(IF(OR(INDEX(Borrowers!$Z$9:$Z$108,MATCH(D12,Borrowers!$C$9:$C$108,0))="Yes",M12&gt;=90),3,IF(AND(N12&lt;&gt;"Auto",AG12&lt;&gt;"",AH12&lt;&gt;""),VALUE(N12),IF(OR(M12&gt;=30,AM12="Yes",AND(INDEX(Borrowers!$P$9:$P$108,MATCH(D12,Borrowers!$C$9:$C$108,0))&gt;=L12*Settings!$F$19,INDEX(Borrowers!$P$9:$P$108,MATCH(D12,Borrowers!$C$9:$C$108,0))-L12&gt;=Settings!$F$20)),2,1))),"Missing borrower"))</x:f>
        <x:v>1</x:v>
      </x:c>
      <x:c r="AE12" s="21" t="n">
        <x:f>IF(C12="","",MAX(0,AA12-X12)*IF(AD12=3,AJ12,S12)+AB12*AI12*S12)</x:f>
        <x:v>3.067168</x:v>
      </x:c>
      <x:c r="AF12" s="23" t="str">
        <x:f>IF(C12="","",IF(COUNTIF($C$9:$C$108,C12)&lt;&gt;1,"Duplicate facility",IF(COUNTIF(Borrowers!$C$9:$C$108,D12)&lt;&gt;1,"Missing borrower",IF(OR(COUNT(G12:M12)&lt;&gt;7,COUNT(O12:T12)&lt;&gt;6,COUNT(AI12:AL12)&lt;&gt;4,COUNT(AN12)&lt;&gt;1,COUNT(AP12)&lt;&gt;1,COUNT(X12)&lt;&gt;1,Y12="",N12="",AM12=""),"Missing inputs",IF(OR(Z12&lt;=0,G12&lt;0,H12&lt;0,J12&lt;1,J12&gt;30,J12&lt;&gt;INT(J12),MIN(I12,K12,L12,Q12,R12,AI12,AL12)&lt;0,MAX(I12,K12,L12,Q12,R12,AI12,AL12)&gt;1,X12&lt;0,X12&gt;AA12,AP12&lt;0,M12&lt;0,M12&lt;&gt;INT(M12),S12&lt;0,T12&lt;0,AJ12&lt;0,AK12&lt;0,AK12&gt;30,AK12&lt;&gt;INT(AK12),AN12&lt;0,AN12&gt;5,AN12&gt;J12,AN12&lt;&gt;INT(AN12),AND(AN12&gt;0,AQ12=""),NOT(OR(AM12="Yes",AM12="No")),AND(N12&lt;&gt;"Auto",OR(AG12="",AH12=""))),"Review inputs",IF(INDEX(Borrowers!$AA$9:$AA$108,MATCH(D12,Borrowers!$C$9:$C$108,0))&lt;&gt;"Ready","Borrower review","Ready"))))))</x:f>
        <x:v>Ready</x:v>
      </x:c>
      <x:c r="AG12" s="16" t="str"/>
      <x:c r="AH12" s="16" t="str"/>
      <x:c r="AI12" s="11" t="n">
        <x:v>0.5</x:v>
      </x:c>
      <x:c r="AJ12" s="11" t="n">
        <x:v>1.5</x:v>
      </x:c>
      <x:c r="AK12" s="22" t="n">
        <x:v>2</x:v>
      </x:c>
      <x:c r="AL12" s="11" t="n">
        <x:v>0.55</x:v>
      </x:c>
      <x:c r="AM12" s="16" t="str">
        <x:v>No</x:v>
      </x:c>
      <x:c r="AN12" s="22" t="n">
        <x:v>0</x:v>
      </x:c>
      <x:c r="AO12" s="21" t="n">
        <x:f>IF(C12="","",AA12+AB12*AI12)</x:f>
        <x:v>3.1</x:v>
      </x:c>
      <x:c r="AP12" s="16" t="n">
        <x:v>0.002</x:v>
      </x:c>
      <x:c r="AQ12" s="8" t="str">
        <x:v>Synthetic conditional default schedule</x:v>
      </x:c>
    </x:row>
    <x:row r="13" ht="36" customHeight="1">
      <x:c r="A13" s="1"/>
      <x:c r="B13" s="1"/>
      <x:c r="C13" s="8" t="str">
        <x:v>F005</x:v>
      </x:c>
      <x:c r="D13" s="8" t="str">
        <x:v>B003</x:v>
      </x:c>
      <x:c r="E13" s="8" t="str">
        <x:v>Corporate private</x:v>
      </x:c>
      <x:c r="F13" s="8" t="str">
        <x:v>USD</x:v>
      </x:c>
      <x:c r="G13" s="16" t="n">
        <x:v>5.7</x:v>
      </x:c>
      <x:c r="H13" s="16" t="n">
        <x:v>1.5</x:v>
      </x:c>
      <x:c r="I13" s="11" t="n">
        <x:v>0.5</x:v>
      </x:c>
      <x:c r="J13" s="22" t="n">
        <x:v>7</x:v>
      </x:c>
      <x:c r="K13" s="11" t="n">
        <x:v>0.08</x:v>
      </x:c>
      <x:c r="L13" s="11" t="n">
        <x:v>0.024</x:v>
      </x:c>
      <x:c r="M13" s="22" t="n">
        <x:v>0</x:v>
      </x:c>
      <x:c r="N13" s="16" t="str">
        <x:v>Auto</x:v>
      </x:c>
      <x:c r="O13" s="16" t="n">
        <x:v>7.9799999999999995</x:v>
      </x:c>
      <x:c r="P13" s="16" t="n">
        <x:v>7.695000000000001</x:v>
      </x:c>
      <x:c r="Q13" s="11" t="n">
        <x:v>0.65</x:v>
      </x:c>
      <x:c r="R13" s="11" t="n">
        <x:v>0.12</x:v>
      </x:c>
      <x:c r="S13" s="11" t="n">
        <x:v>1</x:v>
      </x:c>
      <x:c r="T13" s="11" t="n">
        <x:v>0.095</x:v>
      </x:c>
      <x:c r="U13" s="16" t="str">
        <x:v>B003</x:v>
      </x:c>
      <x:c r="V13" s="16" t="str">
        <x:v>General corporate</x:v>
      </x:c>
      <x:c r="W13" s="16" t="str">
        <x:v>Road freight</x:v>
      </x:c>
      <x:c r="X13" s="16" t="n">
        <x:v>0.09849600000000001</x:v>
      </x:c>
      <x:c r="Y13" s="16" t="str">
        <x:v>SYN-LOAN-5</x:v>
      </x:c>
      <x:c r="Z13" s="23" t="n">
        <x:f>IF(C13="","",IFERROR(INDEX(Settings!$D$41:$D$44,MATCH(F13,Settings!$C$41:$C$44,0)),0))</x:f>
        <x:v>1</x:v>
      </x:c>
      <x:c r="AA13" s="21" t="n">
        <x:f>IF(C13="","",G13*Z13)</x:f>
        <x:v>5.7</x:v>
      </x:c>
      <x:c r="AB13" s="21" t="n">
        <x:f>IF(C13="","",H13*Z13)</x:f>
        <x:v>1.5</x:v>
      </x:c>
      <x:c r="AC13" s="21" t="n">
        <x:f>IF(C13="","",AA13+AB13*I13)</x:f>
        <x:v>6.45</x:v>
      </x:c>
      <x:c r="AD13" s="23" t="n">
        <x:f>IF(C13="","",IFERROR(IF(OR(INDEX(Borrowers!$Z$9:$Z$108,MATCH(D13,Borrowers!$C$9:$C$108,0))="Yes",M13&gt;=90),3,IF(AND(N13&lt;&gt;"Auto",AG13&lt;&gt;"",AH13&lt;&gt;""),VALUE(N13),IF(OR(M13&gt;=30,AM13="Yes",AND(INDEX(Borrowers!$P$9:$P$108,MATCH(D13,Borrowers!$C$9:$C$108,0))&gt;=L13*Settings!$F$19,INDEX(Borrowers!$P$9:$P$108,MATCH(D13,Borrowers!$C$9:$C$108,0))-L13&gt;=Settings!$F$20)),2,1))),"Missing borrower"))</x:f>
        <x:v>1</x:v>
      </x:c>
      <x:c r="AE13" s="21" t="n">
        <x:f>IF(C13="","",MAX(0,AA13-X13)*IF(AD13=3,AJ13,S13)+AB13*AI13*S13)</x:f>
        <x:v>6.351504</x:v>
      </x:c>
      <x:c r="AF13" s="23" t="str">
        <x:f>IF(C13="","",IF(COUNTIF($C$9:$C$108,C13)&lt;&gt;1,"Duplicate facility",IF(COUNTIF(Borrowers!$C$9:$C$108,D13)&lt;&gt;1,"Missing borrower",IF(OR(COUNT(G13:M13)&lt;&gt;7,COUNT(O13:T13)&lt;&gt;6,COUNT(AI13:AL13)&lt;&gt;4,COUNT(AN13)&lt;&gt;1,COUNT(AP13)&lt;&gt;1,COUNT(X13)&lt;&gt;1,Y13="",N13="",AM13=""),"Missing inputs",IF(OR(Z13&lt;=0,G13&lt;0,H13&lt;0,J13&lt;1,J13&gt;30,J13&lt;&gt;INT(J13),MIN(I13,K13,L13,Q13,R13,AI13,AL13)&lt;0,MAX(I13,K13,L13,Q13,R13,AI13,AL13)&gt;1,X13&lt;0,X13&gt;AA13,AP13&lt;0,M13&lt;0,M13&lt;&gt;INT(M13),S13&lt;0,T13&lt;0,AJ13&lt;0,AK13&lt;0,AK13&gt;30,AK13&lt;&gt;INT(AK13),AN13&lt;0,AN13&gt;5,AN13&gt;J13,AN13&lt;&gt;INT(AN13),AND(AN13&gt;0,AQ13=""),NOT(OR(AM13="Yes",AM13="No")),AND(N13&lt;&gt;"Auto",OR(AG13="",AH13=""))),"Review inputs",IF(INDEX(Borrowers!$AA$9:$AA$108,MATCH(D13,Borrowers!$C$9:$C$108,0))&lt;&gt;"Ready","Borrower review","Ready"))))))</x:f>
        <x:v>Ready</x:v>
      </x:c>
      <x:c r="AG13" s="16" t="str"/>
      <x:c r="AH13" s="16" t="str"/>
      <x:c r="AI13" s="11" t="n">
        <x:v>0.5</x:v>
      </x:c>
      <x:c r="AJ13" s="11" t="n">
        <x:v>1.5</x:v>
      </x:c>
      <x:c r="AK13" s="22" t="n">
        <x:v>2</x:v>
      </x:c>
      <x:c r="AL13" s="11" t="n">
        <x:v>0.55</x:v>
      </x:c>
      <x:c r="AM13" s="16" t="str">
        <x:v>No</x:v>
      </x:c>
      <x:c r="AN13" s="22" t="n">
        <x:v>0</x:v>
      </x:c>
      <x:c r="AO13" s="21" t="n">
        <x:f>IF(C13="","",AA13+AB13*AI13)</x:f>
        <x:v>6.45</x:v>
      </x:c>
      <x:c r="AP13" s="16" t="n">
        <x:v>0.006</x:v>
      </x:c>
      <x:c r="AQ13" s="8" t="str">
        <x:v>Synthetic conditional default schedule</x:v>
      </x:c>
    </x:row>
    <x:row r="14" ht="36" customHeight="1">
      <x:c r="A14" s="1"/>
      <x:c r="B14" s="1"/>
      <x:c r="C14" s="8" t="str">
        <x:v>F006</x:v>
      </x:c>
      <x:c r="D14" s="8" t="str">
        <x:v>B003</x:v>
      </x:c>
      <x:c r="E14" s="8" t="str">
        <x:v>Motor</x:v>
      </x:c>
      <x:c r="F14" s="8" t="str">
        <x:v>USD</x:v>
      </x:c>
      <x:c r="G14" s="16" t="n">
        <x:v>3.2</x:v>
      </x:c>
      <x:c r="H14" s="16" t="n">
        <x:v>0.5</x:v>
      </x:c>
      <x:c r="I14" s="11" t="n">
        <x:v>0.5</x:v>
      </x:c>
      <x:c r="J14" s="22" t="n">
        <x:v>7</x:v>
      </x:c>
      <x:c r="K14" s="11" t="n">
        <x:v>0.08</x:v>
      </x:c>
      <x:c r="L14" s="11" t="n">
        <x:v>0.024</x:v>
      </x:c>
      <x:c r="M14" s="22" t="n">
        <x:v>0</x:v>
      </x:c>
      <x:c r="N14" s="16" t="str">
        <x:v>Auto</x:v>
      </x:c>
      <x:c r="O14" s="16" t="n">
        <x:v>4.4799999999999995</x:v>
      </x:c>
      <x:c r="P14" s="16" t="n">
        <x:v>4.32</x:v>
      </x:c>
      <x:c r="Q14" s="11" t="n">
        <x:v>0.65</x:v>
      </x:c>
      <x:c r="R14" s="11" t="n">
        <x:v>0.12</x:v>
      </x:c>
      <x:c r="S14" s="11" t="n">
        <x:v>1</x:v>
      </x:c>
      <x:c r="T14" s="11" t="n">
        <x:v>0.095</x:v>
      </x:c>
      <x:c r="U14" s="16" t="str">
        <x:v>A003</x:v>
      </x:c>
      <x:c r="V14" s="16" t="str">
        <x:v>Designated asset</x:v>
      </x:c>
      <x:c r="W14" s="16" t="str">
        <x:v>Road freight</x:v>
      </x:c>
      <x:c r="X14" s="16" t="n">
        <x:v>0.05529600000000001</x:v>
      </x:c>
      <x:c r="Y14" s="16" t="str">
        <x:v>SYN-LOAN-6</x:v>
      </x:c>
      <x:c r="Z14" s="23" t="n">
        <x:f>IF(C14="","",IFERROR(INDEX(Settings!$D$41:$D$44,MATCH(F14,Settings!$C$41:$C$44,0)),0))</x:f>
        <x:v>1</x:v>
      </x:c>
      <x:c r="AA14" s="21" t="n">
        <x:f>IF(C14="","",G14*Z14)</x:f>
        <x:v>3.2</x:v>
      </x:c>
      <x:c r="AB14" s="21" t="n">
        <x:f>IF(C14="","",H14*Z14)</x:f>
        <x:v>0.5</x:v>
      </x:c>
      <x:c r="AC14" s="21" t="n">
        <x:f>IF(C14="","",AA14+AB14*I14)</x:f>
        <x:v>3.45</x:v>
      </x:c>
      <x:c r="AD14" s="23" t="n">
        <x:f>IF(C14="","",IFERROR(IF(OR(INDEX(Borrowers!$Z$9:$Z$108,MATCH(D14,Borrowers!$C$9:$C$108,0))="Yes",M14&gt;=90),3,IF(AND(N14&lt;&gt;"Auto",AG14&lt;&gt;"",AH14&lt;&gt;""),VALUE(N14),IF(OR(M14&gt;=30,AM14="Yes",AND(INDEX(Borrowers!$P$9:$P$108,MATCH(D14,Borrowers!$C$9:$C$108,0))&gt;=L14*Settings!$F$19,INDEX(Borrowers!$P$9:$P$108,MATCH(D14,Borrowers!$C$9:$C$108,0))-L14&gt;=Settings!$F$20)),2,1))),"Missing borrower"))</x:f>
        <x:v>1</x:v>
      </x:c>
      <x:c r="AE14" s="21" t="n">
        <x:f>IF(C14="","",MAX(0,AA14-X14)*IF(AD14=3,AJ14,S14)+AB14*AI14*S14)</x:f>
        <x:v>3.394704</x:v>
      </x:c>
      <x:c r="AF14" s="23" t="str">
        <x:f>IF(C14="","",IF(COUNTIF($C$9:$C$108,C14)&lt;&gt;1,"Duplicate facility",IF(COUNTIF(Borrowers!$C$9:$C$108,D14)&lt;&gt;1,"Missing borrower",IF(OR(COUNT(G14:M14)&lt;&gt;7,COUNT(O14:T14)&lt;&gt;6,COUNT(AI14:AL14)&lt;&gt;4,COUNT(AN14)&lt;&gt;1,COUNT(AP14)&lt;&gt;1,COUNT(X14)&lt;&gt;1,Y14="",N14="",AM14=""),"Missing inputs",IF(OR(Z14&lt;=0,G14&lt;0,H14&lt;0,J14&lt;1,J14&gt;30,J14&lt;&gt;INT(J14),MIN(I14,K14,L14,Q14,R14,AI14,AL14)&lt;0,MAX(I14,K14,L14,Q14,R14,AI14,AL14)&gt;1,X14&lt;0,X14&gt;AA14,AP14&lt;0,M14&lt;0,M14&lt;&gt;INT(M14),S14&lt;0,T14&lt;0,AJ14&lt;0,AK14&lt;0,AK14&gt;30,AK14&lt;&gt;INT(AK14),AN14&lt;0,AN14&gt;5,AN14&gt;J14,AN14&lt;&gt;INT(AN14),AND(AN14&gt;0,AQ14=""),NOT(OR(AM14="Yes",AM14="No")),AND(N14&lt;&gt;"Auto",OR(AG14="",AH14=""))),"Review inputs",IF(INDEX(Borrowers!$AA$9:$AA$108,MATCH(D14,Borrowers!$C$9:$C$108,0))&lt;&gt;"Ready","Borrower review","Ready"))))))</x:f>
        <x:v>Ready</x:v>
      </x:c>
      <x:c r="AG14" s="16" t="str"/>
      <x:c r="AH14" s="16" t="str"/>
      <x:c r="AI14" s="11" t="n">
        <x:v>0.5</x:v>
      </x:c>
      <x:c r="AJ14" s="11" t="n">
        <x:v>1.5</x:v>
      </x:c>
      <x:c r="AK14" s="22" t="n">
        <x:v>2</x:v>
      </x:c>
      <x:c r="AL14" s="11" t="n">
        <x:v>0.55</x:v>
      </x:c>
      <x:c r="AM14" s="16" t="str">
        <x:v>No</x:v>
      </x:c>
      <x:c r="AN14" s="22" t="n">
        <x:v>0</x:v>
      </x:c>
      <x:c r="AO14" s="21" t="n">
        <x:f>IF(C14="","",AA14+AB14*AI14)</x:f>
        <x:v>3.45</x:v>
      </x:c>
      <x:c r="AP14" s="16" t="n">
        <x:v>0.002</x:v>
      </x:c>
      <x:c r="AQ14" s="8" t="str">
        <x:v>Synthetic conditional default schedule</x:v>
      </x:c>
    </x:row>
    <x:row r="15" ht="36" customHeight="1">
      <x:c r="A15" s="1"/>
      <x:c r="B15" s="1"/>
      <x:c r="C15" s="8" t="str">
        <x:v>F007</x:v>
      </x:c>
      <x:c r="D15" s="8" t="str">
        <x:v>B004</x:v>
      </x:c>
      <x:c r="E15" s="8" t="str">
        <x:v>Corporate private</x:v>
      </x:c>
      <x:c r="F15" s="8" t="str">
        <x:v>USD</x:v>
      </x:c>
      <x:c r="G15" s="16" t="n">
        <x:v>6.05</x:v>
      </x:c>
      <x:c r="H15" s="16" t="n">
        <x:v>1.5</x:v>
      </x:c>
      <x:c r="I15" s="11" t="n">
        <x:v>0.5</x:v>
      </x:c>
      <x:c r="J15" s="22" t="n">
        <x:v>8</x:v>
      </x:c>
      <x:c r="K15" s="11" t="n">
        <x:v>0.08</x:v>
      </x:c>
      <x:c r="L15" s="11" t="n">
        <x:v>0.030000000000000002</x:v>
      </x:c>
      <x:c r="M15" s="22" t="n">
        <x:v>0</x:v>
      </x:c>
      <x:c r="N15" s="16" t="str">
        <x:v>Auto</x:v>
      </x:c>
      <x:c r="O15" s="16" t="n">
        <x:v>8.469999999999999</x:v>
      </x:c>
      <x:c r="P15" s="16" t="n">
        <x:v>8.1675</x:v>
      </x:c>
      <x:c r="Q15" s="11" t="n">
        <x:v>0.65</x:v>
      </x:c>
      <x:c r="R15" s="11" t="n">
        <x:v>0.12</x:v>
      </x:c>
      <x:c r="S15" s="11" t="n">
        <x:v>1</x:v>
      </x:c>
      <x:c r="T15" s="11" t="n">
        <x:v>0.095</x:v>
      </x:c>
      <x:c r="U15" s="16" t="str">
        <x:v>B004</x:v>
      </x:c>
      <x:c r="V15" s="16" t="str">
        <x:v>General corporate</x:v>
      </x:c>
      <x:c r="W15" s="16" t="str">
        <x:v>Other</x:v>
      </x:c>
      <x:c r="X15" s="16" t="n">
        <x:v>0.14520000000000002</x:v>
      </x:c>
      <x:c r="Y15" s="16" t="str">
        <x:v>SYN-LOAN-7</x:v>
      </x:c>
      <x:c r="Z15" s="23" t="n">
        <x:f>IF(C15="","",IFERROR(INDEX(Settings!$D$41:$D$44,MATCH(F15,Settings!$C$41:$C$44,0)),0))</x:f>
        <x:v>1</x:v>
      </x:c>
      <x:c r="AA15" s="21" t="n">
        <x:f>IF(C15="","",G15*Z15)</x:f>
        <x:v>6.05</x:v>
      </x:c>
      <x:c r="AB15" s="21" t="n">
        <x:f>IF(C15="","",H15*Z15)</x:f>
        <x:v>1.5</x:v>
      </x:c>
      <x:c r="AC15" s="21" t="n">
        <x:f>IF(C15="","",AA15+AB15*I15)</x:f>
        <x:v>6.8</x:v>
      </x:c>
      <x:c r="AD15" s="23" t="n">
        <x:f>IF(C15="","",IFERROR(IF(OR(INDEX(Borrowers!$Z$9:$Z$108,MATCH(D15,Borrowers!$C$9:$C$108,0))="Yes",M15&gt;=90),3,IF(AND(N15&lt;&gt;"Auto",AG15&lt;&gt;"",AH15&lt;&gt;""),VALUE(N15),IF(OR(M15&gt;=30,AM15="Yes",AND(INDEX(Borrowers!$P$9:$P$108,MATCH(D15,Borrowers!$C$9:$C$108,0))&gt;=L15*Settings!$F$19,INDEX(Borrowers!$P$9:$P$108,MATCH(D15,Borrowers!$C$9:$C$108,0))-L15&gt;=Settings!$F$20)),2,1))),"Missing borrower"))</x:f>
        <x:v>1</x:v>
      </x:c>
      <x:c r="AE15" s="21" t="n">
        <x:f>IF(C15="","",MAX(0,AA15-X15)*IF(AD15=3,AJ15,S15)+AB15*AI15*S15)</x:f>
        <x:v>6.6548</x:v>
      </x:c>
      <x:c r="AF15" s="23" t="str">
        <x:f>IF(C15="","",IF(COUNTIF($C$9:$C$108,C15)&lt;&gt;1,"Duplicate facility",IF(COUNTIF(Borrowers!$C$9:$C$108,D15)&lt;&gt;1,"Missing borrower",IF(OR(COUNT(G15:M15)&lt;&gt;7,COUNT(O15:T15)&lt;&gt;6,COUNT(AI15:AL15)&lt;&gt;4,COUNT(AN15)&lt;&gt;1,COUNT(AP15)&lt;&gt;1,COUNT(X15)&lt;&gt;1,Y15="",N15="",AM15=""),"Missing inputs",IF(OR(Z15&lt;=0,G15&lt;0,H15&lt;0,J15&lt;1,J15&gt;30,J15&lt;&gt;INT(J15),MIN(I15,K15,L15,Q15,R15,AI15,AL15)&lt;0,MAX(I15,K15,L15,Q15,R15,AI15,AL15)&gt;1,X15&lt;0,X15&gt;AA15,AP15&lt;0,M15&lt;0,M15&lt;&gt;INT(M15),S15&lt;0,T15&lt;0,AJ15&lt;0,AK15&lt;0,AK15&gt;30,AK15&lt;&gt;INT(AK15),AN15&lt;0,AN15&gt;5,AN15&gt;J15,AN15&lt;&gt;INT(AN15),AND(AN15&gt;0,AQ15=""),NOT(OR(AM15="Yes",AM15="No")),AND(N15&lt;&gt;"Auto",OR(AG15="",AH15=""))),"Review inputs",IF(INDEX(Borrowers!$AA$9:$AA$108,MATCH(D15,Borrowers!$C$9:$C$108,0))&lt;&gt;"Ready","Borrower review","Ready"))))))</x:f>
        <x:v>Ready</x:v>
      </x:c>
      <x:c r="AG15" s="16" t="str"/>
      <x:c r="AH15" s="16" t="str"/>
      <x:c r="AI15" s="11" t="n">
        <x:v>0.5</x:v>
      </x:c>
      <x:c r="AJ15" s="11" t="n">
        <x:v>1.5</x:v>
      </x:c>
      <x:c r="AK15" s="22" t="n">
        <x:v>2</x:v>
      </x:c>
      <x:c r="AL15" s="11" t="n">
        <x:v>0.55</x:v>
      </x:c>
      <x:c r="AM15" s="16" t="str">
        <x:v>No</x:v>
      </x:c>
      <x:c r="AN15" s="22" t="n">
        <x:v>3</x:v>
      </x:c>
      <x:c r="AO15" s="21" t="n">
        <x:f>IF(C15="","",AA15+AB15*AI15)</x:f>
        <x:v>6.8</x:v>
      </x:c>
      <x:c r="AP15" s="16" t="n">
        <x:v>0.006</x:v>
      </x:c>
      <x:c r="AQ15" s="8" t="str">
        <x:v>Synthetic conditional default schedule</x:v>
      </x:c>
    </x:row>
    <x:row r="16" ht="36" customHeight="1">
      <x:c r="A16" s="1"/>
      <x:c r="B16" s="1"/>
      <x:c r="C16" s="8" t="str">
        <x:v>F008</x:v>
      </x:c>
      <x:c r="D16" s="8" t="str">
        <x:v>B004</x:v>
      </x:c>
      <x:c r="E16" s="8" t="str">
        <x:v>Corporate private</x:v>
      </x:c>
      <x:c r="F16" s="8" t="str">
        <x:v>USD</x:v>
      </x:c>
      <x:c r="G16" s="16" t="n">
        <x:v>3.55</x:v>
      </x:c>
      <x:c r="H16" s="16" t="n">
        <x:v>0.5</x:v>
      </x:c>
      <x:c r="I16" s="11" t="n">
        <x:v>0.5</x:v>
      </x:c>
      <x:c r="J16" s="22" t="n">
        <x:v>8</x:v>
      </x:c>
      <x:c r="K16" s="11" t="n">
        <x:v>0.08</x:v>
      </x:c>
      <x:c r="L16" s="11" t="n">
        <x:v>0.030000000000000002</x:v>
      </x:c>
      <x:c r="M16" s="22" t="n">
        <x:v>0</x:v>
      </x:c>
      <x:c r="N16" s="16" t="str">
        <x:v>Auto</x:v>
      </x:c>
      <x:c r="O16" s="16" t="n">
        <x:v>4.97</x:v>
      </x:c>
      <x:c r="P16" s="16" t="n">
        <x:v>4.7925</x:v>
      </x:c>
      <x:c r="Q16" s="11" t="n">
        <x:v>0.65</x:v>
      </x:c>
      <x:c r="R16" s="11" t="n">
        <x:v>0.12</x:v>
      </x:c>
      <x:c r="S16" s="11" t="n">
        <x:v>1</x:v>
      </x:c>
      <x:c r="T16" s="11" t="n">
        <x:v>0.095</x:v>
      </x:c>
      <x:c r="U16" s="16" t="str">
        <x:v>B004</x:v>
      </x:c>
      <x:c r="V16" s="16" t="str">
        <x:v>General corporate</x:v>
      </x:c>
      <x:c r="W16" s="16" t="str">
        <x:v>Other</x:v>
      </x:c>
      <x:c r="X16" s="16" t="n">
        <x:v>0.0852</x:v>
      </x:c>
      <x:c r="Y16" s="16" t="str">
        <x:v>SYN-LOAN-8</x:v>
      </x:c>
      <x:c r="Z16" s="23" t="n">
        <x:f>IF(C16="","",IFERROR(INDEX(Settings!$D$41:$D$44,MATCH(F16,Settings!$C$41:$C$44,0)),0))</x:f>
        <x:v>1</x:v>
      </x:c>
      <x:c r="AA16" s="21" t="n">
        <x:f>IF(C16="","",G16*Z16)</x:f>
        <x:v>3.55</x:v>
      </x:c>
      <x:c r="AB16" s="21" t="n">
        <x:f>IF(C16="","",H16*Z16)</x:f>
        <x:v>0.5</x:v>
      </x:c>
      <x:c r="AC16" s="21" t="n">
        <x:f>IF(C16="","",AA16+AB16*I16)</x:f>
        <x:v>3.8</x:v>
      </x:c>
      <x:c r="AD16" s="23" t="n">
        <x:f>IF(C16="","",IFERROR(IF(OR(INDEX(Borrowers!$Z$9:$Z$108,MATCH(D16,Borrowers!$C$9:$C$108,0))="Yes",M16&gt;=90),3,IF(AND(N16&lt;&gt;"Auto",AG16&lt;&gt;"",AH16&lt;&gt;""),VALUE(N16),IF(OR(M16&gt;=30,AM16="Yes",AND(INDEX(Borrowers!$P$9:$P$108,MATCH(D16,Borrowers!$C$9:$C$108,0))&gt;=L16*Settings!$F$19,INDEX(Borrowers!$P$9:$P$108,MATCH(D16,Borrowers!$C$9:$C$108,0))-L16&gt;=Settings!$F$20)),2,1))),"Missing borrower"))</x:f>
        <x:v>1</x:v>
      </x:c>
      <x:c r="AE16" s="21" t="n">
        <x:f>IF(C16="","",MAX(0,AA16-X16)*IF(AD16=3,AJ16,S16)+AB16*AI16*S16)</x:f>
        <x:v>3.7148</x:v>
      </x:c>
      <x:c r="AF16" s="23" t="str">
        <x:f>IF(C16="","",IF(COUNTIF($C$9:$C$108,C16)&lt;&gt;1,"Duplicate facility",IF(COUNTIF(Borrowers!$C$9:$C$108,D16)&lt;&gt;1,"Missing borrower",IF(OR(COUNT(G16:M16)&lt;&gt;7,COUNT(O16:T16)&lt;&gt;6,COUNT(AI16:AL16)&lt;&gt;4,COUNT(AN16)&lt;&gt;1,COUNT(AP16)&lt;&gt;1,COUNT(X16)&lt;&gt;1,Y16="",N16="",AM16=""),"Missing inputs",IF(OR(Z16&lt;=0,G16&lt;0,H16&lt;0,J16&lt;1,J16&gt;30,J16&lt;&gt;INT(J16),MIN(I16,K16,L16,Q16,R16,AI16,AL16)&lt;0,MAX(I16,K16,L16,Q16,R16,AI16,AL16)&gt;1,X16&lt;0,X16&gt;AA16,AP16&lt;0,M16&lt;0,M16&lt;&gt;INT(M16),S16&lt;0,T16&lt;0,AJ16&lt;0,AK16&lt;0,AK16&gt;30,AK16&lt;&gt;INT(AK16),AN16&lt;0,AN16&gt;5,AN16&gt;J16,AN16&lt;&gt;INT(AN16),AND(AN16&gt;0,AQ16=""),NOT(OR(AM16="Yes",AM16="No")),AND(N16&lt;&gt;"Auto",OR(AG16="",AH16=""))),"Review inputs",IF(INDEX(Borrowers!$AA$9:$AA$108,MATCH(D16,Borrowers!$C$9:$C$108,0))&lt;&gt;"Ready","Borrower review","Ready"))))))</x:f>
        <x:v>Ready</x:v>
      </x:c>
      <x:c r="AG16" s="16" t="str"/>
      <x:c r="AH16" s="16" t="str"/>
      <x:c r="AI16" s="11" t="n">
        <x:v>0.5</x:v>
      </x:c>
      <x:c r="AJ16" s="11" t="n">
        <x:v>1.5</x:v>
      </x:c>
      <x:c r="AK16" s="22" t="n">
        <x:v>2</x:v>
      </x:c>
      <x:c r="AL16" s="11" t="n">
        <x:v>0.55</x:v>
      </x:c>
      <x:c r="AM16" s="16" t="str">
        <x:v>No</x:v>
      </x:c>
      <x:c r="AN16" s="22" t="n">
        <x:v>0</x:v>
      </x:c>
      <x:c r="AO16" s="21" t="n">
        <x:f>IF(C16="","",AA16+AB16*AI16)</x:f>
        <x:v>3.8</x:v>
      </x:c>
      <x:c r="AP16" s="16" t="n">
        <x:v>0.002</x:v>
      </x:c>
      <x:c r="AQ16" s="8" t="str">
        <x:v>Synthetic conditional default schedule</x:v>
      </x:c>
    </x:row>
    <x:row r="17" ht="36" customHeight="1">
      <x:c r="A17" s="1"/>
      <x:c r="B17" s="1"/>
      <x:c r="C17" s="8" t="str">
        <x:v>F009</x:v>
      </x:c>
      <x:c r="D17" s="8" t="str">
        <x:v>B005</x:v>
      </x:c>
      <x:c r="E17" s="8" t="str">
        <x:v>Corporate private</x:v>
      </x:c>
      <x:c r="F17" s="8" t="str">
        <x:v>USD</x:v>
      </x:c>
      <x:c r="G17" s="16" t="n">
        <x:v>6.4</x:v>
      </x:c>
      <x:c r="H17" s="16" t="n">
        <x:v>1.5</x:v>
      </x:c>
      <x:c r="I17" s="11" t="n">
        <x:v>0.5</x:v>
      </x:c>
      <x:c r="J17" s="22" t="n">
        <x:v>9</x:v>
      </x:c>
      <x:c r="K17" s="11" t="n">
        <x:v>0.08</x:v>
      </x:c>
      <x:c r="L17" s="11" t="n">
        <x:v>0.015000000000000003</x:v>
      </x:c>
      <x:c r="M17" s="22" t="n">
        <x:v>0</x:v>
      </x:c>
      <x:c r="N17" s="16" t="str">
        <x:v>Auto</x:v>
      </x:c>
      <x:c r="O17" s="16" t="n">
        <x:v>8.959999999999999</x:v>
      </x:c>
      <x:c r="P17" s="16" t="n">
        <x:v>8.64</x:v>
      </x:c>
      <x:c r="Q17" s="11" t="n">
        <x:v>0.65</x:v>
      </x:c>
      <x:c r="R17" s="11" t="n">
        <x:v>0.12</x:v>
      </x:c>
      <x:c r="S17" s="11" t="n">
        <x:v>1</x:v>
      </x:c>
      <x:c r="T17" s="11" t="n">
        <x:v>0.095</x:v>
      </x:c>
      <x:c r="U17" s="16" t="str">
        <x:v>B005</x:v>
      </x:c>
      <x:c r="V17" s="16" t="str">
        <x:v>General corporate</x:v>
      </x:c>
      <x:c r="W17" s="16" t="str">
        <x:v>Building renovation</x:v>
      </x:c>
      <x:c r="X17" s="16" t="n">
        <x:v>0.20275200000000007</x:v>
      </x:c>
      <x:c r="Y17" s="16" t="str">
        <x:v>SYN-LOAN-9</x:v>
      </x:c>
      <x:c r="Z17" s="23" t="n">
        <x:f>IF(C17="","",IFERROR(INDEX(Settings!$D$41:$D$44,MATCH(F17,Settings!$C$41:$C$44,0)),0))</x:f>
        <x:v>1</x:v>
      </x:c>
      <x:c r="AA17" s="21" t="n">
        <x:f>IF(C17="","",G17*Z17)</x:f>
        <x:v>6.4</x:v>
      </x:c>
      <x:c r="AB17" s="21" t="n">
        <x:f>IF(C17="","",H17*Z17)</x:f>
        <x:v>1.5</x:v>
      </x:c>
      <x:c r="AC17" s="21" t="n">
        <x:f>IF(C17="","",AA17+AB17*I17)</x:f>
        <x:v>7.15</x:v>
      </x:c>
      <x:c r="AD17" s="23" t="n">
        <x:f>IF(C17="","",IFERROR(IF(OR(INDEX(Borrowers!$Z$9:$Z$108,MATCH(D17,Borrowers!$C$9:$C$108,0))="Yes",M17&gt;=90),3,IF(AND(N17&lt;&gt;"Auto",AG17&lt;&gt;"",AH17&lt;&gt;""),VALUE(N17),IF(OR(M17&gt;=30,AM17="Yes",AND(INDEX(Borrowers!$P$9:$P$108,MATCH(D17,Borrowers!$C$9:$C$108,0))&gt;=L17*Settings!$F$19,INDEX(Borrowers!$P$9:$P$108,MATCH(D17,Borrowers!$C$9:$C$108,0))-L17&gt;=Settings!$F$20)),2,1))),"Missing borrower"))</x:f>
        <x:v>2</x:v>
      </x:c>
      <x:c r="AE17" s="21" t="n">
        <x:f>IF(C17="","",MAX(0,AA17-X17)*IF(AD17=3,AJ17,S17)+AB17*AI17*S17)</x:f>
        <x:v>6.947248</x:v>
      </x:c>
      <x:c r="AF17" s="23" t="str">
        <x:f>IF(C17="","",IF(COUNTIF($C$9:$C$108,C17)&lt;&gt;1,"Duplicate facility",IF(COUNTIF(Borrowers!$C$9:$C$108,D17)&lt;&gt;1,"Missing borrower",IF(OR(COUNT(G17:M17)&lt;&gt;7,COUNT(O17:T17)&lt;&gt;6,COUNT(AI17:AL17)&lt;&gt;4,COUNT(AN17)&lt;&gt;1,COUNT(AP17)&lt;&gt;1,COUNT(X17)&lt;&gt;1,Y17="",N17="",AM17=""),"Missing inputs",IF(OR(Z17&lt;=0,G17&lt;0,H17&lt;0,J17&lt;1,J17&gt;30,J17&lt;&gt;INT(J17),MIN(I17,K17,L17,Q17,R17,AI17,AL17)&lt;0,MAX(I17,K17,L17,Q17,R17,AI17,AL17)&gt;1,X17&lt;0,X17&gt;AA17,AP17&lt;0,M17&lt;0,M17&lt;&gt;INT(M17),S17&lt;0,T17&lt;0,AJ17&lt;0,AK17&lt;0,AK17&gt;30,AK17&lt;&gt;INT(AK17),AN17&lt;0,AN17&gt;5,AN17&gt;J17,AN17&lt;&gt;INT(AN17),AND(AN17&gt;0,AQ17=""),NOT(OR(AM17="Yes",AM17="No")),AND(N17&lt;&gt;"Auto",OR(AG17="",AH17=""))),"Review inputs",IF(INDEX(Borrowers!$AA$9:$AA$108,MATCH(D17,Borrowers!$C$9:$C$108,0))&lt;&gt;"Ready","Borrower review","Ready"))))))</x:f>
        <x:v>Ready</x:v>
      </x:c>
      <x:c r="AG17" s="16" t="str"/>
      <x:c r="AH17" s="16" t="str"/>
      <x:c r="AI17" s="11" t="n">
        <x:v>0.5</x:v>
      </x:c>
      <x:c r="AJ17" s="11" t="n">
        <x:v>1.5</x:v>
      </x:c>
      <x:c r="AK17" s="22" t="n">
        <x:v>2</x:v>
      </x:c>
      <x:c r="AL17" s="11" t="n">
        <x:v>0.55</x:v>
      </x:c>
      <x:c r="AM17" s="16" t="str">
        <x:v>No</x:v>
      </x:c>
      <x:c r="AN17" s="22" t="n">
        <x:v>0</x:v>
      </x:c>
      <x:c r="AO17" s="21" t="n">
        <x:f>IF(C17="","",AA17+AB17*AI17)</x:f>
        <x:v>7.15</x:v>
      </x:c>
      <x:c r="AP17" s="16" t="n">
        <x:v>0.006</x:v>
      </x:c>
      <x:c r="AQ17" s="8" t="str">
        <x:v>Synthetic conditional default schedule</x:v>
      </x:c>
    </x:row>
    <x:row r="18" ht="36" customHeight="1">
      <x:c r="A18" s="1"/>
      <x:c r="B18" s="1"/>
      <x:c r="C18" s="8" t="str">
        <x:v>F010</x:v>
      </x:c>
      <x:c r="D18" s="8" t="str">
        <x:v>B005</x:v>
      </x:c>
      <x:c r="E18" s="8" t="str">
        <x:v>CRE</x:v>
      </x:c>
      <x:c r="F18" s="8" t="str">
        <x:v>USD</x:v>
      </x:c>
      <x:c r="G18" s="16" t="n">
        <x:v>3.9</x:v>
      </x:c>
      <x:c r="H18" s="16" t="n">
        <x:v>0.5</x:v>
      </x:c>
      <x:c r="I18" s="11" t="n">
        <x:v>0.5</x:v>
      </x:c>
      <x:c r="J18" s="22" t="n">
        <x:v>9</x:v>
      </x:c>
      <x:c r="K18" s="11" t="n">
        <x:v>0.08</x:v>
      </x:c>
      <x:c r="L18" s="11" t="n">
        <x:v>0.015000000000000003</x:v>
      </x:c>
      <x:c r="M18" s="22" t="n">
        <x:v>0</x:v>
      </x:c>
      <x:c r="N18" s="16" t="str">
        <x:v>Auto</x:v>
      </x:c>
      <x:c r="O18" s="16" t="n">
        <x:v>5.46</x:v>
      </x:c>
      <x:c r="P18" s="16" t="n">
        <x:v>5.265000000000001</x:v>
      </x:c>
      <x:c r="Q18" s="11" t="n">
        <x:v>0.65</x:v>
      </x:c>
      <x:c r="R18" s="11" t="n">
        <x:v>0.12</x:v>
      </x:c>
      <x:c r="S18" s="11" t="n">
        <x:v>1</x:v>
      </x:c>
      <x:c r="T18" s="11" t="n">
        <x:v>0.095</x:v>
      </x:c>
      <x:c r="U18" s="16" t="str">
        <x:v>A005</x:v>
      </x:c>
      <x:c r="V18" s="16" t="str">
        <x:v>Designated asset</x:v>
      </x:c>
      <x:c r="W18" s="16" t="str">
        <x:v>Building renovation</x:v>
      </x:c>
      <x:c r="X18" s="16" t="n">
        <x:v>0.12355200000000004</x:v>
      </x:c>
      <x:c r="Y18" s="16" t="str">
        <x:v>SYN-LOAN-10</x:v>
      </x:c>
      <x:c r="Z18" s="23" t="n">
        <x:f>IF(C18="","",IFERROR(INDEX(Settings!$D$41:$D$44,MATCH(F18,Settings!$C$41:$C$44,0)),0))</x:f>
        <x:v>1</x:v>
      </x:c>
      <x:c r="AA18" s="21" t="n">
        <x:f>IF(C18="","",G18*Z18)</x:f>
        <x:v>3.9</x:v>
      </x:c>
      <x:c r="AB18" s="21" t="n">
        <x:f>IF(C18="","",H18*Z18)</x:f>
        <x:v>0.5</x:v>
      </x:c>
      <x:c r="AC18" s="21" t="n">
        <x:f>IF(C18="","",AA18+AB18*I18)</x:f>
        <x:v>4.15</x:v>
      </x:c>
      <x:c r="AD18" s="23" t="n">
        <x:f>IF(C18="","",IFERROR(IF(OR(INDEX(Borrowers!$Z$9:$Z$108,MATCH(D18,Borrowers!$C$9:$C$108,0))="Yes",M18&gt;=90),3,IF(AND(N18&lt;&gt;"Auto",AG18&lt;&gt;"",AH18&lt;&gt;""),VALUE(N18),IF(OR(M18&gt;=30,AM18="Yes",AND(INDEX(Borrowers!$P$9:$P$108,MATCH(D18,Borrowers!$C$9:$C$108,0))&gt;=L18*Settings!$F$19,INDEX(Borrowers!$P$9:$P$108,MATCH(D18,Borrowers!$C$9:$C$108,0))-L18&gt;=Settings!$F$20)),2,1))),"Missing borrower"))</x:f>
        <x:v>2</x:v>
      </x:c>
      <x:c r="AE18" s="21" t="n">
        <x:f>IF(C18="","",MAX(0,AA18-X18)*IF(AD18=3,AJ18,S18)+AB18*AI18*S18)</x:f>
        <x:v>4.026448</x:v>
      </x:c>
      <x:c r="AF18" s="23" t="str">
        <x:f>IF(C18="","",IF(COUNTIF($C$9:$C$108,C18)&lt;&gt;1,"Duplicate facility",IF(COUNTIF(Borrowers!$C$9:$C$108,D18)&lt;&gt;1,"Missing borrower",IF(OR(COUNT(G18:M18)&lt;&gt;7,COUNT(O18:T18)&lt;&gt;6,COUNT(AI18:AL18)&lt;&gt;4,COUNT(AN18)&lt;&gt;1,COUNT(AP18)&lt;&gt;1,COUNT(X18)&lt;&gt;1,Y18="",N18="",AM18=""),"Missing inputs",IF(OR(Z18&lt;=0,G18&lt;0,H18&lt;0,J18&lt;1,J18&gt;30,J18&lt;&gt;INT(J18),MIN(I18,K18,L18,Q18,R18,AI18,AL18)&lt;0,MAX(I18,K18,L18,Q18,R18,AI18,AL18)&gt;1,X18&lt;0,X18&gt;AA18,AP18&lt;0,M18&lt;0,M18&lt;&gt;INT(M18),S18&lt;0,T18&lt;0,AJ18&lt;0,AK18&lt;0,AK18&gt;30,AK18&lt;&gt;INT(AK18),AN18&lt;0,AN18&gt;5,AN18&gt;J18,AN18&lt;&gt;INT(AN18),AND(AN18&gt;0,AQ18=""),NOT(OR(AM18="Yes",AM18="No")),AND(N18&lt;&gt;"Auto",OR(AG18="",AH18=""))),"Review inputs",IF(INDEX(Borrowers!$AA$9:$AA$108,MATCH(D18,Borrowers!$C$9:$C$108,0))&lt;&gt;"Ready","Borrower review","Ready"))))))</x:f>
        <x:v>Ready</x:v>
      </x:c>
      <x:c r="AG18" s="16" t="str"/>
      <x:c r="AH18" s="16" t="str"/>
      <x:c r="AI18" s="11" t="n">
        <x:v>0.5</x:v>
      </x:c>
      <x:c r="AJ18" s="11" t="n">
        <x:v>1.5</x:v>
      </x:c>
      <x:c r="AK18" s="22" t="n">
        <x:v>2</x:v>
      </x:c>
      <x:c r="AL18" s="11" t="n">
        <x:v>0.55</x:v>
      </x:c>
      <x:c r="AM18" s="16" t="str">
        <x:v>No</x:v>
      </x:c>
      <x:c r="AN18" s="22" t="n">
        <x:v>0</x:v>
      </x:c>
      <x:c r="AO18" s="21" t="n">
        <x:f>IF(C18="","",AA18+AB18*AI18)</x:f>
        <x:v>4.15</x:v>
      </x:c>
      <x:c r="AP18" s="16" t="n">
        <x:v>0.002</x:v>
      </x:c>
      <x:c r="AQ18" s="8" t="str">
        <x:v>Synthetic conditional default schedule</x:v>
      </x:c>
    </x:row>
    <x:row r="19" ht="36" customHeight="1">
      <x:c r="A19" s="1"/>
      <x:c r="B19" s="1"/>
      <x:c r="C19" s="8" t="str">
        <x:v>F011</x:v>
      </x:c>
      <x:c r="D19" s="8" t="str">
        <x:v>B006</x:v>
      </x:c>
      <x:c r="E19" s="8" t="str">
        <x:v>Corporate listed</x:v>
      </x:c>
      <x:c r="F19" s="8" t="str">
        <x:v>USD</x:v>
      </x:c>
      <x:c r="G19" s="16" t="n">
        <x:v>6.75</x:v>
      </x:c>
      <x:c r="H19" s="16" t="n">
        <x:v>1.5</x:v>
      </x:c>
      <x:c r="I19" s="11" t="n">
        <x:v>0.5</x:v>
      </x:c>
      <x:c r="J19" s="22" t="n">
        <x:v>5</x:v>
      </x:c>
      <x:c r="K19" s="11" t="n">
        <x:v>0.08</x:v>
      </x:c>
      <x:c r="L19" s="11" t="n">
        <x:v>0.041999999999999996</x:v>
      </x:c>
      <x:c r="M19" s="22" t="n">
        <x:v>0</x:v>
      </x:c>
      <x:c r="N19" s="16" t="str">
        <x:v>Auto</x:v>
      </x:c>
      <x:c r="O19" s="16" t="n">
        <x:v>9.45</x:v>
      </x:c>
      <x:c r="P19" s="16" t="n">
        <x:v>9.1125</x:v>
      </x:c>
      <x:c r="Q19" s="11" t="n">
        <x:v>0.65</x:v>
      </x:c>
      <x:c r="R19" s="11" t="n">
        <x:v>0.12</x:v>
      </x:c>
      <x:c r="S19" s="11" t="n">
        <x:v>1</x:v>
      </x:c>
      <x:c r="T19" s="11" t="n">
        <x:v>0.095</x:v>
      </x:c>
      <x:c r="U19" s="16" t="str">
        <x:v>B006</x:v>
      </x:c>
      <x:c r="V19" s="16" t="str">
        <x:v>General corporate</x:v>
      </x:c>
      <x:c r="W19" s="16" t="str">
        <x:v>Other</x:v>
      </x:c>
      <x:c r="X19" s="16" t="n">
        <x:v>0.15876</x:v>
      </x:c>
      <x:c r="Y19" s="16" t="str">
        <x:v>SYN-LOAN-11</x:v>
      </x:c>
      <x:c r="Z19" s="23" t="n">
        <x:f>IF(C19="","",IFERROR(INDEX(Settings!$D$41:$D$44,MATCH(F19,Settings!$C$41:$C$44,0)),0))</x:f>
        <x:v>1</x:v>
      </x:c>
      <x:c r="AA19" s="21" t="n">
        <x:f>IF(C19="","",G19*Z19)</x:f>
        <x:v>6.75</x:v>
      </x:c>
      <x:c r="AB19" s="21" t="n">
        <x:f>IF(C19="","",H19*Z19)</x:f>
        <x:v>1.5</x:v>
      </x:c>
      <x:c r="AC19" s="21" t="n">
        <x:f>IF(C19="","",AA19+AB19*I19)</x:f>
        <x:v>7.5</x:v>
      </x:c>
      <x:c r="AD19" s="23" t="n">
        <x:f>IF(C19="","",IFERROR(IF(OR(INDEX(Borrowers!$Z$9:$Z$108,MATCH(D19,Borrowers!$C$9:$C$108,0))="Yes",M19&gt;=90),3,IF(AND(N19&lt;&gt;"Auto",AG19&lt;&gt;"",AH19&lt;&gt;""),VALUE(N19),IF(OR(M19&gt;=30,AM19="Yes",AND(INDEX(Borrowers!$P$9:$P$108,MATCH(D19,Borrowers!$C$9:$C$108,0))&gt;=L19*Settings!$F$19,INDEX(Borrowers!$P$9:$P$108,MATCH(D19,Borrowers!$C$9:$C$108,0))-L19&gt;=Settings!$F$20)),2,1))),"Missing borrower"))</x:f>
        <x:v>1</x:v>
      </x:c>
      <x:c r="AE19" s="21" t="n">
        <x:f>IF(C19="","",MAX(0,AA19-X19)*IF(AD19=3,AJ19,S19)+AB19*AI19*S19)</x:f>
        <x:v>7.34124</x:v>
      </x:c>
      <x:c r="AF19" s="23" t="str">
        <x:f>IF(C19="","",IF(COUNTIF($C$9:$C$108,C19)&lt;&gt;1,"Duplicate facility",IF(COUNTIF(Borrowers!$C$9:$C$108,D19)&lt;&gt;1,"Missing borrower",IF(OR(COUNT(G19:M19)&lt;&gt;7,COUNT(O19:T19)&lt;&gt;6,COUNT(AI19:AL19)&lt;&gt;4,COUNT(AN19)&lt;&gt;1,COUNT(AP19)&lt;&gt;1,COUNT(X19)&lt;&gt;1,Y19="",N19="",AM19=""),"Missing inputs",IF(OR(Z19&lt;=0,G19&lt;0,H19&lt;0,J19&lt;1,J19&gt;30,J19&lt;&gt;INT(J19),MIN(I19,K19,L19,Q19,R19,AI19,AL19)&lt;0,MAX(I19,K19,L19,Q19,R19,AI19,AL19)&gt;1,X19&lt;0,X19&gt;AA19,AP19&lt;0,M19&lt;0,M19&lt;&gt;INT(M19),S19&lt;0,T19&lt;0,AJ19&lt;0,AK19&lt;0,AK19&gt;30,AK19&lt;&gt;INT(AK19),AN19&lt;0,AN19&gt;5,AN19&gt;J19,AN19&lt;&gt;INT(AN19),AND(AN19&gt;0,AQ19=""),NOT(OR(AM19="Yes",AM19="No")),AND(N19&lt;&gt;"Auto",OR(AG19="",AH19=""))),"Review inputs",IF(INDEX(Borrowers!$AA$9:$AA$108,MATCH(D19,Borrowers!$C$9:$C$108,0))&lt;&gt;"Ready","Borrower review","Ready"))))))</x:f>
        <x:v>Ready</x:v>
      </x:c>
      <x:c r="AG19" s="16" t="str"/>
      <x:c r="AH19" s="16" t="str"/>
      <x:c r="AI19" s="11" t="n">
        <x:v>0.5</x:v>
      </x:c>
      <x:c r="AJ19" s="11" t="n">
        <x:v>1.5</x:v>
      </x:c>
      <x:c r="AK19" s="22" t="n">
        <x:v>2</x:v>
      </x:c>
      <x:c r="AL19" s="11" t="n">
        <x:v>0.55</x:v>
      </x:c>
      <x:c r="AM19" s="16" t="str">
        <x:v>No</x:v>
      </x:c>
      <x:c r="AN19" s="22" t="n">
        <x:v>0</x:v>
      </x:c>
      <x:c r="AO19" s="21" t="n">
        <x:f>IF(C19="","",AA19+AB19*AI19)</x:f>
        <x:v>7.5</x:v>
      </x:c>
      <x:c r="AP19" s="16" t="n">
        <x:v>0.006</x:v>
      </x:c>
      <x:c r="AQ19" s="8" t="str">
        <x:v>Synthetic conditional default schedule</x:v>
      </x:c>
    </x:row>
    <x:row r="20" ht="36" customHeight="1">
      <x:c r="A20" s="1"/>
      <x:c r="B20" s="1"/>
      <x:c r="C20" s="8" t="str">
        <x:v>F012</x:v>
      </x:c>
      <x:c r="D20" s="8" t="str">
        <x:v>B006</x:v>
      </x:c>
      <x:c r="E20" s="8" t="str">
        <x:v>Corporate listed</x:v>
      </x:c>
      <x:c r="F20" s="8" t="str">
        <x:v>USD</x:v>
      </x:c>
      <x:c r="G20" s="16" t="n">
        <x:v>4.25</x:v>
      </x:c>
      <x:c r="H20" s="16" t="n">
        <x:v>0.5</x:v>
      </x:c>
      <x:c r="I20" s="11" t="n">
        <x:v>0.5</x:v>
      </x:c>
      <x:c r="J20" s="22" t="n">
        <x:v>5</x:v>
      </x:c>
      <x:c r="K20" s="11" t="n">
        <x:v>0.08</x:v>
      </x:c>
      <x:c r="L20" s="11" t="n">
        <x:v>0.041999999999999996</x:v>
      </x:c>
      <x:c r="M20" s="22" t="n">
        <x:v>0</x:v>
      </x:c>
      <x:c r="N20" s="16" t="str">
        <x:v>Auto</x:v>
      </x:c>
      <x:c r="O20" s="16" t="n">
        <x:v>5.949999999999999</x:v>
      </x:c>
      <x:c r="P20" s="16" t="n">
        <x:v>5.737500000000001</x:v>
      </x:c>
      <x:c r="Q20" s="11" t="n">
        <x:v>0.65</x:v>
      </x:c>
      <x:c r="R20" s="11" t="n">
        <x:v>0.12</x:v>
      </x:c>
      <x:c r="S20" s="11" t="n">
        <x:v>1</x:v>
      </x:c>
      <x:c r="T20" s="11" t="n">
        <x:v>0.095</x:v>
      </x:c>
      <x:c r="U20" s="16" t="str">
        <x:v>B006</x:v>
      </x:c>
      <x:c r="V20" s="16" t="str">
        <x:v>General corporate</x:v>
      </x:c>
      <x:c r="W20" s="16" t="str">
        <x:v>Other</x:v>
      </x:c>
      <x:c r="X20" s="16" t="n">
        <x:v>0.09996000000000001</x:v>
      </x:c>
      <x:c r="Y20" s="16" t="str">
        <x:v>SYN-LOAN-12</x:v>
      </x:c>
      <x:c r="Z20" s="23" t="n">
        <x:f>IF(C20="","",IFERROR(INDEX(Settings!$D$41:$D$44,MATCH(F20,Settings!$C$41:$C$44,0)),0))</x:f>
        <x:v>1</x:v>
      </x:c>
      <x:c r="AA20" s="21" t="n">
        <x:f>IF(C20="","",G20*Z20)</x:f>
        <x:v>4.25</x:v>
      </x:c>
      <x:c r="AB20" s="21" t="n">
        <x:f>IF(C20="","",H20*Z20)</x:f>
        <x:v>0.5</x:v>
      </x:c>
      <x:c r="AC20" s="21" t="n">
        <x:f>IF(C20="","",AA20+AB20*I20)</x:f>
        <x:v>4.5</x:v>
      </x:c>
      <x:c r="AD20" s="23" t="n">
        <x:f>IF(C20="","",IFERROR(IF(OR(INDEX(Borrowers!$Z$9:$Z$108,MATCH(D20,Borrowers!$C$9:$C$108,0))="Yes",M20&gt;=90),3,IF(AND(N20&lt;&gt;"Auto",AG20&lt;&gt;"",AH20&lt;&gt;""),VALUE(N20),IF(OR(M20&gt;=30,AM20="Yes",AND(INDEX(Borrowers!$P$9:$P$108,MATCH(D20,Borrowers!$C$9:$C$108,0))&gt;=L20*Settings!$F$19,INDEX(Borrowers!$P$9:$P$108,MATCH(D20,Borrowers!$C$9:$C$108,0))-L20&gt;=Settings!$F$20)),2,1))),"Missing borrower"))</x:f>
        <x:v>1</x:v>
      </x:c>
      <x:c r="AE20" s="21" t="n">
        <x:f>IF(C20="","",MAX(0,AA20-X20)*IF(AD20=3,AJ20,S20)+AB20*AI20*S20)</x:f>
        <x:v>4.40004</x:v>
      </x:c>
      <x:c r="AF20" s="23" t="str">
        <x:f>IF(C20="","",IF(COUNTIF($C$9:$C$108,C20)&lt;&gt;1,"Duplicate facility",IF(COUNTIF(Borrowers!$C$9:$C$108,D20)&lt;&gt;1,"Missing borrower",IF(OR(COUNT(G20:M20)&lt;&gt;7,COUNT(O20:T20)&lt;&gt;6,COUNT(AI20:AL20)&lt;&gt;4,COUNT(AN20)&lt;&gt;1,COUNT(AP20)&lt;&gt;1,COUNT(X20)&lt;&gt;1,Y20="",N20="",AM20=""),"Missing inputs",IF(OR(Z20&lt;=0,G20&lt;0,H20&lt;0,J20&lt;1,J20&gt;30,J20&lt;&gt;INT(J20),MIN(I20,K20,L20,Q20,R20,AI20,AL20)&lt;0,MAX(I20,K20,L20,Q20,R20,AI20,AL20)&gt;1,X20&lt;0,X20&gt;AA20,AP20&lt;0,M20&lt;0,M20&lt;&gt;INT(M20),S20&lt;0,T20&lt;0,AJ20&lt;0,AK20&lt;0,AK20&gt;30,AK20&lt;&gt;INT(AK20),AN20&lt;0,AN20&gt;5,AN20&gt;J20,AN20&lt;&gt;INT(AN20),AND(AN20&gt;0,AQ20=""),NOT(OR(AM20="Yes",AM20="No")),AND(N20&lt;&gt;"Auto",OR(AG20="",AH20=""))),"Review inputs",IF(INDEX(Borrowers!$AA$9:$AA$108,MATCH(D20,Borrowers!$C$9:$C$108,0))&lt;&gt;"Ready","Borrower review","Ready"))))))</x:f>
        <x:v>Ready</x:v>
      </x:c>
      <x:c r="AG20" s="16" t="str"/>
      <x:c r="AH20" s="16" t="str"/>
      <x:c r="AI20" s="11" t="n">
        <x:v>0.5</x:v>
      </x:c>
      <x:c r="AJ20" s="11" t="n">
        <x:v>1.5</x:v>
      </x:c>
      <x:c r="AK20" s="22" t="n">
        <x:v>2</x:v>
      </x:c>
      <x:c r="AL20" s="11" t="n">
        <x:v>0.55</x:v>
      </x:c>
      <x:c r="AM20" s="16" t="str">
        <x:v>No</x:v>
      </x:c>
      <x:c r="AN20" s="22" t="n">
        <x:v>0</x:v>
      </x:c>
      <x:c r="AO20" s="21" t="n">
        <x:f>IF(C20="","",AA20+AB20*AI20)</x:f>
        <x:v>4.5</x:v>
      </x:c>
      <x:c r="AP20" s="16" t="n">
        <x:v>0.002</x:v>
      </x:c>
      <x:c r="AQ20" s="8" t="str">
        <x:v>Synthetic conditional default schedule</x:v>
      </x:c>
    </x:row>
    <x:row r="21" ht="36" customHeight="1">
      <x:c r="A21" s="1"/>
      <x:c r="B21" s="1"/>
      <x:c r="C21" s="8" t="str">
        <x:v>F013</x:v>
      </x:c>
      <x:c r="D21" s="8" t="str">
        <x:v>B007</x:v>
      </x:c>
      <x:c r="E21" s="8" t="str">
        <x:v>Corporate private</x:v>
      </x:c>
      <x:c r="F21" s="8" t="str">
        <x:v>USD</x:v>
      </x:c>
      <x:c r="G21" s="16" t="n">
        <x:v>7.1</x:v>
      </x:c>
      <x:c r="H21" s="16" t="n">
        <x:v>1.5</x:v>
      </x:c>
      <x:c r="I21" s="11" t="n">
        <x:v>0.5</x:v>
      </x:c>
      <x:c r="J21" s="22" t="n">
        <x:v>6</x:v>
      </x:c>
      <x:c r="K21" s="11" t="n">
        <x:v>0.08</x:v>
      </x:c>
      <x:c r="L21" s="11" t="n">
        <x:v>0.012</x:v>
      </x:c>
      <x:c r="M21" s="22" t="n">
        <x:v>0</x:v>
      </x:c>
      <x:c r="N21" s="16" t="str">
        <x:v>Auto</x:v>
      </x:c>
      <x:c r="O21" s="16" t="n">
        <x:v>9.94</x:v>
      </x:c>
      <x:c r="P21" s="16" t="n">
        <x:v>9.585</x:v>
      </x:c>
      <x:c r="Q21" s="11" t="n">
        <x:v>0.65</x:v>
      </x:c>
      <x:c r="R21" s="11" t="n">
        <x:v>0.12</x:v>
      </x:c>
      <x:c r="S21" s="11" t="n">
        <x:v>1</x:v>
      </x:c>
      <x:c r="T21" s="11" t="n">
        <x:v>0.095</x:v>
      </x:c>
      <x:c r="U21" s="16" t="str">
        <x:v>B007</x:v>
      </x:c>
      <x:c r="V21" s="16" t="str">
        <x:v>General corporate</x:v>
      </x:c>
      <x:c r="W21" s="16" t="str">
        <x:v>Cement</x:v>
      </x:c>
      <x:c r="X21" s="16" t="n">
        <x:v>0.054528</x:v>
      </x:c>
      <x:c r="Y21" s="16" t="str">
        <x:v>SYN-LOAN-13</x:v>
      </x:c>
      <x:c r="Z21" s="23" t="n">
        <x:f>IF(C21="","",IFERROR(INDEX(Settings!$D$41:$D$44,MATCH(F21,Settings!$C$41:$C$44,0)),0))</x:f>
        <x:v>1</x:v>
      </x:c>
      <x:c r="AA21" s="21" t="n">
        <x:f>IF(C21="","",G21*Z21)</x:f>
        <x:v>7.1</x:v>
      </x:c>
      <x:c r="AB21" s="21" t="n">
        <x:f>IF(C21="","",H21*Z21)</x:f>
        <x:v>1.5</x:v>
      </x:c>
      <x:c r="AC21" s="21" t="n">
        <x:f>IF(C21="","",AA21+AB21*I21)</x:f>
        <x:v>7.85</x:v>
      </x:c>
      <x:c r="AD21" s="23" t="n">
        <x:f>IF(C21="","",IFERROR(IF(OR(INDEX(Borrowers!$Z$9:$Z$108,MATCH(D21,Borrowers!$C$9:$C$108,0))="Yes",M21&gt;=90),3,IF(AND(N21&lt;&gt;"Auto",AG21&lt;&gt;"",AH21&lt;&gt;""),VALUE(N21),IF(OR(M21&gt;=30,AM21="Yes",AND(INDEX(Borrowers!$P$9:$P$108,MATCH(D21,Borrowers!$C$9:$C$108,0))&gt;=L21*Settings!$F$19,INDEX(Borrowers!$P$9:$P$108,MATCH(D21,Borrowers!$C$9:$C$108,0))-L21&gt;=Settings!$F$20)),2,1))),"Missing borrower"))</x:f>
        <x:v>1</x:v>
      </x:c>
      <x:c r="AE21" s="21" t="n">
        <x:f>IF(C21="","",MAX(0,AA21-X21)*IF(AD21=3,AJ21,S21)+AB21*AI21*S21)</x:f>
        <x:v>7.795471999999999</x:v>
      </x:c>
      <x:c r="AF21" s="23" t="str">
        <x:f>IF(C21="","",IF(COUNTIF($C$9:$C$108,C21)&lt;&gt;1,"Duplicate facility",IF(COUNTIF(Borrowers!$C$9:$C$108,D21)&lt;&gt;1,"Missing borrower",IF(OR(COUNT(G21:M21)&lt;&gt;7,COUNT(O21:T21)&lt;&gt;6,COUNT(AI21:AL21)&lt;&gt;4,COUNT(AN21)&lt;&gt;1,COUNT(AP21)&lt;&gt;1,COUNT(X21)&lt;&gt;1,Y21="",N21="",AM21=""),"Missing inputs",IF(OR(Z21&lt;=0,G21&lt;0,H21&lt;0,J21&lt;1,J21&gt;30,J21&lt;&gt;INT(J21),MIN(I21,K21,L21,Q21,R21,AI21,AL21)&lt;0,MAX(I21,K21,L21,Q21,R21,AI21,AL21)&gt;1,X21&lt;0,X21&gt;AA21,AP21&lt;0,M21&lt;0,M21&lt;&gt;INT(M21),S21&lt;0,T21&lt;0,AJ21&lt;0,AK21&lt;0,AK21&gt;30,AK21&lt;&gt;INT(AK21),AN21&lt;0,AN21&gt;5,AN21&gt;J21,AN21&lt;&gt;INT(AN21),AND(AN21&gt;0,AQ21=""),NOT(OR(AM21="Yes",AM21="No")),AND(N21&lt;&gt;"Auto",OR(AG21="",AH21=""))),"Review inputs",IF(INDEX(Borrowers!$AA$9:$AA$108,MATCH(D21,Borrowers!$C$9:$C$108,0))&lt;&gt;"Ready","Borrower review","Ready"))))))</x:f>
        <x:v>Ready</x:v>
      </x:c>
      <x:c r="AG21" s="16" t="str"/>
      <x:c r="AH21" s="16" t="str"/>
      <x:c r="AI21" s="11" t="n">
        <x:v>0.5</x:v>
      </x:c>
      <x:c r="AJ21" s="11" t="n">
        <x:v>1.5</x:v>
      </x:c>
      <x:c r="AK21" s="22" t="n">
        <x:v>2</x:v>
      </x:c>
      <x:c r="AL21" s="11" t="n">
        <x:v>0.55</x:v>
      </x:c>
      <x:c r="AM21" s="16" t="str">
        <x:v>No</x:v>
      </x:c>
      <x:c r="AN21" s="22" t="n">
        <x:v>0</x:v>
      </x:c>
      <x:c r="AO21" s="21" t="n">
        <x:f>IF(C21="","",AA21+AB21*AI21)</x:f>
        <x:v>7.85</x:v>
      </x:c>
      <x:c r="AP21" s="16" t="n">
        <x:v>0.006</x:v>
      </x:c>
      <x:c r="AQ21" s="8" t="str">
        <x:v>Synthetic conditional default schedule</x:v>
      </x:c>
    </x:row>
    <x:row r="22" ht="36" customHeight="1">
      <x:c r="A22" s="1"/>
      <x:c r="B22" s="1"/>
      <x:c r="C22" s="8" t="str">
        <x:v>F014</x:v>
      </x:c>
      <x:c r="D22" s="8" t="str">
        <x:v>B007</x:v>
      </x:c>
      <x:c r="E22" s="8" t="str">
        <x:v>Corporate private</x:v>
      </x:c>
      <x:c r="F22" s="8" t="str">
        <x:v>USD</x:v>
      </x:c>
      <x:c r="G22" s="16" t="n">
        <x:v>4.6</x:v>
      </x:c>
      <x:c r="H22" s="16" t="n">
        <x:v>0.5</x:v>
      </x:c>
      <x:c r="I22" s="11" t="n">
        <x:v>0.5</x:v>
      </x:c>
      <x:c r="J22" s="22" t="n">
        <x:v>6</x:v>
      </x:c>
      <x:c r="K22" s="11" t="n">
        <x:v>0.08</x:v>
      </x:c>
      <x:c r="L22" s="11" t="n">
        <x:v>0.012</x:v>
      </x:c>
      <x:c r="M22" s="22" t="n">
        <x:v>0</x:v>
      </x:c>
      <x:c r="N22" s="16" t="str">
        <x:v>Auto</x:v>
      </x:c>
      <x:c r="O22" s="16" t="n">
        <x:v>6.4399999999999995</x:v>
      </x:c>
      <x:c r="P22" s="16" t="n">
        <x:v>6.21</x:v>
      </x:c>
      <x:c r="Q22" s="11" t="n">
        <x:v>0.65</x:v>
      </x:c>
      <x:c r="R22" s="11" t="n">
        <x:v>0.12</x:v>
      </x:c>
      <x:c r="S22" s="11" t="n">
        <x:v>1</x:v>
      </x:c>
      <x:c r="T22" s="11" t="n">
        <x:v>0.095</x:v>
      </x:c>
      <x:c r="U22" s="16" t="str">
        <x:v>B007</x:v>
      </x:c>
      <x:c r="V22" s="16" t="str">
        <x:v>General corporate</x:v>
      </x:c>
      <x:c r="W22" s="16" t="str">
        <x:v>Cement</x:v>
      </x:c>
      <x:c r="X22" s="16" t="n">
        <x:v>0.035328</x:v>
      </x:c>
      <x:c r="Y22" s="16" t="str">
        <x:v>SYN-LOAN-14</x:v>
      </x:c>
      <x:c r="Z22" s="23" t="n">
        <x:f>IF(C22="","",IFERROR(INDEX(Settings!$D$41:$D$44,MATCH(F22,Settings!$C$41:$C$44,0)),0))</x:f>
        <x:v>1</x:v>
      </x:c>
      <x:c r="AA22" s="21" t="n">
        <x:f>IF(C22="","",G22*Z22)</x:f>
        <x:v>4.6</x:v>
      </x:c>
      <x:c r="AB22" s="21" t="n">
        <x:f>IF(C22="","",H22*Z22)</x:f>
        <x:v>0.5</x:v>
      </x:c>
      <x:c r="AC22" s="21" t="n">
        <x:f>IF(C22="","",AA22+AB22*I22)</x:f>
        <x:v>4.85</x:v>
      </x:c>
      <x:c r="AD22" s="23" t="n">
        <x:f>IF(C22="","",IFERROR(IF(OR(INDEX(Borrowers!$Z$9:$Z$108,MATCH(D22,Borrowers!$C$9:$C$108,0))="Yes",M22&gt;=90),3,IF(AND(N22&lt;&gt;"Auto",AG22&lt;&gt;"",AH22&lt;&gt;""),VALUE(N22),IF(OR(M22&gt;=30,AM22="Yes",AND(INDEX(Borrowers!$P$9:$P$108,MATCH(D22,Borrowers!$C$9:$C$108,0))&gt;=L22*Settings!$F$19,INDEX(Borrowers!$P$9:$P$108,MATCH(D22,Borrowers!$C$9:$C$108,0))-L22&gt;=Settings!$F$20)),2,1))),"Missing borrower"))</x:f>
        <x:v>1</x:v>
      </x:c>
      <x:c r="AE22" s="21" t="n">
        <x:f>IF(C22="","",MAX(0,AA22-X22)*IF(AD22=3,AJ22,S22)+AB22*AI22*S22)</x:f>
        <x:v>4.814672</x:v>
      </x:c>
      <x:c r="AF22" s="23" t="str">
        <x:f>IF(C22="","",IF(COUNTIF($C$9:$C$108,C22)&lt;&gt;1,"Duplicate facility",IF(COUNTIF(Borrowers!$C$9:$C$108,D22)&lt;&gt;1,"Missing borrower",IF(OR(COUNT(G22:M22)&lt;&gt;7,COUNT(O22:T22)&lt;&gt;6,COUNT(AI22:AL22)&lt;&gt;4,COUNT(AN22)&lt;&gt;1,COUNT(AP22)&lt;&gt;1,COUNT(X22)&lt;&gt;1,Y22="",N22="",AM22=""),"Missing inputs",IF(OR(Z22&lt;=0,G22&lt;0,H22&lt;0,J22&lt;1,J22&gt;30,J22&lt;&gt;INT(J22),MIN(I22,K22,L22,Q22,R22,AI22,AL22)&lt;0,MAX(I22,K22,L22,Q22,R22,AI22,AL22)&gt;1,X22&lt;0,X22&gt;AA22,AP22&lt;0,M22&lt;0,M22&lt;&gt;INT(M22),S22&lt;0,T22&lt;0,AJ22&lt;0,AK22&lt;0,AK22&gt;30,AK22&lt;&gt;INT(AK22),AN22&lt;0,AN22&gt;5,AN22&gt;J22,AN22&lt;&gt;INT(AN22),AND(AN22&gt;0,AQ22=""),NOT(OR(AM22="Yes",AM22="No")),AND(N22&lt;&gt;"Auto",OR(AG22="",AH22=""))),"Review inputs",IF(INDEX(Borrowers!$AA$9:$AA$108,MATCH(D22,Borrowers!$C$9:$C$108,0))&lt;&gt;"Ready","Borrower review","Ready"))))))</x:f>
        <x:v>Ready</x:v>
      </x:c>
      <x:c r="AG22" s="16" t="str"/>
      <x:c r="AH22" s="16" t="str"/>
      <x:c r="AI22" s="11" t="n">
        <x:v>0.5</x:v>
      </x:c>
      <x:c r="AJ22" s="11" t="n">
        <x:v>1.5</x:v>
      </x:c>
      <x:c r="AK22" s="22" t="n">
        <x:v>2</x:v>
      </x:c>
      <x:c r="AL22" s="11" t="n">
        <x:v>0.55</x:v>
      </x:c>
      <x:c r="AM22" s="16" t="str">
        <x:v>No</x:v>
      </x:c>
      <x:c r="AN22" s="22" t="n">
        <x:v>0</x:v>
      </x:c>
      <x:c r="AO22" s="21" t="n">
        <x:f>IF(C22="","",AA22+AB22*AI22)</x:f>
        <x:v>4.85</x:v>
      </x:c>
      <x:c r="AP22" s="16" t="n">
        <x:v>0.002</x:v>
      </x:c>
      <x:c r="AQ22" s="8" t="str">
        <x:v>Synthetic conditional default schedule</x:v>
      </x:c>
    </x:row>
    <x:row r="23" ht="36" customHeight="1">
      <x:c r="A23" s="1"/>
      <x:c r="B23" s="1"/>
      <x:c r="C23" s="8" t="str">
        <x:v>F015</x:v>
      </x:c>
      <x:c r="D23" s="8" t="str">
        <x:v>B008</x:v>
      </x:c>
      <x:c r="E23" s="8" t="str">
        <x:v>Corporate private</x:v>
      </x:c>
      <x:c r="F23" s="8" t="str">
        <x:v>USD</x:v>
      </x:c>
      <x:c r="G23" s="16" t="n">
        <x:v>7.449999999999999</x:v>
      </x:c>
      <x:c r="H23" s="16" t="n">
        <x:v>1.5</x:v>
      </x:c>
      <x:c r="I23" s="11" t="n">
        <x:v>0.5</x:v>
      </x:c>
      <x:c r="J23" s="22" t="n">
        <x:v>12</x:v>
      </x:c>
      <x:c r="K23" s="11" t="n">
        <x:v>0.08</x:v>
      </x:c>
      <x:c r="L23" s="11" t="n">
        <x:v>0.018000000000000002</x:v>
      </x:c>
      <x:c r="M23" s="22" t="n">
        <x:v>0</x:v>
      </x:c>
      <x:c r="N23" s="16" t="str">
        <x:v>Auto</x:v>
      </x:c>
      <x:c r="O23" s="16" t="n">
        <x:v>10.429999999999998</x:v>
      </x:c>
      <x:c r="P23" s="16" t="n">
        <x:v>10.0575</x:v>
      </x:c>
      <x:c r="Q23" s="11" t="n">
        <x:v>0.65</x:v>
      </x:c>
      <x:c r="R23" s="11" t="n">
        <x:v>0.12</x:v>
      </x:c>
      <x:c r="S23" s="11" t="n">
        <x:v>1</x:v>
      </x:c>
      <x:c r="T23" s="11" t="n">
        <x:v>0.095</x:v>
      </x:c>
      <x:c r="U23" s="16" t="str">
        <x:v>B008</x:v>
      </x:c>
      <x:c r="V23" s="16" t="str">
        <x:v>General corporate</x:v>
      </x:c>
      <x:c r="W23" s="16" t="str">
        <x:v>Solar PV</x:v>
      </x:c>
      <x:c r="X23" s="16" t="n">
        <x:v>0.09655200000000001</x:v>
      </x:c>
      <x:c r="Y23" s="16" t="str">
        <x:v>SYN-LOAN-15</x:v>
      </x:c>
      <x:c r="Z23" s="23" t="n">
        <x:f>IF(C23="","",IFERROR(INDEX(Settings!$D$41:$D$44,MATCH(F23,Settings!$C$41:$C$44,0)),0))</x:f>
        <x:v>1</x:v>
      </x:c>
      <x:c r="AA23" s="21" t="n">
        <x:f>IF(C23="","",G23*Z23)</x:f>
        <x:v>7.449999999999999</x:v>
      </x:c>
      <x:c r="AB23" s="21" t="n">
        <x:f>IF(C23="","",H23*Z23)</x:f>
        <x:v>1.5</x:v>
      </x:c>
      <x:c r="AC23" s="21" t="n">
        <x:f>IF(C23="","",AA23+AB23*I23)</x:f>
        <x:v>8.2</x:v>
      </x:c>
      <x:c r="AD23" s="23" t="n">
        <x:f>IF(C23="","",IFERROR(IF(OR(INDEX(Borrowers!$Z$9:$Z$108,MATCH(D23,Borrowers!$C$9:$C$108,0))="Yes",M23&gt;=90),3,IF(AND(N23&lt;&gt;"Auto",AG23&lt;&gt;"",AH23&lt;&gt;""),VALUE(N23),IF(OR(M23&gt;=30,AM23="Yes",AND(INDEX(Borrowers!$P$9:$P$108,MATCH(D23,Borrowers!$C$9:$C$108,0))&gt;=L23*Settings!$F$19,INDEX(Borrowers!$P$9:$P$108,MATCH(D23,Borrowers!$C$9:$C$108,0))-L23&gt;=Settings!$F$20)),2,1))),"Missing borrower"))</x:f>
        <x:v>1</x:v>
      </x:c>
      <x:c r="AE23" s="21" t="n">
        <x:f>IF(C23="","",MAX(0,AA23-X23)*IF(AD23=3,AJ23,S23)+AB23*AI23*S23)</x:f>
        <x:v>8.103448</x:v>
      </x:c>
      <x:c r="AF23" s="23" t="str">
        <x:f>IF(C23="","",IF(COUNTIF($C$9:$C$108,C23)&lt;&gt;1,"Duplicate facility",IF(COUNTIF(Borrowers!$C$9:$C$108,D23)&lt;&gt;1,"Missing borrower",IF(OR(COUNT(G23:M23)&lt;&gt;7,COUNT(O23:T23)&lt;&gt;6,COUNT(AI23:AL23)&lt;&gt;4,COUNT(AN23)&lt;&gt;1,COUNT(AP23)&lt;&gt;1,COUNT(X23)&lt;&gt;1,Y23="",N23="",AM23=""),"Missing inputs",IF(OR(Z23&lt;=0,G23&lt;0,H23&lt;0,J23&lt;1,J23&gt;30,J23&lt;&gt;INT(J23),MIN(I23,K23,L23,Q23,R23,AI23,AL23)&lt;0,MAX(I23,K23,L23,Q23,R23,AI23,AL23)&gt;1,X23&lt;0,X23&gt;AA23,AP23&lt;0,M23&lt;0,M23&lt;&gt;INT(M23),S23&lt;0,T23&lt;0,AJ23&lt;0,AK23&lt;0,AK23&gt;30,AK23&lt;&gt;INT(AK23),AN23&lt;0,AN23&gt;5,AN23&gt;J23,AN23&lt;&gt;INT(AN23),AND(AN23&gt;0,AQ23=""),NOT(OR(AM23="Yes",AM23="No")),AND(N23&lt;&gt;"Auto",OR(AG23="",AH23=""))),"Review inputs",IF(INDEX(Borrowers!$AA$9:$AA$108,MATCH(D23,Borrowers!$C$9:$C$108,0))&lt;&gt;"Ready","Borrower review","Ready"))))))</x:f>
        <x:v>Ready</x:v>
      </x:c>
      <x:c r="AG23" s="16" t="str"/>
      <x:c r="AH23" s="16" t="str"/>
      <x:c r="AI23" s="11" t="n">
        <x:v>0.5</x:v>
      </x:c>
      <x:c r="AJ23" s="11" t="n">
        <x:v>1.5</x:v>
      </x:c>
      <x:c r="AK23" s="22" t="n">
        <x:v>2</x:v>
      </x:c>
      <x:c r="AL23" s="11" t="n">
        <x:v>0.55</x:v>
      </x:c>
      <x:c r="AM23" s="16" t="str">
        <x:v>No</x:v>
      </x:c>
      <x:c r="AN23" s="22" t="n">
        <x:v>0</x:v>
      </x:c>
      <x:c r="AO23" s="21" t="n">
        <x:f>IF(C23="","",AA23+AB23*AI23)</x:f>
        <x:v>8.2</x:v>
      </x:c>
      <x:c r="AP23" s="16" t="n">
        <x:v>0.006</x:v>
      </x:c>
      <x:c r="AQ23" s="8" t="str">
        <x:v>Synthetic conditional default schedule</x:v>
      </x:c>
    </x:row>
    <x:row r="24" ht="36" customHeight="1">
      <x:c r="A24" s="1"/>
      <x:c r="B24" s="1"/>
      <x:c r="C24" s="8" t="str">
        <x:v>F016</x:v>
      </x:c>
      <x:c r="D24" s="8" t="str">
        <x:v>B008</x:v>
      </x:c>
      <x:c r="E24" s="8" t="str">
        <x:v>Project finance</x:v>
      </x:c>
      <x:c r="F24" s="8" t="str">
        <x:v>USD</x:v>
      </x:c>
      <x:c r="G24" s="16" t="n">
        <x:v>4.949999999999999</x:v>
      </x:c>
      <x:c r="H24" s="16" t="n">
        <x:v>0.5</x:v>
      </x:c>
      <x:c r="I24" s="11" t="n">
        <x:v>0.5</x:v>
      </x:c>
      <x:c r="J24" s="22" t="n">
        <x:v>12</x:v>
      </x:c>
      <x:c r="K24" s="11" t="n">
        <x:v>0.08</x:v>
      </x:c>
      <x:c r="L24" s="11" t="n">
        <x:v>0.018000000000000002</x:v>
      </x:c>
      <x:c r="M24" s="22" t="n">
        <x:v>0</x:v>
      </x:c>
      <x:c r="N24" s="16" t="str">
        <x:v>Auto</x:v>
      </x:c>
      <x:c r="O24" s="16" t="n">
        <x:v>6.929999999999999</x:v>
      </x:c>
      <x:c r="P24" s="16" t="n">
        <x:v>6.682499999999999</x:v>
      </x:c>
      <x:c r="Q24" s="11" t="n">
        <x:v>0.65</x:v>
      </x:c>
      <x:c r="R24" s="11" t="n">
        <x:v>0.12</x:v>
      </x:c>
      <x:c r="S24" s="11" t="n">
        <x:v>1</x:v>
      </x:c>
      <x:c r="T24" s="11" t="n">
        <x:v>0.095</x:v>
      </x:c>
      <x:c r="U24" s="16" t="str">
        <x:v>A008</x:v>
      </x:c>
      <x:c r="V24" s="16" t="str">
        <x:v>Designated asset</x:v>
      </x:c>
      <x:c r="W24" s="16" t="str">
        <x:v>Solar PV</x:v>
      </x:c>
      <x:c r="X24" s="16" t="n">
        <x:v>0.064152</x:v>
      </x:c>
      <x:c r="Y24" s="16" t="str">
        <x:v>SYN-LOAN-16</x:v>
      </x:c>
      <x:c r="Z24" s="23" t="n">
        <x:f>IF(C24="","",IFERROR(INDEX(Settings!$D$41:$D$44,MATCH(F24,Settings!$C$41:$C$44,0)),0))</x:f>
        <x:v>1</x:v>
      </x:c>
      <x:c r="AA24" s="21" t="n">
        <x:f>IF(C24="","",G24*Z24)</x:f>
        <x:v>4.949999999999999</x:v>
      </x:c>
      <x:c r="AB24" s="21" t="n">
        <x:f>IF(C24="","",H24*Z24)</x:f>
        <x:v>0.5</x:v>
      </x:c>
      <x:c r="AC24" s="21" t="n">
        <x:f>IF(C24="","",AA24+AB24*I24)</x:f>
        <x:v>5.199999999999999</x:v>
      </x:c>
      <x:c r="AD24" s="23" t="n">
        <x:f>IF(C24="","",IFERROR(IF(OR(INDEX(Borrowers!$Z$9:$Z$108,MATCH(D24,Borrowers!$C$9:$C$108,0))="Yes",M24&gt;=90),3,IF(AND(N24&lt;&gt;"Auto",AG24&lt;&gt;"",AH24&lt;&gt;""),VALUE(N24),IF(OR(M24&gt;=30,AM24="Yes",AND(INDEX(Borrowers!$P$9:$P$108,MATCH(D24,Borrowers!$C$9:$C$108,0))&gt;=L24*Settings!$F$19,INDEX(Borrowers!$P$9:$P$108,MATCH(D24,Borrowers!$C$9:$C$108,0))-L24&gt;=Settings!$F$20)),2,1))),"Missing borrower"))</x:f>
        <x:v>1</x:v>
      </x:c>
      <x:c r="AE24" s="21" t="n">
        <x:f>IF(C24="","",MAX(0,AA24-X24)*IF(AD24=3,AJ24,S24)+AB24*AI24*S24)</x:f>
        <x:v>5.135847999999999</x:v>
      </x:c>
      <x:c r="AF24" s="23" t="str">
        <x:f>IF(C24="","",IF(COUNTIF($C$9:$C$108,C24)&lt;&gt;1,"Duplicate facility",IF(COUNTIF(Borrowers!$C$9:$C$108,D24)&lt;&gt;1,"Missing borrower",IF(OR(COUNT(G24:M24)&lt;&gt;7,COUNT(O24:T24)&lt;&gt;6,COUNT(AI24:AL24)&lt;&gt;4,COUNT(AN24)&lt;&gt;1,COUNT(AP24)&lt;&gt;1,COUNT(X24)&lt;&gt;1,Y24="",N24="",AM24=""),"Missing inputs",IF(OR(Z24&lt;=0,G24&lt;0,H24&lt;0,J24&lt;1,J24&gt;30,J24&lt;&gt;INT(J24),MIN(I24,K24,L24,Q24,R24,AI24,AL24)&lt;0,MAX(I24,K24,L24,Q24,R24,AI24,AL24)&gt;1,X24&lt;0,X24&gt;AA24,AP24&lt;0,M24&lt;0,M24&lt;&gt;INT(M24),S24&lt;0,T24&lt;0,AJ24&lt;0,AK24&lt;0,AK24&gt;30,AK24&lt;&gt;INT(AK24),AN24&lt;0,AN24&gt;5,AN24&gt;J24,AN24&lt;&gt;INT(AN24),AND(AN24&gt;0,AQ24=""),NOT(OR(AM24="Yes",AM24="No")),AND(N24&lt;&gt;"Auto",OR(AG24="",AH24=""))),"Review inputs",IF(INDEX(Borrowers!$AA$9:$AA$108,MATCH(D24,Borrowers!$C$9:$C$108,0))&lt;&gt;"Ready","Borrower review","Ready"))))))</x:f>
        <x:v>Ready</x:v>
      </x:c>
      <x:c r="AG24" s="16" t="str"/>
      <x:c r="AH24" s="16" t="str"/>
      <x:c r="AI24" s="11" t="n">
        <x:v>0.5</x:v>
      </x:c>
      <x:c r="AJ24" s="11" t="n">
        <x:v>1.5</x:v>
      </x:c>
      <x:c r="AK24" s="22" t="n">
        <x:v>2</x:v>
      </x:c>
      <x:c r="AL24" s="11" t="n">
        <x:v>0.55</x:v>
      </x:c>
      <x:c r="AM24" s="16" t="str">
        <x:v>No</x:v>
      </x:c>
      <x:c r="AN24" s="22" t="n">
        <x:v>0</x:v>
      </x:c>
      <x:c r="AO24" s="21" t="n">
        <x:f>IF(C24="","",AA24+AB24*AI24)</x:f>
        <x:v>5.199999999999999</x:v>
      </x:c>
      <x:c r="AP24" s="16" t="n">
        <x:v>0.002</x:v>
      </x:c>
      <x:c r="AQ24" s="8" t="str">
        <x:v>Synthetic conditional default schedule</x:v>
      </x:c>
    </x:row>
    <x:row r="25" ht="36" customHeight="1">
      <x:c r="A25" s="1"/>
      <x:c r="B25" s="1"/>
      <x:c r="C25" s="8" t="str">
        <x:v>F017</x:v>
      </x:c>
      <x:c r="D25" s="8" t="str">
        <x:v>B009</x:v>
      </x:c>
      <x:c r="E25" s="8" t="str">
        <x:v>Corporate private</x:v>
      </x:c>
      <x:c r="F25" s="8" t="str">
        <x:v>USD</x:v>
      </x:c>
      <x:c r="G25" s="16" t="n">
        <x:v>7.8</x:v>
      </x:c>
      <x:c r="H25" s="16" t="n">
        <x:v>1.5</x:v>
      </x:c>
      <x:c r="I25" s="11" t="n">
        <x:v>0.5</x:v>
      </x:c>
      <x:c r="J25" s="22" t="n">
        <x:v>8</x:v>
      </x:c>
      <x:c r="K25" s="11" t="n">
        <x:v>0.08</x:v>
      </x:c>
      <x:c r="L25" s="11" t="n">
        <x:v>0.01</x:v>
      </x:c>
      <x:c r="M25" s="22" t="n">
        <x:v>0</x:v>
      </x:c>
      <x:c r="N25" s="16" t="str">
        <x:v>Auto</x:v>
      </x:c>
      <x:c r="O25" s="16" t="n">
        <x:v>10.92</x:v>
      </x:c>
      <x:c r="P25" s="16" t="n">
        <x:v>10.530000000000001</x:v>
      </x:c>
      <x:c r="Q25" s="11" t="n">
        <x:v>0.65</x:v>
      </x:c>
      <x:c r="R25" s="11" t="n">
        <x:v>0.12</x:v>
      </x:c>
      <x:c r="S25" s="11" t="n">
        <x:v>1</x:v>
      </x:c>
      <x:c r="T25" s="11" t="n">
        <x:v>0.095</x:v>
      </x:c>
      <x:c r="U25" s="16" t="str">
        <x:v>B009</x:v>
      </x:c>
      <x:c r="V25" s="16" t="str">
        <x:v>General corporate</x:v>
      </x:c>
      <x:c r="W25" s="16" t="str">
        <x:v>Road freight</x:v>
      </x:c>
      <x:c r="X25" s="16" t="n">
        <x:v>0.14976</x:v>
      </x:c>
      <x:c r="Y25" s="16" t="str">
        <x:v>SYN-LOAN-17</x:v>
      </x:c>
      <x:c r="Z25" s="23" t="n">
        <x:f>IF(C25="","",IFERROR(INDEX(Settings!$D$41:$D$44,MATCH(F25,Settings!$C$41:$C$44,0)),0))</x:f>
        <x:v>1</x:v>
      </x:c>
      <x:c r="AA25" s="21" t="n">
        <x:f>IF(C25="","",G25*Z25)</x:f>
        <x:v>7.8</x:v>
      </x:c>
      <x:c r="AB25" s="21" t="n">
        <x:f>IF(C25="","",H25*Z25)</x:f>
        <x:v>1.5</x:v>
      </x:c>
      <x:c r="AC25" s="21" t="n">
        <x:f>IF(C25="","",AA25+AB25*I25)</x:f>
        <x:v>8.55</x:v>
      </x:c>
      <x:c r="AD25" s="23" t="n">
        <x:f>IF(C25="","",IFERROR(IF(OR(INDEX(Borrowers!$Z$9:$Z$108,MATCH(D25,Borrowers!$C$9:$C$108,0))="Yes",M25&gt;=90),3,IF(AND(N25&lt;&gt;"Auto",AG25&lt;&gt;"",AH25&lt;&gt;""),VALUE(N25),IF(OR(M25&gt;=30,AM25="Yes",AND(INDEX(Borrowers!$P$9:$P$108,MATCH(D25,Borrowers!$C$9:$C$108,0))&gt;=L25*Settings!$F$19,INDEX(Borrowers!$P$9:$P$108,MATCH(D25,Borrowers!$C$9:$C$108,0))-L25&gt;=Settings!$F$20)),2,1))),"Missing borrower"))</x:f>
        <x:v>2</x:v>
      </x:c>
      <x:c r="AE25" s="21" t="n">
        <x:f>IF(C25="","",MAX(0,AA25-X25)*IF(AD25=3,AJ25,S25)+AB25*AI25*S25)</x:f>
        <x:v>8.40024</x:v>
      </x:c>
      <x:c r="AF25" s="23" t="str">
        <x:f>IF(C25="","",IF(COUNTIF($C$9:$C$108,C25)&lt;&gt;1,"Duplicate facility",IF(COUNTIF(Borrowers!$C$9:$C$108,D25)&lt;&gt;1,"Missing borrower",IF(OR(COUNT(G25:M25)&lt;&gt;7,COUNT(O25:T25)&lt;&gt;6,COUNT(AI25:AL25)&lt;&gt;4,COUNT(AN25)&lt;&gt;1,COUNT(AP25)&lt;&gt;1,COUNT(X25)&lt;&gt;1,Y25="",N25="",AM25=""),"Missing inputs",IF(OR(Z25&lt;=0,G25&lt;0,H25&lt;0,J25&lt;1,J25&gt;30,J25&lt;&gt;INT(J25),MIN(I25,K25,L25,Q25,R25,AI25,AL25)&lt;0,MAX(I25,K25,L25,Q25,R25,AI25,AL25)&gt;1,X25&lt;0,X25&gt;AA25,AP25&lt;0,M25&lt;0,M25&lt;&gt;INT(M25),S25&lt;0,T25&lt;0,AJ25&lt;0,AK25&lt;0,AK25&gt;30,AK25&lt;&gt;INT(AK25),AN25&lt;0,AN25&gt;5,AN25&gt;J25,AN25&lt;&gt;INT(AN25),AND(AN25&gt;0,AQ25=""),NOT(OR(AM25="Yes",AM25="No")),AND(N25&lt;&gt;"Auto",OR(AG25="",AH25=""))),"Review inputs",IF(INDEX(Borrowers!$AA$9:$AA$108,MATCH(D25,Borrowers!$C$9:$C$108,0))&lt;&gt;"Ready","Borrower review","Ready"))))))</x:f>
        <x:v>Ready</x:v>
      </x:c>
      <x:c r="AG25" s="16" t="str"/>
      <x:c r="AH25" s="16" t="str"/>
      <x:c r="AI25" s="11" t="n">
        <x:v>0.5</x:v>
      </x:c>
      <x:c r="AJ25" s="11" t="n">
        <x:v>1.5</x:v>
      </x:c>
      <x:c r="AK25" s="22" t="n">
        <x:v>2</x:v>
      </x:c>
      <x:c r="AL25" s="11" t="n">
        <x:v>0.55</x:v>
      </x:c>
      <x:c r="AM25" s="16" t="str">
        <x:v>No</x:v>
      </x:c>
      <x:c r="AN25" s="22" t="n">
        <x:v>0</x:v>
      </x:c>
      <x:c r="AO25" s="21" t="n">
        <x:f>IF(C25="","",AA25+AB25*AI25)</x:f>
        <x:v>8.55</x:v>
      </x:c>
      <x:c r="AP25" s="16" t="n">
        <x:v>0.006</x:v>
      </x:c>
      <x:c r="AQ25" s="8" t="str">
        <x:v>Synthetic conditional default schedule</x:v>
      </x:c>
    </x:row>
    <x:row r="26" ht="36" customHeight="1">
      <x:c r="A26" s="1"/>
      <x:c r="B26" s="1"/>
      <x:c r="C26" s="8" t="str">
        <x:v>F018</x:v>
      </x:c>
      <x:c r="D26" s="8" t="str">
        <x:v>B009</x:v>
      </x:c>
      <x:c r="E26" s="8" t="str">
        <x:v>Motor</x:v>
      </x:c>
      <x:c r="F26" s="8" t="str">
        <x:v>USD</x:v>
      </x:c>
      <x:c r="G26" s="16" t="n">
        <x:v>5.3</x:v>
      </x:c>
      <x:c r="H26" s="16" t="n">
        <x:v>0.5</x:v>
      </x:c>
      <x:c r="I26" s="11" t="n">
        <x:v>0.5</x:v>
      </x:c>
      <x:c r="J26" s="22" t="n">
        <x:v>8</x:v>
      </x:c>
      <x:c r="K26" s="11" t="n">
        <x:v>0.08</x:v>
      </x:c>
      <x:c r="L26" s="11" t="n">
        <x:v>0.01</x:v>
      </x:c>
      <x:c r="M26" s="22" t="n">
        <x:v>0</x:v>
      </x:c>
      <x:c r="N26" s="16" t="str">
        <x:v>Auto</x:v>
      </x:c>
      <x:c r="O26" s="16" t="n">
        <x:v>7.419999999999999</x:v>
      </x:c>
      <x:c r="P26" s="16" t="n">
        <x:v>7.155</x:v>
      </x:c>
      <x:c r="Q26" s="11" t="n">
        <x:v>0.65</x:v>
      </x:c>
      <x:c r="R26" s="11" t="n">
        <x:v>0.12</x:v>
      </x:c>
      <x:c r="S26" s="11" t="n">
        <x:v>1</x:v>
      </x:c>
      <x:c r="T26" s="11" t="n">
        <x:v>0.095</x:v>
      </x:c>
      <x:c r="U26" s="16" t="str">
        <x:v>A009</x:v>
      </x:c>
      <x:c r="V26" s="16" t="str">
        <x:v>Designated asset</x:v>
      </x:c>
      <x:c r="W26" s="16" t="str">
        <x:v>Road freight</x:v>
      </x:c>
      <x:c r="X26" s="16" t="n">
        <x:v>0.10176000000000002</x:v>
      </x:c>
      <x:c r="Y26" s="16" t="str">
        <x:v>SYN-LOAN-18</x:v>
      </x:c>
      <x:c r="Z26" s="23" t="n">
        <x:f>IF(C26="","",IFERROR(INDEX(Settings!$D$41:$D$44,MATCH(F26,Settings!$C$41:$C$44,0)),0))</x:f>
        <x:v>1</x:v>
      </x:c>
      <x:c r="AA26" s="21" t="n">
        <x:f>IF(C26="","",G26*Z26)</x:f>
        <x:v>5.3</x:v>
      </x:c>
      <x:c r="AB26" s="21" t="n">
        <x:f>IF(C26="","",H26*Z26)</x:f>
        <x:v>0.5</x:v>
      </x:c>
      <x:c r="AC26" s="21" t="n">
        <x:f>IF(C26="","",AA26+AB26*I26)</x:f>
        <x:v>5.55</x:v>
      </x:c>
      <x:c r="AD26" s="23" t="n">
        <x:f>IF(C26="","",IFERROR(IF(OR(INDEX(Borrowers!$Z$9:$Z$108,MATCH(D26,Borrowers!$C$9:$C$108,0))="Yes",M26&gt;=90),3,IF(AND(N26&lt;&gt;"Auto",AG26&lt;&gt;"",AH26&lt;&gt;""),VALUE(N26),IF(OR(M26&gt;=30,AM26="Yes",AND(INDEX(Borrowers!$P$9:$P$108,MATCH(D26,Borrowers!$C$9:$C$108,0))&gt;=L26*Settings!$F$19,INDEX(Borrowers!$P$9:$P$108,MATCH(D26,Borrowers!$C$9:$C$108,0))-L26&gt;=Settings!$F$20)),2,1))),"Missing borrower"))</x:f>
        <x:v>2</x:v>
      </x:c>
      <x:c r="AE26" s="21" t="n">
        <x:f>IF(C26="","",MAX(0,AA26-X26)*IF(AD26=3,AJ26,S26)+AB26*AI26*S26)</x:f>
        <x:v>5.44824</x:v>
      </x:c>
      <x:c r="AF26" s="23" t="str">
        <x:f>IF(C26="","",IF(COUNTIF($C$9:$C$108,C26)&lt;&gt;1,"Duplicate facility",IF(COUNTIF(Borrowers!$C$9:$C$108,D26)&lt;&gt;1,"Missing borrower",IF(OR(COUNT(G26:M26)&lt;&gt;7,COUNT(O26:T26)&lt;&gt;6,COUNT(AI26:AL26)&lt;&gt;4,COUNT(AN26)&lt;&gt;1,COUNT(AP26)&lt;&gt;1,COUNT(X26)&lt;&gt;1,Y26="",N26="",AM26=""),"Missing inputs",IF(OR(Z26&lt;=0,G26&lt;0,H26&lt;0,J26&lt;1,J26&gt;30,J26&lt;&gt;INT(J26),MIN(I26,K26,L26,Q26,R26,AI26,AL26)&lt;0,MAX(I26,K26,L26,Q26,R26,AI26,AL26)&gt;1,X26&lt;0,X26&gt;AA26,AP26&lt;0,M26&lt;0,M26&lt;&gt;INT(M26),S26&lt;0,T26&lt;0,AJ26&lt;0,AK26&lt;0,AK26&gt;30,AK26&lt;&gt;INT(AK26),AN26&lt;0,AN26&gt;5,AN26&gt;J26,AN26&lt;&gt;INT(AN26),AND(AN26&gt;0,AQ26=""),NOT(OR(AM26="Yes",AM26="No")),AND(N26&lt;&gt;"Auto",OR(AG26="",AH26=""))),"Review inputs",IF(INDEX(Borrowers!$AA$9:$AA$108,MATCH(D26,Borrowers!$C$9:$C$108,0))&lt;&gt;"Ready","Borrower review","Ready"))))))</x:f>
        <x:v>Ready</x:v>
      </x:c>
      <x:c r="AG26" s="16" t="str"/>
      <x:c r="AH26" s="16" t="str"/>
      <x:c r="AI26" s="11" t="n">
        <x:v>0.5</x:v>
      </x:c>
      <x:c r="AJ26" s="11" t="n">
        <x:v>1.5</x:v>
      </x:c>
      <x:c r="AK26" s="22" t="n">
        <x:v>2</x:v>
      </x:c>
      <x:c r="AL26" s="11" t="n">
        <x:v>0.55</x:v>
      </x:c>
      <x:c r="AM26" s="16" t="str">
        <x:v>No</x:v>
      </x:c>
      <x:c r="AN26" s="22" t="n">
        <x:v>0</x:v>
      </x:c>
      <x:c r="AO26" s="21" t="n">
        <x:f>IF(C26="","",AA26+AB26*AI26)</x:f>
        <x:v>5.55</x:v>
      </x:c>
      <x:c r="AP26" s="16" t="n">
        <x:v>0.002</x:v>
      </x:c>
      <x:c r="AQ26" s="8" t="str">
        <x:v>Synthetic conditional default schedule</x:v>
      </x:c>
    </x:row>
    <x:row r="27" ht="36" customHeight="1">
      <x:c r="A27" s="1"/>
      <x:c r="B27" s="1"/>
      <x:c r="C27" s="8" t="str">
        <x:v>F019</x:v>
      </x:c>
      <x:c r="D27" s="8" t="str">
        <x:v>B010</x:v>
      </x:c>
      <x:c r="E27" s="8" t="str">
        <x:v>Corporate private</x:v>
      </x:c>
      <x:c r="F27" s="8" t="str">
        <x:v>USD</x:v>
      </x:c>
      <x:c r="G27" s="16" t="n">
        <x:v>8.15</x:v>
      </x:c>
      <x:c r="H27" s="16" t="n">
        <x:v>1.5</x:v>
      </x:c>
      <x:c r="I27" s="11" t="n">
        <x:v>0.5</x:v>
      </x:c>
      <x:c r="J27" s="22" t="n">
        <x:v>9</x:v>
      </x:c>
      <x:c r="K27" s="11" t="n">
        <x:v>0.08</x:v>
      </x:c>
      <x:c r="L27" s="11" t="n">
        <x:v>0.030000000000000002</x:v>
      </x:c>
      <x:c r="M27" s="22" t="n">
        <x:v>35</x:v>
      </x:c>
      <x:c r="N27" s="16" t="str">
        <x:v>Auto</x:v>
      </x:c>
      <x:c r="O27" s="16" t="n">
        <x:v>11.41</x:v>
      </x:c>
      <x:c r="P27" s="16" t="n">
        <x:v>11.002500000000001</x:v>
      </x:c>
      <x:c r="Q27" s="11" t="n">
        <x:v>0.65</x:v>
      </x:c>
      <x:c r="R27" s="11" t="n">
        <x:v>0.12</x:v>
      </x:c>
      <x:c r="S27" s="11" t="n">
        <x:v>1</x:v>
      </x:c>
      <x:c r="T27" s="11" t="n">
        <x:v>0.095</x:v>
      </x:c>
      <x:c r="U27" s="16" t="str">
        <x:v>B010</x:v>
      </x:c>
      <x:c r="V27" s="16" t="str">
        <x:v>General corporate</x:v>
      </x:c>
      <x:c r="W27" s="16" t="str">
        <x:v>Other</x:v>
      </x:c>
      <x:c r="X27" s="16" t="n">
        <x:v>0.21516000000000005</x:v>
      </x:c>
      <x:c r="Y27" s="16" t="str">
        <x:v>SYN-LOAN-19</x:v>
      </x:c>
      <x:c r="Z27" s="23" t="n">
        <x:f>IF(C27="","",IFERROR(INDEX(Settings!$D$41:$D$44,MATCH(F27,Settings!$C$41:$C$44,0)),0))</x:f>
        <x:v>1</x:v>
      </x:c>
      <x:c r="AA27" s="21" t="n">
        <x:f>IF(C27="","",G27*Z27)</x:f>
        <x:v>8.15</x:v>
      </x:c>
      <x:c r="AB27" s="21" t="n">
        <x:f>IF(C27="","",H27*Z27)</x:f>
        <x:v>1.5</x:v>
      </x:c>
      <x:c r="AC27" s="21" t="n">
        <x:f>IF(C27="","",AA27+AB27*I27)</x:f>
        <x:v>8.9</x:v>
      </x:c>
      <x:c r="AD27" s="23" t="n">
        <x:f>IF(C27="","",IFERROR(IF(OR(INDEX(Borrowers!$Z$9:$Z$108,MATCH(D27,Borrowers!$C$9:$C$108,0))="Yes",M27&gt;=90),3,IF(AND(N27&lt;&gt;"Auto",AG27&lt;&gt;"",AH27&lt;&gt;""),VALUE(N27),IF(OR(M27&gt;=30,AM27="Yes",AND(INDEX(Borrowers!$P$9:$P$108,MATCH(D27,Borrowers!$C$9:$C$108,0))&gt;=L27*Settings!$F$19,INDEX(Borrowers!$P$9:$P$108,MATCH(D27,Borrowers!$C$9:$C$108,0))-L27&gt;=Settings!$F$20)),2,1))),"Missing borrower"))</x:f>
        <x:v>2</x:v>
      </x:c>
      <x:c r="AE27" s="21" t="n">
        <x:f>IF(C27="","",MAX(0,AA27-X27)*IF(AD27=3,AJ27,S27)+AB27*AI27*S27)</x:f>
        <x:v>8.684840000000001</x:v>
      </x:c>
      <x:c r="AF27" s="23" t="str">
        <x:f>IF(C27="","",IF(COUNTIF($C$9:$C$108,C27)&lt;&gt;1,"Duplicate facility",IF(COUNTIF(Borrowers!$C$9:$C$108,D27)&lt;&gt;1,"Missing borrower",IF(OR(COUNT(G27:M27)&lt;&gt;7,COUNT(O27:T27)&lt;&gt;6,COUNT(AI27:AL27)&lt;&gt;4,COUNT(AN27)&lt;&gt;1,COUNT(AP27)&lt;&gt;1,COUNT(X27)&lt;&gt;1,Y27="",N27="",AM27=""),"Missing inputs",IF(OR(Z27&lt;=0,G27&lt;0,H27&lt;0,J27&lt;1,J27&gt;30,J27&lt;&gt;INT(J27),MIN(I27,K27,L27,Q27,R27,AI27,AL27)&lt;0,MAX(I27,K27,L27,Q27,R27,AI27,AL27)&gt;1,X27&lt;0,X27&gt;AA27,AP27&lt;0,M27&lt;0,M27&lt;&gt;INT(M27),S27&lt;0,T27&lt;0,AJ27&lt;0,AK27&lt;0,AK27&gt;30,AK27&lt;&gt;INT(AK27),AN27&lt;0,AN27&gt;5,AN27&gt;J27,AN27&lt;&gt;INT(AN27),AND(AN27&gt;0,AQ27=""),NOT(OR(AM27="Yes",AM27="No")),AND(N27&lt;&gt;"Auto",OR(AG27="",AH27=""))),"Review inputs",IF(INDEX(Borrowers!$AA$9:$AA$108,MATCH(D27,Borrowers!$C$9:$C$108,0))&lt;&gt;"Ready","Borrower review","Ready"))))))</x:f>
        <x:v>Ready</x:v>
      </x:c>
      <x:c r="AG27" s="16" t="str"/>
      <x:c r="AH27" s="16" t="str"/>
      <x:c r="AI27" s="11" t="n">
        <x:v>0.5</x:v>
      </x:c>
      <x:c r="AJ27" s="11" t="n">
        <x:v>1.5</x:v>
      </x:c>
      <x:c r="AK27" s="22" t="n">
        <x:v>2</x:v>
      </x:c>
      <x:c r="AL27" s="11" t="n">
        <x:v>0.55</x:v>
      </x:c>
      <x:c r="AM27" s="16" t="str">
        <x:v>No</x:v>
      </x:c>
      <x:c r="AN27" s="22" t="n">
        <x:v>0</x:v>
      </x:c>
      <x:c r="AO27" s="21" t="n">
        <x:f>IF(C27="","",AA27+AB27*AI27)</x:f>
        <x:v>8.9</x:v>
      </x:c>
      <x:c r="AP27" s="16" t="n">
        <x:v>0.006</x:v>
      </x:c>
      <x:c r="AQ27" s="8" t="str">
        <x:v>Synthetic conditional default schedule</x:v>
      </x:c>
    </x:row>
    <x:row r="28" ht="36" customHeight="1">
      <x:c r="A28" s="1"/>
      <x:c r="B28" s="1"/>
      <x:c r="C28" s="8" t="str">
        <x:v>F020</x:v>
      </x:c>
      <x:c r="D28" s="8" t="str">
        <x:v>B010</x:v>
      </x:c>
      <x:c r="E28" s="8" t="str">
        <x:v>Corporate private</x:v>
      </x:c>
      <x:c r="F28" s="8" t="str">
        <x:v>USD</x:v>
      </x:c>
      <x:c r="G28" s="16" t="n">
        <x:v>5.65</x:v>
      </x:c>
      <x:c r="H28" s="16" t="n">
        <x:v>0.5</x:v>
      </x:c>
      <x:c r="I28" s="11" t="n">
        <x:v>0.5</x:v>
      </x:c>
      <x:c r="J28" s="22" t="n">
        <x:v>9</x:v>
      </x:c>
      <x:c r="K28" s="11" t="n">
        <x:v>0.08</x:v>
      </x:c>
      <x:c r="L28" s="11" t="n">
        <x:v>0.030000000000000002</x:v>
      </x:c>
      <x:c r="M28" s="22" t="n">
        <x:v>35</x:v>
      </x:c>
      <x:c r="N28" s="16" t="str">
        <x:v>Auto</x:v>
      </x:c>
      <x:c r="O28" s="16" t="n">
        <x:v>7.91</x:v>
      </x:c>
      <x:c r="P28" s="16" t="n">
        <x:v>7.627500000000001</x:v>
      </x:c>
      <x:c r="Q28" s="11" t="n">
        <x:v>0.65</x:v>
      </x:c>
      <x:c r="R28" s="11" t="n">
        <x:v>0.12</x:v>
      </x:c>
      <x:c r="S28" s="11" t="n">
        <x:v>1</x:v>
      </x:c>
      <x:c r="T28" s="11" t="n">
        <x:v>0.095</x:v>
      </x:c>
      <x:c r="U28" s="16" t="str">
        <x:v>B010</x:v>
      </x:c>
      <x:c r="V28" s="16" t="str">
        <x:v>General corporate</x:v>
      </x:c>
      <x:c r="W28" s="16" t="str">
        <x:v>Other</x:v>
      </x:c>
      <x:c r="X28" s="16" t="n">
        <x:v>0.14916000000000004</x:v>
      </x:c>
      <x:c r="Y28" s="16" t="str">
        <x:v>SYN-LOAN-20</x:v>
      </x:c>
      <x:c r="Z28" s="23" t="n">
        <x:f>IF(C28="","",IFERROR(INDEX(Settings!$D$41:$D$44,MATCH(F28,Settings!$C$41:$C$44,0)),0))</x:f>
        <x:v>1</x:v>
      </x:c>
      <x:c r="AA28" s="21" t="n">
        <x:f>IF(C28="","",G28*Z28)</x:f>
        <x:v>5.65</x:v>
      </x:c>
      <x:c r="AB28" s="21" t="n">
        <x:f>IF(C28="","",H28*Z28)</x:f>
        <x:v>0.5</x:v>
      </x:c>
      <x:c r="AC28" s="21" t="n">
        <x:f>IF(C28="","",AA28+AB28*I28)</x:f>
        <x:v>5.9</x:v>
      </x:c>
      <x:c r="AD28" s="23" t="n">
        <x:f>IF(C28="","",IFERROR(IF(OR(INDEX(Borrowers!$Z$9:$Z$108,MATCH(D28,Borrowers!$C$9:$C$108,0))="Yes",M28&gt;=90),3,IF(AND(N28&lt;&gt;"Auto",AG28&lt;&gt;"",AH28&lt;&gt;""),VALUE(N28),IF(OR(M28&gt;=30,AM28="Yes",AND(INDEX(Borrowers!$P$9:$P$108,MATCH(D28,Borrowers!$C$9:$C$108,0))&gt;=L28*Settings!$F$19,INDEX(Borrowers!$P$9:$P$108,MATCH(D28,Borrowers!$C$9:$C$108,0))-L28&gt;=Settings!$F$20)),2,1))),"Missing borrower"))</x:f>
        <x:v>2</x:v>
      </x:c>
      <x:c r="AE28" s="21" t="n">
        <x:f>IF(C28="","",MAX(0,AA28-X28)*IF(AD28=3,AJ28,S28)+AB28*AI28*S28)</x:f>
        <x:v>5.75084</x:v>
      </x:c>
      <x:c r="AF28" s="23" t="str">
        <x:f>IF(C28="","",IF(COUNTIF($C$9:$C$108,C28)&lt;&gt;1,"Duplicate facility",IF(COUNTIF(Borrowers!$C$9:$C$108,D28)&lt;&gt;1,"Missing borrower",IF(OR(COUNT(G28:M28)&lt;&gt;7,COUNT(O28:T28)&lt;&gt;6,COUNT(AI28:AL28)&lt;&gt;4,COUNT(AN28)&lt;&gt;1,COUNT(AP28)&lt;&gt;1,COUNT(X28)&lt;&gt;1,Y28="",N28="",AM28=""),"Missing inputs",IF(OR(Z28&lt;=0,G28&lt;0,H28&lt;0,J28&lt;1,J28&gt;30,J28&lt;&gt;INT(J28),MIN(I28,K28,L28,Q28,R28,AI28,AL28)&lt;0,MAX(I28,K28,L28,Q28,R28,AI28,AL28)&gt;1,X28&lt;0,X28&gt;AA28,AP28&lt;0,M28&lt;0,M28&lt;&gt;INT(M28),S28&lt;0,T28&lt;0,AJ28&lt;0,AK28&lt;0,AK28&gt;30,AK28&lt;&gt;INT(AK28),AN28&lt;0,AN28&gt;5,AN28&gt;J28,AN28&lt;&gt;INT(AN28),AND(AN28&gt;0,AQ28=""),NOT(OR(AM28="Yes",AM28="No")),AND(N28&lt;&gt;"Auto",OR(AG28="",AH28=""))),"Review inputs",IF(INDEX(Borrowers!$AA$9:$AA$108,MATCH(D28,Borrowers!$C$9:$C$108,0))&lt;&gt;"Ready","Borrower review","Ready"))))))</x:f>
        <x:v>Ready</x:v>
      </x:c>
      <x:c r="AG28" s="16" t="str"/>
      <x:c r="AH28" s="16" t="str"/>
      <x:c r="AI28" s="11" t="n">
        <x:v>0.5</x:v>
      </x:c>
      <x:c r="AJ28" s="11" t="n">
        <x:v>1.5</x:v>
      </x:c>
      <x:c r="AK28" s="22" t="n">
        <x:v>2</x:v>
      </x:c>
      <x:c r="AL28" s="11" t="n">
        <x:v>0.55</x:v>
      </x:c>
      <x:c r="AM28" s="16" t="str">
        <x:v>No</x:v>
      </x:c>
      <x:c r="AN28" s="22" t="n">
        <x:v>0</x:v>
      </x:c>
      <x:c r="AO28" s="21" t="n">
        <x:f>IF(C28="","",AA28+AB28*AI28)</x:f>
        <x:v>5.9</x:v>
      </x:c>
      <x:c r="AP28" s="16" t="n">
        <x:v>0.002</x:v>
      </x:c>
      <x:c r="AQ28" s="8" t="str">
        <x:v>Synthetic conditional default schedule</x:v>
      </x:c>
    </x:row>
    <x:row r="29" ht="36" customHeight="1">
      <x:c r="A29" s="1"/>
      <x:c r="B29" s="1"/>
      <x:c r="C29" s="8" t="str">
        <x:v>F021</x:v>
      </x:c>
      <x:c r="D29" s="8" t="str">
        <x:v>B011</x:v>
      </x:c>
      <x:c r="E29" s="8" t="str">
        <x:v>Corporate listed</x:v>
      </x:c>
      <x:c r="F29" s="8" t="str">
        <x:v>USD</x:v>
      </x:c>
      <x:c r="G29" s="16" t="n">
        <x:v>8.5</x:v>
      </x:c>
      <x:c r="H29" s="16" t="n">
        <x:v>1.5</x:v>
      </x:c>
      <x:c r="I29" s="11" t="n">
        <x:v>0.5</x:v>
      </x:c>
      <x:c r="J29" s="22" t="n">
        <x:v>5</x:v>
      </x:c>
      <x:c r="K29" s="11" t="n">
        <x:v>0.08</x:v>
      </x:c>
      <x:c r="L29" s="11" t="n">
        <x:v>0.036000000000000004</x:v>
      </x:c>
      <x:c r="M29" s="22" t="n">
        <x:v>0</x:v>
      </x:c>
      <x:c r="N29" s="16" t="str">
        <x:v>Auto</x:v>
      </x:c>
      <x:c r="O29" s="16" t="n">
        <x:v>11.899999999999999</x:v>
      </x:c>
      <x:c r="P29" s="16" t="n">
        <x:v>11.475000000000001</x:v>
      </x:c>
      <x:c r="Q29" s="11" t="n">
        <x:v>0.65</x:v>
      </x:c>
      <x:c r="R29" s="11" t="n">
        <x:v>0.12</x:v>
      </x:c>
      <x:c r="S29" s="11" t="n">
        <x:v>1</x:v>
      </x:c>
      <x:c r="T29" s="11" t="n">
        <x:v>0.095</x:v>
      </x:c>
      <x:c r="U29" s="16" t="str">
        <x:v>B011</x:v>
      </x:c>
      <x:c r="V29" s="16" t="str">
        <x:v>General corporate</x:v>
      </x:c>
      <x:c r="W29" s="16" t="str">
        <x:v>Building renovation</x:v>
      </x:c>
      <x:c r="X29" s="16" t="n">
        <x:v>0.17136000000000004</x:v>
      </x:c>
      <x:c r="Y29" s="16" t="str">
        <x:v>SYN-LOAN-21</x:v>
      </x:c>
      <x:c r="Z29" s="23" t="n">
        <x:f>IF(C29="","",IFERROR(INDEX(Settings!$D$41:$D$44,MATCH(F29,Settings!$C$41:$C$44,0)),0))</x:f>
        <x:v>1</x:v>
      </x:c>
      <x:c r="AA29" s="21" t="n">
        <x:f>IF(C29="","",G29*Z29)</x:f>
        <x:v>8.5</x:v>
      </x:c>
      <x:c r="AB29" s="21" t="n">
        <x:f>IF(C29="","",H29*Z29)</x:f>
        <x:v>1.5</x:v>
      </x:c>
      <x:c r="AC29" s="21" t="n">
        <x:f>IF(C29="","",AA29+AB29*I29)</x:f>
        <x:v>9.25</x:v>
      </x:c>
      <x:c r="AD29" s="23" t="n">
        <x:f>IF(C29="","",IFERROR(IF(OR(INDEX(Borrowers!$Z$9:$Z$108,MATCH(D29,Borrowers!$C$9:$C$108,0))="Yes",M29&gt;=90),3,IF(AND(N29&lt;&gt;"Auto",AG29&lt;&gt;"",AH29&lt;&gt;""),VALUE(N29),IF(OR(M29&gt;=30,AM29="Yes",AND(INDEX(Borrowers!$P$9:$P$108,MATCH(D29,Borrowers!$C$9:$C$108,0))&gt;=L29*Settings!$F$19,INDEX(Borrowers!$P$9:$P$108,MATCH(D29,Borrowers!$C$9:$C$108,0))-L29&gt;=Settings!$F$20)),2,1))),"Missing borrower"))</x:f>
        <x:v>1</x:v>
      </x:c>
      <x:c r="AE29" s="21" t="n">
        <x:f>IF(C29="","",MAX(0,AA29-X29)*IF(AD29=3,AJ29,S29)+AB29*AI29*S29)</x:f>
        <x:v>9.07864</x:v>
      </x:c>
      <x:c r="AF29" s="23" t="str">
        <x:f>IF(C29="","",IF(COUNTIF($C$9:$C$108,C29)&lt;&gt;1,"Duplicate facility",IF(COUNTIF(Borrowers!$C$9:$C$108,D29)&lt;&gt;1,"Missing borrower",IF(OR(COUNT(G29:M29)&lt;&gt;7,COUNT(O29:T29)&lt;&gt;6,COUNT(AI29:AL29)&lt;&gt;4,COUNT(AN29)&lt;&gt;1,COUNT(AP29)&lt;&gt;1,COUNT(X29)&lt;&gt;1,Y29="",N29="",AM29=""),"Missing inputs",IF(OR(Z29&lt;=0,G29&lt;0,H29&lt;0,J29&lt;1,J29&gt;30,J29&lt;&gt;INT(J29),MIN(I29,K29,L29,Q29,R29,AI29,AL29)&lt;0,MAX(I29,K29,L29,Q29,R29,AI29,AL29)&gt;1,X29&lt;0,X29&gt;AA29,AP29&lt;0,M29&lt;0,M29&lt;&gt;INT(M29),S29&lt;0,T29&lt;0,AJ29&lt;0,AK29&lt;0,AK29&gt;30,AK29&lt;&gt;INT(AK29),AN29&lt;0,AN29&gt;5,AN29&gt;J29,AN29&lt;&gt;INT(AN29),AND(AN29&gt;0,AQ29=""),NOT(OR(AM29="Yes",AM29="No")),AND(N29&lt;&gt;"Auto",OR(AG29="",AH29=""))),"Review inputs",IF(INDEX(Borrowers!$AA$9:$AA$108,MATCH(D29,Borrowers!$C$9:$C$108,0))&lt;&gt;"Ready","Borrower review","Ready"))))))</x:f>
        <x:v>Ready</x:v>
      </x:c>
      <x:c r="AG29" s="16" t="str"/>
      <x:c r="AH29" s="16" t="str"/>
      <x:c r="AI29" s="11" t="n">
        <x:v>0.5</x:v>
      </x:c>
      <x:c r="AJ29" s="11" t="n">
        <x:v>1.5</x:v>
      </x:c>
      <x:c r="AK29" s="22" t="n">
        <x:v>2</x:v>
      </x:c>
      <x:c r="AL29" s="11" t="n">
        <x:v>0.55</x:v>
      </x:c>
      <x:c r="AM29" s="16" t="str">
        <x:v>No</x:v>
      </x:c>
      <x:c r="AN29" s="22" t="n">
        <x:v>0</x:v>
      </x:c>
      <x:c r="AO29" s="21" t="n">
        <x:f>IF(C29="","",AA29+AB29*AI29)</x:f>
        <x:v>9.25</x:v>
      </x:c>
      <x:c r="AP29" s="16" t="n">
        <x:v>0.006</x:v>
      </x:c>
      <x:c r="AQ29" s="8" t="str">
        <x:v>Synthetic conditional default schedule</x:v>
      </x:c>
    </x:row>
    <x:row r="30" ht="36" customHeight="1">
      <x:c r="A30" s="1"/>
      <x:c r="B30" s="1"/>
      <x:c r="C30" s="8" t="str">
        <x:v>F022</x:v>
      </x:c>
      <x:c r="D30" s="8" t="str">
        <x:v>B011</x:v>
      </x:c>
      <x:c r="E30" s="8" t="str">
        <x:v>CRE</x:v>
      </x:c>
      <x:c r="F30" s="8" t="str">
        <x:v>USD</x:v>
      </x:c>
      <x:c r="G30" s="16" t="n">
        <x:v>6</x:v>
      </x:c>
      <x:c r="H30" s="16" t="n">
        <x:v>0.5</x:v>
      </x:c>
      <x:c r="I30" s="11" t="n">
        <x:v>0.5</x:v>
      </x:c>
      <x:c r="J30" s="22" t="n">
        <x:v>5</x:v>
      </x:c>
      <x:c r="K30" s="11" t="n">
        <x:v>0.08</x:v>
      </x:c>
      <x:c r="L30" s="11" t="n">
        <x:v>0.036000000000000004</x:v>
      </x:c>
      <x:c r="M30" s="22" t="n">
        <x:v>0</x:v>
      </x:c>
      <x:c r="N30" s="16" t="str">
        <x:v>Auto</x:v>
      </x:c>
      <x:c r="O30" s="16" t="n">
        <x:v>8.399999999999999</x:v>
      </x:c>
      <x:c r="P30" s="16" t="n">
        <x:v>8.100000000000001</x:v>
      </x:c>
      <x:c r="Q30" s="11" t="n">
        <x:v>0.65</x:v>
      </x:c>
      <x:c r="R30" s="11" t="n">
        <x:v>0.12</x:v>
      </x:c>
      <x:c r="S30" s="11" t="n">
        <x:v>1</x:v>
      </x:c>
      <x:c r="T30" s="11" t="n">
        <x:v>0.095</x:v>
      </x:c>
      <x:c r="U30" s="16" t="str">
        <x:v>A011</x:v>
      </x:c>
      <x:c r="V30" s="16" t="str">
        <x:v>Designated asset</x:v>
      </x:c>
      <x:c r="W30" s="16" t="str">
        <x:v>Building renovation</x:v>
      </x:c>
      <x:c r="X30" s="16" t="n">
        <x:v>0.12096000000000003</x:v>
      </x:c>
      <x:c r="Y30" s="16" t="str">
        <x:v>SYN-LOAN-22</x:v>
      </x:c>
      <x:c r="Z30" s="23" t="n">
        <x:f>IF(C30="","",IFERROR(INDEX(Settings!$D$41:$D$44,MATCH(F30,Settings!$C$41:$C$44,0)),0))</x:f>
        <x:v>1</x:v>
      </x:c>
      <x:c r="AA30" s="21" t="n">
        <x:f>IF(C30="","",G30*Z30)</x:f>
        <x:v>6</x:v>
      </x:c>
      <x:c r="AB30" s="21" t="n">
        <x:f>IF(C30="","",H30*Z30)</x:f>
        <x:v>0.5</x:v>
      </x:c>
      <x:c r="AC30" s="21" t="n">
        <x:f>IF(C30="","",AA30+AB30*I30)</x:f>
        <x:v>6.25</x:v>
      </x:c>
      <x:c r="AD30" s="23" t="n">
        <x:f>IF(C30="","",IFERROR(IF(OR(INDEX(Borrowers!$Z$9:$Z$108,MATCH(D30,Borrowers!$C$9:$C$108,0))="Yes",M30&gt;=90),3,IF(AND(N30&lt;&gt;"Auto",AG30&lt;&gt;"",AH30&lt;&gt;""),VALUE(N30),IF(OR(M30&gt;=30,AM30="Yes",AND(INDEX(Borrowers!$P$9:$P$108,MATCH(D30,Borrowers!$C$9:$C$108,0))&gt;=L30*Settings!$F$19,INDEX(Borrowers!$P$9:$P$108,MATCH(D30,Borrowers!$C$9:$C$108,0))-L30&gt;=Settings!$F$20)),2,1))),"Missing borrower"))</x:f>
        <x:v>1</x:v>
      </x:c>
      <x:c r="AE30" s="21" t="n">
        <x:f>IF(C30="","",MAX(0,AA30-X30)*IF(AD30=3,AJ30,S30)+AB30*AI30*S30)</x:f>
        <x:v>6.12904</x:v>
      </x:c>
      <x:c r="AF30" s="23" t="str">
        <x:f>IF(C30="","",IF(COUNTIF($C$9:$C$108,C30)&lt;&gt;1,"Duplicate facility",IF(COUNTIF(Borrowers!$C$9:$C$108,D30)&lt;&gt;1,"Missing borrower",IF(OR(COUNT(G30:M30)&lt;&gt;7,COUNT(O30:T30)&lt;&gt;6,COUNT(AI30:AL30)&lt;&gt;4,COUNT(AN30)&lt;&gt;1,COUNT(AP30)&lt;&gt;1,COUNT(X30)&lt;&gt;1,Y30="",N30="",AM30=""),"Missing inputs",IF(OR(Z30&lt;=0,G30&lt;0,H30&lt;0,J30&lt;1,J30&gt;30,J30&lt;&gt;INT(J30),MIN(I30,K30,L30,Q30,R30,AI30,AL30)&lt;0,MAX(I30,K30,L30,Q30,R30,AI30,AL30)&gt;1,X30&lt;0,X30&gt;AA30,AP30&lt;0,M30&lt;0,M30&lt;&gt;INT(M30),S30&lt;0,T30&lt;0,AJ30&lt;0,AK30&lt;0,AK30&gt;30,AK30&lt;&gt;INT(AK30),AN30&lt;0,AN30&gt;5,AN30&gt;J30,AN30&lt;&gt;INT(AN30),AND(AN30&gt;0,AQ30=""),NOT(OR(AM30="Yes",AM30="No")),AND(N30&lt;&gt;"Auto",OR(AG30="",AH30=""))),"Review inputs",IF(INDEX(Borrowers!$AA$9:$AA$108,MATCH(D30,Borrowers!$C$9:$C$108,0))&lt;&gt;"Ready","Borrower review","Ready"))))))</x:f>
        <x:v>Ready</x:v>
      </x:c>
      <x:c r="AG30" s="16" t="str"/>
      <x:c r="AH30" s="16" t="str"/>
      <x:c r="AI30" s="11" t="n">
        <x:v>0.5</x:v>
      </x:c>
      <x:c r="AJ30" s="11" t="n">
        <x:v>1.5</x:v>
      </x:c>
      <x:c r="AK30" s="22" t="n">
        <x:v>2</x:v>
      </x:c>
      <x:c r="AL30" s="11" t="n">
        <x:v>0.55</x:v>
      </x:c>
      <x:c r="AM30" s="16" t="str">
        <x:v>No</x:v>
      </x:c>
      <x:c r="AN30" s="22" t="n">
        <x:v>0</x:v>
      </x:c>
      <x:c r="AO30" s="21" t="n">
        <x:f>IF(C30="","",AA30+AB30*AI30)</x:f>
        <x:v>6.25</x:v>
      </x:c>
      <x:c r="AP30" s="16" t="n">
        <x:v>0.002</x:v>
      </x:c>
      <x:c r="AQ30" s="8" t="str">
        <x:v>Synthetic conditional default schedule</x:v>
      </x:c>
    </x:row>
    <x:row r="31" ht="36" customHeight="1">
      <x:c r="A31" s="1"/>
      <x:c r="B31" s="1"/>
      <x:c r="C31" s="8" t="str">
        <x:v>F023</x:v>
      </x:c>
      <x:c r="D31" s="8" t="str">
        <x:v>B012</x:v>
      </x:c>
      <x:c r="E31" s="8" t="str">
        <x:v>Corporate private</x:v>
      </x:c>
      <x:c r="F31" s="8" t="str">
        <x:v>USD</x:v>
      </x:c>
      <x:c r="G31" s="16" t="n">
        <x:v>8.85</x:v>
      </x:c>
      <x:c r="H31" s="16" t="n">
        <x:v>1.5</x:v>
      </x:c>
      <x:c r="I31" s="11" t="n">
        <x:v>0.5</x:v>
      </x:c>
      <x:c r="J31" s="22" t="n">
        <x:v>6</x:v>
      </x:c>
      <x:c r="K31" s="11" t="n">
        <x:v>0.08</x:v>
      </x:c>
      <x:c r="L31" s="11" t="n">
        <x:v>0.041999999999999996</x:v>
      </x:c>
      <x:c r="M31" s="22" t="n">
        <x:v>0</x:v>
      </x:c>
      <x:c r="N31" s="16" t="str">
        <x:v>Auto</x:v>
      </x:c>
      <x:c r="O31" s="16" t="n">
        <x:v>12.389999999999999</x:v>
      </x:c>
      <x:c r="P31" s="16" t="n">
        <x:v>11.9475</x:v>
      </x:c>
      <x:c r="Q31" s="11" t="n">
        <x:v>0.65</x:v>
      </x:c>
      <x:c r="R31" s="11" t="n">
        <x:v>0.12</x:v>
      </x:c>
      <x:c r="S31" s="11" t="n">
        <x:v>1</x:v>
      </x:c>
      <x:c r="T31" s="11" t="n">
        <x:v>0.095</x:v>
      </x:c>
      <x:c r="U31" s="16" t="str">
        <x:v>B012</x:v>
      </x:c>
      <x:c r="V31" s="16" t="str">
        <x:v>General corporate</x:v>
      </x:c>
      <x:c r="W31" s="16" t="str">
        <x:v>Other</x:v>
      </x:c>
      <x:c r="X31" s="16" t="n">
        <x:v>0.23788799999999996</x:v>
      </x:c>
      <x:c r="Y31" s="16" t="str">
        <x:v>SYN-LOAN-23</x:v>
      </x:c>
      <x:c r="Z31" s="23" t="n">
        <x:f>IF(C31="","",IFERROR(INDEX(Settings!$D$41:$D$44,MATCH(F31,Settings!$C$41:$C$44,0)),0))</x:f>
        <x:v>1</x:v>
      </x:c>
      <x:c r="AA31" s="21" t="n">
        <x:f>IF(C31="","",G31*Z31)</x:f>
        <x:v>8.85</x:v>
      </x:c>
      <x:c r="AB31" s="21" t="n">
        <x:f>IF(C31="","",H31*Z31)</x:f>
        <x:v>1.5</x:v>
      </x:c>
      <x:c r="AC31" s="21" t="n">
        <x:f>IF(C31="","",AA31+AB31*I31)</x:f>
        <x:v>9.6</x:v>
      </x:c>
      <x:c r="AD31" s="23" t="n">
        <x:f>IF(C31="","",IFERROR(IF(OR(INDEX(Borrowers!$Z$9:$Z$108,MATCH(D31,Borrowers!$C$9:$C$108,0))="Yes",M31&gt;=90),3,IF(AND(N31&lt;&gt;"Auto",AG31&lt;&gt;"",AH31&lt;&gt;""),VALUE(N31),IF(OR(M31&gt;=30,AM31="Yes",AND(INDEX(Borrowers!$P$9:$P$108,MATCH(D31,Borrowers!$C$9:$C$108,0))&gt;=L31*Settings!$F$19,INDEX(Borrowers!$P$9:$P$108,MATCH(D31,Borrowers!$C$9:$C$108,0))-L31&gt;=Settings!$F$20)),2,1))),"Missing borrower"))</x:f>
        <x:v>1</x:v>
      </x:c>
      <x:c r="AE31" s="21" t="n">
        <x:f>IF(C31="","",MAX(0,AA31-X31)*IF(AD31=3,AJ31,S31)+AB31*AI31*S31)</x:f>
        <x:v>9.362112</x:v>
      </x:c>
      <x:c r="AF31" s="23" t="str">
        <x:f>IF(C31="","",IF(COUNTIF($C$9:$C$108,C31)&lt;&gt;1,"Duplicate facility",IF(COUNTIF(Borrowers!$C$9:$C$108,D31)&lt;&gt;1,"Missing borrower",IF(OR(COUNT(G31:M31)&lt;&gt;7,COUNT(O31:T31)&lt;&gt;6,COUNT(AI31:AL31)&lt;&gt;4,COUNT(AN31)&lt;&gt;1,COUNT(AP31)&lt;&gt;1,COUNT(X31)&lt;&gt;1,Y31="",N31="",AM31=""),"Missing inputs",IF(OR(Z31&lt;=0,G31&lt;0,H31&lt;0,J31&lt;1,J31&gt;30,J31&lt;&gt;INT(J31),MIN(I31,K31,L31,Q31,R31,AI31,AL31)&lt;0,MAX(I31,K31,L31,Q31,R31,AI31,AL31)&gt;1,X31&lt;0,X31&gt;AA31,AP31&lt;0,M31&lt;0,M31&lt;&gt;INT(M31),S31&lt;0,T31&lt;0,AJ31&lt;0,AK31&lt;0,AK31&gt;30,AK31&lt;&gt;INT(AK31),AN31&lt;0,AN31&gt;5,AN31&gt;J31,AN31&lt;&gt;INT(AN31),AND(AN31&gt;0,AQ31=""),NOT(OR(AM31="Yes",AM31="No")),AND(N31&lt;&gt;"Auto",OR(AG31="",AH31=""))),"Review inputs",IF(INDEX(Borrowers!$AA$9:$AA$108,MATCH(D31,Borrowers!$C$9:$C$108,0))&lt;&gt;"Ready","Borrower review","Ready"))))))</x:f>
        <x:v>Ready</x:v>
      </x:c>
      <x:c r="AG31" s="16" t="str"/>
      <x:c r="AH31" s="16" t="str"/>
      <x:c r="AI31" s="11" t="n">
        <x:v>0.5</x:v>
      </x:c>
      <x:c r="AJ31" s="11" t="n">
        <x:v>1.5</x:v>
      </x:c>
      <x:c r="AK31" s="22" t="n">
        <x:v>2</x:v>
      </x:c>
      <x:c r="AL31" s="11" t="n">
        <x:v>0.55</x:v>
      </x:c>
      <x:c r="AM31" s="16" t="str">
        <x:v>No</x:v>
      </x:c>
      <x:c r="AN31" s="22" t="n">
        <x:v>0</x:v>
      </x:c>
      <x:c r="AO31" s="21" t="n">
        <x:f>IF(C31="","",AA31+AB31*AI31)</x:f>
        <x:v>9.6</x:v>
      </x:c>
      <x:c r="AP31" s="16" t="n">
        <x:v>0.006</x:v>
      </x:c>
      <x:c r="AQ31" s="8" t="str">
        <x:v>Synthetic conditional default schedule</x:v>
      </x:c>
    </x:row>
    <x:row r="32" ht="36" customHeight="1">
      <x:c r="A32" s="1"/>
      <x:c r="B32" s="1"/>
      <x:c r="C32" s="8" t="str">
        <x:v>F024</x:v>
      </x:c>
      <x:c r="D32" s="8" t="str">
        <x:v>B012</x:v>
      </x:c>
      <x:c r="E32" s="8" t="str">
        <x:v>Corporate private</x:v>
      </x:c>
      <x:c r="F32" s="8" t="str">
        <x:v>USD</x:v>
      </x:c>
      <x:c r="G32" s="16" t="n">
        <x:v>6.35</x:v>
      </x:c>
      <x:c r="H32" s="16" t="n">
        <x:v>0.5</x:v>
      </x:c>
      <x:c r="I32" s="11" t="n">
        <x:v>0.5</x:v>
      </x:c>
      <x:c r="J32" s="22" t="n">
        <x:v>6</x:v>
      </x:c>
      <x:c r="K32" s="11" t="n">
        <x:v>0.08</x:v>
      </x:c>
      <x:c r="L32" s="11" t="n">
        <x:v>0.041999999999999996</x:v>
      </x:c>
      <x:c r="M32" s="22" t="n">
        <x:v>0</x:v>
      </x:c>
      <x:c r="N32" s="16" t="str">
        <x:v>Auto</x:v>
      </x:c>
      <x:c r="O32" s="16" t="n">
        <x:v>8.889999999999999</x:v>
      </x:c>
      <x:c r="P32" s="16" t="n">
        <x:v>8.5725</x:v>
      </x:c>
      <x:c r="Q32" s="11" t="n">
        <x:v>0.65</x:v>
      </x:c>
      <x:c r="R32" s="11" t="n">
        <x:v>0.12</x:v>
      </x:c>
      <x:c r="S32" s="11" t="n">
        <x:v>1</x:v>
      </x:c>
      <x:c r="T32" s="11" t="n">
        <x:v>0.095</x:v>
      </x:c>
      <x:c r="U32" s="16" t="str">
        <x:v>B012</x:v>
      </x:c>
      <x:c r="V32" s="16" t="str">
        <x:v>General corporate</x:v>
      </x:c>
      <x:c r="W32" s="16" t="str">
        <x:v>Other</x:v>
      </x:c>
      <x:c r="X32" s="16" t="n">
        <x:v>0.17068799999999995</x:v>
      </x:c>
      <x:c r="Y32" s="16" t="str">
        <x:v>SYN-LOAN-24</x:v>
      </x:c>
      <x:c r="Z32" s="23" t="n">
        <x:f>IF(C32="","",IFERROR(INDEX(Settings!$D$41:$D$44,MATCH(F32,Settings!$C$41:$C$44,0)),0))</x:f>
        <x:v>1</x:v>
      </x:c>
      <x:c r="AA32" s="21" t="n">
        <x:f>IF(C32="","",G32*Z32)</x:f>
        <x:v>6.35</x:v>
      </x:c>
      <x:c r="AB32" s="21" t="n">
        <x:f>IF(C32="","",H32*Z32)</x:f>
        <x:v>0.5</x:v>
      </x:c>
      <x:c r="AC32" s="21" t="n">
        <x:f>IF(C32="","",AA32+AB32*I32)</x:f>
        <x:v>6.6</x:v>
      </x:c>
      <x:c r="AD32" s="23" t="n">
        <x:f>IF(C32="","",IFERROR(IF(OR(INDEX(Borrowers!$Z$9:$Z$108,MATCH(D32,Borrowers!$C$9:$C$108,0))="Yes",M32&gt;=90),3,IF(AND(N32&lt;&gt;"Auto",AG32&lt;&gt;"",AH32&lt;&gt;""),VALUE(N32),IF(OR(M32&gt;=30,AM32="Yes",AND(INDEX(Borrowers!$P$9:$P$108,MATCH(D32,Borrowers!$C$9:$C$108,0))&gt;=L32*Settings!$F$19,INDEX(Borrowers!$P$9:$P$108,MATCH(D32,Borrowers!$C$9:$C$108,0))-L32&gt;=Settings!$F$20)),2,1))),"Missing borrower"))</x:f>
        <x:v>1</x:v>
      </x:c>
      <x:c r="AE32" s="21" t="n">
        <x:f>IF(C32="","",MAX(0,AA32-X32)*IF(AD32=3,AJ32,S32)+AB32*AI32*S32)</x:f>
        <x:v>6.4293119999999995</x:v>
      </x:c>
      <x:c r="AF32" s="23" t="str">
        <x:f>IF(C32="","",IF(COUNTIF($C$9:$C$108,C32)&lt;&gt;1,"Duplicate facility",IF(COUNTIF(Borrowers!$C$9:$C$108,D32)&lt;&gt;1,"Missing borrower",IF(OR(COUNT(G32:M32)&lt;&gt;7,COUNT(O32:T32)&lt;&gt;6,COUNT(AI32:AL32)&lt;&gt;4,COUNT(AN32)&lt;&gt;1,COUNT(AP32)&lt;&gt;1,COUNT(X32)&lt;&gt;1,Y32="",N32="",AM32=""),"Missing inputs",IF(OR(Z32&lt;=0,G32&lt;0,H32&lt;0,J32&lt;1,J32&gt;30,J32&lt;&gt;INT(J32),MIN(I32,K32,L32,Q32,R32,AI32,AL32)&lt;0,MAX(I32,K32,L32,Q32,R32,AI32,AL32)&gt;1,X32&lt;0,X32&gt;AA32,AP32&lt;0,M32&lt;0,M32&lt;&gt;INT(M32),S32&lt;0,T32&lt;0,AJ32&lt;0,AK32&lt;0,AK32&gt;30,AK32&lt;&gt;INT(AK32),AN32&lt;0,AN32&gt;5,AN32&gt;J32,AN32&lt;&gt;INT(AN32),AND(AN32&gt;0,AQ32=""),NOT(OR(AM32="Yes",AM32="No")),AND(N32&lt;&gt;"Auto",OR(AG32="",AH32=""))),"Review inputs",IF(INDEX(Borrowers!$AA$9:$AA$108,MATCH(D32,Borrowers!$C$9:$C$108,0))&lt;&gt;"Ready","Borrower review","Ready"))))))</x:f>
        <x:v>Ready</x:v>
      </x:c>
      <x:c r="AG32" s="16" t="str"/>
      <x:c r="AH32" s="16" t="str"/>
      <x:c r="AI32" s="11" t="n">
        <x:v>0.5</x:v>
      </x:c>
      <x:c r="AJ32" s="11" t="n">
        <x:v>1.5</x:v>
      </x:c>
      <x:c r="AK32" s="22" t="n">
        <x:v>2</x:v>
      </x:c>
      <x:c r="AL32" s="11" t="n">
        <x:v>0.55</x:v>
      </x:c>
      <x:c r="AM32" s="16" t="str">
        <x:v>No</x:v>
      </x:c>
      <x:c r="AN32" s="22" t="n">
        <x:v>0</x:v>
      </x:c>
      <x:c r="AO32" s="21" t="n">
        <x:f>IF(C32="","",AA32+AB32*AI32)</x:f>
        <x:v>6.6</x:v>
      </x:c>
      <x:c r="AP32" s="16" t="n">
        <x:v>0.002</x:v>
      </x:c>
      <x:c r="AQ32" s="8" t="str">
        <x:v>Synthetic conditional default schedule</x:v>
      </x:c>
    </x:row>
    <x:row r="33" ht="36" customHeight="1">
      <x:c r="A33" s="1"/>
      <x:c r="B33" s="1"/>
      <x:c r="C33" s="8" t="str">
        <x:v>F025</x:v>
      </x:c>
      <x:c r="D33" s="8" t="str">
        <x:v>B013</x:v>
      </x:c>
      <x:c r="E33" s="8" t="str">
        <x:v>Corporate private</x:v>
      </x:c>
      <x:c r="F33" s="8" t="str">
        <x:v>USD</x:v>
      </x:c>
      <x:c r="G33" s="16" t="n">
        <x:v>9.2</x:v>
      </x:c>
      <x:c r="H33" s="16" t="n">
        <x:v>1.5</x:v>
      </x:c>
      <x:c r="I33" s="11" t="n">
        <x:v>0.5</x:v>
      </x:c>
      <x:c r="J33" s="22" t="n">
        <x:v>7</x:v>
      </x:c>
      <x:c r="K33" s="11" t="n">
        <x:v>0.08</x:v>
      </x:c>
      <x:c r="L33" s="11" t="n">
        <x:v>0.005</x:v>
      </x:c>
      <x:c r="M33" s="22" t="n">
        <x:v>0</x:v>
      </x:c>
      <x:c r="N33" s="16" t="str">
        <x:v>Auto</x:v>
      </x:c>
      <x:c r="O33" s="16" t="n">
        <x:v>12.879999999999999</x:v>
      </x:c>
      <x:c r="P33" s="16" t="n">
        <x:v>12.42</x:v>
      </x:c>
      <x:c r="Q33" s="11" t="n">
        <x:v>0.65</x:v>
      </x:c>
      <x:c r="R33" s="11" t="n">
        <x:v>0.12</x:v>
      </x:c>
      <x:c r="S33" s="11" t="n">
        <x:v>1</x:v>
      </x:c>
      <x:c r="T33" s="11" t="n">
        <x:v>0.095</x:v>
      </x:c>
      <x:c r="U33" s="16" t="str">
        <x:v>B013</x:v>
      </x:c>
      <x:c r="V33" s="16" t="str">
        <x:v>General corporate</x:v>
      </x:c>
      <x:c r="W33" s="16" t="str">
        <x:v>Cement</x:v>
      </x:c>
      <x:c r="X33" s="16" t="n">
        <x:v>0.079488</x:v>
      </x:c>
      <x:c r="Y33" s="16" t="str">
        <x:v>SYN-LOAN-25</x:v>
      </x:c>
      <x:c r="Z33" s="23" t="n">
        <x:f>IF(C33="","",IFERROR(INDEX(Settings!$D$41:$D$44,MATCH(F33,Settings!$C$41:$C$44,0)),0))</x:f>
        <x:v>1</x:v>
      </x:c>
      <x:c r="AA33" s="21" t="n">
        <x:f>IF(C33="","",G33*Z33)</x:f>
        <x:v>9.2</x:v>
      </x:c>
      <x:c r="AB33" s="21" t="n">
        <x:f>IF(C33="","",H33*Z33)</x:f>
        <x:v>1.5</x:v>
      </x:c>
      <x:c r="AC33" s="21" t="n">
        <x:f>IF(C33="","",AA33+AB33*I33)</x:f>
        <x:v>9.95</x:v>
      </x:c>
      <x:c r="AD33" s="23" t="n">
        <x:f>IF(C33="","",IFERROR(IF(OR(INDEX(Borrowers!$Z$9:$Z$108,MATCH(D33,Borrowers!$C$9:$C$108,0))="Yes",M33&gt;=90),3,IF(AND(N33&lt;&gt;"Auto",AG33&lt;&gt;"",AH33&lt;&gt;""),VALUE(N33),IF(OR(M33&gt;=30,AM33="Yes",AND(INDEX(Borrowers!$P$9:$P$108,MATCH(D33,Borrowers!$C$9:$C$108,0))&gt;=L33*Settings!$F$19,INDEX(Borrowers!$P$9:$P$108,MATCH(D33,Borrowers!$C$9:$C$108,0))-L33&gt;=Settings!$F$20)),2,1))),"Missing borrower"))</x:f>
        <x:v>1</x:v>
      </x:c>
      <x:c r="AE33" s="21" t="n">
        <x:f>IF(C33="","",MAX(0,AA33-X33)*IF(AD33=3,AJ33,S33)+AB33*AI33*S33)</x:f>
        <x:v>9.870512</x:v>
      </x:c>
      <x:c r="AF33" s="23" t="str">
        <x:f>IF(C33="","",IF(COUNTIF($C$9:$C$108,C33)&lt;&gt;1,"Duplicate facility",IF(COUNTIF(Borrowers!$C$9:$C$108,D33)&lt;&gt;1,"Missing borrower",IF(OR(COUNT(G33:M33)&lt;&gt;7,COUNT(O33:T33)&lt;&gt;6,COUNT(AI33:AL33)&lt;&gt;4,COUNT(AN33)&lt;&gt;1,COUNT(AP33)&lt;&gt;1,COUNT(X33)&lt;&gt;1,Y33="",N33="",AM33=""),"Missing inputs",IF(OR(Z33&lt;=0,G33&lt;0,H33&lt;0,J33&lt;1,J33&gt;30,J33&lt;&gt;INT(J33),MIN(I33,K33,L33,Q33,R33,AI33,AL33)&lt;0,MAX(I33,K33,L33,Q33,R33,AI33,AL33)&gt;1,X33&lt;0,X33&gt;AA33,AP33&lt;0,M33&lt;0,M33&lt;&gt;INT(M33),S33&lt;0,T33&lt;0,AJ33&lt;0,AK33&lt;0,AK33&gt;30,AK33&lt;&gt;INT(AK33),AN33&lt;0,AN33&gt;5,AN33&gt;J33,AN33&lt;&gt;INT(AN33),AND(AN33&gt;0,AQ33=""),NOT(OR(AM33="Yes",AM33="No")),AND(N33&lt;&gt;"Auto",OR(AG33="",AH33=""))),"Review inputs",IF(INDEX(Borrowers!$AA$9:$AA$108,MATCH(D33,Borrowers!$C$9:$C$108,0))&lt;&gt;"Ready","Borrower review","Ready"))))))</x:f>
        <x:v>Ready</x:v>
      </x:c>
      <x:c r="AG33" s="16" t="str"/>
      <x:c r="AH33" s="16" t="str"/>
      <x:c r="AI33" s="11" t="n">
        <x:v>0.5</x:v>
      </x:c>
      <x:c r="AJ33" s="11" t="n">
        <x:v>1.5</x:v>
      </x:c>
      <x:c r="AK33" s="22" t="n">
        <x:v>2</x:v>
      </x:c>
      <x:c r="AL33" s="11" t="n">
        <x:v>0.55</x:v>
      </x:c>
      <x:c r="AM33" s="16" t="str">
        <x:v>No</x:v>
      </x:c>
      <x:c r="AN33" s="22" t="n">
        <x:v>0</x:v>
      </x:c>
      <x:c r="AO33" s="21" t="n">
        <x:f>IF(C33="","",AA33+AB33*AI33)</x:f>
        <x:v>9.95</x:v>
      </x:c>
      <x:c r="AP33" s="16" t="n">
        <x:v>0.006</x:v>
      </x:c>
      <x:c r="AQ33" s="8" t="str">
        <x:v>Synthetic conditional default schedule</x:v>
      </x:c>
    </x:row>
    <x:row r="34" ht="36" customHeight="1">
      <x:c r="A34" s="1"/>
      <x:c r="B34" s="1"/>
      <x:c r="C34" s="8" t="str">
        <x:v>F026</x:v>
      </x:c>
      <x:c r="D34" s="8" t="str">
        <x:v>B014</x:v>
      </x:c>
      <x:c r="E34" s="8" t="str">
        <x:v>Corporate private</x:v>
      </x:c>
      <x:c r="F34" s="8" t="str">
        <x:v>USD</x:v>
      </x:c>
      <x:c r="G34" s="16" t="n">
        <x:v>9.55</x:v>
      </x:c>
      <x:c r="H34" s="16" t="n">
        <x:v>1.5</x:v>
      </x:c>
      <x:c r="I34" s="11" t="n">
        <x:v>0.5</x:v>
      </x:c>
      <x:c r="J34" s="22" t="n">
        <x:v>8</x:v>
      </x:c>
      <x:c r="K34" s="11" t="n">
        <x:v>0.08</x:v>
      </x:c>
      <x:c r="L34" s="11" t="n">
        <x:v>0.018000000000000002</x:v>
      </x:c>
      <x:c r="M34" s="22" t="n">
        <x:v>0</x:v>
      </x:c>
      <x:c r="N34" s="16" t="str">
        <x:v>Auto</x:v>
      </x:c>
      <x:c r="O34" s="16" t="n">
        <x:v>13.370000000000001</x:v>
      </x:c>
      <x:c r="P34" s="16" t="n">
        <x:v>12.892500000000002</x:v>
      </x:c>
      <x:c r="Q34" s="11" t="n">
        <x:v>0.65</x:v>
      </x:c>
      <x:c r="R34" s="11" t="n">
        <x:v>0.12</x:v>
      </x:c>
      <x:c r="S34" s="11" t="n">
        <x:v>1</x:v>
      </x:c>
      <x:c r="T34" s="11" t="n">
        <x:v>0.095</x:v>
      </x:c>
      <x:c r="U34" s="16" t="str">
        <x:v>B014</x:v>
      </x:c>
      <x:c r="V34" s="16" t="str">
        <x:v>General corporate</x:v>
      </x:c>
      <x:c r="W34" s="16" t="str">
        <x:v>Solar PV</x:v>
      </x:c>
      <x:c r="X34" s="16" t="n">
        <x:v>0.13752000000000003</x:v>
      </x:c>
      <x:c r="Y34" s="16" t="str">
        <x:v>SYN-LOAN-26</x:v>
      </x:c>
      <x:c r="Z34" s="23" t="n">
        <x:f>IF(C34="","",IFERROR(INDEX(Settings!$D$41:$D$44,MATCH(F34,Settings!$C$41:$C$44,0)),0))</x:f>
        <x:v>1</x:v>
      </x:c>
      <x:c r="AA34" s="21" t="n">
        <x:f>IF(C34="","",G34*Z34)</x:f>
        <x:v>9.55</x:v>
      </x:c>
      <x:c r="AB34" s="21" t="n">
        <x:f>IF(C34="","",H34*Z34)</x:f>
        <x:v>1.5</x:v>
      </x:c>
      <x:c r="AC34" s="21" t="n">
        <x:f>IF(C34="","",AA34+AB34*I34)</x:f>
        <x:v>10.3</x:v>
      </x:c>
      <x:c r="AD34" s="23" t="n">
        <x:f>IF(C34="","",IFERROR(IF(OR(INDEX(Borrowers!$Z$9:$Z$108,MATCH(D34,Borrowers!$C$9:$C$108,0))="Yes",M34&gt;=90),3,IF(AND(N34&lt;&gt;"Auto",AG34&lt;&gt;"",AH34&lt;&gt;""),VALUE(N34),IF(OR(M34&gt;=30,AM34="Yes",AND(INDEX(Borrowers!$P$9:$P$108,MATCH(D34,Borrowers!$C$9:$C$108,0))&gt;=L34*Settings!$F$19,INDEX(Borrowers!$P$9:$P$108,MATCH(D34,Borrowers!$C$9:$C$108,0))-L34&gt;=Settings!$F$20)),2,1))),"Missing borrower"))</x:f>
        <x:v>1</x:v>
      </x:c>
      <x:c r="AE34" s="21" t="n">
        <x:f>IF(C34="","",MAX(0,AA34-X34)*IF(AD34=3,AJ34,S34)+AB34*AI34*S34)</x:f>
        <x:v>10.16248</x:v>
      </x:c>
      <x:c r="AF34" s="23" t="str">
        <x:f>IF(C34="","",IF(COUNTIF($C$9:$C$108,C34)&lt;&gt;1,"Duplicate facility",IF(COUNTIF(Borrowers!$C$9:$C$108,D34)&lt;&gt;1,"Missing borrower",IF(OR(COUNT(G34:M34)&lt;&gt;7,COUNT(O34:T34)&lt;&gt;6,COUNT(AI34:AL34)&lt;&gt;4,COUNT(AN34)&lt;&gt;1,COUNT(AP34)&lt;&gt;1,COUNT(X34)&lt;&gt;1,Y34="",N34="",AM34=""),"Missing inputs",IF(OR(Z34&lt;=0,G34&lt;0,H34&lt;0,J34&lt;1,J34&gt;30,J34&lt;&gt;INT(J34),MIN(I34,K34,L34,Q34,R34,AI34,AL34)&lt;0,MAX(I34,K34,L34,Q34,R34,AI34,AL34)&gt;1,X34&lt;0,X34&gt;AA34,AP34&lt;0,M34&lt;0,M34&lt;&gt;INT(M34),S34&lt;0,T34&lt;0,AJ34&lt;0,AK34&lt;0,AK34&gt;30,AK34&lt;&gt;INT(AK34),AN34&lt;0,AN34&gt;5,AN34&gt;J34,AN34&lt;&gt;INT(AN34),AND(AN34&gt;0,AQ34=""),NOT(OR(AM34="Yes",AM34="No")),AND(N34&lt;&gt;"Auto",OR(AG34="",AH34=""))),"Review inputs",IF(INDEX(Borrowers!$AA$9:$AA$108,MATCH(D34,Borrowers!$C$9:$C$108,0))&lt;&gt;"Ready","Borrower review","Ready"))))))</x:f>
        <x:v>Ready</x:v>
      </x:c>
      <x:c r="AG34" s="16" t="str"/>
      <x:c r="AH34" s="16" t="str"/>
      <x:c r="AI34" s="11" t="n">
        <x:v>0.5</x:v>
      </x:c>
      <x:c r="AJ34" s="11" t="n">
        <x:v>1.5</x:v>
      </x:c>
      <x:c r="AK34" s="22" t="n">
        <x:v>2</x:v>
      </x:c>
      <x:c r="AL34" s="11" t="n">
        <x:v>0.55</x:v>
      </x:c>
      <x:c r="AM34" s="16" t="str">
        <x:v>No</x:v>
      </x:c>
      <x:c r="AN34" s="22" t="n">
        <x:v>0</x:v>
      </x:c>
      <x:c r="AO34" s="21" t="n">
        <x:f>IF(C34="","",AA34+AB34*AI34)</x:f>
        <x:v>10.3</x:v>
      </x:c>
      <x:c r="AP34" s="16" t="n">
        <x:v>0.006</x:v>
      </x:c>
      <x:c r="AQ34" s="8" t="str">
        <x:v>Synthetic conditional default schedule</x:v>
      </x:c>
    </x:row>
    <x:row r="35" ht="36" customHeight="1">
      <x:c r="A35" s="1"/>
      <x:c r="B35" s="1"/>
      <x:c r="C35" s="8" t="str">
        <x:v>F027</x:v>
      </x:c>
      <x:c r="D35" s="8" t="str">
        <x:v>B015</x:v>
      </x:c>
      <x:c r="E35" s="8" t="str">
        <x:v>Corporate private</x:v>
      </x:c>
      <x:c r="F35" s="8" t="str">
        <x:v>USD</x:v>
      </x:c>
      <x:c r="G35" s="16" t="n">
        <x:v>9.899999999999999</x:v>
      </x:c>
      <x:c r="H35" s="16" t="n">
        <x:v>1.5</x:v>
      </x:c>
      <x:c r="I35" s="11" t="n">
        <x:v>0.5</x:v>
      </x:c>
      <x:c r="J35" s="22" t="n">
        <x:v>12</x:v>
      </x:c>
      <x:c r="K35" s="11" t="n">
        <x:v>0.08</x:v>
      </x:c>
      <x:c r="L35" s="11" t="n">
        <x:v>0.024</x:v>
      </x:c>
      <x:c r="M35" s="22" t="n">
        <x:v>0</x:v>
      </x:c>
      <x:c r="N35" s="16" t="str">
        <x:v>Auto</x:v>
      </x:c>
      <x:c r="O35" s="16" t="n">
        <x:v>13.859999999999998</x:v>
      </x:c>
      <x:c r="P35" s="16" t="n">
        <x:v>13.364999999999998</x:v>
      </x:c>
      <x:c r="Q35" s="11" t="n">
        <x:v>0.65</x:v>
      </x:c>
      <x:c r="R35" s="11" t="n">
        <x:v>0.12</x:v>
      </x:c>
      <x:c r="S35" s="11" t="n">
        <x:v>1</x:v>
      </x:c>
      <x:c r="T35" s="11" t="n">
        <x:v>0.095</x:v>
      </x:c>
      <x:c r="U35" s="16" t="str">
        <x:v>B015</x:v>
      </x:c>
      <x:c r="V35" s="16" t="str">
        <x:v>General corporate</x:v>
      </x:c>
      <x:c r="W35" s="16" t="str">
        <x:v>Road freight</x:v>
      </x:c>
      <x:c r="X35" s="16" t="n">
        <x:v>0.209088</x:v>
      </x:c>
      <x:c r="Y35" s="16" t="str">
        <x:v>SYN-LOAN-27</x:v>
      </x:c>
      <x:c r="Z35" s="23" t="n">
        <x:f>IF(C35="","",IFERROR(INDEX(Settings!$D$41:$D$44,MATCH(F35,Settings!$C$41:$C$44,0)),0))</x:f>
        <x:v>1</x:v>
      </x:c>
      <x:c r="AA35" s="21" t="n">
        <x:f>IF(C35="","",G35*Z35)</x:f>
        <x:v>9.899999999999999</x:v>
      </x:c>
      <x:c r="AB35" s="21" t="n">
        <x:f>IF(C35="","",H35*Z35)</x:f>
        <x:v>1.5</x:v>
      </x:c>
      <x:c r="AC35" s="21" t="n">
        <x:f>IF(C35="","",AA35+AB35*I35)</x:f>
        <x:v>10.649999999999999</x:v>
      </x:c>
      <x:c r="AD35" s="23" t="n">
        <x:f>IF(C35="","",IFERROR(IF(OR(INDEX(Borrowers!$Z$9:$Z$108,MATCH(D35,Borrowers!$C$9:$C$108,0))="Yes",M35&gt;=90),3,IF(AND(N35&lt;&gt;"Auto",AG35&lt;&gt;"",AH35&lt;&gt;""),VALUE(N35),IF(OR(M35&gt;=30,AM35="Yes",AND(INDEX(Borrowers!$P$9:$P$108,MATCH(D35,Borrowers!$C$9:$C$108,0))&gt;=L35*Settings!$F$19,INDEX(Borrowers!$P$9:$P$108,MATCH(D35,Borrowers!$C$9:$C$108,0))-L35&gt;=Settings!$F$20)),2,1))),"Missing borrower"))</x:f>
        <x:v>1</x:v>
      </x:c>
      <x:c r="AE35" s="21" t="n">
        <x:f>IF(C35="","",MAX(0,AA35-X35)*IF(AD35=3,AJ35,S35)+AB35*AI35*S35)</x:f>
        <x:v>10.440911999999999</x:v>
      </x:c>
      <x:c r="AF35" s="23" t="str">
        <x:f>IF(C35="","",IF(COUNTIF($C$9:$C$108,C35)&lt;&gt;1,"Duplicate facility",IF(COUNTIF(Borrowers!$C$9:$C$108,D35)&lt;&gt;1,"Missing borrower",IF(OR(COUNT(G35:M35)&lt;&gt;7,COUNT(O35:T35)&lt;&gt;6,COUNT(AI35:AL35)&lt;&gt;4,COUNT(AN35)&lt;&gt;1,COUNT(AP35)&lt;&gt;1,COUNT(X35)&lt;&gt;1,Y35="",N35="",AM35=""),"Missing inputs",IF(OR(Z35&lt;=0,G35&lt;0,H35&lt;0,J35&lt;1,J35&gt;30,J35&lt;&gt;INT(J35),MIN(I35,K35,L35,Q35,R35,AI35,AL35)&lt;0,MAX(I35,K35,L35,Q35,R35,AI35,AL35)&gt;1,X35&lt;0,X35&gt;AA35,AP35&lt;0,M35&lt;0,M35&lt;&gt;INT(M35),S35&lt;0,T35&lt;0,AJ35&lt;0,AK35&lt;0,AK35&gt;30,AK35&lt;&gt;INT(AK35),AN35&lt;0,AN35&gt;5,AN35&gt;J35,AN35&lt;&gt;INT(AN35),AND(AN35&gt;0,AQ35=""),NOT(OR(AM35="Yes",AM35="No")),AND(N35&lt;&gt;"Auto",OR(AG35="",AH35=""))),"Review inputs",IF(INDEX(Borrowers!$AA$9:$AA$108,MATCH(D35,Borrowers!$C$9:$C$108,0))&lt;&gt;"Ready","Borrower review","Ready"))))))</x:f>
        <x:v>Ready</x:v>
      </x:c>
      <x:c r="AG35" s="16" t="str"/>
      <x:c r="AH35" s="16" t="str"/>
      <x:c r="AI35" s="11" t="n">
        <x:v>0.5</x:v>
      </x:c>
      <x:c r="AJ35" s="11" t="n">
        <x:v>1.5</x:v>
      </x:c>
      <x:c r="AK35" s="22" t="n">
        <x:v>2</x:v>
      </x:c>
      <x:c r="AL35" s="11" t="n">
        <x:v>0.55</x:v>
      </x:c>
      <x:c r="AM35" s="16" t="str">
        <x:v>No</x:v>
      </x:c>
      <x:c r="AN35" s="22" t="n">
        <x:v>0</x:v>
      </x:c>
      <x:c r="AO35" s="21" t="n">
        <x:f>IF(C35="","",AA35+AB35*AI35)</x:f>
        <x:v>10.649999999999999</x:v>
      </x:c>
      <x:c r="AP35" s="16" t="n">
        <x:v>0.006</x:v>
      </x:c>
      <x:c r="AQ35" s="8" t="str">
        <x:v>Synthetic conditional default schedule</x:v>
      </x:c>
    </x:row>
    <x:row r="36" ht="36" customHeight="1">
      <x:c r="A36" s="1"/>
      <x:c r="B36" s="1"/>
      <x:c r="C36" s="8" t="str">
        <x:v>F028</x:v>
      </x:c>
      <x:c r="D36" s="8" t="str">
        <x:v>B016</x:v>
      </x:c>
      <x:c r="E36" s="8" t="str">
        <x:v>Corporate listed</x:v>
      </x:c>
      <x:c r="F36" s="8" t="str">
        <x:v>USD</x:v>
      </x:c>
      <x:c r="G36" s="16" t="n">
        <x:v>10.25</x:v>
      </x:c>
      <x:c r="H36" s="16" t="n">
        <x:v>1.5</x:v>
      </x:c>
      <x:c r="I36" s="11" t="n">
        <x:v>0.5</x:v>
      </x:c>
      <x:c r="J36" s="22" t="n">
        <x:v>5</x:v>
      </x:c>
      <x:c r="K36" s="11" t="n">
        <x:v>0.08</x:v>
      </x:c>
      <x:c r="L36" s="11" t="n">
        <x:v>0.030000000000000002</x:v>
      </x:c>
      <x:c r="M36" s="22" t="n">
        <x:v>0</x:v>
      </x:c>
      <x:c r="N36" s="16" t="str">
        <x:v>Auto</x:v>
      </x:c>
      <x:c r="O36" s="16" t="n">
        <x:v>14.35</x:v>
      </x:c>
      <x:c r="P36" s="16" t="n">
        <x:v>13.8375</x:v>
      </x:c>
      <x:c r="Q36" s="11" t="n">
        <x:v>0.65</x:v>
      </x:c>
      <x:c r="R36" s="11" t="n">
        <x:v>0.12</x:v>
      </x:c>
      <x:c r="S36" s="11" t="n">
        <x:v>1</x:v>
      </x:c>
      <x:c r="T36" s="11" t="n">
        <x:v>0.095</x:v>
      </x:c>
      <x:c r="U36" s="16" t="str">
        <x:v>B016</x:v>
      </x:c>
      <x:c r="V36" s="16" t="str">
        <x:v>General corporate</x:v>
      </x:c>
      <x:c r="W36" s="16" t="str">
        <x:v>Other</x:v>
      </x:c>
      <x:c r="X36" s="16" t="n">
        <x:v>0.17220000000000005</x:v>
      </x:c>
      <x:c r="Y36" s="16" t="str">
        <x:v>SYN-LOAN-28</x:v>
      </x:c>
      <x:c r="Z36" s="23" t="n">
        <x:f>IF(C36="","",IFERROR(INDEX(Settings!$D$41:$D$44,MATCH(F36,Settings!$C$41:$C$44,0)),0))</x:f>
        <x:v>1</x:v>
      </x:c>
      <x:c r="AA36" s="21" t="n">
        <x:f>IF(C36="","",G36*Z36)</x:f>
        <x:v>10.25</x:v>
      </x:c>
      <x:c r="AB36" s="21" t="n">
        <x:f>IF(C36="","",H36*Z36)</x:f>
        <x:v>1.5</x:v>
      </x:c>
      <x:c r="AC36" s="21" t="n">
        <x:f>IF(C36="","",AA36+AB36*I36)</x:f>
        <x:v>11</x:v>
      </x:c>
      <x:c r="AD36" s="23" t="n">
        <x:f>IF(C36="","",IFERROR(IF(OR(INDEX(Borrowers!$Z$9:$Z$108,MATCH(D36,Borrowers!$C$9:$C$108,0))="Yes",M36&gt;=90),3,IF(AND(N36&lt;&gt;"Auto",AG36&lt;&gt;"",AH36&lt;&gt;""),VALUE(N36),IF(OR(M36&gt;=30,AM36="Yes",AND(INDEX(Borrowers!$P$9:$P$108,MATCH(D36,Borrowers!$C$9:$C$108,0))&gt;=L36*Settings!$F$19,INDEX(Borrowers!$P$9:$P$108,MATCH(D36,Borrowers!$C$9:$C$108,0))-L36&gt;=Settings!$F$20)),2,1))),"Missing borrower"))</x:f>
        <x:v>1</x:v>
      </x:c>
      <x:c r="AE36" s="21" t="n">
        <x:f>IF(C36="","",MAX(0,AA36-X36)*IF(AD36=3,AJ36,S36)+AB36*AI36*S36)</x:f>
        <x:v>10.8278</x:v>
      </x:c>
      <x:c r="AF36" s="23" t="str">
        <x:f>IF(C36="","",IF(COUNTIF($C$9:$C$108,C36)&lt;&gt;1,"Duplicate facility",IF(COUNTIF(Borrowers!$C$9:$C$108,D36)&lt;&gt;1,"Missing borrower",IF(OR(COUNT(G36:M36)&lt;&gt;7,COUNT(O36:T36)&lt;&gt;6,COUNT(AI36:AL36)&lt;&gt;4,COUNT(AN36)&lt;&gt;1,COUNT(AP36)&lt;&gt;1,COUNT(X36)&lt;&gt;1,Y36="",N36="",AM36=""),"Missing inputs",IF(OR(Z36&lt;=0,G36&lt;0,H36&lt;0,J36&lt;1,J36&gt;30,J36&lt;&gt;INT(J36),MIN(I36,K36,L36,Q36,R36,AI36,AL36)&lt;0,MAX(I36,K36,L36,Q36,R36,AI36,AL36)&gt;1,X36&lt;0,X36&gt;AA36,AP36&lt;0,M36&lt;0,M36&lt;&gt;INT(M36),S36&lt;0,T36&lt;0,AJ36&lt;0,AK36&lt;0,AK36&gt;30,AK36&lt;&gt;INT(AK36),AN36&lt;0,AN36&gt;5,AN36&gt;J36,AN36&lt;&gt;INT(AN36),AND(AN36&gt;0,AQ36=""),NOT(OR(AM36="Yes",AM36="No")),AND(N36&lt;&gt;"Auto",OR(AG36="",AH36=""))),"Review inputs",IF(INDEX(Borrowers!$AA$9:$AA$108,MATCH(D36,Borrowers!$C$9:$C$108,0))&lt;&gt;"Ready","Borrower review","Ready"))))))</x:f>
        <x:v>Ready</x:v>
      </x:c>
      <x:c r="AG36" s="16" t="str"/>
      <x:c r="AH36" s="16" t="str"/>
      <x:c r="AI36" s="11" t="n">
        <x:v>0.5</x:v>
      </x:c>
      <x:c r="AJ36" s="11" t="n">
        <x:v>1.5</x:v>
      </x:c>
      <x:c r="AK36" s="22" t="n">
        <x:v>2</x:v>
      </x:c>
      <x:c r="AL36" s="11" t="n">
        <x:v>0.55</x:v>
      </x:c>
      <x:c r="AM36" s="16" t="str">
        <x:v>No</x:v>
      </x:c>
      <x:c r="AN36" s="22" t="n">
        <x:v>0</x:v>
      </x:c>
      <x:c r="AO36" s="21" t="n">
        <x:f>IF(C36="","",AA36+AB36*AI36)</x:f>
        <x:v>11</x:v>
      </x:c>
      <x:c r="AP36" s="16" t="n">
        <x:v>0.006</x:v>
      </x:c>
      <x:c r="AQ36" s="8" t="str">
        <x:v>Synthetic conditional default schedule</x:v>
      </x:c>
    </x:row>
    <x:row r="37" ht="36" customHeight="1">
      <x:c r="A37" s="1"/>
      <x:c r="B37" s="1"/>
      <x:c r="C37" s="8" t="str">
        <x:v>F029</x:v>
      </x:c>
      <x:c r="D37" s="8" t="str">
        <x:v>B017</x:v>
      </x:c>
      <x:c r="E37" s="8" t="str">
        <x:v>Corporate private</x:v>
      </x:c>
      <x:c r="F37" s="8" t="str">
        <x:v>USD</x:v>
      </x:c>
      <x:c r="G37" s="16" t="n">
        <x:v>10.6</x:v>
      </x:c>
      <x:c r="H37" s="16" t="n">
        <x:v>1.5</x:v>
      </x:c>
      <x:c r="I37" s="11" t="n">
        <x:v>0.5</x:v>
      </x:c>
      <x:c r="J37" s="22" t="n">
        <x:v>6</x:v>
      </x:c>
      <x:c r="K37" s="11" t="n">
        <x:v>0.08</x:v>
      </x:c>
      <x:c r="L37" s="11" t="n">
        <x:v>0.015000000000000003</x:v>
      </x:c>
      <x:c r="M37" s="22" t="n">
        <x:v>0</x:v>
      </x:c>
      <x:c r="N37" s="16" t="str">
        <x:v>Auto</x:v>
      </x:c>
      <x:c r="O37" s="16" t="n">
        <x:v>14.839999999999998</x:v>
      </x:c>
      <x:c r="P37" s="16" t="n">
        <x:v>14.31</x:v>
      </x:c>
      <x:c r="Q37" s="11" t="n">
        <x:v>0.65</x:v>
      </x:c>
      <x:c r="R37" s="11" t="n">
        <x:v>0.12</x:v>
      </x:c>
      <x:c r="S37" s="11" t="n">
        <x:v>1</x:v>
      </x:c>
      <x:c r="T37" s="11" t="n">
        <x:v>0.095</x:v>
      </x:c>
      <x:c r="U37" s="16" t="str">
        <x:v>B017</x:v>
      </x:c>
      <x:c r="V37" s="16" t="str">
        <x:v>General corporate</x:v>
      </x:c>
      <x:c r="W37" s="16" t="str">
        <x:v>Building renovation</x:v>
      </x:c>
      <x:c r="X37" s="16" t="n">
        <x:v>0.24422400000000002</x:v>
      </x:c>
      <x:c r="Y37" s="16" t="str">
        <x:v>SYN-LOAN-29</x:v>
      </x:c>
      <x:c r="Z37" s="23" t="n">
        <x:f>IF(C37="","",IFERROR(INDEX(Settings!$D$41:$D$44,MATCH(F37,Settings!$C$41:$C$44,0)),0))</x:f>
        <x:v>1</x:v>
      </x:c>
      <x:c r="AA37" s="21" t="n">
        <x:f>IF(C37="","",G37*Z37)</x:f>
        <x:v>10.6</x:v>
      </x:c>
      <x:c r="AB37" s="21" t="n">
        <x:f>IF(C37="","",H37*Z37)</x:f>
        <x:v>1.5</x:v>
      </x:c>
      <x:c r="AC37" s="21" t="n">
        <x:f>IF(C37="","",AA37+AB37*I37)</x:f>
        <x:v>11.35</x:v>
      </x:c>
      <x:c r="AD37" s="23" t="n">
        <x:f>IF(C37="","",IFERROR(IF(OR(INDEX(Borrowers!$Z$9:$Z$108,MATCH(D37,Borrowers!$C$9:$C$108,0))="Yes",M37&gt;=90),3,IF(AND(N37&lt;&gt;"Auto",AG37&lt;&gt;"",AH37&lt;&gt;""),VALUE(N37),IF(OR(M37&gt;=30,AM37="Yes",AND(INDEX(Borrowers!$P$9:$P$108,MATCH(D37,Borrowers!$C$9:$C$108,0))&gt;=L37*Settings!$F$19,INDEX(Borrowers!$P$9:$P$108,MATCH(D37,Borrowers!$C$9:$C$108,0))-L37&gt;=Settings!$F$20)),2,1))),"Missing borrower"))</x:f>
        <x:v>2</x:v>
      </x:c>
      <x:c r="AE37" s="21" t="n">
        <x:f>IF(C37="","",MAX(0,AA37-X37)*IF(AD37=3,AJ37,S37)+AB37*AI37*S37)</x:f>
        <x:v>11.105775999999999</x:v>
      </x:c>
      <x:c r="AF37" s="23" t="str">
        <x:f>IF(C37="","",IF(COUNTIF($C$9:$C$108,C37)&lt;&gt;1,"Duplicate facility",IF(COUNTIF(Borrowers!$C$9:$C$108,D37)&lt;&gt;1,"Missing borrower",IF(OR(COUNT(G37:M37)&lt;&gt;7,COUNT(O37:T37)&lt;&gt;6,COUNT(AI37:AL37)&lt;&gt;4,COUNT(AN37)&lt;&gt;1,COUNT(AP37)&lt;&gt;1,COUNT(X37)&lt;&gt;1,Y37="",N37="",AM37=""),"Missing inputs",IF(OR(Z37&lt;=0,G37&lt;0,H37&lt;0,J37&lt;1,J37&gt;30,J37&lt;&gt;INT(J37),MIN(I37,K37,L37,Q37,R37,AI37,AL37)&lt;0,MAX(I37,K37,L37,Q37,R37,AI37,AL37)&gt;1,X37&lt;0,X37&gt;AA37,AP37&lt;0,M37&lt;0,M37&lt;&gt;INT(M37),S37&lt;0,T37&lt;0,AJ37&lt;0,AK37&lt;0,AK37&gt;30,AK37&lt;&gt;INT(AK37),AN37&lt;0,AN37&gt;5,AN37&gt;J37,AN37&lt;&gt;INT(AN37),AND(AN37&gt;0,AQ37=""),NOT(OR(AM37="Yes",AM37="No")),AND(N37&lt;&gt;"Auto",OR(AG37="",AH37=""))),"Review inputs",IF(INDEX(Borrowers!$AA$9:$AA$108,MATCH(D37,Borrowers!$C$9:$C$108,0))&lt;&gt;"Ready","Borrower review","Ready"))))))</x:f>
        <x:v>Ready</x:v>
      </x:c>
      <x:c r="AG37" s="16" t="str"/>
      <x:c r="AH37" s="16" t="str"/>
      <x:c r="AI37" s="11" t="n">
        <x:v>0.5</x:v>
      </x:c>
      <x:c r="AJ37" s="11" t="n">
        <x:v>1.5</x:v>
      </x:c>
      <x:c r="AK37" s="22" t="n">
        <x:v>2</x:v>
      </x:c>
      <x:c r="AL37" s="11" t="n">
        <x:v>0.55</x:v>
      </x:c>
      <x:c r="AM37" s="16" t="str">
        <x:v>No</x:v>
      </x:c>
      <x:c r="AN37" s="22" t="n">
        <x:v>0</x:v>
      </x:c>
      <x:c r="AO37" s="21" t="n">
        <x:f>IF(C37="","",AA37+AB37*AI37)</x:f>
        <x:v>11.35</x:v>
      </x:c>
      <x:c r="AP37" s="16" t="n">
        <x:v>0.006</x:v>
      </x:c>
      <x:c r="AQ37" s="8" t="str">
        <x:v>Synthetic conditional default schedule</x:v>
      </x:c>
    </x:row>
    <x:row r="38" ht="36" customHeight="1">
      <x:c r="A38" s="1"/>
      <x:c r="B38" s="1"/>
      <x:c r="C38" s="8" t="str">
        <x:v>F030</x:v>
      </x:c>
      <x:c r="D38" s="8" t="str">
        <x:v>B018</x:v>
      </x:c>
      <x:c r="E38" s="8" t="str">
        <x:v>Corporate private</x:v>
      </x:c>
      <x:c r="F38" s="8" t="str">
        <x:v>USD</x:v>
      </x:c>
      <x:c r="G38" s="16" t="n">
        <x:v>10.95</x:v>
      </x:c>
      <x:c r="H38" s="16" t="n">
        <x:v>1.5</x:v>
      </x:c>
      <x:c r="I38" s="11" t="n">
        <x:v>0.5</x:v>
      </x:c>
      <x:c r="J38" s="22" t="n">
        <x:v>7</x:v>
      </x:c>
      <x:c r="K38" s="11" t="n">
        <x:v>0.08</x:v>
      </x:c>
      <x:c r="L38" s="11" t="n">
        <x:v>0.041999999999999996</x:v>
      </x:c>
      <x:c r="M38" s="22" t="n">
        <x:v>0</x:v>
      </x:c>
      <x:c r="N38" s="16" t="str">
        <x:v>Auto</x:v>
      </x:c>
      <x:c r="O38" s="16" t="n">
        <x:v>15.329999999999998</x:v>
      </x:c>
      <x:c r="P38" s="16" t="n">
        <x:v>14.7825</x:v>
      </x:c>
      <x:c r="Q38" s="11" t="n">
        <x:v>0.65</x:v>
      </x:c>
      <x:c r="R38" s="11" t="n">
        <x:v>0.12</x:v>
      </x:c>
      <x:c r="S38" s="11" t="n">
        <x:v>1</x:v>
      </x:c>
      <x:c r="T38" s="11" t="n">
        <x:v>0.095</x:v>
      </x:c>
      <x:c r="U38" s="16" t="str">
        <x:v>B018</x:v>
      </x:c>
      <x:c r="V38" s="16" t="str">
        <x:v>General corporate</x:v>
      </x:c>
      <x:c r="W38" s="16" t="str">
        <x:v>Other</x:v>
      </x:c>
      <x:c r="X38" s="16" t="n">
        <x:v>0.331128</x:v>
      </x:c>
      <x:c r="Y38" s="16" t="str">
        <x:v>SYN-LOAN-30</x:v>
      </x:c>
      <x:c r="Z38" s="23" t="n">
        <x:f>IF(C38="","",IFERROR(INDEX(Settings!$D$41:$D$44,MATCH(F38,Settings!$C$41:$C$44,0)),0))</x:f>
        <x:v>1</x:v>
      </x:c>
      <x:c r="AA38" s="21" t="n">
        <x:f>IF(C38="","",G38*Z38)</x:f>
        <x:v>10.95</x:v>
      </x:c>
      <x:c r="AB38" s="21" t="n">
        <x:f>IF(C38="","",H38*Z38)</x:f>
        <x:v>1.5</x:v>
      </x:c>
      <x:c r="AC38" s="21" t="n">
        <x:f>IF(C38="","",AA38+AB38*I38)</x:f>
        <x:v>11.7</x:v>
      </x:c>
      <x:c r="AD38" s="23" t="n">
        <x:f>IF(C38="","",IFERROR(IF(OR(INDEX(Borrowers!$Z$9:$Z$108,MATCH(D38,Borrowers!$C$9:$C$108,0))="Yes",M38&gt;=90),3,IF(AND(N38&lt;&gt;"Auto",AG38&lt;&gt;"",AH38&lt;&gt;""),VALUE(N38),IF(OR(M38&gt;=30,AM38="Yes",AND(INDEX(Borrowers!$P$9:$P$108,MATCH(D38,Borrowers!$C$9:$C$108,0))&gt;=L38*Settings!$F$19,INDEX(Borrowers!$P$9:$P$108,MATCH(D38,Borrowers!$C$9:$C$108,0))-L38&gt;=Settings!$F$20)),2,1))),"Missing borrower"))</x:f>
        <x:v>1</x:v>
      </x:c>
      <x:c r="AE38" s="21" t="n">
        <x:f>IF(C38="","",MAX(0,AA38-X38)*IF(AD38=3,AJ38,S38)+AB38*AI38*S38)</x:f>
        <x:v>11.368872</x:v>
      </x:c>
      <x:c r="AF38" s="23" t="str">
        <x:f>IF(C38="","",IF(COUNTIF($C$9:$C$108,C38)&lt;&gt;1,"Duplicate facility",IF(COUNTIF(Borrowers!$C$9:$C$108,D38)&lt;&gt;1,"Missing borrower",IF(OR(COUNT(G38:M38)&lt;&gt;7,COUNT(O38:T38)&lt;&gt;6,COUNT(AI38:AL38)&lt;&gt;4,COUNT(AN38)&lt;&gt;1,COUNT(AP38)&lt;&gt;1,COUNT(X38)&lt;&gt;1,Y38="",N38="",AM38=""),"Missing inputs",IF(OR(Z38&lt;=0,G38&lt;0,H38&lt;0,J38&lt;1,J38&gt;30,J38&lt;&gt;INT(J38),MIN(I38,K38,L38,Q38,R38,AI38,AL38)&lt;0,MAX(I38,K38,L38,Q38,R38,AI38,AL38)&gt;1,X38&lt;0,X38&gt;AA38,AP38&lt;0,M38&lt;0,M38&lt;&gt;INT(M38),S38&lt;0,T38&lt;0,AJ38&lt;0,AK38&lt;0,AK38&gt;30,AK38&lt;&gt;INT(AK38),AN38&lt;0,AN38&gt;5,AN38&gt;J38,AN38&lt;&gt;INT(AN38),AND(AN38&gt;0,AQ38=""),NOT(OR(AM38="Yes",AM38="No")),AND(N38&lt;&gt;"Auto",OR(AG38="",AH38=""))),"Review inputs",IF(INDEX(Borrowers!$AA$9:$AA$108,MATCH(D38,Borrowers!$C$9:$C$108,0))&lt;&gt;"Ready","Borrower review","Ready"))))))</x:f>
        <x:v>Ready</x:v>
      </x:c>
      <x:c r="AG38" s="16" t="str"/>
      <x:c r="AH38" s="16" t="str"/>
      <x:c r="AI38" s="11" t="n">
        <x:v>0.5</x:v>
      </x:c>
      <x:c r="AJ38" s="11" t="n">
        <x:v>1.5</x:v>
      </x:c>
      <x:c r="AK38" s="22" t="n">
        <x:v>2</x:v>
      </x:c>
      <x:c r="AL38" s="11" t="n">
        <x:v>0.55</x:v>
      </x:c>
      <x:c r="AM38" s="16" t="str">
        <x:v>No</x:v>
      </x:c>
      <x:c r="AN38" s="22" t="n">
        <x:v>0</x:v>
      </x:c>
      <x:c r="AO38" s="21" t="n">
        <x:f>IF(C38="","",AA38+AB38*AI38)</x:f>
        <x:v>11.7</x:v>
      </x:c>
      <x:c r="AP38" s="16" t="n">
        <x:v>0.006</x:v>
      </x:c>
      <x:c r="AQ38" s="8" t="str">
        <x:v>Synthetic conditional default schedule</x:v>
      </x:c>
    </x:row>
    <x:row r="39" ht="36" customHeight="1">
      <x:c r="A39" s="1"/>
      <x:c r="B39" s="1"/>
      <x:c r="C39" s="8" t="str">
        <x:v>F031</x:v>
      </x:c>
      <x:c r="D39" s="8" t="str">
        <x:v>B019</x:v>
      </x:c>
      <x:c r="E39" s="8" t="str">
        <x:v>Corporate private</x:v>
      </x:c>
      <x:c r="F39" s="8" t="str">
        <x:v>USD</x:v>
      </x:c>
      <x:c r="G39" s="16" t="n">
        <x:v>11.3</x:v>
      </x:c>
      <x:c r="H39" s="16" t="n">
        <x:v>1.5</x:v>
      </x:c>
      <x:c r="I39" s="11" t="n">
        <x:v>0.5</x:v>
      </x:c>
      <x:c r="J39" s="22" t="n">
        <x:v>8</x:v>
      </x:c>
      <x:c r="K39" s="11" t="n">
        <x:v>0.08</x:v>
      </x:c>
      <x:c r="L39" s="11" t="n">
        <x:v>0.012</x:v>
      </x:c>
      <x:c r="M39" s="22" t="n">
        <x:v>0</x:v>
      </x:c>
      <x:c r="N39" s="16" t="str">
        <x:v>Auto</x:v>
      </x:c>
      <x:c r="O39" s="16" t="n">
        <x:v>15.82</x:v>
      </x:c>
      <x:c r="P39" s="16" t="n">
        <x:v>15.255000000000003</x:v>
      </x:c>
      <x:c r="Q39" s="11" t="n">
        <x:v>0.65</x:v>
      </x:c>
      <x:c r="R39" s="11" t="n">
        <x:v>0.12</x:v>
      </x:c>
      <x:c r="S39" s="11" t="n">
        <x:v>1</x:v>
      </x:c>
      <x:c r="T39" s="11" t="n">
        <x:v>0.095</x:v>
      </x:c>
      <x:c r="U39" s="16" t="str">
        <x:v>B019</x:v>
      </x:c>
      <x:c r="V39" s="16" t="str">
        <x:v>General corporate</x:v>
      </x:c>
      <x:c r="W39" s="16" t="str">
        <x:v>Other</x:v>
      </x:c>
      <x:c r="X39" s="16" t="n">
        <x:v>0.10848000000000001</x:v>
      </x:c>
      <x:c r="Y39" s="16" t="str">
        <x:v>SYN-LOAN-31</x:v>
      </x:c>
      <x:c r="Z39" s="23" t="n">
        <x:f>IF(C39="","",IFERROR(INDEX(Settings!$D$41:$D$44,MATCH(F39,Settings!$C$41:$C$44,0)),0))</x:f>
        <x:v>1</x:v>
      </x:c>
      <x:c r="AA39" s="21" t="n">
        <x:f>IF(C39="","",G39*Z39)</x:f>
        <x:v>11.3</x:v>
      </x:c>
      <x:c r="AB39" s="21" t="n">
        <x:f>IF(C39="","",H39*Z39)</x:f>
        <x:v>1.5</x:v>
      </x:c>
      <x:c r="AC39" s="21" t="n">
        <x:f>IF(C39="","",AA39+AB39*I39)</x:f>
        <x:v>12.05</x:v>
      </x:c>
      <x:c r="AD39" s="23" t="n">
        <x:f>IF(C39="","",IFERROR(IF(OR(INDEX(Borrowers!$Z$9:$Z$108,MATCH(D39,Borrowers!$C$9:$C$108,0))="Yes",M39&gt;=90),3,IF(AND(N39&lt;&gt;"Auto",AG39&lt;&gt;"",AH39&lt;&gt;""),VALUE(N39),IF(OR(M39&gt;=30,AM39="Yes",AND(INDEX(Borrowers!$P$9:$P$108,MATCH(D39,Borrowers!$C$9:$C$108,0))&gt;=L39*Settings!$F$19,INDEX(Borrowers!$P$9:$P$108,MATCH(D39,Borrowers!$C$9:$C$108,0))-L39&gt;=Settings!$F$20)),2,1))),"Missing borrower"))</x:f>
        <x:v>1</x:v>
      </x:c>
      <x:c r="AE39" s="21" t="n">
        <x:f>IF(C39="","",MAX(0,AA39-X39)*IF(AD39=3,AJ39,S39)+AB39*AI39*S39)</x:f>
        <x:v>11.94152</x:v>
      </x:c>
      <x:c r="AF39" s="23" t="str">
        <x:f>IF(C39="","",IF(COUNTIF($C$9:$C$108,C39)&lt;&gt;1,"Duplicate facility",IF(COUNTIF(Borrowers!$C$9:$C$108,D39)&lt;&gt;1,"Missing borrower",IF(OR(COUNT(G39:M39)&lt;&gt;7,COUNT(O39:T39)&lt;&gt;6,COUNT(AI39:AL39)&lt;&gt;4,COUNT(AN39)&lt;&gt;1,COUNT(AP39)&lt;&gt;1,COUNT(X39)&lt;&gt;1,Y39="",N39="",AM39=""),"Missing inputs",IF(OR(Z39&lt;=0,G39&lt;0,H39&lt;0,J39&lt;1,J39&gt;30,J39&lt;&gt;INT(J39),MIN(I39,K39,L39,Q39,R39,AI39,AL39)&lt;0,MAX(I39,K39,L39,Q39,R39,AI39,AL39)&gt;1,X39&lt;0,X39&gt;AA39,AP39&lt;0,M39&lt;0,M39&lt;&gt;INT(M39),S39&lt;0,T39&lt;0,AJ39&lt;0,AK39&lt;0,AK39&gt;30,AK39&lt;&gt;INT(AK39),AN39&lt;0,AN39&gt;5,AN39&gt;J39,AN39&lt;&gt;INT(AN39),AND(AN39&gt;0,AQ39=""),NOT(OR(AM39="Yes",AM39="No")),AND(N39&lt;&gt;"Auto",OR(AG39="",AH39=""))),"Review inputs",IF(INDEX(Borrowers!$AA$9:$AA$108,MATCH(D39,Borrowers!$C$9:$C$108,0))&lt;&gt;"Ready","Borrower review","Ready"))))))</x:f>
        <x:v>Ready</x:v>
      </x:c>
      <x:c r="AG39" s="16" t="str"/>
      <x:c r="AH39" s="16" t="str"/>
      <x:c r="AI39" s="11" t="n">
        <x:v>0.5</x:v>
      </x:c>
      <x:c r="AJ39" s="11" t="n">
        <x:v>1.5</x:v>
      </x:c>
      <x:c r="AK39" s="22" t="n">
        <x:v>2</x:v>
      </x:c>
      <x:c r="AL39" s="11" t="n">
        <x:v>0.55</x:v>
      </x:c>
      <x:c r="AM39" s="16" t="str">
        <x:v>No</x:v>
      </x:c>
      <x:c r="AN39" s="22" t="n">
        <x:v>0</x:v>
      </x:c>
      <x:c r="AO39" s="21" t="n">
        <x:f>IF(C39="","",AA39+AB39*AI39)</x:f>
        <x:v>12.05</x:v>
      </x:c>
      <x:c r="AP39" s="16" t="n">
        <x:v>0.006</x:v>
      </x:c>
      <x:c r="AQ39" s="8" t="str">
        <x:v>Synthetic conditional default schedule</x:v>
      </x:c>
    </x:row>
    <x:row r="40" ht="36" customHeight="1">
      <x:c r="A40" s="1"/>
      <x:c r="B40" s="1"/>
      <x:c r="C40" s="8" t="str">
        <x:v>F032</x:v>
      </x:c>
      <x:c r="D40" s="8" t="str">
        <x:v>B020</x:v>
      </x:c>
      <x:c r="E40" s="8" t="str">
        <x:v>Corporate private</x:v>
      </x:c>
      <x:c r="F40" s="8" t="str">
        <x:v>USD</x:v>
      </x:c>
      <x:c r="G40" s="16" t="n">
        <x:v>11.649999999999999</x:v>
      </x:c>
      <x:c r="H40" s="16" t="n">
        <x:v>1.5</x:v>
      </x:c>
      <x:c r="I40" s="11" t="n">
        <x:v>0.5</x:v>
      </x:c>
      <x:c r="J40" s="22" t="n">
        <x:v>9</x:v>
      </x:c>
      <x:c r="K40" s="11" t="n">
        <x:v>0.08</x:v>
      </x:c>
      <x:c r="L40" s="11" t="n">
        <x:v>0.018000000000000002</x:v>
      </x:c>
      <x:c r="M40" s="22" t="n">
        <x:v>0</x:v>
      </x:c>
      <x:c r="N40" s="16" t="str">
        <x:v>Auto</x:v>
      </x:c>
      <x:c r="O40" s="16" t="n">
        <x:v>16.31</x:v>
      </x:c>
      <x:c r="P40" s="16" t="n">
        <x:v>15.7275</x:v>
      </x:c>
      <x:c r="Q40" s="11" t="n">
        <x:v>0.65</x:v>
      </x:c>
      <x:c r="R40" s="11" t="n">
        <x:v>0.12</x:v>
      </x:c>
      <x:c r="S40" s="11" t="n">
        <x:v>1</x:v>
      </x:c>
      <x:c r="T40" s="11" t="n">
        <x:v>0.095</x:v>
      </x:c>
      <x:c r="U40" s="16" t="str">
        <x:v>B020</x:v>
      </x:c>
      <x:c r="V40" s="16" t="str">
        <x:v>General corporate</x:v>
      </x:c>
      <x:c r="W40" s="16" t="str">
        <x:v>Other</x:v>
      </x:c>
      <x:c r="X40" s="16" t="n">
        <x:v>0.18453600000000003</x:v>
      </x:c>
      <x:c r="Y40" s="16" t="str">
        <x:v>SYN-LOAN-32</x:v>
      </x:c>
      <x:c r="Z40" s="23" t="n">
        <x:f>IF(C40="","",IFERROR(INDEX(Settings!$D$41:$D$44,MATCH(F40,Settings!$C$41:$C$44,0)),0))</x:f>
        <x:v>1</x:v>
      </x:c>
      <x:c r="AA40" s="21" t="n">
        <x:f>IF(C40="","",G40*Z40)</x:f>
        <x:v>11.649999999999999</x:v>
      </x:c>
      <x:c r="AB40" s="21" t="n">
        <x:f>IF(C40="","",H40*Z40)</x:f>
        <x:v>1.5</x:v>
      </x:c>
      <x:c r="AC40" s="21" t="n">
        <x:f>IF(C40="","",AA40+AB40*I40)</x:f>
        <x:v>12.399999999999999</x:v>
      </x:c>
      <x:c r="AD40" s="23" t="n">
        <x:f>IF(C40="","",IFERROR(IF(OR(INDEX(Borrowers!$Z$9:$Z$108,MATCH(D40,Borrowers!$C$9:$C$108,0))="Yes",M40&gt;=90),3,IF(AND(N40&lt;&gt;"Auto",AG40&lt;&gt;"",AH40&lt;&gt;""),VALUE(N40),IF(OR(M40&gt;=30,AM40="Yes",AND(INDEX(Borrowers!$P$9:$P$108,MATCH(D40,Borrowers!$C$9:$C$108,0))&gt;=L40*Settings!$F$19,INDEX(Borrowers!$P$9:$P$108,MATCH(D40,Borrowers!$C$9:$C$108,0))-L40&gt;=Settings!$F$20)),2,1))),"Missing borrower"))</x:f>
        <x:v>1</x:v>
      </x:c>
      <x:c r="AE40" s="21" t="n">
        <x:f>IF(C40="","",MAX(0,AA40-X40)*IF(AD40=3,AJ40,S40)+AB40*AI40*S40)</x:f>
        <x:v>12.215463999999999</x:v>
      </x:c>
      <x:c r="AF40" s="23" t="str">
        <x:f>IF(C40="","",IF(COUNTIF($C$9:$C$108,C40)&lt;&gt;1,"Duplicate facility",IF(COUNTIF(Borrowers!$C$9:$C$108,D40)&lt;&gt;1,"Missing borrower",IF(OR(COUNT(G40:M40)&lt;&gt;7,COUNT(O40:T40)&lt;&gt;6,COUNT(AI40:AL40)&lt;&gt;4,COUNT(AN40)&lt;&gt;1,COUNT(AP40)&lt;&gt;1,COUNT(X40)&lt;&gt;1,Y40="",N40="",AM40=""),"Missing inputs",IF(OR(Z40&lt;=0,G40&lt;0,H40&lt;0,J40&lt;1,J40&gt;30,J40&lt;&gt;INT(J40),MIN(I40,K40,L40,Q40,R40,AI40,AL40)&lt;0,MAX(I40,K40,L40,Q40,R40,AI40,AL40)&gt;1,X40&lt;0,X40&gt;AA40,AP40&lt;0,M40&lt;0,M40&lt;&gt;INT(M40),S40&lt;0,T40&lt;0,AJ40&lt;0,AK40&lt;0,AK40&gt;30,AK40&lt;&gt;INT(AK40),AN40&lt;0,AN40&gt;5,AN40&gt;J40,AN40&lt;&gt;INT(AN40),AND(AN40&gt;0,AQ40=""),NOT(OR(AM40="Yes",AM40="No")),AND(N40&lt;&gt;"Auto",OR(AG40="",AH40=""))),"Review inputs",IF(INDEX(Borrowers!$AA$9:$AA$108,MATCH(D40,Borrowers!$C$9:$C$108,0))&lt;&gt;"Ready","Borrower review","Ready"))))))</x:f>
        <x:v>Ready</x:v>
      </x:c>
      <x:c r="AG40" s="16" t="str"/>
      <x:c r="AH40" s="16" t="str"/>
      <x:c r="AI40" s="11" t="n">
        <x:v>0.5</x:v>
      </x:c>
      <x:c r="AJ40" s="11" t="n">
        <x:v>1.5</x:v>
      </x:c>
      <x:c r="AK40" s="22" t="n">
        <x:v>2</x:v>
      </x:c>
      <x:c r="AL40" s="11" t="n">
        <x:v>0.55</x:v>
      </x:c>
      <x:c r="AM40" s="16" t="str">
        <x:v>No</x:v>
      </x:c>
      <x:c r="AN40" s="22" t="n">
        <x:v>0</x:v>
      </x:c>
      <x:c r="AO40" s="21" t="n">
        <x:f>IF(C40="","",AA40+AB40*AI40)</x:f>
        <x:v>12.399999999999999</x:v>
      </x:c>
      <x:c r="AP40" s="16" t="n">
        <x:v>0.006</x:v>
      </x:c>
      <x:c r="AQ40" s="8" t="str">
        <x:v>Synthetic conditional default schedule</x:v>
      </x:c>
    </x:row>
    <x:row r="41" ht="36" customHeight="1">
      <x:c r="A41" s="1"/>
      <x:c r="B41" s="1"/>
      <x:c r="C41" s="8" t="str">
        <x:v>F033</x:v>
      </x:c>
      <x:c r="D41" s="8" t="str">
        <x:v>B021</x:v>
      </x:c>
      <x:c r="E41" s="8" t="str">
        <x:v>Corporate listed</x:v>
      </x:c>
      <x:c r="F41" s="8" t="str">
        <x:v>USD</x:v>
      </x:c>
      <x:c r="G41" s="16" t="n">
        <x:v>12</x:v>
      </x:c>
      <x:c r="H41" s="16" t="n">
        <x:v>1.5</x:v>
      </x:c>
      <x:c r="I41" s="11" t="n">
        <x:v>0.5</x:v>
      </x:c>
      <x:c r="J41" s="22" t="n">
        <x:v>5</x:v>
      </x:c>
      <x:c r="K41" s="11" t="n">
        <x:v>0.08</x:v>
      </x:c>
      <x:c r="L41" s="11" t="n">
        <x:v>0.01</x:v>
      </x:c>
      <x:c r="M41" s="22" t="n">
        <x:v>0</x:v>
      </x:c>
      <x:c r="N41" s="16" t="str">
        <x:v>Auto</x:v>
      </x:c>
      <x:c r="O41" s="16" t="n">
        <x:v>16.799999999999997</x:v>
      </x:c>
      <x:c r="P41" s="16" t="n">
        <x:v>16.200000000000003</x:v>
      </x:c>
      <x:c r="Q41" s="11" t="n">
        <x:v>0.65</x:v>
      </x:c>
      <x:c r="R41" s="11" t="n">
        <x:v>0.12</x:v>
      </x:c>
      <x:c r="S41" s="11" t="n">
        <x:v>1</x:v>
      </x:c>
      <x:c r="T41" s="11" t="n">
        <x:v>0.095</x:v>
      </x:c>
      <x:c r="U41" s="16" t="str">
        <x:v>B021</x:v>
      </x:c>
      <x:c r="V41" s="16" t="str">
        <x:v>General corporate</x:v>
      </x:c>
      <x:c r="W41" s="16" t="str">
        <x:v>Other</x:v>
      </x:c>
      <x:c r="X41" s="16" t="n">
        <x:v>0.16128000000000003</x:v>
      </x:c>
      <x:c r="Y41" s="16" t="str">
        <x:v>SYN-LOAN-33</x:v>
      </x:c>
      <x:c r="Z41" s="23" t="n">
        <x:f>IF(C41="","",IFERROR(INDEX(Settings!$D$41:$D$44,MATCH(F41,Settings!$C$41:$C$44,0)),0))</x:f>
        <x:v>1</x:v>
      </x:c>
      <x:c r="AA41" s="21" t="n">
        <x:f>IF(C41="","",G41*Z41)</x:f>
        <x:v>12</x:v>
      </x:c>
      <x:c r="AB41" s="21" t="n">
        <x:f>IF(C41="","",H41*Z41)</x:f>
        <x:v>1.5</x:v>
      </x:c>
      <x:c r="AC41" s="21" t="n">
        <x:f>IF(C41="","",AA41+AB41*I41)</x:f>
        <x:v>12.75</x:v>
      </x:c>
      <x:c r="AD41" s="23" t="n">
        <x:f>IF(C41="","",IFERROR(IF(OR(INDEX(Borrowers!$Z$9:$Z$108,MATCH(D41,Borrowers!$C$9:$C$108,0))="Yes",M41&gt;=90),3,IF(AND(N41&lt;&gt;"Auto",AG41&lt;&gt;"",AH41&lt;&gt;""),VALUE(N41),IF(OR(M41&gt;=30,AM41="Yes",AND(INDEX(Borrowers!$P$9:$P$108,MATCH(D41,Borrowers!$C$9:$C$108,0))&gt;=L41*Settings!$F$19,INDEX(Borrowers!$P$9:$P$108,MATCH(D41,Borrowers!$C$9:$C$108,0))-L41&gt;=Settings!$F$20)),2,1))),"Missing borrower"))</x:f>
        <x:v>2</x:v>
      </x:c>
      <x:c r="AE41" s="21" t="n">
        <x:f>IF(C41="","",MAX(0,AA41-X41)*IF(AD41=3,AJ41,S41)+AB41*AI41*S41)</x:f>
        <x:v>12.58872</x:v>
      </x:c>
      <x:c r="AF41" s="23" t="str">
        <x:f>IF(C41="","",IF(COUNTIF($C$9:$C$108,C41)&lt;&gt;1,"Duplicate facility",IF(COUNTIF(Borrowers!$C$9:$C$108,D41)&lt;&gt;1,"Missing borrower",IF(OR(COUNT(G41:M41)&lt;&gt;7,COUNT(O41:T41)&lt;&gt;6,COUNT(AI41:AL41)&lt;&gt;4,COUNT(AN41)&lt;&gt;1,COUNT(AP41)&lt;&gt;1,COUNT(X41)&lt;&gt;1,Y41="",N41="",AM41=""),"Missing inputs",IF(OR(Z41&lt;=0,G41&lt;0,H41&lt;0,J41&lt;1,J41&gt;30,J41&lt;&gt;INT(J41),MIN(I41,K41,L41,Q41,R41,AI41,AL41)&lt;0,MAX(I41,K41,L41,Q41,R41,AI41,AL41)&gt;1,X41&lt;0,X41&gt;AA41,AP41&lt;0,M41&lt;0,M41&lt;&gt;INT(M41),S41&lt;0,T41&lt;0,AJ41&lt;0,AK41&lt;0,AK41&gt;30,AK41&lt;&gt;INT(AK41),AN41&lt;0,AN41&gt;5,AN41&gt;J41,AN41&lt;&gt;INT(AN41),AND(AN41&gt;0,AQ41=""),NOT(OR(AM41="Yes",AM41="No")),AND(N41&lt;&gt;"Auto",OR(AG41="",AH41=""))),"Review inputs",IF(INDEX(Borrowers!$AA$9:$AA$108,MATCH(D41,Borrowers!$C$9:$C$108,0))&lt;&gt;"Ready","Borrower review","Ready"))))))</x:f>
        <x:v>Ready</x:v>
      </x:c>
      <x:c r="AG41" s="16" t="str"/>
      <x:c r="AH41" s="16" t="str"/>
      <x:c r="AI41" s="11" t="n">
        <x:v>0.5</x:v>
      </x:c>
      <x:c r="AJ41" s="11" t="n">
        <x:v>1.5</x:v>
      </x:c>
      <x:c r="AK41" s="22" t="n">
        <x:v>2</x:v>
      </x:c>
      <x:c r="AL41" s="11" t="n">
        <x:v>0.55</x:v>
      </x:c>
      <x:c r="AM41" s="16" t="str">
        <x:v>No</x:v>
      </x:c>
      <x:c r="AN41" s="22" t="n">
        <x:v>0</x:v>
      </x:c>
      <x:c r="AO41" s="21" t="n">
        <x:f>IF(C41="","",AA41+AB41*AI41)</x:f>
        <x:v>12.75</x:v>
      </x:c>
      <x:c r="AP41" s="16" t="n">
        <x:v>0.006</x:v>
      </x:c>
      <x:c r="AQ41" s="8" t="str">
        <x:v>Synthetic conditional default schedule</x:v>
      </x:c>
    </x:row>
    <x:row r="42" ht="36" customHeight="1">
      <x:c r="A42" s="1"/>
      <x:c r="B42" s="1"/>
      <x:c r="C42" s="8" t="str">
        <x:v>F034</x:v>
      </x:c>
      <x:c r="D42" s="8" t="str">
        <x:v>B022</x:v>
      </x:c>
      <x:c r="E42" s="8" t="str">
        <x:v>Corporate private</x:v>
      </x:c>
      <x:c r="F42" s="8" t="str">
        <x:v>USD</x:v>
      </x:c>
      <x:c r="G42" s="16" t="n">
        <x:v>12.35</x:v>
      </x:c>
      <x:c r="H42" s="16" t="n">
        <x:v>1.5</x:v>
      </x:c>
      <x:c r="I42" s="11" t="n">
        <x:v>0.5</x:v>
      </x:c>
      <x:c r="J42" s="22" t="n">
        <x:v>12</x:v>
      </x:c>
      <x:c r="K42" s="11" t="n">
        <x:v>0.08</x:v>
      </x:c>
      <x:c r="L42" s="11" t="n">
        <x:v>0.030000000000000002</x:v>
      </x:c>
      <x:c r="M42" s="22" t="n">
        <x:v>0</x:v>
      </x:c>
      <x:c r="N42" s="16" t="str">
        <x:v>Auto</x:v>
      </x:c>
      <x:c r="O42" s="16" t="n">
        <x:v>17.29</x:v>
      </x:c>
      <x:c r="P42" s="16" t="n">
        <x:v>16.6725</x:v>
      </x:c>
      <x:c r="Q42" s="11" t="n">
        <x:v>0.65</x:v>
      </x:c>
      <x:c r="R42" s="11" t="n">
        <x:v>0.12</x:v>
      </x:c>
      <x:c r="S42" s="11" t="n">
        <x:v>1</x:v>
      </x:c>
      <x:c r="T42" s="11" t="n">
        <x:v>0.095</x:v>
      </x:c>
      <x:c r="U42" s="16" t="str">
        <x:v>B022</x:v>
      </x:c>
      <x:c r="V42" s="16" t="str">
        <x:v>General corporate</x:v>
      </x:c>
      <x:c r="W42" s="16" t="str">
        <x:v>Other</x:v>
      </x:c>
      <x:c r="X42" s="16" t="n">
        <x:v>0.23712</x:v>
      </x:c>
      <x:c r="Y42" s="16" t="str">
        <x:v>SYN-LOAN-34</x:v>
      </x:c>
      <x:c r="Z42" s="23" t="n">
        <x:f>IF(C42="","",IFERROR(INDEX(Settings!$D$41:$D$44,MATCH(F42,Settings!$C$41:$C$44,0)),0))</x:f>
        <x:v>1</x:v>
      </x:c>
      <x:c r="AA42" s="21" t="n">
        <x:f>IF(C42="","",G42*Z42)</x:f>
        <x:v>12.35</x:v>
      </x:c>
      <x:c r="AB42" s="21" t="n">
        <x:f>IF(C42="","",H42*Z42)</x:f>
        <x:v>1.5</x:v>
      </x:c>
      <x:c r="AC42" s="21" t="n">
        <x:f>IF(C42="","",AA42+AB42*I42)</x:f>
        <x:v>13.1</x:v>
      </x:c>
      <x:c r="AD42" s="23" t="n">
        <x:f>IF(C42="","",IFERROR(IF(OR(INDEX(Borrowers!$Z$9:$Z$108,MATCH(D42,Borrowers!$C$9:$C$108,0))="Yes",M42&gt;=90),3,IF(AND(N42&lt;&gt;"Auto",AG42&lt;&gt;"",AH42&lt;&gt;""),VALUE(N42),IF(OR(M42&gt;=30,AM42="Yes",AND(INDEX(Borrowers!$P$9:$P$108,MATCH(D42,Borrowers!$C$9:$C$108,0))&gt;=L42*Settings!$F$19,INDEX(Borrowers!$P$9:$P$108,MATCH(D42,Borrowers!$C$9:$C$108,0))-L42&gt;=Settings!$F$20)),2,1))),"Missing borrower"))</x:f>
        <x:v>1</x:v>
      </x:c>
      <x:c r="AE42" s="21" t="n">
        <x:f>IF(C42="","",MAX(0,AA42-X42)*IF(AD42=3,AJ42,S42)+AB42*AI42*S42)</x:f>
        <x:v>12.86288</x:v>
      </x:c>
      <x:c r="AF42" s="23" t="str">
        <x:f>IF(C42="","",IF(COUNTIF($C$9:$C$108,C42)&lt;&gt;1,"Duplicate facility",IF(COUNTIF(Borrowers!$C$9:$C$108,D42)&lt;&gt;1,"Missing borrower",IF(OR(COUNT(G42:M42)&lt;&gt;7,COUNT(O42:T42)&lt;&gt;6,COUNT(AI42:AL42)&lt;&gt;4,COUNT(AN42)&lt;&gt;1,COUNT(AP42)&lt;&gt;1,COUNT(X42)&lt;&gt;1,Y42="",N42="",AM42=""),"Missing inputs",IF(OR(Z42&lt;=0,G42&lt;0,H42&lt;0,J42&lt;1,J42&gt;30,J42&lt;&gt;INT(J42),MIN(I42,K42,L42,Q42,R42,AI42,AL42)&lt;0,MAX(I42,K42,L42,Q42,R42,AI42,AL42)&gt;1,X42&lt;0,X42&gt;AA42,AP42&lt;0,M42&lt;0,M42&lt;&gt;INT(M42),S42&lt;0,T42&lt;0,AJ42&lt;0,AK42&lt;0,AK42&gt;30,AK42&lt;&gt;INT(AK42),AN42&lt;0,AN42&gt;5,AN42&gt;J42,AN42&lt;&gt;INT(AN42),AND(AN42&gt;0,AQ42=""),NOT(OR(AM42="Yes",AM42="No")),AND(N42&lt;&gt;"Auto",OR(AG42="",AH42=""))),"Review inputs",IF(INDEX(Borrowers!$AA$9:$AA$108,MATCH(D42,Borrowers!$C$9:$C$108,0))&lt;&gt;"Ready","Borrower review","Ready"))))))</x:f>
        <x:v>Ready</x:v>
      </x:c>
      <x:c r="AG42" s="16" t="str"/>
      <x:c r="AH42" s="16" t="str"/>
      <x:c r="AI42" s="11" t="n">
        <x:v>0.5</x:v>
      </x:c>
      <x:c r="AJ42" s="11" t="n">
        <x:v>1.5</x:v>
      </x:c>
      <x:c r="AK42" s="22" t="n">
        <x:v>2</x:v>
      </x:c>
      <x:c r="AL42" s="11" t="n">
        <x:v>0.55</x:v>
      </x:c>
      <x:c r="AM42" s="16" t="str">
        <x:v>No</x:v>
      </x:c>
      <x:c r="AN42" s="22" t="n">
        <x:v>0</x:v>
      </x:c>
      <x:c r="AO42" s="21" t="n">
        <x:f>IF(C42="","",AA42+AB42*AI42)</x:f>
        <x:v>13.1</x:v>
      </x:c>
      <x:c r="AP42" s="16" t="n">
        <x:v>0.006</x:v>
      </x:c>
      <x:c r="AQ42" s="8" t="str">
        <x:v>Synthetic conditional default schedule</x:v>
      </x:c>
    </x:row>
    <x:row r="43" ht="36" customHeight="1">
      <x:c r="A43" s="1"/>
      <x:c r="B43" s="1"/>
      <x:c r="C43" s="8" t="str">
        <x:v>F035</x:v>
      </x:c>
      <x:c r="D43" s="8" t="str">
        <x:v>B023</x:v>
      </x:c>
      <x:c r="E43" s="8" t="str">
        <x:v>Corporate private</x:v>
      </x:c>
      <x:c r="F43" s="8" t="str">
        <x:v>USD</x:v>
      </x:c>
      <x:c r="G43" s="16" t="n">
        <x:v>12.7</x:v>
      </x:c>
      <x:c r="H43" s="16" t="n">
        <x:v>1.5</x:v>
      </x:c>
      <x:c r="I43" s="11" t="n">
        <x:v>0.5</x:v>
      </x:c>
      <x:c r="J43" s="22" t="n">
        <x:v>7</x:v>
      </x:c>
      <x:c r="K43" s="11" t="n">
        <x:v>0.08</x:v>
      </x:c>
      <x:c r="L43" s="11" t="n">
        <x:v>0.036000000000000004</x:v>
      </x:c>
      <x:c r="M43" s="22" t="n">
        <x:v>120</x:v>
      </x:c>
      <x:c r="N43" s="16" t="str">
        <x:v>Auto</x:v>
      </x:c>
      <x:c r="O43" s="16" t="n">
        <x:v>17.779999999999998</x:v>
      </x:c>
      <x:c r="P43" s="16" t="n">
        <x:v>17.145</x:v>
      </x:c>
      <x:c r="Q43" s="11" t="n">
        <x:v>0.65</x:v>
      </x:c>
      <x:c r="R43" s="11" t="n">
        <x:v>0.12</x:v>
      </x:c>
      <x:c r="S43" s="11" t="n">
        <x:v>1</x:v>
      </x:c>
      <x:c r="T43" s="11" t="n">
        <x:v>0.095</x:v>
      </x:c>
      <x:c r="U43" s="16" t="str">
        <x:v>B023</x:v>
      </x:c>
      <x:c r="V43" s="16" t="str">
        <x:v>General corporate</x:v>
      </x:c>
      <x:c r="W43" s="16" t="str">
        <x:v>Other</x:v>
      </x:c>
      <x:c r="X43" s="16" t="n">
        <x:v>5.715</x:v>
      </x:c>
      <x:c r="Y43" s="16" t="str">
        <x:v>SYN-LOAN-35</x:v>
      </x:c>
      <x:c r="Z43" s="23" t="n">
        <x:f>IF(C43="","",IFERROR(INDEX(Settings!$D$41:$D$44,MATCH(F43,Settings!$C$41:$C$44,0)),0))</x:f>
        <x:v>1</x:v>
      </x:c>
      <x:c r="AA43" s="21" t="n">
        <x:f>IF(C43="","",G43*Z43)</x:f>
        <x:v>12.7</x:v>
      </x:c>
      <x:c r="AB43" s="21" t="n">
        <x:f>IF(C43="","",H43*Z43)</x:f>
        <x:v>1.5</x:v>
      </x:c>
      <x:c r="AC43" s="21" t="n">
        <x:f>IF(C43="","",AA43+AB43*I43)</x:f>
        <x:v>13.45</x:v>
      </x:c>
      <x:c r="AD43" s="23" t="n">
        <x:f>IF(C43="","",IFERROR(IF(OR(INDEX(Borrowers!$Z$9:$Z$108,MATCH(D43,Borrowers!$C$9:$C$108,0))="Yes",M43&gt;=90),3,IF(AND(N43&lt;&gt;"Auto",AG43&lt;&gt;"",AH43&lt;&gt;""),VALUE(N43),IF(OR(M43&gt;=30,AM43="Yes",AND(INDEX(Borrowers!$P$9:$P$108,MATCH(D43,Borrowers!$C$9:$C$108,0))&gt;=L43*Settings!$F$19,INDEX(Borrowers!$P$9:$P$108,MATCH(D43,Borrowers!$C$9:$C$108,0))-L43&gt;=Settings!$F$20)),2,1))),"Missing borrower"))</x:f>
        <x:v>3</x:v>
      </x:c>
      <x:c r="AE43" s="21" t="n">
        <x:f>IF(C43="","",MAX(0,AA43-X43)*IF(AD43=3,AJ43,S43)+AB43*AI43*S43)</x:f>
        <x:v>11.2275</x:v>
      </x:c>
      <x:c r="AF43" s="23" t="str">
        <x:f>IF(C43="","",IF(COUNTIF($C$9:$C$108,C43)&lt;&gt;1,"Duplicate facility",IF(COUNTIF(Borrowers!$C$9:$C$108,D43)&lt;&gt;1,"Missing borrower",IF(OR(COUNT(G43:M43)&lt;&gt;7,COUNT(O43:T43)&lt;&gt;6,COUNT(AI43:AL43)&lt;&gt;4,COUNT(AN43)&lt;&gt;1,COUNT(AP43)&lt;&gt;1,COUNT(X43)&lt;&gt;1,Y43="",N43="",AM43=""),"Missing inputs",IF(OR(Z43&lt;=0,G43&lt;0,H43&lt;0,J43&lt;1,J43&gt;30,J43&lt;&gt;INT(J43),MIN(I43,K43,L43,Q43,R43,AI43,AL43)&lt;0,MAX(I43,K43,L43,Q43,R43,AI43,AL43)&gt;1,X43&lt;0,X43&gt;AA43,AP43&lt;0,M43&lt;0,M43&lt;&gt;INT(M43),S43&lt;0,T43&lt;0,AJ43&lt;0,AK43&lt;0,AK43&gt;30,AK43&lt;&gt;INT(AK43),AN43&lt;0,AN43&gt;5,AN43&gt;J43,AN43&lt;&gt;INT(AN43),AND(AN43&gt;0,AQ43=""),NOT(OR(AM43="Yes",AM43="No")),AND(N43&lt;&gt;"Auto",OR(AG43="",AH43=""))),"Review inputs",IF(INDEX(Borrowers!$AA$9:$AA$108,MATCH(D43,Borrowers!$C$9:$C$108,0))&lt;&gt;"Ready","Borrower review","Ready"))))))</x:f>
        <x:v>Ready</x:v>
      </x:c>
      <x:c r="AG43" s="16" t="str"/>
      <x:c r="AH43" s="16" t="str"/>
      <x:c r="AI43" s="11" t="n">
        <x:v>0.5</x:v>
      </x:c>
      <x:c r="AJ43" s="11" t="n">
        <x:v>1.5</x:v>
      </x:c>
      <x:c r="AK43" s="22" t="n">
        <x:v>2</x:v>
      </x:c>
      <x:c r="AL43" s="11" t="n">
        <x:v>0.55</x:v>
      </x:c>
      <x:c r="AM43" s="16" t="str">
        <x:v>No</x:v>
      </x:c>
      <x:c r="AN43" s="22" t="n">
        <x:v>0</x:v>
      </x:c>
      <x:c r="AO43" s="21" t="n">
        <x:f>IF(C43="","",AA43+AB43*AI43)</x:f>
        <x:v>13.45</x:v>
      </x:c>
      <x:c r="AP43" s="16" t="n">
        <x:v>0.006</x:v>
      </x:c>
      <x:c r="AQ43" s="8" t="str">
        <x:v>Synthetic conditional default schedule</x:v>
      </x:c>
    </x:row>
    <x:row r="44" ht="36" customHeight="1">
      <x:c r="A44" s="1"/>
      <x:c r="B44" s="1"/>
      <x:c r="C44" s="8" t="str">
        <x:v>F036</x:v>
      </x:c>
      <x:c r="D44" s="8" t="str">
        <x:v>B024</x:v>
      </x:c>
      <x:c r="E44" s="8" t="str">
        <x:v>Corporate private</x:v>
      </x:c>
      <x:c r="F44" s="8" t="str">
        <x:v>USD</x:v>
      </x:c>
      <x:c r="G44" s="16" t="n">
        <x:v>13.049999999999999</x:v>
      </x:c>
      <x:c r="H44" s="16" t="n">
        <x:v>1.5</x:v>
      </x:c>
      <x:c r="I44" s="11" t="n">
        <x:v>0.5</x:v>
      </x:c>
      <x:c r="J44" s="22" t="n">
        <x:v>8</x:v>
      </x:c>
      <x:c r="K44" s="11" t="n">
        <x:v>0.08</x:v>
      </x:c>
      <x:c r="L44" s="11" t="n">
        <x:v>0.041999999999999996</x:v>
      </x:c>
      <x:c r="M44" s="22" t="n">
        <x:v>0</x:v>
      </x:c>
      <x:c r="N44" s="16" t="str">
        <x:v>Auto</x:v>
      </x:c>
      <x:c r="O44" s="16" t="n">
        <x:v>18.269999999999996</x:v>
      </x:c>
      <x:c r="P44" s="16" t="n">
        <x:v>17.6175</x:v>
      </x:c>
      <x:c r="Q44" s="11" t="n">
        <x:v>0.65</x:v>
      </x:c>
      <x:c r="R44" s="11" t="n">
        <x:v>0.12</x:v>
      </x:c>
      <x:c r="S44" s="11" t="n">
        <x:v>1</x:v>
      </x:c>
      <x:c r="T44" s="11" t="n">
        <x:v>0.095</x:v>
      </x:c>
      <x:c r="U44" s="16" t="str">
        <x:v>B024</x:v>
      </x:c>
      <x:c r="V44" s="16" t="str">
        <x:v>General corporate</x:v>
      </x:c>
      <x:c r="W44" s="16" t="str">
        <x:v>Other</x:v>
      </x:c>
      <x:c r="X44" s="16" t="n">
        <x:v>0.43848</x:v>
      </x:c>
      <x:c r="Y44" s="16" t="str">
        <x:v>SYN-LOAN-36</x:v>
      </x:c>
      <x:c r="Z44" s="23" t="n">
        <x:f>IF(C44="","",IFERROR(INDEX(Settings!$D$41:$D$44,MATCH(F44,Settings!$C$41:$C$44,0)),0))</x:f>
        <x:v>1</x:v>
      </x:c>
      <x:c r="AA44" s="21" t="n">
        <x:f>IF(C44="","",G44*Z44)</x:f>
        <x:v>13.049999999999999</x:v>
      </x:c>
      <x:c r="AB44" s="21" t="n">
        <x:f>IF(C44="","",H44*Z44)</x:f>
        <x:v>1.5</x:v>
      </x:c>
      <x:c r="AC44" s="21" t="n">
        <x:f>IF(C44="","",AA44+AB44*I44)</x:f>
        <x:v>13.799999999999999</x:v>
      </x:c>
      <x:c r="AD44" s="23" t="n">
        <x:f>IF(C44="","",IFERROR(IF(OR(INDEX(Borrowers!$Z$9:$Z$108,MATCH(D44,Borrowers!$C$9:$C$108,0))="Yes",M44&gt;=90),3,IF(AND(N44&lt;&gt;"Auto",AG44&lt;&gt;"",AH44&lt;&gt;""),VALUE(N44),IF(OR(M44&gt;=30,AM44="Yes",AND(INDEX(Borrowers!$P$9:$P$108,MATCH(D44,Borrowers!$C$9:$C$108,0))&gt;=L44*Settings!$F$19,INDEX(Borrowers!$P$9:$P$108,MATCH(D44,Borrowers!$C$9:$C$108,0))-L44&gt;=Settings!$F$20)),2,1))),"Missing borrower"))</x:f>
        <x:v>1</x:v>
      </x:c>
      <x:c r="AE44" s="21" t="n">
        <x:f>IF(C44="","",MAX(0,AA44-X44)*IF(AD44=3,AJ44,S44)+AB44*AI44*S44)</x:f>
        <x:v>13.361519999999999</x:v>
      </x:c>
      <x:c r="AF44" s="23" t="str">
        <x:f>IF(C44="","",IF(COUNTIF($C$9:$C$108,C44)&lt;&gt;1,"Duplicate facility",IF(COUNTIF(Borrowers!$C$9:$C$108,D44)&lt;&gt;1,"Missing borrower",IF(OR(COUNT(G44:M44)&lt;&gt;7,COUNT(O44:T44)&lt;&gt;6,COUNT(AI44:AL44)&lt;&gt;4,COUNT(AN44)&lt;&gt;1,COUNT(AP44)&lt;&gt;1,COUNT(X44)&lt;&gt;1,Y44="",N44="",AM44=""),"Missing inputs",IF(OR(Z44&lt;=0,G44&lt;0,H44&lt;0,J44&lt;1,J44&gt;30,J44&lt;&gt;INT(J44),MIN(I44,K44,L44,Q44,R44,AI44,AL44)&lt;0,MAX(I44,K44,L44,Q44,R44,AI44,AL44)&gt;1,X44&lt;0,X44&gt;AA44,AP44&lt;0,M44&lt;0,M44&lt;&gt;INT(M44),S44&lt;0,T44&lt;0,AJ44&lt;0,AK44&lt;0,AK44&gt;30,AK44&lt;&gt;INT(AK44),AN44&lt;0,AN44&gt;5,AN44&gt;J44,AN44&lt;&gt;INT(AN44),AND(AN44&gt;0,AQ44=""),NOT(OR(AM44="Yes",AM44="No")),AND(N44&lt;&gt;"Auto",OR(AG44="",AH44=""))),"Review inputs",IF(INDEX(Borrowers!$AA$9:$AA$108,MATCH(D44,Borrowers!$C$9:$C$108,0))&lt;&gt;"Ready","Borrower review","Ready"))))))</x:f>
        <x:v>Ready</x:v>
      </x:c>
      <x:c r="AG44" s="16" t="str"/>
      <x:c r="AH44" s="16" t="str"/>
      <x:c r="AI44" s="11" t="n">
        <x:v>0.5</x:v>
      </x:c>
      <x:c r="AJ44" s="11" t="n">
        <x:v>1.5</x:v>
      </x:c>
      <x:c r="AK44" s="22" t="n">
        <x:v>2</x:v>
      </x:c>
      <x:c r="AL44" s="11" t="n">
        <x:v>0.55</x:v>
      </x:c>
      <x:c r="AM44" s="16" t="str">
        <x:v>No</x:v>
      </x:c>
      <x:c r="AN44" s="22" t="n">
        <x:v>0</x:v>
      </x:c>
      <x:c r="AO44" s="21" t="n">
        <x:f>IF(C44="","",AA44+AB44*AI44)</x:f>
        <x:v>13.799999999999999</x:v>
      </x:c>
      <x:c r="AP44" s="16" t="n">
        <x:v>0.006</x:v>
      </x:c>
      <x:c r="AQ44" s="8" t="str">
        <x:v>Synthetic conditional default schedule</x:v>
      </x:c>
    </x:row>
    <x:row r="45" ht="36" customHeight="1">
      <x:c r="A45" s="1"/>
      <x:c r="B45" s="1"/>
      <x:c r="C45" s="8"/>
      <x:c r="D45" s="8"/>
      <x:c r="E45" s="8"/>
      <x:c r="F45" s="8"/>
      <x:c r="G45" s="16"/>
      <x:c r="H45" s="16"/>
      <x:c r="I45" s="11"/>
      <x:c r="J45" s="22"/>
      <x:c r="K45" s="11"/>
      <x:c r="L45" s="11"/>
      <x:c r="M45" s="22"/>
      <x:c r="N45" s="16"/>
      <x:c r="O45" s="16"/>
      <x:c r="P45" s="16"/>
      <x:c r="Q45" s="11"/>
      <x:c r="R45" s="11"/>
      <x:c r="S45" s="11"/>
      <x:c r="T45" s="11"/>
      <x:c r="U45" s="16"/>
      <x:c r="V45" s="16"/>
      <x:c r="W45" s="16"/>
      <x:c r="X45" s="16"/>
      <x:c r="Y45" s="16"/>
      <x:c r="Z45" s="23" t="str">
        <x:f>IF(C45="","",IFERROR(INDEX(Settings!$D$41:$D$44,MATCH(F45,Settings!$C$41:$C$44,0)),0))</x:f>
      </x:c>
      <x:c r="AA45" s="21" t="str">
        <x:f>IF(C45="","",G45*Z45)</x:f>
      </x:c>
      <x:c r="AB45" s="21" t="str">
        <x:f>IF(C45="","",H45*Z45)</x:f>
      </x:c>
      <x:c r="AC45" s="21" t="str">
        <x:f>IF(C45="","",AA45+AB45*I45)</x:f>
      </x:c>
      <x:c r="AD45" s="23" t="str">
        <x:f>IF(C45="","",IFERROR(IF(OR(INDEX(Borrowers!$Z$9:$Z$108,MATCH(D45,Borrowers!$C$9:$C$108,0))="Yes",M45&gt;=90),3,IF(AND(N45&lt;&gt;"Auto",AG45&lt;&gt;"",AH45&lt;&gt;""),VALUE(N45),IF(OR(M45&gt;=30,AM45="Yes",AND(INDEX(Borrowers!$P$9:$P$108,MATCH(D45,Borrowers!$C$9:$C$108,0))&gt;=L45*Settings!$F$19,INDEX(Borrowers!$P$9:$P$108,MATCH(D45,Borrowers!$C$9:$C$108,0))-L45&gt;=Settings!$F$20)),2,1))),"Missing borrower"))</x:f>
      </x:c>
      <x:c r="AE45" s="21" t="str">
        <x:f>IF(C45="","",MAX(0,AA45-X45)*IF(AD45=3,AJ45,S45)+AB45*AI45*S45)</x:f>
      </x:c>
      <x:c r="AF45" s="23" t="str">
        <x:f>IF(C45="","",IF(COUNTIF($C$9:$C$108,C45)&lt;&gt;1,"Duplicate facility",IF(COUNTIF(Borrowers!$C$9:$C$108,D45)&lt;&gt;1,"Missing borrower",IF(OR(COUNT(G45:M45)&lt;&gt;7,COUNT(O45:T45)&lt;&gt;6,COUNT(AI45:AL45)&lt;&gt;4,COUNT(AN45)&lt;&gt;1,COUNT(AP45)&lt;&gt;1,COUNT(X45)&lt;&gt;1,Y45="",N45="",AM45=""),"Missing inputs",IF(OR(Z45&lt;=0,G45&lt;0,H45&lt;0,J45&lt;1,J45&gt;30,J45&lt;&gt;INT(J45),MIN(I45,K45,L45,Q45,R45,AI45,AL45)&lt;0,MAX(I45,K45,L45,Q45,R45,AI45,AL45)&gt;1,X45&lt;0,X45&gt;AA45,AP45&lt;0,M45&lt;0,M45&lt;&gt;INT(M45),S45&lt;0,T45&lt;0,AJ45&lt;0,AK45&lt;0,AK45&gt;30,AK45&lt;&gt;INT(AK45),AN45&lt;0,AN45&gt;5,AN45&gt;J45,AN45&lt;&gt;INT(AN45),AND(AN45&gt;0,AQ45=""),NOT(OR(AM45="Yes",AM45="No")),AND(N45&lt;&gt;"Auto",OR(AG45="",AH45=""))),"Review inputs",IF(INDEX(Borrowers!$AA$9:$AA$108,MATCH(D45,Borrowers!$C$9:$C$108,0))&lt;&gt;"Ready","Borrower review","Ready"))))))</x:f>
      </x:c>
      <x:c r="AG45" s="16"/>
      <x:c r="AH45" s="16"/>
      <x:c r="AI45" s="11"/>
      <x:c r="AJ45" s="11"/>
      <x:c r="AK45" s="22"/>
      <x:c r="AL45" s="11"/>
      <x:c r="AM45" s="16"/>
      <x:c r="AN45" s="22"/>
      <x:c r="AO45" s="21" t="str">
        <x:f>IF(C45="","",AA45+AB45*AI45)</x:f>
      </x:c>
      <x:c r="AP45" s="16"/>
      <x:c r="AQ45" s="8"/>
    </x:row>
    <x:row r="46" ht="36" customHeight="1">
      <x:c r="A46" s="1"/>
      <x:c r="B46" s="1"/>
      <x:c r="C46" s="8"/>
      <x:c r="D46" s="8"/>
      <x:c r="E46" s="8"/>
      <x:c r="F46" s="8"/>
      <x:c r="G46" s="16"/>
      <x:c r="H46" s="16"/>
      <x:c r="I46" s="11"/>
      <x:c r="J46" s="22"/>
      <x:c r="K46" s="11"/>
      <x:c r="L46" s="11"/>
      <x:c r="M46" s="22"/>
      <x:c r="N46" s="16"/>
      <x:c r="O46" s="16"/>
      <x:c r="P46" s="16"/>
      <x:c r="Q46" s="11"/>
      <x:c r="R46" s="11"/>
      <x:c r="S46" s="11"/>
      <x:c r="T46" s="11"/>
      <x:c r="U46" s="16"/>
      <x:c r="V46" s="16"/>
      <x:c r="W46" s="16"/>
      <x:c r="X46" s="16"/>
      <x:c r="Y46" s="16"/>
      <x:c r="Z46" s="23" t="str">
        <x:f>IF(C46="","",IFERROR(INDEX(Settings!$D$41:$D$44,MATCH(F46,Settings!$C$41:$C$44,0)),0))</x:f>
      </x:c>
      <x:c r="AA46" s="21" t="str">
        <x:f>IF(C46="","",G46*Z46)</x:f>
      </x:c>
      <x:c r="AB46" s="21" t="str">
        <x:f>IF(C46="","",H46*Z46)</x:f>
      </x:c>
      <x:c r="AC46" s="21" t="str">
        <x:f>IF(C46="","",AA46+AB46*I46)</x:f>
      </x:c>
      <x:c r="AD46" s="23" t="str">
        <x:f>IF(C46="","",IFERROR(IF(OR(INDEX(Borrowers!$Z$9:$Z$108,MATCH(D46,Borrowers!$C$9:$C$108,0))="Yes",M46&gt;=90),3,IF(AND(N46&lt;&gt;"Auto",AG46&lt;&gt;"",AH46&lt;&gt;""),VALUE(N46),IF(OR(M46&gt;=30,AM46="Yes",AND(INDEX(Borrowers!$P$9:$P$108,MATCH(D46,Borrowers!$C$9:$C$108,0))&gt;=L46*Settings!$F$19,INDEX(Borrowers!$P$9:$P$108,MATCH(D46,Borrowers!$C$9:$C$108,0))-L46&gt;=Settings!$F$20)),2,1))),"Missing borrower"))</x:f>
      </x:c>
      <x:c r="AE46" s="21" t="str">
        <x:f>IF(C46="","",MAX(0,AA46-X46)*IF(AD46=3,AJ46,S46)+AB46*AI46*S46)</x:f>
      </x:c>
      <x:c r="AF46" s="23" t="str">
        <x:f>IF(C46="","",IF(COUNTIF($C$9:$C$108,C46)&lt;&gt;1,"Duplicate facility",IF(COUNTIF(Borrowers!$C$9:$C$108,D46)&lt;&gt;1,"Missing borrower",IF(OR(COUNT(G46:M46)&lt;&gt;7,COUNT(O46:T46)&lt;&gt;6,COUNT(AI46:AL46)&lt;&gt;4,COUNT(AN46)&lt;&gt;1,COUNT(AP46)&lt;&gt;1,COUNT(X46)&lt;&gt;1,Y46="",N46="",AM46=""),"Missing inputs",IF(OR(Z46&lt;=0,G46&lt;0,H46&lt;0,J46&lt;1,J46&gt;30,J46&lt;&gt;INT(J46),MIN(I46,K46,L46,Q46,R46,AI46,AL46)&lt;0,MAX(I46,K46,L46,Q46,R46,AI46,AL46)&gt;1,X46&lt;0,X46&gt;AA46,AP46&lt;0,M46&lt;0,M46&lt;&gt;INT(M46),S46&lt;0,T46&lt;0,AJ46&lt;0,AK46&lt;0,AK46&gt;30,AK46&lt;&gt;INT(AK46),AN46&lt;0,AN46&gt;5,AN46&gt;J46,AN46&lt;&gt;INT(AN46),AND(AN46&gt;0,AQ46=""),NOT(OR(AM46="Yes",AM46="No")),AND(N46&lt;&gt;"Auto",OR(AG46="",AH46=""))),"Review inputs",IF(INDEX(Borrowers!$AA$9:$AA$108,MATCH(D46,Borrowers!$C$9:$C$108,0))&lt;&gt;"Ready","Borrower review","Ready"))))))</x:f>
      </x:c>
      <x:c r="AG46" s="16"/>
      <x:c r="AH46" s="16"/>
      <x:c r="AI46" s="11"/>
      <x:c r="AJ46" s="11"/>
      <x:c r="AK46" s="22"/>
      <x:c r="AL46" s="11"/>
      <x:c r="AM46" s="16"/>
      <x:c r="AN46" s="22"/>
      <x:c r="AO46" s="21" t="str">
        <x:f>IF(C46="","",AA46+AB46*AI46)</x:f>
      </x:c>
      <x:c r="AP46" s="16"/>
      <x:c r="AQ46" s="8"/>
    </x:row>
    <x:row r="47" ht="36" customHeight="1">
      <x:c r="A47" s="1"/>
      <x:c r="B47" s="1"/>
      <x:c r="C47" s="8"/>
      <x:c r="D47" s="8"/>
      <x:c r="E47" s="8"/>
      <x:c r="F47" s="8"/>
      <x:c r="G47" s="16"/>
      <x:c r="H47" s="16"/>
      <x:c r="I47" s="11"/>
      <x:c r="J47" s="22"/>
      <x:c r="K47" s="11"/>
      <x:c r="L47" s="11"/>
      <x:c r="M47" s="22"/>
      <x:c r="N47" s="16"/>
      <x:c r="O47" s="16"/>
      <x:c r="P47" s="16"/>
      <x:c r="Q47" s="11"/>
      <x:c r="R47" s="11"/>
      <x:c r="S47" s="11"/>
      <x:c r="T47" s="11"/>
      <x:c r="U47" s="16"/>
      <x:c r="V47" s="16"/>
      <x:c r="W47" s="16"/>
      <x:c r="X47" s="16"/>
      <x:c r="Y47" s="16"/>
      <x:c r="Z47" s="23" t="str">
        <x:f>IF(C47="","",IFERROR(INDEX(Settings!$D$41:$D$44,MATCH(F47,Settings!$C$41:$C$44,0)),0))</x:f>
      </x:c>
      <x:c r="AA47" s="21" t="str">
        <x:f>IF(C47="","",G47*Z47)</x:f>
      </x:c>
      <x:c r="AB47" s="21" t="str">
        <x:f>IF(C47="","",H47*Z47)</x:f>
      </x:c>
      <x:c r="AC47" s="21" t="str">
        <x:f>IF(C47="","",AA47+AB47*I47)</x:f>
      </x:c>
      <x:c r="AD47" s="23" t="str">
        <x:f>IF(C47="","",IFERROR(IF(OR(INDEX(Borrowers!$Z$9:$Z$108,MATCH(D47,Borrowers!$C$9:$C$108,0))="Yes",M47&gt;=90),3,IF(AND(N47&lt;&gt;"Auto",AG47&lt;&gt;"",AH47&lt;&gt;""),VALUE(N47),IF(OR(M47&gt;=30,AM47="Yes",AND(INDEX(Borrowers!$P$9:$P$108,MATCH(D47,Borrowers!$C$9:$C$108,0))&gt;=L47*Settings!$F$19,INDEX(Borrowers!$P$9:$P$108,MATCH(D47,Borrowers!$C$9:$C$108,0))-L47&gt;=Settings!$F$20)),2,1))),"Missing borrower"))</x:f>
      </x:c>
      <x:c r="AE47" s="21" t="str">
        <x:f>IF(C47="","",MAX(0,AA47-X47)*IF(AD47=3,AJ47,S47)+AB47*AI47*S47)</x:f>
      </x:c>
      <x:c r="AF47" s="23" t="str">
        <x:f>IF(C47="","",IF(COUNTIF($C$9:$C$108,C47)&lt;&gt;1,"Duplicate facility",IF(COUNTIF(Borrowers!$C$9:$C$108,D47)&lt;&gt;1,"Missing borrower",IF(OR(COUNT(G47:M47)&lt;&gt;7,COUNT(O47:T47)&lt;&gt;6,COUNT(AI47:AL47)&lt;&gt;4,COUNT(AN47)&lt;&gt;1,COUNT(AP47)&lt;&gt;1,COUNT(X47)&lt;&gt;1,Y47="",N47="",AM47=""),"Missing inputs",IF(OR(Z47&lt;=0,G47&lt;0,H47&lt;0,J47&lt;1,J47&gt;30,J47&lt;&gt;INT(J47),MIN(I47,K47,L47,Q47,R47,AI47,AL47)&lt;0,MAX(I47,K47,L47,Q47,R47,AI47,AL47)&gt;1,X47&lt;0,X47&gt;AA47,AP47&lt;0,M47&lt;0,M47&lt;&gt;INT(M47),S47&lt;0,T47&lt;0,AJ47&lt;0,AK47&lt;0,AK47&gt;30,AK47&lt;&gt;INT(AK47),AN47&lt;0,AN47&gt;5,AN47&gt;J47,AN47&lt;&gt;INT(AN47),AND(AN47&gt;0,AQ47=""),NOT(OR(AM47="Yes",AM47="No")),AND(N47&lt;&gt;"Auto",OR(AG47="",AH47=""))),"Review inputs",IF(INDEX(Borrowers!$AA$9:$AA$108,MATCH(D47,Borrowers!$C$9:$C$108,0))&lt;&gt;"Ready","Borrower review","Ready"))))))</x:f>
      </x:c>
      <x:c r="AG47" s="16"/>
      <x:c r="AH47" s="16"/>
      <x:c r="AI47" s="11"/>
      <x:c r="AJ47" s="11"/>
      <x:c r="AK47" s="22"/>
      <x:c r="AL47" s="11"/>
      <x:c r="AM47" s="16"/>
      <x:c r="AN47" s="22"/>
      <x:c r="AO47" s="21" t="str">
        <x:f>IF(C47="","",AA47+AB47*AI47)</x:f>
      </x:c>
      <x:c r="AP47" s="16"/>
      <x:c r="AQ47" s="8"/>
    </x:row>
    <x:row r="48" ht="36" customHeight="1">
      <x:c r="A48" s="1"/>
      <x:c r="B48" s="1"/>
      <x:c r="C48" s="8"/>
      <x:c r="D48" s="8"/>
      <x:c r="E48" s="8"/>
      <x:c r="F48" s="8"/>
      <x:c r="G48" s="16"/>
      <x:c r="H48" s="16"/>
      <x:c r="I48" s="11"/>
      <x:c r="J48" s="22"/>
      <x:c r="K48" s="11"/>
      <x:c r="L48" s="11"/>
      <x:c r="M48" s="22"/>
      <x:c r="N48" s="16"/>
      <x:c r="O48" s="16"/>
      <x:c r="P48" s="16"/>
      <x:c r="Q48" s="11"/>
      <x:c r="R48" s="11"/>
      <x:c r="S48" s="11"/>
      <x:c r="T48" s="11"/>
      <x:c r="U48" s="16"/>
      <x:c r="V48" s="16"/>
      <x:c r="W48" s="16"/>
      <x:c r="X48" s="16"/>
      <x:c r="Y48" s="16"/>
      <x:c r="Z48" s="23" t="str">
        <x:f>IF(C48="","",IFERROR(INDEX(Settings!$D$41:$D$44,MATCH(F48,Settings!$C$41:$C$44,0)),0))</x:f>
      </x:c>
      <x:c r="AA48" s="21" t="str">
        <x:f>IF(C48="","",G48*Z48)</x:f>
      </x:c>
      <x:c r="AB48" s="21" t="str">
        <x:f>IF(C48="","",H48*Z48)</x:f>
      </x:c>
      <x:c r="AC48" s="21" t="str">
        <x:f>IF(C48="","",AA48+AB48*I48)</x:f>
      </x:c>
      <x:c r="AD48" s="23" t="str">
        <x:f>IF(C48="","",IFERROR(IF(OR(INDEX(Borrowers!$Z$9:$Z$108,MATCH(D48,Borrowers!$C$9:$C$108,0))="Yes",M48&gt;=90),3,IF(AND(N48&lt;&gt;"Auto",AG48&lt;&gt;"",AH48&lt;&gt;""),VALUE(N48),IF(OR(M48&gt;=30,AM48="Yes",AND(INDEX(Borrowers!$P$9:$P$108,MATCH(D48,Borrowers!$C$9:$C$108,0))&gt;=L48*Settings!$F$19,INDEX(Borrowers!$P$9:$P$108,MATCH(D48,Borrowers!$C$9:$C$108,0))-L48&gt;=Settings!$F$20)),2,1))),"Missing borrower"))</x:f>
      </x:c>
      <x:c r="AE48" s="21" t="str">
        <x:f>IF(C48="","",MAX(0,AA48-X48)*IF(AD48=3,AJ48,S48)+AB48*AI48*S48)</x:f>
      </x:c>
      <x:c r="AF48" s="23" t="str">
        <x:f>IF(C48="","",IF(COUNTIF($C$9:$C$108,C48)&lt;&gt;1,"Duplicate facility",IF(COUNTIF(Borrowers!$C$9:$C$108,D48)&lt;&gt;1,"Missing borrower",IF(OR(COUNT(G48:M48)&lt;&gt;7,COUNT(O48:T48)&lt;&gt;6,COUNT(AI48:AL48)&lt;&gt;4,COUNT(AN48)&lt;&gt;1,COUNT(AP48)&lt;&gt;1,COUNT(X48)&lt;&gt;1,Y48="",N48="",AM48=""),"Missing inputs",IF(OR(Z48&lt;=0,G48&lt;0,H48&lt;0,J48&lt;1,J48&gt;30,J48&lt;&gt;INT(J48),MIN(I48,K48,L48,Q48,R48,AI48,AL48)&lt;0,MAX(I48,K48,L48,Q48,R48,AI48,AL48)&gt;1,X48&lt;0,X48&gt;AA48,AP48&lt;0,M48&lt;0,M48&lt;&gt;INT(M48),S48&lt;0,T48&lt;0,AJ48&lt;0,AK48&lt;0,AK48&gt;30,AK48&lt;&gt;INT(AK48),AN48&lt;0,AN48&gt;5,AN48&gt;J48,AN48&lt;&gt;INT(AN48),AND(AN48&gt;0,AQ48=""),NOT(OR(AM48="Yes",AM48="No")),AND(N48&lt;&gt;"Auto",OR(AG48="",AH48=""))),"Review inputs",IF(INDEX(Borrowers!$AA$9:$AA$108,MATCH(D48,Borrowers!$C$9:$C$108,0))&lt;&gt;"Ready","Borrower review","Ready"))))))</x:f>
      </x:c>
      <x:c r="AG48" s="16"/>
      <x:c r="AH48" s="16"/>
      <x:c r="AI48" s="11"/>
      <x:c r="AJ48" s="11"/>
      <x:c r="AK48" s="22"/>
      <x:c r="AL48" s="11"/>
      <x:c r="AM48" s="16"/>
      <x:c r="AN48" s="22"/>
      <x:c r="AO48" s="21" t="str">
        <x:f>IF(C48="","",AA48+AB48*AI48)</x:f>
      </x:c>
      <x:c r="AP48" s="16"/>
      <x:c r="AQ48" s="8"/>
    </x:row>
    <x:row r="49" ht="36" customHeight="1">
      <x:c r="A49" s="1"/>
      <x:c r="B49" s="1"/>
      <x:c r="C49" s="8"/>
      <x:c r="D49" s="8"/>
      <x:c r="E49" s="8"/>
      <x:c r="F49" s="8"/>
      <x:c r="G49" s="16"/>
      <x:c r="H49" s="16"/>
      <x:c r="I49" s="11"/>
      <x:c r="J49" s="22"/>
      <x:c r="K49" s="11"/>
      <x:c r="L49" s="11"/>
      <x:c r="M49" s="22"/>
      <x:c r="N49" s="16"/>
      <x:c r="O49" s="16"/>
      <x:c r="P49" s="16"/>
      <x:c r="Q49" s="11"/>
      <x:c r="R49" s="11"/>
      <x:c r="S49" s="11"/>
      <x:c r="T49" s="11"/>
      <x:c r="U49" s="16"/>
      <x:c r="V49" s="16"/>
      <x:c r="W49" s="16"/>
      <x:c r="X49" s="16"/>
      <x:c r="Y49" s="16"/>
      <x:c r="Z49" s="23" t="str">
        <x:f>IF(C49="","",IFERROR(INDEX(Settings!$D$41:$D$44,MATCH(F49,Settings!$C$41:$C$44,0)),0))</x:f>
      </x:c>
      <x:c r="AA49" s="21" t="str">
        <x:f>IF(C49="","",G49*Z49)</x:f>
      </x:c>
      <x:c r="AB49" s="21" t="str">
        <x:f>IF(C49="","",H49*Z49)</x:f>
      </x:c>
      <x:c r="AC49" s="21" t="str">
        <x:f>IF(C49="","",AA49+AB49*I49)</x:f>
      </x:c>
      <x:c r="AD49" s="23" t="str">
        <x:f>IF(C49="","",IFERROR(IF(OR(INDEX(Borrowers!$Z$9:$Z$108,MATCH(D49,Borrowers!$C$9:$C$108,0))="Yes",M49&gt;=90),3,IF(AND(N49&lt;&gt;"Auto",AG49&lt;&gt;"",AH49&lt;&gt;""),VALUE(N49),IF(OR(M49&gt;=30,AM49="Yes",AND(INDEX(Borrowers!$P$9:$P$108,MATCH(D49,Borrowers!$C$9:$C$108,0))&gt;=L49*Settings!$F$19,INDEX(Borrowers!$P$9:$P$108,MATCH(D49,Borrowers!$C$9:$C$108,0))-L49&gt;=Settings!$F$20)),2,1))),"Missing borrower"))</x:f>
      </x:c>
      <x:c r="AE49" s="21" t="str">
        <x:f>IF(C49="","",MAX(0,AA49-X49)*IF(AD49=3,AJ49,S49)+AB49*AI49*S49)</x:f>
      </x:c>
      <x:c r="AF49" s="23" t="str">
        <x:f>IF(C49="","",IF(COUNTIF($C$9:$C$108,C49)&lt;&gt;1,"Duplicate facility",IF(COUNTIF(Borrowers!$C$9:$C$108,D49)&lt;&gt;1,"Missing borrower",IF(OR(COUNT(G49:M49)&lt;&gt;7,COUNT(O49:T49)&lt;&gt;6,COUNT(AI49:AL49)&lt;&gt;4,COUNT(AN49)&lt;&gt;1,COUNT(AP49)&lt;&gt;1,COUNT(X49)&lt;&gt;1,Y49="",N49="",AM49=""),"Missing inputs",IF(OR(Z49&lt;=0,G49&lt;0,H49&lt;0,J49&lt;1,J49&gt;30,J49&lt;&gt;INT(J49),MIN(I49,K49,L49,Q49,R49,AI49,AL49)&lt;0,MAX(I49,K49,L49,Q49,R49,AI49,AL49)&gt;1,X49&lt;0,X49&gt;AA49,AP49&lt;0,M49&lt;0,M49&lt;&gt;INT(M49),S49&lt;0,T49&lt;0,AJ49&lt;0,AK49&lt;0,AK49&gt;30,AK49&lt;&gt;INT(AK49),AN49&lt;0,AN49&gt;5,AN49&gt;J49,AN49&lt;&gt;INT(AN49),AND(AN49&gt;0,AQ49=""),NOT(OR(AM49="Yes",AM49="No")),AND(N49&lt;&gt;"Auto",OR(AG49="",AH49=""))),"Review inputs",IF(INDEX(Borrowers!$AA$9:$AA$108,MATCH(D49,Borrowers!$C$9:$C$108,0))&lt;&gt;"Ready","Borrower review","Ready"))))))</x:f>
      </x:c>
      <x:c r="AG49" s="16"/>
      <x:c r="AH49" s="16"/>
      <x:c r="AI49" s="11"/>
      <x:c r="AJ49" s="11"/>
      <x:c r="AK49" s="22"/>
      <x:c r="AL49" s="11"/>
      <x:c r="AM49" s="16"/>
      <x:c r="AN49" s="22"/>
      <x:c r="AO49" s="21" t="str">
        <x:f>IF(C49="","",AA49+AB49*AI49)</x:f>
      </x:c>
      <x:c r="AP49" s="16"/>
      <x:c r="AQ49" s="8"/>
    </x:row>
    <x:row r="50" ht="36" customHeight="1">
      <x:c r="A50" s="1"/>
      <x:c r="B50" s="1"/>
      <x:c r="C50" s="8"/>
      <x:c r="D50" s="8"/>
      <x:c r="E50" s="8"/>
      <x:c r="F50" s="8"/>
      <x:c r="G50" s="16"/>
      <x:c r="H50" s="16"/>
      <x:c r="I50" s="11"/>
      <x:c r="J50" s="22"/>
      <x:c r="K50" s="11"/>
      <x:c r="L50" s="11"/>
      <x:c r="M50" s="22"/>
      <x:c r="N50" s="16"/>
      <x:c r="O50" s="16"/>
      <x:c r="P50" s="16"/>
      <x:c r="Q50" s="11"/>
      <x:c r="R50" s="11"/>
      <x:c r="S50" s="11"/>
      <x:c r="T50" s="11"/>
      <x:c r="U50" s="16"/>
      <x:c r="V50" s="16"/>
      <x:c r="W50" s="16"/>
      <x:c r="X50" s="16"/>
      <x:c r="Y50" s="16"/>
      <x:c r="Z50" s="23" t="str">
        <x:f>IF(C50="","",IFERROR(INDEX(Settings!$D$41:$D$44,MATCH(F50,Settings!$C$41:$C$44,0)),0))</x:f>
      </x:c>
      <x:c r="AA50" s="21" t="str">
        <x:f>IF(C50="","",G50*Z50)</x:f>
      </x:c>
      <x:c r="AB50" s="21" t="str">
        <x:f>IF(C50="","",H50*Z50)</x:f>
      </x:c>
      <x:c r="AC50" s="21" t="str">
        <x:f>IF(C50="","",AA50+AB50*I50)</x:f>
      </x:c>
      <x:c r="AD50" s="23" t="str">
        <x:f>IF(C50="","",IFERROR(IF(OR(INDEX(Borrowers!$Z$9:$Z$108,MATCH(D50,Borrowers!$C$9:$C$108,0))="Yes",M50&gt;=90),3,IF(AND(N50&lt;&gt;"Auto",AG50&lt;&gt;"",AH50&lt;&gt;""),VALUE(N50),IF(OR(M50&gt;=30,AM50="Yes",AND(INDEX(Borrowers!$P$9:$P$108,MATCH(D50,Borrowers!$C$9:$C$108,0))&gt;=L50*Settings!$F$19,INDEX(Borrowers!$P$9:$P$108,MATCH(D50,Borrowers!$C$9:$C$108,0))-L50&gt;=Settings!$F$20)),2,1))),"Missing borrower"))</x:f>
      </x:c>
      <x:c r="AE50" s="21" t="str">
        <x:f>IF(C50="","",MAX(0,AA50-X50)*IF(AD50=3,AJ50,S50)+AB50*AI50*S50)</x:f>
      </x:c>
      <x:c r="AF50" s="23" t="str">
        <x:f>IF(C50="","",IF(COUNTIF($C$9:$C$108,C50)&lt;&gt;1,"Duplicate facility",IF(COUNTIF(Borrowers!$C$9:$C$108,D50)&lt;&gt;1,"Missing borrower",IF(OR(COUNT(G50:M50)&lt;&gt;7,COUNT(O50:T50)&lt;&gt;6,COUNT(AI50:AL50)&lt;&gt;4,COUNT(AN50)&lt;&gt;1,COUNT(AP50)&lt;&gt;1,COUNT(X50)&lt;&gt;1,Y50="",N50="",AM50=""),"Missing inputs",IF(OR(Z50&lt;=0,G50&lt;0,H50&lt;0,J50&lt;1,J50&gt;30,J50&lt;&gt;INT(J50),MIN(I50,K50,L50,Q50,R50,AI50,AL50)&lt;0,MAX(I50,K50,L50,Q50,R50,AI50,AL50)&gt;1,X50&lt;0,X50&gt;AA50,AP50&lt;0,M50&lt;0,M50&lt;&gt;INT(M50),S50&lt;0,T50&lt;0,AJ50&lt;0,AK50&lt;0,AK50&gt;30,AK50&lt;&gt;INT(AK50),AN50&lt;0,AN50&gt;5,AN50&gt;J50,AN50&lt;&gt;INT(AN50),AND(AN50&gt;0,AQ50=""),NOT(OR(AM50="Yes",AM50="No")),AND(N50&lt;&gt;"Auto",OR(AG50="",AH50=""))),"Review inputs",IF(INDEX(Borrowers!$AA$9:$AA$108,MATCH(D50,Borrowers!$C$9:$C$108,0))&lt;&gt;"Ready","Borrower review","Ready"))))))</x:f>
      </x:c>
      <x:c r="AG50" s="16"/>
      <x:c r="AH50" s="16"/>
      <x:c r="AI50" s="11"/>
      <x:c r="AJ50" s="11"/>
      <x:c r="AK50" s="22"/>
      <x:c r="AL50" s="11"/>
      <x:c r="AM50" s="16"/>
      <x:c r="AN50" s="22"/>
      <x:c r="AO50" s="21" t="str">
        <x:f>IF(C50="","",AA50+AB50*AI50)</x:f>
      </x:c>
      <x:c r="AP50" s="16"/>
      <x:c r="AQ50" s="8"/>
    </x:row>
    <x:row r="51" ht="36" customHeight="1">
      <x:c r="A51" s="1"/>
      <x:c r="B51" s="1"/>
      <x:c r="C51" s="8"/>
      <x:c r="D51" s="8"/>
      <x:c r="E51" s="8"/>
      <x:c r="F51" s="8"/>
      <x:c r="G51" s="16"/>
      <x:c r="H51" s="16"/>
      <x:c r="I51" s="11"/>
      <x:c r="J51" s="22"/>
      <x:c r="K51" s="11"/>
      <x:c r="L51" s="11"/>
      <x:c r="M51" s="22"/>
      <x:c r="N51" s="16"/>
      <x:c r="O51" s="16"/>
      <x:c r="P51" s="16"/>
      <x:c r="Q51" s="11"/>
      <x:c r="R51" s="11"/>
      <x:c r="S51" s="11"/>
      <x:c r="T51" s="11"/>
      <x:c r="U51" s="16"/>
      <x:c r="V51" s="16"/>
      <x:c r="W51" s="16"/>
      <x:c r="X51" s="16"/>
      <x:c r="Y51" s="16"/>
      <x:c r="Z51" s="23" t="str">
        <x:f>IF(C51="","",IFERROR(INDEX(Settings!$D$41:$D$44,MATCH(F51,Settings!$C$41:$C$44,0)),0))</x:f>
      </x:c>
      <x:c r="AA51" s="21" t="str">
        <x:f>IF(C51="","",G51*Z51)</x:f>
      </x:c>
      <x:c r="AB51" s="21" t="str">
        <x:f>IF(C51="","",H51*Z51)</x:f>
      </x:c>
      <x:c r="AC51" s="21" t="str">
        <x:f>IF(C51="","",AA51+AB51*I51)</x:f>
      </x:c>
      <x:c r="AD51" s="23" t="str">
        <x:f>IF(C51="","",IFERROR(IF(OR(INDEX(Borrowers!$Z$9:$Z$108,MATCH(D51,Borrowers!$C$9:$C$108,0))="Yes",M51&gt;=90),3,IF(AND(N51&lt;&gt;"Auto",AG51&lt;&gt;"",AH51&lt;&gt;""),VALUE(N51),IF(OR(M51&gt;=30,AM51="Yes",AND(INDEX(Borrowers!$P$9:$P$108,MATCH(D51,Borrowers!$C$9:$C$108,0))&gt;=L51*Settings!$F$19,INDEX(Borrowers!$P$9:$P$108,MATCH(D51,Borrowers!$C$9:$C$108,0))-L51&gt;=Settings!$F$20)),2,1))),"Missing borrower"))</x:f>
      </x:c>
      <x:c r="AE51" s="21" t="str">
        <x:f>IF(C51="","",MAX(0,AA51-X51)*IF(AD51=3,AJ51,S51)+AB51*AI51*S51)</x:f>
      </x:c>
      <x:c r="AF51" s="23" t="str">
        <x:f>IF(C51="","",IF(COUNTIF($C$9:$C$108,C51)&lt;&gt;1,"Duplicate facility",IF(COUNTIF(Borrowers!$C$9:$C$108,D51)&lt;&gt;1,"Missing borrower",IF(OR(COUNT(G51:M51)&lt;&gt;7,COUNT(O51:T51)&lt;&gt;6,COUNT(AI51:AL51)&lt;&gt;4,COUNT(AN51)&lt;&gt;1,COUNT(AP51)&lt;&gt;1,COUNT(X51)&lt;&gt;1,Y51="",N51="",AM51=""),"Missing inputs",IF(OR(Z51&lt;=0,G51&lt;0,H51&lt;0,J51&lt;1,J51&gt;30,J51&lt;&gt;INT(J51),MIN(I51,K51,L51,Q51,R51,AI51,AL51)&lt;0,MAX(I51,K51,L51,Q51,R51,AI51,AL51)&gt;1,X51&lt;0,X51&gt;AA51,AP51&lt;0,M51&lt;0,M51&lt;&gt;INT(M51),S51&lt;0,T51&lt;0,AJ51&lt;0,AK51&lt;0,AK51&gt;30,AK51&lt;&gt;INT(AK51),AN51&lt;0,AN51&gt;5,AN51&gt;J51,AN51&lt;&gt;INT(AN51),AND(AN51&gt;0,AQ51=""),NOT(OR(AM51="Yes",AM51="No")),AND(N51&lt;&gt;"Auto",OR(AG51="",AH51=""))),"Review inputs",IF(INDEX(Borrowers!$AA$9:$AA$108,MATCH(D51,Borrowers!$C$9:$C$108,0))&lt;&gt;"Ready","Borrower review","Ready"))))))</x:f>
      </x:c>
      <x:c r="AG51" s="16"/>
      <x:c r="AH51" s="16"/>
      <x:c r="AI51" s="11"/>
      <x:c r="AJ51" s="11"/>
      <x:c r="AK51" s="22"/>
      <x:c r="AL51" s="11"/>
      <x:c r="AM51" s="16"/>
      <x:c r="AN51" s="22"/>
      <x:c r="AO51" s="21" t="str">
        <x:f>IF(C51="","",AA51+AB51*AI51)</x:f>
      </x:c>
      <x:c r="AP51" s="16"/>
      <x:c r="AQ51" s="8"/>
    </x:row>
    <x:row r="52" ht="36" customHeight="1">
      <x:c r="A52" s="1"/>
      <x:c r="B52" s="1"/>
      <x:c r="C52" s="8"/>
      <x:c r="D52" s="8"/>
      <x:c r="E52" s="8"/>
      <x:c r="F52" s="8"/>
      <x:c r="G52" s="16"/>
      <x:c r="H52" s="16"/>
      <x:c r="I52" s="11"/>
      <x:c r="J52" s="22"/>
      <x:c r="K52" s="11"/>
      <x:c r="L52" s="11"/>
      <x:c r="M52" s="22"/>
      <x:c r="N52" s="16"/>
      <x:c r="O52" s="16"/>
      <x:c r="P52" s="16"/>
      <x:c r="Q52" s="11"/>
      <x:c r="R52" s="11"/>
      <x:c r="S52" s="11"/>
      <x:c r="T52" s="11"/>
      <x:c r="U52" s="16"/>
      <x:c r="V52" s="16"/>
      <x:c r="W52" s="16"/>
      <x:c r="X52" s="16"/>
      <x:c r="Y52" s="16"/>
      <x:c r="Z52" s="23" t="str">
        <x:f>IF(C52="","",IFERROR(INDEX(Settings!$D$41:$D$44,MATCH(F52,Settings!$C$41:$C$44,0)),0))</x:f>
      </x:c>
      <x:c r="AA52" s="21" t="str">
        <x:f>IF(C52="","",G52*Z52)</x:f>
      </x:c>
      <x:c r="AB52" s="21" t="str">
        <x:f>IF(C52="","",H52*Z52)</x:f>
      </x:c>
      <x:c r="AC52" s="21" t="str">
        <x:f>IF(C52="","",AA52+AB52*I52)</x:f>
      </x:c>
      <x:c r="AD52" s="23" t="str">
        <x:f>IF(C52="","",IFERROR(IF(OR(INDEX(Borrowers!$Z$9:$Z$108,MATCH(D52,Borrowers!$C$9:$C$108,0))="Yes",M52&gt;=90),3,IF(AND(N52&lt;&gt;"Auto",AG52&lt;&gt;"",AH52&lt;&gt;""),VALUE(N52),IF(OR(M52&gt;=30,AM52="Yes",AND(INDEX(Borrowers!$P$9:$P$108,MATCH(D52,Borrowers!$C$9:$C$108,0))&gt;=L52*Settings!$F$19,INDEX(Borrowers!$P$9:$P$108,MATCH(D52,Borrowers!$C$9:$C$108,0))-L52&gt;=Settings!$F$20)),2,1))),"Missing borrower"))</x:f>
      </x:c>
      <x:c r="AE52" s="21" t="str">
        <x:f>IF(C52="","",MAX(0,AA52-X52)*IF(AD52=3,AJ52,S52)+AB52*AI52*S52)</x:f>
      </x:c>
      <x:c r="AF52" s="23" t="str">
        <x:f>IF(C52="","",IF(COUNTIF($C$9:$C$108,C52)&lt;&gt;1,"Duplicate facility",IF(COUNTIF(Borrowers!$C$9:$C$108,D52)&lt;&gt;1,"Missing borrower",IF(OR(COUNT(G52:M52)&lt;&gt;7,COUNT(O52:T52)&lt;&gt;6,COUNT(AI52:AL52)&lt;&gt;4,COUNT(AN52)&lt;&gt;1,COUNT(AP52)&lt;&gt;1,COUNT(X52)&lt;&gt;1,Y52="",N52="",AM52=""),"Missing inputs",IF(OR(Z52&lt;=0,G52&lt;0,H52&lt;0,J52&lt;1,J52&gt;30,J52&lt;&gt;INT(J52),MIN(I52,K52,L52,Q52,R52,AI52,AL52)&lt;0,MAX(I52,K52,L52,Q52,R52,AI52,AL52)&gt;1,X52&lt;0,X52&gt;AA52,AP52&lt;0,M52&lt;0,M52&lt;&gt;INT(M52),S52&lt;0,T52&lt;0,AJ52&lt;0,AK52&lt;0,AK52&gt;30,AK52&lt;&gt;INT(AK52),AN52&lt;0,AN52&gt;5,AN52&gt;J52,AN52&lt;&gt;INT(AN52),AND(AN52&gt;0,AQ52=""),NOT(OR(AM52="Yes",AM52="No")),AND(N52&lt;&gt;"Auto",OR(AG52="",AH52=""))),"Review inputs",IF(INDEX(Borrowers!$AA$9:$AA$108,MATCH(D52,Borrowers!$C$9:$C$108,0))&lt;&gt;"Ready","Borrower review","Ready"))))))</x:f>
      </x:c>
      <x:c r="AG52" s="16"/>
      <x:c r="AH52" s="16"/>
      <x:c r="AI52" s="11"/>
      <x:c r="AJ52" s="11"/>
      <x:c r="AK52" s="22"/>
      <x:c r="AL52" s="11"/>
      <x:c r="AM52" s="16"/>
      <x:c r="AN52" s="22"/>
      <x:c r="AO52" s="21" t="str">
        <x:f>IF(C52="","",AA52+AB52*AI52)</x:f>
      </x:c>
      <x:c r="AP52" s="16"/>
      <x:c r="AQ52" s="8"/>
    </x:row>
    <x:row r="53" ht="36" customHeight="1">
      <x:c r="A53" s="1"/>
      <x:c r="B53" s="1"/>
      <x:c r="C53" s="8"/>
      <x:c r="D53" s="8"/>
      <x:c r="E53" s="8"/>
      <x:c r="F53" s="8"/>
      <x:c r="G53" s="16"/>
      <x:c r="H53" s="16"/>
      <x:c r="I53" s="11"/>
      <x:c r="J53" s="22"/>
      <x:c r="K53" s="11"/>
      <x:c r="L53" s="11"/>
      <x:c r="M53" s="22"/>
      <x:c r="N53" s="16"/>
      <x:c r="O53" s="16"/>
      <x:c r="P53" s="16"/>
      <x:c r="Q53" s="11"/>
      <x:c r="R53" s="11"/>
      <x:c r="S53" s="11"/>
      <x:c r="T53" s="11"/>
      <x:c r="U53" s="16"/>
      <x:c r="V53" s="16"/>
      <x:c r="W53" s="16"/>
      <x:c r="X53" s="16"/>
      <x:c r="Y53" s="16"/>
      <x:c r="Z53" s="23" t="str">
        <x:f>IF(C53="","",IFERROR(INDEX(Settings!$D$41:$D$44,MATCH(F53,Settings!$C$41:$C$44,0)),0))</x:f>
      </x:c>
      <x:c r="AA53" s="21" t="str">
        <x:f>IF(C53="","",G53*Z53)</x:f>
      </x:c>
      <x:c r="AB53" s="21" t="str">
        <x:f>IF(C53="","",H53*Z53)</x:f>
      </x:c>
      <x:c r="AC53" s="21" t="str">
        <x:f>IF(C53="","",AA53+AB53*I53)</x:f>
      </x:c>
      <x:c r="AD53" s="23" t="str">
        <x:f>IF(C53="","",IFERROR(IF(OR(INDEX(Borrowers!$Z$9:$Z$108,MATCH(D53,Borrowers!$C$9:$C$108,0))="Yes",M53&gt;=90),3,IF(AND(N53&lt;&gt;"Auto",AG53&lt;&gt;"",AH53&lt;&gt;""),VALUE(N53),IF(OR(M53&gt;=30,AM53="Yes",AND(INDEX(Borrowers!$P$9:$P$108,MATCH(D53,Borrowers!$C$9:$C$108,0))&gt;=L53*Settings!$F$19,INDEX(Borrowers!$P$9:$P$108,MATCH(D53,Borrowers!$C$9:$C$108,0))-L53&gt;=Settings!$F$20)),2,1))),"Missing borrower"))</x:f>
      </x:c>
      <x:c r="AE53" s="21" t="str">
        <x:f>IF(C53="","",MAX(0,AA53-X53)*IF(AD53=3,AJ53,S53)+AB53*AI53*S53)</x:f>
      </x:c>
      <x:c r="AF53" s="23" t="str">
        <x:f>IF(C53="","",IF(COUNTIF($C$9:$C$108,C53)&lt;&gt;1,"Duplicate facility",IF(COUNTIF(Borrowers!$C$9:$C$108,D53)&lt;&gt;1,"Missing borrower",IF(OR(COUNT(G53:M53)&lt;&gt;7,COUNT(O53:T53)&lt;&gt;6,COUNT(AI53:AL53)&lt;&gt;4,COUNT(AN53)&lt;&gt;1,COUNT(AP53)&lt;&gt;1,COUNT(X53)&lt;&gt;1,Y53="",N53="",AM53=""),"Missing inputs",IF(OR(Z53&lt;=0,G53&lt;0,H53&lt;0,J53&lt;1,J53&gt;30,J53&lt;&gt;INT(J53),MIN(I53,K53,L53,Q53,R53,AI53,AL53)&lt;0,MAX(I53,K53,L53,Q53,R53,AI53,AL53)&gt;1,X53&lt;0,X53&gt;AA53,AP53&lt;0,M53&lt;0,M53&lt;&gt;INT(M53),S53&lt;0,T53&lt;0,AJ53&lt;0,AK53&lt;0,AK53&gt;30,AK53&lt;&gt;INT(AK53),AN53&lt;0,AN53&gt;5,AN53&gt;J53,AN53&lt;&gt;INT(AN53),AND(AN53&gt;0,AQ53=""),NOT(OR(AM53="Yes",AM53="No")),AND(N53&lt;&gt;"Auto",OR(AG53="",AH53=""))),"Review inputs",IF(INDEX(Borrowers!$AA$9:$AA$108,MATCH(D53,Borrowers!$C$9:$C$108,0))&lt;&gt;"Ready","Borrower review","Ready"))))))</x:f>
      </x:c>
      <x:c r="AG53" s="16"/>
      <x:c r="AH53" s="16"/>
      <x:c r="AI53" s="11"/>
      <x:c r="AJ53" s="11"/>
      <x:c r="AK53" s="22"/>
      <x:c r="AL53" s="11"/>
      <x:c r="AM53" s="16"/>
      <x:c r="AN53" s="22"/>
      <x:c r="AO53" s="21" t="str">
        <x:f>IF(C53="","",AA53+AB53*AI53)</x:f>
      </x:c>
      <x:c r="AP53" s="16"/>
      <x:c r="AQ53" s="8"/>
    </x:row>
    <x:row r="54" ht="36" customHeight="1">
      <x:c r="A54" s="1"/>
      <x:c r="B54" s="1"/>
      <x:c r="C54" s="8"/>
      <x:c r="D54" s="8"/>
      <x:c r="E54" s="8"/>
      <x:c r="F54" s="8"/>
      <x:c r="G54" s="16"/>
      <x:c r="H54" s="16"/>
      <x:c r="I54" s="11"/>
      <x:c r="J54" s="22"/>
      <x:c r="K54" s="11"/>
      <x:c r="L54" s="11"/>
      <x:c r="M54" s="22"/>
      <x:c r="N54" s="16"/>
      <x:c r="O54" s="16"/>
      <x:c r="P54" s="16"/>
      <x:c r="Q54" s="11"/>
      <x:c r="R54" s="11"/>
      <x:c r="S54" s="11"/>
      <x:c r="T54" s="11"/>
      <x:c r="U54" s="16"/>
      <x:c r="V54" s="16"/>
      <x:c r="W54" s="16"/>
      <x:c r="X54" s="16"/>
      <x:c r="Y54" s="16"/>
      <x:c r="Z54" s="23" t="str">
        <x:f>IF(C54="","",IFERROR(INDEX(Settings!$D$41:$D$44,MATCH(F54,Settings!$C$41:$C$44,0)),0))</x:f>
      </x:c>
      <x:c r="AA54" s="21" t="str">
        <x:f>IF(C54="","",G54*Z54)</x:f>
      </x:c>
      <x:c r="AB54" s="21" t="str">
        <x:f>IF(C54="","",H54*Z54)</x:f>
      </x:c>
      <x:c r="AC54" s="21" t="str">
        <x:f>IF(C54="","",AA54+AB54*I54)</x:f>
      </x:c>
      <x:c r="AD54" s="23" t="str">
        <x:f>IF(C54="","",IFERROR(IF(OR(INDEX(Borrowers!$Z$9:$Z$108,MATCH(D54,Borrowers!$C$9:$C$108,0))="Yes",M54&gt;=90),3,IF(AND(N54&lt;&gt;"Auto",AG54&lt;&gt;"",AH54&lt;&gt;""),VALUE(N54),IF(OR(M54&gt;=30,AM54="Yes",AND(INDEX(Borrowers!$P$9:$P$108,MATCH(D54,Borrowers!$C$9:$C$108,0))&gt;=L54*Settings!$F$19,INDEX(Borrowers!$P$9:$P$108,MATCH(D54,Borrowers!$C$9:$C$108,0))-L54&gt;=Settings!$F$20)),2,1))),"Missing borrower"))</x:f>
      </x:c>
      <x:c r="AE54" s="21" t="str">
        <x:f>IF(C54="","",MAX(0,AA54-X54)*IF(AD54=3,AJ54,S54)+AB54*AI54*S54)</x:f>
      </x:c>
      <x:c r="AF54" s="23" t="str">
        <x:f>IF(C54="","",IF(COUNTIF($C$9:$C$108,C54)&lt;&gt;1,"Duplicate facility",IF(COUNTIF(Borrowers!$C$9:$C$108,D54)&lt;&gt;1,"Missing borrower",IF(OR(COUNT(G54:M54)&lt;&gt;7,COUNT(O54:T54)&lt;&gt;6,COUNT(AI54:AL54)&lt;&gt;4,COUNT(AN54)&lt;&gt;1,COUNT(AP54)&lt;&gt;1,COUNT(X54)&lt;&gt;1,Y54="",N54="",AM54=""),"Missing inputs",IF(OR(Z54&lt;=0,G54&lt;0,H54&lt;0,J54&lt;1,J54&gt;30,J54&lt;&gt;INT(J54),MIN(I54,K54,L54,Q54,R54,AI54,AL54)&lt;0,MAX(I54,K54,L54,Q54,R54,AI54,AL54)&gt;1,X54&lt;0,X54&gt;AA54,AP54&lt;0,M54&lt;0,M54&lt;&gt;INT(M54),S54&lt;0,T54&lt;0,AJ54&lt;0,AK54&lt;0,AK54&gt;30,AK54&lt;&gt;INT(AK54),AN54&lt;0,AN54&gt;5,AN54&gt;J54,AN54&lt;&gt;INT(AN54),AND(AN54&gt;0,AQ54=""),NOT(OR(AM54="Yes",AM54="No")),AND(N54&lt;&gt;"Auto",OR(AG54="",AH54=""))),"Review inputs",IF(INDEX(Borrowers!$AA$9:$AA$108,MATCH(D54,Borrowers!$C$9:$C$108,0))&lt;&gt;"Ready","Borrower review","Ready"))))))</x:f>
      </x:c>
      <x:c r="AG54" s="16"/>
      <x:c r="AH54" s="16"/>
      <x:c r="AI54" s="11"/>
      <x:c r="AJ54" s="11"/>
      <x:c r="AK54" s="22"/>
      <x:c r="AL54" s="11"/>
      <x:c r="AM54" s="16"/>
      <x:c r="AN54" s="22"/>
      <x:c r="AO54" s="21" t="str">
        <x:f>IF(C54="","",AA54+AB54*AI54)</x:f>
      </x:c>
      <x:c r="AP54" s="16"/>
      <x:c r="AQ54" s="8"/>
    </x:row>
    <x:row r="55" ht="36" customHeight="1">
      <x:c r="A55" s="1"/>
      <x:c r="B55" s="1"/>
      <x:c r="C55" s="8"/>
      <x:c r="D55" s="8"/>
      <x:c r="E55" s="8"/>
      <x:c r="F55" s="8"/>
      <x:c r="G55" s="16"/>
      <x:c r="H55" s="16"/>
      <x:c r="I55" s="11"/>
      <x:c r="J55" s="22"/>
      <x:c r="K55" s="11"/>
      <x:c r="L55" s="11"/>
      <x:c r="M55" s="22"/>
      <x:c r="N55" s="16"/>
      <x:c r="O55" s="16"/>
      <x:c r="P55" s="16"/>
      <x:c r="Q55" s="11"/>
      <x:c r="R55" s="11"/>
      <x:c r="S55" s="11"/>
      <x:c r="T55" s="11"/>
      <x:c r="U55" s="16"/>
      <x:c r="V55" s="16"/>
      <x:c r="W55" s="16"/>
      <x:c r="X55" s="16"/>
      <x:c r="Y55" s="16"/>
      <x:c r="Z55" s="23" t="str">
        <x:f>IF(C55="","",IFERROR(INDEX(Settings!$D$41:$D$44,MATCH(F55,Settings!$C$41:$C$44,0)),0))</x:f>
      </x:c>
      <x:c r="AA55" s="21" t="str">
        <x:f>IF(C55="","",G55*Z55)</x:f>
      </x:c>
      <x:c r="AB55" s="21" t="str">
        <x:f>IF(C55="","",H55*Z55)</x:f>
      </x:c>
      <x:c r="AC55" s="21" t="str">
        <x:f>IF(C55="","",AA55+AB55*I55)</x:f>
      </x:c>
      <x:c r="AD55" s="23" t="str">
        <x:f>IF(C55="","",IFERROR(IF(OR(INDEX(Borrowers!$Z$9:$Z$108,MATCH(D55,Borrowers!$C$9:$C$108,0))="Yes",M55&gt;=90),3,IF(AND(N55&lt;&gt;"Auto",AG55&lt;&gt;"",AH55&lt;&gt;""),VALUE(N55),IF(OR(M55&gt;=30,AM55="Yes",AND(INDEX(Borrowers!$P$9:$P$108,MATCH(D55,Borrowers!$C$9:$C$108,0))&gt;=L55*Settings!$F$19,INDEX(Borrowers!$P$9:$P$108,MATCH(D55,Borrowers!$C$9:$C$108,0))-L55&gt;=Settings!$F$20)),2,1))),"Missing borrower"))</x:f>
      </x:c>
      <x:c r="AE55" s="21" t="str">
        <x:f>IF(C55="","",MAX(0,AA55-X55)*IF(AD55=3,AJ55,S55)+AB55*AI55*S55)</x:f>
      </x:c>
      <x:c r="AF55" s="23" t="str">
        <x:f>IF(C55="","",IF(COUNTIF($C$9:$C$108,C55)&lt;&gt;1,"Duplicate facility",IF(COUNTIF(Borrowers!$C$9:$C$108,D55)&lt;&gt;1,"Missing borrower",IF(OR(COUNT(G55:M55)&lt;&gt;7,COUNT(O55:T55)&lt;&gt;6,COUNT(AI55:AL55)&lt;&gt;4,COUNT(AN55)&lt;&gt;1,COUNT(AP55)&lt;&gt;1,COUNT(X55)&lt;&gt;1,Y55="",N55="",AM55=""),"Missing inputs",IF(OR(Z55&lt;=0,G55&lt;0,H55&lt;0,J55&lt;1,J55&gt;30,J55&lt;&gt;INT(J55),MIN(I55,K55,L55,Q55,R55,AI55,AL55)&lt;0,MAX(I55,K55,L55,Q55,R55,AI55,AL55)&gt;1,X55&lt;0,X55&gt;AA55,AP55&lt;0,M55&lt;0,M55&lt;&gt;INT(M55),S55&lt;0,T55&lt;0,AJ55&lt;0,AK55&lt;0,AK55&gt;30,AK55&lt;&gt;INT(AK55),AN55&lt;0,AN55&gt;5,AN55&gt;J55,AN55&lt;&gt;INT(AN55),AND(AN55&gt;0,AQ55=""),NOT(OR(AM55="Yes",AM55="No")),AND(N55&lt;&gt;"Auto",OR(AG55="",AH55=""))),"Review inputs",IF(INDEX(Borrowers!$AA$9:$AA$108,MATCH(D55,Borrowers!$C$9:$C$108,0))&lt;&gt;"Ready","Borrower review","Ready"))))))</x:f>
      </x:c>
      <x:c r="AG55" s="16"/>
      <x:c r="AH55" s="16"/>
      <x:c r="AI55" s="11"/>
      <x:c r="AJ55" s="11"/>
      <x:c r="AK55" s="22"/>
      <x:c r="AL55" s="11"/>
      <x:c r="AM55" s="16"/>
      <x:c r="AN55" s="22"/>
      <x:c r="AO55" s="21" t="str">
        <x:f>IF(C55="","",AA55+AB55*AI55)</x:f>
      </x:c>
      <x:c r="AP55" s="16"/>
      <x:c r="AQ55" s="8"/>
    </x:row>
    <x:row r="56" ht="36" customHeight="1">
      <x:c r="A56" s="1"/>
      <x:c r="B56" s="1"/>
      <x:c r="C56" s="8"/>
      <x:c r="D56" s="8"/>
      <x:c r="E56" s="8"/>
      <x:c r="F56" s="8"/>
      <x:c r="G56" s="16"/>
      <x:c r="H56" s="16"/>
      <x:c r="I56" s="11"/>
      <x:c r="J56" s="22"/>
      <x:c r="K56" s="11"/>
      <x:c r="L56" s="11"/>
      <x:c r="M56" s="22"/>
      <x:c r="N56" s="16"/>
      <x:c r="O56" s="16"/>
      <x:c r="P56" s="16"/>
      <x:c r="Q56" s="11"/>
      <x:c r="R56" s="11"/>
      <x:c r="S56" s="11"/>
      <x:c r="T56" s="11"/>
      <x:c r="U56" s="16"/>
      <x:c r="V56" s="16"/>
      <x:c r="W56" s="16"/>
      <x:c r="X56" s="16"/>
      <x:c r="Y56" s="16"/>
      <x:c r="Z56" s="23" t="str">
        <x:f>IF(C56="","",IFERROR(INDEX(Settings!$D$41:$D$44,MATCH(F56,Settings!$C$41:$C$44,0)),0))</x:f>
      </x:c>
      <x:c r="AA56" s="21" t="str">
        <x:f>IF(C56="","",G56*Z56)</x:f>
      </x:c>
      <x:c r="AB56" s="21" t="str">
        <x:f>IF(C56="","",H56*Z56)</x:f>
      </x:c>
      <x:c r="AC56" s="21" t="str">
        <x:f>IF(C56="","",AA56+AB56*I56)</x:f>
      </x:c>
      <x:c r="AD56" s="23" t="str">
        <x:f>IF(C56="","",IFERROR(IF(OR(INDEX(Borrowers!$Z$9:$Z$108,MATCH(D56,Borrowers!$C$9:$C$108,0))="Yes",M56&gt;=90),3,IF(AND(N56&lt;&gt;"Auto",AG56&lt;&gt;"",AH56&lt;&gt;""),VALUE(N56),IF(OR(M56&gt;=30,AM56="Yes",AND(INDEX(Borrowers!$P$9:$P$108,MATCH(D56,Borrowers!$C$9:$C$108,0))&gt;=L56*Settings!$F$19,INDEX(Borrowers!$P$9:$P$108,MATCH(D56,Borrowers!$C$9:$C$108,0))-L56&gt;=Settings!$F$20)),2,1))),"Missing borrower"))</x:f>
      </x:c>
      <x:c r="AE56" s="21" t="str">
        <x:f>IF(C56="","",MAX(0,AA56-X56)*IF(AD56=3,AJ56,S56)+AB56*AI56*S56)</x:f>
      </x:c>
      <x:c r="AF56" s="23" t="str">
        <x:f>IF(C56="","",IF(COUNTIF($C$9:$C$108,C56)&lt;&gt;1,"Duplicate facility",IF(COUNTIF(Borrowers!$C$9:$C$108,D56)&lt;&gt;1,"Missing borrower",IF(OR(COUNT(G56:M56)&lt;&gt;7,COUNT(O56:T56)&lt;&gt;6,COUNT(AI56:AL56)&lt;&gt;4,COUNT(AN56)&lt;&gt;1,COUNT(AP56)&lt;&gt;1,COUNT(X56)&lt;&gt;1,Y56="",N56="",AM56=""),"Missing inputs",IF(OR(Z56&lt;=0,G56&lt;0,H56&lt;0,J56&lt;1,J56&gt;30,J56&lt;&gt;INT(J56),MIN(I56,K56,L56,Q56,R56,AI56,AL56)&lt;0,MAX(I56,K56,L56,Q56,R56,AI56,AL56)&gt;1,X56&lt;0,X56&gt;AA56,AP56&lt;0,M56&lt;0,M56&lt;&gt;INT(M56),S56&lt;0,T56&lt;0,AJ56&lt;0,AK56&lt;0,AK56&gt;30,AK56&lt;&gt;INT(AK56),AN56&lt;0,AN56&gt;5,AN56&gt;J56,AN56&lt;&gt;INT(AN56),AND(AN56&gt;0,AQ56=""),NOT(OR(AM56="Yes",AM56="No")),AND(N56&lt;&gt;"Auto",OR(AG56="",AH56=""))),"Review inputs",IF(INDEX(Borrowers!$AA$9:$AA$108,MATCH(D56,Borrowers!$C$9:$C$108,0))&lt;&gt;"Ready","Borrower review","Ready"))))))</x:f>
      </x:c>
      <x:c r="AG56" s="16"/>
      <x:c r="AH56" s="16"/>
      <x:c r="AI56" s="11"/>
      <x:c r="AJ56" s="11"/>
      <x:c r="AK56" s="22"/>
      <x:c r="AL56" s="11"/>
      <x:c r="AM56" s="16"/>
      <x:c r="AN56" s="22"/>
      <x:c r="AO56" s="21" t="str">
        <x:f>IF(C56="","",AA56+AB56*AI56)</x:f>
      </x:c>
      <x:c r="AP56" s="16"/>
      <x:c r="AQ56" s="8"/>
    </x:row>
    <x:row r="57" ht="36" customHeight="1">
      <x:c r="A57" s="1"/>
      <x:c r="B57" s="1"/>
      <x:c r="C57" s="8"/>
      <x:c r="D57" s="8"/>
      <x:c r="E57" s="8"/>
      <x:c r="F57" s="8"/>
      <x:c r="G57" s="16"/>
      <x:c r="H57" s="16"/>
      <x:c r="I57" s="11"/>
      <x:c r="J57" s="22"/>
      <x:c r="K57" s="11"/>
      <x:c r="L57" s="11"/>
      <x:c r="M57" s="22"/>
      <x:c r="N57" s="16"/>
      <x:c r="O57" s="16"/>
      <x:c r="P57" s="16"/>
      <x:c r="Q57" s="11"/>
      <x:c r="R57" s="11"/>
      <x:c r="S57" s="11"/>
      <x:c r="T57" s="11"/>
      <x:c r="U57" s="16"/>
      <x:c r="V57" s="16"/>
      <x:c r="W57" s="16"/>
      <x:c r="X57" s="16"/>
      <x:c r="Y57" s="16"/>
      <x:c r="Z57" s="23" t="str">
        <x:f>IF(C57="","",IFERROR(INDEX(Settings!$D$41:$D$44,MATCH(F57,Settings!$C$41:$C$44,0)),0))</x:f>
      </x:c>
      <x:c r="AA57" s="21" t="str">
        <x:f>IF(C57="","",G57*Z57)</x:f>
      </x:c>
      <x:c r="AB57" s="21" t="str">
        <x:f>IF(C57="","",H57*Z57)</x:f>
      </x:c>
      <x:c r="AC57" s="21" t="str">
        <x:f>IF(C57="","",AA57+AB57*I57)</x:f>
      </x:c>
      <x:c r="AD57" s="23" t="str">
        <x:f>IF(C57="","",IFERROR(IF(OR(INDEX(Borrowers!$Z$9:$Z$108,MATCH(D57,Borrowers!$C$9:$C$108,0))="Yes",M57&gt;=90),3,IF(AND(N57&lt;&gt;"Auto",AG57&lt;&gt;"",AH57&lt;&gt;""),VALUE(N57),IF(OR(M57&gt;=30,AM57="Yes",AND(INDEX(Borrowers!$P$9:$P$108,MATCH(D57,Borrowers!$C$9:$C$108,0))&gt;=L57*Settings!$F$19,INDEX(Borrowers!$P$9:$P$108,MATCH(D57,Borrowers!$C$9:$C$108,0))-L57&gt;=Settings!$F$20)),2,1))),"Missing borrower"))</x:f>
      </x:c>
      <x:c r="AE57" s="21" t="str">
        <x:f>IF(C57="","",MAX(0,AA57-X57)*IF(AD57=3,AJ57,S57)+AB57*AI57*S57)</x:f>
      </x:c>
      <x:c r="AF57" s="23" t="str">
        <x:f>IF(C57="","",IF(COUNTIF($C$9:$C$108,C57)&lt;&gt;1,"Duplicate facility",IF(COUNTIF(Borrowers!$C$9:$C$108,D57)&lt;&gt;1,"Missing borrower",IF(OR(COUNT(G57:M57)&lt;&gt;7,COUNT(O57:T57)&lt;&gt;6,COUNT(AI57:AL57)&lt;&gt;4,COUNT(AN57)&lt;&gt;1,COUNT(AP57)&lt;&gt;1,COUNT(X57)&lt;&gt;1,Y57="",N57="",AM57=""),"Missing inputs",IF(OR(Z57&lt;=0,G57&lt;0,H57&lt;0,J57&lt;1,J57&gt;30,J57&lt;&gt;INT(J57),MIN(I57,K57,L57,Q57,R57,AI57,AL57)&lt;0,MAX(I57,K57,L57,Q57,R57,AI57,AL57)&gt;1,X57&lt;0,X57&gt;AA57,AP57&lt;0,M57&lt;0,M57&lt;&gt;INT(M57),S57&lt;0,T57&lt;0,AJ57&lt;0,AK57&lt;0,AK57&gt;30,AK57&lt;&gt;INT(AK57),AN57&lt;0,AN57&gt;5,AN57&gt;J57,AN57&lt;&gt;INT(AN57),AND(AN57&gt;0,AQ57=""),NOT(OR(AM57="Yes",AM57="No")),AND(N57&lt;&gt;"Auto",OR(AG57="",AH57=""))),"Review inputs",IF(INDEX(Borrowers!$AA$9:$AA$108,MATCH(D57,Borrowers!$C$9:$C$108,0))&lt;&gt;"Ready","Borrower review","Ready"))))))</x:f>
      </x:c>
      <x:c r="AG57" s="16"/>
      <x:c r="AH57" s="16"/>
      <x:c r="AI57" s="11"/>
      <x:c r="AJ57" s="11"/>
      <x:c r="AK57" s="22"/>
      <x:c r="AL57" s="11"/>
      <x:c r="AM57" s="16"/>
      <x:c r="AN57" s="22"/>
      <x:c r="AO57" s="21" t="str">
        <x:f>IF(C57="","",AA57+AB57*AI57)</x:f>
      </x:c>
      <x:c r="AP57" s="16"/>
      <x:c r="AQ57" s="8"/>
    </x:row>
    <x:row r="58" ht="36" customHeight="1">
      <x:c r="A58" s="1"/>
      <x:c r="B58" s="1"/>
      <x:c r="C58" s="8"/>
      <x:c r="D58" s="8"/>
      <x:c r="E58" s="8"/>
      <x:c r="F58" s="8"/>
      <x:c r="G58" s="16"/>
      <x:c r="H58" s="16"/>
      <x:c r="I58" s="11"/>
      <x:c r="J58" s="22"/>
      <x:c r="K58" s="11"/>
      <x:c r="L58" s="11"/>
      <x:c r="M58" s="22"/>
      <x:c r="N58" s="16"/>
      <x:c r="O58" s="16"/>
      <x:c r="P58" s="16"/>
      <x:c r="Q58" s="11"/>
      <x:c r="R58" s="11"/>
      <x:c r="S58" s="11"/>
      <x:c r="T58" s="11"/>
      <x:c r="U58" s="16"/>
      <x:c r="V58" s="16"/>
      <x:c r="W58" s="16"/>
      <x:c r="X58" s="16"/>
      <x:c r="Y58" s="16"/>
      <x:c r="Z58" s="23" t="str">
        <x:f>IF(C58="","",IFERROR(INDEX(Settings!$D$41:$D$44,MATCH(F58,Settings!$C$41:$C$44,0)),0))</x:f>
      </x:c>
      <x:c r="AA58" s="21" t="str">
        <x:f>IF(C58="","",G58*Z58)</x:f>
      </x:c>
      <x:c r="AB58" s="21" t="str">
        <x:f>IF(C58="","",H58*Z58)</x:f>
      </x:c>
      <x:c r="AC58" s="21" t="str">
        <x:f>IF(C58="","",AA58+AB58*I58)</x:f>
      </x:c>
      <x:c r="AD58" s="23" t="str">
        <x:f>IF(C58="","",IFERROR(IF(OR(INDEX(Borrowers!$Z$9:$Z$108,MATCH(D58,Borrowers!$C$9:$C$108,0))="Yes",M58&gt;=90),3,IF(AND(N58&lt;&gt;"Auto",AG58&lt;&gt;"",AH58&lt;&gt;""),VALUE(N58),IF(OR(M58&gt;=30,AM58="Yes",AND(INDEX(Borrowers!$P$9:$P$108,MATCH(D58,Borrowers!$C$9:$C$108,0))&gt;=L58*Settings!$F$19,INDEX(Borrowers!$P$9:$P$108,MATCH(D58,Borrowers!$C$9:$C$108,0))-L58&gt;=Settings!$F$20)),2,1))),"Missing borrower"))</x:f>
      </x:c>
      <x:c r="AE58" s="21" t="str">
        <x:f>IF(C58="","",MAX(0,AA58-X58)*IF(AD58=3,AJ58,S58)+AB58*AI58*S58)</x:f>
      </x:c>
      <x:c r="AF58" s="23" t="str">
        <x:f>IF(C58="","",IF(COUNTIF($C$9:$C$108,C58)&lt;&gt;1,"Duplicate facility",IF(COUNTIF(Borrowers!$C$9:$C$108,D58)&lt;&gt;1,"Missing borrower",IF(OR(COUNT(G58:M58)&lt;&gt;7,COUNT(O58:T58)&lt;&gt;6,COUNT(AI58:AL58)&lt;&gt;4,COUNT(AN58)&lt;&gt;1,COUNT(AP58)&lt;&gt;1,COUNT(X58)&lt;&gt;1,Y58="",N58="",AM58=""),"Missing inputs",IF(OR(Z58&lt;=0,G58&lt;0,H58&lt;0,J58&lt;1,J58&gt;30,J58&lt;&gt;INT(J58),MIN(I58,K58,L58,Q58,R58,AI58,AL58)&lt;0,MAX(I58,K58,L58,Q58,R58,AI58,AL58)&gt;1,X58&lt;0,X58&gt;AA58,AP58&lt;0,M58&lt;0,M58&lt;&gt;INT(M58),S58&lt;0,T58&lt;0,AJ58&lt;0,AK58&lt;0,AK58&gt;30,AK58&lt;&gt;INT(AK58),AN58&lt;0,AN58&gt;5,AN58&gt;J58,AN58&lt;&gt;INT(AN58),AND(AN58&gt;0,AQ58=""),NOT(OR(AM58="Yes",AM58="No")),AND(N58&lt;&gt;"Auto",OR(AG58="",AH58=""))),"Review inputs",IF(INDEX(Borrowers!$AA$9:$AA$108,MATCH(D58,Borrowers!$C$9:$C$108,0))&lt;&gt;"Ready","Borrower review","Ready"))))))</x:f>
      </x:c>
      <x:c r="AG58" s="16"/>
      <x:c r="AH58" s="16"/>
      <x:c r="AI58" s="11"/>
      <x:c r="AJ58" s="11"/>
      <x:c r="AK58" s="22"/>
      <x:c r="AL58" s="11"/>
      <x:c r="AM58" s="16"/>
      <x:c r="AN58" s="22"/>
      <x:c r="AO58" s="21" t="str">
        <x:f>IF(C58="","",AA58+AB58*AI58)</x:f>
      </x:c>
      <x:c r="AP58" s="16"/>
      <x:c r="AQ58" s="8"/>
    </x:row>
    <x:row r="59" ht="36" customHeight="1">
      <x:c r="A59" s="1"/>
      <x:c r="B59" s="1"/>
      <x:c r="C59" s="8"/>
      <x:c r="D59" s="8"/>
      <x:c r="E59" s="8"/>
      <x:c r="F59" s="8"/>
      <x:c r="G59" s="16"/>
      <x:c r="H59" s="16"/>
      <x:c r="I59" s="11"/>
      <x:c r="J59" s="22"/>
      <x:c r="K59" s="11"/>
      <x:c r="L59" s="11"/>
      <x:c r="M59" s="22"/>
      <x:c r="N59" s="16"/>
      <x:c r="O59" s="16"/>
      <x:c r="P59" s="16"/>
      <x:c r="Q59" s="11"/>
      <x:c r="R59" s="11"/>
      <x:c r="S59" s="11"/>
      <x:c r="T59" s="11"/>
      <x:c r="U59" s="16"/>
      <x:c r="V59" s="16"/>
      <x:c r="W59" s="16"/>
      <x:c r="X59" s="16"/>
      <x:c r="Y59" s="16"/>
      <x:c r="Z59" s="23" t="str">
        <x:f>IF(C59="","",IFERROR(INDEX(Settings!$D$41:$D$44,MATCH(F59,Settings!$C$41:$C$44,0)),0))</x:f>
      </x:c>
      <x:c r="AA59" s="21" t="str">
        <x:f>IF(C59="","",G59*Z59)</x:f>
      </x:c>
      <x:c r="AB59" s="21" t="str">
        <x:f>IF(C59="","",H59*Z59)</x:f>
      </x:c>
      <x:c r="AC59" s="21" t="str">
        <x:f>IF(C59="","",AA59+AB59*I59)</x:f>
      </x:c>
      <x:c r="AD59" s="23" t="str">
        <x:f>IF(C59="","",IFERROR(IF(OR(INDEX(Borrowers!$Z$9:$Z$108,MATCH(D59,Borrowers!$C$9:$C$108,0))="Yes",M59&gt;=90),3,IF(AND(N59&lt;&gt;"Auto",AG59&lt;&gt;"",AH59&lt;&gt;""),VALUE(N59),IF(OR(M59&gt;=30,AM59="Yes",AND(INDEX(Borrowers!$P$9:$P$108,MATCH(D59,Borrowers!$C$9:$C$108,0))&gt;=L59*Settings!$F$19,INDEX(Borrowers!$P$9:$P$108,MATCH(D59,Borrowers!$C$9:$C$108,0))-L59&gt;=Settings!$F$20)),2,1))),"Missing borrower"))</x:f>
      </x:c>
      <x:c r="AE59" s="21" t="str">
        <x:f>IF(C59="","",MAX(0,AA59-X59)*IF(AD59=3,AJ59,S59)+AB59*AI59*S59)</x:f>
      </x:c>
      <x:c r="AF59" s="23" t="str">
        <x:f>IF(C59="","",IF(COUNTIF($C$9:$C$108,C59)&lt;&gt;1,"Duplicate facility",IF(COUNTIF(Borrowers!$C$9:$C$108,D59)&lt;&gt;1,"Missing borrower",IF(OR(COUNT(G59:M59)&lt;&gt;7,COUNT(O59:T59)&lt;&gt;6,COUNT(AI59:AL59)&lt;&gt;4,COUNT(AN59)&lt;&gt;1,COUNT(AP59)&lt;&gt;1,COUNT(X59)&lt;&gt;1,Y59="",N59="",AM59=""),"Missing inputs",IF(OR(Z59&lt;=0,G59&lt;0,H59&lt;0,J59&lt;1,J59&gt;30,J59&lt;&gt;INT(J59),MIN(I59,K59,L59,Q59,R59,AI59,AL59)&lt;0,MAX(I59,K59,L59,Q59,R59,AI59,AL59)&gt;1,X59&lt;0,X59&gt;AA59,AP59&lt;0,M59&lt;0,M59&lt;&gt;INT(M59),S59&lt;0,T59&lt;0,AJ59&lt;0,AK59&lt;0,AK59&gt;30,AK59&lt;&gt;INT(AK59),AN59&lt;0,AN59&gt;5,AN59&gt;J59,AN59&lt;&gt;INT(AN59),AND(AN59&gt;0,AQ59=""),NOT(OR(AM59="Yes",AM59="No")),AND(N59&lt;&gt;"Auto",OR(AG59="",AH59=""))),"Review inputs",IF(INDEX(Borrowers!$AA$9:$AA$108,MATCH(D59,Borrowers!$C$9:$C$108,0))&lt;&gt;"Ready","Borrower review","Ready"))))))</x:f>
      </x:c>
      <x:c r="AG59" s="16"/>
      <x:c r="AH59" s="16"/>
      <x:c r="AI59" s="11"/>
      <x:c r="AJ59" s="11"/>
      <x:c r="AK59" s="22"/>
      <x:c r="AL59" s="11"/>
      <x:c r="AM59" s="16"/>
      <x:c r="AN59" s="22"/>
      <x:c r="AO59" s="21" t="str">
        <x:f>IF(C59="","",AA59+AB59*AI59)</x:f>
      </x:c>
      <x:c r="AP59" s="16"/>
      <x:c r="AQ59" s="8"/>
    </x:row>
    <x:row r="60" ht="36" customHeight="1">
      <x:c r="A60" s="1"/>
      <x:c r="B60" s="1"/>
      <x:c r="C60" s="8"/>
      <x:c r="D60" s="8"/>
      <x:c r="E60" s="8"/>
      <x:c r="F60" s="8"/>
      <x:c r="G60" s="16"/>
      <x:c r="H60" s="16"/>
      <x:c r="I60" s="11"/>
      <x:c r="J60" s="22"/>
      <x:c r="K60" s="11"/>
      <x:c r="L60" s="11"/>
      <x:c r="M60" s="22"/>
      <x:c r="N60" s="16"/>
      <x:c r="O60" s="16"/>
      <x:c r="P60" s="16"/>
      <x:c r="Q60" s="11"/>
      <x:c r="R60" s="11"/>
      <x:c r="S60" s="11"/>
      <x:c r="T60" s="11"/>
      <x:c r="U60" s="16"/>
      <x:c r="V60" s="16"/>
      <x:c r="W60" s="16"/>
      <x:c r="X60" s="16"/>
      <x:c r="Y60" s="16"/>
      <x:c r="Z60" s="23" t="str">
        <x:f>IF(C60="","",IFERROR(INDEX(Settings!$D$41:$D$44,MATCH(F60,Settings!$C$41:$C$44,0)),0))</x:f>
      </x:c>
      <x:c r="AA60" s="21" t="str">
        <x:f>IF(C60="","",G60*Z60)</x:f>
      </x:c>
      <x:c r="AB60" s="21" t="str">
        <x:f>IF(C60="","",H60*Z60)</x:f>
      </x:c>
      <x:c r="AC60" s="21" t="str">
        <x:f>IF(C60="","",AA60+AB60*I60)</x:f>
      </x:c>
      <x:c r="AD60" s="23" t="str">
        <x:f>IF(C60="","",IFERROR(IF(OR(INDEX(Borrowers!$Z$9:$Z$108,MATCH(D60,Borrowers!$C$9:$C$108,0))="Yes",M60&gt;=90),3,IF(AND(N60&lt;&gt;"Auto",AG60&lt;&gt;"",AH60&lt;&gt;""),VALUE(N60),IF(OR(M60&gt;=30,AM60="Yes",AND(INDEX(Borrowers!$P$9:$P$108,MATCH(D60,Borrowers!$C$9:$C$108,0))&gt;=L60*Settings!$F$19,INDEX(Borrowers!$P$9:$P$108,MATCH(D60,Borrowers!$C$9:$C$108,0))-L60&gt;=Settings!$F$20)),2,1))),"Missing borrower"))</x:f>
      </x:c>
      <x:c r="AE60" s="21" t="str">
        <x:f>IF(C60="","",MAX(0,AA60-X60)*IF(AD60=3,AJ60,S60)+AB60*AI60*S60)</x:f>
      </x:c>
      <x:c r="AF60" s="23" t="str">
        <x:f>IF(C60="","",IF(COUNTIF($C$9:$C$108,C60)&lt;&gt;1,"Duplicate facility",IF(COUNTIF(Borrowers!$C$9:$C$108,D60)&lt;&gt;1,"Missing borrower",IF(OR(COUNT(G60:M60)&lt;&gt;7,COUNT(O60:T60)&lt;&gt;6,COUNT(AI60:AL60)&lt;&gt;4,COUNT(AN60)&lt;&gt;1,COUNT(AP60)&lt;&gt;1,COUNT(X60)&lt;&gt;1,Y60="",N60="",AM60=""),"Missing inputs",IF(OR(Z60&lt;=0,G60&lt;0,H60&lt;0,J60&lt;1,J60&gt;30,J60&lt;&gt;INT(J60),MIN(I60,K60,L60,Q60,R60,AI60,AL60)&lt;0,MAX(I60,K60,L60,Q60,R60,AI60,AL60)&gt;1,X60&lt;0,X60&gt;AA60,AP60&lt;0,M60&lt;0,M60&lt;&gt;INT(M60),S60&lt;0,T60&lt;0,AJ60&lt;0,AK60&lt;0,AK60&gt;30,AK60&lt;&gt;INT(AK60),AN60&lt;0,AN60&gt;5,AN60&gt;J60,AN60&lt;&gt;INT(AN60),AND(AN60&gt;0,AQ60=""),NOT(OR(AM60="Yes",AM60="No")),AND(N60&lt;&gt;"Auto",OR(AG60="",AH60=""))),"Review inputs",IF(INDEX(Borrowers!$AA$9:$AA$108,MATCH(D60,Borrowers!$C$9:$C$108,0))&lt;&gt;"Ready","Borrower review","Ready"))))))</x:f>
      </x:c>
      <x:c r="AG60" s="16"/>
      <x:c r="AH60" s="16"/>
      <x:c r="AI60" s="11"/>
      <x:c r="AJ60" s="11"/>
      <x:c r="AK60" s="22"/>
      <x:c r="AL60" s="11"/>
      <x:c r="AM60" s="16"/>
      <x:c r="AN60" s="22"/>
      <x:c r="AO60" s="21" t="str">
        <x:f>IF(C60="","",AA60+AB60*AI60)</x:f>
      </x:c>
      <x:c r="AP60" s="16"/>
      <x:c r="AQ60" s="8"/>
    </x:row>
    <x:row r="61" ht="36" customHeight="1">
      <x:c r="A61" s="1"/>
      <x:c r="B61" s="1"/>
      <x:c r="C61" s="8"/>
      <x:c r="D61" s="8"/>
      <x:c r="E61" s="8"/>
      <x:c r="F61" s="8"/>
      <x:c r="G61" s="16"/>
      <x:c r="H61" s="16"/>
      <x:c r="I61" s="11"/>
      <x:c r="J61" s="22"/>
      <x:c r="K61" s="11"/>
      <x:c r="L61" s="11"/>
      <x:c r="M61" s="22"/>
      <x:c r="N61" s="16"/>
      <x:c r="O61" s="16"/>
      <x:c r="P61" s="16"/>
      <x:c r="Q61" s="11"/>
      <x:c r="R61" s="11"/>
      <x:c r="S61" s="11"/>
      <x:c r="T61" s="11"/>
      <x:c r="U61" s="16"/>
      <x:c r="V61" s="16"/>
      <x:c r="W61" s="16"/>
      <x:c r="X61" s="16"/>
      <x:c r="Y61" s="16"/>
      <x:c r="Z61" s="23" t="str">
        <x:f>IF(C61="","",IFERROR(INDEX(Settings!$D$41:$D$44,MATCH(F61,Settings!$C$41:$C$44,0)),0))</x:f>
      </x:c>
      <x:c r="AA61" s="21" t="str">
        <x:f>IF(C61="","",G61*Z61)</x:f>
      </x:c>
      <x:c r="AB61" s="21" t="str">
        <x:f>IF(C61="","",H61*Z61)</x:f>
      </x:c>
      <x:c r="AC61" s="21" t="str">
        <x:f>IF(C61="","",AA61+AB61*I61)</x:f>
      </x:c>
      <x:c r="AD61" s="23" t="str">
        <x:f>IF(C61="","",IFERROR(IF(OR(INDEX(Borrowers!$Z$9:$Z$108,MATCH(D61,Borrowers!$C$9:$C$108,0))="Yes",M61&gt;=90),3,IF(AND(N61&lt;&gt;"Auto",AG61&lt;&gt;"",AH61&lt;&gt;""),VALUE(N61),IF(OR(M61&gt;=30,AM61="Yes",AND(INDEX(Borrowers!$P$9:$P$108,MATCH(D61,Borrowers!$C$9:$C$108,0))&gt;=L61*Settings!$F$19,INDEX(Borrowers!$P$9:$P$108,MATCH(D61,Borrowers!$C$9:$C$108,0))-L61&gt;=Settings!$F$20)),2,1))),"Missing borrower"))</x:f>
      </x:c>
      <x:c r="AE61" s="21" t="str">
        <x:f>IF(C61="","",MAX(0,AA61-X61)*IF(AD61=3,AJ61,S61)+AB61*AI61*S61)</x:f>
      </x:c>
      <x:c r="AF61" s="23" t="str">
        <x:f>IF(C61="","",IF(COUNTIF($C$9:$C$108,C61)&lt;&gt;1,"Duplicate facility",IF(COUNTIF(Borrowers!$C$9:$C$108,D61)&lt;&gt;1,"Missing borrower",IF(OR(COUNT(G61:M61)&lt;&gt;7,COUNT(O61:T61)&lt;&gt;6,COUNT(AI61:AL61)&lt;&gt;4,COUNT(AN61)&lt;&gt;1,COUNT(AP61)&lt;&gt;1,COUNT(X61)&lt;&gt;1,Y61="",N61="",AM61=""),"Missing inputs",IF(OR(Z61&lt;=0,G61&lt;0,H61&lt;0,J61&lt;1,J61&gt;30,J61&lt;&gt;INT(J61),MIN(I61,K61,L61,Q61,R61,AI61,AL61)&lt;0,MAX(I61,K61,L61,Q61,R61,AI61,AL61)&gt;1,X61&lt;0,X61&gt;AA61,AP61&lt;0,M61&lt;0,M61&lt;&gt;INT(M61),S61&lt;0,T61&lt;0,AJ61&lt;0,AK61&lt;0,AK61&gt;30,AK61&lt;&gt;INT(AK61),AN61&lt;0,AN61&gt;5,AN61&gt;J61,AN61&lt;&gt;INT(AN61),AND(AN61&gt;0,AQ61=""),NOT(OR(AM61="Yes",AM61="No")),AND(N61&lt;&gt;"Auto",OR(AG61="",AH61=""))),"Review inputs",IF(INDEX(Borrowers!$AA$9:$AA$108,MATCH(D61,Borrowers!$C$9:$C$108,0))&lt;&gt;"Ready","Borrower review","Ready"))))))</x:f>
      </x:c>
      <x:c r="AG61" s="16"/>
      <x:c r="AH61" s="16"/>
      <x:c r="AI61" s="11"/>
      <x:c r="AJ61" s="11"/>
      <x:c r="AK61" s="22"/>
      <x:c r="AL61" s="11"/>
      <x:c r="AM61" s="16"/>
      <x:c r="AN61" s="22"/>
      <x:c r="AO61" s="21" t="str">
        <x:f>IF(C61="","",AA61+AB61*AI61)</x:f>
      </x:c>
      <x:c r="AP61" s="16"/>
      <x:c r="AQ61" s="8"/>
    </x:row>
    <x:row r="62" ht="36" customHeight="1">
      <x:c r="A62" s="1"/>
      <x:c r="B62" s="1"/>
      <x:c r="C62" s="8"/>
      <x:c r="D62" s="8"/>
      <x:c r="E62" s="8"/>
      <x:c r="F62" s="8"/>
      <x:c r="G62" s="16"/>
      <x:c r="H62" s="16"/>
      <x:c r="I62" s="11"/>
      <x:c r="J62" s="22"/>
      <x:c r="K62" s="11"/>
      <x:c r="L62" s="11"/>
      <x:c r="M62" s="22"/>
      <x:c r="N62" s="16"/>
      <x:c r="O62" s="16"/>
      <x:c r="P62" s="16"/>
      <x:c r="Q62" s="11"/>
      <x:c r="R62" s="11"/>
      <x:c r="S62" s="11"/>
      <x:c r="T62" s="11"/>
      <x:c r="U62" s="16"/>
      <x:c r="V62" s="16"/>
      <x:c r="W62" s="16"/>
      <x:c r="X62" s="16"/>
      <x:c r="Y62" s="16"/>
      <x:c r="Z62" s="23" t="str">
        <x:f>IF(C62="","",IFERROR(INDEX(Settings!$D$41:$D$44,MATCH(F62,Settings!$C$41:$C$44,0)),0))</x:f>
      </x:c>
      <x:c r="AA62" s="21" t="str">
        <x:f>IF(C62="","",G62*Z62)</x:f>
      </x:c>
      <x:c r="AB62" s="21" t="str">
        <x:f>IF(C62="","",H62*Z62)</x:f>
      </x:c>
      <x:c r="AC62" s="21" t="str">
        <x:f>IF(C62="","",AA62+AB62*I62)</x:f>
      </x:c>
      <x:c r="AD62" s="23" t="str">
        <x:f>IF(C62="","",IFERROR(IF(OR(INDEX(Borrowers!$Z$9:$Z$108,MATCH(D62,Borrowers!$C$9:$C$108,0))="Yes",M62&gt;=90),3,IF(AND(N62&lt;&gt;"Auto",AG62&lt;&gt;"",AH62&lt;&gt;""),VALUE(N62),IF(OR(M62&gt;=30,AM62="Yes",AND(INDEX(Borrowers!$P$9:$P$108,MATCH(D62,Borrowers!$C$9:$C$108,0))&gt;=L62*Settings!$F$19,INDEX(Borrowers!$P$9:$P$108,MATCH(D62,Borrowers!$C$9:$C$108,0))-L62&gt;=Settings!$F$20)),2,1))),"Missing borrower"))</x:f>
      </x:c>
      <x:c r="AE62" s="21" t="str">
        <x:f>IF(C62="","",MAX(0,AA62-X62)*IF(AD62=3,AJ62,S62)+AB62*AI62*S62)</x:f>
      </x:c>
      <x:c r="AF62" s="23" t="str">
        <x:f>IF(C62="","",IF(COUNTIF($C$9:$C$108,C62)&lt;&gt;1,"Duplicate facility",IF(COUNTIF(Borrowers!$C$9:$C$108,D62)&lt;&gt;1,"Missing borrower",IF(OR(COUNT(G62:M62)&lt;&gt;7,COUNT(O62:T62)&lt;&gt;6,COUNT(AI62:AL62)&lt;&gt;4,COUNT(AN62)&lt;&gt;1,COUNT(AP62)&lt;&gt;1,COUNT(X62)&lt;&gt;1,Y62="",N62="",AM62=""),"Missing inputs",IF(OR(Z62&lt;=0,G62&lt;0,H62&lt;0,J62&lt;1,J62&gt;30,J62&lt;&gt;INT(J62),MIN(I62,K62,L62,Q62,R62,AI62,AL62)&lt;0,MAX(I62,K62,L62,Q62,R62,AI62,AL62)&gt;1,X62&lt;0,X62&gt;AA62,AP62&lt;0,M62&lt;0,M62&lt;&gt;INT(M62),S62&lt;0,T62&lt;0,AJ62&lt;0,AK62&lt;0,AK62&gt;30,AK62&lt;&gt;INT(AK62),AN62&lt;0,AN62&gt;5,AN62&gt;J62,AN62&lt;&gt;INT(AN62),AND(AN62&gt;0,AQ62=""),NOT(OR(AM62="Yes",AM62="No")),AND(N62&lt;&gt;"Auto",OR(AG62="",AH62=""))),"Review inputs",IF(INDEX(Borrowers!$AA$9:$AA$108,MATCH(D62,Borrowers!$C$9:$C$108,0))&lt;&gt;"Ready","Borrower review","Ready"))))))</x:f>
      </x:c>
      <x:c r="AG62" s="16"/>
      <x:c r="AH62" s="16"/>
      <x:c r="AI62" s="11"/>
      <x:c r="AJ62" s="11"/>
      <x:c r="AK62" s="22"/>
      <x:c r="AL62" s="11"/>
      <x:c r="AM62" s="16"/>
      <x:c r="AN62" s="22"/>
      <x:c r="AO62" s="21" t="str">
        <x:f>IF(C62="","",AA62+AB62*AI62)</x:f>
      </x:c>
      <x:c r="AP62" s="16"/>
      <x:c r="AQ62" s="8"/>
    </x:row>
    <x:row r="63" ht="36" customHeight="1">
      <x:c r="A63" s="1"/>
      <x:c r="B63" s="1"/>
      <x:c r="C63" s="8"/>
      <x:c r="D63" s="8"/>
      <x:c r="E63" s="8"/>
      <x:c r="F63" s="8"/>
      <x:c r="G63" s="16"/>
      <x:c r="H63" s="16"/>
      <x:c r="I63" s="11"/>
      <x:c r="J63" s="22"/>
      <x:c r="K63" s="11"/>
      <x:c r="L63" s="11"/>
      <x:c r="M63" s="22"/>
      <x:c r="N63" s="16"/>
      <x:c r="O63" s="16"/>
      <x:c r="P63" s="16"/>
      <x:c r="Q63" s="11"/>
      <x:c r="R63" s="11"/>
      <x:c r="S63" s="11"/>
      <x:c r="T63" s="11"/>
      <x:c r="U63" s="16"/>
      <x:c r="V63" s="16"/>
      <x:c r="W63" s="16"/>
      <x:c r="X63" s="16"/>
      <x:c r="Y63" s="16"/>
      <x:c r="Z63" s="23" t="str">
        <x:f>IF(C63="","",IFERROR(INDEX(Settings!$D$41:$D$44,MATCH(F63,Settings!$C$41:$C$44,0)),0))</x:f>
      </x:c>
      <x:c r="AA63" s="21" t="str">
        <x:f>IF(C63="","",G63*Z63)</x:f>
      </x:c>
      <x:c r="AB63" s="21" t="str">
        <x:f>IF(C63="","",H63*Z63)</x:f>
      </x:c>
      <x:c r="AC63" s="21" t="str">
        <x:f>IF(C63="","",AA63+AB63*I63)</x:f>
      </x:c>
      <x:c r="AD63" s="23" t="str">
        <x:f>IF(C63="","",IFERROR(IF(OR(INDEX(Borrowers!$Z$9:$Z$108,MATCH(D63,Borrowers!$C$9:$C$108,0))="Yes",M63&gt;=90),3,IF(AND(N63&lt;&gt;"Auto",AG63&lt;&gt;"",AH63&lt;&gt;""),VALUE(N63),IF(OR(M63&gt;=30,AM63="Yes",AND(INDEX(Borrowers!$P$9:$P$108,MATCH(D63,Borrowers!$C$9:$C$108,0))&gt;=L63*Settings!$F$19,INDEX(Borrowers!$P$9:$P$108,MATCH(D63,Borrowers!$C$9:$C$108,0))-L63&gt;=Settings!$F$20)),2,1))),"Missing borrower"))</x:f>
      </x:c>
      <x:c r="AE63" s="21" t="str">
        <x:f>IF(C63="","",MAX(0,AA63-X63)*IF(AD63=3,AJ63,S63)+AB63*AI63*S63)</x:f>
      </x:c>
      <x:c r="AF63" s="23" t="str">
        <x:f>IF(C63="","",IF(COUNTIF($C$9:$C$108,C63)&lt;&gt;1,"Duplicate facility",IF(COUNTIF(Borrowers!$C$9:$C$108,D63)&lt;&gt;1,"Missing borrower",IF(OR(COUNT(G63:M63)&lt;&gt;7,COUNT(O63:T63)&lt;&gt;6,COUNT(AI63:AL63)&lt;&gt;4,COUNT(AN63)&lt;&gt;1,COUNT(AP63)&lt;&gt;1,COUNT(X63)&lt;&gt;1,Y63="",N63="",AM63=""),"Missing inputs",IF(OR(Z63&lt;=0,G63&lt;0,H63&lt;0,J63&lt;1,J63&gt;30,J63&lt;&gt;INT(J63),MIN(I63,K63,L63,Q63,R63,AI63,AL63)&lt;0,MAX(I63,K63,L63,Q63,R63,AI63,AL63)&gt;1,X63&lt;0,X63&gt;AA63,AP63&lt;0,M63&lt;0,M63&lt;&gt;INT(M63),S63&lt;0,T63&lt;0,AJ63&lt;0,AK63&lt;0,AK63&gt;30,AK63&lt;&gt;INT(AK63),AN63&lt;0,AN63&gt;5,AN63&gt;J63,AN63&lt;&gt;INT(AN63),AND(AN63&gt;0,AQ63=""),NOT(OR(AM63="Yes",AM63="No")),AND(N63&lt;&gt;"Auto",OR(AG63="",AH63=""))),"Review inputs",IF(INDEX(Borrowers!$AA$9:$AA$108,MATCH(D63,Borrowers!$C$9:$C$108,0))&lt;&gt;"Ready","Borrower review","Ready"))))))</x:f>
      </x:c>
      <x:c r="AG63" s="16"/>
      <x:c r="AH63" s="16"/>
      <x:c r="AI63" s="11"/>
      <x:c r="AJ63" s="11"/>
      <x:c r="AK63" s="22"/>
      <x:c r="AL63" s="11"/>
      <x:c r="AM63" s="16"/>
      <x:c r="AN63" s="22"/>
      <x:c r="AO63" s="21" t="str">
        <x:f>IF(C63="","",AA63+AB63*AI63)</x:f>
      </x:c>
      <x:c r="AP63" s="16"/>
      <x:c r="AQ63" s="8"/>
    </x:row>
    <x:row r="64" ht="36" customHeight="1">
      <x:c r="A64" s="1"/>
      <x:c r="B64" s="1"/>
      <x:c r="C64" s="8"/>
      <x:c r="D64" s="8"/>
      <x:c r="E64" s="8"/>
      <x:c r="F64" s="8"/>
      <x:c r="G64" s="16"/>
      <x:c r="H64" s="16"/>
      <x:c r="I64" s="11"/>
      <x:c r="J64" s="22"/>
      <x:c r="K64" s="11"/>
      <x:c r="L64" s="11"/>
      <x:c r="M64" s="22"/>
      <x:c r="N64" s="16"/>
      <x:c r="O64" s="16"/>
      <x:c r="P64" s="16"/>
      <x:c r="Q64" s="11"/>
      <x:c r="R64" s="11"/>
      <x:c r="S64" s="11"/>
      <x:c r="T64" s="11"/>
      <x:c r="U64" s="16"/>
      <x:c r="V64" s="16"/>
      <x:c r="W64" s="16"/>
      <x:c r="X64" s="16"/>
      <x:c r="Y64" s="16"/>
      <x:c r="Z64" s="23" t="str">
        <x:f>IF(C64="","",IFERROR(INDEX(Settings!$D$41:$D$44,MATCH(F64,Settings!$C$41:$C$44,0)),0))</x:f>
      </x:c>
      <x:c r="AA64" s="21" t="str">
        <x:f>IF(C64="","",G64*Z64)</x:f>
      </x:c>
      <x:c r="AB64" s="21" t="str">
        <x:f>IF(C64="","",H64*Z64)</x:f>
      </x:c>
      <x:c r="AC64" s="21" t="str">
        <x:f>IF(C64="","",AA64+AB64*I64)</x:f>
      </x:c>
      <x:c r="AD64" s="23" t="str">
        <x:f>IF(C64="","",IFERROR(IF(OR(INDEX(Borrowers!$Z$9:$Z$108,MATCH(D64,Borrowers!$C$9:$C$108,0))="Yes",M64&gt;=90),3,IF(AND(N64&lt;&gt;"Auto",AG64&lt;&gt;"",AH64&lt;&gt;""),VALUE(N64),IF(OR(M64&gt;=30,AM64="Yes",AND(INDEX(Borrowers!$P$9:$P$108,MATCH(D64,Borrowers!$C$9:$C$108,0))&gt;=L64*Settings!$F$19,INDEX(Borrowers!$P$9:$P$108,MATCH(D64,Borrowers!$C$9:$C$108,0))-L64&gt;=Settings!$F$20)),2,1))),"Missing borrower"))</x:f>
      </x:c>
      <x:c r="AE64" s="21" t="str">
        <x:f>IF(C64="","",MAX(0,AA64-X64)*IF(AD64=3,AJ64,S64)+AB64*AI64*S64)</x:f>
      </x:c>
      <x:c r="AF64" s="23" t="str">
        <x:f>IF(C64="","",IF(COUNTIF($C$9:$C$108,C64)&lt;&gt;1,"Duplicate facility",IF(COUNTIF(Borrowers!$C$9:$C$108,D64)&lt;&gt;1,"Missing borrower",IF(OR(COUNT(G64:M64)&lt;&gt;7,COUNT(O64:T64)&lt;&gt;6,COUNT(AI64:AL64)&lt;&gt;4,COUNT(AN64)&lt;&gt;1,COUNT(AP64)&lt;&gt;1,COUNT(X64)&lt;&gt;1,Y64="",N64="",AM64=""),"Missing inputs",IF(OR(Z64&lt;=0,G64&lt;0,H64&lt;0,J64&lt;1,J64&gt;30,J64&lt;&gt;INT(J64),MIN(I64,K64,L64,Q64,R64,AI64,AL64)&lt;0,MAX(I64,K64,L64,Q64,R64,AI64,AL64)&gt;1,X64&lt;0,X64&gt;AA64,AP64&lt;0,M64&lt;0,M64&lt;&gt;INT(M64),S64&lt;0,T64&lt;0,AJ64&lt;0,AK64&lt;0,AK64&gt;30,AK64&lt;&gt;INT(AK64),AN64&lt;0,AN64&gt;5,AN64&gt;J64,AN64&lt;&gt;INT(AN64),AND(AN64&gt;0,AQ64=""),NOT(OR(AM64="Yes",AM64="No")),AND(N64&lt;&gt;"Auto",OR(AG64="",AH64=""))),"Review inputs",IF(INDEX(Borrowers!$AA$9:$AA$108,MATCH(D64,Borrowers!$C$9:$C$108,0))&lt;&gt;"Ready","Borrower review","Ready"))))))</x:f>
      </x:c>
      <x:c r="AG64" s="16"/>
      <x:c r="AH64" s="16"/>
      <x:c r="AI64" s="11"/>
      <x:c r="AJ64" s="11"/>
      <x:c r="AK64" s="22"/>
      <x:c r="AL64" s="11"/>
      <x:c r="AM64" s="16"/>
      <x:c r="AN64" s="22"/>
      <x:c r="AO64" s="21" t="str">
        <x:f>IF(C64="","",AA64+AB64*AI64)</x:f>
      </x:c>
      <x:c r="AP64" s="16"/>
      <x:c r="AQ64" s="8"/>
    </x:row>
    <x:row r="65" ht="36" customHeight="1">
      <x:c r="A65" s="1"/>
      <x:c r="B65" s="1"/>
      <x:c r="C65" s="8"/>
      <x:c r="D65" s="8"/>
      <x:c r="E65" s="8"/>
      <x:c r="F65" s="8"/>
      <x:c r="G65" s="16"/>
      <x:c r="H65" s="16"/>
      <x:c r="I65" s="11"/>
      <x:c r="J65" s="22"/>
      <x:c r="K65" s="11"/>
      <x:c r="L65" s="11"/>
      <x:c r="M65" s="22"/>
      <x:c r="N65" s="16"/>
      <x:c r="O65" s="16"/>
      <x:c r="P65" s="16"/>
      <x:c r="Q65" s="11"/>
      <x:c r="R65" s="11"/>
      <x:c r="S65" s="11"/>
      <x:c r="T65" s="11"/>
      <x:c r="U65" s="16"/>
      <x:c r="V65" s="16"/>
      <x:c r="W65" s="16"/>
      <x:c r="X65" s="16"/>
      <x:c r="Y65" s="16"/>
      <x:c r="Z65" s="23" t="str">
        <x:f>IF(C65="","",IFERROR(INDEX(Settings!$D$41:$D$44,MATCH(F65,Settings!$C$41:$C$44,0)),0))</x:f>
      </x:c>
      <x:c r="AA65" s="21" t="str">
        <x:f>IF(C65="","",G65*Z65)</x:f>
      </x:c>
      <x:c r="AB65" s="21" t="str">
        <x:f>IF(C65="","",H65*Z65)</x:f>
      </x:c>
      <x:c r="AC65" s="21" t="str">
        <x:f>IF(C65="","",AA65+AB65*I65)</x:f>
      </x:c>
      <x:c r="AD65" s="23" t="str">
        <x:f>IF(C65="","",IFERROR(IF(OR(INDEX(Borrowers!$Z$9:$Z$108,MATCH(D65,Borrowers!$C$9:$C$108,0))="Yes",M65&gt;=90),3,IF(AND(N65&lt;&gt;"Auto",AG65&lt;&gt;"",AH65&lt;&gt;""),VALUE(N65),IF(OR(M65&gt;=30,AM65="Yes",AND(INDEX(Borrowers!$P$9:$P$108,MATCH(D65,Borrowers!$C$9:$C$108,0))&gt;=L65*Settings!$F$19,INDEX(Borrowers!$P$9:$P$108,MATCH(D65,Borrowers!$C$9:$C$108,0))-L65&gt;=Settings!$F$20)),2,1))),"Missing borrower"))</x:f>
      </x:c>
      <x:c r="AE65" s="21" t="str">
        <x:f>IF(C65="","",MAX(0,AA65-X65)*IF(AD65=3,AJ65,S65)+AB65*AI65*S65)</x:f>
      </x:c>
      <x:c r="AF65" s="23" t="str">
        <x:f>IF(C65="","",IF(COUNTIF($C$9:$C$108,C65)&lt;&gt;1,"Duplicate facility",IF(COUNTIF(Borrowers!$C$9:$C$108,D65)&lt;&gt;1,"Missing borrower",IF(OR(COUNT(G65:M65)&lt;&gt;7,COUNT(O65:T65)&lt;&gt;6,COUNT(AI65:AL65)&lt;&gt;4,COUNT(AN65)&lt;&gt;1,COUNT(AP65)&lt;&gt;1,COUNT(X65)&lt;&gt;1,Y65="",N65="",AM65=""),"Missing inputs",IF(OR(Z65&lt;=0,G65&lt;0,H65&lt;0,J65&lt;1,J65&gt;30,J65&lt;&gt;INT(J65),MIN(I65,K65,L65,Q65,R65,AI65,AL65)&lt;0,MAX(I65,K65,L65,Q65,R65,AI65,AL65)&gt;1,X65&lt;0,X65&gt;AA65,AP65&lt;0,M65&lt;0,M65&lt;&gt;INT(M65),S65&lt;0,T65&lt;0,AJ65&lt;0,AK65&lt;0,AK65&gt;30,AK65&lt;&gt;INT(AK65),AN65&lt;0,AN65&gt;5,AN65&gt;J65,AN65&lt;&gt;INT(AN65),AND(AN65&gt;0,AQ65=""),NOT(OR(AM65="Yes",AM65="No")),AND(N65&lt;&gt;"Auto",OR(AG65="",AH65=""))),"Review inputs",IF(INDEX(Borrowers!$AA$9:$AA$108,MATCH(D65,Borrowers!$C$9:$C$108,0))&lt;&gt;"Ready","Borrower review","Ready"))))))</x:f>
      </x:c>
      <x:c r="AG65" s="16"/>
      <x:c r="AH65" s="16"/>
      <x:c r="AI65" s="11"/>
      <x:c r="AJ65" s="11"/>
      <x:c r="AK65" s="22"/>
      <x:c r="AL65" s="11"/>
      <x:c r="AM65" s="16"/>
      <x:c r="AN65" s="22"/>
      <x:c r="AO65" s="21" t="str">
        <x:f>IF(C65="","",AA65+AB65*AI65)</x:f>
      </x:c>
      <x:c r="AP65" s="16"/>
      <x:c r="AQ65" s="8"/>
    </x:row>
    <x:row r="66" ht="36" customHeight="1">
      <x:c r="A66" s="1"/>
      <x:c r="B66" s="1"/>
      <x:c r="C66" s="8"/>
      <x:c r="D66" s="8"/>
      <x:c r="E66" s="8"/>
      <x:c r="F66" s="8"/>
      <x:c r="G66" s="16"/>
      <x:c r="H66" s="16"/>
      <x:c r="I66" s="11"/>
      <x:c r="J66" s="22"/>
      <x:c r="K66" s="11"/>
      <x:c r="L66" s="11"/>
      <x:c r="M66" s="22"/>
      <x:c r="N66" s="16"/>
      <x:c r="O66" s="16"/>
      <x:c r="P66" s="16"/>
      <x:c r="Q66" s="11"/>
      <x:c r="R66" s="11"/>
      <x:c r="S66" s="11"/>
      <x:c r="T66" s="11"/>
      <x:c r="U66" s="16"/>
      <x:c r="V66" s="16"/>
      <x:c r="W66" s="16"/>
      <x:c r="X66" s="16"/>
      <x:c r="Y66" s="16"/>
      <x:c r="Z66" s="23" t="str">
        <x:f>IF(C66="","",IFERROR(INDEX(Settings!$D$41:$D$44,MATCH(F66,Settings!$C$41:$C$44,0)),0))</x:f>
      </x:c>
      <x:c r="AA66" s="21" t="str">
        <x:f>IF(C66="","",G66*Z66)</x:f>
      </x:c>
      <x:c r="AB66" s="21" t="str">
        <x:f>IF(C66="","",H66*Z66)</x:f>
      </x:c>
      <x:c r="AC66" s="21" t="str">
        <x:f>IF(C66="","",AA66+AB66*I66)</x:f>
      </x:c>
      <x:c r="AD66" s="23" t="str">
        <x:f>IF(C66="","",IFERROR(IF(OR(INDEX(Borrowers!$Z$9:$Z$108,MATCH(D66,Borrowers!$C$9:$C$108,0))="Yes",M66&gt;=90),3,IF(AND(N66&lt;&gt;"Auto",AG66&lt;&gt;"",AH66&lt;&gt;""),VALUE(N66),IF(OR(M66&gt;=30,AM66="Yes",AND(INDEX(Borrowers!$P$9:$P$108,MATCH(D66,Borrowers!$C$9:$C$108,0))&gt;=L66*Settings!$F$19,INDEX(Borrowers!$P$9:$P$108,MATCH(D66,Borrowers!$C$9:$C$108,0))-L66&gt;=Settings!$F$20)),2,1))),"Missing borrower"))</x:f>
      </x:c>
      <x:c r="AE66" s="21" t="str">
        <x:f>IF(C66="","",MAX(0,AA66-X66)*IF(AD66=3,AJ66,S66)+AB66*AI66*S66)</x:f>
      </x:c>
      <x:c r="AF66" s="23" t="str">
        <x:f>IF(C66="","",IF(COUNTIF($C$9:$C$108,C66)&lt;&gt;1,"Duplicate facility",IF(COUNTIF(Borrowers!$C$9:$C$108,D66)&lt;&gt;1,"Missing borrower",IF(OR(COUNT(G66:M66)&lt;&gt;7,COUNT(O66:T66)&lt;&gt;6,COUNT(AI66:AL66)&lt;&gt;4,COUNT(AN66)&lt;&gt;1,COUNT(AP66)&lt;&gt;1,COUNT(X66)&lt;&gt;1,Y66="",N66="",AM66=""),"Missing inputs",IF(OR(Z66&lt;=0,G66&lt;0,H66&lt;0,J66&lt;1,J66&gt;30,J66&lt;&gt;INT(J66),MIN(I66,K66,L66,Q66,R66,AI66,AL66)&lt;0,MAX(I66,K66,L66,Q66,R66,AI66,AL66)&gt;1,X66&lt;0,X66&gt;AA66,AP66&lt;0,M66&lt;0,M66&lt;&gt;INT(M66),S66&lt;0,T66&lt;0,AJ66&lt;0,AK66&lt;0,AK66&gt;30,AK66&lt;&gt;INT(AK66),AN66&lt;0,AN66&gt;5,AN66&gt;J66,AN66&lt;&gt;INT(AN66),AND(AN66&gt;0,AQ66=""),NOT(OR(AM66="Yes",AM66="No")),AND(N66&lt;&gt;"Auto",OR(AG66="",AH66=""))),"Review inputs",IF(INDEX(Borrowers!$AA$9:$AA$108,MATCH(D66,Borrowers!$C$9:$C$108,0))&lt;&gt;"Ready","Borrower review","Ready"))))))</x:f>
      </x:c>
      <x:c r="AG66" s="16"/>
      <x:c r="AH66" s="16"/>
      <x:c r="AI66" s="11"/>
      <x:c r="AJ66" s="11"/>
      <x:c r="AK66" s="22"/>
      <x:c r="AL66" s="11"/>
      <x:c r="AM66" s="16"/>
      <x:c r="AN66" s="22"/>
      <x:c r="AO66" s="21" t="str">
        <x:f>IF(C66="","",AA66+AB66*AI66)</x:f>
      </x:c>
      <x:c r="AP66" s="16"/>
      <x:c r="AQ66" s="8"/>
    </x:row>
    <x:row r="67" ht="36" customHeight="1">
      <x:c r="A67" s="1"/>
      <x:c r="B67" s="1"/>
      <x:c r="C67" s="8"/>
      <x:c r="D67" s="8"/>
      <x:c r="E67" s="8"/>
      <x:c r="F67" s="8"/>
      <x:c r="G67" s="16"/>
      <x:c r="H67" s="16"/>
      <x:c r="I67" s="11"/>
      <x:c r="J67" s="22"/>
      <x:c r="K67" s="11"/>
      <x:c r="L67" s="11"/>
      <x:c r="M67" s="22"/>
      <x:c r="N67" s="16"/>
      <x:c r="O67" s="16"/>
      <x:c r="P67" s="16"/>
      <x:c r="Q67" s="11"/>
      <x:c r="R67" s="11"/>
      <x:c r="S67" s="11"/>
      <x:c r="T67" s="11"/>
      <x:c r="U67" s="16"/>
      <x:c r="V67" s="16"/>
      <x:c r="W67" s="16"/>
      <x:c r="X67" s="16"/>
      <x:c r="Y67" s="16"/>
      <x:c r="Z67" s="23" t="str">
        <x:f>IF(C67="","",IFERROR(INDEX(Settings!$D$41:$D$44,MATCH(F67,Settings!$C$41:$C$44,0)),0))</x:f>
      </x:c>
      <x:c r="AA67" s="21" t="str">
        <x:f>IF(C67="","",G67*Z67)</x:f>
      </x:c>
      <x:c r="AB67" s="21" t="str">
        <x:f>IF(C67="","",H67*Z67)</x:f>
      </x:c>
      <x:c r="AC67" s="21" t="str">
        <x:f>IF(C67="","",AA67+AB67*I67)</x:f>
      </x:c>
      <x:c r="AD67" s="23" t="str">
        <x:f>IF(C67="","",IFERROR(IF(OR(INDEX(Borrowers!$Z$9:$Z$108,MATCH(D67,Borrowers!$C$9:$C$108,0))="Yes",M67&gt;=90),3,IF(AND(N67&lt;&gt;"Auto",AG67&lt;&gt;"",AH67&lt;&gt;""),VALUE(N67),IF(OR(M67&gt;=30,AM67="Yes",AND(INDEX(Borrowers!$P$9:$P$108,MATCH(D67,Borrowers!$C$9:$C$108,0))&gt;=L67*Settings!$F$19,INDEX(Borrowers!$P$9:$P$108,MATCH(D67,Borrowers!$C$9:$C$108,0))-L67&gt;=Settings!$F$20)),2,1))),"Missing borrower"))</x:f>
      </x:c>
      <x:c r="AE67" s="21" t="str">
        <x:f>IF(C67="","",MAX(0,AA67-X67)*IF(AD67=3,AJ67,S67)+AB67*AI67*S67)</x:f>
      </x:c>
      <x:c r="AF67" s="23" t="str">
        <x:f>IF(C67="","",IF(COUNTIF($C$9:$C$108,C67)&lt;&gt;1,"Duplicate facility",IF(COUNTIF(Borrowers!$C$9:$C$108,D67)&lt;&gt;1,"Missing borrower",IF(OR(COUNT(G67:M67)&lt;&gt;7,COUNT(O67:T67)&lt;&gt;6,COUNT(AI67:AL67)&lt;&gt;4,COUNT(AN67)&lt;&gt;1,COUNT(AP67)&lt;&gt;1,COUNT(X67)&lt;&gt;1,Y67="",N67="",AM67=""),"Missing inputs",IF(OR(Z67&lt;=0,G67&lt;0,H67&lt;0,J67&lt;1,J67&gt;30,J67&lt;&gt;INT(J67),MIN(I67,K67,L67,Q67,R67,AI67,AL67)&lt;0,MAX(I67,K67,L67,Q67,R67,AI67,AL67)&gt;1,X67&lt;0,X67&gt;AA67,AP67&lt;0,M67&lt;0,M67&lt;&gt;INT(M67),S67&lt;0,T67&lt;0,AJ67&lt;0,AK67&lt;0,AK67&gt;30,AK67&lt;&gt;INT(AK67),AN67&lt;0,AN67&gt;5,AN67&gt;J67,AN67&lt;&gt;INT(AN67),AND(AN67&gt;0,AQ67=""),NOT(OR(AM67="Yes",AM67="No")),AND(N67&lt;&gt;"Auto",OR(AG67="",AH67=""))),"Review inputs",IF(INDEX(Borrowers!$AA$9:$AA$108,MATCH(D67,Borrowers!$C$9:$C$108,0))&lt;&gt;"Ready","Borrower review","Ready"))))))</x:f>
      </x:c>
      <x:c r="AG67" s="16"/>
      <x:c r="AH67" s="16"/>
      <x:c r="AI67" s="11"/>
      <x:c r="AJ67" s="11"/>
      <x:c r="AK67" s="22"/>
      <x:c r="AL67" s="11"/>
      <x:c r="AM67" s="16"/>
      <x:c r="AN67" s="22"/>
      <x:c r="AO67" s="21" t="str">
        <x:f>IF(C67="","",AA67+AB67*AI67)</x:f>
      </x:c>
      <x:c r="AP67" s="16"/>
      <x:c r="AQ67" s="8"/>
    </x:row>
    <x:row r="68" ht="36" customHeight="1">
      <x:c r="A68" s="1"/>
      <x:c r="B68" s="1"/>
      <x:c r="C68" s="8"/>
      <x:c r="D68" s="8"/>
      <x:c r="E68" s="8"/>
      <x:c r="F68" s="8"/>
      <x:c r="G68" s="16"/>
      <x:c r="H68" s="16"/>
      <x:c r="I68" s="11"/>
      <x:c r="J68" s="22"/>
      <x:c r="K68" s="11"/>
      <x:c r="L68" s="11"/>
      <x:c r="M68" s="22"/>
      <x:c r="N68" s="16"/>
      <x:c r="O68" s="16"/>
      <x:c r="P68" s="16"/>
      <x:c r="Q68" s="11"/>
      <x:c r="R68" s="11"/>
      <x:c r="S68" s="11"/>
      <x:c r="T68" s="11"/>
      <x:c r="U68" s="16"/>
      <x:c r="V68" s="16"/>
      <x:c r="W68" s="16"/>
      <x:c r="X68" s="16"/>
      <x:c r="Y68" s="16"/>
      <x:c r="Z68" s="23" t="str">
        <x:f>IF(C68="","",IFERROR(INDEX(Settings!$D$41:$D$44,MATCH(F68,Settings!$C$41:$C$44,0)),0))</x:f>
      </x:c>
      <x:c r="AA68" s="21" t="str">
        <x:f>IF(C68="","",G68*Z68)</x:f>
      </x:c>
      <x:c r="AB68" s="21" t="str">
        <x:f>IF(C68="","",H68*Z68)</x:f>
      </x:c>
      <x:c r="AC68" s="21" t="str">
        <x:f>IF(C68="","",AA68+AB68*I68)</x:f>
      </x:c>
      <x:c r="AD68" s="23" t="str">
        <x:f>IF(C68="","",IFERROR(IF(OR(INDEX(Borrowers!$Z$9:$Z$108,MATCH(D68,Borrowers!$C$9:$C$108,0))="Yes",M68&gt;=90),3,IF(AND(N68&lt;&gt;"Auto",AG68&lt;&gt;"",AH68&lt;&gt;""),VALUE(N68),IF(OR(M68&gt;=30,AM68="Yes",AND(INDEX(Borrowers!$P$9:$P$108,MATCH(D68,Borrowers!$C$9:$C$108,0))&gt;=L68*Settings!$F$19,INDEX(Borrowers!$P$9:$P$108,MATCH(D68,Borrowers!$C$9:$C$108,0))-L68&gt;=Settings!$F$20)),2,1))),"Missing borrower"))</x:f>
      </x:c>
      <x:c r="AE68" s="21" t="str">
        <x:f>IF(C68="","",MAX(0,AA68-X68)*IF(AD68=3,AJ68,S68)+AB68*AI68*S68)</x:f>
      </x:c>
      <x:c r="AF68" s="23" t="str">
        <x:f>IF(C68="","",IF(COUNTIF($C$9:$C$108,C68)&lt;&gt;1,"Duplicate facility",IF(COUNTIF(Borrowers!$C$9:$C$108,D68)&lt;&gt;1,"Missing borrower",IF(OR(COUNT(G68:M68)&lt;&gt;7,COUNT(O68:T68)&lt;&gt;6,COUNT(AI68:AL68)&lt;&gt;4,COUNT(AN68)&lt;&gt;1,COUNT(AP68)&lt;&gt;1,COUNT(X68)&lt;&gt;1,Y68="",N68="",AM68=""),"Missing inputs",IF(OR(Z68&lt;=0,G68&lt;0,H68&lt;0,J68&lt;1,J68&gt;30,J68&lt;&gt;INT(J68),MIN(I68,K68,L68,Q68,R68,AI68,AL68)&lt;0,MAX(I68,K68,L68,Q68,R68,AI68,AL68)&gt;1,X68&lt;0,X68&gt;AA68,AP68&lt;0,M68&lt;0,M68&lt;&gt;INT(M68),S68&lt;0,T68&lt;0,AJ68&lt;0,AK68&lt;0,AK68&gt;30,AK68&lt;&gt;INT(AK68),AN68&lt;0,AN68&gt;5,AN68&gt;J68,AN68&lt;&gt;INT(AN68),AND(AN68&gt;0,AQ68=""),NOT(OR(AM68="Yes",AM68="No")),AND(N68&lt;&gt;"Auto",OR(AG68="",AH68=""))),"Review inputs",IF(INDEX(Borrowers!$AA$9:$AA$108,MATCH(D68,Borrowers!$C$9:$C$108,0))&lt;&gt;"Ready","Borrower review","Ready"))))))</x:f>
      </x:c>
      <x:c r="AG68" s="16"/>
      <x:c r="AH68" s="16"/>
      <x:c r="AI68" s="11"/>
      <x:c r="AJ68" s="11"/>
      <x:c r="AK68" s="22"/>
      <x:c r="AL68" s="11"/>
      <x:c r="AM68" s="16"/>
      <x:c r="AN68" s="22"/>
      <x:c r="AO68" s="21" t="str">
        <x:f>IF(C68="","",AA68+AB68*AI68)</x:f>
      </x:c>
      <x:c r="AP68" s="16"/>
      <x:c r="AQ68" s="8"/>
    </x:row>
    <x:row r="69" ht="36" customHeight="1">
      <x:c r="A69" s="1"/>
      <x:c r="B69" s="1"/>
      <x:c r="C69" s="8"/>
      <x:c r="D69" s="8"/>
      <x:c r="E69" s="8"/>
      <x:c r="F69" s="8"/>
      <x:c r="G69" s="16"/>
      <x:c r="H69" s="16"/>
      <x:c r="I69" s="11"/>
      <x:c r="J69" s="22"/>
      <x:c r="K69" s="11"/>
      <x:c r="L69" s="11"/>
      <x:c r="M69" s="22"/>
      <x:c r="N69" s="16"/>
      <x:c r="O69" s="16"/>
      <x:c r="P69" s="16"/>
      <x:c r="Q69" s="11"/>
      <x:c r="R69" s="11"/>
      <x:c r="S69" s="11"/>
      <x:c r="T69" s="11"/>
      <x:c r="U69" s="16"/>
      <x:c r="V69" s="16"/>
      <x:c r="W69" s="16"/>
      <x:c r="X69" s="16"/>
      <x:c r="Y69" s="16"/>
      <x:c r="Z69" s="23" t="str">
        <x:f>IF(C69="","",IFERROR(INDEX(Settings!$D$41:$D$44,MATCH(F69,Settings!$C$41:$C$44,0)),0))</x:f>
      </x:c>
      <x:c r="AA69" s="21" t="str">
        <x:f>IF(C69="","",G69*Z69)</x:f>
      </x:c>
      <x:c r="AB69" s="21" t="str">
        <x:f>IF(C69="","",H69*Z69)</x:f>
      </x:c>
      <x:c r="AC69" s="21" t="str">
        <x:f>IF(C69="","",AA69+AB69*I69)</x:f>
      </x:c>
      <x:c r="AD69" s="23" t="str">
        <x:f>IF(C69="","",IFERROR(IF(OR(INDEX(Borrowers!$Z$9:$Z$108,MATCH(D69,Borrowers!$C$9:$C$108,0))="Yes",M69&gt;=90),3,IF(AND(N69&lt;&gt;"Auto",AG69&lt;&gt;"",AH69&lt;&gt;""),VALUE(N69),IF(OR(M69&gt;=30,AM69="Yes",AND(INDEX(Borrowers!$P$9:$P$108,MATCH(D69,Borrowers!$C$9:$C$108,0))&gt;=L69*Settings!$F$19,INDEX(Borrowers!$P$9:$P$108,MATCH(D69,Borrowers!$C$9:$C$108,0))-L69&gt;=Settings!$F$20)),2,1))),"Missing borrower"))</x:f>
      </x:c>
      <x:c r="AE69" s="21" t="str">
        <x:f>IF(C69="","",MAX(0,AA69-X69)*IF(AD69=3,AJ69,S69)+AB69*AI69*S69)</x:f>
      </x:c>
      <x:c r="AF69" s="23" t="str">
        <x:f>IF(C69="","",IF(COUNTIF($C$9:$C$108,C69)&lt;&gt;1,"Duplicate facility",IF(COUNTIF(Borrowers!$C$9:$C$108,D69)&lt;&gt;1,"Missing borrower",IF(OR(COUNT(G69:M69)&lt;&gt;7,COUNT(O69:T69)&lt;&gt;6,COUNT(AI69:AL69)&lt;&gt;4,COUNT(AN69)&lt;&gt;1,COUNT(AP69)&lt;&gt;1,COUNT(X69)&lt;&gt;1,Y69="",N69="",AM69=""),"Missing inputs",IF(OR(Z69&lt;=0,G69&lt;0,H69&lt;0,J69&lt;1,J69&gt;30,J69&lt;&gt;INT(J69),MIN(I69,K69,L69,Q69,R69,AI69,AL69)&lt;0,MAX(I69,K69,L69,Q69,R69,AI69,AL69)&gt;1,X69&lt;0,X69&gt;AA69,AP69&lt;0,M69&lt;0,M69&lt;&gt;INT(M69),S69&lt;0,T69&lt;0,AJ69&lt;0,AK69&lt;0,AK69&gt;30,AK69&lt;&gt;INT(AK69),AN69&lt;0,AN69&gt;5,AN69&gt;J69,AN69&lt;&gt;INT(AN69),AND(AN69&gt;0,AQ69=""),NOT(OR(AM69="Yes",AM69="No")),AND(N69&lt;&gt;"Auto",OR(AG69="",AH69=""))),"Review inputs",IF(INDEX(Borrowers!$AA$9:$AA$108,MATCH(D69,Borrowers!$C$9:$C$108,0))&lt;&gt;"Ready","Borrower review","Ready"))))))</x:f>
      </x:c>
      <x:c r="AG69" s="16"/>
      <x:c r="AH69" s="16"/>
      <x:c r="AI69" s="11"/>
      <x:c r="AJ69" s="11"/>
      <x:c r="AK69" s="22"/>
      <x:c r="AL69" s="11"/>
      <x:c r="AM69" s="16"/>
      <x:c r="AN69" s="22"/>
      <x:c r="AO69" s="21" t="str">
        <x:f>IF(C69="","",AA69+AB69*AI69)</x:f>
      </x:c>
      <x:c r="AP69" s="16"/>
      <x:c r="AQ69" s="8"/>
    </x:row>
    <x:row r="70" ht="36" customHeight="1">
      <x:c r="A70" s="1"/>
      <x:c r="B70" s="1"/>
      <x:c r="C70" s="8"/>
      <x:c r="D70" s="8"/>
      <x:c r="E70" s="8"/>
      <x:c r="F70" s="8"/>
      <x:c r="G70" s="16"/>
      <x:c r="H70" s="16"/>
      <x:c r="I70" s="11"/>
      <x:c r="J70" s="22"/>
      <x:c r="K70" s="11"/>
      <x:c r="L70" s="11"/>
      <x:c r="M70" s="22"/>
      <x:c r="N70" s="16"/>
      <x:c r="O70" s="16"/>
      <x:c r="P70" s="16"/>
      <x:c r="Q70" s="11"/>
      <x:c r="R70" s="11"/>
      <x:c r="S70" s="11"/>
      <x:c r="T70" s="11"/>
      <x:c r="U70" s="16"/>
      <x:c r="V70" s="16"/>
      <x:c r="W70" s="16"/>
      <x:c r="X70" s="16"/>
      <x:c r="Y70" s="16"/>
      <x:c r="Z70" s="23" t="str">
        <x:f>IF(C70="","",IFERROR(INDEX(Settings!$D$41:$D$44,MATCH(F70,Settings!$C$41:$C$44,0)),0))</x:f>
      </x:c>
      <x:c r="AA70" s="21" t="str">
        <x:f>IF(C70="","",G70*Z70)</x:f>
      </x:c>
      <x:c r="AB70" s="21" t="str">
        <x:f>IF(C70="","",H70*Z70)</x:f>
      </x:c>
      <x:c r="AC70" s="21" t="str">
        <x:f>IF(C70="","",AA70+AB70*I70)</x:f>
      </x:c>
      <x:c r="AD70" s="23" t="str">
        <x:f>IF(C70="","",IFERROR(IF(OR(INDEX(Borrowers!$Z$9:$Z$108,MATCH(D70,Borrowers!$C$9:$C$108,0))="Yes",M70&gt;=90),3,IF(AND(N70&lt;&gt;"Auto",AG70&lt;&gt;"",AH70&lt;&gt;""),VALUE(N70),IF(OR(M70&gt;=30,AM70="Yes",AND(INDEX(Borrowers!$P$9:$P$108,MATCH(D70,Borrowers!$C$9:$C$108,0))&gt;=L70*Settings!$F$19,INDEX(Borrowers!$P$9:$P$108,MATCH(D70,Borrowers!$C$9:$C$108,0))-L70&gt;=Settings!$F$20)),2,1))),"Missing borrower"))</x:f>
      </x:c>
      <x:c r="AE70" s="21" t="str">
        <x:f>IF(C70="","",MAX(0,AA70-X70)*IF(AD70=3,AJ70,S70)+AB70*AI70*S70)</x:f>
      </x:c>
      <x:c r="AF70" s="23" t="str">
        <x:f>IF(C70="","",IF(COUNTIF($C$9:$C$108,C70)&lt;&gt;1,"Duplicate facility",IF(COUNTIF(Borrowers!$C$9:$C$108,D70)&lt;&gt;1,"Missing borrower",IF(OR(COUNT(G70:M70)&lt;&gt;7,COUNT(O70:T70)&lt;&gt;6,COUNT(AI70:AL70)&lt;&gt;4,COUNT(AN70)&lt;&gt;1,COUNT(AP70)&lt;&gt;1,COUNT(X70)&lt;&gt;1,Y70="",N70="",AM70=""),"Missing inputs",IF(OR(Z70&lt;=0,G70&lt;0,H70&lt;0,J70&lt;1,J70&gt;30,J70&lt;&gt;INT(J70),MIN(I70,K70,L70,Q70,R70,AI70,AL70)&lt;0,MAX(I70,K70,L70,Q70,R70,AI70,AL70)&gt;1,X70&lt;0,X70&gt;AA70,AP70&lt;0,M70&lt;0,M70&lt;&gt;INT(M70),S70&lt;0,T70&lt;0,AJ70&lt;0,AK70&lt;0,AK70&gt;30,AK70&lt;&gt;INT(AK70),AN70&lt;0,AN70&gt;5,AN70&gt;J70,AN70&lt;&gt;INT(AN70),AND(AN70&gt;0,AQ70=""),NOT(OR(AM70="Yes",AM70="No")),AND(N70&lt;&gt;"Auto",OR(AG70="",AH70=""))),"Review inputs",IF(INDEX(Borrowers!$AA$9:$AA$108,MATCH(D70,Borrowers!$C$9:$C$108,0))&lt;&gt;"Ready","Borrower review","Ready"))))))</x:f>
      </x:c>
      <x:c r="AG70" s="16"/>
      <x:c r="AH70" s="16"/>
      <x:c r="AI70" s="11"/>
      <x:c r="AJ70" s="11"/>
      <x:c r="AK70" s="22"/>
      <x:c r="AL70" s="11"/>
      <x:c r="AM70" s="16"/>
      <x:c r="AN70" s="22"/>
      <x:c r="AO70" s="21" t="str">
        <x:f>IF(C70="","",AA70+AB70*AI70)</x:f>
      </x:c>
      <x:c r="AP70" s="16"/>
      <x:c r="AQ70" s="8"/>
    </x:row>
    <x:row r="71" ht="36" customHeight="1">
      <x:c r="A71" s="1"/>
      <x:c r="B71" s="1"/>
      <x:c r="C71" s="8"/>
      <x:c r="D71" s="8"/>
      <x:c r="E71" s="8"/>
      <x:c r="F71" s="8"/>
      <x:c r="G71" s="16"/>
      <x:c r="H71" s="16"/>
      <x:c r="I71" s="11"/>
      <x:c r="J71" s="22"/>
      <x:c r="K71" s="11"/>
      <x:c r="L71" s="11"/>
      <x:c r="M71" s="22"/>
      <x:c r="N71" s="16"/>
      <x:c r="O71" s="16"/>
      <x:c r="P71" s="16"/>
      <x:c r="Q71" s="11"/>
      <x:c r="R71" s="11"/>
      <x:c r="S71" s="11"/>
      <x:c r="T71" s="11"/>
      <x:c r="U71" s="16"/>
      <x:c r="V71" s="16"/>
      <x:c r="W71" s="16"/>
      <x:c r="X71" s="16"/>
      <x:c r="Y71" s="16"/>
      <x:c r="Z71" s="23" t="str">
        <x:f>IF(C71="","",IFERROR(INDEX(Settings!$D$41:$D$44,MATCH(F71,Settings!$C$41:$C$44,0)),0))</x:f>
      </x:c>
      <x:c r="AA71" s="21" t="str">
        <x:f>IF(C71="","",G71*Z71)</x:f>
      </x:c>
      <x:c r="AB71" s="21" t="str">
        <x:f>IF(C71="","",H71*Z71)</x:f>
      </x:c>
      <x:c r="AC71" s="21" t="str">
        <x:f>IF(C71="","",AA71+AB71*I71)</x:f>
      </x:c>
      <x:c r="AD71" s="23" t="str">
        <x:f>IF(C71="","",IFERROR(IF(OR(INDEX(Borrowers!$Z$9:$Z$108,MATCH(D71,Borrowers!$C$9:$C$108,0))="Yes",M71&gt;=90),3,IF(AND(N71&lt;&gt;"Auto",AG71&lt;&gt;"",AH71&lt;&gt;""),VALUE(N71),IF(OR(M71&gt;=30,AM71="Yes",AND(INDEX(Borrowers!$P$9:$P$108,MATCH(D71,Borrowers!$C$9:$C$108,0))&gt;=L71*Settings!$F$19,INDEX(Borrowers!$P$9:$P$108,MATCH(D71,Borrowers!$C$9:$C$108,0))-L71&gt;=Settings!$F$20)),2,1))),"Missing borrower"))</x:f>
      </x:c>
      <x:c r="AE71" s="21" t="str">
        <x:f>IF(C71="","",MAX(0,AA71-X71)*IF(AD71=3,AJ71,S71)+AB71*AI71*S71)</x:f>
      </x:c>
      <x:c r="AF71" s="23" t="str">
        <x:f>IF(C71="","",IF(COUNTIF($C$9:$C$108,C71)&lt;&gt;1,"Duplicate facility",IF(COUNTIF(Borrowers!$C$9:$C$108,D71)&lt;&gt;1,"Missing borrower",IF(OR(COUNT(G71:M71)&lt;&gt;7,COUNT(O71:T71)&lt;&gt;6,COUNT(AI71:AL71)&lt;&gt;4,COUNT(AN71)&lt;&gt;1,COUNT(AP71)&lt;&gt;1,COUNT(X71)&lt;&gt;1,Y71="",N71="",AM71=""),"Missing inputs",IF(OR(Z71&lt;=0,G71&lt;0,H71&lt;0,J71&lt;1,J71&gt;30,J71&lt;&gt;INT(J71),MIN(I71,K71,L71,Q71,R71,AI71,AL71)&lt;0,MAX(I71,K71,L71,Q71,R71,AI71,AL71)&gt;1,X71&lt;0,X71&gt;AA71,AP71&lt;0,M71&lt;0,M71&lt;&gt;INT(M71),S71&lt;0,T71&lt;0,AJ71&lt;0,AK71&lt;0,AK71&gt;30,AK71&lt;&gt;INT(AK71),AN71&lt;0,AN71&gt;5,AN71&gt;J71,AN71&lt;&gt;INT(AN71),AND(AN71&gt;0,AQ71=""),NOT(OR(AM71="Yes",AM71="No")),AND(N71&lt;&gt;"Auto",OR(AG71="",AH71=""))),"Review inputs",IF(INDEX(Borrowers!$AA$9:$AA$108,MATCH(D71,Borrowers!$C$9:$C$108,0))&lt;&gt;"Ready","Borrower review","Ready"))))))</x:f>
      </x:c>
      <x:c r="AG71" s="16"/>
      <x:c r="AH71" s="16"/>
      <x:c r="AI71" s="11"/>
      <x:c r="AJ71" s="11"/>
      <x:c r="AK71" s="22"/>
      <x:c r="AL71" s="11"/>
      <x:c r="AM71" s="16"/>
      <x:c r="AN71" s="22"/>
      <x:c r="AO71" s="21" t="str">
        <x:f>IF(C71="","",AA71+AB71*AI71)</x:f>
      </x:c>
      <x:c r="AP71" s="16"/>
      <x:c r="AQ71" s="8"/>
    </x:row>
    <x:row r="72" ht="36" customHeight="1">
      <x:c r="A72" s="1"/>
      <x:c r="B72" s="1"/>
      <x:c r="C72" s="8"/>
      <x:c r="D72" s="8"/>
      <x:c r="E72" s="8"/>
      <x:c r="F72" s="8"/>
      <x:c r="G72" s="16"/>
      <x:c r="H72" s="16"/>
      <x:c r="I72" s="11"/>
      <x:c r="J72" s="22"/>
      <x:c r="K72" s="11"/>
      <x:c r="L72" s="11"/>
      <x:c r="M72" s="22"/>
      <x:c r="N72" s="16"/>
      <x:c r="O72" s="16"/>
      <x:c r="P72" s="16"/>
      <x:c r="Q72" s="11"/>
      <x:c r="R72" s="11"/>
      <x:c r="S72" s="11"/>
      <x:c r="T72" s="11"/>
      <x:c r="U72" s="16"/>
      <x:c r="V72" s="16"/>
      <x:c r="W72" s="16"/>
      <x:c r="X72" s="16"/>
      <x:c r="Y72" s="16"/>
      <x:c r="Z72" s="23" t="str">
        <x:f>IF(C72="","",IFERROR(INDEX(Settings!$D$41:$D$44,MATCH(F72,Settings!$C$41:$C$44,0)),0))</x:f>
      </x:c>
      <x:c r="AA72" s="21" t="str">
        <x:f>IF(C72="","",G72*Z72)</x:f>
      </x:c>
      <x:c r="AB72" s="21" t="str">
        <x:f>IF(C72="","",H72*Z72)</x:f>
      </x:c>
      <x:c r="AC72" s="21" t="str">
        <x:f>IF(C72="","",AA72+AB72*I72)</x:f>
      </x:c>
      <x:c r="AD72" s="23" t="str">
        <x:f>IF(C72="","",IFERROR(IF(OR(INDEX(Borrowers!$Z$9:$Z$108,MATCH(D72,Borrowers!$C$9:$C$108,0))="Yes",M72&gt;=90),3,IF(AND(N72&lt;&gt;"Auto",AG72&lt;&gt;"",AH72&lt;&gt;""),VALUE(N72),IF(OR(M72&gt;=30,AM72="Yes",AND(INDEX(Borrowers!$P$9:$P$108,MATCH(D72,Borrowers!$C$9:$C$108,0))&gt;=L72*Settings!$F$19,INDEX(Borrowers!$P$9:$P$108,MATCH(D72,Borrowers!$C$9:$C$108,0))-L72&gt;=Settings!$F$20)),2,1))),"Missing borrower"))</x:f>
      </x:c>
      <x:c r="AE72" s="21" t="str">
        <x:f>IF(C72="","",MAX(0,AA72-X72)*IF(AD72=3,AJ72,S72)+AB72*AI72*S72)</x:f>
      </x:c>
      <x:c r="AF72" s="23" t="str">
        <x:f>IF(C72="","",IF(COUNTIF($C$9:$C$108,C72)&lt;&gt;1,"Duplicate facility",IF(COUNTIF(Borrowers!$C$9:$C$108,D72)&lt;&gt;1,"Missing borrower",IF(OR(COUNT(G72:M72)&lt;&gt;7,COUNT(O72:T72)&lt;&gt;6,COUNT(AI72:AL72)&lt;&gt;4,COUNT(AN72)&lt;&gt;1,COUNT(AP72)&lt;&gt;1,COUNT(X72)&lt;&gt;1,Y72="",N72="",AM72=""),"Missing inputs",IF(OR(Z72&lt;=0,G72&lt;0,H72&lt;0,J72&lt;1,J72&gt;30,J72&lt;&gt;INT(J72),MIN(I72,K72,L72,Q72,R72,AI72,AL72)&lt;0,MAX(I72,K72,L72,Q72,R72,AI72,AL72)&gt;1,X72&lt;0,X72&gt;AA72,AP72&lt;0,M72&lt;0,M72&lt;&gt;INT(M72),S72&lt;0,T72&lt;0,AJ72&lt;0,AK72&lt;0,AK72&gt;30,AK72&lt;&gt;INT(AK72),AN72&lt;0,AN72&gt;5,AN72&gt;J72,AN72&lt;&gt;INT(AN72),AND(AN72&gt;0,AQ72=""),NOT(OR(AM72="Yes",AM72="No")),AND(N72&lt;&gt;"Auto",OR(AG72="",AH72=""))),"Review inputs",IF(INDEX(Borrowers!$AA$9:$AA$108,MATCH(D72,Borrowers!$C$9:$C$108,0))&lt;&gt;"Ready","Borrower review","Ready"))))))</x:f>
      </x:c>
      <x:c r="AG72" s="16"/>
      <x:c r="AH72" s="16"/>
      <x:c r="AI72" s="11"/>
      <x:c r="AJ72" s="11"/>
      <x:c r="AK72" s="22"/>
      <x:c r="AL72" s="11"/>
      <x:c r="AM72" s="16"/>
      <x:c r="AN72" s="22"/>
      <x:c r="AO72" s="21" t="str">
        <x:f>IF(C72="","",AA72+AB72*AI72)</x:f>
      </x:c>
      <x:c r="AP72" s="16"/>
      <x:c r="AQ72" s="8"/>
    </x:row>
    <x:row r="73" ht="36" customHeight="1">
      <x:c r="A73" s="1"/>
      <x:c r="B73" s="1"/>
      <x:c r="C73" s="8"/>
      <x:c r="D73" s="8"/>
      <x:c r="E73" s="8"/>
      <x:c r="F73" s="8"/>
      <x:c r="G73" s="16"/>
      <x:c r="H73" s="16"/>
      <x:c r="I73" s="11"/>
      <x:c r="J73" s="22"/>
      <x:c r="K73" s="11"/>
      <x:c r="L73" s="11"/>
      <x:c r="M73" s="22"/>
      <x:c r="N73" s="16"/>
      <x:c r="O73" s="16"/>
      <x:c r="P73" s="16"/>
      <x:c r="Q73" s="11"/>
      <x:c r="R73" s="11"/>
      <x:c r="S73" s="11"/>
      <x:c r="T73" s="11"/>
      <x:c r="U73" s="16"/>
      <x:c r="V73" s="16"/>
      <x:c r="W73" s="16"/>
      <x:c r="X73" s="16"/>
      <x:c r="Y73" s="16"/>
      <x:c r="Z73" s="23" t="str">
        <x:f>IF(C73="","",IFERROR(INDEX(Settings!$D$41:$D$44,MATCH(F73,Settings!$C$41:$C$44,0)),0))</x:f>
      </x:c>
      <x:c r="AA73" s="21" t="str">
        <x:f>IF(C73="","",G73*Z73)</x:f>
      </x:c>
      <x:c r="AB73" s="21" t="str">
        <x:f>IF(C73="","",H73*Z73)</x:f>
      </x:c>
      <x:c r="AC73" s="21" t="str">
        <x:f>IF(C73="","",AA73+AB73*I73)</x:f>
      </x:c>
      <x:c r="AD73" s="23" t="str">
        <x:f>IF(C73="","",IFERROR(IF(OR(INDEX(Borrowers!$Z$9:$Z$108,MATCH(D73,Borrowers!$C$9:$C$108,0))="Yes",M73&gt;=90),3,IF(AND(N73&lt;&gt;"Auto",AG73&lt;&gt;"",AH73&lt;&gt;""),VALUE(N73),IF(OR(M73&gt;=30,AM73="Yes",AND(INDEX(Borrowers!$P$9:$P$108,MATCH(D73,Borrowers!$C$9:$C$108,0))&gt;=L73*Settings!$F$19,INDEX(Borrowers!$P$9:$P$108,MATCH(D73,Borrowers!$C$9:$C$108,0))-L73&gt;=Settings!$F$20)),2,1))),"Missing borrower"))</x:f>
      </x:c>
      <x:c r="AE73" s="21" t="str">
        <x:f>IF(C73="","",MAX(0,AA73-X73)*IF(AD73=3,AJ73,S73)+AB73*AI73*S73)</x:f>
      </x:c>
      <x:c r="AF73" s="23" t="str">
        <x:f>IF(C73="","",IF(COUNTIF($C$9:$C$108,C73)&lt;&gt;1,"Duplicate facility",IF(COUNTIF(Borrowers!$C$9:$C$108,D73)&lt;&gt;1,"Missing borrower",IF(OR(COUNT(G73:M73)&lt;&gt;7,COUNT(O73:T73)&lt;&gt;6,COUNT(AI73:AL73)&lt;&gt;4,COUNT(AN73)&lt;&gt;1,COUNT(AP73)&lt;&gt;1,COUNT(X73)&lt;&gt;1,Y73="",N73="",AM73=""),"Missing inputs",IF(OR(Z73&lt;=0,G73&lt;0,H73&lt;0,J73&lt;1,J73&gt;30,J73&lt;&gt;INT(J73),MIN(I73,K73,L73,Q73,R73,AI73,AL73)&lt;0,MAX(I73,K73,L73,Q73,R73,AI73,AL73)&gt;1,X73&lt;0,X73&gt;AA73,AP73&lt;0,M73&lt;0,M73&lt;&gt;INT(M73),S73&lt;0,T73&lt;0,AJ73&lt;0,AK73&lt;0,AK73&gt;30,AK73&lt;&gt;INT(AK73),AN73&lt;0,AN73&gt;5,AN73&gt;J73,AN73&lt;&gt;INT(AN73),AND(AN73&gt;0,AQ73=""),NOT(OR(AM73="Yes",AM73="No")),AND(N73&lt;&gt;"Auto",OR(AG73="",AH73=""))),"Review inputs",IF(INDEX(Borrowers!$AA$9:$AA$108,MATCH(D73,Borrowers!$C$9:$C$108,0))&lt;&gt;"Ready","Borrower review","Ready"))))))</x:f>
      </x:c>
      <x:c r="AG73" s="16"/>
      <x:c r="AH73" s="16"/>
      <x:c r="AI73" s="11"/>
      <x:c r="AJ73" s="11"/>
      <x:c r="AK73" s="22"/>
      <x:c r="AL73" s="11"/>
      <x:c r="AM73" s="16"/>
      <x:c r="AN73" s="22"/>
      <x:c r="AO73" s="21" t="str">
        <x:f>IF(C73="","",AA73+AB73*AI73)</x:f>
      </x:c>
      <x:c r="AP73" s="16"/>
      <x:c r="AQ73" s="8"/>
    </x:row>
    <x:row r="74" ht="36" customHeight="1">
      <x:c r="A74" s="1"/>
      <x:c r="B74" s="1"/>
      <x:c r="C74" s="8"/>
      <x:c r="D74" s="8"/>
      <x:c r="E74" s="8"/>
      <x:c r="F74" s="8"/>
      <x:c r="G74" s="16"/>
      <x:c r="H74" s="16"/>
      <x:c r="I74" s="11"/>
      <x:c r="J74" s="22"/>
      <x:c r="K74" s="11"/>
      <x:c r="L74" s="11"/>
      <x:c r="M74" s="22"/>
      <x:c r="N74" s="16"/>
      <x:c r="O74" s="16"/>
      <x:c r="P74" s="16"/>
      <x:c r="Q74" s="11"/>
      <x:c r="R74" s="11"/>
      <x:c r="S74" s="11"/>
      <x:c r="T74" s="11"/>
      <x:c r="U74" s="16"/>
      <x:c r="V74" s="16"/>
      <x:c r="W74" s="16"/>
      <x:c r="X74" s="16"/>
      <x:c r="Y74" s="16"/>
      <x:c r="Z74" s="23" t="str">
        <x:f>IF(C74="","",IFERROR(INDEX(Settings!$D$41:$D$44,MATCH(F74,Settings!$C$41:$C$44,0)),0))</x:f>
      </x:c>
      <x:c r="AA74" s="21" t="str">
        <x:f>IF(C74="","",G74*Z74)</x:f>
      </x:c>
      <x:c r="AB74" s="21" t="str">
        <x:f>IF(C74="","",H74*Z74)</x:f>
      </x:c>
      <x:c r="AC74" s="21" t="str">
        <x:f>IF(C74="","",AA74+AB74*I74)</x:f>
      </x:c>
      <x:c r="AD74" s="23" t="str">
        <x:f>IF(C74="","",IFERROR(IF(OR(INDEX(Borrowers!$Z$9:$Z$108,MATCH(D74,Borrowers!$C$9:$C$108,0))="Yes",M74&gt;=90),3,IF(AND(N74&lt;&gt;"Auto",AG74&lt;&gt;"",AH74&lt;&gt;""),VALUE(N74),IF(OR(M74&gt;=30,AM74="Yes",AND(INDEX(Borrowers!$P$9:$P$108,MATCH(D74,Borrowers!$C$9:$C$108,0))&gt;=L74*Settings!$F$19,INDEX(Borrowers!$P$9:$P$108,MATCH(D74,Borrowers!$C$9:$C$108,0))-L74&gt;=Settings!$F$20)),2,1))),"Missing borrower"))</x:f>
      </x:c>
      <x:c r="AE74" s="21" t="str">
        <x:f>IF(C74="","",MAX(0,AA74-X74)*IF(AD74=3,AJ74,S74)+AB74*AI74*S74)</x:f>
      </x:c>
      <x:c r="AF74" s="23" t="str">
        <x:f>IF(C74="","",IF(COUNTIF($C$9:$C$108,C74)&lt;&gt;1,"Duplicate facility",IF(COUNTIF(Borrowers!$C$9:$C$108,D74)&lt;&gt;1,"Missing borrower",IF(OR(COUNT(G74:M74)&lt;&gt;7,COUNT(O74:T74)&lt;&gt;6,COUNT(AI74:AL74)&lt;&gt;4,COUNT(AN74)&lt;&gt;1,COUNT(AP74)&lt;&gt;1,COUNT(X74)&lt;&gt;1,Y74="",N74="",AM74=""),"Missing inputs",IF(OR(Z74&lt;=0,G74&lt;0,H74&lt;0,J74&lt;1,J74&gt;30,J74&lt;&gt;INT(J74),MIN(I74,K74,L74,Q74,R74,AI74,AL74)&lt;0,MAX(I74,K74,L74,Q74,R74,AI74,AL74)&gt;1,X74&lt;0,X74&gt;AA74,AP74&lt;0,M74&lt;0,M74&lt;&gt;INT(M74),S74&lt;0,T74&lt;0,AJ74&lt;0,AK74&lt;0,AK74&gt;30,AK74&lt;&gt;INT(AK74),AN74&lt;0,AN74&gt;5,AN74&gt;J74,AN74&lt;&gt;INT(AN74),AND(AN74&gt;0,AQ74=""),NOT(OR(AM74="Yes",AM74="No")),AND(N74&lt;&gt;"Auto",OR(AG74="",AH74=""))),"Review inputs",IF(INDEX(Borrowers!$AA$9:$AA$108,MATCH(D74,Borrowers!$C$9:$C$108,0))&lt;&gt;"Ready","Borrower review","Ready"))))))</x:f>
      </x:c>
      <x:c r="AG74" s="16"/>
      <x:c r="AH74" s="16"/>
      <x:c r="AI74" s="11"/>
      <x:c r="AJ74" s="11"/>
      <x:c r="AK74" s="22"/>
      <x:c r="AL74" s="11"/>
      <x:c r="AM74" s="16"/>
      <x:c r="AN74" s="22"/>
      <x:c r="AO74" s="21" t="str">
        <x:f>IF(C74="","",AA74+AB74*AI74)</x:f>
      </x:c>
      <x:c r="AP74" s="16"/>
      <x:c r="AQ74" s="8"/>
    </x:row>
    <x:row r="75" ht="36" customHeight="1">
      <x:c r="A75" s="1"/>
      <x:c r="B75" s="1"/>
      <x:c r="C75" s="8"/>
      <x:c r="D75" s="8"/>
      <x:c r="E75" s="8"/>
      <x:c r="F75" s="8"/>
      <x:c r="G75" s="16"/>
      <x:c r="H75" s="16"/>
      <x:c r="I75" s="11"/>
      <x:c r="J75" s="22"/>
      <x:c r="K75" s="11"/>
      <x:c r="L75" s="11"/>
      <x:c r="M75" s="22"/>
      <x:c r="N75" s="16"/>
      <x:c r="O75" s="16"/>
      <x:c r="P75" s="16"/>
      <x:c r="Q75" s="11"/>
      <x:c r="R75" s="11"/>
      <x:c r="S75" s="11"/>
      <x:c r="T75" s="11"/>
      <x:c r="U75" s="16"/>
      <x:c r="V75" s="16"/>
      <x:c r="W75" s="16"/>
      <x:c r="X75" s="16"/>
      <x:c r="Y75" s="16"/>
      <x:c r="Z75" s="23" t="str">
        <x:f>IF(C75="","",IFERROR(INDEX(Settings!$D$41:$D$44,MATCH(F75,Settings!$C$41:$C$44,0)),0))</x:f>
      </x:c>
      <x:c r="AA75" s="21" t="str">
        <x:f>IF(C75="","",G75*Z75)</x:f>
      </x:c>
      <x:c r="AB75" s="21" t="str">
        <x:f>IF(C75="","",H75*Z75)</x:f>
      </x:c>
      <x:c r="AC75" s="21" t="str">
        <x:f>IF(C75="","",AA75+AB75*I75)</x:f>
      </x:c>
      <x:c r="AD75" s="23" t="str">
        <x:f>IF(C75="","",IFERROR(IF(OR(INDEX(Borrowers!$Z$9:$Z$108,MATCH(D75,Borrowers!$C$9:$C$108,0))="Yes",M75&gt;=90),3,IF(AND(N75&lt;&gt;"Auto",AG75&lt;&gt;"",AH75&lt;&gt;""),VALUE(N75),IF(OR(M75&gt;=30,AM75="Yes",AND(INDEX(Borrowers!$P$9:$P$108,MATCH(D75,Borrowers!$C$9:$C$108,0))&gt;=L75*Settings!$F$19,INDEX(Borrowers!$P$9:$P$108,MATCH(D75,Borrowers!$C$9:$C$108,0))-L75&gt;=Settings!$F$20)),2,1))),"Missing borrower"))</x:f>
      </x:c>
      <x:c r="AE75" s="21" t="str">
        <x:f>IF(C75="","",MAX(0,AA75-X75)*IF(AD75=3,AJ75,S75)+AB75*AI75*S75)</x:f>
      </x:c>
      <x:c r="AF75" s="23" t="str">
        <x:f>IF(C75="","",IF(COUNTIF($C$9:$C$108,C75)&lt;&gt;1,"Duplicate facility",IF(COUNTIF(Borrowers!$C$9:$C$108,D75)&lt;&gt;1,"Missing borrower",IF(OR(COUNT(G75:M75)&lt;&gt;7,COUNT(O75:T75)&lt;&gt;6,COUNT(AI75:AL75)&lt;&gt;4,COUNT(AN75)&lt;&gt;1,COUNT(AP75)&lt;&gt;1,COUNT(X75)&lt;&gt;1,Y75="",N75="",AM75=""),"Missing inputs",IF(OR(Z75&lt;=0,G75&lt;0,H75&lt;0,J75&lt;1,J75&gt;30,J75&lt;&gt;INT(J75),MIN(I75,K75,L75,Q75,R75,AI75,AL75)&lt;0,MAX(I75,K75,L75,Q75,R75,AI75,AL75)&gt;1,X75&lt;0,X75&gt;AA75,AP75&lt;0,M75&lt;0,M75&lt;&gt;INT(M75),S75&lt;0,T75&lt;0,AJ75&lt;0,AK75&lt;0,AK75&gt;30,AK75&lt;&gt;INT(AK75),AN75&lt;0,AN75&gt;5,AN75&gt;J75,AN75&lt;&gt;INT(AN75),AND(AN75&gt;0,AQ75=""),NOT(OR(AM75="Yes",AM75="No")),AND(N75&lt;&gt;"Auto",OR(AG75="",AH75=""))),"Review inputs",IF(INDEX(Borrowers!$AA$9:$AA$108,MATCH(D75,Borrowers!$C$9:$C$108,0))&lt;&gt;"Ready","Borrower review","Ready"))))))</x:f>
      </x:c>
      <x:c r="AG75" s="16"/>
      <x:c r="AH75" s="16"/>
      <x:c r="AI75" s="11"/>
      <x:c r="AJ75" s="11"/>
      <x:c r="AK75" s="22"/>
      <x:c r="AL75" s="11"/>
      <x:c r="AM75" s="16"/>
      <x:c r="AN75" s="22"/>
      <x:c r="AO75" s="21" t="str">
        <x:f>IF(C75="","",AA75+AB75*AI75)</x:f>
      </x:c>
      <x:c r="AP75" s="16"/>
      <x:c r="AQ75" s="8"/>
    </x:row>
    <x:row r="76" ht="36" customHeight="1">
      <x:c r="A76" s="1"/>
      <x:c r="B76" s="1"/>
      <x:c r="C76" s="8"/>
      <x:c r="D76" s="8"/>
      <x:c r="E76" s="8"/>
      <x:c r="F76" s="8"/>
      <x:c r="G76" s="16"/>
      <x:c r="H76" s="16"/>
      <x:c r="I76" s="11"/>
      <x:c r="J76" s="22"/>
      <x:c r="K76" s="11"/>
      <x:c r="L76" s="11"/>
      <x:c r="M76" s="22"/>
      <x:c r="N76" s="16"/>
      <x:c r="O76" s="16"/>
      <x:c r="P76" s="16"/>
      <x:c r="Q76" s="11"/>
      <x:c r="R76" s="11"/>
      <x:c r="S76" s="11"/>
      <x:c r="T76" s="11"/>
      <x:c r="U76" s="16"/>
      <x:c r="V76" s="16"/>
      <x:c r="W76" s="16"/>
      <x:c r="X76" s="16"/>
      <x:c r="Y76" s="16"/>
      <x:c r="Z76" s="23" t="str">
        <x:f>IF(C76="","",IFERROR(INDEX(Settings!$D$41:$D$44,MATCH(F76,Settings!$C$41:$C$44,0)),0))</x:f>
      </x:c>
      <x:c r="AA76" s="21" t="str">
        <x:f>IF(C76="","",G76*Z76)</x:f>
      </x:c>
      <x:c r="AB76" s="21" t="str">
        <x:f>IF(C76="","",H76*Z76)</x:f>
      </x:c>
      <x:c r="AC76" s="21" t="str">
        <x:f>IF(C76="","",AA76+AB76*I76)</x:f>
      </x:c>
      <x:c r="AD76" s="23" t="str">
        <x:f>IF(C76="","",IFERROR(IF(OR(INDEX(Borrowers!$Z$9:$Z$108,MATCH(D76,Borrowers!$C$9:$C$108,0))="Yes",M76&gt;=90),3,IF(AND(N76&lt;&gt;"Auto",AG76&lt;&gt;"",AH76&lt;&gt;""),VALUE(N76),IF(OR(M76&gt;=30,AM76="Yes",AND(INDEX(Borrowers!$P$9:$P$108,MATCH(D76,Borrowers!$C$9:$C$108,0))&gt;=L76*Settings!$F$19,INDEX(Borrowers!$P$9:$P$108,MATCH(D76,Borrowers!$C$9:$C$108,0))-L76&gt;=Settings!$F$20)),2,1))),"Missing borrower"))</x:f>
      </x:c>
      <x:c r="AE76" s="21" t="str">
        <x:f>IF(C76="","",MAX(0,AA76-X76)*IF(AD76=3,AJ76,S76)+AB76*AI76*S76)</x:f>
      </x:c>
      <x:c r="AF76" s="23" t="str">
        <x:f>IF(C76="","",IF(COUNTIF($C$9:$C$108,C76)&lt;&gt;1,"Duplicate facility",IF(COUNTIF(Borrowers!$C$9:$C$108,D76)&lt;&gt;1,"Missing borrower",IF(OR(COUNT(G76:M76)&lt;&gt;7,COUNT(O76:T76)&lt;&gt;6,COUNT(AI76:AL76)&lt;&gt;4,COUNT(AN76)&lt;&gt;1,COUNT(AP76)&lt;&gt;1,COUNT(X76)&lt;&gt;1,Y76="",N76="",AM76=""),"Missing inputs",IF(OR(Z76&lt;=0,G76&lt;0,H76&lt;0,J76&lt;1,J76&gt;30,J76&lt;&gt;INT(J76),MIN(I76,K76,L76,Q76,R76,AI76,AL76)&lt;0,MAX(I76,K76,L76,Q76,R76,AI76,AL76)&gt;1,X76&lt;0,X76&gt;AA76,AP76&lt;0,M76&lt;0,M76&lt;&gt;INT(M76),S76&lt;0,T76&lt;0,AJ76&lt;0,AK76&lt;0,AK76&gt;30,AK76&lt;&gt;INT(AK76),AN76&lt;0,AN76&gt;5,AN76&gt;J76,AN76&lt;&gt;INT(AN76),AND(AN76&gt;0,AQ76=""),NOT(OR(AM76="Yes",AM76="No")),AND(N76&lt;&gt;"Auto",OR(AG76="",AH76=""))),"Review inputs",IF(INDEX(Borrowers!$AA$9:$AA$108,MATCH(D76,Borrowers!$C$9:$C$108,0))&lt;&gt;"Ready","Borrower review","Ready"))))))</x:f>
      </x:c>
      <x:c r="AG76" s="16"/>
      <x:c r="AH76" s="16"/>
      <x:c r="AI76" s="11"/>
      <x:c r="AJ76" s="11"/>
      <x:c r="AK76" s="22"/>
      <x:c r="AL76" s="11"/>
      <x:c r="AM76" s="16"/>
      <x:c r="AN76" s="22"/>
      <x:c r="AO76" s="21" t="str">
        <x:f>IF(C76="","",AA76+AB76*AI76)</x:f>
      </x:c>
      <x:c r="AP76" s="16"/>
      <x:c r="AQ76" s="8"/>
    </x:row>
    <x:row r="77" ht="36" customHeight="1">
      <x:c r="A77" s="1"/>
      <x:c r="B77" s="1"/>
      <x:c r="C77" s="8"/>
      <x:c r="D77" s="8"/>
      <x:c r="E77" s="8"/>
      <x:c r="F77" s="8"/>
      <x:c r="G77" s="16"/>
      <x:c r="H77" s="16"/>
      <x:c r="I77" s="11"/>
      <x:c r="J77" s="22"/>
      <x:c r="K77" s="11"/>
      <x:c r="L77" s="11"/>
      <x:c r="M77" s="22"/>
      <x:c r="N77" s="16"/>
      <x:c r="O77" s="16"/>
      <x:c r="P77" s="16"/>
      <x:c r="Q77" s="11"/>
      <x:c r="R77" s="11"/>
      <x:c r="S77" s="11"/>
      <x:c r="T77" s="11"/>
      <x:c r="U77" s="16"/>
      <x:c r="V77" s="16"/>
      <x:c r="W77" s="16"/>
      <x:c r="X77" s="16"/>
      <x:c r="Y77" s="16"/>
      <x:c r="Z77" s="23" t="str">
        <x:f>IF(C77="","",IFERROR(INDEX(Settings!$D$41:$D$44,MATCH(F77,Settings!$C$41:$C$44,0)),0))</x:f>
      </x:c>
      <x:c r="AA77" s="21" t="str">
        <x:f>IF(C77="","",G77*Z77)</x:f>
      </x:c>
      <x:c r="AB77" s="21" t="str">
        <x:f>IF(C77="","",H77*Z77)</x:f>
      </x:c>
      <x:c r="AC77" s="21" t="str">
        <x:f>IF(C77="","",AA77+AB77*I77)</x:f>
      </x:c>
      <x:c r="AD77" s="23" t="str">
        <x:f>IF(C77="","",IFERROR(IF(OR(INDEX(Borrowers!$Z$9:$Z$108,MATCH(D77,Borrowers!$C$9:$C$108,0))="Yes",M77&gt;=90),3,IF(AND(N77&lt;&gt;"Auto",AG77&lt;&gt;"",AH77&lt;&gt;""),VALUE(N77),IF(OR(M77&gt;=30,AM77="Yes",AND(INDEX(Borrowers!$P$9:$P$108,MATCH(D77,Borrowers!$C$9:$C$108,0))&gt;=L77*Settings!$F$19,INDEX(Borrowers!$P$9:$P$108,MATCH(D77,Borrowers!$C$9:$C$108,0))-L77&gt;=Settings!$F$20)),2,1))),"Missing borrower"))</x:f>
      </x:c>
      <x:c r="AE77" s="21" t="str">
        <x:f>IF(C77="","",MAX(0,AA77-X77)*IF(AD77=3,AJ77,S77)+AB77*AI77*S77)</x:f>
      </x:c>
      <x:c r="AF77" s="23" t="str">
        <x:f>IF(C77="","",IF(COUNTIF($C$9:$C$108,C77)&lt;&gt;1,"Duplicate facility",IF(COUNTIF(Borrowers!$C$9:$C$108,D77)&lt;&gt;1,"Missing borrower",IF(OR(COUNT(G77:M77)&lt;&gt;7,COUNT(O77:T77)&lt;&gt;6,COUNT(AI77:AL77)&lt;&gt;4,COUNT(AN77)&lt;&gt;1,COUNT(AP77)&lt;&gt;1,COUNT(X77)&lt;&gt;1,Y77="",N77="",AM77=""),"Missing inputs",IF(OR(Z77&lt;=0,G77&lt;0,H77&lt;0,J77&lt;1,J77&gt;30,J77&lt;&gt;INT(J77),MIN(I77,K77,L77,Q77,R77,AI77,AL77)&lt;0,MAX(I77,K77,L77,Q77,R77,AI77,AL77)&gt;1,X77&lt;0,X77&gt;AA77,AP77&lt;0,M77&lt;0,M77&lt;&gt;INT(M77),S77&lt;0,T77&lt;0,AJ77&lt;0,AK77&lt;0,AK77&gt;30,AK77&lt;&gt;INT(AK77),AN77&lt;0,AN77&gt;5,AN77&gt;J77,AN77&lt;&gt;INT(AN77),AND(AN77&gt;0,AQ77=""),NOT(OR(AM77="Yes",AM77="No")),AND(N77&lt;&gt;"Auto",OR(AG77="",AH77=""))),"Review inputs",IF(INDEX(Borrowers!$AA$9:$AA$108,MATCH(D77,Borrowers!$C$9:$C$108,0))&lt;&gt;"Ready","Borrower review","Ready"))))))</x:f>
      </x:c>
      <x:c r="AG77" s="16"/>
      <x:c r="AH77" s="16"/>
      <x:c r="AI77" s="11"/>
      <x:c r="AJ77" s="11"/>
      <x:c r="AK77" s="22"/>
      <x:c r="AL77" s="11"/>
      <x:c r="AM77" s="16"/>
      <x:c r="AN77" s="22"/>
      <x:c r="AO77" s="21" t="str">
        <x:f>IF(C77="","",AA77+AB77*AI77)</x:f>
      </x:c>
      <x:c r="AP77" s="16"/>
      <x:c r="AQ77" s="8"/>
    </x:row>
    <x:row r="78" ht="36" customHeight="1">
      <x:c r="A78" s="1"/>
      <x:c r="B78" s="1"/>
      <x:c r="C78" s="8"/>
      <x:c r="D78" s="8"/>
      <x:c r="E78" s="8"/>
      <x:c r="F78" s="8"/>
      <x:c r="G78" s="16"/>
      <x:c r="H78" s="16"/>
      <x:c r="I78" s="11"/>
      <x:c r="J78" s="22"/>
      <x:c r="K78" s="11"/>
      <x:c r="L78" s="11"/>
      <x:c r="M78" s="22"/>
      <x:c r="N78" s="16"/>
      <x:c r="O78" s="16"/>
      <x:c r="P78" s="16"/>
      <x:c r="Q78" s="11"/>
      <x:c r="R78" s="11"/>
      <x:c r="S78" s="11"/>
      <x:c r="T78" s="11"/>
      <x:c r="U78" s="16"/>
      <x:c r="V78" s="16"/>
      <x:c r="W78" s="16"/>
      <x:c r="X78" s="16"/>
      <x:c r="Y78" s="16"/>
      <x:c r="Z78" s="23" t="str">
        <x:f>IF(C78="","",IFERROR(INDEX(Settings!$D$41:$D$44,MATCH(F78,Settings!$C$41:$C$44,0)),0))</x:f>
      </x:c>
      <x:c r="AA78" s="21" t="str">
        <x:f>IF(C78="","",G78*Z78)</x:f>
      </x:c>
      <x:c r="AB78" s="21" t="str">
        <x:f>IF(C78="","",H78*Z78)</x:f>
      </x:c>
      <x:c r="AC78" s="21" t="str">
        <x:f>IF(C78="","",AA78+AB78*I78)</x:f>
      </x:c>
      <x:c r="AD78" s="23" t="str">
        <x:f>IF(C78="","",IFERROR(IF(OR(INDEX(Borrowers!$Z$9:$Z$108,MATCH(D78,Borrowers!$C$9:$C$108,0))="Yes",M78&gt;=90),3,IF(AND(N78&lt;&gt;"Auto",AG78&lt;&gt;"",AH78&lt;&gt;""),VALUE(N78),IF(OR(M78&gt;=30,AM78="Yes",AND(INDEX(Borrowers!$P$9:$P$108,MATCH(D78,Borrowers!$C$9:$C$108,0))&gt;=L78*Settings!$F$19,INDEX(Borrowers!$P$9:$P$108,MATCH(D78,Borrowers!$C$9:$C$108,0))-L78&gt;=Settings!$F$20)),2,1))),"Missing borrower"))</x:f>
      </x:c>
      <x:c r="AE78" s="21" t="str">
        <x:f>IF(C78="","",MAX(0,AA78-X78)*IF(AD78=3,AJ78,S78)+AB78*AI78*S78)</x:f>
      </x:c>
      <x:c r="AF78" s="23" t="str">
        <x:f>IF(C78="","",IF(COUNTIF($C$9:$C$108,C78)&lt;&gt;1,"Duplicate facility",IF(COUNTIF(Borrowers!$C$9:$C$108,D78)&lt;&gt;1,"Missing borrower",IF(OR(COUNT(G78:M78)&lt;&gt;7,COUNT(O78:T78)&lt;&gt;6,COUNT(AI78:AL78)&lt;&gt;4,COUNT(AN78)&lt;&gt;1,COUNT(AP78)&lt;&gt;1,COUNT(X78)&lt;&gt;1,Y78="",N78="",AM78=""),"Missing inputs",IF(OR(Z78&lt;=0,G78&lt;0,H78&lt;0,J78&lt;1,J78&gt;30,J78&lt;&gt;INT(J78),MIN(I78,K78,L78,Q78,R78,AI78,AL78)&lt;0,MAX(I78,K78,L78,Q78,R78,AI78,AL78)&gt;1,X78&lt;0,X78&gt;AA78,AP78&lt;0,M78&lt;0,M78&lt;&gt;INT(M78),S78&lt;0,T78&lt;0,AJ78&lt;0,AK78&lt;0,AK78&gt;30,AK78&lt;&gt;INT(AK78),AN78&lt;0,AN78&gt;5,AN78&gt;J78,AN78&lt;&gt;INT(AN78),AND(AN78&gt;0,AQ78=""),NOT(OR(AM78="Yes",AM78="No")),AND(N78&lt;&gt;"Auto",OR(AG78="",AH78=""))),"Review inputs",IF(INDEX(Borrowers!$AA$9:$AA$108,MATCH(D78,Borrowers!$C$9:$C$108,0))&lt;&gt;"Ready","Borrower review","Ready"))))))</x:f>
      </x:c>
      <x:c r="AG78" s="16"/>
      <x:c r="AH78" s="16"/>
      <x:c r="AI78" s="11"/>
      <x:c r="AJ78" s="11"/>
      <x:c r="AK78" s="22"/>
      <x:c r="AL78" s="11"/>
      <x:c r="AM78" s="16"/>
      <x:c r="AN78" s="22"/>
      <x:c r="AO78" s="21" t="str">
        <x:f>IF(C78="","",AA78+AB78*AI78)</x:f>
      </x:c>
      <x:c r="AP78" s="16"/>
      <x:c r="AQ78" s="8"/>
    </x:row>
    <x:row r="79" ht="36" customHeight="1">
      <x:c r="A79" s="1"/>
      <x:c r="B79" s="1"/>
      <x:c r="C79" s="8"/>
      <x:c r="D79" s="8"/>
      <x:c r="E79" s="8"/>
      <x:c r="F79" s="8"/>
      <x:c r="G79" s="16"/>
      <x:c r="H79" s="16"/>
      <x:c r="I79" s="11"/>
      <x:c r="J79" s="22"/>
      <x:c r="K79" s="11"/>
      <x:c r="L79" s="11"/>
      <x:c r="M79" s="22"/>
      <x:c r="N79" s="16"/>
      <x:c r="O79" s="16"/>
      <x:c r="P79" s="16"/>
      <x:c r="Q79" s="11"/>
      <x:c r="R79" s="11"/>
      <x:c r="S79" s="11"/>
      <x:c r="T79" s="11"/>
      <x:c r="U79" s="16"/>
      <x:c r="V79" s="16"/>
      <x:c r="W79" s="16"/>
      <x:c r="X79" s="16"/>
      <x:c r="Y79" s="16"/>
      <x:c r="Z79" s="23" t="str">
        <x:f>IF(C79="","",IFERROR(INDEX(Settings!$D$41:$D$44,MATCH(F79,Settings!$C$41:$C$44,0)),0))</x:f>
      </x:c>
      <x:c r="AA79" s="21" t="str">
        <x:f>IF(C79="","",G79*Z79)</x:f>
      </x:c>
      <x:c r="AB79" s="21" t="str">
        <x:f>IF(C79="","",H79*Z79)</x:f>
      </x:c>
      <x:c r="AC79" s="21" t="str">
        <x:f>IF(C79="","",AA79+AB79*I79)</x:f>
      </x:c>
      <x:c r="AD79" s="23" t="str">
        <x:f>IF(C79="","",IFERROR(IF(OR(INDEX(Borrowers!$Z$9:$Z$108,MATCH(D79,Borrowers!$C$9:$C$108,0))="Yes",M79&gt;=90),3,IF(AND(N79&lt;&gt;"Auto",AG79&lt;&gt;"",AH79&lt;&gt;""),VALUE(N79),IF(OR(M79&gt;=30,AM79="Yes",AND(INDEX(Borrowers!$P$9:$P$108,MATCH(D79,Borrowers!$C$9:$C$108,0))&gt;=L79*Settings!$F$19,INDEX(Borrowers!$P$9:$P$108,MATCH(D79,Borrowers!$C$9:$C$108,0))-L79&gt;=Settings!$F$20)),2,1))),"Missing borrower"))</x:f>
      </x:c>
      <x:c r="AE79" s="21" t="str">
        <x:f>IF(C79="","",MAX(0,AA79-X79)*IF(AD79=3,AJ79,S79)+AB79*AI79*S79)</x:f>
      </x:c>
      <x:c r="AF79" s="23" t="str">
        <x:f>IF(C79="","",IF(COUNTIF($C$9:$C$108,C79)&lt;&gt;1,"Duplicate facility",IF(COUNTIF(Borrowers!$C$9:$C$108,D79)&lt;&gt;1,"Missing borrower",IF(OR(COUNT(G79:M79)&lt;&gt;7,COUNT(O79:T79)&lt;&gt;6,COUNT(AI79:AL79)&lt;&gt;4,COUNT(AN79)&lt;&gt;1,COUNT(AP79)&lt;&gt;1,COUNT(X79)&lt;&gt;1,Y79="",N79="",AM79=""),"Missing inputs",IF(OR(Z79&lt;=0,G79&lt;0,H79&lt;0,J79&lt;1,J79&gt;30,J79&lt;&gt;INT(J79),MIN(I79,K79,L79,Q79,R79,AI79,AL79)&lt;0,MAX(I79,K79,L79,Q79,R79,AI79,AL79)&gt;1,X79&lt;0,X79&gt;AA79,AP79&lt;0,M79&lt;0,M79&lt;&gt;INT(M79),S79&lt;0,T79&lt;0,AJ79&lt;0,AK79&lt;0,AK79&gt;30,AK79&lt;&gt;INT(AK79),AN79&lt;0,AN79&gt;5,AN79&gt;J79,AN79&lt;&gt;INT(AN79),AND(AN79&gt;0,AQ79=""),NOT(OR(AM79="Yes",AM79="No")),AND(N79&lt;&gt;"Auto",OR(AG79="",AH79=""))),"Review inputs",IF(INDEX(Borrowers!$AA$9:$AA$108,MATCH(D79,Borrowers!$C$9:$C$108,0))&lt;&gt;"Ready","Borrower review","Ready"))))))</x:f>
      </x:c>
      <x:c r="AG79" s="16"/>
      <x:c r="AH79" s="16"/>
      <x:c r="AI79" s="11"/>
      <x:c r="AJ79" s="11"/>
      <x:c r="AK79" s="22"/>
      <x:c r="AL79" s="11"/>
      <x:c r="AM79" s="16"/>
      <x:c r="AN79" s="22"/>
      <x:c r="AO79" s="21" t="str">
        <x:f>IF(C79="","",AA79+AB79*AI79)</x:f>
      </x:c>
      <x:c r="AP79" s="16"/>
      <x:c r="AQ79" s="8"/>
    </x:row>
    <x:row r="80" ht="36" customHeight="1">
      <x:c r="A80" s="1"/>
      <x:c r="B80" s="1"/>
      <x:c r="C80" s="8"/>
      <x:c r="D80" s="8"/>
      <x:c r="E80" s="8"/>
      <x:c r="F80" s="8"/>
      <x:c r="G80" s="16"/>
      <x:c r="H80" s="16"/>
      <x:c r="I80" s="11"/>
      <x:c r="J80" s="22"/>
      <x:c r="K80" s="11"/>
      <x:c r="L80" s="11"/>
      <x:c r="M80" s="22"/>
      <x:c r="N80" s="16"/>
      <x:c r="O80" s="16"/>
      <x:c r="P80" s="16"/>
      <x:c r="Q80" s="11"/>
      <x:c r="R80" s="11"/>
      <x:c r="S80" s="11"/>
      <x:c r="T80" s="11"/>
      <x:c r="U80" s="16"/>
      <x:c r="V80" s="16"/>
      <x:c r="W80" s="16"/>
      <x:c r="X80" s="16"/>
      <x:c r="Y80" s="16"/>
      <x:c r="Z80" s="23" t="str">
        <x:f>IF(C80="","",IFERROR(INDEX(Settings!$D$41:$D$44,MATCH(F80,Settings!$C$41:$C$44,0)),0))</x:f>
      </x:c>
      <x:c r="AA80" s="21" t="str">
        <x:f>IF(C80="","",G80*Z80)</x:f>
      </x:c>
      <x:c r="AB80" s="21" t="str">
        <x:f>IF(C80="","",H80*Z80)</x:f>
      </x:c>
      <x:c r="AC80" s="21" t="str">
        <x:f>IF(C80="","",AA80+AB80*I80)</x:f>
      </x:c>
      <x:c r="AD80" s="23" t="str">
        <x:f>IF(C80="","",IFERROR(IF(OR(INDEX(Borrowers!$Z$9:$Z$108,MATCH(D80,Borrowers!$C$9:$C$108,0))="Yes",M80&gt;=90),3,IF(AND(N80&lt;&gt;"Auto",AG80&lt;&gt;"",AH80&lt;&gt;""),VALUE(N80),IF(OR(M80&gt;=30,AM80="Yes",AND(INDEX(Borrowers!$P$9:$P$108,MATCH(D80,Borrowers!$C$9:$C$108,0))&gt;=L80*Settings!$F$19,INDEX(Borrowers!$P$9:$P$108,MATCH(D80,Borrowers!$C$9:$C$108,0))-L80&gt;=Settings!$F$20)),2,1))),"Missing borrower"))</x:f>
      </x:c>
      <x:c r="AE80" s="21" t="str">
        <x:f>IF(C80="","",MAX(0,AA80-X80)*IF(AD80=3,AJ80,S80)+AB80*AI80*S80)</x:f>
      </x:c>
      <x:c r="AF80" s="23" t="str">
        <x:f>IF(C80="","",IF(COUNTIF($C$9:$C$108,C80)&lt;&gt;1,"Duplicate facility",IF(COUNTIF(Borrowers!$C$9:$C$108,D80)&lt;&gt;1,"Missing borrower",IF(OR(COUNT(G80:M80)&lt;&gt;7,COUNT(O80:T80)&lt;&gt;6,COUNT(AI80:AL80)&lt;&gt;4,COUNT(AN80)&lt;&gt;1,COUNT(AP80)&lt;&gt;1,COUNT(X80)&lt;&gt;1,Y80="",N80="",AM80=""),"Missing inputs",IF(OR(Z80&lt;=0,G80&lt;0,H80&lt;0,J80&lt;1,J80&gt;30,J80&lt;&gt;INT(J80),MIN(I80,K80,L80,Q80,R80,AI80,AL80)&lt;0,MAX(I80,K80,L80,Q80,R80,AI80,AL80)&gt;1,X80&lt;0,X80&gt;AA80,AP80&lt;0,M80&lt;0,M80&lt;&gt;INT(M80),S80&lt;0,T80&lt;0,AJ80&lt;0,AK80&lt;0,AK80&gt;30,AK80&lt;&gt;INT(AK80),AN80&lt;0,AN80&gt;5,AN80&gt;J80,AN80&lt;&gt;INT(AN80),AND(AN80&gt;0,AQ80=""),NOT(OR(AM80="Yes",AM80="No")),AND(N80&lt;&gt;"Auto",OR(AG80="",AH80=""))),"Review inputs",IF(INDEX(Borrowers!$AA$9:$AA$108,MATCH(D80,Borrowers!$C$9:$C$108,0))&lt;&gt;"Ready","Borrower review","Ready"))))))</x:f>
      </x:c>
      <x:c r="AG80" s="16"/>
      <x:c r="AH80" s="16"/>
      <x:c r="AI80" s="11"/>
      <x:c r="AJ80" s="11"/>
      <x:c r="AK80" s="22"/>
      <x:c r="AL80" s="11"/>
      <x:c r="AM80" s="16"/>
      <x:c r="AN80" s="22"/>
      <x:c r="AO80" s="21" t="str">
        <x:f>IF(C80="","",AA80+AB80*AI80)</x:f>
      </x:c>
      <x:c r="AP80" s="16"/>
      <x:c r="AQ80" s="8"/>
    </x:row>
    <x:row r="81" ht="36" customHeight="1">
      <x:c r="A81" s="1"/>
      <x:c r="B81" s="1"/>
      <x:c r="C81" s="8"/>
      <x:c r="D81" s="8"/>
      <x:c r="E81" s="8"/>
      <x:c r="F81" s="8"/>
      <x:c r="G81" s="16"/>
      <x:c r="H81" s="16"/>
      <x:c r="I81" s="11"/>
      <x:c r="J81" s="22"/>
      <x:c r="K81" s="11"/>
      <x:c r="L81" s="11"/>
      <x:c r="M81" s="22"/>
      <x:c r="N81" s="16"/>
      <x:c r="O81" s="16"/>
      <x:c r="P81" s="16"/>
      <x:c r="Q81" s="11"/>
      <x:c r="R81" s="11"/>
      <x:c r="S81" s="11"/>
      <x:c r="T81" s="11"/>
      <x:c r="U81" s="16"/>
      <x:c r="V81" s="16"/>
      <x:c r="W81" s="16"/>
      <x:c r="X81" s="16"/>
      <x:c r="Y81" s="16"/>
      <x:c r="Z81" s="23" t="str">
        <x:f>IF(C81="","",IFERROR(INDEX(Settings!$D$41:$D$44,MATCH(F81,Settings!$C$41:$C$44,0)),0))</x:f>
      </x:c>
      <x:c r="AA81" s="21" t="str">
        <x:f>IF(C81="","",G81*Z81)</x:f>
      </x:c>
      <x:c r="AB81" s="21" t="str">
        <x:f>IF(C81="","",H81*Z81)</x:f>
      </x:c>
      <x:c r="AC81" s="21" t="str">
        <x:f>IF(C81="","",AA81+AB81*I81)</x:f>
      </x:c>
      <x:c r="AD81" s="23" t="str">
        <x:f>IF(C81="","",IFERROR(IF(OR(INDEX(Borrowers!$Z$9:$Z$108,MATCH(D81,Borrowers!$C$9:$C$108,0))="Yes",M81&gt;=90),3,IF(AND(N81&lt;&gt;"Auto",AG81&lt;&gt;"",AH81&lt;&gt;""),VALUE(N81),IF(OR(M81&gt;=30,AM81="Yes",AND(INDEX(Borrowers!$P$9:$P$108,MATCH(D81,Borrowers!$C$9:$C$108,0))&gt;=L81*Settings!$F$19,INDEX(Borrowers!$P$9:$P$108,MATCH(D81,Borrowers!$C$9:$C$108,0))-L81&gt;=Settings!$F$20)),2,1))),"Missing borrower"))</x:f>
      </x:c>
      <x:c r="AE81" s="21" t="str">
        <x:f>IF(C81="","",MAX(0,AA81-X81)*IF(AD81=3,AJ81,S81)+AB81*AI81*S81)</x:f>
      </x:c>
      <x:c r="AF81" s="23" t="str">
        <x:f>IF(C81="","",IF(COUNTIF($C$9:$C$108,C81)&lt;&gt;1,"Duplicate facility",IF(COUNTIF(Borrowers!$C$9:$C$108,D81)&lt;&gt;1,"Missing borrower",IF(OR(COUNT(G81:M81)&lt;&gt;7,COUNT(O81:T81)&lt;&gt;6,COUNT(AI81:AL81)&lt;&gt;4,COUNT(AN81)&lt;&gt;1,COUNT(AP81)&lt;&gt;1,COUNT(X81)&lt;&gt;1,Y81="",N81="",AM81=""),"Missing inputs",IF(OR(Z81&lt;=0,G81&lt;0,H81&lt;0,J81&lt;1,J81&gt;30,J81&lt;&gt;INT(J81),MIN(I81,K81,L81,Q81,R81,AI81,AL81)&lt;0,MAX(I81,K81,L81,Q81,R81,AI81,AL81)&gt;1,X81&lt;0,X81&gt;AA81,AP81&lt;0,M81&lt;0,M81&lt;&gt;INT(M81),S81&lt;0,T81&lt;0,AJ81&lt;0,AK81&lt;0,AK81&gt;30,AK81&lt;&gt;INT(AK81),AN81&lt;0,AN81&gt;5,AN81&gt;J81,AN81&lt;&gt;INT(AN81),AND(AN81&gt;0,AQ81=""),NOT(OR(AM81="Yes",AM81="No")),AND(N81&lt;&gt;"Auto",OR(AG81="",AH81=""))),"Review inputs",IF(INDEX(Borrowers!$AA$9:$AA$108,MATCH(D81,Borrowers!$C$9:$C$108,0))&lt;&gt;"Ready","Borrower review","Ready"))))))</x:f>
      </x:c>
      <x:c r="AG81" s="16"/>
      <x:c r="AH81" s="16"/>
      <x:c r="AI81" s="11"/>
      <x:c r="AJ81" s="11"/>
      <x:c r="AK81" s="22"/>
      <x:c r="AL81" s="11"/>
      <x:c r="AM81" s="16"/>
      <x:c r="AN81" s="22"/>
      <x:c r="AO81" s="21" t="str">
        <x:f>IF(C81="","",AA81+AB81*AI81)</x:f>
      </x:c>
      <x:c r="AP81" s="16"/>
      <x:c r="AQ81" s="8"/>
    </x:row>
    <x:row r="82" ht="36" customHeight="1">
      <x:c r="A82" s="1"/>
      <x:c r="B82" s="1"/>
      <x:c r="C82" s="8"/>
      <x:c r="D82" s="8"/>
      <x:c r="E82" s="8"/>
      <x:c r="F82" s="8"/>
      <x:c r="G82" s="16"/>
      <x:c r="H82" s="16"/>
      <x:c r="I82" s="11"/>
      <x:c r="J82" s="22"/>
      <x:c r="K82" s="11"/>
      <x:c r="L82" s="11"/>
      <x:c r="M82" s="22"/>
      <x:c r="N82" s="16"/>
      <x:c r="O82" s="16"/>
      <x:c r="P82" s="16"/>
      <x:c r="Q82" s="11"/>
      <x:c r="R82" s="11"/>
      <x:c r="S82" s="11"/>
      <x:c r="T82" s="11"/>
      <x:c r="U82" s="16"/>
      <x:c r="V82" s="16"/>
      <x:c r="W82" s="16"/>
      <x:c r="X82" s="16"/>
      <x:c r="Y82" s="16"/>
      <x:c r="Z82" s="23" t="str">
        <x:f>IF(C82="","",IFERROR(INDEX(Settings!$D$41:$D$44,MATCH(F82,Settings!$C$41:$C$44,0)),0))</x:f>
      </x:c>
      <x:c r="AA82" s="21" t="str">
        <x:f>IF(C82="","",G82*Z82)</x:f>
      </x:c>
      <x:c r="AB82" s="21" t="str">
        <x:f>IF(C82="","",H82*Z82)</x:f>
      </x:c>
      <x:c r="AC82" s="21" t="str">
        <x:f>IF(C82="","",AA82+AB82*I82)</x:f>
      </x:c>
      <x:c r="AD82" s="23" t="str">
        <x:f>IF(C82="","",IFERROR(IF(OR(INDEX(Borrowers!$Z$9:$Z$108,MATCH(D82,Borrowers!$C$9:$C$108,0))="Yes",M82&gt;=90),3,IF(AND(N82&lt;&gt;"Auto",AG82&lt;&gt;"",AH82&lt;&gt;""),VALUE(N82),IF(OR(M82&gt;=30,AM82="Yes",AND(INDEX(Borrowers!$P$9:$P$108,MATCH(D82,Borrowers!$C$9:$C$108,0))&gt;=L82*Settings!$F$19,INDEX(Borrowers!$P$9:$P$108,MATCH(D82,Borrowers!$C$9:$C$108,0))-L82&gt;=Settings!$F$20)),2,1))),"Missing borrower"))</x:f>
      </x:c>
      <x:c r="AE82" s="21" t="str">
        <x:f>IF(C82="","",MAX(0,AA82-X82)*IF(AD82=3,AJ82,S82)+AB82*AI82*S82)</x:f>
      </x:c>
      <x:c r="AF82" s="23" t="str">
        <x:f>IF(C82="","",IF(COUNTIF($C$9:$C$108,C82)&lt;&gt;1,"Duplicate facility",IF(COUNTIF(Borrowers!$C$9:$C$108,D82)&lt;&gt;1,"Missing borrower",IF(OR(COUNT(G82:M82)&lt;&gt;7,COUNT(O82:T82)&lt;&gt;6,COUNT(AI82:AL82)&lt;&gt;4,COUNT(AN82)&lt;&gt;1,COUNT(AP82)&lt;&gt;1,COUNT(X82)&lt;&gt;1,Y82="",N82="",AM82=""),"Missing inputs",IF(OR(Z82&lt;=0,G82&lt;0,H82&lt;0,J82&lt;1,J82&gt;30,J82&lt;&gt;INT(J82),MIN(I82,K82,L82,Q82,R82,AI82,AL82)&lt;0,MAX(I82,K82,L82,Q82,R82,AI82,AL82)&gt;1,X82&lt;0,X82&gt;AA82,AP82&lt;0,M82&lt;0,M82&lt;&gt;INT(M82),S82&lt;0,T82&lt;0,AJ82&lt;0,AK82&lt;0,AK82&gt;30,AK82&lt;&gt;INT(AK82),AN82&lt;0,AN82&gt;5,AN82&gt;J82,AN82&lt;&gt;INT(AN82),AND(AN82&gt;0,AQ82=""),NOT(OR(AM82="Yes",AM82="No")),AND(N82&lt;&gt;"Auto",OR(AG82="",AH82=""))),"Review inputs",IF(INDEX(Borrowers!$AA$9:$AA$108,MATCH(D82,Borrowers!$C$9:$C$108,0))&lt;&gt;"Ready","Borrower review","Ready"))))))</x:f>
      </x:c>
      <x:c r="AG82" s="16"/>
      <x:c r="AH82" s="16"/>
      <x:c r="AI82" s="11"/>
      <x:c r="AJ82" s="11"/>
      <x:c r="AK82" s="22"/>
      <x:c r="AL82" s="11"/>
      <x:c r="AM82" s="16"/>
      <x:c r="AN82" s="22"/>
      <x:c r="AO82" s="21" t="str">
        <x:f>IF(C82="","",AA82+AB82*AI82)</x:f>
      </x:c>
      <x:c r="AP82" s="16"/>
      <x:c r="AQ82" s="8"/>
    </x:row>
    <x:row r="83" ht="36" customHeight="1">
      <x:c r="A83" s="1"/>
      <x:c r="B83" s="1"/>
      <x:c r="C83" s="8"/>
      <x:c r="D83" s="8"/>
      <x:c r="E83" s="8"/>
      <x:c r="F83" s="8"/>
      <x:c r="G83" s="16"/>
      <x:c r="H83" s="16"/>
      <x:c r="I83" s="11"/>
      <x:c r="J83" s="22"/>
      <x:c r="K83" s="11"/>
      <x:c r="L83" s="11"/>
      <x:c r="M83" s="22"/>
      <x:c r="N83" s="16"/>
      <x:c r="O83" s="16"/>
      <x:c r="P83" s="16"/>
      <x:c r="Q83" s="11"/>
      <x:c r="R83" s="11"/>
      <x:c r="S83" s="11"/>
      <x:c r="T83" s="11"/>
      <x:c r="U83" s="16"/>
      <x:c r="V83" s="16"/>
      <x:c r="W83" s="16"/>
      <x:c r="X83" s="16"/>
      <x:c r="Y83" s="16"/>
      <x:c r="Z83" s="23" t="str">
        <x:f>IF(C83="","",IFERROR(INDEX(Settings!$D$41:$D$44,MATCH(F83,Settings!$C$41:$C$44,0)),0))</x:f>
      </x:c>
      <x:c r="AA83" s="21" t="str">
        <x:f>IF(C83="","",G83*Z83)</x:f>
      </x:c>
      <x:c r="AB83" s="21" t="str">
        <x:f>IF(C83="","",H83*Z83)</x:f>
      </x:c>
      <x:c r="AC83" s="21" t="str">
        <x:f>IF(C83="","",AA83+AB83*I83)</x:f>
      </x:c>
      <x:c r="AD83" s="23" t="str">
        <x:f>IF(C83="","",IFERROR(IF(OR(INDEX(Borrowers!$Z$9:$Z$108,MATCH(D83,Borrowers!$C$9:$C$108,0))="Yes",M83&gt;=90),3,IF(AND(N83&lt;&gt;"Auto",AG83&lt;&gt;"",AH83&lt;&gt;""),VALUE(N83),IF(OR(M83&gt;=30,AM83="Yes",AND(INDEX(Borrowers!$P$9:$P$108,MATCH(D83,Borrowers!$C$9:$C$108,0))&gt;=L83*Settings!$F$19,INDEX(Borrowers!$P$9:$P$108,MATCH(D83,Borrowers!$C$9:$C$108,0))-L83&gt;=Settings!$F$20)),2,1))),"Missing borrower"))</x:f>
      </x:c>
      <x:c r="AE83" s="21" t="str">
        <x:f>IF(C83="","",MAX(0,AA83-X83)*IF(AD83=3,AJ83,S83)+AB83*AI83*S83)</x:f>
      </x:c>
      <x:c r="AF83" s="23" t="str">
        <x:f>IF(C83="","",IF(COUNTIF($C$9:$C$108,C83)&lt;&gt;1,"Duplicate facility",IF(COUNTIF(Borrowers!$C$9:$C$108,D83)&lt;&gt;1,"Missing borrower",IF(OR(COUNT(G83:M83)&lt;&gt;7,COUNT(O83:T83)&lt;&gt;6,COUNT(AI83:AL83)&lt;&gt;4,COUNT(AN83)&lt;&gt;1,COUNT(AP83)&lt;&gt;1,COUNT(X83)&lt;&gt;1,Y83="",N83="",AM83=""),"Missing inputs",IF(OR(Z83&lt;=0,G83&lt;0,H83&lt;0,J83&lt;1,J83&gt;30,J83&lt;&gt;INT(J83),MIN(I83,K83,L83,Q83,R83,AI83,AL83)&lt;0,MAX(I83,K83,L83,Q83,R83,AI83,AL83)&gt;1,X83&lt;0,X83&gt;AA83,AP83&lt;0,M83&lt;0,M83&lt;&gt;INT(M83),S83&lt;0,T83&lt;0,AJ83&lt;0,AK83&lt;0,AK83&gt;30,AK83&lt;&gt;INT(AK83),AN83&lt;0,AN83&gt;5,AN83&gt;J83,AN83&lt;&gt;INT(AN83),AND(AN83&gt;0,AQ83=""),NOT(OR(AM83="Yes",AM83="No")),AND(N83&lt;&gt;"Auto",OR(AG83="",AH83=""))),"Review inputs",IF(INDEX(Borrowers!$AA$9:$AA$108,MATCH(D83,Borrowers!$C$9:$C$108,0))&lt;&gt;"Ready","Borrower review","Ready"))))))</x:f>
      </x:c>
      <x:c r="AG83" s="16"/>
      <x:c r="AH83" s="16"/>
      <x:c r="AI83" s="11"/>
      <x:c r="AJ83" s="11"/>
      <x:c r="AK83" s="22"/>
      <x:c r="AL83" s="11"/>
      <x:c r="AM83" s="16"/>
      <x:c r="AN83" s="22"/>
      <x:c r="AO83" s="21" t="str">
        <x:f>IF(C83="","",AA83+AB83*AI83)</x:f>
      </x:c>
      <x:c r="AP83" s="16"/>
      <x:c r="AQ83" s="8"/>
    </x:row>
    <x:row r="84" ht="36" customHeight="1">
      <x:c r="A84" s="1"/>
      <x:c r="B84" s="1"/>
      <x:c r="C84" s="8"/>
      <x:c r="D84" s="8"/>
      <x:c r="E84" s="8"/>
      <x:c r="F84" s="8"/>
      <x:c r="G84" s="16"/>
      <x:c r="H84" s="16"/>
      <x:c r="I84" s="11"/>
      <x:c r="J84" s="22"/>
      <x:c r="K84" s="11"/>
      <x:c r="L84" s="11"/>
      <x:c r="M84" s="22"/>
      <x:c r="N84" s="16"/>
      <x:c r="O84" s="16"/>
      <x:c r="P84" s="16"/>
      <x:c r="Q84" s="11"/>
      <x:c r="R84" s="11"/>
      <x:c r="S84" s="11"/>
      <x:c r="T84" s="11"/>
      <x:c r="U84" s="16"/>
      <x:c r="V84" s="16"/>
      <x:c r="W84" s="16"/>
      <x:c r="X84" s="16"/>
      <x:c r="Y84" s="16"/>
      <x:c r="Z84" s="23" t="str">
        <x:f>IF(C84="","",IFERROR(INDEX(Settings!$D$41:$D$44,MATCH(F84,Settings!$C$41:$C$44,0)),0))</x:f>
      </x:c>
      <x:c r="AA84" s="21" t="str">
        <x:f>IF(C84="","",G84*Z84)</x:f>
      </x:c>
      <x:c r="AB84" s="21" t="str">
        <x:f>IF(C84="","",H84*Z84)</x:f>
      </x:c>
      <x:c r="AC84" s="21" t="str">
        <x:f>IF(C84="","",AA84+AB84*I84)</x:f>
      </x:c>
      <x:c r="AD84" s="23" t="str">
        <x:f>IF(C84="","",IFERROR(IF(OR(INDEX(Borrowers!$Z$9:$Z$108,MATCH(D84,Borrowers!$C$9:$C$108,0))="Yes",M84&gt;=90),3,IF(AND(N84&lt;&gt;"Auto",AG84&lt;&gt;"",AH84&lt;&gt;""),VALUE(N84),IF(OR(M84&gt;=30,AM84="Yes",AND(INDEX(Borrowers!$P$9:$P$108,MATCH(D84,Borrowers!$C$9:$C$108,0))&gt;=L84*Settings!$F$19,INDEX(Borrowers!$P$9:$P$108,MATCH(D84,Borrowers!$C$9:$C$108,0))-L84&gt;=Settings!$F$20)),2,1))),"Missing borrower"))</x:f>
      </x:c>
      <x:c r="AE84" s="21" t="str">
        <x:f>IF(C84="","",MAX(0,AA84-X84)*IF(AD84=3,AJ84,S84)+AB84*AI84*S84)</x:f>
      </x:c>
      <x:c r="AF84" s="23" t="str">
        <x:f>IF(C84="","",IF(COUNTIF($C$9:$C$108,C84)&lt;&gt;1,"Duplicate facility",IF(COUNTIF(Borrowers!$C$9:$C$108,D84)&lt;&gt;1,"Missing borrower",IF(OR(COUNT(G84:M84)&lt;&gt;7,COUNT(O84:T84)&lt;&gt;6,COUNT(AI84:AL84)&lt;&gt;4,COUNT(AN84)&lt;&gt;1,COUNT(AP84)&lt;&gt;1,COUNT(X84)&lt;&gt;1,Y84="",N84="",AM84=""),"Missing inputs",IF(OR(Z84&lt;=0,G84&lt;0,H84&lt;0,J84&lt;1,J84&gt;30,J84&lt;&gt;INT(J84),MIN(I84,K84,L84,Q84,R84,AI84,AL84)&lt;0,MAX(I84,K84,L84,Q84,R84,AI84,AL84)&gt;1,X84&lt;0,X84&gt;AA84,AP84&lt;0,M84&lt;0,M84&lt;&gt;INT(M84),S84&lt;0,T84&lt;0,AJ84&lt;0,AK84&lt;0,AK84&gt;30,AK84&lt;&gt;INT(AK84),AN84&lt;0,AN84&gt;5,AN84&gt;J84,AN84&lt;&gt;INT(AN84),AND(AN84&gt;0,AQ84=""),NOT(OR(AM84="Yes",AM84="No")),AND(N84&lt;&gt;"Auto",OR(AG84="",AH84=""))),"Review inputs",IF(INDEX(Borrowers!$AA$9:$AA$108,MATCH(D84,Borrowers!$C$9:$C$108,0))&lt;&gt;"Ready","Borrower review","Ready"))))))</x:f>
      </x:c>
      <x:c r="AG84" s="16"/>
      <x:c r="AH84" s="16"/>
      <x:c r="AI84" s="11"/>
      <x:c r="AJ84" s="11"/>
      <x:c r="AK84" s="22"/>
      <x:c r="AL84" s="11"/>
      <x:c r="AM84" s="16"/>
      <x:c r="AN84" s="22"/>
      <x:c r="AO84" s="21" t="str">
        <x:f>IF(C84="","",AA84+AB84*AI84)</x:f>
      </x:c>
      <x:c r="AP84" s="16"/>
      <x:c r="AQ84" s="8"/>
    </x:row>
    <x:row r="85" ht="36" customHeight="1">
      <x:c r="A85" s="1"/>
      <x:c r="B85" s="1"/>
      <x:c r="C85" s="8"/>
      <x:c r="D85" s="8"/>
      <x:c r="E85" s="8"/>
      <x:c r="F85" s="8"/>
      <x:c r="G85" s="16"/>
      <x:c r="H85" s="16"/>
      <x:c r="I85" s="11"/>
      <x:c r="J85" s="22"/>
      <x:c r="K85" s="11"/>
      <x:c r="L85" s="11"/>
      <x:c r="M85" s="22"/>
      <x:c r="N85" s="16"/>
      <x:c r="O85" s="16"/>
      <x:c r="P85" s="16"/>
      <x:c r="Q85" s="11"/>
      <x:c r="R85" s="11"/>
      <x:c r="S85" s="11"/>
      <x:c r="T85" s="11"/>
      <x:c r="U85" s="16"/>
      <x:c r="V85" s="16"/>
      <x:c r="W85" s="16"/>
      <x:c r="X85" s="16"/>
      <x:c r="Y85" s="16"/>
      <x:c r="Z85" s="23" t="str">
        <x:f>IF(C85="","",IFERROR(INDEX(Settings!$D$41:$D$44,MATCH(F85,Settings!$C$41:$C$44,0)),0))</x:f>
      </x:c>
      <x:c r="AA85" s="21" t="str">
        <x:f>IF(C85="","",G85*Z85)</x:f>
      </x:c>
      <x:c r="AB85" s="21" t="str">
        <x:f>IF(C85="","",H85*Z85)</x:f>
      </x:c>
      <x:c r="AC85" s="21" t="str">
        <x:f>IF(C85="","",AA85+AB85*I85)</x:f>
      </x:c>
      <x:c r="AD85" s="23" t="str">
        <x:f>IF(C85="","",IFERROR(IF(OR(INDEX(Borrowers!$Z$9:$Z$108,MATCH(D85,Borrowers!$C$9:$C$108,0))="Yes",M85&gt;=90),3,IF(AND(N85&lt;&gt;"Auto",AG85&lt;&gt;"",AH85&lt;&gt;""),VALUE(N85),IF(OR(M85&gt;=30,AM85="Yes",AND(INDEX(Borrowers!$P$9:$P$108,MATCH(D85,Borrowers!$C$9:$C$108,0))&gt;=L85*Settings!$F$19,INDEX(Borrowers!$P$9:$P$108,MATCH(D85,Borrowers!$C$9:$C$108,0))-L85&gt;=Settings!$F$20)),2,1))),"Missing borrower"))</x:f>
      </x:c>
      <x:c r="AE85" s="21" t="str">
        <x:f>IF(C85="","",MAX(0,AA85-X85)*IF(AD85=3,AJ85,S85)+AB85*AI85*S85)</x:f>
      </x:c>
      <x:c r="AF85" s="23" t="str">
        <x:f>IF(C85="","",IF(COUNTIF($C$9:$C$108,C85)&lt;&gt;1,"Duplicate facility",IF(COUNTIF(Borrowers!$C$9:$C$108,D85)&lt;&gt;1,"Missing borrower",IF(OR(COUNT(G85:M85)&lt;&gt;7,COUNT(O85:T85)&lt;&gt;6,COUNT(AI85:AL85)&lt;&gt;4,COUNT(AN85)&lt;&gt;1,COUNT(AP85)&lt;&gt;1,COUNT(X85)&lt;&gt;1,Y85="",N85="",AM85=""),"Missing inputs",IF(OR(Z85&lt;=0,G85&lt;0,H85&lt;0,J85&lt;1,J85&gt;30,J85&lt;&gt;INT(J85),MIN(I85,K85,L85,Q85,R85,AI85,AL85)&lt;0,MAX(I85,K85,L85,Q85,R85,AI85,AL85)&gt;1,X85&lt;0,X85&gt;AA85,AP85&lt;0,M85&lt;0,M85&lt;&gt;INT(M85),S85&lt;0,T85&lt;0,AJ85&lt;0,AK85&lt;0,AK85&gt;30,AK85&lt;&gt;INT(AK85),AN85&lt;0,AN85&gt;5,AN85&gt;J85,AN85&lt;&gt;INT(AN85),AND(AN85&gt;0,AQ85=""),NOT(OR(AM85="Yes",AM85="No")),AND(N85&lt;&gt;"Auto",OR(AG85="",AH85=""))),"Review inputs",IF(INDEX(Borrowers!$AA$9:$AA$108,MATCH(D85,Borrowers!$C$9:$C$108,0))&lt;&gt;"Ready","Borrower review","Ready"))))))</x:f>
      </x:c>
      <x:c r="AG85" s="16"/>
      <x:c r="AH85" s="16"/>
      <x:c r="AI85" s="11"/>
      <x:c r="AJ85" s="11"/>
      <x:c r="AK85" s="22"/>
      <x:c r="AL85" s="11"/>
      <x:c r="AM85" s="16"/>
      <x:c r="AN85" s="22"/>
      <x:c r="AO85" s="21" t="str">
        <x:f>IF(C85="","",AA85+AB85*AI85)</x:f>
      </x:c>
      <x:c r="AP85" s="16"/>
      <x:c r="AQ85" s="8"/>
    </x:row>
    <x:row r="86" ht="36" customHeight="1">
      <x:c r="A86" s="1"/>
      <x:c r="B86" s="1"/>
      <x:c r="C86" s="8"/>
      <x:c r="D86" s="8"/>
      <x:c r="E86" s="8"/>
      <x:c r="F86" s="8"/>
      <x:c r="G86" s="16"/>
      <x:c r="H86" s="16"/>
      <x:c r="I86" s="11"/>
      <x:c r="J86" s="22"/>
      <x:c r="K86" s="11"/>
      <x:c r="L86" s="11"/>
      <x:c r="M86" s="22"/>
      <x:c r="N86" s="16"/>
      <x:c r="O86" s="16"/>
      <x:c r="P86" s="16"/>
      <x:c r="Q86" s="11"/>
      <x:c r="R86" s="11"/>
      <x:c r="S86" s="11"/>
      <x:c r="T86" s="11"/>
      <x:c r="U86" s="16"/>
      <x:c r="V86" s="16"/>
      <x:c r="W86" s="16"/>
      <x:c r="X86" s="16"/>
      <x:c r="Y86" s="16"/>
      <x:c r="Z86" s="23" t="str">
        <x:f>IF(C86="","",IFERROR(INDEX(Settings!$D$41:$D$44,MATCH(F86,Settings!$C$41:$C$44,0)),0))</x:f>
      </x:c>
      <x:c r="AA86" s="21" t="str">
        <x:f>IF(C86="","",G86*Z86)</x:f>
      </x:c>
      <x:c r="AB86" s="21" t="str">
        <x:f>IF(C86="","",H86*Z86)</x:f>
      </x:c>
      <x:c r="AC86" s="21" t="str">
        <x:f>IF(C86="","",AA86+AB86*I86)</x:f>
      </x:c>
      <x:c r="AD86" s="23" t="str">
        <x:f>IF(C86="","",IFERROR(IF(OR(INDEX(Borrowers!$Z$9:$Z$108,MATCH(D86,Borrowers!$C$9:$C$108,0))="Yes",M86&gt;=90),3,IF(AND(N86&lt;&gt;"Auto",AG86&lt;&gt;"",AH86&lt;&gt;""),VALUE(N86),IF(OR(M86&gt;=30,AM86="Yes",AND(INDEX(Borrowers!$P$9:$P$108,MATCH(D86,Borrowers!$C$9:$C$108,0))&gt;=L86*Settings!$F$19,INDEX(Borrowers!$P$9:$P$108,MATCH(D86,Borrowers!$C$9:$C$108,0))-L86&gt;=Settings!$F$20)),2,1))),"Missing borrower"))</x:f>
      </x:c>
      <x:c r="AE86" s="21" t="str">
        <x:f>IF(C86="","",MAX(0,AA86-X86)*IF(AD86=3,AJ86,S86)+AB86*AI86*S86)</x:f>
      </x:c>
      <x:c r="AF86" s="23" t="str">
        <x:f>IF(C86="","",IF(COUNTIF($C$9:$C$108,C86)&lt;&gt;1,"Duplicate facility",IF(COUNTIF(Borrowers!$C$9:$C$108,D86)&lt;&gt;1,"Missing borrower",IF(OR(COUNT(G86:M86)&lt;&gt;7,COUNT(O86:T86)&lt;&gt;6,COUNT(AI86:AL86)&lt;&gt;4,COUNT(AN86)&lt;&gt;1,COUNT(AP86)&lt;&gt;1,COUNT(X86)&lt;&gt;1,Y86="",N86="",AM86=""),"Missing inputs",IF(OR(Z86&lt;=0,G86&lt;0,H86&lt;0,J86&lt;1,J86&gt;30,J86&lt;&gt;INT(J86),MIN(I86,K86,L86,Q86,R86,AI86,AL86)&lt;0,MAX(I86,K86,L86,Q86,R86,AI86,AL86)&gt;1,X86&lt;0,X86&gt;AA86,AP86&lt;0,M86&lt;0,M86&lt;&gt;INT(M86),S86&lt;0,T86&lt;0,AJ86&lt;0,AK86&lt;0,AK86&gt;30,AK86&lt;&gt;INT(AK86),AN86&lt;0,AN86&gt;5,AN86&gt;J86,AN86&lt;&gt;INT(AN86),AND(AN86&gt;0,AQ86=""),NOT(OR(AM86="Yes",AM86="No")),AND(N86&lt;&gt;"Auto",OR(AG86="",AH86=""))),"Review inputs",IF(INDEX(Borrowers!$AA$9:$AA$108,MATCH(D86,Borrowers!$C$9:$C$108,0))&lt;&gt;"Ready","Borrower review","Ready"))))))</x:f>
      </x:c>
      <x:c r="AG86" s="16"/>
      <x:c r="AH86" s="16"/>
      <x:c r="AI86" s="11"/>
      <x:c r="AJ86" s="11"/>
      <x:c r="AK86" s="22"/>
      <x:c r="AL86" s="11"/>
      <x:c r="AM86" s="16"/>
      <x:c r="AN86" s="22"/>
      <x:c r="AO86" s="21" t="str">
        <x:f>IF(C86="","",AA86+AB86*AI86)</x:f>
      </x:c>
      <x:c r="AP86" s="16"/>
      <x:c r="AQ86" s="8"/>
    </x:row>
    <x:row r="87" ht="36" customHeight="1">
      <x:c r="A87" s="1"/>
      <x:c r="B87" s="1"/>
      <x:c r="C87" s="8"/>
      <x:c r="D87" s="8"/>
      <x:c r="E87" s="8"/>
      <x:c r="F87" s="8"/>
      <x:c r="G87" s="16"/>
      <x:c r="H87" s="16"/>
      <x:c r="I87" s="11"/>
      <x:c r="J87" s="22"/>
      <x:c r="K87" s="11"/>
      <x:c r="L87" s="11"/>
      <x:c r="M87" s="22"/>
      <x:c r="N87" s="16"/>
      <x:c r="O87" s="16"/>
      <x:c r="P87" s="16"/>
      <x:c r="Q87" s="11"/>
      <x:c r="R87" s="11"/>
      <x:c r="S87" s="11"/>
      <x:c r="T87" s="11"/>
      <x:c r="U87" s="16"/>
      <x:c r="V87" s="16"/>
      <x:c r="W87" s="16"/>
      <x:c r="X87" s="16"/>
      <x:c r="Y87" s="16"/>
      <x:c r="Z87" s="23" t="str">
        <x:f>IF(C87="","",IFERROR(INDEX(Settings!$D$41:$D$44,MATCH(F87,Settings!$C$41:$C$44,0)),0))</x:f>
      </x:c>
      <x:c r="AA87" s="21" t="str">
        <x:f>IF(C87="","",G87*Z87)</x:f>
      </x:c>
      <x:c r="AB87" s="21" t="str">
        <x:f>IF(C87="","",H87*Z87)</x:f>
      </x:c>
      <x:c r="AC87" s="21" t="str">
        <x:f>IF(C87="","",AA87+AB87*I87)</x:f>
      </x:c>
      <x:c r="AD87" s="23" t="str">
        <x:f>IF(C87="","",IFERROR(IF(OR(INDEX(Borrowers!$Z$9:$Z$108,MATCH(D87,Borrowers!$C$9:$C$108,0))="Yes",M87&gt;=90),3,IF(AND(N87&lt;&gt;"Auto",AG87&lt;&gt;"",AH87&lt;&gt;""),VALUE(N87),IF(OR(M87&gt;=30,AM87="Yes",AND(INDEX(Borrowers!$P$9:$P$108,MATCH(D87,Borrowers!$C$9:$C$108,0))&gt;=L87*Settings!$F$19,INDEX(Borrowers!$P$9:$P$108,MATCH(D87,Borrowers!$C$9:$C$108,0))-L87&gt;=Settings!$F$20)),2,1))),"Missing borrower"))</x:f>
      </x:c>
      <x:c r="AE87" s="21" t="str">
        <x:f>IF(C87="","",MAX(0,AA87-X87)*IF(AD87=3,AJ87,S87)+AB87*AI87*S87)</x:f>
      </x:c>
      <x:c r="AF87" s="23" t="str">
        <x:f>IF(C87="","",IF(COUNTIF($C$9:$C$108,C87)&lt;&gt;1,"Duplicate facility",IF(COUNTIF(Borrowers!$C$9:$C$108,D87)&lt;&gt;1,"Missing borrower",IF(OR(COUNT(G87:M87)&lt;&gt;7,COUNT(O87:T87)&lt;&gt;6,COUNT(AI87:AL87)&lt;&gt;4,COUNT(AN87)&lt;&gt;1,COUNT(AP87)&lt;&gt;1,COUNT(X87)&lt;&gt;1,Y87="",N87="",AM87=""),"Missing inputs",IF(OR(Z87&lt;=0,G87&lt;0,H87&lt;0,J87&lt;1,J87&gt;30,J87&lt;&gt;INT(J87),MIN(I87,K87,L87,Q87,R87,AI87,AL87)&lt;0,MAX(I87,K87,L87,Q87,R87,AI87,AL87)&gt;1,X87&lt;0,X87&gt;AA87,AP87&lt;0,M87&lt;0,M87&lt;&gt;INT(M87),S87&lt;0,T87&lt;0,AJ87&lt;0,AK87&lt;0,AK87&gt;30,AK87&lt;&gt;INT(AK87),AN87&lt;0,AN87&gt;5,AN87&gt;J87,AN87&lt;&gt;INT(AN87),AND(AN87&gt;0,AQ87=""),NOT(OR(AM87="Yes",AM87="No")),AND(N87&lt;&gt;"Auto",OR(AG87="",AH87=""))),"Review inputs",IF(INDEX(Borrowers!$AA$9:$AA$108,MATCH(D87,Borrowers!$C$9:$C$108,0))&lt;&gt;"Ready","Borrower review","Ready"))))))</x:f>
      </x:c>
      <x:c r="AG87" s="16"/>
      <x:c r="AH87" s="16"/>
      <x:c r="AI87" s="11"/>
      <x:c r="AJ87" s="11"/>
      <x:c r="AK87" s="22"/>
      <x:c r="AL87" s="11"/>
      <x:c r="AM87" s="16"/>
      <x:c r="AN87" s="22"/>
      <x:c r="AO87" s="21" t="str">
        <x:f>IF(C87="","",AA87+AB87*AI87)</x:f>
      </x:c>
      <x:c r="AP87" s="16"/>
      <x:c r="AQ87" s="8"/>
    </x:row>
    <x:row r="88" ht="36" customHeight="1">
      <x:c r="A88" s="1"/>
      <x:c r="B88" s="1"/>
      <x:c r="C88" s="8"/>
      <x:c r="D88" s="8"/>
      <x:c r="E88" s="8"/>
      <x:c r="F88" s="8"/>
      <x:c r="G88" s="16"/>
      <x:c r="H88" s="16"/>
      <x:c r="I88" s="11"/>
      <x:c r="J88" s="22"/>
      <x:c r="K88" s="11"/>
      <x:c r="L88" s="11"/>
      <x:c r="M88" s="22"/>
      <x:c r="N88" s="16"/>
      <x:c r="O88" s="16"/>
      <x:c r="P88" s="16"/>
      <x:c r="Q88" s="11"/>
      <x:c r="R88" s="11"/>
      <x:c r="S88" s="11"/>
      <x:c r="T88" s="11"/>
      <x:c r="U88" s="16"/>
      <x:c r="V88" s="16"/>
      <x:c r="W88" s="16"/>
      <x:c r="X88" s="16"/>
      <x:c r="Y88" s="16"/>
      <x:c r="Z88" s="23" t="str">
        <x:f>IF(C88="","",IFERROR(INDEX(Settings!$D$41:$D$44,MATCH(F88,Settings!$C$41:$C$44,0)),0))</x:f>
      </x:c>
      <x:c r="AA88" s="21" t="str">
        <x:f>IF(C88="","",G88*Z88)</x:f>
      </x:c>
      <x:c r="AB88" s="21" t="str">
        <x:f>IF(C88="","",H88*Z88)</x:f>
      </x:c>
      <x:c r="AC88" s="21" t="str">
        <x:f>IF(C88="","",AA88+AB88*I88)</x:f>
      </x:c>
      <x:c r="AD88" s="23" t="str">
        <x:f>IF(C88="","",IFERROR(IF(OR(INDEX(Borrowers!$Z$9:$Z$108,MATCH(D88,Borrowers!$C$9:$C$108,0))="Yes",M88&gt;=90),3,IF(AND(N88&lt;&gt;"Auto",AG88&lt;&gt;"",AH88&lt;&gt;""),VALUE(N88),IF(OR(M88&gt;=30,AM88="Yes",AND(INDEX(Borrowers!$P$9:$P$108,MATCH(D88,Borrowers!$C$9:$C$108,0))&gt;=L88*Settings!$F$19,INDEX(Borrowers!$P$9:$P$108,MATCH(D88,Borrowers!$C$9:$C$108,0))-L88&gt;=Settings!$F$20)),2,1))),"Missing borrower"))</x:f>
      </x:c>
      <x:c r="AE88" s="21" t="str">
        <x:f>IF(C88="","",MAX(0,AA88-X88)*IF(AD88=3,AJ88,S88)+AB88*AI88*S88)</x:f>
      </x:c>
      <x:c r="AF88" s="23" t="str">
        <x:f>IF(C88="","",IF(COUNTIF($C$9:$C$108,C88)&lt;&gt;1,"Duplicate facility",IF(COUNTIF(Borrowers!$C$9:$C$108,D88)&lt;&gt;1,"Missing borrower",IF(OR(COUNT(G88:M88)&lt;&gt;7,COUNT(O88:T88)&lt;&gt;6,COUNT(AI88:AL88)&lt;&gt;4,COUNT(AN88)&lt;&gt;1,COUNT(AP88)&lt;&gt;1,COUNT(X88)&lt;&gt;1,Y88="",N88="",AM88=""),"Missing inputs",IF(OR(Z88&lt;=0,G88&lt;0,H88&lt;0,J88&lt;1,J88&gt;30,J88&lt;&gt;INT(J88),MIN(I88,K88,L88,Q88,R88,AI88,AL88)&lt;0,MAX(I88,K88,L88,Q88,R88,AI88,AL88)&gt;1,X88&lt;0,X88&gt;AA88,AP88&lt;0,M88&lt;0,M88&lt;&gt;INT(M88),S88&lt;0,T88&lt;0,AJ88&lt;0,AK88&lt;0,AK88&gt;30,AK88&lt;&gt;INT(AK88),AN88&lt;0,AN88&gt;5,AN88&gt;J88,AN88&lt;&gt;INT(AN88),AND(AN88&gt;0,AQ88=""),NOT(OR(AM88="Yes",AM88="No")),AND(N88&lt;&gt;"Auto",OR(AG88="",AH88=""))),"Review inputs",IF(INDEX(Borrowers!$AA$9:$AA$108,MATCH(D88,Borrowers!$C$9:$C$108,0))&lt;&gt;"Ready","Borrower review","Ready"))))))</x:f>
      </x:c>
      <x:c r="AG88" s="16"/>
      <x:c r="AH88" s="16"/>
      <x:c r="AI88" s="11"/>
      <x:c r="AJ88" s="11"/>
      <x:c r="AK88" s="22"/>
      <x:c r="AL88" s="11"/>
      <x:c r="AM88" s="16"/>
      <x:c r="AN88" s="22"/>
      <x:c r="AO88" s="21" t="str">
        <x:f>IF(C88="","",AA88+AB88*AI88)</x:f>
      </x:c>
      <x:c r="AP88" s="16"/>
      <x:c r="AQ88" s="8"/>
    </x:row>
    <x:row r="89" ht="36" customHeight="1">
      <x:c r="A89" s="1"/>
      <x:c r="B89" s="1"/>
      <x:c r="C89" s="8"/>
      <x:c r="D89" s="8"/>
      <x:c r="E89" s="8"/>
      <x:c r="F89" s="8"/>
      <x:c r="G89" s="16"/>
      <x:c r="H89" s="16"/>
      <x:c r="I89" s="11"/>
      <x:c r="J89" s="22"/>
      <x:c r="K89" s="11"/>
      <x:c r="L89" s="11"/>
      <x:c r="M89" s="22"/>
      <x:c r="N89" s="16"/>
      <x:c r="O89" s="16"/>
      <x:c r="P89" s="16"/>
      <x:c r="Q89" s="11"/>
      <x:c r="R89" s="11"/>
      <x:c r="S89" s="11"/>
      <x:c r="T89" s="11"/>
      <x:c r="U89" s="16"/>
      <x:c r="V89" s="16"/>
      <x:c r="W89" s="16"/>
      <x:c r="X89" s="16"/>
      <x:c r="Y89" s="16"/>
      <x:c r="Z89" s="23" t="str">
        <x:f>IF(C89="","",IFERROR(INDEX(Settings!$D$41:$D$44,MATCH(F89,Settings!$C$41:$C$44,0)),0))</x:f>
      </x:c>
      <x:c r="AA89" s="21" t="str">
        <x:f>IF(C89="","",G89*Z89)</x:f>
      </x:c>
      <x:c r="AB89" s="21" t="str">
        <x:f>IF(C89="","",H89*Z89)</x:f>
      </x:c>
      <x:c r="AC89" s="21" t="str">
        <x:f>IF(C89="","",AA89+AB89*I89)</x:f>
      </x:c>
      <x:c r="AD89" s="23" t="str">
        <x:f>IF(C89="","",IFERROR(IF(OR(INDEX(Borrowers!$Z$9:$Z$108,MATCH(D89,Borrowers!$C$9:$C$108,0))="Yes",M89&gt;=90),3,IF(AND(N89&lt;&gt;"Auto",AG89&lt;&gt;"",AH89&lt;&gt;""),VALUE(N89),IF(OR(M89&gt;=30,AM89="Yes",AND(INDEX(Borrowers!$P$9:$P$108,MATCH(D89,Borrowers!$C$9:$C$108,0))&gt;=L89*Settings!$F$19,INDEX(Borrowers!$P$9:$P$108,MATCH(D89,Borrowers!$C$9:$C$108,0))-L89&gt;=Settings!$F$20)),2,1))),"Missing borrower"))</x:f>
      </x:c>
      <x:c r="AE89" s="21" t="str">
        <x:f>IF(C89="","",MAX(0,AA89-X89)*IF(AD89=3,AJ89,S89)+AB89*AI89*S89)</x:f>
      </x:c>
      <x:c r="AF89" s="23" t="str">
        <x:f>IF(C89="","",IF(COUNTIF($C$9:$C$108,C89)&lt;&gt;1,"Duplicate facility",IF(COUNTIF(Borrowers!$C$9:$C$108,D89)&lt;&gt;1,"Missing borrower",IF(OR(COUNT(G89:M89)&lt;&gt;7,COUNT(O89:T89)&lt;&gt;6,COUNT(AI89:AL89)&lt;&gt;4,COUNT(AN89)&lt;&gt;1,COUNT(AP89)&lt;&gt;1,COUNT(X89)&lt;&gt;1,Y89="",N89="",AM89=""),"Missing inputs",IF(OR(Z89&lt;=0,G89&lt;0,H89&lt;0,J89&lt;1,J89&gt;30,J89&lt;&gt;INT(J89),MIN(I89,K89,L89,Q89,R89,AI89,AL89)&lt;0,MAX(I89,K89,L89,Q89,R89,AI89,AL89)&gt;1,X89&lt;0,X89&gt;AA89,AP89&lt;0,M89&lt;0,M89&lt;&gt;INT(M89),S89&lt;0,T89&lt;0,AJ89&lt;0,AK89&lt;0,AK89&gt;30,AK89&lt;&gt;INT(AK89),AN89&lt;0,AN89&gt;5,AN89&gt;J89,AN89&lt;&gt;INT(AN89),AND(AN89&gt;0,AQ89=""),NOT(OR(AM89="Yes",AM89="No")),AND(N89&lt;&gt;"Auto",OR(AG89="",AH89=""))),"Review inputs",IF(INDEX(Borrowers!$AA$9:$AA$108,MATCH(D89,Borrowers!$C$9:$C$108,0))&lt;&gt;"Ready","Borrower review","Ready"))))))</x:f>
      </x:c>
      <x:c r="AG89" s="16"/>
      <x:c r="AH89" s="16"/>
      <x:c r="AI89" s="11"/>
      <x:c r="AJ89" s="11"/>
      <x:c r="AK89" s="22"/>
      <x:c r="AL89" s="11"/>
      <x:c r="AM89" s="16"/>
      <x:c r="AN89" s="22"/>
      <x:c r="AO89" s="21" t="str">
        <x:f>IF(C89="","",AA89+AB89*AI89)</x:f>
      </x:c>
      <x:c r="AP89" s="16"/>
      <x:c r="AQ89" s="8"/>
    </x:row>
    <x:row r="90" ht="36" customHeight="1">
      <x:c r="A90" s="1"/>
      <x:c r="B90" s="1"/>
      <x:c r="C90" s="8"/>
      <x:c r="D90" s="8"/>
      <x:c r="E90" s="8"/>
      <x:c r="F90" s="8"/>
      <x:c r="G90" s="16"/>
      <x:c r="H90" s="16"/>
      <x:c r="I90" s="11"/>
      <x:c r="J90" s="22"/>
      <x:c r="K90" s="11"/>
      <x:c r="L90" s="11"/>
      <x:c r="M90" s="22"/>
      <x:c r="N90" s="16"/>
      <x:c r="O90" s="16"/>
      <x:c r="P90" s="16"/>
      <x:c r="Q90" s="11"/>
      <x:c r="R90" s="11"/>
      <x:c r="S90" s="11"/>
      <x:c r="T90" s="11"/>
      <x:c r="U90" s="16"/>
      <x:c r="V90" s="16"/>
      <x:c r="W90" s="16"/>
      <x:c r="X90" s="16"/>
      <x:c r="Y90" s="16"/>
      <x:c r="Z90" s="23" t="str">
        <x:f>IF(C90="","",IFERROR(INDEX(Settings!$D$41:$D$44,MATCH(F90,Settings!$C$41:$C$44,0)),0))</x:f>
      </x:c>
      <x:c r="AA90" s="21" t="str">
        <x:f>IF(C90="","",G90*Z90)</x:f>
      </x:c>
      <x:c r="AB90" s="21" t="str">
        <x:f>IF(C90="","",H90*Z90)</x:f>
      </x:c>
      <x:c r="AC90" s="21" t="str">
        <x:f>IF(C90="","",AA90+AB90*I90)</x:f>
      </x:c>
      <x:c r="AD90" s="23" t="str">
        <x:f>IF(C90="","",IFERROR(IF(OR(INDEX(Borrowers!$Z$9:$Z$108,MATCH(D90,Borrowers!$C$9:$C$108,0))="Yes",M90&gt;=90),3,IF(AND(N90&lt;&gt;"Auto",AG90&lt;&gt;"",AH90&lt;&gt;""),VALUE(N90),IF(OR(M90&gt;=30,AM90="Yes",AND(INDEX(Borrowers!$P$9:$P$108,MATCH(D90,Borrowers!$C$9:$C$108,0))&gt;=L90*Settings!$F$19,INDEX(Borrowers!$P$9:$P$108,MATCH(D90,Borrowers!$C$9:$C$108,0))-L90&gt;=Settings!$F$20)),2,1))),"Missing borrower"))</x:f>
      </x:c>
      <x:c r="AE90" s="21" t="str">
        <x:f>IF(C90="","",MAX(0,AA90-X90)*IF(AD90=3,AJ90,S90)+AB90*AI90*S90)</x:f>
      </x:c>
      <x:c r="AF90" s="23" t="str">
        <x:f>IF(C90="","",IF(COUNTIF($C$9:$C$108,C90)&lt;&gt;1,"Duplicate facility",IF(COUNTIF(Borrowers!$C$9:$C$108,D90)&lt;&gt;1,"Missing borrower",IF(OR(COUNT(G90:M90)&lt;&gt;7,COUNT(O90:T90)&lt;&gt;6,COUNT(AI90:AL90)&lt;&gt;4,COUNT(AN90)&lt;&gt;1,COUNT(AP90)&lt;&gt;1,COUNT(X90)&lt;&gt;1,Y90="",N90="",AM90=""),"Missing inputs",IF(OR(Z90&lt;=0,G90&lt;0,H90&lt;0,J90&lt;1,J90&gt;30,J90&lt;&gt;INT(J90),MIN(I90,K90,L90,Q90,R90,AI90,AL90)&lt;0,MAX(I90,K90,L90,Q90,R90,AI90,AL90)&gt;1,X90&lt;0,X90&gt;AA90,AP90&lt;0,M90&lt;0,M90&lt;&gt;INT(M90),S90&lt;0,T90&lt;0,AJ90&lt;0,AK90&lt;0,AK90&gt;30,AK90&lt;&gt;INT(AK90),AN90&lt;0,AN90&gt;5,AN90&gt;J90,AN90&lt;&gt;INT(AN90),AND(AN90&gt;0,AQ90=""),NOT(OR(AM90="Yes",AM90="No")),AND(N90&lt;&gt;"Auto",OR(AG90="",AH90=""))),"Review inputs",IF(INDEX(Borrowers!$AA$9:$AA$108,MATCH(D90,Borrowers!$C$9:$C$108,0))&lt;&gt;"Ready","Borrower review","Ready"))))))</x:f>
      </x:c>
      <x:c r="AG90" s="16"/>
      <x:c r="AH90" s="16"/>
      <x:c r="AI90" s="11"/>
      <x:c r="AJ90" s="11"/>
      <x:c r="AK90" s="22"/>
      <x:c r="AL90" s="11"/>
      <x:c r="AM90" s="16"/>
      <x:c r="AN90" s="22"/>
      <x:c r="AO90" s="21" t="str">
        <x:f>IF(C90="","",AA90+AB90*AI90)</x:f>
      </x:c>
      <x:c r="AP90" s="16"/>
      <x:c r="AQ90" s="8"/>
    </x:row>
    <x:row r="91" ht="36" customHeight="1">
      <x:c r="A91" s="1"/>
      <x:c r="B91" s="1"/>
      <x:c r="C91" s="8"/>
      <x:c r="D91" s="8"/>
      <x:c r="E91" s="8"/>
      <x:c r="F91" s="8"/>
      <x:c r="G91" s="16"/>
      <x:c r="H91" s="16"/>
      <x:c r="I91" s="11"/>
      <x:c r="J91" s="22"/>
      <x:c r="K91" s="11"/>
      <x:c r="L91" s="11"/>
      <x:c r="M91" s="22"/>
      <x:c r="N91" s="16"/>
      <x:c r="O91" s="16"/>
      <x:c r="P91" s="16"/>
      <x:c r="Q91" s="11"/>
      <x:c r="R91" s="11"/>
      <x:c r="S91" s="11"/>
      <x:c r="T91" s="11"/>
      <x:c r="U91" s="16"/>
      <x:c r="V91" s="16"/>
      <x:c r="W91" s="16"/>
      <x:c r="X91" s="16"/>
      <x:c r="Y91" s="16"/>
      <x:c r="Z91" s="23" t="str">
        <x:f>IF(C91="","",IFERROR(INDEX(Settings!$D$41:$D$44,MATCH(F91,Settings!$C$41:$C$44,0)),0))</x:f>
      </x:c>
      <x:c r="AA91" s="21" t="str">
        <x:f>IF(C91="","",G91*Z91)</x:f>
      </x:c>
      <x:c r="AB91" s="21" t="str">
        <x:f>IF(C91="","",H91*Z91)</x:f>
      </x:c>
      <x:c r="AC91" s="21" t="str">
        <x:f>IF(C91="","",AA91+AB91*I91)</x:f>
      </x:c>
      <x:c r="AD91" s="23" t="str">
        <x:f>IF(C91="","",IFERROR(IF(OR(INDEX(Borrowers!$Z$9:$Z$108,MATCH(D91,Borrowers!$C$9:$C$108,0))="Yes",M91&gt;=90),3,IF(AND(N91&lt;&gt;"Auto",AG91&lt;&gt;"",AH91&lt;&gt;""),VALUE(N91),IF(OR(M91&gt;=30,AM91="Yes",AND(INDEX(Borrowers!$P$9:$P$108,MATCH(D91,Borrowers!$C$9:$C$108,0))&gt;=L91*Settings!$F$19,INDEX(Borrowers!$P$9:$P$108,MATCH(D91,Borrowers!$C$9:$C$108,0))-L91&gt;=Settings!$F$20)),2,1))),"Missing borrower"))</x:f>
      </x:c>
      <x:c r="AE91" s="21" t="str">
        <x:f>IF(C91="","",MAX(0,AA91-X91)*IF(AD91=3,AJ91,S91)+AB91*AI91*S91)</x:f>
      </x:c>
      <x:c r="AF91" s="23" t="str">
        <x:f>IF(C91="","",IF(COUNTIF($C$9:$C$108,C91)&lt;&gt;1,"Duplicate facility",IF(COUNTIF(Borrowers!$C$9:$C$108,D91)&lt;&gt;1,"Missing borrower",IF(OR(COUNT(G91:M91)&lt;&gt;7,COUNT(O91:T91)&lt;&gt;6,COUNT(AI91:AL91)&lt;&gt;4,COUNT(AN91)&lt;&gt;1,COUNT(AP91)&lt;&gt;1,COUNT(X91)&lt;&gt;1,Y91="",N91="",AM91=""),"Missing inputs",IF(OR(Z91&lt;=0,G91&lt;0,H91&lt;0,J91&lt;1,J91&gt;30,J91&lt;&gt;INT(J91),MIN(I91,K91,L91,Q91,R91,AI91,AL91)&lt;0,MAX(I91,K91,L91,Q91,R91,AI91,AL91)&gt;1,X91&lt;0,X91&gt;AA91,AP91&lt;0,M91&lt;0,M91&lt;&gt;INT(M91),S91&lt;0,T91&lt;0,AJ91&lt;0,AK91&lt;0,AK91&gt;30,AK91&lt;&gt;INT(AK91),AN91&lt;0,AN91&gt;5,AN91&gt;J91,AN91&lt;&gt;INT(AN91),AND(AN91&gt;0,AQ91=""),NOT(OR(AM91="Yes",AM91="No")),AND(N91&lt;&gt;"Auto",OR(AG91="",AH91=""))),"Review inputs",IF(INDEX(Borrowers!$AA$9:$AA$108,MATCH(D91,Borrowers!$C$9:$C$108,0))&lt;&gt;"Ready","Borrower review","Ready"))))))</x:f>
      </x:c>
      <x:c r="AG91" s="16"/>
      <x:c r="AH91" s="16"/>
      <x:c r="AI91" s="11"/>
      <x:c r="AJ91" s="11"/>
      <x:c r="AK91" s="22"/>
      <x:c r="AL91" s="11"/>
      <x:c r="AM91" s="16"/>
      <x:c r="AN91" s="22"/>
      <x:c r="AO91" s="21" t="str">
        <x:f>IF(C91="","",AA91+AB91*AI91)</x:f>
      </x:c>
      <x:c r="AP91" s="16"/>
      <x:c r="AQ91" s="8"/>
    </x:row>
    <x:row r="92" ht="36" customHeight="1">
      <x:c r="A92" s="1"/>
      <x:c r="B92" s="1"/>
      <x:c r="C92" s="8"/>
      <x:c r="D92" s="8"/>
      <x:c r="E92" s="8"/>
      <x:c r="F92" s="8"/>
      <x:c r="G92" s="16"/>
      <x:c r="H92" s="16"/>
      <x:c r="I92" s="11"/>
      <x:c r="J92" s="22"/>
      <x:c r="K92" s="11"/>
      <x:c r="L92" s="11"/>
      <x:c r="M92" s="22"/>
      <x:c r="N92" s="16"/>
      <x:c r="O92" s="16"/>
      <x:c r="P92" s="16"/>
      <x:c r="Q92" s="11"/>
      <x:c r="R92" s="11"/>
      <x:c r="S92" s="11"/>
      <x:c r="T92" s="11"/>
      <x:c r="U92" s="16"/>
      <x:c r="V92" s="16"/>
      <x:c r="W92" s="16"/>
      <x:c r="X92" s="16"/>
      <x:c r="Y92" s="16"/>
      <x:c r="Z92" s="23" t="str">
        <x:f>IF(C92="","",IFERROR(INDEX(Settings!$D$41:$D$44,MATCH(F92,Settings!$C$41:$C$44,0)),0))</x:f>
      </x:c>
      <x:c r="AA92" s="21" t="str">
        <x:f>IF(C92="","",G92*Z92)</x:f>
      </x:c>
      <x:c r="AB92" s="21" t="str">
        <x:f>IF(C92="","",H92*Z92)</x:f>
      </x:c>
      <x:c r="AC92" s="21" t="str">
        <x:f>IF(C92="","",AA92+AB92*I92)</x:f>
      </x:c>
      <x:c r="AD92" s="23" t="str">
        <x:f>IF(C92="","",IFERROR(IF(OR(INDEX(Borrowers!$Z$9:$Z$108,MATCH(D92,Borrowers!$C$9:$C$108,0))="Yes",M92&gt;=90),3,IF(AND(N92&lt;&gt;"Auto",AG92&lt;&gt;"",AH92&lt;&gt;""),VALUE(N92),IF(OR(M92&gt;=30,AM92="Yes",AND(INDEX(Borrowers!$P$9:$P$108,MATCH(D92,Borrowers!$C$9:$C$108,0))&gt;=L92*Settings!$F$19,INDEX(Borrowers!$P$9:$P$108,MATCH(D92,Borrowers!$C$9:$C$108,0))-L92&gt;=Settings!$F$20)),2,1))),"Missing borrower"))</x:f>
      </x:c>
      <x:c r="AE92" s="21" t="str">
        <x:f>IF(C92="","",MAX(0,AA92-X92)*IF(AD92=3,AJ92,S92)+AB92*AI92*S92)</x:f>
      </x:c>
      <x:c r="AF92" s="23" t="str">
        <x:f>IF(C92="","",IF(COUNTIF($C$9:$C$108,C92)&lt;&gt;1,"Duplicate facility",IF(COUNTIF(Borrowers!$C$9:$C$108,D92)&lt;&gt;1,"Missing borrower",IF(OR(COUNT(G92:M92)&lt;&gt;7,COUNT(O92:T92)&lt;&gt;6,COUNT(AI92:AL92)&lt;&gt;4,COUNT(AN92)&lt;&gt;1,COUNT(AP92)&lt;&gt;1,COUNT(X92)&lt;&gt;1,Y92="",N92="",AM92=""),"Missing inputs",IF(OR(Z92&lt;=0,G92&lt;0,H92&lt;0,J92&lt;1,J92&gt;30,J92&lt;&gt;INT(J92),MIN(I92,K92,L92,Q92,R92,AI92,AL92)&lt;0,MAX(I92,K92,L92,Q92,R92,AI92,AL92)&gt;1,X92&lt;0,X92&gt;AA92,AP92&lt;0,M92&lt;0,M92&lt;&gt;INT(M92),S92&lt;0,T92&lt;0,AJ92&lt;0,AK92&lt;0,AK92&gt;30,AK92&lt;&gt;INT(AK92),AN92&lt;0,AN92&gt;5,AN92&gt;J92,AN92&lt;&gt;INT(AN92),AND(AN92&gt;0,AQ92=""),NOT(OR(AM92="Yes",AM92="No")),AND(N92&lt;&gt;"Auto",OR(AG92="",AH92=""))),"Review inputs",IF(INDEX(Borrowers!$AA$9:$AA$108,MATCH(D92,Borrowers!$C$9:$C$108,0))&lt;&gt;"Ready","Borrower review","Ready"))))))</x:f>
      </x:c>
      <x:c r="AG92" s="16"/>
      <x:c r="AH92" s="16"/>
      <x:c r="AI92" s="11"/>
      <x:c r="AJ92" s="11"/>
      <x:c r="AK92" s="22"/>
      <x:c r="AL92" s="11"/>
      <x:c r="AM92" s="16"/>
      <x:c r="AN92" s="22"/>
      <x:c r="AO92" s="21" t="str">
        <x:f>IF(C92="","",AA92+AB92*AI92)</x:f>
      </x:c>
      <x:c r="AP92" s="16"/>
      <x:c r="AQ92" s="8"/>
    </x:row>
    <x:row r="93" ht="36" customHeight="1">
      <x:c r="A93" s="1"/>
      <x:c r="B93" s="1"/>
      <x:c r="C93" s="8"/>
      <x:c r="D93" s="8"/>
      <x:c r="E93" s="8"/>
      <x:c r="F93" s="8"/>
      <x:c r="G93" s="16"/>
      <x:c r="H93" s="16"/>
      <x:c r="I93" s="11"/>
      <x:c r="J93" s="22"/>
      <x:c r="K93" s="11"/>
      <x:c r="L93" s="11"/>
      <x:c r="M93" s="22"/>
      <x:c r="N93" s="16"/>
      <x:c r="O93" s="16"/>
      <x:c r="P93" s="16"/>
      <x:c r="Q93" s="11"/>
      <x:c r="R93" s="11"/>
      <x:c r="S93" s="11"/>
      <x:c r="T93" s="11"/>
      <x:c r="U93" s="16"/>
      <x:c r="V93" s="16"/>
      <x:c r="W93" s="16"/>
      <x:c r="X93" s="16"/>
      <x:c r="Y93" s="16"/>
      <x:c r="Z93" s="23" t="str">
        <x:f>IF(C93="","",IFERROR(INDEX(Settings!$D$41:$D$44,MATCH(F93,Settings!$C$41:$C$44,0)),0))</x:f>
      </x:c>
      <x:c r="AA93" s="21" t="str">
        <x:f>IF(C93="","",G93*Z93)</x:f>
      </x:c>
      <x:c r="AB93" s="21" t="str">
        <x:f>IF(C93="","",H93*Z93)</x:f>
      </x:c>
      <x:c r="AC93" s="21" t="str">
        <x:f>IF(C93="","",AA93+AB93*I93)</x:f>
      </x:c>
      <x:c r="AD93" s="23" t="str">
        <x:f>IF(C93="","",IFERROR(IF(OR(INDEX(Borrowers!$Z$9:$Z$108,MATCH(D93,Borrowers!$C$9:$C$108,0))="Yes",M93&gt;=90),3,IF(AND(N93&lt;&gt;"Auto",AG93&lt;&gt;"",AH93&lt;&gt;""),VALUE(N93),IF(OR(M93&gt;=30,AM93="Yes",AND(INDEX(Borrowers!$P$9:$P$108,MATCH(D93,Borrowers!$C$9:$C$108,0))&gt;=L93*Settings!$F$19,INDEX(Borrowers!$P$9:$P$108,MATCH(D93,Borrowers!$C$9:$C$108,0))-L93&gt;=Settings!$F$20)),2,1))),"Missing borrower"))</x:f>
      </x:c>
      <x:c r="AE93" s="21" t="str">
        <x:f>IF(C93="","",MAX(0,AA93-X93)*IF(AD93=3,AJ93,S93)+AB93*AI93*S93)</x:f>
      </x:c>
      <x:c r="AF93" s="23" t="str">
        <x:f>IF(C93="","",IF(COUNTIF($C$9:$C$108,C93)&lt;&gt;1,"Duplicate facility",IF(COUNTIF(Borrowers!$C$9:$C$108,D93)&lt;&gt;1,"Missing borrower",IF(OR(COUNT(G93:M93)&lt;&gt;7,COUNT(O93:T93)&lt;&gt;6,COUNT(AI93:AL93)&lt;&gt;4,COUNT(AN93)&lt;&gt;1,COUNT(AP93)&lt;&gt;1,COUNT(X93)&lt;&gt;1,Y93="",N93="",AM93=""),"Missing inputs",IF(OR(Z93&lt;=0,G93&lt;0,H93&lt;0,J93&lt;1,J93&gt;30,J93&lt;&gt;INT(J93),MIN(I93,K93,L93,Q93,R93,AI93,AL93)&lt;0,MAX(I93,K93,L93,Q93,R93,AI93,AL93)&gt;1,X93&lt;0,X93&gt;AA93,AP93&lt;0,M93&lt;0,M93&lt;&gt;INT(M93),S93&lt;0,T93&lt;0,AJ93&lt;0,AK93&lt;0,AK93&gt;30,AK93&lt;&gt;INT(AK93),AN93&lt;0,AN93&gt;5,AN93&gt;J93,AN93&lt;&gt;INT(AN93),AND(AN93&gt;0,AQ93=""),NOT(OR(AM93="Yes",AM93="No")),AND(N93&lt;&gt;"Auto",OR(AG93="",AH93=""))),"Review inputs",IF(INDEX(Borrowers!$AA$9:$AA$108,MATCH(D93,Borrowers!$C$9:$C$108,0))&lt;&gt;"Ready","Borrower review","Ready"))))))</x:f>
      </x:c>
      <x:c r="AG93" s="16"/>
      <x:c r="AH93" s="16"/>
      <x:c r="AI93" s="11"/>
      <x:c r="AJ93" s="11"/>
      <x:c r="AK93" s="22"/>
      <x:c r="AL93" s="11"/>
      <x:c r="AM93" s="16"/>
      <x:c r="AN93" s="22"/>
      <x:c r="AO93" s="21" t="str">
        <x:f>IF(C93="","",AA93+AB93*AI93)</x:f>
      </x:c>
      <x:c r="AP93" s="16"/>
      <x:c r="AQ93" s="8"/>
    </x:row>
    <x:row r="94" ht="36" customHeight="1">
      <x:c r="A94" s="1"/>
      <x:c r="B94" s="1"/>
      <x:c r="C94" s="8"/>
      <x:c r="D94" s="8"/>
      <x:c r="E94" s="8"/>
      <x:c r="F94" s="8"/>
      <x:c r="G94" s="16"/>
      <x:c r="H94" s="16"/>
      <x:c r="I94" s="11"/>
      <x:c r="J94" s="22"/>
      <x:c r="K94" s="11"/>
      <x:c r="L94" s="11"/>
      <x:c r="M94" s="22"/>
      <x:c r="N94" s="16"/>
      <x:c r="O94" s="16"/>
      <x:c r="P94" s="16"/>
      <x:c r="Q94" s="11"/>
      <x:c r="R94" s="11"/>
      <x:c r="S94" s="11"/>
      <x:c r="T94" s="11"/>
      <x:c r="U94" s="16"/>
      <x:c r="V94" s="16"/>
      <x:c r="W94" s="16"/>
      <x:c r="X94" s="16"/>
      <x:c r="Y94" s="16"/>
      <x:c r="Z94" s="23" t="str">
        <x:f>IF(C94="","",IFERROR(INDEX(Settings!$D$41:$D$44,MATCH(F94,Settings!$C$41:$C$44,0)),0))</x:f>
      </x:c>
      <x:c r="AA94" s="21" t="str">
        <x:f>IF(C94="","",G94*Z94)</x:f>
      </x:c>
      <x:c r="AB94" s="21" t="str">
        <x:f>IF(C94="","",H94*Z94)</x:f>
      </x:c>
      <x:c r="AC94" s="21" t="str">
        <x:f>IF(C94="","",AA94+AB94*I94)</x:f>
      </x:c>
      <x:c r="AD94" s="23" t="str">
        <x:f>IF(C94="","",IFERROR(IF(OR(INDEX(Borrowers!$Z$9:$Z$108,MATCH(D94,Borrowers!$C$9:$C$108,0))="Yes",M94&gt;=90),3,IF(AND(N94&lt;&gt;"Auto",AG94&lt;&gt;"",AH94&lt;&gt;""),VALUE(N94),IF(OR(M94&gt;=30,AM94="Yes",AND(INDEX(Borrowers!$P$9:$P$108,MATCH(D94,Borrowers!$C$9:$C$108,0))&gt;=L94*Settings!$F$19,INDEX(Borrowers!$P$9:$P$108,MATCH(D94,Borrowers!$C$9:$C$108,0))-L94&gt;=Settings!$F$20)),2,1))),"Missing borrower"))</x:f>
      </x:c>
      <x:c r="AE94" s="21" t="str">
        <x:f>IF(C94="","",MAX(0,AA94-X94)*IF(AD94=3,AJ94,S94)+AB94*AI94*S94)</x:f>
      </x:c>
      <x:c r="AF94" s="23" t="str">
        <x:f>IF(C94="","",IF(COUNTIF($C$9:$C$108,C94)&lt;&gt;1,"Duplicate facility",IF(COUNTIF(Borrowers!$C$9:$C$108,D94)&lt;&gt;1,"Missing borrower",IF(OR(COUNT(G94:M94)&lt;&gt;7,COUNT(O94:T94)&lt;&gt;6,COUNT(AI94:AL94)&lt;&gt;4,COUNT(AN94)&lt;&gt;1,COUNT(AP94)&lt;&gt;1,COUNT(X94)&lt;&gt;1,Y94="",N94="",AM94=""),"Missing inputs",IF(OR(Z94&lt;=0,G94&lt;0,H94&lt;0,J94&lt;1,J94&gt;30,J94&lt;&gt;INT(J94),MIN(I94,K94,L94,Q94,R94,AI94,AL94)&lt;0,MAX(I94,K94,L94,Q94,R94,AI94,AL94)&gt;1,X94&lt;0,X94&gt;AA94,AP94&lt;0,M94&lt;0,M94&lt;&gt;INT(M94),S94&lt;0,T94&lt;0,AJ94&lt;0,AK94&lt;0,AK94&gt;30,AK94&lt;&gt;INT(AK94),AN94&lt;0,AN94&gt;5,AN94&gt;J94,AN94&lt;&gt;INT(AN94),AND(AN94&gt;0,AQ94=""),NOT(OR(AM94="Yes",AM94="No")),AND(N94&lt;&gt;"Auto",OR(AG94="",AH94=""))),"Review inputs",IF(INDEX(Borrowers!$AA$9:$AA$108,MATCH(D94,Borrowers!$C$9:$C$108,0))&lt;&gt;"Ready","Borrower review","Ready"))))))</x:f>
      </x:c>
      <x:c r="AG94" s="16"/>
      <x:c r="AH94" s="16"/>
      <x:c r="AI94" s="11"/>
      <x:c r="AJ94" s="11"/>
      <x:c r="AK94" s="22"/>
      <x:c r="AL94" s="11"/>
      <x:c r="AM94" s="16"/>
      <x:c r="AN94" s="22"/>
      <x:c r="AO94" s="21" t="str">
        <x:f>IF(C94="","",AA94+AB94*AI94)</x:f>
      </x:c>
      <x:c r="AP94" s="16"/>
      <x:c r="AQ94" s="8"/>
    </x:row>
    <x:row r="95" ht="36" customHeight="1">
      <x:c r="A95" s="1"/>
      <x:c r="B95" s="1"/>
      <x:c r="C95" s="8"/>
      <x:c r="D95" s="8"/>
      <x:c r="E95" s="8"/>
      <x:c r="F95" s="8"/>
      <x:c r="G95" s="16"/>
      <x:c r="H95" s="16"/>
      <x:c r="I95" s="11"/>
      <x:c r="J95" s="22"/>
      <x:c r="K95" s="11"/>
      <x:c r="L95" s="11"/>
      <x:c r="M95" s="22"/>
      <x:c r="N95" s="16"/>
      <x:c r="O95" s="16"/>
      <x:c r="P95" s="16"/>
      <x:c r="Q95" s="11"/>
      <x:c r="R95" s="11"/>
      <x:c r="S95" s="11"/>
      <x:c r="T95" s="11"/>
      <x:c r="U95" s="16"/>
      <x:c r="V95" s="16"/>
      <x:c r="W95" s="16"/>
      <x:c r="X95" s="16"/>
      <x:c r="Y95" s="16"/>
      <x:c r="Z95" s="23" t="str">
        <x:f>IF(C95="","",IFERROR(INDEX(Settings!$D$41:$D$44,MATCH(F95,Settings!$C$41:$C$44,0)),0))</x:f>
      </x:c>
      <x:c r="AA95" s="21" t="str">
        <x:f>IF(C95="","",G95*Z95)</x:f>
      </x:c>
      <x:c r="AB95" s="21" t="str">
        <x:f>IF(C95="","",H95*Z95)</x:f>
      </x:c>
      <x:c r="AC95" s="21" t="str">
        <x:f>IF(C95="","",AA95+AB95*I95)</x:f>
      </x:c>
      <x:c r="AD95" s="23" t="str">
        <x:f>IF(C95="","",IFERROR(IF(OR(INDEX(Borrowers!$Z$9:$Z$108,MATCH(D95,Borrowers!$C$9:$C$108,0))="Yes",M95&gt;=90),3,IF(AND(N95&lt;&gt;"Auto",AG95&lt;&gt;"",AH95&lt;&gt;""),VALUE(N95),IF(OR(M95&gt;=30,AM95="Yes",AND(INDEX(Borrowers!$P$9:$P$108,MATCH(D95,Borrowers!$C$9:$C$108,0))&gt;=L95*Settings!$F$19,INDEX(Borrowers!$P$9:$P$108,MATCH(D95,Borrowers!$C$9:$C$108,0))-L95&gt;=Settings!$F$20)),2,1))),"Missing borrower"))</x:f>
      </x:c>
      <x:c r="AE95" s="21" t="str">
        <x:f>IF(C95="","",MAX(0,AA95-X95)*IF(AD95=3,AJ95,S95)+AB95*AI95*S95)</x:f>
      </x:c>
      <x:c r="AF95" s="23" t="str">
        <x:f>IF(C95="","",IF(COUNTIF($C$9:$C$108,C95)&lt;&gt;1,"Duplicate facility",IF(COUNTIF(Borrowers!$C$9:$C$108,D95)&lt;&gt;1,"Missing borrower",IF(OR(COUNT(G95:M95)&lt;&gt;7,COUNT(O95:T95)&lt;&gt;6,COUNT(AI95:AL95)&lt;&gt;4,COUNT(AN95)&lt;&gt;1,COUNT(AP95)&lt;&gt;1,COUNT(X95)&lt;&gt;1,Y95="",N95="",AM95=""),"Missing inputs",IF(OR(Z95&lt;=0,G95&lt;0,H95&lt;0,J95&lt;1,J95&gt;30,J95&lt;&gt;INT(J95),MIN(I95,K95,L95,Q95,R95,AI95,AL95)&lt;0,MAX(I95,K95,L95,Q95,R95,AI95,AL95)&gt;1,X95&lt;0,X95&gt;AA95,AP95&lt;0,M95&lt;0,M95&lt;&gt;INT(M95),S95&lt;0,T95&lt;0,AJ95&lt;0,AK95&lt;0,AK95&gt;30,AK95&lt;&gt;INT(AK95),AN95&lt;0,AN95&gt;5,AN95&gt;J95,AN95&lt;&gt;INT(AN95),AND(AN95&gt;0,AQ95=""),NOT(OR(AM95="Yes",AM95="No")),AND(N95&lt;&gt;"Auto",OR(AG95="",AH95=""))),"Review inputs",IF(INDEX(Borrowers!$AA$9:$AA$108,MATCH(D95,Borrowers!$C$9:$C$108,0))&lt;&gt;"Ready","Borrower review","Ready"))))))</x:f>
      </x:c>
      <x:c r="AG95" s="16"/>
      <x:c r="AH95" s="16"/>
      <x:c r="AI95" s="11"/>
      <x:c r="AJ95" s="11"/>
      <x:c r="AK95" s="22"/>
      <x:c r="AL95" s="11"/>
      <x:c r="AM95" s="16"/>
      <x:c r="AN95" s="22"/>
      <x:c r="AO95" s="21" t="str">
        <x:f>IF(C95="","",AA95+AB95*AI95)</x:f>
      </x:c>
      <x:c r="AP95" s="16"/>
      <x:c r="AQ95" s="8"/>
    </x:row>
    <x:row r="96" ht="36" customHeight="1">
      <x:c r="A96" s="1"/>
      <x:c r="B96" s="1"/>
      <x:c r="C96" s="8"/>
      <x:c r="D96" s="8"/>
      <x:c r="E96" s="8"/>
      <x:c r="F96" s="8"/>
      <x:c r="G96" s="16"/>
      <x:c r="H96" s="16"/>
      <x:c r="I96" s="11"/>
      <x:c r="J96" s="22"/>
      <x:c r="K96" s="11"/>
      <x:c r="L96" s="11"/>
      <x:c r="M96" s="22"/>
      <x:c r="N96" s="16"/>
      <x:c r="O96" s="16"/>
      <x:c r="P96" s="16"/>
      <x:c r="Q96" s="11"/>
      <x:c r="R96" s="11"/>
      <x:c r="S96" s="11"/>
      <x:c r="T96" s="11"/>
      <x:c r="U96" s="16"/>
      <x:c r="V96" s="16"/>
      <x:c r="W96" s="16"/>
      <x:c r="X96" s="16"/>
      <x:c r="Y96" s="16"/>
      <x:c r="Z96" s="23" t="str">
        <x:f>IF(C96="","",IFERROR(INDEX(Settings!$D$41:$D$44,MATCH(F96,Settings!$C$41:$C$44,0)),0))</x:f>
      </x:c>
      <x:c r="AA96" s="21" t="str">
        <x:f>IF(C96="","",G96*Z96)</x:f>
      </x:c>
      <x:c r="AB96" s="21" t="str">
        <x:f>IF(C96="","",H96*Z96)</x:f>
      </x:c>
      <x:c r="AC96" s="21" t="str">
        <x:f>IF(C96="","",AA96+AB96*I96)</x:f>
      </x:c>
      <x:c r="AD96" s="23" t="str">
        <x:f>IF(C96="","",IFERROR(IF(OR(INDEX(Borrowers!$Z$9:$Z$108,MATCH(D96,Borrowers!$C$9:$C$108,0))="Yes",M96&gt;=90),3,IF(AND(N96&lt;&gt;"Auto",AG96&lt;&gt;"",AH96&lt;&gt;""),VALUE(N96),IF(OR(M96&gt;=30,AM96="Yes",AND(INDEX(Borrowers!$P$9:$P$108,MATCH(D96,Borrowers!$C$9:$C$108,0))&gt;=L96*Settings!$F$19,INDEX(Borrowers!$P$9:$P$108,MATCH(D96,Borrowers!$C$9:$C$108,0))-L96&gt;=Settings!$F$20)),2,1))),"Missing borrower"))</x:f>
      </x:c>
      <x:c r="AE96" s="21" t="str">
        <x:f>IF(C96="","",MAX(0,AA96-X96)*IF(AD96=3,AJ96,S96)+AB96*AI96*S96)</x:f>
      </x:c>
      <x:c r="AF96" s="23" t="str">
        <x:f>IF(C96="","",IF(COUNTIF($C$9:$C$108,C96)&lt;&gt;1,"Duplicate facility",IF(COUNTIF(Borrowers!$C$9:$C$108,D96)&lt;&gt;1,"Missing borrower",IF(OR(COUNT(G96:M96)&lt;&gt;7,COUNT(O96:T96)&lt;&gt;6,COUNT(AI96:AL96)&lt;&gt;4,COUNT(AN96)&lt;&gt;1,COUNT(AP96)&lt;&gt;1,COUNT(X96)&lt;&gt;1,Y96="",N96="",AM96=""),"Missing inputs",IF(OR(Z96&lt;=0,G96&lt;0,H96&lt;0,J96&lt;1,J96&gt;30,J96&lt;&gt;INT(J96),MIN(I96,K96,L96,Q96,R96,AI96,AL96)&lt;0,MAX(I96,K96,L96,Q96,R96,AI96,AL96)&gt;1,X96&lt;0,X96&gt;AA96,AP96&lt;0,M96&lt;0,M96&lt;&gt;INT(M96),S96&lt;0,T96&lt;0,AJ96&lt;0,AK96&lt;0,AK96&gt;30,AK96&lt;&gt;INT(AK96),AN96&lt;0,AN96&gt;5,AN96&gt;J96,AN96&lt;&gt;INT(AN96),AND(AN96&gt;0,AQ96=""),NOT(OR(AM96="Yes",AM96="No")),AND(N96&lt;&gt;"Auto",OR(AG96="",AH96=""))),"Review inputs",IF(INDEX(Borrowers!$AA$9:$AA$108,MATCH(D96,Borrowers!$C$9:$C$108,0))&lt;&gt;"Ready","Borrower review","Ready"))))))</x:f>
      </x:c>
      <x:c r="AG96" s="16"/>
      <x:c r="AH96" s="16"/>
      <x:c r="AI96" s="11"/>
      <x:c r="AJ96" s="11"/>
      <x:c r="AK96" s="22"/>
      <x:c r="AL96" s="11"/>
      <x:c r="AM96" s="16"/>
      <x:c r="AN96" s="22"/>
      <x:c r="AO96" s="21" t="str">
        <x:f>IF(C96="","",AA96+AB96*AI96)</x:f>
      </x:c>
      <x:c r="AP96" s="16"/>
      <x:c r="AQ96" s="8"/>
    </x:row>
    <x:row r="97" ht="36" customHeight="1">
      <x:c r="A97" s="1"/>
      <x:c r="B97" s="1"/>
      <x:c r="C97" s="8"/>
      <x:c r="D97" s="8"/>
      <x:c r="E97" s="8"/>
      <x:c r="F97" s="8"/>
      <x:c r="G97" s="16"/>
      <x:c r="H97" s="16"/>
      <x:c r="I97" s="11"/>
      <x:c r="J97" s="22"/>
      <x:c r="K97" s="11"/>
      <x:c r="L97" s="11"/>
      <x:c r="M97" s="22"/>
      <x:c r="N97" s="16"/>
      <x:c r="O97" s="16"/>
      <x:c r="P97" s="16"/>
      <x:c r="Q97" s="11"/>
      <x:c r="R97" s="11"/>
      <x:c r="S97" s="11"/>
      <x:c r="T97" s="11"/>
      <x:c r="U97" s="16"/>
      <x:c r="V97" s="16"/>
      <x:c r="W97" s="16"/>
      <x:c r="X97" s="16"/>
      <x:c r="Y97" s="16"/>
      <x:c r="Z97" s="23" t="str">
        <x:f>IF(C97="","",IFERROR(INDEX(Settings!$D$41:$D$44,MATCH(F97,Settings!$C$41:$C$44,0)),0))</x:f>
      </x:c>
      <x:c r="AA97" s="21" t="str">
        <x:f>IF(C97="","",G97*Z97)</x:f>
      </x:c>
      <x:c r="AB97" s="21" t="str">
        <x:f>IF(C97="","",H97*Z97)</x:f>
      </x:c>
      <x:c r="AC97" s="21" t="str">
        <x:f>IF(C97="","",AA97+AB97*I97)</x:f>
      </x:c>
      <x:c r="AD97" s="23" t="str">
        <x:f>IF(C97="","",IFERROR(IF(OR(INDEX(Borrowers!$Z$9:$Z$108,MATCH(D97,Borrowers!$C$9:$C$108,0))="Yes",M97&gt;=90),3,IF(AND(N97&lt;&gt;"Auto",AG97&lt;&gt;"",AH97&lt;&gt;""),VALUE(N97),IF(OR(M97&gt;=30,AM97="Yes",AND(INDEX(Borrowers!$P$9:$P$108,MATCH(D97,Borrowers!$C$9:$C$108,0))&gt;=L97*Settings!$F$19,INDEX(Borrowers!$P$9:$P$108,MATCH(D97,Borrowers!$C$9:$C$108,0))-L97&gt;=Settings!$F$20)),2,1))),"Missing borrower"))</x:f>
      </x:c>
      <x:c r="AE97" s="21" t="str">
        <x:f>IF(C97="","",MAX(0,AA97-X97)*IF(AD97=3,AJ97,S97)+AB97*AI97*S97)</x:f>
      </x:c>
      <x:c r="AF97" s="23" t="str">
        <x:f>IF(C97="","",IF(COUNTIF($C$9:$C$108,C97)&lt;&gt;1,"Duplicate facility",IF(COUNTIF(Borrowers!$C$9:$C$108,D97)&lt;&gt;1,"Missing borrower",IF(OR(COUNT(G97:M97)&lt;&gt;7,COUNT(O97:T97)&lt;&gt;6,COUNT(AI97:AL97)&lt;&gt;4,COUNT(AN97)&lt;&gt;1,COUNT(AP97)&lt;&gt;1,COUNT(X97)&lt;&gt;1,Y97="",N97="",AM97=""),"Missing inputs",IF(OR(Z97&lt;=0,G97&lt;0,H97&lt;0,J97&lt;1,J97&gt;30,J97&lt;&gt;INT(J97),MIN(I97,K97,L97,Q97,R97,AI97,AL97)&lt;0,MAX(I97,K97,L97,Q97,R97,AI97,AL97)&gt;1,X97&lt;0,X97&gt;AA97,AP97&lt;0,M97&lt;0,M97&lt;&gt;INT(M97),S97&lt;0,T97&lt;0,AJ97&lt;0,AK97&lt;0,AK97&gt;30,AK97&lt;&gt;INT(AK97),AN97&lt;0,AN97&gt;5,AN97&gt;J97,AN97&lt;&gt;INT(AN97),AND(AN97&gt;0,AQ97=""),NOT(OR(AM97="Yes",AM97="No")),AND(N97&lt;&gt;"Auto",OR(AG97="",AH97=""))),"Review inputs",IF(INDEX(Borrowers!$AA$9:$AA$108,MATCH(D97,Borrowers!$C$9:$C$108,0))&lt;&gt;"Ready","Borrower review","Ready"))))))</x:f>
      </x:c>
      <x:c r="AG97" s="16"/>
      <x:c r="AH97" s="16"/>
      <x:c r="AI97" s="11"/>
      <x:c r="AJ97" s="11"/>
      <x:c r="AK97" s="22"/>
      <x:c r="AL97" s="11"/>
      <x:c r="AM97" s="16"/>
      <x:c r="AN97" s="22"/>
      <x:c r="AO97" s="21" t="str">
        <x:f>IF(C97="","",AA97+AB97*AI97)</x:f>
      </x:c>
      <x:c r="AP97" s="16"/>
      <x:c r="AQ97" s="8"/>
    </x:row>
    <x:row r="98" ht="36" customHeight="1">
      <x:c r="A98" s="1"/>
      <x:c r="B98" s="1"/>
      <x:c r="C98" s="8"/>
      <x:c r="D98" s="8"/>
      <x:c r="E98" s="8"/>
      <x:c r="F98" s="8"/>
      <x:c r="G98" s="16"/>
      <x:c r="H98" s="16"/>
      <x:c r="I98" s="11"/>
      <x:c r="J98" s="22"/>
      <x:c r="K98" s="11"/>
      <x:c r="L98" s="11"/>
      <x:c r="M98" s="22"/>
      <x:c r="N98" s="16"/>
      <x:c r="O98" s="16"/>
      <x:c r="P98" s="16"/>
      <x:c r="Q98" s="11"/>
      <x:c r="R98" s="11"/>
      <x:c r="S98" s="11"/>
      <x:c r="T98" s="11"/>
      <x:c r="U98" s="16"/>
      <x:c r="V98" s="16"/>
      <x:c r="W98" s="16"/>
      <x:c r="X98" s="16"/>
      <x:c r="Y98" s="16"/>
      <x:c r="Z98" s="23" t="str">
        <x:f>IF(C98="","",IFERROR(INDEX(Settings!$D$41:$D$44,MATCH(F98,Settings!$C$41:$C$44,0)),0))</x:f>
      </x:c>
      <x:c r="AA98" s="21" t="str">
        <x:f>IF(C98="","",G98*Z98)</x:f>
      </x:c>
      <x:c r="AB98" s="21" t="str">
        <x:f>IF(C98="","",H98*Z98)</x:f>
      </x:c>
      <x:c r="AC98" s="21" t="str">
        <x:f>IF(C98="","",AA98+AB98*I98)</x:f>
      </x:c>
      <x:c r="AD98" s="23" t="str">
        <x:f>IF(C98="","",IFERROR(IF(OR(INDEX(Borrowers!$Z$9:$Z$108,MATCH(D98,Borrowers!$C$9:$C$108,0))="Yes",M98&gt;=90),3,IF(AND(N98&lt;&gt;"Auto",AG98&lt;&gt;"",AH98&lt;&gt;""),VALUE(N98),IF(OR(M98&gt;=30,AM98="Yes",AND(INDEX(Borrowers!$P$9:$P$108,MATCH(D98,Borrowers!$C$9:$C$108,0))&gt;=L98*Settings!$F$19,INDEX(Borrowers!$P$9:$P$108,MATCH(D98,Borrowers!$C$9:$C$108,0))-L98&gt;=Settings!$F$20)),2,1))),"Missing borrower"))</x:f>
      </x:c>
      <x:c r="AE98" s="21" t="str">
        <x:f>IF(C98="","",MAX(0,AA98-X98)*IF(AD98=3,AJ98,S98)+AB98*AI98*S98)</x:f>
      </x:c>
      <x:c r="AF98" s="23" t="str">
        <x:f>IF(C98="","",IF(COUNTIF($C$9:$C$108,C98)&lt;&gt;1,"Duplicate facility",IF(COUNTIF(Borrowers!$C$9:$C$108,D98)&lt;&gt;1,"Missing borrower",IF(OR(COUNT(G98:M98)&lt;&gt;7,COUNT(O98:T98)&lt;&gt;6,COUNT(AI98:AL98)&lt;&gt;4,COUNT(AN98)&lt;&gt;1,COUNT(AP98)&lt;&gt;1,COUNT(X98)&lt;&gt;1,Y98="",N98="",AM98=""),"Missing inputs",IF(OR(Z98&lt;=0,G98&lt;0,H98&lt;0,J98&lt;1,J98&gt;30,J98&lt;&gt;INT(J98),MIN(I98,K98,L98,Q98,R98,AI98,AL98)&lt;0,MAX(I98,K98,L98,Q98,R98,AI98,AL98)&gt;1,X98&lt;0,X98&gt;AA98,AP98&lt;0,M98&lt;0,M98&lt;&gt;INT(M98),S98&lt;0,T98&lt;0,AJ98&lt;0,AK98&lt;0,AK98&gt;30,AK98&lt;&gt;INT(AK98),AN98&lt;0,AN98&gt;5,AN98&gt;J98,AN98&lt;&gt;INT(AN98),AND(AN98&gt;0,AQ98=""),NOT(OR(AM98="Yes",AM98="No")),AND(N98&lt;&gt;"Auto",OR(AG98="",AH98=""))),"Review inputs",IF(INDEX(Borrowers!$AA$9:$AA$108,MATCH(D98,Borrowers!$C$9:$C$108,0))&lt;&gt;"Ready","Borrower review","Ready"))))))</x:f>
      </x:c>
      <x:c r="AG98" s="16"/>
      <x:c r="AH98" s="16"/>
      <x:c r="AI98" s="11"/>
      <x:c r="AJ98" s="11"/>
      <x:c r="AK98" s="22"/>
      <x:c r="AL98" s="11"/>
      <x:c r="AM98" s="16"/>
      <x:c r="AN98" s="22"/>
      <x:c r="AO98" s="21" t="str">
        <x:f>IF(C98="","",AA98+AB98*AI98)</x:f>
      </x:c>
      <x:c r="AP98" s="16"/>
      <x:c r="AQ98" s="8"/>
    </x:row>
    <x:row r="99" ht="36" customHeight="1">
      <x:c r="A99" s="1"/>
      <x:c r="B99" s="1"/>
      <x:c r="C99" s="8"/>
      <x:c r="D99" s="8"/>
      <x:c r="E99" s="8"/>
      <x:c r="F99" s="8"/>
      <x:c r="G99" s="16"/>
      <x:c r="H99" s="16"/>
      <x:c r="I99" s="11"/>
      <x:c r="J99" s="22"/>
      <x:c r="K99" s="11"/>
      <x:c r="L99" s="11"/>
      <x:c r="M99" s="22"/>
      <x:c r="N99" s="16"/>
      <x:c r="O99" s="16"/>
      <x:c r="P99" s="16"/>
      <x:c r="Q99" s="11"/>
      <x:c r="R99" s="11"/>
      <x:c r="S99" s="11"/>
      <x:c r="T99" s="11"/>
      <x:c r="U99" s="16"/>
      <x:c r="V99" s="16"/>
      <x:c r="W99" s="16"/>
      <x:c r="X99" s="16"/>
      <x:c r="Y99" s="16"/>
      <x:c r="Z99" s="23" t="str">
        <x:f>IF(C99="","",IFERROR(INDEX(Settings!$D$41:$D$44,MATCH(F99,Settings!$C$41:$C$44,0)),0))</x:f>
      </x:c>
      <x:c r="AA99" s="21" t="str">
        <x:f>IF(C99="","",G99*Z99)</x:f>
      </x:c>
      <x:c r="AB99" s="21" t="str">
        <x:f>IF(C99="","",H99*Z99)</x:f>
      </x:c>
      <x:c r="AC99" s="21" t="str">
        <x:f>IF(C99="","",AA99+AB99*I99)</x:f>
      </x:c>
      <x:c r="AD99" s="23" t="str">
        <x:f>IF(C99="","",IFERROR(IF(OR(INDEX(Borrowers!$Z$9:$Z$108,MATCH(D99,Borrowers!$C$9:$C$108,0))="Yes",M99&gt;=90),3,IF(AND(N99&lt;&gt;"Auto",AG99&lt;&gt;"",AH99&lt;&gt;""),VALUE(N99),IF(OR(M99&gt;=30,AM99="Yes",AND(INDEX(Borrowers!$P$9:$P$108,MATCH(D99,Borrowers!$C$9:$C$108,0))&gt;=L99*Settings!$F$19,INDEX(Borrowers!$P$9:$P$108,MATCH(D99,Borrowers!$C$9:$C$108,0))-L99&gt;=Settings!$F$20)),2,1))),"Missing borrower"))</x:f>
      </x:c>
      <x:c r="AE99" s="21" t="str">
        <x:f>IF(C99="","",MAX(0,AA99-X99)*IF(AD99=3,AJ99,S99)+AB99*AI99*S99)</x:f>
      </x:c>
      <x:c r="AF99" s="23" t="str">
        <x:f>IF(C99="","",IF(COUNTIF($C$9:$C$108,C99)&lt;&gt;1,"Duplicate facility",IF(COUNTIF(Borrowers!$C$9:$C$108,D99)&lt;&gt;1,"Missing borrower",IF(OR(COUNT(G99:M99)&lt;&gt;7,COUNT(O99:T99)&lt;&gt;6,COUNT(AI99:AL99)&lt;&gt;4,COUNT(AN99)&lt;&gt;1,COUNT(AP99)&lt;&gt;1,COUNT(X99)&lt;&gt;1,Y99="",N99="",AM99=""),"Missing inputs",IF(OR(Z99&lt;=0,G99&lt;0,H99&lt;0,J99&lt;1,J99&gt;30,J99&lt;&gt;INT(J99),MIN(I99,K99,L99,Q99,R99,AI99,AL99)&lt;0,MAX(I99,K99,L99,Q99,R99,AI99,AL99)&gt;1,X99&lt;0,X99&gt;AA99,AP99&lt;0,M99&lt;0,M99&lt;&gt;INT(M99),S99&lt;0,T99&lt;0,AJ99&lt;0,AK99&lt;0,AK99&gt;30,AK99&lt;&gt;INT(AK99),AN99&lt;0,AN99&gt;5,AN99&gt;J99,AN99&lt;&gt;INT(AN99),AND(AN99&gt;0,AQ99=""),NOT(OR(AM99="Yes",AM99="No")),AND(N99&lt;&gt;"Auto",OR(AG99="",AH99=""))),"Review inputs",IF(INDEX(Borrowers!$AA$9:$AA$108,MATCH(D99,Borrowers!$C$9:$C$108,0))&lt;&gt;"Ready","Borrower review","Ready"))))))</x:f>
      </x:c>
      <x:c r="AG99" s="16"/>
      <x:c r="AH99" s="16"/>
      <x:c r="AI99" s="11"/>
      <x:c r="AJ99" s="11"/>
      <x:c r="AK99" s="22"/>
      <x:c r="AL99" s="11"/>
      <x:c r="AM99" s="16"/>
      <x:c r="AN99" s="22"/>
      <x:c r="AO99" s="21" t="str">
        <x:f>IF(C99="","",AA99+AB99*AI99)</x:f>
      </x:c>
      <x:c r="AP99" s="16"/>
      <x:c r="AQ99" s="8"/>
    </x:row>
    <x:row r="100" ht="36" customHeight="1">
      <x:c r="A100" s="1"/>
      <x:c r="B100" s="1"/>
      <x:c r="C100" s="8"/>
      <x:c r="D100" s="8"/>
      <x:c r="E100" s="8"/>
      <x:c r="F100" s="8"/>
      <x:c r="G100" s="16"/>
      <x:c r="H100" s="16"/>
      <x:c r="I100" s="11"/>
      <x:c r="J100" s="22"/>
      <x:c r="K100" s="11"/>
      <x:c r="L100" s="11"/>
      <x:c r="M100" s="22"/>
      <x:c r="N100" s="16"/>
      <x:c r="O100" s="16"/>
      <x:c r="P100" s="16"/>
      <x:c r="Q100" s="11"/>
      <x:c r="R100" s="11"/>
      <x:c r="S100" s="11"/>
      <x:c r="T100" s="11"/>
      <x:c r="U100" s="16"/>
      <x:c r="V100" s="16"/>
      <x:c r="W100" s="16"/>
      <x:c r="X100" s="16"/>
      <x:c r="Y100" s="16"/>
      <x:c r="Z100" s="23" t="str">
        <x:f>IF(C100="","",IFERROR(INDEX(Settings!$D$41:$D$44,MATCH(F100,Settings!$C$41:$C$44,0)),0))</x:f>
      </x:c>
      <x:c r="AA100" s="21" t="str">
        <x:f>IF(C100="","",G100*Z100)</x:f>
      </x:c>
      <x:c r="AB100" s="21" t="str">
        <x:f>IF(C100="","",H100*Z100)</x:f>
      </x:c>
      <x:c r="AC100" s="21" t="str">
        <x:f>IF(C100="","",AA100+AB100*I100)</x:f>
      </x:c>
      <x:c r="AD100" s="23" t="str">
        <x:f>IF(C100="","",IFERROR(IF(OR(INDEX(Borrowers!$Z$9:$Z$108,MATCH(D100,Borrowers!$C$9:$C$108,0))="Yes",M100&gt;=90),3,IF(AND(N100&lt;&gt;"Auto",AG100&lt;&gt;"",AH100&lt;&gt;""),VALUE(N100),IF(OR(M100&gt;=30,AM100="Yes",AND(INDEX(Borrowers!$P$9:$P$108,MATCH(D100,Borrowers!$C$9:$C$108,0))&gt;=L100*Settings!$F$19,INDEX(Borrowers!$P$9:$P$108,MATCH(D100,Borrowers!$C$9:$C$108,0))-L100&gt;=Settings!$F$20)),2,1))),"Missing borrower"))</x:f>
      </x:c>
      <x:c r="AE100" s="21" t="str">
        <x:f>IF(C100="","",MAX(0,AA100-X100)*IF(AD100=3,AJ100,S100)+AB100*AI100*S100)</x:f>
      </x:c>
      <x:c r="AF100" s="23" t="str">
        <x:f>IF(C100="","",IF(COUNTIF($C$9:$C$108,C100)&lt;&gt;1,"Duplicate facility",IF(COUNTIF(Borrowers!$C$9:$C$108,D100)&lt;&gt;1,"Missing borrower",IF(OR(COUNT(G100:M100)&lt;&gt;7,COUNT(O100:T100)&lt;&gt;6,COUNT(AI100:AL100)&lt;&gt;4,COUNT(AN100)&lt;&gt;1,COUNT(AP100)&lt;&gt;1,COUNT(X100)&lt;&gt;1,Y100="",N100="",AM100=""),"Missing inputs",IF(OR(Z100&lt;=0,G100&lt;0,H100&lt;0,J100&lt;1,J100&gt;30,J100&lt;&gt;INT(J100),MIN(I100,K100,L100,Q100,R100,AI100,AL100)&lt;0,MAX(I100,K100,L100,Q100,R100,AI100,AL100)&gt;1,X100&lt;0,X100&gt;AA100,AP100&lt;0,M100&lt;0,M100&lt;&gt;INT(M100),S100&lt;0,T100&lt;0,AJ100&lt;0,AK100&lt;0,AK100&gt;30,AK100&lt;&gt;INT(AK100),AN100&lt;0,AN100&gt;5,AN100&gt;J100,AN100&lt;&gt;INT(AN100),AND(AN100&gt;0,AQ100=""),NOT(OR(AM100="Yes",AM100="No")),AND(N100&lt;&gt;"Auto",OR(AG100="",AH100=""))),"Review inputs",IF(INDEX(Borrowers!$AA$9:$AA$108,MATCH(D100,Borrowers!$C$9:$C$108,0))&lt;&gt;"Ready","Borrower review","Ready"))))))</x:f>
      </x:c>
      <x:c r="AG100" s="16"/>
      <x:c r="AH100" s="16"/>
      <x:c r="AI100" s="11"/>
      <x:c r="AJ100" s="11"/>
      <x:c r="AK100" s="22"/>
      <x:c r="AL100" s="11"/>
      <x:c r="AM100" s="16"/>
      <x:c r="AN100" s="22"/>
      <x:c r="AO100" s="21" t="str">
        <x:f>IF(C100="","",AA100+AB100*AI100)</x:f>
      </x:c>
      <x:c r="AP100" s="16"/>
      <x:c r="AQ100" s="8"/>
    </x:row>
    <x:row r="101" ht="36" customHeight="1">
      <x:c r="A101" s="1"/>
      <x:c r="B101" s="1"/>
      <x:c r="C101" s="8"/>
      <x:c r="D101" s="8"/>
      <x:c r="E101" s="8"/>
      <x:c r="F101" s="8"/>
      <x:c r="G101" s="16"/>
      <x:c r="H101" s="16"/>
      <x:c r="I101" s="11"/>
      <x:c r="J101" s="22"/>
      <x:c r="K101" s="11"/>
      <x:c r="L101" s="11"/>
      <x:c r="M101" s="22"/>
      <x:c r="N101" s="16"/>
      <x:c r="O101" s="16"/>
      <x:c r="P101" s="16"/>
      <x:c r="Q101" s="11"/>
      <x:c r="R101" s="11"/>
      <x:c r="S101" s="11"/>
      <x:c r="T101" s="11"/>
      <x:c r="U101" s="16"/>
      <x:c r="V101" s="16"/>
      <x:c r="W101" s="16"/>
      <x:c r="X101" s="16"/>
      <x:c r="Y101" s="16"/>
      <x:c r="Z101" s="23" t="str">
        <x:f>IF(C101="","",IFERROR(INDEX(Settings!$D$41:$D$44,MATCH(F101,Settings!$C$41:$C$44,0)),0))</x:f>
      </x:c>
      <x:c r="AA101" s="21" t="str">
        <x:f>IF(C101="","",G101*Z101)</x:f>
      </x:c>
      <x:c r="AB101" s="21" t="str">
        <x:f>IF(C101="","",H101*Z101)</x:f>
      </x:c>
      <x:c r="AC101" s="21" t="str">
        <x:f>IF(C101="","",AA101+AB101*I101)</x:f>
      </x:c>
      <x:c r="AD101" s="23" t="str">
        <x:f>IF(C101="","",IFERROR(IF(OR(INDEX(Borrowers!$Z$9:$Z$108,MATCH(D101,Borrowers!$C$9:$C$108,0))="Yes",M101&gt;=90),3,IF(AND(N101&lt;&gt;"Auto",AG101&lt;&gt;"",AH101&lt;&gt;""),VALUE(N101),IF(OR(M101&gt;=30,AM101="Yes",AND(INDEX(Borrowers!$P$9:$P$108,MATCH(D101,Borrowers!$C$9:$C$108,0))&gt;=L101*Settings!$F$19,INDEX(Borrowers!$P$9:$P$108,MATCH(D101,Borrowers!$C$9:$C$108,0))-L101&gt;=Settings!$F$20)),2,1))),"Missing borrower"))</x:f>
      </x:c>
      <x:c r="AE101" s="21" t="str">
        <x:f>IF(C101="","",MAX(0,AA101-X101)*IF(AD101=3,AJ101,S101)+AB101*AI101*S101)</x:f>
      </x:c>
      <x:c r="AF101" s="23" t="str">
        <x:f>IF(C101="","",IF(COUNTIF($C$9:$C$108,C101)&lt;&gt;1,"Duplicate facility",IF(COUNTIF(Borrowers!$C$9:$C$108,D101)&lt;&gt;1,"Missing borrower",IF(OR(COUNT(G101:M101)&lt;&gt;7,COUNT(O101:T101)&lt;&gt;6,COUNT(AI101:AL101)&lt;&gt;4,COUNT(AN101)&lt;&gt;1,COUNT(AP101)&lt;&gt;1,COUNT(X101)&lt;&gt;1,Y101="",N101="",AM101=""),"Missing inputs",IF(OR(Z101&lt;=0,G101&lt;0,H101&lt;0,J101&lt;1,J101&gt;30,J101&lt;&gt;INT(J101),MIN(I101,K101,L101,Q101,R101,AI101,AL101)&lt;0,MAX(I101,K101,L101,Q101,R101,AI101,AL101)&gt;1,X101&lt;0,X101&gt;AA101,AP101&lt;0,M101&lt;0,M101&lt;&gt;INT(M101),S101&lt;0,T101&lt;0,AJ101&lt;0,AK101&lt;0,AK101&gt;30,AK101&lt;&gt;INT(AK101),AN101&lt;0,AN101&gt;5,AN101&gt;J101,AN101&lt;&gt;INT(AN101),AND(AN101&gt;0,AQ101=""),NOT(OR(AM101="Yes",AM101="No")),AND(N101&lt;&gt;"Auto",OR(AG101="",AH101=""))),"Review inputs",IF(INDEX(Borrowers!$AA$9:$AA$108,MATCH(D101,Borrowers!$C$9:$C$108,0))&lt;&gt;"Ready","Borrower review","Ready"))))))</x:f>
      </x:c>
      <x:c r="AG101" s="16"/>
      <x:c r="AH101" s="16"/>
      <x:c r="AI101" s="11"/>
      <x:c r="AJ101" s="11"/>
      <x:c r="AK101" s="22"/>
      <x:c r="AL101" s="11"/>
      <x:c r="AM101" s="16"/>
      <x:c r="AN101" s="22"/>
      <x:c r="AO101" s="21" t="str">
        <x:f>IF(C101="","",AA101+AB101*AI101)</x:f>
      </x:c>
      <x:c r="AP101" s="16"/>
      <x:c r="AQ101" s="8"/>
    </x:row>
    <x:row r="102" ht="36" customHeight="1">
      <x:c r="A102" s="1"/>
      <x:c r="B102" s="1"/>
      <x:c r="C102" s="8"/>
      <x:c r="D102" s="8"/>
      <x:c r="E102" s="8"/>
      <x:c r="F102" s="8"/>
      <x:c r="G102" s="16"/>
      <x:c r="H102" s="16"/>
      <x:c r="I102" s="11"/>
      <x:c r="J102" s="22"/>
      <x:c r="K102" s="11"/>
      <x:c r="L102" s="11"/>
      <x:c r="M102" s="22"/>
      <x:c r="N102" s="16"/>
      <x:c r="O102" s="16"/>
      <x:c r="P102" s="16"/>
      <x:c r="Q102" s="11"/>
      <x:c r="R102" s="11"/>
      <x:c r="S102" s="11"/>
      <x:c r="T102" s="11"/>
      <x:c r="U102" s="16"/>
      <x:c r="V102" s="16"/>
      <x:c r="W102" s="16"/>
      <x:c r="X102" s="16"/>
      <x:c r="Y102" s="16"/>
      <x:c r="Z102" s="23" t="str">
        <x:f>IF(C102="","",IFERROR(INDEX(Settings!$D$41:$D$44,MATCH(F102,Settings!$C$41:$C$44,0)),0))</x:f>
      </x:c>
      <x:c r="AA102" s="21" t="str">
        <x:f>IF(C102="","",G102*Z102)</x:f>
      </x:c>
      <x:c r="AB102" s="21" t="str">
        <x:f>IF(C102="","",H102*Z102)</x:f>
      </x:c>
      <x:c r="AC102" s="21" t="str">
        <x:f>IF(C102="","",AA102+AB102*I102)</x:f>
      </x:c>
      <x:c r="AD102" s="23" t="str">
        <x:f>IF(C102="","",IFERROR(IF(OR(INDEX(Borrowers!$Z$9:$Z$108,MATCH(D102,Borrowers!$C$9:$C$108,0))="Yes",M102&gt;=90),3,IF(AND(N102&lt;&gt;"Auto",AG102&lt;&gt;"",AH102&lt;&gt;""),VALUE(N102),IF(OR(M102&gt;=30,AM102="Yes",AND(INDEX(Borrowers!$P$9:$P$108,MATCH(D102,Borrowers!$C$9:$C$108,0))&gt;=L102*Settings!$F$19,INDEX(Borrowers!$P$9:$P$108,MATCH(D102,Borrowers!$C$9:$C$108,0))-L102&gt;=Settings!$F$20)),2,1))),"Missing borrower"))</x:f>
      </x:c>
      <x:c r="AE102" s="21" t="str">
        <x:f>IF(C102="","",MAX(0,AA102-X102)*IF(AD102=3,AJ102,S102)+AB102*AI102*S102)</x:f>
      </x:c>
      <x:c r="AF102" s="23" t="str">
        <x:f>IF(C102="","",IF(COUNTIF($C$9:$C$108,C102)&lt;&gt;1,"Duplicate facility",IF(COUNTIF(Borrowers!$C$9:$C$108,D102)&lt;&gt;1,"Missing borrower",IF(OR(COUNT(G102:M102)&lt;&gt;7,COUNT(O102:T102)&lt;&gt;6,COUNT(AI102:AL102)&lt;&gt;4,COUNT(AN102)&lt;&gt;1,COUNT(AP102)&lt;&gt;1,COUNT(X102)&lt;&gt;1,Y102="",N102="",AM102=""),"Missing inputs",IF(OR(Z102&lt;=0,G102&lt;0,H102&lt;0,J102&lt;1,J102&gt;30,J102&lt;&gt;INT(J102),MIN(I102,K102,L102,Q102,R102,AI102,AL102)&lt;0,MAX(I102,K102,L102,Q102,R102,AI102,AL102)&gt;1,X102&lt;0,X102&gt;AA102,AP102&lt;0,M102&lt;0,M102&lt;&gt;INT(M102),S102&lt;0,T102&lt;0,AJ102&lt;0,AK102&lt;0,AK102&gt;30,AK102&lt;&gt;INT(AK102),AN102&lt;0,AN102&gt;5,AN102&gt;J102,AN102&lt;&gt;INT(AN102),AND(AN102&gt;0,AQ102=""),NOT(OR(AM102="Yes",AM102="No")),AND(N102&lt;&gt;"Auto",OR(AG102="",AH102=""))),"Review inputs",IF(INDEX(Borrowers!$AA$9:$AA$108,MATCH(D102,Borrowers!$C$9:$C$108,0))&lt;&gt;"Ready","Borrower review","Ready"))))))</x:f>
      </x:c>
      <x:c r="AG102" s="16"/>
      <x:c r="AH102" s="16"/>
      <x:c r="AI102" s="11"/>
      <x:c r="AJ102" s="11"/>
      <x:c r="AK102" s="22"/>
      <x:c r="AL102" s="11"/>
      <x:c r="AM102" s="16"/>
      <x:c r="AN102" s="22"/>
      <x:c r="AO102" s="21" t="str">
        <x:f>IF(C102="","",AA102+AB102*AI102)</x:f>
      </x:c>
      <x:c r="AP102" s="16"/>
      <x:c r="AQ102" s="8"/>
    </x:row>
    <x:row r="103" ht="36" customHeight="1">
      <x:c r="A103" s="1"/>
      <x:c r="B103" s="1"/>
      <x:c r="C103" s="8"/>
      <x:c r="D103" s="8"/>
      <x:c r="E103" s="8"/>
      <x:c r="F103" s="8"/>
      <x:c r="G103" s="16"/>
      <x:c r="H103" s="16"/>
      <x:c r="I103" s="11"/>
      <x:c r="J103" s="22"/>
      <x:c r="K103" s="11"/>
      <x:c r="L103" s="11"/>
      <x:c r="M103" s="22"/>
      <x:c r="N103" s="16"/>
      <x:c r="O103" s="16"/>
      <x:c r="P103" s="16"/>
      <x:c r="Q103" s="11"/>
      <x:c r="R103" s="11"/>
      <x:c r="S103" s="11"/>
      <x:c r="T103" s="11"/>
      <x:c r="U103" s="16"/>
      <x:c r="V103" s="16"/>
      <x:c r="W103" s="16"/>
      <x:c r="X103" s="16"/>
      <x:c r="Y103" s="16"/>
      <x:c r="Z103" s="23" t="str">
        <x:f>IF(C103="","",IFERROR(INDEX(Settings!$D$41:$D$44,MATCH(F103,Settings!$C$41:$C$44,0)),0))</x:f>
      </x:c>
      <x:c r="AA103" s="21" t="str">
        <x:f>IF(C103="","",G103*Z103)</x:f>
      </x:c>
      <x:c r="AB103" s="21" t="str">
        <x:f>IF(C103="","",H103*Z103)</x:f>
      </x:c>
      <x:c r="AC103" s="21" t="str">
        <x:f>IF(C103="","",AA103+AB103*I103)</x:f>
      </x:c>
      <x:c r="AD103" s="23" t="str">
        <x:f>IF(C103="","",IFERROR(IF(OR(INDEX(Borrowers!$Z$9:$Z$108,MATCH(D103,Borrowers!$C$9:$C$108,0))="Yes",M103&gt;=90),3,IF(AND(N103&lt;&gt;"Auto",AG103&lt;&gt;"",AH103&lt;&gt;""),VALUE(N103),IF(OR(M103&gt;=30,AM103="Yes",AND(INDEX(Borrowers!$P$9:$P$108,MATCH(D103,Borrowers!$C$9:$C$108,0))&gt;=L103*Settings!$F$19,INDEX(Borrowers!$P$9:$P$108,MATCH(D103,Borrowers!$C$9:$C$108,0))-L103&gt;=Settings!$F$20)),2,1))),"Missing borrower"))</x:f>
      </x:c>
      <x:c r="AE103" s="21" t="str">
        <x:f>IF(C103="","",MAX(0,AA103-X103)*IF(AD103=3,AJ103,S103)+AB103*AI103*S103)</x:f>
      </x:c>
      <x:c r="AF103" s="23" t="str">
        <x:f>IF(C103="","",IF(COUNTIF($C$9:$C$108,C103)&lt;&gt;1,"Duplicate facility",IF(COUNTIF(Borrowers!$C$9:$C$108,D103)&lt;&gt;1,"Missing borrower",IF(OR(COUNT(G103:M103)&lt;&gt;7,COUNT(O103:T103)&lt;&gt;6,COUNT(AI103:AL103)&lt;&gt;4,COUNT(AN103)&lt;&gt;1,COUNT(AP103)&lt;&gt;1,COUNT(X103)&lt;&gt;1,Y103="",N103="",AM103=""),"Missing inputs",IF(OR(Z103&lt;=0,G103&lt;0,H103&lt;0,J103&lt;1,J103&gt;30,J103&lt;&gt;INT(J103),MIN(I103,K103,L103,Q103,R103,AI103,AL103)&lt;0,MAX(I103,K103,L103,Q103,R103,AI103,AL103)&gt;1,X103&lt;0,X103&gt;AA103,AP103&lt;0,M103&lt;0,M103&lt;&gt;INT(M103),S103&lt;0,T103&lt;0,AJ103&lt;0,AK103&lt;0,AK103&gt;30,AK103&lt;&gt;INT(AK103),AN103&lt;0,AN103&gt;5,AN103&gt;J103,AN103&lt;&gt;INT(AN103),AND(AN103&gt;0,AQ103=""),NOT(OR(AM103="Yes",AM103="No")),AND(N103&lt;&gt;"Auto",OR(AG103="",AH103=""))),"Review inputs",IF(INDEX(Borrowers!$AA$9:$AA$108,MATCH(D103,Borrowers!$C$9:$C$108,0))&lt;&gt;"Ready","Borrower review","Ready"))))))</x:f>
      </x:c>
      <x:c r="AG103" s="16"/>
      <x:c r="AH103" s="16"/>
      <x:c r="AI103" s="11"/>
      <x:c r="AJ103" s="11"/>
      <x:c r="AK103" s="22"/>
      <x:c r="AL103" s="11"/>
      <x:c r="AM103" s="16"/>
      <x:c r="AN103" s="22"/>
      <x:c r="AO103" s="21" t="str">
        <x:f>IF(C103="","",AA103+AB103*AI103)</x:f>
      </x:c>
      <x:c r="AP103" s="16"/>
      <x:c r="AQ103" s="8"/>
    </x:row>
    <x:row r="104" ht="36" customHeight="1">
      <x:c r="A104" s="1"/>
      <x:c r="B104" s="1"/>
      <x:c r="C104" s="8"/>
      <x:c r="D104" s="8"/>
      <x:c r="E104" s="8"/>
      <x:c r="F104" s="8"/>
      <x:c r="G104" s="16"/>
      <x:c r="H104" s="16"/>
      <x:c r="I104" s="11"/>
      <x:c r="J104" s="22"/>
      <x:c r="K104" s="11"/>
      <x:c r="L104" s="11"/>
      <x:c r="M104" s="22"/>
      <x:c r="N104" s="16"/>
      <x:c r="O104" s="16"/>
      <x:c r="P104" s="16"/>
      <x:c r="Q104" s="11"/>
      <x:c r="R104" s="11"/>
      <x:c r="S104" s="11"/>
      <x:c r="T104" s="11"/>
      <x:c r="U104" s="16"/>
      <x:c r="V104" s="16"/>
      <x:c r="W104" s="16"/>
      <x:c r="X104" s="16"/>
      <x:c r="Y104" s="16"/>
      <x:c r="Z104" s="23" t="str">
        <x:f>IF(C104="","",IFERROR(INDEX(Settings!$D$41:$D$44,MATCH(F104,Settings!$C$41:$C$44,0)),0))</x:f>
      </x:c>
      <x:c r="AA104" s="21" t="str">
        <x:f>IF(C104="","",G104*Z104)</x:f>
      </x:c>
      <x:c r="AB104" s="21" t="str">
        <x:f>IF(C104="","",H104*Z104)</x:f>
      </x:c>
      <x:c r="AC104" s="21" t="str">
        <x:f>IF(C104="","",AA104+AB104*I104)</x:f>
      </x:c>
      <x:c r="AD104" s="23" t="str">
        <x:f>IF(C104="","",IFERROR(IF(OR(INDEX(Borrowers!$Z$9:$Z$108,MATCH(D104,Borrowers!$C$9:$C$108,0))="Yes",M104&gt;=90),3,IF(AND(N104&lt;&gt;"Auto",AG104&lt;&gt;"",AH104&lt;&gt;""),VALUE(N104),IF(OR(M104&gt;=30,AM104="Yes",AND(INDEX(Borrowers!$P$9:$P$108,MATCH(D104,Borrowers!$C$9:$C$108,0))&gt;=L104*Settings!$F$19,INDEX(Borrowers!$P$9:$P$108,MATCH(D104,Borrowers!$C$9:$C$108,0))-L104&gt;=Settings!$F$20)),2,1))),"Missing borrower"))</x:f>
      </x:c>
      <x:c r="AE104" s="21" t="str">
        <x:f>IF(C104="","",MAX(0,AA104-X104)*IF(AD104=3,AJ104,S104)+AB104*AI104*S104)</x:f>
      </x:c>
      <x:c r="AF104" s="23" t="str">
        <x:f>IF(C104="","",IF(COUNTIF($C$9:$C$108,C104)&lt;&gt;1,"Duplicate facility",IF(COUNTIF(Borrowers!$C$9:$C$108,D104)&lt;&gt;1,"Missing borrower",IF(OR(COUNT(G104:M104)&lt;&gt;7,COUNT(O104:T104)&lt;&gt;6,COUNT(AI104:AL104)&lt;&gt;4,COUNT(AN104)&lt;&gt;1,COUNT(AP104)&lt;&gt;1,COUNT(X104)&lt;&gt;1,Y104="",N104="",AM104=""),"Missing inputs",IF(OR(Z104&lt;=0,G104&lt;0,H104&lt;0,J104&lt;1,J104&gt;30,J104&lt;&gt;INT(J104),MIN(I104,K104,L104,Q104,R104,AI104,AL104)&lt;0,MAX(I104,K104,L104,Q104,R104,AI104,AL104)&gt;1,X104&lt;0,X104&gt;AA104,AP104&lt;0,M104&lt;0,M104&lt;&gt;INT(M104),S104&lt;0,T104&lt;0,AJ104&lt;0,AK104&lt;0,AK104&gt;30,AK104&lt;&gt;INT(AK104),AN104&lt;0,AN104&gt;5,AN104&gt;J104,AN104&lt;&gt;INT(AN104),AND(AN104&gt;0,AQ104=""),NOT(OR(AM104="Yes",AM104="No")),AND(N104&lt;&gt;"Auto",OR(AG104="",AH104=""))),"Review inputs",IF(INDEX(Borrowers!$AA$9:$AA$108,MATCH(D104,Borrowers!$C$9:$C$108,0))&lt;&gt;"Ready","Borrower review","Ready"))))))</x:f>
      </x:c>
      <x:c r="AG104" s="16"/>
      <x:c r="AH104" s="16"/>
      <x:c r="AI104" s="11"/>
      <x:c r="AJ104" s="11"/>
      <x:c r="AK104" s="22"/>
      <x:c r="AL104" s="11"/>
      <x:c r="AM104" s="16"/>
      <x:c r="AN104" s="22"/>
      <x:c r="AO104" s="21" t="str">
        <x:f>IF(C104="","",AA104+AB104*AI104)</x:f>
      </x:c>
      <x:c r="AP104" s="16"/>
      <x:c r="AQ104" s="8"/>
    </x:row>
    <x:row r="105" ht="36" customHeight="1">
      <x:c r="A105" s="1"/>
      <x:c r="B105" s="1"/>
      <x:c r="C105" s="8"/>
      <x:c r="D105" s="8"/>
      <x:c r="E105" s="8"/>
      <x:c r="F105" s="8"/>
      <x:c r="G105" s="16"/>
      <x:c r="H105" s="16"/>
      <x:c r="I105" s="11"/>
      <x:c r="J105" s="22"/>
      <x:c r="K105" s="11"/>
      <x:c r="L105" s="11"/>
      <x:c r="M105" s="22"/>
      <x:c r="N105" s="16"/>
      <x:c r="O105" s="16"/>
      <x:c r="P105" s="16"/>
      <x:c r="Q105" s="11"/>
      <x:c r="R105" s="11"/>
      <x:c r="S105" s="11"/>
      <x:c r="T105" s="11"/>
      <x:c r="U105" s="16"/>
      <x:c r="V105" s="16"/>
      <x:c r="W105" s="16"/>
      <x:c r="X105" s="16"/>
      <x:c r="Y105" s="16"/>
      <x:c r="Z105" s="23" t="str">
        <x:f>IF(C105="","",IFERROR(INDEX(Settings!$D$41:$D$44,MATCH(F105,Settings!$C$41:$C$44,0)),0))</x:f>
      </x:c>
      <x:c r="AA105" s="21" t="str">
        <x:f>IF(C105="","",G105*Z105)</x:f>
      </x:c>
      <x:c r="AB105" s="21" t="str">
        <x:f>IF(C105="","",H105*Z105)</x:f>
      </x:c>
      <x:c r="AC105" s="21" t="str">
        <x:f>IF(C105="","",AA105+AB105*I105)</x:f>
      </x:c>
      <x:c r="AD105" s="23" t="str">
        <x:f>IF(C105="","",IFERROR(IF(OR(INDEX(Borrowers!$Z$9:$Z$108,MATCH(D105,Borrowers!$C$9:$C$108,0))="Yes",M105&gt;=90),3,IF(AND(N105&lt;&gt;"Auto",AG105&lt;&gt;"",AH105&lt;&gt;""),VALUE(N105),IF(OR(M105&gt;=30,AM105="Yes",AND(INDEX(Borrowers!$P$9:$P$108,MATCH(D105,Borrowers!$C$9:$C$108,0))&gt;=L105*Settings!$F$19,INDEX(Borrowers!$P$9:$P$108,MATCH(D105,Borrowers!$C$9:$C$108,0))-L105&gt;=Settings!$F$20)),2,1))),"Missing borrower"))</x:f>
      </x:c>
      <x:c r="AE105" s="21" t="str">
        <x:f>IF(C105="","",MAX(0,AA105-X105)*IF(AD105=3,AJ105,S105)+AB105*AI105*S105)</x:f>
      </x:c>
      <x:c r="AF105" s="23" t="str">
        <x:f>IF(C105="","",IF(COUNTIF($C$9:$C$108,C105)&lt;&gt;1,"Duplicate facility",IF(COUNTIF(Borrowers!$C$9:$C$108,D105)&lt;&gt;1,"Missing borrower",IF(OR(COUNT(G105:M105)&lt;&gt;7,COUNT(O105:T105)&lt;&gt;6,COUNT(AI105:AL105)&lt;&gt;4,COUNT(AN105)&lt;&gt;1,COUNT(AP105)&lt;&gt;1,COUNT(X105)&lt;&gt;1,Y105="",N105="",AM105=""),"Missing inputs",IF(OR(Z105&lt;=0,G105&lt;0,H105&lt;0,J105&lt;1,J105&gt;30,J105&lt;&gt;INT(J105),MIN(I105,K105,L105,Q105,R105,AI105,AL105)&lt;0,MAX(I105,K105,L105,Q105,R105,AI105,AL105)&gt;1,X105&lt;0,X105&gt;AA105,AP105&lt;0,M105&lt;0,M105&lt;&gt;INT(M105),S105&lt;0,T105&lt;0,AJ105&lt;0,AK105&lt;0,AK105&gt;30,AK105&lt;&gt;INT(AK105),AN105&lt;0,AN105&gt;5,AN105&gt;J105,AN105&lt;&gt;INT(AN105),AND(AN105&gt;0,AQ105=""),NOT(OR(AM105="Yes",AM105="No")),AND(N105&lt;&gt;"Auto",OR(AG105="",AH105=""))),"Review inputs",IF(INDEX(Borrowers!$AA$9:$AA$108,MATCH(D105,Borrowers!$C$9:$C$108,0))&lt;&gt;"Ready","Borrower review","Ready"))))))</x:f>
      </x:c>
      <x:c r="AG105" s="16"/>
      <x:c r="AH105" s="16"/>
      <x:c r="AI105" s="11"/>
      <x:c r="AJ105" s="11"/>
      <x:c r="AK105" s="22"/>
      <x:c r="AL105" s="11"/>
      <x:c r="AM105" s="16"/>
      <x:c r="AN105" s="22"/>
      <x:c r="AO105" s="21" t="str">
        <x:f>IF(C105="","",AA105+AB105*AI105)</x:f>
      </x:c>
      <x:c r="AP105" s="16"/>
      <x:c r="AQ105" s="8"/>
    </x:row>
    <x:row r="106" ht="36" customHeight="1">
      <x:c r="A106" s="1"/>
      <x:c r="B106" s="1"/>
      <x:c r="C106" s="8"/>
      <x:c r="D106" s="8"/>
      <x:c r="E106" s="8"/>
      <x:c r="F106" s="8"/>
      <x:c r="G106" s="16"/>
      <x:c r="H106" s="16"/>
      <x:c r="I106" s="11"/>
      <x:c r="J106" s="22"/>
      <x:c r="K106" s="11"/>
      <x:c r="L106" s="11"/>
      <x:c r="M106" s="22"/>
      <x:c r="N106" s="16"/>
      <x:c r="O106" s="16"/>
      <x:c r="P106" s="16"/>
      <x:c r="Q106" s="11"/>
      <x:c r="R106" s="11"/>
      <x:c r="S106" s="11"/>
      <x:c r="T106" s="11"/>
      <x:c r="U106" s="16"/>
      <x:c r="V106" s="16"/>
      <x:c r="W106" s="16"/>
      <x:c r="X106" s="16"/>
      <x:c r="Y106" s="16"/>
      <x:c r="Z106" s="23" t="str">
        <x:f>IF(C106="","",IFERROR(INDEX(Settings!$D$41:$D$44,MATCH(F106,Settings!$C$41:$C$44,0)),0))</x:f>
      </x:c>
      <x:c r="AA106" s="21" t="str">
        <x:f>IF(C106="","",G106*Z106)</x:f>
      </x:c>
      <x:c r="AB106" s="21" t="str">
        <x:f>IF(C106="","",H106*Z106)</x:f>
      </x:c>
      <x:c r="AC106" s="21" t="str">
        <x:f>IF(C106="","",AA106+AB106*I106)</x:f>
      </x:c>
      <x:c r="AD106" s="23" t="str">
        <x:f>IF(C106="","",IFERROR(IF(OR(INDEX(Borrowers!$Z$9:$Z$108,MATCH(D106,Borrowers!$C$9:$C$108,0))="Yes",M106&gt;=90),3,IF(AND(N106&lt;&gt;"Auto",AG106&lt;&gt;"",AH106&lt;&gt;""),VALUE(N106),IF(OR(M106&gt;=30,AM106="Yes",AND(INDEX(Borrowers!$P$9:$P$108,MATCH(D106,Borrowers!$C$9:$C$108,0))&gt;=L106*Settings!$F$19,INDEX(Borrowers!$P$9:$P$108,MATCH(D106,Borrowers!$C$9:$C$108,0))-L106&gt;=Settings!$F$20)),2,1))),"Missing borrower"))</x:f>
      </x:c>
      <x:c r="AE106" s="21" t="str">
        <x:f>IF(C106="","",MAX(0,AA106-X106)*IF(AD106=3,AJ106,S106)+AB106*AI106*S106)</x:f>
      </x:c>
      <x:c r="AF106" s="23" t="str">
        <x:f>IF(C106="","",IF(COUNTIF($C$9:$C$108,C106)&lt;&gt;1,"Duplicate facility",IF(COUNTIF(Borrowers!$C$9:$C$108,D106)&lt;&gt;1,"Missing borrower",IF(OR(COUNT(G106:M106)&lt;&gt;7,COUNT(O106:T106)&lt;&gt;6,COUNT(AI106:AL106)&lt;&gt;4,COUNT(AN106)&lt;&gt;1,COUNT(AP106)&lt;&gt;1,COUNT(X106)&lt;&gt;1,Y106="",N106="",AM106=""),"Missing inputs",IF(OR(Z106&lt;=0,G106&lt;0,H106&lt;0,J106&lt;1,J106&gt;30,J106&lt;&gt;INT(J106),MIN(I106,K106,L106,Q106,R106,AI106,AL106)&lt;0,MAX(I106,K106,L106,Q106,R106,AI106,AL106)&gt;1,X106&lt;0,X106&gt;AA106,AP106&lt;0,M106&lt;0,M106&lt;&gt;INT(M106),S106&lt;0,T106&lt;0,AJ106&lt;0,AK106&lt;0,AK106&gt;30,AK106&lt;&gt;INT(AK106),AN106&lt;0,AN106&gt;5,AN106&gt;J106,AN106&lt;&gt;INT(AN106),AND(AN106&gt;0,AQ106=""),NOT(OR(AM106="Yes",AM106="No")),AND(N106&lt;&gt;"Auto",OR(AG106="",AH106=""))),"Review inputs",IF(INDEX(Borrowers!$AA$9:$AA$108,MATCH(D106,Borrowers!$C$9:$C$108,0))&lt;&gt;"Ready","Borrower review","Ready"))))))</x:f>
      </x:c>
      <x:c r="AG106" s="16"/>
      <x:c r="AH106" s="16"/>
      <x:c r="AI106" s="11"/>
      <x:c r="AJ106" s="11"/>
      <x:c r="AK106" s="22"/>
      <x:c r="AL106" s="11"/>
      <x:c r="AM106" s="16"/>
      <x:c r="AN106" s="22"/>
      <x:c r="AO106" s="21" t="str">
        <x:f>IF(C106="","",AA106+AB106*AI106)</x:f>
      </x:c>
      <x:c r="AP106" s="16"/>
      <x:c r="AQ106" s="8"/>
    </x:row>
    <x:row r="107" ht="36" customHeight="1">
      <x:c r="A107" s="1"/>
      <x:c r="B107" s="1"/>
      <x:c r="C107" s="8"/>
      <x:c r="D107" s="8"/>
      <x:c r="E107" s="8"/>
      <x:c r="F107" s="8"/>
      <x:c r="G107" s="16"/>
      <x:c r="H107" s="16"/>
      <x:c r="I107" s="11"/>
      <x:c r="J107" s="22"/>
      <x:c r="K107" s="11"/>
      <x:c r="L107" s="11"/>
      <x:c r="M107" s="22"/>
      <x:c r="N107" s="16"/>
      <x:c r="O107" s="16"/>
      <x:c r="P107" s="16"/>
      <x:c r="Q107" s="11"/>
      <x:c r="R107" s="11"/>
      <x:c r="S107" s="11"/>
      <x:c r="T107" s="11"/>
      <x:c r="U107" s="16"/>
      <x:c r="V107" s="16"/>
      <x:c r="W107" s="16"/>
      <x:c r="X107" s="16"/>
      <x:c r="Y107" s="16"/>
      <x:c r="Z107" s="23" t="str">
        <x:f>IF(C107="","",IFERROR(INDEX(Settings!$D$41:$D$44,MATCH(F107,Settings!$C$41:$C$44,0)),0))</x:f>
      </x:c>
      <x:c r="AA107" s="21" t="str">
        <x:f>IF(C107="","",G107*Z107)</x:f>
      </x:c>
      <x:c r="AB107" s="21" t="str">
        <x:f>IF(C107="","",H107*Z107)</x:f>
      </x:c>
      <x:c r="AC107" s="21" t="str">
        <x:f>IF(C107="","",AA107+AB107*I107)</x:f>
      </x:c>
      <x:c r="AD107" s="23" t="str">
        <x:f>IF(C107="","",IFERROR(IF(OR(INDEX(Borrowers!$Z$9:$Z$108,MATCH(D107,Borrowers!$C$9:$C$108,0))="Yes",M107&gt;=90),3,IF(AND(N107&lt;&gt;"Auto",AG107&lt;&gt;"",AH107&lt;&gt;""),VALUE(N107),IF(OR(M107&gt;=30,AM107="Yes",AND(INDEX(Borrowers!$P$9:$P$108,MATCH(D107,Borrowers!$C$9:$C$108,0))&gt;=L107*Settings!$F$19,INDEX(Borrowers!$P$9:$P$108,MATCH(D107,Borrowers!$C$9:$C$108,0))-L107&gt;=Settings!$F$20)),2,1))),"Missing borrower"))</x:f>
      </x:c>
      <x:c r="AE107" s="21" t="str">
        <x:f>IF(C107="","",MAX(0,AA107-X107)*IF(AD107=3,AJ107,S107)+AB107*AI107*S107)</x:f>
      </x:c>
      <x:c r="AF107" s="23" t="str">
        <x:f>IF(C107="","",IF(COUNTIF($C$9:$C$108,C107)&lt;&gt;1,"Duplicate facility",IF(COUNTIF(Borrowers!$C$9:$C$108,D107)&lt;&gt;1,"Missing borrower",IF(OR(COUNT(G107:M107)&lt;&gt;7,COUNT(O107:T107)&lt;&gt;6,COUNT(AI107:AL107)&lt;&gt;4,COUNT(AN107)&lt;&gt;1,COUNT(AP107)&lt;&gt;1,COUNT(X107)&lt;&gt;1,Y107="",N107="",AM107=""),"Missing inputs",IF(OR(Z107&lt;=0,G107&lt;0,H107&lt;0,J107&lt;1,J107&gt;30,J107&lt;&gt;INT(J107),MIN(I107,K107,L107,Q107,R107,AI107,AL107)&lt;0,MAX(I107,K107,L107,Q107,R107,AI107,AL107)&gt;1,X107&lt;0,X107&gt;AA107,AP107&lt;0,M107&lt;0,M107&lt;&gt;INT(M107),S107&lt;0,T107&lt;0,AJ107&lt;0,AK107&lt;0,AK107&gt;30,AK107&lt;&gt;INT(AK107),AN107&lt;0,AN107&gt;5,AN107&gt;J107,AN107&lt;&gt;INT(AN107),AND(AN107&gt;0,AQ107=""),NOT(OR(AM107="Yes",AM107="No")),AND(N107&lt;&gt;"Auto",OR(AG107="",AH107=""))),"Review inputs",IF(INDEX(Borrowers!$AA$9:$AA$108,MATCH(D107,Borrowers!$C$9:$C$108,0))&lt;&gt;"Ready","Borrower review","Ready"))))))</x:f>
      </x:c>
      <x:c r="AG107" s="16"/>
      <x:c r="AH107" s="16"/>
      <x:c r="AI107" s="11"/>
      <x:c r="AJ107" s="11"/>
      <x:c r="AK107" s="22"/>
      <x:c r="AL107" s="11"/>
      <x:c r="AM107" s="16"/>
      <x:c r="AN107" s="22"/>
      <x:c r="AO107" s="21" t="str">
        <x:f>IF(C107="","",AA107+AB107*AI107)</x:f>
      </x:c>
      <x:c r="AP107" s="16"/>
      <x:c r="AQ107" s="8"/>
    </x:row>
    <x:row r="108" ht="36" customHeight="1">
      <x:c r="A108" s="1"/>
      <x:c r="B108" s="1"/>
      <x:c r="C108" s="8"/>
      <x:c r="D108" s="8"/>
      <x:c r="E108" s="8"/>
      <x:c r="F108" s="8"/>
      <x:c r="G108" s="16"/>
      <x:c r="H108" s="16"/>
      <x:c r="I108" s="11"/>
      <x:c r="J108" s="22"/>
      <x:c r="K108" s="11"/>
      <x:c r="L108" s="11"/>
      <x:c r="M108" s="22"/>
      <x:c r="N108" s="16"/>
      <x:c r="O108" s="16"/>
      <x:c r="P108" s="16"/>
      <x:c r="Q108" s="11"/>
      <x:c r="R108" s="11"/>
      <x:c r="S108" s="11"/>
      <x:c r="T108" s="11"/>
      <x:c r="U108" s="16"/>
      <x:c r="V108" s="16"/>
      <x:c r="W108" s="16"/>
      <x:c r="X108" s="16"/>
      <x:c r="Y108" s="16"/>
      <x:c r="Z108" s="23" t="str">
        <x:f>IF(C108="","",IFERROR(INDEX(Settings!$D$41:$D$44,MATCH(F108,Settings!$C$41:$C$44,0)),0))</x:f>
      </x:c>
      <x:c r="AA108" s="21" t="str">
        <x:f>IF(C108="","",G108*Z108)</x:f>
      </x:c>
      <x:c r="AB108" s="21" t="str">
        <x:f>IF(C108="","",H108*Z108)</x:f>
      </x:c>
      <x:c r="AC108" s="21" t="str">
        <x:f>IF(C108="","",AA108+AB108*I108)</x:f>
      </x:c>
      <x:c r="AD108" s="23" t="str">
        <x:f>IF(C108="","",IFERROR(IF(OR(INDEX(Borrowers!$Z$9:$Z$108,MATCH(D108,Borrowers!$C$9:$C$108,0))="Yes",M108&gt;=90),3,IF(AND(N108&lt;&gt;"Auto",AG108&lt;&gt;"",AH108&lt;&gt;""),VALUE(N108),IF(OR(M108&gt;=30,AM108="Yes",AND(INDEX(Borrowers!$P$9:$P$108,MATCH(D108,Borrowers!$C$9:$C$108,0))&gt;=L108*Settings!$F$19,INDEX(Borrowers!$P$9:$P$108,MATCH(D108,Borrowers!$C$9:$C$108,0))-L108&gt;=Settings!$F$20)),2,1))),"Missing borrower"))</x:f>
      </x:c>
      <x:c r="AE108" s="21" t="str">
        <x:f>IF(C108="","",MAX(0,AA108-X108)*IF(AD108=3,AJ108,S108)+AB108*AI108*S108)</x:f>
      </x:c>
      <x:c r="AF108" s="23" t="str">
        <x:f>IF(C108="","",IF(COUNTIF($C$9:$C$108,C108)&lt;&gt;1,"Duplicate facility",IF(COUNTIF(Borrowers!$C$9:$C$108,D108)&lt;&gt;1,"Missing borrower",IF(OR(COUNT(G108:M108)&lt;&gt;7,COUNT(O108:T108)&lt;&gt;6,COUNT(AI108:AL108)&lt;&gt;4,COUNT(AN108)&lt;&gt;1,COUNT(AP108)&lt;&gt;1,COUNT(X108)&lt;&gt;1,Y108="",N108="",AM108=""),"Missing inputs",IF(OR(Z108&lt;=0,G108&lt;0,H108&lt;0,J108&lt;1,J108&gt;30,J108&lt;&gt;INT(J108),MIN(I108,K108,L108,Q108,R108,AI108,AL108)&lt;0,MAX(I108,K108,L108,Q108,R108,AI108,AL108)&gt;1,X108&lt;0,X108&gt;AA108,AP108&lt;0,M108&lt;0,M108&lt;&gt;INT(M108),S108&lt;0,T108&lt;0,AJ108&lt;0,AK108&lt;0,AK108&gt;30,AK108&lt;&gt;INT(AK108),AN108&lt;0,AN108&gt;5,AN108&gt;J108,AN108&lt;&gt;INT(AN108),AND(AN108&gt;0,AQ108=""),NOT(OR(AM108="Yes",AM108="No")),AND(N108&lt;&gt;"Auto",OR(AG108="",AH108=""))),"Review inputs",IF(INDEX(Borrowers!$AA$9:$AA$108,MATCH(D108,Borrowers!$C$9:$C$108,0))&lt;&gt;"Ready","Borrower review","Ready"))))))</x:f>
      </x:c>
      <x:c r="AG108" s="16"/>
      <x:c r="AH108" s="16"/>
      <x:c r="AI108" s="11"/>
      <x:c r="AJ108" s="11"/>
      <x:c r="AK108" s="22"/>
      <x:c r="AL108" s="11"/>
      <x:c r="AM108" s="16"/>
      <x:c r="AN108" s="22"/>
      <x:c r="AO108" s="21" t="str">
        <x:f>IF(C108="","",AA108+AB108*AI108)</x:f>
      </x:c>
      <x:c r="AP108" s="16"/>
      <x:c r="AQ108" s="8"/>
    </x:row>
    <x:row r="109" ht="26" customHeight="1">
      <x:c r="A109" s="1"/>
      <x:c r="B109" s="1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  <x:c r="M109" s="3"/>
      <x:c r="N109" s="3"/>
      <x:c r="O109" s="3"/>
      <x:c r="P109" s="3"/>
      <x:c r="Q109" s="3"/>
      <x:c r="R109" s="3"/>
      <x:c r="S109" s="3"/>
      <x:c r="T109" s="3"/>
      <x:c r="U109" s="3"/>
      <x:c r="V109" s="3"/>
      <x:c r="W109" s="3"/>
      <x:c r="X109" s="3"/>
      <x:c r="Y109" s="3"/>
      <x:c r="Z109" s="3"/>
      <x:c r="AA109" s="3"/>
      <x:c r="AB109" s="3"/>
      <x:c r="AC109" s="3"/>
      <x:c r="AD109" s="3"/>
      <x:c r="AE109" s="3"/>
      <x:c r="AF109" s="3"/>
      <x:c r="AG109" s="3"/>
      <x:c r="AH109" s="3"/>
      <x:c r="AI109" s="3"/>
      <x:c r="AJ109" s="3"/>
      <x:c r="AK109" s="3"/>
      <x:c r="AL109" s="3"/>
      <x:c r="AM109" s="3"/>
      <x:c r="AN109" s="3"/>
      <x:c r="AO109" s="3"/>
      <x:c r="AP109" s="3"/>
      <x:c r="AQ109" s="3"/>
    </x:row>
    <x:row r="110" ht="26" customHeight="1">
      <x:c r="A110" s="1"/>
      <x:c r="B110" s="1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  <x:c r="M110" s="3"/>
      <x:c r="N110" s="3"/>
      <x:c r="O110" s="3"/>
      <x:c r="P110" s="3"/>
      <x:c r="Q110" s="3"/>
      <x:c r="R110" s="3"/>
      <x:c r="S110" s="3"/>
      <x:c r="T110" s="3"/>
      <x:c r="U110" s="3"/>
      <x:c r="V110" s="3"/>
      <x:c r="W110" s="3"/>
      <x:c r="X110" s="3"/>
      <x:c r="Y110" s="3"/>
      <x:c r="Z110" s="3"/>
      <x:c r="AA110" s="3"/>
      <x:c r="AB110" s="3"/>
      <x:c r="AC110" s="3"/>
      <x:c r="AD110" s="3"/>
      <x:c r="AE110" s="3"/>
      <x:c r="AF110" s="3"/>
      <x:c r="AG110" s="3"/>
      <x:c r="AH110" s="3"/>
      <x:c r="AI110" s="3"/>
      <x:c r="AJ110" s="3"/>
      <x:c r="AK110" s="3"/>
      <x:c r="AL110" s="3"/>
      <x:c r="AM110" s="3"/>
      <x:c r="AN110" s="3"/>
      <x:c r="AO110" s="3"/>
      <x:c r="AP110" s="3"/>
      <x:c r="AQ110" s="3"/>
    </x:row>
    <x:row r="111" ht="26" customHeight="1">
      <x:c r="A111" s="1"/>
      <x:c r="B111" s="1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  <x:c r="M111" s="3"/>
      <x:c r="N111" s="3"/>
      <x:c r="O111" s="3"/>
      <x:c r="P111" s="3"/>
      <x:c r="Q111" s="3"/>
      <x:c r="R111" s="3"/>
      <x:c r="S111" s="3"/>
      <x:c r="T111" s="3"/>
      <x:c r="U111" s="3"/>
      <x:c r="V111" s="3"/>
      <x:c r="W111" s="3"/>
      <x:c r="X111" s="3"/>
      <x:c r="Y111" s="3"/>
      <x:c r="Z111" s="3"/>
      <x:c r="AA111" s="3"/>
      <x:c r="AB111" s="3"/>
      <x:c r="AC111" s="3"/>
      <x:c r="AD111" s="3"/>
      <x:c r="AE111" s="3"/>
      <x:c r="AF111" s="3"/>
      <x:c r="AG111" s="3"/>
      <x:c r="AH111" s="3"/>
      <x:c r="AI111" s="3"/>
      <x:c r="AJ111" s="3"/>
      <x:c r="AK111" s="3"/>
      <x:c r="AL111" s="3"/>
      <x:c r="AM111" s="3"/>
      <x:c r="AN111" s="3"/>
      <x:c r="AO111" s="3"/>
      <x:c r="AP111" s="3"/>
      <x:c r="AQ111" s="3"/>
    </x:row>
    <x:row r="112" ht="26" customHeight="1">
      <x:c r="A112" s="1"/>
      <x:c r="B112" s="1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  <x:c r="M112" s="3"/>
      <x:c r="N112" s="3"/>
      <x:c r="O112" s="3"/>
      <x:c r="P112" s="3"/>
      <x:c r="Q112" s="3"/>
      <x:c r="R112" s="3"/>
      <x:c r="S112" s="3"/>
      <x:c r="T112" s="3"/>
      <x:c r="U112" s="3"/>
      <x:c r="V112" s="3"/>
      <x:c r="W112" s="3"/>
      <x:c r="X112" s="3"/>
      <x:c r="Y112" s="3"/>
      <x:c r="Z112" s="3"/>
      <x:c r="AA112" s="3"/>
      <x:c r="AB112" s="3"/>
      <x:c r="AC112" s="3"/>
      <x:c r="AD112" s="3"/>
      <x:c r="AE112" s="3"/>
      <x:c r="AF112" s="3"/>
      <x:c r="AG112" s="3"/>
      <x:c r="AH112" s="3"/>
      <x:c r="AI112" s="3"/>
      <x:c r="AJ112" s="3"/>
      <x:c r="AK112" s="3"/>
      <x:c r="AL112" s="3"/>
      <x:c r="AM112" s="3"/>
      <x:c r="AN112" s="3"/>
      <x:c r="AO112" s="3"/>
      <x:c r="AP112" s="3"/>
      <x:c r="AQ112" s="3"/>
    </x:row>
  </x:sheetData>
  <x:mergeCells>
    <x:mergeCell ref="C2:H2"/>
    <x:mergeCell ref="C3:M3"/>
    <x:mergeCell ref="C7:F7"/>
    <x:mergeCell ref="G7:J7"/>
    <x:mergeCell ref="K7:N7"/>
    <x:mergeCell ref="C1:D1"/>
    <x:mergeCell ref="E1:F1"/>
    <x:mergeCell ref="G1:H1"/>
    <x:mergeCell ref="I1:J1"/>
    <x:mergeCell ref="K1:L1"/>
    <x:mergeCell ref="M1:N1"/>
  </x:mergeCells>
  <x:conditionalFormatting sqref="AF9:AF108">
    <x:cfRule type="containsText" dxfId="32" priority="1" operator="containsText" text="Missing"/>
    <x:cfRule type="containsText" dxfId="33" priority="2" operator="containsText" text="Required"/>
    <x:cfRule type="containsText" dxfId="34" priority="3" operator="containsText" text="required"/>
    <x:cfRule type="containsText" dxfId="35" priority="4" operator="containsText" text="Expired"/>
    <x:cfRule type="containsText" dxfId="36" priority="5" operator="containsText" text="Hold"/>
    <x:cfRule type="containsText" dxfId="37" priority="6" operator="containsText" text="Review"/>
    <x:cfRule type="containsText" dxfId="38" priority="7" operator="containsText" text="Incomplete"/>
    <x:cfRule type="containsText" dxfId="39" priority="8" operator="containsText" text="Pending"/>
    <x:cfRule type="containsText" dxfId="40" priority="9" operator="containsText" text="Unsupported"/>
    <x:cfRule type="containsText" dxfId="41" priority="10" operator="containsText" text="Criteria"/>
    <x:cfRule type="containsText" dxfId="42" priority="11" operator="containsText" text="Fail"/>
    <x:cfRule type="containsText" dxfId="43" priority="12" operator="containsText" text="Stop"/>
    <x:cfRule type="containsText" dxfId="44" priority="13" operator="containsText" text="Breach"/>
    <x:cfRule type="containsText" dxfId="45" priority="14" operator="containsText" text="Invalid"/>
    <x:cfRule type="containsText" dxfId="46" priority="15" operator="containsText" text="Duplicate"/>
    <x:cfRule type="containsText" dxfId="47" priority="16" operator="containsText" text="Not aligned"/>
  </x:conditionalFormatting>
  <x:dataValidations count="4">
    <x:dataValidation type="list" sqref="E9:E108">
      <x:formula1>"Corporate private,Corporate listed,Project finance,CRE,Mortgage,Motor,Unsupported"</x:formula1>
    </x:dataValidation>
    <x:dataValidation type="list" sqref="F9:F108">
      <x:formula1>"USD,EGP,JOD,AED"</x:formula1>
    </x:dataValidation>
    <x:dataValidation type="list" sqref="N9:N108">
      <x:formula1>"Auto,1,2,3"</x:formula1>
    </x:dataValidation>
    <x:dataValidation type="list" sqref="AM9:AM108">
      <x:formula1>"Yes,No"</x:formula1>
    </x:dataValidation>
  </x:dataValidations>
  <x:hyperlinks>
    <x:hyperlink ref="C7" location="'Facilities'!G8" display="Exposure and terms" tooltip="Open Facilities"/>
    <x:hyperlink ref="G7" location="'Facilities'!U8" display="Emissions and activity" tooltip="Open Facilities"/>
    <x:hyperlink ref="K7" location="'Facilities'!AF8" display="Credit controls" tooltip="Open Facilities"/>
    <x:hyperlink ref="C1" location="'Overview'!C2" display="Home" tooltip="Open Overview"/>
    <x:hyperlink ref="E1" location="'Customer'!C2" display="Customer" tooltip="Open Customer"/>
    <x:hyperlink ref="G1" location="'Capital'!C2" display="Capital" tooltip="Open Capital"/>
    <x:hyperlink ref="I1" location="'Disclosures'!C2" display="Reporting" tooltip="Open Disclosures"/>
    <x:hyperlink ref="K1" location="'Borrowers'!C8" display="Inputs" tooltip="Open Borrowers"/>
    <x:hyperlink ref="M1" location="'Settings'!C5" display="Settings" tooltip="Open Settings"/>
  </x:hyperlinks>
  <x:pageMargins left="0.7" right="0.7" top="0.75" bottom="0.75" header="0.3" footer="0.3"/>
  <x:tableParts count="1">
    <x:tablePart xmlns:r="http://schemas.openxmlformats.org/officeDocument/2006/relationships" r:id="Ra12b235e057442a5"/>
  </x:tableParts>
</x:worksheet>
</file>

<file path=xl/worksheets/sheet23.xml><?xml version="1.0" encoding="utf-8"?>
<x:worksheet xmlns:x="http://schemas.openxmlformats.org/spreadsheetml/2006/main">
  <x:sheetPr>
    <x:tabColor rgb="FF007F86"/>
  </x:sheetPr>
  <x:sheetViews>
    <x:sheetView showGridLines="0" workbookViewId="0">
      <x:pane xSplit="4" ySplit="8" topLeftCell="E9" activePane="bottomRight" state="frozen"/>
    </x:sheetView>
  </x:sheetViews>
  <x:sheetFormatPr defaultRowHeight="15"/>
  <x:cols>
    <x:col min="1" max="1" width="2.4000000953674316" hidden="0" customWidth="1"/>
    <x:col min="2" max="2" width="2.4000000953674316" hidden="0" customWidth="1"/>
    <x:col min="3" max="3" width="17" hidden="0" customWidth="1"/>
    <x:col min="4" max="4" width="17" hidden="0" customWidth="1"/>
    <x:col min="5" max="5" width="17" hidden="0" customWidth="1"/>
    <x:col min="6" max="6" width="24" hidden="0" customWidth="1"/>
    <x:col min="7" max="7" width="18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</x:cols>
  <x:sheetData>
    <x:row r="1" ht="27" customHeight="1">
      <x:c r="A1" s="1"/>
      <x:c r="B1" s="1"/>
      <x:c r="C1" s="50" t="str">
        <x:v>Home</x:v>
      </x:c>
      <x:c r="D1" s="50"/>
      <x:c r="E1" s="63" t="str">
        <x:v>Customer</x:v>
      </x:c>
      <x:c r="F1" s="63"/>
      <x:c r="G1" s="63" t="str">
        <x:v>Capital</x:v>
      </x:c>
      <x:c r="H1" s="63"/>
      <x:c r="I1" s="63" t="str">
        <x:v>Reporting</x:v>
      </x:c>
      <x:c r="J1" s="63"/>
      <x:c r="K1" s="63" t="str">
        <x:v>Inputs</x:v>
      </x:c>
      <x:c r="L1" s="63"/>
      <x:c r="M1" s="63" t="str">
        <x:v>Settings</x:v>
      </x:c>
      <x:c r="N1" s="63"/>
      <x:c r="O1" s="3"/>
      <x:c r="P1" s="3"/>
      <x:c r="Q1" s="3"/>
    </x:row>
    <x:row r="2" ht="45" customHeight="1">
      <x:c r="A2" s="1"/>
      <x:c r="B2" s="1"/>
      <x:c r="C2" s="5" t="str">
        <x:v>Physical risk sites</x:v>
      </x:c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</x:row>
    <x:row r="3" ht="32" customHeight="1">
      <x:c r="A3" s="1"/>
      <x:c r="B3" s="1"/>
      <x:c r="C3" s="6" t="str">
        <x:v>Hazard and vulnerability are illustrative 0–1 inputs. Revenue and collateral shares sum to one per borrower.</x:v>
      </x:c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3"/>
      <x:c r="O3" s="3"/>
      <x:c r="P3" s="3"/>
      <x:c r="Q3" s="3"/>
    </x:row>
    <x:row r="4" ht="26" customHeight="1">
      <x:c r="A4" s="1"/>
      <x:c r="B4" s="1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</x:row>
    <x:row r="5" ht="26" customHeight="1">
      <x:c r="A5" s="1"/>
      <x:c r="B5" s="1"/>
      <x:c r="C5" s="3" t="str">
        <x:v>RECORDS</x:v>
      </x:c>
      <x:c r="D5" s="3"/>
      <x:c r="E5" s="3" t="n">
        <x:f>COUNTA(C9:C108)</x:f>
        <x:v>48</x:v>
      </x:c>
      <x:c r="F5" s="3"/>
      <x:c r="G5" s="3" t="str">
        <x:v>READY</x:v>
      </x:c>
      <x:c r="H5" s="3"/>
      <x:c r="I5" s="3" t="n">
        <x:f>COUNTIF(Q9:Q108,"Ready")</x:f>
        <x:v>48</x:v>
      </x:c>
      <x:c r="J5" s="3"/>
      <x:c r="K5" s="3" t="str">
        <x:v>REVIEW</x:v>
      </x:c>
      <x:c r="L5" s="3"/>
      <x:c r="M5" s="3" t="n">
        <x:f>E5-I5</x:f>
        <x:v>0</x:v>
      </x:c>
      <x:c r="N5" s="3"/>
      <x:c r="O5" s="3"/>
      <x:c r="P5" s="3"/>
      <x:c r="Q5" s="3"/>
    </x:row>
    <x:row r="6" ht="26" customHeight="1">
      <x:c r="A6" s="1"/>
      <x:c r="B6" s="1"/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  <x:c r="O6" s="3"/>
      <x:c r="P6" s="3"/>
      <x:c r="Q6" s="3"/>
    </x:row>
    <x:row r="7" ht="26" customHeight="1">
      <x:c r="A7" s="1"/>
      <x:c r="B7" s="1"/>
      <x:c r="C7" s="50" t="str">
        <x:v>Physical risk factors</x:v>
      </x:c>
      <x:c r="D7" s="50"/>
      <x:c r="E7" s="50"/>
      <x:c r="F7" s="50"/>
      <x:c r="G7" s="63" t="str">
        <x:v>Evidence and status</x:v>
      </x:c>
      <x:c r="H7" s="63"/>
      <x:c r="I7" s="63"/>
      <x:c r="J7" s="63"/>
      <x:c r="K7" s="63" t="str">
        <x:v>Customer workspace</x:v>
      </x:c>
      <x:c r="L7" s="63"/>
      <x:c r="M7" s="63"/>
      <x:c r="N7" s="63"/>
      <x:c r="O7" s="3"/>
      <x:c r="P7" s="3"/>
      <x:c r="Q7" s="3"/>
    </x:row>
    <x:row r="8" ht="46" customHeight="1">
      <x:c r="A8" s="1"/>
      <x:c r="B8" s="1"/>
      <x:c r="C8" s="15" t="str">
        <x:v>Site ID</x:v>
      </x:c>
      <x:c r="D8" s="15" t="str">
        <x:v>Borrower ID</x:v>
      </x:c>
      <x:c r="E8" s="15" t="str">
        <x:v>Country</x:v>
      </x:c>
      <x:c r="F8" s="15" t="str">
        <x:v>Location</x:v>
      </x:c>
      <x:c r="G8" s="15" t="str">
        <x:v>Peril</x:v>
      </x:c>
      <x:c r="H8" s="15" t="str">
        <x:v>Asset value USD m</x:v>
      </x:c>
      <x:c r="I8" s="15" t="str">
        <x:v>Revenue share</x:v>
      </x:c>
      <x:c r="J8" s="15" t="str">
        <x:v>Hazard index</x:v>
      </x:c>
      <x:c r="K8" s="15" t="str">
        <x:v>Vulnerability</x:v>
      </x:c>
      <x:c r="L8" s="15" t="str">
        <x:v>Adaptation</x:v>
      </x:c>
      <x:c r="M8" s="15" t="str">
        <x:v>Insurance recovery</x:v>
      </x:c>
      <x:c r="N8" s="15" t="str">
        <x:v>Collateral share</x:v>
      </x:c>
      <x:c r="O8" s="15" t="str">
        <x:v>Evidence ID</x:v>
      </x:c>
      <x:c r="P8" s="15" t="str">
        <x:v>Evidence expiry</x:v>
      </x:c>
      <x:c r="Q8" s="15" t="str">
        <x:v>Input status</x:v>
      </x:c>
    </x:row>
    <x:row r="9" ht="36" customHeight="1">
      <x:c r="A9" s="1"/>
      <x:c r="B9" s="1"/>
      <x:c r="C9" s="8" t="str">
        <x:v>S001</x:v>
      </x:c>
      <x:c r="D9" s="8" t="str">
        <x:v>B001</x:v>
      </x:c>
      <x:c r="E9" s="8" t="str">
        <x:v>Egypt</x:v>
      </x:c>
      <x:c r="F9" s="8" t="str">
        <x:v>Main location</x:v>
      </x:c>
      <x:c r="G9" s="8" t="str">
        <x:v>Flood</x:v>
      </x:c>
      <x:c r="H9" s="8" t="n">
        <x:v>20</x:v>
      </x:c>
      <x:c r="I9" s="11" t="n">
        <x:v>0.6</x:v>
      </x:c>
      <x:c r="J9" s="11" t="n">
        <x:v>0.2</x:v>
      </x:c>
      <x:c r="K9" s="11" t="n">
        <x:v>0.35</x:v>
      </x:c>
      <x:c r="L9" s="11" t="n">
        <x:v>0.2</x:v>
      </x:c>
      <x:c r="M9" s="11" t="n">
        <x:v>0.45</x:v>
      </x:c>
      <x:c r="N9" s="11" t="n">
        <x:v>0.6</x:v>
      </x:c>
      <x:c r="O9" s="8" t="str">
        <x:v>SYN-SITE-1</x:v>
      </x:c>
      <x:c r="P9" s="19" t="n">
        <x:v>46752</x:v>
      </x:c>
      <x:c r="Q9" s="9" t="str">
        <x:f>IF(C9="","",IF(COUNTIF($C$9:$C$108,C9)&lt;&gt;1,"Duplicate site",IF(OR(COUNTIF(Borrowers!$C$9:$C$108,D9)&lt;&gt;1,COUNT(H9:N9)&lt;&gt;7,O9="",COUNT(P9)&lt;&gt;1),"Missing inputs",IF(OR(H9&lt;0,MIN(I9:N9)&lt;0,MAX(I9:N9)&gt;1,ABS(SUMIF($D$9:$D$108,D9,$I$9:$I$108)-1)&gt;0.000001,ABS(SUMIF($D$9:$D$108,D9,$N$9:$N$108)-1)&gt;0.000001),"Review site shares",IF(P9&lt;Settings!$F$8,"Expired evidence","Ready")))))</x:f>
        <x:v>Ready</x:v>
      </x:c>
    </x:row>
    <x:row r="10" ht="36" customHeight="1">
      <x:c r="A10" s="1"/>
      <x:c r="B10" s="1"/>
      <x:c r="C10" s="8" t="str">
        <x:v>S002</x:v>
      </x:c>
      <x:c r="D10" s="8" t="str">
        <x:v>B001</x:v>
      </x:c>
      <x:c r="E10" s="8" t="str">
        <x:v>Egypt</x:v>
      </x:c>
      <x:c r="F10" s="8" t="str">
        <x:v>Secondary location</x:v>
      </x:c>
      <x:c r="G10" s="8" t="str">
        <x:v>Heat</x:v>
      </x:c>
      <x:c r="H10" s="8" t="n">
        <x:v>20</x:v>
      </x:c>
      <x:c r="I10" s="11" t="n">
        <x:v>0.4</x:v>
      </x:c>
      <x:c r="J10" s="11" t="n">
        <x:v>0.2</x:v>
      </x:c>
      <x:c r="K10" s="11" t="n">
        <x:v>0.35</x:v>
      </x:c>
      <x:c r="L10" s="11" t="n">
        <x:v>0.2</x:v>
      </x:c>
      <x:c r="M10" s="11" t="n">
        <x:v>0.45</x:v>
      </x:c>
      <x:c r="N10" s="11" t="n">
        <x:v>0.4</x:v>
      </x:c>
      <x:c r="O10" s="8" t="str">
        <x:v>SYN-SITE-2</x:v>
      </x:c>
      <x:c r="P10" s="19" t="n">
        <x:v>46752</x:v>
      </x:c>
      <x:c r="Q10" s="9" t="str">
        <x:f>IF(C10="","",IF(COUNTIF($C$9:$C$108,C10)&lt;&gt;1,"Duplicate site",IF(OR(COUNTIF(Borrowers!$C$9:$C$108,D10)&lt;&gt;1,COUNT(H10:N10)&lt;&gt;7,O10="",COUNT(P10)&lt;&gt;1),"Missing inputs",IF(OR(H10&lt;0,MIN(I10:N10)&lt;0,MAX(I10:N10)&gt;1,ABS(SUMIF($D$9:$D$108,D10,$I$9:$I$108)-1)&gt;0.000001,ABS(SUMIF($D$9:$D$108,D10,$N$9:$N$108)-1)&gt;0.000001),"Review site shares",IF(P10&lt;Settings!$F$8,"Expired evidence","Ready")))))</x:f>
        <x:v>Ready</x:v>
      </x:c>
    </x:row>
    <x:row r="11" ht="36" customHeight="1">
      <x:c r="A11" s="1"/>
      <x:c r="B11" s="1"/>
      <x:c r="C11" s="8" t="str">
        <x:v>S003</x:v>
      </x:c>
      <x:c r="D11" s="8" t="str">
        <x:v>B002</x:v>
      </x:c>
      <x:c r="E11" s="8" t="str">
        <x:v>Egypt</x:v>
      </x:c>
      <x:c r="F11" s="8" t="str">
        <x:v>Main location</x:v>
      </x:c>
      <x:c r="G11" s="8" t="str">
        <x:v>Flood</x:v>
      </x:c>
      <x:c r="H11" s="8" t="n">
        <x:v>22</x:v>
      </x:c>
      <x:c r="I11" s="11" t="n">
        <x:v>0.6</x:v>
      </x:c>
      <x:c r="J11" s="11" t="n">
        <x:v>0.32</x:v>
      </x:c>
      <x:c r="K11" s="11" t="n">
        <x:v>0.5</x:v>
      </x:c>
      <x:c r="L11" s="11" t="n">
        <x:v>0.2</x:v>
      </x:c>
      <x:c r="M11" s="11" t="n">
        <x:v>0.45</x:v>
      </x:c>
      <x:c r="N11" s="11" t="n">
        <x:v>0.6</x:v>
      </x:c>
      <x:c r="O11" s="8" t="str">
        <x:v>SYN-SITE-3</x:v>
      </x:c>
      <x:c r="P11" s="19" t="n">
        <x:v>46752</x:v>
      </x:c>
      <x:c r="Q11" s="9" t="str">
        <x:f>IF(C11="","",IF(COUNTIF($C$9:$C$108,C11)&lt;&gt;1,"Duplicate site",IF(OR(COUNTIF(Borrowers!$C$9:$C$108,D11)&lt;&gt;1,COUNT(H11:N11)&lt;&gt;7,O11="",COUNT(P11)&lt;&gt;1),"Missing inputs",IF(OR(H11&lt;0,MIN(I11:N11)&lt;0,MAX(I11:N11)&gt;1,ABS(SUMIF($D$9:$D$108,D11,$I$9:$I$108)-1)&gt;0.000001,ABS(SUMIF($D$9:$D$108,D11,$N$9:$N$108)-1)&gt;0.000001),"Review site shares",IF(P11&lt;Settings!$F$8,"Expired evidence","Ready")))))</x:f>
        <x:v>Ready</x:v>
      </x:c>
    </x:row>
    <x:row r="12" ht="36" customHeight="1">
      <x:c r="A12" s="1"/>
      <x:c r="B12" s="1"/>
      <x:c r="C12" s="8" t="str">
        <x:v>S004</x:v>
      </x:c>
      <x:c r="D12" s="8" t="str">
        <x:v>B002</x:v>
      </x:c>
      <x:c r="E12" s="8" t="str">
        <x:v>Egypt</x:v>
      </x:c>
      <x:c r="F12" s="8" t="str">
        <x:v>Secondary location</x:v>
      </x:c>
      <x:c r="G12" s="8" t="str">
        <x:v>Heat</x:v>
      </x:c>
      <x:c r="H12" s="8" t="n">
        <x:v>22</x:v>
      </x:c>
      <x:c r="I12" s="11" t="n">
        <x:v>0.4</x:v>
      </x:c>
      <x:c r="J12" s="11" t="n">
        <x:v>0.32</x:v>
      </x:c>
      <x:c r="K12" s="11" t="n">
        <x:v>0.5</x:v>
      </x:c>
      <x:c r="L12" s="11" t="n">
        <x:v>0.2</x:v>
      </x:c>
      <x:c r="M12" s="11" t="n">
        <x:v>0.45</x:v>
      </x:c>
      <x:c r="N12" s="11" t="n">
        <x:v>0.4</x:v>
      </x:c>
      <x:c r="O12" s="8" t="str">
        <x:v>SYN-SITE-4</x:v>
      </x:c>
      <x:c r="P12" s="19" t="n">
        <x:v>46752</x:v>
      </x:c>
      <x:c r="Q12" s="9" t="str">
        <x:f>IF(C12="","",IF(COUNTIF($C$9:$C$108,C12)&lt;&gt;1,"Duplicate site",IF(OR(COUNTIF(Borrowers!$C$9:$C$108,D12)&lt;&gt;1,COUNT(H12:N12)&lt;&gt;7,O12="",COUNT(P12)&lt;&gt;1),"Missing inputs",IF(OR(H12&lt;0,MIN(I12:N12)&lt;0,MAX(I12:N12)&gt;1,ABS(SUMIF($D$9:$D$108,D12,$I$9:$I$108)-1)&gt;0.000001,ABS(SUMIF($D$9:$D$108,D12,$N$9:$N$108)-1)&gt;0.000001),"Review site shares",IF(P12&lt;Settings!$F$8,"Expired evidence","Ready")))))</x:f>
        <x:v>Ready</x:v>
      </x:c>
    </x:row>
    <x:row r="13" ht="36" customHeight="1">
      <x:c r="A13" s="1"/>
      <x:c r="B13" s="1"/>
      <x:c r="C13" s="8" t="str">
        <x:v>S005</x:v>
      </x:c>
      <x:c r="D13" s="8" t="str">
        <x:v>B003</x:v>
      </x:c>
      <x:c r="E13" s="8" t="str">
        <x:v>Egypt</x:v>
      </x:c>
      <x:c r="F13" s="8" t="str">
        <x:v>Main location</x:v>
      </x:c>
      <x:c r="G13" s="8" t="str">
        <x:v>Flood</x:v>
      </x:c>
      <x:c r="H13" s="8" t="n">
        <x:v>24</x:v>
      </x:c>
      <x:c r="I13" s="11" t="n">
        <x:v>0.6</x:v>
      </x:c>
      <x:c r="J13" s="11" t="n">
        <x:v>0.44</x:v>
      </x:c>
      <x:c r="K13" s="11" t="n">
        <x:v>0.6499999999999999</x:v>
      </x:c>
      <x:c r="L13" s="11" t="n">
        <x:v>0.2</x:v>
      </x:c>
      <x:c r="M13" s="11" t="n">
        <x:v>0.45</x:v>
      </x:c>
      <x:c r="N13" s="11" t="n">
        <x:v>0.6</x:v>
      </x:c>
      <x:c r="O13" s="8" t="str">
        <x:v>SYN-SITE-5</x:v>
      </x:c>
      <x:c r="P13" s="19" t="n">
        <x:v>46752</x:v>
      </x:c>
      <x:c r="Q13" s="9" t="str">
        <x:f>IF(C13="","",IF(COUNTIF($C$9:$C$108,C13)&lt;&gt;1,"Duplicate site",IF(OR(COUNTIF(Borrowers!$C$9:$C$108,D13)&lt;&gt;1,COUNT(H13:N13)&lt;&gt;7,O13="",COUNT(P13)&lt;&gt;1),"Missing inputs",IF(OR(H13&lt;0,MIN(I13:N13)&lt;0,MAX(I13:N13)&gt;1,ABS(SUMIF($D$9:$D$108,D13,$I$9:$I$108)-1)&gt;0.000001,ABS(SUMIF($D$9:$D$108,D13,$N$9:$N$108)-1)&gt;0.000001),"Review site shares",IF(P13&lt;Settings!$F$8,"Expired evidence","Ready")))))</x:f>
        <x:v>Ready</x:v>
      </x:c>
    </x:row>
    <x:row r="14" ht="36" customHeight="1">
      <x:c r="A14" s="1"/>
      <x:c r="B14" s="1"/>
      <x:c r="C14" s="8" t="str">
        <x:v>S006</x:v>
      </x:c>
      <x:c r="D14" s="8" t="str">
        <x:v>B003</x:v>
      </x:c>
      <x:c r="E14" s="8" t="str">
        <x:v>Egypt</x:v>
      </x:c>
      <x:c r="F14" s="8" t="str">
        <x:v>Secondary location</x:v>
      </x:c>
      <x:c r="G14" s="8" t="str">
        <x:v>Heat</x:v>
      </x:c>
      <x:c r="H14" s="8" t="n">
        <x:v>24</x:v>
      </x:c>
      <x:c r="I14" s="11" t="n">
        <x:v>0.4</x:v>
      </x:c>
      <x:c r="J14" s="11" t="n">
        <x:v>0.44</x:v>
      </x:c>
      <x:c r="K14" s="11" t="n">
        <x:v>0.6499999999999999</x:v>
      </x:c>
      <x:c r="L14" s="11" t="n">
        <x:v>0.2</x:v>
      </x:c>
      <x:c r="M14" s="11" t="n">
        <x:v>0.45</x:v>
      </x:c>
      <x:c r="N14" s="11" t="n">
        <x:v>0.4</x:v>
      </x:c>
      <x:c r="O14" s="8" t="str">
        <x:v>SYN-SITE-6</x:v>
      </x:c>
      <x:c r="P14" s="19" t="n">
        <x:v>46752</x:v>
      </x:c>
      <x:c r="Q14" s="9" t="str">
        <x:f>IF(C14="","",IF(COUNTIF($C$9:$C$108,C14)&lt;&gt;1,"Duplicate site",IF(OR(COUNTIF(Borrowers!$C$9:$C$108,D14)&lt;&gt;1,COUNT(H14:N14)&lt;&gt;7,O14="",COUNT(P14)&lt;&gt;1),"Missing inputs",IF(OR(H14&lt;0,MIN(I14:N14)&lt;0,MAX(I14:N14)&gt;1,ABS(SUMIF($D$9:$D$108,D14,$I$9:$I$108)-1)&gt;0.000001,ABS(SUMIF($D$9:$D$108,D14,$N$9:$N$108)-1)&gt;0.000001),"Review site shares",IF(P14&lt;Settings!$F$8,"Expired evidence","Ready")))))</x:f>
        <x:v>Ready</x:v>
      </x:c>
    </x:row>
    <x:row r="15" ht="36" customHeight="1">
      <x:c r="A15" s="1"/>
      <x:c r="B15" s="1"/>
      <x:c r="C15" s="8" t="str">
        <x:v>S007</x:v>
      </x:c>
      <x:c r="D15" s="8" t="str">
        <x:v>B004</x:v>
      </x:c>
      <x:c r="E15" s="8" t="str">
        <x:v>Egypt</x:v>
      </x:c>
      <x:c r="F15" s="8" t="str">
        <x:v>Main location</x:v>
      </x:c>
      <x:c r="G15" s="8" t="str">
        <x:v>Flood</x:v>
      </x:c>
      <x:c r="H15" s="8" t="n">
        <x:v>26</x:v>
      </x:c>
      <x:c r="I15" s="11" t="n">
        <x:v>0.6</x:v>
      </x:c>
      <x:c r="J15" s="11" t="n">
        <x:v>0.56</x:v>
      </x:c>
      <x:c r="K15" s="11" t="n">
        <x:v>0.35</x:v>
      </x:c>
      <x:c r="L15" s="11" t="n">
        <x:v>0.2</x:v>
      </x:c>
      <x:c r="M15" s="11" t="n">
        <x:v>0.45</x:v>
      </x:c>
      <x:c r="N15" s="11" t="n">
        <x:v>0.6</x:v>
      </x:c>
      <x:c r="O15" s="8" t="str">
        <x:v>SYN-SITE-7</x:v>
      </x:c>
      <x:c r="P15" s="19" t="n">
        <x:v>46752</x:v>
      </x:c>
      <x:c r="Q15" s="9" t="str">
        <x:f>IF(C15="","",IF(COUNTIF($C$9:$C$108,C15)&lt;&gt;1,"Duplicate site",IF(OR(COUNTIF(Borrowers!$C$9:$C$108,D15)&lt;&gt;1,COUNT(H15:N15)&lt;&gt;7,O15="",COUNT(P15)&lt;&gt;1),"Missing inputs",IF(OR(H15&lt;0,MIN(I15:N15)&lt;0,MAX(I15:N15)&gt;1,ABS(SUMIF($D$9:$D$108,D15,$I$9:$I$108)-1)&gt;0.000001,ABS(SUMIF($D$9:$D$108,D15,$N$9:$N$108)-1)&gt;0.000001),"Review site shares",IF(P15&lt;Settings!$F$8,"Expired evidence","Ready")))))</x:f>
        <x:v>Ready</x:v>
      </x:c>
    </x:row>
    <x:row r="16" ht="36" customHeight="1">
      <x:c r="A16" s="1"/>
      <x:c r="B16" s="1"/>
      <x:c r="C16" s="8" t="str">
        <x:v>S008</x:v>
      </x:c>
      <x:c r="D16" s="8" t="str">
        <x:v>B004</x:v>
      </x:c>
      <x:c r="E16" s="8" t="str">
        <x:v>Egypt</x:v>
      </x:c>
      <x:c r="F16" s="8" t="str">
        <x:v>Secondary location</x:v>
      </x:c>
      <x:c r="G16" s="8" t="str">
        <x:v>Heat</x:v>
      </x:c>
      <x:c r="H16" s="8" t="n">
        <x:v>26</x:v>
      </x:c>
      <x:c r="I16" s="11" t="n">
        <x:v>0.4</x:v>
      </x:c>
      <x:c r="J16" s="11" t="n">
        <x:v>0.56</x:v>
      </x:c>
      <x:c r="K16" s="11" t="n">
        <x:v>0.35</x:v>
      </x:c>
      <x:c r="L16" s="11" t="n">
        <x:v>0.2</x:v>
      </x:c>
      <x:c r="M16" s="11" t="n">
        <x:v>0.45</x:v>
      </x:c>
      <x:c r="N16" s="11" t="n">
        <x:v>0.4</x:v>
      </x:c>
      <x:c r="O16" s="8" t="str">
        <x:v>SYN-SITE-8</x:v>
      </x:c>
      <x:c r="P16" s="19" t="n">
        <x:v>46752</x:v>
      </x:c>
      <x:c r="Q16" s="9" t="str">
        <x:f>IF(C16="","",IF(COUNTIF($C$9:$C$108,C16)&lt;&gt;1,"Duplicate site",IF(OR(COUNTIF(Borrowers!$C$9:$C$108,D16)&lt;&gt;1,COUNT(H16:N16)&lt;&gt;7,O16="",COUNT(P16)&lt;&gt;1),"Missing inputs",IF(OR(H16&lt;0,MIN(I16:N16)&lt;0,MAX(I16:N16)&gt;1,ABS(SUMIF($D$9:$D$108,D16,$I$9:$I$108)-1)&gt;0.000001,ABS(SUMIF($D$9:$D$108,D16,$N$9:$N$108)-1)&gt;0.000001),"Review site shares",IF(P16&lt;Settings!$F$8,"Expired evidence","Ready")))))</x:f>
        <x:v>Ready</x:v>
      </x:c>
    </x:row>
    <x:row r="17" ht="36" customHeight="1">
      <x:c r="A17" s="1"/>
      <x:c r="B17" s="1"/>
      <x:c r="C17" s="8" t="str">
        <x:v>S009</x:v>
      </x:c>
      <x:c r="D17" s="8" t="str">
        <x:v>B005</x:v>
      </x:c>
      <x:c r="E17" s="8" t="str">
        <x:v>Egypt</x:v>
      </x:c>
      <x:c r="F17" s="8" t="str">
        <x:v>Main location</x:v>
      </x:c>
      <x:c r="G17" s="8" t="str">
        <x:v>Flood</x:v>
      </x:c>
      <x:c r="H17" s="8" t="n">
        <x:v>28</x:v>
      </x:c>
      <x:c r="I17" s="11" t="n">
        <x:v>0.6</x:v>
      </x:c>
      <x:c r="J17" s="11" t="n">
        <x:v>0.6799999999999999</x:v>
      </x:c>
      <x:c r="K17" s="11" t="n">
        <x:v>0.5</x:v>
      </x:c>
      <x:c r="L17" s="11" t="n">
        <x:v>0.2</x:v>
      </x:c>
      <x:c r="M17" s="11" t="n">
        <x:v>0.45</x:v>
      </x:c>
      <x:c r="N17" s="11" t="n">
        <x:v>0.6</x:v>
      </x:c>
      <x:c r="O17" s="8" t="str">
        <x:v>SYN-SITE-9</x:v>
      </x:c>
      <x:c r="P17" s="19" t="n">
        <x:v>46752</x:v>
      </x:c>
      <x:c r="Q17" s="9" t="str">
        <x:f>IF(C17="","",IF(COUNTIF($C$9:$C$108,C17)&lt;&gt;1,"Duplicate site",IF(OR(COUNTIF(Borrowers!$C$9:$C$108,D17)&lt;&gt;1,COUNT(H17:N17)&lt;&gt;7,O17="",COUNT(P17)&lt;&gt;1),"Missing inputs",IF(OR(H17&lt;0,MIN(I17:N17)&lt;0,MAX(I17:N17)&gt;1,ABS(SUMIF($D$9:$D$108,D17,$I$9:$I$108)-1)&gt;0.000001,ABS(SUMIF($D$9:$D$108,D17,$N$9:$N$108)-1)&gt;0.000001),"Review site shares",IF(P17&lt;Settings!$F$8,"Expired evidence","Ready")))))</x:f>
        <x:v>Ready</x:v>
      </x:c>
    </x:row>
    <x:row r="18" ht="36" customHeight="1">
      <x:c r="A18" s="1"/>
      <x:c r="B18" s="1"/>
      <x:c r="C18" s="8" t="str">
        <x:v>S010</x:v>
      </x:c>
      <x:c r="D18" s="8" t="str">
        <x:v>B005</x:v>
      </x:c>
      <x:c r="E18" s="8" t="str">
        <x:v>Egypt</x:v>
      </x:c>
      <x:c r="F18" s="8" t="str">
        <x:v>Secondary location</x:v>
      </x:c>
      <x:c r="G18" s="8" t="str">
        <x:v>Heat</x:v>
      </x:c>
      <x:c r="H18" s="8" t="n">
        <x:v>28</x:v>
      </x:c>
      <x:c r="I18" s="11" t="n">
        <x:v>0.4</x:v>
      </x:c>
      <x:c r="J18" s="11" t="n">
        <x:v>0.6799999999999999</x:v>
      </x:c>
      <x:c r="K18" s="11" t="n">
        <x:v>0.5</x:v>
      </x:c>
      <x:c r="L18" s="11" t="n">
        <x:v>0.2</x:v>
      </x:c>
      <x:c r="M18" s="11" t="n">
        <x:v>0.45</x:v>
      </x:c>
      <x:c r="N18" s="11" t="n">
        <x:v>0.4</x:v>
      </x:c>
      <x:c r="O18" s="8" t="str">
        <x:v>SYN-SITE-10</x:v>
      </x:c>
      <x:c r="P18" s="19" t="n">
        <x:v>46752</x:v>
      </x:c>
      <x:c r="Q18" s="9" t="str">
        <x:f>IF(C18="","",IF(COUNTIF($C$9:$C$108,C18)&lt;&gt;1,"Duplicate site",IF(OR(COUNTIF(Borrowers!$C$9:$C$108,D18)&lt;&gt;1,COUNT(H18:N18)&lt;&gt;7,O18="",COUNT(P18)&lt;&gt;1),"Missing inputs",IF(OR(H18&lt;0,MIN(I18:N18)&lt;0,MAX(I18:N18)&gt;1,ABS(SUMIF($D$9:$D$108,D18,$I$9:$I$108)-1)&gt;0.000001,ABS(SUMIF($D$9:$D$108,D18,$N$9:$N$108)-1)&gt;0.000001),"Review site shares",IF(P18&lt;Settings!$F$8,"Expired evidence","Ready")))))</x:f>
        <x:v>Ready</x:v>
      </x:c>
    </x:row>
    <x:row r="19" ht="36" customHeight="1">
      <x:c r="A19" s="1"/>
      <x:c r="B19" s="1"/>
      <x:c r="C19" s="8" t="str">
        <x:v>S011</x:v>
      </x:c>
      <x:c r="D19" s="8" t="str">
        <x:v>B006</x:v>
      </x:c>
      <x:c r="E19" s="8" t="str">
        <x:v>Egypt</x:v>
      </x:c>
      <x:c r="F19" s="8" t="str">
        <x:v>Main location</x:v>
      </x:c>
      <x:c r="G19" s="8" t="str">
        <x:v>Flood</x:v>
      </x:c>
      <x:c r="H19" s="8" t="n">
        <x:v>30</x:v>
      </x:c>
      <x:c r="I19" s="11" t="n">
        <x:v>0.6</x:v>
      </x:c>
      <x:c r="J19" s="11" t="n">
        <x:v>0.2</x:v>
      </x:c>
      <x:c r="K19" s="11" t="n">
        <x:v>0.6499999999999999</x:v>
      </x:c>
      <x:c r="L19" s="11" t="n">
        <x:v>0.2</x:v>
      </x:c>
      <x:c r="M19" s="11" t="n">
        <x:v>0.45</x:v>
      </x:c>
      <x:c r="N19" s="11" t="n">
        <x:v>0.6</x:v>
      </x:c>
      <x:c r="O19" s="8" t="str">
        <x:v>SYN-SITE-11</x:v>
      </x:c>
      <x:c r="P19" s="19" t="n">
        <x:v>46752</x:v>
      </x:c>
      <x:c r="Q19" s="9" t="str">
        <x:f>IF(C19="","",IF(COUNTIF($C$9:$C$108,C19)&lt;&gt;1,"Duplicate site",IF(OR(COUNTIF(Borrowers!$C$9:$C$108,D19)&lt;&gt;1,COUNT(H19:N19)&lt;&gt;7,O19="",COUNT(P19)&lt;&gt;1),"Missing inputs",IF(OR(H19&lt;0,MIN(I19:N19)&lt;0,MAX(I19:N19)&gt;1,ABS(SUMIF($D$9:$D$108,D19,$I$9:$I$108)-1)&gt;0.000001,ABS(SUMIF($D$9:$D$108,D19,$N$9:$N$108)-1)&gt;0.000001),"Review site shares",IF(P19&lt;Settings!$F$8,"Expired evidence","Ready")))))</x:f>
        <x:v>Ready</x:v>
      </x:c>
    </x:row>
    <x:row r="20" ht="36" customHeight="1">
      <x:c r="A20" s="1"/>
      <x:c r="B20" s="1"/>
      <x:c r="C20" s="8" t="str">
        <x:v>S012</x:v>
      </x:c>
      <x:c r="D20" s="8" t="str">
        <x:v>B006</x:v>
      </x:c>
      <x:c r="E20" s="8" t="str">
        <x:v>Egypt</x:v>
      </x:c>
      <x:c r="F20" s="8" t="str">
        <x:v>Secondary location</x:v>
      </x:c>
      <x:c r="G20" s="8" t="str">
        <x:v>Heat</x:v>
      </x:c>
      <x:c r="H20" s="8" t="n">
        <x:v>30</x:v>
      </x:c>
      <x:c r="I20" s="11" t="n">
        <x:v>0.4</x:v>
      </x:c>
      <x:c r="J20" s="11" t="n">
        <x:v>0.2</x:v>
      </x:c>
      <x:c r="K20" s="11" t="n">
        <x:v>0.6499999999999999</x:v>
      </x:c>
      <x:c r="L20" s="11" t="n">
        <x:v>0.2</x:v>
      </x:c>
      <x:c r="M20" s="11" t="n">
        <x:v>0.45</x:v>
      </x:c>
      <x:c r="N20" s="11" t="n">
        <x:v>0.4</x:v>
      </x:c>
      <x:c r="O20" s="8" t="str">
        <x:v>SYN-SITE-12</x:v>
      </x:c>
      <x:c r="P20" s="19" t="n">
        <x:v>46752</x:v>
      </x:c>
      <x:c r="Q20" s="9" t="str">
        <x:f>IF(C20="","",IF(COUNTIF($C$9:$C$108,C20)&lt;&gt;1,"Duplicate site",IF(OR(COUNTIF(Borrowers!$C$9:$C$108,D20)&lt;&gt;1,COUNT(H20:N20)&lt;&gt;7,O20="",COUNT(P20)&lt;&gt;1),"Missing inputs",IF(OR(H20&lt;0,MIN(I20:N20)&lt;0,MAX(I20:N20)&gt;1,ABS(SUMIF($D$9:$D$108,D20,$I$9:$I$108)-1)&gt;0.000001,ABS(SUMIF($D$9:$D$108,D20,$N$9:$N$108)-1)&gt;0.000001),"Review site shares",IF(P20&lt;Settings!$F$8,"Expired evidence","Ready")))))</x:f>
        <x:v>Ready</x:v>
      </x:c>
    </x:row>
    <x:row r="21" ht="36" customHeight="1">
      <x:c r="A21" s="1"/>
      <x:c r="B21" s="1"/>
      <x:c r="C21" s="8" t="str">
        <x:v>S013</x:v>
      </x:c>
      <x:c r="D21" s="8" t="str">
        <x:v>B007</x:v>
      </x:c>
      <x:c r="E21" s="8" t="str">
        <x:v>Jordan</x:v>
      </x:c>
      <x:c r="F21" s="8" t="str">
        <x:v>Main location</x:v>
      </x:c>
      <x:c r="G21" s="8" t="str">
        <x:v>Flood</x:v>
      </x:c>
      <x:c r="H21" s="8" t="n">
        <x:v>32</x:v>
      </x:c>
      <x:c r="I21" s="11" t="n">
        <x:v>0.6</x:v>
      </x:c>
      <x:c r="J21" s="11" t="n">
        <x:v>0.32</x:v>
      </x:c>
      <x:c r="K21" s="11" t="n">
        <x:v>0.35</x:v>
      </x:c>
      <x:c r="L21" s="11" t="n">
        <x:v>0.2</x:v>
      </x:c>
      <x:c r="M21" s="11" t="n">
        <x:v>0.45</x:v>
      </x:c>
      <x:c r="N21" s="11" t="n">
        <x:v>0.6</x:v>
      </x:c>
      <x:c r="O21" s="8" t="str">
        <x:v>SYN-SITE-13</x:v>
      </x:c>
      <x:c r="P21" s="19" t="n">
        <x:v>46752</x:v>
      </x:c>
      <x:c r="Q21" s="9" t="str">
        <x:f>IF(C21="","",IF(COUNTIF($C$9:$C$108,C21)&lt;&gt;1,"Duplicate site",IF(OR(COUNTIF(Borrowers!$C$9:$C$108,D21)&lt;&gt;1,COUNT(H21:N21)&lt;&gt;7,O21="",COUNT(P21)&lt;&gt;1),"Missing inputs",IF(OR(H21&lt;0,MIN(I21:N21)&lt;0,MAX(I21:N21)&gt;1,ABS(SUMIF($D$9:$D$108,D21,$I$9:$I$108)-1)&gt;0.000001,ABS(SUMIF($D$9:$D$108,D21,$N$9:$N$108)-1)&gt;0.000001),"Review site shares",IF(P21&lt;Settings!$F$8,"Expired evidence","Ready")))))</x:f>
        <x:v>Ready</x:v>
      </x:c>
    </x:row>
    <x:row r="22" ht="36" customHeight="1">
      <x:c r="A22" s="1"/>
      <x:c r="B22" s="1"/>
      <x:c r="C22" s="8" t="str">
        <x:v>S014</x:v>
      </x:c>
      <x:c r="D22" s="8" t="str">
        <x:v>B007</x:v>
      </x:c>
      <x:c r="E22" s="8" t="str">
        <x:v>Jordan</x:v>
      </x:c>
      <x:c r="F22" s="8" t="str">
        <x:v>Secondary location</x:v>
      </x:c>
      <x:c r="G22" s="8" t="str">
        <x:v>Heat</x:v>
      </x:c>
      <x:c r="H22" s="8" t="n">
        <x:v>32</x:v>
      </x:c>
      <x:c r="I22" s="11" t="n">
        <x:v>0.4</x:v>
      </x:c>
      <x:c r="J22" s="11" t="n">
        <x:v>0.32</x:v>
      </x:c>
      <x:c r="K22" s="11" t="n">
        <x:v>0.35</x:v>
      </x:c>
      <x:c r="L22" s="11" t="n">
        <x:v>0.2</x:v>
      </x:c>
      <x:c r="M22" s="11" t="n">
        <x:v>0.45</x:v>
      </x:c>
      <x:c r="N22" s="11" t="n">
        <x:v>0.4</x:v>
      </x:c>
      <x:c r="O22" s="8" t="str">
        <x:v>SYN-SITE-14</x:v>
      </x:c>
      <x:c r="P22" s="19" t="n">
        <x:v>46752</x:v>
      </x:c>
      <x:c r="Q22" s="9" t="str">
        <x:f>IF(C22="","",IF(COUNTIF($C$9:$C$108,C22)&lt;&gt;1,"Duplicate site",IF(OR(COUNTIF(Borrowers!$C$9:$C$108,D22)&lt;&gt;1,COUNT(H22:N22)&lt;&gt;7,O22="",COUNT(P22)&lt;&gt;1),"Missing inputs",IF(OR(H22&lt;0,MIN(I22:N22)&lt;0,MAX(I22:N22)&gt;1,ABS(SUMIF($D$9:$D$108,D22,$I$9:$I$108)-1)&gt;0.000001,ABS(SUMIF($D$9:$D$108,D22,$N$9:$N$108)-1)&gt;0.000001),"Review site shares",IF(P22&lt;Settings!$F$8,"Expired evidence","Ready")))))</x:f>
        <x:v>Ready</x:v>
      </x:c>
    </x:row>
    <x:row r="23" ht="36" customHeight="1">
      <x:c r="A23" s="1"/>
      <x:c r="B23" s="1"/>
      <x:c r="C23" s="8" t="str">
        <x:v>S015</x:v>
      </x:c>
      <x:c r="D23" s="8" t="str">
        <x:v>B008</x:v>
      </x:c>
      <x:c r="E23" s="8" t="str">
        <x:v>Jordan</x:v>
      </x:c>
      <x:c r="F23" s="8" t="str">
        <x:v>Main location</x:v>
      </x:c>
      <x:c r="G23" s="8" t="str">
        <x:v>Flood</x:v>
      </x:c>
      <x:c r="H23" s="8" t="n">
        <x:v>34</x:v>
      </x:c>
      <x:c r="I23" s="11" t="n">
        <x:v>0.6</x:v>
      </x:c>
      <x:c r="J23" s="11" t="n">
        <x:v>0.44</x:v>
      </x:c>
      <x:c r="K23" s="11" t="n">
        <x:v>0.5</x:v>
      </x:c>
      <x:c r="L23" s="11" t="n">
        <x:v>0.2</x:v>
      </x:c>
      <x:c r="M23" s="11" t="n">
        <x:v>0.45</x:v>
      </x:c>
      <x:c r="N23" s="11" t="n">
        <x:v>0.6</x:v>
      </x:c>
      <x:c r="O23" s="8" t="str">
        <x:v>SYN-SITE-15</x:v>
      </x:c>
      <x:c r="P23" s="19" t="n">
        <x:v>46752</x:v>
      </x:c>
      <x:c r="Q23" s="9" t="str">
        <x:f>IF(C23="","",IF(COUNTIF($C$9:$C$108,C23)&lt;&gt;1,"Duplicate site",IF(OR(COUNTIF(Borrowers!$C$9:$C$108,D23)&lt;&gt;1,COUNT(H23:N23)&lt;&gt;7,O23="",COUNT(P23)&lt;&gt;1),"Missing inputs",IF(OR(H23&lt;0,MIN(I23:N23)&lt;0,MAX(I23:N23)&gt;1,ABS(SUMIF($D$9:$D$108,D23,$I$9:$I$108)-1)&gt;0.000001,ABS(SUMIF($D$9:$D$108,D23,$N$9:$N$108)-1)&gt;0.000001),"Review site shares",IF(P23&lt;Settings!$F$8,"Expired evidence","Ready")))))</x:f>
        <x:v>Ready</x:v>
      </x:c>
    </x:row>
    <x:row r="24" ht="36" customHeight="1">
      <x:c r="A24" s="1"/>
      <x:c r="B24" s="1"/>
      <x:c r="C24" s="8" t="str">
        <x:v>S016</x:v>
      </x:c>
      <x:c r="D24" s="8" t="str">
        <x:v>B008</x:v>
      </x:c>
      <x:c r="E24" s="8" t="str">
        <x:v>Jordan</x:v>
      </x:c>
      <x:c r="F24" s="8" t="str">
        <x:v>Secondary location</x:v>
      </x:c>
      <x:c r="G24" s="8" t="str">
        <x:v>Heat</x:v>
      </x:c>
      <x:c r="H24" s="8" t="n">
        <x:v>34</x:v>
      </x:c>
      <x:c r="I24" s="11" t="n">
        <x:v>0.4</x:v>
      </x:c>
      <x:c r="J24" s="11" t="n">
        <x:v>0.44</x:v>
      </x:c>
      <x:c r="K24" s="11" t="n">
        <x:v>0.5</x:v>
      </x:c>
      <x:c r="L24" s="11" t="n">
        <x:v>0.2</x:v>
      </x:c>
      <x:c r="M24" s="11" t="n">
        <x:v>0.45</x:v>
      </x:c>
      <x:c r="N24" s="11" t="n">
        <x:v>0.4</x:v>
      </x:c>
      <x:c r="O24" s="8" t="str">
        <x:v>SYN-SITE-16</x:v>
      </x:c>
      <x:c r="P24" s="19" t="n">
        <x:v>46752</x:v>
      </x:c>
      <x:c r="Q24" s="9" t="str">
        <x:f>IF(C24="","",IF(COUNTIF($C$9:$C$108,C24)&lt;&gt;1,"Duplicate site",IF(OR(COUNTIF(Borrowers!$C$9:$C$108,D24)&lt;&gt;1,COUNT(H24:N24)&lt;&gt;7,O24="",COUNT(P24)&lt;&gt;1),"Missing inputs",IF(OR(H24&lt;0,MIN(I24:N24)&lt;0,MAX(I24:N24)&gt;1,ABS(SUMIF($D$9:$D$108,D24,$I$9:$I$108)-1)&gt;0.000001,ABS(SUMIF($D$9:$D$108,D24,$N$9:$N$108)-1)&gt;0.000001),"Review site shares",IF(P24&lt;Settings!$F$8,"Expired evidence","Ready")))))</x:f>
        <x:v>Ready</x:v>
      </x:c>
    </x:row>
    <x:row r="25" ht="36" customHeight="1">
      <x:c r="A25" s="1"/>
      <x:c r="B25" s="1"/>
      <x:c r="C25" s="8" t="str">
        <x:v>S017</x:v>
      </x:c>
      <x:c r="D25" s="8" t="str">
        <x:v>B009</x:v>
      </x:c>
      <x:c r="E25" s="8" t="str">
        <x:v>Jordan</x:v>
      </x:c>
      <x:c r="F25" s="8" t="str">
        <x:v>Main location</x:v>
      </x:c>
      <x:c r="G25" s="8" t="str">
        <x:v>Flood</x:v>
      </x:c>
      <x:c r="H25" s="8" t="n">
        <x:v>36</x:v>
      </x:c>
      <x:c r="I25" s="11" t="n">
        <x:v>0.6</x:v>
      </x:c>
      <x:c r="J25" s="11" t="n">
        <x:v>0.56</x:v>
      </x:c>
      <x:c r="K25" s="11" t="n">
        <x:v>0.6499999999999999</x:v>
      </x:c>
      <x:c r="L25" s="11" t="n">
        <x:v>0.2</x:v>
      </x:c>
      <x:c r="M25" s="11" t="n">
        <x:v>0.45</x:v>
      </x:c>
      <x:c r="N25" s="11" t="n">
        <x:v>0.6</x:v>
      </x:c>
      <x:c r="O25" s="8" t="str">
        <x:v>SYN-SITE-17</x:v>
      </x:c>
      <x:c r="P25" s="19" t="n">
        <x:v>46752</x:v>
      </x:c>
      <x:c r="Q25" s="9" t="str">
        <x:f>IF(C25="","",IF(COUNTIF($C$9:$C$108,C25)&lt;&gt;1,"Duplicate site",IF(OR(COUNTIF(Borrowers!$C$9:$C$108,D25)&lt;&gt;1,COUNT(H25:N25)&lt;&gt;7,O25="",COUNT(P25)&lt;&gt;1),"Missing inputs",IF(OR(H25&lt;0,MIN(I25:N25)&lt;0,MAX(I25:N25)&gt;1,ABS(SUMIF($D$9:$D$108,D25,$I$9:$I$108)-1)&gt;0.000001,ABS(SUMIF($D$9:$D$108,D25,$N$9:$N$108)-1)&gt;0.000001),"Review site shares",IF(P25&lt;Settings!$F$8,"Expired evidence","Ready")))))</x:f>
        <x:v>Ready</x:v>
      </x:c>
    </x:row>
    <x:row r="26" ht="36" customHeight="1">
      <x:c r="A26" s="1"/>
      <x:c r="B26" s="1"/>
      <x:c r="C26" s="8" t="str">
        <x:v>S018</x:v>
      </x:c>
      <x:c r="D26" s="8" t="str">
        <x:v>B009</x:v>
      </x:c>
      <x:c r="E26" s="8" t="str">
        <x:v>Jordan</x:v>
      </x:c>
      <x:c r="F26" s="8" t="str">
        <x:v>Secondary location</x:v>
      </x:c>
      <x:c r="G26" s="8" t="str">
        <x:v>Heat</x:v>
      </x:c>
      <x:c r="H26" s="8" t="n">
        <x:v>36</x:v>
      </x:c>
      <x:c r="I26" s="11" t="n">
        <x:v>0.4</x:v>
      </x:c>
      <x:c r="J26" s="11" t="n">
        <x:v>0.56</x:v>
      </x:c>
      <x:c r="K26" s="11" t="n">
        <x:v>0.6499999999999999</x:v>
      </x:c>
      <x:c r="L26" s="11" t="n">
        <x:v>0.2</x:v>
      </x:c>
      <x:c r="M26" s="11" t="n">
        <x:v>0.45</x:v>
      </x:c>
      <x:c r="N26" s="11" t="n">
        <x:v>0.4</x:v>
      </x:c>
      <x:c r="O26" s="8" t="str">
        <x:v>SYN-SITE-18</x:v>
      </x:c>
      <x:c r="P26" s="19" t="n">
        <x:v>46752</x:v>
      </x:c>
      <x:c r="Q26" s="9" t="str">
        <x:f>IF(C26="","",IF(COUNTIF($C$9:$C$108,C26)&lt;&gt;1,"Duplicate site",IF(OR(COUNTIF(Borrowers!$C$9:$C$108,D26)&lt;&gt;1,COUNT(H26:N26)&lt;&gt;7,O26="",COUNT(P26)&lt;&gt;1),"Missing inputs",IF(OR(H26&lt;0,MIN(I26:N26)&lt;0,MAX(I26:N26)&gt;1,ABS(SUMIF($D$9:$D$108,D26,$I$9:$I$108)-1)&gt;0.000001,ABS(SUMIF($D$9:$D$108,D26,$N$9:$N$108)-1)&gt;0.000001),"Review site shares",IF(P26&lt;Settings!$F$8,"Expired evidence","Ready")))))</x:f>
        <x:v>Ready</x:v>
      </x:c>
    </x:row>
    <x:row r="27" ht="36" customHeight="1">
      <x:c r="A27" s="1"/>
      <x:c r="B27" s="1"/>
      <x:c r="C27" s="8" t="str">
        <x:v>S019</x:v>
      </x:c>
      <x:c r="D27" s="8" t="str">
        <x:v>B010</x:v>
      </x:c>
      <x:c r="E27" s="8" t="str">
        <x:v>Jordan</x:v>
      </x:c>
      <x:c r="F27" s="8" t="str">
        <x:v>Main location</x:v>
      </x:c>
      <x:c r="G27" s="8" t="str">
        <x:v>Flood</x:v>
      </x:c>
      <x:c r="H27" s="8" t="n">
        <x:v>38</x:v>
      </x:c>
      <x:c r="I27" s="11" t="n">
        <x:v>0.6</x:v>
      </x:c>
      <x:c r="J27" s="11" t="n">
        <x:v>0.6799999999999999</x:v>
      </x:c>
      <x:c r="K27" s="11" t="n">
        <x:v>0.35</x:v>
      </x:c>
      <x:c r="L27" s="11" t="n">
        <x:v>0.2</x:v>
      </x:c>
      <x:c r="M27" s="11" t="n">
        <x:v>0.45</x:v>
      </x:c>
      <x:c r="N27" s="11" t="n">
        <x:v>0.6</x:v>
      </x:c>
      <x:c r="O27" s="8" t="str">
        <x:v>SYN-SITE-19</x:v>
      </x:c>
      <x:c r="P27" s="19" t="n">
        <x:v>46752</x:v>
      </x:c>
      <x:c r="Q27" s="9" t="str">
        <x:f>IF(C27="","",IF(COUNTIF($C$9:$C$108,C27)&lt;&gt;1,"Duplicate site",IF(OR(COUNTIF(Borrowers!$C$9:$C$108,D27)&lt;&gt;1,COUNT(H27:N27)&lt;&gt;7,O27="",COUNT(P27)&lt;&gt;1),"Missing inputs",IF(OR(H27&lt;0,MIN(I27:N27)&lt;0,MAX(I27:N27)&gt;1,ABS(SUMIF($D$9:$D$108,D27,$I$9:$I$108)-1)&gt;0.000001,ABS(SUMIF($D$9:$D$108,D27,$N$9:$N$108)-1)&gt;0.000001),"Review site shares",IF(P27&lt;Settings!$F$8,"Expired evidence","Ready")))))</x:f>
        <x:v>Ready</x:v>
      </x:c>
    </x:row>
    <x:row r="28" ht="36" customHeight="1">
      <x:c r="A28" s="1"/>
      <x:c r="B28" s="1"/>
      <x:c r="C28" s="8" t="str">
        <x:v>S020</x:v>
      </x:c>
      <x:c r="D28" s="8" t="str">
        <x:v>B010</x:v>
      </x:c>
      <x:c r="E28" s="8" t="str">
        <x:v>Jordan</x:v>
      </x:c>
      <x:c r="F28" s="8" t="str">
        <x:v>Secondary location</x:v>
      </x:c>
      <x:c r="G28" s="8" t="str">
        <x:v>Heat</x:v>
      </x:c>
      <x:c r="H28" s="8" t="n">
        <x:v>38</x:v>
      </x:c>
      <x:c r="I28" s="11" t="n">
        <x:v>0.4</x:v>
      </x:c>
      <x:c r="J28" s="11" t="n">
        <x:v>0.6799999999999999</x:v>
      </x:c>
      <x:c r="K28" s="11" t="n">
        <x:v>0.35</x:v>
      </x:c>
      <x:c r="L28" s="11" t="n">
        <x:v>0.2</x:v>
      </x:c>
      <x:c r="M28" s="11" t="n">
        <x:v>0.45</x:v>
      </x:c>
      <x:c r="N28" s="11" t="n">
        <x:v>0.4</x:v>
      </x:c>
      <x:c r="O28" s="8" t="str">
        <x:v>SYN-SITE-20</x:v>
      </x:c>
      <x:c r="P28" s="19" t="n">
        <x:v>46752</x:v>
      </x:c>
      <x:c r="Q28" s="9" t="str">
        <x:f>IF(C28="","",IF(COUNTIF($C$9:$C$108,C28)&lt;&gt;1,"Duplicate site",IF(OR(COUNTIF(Borrowers!$C$9:$C$108,D28)&lt;&gt;1,COUNT(H28:N28)&lt;&gt;7,O28="",COUNT(P28)&lt;&gt;1),"Missing inputs",IF(OR(H28&lt;0,MIN(I28:N28)&lt;0,MAX(I28:N28)&gt;1,ABS(SUMIF($D$9:$D$108,D28,$I$9:$I$108)-1)&gt;0.000001,ABS(SUMIF($D$9:$D$108,D28,$N$9:$N$108)-1)&gt;0.000001),"Review site shares",IF(P28&lt;Settings!$F$8,"Expired evidence","Ready")))))</x:f>
        <x:v>Ready</x:v>
      </x:c>
    </x:row>
    <x:row r="29" ht="36" customHeight="1">
      <x:c r="A29" s="1"/>
      <x:c r="B29" s="1"/>
      <x:c r="C29" s="8" t="str">
        <x:v>S021</x:v>
      </x:c>
      <x:c r="D29" s="8" t="str">
        <x:v>B011</x:v>
      </x:c>
      <x:c r="E29" s="8" t="str">
        <x:v>Jordan</x:v>
      </x:c>
      <x:c r="F29" s="8" t="str">
        <x:v>Main location</x:v>
      </x:c>
      <x:c r="G29" s="8" t="str">
        <x:v>Flood</x:v>
      </x:c>
      <x:c r="H29" s="8" t="n">
        <x:v>40</x:v>
      </x:c>
      <x:c r="I29" s="11" t="n">
        <x:v>0.6</x:v>
      </x:c>
      <x:c r="J29" s="11" t="n">
        <x:v>0.2</x:v>
      </x:c>
      <x:c r="K29" s="11" t="n">
        <x:v>0.5</x:v>
      </x:c>
      <x:c r="L29" s="11" t="n">
        <x:v>0.2</x:v>
      </x:c>
      <x:c r="M29" s="11" t="n">
        <x:v>0.45</x:v>
      </x:c>
      <x:c r="N29" s="11" t="n">
        <x:v>0.6</x:v>
      </x:c>
      <x:c r="O29" s="8" t="str">
        <x:v>SYN-SITE-21</x:v>
      </x:c>
      <x:c r="P29" s="19" t="n">
        <x:v>46752</x:v>
      </x:c>
      <x:c r="Q29" s="9" t="str">
        <x:f>IF(C29="","",IF(COUNTIF($C$9:$C$108,C29)&lt;&gt;1,"Duplicate site",IF(OR(COUNTIF(Borrowers!$C$9:$C$108,D29)&lt;&gt;1,COUNT(H29:N29)&lt;&gt;7,O29="",COUNT(P29)&lt;&gt;1),"Missing inputs",IF(OR(H29&lt;0,MIN(I29:N29)&lt;0,MAX(I29:N29)&gt;1,ABS(SUMIF($D$9:$D$108,D29,$I$9:$I$108)-1)&gt;0.000001,ABS(SUMIF($D$9:$D$108,D29,$N$9:$N$108)-1)&gt;0.000001),"Review site shares",IF(P29&lt;Settings!$F$8,"Expired evidence","Ready")))))</x:f>
        <x:v>Ready</x:v>
      </x:c>
    </x:row>
    <x:row r="30" ht="36" customHeight="1">
      <x:c r="A30" s="1"/>
      <x:c r="B30" s="1"/>
      <x:c r="C30" s="8" t="str">
        <x:v>S022</x:v>
      </x:c>
      <x:c r="D30" s="8" t="str">
        <x:v>B011</x:v>
      </x:c>
      <x:c r="E30" s="8" t="str">
        <x:v>Jordan</x:v>
      </x:c>
      <x:c r="F30" s="8" t="str">
        <x:v>Secondary location</x:v>
      </x:c>
      <x:c r="G30" s="8" t="str">
        <x:v>Heat</x:v>
      </x:c>
      <x:c r="H30" s="8" t="n">
        <x:v>40</x:v>
      </x:c>
      <x:c r="I30" s="11" t="n">
        <x:v>0.4</x:v>
      </x:c>
      <x:c r="J30" s="11" t="n">
        <x:v>0.2</x:v>
      </x:c>
      <x:c r="K30" s="11" t="n">
        <x:v>0.5</x:v>
      </x:c>
      <x:c r="L30" s="11" t="n">
        <x:v>0.2</x:v>
      </x:c>
      <x:c r="M30" s="11" t="n">
        <x:v>0.45</x:v>
      </x:c>
      <x:c r="N30" s="11" t="n">
        <x:v>0.4</x:v>
      </x:c>
      <x:c r="O30" s="8" t="str">
        <x:v>SYN-SITE-22</x:v>
      </x:c>
      <x:c r="P30" s="19" t="n">
        <x:v>46752</x:v>
      </x:c>
      <x:c r="Q30" s="9" t="str">
        <x:f>IF(C30="","",IF(COUNTIF($C$9:$C$108,C30)&lt;&gt;1,"Duplicate site",IF(OR(COUNTIF(Borrowers!$C$9:$C$108,D30)&lt;&gt;1,COUNT(H30:N30)&lt;&gt;7,O30="",COUNT(P30)&lt;&gt;1),"Missing inputs",IF(OR(H30&lt;0,MIN(I30:N30)&lt;0,MAX(I30:N30)&gt;1,ABS(SUMIF($D$9:$D$108,D30,$I$9:$I$108)-1)&gt;0.000001,ABS(SUMIF($D$9:$D$108,D30,$N$9:$N$108)-1)&gt;0.000001),"Review site shares",IF(P30&lt;Settings!$F$8,"Expired evidence","Ready")))))</x:f>
        <x:v>Ready</x:v>
      </x:c>
    </x:row>
    <x:row r="31" ht="36" customHeight="1">
      <x:c r="A31" s="1"/>
      <x:c r="B31" s="1"/>
      <x:c r="C31" s="8" t="str">
        <x:v>S023</x:v>
      </x:c>
      <x:c r="D31" s="8" t="str">
        <x:v>B012</x:v>
      </x:c>
      <x:c r="E31" s="8" t="str">
        <x:v>Jordan</x:v>
      </x:c>
      <x:c r="F31" s="8" t="str">
        <x:v>Main location</x:v>
      </x:c>
      <x:c r="G31" s="8" t="str">
        <x:v>Flood</x:v>
      </x:c>
      <x:c r="H31" s="8" t="n">
        <x:v>42</x:v>
      </x:c>
      <x:c r="I31" s="11" t="n">
        <x:v>0.6</x:v>
      </x:c>
      <x:c r="J31" s="11" t="n">
        <x:v>0.32</x:v>
      </x:c>
      <x:c r="K31" s="11" t="n">
        <x:v>0.6499999999999999</x:v>
      </x:c>
      <x:c r="L31" s="11" t="n">
        <x:v>0.2</x:v>
      </x:c>
      <x:c r="M31" s="11" t="n">
        <x:v>0.45</x:v>
      </x:c>
      <x:c r="N31" s="11" t="n">
        <x:v>0.6</x:v>
      </x:c>
      <x:c r="O31" s="8" t="str">
        <x:v>SYN-SITE-23</x:v>
      </x:c>
      <x:c r="P31" s="19" t="n">
        <x:v>46752</x:v>
      </x:c>
      <x:c r="Q31" s="9" t="str">
        <x:f>IF(C31="","",IF(COUNTIF($C$9:$C$108,C31)&lt;&gt;1,"Duplicate site",IF(OR(COUNTIF(Borrowers!$C$9:$C$108,D31)&lt;&gt;1,COUNT(H31:N31)&lt;&gt;7,O31="",COUNT(P31)&lt;&gt;1),"Missing inputs",IF(OR(H31&lt;0,MIN(I31:N31)&lt;0,MAX(I31:N31)&gt;1,ABS(SUMIF($D$9:$D$108,D31,$I$9:$I$108)-1)&gt;0.000001,ABS(SUMIF($D$9:$D$108,D31,$N$9:$N$108)-1)&gt;0.000001),"Review site shares",IF(P31&lt;Settings!$F$8,"Expired evidence","Ready")))))</x:f>
        <x:v>Ready</x:v>
      </x:c>
    </x:row>
    <x:row r="32" ht="36" customHeight="1">
      <x:c r="A32" s="1"/>
      <x:c r="B32" s="1"/>
      <x:c r="C32" s="8" t="str">
        <x:v>S024</x:v>
      </x:c>
      <x:c r="D32" s="8" t="str">
        <x:v>B012</x:v>
      </x:c>
      <x:c r="E32" s="8" t="str">
        <x:v>Jordan</x:v>
      </x:c>
      <x:c r="F32" s="8" t="str">
        <x:v>Secondary location</x:v>
      </x:c>
      <x:c r="G32" s="8" t="str">
        <x:v>Heat</x:v>
      </x:c>
      <x:c r="H32" s="8" t="n">
        <x:v>42</x:v>
      </x:c>
      <x:c r="I32" s="11" t="n">
        <x:v>0.4</x:v>
      </x:c>
      <x:c r="J32" s="11" t="n">
        <x:v>0.32</x:v>
      </x:c>
      <x:c r="K32" s="11" t="n">
        <x:v>0.6499999999999999</x:v>
      </x:c>
      <x:c r="L32" s="11" t="n">
        <x:v>0.2</x:v>
      </x:c>
      <x:c r="M32" s="11" t="n">
        <x:v>0.45</x:v>
      </x:c>
      <x:c r="N32" s="11" t="n">
        <x:v>0.4</x:v>
      </x:c>
      <x:c r="O32" s="8" t="str">
        <x:v>SYN-SITE-24</x:v>
      </x:c>
      <x:c r="P32" s="19" t="n">
        <x:v>46752</x:v>
      </x:c>
      <x:c r="Q32" s="9" t="str">
        <x:f>IF(C32="","",IF(COUNTIF($C$9:$C$108,C32)&lt;&gt;1,"Duplicate site",IF(OR(COUNTIF(Borrowers!$C$9:$C$108,D32)&lt;&gt;1,COUNT(H32:N32)&lt;&gt;7,O32="",COUNT(P32)&lt;&gt;1),"Missing inputs",IF(OR(H32&lt;0,MIN(I32:N32)&lt;0,MAX(I32:N32)&gt;1,ABS(SUMIF($D$9:$D$108,D32,$I$9:$I$108)-1)&gt;0.000001,ABS(SUMIF($D$9:$D$108,D32,$N$9:$N$108)-1)&gt;0.000001),"Review site shares",IF(P32&lt;Settings!$F$8,"Expired evidence","Ready")))))</x:f>
        <x:v>Ready</x:v>
      </x:c>
    </x:row>
    <x:row r="33" ht="36" customHeight="1">
      <x:c r="A33" s="1"/>
      <x:c r="B33" s="1"/>
      <x:c r="C33" s="8" t="str">
        <x:v>S025</x:v>
      </x:c>
      <x:c r="D33" s="8" t="str">
        <x:v>B013</x:v>
      </x:c>
      <x:c r="E33" s="8" t="str">
        <x:v>UAE</x:v>
      </x:c>
      <x:c r="F33" s="8" t="str">
        <x:v>Main location</x:v>
      </x:c>
      <x:c r="G33" s="8" t="str">
        <x:v>Flood</x:v>
      </x:c>
      <x:c r="H33" s="8" t="n">
        <x:v>44</x:v>
      </x:c>
      <x:c r="I33" s="11" t="n">
        <x:v>0.6</x:v>
      </x:c>
      <x:c r="J33" s="11" t="n">
        <x:v>0.44</x:v>
      </x:c>
      <x:c r="K33" s="11" t="n">
        <x:v>0.35</x:v>
      </x:c>
      <x:c r="L33" s="11" t="n">
        <x:v>0.2</x:v>
      </x:c>
      <x:c r="M33" s="11" t="n">
        <x:v>0.45</x:v>
      </x:c>
      <x:c r="N33" s="11" t="n">
        <x:v>0.6</x:v>
      </x:c>
      <x:c r="O33" s="8" t="str">
        <x:v>SYN-SITE-25</x:v>
      </x:c>
      <x:c r="P33" s="19" t="n">
        <x:v>46752</x:v>
      </x:c>
      <x:c r="Q33" s="9" t="str">
        <x:f>IF(C33="","",IF(COUNTIF($C$9:$C$108,C33)&lt;&gt;1,"Duplicate site",IF(OR(COUNTIF(Borrowers!$C$9:$C$108,D33)&lt;&gt;1,COUNT(H33:N33)&lt;&gt;7,O33="",COUNT(P33)&lt;&gt;1),"Missing inputs",IF(OR(H33&lt;0,MIN(I33:N33)&lt;0,MAX(I33:N33)&gt;1,ABS(SUMIF($D$9:$D$108,D33,$I$9:$I$108)-1)&gt;0.000001,ABS(SUMIF($D$9:$D$108,D33,$N$9:$N$108)-1)&gt;0.000001),"Review site shares",IF(P33&lt;Settings!$F$8,"Expired evidence","Ready")))))</x:f>
        <x:v>Ready</x:v>
      </x:c>
    </x:row>
    <x:row r="34" ht="36" customHeight="1">
      <x:c r="A34" s="1"/>
      <x:c r="B34" s="1"/>
      <x:c r="C34" s="8" t="str">
        <x:v>S026</x:v>
      </x:c>
      <x:c r="D34" s="8" t="str">
        <x:v>B013</x:v>
      </x:c>
      <x:c r="E34" s="8" t="str">
        <x:v>UAE</x:v>
      </x:c>
      <x:c r="F34" s="8" t="str">
        <x:v>Secondary location</x:v>
      </x:c>
      <x:c r="G34" s="8" t="str">
        <x:v>Heat</x:v>
      </x:c>
      <x:c r="H34" s="8" t="n">
        <x:v>44</x:v>
      </x:c>
      <x:c r="I34" s="11" t="n">
        <x:v>0.4</x:v>
      </x:c>
      <x:c r="J34" s="11" t="n">
        <x:v>0.44</x:v>
      </x:c>
      <x:c r="K34" s="11" t="n">
        <x:v>0.35</x:v>
      </x:c>
      <x:c r="L34" s="11" t="n">
        <x:v>0.2</x:v>
      </x:c>
      <x:c r="M34" s="11" t="n">
        <x:v>0.45</x:v>
      </x:c>
      <x:c r="N34" s="11" t="n">
        <x:v>0.4</x:v>
      </x:c>
      <x:c r="O34" s="8" t="str">
        <x:v>SYN-SITE-26</x:v>
      </x:c>
      <x:c r="P34" s="19" t="n">
        <x:v>46752</x:v>
      </x:c>
      <x:c r="Q34" s="9" t="str">
        <x:f>IF(C34="","",IF(COUNTIF($C$9:$C$108,C34)&lt;&gt;1,"Duplicate site",IF(OR(COUNTIF(Borrowers!$C$9:$C$108,D34)&lt;&gt;1,COUNT(H34:N34)&lt;&gt;7,O34="",COUNT(P34)&lt;&gt;1),"Missing inputs",IF(OR(H34&lt;0,MIN(I34:N34)&lt;0,MAX(I34:N34)&gt;1,ABS(SUMIF($D$9:$D$108,D34,$I$9:$I$108)-1)&gt;0.000001,ABS(SUMIF($D$9:$D$108,D34,$N$9:$N$108)-1)&gt;0.000001),"Review site shares",IF(P34&lt;Settings!$F$8,"Expired evidence","Ready")))))</x:f>
        <x:v>Ready</x:v>
      </x:c>
    </x:row>
    <x:row r="35" ht="36" customHeight="1">
      <x:c r="A35" s="1"/>
      <x:c r="B35" s="1"/>
      <x:c r="C35" s="8" t="str">
        <x:v>S027</x:v>
      </x:c>
      <x:c r="D35" s="8" t="str">
        <x:v>B014</x:v>
      </x:c>
      <x:c r="E35" s="8" t="str">
        <x:v>UAE</x:v>
      </x:c>
      <x:c r="F35" s="8" t="str">
        <x:v>Main location</x:v>
      </x:c>
      <x:c r="G35" s="8" t="str">
        <x:v>Flood</x:v>
      </x:c>
      <x:c r="H35" s="8" t="n">
        <x:v>46</x:v>
      </x:c>
      <x:c r="I35" s="11" t="n">
        <x:v>0.6</x:v>
      </x:c>
      <x:c r="J35" s="11" t="n">
        <x:v>0.56</x:v>
      </x:c>
      <x:c r="K35" s="11" t="n">
        <x:v>0.5</x:v>
      </x:c>
      <x:c r="L35" s="11" t="n">
        <x:v>0.2</x:v>
      </x:c>
      <x:c r="M35" s="11" t="n">
        <x:v>0.45</x:v>
      </x:c>
      <x:c r="N35" s="11" t="n">
        <x:v>0.6</x:v>
      </x:c>
      <x:c r="O35" s="8" t="str">
        <x:v>SYN-SITE-27</x:v>
      </x:c>
      <x:c r="P35" s="19" t="n">
        <x:v>46752</x:v>
      </x:c>
      <x:c r="Q35" s="9" t="str">
        <x:f>IF(C35="","",IF(COUNTIF($C$9:$C$108,C35)&lt;&gt;1,"Duplicate site",IF(OR(COUNTIF(Borrowers!$C$9:$C$108,D35)&lt;&gt;1,COUNT(H35:N35)&lt;&gt;7,O35="",COUNT(P35)&lt;&gt;1),"Missing inputs",IF(OR(H35&lt;0,MIN(I35:N35)&lt;0,MAX(I35:N35)&gt;1,ABS(SUMIF($D$9:$D$108,D35,$I$9:$I$108)-1)&gt;0.000001,ABS(SUMIF($D$9:$D$108,D35,$N$9:$N$108)-1)&gt;0.000001),"Review site shares",IF(P35&lt;Settings!$F$8,"Expired evidence","Ready")))))</x:f>
        <x:v>Ready</x:v>
      </x:c>
    </x:row>
    <x:row r="36" ht="36" customHeight="1">
      <x:c r="A36" s="1"/>
      <x:c r="B36" s="1"/>
      <x:c r="C36" s="8" t="str">
        <x:v>S028</x:v>
      </x:c>
      <x:c r="D36" s="8" t="str">
        <x:v>B014</x:v>
      </x:c>
      <x:c r="E36" s="8" t="str">
        <x:v>UAE</x:v>
      </x:c>
      <x:c r="F36" s="8" t="str">
        <x:v>Secondary location</x:v>
      </x:c>
      <x:c r="G36" s="8" t="str">
        <x:v>Heat</x:v>
      </x:c>
      <x:c r="H36" s="8" t="n">
        <x:v>46</x:v>
      </x:c>
      <x:c r="I36" s="11" t="n">
        <x:v>0.4</x:v>
      </x:c>
      <x:c r="J36" s="11" t="n">
        <x:v>0.56</x:v>
      </x:c>
      <x:c r="K36" s="11" t="n">
        <x:v>0.5</x:v>
      </x:c>
      <x:c r="L36" s="11" t="n">
        <x:v>0.2</x:v>
      </x:c>
      <x:c r="M36" s="11" t="n">
        <x:v>0.45</x:v>
      </x:c>
      <x:c r="N36" s="11" t="n">
        <x:v>0.4</x:v>
      </x:c>
      <x:c r="O36" s="8" t="str">
        <x:v>SYN-SITE-28</x:v>
      </x:c>
      <x:c r="P36" s="19" t="n">
        <x:v>46752</x:v>
      </x:c>
      <x:c r="Q36" s="9" t="str">
        <x:f>IF(C36="","",IF(COUNTIF($C$9:$C$108,C36)&lt;&gt;1,"Duplicate site",IF(OR(COUNTIF(Borrowers!$C$9:$C$108,D36)&lt;&gt;1,COUNT(H36:N36)&lt;&gt;7,O36="",COUNT(P36)&lt;&gt;1),"Missing inputs",IF(OR(H36&lt;0,MIN(I36:N36)&lt;0,MAX(I36:N36)&gt;1,ABS(SUMIF($D$9:$D$108,D36,$I$9:$I$108)-1)&gt;0.000001,ABS(SUMIF($D$9:$D$108,D36,$N$9:$N$108)-1)&gt;0.000001),"Review site shares",IF(P36&lt;Settings!$F$8,"Expired evidence","Ready")))))</x:f>
        <x:v>Ready</x:v>
      </x:c>
    </x:row>
    <x:row r="37" ht="36" customHeight="1">
      <x:c r="A37" s="1"/>
      <x:c r="B37" s="1"/>
      <x:c r="C37" s="8" t="str">
        <x:v>S029</x:v>
      </x:c>
      <x:c r="D37" s="8" t="str">
        <x:v>B015</x:v>
      </x:c>
      <x:c r="E37" s="8" t="str">
        <x:v>UAE</x:v>
      </x:c>
      <x:c r="F37" s="8" t="str">
        <x:v>Main location</x:v>
      </x:c>
      <x:c r="G37" s="8" t="str">
        <x:v>Flood</x:v>
      </x:c>
      <x:c r="H37" s="8" t="n">
        <x:v>48</x:v>
      </x:c>
      <x:c r="I37" s="11" t="n">
        <x:v>0.6</x:v>
      </x:c>
      <x:c r="J37" s="11" t="n">
        <x:v>0.6799999999999999</x:v>
      </x:c>
      <x:c r="K37" s="11" t="n">
        <x:v>0.6499999999999999</x:v>
      </x:c>
      <x:c r="L37" s="11" t="n">
        <x:v>0.2</x:v>
      </x:c>
      <x:c r="M37" s="11" t="n">
        <x:v>0.45</x:v>
      </x:c>
      <x:c r="N37" s="11" t="n">
        <x:v>0.6</x:v>
      </x:c>
      <x:c r="O37" s="8" t="str">
        <x:v>SYN-SITE-29</x:v>
      </x:c>
      <x:c r="P37" s="19" t="n">
        <x:v>46752</x:v>
      </x:c>
      <x:c r="Q37" s="9" t="str">
        <x:f>IF(C37="","",IF(COUNTIF($C$9:$C$108,C37)&lt;&gt;1,"Duplicate site",IF(OR(COUNTIF(Borrowers!$C$9:$C$108,D37)&lt;&gt;1,COUNT(H37:N37)&lt;&gt;7,O37="",COUNT(P37)&lt;&gt;1),"Missing inputs",IF(OR(H37&lt;0,MIN(I37:N37)&lt;0,MAX(I37:N37)&gt;1,ABS(SUMIF($D$9:$D$108,D37,$I$9:$I$108)-1)&gt;0.000001,ABS(SUMIF($D$9:$D$108,D37,$N$9:$N$108)-1)&gt;0.000001),"Review site shares",IF(P37&lt;Settings!$F$8,"Expired evidence","Ready")))))</x:f>
        <x:v>Ready</x:v>
      </x:c>
    </x:row>
    <x:row r="38" ht="36" customHeight="1">
      <x:c r="A38" s="1"/>
      <x:c r="B38" s="1"/>
      <x:c r="C38" s="8" t="str">
        <x:v>S030</x:v>
      </x:c>
      <x:c r="D38" s="8" t="str">
        <x:v>B015</x:v>
      </x:c>
      <x:c r="E38" s="8" t="str">
        <x:v>UAE</x:v>
      </x:c>
      <x:c r="F38" s="8" t="str">
        <x:v>Secondary location</x:v>
      </x:c>
      <x:c r="G38" s="8" t="str">
        <x:v>Heat</x:v>
      </x:c>
      <x:c r="H38" s="8" t="n">
        <x:v>48</x:v>
      </x:c>
      <x:c r="I38" s="11" t="n">
        <x:v>0.4</x:v>
      </x:c>
      <x:c r="J38" s="11" t="n">
        <x:v>0.6799999999999999</x:v>
      </x:c>
      <x:c r="K38" s="11" t="n">
        <x:v>0.6499999999999999</x:v>
      </x:c>
      <x:c r="L38" s="11" t="n">
        <x:v>0.2</x:v>
      </x:c>
      <x:c r="M38" s="11" t="n">
        <x:v>0.45</x:v>
      </x:c>
      <x:c r="N38" s="11" t="n">
        <x:v>0.4</x:v>
      </x:c>
      <x:c r="O38" s="8" t="str">
        <x:v>SYN-SITE-30</x:v>
      </x:c>
      <x:c r="P38" s="19" t="n">
        <x:v>46752</x:v>
      </x:c>
      <x:c r="Q38" s="9" t="str">
        <x:f>IF(C38="","",IF(COUNTIF($C$9:$C$108,C38)&lt;&gt;1,"Duplicate site",IF(OR(COUNTIF(Borrowers!$C$9:$C$108,D38)&lt;&gt;1,COUNT(H38:N38)&lt;&gt;7,O38="",COUNT(P38)&lt;&gt;1),"Missing inputs",IF(OR(H38&lt;0,MIN(I38:N38)&lt;0,MAX(I38:N38)&gt;1,ABS(SUMIF($D$9:$D$108,D38,$I$9:$I$108)-1)&gt;0.000001,ABS(SUMIF($D$9:$D$108,D38,$N$9:$N$108)-1)&gt;0.000001),"Review site shares",IF(P38&lt;Settings!$F$8,"Expired evidence","Ready")))))</x:f>
        <x:v>Ready</x:v>
      </x:c>
    </x:row>
    <x:row r="39" ht="36" customHeight="1">
      <x:c r="A39" s="1"/>
      <x:c r="B39" s="1"/>
      <x:c r="C39" s="8" t="str">
        <x:v>S031</x:v>
      </x:c>
      <x:c r="D39" s="8" t="str">
        <x:v>B016</x:v>
      </x:c>
      <x:c r="E39" s="8" t="str">
        <x:v>UAE</x:v>
      </x:c>
      <x:c r="F39" s="8" t="str">
        <x:v>Main location</x:v>
      </x:c>
      <x:c r="G39" s="8" t="str">
        <x:v>Flood</x:v>
      </x:c>
      <x:c r="H39" s="8" t="n">
        <x:v>50</x:v>
      </x:c>
      <x:c r="I39" s="11" t="n">
        <x:v>0.6</x:v>
      </x:c>
      <x:c r="J39" s="11" t="n">
        <x:v>0.2</x:v>
      </x:c>
      <x:c r="K39" s="11" t="n">
        <x:v>0.35</x:v>
      </x:c>
      <x:c r="L39" s="11" t="n">
        <x:v>0.2</x:v>
      </x:c>
      <x:c r="M39" s="11" t="n">
        <x:v>0.45</x:v>
      </x:c>
      <x:c r="N39" s="11" t="n">
        <x:v>0.6</x:v>
      </x:c>
      <x:c r="O39" s="8" t="str">
        <x:v>SYN-SITE-31</x:v>
      </x:c>
      <x:c r="P39" s="19" t="n">
        <x:v>46752</x:v>
      </x:c>
      <x:c r="Q39" s="9" t="str">
        <x:f>IF(C39="","",IF(COUNTIF($C$9:$C$108,C39)&lt;&gt;1,"Duplicate site",IF(OR(COUNTIF(Borrowers!$C$9:$C$108,D39)&lt;&gt;1,COUNT(H39:N39)&lt;&gt;7,O39="",COUNT(P39)&lt;&gt;1),"Missing inputs",IF(OR(H39&lt;0,MIN(I39:N39)&lt;0,MAX(I39:N39)&gt;1,ABS(SUMIF($D$9:$D$108,D39,$I$9:$I$108)-1)&gt;0.000001,ABS(SUMIF($D$9:$D$108,D39,$N$9:$N$108)-1)&gt;0.000001),"Review site shares",IF(P39&lt;Settings!$F$8,"Expired evidence","Ready")))))</x:f>
        <x:v>Ready</x:v>
      </x:c>
    </x:row>
    <x:row r="40" ht="36" customHeight="1">
      <x:c r="A40" s="1"/>
      <x:c r="B40" s="1"/>
      <x:c r="C40" s="8" t="str">
        <x:v>S032</x:v>
      </x:c>
      <x:c r="D40" s="8" t="str">
        <x:v>B016</x:v>
      </x:c>
      <x:c r="E40" s="8" t="str">
        <x:v>UAE</x:v>
      </x:c>
      <x:c r="F40" s="8" t="str">
        <x:v>Secondary location</x:v>
      </x:c>
      <x:c r="G40" s="8" t="str">
        <x:v>Heat</x:v>
      </x:c>
      <x:c r="H40" s="8" t="n">
        <x:v>50</x:v>
      </x:c>
      <x:c r="I40" s="11" t="n">
        <x:v>0.4</x:v>
      </x:c>
      <x:c r="J40" s="11" t="n">
        <x:v>0.2</x:v>
      </x:c>
      <x:c r="K40" s="11" t="n">
        <x:v>0.35</x:v>
      </x:c>
      <x:c r="L40" s="11" t="n">
        <x:v>0.2</x:v>
      </x:c>
      <x:c r="M40" s="11" t="n">
        <x:v>0.45</x:v>
      </x:c>
      <x:c r="N40" s="11" t="n">
        <x:v>0.4</x:v>
      </x:c>
      <x:c r="O40" s="8" t="str">
        <x:v>SYN-SITE-32</x:v>
      </x:c>
      <x:c r="P40" s="19" t="n">
        <x:v>46752</x:v>
      </x:c>
      <x:c r="Q40" s="9" t="str">
        <x:f>IF(C40="","",IF(COUNTIF($C$9:$C$108,C40)&lt;&gt;1,"Duplicate site",IF(OR(COUNTIF(Borrowers!$C$9:$C$108,D40)&lt;&gt;1,COUNT(H40:N40)&lt;&gt;7,O40="",COUNT(P40)&lt;&gt;1),"Missing inputs",IF(OR(H40&lt;0,MIN(I40:N40)&lt;0,MAX(I40:N40)&gt;1,ABS(SUMIF($D$9:$D$108,D40,$I$9:$I$108)-1)&gt;0.000001,ABS(SUMIF($D$9:$D$108,D40,$N$9:$N$108)-1)&gt;0.000001),"Review site shares",IF(P40&lt;Settings!$F$8,"Expired evidence","Ready")))))</x:f>
        <x:v>Ready</x:v>
      </x:c>
    </x:row>
    <x:row r="41" ht="36" customHeight="1">
      <x:c r="A41" s="1"/>
      <x:c r="B41" s="1"/>
      <x:c r="C41" s="8" t="str">
        <x:v>S033</x:v>
      </x:c>
      <x:c r="D41" s="8" t="str">
        <x:v>B017</x:v>
      </x:c>
      <x:c r="E41" s="8" t="str">
        <x:v>UAE</x:v>
      </x:c>
      <x:c r="F41" s="8" t="str">
        <x:v>Main location</x:v>
      </x:c>
      <x:c r="G41" s="8" t="str">
        <x:v>Flood</x:v>
      </x:c>
      <x:c r="H41" s="8" t="n">
        <x:v>52</x:v>
      </x:c>
      <x:c r="I41" s="11" t="n">
        <x:v>0.6</x:v>
      </x:c>
      <x:c r="J41" s="11" t="n">
        <x:v>0.32</x:v>
      </x:c>
      <x:c r="K41" s="11" t="n">
        <x:v>0.5</x:v>
      </x:c>
      <x:c r="L41" s="11" t="n">
        <x:v>0.2</x:v>
      </x:c>
      <x:c r="M41" s="11" t="n">
        <x:v>0.45</x:v>
      </x:c>
      <x:c r="N41" s="11" t="n">
        <x:v>0.6</x:v>
      </x:c>
      <x:c r="O41" s="8" t="str">
        <x:v>SYN-SITE-33</x:v>
      </x:c>
      <x:c r="P41" s="19" t="n">
        <x:v>46752</x:v>
      </x:c>
      <x:c r="Q41" s="9" t="str">
        <x:f>IF(C41="","",IF(COUNTIF($C$9:$C$108,C41)&lt;&gt;1,"Duplicate site",IF(OR(COUNTIF(Borrowers!$C$9:$C$108,D41)&lt;&gt;1,COUNT(H41:N41)&lt;&gt;7,O41="",COUNT(P41)&lt;&gt;1),"Missing inputs",IF(OR(H41&lt;0,MIN(I41:N41)&lt;0,MAX(I41:N41)&gt;1,ABS(SUMIF($D$9:$D$108,D41,$I$9:$I$108)-1)&gt;0.000001,ABS(SUMIF($D$9:$D$108,D41,$N$9:$N$108)-1)&gt;0.000001),"Review site shares",IF(P41&lt;Settings!$F$8,"Expired evidence","Ready")))))</x:f>
        <x:v>Ready</x:v>
      </x:c>
    </x:row>
    <x:row r="42" ht="36" customHeight="1">
      <x:c r="A42" s="1"/>
      <x:c r="B42" s="1"/>
      <x:c r="C42" s="8" t="str">
        <x:v>S034</x:v>
      </x:c>
      <x:c r="D42" s="8" t="str">
        <x:v>B017</x:v>
      </x:c>
      <x:c r="E42" s="8" t="str">
        <x:v>UAE</x:v>
      </x:c>
      <x:c r="F42" s="8" t="str">
        <x:v>Secondary location</x:v>
      </x:c>
      <x:c r="G42" s="8" t="str">
        <x:v>Heat</x:v>
      </x:c>
      <x:c r="H42" s="8" t="n">
        <x:v>52</x:v>
      </x:c>
      <x:c r="I42" s="11" t="n">
        <x:v>0.4</x:v>
      </x:c>
      <x:c r="J42" s="11" t="n">
        <x:v>0.32</x:v>
      </x:c>
      <x:c r="K42" s="11" t="n">
        <x:v>0.5</x:v>
      </x:c>
      <x:c r="L42" s="11" t="n">
        <x:v>0.2</x:v>
      </x:c>
      <x:c r="M42" s="11" t="n">
        <x:v>0.45</x:v>
      </x:c>
      <x:c r="N42" s="11" t="n">
        <x:v>0.4</x:v>
      </x:c>
      <x:c r="O42" s="8" t="str">
        <x:v>SYN-SITE-34</x:v>
      </x:c>
      <x:c r="P42" s="19" t="n">
        <x:v>46752</x:v>
      </x:c>
      <x:c r="Q42" s="9" t="str">
        <x:f>IF(C42="","",IF(COUNTIF($C$9:$C$108,C42)&lt;&gt;1,"Duplicate site",IF(OR(COUNTIF(Borrowers!$C$9:$C$108,D42)&lt;&gt;1,COUNT(H42:N42)&lt;&gt;7,O42="",COUNT(P42)&lt;&gt;1),"Missing inputs",IF(OR(H42&lt;0,MIN(I42:N42)&lt;0,MAX(I42:N42)&gt;1,ABS(SUMIF($D$9:$D$108,D42,$I$9:$I$108)-1)&gt;0.000001,ABS(SUMIF($D$9:$D$108,D42,$N$9:$N$108)-1)&gt;0.000001),"Review site shares",IF(P42&lt;Settings!$F$8,"Expired evidence","Ready")))))</x:f>
        <x:v>Ready</x:v>
      </x:c>
    </x:row>
    <x:row r="43" ht="36" customHeight="1">
      <x:c r="A43" s="1"/>
      <x:c r="B43" s="1"/>
      <x:c r="C43" s="8" t="str">
        <x:v>S035</x:v>
      </x:c>
      <x:c r="D43" s="8" t="str">
        <x:v>B018</x:v>
      </x:c>
      <x:c r="E43" s="8" t="str">
        <x:v>UAE</x:v>
      </x:c>
      <x:c r="F43" s="8" t="str">
        <x:v>Main location</x:v>
      </x:c>
      <x:c r="G43" s="8" t="str">
        <x:v>Flood</x:v>
      </x:c>
      <x:c r="H43" s="8" t="n">
        <x:v>54</x:v>
      </x:c>
      <x:c r="I43" s="11" t="n">
        <x:v>0.6</x:v>
      </x:c>
      <x:c r="J43" s="11" t="n">
        <x:v>0.44</x:v>
      </x:c>
      <x:c r="K43" s="11" t="n">
        <x:v>0.6499999999999999</x:v>
      </x:c>
      <x:c r="L43" s="11" t="n">
        <x:v>0.2</x:v>
      </x:c>
      <x:c r="M43" s="11" t="n">
        <x:v>0.45</x:v>
      </x:c>
      <x:c r="N43" s="11" t="n">
        <x:v>0.6</x:v>
      </x:c>
      <x:c r="O43" s="8" t="str">
        <x:v>SYN-SITE-35</x:v>
      </x:c>
      <x:c r="P43" s="19" t="n">
        <x:v>46752</x:v>
      </x:c>
      <x:c r="Q43" s="9" t="str">
        <x:f>IF(C43="","",IF(COUNTIF($C$9:$C$108,C43)&lt;&gt;1,"Duplicate site",IF(OR(COUNTIF(Borrowers!$C$9:$C$108,D43)&lt;&gt;1,COUNT(H43:N43)&lt;&gt;7,O43="",COUNT(P43)&lt;&gt;1),"Missing inputs",IF(OR(H43&lt;0,MIN(I43:N43)&lt;0,MAX(I43:N43)&gt;1,ABS(SUMIF($D$9:$D$108,D43,$I$9:$I$108)-1)&gt;0.000001,ABS(SUMIF($D$9:$D$108,D43,$N$9:$N$108)-1)&gt;0.000001),"Review site shares",IF(P43&lt;Settings!$F$8,"Expired evidence","Ready")))))</x:f>
        <x:v>Ready</x:v>
      </x:c>
    </x:row>
    <x:row r="44" ht="36" customHeight="1">
      <x:c r="A44" s="1"/>
      <x:c r="B44" s="1"/>
      <x:c r="C44" s="8" t="str">
        <x:v>S036</x:v>
      </x:c>
      <x:c r="D44" s="8" t="str">
        <x:v>B018</x:v>
      </x:c>
      <x:c r="E44" s="8" t="str">
        <x:v>UAE</x:v>
      </x:c>
      <x:c r="F44" s="8" t="str">
        <x:v>Secondary location</x:v>
      </x:c>
      <x:c r="G44" s="8" t="str">
        <x:v>Heat</x:v>
      </x:c>
      <x:c r="H44" s="8" t="n">
        <x:v>54</x:v>
      </x:c>
      <x:c r="I44" s="11" t="n">
        <x:v>0.4</x:v>
      </x:c>
      <x:c r="J44" s="11" t="n">
        <x:v>0.44</x:v>
      </x:c>
      <x:c r="K44" s="11" t="n">
        <x:v>0.6499999999999999</x:v>
      </x:c>
      <x:c r="L44" s="11" t="n">
        <x:v>0.2</x:v>
      </x:c>
      <x:c r="M44" s="11" t="n">
        <x:v>0.45</x:v>
      </x:c>
      <x:c r="N44" s="11" t="n">
        <x:v>0.4</x:v>
      </x:c>
      <x:c r="O44" s="8" t="str">
        <x:v>SYN-SITE-36</x:v>
      </x:c>
      <x:c r="P44" s="19" t="n">
        <x:v>46752</x:v>
      </x:c>
      <x:c r="Q44" s="9" t="str">
        <x:f>IF(C44="","",IF(COUNTIF($C$9:$C$108,C44)&lt;&gt;1,"Duplicate site",IF(OR(COUNTIF(Borrowers!$C$9:$C$108,D44)&lt;&gt;1,COUNT(H44:N44)&lt;&gt;7,O44="",COUNT(P44)&lt;&gt;1),"Missing inputs",IF(OR(H44&lt;0,MIN(I44:N44)&lt;0,MAX(I44:N44)&gt;1,ABS(SUMIF($D$9:$D$108,D44,$I$9:$I$108)-1)&gt;0.000001,ABS(SUMIF($D$9:$D$108,D44,$N$9:$N$108)-1)&gt;0.000001),"Review site shares",IF(P44&lt;Settings!$F$8,"Expired evidence","Ready")))))</x:f>
        <x:v>Ready</x:v>
      </x:c>
    </x:row>
    <x:row r="45" ht="36" customHeight="1">
      <x:c r="A45" s="1"/>
      <x:c r="B45" s="1"/>
      <x:c r="C45" s="8" t="str">
        <x:v>S037</x:v>
      </x:c>
      <x:c r="D45" s="8" t="str">
        <x:v>B019</x:v>
      </x:c>
      <x:c r="E45" s="8" t="str">
        <x:v>Egypt</x:v>
      </x:c>
      <x:c r="F45" s="8" t="str">
        <x:v>Main location</x:v>
      </x:c>
      <x:c r="G45" s="8" t="str">
        <x:v>Flood</x:v>
      </x:c>
      <x:c r="H45" s="8" t="n">
        <x:v>56</x:v>
      </x:c>
      <x:c r="I45" s="11" t="n">
        <x:v>0.6</x:v>
      </x:c>
      <x:c r="J45" s="11" t="n">
        <x:v>0.56</x:v>
      </x:c>
      <x:c r="K45" s="11" t="n">
        <x:v>0.35</x:v>
      </x:c>
      <x:c r="L45" s="11" t="n">
        <x:v>0.2</x:v>
      </x:c>
      <x:c r="M45" s="11" t="n">
        <x:v>0.45</x:v>
      </x:c>
      <x:c r="N45" s="11" t="n">
        <x:v>0.6</x:v>
      </x:c>
      <x:c r="O45" s="8" t="str">
        <x:v>SYN-SITE-37</x:v>
      </x:c>
      <x:c r="P45" s="19" t="n">
        <x:v>46752</x:v>
      </x:c>
      <x:c r="Q45" s="9" t="str">
        <x:f>IF(C45="","",IF(COUNTIF($C$9:$C$108,C45)&lt;&gt;1,"Duplicate site",IF(OR(COUNTIF(Borrowers!$C$9:$C$108,D45)&lt;&gt;1,COUNT(H45:N45)&lt;&gt;7,O45="",COUNT(P45)&lt;&gt;1),"Missing inputs",IF(OR(H45&lt;0,MIN(I45:N45)&lt;0,MAX(I45:N45)&gt;1,ABS(SUMIF($D$9:$D$108,D45,$I$9:$I$108)-1)&gt;0.000001,ABS(SUMIF($D$9:$D$108,D45,$N$9:$N$108)-1)&gt;0.000001),"Review site shares",IF(P45&lt;Settings!$F$8,"Expired evidence","Ready")))))</x:f>
        <x:v>Ready</x:v>
      </x:c>
    </x:row>
    <x:row r="46" ht="36" customHeight="1">
      <x:c r="A46" s="1"/>
      <x:c r="B46" s="1"/>
      <x:c r="C46" s="8" t="str">
        <x:v>S038</x:v>
      </x:c>
      <x:c r="D46" s="8" t="str">
        <x:v>B019</x:v>
      </x:c>
      <x:c r="E46" s="8" t="str">
        <x:v>Egypt</x:v>
      </x:c>
      <x:c r="F46" s="8" t="str">
        <x:v>Secondary location</x:v>
      </x:c>
      <x:c r="G46" s="8" t="str">
        <x:v>Heat</x:v>
      </x:c>
      <x:c r="H46" s="8" t="n">
        <x:v>56</x:v>
      </x:c>
      <x:c r="I46" s="11" t="n">
        <x:v>0.4</x:v>
      </x:c>
      <x:c r="J46" s="11" t="n">
        <x:v>0.56</x:v>
      </x:c>
      <x:c r="K46" s="11" t="n">
        <x:v>0.35</x:v>
      </x:c>
      <x:c r="L46" s="11" t="n">
        <x:v>0.2</x:v>
      </x:c>
      <x:c r="M46" s="11" t="n">
        <x:v>0.45</x:v>
      </x:c>
      <x:c r="N46" s="11" t="n">
        <x:v>0.4</x:v>
      </x:c>
      <x:c r="O46" s="8" t="str">
        <x:v>SYN-SITE-38</x:v>
      </x:c>
      <x:c r="P46" s="19" t="n">
        <x:v>46752</x:v>
      </x:c>
      <x:c r="Q46" s="9" t="str">
        <x:f>IF(C46="","",IF(COUNTIF($C$9:$C$108,C46)&lt;&gt;1,"Duplicate site",IF(OR(COUNTIF(Borrowers!$C$9:$C$108,D46)&lt;&gt;1,COUNT(H46:N46)&lt;&gt;7,O46="",COUNT(P46)&lt;&gt;1),"Missing inputs",IF(OR(H46&lt;0,MIN(I46:N46)&lt;0,MAX(I46:N46)&gt;1,ABS(SUMIF($D$9:$D$108,D46,$I$9:$I$108)-1)&gt;0.000001,ABS(SUMIF($D$9:$D$108,D46,$N$9:$N$108)-1)&gt;0.000001),"Review site shares",IF(P46&lt;Settings!$F$8,"Expired evidence","Ready")))))</x:f>
        <x:v>Ready</x:v>
      </x:c>
    </x:row>
    <x:row r="47" ht="36" customHeight="1">
      <x:c r="A47" s="1"/>
      <x:c r="B47" s="1"/>
      <x:c r="C47" s="8" t="str">
        <x:v>S039</x:v>
      </x:c>
      <x:c r="D47" s="8" t="str">
        <x:v>B020</x:v>
      </x:c>
      <x:c r="E47" s="8" t="str">
        <x:v>Egypt</x:v>
      </x:c>
      <x:c r="F47" s="8" t="str">
        <x:v>Main location</x:v>
      </x:c>
      <x:c r="G47" s="8" t="str">
        <x:v>Flood</x:v>
      </x:c>
      <x:c r="H47" s="8" t="n">
        <x:v>58</x:v>
      </x:c>
      <x:c r="I47" s="11" t="n">
        <x:v>0.6</x:v>
      </x:c>
      <x:c r="J47" s="11" t="n">
        <x:v>0.6799999999999999</x:v>
      </x:c>
      <x:c r="K47" s="11" t="n">
        <x:v>0.5</x:v>
      </x:c>
      <x:c r="L47" s="11" t="n">
        <x:v>0.2</x:v>
      </x:c>
      <x:c r="M47" s="11" t="n">
        <x:v>0.45</x:v>
      </x:c>
      <x:c r="N47" s="11" t="n">
        <x:v>0.6</x:v>
      </x:c>
      <x:c r="O47" s="8" t="str">
        <x:v>SYN-SITE-39</x:v>
      </x:c>
      <x:c r="P47" s="19" t="n">
        <x:v>46752</x:v>
      </x:c>
      <x:c r="Q47" s="9" t="str">
        <x:f>IF(C47="","",IF(COUNTIF($C$9:$C$108,C47)&lt;&gt;1,"Duplicate site",IF(OR(COUNTIF(Borrowers!$C$9:$C$108,D47)&lt;&gt;1,COUNT(H47:N47)&lt;&gt;7,O47="",COUNT(P47)&lt;&gt;1),"Missing inputs",IF(OR(H47&lt;0,MIN(I47:N47)&lt;0,MAX(I47:N47)&gt;1,ABS(SUMIF($D$9:$D$108,D47,$I$9:$I$108)-1)&gt;0.000001,ABS(SUMIF($D$9:$D$108,D47,$N$9:$N$108)-1)&gt;0.000001),"Review site shares",IF(P47&lt;Settings!$F$8,"Expired evidence","Ready")))))</x:f>
        <x:v>Ready</x:v>
      </x:c>
    </x:row>
    <x:row r="48" ht="36" customHeight="1">
      <x:c r="A48" s="1"/>
      <x:c r="B48" s="1"/>
      <x:c r="C48" s="8" t="str">
        <x:v>S040</x:v>
      </x:c>
      <x:c r="D48" s="8" t="str">
        <x:v>B020</x:v>
      </x:c>
      <x:c r="E48" s="8" t="str">
        <x:v>Egypt</x:v>
      </x:c>
      <x:c r="F48" s="8" t="str">
        <x:v>Secondary location</x:v>
      </x:c>
      <x:c r="G48" s="8" t="str">
        <x:v>Heat</x:v>
      </x:c>
      <x:c r="H48" s="8" t="n">
        <x:v>58</x:v>
      </x:c>
      <x:c r="I48" s="11" t="n">
        <x:v>0.4</x:v>
      </x:c>
      <x:c r="J48" s="11" t="n">
        <x:v>0.6799999999999999</x:v>
      </x:c>
      <x:c r="K48" s="11" t="n">
        <x:v>0.5</x:v>
      </x:c>
      <x:c r="L48" s="11" t="n">
        <x:v>0.2</x:v>
      </x:c>
      <x:c r="M48" s="11" t="n">
        <x:v>0.45</x:v>
      </x:c>
      <x:c r="N48" s="11" t="n">
        <x:v>0.4</x:v>
      </x:c>
      <x:c r="O48" s="8" t="str">
        <x:v>SYN-SITE-40</x:v>
      </x:c>
      <x:c r="P48" s="19" t="n">
        <x:v>46752</x:v>
      </x:c>
      <x:c r="Q48" s="9" t="str">
        <x:f>IF(C48="","",IF(COUNTIF($C$9:$C$108,C48)&lt;&gt;1,"Duplicate site",IF(OR(COUNTIF(Borrowers!$C$9:$C$108,D48)&lt;&gt;1,COUNT(H48:N48)&lt;&gt;7,O48="",COUNT(P48)&lt;&gt;1),"Missing inputs",IF(OR(H48&lt;0,MIN(I48:N48)&lt;0,MAX(I48:N48)&gt;1,ABS(SUMIF($D$9:$D$108,D48,$I$9:$I$108)-1)&gt;0.000001,ABS(SUMIF($D$9:$D$108,D48,$N$9:$N$108)-1)&gt;0.000001),"Review site shares",IF(P48&lt;Settings!$F$8,"Expired evidence","Ready")))))</x:f>
        <x:v>Ready</x:v>
      </x:c>
    </x:row>
    <x:row r="49" ht="36" customHeight="1">
      <x:c r="A49" s="1"/>
      <x:c r="B49" s="1"/>
      <x:c r="C49" s="8" t="str">
        <x:v>S041</x:v>
      </x:c>
      <x:c r="D49" s="8" t="str">
        <x:v>B021</x:v>
      </x:c>
      <x:c r="E49" s="8" t="str">
        <x:v>Egypt</x:v>
      </x:c>
      <x:c r="F49" s="8" t="str">
        <x:v>Main location</x:v>
      </x:c>
      <x:c r="G49" s="8" t="str">
        <x:v>Flood</x:v>
      </x:c>
      <x:c r="H49" s="8" t="n">
        <x:v>60</x:v>
      </x:c>
      <x:c r="I49" s="11" t="n">
        <x:v>0.6</x:v>
      </x:c>
      <x:c r="J49" s="11" t="n">
        <x:v>0.2</x:v>
      </x:c>
      <x:c r="K49" s="11" t="n">
        <x:v>0.6499999999999999</x:v>
      </x:c>
      <x:c r="L49" s="11" t="n">
        <x:v>0.2</x:v>
      </x:c>
      <x:c r="M49" s="11" t="n">
        <x:v>0.45</x:v>
      </x:c>
      <x:c r="N49" s="11" t="n">
        <x:v>0.6</x:v>
      </x:c>
      <x:c r="O49" s="8" t="str">
        <x:v>SYN-SITE-41</x:v>
      </x:c>
      <x:c r="P49" s="19" t="n">
        <x:v>46752</x:v>
      </x:c>
      <x:c r="Q49" s="9" t="str">
        <x:f>IF(C49="","",IF(COUNTIF($C$9:$C$108,C49)&lt;&gt;1,"Duplicate site",IF(OR(COUNTIF(Borrowers!$C$9:$C$108,D49)&lt;&gt;1,COUNT(H49:N49)&lt;&gt;7,O49="",COUNT(P49)&lt;&gt;1),"Missing inputs",IF(OR(H49&lt;0,MIN(I49:N49)&lt;0,MAX(I49:N49)&gt;1,ABS(SUMIF($D$9:$D$108,D49,$I$9:$I$108)-1)&gt;0.000001,ABS(SUMIF($D$9:$D$108,D49,$N$9:$N$108)-1)&gt;0.000001),"Review site shares",IF(P49&lt;Settings!$F$8,"Expired evidence","Ready")))))</x:f>
        <x:v>Ready</x:v>
      </x:c>
    </x:row>
    <x:row r="50" ht="36" customHeight="1">
      <x:c r="A50" s="1"/>
      <x:c r="B50" s="1"/>
      <x:c r="C50" s="8" t="str">
        <x:v>S042</x:v>
      </x:c>
      <x:c r="D50" s="8" t="str">
        <x:v>B021</x:v>
      </x:c>
      <x:c r="E50" s="8" t="str">
        <x:v>Egypt</x:v>
      </x:c>
      <x:c r="F50" s="8" t="str">
        <x:v>Secondary location</x:v>
      </x:c>
      <x:c r="G50" s="8" t="str">
        <x:v>Heat</x:v>
      </x:c>
      <x:c r="H50" s="8" t="n">
        <x:v>60</x:v>
      </x:c>
      <x:c r="I50" s="11" t="n">
        <x:v>0.4</x:v>
      </x:c>
      <x:c r="J50" s="11" t="n">
        <x:v>0.2</x:v>
      </x:c>
      <x:c r="K50" s="11" t="n">
        <x:v>0.6499999999999999</x:v>
      </x:c>
      <x:c r="L50" s="11" t="n">
        <x:v>0.2</x:v>
      </x:c>
      <x:c r="M50" s="11" t="n">
        <x:v>0.45</x:v>
      </x:c>
      <x:c r="N50" s="11" t="n">
        <x:v>0.4</x:v>
      </x:c>
      <x:c r="O50" s="8" t="str">
        <x:v>SYN-SITE-42</x:v>
      </x:c>
      <x:c r="P50" s="19" t="n">
        <x:v>46752</x:v>
      </x:c>
      <x:c r="Q50" s="9" t="str">
        <x:f>IF(C50="","",IF(COUNTIF($C$9:$C$108,C50)&lt;&gt;1,"Duplicate site",IF(OR(COUNTIF(Borrowers!$C$9:$C$108,D50)&lt;&gt;1,COUNT(H50:N50)&lt;&gt;7,O50="",COUNT(P50)&lt;&gt;1),"Missing inputs",IF(OR(H50&lt;0,MIN(I50:N50)&lt;0,MAX(I50:N50)&gt;1,ABS(SUMIF($D$9:$D$108,D50,$I$9:$I$108)-1)&gt;0.000001,ABS(SUMIF($D$9:$D$108,D50,$N$9:$N$108)-1)&gt;0.000001),"Review site shares",IF(P50&lt;Settings!$F$8,"Expired evidence","Ready")))))</x:f>
        <x:v>Ready</x:v>
      </x:c>
    </x:row>
    <x:row r="51" ht="36" customHeight="1">
      <x:c r="A51" s="1"/>
      <x:c r="B51" s="1"/>
      <x:c r="C51" s="8" t="str">
        <x:v>S043</x:v>
      </x:c>
      <x:c r="D51" s="8" t="str">
        <x:v>B022</x:v>
      </x:c>
      <x:c r="E51" s="8" t="str">
        <x:v>Jordan</x:v>
      </x:c>
      <x:c r="F51" s="8" t="str">
        <x:v>Main location</x:v>
      </x:c>
      <x:c r="G51" s="8" t="str">
        <x:v>Flood</x:v>
      </x:c>
      <x:c r="H51" s="8" t="n">
        <x:v>62</x:v>
      </x:c>
      <x:c r="I51" s="11" t="n">
        <x:v>0.6</x:v>
      </x:c>
      <x:c r="J51" s="11" t="n">
        <x:v>0.32</x:v>
      </x:c>
      <x:c r="K51" s="11" t="n">
        <x:v>0.35</x:v>
      </x:c>
      <x:c r="L51" s="11" t="n">
        <x:v>0.2</x:v>
      </x:c>
      <x:c r="M51" s="11" t="n">
        <x:v>0.45</x:v>
      </x:c>
      <x:c r="N51" s="11" t="n">
        <x:v>0.6</x:v>
      </x:c>
      <x:c r="O51" s="8" t="str">
        <x:v>SYN-SITE-43</x:v>
      </x:c>
      <x:c r="P51" s="19" t="n">
        <x:v>46752</x:v>
      </x:c>
      <x:c r="Q51" s="9" t="str">
        <x:f>IF(C51="","",IF(COUNTIF($C$9:$C$108,C51)&lt;&gt;1,"Duplicate site",IF(OR(COUNTIF(Borrowers!$C$9:$C$108,D51)&lt;&gt;1,COUNT(H51:N51)&lt;&gt;7,O51="",COUNT(P51)&lt;&gt;1),"Missing inputs",IF(OR(H51&lt;0,MIN(I51:N51)&lt;0,MAX(I51:N51)&gt;1,ABS(SUMIF($D$9:$D$108,D51,$I$9:$I$108)-1)&gt;0.000001,ABS(SUMIF($D$9:$D$108,D51,$N$9:$N$108)-1)&gt;0.000001),"Review site shares",IF(P51&lt;Settings!$F$8,"Expired evidence","Ready")))))</x:f>
        <x:v>Ready</x:v>
      </x:c>
    </x:row>
    <x:row r="52" ht="36" customHeight="1">
      <x:c r="A52" s="1"/>
      <x:c r="B52" s="1"/>
      <x:c r="C52" s="8" t="str">
        <x:v>S044</x:v>
      </x:c>
      <x:c r="D52" s="8" t="str">
        <x:v>B022</x:v>
      </x:c>
      <x:c r="E52" s="8" t="str">
        <x:v>Jordan</x:v>
      </x:c>
      <x:c r="F52" s="8" t="str">
        <x:v>Secondary location</x:v>
      </x:c>
      <x:c r="G52" s="8" t="str">
        <x:v>Heat</x:v>
      </x:c>
      <x:c r="H52" s="8" t="n">
        <x:v>62</x:v>
      </x:c>
      <x:c r="I52" s="11" t="n">
        <x:v>0.4</x:v>
      </x:c>
      <x:c r="J52" s="11" t="n">
        <x:v>0.32</x:v>
      </x:c>
      <x:c r="K52" s="11" t="n">
        <x:v>0.35</x:v>
      </x:c>
      <x:c r="L52" s="11" t="n">
        <x:v>0.2</x:v>
      </x:c>
      <x:c r="M52" s="11" t="n">
        <x:v>0.45</x:v>
      </x:c>
      <x:c r="N52" s="11" t="n">
        <x:v>0.4</x:v>
      </x:c>
      <x:c r="O52" s="8" t="str">
        <x:v>SYN-SITE-44</x:v>
      </x:c>
      <x:c r="P52" s="19" t="n">
        <x:v>46752</x:v>
      </x:c>
      <x:c r="Q52" s="9" t="str">
        <x:f>IF(C52="","",IF(COUNTIF($C$9:$C$108,C52)&lt;&gt;1,"Duplicate site",IF(OR(COUNTIF(Borrowers!$C$9:$C$108,D52)&lt;&gt;1,COUNT(H52:N52)&lt;&gt;7,O52="",COUNT(P52)&lt;&gt;1),"Missing inputs",IF(OR(H52&lt;0,MIN(I52:N52)&lt;0,MAX(I52:N52)&gt;1,ABS(SUMIF($D$9:$D$108,D52,$I$9:$I$108)-1)&gt;0.000001,ABS(SUMIF($D$9:$D$108,D52,$N$9:$N$108)-1)&gt;0.000001),"Review site shares",IF(P52&lt;Settings!$F$8,"Expired evidence","Ready")))))</x:f>
        <x:v>Ready</x:v>
      </x:c>
    </x:row>
    <x:row r="53" ht="36" customHeight="1">
      <x:c r="A53" s="1"/>
      <x:c r="B53" s="1"/>
      <x:c r="C53" s="8" t="str">
        <x:v>S045</x:v>
      </x:c>
      <x:c r="D53" s="8" t="str">
        <x:v>B023</x:v>
      </x:c>
      <x:c r="E53" s="8" t="str">
        <x:v>UAE</x:v>
      </x:c>
      <x:c r="F53" s="8" t="str">
        <x:v>Main location</x:v>
      </x:c>
      <x:c r="G53" s="8" t="str">
        <x:v>Flood</x:v>
      </x:c>
      <x:c r="H53" s="8" t="n">
        <x:v>64</x:v>
      </x:c>
      <x:c r="I53" s="11" t="n">
        <x:v>0.6</x:v>
      </x:c>
      <x:c r="J53" s="11" t="n">
        <x:v>0.44</x:v>
      </x:c>
      <x:c r="K53" s="11" t="n">
        <x:v>0.5</x:v>
      </x:c>
      <x:c r="L53" s="11" t="n">
        <x:v>0.2</x:v>
      </x:c>
      <x:c r="M53" s="11" t="n">
        <x:v>0.45</x:v>
      </x:c>
      <x:c r="N53" s="11" t="n">
        <x:v>0.6</x:v>
      </x:c>
      <x:c r="O53" s="8" t="str">
        <x:v>SYN-SITE-45</x:v>
      </x:c>
      <x:c r="P53" s="19" t="n">
        <x:v>46752</x:v>
      </x:c>
      <x:c r="Q53" s="9" t="str">
        <x:f>IF(C53="","",IF(COUNTIF($C$9:$C$108,C53)&lt;&gt;1,"Duplicate site",IF(OR(COUNTIF(Borrowers!$C$9:$C$108,D53)&lt;&gt;1,COUNT(H53:N53)&lt;&gt;7,O53="",COUNT(P53)&lt;&gt;1),"Missing inputs",IF(OR(H53&lt;0,MIN(I53:N53)&lt;0,MAX(I53:N53)&gt;1,ABS(SUMIF($D$9:$D$108,D53,$I$9:$I$108)-1)&gt;0.000001,ABS(SUMIF($D$9:$D$108,D53,$N$9:$N$108)-1)&gt;0.000001),"Review site shares",IF(P53&lt;Settings!$F$8,"Expired evidence","Ready")))))</x:f>
        <x:v>Ready</x:v>
      </x:c>
    </x:row>
    <x:row r="54" ht="36" customHeight="1">
      <x:c r="A54" s="1"/>
      <x:c r="B54" s="1"/>
      <x:c r="C54" s="8" t="str">
        <x:v>S046</x:v>
      </x:c>
      <x:c r="D54" s="8" t="str">
        <x:v>B023</x:v>
      </x:c>
      <x:c r="E54" s="8" t="str">
        <x:v>UAE</x:v>
      </x:c>
      <x:c r="F54" s="8" t="str">
        <x:v>Secondary location</x:v>
      </x:c>
      <x:c r="G54" s="8" t="str">
        <x:v>Heat</x:v>
      </x:c>
      <x:c r="H54" s="8" t="n">
        <x:v>64</x:v>
      </x:c>
      <x:c r="I54" s="11" t="n">
        <x:v>0.4</x:v>
      </x:c>
      <x:c r="J54" s="11" t="n">
        <x:v>0.44</x:v>
      </x:c>
      <x:c r="K54" s="11" t="n">
        <x:v>0.5</x:v>
      </x:c>
      <x:c r="L54" s="11" t="n">
        <x:v>0.2</x:v>
      </x:c>
      <x:c r="M54" s="11" t="n">
        <x:v>0.45</x:v>
      </x:c>
      <x:c r="N54" s="11" t="n">
        <x:v>0.4</x:v>
      </x:c>
      <x:c r="O54" s="8" t="str">
        <x:v>SYN-SITE-46</x:v>
      </x:c>
      <x:c r="P54" s="19" t="n">
        <x:v>46752</x:v>
      </x:c>
      <x:c r="Q54" s="9" t="str">
        <x:f>IF(C54="","",IF(COUNTIF($C$9:$C$108,C54)&lt;&gt;1,"Duplicate site",IF(OR(COUNTIF(Borrowers!$C$9:$C$108,D54)&lt;&gt;1,COUNT(H54:N54)&lt;&gt;7,O54="",COUNT(P54)&lt;&gt;1),"Missing inputs",IF(OR(H54&lt;0,MIN(I54:N54)&lt;0,MAX(I54:N54)&gt;1,ABS(SUMIF($D$9:$D$108,D54,$I$9:$I$108)-1)&gt;0.000001,ABS(SUMIF($D$9:$D$108,D54,$N$9:$N$108)-1)&gt;0.000001),"Review site shares",IF(P54&lt;Settings!$F$8,"Expired evidence","Ready")))))</x:f>
        <x:v>Ready</x:v>
      </x:c>
    </x:row>
    <x:row r="55" ht="36" customHeight="1">
      <x:c r="A55" s="1"/>
      <x:c r="B55" s="1"/>
      <x:c r="C55" s="8" t="str">
        <x:v>S047</x:v>
      </x:c>
      <x:c r="D55" s="8" t="str">
        <x:v>B024</x:v>
      </x:c>
      <x:c r="E55" s="8" t="str">
        <x:v>Egypt</x:v>
      </x:c>
      <x:c r="F55" s="8" t="str">
        <x:v>Main location</x:v>
      </x:c>
      <x:c r="G55" s="8" t="str">
        <x:v>Flood</x:v>
      </x:c>
      <x:c r="H55" s="8" t="n">
        <x:v>66</x:v>
      </x:c>
      <x:c r="I55" s="11" t="n">
        <x:v>0.6</x:v>
      </x:c>
      <x:c r="J55" s="11" t="n">
        <x:v>0.56</x:v>
      </x:c>
      <x:c r="K55" s="11" t="n">
        <x:v>0.6499999999999999</x:v>
      </x:c>
      <x:c r="L55" s="11" t="n">
        <x:v>0.2</x:v>
      </x:c>
      <x:c r="M55" s="11" t="n">
        <x:v>0.45</x:v>
      </x:c>
      <x:c r="N55" s="11" t="n">
        <x:v>0.6</x:v>
      </x:c>
      <x:c r="O55" s="8" t="str">
        <x:v>SYN-SITE-47</x:v>
      </x:c>
      <x:c r="P55" s="19" t="n">
        <x:v>46752</x:v>
      </x:c>
      <x:c r="Q55" s="9" t="str">
        <x:f>IF(C55="","",IF(COUNTIF($C$9:$C$108,C55)&lt;&gt;1,"Duplicate site",IF(OR(COUNTIF(Borrowers!$C$9:$C$108,D55)&lt;&gt;1,COUNT(H55:N55)&lt;&gt;7,O55="",COUNT(P55)&lt;&gt;1),"Missing inputs",IF(OR(H55&lt;0,MIN(I55:N55)&lt;0,MAX(I55:N55)&gt;1,ABS(SUMIF($D$9:$D$108,D55,$I$9:$I$108)-1)&gt;0.000001,ABS(SUMIF($D$9:$D$108,D55,$N$9:$N$108)-1)&gt;0.000001),"Review site shares",IF(P55&lt;Settings!$F$8,"Expired evidence","Ready")))))</x:f>
        <x:v>Ready</x:v>
      </x:c>
    </x:row>
    <x:row r="56" ht="36" customHeight="1">
      <x:c r="A56" s="1"/>
      <x:c r="B56" s="1"/>
      <x:c r="C56" s="8" t="str">
        <x:v>S048</x:v>
      </x:c>
      <x:c r="D56" s="8" t="str">
        <x:v>B024</x:v>
      </x:c>
      <x:c r="E56" s="8" t="str">
        <x:v>Egypt</x:v>
      </x:c>
      <x:c r="F56" s="8" t="str">
        <x:v>Secondary location</x:v>
      </x:c>
      <x:c r="G56" s="8" t="str">
        <x:v>Heat</x:v>
      </x:c>
      <x:c r="H56" s="8" t="n">
        <x:v>66</x:v>
      </x:c>
      <x:c r="I56" s="11" t="n">
        <x:v>0.4</x:v>
      </x:c>
      <x:c r="J56" s="11" t="n">
        <x:v>0.56</x:v>
      </x:c>
      <x:c r="K56" s="11" t="n">
        <x:v>0.6499999999999999</x:v>
      </x:c>
      <x:c r="L56" s="11" t="n">
        <x:v>0.2</x:v>
      </x:c>
      <x:c r="M56" s="11" t="n">
        <x:v>0.45</x:v>
      </x:c>
      <x:c r="N56" s="11" t="n">
        <x:v>0.4</x:v>
      </x:c>
      <x:c r="O56" s="8" t="str">
        <x:v>SYN-SITE-48</x:v>
      </x:c>
      <x:c r="P56" s="19" t="n">
        <x:v>46752</x:v>
      </x:c>
      <x:c r="Q56" s="9" t="str">
        <x:f>IF(C56="","",IF(COUNTIF($C$9:$C$108,C56)&lt;&gt;1,"Duplicate site",IF(OR(COUNTIF(Borrowers!$C$9:$C$108,D56)&lt;&gt;1,COUNT(H56:N56)&lt;&gt;7,O56="",COUNT(P56)&lt;&gt;1),"Missing inputs",IF(OR(H56&lt;0,MIN(I56:N56)&lt;0,MAX(I56:N56)&gt;1,ABS(SUMIF($D$9:$D$108,D56,$I$9:$I$108)-1)&gt;0.000001,ABS(SUMIF($D$9:$D$108,D56,$N$9:$N$108)-1)&gt;0.000001),"Review site shares",IF(P56&lt;Settings!$F$8,"Expired evidence","Ready")))))</x:f>
        <x:v>Ready</x:v>
      </x:c>
    </x:row>
    <x:row r="57" ht="36" customHeight="1">
      <x:c r="A57" s="1"/>
      <x:c r="B57" s="1"/>
      <x:c r="C57" s="8"/>
      <x:c r="D57" s="8"/>
      <x:c r="E57" s="8"/>
      <x:c r="F57" s="8"/>
      <x:c r="G57" s="8"/>
      <x:c r="H57" s="8"/>
      <x:c r="I57" s="11"/>
      <x:c r="J57" s="11"/>
      <x:c r="K57" s="11"/>
      <x:c r="L57" s="11"/>
      <x:c r="M57" s="11"/>
      <x:c r="N57" s="11"/>
      <x:c r="O57" s="8"/>
      <x:c r="P57" s="19"/>
      <x:c r="Q57" s="9" t="str">
        <x:f>IF(C57="","",IF(COUNTIF($C$9:$C$108,C57)&lt;&gt;1,"Duplicate site",IF(OR(COUNTIF(Borrowers!$C$9:$C$108,D57)&lt;&gt;1,COUNT(H57:N57)&lt;&gt;7,O57="",COUNT(P57)&lt;&gt;1),"Missing inputs",IF(OR(H57&lt;0,MIN(I57:N57)&lt;0,MAX(I57:N57)&gt;1,ABS(SUMIF($D$9:$D$108,D57,$I$9:$I$108)-1)&gt;0.000001,ABS(SUMIF($D$9:$D$108,D57,$N$9:$N$108)-1)&gt;0.000001),"Review site shares",IF(P57&lt;Settings!$F$8,"Expired evidence","Ready")))))</x:f>
      </x:c>
    </x:row>
    <x:row r="58" ht="36" customHeight="1">
      <x:c r="A58" s="1"/>
      <x:c r="B58" s="1"/>
      <x:c r="C58" s="8"/>
      <x:c r="D58" s="8"/>
      <x:c r="E58" s="8"/>
      <x:c r="F58" s="8"/>
      <x:c r="G58" s="8"/>
      <x:c r="H58" s="8"/>
      <x:c r="I58" s="11"/>
      <x:c r="J58" s="11"/>
      <x:c r="K58" s="11"/>
      <x:c r="L58" s="11"/>
      <x:c r="M58" s="11"/>
      <x:c r="N58" s="11"/>
      <x:c r="O58" s="8"/>
      <x:c r="P58" s="19"/>
      <x:c r="Q58" s="9" t="str">
        <x:f>IF(C58="","",IF(COUNTIF($C$9:$C$108,C58)&lt;&gt;1,"Duplicate site",IF(OR(COUNTIF(Borrowers!$C$9:$C$108,D58)&lt;&gt;1,COUNT(H58:N58)&lt;&gt;7,O58="",COUNT(P58)&lt;&gt;1),"Missing inputs",IF(OR(H58&lt;0,MIN(I58:N58)&lt;0,MAX(I58:N58)&gt;1,ABS(SUMIF($D$9:$D$108,D58,$I$9:$I$108)-1)&gt;0.000001,ABS(SUMIF($D$9:$D$108,D58,$N$9:$N$108)-1)&gt;0.000001),"Review site shares",IF(P58&lt;Settings!$F$8,"Expired evidence","Ready")))))</x:f>
      </x:c>
    </x:row>
    <x:row r="59" ht="36" customHeight="1">
      <x:c r="A59" s="1"/>
      <x:c r="B59" s="1"/>
      <x:c r="C59" s="8"/>
      <x:c r="D59" s="8"/>
      <x:c r="E59" s="8"/>
      <x:c r="F59" s="8"/>
      <x:c r="G59" s="8"/>
      <x:c r="H59" s="8"/>
      <x:c r="I59" s="11"/>
      <x:c r="J59" s="11"/>
      <x:c r="K59" s="11"/>
      <x:c r="L59" s="11"/>
      <x:c r="M59" s="11"/>
      <x:c r="N59" s="11"/>
      <x:c r="O59" s="8"/>
      <x:c r="P59" s="19"/>
      <x:c r="Q59" s="9" t="str">
        <x:f>IF(C59="","",IF(COUNTIF($C$9:$C$108,C59)&lt;&gt;1,"Duplicate site",IF(OR(COUNTIF(Borrowers!$C$9:$C$108,D59)&lt;&gt;1,COUNT(H59:N59)&lt;&gt;7,O59="",COUNT(P59)&lt;&gt;1),"Missing inputs",IF(OR(H59&lt;0,MIN(I59:N59)&lt;0,MAX(I59:N59)&gt;1,ABS(SUMIF($D$9:$D$108,D59,$I$9:$I$108)-1)&gt;0.000001,ABS(SUMIF($D$9:$D$108,D59,$N$9:$N$108)-1)&gt;0.000001),"Review site shares",IF(P59&lt;Settings!$F$8,"Expired evidence","Ready")))))</x:f>
      </x:c>
    </x:row>
    <x:row r="60" ht="36" customHeight="1">
      <x:c r="A60" s="1"/>
      <x:c r="B60" s="1"/>
      <x:c r="C60" s="8"/>
      <x:c r="D60" s="8"/>
      <x:c r="E60" s="8"/>
      <x:c r="F60" s="8"/>
      <x:c r="G60" s="8"/>
      <x:c r="H60" s="8"/>
      <x:c r="I60" s="11"/>
      <x:c r="J60" s="11"/>
      <x:c r="K60" s="11"/>
      <x:c r="L60" s="11"/>
      <x:c r="M60" s="11"/>
      <x:c r="N60" s="11"/>
      <x:c r="O60" s="8"/>
      <x:c r="P60" s="19"/>
      <x:c r="Q60" s="9" t="str">
        <x:f>IF(C60="","",IF(COUNTIF($C$9:$C$108,C60)&lt;&gt;1,"Duplicate site",IF(OR(COUNTIF(Borrowers!$C$9:$C$108,D60)&lt;&gt;1,COUNT(H60:N60)&lt;&gt;7,O60="",COUNT(P60)&lt;&gt;1),"Missing inputs",IF(OR(H60&lt;0,MIN(I60:N60)&lt;0,MAX(I60:N60)&gt;1,ABS(SUMIF($D$9:$D$108,D60,$I$9:$I$108)-1)&gt;0.000001,ABS(SUMIF($D$9:$D$108,D60,$N$9:$N$108)-1)&gt;0.000001),"Review site shares",IF(P60&lt;Settings!$F$8,"Expired evidence","Ready")))))</x:f>
      </x:c>
    </x:row>
    <x:row r="61" ht="36" customHeight="1">
      <x:c r="A61" s="1"/>
      <x:c r="B61" s="1"/>
      <x:c r="C61" s="8"/>
      <x:c r="D61" s="8"/>
      <x:c r="E61" s="8"/>
      <x:c r="F61" s="8"/>
      <x:c r="G61" s="8"/>
      <x:c r="H61" s="8"/>
      <x:c r="I61" s="11"/>
      <x:c r="J61" s="11"/>
      <x:c r="K61" s="11"/>
      <x:c r="L61" s="11"/>
      <x:c r="M61" s="11"/>
      <x:c r="N61" s="11"/>
      <x:c r="O61" s="8"/>
      <x:c r="P61" s="19"/>
      <x:c r="Q61" s="9" t="str">
        <x:f>IF(C61="","",IF(COUNTIF($C$9:$C$108,C61)&lt;&gt;1,"Duplicate site",IF(OR(COUNTIF(Borrowers!$C$9:$C$108,D61)&lt;&gt;1,COUNT(H61:N61)&lt;&gt;7,O61="",COUNT(P61)&lt;&gt;1),"Missing inputs",IF(OR(H61&lt;0,MIN(I61:N61)&lt;0,MAX(I61:N61)&gt;1,ABS(SUMIF($D$9:$D$108,D61,$I$9:$I$108)-1)&gt;0.000001,ABS(SUMIF($D$9:$D$108,D61,$N$9:$N$108)-1)&gt;0.000001),"Review site shares",IF(P61&lt;Settings!$F$8,"Expired evidence","Ready")))))</x:f>
      </x:c>
    </x:row>
    <x:row r="62" ht="36" customHeight="1">
      <x:c r="A62" s="1"/>
      <x:c r="B62" s="1"/>
      <x:c r="C62" s="8"/>
      <x:c r="D62" s="8"/>
      <x:c r="E62" s="8"/>
      <x:c r="F62" s="8"/>
      <x:c r="G62" s="8"/>
      <x:c r="H62" s="8"/>
      <x:c r="I62" s="11"/>
      <x:c r="J62" s="11"/>
      <x:c r="K62" s="11"/>
      <x:c r="L62" s="11"/>
      <x:c r="M62" s="11"/>
      <x:c r="N62" s="11"/>
      <x:c r="O62" s="8"/>
      <x:c r="P62" s="19"/>
      <x:c r="Q62" s="9" t="str">
        <x:f>IF(C62="","",IF(COUNTIF($C$9:$C$108,C62)&lt;&gt;1,"Duplicate site",IF(OR(COUNTIF(Borrowers!$C$9:$C$108,D62)&lt;&gt;1,COUNT(H62:N62)&lt;&gt;7,O62="",COUNT(P62)&lt;&gt;1),"Missing inputs",IF(OR(H62&lt;0,MIN(I62:N62)&lt;0,MAX(I62:N62)&gt;1,ABS(SUMIF($D$9:$D$108,D62,$I$9:$I$108)-1)&gt;0.000001,ABS(SUMIF($D$9:$D$108,D62,$N$9:$N$108)-1)&gt;0.000001),"Review site shares",IF(P62&lt;Settings!$F$8,"Expired evidence","Ready")))))</x:f>
      </x:c>
    </x:row>
    <x:row r="63" ht="36" customHeight="1">
      <x:c r="A63" s="1"/>
      <x:c r="B63" s="1"/>
      <x:c r="C63" s="8"/>
      <x:c r="D63" s="8"/>
      <x:c r="E63" s="8"/>
      <x:c r="F63" s="8"/>
      <x:c r="G63" s="8"/>
      <x:c r="H63" s="8"/>
      <x:c r="I63" s="11"/>
      <x:c r="J63" s="11"/>
      <x:c r="K63" s="11"/>
      <x:c r="L63" s="11"/>
      <x:c r="M63" s="11"/>
      <x:c r="N63" s="11"/>
      <x:c r="O63" s="8"/>
      <x:c r="P63" s="19"/>
      <x:c r="Q63" s="9" t="str">
        <x:f>IF(C63="","",IF(COUNTIF($C$9:$C$108,C63)&lt;&gt;1,"Duplicate site",IF(OR(COUNTIF(Borrowers!$C$9:$C$108,D63)&lt;&gt;1,COUNT(H63:N63)&lt;&gt;7,O63="",COUNT(P63)&lt;&gt;1),"Missing inputs",IF(OR(H63&lt;0,MIN(I63:N63)&lt;0,MAX(I63:N63)&gt;1,ABS(SUMIF($D$9:$D$108,D63,$I$9:$I$108)-1)&gt;0.000001,ABS(SUMIF($D$9:$D$108,D63,$N$9:$N$108)-1)&gt;0.000001),"Review site shares",IF(P63&lt;Settings!$F$8,"Expired evidence","Ready")))))</x:f>
      </x:c>
    </x:row>
    <x:row r="64" ht="36" customHeight="1">
      <x:c r="A64" s="1"/>
      <x:c r="B64" s="1"/>
      <x:c r="C64" s="8"/>
      <x:c r="D64" s="8"/>
      <x:c r="E64" s="8"/>
      <x:c r="F64" s="8"/>
      <x:c r="G64" s="8"/>
      <x:c r="H64" s="8"/>
      <x:c r="I64" s="11"/>
      <x:c r="J64" s="11"/>
      <x:c r="K64" s="11"/>
      <x:c r="L64" s="11"/>
      <x:c r="M64" s="11"/>
      <x:c r="N64" s="11"/>
      <x:c r="O64" s="8"/>
      <x:c r="P64" s="19"/>
      <x:c r="Q64" s="9" t="str">
        <x:f>IF(C64="","",IF(COUNTIF($C$9:$C$108,C64)&lt;&gt;1,"Duplicate site",IF(OR(COUNTIF(Borrowers!$C$9:$C$108,D64)&lt;&gt;1,COUNT(H64:N64)&lt;&gt;7,O64="",COUNT(P64)&lt;&gt;1),"Missing inputs",IF(OR(H64&lt;0,MIN(I64:N64)&lt;0,MAX(I64:N64)&gt;1,ABS(SUMIF($D$9:$D$108,D64,$I$9:$I$108)-1)&gt;0.000001,ABS(SUMIF($D$9:$D$108,D64,$N$9:$N$108)-1)&gt;0.000001),"Review site shares",IF(P64&lt;Settings!$F$8,"Expired evidence","Ready")))))</x:f>
      </x:c>
    </x:row>
    <x:row r="65" ht="36" customHeight="1">
      <x:c r="A65" s="1"/>
      <x:c r="B65" s="1"/>
      <x:c r="C65" s="8"/>
      <x:c r="D65" s="8"/>
      <x:c r="E65" s="8"/>
      <x:c r="F65" s="8"/>
      <x:c r="G65" s="8"/>
      <x:c r="H65" s="8"/>
      <x:c r="I65" s="11"/>
      <x:c r="J65" s="11"/>
      <x:c r="K65" s="11"/>
      <x:c r="L65" s="11"/>
      <x:c r="M65" s="11"/>
      <x:c r="N65" s="11"/>
      <x:c r="O65" s="8"/>
      <x:c r="P65" s="19"/>
      <x:c r="Q65" s="9" t="str">
        <x:f>IF(C65="","",IF(COUNTIF($C$9:$C$108,C65)&lt;&gt;1,"Duplicate site",IF(OR(COUNTIF(Borrowers!$C$9:$C$108,D65)&lt;&gt;1,COUNT(H65:N65)&lt;&gt;7,O65="",COUNT(P65)&lt;&gt;1),"Missing inputs",IF(OR(H65&lt;0,MIN(I65:N65)&lt;0,MAX(I65:N65)&gt;1,ABS(SUMIF($D$9:$D$108,D65,$I$9:$I$108)-1)&gt;0.000001,ABS(SUMIF($D$9:$D$108,D65,$N$9:$N$108)-1)&gt;0.000001),"Review site shares",IF(P65&lt;Settings!$F$8,"Expired evidence","Ready")))))</x:f>
      </x:c>
    </x:row>
    <x:row r="66" ht="36" customHeight="1">
      <x:c r="A66" s="1"/>
      <x:c r="B66" s="1"/>
      <x:c r="C66" s="8"/>
      <x:c r="D66" s="8"/>
      <x:c r="E66" s="8"/>
      <x:c r="F66" s="8"/>
      <x:c r="G66" s="8"/>
      <x:c r="H66" s="8"/>
      <x:c r="I66" s="11"/>
      <x:c r="J66" s="11"/>
      <x:c r="K66" s="11"/>
      <x:c r="L66" s="11"/>
      <x:c r="M66" s="11"/>
      <x:c r="N66" s="11"/>
      <x:c r="O66" s="8"/>
      <x:c r="P66" s="19"/>
      <x:c r="Q66" s="9" t="str">
        <x:f>IF(C66="","",IF(COUNTIF($C$9:$C$108,C66)&lt;&gt;1,"Duplicate site",IF(OR(COUNTIF(Borrowers!$C$9:$C$108,D66)&lt;&gt;1,COUNT(H66:N66)&lt;&gt;7,O66="",COUNT(P66)&lt;&gt;1),"Missing inputs",IF(OR(H66&lt;0,MIN(I66:N66)&lt;0,MAX(I66:N66)&gt;1,ABS(SUMIF($D$9:$D$108,D66,$I$9:$I$108)-1)&gt;0.000001,ABS(SUMIF($D$9:$D$108,D66,$N$9:$N$108)-1)&gt;0.000001),"Review site shares",IF(P66&lt;Settings!$F$8,"Expired evidence","Ready")))))</x:f>
      </x:c>
    </x:row>
    <x:row r="67" ht="36" customHeight="1">
      <x:c r="A67" s="1"/>
      <x:c r="B67" s="1"/>
      <x:c r="C67" s="8"/>
      <x:c r="D67" s="8"/>
      <x:c r="E67" s="8"/>
      <x:c r="F67" s="8"/>
      <x:c r="G67" s="8"/>
      <x:c r="H67" s="8"/>
      <x:c r="I67" s="11"/>
      <x:c r="J67" s="11"/>
      <x:c r="K67" s="11"/>
      <x:c r="L67" s="11"/>
      <x:c r="M67" s="11"/>
      <x:c r="N67" s="11"/>
      <x:c r="O67" s="8"/>
      <x:c r="P67" s="19"/>
      <x:c r="Q67" s="9" t="str">
        <x:f>IF(C67="","",IF(COUNTIF($C$9:$C$108,C67)&lt;&gt;1,"Duplicate site",IF(OR(COUNTIF(Borrowers!$C$9:$C$108,D67)&lt;&gt;1,COUNT(H67:N67)&lt;&gt;7,O67="",COUNT(P67)&lt;&gt;1),"Missing inputs",IF(OR(H67&lt;0,MIN(I67:N67)&lt;0,MAX(I67:N67)&gt;1,ABS(SUMIF($D$9:$D$108,D67,$I$9:$I$108)-1)&gt;0.000001,ABS(SUMIF($D$9:$D$108,D67,$N$9:$N$108)-1)&gt;0.000001),"Review site shares",IF(P67&lt;Settings!$F$8,"Expired evidence","Ready")))))</x:f>
      </x:c>
    </x:row>
    <x:row r="68" ht="36" customHeight="1">
      <x:c r="A68" s="1"/>
      <x:c r="B68" s="1"/>
      <x:c r="C68" s="8"/>
      <x:c r="D68" s="8"/>
      <x:c r="E68" s="8"/>
      <x:c r="F68" s="8"/>
      <x:c r="G68" s="8"/>
      <x:c r="H68" s="8"/>
      <x:c r="I68" s="11"/>
      <x:c r="J68" s="11"/>
      <x:c r="K68" s="11"/>
      <x:c r="L68" s="11"/>
      <x:c r="M68" s="11"/>
      <x:c r="N68" s="11"/>
      <x:c r="O68" s="8"/>
      <x:c r="P68" s="19"/>
      <x:c r="Q68" s="9" t="str">
        <x:f>IF(C68="","",IF(COUNTIF($C$9:$C$108,C68)&lt;&gt;1,"Duplicate site",IF(OR(COUNTIF(Borrowers!$C$9:$C$108,D68)&lt;&gt;1,COUNT(H68:N68)&lt;&gt;7,O68="",COUNT(P68)&lt;&gt;1),"Missing inputs",IF(OR(H68&lt;0,MIN(I68:N68)&lt;0,MAX(I68:N68)&gt;1,ABS(SUMIF($D$9:$D$108,D68,$I$9:$I$108)-1)&gt;0.000001,ABS(SUMIF($D$9:$D$108,D68,$N$9:$N$108)-1)&gt;0.000001),"Review site shares",IF(P68&lt;Settings!$F$8,"Expired evidence","Ready")))))</x:f>
      </x:c>
    </x:row>
    <x:row r="69" ht="36" customHeight="1">
      <x:c r="A69" s="1"/>
      <x:c r="B69" s="1"/>
      <x:c r="C69" s="8"/>
      <x:c r="D69" s="8"/>
      <x:c r="E69" s="8"/>
      <x:c r="F69" s="8"/>
      <x:c r="G69" s="8"/>
      <x:c r="H69" s="8"/>
      <x:c r="I69" s="11"/>
      <x:c r="J69" s="11"/>
      <x:c r="K69" s="11"/>
      <x:c r="L69" s="11"/>
      <x:c r="M69" s="11"/>
      <x:c r="N69" s="11"/>
      <x:c r="O69" s="8"/>
      <x:c r="P69" s="19"/>
      <x:c r="Q69" s="9" t="str">
        <x:f>IF(C69="","",IF(COUNTIF($C$9:$C$108,C69)&lt;&gt;1,"Duplicate site",IF(OR(COUNTIF(Borrowers!$C$9:$C$108,D69)&lt;&gt;1,COUNT(H69:N69)&lt;&gt;7,O69="",COUNT(P69)&lt;&gt;1),"Missing inputs",IF(OR(H69&lt;0,MIN(I69:N69)&lt;0,MAX(I69:N69)&gt;1,ABS(SUMIF($D$9:$D$108,D69,$I$9:$I$108)-1)&gt;0.000001,ABS(SUMIF($D$9:$D$108,D69,$N$9:$N$108)-1)&gt;0.000001),"Review site shares",IF(P69&lt;Settings!$F$8,"Expired evidence","Ready")))))</x:f>
      </x:c>
    </x:row>
    <x:row r="70" ht="36" customHeight="1">
      <x:c r="A70" s="1"/>
      <x:c r="B70" s="1"/>
      <x:c r="C70" s="8"/>
      <x:c r="D70" s="8"/>
      <x:c r="E70" s="8"/>
      <x:c r="F70" s="8"/>
      <x:c r="G70" s="8"/>
      <x:c r="H70" s="8"/>
      <x:c r="I70" s="11"/>
      <x:c r="J70" s="11"/>
      <x:c r="K70" s="11"/>
      <x:c r="L70" s="11"/>
      <x:c r="M70" s="11"/>
      <x:c r="N70" s="11"/>
      <x:c r="O70" s="8"/>
      <x:c r="P70" s="19"/>
      <x:c r="Q70" s="9" t="str">
        <x:f>IF(C70="","",IF(COUNTIF($C$9:$C$108,C70)&lt;&gt;1,"Duplicate site",IF(OR(COUNTIF(Borrowers!$C$9:$C$108,D70)&lt;&gt;1,COUNT(H70:N70)&lt;&gt;7,O70="",COUNT(P70)&lt;&gt;1),"Missing inputs",IF(OR(H70&lt;0,MIN(I70:N70)&lt;0,MAX(I70:N70)&gt;1,ABS(SUMIF($D$9:$D$108,D70,$I$9:$I$108)-1)&gt;0.000001,ABS(SUMIF($D$9:$D$108,D70,$N$9:$N$108)-1)&gt;0.000001),"Review site shares",IF(P70&lt;Settings!$F$8,"Expired evidence","Ready")))))</x:f>
      </x:c>
    </x:row>
    <x:row r="71" ht="36" customHeight="1">
      <x:c r="A71" s="1"/>
      <x:c r="B71" s="1"/>
      <x:c r="C71" s="8"/>
      <x:c r="D71" s="8"/>
      <x:c r="E71" s="8"/>
      <x:c r="F71" s="8"/>
      <x:c r="G71" s="8"/>
      <x:c r="H71" s="8"/>
      <x:c r="I71" s="11"/>
      <x:c r="J71" s="11"/>
      <x:c r="K71" s="11"/>
      <x:c r="L71" s="11"/>
      <x:c r="M71" s="11"/>
      <x:c r="N71" s="11"/>
      <x:c r="O71" s="8"/>
      <x:c r="P71" s="19"/>
      <x:c r="Q71" s="9" t="str">
        <x:f>IF(C71="","",IF(COUNTIF($C$9:$C$108,C71)&lt;&gt;1,"Duplicate site",IF(OR(COUNTIF(Borrowers!$C$9:$C$108,D71)&lt;&gt;1,COUNT(H71:N71)&lt;&gt;7,O71="",COUNT(P71)&lt;&gt;1),"Missing inputs",IF(OR(H71&lt;0,MIN(I71:N71)&lt;0,MAX(I71:N71)&gt;1,ABS(SUMIF($D$9:$D$108,D71,$I$9:$I$108)-1)&gt;0.000001,ABS(SUMIF($D$9:$D$108,D71,$N$9:$N$108)-1)&gt;0.000001),"Review site shares",IF(P71&lt;Settings!$F$8,"Expired evidence","Ready")))))</x:f>
      </x:c>
    </x:row>
    <x:row r="72" ht="36" customHeight="1">
      <x:c r="A72" s="1"/>
      <x:c r="B72" s="1"/>
      <x:c r="C72" s="8"/>
      <x:c r="D72" s="8"/>
      <x:c r="E72" s="8"/>
      <x:c r="F72" s="8"/>
      <x:c r="G72" s="8"/>
      <x:c r="H72" s="8"/>
      <x:c r="I72" s="11"/>
      <x:c r="J72" s="11"/>
      <x:c r="K72" s="11"/>
      <x:c r="L72" s="11"/>
      <x:c r="M72" s="11"/>
      <x:c r="N72" s="11"/>
      <x:c r="O72" s="8"/>
      <x:c r="P72" s="19"/>
      <x:c r="Q72" s="9" t="str">
        <x:f>IF(C72="","",IF(COUNTIF($C$9:$C$108,C72)&lt;&gt;1,"Duplicate site",IF(OR(COUNTIF(Borrowers!$C$9:$C$108,D72)&lt;&gt;1,COUNT(H72:N72)&lt;&gt;7,O72="",COUNT(P72)&lt;&gt;1),"Missing inputs",IF(OR(H72&lt;0,MIN(I72:N72)&lt;0,MAX(I72:N72)&gt;1,ABS(SUMIF($D$9:$D$108,D72,$I$9:$I$108)-1)&gt;0.000001,ABS(SUMIF($D$9:$D$108,D72,$N$9:$N$108)-1)&gt;0.000001),"Review site shares",IF(P72&lt;Settings!$F$8,"Expired evidence","Ready")))))</x:f>
      </x:c>
    </x:row>
    <x:row r="73" ht="36" customHeight="1">
      <x:c r="A73" s="1"/>
      <x:c r="B73" s="1"/>
      <x:c r="C73" s="8"/>
      <x:c r="D73" s="8"/>
      <x:c r="E73" s="8"/>
      <x:c r="F73" s="8"/>
      <x:c r="G73" s="8"/>
      <x:c r="H73" s="8"/>
      <x:c r="I73" s="11"/>
      <x:c r="J73" s="11"/>
      <x:c r="K73" s="11"/>
      <x:c r="L73" s="11"/>
      <x:c r="M73" s="11"/>
      <x:c r="N73" s="11"/>
      <x:c r="O73" s="8"/>
      <x:c r="P73" s="19"/>
      <x:c r="Q73" s="9" t="str">
        <x:f>IF(C73="","",IF(COUNTIF($C$9:$C$108,C73)&lt;&gt;1,"Duplicate site",IF(OR(COUNTIF(Borrowers!$C$9:$C$108,D73)&lt;&gt;1,COUNT(H73:N73)&lt;&gt;7,O73="",COUNT(P73)&lt;&gt;1),"Missing inputs",IF(OR(H73&lt;0,MIN(I73:N73)&lt;0,MAX(I73:N73)&gt;1,ABS(SUMIF($D$9:$D$108,D73,$I$9:$I$108)-1)&gt;0.000001,ABS(SUMIF($D$9:$D$108,D73,$N$9:$N$108)-1)&gt;0.000001),"Review site shares",IF(P73&lt;Settings!$F$8,"Expired evidence","Ready")))))</x:f>
      </x:c>
    </x:row>
    <x:row r="74" ht="36" customHeight="1">
      <x:c r="A74" s="1"/>
      <x:c r="B74" s="1"/>
      <x:c r="C74" s="8"/>
      <x:c r="D74" s="8"/>
      <x:c r="E74" s="8"/>
      <x:c r="F74" s="8"/>
      <x:c r="G74" s="8"/>
      <x:c r="H74" s="8"/>
      <x:c r="I74" s="11"/>
      <x:c r="J74" s="11"/>
      <x:c r="K74" s="11"/>
      <x:c r="L74" s="11"/>
      <x:c r="M74" s="11"/>
      <x:c r="N74" s="11"/>
      <x:c r="O74" s="8"/>
      <x:c r="P74" s="19"/>
      <x:c r="Q74" s="9" t="str">
        <x:f>IF(C74="","",IF(COUNTIF($C$9:$C$108,C74)&lt;&gt;1,"Duplicate site",IF(OR(COUNTIF(Borrowers!$C$9:$C$108,D74)&lt;&gt;1,COUNT(H74:N74)&lt;&gt;7,O74="",COUNT(P74)&lt;&gt;1),"Missing inputs",IF(OR(H74&lt;0,MIN(I74:N74)&lt;0,MAX(I74:N74)&gt;1,ABS(SUMIF($D$9:$D$108,D74,$I$9:$I$108)-1)&gt;0.000001,ABS(SUMIF($D$9:$D$108,D74,$N$9:$N$108)-1)&gt;0.000001),"Review site shares",IF(P74&lt;Settings!$F$8,"Expired evidence","Ready")))))</x:f>
      </x:c>
    </x:row>
    <x:row r="75" ht="36" customHeight="1">
      <x:c r="A75" s="1"/>
      <x:c r="B75" s="1"/>
      <x:c r="C75" s="8"/>
      <x:c r="D75" s="8"/>
      <x:c r="E75" s="8"/>
      <x:c r="F75" s="8"/>
      <x:c r="G75" s="8"/>
      <x:c r="H75" s="8"/>
      <x:c r="I75" s="11"/>
      <x:c r="J75" s="11"/>
      <x:c r="K75" s="11"/>
      <x:c r="L75" s="11"/>
      <x:c r="M75" s="11"/>
      <x:c r="N75" s="11"/>
      <x:c r="O75" s="8"/>
      <x:c r="P75" s="19"/>
      <x:c r="Q75" s="9" t="str">
        <x:f>IF(C75="","",IF(COUNTIF($C$9:$C$108,C75)&lt;&gt;1,"Duplicate site",IF(OR(COUNTIF(Borrowers!$C$9:$C$108,D75)&lt;&gt;1,COUNT(H75:N75)&lt;&gt;7,O75="",COUNT(P75)&lt;&gt;1),"Missing inputs",IF(OR(H75&lt;0,MIN(I75:N75)&lt;0,MAX(I75:N75)&gt;1,ABS(SUMIF($D$9:$D$108,D75,$I$9:$I$108)-1)&gt;0.000001,ABS(SUMIF($D$9:$D$108,D75,$N$9:$N$108)-1)&gt;0.000001),"Review site shares",IF(P75&lt;Settings!$F$8,"Expired evidence","Ready")))))</x:f>
      </x:c>
    </x:row>
    <x:row r="76" ht="36" customHeight="1">
      <x:c r="A76" s="1"/>
      <x:c r="B76" s="1"/>
      <x:c r="C76" s="8"/>
      <x:c r="D76" s="8"/>
      <x:c r="E76" s="8"/>
      <x:c r="F76" s="8"/>
      <x:c r="G76" s="8"/>
      <x:c r="H76" s="8"/>
      <x:c r="I76" s="11"/>
      <x:c r="J76" s="11"/>
      <x:c r="K76" s="11"/>
      <x:c r="L76" s="11"/>
      <x:c r="M76" s="11"/>
      <x:c r="N76" s="11"/>
      <x:c r="O76" s="8"/>
      <x:c r="P76" s="19"/>
      <x:c r="Q76" s="9" t="str">
        <x:f>IF(C76="","",IF(COUNTIF($C$9:$C$108,C76)&lt;&gt;1,"Duplicate site",IF(OR(COUNTIF(Borrowers!$C$9:$C$108,D76)&lt;&gt;1,COUNT(H76:N76)&lt;&gt;7,O76="",COUNT(P76)&lt;&gt;1),"Missing inputs",IF(OR(H76&lt;0,MIN(I76:N76)&lt;0,MAX(I76:N76)&gt;1,ABS(SUMIF($D$9:$D$108,D76,$I$9:$I$108)-1)&gt;0.000001,ABS(SUMIF($D$9:$D$108,D76,$N$9:$N$108)-1)&gt;0.000001),"Review site shares",IF(P76&lt;Settings!$F$8,"Expired evidence","Ready")))))</x:f>
      </x:c>
    </x:row>
    <x:row r="77" ht="36" customHeight="1">
      <x:c r="A77" s="1"/>
      <x:c r="B77" s="1"/>
      <x:c r="C77" s="8"/>
      <x:c r="D77" s="8"/>
      <x:c r="E77" s="8"/>
      <x:c r="F77" s="8"/>
      <x:c r="G77" s="8"/>
      <x:c r="H77" s="8"/>
      <x:c r="I77" s="11"/>
      <x:c r="J77" s="11"/>
      <x:c r="K77" s="11"/>
      <x:c r="L77" s="11"/>
      <x:c r="M77" s="11"/>
      <x:c r="N77" s="11"/>
      <x:c r="O77" s="8"/>
      <x:c r="P77" s="19"/>
      <x:c r="Q77" s="9" t="str">
        <x:f>IF(C77="","",IF(COUNTIF($C$9:$C$108,C77)&lt;&gt;1,"Duplicate site",IF(OR(COUNTIF(Borrowers!$C$9:$C$108,D77)&lt;&gt;1,COUNT(H77:N77)&lt;&gt;7,O77="",COUNT(P77)&lt;&gt;1),"Missing inputs",IF(OR(H77&lt;0,MIN(I77:N77)&lt;0,MAX(I77:N77)&gt;1,ABS(SUMIF($D$9:$D$108,D77,$I$9:$I$108)-1)&gt;0.000001,ABS(SUMIF($D$9:$D$108,D77,$N$9:$N$108)-1)&gt;0.000001),"Review site shares",IF(P77&lt;Settings!$F$8,"Expired evidence","Ready")))))</x:f>
      </x:c>
    </x:row>
    <x:row r="78" ht="36" customHeight="1">
      <x:c r="A78" s="1"/>
      <x:c r="B78" s="1"/>
      <x:c r="C78" s="8"/>
      <x:c r="D78" s="8"/>
      <x:c r="E78" s="8"/>
      <x:c r="F78" s="8"/>
      <x:c r="G78" s="8"/>
      <x:c r="H78" s="8"/>
      <x:c r="I78" s="11"/>
      <x:c r="J78" s="11"/>
      <x:c r="K78" s="11"/>
      <x:c r="L78" s="11"/>
      <x:c r="M78" s="11"/>
      <x:c r="N78" s="11"/>
      <x:c r="O78" s="8"/>
      <x:c r="P78" s="19"/>
      <x:c r="Q78" s="9" t="str">
        <x:f>IF(C78="","",IF(COUNTIF($C$9:$C$108,C78)&lt;&gt;1,"Duplicate site",IF(OR(COUNTIF(Borrowers!$C$9:$C$108,D78)&lt;&gt;1,COUNT(H78:N78)&lt;&gt;7,O78="",COUNT(P78)&lt;&gt;1),"Missing inputs",IF(OR(H78&lt;0,MIN(I78:N78)&lt;0,MAX(I78:N78)&gt;1,ABS(SUMIF($D$9:$D$108,D78,$I$9:$I$108)-1)&gt;0.000001,ABS(SUMIF($D$9:$D$108,D78,$N$9:$N$108)-1)&gt;0.000001),"Review site shares",IF(P78&lt;Settings!$F$8,"Expired evidence","Ready")))))</x:f>
      </x:c>
    </x:row>
    <x:row r="79" ht="36" customHeight="1">
      <x:c r="A79" s="1"/>
      <x:c r="B79" s="1"/>
      <x:c r="C79" s="8"/>
      <x:c r="D79" s="8"/>
      <x:c r="E79" s="8"/>
      <x:c r="F79" s="8"/>
      <x:c r="G79" s="8"/>
      <x:c r="H79" s="8"/>
      <x:c r="I79" s="11"/>
      <x:c r="J79" s="11"/>
      <x:c r="K79" s="11"/>
      <x:c r="L79" s="11"/>
      <x:c r="M79" s="11"/>
      <x:c r="N79" s="11"/>
      <x:c r="O79" s="8"/>
      <x:c r="P79" s="19"/>
      <x:c r="Q79" s="9" t="str">
        <x:f>IF(C79="","",IF(COUNTIF($C$9:$C$108,C79)&lt;&gt;1,"Duplicate site",IF(OR(COUNTIF(Borrowers!$C$9:$C$108,D79)&lt;&gt;1,COUNT(H79:N79)&lt;&gt;7,O79="",COUNT(P79)&lt;&gt;1),"Missing inputs",IF(OR(H79&lt;0,MIN(I79:N79)&lt;0,MAX(I79:N79)&gt;1,ABS(SUMIF($D$9:$D$108,D79,$I$9:$I$108)-1)&gt;0.000001,ABS(SUMIF($D$9:$D$108,D79,$N$9:$N$108)-1)&gt;0.000001),"Review site shares",IF(P79&lt;Settings!$F$8,"Expired evidence","Ready")))))</x:f>
      </x:c>
    </x:row>
    <x:row r="80" ht="36" customHeight="1">
      <x:c r="A80" s="1"/>
      <x:c r="B80" s="1"/>
      <x:c r="C80" s="8"/>
      <x:c r="D80" s="8"/>
      <x:c r="E80" s="8"/>
      <x:c r="F80" s="8"/>
      <x:c r="G80" s="8"/>
      <x:c r="H80" s="8"/>
      <x:c r="I80" s="11"/>
      <x:c r="J80" s="11"/>
      <x:c r="K80" s="11"/>
      <x:c r="L80" s="11"/>
      <x:c r="M80" s="11"/>
      <x:c r="N80" s="11"/>
      <x:c r="O80" s="8"/>
      <x:c r="P80" s="19"/>
      <x:c r="Q80" s="9" t="str">
        <x:f>IF(C80="","",IF(COUNTIF($C$9:$C$108,C80)&lt;&gt;1,"Duplicate site",IF(OR(COUNTIF(Borrowers!$C$9:$C$108,D80)&lt;&gt;1,COUNT(H80:N80)&lt;&gt;7,O80="",COUNT(P80)&lt;&gt;1),"Missing inputs",IF(OR(H80&lt;0,MIN(I80:N80)&lt;0,MAX(I80:N80)&gt;1,ABS(SUMIF($D$9:$D$108,D80,$I$9:$I$108)-1)&gt;0.000001,ABS(SUMIF($D$9:$D$108,D80,$N$9:$N$108)-1)&gt;0.000001),"Review site shares",IF(P80&lt;Settings!$F$8,"Expired evidence","Ready")))))</x:f>
      </x:c>
    </x:row>
    <x:row r="81" ht="36" customHeight="1">
      <x:c r="A81" s="1"/>
      <x:c r="B81" s="1"/>
      <x:c r="C81" s="8"/>
      <x:c r="D81" s="8"/>
      <x:c r="E81" s="8"/>
      <x:c r="F81" s="8"/>
      <x:c r="G81" s="8"/>
      <x:c r="H81" s="8"/>
      <x:c r="I81" s="11"/>
      <x:c r="J81" s="11"/>
      <x:c r="K81" s="11"/>
      <x:c r="L81" s="11"/>
      <x:c r="M81" s="11"/>
      <x:c r="N81" s="11"/>
      <x:c r="O81" s="8"/>
      <x:c r="P81" s="19"/>
      <x:c r="Q81" s="9" t="str">
        <x:f>IF(C81="","",IF(COUNTIF($C$9:$C$108,C81)&lt;&gt;1,"Duplicate site",IF(OR(COUNTIF(Borrowers!$C$9:$C$108,D81)&lt;&gt;1,COUNT(H81:N81)&lt;&gt;7,O81="",COUNT(P81)&lt;&gt;1),"Missing inputs",IF(OR(H81&lt;0,MIN(I81:N81)&lt;0,MAX(I81:N81)&gt;1,ABS(SUMIF($D$9:$D$108,D81,$I$9:$I$108)-1)&gt;0.000001,ABS(SUMIF($D$9:$D$108,D81,$N$9:$N$108)-1)&gt;0.000001),"Review site shares",IF(P81&lt;Settings!$F$8,"Expired evidence","Ready")))))</x:f>
      </x:c>
    </x:row>
    <x:row r="82" ht="36" customHeight="1">
      <x:c r="A82" s="1"/>
      <x:c r="B82" s="1"/>
      <x:c r="C82" s="8"/>
      <x:c r="D82" s="8"/>
      <x:c r="E82" s="8"/>
      <x:c r="F82" s="8"/>
      <x:c r="G82" s="8"/>
      <x:c r="H82" s="8"/>
      <x:c r="I82" s="11"/>
      <x:c r="J82" s="11"/>
      <x:c r="K82" s="11"/>
      <x:c r="L82" s="11"/>
      <x:c r="M82" s="11"/>
      <x:c r="N82" s="11"/>
      <x:c r="O82" s="8"/>
      <x:c r="P82" s="19"/>
      <x:c r="Q82" s="9" t="str">
        <x:f>IF(C82="","",IF(COUNTIF($C$9:$C$108,C82)&lt;&gt;1,"Duplicate site",IF(OR(COUNTIF(Borrowers!$C$9:$C$108,D82)&lt;&gt;1,COUNT(H82:N82)&lt;&gt;7,O82="",COUNT(P82)&lt;&gt;1),"Missing inputs",IF(OR(H82&lt;0,MIN(I82:N82)&lt;0,MAX(I82:N82)&gt;1,ABS(SUMIF($D$9:$D$108,D82,$I$9:$I$108)-1)&gt;0.000001,ABS(SUMIF($D$9:$D$108,D82,$N$9:$N$108)-1)&gt;0.000001),"Review site shares",IF(P82&lt;Settings!$F$8,"Expired evidence","Ready")))))</x:f>
      </x:c>
    </x:row>
    <x:row r="83" ht="36" customHeight="1">
      <x:c r="A83" s="1"/>
      <x:c r="B83" s="1"/>
      <x:c r="C83" s="8"/>
      <x:c r="D83" s="8"/>
      <x:c r="E83" s="8"/>
      <x:c r="F83" s="8"/>
      <x:c r="G83" s="8"/>
      <x:c r="H83" s="8"/>
      <x:c r="I83" s="11"/>
      <x:c r="J83" s="11"/>
      <x:c r="K83" s="11"/>
      <x:c r="L83" s="11"/>
      <x:c r="M83" s="11"/>
      <x:c r="N83" s="11"/>
      <x:c r="O83" s="8"/>
      <x:c r="P83" s="19"/>
      <x:c r="Q83" s="9" t="str">
        <x:f>IF(C83="","",IF(COUNTIF($C$9:$C$108,C83)&lt;&gt;1,"Duplicate site",IF(OR(COUNTIF(Borrowers!$C$9:$C$108,D83)&lt;&gt;1,COUNT(H83:N83)&lt;&gt;7,O83="",COUNT(P83)&lt;&gt;1),"Missing inputs",IF(OR(H83&lt;0,MIN(I83:N83)&lt;0,MAX(I83:N83)&gt;1,ABS(SUMIF($D$9:$D$108,D83,$I$9:$I$108)-1)&gt;0.000001,ABS(SUMIF($D$9:$D$108,D83,$N$9:$N$108)-1)&gt;0.000001),"Review site shares",IF(P83&lt;Settings!$F$8,"Expired evidence","Ready")))))</x:f>
      </x:c>
    </x:row>
    <x:row r="84" ht="36" customHeight="1">
      <x:c r="A84" s="1"/>
      <x:c r="B84" s="1"/>
      <x:c r="C84" s="8"/>
      <x:c r="D84" s="8"/>
      <x:c r="E84" s="8"/>
      <x:c r="F84" s="8"/>
      <x:c r="G84" s="8"/>
      <x:c r="H84" s="8"/>
      <x:c r="I84" s="11"/>
      <x:c r="J84" s="11"/>
      <x:c r="K84" s="11"/>
      <x:c r="L84" s="11"/>
      <x:c r="M84" s="11"/>
      <x:c r="N84" s="11"/>
      <x:c r="O84" s="8"/>
      <x:c r="P84" s="19"/>
      <x:c r="Q84" s="9" t="str">
        <x:f>IF(C84="","",IF(COUNTIF($C$9:$C$108,C84)&lt;&gt;1,"Duplicate site",IF(OR(COUNTIF(Borrowers!$C$9:$C$108,D84)&lt;&gt;1,COUNT(H84:N84)&lt;&gt;7,O84="",COUNT(P84)&lt;&gt;1),"Missing inputs",IF(OR(H84&lt;0,MIN(I84:N84)&lt;0,MAX(I84:N84)&gt;1,ABS(SUMIF($D$9:$D$108,D84,$I$9:$I$108)-1)&gt;0.000001,ABS(SUMIF($D$9:$D$108,D84,$N$9:$N$108)-1)&gt;0.000001),"Review site shares",IF(P84&lt;Settings!$F$8,"Expired evidence","Ready")))))</x:f>
      </x:c>
    </x:row>
    <x:row r="85" ht="36" customHeight="1">
      <x:c r="A85" s="1"/>
      <x:c r="B85" s="1"/>
      <x:c r="C85" s="8"/>
      <x:c r="D85" s="8"/>
      <x:c r="E85" s="8"/>
      <x:c r="F85" s="8"/>
      <x:c r="G85" s="8"/>
      <x:c r="H85" s="8"/>
      <x:c r="I85" s="11"/>
      <x:c r="J85" s="11"/>
      <x:c r="K85" s="11"/>
      <x:c r="L85" s="11"/>
      <x:c r="M85" s="11"/>
      <x:c r="N85" s="11"/>
      <x:c r="O85" s="8"/>
      <x:c r="P85" s="19"/>
      <x:c r="Q85" s="9" t="str">
        <x:f>IF(C85="","",IF(COUNTIF($C$9:$C$108,C85)&lt;&gt;1,"Duplicate site",IF(OR(COUNTIF(Borrowers!$C$9:$C$108,D85)&lt;&gt;1,COUNT(H85:N85)&lt;&gt;7,O85="",COUNT(P85)&lt;&gt;1),"Missing inputs",IF(OR(H85&lt;0,MIN(I85:N85)&lt;0,MAX(I85:N85)&gt;1,ABS(SUMIF($D$9:$D$108,D85,$I$9:$I$108)-1)&gt;0.000001,ABS(SUMIF($D$9:$D$108,D85,$N$9:$N$108)-1)&gt;0.000001),"Review site shares",IF(P85&lt;Settings!$F$8,"Expired evidence","Ready")))))</x:f>
      </x:c>
    </x:row>
    <x:row r="86" ht="36" customHeight="1">
      <x:c r="A86" s="1"/>
      <x:c r="B86" s="1"/>
      <x:c r="C86" s="8"/>
      <x:c r="D86" s="8"/>
      <x:c r="E86" s="8"/>
      <x:c r="F86" s="8"/>
      <x:c r="G86" s="8"/>
      <x:c r="H86" s="8"/>
      <x:c r="I86" s="11"/>
      <x:c r="J86" s="11"/>
      <x:c r="K86" s="11"/>
      <x:c r="L86" s="11"/>
      <x:c r="M86" s="11"/>
      <x:c r="N86" s="11"/>
      <x:c r="O86" s="8"/>
      <x:c r="P86" s="19"/>
      <x:c r="Q86" s="9" t="str">
        <x:f>IF(C86="","",IF(COUNTIF($C$9:$C$108,C86)&lt;&gt;1,"Duplicate site",IF(OR(COUNTIF(Borrowers!$C$9:$C$108,D86)&lt;&gt;1,COUNT(H86:N86)&lt;&gt;7,O86="",COUNT(P86)&lt;&gt;1),"Missing inputs",IF(OR(H86&lt;0,MIN(I86:N86)&lt;0,MAX(I86:N86)&gt;1,ABS(SUMIF($D$9:$D$108,D86,$I$9:$I$108)-1)&gt;0.000001,ABS(SUMIF($D$9:$D$108,D86,$N$9:$N$108)-1)&gt;0.000001),"Review site shares",IF(P86&lt;Settings!$F$8,"Expired evidence","Ready")))))</x:f>
      </x:c>
    </x:row>
    <x:row r="87" ht="36" customHeight="1">
      <x:c r="A87" s="1"/>
      <x:c r="B87" s="1"/>
      <x:c r="C87" s="8"/>
      <x:c r="D87" s="8"/>
      <x:c r="E87" s="8"/>
      <x:c r="F87" s="8"/>
      <x:c r="G87" s="8"/>
      <x:c r="H87" s="8"/>
      <x:c r="I87" s="11"/>
      <x:c r="J87" s="11"/>
      <x:c r="K87" s="11"/>
      <x:c r="L87" s="11"/>
      <x:c r="M87" s="11"/>
      <x:c r="N87" s="11"/>
      <x:c r="O87" s="8"/>
      <x:c r="P87" s="19"/>
      <x:c r="Q87" s="9" t="str">
        <x:f>IF(C87="","",IF(COUNTIF($C$9:$C$108,C87)&lt;&gt;1,"Duplicate site",IF(OR(COUNTIF(Borrowers!$C$9:$C$108,D87)&lt;&gt;1,COUNT(H87:N87)&lt;&gt;7,O87="",COUNT(P87)&lt;&gt;1),"Missing inputs",IF(OR(H87&lt;0,MIN(I87:N87)&lt;0,MAX(I87:N87)&gt;1,ABS(SUMIF($D$9:$D$108,D87,$I$9:$I$108)-1)&gt;0.000001,ABS(SUMIF($D$9:$D$108,D87,$N$9:$N$108)-1)&gt;0.000001),"Review site shares",IF(P87&lt;Settings!$F$8,"Expired evidence","Ready")))))</x:f>
      </x:c>
    </x:row>
    <x:row r="88" ht="36" customHeight="1">
      <x:c r="A88" s="1"/>
      <x:c r="B88" s="1"/>
      <x:c r="C88" s="8"/>
      <x:c r="D88" s="8"/>
      <x:c r="E88" s="8"/>
      <x:c r="F88" s="8"/>
      <x:c r="G88" s="8"/>
      <x:c r="H88" s="8"/>
      <x:c r="I88" s="11"/>
      <x:c r="J88" s="11"/>
      <x:c r="K88" s="11"/>
      <x:c r="L88" s="11"/>
      <x:c r="M88" s="11"/>
      <x:c r="N88" s="11"/>
      <x:c r="O88" s="8"/>
      <x:c r="P88" s="19"/>
      <x:c r="Q88" s="9" t="str">
        <x:f>IF(C88="","",IF(COUNTIF($C$9:$C$108,C88)&lt;&gt;1,"Duplicate site",IF(OR(COUNTIF(Borrowers!$C$9:$C$108,D88)&lt;&gt;1,COUNT(H88:N88)&lt;&gt;7,O88="",COUNT(P88)&lt;&gt;1),"Missing inputs",IF(OR(H88&lt;0,MIN(I88:N88)&lt;0,MAX(I88:N88)&gt;1,ABS(SUMIF($D$9:$D$108,D88,$I$9:$I$108)-1)&gt;0.000001,ABS(SUMIF($D$9:$D$108,D88,$N$9:$N$108)-1)&gt;0.000001),"Review site shares",IF(P88&lt;Settings!$F$8,"Expired evidence","Ready")))))</x:f>
      </x:c>
    </x:row>
    <x:row r="89" ht="36" customHeight="1">
      <x:c r="A89" s="1"/>
      <x:c r="B89" s="1"/>
      <x:c r="C89" s="8"/>
      <x:c r="D89" s="8"/>
      <x:c r="E89" s="8"/>
      <x:c r="F89" s="8"/>
      <x:c r="G89" s="8"/>
      <x:c r="H89" s="8"/>
      <x:c r="I89" s="11"/>
      <x:c r="J89" s="11"/>
      <x:c r="K89" s="11"/>
      <x:c r="L89" s="11"/>
      <x:c r="M89" s="11"/>
      <x:c r="N89" s="11"/>
      <x:c r="O89" s="8"/>
      <x:c r="P89" s="19"/>
      <x:c r="Q89" s="9" t="str">
        <x:f>IF(C89="","",IF(COUNTIF($C$9:$C$108,C89)&lt;&gt;1,"Duplicate site",IF(OR(COUNTIF(Borrowers!$C$9:$C$108,D89)&lt;&gt;1,COUNT(H89:N89)&lt;&gt;7,O89="",COUNT(P89)&lt;&gt;1),"Missing inputs",IF(OR(H89&lt;0,MIN(I89:N89)&lt;0,MAX(I89:N89)&gt;1,ABS(SUMIF($D$9:$D$108,D89,$I$9:$I$108)-1)&gt;0.000001,ABS(SUMIF($D$9:$D$108,D89,$N$9:$N$108)-1)&gt;0.000001),"Review site shares",IF(P89&lt;Settings!$F$8,"Expired evidence","Ready")))))</x:f>
      </x:c>
    </x:row>
    <x:row r="90" ht="36" customHeight="1">
      <x:c r="A90" s="1"/>
      <x:c r="B90" s="1"/>
      <x:c r="C90" s="8"/>
      <x:c r="D90" s="8"/>
      <x:c r="E90" s="8"/>
      <x:c r="F90" s="8"/>
      <x:c r="G90" s="8"/>
      <x:c r="H90" s="8"/>
      <x:c r="I90" s="11"/>
      <x:c r="J90" s="11"/>
      <x:c r="K90" s="11"/>
      <x:c r="L90" s="11"/>
      <x:c r="M90" s="11"/>
      <x:c r="N90" s="11"/>
      <x:c r="O90" s="8"/>
      <x:c r="P90" s="19"/>
      <x:c r="Q90" s="9" t="str">
        <x:f>IF(C90="","",IF(COUNTIF($C$9:$C$108,C90)&lt;&gt;1,"Duplicate site",IF(OR(COUNTIF(Borrowers!$C$9:$C$108,D90)&lt;&gt;1,COUNT(H90:N90)&lt;&gt;7,O90="",COUNT(P90)&lt;&gt;1),"Missing inputs",IF(OR(H90&lt;0,MIN(I90:N90)&lt;0,MAX(I90:N90)&gt;1,ABS(SUMIF($D$9:$D$108,D90,$I$9:$I$108)-1)&gt;0.000001,ABS(SUMIF($D$9:$D$108,D90,$N$9:$N$108)-1)&gt;0.000001),"Review site shares",IF(P90&lt;Settings!$F$8,"Expired evidence","Ready")))))</x:f>
      </x:c>
    </x:row>
    <x:row r="91" ht="36" customHeight="1">
      <x:c r="A91" s="1"/>
      <x:c r="B91" s="1"/>
      <x:c r="C91" s="8"/>
      <x:c r="D91" s="8"/>
      <x:c r="E91" s="8"/>
      <x:c r="F91" s="8"/>
      <x:c r="G91" s="8"/>
      <x:c r="H91" s="8"/>
      <x:c r="I91" s="11"/>
      <x:c r="J91" s="11"/>
      <x:c r="K91" s="11"/>
      <x:c r="L91" s="11"/>
      <x:c r="M91" s="11"/>
      <x:c r="N91" s="11"/>
      <x:c r="O91" s="8"/>
      <x:c r="P91" s="19"/>
      <x:c r="Q91" s="9" t="str">
        <x:f>IF(C91="","",IF(COUNTIF($C$9:$C$108,C91)&lt;&gt;1,"Duplicate site",IF(OR(COUNTIF(Borrowers!$C$9:$C$108,D91)&lt;&gt;1,COUNT(H91:N91)&lt;&gt;7,O91="",COUNT(P91)&lt;&gt;1),"Missing inputs",IF(OR(H91&lt;0,MIN(I91:N91)&lt;0,MAX(I91:N91)&gt;1,ABS(SUMIF($D$9:$D$108,D91,$I$9:$I$108)-1)&gt;0.000001,ABS(SUMIF($D$9:$D$108,D91,$N$9:$N$108)-1)&gt;0.000001),"Review site shares",IF(P91&lt;Settings!$F$8,"Expired evidence","Ready")))))</x:f>
      </x:c>
    </x:row>
    <x:row r="92" ht="36" customHeight="1">
      <x:c r="A92" s="1"/>
      <x:c r="B92" s="1"/>
      <x:c r="C92" s="8"/>
      <x:c r="D92" s="8"/>
      <x:c r="E92" s="8"/>
      <x:c r="F92" s="8"/>
      <x:c r="G92" s="8"/>
      <x:c r="H92" s="8"/>
      <x:c r="I92" s="11"/>
      <x:c r="J92" s="11"/>
      <x:c r="K92" s="11"/>
      <x:c r="L92" s="11"/>
      <x:c r="M92" s="11"/>
      <x:c r="N92" s="11"/>
      <x:c r="O92" s="8"/>
      <x:c r="P92" s="19"/>
      <x:c r="Q92" s="9" t="str">
        <x:f>IF(C92="","",IF(COUNTIF($C$9:$C$108,C92)&lt;&gt;1,"Duplicate site",IF(OR(COUNTIF(Borrowers!$C$9:$C$108,D92)&lt;&gt;1,COUNT(H92:N92)&lt;&gt;7,O92="",COUNT(P92)&lt;&gt;1),"Missing inputs",IF(OR(H92&lt;0,MIN(I92:N92)&lt;0,MAX(I92:N92)&gt;1,ABS(SUMIF($D$9:$D$108,D92,$I$9:$I$108)-1)&gt;0.000001,ABS(SUMIF($D$9:$D$108,D92,$N$9:$N$108)-1)&gt;0.000001),"Review site shares",IF(P92&lt;Settings!$F$8,"Expired evidence","Ready")))))</x:f>
      </x:c>
    </x:row>
    <x:row r="93" ht="36" customHeight="1">
      <x:c r="A93" s="1"/>
      <x:c r="B93" s="1"/>
      <x:c r="C93" s="8"/>
      <x:c r="D93" s="8"/>
      <x:c r="E93" s="8"/>
      <x:c r="F93" s="8"/>
      <x:c r="G93" s="8"/>
      <x:c r="H93" s="8"/>
      <x:c r="I93" s="11"/>
      <x:c r="J93" s="11"/>
      <x:c r="K93" s="11"/>
      <x:c r="L93" s="11"/>
      <x:c r="M93" s="11"/>
      <x:c r="N93" s="11"/>
      <x:c r="O93" s="8"/>
      <x:c r="P93" s="19"/>
      <x:c r="Q93" s="9" t="str">
        <x:f>IF(C93="","",IF(COUNTIF($C$9:$C$108,C93)&lt;&gt;1,"Duplicate site",IF(OR(COUNTIF(Borrowers!$C$9:$C$108,D93)&lt;&gt;1,COUNT(H93:N93)&lt;&gt;7,O93="",COUNT(P93)&lt;&gt;1),"Missing inputs",IF(OR(H93&lt;0,MIN(I93:N93)&lt;0,MAX(I93:N93)&gt;1,ABS(SUMIF($D$9:$D$108,D93,$I$9:$I$108)-1)&gt;0.000001,ABS(SUMIF($D$9:$D$108,D93,$N$9:$N$108)-1)&gt;0.000001),"Review site shares",IF(P93&lt;Settings!$F$8,"Expired evidence","Ready")))))</x:f>
      </x:c>
    </x:row>
    <x:row r="94" ht="36" customHeight="1">
      <x:c r="A94" s="1"/>
      <x:c r="B94" s="1"/>
      <x:c r="C94" s="8"/>
      <x:c r="D94" s="8"/>
      <x:c r="E94" s="8"/>
      <x:c r="F94" s="8"/>
      <x:c r="G94" s="8"/>
      <x:c r="H94" s="8"/>
      <x:c r="I94" s="11"/>
      <x:c r="J94" s="11"/>
      <x:c r="K94" s="11"/>
      <x:c r="L94" s="11"/>
      <x:c r="M94" s="11"/>
      <x:c r="N94" s="11"/>
      <x:c r="O94" s="8"/>
      <x:c r="P94" s="19"/>
      <x:c r="Q94" s="9" t="str">
        <x:f>IF(C94="","",IF(COUNTIF($C$9:$C$108,C94)&lt;&gt;1,"Duplicate site",IF(OR(COUNTIF(Borrowers!$C$9:$C$108,D94)&lt;&gt;1,COUNT(H94:N94)&lt;&gt;7,O94="",COUNT(P94)&lt;&gt;1),"Missing inputs",IF(OR(H94&lt;0,MIN(I94:N94)&lt;0,MAX(I94:N94)&gt;1,ABS(SUMIF($D$9:$D$108,D94,$I$9:$I$108)-1)&gt;0.000001,ABS(SUMIF($D$9:$D$108,D94,$N$9:$N$108)-1)&gt;0.000001),"Review site shares",IF(P94&lt;Settings!$F$8,"Expired evidence","Ready")))))</x:f>
      </x:c>
    </x:row>
    <x:row r="95" ht="36" customHeight="1">
      <x:c r="A95" s="1"/>
      <x:c r="B95" s="1"/>
      <x:c r="C95" s="8"/>
      <x:c r="D95" s="8"/>
      <x:c r="E95" s="8"/>
      <x:c r="F95" s="8"/>
      <x:c r="G95" s="8"/>
      <x:c r="H95" s="8"/>
      <x:c r="I95" s="11"/>
      <x:c r="J95" s="11"/>
      <x:c r="K95" s="11"/>
      <x:c r="L95" s="11"/>
      <x:c r="M95" s="11"/>
      <x:c r="N95" s="11"/>
      <x:c r="O95" s="8"/>
      <x:c r="P95" s="19"/>
      <x:c r="Q95" s="9" t="str">
        <x:f>IF(C95="","",IF(COUNTIF($C$9:$C$108,C95)&lt;&gt;1,"Duplicate site",IF(OR(COUNTIF(Borrowers!$C$9:$C$108,D95)&lt;&gt;1,COUNT(H95:N95)&lt;&gt;7,O95="",COUNT(P95)&lt;&gt;1),"Missing inputs",IF(OR(H95&lt;0,MIN(I95:N95)&lt;0,MAX(I95:N95)&gt;1,ABS(SUMIF($D$9:$D$108,D95,$I$9:$I$108)-1)&gt;0.000001,ABS(SUMIF($D$9:$D$108,D95,$N$9:$N$108)-1)&gt;0.000001),"Review site shares",IF(P95&lt;Settings!$F$8,"Expired evidence","Ready")))))</x:f>
      </x:c>
    </x:row>
    <x:row r="96" ht="36" customHeight="1">
      <x:c r="A96" s="1"/>
      <x:c r="B96" s="1"/>
      <x:c r="C96" s="8"/>
      <x:c r="D96" s="8"/>
      <x:c r="E96" s="8"/>
      <x:c r="F96" s="8"/>
      <x:c r="G96" s="8"/>
      <x:c r="H96" s="8"/>
      <x:c r="I96" s="11"/>
      <x:c r="J96" s="11"/>
      <x:c r="K96" s="11"/>
      <x:c r="L96" s="11"/>
      <x:c r="M96" s="11"/>
      <x:c r="N96" s="11"/>
      <x:c r="O96" s="8"/>
      <x:c r="P96" s="19"/>
      <x:c r="Q96" s="9" t="str">
        <x:f>IF(C96="","",IF(COUNTIF($C$9:$C$108,C96)&lt;&gt;1,"Duplicate site",IF(OR(COUNTIF(Borrowers!$C$9:$C$108,D96)&lt;&gt;1,COUNT(H96:N96)&lt;&gt;7,O96="",COUNT(P96)&lt;&gt;1),"Missing inputs",IF(OR(H96&lt;0,MIN(I96:N96)&lt;0,MAX(I96:N96)&gt;1,ABS(SUMIF($D$9:$D$108,D96,$I$9:$I$108)-1)&gt;0.000001,ABS(SUMIF($D$9:$D$108,D96,$N$9:$N$108)-1)&gt;0.000001),"Review site shares",IF(P96&lt;Settings!$F$8,"Expired evidence","Ready")))))</x:f>
      </x:c>
    </x:row>
    <x:row r="97" ht="36" customHeight="1">
      <x:c r="A97" s="1"/>
      <x:c r="B97" s="1"/>
      <x:c r="C97" s="8"/>
      <x:c r="D97" s="8"/>
      <x:c r="E97" s="8"/>
      <x:c r="F97" s="8"/>
      <x:c r="G97" s="8"/>
      <x:c r="H97" s="8"/>
      <x:c r="I97" s="11"/>
      <x:c r="J97" s="11"/>
      <x:c r="K97" s="11"/>
      <x:c r="L97" s="11"/>
      <x:c r="M97" s="11"/>
      <x:c r="N97" s="11"/>
      <x:c r="O97" s="8"/>
      <x:c r="P97" s="19"/>
      <x:c r="Q97" s="9" t="str">
        <x:f>IF(C97="","",IF(COUNTIF($C$9:$C$108,C97)&lt;&gt;1,"Duplicate site",IF(OR(COUNTIF(Borrowers!$C$9:$C$108,D97)&lt;&gt;1,COUNT(H97:N97)&lt;&gt;7,O97="",COUNT(P97)&lt;&gt;1),"Missing inputs",IF(OR(H97&lt;0,MIN(I97:N97)&lt;0,MAX(I97:N97)&gt;1,ABS(SUMIF($D$9:$D$108,D97,$I$9:$I$108)-1)&gt;0.000001,ABS(SUMIF($D$9:$D$108,D97,$N$9:$N$108)-1)&gt;0.000001),"Review site shares",IF(P97&lt;Settings!$F$8,"Expired evidence","Ready")))))</x:f>
      </x:c>
    </x:row>
    <x:row r="98" ht="36" customHeight="1">
      <x:c r="A98" s="1"/>
      <x:c r="B98" s="1"/>
      <x:c r="C98" s="8"/>
      <x:c r="D98" s="8"/>
      <x:c r="E98" s="8"/>
      <x:c r="F98" s="8"/>
      <x:c r="G98" s="8"/>
      <x:c r="H98" s="8"/>
      <x:c r="I98" s="11"/>
      <x:c r="J98" s="11"/>
      <x:c r="K98" s="11"/>
      <x:c r="L98" s="11"/>
      <x:c r="M98" s="11"/>
      <x:c r="N98" s="11"/>
      <x:c r="O98" s="8"/>
      <x:c r="P98" s="19"/>
      <x:c r="Q98" s="9" t="str">
        <x:f>IF(C98="","",IF(COUNTIF($C$9:$C$108,C98)&lt;&gt;1,"Duplicate site",IF(OR(COUNTIF(Borrowers!$C$9:$C$108,D98)&lt;&gt;1,COUNT(H98:N98)&lt;&gt;7,O98="",COUNT(P98)&lt;&gt;1),"Missing inputs",IF(OR(H98&lt;0,MIN(I98:N98)&lt;0,MAX(I98:N98)&gt;1,ABS(SUMIF($D$9:$D$108,D98,$I$9:$I$108)-1)&gt;0.000001,ABS(SUMIF($D$9:$D$108,D98,$N$9:$N$108)-1)&gt;0.000001),"Review site shares",IF(P98&lt;Settings!$F$8,"Expired evidence","Ready")))))</x:f>
      </x:c>
    </x:row>
    <x:row r="99" ht="36" customHeight="1">
      <x:c r="A99" s="1"/>
      <x:c r="B99" s="1"/>
      <x:c r="C99" s="8"/>
      <x:c r="D99" s="8"/>
      <x:c r="E99" s="8"/>
      <x:c r="F99" s="8"/>
      <x:c r="G99" s="8"/>
      <x:c r="H99" s="8"/>
      <x:c r="I99" s="11"/>
      <x:c r="J99" s="11"/>
      <x:c r="K99" s="11"/>
      <x:c r="L99" s="11"/>
      <x:c r="M99" s="11"/>
      <x:c r="N99" s="11"/>
      <x:c r="O99" s="8"/>
      <x:c r="P99" s="19"/>
      <x:c r="Q99" s="9" t="str">
        <x:f>IF(C99="","",IF(COUNTIF($C$9:$C$108,C99)&lt;&gt;1,"Duplicate site",IF(OR(COUNTIF(Borrowers!$C$9:$C$108,D99)&lt;&gt;1,COUNT(H99:N99)&lt;&gt;7,O99="",COUNT(P99)&lt;&gt;1),"Missing inputs",IF(OR(H99&lt;0,MIN(I99:N99)&lt;0,MAX(I99:N99)&gt;1,ABS(SUMIF($D$9:$D$108,D99,$I$9:$I$108)-1)&gt;0.000001,ABS(SUMIF($D$9:$D$108,D99,$N$9:$N$108)-1)&gt;0.000001),"Review site shares",IF(P99&lt;Settings!$F$8,"Expired evidence","Ready")))))</x:f>
      </x:c>
    </x:row>
    <x:row r="100" ht="36" customHeight="1">
      <x:c r="A100" s="1"/>
      <x:c r="B100" s="1"/>
      <x:c r="C100" s="8"/>
      <x:c r="D100" s="8"/>
      <x:c r="E100" s="8"/>
      <x:c r="F100" s="8"/>
      <x:c r="G100" s="8"/>
      <x:c r="H100" s="8"/>
      <x:c r="I100" s="11"/>
      <x:c r="J100" s="11"/>
      <x:c r="K100" s="11"/>
      <x:c r="L100" s="11"/>
      <x:c r="M100" s="11"/>
      <x:c r="N100" s="11"/>
      <x:c r="O100" s="8"/>
      <x:c r="P100" s="19"/>
      <x:c r="Q100" s="9" t="str">
        <x:f>IF(C100="","",IF(COUNTIF($C$9:$C$108,C100)&lt;&gt;1,"Duplicate site",IF(OR(COUNTIF(Borrowers!$C$9:$C$108,D100)&lt;&gt;1,COUNT(H100:N100)&lt;&gt;7,O100="",COUNT(P100)&lt;&gt;1),"Missing inputs",IF(OR(H100&lt;0,MIN(I100:N100)&lt;0,MAX(I100:N100)&gt;1,ABS(SUMIF($D$9:$D$108,D100,$I$9:$I$108)-1)&gt;0.000001,ABS(SUMIF($D$9:$D$108,D100,$N$9:$N$108)-1)&gt;0.000001),"Review site shares",IF(P100&lt;Settings!$F$8,"Expired evidence","Ready")))))</x:f>
      </x:c>
    </x:row>
    <x:row r="101" ht="36" customHeight="1">
      <x:c r="A101" s="1"/>
      <x:c r="B101" s="1"/>
      <x:c r="C101" s="8"/>
      <x:c r="D101" s="8"/>
      <x:c r="E101" s="8"/>
      <x:c r="F101" s="8"/>
      <x:c r="G101" s="8"/>
      <x:c r="H101" s="8"/>
      <x:c r="I101" s="11"/>
      <x:c r="J101" s="11"/>
      <x:c r="K101" s="11"/>
      <x:c r="L101" s="11"/>
      <x:c r="M101" s="11"/>
      <x:c r="N101" s="11"/>
      <x:c r="O101" s="8"/>
      <x:c r="P101" s="19"/>
      <x:c r="Q101" s="9" t="str">
        <x:f>IF(C101="","",IF(COUNTIF($C$9:$C$108,C101)&lt;&gt;1,"Duplicate site",IF(OR(COUNTIF(Borrowers!$C$9:$C$108,D101)&lt;&gt;1,COUNT(H101:N101)&lt;&gt;7,O101="",COUNT(P101)&lt;&gt;1),"Missing inputs",IF(OR(H101&lt;0,MIN(I101:N101)&lt;0,MAX(I101:N101)&gt;1,ABS(SUMIF($D$9:$D$108,D101,$I$9:$I$108)-1)&gt;0.000001,ABS(SUMIF($D$9:$D$108,D101,$N$9:$N$108)-1)&gt;0.000001),"Review site shares",IF(P101&lt;Settings!$F$8,"Expired evidence","Ready")))))</x:f>
      </x:c>
    </x:row>
    <x:row r="102" ht="36" customHeight="1">
      <x:c r="A102" s="1"/>
      <x:c r="B102" s="1"/>
      <x:c r="C102" s="8"/>
      <x:c r="D102" s="8"/>
      <x:c r="E102" s="8"/>
      <x:c r="F102" s="8"/>
      <x:c r="G102" s="8"/>
      <x:c r="H102" s="8"/>
      <x:c r="I102" s="11"/>
      <x:c r="J102" s="11"/>
      <x:c r="K102" s="11"/>
      <x:c r="L102" s="11"/>
      <x:c r="M102" s="11"/>
      <x:c r="N102" s="11"/>
      <x:c r="O102" s="8"/>
      <x:c r="P102" s="19"/>
      <x:c r="Q102" s="9" t="str">
        <x:f>IF(C102="","",IF(COUNTIF($C$9:$C$108,C102)&lt;&gt;1,"Duplicate site",IF(OR(COUNTIF(Borrowers!$C$9:$C$108,D102)&lt;&gt;1,COUNT(H102:N102)&lt;&gt;7,O102="",COUNT(P102)&lt;&gt;1),"Missing inputs",IF(OR(H102&lt;0,MIN(I102:N102)&lt;0,MAX(I102:N102)&gt;1,ABS(SUMIF($D$9:$D$108,D102,$I$9:$I$108)-1)&gt;0.000001,ABS(SUMIF($D$9:$D$108,D102,$N$9:$N$108)-1)&gt;0.000001),"Review site shares",IF(P102&lt;Settings!$F$8,"Expired evidence","Ready")))))</x:f>
      </x:c>
    </x:row>
    <x:row r="103" ht="36" customHeight="1">
      <x:c r="A103" s="1"/>
      <x:c r="B103" s="1"/>
      <x:c r="C103" s="8"/>
      <x:c r="D103" s="8"/>
      <x:c r="E103" s="8"/>
      <x:c r="F103" s="8"/>
      <x:c r="G103" s="8"/>
      <x:c r="H103" s="8"/>
      <x:c r="I103" s="11"/>
      <x:c r="J103" s="11"/>
      <x:c r="K103" s="11"/>
      <x:c r="L103" s="11"/>
      <x:c r="M103" s="11"/>
      <x:c r="N103" s="11"/>
      <x:c r="O103" s="8"/>
      <x:c r="P103" s="19"/>
      <x:c r="Q103" s="9" t="str">
        <x:f>IF(C103="","",IF(COUNTIF($C$9:$C$108,C103)&lt;&gt;1,"Duplicate site",IF(OR(COUNTIF(Borrowers!$C$9:$C$108,D103)&lt;&gt;1,COUNT(H103:N103)&lt;&gt;7,O103="",COUNT(P103)&lt;&gt;1),"Missing inputs",IF(OR(H103&lt;0,MIN(I103:N103)&lt;0,MAX(I103:N103)&gt;1,ABS(SUMIF($D$9:$D$108,D103,$I$9:$I$108)-1)&gt;0.000001,ABS(SUMIF($D$9:$D$108,D103,$N$9:$N$108)-1)&gt;0.000001),"Review site shares",IF(P103&lt;Settings!$F$8,"Expired evidence","Ready")))))</x:f>
      </x:c>
    </x:row>
    <x:row r="104" ht="36" customHeight="1">
      <x:c r="A104" s="1"/>
      <x:c r="B104" s="1"/>
      <x:c r="C104" s="8"/>
      <x:c r="D104" s="8"/>
      <x:c r="E104" s="8"/>
      <x:c r="F104" s="8"/>
      <x:c r="G104" s="8"/>
      <x:c r="H104" s="8"/>
      <x:c r="I104" s="11"/>
      <x:c r="J104" s="11"/>
      <x:c r="K104" s="11"/>
      <x:c r="L104" s="11"/>
      <x:c r="M104" s="11"/>
      <x:c r="N104" s="11"/>
      <x:c r="O104" s="8"/>
      <x:c r="P104" s="19"/>
      <x:c r="Q104" s="9" t="str">
        <x:f>IF(C104="","",IF(COUNTIF($C$9:$C$108,C104)&lt;&gt;1,"Duplicate site",IF(OR(COUNTIF(Borrowers!$C$9:$C$108,D104)&lt;&gt;1,COUNT(H104:N104)&lt;&gt;7,O104="",COUNT(P104)&lt;&gt;1),"Missing inputs",IF(OR(H104&lt;0,MIN(I104:N104)&lt;0,MAX(I104:N104)&gt;1,ABS(SUMIF($D$9:$D$108,D104,$I$9:$I$108)-1)&gt;0.000001,ABS(SUMIF($D$9:$D$108,D104,$N$9:$N$108)-1)&gt;0.000001),"Review site shares",IF(P104&lt;Settings!$F$8,"Expired evidence","Ready")))))</x:f>
      </x:c>
    </x:row>
    <x:row r="105" ht="36" customHeight="1">
      <x:c r="A105" s="1"/>
      <x:c r="B105" s="1"/>
      <x:c r="C105" s="8"/>
      <x:c r="D105" s="8"/>
      <x:c r="E105" s="8"/>
      <x:c r="F105" s="8"/>
      <x:c r="G105" s="8"/>
      <x:c r="H105" s="8"/>
      <x:c r="I105" s="11"/>
      <x:c r="J105" s="11"/>
      <x:c r="K105" s="11"/>
      <x:c r="L105" s="11"/>
      <x:c r="M105" s="11"/>
      <x:c r="N105" s="11"/>
      <x:c r="O105" s="8"/>
      <x:c r="P105" s="19"/>
      <x:c r="Q105" s="9" t="str">
        <x:f>IF(C105="","",IF(COUNTIF($C$9:$C$108,C105)&lt;&gt;1,"Duplicate site",IF(OR(COUNTIF(Borrowers!$C$9:$C$108,D105)&lt;&gt;1,COUNT(H105:N105)&lt;&gt;7,O105="",COUNT(P105)&lt;&gt;1),"Missing inputs",IF(OR(H105&lt;0,MIN(I105:N105)&lt;0,MAX(I105:N105)&gt;1,ABS(SUMIF($D$9:$D$108,D105,$I$9:$I$108)-1)&gt;0.000001,ABS(SUMIF($D$9:$D$108,D105,$N$9:$N$108)-1)&gt;0.000001),"Review site shares",IF(P105&lt;Settings!$F$8,"Expired evidence","Ready")))))</x:f>
      </x:c>
    </x:row>
    <x:row r="106" ht="36" customHeight="1">
      <x:c r="A106" s="1"/>
      <x:c r="B106" s="1"/>
      <x:c r="C106" s="8"/>
      <x:c r="D106" s="8"/>
      <x:c r="E106" s="8"/>
      <x:c r="F106" s="8"/>
      <x:c r="G106" s="8"/>
      <x:c r="H106" s="8"/>
      <x:c r="I106" s="11"/>
      <x:c r="J106" s="11"/>
      <x:c r="K106" s="11"/>
      <x:c r="L106" s="11"/>
      <x:c r="M106" s="11"/>
      <x:c r="N106" s="11"/>
      <x:c r="O106" s="8"/>
      <x:c r="P106" s="19"/>
      <x:c r="Q106" s="9" t="str">
        <x:f>IF(C106="","",IF(COUNTIF($C$9:$C$108,C106)&lt;&gt;1,"Duplicate site",IF(OR(COUNTIF(Borrowers!$C$9:$C$108,D106)&lt;&gt;1,COUNT(H106:N106)&lt;&gt;7,O106="",COUNT(P106)&lt;&gt;1),"Missing inputs",IF(OR(H106&lt;0,MIN(I106:N106)&lt;0,MAX(I106:N106)&gt;1,ABS(SUMIF($D$9:$D$108,D106,$I$9:$I$108)-1)&gt;0.000001,ABS(SUMIF($D$9:$D$108,D106,$N$9:$N$108)-1)&gt;0.000001),"Review site shares",IF(P106&lt;Settings!$F$8,"Expired evidence","Ready")))))</x:f>
      </x:c>
    </x:row>
    <x:row r="107" ht="36" customHeight="1">
      <x:c r="A107" s="1"/>
      <x:c r="B107" s="1"/>
      <x:c r="C107" s="8"/>
      <x:c r="D107" s="8"/>
      <x:c r="E107" s="8"/>
      <x:c r="F107" s="8"/>
      <x:c r="G107" s="8"/>
      <x:c r="H107" s="8"/>
      <x:c r="I107" s="11"/>
      <x:c r="J107" s="11"/>
      <x:c r="K107" s="11"/>
      <x:c r="L107" s="11"/>
      <x:c r="M107" s="11"/>
      <x:c r="N107" s="11"/>
      <x:c r="O107" s="8"/>
      <x:c r="P107" s="19"/>
      <x:c r="Q107" s="9" t="str">
        <x:f>IF(C107="","",IF(COUNTIF($C$9:$C$108,C107)&lt;&gt;1,"Duplicate site",IF(OR(COUNTIF(Borrowers!$C$9:$C$108,D107)&lt;&gt;1,COUNT(H107:N107)&lt;&gt;7,O107="",COUNT(P107)&lt;&gt;1),"Missing inputs",IF(OR(H107&lt;0,MIN(I107:N107)&lt;0,MAX(I107:N107)&gt;1,ABS(SUMIF($D$9:$D$108,D107,$I$9:$I$108)-1)&gt;0.000001,ABS(SUMIF($D$9:$D$108,D107,$N$9:$N$108)-1)&gt;0.000001),"Review site shares",IF(P107&lt;Settings!$F$8,"Expired evidence","Ready")))))</x:f>
      </x:c>
    </x:row>
    <x:row r="108" ht="36" customHeight="1">
      <x:c r="A108" s="1"/>
      <x:c r="B108" s="1"/>
      <x:c r="C108" s="8"/>
      <x:c r="D108" s="8"/>
      <x:c r="E108" s="8"/>
      <x:c r="F108" s="8"/>
      <x:c r="G108" s="8"/>
      <x:c r="H108" s="8"/>
      <x:c r="I108" s="11"/>
      <x:c r="J108" s="11"/>
      <x:c r="K108" s="11"/>
      <x:c r="L108" s="11"/>
      <x:c r="M108" s="11"/>
      <x:c r="N108" s="11"/>
      <x:c r="O108" s="8"/>
      <x:c r="P108" s="19"/>
      <x:c r="Q108" s="9" t="str">
        <x:f>IF(C108="","",IF(COUNTIF($C$9:$C$108,C108)&lt;&gt;1,"Duplicate site",IF(OR(COUNTIF(Borrowers!$C$9:$C$108,D108)&lt;&gt;1,COUNT(H108:N108)&lt;&gt;7,O108="",COUNT(P108)&lt;&gt;1),"Missing inputs",IF(OR(H108&lt;0,MIN(I108:N108)&lt;0,MAX(I108:N108)&gt;1,ABS(SUMIF($D$9:$D$108,D108,$I$9:$I$108)-1)&gt;0.000001,ABS(SUMIF($D$9:$D$108,D108,$N$9:$N$108)-1)&gt;0.000001),"Review site shares",IF(P108&lt;Settings!$F$8,"Expired evidence","Ready")))))</x:f>
      </x:c>
    </x:row>
    <x:row r="109" ht="26" customHeight="1">
      <x:c r="A109" s="1"/>
      <x:c r="B109" s="1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  <x:c r="M109" s="3"/>
      <x:c r="N109" s="3"/>
      <x:c r="O109" s="3"/>
      <x:c r="P109" s="3"/>
      <x:c r="Q109" s="3"/>
    </x:row>
    <x:row r="110" ht="26" customHeight="1">
      <x:c r="A110" s="1"/>
      <x:c r="B110" s="1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  <x:c r="M110" s="3"/>
      <x:c r="N110" s="3"/>
      <x:c r="O110" s="3"/>
      <x:c r="P110" s="3"/>
      <x:c r="Q110" s="3"/>
    </x:row>
    <x:row r="111" ht="26" customHeight="1">
      <x:c r="A111" s="1"/>
      <x:c r="B111" s="1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  <x:c r="M111" s="3"/>
      <x:c r="N111" s="3"/>
      <x:c r="O111" s="3"/>
      <x:c r="P111" s="3"/>
      <x:c r="Q111" s="3"/>
    </x:row>
    <x:row r="112" ht="26" customHeight="1">
      <x:c r="A112" s="1"/>
      <x:c r="B112" s="1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  <x:c r="M112" s="3"/>
      <x:c r="N112" s="3"/>
      <x:c r="O112" s="3"/>
      <x:c r="P112" s="3"/>
      <x:c r="Q112" s="3"/>
    </x:row>
  </x:sheetData>
  <x:mergeCells>
    <x:mergeCell ref="C2:H2"/>
    <x:mergeCell ref="C3:M3"/>
    <x:mergeCell ref="C7:F7"/>
    <x:mergeCell ref="G7:J7"/>
    <x:mergeCell ref="K7:N7"/>
    <x:mergeCell ref="C1:D1"/>
    <x:mergeCell ref="E1:F1"/>
    <x:mergeCell ref="G1:H1"/>
    <x:mergeCell ref="I1:J1"/>
    <x:mergeCell ref="K1:L1"/>
    <x:mergeCell ref="M1:N1"/>
  </x:mergeCells>
  <x:conditionalFormatting sqref="Q9:Q108">
    <x:cfRule type="containsText" dxfId="48" priority="1" operator="containsText" text="Missing"/>
    <x:cfRule type="containsText" dxfId="49" priority="2" operator="containsText" text="Required"/>
    <x:cfRule type="containsText" dxfId="50" priority="3" operator="containsText" text="required"/>
    <x:cfRule type="containsText" dxfId="51" priority="4" operator="containsText" text="Expired"/>
    <x:cfRule type="containsText" dxfId="52" priority="5" operator="containsText" text="Hold"/>
    <x:cfRule type="containsText" dxfId="53" priority="6" operator="containsText" text="Review"/>
    <x:cfRule type="containsText" dxfId="54" priority="7" operator="containsText" text="Incomplete"/>
    <x:cfRule type="containsText" dxfId="55" priority="8" operator="containsText" text="Pending"/>
    <x:cfRule type="containsText" dxfId="56" priority="9" operator="containsText" text="Unsupported"/>
    <x:cfRule type="containsText" dxfId="57" priority="10" operator="containsText" text="Criteria"/>
    <x:cfRule type="containsText" dxfId="58" priority="11" operator="containsText" text="Fail"/>
    <x:cfRule type="containsText" dxfId="59" priority="12" operator="containsText" text="Stop"/>
    <x:cfRule type="containsText" dxfId="60" priority="13" operator="containsText" text="Breach"/>
    <x:cfRule type="containsText" dxfId="61" priority="14" operator="containsText" text="Invalid"/>
    <x:cfRule type="containsText" dxfId="62" priority="15" operator="containsText" text="Duplicate"/>
    <x:cfRule type="containsText" dxfId="63" priority="16" operator="containsText" text="Not aligned"/>
  </x:conditionalFormatting>
  <x:hyperlinks>
    <x:hyperlink ref="C7" location="'Sites'!H8" display="Physical risk factors" tooltip="Open Sites"/>
    <x:hyperlink ref="G7" location="'Sites'!O8" display="Evidence and status" tooltip="Open Sites"/>
    <x:hyperlink ref="K7" location="'Customer'!C2" display="Customer workspace" tooltip="Open Customer"/>
    <x:hyperlink ref="C1" location="'Overview'!C2" display="Home" tooltip="Open Overview"/>
    <x:hyperlink ref="E1" location="'Customer'!C2" display="Customer" tooltip="Open Customer"/>
    <x:hyperlink ref="G1" location="'Capital'!C2" display="Capital" tooltip="Open Capital"/>
    <x:hyperlink ref="I1" location="'Disclosures'!C2" display="Reporting" tooltip="Open Disclosures"/>
    <x:hyperlink ref="K1" location="'Borrowers'!C8" display="Inputs" tooltip="Open Borrowers"/>
    <x:hyperlink ref="M1" location="'Settings'!C5" display="Settings" tooltip="Open Settings"/>
  </x:hyperlinks>
  <x:pageMargins left="0.7" right="0.7" top="0.75" bottom="0.75" header="0.3" footer="0.3"/>
  <x:tableParts count="1">
    <x:tablePart xmlns:r="http://schemas.openxmlformats.org/officeDocument/2006/relationships" r:id="R881c29f58bca4e8f"/>
  </x:tableParts>
</x:worksheet>
</file>

<file path=xl/worksheets/sheet24.xml><?xml version="1.0" encoding="utf-8"?>
<x:worksheet xmlns:x="http://schemas.openxmlformats.org/spreadsheetml/2006/main">
  <x:sheetPr>
    <x:tabColor rgb="FF007F86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2.4000000953674316" hidden="0" customWidth="1"/>
    <x:col min="2" max="2" width="2.4000000953674316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</x:cols>
  <x:sheetData>
    <x:row r="1" ht="27" customHeight="1">
      <x:c r="A1" s="1"/>
      <x:c r="B1" s="1"/>
      <x:c r="C1" s="50" t="str">
        <x:v>Home</x:v>
      </x:c>
      <x:c r="D1" s="50"/>
      <x:c r="E1" s="63" t="str">
        <x:v>Customer</x:v>
      </x:c>
      <x:c r="F1" s="63"/>
      <x:c r="G1" s="63" t="str">
        <x:v>Capital</x:v>
      </x:c>
      <x:c r="H1" s="63"/>
      <x:c r="I1" s="63" t="str">
        <x:v>Reporting</x:v>
      </x:c>
      <x:c r="J1" s="63"/>
      <x:c r="K1" s="63" t="str">
        <x:v>Inputs</x:v>
      </x:c>
      <x:c r="L1" s="63"/>
      <x:c r="M1" s="63" t="str">
        <x:v>Settings</x:v>
      </x:c>
      <x:c r="N1" s="63"/>
      <x:c r="O1" s="3"/>
      <x:c r="P1" s="3"/>
      <x:c r="Q1" s="3"/>
      <x:c r="R1" s="3"/>
      <x:c r="S1" s="3"/>
      <x:c r="T1" s="3"/>
      <x:c r="U1" s="3"/>
      <x:c r="V1" s="3"/>
      <x:c r="W1" s="3"/>
      <x:c r="X1" s="3"/>
    </x:row>
    <x:row r="2" ht="45" customHeight="1">
      <x:c r="A2" s="1"/>
      <x:c r="B2" s="1"/>
      <x:c r="C2" s="5" t="str">
        <x:v>Borrower activity data</x:v>
      </x:c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</x:row>
    <x:row r="3" ht="32" customHeight="1">
      <x:c r="A3" s="1"/>
      <x:c r="B3" s="1"/>
      <x:c r="C3" s="6" t="str">
        <x:v>Gross annual activity by emissions entity. Unit, country, year and scope must match the selected factor.</x:v>
      </x:c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</x:row>
    <x:row r="4" ht="26" customHeight="1">
      <x:c r="A4" s="1"/>
      <x:c r="B4" s="1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</x:row>
    <x:row r="5" ht="42" customHeight="1">
      <x:c r="A5" s="1"/>
      <x:c r="B5" s="1"/>
      <x:c r="C5" s="3" t="str">
        <x:v>Activity records</x:v>
      </x:c>
      <x:c r="D5" s="3" t="n">
        <x:f>COUNTA(C9:C308)</x:f>
        <x:v>114</x:v>
      </x:c>
      <x:c r="E5" s="3"/>
      <x:c r="F5" s="3"/>
      <x:c r="G5" s="3" t="str">
        <x:v>Usable records</x:v>
      </x:c>
      <x:c r="H5" s="3" t="n">
        <x:f>COUNTIFS(V9:V308,"Ready")</x:f>
        <x:v>114</x:v>
      </x:c>
      <x:c r="I5" s="3"/>
      <x:c r="J5" s="3"/>
      <x:c r="K5" s="3" t="str">
        <x:v>Requires review</x:v>
      </x:c>
      <x:c r="L5" s="3" t="n">
        <x:f>D5-H5</x:f>
        <x:v>0</x:v>
      </x:c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  <x:c r="X5" s="3"/>
    </x:row>
    <x:row r="6" ht="42" customHeight="1">
      <x:c r="A6" s="1"/>
      <x:c r="B6" s="1"/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  <x:c r="O6" s="3"/>
      <x:c r="P6" s="3"/>
      <x:c r="Q6" s="3"/>
      <x:c r="R6" s="3"/>
      <x:c r="S6" s="3"/>
      <x:c r="T6" s="3"/>
      <x:c r="U6" s="3"/>
      <x:c r="V6" s="3"/>
      <x:c r="W6" s="3"/>
      <x:c r="X6" s="3"/>
    </x:row>
    <x:row r="7" ht="26" customHeight="1">
      <x:c r="A7" s="1"/>
      <x:c r="B7" s="1"/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3"/>
      <x:c r="Q7" s="3"/>
      <x:c r="R7" s="3"/>
      <x:c r="S7" s="3"/>
      <x:c r="T7" s="3"/>
      <x:c r="U7" s="3"/>
      <x:c r="V7" s="3"/>
      <x:c r="W7" s="3"/>
      <x:c r="X7" s="3"/>
    </x:row>
    <x:row r="8" ht="46" customHeight="1">
      <x:c r="A8" s="1"/>
      <x:c r="B8" s="1"/>
      <x:c r="C8" s="15" t="str">
        <x:v>Activity ID</x:v>
      </x:c>
      <x:c r="D8" s="15" t="str">
        <x:v>Entity ID</x:v>
      </x:c>
      <x:c r="E8" s="15" t="str">
        <x:v>Site / asset ID</x:v>
      </x:c>
      <x:c r="F8" s="15" t="str">
        <x:v>Scope</x:v>
      </x:c>
      <x:c r="G8" s="15" t="str">
        <x:v>Activity</x:v>
      </x:c>
      <x:c r="H8" s="15" t="str">
        <x:v>Quantity</x:v>
      </x:c>
      <x:c r="I8" s="15" t="str">
        <x:v>Unit</x:v>
      </x:c>
      <x:c r="J8" s="15" t="str">
        <x:v>Factor ID</x:v>
      </x:c>
      <x:c r="K8" s="15" t="str">
        <x:v>Year</x:v>
      </x:c>
      <x:c r="L8" s="15" t="str">
        <x:v>Evidence</x:v>
      </x:c>
      <x:c r="M8" s="15" t="str">
        <x:v>Data class</x:v>
      </x:c>
      <x:c r="N8" s="15" t="str">
        <x:v>Expires</x:v>
      </x:c>
      <x:c r="O8" s="15" t="str">
        <x:v>kg CO2e / unit</x:v>
      </x:c>
      <x:c r="P8" s="15" t="str">
        <x:v>Factor unit</x:v>
      </x:c>
      <x:c r="Q8" s="15" t="str">
        <x:v>Factor scope</x:v>
      </x:c>
      <x:c r="R8" s="15" t="str">
        <x:v>Factor country</x:v>
      </x:c>
      <x:c r="S8" s="15" t="str">
        <x:v>Factor year</x:v>
      </x:c>
      <x:c r="T8" s="15" t="str">
        <x:v>Source / version</x:v>
      </x:c>
      <x:c r="U8" s="15" t="str">
        <x:v>Tonnes CO2e</x:v>
      </x:c>
      <x:c r="V8" s="15" t="str">
        <x:v>Row status</x:v>
      </x:c>
      <x:c r="W8" s="15" t="str">
        <x:v>Entity country</x:v>
      </x:c>
      <x:c r="X8" s="15" t="str">
        <x:v>Factor status</x:v>
      </x:c>
    </x:row>
    <x:row r="9" ht="26" customHeight="1">
      <x:c r="A9" s="1"/>
      <x:c r="B9" s="1"/>
      <x:c r="C9" s="8" t="str">
        <x:v>ACT001</x:v>
      </x:c>
      <x:c r="D9" s="8" t="str">
        <x:v>B001</x:v>
      </x:c>
      <x:c r="E9" s="8" t="str">
        <x:v>S001</x:v>
      </x:c>
      <x:c r="F9" s="8" t="str">
        <x:v>S1</x:v>
      </x:c>
      <x:c r="G9" s="8" t="str">
        <x:v>Diesel</x:v>
      </x:c>
      <x:c r="H9" s="16" t="n">
        <x:v>9000000</x:v>
      </x:c>
      <x:c r="I9" s="8" t="str">
        <x:v>litre</x:v>
      </x:c>
      <x:c r="J9" s="8" t="str">
        <x:v>GLOBAL-DIESEL-26</x:v>
      </x:c>
      <x:c r="K9" s="22" t="n">
        <x:v>2026</x:v>
      </x:c>
      <x:c r="L9" s="8" t="str">
        <x:v>SYN-ACT-1</x:v>
      </x:c>
      <x:c r="M9" s="8" t="str">
        <x:v>Actual</x:v>
      </x:c>
      <x:c r="N9" s="40" t="n">
        <x:v>46752</x:v>
      </x:c>
      <x:c r="O9" s="41" t="n">
        <x:f>IF(C9="","",IFERROR(IF(INDEX('Factors'!$G$9:$G$108,MATCH(J9,'Factors'!$C$9:$C$108,0))="","",INDEX('Factors'!$G$9:$G$108,MATCH(J9,'Factors'!$C$9:$C$108,0))),""))</x:f>
        <x:v>2.68</x:v>
      </x:c>
      <x:c r="P9" s="9" t="str">
        <x:f>IF(C9="","",IFERROR(IF(INDEX('Factors'!$F$9:$F$108,MATCH(J9,'Factors'!$C$9:$C$108,0))="","",INDEX('Factors'!$F$9:$F$108,MATCH(J9,'Factors'!$C$9:$C$108,0))),""))</x:f>
        <x:v>litre</x:v>
      </x:c>
      <x:c r="Q9" s="9" t="str">
        <x:f>IF(C9="","",IFERROR(IF(INDEX('Factors'!$H$9:$H$108,MATCH(J9,'Factors'!$C$9:$C$108,0))="","",INDEX('Factors'!$H$9:$H$108,MATCH(J9,'Factors'!$C$9:$C$108,0))),""))</x:f>
        <x:v>S1</x:v>
      </x:c>
      <x:c r="R9" s="9" t="str">
        <x:f>IF(C9="","",IFERROR(IF(INDEX('Factors'!$E$9:$E$108,MATCH(J9,'Factors'!$C$9:$C$108,0))="","",INDEX('Factors'!$E$9:$E$108,MATCH(J9,'Factors'!$C$9:$C$108,0))),""))</x:f>
        <x:v>Global</x:v>
      </x:c>
      <x:c r="S9" s="42" t="n">
        <x:f>IF(C9="","",IFERROR(IF(INDEX('Factors'!$J$9:$J$108,MATCH(J9,'Factors'!$C$9:$C$108,0))="","",INDEX('Factors'!$J$9:$J$108,MATCH(J9,'Factors'!$C$9:$C$108,0))),""))</x:f>
        <x:v>2026</x:v>
      </x:c>
      <x:c r="T9" s="9" t="str">
        <x:f>IF(C9="","",IFERROR(IF(INDEX('Factors'!$L$9:$L$108,MATCH(J9,'Factors'!$C$9:$C$108,0))="","",INDEX('Factors'!$L$9:$L$108,MATCH(J9,'Factors'!$C$9:$C$108,0))),"")&amp;" / "&amp;IFERROR(IF(INDEX('Factors'!$M$9:$M$108,MATCH(J9,'Factors'!$C$9:$C$108,0))="","",INDEX('Factors'!$M$9:$M$108,MATCH(J9,'Factors'!$C$9:$C$108,0))),""))</x:f>
        <x:v>SYNTHETIC DEMO / SYN-2026.1</x:v>
      </x:c>
      <x:c r="U9" s="21" t="n">
        <x:f>IF(V9="Ready",H9*O9/1000,"")</x:f>
        <x:v>24120</x:v>
      </x:c>
      <x:c r="V9" s="9" t="str">
        <x:f>IF(C9="","",IF(OR(COUNTIFS($C$9:$C$308,C9)&lt;&gt;1,COUNTIFS($D$9:$D$308,D9,$E$9:$E$308,E9,$F$9:$F$308,F9,$G$9:$G$308,G9,$K$9:$K$308,K9)&lt;&gt;1),"Duplicate annual activity",IF(COUNTIFS('Inventory'!$C$9:$C$108,D9)&lt;&gt;1,"Entity required",IF(OR(E9="",L9="",NOT(ISNUMBER(H9)),H9&lt;0,NOT(ISNUMBER(K9)),NOT(ISNUMBER(N9))),"Missing activity input",IF(AND(E9&lt;&gt;D9,OR(COUNTIFS('Sites'!$C$9:$C$108,E9)&lt;&gt;1,IFERROR(IF(INDEX('Sites'!$D$9:$D$108,MATCH(E9,'Sites'!$C$9:$C$108,0))="","",INDEX('Sites'!$D$9:$D$108,MATCH(E9,'Sites'!$C$9:$C$108,0))),"")&lt;&gt;IFERROR(IF(INDEX('Inventory'!$D$9:$D$108,MATCH(D9,'Inventory'!$C$9:$C$108,0))="","",INDEX('Inventory'!$D$9:$D$108,MATCH(D9,'Inventory'!$C$9:$C$108,0))),""),IFERROR(IF(INDEX('Sites'!$E$9:$E$108,MATCH(E9,'Sites'!$C$9:$C$108,0))="","",INDEX('Sites'!$E$9:$E$108,MATCH(E9,'Sites'!$C$9:$C$108,0))),"")&lt;&gt;W9)),"Site / entity mismatch",IF(N9&lt;'Settings'!$F$8,"Expired",IF(X9&lt;&gt;"Ready","Factor required",IF(OR(G9&lt;&gt;IFERROR(IF(INDEX('Factors'!$D$9:$D$108,MATCH(J9,'Factors'!$C$9:$C$108,0))="","",INDEX('Factors'!$D$9:$D$108,MATCH(J9,'Factors'!$C$9:$C$108,0))),""),I9&lt;&gt;P9,F9&lt;&gt;Q9,K9&lt;&gt;S9,AND(R9&lt;&gt;"Global",R9&lt;&gt;W9),K9&lt;&gt;YEAR(IFERROR(IF(INDEX('Inventory'!$H$9:$H$108,MATCH(D9,'Inventory'!$C$9:$C$108,0))="","",INDEX('Inventory'!$H$9:$H$108,MATCH(D9,'Inventory'!$C$9:$C$108,0))),""))),"Factor / boundary mismatch",IF(AND(F9="S2",IFERROR(IF(INDEX('Factors'!$I$9:$I$108,MATCH(J9,'Factors'!$C$9:$C$108,0))="","",INDEX('Factors'!$I$9:$I$108,MATCH(J9,'Factors'!$C$9:$C$108,0))),"")&lt;&gt;"Location-based"),"Use location factor",IF(M9&lt;&gt;"Actual","Estimation method review","Ready"))))))))))</x:f>
        <x:v>Ready</x:v>
      </x:c>
      <x:c r="W9" s="9" t="str">
        <x:f>IF(C9="","",IFERROR(IF(INDEX('Inventory'!$G$9:$G$108,MATCH(D9,'Inventory'!$C$9:$C$108,0))="","",INDEX('Inventory'!$G$9:$G$108,MATCH(D9,'Inventory'!$C$9:$C$108,0))),""))</x:f>
        <x:v>Egypt</x:v>
      </x:c>
      <x:c r="X9" s="9" t="str">
        <x:f>IF(C9="","",IFERROR(IF(INDEX('Factors'!$P$9:$P$108,MATCH(J9,'Factors'!$C$9:$C$108,0))="","",INDEX('Factors'!$P$9:$P$108,MATCH(J9,'Factors'!$C$9:$C$108,0))),""))</x:f>
        <x:v>Ready</x:v>
      </x:c>
    </x:row>
    <x:row r="10" ht="26" customHeight="1">
      <x:c r="A10" s="1"/>
      <x:c r="B10" s="1"/>
      <x:c r="C10" s="8" t="str">
        <x:v>ACT002</x:v>
      </x:c>
      <x:c r="D10" s="8" t="str">
        <x:v>B001</x:v>
      </x:c>
      <x:c r="E10" s="8" t="str">
        <x:v>S001</x:v>
      </x:c>
      <x:c r="F10" s="8" t="str">
        <x:v>S2</x:v>
      </x:c>
      <x:c r="G10" s="8" t="str">
        <x:v>Electricity</x:v>
      </x:c>
      <x:c r="H10" s="16" t="n">
        <x:v>700000</x:v>
      </x:c>
      <x:c r="I10" s="8" t="str">
        <x:v>kWh</x:v>
      </x:c>
      <x:c r="J10" s="8" t="str">
        <x:v>EG-GRID-26</x:v>
      </x:c>
      <x:c r="K10" s="22" t="n">
        <x:v>2026</x:v>
      </x:c>
      <x:c r="L10" s="8" t="str">
        <x:v>SYN-ACT-2</x:v>
      </x:c>
      <x:c r="M10" s="8" t="str">
        <x:v>Actual</x:v>
      </x:c>
      <x:c r="N10" s="40" t="n">
        <x:v>46752</x:v>
      </x:c>
      <x:c r="O10" s="41" t="n">
        <x:f>IF(C10="","",IFERROR(IF(INDEX('Factors'!$G$9:$G$108,MATCH(J10,'Factors'!$C$9:$C$108,0))="","",INDEX('Factors'!$G$9:$G$108,MATCH(J10,'Factors'!$C$9:$C$108,0))),""))</x:f>
        <x:v>0.46</x:v>
      </x:c>
      <x:c r="P10" s="9" t="str">
        <x:f>IF(C10="","",IFERROR(IF(INDEX('Factors'!$F$9:$F$108,MATCH(J10,'Factors'!$C$9:$C$108,0))="","",INDEX('Factors'!$F$9:$F$108,MATCH(J10,'Factors'!$C$9:$C$108,0))),""))</x:f>
        <x:v>kWh</x:v>
      </x:c>
      <x:c r="Q10" s="9" t="str">
        <x:f>IF(C10="","",IFERROR(IF(INDEX('Factors'!$H$9:$H$108,MATCH(J10,'Factors'!$C$9:$C$108,0))="","",INDEX('Factors'!$H$9:$H$108,MATCH(J10,'Factors'!$C$9:$C$108,0))),""))</x:f>
        <x:v>S2</x:v>
      </x:c>
      <x:c r="R10" s="9" t="str">
        <x:f>IF(C10="","",IFERROR(IF(INDEX('Factors'!$E$9:$E$108,MATCH(J10,'Factors'!$C$9:$C$108,0))="","",INDEX('Factors'!$E$9:$E$108,MATCH(J10,'Factors'!$C$9:$C$108,0))),""))</x:f>
        <x:v>Egypt</x:v>
      </x:c>
      <x:c r="S10" s="42" t="n">
        <x:f>IF(C10="","",IFERROR(IF(INDEX('Factors'!$J$9:$J$108,MATCH(J10,'Factors'!$C$9:$C$108,0))="","",INDEX('Factors'!$J$9:$J$108,MATCH(J10,'Factors'!$C$9:$C$108,0))),""))</x:f>
        <x:v>2026</x:v>
      </x:c>
      <x:c r="T10" s="9" t="str">
        <x:f>IF(C10="","",IFERROR(IF(INDEX('Factors'!$L$9:$L$108,MATCH(J10,'Factors'!$C$9:$C$108,0))="","",INDEX('Factors'!$L$9:$L$108,MATCH(J10,'Factors'!$C$9:$C$108,0))),"")&amp;" / "&amp;IFERROR(IF(INDEX('Factors'!$M$9:$M$108,MATCH(J10,'Factors'!$C$9:$C$108,0))="","",INDEX('Factors'!$M$9:$M$108,MATCH(J10,'Factors'!$C$9:$C$108,0))),""))</x:f>
        <x:v>SYNTHETIC DEMO / SYN-2026.1</x:v>
      </x:c>
      <x:c r="U10" s="21" t="n">
        <x:f>IF(V10="Ready",H10*O10/1000,"")</x:f>
        <x:v>322</x:v>
      </x:c>
      <x:c r="V10" s="9" t="str">
        <x:f>IF(C10="","",IF(OR(COUNTIFS($C$9:$C$308,C10)&lt;&gt;1,COUNTIFS($D$9:$D$308,D10,$E$9:$E$308,E10,$F$9:$F$308,F10,$G$9:$G$308,G10,$K$9:$K$308,K10)&lt;&gt;1),"Duplicate annual activity",IF(COUNTIFS('Inventory'!$C$9:$C$108,D10)&lt;&gt;1,"Entity required",IF(OR(E10="",L10="",NOT(ISNUMBER(H10)),H10&lt;0,NOT(ISNUMBER(K10)),NOT(ISNUMBER(N10))),"Missing activity input",IF(AND(E10&lt;&gt;D10,OR(COUNTIFS('Sites'!$C$9:$C$108,E10)&lt;&gt;1,IFERROR(IF(INDEX('Sites'!$D$9:$D$108,MATCH(E10,'Sites'!$C$9:$C$108,0))="","",INDEX('Sites'!$D$9:$D$108,MATCH(E10,'Sites'!$C$9:$C$108,0))),"")&lt;&gt;IFERROR(IF(INDEX('Inventory'!$D$9:$D$108,MATCH(D10,'Inventory'!$C$9:$C$108,0))="","",INDEX('Inventory'!$D$9:$D$108,MATCH(D10,'Inventory'!$C$9:$C$108,0))),""),IFERROR(IF(INDEX('Sites'!$E$9:$E$108,MATCH(E10,'Sites'!$C$9:$C$108,0))="","",INDEX('Sites'!$E$9:$E$108,MATCH(E10,'Sites'!$C$9:$C$108,0))),"")&lt;&gt;W10)),"Site / entity mismatch",IF(N10&lt;'Settings'!$F$8,"Expired",IF(X10&lt;&gt;"Ready","Factor required",IF(OR(G10&lt;&gt;IFERROR(IF(INDEX('Factors'!$D$9:$D$108,MATCH(J10,'Factors'!$C$9:$C$108,0))="","",INDEX('Factors'!$D$9:$D$108,MATCH(J10,'Factors'!$C$9:$C$108,0))),""),I10&lt;&gt;P10,F10&lt;&gt;Q10,K10&lt;&gt;S10,AND(R10&lt;&gt;"Global",R10&lt;&gt;W10),K10&lt;&gt;YEAR(IFERROR(IF(INDEX('Inventory'!$H$9:$H$108,MATCH(D10,'Inventory'!$C$9:$C$108,0))="","",INDEX('Inventory'!$H$9:$H$108,MATCH(D10,'Inventory'!$C$9:$C$108,0))),""))),"Factor / boundary mismatch",IF(AND(F10="S2",IFERROR(IF(INDEX('Factors'!$I$9:$I$108,MATCH(J10,'Factors'!$C$9:$C$108,0))="","",INDEX('Factors'!$I$9:$I$108,MATCH(J10,'Factors'!$C$9:$C$108,0))),"")&lt;&gt;"Location-based"),"Use location factor",IF(M10&lt;&gt;"Actual","Estimation method review","Ready"))))))))))</x:f>
        <x:v>Ready</x:v>
      </x:c>
      <x:c r="W10" s="9" t="str">
        <x:f>IF(C10="","",IFERROR(IF(INDEX('Inventory'!$G$9:$G$108,MATCH(D10,'Inventory'!$C$9:$C$108,0))="","",INDEX('Inventory'!$G$9:$G$108,MATCH(D10,'Inventory'!$C$9:$C$108,0))),""))</x:f>
        <x:v>Egypt</x:v>
      </x:c>
      <x:c r="X10" s="9" t="str">
        <x:f>IF(C10="","",IFERROR(IF(INDEX('Factors'!$P$9:$P$108,MATCH(J10,'Factors'!$C$9:$C$108,0))="","",INDEX('Factors'!$P$9:$P$108,MATCH(J10,'Factors'!$C$9:$C$108,0))),""))</x:f>
        <x:v>Ready</x:v>
      </x:c>
    </x:row>
    <x:row r="11" ht="26" customHeight="1">
      <x:c r="A11" s="1"/>
      <x:c r="B11" s="1"/>
      <x:c r="C11" s="8" t="str">
        <x:v>ACT003</x:v>
      </x:c>
      <x:c r="D11" s="8" t="str">
        <x:v>B001</x:v>
      </x:c>
      <x:c r="E11" s="8" t="str">
        <x:v>S001</x:v>
      </x:c>
      <x:c r="F11" s="8" t="str">
        <x:v>S1</x:v>
      </x:c>
      <x:c r="G11" s="8" t="str">
        <x:v>Clinker process</x:v>
      </x:c>
      <x:c r="H11" s="16" t="n">
        <x:v>75000</x:v>
      </x:c>
      <x:c r="I11" s="8" t="str">
        <x:v>t clinker</x:v>
      </x:c>
      <x:c r="J11" s="8" t="str">
        <x:v>GLOBAL-CLINKER-26</x:v>
      </x:c>
      <x:c r="K11" s="22" t="n">
        <x:v>2026</x:v>
      </x:c>
      <x:c r="L11" s="8" t="str">
        <x:v>SYN-ACT-3</x:v>
      </x:c>
      <x:c r="M11" s="8" t="str">
        <x:v>Actual</x:v>
      </x:c>
      <x:c r="N11" s="40" t="n">
        <x:v>46752</x:v>
      </x:c>
      <x:c r="O11" s="41" t="n">
        <x:f>IF(C11="","",IFERROR(IF(INDEX('Factors'!$G$9:$G$108,MATCH(J11,'Factors'!$C$9:$C$108,0))="","",INDEX('Factors'!$G$9:$G$108,MATCH(J11,'Factors'!$C$9:$C$108,0))),""))</x:f>
        <x:v>525</x:v>
      </x:c>
      <x:c r="P11" s="9" t="str">
        <x:f>IF(C11="","",IFERROR(IF(INDEX('Factors'!$F$9:$F$108,MATCH(J11,'Factors'!$C$9:$C$108,0))="","",INDEX('Factors'!$F$9:$F$108,MATCH(J11,'Factors'!$C$9:$C$108,0))),""))</x:f>
        <x:v>t clinker</x:v>
      </x:c>
      <x:c r="Q11" s="9" t="str">
        <x:f>IF(C11="","",IFERROR(IF(INDEX('Factors'!$H$9:$H$108,MATCH(J11,'Factors'!$C$9:$C$108,0))="","",INDEX('Factors'!$H$9:$H$108,MATCH(J11,'Factors'!$C$9:$C$108,0))),""))</x:f>
        <x:v>S1</x:v>
      </x:c>
      <x:c r="R11" s="9" t="str">
        <x:f>IF(C11="","",IFERROR(IF(INDEX('Factors'!$E$9:$E$108,MATCH(J11,'Factors'!$C$9:$C$108,0))="","",INDEX('Factors'!$E$9:$E$108,MATCH(J11,'Factors'!$C$9:$C$108,0))),""))</x:f>
        <x:v>Global</x:v>
      </x:c>
      <x:c r="S11" s="42" t="n">
        <x:f>IF(C11="","",IFERROR(IF(INDEX('Factors'!$J$9:$J$108,MATCH(J11,'Factors'!$C$9:$C$108,0))="","",INDEX('Factors'!$J$9:$J$108,MATCH(J11,'Factors'!$C$9:$C$108,0))),""))</x:f>
        <x:v>2026</x:v>
      </x:c>
      <x:c r="T11" s="9" t="str">
        <x:f>IF(C11="","",IFERROR(IF(INDEX('Factors'!$L$9:$L$108,MATCH(J11,'Factors'!$C$9:$C$108,0))="","",INDEX('Factors'!$L$9:$L$108,MATCH(J11,'Factors'!$C$9:$C$108,0))),"")&amp;" / "&amp;IFERROR(IF(INDEX('Factors'!$M$9:$M$108,MATCH(J11,'Factors'!$C$9:$C$108,0))="","",INDEX('Factors'!$M$9:$M$108,MATCH(J11,'Factors'!$C$9:$C$108,0))),""))</x:f>
        <x:v>SYNTHETIC DEMO / SYN-2026.1</x:v>
      </x:c>
      <x:c r="U11" s="21" t="n">
        <x:f>IF(V11="Ready",H11*O11/1000,"")</x:f>
        <x:v>39375</x:v>
      </x:c>
      <x:c r="V11" s="9" t="str">
        <x:f>IF(C11="","",IF(OR(COUNTIFS($C$9:$C$308,C11)&lt;&gt;1,COUNTIFS($D$9:$D$308,D11,$E$9:$E$308,E11,$F$9:$F$308,F11,$G$9:$G$308,G11,$K$9:$K$308,K11)&lt;&gt;1),"Duplicate annual activity",IF(COUNTIFS('Inventory'!$C$9:$C$108,D11)&lt;&gt;1,"Entity required",IF(OR(E11="",L11="",NOT(ISNUMBER(H11)),H11&lt;0,NOT(ISNUMBER(K11)),NOT(ISNUMBER(N11))),"Missing activity input",IF(AND(E11&lt;&gt;D11,OR(COUNTIFS('Sites'!$C$9:$C$108,E11)&lt;&gt;1,IFERROR(IF(INDEX('Sites'!$D$9:$D$108,MATCH(E11,'Sites'!$C$9:$C$108,0))="","",INDEX('Sites'!$D$9:$D$108,MATCH(E11,'Sites'!$C$9:$C$108,0))),"")&lt;&gt;IFERROR(IF(INDEX('Inventory'!$D$9:$D$108,MATCH(D11,'Inventory'!$C$9:$C$108,0))="","",INDEX('Inventory'!$D$9:$D$108,MATCH(D11,'Inventory'!$C$9:$C$108,0))),""),IFERROR(IF(INDEX('Sites'!$E$9:$E$108,MATCH(E11,'Sites'!$C$9:$C$108,0))="","",INDEX('Sites'!$E$9:$E$108,MATCH(E11,'Sites'!$C$9:$C$108,0))),"")&lt;&gt;W11)),"Site / entity mismatch",IF(N11&lt;'Settings'!$F$8,"Expired",IF(X11&lt;&gt;"Ready","Factor required",IF(OR(G11&lt;&gt;IFERROR(IF(INDEX('Factors'!$D$9:$D$108,MATCH(J11,'Factors'!$C$9:$C$108,0))="","",INDEX('Factors'!$D$9:$D$108,MATCH(J11,'Factors'!$C$9:$C$108,0))),""),I11&lt;&gt;P11,F11&lt;&gt;Q11,K11&lt;&gt;S11,AND(R11&lt;&gt;"Global",R11&lt;&gt;W11),K11&lt;&gt;YEAR(IFERROR(IF(INDEX('Inventory'!$H$9:$H$108,MATCH(D11,'Inventory'!$C$9:$C$108,0))="","",INDEX('Inventory'!$H$9:$H$108,MATCH(D11,'Inventory'!$C$9:$C$108,0))),""))),"Factor / boundary mismatch",IF(AND(F11="S2",IFERROR(IF(INDEX('Factors'!$I$9:$I$108,MATCH(J11,'Factors'!$C$9:$C$108,0))="","",INDEX('Factors'!$I$9:$I$108,MATCH(J11,'Factors'!$C$9:$C$108,0))),"")&lt;&gt;"Location-based"),"Use location factor",IF(M11&lt;&gt;"Actual","Estimation method review","Ready"))))))))))</x:f>
        <x:v>Ready</x:v>
      </x:c>
      <x:c r="W11" s="9" t="str">
        <x:f>IF(C11="","",IFERROR(IF(INDEX('Inventory'!$G$9:$G$108,MATCH(D11,'Inventory'!$C$9:$C$108,0))="","",INDEX('Inventory'!$G$9:$G$108,MATCH(D11,'Inventory'!$C$9:$C$108,0))),""))</x:f>
        <x:v>Egypt</x:v>
      </x:c>
      <x:c r="X11" s="9" t="str">
        <x:f>IF(C11="","",IFERROR(IF(INDEX('Factors'!$P$9:$P$108,MATCH(J11,'Factors'!$C$9:$C$108,0))="","",INDEX('Factors'!$P$9:$P$108,MATCH(J11,'Factors'!$C$9:$C$108,0))),""))</x:f>
        <x:v>Ready</x:v>
      </x:c>
    </x:row>
    <x:row r="12" ht="26" customHeight="1">
      <x:c r="A12" s="1"/>
      <x:c r="B12" s="1"/>
      <x:c r="C12" s="8" t="str">
        <x:v>ACT004</x:v>
      </x:c>
      <x:c r="D12" s="8" t="str">
        <x:v>B001</x:v>
      </x:c>
      <x:c r="E12" s="8" t="str">
        <x:v>S002</x:v>
      </x:c>
      <x:c r="F12" s="8" t="str">
        <x:v>S1</x:v>
      </x:c>
      <x:c r="G12" s="8" t="str">
        <x:v>Diesel</x:v>
      </x:c>
      <x:c r="H12" s="16" t="n">
        <x:v>9010000</x:v>
      </x:c>
      <x:c r="I12" s="8" t="str">
        <x:v>litre</x:v>
      </x:c>
      <x:c r="J12" s="8" t="str">
        <x:v>GLOBAL-DIESEL-26</x:v>
      </x:c>
      <x:c r="K12" s="22" t="n">
        <x:v>2026</x:v>
      </x:c>
      <x:c r="L12" s="8" t="str">
        <x:v>SYN-ACT-4</x:v>
      </x:c>
      <x:c r="M12" s="8" t="str">
        <x:v>Actual</x:v>
      </x:c>
      <x:c r="N12" s="40" t="n">
        <x:v>46752</x:v>
      </x:c>
      <x:c r="O12" s="41" t="n">
        <x:f>IF(C12="","",IFERROR(IF(INDEX('Factors'!$G$9:$G$108,MATCH(J12,'Factors'!$C$9:$C$108,0))="","",INDEX('Factors'!$G$9:$G$108,MATCH(J12,'Factors'!$C$9:$C$108,0))),""))</x:f>
        <x:v>2.68</x:v>
      </x:c>
      <x:c r="P12" s="9" t="str">
        <x:f>IF(C12="","",IFERROR(IF(INDEX('Factors'!$F$9:$F$108,MATCH(J12,'Factors'!$C$9:$C$108,0))="","",INDEX('Factors'!$F$9:$F$108,MATCH(J12,'Factors'!$C$9:$C$108,0))),""))</x:f>
        <x:v>litre</x:v>
      </x:c>
      <x:c r="Q12" s="9" t="str">
        <x:f>IF(C12="","",IFERROR(IF(INDEX('Factors'!$H$9:$H$108,MATCH(J12,'Factors'!$C$9:$C$108,0))="","",INDEX('Factors'!$H$9:$H$108,MATCH(J12,'Factors'!$C$9:$C$108,0))),""))</x:f>
        <x:v>S1</x:v>
      </x:c>
      <x:c r="R12" s="9" t="str">
        <x:f>IF(C12="","",IFERROR(IF(INDEX('Factors'!$E$9:$E$108,MATCH(J12,'Factors'!$C$9:$C$108,0))="","",INDEX('Factors'!$E$9:$E$108,MATCH(J12,'Factors'!$C$9:$C$108,0))),""))</x:f>
        <x:v>Global</x:v>
      </x:c>
      <x:c r="S12" s="42" t="n">
        <x:f>IF(C12="","",IFERROR(IF(INDEX('Factors'!$J$9:$J$108,MATCH(J12,'Factors'!$C$9:$C$108,0))="","",INDEX('Factors'!$J$9:$J$108,MATCH(J12,'Factors'!$C$9:$C$108,0))),""))</x:f>
        <x:v>2026</x:v>
      </x:c>
      <x:c r="T12" s="9" t="str">
        <x:f>IF(C12="","",IFERROR(IF(INDEX('Factors'!$L$9:$L$108,MATCH(J12,'Factors'!$C$9:$C$108,0))="","",INDEX('Factors'!$L$9:$L$108,MATCH(J12,'Factors'!$C$9:$C$108,0))),"")&amp;" / "&amp;IFERROR(IF(INDEX('Factors'!$M$9:$M$108,MATCH(J12,'Factors'!$C$9:$C$108,0))="","",INDEX('Factors'!$M$9:$M$108,MATCH(J12,'Factors'!$C$9:$C$108,0))),""))</x:f>
        <x:v>SYNTHETIC DEMO / SYN-2026.1</x:v>
      </x:c>
      <x:c r="U12" s="21" t="n">
        <x:f>IF(V12="Ready",H12*O12/1000,"")</x:f>
        <x:v>24146.8</x:v>
      </x:c>
      <x:c r="V12" s="9" t="str">
        <x:f>IF(C12="","",IF(OR(COUNTIFS($C$9:$C$308,C12)&lt;&gt;1,COUNTIFS($D$9:$D$308,D12,$E$9:$E$308,E12,$F$9:$F$308,F12,$G$9:$G$308,G12,$K$9:$K$308,K12)&lt;&gt;1),"Duplicate annual activity",IF(COUNTIFS('Inventory'!$C$9:$C$108,D12)&lt;&gt;1,"Entity required",IF(OR(E12="",L12="",NOT(ISNUMBER(H12)),H12&lt;0,NOT(ISNUMBER(K12)),NOT(ISNUMBER(N12))),"Missing activity input",IF(AND(E12&lt;&gt;D12,OR(COUNTIFS('Sites'!$C$9:$C$108,E12)&lt;&gt;1,IFERROR(IF(INDEX('Sites'!$D$9:$D$108,MATCH(E12,'Sites'!$C$9:$C$108,0))="","",INDEX('Sites'!$D$9:$D$108,MATCH(E12,'Sites'!$C$9:$C$108,0))),"")&lt;&gt;IFERROR(IF(INDEX('Inventory'!$D$9:$D$108,MATCH(D12,'Inventory'!$C$9:$C$108,0))="","",INDEX('Inventory'!$D$9:$D$108,MATCH(D12,'Inventory'!$C$9:$C$108,0))),""),IFERROR(IF(INDEX('Sites'!$E$9:$E$108,MATCH(E12,'Sites'!$C$9:$C$108,0))="","",INDEX('Sites'!$E$9:$E$108,MATCH(E12,'Sites'!$C$9:$C$108,0))),"")&lt;&gt;W12)),"Site / entity mismatch",IF(N12&lt;'Settings'!$F$8,"Expired",IF(X12&lt;&gt;"Ready","Factor required",IF(OR(G12&lt;&gt;IFERROR(IF(INDEX('Factors'!$D$9:$D$108,MATCH(J12,'Factors'!$C$9:$C$108,0))="","",INDEX('Factors'!$D$9:$D$108,MATCH(J12,'Factors'!$C$9:$C$108,0))),""),I12&lt;&gt;P12,F12&lt;&gt;Q12,K12&lt;&gt;S12,AND(R12&lt;&gt;"Global",R12&lt;&gt;W12),K12&lt;&gt;YEAR(IFERROR(IF(INDEX('Inventory'!$H$9:$H$108,MATCH(D12,'Inventory'!$C$9:$C$108,0))="","",INDEX('Inventory'!$H$9:$H$108,MATCH(D12,'Inventory'!$C$9:$C$108,0))),""))),"Factor / boundary mismatch",IF(AND(F12="S2",IFERROR(IF(INDEX('Factors'!$I$9:$I$108,MATCH(J12,'Factors'!$C$9:$C$108,0))="","",INDEX('Factors'!$I$9:$I$108,MATCH(J12,'Factors'!$C$9:$C$108,0))),"")&lt;&gt;"Location-based"),"Use location factor",IF(M12&lt;&gt;"Actual","Estimation method review","Ready"))))))))))</x:f>
        <x:v>Ready</x:v>
      </x:c>
      <x:c r="W12" s="9" t="str">
        <x:f>IF(C12="","",IFERROR(IF(INDEX('Inventory'!$G$9:$G$108,MATCH(D12,'Inventory'!$C$9:$C$108,0))="","",INDEX('Inventory'!$G$9:$G$108,MATCH(D12,'Inventory'!$C$9:$C$108,0))),""))</x:f>
        <x:v>Egypt</x:v>
      </x:c>
      <x:c r="X12" s="9" t="str">
        <x:f>IF(C12="","",IFERROR(IF(INDEX('Factors'!$P$9:$P$108,MATCH(J12,'Factors'!$C$9:$C$108,0))="","",INDEX('Factors'!$P$9:$P$108,MATCH(J12,'Factors'!$C$9:$C$108,0))),""))</x:f>
        <x:v>Ready</x:v>
      </x:c>
    </x:row>
    <x:row r="13" ht="26" customHeight="1">
      <x:c r="A13" s="1"/>
      <x:c r="B13" s="1"/>
      <x:c r="C13" s="8" t="str">
        <x:v>ACT005</x:v>
      </x:c>
      <x:c r="D13" s="8" t="str">
        <x:v>B001</x:v>
      </x:c>
      <x:c r="E13" s="8" t="str">
        <x:v>S002</x:v>
      </x:c>
      <x:c r="F13" s="8" t="str">
        <x:v>S2</x:v>
      </x:c>
      <x:c r="G13" s="8" t="str">
        <x:v>Electricity</x:v>
      </x:c>
      <x:c r="H13" s="16" t="n">
        <x:v>725000</x:v>
      </x:c>
      <x:c r="I13" s="8" t="str">
        <x:v>kWh</x:v>
      </x:c>
      <x:c r="J13" s="8" t="str">
        <x:v>EG-GRID-26</x:v>
      </x:c>
      <x:c r="K13" s="22" t="n">
        <x:v>2026</x:v>
      </x:c>
      <x:c r="L13" s="8" t="str">
        <x:v>SYN-ACT-5</x:v>
      </x:c>
      <x:c r="M13" s="8" t="str">
        <x:v>Actual</x:v>
      </x:c>
      <x:c r="N13" s="40" t="n">
        <x:v>46752</x:v>
      </x:c>
      <x:c r="O13" s="41" t="n">
        <x:f>IF(C13="","",IFERROR(IF(INDEX('Factors'!$G$9:$G$108,MATCH(J13,'Factors'!$C$9:$C$108,0))="","",INDEX('Factors'!$G$9:$G$108,MATCH(J13,'Factors'!$C$9:$C$108,0))),""))</x:f>
        <x:v>0.46</x:v>
      </x:c>
      <x:c r="P13" s="9" t="str">
        <x:f>IF(C13="","",IFERROR(IF(INDEX('Factors'!$F$9:$F$108,MATCH(J13,'Factors'!$C$9:$C$108,0))="","",INDEX('Factors'!$F$9:$F$108,MATCH(J13,'Factors'!$C$9:$C$108,0))),""))</x:f>
        <x:v>kWh</x:v>
      </x:c>
      <x:c r="Q13" s="9" t="str">
        <x:f>IF(C13="","",IFERROR(IF(INDEX('Factors'!$H$9:$H$108,MATCH(J13,'Factors'!$C$9:$C$108,0))="","",INDEX('Factors'!$H$9:$H$108,MATCH(J13,'Factors'!$C$9:$C$108,0))),""))</x:f>
        <x:v>S2</x:v>
      </x:c>
      <x:c r="R13" s="9" t="str">
        <x:f>IF(C13="","",IFERROR(IF(INDEX('Factors'!$E$9:$E$108,MATCH(J13,'Factors'!$C$9:$C$108,0))="","",INDEX('Factors'!$E$9:$E$108,MATCH(J13,'Factors'!$C$9:$C$108,0))),""))</x:f>
        <x:v>Egypt</x:v>
      </x:c>
      <x:c r="S13" s="42" t="n">
        <x:f>IF(C13="","",IFERROR(IF(INDEX('Factors'!$J$9:$J$108,MATCH(J13,'Factors'!$C$9:$C$108,0))="","",INDEX('Factors'!$J$9:$J$108,MATCH(J13,'Factors'!$C$9:$C$108,0))),""))</x:f>
        <x:v>2026</x:v>
      </x:c>
      <x:c r="T13" s="9" t="str">
        <x:f>IF(C13="","",IFERROR(IF(INDEX('Factors'!$L$9:$L$108,MATCH(J13,'Factors'!$C$9:$C$108,0))="","",INDEX('Factors'!$L$9:$L$108,MATCH(J13,'Factors'!$C$9:$C$108,0))),"")&amp;" / "&amp;IFERROR(IF(INDEX('Factors'!$M$9:$M$108,MATCH(J13,'Factors'!$C$9:$C$108,0))="","",INDEX('Factors'!$M$9:$M$108,MATCH(J13,'Factors'!$C$9:$C$108,0))),""))</x:f>
        <x:v>SYNTHETIC DEMO / SYN-2026.1</x:v>
      </x:c>
      <x:c r="U13" s="21" t="n">
        <x:f>IF(V13="Ready",H13*O13/1000,"")</x:f>
        <x:v>333.5</x:v>
      </x:c>
      <x:c r="V13" s="9" t="str">
        <x:f>IF(C13="","",IF(OR(COUNTIFS($C$9:$C$308,C13)&lt;&gt;1,COUNTIFS($D$9:$D$308,D13,$E$9:$E$308,E13,$F$9:$F$308,F13,$G$9:$G$308,G13,$K$9:$K$308,K13)&lt;&gt;1),"Duplicate annual activity",IF(COUNTIFS('Inventory'!$C$9:$C$108,D13)&lt;&gt;1,"Entity required",IF(OR(E13="",L13="",NOT(ISNUMBER(H13)),H13&lt;0,NOT(ISNUMBER(K13)),NOT(ISNUMBER(N13))),"Missing activity input",IF(AND(E13&lt;&gt;D13,OR(COUNTIFS('Sites'!$C$9:$C$108,E13)&lt;&gt;1,IFERROR(IF(INDEX('Sites'!$D$9:$D$108,MATCH(E13,'Sites'!$C$9:$C$108,0))="","",INDEX('Sites'!$D$9:$D$108,MATCH(E13,'Sites'!$C$9:$C$108,0))),"")&lt;&gt;IFERROR(IF(INDEX('Inventory'!$D$9:$D$108,MATCH(D13,'Inventory'!$C$9:$C$108,0))="","",INDEX('Inventory'!$D$9:$D$108,MATCH(D13,'Inventory'!$C$9:$C$108,0))),""),IFERROR(IF(INDEX('Sites'!$E$9:$E$108,MATCH(E13,'Sites'!$C$9:$C$108,0))="","",INDEX('Sites'!$E$9:$E$108,MATCH(E13,'Sites'!$C$9:$C$108,0))),"")&lt;&gt;W13)),"Site / entity mismatch",IF(N13&lt;'Settings'!$F$8,"Expired",IF(X13&lt;&gt;"Ready","Factor required",IF(OR(G13&lt;&gt;IFERROR(IF(INDEX('Factors'!$D$9:$D$108,MATCH(J13,'Factors'!$C$9:$C$108,0))="","",INDEX('Factors'!$D$9:$D$108,MATCH(J13,'Factors'!$C$9:$C$108,0))),""),I13&lt;&gt;P13,F13&lt;&gt;Q13,K13&lt;&gt;S13,AND(R13&lt;&gt;"Global",R13&lt;&gt;W13),K13&lt;&gt;YEAR(IFERROR(IF(INDEX('Inventory'!$H$9:$H$108,MATCH(D13,'Inventory'!$C$9:$C$108,0))="","",INDEX('Inventory'!$H$9:$H$108,MATCH(D13,'Inventory'!$C$9:$C$108,0))),""))),"Factor / boundary mismatch",IF(AND(F13="S2",IFERROR(IF(INDEX('Factors'!$I$9:$I$108,MATCH(J13,'Factors'!$C$9:$C$108,0))="","",INDEX('Factors'!$I$9:$I$108,MATCH(J13,'Factors'!$C$9:$C$108,0))),"")&lt;&gt;"Location-based"),"Use location factor",IF(M13&lt;&gt;"Actual","Estimation method review","Ready"))))))))))</x:f>
        <x:v>Ready</x:v>
      </x:c>
      <x:c r="W13" s="9" t="str">
        <x:f>IF(C13="","",IFERROR(IF(INDEX('Inventory'!$G$9:$G$108,MATCH(D13,'Inventory'!$C$9:$C$108,0))="","",INDEX('Inventory'!$G$9:$G$108,MATCH(D13,'Inventory'!$C$9:$C$108,0))),""))</x:f>
        <x:v>Egypt</x:v>
      </x:c>
      <x:c r="X13" s="9" t="str">
        <x:f>IF(C13="","",IFERROR(IF(INDEX('Factors'!$P$9:$P$108,MATCH(J13,'Factors'!$C$9:$C$108,0))="","",INDEX('Factors'!$P$9:$P$108,MATCH(J13,'Factors'!$C$9:$C$108,0))),""))</x:f>
        <x:v>Ready</x:v>
      </x:c>
    </x:row>
    <x:row r="14" ht="26" customHeight="1">
      <x:c r="A14" s="1"/>
      <x:c r="B14" s="1"/>
      <x:c r="C14" s="8" t="str">
        <x:v>ACT006</x:v>
      </x:c>
      <x:c r="D14" s="8" t="str">
        <x:v>B001</x:v>
      </x:c>
      <x:c r="E14" s="8" t="str">
        <x:v>S002</x:v>
      </x:c>
      <x:c r="F14" s="8" t="str">
        <x:v>S1</x:v>
      </x:c>
      <x:c r="G14" s="8" t="str">
        <x:v>Clinker process</x:v>
      </x:c>
      <x:c r="H14" s="16" t="n">
        <x:v>75100</x:v>
      </x:c>
      <x:c r="I14" s="8" t="str">
        <x:v>t clinker</x:v>
      </x:c>
      <x:c r="J14" s="8" t="str">
        <x:v>GLOBAL-CLINKER-26</x:v>
      </x:c>
      <x:c r="K14" s="22" t="n">
        <x:v>2026</x:v>
      </x:c>
      <x:c r="L14" s="8" t="str">
        <x:v>SYN-ACT-6</x:v>
      </x:c>
      <x:c r="M14" s="8" t="str">
        <x:v>Actual</x:v>
      </x:c>
      <x:c r="N14" s="40" t="n">
        <x:v>46752</x:v>
      </x:c>
      <x:c r="O14" s="41" t="n">
        <x:f>IF(C14="","",IFERROR(IF(INDEX('Factors'!$G$9:$G$108,MATCH(J14,'Factors'!$C$9:$C$108,0))="","",INDEX('Factors'!$G$9:$G$108,MATCH(J14,'Factors'!$C$9:$C$108,0))),""))</x:f>
        <x:v>525</x:v>
      </x:c>
      <x:c r="P14" s="9" t="str">
        <x:f>IF(C14="","",IFERROR(IF(INDEX('Factors'!$F$9:$F$108,MATCH(J14,'Factors'!$C$9:$C$108,0))="","",INDEX('Factors'!$F$9:$F$108,MATCH(J14,'Factors'!$C$9:$C$108,0))),""))</x:f>
        <x:v>t clinker</x:v>
      </x:c>
      <x:c r="Q14" s="9" t="str">
        <x:f>IF(C14="","",IFERROR(IF(INDEX('Factors'!$H$9:$H$108,MATCH(J14,'Factors'!$C$9:$C$108,0))="","",INDEX('Factors'!$H$9:$H$108,MATCH(J14,'Factors'!$C$9:$C$108,0))),""))</x:f>
        <x:v>S1</x:v>
      </x:c>
      <x:c r="R14" s="9" t="str">
        <x:f>IF(C14="","",IFERROR(IF(INDEX('Factors'!$E$9:$E$108,MATCH(J14,'Factors'!$C$9:$C$108,0))="","",INDEX('Factors'!$E$9:$E$108,MATCH(J14,'Factors'!$C$9:$C$108,0))),""))</x:f>
        <x:v>Global</x:v>
      </x:c>
      <x:c r="S14" s="42" t="n">
        <x:f>IF(C14="","",IFERROR(IF(INDEX('Factors'!$J$9:$J$108,MATCH(J14,'Factors'!$C$9:$C$108,0))="","",INDEX('Factors'!$J$9:$J$108,MATCH(J14,'Factors'!$C$9:$C$108,0))),""))</x:f>
        <x:v>2026</x:v>
      </x:c>
      <x:c r="T14" s="9" t="str">
        <x:f>IF(C14="","",IFERROR(IF(INDEX('Factors'!$L$9:$L$108,MATCH(J14,'Factors'!$C$9:$C$108,0))="","",INDEX('Factors'!$L$9:$L$108,MATCH(J14,'Factors'!$C$9:$C$108,0))),"")&amp;" / "&amp;IFERROR(IF(INDEX('Factors'!$M$9:$M$108,MATCH(J14,'Factors'!$C$9:$C$108,0))="","",INDEX('Factors'!$M$9:$M$108,MATCH(J14,'Factors'!$C$9:$C$108,0))),""))</x:f>
        <x:v>SYNTHETIC DEMO / SYN-2026.1</x:v>
      </x:c>
      <x:c r="U14" s="21" t="n">
        <x:f>IF(V14="Ready",H14*O14/1000,"")</x:f>
        <x:v>39427.5</x:v>
      </x:c>
      <x:c r="V14" s="9" t="str">
        <x:f>IF(C14="","",IF(OR(COUNTIFS($C$9:$C$308,C14)&lt;&gt;1,COUNTIFS($D$9:$D$308,D14,$E$9:$E$308,E14,$F$9:$F$308,F14,$G$9:$G$308,G14,$K$9:$K$308,K14)&lt;&gt;1),"Duplicate annual activity",IF(COUNTIFS('Inventory'!$C$9:$C$108,D14)&lt;&gt;1,"Entity required",IF(OR(E14="",L14="",NOT(ISNUMBER(H14)),H14&lt;0,NOT(ISNUMBER(K14)),NOT(ISNUMBER(N14))),"Missing activity input",IF(AND(E14&lt;&gt;D14,OR(COUNTIFS('Sites'!$C$9:$C$108,E14)&lt;&gt;1,IFERROR(IF(INDEX('Sites'!$D$9:$D$108,MATCH(E14,'Sites'!$C$9:$C$108,0))="","",INDEX('Sites'!$D$9:$D$108,MATCH(E14,'Sites'!$C$9:$C$108,0))),"")&lt;&gt;IFERROR(IF(INDEX('Inventory'!$D$9:$D$108,MATCH(D14,'Inventory'!$C$9:$C$108,0))="","",INDEX('Inventory'!$D$9:$D$108,MATCH(D14,'Inventory'!$C$9:$C$108,0))),""),IFERROR(IF(INDEX('Sites'!$E$9:$E$108,MATCH(E14,'Sites'!$C$9:$C$108,0))="","",INDEX('Sites'!$E$9:$E$108,MATCH(E14,'Sites'!$C$9:$C$108,0))),"")&lt;&gt;W14)),"Site / entity mismatch",IF(N14&lt;'Settings'!$F$8,"Expired",IF(X14&lt;&gt;"Ready","Factor required",IF(OR(G14&lt;&gt;IFERROR(IF(INDEX('Factors'!$D$9:$D$108,MATCH(J14,'Factors'!$C$9:$C$108,0))="","",INDEX('Factors'!$D$9:$D$108,MATCH(J14,'Factors'!$C$9:$C$108,0))),""),I14&lt;&gt;P14,F14&lt;&gt;Q14,K14&lt;&gt;S14,AND(R14&lt;&gt;"Global",R14&lt;&gt;W14),K14&lt;&gt;YEAR(IFERROR(IF(INDEX('Inventory'!$H$9:$H$108,MATCH(D14,'Inventory'!$C$9:$C$108,0))="","",INDEX('Inventory'!$H$9:$H$108,MATCH(D14,'Inventory'!$C$9:$C$108,0))),""))),"Factor / boundary mismatch",IF(AND(F14="S2",IFERROR(IF(INDEX('Factors'!$I$9:$I$108,MATCH(J14,'Factors'!$C$9:$C$108,0))="","",INDEX('Factors'!$I$9:$I$108,MATCH(J14,'Factors'!$C$9:$C$108,0))),"")&lt;&gt;"Location-based"),"Use location factor",IF(M14&lt;&gt;"Actual","Estimation method review","Ready"))))))))))</x:f>
        <x:v>Ready</x:v>
      </x:c>
      <x:c r="W14" s="9" t="str">
        <x:f>IF(C14="","",IFERROR(IF(INDEX('Inventory'!$G$9:$G$108,MATCH(D14,'Inventory'!$C$9:$C$108,0))="","",INDEX('Inventory'!$G$9:$G$108,MATCH(D14,'Inventory'!$C$9:$C$108,0))),""))</x:f>
        <x:v>Egypt</x:v>
      </x:c>
      <x:c r="X14" s="9" t="str">
        <x:f>IF(C14="","",IFERROR(IF(INDEX('Factors'!$P$9:$P$108,MATCH(J14,'Factors'!$C$9:$C$108,0))="","",INDEX('Factors'!$P$9:$P$108,MATCH(J14,'Factors'!$C$9:$C$108,0))),""))</x:f>
        <x:v>Ready</x:v>
      </x:c>
    </x:row>
    <x:row r="15" ht="26" customHeight="1">
      <x:c r="A15" s="1"/>
      <x:c r="B15" s="1"/>
      <x:c r="C15" s="8" t="str">
        <x:v>ACT007</x:v>
      </x:c>
      <x:c r="D15" s="8" t="str">
        <x:v>B002</x:v>
      </x:c>
      <x:c r="E15" s="8" t="str">
        <x:v>S003</x:v>
      </x:c>
      <x:c r="F15" s="8" t="str">
        <x:v>S1</x:v>
      </x:c>
      <x:c r="G15" s="8" t="str">
        <x:v>Diesel</x:v>
      </x:c>
      <x:c r="H15" s="16" t="n">
        <x:v>1500</x:v>
      </x:c>
      <x:c r="I15" s="8" t="str">
        <x:v>litre</x:v>
      </x:c>
      <x:c r="J15" s="8" t="str">
        <x:v>GLOBAL-DIESEL-26</x:v>
      </x:c>
      <x:c r="K15" s="22" t="n">
        <x:v>2026</x:v>
      </x:c>
      <x:c r="L15" s="8" t="str">
        <x:v>SYN-ACT-7</x:v>
      </x:c>
      <x:c r="M15" s="8" t="str">
        <x:v>Actual</x:v>
      </x:c>
      <x:c r="N15" s="40" t="n">
        <x:v>46752</x:v>
      </x:c>
      <x:c r="O15" s="41" t="n">
        <x:f>IF(C15="","",IFERROR(IF(INDEX('Factors'!$G$9:$G$108,MATCH(J15,'Factors'!$C$9:$C$108,0))="","",INDEX('Factors'!$G$9:$G$108,MATCH(J15,'Factors'!$C$9:$C$108,0))),""))</x:f>
        <x:v>2.68</x:v>
      </x:c>
      <x:c r="P15" s="9" t="str">
        <x:f>IF(C15="","",IFERROR(IF(INDEX('Factors'!$F$9:$F$108,MATCH(J15,'Factors'!$C$9:$C$108,0))="","",INDEX('Factors'!$F$9:$F$108,MATCH(J15,'Factors'!$C$9:$C$108,0))),""))</x:f>
        <x:v>litre</x:v>
      </x:c>
      <x:c r="Q15" s="9" t="str">
        <x:f>IF(C15="","",IFERROR(IF(INDEX('Factors'!$H$9:$H$108,MATCH(J15,'Factors'!$C$9:$C$108,0))="","",INDEX('Factors'!$H$9:$H$108,MATCH(J15,'Factors'!$C$9:$C$108,0))),""))</x:f>
        <x:v>S1</x:v>
      </x:c>
      <x:c r="R15" s="9" t="str">
        <x:f>IF(C15="","",IFERROR(IF(INDEX('Factors'!$E$9:$E$108,MATCH(J15,'Factors'!$C$9:$C$108,0))="","",INDEX('Factors'!$E$9:$E$108,MATCH(J15,'Factors'!$C$9:$C$108,0))),""))</x:f>
        <x:v>Global</x:v>
      </x:c>
      <x:c r="S15" s="42" t="n">
        <x:f>IF(C15="","",IFERROR(IF(INDEX('Factors'!$J$9:$J$108,MATCH(J15,'Factors'!$C$9:$C$108,0))="","",INDEX('Factors'!$J$9:$J$108,MATCH(J15,'Factors'!$C$9:$C$108,0))),""))</x:f>
        <x:v>2026</x:v>
      </x:c>
      <x:c r="T15" s="9" t="str">
        <x:f>IF(C15="","",IFERROR(IF(INDEX('Factors'!$L$9:$L$108,MATCH(J15,'Factors'!$C$9:$C$108,0))="","",INDEX('Factors'!$L$9:$L$108,MATCH(J15,'Factors'!$C$9:$C$108,0))),"")&amp;" / "&amp;IFERROR(IF(INDEX('Factors'!$M$9:$M$108,MATCH(J15,'Factors'!$C$9:$C$108,0))="","",INDEX('Factors'!$M$9:$M$108,MATCH(J15,'Factors'!$C$9:$C$108,0))),""))</x:f>
        <x:v>SYNTHETIC DEMO / SYN-2026.1</x:v>
      </x:c>
      <x:c r="U15" s="21" t="n">
        <x:f>IF(V15="Ready",H15*O15/1000,"")</x:f>
        <x:v>4.0200000000000005</x:v>
      </x:c>
      <x:c r="V15" s="9" t="str">
        <x:f>IF(C15="","",IF(OR(COUNTIFS($C$9:$C$308,C15)&lt;&gt;1,COUNTIFS($D$9:$D$308,D15,$E$9:$E$308,E15,$F$9:$F$308,F15,$G$9:$G$308,G15,$K$9:$K$308,K15)&lt;&gt;1),"Duplicate annual activity",IF(COUNTIFS('Inventory'!$C$9:$C$108,D15)&lt;&gt;1,"Entity required",IF(OR(E15="",L15="",NOT(ISNUMBER(H15)),H15&lt;0,NOT(ISNUMBER(K15)),NOT(ISNUMBER(N15))),"Missing activity input",IF(AND(E15&lt;&gt;D15,OR(COUNTIFS('Sites'!$C$9:$C$108,E15)&lt;&gt;1,IFERROR(IF(INDEX('Sites'!$D$9:$D$108,MATCH(E15,'Sites'!$C$9:$C$108,0))="","",INDEX('Sites'!$D$9:$D$108,MATCH(E15,'Sites'!$C$9:$C$108,0))),"")&lt;&gt;IFERROR(IF(INDEX('Inventory'!$D$9:$D$108,MATCH(D15,'Inventory'!$C$9:$C$108,0))="","",INDEX('Inventory'!$D$9:$D$108,MATCH(D15,'Inventory'!$C$9:$C$108,0))),""),IFERROR(IF(INDEX('Sites'!$E$9:$E$108,MATCH(E15,'Sites'!$C$9:$C$108,0))="","",INDEX('Sites'!$E$9:$E$108,MATCH(E15,'Sites'!$C$9:$C$108,0))),"")&lt;&gt;W15)),"Site / entity mismatch",IF(N15&lt;'Settings'!$F$8,"Expired",IF(X15&lt;&gt;"Ready","Factor required",IF(OR(G15&lt;&gt;IFERROR(IF(INDEX('Factors'!$D$9:$D$108,MATCH(J15,'Factors'!$C$9:$C$108,0))="","",INDEX('Factors'!$D$9:$D$108,MATCH(J15,'Factors'!$C$9:$C$108,0))),""),I15&lt;&gt;P15,F15&lt;&gt;Q15,K15&lt;&gt;S15,AND(R15&lt;&gt;"Global",R15&lt;&gt;W15),K15&lt;&gt;YEAR(IFERROR(IF(INDEX('Inventory'!$H$9:$H$108,MATCH(D15,'Inventory'!$C$9:$C$108,0))="","",INDEX('Inventory'!$H$9:$H$108,MATCH(D15,'Inventory'!$C$9:$C$108,0))),""))),"Factor / boundary mismatch",IF(AND(F15="S2",IFERROR(IF(INDEX('Factors'!$I$9:$I$108,MATCH(J15,'Factors'!$C$9:$C$108,0))="","",INDEX('Factors'!$I$9:$I$108,MATCH(J15,'Factors'!$C$9:$C$108,0))),"")&lt;&gt;"Location-based"),"Use location factor",IF(M15&lt;&gt;"Actual","Estimation method review","Ready"))))))))))</x:f>
        <x:v>Ready</x:v>
      </x:c>
      <x:c r="W15" s="9" t="str">
        <x:f>IF(C15="","",IFERROR(IF(INDEX('Inventory'!$G$9:$G$108,MATCH(D15,'Inventory'!$C$9:$C$108,0))="","",INDEX('Inventory'!$G$9:$G$108,MATCH(D15,'Inventory'!$C$9:$C$108,0))),""))</x:f>
        <x:v>Egypt</x:v>
      </x:c>
      <x:c r="X15" s="9" t="str">
        <x:f>IF(C15="","",IFERROR(IF(INDEX('Factors'!$P$9:$P$108,MATCH(J15,'Factors'!$C$9:$C$108,0))="","",INDEX('Factors'!$P$9:$P$108,MATCH(J15,'Factors'!$C$9:$C$108,0))),""))</x:f>
        <x:v>Ready</x:v>
      </x:c>
    </x:row>
    <x:row r="16" ht="26" customHeight="1">
      <x:c r="A16" s="1"/>
      <x:c r="B16" s="1"/>
      <x:c r="C16" s="8" t="str">
        <x:v>ACT008</x:v>
      </x:c>
      <x:c r="D16" s="8" t="str">
        <x:v>B002</x:v>
      </x:c>
      <x:c r="E16" s="8" t="str">
        <x:v>S003</x:v>
      </x:c>
      <x:c r="F16" s="8" t="str">
        <x:v>S2</x:v>
      </x:c>
      <x:c r="G16" s="8" t="str">
        <x:v>Electricity</x:v>
      </x:c>
      <x:c r="H16" s="16" t="n">
        <x:v>25000</x:v>
      </x:c>
      <x:c r="I16" s="8" t="str">
        <x:v>kWh</x:v>
      </x:c>
      <x:c r="J16" s="8" t="str">
        <x:v>EG-GRID-26</x:v>
      </x:c>
      <x:c r="K16" s="22" t="n">
        <x:v>2026</x:v>
      </x:c>
      <x:c r="L16" s="8" t="str">
        <x:v>SYN-ACT-8</x:v>
      </x:c>
      <x:c r="M16" s="8" t="str">
        <x:v>Actual</x:v>
      </x:c>
      <x:c r="N16" s="40" t="n">
        <x:v>46752</x:v>
      </x:c>
      <x:c r="O16" s="41" t="n">
        <x:f>IF(C16="","",IFERROR(IF(INDEX('Factors'!$G$9:$G$108,MATCH(J16,'Factors'!$C$9:$C$108,0))="","",INDEX('Factors'!$G$9:$G$108,MATCH(J16,'Factors'!$C$9:$C$108,0))),""))</x:f>
        <x:v>0.46</x:v>
      </x:c>
      <x:c r="P16" s="9" t="str">
        <x:f>IF(C16="","",IFERROR(IF(INDEX('Factors'!$F$9:$F$108,MATCH(J16,'Factors'!$C$9:$C$108,0))="","",INDEX('Factors'!$F$9:$F$108,MATCH(J16,'Factors'!$C$9:$C$108,0))),""))</x:f>
        <x:v>kWh</x:v>
      </x:c>
      <x:c r="Q16" s="9" t="str">
        <x:f>IF(C16="","",IFERROR(IF(INDEX('Factors'!$H$9:$H$108,MATCH(J16,'Factors'!$C$9:$C$108,0))="","",INDEX('Factors'!$H$9:$H$108,MATCH(J16,'Factors'!$C$9:$C$108,0))),""))</x:f>
        <x:v>S2</x:v>
      </x:c>
      <x:c r="R16" s="9" t="str">
        <x:f>IF(C16="","",IFERROR(IF(INDEX('Factors'!$E$9:$E$108,MATCH(J16,'Factors'!$C$9:$C$108,0))="","",INDEX('Factors'!$E$9:$E$108,MATCH(J16,'Factors'!$C$9:$C$108,0))),""))</x:f>
        <x:v>Egypt</x:v>
      </x:c>
      <x:c r="S16" s="42" t="n">
        <x:f>IF(C16="","",IFERROR(IF(INDEX('Factors'!$J$9:$J$108,MATCH(J16,'Factors'!$C$9:$C$108,0))="","",INDEX('Factors'!$J$9:$J$108,MATCH(J16,'Factors'!$C$9:$C$108,0))),""))</x:f>
        <x:v>2026</x:v>
      </x:c>
      <x:c r="T16" s="9" t="str">
        <x:f>IF(C16="","",IFERROR(IF(INDEX('Factors'!$L$9:$L$108,MATCH(J16,'Factors'!$C$9:$C$108,0))="","",INDEX('Factors'!$L$9:$L$108,MATCH(J16,'Factors'!$C$9:$C$108,0))),"")&amp;" / "&amp;IFERROR(IF(INDEX('Factors'!$M$9:$M$108,MATCH(J16,'Factors'!$C$9:$C$108,0))="","",INDEX('Factors'!$M$9:$M$108,MATCH(J16,'Factors'!$C$9:$C$108,0))),""))</x:f>
        <x:v>SYNTHETIC DEMO / SYN-2026.1</x:v>
      </x:c>
      <x:c r="U16" s="21" t="n">
        <x:f>IF(V16="Ready",H16*O16/1000,"")</x:f>
        <x:v>11.5</x:v>
      </x:c>
      <x:c r="V16" s="9" t="str">
        <x:f>IF(C16="","",IF(OR(COUNTIFS($C$9:$C$308,C16)&lt;&gt;1,COUNTIFS($D$9:$D$308,D16,$E$9:$E$308,E16,$F$9:$F$308,F16,$G$9:$G$308,G16,$K$9:$K$308,K16)&lt;&gt;1),"Duplicate annual activity",IF(COUNTIFS('Inventory'!$C$9:$C$108,D16)&lt;&gt;1,"Entity required",IF(OR(E16="",L16="",NOT(ISNUMBER(H16)),H16&lt;0,NOT(ISNUMBER(K16)),NOT(ISNUMBER(N16))),"Missing activity input",IF(AND(E16&lt;&gt;D16,OR(COUNTIFS('Sites'!$C$9:$C$108,E16)&lt;&gt;1,IFERROR(IF(INDEX('Sites'!$D$9:$D$108,MATCH(E16,'Sites'!$C$9:$C$108,0))="","",INDEX('Sites'!$D$9:$D$108,MATCH(E16,'Sites'!$C$9:$C$108,0))),"")&lt;&gt;IFERROR(IF(INDEX('Inventory'!$D$9:$D$108,MATCH(D16,'Inventory'!$C$9:$C$108,0))="","",INDEX('Inventory'!$D$9:$D$108,MATCH(D16,'Inventory'!$C$9:$C$108,0))),""),IFERROR(IF(INDEX('Sites'!$E$9:$E$108,MATCH(E16,'Sites'!$C$9:$C$108,0))="","",INDEX('Sites'!$E$9:$E$108,MATCH(E16,'Sites'!$C$9:$C$108,0))),"")&lt;&gt;W16)),"Site / entity mismatch",IF(N16&lt;'Settings'!$F$8,"Expired",IF(X16&lt;&gt;"Ready","Factor required",IF(OR(G16&lt;&gt;IFERROR(IF(INDEX('Factors'!$D$9:$D$108,MATCH(J16,'Factors'!$C$9:$C$108,0))="","",INDEX('Factors'!$D$9:$D$108,MATCH(J16,'Factors'!$C$9:$C$108,0))),""),I16&lt;&gt;P16,F16&lt;&gt;Q16,K16&lt;&gt;S16,AND(R16&lt;&gt;"Global",R16&lt;&gt;W16),K16&lt;&gt;YEAR(IFERROR(IF(INDEX('Inventory'!$H$9:$H$108,MATCH(D16,'Inventory'!$C$9:$C$108,0))="","",INDEX('Inventory'!$H$9:$H$108,MATCH(D16,'Inventory'!$C$9:$C$108,0))),""))),"Factor / boundary mismatch",IF(AND(F16="S2",IFERROR(IF(INDEX('Factors'!$I$9:$I$108,MATCH(J16,'Factors'!$C$9:$C$108,0))="","",INDEX('Factors'!$I$9:$I$108,MATCH(J16,'Factors'!$C$9:$C$108,0))),"")&lt;&gt;"Location-based"),"Use location factor",IF(M16&lt;&gt;"Actual","Estimation method review","Ready"))))))))))</x:f>
        <x:v>Ready</x:v>
      </x:c>
      <x:c r="W16" s="9" t="str">
        <x:f>IF(C16="","",IFERROR(IF(INDEX('Inventory'!$G$9:$G$108,MATCH(D16,'Inventory'!$C$9:$C$108,0))="","",INDEX('Inventory'!$G$9:$G$108,MATCH(D16,'Inventory'!$C$9:$C$108,0))),""))</x:f>
        <x:v>Egypt</x:v>
      </x:c>
      <x:c r="X16" s="9" t="str">
        <x:f>IF(C16="","",IFERROR(IF(INDEX('Factors'!$P$9:$P$108,MATCH(J16,'Factors'!$C$9:$C$108,0))="","",INDEX('Factors'!$P$9:$P$108,MATCH(J16,'Factors'!$C$9:$C$108,0))),""))</x:f>
        <x:v>Ready</x:v>
      </x:c>
    </x:row>
    <x:row r="17" ht="26" customHeight="1">
      <x:c r="A17" s="1"/>
      <x:c r="B17" s="1"/>
      <x:c r="C17" s="8" t="str">
        <x:v>ACT009</x:v>
      </x:c>
      <x:c r="D17" s="8" t="str">
        <x:v>B002</x:v>
      </x:c>
      <x:c r="E17" s="8" t="str">
        <x:v>S004</x:v>
      </x:c>
      <x:c r="F17" s="8" t="str">
        <x:v>S1</x:v>
      </x:c>
      <x:c r="G17" s="8" t="str">
        <x:v>Diesel</x:v>
      </x:c>
      <x:c r="H17" s="16" t="n">
        <x:v>1500</x:v>
      </x:c>
      <x:c r="I17" s="8" t="str">
        <x:v>litre</x:v>
      </x:c>
      <x:c r="J17" s="8" t="str">
        <x:v>GLOBAL-DIESEL-26</x:v>
      </x:c>
      <x:c r="K17" s="22" t="n">
        <x:v>2026</x:v>
      </x:c>
      <x:c r="L17" s="8" t="str">
        <x:v>SYN-ACT-9</x:v>
      </x:c>
      <x:c r="M17" s="8" t="str">
        <x:v>Actual</x:v>
      </x:c>
      <x:c r="N17" s="40" t="n">
        <x:v>46752</x:v>
      </x:c>
      <x:c r="O17" s="41" t="n">
        <x:f>IF(C17="","",IFERROR(IF(INDEX('Factors'!$G$9:$G$108,MATCH(J17,'Factors'!$C$9:$C$108,0))="","",INDEX('Factors'!$G$9:$G$108,MATCH(J17,'Factors'!$C$9:$C$108,0))),""))</x:f>
        <x:v>2.68</x:v>
      </x:c>
      <x:c r="P17" s="9" t="str">
        <x:f>IF(C17="","",IFERROR(IF(INDEX('Factors'!$F$9:$F$108,MATCH(J17,'Factors'!$C$9:$C$108,0))="","",INDEX('Factors'!$F$9:$F$108,MATCH(J17,'Factors'!$C$9:$C$108,0))),""))</x:f>
        <x:v>litre</x:v>
      </x:c>
      <x:c r="Q17" s="9" t="str">
        <x:f>IF(C17="","",IFERROR(IF(INDEX('Factors'!$H$9:$H$108,MATCH(J17,'Factors'!$C$9:$C$108,0))="","",INDEX('Factors'!$H$9:$H$108,MATCH(J17,'Factors'!$C$9:$C$108,0))),""))</x:f>
        <x:v>S1</x:v>
      </x:c>
      <x:c r="R17" s="9" t="str">
        <x:f>IF(C17="","",IFERROR(IF(INDEX('Factors'!$E$9:$E$108,MATCH(J17,'Factors'!$C$9:$C$108,0))="","",INDEX('Factors'!$E$9:$E$108,MATCH(J17,'Factors'!$C$9:$C$108,0))),""))</x:f>
        <x:v>Global</x:v>
      </x:c>
      <x:c r="S17" s="42" t="n">
        <x:f>IF(C17="","",IFERROR(IF(INDEX('Factors'!$J$9:$J$108,MATCH(J17,'Factors'!$C$9:$C$108,0))="","",INDEX('Factors'!$J$9:$J$108,MATCH(J17,'Factors'!$C$9:$C$108,0))),""))</x:f>
        <x:v>2026</x:v>
      </x:c>
      <x:c r="T17" s="9" t="str">
        <x:f>IF(C17="","",IFERROR(IF(INDEX('Factors'!$L$9:$L$108,MATCH(J17,'Factors'!$C$9:$C$108,0))="","",INDEX('Factors'!$L$9:$L$108,MATCH(J17,'Factors'!$C$9:$C$108,0))),"")&amp;" / "&amp;IFERROR(IF(INDEX('Factors'!$M$9:$M$108,MATCH(J17,'Factors'!$C$9:$C$108,0))="","",INDEX('Factors'!$M$9:$M$108,MATCH(J17,'Factors'!$C$9:$C$108,0))),""))</x:f>
        <x:v>SYNTHETIC DEMO / SYN-2026.1</x:v>
      </x:c>
      <x:c r="U17" s="21" t="n">
        <x:f>IF(V17="Ready",H17*O17/1000,"")</x:f>
        <x:v>4.0200000000000005</x:v>
      </x:c>
      <x:c r="V17" s="9" t="str">
        <x:f>IF(C17="","",IF(OR(COUNTIFS($C$9:$C$308,C17)&lt;&gt;1,COUNTIFS($D$9:$D$308,D17,$E$9:$E$308,E17,$F$9:$F$308,F17,$G$9:$G$308,G17,$K$9:$K$308,K17)&lt;&gt;1),"Duplicate annual activity",IF(COUNTIFS('Inventory'!$C$9:$C$108,D17)&lt;&gt;1,"Entity required",IF(OR(E17="",L17="",NOT(ISNUMBER(H17)),H17&lt;0,NOT(ISNUMBER(K17)),NOT(ISNUMBER(N17))),"Missing activity input",IF(AND(E17&lt;&gt;D17,OR(COUNTIFS('Sites'!$C$9:$C$108,E17)&lt;&gt;1,IFERROR(IF(INDEX('Sites'!$D$9:$D$108,MATCH(E17,'Sites'!$C$9:$C$108,0))="","",INDEX('Sites'!$D$9:$D$108,MATCH(E17,'Sites'!$C$9:$C$108,0))),"")&lt;&gt;IFERROR(IF(INDEX('Inventory'!$D$9:$D$108,MATCH(D17,'Inventory'!$C$9:$C$108,0))="","",INDEX('Inventory'!$D$9:$D$108,MATCH(D17,'Inventory'!$C$9:$C$108,0))),""),IFERROR(IF(INDEX('Sites'!$E$9:$E$108,MATCH(E17,'Sites'!$C$9:$C$108,0))="","",INDEX('Sites'!$E$9:$E$108,MATCH(E17,'Sites'!$C$9:$C$108,0))),"")&lt;&gt;W17)),"Site / entity mismatch",IF(N17&lt;'Settings'!$F$8,"Expired",IF(X17&lt;&gt;"Ready","Factor required",IF(OR(G17&lt;&gt;IFERROR(IF(INDEX('Factors'!$D$9:$D$108,MATCH(J17,'Factors'!$C$9:$C$108,0))="","",INDEX('Factors'!$D$9:$D$108,MATCH(J17,'Factors'!$C$9:$C$108,0))),""),I17&lt;&gt;P17,F17&lt;&gt;Q17,K17&lt;&gt;S17,AND(R17&lt;&gt;"Global",R17&lt;&gt;W17),K17&lt;&gt;YEAR(IFERROR(IF(INDEX('Inventory'!$H$9:$H$108,MATCH(D17,'Inventory'!$C$9:$C$108,0))="","",INDEX('Inventory'!$H$9:$H$108,MATCH(D17,'Inventory'!$C$9:$C$108,0))),""))),"Factor / boundary mismatch",IF(AND(F17="S2",IFERROR(IF(INDEX('Factors'!$I$9:$I$108,MATCH(J17,'Factors'!$C$9:$C$108,0))="","",INDEX('Factors'!$I$9:$I$108,MATCH(J17,'Factors'!$C$9:$C$108,0))),"")&lt;&gt;"Location-based"),"Use location factor",IF(M17&lt;&gt;"Actual","Estimation method review","Ready"))))))))))</x:f>
        <x:v>Ready</x:v>
      </x:c>
      <x:c r="W17" s="9" t="str">
        <x:f>IF(C17="","",IFERROR(IF(INDEX('Inventory'!$G$9:$G$108,MATCH(D17,'Inventory'!$C$9:$C$108,0))="","",INDEX('Inventory'!$G$9:$G$108,MATCH(D17,'Inventory'!$C$9:$C$108,0))),""))</x:f>
        <x:v>Egypt</x:v>
      </x:c>
      <x:c r="X17" s="9" t="str">
        <x:f>IF(C17="","",IFERROR(IF(INDEX('Factors'!$P$9:$P$108,MATCH(J17,'Factors'!$C$9:$C$108,0))="","",INDEX('Factors'!$P$9:$P$108,MATCH(J17,'Factors'!$C$9:$C$108,0))),""))</x:f>
        <x:v>Ready</x:v>
      </x:c>
    </x:row>
    <x:row r="18" ht="26" customHeight="1">
      <x:c r="A18" s="1"/>
      <x:c r="B18" s="1"/>
      <x:c r="C18" s="8" t="str">
        <x:v>ACT010</x:v>
      </x:c>
      <x:c r="D18" s="8" t="str">
        <x:v>B002</x:v>
      </x:c>
      <x:c r="E18" s="8" t="str">
        <x:v>S004</x:v>
      </x:c>
      <x:c r="F18" s="8" t="str">
        <x:v>S2</x:v>
      </x:c>
      <x:c r="G18" s="8" t="str">
        <x:v>Electricity</x:v>
      </x:c>
      <x:c r="H18" s="16" t="n">
        <x:v>25000</x:v>
      </x:c>
      <x:c r="I18" s="8" t="str">
        <x:v>kWh</x:v>
      </x:c>
      <x:c r="J18" s="8" t="str">
        <x:v>EG-GRID-26</x:v>
      </x:c>
      <x:c r="K18" s="22" t="n">
        <x:v>2026</x:v>
      </x:c>
      <x:c r="L18" s="8" t="str">
        <x:v>SYN-ACT-10</x:v>
      </x:c>
      <x:c r="M18" s="8" t="str">
        <x:v>Actual</x:v>
      </x:c>
      <x:c r="N18" s="40" t="n">
        <x:v>46752</x:v>
      </x:c>
      <x:c r="O18" s="41" t="n">
        <x:f>IF(C18="","",IFERROR(IF(INDEX('Factors'!$G$9:$G$108,MATCH(J18,'Factors'!$C$9:$C$108,0))="","",INDEX('Factors'!$G$9:$G$108,MATCH(J18,'Factors'!$C$9:$C$108,0))),""))</x:f>
        <x:v>0.46</x:v>
      </x:c>
      <x:c r="P18" s="9" t="str">
        <x:f>IF(C18="","",IFERROR(IF(INDEX('Factors'!$F$9:$F$108,MATCH(J18,'Factors'!$C$9:$C$108,0))="","",INDEX('Factors'!$F$9:$F$108,MATCH(J18,'Factors'!$C$9:$C$108,0))),""))</x:f>
        <x:v>kWh</x:v>
      </x:c>
      <x:c r="Q18" s="9" t="str">
        <x:f>IF(C18="","",IFERROR(IF(INDEX('Factors'!$H$9:$H$108,MATCH(J18,'Factors'!$C$9:$C$108,0))="","",INDEX('Factors'!$H$9:$H$108,MATCH(J18,'Factors'!$C$9:$C$108,0))),""))</x:f>
        <x:v>S2</x:v>
      </x:c>
      <x:c r="R18" s="9" t="str">
        <x:f>IF(C18="","",IFERROR(IF(INDEX('Factors'!$E$9:$E$108,MATCH(J18,'Factors'!$C$9:$C$108,0))="","",INDEX('Factors'!$E$9:$E$108,MATCH(J18,'Factors'!$C$9:$C$108,0))),""))</x:f>
        <x:v>Egypt</x:v>
      </x:c>
      <x:c r="S18" s="42" t="n">
        <x:f>IF(C18="","",IFERROR(IF(INDEX('Factors'!$J$9:$J$108,MATCH(J18,'Factors'!$C$9:$C$108,0))="","",INDEX('Factors'!$J$9:$J$108,MATCH(J18,'Factors'!$C$9:$C$108,0))),""))</x:f>
        <x:v>2026</x:v>
      </x:c>
      <x:c r="T18" s="9" t="str">
        <x:f>IF(C18="","",IFERROR(IF(INDEX('Factors'!$L$9:$L$108,MATCH(J18,'Factors'!$C$9:$C$108,0))="","",INDEX('Factors'!$L$9:$L$108,MATCH(J18,'Factors'!$C$9:$C$108,0))),"")&amp;" / "&amp;IFERROR(IF(INDEX('Factors'!$M$9:$M$108,MATCH(J18,'Factors'!$C$9:$C$108,0))="","",INDEX('Factors'!$M$9:$M$108,MATCH(J18,'Factors'!$C$9:$C$108,0))),""))</x:f>
        <x:v>SYNTHETIC DEMO / SYN-2026.1</x:v>
      </x:c>
      <x:c r="U18" s="21" t="n">
        <x:f>IF(V18="Ready",H18*O18/1000,"")</x:f>
        <x:v>11.5</x:v>
      </x:c>
      <x:c r="V18" s="9" t="str">
        <x:f>IF(C18="","",IF(OR(COUNTIFS($C$9:$C$308,C18)&lt;&gt;1,COUNTIFS($D$9:$D$308,D18,$E$9:$E$308,E18,$F$9:$F$308,F18,$G$9:$G$308,G18,$K$9:$K$308,K18)&lt;&gt;1),"Duplicate annual activity",IF(COUNTIFS('Inventory'!$C$9:$C$108,D18)&lt;&gt;1,"Entity required",IF(OR(E18="",L18="",NOT(ISNUMBER(H18)),H18&lt;0,NOT(ISNUMBER(K18)),NOT(ISNUMBER(N18))),"Missing activity input",IF(AND(E18&lt;&gt;D18,OR(COUNTIFS('Sites'!$C$9:$C$108,E18)&lt;&gt;1,IFERROR(IF(INDEX('Sites'!$D$9:$D$108,MATCH(E18,'Sites'!$C$9:$C$108,0))="","",INDEX('Sites'!$D$9:$D$108,MATCH(E18,'Sites'!$C$9:$C$108,0))),"")&lt;&gt;IFERROR(IF(INDEX('Inventory'!$D$9:$D$108,MATCH(D18,'Inventory'!$C$9:$C$108,0))="","",INDEX('Inventory'!$D$9:$D$108,MATCH(D18,'Inventory'!$C$9:$C$108,0))),""),IFERROR(IF(INDEX('Sites'!$E$9:$E$108,MATCH(E18,'Sites'!$C$9:$C$108,0))="","",INDEX('Sites'!$E$9:$E$108,MATCH(E18,'Sites'!$C$9:$C$108,0))),"")&lt;&gt;W18)),"Site / entity mismatch",IF(N18&lt;'Settings'!$F$8,"Expired",IF(X18&lt;&gt;"Ready","Factor required",IF(OR(G18&lt;&gt;IFERROR(IF(INDEX('Factors'!$D$9:$D$108,MATCH(J18,'Factors'!$C$9:$C$108,0))="","",INDEX('Factors'!$D$9:$D$108,MATCH(J18,'Factors'!$C$9:$C$108,0))),""),I18&lt;&gt;P18,F18&lt;&gt;Q18,K18&lt;&gt;S18,AND(R18&lt;&gt;"Global",R18&lt;&gt;W18),K18&lt;&gt;YEAR(IFERROR(IF(INDEX('Inventory'!$H$9:$H$108,MATCH(D18,'Inventory'!$C$9:$C$108,0))="","",INDEX('Inventory'!$H$9:$H$108,MATCH(D18,'Inventory'!$C$9:$C$108,0))),""))),"Factor / boundary mismatch",IF(AND(F18="S2",IFERROR(IF(INDEX('Factors'!$I$9:$I$108,MATCH(J18,'Factors'!$C$9:$C$108,0))="","",INDEX('Factors'!$I$9:$I$108,MATCH(J18,'Factors'!$C$9:$C$108,0))),"")&lt;&gt;"Location-based"),"Use location factor",IF(M18&lt;&gt;"Actual","Estimation method review","Ready"))))))))))</x:f>
        <x:v>Ready</x:v>
      </x:c>
      <x:c r="W18" s="9" t="str">
        <x:f>IF(C18="","",IFERROR(IF(INDEX('Inventory'!$G$9:$G$108,MATCH(D18,'Inventory'!$C$9:$C$108,0))="","",INDEX('Inventory'!$G$9:$G$108,MATCH(D18,'Inventory'!$C$9:$C$108,0))),""))</x:f>
        <x:v>Egypt</x:v>
      </x:c>
      <x:c r="X18" s="9" t="str">
        <x:f>IF(C18="","",IFERROR(IF(INDEX('Factors'!$P$9:$P$108,MATCH(J18,'Factors'!$C$9:$C$108,0))="","",INDEX('Factors'!$P$9:$P$108,MATCH(J18,'Factors'!$C$9:$C$108,0))),""))</x:f>
        <x:v>Ready</x:v>
      </x:c>
    </x:row>
    <x:row r="19" ht="26" customHeight="1">
      <x:c r="A19" s="1"/>
      <x:c r="B19" s="1"/>
      <x:c r="C19" s="8" t="str">
        <x:v>ACT011</x:v>
      </x:c>
      <x:c r="D19" s="8" t="str">
        <x:v>B003</x:v>
      </x:c>
      <x:c r="E19" s="8" t="str">
        <x:v>S005</x:v>
      </x:c>
      <x:c r="F19" s="8" t="str">
        <x:v>S1</x:v>
      </x:c>
      <x:c r="G19" s="8" t="str">
        <x:v>Diesel</x:v>
      </x:c>
      <x:c r="H19" s="16" t="n">
        <x:v>136000</x:v>
      </x:c>
      <x:c r="I19" s="8" t="str">
        <x:v>litre</x:v>
      </x:c>
      <x:c r="J19" s="8" t="str">
        <x:v>GLOBAL-DIESEL-26</x:v>
      </x:c>
      <x:c r="K19" s="22" t="n">
        <x:v>2026</x:v>
      </x:c>
      <x:c r="L19" s="8" t="str">
        <x:v>SYN-ACT-11</x:v>
      </x:c>
      <x:c r="M19" s="8" t="str">
        <x:v>Actual</x:v>
      </x:c>
      <x:c r="N19" s="40" t="n">
        <x:v>46752</x:v>
      </x:c>
      <x:c r="O19" s="41" t="n">
        <x:f>IF(C19="","",IFERROR(IF(INDEX('Factors'!$G$9:$G$108,MATCH(J19,'Factors'!$C$9:$C$108,0))="","",INDEX('Factors'!$G$9:$G$108,MATCH(J19,'Factors'!$C$9:$C$108,0))),""))</x:f>
        <x:v>2.68</x:v>
      </x:c>
      <x:c r="P19" s="9" t="str">
        <x:f>IF(C19="","",IFERROR(IF(INDEX('Factors'!$F$9:$F$108,MATCH(J19,'Factors'!$C$9:$C$108,0))="","",INDEX('Factors'!$F$9:$F$108,MATCH(J19,'Factors'!$C$9:$C$108,0))),""))</x:f>
        <x:v>litre</x:v>
      </x:c>
      <x:c r="Q19" s="9" t="str">
        <x:f>IF(C19="","",IFERROR(IF(INDEX('Factors'!$H$9:$H$108,MATCH(J19,'Factors'!$C$9:$C$108,0))="","",INDEX('Factors'!$H$9:$H$108,MATCH(J19,'Factors'!$C$9:$C$108,0))),""))</x:f>
        <x:v>S1</x:v>
      </x:c>
      <x:c r="R19" s="9" t="str">
        <x:f>IF(C19="","",IFERROR(IF(INDEX('Factors'!$E$9:$E$108,MATCH(J19,'Factors'!$C$9:$C$108,0))="","",INDEX('Factors'!$E$9:$E$108,MATCH(J19,'Factors'!$C$9:$C$108,0))),""))</x:f>
        <x:v>Global</x:v>
      </x:c>
      <x:c r="S19" s="42" t="n">
        <x:f>IF(C19="","",IFERROR(IF(INDEX('Factors'!$J$9:$J$108,MATCH(J19,'Factors'!$C$9:$C$108,0))="","",INDEX('Factors'!$J$9:$J$108,MATCH(J19,'Factors'!$C$9:$C$108,0))),""))</x:f>
        <x:v>2026</x:v>
      </x:c>
      <x:c r="T19" s="9" t="str">
        <x:f>IF(C19="","",IFERROR(IF(INDEX('Factors'!$L$9:$L$108,MATCH(J19,'Factors'!$C$9:$C$108,0))="","",INDEX('Factors'!$L$9:$L$108,MATCH(J19,'Factors'!$C$9:$C$108,0))),"")&amp;" / "&amp;IFERROR(IF(INDEX('Factors'!$M$9:$M$108,MATCH(J19,'Factors'!$C$9:$C$108,0))="","",INDEX('Factors'!$M$9:$M$108,MATCH(J19,'Factors'!$C$9:$C$108,0))),""))</x:f>
        <x:v>SYNTHETIC DEMO / SYN-2026.1</x:v>
      </x:c>
      <x:c r="U19" s="21" t="n">
        <x:f>IF(V19="Ready",H19*O19/1000,"")</x:f>
        <x:v>364.48</x:v>
      </x:c>
      <x:c r="V19" s="9" t="str">
        <x:f>IF(C19="","",IF(OR(COUNTIFS($C$9:$C$308,C19)&lt;&gt;1,COUNTIFS($D$9:$D$308,D19,$E$9:$E$308,E19,$F$9:$F$308,F19,$G$9:$G$308,G19,$K$9:$K$308,K19)&lt;&gt;1),"Duplicate annual activity",IF(COUNTIFS('Inventory'!$C$9:$C$108,D19)&lt;&gt;1,"Entity required",IF(OR(E19="",L19="",NOT(ISNUMBER(H19)),H19&lt;0,NOT(ISNUMBER(K19)),NOT(ISNUMBER(N19))),"Missing activity input",IF(AND(E19&lt;&gt;D19,OR(COUNTIFS('Sites'!$C$9:$C$108,E19)&lt;&gt;1,IFERROR(IF(INDEX('Sites'!$D$9:$D$108,MATCH(E19,'Sites'!$C$9:$C$108,0))="","",INDEX('Sites'!$D$9:$D$108,MATCH(E19,'Sites'!$C$9:$C$108,0))),"")&lt;&gt;IFERROR(IF(INDEX('Inventory'!$D$9:$D$108,MATCH(D19,'Inventory'!$C$9:$C$108,0))="","",INDEX('Inventory'!$D$9:$D$108,MATCH(D19,'Inventory'!$C$9:$C$108,0))),""),IFERROR(IF(INDEX('Sites'!$E$9:$E$108,MATCH(E19,'Sites'!$C$9:$C$108,0))="","",INDEX('Sites'!$E$9:$E$108,MATCH(E19,'Sites'!$C$9:$C$108,0))),"")&lt;&gt;W19)),"Site / entity mismatch",IF(N19&lt;'Settings'!$F$8,"Expired",IF(X19&lt;&gt;"Ready","Factor required",IF(OR(G19&lt;&gt;IFERROR(IF(INDEX('Factors'!$D$9:$D$108,MATCH(J19,'Factors'!$C$9:$C$108,0))="","",INDEX('Factors'!$D$9:$D$108,MATCH(J19,'Factors'!$C$9:$C$108,0))),""),I19&lt;&gt;P19,F19&lt;&gt;Q19,K19&lt;&gt;S19,AND(R19&lt;&gt;"Global",R19&lt;&gt;W19),K19&lt;&gt;YEAR(IFERROR(IF(INDEX('Inventory'!$H$9:$H$108,MATCH(D19,'Inventory'!$C$9:$C$108,0))="","",INDEX('Inventory'!$H$9:$H$108,MATCH(D19,'Inventory'!$C$9:$C$108,0))),""))),"Factor / boundary mismatch",IF(AND(F19="S2",IFERROR(IF(INDEX('Factors'!$I$9:$I$108,MATCH(J19,'Factors'!$C$9:$C$108,0))="","",INDEX('Factors'!$I$9:$I$108,MATCH(J19,'Factors'!$C$9:$C$108,0))),"")&lt;&gt;"Location-based"),"Use location factor",IF(M19&lt;&gt;"Actual","Estimation method review","Ready"))))))))))</x:f>
        <x:v>Ready</x:v>
      </x:c>
      <x:c r="W19" s="9" t="str">
        <x:f>IF(C19="","",IFERROR(IF(INDEX('Inventory'!$G$9:$G$108,MATCH(D19,'Inventory'!$C$9:$C$108,0))="","",INDEX('Inventory'!$G$9:$G$108,MATCH(D19,'Inventory'!$C$9:$C$108,0))),""))</x:f>
        <x:v>Egypt</x:v>
      </x:c>
      <x:c r="X19" s="9" t="str">
        <x:f>IF(C19="","",IFERROR(IF(INDEX('Factors'!$P$9:$P$108,MATCH(J19,'Factors'!$C$9:$C$108,0))="","",INDEX('Factors'!$P$9:$P$108,MATCH(J19,'Factors'!$C$9:$C$108,0))),""))</x:f>
        <x:v>Ready</x:v>
      </x:c>
    </x:row>
    <x:row r="20" ht="26" customHeight="1">
      <x:c r="A20" s="1"/>
      <x:c r="B20" s="1"/>
      <x:c r="C20" s="8" t="str">
        <x:v>ACT012</x:v>
      </x:c>
      <x:c r="D20" s="8" t="str">
        <x:v>B003</x:v>
      </x:c>
      <x:c r="E20" s="8" t="str">
        <x:v>S005</x:v>
      </x:c>
      <x:c r="F20" s="8" t="str">
        <x:v>S2</x:v>
      </x:c>
      <x:c r="G20" s="8" t="str">
        <x:v>Electricity</x:v>
      </x:c>
      <x:c r="H20" s="16" t="n">
        <x:v>800000</x:v>
      </x:c>
      <x:c r="I20" s="8" t="str">
        <x:v>kWh</x:v>
      </x:c>
      <x:c r="J20" s="8" t="str">
        <x:v>EG-GRID-26</x:v>
      </x:c>
      <x:c r="K20" s="22" t="n">
        <x:v>2026</x:v>
      </x:c>
      <x:c r="L20" s="8" t="str">
        <x:v>SYN-ACT-12</x:v>
      </x:c>
      <x:c r="M20" s="8" t="str">
        <x:v>Actual</x:v>
      </x:c>
      <x:c r="N20" s="40" t="n">
        <x:v>46752</x:v>
      </x:c>
      <x:c r="O20" s="41" t="n">
        <x:f>IF(C20="","",IFERROR(IF(INDEX('Factors'!$G$9:$G$108,MATCH(J20,'Factors'!$C$9:$C$108,0))="","",INDEX('Factors'!$G$9:$G$108,MATCH(J20,'Factors'!$C$9:$C$108,0))),""))</x:f>
        <x:v>0.46</x:v>
      </x:c>
      <x:c r="P20" s="9" t="str">
        <x:f>IF(C20="","",IFERROR(IF(INDEX('Factors'!$F$9:$F$108,MATCH(J20,'Factors'!$C$9:$C$108,0))="","",INDEX('Factors'!$F$9:$F$108,MATCH(J20,'Factors'!$C$9:$C$108,0))),""))</x:f>
        <x:v>kWh</x:v>
      </x:c>
      <x:c r="Q20" s="9" t="str">
        <x:f>IF(C20="","",IFERROR(IF(INDEX('Factors'!$H$9:$H$108,MATCH(J20,'Factors'!$C$9:$C$108,0))="","",INDEX('Factors'!$H$9:$H$108,MATCH(J20,'Factors'!$C$9:$C$108,0))),""))</x:f>
        <x:v>S2</x:v>
      </x:c>
      <x:c r="R20" s="9" t="str">
        <x:f>IF(C20="","",IFERROR(IF(INDEX('Factors'!$E$9:$E$108,MATCH(J20,'Factors'!$C$9:$C$108,0))="","",INDEX('Factors'!$E$9:$E$108,MATCH(J20,'Factors'!$C$9:$C$108,0))),""))</x:f>
        <x:v>Egypt</x:v>
      </x:c>
      <x:c r="S20" s="42" t="n">
        <x:f>IF(C20="","",IFERROR(IF(INDEX('Factors'!$J$9:$J$108,MATCH(J20,'Factors'!$C$9:$C$108,0))="","",INDEX('Factors'!$J$9:$J$108,MATCH(J20,'Factors'!$C$9:$C$108,0))),""))</x:f>
        <x:v>2026</x:v>
      </x:c>
      <x:c r="T20" s="9" t="str">
        <x:f>IF(C20="","",IFERROR(IF(INDEX('Factors'!$L$9:$L$108,MATCH(J20,'Factors'!$C$9:$C$108,0))="","",INDEX('Factors'!$L$9:$L$108,MATCH(J20,'Factors'!$C$9:$C$108,0))),"")&amp;" / "&amp;IFERROR(IF(INDEX('Factors'!$M$9:$M$108,MATCH(J20,'Factors'!$C$9:$C$108,0))="","",INDEX('Factors'!$M$9:$M$108,MATCH(J20,'Factors'!$C$9:$C$108,0))),""))</x:f>
        <x:v>SYNTHETIC DEMO / SYN-2026.1</x:v>
      </x:c>
      <x:c r="U20" s="21" t="n">
        <x:f>IF(V20="Ready",H20*O20/1000,"")</x:f>
        <x:v>368</x:v>
      </x:c>
      <x:c r="V20" s="9" t="str">
        <x:f>IF(C20="","",IF(OR(COUNTIFS($C$9:$C$308,C20)&lt;&gt;1,COUNTIFS($D$9:$D$308,D20,$E$9:$E$308,E20,$F$9:$F$308,F20,$G$9:$G$308,G20,$K$9:$K$308,K20)&lt;&gt;1),"Duplicate annual activity",IF(COUNTIFS('Inventory'!$C$9:$C$108,D20)&lt;&gt;1,"Entity required",IF(OR(E20="",L20="",NOT(ISNUMBER(H20)),H20&lt;0,NOT(ISNUMBER(K20)),NOT(ISNUMBER(N20))),"Missing activity input",IF(AND(E20&lt;&gt;D20,OR(COUNTIFS('Sites'!$C$9:$C$108,E20)&lt;&gt;1,IFERROR(IF(INDEX('Sites'!$D$9:$D$108,MATCH(E20,'Sites'!$C$9:$C$108,0))="","",INDEX('Sites'!$D$9:$D$108,MATCH(E20,'Sites'!$C$9:$C$108,0))),"")&lt;&gt;IFERROR(IF(INDEX('Inventory'!$D$9:$D$108,MATCH(D20,'Inventory'!$C$9:$C$108,0))="","",INDEX('Inventory'!$D$9:$D$108,MATCH(D20,'Inventory'!$C$9:$C$108,0))),""),IFERROR(IF(INDEX('Sites'!$E$9:$E$108,MATCH(E20,'Sites'!$C$9:$C$108,0))="","",INDEX('Sites'!$E$9:$E$108,MATCH(E20,'Sites'!$C$9:$C$108,0))),"")&lt;&gt;W20)),"Site / entity mismatch",IF(N20&lt;'Settings'!$F$8,"Expired",IF(X20&lt;&gt;"Ready","Factor required",IF(OR(G20&lt;&gt;IFERROR(IF(INDEX('Factors'!$D$9:$D$108,MATCH(J20,'Factors'!$C$9:$C$108,0))="","",INDEX('Factors'!$D$9:$D$108,MATCH(J20,'Factors'!$C$9:$C$108,0))),""),I20&lt;&gt;P20,F20&lt;&gt;Q20,K20&lt;&gt;S20,AND(R20&lt;&gt;"Global",R20&lt;&gt;W20),K20&lt;&gt;YEAR(IFERROR(IF(INDEX('Inventory'!$H$9:$H$108,MATCH(D20,'Inventory'!$C$9:$C$108,0))="","",INDEX('Inventory'!$H$9:$H$108,MATCH(D20,'Inventory'!$C$9:$C$108,0))),""))),"Factor / boundary mismatch",IF(AND(F20="S2",IFERROR(IF(INDEX('Factors'!$I$9:$I$108,MATCH(J20,'Factors'!$C$9:$C$108,0))="","",INDEX('Factors'!$I$9:$I$108,MATCH(J20,'Factors'!$C$9:$C$108,0))),"")&lt;&gt;"Location-based"),"Use location factor",IF(M20&lt;&gt;"Actual","Estimation method review","Ready"))))))))))</x:f>
        <x:v>Ready</x:v>
      </x:c>
      <x:c r="W20" s="9" t="str">
        <x:f>IF(C20="","",IFERROR(IF(INDEX('Inventory'!$G$9:$G$108,MATCH(D20,'Inventory'!$C$9:$C$108,0))="","",INDEX('Inventory'!$G$9:$G$108,MATCH(D20,'Inventory'!$C$9:$C$108,0))),""))</x:f>
        <x:v>Egypt</x:v>
      </x:c>
      <x:c r="X20" s="9" t="str">
        <x:f>IF(C20="","",IFERROR(IF(INDEX('Factors'!$P$9:$P$108,MATCH(J20,'Factors'!$C$9:$C$108,0))="","",INDEX('Factors'!$P$9:$P$108,MATCH(J20,'Factors'!$C$9:$C$108,0))),""))</x:f>
        <x:v>Ready</x:v>
      </x:c>
    </x:row>
    <x:row r="21" ht="26" customHeight="1">
      <x:c r="A21" s="1"/>
      <x:c r="B21" s="1"/>
      <x:c r="C21" s="8" t="str">
        <x:v>ACT013</x:v>
      </x:c>
      <x:c r="D21" s="8" t="str">
        <x:v>B003</x:v>
      </x:c>
      <x:c r="E21" s="8" t="str">
        <x:v>S006</x:v>
      </x:c>
      <x:c r="F21" s="8" t="str">
        <x:v>S1</x:v>
      </x:c>
      <x:c r="G21" s="8" t="str">
        <x:v>Diesel</x:v>
      </x:c>
      <x:c r="H21" s="16" t="n">
        <x:v>145000</x:v>
      </x:c>
      <x:c r="I21" s="8" t="str">
        <x:v>litre</x:v>
      </x:c>
      <x:c r="J21" s="8" t="str">
        <x:v>GLOBAL-DIESEL-26</x:v>
      </x:c>
      <x:c r="K21" s="22" t="n">
        <x:v>2026</x:v>
      </x:c>
      <x:c r="L21" s="8" t="str">
        <x:v>SYN-ACT-13</x:v>
      </x:c>
      <x:c r="M21" s="8" t="str">
        <x:v>Actual</x:v>
      </x:c>
      <x:c r="N21" s="40" t="n">
        <x:v>46752</x:v>
      </x:c>
      <x:c r="O21" s="41" t="n">
        <x:f>IF(C21="","",IFERROR(IF(INDEX('Factors'!$G$9:$G$108,MATCH(J21,'Factors'!$C$9:$C$108,0))="","",INDEX('Factors'!$G$9:$G$108,MATCH(J21,'Factors'!$C$9:$C$108,0))),""))</x:f>
        <x:v>2.68</x:v>
      </x:c>
      <x:c r="P21" s="9" t="str">
        <x:f>IF(C21="","",IFERROR(IF(INDEX('Factors'!$F$9:$F$108,MATCH(J21,'Factors'!$C$9:$C$108,0))="","",INDEX('Factors'!$F$9:$F$108,MATCH(J21,'Factors'!$C$9:$C$108,0))),""))</x:f>
        <x:v>litre</x:v>
      </x:c>
      <x:c r="Q21" s="9" t="str">
        <x:f>IF(C21="","",IFERROR(IF(INDEX('Factors'!$H$9:$H$108,MATCH(J21,'Factors'!$C$9:$C$108,0))="","",INDEX('Factors'!$H$9:$H$108,MATCH(J21,'Factors'!$C$9:$C$108,0))),""))</x:f>
        <x:v>S1</x:v>
      </x:c>
      <x:c r="R21" s="9" t="str">
        <x:f>IF(C21="","",IFERROR(IF(INDEX('Factors'!$E$9:$E$108,MATCH(J21,'Factors'!$C$9:$C$108,0))="","",INDEX('Factors'!$E$9:$E$108,MATCH(J21,'Factors'!$C$9:$C$108,0))),""))</x:f>
        <x:v>Global</x:v>
      </x:c>
      <x:c r="S21" s="42" t="n">
        <x:f>IF(C21="","",IFERROR(IF(INDEX('Factors'!$J$9:$J$108,MATCH(J21,'Factors'!$C$9:$C$108,0))="","",INDEX('Factors'!$J$9:$J$108,MATCH(J21,'Factors'!$C$9:$C$108,0))),""))</x:f>
        <x:v>2026</x:v>
      </x:c>
      <x:c r="T21" s="9" t="str">
        <x:f>IF(C21="","",IFERROR(IF(INDEX('Factors'!$L$9:$L$108,MATCH(J21,'Factors'!$C$9:$C$108,0))="","",INDEX('Factors'!$L$9:$L$108,MATCH(J21,'Factors'!$C$9:$C$108,0))),"")&amp;" / "&amp;IFERROR(IF(INDEX('Factors'!$M$9:$M$108,MATCH(J21,'Factors'!$C$9:$C$108,0))="","",INDEX('Factors'!$M$9:$M$108,MATCH(J21,'Factors'!$C$9:$C$108,0))),""))</x:f>
        <x:v>SYNTHETIC DEMO / SYN-2026.1</x:v>
      </x:c>
      <x:c r="U21" s="21" t="n">
        <x:f>IF(V21="Ready",H21*O21/1000,"")</x:f>
        <x:v>388.6</x:v>
      </x:c>
      <x:c r="V21" s="9" t="str">
        <x:f>IF(C21="","",IF(OR(COUNTIFS($C$9:$C$308,C21)&lt;&gt;1,COUNTIFS($D$9:$D$308,D21,$E$9:$E$308,E21,$F$9:$F$308,F21,$G$9:$G$308,G21,$K$9:$K$308,K21)&lt;&gt;1),"Duplicate annual activity",IF(COUNTIFS('Inventory'!$C$9:$C$108,D21)&lt;&gt;1,"Entity required",IF(OR(E21="",L21="",NOT(ISNUMBER(H21)),H21&lt;0,NOT(ISNUMBER(K21)),NOT(ISNUMBER(N21))),"Missing activity input",IF(AND(E21&lt;&gt;D21,OR(COUNTIFS('Sites'!$C$9:$C$108,E21)&lt;&gt;1,IFERROR(IF(INDEX('Sites'!$D$9:$D$108,MATCH(E21,'Sites'!$C$9:$C$108,0))="","",INDEX('Sites'!$D$9:$D$108,MATCH(E21,'Sites'!$C$9:$C$108,0))),"")&lt;&gt;IFERROR(IF(INDEX('Inventory'!$D$9:$D$108,MATCH(D21,'Inventory'!$C$9:$C$108,0))="","",INDEX('Inventory'!$D$9:$D$108,MATCH(D21,'Inventory'!$C$9:$C$108,0))),""),IFERROR(IF(INDEX('Sites'!$E$9:$E$108,MATCH(E21,'Sites'!$C$9:$C$108,0))="","",INDEX('Sites'!$E$9:$E$108,MATCH(E21,'Sites'!$C$9:$C$108,0))),"")&lt;&gt;W21)),"Site / entity mismatch",IF(N21&lt;'Settings'!$F$8,"Expired",IF(X21&lt;&gt;"Ready","Factor required",IF(OR(G21&lt;&gt;IFERROR(IF(INDEX('Factors'!$D$9:$D$108,MATCH(J21,'Factors'!$C$9:$C$108,0))="","",INDEX('Factors'!$D$9:$D$108,MATCH(J21,'Factors'!$C$9:$C$108,0))),""),I21&lt;&gt;P21,F21&lt;&gt;Q21,K21&lt;&gt;S21,AND(R21&lt;&gt;"Global",R21&lt;&gt;W21),K21&lt;&gt;YEAR(IFERROR(IF(INDEX('Inventory'!$H$9:$H$108,MATCH(D21,'Inventory'!$C$9:$C$108,0))="","",INDEX('Inventory'!$H$9:$H$108,MATCH(D21,'Inventory'!$C$9:$C$108,0))),""))),"Factor / boundary mismatch",IF(AND(F21="S2",IFERROR(IF(INDEX('Factors'!$I$9:$I$108,MATCH(J21,'Factors'!$C$9:$C$108,0))="","",INDEX('Factors'!$I$9:$I$108,MATCH(J21,'Factors'!$C$9:$C$108,0))),"")&lt;&gt;"Location-based"),"Use location factor",IF(M21&lt;&gt;"Actual","Estimation method review","Ready"))))))))))</x:f>
        <x:v>Ready</x:v>
      </x:c>
      <x:c r="W21" s="9" t="str">
        <x:f>IF(C21="","",IFERROR(IF(INDEX('Inventory'!$G$9:$G$108,MATCH(D21,'Inventory'!$C$9:$C$108,0))="","",INDEX('Inventory'!$G$9:$G$108,MATCH(D21,'Inventory'!$C$9:$C$108,0))),""))</x:f>
        <x:v>Egypt</x:v>
      </x:c>
      <x:c r="X21" s="9" t="str">
        <x:f>IF(C21="","",IFERROR(IF(INDEX('Factors'!$P$9:$P$108,MATCH(J21,'Factors'!$C$9:$C$108,0))="","",INDEX('Factors'!$P$9:$P$108,MATCH(J21,'Factors'!$C$9:$C$108,0))),""))</x:f>
        <x:v>Ready</x:v>
      </x:c>
    </x:row>
    <x:row r="22" ht="26" customHeight="1">
      <x:c r="A22" s="1"/>
      <x:c r="B22" s="1"/>
      <x:c r="C22" s="8" t="str">
        <x:v>ACT014</x:v>
      </x:c>
      <x:c r="D22" s="8" t="str">
        <x:v>B003</x:v>
      </x:c>
      <x:c r="E22" s="8" t="str">
        <x:v>S006</x:v>
      </x:c>
      <x:c r="F22" s="8" t="str">
        <x:v>S2</x:v>
      </x:c>
      <x:c r="G22" s="8" t="str">
        <x:v>Electricity</x:v>
      </x:c>
      <x:c r="H22" s="16" t="n">
        <x:v>825000</x:v>
      </x:c>
      <x:c r="I22" s="8" t="str">
        <x:v>kWh</x:v>
      </x:c>
      <x:c r="J22" s="8" t="str">
        <x:v>EG-GRID-26</x:v>
      </x:c>
      <x:c r="K22" s="22" t="n">
        <x:v>2026</x:v>
      </x:c>
      <x:c r="L22" s="8" t="str">
        <x:v>SYN-ACT-14</x:v>
      </x:c>
      <x:c r="M22" s="8" t="str">
        <x:v>Actual</x:v>
      </x:c>
      <x:c r="N22" s="40" t="n">
        <x:v>46752</x:v>
      </x:c>
      <x:c r="O22" s="41" t="n">
        <x:f>IF(C22="","",IFERROR(IF(INDEX('Factors'!$G$9:$G$108,MATCH(J22,'Factors'!$C$9:$C$108,0))="","",INDEX('Factors'!$G$9:$G$108,MATCH(J22,'Factors'!$C$9:$C$108,0))),""))</x:f>
        <x:v>0.46</x:v>
      </x:c>
      <x:c r="P22" s="9" t="str">
        <x:f>IF(C22="","",IFERROR(IF(INDEX('Factors'!$F$9:$F$108,MATCH(J22,'Factors'!$C$9:$C$108,0))="","",INDEX('Factors'!$F$9:$F$108,MATCH(J22,'Factors'!$C$9:$C$108,0))),""))</x:f>
        <x:v>kWh</x:v>
      </x:c>
      <x:c r="Q22" s="9" t="str">
        <x:f>IF(C22="","",IFERROR(IF(INDEX('Factors'!$H$9:$H$108,MATCH(J22,'Factors'!$C$9:$C$108,0))="","",INDEX('Factors'!$H$9:$H$108,MATCH(J22,'Factors'!$C$9:$C$108,0))),""))</x:f>
        <x:v>S2</x:v>
      </x:c>
      <x:c r="R22" s="9" t="str">
        <x:f>IF(C22="","",IFERROR(IF(INDEX('Factors'!$E$9:$E$108,MATCH(J22,'Factors'!$C$9:$C$108,0))="","",INDEX('Factors'!$E$9:$E$108,MATCH(J22,'Factors'!$C$9:$C$108,0))),""))</x:f>
        <x:v>Egypt</x:v>
      </x:c>
      <x:c r="S22" s="42" t="n">
        <x:f>IF(C22="","",IFERROR(IF(INDEX('Factors'!$J$9:$J$108,MATCH(J22,'Factors'!$C$9:$C$108,0))="","",INDEX('Factors'!$J$9:$J$108,MATCH(J22,'Factors'!$C$9:$C$108,0))),""))</x:f>
        <x:v>2026</x:v>
      </x:c>
      <x:c r="T22" s="9" t="str">
        <x:f>IF(C22="","",IFERROR(IF(INDEX('Factors'!$L$9:$L$108,MATCH(J22,'Factors'!$C$9:$C$108,0))="","",INDEX('Factors'!$L$9:$L$108,MATCH(J22,'Factors'!$C$9:$C$108,0))),"")&amp;" / "&amp;IFERROR(IF(INDEX('Factors'!$M$9:$M$108,MATCH(J22,'Factors'!$C$9:$C$108,0))="","",INDEX('Factors'!$M$9:$M$108,MATCH(J22,'Factors'!$C$9:$C$108,0))),""))</x:f>
        <x:v>SYNTHETIC DEMO / SYN-2026.1</x:v>
      </x:c>
      <x:c r="U22" s="21" t="n">
        <x:f>IF(V22="Ready",H22*O22/1000,"")</x:f>
        <x:v>379.5</x:v>
      </x:c>
      <x:c r="V22" s="9" t="str">
        <x:f>IF(C22="","",IF(OR(COUNTIFS($C$9:$C$308,C22)&lt;&gt;1,COUNTIFS($D$9:$D$308,D22,$E$9:$E$308,E22,$F$9:$F$308,F22,$G$9:$G$308,G22,$K$9:$K$308,K22)&lt;&gt;1),"Duplicate annual activity",IF(COUNTIFS('Inventory'!$C$9:$C$108,D22)&lt;&gt;1,"Entity required",IF(OR(E22="",L22="",NOT(ISNUMBER(H22)),H22&lt;0,NOT(ISNUMBER(K22)),NOT(ISNUMBER(N22))),"Missing activity input",IF(AND(E22&lt;&gt;D22,OR(COUNTIFS('Sites'!$C$9:$C$108,E22)&lt;&gt;1,IFERROR(IF(INDEX('Sites'!$D$9:$D$108,MATCH(E22,'Sites'!$C$9:$C$108,0))="","",INDEX('Sites'!$D$9:$D$108,MATCH(E22,'Sites'!$C$9:$C$108,0))),"")&lt;&gt;IFERROR(IF(INDEX('Inventory'!$D$9:$D$108,MATCH(D22,'Inventory'!$C$9:$C$108,0))="","",INDEX('Inventory'!$D$9:$D$108,MATCH(D22,'Inventory'!$C$9:$C$108,0))),""),IFERROR(IF(INDEX('Sites'!$E$9:$E$108,MATCH(E22,'Sites'!$C$9:$C$108,0))="","",INDEX('Sites'!$E$9:$E$108,MATCH(E22,'Sites'!$C$9:$C$108,0))),"")&lt;&gt;W22)),"Site / entity mismatch",IF(N22&lt;'Settings'!$F$8,"Expired",IF(X22&lt;&gt;"Ready","Factor required",IF(OR(G22&lt;&gt;IFERROR(IF(INDEX('Factors'!$D$9:$D$108,MATCH(J22,'Factors'!$C$9:$C$108,0))="","",INDEX('Factors'!$D$9:$D$108,MATCH(J22,'Factors'!$C$9:$C$108,0))),""),I22&lt;&gt;P22,F22&lt;&gt;Q22,K22&lt;&gt;S22,AND(R22&lt;&gt;"Global",R22&lt;&gt;W22),K22&lt;&gt;YEAR(IFERROR(IF(INDEX('Inventory'!$H$9:$H$108,MATCH(D22,'Inventory'!$C$9:$C$108,0))="","",INDEX('Inventory'!$H$9:$H$108,MATCH(D22,'Inventory'!$C$9:$C$108,0))),""))),"Factor / boundary mismatch",IF(AND(F22="S2",IFERROR(IF(INDEX('Factors'!$I$9:$I$108,MATCH(J22,'Factors'!$C$9:$C$108,0))="","",INDEX('Factors'!$I$9:$I$108,MATCH(J22,'Factors'!$C$9:$C$108,0))),"")&lt;&gt;"Location-based"),"Use location factor",IF(M22&lt;&gt;"Actual","Estimation method review","Ready"))))))))))</x:f>
        <x:v>Ready</x:v>
      </x:c>
      <x:c r="W22" s="9" t="str">
        <x:f>IF(C22="","",IFERROR(IF(INDEX('Inventory'!$G$9:$G$108,MATCH(D22,'Inventory'!$C$9:$C$108,0))="","",INDEX('Inventory'!$G$9:$G$108,MATCH(D22,'Inventory'!$C$9:$C$108,0))),""))</x:f>
        <x:v>Egypt</x:v>
      </x:c>
      <x:c r="X22" s="9" t="str">
        <x:f>IF(C22="","",IFERROR(IF(INDEX('Factors'!$P$9:$P$108,MATCH(J22,'Factors'!$C$9:$C$108,0))="","",INDEX('Factors'!$P$9:$P$108,MATCH(J22,'Factors'!$C$9:$C$108,0))),""))</x:f>
        <x:v>Ready</x:v>
      </x:c>
    </x:row>
    <x:row r="23" ht="26" customHeight="1">
      <x:c r="A23" s="1"/>
      <x:c r="B23" s="1"/>
      <x:c r="C23" s="8" t="str">
        <x:v>ACT015</x:v>
      </x:c>
      <x:c r="D23" s="8" t="str">
        <x:v>B004</x:v>
      </x:c>
      <x:c r="E23" s="8" t="str">
        <x:v>S007</x:v>
      </x:c>
      <x:c r="F23" s="8" t="str">
        <x:v>S1</x:v>
      </x:c>
      <x:c r="G23" s="8" t="str">
        <x:v>Diesel</x:v>
      </x:c>
      <x:c r="H23" s="16" t="n">
        <x:v>154000</x:v>
      </x:c>
      <x:c r="I23" s="8" t="str">
        <x:v>litre</x:v>
      </x:c>
      <x:c r="J23" s="8" t="str">
        <x:v>GLOBAL-DIESEL-26</x:v>
      </x:c>
      <x:c r="K23" s="22" t="n">
        <x:v>2026</x:v>
      </x:c>
      <x:c r="L23" s="8" t="str">
        <x:v>SYN-ACT-15</x:v>
      </x:c>
      <x:c r="M23" s="8" t="str">
        <x:v>Actual</x:v>
      </x:c>
      <x:c r="N23" s="40" t="n">
        <x:v>46752</x:v>
      </x:c>
      <x:c r="O23" s="41" t="n">
        <x:f>IF(C23="","",IFERROR(IF(INDEX('Factors'!$G$9:$G$108,MATCH(J23,'Factors'!$C$9:$C$108,0))="","",INDEX('Factors'!$G$9:$G$108,MATCH(J23,'Factors'!$C$9:$C$108,0))),""))</x:f>
        <x:v>2.68</x:v>
      </x:c>
      <x:c r="P23" s="9" t="str">
        <x:f>IF(C23="","",IFERROR(IF(INDEX('Factors'!$F$9:$F$108,MATCH(J23,'Factors'!$C$9:$C$108,0))="","",INDEX('Factors'!$F$9:$F$108,MATCH(J23,'Factors'!$C$9:$C$108,0))),""))</x:f>
        <x:v>litre</x:v>
      </x:c>
      <x:c r="Q23" s="9" t="str">
        <x:f>IF(C23="","",IFERROR(IF(INDEX('Factors'!$H$9:$H$108,MATCH(J23,'Factors'!$C$9:$C$108,0))="","",INDEX('Factors'!$H$9:$H$108,MATCH(J23,'Factors'!$C$9:$C$108,0))),""))</x:f>
        <x:v>S1</x:v>
      </x:c>
      <x:c r="R23" s="9" t="str">
        <x:f>IF(C23="","",IFERROR(IF(INDEX('Factors'!$E$9:$E$108,MATCH(J23,'Factors'!$C$9:$C$108,0))="","",INDEX('Factors'!$E$9:$E$108,MATCH(J23,'Factors'!$C$9:$C$108,0))),""))</x:f>
        <x:v>Global</x:v>
      </x:c>
      <x:c r="S23" s="42" t="n">
        <x:f>IF(C23="","",IFERROR(IF(INDEX('Factors'!$J$9:$J$108,MATCH(J23,'Factors'!$C$9:$C$108,0))="","",INDEX('Factors'!$J$9:$J$108,MATCH(J23,'Factors'!$C$9:$C$108,0))),""))</x:f>
        <x:v>2026</x:v>
      </x:c>
      <x:c r="T23" s="9" t="str">
        <x:f>IF(C23="","",IFERROR(IF(INDEX('Factors'!$L$9:$L$108,MATCH(J23,'Factors'!$C$9:$C$108,0))="","",INDEX('Factors'!$L$9:$L$108,MATCH(J23,'Factors'!$C$9:$C$108,0))),"")&amp;" / "&amp;IFERROR(IF(INDEX('Factors'!$M$9:$M$108,MATCH(J23,'Factors'!$C$9:$C$108,0))="","",INDEX('Factors'!$M$9:$M$108,MATCH(J23,'Factors'!$C$9:$C$108,0))),""))</x:f>
        <x:v>SYNTHETIC DEMO / SYN-2026.1</x:v>
      </x:c>
      <x:c r="U23" s="21" t="n">
        <x:f>IF(V23="Ready",H23*O23/1000,"")</x:f>
        <x:v>412.72</x:v>
      </x:c>
      <x:c r="V23" s="9" t="str">
        <x:f>IF(C23="","",IF(OR(COUNTIFS($C$9:$C$308,C23)&lt;&gt;1,COUNTIFS($D$9:$D$308,D23,$E$9:$E$308,E23,$F$9:$F$308,F23,$G$9:$G$308,G23,$K$9:$K$308,K23)&lt;&gt;1),"Duplicate annual activity",IF(COUNTIFS('Inventory'!$C$9:$C$108,D23)&lt;&gt;1,"Entity required",IF(OR(E23="",L23="",NOT(ISNUMBER(H23)),H23&lt;0,NOT(ISNUMBER(K23)),NOT(ISNUMBER(N23))),"Missing activity input",IF(AND(E23&lt;&gt;D23,OR(COUNTIFS('Sites'!$C$9:$C$108,E23)&lt;&gt;1,IFERROR(IF(INDEX('Sites'!$D$9:$D$108,MATCH(E23,'Sites'!$C$9:$C$108,0))="","",INDEX('Sites'!$D$9:$D$108,MATCH(E23,'Sites'!$C$9:$C$108,0))),"")&lt;&gt;IFERROR(IF(INDEX('Inventory'!$D$9:$D$108,MATCH(D23,'Inventory'!$C$9:$C$108,0))="","",INDEX('Inventory'!$D$9:$D$108,MATCH(D23,'Inventory'!$C$9:$C$108,0))),""),IFERROR(IF(INDEX('Sites'!$E$9:$E$108,MATCH(E23,'Sites'!$C$9:$C$108,0))="","",INDEX('Sites'!$E$9:$E$108,MATCH(E23,'Sites'!$C$9:$C$108,0))),"")&lt;&gt;W23)),"Site / entity mismatch",IF(N23&lt;'Settings'!$F$8,"Expired",IF(X23&lt;&gt;"Ready","Factor required",IF(OR(G23&lt;&gt;IFERROR(IF(INDEX('Factors'!$D$9:$D$108,MATCH(J23,'Factors'!$C$9:$C$108,0))="","",INDEX('Factors'!$D$9:$D$108,MATCH(J23,'Factors'!$C$9:$C$108,0))),""),I23&lt;&gt;P23,F23&lt;&gt;Q23,K23&lt;&gt;S23,AND(R23&lt;&gt;"Global",R23&lt;&gt;W23),K23&lt;&gt;YEAR(IFERROR(IF(INDEX('Inventory'!$H$9:$H$108,MATCH(D23,'Inventory'!$C$9:$C$108,0))="","",INDEX('Inventory'!$H$9:$H$108,MATCH(D23,'Inventory'!$C$9:$C$108,0))),""))),"Factor / boundary mismatch",IF(AND(F23="S2",IFERROR(IF(INDEX('Factors'!$I$9:$I$108,MATCH(J23,'Factors'!$C$9:$C$108,0))="","",INDEX('Factors'!$I$9:$I$108,MATCH(J23,'Factors'!$C$9:$C$108,0))),"")&lt;&gt;"Location-based"),"Use location factor",IF(M23&lt;&gt;"Actual","Estimation method review","Ready"))))))))))</x:f>
        <x:v>Ready</x:v>
      </x:c>
      <x:c r="W23" s="9" t="str">
        <x:f>IF(C23="","",IFERROR(IF(INDEX('Inventory'!$G$9:$G$108,MATCH(D23,'Inventory'!$C$9:$C$108,0))="","",INDEX('Inventory'!$G$9:$G$108,MATCH(D23,'Inventory'!$C$9:$C$108,0))),""))</x:f>
        <x:v>Egypt</x:v>
      </x:c>
      <x:c r="X23" s="9" t="str">
        <x:f>IF(C23="","",IFERROR(IF(INDEX('Factors'!$P$9:$P$108,MATCH(J23,'Factors'!$C$9:$C$108,0))="","",INDEX('Factors'!$P$9:$P$108,MATCH(J23,'Factors'!$C$9:$C$108,0))),""))</x:f>
        <x:v>Ready</x:v>
      </x:c>
    </x:row>
    <x:row r="24" ht="26" customHeight="1">
      <x:c r="A24" s="1"/>
      <x:c r="B24" s="1"/>
      <x:c r="C24" s="8" t="str">
        <x:v>ACT016</x:v>
      </x:c>
      <x:c r="D24" s="8" t="str">
        <x:v>B004</x:v>
      </x:c>
      <x:c r="E24" s="8" t="str">
        <x:v>S007</x:v>
      </x:c>
      <x:c r="F24" s="8" t="str">
        <x:v>S2</x:v>
      </x:c>
      <x:c r="G24" s="8" t="str">
        <x:v>Electricity</x:v>
      </x:c>
      <x:c r="H24" s="16" t="n">
        <x:v>850000</x:v>
      </x:c>
      <x:c r="I24" s="8" t="str">
        <x:v>kWh</x:v>
      </x:c>
      <x:c r="J24" s="8" t="str">
        <x:v>EG-GRID-26</x:v>
      </x:c>
      <x:c r="K24" s="22" t="n">
        <x:v>2026</x:v>
      </x:c>
      <x:c r="L24" s="8" t="str">
        <x:v>SYN-ACT-16</x:v>
      </x:c>
      <x:c r="M24" s="8" t="str">
        <x:v>Actual</x:v>
      </x:c>
      <x:c r="N24" s="40" t="n">
        <x:v>46752</x:v>
      </x:c>
      <x:c r="O24" s="41" t="n">
        <x:f>IF(C24="","",IFERROR(IF(INDEX('Factors'!$G$9:$G$108,MATCH(J24,'Factors'!$C$9:$C$108,0))="","",INDEX('Factors'!$G$9:$G$108,MATCH(J24,'Factors'!$C$9:$C$108,0))),""))</x:f>
        <x:v>0.46</x:v>
      </x:c>
      <x:c r="P24" s="9" t="str">
        <x:f>IF(C24="","",IFERROR(IF(INDEX('Factors'!$F$9:$F$108,MATCH(J24,'Factors'!$C$9:$C$108,0))="","",INDEX('Factors'!$F$9:$F$108,MATCH(J24,'Factors'!$C$9:$C$108,0))),""))</x:f>
        <x:v>kWh</x:v>
      </x:c>
      <x:c r="Q24" s="9" t="str">
        <x:f>IF(C24="","",IFERROR(IF(INDEX('Factors'!$H$9:$H$108,MATCH(J24,'Factors'!$C$9:$C$108,0))="","",INDEX('Factors'!$H$9:$H$108,MATCH(J24,'Factors'!$C$9:$C$108,0))),""))</x:f>
        <x:v>S2</x:v>
      </x:c>
      <x:c r="R24" s="9" t="str">
        <x:f>IF(C24="","",IFERROR(IF(INDEX('Factors'!$E$9:$E$108,MATCH(J24,'Factors'!$C$9:$C$108,0))="","",INDEX('Factors'!$E$9:$E$108,MATCH(J24,'Factors'!$C$9:$C$108,0))),""))</x:f>
        <x:v>Egypt</x:v>
      </x:c>
      <x:c r="S24" s="42" t="n">
        <x:f>IF(C24="","",IFERROR(IF(INDEX('Factors'!$J$9:$J$108,MATCH(J24,'Factors'!$C$9:$C$108,0))="","",INDEX('Factors'!$J$9:$J$108,MATCH(J24,'Factors'!$C$9:$C$108,0))),""))</x:f>
        <x:v>2026</x:v>
      </x:c>
      <x:c r="T24" s="9" t="str">
        <x:f>IF(C24="","",IFERROR(IF(INDEX('Factors'!$L$9:$L$108,MATCH(J24,'Factors'!$C$9:$C$108,0))="","",INDEX('Factors'!$L$9:$L$108,MATCH(J24,'Factors'!$C$9:$C$108,0))),"")&amp;" / "&amp;IFERROR(IF(INDEX('Factors'!$M$9:$M$108,MATCH(J24,'Factors'!$C$9:$C$108,0))="","",INDEX('Factors'!$M$9:$M$108,MATCH(J24,'Factors'!$C$9:$C$108,0))),""))</x:f>
        <x:v>SYNTHETIC DEMO / SYN-2026.1</x:v>
      </x:c>
      <x:c r="U24" s="21" t="n">
        <x:f>IF(V24="Ready",H24*O24/1000,"")</x:f>
        <x:v>391</x:v>
      </x:c>
      <x:c r="V24" s="9" t="str">
        <x:f>IF(C24="","",IF(OR(COUNTIFS($C$9:$C$308,C24)&lt;&gt;1,COUNTIFS($D$9:$D$308,D24,$E$9:$E$308,E24,$F$9:$F$308,F24,$G$9:$G$308,G24,$K$9:$K$308,K24)&lt;&gt;1),"Duplicate annual activity",IF(COUNTIFS('Inventory'!$C$9:$C$108,D24)&lt;&gt;1,"Entity required",IF(OR(E24="",L24="",NOT(ISNUMBER(H24)),H24&lt;0,NOT(ISNUMBER(K24)),NOT(ISNUMBER(N24))),"Missing activity input",IF(AND(E24&lt;&gt;D24,OR(COUNTIFS('Sites'!$C$9:$C$108,E24)&lt;&gt;1,IFERROR(IF(INDEX('Sites'!$D$9:$D$108,MATCH(E24,'Sites'!$C$9:$C$108,0))="","",INDEX('Sites'!$D$9:$D$108,MATCH(E24,'Sites'!$C$9:$C$108,0))),"")&lt;&gt;IFERROR(IF(INDEX('Inventory'!$D$9:$D$108,MATCH(D24,'Inventory'!$C$9:$C$108,0))="","",INDEX('Inventory'!$D$9:$D$108,MATCH(D24,'Inventory'!$C$9:$C$108,0))),""),IFERROR(IF(INDEX('Sites'!$E$9:$E$108,MATCH(E24,'Sites'!$C$9:$C$108,0))="","",INDEX('Sites'!$E$9:$E$108,MATCH(E24,'Sites'!$C$9:$C$108,0))),"")&lt;&gt;W24)),"Site / entity mismatch",IF(N24&lt;'Settings'!$F$8,"Expired",IF(X24&lt;&gt;"Ready","Factor required",IF(OR(G24&lt;&gt;IFERROR(IF(INDEX('Factors'!$D$9:$D$108,MATCH(J24,'Factors'!$C$9:$C$108,0))="","",INDEX('Factors'!$D$9:$D$108,MATCH(J24,'Factors'!$C$9:$C$108,0))),""),I24&lt;&gt;P24,F24&lt;&gt;Q24,K24&lt;&gt;S24,AND(R24&lt;&gt;"Global",R24&lt;&gt;W24),K24&lt;&gt;YEAR(IFERROR(IF(INDEX('Inventory'!$H$9:$H$108,MATCH(D24,'Inventory'!$C$9:$C$108,0))="","",INDEX('Inventory'!$H$9:$H$108,MATCH(D24,'Inventory'!$C$9:$C$108,0))),""))),"Factor / boundary mismatch",IF(AND(F24="S2",IFERROR(IF(INDEX('Factors'!$I$9:$I$108,MATCH(J24,'Factors'!$C$9:$C$108,0))="","",INDEX('Factors'!$I$9:$I$108,MATCH(J24,'Factors'!$C$9:$C$108,0))),"")&lt;&gt;"Location-based"),"Use location factor",IF(M24&lt;&gt;"Actual","Estimation method review","Ready"))))))))))</x:f>
        <x:v>Ready</x:v>
      </x:c>
      <x:c r="W24" s="9" t="str">
        <x:f>IF(C24="","",IFERROR(IF(INDEX('Inventory'!$G$9:$G$108,MATCH(D24,'Inventory'!$C$9:$C$108,0))="","",INDEX('Inventory'!$G$9:$G$108,MATCH(D24,'Inventory'!$C$9:$C$108,0))),""))</x:f>
        <x:v>Egypt</x:v>
      </x:c>
      <x:c r="X24" s="9" t="str">
        <x:f>IF(C24="","",IFERROR(IF(INDEX('Factors'!$P$9:$P$108,MATCH(J24,'Factors'!$C$9:$C$108,0))="","",INDEX('Factors'!$P$9:$P$108,MATCH(J24,'Factors'!$C$9:$C$108,0))),""))</x:f>
        <x:v>Ready</x:v>
      </x:c>
    </x:row>
    <x:row r="25" ht="26" customHeight="1">
      <x:c r="A25" s="1"/>
      <x:c r="B25" s="1"/>
      <x:c r="C25" s="8" t="str">
        <x:v>ACT017</x:v>
      </x:c>
      <x:c r="D25" s="8" t="str">
        <x:v>B004</x:v>
      </x:c>
      <x:c r="E25" s="8" t="str">
        <x:v>S008</x:v>
      </x:c>
      <x:c r="F25" s="8" t="str">
        <x:v>S1</x:v>
      </x:c>
      <x:c r="G25" s="8" t="str">
        <x:v>Diesel</x:v>
      </x:c>
      <x:c r="H25" s="16" t="n">
        <x:v>163000</x:v>
      </x:c>
      <x:c r="I25" s="8" t="str">
        <x:v>litre</x:v>
      </x:c>
      <x:c r="J25" s="8" t="str">
        <x:v>GLOBAL-DIESEL-26</x:v>
      </x:c>
      <x:c r="K25" s="22" t="n">
        <x:v>2026</x:v>
      </x:c>
      <x:c r="L25" s="8" t="str">
        <x:v>SYN-ACT-17</x:v>
      </x:c>
      <x:c r="M25" s="8" t="str">
        <x:v>Actual</x:v>
      </x:c>
      <x:c r="N25" s="40" t="n">
        <x:v>46752</x:v>
      </x:c>
      <x:c r="O25" s="41" t="n">
        <x:f>IF(C25="","",IFERROR(IF(INDEX('Factors'!$G$9:$G$108,MATCH(J25,'Factors'!$C$9:$C$108,0))="","",INDEX('Factors'!$G$9:$G$108,MATCH(J25,'Factors'!$C$9:$C$108,0))),""))</x:f>
        <x:v>2.68</x:v>
      </x:c>
      <x:c r="P25" s="9" t="str">
        <x:f>IF(C25="","",IFERROR(IF(INDEX('Factors'!$F$9:$F$108,MATCH(J25,'Factors'!$C$9:$C$108,0))="","",INDEX('Factors'!$F$9:$F$108,MATCH(J25,'Factors'!$C$9:$C$108,0))),""))</x:f>
        <x:v>litre</x:v>
      </x:c>
      <x:c r="Q25" s="9" t="str">
        <x:f>IF(C25="","",IFERROR(IF(INDEX('Factors'!$H$9:$H$108,MATCH(J25,'Factors'!$C$9:$C$108,0))="","",INDEX('Factors'!$H$9:$H$108,MATCH(J25,'Factors'!$C$9:$C$108,0))),""))</x:f>
        <x:v>S1</x:v>
      </x:c>
      <x:c r="R25" s="9" t="str">
        <x:f>IF(C25="","",IFERROR(IF(INDEX('Factors'!$E$9:$E$108,MATCH(J25,'Factors'!$C$9:$C$108,0))="","",INDEX('Factors'!$E$9:$E$108,MATCH(J25,'Factors'!$C$9:$C$108,0))),""))</x:f>
        <x:v>Global</x:v>
      </x:c>
      <x:c r="S25" s="42" t="n">
        <x:f>IF(C25="","",IFERROR(IF(INDEX('Factors'!$J$9:$J$108,MATCH(J25,'Factors'!$C$9:$C$108,0))="","",INDEX('Factors'!$J$9:$J$108,MATCH(J25,'Factors'!$C$9:$C$108,0))),""))</x:f>
        <x:v>2026</x:v>
      </x:c>
      <x:c r="T25" s="9" t="str">
        <x:f>IF(C25="","",IFERROR(IF(INDEX('Factors'!$L$9:$L$108,MATCH(J25,'Factors'!$C$9:$C$108,0))="","",INDEX('Factors'!$L$9:$L$108,MATCH(J25,'Factors'!$C$9:$C$108,0))),"")&amp;" / "&amp;IFERROR(IF(INDEX('Factors'!$M$9:$M$108,MATCH(J25,'Factors'!$C$9:$C$108,0))="","",INDEX('Factors'!$M$9:$M$108,MATCH(J25,'Factors'!$C$9:$C$108,0))),""))</x:f>
        <x:v>SYNTHETIC DEMO / SYN-2026.1</x:v>
      </x:c>
      <x:c r="U25" s="21" t="n">
        <x:f>IF(V25="Ready",H25*O25/1000,"")</x:f>
        <x:v>436.84</x:v>
      </x:c>
      <x:c r="V25" s="9" t="str">
        <x:f>IF(C25="","",IF(OR(COUNTIFS($C$9:$C$308,C25)&lt;&gt;1,COUNTIFS($D$9:$D$308,D25,$E$9:$E$308,E25,$F$9:$F$308,F25,$G$9:$G$308,G25,$K$9:$K$308,K25)&lt;&gt;1),"Duplicate annual activity",IF(COUNTIFS('Inventory'!$C$9:$C$108,D25)&lt;&gt;1,"Entity required",IF(OR(E25="",L25="",NOT(ISNUMBER(H25)),H25&lt;0,NOT(ISNUMBER(K25)),NOT(ISNUMBER(N25))),"Missing activity input",IF(AND(E25&lt;&gt;D25,OR(COUNTIFS('Sites'!$C$9:$C$108,E25)&lt;&gt;1,IFERROR(IF(INDEX('Sites'!$D$9:$D$108,MATCH(E25,'Sites'!$C$9:$C$108,0))="","",INDEX('Sites'!$D$9:$D$108,MATCH(E25,'Sites'!$C$9:$C$108,0))),"")&lt;&gt;IFERROR(IF(INDEX('Inventory'!$D$9:$D$108,MATCH(D25,'Inventory'!$C$9:$C$108,0))="","",INDEX('Inventory'!$D$9:$D$108,MATCH(D25,'Inventory'!$C$9:$C$108,0))),""),IFERROR(IF(INDEX('Sites'!$E$9:$E$108,MATCH(E25,'Sites'!$C$9:$C$108,0))="","",INDEX('Sites'!$E$9:$E$108,MATCH(E25,'Sites'!$C$9:$C$108,0))),"")&lt;&gt;W25)),"Site / entity mismatch",IF(N25&lt;'Settings'!$F$8,"Expired",IF(X25&lt;&gt;"Ready","Factor required",IF(OR(G25&lt;&gt;IFERROR(IF(INDEX('Factors'!$D$9:$D$108,MATCH(J25,'Factors'!$C$9:$C$108,0))="","",INDEX('Factors'!$D$9:$D$108,MATCH(J25,'Factors'!$C$9:$C$108,0))),""),I25&lt;&gt;P25,F25&lt;&gt;Q25,K25&lt;&gt;S25,AND(R25&lt;&gt;"Global",R25&lt;&gt;W25),K25&lt;&gt;YEAR(IFERROR(IF(INDEX('Inventory'!$H$9:$H$108,MATCH(D25,'Inventory'!$C$9:$C$108,0))="","",INDEX('Inventory'!$H$9:$H$108,MATCH(D25,'Inventory'!$C$9:$C$108,0))),""))),"Factor / boundary mismatch",IF(AND(F25="S2",IFERROR(IF(INDEX('Factors'!$I$9:$I$108,MATCH(J25,'Factors'!$C$9:$C$108,0))="","",INDEX('Factors'!$I$9:$I$108,MATCH(J25,'Factors'!$C$9:$C$108,0))),"")&lt;&gt;"Location-based"),"Use location factor",IF(M25&lt;&gt;"Actual","Estimation method review","Ready"))))))))))</x:f>
        <x:v>Ready</x:v>
      </x:c>
      <x:c r="W25" s="9" t="str">
        <x:f>IF(C25="","",IFERROR(IF(INDEX('Inventory'!$G$9:$G$108,MATCH(D25,'Inventory'!$C$9:$C$108,0))="","",INDEX('Inventory'!$G$9:$G$108,MATCH(D25,'Inventory'!$C$9:$C$108,0))),""))</x:f>
        <x:v>Egypt</x:v>
      </x:c>
      <x:c r="X25" s="9" t="str">
        <x:f>IF(C25="","",IFERROR(IF(INDEX('Factors'!$P$9:$P$108,MATCH(J25,'Factors'!$C$9:$C$108,0))="","",INDEX('Factors'!$P$9:$P$108,MATCH(J25,'Factors'!$C$9:$C$108,0))),""))</x:f>
        <x:v>Ready</x:v>
      </x:c>
    </x:row>
    <x:row r="26" ht="26" customHeight="1">
      <x:c r="A26" s="1"/>
      <x:c r="B26" s="1"/>
      <x:c r="C26" s="8" t="str">
        <x:v>ACT018</x:v>
      </x:c>
      <x:c r="D26" s="8" t="str">
        <x:v>B004</x:v>
      </x:c>
      <x:c r="E26" s="8" t="str">
        <x:v>S008</x:v>
      </x:c>
      <x:c r="F26" s="8" t="str">
        <x:v>S2</x:v>
      </x:c>
      <x:c r="G26" s="8" t="str">
        <x:v>Electricity</x:v>
      </x:c>
      <x:c r="H26" s="16" t="n">
        <x:v>875000</x:v>
      </x:c>
      <x:c r="I26" s="8" t="str">
        <x:v>kWh</x:v>
      </x:c>
      <x:c r="J26" s="8" t="str">
        <x:v>EG-GRID-26</x:v>
      </x:c>
      <x:c r="K26" s="22" t="n">
        <x:v>2026</x:v>
      </x:c>
      <x:c r="L26" s="8" t="str">
        <x:v>SYN-ACT-18</x:v>
      </x:c>
      <x:c r="M26" s="8" t="str">
        <x:v>Actual</x:v>
      </x:c>
      <x:c r="N26" s="40" t="n">
        <x:v>46752</x:v>
      </x:c>
      <x:c r="O26" s="41" t="n">
        <x:f>IF(C26="","",IFERROR(IF(INDEX('Factors'!$G$9:$G$108,MATCH(J26,'Factors'!$C$9:$C$108,0))="","",INDEX('Factors'!$G$9:$G$108,MATCH(J26,'Factors'!$C$9:$C$108,0))),""))</x:f>
        <x:v>0.46</x:v>
      </x:c>
      <x:c r="P26" s="9" t="str">
        <x:f>IF(C26="","",IFERROR(IF(INDEX('Factors'!$F$9:$F$108,MATCH(J26,'Factors'!$C$9:$C$108,0))="","",INDEX('Factors'!$F$9:$F$108,MATCH(J26,'Factors'!$C$9:$C$108,0))),""))</x:f>
        <x:v>kWh</x:v>
      </x:c>
      <x:c r="Q26" s="9" t="str">
        <x:f>IF(C26="","",IFERROR(IF(INDEX('Factors'!$H$9:$H$108,MATCH(J26,'Factors'!$C$9:$C$108,0))="","",INDEX('Factors'!$H$9:$H$108,MATCH(J26,'Factors'!$C$9:$C$108,0))),""))</x:f>
        <x:v>S2</x:v>
      </x:c>
      <x:c r="R26" s="9" t="str">
        <x:f>IF(C26="","",IFERROR(IF(INDEX('Factors'!$E$9:$E$108,MATCH(J26,'Factors'!$C$9:$C$108,0))="","",INDEX('Factors'!$E$9:$E$108,MATCH(J26,'Factors'!$C$9:$C$108,0))),""))</x:f>
        <x:v>Egypt</x:v>
      </x:c>
      <x:c r="S26" s="42" t="n">
        <x:f>IF(C26="","",IFERROR(IF(INDEX('Factors'!$J$9:$J$108,MATCH(J26,'Factors'!$C$9:$C$108,0))="","",INDEX('Factors'!$J$9:$J$108,MATCH(J26,'Factors'!$C$9:$C$108,0))),""))</x:f>
        <x:v>2026</x:v>
      </x:c>
      <x:c r="T26" s="9" t="str">
        <x:f>IF(C26="","",IFERROR(IF(INDEX('Factors'!$L$9:$L$108,MATCH(J26,'Factors'!$C$9:$C$108,0))="","",INDEX('Factors'!$L$9:$L$108,MATCH(J26,'Factors'!$C$9:$C$108,0))),"")&amp;" / "&amp;IFERROR(IF(INDEX('Factors'!$M$9:$M$108,MATCH(J26,'Factors'!$C$9:$C$108,0))="","",INDEX('Factors'!$M$9:$M$108,MATCH(J26,'Factors'!$C$9:$C$108,0))),""))</x:f>
        <x:v>SYNTHETIC DEMO / SYN-2026.1</x:v>
      </x:c>
      <x:c r="U26" s="21" t="n">
        <x:f>IF(V26="Ready",H26*O26/1000,"")</x:f>
        <x:v>402.5</x:v>
      </x:c>
      <x:c r="V26" s="9" t="str">
        <x:f>IF(C26="","",IF(OR(COUNTIFS($C$9:$C$308,C26)&lt;&gt;1,COUNTIFS($D$9:$D$308,D26,$E$9:$E$308,E26,$F$9:$F$308,F26,$G$9:$G$308,G26,$K$9:$K$308,K26)&lt;&gt;1),"Duplicate annual activity",IF(COUNTIFS('Inventory'!$C$9:$C$108,D26)&lt;&gt;1,"Entity required",IF(OR(E26="",L26="",NOT(ISNUMBER(H26)),H26&lt;0,NOT(ISNUMBER(K26)),NOT(ISNUMBER(N26))),"Missing activity input",IF(AND(E26&lt;&gt;D26,OR(COUNTIFS('Sites'!$C$9:$C$108,E26)&lt;&gt;1,IFERROR(IF(INDEX('Sites'!$D$9:$D$108,MATCH(E26,'Sites'!$C$9:$C$108,0))="","",INDEX('Sites'!$D$9:$D$108,MATCH(E26,'Sites'!$C$9:$C$108,0))),"")&lt;&gt;IFERROR(IF(INDEX('Inventory'!$D$9:$D$108,MATCH(D26,'Inventory'!$C$9:$C$108,0))="","",INDEX('Inventory'!$D$9:$D$108,MATCH(D26,'Inventory'!$C$9:$C$108,0))),""),IFERROR(IF(INDEX('Sites'!$E$9:$E$108,MATCH(E26,'Sites'!$C$9:$C$108,0))="","",INDEX('Sites'!$E$9:$E$108,MATCH(E26,'Sites'!$C$9:$C$108,0))),"")&lt;&gt;W26)),"Site / entity mismatch",IF(N26&lt;'Settings'!$F$8,"Expired",IF(X26&lt;&gt;"Ready","Factor required",IF(OR(G26&lt;&gt;IFERROR(IF(INDEX('Factors'!$D$9:$D$108,MATCH(J26,'Factors'!$C$9:$C$108,0))="","",INDEX('Factors'!$D$9:$D$108,MATCH(J26,'Factors'!$C$9:$C$108,0))),""),I26&lt;&gt;P26,F26&lt;&gt;Q26,K26&lt;&gt;S26,AND(R26&lt;&gt;"Global",R26&lt;&gt;W26),K26&lt;&gt;YEAR(IFERROR(IF(INDEX('Inventory'!$H$9:$H$108,MATCH(D26,'Inventory'!$C$9:$C$108,0))="","",INDEX('Inventory'!$H$9:$H$108,MATCH(D26,'Inventory'!$C$9:$C$108,0))),""))),"Factor / boundary mismatch",IF(AND(F26="S2",IFERROR(IF(INDEX('Factors'!$I$9:$I$108,MATCH(J26,'Factors'!$C$9:$C$108,0))="","",INDEX('Factors'!$I$9:$I$108,MATCH(J26,'Factors'!$C$9:$C$108,0))),"")&lt;&gt;"Location-based"),"Use location factor",IF(M26&lt;&gt;"Actual","Estimation method review","Ready"))))))))))</x:f>
        <x:v>Ready</x:v>
      </x:c>
      <x:c r="W26" s="9" t="str">
        <x:f>IF(C26="","",IFERROR(IF(INDEX('Inventory'!$G$9:$G$108,MATCH(D26,'Inventory'!$C$9:$C$108,0))="","",INDEX('Inventory'!$G$9:$G$108,MATCH(D26,'Inventory'!$C$9:$C$108,0))),""))</x:f>
        <x:v>Egypt</x:v>
      </x:c>
      <x:c r="X26" s="9" t="str">
        <x:f>IF(C26="","",IFERROR(IF(INDEX('Factors'!$P$9:$P$108,MATCH(J26,'Factors'!$C$9:$C$108,0))="","",INDEX('Factors'!$P$9:$P$108,MATCH(J26,'Factors'!$C$9:$C$108,0))),""))</x:f>
        <x:v>Ready</x:v>
      </x:c>
    </x:row>
    <x:row r="27" ht="26" customHeight="1">
      <x:c r="A27" s="1"/>
      <x:c r="B27" s="1"/>
      <x:c r="C27" s="8" t="str">
        <x:v>ACT019</x:v>
      </x:c>
      <x:c r="D27" s="8" t="str">
        <x:v>B005</x:v>
      </x:c>
      <x:c r="E27" s="8" t="str">
        <x:v>S009</x:v>
      </x:c>
      <x:c r="F27" s="8" t="str">
        <x:v>S1</x:v>
      </x:c>
      <x:c r="G27" s="8" t="str">
        <x:v>Diesel</x:v>
      </x:c>
      <x:c r="H27" s="16" t="n">
        <x:v>172000</x:v>
      </x:c>
      <x:c r="I27" s="8" t="str">
        <x:v>litre</x:v>
      </x:c>
      <x:c r="J27" s="8" t="str">
        <x:v>GLOBAL-DIESEL-26</x:v>
      </x:c>
      <x:c r="K27" s="22" t="n">
        <x:v>2026</x:v>
      </x:c>
      <x:c r="L27" s="8" t="str">
        <x:v>SYN-ACT-19</x:v>
      </x:c>
      <x:c r="M27" s="8" t="str">
        <x:v>Actual</x:v>
      </x:c>
      <x:c r="N27" s="40" t="n">
        <x:v>46752</x:v>
      </x:c>
      <x:c r="O27" s="41" t="n">
        <x:f>IF(C27="","",IFERROR(IF(INDEX('Factors'!$G$9:$G$108,MATCH(J27,'Factors'!$C$9:$C$108,0))="","",INDEX('Factors'!$G$9:$G$108,MATCH(J27,'Factors'!$C$9:$C$108,0))),""))</x:f>
        <x:v>2.68</x:v>
      </x:c>
      <x:c r="P27" s="9" t="str">
        <x:f>IF(C27="","",IFERROR(IF(INDEX('Factors'!$F$9:$F$108,MATCH(J27,'Factors'!$C$9:$C$108,0))="","",INDEX('Factors'!$F$9:$F$108,MATCH(J27,'Factors'!$C$9:$C$108,0))),""))</x:f>
        <x:v>litre</x:v>
      </x:c>
      <x:c r="Q27" s="9" t="str">
        <x:f>IF(C27="","",IFERROR(IF(INDEX('Factors'!$H$9:$H$108,MATCH(J27,'Factors'!$C$9:$C$108,0))="","",INDEX('Factors'!$H$9:$H$108,MATCH(J27,'Factors'!$C$9:$C$108,0))),""))</x:f>
        <x:v>S1</x:v>
      </x:c>
      <x:c r="R27" s="9" t="str">
        <x:f>IF(C27="","",IFERROR(IF(INDEX('Factors'!$E$9:$E$108,MATCH(J27,'Factors'!$C$9:$C$108,0))="","",INDEX('Factors'!$E$9:$E$108,MATCH(J27,'Factors'!$C$9:$C$108,0))),""))</x:f>
        <x:v>Global</x:v>
      </x:c>
      <x:c r="S27" s="42" t="n">
        <x:f>IF(C27="","",IFERROR(IF(INDEX('Factors'!$J$9:$J$108,MATCH(J27,'Factors'!$C$9:$C$108,0))="","",INDEX('Factors'!$J$9:$J$108,MATCH(J27,'Factors'!$C$9:$C$108,0))),""))</x:f>
        <x:v>2026</x:v>
      </x:c>
      <x:c r="T27" s="9" t="str">
        <x:f>IF(C27="","",IFERROR(IF(INDEX('Factors'!$L$9:$L$108,MATCH(J27,'Factors'!$C$9:$C$108,0))="","",INDEX('Factors'!$L$9:$L$108,MATCH(J27,'Factors'!$C$9:$C$108,0))),"")&amp;" / "&amp;IFERROR(IF(INDEX('Factors'!$M$9:$M$108,MATCH(J27,'Factors'!$C$9:$C$108,0))="","",INDEX('Factors'!$M$9:$M$108,MATCH(J27,'Factors'!$C$9:$C$108,0))),""))</x:f>
        <x:v>SYNTHETIC DEMO / SYN-2026.1</x:v>
      </x:c>
      <x:c r="U27" s="21" t="n">
        <x:f>IF(V27="Ready",H27*O27/1000,"")</x:f>
        <x:v>460.96</x:v>
      </x:c>
      <x:c r="V27" s="9" t="str">
        <x:f>IF(C27="","",IF(OR(COUNTIFS($C$9:$C$308,C27)&lt;&gt;1,COUNTIFS($D$9:$D$308,D27,$E$9:$E$308,E27,$F$9:$F$308,F27,$G$9:$G$308,G27,$K$9:$K$308,K27)&lt;&gt;1),"Duplicate annual activity",IF(COUNTIFS('Inventory'!$C$9:$C$108,D27)&lt;&gt;1,"Entity required",IF(OR(E27="",L27="",NOT(ISNUMBER(H27)),H27&lt;0,NOT(ISNUMBER(K27)),NOT(ISNUMBER(N27))),"Missing activity input",IF(AND(E27&lt;&gt;D27,OR(COUNTIFS('Sites'!$C$9:$C$108,E27)&lt;&gt;1,IFERROR(IF(INDEX('Sites'!$D$9:$D$108,MATCH(E27,'Sites'!$C$9:$C$108,0))="","",INDEX('Sites'!$D$9:$D$108,MATCH(E27,'Sites'!$C$9:$C$108,0))),"")&lt;&gt;IFERROR(IF(INDEX('Inventory'!$D$9:$D$108,MATCH(D27,'Inventory'!$C$9:$C$108,0))="","",INDEX('Inventory'!$D$9:$D$108,MATCH(D27,'Inventory'!$C$9:$C$108,0))),""),IFERROR(IF(INDEX('Sites'!$E$9:$E$108,MATCH(E27,'Sites'!$C$9:$C$108,0))="","",INDEX('Sites'!$E$9:$E$108,MATCH(E27,'Sites'!$C$9:$C$108,0))),"")&lt;&gt;W27)),"Site / entity mismatch",IF(N27&lt;'Settings'!$F$8,"Expired",IF(X27&lt;&gt;"Ready","Factor required",IF(OR(G27&lt;&gt;IFERROR(IF(INDEX('Factors'!$D$9:$D$108,MATCH(J27,'Factors'!$C$9:$C$108,0))="","",INDEX('Factors'!$D$9:$D$108,MATCH(J27,'Factors'!$C$9:$C$108,0))),""),I27&lt;&gt;P27,F27&lt;&gt;Q27,K27&lt;&gt;S27,AND(R27&lt;&gt;"Global",R27&lt;&gt;W27),K27&lt;&gt;YEAR(IFERROR(IF(INDEX('Inventory'!$H$9:$H$108,MATCH(D27,'Inventory'!$C$9:$C$108,0))="","",INDEX('Inventory'!$H$9:$H$108,MATCH(D27,'Inventory'!$C$9:$C$108,0))),""))),"Factor / boundary mismatch",IF(AND(F27="S2",IFERROR(IF(INDEX('Factors'!$I$9:$I$108,MATCH(J27,'Factors'!$C$9:$C$108,0))="","",INDEX('Factors'!$I$9:$I$108,MATCH(J27,'Factors'!$C$9:$C$108,0))),"")&lt;&gt;"Location-based"),"Use location factor",IF(M27&lt;&gt;"Actual","Estimation method review","Ready"))))))))))</x:f>
        <x:v>Ready</x:v>
      </x:c>
      <x:c r="W27" s="9" t="str">
        <x:f>IF(C27="","",IFERROR(IF(INDEX('Inventory'!$G$9:$G$108,MATCH(D27,'Inventory'!$C$9:$C$108,0))="","",INDEX('Inventory'!$G$9:$G$108,MATCH(D27,'Inventory'!$C$9:$C$108,0))),""))</x:f>
        <x:v>Egypt</x:v>
      </x:c>
      <x:c r="X27" s="9" t="str">
        <x:f>IF(C27="","",IFERROR(IF(INDEX('Factors'!$P$9:$P$108,MATCH(J27,'Factors'!$C$9:$C$108,0))="","",INDEX('Factors'!$P$9:$P$108,MATCH(J27,'Factors'!$C$9:$C$108,0))),""))</x:f>
        <x:v>Ready</x:v>
      </x:c>
    </x:row>
    <x:row r="28" ht="26" customHeight="1">
      <x:c r="A28" s="1"/>
      <x:c r="B28" s="1"/>
      <x:c r="C28" s="8" t="str">
        <x:v>ACT020</x:v>
      </x:c>
      <x:c r="D28" s="8" t="str">
        <x:v>B005</x:v>
      </x:c>
      <x:c r="E28" s="8" t="str">
        <x:v>S009</x:v>
      </x:c>
      <x:c r="F28" s="8" t="str">
        <x:v>S2</x:v>
      </x:c>
      <x:c r="G28" s="8" t="str">
        <x:v>Electricity</x:v>
      </x:c>
      <x:c r="H28" s="16" t="n">
        <x:v>900000</x:v>
      </x:c>
      <x:c r="I28" s="8" t="str">
        <x:v>kWh</x:v>
      </x:c>
      <x:c r="J28" s="8" t="str">
        <x:v>EG-GRID-26</x:v>
      </x:c>
      <x:c r="K28" s="22" t="n">
        <x:v>2026</x:v>
      </x:c>
      <x:c r="L28" s="8" t="str">
        <x:v>SYN-ACT-20</x:v>
      </x:c>
      <x:c r="M28" s="8" t="str">
        <x:v>Actual</x:v>
      </x:c>
      <x:c r="N28" s="40" t="n">
        <x:v>46752</x:v>
      </x:c>
      <x:c r="O28" s="41" t="n">
        <x:f>IF(C28="","",IFERROR(IF(INDEX('Factors'!$G$9:$G$108,MATCH(J28,'Factors'!$C$9:$C$108,0))="","",INDEX('Factors'!$G$9:$G$108,MATCH(J28,'Factors'!$C$9:$C$108,0))),""))</x:f>
        <x:v>0.46</x:v>
      </x:c>
      <x:c r="P28" s="9" t="str">
        <x:f>IF(C28="","",IFERROR(IF(INDEX('Factors'!$F$9:$F$108,MATCH(J28,'Factors'!$C$9:$C$108,0))="","",INDEX('Factors'!$F$9:$F$108,MATCH(J28,'Factors'!$C$9:$C$108,0))),""))</x:f>
        <x:v>kWh</x:v>
      </x:c>
      <x:c r="Q28" s="9" t="str">
        <x:f>IF(C28="","",IFERROR(IF(INDEX('Factors'!$H$9:$H$108,MATCH(J28,'Factors'!$C$9:$C$108,0))="","",INDEX('Factors'!$H$9:$H$108,MATCH(J28,'Factors'!$C$9:$C$108,0))),""))</x:f>
        <x:v>S2</x:v>
      </x:c>
      <x:c r="R28" s="9" t="str">
        <x:f>IF(C28="","",IFERROR(IF(INDEX('Factors'!$E$9:$E$108,MATCH(J28,'Factors'!$C$9:$C$108,0))="","",INDEX('Factors'!$E$9:$E$108,MATCH(J28,'Factors'!$C$9:$C$108,0))),""))</x:f>
        <x:v>Egypt</x:v>
      </x:c>
      <x:c r="S28" s="42" t="n">
        <x:f>IF(C28="","",IFERROR(IF(INDEX('Factors'!$J$9:$J$108,MATCH(J28,'Factors'!$C$9:$C$108,0))="","",INDEX('Factors'!$J$9:$J$108,MATCH(J28,'Factors'!$C$9:$C$108,0))),""))</x:f>
        <x:v>2026</x:v>
      </x:c>
      <x:c r="T28" s="9" t="str">
        <x:f>IF(C28="","",IFERROR(IF(INDEX('Factors'!$L$9:$L$108,MATCH(J28,'Factors'!$C$9:$C$108,0))="","",INDEX('Factors'!$L$9:$L$108,MATCH(J28,'Factors'!$C$9:$C$108,0))),"")&amp;" / "&amp;IFERROR(IF(INDEX('Factors'!$M$9:$M$108,MATCH(J28,'Factors'!$C$9:$C$108,0))="","",INDEX('Factors'!$M$9:$M$108,MATCH(J28,'Factors'!$C$9:$C$108,0))),""))</x:f>
        <x:v>SYNTHETIC DEMO / SYN-2026.1</x:v>
      </x:c>
      <x:c r="U28" s="21" t="n">
        <x:f>IF(V28="Ready",H28*O28/1000,"")</x:f>
        <x:v>414</x:v>
      </x:c>
      <x:c r="V28" s="9" t="str">
        <x:f>IF(C28="","",IF(OR(COUNTIFS($C$9:$C$308,C28)&lt;&gt;1,COUNTIFS($D$9:$D$308,D28,$E$9:$E$308,E28,$F$9:$F$308,F28,$G$9:$G$308,G28,$K$9:$K$308,K28)&lt;&gt;1),"Duplicate annual activity",IF(COUNTIFS('Inventory'!$C$9:$C$108,D28)&lt;&gt;1,"Entity required",IF(OR(E28="",L28="",NOT(ISNUMBER(H28)),H28&lt;0,NOT(ISNUMBER(K28)),NOT(ISNUMBER(N28))),"Missing activity input",IF(AND(E28&lt;&gt;D28,OR(COUNTIFS('Sites'!$C$9:$C$108,E28)&lt;&gt;1,IFERROR(IF(INDEX('Sites'!$D$9:$D$108,MATCH(E28,'Sites'!$C$9:$C$108,0))="","",INDEX('Sites'!$D$9:$D$108,MATCH(E28,'Sites'!$C$9:$C$108,0))),"")&lt;&gt;IFERROR(IF(INDEX('Inventory'!$D$9:$D$108,MATCH(D28,'Inventory'!$C$9:$C$108,0))="","",INDEX('Inventory'!$D$9:$D$108,MATCH(D28,'Inventory'!$C$9:$C$108,0))),""),IFERROR(IF(INDEX('Sites'!$E$9:$E$108,MATCH(E28,'Sites'!$C$9:$C$108,0))="","",INDEX('Sites'!$E$9:$E$108,MATCH(E28,'Sites'!$C$9:$C$108,0))),"")&lt;&gt;W28)),"Site / entity mismatch",IF(N28&lt;'Settings'!$F$8,"Expired",IF(X28&lt;&gt;"Ready","Factor required",IF(OR(G28&lt;&gt;IFERROR(IF(INDEX('Factors'!$D$9:$D$108,MATCH(J28,'Factors'!$C$9:$C$108,0))="","",INDEX('Factors'!$D$9:$D$108,MATCH(J28,'Factors'!$C$9:$C$108,0))),""),I28&lt;&gt;P28,F28&lt;&gt;Q28,K28&lt;&gt;S28,AND(R28&lt;&gt;"Global",R28&lt;&gt;W28),K28&lt;&gt;YEAR(IFERROR(IF(INDEX('Inventory'!$H$9:$H$108,MATCH(D28,'Inventory'!$C$9:$C$108,0))="","",INDEX('Inventory'!$H$9:$H$108,MATCH(D28,'Inventory'!$C$9:$C$108,0))),""))),"Factor / boundary mismatch",IF(AND(F28="S2",IFERROR(IF(INDEX('Factors'!$I$9:$I$108,MATCH(J28,'Factors'!$C$9:$C$108,0))="","",INDEX('Factors'!$I$9:$I$108,MATCH(J28,'Factors'!$C$9:$C$108,0))),"")&lt;&gt;"Location-based"),"Use location factor",IF(M28&lt;&gt;"Actual","Estimation method review","Ready"))))))))))</x:f>
        <x:v>Ready</x:v>
      </x:c>
      <x:c r="W28" s="9" t="str">
        <x:f>IF(C28="","",IFERROR(IF(INDEX('Inventory'!$G$9:$G$108,MATCH(D28,'Inventory'!$C$9:$C$108,0))="","",INDEX('Inventory'!$G$9:$G$108,MATCH(D28,'Inventory'!$C$9:$C$108,0))),""))</x:f>
        <x:v>Egypt</x:v>
      </x:c>
      <x:c r="X28" s="9" t="str">
        <x:f>IF(C28="","",IFERROR(IF(INDEX('Factors'!$P$9:$P$108,MATCH(J28,'Factors'!$C$9:$C$108,0))="","",INDEX('Factors'!$P$9:$P$108,MATCH(J28,'Factors'!$C$9:$C$108,0))),""))</x:f>
        <x:v>Ready</x:v>
      </x:c>
    </x:row>
    <x:row r="29" ht="26" customHeight="1">
      <x:c r="A29" s="1"/>
      <x:c r="B29" s="1"/>
      <x:c r="C29" s="8" t="str">
        <x:v>ACT021</x:v>
      </x:c>
      <x:c r="D29" s="8" t="str">
        <x:v>B005</x:v>
      </x:c>
      <x:c r="E29" s="8" t="str">
        <x:v>S010</x:v>
      </x:c>
      <x:c r="F29" s="8" t="str">
        <x:v>S1</x:v>
      </x:c>
      <x:c r="G29" s="8" t="str">
        <x:v>Diesel</x:v>
      </x:c>
      <x:c r="H29" s="16" t="n">
        <x:v>181000</x:v>
      </x:c>
      <x:c r="I29" s="8" t="str">
        <x:v>litre</x:v>
      </x:c>
      <x:c r="J29" s="8" t="str">
        <x:v>GLOBAL-DIESEL-26</x:v>
      </x:c>
      <x:c r="K29" s="22" t="n">
        <x:v>2026</x:v>
      </x:c>
      <x:c r="L29" s="8" t="str">
        <x:v>SYN-ACT-21</x:v>
      </x:c>
      <x:c r="M29" s="8" t="str">
        <x:v>Actual</x:v>
      </x:c>
      <x:c r="N29" s="40" t="n">
        <x:v>46752</x:v>
      </x:c>
      <x:c r="O29" s="41" t="n">
        <x:f>IF(C29="","",IFERROR(IF(INDEX('Factors'!$G$9:$G$108,MATCH(J29,'Factors'!$C$9:$C$108,0))="","",INDEX('Factors'!$G$9:$G$108,MATCH(J29,'Factors'!$C$9:$C$108,0))),""))</x:f>
        <x:v>2.68</x:v>
      </x:c>
      <x:c r="P29" s="9" t="str">
        <x:f>IF(C29="","",IFERROR(IF(INDEX('Factors'!$F$9:$F$108,MATCH(J29,'Factors'!$C$9:$C$108,0))="","",INDEX('Factors'!$F$9:$F$108,MATCH(J29,'Factors'!$C$9:$C$108,0))),""))</x:f>
        <x:v>litre</x:v>
      </x:c>
      <x:c r="Q29" s="9" t="str">
        <x:f>IF(C29="","",IFERROR(IF(INDEX('Factors'!$H$9:$H$108,MATCH(J29,'Factors'!$C$9:$C$108,0))="","",INDEX('Factors'!$H$9:$H$108,MATCH(J29,'Factors'!$C$9:$C$108,0))),""))</x:f>
        <x:v>S1</x:v>
      </x:c>
      <x:c r="R29" s="9" t="str">
        <x:f>IF(C29="","",IFERROR(IF(INDEX('Factors'!$E$9:$E$108,MATCH(J29,'Factors'!$C$9:$C$108,0))="","",INDEX('Factors'!$E$9:$E$108,MATCH(J29,'Factors'!$C$9:$C$108,0))),""))</x:f>
        <x:v>Global</x:v>
      </x:c>
      <x:c r="S29" s="42" t="n">
        <x:f>IF(C29="","",IFERROR(IF(INDEX('Factors'!$J$9:$J$108,MATCH(J29,'Factors'!$C$9:$C$108,0))="","",INDEX('Factors'!$J$9:$J$108,MATCH(J29,'Factors'!$C$9:$C$108,0))),""))</x:f>
        <x:v>2026</x:v>
      </x:c>
      <x:c r="T29" s="9" t="str">
        <x:f>IF(C29="","",IFERROR(IF(INDEX('Factors'!$L$9:$L$108,MATCH(J29,'Factors'!$C$9:$C$108,0))="","",INDEX('Factors'!$L$9:$L$108,MATCH(J29,'Factors'!$C$9:$C$108,0))),"")&amp;" / "&amp;IFERROR(IF(INDEX('Factors'!$M$9:$M$108,MATCH(J29,'Factors'!$C$9:$C$108,0))="","",INDEX('Factors'!$M$9:$M$108,MATCH(J29,'Factors'!$C$9:$C$108,0))),""))</x:f>
        <x:v>SYNTHETIC DEMO / SYN-2026.1</x:v>
      </x:c>
      <x:c r="U29" s="21" t="n">
        <x:f>IF(V29="Ready",H29*O29/1000,"")</x:f>
        <x:v>485.08</x:v>
      </x:c>
      <x:c r="V29" s="9" t="str">
        <x:f>IF(C29="","",IF(OR(COUNTIFS($C$9:$C$308,C29)&lt;&gt;1,COUNTIFS($D$9:$D$308,D29,$E$9:$E$308,E29,$F$9:$F$308,F29,$G$9:$G$308,G29,$K$9:$K$308,K29)&lt;&gt;1),"Duplicate annual activity",IF(COUNTIFS('Inventory'!$C$9:$C$108,D29)&lt;&gt;1,"Entity required",IF(OR(E29="",L29="",NOT(ISNUMBER(H29)),H29&lt;0,NOT(ISNUMBER(K29)),NOT(ISNUMBER(N29))),"Missing activity input",IF(AND(E29&lt;&gt;D29,OR(COUNTIFS('Sites'!$C$9:$C$108,E29)&lt;&gt;1,IFERROR(IF(INDEX('Sites'!$D$9:$D$108,MATCH(E29,'Sites'!$C$9:$C$108,0))="","",INDEX('Sites'!$D$9:$D$108,MATCH(E29,'Sites'!$C$9:$C$108,0))),"")&lt;&gt;IFERROR(IF(INDEX('Inventory'!$D$9:$D$108,MATCH(D29,'Inventory'!$C$9:$C$108,0))="","",INDEX('Inventory'!$D$9:$D$108,MATCH(D29,'Inventory'!$C$9:$C$108,0))),""),IFERROR(IF(INDEX('Sites'!$E$9:$E$108,MATCH(E29,'Sites'!$C$9:$C$108,0))="","",INDEX('Sites'!$E$9:$E$108,MATCH(E29,'Sites'!$C$9:$C$108,0))),"")&lt;&gt;W29)),"Site / entity mismatch",IF(N29&lt;'Settings'!$F$8,"Expired",IF(X29&lt;&gt;"Ready","Factor required",IF(OR(G29&lt;&gt;IFERROR(IF(INDEX('Factors'!$D$9:$D$108,MATCH(J29,'Factors'!$C$9:$C$108,0))="","",INDEX('Factors'!$D$9:$D$108,MATCH(J29,'Factors'!$C$9:$C$108,0))),""),I29&lt;&gt;P29,F29&lt;&gt;Q29,K29&lt;&gt;S29,AND(R29&lt;&gt;"Global",R29&lt;&gt;W29),K29&lt;&gt;YEAR(IFERROR(IF(INDEX('Inventory'!$H$9:$H$108,MATCH(D29,'Inventory'!$C$9:$C$108,0))="","",INDEX('Inventory'!$H$9:$H$108,MATCH(D29,'Inventory'!$C$9:$C$108,0))),""))),"Factor / boundary mismatch",IF(AND(F29="S2",IFERROR(IF(INDEX('Factors'!$I$9:$I$108,MATCH(J29,'Factors'!$C$9:$C$108,0))="","",INDEX('Factors'!$I$9:$I$108,MATCH(J29,'Factors'!$C$9:$C$108,0))),"")&lt;&gt;"Location-based"),"Use location factor",IF(M29&lt;&gt;"Actual","Estimation method review","Ready"))))))))))</x:f>
        <x:v>Ready</x:v>
      </x:c>
      <x:c r="W29" s="9" t="str">
        <x:f>IF(C29="","",IFERROR(IF(INDEX('Inventory'!$G$9:$G$108,MATCH(D29,'Inventory'!$C$9:$C$108,0))="","",INDEX('Inventory'!$G$9:$G$108,MATCH(D29,'Inventory'!$C$9:$C$108,0))),""))</x:f>
        <x:v>Egypt</x:v>
      </x:c>
      <x:c r="X29" s="9" t="str">
        <x:f>IF(C29="","",IFERROR(IF(INDEX('Factors'!$P$9:$P$108,MATCH(J29,'Factors'!$C$9:$C$108,0))="","",INDEX('Factors'!$P$9:$P$108,MATCH(J29,'Factors'!$C$9:$C$108,0))),""))</x:f>
        <x:v>Ready</x:v>
      </x:c>
    </x:row>
    <x:row r="30" ht="26" customHeight="1">
      <x:c r="A30" s="1"/>
      <x:c r="B30" s="1"/>
      <x:c r="C30" s="8" t="str">
        <x:v>ACT022</x:v>
      </x:c>
      <x:c r="D30" s="8" t="str">
        <x:v>B005</x:v>
      </x:c>
      <x:c r="E30" s="8" t="str">
        <x:v>S010</x:v>
      </x:c>
      <x:c r="F30" s="8" t="str">
        <x:v>S2</x:v>
      </x:c>
      <x:c r="G30" s="8" t="str">
        <x:v>Electricity</x:v>
      </x:c>
      <x:c r="H30" s="16" t="n">
        <x:v>925000</x:v>
      </x:c>
      <x:c r="I30" s="8" t="str">
        <x:v>kWh</x:v>
      </x:c>
      <x:c r="J30" s="8" t="str">
        <x:v>EG-GRID-26</x:v>
      </x:c>
      <x:c r="K30" s="22" t="n">
        <x:v>2026</x:v>
      </x:c>
      <x:c r="L30" s="8" t="str">
        <x:v>SYN-ACT-22</x:v>
      </x:c>
      <x:c r="M30" s="8" t="str">
        <x:v>Actual</x:v>
      </x:c>
      <x:c r="N30" s="40" t="n">
        <x:v>46752</x:v>
      </x:c>
      <x:c r="O30" s="41" t="n">
        <x:f>IF(C30="","",IFERROR(IF(INDEX('Factors'!$G$9:$G$108,MATCH(J30,'Factors'!$C$9:$C$108,0))="","",INDEX('Factors'!$G$9:$G$108,MATCH(J30,'Factors'!$C$9:$C$108,0))),""))</x:f>
        <x:v>0.46</x:v>
      </x:c>
      <x:c r="P30" s="9" t="str">
        <x:f>IF(C30="","",IFERROR(IF(INDEX('Factors'!$F$9:$F$108,MATCH(J30,'Factors'!$C$9:$C$108,0))="","",INDEX('Factors'!$F$9:$F$108,MATCH(J30,'Factors'!$C$9:$C$108,0))),""))</x:f>
        <x:v>kWh</x:v>
      </x:c>
      <x:c r="Q30" s="9" t="str">
        <x:f>IF(C30="","",IFERROR(IF(INDEX('Factors'!$H$9:$H$108,MATCH(J30,'Factors'!$C$9:$C$108,0))="","",INDEX('Factors'!$H$9:$H$108,MATCH(J30,'Factors'!$C$9:$C$108,0))),""))</x:f>
        <x:v>S2</x:v>
      </x:c>
      <x:c r="R30" s="9" t="str">
        <x:f>IF(C30="","",IFERROR(IF(INDEX('Factors'!$E$9:$E$108,MATCH(J30,'Factors'!$C$9:$C$108,0))="","",INDEX('Factors'!$E$9:$E$108,MATCH(J30,'Factors'!$C$9:$C$108,0))),""))</x:f>
        <x:v>Egypt</x:v>
      </x:c>
      <x:c r="S30" s="42" t="n">
        <x:f>IF(C30="","",IFERROR(IF(INDEX('Factors'!$J$9:$J$108,MATCH(J30,'Factors'!$C$9:$C$108,0))="","",INDEX('Factors'!$J$9:$J$108,MATCH(J30,'Factors'!$C$9:$C$108,0))),""))</x:f>
        <x:v>2026</x:v>
      </x:c>
      <x:c r="T30" s="9" t="str">
        <x:f>IF(C30="","",IFERROR(IF(INDEX('Factors'!$L$9:$L$108,MATCH(J30,'Factors'!$C$9:$C$108,0))="","",INDEX('Factors'!$L$9:$L$108,MATCH(J30,'Factors'!$C$9:$C$108,0))),"")&amp;" / "&amp;IFERROR(IF(INDEX('Factors'!$M$9:$M$108,MATCH(J30,'Factors'!$C$9:$C$108,0))="","",INDEX('Factors'!$M$9:$M$108,MATCH(J30,'Factors'!$C$9:$C$108,0))),""))</x:f>
        <x:v>SYNTHETIC DEMO / SYN-2026.1</x:v>
      </x:c>
      <x:c r="U30" s="21" t="n">
        <x:f>IF(V30="Ready",H30*O30/1000,"")</x:f>
        <x:v>425.5</x:v>
      </x:c>
      <x:c r="V30" s="9" t="str">
        <x:f>IF(C30="","",IF(OR(COUNTIFS($C$9:$C$308,C30)&lt;&gt;1,COUNTIFS($D$9:$D$308,D30,$E$9:$E$308,E30,$F$9:$F$308,F30,$G$9:$G$308,G30,$K$9:$K$308,K30)&lt;&gt;1),"Duplicate annual activity",IF(COUNTIFS('Inventory'!$C$9:$C$108,D30)&lt;&gt;1,"Entity required",IF(OR(E30="",L30="",NOT(ISNUMBER(H30)),H30&lt;0,NOT(ISNUMBER(K30)),NOT(ISNUMBER(N30))),"Missing activity input",IF(AND(E30&lt;&gt;D30,OR(COUNTIFS('Sites'!$C$9:$C$108,E30)&lt;&gt;1,IFERROR(IF(INDEX('Sites'!$D$9:$D$108,MATCH(E30,'Sites'!$C$9:$C$108,0))="","",INDEX('Sites'!$D$9:$D$108,MATCH(E30,'Sites'!$C$9:$C$108,0))),"")&lt;&gt;IFERROR(IF(INDEX('Inventory'!$D$9:$D$108,MATCH(D30,'Inventory'!$C$9:$C$108,0))="","",INDEX('Inventory'!$D$9:$D$108,MATCH(D30,'Inventory'!$C$9:$C$108,0))),""),IFERROR(IF(INDEX('Sites'!$E$9:$E$108,MATCH(E30,'Sites'!$C$9:$C$108,0))="","",INDEX('Sites'!$E$9:$E$108,MATCH(E30,'Sites'!$C$9:$C$108,0))),"")&lt;&gt;W30)),"Site / entity mismatch",IF(N30&lt;'Settings'!$F$8,"Expired",IF(X30&lt;&gt;"Ready","Factor required",IF(OR(G30&lt;&gt;IFERROR(IF(INDEX('Factors'!$D$9:$D$108,MATCH(J30,'Factors'!$C$9:$C$108,0))="","",INDEX('Factors'!$D$9:$D$108,MATCH(J30,'Factors'!$C$9:$C$108,0))),""),I30&lt;&gt;P30,F30&lt;&gt;Q30,K30&lt;&gt;S30,AND(R30&lt;&gt;"Global",R30&lt;&gt;W30),K30&lt;&gt;YEAR(IFERROR(IF(INDEX('Inventory'!$H$9:$H$108,MATCH(D30,'Inventory'!$C$9:$C$108,0))="","",INDEX('Inventory'!$H$9:$H$108,MATCH(D30,'Inventory'!$C$9:$C$108,0))),""))),"Factor / boundary mismatch",IF(AND(F30="S2",IFERROR(IF(INDEX('Factors'!$I$9:$I$108,MATCH(J30,'Factors'!$C$9:$C$108,0))="","",INDEX('Factors'!$I$9:$I$108,MATCH(J30,'Factors'!$C$9:$C$108,0))),"")&lt;&gt;"Location-based"),"Use location factor",IF(M30&lt;&gt;"Actual","Estimation method review","Ready"))))))))))</x:f>
        <x:v>Ready</x:v>
      </x:c>
      <x:c r="W30" s="9" t="str">
        <x:f>IF(C30="","",IFERROR(IF(INDEX('Inventory'!$G$9:$G$108,MATCH(D30,'Inventory'!$C$9:$C$108,0))="","",INDEX('Inventory'!$G$9:$G$108,MATCH(D30,'Inventory'!$C$9:$C$108,0))),""))</x:f>
        <x:v>Egypt</x:v>
      </x:c>
      <x:c r="X30" s="9" t="str">
        <x:f>IF(C30="","",IFERROR(IF(INDEX('Factors'!$P$9:$P$108,MATCH(J30,'Factors'!$C$9:$C$108,0))="","",INDEX('Factors'!$P$9:$P$108,MATCH(J30,'Factors'!$C$9:$C$108,0))),""))</x:f>
        <x:v>Ready</x:v>
      </x:c>
    </x:row>
    <x:row r="31" ht="26" customHeight="1">
      <x:c r="A31" s="1"/>
      <x:c r="B31" s="1"/>
      <x:c r="C31" s="8" t="str">
        <x:v>ACT023</x:v>
      </x:c>
      <x:c r="D31" s="8" t="str">
        <x:v>B006</x:v>
      </x:c>
      <x:c r="E31" s="8" t="str">
        <x:v>S011</x:v>
      </x:c>
      <x:c r="F31" s="8" t="str">
        <x:v>S1</x:v>
      </x:c>
      <x:c r="G31" s="8" t="str">
        <x:v>Diesel</x:v>
      </x:c>
      <x:c r="H31" s="16" t="n">
        <x:v>190000</x:v>
      </x:c>
      <x:c r="I31" s="8" t="str">
        <x:v>litre</x:v>
      </x:c>
      <x:c r="J31" s="8" t="str">
        <x:v>GLOBAL-DIESEL-26</x:v>
      </x:c>
      <x:c r="K31" s="22" t="n">
        <x:v>2026</x:v>
      </x:c>
      <x:c r="L31" s="8" t="str">
        <x:v>SYN-ACT-23</x:v>
      </x:c>
      <x:c r="M31" s="8" t="str">
        <x:v>Actual</x:v>
      </x:c>
      <x:c r="N31" s="40" t="n">
        <x:v>46752</x:v>
      </x:c>
      <x:c r="O31" s="41" t="n">
        <x:f>IF(C31="","",IFERROR(IF(INDEX('Factors'!$G$9:$G$108,MATCH(J31,'Factors'!$C$9:$C$108,0))="","",INDEX('Factors'!$G$9:$G$108,MATCH(J31,'Factors'!$C$9:$C$108,0))),""))</x:f>
        <x:v>2.68</x:v>
      </x:c>
      <x:c r="P31" s="9" t="str">
        <x:f>IF(C31="","",IFERROR(IF(INDEX('Factors'!$F$9:$F$108,MATCH(J31,'Factors'!$C$9:$C$108,0))="","",INDEX('Factors'!$F$9:$F$108,MATCH(J31,'Factors'!$C$9:$C$108,0))),""))</x:f>
        <x:v>litre</x:v>
      </x:c>
      <x:c r="Q31" s="9" t="str">
        <x:f>IF(C31="","",IFERROR(IF(INDEX('Factors'!$H$9:$H$108,MATCH(J31,'Factors'!$C$9:$C$108,0))="","",INDEX('Factors'!$H$9:$H$108,MATCH(J31,'Factors'!$C$9:$C$108,0))),""))</x:f>
        <x:v>S1</x:v>
      </x:c>
      <x:c r="R31" s="9" t="str">
        <x:f>IF(C31="","",IFERROR(IF(INDEX('Factors'!$E$9:$E$108,MATCH(J31,'Factors'!$C$9:$C$108,0))="","",INDEX('Factors'!$E$9:$E$108,MATCH(J31,'Factors'!$C$9:$C$108,0))),""))</x:f>
        <x:v>Global</x:v>
      </x:c>
      <x:c r="S31" s="42" t="n">
        <x:f>IF(C31="","",IFERROR(IF(INDEX('Factors'!$J$9:$J$108,MATCH(J31,'Factors'!$C$9:$C$108,0))="","",INDEX('Factors'!$J$9:$J$108,MATCH(J31,'Factors'!$C$9:$C$108,0))),""))</x:f>
        <x:v>2026</x:v>
      </x:c>
      <x:c r="T31" s="9" t="str">
        <x:f>IF(C31="","",IFERROR(IF(INDEX('Factors'!$L$9:$L$108,MATCH(J31,'Factors'!$C$9:$C$108,0))="","",INDEX('Factors'!$L$9:$L$108,MATCH(J31,'Factors'!$C$9:$C$108,0))),"")&amp;" / "&amp;IFERROR(IF(INDEX('Factors'!$M$9:$M$108,MATCH(J31,'Factors'!$C$9:$C$108,0))="","",INDEX('Factors'!$M$9:$M$108,MATCH(J31,'Factors'!$C$9:$C$108,0))),""))</x:f>
        <x:v>SYNTHETIC DEMO / SYN-2026.1</x:v>
      </x:c>
      <x:c r="U31" s="21" t="n">
        <x:f>IF(V31="Ready",H31*O31/1000,"")</x:f>
        <x:v>509.20000000000005</x:v>
      </x:c>
      <x:c r="V31" s="9" t="str">
        <x:f>IF(C31="","",IF(OR(COUNTIFS($C$9:$C$308,C31)&lt;&gt;1,COUNTIFS($D$9:$D$308,D31,$E$9:$E$308,E31,$F$9:$F$308,F31,$G$9:$G$308,G31,$K$9:$K$308,K31)&lt;&gt;1),"Duplicate annual activity",IF(COUNTIFS('Inventory'!$C$9:$C$108,D31)&lt;&gt;1,"Entity required",IF(OR(E31="",L31="",NOT(ISNUMBER(H31)),H31&lt;0,NOT(ISNUMBER(K31)),NOT(ISNUMBER(N31))),"Missing activity input",IF(AND(E31&lt;&gt;D31,OR(COUNTIFS('Sites'!$C$9:$C$108,E31)&lt;&gt;1,IFERROR(IF(INDEX('Sites'!$D$9:$D$108,MATCH(E31,'Sites'!$C$9:$C$108,0))="","",INDEX('Sites'!$D$9:$D$108,MATCH(E31,'Sites'!$C$9:$C$108,0))),"")&lt;&gt;IFERROR(IF(INDEX('Inventory'!$D$9:$D$108,MATCH(D31,'Inventory'!$C$9:$C$108,0))="","",INDEX('Inventory'!$D$9:$D$108,MATCH(D31,'Inventory'!$C$9:$C$108,0))),""),IFERROR(IF(INDEX('Sites'!$E$9:$E$108,MATCH(E31,'Sites'!$C$9:$C$108,0))="","",INDEX('Sites'!$E$9:$E$108,MATCH(E31,'Sites'!$C$9:$C$108,0))),"")&lt;&gt;W31)),"Site / entity mismatch",IF(N31&lt;'Settings'!$F$8,"Expired",IF(X31&lt;&gt;"Ready","Factor required",IF(OR(G31&lt;&gt;IFERROR(IF(INDEX('Factors'!$D$9:$D$108,MATCH(J31,'Factors'!$C$9:$C$108,0))="","",INDEX('Factors'!$D$9:$D$108,MATCH(J31,'Factors'!$C$9:$C$108,0))),""),I31&lt;&gt;P31,F31&lt;&gt;Q31,K31&lt;&gt;S31,AND(R31&lt;&gt;"Global",R31&lt;&gt;W31),K31&lt;&gt;YEAR(IFERROR(IF(INDEX('Inventory'!$H$9:$H$108,MATCH(D31,'Inventory'!$C$9:$C$108,0))="","",INDEX('Inventory'!$H$9:$H$108,MATCH(D31,'Inventory'!$C$9:$C$108,0))),""))),"Factor / boundary mismatch",IF(AND(F31="S2",IFERROR(IF(INDEX('Factors'!$I$9:$I$108,MATCH(J31,'Factors'!$C$9:$C$108,0))="","",INDEX('Factors'!$I$9:$I$108,MATCH(J31,'Factors'!$C$9:$C$108,0))),"")&lt;&gt;"Location-based"),"Use location factor",IF(M31&lt;&gt;"Actual","Estimation method review","Ready"))))))))))</x:f>
        <x:v>Ready</x:v>
      </x:c>
      <x:c r="W31" s="9" t="str">
        <x:f>IF(C31="","",IFERROR(IF(INDEX('Inventory'!$G$9:$G$108,MATCH(D31,'Inventory'!$C$9:$C$108,0))="","",INDEX('Inventory'!$G$9:$G$108,MATCH(D31,'Inventory'!$C$9:$C$108,0))),""))</x:f>
        <x:v>Egypt</x:v>
      </x:c>
      <x:c r="X31" s="9" t="str">
        <x:f>IF(C31="","",IFERROR(IF(INDEX('Factors'!$P$9:$P$108,MATCH(J31,'Factors'!$C$9:$C$108,0))="","",INDEX('Factors'!$P$9:$P$108,MATCH(J31,'Factors'!$C$9:$C$108,0))),""))</x:f>
        <x:v>Ready</x:v>
      </x:c>
    </x:row>
    <x:row r="32" ht="26" customHeight="1">
      <x:c r="A32" s="1"/>
      <x:c r="B32" s="1"/>
      <x:c r="C32" s="8" t="str">
        <x:v>ACT024</x:v>
      </x:c>
      <x:c r="D32" s="8" t="str">
        <x:v>B006</x:v>
      </x:c>
      <x:c r="E32" s="8" t="str">
        <x:v>S011</x:v>
      </x:c>
      <x:c r="F32" s="8" t="str">
        <x:v>S2</x:v>
      </x:c>
      <x:c r="G32" s="8" t="str">
        <x:v>Electricity</x:v>
      </x:c>
      <x:c r="H32" s="16" t="n">
        <x:v>950000</x:v>
      </x:c>
      <x:c r="I32" s="8" t="str">
        <x:v>kWh</x:v>
      </x:c>
      <x:c r="J32" s="8" t="str">
        <x:v>EG-GRID-26</x:v>
      </x:c>
      <x:c r="K32" s="22" t="n">
        <x:v>2026</x:v>
      </x:c>
      <x:c r="L32" s="8" t="str">
        <x:v>SYN-ACT-24</x:v>
      </x:c>
      <x:c r="M32" s="8" t="str">
        <x:v>Actual</x:v>
      </x:c>
      <x:c r="N32" s="40" t="n">
        <x:v>46752</x:v>
      </x:c>
      <x:c r="O32" s="41" t="n">
        <x:f>IF(C32="","",IFERROR(IF(INDEX('Factors'!$G$9:$G$108,MATCH(J32,'Factors'!$C$9:$C$108,0))="","",INDEX('Factors'!$G$9:$G$108,MATCH(J32,'Factors'!$C$9:$C$108,0))),""))</x:f>
        <x:v>0.46</x:v>
      </x:c>
      <x:c r="P32" s="9" t="str">
        <x:f>IF(C32="","",IFERROR(IF(INDEX('Factors'!$F$9:$F$108,MATCH(J32,'Factors'!$C$9:$C$108,0))="","",INDEX('Factors'!$F$9:$F$108,MATCH(J32,'Factors'!$C$9:$C$108,0))),""))</x:f>
        <x:v>kWh</x:v>
      </x:c>
      <x:c r="Q32" s="9" t="str">
        <x:f>IF(C32="","",IFERROR(IF(INDEX('Factors'!$H$9:$H$108,MATCH(J32,'Factors'!$C$9:$C$108,0))="","",INDEX('Factors'!$H$9:$H$108,MATCH(J32,'Factors'!$C$9:$C$108,0))),""))</x:f>
        <x:v>S2</x:v>
      </x:c>
      <x:c r="R32" s="9" t="str">
        <x:f>IF(C32="","",IFERROR(IF(INDEX('Factors'!$E$9:$E$108,MATCH(J32,'Factors'!$C$9:$C$108,0))="","",INDEX('Factors'!$E$9:$E$108,MATCH(J32,'Factors'!$C$9:$C$108,0))),""))</x:f>
        <x:v>Egypt</x:v>
      </x:c>
      <x:c r="S32" s="42" t="n">
        <x:f>IF(C32="","",IFERROR(IF(INDEX('Factors'!$J$9:$J$108,MATCH(J32,'Factors'!$C$9:$C$108,0))="","",INDEX('Factors'!$J$9:$J$108,MATCH(J32,'Factors'!$C$9:$C$108,0))),""))</x:f>
        <x:v>2026</x:v>
      </x:c>
      <x:c r="T32" s="9" t="str">
        <x:f>IF(C32="","",IFERROR(IF(INDEX('Factors'!$L$9:$L$108,MATCH(J32,'Factors'!$C$9:$C$108,0))="","",INDEX('Factors'!$L$9:$L$108,MATCH(J32,'Factors'!$C$9:$C$108,0))),"")&amp;" / "&amp;IFERROR(IF(INDEX('Factors'!$M$9:$M$108,MATCH(J32,'Factors'!$C$9:$C$108,0))="","",INDEX('Factors'!$M$9:$M$108,MATCH(J32,'Factors'!$C$9:$C$108,0))),""))</x:f>
        <x:v>SYNTHETIC DEMO / SYN-2026.1</x:v>
      </x:c>
      <x:c r="U32" s="21" t="n">
        <x:f>IF(V32="Ready",H32*O32/1000,"")</x:f>
        <x:v>437</x:v>
      </x:c>
      <x:c r="V32" s="9" t="str">
        <x:f>IF(C32="","",IF(OR(COUNTIFS($C$9:$C$308,C32)&lt;&gt;1,COUNTIFS($D$9:$D$308,D32,$E$9:$E$308,E32,$F$9:$F$308,F32,$G$9:$G$308,G32,$K$9:$K$308,K32)&lt;&gt;1),"Duplicate annual activity",IF(COUNTIFS('Inventory'!$C$9:$C$108,D32)&lt;&gt;1,"Entity required",IF(OR(E32="",L32="",NOT(ISNUMBER(H32)),H32&lt;0,NOT(ISNUMBER(K32)),NOT(ISNUMBER(N32))),"Missing activity input",IF(AND(E32&lt;&gt;D32,OR(COUNTIFS('Sites'!$C$9:$C$108,E32)&lt;&gt;1,IFERROR(IF(INDEX('Sites'!$D$9:$D$108,MATCH(E32,'Sites'!$C$9:$C$108,0))="","",INDEX('Sites'!$D$9:$D$108,MATCH(E32,'Sites'!$C$9:$C$108,0))),"")&lt;&gt;IFERROR(IF(INDEX('Inventory'!$D$9:$D$108,MATCH(D32,'Inventory'!$C$9:$C$108,0))="","",INDEX('Inventory'!$D$9:$D$108,MATCH(D32,'Inventory'!$C$9:$C$108,0))),""),IFERROR(IF(INDEX('Sites'!$E$9:$E$108,MATCH(E32,'Sites'!$C$9:$C$108,0))="","",INDEX('Sites'!$E$9:$E$108,MATCH(E32,'Sites'!$C$9:$C$108,0))),"")&lt;&gt;W32)),"Site / entity mismatch",IF(N32&lt;'Settings'!$F$8,"Expired",IF(X32&lt;&gt;"Ready","Factor required",IF(OR(G32&lt;&gt;IFERROR(IF(INDEX('Factors'!$D$9:$D$108,MATCH(J32,'Factors'!$C$9:$C$108,0))="","",INDEX('Factors'!$D$9:$D$108,MATCH(J32,'Factors'!$C$9:$C$108,0))),""),I32&lt;&gt;P32,F32&lt;&gt;Q32,K32&lt;&gt;S32,AND(R32&lt;&gt;"Global",R32&lt;&gt;W32),K32&lt;&gt;YEAR(IFERROR(IF(INDEX('Inventory'!$H$9:$H$108,MATCH(D32,'Inventory'!$C$9:$C$108,0))="","",INDEX('Inventory'!$H$9:$H$108,MATCH(D32,'Inventory'!$C$9:$C$108,0))),""))),"Factor / boundary mismatch",IF(AND(F32="S2",IFERROR(IF(INDEX('Factors'!$I$9:$I$108,MATCH(J32,'Factors'!$C$9:$C$108,0))="","",INDEX('Factors'!$I$9:$I$108,MATCH(J32,'Factors'!$C$9:$C$108,0))),"")&lt;&gt;"Location-based"),"Use location factor",IF(M32&lt;&gt;"Actual","Estimation method review","Ready"))))))))))</x:f>
        <x:v>Ready</x:v>
      </x:c>
      <x:c r="W32" s="9" t="str">
        <x:f>IF(C32="","",IFERROR(IF(INDEX('Inventory'!$G$9:$G$108,MATCH(D32,'Inventory'!$C$9:$C$108,0))="","",INDEX('Inventory'!$G$9:$G$108,MATCH(D32,'Inventory'!$C$9:$C$108,0))),""))</x:f>
        <x:v>Egypt</x:v>
      </x:c>
      <x:c r="X32" s="9" t="str">
        <x:f>IF(C32="","",IFERROR(IF(INDEX('Factors'!$P$9:$P$108,MATCH(J32,'Factors'!$C$9:$C$108,0))="","",INDEX('Factors'!$P$9:$P$108,MATCH(J32,'Factors'!$C$9:$C$108,0))),""))</x:f>
        <x:v>Ready</x:v>
      </x:c>
    </x:row>
    <x:row r="33" ht="26" customHeight="1">
      <x:c r="A33" s="1"/>
      <x:c r="B33" s="1"/>
      <x:c r="C33" s="8" t="str">
        <x:v>ACT025</x:v>
      </x:c>
      <x:c r="D33" s="8" t="str">
        <x:v>B006</x:v>
      </x:c>
      <x:c r="E33" s="8" t="str">
        <x:v>S012</x:v>
      </x:c>
      <x:c r="F33" s="8" t="str">
        <x:v>S1</x:v>
      </x:c>
      <x:c r="G33" s="8" t="str">
        <x:v>Diesel</x:v>
      </x:c>
      <x:c r="H33" s="16" t="n">
        <x:v>199000</x:v>
      </x:c>
      <x:c r="I33" s="8" t="str">
        <x:v>litre</x:v>
      </x:c>
      <x:c r="J33" s="8" t="str">
        <x:v>GLOBAL-DIESEL-26</x:v>
      </x:c>
      <x:c r="K33" s="22" t="n">
        <x:v>2026</x:v>
      </x:c>
      <x:c r="L33" s="8" t="str">
        <x:v>SYN-ACT-25</x:v>
      </x:c>
      <x:c r="M33" s="8" t="str">
        <x:v>Actual</x:v>
      </x:c>
      <x:c r="N33" s="40" t="n">
        <x:v>46752</x:v>
      </x:c>
      <x:c r="O33" s="41" t="n">
        <x:f>IF(C33="","",IFERROR(IF(INDEX('Factors'!$G$9:$G$108,MATCH(J33,'Factors'!$C$9:$C$108,0))="","",INDEX('Factors'!$G$9:$G$108,MATCH(J33,'Factors'!$C$9:$C$108,0))),""))</x:f>
        <x:v>2.68</x:v>
      </x:c>
      <x:c r="P33" s="9" t="str">
        <x:f>IF(C33="","",IFERROR(IF(INDEX('Factors'!$F$9:$F$108,MATCH(J33,'Factors'!$C$9:$C$108,0))="","",INDEX('Factors'!$F$9:$F$108,MATCH(J33,'Factors'!$C$9:$C$108,0))),""))</x:f>
        <x:v>litre</x:v>
      </x:c>
      <x:c r="Q33" s="9" t="str">
        <x:f>IF(C33="","",IFERROR(IF(INDEX('Factors'!$H$9:$H$108,MATCH(J33,'Factors'!$C$9:$C$108,0))="","",INDEX('Factors'!$H$9:$H$108,MATCH(J33,'Factors'!$C$9:$C$108,0))),""))</x:f>
        <x:v>S1</x:v>
      </x:c>
      <x:c r="R33" s="9" t="str">
        <x:f>IF(C33="","",IFERROR(IF(INDEX('Factors'!$E$9:$E$108,MATCH(J33,'Factors'!$C$9:$C$108,0))="","",INDEX('Factors'!$E$9:$E$108,MATCH(J33,'Factors'!$C$9:$C$108,0))),""))</x:f>
        <x:v>Global</x:v>
      </x:c>
      <x:c r="S33" s="42" t="n">
        <x:f>IF(C33="","",IFERROR(IF(INDEX('Factors'!$J$9:$J$108,MATCH(J33,'Factors'!$C$9:$C$108,0))="","",INDEX('Factors'!$J$9:$J$108,MATCH(J33,'Factors'!$C$9:$C$108,0))),""))</x:f>
        <x:v>2026</x:v>
      </x:c>
      <x:c r="T33" s="9" t="str">
        <x:f>IF(C33="","",IFERROR(IF(INDEX('Factors'!$L$9:$L$108,MATCH(J33,'Factors'!$C$9:$C$108,0))="","",INDEX('Factors'!$L$9:$L$108,MATCH(J33,'Factors'!$C$9:$C$108,0))),"")&amp;" / "&amp;IFERROR(IF(INDEX('Factors'!$M$9:$M$108,MATCH(J33,'Factors'!$C$9:$C$108,0))="","",INDEX('Factors'!$M$9:$M$108,MATCH(J33,'Factors'!$C$9:$C$108,0))),""))</x:f>
        <x:v>SYNTHETIC DEMO / SYN-2026.1</x:v>
      </x:c>
      <x:c r="U33" s="21" t="n">
        <x:f>IF(V33="Ready",H33*O33/1000,"")</x:f>
        <x:v>533.32</x:v>
      </x:c>
      <x:c r="V33" s="9" t="str">
        <x:f>IF(C33="","",IF(OR(COUNTIFS($C$9:$C$308,C33)&lt;&gt;1,COUNTIFS($D$9:$D$308,D33,$E$9:$E$308,E33,$F$9:$F$308,F33,$G$9:$G$308,G33,$K$9:$K$308,K33)&lt;&gt;1),"Duplicate annual activity",IF(COUNTIFS('Inventory'!$C$9:$C$108,D33)&lt;&gt;1,"Entity required",IF(OR(E33="",L33="",NOT(ISNUMBER(H33)),H33&lt;0,NOT(ISNUMBER(K33)),NOT(ISNUMBER(N33))),"Missing activity input",IF(AND(E33&lt;&gt;D33,OR(COUNTIFS('Sites'!$C$9:$C$108,E33)&lt;&gt;1,IFERROR(IF(INDEX('Sites'!$D$9:$D$108,MATCH(E33,'Sites'!$C$9:$C$108,0))="","",INDEX('Sites'!$D$9:$D$108,MATCH(E33,'Sites'!$C$9:$C$108,0))),"")&lt;&gt;IFERROR(IF(INDEX('Inventory'!$D$9:$D$108,MATCH(D33,'Inventory'!$C$9:$C$108,0))="","",INDEX('Inventory'!$D$9:$D$108,MATCH(D33,'Inventory'!$C$9:$C$108,0))),""),IFERROR(IF(INDEX('Sites'!$E$9:$E$108,MATCH(E33,'Sites'!$C$9:$C$108,0))="","",INDEX('Sites'!$E$9:$E$108,MATCH(E33,'Sites'!$C$9:$C$108,0))),"")&lt;&gt;W33)),"Site / entity mismatch",IF(N33&lt;'Settings'!$F$8,"Expired",IF(X33&lt;&gt;"Ready","Factor required",IF(OR(G33&lt;&gt;IFERROR(IF(INDEX('Factors'!$D$9:$D$108,MATCH(J33,'Factors'!$C$9:$C$108,0))="","",INDEX('Factors'!$D$9:$D$108,MATCH(J33,'Factors'!$C$9:$C$108,0))),""),I33&lt;&gt;P33,F33&lt;&gt;Q33,K33&lt;&gt;S33,AND(R33&lt;&gt;"Global",R33&lt;&gt;W33),K33&lt;&gt;YEAR(IFERROR(IF(INDEX('Inventory'!$H$9:$H$108,MATCH(D33,'Inventory'!$C$9:$C$108,0))="","",INDEX('Inventory'!$H$9:$H$108,MATCH(D33,'Inventory'!$C$9:$C$108,0))),""))),"Factor / boundary mismatch",IF(AND(F33="S2",IFERROR(IF(INDEX('Factors'!$I$9:$I$108,MATCH(J33,'Factors'!$C$9:$C$108,0))="","",INDEX('Factors'!$I$9:$I$108,MATCH(J33,'Factors'!$C$9:$C$108,0))),"")&lt;&gt;"Location-based"),"Use location factor",IF(M33&lt;&gt;"Actual","Estimation method review","Ready"))))))))))</x:f>
        <x:v>Ready</x:v>
      </x:c>
      <x:c r="W33" s="9" t="str">
        <x:f>IF(C33="","",IFERROR(IF(INDEX('Inventory'!$G$9:$G$108,MATCH(D33,'Inventory'!$C$9:$C$108,0))="","",INDEX('Inventory'!$G$9:$G$108,MATCH(D33,'Inventory'!$C$9:$C$108,0))),""))</x:f>
        <x:v>Egypt</x:v>
      </x:c>
      <x:c r="X33" s="9" t="str">
        <x:f>IF(C33="","",IFERROR(IF(INDEX('Factors'!$P$9:$P$108,MATCH(J33,'Factors'!$C$9:$C$108,0))="","",INDEX('Factors'!$P$9:$P$108,MATCH(J33,'Factors'!$C$9:$C$108,0))),""))</x:f>
        <x:v>Ready</x:v>
      </x:c>
    </x:row>
    <x:row r="34" ht="26" customHeight="1">
      <x:c r="A34" s="1"/>
      <x:c r="B34" s="1"/>
      <x:c r="C34" s="8" t="str">
        <x:v>ACT026</x:v>
      </x:c>
      <x:c r="D34" s="8" t="str">
        <x:v>B006</x:v>
      </x:c>
      <x:c r="E34" s="8" t="str">
        <x:v>S012</x:v>
      </x:c>
      <x:c r="F34" s="8" t="str">
        <x:v>S2</x:v>
      </x:c>
      <x:c r="G34" s="8" t="str">
        <x:v>Electricity</x:v>
      </x:c>
      <x:c r="H34" s="16" t="n">
        <x:v>975000</x:v>
      </x:c>
      <x:c r="I34" s="8" t="str">
        <x:v>kWh</x:v>
      </x:c>
      <x:c r="J34" s="8" t="str">
        <x:v>EG-GRID-26</x:v>
      </x:c>
      <x:c r="K34" s="22" t="n">
        <x:v>2026</x:v>
      </x:c>
      <x:c r="L34" s="8" t="str">
        <x:v>SYN-ACT-26</x:v>
      </x:c>
      <x:c r="M34" s="8" t="str">
        <x:v>Actual</x:v>
      </x:c>
      <x:c r="N34" s="40" t="n">
        <x:v>46752</x:v>
      </x:c>
      <x:c r="O34" s="41" t="n">
        <x:f>IF(C34="","",IFERROR(IF(INDEX('Factors'!$G$9:$G$108,MATCH(J34,'Factors'!$C$9:$C$108,0))="","",INDEX('Factors'!$G$9:$G$108,MATCH(J34,'Factors'!$C$9:$C$108,0))),""))</x:f>
        <x:v>0.46</x:v>
      </x:c>
      <x:c r="P34" s="9" t="str">
        <x:f>IF(C34="","",IFERROR(IF(INDEX('Factors'!$F$9:$F$108,MATCH(J34,'Factors'!$C$9:$C$108,0))="","",INDEX('Factors'!$F$9:$F$108,MATCH(J34,'Factors'!$C$9:$C$108,0))),""))</x:f>
        <x:v>kWh</x:v>
      </x:c>
      <x:c r="Q34" s="9" t="str">
        <x:f>IF(C34="","",IFERROR(IF(INDEX('Factors'!$H$9:$H$108,MATCH(J34,'Factors'!$C$9:$C$108,0))="","",INDEX('Factors'!$H$9:$H$108,MATCH(J34,'Factors'!$C$9:$C$108,0))),""))</x:f>
        <x:v>S2</x:v>
      </x:c>
      <x:c r="R34" s="9" t="str">
        <x:f>IF(C34="","",IFERROR(IF(INDEX('Factors'!$E$9:$E$108,MATCH(J34,'Factors'!$C$9:$C$108,0))="","",INDEX('Factors'!$E$9:$E$108,MATCH(J34,'Factors'!$C$9:$C$108,0))),""))</x:f>
        <x:v>Egypt</x:v>
      </x:c>
      <x:c r="S34" s="42" t="n">
        <x:f>IF(C34="","",IFERROR(IF(INDEX('Factors'!$J$9:$J$108,MATCH(J34,'Factors'!$C$9:$C$108,0))="","",INDEX('Factors'!$J$9:$J$108,MATCH(J34,'Factors'!$C$9:$C$108,0))),""))</x:f>
        <x:v>2026</x:v>
      </x:c>
      <x:c r="T34" s="9" t="str">
        <x:f>IF(C34="","",IFERROR(IF(INDEX('Factors'!$L$9:$L$108,MATCH(J34,'Factors'!$C$9:$C$108,0))="","",INDEX('Factors'!$L$9:$L$108,MATCH(J34,'Factors'!$C$9:$C$108,0))),"")&amp;" / "&amp;IFERROR(IF(INDEX('Factors'!$M$9:$M$108,MATCH(J34,'Factors'!$C$9:$C$108,0))="","",INDEX('Factors'!$M$9:$M$108,MATCH(J34,'Factors'!$C$9:$C$108,0))),""))</x:f>
        <x:v>SYNTHETIC DEMO / SYN-2026.1</x:v>
      </x:c>
      <x:c r="U34" s="21" t="n">
        <x:f>IF(V34="Ready",H34*O34/1000,"")</x:f>
        <x:v>448.5</x:v>
      </x:c>
      <x:c r="V34" s="9" t="str">
        <x:f>IF(C34="","",IF(OR(COUNTIFS($C$9:$C$308,C34)&lt;&gt;1,COUNTIFS($D$9:$D$308,D34,$E$9:$E$308,E34,$F$9:$F$308,F34,$G$9:$G$308,G34,$K$9:$K$308,K34)&lt;&gt;1),"Duplicate annual activity",IF(COUNTIFS('Inventory'!$C$9:$C$108,D34)&lt;&gt;1,"Entity required",IF(OR(E34="",L34="",NOT(ISNUMBER(H34)),H34&lt;0,NOT(ISNUMBER(K34)),NOT(ISNUMBER(N34))),"Missing activity input",IF(AND(E34&lt;&gt;D34,OR(COUNTIFS('Sites'!$C$9:$C$108,E34)&lt;&gt;1,IFERROR(IF(INDEX('Sites'!$D$9:$D$108,MATCH(E34,'Sites'!$C$9:$C$108,0))="","",INDEX('Sites'!$D$9:$D$108,MATCH(E34,'Sites'!$C$9:$C$108,0))),"")&lt;&gt;IFERROR(IF(INDEX('Inventory'!$D$9:$D$108,MATCH(D34,'Inventory'!$C$9:$C$108,0))="","",INDEX('Inventory'!$D$9:$D$108,MATCH(D34,'Inventory'!$C$9:$C$108,0))),""),IFERROR(IF(INDEX('Sites'!$E$9:$E$108,MATCH(E34,'Sites'!$C$9:$C$108,0))="","",INDEX('Sites'!$E$9:$E$108,MATCH(E34,'Sites'!$C$9:$C$108,0))),"")&lt;&gt;W34)),"Site / entity mismatch",IF(N34&lt;'Settings'!$F$8,"Expired",IF(X34&lt;&gt;"Ready","Factor required",IF(OR(G34&lt;&gt;IFERROR(IF(INDEX('Factors'!$D$9:$D$108,MATCH(J34,'Factors'!$C$9:$C$108,0))="","",INDEX('Factors'!$D$9:$D$108,MATCH(J34,'Factors'!$C$9:$C$108,0))),""),I34&lt;&gt;P34,F34&lt;&gt;Q34,K34&lt;&gt;S34,AND(R34&lt;&gt;"Global",R34&lt;&gt;W34),K34&lt;&gt;YEAR(IFERROR(IF(INDEX('Inventory'!$H$9:$H$108,MATCH(D34,'Inventory'!$C$9:$C$108,0))="","",INDEX('Inventory'!$H$9:$H$108,MATCH(D34,'Inventory'!$C$9:$C$108,0))),""))),"Factor / boundary mismatch",IF(AND(F34="S2",IFERROR(IF(INDEX('Factors'!$I$9:$I$108,MATCH(J34,'Factors'!$C$9:$C$108,0))="","",INDEX('Factors'!$I$9:$I$108,MATCH(J34,'Factors'!$C$9:$C$108,0))),"")&lt;&gt;"Location-based"),"Use location factor",IF(M34&lt;&gt;"Actual","Estimation method review","Ready"))))))))))</x:f>
        <x:v>Ready</x:v>
      </x:c>
      <x:c r="W34" s="9" t="str">
        <x:f>IF(C34="","",IFERROR(IF(INDEX('Inventory'!$G$9:$G$108,MATCH(D34,'Inventory'!$C$9:$C$108,0))="","",INDEX('Inventory'!$G$9:$G$108,MATCH(D34,'Inventory'!$C$9:$C$108,0))),""))</x:f>
        <x:v>Egypt</x:v>
      </x:c>
      <x:c r="X34" s="9" t="str">
        <x:f>IF(C34="","",IFERROR(IF(INDEX('Factors'!$P$9:$P$108,MATCH(J34,'Factors'!$C$9:$C$108,0))="","",INDEX('Factors'!$P$9:$P$108,MATCH(J34,'Factors'!$C$9:$C$108,0))),""))</x:f>
        <x:v>Ready</x:v>
      </x:c>
    </x:row>
    <x:row r="35" ht="26" customHeight="1">
      <x:c r="A35" s="1"/>
      <x:c r="B35" s="1"/>
      <x:c r="C35" s="8" t="str">
        <x:v>ACT027</x:v>
      </x:c>
      <x:c r="D35" s="8" t="str">
        <x:v>B007</x:v>
      </x:c>
      <x:c r="E35" s="8" t="str">
        <x:v>S013</x:v>
      </x:c>
      <x:c r="F35" s="8" t="str">
        <x:v>S1</x:v>
      </x:c>
      <x:c r="G35" s="8" t="str">
        <x:v>Diesel</x:v>
      </x:c>
      <x:c r="H35" s="16" t="n">
        <x:v>9120000</x:v>
      </x:c>
      <x:c r="I35" s="8" t="str">
        <x:v>litre</x:v>
      </x:c>
      <x:c r="J35" s="8" t="str">
        <x:v>GLOBAL-DIESEL-26</x:v>
      </x:c>
      <x:c r="K35" s="22" t="n">
        <x:v>2026</x:v>
      </x:c>
      <x:c r="L35" s="8" t="str">
        <x:v>SYN-ACT-27</x:v>
      </x:c>
      <x:c r="M35" s="8" t="str">
        <x:v>Actual</x:v>
      </x:c>
      <x:c r="N35" s="40" t="n">
        <x:v>46752</x:v>
      </x:c>
      <x:c r="O35" s="41" t="n">
        <x:f>IF(C35="","",IFERROR(IF(INDEX('Factors'!$G$9:$G$108,MATCH(J35,'Factors'!$C$9:$C$108,0))="","",INDEX('Factors'!$G$9:$G$108,MATCH(J35,'Factors'!$C$9:$C$108,0))),""))</x:f>
        <x:v>2.68</x:v>
      </x:c>
      <x:c r="P35" s="9" t="str">
        <x:f>IF(C35="","",IFERROR(IF(INDEX('Factors'!$F$9:$F$108,MATCH(J35,'Factors'!$C$9:$C$108,0))="","",INDEX('Factors'!$F$9:$F$108,MATCH(J35,'Factors'!$C$9:$C$108,0))),""))</x:f>
        <x:v>litre</x:v>
      </x:c>
      <x:c r="Q35" s="9" t="str">
        <x:f>IF(C35="","",IFERROR(IF(INDEX('Factors'!$H$9:$H$108,MATCH(J35,'Factors'!$C$9:$C$108,0))="","",INDEX('Factors'!$H$9:$H$108,MATCH(J35,'Factors'!$C$9:$C$108,0))),""))</x:f>
        <x:v>S1</x:v>
      </x:c>
      <x:c r="R35" s="9" t="str">
        <x:f>IF(C35="","",IFERROR(IF(INDEX('Factors'!$E$9:$E$108,MATCH(J35,'Factors'!$C$9:$C$108,0))="","",INDEX('Factors'!$E$9:$E$108,MATCH(J35,'Factors'!$C$9:$C$108,0))),""))</x:f>
        <x:v>Global</x:v>
      </x:c>
      <x:c r="S35" s="42" t="n">
        <x:f>IF(C35="","",IFERROR(IF(INDEX('Factors'!$J$9:$J$108,MATCH(J35,'Factors'!$C$9:$C$108,0))="","",INDEX('Factors'!$J$9:$J$108,MATCH(J35,'Factors'!$C$9:$C$108,0))),""))</x:f>
        <x:v>2026</x:v>
      </x:c>
      <x:c r="T35" s="9" t="str">
        <x:f>IF(C35="","",IFERROR(IF(INDEX('Factors'!$L$9:$L$108,MATCH(J35,'Factors'!$C$9:$C$108,0))="","",INDEX('Factors'!$L$9:$L$108,MATCH(J35,'Factors'!$C$9:$C$108,0))),"")&amp;" / "&amp;IFERROR(IF(INDEX('Factors'!$M$9:$M$108,MATCH(J35,'Factors'!$C$9:$C$108,0))="","",INDEX('Factors'!$M$9:$M$108,MATCH(J35,'Factors'!$C$9:$C$108,0))),""))</x:f>
        <x:v>SYNTHETIC DEMO / SYN-2026.1</x:v>
      </x:c>
      <x:c r="U35" s="21" t="n">
        <x:f>IF(V35="Ready",H35*O35/1000,"")</x:f>
        <x:v>24441.6</x:v>
      </x:c>
      <x:c r="V35" s="9" t="str">
        <x:f>IF(C35="","",IF(OR(COUNTIFS($C$9:$C$308,C35)&lt;&gt;1,COUNTIFS($D$9:$D$308,D35,$E$9:$E$308,E35,$F$9:$F$308,F35,$G$9:$G$308,G35,$K$9:$K$308,K35)&lt;&gt;1),"Duplicate annual activity",IF(COUNTIFS('Inventory'!$C$9:$C$108,D35)&lt;&gt;1,"Entity required",IF(OR(E35="",L35="",NOT(ISNUMBER(H35)),H35&lt;0,NOT(ISNUMBER(K35)),NOT(ISNUMBER(N35))),"Missing activity input",IF(AND(E35&lt;&gt;D35,OR(COUNTIFS('Sites'!$C$9:$C$108,E35)&lt;&gt;1,IFERROR(IF(INDEX('Sites'!$D$9:$D$108,MATCH(E35,'Sites'!$C$9:$C$108,0))="","",INDEX('Sites'!$D$9:$D$108,MATCH(E35,'Sites'!$C$9:$C$108,0))),"")&lt;&gt;IFERROR(IF(INDEX('Inventory'!$D$9:$D$108,MATCH(D35,'Inventory'!$C$9:$C$108,0))="","",INDEX('Inventory'!$D$9:$D$108,MATCH(D35,'Inventory'!$C$9:$C$108,0))),""),IFERROR(IF(INDEX('Sites'!$E$9:$E$108,MATCH(E35,'Sites'!$C$9:$C$108,0))="","",INDEX('Sites'!$E$9:$E$108,MATCH(E35,'Sites'!$C$9:$C$108,0))),"")&lt;&gt;W35)),"Site / entity mismatch",IF(N35&lt;'Settings'!$F$8,"Expired",IF(X35&lt;&gt;"Ready","Factor required",IF(OR(G35&lt;&gt;IFERROR(IF(INDEX('Factors'!$D$9:$D$108,MATCH(J35,'Factors'!$C$9:$C$108,0))="","",INDEX('Factors'!$D$9:$D$108,MATCH(J35,'Factors'!$C$9:$C$108,0))),""),I35&lt;&gt;P35,F35&lt;&gt;Q35,K35&lt;&gt;S35,AND(R35&lt;&gt;"Global",R35&lt;&gt;W35),K35&lt;&gt;YEAR(IFERROR(IF(INDEX('Inventory'!$H$9:$H$108,MATCH(D35,'Inventory'!$C$9:$C$108,0))="","",INDEX('Inventory'!$H$9:$H$108,MATCH(D35,'Inventory'!$C$9:$C$108,0))),""))),"Factor / boundary mismatch",IF(AND(F35="S2",IFERROR(IF(INDEX('Factors'!$I$9:$I$108,MATCH(J35,'Factors'!$C$9:$C$108,0))="","",INDEX('Factors'!$I$9:$I$108,MATCH(J35,'Factors'!$C$9:$C$108,0))),"")&lt;&gt;"Location-based"),"Use location factor",IF(M35&lt;&gt;"Actual","Estimation method review","Ready"))))))))))</x:f>
        <x:v>Ready</x:v>
      </x:c>
      <x:c r="W35" s="9" t="str">
        <x:f>IF(C35="","",IFERROR(IF(INDEX('Inventory'!$G$9:$G$108,MATCH(D35,'Inventory'!$C$9:$C$108,0))="","",INDEX('Inventory'!$G$9:$G$108,MATCH(D35,'Inventory'!$C$9:$C$108,0))),""))</x:f>
        <x:v>Jordan</x:v>
      </x:c>
      <x:c r="X35" s="9" t="str">
        <x:f>IF(C35="","",IFERROR(IF(INDEX('Factors'!$P$9:$P$108,MATCH(J35,'Factors'!$C$9:$C$108,0))="","",INDEX('Factors'!$P$9:$P$108,MATCH(J35,'Factors'!$C$9:$C$108,0))),""))</x:f>
        <x:v>Ready</x:v>
      </x:c>
    </x:row>
    <x:row r="36" ht="26" customHeight="1">
      <x:c r="A36" s="1"/>
      <x:c r="B36" s="1"/>
      <x:c r="C36" s="8" t="str">
        <x:v>ACT028</x:v>
      </x:c>
      <x:c r="D36" s="8" t="str">
        <x:v>B007</x:v>
      </x:c>
      <x:c r="E36" s="8" t="str">
        <x:v>S013</x:v>
      </x:c>
      <x:c r="F36" s="8" t="str">
        <x:v>S2</x:v>
      </x:c>
      <x:c r="G36" s="8" t="str">
        <x:v>Electricity</x:v>
      </x:c>
      <x:c r="H36" s="16" t="n">
        <x:v>1000000</x:v>
      </x:c>
      <x:c r="I36" s="8" t="str">
        <x:v>kWh</x:v>
      </x:c>
      <x:c r="J36" s="8" t="str">
        <x:v>JO-GRID-26</x:v>
      </x:c>
      <x:c r="K36" s="22" t="n">
        <x:v>2026</x:v>
      </x:c>
      <x:c r="L36" s="8" t="str">
        <x:v>SYN-ACT-28</x:v>
      </x:c>
      <x:c r="M36" s="8" t="str">
        <x:v>Actual</x:v>
      </x:c>
      <x:c r="N36" s="40" t="n">
        <x:v>46752</x:v>
      </x:c>
      <x:c r="O36" s="41" t="n">
        <x:f>IF(C36="","",IFERROR(IF(INDEX('Factors'!$G$9:$G$108,MATCH(J36,'Factors'!$C$9:$C$108,0))="","",INDEX('Factors'!$G$9:$G$108,MATCH(J36,'Factors'!$C$9:$C$108,0))),""))</x:f>
        <x:v>0.43</x:v>
      </x:c>
      <x:c r="P36" s="9" t="str">
        <x:f>IF(C36="","",IFERROR(IF(INDEX('Factors'!$F$9:$F$108,MATCH(J36,'Factors'!$C$9:$C$108,0))="","",INDEX('Factors'!$F$9:$F$108,MATCH(J36,'Factors'!$C$9:$C$108,0))),""))</x:f>
        <x:v>kWh</x:v>
      </x:c>
      <x:c r="Q36" s="9" t="str">
        <x:f>IF(C36="","",IFERROR(IF(INDEX('Factors'!$H$9:$H$108,MATCH(J36,'Factors'!$C$9:$C$108,0))="","",INDEX('Factors'!$H$9:$H$108,MATCH(J36,'Factors'!$C$9:$C$108,0))),""))</x:f>
        <x:v>S2</x:v>
      </x:c>
      <x:c r="R36" s="9" t="str">
        <x:f>IF(C36="","",IFERROR(IF(INDEX('Factors'!$E$9:$E$108,MATCH(J36,'Factors'!$C$9:$C$108,0))="","",INDEX('Factors'!$E$9:$E$108,MATCH(J36,'Factors'!$C$9:$C$108,0))),""))</x:f>
        <x:v>Jordan</x:v>
      </x:c>
      <x:c r="S36" s="42" t="n">
        <x:f>IF(C36="","",IFERROR(IF(INDEX('Factors'!$J$9:$J$108,MATCH(J36,'Factors'!$C$9:$C$108,0))="","",INDEX('Factors'!$J$9:$J$108,MATCH(J36,'Factors'!$C$9:$C$108,0))),""))</x:f>
        <x:v>2026</x:v>
      </x:c>
      <x:c r="T36" s="9" t="str">
        <x:f>IF(C36="","",IFERROR(IF(INDEX('Factors'!$L$9:$L$108,MATCH(J36,'Factors'!$C$9:$C$108,0))="","",INDEX('Factors'!$L$9:$L$108,MATCH(J36,'Factors'!$C$9:$C$108,0))),"")&amp;" / "&amp;IFERROR(IF(INDEX('Factors'!$M$9:$M$108,MATCH(J36,'Factors'!$C$9:$C$108,0))="","",INDEX('Factors'!$M$9:$M$108,MATCH(J36,'Factors'!$C$9:$C$108,0))),""))</x:f>
        <x:v>SYNTHETIC DEMO / SYN-2026.1</x:v>
      </x:c>
      <x:c r="U36" s="21" t="n">
        <x:f>IF(V36="Ready",H36*O36/1000,"")</x:f>
        <x:v>430</x:v>
      </x:c>
      <x:c r="V36" s="9" t="str">
        <x:f>IF(C36="","",IF(OR(COUNTIFS($C$9:$C$308,C36)&lt;&gt;1,COUNTIFS($D$9:$D$308,D36,$E$9:$E$308,E36,$F$9:$F$308,F36,$G$9:$G$308,G36,$K$9:$K$308,K36)&lt;&gt;1),"Duplicate annual activity",IF(COUNTIFS('Inventory'!$C$9:$C$108,D36)&lt;&gt;1,"Entity required",IF(OR(E36="",L36="",NOT(ISNUMBER(H36)),H36&lt;0,NOT(ISNUMBER(K36)),NOT(ISNUMBER(N36))),"Missing activity input",IF(AND(E36&lt;&gt;D36,OR(COUNTIFS('Sites'!$C$9:$C$108,E36)&lt;&gt;1,IFERROR(IF(INDEX('Sites'!$D$9:$D$108,MATCH(E36,'Sites'!$C$9:$C$108,0))="","",INDEX('Sites'!$D$9:$D$108,MATCH(E36,'Sites'!$C$9:$C$108,0))),"")&lt;&gt;IFERROR(IF(INDEX('Inventory'!$D$9:$D$108,MATCH(D36,'Inventory'!$C$9:$C$108,0))="","",INDEX('Inventory'!$D$9:$D$108,MATCH(D36,'Inventory'!$C$9:$C$108,0))),""),IFERROR(IF(INDEX('Sites'!$E$9:$E$108,MATCH(E36,'Sites'!$C$9:$C$108,0))="","",INDEX('Sites'!$E$9:$E$108,MATCH(E36,'Sites'!$C$9:$C$108,0))),"")&lt;&gt;W36)),"Site / entity mismatch",IF(N36&lt;'Settings'!$F$8,"Expired",IF(X36&lt;&gt;"Ready","Factor required",IF(OR(G36&lt;&gt;IFERROR(IF(INDEX('Factors'!$D$9:$D$108,MATCH(J36,'Factors'!$C$9:$C$108,0))="","",INDEX('Factors'!$D$9:$D$108,MATCH(J36,'Factors'!$C$9:$C$108,0))),""),I36&lt;&gt;P36,F36&lt;&gt;Q36,K36&lt;&gt;S36,AND(R36&lt;&gt;"Global",R36&lt;&gt;W36),K36&lt;&gt;YEAR(IFERROR(IF(INDEX('Inventory'!$H$9:$H$108,MATCH(D36,'Inventory'!$C$9:$C$108,0))="","",INDEX('Inventory'!$H$9:$H$108,MATCH(D36,'Inventory'!$C$9:$C$108,0))),""))),"Factor / boundary mismatch",IF(AND(F36="S2",IFERROR(IF(INDEX('Factors'!$I$9:$I$108,MATCH(J36,'Factors'!$C$9:$C$108,0))="","",INDEX('Factors'!$I$9:$I$108,MATCH(J36,'Factors'!$C$9:$C$108,0))),"")&lt;&gt;"Location-based"),"Use location factor",IF(M36&lt;&gt;"Actual","Estimation method review","Ready"))))))))))</x:f>
        <x:v>Ready</x:v>
      </x:c>
      <x:c r="W36" s="9" t="str">
        <x:f>IF(C36="","",IFERROR(IF(INDEX('Inventory'!$G$9:$G$108,MATCH(D36,'Inventory'!$C$9:$C$108,0))="","",INDEX('Inventory'!$G$9:$G$108,MATCH(D36,'Inventory'!$C$9:$C$108,0))),""))</x:f>
        <x:v>Jordan</x:v>
      </x:c>
      <x:c r="X36" s="9" t="str">
        <x:f>IF(C36="","",IFERROR(IF(INDEX('Factors'!$P$9:$P$108,MATCH(J36,'Factors'!$C$9:$C$108,0))="","",INDEX('Factors'!$P$9:$P$108,MATCH(J36,'Factors'!$C$9:$C$108,0))),""))</x:f>
        <x:v>Ready</x:v>
      </x:c>
    </x:row>
    <x:row r="37" ht="26" customHeight="1">
      <x:c r="A37" s="1"/>
      <x:c r="B37" s="1"/>
      <x:c r="C37" s="8" t="str">
        <x:v>ACT029</x:v>
      </x:c>
      <x:c r="D37" s="8" t="str">
        <x:v>B007</x:v>
      </x:c>
      <x:c r="E37" s="8" t="str">
        <x:v>S013</x:v>
      </x:c>
      <x:c r="F37" s="8" t="str">
        <x:v>S1</x:v>
      </x:c>
      <x:c r="G37" s="8" t="str">
        <x:v>Clinker process</x:v>
      </x:c>
      <x:c r="H37" s="16" t="n">
        <x:v>76200</x:v>
      </x:c>
      <x:c r="I37" s="8" t="str">
        <x:v>t clinker</x:v>
      </x:c>
      <x:c r="J37" s="8" t="str">
        <x:v>GLOBAL-CLINKER-26</x:v>
      </x:c>
      <x:c r="K37" s="22" t="n">
        <x:v>2026</x:v>
      </x:c>
      <x:c r="L37" s="8" t="str">
        <x:v>SYN-ACT-29</x:v>
      </x:c>
      <x:c r="M37" s="8" t="str">
        <x:v>Actual</x:v>
      </x:c>
      <x:c r="N37" s="40" t="n">
        <x:v>46752</x:v>
      </x:c>
      <x:c r="O37" s="41" t="n">
        <x:f>IF(C37="","",IFERROR(IF(INDEX('Factors'!$G$9:$G$108,MATCH(J37,'Factors'!$C$9:$C$108,0))="","",INDEX('Factors'!$G$9:$G$108,MATCH(J37,'Factors'!$C$9:$C$108,0))),""))</x:f>
        <x:v>525</x:v>
      </x:c>
      <x:c r="P37" s="9" t="str">
        <x:f>IF(C37="","",IFERROR(IF(INDEX('Factors'!$F$9:$F$108,MATCH(J37,'Factors'!$C$9:$C$108,0))="","",INDEX('Factors'!$F$9:$F$108,MATCH(J37,'Factors'!$C$9:$C$108,0))),""))</x:f>
        <x:v>t clinker</x:v>
      </x:c>
      <x:c r="Q37" s="9" t="str">
        <x:f>IF(C37="","",IFERROR(IF(INDEX('Factors'!$H$9:$H$108,MATCH(J37,'Factors'!$C$9:$C$108,0))="","",INDEX('Factors'!$H$9:$H$108,MATCH(J37,'Factors'!$C$9:$C$108,0))),""))</x:f>
        <x:v>S1</x:v>
      </x:c>
      <x:c r="R37" s="9" t="str">
        <x:f>IF(C37="","",IFERROR(IF(INDEX('Factors'!$E$9:$E$108,MATCH(J37,'Factors'!$C$9:$C$108,0))="","",INDEX('Factors'!$E$9:$E$108,MATCH(J37,'Factors'!$C$9:$C$108,0))),""))</x:f>
        <x:v>Global</x:v>
      </x:c>
      <x:c r="S37" s="42" t="n">
        <x:f>IF(C37="","",IFERROR(IF(INDEX('Factors'!$J$9:$J$108,MATCH(J37,'Factors'!$C$9:$C$108,0))="","",INDEX('Factors'!$J$9:$J$108,MATCH(J37,'Factors'!$C$9:$C$108,0))),""))</x:f>
        <x:v>2026</x:v>
      </x:c>
      <x:c r="T37" s="9" t="str">
        <x:f>IF(C37="","",IFERROR(IF(INDEX('Factors'!$L$9:$L$108,MATCH(J37,'Factors'!$C$9:$C$108,0))="","",INDEX('Factors'!$L$9:$L$108,MATCH(J37,'Factors'!$C$9:$C$108,0))),"")&amp;" / "&amp;IFERROR(IF(INDEX('Factors'!$M$9:$M$108,MATCH(J37,'Factors'!$C$9:$C$108,0))="","",INDEX('Factors'!$M$9:$M$108,MATCH(J37,'Factors'!$C$9:$C$108,0))),""))</x:f>
        <x:v>SYNTHETIC DEMO / SYN-2026.1</x:v>
      </x:c>
      <x:c r="U37" s="21" t="n">
        <x:f>IF(V37="Ready",H37*O37/1000,"")</x:f>
        <x:v>40005</x:v>
      </x:c>
      <x:c r="V37" s="9" t="str">
        <x:f>IF(C37="","",IF(OR(COUNTIFS($C$9:$C$308,C37)&lt;&gt;1,COUNTIFS($D$9:$D$308,D37,$E$9:$E$308,E37,$F$9:$F$308,F37,$G$9:$G$308,G37,$K$9:$K$308,K37)&lt;&gt;1),"Duplicate annual activity",IF(COUNTIFS('Inventory'!$C$9:$C$108,D37)&lt;&gt;1,"Entity required",IF(OR(E37="",L37="",NOT(ISNUMBER(H37)),H37&lt;0,NOT(ISNUMBER(K37)),NOT(ISNUMBER(N37))),"Missing activity input",IF(AND(E37&lt;&gt;D37,OR(COUNTIFS('Sites'!$C$9:$C$108,E37)&lt;&gt;1,IFERROR(IF(INDEX('Sites'!$D$9:$D$108,MATCH(E37,'Sites'!$C$9:$C$108,0))="","",INDEX('Sites'!$D$9:$D$108,MATCH(E37,'Sites'!$C$9:$C$108,0))),"")&lt;&gt;IFERROR(IF(INDEX('Inventory'!$D$9:$D$108,MATCH(D37,'Inventory'!$C$9:$C$108,0))="","",INDEX('Inventory'!$D$9:$D$108,MATCH(D37,'Inventory'!$C$9:$C$108,0))),""),IFERROR(IF(INDEX('Sites'!$E$9:$E$108,MATCH(E37,'Sites'!$C$9:$C$108,0))="","",INDEX('Sites'!$E$9:$E$108,MATCH(E37,'Sites'!$C$9:$C$108,0))),"")&lt;&gt;W37)),"Site / entity mismatch",IF(N37&lt;'Settings'!$F$8,"Expired",IF(X37&lt;&gt;"Ready","Factor required",IF(OR(G37&lt;&gt;IFERROR(IF(INDEX('Factors'!$D$9:$D$108,MATCH(J37,'Factors'!$C$9:$C$108,0))="","",INDEX('Factors'!$D$9:$D$108,MATCH(J37,'Factors'!$C$9:$C$108,0))),""),I37&lt;&gt;P37,F37&lt;&gt;Q37,K37&lt;&gt;S37,AND(R37&lt;&gt;"Global",R37&lt;&gt;W37),K37&lt;&gt;YEAR(IFERROR(IF(INDEX('Inventory'!$H$9:$H$108,MATCH(D37,'Inventory'!$C$9:$C$108,0))="","",INDEX('Inventory'!$H$9:$H$108,MATCH(D37,'Inventory'!$C$9:$C$108,0))),""))),"Factor / boundary mismatch",IF(AND(F37="S2",IFERROR(IF(INDEX('Factors'!$I$9:$I$108,MATCH(J37,'Factors'!$C$9:$C$108,0))="","",INDEX('Factors'!$I$9:$I$108,MATCH(J37,'Factors'!$C$9:$C$108,0))),"")&lt;&gt;"Location-based"),"Use location factor",IF(M37&lt;&gt;"Actual","Estimation method review","Ready"))))))))))</x:f>
        <x:v>Ready</x:v>
      </x:c>
      <x:c r="W37" s="9" t="str">
        <x:f>IF(C37="","",IFERROR(IF(INDEX('Inventory'!$G$9:$G$108,MATCH(D37,'Inventory'!$C$9:$C$108,0))="","",INDEX('Inventory'!$G$9:$G$108,MATCH(D37,'Inventory'!$C$9:$C$108,0))),""))</x:f>
        <x:v>Jordan</x:v>
      </x:c>
      <x:c r="X37" s="9" t="str">
        <x:f>IF(C37="","",IFERROR(IF(INDEX('Factors'!$P$9:$P$108,MATCH(J37,'Factors'!$C$9:$C$108,0))="","",INDEX('Factors'!$P$9:$P$108,MATCH(J37,'Factors'!$C$9:$C$108,0))),""))</x:f>
        <x:v>Ready</x:v>
      </x:c>
    </x:row>
    <x:row r="38" ht="26" customHeight="1">
      <x:c r="A38" s="1"/>
      <x:c r="B38" s="1"/>
      <x:c r="C38" s="8" t="str">
        <x:v>ACT030</x:v>
      </x:c>
      <x:c r="D38" s="8" t="str">
        <x:v>B007</x:v>
      </x:c>
      <x:c r="E38" s="8" t="str">
        <x:v>S014</x:v>
      </x:c>
      <x:c r="F38" s="8" t="str">
        <x:v>S1</x:v>
      </x:c>
      <x:c r="G38" s="8" t="str">
        <x:v>Diesel</x:v>
      </x:c>
      <x:c r="H38" s="16" t="n">
        <x:v>9130000</x:v>
      </x:c>
      <x:c r="I38" s="8" t="str">
        <x:v>litre</x:v>
      </x:c>
      <x:c r="J38" s="8" t="str">
        <x:v>GLOBAL-DIESEL-26</x:v>
      </x:c>
      <x:c r="K38" s="22" t="n">
        <x:v>2026</x:v>
      </x:c>
      <x:c r="L38" s="8" t="str">
        <x:v>SYN-ACT-30</x:v>
      </x:c>
      <x:c r="M38" s="8" t="str">
        <x:v>Actual</x:v>
      </x:c>
      <x:c r="N38" s="40" t="n">
        <x:v>46752</x:v>
      </x:c>
      <x:c r="O38" s="41" t="n">
        <x:f>IF(C38="","",IFERROR(IF(INDEX('Factors'!$G$9:$G$108,MATCH(J38,'Factors'!$C$9:$C$108,0))="","",INDEX('Factors'!$G$9:$G$108,MATCH(J38,'Factors'!$C$9:$C$108,0))),""))</x:f>
        <x:v>2.68</x:v>
      </x:c>
      <x:c r="P38" s="9" t="str">
        <x:f>IF(C38="","",IFERROR(IF(INDEX('Factors'!$F$9:$F$108,MATCH(J38,'Factors'!$C$9:$C$108,0))="","",INDEX('Factors'!$F$9:$F$108,MATCH(J38,'Factors'!$C$9:$C$108,0))),""))</x:f>
        <x:v>litre</x:v>
      </x:c>
      <x:c r="Q38" s="9" t="str">
        <x:f>IF(C38="","",IFERROR(IF(INDEX('Factors'!$H$9:$H$108,MATCH(J38,'Factors'!$C$9:$C$108,0))="","",INDEX('Factors'!$H$9:$H$108,MATCH(J38,'Factors'!$C$9:$C$108,0))),""))</x:f>
        <x:v>S1</x:v>
      </x:c>
      <x:c r="R38" s="9" t="str">
        <x:f>IF(C38="","",IFERROR(IF(INDEX('Factors'!$E$9:$E$108,MATCH(J38,'Factors'!$C$9:$C$108,0))="","",INDEX('Factors'!$E$9:$E$108,MATCH(J38,'Factors'!$C$9:$C$108,0))),""))</x:f>
        <x:v>Global</x:v>
      </x:c>
      <x:c r="S38" s="42" t="n">
        <x:f>IF(C38="","",IFERROR(IF(INDEX('Factors'!$J$9:$J$108,MATCH(J38,'Factors'!$C$9:$C$108,0))="","",INDEX('Factors'!$J$9:$J$108,MATCH(J38,'Factors'!$C$9:$C$108,0))),""))</x:f>
        <x:v>2026</x:v>
      </x:c>
      <x:c r="T38" s="9" t="str">
        <x:f>IF(C38="","",IFERROR(IF(INDEX('Factors'!$L$9:$L$108,MATCH(J38,'Factors'!$C$9:$C$108,0))="","",INDEX('Factors'!$L$9:$L$108,MATCH(J38,'Factors'!$C$9:$C$108,0))),"")&amp;" / "&amp;IFERROR(IF(INDEX('Factors'!$M$9:$M$108,MATCH(J38,'Factors'!$C$9:$C$108,0))="","",INDEX('Factors'!$M$9:$M$108,MATCH(J38,'Factors'!$C$9:$C$108,0))),""))</x:f>
        <x:v>SYNTHETIC DEMO / SYN-2026.1</x:v>
      </x:c>
      <x:c r="U38" s="21" t="n">
        <x:f>IF(V38="Ready",H38*O38/1000,"")</x:f>
        <x:v>24468.4</x:v>
      </x:c>
      <x:c r="V38" s="9" t="str">
        <x:f>IF(C38="","",IF(OR(COUNTIFS($C$9:$C$308,C38)&lt;&gt;1,COUNTIFS($D$9:$D$308,D38,$E$9:$E$308,E38,$F$9:$F$308,F38,$G$9:$G$308,G38,$K$9:$K$308,K38)&lt;&gt;1),"Duplicate annual activity",IF(COUNTIFS('Inventory'!$C$9:$C$108,D38)&lt;&gt;1,"Entity required",IF(OR(E38="",L38="",NOT(ISNUMBER(H38)),H38&lt;0,NOT(ISNUMBER(K38)),NOT(ISNUMBER(N38))),"Missing activity input",IF(AND(E38&lt;&gt;D38,OR(COUNTIFS('Sites'!$C$9:$C$108,E38)&lt;&gt;1,IFERROR(IF(INDEX('Sites'!$D$9:$D$108,MATCH(E38,'Sites'!$C$9:$C$108,0))="","",INDEX('Sites'!$D$9:$D$108,MATCH(E38,'Sites'!$C$9:$C$108,0))),"")&lt;&gt;IFERROR(IF(INDEX('Inventory'!$D$9:$D$108,MATCH(D38,'Inventory'!$C$9:$C$108,0))="","",INDEX('Inventory'!$D$9:$D$108,MATCH(D38,'Inventory'!$C$9:$C$108,0))),""),IFERROR(IF(INDEX('Sites'!$E$9:$E$108,MATCH(E38,'Sites'!$C$9:$C$108,0))="","",INDEX('Sites'!$E$9:$E$108,MATCH(E38,'Sites'!$C$9:$C$108,0))),"")&lt;&gt;W38)),"Site / entity mismatch",IF(N38&lt;'Settings'!$F$8,"Expired",IF(X38&lt;&gt;"Ready","Factor required",IF(OR(G38&lt;&gt;IFERROR(IF(INDEX('Factors'!$D$9:$D$108,MATCH(J38,'Factors'!$C$9:$C$108,0))="","",INDEX('Factors'!$D$9:$D$108,MATCH(J38,'Factors'!$C$9:$C$108,0))),""),I38&lt;&gt;P38,F38&lt;&gt;Q38,K38&lt;&gt;S38,AND(R38&lt;&gt;"Global",R38&lt;&gt;W38),K38&lt;&gt;YEAR(IFERROR(IF(INDEX('Inventory'!$H$9:$H$108,MATCH(D38,'Inventory'!$C$9:$C$108,0))="","",INDEX('Inventory'!$H$9:$H$108,MATCH(D38,'Inventory'!$C$9:$C$108,0))),""))),"Factor / boundary mismatch",IF(AND(F38="S2",IFERROR(IF(INDEX('Factors'!$I$9:$I$108,MATCH(J38,'Factors'!$C$9:$C$108,0))="","",INDEX('Factors'!$I$9:$I$108,MATCH(J38,'Factors'!$C$9:$C$108,0))),"")&lt;&gt;"Location-based"),"Use location factor",IF(M38&lt;&gt;"Actual","Estimation method review","Ready"))))))))))</x:f>
        <x:v>Ready</x:v>
      </x:c>
      <x:c r="W38" s="9" t="str">
        <x:f>IF(C38="","",IFERROR(IF(INDEX('Inventory'!$G$9:$G$108,MATCH(D38,'Inventory'!$C$9:$C$108,0))="","",INDEX('Inventory'!$G$9:$G$108,MATCH(D38,'Inventory'!$C$9:$C$108,0))),""))</x:f>
        <x:v>Jordan</x:v>
      </x:c>
      <x:c r="X38" s="9" t="str">
        <x:f>IF(C38="","",IFERROR(IF(INDEX('Factors'!$P$9:$P$108,MATCH(J38,'Factors'!$C$9:$C$108,0))="","",INDEX('Factors'!$P$9:$P$108,MATCH(J38,'Factors'!$C$9:$C$108,0))),""))</x:f>
        <x:v>Ready</x:v>
      </x:c>
    </x:row>
    <x:row r="39" ht="26" customHeight="1">
      <x:c r="A39" s="1"/>
      <x:c r="B39" s="1"/>
      <x:c r="C39" s="8" t="str">
        <x:v>ACT031</x:v>
      </x:c>
      <x:c r="D39" s="8" t="str">
        <x:v>B007</x:v>
      </x:c>
      <x:c r="E39" s="8" t="str">
        <x:v>S014</x:v>
      </x:c>
      <x:c r="F39" s="8" t="str">
        <x:v>S2</x:v>
      </x:c>
      <x:c r="G39" s="8" t="str">
        <x:v>Electricity</x:v>
      </x:c>
      <x:c r="H39" s="16" t="n">
        <x:v>1025000</x:v>
      </x:c>
      <x:c r="I39" s="8" t="str">
        <x:v>kWh</x:v>
      </x:c>
      <x:c r="J39" s="8" t="str">
        <x:v>JO-GRID-26</x:v>
      </x:c>
      <x:c r="K39" s="22" t="n">
        <x:v>2026</x:v>
      </x:c>
      <x:c r="L39" s="8" t="str">
        <x:v>SYN-ACT-31</x:v>
      </x:c>
      <x:c r="M39" s="8" t="str">
        <x:v>Actual</x:v>
      </x:c>
      <x:c r="N39" s="40" t="n">
        <x:v>46752</x:v>
      </x:c>
      <x:c r="O39" s="41" t="n">
        <x:f>IF(C39="","",IFERROR(IF(INDEX('Factors'!$G$9:$G$108,MATCH(J39,'Factors'!$C$9:$C$108,0))="","",INDEX('Factors'!$G$9:$G$108,MATCH(J39,'Factors'!$C$9:$C$108,0))),""))</x:f>
        <x:v>0.43</x:v>
      </x:c>
      <x:c r="P39" s="9" t="str">
        <x:f>IF(C39="","",IFERROR(IF(INDEX('Factors'!$F$9:$F$108,MATCH(J39,'Factors'!$C$9:$C$108,0))="","",INDEX('Factors'!$F$9:$F$108,MATCH(J39,'Factors'!$C$9:$C$108,0))),""))</x:f>
        <x:v>kWh</x:v>
      </x:c>
      <x:c r="Q39" s="9" t="str">
        <x:f>IF(C39="","",IFERROR(IF(INDEX('Factors'!$H$9:$H$108,MATCH(J39,'Factors'!$C$9:$C$108,0))="","",INDEX('Factors'!$H$9:$H$108,MATCH(J39,'Factors'!$C$9:$C$108,0))),""))</x:f>
        <x:v>S2</x:v>
      </x:c>
      <x:c r="R39" s="9" t="str">
        <x:f>IF(C39="","",IFERROR(IF(INDEX('Factors'!$E$9:$E$108,MATCH(J39,'Factors'!$C$9:$C$108,0))="","",INDEX('Factors'!$E$9:$E$108,MATCH(J39,'Factors'!$C$9:$C$108,0))),""))</x:f>
        <x:v>Jordan</x:v>
      </x:c>
      <x:c r="S39" s="42" t="n">
        <x:f>IF(C39="","",IFERROR(IF(INDEX('Factors'!$J$9:$J$108,MATCH(J39,'Factors'!$C$9:$C$108,0))="","",INDEX('Factors'!$J$9:$J$108,MATCH(J39,'Factors'!$C$9:$C$108,0))),""))</x:f>
        <x:v>2026</x:v>
      </x:c>
      <x:c r="T39" s="9" t="str">
        <x:f>IF(C39="","",IFERROR(IF(INDEX('Factors'!$L$9:$L$108,MATCH(J39,'Factors'!$C$9:$C$108,0))="","",INDEX('Factors'!$L$9:$L$108,MATCH(J39,'Factors'!$C$9:$C$108,0))),"")&amp;" / "&amp;IFERROR(IF(INDEX('Factors'!$M$9:$M$108,MATCH(J39,'Factors'!$C$9:$C$108,0))="","",INDEX('Factors'!$M$9:$M$108,MATCH(J39,'Factors'!$C$9:$C$108,0))),""))</x:f>
        <x:v>SYNTHETIC DEMO / SYN-2026.1</x:v>
      </x:c>
      <x:c r="U39" s="21" t="n">
        <x:f>IF(V39="Ready",H39*O39/1000,"")</x:f>
        <x:v>440.75</x:v>
      </x:c>
      <x:c r="V39" s="9" t="str">
        <x:f>IF(C39="","",IF(OR(COUNTIFS($C$9:$C$308,C39)&lt;&gt;1,COUNTIFS($D$9:$D$308,D39,$E$9:$E$308,E39,$F$9:$F$308,F39,$G$9:$G$308,G39,$K$9:$K$308,K39)&lt;&gt;1),"Duplicate annual activity",IF(COUNTIFS('Inventory'!$C$9:$C$108,D39)&lt;&gt;1,"Entity required",IF(OR(E39="",L39="",NOT(ISNUMBER(H39)),H39&lt;0,NOT(ISNUMBER(K39)),NOT(ISNUMBER(N39))),"Missing activity input",IF(AND(E39&lt;&gt;D39,OR(COUNTIFS('Sites'!$C$9:$C$108,E39)&lt;&gt;1,IFERROR(IF(INDEX('Sites'!$D$9:$D$108,MATCH(E39,'Sites'!$C$9:$C$108,0))="","",INDEX('Sites'!$D$9:$D$108,MATCH(E39,'Sites'!$C$9:$C$108,0))),"")&lt;&gt;IFERROR(IF(INDEX('Inventory'!$D$9:$D$108,MATCH(D39,'Inventory'!$C$9:$C$108,0))="","",INDEX('Inventory'!$D$9:$D$108,MATCH(D39,'Inventory'!$C$9:$C$108,0))),""),IFERROR(IF(INDEX('Sites'!$E$9:$E$108,MATCH(E39,'Sites'!$C$9:$C$108,0))="","",INDEX('Sites'!$E$9:$E$108,MATCH(E39,'Sites'!$C$9:$C$108,0))),"")&lt;&gt;W39)),"Site / entity mismatch",IF(N39&lt;'Settings'!$F$8,"Expired",IF(X39&lt;&gt;"Ready","Factor required",IF(OR(G39&lt;&gt;IFERROR(IF(INDEX('Factors'!$D$9:$D$108,MATCH(J39,'Factors'!$C$9:$C$108,0))="","",INDEX('Factors'!$D$9:$D$108,MATCH(J39,'Factors'!$C$9:$C$108,0))),""),I39&lt;&gt;P39,F39&lt;&gt;Q39,K39&lt;&gt;S39,AND(R39&lt;&gt;"Global",R39&lt;&gt;W39),K39&lt;&gt;YEAR(IFERROR(IF(INDEX('Inventory'!$H$9:$H$108,MATCH(D39,'Inventory'!$C$9:$C$108,0))="","",INDEX('Inventory'!$H$9:$H$108,MATCH(D39,'Inventory'!$C$9:$C$108,0))),""))),"Factor / boundary mismatch",IF(AND(F39="S2",IFERROR(IF(INDEX('Factors'!$I$9:$I$108,MATCH(J39,'Factors'!$C$9:$C$108,0))="","",INDEX('Factors'!$I$9:$I$108,MATCH(J39,'Factors'!$C$9:$C$108,0))),"")&lt;&gt;"Location-based"),"Use location factor",IF(M39&lt;&gt;"Actual","Estimation method review","Ready"))))))))))</x:f>
        <x:v>Ready</x:v>
      </x:c>
      <x:c r="W39" s="9" t="str">
        <x:f>IF(C39="","",IFERROR(IF(INDEX('Inventory'!$G$9:$G$108,MATCH(D39,'Inventory'!$C$9:$C$108,0))="","",INDEX('Inventory'!$G$9:$G$108,MATCH(D39,'Inventory'!$C$9:$C$108,0))),""))</x:f>
        <x:v>Jordan</x:v>
      </x:c>
      <x:c r="X39" s="9" t="str">
        <x:f>IF(C39="","",IFERROR(IF(INDEX('Factors'!$P$9:$P$108,MATCH(J39,'Factors'!$C$9:$C$108,0))="","",INDEX('Factors'!$P$9:$P$108,MATCH(J39,'Factors'!$C$9:$C$108,0))),""))</x:f>
        <x:v>Ready</x:v>
      </x:c>
    </x:row>
    <x:row r="40" ht="26" customHeight="1">
      <x:c r="A40" s="1"/>
      <x:c r="B40" s="1"/>
      <x:c r="C40" s="8" t="str">
        <x:v>ACT032</x:v>
      </x:c>
      <x:c r="D40" s="8" t="str">
        <x:v>B007</x:v>
      </x:c>
      <x:c r="E40" s="8" t="str">
        <x:v>S014</x:v>
      </x:c>
      <x:c r="F40" s="8" t="str">
        <x:v>S1</x:v>
      </x:c>
      <x:c r="G40" s="8" t="str">
        <x:v>Clinker process</x:v>
      </x:c>
      <x:c r="H40" s="16" t="n">
        <x:v>76300</x:v>
      </x:c>
      <x:c r="I40" s="8" t="str">
        <x:v>t clinker</x:v>
      </x:c>
      <x:c r="J40" s="8" t="str">
        <x:v>GLOBAL-CLINKER-26</x:v>
      </x:c>
      <x:c r="K40" s="22" t="n">
        <x:v>2026</x:v>
      </x:c>
      <x:c r="L40" s="8" t="str">
        <x:v>SYN-ACT-32</x:v>
      </x:c>
      <x:c r="M40" s="8" t="str">
        <x:v>Actual</x:v>
      </x:c>
      <x:c r="N40" s="40" t="n">
        <x:v>46752</x:v>
      </x:c>
      <x:c r="O40" s="41" t="n">
        <x:f>IF(C40="","",IFERROR(IF(INDEX('Factors'!$G$9:$G$108,MATCH(J40,'Factors'!$C$9:$C$108,0))="","",INDEX('Factors'!$G$9:$G$108,MATCH(J40,'Factors'!$C$9:$C$108,0))),""))</x:f>
        <x:v>525</x:v>
      </x:c>
      <x:c r="P40" s="9" t="str">
        <x:f>IF(C40="","",IFERROR(IF(INDEX('Factors'!$F$9:$F$108,MATCH(J40,'Factors'!$C$9:$C$108,0))="","",INDEX('Factors'!$F$9:$F$108,MATCH(J40,'Factors'!$C$9:$C$108,0))),""))</x:f>
        <x:v>t clinker</x:v>
      </x:c>
      <x:c r="Q40" s="9" t="str">
        <x:f>IF(C40="","",IFERROR(IF(INDEX('Factors'!$H$9:$H$108,MATCH(J40,'Factors'!$C$9:$C$108,0))="","",INDEX('Factors'!$H$9:$H$108,MATCH(J40,'Factors'!$C$9:$C$108,0))),""))</x:f>
        <x:v>S1</x:v>
      </x:c>
      <x:c r="R40" s="9" t="str">
        <x:f>IF(C40="","",IFERROR(IF(INDEX('Factors'!$E$9:$E$108,MATCH(J40,'Factors'!$C$9:$C$108,0))="","",INDEX('Factors'!$E$9:$E$108,MATCH(J40,'Factors'!$C$9:$C$108,0))),""))</x:f>
        <x:v>Global</x:v>
      </x:c>
      <x:c r="S40" s="42" t="n">
        <x:f>IF(C40="","",IFERROR(IF(INDEX('Factors'!$J$9:$J$108,MATCH(J40,'Factors'!$C$9:$C$108,0))="","",INDEX('Factors'!$J$9:$J$108,MATCH(J40,'Factors'!$C$9:$C$108,0))),""))</x:f>
        <x:v>2026</x:v>
      </x:c>
      <x:c r="T40" s="9" t="str">
        <x:f>IF(C40="","",IFERROR(IF(INDEX('Factors'!$L$9:$L$108,MATCH(J40,'Factors'!$C$9:$C$108,0))="","",INDEX('Factors'!$L$9:$L$108,MATCH(J40,'Factors'!$C$9:$C$108,0))),"")&amp;" / "&amp;IFERROR(IF(INDEX('Factors'!$M$9:$M$108,MATCH(J40,'Factors'!$C$9:$C$108,0))="","",INDEX('Factors'!$M$9:$M$108,MATCH(J40,'Factors'!$C$9:$C$108,0))),""))</x:f>
        <x:v>SYNTHETIC DEMO / SYN-2026.1</x:v>
      </x:c>
      <x:c r="U40" s="21" t="n">
        <x:f>IF(V40="Ready",H40*O40/1000,"")</x:f>
        <x:v>40057.5</x:v>
      </x:c>
      <x:c r="V40" s="9" t="str">
        <x:f>IF(C40="","",IF(OR(COUNTIFS($C$9:$C$308,C40)&lt;&gt;1,COUNTIFS($D$9:$D$308,D40,$E$9:$E$308,E40,$F$9:$F$308,F40,$G$9:$G$308,G40,$K$9:$K$308,K40)&lt;&gt;1),"Duplicate annual activity",IF(COUNTIFS('Inventory'!$C$9:$C$108,D40)&lt;&gt;1,"Entity required",IF(OR(E40="",L40="",NOT(ISNUMBER(H40)),H40&lt;0,NOT(ISNUMBER(K40)),NOT(ISNUMBER(N40))),"Missing activity input",IF(AND(E40&lt;&gt;D40,OR(COUNTIFS('Sites'!$C$9:$C$108,E40)&lt;&gt;1,IFERROR(IF(INDEX('Sites'!$D$9:$D$108,MATCH(E40,'Sites'!$C$9:$C$108,0))="","",INDEX('Sites'!$D$9:$D$108,MATCH(E40,'Sites'!$C$9:$C$108,0))),"")&lt;&gt;IFERROR(IF(INDEX('Inventory'!$D$9:$D$108,MATCH(D40,'Inventory'!$C$9:$C$108,0))="","",INDEX('Inventory'!$D$9:$D$108,MATCH(D40,'Inventory'!$C$9:$C$108,0))),""),IFERROR(IF(INDEX('Sites'!$E$9:$E$108,MATCH(E40,'Sites'!$C$9:$C$108,0))="","",INDEX('Sites'!$E$9:$E$108,MATCH(E40,'Sites'!$C$9:$C$108,0))),"")&lt;&gt;W40)),"Site / entity mismatch",IF(N40&lt;'Settings'!$F$8,"Expired",IF(X40&lt;&gt;"Ready","Factor required",IF(OR(G40&lt;&gt;IFERROR(IF(INDEX('Factors'!$D$9:$D$108,MATCH(J40,'Factors'!$C$9:$C$108,0))="","",INDEX('Factors'!$D$9:$D$108,MATCH(J40,'Factors'!$C$9:$C$108,0))),""),I40&lt;&gt;P40,F40&lt;&gt;Q40,K40&lt;&gt;S40,AND(R40&lt;&gt;"Global",R40&lt;&gt;W40),K40&lt;&gt;YEAR(IFERROR(IF(INDEX('Inventory'!$H$9:$H$108,MATCH(D40,'Inventory'!$C$9:$C$108,0))="","",INDEX('Inventory'!$H$9:$H$108,MATCH(D40,'Inventory'!$C$9:$C$108,0))),""))),"Factor / boundary mismatch",IF(AND(F40="S2",IFERROR(IF(INDEX('Factors'!$I$9:$I$108,MATCH(J40,'Factors'!$C$9:$C$108,0))="","",INDEX('Factors'!$I$9:$I$108,MATCH(J40,'Factors'!$C$9:$C$108,0))),"")&lt;&gt;"Location-based"),"Use location factor",IF(M40&lt;&gt;"Actual","Estimation method review","Ready"))))))))))</x:f>
        <x:v>Ready</x:v>
      </x:c>
      <x:c r="W40" s="9" t="str">
        <x:f>IF(C40="","",IFERROR(IF(INDEX('Inventory'!$G$9:$G$108,MATCH(D40,'Inventory'!$C$9:$C$108,0))="","",INDEX('Inventory'!$G$9:$G$108,MATCH(D40,'Inventory'!$C$9:$C$108,0))),""))</x:f>
        <x:v>Jordan</x:v>
      </x:c>
      <x:c r="X40" s="9" t="str">
        <x:f>IF(C40="","",IFERROR(IF(INDEX('Factors'!$P$9:$P$108,MATCH(J40,'Factors'!$C$9:$C$108,0))="","",INDEX('Factors'!$P$9:$P$108,MATCH(J40,'Factors'!$C$9:$C$108,0))),""))</x:f>
        <x:v>Ready</x:v>
      </x:c>
    </x:row>
    <x:row r="41" ht="26" customHeight="1">
      <x:c r="A41" s="1"/>
      <x:c r="B41" s="1"/>
      <x:c r="C41" s="8" t="str">
        <x:v>ACT033</x:v>
      </x:c>
      <x:c r="D41" s="8" t="str">
        <x:v>B008</x:v>
      </x:c>
      <x:c r="E41" s="8" t="str">
        <x:v>S015</x:v>
      </x:c>
      <x:c r="F41" s="8" t="str">
        <x:v>S1</x:v>
      </x:c>
      <x:c r="G41" s="8" t="str">
        <x:v>Diesel</x:v>
      </x:c>
      <x:c r="H41" s="16" t="n">
        <x:v>1500</x:v>
      </x:c>
      <x:c r="I41" s="8" t="str">
        <x:v>litre</x:v>
      </x:c>
      <x:c r="J41" s="8" t="str">
        <x:v>GLOBAL-DIESEL-26</x:v>
      </x:c>
      <x:c r="K41" s="22" t="n">
        <x:v>2026</x:v>
      </x:c>
      <x:c r="L41" s="8" t="str">
        <x:v>SYN-ACT-33</x:v>
      </x:c>
      <x:c r="M41" s="8" t="str">
        <x:v>Actual</x:v>
      </x:c>
      <x:c r="N41" s="40" t="n">
        <x:v>46752</x:v>
      </x:c>
      <x:c r="O41" s="41" t="n">
        <x:f>IF(C41="","",IFERROR(IF(INDEX('Factors'!$G$9:$G$108,MATCH(J41,'Factors'!$C$9:$C$108,0))="","",INDEX('Factors'!$G$9:$G$108,MATCH(J41,'Factors'!$C$9:$C$108,0))),""))</x:f>
        <x:v>2.68</x:v>
      </x:c>
      <x:c r="P41" s="9" t="str">
        <x:f>IF(C41="","",IFERROR(IF(INDEX('Factors'!$F$9:$F$108,MATCH(J41,'Factors'!$C$9:$C$108,0))="","",INDEX('Factors'!$F$9:$F$108,MATCH(J41,'Factors'!$C$9:$C$108,0))),""))</x:f>
        <x:v>litre</x:v>
      </x:c>
      <x:c r="Q41" s="9" t="str">
        <x:f>IF(C41="","",IFERROR(IF(INDEX('Factors'!$H$9:$H$108,MATCH(J41,'Factors'!$C$9:$C$108,0))="","",INDEX('Factors'!$H$9:$H$108,MATCH(J41,'Factors'!$C$9:$C$108,0))),""))</x:f>
        <x:v>S1</x:v>
      </x:c>
      <x:c r="R41" s="9" t="str">
        <x:f>IF(C41="","",IFERROR(IF(INDEX('Factors'!$E$9:$E$108,MATCH(J41,'Factors'!$C$9:$C$108,0))="","",INDEX('Factors'!$E$9:$E$108,MATCH(J41,'Factors'!$C$9:$C$108,0))),""))</x:f>
        <x:v>Global</x:v>
      </x:c>
      <x:c r="S41" s="42" t="n">
        <x:f>IF(C41="","",IFERROR(IF(INDEX('Factors'!$J$9:$J$108,MATCH(J41,'Factors'!$C$9:$C$108,0))="","",INDEX('Factors'!$J$9:$J$108,MATCH(J41,'Factors'!$C$9:$C$108,0))),""))</x:f>
        <x:v>2026</x:v>
      </x:c>
      <x:c r="T41" s="9" t="str">
        <x:f>IF(C41="","",IFERROR(IF(INDEX('Factors'!$L$9:$L$108,MATCH(J41,'Factors'!$C$9:$C$108,0))="","",INDEX('Factors'!$L$9:$L$108,MATCH(J41,'Factors'!$C$9:$C$108,0))),"")&amp;" / "&amp;IFERROR(IF(INDEX('Factors'!$M$9:$M$108,MATCH(J41,'Factors'!$C$9:$C$108,0))="","",INDEX('Factors'!$M$9:$M$108,MATCH(J41,'Factors'!$C$9:$C$108,0))),""))</x:f>
        <x:v>SYNTHETIC DEMO / SYN-2026.1</x:v>
      </x:c>
      <x:c r="U41" s="21" t="n">
        <x:f>IF(V41="Ready",H41*O41/1000,"")</x:f>
        <x:v>4.0200000000000005</x:v>
      </x:c>
      <x:c r="V41" s="9" t="str">
        <x:f>IF(C41="","",IF(OR(COUNTIFS($C$9:$C$308,C41)&lt;&gt;1,COUNTIFS($D$9:$D$308,D41,$E$9:$E$308,E41,$F$9:$F$308,F41,$G$9:$G$308,G41,$K$9:$K$308,K41)&lt;&gt;1),"Duplicate annual activity",IF(COUNTIFS('Inventory'!$C$9:$C$108,D41)&lt;&gt;1,"Entity required",IF(OR(E41="",L41="",NOT(ISNUMBER(H41)),H41&lt;0,NOT(ISNUMBER(K41)),NOT(ISNUMBER(N41))),"Missing activity input",IF(AND(E41&lt;&gt;D41,OR(COUNTIFS('Sites'!$C$9:$C$108,E41)&lt;&gt;1,IFERROR(IF(INDEX('Sites'!$D$9:$D$108,MATCH(E41,'Sites'!$C$9:$C$108,0))="","",INDEX('Sites'!$D$9:$D$108,MATCH(E41,'Sites'!$C$9:$C$108,0))),"")&lt;&gt;IFERROR(IF(INDEX('Inventory'!$D$9:$D$108,MATCH(D41,'Inventory'!$C$9:$C$108,0))="","",INDEX('Inventory'!$D$9:$D$108,MATCH(D41,'Inventory'!$C$9:$C$108,0))),""),IFERROR(IF(INDEX('Sites'!$E$9:$E$108,MATCH(E41,'Sites'!$C$9:$C$108,0))="","",INDEX('Sites'!$E$9:$E$108,MATCH(E41,'Sites'!$C$9:$C$108,0))),"")&lt;&gt;W41)),"Site / entity mismatch",IF(N41&lt;'Settings'!$F$8,"Expired",IF(X41&lt;&gt;"Ready","Factor required",IF(OR(G41&lt;&gt;IFERROR(IF(INDEX('Factors'!$D$9:$D$108,MATCH(J41,'Factors'!$C$9:$C$108,0))="","",INDEX('Factors'!$D$9:$D$108,MATCH(J41,'Factors'!$C$9:$C$108,0))),""),I41&lt;&gt;P41,F41&lt;&gt;Q41,K41&lt;&gt;S41,AND(R41&lt;&gt;"Global",R41&lt;&gt;W41),K41&lt;&gt;YEAR(IFERROR(IF(INDEX('Inventory'!$H$9:$H$108,MATCH(D41,'Inventory'!$C$9:$C$108,0))="","",INDEX('Inventory'!$H$9:$H$108,MATCH(D41,'Inventory'!$C$9:$C$108,0))),""))),"Factor / boundary mismatch",IF(AND(F41="S2",IFERROR(IF(INDEX('Factors'!$I$9:$I$108,MATCH(J41,'Factors'!$C$9:$C$108,0))="","",INDEX('Factors'!$I$9:$I$108,MATCH(J41,'Factors'!$C$9:$C$108,0))),"")&lt;&gt;"Location-based"),"Use location factor",IF(M41&lt;&gt;"Actual","Estimation method review","Ready"))))))))))</x:f>
        <x:v>Ready</x:v>
      </x:c>
      <x:c r="W41" s="9" t="str">
        <x:f>IF(C41="","",IFERROR(IF(INDEX('Inventory'!$G$9:$G$108,MATCH(D41,'Inventory'!$C$9:$C$108,0))="","",INDEX('Inventory'!$G$9:$G$108,MATCH(D41,'Inventory'!$C$9:$C$108,0))),""))</x:f>
        <x:v>Jordan</x:v>
      </x:c>
      <x:c r="X41" s="9" t="str">
        <x:f>IF(C41="","",IFERROR(IF(INDEX('Factors'!$P$9:$P$108,MATCH(J41,'Factors'!$C$9:$C$108,0))="","",INDEX('Factors'!$P$9:$P$108,MATCH(J41,'Factors'!$C$9:$C$108,0))),""))</x:f>
        <x:v>Ready</x:v>
      </x:c>
    </x:row>
    <x:row r="42" ht="26" customHeight="1">
      <x:c r="A42" s="1"/>
      <x:c r="B42" s="1"/>
      <x:c r="C42" s="8" t="str">
        <x:v>ACT034</x:v>
      </x:c>
      <x:c r="D42" s="8" t="str">
        <x:v>B008</x:v>
      </x:c>
      <x:c r="E42" s="8" t="str">
        <x:v>S015</x:v>
      </x:c>
      <x:c r="F42" s="8" t="str">
        <x:v>S2</x:v>
      </x:c>
      <x:c r="G42" s="8" t="str">
        <x:v>Electricity</x:v>
      </x:c>
      <x:c r="H42" s="16" t="n">
        <x:v>25000</x:v>
      </x:c>
      <x:c r="I42" s="8" t="str">
        <x:v>kWh</x:v>
      </x:c>
      <x:c r="J42" s="8" t="str">
        <x:v>JO-GRID-26</x:v>
      </x:c>
      <x:c r="K42" s="22" t="n">
        <x:v>2026</x:v>
      </x:c>
      <x:c r="L42" s="8" t="str">
        <x:v>SYN-ACT-34</x:v>
      </x:c>
      <x:c r="M42" s="8" t="str">
        <x:v>Actual</x:v>
      </x:c>
      <x:c r="N42" s="40" t="n">
        <x:v>46752</x:v>
      </x:c>
      <x:c r="O42" s="41" t="n">
        <x:f>IF(C42="","",IFERROR(IF(INDEX('Factors'!$G$9:$G$108,MATCH(J42,'Factors'!$C$9:$C$108,0))="","",INDEX('Factors'!$G$9:$G$108,MATCH(J42,'Factors'!$C$9:$C$108,0))),""))</x:f>
        <x:v>0.43</x:v>
      </x:c>
      <x:c r="P42" s="9" t="str">
        <x:f>IF(C42="","",IFERROR(IF(INDEX('Factors'!$F$9:$F$108,MATCH(J42,'Factors'!$C$9:$C$108,0))="","",INDEX('Factors'!$F$9:$F$108,MATCH(J42,'Factors'!$C$9:$C$108,0))),""))</x:f>
        <x:v>kWh</x:v>
      </x:c>
      <x:c r="Q42" s="9" t="str">
        <x:f>IF(C42="","",IFERROR(IF(INDEX('Factors'!$H$9:$H$108,MATCH(J42,'Factors'!$C$9:$C$108,0))="","",INDEX('Factors'!$H$9:$H$108,MATCH(J42,'Factors'!$C$9:$C$108,0))),""))</x:f>
        <x:v>S2</x:v>
      </x:c>
      <x:c r="R42" s="9" t="str">
        <x:f>IF(C42="","",IFERROR(IF(INDEX('Factors'!$E$9:$E$108,MATCH(J42,'Factors'!$C$9:$C$108,0))="","",INDEX('Factors'!$E$9:$E$108,MATCH(J42,'Factors'!$C$9:$C$108,0))),""))</x:f>
        <x:v>Jordan</x:v>
      </x:c>
      <x:c r="S42" s="42" t="n">
        <x:f>IF(C42="","",IFERROR(IF(INDEX('Factors'!$J$9:$J$108,MATCH(J42,'Factors'!$C$9:$C$108,0))="","",INDEX('Factors'!$J$9:$J$108,MATCH(J42,'Factors'!$C$9:$C$108,0))),""))</x:f>
        <x:v>2026</x:v>
      </x:c>
      <x:c r="T42" s="9" t="str">
        <x:f>IF(C42="","",IFERROR(IF(INDEX('Factors'!$L$9:$L$108,MATCH(J42,'Factors'!$C$9:$C$108,0))="","",INDEX('Factors'!$L$9:$L$108,MATCH(J42,'Factors'!$C$9:$C$108,0))),"")&amp;" / "&amp;IFERROR(IF(INDEX('Factors'!$M$9:$M$108,MATCH(J42,'Factors'!$C$9:$C$108,0))="","",INDEX('Factors'!$M$9:$M$108,MATCH(J42,'Factors'!$C$9:$C$108,0))),""))</x:f>
        <x:v>SYNTHETIC DEMO / SYN-2026.1</x:v>
      </x:c>
      <x:c r="U42" s="21" t="n">
        <x:f>IF(V42="Ready",H42*O42/1000,"")</x:f>
        <x:v>10.75</x:v>
      </x:c>
      <x:c r="V42" s="9" t="str">
        <x:f>IF(C42="","",IF(OR(COUNTIFS($C$9:$C$308,C42)&lt;&gt;1,COUNTIFS($D$9:$D$308,D42,$E$9:$E$308,E42,$F$9:$F$308,F42,$G$9:$G$308,G42,$K$9:$K$308,K42)&lt;&gt;1),"Duplicate annual activity",IF(COUNTIFS('Inventory'!$C$9:$C$108,D42)&lt;&gt;1,"Entity required",IF(OR(E42="",L42="",NOT(ISNUMBER(H42)),H42&lt;0,NOT(ISNUMBER(K42)),NOT(ISNUMBER(N42))),"Missing activity input",IF(AND(E42&lt;&gt;D42,OR(COUNTIFS('Sites'!$C$9:$C$108,E42)&lt;&gt;1,IFERROR(IF(INDEX('Sites'!$D$9:$D$108,MATCH(E42,'Sites'!$C$9:$C$108,0))="","",INDEX('Sites'!$D$9:$D$108,MATCH(E42,'Sites'!$C$9:$C$108,0))),"")&lt;&gt;IFERROR(IF(INDEX('Inventory'!$D$9:$D$108,MATCH(D42,'Inventory'!$C$9:$C$108,0))="","",INDEX('Inventory'!$D$9:$D$108,MATCH(D42,'Inventory'!$C$9:$C$108,0))),""),IFERROR(IF(INDEX('Sites'!$E$9:$E$108,MATCH(E42,'Sites'!$C$9:$C$108,0))="","",INDEX('Sites'!$E$9:$E$108,MATCH(E42,'Sites'!$C$9:$C$108,0))),"")&lt;&gt;W42)),"Site / entity mismatch",IF(N42&lt;'Settings'!$F$8,"Expired",IF(X42&lt;&gt;"Ready","Factor required",IF(OR(G42&lt;&gt;IFERROR(IF(INDEX('Factors'!$D$9:$D$108,MATCH(J42,'Factors'!$C$9:$C$108,0))="","",INDEX('Factors'!$D$9:$D$108,MATCH(J42,'Factors'!$C$9:$C$108,0))),""),I42&lt;&gt;P42,F42&lt;&gt;Q42,K42&lt;&gt;S42,AND(R42&lt;&gt;"Global",R42&lt;&gt;W42),K42&lt;&gt;YEAR(IFERROR(IF(INDEX('Inventory'!$H$9:$H$108,MATCH(D42,'Inventory'!$C$9:$C$108,0))="","",INDEX('Inventory'!$H$9:$H$108,MATCH(D42,'Inventory'!$C$9:$C$108,0))),""))),"Factor / boundary mismatch",IF(AND(F42="S2",IFERROR(IF(INDEX('Factors'!$I$9:$I$108,MATCH(J42,'Factors'!$C$9:$C$108,0))="","",INDEX('Factors'!$I$9:$I$108,MATCH(J42,'Factors'!$C$9:$C$108,0))),"")&lt;&gt;"Location-based"),"Use location factor",IF(M42&lt;&gt;"Actual","Estimation method review","Ready"))))))))))</x:f>
        <x:v>Ready</x:v>
      </x:c>
      <x:c r="W42" s="9" t="str">
        <x:f>IF(C42="","",IFERROR(IF(INDEX('Inventory'!$G$9:$G$108,MATCH(D42,'Inventory'!$C$9:$C$108,0))="","",INDEX('Inventory'!$G$9:$G$108,MATCH(D42,'Inventory'!$C$9:$C$108,0))),""))</x:f>
        <x:v>Jordan</x:v>
      </x:c>
      <x:c r="X42" s="9" t="str">
        <x:f>IF(C42="","",IFERROR(IF(INDEX('Factors'!$P$9:$P$108,MATCH(J42,'Factors'!$C$9:$C$108,0))="","",INDEX('Factors'!$P$9:$P$108,MATCH(J42,'Factors'!$C$9:$C$108,0))),""))</x:f>
        <x:v>Ready</x:v>
      </x:c>
    </x:row>
    <x:row r="43" ht="26" customHeight="1">
      <x:c r="A43" s="1"/>
      <x:c r="B43" s="1"/>
      <x:c r="C43" s="8" t="str">
        <x:v>ACT035</x:v>
      </x:c>
      <x:c r="D43" s="8" t="str">
        <x:v>B008</x:v>
      </x:c>
      <x:c r="E43" s="8" t="str">
        <x:v>S016</x:v>
      </x:c>
      <x:c r="F43" s="8" t="str">
        <x:v>S1</x:v>
      </x:c>
      <x:c r="G43" s="8" t="str">
        <x:v>Diesel</x:v>
      </x:c>
      <x:c r="H43" s="16" t="n">
        <x:v>1500</x:v>
      </x:c>
      <x:c r="I43" s="8" t="str">
        <x:v>litre</x:v>
      </x:c>
      <x:c r="J43" s="8" t="str">
        <x:v>GLOBAL-DIESEL-26</x:v>
      </x:c>
      <x:c r="K43" s="22" t="n">
        <x:v>2026</x:v>
      </x:c>
      <x:c r="L43" s="8" t="str">
        <x:v>SYN-ACT-35</x:v>
      </x:c>
      <x:c r="M43" s="8" t="str">
        <x:v>Actual</x:v>
      </x:c>
      <x:c r="N43" s="40" t="n">
        <x:v>46752</x:v>
      </x:c>
      <x:c r="O43" s="41" t="n">
        <x:f>IF(C43="","",IFERROR(IF(INDEX('Factors'!$G$9:$G$108,MATCH(J43,'Factors'!$C$9:$C$108,0))="","",INDEX('Factors'!$G$9:$G$108,MATCH(J43,'Factors'!$C$9:$C$108,0))),""))</x:f>
        <x:v>2.68</x:v>
      </x:c>
      <x:c r="P43" s="9" t="str">
        <x:f>IF(C43="","",IFERROR(IF(INDEX('Factors'!$F$9:$F$108,MATCH(J43,'Factors'!$C$9:$C$108,0))="","",INDEX('Factors'!$F$9:$F$108,MATCH(J43,'Factors'!$C$9:$C$108,0))),""))</x:f>
        <x:v>litre</x:v>
      </x:c>
      <x:c r="Q43" s="9" t="str">
        <x:f>IF(C43="","",IFERROR(IF(INDEX('Factors'!$H$9:$H$108,MATCH(J43,'Factors'!$C$9:$C$108,0))="","",INDEX('Factors'!$H$9:$H$108,MATCH(J43,'Factors'!$C$9:$C$108,0))),""))</x:f>
        <x:v>S1</x:v>
      </x:c>
      <x:c r="R43" s="9" t="str">
        <x:f>IF(C43="","",IFERROR(IF(INDEX('Factors'!$E$9:$E$108,MATCH(J43,'Factors'!$C$9:$C$108,0))="","",INDEX('Factors'!$E$9:$E$108,MATCH(J43,'Factors'!$C$9:$C$108,0))),""))</x:f>
        <x:v>Global</x:v>
      </x:c>
      <x:c r="S43" s="42" t="n">
        <x:f>IF(C43="","",IFERROR(IF(INDEX('Factors'!$J$9:$J$108,MATCH(J43,'Factors'!$C$9:$C$108,0))="","",INDEX('Factors'!$J$9:$J$108,MATCH(J43,'Factors'!$C$9:$C$108,0))),""))</x:f>
        <x:v>2026</x:v>
      </x:c>
      <x:c r="T43" s="9" t="str">
        <x:f>IF(C43="","",IFERROR(IF(INDEX('Factors'!$L$9:$L$108,MATCH(J43,'Factors'!$C$9:$C$108,0))="","",INDEX('Factors'!$L$9:$L$108,MATCH(J43,'Factors'!$C$9:$C$108,0))),"")&amp;" / "&amp;IFERROR(IF(INDEX('Factors'!$M$9:$M$108,MATCH(J43,'Factors'!$C$9:$C$108,0))="","",INDEX('Factors'!$M$9:$M$108,MATCH(J43,'Factors'!$C$9:$C$108,0))),""))</x:f>
        <x:v>SYNTHETIC DEMO / SYN-2026.1</x:v>
      </x:c>
      <x:c r="U43" s="21" t="n">
        <x:f>IF(V43="Ready",H43*O43/1000,"")</x:f>
        <x:v>4.0200000000000005</x:v>
      </x:c>
      <x:c r="V43" s="9" t="str">
        <x:f>IF(C43="","",IF(OR(COUNTIFS($C$9:$C$308,C43)&lt;&gt;1,COUNTIFS($D$9:$D$308,D43,$E$9:$E$308,E43,$F$9:$F$308,F43,$G$9:$G$308,G43,$K$9:$K$308,K43)&lt;&gt;1),"Duplicate annual activity",IF(COUNTIFS('Inventory'!$C$9:$C$108,D43)&lt;&gt;1,"Entity required",IF(OR(E43="",L43="",NOT(ISNUMBER(H43)),H43&lt;0,NOT(ISNUMBER(K43)),NOT(ISNUMBER(N43))),"Missing activity input",IF(AND(E43&lt;&gt;D43,OR(COUNTIFS('Sites'!$C$9:$C$108,E43)&lt;&gt;1,IFERROR(IF(INDEX('Sites'!$D$9:$D$108,MATCH(E43,'Sites'!$C$9:$C$108,0))="","",INDEX('Sites'!$D$9:$D$108,MATCH(E43,'Sites'!$C$9:$C$108,0))),"")&lt;&gt;IFERROR(IF(INDEX('Inventory'!$D$9:$D$108,MATCH(D43,'Inventory'!$C$9:$C$108,0))="","",INDEX('Inventory'!$D$9:$D$108,MATCH(D43,'Inventory'!$C$9:$C$108,0))),""),IFERROR(IF(INDEX('Sites'!$E$9:$E$108,MATCH(E43,'Sites'!$C$9:$C$108,0))="","",INDEX('Sites'!$E$9:$E$108,MATCH(E43,'Sites'!$C$9:$C$108,0))),"")&lt;&gt;W43)),"Site / entity mismatch",IF(N43&lt;'Settings'!$F$8,"Expired",IF(X43&lt;&gt;"Ready","Factor required",IF(OR(G43&lt;&gt;IFERROR(IF(INDEX('Factors'!$D$9:$D$108,MATCH(J43,'Factors'!$C$9:$C$108,0))="","",INDEX('Factors'!$D$9:$D$108,MATCH(J43,'Factors'!$C$9:$C$108,0))),""),I43&lt;&gt;P43,F43&lt;&gt;Q43,K43&lt;&gt;S43,AND(R43&lt;&gt;"Global",R43&lt;&gt;W43),K43&lt;&gt;YEAR(IFERROR(IF(INDEX('Inventory'!$H$9:$H$108,MATCH(D43,'Inventory'!$C$9:$C$108,0))="","",INDEX('Inventory'!$H$9:$H$108,MATCH(D43,'Inventory'!$C$9:$C$108,0))),""))),"Factor / boundary mismatch",IF(AND(F43="S2",IFERROR(IF(INDEX('Factors'!$I$9:$I$108,MATCH(J43,'Factors'!$C$9:$C$108,0))="","",INDEX('Factors'!$I$9:$I$108,MATCH(J43,'Factors'!$C$9:$C$108,0))),"")&lt;&gt;"Location-based"),"Use location factor",IF(M43&lt;&gt;"Actual","Estimation method review","Ready"))))))))))</x:f>
        <x:v>Ready</x:v>
      </x:c>
      <x:c r="W43" s="9" t="str">
        <x:f>IF(C43="","",IFERROR(IF(INDEX('Inventory'!$G$9:$G$108,MATCH(D43,'Inventory'!$C$9:$C$108,0))="","",INDEX('Inventory'!$G$9:$G$108,MATCH(D43,'Inventory'!$C$9:$C$108,0))),""))</x:f>
        <x:v>Jordan</x:v>
      </x:c>
      <x:c r="X43" s="9" t="str">
        <x:f>IF(C43="","",IFERROR(IF(INDEX('Factors'!$P$9:$P$108,MATCH(J43,'Factors'!$C$9:$C$108,0))="","",INDEX('Factors'!$P$9:$P$108,MATCH(J43,'Factors'!$C$9:$C$108,0))),""))</x:f>
        <x:v>Ready</x:v>
      </x:c>
    </x:row>
    <x:row r="44" ht="26" customHeight="1">
      <x:c r="A44" s="1"/>
      <x:c r="B44" s="1"/>
      <x:c r="C44" s="8" t="str">
        <x:v>ACT036</x:v>
      </x:c>
      <x:c r="D44" s="8" t="str">
        <x:v>B008</x:v>
      </x:c>
      <x:c r="E44" s="8" t="str">
        <x:v>S016</x:v>
      </x:c>
      <x:c r="F44" s="8" t="str">
        <x:v>S2</x:v>
      </x:c>
      <x:c r="G44" s="8" t="str">
        <x:v>Electricity</x:v>
      </x:c>
      <x:c r="H44" s="16" t="n">
        <x:v>25000</x:v>
      </x:c>
      <x:c r="I44" s="8" t="str">
        <x:v>kWh</x:v>
      </x:c>
      <x:c r="J44" s="8" t="str">
        <x:v>JO-GRID-26</x:v>
      </x:c>
      <x:c r="K44" s="22" t="n">
        <x:v>2026</x:v>
      </x:c>
      <x:c r="L44" s="8" t="str">
        <x:v>SYN-ACT-36</x:v>
      </x:c>
      <x:c r="M44" s="8" t="str">
        <x:v>Actual</x:v>
      </x:c>
      <x:c r="N44" s="40" t="n">
        <x:v>46752</x:v>
      </x:c>
      <x:c r="O44" s="41" t="n">
        <x:f>IF(C44="","",IFERROR(IF(INDEX('Factors'!$G$9:$G$108,MATCH(J44,'Factors'!$C$9:$C$108,0))="","",INDEX('Factors'!$G$9:$G$108,MATCH(J44,'Factors'!$C$9:$C$108,0))),""))</x:f>
        <x:v>0.43</x:v>
      </x:c>
      <x:c r="P44" s="9" t="str">
        <x:f>IF(C44="","",IFERROR(IF(INDEX('Factors'!$F$9:$F$108,MATCH(J44,'Factors'!$C$9:$C$108,0))="","",INDEX('Factors'!$F$9:$F$108,MATCH(J44,'Factors'!$C$9:$C$108,0))),""))</x:f>
        <x:v>kWh</x:v>
      </x:c>
      <x:c r="Q44" s="9" t="str">
        <x:f>IF(C44="","",IFERROR(IF(INDEX('Factors'!$H$9:$H$108,MATCH(J44,'Factors'!$C$9:$C$108,0))="","",INDEX('Factors'!$H$9:$H$108,MATCH(J44,'Factors'!$C$9:$C$108,0))),""))</x:f>
        <x:v>S2</x:v>
      </x:c>
      <x:c r="R44" s="9" t="str">
        <x:f>IF(C44="","",IFERROR(IF(INDEX('Factors'!$E$9:$E$108,MATCH(J44,'Factors'!$C$9:$C$108,0))="","",INDEX('Factors'!$E$9:$E$108,MATCH(J44,'Factors'!$C$9:$C$108,0))),""))</x:f>
        <x:v>Jordan</x:v>
      </x:c>
      <x:c r="S44" s="42" t="n">
        <x:f>IF(C44="","",IFERROR(IF(INDEX('Factors'!$J$9:$J$108,MATCH(J44,'Factors'!$C$9:$C$108,0))="","",INDEX('Factors'!$J$9:$J$108,MATCH(J44,'Factors'!$C$9:$C$108,0))),""))</x:f>
        <x:v>2026</x:v>
      </x:c>
      <x:c r="T44" s="9" t="str">
        <x:f>IF(C44="","",IFERROR(IF(INDEX('Factors'!$L$9:$L$108,MATCH(J44,'Factors'!$C$9:$C$108,0))="","",INDEX('Factors'!$L$9:$L$108,MATCH(J44,'Factors'!$C$9:$C$108,0))),"")&amp;" / "&amp;IFERROR(IF(INDEX('Factors'!$M$9:$M$108,MATCH(J44,'Factors'!$C$9:$C$108,0))="","",INDEX('Factors'!$M$9:$M$108,MATCH(J44,'Factors'!$C$9:$C$108,0))),""))</x:f>
        <x:v>SYNTHETIC DEMO / SYN-2026.1</x:v>
      </x:c>
      <x:c r="U44" s="21" t="n">
        <x:f>IF(V44="Ready",H44*O44/1000,"")</x:f>
        <x:v>10.75</x:v>
      </x:c>
      <x:c r="V44" s="9" t="str">
        <x:f>IF(C44="","",IF(OR(COUNTIFS($C$9:$C$308,C44)&lt;&gt;1,COUNTIFS($D$9:$D$308,D44,$E$9:$E$308,E44,$F$9:$F$308,F44,$G$9:$G$308,G44,$K$9:$K$308,K44)&lt;&gt;1),"Duplicate annual activity",IF(COUNTIFS('Inventory'!$C$9:$C$108,D44)&lt;&gt;1,"Entity required",IF(OR(E44="",L44="",NOT(ISNUMBER(H44)),H44&lt;0,NOT(ISNUMBER(K44)),NOT(ISNUMBER(N44))),"Missing activity input",IF(AND(E44&lt;&gt;D44,OR(COUNTIFS('Sites'!$C$9:$C$108,E44)&lt;&gt;1,IFERROR(IF(INDEX('Sites'!$D$9:$D$108,MATCH(E44,'Sites'!$C$9:$C$108,0))="","",INDEX('Sites'!$D$9:$D$108,MATCH(E44,'Sites'!$C$9:$C$108,0))),"")&lt;&gt;IFERROR(IF(INDEX('Inventory'!$D$9:$D$108,MATCH(D44,'Inventory'!$C$9:$C$108,0))="","",INDEX('Inventory'!$D$9:$D$108,MATCH(D44,'Inventory'!$C$9:$C$108,0))),""),IFERROR(IF(INDEX('Sites'!$E$9:$E$108,MATCH(E44,'Sites'!$C$9:$C$108,0))="","",INDEX('Sites'!$E$9:$E$108,MATCH(E44,'Sites'!$C$9:$C$108,0))),"")&lt;&gt;W44)),"Site / entity mismatch",IF(N44&lt;'Settings'!$F$8,"Expired",IF(X44&lt;&gt;"Ready","Factor required",IF(OR(G44&lt;&gt;IFERROR(IF(INDEX('Factors'!$D$9:$D$108,MATCH(J44,'Factors'!$C$9:$C$108,0))="","",INDEX('Factors'!$D$9:$D$108,MATCH(J44,'Factors'!$C$9:$C$108,0))),""),I44&lt;&gt;P44,F44&lt;&gt;Q44,K44&lt;&gt;S44,AND(R44&lt;&gt;"Global",R44&lt;&gt;W44),K44&lt;&gt;YEAR(IFERROR(IF(INDEX('Inventory'!$H$9:$H$108,MATCH(D44,'Inventory'!$C$9:$C$108,0))="","",INDEX('Inventory'!$H$9:$H$108,MATCH(D44,'Inventory'!$C$9:$C$108,0))),""))),"Factor / boundary mismatch",IF(AND(F44="S2",IFERROR(IF(INDEX('Factors'!$I$9:$I$108,MATCH(J44,'Factors'!$C$9:$C$108,0))="","",INDEX('Factors'!$I$9:$I$108,MATCH(J44,'Factors'!$C$9:$C$108,0))),"")&lt;&gt;"Location-based"),"Use location factor",IF(M44&lt;&gt;"Actual","Estimation method review","Ready"))))))))))</x:f>
        <x:v>Ready</x:v>
      </x:c>
      <x:c r="W44" s="9" t="str">
        <x:f>IF(C44="","",IFERROR(IF(INDEX('Inventory'!$G$9:$G$108,MATCH(D44,'Inventory'!$C$9:$C$108,0))="","",INDEX('Inventory'!$G$9:$G$108,MATCH(D44,'Inventory'!$C$9:$C$108,0))),""))</x:f>
        <x:v>Jordan</x:v>
      </x:c>
      <x:c r="X44" s="9" t="str">
        <x:f>IF(C44="","",IFERROR(IF(INDEX('Factors'!$P$9:$P$108,MATCH(J44,'Factors'!$C$9:$C$108,0))="","",INDEX('Factors'!$P$9:$P$108,MATCH(J44,'Factors'!$C$9:$C$108,0))),""))</x:f>
        <x:v>Ready</x:v>
      </x:c>
    </x:row>
    <x:row r="45" ht="26" customHeight="1">
      <x:c r="A45" s="1"/>
      <x:c r="B45" s="1"/>
      <x:c r="C45" s="8" t="str">
        <x:v>ACT037</x:v>
      </x:c>
      <x:c r="D45" s="8" t="str">
        <x:v>B009</x:v>
      </x:c>
      <x:c r="E45" s="8" t="str">
        <x:v>S017</x:v>
      </x:c>
      <x:c r="F45" s="8" t="str">
        <x:v>S1</x:v>
      </x:c>
      <x:c r="G45" s="8" t="str">
        <x:v>Diesel</x:v>
      </x:c>
      <x:c r="H45" s="16" t="n">
        <x:v>244000</x:v>
      </x:c>
      <x:c r="I45" s="8" t="str">
        <x:v>litre</x:v>
      </x:c>
      <x:c r="J45" s="8" t="str">
        <x:v>GLOBAL-DIESEL-26</x:v>
      </x:c>
      <x:c r="K45" s="22" t="n">
        <x:v>2026</x:v>
      </x:c>
      <x:c r="L45" s="8" t="str">
        <x:v>SYN-ACT-37</x:v>
      </x:c>
      <x:c r="M45" s="8" t="str">
        <x:v>Actual</x:v>
      </x:c>
      <x:c r="N45" s="40" t="n">
        <x:v>46752</x:v>
      </x:c>
      <x:c r="O45" s="41" t="n">
        <x:f>IF(C45="","",IFERROR(IF(INDEX('Factors'!$G$9:$G$108,MATCH(J45,'Factors'!$C$9:$C$108,0))="","",INDEX('Factors'!$G$9:$G$108,MATCH(J45,'Factors'!$C$9:$C$108,0))),""))</x:f>
        <x:v>2.68</x:v>
      </x:c>
      <x:c r="P45" s="9" t="str">
        <x:f>IF(C45="","",IFERROR(IF(INDEX('Factors'!$F$9:$F$108,MATCH(J45,'Factors'!$C$9:$C$108,0))="","",INDEX('Factors'!$F$9:$F$108,MATCH(J45,'Factors'!$C$9:$C$108,0))),""))</x:f>
        <x:v>litre</x:v>
      </x:c>
      <x:c r="Q45" s="9" t="str">
        <x:f>IF(C45="","",IFERROR(IF(INDEX('Factors'!$H$9:$H$108,MATCH(J45,'Factors'!$C$9:$C$108,0))="","",INDEX('Factors'!$H$9:$H$108,MATCH(J45,'Factors'!$C$9:$C$108,0))),""))</x:f>
        <x:v>S1</x:v>
      </x:c>
      <x:c r="R45" s="9" t="str">
        <x:f>IF(C45="","",IFERROR(IF(INDEX('Factors'!$E$9:$E$108,MATCH(J45,'Factors'!$C$9:$C$108,0))="","",INDEX('Factors'!$E$9:$E$108,MATCH(J45,'Factors'!$C$9:$C$108,0))),""))</x:f>
        <x:v>Global</x:v>
      </x:c>
      <x:c r="S45" s="42" t="n">
        <x:f>IF(C45="","",IFERROR(IF(INDEX('Factors'!$J$9:$J$108,MATCH(J45,'Factors'!$C$9:$C$108,0))="","",INDEX('Factors'!$J$9:$J$108,MATCH(J45,'Factors'!$C$9:$C$108,0))),""))</x:f>
        <x:v>2026</x:v>
      </x:c>
      <x:c r="T45" s="9" t="str">
        <x:f>IF(C45="","",IFERROR(IF(INDEX('Factors'!$L$9:$L$108,MATCH(J45,'Factors'!$C$9:$C$108,0))="","",INDEX('Factors'!$L$9:$L$108,MATCH(J45,'Factors'!$C$9:$C$108,0))),"")&amp;" / "&amp;IFERROR(IF(INDEX('Factors'!$M$9:$M$108,MATCH(J45,'Factors'!$C$9:$C$108,0))="","",INDEX('Factors'!$M$9:$M$108,MATCH(J45,'Factors'!$C$9:$C$108,0))),""))</x:f>
        <x:v>SYNTHETIC DEMO / SYN-2026.1</x:v>
      </x:c>
      <x:c r="U45" s="21" t="n">
        <x:f>IF(V45="Ready",H45*O45/1000,"")</x:f>
        <x:v>653.92</x:v>
      </x:c>
      <x:c r="V45" s="9" t="str">
        <x:f>IF(C45="","",IF(OR(COUNTIFS($C$9:$C$308,C45)&lt;&gt;1,COUNTIFS($D$9:$D$308,D45,$E$9:$E$308,E45,$F$9:$F$308,F45,$G$9:$G$308,G45,$K$9:$K$308,K45)&lt;&gt;1),"Duplicate annual activity",IF(COUNTIFS('Inventory'!$C$9:$C$108,D45)&lt;&gt;1,"Entity required",IF(OR(E45="",L45="",NOT(ISNUMBER(H45)),H45&lt;0,NOT(ISNUMBER(K45)),NOT(ISNUMBER(N45))),"Missing activity input",IF(AND(E45&lt;&gt;D45,OR(COUNTIFS('Sites'!$C$9:$C$108,E45)&lt;&gt;1,IFERROR(IF(INDEX('Sites'!$D$9:$D$108,MATCH(E45,'Sites'!$C$9:$C$108,0))="","",INDEX('Sites'!$D$9:$D$108,MATCH(E45,'Sites'!$C$9:$C$108,0))),"")&lt;&gt;IFERROR(IF(INDEX('Inventory'!$D$9:$D$108,MATCH(D45,'Inventory'!$C$9:$C$108,0))="","",INDEX('Inventory'!$D$9:$D$108,MATCH(D45,'Inventory'!$C$9:$C$108,0))),""),IFERROR(IF(INDEX('Sites'!$E$9:$E$108,MATCH(E45,'Sites'!$C$9:$C$108,0))="","",INDEX('Sites'!$E$9:$E$108,MATCH(E45,'Sites'!$C$9:$C$108,0))),"")&lt;&gt;W45)),"Site / entity mismatch",IF(N45&lt;'Settings'!$F$8,"Expired",IF(X45&lt;&gt;"Ready","Factor required",IF(OR(G45&lt;&gt;IFERROR(IF(INDEX('Factors'!$D$9:$D$108,MATCH(J45,'Factors'!$C$9:$C$108,0))="","",INDEX('Factors'!$D$9:$D$108,MATCH(J45,'Factors'!$C$9:$C$108,0))),""),I45&lt;&gt;P45,F45&lt;&gt;Q45,K45&lt;&gt;S45,AND(R45&lt;&gt;"Global",R45&lt;&gt;W45),K45&lt;&gt;YEAR(IFERROR(IF(INDEX('Inventory'!$H$9:$H$108,MATCH(D45,'Inventory'!$C$9:$C$108,0))="","",INDEX('Inventory'!$H$9:$H$108,MATCH(D45,'Inventory'!$C$9:$C$108,0))),""))),"Factor / boundary mismatch",IF(AND(F45="S2",IFERROR(IF(INDEX('Factors'!$I$9:$I$108,MATCH(J45,'Factors'!$C$9:$C$108,0))="","",INDEX('Factors'!$I$9:$I$108,MATCH(J45,'Factors'!$C$9:$C$108,0))),"")&lt;&gt;"Location-based"),"Use location factor",IF(M45&lt;&gt;"Actual","Estimation method review","Ready"))))))))))</x:f>
        <x:v>Ready</x:v>
      </x:c>
      <x:c r="W45" s="9" t="str">
        <x:f>IF(C45="","",IFERROR(IF(INDEX('Inventory'!$G$9:$G$108,MATCH(D45,'Inventory'!$C$9:$C$108,0))="","",INDEX('Inventory'!$G$9:$G$108,MATCH(D45,'Inventory'!$C$9:$C$108,0))),""))</x:f>
        <x:v>Jordan</x:v>
      </x:c>
      <x:c r="X45" s="9" t="str">
        <x:f>IF(C45="","",IFERROR(IF(INDEX('Factors'!$P$9:$P$108,MATCH(J45,'Factors'!$C$9:$C$108,0))="","",INDEX('Factors'!$P$9:$P$108,MATCH(J45,'Factors'!$C$9:$C$108,0))),""))</x:f>
        <x:v>Ready</x:v>
      </x:c>
    </x:row>
    <x:row r="46" ht="26" customHeight="1">
      <x:c r="A46" s="1"/>
      <x:c r="B46" s="1"/>
      <x:c r="C46" s="8" t="str">
        <x:v>ACT038</x:v>
      </x:c>
      <x:c r="D46" s="8" t="str">
        <x:v>B009</x:v>
      </x:c>
      <x:c r="E46" s="8" t="str">
        <x:v>S017</x:v>
      </x:c>
      <x:c r="F46" s="8" t="str">
        <x:v>S2</x:v>
      </x:c>
      <x:c r="G46" s="8" t="str">
        <x:v>Electricity</x:v>
      </x:c>
      <x:c r="H46" s="16" t="n">
        <x:v>1100000</x:v>
      </x:c>
      <x:c r="I46" s="8" t="str">
        <x:v>kWh</x:v>
      </x:c>
      <x:c r="J46" s="8" t="str">
        <x:v>JO-GRID-26</x:v>
      </x:c>
      <x:c r="K46" s="22" t="n">
        <x:v>2026</x:v>
      </x:c>
      <x:c r="L46" s="8" t="str">
        <x:v>SYN-ACT-38</x:v>
      </x:c>
      <x:c r="M46" s="8" t="str">
        <x:v>Actual</x:v>
      </x:c>
      <x:c r="N46" s="40" t="n">
        <x:v>46752</x:v>
      </x:c>
      <x:c r="O46" s="41" t="n">
        <x:f>IF(C46="","",IFERROR(IF(INDEX('Factors'!$G$9:$G$108,MATCH(J46,'Factors'!$C$9:$C$108,0))="","",INDEX('Factors'!$G$9:$G$108,MATCH(J46,'Factors'!$C$9:$C$108,0))),""))</x:f>
        <x:v>0.43</x:v>
      </x:c>
      <x:c r="P46" s="9" t="str">
        <x:f>IF(C46="","",IFERROR(IF(INDEX('Factors'!$F$9:$F$108,MATCH(J46,'Factors'!$C$9:$C$108,0))="","",INDEX('Factors'!$F$9:$F$108,MATCH(J46,'Factors'!$C$9:$C$108,0))),""))</x:f>
        <x:v>kWh</x:v>
      </x:c>
      <x:c r="Q46" s="9" t="str">
        <x:f>IF(C46="","",IFERROR(IF(INDEX('Factors'!$H$9:$H$108,MATCH(J46,'Factors'!$C$9:$C$108,0))="","",INDEX('Factors'!$H$9:$H$108,MATCH(J46,'Factors'!$C$9:$C$108,0))),""))</x:f>
        <x:v>S2</x:v>
      </x:c>
      <x:c r="R46" s="9" t="str">
        <x:f>IF(C46="","",IFERROR(IF(INDEX('Factors'!$E$9:$E$108,MATCH(J46,'Factors'!$C$9:$C$108,0))="","",INDEX('Factors'!$E$9:$E$108,MATCH(J46,'Factors'!$C$9:$C$108,0))),""))</x:f>
        <x:v>Jordan</x:v>
      </x:c>
      <x:c r="S46" s="42" t="n">
        <x:f>IF(C46="","",IFERROR(IF(INDEX('Factors'!$J$9:$J$108,MATCH(J46,'Factors'!$C$9:$C$108,0))="","",INDEX('Factors'!$J$9:$J$108,MATCH(J46,'Factors'!$C$9:$C$108,0))),""))</x:f>
        <x:v>2026</x:v>
      </x:c>
      <x:c r="T46" s="9" t="str">
        <x:f>IF(C46="","",IFERROR(IF(INDEX('Factors'!$L$9:$L$108,MATCH(J46,'Factors'!$C$9:$C$108,0))="","",INDEX('Factors'!$L$9:$L$108,MATCH(J46,'Factors'!$C$9:$C$108,0))),"")&amp;" / "&amp;IFERROR(IF(INDEX('Factors'!$M$9:$M$108,MATCH(J46,'Factors'!$C$9:$C$108,0))="","",INDEX('Factors'!$M$9:$M$108,MATCH(J46,'Factors'!$C$9:$C$108,0))),""))</x:f>
        <x:v>SYNTHETIC DEMO / SYN-2026.1</x:v>
      </x:c>
      <x:c r="U46" s="21" t="n">
        <x:f>IF(V46="Ready",H46*O46/1000,"")</x:f>
        <x:v>473</x:v>
      </x:c>
      <x:c r="V46" s="9" t="str">
        <x:f>IF(C46="","",IF(OR(COUNTIFS($C$9:$C$308,C46)&lt;&gt;1,COUNTIFS($D$9:$D$308,D46,$E$9:$E$308,E46,$F$9:$F$308,F46,$G$9:$G$308,G46,$K$9:$K$308,K46)&lt;&gt;1),"Duplicate annual activity",IF(COUNTIFS('Inventory'!$C$9:$C$108,D46)&lt;&gt;1,"Entity required",IF(OR(E46="",L46="",NOT(ISNUMBER(H46)),H46&lt;0,NOT(ISNUMBER(K46)),NOT(ISNUMBER(N46))),"Missing activity input",IF(AND(E46&lt;&gt;D46,OR(COUNTIFS('Sites'!$C$9:$C$108,E46)&lt;&gt;1,IFERROR(IF(INDEX('Sites'!$D$9:$D$108,MATCH(E46,'Sites'!$C$9:$C$108,0))="","",INDEX('Sites'!$D$9:$D$108,MATCH(E46,'Sites'!$C$9:$C$108,0))),"")&lt;&gt;IFERROR(IF(INDEX('Inventory'!$D$9:$D$108,MATCH(D46,'Inventory'!$C$9:$C$108,0))="","",INDEX('Inventory'!$D$9:$D$108,MATCH(D46,'Inventory'!$C$9:$C$108,0))),""),IFERROR(IF(INDEX('Sites'!$E$9:$E$108,MATCH(E46,'Sites'!$C$9:$C$108,0))="","",INDEX('Sites'!$E$9:$E$108,MATCH(E46,'Sites'!$C$9:$C$108,0))),"")&lt;&gt;W46)),"Site / entity mismatch",IF(N46&lt;'Settings'!$F$8,"Expired",IF(X46&lt;&gt;"Ready","Factor required",IF(OR(G46&lt;&gt;IFERROR(IF(INDEX('Factors'!$D$9:$D$108,MATCH(J46,'Factors'!$C$9:$C$108,0))="","",INDEX('Factors'!$D$9:$D$108,MATCH(J46,'Factors'!$C$9:$C$108,0))),""),I46&lt;&gt;P46,F46&lt;&gt;Q46,K46&lt;&gt;S46,AND(R46&lt;&gt;"Global",R46&lt;&gt;W46),K46&lt;&gt;YEAR(IFERROR(IF(INDEX('Inventory'!$H$9:$H$108,MATCH(D46,'Inventory'!$C$9:$C$108,0))="","",INDEX('Inventory'!$H$9:$H$108,MATCH(D46,'Inventory'!$C$9:$C$108,0))),""))),"Factor / boundary mismatch",IF(AND(F46="S2",IFERROR(IF(INDEX('Factors'!$I$9:$I$108,MATCH(J46,'Factors'!$C$9:$C$108,0))="","",INDEX('Factors'!$I$9:$I$108,MATCH(J46,'Factors'!$C$9:$C$108,0))),"")&lt;&gt;"Location-based"),"Use location factor",IF(M46&lt;&gt;"Actual","Estimation method review","Ready"))))))))))</x:f>
        <x:v>Ready</x:v>
      </x:c>
      <x:c r="W46" s="9" t="str">
        <x:f>IF(C46="","",IFERROR(IF(INDEX('Inventory'!$G$9:$G$108,MATCH(D46,'Inventory'!$C$9:$C$108,0))="","",INDEX('Inventory'!$G$9:$G$108,MATCH(D46,'Inventory'!$C$9:$C$108,0))),""))</x:f>
        <x:v>Jordan</x:v>
      </x:c>
      <x:c r="X46" s="9" t="str">
        <x:f>IF(C46="","",IFERROR(IF(INDEX('Factors'!$P$9:$P$108,MATCH(J46,'Factors'!$C$9:$C$108,0))="","",INDEX('Factors'!$P$9:$P$108,MATCH(J46,'Factors'!$C$9:$C$108,0))),""))</x:f>
        <x:v>Ready</x:v>
      </x:c>
    </x:row>
    <x:row r="47" ht="26" customHeight="1">
      <x:c r="A47" s="1"/>
      <x:c r="B47" s="1"/>
      <x:c r="C47" s="8" t="str">
        <x:v>ACT039</x:v>
      </x:c>
      <x:c r="D47" s="8" t="str">
        <x:v>B009</x:v>
      </x:c>
      <x:c r="E47" s="8" t="str">
        <x:v>S018</x:v>
      </x:c>
      <x:c r="F47" s="8" t="str">
        <x:v>S1</x:v>
      </x:c>
      <x:c r="G47" s="8" t="str">
        <x:v>Diesel</x:v>
      </x:c>
      <x:c r="H47" s="16" t="n">
        <x:v>253000</x:v>
      </x:c>
      <x:c r="I47" s="8" t="str">
        <x:v>litre</x:v>
      </x:c>
      <x:c r="J47" s="8" t="str">
        <x:v>GLOBAL-DIESEL-26</x:v>
      </x:c>
      <x:c r="K47" s="22" t="n">
        <x:v>2026</x:v>
      </x:c>
      <x:c r="L47" s="8" t="str">
        <x:v>SYN-ACT-39</x:v>
      </x:c>
      <x:c r="M47" s="8" t="str">
        <x:v>Actual</x:v>
      </x:c>
      <x:c r="N47" s="40" t="n">
        <x:v>46752</x:v>
      </x:c>
      <x:c r="O47" s="41" t="n">
        <x:f>IF(C47="","",IFERROR(IF(INDEX('Factors'!$G$9:$G$108,MATCH(J47,'Factors'!$C$9:$C$108,0))="","",INDEX('Factors'!$G$9:$G$108,MATCH(J47,'Factors'!$C$9:$C$108,0))),""))</x:f>
        <x:v>2.68</x:v>
      </x:c>
      <x:c r="P47" s="9" t="str">
        <x:f>IF(C47="","",IFERROR(IF(INDEX('Factors'!$F$9:$F$108,MATCH(J47,'Factors'!$C$9:$C$108,0))="","",INDEX('Factors'!$F$9:$F$108,MATCH(J47,'Factors'!$C$9:$C$108,0))),""))</x:f>
        <x:v>litre</x:v>
      </x:c>
      <x:c r="Q47" s="9" t="str">
        <x:f>IF(C47="","",IFERROR(IF(INDEX('Factors'!$H$9:$H$108,MATCH(J47,'Factors'!$C$9:$C$108,0))="","",INDEX('Factors'!$H$9:$H$108,MATCH(J47,'Factors'!$C$9:$C$108,0))),""))</x:f>
        <x:v>S1</x:v>
      </x:c>
      <x:c r="R47" s="9" t="str">
        <x:f>IF(C47="","",IFERROR(IF(INDEX('Factors'!$E$9:$E$108,MATCH(J47,'Factors'!$C$9:$C$108,0))="","",INDEX('Factors'!$E$9:$E$108,MATCH(J47,'Factors'!$C$9:$C$108,0))),""))</x:f>
        <x:v>Global</x:v>
      </x:c>
      <x:c r="S47" s="42" t="n">
        <x:f>IF(C47="","",IFERROR(IF(INDEX('Factors'!$J$9:$J$108,MATCH(J47,'Factors'!$C$9:$C$108,0))="","",INDEX('Factors'!$J$9:$J$108,MATCH(J47,'Factors'!$C$9:$C$108,0))),""))</x:f>
        <x:v>2026</x:v>
      </x:c>
      <x:c r="T47" s="9" t="str">
        <x:f>IF(C47="","",IFERROR(IF(INDEX('Factors'!$L$9:$L$108,MATCH(J47,'Factors'!$C$9:$C$108,0))="","",INDEX('Factors'!$L$9:$L$108,MATCH(J47,'Factors'!$C$9:$C$108,0))),"")&amp;" / "&amp;IFERROR(IF(INDEX('Factors'!$M$9:$M$108,MATCH(J47,'Factors'!$C$9:$C$108,0))="","",INDEX('Factors'!$M$9:$M$108,MATCH(J47,'Factors'!$C$9:$C$108,0))),""))</x:f>
        <x:v>SYNTHETIC DEMO / SYN-2026.1</x:v>
      </x:c>
      <x:c r="U47" s="21" t="n">
        <x:f>IF(V47="Ready",H47*O47/1000,"")</x:f>
        <x:v>678.04</x:v>
      </x:c>
      <x:c r="V47" s="9" t="str">
        <x:f>IF(C47="","",IF(OR(COUNTIFS($C$9:$C$308,C47)&lt;&gt;1,COUNTIFS($D$9:$D$308,D47,$E$9:$E$308,E47,$F$9:$F$308,F47,$G$9:$G$308,G47,$K$9:$K$308,K47)&lt;&gt;1),"Duplicate annual activity",IF(COUNTIFS('Inventory'!$C$9:$C$108,D47)&lt;&gt;1,"Entity required",IF(OR(E47="",L47="",NOT(ISNUMBER(H47)),H47&lt;0,NOT(ISNUMBER(K47)),NOT(ISNUMBER(N47))),"Missing activity input",IF(AND(E47&lt;&gt;D47,OR(COUNTIFS('Sites'!$C$9:$C$108,E47)&lt;&gt;1,IFERROR(IF(INDEX('Sites'!$D$9:$D$108,MATCH(E47,'Sites'!$C$9:$C$108,0))="","",INDEX('Sites'!$D$9:$D$108,MATCH(E47,'Sites'!$C$9:$C$108,0))),"")&lt;&gt;IFERROR(IF(INDEX('Inventory'!$D$9:$D$108,MATCH(D47,'Inventory'!$C$9:$C$108,0))="","",INDEX('Inventory'!$D$9:$D$108,MATCH(D47,'Inventory'!$C$9:$C$108,0))),""),IFERROR(IF(INDEX('Sites'!$E$9:$E$108,MATCH(E47,'Sites'!$C$9:$C$108,0))="","",INDEX('Sites'!$E$9:$E$108,MATCH(E47,'Sites'!$C$9:$C$108,0))),"")&lt;&gt;W47)),"Site / entity mismatch",IF(N47&lt;'Settings'!$F$8,"Expired",IF(X47&lt;&gt;"Ready","Factor required",IF(OR(G47&lt;&gt;IFERROR(IF(INDEX('Factors'!$D$9:$D$108,MATCH(J47,'Factors'!$C$9:$C$108,0))="","",INDEX('Factors'!$D$9:$D$108,MATCH(J47,'Factors'!$C$9:$C$108,0))),""),I47&lt;&gt;P47,F47&lt;&gt;Q47,K47&lt;&gt;S47,AND(R47&lt;&gt;"Global",R47&lt;&gt;W47),K47&lt;&gt;YEAR(IFERROR(IF(INDEX('Inventory'!$H$9:$H$108,MATCH(D47,'Inventory'!$C$9:$C$108,0))="","",INDEX('Inventory'!$H$9:$H$108,MATCH(D47,'Inventory'!$C$9:$C$108,0))),""))),"Factor / boundary mismatch",IF(AND(F47="S2",IFERROR(IF(INDEX('Factors'!$I$9:$I$108,MATCH(J47,'Factors'!$C$9:$C$108,0))="","",INDEX('Factors'!$I$9:$I$108,MATCH(J47,'Factors'!$C$9:$C$108,0))),"")&lt;&gt;"Location-based"),"Use location factor",IF(M47&lt;&gt;"Actual","Estimation method review","Ready"))))))))))</x:f>
        <x:v>Ready</x:v>
      </x:c>
      <x:c r="W47" s="9" t="str">
        <x:f>IF(C47="","",IFERROR(IF(INDEX('Inventory'!$G$9:$G$108,MATCH(D47,'Inventory'!$C$9:$C$108,0))="","",INDEX('Inventory'!$G$9:$G$108,MATCH(D47,'Inventory'!$C$9:$C$108,0))),""))</x:f>
        <x:v>Jordan</x:v>
      </x:c>
      <x:c r="X47" s="9" t="str">
        <x:f>IF(C47="","",IFERROR(IF(INDEX('Factors'!$P$9:$P$108,MATCH(J47,'Factors'!$C$9:$C$108,0))="","",INDEX('Factors'!$P$9:$P$108,MATCH(J47,'Factors'!$C$9:$C$108,0))),""))</x:f>
        <x:v>Ready</x:v>
      </x:c>
    </x:row>
    <x:row r="48" ht="26" customHeight="1">
      <x:c r="A48" s="1"/>
      <x:c r="B48" s="1"/>
      <x:c r="C48" s="8" t="str">
        <x:v>ACT040</x:v>
      </x:c>
      <x:c r="D48" s="8" t="str">
        <x:v>B009</x:v>
      </x:c>
      <x:c r="E48" s="8" t="str">
        <x:v>S018</x:v>
      </x:c>
      <x:c r="F48" s="8" t="str">
        <x:v>S2</x:v>
      </x:c>
      <x:c r="G48" s="8" t="str">
        <x:v>Electricity</x:v>
      </x:c>
      <x:c r="H48" s="16" t="n">
        <x:v>1125000</x:v>
      </x:c>
      <x:c r="I48" s="8" t="str">
        <x:v>kWh</x:v>
      </x:c>
      <x:c r="J48" s="8" t="str">
        <x:v>JO-GRID-26</x:v>
      </x:c>
      <x:c r="K48" s="22" t="n">
        <x:v>2026</x:v>
      </x:c>
      <x:c r="L48" s="8" t="str">
        <x:v>SYN-ACT-40</x:v>
      </x:c>
      <x:c r="M48" s="8" t="str">
        <x:v>Actual</x:v>
      </x:c>
      <x:c r="N48" s="40" t="n">
        <x:v>46752</x:v>
      </x:c>
      <x:c r="O48" s="41" t="n">
        <x:f>IF(C48="","",IFERROR(IF(INDEX('Factors'!$G$9:$G$108,MATCH(J48,'Factors'!$C$9:$C$108,0))="","",INDEX('Factors'!$G$9:$G$108,MATCH(J48,'Factors'!$C$9:$C$108,0))),""))</x:f>
        <x:v>0.43</x:v>
      </x:c>
      <x:c r="P48" s="9" t="str">
        <x:f>IF(C48="","",IFERROR(IF(INDEX('Factors'!$F$9:$F$108,MATCH(J48,'Factors'!$C$9:$C$108,0))="","",INDEX('Factors'!$F$9:$F$108,MATCH(J48,'Factors'!$C$9:$C$108,0))),""))</x:f>
        <x:v>kWh</x:v>
      </x:c>
      <x:c r="Q48" s="9" t="str">
        <x:f>IF(C48="","",IFERROR(IF(INDEX('Factors'!$H$9:$H$108,MATCH(J48,'Factors'!$C$9:$C$108,0))="","",INDEX('Factors'!$H$9:$H$108,MATCH(J48,'Factors'!$C$9:$C$108,0))),""))</x:f>
        <x:v>S2</x:v>
      </x:c>
      <x:c r="R48" s="9" t="str">
        <x:f>IF(C48="","",IFERROR(IF(INDEX('Factors'!$E$9:$E$108,MATCH(J48,'Factors'!$C$9:$C$108,0))="","",INDEX('Factors'!$E$9:$E$108,MATCH(J48,'Factors'!$C$9:$C$108,0))),""))</x:f>
        <x:v>Jordan</x:v>
      </x:c>
      <x:c r="S48" s="42" t="n">
        <x:f>IF(C48="","",IFERROR(IF(INDEX('Factors'!$J$9:$J$108,MATCH(J48,'Factors'!$C$9:$C$108,0))="","",INDEX('Factors'!$J$9:$J$108,MATCH(J48,'Factors'!$C$9:$C$108,0))),""))</x:f>
        <x:v>2026</x:v>
      </x:c>
      <x:c r="T48" s="9" t="str">
        <x:f>IF(C48="","",IFERROR(IF(INDEX('Factors'!$L$9:$L$108,MATCH(J48,'Factors'!$C$9:$C$108,0))="","",INDEX('Factors'!$L$9:$L$108,MATCH(J48,'Factors'!$C$9:$C$108,0))),"")&amp;" / "&amp;IFERROR(IF(INDEX('Factors'!$M$9:$M$108,MATCH(J48,'Factors'!$C$9:$C$108,0))="","",INDEX('Factors'!$M$9:$M$108,MATCH(J48,'Factors'!$C$9:$C$108,0))),""))</x:f>
        <x:v>SYNTHETIC DEMO / SYN-2026.1</x:v>
      </x:c>
      <x:c r="U48" s="21" t="n">
        <x:f>IF(V48="Ready",H48*O48/1000,"")</x:f>
        <x:v>483.75</x:v>
      </x:c>
      <x:c r="V48" s="9" t="str">
        <x:f>IF(C48="","",IF(OR(COUNTIFS($C$9:$C$308,C48)&lt;&gt;1,COUNTIFS($D$9:$D$308,D48,$E$9:$E$308,E48,$F$9:$F$308,F48,$G$9:$G$308,G48,$K$9:$K$308,K48)&lt;&gt;1),"Duplicate annual activity",IF(COUNTIFS('Inventory'!$C$9:$C$108,D48)&lt;&gt;1,"Entity required",IF(OR(E48="",L48="",NOT(ISNUMBER(H48)),H48&lt;0,NOT(ISNUMBER(K48)),NOT(ISNUMBER(N48))),"Missing activity input",IF(AND(E48&lt;&gt;D48,OR(COUNTIFS('Sites'!$C$9:$C$108,E48)&lt;&gt;1,IFERROR(IF(INDEX('Sites'!$D$9:$D$108,MATCH(E48,'Sites'!$C$9:$C$108,0))="","",INDEX('Sites'!$D$9:$D$108,MATCH(E48,'Sites'!$C$9:$C$108,0))),"")&lt;&gt;IFERROR(IF(INDEX('Inventory'!$D$9:$D$108,MATCH(D48,'Inventory'!$C$9:$C$108,0))="","",INDEX('Inventory'!$D$9:$D$108,MATCH(D48,'Inventory'!$C$9:$C$108,0))),""),IFERROR(IF(INDEX('Sites'!$E$9:$E$108,MATCH(E48,'Sites'!$C$9:$C$108,0))="","",INDEX('Sites'!$E$9:$E$108,MATCH(E48,'Sites'!$C$9:$C$108,0))),"")&lt;&gt;W48)),"Site / entity mismatch",IF(N48&lt;'Settings'!$F$8,"Expired",IF(X48&lt;&gt;"Ready","Factor required",IF(OR(G48&lt;&gt;IFERROR(IF(INDEX('Factors'!$D$9:$D$108,MATCH(J48,'Factors'!$C$9:$C$108,0))="","",INDEX('Factors'!$D$9:$D$108,MATCH(J48,'Factors'!$C$9:$C$108,0))),""),I48&lt;&gt;P48,F48&lt;&gt;Q48,K48&lt;&gt;S48,AND(R48&lt;&gt;"Global",R48&lt;&gt;W48),K48&lt;&gt;YEAR(IFERROR(IF(INDEX('Inventory'!$H$9:$H$108,MATCH(D48,'Inventory'!$C$9:$C$108,0))="","",INDEX('Inventory'!$H$9:$H$108,MATCH(D48,'Inventory'!$C$9:$C$108,0))),""))),"Factor / boundary mismatch",IF(AND(F48="S2",IFERROR(IF(INDEX('Factors'!$I$9:$I$108,MATCH(J48,'Factors'!$C$9:$C$108,0))="","",INDEX('Factors'!$I$9:$I$108,MATCH(J48,'Factors'!$C$9:$C$108,0))),"")&lt;&gt;"Location-based"),"Use location factor",IF(M48&lt;&gt;"Actual","Estimation method review","Ready"))))))))))</x:f>
        <x:v>Ready</x:v>
      </x:c>
      <x:c r="W48" s="9" t="str">
        <x:f>IF(C48="","",IFERROR(IF(INDEX('Inventory'!$G$9:$G$108,MATCH(D48,'Inventory'!$C$9:$C$108,0))="","",INDEX('Inventory'!$G$9:$G$108,MATCH(D48,'Inventory'!$C$9:$C$108,0))),""))</x:f>
        <x:v>Jordan</x:v>
      </x:c>
      <x:c r="X48" s="9" t="str">
        <x:f>IF(C48="","",IFERROR(IF(INDEX('Factors'!$P$9:$P$108,MATCH(J48,'Factors'!$C$9:$C$108,0))="","",INDEX('Factors'!$P$9:$P$108,MATCH(J48,'Factors'!$C$9:$C$108,0))),""))</x:f>
        <x:v>Ready</x:v>
      </x:c>
    </x:row>
    <x:row r="49" ht="26" customHeight="1">
      <x:c r="A49" s="1"/>
      <x:c r="B49" s="1"/>
      <x:c r="C49" s="8" t="str">
        <x:v>ACT041</x:v>
      </x:c>
      <x:c r="D49" s="8" t="str">
        <x:v>B010</x:v>
      </x:c>
      <x:c r="E49" s="8" t="str">
        <x:v>S019</x:v>
      </x:c>
      <x:c r="F49" s="8" t="str">
        <x:v>S1</x:v>
      </x:c>
      <x:c r="G49" s="8" t="str">
        <x:v>Diesel</x:v>
      </x:c>
      <x:c r="H49" s="16" t="n">
        <x:v>262000</x:v>
      </x:c>
      <x:c r="I49" s="8" t="str">
        <x:v>litre</x:v>
      </x:c>
      <x:c r="J49" s="8" t="str">
        <x:v>GLOBAL-DIESEL-26</x:v>
      </x:c>
      <x:c r="K49" s="22" t="n">
        <x:v>2026</x:v>
      </x:c>
      <x:c r="L49" s="8" t="str">
        <x:v>SYN-ACT-41</x:v>
      </x:c>
      <x:c r="M49" s="8" t="str">
        <x:v>Actual</x:v>
      </x:c>
      <x:c r="N49" s="40" t="n">
        <x:v>46752</x:v>
      </x:c>
      <x:c r="O49" s="41" t="n">
        <x:f>IF(C49="","",IFERROR(IF(INDEX('Factors'!$G$9:$G$108,MATCH(J49,'Factors'!$C$9:$C$108,0))="","",INDEX('Factors'!$G$9:$G$108,MATCH(J49,'Factors'!$C$9:$C$108,0))),""))</x:f>
        <x:v>2.68</x:v>
      </x:c>
      <x:c r="P49" s="9" t="str">
        <x:f>IF(C49="","",IFERROR(IF(INDEX('Factors'!$F$9:$F$108,MATCH(J49,'Factors'!$C$9:$C$108,0))="","",INDEX('Factors'!$F$9:$F$108,MATCH(J49,'Factors'!$C$9:$C$108,0))),""))</x:f>
        <x:v>litre</x:v>
      </x:c>
      <x:c r="Q49" s="9" t="str">
        <x:f>IF(C49="","",IFERROR(IF(INDEX('Factors'!$H$9:$H$108,MATCH(J49,'Factors'!$C$9:$C$108,0))="","",INDEX('Factors'!$H$9:$H$108,MATCH(J49,'Factors'!$C$9:$C$108,0))),""))</x:f>
        <x:v>S1</x:v>
      </x:c>
      <x:c r="R49" s="9" t="str">
        <x:f>IF(C49="","",IFERROR(IF(INDEX('Factors'!$E$9:$E$108,MATCH(J49,'Factors'!$C$9:$C$108,0))="","",INDEX('Factors'!$E$9:$E$108,MATCH(J49,'Factors'!$C$9:$C$108,0))),""))</x:f>
        <x:v>Global</x:v>
      </x:c>
      <x:c r="S49" s="42" t="n">
        <x:f>IF(C49="","",IFERROR(IF(INDEX('Factors'!$J$9:$J$108,MATCH(J49,'Factors'!$C$9:$C$108,0))="","",INDEX('Factors'!$J$9:$J$108,MATCH(J49,'Factors'!$C$9:$C$108,0))),""))</x:f>
        <x:v>2026</x:v>
      </x:c>
      <x:c r="T49" s="9" t="str">
        <x:f>IF(C49="","",IFERROR(IF(INDEX('Factors'!$L$9:$L$108,MATCH(J49,'Factors'!$C$9:$C$108,0))="","",INDEX('Factors'!$L$9:$L$108,MATCH(J49,'Factors'!$C$9:$C$108,0))),"")&amp;" / "&amp;IFERROR(IF(INDEX('Factors'!$M$9:$M$108,MATCH(J49,'Factors'!$C$9:$C$108,0))="","",INDEX('Factors'!$M$9:$M$108,MATCH(J49,'Factors'!$C$9:$C$108,0))),""))</x:f>
        <x:v>SYNTHETIC DEMO / SYN-2026.1</x:v>
      </x:c>
      <x:c r="U49" s="21" t="n">
        <x:f>IF(V49="Ready",H49*O49/1000,"")</x:f>
        <x:v>702.16</x:v>
      </x:c>
      <x:c r="V49" s="9" t="str">
        <x:f>IF(C49="","",IF(OR(COUNTIFS($C$9:$C$308,C49)&lt;&gt;1,COUNTIFS($D$9:$D$308,D49,$E$9:$E$308,E49,$F$9:$F$308,F49,$G$9:$G$308,G49,$K$9:$K$308,K49)&lt;&gt;1),"Duplicate annual activity",IF(COUNTIFS('Inventory'!$C$9:$C$108,D49)&lt;&gt;1,"Entity required",IF(OR(E49="",L49="",NOT(ISNUMBER(H49)),H49&lt;0,NOT(ISNUMBER(K49)),NOT(ISNUMBER(N49))),"Missing activity input",IF(AND(E49&lt;&gt;D49,OR(COUNTIFS('Sites'!$C$9:$C$108,E49)&lt;&gt;1,IFERROR(IF(INDEX('Sites'!$D$9:$D$108,MATCH(E49,'Sites'!$C$9:$C$108,0))="","",INDEX('Sites'!$D$9:$D$108,MATCH(E49,'Sites'!$C$9:$C$108,0))),"")&lt;&gt;IFERROR(IF(INDEX('Inventory'!$D$9:$D$108,MATCH(D49,'Inventory'!$C$9:$C$108,0))="","",INDEX('Inventory'!$D$9:$D$108,MATCH(D49,'Inventory'!$C$9:$C$108,0))),""),IFERROR(IF(INDEX('Sites'!$E$9:$E$108,MATCH(E49,'Sites'!$C$9:$C$108,0))="","",INDEX('Sites'!$E$9:$E$108,MATCH(E49,'Sites'!$C$9:$C$108,0))),"")&lt;&gt;W49)),"Site / entity mismatch",IF(N49&lt;'Settings'!$F$8,"Expired",IF(X49&lt;&gt;"Ready","Factor required",IF(OR(G49&lt;&gt;IFERROR(IF(INDEX('Factors'!$D$9:$D$108,MATCH(J49,'Factors'!$C$9:$C$108,0))="","",INDEX('Factors'!$D$9:$D$108,MATCH(J49,'Factors'!$C$9:$C$108,0))),""),I49&lt;&gt;P49,F49&lt;&gt;Q49,K49&lt;&gt;S49,AND(R49&lt;&gt;"Global",R49&lt;&gt;W49),K49&lt;&gt;YEAR(IFERROR(IF(INDEX('Inventory'!$H$9:$H$108,MATCH(D49,'Inventory'!$C$9:$C$108,0))="","",INDEX('Inventory'!$H$9:$H$108,MATCH(D49,'Inventory'!$C$9:$C$108,0))),""))),"Factor / boundary mismatch",IF(AND(F49="S2",IFERROR(IF(INDEX('Factors'!$I$9:$I$108,MATCH(J49,'Factors'!$C$9:$C$108,0))="","",INDEX('Factors'!$I$9:$I$108,MATCH(J49,'Factors'!$C$9:$C$108,0))),"")&lt;&gt;"Location-based"),"Use location factor",IF(M49&lt;&gt;"Actual","Estimation method review","Ready"))))))))))</x:f>
        <x:v>Ready</x:v>
      </x:c>
      <x:c r="W49" s="9" t="str">
        <x:f>IF(C49="","",IFERROR(IF(INDEX('Inventory'!$G$9:$G$108,MATCH(D49,'Inventory'!$C$9:$C$108,0))="","",INDEX('Inventory'!$G$9:$G$108,MATCH(D49,'Inventory'!$C$9:$C$108,0))),""))</x:f>
        <x:v>Jordan</x:v>
      </x:c>
      <x:c r="X49" s="9" t="str">
        <x:f>IF(C49="","",IFERROR(IF(INDEX('Factors'!$P$9:$P$108,MATCH(J49,'Factors'!$C$9:$C$108,0))="","",INDEX('Factors'!$P$9:$P$108,MATCH(J49,'Factors'!$C$9:$C$108,0))),""))</x:f>
        <x:v>Ready</x:v>
      </x:c>
    </x:row>
    <x:row r="50" ht="26" customHeight="1">
      <x:c r="A50" s="1"/>
      <x:c r="B50" s="1"/>
      <x:c r="C50" s="8" t="str">
        <x:v>ACT042</x:v>
      </x:c>
      <x:c r="D50" s="8" t="str">
        <x:v>B010</x:v>
      </x:c>
      <x:c r="E50" s="8" t="str">
        <x:v>S019</x:v>
      </x:c>
      <x:c r="F50" s="8" t="str">
        <x:v>S2</x:v>
      </x:c>
      <x:c r="G50" s="8" t="str">
        <x:v>Electricity</x:v>
      </x:c>
      <x:c r="H50" s="16" t="n">
        <x:v>1150000</x:v>
      </x:c>
      <x:c r="I50" s="8" t="str">
        <x:v>kWh</x:v>
      </x:c>
      <x:c r="J50" s="8" t="str">
        <x:v>JO-GRID-26</x:v>
      </x:c>
      <x:c r="K50" s="22" t="n">
        <x:v>2026</x:v>
      </x:c>
      <x:c r="L50" s="8" t="str">
        <x:v>SYN-ACT-42</x:v>
      </x:c>
      <x:c r="M50" s="8" t="str">
        <x:v>Actual</x:v>
      </x:c>
      <x:c r="N50" s="40" t="n">
        <x:v>46752</x:v>
      </x:c>
      <x:c r="O50" s="41" t="n">
        <x:f>IF(C50="","",IFERROR(IF(INDEX('Factors'!$G$9:$G$108,MATCH(J50,'Factors'!$C$9:$C$108,0))="","",INDEX('Factors'!$G$9:$G$108,MATCH(J50,'Factors'!$C$9:$C$108,0))),""))</x:f>
        <x:v>0.43</x:v>
      </x:c>
      <x:c r="P50" s="9" t="str">
        <x:f>IF(C50="","",IFERROR(IF(INDEX('Factors'!$F$9:$F$108,MATCH(J50,'Factors'!$C$9:$C$108,0))="","",INDEX('Factors'!$F$9:$F$108,MATCH(J50,'Factors'!$C$9:$C$108,0))),""))</x:f>
        <x:v>kWh</x:v>
      </x:c>
      <x:c r="Q50" s="9" t="str">
        <x:f>IF(C50="","",IFERROR(IF(INDEX('Factors'!$H$9:$H$108,MATCH(J50,'Factors'!$C$9:$C$108,0))="","",INDEX('Factors'!$H$9:$H$108,MATCH(J50,'Factors'!$C$9:$C$108,0))),""))</x:f>
        <x:v>S2</x:v>
      </x:c>
      <x:c r="R50" s="9" t="str">
        <x:f>IF(C50="","",IFERROR(IF(INDEX('Factors'!$E$9:$E$108,MATCH(J50,'Factors'!$C$9:$C$108,0))="","",INDEX('Factors'!$E$9:$E$108,MATCH(J50,'Factors'!$C$9:$C$108,0))),""))</x:f>
        <x:v>Jordan</x:v>
      </x:c>
      <x:c r="S50" s="42" t="n">
        <x:f>IF(C50="","",IFERROR(IF(INDEX('Factors'!$J$9:$J$108,MATCH(J50,'Factors'!$C$9:$C$108,0))="","",INDEX('Factors'!$J$9:$J$108,MATCH(J50,'Factors'!$C$9:$C$108,0))),""))</x:f>
        <x:v>2026</x:v>
      </x:c>
      <x:c r="T50" s="9" t="str">
        <x:f>IF(C50="","",IFERROR(IF(INDEX('Factors'!$L$9:$L$108,MATCH(J50,'Factors'!$C$9:$C$108,0))="","",INDEX('Factors'!$L$9:$L$108,MATCH(J50,'Factors'!$C$9:$C$108,0))),"")&amp;" / "&amp;IFERROR(IF(INDEX('Factors'!$M$9:$M$108,MATCH(J50,'Factors'!$C$9:$C$108,0))="","",INDEX('Factors'!$M$9:$M$108,MATCH(J50,'Factors'!$C$9:$C$108,0))),""))</x:f>
        <x:v>SYNTHETIC DEMO / SYN-2026.1</x:v>
      </x:c>
      <x:c r="U50" s="21" t="n">
        <x:f>IF(V50="Ready",H50*O50/1000,"")</x:f>
        <x:v>494.5</x:v>
      </x:c>
      <x:c r="V50" s="9" t="str">
        <x:f>IF(C50="","",IF(OR(COUNTIFS($C$9:$C$308,C50)&lt;&gt;1,COUNTIFS($D$9:$D$308,D50,$E$9:$E$308,E50,$F$9:$F$308,F50,$G$9:$G$308,G50,$K$9:$K$308,K50)&lt;&gt;1),"Duplicate annual activity",IF(COUNTIFS('Inventory'!$C$9:$C$108,D50)&lt;&gt;1,"Entity required",IF(OR(E50="",L50="",NOT(ISNUMBER(H50)),H50&lt;0,NOT(ISNUMBER(K50)),NOT(ISNUMBER(N50))),"Missing activity input",IF(AND(E50&lt;&gt;D50,OR(COUNTIFS('Sites'!$C$9:$C$108,E50)&lt;&gt;1,IFERROR(IF(INDEX('Sites'!$D$9:$D$108,MATCH(E50,'Sites'!$C$9:$C$108,0))="","",INDEX('Sites'!$D$9:$D$108,MATCH(E50,'Sites'!$C$9:$C$108,0))),"")&lt;&gt;IFERROR(IF(INDEX('Inventory'!$D$9:$D$108,MATCH(D50,'Inventory'!$C$9:$C$108,0))="","",INDEX('Inventory'!$D$9:$D$108,MATCH(D50,'Inventory'!$C$9:$C$108,0))),""),IFERROR(IF(INDEX('Sites'!$E$9:$E$108,MATCH(E50,'Sites'!$C$9:$C$108,0))="","",INDEX('Sites'!$E$9:$E$108,MATCH(E50,'Sites'!$C$9:$C$108,0))),"")&lt;&gt;W50)),"Site / entity mismatch",IF(N50&lt;'Settings'!$F$8,"Expired",IF(X50&lt;&gt;"Ready","Factor required",IF(OR(G50&lt;&gt;IFERROR(IF(INDEX('Factors'!$D$9:$D$108,MATCH(J50,'Factors'!$C$9:$C$108,0))="","",INDEX('Factors'!$D$9:$D$108,MATCH(J50,'Factors'!$C$9:$C$108,0))),""),I50&lt;&gt;P50,F50&lt;&gt;Q50,K50&lt;&gt;S50,AND(R50&lt;&gt;"Global",R50&lt;&gt;W50),K50&lt;&gt;YEAR(IFERROR(IF(INDEX('Inventory'!$H$9:$H$108,MATCH(D50,'Inventory'!$C$9:$C$108,0))="","",INDEX('Inventory'!$H$9:$H$108,MATCH(D50,'Inventory'!$C$9:$C$108,0))),""))),"Factor / boundary mismatch",IF(AND(F50="S2",IFERROR(IF(INDEX('Factors'!$I$9:$I$108,MATCH(J50,'Factors'!$C$9:$C$108,0))="","",INDEX('Factors'!$I$9:$I$108,MATCH(J50,'Factors'!$C$9:$C$108,0))),"")&lt;&gt;"Location-based"),"Use location factor",IF(M50&lt;&gt;"Actual","Estimation method review","Ready"))))))))))</x:f>
        <x:v>Ready</x:v>
      </x:c>
      <x:c r="W50" s="9" t="str">
        <x:f>IF(C50="","",IFERROR(IF(INDEX('Inventory'!$G$9:$G$108,MATCH(D50,'Inventory'!$C$9:$C$108,0))="","",INDEX('Inventory'!$G$9:$G$108,MATCH(D50,'Inventory'!$C$9:$C$108,0))),""))</x:f>
        <x:v>Jordan</x:v>
      </x:c>
      <x:c r="X50" s="9" t="str">
        <x:f>IF(C50="","",IFERROR(IF(INDEX('Factors'!$P$9:$P$108,MATCH(J50,'Factors'!$C$9:$C$108,0))="","",INDEX('Factors'!$P$9:$P$108,MATCH(J50,'Factors'!$C$9:$C$108,0))),""))</x:f>
        <x:v>Ready</x:v>
      </x:c>
    </x:row>
    <x:row r="51" ht="26" customHeight="1">
      <x:c r="A51" s="1"/>
      <x:c r="B51" s="1"/>
      <x:c r="C51" s="8" t="str">
        <x:v>ACT043</x:v>
      </x:c>
      <x:c r="D51" s="8" t="str">
        <x:v>B010</x:v>
      </x:c>
      <x:c r="E51" s="8" t="str">
        <x:v>S020</x:v>
      </x:c>
      <x:c r="F51" s="8" t="str">
        <x:v>S1</x:v>
      </x:c>
      <x:c r="G51" s="8" t="str">
        <x:v>Diesel</x:v>
      </x:c>
      <x:c r="H51" s="16" t="n">
        <x:v>271000</x:v>
      </x:c>
      <x:c r="I51" s="8" t="str">
        <x:v>litre</x:v>
      </x:c>
      <x:c r="J51" s="8" t="str">
        <x:v>GLOBAL-DIESEL-26</x:v>
      </x:c>
      <x:c r="K51" s="22" t="n">
        <x:v>2026</x:v>
      </x:c>
      <x:c r="L51" s="8" t="str">
        <x:v>SYN-ACT-43</x:v>
      </x:c>
      <x:c r="M51" s="8" t="str">
        <x:v>Actual</x:v>
      </x:c>
      <x:c r="N51" s="40" t="n">
        <x:v>46752</x:v>
      </x:c>
      <x:c r="O51" s="41" t="n">
        <x:f>IF(C51="","",IFERROR(IF(INDEX('Factors'!$G$9:$G$108,MATCH(J51,'Factors'!$C$9:$C$108,0))="","",INDEX('Factors'!$G$9:$G$108,MATCH(J51,'Factors'!$C$9:$C$108,0))),""))</x:f>
        <x:v>2.68</x:v>
      </x:c>
      <x:c r="P51" s="9" t="str">
        <x:f>IF(C51="","",IFERROR(IF(INDEX('Factors'!$F$9:$F$108,MATCH(J51,'Factors'!$C$9:$C$108,0))="","",INDEX('Factors'!$F$9:$F$108,MATCH(J51,'Factors'!$C$9:$C$108,0))),""))</x:f>
        <x:v>litre</x:v>
      </x:c>
      <x:c r="Q51" s="9" t="str">
        <x:f>IF(C51="","",IFERROR(IF(INDEX('Factors'!$H$9:$H$108,MATCH(J51,'Factors'!$C$9:$C$108,0))="","",INDEX('Factors'!$H$9:$H$108,MATCH(J51,'Factors'!$C$9:$C$108,0))),""))</x:f>
        <x:v>S1</x:v>
      </x:c>
      <x:c r="R51" s="9" t="str">
        <x:f>IF(C51="","",IFERROR(IF(INDEX('Factors'!$E$9:$E$108,MATCH(J51,'Factors'!$C$9:$C$108,0))="","",INDEX('Factors'!$E$9:$E$108,MATCH(J51,'Factors'!$C$9:$C$108,0))),""))</x:f>
        <x:v>Global</x:v>
      </x:c>
      <x:c r="S51" s="42" t="n">
        <x:f>IF(C51="","",IFERROR(IF(INDEX('Factors'!$J$9:$J$108,MATCH(J51,'Factors'!$C$9:$C$108,0))="","",INDEX('Factors'!$J$9:$J$108,MATCH(J51,'Factors'!$C$9:$C$108,0))),""))</x:f>
        <x:v>2026</x:v>
      </x:c>
      <x:c r="T51" s="9" t="str">
        <x:f>IF(C51="","",IFERROR(IF(INDEX('Factors'!$L$9:$L$108,MATCH(J51,'Factors'!$C$9:$C$108,0))="","",INDEX('Factors'!$L$9:$L$108,MATCH(J51,'Factors'!$C$9:$C$108,0))),"")&amp;" / "&amp;IFERROR(IF(INDEX('Factors'!$M$9:$M$108,MATCH(J51,'Factors'!$C$9:$C$108,0))="","",INDEX('Factors'!$M$9:$M$108,MATCH(J51,'Factors'!$C$9:$C$108,0))),""))</x:f>
        <x:v>SYNTHETIC DEMO / SYN-2026.1</x:v>
      </x:c>
      <x:c r="U51" s="21" t="n">
        <x:f>IF(V51="Ready",H51*O51/1000,"")</x:f>
        <x:v>726.28</x:v>
      </x:c>
      <x:c r="V51" s="9" t="str">
        <x:f>IF(C51="","",IF(OR(COUNTIFS($C$9:$C$308,C51)&lt;&gt;1,COUNTIFS($D$9:$D$308,D51,$E$9:$E$308,E51,$F$9:$F$308,F51,$G$9:$G$308,G51,$K$9:$K$308,K51)&lt;&gt;1),"Duplicate annual activity",IF(COUNTIFS('Inventory'!$C$9:$C$108,D51)&lt;&gt;1,"Entity required",IF(OR(E51="",L51="",NOT(ISNUMBER(H51)),H51&lt;0,NOT(ISNUMBER(K51)),NOT(ISNUMBER(N51))),"Missing activity input",IF(AND(E51&lt;&gt;D51,OR(COUNTIFS('Sites'!$C$9:$C$108,E51)&lt;&gt;1,IFERROR(IF(INDEX('Sites'!$D$9:$D$108,MATCH(E51,'Sites'!$C$9:$C$108,0))="","",INDEX('Sites'!$D$9:$D$108,MATCH(E51,'Sites'!$C$9:$C$108,0))),"")&lt;&gt;IFERROR(IF(INDEX('Inventory'!$D$9:$D$108,MATCH(D51,'Inventory'!$C$9:$C$108,0))="","",INDEX('Inventory'!$D$9:$D$108,MATCH(D51,'Inventory'!$C$9:$C$108,0))),""),IFERROR(IF(INDEX('Sites'!$E$9:$E$108,MATCH(E51,'Sites'!$C$9:$C$108,0))="","",INDEX('Sites'!$E$9:$E$108,MATCH(E51,'Sites'!$C$9:$C$108,0))),"")&lt;&gt;W51)),"Site / entity mismatch",IF(N51&lt;'Settings'!$F$8,"Expired",IF(X51&lt;&gt;"Ready","Factor required",IF(OR(G51&lt;&gt;IFERROR(IF(INDEX('Factors'!$D$9:$D$108,MATCH(J51,'Factors'!$C$9:$C$108,0))="","",INDEX('Factors'!$D$9:$D$108,MATCH(J51,'Factors'!$C$9:$C$108,0))),""),I51&lt;&gt;P51,F51&lt;&gt;Q51,K51&lt;&gt;S51,AND(R51&lt;&gt;"Global",R51&lt;&gt;W51),K51&lt;&gt;YEAR(IFERROR(IF(INDEX('Inventory'!$H$9:$H$108,MATCH(D51,'Inventory'!$C$9:$C$108,0))="","",INDEX('Inventory'!$H$9:$H$108,MATCH(D51,'Inventory'!$C$9:$C$108,0))),""))),"Factor / boundary mismatch",IF(AND(F51="S2",IFERROR(IF(INDEX('Factors'!$I$9:$I$108,MATCH(J51,'Factors'!$C$9:$C$108,0))="","",INDEX('Factors'!$I$9:$I$108,MATCH(J51,'Factors'!$C$9:$C$108,0))),"")&lt;&gt;"Location-based"),"Use location factor",IF(M51&lt;&gt;"Actual","Estimation method review","Ready"))))))))))</x:f>
        <x:v>Ready</x:v>
      </x:c>
      <x:c r="W51" s="9" t="str">
        <x:f>IF(C51="","",IFERROR(IF(INDEX('Inventory'!$G$9:$G$108,MATCH(D51,'Inventory'!$C$9:$C$108,0))="","",INDEX('Inventory'!$G$9:$G$108,MATCH(D51,'Inventory'!$C$9:$C$108,0))),""))</x:f>
        <x:v>Jordan</x:v>
      </x:c>
      <x:c r="X51" s="9" t="str">
        <x:f>IF(C51="","",IFERROR(IF(INDEX('Factors'!$P$9:$P$108,MATCH(J51,'Factors'!$C$9:$C$108,0))="","",INDEX('Factors'!$P$9:$P$108,MATCH(J51,'Factors'!$C$9:$C$108,0))),""))</x:f>
        <x:v>Ready</x:v>
      </x:c>
    </x:row>
    <x:row r="52" ht="26" customHeight="1">
      <x:c r="A52" s="1"/>
      <x:c r="B52" s="1"/>
      <x:c r="C52" s="8" t="str">
        <x:v>ACT044</x:v>
      </x:c>
      <x:c r="D52" s="8" t="str">
        <x:v>B010</x:v>
      </x:c>
      <x:c r="E52" s="8" t="str">
        <x:v>S020</x:v>
      </x:c>
      <x:c r="F52" s="8" t="str">
        <x:v>S2</x:v>
      </x:c>
      <x:c r="G52" s="8" t="str">
        <x:v>Electricity</x:v>
      </x:c>
      <x:c r="H52" s="16" t="n">
        <x:v>1175000</x:v>
      </x:c>
      <x:c r="I52" s="8" t="str">
        <x:v>kWh</x:v>
      </x:c>
      <x:c r="J52" s="8" t="str">
        <x:v>JO-GRID-26</x:v>
      </x:c>
      <x:c r="K52" s="22" t="n">
        <x:v>2026</x:v>
      </x:c>
      <x:c r="L52" s="8" t="str">
        <x:v>SYN-ACT-44</x:v>
      </x:c>
      <x:c r="M52" s="8" t="str">
        <x:v>Actual</x:v>
      </x:c>
      <x:c r="N52" s="40" t="n">
        <x:v>46752</x:v>
      </x:c>
      <x:c r="O52" s="41" t="n">
        <x:f>IF(C52="","",IFERROR(IF(INDEX('Factors'!$G$9:$G$108,MATCH(J52,'Factors'!$C$9:$C$108,0))="","",INDEX('Factors'!$G$9:$G$108,MATCH(J52,'Factors'!$C$9:$C$108,0))),""))</x:f>
        <x:v>0.43</x:v>
      </x:c>
      <x:c r="P52" s="9" t="str">
        <x:f>IF(C52="","",IFERROR(IF(INDEX('Factors'!$F$9:$F$108,MATCH(J52,'Factors'!$C$9:$C$108,0))="","",INDEX('Factors'!$F$9:$F$108,MATCH(J52,'Factors'!$C$9:$C$108,0))),""))</x:f>
        <x:v>kWh</x:v>
      </x:c>
      <x:c r="Q52" s="9" t="str">
        <x:f>IF(C52="","",IFERROR(IF(INDEX('Factors'!$H$9:$H$108,MATCH(J52,'Factors'!$C$9:$C$108,0))="","",INDEX('Factors'!$H$9:$H$108,MATCH(J52,'Factors'!$C$9:$C$108,0))),""))</x:f>
        <x:v>S2</x:v>
      </x:c>
      <x:c r="R52" s="9" t="str">
        <x:f>IF(C52="","",IFERROR(IF(INDEX('Factors'!$E$9:$E$108,MATCH(J52,'Factors'!$C$9:$C$108,0))="","",INDEX('Factors'!$E$9:$E$108,MATCH(J52,'Factors'!$C$9:$C$108,0))),""))</x:f>
        <x:v>Jordan</x:v>
      </x:c>
      <x:c r="S52" s="42" t="n">
        <x:f>IF(C52="","",IFERROR(IF(INDEX('Factors'!$J$9:$J$108,MATCH(J52,'Factors'!$C$9:$C$108,0))="","",INDEX('Factors'!$J$9:$J$108,MATCH(J52,'Factors'!$C$9:$C$108,0))),""))</x:f>
        <x:v>2026</x:v>
      </x:c>
      <x:c r="T52" s="9" t="str">
        <x:f>IF(C52="","",IFERROR(IF(INDEX('Factors'!$L$9:$L$108,MATCH(J52,'Factors'!$C$9:$C$108,0))="","",INDEX('Factors'!$L$9:$L$108,MATCH(J52,'Factors'!$C$9:$C$108,0))),"")&amp;" / "&amp;IFERROR(IF(INDEX('Factors'!$M$9:$M$108,MATCH(J52,'Factors'!$C$9:$C$108,0))="","",INDEX('Factors'!$M$9:$M$108,MATCH(J52,'Factors'!$C$9:$C$108,0))),""))</x:f>
        <x:v>SYNTHETIC DEMO / SYN-2026.1</x:v>
      </x:c>
      <x:c r="U52" s="21" t="n">
        <x:f>IF(V52="Ready",H52*O52/1000,"")</x:f>
        <x:v>505.25</x:v>
      </x:c>
      <x:c r="V52" s="9" t="str">
        <x:f>IF(C52="","",IF(OR(COUNTIFS($C$9:$C$308,C52)&lt;&gt;1,COUNTIFS($D$9:$D$308,D52,$E$9:$E$308,E52,$F$9:$F$308,F52,$G$9:$G$308,G52,$K$9:$K$308,K52)&lt;&gt;1),"Duplicate annual activity",IF(COUNTIFS('Inventory'!$C$9:$C$108,D52)&lt;&gt;1,"Entity required",IF(OR(E52="",L52="",NOT(ISNUMBER(H52)),H52&lt;0,NOT(ISNUMBER(K52)),NOT(ISNUMBER(N52))),"Missing activity input",IF(AND(E52&lt;&gt;D52,OR(COUNTIFS('Sites'!$C$9:$C$108,E52)&lt;&gt;1,IFERROR(IF(INDEX('Sites'!$D$9:$D$108,MATCH(E52,'Sites'!$C$9:$C$108,0))="","",INDEX('Sites'!$D$9:$D$108,MATCH(E52,'Sites'!$C$9:$C$108,0))),"")&lt;&gt;IFERROR(IF(INDEX('Inventory'!$D$9:$D$108,MATCH(D52,'Inventory'!$C$9:$C$108,0))="","",INDEX('Inventory'!$D$9:$D$108,MATCH(D52,'Inventory'!$C$9:$C$108,0))),""),IFERROR(IF(INDEX('Sites'!$E$9:$E$108,MATCH(E52,'Sites'!$C$9:$C$108,0))="","",INDEX('Sites'!$E$9:$E$108,MATCH(E52,'Sites'!$C$9:$C$108,0))),"")&lt;&gt;W52)),"Site / entity mismatch",IF(N52&lt;'Settings'!$F$8,"Expired",IF(X52&lt;&gt;"Ready","Factor required",IF(OR(G52&lt;&gt;IFERROR(IF(INDEX('Factors'!$D$9:$D$108,MATCH(J52,'Factors'!$C$9:$C$108,0))="","",INDEX('Factors'!$D$9:$D$108,MATCH(J52,'Factors'!$C$9:$C$108,0))),""),I52&lt;&gt;P52,F52&lt;&gt;Q52,K52&lt;&gt;S52,AND(R52&lt;&gt;"Global",R52&lt;&gt;W52),K52&lt;&gt;YEAR(IFERROR(IF(INDEX('Inventory'!$H$9:$H$108,MATCH(D52,'Inventory'!$C$9:$C$108,0))="","",INDEX('Inventory'!$H$9:$H$108,MATCH(D52,'Inventory'!$C$9:$C$108,0))),""))),"Factor / boundary mismatch",IF(AND(F52="S2",IFERROR(IF(INDEX('Factors'!$I$9:$I$108,MATCH(J52,'Factors'!$C$9:$C$108,0))="","",INDEX('Factors'!$I$9:$I$108,MATCH(J52,'Factors'!$C$9:$C$108,0))),"")&lt;&gt;"Location-based"),"Use location factor",IF(M52&lt;&gt;"Actual","Estimation method review","Ready"))))))))))</x:f>
        <x:v>Ready</x:v>
      </x:c>
      <x:c r="W52" s="9" t="str">
        <x:f>IF(C52="","",IFERROR(IF(INDEX('Inventory'!$G$9:$G$108,MATCH(D52,'Inventory'!$C$9:$C$108,0))="","",INDEX('Inventory'!$G$9:$G$108,MATCH(D52,'Inventory'!$C$9:$C$108,0))),""))</x:f>
        <x:v>Jordan</x:v>
      </x:c>
      <x:c r="X52" s="9" t="str">
        <x:f>IF(C52="","",IFERROR(IF(INDEX('Factors'!$P$9:$P$108,MATCH(J52,'Factors'!$C$9:$C$108,0))="","",INDEX('Factors'!$P$9:$P$108,MATCH(J52,'Factors'!$C$9:$C$108,0))),""))</x:f>
        <x:v>Ready</x:v>
      </x:c>
    </x:row>
    <x:row r="53" ht="26" customHeight="1">
      <x:c r="A53" s="1"/>
      <x:c r="B53" s="1"/>
      <x:c r="C53" s="8" t="str">
        <x:v>ACT045</x:v>
      </x:c>
      <x:c r="D53" s="8" t="str">
        <x:v>B011</x:v>
      </x:c>
      <x:c r="E53" s="8" t="str">
        <x:v>S021</x:v>
      </x:c>
      <x:c r="F53" s="8" t="str">
        <x:v>S1</x:v>
      </x:c>
      <x:c r="G53" s="8" t="str">
        <x:v>Diesel</x:v>
      </x:c>
      <x:c r="H53" s="16" t="n">
        <x:v>280000</x:v>
      </x:c>
      <x:c r="I53" s="8" t="str">
        <x:v>litre</x:v>
      </x:c>
      <x:c r="J53" s="8" t="str">
        <x:v>GLOBAL-DIESEL-26</x:v>
      </x:c>
      <x:c r="K53" s="22" t="n">
        <x:v>2026</x:v>
      </x:c>
      <x:c r="L53" s="8" t="str">
        <x:v>SYN-ACT-45</x:v>
      </x:c>
      <x:c r="M53" s="8" t="str">
        <x:v>Actual</x:v>
      </x:c>
      <x:c r="N53" s="40" t="n">
        <x:v>46752</x:v>
      </x:c>
      <x:c r="O53" s="41" t="n">
        <x:f>IF(C53="","",IFERROR(IF(INDEX('Factors'!$G$9:$G$108,MATCH(J53,'Factors'!$C$9:$C$108,0))="","",INDEX('Factors'!$G$9:$G$108,MATCH(J53,'Factors'!$C$9:$C$108,0))),""))</x:f>
        <x:v>2.68</x:v>
      </x:c>
      <x:c r="P53" s="9" t="str">
        <x:f>IF(C53="","",IFERROR(IF(INDEX('Factors'!$F$9:$F$108,MATCH(J53,'Factors'!$C$9:$C$108,0))="","",INDEX('Factors'!$F$9:$F$108,MATCH(J53,'Factors'!$C$9:$C$108,0))),""))</x:f>
        <x:v>litre</x:v>
      </x:c>
      <x:c r="Q53" s="9" t="str">
        <x:f>IF(C53="","",IFERROR(IF(INDEX('Factors'!$H$9:$H$108,MATCH(J53,'Factors'!$C$9:$C$108,0))="","",INDEX('Factors'!$H$9:$H$108,MATCH(J53,'Factors'!$C$9:$C$108,0))),""))</x:f>
        <x:v>S1</x:v>
      </x:c>
      <x:c r="R53" s="9" t="str">
        <x:f>IF(C53="","",IFERROR(IF(INDEX('Factors'!$E$9:$E$108,MATCH(J53,'Factors'!$C$9:$C$108,0))="","",INDEX('Factors'!$E$9:$E$108,MATCH(J53,'Factors'!$C$9:$C$108,0))),""))</x:f>
        <x:v>Global</x:v>
      </x:c>
      <x:c r="S53" s="42" t="n">
        <x:f>IF(C53="","",IFERROR(IF(INDEX('Factors'!$J$9:$J$108,MATCH(J53,'Factors'!$C$9:$C$108,0))="","",INDEX('Factors'!$J$9:$J$108,MATCH(J53,'Factors'!$C$9:$C$108,0))),""))</x:f>
        <x:v>2026</x:v>
      </x:c>
      <x:c r="T53" s="9" t="str">
        <x:f>IF(C53="","",IFERROR(IF(INDEX('Factors'!$L$9:$L$108,MATCH(J53,'Factors'!$C$9:$C$108,0))="","",INDEX('Factors'!$L$9:$L$108,MATCH(J53,'Factors'!$C$9:$C$108,0))),"")&amp;" / "&amp;IFERROR(IF(INDEX('Factors'!$M$9:$M$108,MATCH(J53,'Factors'!$C$9:$C$108,0))="","",INDEX('Factors'!$M$9:$M$108,MATCH(J53,'Factors'!$C$9:$C$108,0))),""))</x:f>
        <x:v>SYNTHETIC DEMO / SYN-2026.1</x:v>
      </x:c>
      <x:c r="U53" s="21" t="n">
        <x:f>IF(V53="Ready",H53*O53/1000,"")</x:f>
        <x:v>750.4</x:v>
      </x:c>
      <x:c r="V53" s="9" t="str">
        <x:f>IF(C53="","",IF(OR(COUNTIFS($C$9:$C$308,C53)&lt;&gt;1,COUNTIFS($D$9:$D$308,D53,$E$9:$E$308,E53,$F$9:$F$308,F53,$G$9:$G$308,G53,$K$9:$K$308,K53)&lt;&gt;1),"Duplicate annual activity",IF(COUNTIFS('Inventory'!$C$9:$C$108,D53)&lt;&gt;1,"Entity required",IF(OR(E53="",L53="",NOT(ISNUMBER(H53)),H53&lt;0,NOT(ISNUMBER(K53)),NOT(ISNUMBER(N53))),"Missing activity input",IF(AND(E53&lt;&gt;D53,OR(COUNTIFS('Sites'!$C$9:$C$108,E53)&lt;&gt;1,IFERROR(IF(INDEX('Sites'!$D$9:$D$108,MATCH(E53,'Sites'!$C$9:$C$108,0))="","",INDEX('Sites'!$D$9:$D$108,MATCH(E53,'Sites'!$C$9:$C$108,0))),"")&lt;&gt;IFERROR(IF(INDEX('Inventory'!$D$9:$D$108,MATCH(D53,'Inventory'!$C$9:$C$108,0))="","",INDEX('Inventory'!$D$9:$D$108,MATCH(D53,'Inventory'!$C$9:$C$108,0))),""),IFERROR(IF(INDEX('Sites'!$E$9:$E$108,MATCH(E53,'Sites'!$C$9:$C$108,0))="","",INDEX('Sites'!$E$9:$E$108,MATCH(E53,'Sites'!$C$9:$C$108,0))),"")&lt;&gt;W53)),"Site / entity mismatch",IF(N53&lt;'Settings'!$F$8,"Expired",IF(X53&lt;&gt;"Ready","Factor required",IF(OR(G53&lt;&gt;IFERROR(IF(INDEX('Factors'!$D$9:$D$108,MATCH(J53,'Factors'!$C$9:$C$108,0))="","",INDEX('Factors'!$D$9:$D$108,MATCH(J53,'Factors'!$C$9:$C$108,0))),""),I53&lt;&gt;P53,F53&lt;&gt;Q53,K53&lt;&gt;S53,AND(R53&lt;&gt;"Global",R53&lt;&gt;W53),K53&lt;&gt;YEAR(IFERROR(IF(INDEX('Inventory'!$H$9:$H$108,MATCH(D53,'Inventory'!$C$9:$C$108,0))="","",INDEX('Inventory'!$H$9:$H$108,MATCH(D53,'Inventory'!$C$9:$C$108,0))),""))),"Factor / boundary mismatch",IF(AND(F53="S2",IFERROR(IF(INDEX('Factors'!$I$9:$I$108,MATCH(J53,'Factors'!$C$9:$C$108,0))="","",INDEX('Factors'!$I$9:$I$108,MATCH(J53,'Factors'!$C$9:$C$108,0))),"")&lt;&gt;"Location-based"),"Use location factor",IF(M53&lt;&gt;"Actual","Estimation method review","Ready"))))))))))</x:f>
        <x:v>Ready</x:v>
      </x:c>
      <x:c r="W53" s="9" t="str">
        <x:f>IF(C53="","",IFERROR(IF(INDEX('Inventory'!$G$9:$G$108,MATCH(D53,'Inventory'!$C$9:$C$108,0))="","",INDEX('Inventory'!$G$9:$G$108,MATCH(D53,'Inventory'!$C$9:$C$108,0))),""))</x:f>
        <x:v>Jordan</x:v>
      </x:c>
      <x:c r="X53" s="9" t="str">
        <x:f>IF(C53="","",IFERROR(IF(INDEX('Factors'!$P$9:$P$108,MATCH(J53,'Factors'!$C$9:$C$108,0))="","",INDEX('Factors'!$P$9:$P$108,MATCH(J53,'Factors'!$C$9:$C$108,0))),""))</x:f>
        <x:v>Ready</x:v>
      </x:c>
    </x:row>
    <x:row r="54" ht="26" customHeight="1">
      <x:c r="A54" s="1"/>
      <x:c r="B54" s="1"/>
      <x:c r="C54" s="8" t="str">
        <x:v>ACT046</x:v>
      </x:c>
      <x:c r="D54" s="8" t="str">
        <x:v>B011</x:v>
      </x:c>
      <x:c r="E54" s="8" t="str">
        <x:v>S021</x:v>
      </x:c>
      <x:c r="F54" s="8" t="str">
        <x:v>S2</x:v>
      </x:c>
      <x:c r="G54" s="8" t="str">
        <x:v>Electricity</x:v>
      </x:c>
      <x:c r="H54" s="16" t="n">
        <x:v>1200000</x:v>
      </x:c>
      <x:c r="I54" s="8" t="str">
        <x:v>kWh</x:v>
      </x:c>
      <x:c r="J54" s="8" t="str">
        <x:v>JO-GRID-26</x:v>
      </x:c>
      <x:c r="K54" s="22" t="n">
        <x:v>2026</x:v>
      </x:c>
      <x:c r="L54" s="8" t="str">
        <x:v>SYN-ACT-46</x:v>
      </x:c>
      <x:c r="M54" s="8" t="str">
        <x:v>Actual</x:v>
      </x:c>
      <x:c r="N54" s="40" t="n">
        <x:v>46752</x:v>
      </x:c>
      <x:c r="O54" s="41" t="n">
        <x:f>IF(C54="","",IFERROR(IF(INDEX('Factors'!$G$9:$G$108,MATCH(J54,'Factors'!$C$9:$C$108,0))="","",INDEX('Factors'!$G$9:$G$108,MATCH(J54,'Factors'!$C$9:$C$108,0))),""))</x:f>
        <x:v>0.43</x:v>
      </x:c>
      <x:c r="P54" s="9" t="str">
        <x:f>IF(C54="","",IFERROR(IF(INDEX('Factors'!$F$9:$F$108,MATCH(J54,'Factors'!$C$9:$C$108,0))="","",INDEX('Factors'!$F$9:$F$108,MATCH(J54,'Factors'!$C$9:$C$108,0))),""))</x:f>
        <x:v>kWh</x:v>
      </x:c>
      <x:c r="Q54" s="9" t="str">
        <x:f>IF(C54="","",IFERROR(IF(INDEX('Factors'!$H$9:$H$108,MATCH(J54,'Factors'!$C$9:$C$108,0))="","",INDEX('Factors'!$H$9:$H$108,MATCH(J54,'Factors'!$C$9:$C$108,0))),""))</x:f>
        <x:v>S2</x:v>
      </x:c>
      <x:c r="R54" s="9" t="str">
        <x:f>IF(C54="","",IFERROR(IF(INDEX('Factors'!$E$9:$E$108,MATCH(J54,'Factors'!$C$9:$C$108,0))="","",INDEX('Factors'!$E$9:$E$108,MATCH(J54,'Factors'!$C$9:$C$108,0))),""))</x:f>
        <x:v>Jordan</x:v>
      </x:c>
      <x:c r="S54" s="42" t="n">
        <x:f>IF(C54="","",IFERROR(IF(INDEX('Factors'!$J$9:$J$108,MATCH(J54,'Factors'!$C$9:$C$108,0))="","",INDEX('Factors'!$J$9:$J$108,MATCH(J54,'Factors'!$C$9:$C$108,0))),""))</x:f>
        <x:v>2026</x:v>
      </x:c>
      <x:c r="T54" s="9" t="str">
        <x:f>IF(C54="","",IFERROR(IF(INDEX('Factors'!$L$9:$L$108,MATCH(J54,'Factors'!$C$9:$C$108,0))="","",INDEX('Factors'!$L$9:$L$108,MATCH(J54,'Factors'!$C$9:$C$108,0))),"")&amp;" / "&amp;IFERROR(IF(INDEX('Factors'!$M$9:$M$108,MATCH(J54,'Factors'!$C$9:$C$108,0))="","",INDEX('Factors'!$M$9:$M$108,MATCH(J54,'Factors'!$C$9:$C$108,0))),""))</x:f>
        <x:v>SYNTHETIC DEMO / SYN-2026.1</x:v>
      </x:c>
      <x:c r="U54" s="21" t="n">
        <x:f>IF(V54="Ready",H54*O54/1000,"")</x:f>
        <x:v>516</x:v>
      </x:c>
      <x:c r="V54" s="9" t="str">
        <x:f>IF(C54="","",IF(OR(COUNTIFS($C$9:$C$308,C54)&lt;&gt;1,COUNTIFS($D$9:$D$308,D54,$E$9:$E$308,E54,$F$9:$F$308,F54,$G$9:$G$308,G54,$K$9:$K$308,K54)&lt;&gt;1),"Duplicate annual activity",IF(COUNTIFS('Inventory'!$C$9:$C$108,D54)&lt;&gt;1,"Entity required",IF(OR(E54="",L54="",NOT(ISNUMBER(H54)),H54&lt;0,NOT(ISNUMBER(K54)),NOT(ISNUMBER(N54))),"Missing activity input",IF(AND(E54&lt;&gt;D54,OR(COUNTIFS('Sites'!$C$9:$C$108,E54)&lt;&gt;1,IFERROR(IF(INDEX('Sites'!$D$9:$D$108,MATCH(E54,'Sites'!$C$9:$C$108,0))="","",INDEX('Sites'!$D$9:$D$108,MATCH(E54,'Sites'!$C$9:$C$108,0))),"")&lt;&gt;IFERROR(IF(INDEX('Inventory'!$D$9:$D$108,MATCH(D54,'Inventory'!$C$9:$C$108,0))="","",INDEX('Inventory'!$D$9:$D$108,MATCH(D54,'Inventory'!$C$9:$C$108,0))),""),IFERROR(IF(INDEX('Sites'!$E$9:$E$108,MATCH(E54,'Sites'!$C$9:$C$108,0))="","",INDEX('Sites'!$E$9:$E$108,MATCH(E54,'Sites'!$C$9:$C$108,0))),"")&lt;&gt;W54)),"Site / entity mismatch",IF(N54&lt;'Settings'!$F$8,"Expired",IF(X54&lt;&gt;"Ready","Factor required",IF(OR(G54&lt;&gt;IFERROR(IF(INDEX('Factors'!$D$9:$D$108,MATCH(J54,'Factors'!$C$9:$C$108,0))="","",INDEX('Factors'!$D$9:$D$108,MATCH(J54,'Factors'!$C$9:$C$108,0))),""),I54&lt;&gt;P54,F54&lt;&gt;Q54,K54&lt;&gt;S54,AND(R54&lt;&gt;"Global",R54&lt;&gt;W54),K54&lt;&gt;YEAR(IFERROR(IF(INDEX('Inventory'!$H$9:$H$108,MATCH(D54,'Inventory'!$C$9:$C$108,0))="","",INDEX('Inventory'!$H$9:$H$108,MATCH(D54,'Inventory'!$C$9:$C$108,0))),""))),"Factor / boundary mismatch",IF(AND(F54="S2",IFERROR(IF(INDEX('Factors'!$I$9:$I$108,MATCH(J54,'Factors'!$C$9:$C$108,0))="","",INDEX('Factors'!$I$9:$I$108,MATCH(J54,'Factors'!$C$9:$C$108,0))),"")&lt;&gt;"Location-based"),"Use location factor",IF(M54&lt;&gt;"Actual","Estimation method review","Ready"))))))))))</x:f>
        <x:v>Ready</x:v>
      </x:c>
      <x:c r="W54" s="9" t="str">
        <x:f>IF(C54="","",IFERROR(IF(INDEX('Inventory'!$G$9:$G$108,MATCH(D54,'Inventory'!$C$9:$C$108,0))="","",INDEX('Inventory'!$G$9:$G$108,MATCH(D54,'Inventory'!$C$9:$C$108,0))),""))</x:f>
        <x:v>Jordan</x:v>
      </x:c>
      <x:c r="X54" s="9" t="str">
        <x:f>IF(C54="","",IFERROR(IF(INDEX('Factors'!$P$9:$P$108,MATCH(J54,'Factors'!$C$9:$C$108,0))="","",INDEX('Factors'!$P$9:$P$108,MATCH(J54,'Factors'!$C$9:$C$108,0))),""))</x:f>
        <x:v>Ready</x:v>
      </x:c>
    </x:row>
    <x:row r="55" ht="26" customHeight="1">
      <x:c r="A55" s="1"/>
      <x:c r="B55" s="1"/>
      <x:c r="C55" s="8" t="str">
        <x:v>ACT047</x:v>
      </x:c>
      <x:c r="D55" s="8" t="str">
        <x:v>B011</x:v>
      </x:c>
      <x:c r="E55" s="8" t="str">
        <x:v>S022</x:v>
      </x:c>
      <x:c r="F55" s="8" t="str">
        <x:v>S1</x:v>
      </x:c>
      <x:c r="G55" s="8" t="str">
        <x:v>Diesel</x:v>
      </x:c>
      <x:c r="H55" s="16" t="n">
        <x:v>289000</x:v>
      </x:c>
      <x:c r="I55" s="8" t="str">
        <x:v>litre</x:v>
      </x:c>
      <x:c r="J55" s="8" t="str">
        <x:v>GLOBAL-DIESEL-26</x:v>
      </x:c>
      <x:c r="K55" s="22" t="n">
        <x:v>2026</x:v>
      </x:c>
      <x:c r="L55" s="8" t="str">
        <x:v>SYN-ACT-47</x:v>
      </x:c>
      <x:c r="M55" s="8" t="str">
        <x:v>Actual</x:v>
      </x:c>
      <x:c r="N55" s="40" t="n">
        <x:v>46752</x:v>
      </x:c>
      <x:c r="O55" s="41" t="n">
        <x:f>IF(C55="","",IFERROR(IF(INDEX('Factors'!$G$9:$G$108,MATCH(J55,'Factors'!$C$9:$C$108,0))="","",INDEX('Factors'!$G$9:$G$108,MATCH(J55,'Factors'!$C$9:$C$108,0))),""))</x:f>
        <x:v>2.68</x:v>
      </x:c>
      <x:c r="P55" s="9" t="str">
        <x:f>IF(C55="","",IFERROR(IF(INDEX('Factors'!$F$9:$F$108,MATCH(J55,'Factors'!$C$9:$C$108,0))="","",INDEX('Factors'!$F$9:$F$108,MATCH(J55,'Factors'!$C$9:$C$108,0))),""))</x:f>
        <x:v>litre</x:v>
      </x:c>
      <x:c r="Q55" s="9" t="str">
        <x:f>IF(C55="","",IFERROR(IF(INDEX('Factors'!$H$9:$H$108,MATCH(J55,'Factors'!$C$9:$C$108,0))="","",INDEX('Factors'!$H$9:$H$108,MATCH(J55,'Factors'!$C$9:$C$108,0))),""))</x:f>
        <x:v>S1</x:v>
      </x:c>
      <x:c r="R55" s="9" t="str">
        <x:f>IF(C55="","",IFERROR(IF(INDEX('Factors'!$E$9:$E$108,MATCH(J55,'Factors'!$C$9:$C$108,0))="","",INDEX('Factors'!$E$9:$E$108,MATCH(J55,'Factors'!$C$9:$C$108,0))),""))</x:f>
        <x:v>Global</x:v>
      </x:c>
      <x:c r="S55" s="42" t="n">
        <x:f>IF(C55="","",IFERROR(IF(INDEX('Factors'!$J$9:$J$108,MATCH(J55,'Factors'!$C$9:$C$108,0))="","",INDEX('Factors'!$J$9:$J$108,MATCH(J55,'Factors'!$C$9:$C$108,0))),""))</x:f>
        <x:v>2026</x:v>
      </x:c>
      <x:c r="T55" s="9" t="str">
        <x:f>IF(C55="","",IFERROR(IF(INDEX('Factors'!$L$9:$L$108,MATCH(J55,'Factors'!$C$9:$C$108,0))="","",INDEX('Factors'!$L$9:$L$108,MATCH(J55,'Factors'!$C$9:$C$108,0))),"")&amp;" / "&amp;IFERROR(IF(INDEX('Factors'!$M$9:$M$108,MATCH(J55,'Factors'!$C$9:$C$108,0))="","",INDEX('Factors'!$M$9:$M$108,MATCH(J55,'Factors'!$C$9:$C$108,0))),""))</x:f>
        <x:v>SYNTHETIC DEMO / SYN-2026.1</x:v>
      </x:c>
      <x:c r="U55" s="21" t="n">
        <x:f>IF(V55="Ready",H55*O55/1000,"")</x:f>
        <x:v>774.52</x:v>
      </x:c>
      <x:c r="V55" s="9" t="str">
        <x:f>IF(C55="","",IF(OR(COUNTIFS($C$9:$C$308,C55)&lt;&gt;1,COUNTIFS($D$9:$D$308,D55,$E$9:$E$308,E55,$F$9:$F$308,F55,$G$9:$G$308,G55,$K$9:$K$308,K55)&lt;&gt;1),"Duplicate annual activity",IF(COUNTIFS('Inventory'!$C$9:$C$108,D55)&lt;&gt;1,"Entity required",IF(OR(E55="",L55="",NOT(ISNUMBER(H55)),H55&lt;0,NOT(ISNUMBER(K55)),NOT(ISNUMBER(N55))),"Missing activity input",IF(AND(E55&lt;&gt;D55,OR(COUNTIFS('Sites'!$C$9:$C$108,E55)&lt;&gt;1,IFERROR(IF(INDEX('Sites'!$D$9:$D$108,MATCH(E55,'Sites'!$C$9:$C$108,0))="","",INDEX('Sites'!$D$9:$D$108,MATCH(E55,'Sites'!$C$9:$C$108,0))),"")&lt;&gt;IFERROR(IF(INDEX('Inventory'!$D$9:$D$108,MATCH(D55,'Inventory'!$C$9:$C$108,0))="","",INDEX('Inventory'!$D$9:$D$108,MATCH(D55,'Inventory'!$C$9:$C$108,0))),""),IFERROR(IF(INDEX('Sites'!$E$9:$E$108,MATCH(E55,'Sites'!$C$9:$C$108,0))="","",INDEX('Sites'!$E$9:$E$108,MATCH(E55,'Sites'!$C$9:$C$108,0))),"")&lt;&gt;W55)),"Site / entity mismatch",IF(N55&lt;'Settings'!$F$8,"Expired",IF(X55&lt;&gt;"Ready","Factor required",IF(OR(G55&lt;&gt;IFERROR(IF(INDEX('Factors'!$D$9:$D$108,MATCH(J55,'Factors'!$C$9:$C$108,0))="","",INDEX('Factors'!$D$9:$D$108,MATCH(J55,'Factors'!$C$9:$C$108,0))),""),I55&lt;&gt;P55,F55&lt;&gt;Q55,K55&lt;&gt;S55,AND(R55&lt;&gt;"Global",R55&lt;&gt;W55),K55&lt;&gt;YEAR(IFERROR(IF(INDEX('Inventory'!$H$9:$H$108,MATCH(D55,'Inventory'!$C$9:$C$108,0))="","",INDEX('Inventory'!$H$9:$H$108,MATCH(D55,'Inventory'!$C$9:$C$108,0))),""))),"Factor / boundary mismatch",IF(AND(F55="S2",IFERROR(IF(INDEX('Factors'!$I$9:$I$108,MATCH(J55,'Factors'!$C$9:$C$108,0))="","",INDEX('Factors'!$I$9:$I$108,MATCH(J55,'Factors'!$C$9:$C$108,0))),"")&lt;&gt;"Location-based"),"Use location factor",IF(M55&lt;&gt;"Actual","Estimation method review","Ready"))))))))))</x:f>
        <x:v>Ready</x:v>
      </x:c>
      <x:c r="W55" s="9" t="str">
        <x:f>IF(C55="","",IFERROR(IF(INDEX('Inventory'!$G$9:$G$108,MATCH(D55,'Inventory'!$C$9:$C$108,0))="","",INDEX('Inventory'!$G$9:$G$108,MATCH(D55,'Inventory'!$C$9:$C$108,0))),""))</x:f>
        <x:v>Jordan</x:v>
      </x:c>
      <x:c r="X55" s="9" t="str">
        <x:f>IF(C55="","",IFERROR(IF(INDEX('Factors'!$P$9:$P$108,MATCH(J55,'Factors'!$C$9:$C$108,0))="","",INDEX('Factors'!$P$9:$P$108,MATCH(J55,'Factors'!$C$9:$C$108,0))),""))</x:f>
        <x:v>Ready</x:v>
      </x:c>
    </x:row>
    <x:row r="56" ht="26" customHeight="1">
      <x:c r="A56" s="1"/>
      <x:c r="B56" s="1"/>
      <x:c r="C56" s="8" t="str">
        <x:v>ACT048</x:v>
      </x:c>
      <x:c r="D56" s="8" t="str">
        <x:v>B011</x:v>
      </x:c>
      <x:c r="E56" s="8" t="str">
        <x:v>S022</x:v>
      </x:c>
      <x:c r="F56" s="8" t="str">
        <x:v>S2</x:v>
      </x:c>
      <x:c r="G56" s="8" t="str">
        <x:v>Electricity</x:v>
      </x:c>
      <x:c r="H56" s="16" t="n">
        <x:v>1225000</x:v>
      </x:c>
      <x:c r="I56" s="8" t="str">
        <x:v>kWh</x:v>
      </x:c>
      <x:c r="J56" s="8" t="str">
        <x:v>JO-GRID-26</x:v>
      </x:c>
      <x:c r="K56" s="22" t="n">
        <x:v>2026</x:v>
      </x:c>
      <x:c r="L56" s="8" t="str">
        <x:v>SYN-ACT-48</x:v>
      </x:c>
      <x:c r="M56" s="8" t="str">
        <x:v>Actual</x:v>
      </x:c>
      <x:c r="N56" s="40" t="n">
        <x:v>46752</x:v>
      </x:c>
      <x:c r="O56" s="41" t="n">
        <x:f>IF(C56="","",IFERROR(IF(INDEX('Factors'!$G$9:$G$108,MATCH(J56,'Factors'!$C$9:$C$108,0))="","",INDEX('Factors'!$G$9:$G$108,MATCH(J56,'Factors'!$C$9:$C$108,0))),""))</x:f>
        <x:v>0.43</x:v>
      </x:c>
      <x:c r="P56" s="9" t="str">
        <x:f>IF(C56="","",IFERROR(IF(INDEX('Factors'!$F$9:$F$108,MATCH(J56,'Factors'!$C$9:$C$108,0))="","",INDEX('Factors'!$F$9:$F$108,MATCH(J56,'Factors'!$C$9:$C$108,0))),""))</x:f>
        <x:v>kWh</x:v>
      </x:c>
      <x:c r="Q56" s="9" t="str">
        <x:f>IF(C56="","",IFERROR(IF(INDEX('Factors'!$H$9:$H$108,MATCH(J56,'Factors'!$C$9:$C$108,0))="","",INDEX('Factors'!$H$9:$H$108,MATCH(J56,'Factors'!$C$9:$C$108,0))),""))</x:f>
        <x:v>S2</x:v>
      </x:c>
      <x:c r="R56" s="9" t="str">
        <x:f>IF(C56="","",IFERROR(IF(INDEX('Factors'!$E$9:$E$108,MATCH(J56,'Factors'!$C$9:$C$108,0))="","",INDEX('Factors'!$E$9:$E$108,MATCH(J56,'Factors'!$C$9:$C$108,0))),""))</x:f>
        <x:v>Jordan</x:v>
      </x:c>
      <x:c r="S56" s="42" t="n">
        <x:f>IF(C56="","",IFERROR(IF(INDEX('Factors'!$J$9:$J$108,MATCH(J56,'Factors'!$C$9:$C$108,0))="","",INDEX('Factors'!$J$9:$J$108,MATCH(J56,'Factors'!$C$9:$C$108,0))),""))</x:f>
        <x:v>2026</x:v>
      </x:c>
      <x:c r="T56" s="9" t="str">
        <x:f>IF(C56="","",IFERROR(IF(INDEX('Factors'!$L$9:$L$108,MATCH(J56,'Factors'!$C$9:$C$108,0))="","",INDEX('Factors'!$L$9:$L$108,MATCH(J56,'Factors'!$C$9:$C$108,0))),"")&amp;" / "&amp;IFERROR(IF(INDEX('Factors'!$M$9:$M$108,MATCH(J56,'Factors'!$C$9:$C$108,0))="","",INDEX('Factors'!$M$9:$M$108,MATCH(J56,'Factors'!$C$9:$C$108,0))),""))</x:f>
        <x:v>SYNTHETIC DEMO / SYN-2026.1</x:v>
      </x:c>
      <x:c r="U56" s="21" t="n">
        <x:f>IF(V56="Ready",H56*O56/1000,"")</x:f>
        <x:v>526.75</x:v>
      </x:c>
      <x:c r="V56" s="9" t="str">
        <x:f>IF(C56="","",IF(OR(COUNTIFS($C$9:$C$308,C56)&lt;&gt;1,COUNTIFS($D$9:$D$308,D56,$E$9:$E$308,E56,$F$9:$F$308,F56,$G$9:$G$308,G56,$K$9:$K$308,K56)&lt;&gt;1),"Duplicate annual activity",IF(COUNTIFS('Inventory'!$C$9:$C$108,D56)&lt;&gt;1,"Entity required",IF(OR(E56="",L56="",NOT(ISNUMBER(H56)),H56&lt;0,NOT(ISNUMBER(K56)),NOT(ISNUMBER(N56))),"Missing activity input",IF(AND(E56&lt;&gt;D56,OR(COUNTIFS('Sites'!$C$9:$C$108,E56)&lt;&gt;1,IFERROR(IF(INDEX('Sites'!$D$9:$D$108,MATCH(E56,'Sites'!$C$9:$C$108,0))="","",INDEX('Sites'!$D$9:$D$108,MATCH(E56,'Sites'!$C$9:$C$108,0))),"")&lt;&gt;IFERROR(IF(INDEX('Inventory'!$D$9:$D$108,MATCH(D56,'Inventory'!$C$9:$C$108,0))="","",INDEX('Inventory'!$D$9:$D$108,MATCH(D56,'Inventory'!$C$9:$C$108,0))),""),IFERROR(IF(INDEX('Sites'!$E$9:$E$108,MATCH(E56,'Sites'!$C$9:$C$108,0))="","",INDEX('Sites'!$E$9:$E$108,MATCH(E56,'Sites'!$C$9:$C$108,0))),"")&lt;&gt;W56)),"Site / entity mismatch",IF(N56&lt;'Settings'!$F$8,"Expired",IF(X56&lt;&gt;"Ready","Factor required",IF(OR(G56&lt;&gt;IFERROR(IF(INDEX('Factors'!$D$9:$D$108,MATCH(J56,'Factors'!$C$9:$C$108,0))="","",INDEX('Factors'!$D$9:$D$108,MATCH(J56,'Factors'!$C$9:$C$108,0))),""),I56&lt;&gt;P56,F56&lt;&gt;Q56,K56&lt;&gt;S56,AND(R56&lt;&gt;"Global",R56&lt;&gt;W56),K56&lt;&gt;YEAR(IFERROR(IF(INDEX('Inventory'!$H$9:$H$108,MATCH(D56,'Inventory'!$C$9:$C$108,0))="","",INDEX('Inventory'!$H$9:$H$108,MATCH(D56,'Inventory'!$C$9:$C$108,0))),""))),"Factor / boundary mismatch",IF(AND(F56="S2",IFERROR(IF(INDEX('Factors'!$I$9:$I$108,MATCH(J56,'Factors'!$C$9:$C$108,0))="","",INDEX('Factors'!$I$9:$I$108,MATCH(J56,'Factors'!$C$9:$C$108,0))),"")&lt;&gt;"Location-based"),"Use location factor",IF(M56&lt;&gt;"Actual","Estimation method review","Ready"))))))))))</x:f>
        <x:v>Ready</x:v>
      </x:c>
      <x:c r="W56" s="9" t="str">
        <x:f>IF(C56="","",IFERROR(IF(INDEX('Inventory'!$G$9:$G$108,MATCH(D56,'Inventory'!$C$9:$C$108,0))="","",INDEX('Inventory'!$G$9:$G$108,MATCH(D56,'Inventory'!$C$9:$C$108,0))),""))</x:f>
        <x:v>Jordan</x:v>
      </x:c>
      <x:c r="X56" s="9" t="str">
        <x:f>IF(C56="","",IFERROR(IF(INDEX('Factors'!$P$9:$P$108,MATCH(J56,'Factors'!$C$9:$C$108,0))="","",INDEX('Factors'!$P$9:$P$108,MATCH(J56,'Factors'!$C$9:$C$108,0))),""))</x:f>
        <x:v>Ready</x:v>
      </x:c>
    </x:row>
    <x:row r="57" ht="26" customHeight="1">
      <x:c r="A57" s="1"/>
      <x:c r="B57" s="1"/>
      <x:c r="C57" s="8" t="str">
        <x:v>ACT049</x:v>
      </x:c>
      <x:c r="D57" s="8" t="str">
        <x:v>B012</x:v>
      </x:c>
      <x:c r="E57" s="8" t="str">
        <x:v>S023</x:v>
      </x:c>
      <x:c r="F57" s="8" t="str">
        <x:v>S1</x:v>
      </x:c>
      <x:c r="G57" s="8" t="str">
        <x:v>Diesel</x:v>
      </x:c>
      <x:c r="H57" s="16" t="n">
        <x:v>298000</x:v>
      </x:c>
      <x:c r="I57" s="8" t="str">
        <x:v>litre</x:v>
      </x:c>
      <x:c r="J57" s="8" t="str">
        <x:v>GLOBAL-DIESEL-26</x:v>
      </x:c>
      <x:c r="K57" s="22" t="n">
        <x:v>2026</x:v>
      </x:c>
      <x:c r="L57" s="8" t="str">
        <x:v>SYN-ACT-49</x:v>
      </x:c>
      <x:c r="M57" s="8" t="str">
        <x:v>Actual</x:v>
      </x:c>
      <x:c r="N57" s="40" t="n">
        <x:v>46752</x:v>
      </x:c>
      <x:c r="O57" s="41" t="n">
        <x:f>IF(C57="","",IFERROR(IF(INDEX('Factors'!$G$9:$G$108,MATCH(J57,'Factors'!$C$9:$C$108,0))="","",INDEX('Factors'!$G$9:$G$108,MATCH(J57,'Factors'!$C$9:$C$108,0))),""))</x:f>
        <x:v>2.68</x:v>
      </x:c>
      <x:c r="P57" s="9" t="str">
        <x:f>IF(C57="","",IFERROR(IF(INDEX('Factors'!$F$9:$F$108,MATCH(J57,'Factors'!$C$9:$C$108,0))="","",INDEX('Factors'!$F$9:$F$108,MATCH(J57,'Factors'!$C$9:$C$108,0))),""))</x:f>
        <x:v>litre</x:v>
      </x:c>
      <x:c r="Q57" s="9" t="str">
        <x:f>IF(C57="","",IFERROR(IF(INDEX('Factors'!$H$9:$H$108,MATCH(J57,'Factors'!$C$9:$C$108,0))="","",INDEX('Factors'!$H$9:$H$108,MATCH(J57,'Factors'!$C$9:$C$108,0))),""))</x:f>
        <x:v>S1</x:v>
      </x:c>
      <x:c r="R57" s="9" t="str">
        <x:f>IF(C57="","",IFERROR(IF(INDEX('Factors'!$E$9:$E$108,MATCH(J57,'Factors'!$C$9:$C$108,0))="","",INDEX('Factors'!$E$9:$E$108,MATCH(J57,'Factors'!$C$9:$C$108,0))),""))</x:f>
        <x:v>Global</x:v>
      </x:c>
      <x:c r="S57" s="42" t="n">
        <x:f>IF(C57="","",IFERROR(IF(INDEX('Factors'!$J$9:$J$108,MATCH(J57,'Factors'!$C$9:$C$108,0))="","",INDEX('Factors'!$J$9:$J$108,MATCH(J57,'Factors'!$C$9:$C$108,0))),""))</x:f>
        <x:v>2026</x:v>
      </x:c>
      <x:c r="T57" s="9" t="str">
        <x:f>IF(C57="","",IFERROR(IF(INDEX('Factors'!$L$9:$L$108,MATCH(J57,'Factors'!$C$9:$C$108,0))="","",INDEX('Factors'!$L$9:$L$108,MATCH(J57,'Factors'!$C$9:$C$108,0))),"")&amp;" / "&amp;IFERROR(IF(INDEX('Factors'!$M$9:$M$108,MATCH(J57,'Factors'!$C$9:$C$108,0))="","",INDEX('Factors'!$M$9:$M$108,MATCH(J57,'Factors'!$C$9:$C$108,0))),""))</x:f>
        <x:v>SYNTHETIC DEMO / SYN-2026.1</x:v>
      </x:c>
      <x:c r="U57" s="21" t="n">
        <x:f>IF(V57="Ready",H57*O57/1000,"")</x:f>
        <x:v>798.64</x:v>
      </x:c>
      <x:c r="V57" s="9" t="str">
        <x:f>IF(C57="","",IF(OR(COUNTIFS($C$9:$C$308,C57)&lt;&gt;1,COUNTIFS($D$9:$D$308,D57,$E$9:$E$308,E57,$F$9:$F$308,F57,$G$9:$G$308,G57,$K$9:$K$308,K57)&lt;&gt;1),"Duplicate annual activity",IF(COUNTIFS('Inventory'!$C$9:$C$108,D57)&lt;&gt;1,"Entity required",IF(OR(E57="",L57="",NOT(ISNUMBER(H57)),H57&lt;0,NOT(ISNUMBER(K57)),NOT(ISNUMBER(N57))),"Missing activity input",IF(AND(E57&lt;&gt;D57,OR(COUNTIFS('Sites'!$C$9:$C$108,E57)&lt;&gt;1,IFERROR(IF(INDEX('Sites'!$D$9:$D$108,MATCH(E57,'Sites'!$C$9:$C$108,0))="","",INDEX('Sites'!$D$9:$D$108,MATCH(E57,'Sites'!$C$9:$C$108,0))),"")&lt;&gt;IFERROR(IF(INDEX('Inventory'!$D$9:$D$108,MATCH(D57,'Inventory'!$C$9:$C$108,0))="","",INDEX('Inventory'!$D$9:$D$108,MATCH(D57,'Inventory'!$C$9:$C$108,0))),""),IFERROR(IF(INDEX('Sites'!$E$9:$E$108,MATCH(E57,'Sites'!$C$9:$C$108,0))="","",INDEX('Sites'!$E$9:$E$108,MATCH(E57,'Sites'!$C$9:$C$108,0))),"")&lt;&gt;W57)),"Site / entity mismatch",IF(N57&lt;'Settings'!$F$8,"Expired",IF(X57&lt;&gt;"Ready","Factor required",IF(OR(G57&lt;&gt;IFERROR(IF(INDEX('Factors'!$D$9:$D$108,MATCH(J57,'Factors'!$C$9:$C$108,0))="","",INDEX('Factors'!$D$9:$D$108,MATCH(J57,'Factors'!$C$9:$C$108,0))),""),I57&lt;&gt;P57,F57&lt;&gt;Q57,K57&lt;&gt;S57,AND(R57&lt;&gt;"Global",R57&lt;&gt;W57),K57&lt;&gt;YEAR(IFERROR(IF(INDEX('Inventory'!$H$9:$H$108,MATCH(D57,'Inventory'!$C$9:$C$108,0))="","",INDEX('Inventory'!$H$9:$H$108,MATCH(D57,'Inventory'!$C$9:$C$108,0))),""))),"Factor / boundary mismatch",IF(AND(F57="S2",IFERROR(IF(INDEX('Factors'!$I$9:$I$108,MATCH(J57,'Factors'!$C$9:$C$108,0))="","",INDEX('Factors'!$I$9:$I$108,MATCH(J57,'Factors'!$C$9:$C$108,0))),"")&lt;&gt;"Location-based"),"Use location factor",IF(M57&lt;&gt;"Actual","Estimation method review","Ready"))))))))))</x:f>
        <x:v>Ready</x:v>
      </x:c>
      <x:c r="W57" s="9" t="str">
        <x:f>IF(C57="","",IFERROR(IF(INDEX('Inventory'!$G$9:$G$108,MATCH(D57,'Inventory'!$C$9:$C$108,0))="","",INDEX('Inventory'!$G$9:$G$108,MATCH(D57,'Inventory'!$C$9:$C$108,0))),""))</x:f>
        <x:v>Jordan</x:v>
      </x:c>
      <x:c r="X57" s="9" t="str">
        <x:f>IF(C57="","",IFERROR(IF(INDEX('Factors'!$P$9:$P$108,MATCH(J57,'Factors'!$C$9:$C$108,0))="","",INDEX('Factors'!$P$9:$P$108,MATCH(J57,'Factors'!$C$9:$C$108,0))),""))</x:f>
        <x:v>Ready</x:v>
      </x:c>
    </x:row>
    <x:row r="58" ht="26" customHeight="1">
      <x:c r="A58" s="1"/>
      <x:c r="B58" s="1"/>
      <x:c r="C58" s="8" t="str">
        <x:v>ACT050</x:v>
      </x:c>
      <x:c r="D58" s="8" t="str">
        <x:v>B012</x:v>
      </x:c>
      <x:c r="E58" s="8" t="str">
        <x:v>S023</x:v>
      </x:c>
      <x:c r="F58" s="8" t="str">
        <x:v>S2</x:v>
      </x:c>
      <x:c r="G58" s="8" t="str">
        <x:v>Electricity</x:v>
      </x:c>
      <x:c r="H58" s="16" t="n">
        <x:v>1250000</x:v>
      </x:c>
      <x:c r="I58" s="8" t="str">
        <x:v>kWh</x:v>
      </x:c>
      <x:c r="J58" s="8" t="str">
        <x:v>JO-GRID-26</x:v>
      </x:c>
      <x:c r="K58" s="22" t="n">
        <x:v>2026</x:v>
      </x:c>
      <x:c r="L58" s="8" t="str">
        <x:v>SYN-ACT-50</x:v>
      </x:c>
      <x:c r="M58" s="8" t="str">
        <x:v>Actual</x:v>
      </x:c>
      <x:c r="N58" s="40" t="n">
        <x:v>46752</x:v>
      </x:c>
      <x:c r="O58" s="41" t="n">
        <x:f>IF(C58="","",IFERROR(IF(INDEX('Factors'!$G$9:$G$108,MATCH(J58,'Factors'!$C$9:$C$108,0))="","",INDEX('Factors'!$G$9:$G$108,MATCH(J58,'Factors'!$C$9:$C$108,0))),""))</x:f>
        <x:v>0.43</x:v>
      </x:c>
      <x:c r="P58" s="9" t="str">
        <x:f>IF(C58="","",IFERROR(IF(INDEX('Factors'!$F$9:$F$108,MATCH(J58,'Factors'!$C$9:$C$108,0))="","",INDEX('Factors'!$F$9:$F$108,MATCH(J58,'Factors'!$C$9:$C$108,0))),""))</x:f>
        <x:v>kWh</x:v>
      </x:c>
      <x:c r="Q58" s="9" t="str">
        <x:f>IF(C58="","",IFERROR(IF(INDEX('Factors'!$H$9:$H$108,MATCH(J58,'Factors'!$C$9:$C$108,0))="","",INDEX('Factors'!$H$9:$H$108,MATCH(J58,'Factors'!$C$9:$C$108,0))),""))</x:f>
        <x:v>S2</x:v>
      </x:c>
      <x:c r="R58" s="9" t="str">
        <x:f>IF(C58="","",IFERROR(IF(INDEX('Factors'!$E$9:$E$108,MATCH(J58,'Factors'!$C$9:$C$108,0))="","",INDEX('Factors'!$E$9:$E$108,MATCH(J58,'Factors'!$C$9:$C$108,0))),""))</x:f>
        <x:v>Jordan</x:v>
      </x:c>
      <x:c r="S58" s="42" t="n">
        <x:f>IF(C58="","",IFERROR(IF(INDEX('Factors'!$J$9:$J$108,MATCH(J58,'Factors'!$C$9:$C$108,0))="","",INDEX('Factors'!$J$9:$J$108,MATCH(J58,'Factors'!$C$9:$C$108,0))),""))</x:f>
        <x:v>2026</x:v>
      </x:c>
      <x:c r="T58" s="9" t="str">
        <x:f>IF(C58="","",IFERROR(IF(INDEX('Factors'!$L$9:$L$108,MATCH(J58,'Factors'!$C$9:$C$108,0))="","",INDEX('Factors'!$L$9:$L$108,MATCH(J58,'Factors'!$C$9:$C$108,0))),"")&amp;" / "&amp;IFERROR(IF(INDEX('Factors'!$M$9:$M$108,MATCH(J58,'Factors'!$C$9:$C$108,0))="","",INDEX('Factors'!$M$9:$M$108,MATCH(J58,'Factors'!$C$9:$C$108,0))),""))</x:f>
        <x:v>SYNTHETIC DEMO / SYN-2026.1</x:v>
      </x:c>
      <x:c r="U58" s="21" t="n">
        <x:f>IF(V58="Ready",H58*O58/1000,"")</x:f>
        <x:v>537.5</x:v>
      </x:c>
      <x:c r="V58" s="9" t="str">
        <x:f>IF(C58="","",IF(OR(COUNTIFS($C$9:$C$308,C58)&lt;&gt;1,COUNTIFS($D$9:$D$308,D58,$E$9:$E$308,E58,$F$9:$F$308,F58,$G$9:$G$308,G58,$K$9:$K$308,K58)&lt;&gt;1),"Duplicate annual activity",IF(COUNTIFS('Inventory'!$C$9:$C$108,D58)&lt;&gt;1,"Entity required",IF(OR(E58="",L58="",NOT(ISNUMBER(H58)),H58&lt;0,NOT(ISNUMBER(K58)),NOT(ISNUMBER(N58))),"Missing activity input",IF(AND(E58&lt;&gt;D58,OR(COUNTIFS('Sites'!$C$9:$C$108,E58)&lt;&gt;1,IFERROR(IF(INDEX('Sites'!$D$9:$D$108,MATCH(E58,'Sites'!$C$9:$C$108,0))="","",INDEX('Sites'!$D$9:$D$108,MATCH(E58,'Sites'!$C$9:$C$108,0))),"")&lt;&gt;IFERROR(IF(INDEX('Inventory'!$D$9:$D$108,MATCH(D58,'Inventory'!$C$9:$C$108,0))="","",INDEX('Inventory'!$D$9:$D$108,MATCH(D58,'Inventory'!$C$9:$C$108,0))),""),IFERROR(IF(INDEX('Sites'!$E$9:$E$108,MATCH(E58,'Sites'!$C$9:$C$108,0))="","",INDEX('Sites'!$E$9:$E$108,MATCH(E58,'Sites'!$C$9:$C$108,0))),"")&lt;&gt;W58)),"Site / entity mismatch",IF(N58&lt;'Settings'!$F$8,"Expired",IF(X58&lt;&gt;"Ready","Factor required",IF(OR(G58&lt;&gt;IFERROR(IF(INDEX('Factors'!$D$9:$D$108,MATCH(J58,'Factors'!$C$9:$C$108,0))="","",INDEX('Factors'!$D$9:$D$108,MATCH(J58,'Factors'!$C$9:$C$108,0))),""),I58&lt;&gt;P58,F58&lt;&gt;Q58,K58&lt;&gt;S58,AND(R58&lt;&gt;"Global",R58&lt;&gt;W58),K58&lt;&gt;YEAR(IFERROR(IF(INDEX('Inventory'!$H$9:$H$108,MATCH(D58,'Inventory'!$C$9:$C$108,0))="","",INDEX('Inventory'!$H$9:$H$108,MATCH(D58,'Inventory'!$C$9:$C$108,0))),""))),"Factor / boundary mismatch",IF(AND(F58="S2",IFERROR(IF(INDEX('Factors'!$I$9:$I$108,MATCH(J58,'Factors'!$C$9:$C$108,0))="","",INDEX('Factors'!$I$9:$I$108,MATCH(J58,'Factors'!$C$9:$C$108,0))),"")&lt;&gt;"Location-based"),"Use location factor",IF(M58&lt;&gt;"Actual","Estimation method review","Ready"))))))))))</x:f>
        <x:v>Ready</x:v>
      </x:c>
      <x:c r="W58" s="9" t="str">
        <x:f>IF(C58="","",IFERROR(IF(INDEX('Inventory'!$G$9:$G$108,MATCH(D58,'Inventory'!$C$9:$C$108,0))="","",INDEX('Inventory'!$G$9:$G$108,MATCH(D58,'Inventory'!$C$9:$C$108,0))),""))</x:f>
        <x:v>Jordan</x:v>
      </x:c>
      <x:c r="X58" s="9" t="str">
        <x:f>IF(C58="","",IFERROR(IF(INDEX('Factors'!$P$9:$P$108,MATCH(J58,'Factors'!$C$9:$C$108,0))="","",INDEX('Factors'!$P$9:$P$108,MATCH(J58,'Factors'!$C$9:$C$108,0))),""))</x:f>
        <x:v>Ready</x:v>
      </x:c>
    </x:row>
    <x:row r="59" ht="26" customHeight="1">
      <x:c r="A59" s="1"/>
      <x:c r="B59" s="1"/>
      <x:c r="C59" s="8" t="str">
        <x:v>ACT051</x:v>
      </x:c>
      <x:c r="D59" s="8" t="str">
        <x:v>B012</x:v>
      </x:c>
      <x:c r="E59" s="8" t="str">
        <x:v>S024</x:v>
      </x:c>
      <x:c r="F59" s="8" t="str">
        <x:v>S1</x:v>
      </x:c>
      <x:c r="G59" s="8" t="str">
        <x:v>Diesel</x:v>
      </x:c>
      <x:c r="H59" s="16" t="n">
        <x:v>307000</x:v>
      </x:c>
      <x:c r="I59" s="8" t="str">
        <x:v>litre</x:v>
      </x:c>
      <x:c r="J59" s="8" t="str">
        <x:v>GLOBAL-DIESEL-26</x:v>
      </x:c>
      <x:c r="K59" s="22" t="n">
        <x:v>2026</x:v>
      </x:c>
      <x:c r="L59" s="8" t="str">
        <x:v>SYN-ACT-51</x:v>
      </x:c>
      <x:c r="M59" s="8" t="str">
        <x:v>Actual</x:v>
      </x:c>
      <x:c r="N59" s="40" t="n">
        <x:v>46752</x:v>
      </x:c>
      <x:c r="O59" s="41" t="n">
        <x:f>IF(C59="","",IFERROR(IF(INDEX('Factors'!$G$9:$G$108,MATCH(J59,'Factors'!$C$9:$C$108,0))="","",INDEX('Factors'!$G$9:$G$108,MATCH(J59,'Factors'!$C$9:$C$108,0))),""))</x:f>
        <x:v>2.68</x:v>
      </x:c>
      <x:c r="P59" s="9" t="str">
        <x:f>IF(C59="","",IFERROR(IF(INDEX('Factors'!$F$9:$F$108,MATCH(J59,'Factors'!$C$9:$C$108,0))="","",INDEX('Factors'!$F$9:$F$108,MATCH(J59,'Factors'!$C$9:$C$108,0))),""))</x:f>
        <x:v>litre</x:v>
      </x:c>
      <x:c r="Q59" s="9" t="str">
        <x:f>IF(C59="","",IFERROR(IF(INDEX('Factors'!$H$9:$H$108,MATCH(J59,'Factors'!$C$9:$C$108,0))="","",INDEX('Factors'!$H$9:$H$108,MATCH(J59,'Factors'!$C$9:$C$108,0))),""))</x:f>
        <x:v>S1</x:v>
      </x:c>
      <x:c r="R59" s="9" t="str">
        <x:f>IF(C59="","",IFERROR(IF(INDEX('Factors'!$E$9:$E$108,MATCH(J59,'Factors'!$C$9:$C$108,0))="","",INDEX('Factors'!$E$9:$E$108,MATCH(J59,'Factors'!$C$9:$C$108,0))),""))</x:f>
        <x:v>Global</x:v>
      </x:c>
      <x:c r="S59" s="42" t="n">
        <x:f>IF(C59="","",IFERROR(IF(INDEX('Factors'!$J$9:$J$108,MATCH(J59,'Factors'!$C$9:$C$108,0))="","",INDEX('Factors'!$J$9:$J$108,MATCH(J59,'Factors'!$C$9:$C$108,0))),""))</x:f>
        <x:v>2026</x:v>
      </x:c>
      <x:c r="T59" s="9" t="str">
        <x:f>IF(C59="","",IFERROR(IF(INDEX('Factors'!$L$9:$L$108,MATCH(J59,'Factors'!$C$9:$C$108,0))="","",INDEX('Factors'!$L$9:$L$108,MATCH(J59,'Factors'!$C$9:$C$108,0))),"")&amp;" / "&amp;IFERROR(IF(INDEX('Factors'!$M$9:$M$108,MATCH(J59,'Factors'!$C$9:$C$108,0))="","",INDEX('Factors'!$M$9:$M$108,MATCH(J59,'Factors'!$C$9:$C$108,0))),""))</x:f>
        <x:v>SYNTHETIC DEMO / SYN-2026.1</x:v>
      </x:c>
      <x:c r="U59" s="21" t="n">
        <x:f>IF(V59="Ready",H59*O59/1000,"")</x:f>
        <x:v>822.76</x:v>
      </x:c>
      <x:c r="V59" s="9" t="str">
        <x:f>IF(C59="","",IF(OR(COUNTIFS($C$9:$C$308,C59)&lt;&gt;1,COUNTIFS($D$9:$D$308,D59,$E$9:$E$308,E59,$F$9:$F$308,F59,$G$9:$G$308,G59,$K$9:$K$308,K59)&lt;&gt;1),"Duplicate annual activity",IF(COUNTIFS('Inventory'!$C$9:$C$108,D59)&lt;&gt;1,"Entity required",IF(OR(E59="",L59="",NOT(ISNUMBER(H59)),H59&lt;0,NOT(ISNUMBER(K59)),NOT(ISNUMBER(N59))),"Missing activity input",IF(AND(E59&lt;&gt;D59,OR(COUNTIFS('Sites'!$C$9:$C$108,E59)&lt;&gt;1,IFERROR(IF(INDEX('Sites'!$D$9:$D$108,MATCH(E59,'Sites'!$C$9:$C$108,0))="","",INDEX('Sites'!$D$9:$D$108,MATCH(E59,'Sites'!$C$9:$C$108,0))),"")&lt;&gt;IFERROR(IF(INDEX('Inventory'!$D$9:$D$108,MATCH(D59,'Inventory'!$C$9:$C$108,0))="","",INDEX('Inventory'!$D$9:$D$108,MATCH(D59,'Inventory'!$C$9:$C$108,0))),""),IFERROR(IF(INDEX('Sites'!$E$9:$E$108,MATCH(E59,'Sites'!$C$9:$C$108,0))="","",INDEX('Sites'!$E$9:$E$108,MATCH(E59,'Sites'!$C$9:$C$108,0))),"")&lt;&gt;W59)),"Site / entity mismatch",IF(N59&lt;'Settings'!$F$8,"Expired",IF(X59&lt;&gt;"Ready","Factor required",IF(OR(G59&lt;&gt;IFERROR(IF(INDEX('Factors'!$D$9:$D$108,MATCH(J59,'Factors'!$C$9:$C$108,0))="","",INDEX('Factors'!$D$9:$D$108,MATCH(J59,'Factors'!$C$9:$C$108,0))),""),I59&lt;&gt;P59,F59&lt;&gt;Q59,K59&lt;&gt;S59,AND(R59&lt;&gt;"Global",R59&lt;&gt;W59),K59&lt;&gt;YEAR(IFERROR(IF(INDEX('Inventory'!$H$9:$H$108,MATCH(D59,'Inventory'!$C$9:$C$108,0))="","",INDEX('Inventory'!$H$9:$H$108,MATCH(D59,'Inventory'!$C$9:$C$108,0))),""))),"Factor / boundary mismatch",IF(AND(F59="S2",IFERROR(IF(INDEX('Factors'!$I$9:$I$108,MATCH(J59,'Factors'!$C$9:$C$108,0))="","",INDEX('Factors'!$I$9:$I$108,MATCH(J59,'Factors'!$C$9:$C$108,0))),"")&lt;&gt;"Location-based"),"Use location factor",IF(M59&lt;&gt;"Actual","Estimation method review","Ready"))))))))))</x:f>
        <x:v>Ready</x:v>
      </x:c>
      <x:c r="W59" s="9" t="str">
        <x:f>IF(C59="","",IFERROR(IF(INDEX('Inventory'!$G$9:$G$108,MATCH(D59,'Inventory'!$C$9:$C$108,0))="","",INDEX('Inventory'!$G$9:$G$108,MATCH(D59,'Inventory'!$C$9:$C$108,0))),""))</x:f>
        <x:v>Jordan</x:v>
      </x:c>
      <x:c r="X59" s="9" t="str">
        <x:f>IF(C59="","",IFERROR(IF(INDEX('Factors'!$P$9:$P$108,MATCH(J59,'Factors'!$C$9:$C$108,0))="","",INDEX('Factors'!$P$9:$P$108,MATCH(J59,'Factors'!$C$9:$C$108,0))),""))</x:f>
        <x:v>Ready</x:v>
      </x:c>
    </x:row>
    <x:row r="60" ht="26" customHeight="1">
      <x:c r="A60" s="1"/>
      <x:c r="B60" s="1"/>
      <x:c r="C60" s="8" t="str">
        <x:v>ACT052</x:v>
      </x:c>
      <x:c r="D60" s="8" t="str">
        <x:v>B012</x:v>
      </x:c>
      <x:c r="E60" s="8" t="str">
        <x:v>S024</x:v>
      </x:c>
      <x:c r="F60" s="8" t="str">
        <x:v>S2</x:v>
      </x:c>
      <x:c r="G60" s="8" t="str">
        <x:v>Electricity</x:v>
      </x:c>
      <x:c r="H60" s="16" t="n">
        <x:v>1275000</x:v>
      </x:c>
      <x:c r="I60" s="8" t="str">
        <x:v>kWh</x:v>
      </x:c>
      <x:c r="J60" s="8" t="str">
        <x:v>JO-GRID-26</x:v>
      </x:c>
      <x:c r="K60" s="22" t="n">
        <x:v>2026</x:v>
      </x:c>
      <x:c r="L60" s="8" t="str">
        <x:v>SYN-ACT-52</x:v>
      </x:c>
      <x:c r="M60" s="8" t="str">
        <x:v>Actual</x:v>
      </x:c>
      <x:c r="N60" s="40" t="n">
        <x:v>46752</x:v>
      </x:c>
      <x:c r="O60" s="41" t="n">
        <x:f>IF(C60="","",IFERROR(IF(INDEX('Factors'!$G$9:$G$108,MATCH(J60,'Factors'!$C$9:$C$108,0))="","",INDEX('Factors'!$G$9:$G$108,MATCH(J60,'Factors'!$C$9:$C$108,0))),""))</x:f>
        <x:v>0.43</x:v>
      </x:c>
      <x:c r="P60" s="9" t="str">
        <x:f>IF(C60="","",IFERROR(IF(INDEX('Factors'!$F$9:$F$108,MATCH(J60,'Factors'!$C$9:$C$108,0))="","",INDEX('Factors'!$F$9:$F$108,MATCH(J60,'Factors'!$C$9:$C$108,0))),""))</x:f>
        <x:v>kWh</x:v>
      </x:c>
      <x:c r="Q60" s="9" t="str">
        <x:f>IF(C60="","",IFERROR(IF(INDEX('Factors'!$H$9:$H$108,MATCH(J60,'Factors'!$C$9:$C$108,0))="","",INDEX('Factors'!$H$9:$H$108,MATCH(J60,'Factors'!$C$9:$C$108,0))),""))</x:f>
        <x:v>S2</x:v>
      </x:c>
      <x:c r="R60" s="9" t="str">
        <x:f>IF(C60="","",IFERROR(IF(INDEX('Factors'!$E$9:$E$108,MATCH(J60,'Factors'!$C$9:$C$108,0))="","",INDEX('Factors'!$E$9:$E$108,MATCH(J60,'Factors'!$C$9:$C$108,0))),""))</x:f>
        <x:v>Jordan</x:v>
      </x:c>
      <x:c r="S60" s="42" t="n">
        <x:f>IF(C60="","",IFERROR(IF(INDEX('Factors'!$J$9:$J$108,MATCH(J60,'Factors'!$C$9:$C$108,0))="","",INDEX('Factors'!$J$9:$J$108,MATCH(J60,'Factors'!$C$9:$C$108,0))),""))</x:f>
        <x:v>2026</x:v>
      </x:c>
      <x:c r="T60" s="9" t="str">
        <x:f>IF(C60="","",IFERROR(IF(INDEX('Factors'!$L$9:$L$108,MATCH(J60,'Factors'!$C$9:$C$108,0))="","",INDEX('Factors'!$L$9:$L$108,MATCH(J60,'Factors'!$C$9:$C$108,0))),"")&amp;" / "&amp;IFERROR(IF(INDEX('Factors'!$M$9:$M$108,MATCH(J60,'Factors'!$C$9:$C$108,0))="","",INDEX('Factors'!$M$9:$M$108,MATCH(J60,'Factors'!$C$9:$C$108,0))),""))</x:f>
        <x:v>SYNTHETIC DEMO / SYN-2026.1</x:v>
      </x:c>
      <x:c r="U60" s="21" t="n">
        <x:f>IF(V60="Ready",H60*O60/1000,"")</x:f>
        <x:v>548.25</x:v>
      </x:c>
      <x:c r="V60" s="9" t="str">
        <x:f>IF(C60="","",IF(OR(COUNTIFS($C$9:$C$308,C60)&lt;&gt;1,COUNTIFS($D$9:$D$308,D60,$E$9:$E$308,E60,$F$9:$F$308,F60,$G$9:$G$308,G60,$K$9:$K$308,K60)&lt;&gt;1),"Duplicate annual activity",IF(COUNTIFS('Inventory'!$C$9:$C$108,D60)&lt;&gt;1,"Entity required",IF(OR(E60="",L60="",NOT(ISNUMBER(H60)),H60&lt;0,NOT(ISNUMBER(K60)),NOT(ISNUMBER(N60))),"Missing activity input",IF(AND(E60&lt;&gt;D60,OR(COUNTIFS('Sites'!$C$9:$C$108,E60)&lt;&gt;1,IFERROR(IF(INDEX('Sites'!$D$9:$D$108,MATCH(E60,'Sites'!$C$9:$C$108,0))="","",INDEX('Sites'!$D$9:$D$108,MATCH(E60,'Sites'!$C$9:$C$108,0))),"")&lt;&gt;IFERROR(IF(INDEX('Inventory'!$D$9:$D$108,MATCH(D60,'Inventory'!$C$9:$C$108,0))="","",INDEX('Inventory'!$D$9:$D$108,MATCH(D60,'Inventory'!$C$9:$C$108,0))),""),IFERROR(IF(INDEX('Sites'!$E$9:$E$108,MATCH(E60,'Sites'!$C$9:$C$108,0))="","",INDEX('Sites'!$E$9:$E$108,MATCH(E60,'Sites'!$C$9:$C$108,0))),"")&lt;&gt;W60)),"Site / entity mismatch",IF(N60&lt;'Settings'!$F$8,"Expired",IF(X60&lt;&gt;"Ready","Factor required",IF(OR(G60&lt;&gt;IFERROR(IF(INDEX('Factors'!$D$9:$D$108,MATCH(J60,'Factors'!$C$9:$C$108,0))="","",INDEX('Factors'!$D$9:$D$108,MATCH(J60,'Factors'!$C$9:$C$108,0))),""),I60&lt;&gt;P60,F60&lt;&gt;Q60,K60&lt;&gt;S60,AND(R60&lt;&gt;"Global",R60&lt;&gt;W60),K60&lt;&gt;YEAR(IFERROR(IF(INDEX('Inventory'!$H$9:$H$108,MATCH(D60,'Inventory'!$C$9:$C$108,0))="","",INDEX('Inventory'!$H$9:$H$108,MATCH(D60,'Inventory'!$C$9:$C$108,0))),""))),"Factor / boundary mismatch",IF(AND(F60="S2",IFERROR(IF(INDEX('Factors'!$I$9:$I$108,MATCH(J60,'Factors'!$C$9:$C$108,0))="","",INDEX('Factors'!$I$9:$I$108,MATCH(J60,'Factors'!$C$9:$C$108,0))),"")&lt;&gt;"Location-based"),"Use location factor",IF(M60&lt;&gt;"Actual","Estimation method review","Ready"))))))))))</x:f>
        <x:v>Ready</x:v>
      </x:c>
      <x:c r="W60" s="9" t="str">
        <x:f>IF(C60="","",IFERROR(IF(INDEX('Inventory'!$G$9:$G$108,MATCH(D60,'Inventory'!$C$9:$C$108,0))="","",INDEX('Inventory'!$G$9:$G$108,MATCH(D60,'Inventory'!$C$9:$C$108,0))),""))</x:f>
        <x:v>Jordan</x:v>
      </x:c>
      <x:c r="X60" s="9" t="str">
        <x:f>IF(C60="","",IFERROR(IF(INDEX('Factors'!$P$9:$P$108,MATCH(J60,'Factors'!$C$9:$C$108,0))="","",INDEX('Factors'!$P$9:$P$108,MATCH(J60,'Factors'!$C$9:$C$108,0))),""))</x:f>
        <x:v>Ready</x:v>
      </x:c>
    </x:row>
    <x:row r="61" ht="26" customHeight="1">
      <x:c r="A61" s="1"/>
      <x:c r="B61" s="1"/>
      <x:c r="C61" s="8" t="str">
        <x:v>ACT053</x:v>
      </x:c>
      <x:c r="D61" s="8" t="str">
        <x:v>B013</x:v>
      </x:c>
      <x:c r="E61" s="8" t="str">
        <x:v>S025</x:v>
      </x:c>
      <x:c r="F61" s="8" t="str">
        <x:v>S1</x:v>
      </x:c>
      <x:c r="G61" s="8" t="str">
        <x:v>Diesel</x:v>
      </x:c>
      <x:c r="H61" s="16" t="n">
        <x:v>9240000</x:v>
      </x:c>
      <x:c r="I61" s="8" t="str">
        <x:v>litre</x:v>
      </x:c>
      <x:c r="J61" s="8" t="str">
        <x:v>GLOBAL-DIESEL-26</x:v>
      </x:c>
      <x:c r="K61" s="22" t="n">
        <x:v>2026</x:v>
      </x:c>
      <x:c r="L61" s="8" t="str">
        <x:v>SYN-ACT-53</x:v>
      </x:c>
      <x:c r="M61" s="8" t="str">
        <x:v>Actual</x:v>
      </x:c>
      <x:c r="N61" s="40" t="n">
        <x:v>46752</x:v>
      </x:c>
      <x:c r="O61" s="41" t="n">
        <x:f>IF(C61="","",IFERROR(IF(INDEX('Factors'!$G$9:$G$108,MATCH(J61,'Factors'!$C$9:$C$108,0))="","",INDEX('Factors'!$G$9:$G$108,MATCH(J61,'Factors'!$C$9:$C$108,0))),""))</x:f>
        <x:v>2.68</x:v>
      </x:c>
      <x:c r="P61" s="9" t="str">
        <x:f>IF(C61="","",IFERROR(IF(INDEX('Factors'!$F$9:$F$108,MATCH(J61,'Factors'!$C$9:$C$108,0))="","",INDEX('Factors'!$F$9:$F$108,MATCH(J61,'Factors'!$C$9:$C$108,0))),""))</x:f>
        <x:v>litre</x:v>
      </x:c>
      <x:c r="Q61" s="9" t="str">
        <x:f>IF(C61="","",IFERROR(IF(INDEX('Factors'!$H$9:$H$108,MATCH(J61,'Factors'!$C$9:$C$108,0))="","",INDEX('Factors'!$H$9:$H$108,MATCH(J61,'Factors'!$C$9:$C$108,0))),""))</x:f>
        <x:v>S1</x:v>
      </x:c>
      <x:c r="R61" s="9" t="str">
        <x:f>IF(C61="","",IFERROR(IF(INDEX('Factors'!$E$9:$E$108,MATCH(J61,'Factors'!$C$9:$C$108,0))="","",INDEX('Factors'!$E$9:$E$108,MATCH(J61,'Factors'!$C$9:$C$108,0))),""))</x:f>
        <x:v>Global</x:v>
      </x:c>
      <x:c r="S61" s="42" t="n">
        <x:f>IF(C61="","",IFERROR(IF(INDEX('Factors'!$J$9:$J$108,MATCH(J61,'Factors'!$C$9:$C$108,0))="","",INDEX('Factors'!$J$9:$J$108,MATCH(J61,'Factors'!$C$9:$C$108,0))),""))</x:f>
        <x:v>2026</x:v>
      </x:c>
      <x:c r="T61" s="9" t="str">
        <x:f>IF(C61="","",IFERROR(IF(INDEX('Factors'!$L$9:$L$108,MATCH(J61,'Factors'!$C$9:$C$108,0))="","",INDEX('Factors'!$L$9:$L$108,MATCH(J61,'Factors'!$C$9:$C$108,0))),"")&amp;" / "&amp;IFERROR(IF(INDEX('Factors'!$M$9:$M$108,MATCH(J61,'Factors'!$C$9:$C$108,0))="","",INDEX('Factors'!$M$9:$M$108,MATCH(J61,'Factors'!$C$9:$C$108,0))),""))</x:f>
        <x:v>SYNTHETIC DEMO / SYN-2026.1</x:v>
      </x:c>
      <x:c r="U61" s="21" t="n">
        <x:f>IF(V61="Ready",H61*O61/1000,"")</x:f>
        <x:v>24763.2</x:v>
      </x:c>
      <x:c r="V61" s="9" t="str">
        <x:f>IF(C61="","",IF(OR(COUNTIFS($C$9:$C$308,C61)&lt;&gt;1,COUNTIFS($D$9:$D$308,D61,$E$9:$E$308,E61,$F$9:$F$308,F61,$G$9:$G$308,G61,$K$9:$K$308,K61)&lt;&gt;1),"Duplicate annual activity",IF(COUNTIFS('Inventory'!$C$9:$C$108,D61)&lt;&gt;1,"Entity required",IF(OR(E61="",L61="",NOT(ISNUMBER(H61)),H61&lt;0,NOT(ISNUMBER(K61)),NOT(ISNUMBER(N61))),"Missing activity input",IF(AND(E61&lt;&gt;D61,OR(COUNTIFS('Sites'!$C$9:$C$108,E61)&lt;&gt;1,IFERROR(IF(INDEX('Sites'!$D$9:$D$108,MATCH(E61,'Sites'!$C$9:$C$108,0))="","",INDEX('Sites'!$D$9:$D$108,MATCH(E61,'Sites'!$C$9:$C$108,0))),"")&lt;&gt;IFERROR(IF(INDEX('Inventory'!$D$9:$D$108,MATCH(D61,'Inventory'!$C$9:$C$108,0))="","",INDEX('Inventory'!$D$9:$D$108,MATCH(D61,'Inventory'!$C$9:$C$108,0))),""),IFERROR(IF(INDEX('Sites'!$E$9:$E$108,MATCH(E61,'Sites'!$C$9:$C$108,0))="","",INDEX('Sites'!$E$9:$E$108,MATCH(E61,'Sites'!$C$9:$C$108,0))),"")&lt;&gt;W61)),"Site / entity mismatch",IF(N61&lt;'Settings'!$F$8,"Expired",IF(X61&lt;&gt;"Ready","Factor required",IF(OR(G61&lt;&gt;IFERROR(IF(INDEX('Factors'!$D$9:$D$108,MATCH(J61,'Factors'!$C$9:$C$108,0))="","",INDEX('Factors'!$D$9:$D$108,MATCH(J61,'Factors'!$C$9:$C$108,0))),""),I61&lt;&gt;P61,F61&lt;&gt;Q61,K61&lt;&gt;S61,AND(R61&lt;&gt;"Global",R61&lt;&gt;W61),K61&lt;&gt;YEAR(IFERROR(IF(INDEX('Inventory'!$H$9:$H$108,MATCH(D61,'Inventory'!$C$9:$C$108,0))="","",INDEX('Inventory'!$H$9:$H$108,MATCH(D61,'Inventory'!$C$9:$C$108,0))),""))),"Factor / boundary mismatch",IF(AND(F61="S2",IFERROR(IF(INDEX('Factors'!$I$9:$I$108,MATCH(J61,'Factors'!$C$9:$C$108,0))="","",INDEX('Factors'!$I$9:$I$108,MATCH(J61,'Factors'!$C$9:$C$108,0))),"")&lt;&gt;"Location-based"),"Use location factor",IF(M61&lt;&gt;"Actual","Estimation method review","Ready"))))))))))</x:f>
        <x:v>Ready</x:v>
      </x:c>
      <x:c r="W61" s="9" t="str">
        <x:f>IF(C61="","",IFERROR(IF(INDEX('Inventory'!$G$9:$G$108,MATCH(D61,'Inventory'!$C$9:$C$108,0))="","",INDEX('Inventory'!$G$9:$G$108,MATCH(D61,'Inventory'!$C$9:$C$108,0))),""))</x:f>
        <x:v>UAE</x:v>
      </x:c>
      <x:c r="X61" s="9" t="str">
        <x:f>IF(C61="","",IFERROR(IF(INDEX('Factors'!$P$9:$P$108,MATCH(J61,'Factors'!$C$9:$C$108,0))="","",INDEX('Factors'!$P$9:$P$108,MATCH(J61,'Factors'!$C$9:$C$108,0))),""))</x:f>
        <x:v>Ready</x:v>
      </x:c>
    </x:row>
    <x:row r="62" ht="26" customHeight="1">
      <x:c r="A62" s="1"/>
      <x:c r="B62" s="1"/>
      <x:c r="C62" s="8" t="str">
        <x:v>ACT054</x:v>
      </x:c>
      <x:c r="D62" s="8" t="str">
        <x:v>B013</x:v>
      </x:c>
      <x:c r="E62" s="8" t="str">
        <x:v>S025</x:v>
      </x:c>
      <x:c r="F62" s="8" t="str">
        <x:v>S2</x:v>
      </x:c>
      <x:c r="G62" s="8" t="str">
        <x:v>Electricity</x:v>
      </x:c>
      <x:c r="H62" s="16" t="n">
        <x:v>1300000</x:v>
      </x:c>
      <x:c r="I62" s="8" t="str">
        <x:v>kWh</x:v>
      </x:c>
      <x:c r="J62" s="8" t="str">
        <x:v>AE-GRID-26</x:v>
      </x:c>
      <x:c r="K62" s="22" t="n">
        <x:v>2026</x:v>
      </x:c>
      <x:c r="L62" s="8" t="str">
        <x:v>SYN-ACT-54</x:v>
      </x:c>
      <x:c r="M62" s="8" t="str">
        <x:v>Actual</x:v>
      </x:c>
      <x:c r="N62" s="40" t="n">
        <x:v>46752</x:v>
      </x:c>
      <x:c r="O62" s="41" t="n">
        <x:f>IF(C62="","",IFERROR(IF(INDEX('Factors'!$G$9:$G$108,MATCH(J62,'Factors'!$C$9:$C$108,0))="","",INDEX('Factors'!$G$9:$G$108,MATCH(J62,'Factors'!$C$9:$C$108,0))),""))</x:f>
        <x:v>0.39</x:v>
      </x:c>
      <x:c r="P62" s="9" t="str">
        <x:f>IF(C62="","",IFERROR(IF(INDEX('Factors'!$F$9:$F$108,MATCH(J62,'Factors'!$C$9:$C$108,0))="","",INDEX('Factors'!$F$9:$F$108,MATCH(J62,'Factors'!$C$9:$C$108,0))),""))</x:f>
        <x:v>kWh</x:v>
      </x:c>
      <x:c r="Q62" s="9" t="str">
        <x:f>IF(C62="","",IFERROR(IF(INDEX('Factors'!$H$9:$H$108,MATCH(J62,'Factors'!$C$9:$C$108,0))="","",INDEX('Factors'!$H$9:$H$108,MATCH(J62,'Factors'!$C$9:$C$108,0))),""))</x:f>
        <x:v>S2</x:v>
      </x:c>
      <x:c r="R62" s="9" t="str">
        <x:f>IF(C62="","",IFERROR(IF(INDEX('Factors'!$E$9:$E$108,MATCH(J62,'Factors'!$C$9:$C$108,0))="","",INDEX('Factors'!$E$9:$E$108,MATCH(J62,'Factors'!$C$9:$C$108,0))),""))</x:f>
        <x:v>UAE</x:v>
      </x:c>
      <x:c r="S62" s="42" t="n">
        <x:f>IF(C62="","",IFERROR(IF(INDEX('Factors'!$J$9:$J$108,MATCH(J62,'Factors'!$C$9:$C$108,0))="","",INDEX('Factors'!$J$9:$J$108,MATCH(J62,'Factors'!$C$9:$C$108,0))),""))</x:f>
        <x:v>2026</x:v>
      </x:c>
      <x:c r="T62" s="9" t="str">
        <x:f>IF(C62="","",IFERROR(IF(INDEX('Factors'!$L$9:$L$108,MATCH(J62,'Factors'!$C$9:$C$108,0))="","",INDEX('Factors'!$L$9:$L$108,MATCH(J62,'Factors'!$C$9:$C$108,0))),"")&amp;" / "&amp;IFERROR(IF(INDEX('Factors'!$M$9:$M$108,MATCH(J62,'Factors'!$C$9:$C$108,0))="","",INDEX('Factors'!$M$9:$M$108,MATCH(J62,'Factors'!$C$9:$C$108,0))),""))</x:f>
        <x:v>SYNTHETIC DEMO / SYN-2026.1</x:v>
      </x:c>
      <x:c r="U62" s="21" t="n">
        <x:f>IF(V62="Ready",H62*O62/1000,"")</x:f>
        <x:v>507</x:v>
      </x:c>
      <x:c r="V62" s="9" t="str">
        <x:f>IF(C62="","",IF(OR(COUNTIFS($C$9:$C$308,C62)&lt;&gt;1,COUNTIFS($D$9:$D$308,D62,$E$9:$E$308,E62,$F$9:$F$308,F62,$G$9:$G$308,G62,$K$9:$K$308,K62)&lt;&gt;1),"Duplicate annual activity",IF(COUNTIFS('Inventory'!$C$9:$C$108,D62)&lt;&gt;1,"Entity required",IF(OR(E62="",L62="",NOT(ISNUMBER(H62)),H62&lt;0,NOT(ISNUMBER(K62)),NOT(ISNUMBER(N62))),"Missing activity input",IF(AND(E62&lt;&gt;D62,OR(COUNTIFS('Sites'!$C$9:$C$108,E62)&lt;&gt;1,IFERROR(IF(INDEX('Sites'!$D$9:$D$108,MATCH(E62,'Sites'!$C$9:$C$108,0))="","",INDEX('Sites'!$D$9:$D$108,MATCH(E62,'Sites'!$C$9:$C$108,0))),"")&lt;&gt;IFERROR(IF(INDEX('Inventory'!$D$9:$D$108,MATCH(D62,'Inventory'!$C$9:$C$108,0))="","",INDEX('Inventory'!$D$9:$D$108,MATCH(D62,'Inventory'!$C$9:$C$108,0))),""),IFERROR(IF(INDEX('Sites'!$E$9:$E$108,MATCH(E62,'Sites'!$C$9:$C$108,0))="","",INDEX('Sites'!$E$9:$E$108,MATCH(E62,'Sites'!$C$9:$C$108,0))),"")&lt;&gt;W62)),"Site / entity mismatch",IF(N62&lt;'Settings'!$F$8,"Expired",IF(X62&lt;&gt;"Ready","Factor required",IF(OR(G62&lt;&gt;IFERROR(IF(INDEX('Factors'!$D$9:$D$108,MATCH(J62,'Factors'!$C$9:$C$108,0))="","",INDEX('Factors'!$D$9:$D$108,MATCH(J62,'Factors'!$C$9:$C$108,0))),""),I62&lt;&gt;P62,F62&lt;&gt;Q62,K62&lt;&gt;S62,AND(R62&lt;&gt;"Global",R62&lt;&gt;W62),K62&lt;&gt;YEAR(IFERROR(IF(INDEX('Inventory'!$H$9:$H$108,MATCH(D62,'Inventory'!$C$9:$C$108,0))="","",INDEX('Inventory'!$H$9:$H$108,MATCH(D62,'Inventory'!$C$9:$C$108,0))),""))),"Factor / boundary mismatch",IF(AND(F62="S2",IFERROR(IF(INDEX('Factors'!$I$9:$I$108,MATCH(J62,'Factors'!$C$9:$C$108,0))="","",INDEX('Factors'!$I$9:$I$108,MATCH(J62,'Factors'!$C$9:$C$108,0))),"")&lt;&gt;"Location-based"),"Use location factor",IF(M62&lt;&gt;"Actual","Estimation method review","Ready"))))))))))</x:f>
        <x:v>Ready</x:v>
      </x:c>
      <x:c r="W62" s="9" t="str">
        <x:f>IF(C62="","",IFERROR(IF(INDEX('Inventory'!$G$9:$G$108,MATCH(D62,'Inventory'!$C$9:$C$108,0))="","",INDEX('Inventory'!$G$9:$G$108,MATCH(D62,'Inventory'!$C$9:$C$108,0))),""))</x:f>
        <x:v>UAE</x:v>
      </x:c>
      <x:c r="X62" s="9" t="str">
        <x:f>IF(C62="","",IFERROR(IF(INDEX('Factors'!$P$9:$P$108,MATCH(J62,'Factors'!$C$9:$C$108,0))="","",INDEX('Factors'!$P$9:$P$108,MATCH(J62,'Factors'!$C$9:$C$108,0))),""))</x:f>
        <x:v>Ready</x:v>
      </x:c>
    </x:row>
    <x:row r="63" ht="26" customHeight="1">
      <x:c r="A63" s="1"/>
      <x:c r="B63" s="1"/>
      <x:c r="C63" s="8" t="str">
        <x:v>ACT055</x:v>
      </x:c>
      <x:c r="D63" s="8" t="str">
        <x:v>B013</x:v>
      </x:c>
      <x:c r="E63" s="8" t="str">
        <x:v>S025</x:v>
      </x:c>
      <x:c r="F63" s="8" t="str">
        <x:v>S1</x:v>
      </x:c>
      <x:c r="G63" s="8" t="str">
        <x:v>Clinker process</x:v>
      </x:c>
      <x:c r="H63" s="16" t="n">
        <x:v>77400</x:v>
      </x:c>
      <x:c r="I63" s="8" t="str">
        <x:v>t clinker</x:v>
      </x:c>
      <x:c r="J63" s="8" t="str">
        <x:v>GLOBAL-CLINKER-26</x:v>
      </x:c>
      <x:c r="K63" s="22" t="n">
        <x:v>2026</x:v>
      </x:c>
      <x:c r="L63" s="8" t="str">
        <x:v>SYN-ACT-55</x:v>
      </x:c>
      <x:c r="M63" s="8" t="str">
        <x:v>Actual</x:v>
      </x:c>
      <x:c r="N63" s="40" t="n">
        <x:v>46752</x:v>
      </x:c>
      <x:c r="O63" s="41" t="n">
        <x:f>IF(C63="","",IFERROR(IF(INDEX('Factors'!$G$9:$G$108,MATCH(J63,'Factors'!$C$9:$C$108,0))="","",INDEX('Factors'!$G$9:$G$108,MATCH(J63,'Factors'!$C$9:$C$108,0))),""))</x:f>
        <x:v>525</x:v>
      </x:c>
      <x:c r="P63" s="9" t="str">
        <x:f>IF(C63="","",IFERROR(IF(INDEX('Factors'!$F$9:$F$108,MATCH(J63,'Factors'!$C$9:$C$108,0))="","",INDEX('Factors'!$F$9:$F$108,MATCH(J63,'Factors'!$C$9:$C$108,0))),""))</x:f>
        <x:v>t clinker</x:v>
      </x:c>
      <x:c r="Q63" s="9" t="str">
        <x:f>IF(C63="","",IFERROR(IF(INDEX('Factors'!$H$9:$H$108,MATCH(J63,'Factors'!$C$9:$C$108,0))="","",INDEX('Factors'!$H$9:$H$108,MATCH(J63,'Factors'!$C$9:$C$108,0))),""))</x:f>
        <x:v>S1</x:v>
      </x:c>
      <x:c r="R63" s="9" t="str">
        <x:f>IF(C63="","",IFERROR(IF(INDEX('Factors'!$E$9:$E$108,MATCH(J63,'Factors'!$C$9:$C$108,0))="","",INDEX('Factors'!$E$9:$E$108,MATCH(J63,'Factors'!$C$9:$C$108,0))),""))</x:f>
        <x:v>Global</x:v>
      </x:c>
      <x:c r="S63" s="42" t="n">
        <x:f>IF(C63="","",IFERROR(IF(INDEX('Factors'!$J$9:$J$108,MATCH(J63,'Factors'!$C$9:$C$108,0))="","",INDEX('Factors'!$J$9:$J$108,MATCH(J63,'Factors'!$C$9:$C$108,0))),""))</x:f>
        <x:v>2026</x:v>
      </x:c>
      <x:c r="T63" s="9" t="str">
        <x:f>IF(C63="","",IFERROR(IF(INDEX('Factors'!$L$9:$L$108,MATCH(J63,'Factors'!$C$9:$C$108,0))="","",INDEX('Factors'!$L$9:$L$108,MATCH(J63,'Factors'!$C$9:$C$108,0))),"")&amp;" / "&amp;IFERROR(IF(INDEX('Factors'!$M$9:$M$108,MATCH(J63,'Factors'!$C$9:$C$108,0))="","",INDEX('Factors'!$M$9:$M$108,MATCH(J63,'Factors'!$C$9:$C$108,0))),""))</x:f>
        <x:v>SYNTHETIC DEMO / SYN-2026.1</x:v>
      </x:c>
      <x:c r="U63" s="21" t="n">
        <x:f>IF(V63="Ready",H63*O63/1000,"")</x:f>
        <x:v>40635</x:v>
      </x:c>
      <x:c r="V63" s="9" t="str">
        <x:f>IF(C63="","",IF(OR(COUNTIFS($C$9:$C$308,C63)&lt;&gt;1,COUNTIFS($D$9:$D$308,D63,$E$9:$E$308,E63,$F$9:$F$308,F63,$G$9:$G$308,G63,$K$9:$K$308,K63)&lt;&gt;1),"Duplicate annual activity",IF(COUNTIFS('Inventory'!$C$9:$C$108,D63)&lt;&gt;1,"Entity required",IF(OR(E63="",L63="",NOT(ISNUMBER(H63)),H63&lt;0,NOT(ISNUMBER(K63)),NOT(ISNUMBER(N63))),"Missing activity input",IF(AND(E63&lt;&gt;D63,OR(COUNTIFS('Sites'!$C$9:$C$108,E63)&lt;&gt;1,IFERROR(IF(INDEX('Sites'!$D$9:$D$108,MATCH(E63,'Sites'!$C$9:$C$108,0))="","",INDEX('Sites'!$D$9:$D$108,MATCH(E63,'Sites'!$C$9:$C$108,0))),"")&lt;&gt;IFERROR(IF(INDEX('Inventory'!$D$9:$D$108,MATCH(D63,'Inventory'!$C$9:$C$108,0))="","",INDEX('Inventory'!$D$9:$D$108,MATCH(D63,'Inventory'!$C$9:$C$108,0))),""),IFERROR(IF(INDEX('Sites'!$E$9:$E$108,MATCH(E63,'Sites'!$C$9:$C$108,0))="","",INDEX('Sites'!$E$9:$E$108,MATCH(E63,'Sites'!$C$9:$C$108,0))),"")&lt;&gt;W63)),"Site / entity mismatch",IF(N63&lt;'Settings'!$F$8,"Expired",IF(X63&lt;&gt;"Ready","Factor required",IF(OR(G63&lt;&gt;IFERROR(IF(INDEX('Factors'!$D$9:$D$108,MATCH(J63,'Factors'!$C$9:$C$108,0))="","",INDEX('Factors'!$D$9:$D$108,MATCH(J63,'Factors'!$C$9:$C$108,0))),""),I63&lt;&gt;P63,F63&lt;&gt;Q63,K63&lt;&gt;S63,AND(R63&lt;&gt;"Global",R63&lt;&gt;W63),K63&lt;&gt;YEAR(IFERROR(IF(INDEX('Inventory'!$H$9:$H$108,MATCH(D63,'Inventory'!$C$9:$C$108,0))="","",INDEX('Inventory'!$H$9:$H$108,MATCH(D63,'Inventory'!$C$9:$C$108,0))),""))),"Factor / boundary mismatch",IF(AND(F63="S2",IFERROR(IF(INDEX('Factors'!$I$9:$I$108,MATCH(J63,'Factors'!$C$9:$C$108,0))="","",INDEX('Factors'!$I$9:$I$108,MATCH(J63,'Factors'!$C$9:$C$108,0))),"")&lt;&gt;"Location-based"),"Use location factor",IF(M63&lt;&gt;"Actual","Estimation method review","Ready"))))))))))</x:f>
        <x:v>Ready</x:v>
      </x:c>
      <x:c r="W63" s="9" t="str">
        <x:f>IF(C63="","",IFERROR(IF(INDEX('Inventory'!$G$9:$G$108,MATCH(D63,'Inventory'!$C$9:$C$108,0))="","",INDEX('Inventory'!$G$9:$G$108,MATCH(D63,'Inventory'!$C$9:$C$108,0))),""))</x:f>
        <x:v>UAE</x:v>
      </x:c>
      <x:c r="X63" s="9" t="str">
        <x:f>IF(C63="","",IFERROR(IF(INDEX('Factors'!$P$9:$P$108,MATCH(J63,'Factors'!$C$9:$C$108,0))="","",INDEX('Factors'!$P$9:$P$108,MATCH(J63,'Factors'!$C$9:$C$108,0))),""))</x:f>
        <x:v>Ready</x:v>
      </x:c>
    </x:row>
    <x:row r="64" ht="26" customHeight="1">
      <x:c r="A64" s="1"/>
      <x:c r="B64" s="1"/>
      <x:c r="C64" s="8" t="str">
        <x:v>ACT056</x:v>
      </x:c>
      <x:c r="D64" s="8" t="str">
        <x:v>B013</x:v>
      </x:c>
      <x:c r="E64" s="8" t="str">
        <x:v>S026</x:v>
      </x:c>
      <x:c r="F64" s="8" t="str">
        <x:v>S1</x:v>
      </x:c>
      <x:c r="G64" s="8" t="str">
        <x:v>Diesel</x:v>
      </x:c>
      <x:c r="H64" s="16" t="n">
        <x:v>9250000</x:v>
      </x:c>
      <x:c r="I64" s="8" t="str">
        <x:v>litre</x:v>
      </x:c>
      <x:c r="J64" s="8" t="str">
        <x:v>GLOBAL-DIESEL-26</x:v>
      </x:c>
      <x:c r="K64" s="22" t="n">
        <x:v>2026</x:v>
      </x:c>
      <x:c r="L64" s="8" t="str">
        <x:v>SYN-ACT-56</x:v>
      </x:c>
      <x:c r="M64" s="8" t="str">
        <x:v>Actual</x:v>
      </x:c>
      <x:c r="N64" s="40" t="n">
        <x:v>46752</x:v>
      </x:c>
      <x:c r="O64" s="41" t="n">
        <x:f>IF(C64="","",IFERROR(IF(INDEX('Factors'!$G$9:$G$108,MATCH(J64,'Factors'!$C$9:$C$108,0))="","",INDEX('Factors'!$G$9:$G$108,MATCH(J64,'Factors'!$C$9:$C$108,0))),""))</x:f>
        <x:v>2.68</x:v>
      </x:c>
      <x:c r="P64" s="9" t="str">
        <x:f>IF(C64="","",IFERROR(IF(INDEX('Factors'!$F$9:$F$108,MATCH(J64,'Factors'!$C$9:$C$108,0))="","",INDEX('Factors'!$F$9:$F$108,MATCH(J64,'Factors'!$C$9:$C$108,0))),""))</x:f>
        <x:v>litre</x:v>
      </x:c>
      <x:c r="Q64" s="9" t="str">
        <x:f>IF(C64="","",IFERROR(IF(INDEX('Factors'!$H$9:$H$108,MATCH(J64,'Factors'!$C$9:$C$108,0))="","",INDEX('Factors'!$H$9:$H$108,MATCH(J64,'Factors'!$C$9:$C$108,0))),""))</x:f>
        <x:v>S1</x:v>
      </x:c>
      <x:c r="R64" s="9" t="str">
        <x:f>IF(C64="","",IFERROR(IF(INDEX('Factors'!$E$9:$E$108,MATCH(J64,'Factors'!$C$9:$C$108,0))="","",INDEX('Factors'!$E$9:$E$108,MATCH(J64,'Factors'!$C$9:$C$108,0))),""))</x:f>
        <x:v>Global</x:v>
      </x:c>
      <x:c r="S64" s="42" t="n">
        <x:f>IF(C64="","",IFERROR(IF(INDEX('Factors'!$J$9:$J$108,MATCH(J64,'Factors'!$C$9:$C$108,0))="","",INDEX('Factors'!$J$9:$J$108,MATCH(J64,'Factors'!$C$9:$C$108,0))),""))</x:f>
        <x:v>2026</x:v>
      </x:c>
      <x:c r="T64" s="9" t="str">
        <x:f>IF(C64="","",IFERROR(IF(INDEX('Factors'!$L$9:$L$108,MATCH(J64,'Factors'!$C$9:$C$108,0))="","",INDEX('Factors'!$L$9:$L$108,MATCH(J64,'Factors'!$C$9:$C$108,0))),"")&amp;" / "&amp;IFERROR(IF(INDEX('Factors'!$M$9:$M$108,MATCH(J64,'Factors'!$C$9:$C$108,0))="","",INDEX('Factors'!$M$9:$M$108,MATCH(J64,'Factors'!$C$9:$C$108,0))),""))</x:f>
        <x:v>SYNTHETIC DEMO / SYN-2026.1</x:v>
      </x:c>
      <x:c r="U64" s="21" t="n">
        <x:f>IF(V64="Ready",H64*O64/1000,"")</x:f>
        <x:v>24790</x:v>
      </x:c>
      <x:c r="V64" s="9" t="str">
        <x:f>IF(C64="","",IF(OR(COUNTIFS($C$9:$C$308,C64)&lt;&gt;1,COUNTIFS($D$9:$D$308,D64,$E$9:$E$308,E64,$F$9:$F$308,F64,$G$9:$G$308,G64,$K$9:$K$308,K64)&lt;&gt;1),"Duplicate annual activity",IF(COUNTIFS('Inventory'!$C$9:$C$108,D64)&lt;&gt;1,"Entity required",IF(OR(E64="",L64="",NOT(ISNUMBER(H64)),H64&lt;0,NOT(ISNUMBER(K64)),NOT(ISNUMBER(N64))),"Missing activity input",IF(AND(E64&lt;&gt;D64,OR(COUNTIFS('Sites'!$C$9:$C$108,E64)&lt;&gt;1,IFERROR(IF(INDEX('Sites'!$D$9:$D$108,MATCH(E64,'Sites'!$C$9:$C$108,0))="","",INDEX('Sites'!$D$9:$D$108,MATCH(E64,'Sites'!$C$9:$C$108,0))),"")&lt;&gt;IFERROR(IF(INDEX('Inventory'!$D$9:$D$108,MATCH(D64,'Inventory'!$C$9:$C$108,0))="","",INDEX('Inventory'!$D$9:$D$108,MATCH(D64,'Inventory'!$C$9:$C$108,0))),""),IFERROR(IF(INDEX('Sites'!$E$9:$E$108,MATCH(E64,'Sites'!$C$9:$C$108,0))="","",INDEX('Sites'!$E$9:$E$108,MATCH(E64,'Sites'!$C$9:$C$108,0))),"")&lt;&gt;W64)),"Site / entity mismatch",IF(N64&lt;'Settings'!$F$8,"Expired",IF(X64&lt;&gt;"Ready","Factor required",IF(OR(G64&lt;&gt;IFERROR(IF(INDEX('Factors'!$D$9:$D$108,MATCH(J64,'Factors'!$C$9:$C$108,0))="","",INDEX('Factors'!$D$9:$D$108,MATCH(J64,'Factors'!$C$9:$C$108,0))),""),I64&lt;&gt;P64,F64&lt;&gt;Q64,K64&lt;&gt;S64,AND(R64&lt;&gt;"Global",R64&lt;&gt;W64),K64&lt;&gt;YEAR(IFERROR(IF(INDEX('Inventory'!$H$9:$H$108,MATCH(D64,'Inventory'!$C$9:$C$108,0))="","",INDEX('Inventory'!$H$9:$H$108,MATCH(D64,'Inventory'!$C$9:$C$108,0))),""))),"Factor / boundary mismatch",IF(AND(F64="S2",IFERROR(IF(INDEX('Factors'!$I$9:$I$108,MATCH(J64,'Factors'!$C$9:$C$108,0))="","",INDEX('Factors'!$I$9:$I$108,MATCH(J64,'Factors'!$C$9:$C$108,0))),"")&lt;&gt;"Location-based"),"Use location factor",IF(M64&lt;&gt;"Actual","Estimation method review","Ready"))))))))))</x:f>
        <x:v>Ready</x:v>
      </x:c>
      <x:c r="W64" s="9" t="str">
        <x:f>IF(C64="","",IFERROR(IF(INDEX('Inventory'!$G$9:$G$108,MATCH(D64,'Inventory'!$C$9:$C$108,0))="","",INDEX('Inventory'!$G$9:$G$108,MATCH(D64,'Inventory'!$C$9:$C$108,0))),""))</x:f>
        <x:v>UAE</x:v>
      </x:c>
      <x:c r="X64" s="9" t="str">
        <x:f>IF(C64="","",IFERROR(IF(INDEX('Factors'!$P$9:$P$108,MATCH(J64,'Factors'!$C$9:$C$108,0))="","",INDEX('Factors'!$P$9:$P$108,MATCH(J64,'Factors'!$C$9:$C$108,0))),""))</x:f>
        <x:v>Ready</x:v>
      </x:c>
    </x:row>
    <x:row r="65" ht="26" customHeight="1">
      <x:c r="A65" s="1"/>
      <x:c r="B65" s="1"/>
      <x:c r="C65" s="8" t="str">
        <x:v>ACT057</x:v>
      </x:c>
      <x:c r="D65" s="8" t="str">
        <x:v>B013</x:v>
      </x:c>
      <x:c r="E65" s="8" t="str">
        <x:v>S026</x:v>
      </x:c>
      <x:c r="F65" s="8" t="str">
        <x:v>S2</x:v>
      </x:c>
      <x:c r="G65" s="8" t="str">
        <x:v>Electricity</x:v>
      </x:c>
      <x:c r="H65" s="16" t="n">
        <x:v>1325000</x:v>
      </x:c>
      <x:c r="I65" s="8" t="str">
        <x:v>kWh</x:v>
      </x:c>
      <x:c r="J65" s="8" t="str">
        <x:v>AE-GRID-26</x:v>
      </x:c>
      <x:c r="K65" s="22" t="n">
        <x:v>2026</x:v>
      </x:c>
      <x:c r="L65" s="8" t="str">
        <x:v>SYN-ACT-57</x:v>
      </x:c>
      <x:c r="M65" s="8" t="str">
        <x:v>Actual</x:v>
      </x:c>
      <x:c r="N65" s="40" t="n">
        <x:v>46752</x:v>
      </x:c>
      <x:c r="O65" s="41" t="n">
        <x:f>IF(C65="","",IFERROR(IF(INDEX('Factors'!$G$9:$G$108,MATCH(J65,'Factors'!$C$9:$C$108,0))="","",INDEX('Factors'!$G$9:$G$108,MATCH(J65,'Factors'!$C$9:$C$108,0))),""))</x:f>
        <x:v>0.39</x:v>
      </x:c>
      <x:c r="P65" s="9" t="str">
        <x:f>IF(C65="","",IFERROR(IF(INDEX('Factors'!$F$9:$F$108,MATCH(J65,'Factors'!$C$9:$C$108,0))="","",INDEX('Factors'!$F$9:$F$108,MATCH(J65,'Factors'!$C$9:$C$108,0))),""))</x:f>
        <x:v>kWh</x:v>
      </x:c>
      <x:c r="Q65" s="9" t="str">
        <x:f>IF(C65="","",IFERROR(IF(INDEX('Factors'!$H$9:$H$108,MATCH(J65,'Factors'!$C$9:$C$108,0))="","",INDEX('Factors'!$H$9:$H$108,MATCH(J65,'Factors'!$C$9:$C$108,0))),""))</x:f>
        <x:v>S2</x:v>
      </x:c>
      <x:c r="R65" s="9" t="str">
        <x:f>IF(C65="","",IFERROR(IF(INDEX('Factors'!$E$9:$E$108,MATCH(J65,'Factors'!$C$9:$C$108,0))="","",INDEX('Factors'!$E$9:$E$108,MATCH(J65,'Factors'!$C$9:$C$108,0))),""))</x:f>
        <x:v>UAE</x:v>
      </x:c>
      <x:c r="S65" s="42" t="n">
        <x:f>IF(C65="","",IFERROR(IF(INDEX('Factors'!$J$9:$J$108,MATCH(J65,'Factors'!$C$9:$C$108,0))="","",INDEX('Factors'!$J$9:$J$108,MATCH(J65,'Factors'!$C$9:$C$108,0))),""))</x:f>
        <x:v>2026</x:v>
      </x:c>
      <x:c r="T65" s="9" t="str">
        <x:f>IF(C65="","",IFERROR(IF(INDEX('Factors'!$L$9:$L$108,MATCH(J65,'Factors'!$C$9:$C$108,0))="","",INDEX('Factors'!$L$9:$L$108,MATCH(J65,'Factors'!$C$9:$C$108,0))),"")&amp;" / "&amp;IFERROR(IF(INDEX('Factors'!$M$9:$M$108,MATCH(J65,'Factors'!$C$9:$C$108,0))="","",INDEX('Factors'!$M$9:$M$108,MATCH(J65,'Factors'!$C$9:$C$108,0))),""))</x:f>
        <x:v>SYNTHETIC DEMO / SYN-2026.1</x:v>
      </x:c>
      <x:c r="U65" s="21" t="n">
        <x:f>IF(V65="Ready",H65*O65/1000,"")</x:f>
        <x:v>516.75</x:v>
      </x:c>
      <x:c r="V65" s="9" t="str">
        <x:f>IF(C65="","",IF(OR(COUNTIFS($C$9:$C$308,C65)&lt;&gt;1,COUNTIFS($D$9:$D$308,D65,$E$9:$E$308,E65,$F$9:$F$308,F65,$G$9:$G$308,G65,$K$9:$K$308,K65)&lt;&gt;1),"Duplicate annual activity",IF(COUNTIFS('Inventory'!$C$9:$C$108,D65)&lt;&gt;1,"Entity required",IF(OR(E65="",L65="",NOT(ISNUMBER(H65)),H65&lt;0,NOT(ISNUMBER(K65)),NOT(ISNUMBER(N65))),"Missing activity input",IF(AND(E65&lt;&gt;D65,OR(COUNTIFS('Sites'!$C$9:$C$108,E65)&lt;&gt;1,IFERROR(IF(INDEX('Sites'!$D$9:$D$108,MATCH(E65,'Sites'!$C$9:$C$108,0))="","",INDEX('Sites'!$D$9:$D$108,MATCH(E65,'Sites'!$C$9:$C$108,0))),"")&lt;&gt;IFERROR(IF(INDEX('Inventory'!$D$9:$D$108,MATCH(D65,'Inventory'!$C$9:$C$108,0))="","",INDEX('Inventory'!$D$9:$D$108,MATCH(D65,'Inventory'!$C$9:$C$108,0))),""),IFERROR(IF(INDEX('Sites'!$E$9:$E$108,MATCH(E65,'Sites'!$C$9:$C$108,0))="","",INDEX('Sites'!$E$9:$E$108,MATCH(E65,'Sites'!$C$9:$C$108,0))),"")&lt;&gt;W65)),"Site / entity mismatch",IF(N65&lt;'Settings'!$F$8,"Expired",IF(X65&lt;&gt;"Ready","Factor required",IF(OR(G65&lt;&gt;IFERROR(IF(INDEX('Factors'!$D$9:$D$108,MATCH(J65,'Factors'!$C$9:$C$108,0))="","",INDEX('Factors'!$D$9:$D$108,MATCH(J65,'Factors'!$C$9:$C$108,0))),""),I65&lt;&gt;P65,F65&lt;&gt;Q65,K65&lt;&gt;S65,AND(R65&lt;&gt;"Global",R65&lt;&gt;W65),K65&lt;&gt;YEAR(IFERROR(IF(INDEX('Inventory'!$H$9:$H$108,MATCH(D65,'Inventory'!$C$9:$C$108,0))="","",INDEX('Inventory'!$H$9:$H$108,MATCH(D65,'Inventory'!$C$9:$C$108,0))),""))),"Factor / boundary mismatch",IF(AND(F65="S2",IFERROR(IF(INDEX('Factors'!$I$9:$I$108,MATCH(J65,'Factors'!$C$9:$C$108,0))="","",INDEX('Factors'!$I$9:$I$108,MATCH(J65,'Factors'!$C$9:$C$108,0))),"")&lt;&gt;"Location-based"),"Use location factor",IF(M65&lt;&gt;"Actual","Estimation method review","Ready"))))))))))</x:f>
        <x:v>Ready</x:v>
      </x:c>
      <x:c r="W65" s="9" t="str">
        <x:f>IF(C65="","",IFERROR(IF(INDEX('Inventory'!$G$9:$G$108,MATCH(D65,'Inventory'!$C$9:$C$108,0))="","",INDEX('Inventory'!$G$9:$G$108,MATCH(D65,'Inventory'!$C$9:$C$108,0))),""))</x:f>
        <x:v>UAE</x:v>
      </x:c>
      <x:c r="X65" s="9" t="str">
        <x:f>IF(C65="","",IFERROR(IF(INDEX('Factors'!$P$9:$P$108,MATCH(J65,'Factors'!$C$9:$C$108,0))="","",INDEX('Factors'!$P$9:$P$108,MATCH(J65,'Factors'!$C$9:$C$108,0))),""))</x:f>
        <x:v>Ready</x:v>
      </x:c>
    </x:row>
    <x:row r="66" ht="26" customHeight="1">
      <x:c r="A66" s="1"/>
      <x:c r="B66" s="1"/>
      <x:c r="C66" s="8" t="str">
        <x:v>ACT058</x:v>
      </x:c>
      <x:c r="D66" s="8" t="str">
        <x:v>B013</x:v>
      </x:c>
      <x:c r="E66" s="8" t="str">
        <x:v>S026</x:v>
      </x:c>
      <x:c r="F66" s="8" t="str">
        <x:v>S1</x:v>
      </x:c>
      <x:c r="G66" s="8" t="str">
        <x:v>Clinker process</x:v>
      </x:c>
      <x:c r="H66" s="16" t="n">
        <x:v>77500</x:v>
      </x:c>
      <x:c r="I66" s="8" t="str">
        <x:v>t clinker</x:v>
      </x:c>
      <x:c r="J66" s="8" t="str">
        <x:v>GLOBAL-CLINKER-26</x:v>
      </x:c>
      <x:c r="K66" s="22" t="n">
        <x:v>2026</x:v>
      </x:c>
      <x:c r="L66" s="8" t="str">
        <x:v>SYN-ACT-58</x:v>
      </x:c>
      <x:c r="M66" s="8" t="str">
        <x:v>Actual</x:v>
      </x:c>
      <x:c r="N66" s="40" t="n">
        <x:v>46752</x:v>
      </x:c>
      <x:c r="O66" s="41" t="n">
        <x:f>IF(C66="","",IFERROR(IF(INDEX('Factors'!$G$9:$G$108,MATCH(J66,'Factors'!$C$9:$C$108,0))="","",INDEX('Factors'!$G$9:$G$108,MATCH(J66,'Factors'!$C$9:$C$108,0))),""))</x:f>
        <x:v>525</x:v>
      </x:c>
      <x:c r="P66" s="9" t="str">
        <x:f>IF(C66="","",IFERROR(IF(INDEX('Factors'!$F$9:$F$108,MATCH(J66,'Factors'!$C$9:$C$108,0))="","",INDEX('Factors'!$F$9:$F$108,MATCH(J66,'Factors'!$C$9:$C$108,0))),""))</x:f>
        <x:v>t clinker</x:v>
      </x:c>
      <x:c r="Q66" s="9" t="str">
        <x:f>IF(C66="","",IFERROR(IF(INDEX('Factors'!$H$9:$H$108,MATCH(J66,'Factors'!$C$9:$C$108,0))="","",INDEX('Factors'!$H$9:$H$108,MATCH(J66,'Factors'!$C$9:$C$108,0))),""))</x:f>
        <x:v>S1</x:v>
      </x:c>
      <x:c r="R66" s="9" t="str">
        <x:f>IF(C66="","",IFERROR(IF(INDEX('Factors'!$E$9:$E$108,MATCH(J66,'Factors'!$C$9:$C$108,0))="","",INDEX('Factors'!$E$9:$E$108,MATCH(J66,'Factors'!$C$9:$C$108,0))),""))</x:f>
        <x:v>Global</x:v>
      </x:c>
      <x:c r="S66" s="42" t="n">
        <x:f>IF(C66="","",IFERROR(IF(INDEX('Factors'!$J$9:$J$108,MATCH(J66,'Factors'!$C$9:$C$108,0))="","",INDEX('Factors'!$J$9:$J$108,MATCH(J66,'Factors'!$C$9:$C$108,0))),""))</x:f>
        <x:v>2026</x:v>
      </x:c>
      <x:c r="T66" s="9" t="str">
        <x:f>IF(C66="","",IFERROR(IF(INDEX('Factors'!$L$9:$L$108,MATCH(J66,'Factors'!$C$9:$C$108,0))="","",INDEX('Factors'!$L$9:$L$108,MATCH(J66,'Factors'!$C$9:$C$108,0))),"")&amp;" / "&amp;IFERROR(IF(INDEX('Factors'!$M$9:$M$108,MATCH(J66,'Factors'!$C$9:$C$108,0))="","",INDEX('Factors'!$M$9:$M$108,MATCH(J66,'Factors'!$C$9:$C$108,0))),""))</x:f>
        <x:v>SYNTHETIC DEMO / SYN-2026.1</x:v>
      </x:c>
      <x:c r="U66" s="21" t="n">
        <x:f>IF(V66="Ready",H66*O66/1000,"")</x:f>
        <x:v>40687.5</x:v>
      </x:c>
      <x:c r="V66" s="9" t="str">
        <x:f>IF(C66="","",IF(OR(COUNTIFS($C$9:$C$308,C66)&lt;&gt;1,COUNTIFS($D$9:$D$308,D66,$E$9:$E$308,E66,$F$9:$F$308,F66,$G$9:$G$308,G66,$K$9:$K$308,K66)&lt;&gt;1),"Duplicate annual activity",IF(COUNTIFS('Inventory'!$C$9:$C$108,D66)&lt;&gt;1,"Entity required",IF(OR(E66="",L66="",NOT(ISNUMBER(H66)),H66&lt;0,NOT(ISNUMBER(K66)),NOT(ISNUMBER(N66))),"Missing activity input",IF(AND(E66&lt;&gt;D66,OR(COUNTIFS('Sites'!$C$9:$C$108,E66)&lt;&gt;1,IFERROR(IF(INDEX('Sites'!$D$9:$D$108,MATCH(E66,'Sites'!$C$9:$C$108,0))="","",INDEX('Sites'!$D$9:$D$108,MATCH(E66,'Sites'!$C$9:$C$108,0))),"")&lt;&gt;IFERROR(IF(INDEX('Inventory'!$D$9:$D$108,MATCH(D66,'Inventory'!$C$9:$C$108,0))="","",INDEX('Inventory'!$D$9:$D$108,MATCH(D66,'Inventory'!$C$9:$C$108,0))),""),IFERROR(IF(INDEX('Sites'!$E$9:$E$108,MATCH(E66,'Sites'!$C$9:$C$108,0))="","",INDEX('Sites'!$E$9:$E$108,MATCH(E66,'Sites'!$C$9:$C$108,0))),"")&lt;&gt;W66)),"Site / entity mismatch",IF(N66&lt;'Settings'!$F$8,"Expired",IF(X66&lt;&gt;"Ready","Factor required",IF(OR(G66&lt;&gt;IFERROR(IF(INDEX('Factors'!$D$9:$D$108,MATCH(J66,'Factors'!$C$9:$C$108,0))="","",INDEX('Factors'!$D$9:$D$108,MATCH(J66,'Factors'!$C$9:$C$108,0))),""),I66&lt;&gt;P66,F66&lt;&gt;Q66,K66&lt;&gt;S66,AND(R66&lt;&gt;"Global",R66&lt;&gt;W66),K66&lt;&gt;YEAR(IFERROR(IF(INDEX('Inventory'!$H$9:$H$108,MATCH(D66,'Inventory'!$C$9:$C$108,0))="","",INDEX('Inventory'!$H$9:$H$108,MATCH(D66,'Inventory'!$C$9:$C$108,0))),""))),"Factor / boundary mismatch",IF(AND(F66="S2",IFERROR(IF(INDEX('Factors'!$I$9:$I$108,MATCH(J66,'Factors'!$C$9:$C$108,0))="","",INDEX('Factors'!$I$9:$I$108,MATCH(J66,'Factors'!$C$9:$C$108,0))),"")&lt;&gt;"Location-based"),"Use location factor",IF(M66&lt;&gt;"Actual","Estimation method review","Ready"))))))))))</x:f>
        <x:v>Ready</x:v>
      </x:c>
      <x:c r="W66" s="9" t="str">
        <x:f>IF(C66="","",IFERROR(IF(INDEX('Inventory'!$G$9:$G$108,MATCH(D66,'Inventory'!$C$9:$C$108,0))="","",INDEX('Inventory'!$G$9:$G$108,MATCH(D66,'Inventory'!$C$9:$C$108,0))),""))</x:f>
        <x:v>UAE</x:v>
      </x:c>
      <x:c r="X66" s="9" t="str">
        <x:f>IF(C66="","",IFERROR(IF(INDEX('Factors'!$P$9:$P$108,MATCH(J66,'Factors'!$C$9:$C$108,0))="","",INDEX('Factors'!$P$9:$P$108,MATCH(J66,'Factors'!$C$9:$C$108,0))),""))</x:f>
        <x:v>Ready</x:v>
      </x:c>
    </x:row>
    <x:row r="67" ht="26" customHeight="1">
      <x:c r="A67" s="1"/>
      <x:c r="B67" s="1"/>
      <x:c r="C67" s="8" t="str">
        <x:v>ACT059</x:v>
      </x:c>
      <x:c r="D67" s="8" t="str">
        <x:v>B014</x:v>
      </x:c>
      <x:c r="E67" s="8" t="str">
        <x:v>S027</x:v>
      </x:c>
      <x:c r="F67" s="8" t="str">
        <x:v>S1</x:v>
      </x:c>
      <x:c r="G67" s="8" t="str">
        <x:v>Diesel</x:v>
      </x:c>
      <x:c r="H67" s="16" t="n">
        <x:v>1500</x:v>
      </x:c>
      <x:c r="I67" s="8" t="str">
        <x:v>litre</x:v>
      </x:c>
      <x:c r="J67" s="8" t="str">
        <x:v>GLOBAL-DIESEL-26</x:v>
      </x:c>
      <x:c r="K67" s="22" t="n">
        <x:v>2026</x:v>
      </x:c>
      <x:c r="L67" s="8" t="str">
        <x:v>SYN-ACT-59</x:v>
      </x:c>
      <x:c r="M67" s="8" t="str">
        <x:v>Actual</x:v>
      </x:c>
      <x:c r="N67" s="40" t="n">
        <x:v>46752</x:v>
      </x:c>
      <x:c r="O67" s="41" t="n">
        <x:f>IF(C67="","",IFERROR(IF(INDEX('Factors'!$G$9:$G$108,MATCH(J67,'Factors'!$C$9:$C$108,0))="","",INDEX('Factors'!$G$9:$G$108,MATCH(J67,'Factors'!$C$9:$C$108,0))),""))</x:f>
        <x:v>2.68</x:v>
      </x:c>
      <x:c r="P67" s="9" t="str">
        <x:f>IF(C67="","",IFERROR(IF(INDEX('Factors'!$F$9:$F$108,MATCH(J67,'Factors'!$C$9:$C$108,0))="","",INDEX('Factors'!$F$9:$F$108,MATCH(J67,'Factors'!$C$9:$C$108,0))),""))</x:f>
        <x:v>litre</x:v>
      </x:c>
      <x:c r="Q67" s="9" t="str">
        <x:f>IF(C67="","",IFERROR(IF(INDEX('Factors'!$H$9:$H$108,MATCH(J67,'Factors'!$C$9:$C$108,0))="","",INDEX('Factors'!$H$9:$H$108,MATCH(J67,'Factors'!$C$9:$C$108,0))),""))</x:f>
        <x:v>S1</x:v>
      </x:c>
      <x:c r="R67" s="9" t="str">
        <x:f>IF(C67="","",IFERROR(IF(INDEX('Factors'!$E$9:$E$108,MATCH(J67,'Factors'!$C$9:$C$108,0))="","",INDEX('Factors'!$E$9:$E$108,MATCH(J67,'Factors'!$C$9:$C$108,0))),""))</x:f>
        <x:v>Global</x:v>
      </x:c>
      <x:c r="S67" s="42" t="n">
        <x:f>IF(C67="","",IFERROR(IF(INDEX('Factors'!$J$9:$J$108,MATCH(J67,'Factors'!$C$9:$C$108,0))="","",INDEX('Factors'!$J$9:$J$108,MATCH(J67,'Factors'!$C$9:$C$108,0))),""))</x:f>
        <x:v>2026</x:v>
      </x:c>
      <x:c r="T67" s="9" t="str">
        <x:f>IF(C67="","",IFERROR(IF(INDEX('Factors'!$L$9:$L$108,MATCH(J67,'Factors'!$C$9:$C$108,0))="","",INDEX('Factors'!$L$9:$L$108,MATCH(J67,'Factors'!$C$9:$C$108,0))),"")&amp;" / "&amp;IFERROR(IF(INDEX('Factors'!$M$9:$M$108,MATCH(J67,'Factors'!$C$9:$C$108,0))="","",INDEX('Factors'!$M$9:$M$108,MATCH(J67,'Factors'!$C$9:$C$108,0))),""))</x:f>
        <x:v>SYNTHETIC DEMO / SYN-2026.1</x:v>
      </x:c>
      <x:c r="U67" s="21" t="n">
        <x:f>IF(V67="Ready",H67*O67/1000,"")</x:f>
        <x:v>4.0200000000000005</x:v>
      </x:c>
      <x:c r="V67" s="9" t="str">
        <x:f>IF(C67="","",IF(OR(COUNTIFS($C$9:$C$308,C67)&lt;&gt;1,COUNTIFS($D$9:$D$308,D67,$E$9:$E$308,E67,$F$9:$F$308,F67,$G$9:$G$308,G67,$K$9:$K$308,K67)&lt;&gt;1),"Duplicate annual activity",IF(COUNTIFS('Inventory'!$C$9:$C$108,D67)&lt;&gt;1,"Entity required",IF(OR(E67="",L67="",NOT(ISNUMBER(H67)),H67&lt;0,NOT(ISNUMBER(K67)),NOT(ISNUMBER(N67))),"Missing activity input",IF(AND(E67&lt;&gt;D67,OR(COUNTIFS('Sites'!$C$9:$C$108,E67)&lt;&gt;1,IFERROR(IF(INDEX('Sites'!$D$9:$D$108,MATCH(E67,'Sites'!$C$9:$C$108,0))="","",INDEX('Sites'!$D$9:$D$108,MATCH(E67,'Sites'!$C$9:$C$108,0))),"")&lt;&gt;IFERROR(IF(INDEX('Inventory'!$D$9:$D$108,MATCH(D67,'Inventory'!$C$9:$C$108,0))="","",INDEX('Inventory'!$D$9:$D$108,MATCH(D67,'Inventory'!$C$9:$C$108,0))),""),IFERROR(IF(INDEX('Sites'!$E$9:$E$108,MATCH(E67,'Sites'!$C$9:$C$108,0))="","",INDEX('Sites'!$E$9:$E$108,MATCH(E67,'Sites'!$C$9:$C$108,0))),"")&lt;&gt;W67)),"Site / entity mismatch",IF(N67&lt;'Settings'!$F$8,"Expired",IF(X67&lt;&gt;"Ready","Factor required",IF(OR(G67&lt;&gt;IFERROR(IF(INDEX('Factors'!$D$9:$D$108,MATCH(J67,'Factors'!$C$9:$C$108,0))="","",INDEX('Factors'!$D$9:$D$108,MATCH(J67,'Factors'!$C$9:$C$108,0))),""),I67&lt;&gt;P67,F67&lt;&gt;Q67,K67&lt;&gt;S67,AND(R67&lt;&gt;"Global",R67&lt;&gt;W67),K67&lt;&gt;YEAR(IFERROR(IF(INDEX('Inventory'!$H$9:$H$108,MATCH(D67,'Inventory'!$C$9:$C$108,0))="","",INDEX('Inventory'!$H$9:$H$108,MATCH(D67,'Inventory'!$C$9:$C$108,0))),""))),"Factor / boundary mismatch",IF(AND(F67="S2",IFERROR(IF(INDEX('Factors'!$I$9:$I$108,MATCH(J67,'Factors'!$C$9:$C$108,0))="","",INDEX('Factors'!$I$9:$I$108,MATCH(J67,'Factors'!$C$9:$C$108,0))),"")&lt;&gt;"Location-based"),"Use location factor",IF(M67&lt;&gt;"Actual","Estimation method review","Ready"))))))))))</x:f>
        <x:v>Ready</x:v>
      </x:c>
      <x:c r="W67" s="9" t="str">
        <x:f>IF(C67="","",IFERROR(IF(INDEX('Inventory'!$G$9:$G$108,MATCH(D67,'Inventory'!$C$9:$C$108,0))="","",INDEX('Inventory'!$G$9:$G$108,MATCH(D67,'Inventory'!$C$9:$C$108,0))),""))</x:f>
        <x:v>UAE</x:v>
      </x:c>
      <x:c r="X67" s="9" t="str">
        <x:f>IF(C67="","",IFERROR(IF(INDEX('Factors'!$P$9:$P$108,MATCH(J67,'Factors'!$C$9:$C$108,0))="","",INDEX('Factors'!$P$9:$P$108,MATCH(J67,'Factors'!$C$9:$C$108,0))),""))</x:f>
        <x:v>Ready</x:v>
      </x:c>
    </x:row>
    <x:row r="68" ht="26" customHeight="1">
      <x:c r="A68" s="1"/>
      <x:c r="B68" s="1"/>
      <x:c r="C68" s="8" t="str">
        <x:v>ACT060</x:v>
      </x:c>
      <x:c r="D68" s="8" t="str">
        <x:v>B014</x:v>
      </x:c>
      <x:c r="E68" s="8" t="str">
        <x:v>S027</x:v>
      </x:c>
      <x:c r="F68" s="8" t="str">
        <x:v>S2</x:v>
      </x:c>
      <x:c r="G68" s="8" t="str">
        <x:v>Electricity</x:v>
      </x:c>
      <x:c r="H68" s="16" t="n">
        <x:v>25000</x:v>
      </x:c>
      <x:c r="I68" s="8" t="str">
        <x:v>kWh</x:v>
      </x:c>
      <x:c r="J68" s="8" t="str">
        <x:v>AE-GRID-26</x:v>
      </x:c>
      <x:c r="K68" s="22" t="n">
        <x:v>2026</x:v>
      </x:c>
      <x:c r="L68" s="8" t="str">
        <x:v>SYN-ACT-60</x:v>
      </x:c>
      <x:c r="M68" s="8" t="str">
        <x:v>Actual</x:v>
      </x:c>
      <x:c r="N68" s="40" t="n">
        <x:v>46752</x:v>
      </x:c>
      <x:c r="O68" s="41" t="n">
        <x:f>IF(C68="","",IFERROR(IF(INDEX('Factors'!$G$9:$G$108,MATCH(J68,'Factors'!$C$9:$C$108,0))="","",INDEX('Factors'!$G$9:$G$108,MATCH(J68,'Factors'!$C$9:$C$108,0))),""))</x:f>
        <x:v>0.39</x:v>
      </x:c>
      <x:c r="P68" s="9" t="str">
        <x:f>IF(C68="","",IFERROR(IF(INDEX('Factors'!$F$9:$F$108,MATCH(J68,'Factors'!$C$9:$C$108,0))="","",INDEX('Factors'!$F$9:$F$108,MATCH(J68,'Factors'!$C$9:$C$108,0))),""))</x:f>
        <x:v>kWh</x:v>
      </x:c>
      <x:c r="Q68" s="9" t="str">
        <x:f>IF(C68="","",IFERROR(IF(INDEX('Factors'!$H$9:$H$108,MATCH(J68,'Factors'!$C$9:$C$108,0))="","",INDEX('Factors'!$H$9:$H$108,MATCH(J68,'Factors'!$C$9:$C$108,0))),""))</x:f>
        <x:v>S2</x:v>
      </x:c>
      <x:c r="R68" s="9" t="str">
        <x:f>IF(C68="","",IFERROR(IF(INDEX('Factors'!$E$9:$E$108,MATCH(J68,'Factors'!$C$9:$C$108,0))="","",INDEX('Factors'!$E$9:$E$108,MATCH(J68,'Factors'!$C$9:$C$108,0))),""))</x:f>
        <x:v>UAE</x:v>
      </x:c>
      <x:c r="S68" s="42" t="n">
        <x:f>IF(C68="","",IFERROR(IF(INDEX('Factors'!$J$9:$J$108,MATCH(J68,'Factors'!$C$9:$C$108,0))="","",INDEX('Factors'!$J$9:$J$108,MATCH(J68,'Factors'!$C$9:$C$108,0))),""))</x:f>
        <x:v>2026</x:v>
      </x:c>
      <x:c r="T68" s="9" t="str">
        <x:f>IF(C68="","",IFERROR(IF(INDEX('Factors'!$L$9:$L$108,MATCH(J68,'Factors'!$C$9:$C$108,0))="","",INDEX('Factors'!$L$9:$L$108,MATCH(J68,'Factors'!$C$9:$C$108,0))),"")&amp;" / "&amp;IFERROR(IF(INDEX('Factors'!$M$9:$M$108,MATCH(J68,'Factors'!$C$9:$C$108,0))="","",INDEX('Factors'!$M$9:$M$108,MATCH(J68,'Factors'!$C$9:$C$108,0))),""))</x:f>
        <x:v>SYNTHETIC DEMO / SYN-2026.1</x:v>
      </x:c>
      <x:c r="U68" s="21" t="n">
        <x:f>IF(V68="Ready",H68*O68/1000,"")</x:f>
        <x:v>9.75</x:v>
      </x:c>
      <x:c r="V68" s="9" t="str">
        <x:f>IF(C68="","",IF(OR(COUNTIFS($C$9:$C$308,C68)&lt;&gt;1,COUNTIFS($D$9:$D$308,D68,$E$9:$E$308,E68,$F$9:$F$308,F68,$G$9:$G$308,G68,$K$9:$K$308,K68)&lt;&gt;1),"Duplicate annual activity",IF(COUNTIFS('Inventory'!$C$9:$C$108,D68)&lt;&gt;1,"Entity required",IF(OR(E68="",L68="",NOT(ISNUMBER(H68)),H68&lt;0,NOT(ISNUMBER(K68)),NOT(ISNUMBER(N68))),"Missing activity input",IF(AND(E68&lt;&gt;D68,OR(COUNTIFS('Sites'!$C$9:$C$108,E68)&lt;&gt;1,IFERROR(IF(INDEX('Sites'!$D$9:$D$108,MATCH(E68,'Sites'!$C$9:$C$108,0))="","",INDEX('Sites'!$D$9:$D$108,MATCH(E68,'Sites'!$C$9:$C$108,0))),"")&lt;&gt;IFERROR(IF(INDEX('Inventory'!$D$9:$D$108,MATCH(D68,'Inventory'!$C$9:$C$108,0))="","",INDEX('Inventory'!$D$9:$D$108,MATCH(D68,'Inventory'!$C$9:$C$108,0))),""),IFERROR(IF(INDEX('Sites'!$E$9:$E$108,MATCH(E68,'Sites'!$C$9:$C$108,0))="","",INDEX('Sites'!$E$9:$E$108,MATCH(E68,'Sites'!$C$9:$C$108,0))),"")&lt;&gt;W68)),"Site / entity mismatch",IF(N68&lt;'Settings'!$F$8,"Expired",IF(X68&lt;&gt;"Ready","Factor required",IF(OR(G68&lt;&gt;IFERROR(IF(INDEX('Factors'!$D$9:$D$108,MATCH(J68,'Factors'!$C$9:$C$108,0))="","",INDEX('Factors'!$D$9:$D$108,MATCH(J68,'Factors'!$C$9:$C$108,0))),""),I68&lt;&gt;P68,F68&lt;&gt;Q68,K68&lt;&gt;S68,AND(R68&lt;&gt;"Global",R68&lt;&gt;W68),K68&lt;&gt;YEAR(IFERROR(IF(INDEX('Inventory'!$H$9:$H$108,MATCH(D68,'Inventory'!$C$9:$C$108,0))="","",INDEX('Inventory'!$H$9:$H$108,MATCH(D68,'Inventory'!$C$9:$C$108,0))),""))),"Factor / boundary mismatch",IF(AND(F68="S2",IFERROR(IF(INDEX('Factors'!$I$9:$I$108,MATCH(J68,'Factors'!$C$9:$C$108,0))="","",INDEX('Factors'!$I$9:$I$108,MATCH(J68,'Factors'!$C$9:$C$108,0))),"")&lt;&gt;"Location-based"),"Use location factor",IF(M68&lt;&gt;"Actual","Estimation method review","Ready"))))))))))</x:f>
        <x:v>Ready</x:v>
      </x:c>
      <x:c r="W68" s="9" t="str">
        <x:f>IF(C68="","",IFERROR(IF(INDEX('Inventory'!$G$9:$G$108,MATCH(D68,'Inventory'!$C$9:$C$108,0))="","",INDEX('Inventory'!$G$9:$G$108,MATCH(D68,'Inventory'!$C$9:$C$108,0))),""))</x:f>
        <x:v>UAE</x:v>
      </x:c>
      <x:c r="X68" s="9" t="str">
        <x:f>IF(C68="","",IFERROR(IF(INDEX('Factors'!$P$9:$P$108,MATCH(J68,'Factors'!$C$9:$C$108,0))="","",INDEX('Factors'!$P$9:$P$108,MATCH(J68,'Factors'!$C$9:$C$108,0))),""))</x:f>
        <x:v>Ready</x:v>
      </x:c>
    </x:row>
    <x:row r="69" ht="26" customHeight="1">
      <x:c r="A69" s="1"/>
      <x:c r="B69" s="1"/>
      <x:c r="C69" s="8" t="str">
        <x:v>ACT061</x:v>
      </x:c>
      <x:c r="D69" s="8" t="str">
        <x:v>B014</x:v>
      </x:c>
      <x:c r="E69" s="8" t="str">
        <x:v>S028</x:v>
      </x:c>
      <x:c r="F69" s="8" t="str">
        <x:v>S1</x:v>
      </x:c>
      <x:c r="G69" s="8" t="str">
        <x:v>Diesel</x:v>
      </x:c>
      <x:c r="H69" s="16" t="n">
        <x:v>1500</x:v>
      </x:c>
      <x:c r="I69" s="8" t="str">
        <x:v>litre</x:v>
      </x:c>
      <x:c r="J69" s="8" t="str">
        <x:v>GLOBAL-DIESEL-26</x:v>
      </x:c>
      <x:c r="K69" s="22" t="n">
        <x:v>2026</x:v>
      </x:c>
      <x:c r="L69" s="8" t="str">
        <x:v>SYN-ACT-61</x:v>
      </x:c>
      <x:c r="M69" s="8" t="str">
        <x:v>Actual</x:v>
      </x:c>
      <x:c r="N69" s="40" t="n">
        <x:v>46752</x:v>
      </x:c>
      <x:c r="O69" s="41" t="n">
        <x:f>IF(C69="","",IFERROR(IF(INDEX('Factors'!$G$9:$G$108,MATCH(J69,'Factors'!$C$9:$C$108,0))="","",INDEX('Factors'!$G$9:$G$108,MATCH(J69,'Factors'!$C$9:$C$108,0))),""))</x:f>
        <x:v>2.68</x:v>
      </x:c>
      <x:c r="P69" s="9" t="str">
        <x:f>IF(C69="","",IFERROR(IF(INDEX('Factors'!$F$9:$F$108,MATCH(J69,'Factors'!$C$9:$C$108,0))="","",INDEX('Factors'!$F$9:$F$108,MATCH(J69,'Factors'!$C$9:$C$108,0))),""))</x:f>
        <x:v>litre</x:v>
      </x:c>
      <x:c r="Q69" s="9" t="str">
        <x:f>IF(C69="","",IFERROR(IF(INDEX('Factors'!$H$9:$H$108,MATCH(J69,'Factors'!$C$9:$C$108,0))="","",INDEX('Factors'!$H$9:$H$108,MATCH(J69,'Factors'!$C$9:$C$108,0))),""))</x:f>
        <x:v>S1</x:v>
      </x:c>
      <x:c r="R69" s="9" t="str">
        <x:f>IF(C69="","",IFERROR(IF(INDEX('Factors'!$E$9:$E$108,MATCH(J69,'Factors'!$C$9:$C$108,0))="","",INDEX('Factors'!$E$9:$E$108,MATCH(J69,'Factors'!$C$9:$C$108,0))),""))</x:f>
        <x:v>Global</x:v>
      </x:c>
      <x:c r="S69" s="42" t="n">
        <x:f>IF(C69="","",IFERROR(IF(INDEX('Factors'!$J$9:$J$108,MATCH(J69,'Factors'!$C$9:$C$108,0))="","",INDEX('Factors'!$J$9:$J$108,MATCH(J69,'Factors'!$C$9:$C$108,0))),""))</x:f>
        <x:v>2026</x:v>
      </x:c>
      <x:c r="T69" s="9" t="str">
        <x:f>IF(C69="","",IFERROR(IF(INDEX('Factors'!$L$9:$L$108,MATCH(J69,'Factors'!$C$9:$C$108,0))="","",INDEX('Factors'!$L$9:$L$108,MATCH(J69,'Factors'!$C$9:$C$108,0))),"")&amp;" / "&amp;IFERROR(IF(INDEX('Factors'!$M$9:$M$108,MATCH(J69,'Factors'!$C$9:$C$108,0))="","",INDEX('Factors'!$M$9:$M$108,MATCH(J69,'Factors'!$C$9:$C$108,0))),""))</x:f>
        <x:v>SYNTHETIC DEMO / SYN-2026.1</x:v>
      </x:c>
      <x:c r="U69" s="21" t="n">
        <x:f>IF(V69="Ready",H69*O69/1000,"")</x:f>
        <x:v>4.0200000000000005</x:v>
      </x:c>
      <x:c r="V69" s="9" t="str">
        <x:f>IF(C69="","",IF(OR(COUNTIFS($C$9:$C$308,C69)&lt;&gt;1,COUNTIFS($D$9:$D$308,D69,$E$9:$E$308,E69,$F$9:$F$308,F69,$G$9:$G$308,G69,$K$9:$K$308,K69)&lt;&gt;1),"Duplicate annual activity",IF(COUNTIFS('Inventory'!$C$9:$C$108,D69)&lt;&gt;1,"Entity required",IF(OR(E69="",L69="",NOT(ISNUMBER(H69)),H69&lt;0,NOT(ISNUMBER(K69)),NOT(ISNUMBER(N69))),"Missing activity input",IF(AND(E69&lt;&gt;D69,OR(COUNTIFS('Sites'!$C$9:$C$108,E69)&lt;&gt;1,IFERROR(IF(INDEX('Sites'!$D$9:$D$108,MATCH(E69,'Sites'!$C$9:$C$108,0))="","",INDEX('Sites'!$D$9:$D$108,MATCH(E69,'Sites'!$C$9:$C$108,0))),"")&lt;&gt;IFERROR(IF(INDEX('Inventory'!$D$9:$D$108,MATCH(D69,'Inventory'!$C$9:$C$108,0))="","",INDEX('Inventory'!$D$9:$D$108,MATCH(D69,'Inventory'!$C$9:$C$108,0))),""),IFERROR(IF(INDEX('Sites'!$E$9:$E$108,MATCH(E69,'Sites'!$C$9:$C$108,0))="","",INDEX('Sites'!$E$9:$E$108,MATCH(E69,'Sites'!$C$9:$C$108,0))),"")&lt;&gt;W69)),"Site / entity mismatch",IF(N69&lt;'Settings'!$F$8,"Expired",IF(X69&lt;&gt;"Ready","Factor required",IF(OR(G69&lt;&gt;IFERROR(IF(INDEX('Factors'!$D$9:$D$108,MATCH(J69,'Factors'!$C$9:$C$108,0))="","",INDEX('Factors'!$D$9:$D$108,MATCH(J69,'Factors'!$C$9:$C$108,0))),""),I69&lt;&gt;P69,F69&lt;&gt;Q69,K69&lt;&gt;S69,AND(R69&lt;&gt;"Global",R69&lt;&gt;W69),K69&lt;&gt;YEAR(IFERROR(IF(INDEX('Inventory'!$H$9:$H$108,MATCH(D69,'Inventory'!$C$9:$C$108,0))="","",INDEX('Inventory'!$H$9:$H$108,MATCH(D69,'Inventory'!$C$9:$C$108,0))),""))),"Factor / boundary mismatch",IF(AND(F69="S2",IFERROR(IF(INDEX('Factors'!$I$9:$I$108,MATCH(J69,'Factors'!$C$9:$C$108,0))="","",INDEX('Factors'!$I$9:$I$108,MATCH(J69,'Factors'!$C$9:$C$108,0))),"")&lt;&gt;"Location-based"),"Use location factor",IF(M69&lt;&gt;"Actual","Estimation method review","Ready"))))))))))</x:f>
        <x:v>Ready</x:v>
      </x:c>
      <x:c r="W69" s="9" t="str">
        <x:f>IF(C69="","",IFERROR(IF(INDEX('Inventory'!$G$9:$G$108,MATCH(D69,'Inventory'!$C$9:$C$108,0))="","",INDEX('Inventory'!$G$9:$G$108,MATCH(D69,'Inventory'!$C$9:$C$108,0))),""))</x:f>
        <x:v>UAE</x:v>
      </x:c>
      <x:c r="X69" s="9" t="str">
        <x:f>IF(C69="","",IFERROR(IF(INDEX('Factors'!$P$9:$P$108,MATCH(J69,'Factors'!$C$9:$C$108,0))="","",INDEX('Factors'!$P$9:$P$108,MATCH(J69,'Factors'!$C$9:$C$108,0))),""))</x:f>
        <x:v>Ready</x:v>
      </x:c>
    </x:row>
    <x:row r="70" ht="26" customHeight="1">
      <x:c r="A70" s="1"/>
      <x:c r="B70" s="1"/>
      <x:c r="C70" s="8" t="str">
        <x:v>ACT062</x:v>
      </x:c>
      <x:c r="D70" s="8" t="str">
        <x:v>B014</x:v>
      </x:c>
      <x:c r="E70" s="8" t="str">
        <x:v>S028</x:v>
      </x:c>
      <x:c r="F70" s="8" t="str">
        <x:v>S2</x:v>
      </x:c>
      <x:c r="G70" s="8" t="str">
        <x:v>Electricity</x:v>
      </x:c>
      <x:c r="H70" s="16" t="n">
        <x:v>25000</x:v>
      </x:c>
      <x:c r="I70" s="8" t="str">
        <x:v>kWh</x:v>
      </x:c>
      <x:c r="J70" s="8" t="str">
        <x:v>AE-GRID-26</x:v>
      </x:c>
      <x:c r="K70" s="22" t="n">
        <x:v>2026</x:v>
      </x:c>
      <x:c r="L70" s="8" t="str">
        <x:v>SYN-ACT-62</x:v>
      </x:c>
      <x:c r="M70" s="8" t="str">
        <x:v>Actual</x:v>
      </x:c>
      <x:c r="N70" s="40" t="n">
        <x:v>46752</x:v>
      </x:c>
      <x:c r="O70" s="41" t="n">
        <x:f>IF(C70="","",IFERROR(IF(INDEX('Factors'!$G$9:$G$108,MATCH(J70,'Factors'!$C$9:$C$108,0))="","",INDEX('Factors'!$G$9:$G$108,MATCH(J70,'Factors'!$C$9:$C$108,0))),""))</x:f>
        <x:v>0.39</x:v>
      </x:c>
      <x:c r="P70" s="9" t="str">
        <x:f>IF(C70="","",IFERROR(IF(INDEX('Factors'!$F$9:$F$108,MATCH(J70,'Factors'!$C$9:$C$108,0))="","",INDEX('Factors'!$F$9:$F$108,MATCH(J70,'Factors'!$C$9:$C$108,0))),""))</x:f>
        <x:v>kWh</x:v>
      </x:c>
      <x:c r="Q70" s="9" t="str">
        <x:f>IF(C70="","",IFERROR(IF(INDEX('Factors'!$H$9:$H$108,MATCH(J70,'Factors'!$C$9:$C$108,0))="","",INDEX('Factors'!$H$9:$H$108,MATCH(J70,'Factors'!$C$9:$C$108,0))),""))</x:f>
        <x:v>S2</x:v>
      </x:c>
      <x:c r="R70" s="9" t="str">
        <x:f>IF(C70="","",IFERROR(IF(INDEX('Factors'!$E$9:$E$108,MATCH(J70,'Factors'!$C$9:$C$108,0))="","",INDEX('Factors'!$E$9:$E$108,MATCH(J70,'Factors'!$C$9:$C$108,0))),""))</x:f>
        <x:v>UAE</x:v>
      </x:c>
      <x:c r="S70" s="42" t="n">
        <x:f>IF(C70="","",IFERROR(IF(INDEX('Factors'!$J$9:$J$108,MATCH(J70,'Factors'!$C$9:$C$108,0))="","",INDEX('Factors'!$J$9:$J$108,MATCH(J70,'Factors'!$C$9:$C$108,0))),""))</x:f>
        <x:v>2026</x:v>
      </x:c>
      <x:c r="T70" s="9" t="str">
        <x:f>IF(C70="","",IFERROR(IF(INDEX('Factors'!$L$9:$L$108,MATCH(J70,'Factors'!$C$9:$C$108,0))="","",INDEX('Factors'!$L$9:$L$108,MATCH(J70,'Factors'!$C$9:$C$108,0))),"")&amp;" / "&amp;IFERROR(IF(INDEX('Factors'!$M$9:$M$108,MATCH(J70,'Factors'!$C$9:$C$108,0))="","",INDEX('Factors'!$M$9:$M$108,MATCH(J70,'Factors'!$C$9:$C$108,0))),""))</x:f>
        <x:v>SYNTHETIC DEMO / SYN-2026.1</x:v>
      </x:c>
      <x:c r="U70" s="21" t="n">
        <x:f>IF(V70="Ready",H70*O70/1000,"")</x:f>
        <x:v>9.75</x:v>
      </x:c>
      <x:c r="V70" s="9" t="str">
        <x:f>IF(C70="","",IF(OR(COUNTIFS($C$9:$C$308,C70)&lt;&gt;1,COUNTIFS($D$9:$D$308,D70,$E$9:$E$308,E70,$F$9:$F$308,F70,$G$9:$G$308,G70,$K$9:$K$308,K70)&lt;&gt;1),"Duplicate annual activity",IF(COUNTIFS('Inventory'!$C$9:$C$108,D70)&lt;&gt;1,"Entity required",IF(OR(E70="",L70="",NOT(ISNUMBER(H70)),H70&lt;0,NOT(ISNUMBER(K70)),NOT(ISNUMBER(N70))),"Missing activity input",IF(AND(E70&lt;&gt;D70,OR(COUNTIFS('Sites'!$C$9:$C$108,E70)&lt;&gt;1,IFERROR(IF(INDEX('Sites'!$D$9:$D$108,MATCH(E70,'Sites'!$C$9:$C$108,0))="","",INDEX('Sites'!$D$9:$D$108,MATCH(E70,'Sites'!$C$9:$C$108,0))),"")&lt;&gt;IFERROR(IF(INDEX('Inventory'!$D$9:$D$108,MATCH(D70,'Inventory'!$C$9:$C$108,0))="","",INDEX('Inventory'!$D$9:$D$108,MATCH(D70,'Inventory'!$C$9:$C$108,0))),""),IFERROR(IF(INDEX('Sites'!$E$9:$E$108,MATCH(E70,'Sites'!$C$9:$C$108,0))="","",INDEX('Sites'!$E$9:$E$108,MATCH(E70,'Sites'!$C$9:$C$108,0))),"")&lt;&gt;W70)),"Site / entity mismatch",IF(N70&lt;'Settings'!$F$8,"Expired",IF(X70&lt;&gt;"Ready","Factor required",IF(OR(G70&lt;&gt;IFERROR(IF(INDEX('Factors'!$D$9:$D$108,MATCH(J70,'Factors'!$C$9:$C$108,0))="","",INDEX('Factors'!$D$9:$D$108,MATCH(J70,'Factors'!$C$9:$C$108,0))),""),I70&lt;&gt;P70,F70&lt;&gt;Q70,K70&lt;&gt;S70,AND(R70&lt;&gt;"Global",R70&lt;&gt;W70),K70&lt;&gt;YEAR(IFERROR(IF(INDEX('Inventory'!$H$9:$H$108,MATCH(D70,'Inventory'!$C$9:$C$108,0))="","",INDEX('Inventory'!$H$9:$H$108,MATCH(D70,'Inventory'!$C$9:$C$108,0))),""))),"Factor / boundary mismatch",IF(AND(F70="S2",IFERROR(IF(INDEX('Factors'!$I$9:$I$108,MATCH(J70,'Factors'!$C$9:$C$108,0))="","",INDEX('Factors'!$I$9:$I$108,MATCH(J70,'Factors'!$C$9:$C$108,0))),"")&lt;&gt;"Location-based"),"Use location factor",IF(M70&lt;&gt;"Actual","Estimation method review","Ready"))))))))))</x:f>
        <x:v>Ready</x:v>
      </x:c>
      <x:c r="W70" s="9" t="str">
        <x:f>IF(C70="","",IFERROR(IF(INDEX('Inventory'!$G$9:$G$108,MATCH(D70,'Inventory'!$C$9:$C$108,0))="","",INDEX('Inventory'!$G$9:$G$108,MATCH(D70,'Inventory'!$C$9:$C$108,0))),""))</x:f>
        <x:v>UAE</x:v>
      </x:c>
      <x:c r="X70" s="9" t="str">
        <x:f>IF(C70="","",IFERROR(IF(INDEX('Factors'!$P$9:$P$108,MATCH(J70,'Factors'!$C$9:$C$108,0))="","",INDEX('Factors'!$P$9:$P$108,MATCH(J70,'Factors'!$C$9:$C$108,0))),""))</x:f>
        <x:v>Ready</x:v>
      </x:c>
    </x:row>
    <x:row r="71" ht="26" customHeight="1">
      <x:c r="A71" s="1"/>
      <x:c r="B71" s="1"/>
      <x:c r="C71" s="8" t="str">
        <x:v>ACT063</x:v>
      </x:c>
      <x:c r="D71" s="8" t="str">
        <x:v>B015</x:v>
      </x:c>
      <x:c r="E71" s="8" t="str">
        <x:v>S029</x:v>
      </x:c>
      <x:c r="F71" s="8" t="str">
        <x:v>S1</x:v>
      </x:c>
      <x:c r="G71" s="8" t="str">
        <x:v>Diesel</x:v>
      </x:c>
      <x:c r="H71" s="16" t="n">
        <x:v>352000</x:v>
      </x:c>
      <x:c r="I71" s="8" t="str">
        <x:v>litre</x:v>
      </x:c>
      <x:c r="J71" s="8" t="str">
        <x:v>GLOBAL-DIESEL-26</x:v>
      </x:c>
      <x:c r="K71" s="22" t="n">
        <x:v>2026</x:v>
      </x:c>
      <x:c r="L71" s="8" t="str">
        <x:v>SYN-ACT-63</x:v>
      </x:c>
      <x:c r="M71" s="8" t="str">
        <x:v>Actual</x:v>
      </x:c>
      <x:c r="N71" s="40" t="n">
        <x:v>46752</x:v>
      </x:c>
      <x:c r="O71" s="41" t="n">
        <x:f>IF(C71="","",IFERROR(IF(INDEX('Factors'!$G$9:$G$108,MATCH(J71,'Factors'!$C$9:$C$108,0))="","",INDEX('Factors'!$G$9:$G$108,MATCH(J71,'Factors'!$C$9:$C$108,0))),""))</x:f>
        <x:v>2.68</x:v>
      </x:c>
      <x:c r="P71" s="9" t="str">
        <x:f>IF(C71="","",IFERROR(IF(INDEX('Factors'!$F$9:$F$108,MATCH(J71,'Factors'!$C$9:$C$108,0))="","",INDEX('Factors'!$F$9:$F$108,MATCH(J71,'Factors'!$C$9:$C$108,0))),""))</x:f>
        <x:v>litre</x:v>
      </x:c>
      <x:c r="Q71" s="9" t="str">
        <x:f>IF(C71="","",IFERROR(IF(INDEX('Factors'!$H$9:$H$108,MATCH(J71,'Factors'!$C$9:$C$108,0))="","",INDEX('Factors'!$H$9:$H$108,MATCH(J71,'Factors'!$C$9:$C$108,0))),""))</x:f>
        <x:v>S1</x:v>
      </x:c>
      <x:c r="R71" s="9" t="str">
        <x:f>IF(C71="","",IFERROR(IF(INDEX('Factors'!$E$9:$E$108,MATCH(J71,'Factors'!$C$9:$C$108,0))="","",INDEX('Factors'!$E$9:$E$108,MATCH(J71,'Factors'!$C$9:$C$108,0))),""))</x:f>
        <x:v>Global</x:v>
      </x:c>
      <x:c r="S71" s="42" t="n">
        <x:f>IF(C71="","",IFERROR(IF(INDEX('Factors'!$J$9:$J$108,MATCH(J71,'Factors'!$C$9:$C$108,0))="","",INDEX('Factors'!$J$9:$J$108,MATCH(J71,'Factors'!$C$9:$C$108,0))),""))</x:f>
        <x:v>2026</x:v>
      </x:c>
      <x:c r="T71" s="9" t="str">
        <x:f>IF(C71="","",IFERROR(IF(INDEX('Factors'!$L$9:$L$108,MATCH(J71,'Factors'!$C$9:$C$108,0))="","",INDEX('Factors'!$L$9:$L$108,MATCH(J71,'Factors'!$C$9:$C$108,0))),"")&amp;" / "&amp;IFERROR(IF(INDEX('Factors'!$M$9:$M$108,MATCH(J71,'Factors'!$C$9:$C$108,0))="","",INDEX('Factors'!$M$9:$M$108,MATCH(J71,'Factors'!$C$9:$C$108,0))),""))</x:f>
        <x:v>SYNTHETIC DEMO / SYN-2026.1</x:v>
      </x:c>
      <x:c r="U71" s="21" t="n">
        <x:f>IF(V71="Ready",H71*O71/1000,"")</x:f>
        <x:v>943.36</x:v>
      </x:c>
      <x:c r="V71" s="9" t="str">
        <x:f>IF(C71="","",IF(OR(COUNTIFS($C$9:$C$308,C71)&lt;&gt;1,COUNTIFS($D$9:$D$308,D71,$E$9:$E$308,E71,$F$9:$F$308,F71,$G$9:$G$308,G71,$K$9:$K$308,K71)&lt;&gt;1),"Duplicate annual activity",IF(COUNTIFS('Inventory'!$C$9:$C$108,D71)&lt;&gt;1,"Entity required",IF(OR(E71="",L71="",NOT(ISNUMBER(H71)),H71&lt;0,NOT(ISNUMBER(K71)),NOT(ISNUMBER(N71))),"Missing activity input",IF(AND(E71&lt;&gt;D71,OR(COUNTIFS('Sites'!$C$9:$C$108,E71)&lt;&gt;1,IFERROR(IF(INDEX('Sites'!$D$9:$D$108,MATCH(E71,'Sites'!$C$9:$C$108,0))="","",INDEX('Sites'!$D$9:$D$108,MATCH(E71,'Sites'!$C$9:$C$108,0))),"")&lt;&gt;IFERROR(IF(INDEX('Inventory'!$D$9:$D$108,MATCH(D71,'Inventory'!$C$9:$C$108,0))="","",INDEX('Inventory'!$D$9:$D$108,MATCH(D71,'Inventory'!$C$9:$C$108,0))),""),IFERROR(IF(INDEX('Sites'!$E$9:$E$108,MATCH(E71,'Sites'!$C$9:$C$108,0))="","",INDEX('Sites'!$E$9:$E$108,MATCH(E71,'Sites'!$C$9:$C$108,0))),"")&lt;&gt;W71)),"Site / entity mismatch",IF(N71&lt;'Settings'!$F$8,"Expired",IF(X71&lt;&gt;"Ready","Factor required",IF(OR(G71&lt;&gt;IFERROR(IF(INDEX('Factors'!$D$9:$D$108,MATCH(J71,'Factors'!$C$9:$C$108,0))="","",INDEX('Factors'!$D$9:$D$108,MATCH(J71,'Factors'!$C$9:$C$108,0))),""),I71&lt;&gt;P71,F71&lt;&gt;Q71,K71&lt;&gt;S71,AND(R71&lt;&gt;"Global",R71&lt;&gt;W71),K71&lt;&gt;YEAR(IFERROR(IF(INDEX('Inventory'!$H$9:$H$108,MATCH(D71,'Inventory'!$C$9:$C$108,0))="","",INDEX('Inventory'!$H$9:$H$108,MATCH(D71,'Inventory'!$C$9:$C$108,0))),""))),"Factor / boundary mismatch",IF(AND(F71="S2",IFERROR(IF(INDEX('Factors'!$I$9:$I$108,MATCH(J71,'Factors'!$C$9:$C$108,0))="","",INDEX('Factors'!$I$9:$I$108,MATCH(J71,'Factors'!$C$9:$C$108,0))),"")&lt;&gt;"Location-based"),"Use location factor",IF(M71&lt;&gt;"Actual","Estimation method review","Ready"))))))))))</x:f>
        <x:v>Ready</x:v>
      </x:c>
      <x:c r="W71" s="9" t="str">
        <x:f>IF(C71="","",IFERROR(IF(INDEX('Inventory'!$G$9:$G$108,MATCH(D71,'Inventory'!$C$9:$C$108,0))="","",INDEX('Inventory'!$G$9:$G$108,MATCH(D71,'Inventory'!$C$9:$C$108,0))),""))</x:f>
        <x:v>UAE</x:v>
      </x:c>
      <x:c r="X71" s="9" t="str">
        <x:f>IF(C71="","",IFERROR(IF(INDEX('Factors'!$P$9:$P$108,MATCH(J71,'Factors'!$C$9:$C$108,0))="","",INDEX('Factors'!$P$9:$P$108,MATCH(J71,'Factors'!$C$9:$C$108,0))),""))</x:f>
        <x:v>Ready</x:v>
      </x:c>
    </x:row>
    <x:row r="72" ht="26" customHeight="1">
      <x:c r="A72" s="1"/>
      <x:c r="B72" s="1"/>
      <x:c r="C72" s="8" t="str">
        <x:v>ACT064</x:v>
      </x:c>
      <x:c r="D72" s="8" t="str">
        <x:v>B015</x:v>
      </x:c>
      <x:c r="E72" s="8" t="str">
        <x:v>S029</x:v>
      </x:c>
      <x:c r="F72" s="8" t="str">
        <x:v>S2</x:v>
      </x:c>
      <x:c r="G72" s="8" t="str">
        <x:v>Electricity</x:v>
      </x:c>
      <x:c r="H72" s="16" t="n">
        <x:v>1400000</x:v>
      </x:c>
      <x:c r="I72" s="8" t="str">
        <x:v>kWh</x:v>
      </x:c>
      <x:c r="J72" s="8" t="str">
        <x:v>AE-GRID-26</x:v>
      </x:c>
      <x:c r="K72" s="22" t="n">
        <x:v>2026</x:v>
      </x:c>
      <x:c r="L72" s="8" t="str">
        <x:v>SYN-ACT-64</x:v>
      </x:c>
      <x:c r="M72" s="8" t="str">
        <x:v>Actual</x:v>
      </x:c>
      <x:c r="N72" s="40" t="n">
        <x:v>46752</x:v>
      </x:c>
      <x:c r="O72" s="41" t="n">
        <x:f>IF(C72="","",IFERROR(IF(INDEX('Factors'!$G$9:$G$108,MATCH(J72,'Factors'!$C$9:$C$108,0))="","",INDEX('Factors'!$G$9:$G$108,MATCH(J72,'Factors'!$C$9:$C$108,0))),""))</x:f>
        <x:v>0.39</x:v>
      </x:c>
      <x:c r="P72" s="9" t="str">
        <x:f>IF(C72="","",IFERROR(IF(INDEX('Factors'!$F$9:$F$108,MATCH(J72,'Factors'!$C$9:$C$108,0))="","",INDEX('Factors'!$F$9:$F$108,MATCH(J72,'Factors'!$C$9:$C$108,0))),""))</x:f>
        <x:v>kWh</x:v>
      </x:c>
      <x:c r="Q72" s="9" t="str">
        <x:f>IF(C72="","",IFERROR(IF(INDEX('Factors'!$H$9:$H$108,MATCH(J72,'Factors'!$C$9:$C$108,0))="","",INDEX('Factors'!$H$9:$H$108,MATCH(J72,'Factors'!$C$9:$C$108,0))),""))</x:f>
        <x:v>S2</x:v>
      </x:c>
      <x:c r="R72" s="9" t="str">
        <x:f>IF(C72="","",IFERROR(IF(INDEX('Factors'!$E$9:$E$108,MATCH(J72,'Factors'!$C$9:$C$108,0))="","",INDEX('Factors'!$E$9:$E$108,MATCH(J72,'Factors'!$C$9:$C$108,0))),""))</x:f>
        <x:v>UAE</x:v>
      </x:c>
      <x:c r="S72" s="42" t="n">
        <x:f>IF(C72="","",IFERROR(IF(INDEX('Factors'!$J$9:$J$108,MATCH(J72,'Factors'!$C$9:$C$108,0))="","",INDEX('Factors'!$J$9:$J$108,MATCH(J72,'Factors'!$C$9:$C$108,0))),""))</x:f>
        <x:v>2026</x:v>
      </x:c>
      <x:c r="T72" s="9" t="str">
        <x:f>IF(C72="","",IFERROR(IF(INDEX('Factors'!$L$9:$L$108,MATCH(J72,'Factors'!$C$9:$C$108,0))="","",INDEX('Factors'!$L$9:$L$108,MATCH(J72,'Factors'!$C$9:$C$108,0))),"")&amp;" / "&amp;IFERROR(IF(INDEX('Factors'!$M$9:$M$108,MATCH(J72,'Factors'!$C$9:$C$108,0))="","",INDEX('Factors'!$M$9:$M$108,MATCH(J72,'Factors'!$C$9:$C$108,0))),""))</x:f>
        <x:v>SYNTHETIC DEMO / SYN-2026.1</x:v>
      </x:c>
      <x:c r="U72" s="21" t="n">
        <x:f>IF(V72="Ready",H72*O72/1000,"")</x:f>
        <x:v>546</x:v>
      </x:c>
      <x:c r="V72" s="9" t="str">
        <x:f>IF(C72="","",IF(OR(COUNTIFS($C$9:$C$308,C72)&lt;&gt;1,COUNTIFS($D$9:$D$308,D72,$E$9:$E$308,E72,$F$9:$F$308,F72,$G$9:$G$308,G72,$K$9:$K$308,K72)&lt;&gt;1),"Duplicate annual activity",IF(COUNTIFS('Inventory'!$C$9:$C$108,D72)&lt;&gt;1,"Entity required",IF(OR(E72="",L72="",NOT(ISNUMBER(H72)),H72&lt;0,NOT(ISNUMBER(K72)),NOT(ISNUMBER(N72))),"Missing activity input",IF(AND(E72&lt;&gt;D72,OR(COUNTIFS('Sites'!$C$9:$C$108,E72)&lt;&gt;1,IFERROR(IF(INDEX('Sites'!$D$9:$D$108,MATCH(E72,'Sites'!$C$9:$C$108,0))="","",INDEX('Sites'!$D$9:$D$108,MATCH(E72,'Sites'!$C$9:$C$108,0))),"")&lt;&gt;IFERROR(IF(INDEX('Inventory'!$D$9:$D$108,MATCH(D72,'Inventory'!$C$9:$C$108,0))="","",INDEX('Inventory'!$D$9:$D$108,MATCH(D72,'Inventory'!$C$9:$C$108,0))),""),IFERROR(IF(INDEX('Sites'!$E$9:$E$108,MATCH(E72,'Sites'!$C$9:$C$108,0))="","",INDEX('Sites'!$E$9:$E$108,MATCH(E72,'Sites'!$C$9:$C$108,0))),"")&lt;&gt;W72)),"Site / entity mismatch",IF(N72&lt;'Settings'!$F$8,"Expired",IF(X72&lt;&gt;"Ready","Factor required",IF(OR(G72&lt;&gt;IFERROR(IF(INDEX('Factors'!$D$9:$D$108,MATCH(J72,'Factors'!$C$9:$C$108,0))="","",INDEX('Factors'!$D$9:$D$108,MATCH(J72,'Factors'!$C$9:$C$108,0))),""),I72&lt;&gt;P72,F72&lt;&gt;Q72,K72&lt;&gt;S72,AND(R72&lt;&gt;"Global",R72&lt;&gt;W72),K72&lt;&gt;YEAR(IFERROR(IF(INDEX('Inventory'!$H$9:$H$108,MATCH(D72,'Inventory'!$C$9:$C$108,0))="","",INDEX('Inventory'!$H$9:$H$108,MATCH(D72,'Inventory'!$C$9:$C$108,0))),""))),"Factor / boundary mismatch",IF(AND(F72="S2",IFERROR(IF(INDEX('Factors'!$I$9:$I$108,MATCH(J72,'Factors'!$C$9:$C$108,0))="","",INDEX('Factors'!$I$9:$I$108,MATCH(J72,'Factors'!$C$9:$C$108,0))),"")&lt;&gt;"Location-based"),"Use location factor",IF(M72&lt;&gt;"Actual","Estimation method review","Ready"))))))))))</x:f>
        <x:v>Ready</x:v>
      </x:c>
      <x:c r="W72" s="9" t="str">
        <x:f>IF(C72="","",IFERROR(IF(INDEX('Inventory'!$G$9:$G$108,MATCH(D72,'Inventory'!$C$9:$C$108,0))="","",INDEX('Inventory'!$G$9:$G$108,MATCH(D72,'Inventory'!$C$9:$C$108,0))),""))</x:f>
        <x:v>UAE</x:v>
      </x:c>
      <x:c r="X72" s="9" t="str">
        <x:f>IF(C72="","",IFERROR(IF(INDEX('Factors'!$P$9:$P$108,MATCH(J72,'Factors'!$C$9:$C$108,0))="","",INDEX('Factors'!$P$9:$P$108,MATCH(J72,'Factors'!$C$9:$C$108,0))),""))</x:f>
        <x:v>Ready</x:v>
      </x:c>
    </x:row>
    <x:row r="73" ht="26" customHeight="1">
      <x:c r="A73" s="1"/>
      <x:c r="B73" s="1"/>
      <x:c r="C73" s="8" t="str">
        <x:v>ACT065</x:v>
      </x:c>
      <x:c r="D73" s="8" t="str">
        <x:v>B015</x:v>
      </x:c>
      <x:c r="E73" s="8" t="str">
        <x:v>S030</x:v>
      </x:c>
      <x:c r="F73" s="8" t="str">
        <x:v>S1</x:v>
      </x:c>
      <x:c r="G73" s="8" t="str">
        <x:v>Diesel</x:v>
      </x:c>
      <x:c r="H73" s="16" t="n">
        <x:v>361000</x:v>
      </x:c>
      <x:c r="I73" s="8" t="str">
        <x:v>litre</x:v>
      </x:c>
      <x:c r="J73" s="8" t="str">
        <x:v>GLOBAL-DIESEL-26</x:v>
      </x:c>
      <x:c r="K73" s="22" t="n">
        <x:v>2026</x:v>
      </x:c>
      <x:c r="L73" s="8" t="str">
        <x:v>SYN-ACT-65</x:v>
      </x:c>
      <x:c r="M73" s="8" t="str">
        <x:v>Actual</x:v>
      </x:c>
      <x:c r="N73" s="40" t="n">
        <x:v>46752</x:v>
      </x:c>
      <x:c r="O73" s="41" t="n">
        <x:f>IF(C73="","",IFERROR(IF(INDEX('Factors'!$G$9:$G$108,MATCH(J73,'Factors'!$C$9:$C$108,0))="","",INDEX('Factors'!$G$9:$G$108,MATCH(J73,'Factors'!$C$9:$C$108,0))),""))</x:f>
        <x:v>2.68</x:v>
      </x:c>
      <x:c r="P73" s="9" t="str">
        <x:f>IF(C73="","",IFERROR(IF(INDEX('Factors'!$F$9:$F$108,MATCH(J73,'Factors'!$C$9:$C$108,0))="","",INDEX('Factors'!$F$9:$F$108,MATCH(J73,'Factors'!$C$9:$C$108,0))),""))</x:f>
        <x:v>litre</x:v>
      </x:c>
      <x:c r="Q73" s="9" t="str">
        <x:f>IF(C73="","",IFERROR(IF(INDEX('Factors'!$H$9:$H$108,MATCH(J73,'Factors'!$C$9:$C$108,0))="","",INDEX('Factors'!$H$9:$H$108,MATCH(J73,'Factors'!$C$9:$C$108,0))),""))</x:f>
        <x:v>S1</x:v>
      </x:c>
      <x:c r="R73" s="9" t="str">
        <x:f>IF(C73="","",IFERROR(IF(INDEX('Factors'!$E$9:$E$108,MATCH(J73,'Factors'!$C$9:$C$108,0))="","",INDEX('Factors'!$E$9:$E$108,MATCH(J73,'Factors'!$C$9:$C$108,0))),""))</x:f>
        <x:v>Global</x:v>
      </x:c>
      <x:c r="S73" s="42" t="n">
        <x:f>IF(C73="","",IFERROR(IF(INDEX('Factors'!$J$9:$J$108,MATCH(J73,'Factors'!$C$9:$C$108,0))="","",INDEX('Factors'!$J$9:$J$108,MATCH(J73,'Factors'!$C$9:$C$108,0))),""))</x:f>
        <x:v>2026</x:v>
      </x:c>
      <x:c r="T73" s="9" t="str">
        <x:f>IF(C73="","",IFERROR(IF(INDEX('Factors'!$L$9:$L$108,MATCH(J73,'Factors'!$C$9:$C$108,0))="","",INDEX('Factors'!$L$9:$L$108,MATCH(J73,'Factors'!$C$9:$C$108,0))),"")&amp;" / "&amp;IFERROR(IF(INDEX('Factors'!$M$9:$M$108,MATCH(J73,'Factors'!$C$9:$C$108,0))="","",INDEX('Factors'!$M$9:$M$108,MATCH(J73,'Factors'!$C$9:$C$108,0))),""))</x:f>
        <x:v>SYNTHETIC DEMO / SYN-2026.1</x:v>
      </x:c>
      <x:c r="U73" s="21" t="n">
        <x:f>IF(V73="Ready",H73*O73/1000,"")</x:f>
        <x:v>967.48</x:v>
      </x:c>
      <x:c r="V73" s="9" t="str">
        <x:f>IF(C73="","",IF(OR(COUNTIFS($C$9:$C$308,C73)&lt;&gt;1,COUNTIFS($D$9:$D$308,D73,$E$9:$E$308,E73,$F$9:$F$308,F73,$G$9:$G$308,G73,$K$9:$K$308,K73)&lt;&gt;1),"Duplicate annual activity",IF(COUNTIFS('Inventory'!$C$9:$C$108,D73)&lt;&gt;1,"Entity required",IF(OR(E73="",L73="",NOT(ISNUMBER(H73)),H73&lt;0,NOT(ISNUMBER(K73)),NOT(ISNUMBER(N73))),"Missing activity input",IF(AND(E73&lt;&gt;D73,OR(COUNTIFS('Sites'!$C$9:$C$108,E73)&lt;&gt;1,IFERROR(IF(INDEX('Sites'!$D$9:$D$108,MATCH(E73,'Sites'!$C$9:$C$108,0))="","",INDEX('Sites'!$D$9:$D$108,MATCH(E73,'Sites'!$C$9:$C$108,0))),"")&lt;&gt;IFERROR(IF(INDEX('Inventory'!$D$9:$D$108,MATCH(D73,'Inventory'!$C$9:$C$108,0))="","",INDEX('Inventory'!$D$9:$D$108,MATCH(D73,'Inventory'!$C$9:$C$108,0))),""),IFERROR(IF(INDEX('Sites'!$E$9:$E$108,MATCH(E73,'Sites'!$C$9:$C$108,0))="","",INDEX('Sites'!$E$9:$E$108,MATCH(E73,'Sites'!$C$9:$C$108,0))),"")&lt;&gt;W73)),"Site / entity mismatch",IF(N73&lt;'Settings'!$F$8,"Expired",IF(X73&lt;&gt;"Ready","Factor required",IF(OR(G73&lt;&gt;IFERROR(IF(INDEX('Factors'!$D$9:$D$108,MATCH(J73,'Factors'!$C$9:$C$108,0))="","",INDEX('Factors'!$D$9:$D$108,MATCH(J73,'Factors'!$C$9:$C$108,0))),""),I73&lt;&gt;P73,F73&lt;&gt;Q73,K73&lt;&gt;S73,AND(R73&lt;&gt;"Global",R73&lt;&gt;W73),K73&lt;&gt;YEAR(IFERROR(IF(INDEX('Inventory'!$H$9:$H$108,MATCH(D73,'Inventory'!$C$9:$C$108,0))="","",INDEX('Inventory'!$H$9:$H$108,MATCH(D73,'Inventory'!$C$9:$C$108,0))),""))),"Factor / boundary mismatch",IF(AND(F73="S2",IFERROR(IF(INDEX('Factors'!$I$9:$I$108,MATCH(J73,'Factors'!$C$9:$C$108,0))="","",INDEX('Factors'!$I$9:$I$108,MATCH(J73,'Factors'!$C$9:$C$108,0))),"")&lt;&gt;"Location-based"),"Use location factor",IF(M73&lt;&gt;"Actual","Estimation method review","Ready"))))))))))</x:f>
        <x:v>Ready</x:v>
      </x:c>
      <x:c r="W73" s="9" t="str">
        <x:f>IF(C73="","",IFERROR(IF(INDEX('Inventory'!$G$9:$G$108,MATCH(D73,'Inventory'!$C$9:$C$108,0))="","",INDEX('Inventory'!$G$9:$G$108,MATCH(D73,'Inventory'!$C$9:$C$108,0))),""))</x:f>
        <x:v>UAE</x:v>
      </x:c>
      <x:c r="X73" s="9" t="str">
        <x:f>IF(C73="","",IFERROR(IF(INDEX('Factors'!$P$9:$P$108,MATCH(J73,'Factors'!$C$9:$C$108,0))="","",INDEX('Factors'!$P$9:$P$108,MATCH(J73,'Factors'!$C$9:$C$108,0))),""))</x:f>
        <x:v>Ready</x:v>
      </x:c>
    </x:row>
    <x:row r="74" ht="26" customHeight="1">
      <x:c r="A74" s="1"/>
      <x:c r="B74" s="1"/>
      <x:c r="C74" s="8" t="str">
        <x:v>ACT066</x:v>
      </x:c>
      <x:c r="D74" s="8" t="str">
        <x:v>B015</x:v>
      </x:c>
      <x:c r="E74" s="8" t="str">
        <x:v>S030</x:v>
      </x:c>
      <x:c r="F74" s="8" t="str">
        <x:v>S2</x:v>
      </x:c>
      <x:c r="G74" s="8" t="str">
        <x:v>Electricity</x:v>
      </x:c>
      <x:c r="H74" s="16" t="n">
        <x:v>1425000</x:v>
      </x:c>
      <x:c r="I74" s="8" t="str">
        <x:v>kWh</x:v>
      </x:c>
      <x:c r="J74" s="8" t="str">
        <x:v>AE-GRID-26</x:v>
      </x:c>
      <x:c r="K74" s="22" t="n">
        <x:v>2026</x:v>
      </x:c>
      <x:c r="L74" s="8" t="str">
        <x:v>SYN-ACT-66</x:v>
      </x:c>
      <x:c r="M74" s="8" t="str">
        <x:v>Actual</x:v>
      </x:c>
      <x:c r="N74" s="40" t="n">
        <x:v>46752</x:v>
      </x:c>
      <x:c r="O74" s="41" t="n">
        <x:f>IF(C74="","",IFERROR(IF(INDEX('Factors'!$G$9:$G$108,MATCH(J74,'Factors'!$C$9:$C$108,0))="","",INDEX('Factors'!$G$9:$G$108,MATCH(J74,'Factors'!$C$9:$C$108,0))),""))</x:f>
        <x:v>0.39</x:v>
      </x:c>
      <x:c r="P74" s="9" t="str">
        <x:f>IF(C74="","",IFERROR(IF(INDEX('Factors'!$F$9:$F$108,MATCH(J74,'Factors'!$C$9:$C$108,0))="","",INDEX('Factors'!$F$9:$F$108,MATCH(J74,'Factors'!$C$9:$C$108,0))),""))</x:f>
        <x:v>kWh</x:v>
      </x:c>
      <x:c r="Q74" s="9" t="str">
        <x:f>IF(C74="","",IFERROR(IF(INDEX('Factors'!$H$9:$H$108,MATCH(J74,'Factors'!$C$9:$C$108,0))="","",INDEX('Factors'!$H$9:$H$108,MATCH(J74,'Factors'!$C$9:$C$108,0))),""))</x:f>
        <x:v>S2</x:v>
      </x:c>
      <x:c r="R74" s="9" t="str">
        <x:f>IF(C74="","",IFERROR(IF(INDEX('Factors'!$E$9:$E$108,MATCH(J74,'Factors'!$C$9:$C$108,0))="","",INDEX('Factors'!$E$9:$E$108,MATCH(J74,'Factors'!$C$9:$C$108,0))),""))</x:f>
        <x:v>UAE</x:v>
      </x:c>
      <x:c r="S74" s="42" t="n">
        <x:f>IF(C74="","",IFERROR(IF(INDEX('Factors'!$J$9:$J$108,MATCH(J74,'Factors'!$C$9:$C$108,0))="","",INDEX('Factors'!$J$9:$J$108,MATCH(J74,'Factors'!$C$9:$C$108,0))),""))</x:f>
        <x:v>2026</x:v>
      </x:c>
      <x:c r="T74" s="9" t="str">
        <x:f>IF(C74="","",IFERROR(IF(INDEX('Factors'!$L$9:$L$108,MATCH(J74,'Factors'!$C$9:$C$108,0))="","",INDEX('Factors'!$L$9:$L$108,MATCH(J74,'Factors'!$C$9:$C$108,0))),"")&amp;" / "&amp;IFERROR(IF(INDEX('Factors'!$M$9:$M$108,MATCH(J74,'Factors'!$C$9:$C$108,0))="","",INDEX('Factors'!$M$9:$M$108,MATCH(J74,'Factors'!$C$9:$C$108,0))),""))</x:f>
        <x:v>SYNTHETIC DEMO / SYN-2026.1</x:v>
      </x:c>
      <x:c r="U74" s="21" t="n">
        <x:f>IF(V74="Ready",H74*O74/1000,"")</x:f>
        <x:v>555.75</x:v>
      </x:c>
      <x:c r="V74" s="9" t="str">
        <x:f>IF(C74="","",IF(OR(COUNTIFS($C$9:$C$308,C74)&lt;&gt;1,COUNTIFS($D$9:$D$308,D74,$E$9:$E$308,E74,$F$9:$F$308,F74,$G$9:$G$308,G74,$K$9:$K$308,K74)&lt;&gt;1),"Duplicate annual activity",IF(COUNTIFS('Inventory'!$C$9:$C$108,D74)&lt;&gt;1,"Entity required",IF(OR(E74="",L74="",NOT(ISNUMBER(H74)),H74&lt;0,NOT(ISNUMBER(K74)),NOT(ISNUMBER(N74))),"Missing activity input",IF(AND(E74&lt;&gt;D74,OR(COUNTIFS('Sites'!$C$9:$C$108,E74)&lt;&gt;1,IFERROR(IF(INDEX('Sites'!$D$9:$D$108,MATCH(E74,'Sites'!$C$9:$C$108,0))="","",INDEX('Sites'!$D$9:$D$108,MATCH(E74,'Sites'!$C$9:$C$108,0))),"")&lt;&gt;IFERROR(IF(INDEX('Inventory'!$D$9:$D$108,MATCH(D74,'Inventory'!$C$9:$C$108,0))="","",INDEX('Inventory'!$D$9:$D$108,MATCH(D74,'Inventory'!$C$9:$C$108,0))),""),IFERROR(IF(INDEX('Sites'!$E$9:$E$108,MATCH(E74,'Sites'!$C$9:$C$108,0))="","",INDEX('Sites'!$E$9:$E$108,MATCH(E74,'Sites'!$C$9:$C$108,0))),"")&lt;&gt;W74)),"Site / entity mismatch",IF(N74&lt;'Settings'!$F$8,"Expired",IF(X74&lt;&gt;"Ready","Factor required",IF(OR(G74&lt;&gt;IFERROR(IF(INDEX('Factors'!$D$9:$D$108,MATCH(J74,'Factors'!$C$9:$C$108,0))="","",INDEX('Factors'!$D$9:$D$108,MATCH(J74,'Factors'!$C$9:$C$108,0))),""),I74&lt;&gt;P74,F74&lt;&gt;Q74,K74&lt;&gt;S74,AND(R74&lt;&gt;"Global",R74&lt;&gt;W74),K74&lt;&gt;YEAR(IFERROR(IF(INDEX('Inventory'!$H$9:$H$108,MATCH(D74,'Inventory'!$C$9:$C$108,0))="","",INDEX('Inventory'!$H$9:$H$108,MATCH(D74,'Inventory'!$C$9:$C$108,0))),""))),"Factor / boundary mismatch",IF(AND(F74="S2",IFERROR(IF(INDEX('Factors'!$I$9:$I$108,MATCH(J74,'Factors'!$C$9:$C$108,0))="","",INDEX('Factors'!$I$9:$I$108,MATCH(J74,'Factors'!$C$9:$C$108,0))),"")&lt;&gt;"Location-based"),"Use location factor",IF(M74&lt;&gt;"Actual","Estimation method review","Ready"))))))))))</x:f>
        <x:v>Ready</x:v>
      </x:c>
      <x:c r="W74" s="9" t="str">
        <x:f>IF(C74="","",IFERROR(IF(INDEX('Inventory'!$G$9:$G$108,MATCH(D74,'Inventory'!$C$9:$C$108,0))="","",INDEX('Inventory'!$G$9:$G$108,MATCH(D74,'Inventory'!$C$9:$C$108,0))),""))</x:f>
        <x:v>UAE</x:v>
      </x:c>
      <x:c r="X74" s="9" t="str">
        <x:f>IF(C74="","",IFERROR(IF(INDEX('Factors'!$P$9:$P$108,MATCH(J74,'Factors'!$C$9:$C$108,0))="","",INDEX('Factors'!$P$9:$P$108,MATCH(J74,'Factors'!$C$9:$C$108,0))),""))</x:f>
        <x:v>Ready</x:v>
      </x:c>
    </x:row>
    <x:row r="75" ht="26" customHeight="1">
      <x:c r="A75" s="1"/>
      <x:c r="B75" s="1"/>
      <x:c r="C75" s="8" t="str">
        <x:v>ACT067</x:v>
      </x:c>
      <x:c r="D75" s="8" t="str">
        <x:v>B016</x:v>
      </x:c>
      <x:c r="E75" s="8" t="str">
        <x:v>S031</x:v>
      </x:c>
      <x:c r="F75" s="8" t="str">
        <x:v>S1</x:v>
      </x:c>
      <x:c r="G75" s="8" t="str">
        <x:v>Diesel</x:v>
      </x:c>
      <x:c r="H75" s="16" t="n">
        <x:v>370000</x:v>
      </x:c>
      <x:c r="I75" s="8" t="str">
        <x:v>litre</x:v>
      </x:c>
      <x:c r="J75" s="8" t="str">
        <x:v>GLOBAL-DIESEL-26</x:v>
      </x:c>
      <x:c r="K75" s="22" t="n">
        <x:v>2026</x:v>
      </x:c>
      <x:c r="L75" s="8" t="str">
        <x:v>SYN-ACT-67</x:v>
      </x:c>
      <x:c r="M75" s="8" t="str">
        <x:v>Actual</x:v>
      </x:c>
      <x:c r="N75" s="40" t="n">
        <x:v>46752</x:v>
      </x:c>
      <x:c r="O75" s="41" t="n">
        <x:f>IF(C75="","",IFERROR(IF(INDEX('Factors'!$G$9:$G$108,MATCH(J75,'Factors'!$C$9:$C$108,0))="","",INDEX('Factors'!$G$9:$G$108,MATCH(J75,'Factors'!$C$9:$C$108,0))),""))</x:f>
        <x:v>2.68</x:v>
      </x:c>
      <x:c r="P75" s="9" t="str">
        <x:f>IF(C75="","",IFERROR(IF(INDEX('Factors'!$F$9:$F$108,MATCH(J75,'Factors'!$C$9:$C$108,0))="","",INDEX('Factors'!$F$9:$F$108,MATCH(J75,'Factors'!$C$9:$C$108,0))),""))</x:f>
        <x:v>litre</x:v>
      </x:c>
      <x:c r="Q75" s="9" t="str">
        <x:f>IF(C75="","",IFERROR(IF(INDEX('Factors'!$H$9:$H$108,MATCH(J75,'Factors'!$C$9:$C$108,0))="","",INDEX('Factors'!$H$9:$H$108,MATCH(J75,'Factors'!$C$9:$C$108,0))),""))</x:f>
        <x:v>S1</x:v>
      </x:c>
      <x:c r="R75" s="9" t="str">
        <x:f>IF(C75="","",IFERROR(IF(INDEX('Factors'!$E$9:$E$108,MATCH(J75,'Factors'!$C$9:$C$108,0))="","",INDEX('Factors'!$E$9:$E$108,MATCH(J75,'Factors'!$C$9:$C$108,0))),""))</x:f>
        <x:v>Global</x:v>
      </x:c>
      <x:c r="S75" s="42" t="n">
        <x:f>IF(C75="","",IFERROR(IF(INDEX('Factors'!$J$9:$J$108,MATCH(J75,'Factors'!$C$9:$C$108,0))="","",INDEX('Factors'!$J$9:$J$108,MATCH(J75,'Factors'!$C$9:$C$108,0))),""))</x:f>
        <x:v>2026</x:v>
      </x:c>
      <x:c r="T75" s="9" t="str">
        <x:f>IF(C75="","",IFERROR(IF(INDEX('Factors'!$L$9:$L$108,MATCH(J75,'Factors'!$C$9:$C$108,0))="","",INDEX('Factors'!$L$9:$L$108,MATCH(J75,'Factors'!$C$9:$C$108,0))),"")&amp;" / "&amp;IFERROR(IF(INDEX('Factors'!$M$9:$M$108,MATCH(J75,'Factors'!$C$9:$C$108,0))="","",INDEX('Factors'!$M$9:$M$108,MATCH(J75,'Factors'!$C$9:$C$108,0))),""))</x:f>
        <x:v>SYNTHETIC DEMO / SYN-2026.1</x:v>
      </x:c>
      <x:c r="U75" s="21" t="n">
        <x:f>IF(V75="Ready",H75*O75/1000,"")</x:f>
        <x:v>991.6000000000001</x:v>
      </x:c>
      <x:c r="V75" s="9" t="str">
        <x:f>IF(C75="","",IF(OR(COUNTIFS($C$9:$C$308,C75)&lt;&gt;1,COUNTIFS($D$9:$D$308,D75,$E$9:$E$308,E75,$F$9:$F$308,F75,$G$9:$G$308,G75,$K$9:$K$308,K75)&lt;&gt;1),"Duplicate annual activity",IF(COUNTIFS('Inventory'!$C$9:$C$108,D75)&lt;&gt;1,"Entity required",IF(OR(E75="",L75="",NOT(ISNUMBER(H75)),H75&lt;0,NOT(ISNUMBER(K75)),NOT(ISNUMBER(N75))),"Missing activity input",IF(AND(E75&lt;&gt;D75,OR(COUNTIFS('Sites'!$C$9:$C$108,E75)&lt;&gt;1,IFERROR(IF(INDEX('Sites'!$D$9:$D$108,MATCH(E75,'Sites'!$C$9:$C$108,0))="","",INDEX('Sites'!$D$9:$D$108,MATCH(E75,'Sites'!$C$9:$C$108,0))),"")&lt;&gt;IFERROR(IF(INDEX('Inventory'!$D$9:$D$108,MATCH(D75,'Inventory'!$C$9:$C$108,0))="","",INDEX('Inventory'!$D$9:$D$108,MATCH(D75,'Inventory'!$C$9:$C$108,0))),""),IFERROR(IF(INDEX('Sites'!$E$9:$E$108,MATCH(E75,'Sites'!$C$9:$C$108,0))="","",INDEX('Sites'!$E$9:$E$108,MATCH(E75,'Sites'!$C$9:$C$108,0))),"")&lt;&gt;W75)),"Site / entity mismatch",IF(N75&lt;'Settings'!$F$8,"Expired",IF(X75&lt;&gt;"Ready","Factor required",IF(OR(G75&lt;&gt;IFERROR(IF(INDEX('Factors'!$D$9:$D$108,MATCH(J75,'Factors'!$C$9:$C$108,0))="","",INDEX('Factors'!$D$9:$D$108,MATCH(J75,'Factors'!$C$9:$C$108,0))),""),I75&lt;&gt;P75,F75&lt;&gt;Q75,K75&lt;&gt;S75,AND(R75&lt;&gt;"Global",R75&lt;&gt;W75),K75&lt;&gt;YEAR(IFERROR(IF(INDEX('Inventory'!$H$9:$H$108,MATCH(D75,'Inventory'!$C$9:$C$108,0))="","",INDEX('Inventory'!$H$9:$H$108,MATCH(D75,'Inventory'!$C$9:$C$108,0))),""))),"Factor / boundary mismatch",IF(AND(F75="S2",IFERROR(IF(INDEX('Factors'!$I$9:$I$108,MATCH(J75,'Factors'!$C$9:$C$108,0))="","",INDEX('Factors'!$I$9:$I$108,MATCH(J75,'Factors'!$C$9:$C$108,0))),"")&lt;&gt;"Location-based"),"Use location factor",IF(M75&lt;&gt;"Actual","Estimation method review","Ready"))))))))))</x:f>
        <x:v>Ready</x:v>
      </x:c>
      <x:c r="W75" s="9" t="str">
        <x:f>IF(C75="","",IFERROR(IF(INDEX('Inventory'!$G$9:$G$108,MATCH(D75,'Inventory'!$C$9:$C$108,0))="","",INDEX('Inventory'!$G$9:$G$108,MATCH(D75,'Inventory'!$C$9:$C$108,0))),""))</x:f>
        <x:v>UAE</x:v>
      </x:c>
      <x:c r="X75" s="9" t="str">
        <x:f>IF(C75="","",IFERROR(IF(INDEX('Factors'!$P$9:$P$108,MATCH(J75,'Factors'!$C$9:$C$108,0))="","",INDEX('Factors'!$P$9:$P$108,MATCH(J75,'Factors'!$C$9:$C$108,0))),""))</x:f>
        <x:v>Ready</x:v>
      </x:c>
    </x:row>
    <x:row r="76" ht="26" customHeight="1">
      <x:c r="A76" s="1"/>
      <x:c r="B76" s="1"/>
      <x:c r="C76" s="8" t="str">
        <x:v>ACT068</x:v>
      </x:c>
      <x:c r="D76" s="8" t="str">
        <x:v>B016</x:v>
      </x:c>
      <x:c r="E76" s="8" t="str">
        <x:v>S031</x:v>
      </x:c>
      <x:c r="F76" s="8" t="str">
        <x:v>S2</x:v>
      </x:c>
      <x:c r="G76" s="8" t="str">
        <x:v>Electricity</x:v>
      </x:c>
      <x:c r="H76" s="16" t="n">
        <x:v>1450000</x:v>
      </x:c>
      <x:c r="I76" s="8" t="str">
        <x:v>kWh</x:v>
      </x:c>
      <x:c r="J76" s="8" t="str">
        <x:v>AE-GRID-26</x:v>
      </x:c>
      <x:c r="K76" s="22" t="n">
        <x:v>2026</x:v>
      </x:c>
      <x:c r="L76" s="8" t="str">
        <x:v>SYN-ACT-68</x:v>
      </x:c>
      <x:c r="M76" s="8" t="str">
        <x:v>Actual</x:v>
      </x:c>
      <x:c r="N76" s="40" t="n">
        <x:v>46752</x:v>
      </x:c>
      <x:c r="O76" s="41" t="n">
        <x:f>IF(C76="","",IFERROR(IF(INDEX('Factors'!$G$9:$G$108,MATCH(J76,'Factors'!$C$9:$C$108,0))="","",INDEX('Factors'!$G$9:$G$108,MATCH(J76,'Factors'!$C$9:$C$108,0))),""))</x:f>
        <x:v>0.39</x:v>
      </x:c>
      <x:c r="P76" s="9" t="str">
        <x:f>IF(C76="","",IFERROR(IF(INDEX('Factors'!$F$9:$F$108,MATCH(J76,'Factors'!$C$9:$C$108,0))="","",INDEX('Factors'!$F$9:$F$108,MATCH(J76,'Factors'!$C$9:$C$108,0))),""))</x:f>
        <x:v>kWh</x:v>
      </x:c>
      <x:c r="Q76" s="9" t="str">
        <x:f>IF(C76="","",IFERROR(IF(INDEX('Factors'!$H$9:$H$108,MATCH(J76,'Factors'!$C$9:$C$108,0))="","",INDEX('Factors'!$H$9:$H$108,MATCH(J76,'Factors'!$C$9:$C$108,0))),""))</x:f>
        <x:v>S2</x:v>
      </x:c>
      <x:c r="R76" s="9" t="str">
        <x:f>IF(C76="","",IFERROR(IF(INDEX('Factors'!$E$9:$E$108,MATCH(J76,'Factors'!$C$9:$C$108,0))="","",INDEX('Factors'!$E$9:$E$108,MATCH(J76,'Factors'!$C$9:$C$108,0))),""))</x:f>
        <x:v>UAE</x:v>
      </x:c>
      <x:c r="S76" s="42" t="n">
        <x:f>IF(C76="","",IFERROR(IF(INDEX('Factors'!$J$9:$J$108,MATCH(J76,'Factors'!$C$9:$C$108,0))="","",INDEX('Factors'!$J$9:$J$108,MATCH(J76,'Factors'!$C$9:$C$108,0))),""))</x:f>
        <x:v>2026</x:v>
      </x:c>
      <x:c r="T76" s="9" t="str">
        <x:f>IF(C76="","",IFERROR(IF(INDEX('Factors'!$L$9:$L$108,MATCH(J76,'Factors'!$C$9:$C$108,0))="","",INDEX('Factors'!$L$9:$L$108,MATCH(J76,'Factors'!$C$9:$C$108,0))),"")&amp;" / "&amp;IFERROR(IF(INDEX('Factors'!$M$9:$M$108,MATCH(J76,'Factors'!$C$9:$C$108,0))="","",INDEX('Factors'!$M$9:$M$108,MATCH(J76,'Factors'!$C$9:$C$108,0))),""))</x:f>
        <x:v>SYNTHETIC DEMO / SYN-2026.1</x:v>
      </x:c>
      <x:c r="U76" s="21" t="n">
        <x:f>IF(V76="Ready",H76*O76/1000,"")</x:f>
        <x:v>565.5</x:v>
      </x:c>
      <x:c r="V76" s="9" t="str">
        <x:f>IF(C76="","",IF(OR(COUNTIFS($C$9:$C$308,C76)&lt;&gt;1,COUNTIFS($D$9:$D$308,D76,$E$9:$E$308,E76,$F$9:$F$308,F76,$G$9:$G$308,G76,$K$9:$K$308,K76)&lt;&gt;1),"Duplicate annual activity",IF(COUNTIFS('Inventory'!$C$9:$C$108,D76)&lt;&gt;1,"Entity required",IF(OR(E76="",L76="",NOT(ISNUMBER(H76)),H76&lt;0,NOT(ISNUMBER(K76)),NOT(ISNUMBER(N76))),"Missing activity input",IF(AND(E76&lt;&gt;D76,OR(COUNTIFS('Sites'!$C$9:$C$108,E76)&lt;&gt;1,IFERROR(IF(INDEX('Sites'!$D$9:$D$108,MATCH(E76,'Sites'!$C$9:$C$108,0))="","",INDEX('Sites'!$D$9:$D$108,MATCH(E76,'Sites'!$C$9:$C$108,0))),"")&lt;&gt;IFERROR(IF(INDEX('Inventory'!$D$9:$D$108,MATCH(D76,'Inventory'!$C$9:$C$108,0))="","",INDEX('Inventory'!$D$9:$D$108,MATCH(D76,'Inventory'!$C$9:$C$108,0))),""),IFERROR(IF(INDEX('Sites'!$E$9:$E$108,MATCH(E76,'Sites'!$C$9:$C$108,0))="","",INDEX('Sites'!$E$9:$E$108,MATCH(E76,'Sites'!$C$9:$C$108,0))),"")&lt;&gt;W76)),"Site / entity mismatch",IF(N76&lt;'Settings'!$F$8,"Expired",IF(X76&lt;&gt;"Ready","Factor required",IF(OR(G76&lt;&gt;IFERROR(IF(INDEX('Factors'!$D$9:$D$108,MATCH(J76,'Factors'!$C$9:$C$108,0))="","",INDEX('Factors'!$D$9:$D$108,MATCH(J76,'Factors'!$C$9:$C$108,0))),""),I76&lt;&gt;P76,F76&lt;&gt;Q76,K76&lt;&gt;S76,AND(R76&lt;&gt;"Global",R76&lt;&gt;W76),K76&lt;&gt;YEAR(IFERROR(IF(INDEX('Inventory'!$H$9:$H$108,MATCH(D76,'Inventory'!$C$9:$C$108,0))="","",INDEX('Inventory'!$H$9:$H$108,MATCH(D76,'Inventory'!$C$9:$C$108,0))),""))),"Factor / boundary mismatch",IF(AND(F76="S2",IFERROR(IF(INDEX('Factors'!$I$9:$I$108,MATCH(J76,'Factors'!$C$9:$C$108,0))="","",INDEX('Factors'!$I$9:$I$108,MATCH(J76,'Factors'!$C$9:$C$108,0))),"")&lt;&gt;"Location-based"),"Use location factor",IF(M76&lt;&gt;"Actual","Estimation method review","Ready"))))))))))</x:f>
        <x:v>Ready</x:v>
      </x:c>
      <x:c r="W76" s="9" t="str">
        <x:f>IF(C76="","",IFERROR(IF(INDEX('Inventory'!$G$9:$G$108,MATCH(D76,'Inventory'!$C$9:$C$108,0))="","",INDEX('Inventory'!$G$9:$G$108,MATCH(D76,'Inventory'!$C$9:$C$108,0))),""))</x:f>
        <x:v>UAE</x:v>
      </x:c>
      <x:c r="X76" s="9" t="str">
        <x:f>IF(C76="","",IFERROR(IF(INDEX('Factors'!$P$9:$P$108,MATCH(J76,'Factors'!$C$9:$C$108,0))="","",INDEX('Factors'!$P$9:$P$108,MATCH(J76,'Factors'!$C$9:$C$108,0))),""))</x:f>
        <x:v>Ready</x:v>
      </x:c>
    </x:row>
    <x:row r="77" ht="26" customHeight="1">
      <x:c r="A77" s="1"/>
      <x:c r="B77" s="1"/>
      <x:c r="C77" s="8" t="str">
        <x:v>ACT069</x:v>
      </x:c>
      <x:c r="D77" s="8" t="str">
        <x:v>B016</x:v>
      </x:c>
      <x:c r="E77" s="8" t="str">
        <x:v>S032</x:v>
      </x:c>
      <x:c r="F77" s="8" t="str">
        <x:v>S1</x:v>
      </x:c>
      <x:c r="G77" s="8" t="str">
        <x:v>Diesel</x:v>
      </x:c>
      <x:c r="H77" s="16" t="n">
        <x:v>379000</x:v>
      </x:c>
      <x:c r="I77" s="8" t="str">
        <x:v>litre</x:v>
      </x:c>
      <x:c r="J77" s="8" t="str">
        <x:v>GLOBAL-DIESEL-26</x:v>
      </x:c>
      <x:c r="K77" s="22" t="n">
        <x:v>2026</x:v>
      </x:c>
      <x:c r="L77" s="8" t="str">
        <x:v>SYN-ACT-69</x:v>
      </x:c>
      <x:c r="M77" s="8" t="str">
        <x:v>Actual</x:v>
      </x:c>
      <x:c r="N77" s="40" t="n">
        <x:v>46752</x:v>
      </x:c>
      <x:c r="O77" s="41" t="n">
        <x:f>IF(C77="","",IFERROR(IF(INDEX('Factors'!$G$9:$G$108,MATCH(J77,'Factors'!$C$9:$C$108,0))="","",INDEX('Factors'!$G$9:$G$108,MATCH(J77,'Factors'!$C$9:$C$108,0))),""))</x:f>
        <x:v>2.68</x:v>
      </x:c>
      <x:c r="P77" s="9" t="str">
        <x:f>IF(C77="","",IFERROR(IF(INDEX('Factors'!$F$9:$F$108,MATCH(J77,'Factors'!$C$9:$C$108,0))="","",INDEX('Factors'!$F$9:$F$108,MATCH(J77,'Factors'!$C$9:$C$108,0))),""))</x:f>
        <x:v>litre</x:v>
      </x:c>
      <x:c r="Q77" s="9" t="str">
        <x:f>IF(C77="","",IFERROR(IF(INDEX('Factors'!$H$9:$H$108,MATCH(J77,'Factors'!$C$9:$C$108,0))="","",INDEX('Factors'!$H$9:$H$108,MATCH(J77,'Factors'!$C$9:$C$108,0))),""))</x:f>
        <x:v>S1</x:v>
      </x:c>
      <x:c r="R77" s="9" t="str">
        <x:f>IF(C77="","",IFERROR(IF(INDEX('Factors'!$E$9:$E$108,MATCH(J77,'Factors'!$C$9:$C$108,0))="","",INDEX('Factors'!$E$9:$E$108,MATCH(J77,'Factors'!$C$9:$C$108,0))),""))</x:f>
        <x:v>Global</x:v>
      </x:c>
      <x:c r="S77" s="42" t="n">
        <x:f>IF(C77="","",IFERROR(IF(INDEX('Factors'!$J$9:$J$108,MATCH(J77,'Factors'!$C$9:$C$108,0))="","",INDEX('Factors'!$J$9:$J$108,MATCH(J77,'Factors'!$C$9:$C$108,0))),""))</x:f>
        <x:v>2026</x:v>
      </x:c>
      <x:c r="T77" s="9" t="str">
        <x:f>IF(C77="","",IFERROR(IF(INDEX('Factors'!$L$9:$L$108,MATCH(J77,'Factors'!$C$9:$C$108,0))="","",INDEX('Factors'!$L$9:$L$108,MATCH(J77,'Factors'!$C$9:$C$108,0))),"")&amp;" / "&amp;IFERROR(IF(INDEX('Factors'!$M$9:$M$108,MATCH(J77,'Factors'!$C$9:$C$108,0))="","",INDEX('Factors'!$M$9:$M$108,MATCH(J77,'Factors'!$C$9:$C$108,0))),""))</x:f>
        <x:v>SYNTHETIC DEMO / SYN-2026.1</x:v>
      </x:c>
      <x:c r="U77" s="21" t="n">
        <x:f>IF(V77="Ready",H77*O77/1000,"")</x:f>
        <x:v>1015.7200000000001</x:v>
      </x:c>
      <x:c r="V77" s="9" t="str">
        <x:f>IF(C77="","",IF(OR(COUNTIFS($C$9:$C$308,C77)&lt;&gt;1,COUNTIFS($D$9:$D$308,D77,$E$9:$E$308,E77,$F$9:$F$308,F77,$G$9:$G$308,G77,$K$9:$K$308,K77)&lt;&gt;1),"Duplicate annual activity",IF(COUNTIFS('Inventory'!$C$9:$C$108,D77)&lt;&gt;1,"Entity required",IF(OR(E77="",L77="",NOT(ISNUMBER(H77)),H77&lt;0,NOT(ISNUMBER(K77)),NOT(ISNUMBER(N77))),"Missing activity input",IF(AND(E77&lt;&gt;D77,OR(COUNTIFS('Sites'!$C$9:$C$108,E77)&lt;&gt;1,IFERROR(IF(INDEX('Sites'!$D$9:$D$108,MATCH(E77,'Sites'!$C$9:$C$108,0))="","",INDEX('Sites'!$D$9:$D$108,MATCH(E77,'Sites'!$C$9:$C$108,0))),"")&lt;&gt;IFERROR(IF(INDEX('Inventory'!$D$9:$D$108,MATCH(D77,'Inventory'!$C$9:$C$108,0))="","",INDEX('Inventory'!$D$9:$D$108,MATCH(D77,'Inventory'!$C$9:$C$108,0))),""),IFERROR(IF(INDEX('Sites'!$E$9:$E$108,MATCH(E77,'Sites'!$C$9:$C$108,0))="","",INDEX('Sites'!$E$9:$E$108,MATCH(E77,'Sites'!$C$9:$C$108,0))),"")&lt;&gt;W77)),"Site / entity mismatch",IF(N77&lt;'Settings'!$F$8,"Expired",IF(X77&lt;&gt;"Ready","Factor required",IF(OR(G77&lt;&gt;IFERROR(IF(INDEX('Factors'!$D$9:$D$108,MATCH(J77,'Factors'!$C$9:$C$108,0))="","",INDEX('Factors'!$D$9:$D$108,MATCH(J77,'Factors'!$C$9:$C$108,0))),""),I77&lt;&gt;P77,F77&lt;&gt;Q77,K77&lt;&gt;S77,AND(R77&lt;&gt;"Global",R77&lt;&gt;W77),K77&lt;&gt;YEAR(IFERROR(IF(INDEX('Inventory'!$H$9:$H$108,MATCH(D77,'Inventory'!$C$9:$C$108,0))="","",INDEX('Inventory'!$H$9:$H$108,MATCH(D77,'Inventory'!$C$9:$C$108,0))),""))),"Factor / boundary mismatch",IF(AND(F77="S2",IFERROR(IF(INDEX('Factors'!$I$9:$I$108,MATCH(J77,'Factors'!$C$9:$C$108,0))="","",INDEX('Factors'!$I$9:$I$108,MATCH(J77,'Factors'!$C$9:$C$108,0))),"")&lt;&gt;"Location-based"),"Use location factor",IF(M77&lt;&gt;"Actual","Estimation method review","Ready"))))))))))</x:f>
        <x:v>Ready</x:v>
      </x:c>
      <x:c r="W77" s="9" t="str">
        <x:f>IF(C77="","",IFERROR(IF(INDEX('Inventory'!$G$9:$G$108,MATCH(D77,'Inventory'!$C$9:$C$108,0))="","",INDEX('Inventory'!$G$9:$G$108,MATCH(D77,'Inventory'!$C$9:$C$108,0))),""))</x:f>
        <x:v>UAE</x:v>
      </x:c>
      <x:c r="X77" s="9" t="str">
        <x:f>IF(C77="","",IFERROR(IF(INDEX('Factors'!$P$9:$P$108,MATCH(J77,'Factors'!$C$9:$C$108,0))="","",INDEX('Factors'!$P$9:$P$108,MATCH(J77,'Factors'!$C$9:$C$108,0))),""))</x:f>
        <x:v>Ready</x:v>
      </x:c>
    </x:row>
    <x:row r="78" ht="26" customHeight="1">
      <x:c r="A78" s="1"/>
      <x:c r="B78" s="1"/>
      <x:c r="C78" s="8" t="str">
        <x:v>ACT070</x:v>
      </x:c>
      <x:c r="D78" s="8" t="str">
        <x:v>B016</x:v>
      </x:c>
      <x:c r="E78" s="8" t="str">
        <x:v>S032</x:v>
      </x:c>
      <x:c r="F78" s="8" t="str">
        <x:v>S2</x:v>
      </x:c>
      <x:c r="G78" s="8" t="str">
        <x:v>Electricity</x:v>
      </x:c>
      <x:c r="H78" s="16" t="n">
        <x:v>1475000</x:v>
      </x:c>
      <x:c r="I78" s="8" t="str">
        <x:v>kWh</x:v>
      </x:c>
      <x:c r="J78" s="8" t="str">
        <x:v>AE-GRID-26</x:v>
      </x:c>
      <x:c r="K78" s="22" t="n">
        <x:v>2026</x:v>
      </x:c>
      <x:c r="L78" s="8" t="str">
        <x:v>SYN-ACT-70</x:v>
      </x:c>
      <x:c r="M78" s="8" t="str">
        <x:v>Actual</x:v>
      </x:c>
      <x:c r="N78" s="40" t="n">
        <x:v>46752</x:v>
      </x:c>
      <x:c r="O78" s="41" t="n">
        <x:f>IF(C78="","",IFERROR(IF(INDEX('Factors'!$G$9:$G$108,MATCH(J78,'Factors'!$C$9:$C$108,0))="","",INDEX('Factors'!$G$9:$G$108,MATCH(J78,'Factors'!$C$9:$C$108,0))),""))</x:f>
        <x:v>0.39</x:v>
      </x:c>
      <x:c r="P78" s="9" t="str">
        <x:f>IF(C78="","",IFERROR(IF(INDEX('Factors'!$F$9:$F$108,MATCH(J78,'Factors'!$C$9:$C$108,0))="","",INDEX('Factors'!$F$9:$F$108,MATCH(J78,'Factors'!$C$9:$C$108,0))),""))</x:f>
        <x:v>kWh</x:v>
      </x:c>
      <x:c r="Q78" s="9" t="str">
        <x:f>IF(C78="","",IFERROR(IF(INDEX('Factors'!$H$9:$H$108,MATCH(J78,'Factors'!$C$9:$C$108,0))="","",INDEX('Factors'!$H$9:$H$108,MATCH(J78,'Factors'!$C$9:$C$108,0))),""))</x:f>
        <x:v>S2</x:v>
      </x:c>
      <x:c r="R78" s="9" t="str">
        <x:f>IF(C78="","",IFERROR(IF(INDEX('Factors'!$E$9:$E$108,MATCH(J78,'Factors'!$C$9:$C$108,0))="","",INDEX('Factors'!$E$9:$E$108,MATCH(J78,'Factors'!$C$9:$C$108,0))),""))</x:f>
        <x:v>UAE</x:v>
      </x:c>
      <x:c r="S78" s="42" t="n">
        <x:f>IF(C78="","",IFERROR(IF(INDEX('Factors'!$J$9:$J$108,MATCH(J78,'Factors'!$C$9:$C$108,0))="","",INDEX('Factors'!$J$9:$J$108,MATCH(J78,'Factors'!$C$9:$C$108,0))),""))</x:f>
        <x:v>2026</x:v>
      </x:c>
      <x:c r="T78" s="9" t="str">
        <x:f>IF(C78="","",IFERROR(IF(INDEX('Factors'!$L$9:$L$108,MATCH(J78,'Factors'!$C$9:$C$108,0))="","",INDEX('Factors'!$L$9:$L$108,MATCH(J78,'Factors'!$C$9:$C$108,0))),"")&amp;" / "&amp;IFERROR(IF(INDEX('Factors'!$M$9:$M$108,MATCH(J78,'Factors'!$C$9:$C$108,0))="","",INDEX('Factors'!$M$9:$M$108,MATCH(J78,'Factors'!$C$9:$C$108,0))),""))</x:f>
        <x:v>SYNTHETIC DEMO / SYN-2026.1</x:v>
      </x:c>
      <x:c r="U78" s="21" t="n">
        <x:f>IF(V78="Ready",H78*O78/1000,"")</x:f>
        <x:v>575.25</x:v>
      </x:c>
      <x:c r="V78" s="9" t="str">
        <x:f>IF(C78="","",IF(OR(COUNTIFS($C$9:$C$308,C78)&lt;&gt;1,COUNTIFS($D$9:$D$308,D78,$E$9:$E$308,E78,$F$9:$F$308,F78,$G$9:$G$308,G78,$K$9:$K$308,K78)&lt;&gt;1),"Duplicate annual activity",IF(COUNTIFS('Inventory'!$C$9:$C$108,D78)&lt;&gt;1,"Entity required",IF(OR(E78="",L78="",NOT(ISNUMBER(H78)),H78&lt;0,NOT(ISNUMBER(K78)),NOT(ISNUMBER(N78))),"Missing activity input",IF(AND(E78&lt;&gt;D78,OR(COUNTIFS('Sites'!$C$9:$C$108,E78)&lt;&gt;1,IFERROR(IF(INDEX('Sites'!$D$9:$D$108,MATCH(E78,'Sites'!$C$9:$C$108,0))="","",INDEX('Sites'!$D$9:$D$108,MATCH(E78,'Sites'!$C$9:$C$108,0))),"")&lt;&gt;IFERROR(IF(INDEX('Inventory'!$D$9:$D$108,MATCH(D78,'Inventory'!$C$9:$C$108,0))="","",INDEX('Inventory'!$D$9:$D$108,MATCH(D78,'Inventory'!$C$9:$C$108,0))),""),IFERROR(IF(INDEX('Sites'!$E$9:$E$108,MATCH(E78,'Sites'!$C$9:$C$108,0))="","",INDEX('Sites'!$E$9:$E$108,MATCH(E78,'Sites'!$C$9:$C$108,0))),"")&lt;&gt;W78)),"Site / entity mismatch",IF(N78&lt;'Settings'!$F$8,"Expired",IF(X78&lt;&gt;"Ready","Factor required",IF(OR(G78&lt;&gt;IFERROR(IF(INDEX('Factors'!$D$9:$D$108,MATCH(J78,'Factors'!$C$9:$C$108,0))="","",INDEX('Factors'!$D$9:$D$108,MATCH(J78,'Factors'!$C$9:$C$108,0))),""),I78&lt;&gt;P78,F78&lt;&gt;Q78,K78&lt;&gt;S78,AND(R78&lt;&gt;"Global",R78&lt;&gt;W78),K78&lt;&gt;YEAR(IFERROR(IF(INDEX('Inventory'!$H$9:$H$108,MATCH(D78,'Inventory'!$C$9:$C$108,0))="","",INDEX('Inventory'!$H$9:$H$108,MATCH(D78,'Inventory'!$C$9:$C$108,0))),""))),"Factor / boundary mismatch",IF(AND(F78="S2",IFERROR(IF(INDEX('Factors'!$I$9:$I$108,MATCH(J78,'Factors'!$C$9:$C$108,0))="","",INDEX('Factors'!$I$9:$I$108,MATCH(J78,'Factors'!$C$9:$C$108,0))),"")&lt;&gt;"Location-based"),"Use location factor",IF(M78&lt;&gt;"Actual","Estimation method review","Ready"))))))))))</x:f>
        <x:v>Ready</x:v>
      </x:c>
      <x:c r="W78" s="9" t="str">
        <x:f>IF(C78="","",IFERROR(IF(INDEX('Inventory'!$G$9:$G$108,MATCH(D78,'Inventory'!$C$9:$C$108,0))="","",INDEX('Inventory'!$G$9:$G$108,MATCH(D78,'Inventory'!$C$9:$C$108,0))),""))</x:f>
        <x:v>UAE</x:v>
      </x:c>
      <x:c r="X78" s="9" t="str">
        <x:f>IF(C78="","",IFERROR(IF(INDEX('Factors'!$P$9:$P$108,MATCH(J78,'Factors'!$C$9:$C$108,0))="","",INDEX('Factors'!$P$9:$P$108,MATCH(J78,'Factors'!$C$9:$C$108,0))),""))</x:f>
        <x:v>Ready</x:v>
      </x:c>
    </x:row>
    <x:row r="79" ht="26" customHeight="1">
      <x:c r="A79" s="1"/>
      <x:c r="B79" s="1"/>
      <x:c r="C79" s="8" t="str">
        <x:v>ACT071</x:v>
      </x:c>
      <x:c r="D79" s="8" t="str">
        <x:v>B017</x:v>
      </x:c>
      <x:c r="E79" s="8" t="str">
        <x:v>S033</x:v>
      </x:c>
      <x:c r="F79" s="8" t="str">
        <x:v>S1</x:v>
      </x:c>
      <x:c r="G79" s="8" t="str">
        <x:v>Diesel</x:v>
      </x:c>
      <x:c r="H79" s="16" t="n">
        <x:v>388000</x:v>
      </x:c>
      <x:c r="I79" s="8" t="str">
        <x:v>litre</x:v>
      </x:c>
      <x:c r="J79" s="8" t="str">
        <x:v>GLOBAL-DIESEL-26</x:v>
      </x:c>
      <x:c r="K79" s="22" t="n">
        <x:v>2026</x:v>
      </x:c>
      <x:c r="L79" s="8" t="str">
        <x:v>SYN-ACT-71</x:v>
      </x:c>
      <x:c r="M79" s="8" t="str">
        <x:v>Actual</x:v>
      </x:c>
      <x:c r="N79" s="40" t="n">
        <x:v>46752</x:v>
      </x:c>
      <x:c r="O79" s="41" t="n">
        <x:f>IF(C79="","",IFERROR(IF(INDEX('Factors'!$G$9:$G$108,MATCH(J79,'Factors'!$C$9:$C$108,0))="","",INDEX('Factors'!$G$9:$G$108,MATCH(J79,'Factors'!$C$9:$C$108,0))),""))</x:f>
        <x:v>2.68</x:v>
      </x:c>
      <x:c r="P79" s="9" t="str">
        <x:f>IF(C79="","",IFERROR(IF(INDEX('Factors'!$F$9:$F$108,MATCH(J79,'Factors'!$C$9:$C$108,0))="","",INDEX('Factors'!$F$9:$F$108,MATCH(J79,'Factors'!$C$9:$C$108,0))),""))</x:f>
        <x:v>litre</x:v>
      </x:c>
      <x:c r="Q79" s="9" t="str">
        <x:f>IF(C79="","",IFERROR(IF(INDEX('Factors'!$H$9:$H$108,MATCH(J79,'Factors'!$C$9:$C$108,0))="","",INDEX('Factors'!$H$9:$H$108,MATCH(J79,'Factors'!$C$9:$C$108,0))),""))</x:f>
        <x:v>S1</x:v>
      </x:c>
      <x:c r="R79" s="9" t="str">
        <x:f>IF(C79="","",IFERROR(IF(INDEX('Factors'!$E$9:$E$108,MATCH(J79,'Factors'!$C$9:$C$108,0))="","",INDEX('Factors'!$E$9:$E$108,MATCH(J79,'Factors'!$C$9:$C$108,0))),""))</x:f>
        <x:v>Global</x:v>
      </x:c>
      <x:c r="S79" s="42" t="n">
        <x:f>IF(C79="","",IFERROR(IF(INDEX('Factors'!$J$9:$J$108,MATCH(J79,'Factors'!$C$9:$C$108,0))="","",INDEX('Factors'!$J$9:$J$108,MATCH(J79,'Factors'!$C$9:$C$108,0))),""))</x:f>
        <x:v>2026</x:v>
      </x:c>
      <x:c r="T79" s="9" t="str">
        <x:f>IF(C79="","",IFERROR(IF(INDEX('Factors'!$L$9:$L$108,MATCH(J79,'Factors'!$C$9:$C$108,0))="","",INDEX('Factors'!$L$9:$L$108,MATCH(J79,'Factors'!$C$9:$C$108,0))),"")&amp;" / "&amp;IFERROR(IF(INDEX('Factors'!$M$9:$M$108,MATCH(J79,'Factors'!$C$9:$C$108,0))="","",INDEX('Factors'!$M$9:$M$108,MATCH(J79,'Factors'!$C$9:$C$108,0))),""))</x:f>
        <x:v>SYNTHETIC DEMO / SYN-2026.1</x:v>
      </x:c>
      <x:c r="U79" s="21" t="n">
        <x:f>IF(V79="Ready",H79*O79/1000,"")</x:f>
        <x:v>1039.8400000000001</x:v>
      </x:c>
      <x:c r="V79" s="9" t="str">
        <x:f>IF(C79="","",IF(OR(COUNTIFS($C$9:$C$308,C79)&lt;&gt;1,COUNTIFS($D$9:$D$308,D79,$E$9:$E$308,E79,$F$9:$F$308,F79,$G$9:$G$308,G79,$K$9:$K$308,K79)&lt;&gt;1),"Duplicate annual activity",IF(COUNTIFS('Inventory'!$C$9:$C$108,D79)&lt;&gt;1,"Entity required",IF(OR(E79="",L79="",NOT(ISNUMBER(H79)),H79&lt;0,NOT(ISNUMBER(K79)),NOT(ISNUMBER(N79))),"Missing activity input",IF(AND(E79&lt;&gt;D79,OR(COUNTIFS('Sites'!$C$9:$C$108,E79)&lt;&gt;1,IFERROR(IF(INDEX('Sites'!$D$9:$D$108,MATCH(E79,'Sites'!$C$9:$C$108,0))="","",INDEX('Sites'!$D$9:$D$108,MATCH(E79,'Sites'!$C$9:$C$108,0))),"")&lt;&gt;IFERROR(IF(INDEX('Inventory'!$D$9:$D$108,MATCH(D79,'Inventory'!$C$9:$C$108,0))="","",INDEX('Inventory'!$D$9:$D$108,MATCH(D79,'Inventory'!$C$9:$C$108,0))),""),IFERROR(IF(INDEX('Sites'!$E$9:$E$108,MATCH(E79,'Sites'!$C$9:$C$108,0))="","",INDEX('Sites'!$E$9:$E$108,MATCH(E79,'Sites'!$C$9:$C$108,0))),"")&lt;&gt;W79)),"Site / entity mismatch",IF(N79&lt;'Settings'!$F$8,"Expired",IF(X79&lt;&gt;"Ready","Factor required",IF(OR(G79&lt;&gt;IFERROR(IF(INDEX('Factors'!$D$9:$D$108,MATCH(J79,'Factors'!$C$9:$C$108,0))="","",INDEX('Factors'!$D$9:$D$108,MATCH(J79,'Factors'!$C$9:$C$108,0))),""),I79&lt;&gt;P79,F79&lt;&gt;Q79,K79&lt;&gt;S79,AND(R79&lt;&gt;"Global",R79&lt;&gt;W79),K79&lt;&gt;YEAR(IFERROR(IF(INDEX('Inventory'!$H$9:$H$108,MATCH(D79,'Inventory'!$C$9:$C$108,0))="","",INDEX('Inventory'!$H$9:$H$108,MATCH(D79,'Inventory'!$C$9:$C$108,0))),""))),"Factor / boundary mismatch",IF(AND(F79="S2",IFERROR(IF(INDEX('Factors'!$I$9:$I$108,MATCH(J79,'Factors'!$C$9:$C$108,0))="","",INDEX('Factors'!$I$9:$I$108,MATCH(J79,'Factors'!$C$9:$C$108,0))),"")&lt;&gt;"Location-based"),"Use location factor",IF(M79&lt;&gt;"Actual","Estimation method review","Ready"))))))))))</x:f>
        <x:v>Ready</x:v>
      </x:c>
      <x:c r="W79" s="9" t="str">
        <x:f>IF(C79="","",IFERROR(IF(INDEX('Inventory'!$G$9:$G$108,MATCH(D79,'Inventory'!$C$9:$C$108,0))="","",INDEX('Inventory'!$G$9:$G$108,MATCH(D79,'Inventory'!$C$9:$C$108,0))),""))</x:f>
        <x:v>UAE</x:v>
      </x:c>
      <x:c r="X79" s="9" t="str">
        <x:f>IF(C79="","",IFERROR(IF(INDEX('Factors'!$P$9:$P$108,MATCH(J79,'Factors'!$C$9:$C$108,0))="","",INDEX('Factors'!$P$9:$P$108,MATCH(J79,'Factors'!$C$9:$C$108,0))),""))</x:f>
        <x:v>Ready</x:v>
      </x:c>
    </x:row>
    <x:row r="80" ht="26" customHeight="1">
      <x:c r="A80" s="1"/>
      <x:c r="B80" s="1"/>
      <x:c r="C80" s="8" t="str">
        <x:v>ACT072</x:v>
      </x:c>
      <x:c r="D80" s="8" t="str">
        <x:v>B017</x:v>
      </x:c>
      <x:c r="E80" s="8" t="str">
        <x:v>S033</x:v>
      </x:c>
      <x:c r="F80" s="8" t="str">
        <x:v>S2</x:v>
      </x:c>
      <x:c r="G80" s="8" t="str">
        <x:v>Electricity</x:v>
      </x:c>
      <x:c r="H80" s="16" t="n">
        <x:v>1500000</x:v>
      </x:c>
      <x:c r="I80" s="8" t="str">
        <x:v>kWh</x:v>
      </x:c>
      <x:c r="J80" s="8" t="str">
        <x:v>AE-GRID-26</x:v>
      </x:c>
      <x:c r="K80" s="22" t="n">
        <x:v>2026</x:v>
      </x:c>
      <x:c r="L80" s="8" t="str">
        <x:v>SYN-ACT-72</x:v>
      </x:c>
      <x:c r="M80" s="8" t="str">
        <x:v>Actual</x:v>
      </x:c>
      <x:c r="N80" s="40" t="n">
        <x:v>46752</x:v>
      </x:c>
      <x:c r="O80" s="41" t="n">
        <x:f>IF(C80="","",IFERROR(IF(INDEX('Factors'!$G$9:$G$108,MATCH(J80,'Factors'!$C$9:$C$108,0))="","",INDEX('Factors'!$G$9:$G$108,MATCH(J80,'Factors'!$C$9:$C$108,0))),""))</x:f>
        <x:v>0.39</x:v>
      </x:c>
      <x:c r="P80" s="9" t="str">
        <x:f>IF(C80="","",IFERROR(IF(INDEX('Factors'!$F$9:$F$108,MATCH(J80,'Factors'!$C$9:$C$108,0))="","",INDEX('Factors'!$F$9:$F$108,MATCH(J80,'Factors'!$C$9:$C$108,0))),""))</x:f>
        <x:v>kWh</x:v>
      </x:c>
      <x:c r="Q80" s="9" t="str">
        <x:f>IF(C80="","",IFERROR(IF(INDEX('Factors'!$H$9:$H$108,MATCH(J80,'Factors'!$C$9:$C$108,0))="","",INDEX('Factors'!$H$9:$H$108,MATCH(J80,'Factors'!$C$9:$C$108,0))),""))</x:f>
        <x:v>S2</x:v>
      </x:c>
      <x:c r="R80" s="9" t="str">
        <x:f>IF(C80="","",IFERROR(IF(INDEX('Factors'!$E$9:$E$108,MATCH(J80,'Factors'!$C$9:$C$108,0))="","",INDEX('Factors'!$E$9:$E$108,MATCH(J80,'Factors'!$C$9:$C$108,0))),""))</x:f>
        <x:v>UAE</x:v>
      </x:c>
      <x:c r="S80" s="42" t="n">
        <x:f>IF(C80="","",IFERROR(IF(INDEX('Factors'!$J$9:$J$108,MATCH(J80,'Factors'!$C$9:$C$108,0))="","",INDEX('Factors'!$J$9:$J$108,MATCH(J80,'Factors'!$C$9:$C$108,0))),""))</x:f>
        <x:v>2026</x:v>
      </x:c>
      <x:c r="T80" s="9" t="str">
        <x:f>IF(C80="","",IFERROR(IF(INDEX('Factors'!$L$9:$L$108,MATCH(J80,'Factors'!$C$9:$C$108,0))="","",INDEX('Factors'!$L$9:$L$108,MATCH(J80,'Factors'!$C$9:$C$108,0))),"")&amp;" / "&amp;IFERROR(IF(INDEX('Factors'!$M$9:$M$108,MATCH(J80,'Factors'!$C$9:$C$108,0))="","",INDEX('Factors'!$M$9:$M$108,MATCH(J80,'Factors'!$C$9:$C$108,0))),""))</x:f>
        <x:v>SYNTHETIC DEMO / SYN-2026.1</x:v>
      </x:c>
      <x:c r="U80" s="21" t="n">
        <x:f>IF(V80="Ready",H80*O80/1000,"")</x:f>
        <x:v>585</x:v>
      </x:c>
      <x:c r="V80" s="9" t="str">
        <x:f>IF(C80="","",IF(OR(COUNTIFS($C$9:$C$308,C80)&lt;&gt;1,COUNTIFS($D$9:$D$308,D80,$E$9:$E$308,E80,$F$9:$F$308,F80,$G$9:$G$308,G80,$K$9:$K$308,K80)&lt;&gt;1),"Duplicate annual activity",IF(COUNTIFS('Inventory'!$C$9:$C$108,D80)&lt;&gt;1,"Entity required",IF(OR(E80="",L80="",NOT(ISNUMBER(H80)),H80&lt;0,NOT(ISNUMBER(K80)),NOT(ISNUMBER(N80))),"Missing activity input",IF(AND(E80&lt;&gt;D80,OR(COUNTIFS('Sites'!$C$9:$C$108,E80)&lt;&gt;1,IFERROR(IF(INDEX('Sites'!$D$9:$D$108,MATCH(E80,'Sites'!$C$9:$C$108,0))="","",INDEX('Sites'!$D$9:$D$108,MATCH(E80,'Sites'!$C$9:$C$108,0))),"")&lt;&gt;IFERROR(IF(INDEX('Inventory'!$D$9:$D$108,MATCH(D80,'Inventory'!$C$9:$C$108,0))="","",INDEX('Inventory'!$D$9:$D$108,MATCH(D80,'Inventory'!$C$9:$C$108,0))),""),IFERROR(IF(INDEX('Sites'!$E$9:$E$108,MATCH(E80,'Sites'!$C$9:$C$108,0))="","",INDEX('Sites'!$E$9:$E$108,MATCH(E80,'Sites'!$C$9:$C$108,0))),"")&lt;&gt;W80)),"Site / entity mismatch",IF(N80&lt;'Settings'!$F$8,"Expired",IF(X80&lt;&gt;"Ready","Factor required",IF(OR(G80&lt;&gt;IFERROR(IF(INDEX('Factors'!$D$9:$D$108,MATCH(J80,'Factors'!$C$9:$C$108,0))="","",INDEX('Factors'!$D$9:$D$108,MATCH(J80,'Factors'!$C$9:$C$108,0))),""),I80&lt;&gt;P80,F80&lt;&gt;Q80,K80&lt;&gt;S80,AND(R80&lt;&gt;"Global",R80&lt;&gt;W80),K80&lt;&gt;YEAR(IFERROR(IF(INDEX('Inventory'!$H$9:$H$108,MATCH(D80,'Inventory'!$C$9:$C$108,0))="","",INDEX('Inventory'!$H$9:$H$108,MATCH(D80,'Inventory'!$C$9:$C$108,0))),""))),"Factor / boundary mismatch",IF(AND(F80="S2",IFERROR(IF(INDEX('Factors'!$I$9:$I$108,MATCH(J80,'Factors'!$C$9:$C$108,0))="","",INDEX('Factors'!$I$9:$I$108,MATCH(J80,'Factors'!$C$9:$C$108,0))),"")&lt;&gt;"Location-based"),"Use location factor",IF(M80&lt;&gt;"Actual","Estimation method review","Ready"))))))))))</x:f>
        <x:v>Ready</x:v>
      </x:c>
      <x:c r="W80" s="9" t="str">
        <x:f>IF(C80="","",IFERROR(IF(INDEX('Inventory'!$G$9:$G$108,MATCH(D80,'Inventory'!$C$9:$C$108,0))="","",INDEX('Inventory'!$G$9:$G$108,MATCH(D80,'Inventory'!$C$9:$C$108,0))),""))</x:f>
        <x:v>UAE</x:v>
      </x:c>
      <x:c r="X80" s="9" t="str">
        <x:f>IF(C80="","",IFERROR(IF(INDEX('Factors'!$P$9:$P$108,MATCH(J80,'Factors'!$C$9:$C$108,0))="","",INDEX('Factors'!$P$9:$P$108,MATCH(J80,'Factors'!$C$9:$C$108,0))),""))</x:f>
        <x:v>Ready</x:v>
      </x:c>
    </x:row>
    <x:row r="81" ht="26" customHeight="1">
      <x:c r="A81" s="1"/>
      <x:c r="B81" s="1"/>
      <x:c r="C81" s="8" t="str">
        <x:v>ACT073</x:v>
      </x:c>
      <x:c r="D81" s="8" t="str">
        <x:v>B017</x:v>
      </x:c>
      <x:c r="E81" s="8" t="str">
        <x:v>S034</x:v>
      </x:c>
      <x:c r="F81" s="8" t="str">
        <x:v>S1</x:v>
      </x:c>
      <x:c r="G81" s="8" t="str">
        <x:v>Diesel</x:v>
      </x:c>
      <x:c r="H81" s="16" t="n">
        <x:v>397000</x:v>
      </x:c>
      <x:c r="I81" s="8" t="str">
        <x:v>litre</x:v>
      </x:c>
      <x:c r="J81" s="8" t="str">
        <x:v>GLOBAL-DIESEL-26</x:v>
      </x:c>
      <x:c r="K81" s="22" t="n">
        <x:v>2026</x:v>
      </x:c>
      <x:c r="L81" s="8" t="str">
        <x:v>SYN-ACT-73</x:v>
      </x:c>
      <x:c r="M81" s="8" t="str">
        <x:v>Actual</x:v>
      </x:c>
      <x:c r="N81" s="40" t="n">
        <x:v>46752</x:v>
      </x:c>
      <x:c r="O81" s="41" t="n">
        <x:f>IF(C81="","",IFERROR(IF(INDEX('Factors'!$G$9:$G$108,MATCH(J81,'Factors'!$C$9:$C$108,0))="","",INDEX('Factors'!$G$9:$G$108,MATCH(J81,'Factors'!$C$9:$C$108,0))),""))</x:f>
        <x:v>2.68</x:v>
      </x:c>
      <x:c r="P81" s="9" t="str">
        <x:f>IF(C81="","",IFERROR(IF(INDEX('Factors'!$F$9:$F$108,MATCH(J81,'Factors'!$C$9:$C$108,0))="","",INDEX('Factors'!$F$9:$F$108,MATCH(J81,'Factors'!$C$9:$C$108,0))),""))</x:f>
        <x:v>litre</x:v>
      </x:c>
      <x:c r="Q81" s="9" t="str">
        <x:f>IF(C81="","",IFERROR(IF(INDEX('Factors'!$H$9:$H$108,MATCH(J81,'Factors'!$C$9:$C$108,0))="","",INDEX('Factors'!$H$9:$H$108,MATCH(J81,'Factors'!$C$9:$C$108,0))),""))</x:f>
        <x:v>S1</x:v>
      </x:c>
      <x:c r="R81" s="9" t="str">
        <x:f>IF(C81="","",IFERROR(IF(INDEX('Factors'!$E$9:$E$108,MATCH(J81,'Factors'!$C$9:$C$108,0))="","",INDEX('Factors'!$E$9:$E$108,MATCH(J81,'Factors'!$C$9:$C$108,0))),""))</x:f>
        <x:v>Global</x:v>
      </x:c>
      <x:c r="S81" s="42" t="n">
        <x:f>IF(C81="","",IFERROR(IF(INDEX('Factors'!$J$9:$J$108,MATCH(J81,'Factors'!$C$9:$C$108,0))="","",INDEX('Factors'!$J$9:$J$108,MATCH(J81,'Factors'!$C$9:$C$108,0))),""))</x:f>
        <x:v>2026</x:v>
      </x:c>
      <x:c r="T81" s="9" t="str">
        <x:f>IF(C81="","",IFERROR(IF(INDEX('Factors'!$L$9:$L$108,MATCH(J81,'Factors'!$C$9:$C$108,0))="","",INDEX('Factors'!$L$9:$L$108,MATCH(J81,'Factors'!$C$9:$C$108,0))),"")&amp;" / "&amp;IFERROR(IF(INDEX('Factors'!$M$9:$M$108,MATCH(J81,'Factors'!$C$9:$C$108,0))="","",INDEX('Factors'!$M$9:$M$108,MATCH(J81,'Factors'!$C$9:$C$108,0))),""))</x:f>
        <x:v>SYNTHETIC DEMO / SYN-2026.1</x:v>
      </x:c>
      <x:c r="U81" s="21" t="n">
        <x:f>IF(V81="Ready",H81*O81/1000,"")</x:f>
        <x:v>1063.96</x:v>
      </x:c>
      <x:c r="V81" s="9" t="str">
        <x:f>IF(C81="","",IF(OR(COUNTIFS($C$9:$C$308,C81)&lt;&gt;1,COUNTIFS($D$9:$D$308,D81,$E$9:$E$308,E81,$F$9:$F$308,F81,$G$9:$G$308,G81,$K$9:$K$308,K81)&lt;&gt;1),"Duplicate annual activity",IF(COUNTIFS('Inventory'!$C$9:$C$108,D81)&lt;&gt;1,"Entity required",IF(OR(E81="",L81="",NOT(ISNUMBER(H81)),H81&lt;0,NOT(ISNUMBER(K81)),NOT(ISNUMBER(N81))),"Missing activity input",IF(AND(E81&lt;&gt;D81,OR(COUNTIFS('Sites'!$C$9:$C$108,E81)&lt;&gt;1,IFERROR(IF(INDEX('Sites'!$D$9:$D$108,MATCH(E81,'Sites'!$C$9:$C$108,0))="","",INDEX('Sites'!$D$9:$D$108,MATCH(E81,'Sites'!$C$9:$C$108,0))),"")&lt;&gt;IFERROR(IF(INDEX('Inventory'!$D$9:$D$108,MATCH(D81,'Inventory'!$C$9:$C$108,0))="","",INDEX('Inventory'!$D$9:$D$108,MATCH(D81,'Inventory'!$C$9:$C$108,0))),""),IFERROR(IF(INDEX('Sites'!$E$9:$E$108,MATCH(E81,'Sites'!$C$9:$C$108,0))="","",INDEX('Sites'!$E$9:$E$108,MATCH(E81,'Sites'!$C$9:$C$108,0))),"")&lt;&gt;W81)),"Site / entity mismatch",IF(N81&lt;'Settings'!$F$8,"Expired",IF(X81&lt;&gt;"Ready","Factor required",IF(OR(G81&lt;&gt;IFERROR(IF(INDEX('Factors'!$D$9:$D$108,MATCH(J81,'Factors'!$C$9:$C$108,0))="","",INDEX('Factors'!$D$9:$D$108,MATCH(J81,'Factors'!$C$9:$C$108,0))),""),I81&lt;&gt;P81,F81&lt;&gt;Q81,K81&lt;&gt;S81,AND(R81&lt;&gt;"Global",R81&lt;&gt;W81),K81&lt;&gt;YEAR(IFERROR(IF(INDEX('Inventory'!$H$9:$H$108,MATCH(D81,'Inventory'!$C$9:$C$108,0))="","",INDEX('Inventory'!$H$9:$H$108,MATCH(D81,'Inventory'!$C$9:$C$108,0))),""))),"Factor / boundary mismatch",IF(AND(F81="S2",IFERROR(IF(INDEX('Factors'!$I$9:$I$108,MATCH(J81,'Factors'!$C$9:$C$108,0))="","",INDEX('Factors'!$I$9:$I$108,MATCH(J81,'Factors'!$C$9:$C$108,0))),"")&lt;&gt;"Location-based"),"Use location factor",IF(M81&lt;&gt;"Actual","Estimation method review","Ready"))))))))))</x:f>
        <x:v>Ready</x:v>
      </x:c>
      <x:c r="W81" s="9" t="str">
        <x:f>IF(C81="","",IFERROR(IF(INDEX('Inventory'!$G$9:$G$108,MATCH(D81,'Inventory'!$C$9:$C$108,0))="","",INDEX('Inventory'!$G$9:$G$108,MATCH(D81,'Inventory'!$C$9:$C$108,0))),""))</x:f>
        <x:v>UAE</x:v>
      </x:c>
      <x:c r="X81" s="9" t="str">
        <x:f>IF(C81="","",IFERROR(IF(INDEX('Factors'!$P$9:$P$108,MATCH(J81,'Factors'!$C$9:$C$108,0))="","",INDEX('Factors'!$P$9:$P$108,MATCH(J81,'Factors'!$C$9:$C$108,0))),""))</x:f>
        <x:v>Ready</x:v>
      </x:c>
    </x:row>
    <x:row r="82" ht="26" customHeight="1">
      <x:c r="A82" s="1"/>
      <x:c r="B82" s="1"/>
      <x:c r="C82" s="8" t="str">
        <x:v>ACT074</x:v>
      </x:c>
      <x:c r="D82" s="8" t="str">
        <x:v>B017</x:v>
      </x:c>
      <x:c r="E82" s="8" t="str">
        <x:v>S034</x:v>
      </x:c>
      <x:c r="F82" s="8" t="str">
        <x:v>S2</x:v>
      </x:c>
      <x:c r="G82" s="8" t="str">
        <x:v>Electricity</x:v>
      </x:c>
      <x:c r="H82" s="16" t="n">
        <x:v>1525000</x:v>
      </x:c>
      <x:c r="I82" s="8" t="str">
        <x:v>kWh</x:v>
      </x:c>
      <x:c r="J82" s="8" t="str">
        <x:v>AE-GRID-26</x:v>
      </x:c>
      <x:c r="K82" s="22" t="n">
        <x:v>2026</x:v>
      </x:c>
      <x:c r="L82" s="8" t="str">
        <x:v>SYN-ACT-74</x:v>
      </x:c>
      <x:c r="M82" s="8" t="str">
        <x:v>Actual</x:v>
      </x:c>
      <x:c r="N82" s="40" t="n">
        <x:v>46752</x:v>
      </x:c>
      <x:c r="O82" s="41" t="n">
        <x:f>IF(C82="","",IFERROR(IF(INDEX('Factors'!$G$9:$G$108,MATCH(J82,'Factors'!$C$9:$C$108,0))="","",INDEX('Factors'!$G$9:$G$108,MATCH(J82,'Factors'!$C$9:$C$108,0))),""))</x:f>
        <x:v>0.39</x:v>
      </x:c>
      <x:c r="P82" s="9" t="str">
        <x:f>IF(C82="","",IFERROR(IF(INDEX('Factors'!$F$9:$F$108,MATCH(J82,'Factors'!$C$9:$C$108,0))="","",INDEX('Factors'!$F$9:$F$108,MATCH(J82,'Factors'!$C$9:$C$108,0))),""))</x:f>
        <x:v>kWh</x:v>
      </x:c>
      <x:c r="Q82" s="9" t="str">
        <x:f>IF(C82="","",IFERROR(IF(INDEX('Factors'!$H$9:$H$108,MATCH(J82,'Factors'!$C$9:$C$108,0))="","",INDEX('Factors'!$H$9:$H$108,MATCH(J82,'Factors'!$C$9:$C$108,0))),""))</x:f>
        <x:v>S2</x:v>
      </x:c>
      <x:c r="R82" s="9" t="str">
        <x:f>IF(C82="","",IFERROR(IF(INDEX('Factors'!$E$9:$E$108,MATCH(J82,'Factors'!$C$9:$C$108,0))="","",INDEX('Factors'!$E$9:$E$108,MATCH(J82,'Factors'!$C$9:$C$108,0))),""))</x:f>
        <x:v>UAE</x:v>
      </x:c>
      <x:c r="S82" s="42" t="n">
        <x:f>IF(C82="","",IFERROR(IF(INDEX('Factors'!$J$9:$J$108,MATCH(J82,'Factors'!$C$9:$C$108,0))="","",INDEX('Factors'!$J$9:$J$108,MATCH(J82,'Factors'!$C$9:$C$108,0))),""))</x:f>
        <x:v>2026</x:v>
      </x:c>
      <x:c r="T82" s="9" t="str">
        <x:f>IF(C82="","",IFERROR(IF(INDEX('Factors'!$L$9:$L$108,MATCH(J82,'Factors'!$C$9:$C$108,0))="","",INDEX('Factors'!$L$9:$L$108,MATCH(J82,'Factors'!$C$9:$C$108,0))),"")&amp;" / "&amp;IFERROR(IF(INDEX('Factors'!$M$9:$M$108,MATCH(J82,'Factors'!$C$9:$C$108,0))="","",INDEX('Factors'!$M$9:$M$108,MATCH(J82,'Factors'!$C$9:$C$108,0))),""))</x:f>
        <x:v>SYNTHETIC DEMO / SYN-2026.1</x:v>
      </x:c>
      <x:c r="U82" s="21" t="n">
        <x:f>IF(V82="Ready",H82*O82/1000,"")</x:f>
        <x:v>594.75</x:v>
      </x:c>
      <x:c r="V82" s="9" t="str">
        <x:f>IF(C82="","",IF(OR(COUNTIFS($C$9:$C$308,C82)&lt;&gt;1,COUNTIFS($D$9:$D$308,D82,$E$9:$E$308,E82,$F$9:$F$308,F82,$G$9:$G$308,G82,$K$9:$K$308,K82)&lt;&gt;1),"Duplicate annual activity",IF(COUNTIFS('Inventory'!$C$9:$C$108,D82)&lt;&gt;1,"Entity required",IF(OR(E82="",L82="",NOT(ISNUMBER(H82)),H82&lt;0,NOT(ISNUMBER(K82)),NOT(ISNUMBER(N82))),"Missing activity input",IF(AND(E82&lt;&gt;D82,OR(COUNTIFS('Sites'!$C$9:$C$108,E82)&lt;&gt;1,IFERROR(IF(INDEX('Sites'!$D$9:$D$108,MATCH(E82,'Sites'!$C$9:$C$108,0))="","",INDEX('Sites'!$D$9:$D$108,MATCH(E82,'Sites'!$C$9:$C$108,0))),"")&lt;&gt;IFERROR(IF(INDEX('Inventory'!$D$9:$D$108,MATCH(D82,'Inventory'!$C$9:$C$108,0))="","",INDEX('Inventory'!$D$9:$D$108,MATCH(D82,'Inventory'!$C$9:$C$108,0))),""),IFERROR(IF(INDEX('Sites'!$E$9:$E$108,MATCH(E82,'Sites'!$C$9:$C$108,0))="","",INDEX('Sites'!$E$9:$E$108,MATCH(E82,'Sites'!$C$9:$C$108,0))),"")&lt;&gt;W82)),"Site / entity mismatch",IF(N82&lt;'Settings'!$F$8,"Expired",IF(X82&lt;&gt;"Ready","Factor required",IF(OR(G82&lt;&gt;IFERROR(IF(INDEX('Factors'!$D$9:$D$108,MATCH(J82,'Factors'!$C$9:$C$108,0))="","",INDEX('Factors'!$D$9:$D$108,MATCH(J82,'Factors'!$C$9:$C$108,0))),""),I82&lt;&gt;P82,F82&lt;&gt;Q82,K82&lt;&gt;S82,AND(R82&lt;&gt;"Global",R82&lt;&gt;W82),K82&lt;&gt;YEAR(IFERROR(IF(INDEX('Inventory'!$H$9:$H$108,MATCH(D82,'Inventory'!$C$9:$C$108,0))="","",INDEX('Inventory'!$H$9:$H$108,MATCH(D82,'Inventory'!$C$9:$C$108,0))),""))),"Factor / boundary mismatch",IF(AND(F82="S2",IFERROR(IF(INDEX('Factors'!$I$9:$I$108,MATCH(J82,'Factors'!$C$9:$C$108,0))="","",INDEX('Factors'!$I$9:$I$108,MATCH(J82,'Factors'!$C$9:$C$108,0))),"")&lt;&gt;"Location-based"),"Use location factor",IF(M82&lt;&gt;"Actual","Estimation method review","Ready"))))))))))</x:f>
        <x:v>Ready</x:v>
      </x:c>
      <x:c r="W82" s="9" t="str">
        <x:f>IF(C82="","",IFERROR(IF(INDEX('Inventory'!$G$9:$G$108,MATCH(D82,'Inventory'!$C$9:$C$108,0))="","",INDEX('Inventory'!$G$9:$G$108,MATCH(D82,'Inventory'!$C$9:$C$108,0))),""))</x:f>
        <x:v>UAE</x:v>
      </x:c>
      <x:c r="X82" s="9" t="str">
        <x:f>IF(C82="","",IFERROR(IF(INDEX('Factors'!$P$9:$P$108,MATCH(J82,'Factors'!$C$9:$C$108,0))="","",INDEX('Factors'!$P$9:$P$108,MATCH(J82,'Factors'!$C$9:$C$108,0))),""))</x:f>
        <x:v>Ready</x:v>
      </x:c>
    </x:row>
    <x:row r="83" ht="26" customHeight="1">
      <x:c r="A83" s="1"/>
      <x:c r="B83" s="1"/>
      <x:c r="C83" s="8" t="str">
        <x:v>ACT075</x:v>
      </x:c>
      <x:c r="D83" s="8" t="str">
        <x:v>B018</x:v>
      </x:c>
      <x:c r="E83" s="8" t="str">
        <x:v>S035</x:v>
      </x:c>
      <x:c r="F83" s="8" t="str">
        <x:v>S1</x:v>
      </x:c>
      <x:c r="G83" s="8" t="str">
        <x:v>Diesel</x:v>
      </x:c>
      <x:c r="H83" s="16" t="n">
        <x:v>406000</x:v>
      </x:c>
      <x:c r="I83" s="8" t="str">
        <x:v>litre</x:v>
      </x:c>
      <x:c r="J83" s="8" t="str">
        <x:v>GLOBAL-DIESEL-26</x:v>
      </x:c>
      <x:c r="K83" s="22" t="n">
        <x:v>2026</x:v>
      </x:c>
      <x:c r="L83" s="8" t="str">
        <x:v>SYN-ACT-75</x:v>
      </x:c>
      <x:c r="M83" s="8" t="str">
        <x:v>Actual</x:v>
      </x:c>
      <x:c r="N83" s="40" t="n">
        <x:v>46752</x:v>
      </x:c>
      <x:c r="O83" s="41" t="n">
        <x:f>IF(C83="","",IFERROR(IF(INDEX('Factors'!$G$9:$G$108,MATCH(J83,'Factors'!$C$9:$C$108,0))="","",INDEX('Factors'!$G$9:$G$108,MATCH(J83,'Factors'!$C$9:$C$108,0))),""))</x:f>
        <x:v>2.68</x:v>
      </x:c>
      <x:c r="P83" s="9" t="str">
        <x:f>IF(C83="","",IFERROR(IF(INDEX('Factors'!$F$9:$F$108,MATCH(J83,'Factors'!$C$9:$C$108,0))="","",INDEX('Factors'!$F$9:$F$108,MATCH(J83,'Factors'!$C$9:$C$108,0))),""))</x:f>
        <x:v>litre</x:v>
      </x:c>
      <x:c r="Q83" s="9" t="str">
        <x:f>IF(C83="","",IFERROR(IF(INDEX('Factors'!$H$9:$H$108,MATCH(J83,'Factors'!$C$9:$C$108,0))="","",INDEX('Factors'!$H$9:$H$108,MATCH(J83,'Factors'!$C$9:$C$108,0))),""))</x:f>
        <x:v>S1</x:v>
      </x:c>
      <x:c r="R83" s="9" t="str">
        <x:f>IF(C83="","",IFERROR(IF(INDEX('Factors'!$E$9:$E$108,MATCH(J83,'Factors'!$C$9:$C$108,0))="","",INDEX('Factors'!$E$9:$E$108,MATCH(J83,'Factors'!$C$9:$C$108,0))),""))</x:f>
        <x:v>Global</x:v>
      </x:c>
      <x:c r="S83" s="42" t="n">
        <x:f>IF(C83="","",IFERROR(IF(INDEX('Factors'!$J$9:$J$108,MATCH(J83,'Factors'!$C$9:$C$108,0))="","",INDEX('Factors'!$J$9:$J$108,MATCH(J83,'Factors'!$C$9:$C$108,0))),""))</x:f>
        <x:v>2026</x:v>
      </x:c>
      <x:c r="T83" s="9" t="str">
        <x:f>IF(C83="","",IFERROR(IF(INDEX('Factors'!$L$9:$L$108,MATCH(J83,'Factors'!$C$9:$C$108,0))="","",INDEX('Factors'!$L$9:$L$108,MATCH(J83,'Factors'!$C$9:$C$108,0))),"")&amp;" / "&amp;IFERROR(IF(INDEX('Factors'!$M$9:$M$108,MATCH(J83,'Factors'!$C$9:$C$108,0))="","",INDEX('Factors'!$M$9:$M$108,MATCH(J83,'Factors'!$C$9:$C$108,0))),""))</x:f>
        <x:v>SYNTHETIC DEMO / SYN-2026.1</x:v>
      </x:c>
      <x:c r="U83" s="21" t="n">
        <x:f>IF(V83="Ready",H83*O83/1000,"")</x:f>
        <x:v>1088.08</x:v>
      </x:c>
      <x:c r="V83" s="9" t="str">
        <x:f>IF(C83="","",IF(OR(COUNTIFS($C$9:$C$308,C83)&lt;&gt;1,COUNTIFS($D$9:$D$308,D83,$E$9:$E$308,E83,$F$9:$F$308,F83,$G$9:$G$308,G83,$K$9:$K$308,K83)&lt;&gt;1),"Duplicate annual activity",IF(COUNTIFS('Inventory'!$C$9:$C$108,D83)&lt;&gt;1,"Entity required",IF(OR(E83="",L83="",NOT(ISNUMBER(H83)),H83&lt;0,NOT(ISNUMBER(K83)),NOT(ISNUMBER(N83))),"Missing activity input",IF(AND(E83&lt;&gt;D83,OR(COUNTIFS('Sites'!$C$9:$C$108,E83)&lt;&gt;1,IFERROR(IF(INDEX('Sites'!$D$9:$D$108,MATCH(E83,'Sites'!$C$9:$C$108,0))="","",INDEX('Sites'!$D$9:$D$108,MATCH(E83,'Sites'!$C$9:$C$108,0))),"")&lt;&gt;IFERROR(IF(INDEX('Inventory'!$D$9:$D$108,MATCH(D83,'Inventory'!$C$9:$C$108,0))="","",INDEX('Inventory'!$D$9:$D$108,MATCH(D83,'Inventory'!$C$9:$C$108,0))),""),IFERROR(IF(INDEX('Sites'!$E$9:$E$108,MATCH(E83,'Sites'!$C$9:$C$108,0))="","",INDEX('Sites'!$E$9:$E$108,MATCH(E83,'Sites'!$C$9:$C$108,0))),"")&lt;&gt;W83)),"Site / entity mismatch",IF(N83&lt;'Settings'!$F$8,"Expired",IF(X83&lt;&gt;"Ready","Factor required",IF(OR(G83&lt;&gt;IFERROR(IF(INDEX('Factors'!$D$9:$D$108,MATCH(J83,'Factors'!$C$9:$C$108,0))="","",INDEX('Factors'!$D$9:$D$108,MATCH(J83,'Factors'!$C$9:$C$108,0))),""),I83&lt;&gt;P83,F83&lt;&gt;Q83,K83&lt;&gt;S83,AND(R83&lt;&gt;"Global",R83&lt;&gt;W83),K83&lt;&gt;YEAR(IFERROR(IF(INDEX('Inventory'!$H$9:$H$108,MATCH(D83,'Inventory'!$C$9:$C$108,0))="","",INDEX('Inventory'!$H$9:$H$108,MATCH(D83,'Inventory'!$C$9:$C$108,0))),""))),"Factor / boundary mismatch",IF(AND(F83="S2",IFERROR(IF(INDEX('Factors'!$I$9:$I$108,MATCH(J83,'Factors'!$C$9:$C$108,0))="","",INDEX('Factors'!$I$9:$I$108,MATCH(J83,'Factors'!$C$9:$C$108,0))),"")&lt;&gt;"Location-based"),"Use location factor",IF(M83&lt;&gt;"Actual","Estimation method review","Ready"))))))))))</x:f>
        <x:v>Ready</x:v>
      </x:c>
      <x:c r="W83" s="9" t="str">
        <x:f>IF(C83="","",IFERROR(IF(INDEX('Inventory'!$G$9:$G$108,MATCH(D83,'Inventory'!$C$9:$C$108,0))="","",INDEX('Inventory'!$G$9:$G$108,MATCH(D83,'Inventory'!$C$9:$C$108,0))),""))</x:f>
        <x:v>UAE</x:v>
      </x:c>
      <x:c r="X83" s="9" t="str">
        <x:f>IF(C83="","",IFERROR(IF(INDEX('Factors'!$P$9:$P$108,MATCH(J83,'Factors'!$C$9:$C$108,0))="","",INDEX('Factors'!$P$9:$P$108,MATCH(J83,'Factors'!$C$9:$C$108,0))),""))</x:f>
        <x:v>Ready</x:v>
      </x:c>
    </x:row>
    <x:row r="84" ht="26" customHeight="1">
      <x:c r="A84" s="1"/>
      <x:c r="B84" s="1"/>
      <x:c r="C84" s="8" t="str">
        <x:v>ACT076</x:v>
      </x:c>
      <x:c r="D84" s="8" t="str">
        <x:v>B018</x:v>
      </x:c>
      <x:c r="E84" s="8" t="str">
        <x:v>S035</x:v>
      </x:c>
      <x:c r="F84" s="8" t="str">
        <x:v>S2</x:v>
      </x:c>
      <x:c r="G84" s="8" t="str">
        <x:v>Electricity</x:v>
      </x:c>
      <x:c r="H84" s="16" t="n">
        <x:v>1550000</x:v>
      </x:c>
      <x:c r="I84" s="8" t="str">
        <x:v>kWh</x:v>
      </x:c>
      <x:c r="J84" s="8" t="str">
        <x:v>AE-GRID-26</x:v>
      </x:c>
      <x:c r="K84" s="22" t="n">
        <x:v>2026</x:v>
      </x:c>
      <x:c r="L84" s="8" t="str">
        <x:v>SYN-ACT-76</x:v>
      </x:c>
      <x:c r="M84" s="8" t="str">
        <x:v>Actual</x:v>
      </x:c>
      <x:c r="N84" s="40" t="n">
        <x:v>46752</x:v>
      </x:c>
      <x:c r="O84" s="41" t="n">
        <x:f>IF(C84="","",IFERROR(IF(INDEX('Factors'!$G$9:$G$108,MATCH(J84,'Factors'!$C$9:$C$108,0))="","",INDEX('Factors'!$G$9:$G$108,MATCH(J84,'Factors'!$C$9:$C$108,0))),""))</x:f>
        <x:v>0.39</x:v>
      </x:c>
      <x:c r="P84" s="9" t="str">
        <x:f>IF(C84="","",IFERROR(IF(INDEX('Factors'!$F$9:$F$108,MATCH(J84,'Factors'!$C$9:$C$108,0))="","",INDEX('Factors'!$F$9:$F$108,MATCH(J84,'Factors'!$C$9:$C$108,0))),""))</x:f>
        <x:v>kWh</x:v>
      </x:c>
      <x:c r="Q84" s="9" t="str">
        <x:f>IF(C84="","",IFERROR(IF(INDEX('Factors'!$H$9:$H$108,MATCH(J84,'Factors'!$C$9:$C$108,0))="","",INDEX('Factors'!$H$9:$H$108,MATCH(J84,'Factors'!$C$9:$C$108,0))),""))</x:f>
        <x:v>S2</x:v>
      </x:c>
      <x:c r="R84" s="9" t="str">
        <x:f>IF(C84="","",IFERROR(IF(INDEX('Factors'!$E$9:$E$108,MATCH(J84,'Factors'!$C$9:$C$108,0))="","",INDEX('Factors'!$E$9:$E$108,MATCH(J84,'Factors'!$C$9:$C$108,0))),""))</x:f>
        <x:v>UAE</x:v>
      </x:c>
      <x:c r="S84" s="42" t="n">
        <x:f>IF(C84="","",IFERROR(IF(INDEX('Factors'!$J$9:$J$108,MATCH(J84,'Factors'!$C$9:$C$108,0))="","",INDEX('Factors'!$J$9:$J$108,MATCH(J84,'Factors'!$C$9:$C$108,0))),""))</x:f>
        <x:v>2026</x:v>
      </x:c>
      <x:c r="T84" s="9" t="str">
        <x:f>IF(C84="","",IFERROR(IF(INDEX('Factors'!$L$9:$L$108,MATCH(J84,'Factors'!$C$9:$C$108,0))="","",INDEX('Factors'!$L$9:$L$108,MATCH(J84,'Factors'!$C$9:$C$108,0))),"")&amp;" / "&amp;IFERROR(IF(INDEX('Factors'!$M$9:$M$108,MATCH(J84,'Factors'!$C$9:$C$108,0))="","",INDEX('Factors'!$M$9:$M$108,MATCH(J84,'Factors'!$C$9:$C$108,0))),""))</x:f>
        <x:v>SYNTHETIC DEMO / SYN-2026.1</x:v>
      </x:c>
      <x:c r="U84" s="21" t="n">
        <x:f>IF(V84="Ready",H84*O84/1000,"")</x:f>
        <x:v>604.5</x:v>
      </x:c>
      <x:c r="V84" s="9" t="str">
        <x:f>IF(C84="","",IF(OR(COUNTIFS($C$9:$C$308,C84)&lt;&gt;1,COUNTIFS($D$9:$D$308,D84,$E$9:$E$308,E84,$F$9:$F$308,F84,$G$9:$G$308,G84,$K$9:$K$308,K84)&lt;&gt;1),"Duplicate annual activity",IF(COUNTIFS('Inventory'!$C$9:$C$108,D84)&lt;&gt;1,"Entity required",IF(OR(E84="",L84="",NOT(ISNUMBER(H84)),H84&lt;0,NOT(ISNUMBER(K84)),NOT(ISNUMBER(N84))),"Missing activity input",IF(AND(E84&lt;&gt;D84,OR(COUNTIFS('Sites'!$C$9:$C$108,E84)&lt;&gt;1,IFERROR(IF(INDEX('Sites'!$D$9:$D$108,MATCH(E84,'Sites'!$C$9:$C$108,0))="","",INDEX('Sites'!$D$9:$D$108,MATCH(E84,'Sites'!$C$9:$C$108,0))),"")&lt;&gt;IFERROR(IF(INDEX('Inventory'!$D$9:$D$108,MATCH(D84,'Inventory'!$C$9:$C$108,0))="","",INDEX('Inventory'!$D$9:$D$108,MATCH(D84,'Inventory'!$C$9:$C$108,0))),""),IFERROR(IF(INDEX('Sites'!$E$9:$E$108,MATCH(E84,'Sites'!$C$9:$C$108,0))="","",INDEX('Sites'!$E$9:$E$108,MATCH(E84,'Sites'!$C$9:$C$108,0))),"")&lt;&gt;W84)),"Site / entity mismatch",IF(N84&lt;'Settings'!$F$8,"Expired",IF(X84&lt;&gt;"Ready","Factor required",IF(OR(G84&lt;&gt;IFERROR(IF(INDEX('Factors'!$D$9:$D$108,MATCH(J84,'Factors'!$C$9:$C$108,0))="","",INDEX('Factors'!$D$9:$D$108,MATCH(J84,'Factors'!$C$9:$C$108,0))),""),I84&lt;&gt;P84,F84&lt;&gt;Q84,K84&lt;&gt;S84,AND(R84&lt;&gt;"Global",R84&lt;&gt;W84),K84&lt;&gt;YEAR(IFERROR(IF(INDEX('Inventory'!$H$9:$H$108,MATCH(D84,'Inventory'!$C$9:$C$108,0))="","",INDEX('Inventory'!$H$9:$H$108,MATCH(D84,'Inventory'!$C$9:$C$108,0))),""))),"Factor / boundary mismatch",IF(AND(F84="S2",IFERROR(IF(INDEX('Factors'!$I$9:$I$108,MATCH(J84,'Factors'!$C$9:$C$108,0))="","",INDEX('Factors'!$I$9:$I$108,MATCH(J84,'Factors'!$C$9:$C$108,0))),"")&lt;&gt;"Location-based"),"Use location factor",IF(M84&lt;&gt;"Actual","Estimation method review","Ready"))))))))))</x:f>
        <x:v>Ready</x:v>
      </x:c>
      <x:c r="W84" s="9" t="str">
        <x:f>IF(C84="","",IFERROR(IF(INDEX('Inventory'!$G$9:$G$108,MATCH(D84,'Inventory'!$C$9:$C$108,0))="","",INDEX('Inventory'!$G$9:$G$108,MATCH(D84,'Inventory'!$C$9:$C$108,0))),""))</x:f>
        <x:v>UAE</x:v>
      </x:c>
      <x:c r="X84" s="9" t="str">
        <x:f>IF(C84="","",IFERROR(IF(INDEX('Factors'!$P$9:$P$108,MATCH(J84,'Factors'!$C$9:$C$108,0))="","",INDEX('Factors'!$P$9:$P$108,MATCH(J84,'Factors'!$C$9:$C$108,0))),""))</x:f>
        <x:v>Ready</x:v>
      </x:c>
    </x:row>
    <x:row r="85" ht="26" customHeight="1">
      <x:c r="A85" s="1"/>
      <x:c r="B85" s="1"/>
      <x:c r="C85" s="8" t="str">
        <x:v>ACT077</x:v>
      </x:c>
      <x:c r="D85" s="8" t="str">
        <x:v>B018</x:v>
      </x:c>
      <x:c r="E85" s="8" t="str">
        <x:v>S036</x:v>
      </x:c>
      <x:c r="F85" s="8" t="str">
        <x:v>S1</x:v>
      </x:c>
      <x:c r="G85" s="8" t="str">
        <x:v>Diesel</x:v>
      </x:c>
      <x:c r="H85" s="16" t="n">
        <x:v>415000</x:v>
      </x:c>
      <x:c r="I85" s="8" t="str">
        <x:v>litre</x:v>
      </x:c>
      <x:c r="J85" s="8" t="str">
        <x:v>GLOBAL-DIESEL-26</x:v>
      </x:c>
      <x:c r="K85" s="22" t="n">
        <x:v>2026</x:v>
      </x:c>
      <x:c r="L85" s="8" t="str">
        <x:v>SYN-ACT-77</x:v>
      </x:c>
      <x:c r="M85" s="8" t="str">
        <x:v>Actual</x:v>
      </x:c>
      <x:c r="N85" s="40" t="n">
        <x:v>46752</x:v>
      </x:c>
      <x:c r="O85" s="41" t="n">
        <x:f>IF(C85="","",IFERROR(IF(INDEX('Factors'!$G$9:$G$108,MATCH(J85,'Factors'!$C$9:$C$108,0))="","",INDEX('Factors'!$G$9:$G$108,MATCH(J85,'Factors'!$C$9:$C$108,0))),""))</x:f>
        <x:v>2.68</x:v>
      </x:c>
      <x:c r="P85" s="9" t="str">
        <x:f>IF(C85="","",IFERROR(IF(INDEX('Factors'!$F$9:$F$108,MATCH(J85,'Factors'!$C$9:$C$108,0))="","",INDEX('Factors'!$F$9:$F$108,MATCH(J85,'Factors'!$C$9:$C$108,0))),""))</x:f>
        <x:v>litre</x:v>
      </x:c>
      <x:c r="Q85" s="9" t="str">
        <x:f>IF(C85="","",IFERROR(IF(INDEX('Factors'!$H$9:$H$108,MATCH(J85,'Factors'!$C$9:$C$108,0))="","",INDEX('Factors'!$H$9:$H$108,MATCH(J85,'Factors'!$C$9:$C$108,0))),""))</x:f>
        <x:v>S1</x:v>
      </x:c>
      <x:c r="R85" s="9" t="str">
        <x:f>IF(C85="","",IFERROR(IF(INDEX('Factors'!$E$9:$E$108,MATCH(J85,'Factors'!$C$9:$C$108,0))="","",INDEX('Factors'!$E$9:$E$108,MATCH(J85,'Factors'!$C$9:$C$108,0))),""))</x:f>
        <x:v>Global</x:v>
      </x:c>
      <x:c r="S85" s="42" t="n">
        <x:f>IF(C85="","",IFERROR(IF(INDEX('Factors'!$J$9:$J$108,MATCH(J85,'Factors'!$C$9:$C$108,0))="","",INDEX('Factors'!$J$9:$J$108,MATCH(J85,'Factors'!$C$9:$C$108,0))),""))</x:f>
        <x:v>2026</x:v>
      </x:c>
      <x:c r="T85" s="9" t="str">
        <x:f>IF(C85="","",IFERROR(IF(INDEX('Factors'!$L$9:$L$108,MATCH(J85,'Factors'!$C$9:$C$108,0))="","",INDEX('Factors'!$L$9:$L$108,MATCH(J85,'Factors'!$C$9:$C$108,0))),"")&amp;" / "&amp;IFERROR(IF(INDEX('Factors'!$M$9:$M$108,MATCH(J85,'Factors'!$C$9:$C$108,0))="","",INDEX('Factors'!$M$9:$M$108,MATCH(J85,'Factors'!$C$9:$C$108,0))),""))</x:f>
        <x:v>SYNTHETIC DEMO / SYN-2026.1</x:v>
      </x:c>
      <x:c r="U85" s="21" t="n">
        <x:f>IF(V85="Ready",H85*O85/1000,"")</x:f>
        <x:v>1112.2</x:v>
      </x:c>
      <x:c r="V85" s="9" t="str">
        <x:f>IF(C85="","",IF(OR(COUNTIFS($C$9:$C$308,C85)&lt;&gt;1,COUNTIFS($D$9:$D$308,D85,$E$9:$E$308,E85,$F$9:$F$308,F85,$G$9:$G$308,G85,$K$9:$K$308,K85)&lt;&gt;1),"Duplicate annual activity",IF(COUNTIFS('Inventory'!$C$9:$C$108,D85)&lt;&gt;1,"Entity required",IF(OR(E85="",L85="",NOT(ISNUMBER(H85)),H85&lt;0,NOT(ISNUMBER(K85)),NOT(ISNUMBER(N85))),"Missing activity input",IF(AND(E85&lt;&gt;D85,OR(COUNTIFS('Sites'!$C$9:$C$108,E85)&lt;&gt;1,IFERROR(IF(INDEX('Sites'!$D$9:$D$108,MATCH(E85,'Sites'!$C$9:$C$108,0))="","",INDEX('Sites'!$D$9:$D$108,MATCH(E85,'Sites'!$C$9:$C$108,0))),"")&lt;&gt;IFERROR(IF(INDEX('Inventory'!$D$9:$D$108,MATCH(D85,'Inventory'!$C$9:$C$108,0))="","",INDEX('Inventory'!$D$9:$D$108,MATCH(D85,'Inventory'!$C$9:$C$108,0))),""),IFERROR(IF(INDEX('Sites'!$E$9:$E$108,MATCH(E85,'Sites'!$C$9:$C$108,0))="","",INDEX('Sites'!$E$9:$E$108,MATCH(E85,'Sites'!$C$9:$C$108,0))),"")&lt;&gt;W85)),"Site / entity mismatch",IF(N85&lt;'Settings'!$F$8,"Expired",IF(X85&lt;&gt;"Ready","Factor required",IF(OR(G85&lt;&gt;IFERROR(IF(INDEX('Factors'!$D$9:$D$108,MATCH(J85,'Factors'!$C$9:$C$108,0))="","",INDEX('Factors'!$D$9:$D$108,MATCH(J85,'Factors'!$C$9:$C$108,0))),""),I85&lt;&gt;P85,F85&lt;&gt;Q85,K85&lt;&gt;S85,AND(R85&lt;&gt;"Global",R85&lt;&gt;W85),K85&lt;&gt;YEAR(IFERROR(IF(INDEX('Inventory'!$H$9:$H$108,MATCH(D85,'Inventory'!$C$9:$C$108,0))="","",INDEX('Inventory'!$H$9:$H$108,MATCH(D85,'Inventory'!$C$9:$C$108,0))),""))),"Factor / boundary mismatch",IF(AND(F85="S2",IFERROR(IF(INDEX('Factors'!$I$9:$I$108,MATCH(J85,'Factors'!$C$9:$C$108,0))="","",INDEX('Factors'!$I$9:$I$108,MATCH(J85,'Factors'!$C$9:$C$108,0))),"")&lt;&gt;"Location-based"),"Use location factor",IF(M85&lt;&gt;"Actual","Estimation method review","Ready"))))))))))</x:f>
        <x:v>Ready</x:v>
      </x:c>
      <x:c r="W85" s="9" t="str">
        <x:f>IF(C85="","",IFERROR(IF(INDEX('Inventory'!$G$9:$G$108,MATCH(D85,'Inventory'!$C$9:$C$108,0))="","",INDEX('Inventory'!$G$9:$G$108,MATCH(D85,'Inventory'!$C$9:$C$108,0))),""))</x:f>
        <x:v>UAE</x:v>
      </x:c>
      <x:c r="X85" s="9" t="str">
        <x:f>IF(C85="","",IFERROR(IF(INDEX('Factors'!$P$9:$P$108,MATCH(J85,'Factors'!$C$9:$C$108,0))="","",INDEX('Factors'!$P$9:$P$108,MATCH(J85,'Factors'!$C$9:$C$108,0))),""))</x:f>
        <x:v>Ready</x:v>
      </x:c>
    </x:row>
    <x:row r="86" ht="26" customHeight="1">
      <x:c r="A86" s="1"/>
      <x:c r="B86" s="1"/>
      <x:c r="C86" s="8" t="str">
        <x:v>ACT078</x:v>
      </x:c>
      <x:c r="D86" s="8" t="str">
        <x:v>B018</x:v>
      </x:c>
      <x:c r="E86" s="8" t="str">
        <x:v>S036</x:v>
      </x:c>
      <x:c r="F86" s="8" t="str">
        <x:v>S2</x:v>
      </x:c>
      <x:c r="G86" s="8" t="str">
        <x:v>Electricity</x:v>
      </x:c>
      <x:c r="H86" s="16" t="n">
        <x:v>1575000</x:v>
      </x:c>
      <x:c r="I86" s="8" t="str">
        <x:v>kWh</x:v>
      </x:c>
      <x:c r="J86" s="8" t="str">
        <x:v>AE-GRID-26</x:v>
      </x:c>
      <x:c r="K86" s="22" t="n">
        <x:v>2026</x:v>
      </x:c>
      <x:c r="L86" s="8" t="str">
        <x:v>SYN-ACT-78</x:v>
      </x:c>
      <x:c r="M86" s="8" t="str">
        <x:v>Actual</x:v>
      </x:c>
      <x:c r="N86" s="40" t="n">
        <x:v>46752</x:v>
      </x:c>
      <x:c r="O86" s="41" t="n">
        <x:f>IF(C86="","",IFERROR(IF(INDEX('Factors'!$G$9:$G$108,MATCH(J86,'Factors'!$C$9:$C$108,0))="","",INDEX('Factors'!$G$9:$G$108,MATCH(J86,'Factors'!$C$9:$C$108,0))),""))</x:f>
        <x:v>0.39</x:v>
      </x:c>
      <x:c r="P86" s="9" t="str">
        <x:f>IF(C86="","",IFERROR(IF(INDEX('Factors'!$F$9:$F$108,MATCH(J86,'Factors'!$C$9:$C$108,0))="","",INDEX('Factors'!$F$9:$F$108,MATCH(J86,'Factors'!$C$9:$C$108,0))),""))</x:f>
        <x:v>kWh</x:v>
      </x:c>
      <x:c r="Q86" s="9" t="str">
        <x:f>IF(C86="","",IFERROR(IF(INDEX('Factors'!$H$9:$H$108,MATCH(J86,'Factors'!$C$9:$C$108,0))="","",INDEX('Factors'!$H$9:$H$108,MATCH(J86,'Factors'!$C$9:$C$108,0))),""))</x:f>
        <x:v>S2</x:v>
      </x:c>
      <x:c r="R86" s="9" t="str">
        <x:f>IF(C86="","",IFERROR(IF(INDEX('Factors'!$E$9:$E$108,MATCH(J86,'Factors'!$C$9:$C$108,0))="","",INDEX('Factors'!$E$9:$E$108,MATCH(J86,'Factors'!$C$9:$C$108,0))),""))</x:f>
        <x:v>UAE</x:v>
      </x:c>
      <x:c r="S86" s="42" t="n">
        <x:f>IF(C86="","",IFERROR(IF(INDEX('Factors'!$J$9:$J$108,MATCH(J86,'Factors'!$C$9:$C$108,0))="","",INDEX('Factors'!$J$9:$J$108,MATCH(J86,'Factors'!$C$9:$C$108,0))),""))</x:f>
        <x:v>2026</x:v>
      </x:c>
      <x:c r="T86" s="9" t="str">
        <x:f>IF(C86="","",IFERROR(IF(INDEX('Factors'!$L$9:$L$108,MATCH(J86,'Factors'!$C$9:$C$108,0))="","",INDEX('Factors'!$L$9:$L$108,MATCH(J86,'Factors'!$C$9:$C$108,0))),"")&amp;" / "&amp;IFERROR(IF(INDEX('Factors'!$M$9:$M$108,MATCH(J86,'Factors'!$C$9:$C$108,0))="","",INDEX('Factors'!$M$9:$M$108,MATCH(J86,'Factors'!$C$9:$C$108,0))),""))</x:f>
        <x:v>SYNTHETIC DEMO / SYN-2026.1</x:v>
      </x:c>
      <x:c r="U86" s="21" t="n">
        <x:f>IF(V86="Ready",H86*O86/1000,"")</x:f>
        <x:v>614.25</x:v>
      </x:c>
      <x:c r="V86" s="9" t="str">
        <x:f>IF(C86="","",IF(OR(COUNTIFS($C$9:$C$308,C86)&lt;&gt;1,COUNTIFS($D$9:$D$308,D86,$E$9:$E$308,E86,$F$9:$F$308,F86,$G$9:$G$308,G86,$K$9:$K$308,K86)&lt;&gt;1),"Duplicate annual activity",IF(COUNTIFS('Inventory'!$C$9:$C$108,D86)&lt;&gt;1,"Entity required",IF(OR(E86="",L86="",NOT(ISNUMBER(H86)),H86&lt;0,NOT(ISNUMBER(K86)),NOT(ISNUMBER(N86))),"Missing activity input",IF(AND(E86&lt;&gt;D86,OR(COUNTIFS('Sites'!$C$9:$C$108,E86)&lt;&gt;1,IFERROR(IF(INDEX('Sites'!$D$9:$D$108,MATCH(E86,'Sites'!$C$9:$C$108,0))="","",INDEX('Sites'!$D$9:$D$108,MATCH(E86,'Sites'!$C$9:$C$108,0))),"")&lt;&gt;IFERROR(IF(INDEX('Inventory'!$D$9:$D$108,MATCH(D86,'Inventory'!$C$9:$C$108,0))="","",INDEX('Inventory'!$D$9:$D$108,MATCH(D86,'Inventory'!$C$9:$C$108,0))),""),IFERROR(IF(INDEX('Sites'!$E$9:$E$108,MATCH(E86,'Sites'!$C$9:$C$108,0))="","",INDEX('Sites'!$E$9:$E$108,MATCH(E86,'Sites'!$C$9:$C$108,0))),"")&lt;&gt;W86)),"Site / entity mismatch",IF(N86&lt;'Settings'!$F$8,"Expired",IF(X86&lt;&gt;"Ready","Factor required",IF(OR(G86&lt;&gt;IFERROR(IF(INDEX('Factors'!$D$9:$D$108,MATCH(J86,'Factors'!$C$9:$C$108,0))="","",INDEX('Factors'!$D$9:$D$108,MATCH(J86,'Factors'!$C$9:$C$108,0))),""),I86&lt;&gt;P86,F86&lt;&gt;Q86,K86&lt;&gt;S86,AND(R86&lt;&gt;"Global",R86&lt;&gt;W86),K86&lt;&gt;YEAR(IFERROR(IF(INDEX('Inventory'!$H$9:$H$108,MATCH(D86,'Inventory'!$C$9:$C$108,0))="","",INDEX('Inventory'!$H$9:$H$108,MATCH(D86,'Inventory'!$C$9:$C$108,0))),""))),"Factor / boundary mismatch",IF(AND(F86="S2",IFERROR(IF(INDEX('Factors'!$I$9:$I$108,MATCH(J86,'Factors'!$C$9:$C$108,0))="","",INDEX('Factors'!$I$9:$I$108,MATCH(J86,'Factors'!$C$9:$C$108,0))),"")&lt;&gt;"Location-based"),"Use location factor",IF(M86&lt;&gt;"Actual","Estimation method review","Ready"))))))))))</x:f>
        <x:v>Ready</x:v>
      </x:c>
      <x:c r="W86" s="9" t="str">
        <x:f>IF(C86="","",IFERROR(IF(INDEX('Inventory'!$G$9:$G$108,MATCH(D86,'Inventory'!$C$9:$C$108,0))="","",INDEX('Inventory'!$G$9:$G$108,MATCH(D86,'Inventory'!$C$9:$C$108,0))),""))</x:f>
        <x:v>UAE</x:v>
      </x:c>
      <x:c r="X86" s="9" t="str">
        <x:f>IF(C86="","",IFERROR(IF(INDEX('Factors'!$P$9:$P$108,MATCH(J86,'Factors'!$C$9:$C$108,0))="","",INDEX('Factors'!$P$9:$P$108,MATCH(J86,'Factors'!$C$9:$C$108,0))),""))</x:f>
        <x:v>Ready</x:v>
      </x:c>
    </x:row>
    <x:row r="87" ht="26" customHeight="1">
      <x:c r="A87" s="1"/>
      <x:c r="B87" s="1"/>
      <x:c r="C87" s="8" t="str">
        <x:v>ACT079</x:v>
      </x:c>
      <x:c r="D87" s="8" t="str">
        <x:v>B019</x:v>
      </x:c>
      <x:c r="E87" s="8" t="str">
        <x:v>S037</x:v>
      </x:c>
      <x:c r="F87" s="8" t="str">
        <x:v>S1</x:v>
      </x:c>
      <x:c r="G87" s="8" t="str">
        <x:v>Diesel</x:v>
      </x:c>
      <x:c r="H87" s="16" t="n">
        <x:v>424000</x:v>
      </x:c>
      <x:c r="I87" s="8" t="str">
        <x:v>litre</x:v>
      </x:c>
      <x:c r="J87" s="8" t="str">
        <x:v>GLOBAL-DIESEL-26</x:v>
      </x:c>
      <x:c r="K87" s="22" t="n">
        <x:v>2026</x:v>
      </x:c>
      <x:c r="L87" s="8" t="str">
        <x:v>SYN-ACT-79</x:v>
      </x:c>
      <x:c r="M87" s="8" t="str">
        <x:v>Actual</x:v>
      </x:c>
      <x:c r="N87" s="40" t="n">
        <x:v>46752</x:v>
      </x:c>
      <x:c r="O87" s="41" t="n">
        <x:f>IF(C87="","",IFERROR(IF(INDEX('Factors'!$G$9:$G$108,MATCH(J87,'Factors'!$C$9:$C$108,0))="","",INDEX('Factors'!$G$9:$G$108,MATCH(J87,'Factors'!$C$9:$C$108,0))),""))</x:f>
        <x:v>2.68</x:v>
      </x:c>
      <x:c r="P87" s="9" t="str">
        <x:f>IF(C87="","",IFERROR(IF(INDEX('Factors'!$F$9:$F$108,MATCH(J87,'Factors'!$C$9:$C$108,0))="","",INDEX('Factors'!$F$9:$F$108,MATCH(J87,'Factors'!$C$9:$C$108,0))),""))</x:f>
        <x:v>litre</x:v>
      </x:c>
      <x:c r="Q87" s="9" t="str">
        <x:f>IF(C87="","",IFERROR(IF(INDEX('Factors'!$H$9:$H$108,MATCH(J87,'Factors'!$C$9:$C$108,0))="","",INDEX('Factors'!$H$9:$H$108,MATCH(J87,'Factors'!$C$9:$C$108,0))),""))</x:f>
        <x:v>S1</x:v>
      </x:c>
      <x:c r="R87" s="9" t="str">
        <x:f>IF(C87="","",IFERROR(IF(INDEX('Factors'!$E$9:$E$108,MATCH(J87,'Factors'!$C$9:$C$108,0))="","",INDEX('Factors'!$E$9:$E$108,MATCH(J87,'Factors'!$C$9:$C$108,0))),""))</x:f>
        <x:v>Global</x:v>
      </x:c>
      <x:c r="S87" s="42" t="n">
        <x:f>IF(C87="","",IFERROR(IF(INDEX('Factors'!$J$9:$J$108,MATCH(J87,'Factors'!$C$9:$C$108,0))="","",INDEX('Factors'!$J$9:$J$108,MATCH(J87,'Factors'!$C$9:$C$108,0))),""))</x:f>
        <x:v>2026</x:v>
      </x:c>
      <x:c r="T87" s="9" t="str">
        <x:f>IF(C87="","",IFERROR(IF(INDEX('Factors'!$L$9:$L$108,MATCH(J87,'Factors'!$C$9:$C$108,0))="","",INDEX('Factors'!$L$9:$L$108,MATCH(J87,'Factors'!$C$9:$C$108,0))),"")&amp;" / "&amp;IFERROR(IF(INDEX('Factors'!$M$9:$M$108,MATCH(J87,'Factors'!$C$9:$C$108,0))="","",INDEX('Factors'!$M$9:$M$108,MATCH(J87,'Factors'!$C$9:$C$108,0))),""))</x:f>
        <x:v>SYNTHETIC DEMO / SYN-2026.1</x:v>
      </x:c>
      <x:c r="U87" s="21" t="n">
        <x:f>IF(V87="Ready",H87*O87/1000,"")</x:f>
        <x:v>1136.32</x:v>
      </x:c>
      <x:c r="V87" s="9" t="str">
        <x:f>IF(C87="","",IF(OR(COUNTIFS($C$9:$C$308,C87)&lt;&gt;1,COUNTIFS($D$9:$D$308,D87,$E$9:$E$308,E87,$F$9:$F$308,F87,$G$9:$G$308,G87,$K$9:$K$308,K87)&lt;&gt;1),"Duplicate annual activity",IF(COUNTIFS('Inventory'!$C$9:$C$108,D87)&lt;&gt;1,"Entity required",IF(OR(E87="",L87="",NOT(ISNUMBER(H87)),H87&lt;0,NOT(ISNUMBER(K87)),NOT(ISNUMBER(N87))),"Missing activity input",IF(AND(E87&lt;&gt;D87,OR(COUNTIFS('Sites'!$C$9:$C$108,E87)&lt;&gt;1,IFERROR(IF(INDEX('Sites'!$D$9:$D$108,MATCH(E87,'Sites'!$C$9:$C$108,0))="","",INDEX('Sites'!$D$9:$D$108,MATCH(E87,'Sites'!$C$9:$C$108,0))),"")&lt;&gt;IFERROR(IF(INDEX('Inventory'!$D$9:$D$108,MATCH(D87,'Inventory'!$C$9:$C$108,0))="","",INDEX('Inventory'!$D$9:$D$108,MATCH(D87,'Inventory'!$C$9:$C$108,0))),""),IFERROR(IF(INDEX('Sites'!$E$9:$E$108,MATCH(E87,'Sites'!$C$9:$C$108,0))="","",INDEX('Sites'!$E$9:$E$108,MATCH(E87,'Sites'!$C$9:$C$108,0))),"")&lt;&gt;W87)),"Site / entity mismatch",IF(N87&lt;'Settings'!$F$8,"Expired",IF(X87&lt;&gt;"Ready","Factor required",IF(OR(G87&lt;&gt;IFERROR(IF(INDEX('Factors'!$D$9:$D$108,MATCH(J87,'Factors'!$C$9:$C$108,0))="","",INDEX('Factors'!$D$9:$D$108,MATCH(J87,'Factors'!$C$9:$C$108,0))),""),I87&lt;&gt;P87,F87&lt;&gt;Q87,K87&lt;&gt;S87,AND(R87&lt;&gt;"Global",R87&lt;&gt;W87),K87&lt;&gt;YEAR(IFERROR(IF(INDEX('Inventory'!$H$9:$H$108,MATCH(D87,'Inventory'!$C$9:$C$108,0))="","",INDEX('Inventory'!$H$9:$H$108,MATCH(D87,'Inventory'!$C$9:$C$108,0))),""))),"Factor / boundary mismatch",IF(AND(F87="S2",IFERROR(IF(INDEX('Factors'!$I$9:$I$108,MATCH(J87,'Factors'!$C$9:$C$108,0))="","",INDEX('Factors'!$I$9:$I$108,MATCH(J87,'Factors'!$C$9:$C$108,0))),"")&lt;&gt;"Location-based"),"Use location factor",IF(M87&lt;&gt;"Actual","Estimation method review","Ready"))))))))))</x:f>
        <x:v>Ready</x:v>
      </x:c>
      <x:c r="W87" s="9" t="str">
        <x:f>IF(C87="","",IFERROR(IF(INDEX('Inventory'!$G$9:$G$108,MATCH(D87,'Inventory'!$C$9:$C$108,0))="","",INDEX('Inventory'!$G$9:$G$108,MATCH(D87,'Inventory'!$C$9:$C$108,0))),""))</x:f>
        <x:v>Egypt</x:v>
      </x:c>
      <x:c r="X87" s="9" t="str">
        <x:f>IF(C87="","",IFERROR(IF(INDEX('Factors'!$P$9:$P$108,MATCH(J87,'Factors'!$C$9:$C$108,0))="","",INDEX('Factors'!$P$9:$P$108,MATCH(J87,'Factors'!$C$9:$C$108,0))),""))</x:f>
        <x:v>Ready</x:v>
      </x:c>
    </x:row>
    <x:row r="88" ht="26" customHeight="1">
      <x:c r="A88" s="1"/>
      <x:c r="B88" s="1"/>
      <x:c r="C88" s="8" t="str">
        <x:v>ACT080</x:v>
      </x:c>
      <x:c r="D88" s="8" t="str">
        <x:v>B019</x:v>
      </x:c>
      <x:c r="E88" s="8" t="str">
        <x:v>S037</x:v>
      </x:c>
      <x:c r="F88" s="8" t="str">
        <x:v>S2</x:v>
      </x:c>
      <x:c r="G88" s="8" t="str">
        <x:v>Electricity</x:v>
      </x:c>
      <x:c r="H88" s="16" t="n">
        <x:v>1600000</x:v>
      </x:c>
      <x:c r="I88" s="8" t="str">
        <x:v>kWh</x:v>
      </x:c>
      <x:c r="J88" s="8" t="str">
        <x:v>EG-GRID-26</x:v>
      </x:c>
      <x:c r="K88" s="22" t="n">
        <x:v>2026</x:v>
      </x:c>
      <x:c r="L88" s="8" t="str">
        <x:v>SYN-ACT-80</x:v>
      </x:c>
      <x:c r="M88" s="8" t="str">
        <x:v>Actual</x:v>
      </x:c>
      <x:c r="N88" s="40" t="n">
        <x:v>46752</x:v>
      </x:c>
      <x:c r="O88" s="41" t="n">
        <x:f>IF(C88="","",IFERROR(IF(INDEX('Factors'!$G$9:$G$108,MATCH(J88,'Factors'!$C$9:$C$108,0))="","",INDEX('Factors'!$G$9:$G$108,MATCH(J88,'Factors'!$C$9:$C$108,0))),""))</x:f>
        <x:v>0.46</x:v>
      </x:c>
      <x:c r="P88" s="9" t="str">
        <x:f>IF(C88="","",IFERROR(IF(INDEX('Factors'!$F$9:$F$108,MATCH(J88,'Factors'!$C$9:$C$108,0))="","",INDEX('Factors'!$F$9:$F$108,MATCH(J88,'Factors'!$C$9:$C$108,0))),""))</x:f>
        <x:v>kWh</x:v>
      </x:c>
      <x:c r="Q88" s="9" t="str">
        <x:f>IF(C88="","",IFERROR(IF(INDEX('Factors'!$H$9:$H$108,MATCH(J88,'Factors'!$C$9:$C$108,0))="","",INDEX('Factors'!$H$9:$H$108,MATCH(J88,'Factors'!$C$9:$C$108,0))),""))</x:f>
        <x:v>S2</x:v>
      </x:c>
      <x:c r="R88" s="9" t="str">
        <x:f>IF(C88="","",IFERROR(IF(INDEX('Factors'!$E$9:$E$108,MATCH(J88,'Factors'!$C$9:$C$108,0))="","",INDEX('Factors'!$E$9:$E$108,MATCH(J88,'Factors'!$C$9:$C$108,0))),""))</x:f>
        <x:v>Egypt</x:v>
      </x:c>
      <x:c r="S88" s="42" t="n">
        <x:f>IF(C88="","",IFERROR(IF(INDEX('Factors'!$J$9:$J$108,MATCH(J88,'Factors'!$C$9:$C$108,0))="","",INDEX('Factors'!$J$9:$J$108,MATCH(J88,'Factors'!$C$9:$C$108,0))),""))</x:f>
        <x:v>2026</x:v>
      </x:c>
      <x:c r="T88" s="9" t="str">
        <x:f>IF(C88="","",IFERROR(IF(INDEX('Factors'!$L$9:$L$108,MATCH(J88,'Factors'!$C$9:$C$108,0))="","",INDEX('Factors'!$L$9:$L$108,MATCH(J88,'Factors'!$C$9:$C$108,0))),"")&amp;" / "&amp;IFERROR(IF(INDEX('Factors'!$M$9:$M$108,MATCH(J88,'Factors'!$C$9:$C$108,0))="","",INDEX('Factors'!$M$9:$M$108,MATCH(J88,'Factors'!$C$9:$C$108,0))),""))</x:f>
        <x:v>SYNTHETIC DEMO / SYN-2026.1</x:v>
      </x:c>
      <x:c r="U88" s="21" t="n">
        <x:f>IF(V88="Ready",H88*O88/1000,"")</x:f>
        <x:v>736</x:v>
      </x:c>
      <x:c r="V88" s="9" t="str">
        <x:f>IF(C88="","",IF(OR(COUNTIFS($C$9:$C$308,C88)&lt;&gt;1,COUNTIFS($D$9:$D$308,D88,$E$9:$E$308,E88,$F$9:$F$308,F88,$G$9:$G$308,G88,$K$9:$K$308,K88)&lt;&gt;1),"Duplicate annual activity",IF(COUNTIFS('Inventory'!$C$9:$C$108,D88)&lt;&gt;1,"Entity required",IF(OR(E88="",L88="",NOT(ISNUMBER(H88)),H88&lt;0,NOT(ISNUMBER(K88)),NOT(ISNUMBER(N88))),"Missing activity input",IF(AND(E88&lt;&gt;D88,OR(COUNTIFS('Sites'!$C$9:$C$108,E88)&lt;&gt;1,IFERROR(IF(INDEX('Sites'!$D$9:$D$108,MATCH(E88,'Sites'!$C$9:$C$108,0))="","",INDEX('Sites'!$D$9:$D$108,MATCH(E88,'Sites'!$C$9:$C$108,0))),"")&lt;&gt;IFERROR(IF(INDEX('Inventory'!$D$9:$D$108,MATCH(D88,'Inventory'!$C$9:$C$108,0))="","",INDEX('Inventory'!$D$9:$D$108,MATCH(D88,'Inventory'!$C$9:$C$108,0))),""),IFERROR(IF(INDEX('Sites'!$E$9:$E$108,MATCH(E88,'Sites'!$C$9:$C$108,0))="","",INDEX('Sites'!$E$9:$E$108,MATCH(E88,'Sites'!$C$9:$C$108,0))),"")&lt;&gt;W88)),"Site / entity mismatch",IF(N88&lt;'Settings'!$F$8,"Expired",IF(X88&lt;&gt;"Ready","Factor required",IF(OR(G88&lt;&gt;IFERROR(IF(INDEX('Factors'!$D$9:$D$108,MATCH(J88,'Factors'!$C$9:$C$108,0))="","",INDEX('Factors'!$D$9:$D$108,MATCH(J88,'Factors'!$C$9:$C$108,0))),""),I88&lt;&gt;P88,F88&lt;&gt;Q88,K88&lt;&gt;S88,AND(R88&lt;&gt;"Global",R88&lt;&gt;W88),K88&lt;&gt;YEAR(IFERROR(IF(INDEX('Inventory'!$H$9:$H$108,MATCH(D88,'Inventory'!$C$9:$C$108,0))="","",INDEX('Inventory'!$H$9:$H$108,MATCH(D88,'Inventory'!$C$9:$C$108,0))),""))),"Factor / boundary mismatch",IF(AND(F88="S2",IFERROR(IF(INDEX('Factors'!$I$9:$I$108,MATCH(J88,'Factors'!$C$9:$C$108,0))="","",INDEX('Factors'!$I$9:$I$108,MATCH(J88,'Factors'!$C$9:$C$108,0))),"")&lt;&gt;"Location-based"),"Use location factor",IF(M88&lt;&gt;"Actual","Estimation method review","Ready"))))))))))</x:f>
        <x:v>Ready</x:v>
      </x:c>
      <x:c r="W88" s="9" t="str">
        <x:f>IF(C88="","",IFERROR(IF(INDEX('Inventory'!$G$9:$G$108,MATCH(D88,'Inventory'!$C$9:$C$108,0))="","",INDEX('Inventory'!$G$9:$G$108,MATCH(D88,'Inventory'!$C$9:$C$108,0))),""))</x:f>
        <x:v>Egypt</x:v>
      </x:c>
      <x:c r="X88" s="9" t="str">
        <x:f>IF(C88="","",IFERROR(IF(INDEX('Factors'!$P$9:$P$108,MATCH(J88,'Factors'!$C$9:$C$108,0))="","",INDEX('Factors'!$P$9:$P$108,MATCH(J88,'Factors'!$C$9:$C$108,0))),""))</x:f>
        <x:v>Ready</x:v>
      </x:c>
    </x:row>
    <x:row r="89" ht="26" customHeight="1">
      <x:c r="A89" s="1"/>
      <x:c r="B89" s="1"/>
      <x:c r="C89" s="8" t="str">
        <x:v>ACT081</x:v>
      </x:c>
      <x:c r="D89" s="8" t="str">
        <x:v>B019</x:v>
      </x:c>
      <x:c r="E89" s="8" t="str">
        <x:v>S038</x:v>
      </x:c>
      <x:c r="F89" s="8" t="str">
        <x:v>S1</x:v>
      </x:c>
      <x:c r="G89" s="8" t="str">
        <x:v>Diesel</x:v>
      </x:c>
      <x:c r="H89" s="16" t="n">
        <x:v>433000</x:v>
      </x:c>
      <x:c r="I89" s="8" t="str">
        <x:v>litre</x:v>
      </x:c>
      <x:c r="J89" s="8" t="str">
        <x:v>GLOBAL-DIESEL-26</x:v>
      </x:c>
      <x:c r="K89" s="22" t="n">
        <x:v>2026</x:v>
      </x:c>
      <x:c r="L89" s="8" t="str">
        <x:v>SYN-ACT-81</x:v>
      </x:c>
      <x:c r="M89" s="8" t="str">
        <x:v>Actual</x:v>
      </x:c>
      <x:c r="N89" s="40" t="n">
        <x:v>46752</x:v>
      </x:c>
      <x:c r="O89" s="41" t="n">
        <x:f>IF(C89="","",IFERROR(IF(INDEX('Factors'!$G$9:$G$108,MATCH(J89,'Factors'!$C$9:$C$108,0))="","",INDEX('Factors'!$G$9:$G$108,MATCH(J89,'Factors'!$C$9:$C$108,0))),""))</x:f>
        <x:v>2.68</x:v>
      </x:c>
      <x:c r="P89" s="9" t="str">
        <x:f>IF(C89="","",IFERROR(IF(INDEX('Factors'!$F$9:$F$108,MATCH(J89,'Factors'!$C$9:$C$108,0))="","",INDEX('Factors'!$F$9:$F$108,MATCH(J89,'Factors'!$C$9:$C$108,0))),""))</x:f>
        <x:v>litre</x:v>
      </x:c>
      <x:c r="Q89" s="9" t="str">
        <x:f>IF(C89="","",IFERROR(IF(INDEX('Factors'!$H$9:$H$108,MATCH(J89,'Factors'!$C$9:$C$108,0))="","",INDEX('Factors'!$H$9:$H$108,MATCH(J89,'Factors'!$C$9:$C$108,0))),""))</x:f>
        <x:v>S1</x:v>
      </x:c>
      <x:c r="R89" s="9" t="str">
        <x:f>IF(C89="","",IFERROR(IF(INDEX('Factors'!$E$9:$E$108,MATCH(J89,'Factors'!$C$9:$C$108,0))="","",INDEX('Factors'!$E$9:$E$108,MATCH(J89,'Factors'!$C$9:$C$108,0))),""))</x:f>
        <x:v>Global</x:v>
      </x:c>
      <x:c r="S89" s="42" t="n">
        <x:f>IF(C89="","",IFERROR(IF(INDEX('Factors'!$J$9:$J$108,MATCH(J89,'Factors'!$C$9:$C$108,0))="","",INDEX('Factors'!$J$9:$J$108,MATCH(J89,'Factors'!$C$9:$C$108,0))),""))</x:f>
        <x:v>2026</x:v>
      </x:c>
      <x:c r="T89" s="9" t="str">
        <x:f>IF(C89="","",IFERROR(IF(INDEX('Factors'!$L$9:$L$108,MATCH(J89,'Factors'!$C$9:$C$108,0))="","",INDEX('Factors'!$L$9:$L$108,MATCH(J89,'Factors'!$C$9:$C$108,0))),"")&amp;" / "&amp;IFERROR(IF(INDEX('Factors'!$M$9:$M$108,MATCH(J89,'Factors'!$C$9:$C$108,0))="","",INDEX('Factors'!$M$9:$M$108,MATCH(J89,'Factors'!$C$9:$C$108,0))),""))</x:f>
        <x:v>SYNTHETIC DEMO / SYN-2026.1</x:v>
      </x:c>
      <x:c r="U89" s="21" t="n">
        <x:f>IF(V89="Ready",H89*O89/1000,"")</x:f>
        <x:v>1160.44</x:v>
      </x:c>
      <x:c r="V89" s="9" t="str">
        <x:f>IF(C89="","",IF(OR(COUNTIFS($C$9:$C$308,C89)&lt;&gt;1,COUNTIFS($D$9:$D$308,D89,$E$9:$E$308,E89,$F$9:$F$308,F89,$G$9:$G$308,G89,$K$9:$K$308,K89)&lt;&gt;1),"Duplicate annual activity",IF(COUNTIFS('Inventory'!$C$9:$C$108,D89)&lt;&gt;1,"Entity required",IF(OR(E89="",L89="",NOT(ISNUMBER(H89)),H89&lt;0,NOT(ISNUMBER(K89)),NOT(ISNUMBER(N89))),"Missing activity input",IF(AND(E89&lt;&gt;D89,OR(COUNTIFS('Sites'!$C$9:$C$108,E89)&lt;&gt;1,IFERROR(IF(INDEX('Sites'!$D$9:$D$108,MATCH(E89,'Sites'!$C$9:$C$108,0))="","",INDEX('Sites'!$D$9:$D$108,MATCH(E89,'Sites'!$C$9:$C$108,0))),"")&lt;&gt;IFERROR(IF(INDEX('Inventory'!$D$9:$D$108,MATCH(D89,'Inventory'!$C$9:$C$108,0))="","",INDEX('Inventory'!$D$9:$D$108,MATCH(D89,'Inventory'!$C$9:$C$108,0))),""),IFERROR(IF(INDEX('Sites'!$E$9:$E$108,MATCH(E89,'Sites'!$C$9:$C$108,0))="","",INDEX('Sites'!$E$9:$E$108,MATCH(E89,'Sites'!$C$9:$C$108,0))),"")&lt;&gt;W89)),"Site / entity mismatch",IF(N89&lt;'Settings'!$F$8,"Expired",IF(X89&lt;&gt;"Ready","Factor required",IF(OR(G89&lt;&gt;IFERROR(IF(INDEX('Factors'!$D$9:$D$108,MATCH(J89,'Factors'!$C$9:$C$108,0))="","",INDEX('Factors'!$D$9:$D$108,MATCH(J89,'Factors'!$C$9:$C$108,0))),""),I89&lt;&gt;P89,F89&lt;&gt;Q89,K89&lt;&gt;S89,AND(R89&lt;&gt;"Global",R89&lt;&gt;W89),K89&lt;&gt;YEAR(IFERROR(IF(INDEX('Inventory'!$H$9:$H$108,MATCH(D89,'Inventory'!$C$9:$C$108,0))="","",INDEX('Inventory'!$H$9:$H$108,MATCH(D89,'Inventory'!$C$9:$C$108,0))),""))),"Factor / boundary mismatch",IF(AND(F89="S2",IFERROR(IF(INDEX('Factors'!$I$9:$I$108,MATCH(J89,'Factors'!$C$9:$C$108,0))="","",INDEX('Factors'!$I$9:$I$108,MATCH(J89,'Factors'!$C$9:$C$108,0))),"")&lt;&gt;"Location-based"),"Use location factor",IF(M89&lt;&gt;"Actual","Estimation method review","Ready"))))))))))</x:f>
        <x:v>Ready</x:v>
      </x:c>
      <x:c r="W89" s="9" t="str">
        <x:f>IF(C89="","",IFERROR(IF(INDEX('Inventory'!$G$9:$G$108,MATCH(D89,'Inventory'!$C$9:$C$108,0))="","",INDEX('Inventory'!$G$9:$G$108,MATCH(D89,'Inventory'!$C$9:$C$108,0))),""))</x:f>
        <x:v>Egypt</x:v>
      </x:c>
      <x:c r="X89" s="9" t="str">
        <x:f>IF(C89="","",IFERROR(IF(INDEX('Factors'!$P$9:$P$108,MATCH(J89,'Factors'!$C$9:$C$108,0))="","",INDEX('Factors'!$P$9:$P$108,MATCH(J89,'Factors'!$C$9:$C$108,0))),""))</x:f>
        <x:v>Ready</x:v>
      </x:c>
    </x:row>
    <x:row r="90" ht="26" customHeight="1">
      <x:c r="A90" s="1"/>
      <x:c r="B90" s="1"/>
      <x:c r="C90" s="8" t="str">
        <x:v>ACT082</x:v>
      </x:c>
      <x:c r="D90" s="8" t="str">
        <x:v>B019</x:v>
      </x:c>
      <x:c r="E90" s="8" t="str">
        <x:v>S038</x:v>
      </x:c>
      <x:c r="F90" s="8" t="str">
        <x:v>S2</x:v>
      </x:c>
      <x:c r="G90" s="8" t="str">
        <x:v>Electricity</x:v>
      </x:c>
      <x:c r="H90" s="16" t="n">
        <x:v>1625000</x:v>
      </x:c>
      <x:c r="I90" s="8" t="str">
        <x:v>kWh</x:v>
      </x:c>
      <x:c r="J90" s="8" t="str">
        <x:v>EG-GRID-26</x:v>
      </x:c>
      <x:c r="K90" s="22" t="n">
        <x:v>2026</x:v>
      </x:c>
      <x:c r="L90" s="8" t="str">
        <x:v>SYN-ACT-82</x:v>
      </x:c>
      <x:c r="M90" s="8" t="str">
        <x:v>Actual</x:v>
      </x:c>
      <x:c r="N90" s="40" t="n">
        <x:v>46752</x:v>
      </x:c>
      <x:c r="O90" s="41" t="n">
        <x:f>IF(C90="","",IFERROR(IF(INDEX('Factors'!$G$9:$G$108,MATCH(J90,'Factors'!$C$9:$C$108,0))="","",INDEX('Factors'!$G$9:$G$108,MATCH(J90,'Factors'!$C$9:$C$108,0))),""))</x:f>
        <x:v>0.46</x:v>
      </x:c>
      <x:c r="P90" s="9" t="str">
        <x:f>IF(C90="","",IFERROR(IF(INDEX('Factors'!$F$9:$F$108,MATCH(J90,'Factors'!$C$9:$C$108,0))="","",INDEX('Factors'!$F$9:$F$108,MATCH(J90,'Factors'!$C$9:$C$108,0))),""))</x:f>
        <x:v>kWh</x:v>
      </x:c>
      <x:c r="Q90" s="9" t="str">
        <x:f>IF(C90="","",IFERROR(IF(INDEX('Factors'!$H$9:$H$108,MATCH(J90,'Factors'!$C$9:$C$108,0))="","",INDEX('Factors'!$H$9:$H$108,MATCH(J90,'Factors'!$C$9:$C$108,0))),""))</x:f>
        <x:v>S2</x:v>
      </x:c>
      <x:c r="R90" s="9" t="str">
        <x:f>IF(C90="","",IFERROR(IF(INDEX('Factors'!$E$9:$E$108,MATCH(J90,'Factors'!$C$9:$C$108,0))="","",INDEX('Factors'!$E$9:$E$108,MATCH(J90,'Factors'!$C$9:$C$108,0))),""))</x:f>
        <x:v>Egypt</x:v>
      </x:c>
      <x:c r="S90" s="42" t="n">
        <x:f>IF(C90="","",IFERROR(IF(INDEX('Factors'!$J$9:$J$108,MATCH(J90,'Factors'!$C$9:$C$108,0))="","",INDEX('Factors'!$J$9:$J$108,MATCH(J90,'Factors'!$C$9:$C$108,0))),""))</x:f>
        <x:v>2026</x:v>
      </x:c>
      <x:c r="T90" s="9" t="str">
        <x:f>IF(C90="","",IFERROR(IF(INDEX('Factors'!$L$9:$L$108,MATCH(J90,'Factors'!$C$9:$C$108,0))="","",INDEX('Factors'!$L$9:$L$108,MATCH(J90,'Factors'!$C$9:$C$108,0))),"")&amp;" / "&amp;IFERROR(IF(INDEX('Factors'!$M$9:$M$108,MATCH(J90,'Factors'!$C$9:$C$108,0))="","",INDEX('Factors'!$M$9:$M$108,MATCH(J90,'Factors'!$C$9:$C$108,0))),""))</x:f>
        <x:v>SYNTHETIC DEMO / SYN-2026.1</x:v>
      </x:c>
      <x:c r="U90" s="21" t="n">
        <x:f>IF(V90="Ready",H90*O90/1000,"")</x:f>
        <x:v>747.5</x:v>
      </x:c>
      <x:c r="V90" s="9" t="str">
        <x:f>IF(C90="","",IF(OR(COUNTIFS($C$9:$C$308,C90)&lt;&gt;1,COUNTIFS($D$9:$D$308,D90,$E$9:$E$308,E90,$F$9:$F$308,F90,$G$9:$G$308,G90,$K$9:$K$308,K90)&lt;&gt;1),"Duplicate annual activity",IF(COUNTIFS('Inventory'!$C$9:$C$108,D90)&lt;&gt;1,"Entity required",IF(OR(E90="",L90="",NOT(ISNUMBER(H90)),H90&lt;0,NOT(ISNUMBER(K90)),NOT(ISNUMBER(N90))),"Missing activity input",IF(AND(E90&lt;&gt;D90,OR(COUNTIFS('Sites'!$C$9:$C$108,E90)&lt;&gt;1,IFERROR(IF(INDEX('Sites'!$D$9:$D$108,MATCH(E90,'Sites'!$C$9:$C$108,0))="","",INDEX('Sites'!$D$9:$D$108,MATCH(E90,'Sites'!$C$9:$C$108,0))),"")&lt;&gt;IFERROR(IF(INDEX('Inventory'!$D$9:$D$108,MATCH(D90,'Inventory'!$C$9:$C$108,0))="","",INDEX('Inventory'!$D$9:$D$108,MATCH(D90,'Inventory'!$C$9:$C$108,0))),""),IFERROR(IF(INDEX('Sites'!$E$9:$E$108,MATCH(E90,'Sites'!$C$9:$C$108,0))="","",INDEX('Sites'!$E$9:$E$108,MATCH(E90,'Sites'!$C$9:$C$108,0))),"")&lt;&gt;W90)),"Site / entity mismatch",IF(N90&lt;'Settings'!$F$8,"Expired",IF(X90&lt;&gt;"Ready","Factor required",IF(OR(G90&lt;&gt;IFERROR(IF(INDEX('Factors'!$D$9:$D$108,MATCH(J90,'Factors'!$C$9:$C$108,0))="","",INDEX('Factors'!$D$9:$D$108,MATCH(J90,'Factors'!$C$9:$C$108,0))),""),I90&lt;&gt;P90,F90&lt;&gt;Q90,K90&lt;&gt;S90,AND(R90&lt;&gt;"Global",R90&lt;&gt;W90),K90&lt;&gt;YEAR(IFERROR(IF(INDEX('Inventory'!$H$9:$H$108,MATCH(D90,'Inventory'!$C$9:$C$108,0))="","",INDEX('Inventory'!$H$9:$H$108,MATCH(D90,'Inventory'!$C$9:$C$108,0))),""))),"Factor / boundary mismatch",IF(AND(F90="S2",IFERROR(IF(INDEX('Factors'!$I$9:$I$108,MATCH(J90,'Factors'!$C$9:$C$108,0))="","",INDEX('Factors'!$I$9:$I$108,MATCH(J90,'Factors'!$C$9:$C$108,0))),"")&lt;&gt;"Location-based"),"Use location factor",IF(M90&lt;&gt;"Actual","Estimation method review","Ready"))))))))))</x:f>
        <x:v>Ready</x:v>
      </x:c>
      <x:c r="W90" s="9" t="str">
        <x:f>IF(C90="","",IFERROR(IF(INDEX('Inventory'!$G$9:$G$108,MATCH(D90,'Inventory'!$C$9:$C$108,0))="","",INDEX('Inventory'!$G$9:$G$108,MATCH(D90,'Inventory'!$C$9:$C$108,0))),""))</x:f>
        <x:v>Egypt</x:v>
      </x:c>
      <x:c r="X90" s="9" t="str">
        <x:f>IF(C90="","",IFERROR(IF(INDEX('Factors'!$P$9:$P$108,MATCH(J90,'Factors'!$C$9:$C$108,0))="","",INDEX('Factors'!$P$9:$P$108,MATCH(J90,'Factors'!$C$9:$C$108,0))),""))</x:f>
        <x:v>Ready</x:v>
      </x:c>
    </x:row>
    <x:row r="91" ht="26" customHeight="1">
      <x:c r="A91" s="1"/>
      <x:c r="B91" s="1"/>
      <x:c r="C91" s="8" t="str">
        <x:v>ACT083</x:v>
      </x:c>
      <x:c r="D91" s="8" t="str">
        <x:v>B020</x:v>
      </x:c>
      <x:c r="E91" s="8" t="str">
        <x:v>S039</x:v>
      </x:c>
      <x:c r="F91" s="8" t="str">
        <x:v>S1</x:v>
      </x:c>
      <x:c r="G91" s="8" t="str">
        <x:v>Diesel</x:v>
      </x:c>
      <x:c r="H91" s="16" t="n">
        <x:v>442000</x:v>
      </x:c>
      <x:c r="I91" s="8" t="str">
        <x:v>litre</x:v>
      </x:c>
      <x:c r="J91" s="8" t="str">
        <x:v>GLOBAL-DIESEL-26</x:v>
      </x:c>
      <x:c r="K91" s="22" t="n">
        <x:v>2026</x:v>
      </x:c>
      <x:c r="L91" s="8" t="str">
        <x:v>SYN-ACT-83</x:v>
      </x:c>
      <x:c r="M91" s="8" t="str">
        <x:v>Actual</x:v>
      </x:c>
      <x:c r="N91" s="40" t="n">
        <x:v>46752</x:v>
      </x:c>
      <x:c r="O91" s="41" t="n">
        <x:f>IF(C91="","",IFERROR(IF(INDEX('Factors'!$G$9:$G$108,MATCH(J91,'Factors'!$C$9:$C$108,0))="","",INDEX('Factors'!$G$9:$G$108,MATCH(J91,'Factors'!$C$9:$C$108,0))),""))</x:f>
        <x:v>2.68</x:v>
      </x:c>
      <x:c r="P91" s="9" t="str">
        <x:f>IF(C91="","",IFERROR(IF(INDEX('Factors'!$F$9:$F$108,MATCH(J91,'Factors'!$C$9:$C$108,0))="","",INDEX('Factors'!$F$9:$F$108,MATCH(J91,'Factors'!$C$9:$C$108,0))),""))</x:f>
        <x:v>litre</x:v>
      </x:c>
      <x:c r="Q91" s="9" t="str">
        <x:f>IF(C91="","",IFERROR(IF(INDEX('Factors'!$H$9:$H$108,MATCH(J91,'Factors'!$C$9:$C$108,0))="","",INDEX('Factors'!$H$9:$H$108,MATCH(J91,'Factors'!$C$9:$C$108,0))),""))</x:f>
        <x:v>S1</x:v>
      </x:c>
      <x:c r="R91" s="9" t="str">
        <x:f>IF(C91="","",IFERROR(IF(INDEX('Factors'!$E$9:$E$108,MATCH(J91,'Factors'!$C$9:$C$108,0))="","",INDEX('Factors'!$E$9:$E$108,MATCH(J91,'Factors'!$C$9:$C$108,0))),""))</x:f>
        <x:v>Global</x:v>
      </x:c>
      <x:c r="S91" s="42" t="n">
        <x:f>IF(C91="","",IFERROR(IF(INDEX('Factors'!$J$9:$J$108,MATCH(J91,'Factors'!$C$9:$C$108,0))="","",INDEX('Factors'!$J$9:$J$108,MATCH(J91,'Factors'!$C$9:$C$108,0))),""))</x:f>
        <x:v>2026</x:v>
      </x:c>
      <x:c r="T91" s="9" t="str">
        <x:f>IF(C91="","",IFERROR(IF(INDEX('Factors'!$L$9:$L$108,MATCH(J91,'Factors'!$C$9:$C$108,0))="","",INDEX('Factors'!$L$9:$L$108,MATCH(J91,'Factors'!$C$9:$C$108,0))),"")&amp;" / "&amp;IFERROR(IF(INDEX('Factors'!$M$9:$M$108,MATCH(J91,'Factors'!$C$9:$C$108,0))="","",INDEX('Factors'!$M$9:$M$108,MATCH(J91,'Factors'!$C$9:$C$108,0))),""))</x:f>
        <x:v>SYNTHETIC DEMO / SYN-2026.1</x:v>
      </x:c>
      <x:c r="U91" s="21" t="n">
        <x:f>IF(V91="Ready",H91*O91/1000,"")</x:f>
        <x:v>1184.56</x:v>
      </x:c>
      <x:c r="V91" s="9" t="str">
        <x:f>IF(C91="","",IF(OR(COUNTIFS($C$9:$C$308,C91)&lt;&gt;1,COUNTIFS($D$9:$D$308,D91,$E$9:$E$308,E91,$F$9:$F$308,F91,$G$9:$G$308,G91,$K$9:$K$308,K91)&lt;&gt;1),"Duplicate annual activity",IF(COUNTIFS('Inventory'!$C$9:$C$108,D91)&lt;&gt;1,"Entity required",IF(OR(E91="",L91="",NOT(ISNUMBER(H91)),H91&lt;0,NOT(ISNUMBER(K91)),NOT(ISNUMBER(N91))),"Missing activity input",IF(AND(E91&lt;&gt;D91,OR(COUNTIFS('Sites'!$C$9:$C$108,E91)&lt;&gt;1,IFERROR(IF(INDEX('Sites'!$D$9:$D$108,MATCH(E91,'Sites'!$C$9:$C$108,0))="","",INDEX('Sites'!$D$9:$D$108,MATCH(E91,'Sites'!$C$9:$C$108,0))),"")&lt;&gt;IFERROR(IF(INDEX('Inventory'!$D$9:$D$108,MATCH(D91,'Inventory'!$C$9:$C$108,0))="","",INDEX('Inventory'!$D$9:$D$108,MATCH(D91,'Inventory'!$C$9:$C$108,0))),""),IFERROR(IF(INDEX('Sites'!$E$9:$E$108,MATCH(E91,'Sites'!$C$9:$C$108,0))="","",INDEX('Sites'!$E$9:$E$108,MATCH(E91,'Sites'!$C$9:$C$108,0))),"")&lt;&gt;W91)),"Site / entity mismatch",IF(N91&lt;'Settings'!$F$8,"Expired",IF(X91&lt;&gt;"Ready","Factor required",IF(OR(G91&lt;&gt;IFERROR(IF(INDEX('Factors'!$D$9:$D$108,MATCH(J91,'Factors'!$C$9:$C$108,0))="","",INDEX('Factors'!$D$9:$D$108,MATCH(J91,'Factors'!$C$9:$C$108,0))),""),I91&lt;&gt;P91,F91&lt;&gt;Q91,K91&lt;&gt;S91,AND(R91&lt;&gt;"Global",R91&lt;&gt;W91),K91&lt;&gt;YEAR(IFERROR(IF(INDEX('Inventory'!$H$9:$H$108,MATCH(D91,'Inventory'!$C$9:$C$108,0))="","",INDEX('Inventory'!$H$9:$H$108,MATCH(D91,'Inventory'!$C$9:$C$108,0))),""))),"Factor / boundary mismatch",IF(AND(F91="S2",IFERROR(IF(INDEX('Factors'!$I$9:$I$108,MATCH(J91,'Factors'!$C$9:$C$108,0))="","",INDEX('Factors'!$I$9:$I$108,MATCH(J91,'Factors'!$C$9:$C$108,0))),"")&lt;&gt;"Location-based"),"Use location factor",IF(M91&lt;&gt;"Actual","Estimation method review","Ready"))))))))))</x:f>
        <x:v>Ready</x:v>
      </x:c>
      <x:c r="W91" s="9" t="str">
        <x:f>IF(C91="","",IFERROR(IF(INDEX('Inventory'!$G$9:$G$108,MATCH(D91,'Inventory'!$C$9:$C$108,0))="","",INDEX('Inventory'!$G$9:$G$108,MATCH(D91,'Inventory'!$C$9:$C$108,0))),""))</x:f>
        <x:v>Egypt</x:v>
      </x:c>
      <x:c r="X91" s="9" t="str">
        <x:f>IF(C91="","",IFERROR(IF(INDEX('Factors'!$P$9:$P$108,MATCH(J91,'Factors'!$C$9:$C$108,0))="","",INDEX('Factors'!$P$9:$P$108,MATCH(J91,'Factors'!$C$9:$C$108,0))),""))</x:f>
        <x:v>Ready</x:v>
      </x:c>
    </x:row>
    <x:row r="92" ht="26" customHeight="1">
      <x:c r="A92" s="1"/>
      <x:c r="B92" s="1"/>
      <x:c r="C92" s="8" t="str">
        <x:v>ACT084</x:v>
      </x:c>
      <x:c r="D92" s="8" t="str">
        <x:v>B020</x:v>
      </x:c>
      <x:c r="E92" s="8" t="str">
        <x:v>S039</x:v>
      </x:c>
      <x:c r="F92" s="8" t="str">
        <x:v>S2</x:v>
      </x:c>
      <x:c r="G92" s="8" t="str">
        <x:v>Electricity</x:v>
      </x:c>
      <x:c r="H92" s="16" t="n">
        <x:v>1650000</x:v>
      </x:c>
      <x:c r="I92" s="8" t="str">
        <x:v>kWh</x:v>
      </x:c>
      <x:c r="J92" s="8" t="str">
        <x:v>EG-GRID-26</x:v>
      </x:c>
      <x:c r="K92" s="22" t="n">
        <x:v>2026</x:v>
      </x:c>
      <x:c r="L92" s="8" t="str">
        <x:v>SYN-ACT-84</x:v>
      </x:c>
      <x:c r="M92" s="8" t="str">
        <x:v>Actual</x:v>
      </x:c>
      <x:c r="N92" s="40" t="n">
        <x:v>46752</x:v>
      </x:c>
      <x:c r="O92" s="41" t="n">
        <x:f>IF(C92="","",IFERROR(IF(INDEX('Factors'!$G$9:$G$108,MATCH(J92,'Factors'!$C$9:$C$108,0))="","",INDEX('Factors'!$G$9:$G$108,MATCH(J92,'Factors'!$C$9:$C$108,0))),""))</x:f>
        <x:v>0.46</x:v>
      </x:c>
      <x:c r="P92" s="9" t="str">
        <x:f>IF(C92="","",IFERROR(IF(INDEX('Factors'!$F$9:$F$108,MATCH(J92,'Factors'!$C$9:$C$108,0))="","",INDEX('Factors'!$F$9:$F$108,MATCH(J92,'Factors'!$C$9:$C$108,0))),""))</x:f>
        <x:v>kWh</x:v>
      </x:c>
      <x:c r="Q92" s="9" t="str">
        <x:f>IF(C92="","",IFERROR(IF(INDEX('Factors'!$H$9:$H$108,MATCH(J92,'Factors'!$C$9:$C$108,0))="","",INDEX('Factors'!$H$9:$H$108,MATCH(J92,'Factors'!$C$9:$C$108,0))),""))</x:f>
        <x:v>S2</x:v>
      </x:c>
      <x:c r="R92" s="9" t="str">
        <x:f>IF(C92="","",IFERROR(IF(INDEX('Factors'!$E$9:$E$108,MATCH(J92,'Factors'!$C$9:$C$108,0))="","",INDEX('Factors'!$E$9:$E$108,MATCH(J92,'Factors'!$C$9:$C$108,0))),""))</x:f>
        <x:v>Egypt</x:v>
      </x:c>
      <x:c r="S92" s="42" t="n">
        <x:f>IF(C92="","",IFERROR(IF(INDEX('Factors'!$J$9:$J$108,MATCH(J92,'Factors'!$C$9:$C$108,0))="","",INDEX('Factors'!$J$9:$J$108,MATCH(J92,'Factors'!$C$9:$C$108,0))),""))</x:f>
        <x:v>2026</x:v>
      </x:c>
      <x:c r="T92" s="9" t="str">
        <x:f>IF(C92="","",IFERROR(IF(INDEX('Factors'!$L$9:$L$108,MATCH(J92,'Factors'!$C$9:$C$108,0))="","",INDEX('Factors'!$L$9:$L$108,MATCH(J92,'Factors'!$C$9:$C$108,0))),"")&amp;" / "&amp;IFERROR(IF(INDEX('Factors'!$M$9:$M$108,MATCH(J92,'Factors'!$C$9:$C$108,0))="","",INDEX('Factors'!$M$9:$M$108,MATCH(J92,'Factors'!$C$9:$C$108,0))),""))</x:f>
        <x:v>SYNTHETIC DEMO / SYN-2026.1</x:v>
      </x:c>
      <x:c r="U92" s="21" t="n">
        <x:f>IF(V92="Ready",H92*O92/1000,"")</x:f>
        <x:v>759</x:v>
      </x:c>
      <x:c r="V92" s="9" t="str">
        <x:f>IF(C92="","",IF(OR(COUNTIFS($C$9:$C$308,C92)&lt;&gt;1,COUNTIFS($D$9:$D$308,D92,$E$9:$E$308,E92,$F$9:$F$308,F92,$G$9:$G$308,G92,$K$9:$K$308,K92)&lt;&gt;1),"Duplicate annual activity",IF(COUNTIFS('Inventory'!$C$9:$C$108,D92)&lt;&gt;1,"Entity required",IF(OR(E92="",L92="",NOT(ISNUMBER(H92)),H92&lt;0,NOT(ISNUMBER(K92)),NOT(ISNUMBER(N92))),"Missing activity input",IF(AND(E92&lt;&gt;D92,OR(COUNTIFS('Sites'!$C$9:$C$108,E92)&lt;&gt;1,IFERROR(IF(INDEX('Sites'!$D$9:$D$108,MATCH(E92,'Sites'!$C$9:$C$108,0))="","",INDEX('Sites'!$D$9:$D$108,MATCH(E92,'Sites'!$C$9:$C$108,0))),"")&lt;&gt;IFERROR(IF(INDEX('Inventory'!$D$9:$D$108,MATCH(D92,'Inventory'!$C$9:$C$108,0))="","",INDEX('Inventory'!$D$9:$D$108,MATCH(D92,'Inventory'!$C$9:$C$108,0))),""),IFERROR(IF(INDEX('Sites'!$E$9:$E$108,MATCH(E92,'Sites'!$C$9:$C$108,0))="","",INDEX('Sites'!$E$9:$E$108,MATCH(E92,'Sites'!$C$9:$C$108,0))),"")&lt;&gt;W92)),"Site / entity mismatch",IF(N92&lt;'Settings'!$F$8,"Expired",IF(X92&lt;&gt;"Ready","Factor required",IF(OR(G92&lt;&gt;IFERROR(IF(INDEX('Factors'!$D$9:$D$108,MATCH(J92,'Factors'!$C$9:$C$108,0))="","",INDEX('Factors'!$D$9:$D$108,MATCH(J92,'Factors'!$C$9:$C$108,0))),""),I92&lt;&gt;P92,F92&lt;&gt;Q92,K92&lt;&gt;S92,AND(R92&lt;&gt;"Global",R92&lt;&gt;W92),K92&lt;&gt;YEAR(IFERROR(IF(INDEX('Inventory'!$H$9:$H$108,MATCH(D92,'Inventory'!$C$9:$C$108,0))="","",INDEX('Inventory'!$H$9:$H$108,MATCH(D92,'Inventory'!$C$9:$C$108,0))),""))),"Factor / boundary mismatch",IF(AND(F92="S2",IFERROR(IF(INDEX('Factors'!$I$9:$I$108,MATCH(J92,'Factors'!$C$9:$C$108,0))="","",INDEX('Factors'!$I$9:$I$108,MATCH(J92,'Factors'!$C$9:$C$108,0))),"")&lt;&gt;"Location-based"),"Use location factor",IF(M92&lt;&gt;"Actual","Estimation method review","Ready"))))))))))</x:f>
        <x:v>Ready</x:v>
      </x:c>
      <x:c r="W92" s="9" t="str">
        <x:f>IF(C92="","",IFERROR(IF(INDEX('Inventory'!$G$9:$G$108,MATCH(D92,'Inventory'!$C$9:$C$108,0))="","",INDEX('Inventory'!$G$9:$G$108,MATCH(D92,'Inventory'!$C$9:$C$108,0))),""))</x:f>
        <x:v>Egypt</x:v>
      </x:c>
      <x:c r="X92" s="9" t="str">
        <x:f>IF(C92="","",IFERROR(IF(INDEX('Factors'!$P$9:$P$108,MATCH(J92,'Factors'!$C$9:$C$108,0))="","",INDEX('Factors'!$P$9:$P$108,MATCH(J92,'Factors'!$C$9:$C$108,0))),""))</x:f>
        <x:v>Ready</x:v>
      </x:c>
    </x:row>
    <x:row r="93" ht="26" customHeight="1">
      <x:c r="A93" s="1"/>
      <x:c r="B93" s="1"/>
      <x:c r="C93" s="8" t="str">
        <x:v>ACT085</x:v>
      </x:c>
      <x:c r="D93" s="8" t="str">
        <x:v>B020</x:v>
      </x:c>
      <x:c r="E93" s="8" t="str">
        <x:v>S040</x:v>
      </x:c>
      <x:c r="F93" s="8" t="str">
        <x:v>S1</x:v>
      </x:c>
      <x:c r="G93" s="8" t="str">
        <x:v>Diesel</x:v>
      </x:c>
      <x:c r="H93" s="16" t="n">
        <x:v>451000</x:v>
      </x:c>
      <x:c r="I93" s="8" t="str">
        <x:v>litre</x:v>
      </x:c>
      <x:c r="J93" s="8" t="str">
        <x:v>GLOBAL-DIESEL-26</x:v>
      </x:c>
      <x:c r="K93" s="22" t="n">
        <x:v>2026</x:v>
      </x:c>
      <x:c r="L93" s="8" t="str">
        <x:v>SYN-ACT-85</x:v>
      </x:c>
      <x:c r="M93" s="8" t="str">
        <x:v>Actual</x:v>
      </x:c>
      <x:c r="N93" s="40" t="n">
        <x:v>46752</x:v>
      </x:c>
      <x:c r="O93" s="41" t="n">
        <x:f>IF(C93="","",IFERROR(IF(INDEX('Factors'!$G$9:$G$108,MATCH(J93,'Factors'!$C$9:$C$108,0))="","",INDEX('Factors'!$G$9:$G$108,MATCH(J93,'Factors'!$C$9:$C$108,0))),""))</x:f>
        <x:v>2.68</x:v>
      </x:c>
      <x:c r="P93" s="9" t="str">
        <x:f>IF(C93="","",IFERROR(IF(INDEX('Factors'!$F$9:$F$108,MATCH(J93,'Factors'!$C$9:$C$108,0))="","",INDEX('Factors'!$F$9:$F$108,MATCH(J93,'Factors'!$C$9:$C$108,0))),""))</x:f>
        <x:v>litre</x:v>
      </x:c>
      <x:c r="Q93" s="9" t="str">
        <x:f>IF(C93="","",IFERROR(IF(INDEX('Factors'!$H$9:$H$108,MATCH(J93,'Factors'!$C$9:$C$108,0))="","",INDEX('Factors'!$H$9:$H$108,MATCH(J93,'Factors'!$C$9:$C$108,0))),""))</x:f>
        <x:v>S1</x:v>
      </x:c>
      <x:c r="R93" s="9" t="str">
        <x:f>IF(C93="","",IFERROR(IF(INDEX('Factors'!$E$9:$E$108,MATCH(J93,'Factors'!$C$9:$C$108,0))="","",INDEX('Factors'!$E$9:$E$108,MATCH(J93,'Factors'!$C$9:$C$108,0))),""))</x:f>
        <x:v>Global</x:v>
      </x:c>
      <x:c r="S93" s="42" t="n">
        <x:f>IF(C93="","",IFERROR(IF(INDEX('Factors'!$J$9:$J$108,MATCH(J93,'Factors'!$C$9:$C$108,0))="","",INDEX('Factors'!$J$9:$J$108,MATCH(J93,'Factors'!$C$9:$C$108,0))),""))</x:f>
        <x:v>2026</x:v>
      </x:c>
      <x:c r="T93" s="9" t="str">
        <x:f>IF(C93="","",IFERROR(IF(INDEX('Factors'!$L$9:$L$108,MATCH(J93,'Factors'!$C$9:$C$108,0))="","",INDEX('Factors'!$L$9:$L$108,MATCH(J93,'Factors'!$C$9:$C$108,0))),"")&amp;" / "&amp;IFERROR(IF(INDEX('Factors'!$M$9:$M$108,MATCH(J93,'Factors'!$C$9:$C$108,0))="","",INDEX('Factors'!$M$9:$M$108,MATCH(J93,'Factors'!$C$9:$C$108,0))),""))</x:f>
        <x:v>SYNTHETIC DEMO / SYN-2026.1</x:v>
      </x:c>
      <x:c r="U93" s="21" t="n">
        <x:f>IF(V93="Ready",H93*O93/1000,"")</x:f>
        <x:v>1208.68</x:v>
      </x:c>
      <x:c r="V93" s="9" t="str">
        <x:f>IF(C93="","",IF(OR(COUNTIFS($C$9:$C$308,C93)&lt;&gt;1,COUNTIFS($D$9:$D$308,D93,$E$9:$E$308,E93,$F$9:$F$308,F93,$G$9:$G$308,G93,$K$9:$K$308,K93)&lt;&gt;1),"Duplicate annual activity",IF(COUNTIFS('Inventory'!$C$9:$C$108,D93)&lt;&gt;1,"Entity required",IF(OR(E93="",L93="",NOT(ISNUMBER(H93)),H93&lt;0,NOT(ISNUMBER(K93)),NOT(ISNUMBER(N93))),"Missing activity input",IF(AND(E93&lt;&gt;D93,OR(COUNTIFS('Sites'!$C$9:$C$108,E93)&lt;&gt;1,IFERROR(IF(INDEX('Sites'!$D$9:$D$108,MATCH(E93,'Sites'!$C$9:$C$108,0))="","",INDEX('Sites'!$D$9:$D$108,MATCH(E93,'Sites'!$C$9:$C$108,0))),"")&lt;&gt;IFERROR(IF(INDEX('Inventory'!$D$9:$D$108,MATCH(D93,'Inventory'!$C$9:$C$108,0))="","",INDEX('Inventory'!$D$9:$D$108,MATCH(D93,'Inventory'!$C$9:$C$108,0))),""),IFERROR(IF(INDEX('Sites'!$E$9:$E$108,MATCH(E93,'Sites'!$C$9:$C$108,0))="","",INDEX('Sites'!$E$9:$E$108,MATCH(E93,'Sites'!$C$9:$C$108,0))),"")&lt;&gt;W93)),"Site / entity mismatch",IF(N93&lt;'Settings'!$F$8,"Expired",IF(X93&lt;&gt;"Ready","Factor required",IF(OR(G93&lt;&gt;IFERROR(IF(INDEX('Factors'!$D$9:$D$108,MATCH(J93,'Factors'!$C$9:$C$108,0))="","",INDEX('Factors'!$D$9:$D$108,MATCH(J93,'Factors'!$C$9:$C$108,0))),""),I93&lt;&gt;P93,F93&lt;&gt;Q93,K93&lt;&gt;S93,AND(R93&lt;&gt;"Global",R93&lt;&gt;W93),K93&lt;&gt;YEAR(IFERROR(IF(INDEX('Inventory'!$H$9:$H$108,MATCH(D93,'Inventory'!$C$9:$C$108,0))="","",INDEX('Inventory'!$H$9:$H$108,MATCH(D93,'Inventory'!$C$9:$C$108,0))),""))),"Factor / boundary mismatch",IF(AND(F93="S2",IFERROR(IF(INDEX('Factors'!$I$9:$I$108,MATCH(J93,'Factors'!$C$9:$C$108,0))="","",INDEX('Factors'!$I$9:$I$108,MATCH(J93,'Factors'!$C$9:$C$108,0))),"")&lt;&gt;"Location-based"),"Use location factor",IF(M93&lt;&gt;"Actual","Estimation method review","Ready"))))))))))</x:f>
        <x:v>Ready</x:v>
      </x:c>
      <x:c r="W93" s="9" t="str">
        <x:f>IF(C93="","",IFERROR(IF(INDEX('Inventory'!$G$9:$G$108,MATCH(D93,'Inventory'!$C$9:$C$108,0))="","",INDEX('Inventory'!$G$9:$G$108,MATCH(D93,'Inventory'!$C$9:$C$108,0))),""))</x:f>
        <x:v>Egypt</x:v>
      </x:c>
      <x:c r="X93" s="9" t="str">
        <x:f>IF(C93="","",IFERROR(IF(INDEX('Factors'!$P$9:$P$108,MATCH(J93,'Factors'!$C$9:$C$108,0))="","",INDEX('Factors'!$P$9:$P$108,MATCH(J93,'Factors'!$C$9:$C$108,0))),""))</x:f>
        <x:v>Ready</x:v>
      </x:c>
    </x:row>
    <x:row r="94" ht="26" customHeight="1">
      <x:c r="A94" s="1"/>
      <x:c r="B94" s="1"/>
      <x:c r="C94" s="8" t="str">
        <x:v>ACT086</x:v>
      </x:c>
      <x:c r="D94" s="8" t="str">
        <x:v>B020</x:v>
      </x:c>
      <x:c r="E94" s="8" t="str">
        <x:v>S040</x:v>
      </x:c>
      <x:c r="F94" s="8" t="str">
        <x:v>S2</x:v>
      </x:c>
      <x:c r="G94" s="8" t="str">
        <x:v>Electricity</x:v>
      </x:c>
      <x:c r="H94" s="16" t="n">
        <x:v>1675000</x:v>
      </x:c>
      <x:c r="I94" s="8" t="str">
        <x:v>kWh</x:v>
      </x:c>
      <x:c r="J94" s="8" t="str">
        <x:v>EG-GRID-26</x:v>
      </x:c>
      <x:c r="K94" s="22" t="n">
        <x:v>2026</x:v>
      </x:c>
      <x:c r="L94" s="8" t="str">
        <x:v>SYN-ACT-86</x:v>
      </x:c>
      <x:c r="M94" s="8" t="str">
        <x:v>Actual</x:v>
      </x:c>
      <x:c r="N94" s="40" t="n">
        <x:v>46752</x:v>
      </x:c>
      <x:c r="O94" s="41" t="n">
        <x:f>IF(C94="","",IFERROR(IF(INDEX('Factors'!$G$9:$G$108,MATCH(J94,'Factors'!$C$9:$C$108,0))="","",INDEX('Factors'!$G$9:$G$108,MATCH(J94,'Factors'!$C$9:$C$108,0))),""))</x:f>
        <x:v>0.46</x:v>
      </x:c>
      <x:c r="P94" s="9" t="str">
        <x:f>IF(C94="","",IFERROR(IF(INDEX('Factors'!$F$9:$F$108,MATCH(J94,'Factors'!$C$9:$C$108,0))="","",INDEX('Factors'!$F$9:$F$108,MATCH(J94,'Factors'!$C$9:$C$108,0))),""))</x:f>
        <x:v>kWh</x:v>
      </x:c>
      <x:c r="Q94" s="9" t="str">
        <x:f>IF(C94="","",IFERROR(IF(INDEX('Factors'!$H$9:$H$108,MATCH(J94,'Factors'!$C$9:$C$108,0))="","",INDEX('Factors'!$H$9:$H$108,MATCH(J94,'Factors'!$C$9:$C$108,0))),""))</x:f>
        <x:v>S2</x:v>
      </x:c>
      <x:c r="R94" s="9" t="str">
        <x:f>IF(C94="","",IFERROR(IF(INDEX('Factors'!$E$9:$E$108,MATCH(J94,'Factors'!$C$9:$C$108,0))="","",INDEX('Factors'!$E$9:$E$108,MATCH(J94,'Factors'!$C$9:$C$108,0))),""))</x:f>
        <x:v>Egypt</x:v>
      </x:c>
      <x:c r="S94" s="42" t="n">
        <x:f>IF(C94="","",IFERROR(IF(INDEX('Factors'!$J$9:$J$108,MATCH(J94,'Factors'!$C$9:$C$108,0))="","",INDEX('Factors'!$J$9:$J$108,MATCH(J94,'Factors'!$C$9:$C$108,0))),""))</x:f>
        <x:v>2026</x:v>
      </x:c>
      <x:c r="T94" s="9" t="str">
        <x:f>IF(C94="","",IFERROR(IF(INDEX('Factors'!$L$9:$L$108,MATCH(J94,'Factors'!$C$9:$C$108,0))="","",INDEX('Factors'!$L$9:$L$108,MATCH(J94,'Factors'!$C$9:$C$108,0))),"")&amp;" / "&amp;IFERROR(IF(INDEX('Factors'!$M$9:$M$108,MATCH(J94,'Factors'!$C$9:$C$108,0))="","",INDEX('Factors'!$M$9:$M$108,MATCH(J94,'Factors'!$C$9:$C$108,0))),""))</x:f>
        <x:v>SYNTHETIC DEMO / SYN-2026.1</x:v>
      </x:c>
      <x:c r="U94" s="21" t="n">
        <x:f>IF(V94="Ready",H94*O94/1000,"")</x:f>
        <x:v>770.5</x:v>
      </x:c>
      <x:c r="V94" s="9" t="str">
        <x:f>IF(C94="","",IF(OR(COUNTIFS($C$9:$C$308,C94)&lt;&gt;1,COUNTIFS($D$9:$D$308,D94,$E$9:$E$308,E94,$F$9:$F$308,F94,$G$9:$G$308,G94,$K$9:$K$308,K94)&lt;&gt;1),"Duplicate annual activity",IF(COUNTIFS('Inventory'!$C$9:$C$108,D94)&lt;&gt;1,"Entity required",IF(OR(E94="",L94="",NOT(ISNUMBER(H94)),H94&lt;0,NOT(ISNUMBER(K94)),NOT(ISNUMBER(N94))),"Missing activity input",IF(AND(E94&lt;&gt;D94,OR(COUNTIFS('Sites'!$C$9:$C$108,E94)&lt;&gt;1,IFERROR(IF(INDEX('Sites'!$D$9:$D$108,MATCH(E94,'Sites'!$C$9:$C$108,0))="","",INDEX('Sites'!$D$9:$D$108,MATCH(E94,'Sites'!$C$9:$C$108,0))),"")&lt;&gt;IFERROR(IF(INDEX('Inventory'!$D$9:$D$108,MATCH(D94,'Inventory'!$C$9:$C$108,0))="","",INDEX('Inventory'!$D$9:$D$108,MATCH(D94,'Inventory'!$C$9:$C$108,0))),""),IFERROR(IF(INDEX('Sites'!$E$9:$E$108,MATCH(E94,'Sites'!$C$9:$C$108,0))="","",INDEX('Sites'!$E$9:$E$108,MATCH(E94,'Sites'!$C$9:$C$108,0))),"")&lt;&gt;W94)),"Site / entity mismatch",IF(N94&lt;'Settings'!$F$8,"Expired",IF(X94&lt;&gt;"Ready","Factor required",IF(OR(G94&lt;&gt;IFERROR(IF(INDEX('Factors'!$D$9:$D$108,MATCH(J94,'Factors'!$C$9:$C$108,0))="","",INDEX('Factors'!$D$9:$D$108,MATCH(J94,'Factors'!$C$9:$C$108,0))),""),I94&lt;&gt;P94,F94&lt;&gt;Q94,K94&lt;&gt;S94,AND(R94&lt;&gt;"Global",R94&lt;&gt;W94),K94&lt;&gt;YEAR(IFERROR(IF(INDEX('Inventory'!$H$9:$H$108,MATCH(D94,'Inventory'!$C$9:$C$108,0))="","",INDEX('Inventory'!$H$9:$H$108,MATCH(D94,'Inventory'!$C$9:$C$108,0))),""))),"Factor / boundary mismatch",IF(AND(F94="S2",IFERROR(IF(INDEX('Factors'!$I$9:$I$108,MATCH(J94,'Factors'!$C$9:$C$108,0))="","",INDEX('Factors'!$I$9:$I$108,MATCH(J94,'Factors'!$C$9:$C$108,0))),"")&lt;&gt;"Location-based"),"Use location factor",IF(M94&lt;&gt;"Actual","Estimation method review","Ready"))))))))))</x:f>
        <x:v>Ready</x:v>
      </x:c>
      <x:c r="W94" s="9" t="str">
        <x:f>IF(C94="","",IFERROR(IF(INDEX('Inventory'!$G$9:$G$108,MATCH(D94,'Inventory'!$C$9:$C$108,0))="","",INDEX('Inventory'!$G$9:$G$108,MATCH(D94,'Inventory'!$C$9:$C$108,0))),""))</x:f>
        <x:v>Egypt</x:v>
      </x:c>
      <x:c r="X94" s="9" t="str">
        <x:f>IF(C94="","",IFERROR(IF(INDEX('Factors'!$P$9:$P$108,MATCH(J94,'Factors'!$C$9:$C$108,0))="","",INDEX('Factors'!$P$9:$P$108,MATCH(J94,'Factors'!$C$9:$C$108,0))),""))</x:f>
        <x:v>Ready</x:v>
      </x:c>
    </x:row>
    <x:row r="95" ht="26" customHeight="1">
      <x:c r="A95" s="1"/>
      <x:c r="B95" s="1"/>
      <x:c r="C95" s="8" t="str">
        <x:v>ACT087</x:v>
      </x:c>
      <x:c r="D95" s="8" t="str">
        <x:v>B021</x:v>
      </x:c>
      <x:c r="E95" s="8" t="str">
        <x:v>S041</x:v>
      </x:c>
      <x:c r="F95" s="8" t="str">
        <x:v>S1</x:v>
      </x:c>
      <x:c r="G95" s="8" t="str">
        <x:v>Diesel</x:v>
      </x:c>
      <x:c r="H95" s="16" t="n">
        <x:v>460000</x:v>
      </x:c>
      <x:c r="I95" s="8" t="str">
        <x:v>litre</x:v>
      </x:c>
      <x:c r="J95" s="8" t="str">
        <x:v>GLOBAL-DIESEL-26</x:v>
      </x:c>
      <x:c r="K95" s="22" t="n">
        <x:v>2026</x:v>
      </x:c>
      <x:c r="L95" s="8" t="str">
        <x:v>SYN-ACT-87</x:v>
      </x:c>
      <x:c r="M95" s="8" t="str">
        <x:v>Actual</x:v>
      </x:c>
      <x:c r="N95" s="40" t="n">
        <x:v>46752</x:v>
      </x:c>
      <x:c r="O95" s="41" t="n">
        <x:f>IF(C95="","",IFERROR(IF(INDEX('Factors'!$G$9:$G$108,MATCH(J95,'Factors'!$C$9:$C$108,0))="","",INDEX('Factors'!$G$9:$G$108,MATCH(J95,'Factors'!$C$9:$C$108,0))),""))</x:f>
        <x:v>2.68</x:v>
      </x:c>
      <x:c r="P95" s="9" t="str">
        <x:f>IF(C95="","",IFERROR(IF(INDEX('Factors'!$F$9:$F$108,MATCH(J95,'Factors'!$C$9:$C$108,0))="","",INDEX('Factors'!$F$9:$F$108,MATCH(J95,'Factors'!$C$9:$C$108,0))),""))</x:f>
        <x:v>litre</x:v>
      </x:c>
      <x:c r="Q95" s="9" t="str">
        <x:f>IF(C95="","",IFERROR(IF(INDEX('Factors'!$H$9:$H$108,MATCH(J95,'Factors'!$C$9:$C$108,0))="","",INDEX('Factors'!$H$9:$H$108,MATCH(J95,'Factors'!$C$9:$C$108,0))),""))</x:f>
        <x:v>S1</x:v>
      </x:c>
      <x:c r="R95" s="9" t="str">
        <x:f>IF(C95="","",IFERROR(IF(INDEX('Factors'!$E$9:$E$108,MATCH(J95,'Factors'!$C$9:$C$108,0))="","",INDEX('Factors'!$E$9:$E$108,MATCH(J95,'Factors'!$C$9:$C$108,0))),""))</x:f>
        <x:v>Global</x:v>
      </x:c>
      <x:c r="S95" s="42" t="n">
        <x:f>IF(C95="","",IFERROR(IF(INDEX('Factors'!$J$9:$J$108,MATCH(J95,'Factors'!$C$9:$C$108,0))="","",INDEX('Factors'!$J$9:$J$108,MATCH(J95,'Factors'!$C$9:$C$108,0))),""))</x:f>
        <x:v>2026</x:v>
      </x:c>
      <x:c r="T95" s="9" t="str">
        <x:f>IF(C95="","",IFERROR(IF(INDEX('Factors'!$L$9:$L$108,MATCH(J95,'Factors'!$C$9:$C$108,0))="","",INDEX('Factors'!$L$9:$L$108,MATCH(J95,'Factors'!$C$9:$C$108,0))),"")&amp;" / "&amp;IFERROR(IF(INDEX('Factors'!$M$9:$M$108,MATCH(J95,'Factors'!$C$9:$C$108,0))="","",INDEX('Factors'!$M$9:$M$108,MATCH(J95,'Factors'!$C$9:$C$108,0))),""))</x:f>
        <x:v>SYNTHETIC DEMO / SYN-2026.1</x:v>
      </x:c>
      <x:c r="U95" s="21" t="n">
        <x:f>IF(V95="Ready",H95*O95/1000,"")</x:f>
        <x:v>1232.8</x:v>
      </x:c>
      <x:c r="V95" s="9" t="str">
        <x:f>IF(C95="","",IF(OR(COUNTIFS($C$9:$C$308,C95)&lt;&gt;1,COUNTIFS($D$9:$D$308,D95,$E$9:$E$308,E95,$F$9:$F$308,F95,$G$9:$G$308,G95,$K$9:$K$308,K95)&lt;&gt;1),"Duplicate annual activity",IF(COUNTIFS('Inventory'!$C$9:$C$108,D95)&lt;&gt;1,"Entity required",IF(OR(E95="",L95="",NOT(ISNUMBER(H95)),H95&lt;0,NOT(ISNUMBER(K95)),NOT(ISNUMBER(N95))),"Missing activity input",IF(AND(E95&lt;&gt;D95,OR(COUNTIFS('Sites'!$C$9:$C$108,E95)&lt;&gt;1,IFERROR(IF(INDEX('Sites'!$D$9:$D$108,MATCH(E95,'Sites'!$C$9:$C$108,0))="","",INDEX('Sites'!$D$9:$D$108,MATCH(E95,'Sites'!$C$9:$C$108,0))),"")&lt;&gt;IFERROR(IF(INDEX('Inventory'!$D$9:$D$108,MATCH(D95,'Inventory'!$C$9:$C$108,0))="","",INDEX('Inventory'!$D$9:$D$108,MATCH(D95,'Inventory'!$C$9:$C$108,0))),""),IFERROR(IF(INDEX('Sites'!$E$9:$E$108,MATCH(E95,'Sites'!$C$9:$C$108,0))="","",INDEX('Sites'!$E$9:$E$108,MATCH(E95,'Sites'!$C$9:$C$108,0))),"")&lt;&gt;W95)),"Site / entity mismatch",IF(N95&lt;'Settings'!$F$8,"Expired",IF(X95&lt;&gt;"Ready","Factor required",IF(OR(G95&lt;&gt;IFERROR(IF(INDEX('Factors'!$D$9:$D$108,MATCH(J95,'Factors'!$C$9:$C$108,0))="","",INDEX('Factors'!$D$9:$D$108,MATCH(J95,'Factors'!$C$9:$C$108,0))),""),I95&lt;&gt;P95,F95&lt;&gt;Q95,K95&lt;&gt;S95,AND(R95&lt;&gt;"Global",R95&lt;&gt;W95),K95&lt;&gt;YEAR(IFERROR(IF(INDEX('Inventory'!$H$9:$H$108,MATCH(D95,'Inventory'!$C$9:$C$108,0))="","",INDEX('Inventory'!$H$9:$H$108,MATCH(D95,'Inventory'!$C$9:$C$108,0))),""))),"Factor / boundary mismatch",IF(AND(F95="S2",IFERROR(IF(INDEX('Factors'!$I$9:$I$108,MATCH(J95,'Factors'!$C$9:$C$108,0))="","",INDEX('Factors'!$I$9:$I$108,MATCH(J95,'Factors'!$C$9:$C$108,0))),"")&lt;&gt;"Location-based"),"Use location factor",IF(M95&lt;&gt;"Actual","Estimation method review","Ready"))))))))))</x:f>
        <x:v>Ready</x:v>
      </x:c>
      <x:c r="W95" s="9" t="str">
        <x:f>IF(C95="","",IFERROR(IF(INDEX('Inventory'!$G$9:$G$108,MATCH(D95,'Inventory'!$C$9:$C$108,0))="","",INDEX('Inventory'!$G$9:$G$108,MATCH(D95,'Inventory'!$C$9:$C$108,0))),""))</x:f>
        <x:v>Egypt</x:v>
      </x:c>
      <x:c r="X95" s="9" t="str">
        <x:f>IF(C95="","",IFERROR(IF(INDEX('Factors'!$P$9:$P$108,MATCH(J95,'Factors'!$C$9:$C$108,0))="","",INDEX('Factors'!$P$9:$P$108,MATCH(J95,'Factors'!$C$9:$C$108,0))),""))</x:f>
        <x:v>Ready</x:v>
      </x:c>
    </x:row>
    <x:row r="96" ht="26" customHeight="1">
      <x:c r="A96" s="1"/>
      <x:c r="B96" s="1"/>
      <x:c r="C96" s="8" t="str">
        <x:v>ACT088</x:v>
      </x:c>
      <x:c r="D96" s="8" t="str">
        <x:v>B021</x:v>
      </x:c>
      <x:c r="E96" s="8" t="str">
        <x:v>S041</x:v>
      </x:c>
      <x:c r="F96" s="8" t="str">
        <x:v>S2</x:v>
      </x:c>
      <x:c r="G96" s="8" t="str">
        <x:v>Electricity</x:v>
      </x:c>
      <x:c r="H96" s="16" t="n">
        <x:v>1700000</x:v>
      </x:c>
      <x:c r="I96" s="8" t="str">
        <x:v>kWh</x:v>
      </x:c>
      <x:c r="J96" s="8" t="str">
        <x:v>EG-GRID-26</x:v>
      </x:c>
      <x:c r="K96" s="22" t="n">
        <x:v>2026</x:v>
      </x:c>
      <x:c r="L96" s="8" t="str">
        <x:v>SYN-ACT-88</x:v>
      </x:c>
      <x:c r="M96" s="8" t="str">
        <x:v>Actual</x:v>
      </x:c>
      <x:c r="N96" s="40" t="n">
        <x:v>46752</x:v>
      </x:c>
      <x:c r="O96" s="41" t="n">
        <x:f>IF(C96="","",IFERROR(IF(INDEX('Factors'!$G$9:$G$108,MATCH(J96,'Factors'!$C$9:$C$108,0))="","",INDEX('Factors'!$G$9:$G$108,MATCH(J96,'Factors'!$C$9:$C$108,0))),""))</x:f>
        <x:v>0.46</x:v>
      </x:c>
      <x:c r="P96" s="9" t="str">
        <x:f>IF(C96="","",IFERROR(IF(INDEX('Factors'!$F$9:$F$108,MATCH(J96,'Factors'!$C$9:$C$108,0))="","",INDEX('Factors'!$F$9:$F$108,MATCH(J96,'Factors'!$C$9:$C$108,0))),""))</x:f>
        <x:v>kWh</x:v>
      </x:c>
      <x:c r="Q96" s="9" t="str">
        <x:f>IF(C96="","",IFERROR(IF(INDEX('Factors'!$H$9:$H$108,MATCH(J96,'Factors'!$C$9:$C$108,0))="","",INDEX('Factors'!$H$9:$H$108,MATCH(J96,'Factors'!$C$9:$C$108,0))),""))</x:f>
        <x:v>S2</x:v>
      </x:c>
      <x:c r="R96" s="9" t="str">
        <x:f>IF(C96="","",IFERROR(IF(INDEX('Factors'!$E$9:$E$108,MATCH(J96,'Factors'!$C$9:$C$108,0))="","",INDEX('Factors'!$E$9:$E$108,MATCH(J96,'Factors'!$C$9:$C$108,0))),""))</x:f>
        <x:v>Egypt</x:v>
      </x:c>
      <x:c r="S96" s="42" t="n">
        <x:f>IF(C96="","",IFERROR(IF(INDEX('Factors'!$J$9:$J$108,MATCH(J96,'Factors'!$C$9:$C$108,0))="","",INDEX('Factors'!$J$9:$J$108,MATCH(J96,'Factors'!$C$9:$C$108,0))),""))</x:f>
        <x:v>2026</x:v>
      </x:c>
      <x:c r="T96" s="9" t="str">
        <x:f>IF(C96="","",IFERROR(IF(INDEX('Factors'!$L$9:$L$108,MATCH(J96,'Factors'!$C$9:$C$108,0))="","",INDEX('Factors'!$L$9:$L$108,MATCH(J96,'Factors'!$C$9:$C$108,0))),"")&amp;" / "&amp;IFERROR(IF(INDEX('Factors'!$M$9:$M$108,MATCH(J96,'Factors'!$C$9:$C$108,0))="","",INDEX('Factors'!$M$9:$M$108,MATCH(J96,'Factors'!$C$9:$C$108,0))),""))</x:f>
        <x:v>SYNTHETIC DEMO / SYN-2026.1</x:v>
      </x:c>
      <x:c r="U96" s="21" t="n">
        <x:f>IF(V96="Ready",H96*O96/1000,"")</x:f>
        <x:v>782</x:v>
      </x:c>
      <x:c r="V96" s="9" t="str">
        <x:f>IF(C96="","",IF(OR(COUNTIFS($C$9:$C$308,C96)&lt;&gt;1,COUNTIFS($D$9:$D$308,D96,$E$9:$E$308,E96,$F$9:$F$308,F96,$G$9:$G$308,G96,$K$9:$K$308,K96)&lt;&gt;1),"Duplicate annual activity",IF(COUNTIFS('Inventory'!$C$9:$C$108,D96)&lt;&gt;1,"Entity required",IF(OR(E96="",L96="",NOT(ISNUMBER(H96)),H96&lt;0,NOT(ISNUMBER(K96)),NOT(ISNUMBER(N96))),"Missing activity input",IF(AND(E96&lt;&gt;D96,OR(COUNTIFS('Sites'!$C$9:$C$108,E96)&lt;&gt;1,IFERROR(IF(INDEX('Sites'!$D$9:$D$108,MATCH(E96,'Sites'!$C$9:$C$108,0))="","",INDEX('Sites'!$D$9:$D$108,MATCH(E96,'Sites'!$C$9:$C$108,0))),"")&lt;&gt;IFERROR(IF(INDEX('Inventory'!$D$9:$D$108,MATCH(D96,'Inventory'!$C$9:$C$108,0))="","",INDEX('Inventory'!$D$9:$D$108,MATCH(D96,'Inventory'!$C$9:$C$108,0))),""),IFERROR(IF(INDEX('Sites'!$E$9:$E$108,MATCH(E96,'Sites'!$C$9:$C$108,0))="","",INDEX('Sites'!$E$9:$E$108,MATCH(E96,'Sites'!$C$9:$C$108,0))),"")&lt;&gt;W96)),"Site / entity mismatch",IF(N96&lt;'Settings'!$F$8,"Expired",IF(X96&lt;&gt;"Ready","Factor required",IF(OR(G96&lt;&gt;IFERROR(IF(INDEX('Factors'!$D$9:$D$108,MATCH(J96,'Factors'!$C$9:$C$108,0))="","",INDEX('Factors'!$D$9:$D$108,MATCH(J96,'Factors'!$C$9:$C$108,0))),""),I96&lt;&gt;P96,F96&lt;&gt;Q96,K96&lt;&gt;S96,AND(R96&lt;&gt;"Global",R96&lt;&gt;W96),K96&lt;&gt;YEAR(IFERROR(IF(INDEX('Inventory'!$H$9:$H$108,MATCH(D96,'Inventory'!$C$9:$C$108,0))="","",INDEX('Inventory'!$H$9:$H$108,MATCH(D96,'Inventory'!$C$9:$C$108,0))),""))),"Factor / boundary mismatch",IF(AND(F96="S2",IFERROR(IF(INDEX('Factors'!$I$9:$I$108,MATCH(J96,'Factors'!$C$9:$C$108,0))="","",INDEX('Factors'!$I$9:$I$108,MATCH(J96,'Factors'!$C$9:$C$108,0))),"")&lt;&gt;"Location-based"),"Use location factor",IF(M96&lt;&gt;"Actual","Estimation method review","Ready"))))))))))</x:f>
        <x:v>Ready</x:v>
      </x:c>
      <x:c r="W96" s="9" t="str">
        <x:f>IF(C96="","",IFERROR(IF(INDEX('Inventory'!$G$9:$G$108,MATCH(D96,'Inventory'!$C$9:$C$108,0))="","",INDEX('Inventory'!$G$9:$G$108,MATCH(D96,'Inventory'!$C$9:$C$108,0))),""))</x:f>
        <x:v>Egypt</x:v>
      </x:c>
      <x:c r="X96" s="9" t="str">
        <x:f>IF(C96="","",IFERROR(IF(INDEX('Factors'!$P$9:$P$108,MATCH(J96,'Factors'!$C$9:$C$108,0))="","",INDEX('Factors'!$P$9:$P$108,MATCH(J96,'Factors'!$C$9:$C$108,0))),""))</x:f>
        <x:v>Ready</x:v>
      </x:c>
    </x:row>
    <x:row r="97" ht="26" customHeight="1">
      <x:c r="A97" s="1"/>
      <x:c r="B97" s="1"/>
      <x:c r="C97" s="8" t="str">
        <x:v>ACT089</x:v>
      </x:c>
      <x:c r="D97" s="8" t="str">
        <x:v>B021</x:v>
      </x:c>
      <x:c r="E97" s="8" t="str">
        <x:v>S042</x:v>
      </x:c>
      <x:c r="F97" s="8" t="str">
        <x:v>S1</x:v>
      </x:c>
      <x:c r="G97" s="8" t="str">
        <x:v>Diesel</x:v>
      </x:c>
      <x:c r="H97" s="16" t="n">
        <x:v>469000</x:v>
      </x:c>
      <x:c r="I97" s="8" t="str">
        <x:v>litre</x:v>
      </x:c>
      <x:c r="J97" s="8" t="str">
        <x:v>GLOBAL-DIESEL-26</x:v>
      </x:c>
      <x:c r="K97" s="22" t="n">
        <x:v>2026</x:v>
      </x:c>
      <x:c r="L97" s="8" t="str">
        <x:v>SYN-ACT-89</x:v>
      </x:c>
      <x:c r="M97" s="8" t="str">
        <x:v>Actual</x:v>
      </x:c>
      <x:c r="N97" s="40" t="n">
        <x:v>46752</x:v>
      </x:c>
      <x:c r="O97" s="41" t="n">
        <x:f>IF(C97="","",IFERROR(IF(INDEX('Factors'!$G$9:$G$108,MATCH(J97,'Factors'!$C$9:$C$108,0))="","",INDEX('Factors'!$G$9:$G$108,MATCH(J97,'Factors'!$C$9:$C$108,0))),""))</x:f>
        <x:v>2.68</x:v>
      </x:c>
      <x:c r="P97" s="9" t="str">
        <x:f>IF(C97="","",IFERROR(IF(INDEX('Factors'!$F$9:$F$108,MATCH(J97,'Factors'!$C$9:$C$108,0))="","",INDEX('Factors'!$F$9:$F$108,MATCH(J97,'Factors'!$C$9:$C$108,0))),""))</x:f>
        <x:v>litre</x:v>
      </x:c>
      <x:c r="Q97" s="9" t="str">
        <x:f>IF(C97="","",IFERROR(IF(INDEX('Factors'!$H$9:$H$108,MATCH(J97,'Factors'!$C$9:$C$108,0))="","",INDEX('Factors'!$H$9:$H$108,MATCH(J97,'Factors'!$C$9:$C$108,0))),""))</x:f>
        <x:v>S1</x:v>
      </x:c>
      <x:c r="R97" s="9" t="str">
        <x:f>IF(C97="","",IFERROR(IF(INDEX('Factors'!$E$9:$E$108,MATCH(J97,'Factors'!$C$9:$C$108,0))="","",INDEX('Factors'!$E$9:$E$108,MATCH(J97,'Factors'!$C$9:$C$108,0))),""))</x:f>
        <x:v>Global</x:v>
      </x:c>
      <x:c r="S97" s="42" t="n">
        <x:f>IF(C97="","",IFERROR(IF(INDEX('Factors'!$J$9:$J$108,MATCH(J97,'Factors'!$C$9:$C$108,0))="","",INDEX('Factors'!$J$9:$J$108,MATCH(J97,'Factors'!$C$9:$C$108,0))),""))</x:f>
        <x:v>2026</x:v>
      </x:c>
      <x:c r="T97" s="9" t="str">
        <x:f>IF(C97="","",IFERROR(IF(INDEX('Factors'!$L$9:$L$108,MATCH(J97,'Factors'!$C$9:$C$108,0))="","",INDEX('Factors'!$L$9:$L$108,MATCH(J97,'Factors'!$C$9:$C$108,0))),"")&amp;" / "&amp;IFERROR(IF(INDEX('Factors'!$M$9:$M$108,MATCH(J97,'Factors'!$C$9:$C$108,0))="","",INDEX('Factors'!$M$9:$M$108,MATCH(J97,'Factors'!$C$9:$C$108,0))),""))</x:f>
        <x:v>SYNTHETIC DEMO / SYN-2026.1</x:v>
      </x:c>
      <x:c r="U97" s="21" t="n">
        <x:f>IF(V97="Ready",H97*O97/1000,"")</x:f>
        <x:v>1256.92</x:v>
      </x:c>
      <x:c r="V97" s="9" t="str">
        <x:f>IF(C97="","",IF(OR(COUNTIFS($C$9:$C$308,C97)&lt;&gt;1,COUNTIFS($D$9:$D$308,D97,$E$9:$E$308,E97,$F$9:$F$308,F97,$G$9:$G$308,G97,$K$9:$K$308,K97)&lt;&gt;1),"Duplicate annual activity",IF(COUNTIFS('Inventory'!$C$9:$C$108,D97)&lt;&gt;1,"Entity required",IF(OR(E97="",L97="",NOT(ISNUMBER(H97)),H97&lt;0,NOT(ISNUMBER(K97)),NOT(ISNUMBER(N97))),"Missing activity input",IF(AND(E97&lt;&gt;D97,OR(COUNTIFS('Sites'!$C$9:$C$108,E97)&lt;&gt;1,IFERROR(IF(INDEX('Sites'!$D$9:$D$108,MATCH(E97,'Sites'!$C$9:$C$108,0))="","",INDEX('Sites'!$D$9:$D$108,MATCH(E97,'Sites'!$C$9:$C$108,0))),"")&lt;&gt;IFERROR(IF(INDEX('Inventory'!$D$9:$D$108,MATCH(D97,'Inventory'!$C$9:$C$108,0))="","",INDEX('Inventory'!$D$9:$D$108,MATCH(D97,'Inventory'!$C$9:$C$108,0))),""),IFERROR(IF(INDEX('Sites'!$E$9:$E$108,MATCH(E97,'Sites'!$C$9:$C$108,0))="","",INDEX('Sites'!$E$9:$E$108,MATCH(E97,'Sites'!$C$9:$C$108,0))),"")&lt;&gt;W97)),"Site / entity mismatch",IF(N97&lt;'Settings'!$F$8,"Expired",IF(X97&lt;&gt;"Ready","Factor required",IF(OR(G97&lt;&gt;IFERROR(IF(INDEX('Factors'!$D$9:$D$108,MATCH(J97,'Factors'!$C$9:$C$108,0))="","",INDEX('Factors'!$D$9:$D$108,MATCH(J97,'Factors'!$C$9:$C$108,0))),""),I97&lt;&gt;P97,F97&lt;&gt;Q97,K97&lt;&gt;S97,AND(R97&lt;&gt;"Global",R97&lt;&gt;W97),K97&lt;&gt;YEAR(IFERROR(IF(INDEX('Inventory'!$H$9:$H$108,MATCH(D97,'Inventory'!$C$9:$C$108,0))="","",INDEX('Inventory'!$H$9:$H$108,MATCH(D97,'Inventory'!$C$9:$C$108,0))),""))),"Factor / boundary mismatch",IF(AND(F97="S2",IFERROR(IF(INDEX('Factors'!$I$9:$I$108,MATCH(J97,'Factors'!$C$9:$C$108,0))="","",INDEX('Factors'!$I$9:$I$108,MATCH(J97,'Factors'!$C$9:$C$108,0))),"")&lt;&gt;"Location-based"),"Use location factor",IF(M97&lt;&gt;"Actual","Estimation method review","Ready"))))))))))</x:f>
        <x:v>Ready</x:v>
      </x:c>
      <x:c r="W97" s="9" t="str">
        <x:f>IF(C97="","",IFERROR(IF(INDEX('Inventory'!$G$9:$G$108,MATCH(D97,'Inventory'!$C$9:$C$108,0))="","",INDEX('Inventory'!$G$9:$G$108,MATCH(D97,'Inventory'!$C$9:$C$108,0))),""))</x:f>
        <x:v>Egypt</x:v>
      </x:c>
      <x:c r="X97" s="9" t="str">
        <x:f>IF(C97="","",IFERROR(IF(INDEX('Factors'!$P$9:$P$108,MATCH(J97,'Factors'!$C$9:$C$108,0))="","",INDEX('Factors'!$P$9:$P$108,MATCH(J97,'Factors'!$C$9:$C$108,0))),""))</x:f>
        <x:v>Ready</x:v>
      </x:c>
    </x:row>
    <x:row r="98" ht="26" customHeight="1">
      <x:c r="A98" s="1"/>
      <x:c r="B98" s="1"/>
      <x:c r="C98" s="8" t="str">
        <x:v>ACT090</x:v>
      </x:c>
      <x:c r="D98" s="8" t="str">
        <x:v>B021</x:v>
      </x:c>
      <x:c r="E98" s="8" t="str">
        <x:v>S042</x:v>
      </x:c>
      <x:c r="F98" s="8" t="str">
        <x:v>S2</x:v>
      </x:c>
      <x:c r="G98" s="8" t="str">
        <x:v>Electricity</x:v>
      </x:c>
      <x:c r="H98" s="16" t="n">
        <x:v>1725000</x:v>
      </x:c>
      <x:c r="I98" s="8" t="str">
        <x:v>kWh</x:v>
      </x:c>
      <x:c r="J98" s="8" t="str">
        <x:v>EG-GRID-26</x:v>
      </x:c>
      <x:c r="K98" s="22" t="n">
        <x:v>2026</x:v>
      </x:c>
      <x:c r="L98" s="8" t="str">
        <x:v>SYN-ACT-90</x:v>
      </x:c>
      <x:c r="M98" s="8" t="str">
        <x:v>Actual</x:v>
      </x:c>
      <x:c r="N98" s="40" t="n">
        <x:v>46752</x:v>
      </x:c>
      <x:c r="O98" s="41" t="n">
        <x:f>IF(C98="","",IFERROR(IF(INDEX('Factors'!$G$9:$G$108,MATCH(J98,'Factors'!$C$9:$C$108,0))="","",INDEX('Factors'!$G$9:$G$108,MATCH(J98,'Factors'!$C$9:$C$108,0))),""))</x:f>
        <x:v>0.46</x:v>
      </x:c>
      <x:c r="P98" s="9" t="str">
        <x:f>IF(C98="","",IFERROR(IF(INDEX('Factors'!$F$9:$F$108,MATCH(J98,'Factors'!$C$9:$C$108,0))="","",INDEX('Factors'!$F$9:$F$108,MATCH(J98,'Factors'!$C$9:$C$108,0))),""))</x:f>
        <x:v>kWh</x:v>
      </x:c>
      <x:c r="Q98" s="9" t="str">
        <x:f>IF(C98="","",IFERROR(IF(INDEX('Factors'!$H$9:$H$108,MATCH(J98,'Factors'!$C$9:$C$108,0))="","",INDEX('Factors'!$H$9:$H$108,MATCH(J98,'Factors'!$C$9:$C$108,0))),""))</x:f>
        <x:v>S2</x:v>
      </x:c>
      <x:c r="R98" s="9" t="str">
        <x:f>IF(C98="","",IFERROR(IF(INDEX('Factors'!$E$9:$E$108,MATCH(J98,'Factors'!$C$9:$C$108,0))="","",INDEX('Factors'!$E$9:$E$108,MATCH(J98,'Factors'!$C$9:$C$108,0))),""))</x:f>
        <x:v>Egypt</x:v>
      </x:c>
      <x:c r="S98" s="42" t="n">
        <x:f>IF(C98="","",IFERROR(IF(INDEX('Factors'!$J$9:$J$108,MATCH(J98,'Factors'!$C$9:$C$108,0))="","",INDEX('Factors'!$J$9:$J$108,MATCH(J98,'Factors'!$C$9:$C$108,0))),""))</x:f>
        <x:v>2026</x:v>
      </x:c>
      <x:c r="T98" s="9" t="str">
        <x:f>IF(C98="","",IFERROR(IF(INDEX('Factors'!$L$9:$L$108,MATCH(J98,'Factors'!$C$9:$C$108,0))="","",INDEX('Factors'!$L$9:$L$108,MATCH(J98,'Factors'!$C$9:$C$108,0))),"")&amp;" / "&amp;IFERROR(IF(INDEX('Factors'!$M$9:$M$108,MATCH(J98,'Factors'!$C$9:$C$108,0))="","",INDEX('Factors'!$M$9:$M$108,MATCH(J98,'Factors'!$C$9:$C$108,0))),""))</x:f>
        <x:v>SYNTHETIC DEMO / SYN-2026.1</x:v>
      </x:c>
      <x:c r="U98" s="21" t="n">
        <x:f>IF(V98="Ready",H98*O98/1000,"")</x:f>
        <x:v>793.5</x:v>
      </x:c>
      <x:c r="V98" s="9" t="str">
        <x:f>IF(C98="","",IF(OR(COUNTIFS($C$9:$C$308,C98)&lt;&gt;1,COUNTIFS($D$9:$D$308,D98,$E$9:$E$308,E98,$F$9:$F$308,F98,$G$9:$G$308,G98,$K$9:$K$308,K98)&lt;&gt;1),"Duplicate annual activity",IF(COUNTIFS('Inventory'!$C$9:$C$108,D98)&lt;&gt;1,"Entity required",IF(OR(E98="",L98="",NOT(ISNUMBER(H98)),H98&lt;0,NOT(ISNUMBER(K98)),NOT(ISNUMBER(N98))),"Missing activity input",IF(AND(E98&lt;&gt;D98,OR(COUNTIFS('Sites'!$C$9:$C$108,E98)&lt;&gt;1,IFERROR(IF(INDEX('Sites'!$D$9:$D$108,MATCH(E98,'Sites'!$C$9:$C$108,0))="","",INDEX('Sites'!$D$9:$D$108,MATCH(E98,'Sites'!$C$9:$C$108,0))),"")&lt;&gt;IFERROR(IF(INDEX('Inventory'!$D$9:$D$108,MATCH(D98,'Inventory'!$C$9:$C$108,0))="","",INDEX('Inventory'!$D$9:$D$108,MATCH(D98,'Inventory'!$C$9:$C$108,0))),""),IFERROR(IF(INDEX('Sites'!$E$9:$E$108,MATCH(E98,'Sites'!$C$9:$C$108,0))="","",INDEX('Sites'!$E$9:$E$108,MATCH(E98,'Sites'!$C$9:$C$108,0))),"")&lt;&gt;W98)),"Site / entity mismatch",IF(N98&lt;'Settings'!$F$8,"Expired",IF(X98&lt;&gt;"Ready","Factor required",IF(OR(G98&lt;&gt;IFERROR(IF(INDEX('Factors'!$D$9:$D$108,MATCH(J98,'Factors'!$C$9:$C$108,0))="","",INDEX('Factors'!$D$9:$D$108,MATCH(J98,'Factors'!$C$9:$C$108,0))),""),I98&lt;&gt;P98,F98&lt;&gt;Q98,K98&lt;&gt;S98,AND(R98&lt;&gt;"Global",R98&lt;&gt;W98),K98&lt;&gt;YEAR(IFERROR(IF(INDEX('Inventory'!$H$9:$H$108,MATCH(D98,'Inventory'!$C$9:$C$108,0))="","",INDEX('Inventory'!$H$9:$H$108,MATCH(D98,'Inventory'!$C$9:$C$108,0))),""))),"Factor / boundary mismatch",IF(AND(F98="S2",IFERROR(IF(INDEX('Factors'!$I$9:$I$108,MATCH(J98,'Factors'!$C$9:$C$108,0))="","",INDEX('Factors'!$I$9:$I$108,MATCH(J98,'Factors'!$C$9:$C$108,0))),"")&lt;&gt;"Location-based"),"Use location factor",IF(M98&lt;&gt;"Actual","Estimation method review","Ready"))))))))))</x:f>
        <x:v>Ready</x:v>
      </x:c>
      <x:c r="W98" s="9" t="str">
        <x:f>IF(C98="","",IFERROR(IF(INDEX('Inventory'!$G$9:$G$108,MATCH(D98,'Inventory'!$C$9:$C$108,0))="","",INDEX('Inventory'!$G$9:$G$108,MATCH(D98,'Inventory'!$C$9:$C$108,0))),""))</x:f>
        <x:v>Egypt</x:v>
      </x:c>
      <x:c r="X98" s="9" t="str">
        <x:f>IF(C98="","",IFERROR(IF(INDEX('Factors'!$P$9:$P$108,MATCH(J98,'Factors'!$C$9:$C$108,0))="","",INDEX('Factors'!$P$9:$P$108,MATCH(J98,'Factors'!$C$9:$C$108,0))),""))</x:f>
        <x:v>Ready</x:v>
      </x:c>
    </x:row>
    <x:row r="99" ht="26" customHeight="1">
      <x:c r="A99" s="1"/>
      <x:c r="B99" s="1"/>
      <x:c r="C99" s="8" t="str">
        <x:v>ACT091</x:v>
      </x:c>
      <x:c r="D99" s="8" t="str">
        <x:v>B022</x:v>
      </x:c>
      <x:c r="E99" s="8" t="str">
        <x:v>S043</x:v>
      </x:c>
      <x:c r="F99" s="8" t="str">
        <x:v>S1</x:v>
      </x:c>
      <x:c r="G99" s="8" t="str">
        <x:v>Diesel</x:v>
      </x:c>
      <x:c r="H99" s="16" t="n">
        <x:v>478000</x:v>
      </x:c>
      <x:c r="I99" s="8" t="str">
        <x:v>litre</x:v>
      </x:c>
      <x:c r="J99" s="8" t="str">
        <x:v>GLOBAL-DIESEL-26</x:v>
      </x:c>
      <x:c r="K99" s="22" t="n">
        <x:v>2026</x:v>
      </x:c>
      <x:c r="L99" s="8" t="str">
        <x:v>SYN-ACT-91</x:v>
      </x:c>
      <x:c r="M99" s="8" t="str">
        <x:v>Actual</x:v>
      </x:c>
      <x:c r="N99" s="40" t="n">
        <x:v>46752</x:v>
      </x:c>
      <x:c r="O99" s="41" t="n">
        <x:f>IF(C99="","",IFERROR(IF(INDEX('Factors'!$G$9:$G$108,MATCH(J99,'Factors'!$C$9:$C$108,0))="","",INDEX('Factors'!$G$9:$G$108,MATCH(J99,'Factors'!$C$9:$C$108,0))),""))</x:f>
        <x:v>2.68</x:v>
      </x:c>
      <x:c r="P99" s="9" t="str">
        <x:f>IF(C99="","",IFERROR(IF(INDEX('Factors'!$F$9:$F$108,MATCH(J99,'Factors'!$C$9:$C$108,0))="","",INDEX('Factors'!$F$9:$F$108,MATCH(J99,'Factors'!$C$9:$C$108,0))),""))</x:f>
        <x:v>litre</x:v>
      </x:c>
      <x:c r="Q99" s="9" t="str">
        <x:f>IF(C99="","",IFERROR(IF(INDEX('Factors'!$H$9:$H$108,MATCH(J99,'Factors'!$C$9:$C$108,0))="","",INDEX('Factors'!$H$9:$H$108,MATCH(J99,'Factors'!$C$9:$C$108,0))),""))</x:f>
        <x:v>S1</x:v>
      </x:c>
      <x:c r="R99" s="9" t="str">
        <x:f>IF(C99="","",IFERROR(IF(INDEX('Factors'!$E$9:$E$108,MATCH(J99,'Factors'!$C$9:$C$108,0))="","",INDEX('Factors'!$E$9:$E$108,MATCH(J99,'Factors'!$C$9:$C$108,0))),""))</x:f>
        <x:v>Global</x:v>
      </x:c>
      <x:c r="S99" s="42" t="n">
        <x:f>IF(C99="","",IFERROR(IF(INDEX('Factors'!$J$9:$J$108,MATCH(J99,'Factors'!$C$9:$C$108,0))="","",INDEX('Factors'!$J$9:$J$108,MATCH(J99,'Factors'!$C$9:$C$108,0))),""))</x:f>
        <x:v>2026</x:v>
      </x:c>
      <x:c r="T99" s="9" t="str">
        <x:f>IF(C99="","",IFERROR(IF(INDEX('Factors'!$L$9:$L$108,MATCH(J99,'Factors'!$C$9:$C$108,0))="","",INDEX('Factors'!$L$9:$L$108,MATCH(J99,'Factors'!$C$9:$C$108,0))),"")&amp;" / "&amp;IFERROR(IF(INDEX('Factors'!$M$9:$M$108,MATCH(J99,'Factors'!$C$9:$C$108,0))="","",INDEX('Factors'!$M$9:$M$108,MATCH(J99,'Factors'!$C$9:$C$108,0))),""))</x:f>
        <x:v>SYNTHETIC DEMO / SYN-2026.1</x:v>
      </x:c>
      <x:c r="U99" s="21" t="n">
        <x:f>IF(V99="Ready",H99*O99/1000,"")</x:f>
        <x:v>1281.04</x:v>
      </x:c>
      <x:c r="V99" s="9" t="str">
        <x:f>IF(C99="","",IF(OR(COUNTIFS($C$9:$C$308,C99)&lt;&gt;1,COUNTIFS($D$9:$D$308,D99,$E$9:$E$308,E99,$F$9:$F$308,F99,$G$9:$G$308,G99,$K$9:$K$308,K99)&lt;&gt;1),"Duplicate annual activity",IF(COUNTIFS('Inventory'!$C$9:$C$108,D99)&lt;&gt;1,"Entity required",IF(OR(E99="",L99="",NOT(ISNUMBER(H99)),H99&lt;0,NOT(ISNUMBER(K99)),NOT(ISNUMBER(N99))),"Missing activity input",IF(AND(E99&lt;&gt;D99,OR(COUNTIFS('Sites'!$C$9:$C$108,E99)&lt;&gt;1,IFERROR(IF(INDEX('Sites'!$D$9:$D$108,MATCH(E99,'Sites'!$C$9:$C$108,0))="","",INDEX('Sites'!$D$9:$D$108,MATCH(E99,'Sites'!$C$9:$C$108,0))),"")&lt;&gt;IFERROR(IF(INDEX('Inventory'!$D$9:$D$108,MATCH(D99,'Inventory'!$C$9:$C$108,0))="","",INDEX('Inventory'!$D$9:$D$108,MATCH(D99,'Inventory'!$C$9:$C$108,0))),""),IFERROR(IF(INDEX('Sites'!$E$9:$E$108,MATCH(E99,'Sites'!$C$9:$C$108,0))="","",INDEX('Sites'!$E$9:$E$108,MATCH(E99,'Sites'!$C$9:$C$108,0))),"")&lt;&gt;W99)),"Site / entity mismatch",IF(N99&lt;'Settings'!$F$8,"Expired",IF(X99&lt;&gt;"Ready","Factor required",IF(OR(G99&lt;&gt;IFERROR(IF(INDEX('Factors'!$D$9:$D$108,MATCH(J99,'Factors'!$C$9:$C$108,0))="","",INDEX('Factors'!$D$9:$D$108,MATCH(J99,'Factors'!$C$9:$C$108,0))),""),I99&lt;&gt;P99,F99&lt;&gt;Q99,K99&lt;&gt;S99,AND(R99&lt;&gt;"Global",R99&lt;&gt;W99),K99&lt;&gt;YEAR(IFERROR(IF(INDEX('Inventory'!$H$9:$H$108,MATCH(D99,'Inventory'!$C$9:$C$108,0))="","",INDEX('Inventory'!$H$9:$H$108,MATCH(D99,'Inventory'!$C$9:$C$108,0))),""))),"Factor / boundary mismatch",IF(AND(F99="S2",IFERROR(IF(INDEX('Factors'!$I$9:$I$108,MATCH(J99,'Factors'!$C$9:$C$108,0))="","",INDEX('Factors'!$I$9:$I$108,MATCH(J99,'Factors'!$C$9:$C$108,0))),"")&lt;&gt;"Location-based"),"Use location factor",IF(M99&lt;&gt;"Actual","Estimation method review","Ready"))))))))))</x:f>
        <x:v>Ready</x:v>
      </x:c>
      <x:c r="W99" s="9" t="str">
        <x:f>IF(C99="","",IFERROR(IF(INDEX('Inventory'!$G$9:$G$108,MATCH(D99,'Inventory'!$C$9:$C$108,0))="","",INDEX('Inventory'!$G$9:$G$108,MATCH(D99,'Inventory'!$C$9:$C$108,0))),""))</x:f>
        <x:v>Jordan</x:v>
      </x:c>
      <x:c r="X99" s="9" t="str">
        <x:f>IF(C99="","",IFERROR(IF(INDEX('Factors'!$P$9:$P$108,MATCH(J99,'Factors'!$C$9:$C$108,0))="","",INDEX('Factors'!$P$9:$P$108,MATCH(J99,'Factors'!$C$9:$C$108,0))),""))</x:f>
        <x:v>Ready</x:v>
      </x:c>
    </x:row>
    <x:row r="100" ht="26" customHeight="1">
      <x:c r="A100" s="1"/>
      <x:c r="B100" s="1"/>
      <x:c r="C100" s="8" t="str">
        <x:v>ACT092</x:v>
      </x:c>
      <x:c r="D100" s="8" t="str">
        <x:v>B022</x:v>
      </x:c>
      <x:c r="E100" s="8" t="str">
        <x:v>S043</x:v>
      </x:c>
      <x:c r="F100" s="8" t="str">
        <x:v>S2</x:v>
      </x:c>
      <x:c r="G100" s="8" t="str">
        <x:v>Electricity</x:v>
      </x:c>
      <x:c r="H100" s="16" t="n">
        <x:v>1750000</x:v>
      </x:c>
      <x:c r="I100" s="8" t="str">
        <x:v>kWh</x:v>
      </x:c>
      <x:c r="J100" s="8" t="str">
        <x:v>JO-GRID-26</x:v>
      </x:c>
      <x:c r="K100" s="22" t="n">
        <x:v>2026</x:v>
      </x:c>
      <x:c r="L100" s="8" t="str">
        <x:v>SYN-ACT-92</x:v>
      </x:c>
      <x:c r="M100" s="8" t="str">
        <x:v>Actual</x:v>
      </x:c>
      <x:c r="N100" s="40" t="n">
        <x:v>46752</x:v>
      </x:c>
      <x:c r="O100" s="41" t="n">
        <x:f>IF(C100="","",IFERROR(IF(INDEX('Factors'!$G$9:$G$108,MATCH(J100,'Factors'!$C$9:$C$108,0))="","",INDEX('Factors'!$G$9:$G$108,MATCH(J100,'Factors'!$C$9:$C$108,0))),""))</x:f>
        <x:v>0.43</x:v>
      </x:c>
      <x:c r="P100" s="9" t="str">
        <x:f>IF(C100="","",IFERROR(IF(INDEX('Factors'!$F$9:$F$108,MATCH(J100,'Factors'!$C$9:$C$108,0))="","",INDEX('Factors'!$F$9:$F$108,MATCH(J100,'Factors'!$C$9:$C$108,0))),""))</x:f>
        <x:v>kWh</x:v>
      </x:c>
      <x:c r="Q100" s="9" t="str">
        <x:f>IF(C100="","",IFERROR(IF(INDEX('Factors'!$H$9:$H$108,MATCH(J100,'Factors'!$C$9:$C$108,0))="","",INDEX('Factors'!$H$9:$H$108,MATCH(J100,'Factors'!$C$9:$C$108,0))),""))</x:f>
        <x:v>S2</x:v>
      </x:c>
      <x:c r="R100" s="9" t="str">
        <x:f>IF(C100="","",IFERROR(IF(INDEX('Factors'!$E$9:$E$108,MATCH(J100,'Factors'!$C$9:$C$108,0))="","",INDEX('Factors'!$E$9:$E$108,MATCH(J100,'Factors'!$C$9:$C$108,0))),""))</x:f>
        <x:v>Jordan</x:v>
      </x:c>
      <x:c r="S100" s="42" t="n">
        <x:f>IF(C100="","",IFERROR(IF(INDEX('Factors'!$J$9:$J$108,MATCH(J100,'Factors'!$C$9:$C$108,0))="","",INDEX('Factors'!$J$9:$J$108,MATCH(J100,'Factors'!$C$9:$C$108,0))),""))</x:f>
        <x:v>2026</x:v>
      </x:c>
      <x:c r="T100" s="9" t="str">
        <x:f>IF(C100="","",IFERROR(IF(INDEX('Factors'!$L$9:$L$108,MATCH(J100,'Factors'!$C$9:$C$108,0))="","",INDEX('Factors'!$L$9:$L$108,MATCH(J100,'Factors'!$C$9:$C$108,0))),"")&amp;" / "&amp;IFERROR(IF(INDEX('Factors'!$M$9:$M$108,MATCH(J100,'Factors'!$C$9:$C$108,0))="","",INDEX('Factors'!$M$9:$M$108,MATCH(J100,'Factors'!$C$9:$C$108,0))),""))</x:f>
        <x:v>SYNTHETIC DEMO / SYN-2026.1</x:v>
      </x:c>
      <x:c r="U100" s="21" t="n">
        <x:f>IF(V100="Ready",H100*O100/1000,"")</x:f>
        <x:v>752.5</x:v>
      </x:c>
      <x:c r="V100" s="9" t="str">
        <x:f>IF(C100="","",IF(OR(COUNTIFS($C$9:$C$308,C100)&lt;&gt;1,COUNTIFS($D$9:$D$308,D100,$E$9:$E$308,E100,$F$9:$F$308,F100,$G$9:$G$308,G100,$K$9:$K$308,K100)&lt;&gt;1),"Duplicate annual activity",IF(COUNTIFS('Inventory'!$C$9:$C$108,D100)&lt;&gt;1,"Entity required",IF(OR(E100="",L100="",NOT(ISNUMBER(H100)),H100&lt;0,NOT(ISNUMBER(K100)),NOT(ISNUMBER(N100))),"Missing activity input",IF(AND(E100&lt;&gt;D100,OR(COUNTIFS('Sites'!$C$9:$C$108,E100)&lt;&gt;1,IFERROR(IF(INDEX('Sites'!$D$9:$D$108,MATCH(E100,'Sites'!$C$9:$C$108,0))="","",INDEX('Sites'!$D$9:$D$108,MATCH(E100,'Sites'!$C$9:$C$108,0))),"")&lt;&gt;IFERROR(IF(INDEX('Inventory'!$D$9:$D$108,MATCH(D100,'Inventory'!$C$9:$C$108,0))="","",INDEX('Inventory'!$D$9:$D$108,MATCH(D100,'Inventory'!$C$9:$C$108,0))),""),IFERROR(IF(INDEX('Sites'!$E$9:$E$108,MATCH(E100,'Sites'!$C$9:$C$108,0))="","",INDEX('Sites'!$E$9:$E$108,MATCH(E100,'Sites'!$C$9:$C$108,0))),"")&lt;&gt;W100)),"Site / entity mismatch",IF(N100&lt;'Settings'!$F$8,"Expired",IF(X100&lt;&gt;"Ready","Factor required",IF(OR(G100&lt;&gt;IFERROR(IF(INDEX('Factors'!$D$9:$D$108,MATCH(J100,'Factors'!$C$9:$C$108,0))="","",INDEX('Factors'!$D$9:$D$108,MATCH(J100,'Factors'!$C$9:$C$108,0))),""),I100&lt;&gt;P100,F100&lt;&gt;Q100,K100&lt;&gt;S100,AND(R100&lt;&gt;"Global",R100&lt;&gt;W100),K100&lt;&gt;YEAR(IFERROR(IF(INDEX('Inventory'!$H$9:$H$108,MATCH(D100,'Inventory'!$C$9:$C$108,0))="","",INDEX('Inventory'!$H$9:$H$108,MATCH(D100,'Inventory'!$C$9:$C$108,0))),""))),"Factor / boundary mismatch",IF(AND(F100="S2",IFERROR(IF(INDEX('Factors'!$I$9:$I$108,MATCH(J100,'Factors'!$C$9:$C$108,0))="","",INDEX('Factors'!$I$9:$I$108,MATCH(J100,'Factors'!$C$9:$C$108,0))),"")&lt;&gt;"Location-based"),"Use location factor",IF(M100&lt;&gt;"Actual","Estimation method review","Ready"))))))))))</x:f>
        <x:v>Ready</x:v>
      </x:c>
      <x:c r="W100" s="9" t="str">
        <x:f>IF(C100="","",IFERROR(IF(INDEX('Inventory'!$G$9:$G$108,MATCH(D100,'Inventory'!$C$9:$C$108,0))="","",INDEX('Inventory'!$G$9:$G$108,MATCH(D100,'Inventory'!$C$9:$C$108,0))),""))</x:f>
        <x:v>Jordan</x:v>
      </x:c>
      <x:c r="X100" s="9" t="str">
        <x:f>IF(C100="","",IFERROR(IF(INDEX('Factors'!$P$9:$P$108,MATCH(J100,'Factors'!$C$9:$C$108,0))="","",INDEX('Factors'!$P$9:$P$108,MATCH(J100,'Factors'!$C$9:$C$108,0))),""))</x:f>
        <x:v>Ready</x:v>
      </x:c>
    </x:row>
    <x:row r="101" ht="26" customHeight="1">
      <x:c r="A101" s="1"/>
      <x:c r="B101" s="1"/>
      <x:c r="C101" s="8" t="str">
        <x:v>ACT093</x:v>
      </x:c>
      <x:c r="D101" s="8" t="str">
        <x:v>B022</x:v>
      </x:c>
      <x:c r="E101" s="8" t="str">
        <x:v>S044</x:v>
      </x:c>
      <x:c r="F101" s="8" t="str">
        <x:v>S1</x:v>
      </x:c>
      <x:c r="G101" s="8" t="str">
        <x:v>Diesel</x:v>
      </x:c>
      <x:c r="H101" s="16" t="n">
        <x:v>487000</x:v>
      </x:c>
      <x:c r="I101" s="8" t="str">
        <x:v>litre</x:v>
      </x:c>
      <x:c r="J101" s="8" t="str">
        <x:v>GLOBAL-DIESEL-26</x:v>
      </x:c>
      <x:c r="K101" s="22" t="n">
        <x:v>2026</x:v>
      </x:c>
      <x:c r="L101" s="8" t="str">
        <x:v>SYN-ACT-93</x:v>
      </x:c>
      <x:c r="M101" s="8" t="str">
        <x:v>Actual</x:v>
      </x:c>
      <x:c r="N101" s="40" t="n">
        <x:v>46752</x:v>
      </x:c>
      <x:c r="O101" s="41" t="n">
        <x:f>IF(C101="","",IFERROR(IF(INDEX('Factors'!$G$9:$G$108,MATCH(J101,'Factors'!$C$9:$C$108,0))="","",INDEX('Factors'!$G$9:$G$108,MATCH(J101,'Factors'!$C$9:$C$108,0))),""))</x:f>
        <x:v>2.68</x:v>
      </x:c>
      <x:c r="P101" s="9" t="str">
        <x:f>IF(C101="","",IFERROR(IF(INDEX('Factors'!$F$9:$F$108,MATCH(J101,'Factors'!$C$9:$C$108,0))="","",INDEX('Factors'!$F$9:$F$108,MATCH(J101,'Factors'!$C$9:$C$108,0))),""))</x:f>
        <x:v>litre</x:v>
      </x:c>
      <x:c r="Q101" s="9" t="str">
        <x:f>IF(C101="","",IFERROR(IF(INDEX('Factors'!$H$9:$H$108,MATCH(J101,'Factors'!$C$9:$C$108,0))="","",INDEX('Factors'!$H$9:$H$108,MATCH(J101,'Factors'!$C$9:$C$108,0))),""))</x:f>
        <x:v>S1</x:v>
      </x:c>
      <x:c r="R101" s="9" t="str">
        <x:f>IF(C101="","",IFERROR(IF(INDEX('Factors'!$E$9:$E$108,MATCH(J101,'Factors'!$C$9:$C$108,0))="","",INDEX('Factors'!$E$9:$E$108,MATCH(J101,'Factors'!$C$9:$C$108,0))),""))</x:f>
        <x:v>Global</x:v>
      </x:c>
      <x:c r="S101" s="42" t="n">
        <x:f>IF(C101="","",IFERROR(IF(INDEX('Factors'!$J$9:$J$108,MATCH(J101,'Factors'!$C$9:$C$108,0))="","",INDEX('Factors'!$J$9:$J$108,MATCH(J101,'Factors'!$C$9:$C$108,0))),""))</x:f>
        <x:v>2026</x:v>
      </x:c>
      <x:c r="T101" s="9" t="str">
        <x:f>IF(C101="","",IFERROR(IF(INDEX('Factors'!$L$9:$L$108,MATCH(J101,'Factors'!$C$9:$C$108,0))="","",INDEX('Factors'!$L$9:$L$108,MATCH(J101,'Factors'!$C$9:$C$108,0))),"")&amp;" / "&amp;IFERROR(IF(INDEX('Factors'!$M$9:$M$108,MATCH(J101,'Factors'!$C$9:$C$108,0))="","",INDEX('Factors'!$M$9:$M$108,MATCH(J101,'Factors'!$C$9:$C$108,0))),""))</x:f>
        <x:v>SYNTHETIC DEMO / SYN-2026.1</x:v>
      </x:c>
      <x:c r="U101" s="21" t="n">
        <x:f>IF(V101="Ready",H101*O101/1000,"")</x:f>
        <x:v>1305.16</x:v>
      </x:c>
      <x:c r="V101" s="9" t="str">
        <x:f>IF(C101="","",IF(OR(COUNTIFS($C$9:$C$308,C101)&lt;&gt;1,COUNTIFS($D$9:$D$308,D101,$E$9:$E$308,E101,$F$9:$F$308,F101,$G$9:$G$308,G101,$K$9:$K$308,K101)&lt;&gt;1),"Duplicate annual activity",IF(COUNTIFS('Inventory'!$C$9:$C$108,D101)&lt;&gt;1,"Entity required",IF(OR(E101="",L101="",NOT(ISNUMBER(H101)),H101&lt;0,NOT(ISNUMBER(K101)),NOT(ISNUMBER(N101))),"Missing activity input",IF(AND(E101&lt;&gt;D101,OR(COUNTIFS('Sites'!$C$9:$C$108,E101)&lt;&gt;1,IFERROR(IF(INDEX('Sites'!$D$9:$D$108,MATCH(E101,'Sites'!$C$9:$C$108,0))="","",INDEX('Sites'!$D$9:$D$108,MATCH(E101,'Sites'!$C$9:$C$108,0))),"")&lt;&gt;IFERROR(IF(INDEX('Inventory'!$D$9:$D$108,MATCH(D101,'Inventory'!$C$9:$C$108,0))="","",INDEX('Inventory'!$D$9:$D$108,MATCH(D101,'Inventory'!$C$9:$C$108,0))),""),IFERROR(IF(INDEX('Sites'!$E$9:$E$108,MATCH(E101,'Sites'!$C$9:$C$108,0))="","",INDEX('Sites'!$E$9:$E$108,MATCH(E101,'Sites'!$C$9:$C$108,0))),"")&lt;&gt;W101)),"Site / entity mismatch",IF(N101&lt;'Settings'!$F$8,"Expired",IF(X101&lt;&gt;"Ready","Factor required",IF(OR(G101&lt;&gt;IFERROR(IF(INDEX('Factors'!$D$9:$D$108,MATCH(J101,'Factors'!$C$9:$C$108,0))="","",INDEX('Factors'!$D$9:$D$108,MATCH(J101,'Factors'!$C$9:$C$108,0))),""),I101&lt;&gt;P101,F101&lt;&gt;Q101,K101&lt;&gt;S101,AND(R101&lt;&gt;"Global",R101&lt;&gt;W101),K101&lt;&gt;YEAR(IFERROR(IF(INDEX('Inventory'!$H$9:$H$108,MATCH(D101,'Inventory'!$C$9:$C$108,0))="","",INDEX('Inventory'!$H$9:$H$108,MATCH(D101,'Inventory'!$C$9:$C$108,0))),""))),"Factor / boundary mismatch",IF(AND(F101="S2",IFERROR(IF(INDEX('Factors'!$I$9:$I$108,MATCH(J101,'Factors'!$C$9:$C$108,0))="","",INDEX('Factors'!$I$9:$I$108,MATCH(J101,'Factors'!$C$9:$C$108,0))),"")&lt;&gt;"Location-based"),"Use location factor",IF(M101&lt;&gt;"Actual","Estimation method review","Ready"))))))))))</x:f>
        <x:v>Ready</x:v>
      </x:c>
      <x:c r="W101" s="9" t="str">
        <x:f>IF(C101="","",IFERROR(IF(INDEX('Inventory'!$G$9:$G$108,MATCH(D101,'Inventory'!$C$9:$C$108,0))="","",INDEX('Inventory'!$G$9:$G$108,MATCH(D101,'Inventory'!$C$9:$C$108,0))),""))</x:f>
        <x:v>Jordan</x:v>
      </x:c>
      <x:c r="X101" s="9" t="str">
        <x:f>IF(C101="","",IFERROR(IF(INDEX('Factors'!$P$9:$P$108,MATCH(J101,'Factors'!$C$9:$C$108,0))="","",INDEX('Factors'!$P$9:$P$108,MATCH(J101,'Factors'!$C$9:$C$108,0))),""))</x:f>
        <x:v>Ready</x:v>
      </x:c>
    </x:row>
    <x:row r="102" ht="26" customHeight="1">
      <x:c r="A102" s="1"/>
      <x:c r="B102" s="1"/>
      <x:c r="C102" s="8" t="str">
        <x:v>ACT094</x:v>
      </x:c>
      <x:c r="D102" s="8" t="str">
        <x:v>B022</x:v>
      </x:c>
      <x:c r="E102" s="8" t="str">
        <x:v>S044</x:v>
      </x:c>
      <x:c r="F102" s="8" t="str">
        <x:v>S2</x:v>
      </x:c>
      <x:c r="G102" s="8" t="str">
        <x:v>Electricity</x:v>
      </x:c>
      <x:c r="H102" s="16" t="n">
        <x:v>1775000</x:v>
      </x:c>
      <x:c r="I102" s="8" t="str">
        <x:v>kWh</x:v>
      </x:c>
      <x:c r="J102" s="8" t="str">
        <x:v>JO-GRID-26</x:v>
      </x:c>
      <x:c r="K102" s="22" t="n">
        <x:v>2026</x:v>
      </x:c>
      <x:c r="L102" s="8" t="str">
        <x:v>SYN-ACT-94</x:v>
      </x:c>
      <x:c r="M102" s="8" t="str">
        <x:v>Actual</x:v>
      </x:c>
      <x:c r="N102" s="40" t="n">
        <x:v>46752</x:v>
      </x:c>
      <x:c r="O102" s="41" t="n">
        <x:f>IF(C102="","",IFERROR(IF(INDEX('Factors'!$G$9:$G$108,MATCH(J102,'Factors'!$C$9:$C$108,0))="","",INDEX('Factors'!$G$9:$G$108,MATCH(J102,'Factors'!$C$9:$C$108,0))),""))</x:f>
        <x:v>0.43</x:v>
      </x:c>
      <x:c r="P102" s="9" t="str">
        <x:f>IF(C102="","",IFERROR(IF(INDEX('Factors'!$F$9:$F$108,MATCH(J102,'Factors'!$C$9:$C$108,0))="","",INDEX('Factors'!$F$9:$F$108,MATCH(J102,'Factors'!$C$9:$C$108,0))),""))</x:f>
        <x:v>kWh</x:v>
      </x:c>
      <x:c r="Q102" s="9" t="str">
        <x:f>IF(C102="","",IFERROR(IF(INDEX('Factors'!$H$9:$H$108,MATCH(J102,'Factors'!$C$9:$C$108,0))="","",INDEX('Factors'!$H$9:$H$108,MATCH(J102,'Factors'!$C$9:$C$108,0))),""))</x:f>
        <x:v>S2</x:v>
      </x:c>
      <x:c r="R102" s="9" t="str">
        <x:f>IF(C102="","",IFERROR(IF(INDEX('Factors'!$E$9:$E$108,MATCH(J102,'Factors'!$C$9:$C$108,0))="","",INDEX('Factors'!$E$9:$E$108,MATCH(J102,'Factors'!$C$9:$C$108,0))),""))</x:f>
        <x:v>Jordan</x:v>
      </x:c>
      <x:c r="S102" s="42" t="n">
        <x:f>IF(C102="","",IFERROR(IF(INDEX('Factors'!$J$9:$J$108,MATCH(J102,'Factors'!$C$9:$C$108,0))="","",INDEX('Factors'!$J$9:$J$108,MATCH(J102,'Factors'!$C$9:$C$108,0))),""))</x:f>
        <x:v>2026</x:v>
      </x:c>
      <x:c r="T102" s="9" t="str">
        <x:f>IF(C102="","",IFERROR(IF(INDEX('Factors'!$L$9:$L$108,MATCH(J102,'Factors'!$C$9:$C$108,0))="","",INDEX('Factors'!$L$9:$L$108,MATCH(J102,'Factors'!$C$9:$C$108,0))),"")&amp;" / "&amp;IFERROR(IF(INDEX('Factors'!$M$9:$M$108,MATCH(J102,'Factors'!$C$9:$C$108,0))="","",INDEX('Factors'!$M$9:$M$108,MATCH(J102,'Factors'!$C$9:$C$108,0))),""))</x:f>
        <x:v>SYNTHETIC DEMO / SYN-2026.1</x:v>
      </x:c>
      <x:c r="U102" s="21" t="n">
        <x:f>IF(V102="Ready",H102*O102/1000,"")</x:f>
        <x:v>763.25</x:v>
      </x:c>
      <x:c r="V102" s="9" t="str">
        <x:f>IF(C102="","",IF(OR(COUNTIFS($C$9:$C$308,C102)&lt;&gt;1,COUNTIFS($D$9:$D$308,D102,$E$9:$E$308,E102,$F$9:$F$308,F102,$G$9:$G$308,G102,$K$9:$K$308,K102)&lt;&gt;1),"Duplicate annual activity",IF(COUNTIFS('Inventory'!$C$9:$C$108,D102)&lt;&gt;1,"Entity required",IF(OR(E102="",L102="",NOT(ISNUMBER(H102)),H102&lt;0,NOT(ISNUMBER(K102)),NOT(ISNUMBER(N102))),"Missing activity input",IF(AND(E102&lt;&gt;D102,OR(COUNTIFS('Sites'!$C$9:$C$108,E102)&lt;&gt;1,IFERROR(IF(INDEX('Sites'!$D$9:$D$108,MATCH(E102,'Sites'!$C$9:$C$108,0))="","",INDEX('Sites'!$D$9:$D$108,MATCH(E102,'Sites'!$C$9:$C$108,0))),"")&lt;&gt;IFERROR(IF(INDEX('Inventory'!$D$9:$D$108,MATCH(D102,'Inventory'!$C$9:$C$108,0))="","",INDEX('Inventory'!$D$9:$D$108,MATCH(D102,'Inventory'!$C$9:$C$108,0))),""),IFERROR(IF(INDEX('Sites'!$E$9:$E$108,MATCH(E102,'Sites'!$C$9:$C$108,0))="","",INDEX('Sites'!$E$9:$E$108,MATCH(E102,'Sites'!$C$9:$C$108,0))),"")&lt;&gt;W102)),"Site / entity mismatch",IF(N102&lt;'Settings'!$F$8,"Expired",IF(X102&lt;&gt;"Ready","Factor required",IF(OR(G102&lt;&gt;IFERROR(IF(INDEX('Factors'!$D$9:$D$108,MATCH(J102,'Factors'!$C$9:$C$108,0))="","",INDEX('Factors'!$D$9:$D$108,MATCH(J102,'Factors'!$C$9:$C$108,0))),""),I102&lt;&gt;P102,F102&lt;&gt;Q102,K102&lt;&gt;S102,AND(R102&lt;&gt;"Global",R102&lt;&gt;W102),K102&lt;&gt;YEAR(IFERROR(IF(INDEX('Inventory'!$H$9:$H$108,MATCH(D102,'Inventory'!$C$9:$C$108,0))="","",INDEX('Inventory'!$H$9:$H$108,MATCH(D102,'Inventory'!$C$9:$C$108,0))),""))),"Factor / boundary mismatch",IF(AND(F102="S2",IFERROR(IF(INDEX('Factors'!$I$9:$I$108,MATCH(J102,'Factors'!$C$9:$C$108,0))="","",INDEX('Factors'!$I$9:$I$108,MATCH(J102,'Factors'!$C$9:$C$108,0))),"")&lt;&gt;"Location-based"),"Use location factor",IF(M102&lt;&gt;"Actual","Estimation method review","Ready"))))))))))</x:f>
        <x:v>Ready</x:v>
      </x:c>
      <x:c r="W102" s="9" t="str">
        <x:f>IF(C102="","",IFERROR(IF(INDEX('Inventory'!$G$9:$G$108,MATCH(D102,'Inventory'!$C$9:$C$108,0))="","",INDEX('Inventory'!$G$9:$G$108,MATCH(D102,'Inventory'!$C$9:$C$108,0))),""))</x:f>
        <x:v>Jordan</x:v>
      </x:c>
      <x:c r="X102" s="9" t="str">
        <x:f>IF(C102="","",IFERROR(IF(INDEX('Factors'!$P$9:$P$108,MATCH(J102,'Factors'!$C$9:$C$108,0))="","",INDEX('Factors'!$P$9:$P$108,MATCH(J102,'Factors'!$C$9:$C$108,0))),""))</x:f>
        <x:v>Ready</x:v>
      </x:c>
    </x:row>
    <x:row r="103" ht="26" customHeight="1">
      <x:c r="A103" s="1"/>
      <x:c r="B103" s="1"/>
      <x:c r="C103" s="8" t="str">
        <x:v>ACT095</x:v>
      </x:c>
      <x:c r="D103" s="8" t="str">
        <x:v>B023</x:v>
      </x:c>
      <x:c r="E103" s="8" t="str">
        <x:v>S045</x:v>
      </x:c>
      <x:c r="F103" s="8" t="str">
        <x:v>S1</x:v>
      </x:c>
      <x:c r="G103" s="8" t="str">
        <x:v>Diesel</x:v>
      </x:c>
      <x:c r="H103" s="16" t="n">
        <x:v>496000</x:v>
      </x:c>
      <x:c r="I103" s="8" t="str">
        <x:v>litre</x:v>
      </x:c>
      <x:c r="J103" s="8" t="str">
        <x:v>GLOBAL-DIESEL-26</x:v>
      </x:c>
      <x:c r="K103" s="22" t="n">
        <x:v>2026</x:v>
      </x:c>
      <x:c r="L103" s="8" t="str">
        <x:v>SYN-ACT-95</x:v>
      </x:c>
      <x:c r="M103" s="8" t="str">
        <x:v>Actual</x:v>
      </x:c>
      <x:c r="N103" s="40" t="n">
        <x:v>46752</x:v>
      </x:c>
      <x:c r="O103" s="41" t="n">
        <x:f>IF(C103="","",IFERROR(IF(INDEX('Factors'!$G$9:$G$108,MATCH(J103,'Factors'!$C$9:$C$108,0))="","",INDEX('Factors'!$G$9:$G$108,MATCH(J103,'Factors'!$C$9:$C$108,0))),""))</x:f>
        <x:v>2.68</x:v>
      </x:c>
      <x:c r="P103" s="9" t="str">
        <x:f>IF(C103="","",IFERROR(IF(INDEX('Factors'!$F$9:$F$108,MATCH(J103,'Factors'!$C$9:$C$108,0))="","",INDEX('Factors'!$F$9:$F$108,MATCH(J103,'Factors'!$C$9:$C$108,0))),""))</x:f>
        <x:v>litre</x:v>
      </x:c>
      <x:c r="Q103" s="9" t="str">
        <x:f>IF(C103="","",IFERROR(IF(INDEX('Factors'!$H$9:$H$108,MATCH(J103,'Factors'!$C$9:$C$108,0))="","",INDEX('Factors'!$H$9:$H$108,MATCH(J103,'Factors'!$C$9:$C$108,0))),""))</x:f>
        <x:v>S1</x:v>
      </x:c>
      <x:c r="R103" s="9" t="str">
        <x:f>IF(C103="","",IFERROR(IF(INDEX('Factors'!$E$9:$E$108,MATCH(J103,'Factors'!$C$9:$C$108,0))="","",INDEX('Factors'!$E$9:$E$108,MATCH(J103,'Factors'!$C$9:$C$108,0))),""))</x:f>
        <x:v>Global</x:v>
      </x:c>
      <x:c r="S103" s="42" t="n">
        <x:f>IF(C103="","",IFERROR(IF(INDEX('Factors'!$J$9:$J$108,MATCH(J103,'Factors'!$C$9:$C$108,0))="","",INDEX('Factors'!$J$9:$J$108,MATCH(J103,'Factors'!$C$9:$C$108,0))),""))</x:f>
        <x:v>2026</x:v>
      </x:c>
      <x:c r="T103" s="9" t="str">
        <x:f>IF(C103="","",IFERROR(IF(INDEX('Factors'!$L$9:$L$108,MATCH(J103,'Factors'!$C$9:$C$108,0))="","",INDEX('Factors'!$L$9:$L$108,MATCH(J103,'Factors'!$C$9:$C$108,0))),"")&amp;" / "&amp;IFERROR(IF(INDEX('Factors'!$M$9:$M$108,MATCH(J103,'Factors'!$C$9:$C$108,0))="","",INDEX('Factors'!$M$9:$M$108,MATCH(J103,'Factors'!$C$9:$C$108,0))),""))</x:f>
        <x:v>SYNTHETIC DEMO / SYN-2026.1</x:v>
      </x:c>
      <x:c r="U103" s="21" t="n">
        <x:f>IF(V103="Ready",H103*O103/1000,"")</x:f>
        <x:v>1329.28</x:v>
      </x:c>
      <x:c r="V103" s="9" t="str">
        <x:f>IF(C103="","",IF(OR(COUNTIFS($C$9:$C$308,C103)&lt;&gt;1,COUNTIFS($D$9:$D$308,D103,$E$9:$E$308,E103,$F$9:$F$308,F103,$G$9:$G$308,G103,$K$9:$K$308,K103)&lt;&gt;1),"Duplicate annual activity",IF(COUNTIFS('Inventory'!$C$9:$C$108,D103)&lt;&gt;1,"Entity required",IF(OR(E103="",L103="",NOT(ISNUMBER(H103)),H103&lt;0,NOT(ISNUMBER(K103)),NOT(ISNUMBER(N103))),"Missing activity input",IF(AND(E103&lt;&gt;D103,OR(COUNTIFS('Sites'!$C$9:$C$108,E103)&lt;&gt;1,IFERROR(IF(INDEX('Sites'!$D$9:$D$108,MATCH(E103,'Sites'!$C$9:$C$108,0))="","",INDEX('Sites'!$D$9:$D$108,MATCH(E103,'Sites'!$C$9:$C$108,0))),"")&lt;&gt;IFERROR(IF(INDEX('Inventory'!$D$9:$D$108,MATCH(D103,'Inventory'!$C$9:$C$108,0))="","",INDEX('Inventory'!$D$9:$D$108,MATCH(D103,'Inventory'!$C$9:$C$108,0))),""),IFERROR(IF(INDEX('Sites'!$E$9:$E$108,MATCH(E103,'Sites'!$C$9:$C$108,0))="","",INDEX('Sites'!$E$9:$E$108,MATCH(E103,'Sites'!$C$9:$C$108,0))),"")&lt;&gt;W103)),"Site / entity mismatch",IF(N103&lt;'Settings'!$F$8,"Expired",IF(X103&lt;&gt;"Ready","Factor required",IF(OR(G103&lt;&gt;IFERROR(IF(INDEX('Factors'!$D$9:$D$108,MATCH(J103,'Factors'!$C$9:$C$108,0))="","",INDEX('Factors'!$D$9:$D$108,MATCH(J103,'Factors'!$C$9:$C$108,0))),""),I103&lt;&gt;P103,F103&lt;&gt;Q103,K103&lt;&gt;S103,AND(R103&lt;&gt;"Global",R103&lt;&gt;W103),K103&lt;&gt;YEAR(IFERROR(IF(INDEX('Inventory'!$H$9:$H$108,MATCH(D103,'Inventory'!$C$9:$C$108,0))="","",INDEX('Inventory'!$H$9:$H$108,MATCH(D103,'Inventory'!$C$9:$C$108,0))),""))),"Factor / boundary mismatch",IF(AND(F103="S2",IFERROR(IF(INDEX('Factors'!$I$9:$I$108,MATCH(J103,'Factors'!$C$9:$C$108,0))="","",INDEX('Factors'!$I$9:$I$108,MATCH(J103,'Factors'!$C$9:$C$108,0))),"")&lt;&gt;"Location-based"),"Use location factor",IF(M103&lt;&gt;"Actual","Estimation method review","Ready"))))))))))</x:f>
        <x:v>Ready</x:v>
      </x:c>
      <x:c r="W103" s="9" t="str">
        <x:f>IF(C103="","",IFERROR(IF(INDEX('Inventory'!$G$9:$G$108,MATCH(D103,'Inventory'!$C$9:$C$108,0))="","",INDEX('Inventory'!$G$9:$G$108,MATCH(D103,'Inventory'!$C$9:$C$108,0))),""))</x:f>
        <x:v>UAE</x:v>
      </x:c>
      <x:c r="X103" s="9" t="str">
        <x:f>IF(C103="","",IFERROR(IF(INDEX('Factors'!$P$9:$P$108,MATCH(J103,'Factors'!$C$9:$C$108,0))="","",INDEX('Factors'!$P$9:$P$108,MATCH(J103,'Factors'!$C$9:$C$108,0))),""))</x:f>
        <x:v>Ready</x:v>
      </x:c>
    </x:row>
    <x:row r="104" ht="26" customHeight="1">
      <x:c r="A104" s="1"/>
      <x:c r="B104" s="1"/>
      <x:c r="C104" s="8" t="str">
        <x:v>ACT096</x:v>
      </x:c>
      <x:c r="D104" s="8" t="str">
        <x:v>B023</x:v>
      </x:c>
      <x:c r="E104" s="8" t="str">
        <x:v>S045</x:v>
      </x:c>
      <x:c r="F104" s="8" t="str">
        <x:v>S2</x:v>
      </x:c>
      <x:c r="G104" s="8" t="str">
        <x:v>Electricity</x:v>
      </x:c>
      <x:c r="H104" s="16" t="n">
        <x:v>1800000</x:v>
      </x:c>
      <x:c r="I104" s="8" t="str">
        <x:v>kWh</x:v>
      </x:c>
      <x:c r="J104" s="8" t="str">
        <x:v>AE-GRID-26</x:v>
      </x:c>
      <x:c r="K104" s="22" t="n">
        <x:v>2026</x:v>
      </x:c>
      <x:c r="L104" s="8" t="str">
        <x:v>SYN-ACT-96</x:v>
      </x:c>
      <x:c r="M104" s="8" t="str">
        <x:v>Actual</x:v>
      </x:c>
      <x:c r="N104" s="40" t="n">
        <x:v>46752</x:v>
      </x:c>
      <x:c r="O104" s="41" t="n">
        <x:f>IF(C104="","",IFERROR(IF(INDEX('Factors'!$G$9:$G$108,MATCH(J104,'Factors'!$C$9:$C$108,0))="","",INDEX('Factors'!$G$9:$G$108,MATCH(J104,'Factors'!$C$9:$C$108,0))),""))</x:f>
        <x:v>0.39</x:v>
      </x:c>
      <x:c r="P104" s="9" t="str">
        <x:f>IF(C104="","",IFERROR(IF(INDEX('Factors'!$F$9:$F$108,MATCH(J104,'Factors'!$C$9:$C$108,0))="","",INDEX('Factors'!$F$9:$F$108,MATCH(J104,'Factors'!$C$9:$C$108,0))),""))</x:f>
        <x:v>kWh</x:v>
      </x:c>
      <x:c r="Q104" s="9" t="str">
        <x:f>IF(C104="","",IFERROR(IF(INDEX('Factors'!$H$9:$H$108,MATCH(J104,'Factors'!$C$9:$C$108,0))="","",INDEX('Factors'!$H$9:$H$108,MATCH(J104,'Factors'!$C$9:$C$108,0))),""))</x:f>
        <x:v>S2</x:v>
      </x:c>
      <x:c r="R104" s="9" t="str">
        <x:f>IF(C104="","",IFERROR(IF(INDEX('Factors'!$E$9:$E$108,MATCH(J104,'Factors'!$C$9:$C$108,0))="","",INDEX('Factors'!$E$9:$E$108,MATCH(J104,'Factors'!$C$9:$C$108,0))),""))</x:f>
        <x:v>UAE</x:v>
      </x:c>
      <x:c r="S104" s="42" t="n">
        <x:f>IF(C104="","",IFERROR(IF(INDEX('Factors'!$J$9:$J$108,MATCH(J104,'Factors'!$C$9:$C$108,0))="","",INDEX('Factors'!$J$9:$J$108,MATCH(J104,'Factors'!$C$9:$C$108,0))),""))</x:f>
        <x:v>2026</x:v>
      </x:c>
      <x:c r="T104" s="9" t="str">
        <x:f>IF(C104="","",IFERROR(IF(INDEX('Factors'!$L$9:$L$108,MATCH(J104,'Factors'!$C$9:$C$108,0))="","",INDEX('Factors'!$L$9:$L$108,MATCH(J104,'Factors'!$C$9:$C$108,0))),"")&amp;" / "&amp;IFERROR(IF(INDEX('Factors'!$M$9:$M$108,MATCH(J104,'Factors'!$C$9:$C$108,0))="","",INDEX('Factors'!$M$9:$M$108,MATCH(J104,'Factors'!$C$9:$C$108,0))),""))</x:f>
        <x:v>SYNTHETIC DEMO / SYN-2026.1</x:v>
      </x:c>
      <x:c r="U104" s="21" t="n">
        <x:f>IF(V104="Ready",H104*O104/1000,"")</x:f>
        <x:v>702</x:v>
      </x:c>
      <x:c r="V104" s="9" t="str">
        <x:f>IF(C104="","",IF(OR(COUNTIFS($C$9:$C$308,C104)&lt;&gt;1,COUNTIFS($D$9:$D$308,D104,$E$9:$E$308,E104,$F$9:$F$308,F104,$G$9:$G$308,G104,$K$9:$K$308,K104)&lt;&gt;1),"Duplicate annual activity",IF(COUNTIFS('Inventory'!$C$9:$C$108,D104)&lt;&gt;1,"Entity required",IF(OR(E104="",L104="",NOT(ISNUMBER(H104)),H104&lt;0,NOT(ISNUMBER(K104)),NOT(ISNUMBER(N104))),"Missing activity input",IF(AND(E104&lt;&gt;D104,OR(COUNTIFS('Sites'!$C$9:$C$108,E104)&lt;&gt;1,IFERROR(IF(INDEX('Sites'!$D$9:$D$108,MATCH(E104,'Sites'!$C$9:$C$108,0))="","",INDEX('Sites'!$D$9:$D$108,MATCH(E104,'Sites'!$C$9:$C$108,0))),"")&lt;&gt;IFERROR(IF(INDEX('Inventory'!$D$9:$D$108,MATCH(D104,'Inventory'!$C$9:$C$108,0))="","",INDEX('Inventory'!$D$9:$D$108,MATCH(D104,'Inventory'!$C$9:$C$108,0))),""),IFERROR(IF(INDEX('Sites'!$E$9:$E$108,MATCH(E104,'Sites'!$C$9:$C$108,0))="","",INDEX('Sites'!$E$9:$E$108,MATCH(E104,'Sites'!$C$9:$C$108,0))),"")&lt;&gt;W104)),"Site / entity mismatch",IF(N104&lt;'Settings'!$F$8,"Expired",IF(X104&lt;&gt;"Ready","Factor required",IF(OR(G104&lt;&gt;IFERROR(IF(INDEX('Factors'!$D$9:$D$108,MATCH(J104,'Factors'!$C$9:$C$108,0))="","",INDEX('Factors'!$D$9:$D$108,MATCH(J104,'Factors'!$C$9:$C$108,0))),""),I104&lt;&gt;P104,F104&lt;&gt;Q104,K104&lt;&gt;S104,AND(R104&lt;&gt;"Global",R104&lt;&gt;W104),K104&lt;&gt;YEAR(IFERROR(IF(INDEX('Inventory'!$H$9:$H$108,MATCH(D104,'Inventory'!$C$9:$C$108,0))="","",INDEX('Inventory'!$H$9:$H$108,MATCH(D104,'Inventory'!$C$9:$C$108,0))),""))),"Factor / boundary mismatch",IF(AND(F104="S2",IFERROR(IF(INDEX('Factors'!$I$9:$I$108,MATCH(J104,'Factors'!$C$9:$C$108,0))="","",INDEX('Factors'!$I$9:$I$108,MATCH(J104,'Factors'!$C$9:$C$108,0))),"")&lt;&gt;"Location-based"),"Use location factor",IF(M104&lt;&gt;"Actual","Estimation method review","Ready"))))))))))</x:f>
        <x:v>Ready</x:v>
      </x:c>
      <x:c r="W104" s="9" t="str">
        <x:f>IF(C104="","",IFERROR(IF(INDEX('Inventory'!$G$9:$G$108,MATCH(D104,'Inventory'!$C$9:$C$108,0))="","",INDEX('Inventory'!$G$9:$G$108,MATCH(D104,'Inventory'!$C$9:$C$108,0))),""))</x:f>
        <x:v>UAE</x:v>
      </x:c>
      <x:c r="X104" s="9" t="str">
        <x:f>IF(C104="","",IFERROR(IF(INDEX('Factors'!$P$9:$P$108,MATCH(J104,'Factors'!$C$9:$C$108,0))="","",INDEX('Factors'!$P$9:$P$108,MATCH(J104,'Factors'!$C$9:$C$108,0))),""))</x:f>
        <x:v>Ready</x:v>
      </x:c>
    </x:row>
    <x:row r="105" ht="26" customHeight="1">
      <x:c r="A105" s="1"/>
      <x:c r="B105" s="1"/>
      <x:c r="C105" s="8" t="str">
        <x:v>ACT097</x:v>
      </x:c>
      <x:c r="D105" s="8" t="str">
        <x:v>B023</x:v>
      </x:c>
      <x:c r="E105" s="8" t="str">
        <x:v>S046</x:v>
      </x:c>
      <x:c r="F105" s="8" t="str">
        <x:v>S1</x:v>
      </x:c>
      <x:c r="G105" s="8" t="str">
        <x:v>Diesel</x:v>
      </x:c>
      <x:c r="H105" s="16" t="n">
        <x:v>505000</x:v>
      </x:c>
      <x:c r="I105" s="8" t="str">
        <x:v>litre</x:v>
      </x:c>
      <x:c r="J105" s="8" t="str">
        <x:v>GLOBAL-DIESEL-26</x:v>
      </x:c>
      <x:c r="K105" s="22" t="n">
        <x:v>2026</x:v>
      </x:c>
      <x:c r="L105" s="8" t="str">
        <x:v>SYN-ACT-97</x:v>
      </x:c>
      <x:c r="M105" s="8" t="str">
        <x:v>Actual</x:v>
      </x:c>
      <x:c r="N105" s="40" t="n">
        <x:v>46752</x:v>
      </x:c>
      <x:c r="O105" s="41" t="n">
        <x:f>IF(C105="","",IFERROR(IF(INDEX('Factors'!$G$9:$G$108,MATCH(J105,'Factors'!$C$9:$C$108,0))="","",INDEX('Factors'!$G$9:$G$108,MATCH(J105,'Factors'!$C$9:$C$108,0))),""))</x:f>
        <x:v>2.68</x:v>
      </x:c>
      <x:c r="P105" s="9" t="str">
        <x:f>IF(C105="","",IFERROR(IF(INDEX('Factors'!$F$9:$F$108,MATCH(J105,'Factors'!$C$9:$C$108,0))="","",INDEX('Factors'!$F$9:$F$108,MATCH(J105,'Factors'!$C$9:$C$108,0))),""))</x:f>
        <x:v>litre</x:v>
      </x:c>
      <x:c r="Q105" s="9" t="str">
        <x:f>IF(C105="","",IFERROR(IF(INDEX('Factors'!$H$9:$H$108,MATCH(J105,'Factors'!$C$9:$C$108,0))="","",INDEX('Factors'!$H$9:$H$108,MATCH(J105,'Factors'!$C$9:$C$108,0))),""))</x:f>
        <x:v>S1</x:v>
      </x:c>
      <x:c r="R105" s="9" t="str">
        <x:f>IF(C105="","",IFERROR(IF(INDEX('Factors'!$E$9:$E$108,MATCH(J105,'Factors'!$C$9:$C$108,0))="","",INDEX('Factors'!$E$9:$E$108,MATCH(J105,'Factors'!$C$9:$C$108,0))),""))</x:f>
        <x:v>Global</x:v>
      </x:c>
      <x:c r="S105" s="42" t="n">
        <x:f>IF(C105="","",IFERROR(IF(INDEX('Factors'!$J$9:$J$108,MATCH(J105,'Factors'!$C$9:$C$108,0))="","",INDEX('Factors'!$J$9:$J$108,MATCH(J105,'Factors'!$C$9:$C$108,0))),""))</x:f>
        <x:v>2026</x:v>
      </x:c>
      <x:c r="T105" s="9" t="str">
        <x:f>IF(C105="","",IFERROR(IF(INDEX('Factors'!$L$9:$L$108,MATCH(J105,'Factors'!$C$9:$C$108,0))="","",INDEX('Factors'!$L$9:$L$108,MATCH(J105,'Factors'!$C$9:$C$108,0))),"")&amp;" / "&amp;IFERROR(IF(INDEX('Factors'!$M$9:$M$108,MATCH(J105,'Factors'!$C$9:$C$108,0))="","",INDEX('Factors'!$M$9:$M$108,MATCH(J105,'Factors'!$C$9:$C$108,0))),""))</x:f>
        <x:v>SYNTHETIC DEMO / SYN-2026.1</x:v>
      </x:c>
      <x:c r="U105" s="21" t="n">
        <x:f>IF(V105="Ready",H105*O105/1000,"")</x:f>
        <x:v>1353.4</x:v>
      </x:c>
      <x:c r="V105" s="9" t="str">
        <x:f>IF(C105="","",IF(OR(COUNTIFS($C$9:$C$308,C105)&lt;&gt;1,COUNTIFS($D$9:$D$308,D105,$E$9:$E$308,E105,$F$9:$F$308,F105,$G$9:$G$308,G105,$K$9:$K$308,K105)&lt;&gt;1),"Duplicate annual activity",IF(COUNTIFS('Inventory'!$C$9:$C$108,D105)&lt;&gt;1,"Entity required",IF(OR(E105="",L105="",NOT(ISNUMBER(H105)),H105&lt;0,NOT(ISNUMBER(K105)),NOT(ISNUMBER(N105))),"Missing activity input",IF(AND(E105&lt;&gt;D105,OR(COUNTIFS('Sites'!$C$9:$C$108,E105)&lt;&gt;1,IFERROR(IF(INDEX('Sites'!$D$9:$D$108,MATCH(E105,'Sites'!$C$9:$C$108,0))="","",INDEX('Sites'!$D$9:$D$108,MATCH(E105,'Sites'!$C$9:$C$108,0))),"")&lt;&gt;IFERROR(IF(INDEX('Inventory'!$D$9:$D$108,MATCH(D105,'Inventory'!$C$9:$C$108,0))="","",INDEX('Inventory'!$D$9:$D$108,MATCH(D105,'Inventory'!$C$9:$C$108,0))),""),IFERROR(IF(INDEX('Sites'!$E$9:$E$108,MATCH(E105,'Sites'!$C$9:$C$108,0))="","",INDEX('Sites'!$E$9:$E$108,MATCH(E105,'Sites'!$C$9:$C$108,0))),"")&lt;&gt;W105)),"Site / entity mismatch",IF(N105&lt;'Settings'!$F$8,"Expired",IF(X105&lt;&gt;"Ready","Factor required",IF(OR(G105&lt;&gt;IFERROR(IF(INDEX('Factors'!$D$9:$D$108,MATCH(J105,'Factors'!$C$9:$C$108,0))="","",INDEX('Factors'!$D$9:$D$108,MATCH(J105,'Factors'!$C$9:$C$108,0))),""),I105&lt;&gt;P105,F105&lt;&gt;Q105,K105&lt;&gt;S105,AND(R105&lt;&gt;"Global",R105&lt;&gt;W105),K105&lt;&gt;YEAR(IFERROR(IF(INDEX('Inventory'!$H$9:$H$108,MATCH(D105,'Inventory'!$C$9:$C$108,0))="","",INDEX('Inventory'!$H$9:$H$108,MATCH(D105,'Inventory'!$C$9:$C$108,0))),""))),"Factor / boundary mismatch",IF(AND(F105="S2",IFERROR(IF(INDEX('Factors'!$I$9:$I$108,MATCH(J105,'Factors'!$C$9:$C$108,0))="","",INDEX('Factors'!$I$9:$I$108,MATCH(J105,'Factors'!$C$9:$C$108,0))),"")&lt;&gt;"Location-based"),"Use location factor",IF(M105&lt;&gt;"Actual","Estimation method review","Ready"))))))))))</x:f>
        <x:v>Ready</x:v>
      </x:c>
      <x:c r="W105" s="9" t="str">
        <x:f>IF(C105="","",IFERROR(IF(INDEX('Inventory'!$G$9:$G$108,MATCH(D105,'Inventory'!$C$9:$C$108,0))="","",INDEX('Inventory'!$G$9:$G$108,MATCH(D105,'Inventory'!$C$9:$C$108,0))),""))</x:f>
        <x:v>UAE</x:v>
      </x:c>
      <x:c r="X105" s="9" t="str">
        <x:f>IF(C105="","",IFERROR(IF(INDEX('Factors'!$P$9:$P$108,MATCH(J105,'Factors'!$C$9:$C$108,0))="","",INDEX('Factors'!$P$9:$P$108,MATCH(J105,'Factors'!$C$9:$C$108,0))),""))</x:f>
        <x:v>Ready</x:v>
      </x:c>
    </x:row>
    <x:row r="106" ht="26" customHeight="1">
      <x:c r="A106" s="1"/>
      <x:c r="B106" s="1"/>
      <x:c r="C106" s="8" t="str">
        <x:v>ACT098</x:v>
      </x:c>
      <x:c r="D106" s="8" t="str">
        <x:v>B023</x:v>
      </x:c>
      <x:c r="E106" s="8" t="str">
        <x:v>S046</x:v>
      </x:c>
      <x:c r="F106" s="8" t="str">
        <x:v>S2</x:v>
      </x:c>
      <x:c r="G106" s="8" t="str">
        <x:v>Electricity</x:v>
      </x:c>
      <x:c r="H106" s="16" t="n">
        <x:v>1825000</x:v>
      </x:c>
      <x:c r="I106" s="8" t="str">
        <x:v>kWh</x:v>
      </x:c>
      <x:c r="J106" s="8" t="str">
        <x:v>AE-GRID-26</x:v>
      </x:c>
      <x:c r="K106" s="22" t="n">
        <x:v>2026</x:v>
      </x:c>
      <x:c r="L106" s="8" t="str">
        <x:v>SYN-ACT-98</x:v>
      </x:c>
      <x:c r="M106" s="8" t="str">
        <x:v>Actual</x:v>
      </x:c>
      <x:c r="N106" s="40" t="n">
        <x:v>46752</x:v>
      </x:c>
      <x:c r="O106" s="41" t="n">
        <x:f>IF(C106="","",IFERROR(IF(INDEX('Factors'!$G$9:$G$108,MATCH(J106,'Factors'!$C$9:$C$108,0))="","",INDEX('Factors'!$G$9:$G$108,MATCH(J106,'Factors'!$C$9:$C$108,0))),""))</x:f>
        <x:v>0.39</x:v>
      </x:c>
      <x:c r="P106" s="9" t="str">
        <x:f>IF(C106="","",IFERROR(IF(INDEX('Factors'!$F$9:$F$108,MATCH(J106,'Factors'!$C$9:$C$108,0))="","",INDEX('Factors'!$F$9:$F$108,MATCH(J106,'Factors'!$C$9:$C$108,0))),""))</x:f>
        <x:v>kWh</x:v>
      </x:c>
      <x:c r="Q106" s="9" t="str">
        <x:f>IF(C106="","",IFERROR(IF(INDEX('Factors'!$H$9:$H$108,MATCH(J106,'Factors'!$C$9:$C$108,0))="","",INDEX('Factors'!$H$9:$H$108,MATCH(J106,'Factors'!$C$9:$C$108,0))),""))</x:f>
        <x:v>S2</x:v>
      </x:c>
      <x:c r="R106" s="9" t="str">
        <x:f>IF(C106="","",IFERROR(IF(INDEX('Factors'!$E$9:$E$108,MATCH(J106,'Factors'!$C$9:$C$108,0))="","",INDEX('Factors'!$E$9:$E$108,MATCH(J106,'Factors'!$C$9:$C$108,0))),""))</x:f>
        <x:v>UAE</x:v>
      </x:c>
      <x:c r="S106" s="42" t="n">
        <x:f>IF(C106="","",IFERROR(IF(INDEX('Factors'!$J$9:$J$108,MATCH(J106,'Factors'!$C$9:$C$108,0))="","",INDEX('Factors'!$J$9:$J$108,MATCH(J106,'Factors'!$C$9:$C$108,0))),""))</x:f>
        <x:v>2026</x:v>
      </x:c>
      <x:c r="T106" s="9" t="str">
        <x:f>IF(C106="","",IFERROR(IF(INDEX('Factors'!$L$9:$L$108,MATCH(J106,'Factors'!$C$9:$C$108,0))="","",INDEX('Factors'!$L$9:$L$108,MATCH(J106,'Factors'!$C$9:$C$108,0))),"")&amp;" / "&amp;IFERROR(IF(INDEX('Factors'!$M$9:$M$108,MATCH(J106,'Factors'!$C$9:$C$108,0))="","",INDEX('Factors'!$M$9:$M$108,MATCH(J106,'Factors'!$C$9:$C$108,0))),""))</x:f>
        <x:v>SYNTHETIC DEMO / SYN-2026.1</x:v>
      </x:c>
      <x:c r="U106" s="21" t="n">
        <x:f>IF(V106="Ready",H106*O106/1000,"")</x:f>
        <x:v>711.75</x:v>
      </x:c>
      <x:c r="V106" s="9" t="str">
        <x:f>IF(C106="","",IF(OR(COUNTIFS($C$9:$C$308,C106)&lt;&gt;1,COUNTIFS($D$9:$D$308,D106,$E$9:$E$308,E106,$F$9:$F$308,F106,$G$9:$G$308,G106,$K$9:$K$308,K106)&lt;&gt;1),"Duplicate annual activity",IF(COUNTIFS('Inventory'!$C$9:$C$108,D106)&lt;&gt;1,"Entity required",IF(OR(E106="",L106="",NOT(ISNUMBER(H106)),H106&lt;0,NOT(ISNUMBER(K106)),NOT(ISNUMBER(N106))),"Missing activity input",IF(AND(E106&lt;&gt;D106,OR(COUNTIFS('Sites'!$C$9:$C$108,E106)&lt;&gt;1,IFERROR(IF(INDEX('Sites'!$D$9:$D$108,MATCH(E106,'Sites'!$C$9:$C$108,0))="","",INDEX('Sites'!$D$9:$D$108,MATCH(E106,'Sites'!$C$9:$C$108,0))),"")&lt;&gt;IFERROR(IF(INDEX('Inventory'!$D$9:$D$108,MATCH(D106,'Inventory'!$C$9:$C$108,0))="","",INDEX('Inventory'!$D$9:$D$108,MATCH(D106,'Inventory'!$C$9:$C$108,0))),""),IFERROR(IF(INDEX('Sites'!$E$9:$E$108,MATCH(E106,'Sites'!$C$9:$C$108,0))="","",INDEX('Sites'!$E$9:$E$108,MATCH(E106,'Sites'!$C$9:$C$108,0))),"")&lt;&gt;W106)),"Site / entity mismatch",IF(N106&lt;'Settings'!$F$8,"Expired",IF(X106&lt;&gt;"Ready","Factor required",IF(OR(G106&lt;&gt;IFERROR(IF(INDEX('Factors'!$D$9:$D$108,MATCH(J106,'Factors'!$C$9:$C$108,0))="","",INDEX('Factors'!$D$9:$D$108,MATCH(J106,'Factors'!$C$9:$C$108,0))),""),I106&lt;&gt;P106,F106&lt;&gt;Q106,K106&lt;&gt;S106,AND(R106&lt;&gt;"Global",R106&lt;&gt;W106),K106&lt;&gt;YEAR(IFERROR(IF(INDEX('Inventory'!$H$9:$H$108,MATCH(D106,'Inventory'!$C$9:$C$108,0))="","",INDEX('Inventory'!$H$9:$H$108,MATCH(D106,'Inventory'!$C$9:$C$108,0))),""))),"Factor / boundary mismatch",IF(AND(F106="S2",IFERROR(IF(INDEX('Factors'!$I$9:$I$108,MATCH(J106,'Factors'!$C$9:$C$108,0))="","",INDEX('Factors'!$I$9:$I$108,MATCH(J106,'Factors'!$C$9:$C$108,0))),"")&lt;&gt;"Location-based"),"Use location factor",IF(M106&lt;&gt;"Actual","Estimation method review","Ready"))))))))))</x:f>
        <x:v>Ready</x:v>
      </x:c>
      <x:c r="W106" s="9" t="str">
        <x:f>IF(C106="","",IFERROR(IF(INDEX('Inventory'!$G$9:$G$108,MATCH(D106,'Inventory'!$C$9:$C$108,0))="","",INDEX('Inventory'!$G$9:$G$108,MATCH(D106,'Inventory'!$C$9:$C$108,0))),""))</x:f>
        <x:v>UAE</x:v>
      </x:c>
      <x:c r="X106" s="9" t="str">
        <x:f>IF(C106="","",IFERROR(IF(INDEX('Factors'!$P$9:$P$108,MATCH(J106,'Factors'!$C$9:$C$108,0))="","",INDEX('Factors'!$P$9:$P$108,MATCH(J106,'Factors'!$C$9:$C$108,0))),""))</x:f>
        <x:v>Ready</x:v>
      </x:c>
    </x:row>
    <x:row r="107" ht="26" customHeight="1">
      <x:c r="A107" s="1"/>
      <x:c r="B107" s="1"/>
      <x:c r="C107" s="8" t="str">
        <x:v>ACT099</x:v>
      </x:c>
      <x:c r="D107" s="8" t="str">
        <x:v>B024</x:v>
      </x:c>
      <x:c r="E107" s="8" t="str">
        <x:v>S047</x:v>
      </x:c>
      <x:c r="F107" s="8" t="str">
        <x:v>S1</x:v>
      </x:c>
      <x:c r="G107" s="8" t="str">
        <x:v>Diesel</x:v>
      </x:c>
      <x:c r="H107" s="16" t="n">
        <x:v>514000</x:v>
      </x:c>
      <x:c r="I107" s="8" t="str">
        <x:v>litre</x:v>
      </x:c>
      <x:c r="J107" s="8" t="str">
        <x:v>GLOBAL-DIESEL-26</x:v>
      </x:c>
      <x:c r="K107" s="22" t="n">
        <x:v>2026</x:v>
      </x:c>
      <x:c r="L107" s="8" t="str">
        <x:v>SYN-ACT-99</x:v>
      </x:c>
      <x:c r="M107" s="8" t="str">
        <x:v>Actual</x:v>
      </x:c>
      <x:c r="N107" s="40" t="n">
        <x:v>46752</x:v>
      </x:c>
      <x:c r="O107" s="41" t="n">
        <x:f>IF(C107="","",IFERROR(IF(INDEX('Factors'!$G$9:$G$108,MATCH(J107,'Factors'!$C$9:$C$108,0))="","",INDEX('Factors'!$G$9:$G$108,MATCH(J107,'Factors'!$C$9:$C$108,0))),""))</x:f>
        <x:v>2.68</x:v>
      </x:c>
      <x:c r="P107" s="9" t="str">
        <x:f>IF(C107="","",IFERROR(IF(INDEX('Factors'!$F$9:$F$108,MATCH(J107,'Factors'!$C$9:$C$108,0))="","",INDEX('Factors'!$F$9:$F$108,MATCH(J107,'Factors'!$C$9:$C$108,0))),""))</x:f>
        <x:v>litre</x:v>
      </x:c>
      <x:c r="Q107" s="9" t="str">
        <x:f>IF(C107="","",IFERROR(IF(INDEX('Factors'!$H$9:$H$108,MATCH(J107,'Factors'!$C$9:$C$108,0))="","",INDEX('Factors'!$H$9:$H$108,MATCH(J107,'Factors'!$C$9:$C$108,0))),""))</x:f>
        <x:v>S1</x:v>
      </x:c>
      <x:c r="R107" s="9" t="str">
        <x:f>IF(C107="","",IFERROR(IF(INDEX('Factors'!$E$9:$E$108,MATCH(J107,'Factors'!$C$9:$C$108,0))="","",INDEX('Factors'!$E$9:$E$108,MATCH(J107,'Factors'!$C$9:$C$108,0))),""))</x:f>
        <x:v>Global</x:v>
      </x:c>
      <x:c r="S107" s="42" t="n">
        <x:f>IF(C107="","",IFERROR(IF(INDEX('Factors'!$J$9:$J$108,MATCH(J107,'Factors'!$C$9:$C$108,0))="","",INDEX('Factors'!$J$9:$J$108,MATCH(J107,'Factors'!$C$9:$C$108,0))),""))</x:f>
        <x:v>2026</x:v>
      </x:c>
      <x:c r="T107" s="9" t="str">
        <x:f>IF(C107="","",IFERROR(IF(INDEX('Factors'!$L$9:$L$108,MATCH(J107,'Factors'!$C$9:$C$108,0))="","",INDEX('Factors'!$L$9:$L$108,MATCH(J107,'Factors'!$C$9:$C$108,0))),"")&amp;" / "&amp;IFERROR(IF(INDEX('Factors'!$M$9:$M$108,MATCH(J107,'Factors'!$C$9:$C$108,0))="","",INDEX('Factors'!$M$9:$M$108,MATCH(J107,'Factors'!$C$9:$C$108,0))),""))</x:f>
        <x:v>SYNTHETIC DEMO / SYN-2026.1</x:v>
      </x:c>
      <x:c r="U107" s="21" t="n">
        <x:f>IF(V107="Ready",H107*O107/1000,"")</x:f>
        <x:v>1377.52</x:v>
      </x:c>
      <x:c r="V107" s="9" t="str">
        <x:f>IF(C107="","",IF(OR(COUNTIFS($C$9:$C$308,C107)&lt;&gt;1,COUNTIFS($D$9:$D$308,D107,$E$9:$E$308,E107,$F$9:$F$308,F107,$G$9:$G$308,G107,$K$9:$K$308,K107)&lt;&gt;1),"Duplicate annual activity",IF(COUNTIFS('Inventory'!$C$9:$C$108,D107)&lt;&gt;1,"Entity required",IF(OR(E107="",L107="",NOT(ISNUMBER(H107)),H107&lt;0,NOT(ISNUMBER(K107)),NOT(ISNUMBER(N107))),"Missing activity input",IF(AND(E107&lt;&gt;D107,OR(COUNTIFS('Sites'!$C$9:$C$108,E107)&lt;&gt;1,IFERROR(IF(INDEX('Sites'!$D$9:$D$108,MATCH(E107,'Sites'!$C$9:$C$108,0))="","",INDEX('Sites'!$D$9:$D$108,MATCH(E107,'Sites'!$C$9:$C$108,0))),"")&lt;&gt;IFERROR(IF(INDEX('Inventory'!$D$9:$D$108,MATCH(D107,'Inventory'!$C$9:$C$108,0))="","",INDEX('Inventory'!$D$9:$D$108,MATCH(D107,'Inventory'!$C$9:$C$108,0))),""),IFERROR(IF(INDEX('Sites'!$E$9:$E$108,MATCH(E107,'Sites'!$C$9:$C$108,0))="","",INDEX('Sites'!$E$9:$E$108,MATCH(E107,'Sites'!$C$9:$C$108,0))),"")&lt;&gt;W107)),"Site / entity mismatch",IF(N107&lt;'Settings'!$F$8,"Expired",IF(X107&lt;&gt;"Ready","Factor required",IF(OR(G107&lt;&gt;IFERROR(IF(INDEX('Factors'!$D$9:$D$108,MATCH(J107,'Factors'!$C$9:$C$108,0))="","",INDEX('Factors'!$D$9:$D$108,MATCH(J107,'Factors'!$C$9:$C$108,0))),""),I107&lt;&gt;P107,F107&lt;&gt;Q107,K107&lt;&gt;S107,AND(R107&lt;&gt;"Global",R107&lt;&gt;W107),K107&lt;&gt;YEAR(IFERROR(IF(INDEX('Inventory'!$H$9:$H$108,MATCH(D107,'Inventory'!$C$9:$C$108,0))="","",INDEX('Inventory'!$H$9:$H$108,MATCH(D107,'Inventory'!$C$9:$C$108,0))),""))),"Factor / boundary mismatch",IF(AND(F107="S2",IFERROR(IF(INDEX('Factors'!$I$9:$I$108,MATCH(J107,'Factors'!$C$9:$C$108,0))="","",INDEX('Factors'!$I$9:$I$108,MATCH(J107,'Factors'!$C$9:$C$108,0))),"")&lt;&gt;"Location-based"),"Use location factor",IF(M107&lt;&gt;"Actual","Estimation method review","Ready"))))))))))</x:f>
        <x:v>Ready</x:v>
      </x:c>
      <x:c r="W107" s="9" t="str">
        <x:f>IF(C107="","",IFERROR(IF(INDEX('Inventory'!$G$9:$G$108,MATCH(D107,'Inventory'!$C$9:$C$108,0))="","",INDEX('Inventory'!$G$9:$G$108,MATCH(D107,'Inventory'!$C$9:$C$108,0))),""))</x:f>
        <x:v>Egypt</x:v>
      </x:c>
      <x:c r="X107" s="9" t="str">
        <x:f>IF(C107="","",IFERROR(IF(INDEX('Factors'!$P$9:$P$108,MATCH(J107,'Factors'!$C$9:$C$108,0))="","",INDEX('Factors'!$P$9:$P$108,MATCH(J107,'Factors'!$C$9:$C$108,0))),""))</x:f>
        <x:v>Ready</x:v>
      </x:c>
    </x:row>
    <x:row r="108" ht="26" customHeight="1">
      <x:c r="A108" s="1"/>
      <x:c r="B108" s="1"/>
      <x:c r="C108" s="8" t="str">
        <x:v>ACT100</x:v>
      </x:c>
      <x:c r="D108" s="8" t="str">
        <x:v>B024</x:v>
      </x:c>
      <x:c r="E108" s="8" t="str">
        <x:v>S047</x:v>
      </x:c>
      <x:c r="F108" s="8" t="str">
        <x:v>S2</x:v>
      </x:c>
      <x:c r="G108" s="8" t="str">
        <x:v>Electricity</x:v>
      </x:c>
      <x:c r="H108" s="16" t="n">
        <x:v>1850000</x:v>
      </x:c>
      <x:c r="I108" s="8" t="str">
        <x:v>kWh</x:v>
      </x:c>
      <x:c r="J108" s="8" t="str">
        <x:v>EG-GRID-26</x:v>
      </x:c>
      <x:c r="K108" s="22" t="n">
        <x:v>2026</x:v>
      </x:c>
      <x:c r="L108" s="8" t="str">
        <x:v>SYN-ACT-100</x:v>
      </x:c>
      <x:c r="M108" s="8" t="str">
        <x:v>Actual</x:v>
      </x:c>
      <x:c r="N108" s="40" t="n">
        <x:v>46752</x:v>
      </x:c>
      <x:c r="O108" s="41" t="n">
        <x:f>IF(C108="","",IFERROR(IF(INDEX('Factors'!$G$9:$G$108,MATCH(J108,'Factors'!$C$9:$C$108,0))="","",INDEX('Factors'!$G$9:$G$108,MATCH(J108,'Factors'!$C$9:$C$108,0))),""))</x:f>
        <x:v>0.46</x:v>
      </x:c>
      <x:c r="P108" s="9" t="str">
        <x:f>IF(C108="","",IFERROR(IF(INDEX('Factors'!$F$9:$F$108,MATCH(J108,'Factors'!$C$9:$C$108,0))="","",INDEX('Factors'!$F$9:$F$108,MATCH(J108,'Factors'!$C$9:$C$108,0))),""))</x:f>
        <x:v>kWh</x:v>
      </x:c>
      <x:c r="Q108" s="9" t="str">
        <x:f>IF(C108="","",IFERROR(IF(INDEX('Factors'!$H$9:$H$108,MATCH(J108,'Factors'!$C$9:$C$108,0))="","",INDEX('Factors'!$H$9:$H$108,MATCH(J108,'Factors'!$C$9:$C$108,0))),""))</x:f>
        <x:v>S2</x:v>
      </x:c>
      <x:c r="R108" s="9" t="str">
        <x:f>IF(C108="","",IFERROR(IF(INDEX('Factors'!$E$9:$E$108,MATCH(J108,'Factors'!$C$9:$C$108,0))="","",INDEX('Factors'!$E$9:$E$108,MATCH(J108,'Factors'!$C$9:$C$108,0))),""))</x:f>
        <x:v>Egypt</x:v>
      </x:c>
      <x:c r="S108" s="42" t="n">
        <x:f>IF(C108="","",IFERROR(IF(INDEX('Factors'!$J$9:$J$108,MATCH(J108,'Factors'!$C$9:$C$108,0))="","",INDEX('Factors'!$J$9:$J$108,MATCH(J108,'Factors'!$C$9:$C$108,0))),""))</x:f>
        <x:v>2026</x:v>
      </x:c>
      <x:c r="T108" s="9" t="str">
        <x:f>IF(C108="","",IFERROR(IF(INDEX('Factors'!$L$9:$L$108,MATCH(J108,'Factors'!$C$9:$C$108,0))="","",INDEX('Factors'!$L$9:$L$108,MATCH(J108,'Factors'!$C$9:$C$108,0))),"")&amp;" / "&amp;IFERROR(IF(INDEX('Factors'!$M$9:$M$108,MATCH(J108,'Factors'!$C$9:$C$108,0))="","",INDEX('Factors'!$M$9:$M$108,MATCH(J108,'Factors'!$C$9:$C$108,0))),""))</x:f>
        <x:v>SYNTHETIC DEMO / SYN-2026.1</x:v>
      </x:c>
      <x:c r="U108" s="21" t="n">
        <x:f>IF(V108="Ready",H108*O108/1000,"")</x:f>
        <x:v>851</x:v>
      </x:c>
      <x:c r="V108" s="9" t="str">
        <x:f>IF(C108="","",IF(OR(COUNTIFS($C$9:$C$308,C108)&lt;&gt;1,COUNTIFS($D$9:$D$308,D108,$E$9:$E$308,E108,$F$9:$F$308,F108,$G$9:$G$308,G108,$K$9:$K$308,K108)&lt;&gt;1),"Duplicate annual activity",IF(COUNTIFS('Inventory'!$C$9:$C$108,D108)&lt;&gt;1,"Entity required",IF(OR(E108="",L108="",NOT(ISNUMBER(H108)),H108&lt;0,NOT(ISNUMBER(K108)),NOT(ISNUMBER(N108))),"Missing activity input",IF(AND(E108&lt;&gt;D108,OR(COUNTIFS('Sites'!$C$9:$C$108,E108)&lt;&gt;1,IFERROR(IF(INDEX('Sites'!$D$9:$D$108,MATCH(E108,'Sites'!$C$9:$C$108,0))="","",INDEX('Sites'!$D$9:$D$108,MATCH(E108,'Sites'!$C$9:$C$108,0))),"")&lt;&gt;IFERROR(IF(INDEX('Inventory'!$D$9:$D$108,MATCH(D108,'Inventory'!$C$9:$C$108,0))="","",INDEX('Inventory'!$D$9:$D$108,MATCH(D108,'Inventory'!$C$9:$C$108,0))),""),IFERROR(IF(INDEX('Sites'!$E$9:$E$108,MATCH(E108,'Sites'!$C$9:$C$108,0))="","",INDEX('Sites'!$E$9:$E$108,MATCH(E108,'Sites'!$C$9:$C$108,0))),"")&lt;&gt;W108)),"Site / entity mismatch",IF(N108&lt;'Settings'!$F$8,"Expired",IF(X108&lt;&gt;"Ready","Factor required",IF(OR(G108&lt;&gt;IFERROR(IF(INDEX('Factors'!$D$9:$D$108,MATCH(J108,'Factors'!$C$9:$C$108,0))="","",INDEX('Factors'!$D$9:$D$108,MATCH(J108,'Factors'!$C$9:$C$108,0))),""),I108&lt;&gt;P108,F108&lt;&gt;Q108,K108&lt;&gt;S108,AND(R108&lt;&gt;"Global",R108&lt;&gt;W108),K108&lt;&gt;YEAR(IFERROR(IF(INDEX('Inventory'!$H$9:$H$108,MATCH(D108,'Inventory'!$C$9:$C$108,0))="","",INDEX('Inventory'!$H$9:$H$108,MATCH(D108,'Inventory'!$C$9:$C$108,0))),""))),"Factor / boundary mismatch",IF(AND(F108="S2",IFERROR(IF(INDEX('Factors'!$I$9:$I$108,MATCH(J108,'Factors'!$C$9:$C$108,0))="","",INDEX('Factors'!$I$9:$I$108,MATCH(J108,'Factors'!$C$9:$C$108,0))),"")&lt;&gt;"Location-based"),"Use location factor",IF(M108&lt;&gt;"Actual","Estimation method review","Ready"))))))))))</x:f>
        <x:v>Ready</x:v>
      </x:c>
      <x:c r="W108" s="9" t="str">
        <x:f>IF(C108="","",IFERROR(IF(INDEX('Inventory'!$G$9:$G$108,MATCH(D108,'Inventory'!$C$9:$C$108,0))="","",INDEX('Inventory'!$G$9:$G$108,MATCH(D108,'Inventory'!$C$9:$C$108,0))),""))</x:f>
        <x:v>Egypt</x:v>
      </x:c>
      <x:c r="X108" s="9" t="str">
        <x:f>IF(C108="","",IFERROR(IF(INDEX('Factors'!$P$9:$P$108,MATCH(J108,'Factors'!$C$9:$C$108,0))="","",INDEX('Factors'!$P$9:$P$108,MATCH(J108,'Factors'!$C$9:$C$108,0))),""))</x:f>
        <x:v>Ready</x:v>
      </x:c>
    </x:row>
    <x:row r="109" ht="26" customHeight="1">
      <x:c r="A109" s="1"/>
      <x:c r="B109" s="1"/>
      <x:c r="C109" s="8" t="str">
        <x:v>ACT101</x:v>
      </x:c>
      <x:c r="D109" s="8" t="str">
        <x:v>B024</x:v>
      </x:c>
      <x:c r="E109" s="8" t="str">
        <x:v>S048</x:v>
      </x:c>
      <x:c r="F109" s="8" t="str">
        <x:v>S1</x:v>
      </x:c>
      <x:c r="G109" s="8" t="str">
        <x:v>Diesel</x:v>
      </x:c>
      <x:c r="H109" s="16" t="n">
        <x:v>523000</x:v>
      </x:c>
      <x:c r="I109" s="8" t="str">
        <x:v>litre</x:v>
      </x:c>
      <x:c r="J109" s="8" t="str">
        <x:v>GLOBAL-DIESEL-26</x:v>
      </x:c>
      <x:c r="K109" s="22" t="n">
        <x:v>2026</x:v>
      </x:c>
      <x:c r="L109" s="8" t="str">
        <x:v>SYN-ACT-101</x:v>
      </x:c>
      <x:c r="M109" s="8" t="str">
        <x:v>Actual</x:v>
      </x:c>
      <x:c r="N109" s="40" t="n">
        <x:v>46752</x:v>
      </x:c>
      <x:c r="O109" s="41" t="n">
        <x:f>IF(C109="","",IFERROR(IF(INDEX('Factors'!$G$9:$G$108,MATCH(J109,'Factors'!$C$9:$C$108,0))="","",INDEX('Factors'!$G$9:$G$108,MATCH(J109,'Factors'!$C$9:$C$108,0))),""))</x:f>
        <x:v>2.68</x:v>
      </x:c>
      <x:c r="P109" s="9" t="str">
        <x:f>IF(C109="","",IFERROR(IF(INDEX('Factors'!$F$9:$F$108,MATCH(J109,'Factors'!$C$9:$C$108,0))="","",INDEX('Factors'!$F$9:$F$108,MATCH(J109,'Factors'!$C$9:$C$108,0))),""))</x:f>
        <x:v>litre</x:v>
      </x:c>
      <x:c r="Q109" s="9" t="str">
        <x:f>IF(C109="","",IFERROR(IF(INDEX('Factors'!$H$9:$H$108,MATCH(J109,'Factors'!$C$9:$C$108,0))="","",INDEX('Factors'!$H$9:$H$108,MATCH(J109,'Factors'!$C$9:$C$108,0))),""))</x:f>
        <x:v>S1</x:v>
      </x:c>
      <x:c r="R109" s="9" t="str">
        <x:f>IF(C109="","",IFERROR(IF(INDEX('Factors'!$E$9:$E$108,MATCH(J109,'Factors'!$C$9:$C$108,0))="","",INDEX('Factors'!$E$9:$E$108,MATCH(J109,'Factors'!$C$9:$C$108,0))),""))</x:f>
        <x:v>Global</x:v>
      </x:c>
      <x:c r="S109" s="42" t="n">
        <x:f>IF(C109="","",IFERROR(IF(INDEX('Factors'!$J$9:$J$108,MATCH(J109,'Factors'!$C$9:$C$108,0))="","",INDEX('Factors'!$J$9:$J$108,MATCH(J109,'Factors'!$C$9:$C$108,0))),""))</x:f>
        <x:v>2026</x:v>
      </x:c>
      <x:c r="T109" s="9" t="str">
        <x:f>IF(C109="","",IFERROR(IF(INDEX('Factors'!$L$9:$L$108,MATCH(J109,'Factors'!$C$9:$C$108,0))="","",INDEX('Factors'!$L$9:$L$108,MATCH(J109,'Factors'!$C$9:$C$108,0))),"")&amp;" / "&amp;IFERROR(IF(INDEX('Factors'!$M$9:$M$108,MATCH(J109,'Factors'!$C$9:$C$108,0))="","",INDEX('Factors'!$M$9:$M$108,MATCH(J109,'Factors'!$C$9:$C$108,0))),""))</x:f>
        <x:v>SYNTHETIC DEMO / SYN-2026.1</x:v>
      </x:c>
      <x:c r="U109" s="21" t="n">
        <x:f>IF(V109="Ready",H109*O109/1000,"")</x:f>
        <x:v>1401.64</x:v>
      </x:c>
      <x:c r="V109" s="9" t="str">
        <x:f>IF(C109="","",IF(OR(COUNTIFS($C$9:$C$308,C109)&lt;&gt;1,COUNTIFS($D$9:$D$308,D109,$E$9:$E$308,E109,$F$9:$F$308,F109,$G$9:$G$308,G109,$K$9:$K$308,K109)&lt;&gt;1),"Duplicate annual activity",IF(COUNTIFS('Inventory'!$C$9:$C$108,D109)&lt;&gt;1,"Entity required",IF(OR(E109="",L109="",NOT(ISNUMBER(H109)),H109&lt;0,NOT(ISNUMBER(K109)),NOT(ISNUMBER(N109))),"Missing activity input",IF(AND(E109&lt;&gt;D109,OR(COUNTIFS('Sites'!$C$9:$C$108,E109)&lt;&gt;1,IFERROR(IF(INDEX('Sites'!$D$9:$D$108,MATCH(E109,'Sites'!$C$9:$C$108,0))="","",INDEX('Sites'!$D$9:$D$108,MATCH(E109,'Sites'!$C$9:$C$108,0))),"")&lt;&gt;IFERROR(IF(INDEX('Inventory'!$D$9:$D$108,MATCH(D109,'Inventory'!$C$9:$C$108,0))="","",INDEX('Inventory'!$D$9:$D$108,MATCH(D109,'Inventory'!$C$9:$C$108,0))),""),IFERROR(IF(INDEX('Sites'!$E$9:$E$108,MATCH(E109,'Sites'!$C$9:$C$108,0))="","",INDEX('Sites'!$E$9:$E$108,MATCH(E109,'Sites'!$C$9:$C$108,0))),"")&lt;&gt;W109)),"Site / entity mismatch",IF(N109&lt;'Settings'!$F$8,"Expired",IF(X109&lt;&gt;"Ready","Factor required",IF(OR(G109&lt;&gt;IFERROR(IF(INDEX('Factors'!$D$9:$D$108,MATCH(J109,'Factors'!$C$9:$C$108,0))="","",INDEX('Factors'!$D$9:$D$108,MATCH(J109,'Factors'!$C$9:$C$108,0))),""),I109&lt;&gt;P109,F109&lt;&gt;Q109,K109&lt;&gt;S109,AND(R109&lt;&gt;"Global",R109&lt;&gt;W109),K109&lt;&gt;YEAR(IFERROR(IF(INDEX('Inventory'!$H$9:$H$108,MATCH(D109,'Inventory'!$C$9:$C$108,0))="","",INDEX('Inventory'!$H$9:$H$108,MATCH(D109,'Inventory'!$C$9:$C$108,0))),""))),"Factor / boundary mismatch",IF(AND(F109="S2",IFERROR(IF(INDEX('Factors'!$I$9:$I$108,MATCH(J109,'Factors'!$C$9:$C$108,0))="","",INDEX('Factors'!$I$9:$I$108,MATCH(J109,'Factors'!$C$9:$C$108,0))),"")&lt;&gt;"Location-based"),"Use location factor",IF(M109&lt;&gt;"Actual","Estimation method review","Ready"))))))))))</x:f>
        <x:v>Ready</x:v>
      </x:c>
      <x:c r="W109" s="9" t="str">
        <x:f>IF(C109="","",IFERROR(IF(INDEX('Inventory'!$G$9:$G$108,MATCH(D109,'Inventory'!$C$9:$C$108,0))="","",INDEX('Inventory'!$G$9:$G$108,MATCH(D109,'Inventory'!$C$9:$C$108,0))),""))</x:f>
        <x:v>Egypt</x:v>
      </x:c>
      <x:c r="X109" s="9" t="str">
        <x:f>IF(C109="","",IFERROR(IF(INDEX('Factors'!$P$9:$P$108,MATCH(J109,'Factors'!$C$9:$C$108,0))="","",INDEX('Factors'!$P$9:$P$108,MATCH(J109,'Factors'!$C$9:$C$108,0))),""))</x:f>
        <x:v>Ready</x:v>
      </x:c>
    </x:row>
    <x:row r="110" ht="26" customHeight="1">
      <x:c r="A110" s="1"/>
      <x:c r="B110" s="1"/>
      <x:c r="C110" s="8" t="str">
        <x:v>ACT102</x:v>
      </x:c>
      <x:c r="D110" s="8" t="str">
        <x:v>B024</x:v>
      </x:c>
      <x:c r="E110" s="8" t="str">
        <x:v>S048</x:v>
      </x:c>
      <x:c r="F110" s="8" t="str">
        <x:v>S2</x:v>
      </x:c>
      <x:c r="G110" s="8" t="str">
        <x:v>Electricity</x:v>
      </x:c>
      <x:c r="H110" s="16" t="n">
        <x:v>1875000</x:v>
      </x:c>
      <x:c r="I110" s="8" t="str">
        <x:v>kWh</x:v>
      </x:c>
      <x:c r="J110" s="8" t="str">
        <x:v>EG-GRID-26</x:v>
      </x:c>
      <x:c r="K110" s="22" t="n">
        <x:v>2026</x:v>
      </x:c>
      <x:c r="L110" s="8" t="str">
        <x:v>SYN-ACT-102</x:v>
      </x:c>
      <x:c r="M110" s="8" t="str">
        <x:v>Actual</x:v>
      </x:c>
      <x:c r="N110" s="40" t="n">
        <x:v>46752</x:v>
      </x:c>
      <x:c r="O110" s="41" t="n">
        <x:f>IF(C110="","",IFERROR(IF(INDEX('Factors'!$G$9:$G$108,MATCH(J110,'Factors'!$C$9:$C$108,0))="","",INDEX('Factors'!$G$9:$G$108,MATCH(J110,'Factors'!$C$9:$C$108,0))),""))</x:f>
        <x:v>0.46</x:v>
      </x:c>
      <x:c r="P110" s="9" t="str">
        <x:f>IF(C110="","",IFERROR(IF(INDEX('Factors'!$F$9:$F$108,MATCH(J110,'Factors'!$C$9:$C$108,0))="","",INDEX('Factors'!$F$9:$F$108,MATCH(J110,'Factors'!$C$9:$C$108,0))),""))</x:f>
        <x:v>kWh</x:v>
      </x:c>
      <x:c r="Q110" s="9" t="str">
        <x:f>IF(C110="","",IFERROR(IF(INDEX('Factors'!$H$9:$H$108,MATCH(J110,'Factors'!$C$9:$C$108,0))="","",INDEX('Factors'!$H$9:$H$108,MATCH(J110,'Factors'!$C$9:$C$108,0))),""))</x:f>
        <x:v>S2</x:v>
      </x:c>
      <x:c r="R110" s="9" t="str">
        <x:f>IF(C110="","",IFERROR(IF(INDEX('Factors'!$E$9:$E$108,MATCH(J110,'Factors'!$C$9:$C$108,0))="","",INDEX('Factors'!$E$9:$E$108,MATCH(J110,'Factors'!$C$9:$C$108,0))),""))</x:f>
        <x:v>Egypt</x:v>
      </x:c>
      <x:c r="S110" s="42" t="n">
        <x:f>IF(C110="","",IFERROR(IF(INDEX('Factors'!$J$9:$J$108,MATCH(J110,'Factors'!$C$9:$C$108,0))="","",INDEX('Factors'!$J$9:$J$108,MATCH(J110,'Factors'!$C$9:$C$108,0))),""))</x:f>
        <x:v>2026</x:v>
      </x:c>
      <x:c r="T110" s="9" t="str">
        <x:f>IF(C110="","",IFERROR(IF(INDEX('Factors'!$L$9:$L$108,MATCH(J110,'Factors'!$C$9:$C$108,0))="","",INDEX('Factors'!$L$9:$L$108,MATCH(J110,'Factors'!$C$9:$C$108,0))),"")&amp;" / "&amp;IFERROR(IF(INDEX('Factors'!$M$9:$M$108,MATCH(J110,'Factors'!$C$9:$C$108,0))="","",INDEX('Factors'!$M$9:$M$108,MATCH(J110,'Factors'!$C$9:$C$108,0))),""))</x:f>
        <x:v>SYNTHETIC DEMO / SYN-2026.1</x:v>
      </x:c>
      <x:c r="U110" s="21" t="n">
        <x:f>IF(V110="Ready",H110*O110/1000,"")</x:f>
        <x:v>862.5</x:v>
      </x:c>
      <x:c r="V110" s="9" t="str">
        <x:f>IF(C110="","",IF(OR(COUNTIFS($C$9:$C$308,C110)&lt;&gt;1,COUNTIFS($D$9:$D$308,D110,$E$9:$E$308,E110,$F$9:$F$308,F110,$G$9:$G$308,G110,$K$9:$K$308,K110)&lt;&gt;1),"Duplicate annual activity",IF(COUNTIFS('Inventory'!$C$9:$C$108,D110)&lt;&gt;1,"Entity required",IF(OR(E110="",L110="",NOT(ISNUMBER(H110)),H110&lt;0,NOT(ISNUMBER(K110)),NOT(ISNUMBER(N110))),"Missing activity input",IF(AND(E110&lt;&gt;D110,OR(COUNTIFS('Sites'!$C$9:$C$108,E110)&lt;&gt;1,IFERROR(IF(INDEX('Sites'!$D$9:$D$108,MATCH(E110,'Sites'!$C$9:$C$108,0))="","",INDEX('Sites'!$D$9:$D$108,MATCH(E110,'Sites'!$C$9:$C$108,0))),"")&lt;&gt;IFERROR(IF(INDEX('Inventory'!$D$9:$D$108,MATCH(D110,'Inventory'!$C$9:$C$108,0))="","",INDEX('Inventory'!$D$9:$D$108,MATCH(D110,'Inventory'!$C$9:$C$108,0))),""),IFERROR(IF(INDEX('Sites'!$E$9:$E$108,MATCH(E110,'Sites'!$C$9:$C$108,0))="","",INDEX('Sites'!$E$9:$E$108,MATCH(E110,'Sites'!$C$9:$C$108,0))),"")&lt;&gt;W110)),"Site / entity mismatch",IF(N110&lt;'Settings'!$F$8,"Expired",IF(X110&lt;&gt;"Ready","Factor required",IF(OR(G110&lt;&gt;IFERROR(IF(INDEX('Factors'!$D$9:$D$108,MATCH(J110,'Factors'!$C$9:$C$108,0))="","",INDEX('Factors'!$D$9:$D$108,MATCH(J110,'Factors'!$C$9:$C$108,0))),""),I110&lt;&gt;P110,F110&lt;&gt;Q110,K110&lt;&gt;S110,AND(R110&lt;&gt;"Global",R110&lt;&gt;W110),K110&lt;&gt;YEAR(IFERROR(IF(INDEX('Inventory'!$H$9:$H$108,MATCH(D110,'Inventory'!$C$9:$C$108,0))="","",INDEX('Inventory'!$H$9:$H$108,MATCH(D110,'Inventory'!$C$9:$C$108,0))),""))),"Factor / boundary mismatch",IF(AND(F110="S2",IFERROR(IF(INDEX('Factors'!$I$9:$I$108,MATCH(J110,'Factors'!$C$9:$C$108,0))="","",INDEX('Factors'!$I$9:$I$108,MATCH(J110,'Factors'!$C$9:$C$108,0))),"")&lt;&gt;"Location-based"),"Use location factor",IF(M110&lt;&gt;"Actual","Estimation method review","Ready"))))))))))</x:f>
        <x:v>Ready</x:v>
      </x:c>
      <x:c r="W110" s="9" t="str">
        <x:f>IF(C110="","",IFERROR(IF(INDEX('Inventory'!$G$9:$G$108,MATCH(D110,'Inventory'!$C$9:$C$108,0))="","",INDEX('Inventory'!$G$9:$G$108,MATCH(D110,'Inventory'!$C$9:$C$108,0))),""))</x:f>
        <x:v>Egypt</x:v>
      </x:c>
      <x:c r="X110" s="9" t="str">
        <x:f>IF(C110="","",IFERROR(IF(INDEX('Factors'!$P$9:$P$108,MATCH(J110,'Factors'!$C$9:$C$108,0))="","",INDEX('Factors'!$P$9:$P$108,MATCH(J110,'Factors'!$C$9:$C$108,0))),""))</x:f>
        <x:v>Ready</x:v>
      </x:c>
    </x:row>
    <x:row r="111" ht="26" customHeight="1">
      <x:c r="A111" s="1"/>
      <x:c r="B111" s="1"/>
      <x:c r="C111" s="8" t="str">
        <x:v>ACT103</x:v>
      </x:c>
      <x:c r="D111" s="8" t="str">
        <x:v>A002</x:v>
      </x:c>
      <x:c r="E111" s="8" t="str">
        <x:v>A002</x:v>
      </x:c>
      <x:c r="F111" s="8" t="str">
        <x:v>S1</x:v>
      </x:c>
      <x:c r="G111" s="8" t="str">
        <x:v>Diesel</x:v>
      </x:c>
      <x:c r="H111" s="16" t="n">
        <x:v>10000</x:v>
      </x:c>
      <x:c r="I111" s="8" t="str">
        <x:v>litre</x:v>
      </x:c>
      <x:c r="J111" s="8" t="str">
        <x:v>GLOBAL-DIESEL-26</x:v>
      </x:c>
      <x:c r="K111" s="22" t="n">
        <x:v>2026</x:v>
      </x:c>
      <x:c r="L111" s="8" t="str">
        <x:v>SYN-ACT-103</x:v>
      </x:c>
      <x:c r="M111" s="8" t="str">
        <x:v>Actual</x:v>
      </x:c>
      <x:c r="N111" s="40" t="n">
        <x:v>46752</x:v>
      </x:c>
      <x:c r="O111" s="41" t="n">
        <x:f>IF(C111="","",IFERROR(IF(INDEX('Factors'!$G$9:$G$108,MATCH(J111,'Factors'!$C$9:$C$108,0))="","",INDEX('Factors'!$G$9:$G$108,MATCH(J111,'Factors'!$C$9:$C$108,0))),""))</x:f>
        <x:v>2.68</x:v>
      </x:c>
      <x:c r="P111" s="9" t="str">
        <x:f>IF(C111="","",IFERROR(IF(INDEX('Factors'!$F$9:$F$108,MATCH(J111,'Factors'!$C$9:$C$108,0))="","",INDEX('Factors'!$F$9:$F$108,MATCH(J111,'Factors'!$C$9:$C$108,0))),""))</x:f>
        <x:v>litre</x:v>
      </x:c>
      <x:c r="Q111" s="9" t="str">
        <x:f>IF(C111="","",IFERROR(IF(INDEX('Factors'!$H$9:$H$108,MATCH(J111,'Factors'!$C$9:$C$108,0))="","",INDEX('Factors'!$H$9:$H$108,MATCH(J111,'Factors'!$C$9:$C$108,0))),""))</x:f>
        <x:v>S1</x:v>
      </x:c>
      <x:c r="R111" s="9" t="str">
        <x:f>IF(C111="","",IFERROR(IF(INDEX('Factors'!$E$9:$E$108,MATCH(J111,'Factors'!$C$9:$C$108,0))="","",INDEX('Factors'!$E$9:$E$108,MATCH(J111,'Factors'!$C$9:$C$108,0))),""))</x:f>
        <x:v>Global</x:v>
      </x:c>
      <x:c r="S111" s="42" t="n">
        <x:f>IF(C111="","",IFERROR(IF(INDEX('Factors'!$J$9:$J$108,MATCH(J111,'Factors'!$C$9:$C$108,0))="","",INDEX('Factors'!$J$9:$J$108,MATCH(J111,'Factors'!$C$9:$C$108,0))),""))</x:f>
        <x:v>2026</x:v>
      </x:c>
      <x:c r="T111" s="9" t="str">
        <x:f>IF(C111="","",IFERROR(IF(INDEX('Factors'!$L$9:$L$108,MATCH(J111,'Factors'!$C$9:$C$108,0))="","",INDEX('Factors'!$L$9:$L$108,MATCH(J111,'Factors'!$C$9:$C$108,0))),"")&amp;" / "&amp;IFERROR(IF(INDEX('Factors'!$M$9:$M$108,MATCH(J111,'Factors'!$C$9:$C$108,0))="","",INDEX('Factors'!$M$9:$M$108,MATCH(J111,'Factors'!$C$9:$C$108,0))),""))</x:f>
        <x:v>SYNTHETIC DEMO / SYN-2026.1</x:v>
      </x:c>
      <x:c r="U111" s="21" t="n">
        <x:f>IF(V111="Ready",H111*O111/1000,"")</x:f>
        <x:v>26.8</x:v>
      </x:c>
      <x:c r="V111" s="9" t="str">
        <x:f>IF(C111="","",IF(OR(COUNTIFS($C$9:$C$308,C111)&lt;&gt;1,COUNTIFS($D$9:$D$308,D111,$E$9:$E$308,E111,$F$9:$F$308,F111,$G$9:$G$308,G111,$K$9:$K$308,K111)&lt;&gt;1),"Duplicate annual activity",IF(COUNTIFS('Inventory'!$C$9:$C$108,D111)&lt;&gt;1,"Entity required",IF(OR(E111="",L111="",NOT(ISNUMBER(H111)),H111&lt;0,NOT(ISNUMBER(K111)),NOT(ISNUMBER(N111))),"Missing activity input",IF(AND(E111&lt;&gt;D111,OR(COUNTIFS('Sites'!$C$9:$C$108,E111)&lt;&gt;1,IFERROR(IF(INDEX('Sites'!$D$9:$D$108,MATCH(E111,'Sites'!$C$9:$C$108,0))="","",INDEX('Sites'!$D$9:$D$108,MATCH(E111,'Sites'!$C$9:$C$108,0))),"")&lt;&gt;IFERROR(IF(INDEX('Inventory'!$D$9:$D$108,MATCH(D111,'Inventory'!$C$9:$C$108,0))="","",INDEX('Inventory'!$D$9:$D$108,MATCH(D111,'Inventory'!$C$9:$C$108,0))),""),IFERROR(IF(INDEX('Sites'!$E$9:$E$108,MATCH(E111,'Sites'!$C$9:$C$108,0))="","",INDEX('Sites'!$E$9:$E$108,MATCH(E111,'Sites'!$C$9:$C$108,0))),"")&lt;&gt;W111)),"Site / entity mismatch",IF(N111&lt;'Settings'!$F$8,"Expired",IF(X111&lt;&gt;"Ready","Factor required",IF(OR(G111&lt;&gt;IFERROR(IF(INDEX('Factors'!$D$9:$D$108,MATCH(J111,'Factors'!$C$9:$C$108,0))="","",INDEX('Factors'!$D$9:$D$108,MATCH(J111,'Factors'!$C$9:$C$108,0))),""),I111&lt;&gt;P111,F111&lt;&gt;Q111,K111&lt;&gt;S111,AND(R111&lt;&gt;"Global",R111&lt;&gt;W111),K111&lt;&gt;YEAR(IFERROR(IF(INDEX('Inventory'!$H$9:$H$108,MATCH(D111,'Inventory'!$C$9:$C$108,0))="","",INDEX('Inventory'!$H$9:$H$108,MATCH(D111,'Inventory'!$C$9:$C$108,0))),""))),"Factor / boundary mismatch",IF(AND(F111="S2",IFERROR(IF(INDEX('Factors'!$I$9:$I$108,MATCH(J111,'Factors'!$C$9:$C$108,0))="","",INDEX('Factors'!$I$9:$I$108,MATCH(J111,'Factors'!$C$9:$C$108,0))),"")&lt;&gt;"Location-based"),"Use location factor",IF(M111&lt;&gt;"Actual","Estimation method review","Ready"))))))))))</x:f>
        <x:v>Ready</x:v>
      </x:c>
      <x:c r="W111" s="9" t="str">
        <x:f>IF(C111="","",IFERROR(IF(INDEX('Inventory'!$G$9:$G$108,MATCH(D111,'Inventory'!$C$9:$C$108,0))="","",INDEX('Inventory'!$G$9:$G$108,MATCH(D111,'Inventory'!$C$9:$C$108,0))),""))</x:f>
        <x:v>Egypt</x:v>
      </x:c>
      <x:c r="X111" s="9" t="str">
        <x:f>IF(C111="","",IFERROR(IF(INDEX('Factors'!$P$9:$P$108,MATCH(J111,'Factors'!$C$9:$C$108,0))="","",INDEX('Factors'!$P$9:$P$108,MATCH(J111,'Factors'!$C$9:$C$108,0))),""))</x:f>
        <x:v>Ready</x:v>
      </x:c>
    </x:row>
    <x:row r="112" ht="26" customHeight="1">
      <x:c r="A112" s="1"/>
      <x:c r="B112" s="1"/>
      <x:c r="C112" s="8" t="str">
        <x:v>ACT104</x:v>
      </x:c>
      <x:c r="D112" s="8" t="str">
        <x:v>A002</x:v>
      </x:c>
      <x:c r="E112" s="8" t="str">
        <x:v>A002</x:v>
      </x:c>
      <x:c r="F112" s="8" t="str">
        <x:v>S2</x:v>
      </x:c>
      <x:c r="G112" s="8" t="str">
        <x:v>Electricity</x:v>
      </x:c>
      <x:c r="H112" s="16" t="n">
        <x:v>80000</x:v>
      </x:c>
      <x:c r="I112" s="8" t="str">
        <x:v>kWh</x:v>
      </x:c>
      <x:c r="J112" s="8" t="str">
        <x:v>EG-GRID-26</x:v>
      </x:c>
      <x:c r="K112" s="22" t="n">
        <x:v>2026</x:v>
      </x:c>
      <x:c r="L112" s="8" t="str">
        <x:v>SYN-ACT-104</x:v>
      </x:c>
      <x:c r="M112" s="8" t="str">
        <x:v>Actual</x:v>
      </x:c>
      <x:c r="N112" s="40" t="n">
        <x:v>46752</x:v>
      </x:c>
      <x:c r="O112" s="41" t="n">
        <x:f>IF(C112="","",IFERROR(IF(INDEX('Factors'!$G$9:$G$108,MATCH(J112,'Factors'!$C$9:$C$108,0))="","",INDEX('Factors'!$G$9:$G$108,MATCH(J112,'Factors'!$C$9:$C$108,0))),""))</x:f>
        <x:v>0.46</x:v>
      </x:c>
      <x:c r="P112" s="9" t="str">
        <x:f>IF(C112="","",IFERROR(IF(INDEX('Factors'!$F$9:$F$108,MATCH(J112,'Factors'!$C$9:$C$108,0))="","",INDEX('Factors'!$F$9:$F$108,MATCH(J112,'Factors'!$C$9:$C$108,0))),""))</x:f>
        <x:v>kWh</x:v>
      </x:c>
      <x:c r="Q112" s="9" t="str">
        <x:f>IF(C112="","",IFERROR(IF(INDEX('Factors'!$H$9:$H$108,MATCH(J112,'Factors'!$C$9:$C$108,0))="","",INDEX('Factors'!$H$9:$H$108,MATCH(J112,'Factors'!$C$9:$C$108,0))),""))</x:f>
        <x:v>S2</x:v>
      </x:c>
      <x:c r="R112" s="9" t="str">
        <x:f>IF(C112="","",IFERROR(IF(INDEX('Factors'!$E$9:$E$108,MATCH(J112,'Factors'!$C$9:$C$108,0))="","",INDEX('Factors'!$E$9:$E$108,MATCH(J112,'Factors'!$C$9:$C$108,0))),""))</x:f>
        <x:v>Egypt</x:v>
      </x:c>
      <x:c r="S112" s="42" t="n">
        <x:f>IF(C112="","",IFERROR(IF(INDEX('Factors'!$J$9:$J$108,MATCH(J112,'Factors'!$C$9:$C$108,0))="","",INDEX('Factors'!$J$9:$J$108,MATCH(J112,'Factors'!$C$9:$C$108,0))),""))</x:f>
        <x:v>2026</x:v>
      </x:c>
      <x:c r="T112" s="9" t="str">
        <x:f>IF(C112="","",IFERROR(IF(INDEX('Factors'!$L$9:$L$108,MATCH(J112,'Factors'!$C$9:$C$108,0))="","",INDEX('Factors'!$L$9:$L$108,MATCH(J112,'Factors'!$C$9:$C$108,0))),"")&amp;" / "&amp;IFERROR(IF(INDEX('Factors'!$M$9:$M$108,MATCH(J112,'Factors'!$C$9:$C$108,0))="","",INDEX('Factors'!$M$9:$M$108,MATCH(J112,'Factors'!$C$9:$C$108,0))),""))</x:f>
        <x:v>SYNTHETIC DEMO / SYN-2026.1</x:v>
      </x:c>
      <x:c r="U112" s="21" t="n">
        <x:f>IF(V112="Ready",H112*O112/1000,"")</x:f>
        <x:v>36.8</x:v>
      </x:c>
      <x:c r="V112" s="9" t="str">
        <x:f>IF(C112="","",IF(OR(COUNTIFS($C$9:$C$308,C112)&lt;&gt;1,COUNTIFS($D$9:$D$308,D112,$E$9:$E$308,E112,$F$9:$F$308,F112,$G$9:$G$308,G112,$K$9:$K$308,K112)&lt;&gt;1),"Duplicate annual activity",IF(COUNTIFS('Inventory'!$C$9:$C$108,D112)&lt;&gt;1,"Entity required",IF(OR(E112="",L112="",NOT(ISNUMBER(H112)),H112&lt;0,NOT(ISNUMBER(K112)),NOT(ISNUMBER(N112))),"Missing activity input",IF(AND(E112&lt;&gt;D112,OR(COUNTIFS('Sites'!$C$9:$C$108,E112)&lt;&gt;1,IFERROR(IF(INDEX('Sites'!$D$9:$D$108,MATCH(E112,'Sites'!$C$9:$C$108,0))="","",INDEX('Sites'!$D$9:$D$108,MATCH(E112,'Sites'!$C$9:$C$108,0))),"")&lt;&gt;IFERROR(IF(INDEX('Inventory'!$D$9:$D$108,MATCH(D112,'Inventory'!$C$9:$C$108,0))="","",INDEX('Inventory'!$D$9:$D$108,MATCH(D112,'Inventory'!$C$9:$C$108,0))),""),IFERROR(IF(INDEX('Sites'!$E$9:$E$108,MATCH(E112,'Sites'!$C$9:$C$108,0))="","",INDEX('Sites'!$E$9:$E$108,MATCH(E112,'Sites'!$C$9:$C$108,0))),"")&lt;&gt;W112)),"Site / entity mismatch",IF(N112&lt;'Settings'!$F$8,"Expired",IF(X112&lt;&gt;"Ready","Factor required",IF(OR(G112&lt;&gt;IFERROR(IF(INDEX('Factors'!$D$9:$D$108,MATCH(J112,'Factors'!$C$9:$C$108,0))="","",INDEX('Factors'!$D$9:$D$108,MATCH(J112,'Factors'!$C$9:$C$108,0))),""),I112&lt;&gt;P112,F112&lt;&gt;Q112,K112&lt;&gt;S112,AND(R112&lt;&gt;"Global",R112&lt;&gt;W112),K112&lt;&gt;YEAR(IFERROR(IF(INDEX('Inventory'!$H$9:$H$108,MATCH(D112,'Inventory'!$C$9:$C$108,0))="","",INDEX('Inventory'!$H$9:$H$108,MATCH(D112,'Inventory'!$C$9:$C$108,0))),""))),"Factor / boundary mismatch",IF(AND(F112="S2",IFERROR(IF(INDEX('Factors'!$I$9:$I$108,MATCH(J112,'Factors'!$C$9:$C$108,0))="","",INDEX('Factors'!$I$9:$I$108,MATCH(J112,'Factors'!$C$9:$C$108,0))),"")&lt;&gt;"Location-based"),"Use location factor",IF(M112&lt;&gt;"Actual","Estimation method review","Ready"))))))))))</x:f>
        <x:v>Ready</x:v>
      </x:c>
      <x:c r="W112" s="9" t="str">
        <x:f>IF(C112="","",IFERROR(IF(INDEX('Inventory'!$G$9:$G$108,MATCH(D112,'Inventory'!$C$9:$C$108,0))="","",INDEX('Inventory'!$G$9:$G$108,MATCH(D112,'Inventory'!$C$9:$C$108,0))),""))</x:f>
        <x:v>Egypt</x:v>
      </x:c>
      <x:c r="X112" s="9" t="str">
        <x:f>IF(C112="","",IFERROR(IF(INDEX('Factors'!$P$9:$P$108,MATCH(J112,'Factors'!$C$9:$C$108,0))="","",INDEX('Factors'!$P$9:$P$108,MATCH(J112,'Factors'!$C$9:$C$108,0))),""))</x:f>
        <x:v>Ready</x:v>
      </x:c>
    </x:row>
    <x:row r="113" ht="26" customHeight="1">
      <x:c r="A113" s="1"/>
      <x:c r="B113" s="1"/>
      <x:c r="C113" s="8" t="str">
        <x:v>ACT105</x:v>
      </x:c>
      <x:c r="D113" s="8" t="str">
        <x:v>A003</x:v>
      </x:c>
      <x:c r="E113" s="8" t="str">
        <x:v>A003</x:v>
      </x:c>
      <x:c r="F113" s="8" t="str">
        <x:v>S1</x:v>
      </x:c>
      <x:c r="G113" s="8" t="str">
        <x:v>Diesel</x:v>
      </x:c>
      <x:c r="H113" s="16" t="n">
        <x:v>800000</x:v>
      </x:c>
      <x:c r="I113" s="8" t="str">
        <x:v>litre</x:v>
      </x:c>
      <x:c r="J113" s="8" t="str">
        <x:v>GLOBAL-DIESEL-26</x:v>
      </x:c>
      <x:c r="K113" s="22" t="n">
        <x:v>2026</x:v>
      </x:c>
      <x:c r="L113" s="8" t="str">
        <x:v>SYN-ACT-105</x:v>
      </x:c>
      <x:c r="M113" s="8" t="str">
        <x:v>Actual</x:v>
      </x:c>
      <x:c r="N113" s="40" t="n">
        <x:v>46752</x:v>
      </x:c>
      <x:c r="O113" s="41" t="n">
        <x:f>IF(C113="","",IFERROR(IF(INDEX('Factors'!$G$9:$G$108,MATCH(J113,'Factors'!$C$9:$C$108,0))="","",INDEX('Factors'!$G$9:$G$108,MATCH(J113,'Factors'!$C$9:$C$108,0))),""))</x:f>
        <x:v>2.68</x:v>
      </x:c>
      <x:c r="P113" s="9" t="str">
        <x:f>IF(C113="","",IFERROR(IF(INDEX('Factors'!$F$9:$F$108,MATCH(J113,'Factors'!$C$9:$C$108,0))="","",INDEX('Factors'!$F$9:$F$108,MATCH(J113,'Factors'!$C$9:$C$108,0))),""))</x:f>
        <x:v>litre</x:v>
      </x:c>
      <x:c r="Q113" s="9" t="str">
        <x:f>IF(C113="","",IFERROR(IF(INDEX('Factors'!$H$9:$H$108,MATCH(J113,'Factors'!$C$9:$C$108,0))="","",INDEX('Factors'!$H$9:$H$108,MATCH(J113,'Factors'!$C$9:$C$108,0))),""))</x:f>
        <x:v>S1</x:v>
      </x:c>
      <x:c r="R113" s="9" t="str">
        <x:f>IF(C113="","",IFERROR(IF(INDEX('Factors'!$E$9:$E$108,MATCH(J113,'Factors'!$C$9:$C$108,0))="","",INDEX('Factors'!$E$9:$E$108,MATCH(J113,'Factors'!$C$9:$C$108,0))),""))</x:f>
        <x:v>Global</x:v>
      </x:c>
      <x:c r="S113" s="42" t="n">
        <x:f>IF(C113="","",IFERROR(IF(INDEX('Factors'!$J$9:$J$108,MATCH(J113,'Factors'!$C$9:$C$108,0))="","",INDEX('Factors'!$J$9:$J$108,MATCH(J113,'Factors'!$C$9:$C$108,0))),""))</x:f>
        <x:v>2026</x:v>
      </x:c>
      <x:c r="T113" s="9" t="str">
        <x:f>IF(C113="","",IFERROR(IF(INDEX('Factors'!$L$9:$L$108,MATCH(J113,'Factors'!$C$9:$C$108,0))="","",INDEX('Factors'!$L$9:$L$108,MATCH(J113,'Factors'!$C$9:$C$108,0))),"")&amp;" / "&amp;IFERROR(IF(INDEX('Factors'!$M$9:$M$108,MATCH(J113,'Factors'!$C$9:$C$108,0))="","",INDEX('Factors'!$M$9:$M$108,MATCH(J113,'Factors'!$C$9:$C$108,0))),""))</x:f>
        <x:v>SYNTHETIC DEMO / SYN-2026.1</x:v>
      </x:c>
      <x:c r="U113" s="21" t="n">
        <x:f>IF(V113="Ready",H113*O113/1000,"")</x:f>
        <x:v>2144</x:v>
      </x:c>
      <x:c r="V113" s="9" t="str">
        <x:f>IF(C113="","",IF(OR(COUNTIFS($C$9:$C$308,C113)&lt;&gt;1,COUNTIFS($D$9:$D$308,D113,$E$9:$E$308,E113,$F$9:$F$308,F113,$G$9:$G$308,G113,$K$9:$K$308,K113)&lt;&gt;1),"Duplicate annual activity",IF(COUNTIFS('Inventory'!$C$9:$C$108,D113)&lt;&gt;1,"Entity required",IF(OR(E113="",L113="",NOT(ISNUMBER(H113)),H113&lt;0,NOT(ISNUMBER(K113)),NOT(ISNUMBER(N113))),"Missing activity input",IF(AND(E113&lt;&gt;D113,OR(COUNTIFS('Sites'!$C$9:$C$108,E113)&lt;&gt;1,IFERROR(IF(INDEX('Sites'!$D$9:$D$108,MATCH(E113,'Sites'!$C$9:$C$108,0))="","",INDEX('Sites'!$D$9:$D$108,MATCH(E113,'Sites'!$C$9:$C$108,0))),"")&lt;&gt;IFERROR(IF(INDEX('Inventory'!$D$9:$D$108,MATCH(D113,'Inventory'!$C$9:$C$108,0))="","",INDEX('Inventory'!$D$9:$D$108,MATCH(D113,'Inventory'!$C$9:$C$108,0))),""),IFERROR(IF(INDEX('Sites'!$E$9:$E$108,MATCH(E113,'Sites'!$C$9:$C$108,0))="","",INDEX('Sites'!$E$9:$E$108,MATCH(E113,'Sites'!$C$9:$C$108,0))),"")&lt;&gt;W113)),"Site / entity mismatch",IF(N113&lt;'Settings'!$F$8,"Expired",IF(X113&lt;&gt;"Ready","Factor required",IF(OR(G113&lt;&gt;IFERROR(IF(INDEX('Factors'!$D$9:$D$108,MATCH(J113,'Factors'!$C$9:$C$108,0))="","",INDEX('Factors'!$D$9:$D$108,MATCH(J113,'Factors'!$C$9:$C$108,0))),""),I113&lt;&gt;P113,F113&lt;&gt;Q113,K113&lt;&gt;S113,AND(R113&lt;&gt;"Global",R113&lt;&gt;W113),K113&lt;&gt;YEAR(IFERROR(IF(INDEX('Inventory'!$H$9:$H$108,MATCH(D113,'Inventory'!$C$9:$C$108,0))="","",INDEX('Inventory'!$H$9:$H$108,MATCH(D113,'Inventory'!$C$9:$C$108,0))),""))),"Factor / boundary mismatch",IF(AND(F113="S2",IFERROR(IF(INDEX('Factors'!$I$9:$I$108,MATCH(J113,'Factors'!$C$9:$C$108,0))="","",INDEX('Factors'!$I$9:$I$108,MATCH(J113,'Factors'!$C$9:$C$108,0))),"")&lt;&gt;"Location-based"),"Use location factor",IF(M113&lt;&gt;"Actual","Estimation method review","Ready"))))))))))</x:f>
        <x:v>Ready</x:v>
      </x:c>
      <x:c r="W113" s="9" t="str">
        <x:f>IF(C113="","",IFERROR(IF(INDEX('Inventory'!$G$9:$G$108,MATCH(D113,'Inventory'!$C$9:$C$108,0))="","",INDEX('Inventory'!$G$9:$G$108,MATCH(D113,'Inventory'!$C$9:$C$108,0))),""))</x:f>
        <x:v>Egypt</x:v>
      </x:c>
      <x:c r="X113" s="9" t="str">
        <x:f>IF(C113="","",IFERROR(IF(INDEX('Factors'!$P$9:$P$108,MATCH(J113,'Factors'!$C$9:$C$108,0))="","",INDEX('Factors'!$P$9:$P$108,MATCH(J113,'Factors'!$C$9:$C$108,0))),""))</x:f>
        <x:v>Ready</x:v>
      </x:c>
    </x:row>
    <x:row r="114" ht="26" customHeight="1">
      <x:c r="A114" s="1"/>
      <x:c r="B114" s="1"/>
      <x:c r="C114" s="8" t="str">
        <x:v>ACT106</x:v>
      </x:c>
      <x:c r="D114" s="8" t="str">
        <x:v>A003</x:v>
      </x:c>
      <x:c r="E114" s="8" t="str">
        <x:v>A003</x:v>
      </x:c>
      <x:c r="F114" s="8" t="str">
        <x:v>S2</x:v>
      </x:c>
      <x:c r="G114" s="8" t="str">
        <x:v>Electricity</x:v>
      </x:c>
      <x:c r="H114" s="16" t="n">
        <x:v>80000</x:v>
      </x:c>
      <x:c r="I114" s="8" t="str">
        <x:v>kWh</x:v>
      </x:c>
      <x:c r="J114" s="8" t="str">
        <x:v>EG-GRID-26</x:v>
      </x:c>
      <x:c r="K114" s="22" t="n">
        <x:v>2026</x:v>
      </x:c>
      <x:c r="L114" s="8" t="str">
        <x:v>SYN-ACT-106</x:v>
      </x:c>
      <x:c r="M114" s="8" t="str">
        <x:v>Actual</x:v>
      </x:c>
      <x:c r="N114" s="40" t="n">
        <x:v>46752</x:v>
      </x:c>
      <x:c r="O114" s="41" t="n">
        <x:f>IF(C114="","",IFERROR(IF(INDEX('Factors'!$G$9:$G$108,MATCH(J114,'Factors'!$C$9:$C$108,0))="","",INDEX('Factors'!$G$9:$G$108,MATCH(J114,'Factors'!$C$9:$C$108,0))),""))</x:f>
        <x:v>0.46</x:v>
      </x:c>
      <x:c r="P114" s="9" t="str">
        <x:f>IF(C114="","",IFERROR(IF(INDEX('Factors'!$F$9:$F$108,MATCH(J114,'Factors'!$C$9:$C$108,0))="","",INDEX('Factors'!$F$9:$F$108,MATCH(J114,'Factors'!$C$9:$C$108,0))),""))</x:f>
        <x:v>kWh</x:v>
      </x:c>
      <x:c r="Q114" s="9" t="str">
        <x:f>IF(C114="","",IFERROR(IF(INDEX('Factors'!$H$9:$H$108,MATCH(J114,'Factors'!$C$9:$C$108,0))="","",INDEX('Factors'!$H$9:$H$108,MATCH(J114,'Factors'!$C$9:$C$108,0))),""))</x:f>
        <x:v>S2</x:v>
      </x:c>
      <x:c r="R114" s="9" t="str">
        <x:f>IF(C114="","",IFERROR(IF(INDEX('Factors'!$E$9:$E$108,MATCH(J114,'Factors'!$C$9:$C$108,0))="","",INDEX('Factors'!$E$9:$E$108,MATCH(J114,'Factors'!$C$9:$C$108,0))),""))</x:f>
        <x:v>Egypt</x:v>
      </x:c>
      <x:c r="S114" s="42" t="n">
        <x:f>IF(C114="","",IFERROR(IF(INDEX('Factors'!$J$9:$J$108,MATCH(J114,'Factors'!$C$9:$C$108,0))="","",INDEX('Factors'!$J$9:$J$108,MATCH(J114,'Factors'!$C$9:$C$108,0))),""))</x:f>
        <x:v>2026</x:v>
      </x:c>
      <x:c r="T114" s="9" t="str">
        <x:f>IF(C114="","",IFERROR(IF(INDEX('Factors'!$L$9:$L$108,MATCH(J114,'Factors'!$C$9:$C$108,0))="","",INDEX('Factors'!$L$9:$L$108,MATCH(J114,'Factors'!$C$9:$C$108,0))),"")&amp;" / "&amp;IFERROR(IF(INDEX('Factors'!$M$9:$M$108,MATCH(J114,'Factors'!$C$9:$C$108,0))="","",INDEX('Factors'!$M$9:$M$108,MATCH(J114,'Factors'!$C$9:$C$108,0))),""))</x:f>
        <x:v>SYNTHETIC DEMO / SYN-2026.1</x:v>
      </x:c>
      <x:c r="U114" s="21" t="n">
        <x:f>IF(V114="Ready",H114*O114/1000,"")</x:f>
        <x:v>36.8</x:v>
      </x:c>
      <x:c r="V114" s="9" t="str">
        <x:f>IF(C114="","",IF(OR(COUNTIFS($C$9:$C$308,C114)&lt;&gt;1,COUNTIFS($D$9:$D$308,D114,$E$9:$E$308,E114,$F$9:$F$308,F114,$G$9:$G$308,G114,$K$9:$K$308,K114)&lt;&gt;1),"Duplicate annual activity",IF(COUNTIFS('Inventory'!$C$9:$C$108,D114)&lt;&gt;1,"Entity required",IF(OR(E114="",L114="",NOT(ISNUMBER(H114)),H114&lt;0,NOT(ISNUMBER(K114)),NOT(ISNUMBER(N114))),"Missing activity input",IF(AND(E114&lt;&gt;D114,OR(COUNTIFS('Sites'!$C$9:$C$108,E114)&lt;&gt;1,IFERROR(IF(INDEX('Sites'!$D$9:$D$108,MATCH(E114,'Sites'!$C$9:$C$108,0))="","",INDEX('Sites'!$D$9:$D$108,MATCH(E114,'Sites'!$C$9:$C$108,0))),"")&lt;&gt;IFERROR(IF(INDEX('Inventory'!$D$9:$D$108,MATCH(D114,'Inventory'!$C$9:$C$108,0))="","",INDEX('Inventory'!$D$9:$D$108,MATCH(D114,'Inventory'!$C$9:$C$108,0))),""),IFERROR(IF(INDEX('Sites'!$E$9:$E$108,MATCH(E114,'Sites'!$C$9:$C$108,0))="","",INDEX('Sites'!$E$9:$E$108,MATCH(E114,'Sites'!$C$9:$C$108,0))),"")&lt;&gt;W114)),"Site / entity mismatch",IF(N114&lt;'Settings'!$F$8,"Expired",IF(X114&lt;&gt;"Ready","Factor required",IF(OR(G114&lt;&gt;IFERROR(IF(INDEX('Factors'!$D$9:$D$108,MATCH(J114,'Factors'!$C$9:$C$108,0))="","",INDEX('Factors'!$D$9:$D$108,MATCH(J114,'Factors'!$C$9:$C$108,0))),""),I114&lt;&gt;P114,F114&lt;&gt;Q114,K114&lt;&gt;S114,AND(R114&lt;&gt;"Global",R114&lt;&gt;W114),K114&lt;&gt;YEAR(IFERROR(IF(INDEX('Inventory'!$H$9:$H$108,MATCH(D114,'Inventory'!$C$9:$C$108,0))="","",INDEX('Inventory'!$H$9:$H$108,MATCH(D114,'Inventory'!$C$9:$C$108,0))),""))),"Factor / boundary mismatch",IF(AND(F114="S2",IFERROR(IF(INDEX('Factors'!$I$9:$I$108,MATCH(J114,'Factors'!$C$9:$C$108,0))="","",INDEX('Factors'!$I$9:$I$108,MATCH(J114,'Factors'!$C$9:$C$108,0))),"")&lt;&gt;"Location-based"),"Use location factor",IF(M114&lt;&gt;"Actual","Estimation method review","Ready"))))))))))</x:f>
        <x:v>Ready</x:v>
      </x:c>
      <x:c r="W114" s="9" t="str">
        <x:f>IF(C114="","",IFERROR(IF(INDEX('Inventory'!$G$9:$G$108,MATCH(D114,'Inventory'!$C$9:$C$108,0))="","",INDEX('Inventory'!$G$9:$G$108,MATCH(D114,'Inventory'!$C$9:$C$108,0))),""))</x:f>
        <x:v>Egypt</x:v>
      </x:c>
      <x:c r="X114" s="9" t="str">
        <x:f>IF(C114="","",IFERROR(IF(INDEX('Factors'!$P$9:$P$108,MATCH(J114,'Factors'!$C$9:$C$108,0))="","",INDEX('Factors'!$P$9:$P$108,MATCH(J114,'Factors'!$C$9:$C$108,0))),""))</x:f>
        <x:v>Ready</x:v>
      </x:c>
    </x:row>
    <x:row r="115" ht="26" customHeight="1">
      <x:c r="A115" s="1"/>
      <x:c r="B115" s="1"/>
      <x:c r="C115" s="8" t="str">
        <x:v>ACT107</x:v>
      </x:c>
      <x:c r="D115" s="8" t="str">
        <x:v>A005</x:v>
      </x:c>
      <x:c r="E115" s="8" t="str">
        <x:v>A005</x:v>
      </x:c>
      <x:c r="F115" s="8" t="str">
        <x:v>S1</x:v>
      </x:c>
      <x:c r="G115" s="8" t="str">
        <x:v>Diesel</x:v>
      </x:c>
      <x:c r="H115" s="16" t="n">
        <x:v>10000</x:v>
      </x:c>
      <x:c r="I115" s="8" t="str">
        <x:v>litre</x:v>
      </x:c>
      <x:c r="J115" s="8" t="str">
        <x:v>GLOBAL-DIESEL-26</x:v>
      </x:c>
      <x:c r="K115" s="22" t="n">
        <x:v>2026</x:v>
      </x:c>
      <x:c r="L115" s="8" t="str">
        <x:v>SYN-ACT-107</x:v>
      </x:c>
      <x:c r="M115" s="8" t="str">
        <x:v>Actual</x:v>
      </x:c>
      <x:c r="N115" s="40" t="n">
        <x:v>46752</x:v>
      </x:c>
      <x:c r="O115" s="41" t="n">
        <x:f>IF(C115="","",IFERROR(IF(INDEX('Factors'!$G$9:$G$108,MATCH(J115,'Factors'!$C$9:$C$108,0))="","",INDEX('Factors'!$G$9:$G$108,MATCH(J115,'Factors'!$C$9:$C$108,0))),""))</x:f>
        <x:v>2.68</x:v>
      </x:c>
      <x:c r="P115" s="9" t="str">
        <x:f>IF(C115="","",IFERROR(IF(INDEX('Factors'!$F$9:$F$108,MATCH(J115,'Factors'!$C$9:$C$108,0))="","",INDEX('Factors'!$F$9:$F$108,MATCH(J115,'Factors'!$C$9:$C$108,0))),""))</x:f>
        <x:v>litre</x:v>
      </x:c>
      <x:c r="Q115" s="9" t="str">
        <x:f>IF(C115="","",IFERROR(IF(INDEX('Factors'!$H$9:$H$108,MATCH(J115,'Factors'!$C$9:$C$108,0))="","",INDEX('Factors'!$H$9:$H$108,MATCH(J115,'Factors'!$C$9:$C$108,0))),""))</x:f>
        <x:v>S1</x:v>
      </x:c>
      <x:c r="R115" s="9" t="str">
        <x:f>IF(C115="","",IFERROR(IF(INDEX('Factors'!$E$9:$E$108,MATCH(J115,'Factors'!$C$9:$C$108,0))="","",INDEX('Factors'!$E$9:$E$108,MATCH(J115,'Factors'!$C$9:$C$108,0))),""))</x:f>
        <x:v>Global</x:v>
      </x:c>
      <x:c r="S115" s="42" t="n">
        <x:f>IF(C115="","",IFERROR(IF(INDEX('Factors'!$J$9:$J$108,MATCH(J115,'Factors'!$C$9:$C$108,0))="","",INDEX('Factors'!$J$9:$J$108,MATCH(J115,'Factors'!$C$9:$C$108,0))),""))</x:f>
        <x:v>2026</x:v>
      </x:c>
      <x:c r="T115" s="9" t="str">
        <x:f>IF(C115="","",IFERROR(IF(INDEX('Factors'!$L$9:$L$108,MATCH(J115,'Factors'!$C$9:$C$108,0))="","",INDEX('Factors'!$L$9:$L$108,MATCH(J115,'Factors'!$C$9:$C$108,0))),"")&amp;" / "&amp;IFERROR(IF(INDEX('Factors'!$M$9:$M$108,MATCH(J115,'Factors'!$C$9:$C$108,0))="","",INDEX('Factors'!$M$9:$M$108,MATCH(J115,'Factors'!$C$9:$C$108,0))),""))</x:f>
        <x:v>SYNTHETIC DEMO / SYN-2026.1</x:v>
      </x:c>
      <x:c r="U115" s="21" t="n">
        <x:f>IF(V115="Ready",H115*O115/1000,"")</x:f>
        <x:v>26.8</x:v>
      </x:c>
      <x:c r="V115" s="9" t="str">
        <x:f>IF(C115="","",IF(OR(COUNTIFS($C$9:$C$308,C115)&lt;&gt;1,COUNTIFS($D$9:$D$308,D115,$E$9:$E$308,E115,$F$9:$F$308,F115,$G$9:$G$308,G115,$K$9:$K$308,K115)&lt;&gt;1),"Duplicate annual activity",IF(COUNTIFS('Inventory'!$C$9:$C$108,D115)&lt;&gt;1,"Entity required",IF(OR(E115="",L115="",NOT(ISNUMBER(H115)),H115&lt;0,NOT(ISNUMBER(K115)),NOT(ISNUMBER(N115))),"Missing activity input",IF(AND(E115&lt;&gt;D115,OR(COUNTIFS('Sites'!$C$9:$C$108,E115)&lt;&gt;1,IFERROR(IF(INDEX('Sites'!$D$9:$D$108,MATCH(E115,'Sites'!$C$9:$C$108,0))="","",INDEX('Sites'!$D$9:$D$108,MATCH(E115,'Sites'!$C$9:$C$108,0))),"")&lt;&gt;IFERROR(IF(INDEX('Inventory'!$D$9:$D$108,MATCH(D115,'Inventory'!$C$9:$C$108,0))="","",INDEX('Inventory'!$D$9:$D$108,MATCH(D115,'Inventory'!$C$9:$C$108,0))),""),IFERROR(IF(INDEX('Sites'!$E$9:$E$108,MATCH(E115,'Sites'!$C$9:$C$108,0))="","",INDEX('Sites'!$E$9:$E$108,MATCH(E115,'Sites'!$C$9:$C$108,0))),"")&lt;&gt;W115)),"Site / entity mismatch",IF(N115&lt;'Settings'!$F$8,"Expired",IF(X115&lt;&gt;"Ready","Factor required",IF(OR(G115&lt;&gt;IFERROR(IF(INDEX('Factors'!$D$9:$D$108,MATCH(J115,'Factors'!$C$9:$C$108,0))="","",INDEX('Factors'!$D$9:$D$108,MATCH(J115,'Factors'!$C$9:$C$108,0))),""),I115&lt;&gt;P115,F115&lt;&gt;Q115,K115&lt;&gt;S115,AND(R115&lt;&gt;"Global",R115&lt;&gt;W115),K115&lt;&gt;YEAR(IFERROR(IF(INDEX('Inventory'!$H$9:$H$108,MATCH(D115,'Inventory'!$C$9:$C$108,0))="","",INDEX('Inventory'!$H$9:$H$108,MATCH(D115,'Inventory'!$C$9:$C$108,0))),""))),"Factor / boundary mismatch",IF(AND(F115="S2",IFERROR(IF(INDEX('Factors'!$I$9:$I$108,MATCH(J115,'Factors'!$C$9:$C$108,0))="","",INDEX('Factors'!$I$9:$I$108,MATCH(J115,'Factors'!$C$9:$C$108,0))),"")&lt;&gt;"Location-based"),"Use location factor",IF(M115&lt;&gt;"Actual","Estimation method review","Ready"))))))))))</x:f>
        <x:v>Ready</x:v>
      </x:c>
      <x:c r="W115" s="9" t="str">
        <x:f>IF(C115="","",IFERROR(IF(INDEX('Inventory'!$G$9:$G$108,MATCH(D115,'Inventory'!$C$9:$C$108,0))="","",INDEX('Inventory'!$G$9:$G$108,MATCH(D115,'Inventory'!$C$9:$C$108,0))),""))</x:f>
        <x:v>Egypt</x:v>
      </x:c>
      <x:c r="X115" s="9" t="str">
        <x:f>IF(C115="","",IFERROR(IF(INDEX('Factors'!$P$9:$P$108,MATCH(J115,'Factors'!$C$9:$C$108,0))="","",INDEX('Factors'!$P$9:$P$108,MATCH(J115,'Factors'!$C$9:$C$108,0))),""))</x:f>
        <x:v>Ready</x:v>
      </x:c>
    </x:row>
    <x:row r="116" ht="26" customHeight="1">
      <x:c r="A116" s="1"/>
      <x:c r="B116" s="1"/>
      <x:c r="C116" s="8" t="str">
        <x:v>ACT108</x:v>
      </x:c>
      <x:c r="D116" s="8" t="str">
        <x:v>A005</x:v>
      </x:c>
      <x:c r="E116" s="8" t="str">
        <x:v>A005</x:v>
      </x:c>
      <x:c r="F116" s="8" t="str">
        <x:v>S2</x:v>
      </x:c>
      <x:c r="G116" s="8" t="str">
        <x:v>Electricity</x:v>
      </x:c>
      <x:c r="H116" s="16" t="n">
        <x:v>1500000</x:v>
      </x:c>
      <x:c r="I116" s="8" t="str">
        <x:v>kWh</x:v>
      </x:c>
      <x:c r="J116" s="8" t="str">
        <x:v>EG-GRID-26</x:v>
      </x:c>
      <x:c r="K116" s="22" t="n">
        <x:v>2026</x:v>
      </x:c>
      <x:c r="L116" s="8" t="str">
        <x:v>SYN-ACT-108</x:v>
      </x:c>
      <x:c r="M116" s="8" t="str">
        <x:v>Actual</x:v>
      </x:c>
      <x:c r="N116" s="40" t="n">
        <x:v>46752</x:v>
      </x:c>
      <x:c r="O116" s="41" t="n">
        <x:f>IF(C116="","",IFERROR(IF(INDEX('Factors'!$G$9:$G$108,MATCH(J116,'Factors'!$C$9:$C$108,0))="","",INDEX('Factors'!$G$9:$G$108,MATCH(J116,'Factors'!$C$9:$C$108,0))),""))</x:f>
        <x:v>0.46</x:v>
      </x:c>
      <x:c r="P116" s="9" t="str">
        <x:f>IF(C116="","",IFERROR(IF(INDEX('Factors'!$F$9:$F$108,MATCH(J116,'Factors'!$C$9:$C$108,0))="","",INDEX('Factors'!$F$9:$F$108,MATCH(J116,'Factors'!$C$9:$C$108,0))),""))</x:f>
        <x:v>kWh</x:v>
      </x:c>
      <x:c r="Q116" s="9" t="str">
        <x:f>IF(C116="","",IFERROR(IF(INDEX('Factors'!$H$9:$H$108,MATCH(J116,'Factors'!$C$9:$C$108,0))="","",INDEX('Factors'!$H$9:$H$108,MATCH(J116,'Factors'!$C$9:$C$108,0))),""))</x:f>
        <x:v>S2</x:v>
      </x:c>
      <x:c r="R116" s="9" t="str">
        <x:f>IF(C116="","",IFERROR(IF(INDEX('Factors'!$E$9:$E$108,MATCH(J116,'Factors'!$C$9:$C$108,0))="","",INDEX('Factors'!$E$9:$E$108,MATCH(J116,'Factors'!$C$9:$C$108,0))),""))</x:f>
        <x:v>Egypt</x:v>
      </x:c>
      <x:c r="S116" s="42" t="n">
        <x:f>IF(C116="","",IFERROR(IF(INDEX('Factors'!$J$9:$J$108,MATCH(J116,'Factors'!$C$9:$C$108,0))="","",INDEX('Factors'!$J$9:$J$108,MATCH(J116,'Factors'!$C$9:$C$108,0))),""))</x:f>
        <x:v>2026</x:v>
      </x:c>
      <x:c r="T116" s="9" t="str">
        <x:f>IF(C116="","",IFERROR(IF(INDEX('Factors'!$L$9:$L$108,MATCH(J116,'Factors'!$C$9:$C$108,0))="","",INDEX('Factors'!$L$9:$L$108,MATCH(J116,'Factors'!$C$9:$C$108,0))),"")&amp;" / "&amp;IFERROR(IF(INDEX('Factors'!$M$9:$M$108,MATCH(J116,'Factors'!$C$9:$C$108,0))="","",INDEX('Factors'!$M$9:$M$108,MATCH(J116,'Factors'!$C$9:$C$108,0))),""))</x:f>
        <x:v>SYNTHETIC DEMO / SYN-2026.1</x:v>
      </x:c>
      <x:c r="U116" s="21" t="n">
        <x:f>IF(V116="Ready",H116*O116/1000,"")</x:f>
        <x:v>690</x:v>
      </x:c>
      <x:c r="V116" s="9" t="str">
        <x:f>IF(C116="","",IF(OR(COUNTIFS($C$9:$C$308,C116)&lt;&gt;1,COUNTIFS($D$9:$D$308,D116,$E$9:$E$308,E116,$F$9:$F$308,F116,$G$9:$G$308,G116,$K$9:$K$308,K116)&lt;&gt;1),"Duplicate annual activity",IF(COUNTIFS('Inventory'!$C$9:$C$108,D116)&lt;&gt;1,"Entity required",IF(OR(E116="",L116="",NOT(ISNUMBER(H116)),H116&lt;0,NOT(ISNUMBER(K116)),NOT(ISNUMBER(N116))),"Missing activity input",IF(AND(E116&lt;&gt;D116,OR(COUNTIFS('Sites'!$C$9:$C$108,E116)&lt;&gt;1,IFERROR(IF(INDEX('Sites'!$D$9:$D$108,MATCH(E116,'Sites'!$C$9:$C$108,0))="","",INDEX('Sites'!$D$9:$D$108,MATCH(E116,'Sites'!$C$9:$C$108,0))),"")&lt;&gt;IFERROR(IF(INDEX('Inventory'!$D$9:$D$108,MATCH(D116,'Inventory'!$C$9:$C$108,0))="","",INDEX('Inventory'!$D$9:$D$108,MATCH(D116,'Inventory'!$C$9:$C$108,0))),""),IFERROR(IF(INDEX('Sites'!$E$9:$E$108,MATCH(E116,'Sites'!$C$9:$C$108,0))="","",INDEX('Sites'!$E$9:$E$108,MATCH(E116,'Sites'!$C$9:$C$108,0))),"")&lt;&gt;W116)),"Site / entity mismatch",IF(N116&lt;'Settings'!$F$8,"Expired",IF(X116&lt;&gt;"Ready","Factor required",IF(OR(G116&lt;&gt;IFERROR(IF(INDEX('Factors'!$D$9:$D$108,MATCH(J116,'Factors'!$C$9:$C$108,0))="","",INDEX('Factors'!$D$9:$D$108,MATCH(J116,'Factors'!$C$9:$C$108,0))),""),I116&lt;&gt;P116,F116&lt;&gt;Q116,K116&lt;&gt;S116,AND(R116&lt;&gt;"Global",R116&lt;&gt;W116),K116&lt;&gt;YEAR(IFERROR(IF(INDEX('Inventory'!$H$9:$H$108,MATCH(D116,'Inventory'!$C$9:$C$108,0))="","",INDEX('Inventory'!$H$9:$H$108,MATCH(D116,'Inventory'!$C$9:$C$108,0))),""))),"Factor / boundary mismatch",IF(AND(F116="S2",IFERROR(IF(INDEX('Factors'!$I$9:$I$108,MATCH(J116,'Factors'!$C$9:$C$108,0))="","",INDEX('Factors'!$I$9:$I$108,MATCH(J116,'Factors'!$C$9:$C$108,0))),"")&lt;&gt;"Location-based"),"Use location factor",IF(M116&lt;&gt;"Actual","Estimation method review","Ready"))))))))))</x:f>
        <x:v>Ready</x:v>
      </x:c>
      <x:c r="W116" s="9" t="str">
        <x:f>IF(C116="","",IFERROR(IF(INDEX('Inventory'!$G$9:$G$108,MATCH(D116,'Inventory'!$C$9:$C$108,0))="","",INDEX('Inventory'!$G$9:$G$108,MATCH(D116,'Inventory'!$C$9:$C$108,0))),""))</x:f>
        <x:v>Egypt</x:v>
      </x:c>
      <x:c r="X116" s="9" t="str">
        <x:f>IF(C116="","",IFERROR(IF(INDEX('Factors'!$P$9:$P$108,MATCH(J116,'Factors'!$C$9:$C$108,0))="","",INDEX('Factors'!$P$9:$P$108,MATCH(J116,'Factors'!$C$9:$C$108,0))),""))</x:f>
        <x:v>Ready</x:v>
      </x:c>
    </x:row>
    <x:row r="117" ht="26" customHeight="1">
      <x:c r="A117" s="1"/>
      <x:c r="B117" s="1"/>
      <x:c r="C117" s="8" t="str">
        <x:v>ACT109</x:v>
      </x:c>
      <x:c r="D117" s="8" t="str">
        <x:v>A008</x:v>
      </x:c>
      <x:c r="E117" s="8" t="str">
        <x:v>A008</x:v>
      </x:c>
      <x:c r="F117" s="8" t="str">
        <x:v>S1</x:v>
      </x:c>
      <x:c r="G117" s="8" t="str">
        <x:v>Diesel</x:v>
      </x:c>
      <x:c r="H117" s="16" t="n">
        <x:v>10000</x:v>
      </x:c>
      <x:c r="I117" s="8" t="str">
        <x:v>litre</x:v>
      </x:c>
      <x:c r="J117" s="8" t="str">
        <x:v>GLOBAL-DIESEL-26</x:v>
      </x:c>
      <x:c r="K117" s="22" t="n">
        <x:v>2026</x:v>
      </x:c>
      <x:c r="L117" s="8" t="str">
        <x:v>SYN-ACT-109</x:v>
      </x:c>
      <x:c r="M117" s="8" t="str">
        <x:v>Actual</x:v>
      </x:c>
      <x:c r="N117" s="40" t="n">
        <x:v>46752</x:v>
      </x:c>
      <x:c r="O117" s="41" t="n">
        <x:f>IF(C117="","",IFERROR(IF(INDEX('Factors'!$G$9:$G$108,MATCH(J117,'Factors'!$C$9:$C$108,0))="","",INDEX('Factors'!$G$9:$G$108,MATCH(J117,'Factors'!$C$9:$C$108,0))),""))</x:f>
        <x:v>2.68</x:v>
      </x:c>
      <x:c r="P117" s="9" t="str">
        <x:f>IF(C117="","",IFERROR(IF(INDEX('Factors'!$F$9:$F$108,MATCH(J117,'Factors'!$C$9:$C$108,0))="","",INDEX('Factors'!$F$9:$F$108,MATCH(J117,'Factors'!$C$9:$C$108,0))),""))</x:f>
        <x:v>litre</x:v>
      </x:c>
      <x:c r="Q117" s="9" t="str">
        <x:f>IF(C117="","",IFERROR(IF(INDEX('Factors'!$H$9:$H$108,MATCH(J117,'Factors'!$C$9:$C$108,0))="","",INDEX('Factors'!$H$9:$H$108,MATCH(J117,'Factors'!$C$9:$C$108,0))),""))</x:f>
        <x:v>S1</x:v>
      </x:c>
      <x:c r="R117" s="9" t="str">
        <x:f>IF(C117="","",IFERROR(IF(INDEX('Factors'!$E$9:$E$108,MATCH(J117,'Factors'!$C$9:$C$108,0))="","",INDEX('Factors'!$E$9:$E$108,MATCH(J117,'Factors'!$C$9:$C$108,0))),""))</x:f>
        <x:v>Global</x:v>
      </x:c>
      <x:c r="S117" s="42" t="n">
        <x:f>IF(C117="","",IFERROR(IF(INDEX('Factors'!$J$9:$J$108,MATCH(J117,'Factors'!$C$9:$C$108,0))="","",INDEX('Factors'!$J$9:$J$108,MATCH(J117,'Factors'!$C$9:$C$108,0))),""))</x:f>
        <x:v>2026</x:v>
      </x:c>
      <x:c r="T117" s="9" t="str">
        <x:f>IF(C117="","",IFERROR(IF(INDEX('Factors'!$L$9:$L$108,MATCH(J117,'Factors'!$C$9:$C$108,0))="","",INDEX('Factors'!$L$9:$L$108,MATCH(J117,'Factors'!$C$9:$C$108,0))),"")&amp;" / "&amp;IFERROR(IF(INDEX('Factors'!$M$9:$M$108,MATCH(J117,'Factors'!$C$9:$C$108,0))="","",INDEX('Factors'!$M$9:$M$108,MATCH(J117,'Factors'!$C$9:$C$108,0))),""))</x:f>
        <x:v>SYNTHETIC DEMO / SYN-2026.1</x:v>
      </x:c>
      <x:c r="U117" s="21" t="n">
        <x:f>IF(V117="Ready",H117*O117/1000,"")</x:f>
        <x:v>26.8</x:v>
      </x:c>
      <x:c r="V117" s="9" t="str">
        <x:f>IF(C117="","",IF(OR(COUNTIFS($C$9:$C$308,C117)&lt;&gt;1,COUNTIFS($D$9:$D$308,D117,$E$9:$E$308,E117,$F$9:$F$308,F117,$G$9:$G$308,G117,$K$9:$K$308,K117)&lt;&gt;1),"Duplicate annual activity",IF(COUNTIFS('Inventory'!$C$9:$C$108,D117)&lt;&gt;1,"Entity required",IF(OR(E117="",L117="",NOT(ISNUMBER(H117)),H117&lt;0,NOT(ISNUMBER(K117)),NOT(ISNUMBER(N117))),"Missing activity input",IF(AND(E117&lt;&gt;D117,OR(COUNTIFS('Sites'!$C$9:$C$108,E117)&lt;&gt;1,IFERROR(IF(INDEX('Sites'!$D$9:$D$108,MATCH(E117,'Sites'!$C$9:$C$108,0))="","",INDEX('Sites'!$D$9:$D$108,MATCH(E117,'Sites'!$C$9:$C$108,0))),"")&lt;&gt;IFERROR(IF(INDEX('Inventory'!$D$9:$D$108,MATCH(D117,'Inventory'!$C$9:$C$108,0))="","",INDEX('Inventory'!$D$9:$D$108,MATCH(D117,'Inventory'!$C$9:$C$108,0))),""),IFERROR(IF(INDEX('Sites'!$E$9:$E$108,MATCH(E117,'Sites'!$C$9:$C$108,0))="","",INDEX('Sites'!$E$9:$E$108,MATCH(E117,'Sites'!$C$9:$C$108,0))),"")&lt;&gt;W117)),"Site / entity mismatch",IF(N117&lt;'Settings'!$F$8,"Expired",IF(X117&lt;&gt;"Ready","Factor required",IF(OR(G117&lt;&gt;IFERROR(IF(INDEX('Factors'!$D$9:$D$108,MATCH(J117,'Factors'!$C$9:$C$108,0))="","",INDEX('Factors'!$D$9:$D$108,MATCH(J117,'Factors'!$C$9:$C$108,0))),""),I117&lt;&gt;P117,F117&lt;&gt;Q117,K117&lt;&gt;S117,AND(R117&lt;&gt;"Global",R117&lt;&gt;W117),K117&lt;&gt;YEAR(IFERROR(IF(INDEX('Inventory'!$H$9:$H$108,MATCH(D117,'Inventory'!$C$9:$C$108,0))="","",INDEX('Inventory'!$H$9:$H$108,MATCH(D117,'Inventory'!$C$9:$C$108,0))),""))),"Factor / boundary mismatch",IF(AND(F117="S2",IFERROR(IF(INDEX('Factors'!$I$9:$I$108,MATCH(J117,'Factors'!$C$9:$C$108,0))="","",INDEX('Factors'!$I$9:$I$108,MATCH(J117,'Factors'!$C$9:$C$108,0))),"")&lt;&gt;"Location-based"),"Use location factor",IF(M117&lt;&gt;"Actual","Estimation method review","Ready"))))))))))</x:f>
        <x:v>Ready</x:v>
      </x:c>
      <x:c r="W117" s="9" t="str">
        <x:f>IF(C117="","",IFERROR(IF(INDEX('Inventory'!$G$9:$G$108,MATCH(D117,'Inventory'!$C$9:$C$108,0))="","",INDEX('Inventory'!$G$9:$G$108,MATCH(D117,'Inventory'!$C$9:$C$108,0))),""))</x:f>
        <x:v>Jordan</x:v>
      </x:c>
      <x:c r="X117" s="9" t="str">
        <x:f>IF(C117="","",IFERROR(IF(INDEX('Factors'!$P$9:$P$108,MATCH(J117,'Factors'!$C$9:$C$108,0))="","",INDEX('Factors'!$P$9:$P$108,MATCH(J117,'Factors'!$C$9:$C$108,0))),""))</x:f>
        <x:v>Ready</x:v>
      </x:c>
    </x:row>
    <x:row r="118" ht="26" customHeight="1">
      <x:c r="A118" s="1"/>
      <x:c r="B118" s="1"/>
      <x:c r="C118" s="8" t="str">
        <x:v>ACT110</x:v>
      </x:c>
      <x:c r="D118" s="8" t="str">
        <x:v>A008</x:v>
      </x:c>
      <x:c r="E118" s="8" t="str">
        <x:v>A008</x:v>
      </x:c>
      <x:c r="F118" s="8" t="str">
        <x:v>S2</x:v>
      </x:c>
      <x:c r="G118" s="8" t="str">
        <x:v>Electricity</x:v>
      </x:c>
      <x:c r="H118" s="16" t="n">
        <x:v>80000</x:v>
      </x:c>
      <x:c r="I118" s="8" t="str">
        <x:v>kWh</x:v>
      </x:c>
      <x:c r="J118" s="8" t="str">
        <x:v>JO-GRID-26</x:v>
      </x:c>
      <x:c r="K118" s="22" t="n">
        <x:v>2026</x:v>
      </x:c>
      <x:c r="L118" s="8" t="str">
        <x:v>SYN-ACT-110</x:v>
      </x:c>
      <x:c r="M118" s="8" t="str">
        <x:v>Actual</x:v>
      </x:c>
      <x:c r="N118" s="40" t="n">
        <x:v>46752</x:v>
      </x:c>
      <x:c r="O118" s="41" t="n">
        <x:f>IF(C118="","",IFERROR(IF(INDEX('Factors'!$G$9:$G$108,MATCH(J118,'Factors'!$C$9:$C$108,0))="","",INDEX('Factors'!$G$9:$G$108,MATCH(J118,'Factors'!$C$9:$C$108,0))),""))</x:f>
        <x:v>0.43</x:v>
      </x:c>
      <x:c r="P118" s="9" t="str">
        <x:f>IF(C118="","",IFERROR(IF(INDEX('Factors'!$F$9:$F$108,MATCH(J118,'Factors'!$C$9:$C$108,0))="","",INDEX('Factors'!$F$9:$F$108,MATCH(J118,'Factors'!$C$9:$C$108,0))),""))</x:f>
        <x:v>kWh</x:v>
      </x:c>
      <x:c r="Q118" s="9" t="str">
        <x:f>IF(C118="","",IFERROR(IF(INDEX('Factors'!$H$9:$H$108,MATCH(J118,'Factors'!$C$9:$C$108,0))="","",INDEX('Factors'!$H$9:$H$108,MATCH(J118,'Factors'!$C$9:$C$108,0))),""))</x:f>
        <x:v>S2</x:v>
      </x:c>
      <x:c r="R118" s="9" t="str">
        <x:f>IF(C118="","",IFERROR(IF(INDEX('Factors'!$E$9:$E$108,MATCH(J118,'Factors'!$C$9:$C$108,0))="","",INDEX('Factors'!$E$9:$E$108,MATCH(J118,'Factors'!$C$9:$C$108,0))),""))</x:f>
        <x:v>Jordan</x:v>
      </x:c>
      <x:c r="S118" s="42" t="n">
        <x:f>IF(C118="","",IFERROR(IF(INDEX('Factors'!$J$9:$J$108,MATCH(J118,'Factors'!$C$9:$C$108,0))="","",INDEX('Factors'!$J$9:$J$108,MATCH(J118,'Factors'!$C$9:$C$108,0))),""))</x:f>
        <x:v>2026</x:v>
      </x:c>
      <x:c r="T118" s="9" t="str">
        <x:f>IF(C118="","",IFERROR(IF(INDEX('Factors'!$L$9:$L$108,MATCH(J118,'Factors'!$C$9:$C$108,0))="","",INDEX('Factors'!$L$9:$L$108,MATCH(J118,'Factors'!$C$9:$C$108,0))),"")&amp;" / "&amp;IFERROR(IF(INDEX('Factors'!$M$9:$M$108,MATCH(J118,'Factors'!$C$9:$C$108,0))="","",INDEX('Factors'!$M$9:$M$108,MATCH(J118,'Factors'!$C$9:$C$108,0))),""))</x:f>
        <x:v>SYNTHETIC DEMO / SYN-2026.1</x:v>
      </x:c>
      <x:c r="U118" s="21" t="n">
        <x:f>IF(V118="Ready",H118*O118/1000,"")</x:f>
        <x:v>34.4</x:v>
      </x:c>
      <x:c r="V118" s="9" t="str">
        <x:f>IF(C118="","",IF(OR(COUNTIFS($C$9:$C$308,C118)&lt;&gt;1,COUNTIFS($D$9:$D$308,D118,$E$9:$E$308,E118,$F$9:$F$308,F118,$G$9:$G$308,G118,$K$9:$K$308,K118)&lt;&gt;1),"Duplicate annual activity",IF(COUNTIFS('Inventory'!$C$9:$C$108,D118)&lt;&gt;1,"Entity required",IF(OR(E118="",L118="",NOT(ISNUMBER(H118)),H118&lt;0,NOT(ISNUMBER(K118)),NOT(ISNUMBER(N118))),"Missing activity input",IF(AND(E118&lt;&gt;D118,OR(COUNTIFS('Sites'!$C$9:$C$108,E118)&lt;&gt;1,IFERROR(IF(INDEX('Sites'!$D$9:$D$108,MATCH(E118,'Sites'!$C$9:$C$108,0))="","",INDEX('Sites'!$D$9:$D$108,MATCH(E118,'Sites'!$C$9:$C$108,0))),"")&lt;&gt;IFERROR(IF(INDEX('Inventory'!$D$9:$D$108,MATCH(D118,'Inventory'!$C$9:$C$108,0))="","",INDEX('Inventory'!$D$9:$D$108,MATCH(D118,'Inventory'!$C$9:$C$108,0))),""),IFERROR(IF(INDEX('Sites'!$E$9:$E$108,MATCH(E118,'Sites'!$C$9:$C$108,0))="","",INDEX('Sites'!$E$9:$E$108,MATCH(E118,'Sites'!$C$9:$C$108,0))),"")&lt;&gt;W118)),"Site / entity mismatch",IF(N118&lt;'Settings'!$F$8,"Expired",IF(X118&lt;&gt;"Ready","Factor required",IF(OR(G118&lt;&gt;IFERROR(IF(INDEX('Factors'!$D$9:$D$108,MATCH(J118,'Factors'!$C$9:$C$108,0))="","",INDEX('Factors'!$D$9:$D$108,MATCH(J118,'Factors'!$C$9:$C$108,0))),""),I118&lt;&gt;P118,F118&lt;&gt;Q118,K118&lt;&gt;S118,AND(R118&lt;&gt;"Global",R118&lt;&gt;W118),K118&lt;&gt;YEAR(IFERROR(IF(INDEX('Inventory'!$H$9:$H$108,MATCH(D118,'Inventory'!$C$9:$C$108,0))="","",INDEX('Inventory'!$H$9:$H$108,MATCH(D118,'Inventory'!$C$9:$C$108,0))),""))),"Factor / boundary mismatch",IF(AND(F118="S2",IFERROR(IF(INDEX('Factors'!$I$9:$I$108,MATCH(J118,'Factors'!$C$9:$C$108,0))="","",INDEX('Factors'!$I$9:$I$108,MATCH(J118,'Factors'!$C$9:$C$108,0))),"")&lt;&gt;"Location-based"),"Use location factor",IF(M118&lt;&gt;"Actual","Estimation method review","Ready"))))))))))</x:f>
        <x:v>Ready</x:v>
      </x:c>
      <x:c r="W118" s="9" t="str">
        <x:f>IF(C118="","",IFERROR(IF(INDEX('Inventory'!$G$9:$G$108,MATCH(D118,'Inventory'!$C$9:$C$108,0))="","",INDEX('Inventory'!$G$9:$G$108,MATCH(D118,'Inventory'!$C$9:$C$108,0))),""))</x:f>
        <x:v>Jordan</x:v>
      </x:c>
      <x:c r="X118" s="9" t="str">
        <x:f>IF(C118="","",IFERROR(IF(INDEX('Factors'!$P$9:$P$108,MATCH(J118,'Factors'!$C$9:$C$108,0))="","",INDEX('Factors'!$P$9:$P$108,MATCH(J118,'Factors'!$C$9:$C$108,0))),""))</x:f>
        <x:v>Ready</x:v>
      </x:c>
    </x:row>
    <x:row r="119" ht="26" customHeight="1">
      <x:c r="A119" s="1"/>
      <x:c r="B119" s="1"/>
      <x:c r="C119" s="8" t="str">
        <x:v>ACT111</x:v>
      </x:c>
      <x:c r="D119" s="8" t="str">
        <x:v>A009</x:v>
      </x:c>
      <x:c r="E119" s="8" t="str">
        <x:v>A009</x:v>
      </x:c>
      <x:c r="F119" s="8" t="str">
        <x:v>S1</x:v>
      </x:c>
      <x:c r="G119" s="8" t="str">
        <x:v>Diesel</x:v>
      </x:c>
      <x:c r="H119" s="16" t="n">
        <x:v>800000</x:v>
      </x:c>
      <x:c r="I119" s="8" t="str">
        <x:v>litre</x:v>
      </x:c>
      <x:c r="J119" s="8" t="str">
        <x:v>GLOBAL-DIESEL-26</x:v>
      </x:c>
      <x:c r="K119" s="22" t="n">
        <x:v>2026</x:v>
      </x:c>
      <x:c r="L119" s="8" t="str">
        <x:v>SYN-ACT-111</x:v>
      </x:c>
      <x:c r="M119" s="8" t="str">
        <x:v>Actual</x:v>
      </x:c>
      <x:c r="N119" s="40" t="n">
        <x:v>46752</x:v>
      </x:c>
      <x:c r="O119" s="41" t="n">
        <x:f>IF(C119="","",IFERROR(IF(INDEX('Factors'!$G$9:$G$108,MATCH(J119,'Factors'!$C$9:$C$108,0))="","",INDEX('Factors'!$G$9:$G$108,MATCH(J119,'Factors'!$C$9:$C$108,0))),""))</x:f>
        <x:v>2.68</x:v>
      </x:c>
      <x:c r="P119" s="9" t="str">
        <x:f>IF(C119="","",IFERROR(IF(INDEX('Factors'!$F$9:$F$108,MATCH(J119,'Factors'!$C$9:$C$108,0))="","",INDEX('Factors'!$F$9:$F$108,MATCH(J119,'Factors'!$C$9:$C$108,0))),""))</x:f>
        <x:v>litre</x:v>
      </x:c>
      <x:c r="Q119" s="9" t="str">
        <x:f>IF(C119="","",IFERROR(IF(INDEX('Factors'!$H$9:$H$108,MATCH(J119,'Factors'!$C$9:$C$108,0))="","",INDEX('Factors'!$H$9:$H$108,MATCH(J119,'Factors'!$C$9:$C$108,0))),""))</x:f>
        <x:v>S1</x:v>
      </x:c>
      <x:c r="R119" s="9" t="str">
        <x:f>IF(C119="","",IFERROR(IF(INDEX('Factors'!$E$9:$E$108,MATCH(J119,'Factors'!$C$9:$C$108,0))="","",INDEX('Factors'!$E$9:$E$108,MATCH(J119,'Factors'!$C$9:$C$108,0))),""))</x:f>
        <x:v>Global</x:v>
      </x:c>
      <x:c r="S119" s="42" t="n">
        <x:f>IF(C119="","",IFERROR(IF(INDEX('Factors'!$J$9:$J$108,MATCH(J119,'Factors'!$C$9:$C$108,0))="","",INDEX('Factors'!$J$9:$J$108,MATCH(J119,'Factors'!$C$9:$C$108,0))),""))</x:f>
        <x:v>2026</x:v>
      </x:c>
      <x:c r="T119" s="9" t="str">
        <x:f>IF(C119="","",IFERROR(IF(INDEX('Factors'!$L$9:$L$108,MATCH(J119,'Factors'!$C$9:$C$108,0))="","",INDEX('Factors'!$L$9:$L$108,MATCH(J119,'Factors'!$C$9:$C$108,0))),"")&amp;" / "&amp;IFERROR(IF(INDEX('Factors'!$M$9:$M$108,MATCH(J119,'Factors'!$C$9:$C$108,0))="","",INDEX('Factors'!$M$9:$M$108,MATCH(J119,'Factors'!$C$9:$C$108,0))),""))</x:f>
        <x:v>SYNTHETIC DEMO / SYN-2026.1</x:v>
      </x:c>
      <x:c r="U119" s="21" t="n">
        <x:f>IF(V119="Ready",H119*O119/1000,"")</x:f>
        <x:v>2144</x:v>
      </x:c>
      <x:c r="V119" s="9" t="str">
        <x:f>IF(C119="","",IF(OR(COUNTIFS($C$9:$C$308,C119)&lt;&gt;1,COUNTIFS($D$9:$D$308,D119,$E$9:$E$308,E119,$F$9:$F$308,F119,$G$9:$G$308,G119,$K$9:$K$308,K119)&lt;&gt;1),"Duplicate annual activity",IF(COUNTIFS('Inventory'!$C$9:$C$108,D119)&lt;&gt;1,"Entity required",IF(OR(E119="",L119="",NOT(ISNUMBER(H119)),H119&lt;0,NOT(ISNUMBER(K119)),NOT(ISNUMBER(N119))),"Missing activity input",IF(AND(E119&lt;&gt;D119,OR(COUNTIFS('Sites'!$C$9:$C$108,E119)&lt;&gt;1,IFERROR(IF(INDEX('Sites'!$D$9:$D$108,MATCH(E119,'Sites'!$C$9:$C$108,0))="","",INDEX('Sites'!$D$9:$D$108,MATCH(E119,'Sites'!$C$9:$C$108,0))),"")&lt;&gt;IFERROR(IF(INDEX('Inventory'!$D$9:$D$108,MATCH(D119,'Inventory'!$C$9:$C$108,0))="","",INDEX('Inventory'!$D$9:$D$108,MATCH(D119,'Inventory'!$C$9:$C$108,0))),""),IFERROR(IF(INDEX('Sites'!$E$9:$E$108,MATCH(E119,'Sites'!$C$9:$C$108,0))="","",INDEX('Sites'!$E$9:$E$108,MATCH(E119,'Sites'!$C$9:$C$108,0))),"")&lt;&gt;W119)),"Site / entity mismatch",IF(N119&lt;'Settings'!$F$8,"Expired",IF(X119&lt;&gt;"Ready","Factor required",IF(OR(G119&lt;&gt;IFERROR(IF(INDEX('Factors'!$D$9:$D$108,MATCH(J119,'Factors'!$C$9:$C$108,0))="","",INDEX('Factors'!$D$9:$D$108,MATCH(J119,'Factors'!$C$9:$C$108,0))),""),I119&lt;&gt;P119,F119&lt;&gt;Q119,K119&lt;&gt;S119,AND(R119&lt;&gt;"Global",R119&lt;&gt;W119),K119&lt;&gt;YEAR(IFERROR(IF(INDEX('Inventory'!$H$9:$H$108,MATCH(D119,'Inventory'!$C$9:$C$108,0))="","",INDEX('Inventory'!$H$9:$H$108,MATCH(D119,'Inventory'!$C$9:$C$108,0))),""))),"Factor / boundary mismatch",IF(AND(F119="S2",IFERROR(IF(INDEX('Factors'!$I$9:$I$108,MATCH(J119,'Factors'!$C$9:$C$108,0))="","",INDEX('Factors'!$I$9:$I$108,MATCH(J119,'Factors'!$C$9:$C$108,0))),"")&lt;&gt;"Location-based"),"Use location factor",IF(M119&lt;&gt;"Actual","Estimation method review","Ready"))))))))))</x:f>
        <x:v>Ready</x:v>
      </x:c>
      <x:c r="W119" s="9" t="str">
        <x:f>IF(C119="","",IFERROR(IF(INDEX('Inventory'!$G$9:$G$108,MATCH(D119,'Inventory'!$C$9:$C$108,0))="","",INDEX('Inventory'!$G$9:$G$108,MATCH(D119,'Inventory'!$C$9:$C$108,0))),""))</x:f>
        <x:v>Jordan</x:v>
      </x:c>
      <x:c r="X119" s="9" t="str">
        <x:f>IF(C119="","",IFERROR(IF(INDEX('Factors'!$P$9:$P$108,MATCH(J119,'Factors'!$C$9:$C$108,0))="","",INDEX('Factors'!$P$9:$P$108,MATCH(J119,'Factors'!$C$9:$C$108,0))),""))</x:f>
        <x:v>Ready</x:v>
      </x:c>
    </x:row>
    <x:row r="120" ht="26" customHeight="1">
      <x:c r="A120" s="1"/>
      <x:c r="B120" s="1"/>
      <x:c r="C120" s="8" t="str">
        <x:v>ACT112</x:v>
      </x:c>
      <x:c r="D120" s="8" t="str">
        <x:v>A009</x:v>
      </x:c>
      <x:c r="E120" s="8" t="str">
        <x:v>A009</x:v>
      </x:c>
      <x:c r="F120" s="8" t="str">
        <x:v>S2</x:v>
      </x:c>
      <x:c r="G120" s="8" t="str">
        <x:v>Electricity</x:v>
      </x:c>
      <x:c r="H120" s="16" t="n">
        <x:v>80000</x:v>
      </x:c>
      <x:c r="I120" s="8" t="str">
        <x:v>kWh</x:v>
      </x:c>
      <x:c r="J120" s="8" t="str">
        <x:v>JO-GRID-26</x:v>
      </x:c>
      <x:c r="K120" s="22" t="n">
        <x:v>2026</x:v>
      </x:c>
      <x:c r="L120" s="8" t="str">
        <x:v>SYN-ACT-112</x:v>
      </x:c>
      <x:c r="M120" s="8" t="str">
        <x:v>Actual</x:v>
      </x:c>
      <x:c r="N120" s="40" t="n">
        <x:v>46752</x:v>
      </x:c>
      <x:c r="O120" s="41" t="n">
        <x:f>IF(C120="","",IFERROR(IF(INDEX('Factors'!$G$9:$G$108,MATCH(J120,'Factors'!$C$9:$C$108,0))="","",INDEX('Factors'!$G$9:$G$108,MATCH(J120,'Factors'!$C$9:$C$108,0))),""))</x:f>
        <x:v>0.43</x:v>
      </x:c>
      <x:c r="P120" s="9" t="str">
        <x:f>IF(C120="","",IFERROR(IF(INDEX('Factors'!$F$9:$F$108,MATCH(J120,'Factors'!$C$9:$C$108,0))="","",INDEX('Factors'!$F$9:$F$108,MATCH(J120,'Factors'!$C$9:$C$108,0))),""))</x:f>
        <x:v>kWh</x:v>
      </x:c>
      <x:c r="Q120" s="9" t="str">
        <x:f>IF(C120="","",IFERROR(IF(INDEX('Factors'!$H$9:$H$108,MATCH(J120,'Factors'!$C$9:$C$108,0))="","",INDEX('Factors'!$H$9:$H$108,MATCH(J120,'Factors'!$C$9:$C$108,0))),""))</x:f>
        <x:v>S2</x:v>
      </x:c>
      <x:c r="R120" s="9" t="str">
        <x:f>IF(C120="","",IFERROR(IF(INDEX('Factors'!$E$9:$E$108,MATCH(J120,'Factors'!$C$9:$C$108,0))="","",INDEX('Factors'!$E$9:$E$108,MATCH(J120,'Factors'!$C$9:$C$108,0))),""))</x:f>
        <x:v>Jordan</x:v>
      </x:c>
      <x:c r="S120" s="42" t="n">
        <x:f>IF(C120="","",IFERROR(IF(INDEX('Factors'!$J$9:$J$108,MATCH(J120,'Factors'!$C$9:$C$108,0))="","",INDEX('Factors'!$J$9:$J$108,MATCH(J120,'Factors'!$C$9:$C$108,0))),""))</x:f>
        <x:v>2026</x:v>
      </x:c>
      <x:c r="T120" s="9" t="str">
        <x:f>IF(C120="","",IFERROR(IF(INDEX('Factors'!$L$9:$L$108,MATCH(J120,'Factors'!$C$9:$C$108,0))="","",INDEX('Factors'!$L$9:$L$108,MATCH(J120,'Factors'!$C$9:$C$108,0))),"")&amp;" / "&amp;IFERROR(IF(INDEX('Factors'!$M$9:$M$108,MATCH(J120,'Factors'!$C$9:$C$108,0))="","",INDEX('Factors'!$M$9:$M$108,MATCH(J120,'Factors'!$C$9:$C$108,0))),""))</x:f>
        <x:v>SYNTHETIC DEMO / SYN-2026.1</x:v>
      </x:c>
      <x:c r="U120" s="21" t="n">
        <x:f>IF(V120="Ready",H120*O120/1000,"")</x:f>
        <x:v>34.4</x:v>
      </x:c>
      <x:c r="V120" s="9" t="str">
        <x:f>IF(C120="","",IF(OR(COUNTIFS($C$9:$C$308,C120)&lt;&gt;1,COUNTIFS($D$9:$D$308,D120,$E$9:$E$308,E120,$F$9:$F$308,F120,$G$9:$G$308,G120,$K$9:$K$308,K120)&lt;&gt;1),"Duplicate annual activity",IF(COUNTIFS('Inventory'!$C$9:$C$108,D120)&lt;&gt;1,"Entity required",IF(OR(E120="",L120="",NOT(ISNUMBER(H120)),H120&lt;0,NOT(ISNUMBER(K120)),NOT(ISNUMBER(N120))),"Missing activity input",IF(AND(E120&lt;&gt;D120,OR(COUNTIFS('Sites'!$C$9:$C$108,E120)&lt;&gt;1,IFERROR(IF(INDEX('Sites'!$D$9:$D$108,MATCH(E120,'Sites'!$C$9:$C$108,0))="","",INDEX('Sites'!$D$9:$D$108,MATCH(E120,'Sites'!$C$9:$C$108,0))),"")&lt;&gt;IFERROR(IF(INDEX('Inventory'!$D$9:$D$108,MATCH(D120,'Inventory'!$C$9:$C$108,0))="","",INDEX('Inventory'!$D$9:$D$108,MATCH(D120,'Inventory'!$C$9:$C$108,0))),""),IFERROR(IF(INDEX('Sites'!$E$9:$E$108,MATCH(E120,'Sites'!$C$9:$C$108,0))="","",INDEX('Sites'!$E$9:$E$108,MATCH(E120,'Sites'!$C$9:$C$108,0))),"")&lt;&gt;W120)),"Site / entity mismatch",IF(N120&lt;'Settings'!$F$8,"Expired",IF(X120&lt;&gt;"Ready","Factor required",IF(OR(G120&lt;&gt;IFERROR(IF(INDEX('Factors'!$D$9:$D$108,MATCH(J120,'Factors'!$C$9:$C$108,0))="","",INDEX('Factors'!$D$9:$D$108,MATCH(J120,'Factors'!$C$9:$C$108,0))),""),I120&lt;&gt;P120,F120&lt;&gt;Q120,K120&lt;&gt;S120,AND(R120&lt;&gt;"Global",R120&lt;&gt;W120),K120&lt;&gt;YEAR(IFERROR(IF(INDEX('Inventory'!$H$9:$H$108,MATCH(D120,'Inventory'!$C$9:$C$108,0))="","",INDEX('Inventory'!$H$9:$H$108,MATCH(D120,'Inventory'!$C$9:$C$108,0))),""))),"Factor / boundary mismatch",IF(AND(F120="S2",IFERROR(IF(INDEX('Factors'!$I$9:$I$108,MATCH(J120,'Factors'!$C$9:$C$108,0))="","",INDEX('Factors'!$I$9:$I$108,MATCH(J120,'Factors'!$C$9:$C$108,0))),"")&lt;&gt;"Location-based"),"Use location factor",IF(M120&lt;&gt;"Actual","Estimation method review","Ready"))))))))))</x:f>
        <x:v>Ready</x:v>
      </x:c>
      <x:c r="W120" s="9" t="str">
        <x:f>IF(C120="","",IFERROR(IF(INDEX('Inventory'!$G$9:$G$108,MATCH(D120,'Inventory'!$C$9:$C$108,0))="","",INDEX('Inventory'!$G$9:$G$108,MATCH(D120,'Inventory'!$C$9:$C$108,0))),""))</x:f>
        <x:v>Jordan</x:v>
      </x:c>
      <x:c r="X120" s="9" t="str">
        <x:f>IF(C120="","",IFERROR(IF(INDEX('Factors'!$P$9:$P$108,MATCH(J120,'Factors'!$C$9:$C$108,0))="","",INDEX('Factors'!$P$9:$P$108,MATCH(J120,'Factors'!$C$9:$C$108,0))),""))</x:f>
        <x:v>Ready</x:v>
      </x:c>
    </x:row>
    <x:row r="121" ht="26" customHeight="1">
      <x:c r="A121" s="1"/>
      <x:c r="B121" s="1"/>
      <x:c r="C121" s="8" t="str">
        <x:v>ACT113</x:v>
      </x:c>
      <x:c r="D121" s="8" t="str">
        <x:v>A011</x:v>
      </x:c>
      <x:c r="E121" s="8" t="str">
        <x:v>A011</x:v>
      </x:c>
      <x:c r="F121" s="8" t="str">
        <x:v>S1</x:v>
      </x:c>
      <x:c r="G121" s="8" t="str">
        <x:v>Diesel</x:v>
      </x:c>
      <x:c r="H121" s="16" t="n">
        <x:v>10000</x:v>
      </x:c>
      <x:c r="I121" s="8" t="str">
        <x:v>litre</x:v>
      </x:c>
      <x:c r="J121" s="8" t="str">
        <x:v>GLOBAL-DIESEL-26</x:v>
      </x:c>
      <x:c r="K121" s="22" t="n">
        <x:v>2026</x:v>
      </x:c>
      <x:c r="L121" s="8" t="str">
        <x:v>SYN-ACT-113</x:v>
      </x:c>
      <x:c r="M121" s="8" t="str">
        <x:v>Actual</x:v>
      </x:c>
      <x:c r="N121" s="40" t="n">
        <x:v>46752</x:v>
      </x:c>
      <x:c r="O121" s="41" t="n">
        <x:f>IF(C121="","",IFERROR(IF(INDEX('Factors'!$G$9:$G$108,MATCH(J121,'Factors'!$C$9:$C$108,0))="","",INDEX('Factors'!$G$9:$G$108,MATCH(J121,'Factors'!$C$9:$C$108,0))),""))</x:f>
        <x:v>2.68</x:v>
      </x:c>
      <x:c r="P121" s="9" t="str">
        <x:f>IF(C121="","",IFERROR(IF(INDEX('Factors'!$F$9:$F$108,MATCH(J121,'Factors'!$C$9:$C$108,0))="","",INDEX('Factors'!$F$9:$F$108,MATCH(J121,'Factors'!$C$9:$C$108,0))),""))</x:f>
        <x:v>litre</x:v>
      </x:c>
      <x:c r="Q121" s="9" t="str">
        <x:f>IF(C121="","",IFERROR(IF(INDEX('Factors'!$H$9:$H$108,MATCH(J121,'Factors'!$C$9:$C$108,0))="","",INDEX('Factors'!$H$9:$H$108,MATCH(J121,'Factors'!$C$9:$C$108,0))),""))</x:f>
        <x:v>S1</x:v>
      </x:c>
      <x:c r="R121" s="9" t="str">
        <x:f>IF(C121="","",IFERROR(IF(INDEX('Factors'!$E$9:$E$108,MATCH(J121,'Factors'!$C$9:$C$108,0))="","",INDEX('Factors'!$E$9:$E$108,MATCH(J121,'Factors'!$C$9:$C$108,0))),""))</x:f>
        <x:v>Global</x:v>
      </x:c>
      <x:c r="S121" s="42" t="n">
        <x:f>IF(C121="","",IFERROR(IF(INDEX('Factors'!$J$9:$J$108,MATCH(J121,'Factors'!$C$9:$C$108,0))="","",INDEX('Factors'!$J$9:$J$108,MATCH(J121,'Factors'!$C$9:$C$108,0))),""))</x:f>
        <x:v>2026</x:v>
      </x:c>
      <x:c r="T121" s="9" t="str">
        <x:f>IF(C121="","",IFERROR(IF(INDEX('Factors'!$L$9:$L$108,MATCH(J121,'Factors'!$C$9:$C$108,0))="","",INDEX('Factors'!$L$9:$L$108,MATCH(J121,'Factors'!$C$9:$C$108,0))),"")&amp;" / "&amp;IFERROR(IF(INDEX('Factors'!$M$9:$M$108,MATCH(J121,'Factors'!$C$9:$C$108,0))="","",INDEX('Factors'!$M$9:$M$108,MATCH(J121,'Factors'!$C$9:$C$108,0))),""))</x:f>
        <x:v>SYNTHETIC DEMO / SYN-2026.1</x:v>
      </x:c>
      <x:c r="U121" s="21" t="n">
        <x:f>IF(V121="Ready",H121*O121/1000,"")</x:f>
        <x:v>26.8</x:v>
      </x:c>
      <x:c r="V121" s="9" t="str">
        <x:f>IF(C121="","",IF(OR(COUNTIFS($C$9:$C$308,C121)&lt;&gt;1,COUNTIFS($D$9:$D$308,D121,$E$9:$E$308,E121,$F$9:$F$308,F121,$G$9:$G$308,G121,$K$9:$K$308,K121)&lt;&gt;1),"Duplicate annual activity",IF(COUNTIFS('Inventory'!$C$9:$C$108,D121)&lt;&gt;1,"Entity required",IF(OR(E121="",L121="",NOT(ISNUMBER(H121)),H121&lt;0,NOT(ISNUMBER(K121)),NOT(ISNUMBER(N121))),"Missing activity input",IF(AND(E121&lt;&gt;D121,OR(COUNTIFS('Sites'!$C$9:$C$108,E121)&lt;&gt;1,IFERROR(IF(INDEX('Sites'!$D$9:$D$108,MATCH(E121,'Sites'!$C$9:$C$108,0))="","",INDEX('Sites'!$D$9:$D$108,MATCH(E121,'Sites'!$C$9:$C$108,0))),"")&lt;&gt;IFERROR(IF(INDEX('Inventory'!$D$9:$D$108,MATCH(D121,'Inventory'!$C$9:$C$108,0))="","",INDEX('Inventory'!$D$9:$D$108,MATCH(D121,'Inventory'!$C$9:$C$108,0))),""),IFERROR(IF(INDEX('Sites'!$E$9:$E$108,MATCH(E121,'Sites'!$C$9:$C$108,0))="","",INDEX('Sites'!$E$9:$E$108,MATCH(E121,'Sites'!$C$9:$C$108,0))),"")&lt;&gt;W121)),"Site / entity mismatch",IF(N121&lt;'Settings'!$F$8,"Expired",IF(X121&lt;&gt;"Ready","Factor required",IF(OR(G121&lt;&gt;IFERROR(IF(INDEX('Factors'!$D$9:$D$108,MATCH(J121,'Factors'!$C$9:$C$108,0))="","",INDEX('Factors'!$D$9:$D$108,MATCH(J121,'Factors'!$C$9:$C$108,0))),""),I121&lt;&gt;P121,F121&lt;&gt;Q121,K121&lt;&gt;S121,AND(R121&lt;&gt;"Global",R121&lt;&gt;W121),K121&lt;&gt;YEAR(IFERROR(IF(INDEX('Inventory'!$H$9:$H$108,MATCH(D121,'Inventory'!$C$9:$C$108,0))="","",INDEX('Inventory'!$H$9:$H$108,MATCH(D121,'Inventory'!$C$9:$C$108,0))),""))),"Factor / boundary mismatch",IF(AND(F121="S2",IFERROR(IF(INDEX('Factors'!$I$9:$I$108,MATCH(J121,'Factors'!$C$9:$C$108,0))="","",INDEX('Factors'!$I$9:$I$108,MATCH(J121,'Factors'!$C$9:$C$108,0))),"")&lt;&gt;"Location-based"),"Use location factor",IF(M121&lt;&gt;"Actual","Estimation method review","Ready"))))))))))</x:f>
        <x:v>Ready</x:v>
      </x:c>
      <x:c r="W121" s="9" t="str">
        <x:f>IF(C121="","",IFERROR(IF(INDEX('Inventory'!$G$9:$G$108,MATCH(D121,'Inventory'!$C$9:$C$108,0))="","",INDEX('Inventory'!$G$9:$G$108,MATCH(D121,'Inventory'!$C$9:$C$108,0))),""))</x:f>
        <x:v>Jordan</x:v>
      </x:c>
      <x:c r="X121" s="9" t="str">
        <x:f>IF(C121="","",IFERROR(IF(INDEX('Factors'!$P$9:$P$108,MATCH(J121,'Factors'!$C$9:$C$108,0))="","",INDEX('Factors'!$P$9:$P$108,MATCH(J121,'Factors'!$C$9:$C$108,0))),""))</x:f>
        <x:v>Ready</x:v>
      </x:c>
    </x:row>
    <x:row r="122" ht="26" customHeight="1">
      <x:c r="A122" s="1"/>
      <x:c r="B122" s="1"/>
      <x:c r="C122" s="8" t="str">
        <x:v>ACT114</x:v>
      </x:c>
      <x:c r="D122" s="8" t="str">
        <x:v>A011</x:v>
      </x:c>
      <x:c r="E122" s="8" t="str">
        <x:v>A011</x:v>
      </x:c>
      <x:c r="F122" s="8" t="str">
        <x:v>S2</x:v>
      </x:c>
      <x:c r="G122" s="8" t="str">
        <x:v>Electricity</x:v>
      </x:c>
      <x:c r="H122" s="16" t="n">
        <x:v>1500000</x:v>
      </x:c>
      <x:c r="I122" s="8" t="str">
        <x:v>kWh</x:v>
      </x:c>
      <x:c r="J122" s="8" t="str">
        <x:v>JO-GRID-26</x:v>
      </x:c>
      <x:c r="K122" s="22" t="n">
        <x:v>2026</x:v>
      </x:c>
      <x:c r="L122" s="8" t="str">
        <x:v>SYN-ACT-114</x:v>
      </x:c>
      <x:c r="M122" s="8" t="str">
        <x:v>Actual</x:v>
      </x:c>
      <x:c r="N122" s="40" t="n">
        <x:v>46752</x:v>
      </x:c>
      <x:c r="O122" s="41" t="n">
        <x:f>IF(C122="","",IFERROR(IF(INDEX('Factors'!$G$9:$G$108,MATCH(J122,'Factors'!$C$9:$C$108,0))="","",INDEX('Factors'!$G$9:$G$108,MATCH(J122,'Factors'!$C$9:$C$108,0))),""))</x:f>
        <x:v>0.43</x:v>
      </x:c>
      <x:c r="P122" s="9" t="str">
        <x:f>IF(C122="","",IFERROR(IF(INDEX('Factors'!$F$9:$F$108,MATCH(J122,'Factors'!$C$9:$C$108,0))="","",INDEX('Factors'!$F$9:$F$108,MATCH(J122,'Factors'!$C$9:$C$108,0))),""))</x:f>
        <x:v>kWh</x:v>
      </x:c>
      <x:c r="Q122" s="9" t="str">
        <x:f>IF(C122="","",IFERROR(IF(INDEX('Factors'!$H$9:$H$108,MATCH(J122,'Factors'!$C$9:$C$108,0))="","",INDEX('Factors'!$H$9:$H$108,MATCH(J122,'Factors'!$C$9:$C$108,0))),""))</x:f>
        <x:v>S2</x:v>
      </x:c>
      <x:c r="R122" s="9" t="str">
        <x:f>IF(C122="","",IFERROR(IF(INDEX('Factors'!$E$9:$E$108,MATCH(J122,'Factors'!$C$9:$C$108,0))="","",INDEX('Factors'!$E$9:$E$108,MATCH(J122,'Factors'!$C$9:$C$108,0))),""))</x:f>
        <x:v>Jordan</x:v>
      </x:c>
      <x:c r="S122" s="42" t="n">
        <x:f>IF(C122="","",IFERROR(IF(INDEX('Factors'!$J$9:$J$108,MATCH(J122,'Factors'!$C$9:$C$108,0))="","",INDEX('Factors'!$J$9:$J$108,MATCH(J122,'Factors'!$C$9:$C$108,0))),""))</x:f>
        <x:v>2026</x:v>
      </x:c>
      <x:c r="T122" s="9" t="str">
        <x:f>IF(C122="","",IFERROR(IF(INDEX('Factors'!$L$9:$L$108,MATCH(J122,'Factors'!$C$9:$C$108,0))="","",INDEX('Factors'!$L$9:$L$108,MATCH(J122,'Factors'!$C$9:$C$108,0))),"")&amp;" / "&amp;IFERROR(IF(INDEX('Factors'!$M$9:$M$108,MATCH(J122,'Factors'!$C$9:$C$108,0))="","",INDEX('Factors'!$M$9:$M$108,MATCH(J122,'Factors'!$C$9:$C$108,0))),""))</x:f>
        <x:v>SYNTHETIC DEMO / SYN-2026.1</x:v>
      </x:c>
      <x:c r="U122" s="21" t="n">
        <x:f>IF(V122="Ready",H122*O122/1000,"")</x:f>
        <x:v>645</x:v>
      </x:c>
      <x:c r="V122" s="9" t="str">
        <x:f>IF(C122="","",IF(OR(COUNTIFS($C$9:$C$308,C122)&lt;&gt;1,COUNTIFS($D$9:$D$308,D122,$E$9:$E$308,E122,$F$9:$F$308,F122,$G$9:$G$308,G122,$K$9:$K$308,K122)&lt;&gt;1),"Duplicate annual activity",IF(COUNTIFS('Inventory'!$C$9:$C$108,D122)&lt;&gt;1,"Entity required",IF(OR(E122="",L122="",NOT(ISNUMBER(H122)),H122&lt;0,NOT(ISNUMBER(K122)),NOT(ISNUMBER(N122))),"Missing activity input",IF(AND(E122&lt;&gt;D122,OR(COUNTIFS('Sites'!$C$9:$C$108,E122)&lt;&gt;1,IFERROR(IF(INDEX('Sites'!$D$9:$D$108,MATCH(E122,'Sites'!$C$9:$C$108,0))="","",INDEX('Sites'!$D$9:$D$108,MATCH(E122,'Sites'!$C$9:$C$108,0))),"")&lt;&gt;IFERROR(IF(INDEX('Inventory'!$D$9:$D$108,MATCH(D122,'Inventory'!$C$9:$C$108,0))="","",INDEX('Inventory'!$D$9:$D$108,MATCH(D122,'Inventory'!$C$9:$C$108,0))),""),IFERROR(IF(INDEX('Sites'!$E$9:$E$108,MATCH(E122,'Sites'!$C$9:$C$108,0))="","",INDEX('Sites'!$E$9:$E$108,MATCH(E122,'Sites'!$C$9:$C$108,0))),"")&lt;&gt;W122)),"Site / entity mismatch",IF(N122&lt;'Settings'!$F$8,"Expired",IF(X122&lt;&gt;"Ready","Factor required",IF(OR(G122&lt;&gt;IFERROR(IF(INDEX('Factors'!$D$9:$D$108,MATCH(J122,'Factors'!$C$9:$C$108,0))="","",INDEX('Factors'!$D$9:$D$108,MATCH(J122,'Factors'!$C$9:$C$108,0))),""),I122&lt;&gt;P122,F122&lt;&gt;Q122,K122&lt;&gt;S122,AND(R122&lt;&gt;"Global",R122&lt;&gt;W122),K122&lt;&gt;YEAR(IFERROR(IF(INDEX('Inventory'!$H$9:$H$108,MATCH(D122,'Inventory'!$C$9:$C$108,0))="","",INDEX('Inventory'!$H$9:$H$108,MATCH(D122,'Inventory'!$C$9:$C$108,0))),""))),"Factor / boundary mismatch",IF(AND(F122="S2",IFERROR(IF(INDEX('Factors'!$I$9:$I$108,MATCH(J122,'Factors'!$C$9:$C$108,0))="","",INDEX('Factors'!$I$9:$I$108,MATCH(J122,'Factors'!$C$9:$C$108,0))),"")&lt;&gt;"Location-based"),"Use location factor",IF(M122&lt;&gt;"Actual","Estimation method review","Ready"))))))))))</x:f>
        <x:v>Ready</x:v>
      </x:c>
      <x:c r="W122" s="9" t="str">
        <x:f>IF(C122="","",IFERROR(IF(INDEX('Inventory'!$G$9:$G$108,MATCH(D122,'Inventory'!$C$9:$C$108,0))="","",INDEX('Inventory'!$G$9:$G$108,MATCH(D122,'Inventory'!$C$9:$C$108,0))),""))</x:f>
        <x:v>Jordan</x:v>
      </x:c>
      <x:c r="X122" s="9" t="str">
        <x:f>IF(C122="","",IFERROR(IF(INDEX('Factors'!$P$9:$P$108,MATCH(J122,'Factors'!$C$9:$C$108,0))="","",INDEX('Factors'!$P$9:$P$108,MATCH(J122,'Factors'!$C$9:$C$108,0))),""))</x:f>
        <x:v>Ready</x:v>
      </x:c>
    </x:row>
    <x:row r="123" ht="26" customHeight="1">
      <x:c r="A123" s="1"/>
      <x:c r="B123" s="1"/>
      <x:c r="C123" s="8"/>
      <x:c r="D123" s="8"/>
      <x:c r="E123" s="8"/>
      <x:c r="F123" s="8"/>
      <x:c r="G123" s="8"/>
      <x:c r="H123" s="16"/>
      <x:c r="I123" s="8"/>
      <x:c r="J123" s="8"/>
      <x:c r="K123" s="22"/>
      <x:c r="L123" s="8"/>
      <x:c r="M123" s="8"/>
      <x:c r="N123" s="40"/>
      <x:c r="O123" s="41" t="str">
        <x:f>IF(C123="","",IFERROR(IF(INDEX('Factors'!$G$9:$G$108,MATCH(J123,'Factors'!$C$9:$C$108,0))="","",INDEX('Factors'!$G$9:$G$108,MATCH(J123,'Factors'!$C$9:$C$108,0))),""))</x:f>
      </x:c>
      <x:c r="P123" s="9" t="str">
        <x:f>IF(C123="","",IFERROR(IF(INDEX('Factors'!$F$9:$F$108,MATCH(J123,'Factors'!$C$9:$C$108,0))="","",INDEX('Factors'!$F$9:$F$108,MATCH(J123,'Factors'!$C$9:$C$108,0))),""))</x:f>
      </x:c>
      <x:c r="Q123" s="9" t="str">
        <x:f>IF(C123="","",IFERROR(IF(INDEX('Factors'!$H$9:$H$108,MATCH(J123,'Factors'!$C$9:$C$108,0))="","",INDEX('Factors'!$H$9:$H$108,MATCH(J123,'Factors'!$C$9:$C$108,0))),""))</x:f>
      </x:c>
      <x:c r="R123" s="9" t="str">
        <x:f>IF(C123="","",IFERROR(IF(INDEX('Factors'!$E$9:$E$108,MATCH(J123,'Factors'!$C$9:$C$108,0))="","",INDEX('Factors'!$E$9:$E$108,MATCH(J123,'Factors'!$C$9:$C$108,0))),""))</x:f>
      </x:c>
      <x:c r="S123" s="42" t="str">
        <x:f>IF(C123="","",IFERROR(IF(INDEX('Factors'!$J$9:$J$108,MATCH(J123,'Factors'!$C$9:$C$108,0))="","",INDEX('Factors'!$J$9:$J$108,MATCH(J123,'Factors'!$C$9:$C$108,0))),""))</x:f>
      </x:c>
      <x:c r="T123" s="9" t="str">
        <x:f>IF(C123="","",IFERROR(IF(INDEX('Factors'!$L$9:$L$108,MATCH(J123,'Factors'!$C$9:$C$108,0))="","",INDEX('Factors'!$L$9:$L$108,MATCH(J123,'Factors'!$C$9:$C$108,0))),"")&amp;" / "&amp;IFERROR(IF(INDEX('Factors'!$M$9:$M$108,MATCH(J123,'Factors'!$C$9:$C$108,0))="","",INDEX('Factors'!$M$9:$M$108,MATCH(J123,'Factors'!$C$9:$C$108,0))),""))</x:f>
      </x:c>
      <x:c r="U123" s="21" t="str">
        <x:f>IF(V123="Ready",H123*O123/1000,"")</x:f>
      </x:c>
      <x:c r="V123" s="9" t="str">
        <x:f>IF(C123="","",IF(OR(COUNTIFS($C$9:$C$308,C123)&lt;&gt;1,COUNTIFS($D$9:$D$308,D123,$E$9:$E$308,E123,$F$9:$F$308,F123,$G$9:$G$308,G123,$K$9:$K$308,K123)&lt;&gt;1),"Duplicate annual activity",IF(COUNTIFS('Inventory'!$C$9:$C$108,D123)&lt;&gt;1,"Entity required",IF(OR(E123="",L123="",NOT(ISNUMBER(H123)),H123&lt;0,NOT(ISNUMBER(K123)),NOT(ISNUMBER(N123))),"Missing activity input",IF(AND(E123&lt;&gt;D123,OR(COUNTIFS('Sites'!$C$9:$C$108,E123)&lt;&gt;1,IFERROR(IF(INDEX('Sites'!$D$9:$D$108,MATCH(E123,'Sites'!$C$9:$C$108,0))="","",INDEX('Sites'!$D$9:$D$108,MATCH(E123,'Sites'!$C$9:$C$108,0))),"")&lt;&gt;IFERROR(IF(INDEX('Inventory'!$D$9:$D$108,MATCH(D123,'Inventory'!$C$9:$C$108,0))="","",INDEX('Inventory'!$D$9:$D$108,MATCH(D123,'Inventory'!$C$9:$C$108,0))),""),IFERROR(IF(INDEX('Sites'!$E$9:$E$108,MATCH(E123,'Sites'!$C$9:$C$108,0))="","",INDEX('Sites'!$E$9:$E$108,MATCH(E123,'Sites'!$C$9:$C$108,0))),"")&lt;&gt;W123)),"Site / entity mismatch",IF(N123&lt;'Settings'!$F$8,"Expired",IF(X123&lt;&gt;"Ready","Factor required",IF(OR(G123&lt;&gt;IFERROR(IF(INDEX('Factors'!$D$9:$D$108,MATCH(J123,'Factors'!$C$9:$C$108,0))="","",INDEX('Factors'!$D$9:$D$108,MATCH(J123,'Factors'!$C$9:$C$108,0))),""),I123&lt;&gt;P123,F123&lt;&gt;Q123,K123&lt;&gt;S123,AND(R123&lt;&gt;"Global",R123&lt;&gt;W123),K123&lt;&gt;YEAR(IFERROR(IF(INDEX('Inventory'!$H$9:$H$108,MATCH(D123,'Inventory'!$C$9:$C$108,0))="","",INDEX('Inventory'!$H$9:$H$108,MATCH(D123,'Inventory'!$C$9:$C$108,0))),""))),"Factor / boundary mismatch",IF(AND(F123="S2",IFERROR(IF(INDEX('Factors'!$I$9:$I$108,MATCH(J123,'Factors'!$C$9:$C$108,0))="","",INDEX('Factors'!$I$9:$I$108,MATCH(J123,'Factors'!$C$9:$C$108,0))),"")&lt;&gt;"Location-based"),"Use location factor",IF(M123&lt;&gt;"Actual","Estimation method review","Ready"))))))))))</x:f>
      </x:c>
      <x:c r="W123" s="9" t="str">
        <x:f>IF(C123="","",IFERROR(IF(INDEX('Inventory'!$G$9:$G$108,MATCH(D123,'Inventory'!$C$9:$C$108,0))="","",INDEX('Inventory'!$G$9:$G$108,MATCH(D123,'Inventory'!$C$9:$C$108,0))),""))</x:f>
      </x:c>
      <x:c r="X123" s="9" t="str">
        <x:f>IF(C123="","",IFERROR(IF(INDEX('Factors'!$P$9:$P$108,MATCH(J123,'Factors'!$C$9:$C$108,0))="","",INDEX('Factors'!$P$9:$P$108,MATCH(J123,'Factors'!$C$9:$C$108,0))),""))</x:f>
      </x:c>
    </x:row>
    <x:row r="124" ht="26" customHeight="1">
      <x:c r="A124" s="1"/>
      <x:c r="B124" s="1"/>
      <x:c r="C124" s="8"/>
      <x:c r="D124" s="8"/>
      <x:c r="E124" s="8"/>
      <x:c r="F124" s="8"/>
      <x:c r="G124" s="8"/>
      <x:c r="H124" s="16"/>
      <x:c r="I124" s="8"/>
      <x:c r="J124" s="8"/>
      <x:c r="K124" s="22"/>
      <x:c r="L124" s="8"/>
      <x:c r="M124" s="8"/>
      <x:c r="N124" s="40"/>
      <x:c r="O124" s="41" t="str">
        <x:f>IF(C124="","",IFERROR(IF(INDEX('Factors'!$G$9:$G$108,MATCH(J124,'Factors'!$C$9:$C$108,0))="","",INDEX('Factors'!$G$9:$G$108,MATCH(J124,'Factors'!$C$9:$C$108,0))),""))</x:f>
      </x:c>
      <x:c r="P124" s="9" t="str">
        <x:f>IF(C124="","",IFERROR(IF(INDEX('Factors'!$F$9:$F$108,MATCH(J124,'Factors'!$C$9:$C$108,0))="","",INDEX('Factors'!$F$9:$F$108,MATCH(J124,'Factors'!$C$9:$C$108,0))),""))</x:f>
      </x:c>
      <x:c r="Q124" s="9" t="str">
        <x:f>IF(C124="","",IFERROR(IF(INDEX('Factors'!$H$9:$H$108,MATCH(J124,'Factors'!$C$9:$C$108,0))="","",INDEX('Factors'!$H$9:$H$108,MATCH(J124,'Factors'!$C$9:$C$108,0))),""))</x:f>
      </x:c>
      <x:c r="R124" s="9" t="str">
        <x:f>IF(C124="","",IFERROR(IF(INDEX('Factors'!$E$9:$E$108,MATCH(J124,'Factors'!$C$9:$C$108,0))="","",INDEX('Factors'!$E$9:$E$108,MATCH(J124,'Factors'!$C$9:$C$108,0))),""))</x:f>
      </x:c>
      <x:c r="S124" s="42" t="str">
        <x:f>IF(C124="","",IFERROR(IF(INDEX('Factors'!$J$9:$J$108,MATCH(J124,'Factors'!$C$9:$C$108,0))="","",INDEX('Factors'!$J$9:$J$108,MATCH(J124,'Factors'!$C$9:$C$108,0))),""))</x:f>
      </x:c>
      <x:c r="T124" s="9" t="str">
        <x:f>IF(C124="","",IFERROR(IF(INDEX('Factors'!$L$9:$L$108,MATCH(J124,'Factors'!$C$9:$C$108,0))="","",INDEX('Factors'!$L$9:$L$108,MATCH(J124,'Factors'!$C$9:$C$108,0))),"")&amp;" / "&amp;IFERROR(IF(INDEX('Factors'!$M$9:$M$108,MATCH(J124,'Factors'!$C$9:$C$108,0))="","",INDEX('Factors'!$M$9:$M$108,MATCH(J124,'Factors'!$C$9:$C$108,0))),""))</x:f>
      </x:c>
      <x:c r="U124" s="21" t="str">
        <x:f>IF(V124="Ready",H124*O124/1000,"")</x:f>
      </x:c>
      <x:c r="V124" s="9" t="str">
        <x:f>IF(C124="","",IF(OR(COUNTIFS($C$9:$C$308,C124)&lt;&gt;1,COUNTIFS($D$9:$D$308,D124,$E$9:$E$308,E124,$F$9:$F$308,F124,$G$9:$G$308,G124,$K$9:$K$308,K124)&lt;&gt;1),"Duplicate annual activity",IF(COUNTIFS('Inventory'!$C$9:$C$108,D124)&lt;&gt;1,"Entity required",IF(OR(E124="",L124="",NOT(ISNUMBER(H124)),H124&lt;0,NOT(ISNUMBER(K124)),NOT(ISNUMBER(N124))),"Missing activity input",IF(AND(E124&lt;&gt;D124,OR(COUNTIFS('Sites'!$C$9:$C$108,E124)&lt;&gt;1,IFERROR(IF(INDEX('Sites'!$D$9:$D$108,MATCH(E124,'Sites'!$C$9:$C$108,0))="","",INDEX('Sites'!$D$9:$D$108,MATCH(E124,'Sites'!$C$9:$C$108,0))),"")&lt;&gt;IFERROR(IF(INDEX('Inventory'!$D$9:$D$108,MATCH(D124,'Inventory'!$C$9:$C$108,0))="","",INDEX('Inventory'!$D$9:$D$108,MATCH(D124,'Inventory'!$C$9:$C$108,0))),""),IFERROR(IF(INDEX('Sites'!$E$9:$E$108,MATCH(E124,'Sites'!$C$9:$C$108,0))="","",INDEX('Sites'!$E$9:$E$108,MATCH(E124,'Sites'!$C$9:$C$108,0))),"")&lt;&gt;W124)),"Site / entity mismatch",IF(N124&lt;'Settings'!$F$8,"Expired",IF(X124&lt;&gt;"Ready","Factor required",IF(OR(G124&lt;&gt;IFERROR(IF(INDEX('Factors'!$D$9:$D$108,MATCH(J124,'Factors'!$C$9:$C$108,0))="","",INDEX('Factors'!$D$9:$D$108,MATCH(J124,'Factors'!$C$9:$C$108,0))),""),I124&lt;&gt;P124,F124&lt;&gt;Q124,K124&lt;&gt;S124,AND(R124&lt;&gt;"Global",R124&lt;&gt;W124),K124&lt;&gt;YEAR(IFERROR(IF(INDEX('Inventory'!$H$9:$H$108,MATCH(D124,'Inventory'!$C$9:$C$108,0))="","",INDEX('Inventory'!$H$9:$H$108,MATCH(D124,'Inventory'!$C$9:$C$108,0))),""))),"Factor / boundary mismatch",IF(AND(F124="S2",IFERROR(IF(INDEX('Factors'!$I$9:$I$108,MATCH(J124,'Factors'!$C$9:$C$108,0))="","",INDEX('Factors'!$I$9:$I$108,MATCH(J124,'Factors'!$C$9:$C$108,0))),"")&lt;&gt;"Location-based"),"Use location factor",IF(M124&lt;&gt;"Actual","Estimation method review","Ready"))))))))))</x:f>
      </x:c>
      <x:c r="W124" s="9" t="str">
        <x:f>IF(C124="","",IFERROR(IF(INDEX('Inventory'!$G$9:$G$108,MATCH(D124,'Inventory'!$C$9:$C$108,0))="","",INDEX('Inventory'!$G$9:$G$108,MATCH(D124,'Inventory'!$C$9:$C$108,0))),""))</x:f>
      </x:c>
      <x:c r="X124" s="9" t="str">
        <x:f>IF(C124="","",IFERROR(IF(INDEX('Factors'!$P$9:$P$108,MATCH(J124,'Factors'!$C$9:$C$108,0))="","",INDEX('Factors'!$P$9:$P$108,MATCH(J124,'Factors'!$C$9:$C$108,0))),""))</x:f>
      </x:c>
    </x:row>
    <x:row r="125" ht="26" customHeight="1">
      <x:c r="A125" s="1"/>
      <x:c r="B125" s="1"/>
      <x:c r="C125" s="8"/>
      <x:c r="D125" s="8"/>
      <x:c r="E125" s="8"/>
      <x:c r="F125" s="8"/>
      <x:c r="G125" s="8"/>
      <x:c r="H125" s="16"/>
      <x:c r="I125" s="8"/>
      <x:c r="J125" s="8"/>
      <x:c r="K125" s="22"/>
      <x:c r="L125" s="8"/>
      <x:c r="M125" s="8"/>
      <x:c r="N125" s="40"/>
      <x:c r="O125" s="41" t="str">
        <x:f>IF(C125="","",IFERROR(IF(INDEX('Factors'!$G$9:$G$108,MATCH(J125,'Factors'!$C$9:$C$108,0))="","",INDEX('Factors'!$G$9:$G$108,MATCH(J125,'Factors'!$C$9:$C$108,0))),""))</x:f>
      </x:c>
      <x:c r="P125" s="9" t="str">
        <x:f>IF(C125="","",IFERROR(IF(INDEX('Factors'!$F$9:$F$108,MATCH(J125,'Factors'!$C$9:$C$108,0))="","",INDEX('Factors'!$F$9:$F$108,MATCH(J125,'Factors'!$C$9:$C$108,0))),""))</x:f>
      </x:c>
      <x:c r="Q125" s="9" t="str">
        <x:f>IF(C125="","",IFERROR(IF(INDEX('Factors'!$H$9:$H$108,MATCH(J125,'Factors'!$C$9:$C$108,0))="","",INDEX('Factors'!$H$9:$H$108,MATCH(J125,'Factors'!$C$9:$C$108,0))),""))</x:f>
      </x:c>
      <x:c r="R125" s="9" t="str">
        <x:f>IF(C125="","",IFERROR(IF(INDEX('Factors'!$E$9:$E$108,MATCH(J125,'Factors'!$C$9:$C$108,0))="","",INDEX('Factors'!$E$9:$E$108,MATCH(J125,'Factors'!$C$9:$C$108,0))),""))</x:f>
      </x:c>
      <x:c r="S125" s="42" t="str">
        <x:f>IF(C125="","",IFERROR(IF(INDEX('Factors'!$J$9:$J$108,MATCH(J125,'Factors'!$C$9:$C$108,0))="","",INDEX('Factors'!$J$9:$J$108,MATCH(J125,'Factors'!$C$9:$C$108,0))),""))</x:f>
      </x:c>
      <x:c r="T125" s="9" t="str">
        <x:f>IF(C125="","",IFERROR(IF(INDEX('Factors'!$L$9:$L$108,MATCH(J125,'Factors'!$C$9:$C$108,0))="","",INDEX('Factors'!$L$9:$L$108,MATCH(J125,'Factors'!$C$9:$C$108,0))),"")&amp;" / "&amp;IFERROR(IF(INDEX('Factors'!$M$9:$M$108,MATCH(J125,'Factors'!$C$9:$C$108,0))="","",INDEX('Factors'!$M$9:$M$108,MATCH(J125,'Factors'!$C$9:$C$108,0))),""))</x:f>
      </x:c>
      <x:c r="U125" s="21" t="str">
        <x:f>IF(V125="Ready",H125*O125/1000,"")</x:f>
      </x:c>
      <x:c r="V125" s="9" t="str">
        <x:f>IF(C125="","",IF(OR(COUNTIFS($C$9:$C$308,C125)&lt;&gt;1,COUNTIFS($D$9:$D$308,D125,$E$9:$E$308,E125,$F$9:$F$308,F125,$G$9:$G$308,G125,$K$9:$K$308,K125)&lt;&gt;1),"Duplicate annual activity",IF(COUNTIFS('Inventory'!$C$9:$C$108,D125)&lt;&gt;1,"Entity required",IF(OR(E125="",L125="",NOT(ISNUMBER(H125)),H125&lt;0,NOT(ISNUMBER(K125)),NOT(ISNUMBER(N125))),"Missing activity input",IF(AND(E125&lt;&gt;D125,OR(COUNTIFS('Sites'!$C$9:$C$108,E125)&lt;&gt;1,IFERROR(IF(INDEX('Sites'!$D$9:$D$108,MATCH(E125,'Sites'!$C$9:$C$108,0))="","",INDEX('Sites'!$D$9:$D$108,MATCH(E125,'Sites'!$C$9:$C$108,0))),"")&lt;&gt;IFERROR(IF(INDEX('Inventory'!$D$9:$D$108,MATCH(D125,'Inventory'!$C$9:$C$108,0))="","",INDEX('Inventory'!$D$9:$D$108,MATCH(D125,'Inventory'!$C$9:$C$108,0))),""),IFERROR(IF(INDEX('Sites'!$E$9:$E$108,MATCH(E125,'Sites'!$C$9:$C$108,0))="","",INDEX('Sites'!$E$9:$E$108,MATCH(E125,'Sites'!$C$9:$C$108,0))),"")&lt;&gt;W125)),"Site / entity mismatch",IF(N125&lt;'Settings'!$F$8,"Expired",IF(X125&lt;&gt;"Ready","Factor required",IF(OR(G125&lt;&gt;IFERROR(IF(INDEX('Factors'!$D$9:$D$108,MATCH(J125,'Factors'!$C$9:$C$108,0))="","",INDEX('Factors'!$D$9:$D$108,MATCH(J125,'Factors'!$C$9:$C$108,0))),""),I125&lt;&gt;P125,F125&lt;&gt;Q125,K125&lt;&gt;S125,AND(R125&lt;&gt;"Global",R125&lt;&gt;W125),K125&lt;&gt;YEAR(IFERROR(IF(INDEX('Inventory'!$H$9:$H$108,MATCH(D125,'Inventory'!$C$9:$C$108,0))="","",INDEX('Inventory'!$H$9:$H$108,MATCH(D125,'Inventory'!$C$9:$C$108,0))),""))),"Factor / boundary mismatch",IF(AND(F125="S2",IFERROR(IF(INDEX('Factors'!$I$9:$I$108,MATCH(J125,'Factors'!$C$9:$C$108,0))="","",INDEX('Factors'!$I$9:$I$108,MATCH(J125,'Factors'!$C$9:$C$108,0))),"")&lt;&gt;"Location-based"),"Use location factor",IF(M125&lt;&gt;"Actual","Estimation method review","Ready"))))))))))</x:f>
      </x:c>
      <x:c r="W125" s="9" t="str">
        <x:f>IF(C125="","",IFERROR(IF(INDEX('Inventory'!$G$9:$G$108,MATCH(D125,'Inventory'!$C$9:$C$108,0))="","",INDEX('Inventory'!$G$9:$G$108,MATCH(D125,'Inventory'!$C$9:$C$108,0))),""))</x:f>
      </x:c>
      <x:c r="X125" s="9" t="str">
        <x:f>IF(C125="","",IFERROR(IF(INDEX('Factors'!$P$9:$P$108,MATCH(J125,'Factors'!$C$9:$C$108,0))="","",INDEX('Factors'!$P$9:$P$108,MATCH(J125,'Factors'!$C$9:$C$108,0))),""))</x:f>
      </x:c>
    </x:row>
    <x:row r="126" ht="26" customHeight="1">
      <x:c r="A126" s="1"/>
      <x:c r="B126" s="1"/>
      <x:c r="C126" s="8"/>
      <x:c r="D126" s="8"/>
      <x:c r="E126" s="8"/>
      <x:c r="F126" s="8"/>
      <x:c r="G126" s="8"/>
      <x:c r="H126" s="16"/>
      <x:c r="I126" s="8"/>
      <x:c r="J126" s="8"/>
      <x:c r="K126" s="22"/>
      <x:c r="L126" s="8"/>
      <x:c r="M126" s="8"/>
      <x:c r="N126" s="40"/>
      <x:c r="O126" s="41" t="str">
        <x:f>IF(C126="","",IFERROR(IF(INDEX('Factors'!$G$9:$G$108,MATCH(J126,'Factors'!$C$9:$C$108,0))="","",INDEX('Factors'!$G$9:$G$108,MATCH(J126,'Factors'!$C$9:$C$108,0))),""))</x:f>
      </x:c>
      <x:c r="P126" s="9" t="str">
        <x:f>IF(C126="","",IFERROR(IF(INDEX('Factors'!$F$9:$F$108,MATCH(J126,'Factors'!$C$9:$C$108,0))="","",INDEX('Factors'!$F$9:$F$108,MATCH(J126,'Factors'!$C$9:$C$108,0))),""))</x:f>
      </x:c>
      <x:c r="Q126" s="9" t="str">
        <x:f>IF(C126="","",IFERROR(IF(INDEX('Factors'!$H$9:$H$108,MATCH(J126,'Factors'!$C$9:$C$108,0))="","",INDEX('Factors'!$H$9:$H$108,MATCH(J126,'Factors'!$C$9:$C$108,0))),""))</x:f>
      </x:c>
      <x:c r="R126" s="9" t="str">
        <x:f>IF(C126="","",IFERROR(IF(INDEX('Factors'!$E$9:$E$108,MATCH(J126,'Factors'!$C$9:$C$108,0))="","",INDEX('Factors'!$E$9:$E$108,MATCH(J126,'Factors'!$C$9:$C$108,0))),""))</x:f>
      </x:c>
      <x:c r="S126" s="42" t="str">
        <x:f>IF(C126="","",IFERROR(IF(INDEX('Factors'!$J$9:$J$108,MATCH(J126,'Factors'!$C$9:$C$108,0))="","",INDEX('Factors'!$J$9:$J$108,MATCH(J126,'Factors'!$C$9:$C$108,0))),""))</x:f>
      </x:c>
      <x:c r="T126" s="9" t="str">
        <x:f>IF(C126="","",IFERROR(IF(INDEX('Factors'!$L$9:$L$108,MATCH(J126,'Factors'!$C$9:$C$108,0))="","",INDEX('Factors'!$L$9:$L$108,MATCH(J126,'Factors'!$C$9:$C$108,0))),"")&amp;" / "&amp;IFERROR(IF(INDEX('Factors'!$M$9:$M$108,MATCH(J126,'Factors'!$C$9:$C$108,0))="","",INDEX('Factors'!$M$9:$M$108,MATCH(J126,'Factors'!$C$9:$C$108,0))),""))</x:f>
      </x:c>
      <x:c r="U126" s="21" t="str">
        <x:f>IF(V126="Ready",H126*O126/1000,"")</x:f>
      </x:c>
      <x:c r="V126" s="9" t="str">
        <x:f>IF(C126="","",IF(OR(COUNTIFS($C$9:$C$308,C126)&lt;&gt;1,COUNTIFS($D$9:$D$308,D126,$E$9:$E$308,E126,$F$9:$F$308,F126,$G$9:$G$308,G126,$K$9:$K$308,K126)&lt;&gt;1),"Duplicate annual activity",IF(COUNTIFS('Inventory'!$C$9:$C$108,D126)&lt;&gt;1,"Entity required",IF(OR(E126="",L126="",NOT(ISNUMBER(H126)),H126&lt;0,NOT(ISNUMBER(K126)),NOT(ISNUMBER(N126))),"Missing activity input",IF(AND(E126&lt;&gt;D126,OR(COUNTIFS('Sites'!$C$9:$C$108,E126)&lt;&gt;1,IFERROR(IF(INDEX('Sites'!$D$9:$D$108,MATCH(E126,'Sites'!$C$9:$C$108,0))="","",INDEX('Sites'!$D$9:$D$108,MATCH(E126,'Sites'!$C$9:$C$108,0))),"")&lt;&gt;IFERROR(IF(INDEX('Inventory'!$D$9:$D$108,MATCH(D126,'Inventory'!$C$9:$C$108,0))="","",INDEX('Inventory'!$D$9:$D$108,MATCH(D126,'Inventory'!$C$9:$C$108,0))),""),IFERROR(IF(INDEX('Sites'!$E$9:$E$108,MATCH(E126,'Sites'!$C$9:$C$108,0))="","",INDEX('Sites'!$E$9:$E$108,MATCH(E126,'Sites'!$C$9:$C$108,0))),"")&lt;&gt;W126)),"Site / entity mismatch",IF(N126&lt;'Settings'!$F$8,"Expired",IF(X126&lt;&gt;"Ready","Factor required",IF(OR(G126&lt;&gt;IFERROR(IF(INDEX('Factors'!$D$9:$D$108,MATCH(J126,'Factors'!$C$9:$C$108,0))="","",INDEX('Factors'!$D$9:$D$108,MATCH(J126,'Factors'!$C$9:$C$108,0))),""),I126&lt;&gt;P126,F126&lt;&gt;Q126,K126&lt;&gt;S126,AND(R126&lt;&gt;"Global",R126&lt;&gt;W126),K126&lt;&gt;YEAR(IFERROR(IF(INDEX('Inventory'!$H$9:$H$108,MATCH(D126,'Inventory'!$C$9:$C$108,0))="","",INDEX('Inventory'!$H$9:$H$108,MATCH(D126,'Inventory'!$C$9:$C$108,0))),""))),"Factor / boundary mismatch",IF(AND(F126="S2",IFERROR(IF(INDEX('Factors'!$I$9:$I$108,MATCH(J126,'Factors'!$C$9:$C$108,0))="","",INDEX('Factors'!$I$9:$I$108,MATCH(J126,'Factors'!$C$9:$C$108,0))),"")&lt;&gt;"Location-based"),"Use location factor",IF(M126&lt;&gt;"Actual","Estimation method review","Ready"))))))))))</x:f>
      </x:c>
      <x:c r="W126" s="9" t="str">
        <x:f>IF(C126="","",IFERROR(IF(INDEX('Inventory'!$G$9:$G$108,MATCH(D126,'Inventory'!$C$9:$C$108,0))="","",INDEX('Inventory'!$G$9:$G$108,MATCH(D126,'Inventory'!$C$9:$C$108,0))),""))</x:f>
      </x:c>
      <x:c r="X126" s="9" t="str">
        <x:f>IF(C126="","",IFERROR(IF(INDEX('Factors'!$P$9:$P$108,MATCH(J126,'Factors'!$C$9:$C$108,0))="","",INDEX('Factors'!$P$9:$P$108,MATCH(J126,'Factors'!$C$9:$C$108,0))),""))</x:f>
      </x:c>
    </x:row>
    <x:row r="127" ht="26" customHeight="1">
      <x:c r="A127" s="1"/>
      <x:c r="B127" s="1"/>
      <x:c r="C127" s="8"/>
      <x:c r="D127" s="8"/>
      <x:c r="E127" s="8"/>
      <x:c r="F127" s="8"/>
      <x:c r="G127" s="8"/>
      <x:c r="H127" s="16"/>
      <x:c r="I127" s="8"/>
      <x:c r="J127" s="8"/>
      <x:c r="K127" s="22"/>
      <x:c r="L127" s="8"/>
      <x:c r="M127" s="8"/>
      <x:c r="N127" s="40"/>
      <x:c r="O127" s="41" t="str">
        <x:f>IF(C127="","",IFERROR(IF(INDEX('Factors'!$G$9:$G$108,MATCH(J127,'Factors'!$C$9:$C$108,0))="","",INDEX('Factors'!$G$9:$G$108,MATCH(J127,'Factors'!$C$9:$C$108,0))),""))</x:f>
      </x:c>
      <x:c r="P127" s="9" t="str">
        <x:f>IF(C127="","",IFERROR(IF(INDEX('Factors'!$F$9:$F$108,MATCH(J127,'Factors'!$C$9:$C$108,0))="","",INDEX('Factors'!$F$9:$F$108,MATCH(J127,'Factors'!$C$9:$C$108,0))),""))</x:f>
      </x:c>
      <x:c r="Q127" s="9" t="str">
        <x:f>IF(C127="","",IFERROR(IF(INDEX('Factors'!$H$9:$H$108,MATCH(J127,'Factors'!$C$9:$C$108,0))="","",INDEX('Factors'!$H$9:$H$108,MATCH(J127,'Factors'!$C$9:$C$108,0))),""))</x:f>
      </x:c>
      <x:c r="R127" s="9" t="str">
        <x:f>IF(C127="","",IFERROR(IF(INDEX('Factors'!$E$9:$E$108,MATCH(J127,'Factors'!$C$9:$C$108,0))="","",INDEX('Factors'!$E$9:$E$108,MATCH(J127,'Factors'!$C$9:$C$108,0))),""))</x:f>
      </x:c>
      <x:c r="S127" s="42" t="str">
        <x:f>IF(C127="","",IFERROR(IF(INDEX('Factors'!$J$9:$J$108,MATCH(J127,'Factors'!$C$9:$C$108,0))="","",INDEX('Factors'!$J$9:$J$108,MATCH(J127,'Factors'!$C$9:$C$108,0))),""))</x:f>
      </x:c>
      <x:c r="T127" s="9" t="str">
        <x:f>IF(C127="","",IFERROR(IF(INDEX('Factors'!$L$9:$L$108,MATCH(J127,'Factors'!$C$9:$C$108,0))="","",INDEX('Factors'!$L$9:$L$108,MATCH(J127,'Factors'!$C$9:$C$108,0))),"")&amp;" / "&amp;IFERROR(IF(INDEX('Factors'!$M$9:$M$108,MATCH(J127,'Factors'!$C$9:$C$108,0))="","",INDEX('Factors'!$M$9:$M$108,MATCH(J127,'Factors'!$C$9:$C$108,0))),""))</x:f>
      </x:c>
      <x:c r="U127" s="21" t="str">
        <x:f>IF(V127="Ready",H127*O127/1000,"")</x:f>
      </x:c>
      <x:c r="V127" s="9" t="str">
        <x:f>IF(C127="","",IF(OR(COUNTIFS($C$9:$C$308,C127)&lt;&gt;1,COUNTIFS($D$9:$D$308,D127,$E$9:$E$308,E127,$F$9:$F$308,F127,$G$9:$G$308,G127,$K$9:$K$308,K127)&lt;&gt;1),"Duplicate annual activity",IF(COUNTIFS('Inventory'!$C$9:$C$108,D127)&lt;&gt;1,"Entity required",IF(OR(E127="",L127="",NOT(ISNUMBER(H127)),H127&lt;0,NOT(ISNUMBER(K127)),NOT(ISNUMBER(N127))),"Missing activity input",IF(AND(E127&lt;&gt;D127,OR(COUNTIFS('Sites'!$C$9:$C$108,E127)&lt;&gt;1,IFERROR(IF(INDEX('Sites'!$D$9:$D$108,MATCH(E127,'Sites'!$C$9:$C$108,0))="","",INDEX('Sites'!$D$9:$D$108,MATCH(E127,'Sites'!$C$9:$C$108,0))),"")&lt;&gt;IFERROR(IF(INDEX('Inventory'!$D$9:$D$108,MATCH(D127,'Inventory'!$C$9:$C$108,0))="","",INDEX('Inventory'!$D$9:$D$108,MATCH(D127,'Inventory'!$C$9:$C$108,0))),""),IFERROR(IF(INDEX('Sites'!$E$9:$E$108,MATCH(E127,'Sites'!$C$9:$C$108,0))="","",INDEX('Sites'!$E$9:$E$108,MATCH(E127,'Sites'!$C$9:$C$108,0))),"")&lt;&gt;W127)),"Site / entity mismatch",IF(N127&lt;'Settings'!$F$8,"Expired",IF(X127&lt;&gt;"Ready","Factor required",IF(OR(G127&lt;&gt;IFERROR(IF(INDEX('Factors'!$D$9:$D$108,MATCH(J127,'Factors'!$C$9:$C$108,0))="","",INDEX('Factors'!$D$9:$D$108,MATCH(J127,'Factors'!$C$9:$C$108,0))),""),I127&lt;&gt;P127,F127&lt;&gt;Q127,K127&lt;&gt;S127,AND(R127&lt;&gt;"Global",R127&lt;&gt;W127),K127&lt;&gt;YEAR(IFERROR(IF(INDEX('Inventory'!$H$9:$H$108,MATCH(D127,'Inventory'!$C$9:$C$108,0))="","",INDEX('Inventory'!$H$9:$H$108,MATCH(D127,'Inventory'!$C$9:$C$108,0))),""))),"Factor / boundary mismatch",IF(AND(F127="S2",IFERROR(IF(INDEX('Factors'!$I$9:$I$108,MATCH(J127,'Factors'!$C$9:$C$108,0))="","",INDEX('Factors'!$I$9:$I$108,MATCH(J127,'Factors'!$C$9:$C$108,0))),"")&lt;&gt;"Location-based"),"Use location factor",IF(M127&lt;&gt;"Actual","Estimation method review","Ready"))))))))))</x:f>
      </x:c>
      <x:c r="W127" s="9" t="str">
        <x:f>IF(C127="","",IFERROR(IF(INDEX('Inventory'!$G$9:$G$108,MATCH(D127,'Inventory'!$C$9:$C$108,0))="","",INDEX('Inventory'!$G$9:$G$108,MATCH(D127,'Inventory'!$C$9:$C$108,0))),""))</x:f>
      </x:c>
      <x:c r="X127" s="9" t="str">
        <x:f>IF(C127="","",IFERROR(IF(INDEX('Factors'!$P$9:$P$108,MATCH(J127,'Factors'!$C$9:$C$108,0))="","",INDEX('Factors'!$P$9:$P$108,MATCH(J127,'Factors'!$C$9:$C$108,0))),""))</x:f>
      </x:c>
    </x:row>
    <x:row r="128" ht="26" customHeight="1">
      <x:c r="A128" s="1"/>
      <x:c r="B128" s="1"/>
      <x:c r="C128" s="8"/>
      <x:c r="D128" s="8"/>
      <x:c r="E128" s="8"/>
      <x:c r="F128" s="8"/>
      <x:c r="G128" s="8"/>
      <x:c r="H128" s="16"/>
      <x:c r="I128" s="8"/>
      <x:c r="J128" s="8"/>
      <x:c r="K128" s="22"/>
      <x:c r="L128" s="8"/>
      <x:c r="M128" s="8"/>
      <x:c r="N128" s="40"/>
      <x:c r="O128" s="41" t="str">
        <x:f>IF(C128="","",IFERROR(IF(INDEX('Factors'!$G$9:$G$108,MATCH(J128,'Factors'!$C$9:$C$108,0))="","",INDEX('Factors'!$G$9:$G$108,MATCH(J128,'Factors'!$C$9:$C$108,0))),""))</x:f>
      </x:c>
      <x:c r="P128" s="9" t="str">
        <x:f>IF(C128="","",IFERROR(IF(INDEX('Factors'!$F$9:$F$108,MATCH(J128,'Factors'!$C$9:$C$108,0))="","",INDEX('Factors'!$F$9:$F$108,MATCH(J128,'Factors'!$C$9:$C$108,0))),""))</x:f>
      </x:c>
      <x:c r="Q128" s="9" t="str">
        <x:f>IF(C128="","",IFERROR(IF(INDEX('Factors'!$H$9:$H$108,MATCH(J128,'Factors'!$C$9:$C$108,0))="","",INDEX('Factors'!$H$9:$H$108,MATCH(J128,'Factors'!$C$9:$C$108,0))),""))</x:f>
      </x:c>
      <x:c r="R128" s="9" t="str">
        <x:f>IF(C128="","",IFERROR(IF(INDEX('Factors'!$E$9:$E$108,MATCH(J128,'Factors'!$C$9:$C$108,0))="","",INDEX('Factors'!$E$9:$E$108,MATCH(J128,'Factors'!$C$9:$C$108,0))),""))</x:f>
      </x:c>
      <x:c r="S128" s="42" t="str">
        <x:f>IF(C128="","",IFERROR(IF(INDEX('Factors'!$J$9:$J$108,MATCH(J128,'Factors'!$C$9:$C$108,0))="","",INDEX('Factors'!$J$9:$J$108,MATCH(J128,'Factors'!$C$9:$C$108,0))),""))</x:f>
      </x:c>
      <x:c r="T128" s="9" t="str">
        <x:f>IF(C128="","",IFERROR(IF(INDEX('Factors'!$L$9:$L$108,MATCH(J128,'Factors'!$C$9:$C$108,0))="","",INDEX('Factors'!$L$9:$L$108,MATCH(J128,'Factors'!$C$9:$C$108,0))),"")&amp;" / "&amp;IFERROR(IF(INDEX('Factors'!$M$9:$M$108,MATCH(J128,'Factors'!$C$9:$C$108,0))="","",INDEX('Factors'!$M$9:$M$108,MATCH(J128,'Factors'!$C$9:$C$108,0))),""))</x:f>
      </x:c>
      <x:c r="U128" s="21" t="str">
        <x:f>IF(V128="Ready",H128*O128/1000,"")</x:f>
      </x:c>
      <x:c r="V128" s="9" t="str">
        <x:f>IF(C128="","",IF(OR(COUNTIFS($C$9:$C$308,C128)&lt;&gt;1,COUNTIFS($D$9:$D$308,D128,$E$9:$E$308,E128,$F$9:$F$308,F128,$G$9:$G$308,G128,$K$9:$K$308,K128)&lt;&gt;1),"Duplicate annual activity",IF(COUNTIFS('Inventory'!$C$9:$C$108,D128)&lt;&gt;1,"Entity required",IF(OR(E128="",L128="",NOT(ISNUMBER(H128)),H128&lt;0,NOT(ISNUMBER(K128)),NOT(ISNUMBER(N128))),"Missing activity input",IF(AND(E128&lt;&gt;D128,OR(COUNTIFS('Sites'!$C$9:$C$108,E128)&lt;&gt;1,IFERROR(IF(INDEX('Sites'!$D$9:$D$108,MATCH(E128,'Sites'!$C$9:$C$108,0))="","",INDEX('Sites'!$D$9:$D$108,MATCH(E128,'Sites'!$C$9:$C$108,0))),"")&lt;&gt;IFERROR(IF(INDEX('Inventory'!$D$9:$D$108,MATCH(D128,'Inventory'!$C$9:$C$108,0))="","",INDEX('Inventory'!$D$9:$D$108,MATCH(D128,'Inventory'!$C$9:$C$108,0))),""),IFERROR(IF(INDEX('Sites'!$E$9:$E$108,MATCH(E128,'Sites'!$C$9:$C$108,0))="","",INDEX('Sites'!$E$9:$E$108,MATCH(E128,'Sites'!$C$9:$C$108,0))),"")&lt;&gt;W128)),"Site / entity mismatch",IF(N128&lt;'Settings'!$F$8,"Expired",IF(X128&lt;&gt;"Ready","Factor required",IF(OR(G128&lt;&gt;IFERROR(IF(INDEX('Factors'!$D$9:$D$108,MATCH(J128,'Factors'!$C$9:$C$108,0))="","",INDEX('Factors'!$D$9:$D$108,MATCH(J128,'Factors'!$C$9:$C$108,0))),""),I128&lt;&gt;P128,F128&lt;&gt;Q128,K128&lt;&gt;S128,AND(R128&lt;&gt;"Global",R128&lt;&gt;W128),K128&lt;&gt;YEAR(IFERROR(IF(INDEX('Inventory'!$H$9:$H$108,MATCH(D128,'Inventory'!$C$9:$C$108,0))="","",INDEX('Inventory'!$H$9:$H$108,MATCH(D128,'Inventory'!$C$9:$C$108,0))),""))),"Factor / boundary mismatch",IF(AND(F128="S2",IFERROR(IF(INDEX('Factors'!$I$9:$I$108,MATCH(J128,'Factors'!$C$9:$C$108,0))="","",INDEX('Factors'!$I$9:$I$108,MATCH(J128,'Factors'!$C$9:$C$108,0))),"")&lt;&gt;"Location-based"),"Use location factor",IF(M128&lt;&gt;"Actual","Estimation method review","Ready"))))))))))</x:f>
      </x:c>
      <x:c r="W128" s="9" t="str">
        <x:f>IF(C128="","",IFERROR(IF(INDEX('Inventory'!$G$9:$G$108,MATCH(D128,'Inventory'!$C$9:$C$108,0))="","",INDEX('Inventory'!$G$9:$G$108,MATCH(D128,'Inventory'!$C$9:$C$108,0))),""))</x:f>
      </x:c>
      <x:c r="X128" s="9" t="str">
        <x:f>IF(C128="","",IFERROR(IF(INDEX('Factors'!$P$9:$P$108,MATCH(J128,'Factors'!$C$9:$C$108,0))="","",INDEX('Factors'!$P$9:$P$108,MATCH(J128,'Factors'!$C$9:$C$108,0))),""))</x:f>
      </x:c>
    </x:row>
    <x:row r="129" ht="26" customHeight="1">
      <x:c r="A129" s="1"/>
      <x:c r="B129" s="1"/>
      <x:c r="C129" s="8"/>
      <x:c r="D129" s="8"/>
      <x:c r="E129" s="8"/>
      <x:c r="F129" s="8"/>
      <x:c r="G129" s="8"/>
      <x:c r="H129" s="16"/>
      <x:c r="I129" s="8"/>
      <x:c r="J129" s="8"/>
      <x:c r="K129" s="22"/>
      <x:c r="L129" s="8"/>
      <x:c r="M129" s="8"/>
      <x:c r="N129" s="40"/>
      <x:c r="O129" s="41" t="str">
        <x:f>IF(C129="","",IFERROR(IF(INDEX('Factors'!$G$9:$G$108,MATCH(J129,'Factors'!$C$9:$C$108,0))="","",INDEX('Factors'!$G$9:$G$108,MATCH(J129,'Factors'!$C$9:$C$108,0))),""))</x:f>
      </x:c>
      <x:c r="P129" s="9" t="str">
        <x:f>IF(C129="","",IFERROR(IF(INDEX('Factors'!$F$9:$F$108,MATCH(J129,'Factors'!$C$9:$C$108,0))="","",INDEX('Factors'!$F$9:$F$108,MATCH(J129,'Factors'!$C$9:$C$108,0))),""))</x:f>
      </x:c>
      <x:c r="Q129" s="9" t="str">
        <x:f>IF(C129="","",IFERROR(IF(INDEX('Factors'!$H$9:$H$108,MATCH(J129,'Factors'!$C$9:$C$108,0))="","",INDEX('Factors'!$H$9:$H$108,MATCH(J129,'Factors'!$C$9:$C$108,0))),""))</x:f>
      </x:c>
      <x:c r="R129" s="9" t="str">
        <x:f>IF(C129="","",IFERROR(IF(INDEX('Factors'!$E$9:$E$108,MATCH(J129,'Factors'!$C$9:$C$108,0))="","",INDEX('Factors'!$E$9:$E$108,MATCH(J129,'Factors'!$C$9:$C$108,0))),""))</x:f>
      </x:c>
      <x:c r="S129" s="42" t="str">
        <x:f>IF(C129="","",IFERROR(IF(INDEX('Factors'!$J$9:$J$108,MATCH(J129,'Factors'!$C$9:$C$108,0))="","",INDEX('Factors'!$J$9:$J$108,MATCH(J129,'Factors'!$C$9:$C$108,0))),""))</x:f>
      </x:c>
      <x:c r="T129" s="9" t="str">
        <x:f>IF(C129="","",IFERROR(IF(INDEX('Factors'!$L$9:$L$108,MATCH(J129,'Factors'!$C$9:$C$108,0))="","",INDEX('Factors'!$L$9:$L$108,MATCH(J129,'Factors'!$C$9:$C$108,0))),"")&amp;" / "&amp;IFERROR(IF(INDEX('Factors'!$M$9:$M$108,MATCH(J129,'Factors'!$C$9:$C$108,0))="","",INDEX('Factors'!$M$9:$M$108,MATCH(J129,'Factors'!$C$9:$C$108,0))),""))</x:f>
      </x:c>
      <x:c r="U129" s="21" t="str">
        <x:f>IF(V129="Ready",H129*O129/1000,"")</x:f>
      </x:c>
      <x:c r="V129" s="9" t="str">
        <x:f>IF(C129="","",IF(OR(COUNTIFS($C$9:$C$308,C129)&lt;&gt;1,COUNTIFS($D$9:$D$308,D129,$E$9:$E$308,E129,$F$9:$F$308,F129,$G$9:$G$308,G129,$K$9:$K$308,K129)&lt;&gt;1),"Duplicate annual activity",IF(COUNTIFS('Inventory'!$C$9:$C$108,D129)&lt;&gt;1,"Entity required",IF(OR(E129="",L129="",NOT(ISNUMBER(H129)),H129&lt;0,NOT(ISNUMBER(K129)),NOT(ISNUMBER(N129))),"Missing activity input",IF(AND(E129&lt;&gt;D129,OR(COUNTIFS('Sites'!$C$9:$C$108,E129)&lt;&gt;1,IFERROR(IF(INDEX('Sites'!$D$9:$D$108,MATCH(E129,'Sites'!$C$9:$C$108,0))="","",INDEX('Sites'!$D$9:$D$108,MATCH(E129,'Sites'!$C$9:$C$108,0))),"")&lt;&gt;IFERROR(IF(INDEX('Inventory'!$D$9:$D$108,MATCH(D129,'Inventory'!$C$9:$C$108,0))="","",INDEX('Inventory'!$D$9:$D$108,MATCH(D129,'Inventory'!$C$9:$C$108,0))),""),IFERROR(IF(INDEX('Sites'!$E$9:$E$108,MATCH(E129,'Sites'!$C$9:$C$108,0))="","",INDEX('Sites'!$E$9:$E$108,MATCH(E129,'Sites'!$C$9:$C$108,0))),"")&lt;&gt;W129)),"Site / entity mismatch",IF(N129&lt;'Settings'!$F$8,"Expired",IF(X129&lt;&gt;"Ready","Factor required",IF(OR(G129&lt;&gt;IFERROR(IF(INDEX('Factors'!$D$9:$D$108,MATCH(J129,'Factors'!$C$9:$C$108,0))="","",INDEX('Factors'!$D$9:$D$108,MATCH(J129,'Factors'!$C$9:$C$108,0))),""),I129&lt;&gt;P129,F129&lt;&gt;Q129,K129&lt;&gt;S129,AND(R129&lt;&gt;"Global",R129&lt;&gt;W129),K129&lt;&gt;YEAR(IFERROR(IF(INDEX('Inventory'!$H$9:$H$108,MATCH(D129,'Inventory'!$C$9:$C$108,0))="","",INDEX('Inventory'!$H$9:$H$108,MATCH(D129,'Inventory'!$C$9:$C$108,0))),""))),"Factor / boundary mismatch",IF(AND(F129="S2",IFERROR(IF(INDEX('Factors'!$I$9:$I$108,MATCH(J129,'Factors'!$C$9:$C$108,0))="","",INDEX('Factors'!$I$9:$I$108,MATCH(J129,'Factors'!$C$9:$C$108,0))),"")&lt;&gt;"Location-based"),"Use location factor",IF(M129&lt;&gt;"Actual","Estimation method review","Ready"))))))))))</x:f>
      </x:c>
      <x:c r="W129" s="9" t="str">
        <x:f>IF(C129="","",IFERROR(IF(INDEX('Inventory'!$G$9:$G$108,MATCH(D129,'Inventory'!$C$9:$C$108,0))="","",INDEX('Inventory'!$G$9:$G$108,MATCH(D129,'Inventory'!$C$9:$C$108,0))),""))</x:f>
      </x:c>
      <x:c r="X129" s="9" t="str">
        <x:f>IF(C129="","",IFERROR(IF(INDEX('Factors'!$P$9:$P$108,MATCH(J129,'Factors'!$C$9:$C$108,0))="","",INDEX('Factors'!$P$9:$P$108,MATCH(J129,'Factors'!$C$9:$C$108,0))),""))</x:f>
      </x:c>
    </x:row>
    <x:row r="130" ht="26" customHeight="1">
      <x:c r="A130" s="1"/>
      <x:c r="B130" s="1"/>
      <x:c r="C130" s="8"/>
      <x:c r="D130" s="8"/>
      <x:c r="E130" s="8"/>
      <x:c r="F130" s="8"/>
      <x:c r="G130" s="8"/>
      <x:c r="H130" s="16"/>
      <x:c r="I130" s="8"/>
      <x:c r="J130" s="8"/>
      <x:c r="K130" s="22"/>
      <x:c r="L130" s="8"/>
      <x:c r="M130" s="8"/>
      <x:c r="N130" s="40"/>
      <x:c r="O130" s="41" t="str">
        <x:f>IF(C130="","",IFERROR(IF(INDEX('Factors'!$G$9:$G$108,MATCH(J130,'Factors'!$C$9:$C$108,0))="","",INDEX('Factors'!$G$9:$G$108,MATCH(J130,'Factors'!$C$9:$C$108,0))),""))</x:f>
      </x:c>
      <x:c r="P130" s="9" t="str">
        <x:f>IF(C130="","",IFERROR(IF(INDEX('Factors'!$F$9:$F$108,MATCH(J130,'Factors'!$C$9:$C$108,0))="","",INDEX('Factors'!$F$9:$F$108,MATCH(J130,'Factors'!$C$9:$C$108,0))),""))</x:f>
      </x:c>
      <x:c r="Q130" s="9" t="str">
        <x:f>IF(C130="","",IFERROR(IF(INDEX('Factors'!$H$9:$H$108,MATCH(J130,'Factors'!$C$9:$C$108,0))="","",INDEX('Factors'!$H$9:$H$108,MATCH(J130,'Factors'!$C$9:$C$108,0))),""))</x:f>
      </x:c>
      <x:c r="R130" s="9" t="str">
        <x:f>IF(C130="","",IFERROR(IF(INDEX('Factors'!$E$9:$E$108,MATCH(J130,'Factors'!$C$9:$C$108,0))="","",INDEX('Factors'!$E$9:$E$108,MATCH(J130,'Factors'!$C$9:$C$108,0))),""))</x:f>
      </x:c>
      <x:c r="S130" s="42" t="str">
        <x:f>IF(C130="","",IFERROR(IF(INDEX('Factors'!$J$9:$J$108,MATCH(J130,'Factors'!$C$9:$C$108,0))="","",INDEX('Factors'!$J$9:$J$108,MATCH(J130,'Factors'!$C$9:$C$108,0))),""))</x:f>
      </x:c>
      <x:c r="T130" s="9" t="str">
        <x:f>IF(C130="","",IFERROR(IF(INDEX('Factors'!$L$9:$L$108,MATCH(J130,'Factors'!$C$9:$C$108,0))="","",INDEX('Factors'!$L$9:$L$108,MATCH(J130,'Factors'!$C$9:$C$108,0))),"")&amp;" / "&amp;IFERROR(IF(INDEX('Factors'!$M$9:$M$108,MATCH(J130,'Factors'!$C$9:$C$108,0))="","",INDEX('Factors'!$M$9:$M$108,MATCH(J130,'Factors'!$C$9:$C$108,0))),""))</x:f>
      </x:c>
      <x:c r="U130" s="21" t="str">
        <x:f>IF(V130="Ready",H130*O130/1000,"")</x:f>
      </x:c>
      <x:c r="V130" s="9" t="str">
        <x:f>IF(C130="","",IF(OR(COUNTIFS($C$9:$C$308,C130)&lt;&gt;1,COUNTIFS($D$9:$D$308,D130,$E$9:$E$308,E130,$F$9:$F$308,F130,$G$9:$G$308,G130,$K$9:$K$308,K130)&lt;&gt;1),"Duplicate annual activity",IF(COUNTIFS('Inventory'!$C$9:$C$108,D130)&lt;&gt;1,"Entity required",IF(OR(E130="",L130="",NOT(ISNUMBER(H130)),H130&lt;0,NOT(ISNUMBER(K130)),NOT(ISNUMBER(N130))),"Missing activity input",IF(AND(E130&lt;&gt;D130,OR(COUNTIFS('Sites'!$C$9:$C$108,E130)&lt;&gt;1,IFERROR(IF(INDEX('Sites'!$D$9:$D$108,MATCH(E130,'Sites'!$C$9:$C$108,0))="","",INDEX('Sites'!$D$9:$D$108,MATCH(E130,'Sites'!$C$9:$C$108,0))),"")&lt;&gt;IFERROR(IF(INDEX('Inventory'!$D$9:$D$108,MATCH(D130,'Inventory'!$C$9:$C$108,0))="","",INDEX('Inventory'!$D$9:$D$108,MATCH(D130,'Inventory'!$C$9:$C$108,0))),""),IFERROR(IF(INDEX('Sites'!$E$9:$E$108,MATCH(E130,'Sites'!$C$9:$C$108,0))="","",INDEX('Sites'!$E$9:$E$108,MATCH(E130,'Sites'!$C$9:$C$108,0))),"")&lt;&gt;W130)),"Site / entity mismatch",IF(N130&lt;'Settings'!$F$8,"Expired",IF(X130&lt;&gt;"Ready","Factor required",IF(OR(G130&lt;&gt;IFERROR(IF(INDEX('Factors'!$D$9:$D$108,MATCH(J130,'Factors'!$C$9:$C$108,0))="","",INDEX('Factors'!$D$9:$D$108,MATCH(J130,'Factors'!$C$9:$C$108,0))),""),I130&lt;&gt;P130,F130&lt;&gt;Q130,K130&lt;&gt;S130,AND(R130&lt;&gt;"Global",R130&lt;&gt;W130),K130&lt;&gt;YEAR(IFERROR(IF(INDEX('Inventory'!$H$9:$H$108,MATCH(D130,'Inventory'!$C$9:$C$108,0))="","",INDEX('Inventory'!$H$9:$H$108,MATCH(D130,'Inventory'!$C$9:$C$108,0))),""))),"Factor / boundary mismatch",IF(AND(F130="S2",IFERROR(IF(INDEX('Factors'!$I$9:$I$108,MATCH(J130,'Factors'!$C$9:$C$108,0))="","",INDEX('Factors'!$I$9:$I$108,MATCH(J130,'Factors'!$C$9:$C$108,0))),"")&lt;&gt;"Location-based"),"Use location factor",IF(M130&lt;&gt;"Actual","Estimation method review","Ready"))))))))))</x:f>
      </x:c>
      <x:c r="W130" s="9" t="str">
        <x:f>IF(C130="","",IFERROR(IF(INDEX('Inventory'!$G$9:$G$108,MATCH(D130,'Inventory'!$C$9:$C$108,0))="","",INDEX('Inventory'!$G$9:$G$108,MATCH(D130,'Inventory'!$C$9:$C$108,0))),""))</x:f>
      </x:c>
      <x:c r="X130" s="9" t="str">
        <x:f>IF(C130="","",IFERROR(IF(INDEX('Factors'!$P$9:$P$108,MATCH(J130,'Factors'!$C$9:$C$108,0))="","",INDEX('Factors'!$P$9:$P$108,MATCH(J130,'Factors'!$C$9:$C$108,0))),""))</x:f>
      </x:c>
    </x:row>
    <x:row r="131" ht="26" customHeight="1">
      <x:c r="A131" s="1"/>
      <x:c r="B131" s="1"/>
      <x:c r="C131" s="8"/>
      <x:c r="D131" s="8"/>
      <x:c r="E131" s="8"/>
      <x:c r="F131" s="8"/>
      <x:c r="G131" s="8"/>
      <x:c r="H131" s="16"/>
      <x:c r="I131" s="8"/>
      <x:c r="J131" s="8"/>
      <x:c r="K131" s="22"/>
      <x:c r="L131" s="8"/>
      <x:c r="M131" s="8"/>
      <x:c r="N131" s="40"/>
      <x:c r="O131" s="41" t="str">
        <x:f>IF(C131="","",IFERROR(IF(INDEX('Factors'!$G$9:$G$108,MATCH(J131,'Factors'!$C$9:$C$108,0))="","",INDEX('Factors'!$G$9:$G$108,MATCH(J131,'Factors'!$C$9:$C$108,0))),""))</x:f>
      </x:c>
      <x:c r="P131" s="9" t="str">
        <x:f>IF(C131="","",IFERROR(IF(INDEX('Factors'!$F$9:$F$108,MATCH(J131,'Factors'!$C$9:$C$108,0))="","",INDEX('Factors'!$F$9:$F$108,MATCH(J131,'Factors'!$C$9:$C$108,0))),""))</x:f>
      </x:c>
      <x:c r="Q131" s="9" t="str">
        <x:f>IF(C131="","",IFERROR(IF(INDEX('Factors'!$H$9:$H$108,MATCH(J131,'Factors'!$C$9:$C$108,0))="","",INDEX('Factors'!$H$9:$H$108,MATCH(J131,'Factors'!$C$9:$C$108,0))),""))</x:f>
      </x:c>
      <x:c r="R131" s="9" t="str">
        <x:f>IF(C131="","",IFERROR(IF(INDEX('Factors'!$E$9:$E$108,MATCH(J131,'Factors'!$C$9:$C$108,0))="","",INDEX('Factors'!$E$9:$E$108,MATCH(J131,'Factors'!$C$9:$C$108,0))),""))</x:f>
      </x:c>
      <x:c r="S131" s="42" t="str">
        <x:f>IF(C131="","",IFERROR(IF(INDEX('Factors'!$J$9:$J$108,MATCH(J131,'Factors'!$C$9:$C$108,0))="","",INDEX('Factors'!$J$9:$J$108,MATCH(J131,'Factors'!$C$9:$C$108,0))),""))</x:f>
      </x:c>
      <x:c r="T131" s="9" t="str">
        <x:f>IF(C131="","",IFERROR(IF(INDEX('Factors'!$L$9:$L$108,MATCH(J131,'Factors'!$C$9:$C$108,0))="","",INDEX('Factors'!$L$9:$L$108,MATCH(J131,'Factors'!$C$9:$C$108,0))),"")&amp;" / "&amp;IFERROR(IF(INDEX('Factors'!$M$9:$M$108,MATCH(J131,'Factors'!$C$9:$C$108,0))="","",INDEX('Factors'!$M$9:$M$108,MATCH(J131,'Factors'!$C$9:$C$108,0))),""))</x:f>
      </x:c>
      <x:c r="U131" s="21" t="str">
        <x:f>IF(V131="Ready",H131*O131/1000,"")</x:f>
      </x:c>
      <x:c r="V131" s="9" t="str">
        <x:f>IF(C131="","",IF(OR(COUNTIFS($C$9:$C$308,C131)&lt;&gt;1,COUNTIFS($D$9:$D$308,D131,$E$9:$E$308,E131,$F$9:$F$308,F131,$G$9:$G$308,G131,$K$9:$K$308,K131)&lt;&gt;1),"Duplicate annual activity",IF(COUNTIFS('Inventory'!$C$9:$C$108,D131)&lt;&gt;1,"Entity required",IF(OR(E131="",L131="",NOT(ISNUMBER(H131)),H131&lt;0,NOT(ISNUMBER(K131)),NOT(ISNUMBER(N131))),"Missing activity input",IF(AND(E131&lt;&gt;D131,OR(COUNTIFS('Sites'!$C$9:$C$108,E131)&lt;&gt;1,IFERROR(IF(INDEX('Sites'!$D$9:$D$108,MATCH(E131,'Sites'!$C$9:$C$108,0))="","",INDEX('Sites'!$D$9:$D$108,MATCH(E131,'Sites'!$C$9:$C$108,0))),"")&lt;&gt;IFERROR(IF(INDEX('Inventory'!$D$9:$D$108,MATCH(D131,'Inventory'!$C$9:$C$108,0))="","",INDEX('Inventory'!$D$9:$D$108,MATCH(D131,'Inventory'!$C$9:$C$108,0))),""),IFERROR(IF(INDEX('Sites'!$E$9:$E$108,MATCH(E131,'Sites'!$C$9:$C$108,0))="","",INDEX('Sites'!$E$9:$E$108,MATCH(E131,'Sites'!$C$9:$C$108,0))),"")&lt;&gt;W131)),"Site / entity mismatch",IF(N131&lt;'Settings'!$F$8,"Expired",IF(X131&lt;&gt;"Ready","Factor required",IF(OR(G131&lt;&gt;IFERROR(IF(INDEX('Factors'!$D$9:$D$108,MATCH(J131,'Factors'!$C$9:$C$108,0))="","",INDEX('Factors'!$D$9:$D$108,MATCH(J131,'Factors'!$C$9:$C$108,0))),""),I131&lt;&gt;P131,F131&lt;&gt;Q131,K131&lt;&gt;S131,AND(R131&lt;&gt;"Global",R131&lt;&gt;W131),K131&lt;&gt;YEAR(IFERROR(IF(INDEX('Inventory'!$H$9:$H$108,MATCH(D131,'Inventory'!$C$9:$C$108,0))="","",INDEX('Inventory'!$H$9:$H$108,MATCH(D131,'Inventory'!$C$9:$C$108,0))),""))),"Factor / boundary mismatch",IF(AND(F131="S2",IFERROR(IF(INDEX('Factors'!$I$9:$I$108,MATCH(J131,'Factors'!$C$9:$C$108,0))="","",INDEX('Factors'!$I$9:$I$108,MATCH(J131,'Factors'!$C$9:$C$108,0))),"")&lt;&gt;"Location-based"),"Use location factor",IF(M131&lt;&gt;"Actual","Estimation method review","Ready"))))))))))</x:f>
      </x:c>
      <x:c r="W131" s="9" t="str">
        <x:f>IF(C131="","",IFERROR(IF(INDEX('Inventory'!$G$9:$G$108,MATCH(D131,'Inventory'!$C$9:$C$108,0))="","",INDEX('Inventory'!$G$9:$G$108,MATCH(D131,'Inventory'!$C$9:$C$108,0))),""))</x:f>
      </x:c>
      <x:c r="X131" s="9" t="str">
        <x:f>IF(C131="","",IFERROR(IF(INDEX('Factors'!$P$9:$P$108,MATCH(J131,'Factors'!$C$9:$C$108,0))="","",INDEX('Factors'!$P$9:$P$108,MATCH(J131,'Factors'!$C$9:$C$108,0))),""))</x:f>
      </x:c>
    </x:row>
    <x:row r="132" ht="26" customHeight="1">
      <x:c r="A132" s="1"/>
      <x:c r="B132" s="1"/>
      <x:c r="C132" s="8"/>
      <x:c r="D132" s="8"/>
      <x:c r="E132" s="8"/>
      <x:c r="F132" s="8"/>
      <x:c r="G132" s="8"/>
      <x:c r="H132" s="16"/>
      <x:c r="I132" s="8"/>
      <x:c r="J132" s="8"/>
      <x:c r="K132" s="22"/>
      <x:c r="L132" s="8"/>
      <x:c r="M132" s="8"/>
      <x:c r="N132" s="40"/>
      <x:c r="O132" s="41" t="str">
        <x:f>IF(C132="","",IFERROR(IF(INDEX('Factors'!$G$9:$G$108,MATCH(J132,'Factors'!$C$9:$C$108,0))="","",INDEX('Factors'!$G$9:$G$108,MATCH(J132,'Factors'!$C$9:$C$108,0))),""))</x:f>
      </x:c>
      <x:c r="P132" s="9" t="str">
        <x:f>IF(C132="","",IFERROR(IF(INDEX('Factors'!$F$9:$F$108,MATCH(J132,'Factors'!$C$9:$C$108,0))="","",INDEX('Factors'!$F$9:$F$108,MATCH(J132,'Factors'!$C$9:$C$108,0))),""))</x:f>
      </x:c>
      <x:c r="Q132" s="9" t="str">
        <x:f>IF(C132="","",IFERROR(IF(INDEX('Factors'!$H$9:$H$108,MATCH(J132,'Factors'!$C$9:$C$108,0))="","",INDEX('Factors'!$H$9:$H$108,MATCH(J132,'Factors'!$C$9:$C$108,0))),""))</x:f>
      </x:c>
      <x:c r="R132" s="9" t="str">
        <x:f>IF(C132="","",IFERROR(IF(INDEX('Factors'!$E$9:$E$108,MATCH(J132,'Factors'!$C$9:$C$108,0))="","",INDEX('Factors'!$E$9:$E$108,MATCH(J132,'Factors'!$C$9:$C$108,0))),""))</x:f>
      </x:c>
      <x:c r="S132" s="42" t="str">
        <x:f>IF(C132="","",IFERROR(IF(INDEX('Factors'!$J$9:$J$108,MATCH(J132,'Factors'!$C$9:$C$108,0))="","",INDEX('Factors'!$J$9:$J$108,MATCH(J132,'Factors'!$C$9:$C$108,0))),""))</x:f>
      </x:c>
      <x:c r="T132" s="9" t="str">
        <x:f>IF(C132="","",IFERROR(IF(INDEX('Factors'!$L$9:$L$108,MATCH(J132,'Factors'!$C$9:$C$108,0))="","",INDEX('Factors'!$L$9:$L$108,MATCH(J132,'Factors'!$C$9:$C$108,0))),"")&amp;" / "&amp;IFERROR(IF(INDEX('Factors'!$M$9:$M$108,MATCH(J132,'Factors'!$C$9:$C$108,0))="","",INDEX('Factors'!$M$9:$M$108,MATCH(J132,'Factors'!$C$9:$C$108,0))),""))</x:f>
      </x:c>
      <x:c r="U132" s="21" t="str">
        <x:f>IF(V132="Ready",H132*O132/1000,"")</x:f>
      </x:c>
      <x:c r="V132" s="9" t="str">
        <x:f>IF(C132="","",IF(OR(COUNTIFS($C$9:$C$308,C132)&lt;&gt;1,COUNTIFS($D$9:$D$308,D132,$E$9:$E$308,E132,$F$9:$F$308,F132,$G$9:$G$308,G132,$K$9:$K$308,K132)&lt;&gt;1),"Duplicate annual activity",IF(COUNTIFS('Inventory'!$C$9:$C$108,D132)&lt;&gt;1,"Entity required",IF(OR(E132="",L132="",NOT(ISNUMBER(H132)),H132&lt;0,NOT(ISNUMBER(K132)),NOT(ISNUMBER(N132))),"Missing activity input",IF(AND(E132&lt;&gt;D132,OR(COUNTIFS('Sites'!$C$9:$C$108,E132)&lt;&gt;1,IFERROR(IF(INDEX('Sites'!$D$9:$D$108,MATCH(E132,'Sites'!$C$9:$C$108,0))="","",INDEX('Sites'!$D$9:$D$108,MATCH(E132,'Sites'!$C$9:$C$108,0))),"")&lt;&gt;IFERROR(IF(INDEX('Inventory'!$D$9:$D$108,MATCH(D132,'Inventory'!$C$9:$C$108,0))="","",INDEX('Inventory'!$D$9:$D$108,MATCH(D132,'Inventory'!$C$9:$C$108,0))),""),IFERROR(IF(INDEX('Sites'!$E$9:$E$108,MATCH(E132,'Sites'!$C$9:$C$108,0))="","",INDEX('Sites'!$E$9:$E$108,MATCH(E132,'Sites'!$C$9:$C$108,0))),"")&lt;&gt;W132)),"Site / entity mismatch",IF(N132&lt;'Settings'!$F$8,"Expired",IF(X132&lt;&gt;"Ready","Factor required",IF(OR(G132&lt;&gt;IFERROR(IF(INDEX('Factors'!$D$9:$D$108,MATCH(J132,'Factors'!$C$9:$C$108,0))="","",INDEX('Factors'!$D$9:$D$108,MATCH(J132,'Factors'!$C$9:$C$108,0))),""),I132&lt;&gt;P132,F132&lt;&gt;Q132,K132&lt;&gt;S132,AND(R132&lt;&gt;"Global",R132&lt;&gt;W132),K132&lt;&gt;YEAR(IFERROR(IF(INDEX('Inventory'!$H$9:$H$108,MATCH(D132,'Inventory'!$C$9:$C$108,0))="","",INDEX('Inventory'!$H$9:$H$108,MATCH(D132,'Inventory'!$C$9:$C$108,0))),""))),"Factor / boundary mismatch",IF(AND(F132="S2",IFERROR(IF(INDEX('Factors'!$I$9:$I$108,MATCH(J132,'Factors'!$C$9:$C$108,0))="","",INDEX('Factors'!$I$9:$I$108,MATCH(J132,'Factors'!$C$9:$C$108,0))),"")&lt;&gt;"Location-based"),"Use location factor",IF(M132&lt;&gt;"Actual","Estimation method review","Ready"))))))))))</x:f>
      </x:c>
      <x:c r="W132" s="9" t="str">
        <x:f>IF(C132="","",IFERROR(IF(INDEX('Inventory'!$G$9:$G$108,MATCH(D132,'Inventory'!$C$9:$C$108,0))="","",INDEX('Inventory'!$G$9:$G$108,MATCH(D132,'Inventory'!$C$9:$C$108,0))),""))</x:f>
      </x:c>
      <x:c r="X132" s="9" t="str">
        <x:f>IF(C132="","",IFERROR(IF(INDEX('Factors'!$P$9:$P$108,MATCH(J132,'Factors'!$C$9:$C$108,0))="","",INDEX('Factors'!$P$9:$P$108,MATCH(J132,'Factors'!$C$9:$C$108,0))),""))</x:f>
      </x:c>
    </x:row>
    <x:row r="133" ht="26" customHeight="1">
      <x:c r="A133" s="1"/>
      <x:c r="B133" s="1"/>
      <x:c r="C133" s="8"/>
      <x:c r="D133" s="8"/>
      <x:c r="E133" s="8"/>
      <x:c r="F133" s="8"/>
      <x:c r="G133" s="8"/>
      <x:c r="H133" s="16"/>
      <x:c r="I133" s="8"/>
      <x:c r="J133" s="8"/>
      <x:c r="K133" s="22"/>
      <x:c r="L133" s="8"/>
      <x:c r="M133" s="8"/>
      <x:c r="N133" s="40"/>
      <x:c r="O133" s="41" t="str">
        <x:f>IF(C133="","",IFERROR(IF(INDEX('Factors'!$G$9:$G$108,MATCH(J133,'Factors'!$C$9:$C$108,0))="","",INDEX('Factors'!$G$9:$G$108,MATCH(J133,'Factors'!$C$9:$C$108,0))),""))</x:f>
      </x:c>
      <x:c r="P133" s="9" t="str">
        <x:f>IF(C133="","",IFERROR(IF(INDEX('Factors'!$F$9:$F$108,MATCH(J133,'Factors'!$C$9:$C$108,0))="","",INDEX('Factors'!$F$9:$F$108,MATCH(J133,'Factors'!$C$9:$C$108,0))),""))</x:f>
      </x:c>
      <x:c r="Q133" s="9" t="str">
        <x:f>IF(C133="","",IFERROR(IF(INDEX('Factors'!$H$9:$H$108,MATCH(J133,'Factors'!$C$9:$C$108,0))="","",INDEX('Factors'!$H$9:$H$108,MATCH(J133,'Factors'!$C$9:$C$108,0))),""))</x:f>
      </x:c>
      <x:c r="R133" s="9" t="str">
        <x:f>IF(C133="","",IFERROR(IF(INDEX('Factors'!$E$9:$E$108,MATCH(J133,'Factors'!$C$9:$C$108,0))="","",INDEX('Factors'!$E$9:$E$108,MATCH(J133,'Factors'!$C$9:$C$108,0))),""))</x:f>
      </x:c>
      <x:c r="S133" s="42" t="str">
        <x:f>IF(C133="","",IFERROR(IF(INDEX('Factors'!$J$9:$J$108,MATCH(J133,'Factors'!$C$9:$C$108,0))="","",INDEX('Factors'!$J$9:$J$108,MATCH(J133,'Factors'!$C$9:$C$108,0))),""))</x:f>
      </x:c>
      <x:c r="T133" s="9" t="str">
        <x:f>IF(C133="","",IFERROR(IF(INDEX('Factors'!$L$9:$L$108,MATCH(J133,'Factors'!$C$9:$C$108,0))="","",INDEX('Factors'!$L$9:$L$108,MATCH(J133,'Factors'!$C$9:$C$108,0))),"")&amp;" / "&amp;IFERROR(IF(INDEX('Factors'!$M$9:$M$108,MATCH(J133,'Factors'!$C$9:$C$108,0))="","",INDEX('Factors'!$M$9:$M$108,MATCH(J133,'Factors'!$C$9:$C$108,0))),""))</x:f>
      </x:c>
      <x:c r="U133" s="21" t="str">
        <x:f>IF(V133="Ready",H133*O133/1000,"")</x:f>
      </x:c>
      <x:c r="V133" s="9" t="str">
        <x:f>IF(C133="","",IF(OR(COUNTIFS($C$9:$C$308,C133)&lt;&gt;1,COUNTIFS($D$9:$D$308,D133,$E$9:$E$308,E133,$F$9:$F$308,F133,$G$9:$G$308,G133,$K$9:$K$308,K133)&lt;&gt;1),"Duplicate annual activity",IF(COUNTIFS('Inventory'!$C$9:$C$108,D133)&lt;&gt;1,"Entity required",IF(OR(E133="",L133="",NOT(ISNUMBER(H133)),H133&lt;0,NOT(ISNUMBER(K133)),NOT(ISNUMBER(N133))),"Missing activity input",IF(AND(E133&lt;&gt;D133,OR(COUNTIFS('Sites'!$C$9:$C$108,E133)&lt;&gt;1,IFERROR(IF(INDEX('Sites'!$D$9:$D$108,MATCH(E133,'Sites'!$C$9:$C$108,0))="","",INDEX('Sites'!$D$9:$D$108,MATCH(E133,'Sites'!$C$9:$C$108,0))),"")&lt;&gt;IFERROR(IF(INDEX('Inventory'!$D$9:$D$108,MATCH(D133,'Inventory'!$C$9:$C$108,0))="","",INDEX('Inventory'!$D$9:$D$108,MATCH(D133,'Inventory'!$C$9:$C$108,0))),""),IFERROR(IF(INDEX('Sites'!$E$9:$E$108,MATCH(E133,'Sites'!$C$9:$C$108,0))="","",INDEX('Sites'!$E$9:$E$108,MATCH(E133,'Sites'!$C$9:$C$108,0))),"")&lt;&gt;W133)),"Site / entity mismatch",IF(N133&lt;'Settings'!$F$8,"Expired",IF(X133&lt;&gt;"Ready","Factor required",IF(OR(G133&lt;&gt;IFERROR(IF(INDEX('Factors'!$D$9:$D$108,MATCH(J133,'Factors'!$C$9:$C$108,0))="","",INDEX('Factors'!$D$9:$D$108,MATCH(J133,'Factors'!$C$9:$C$108,0))),""),I133&lt;&gt;P133,F133&lt;&gt;Q133,K133&lt;&gt;S133,AND(R133&lt;&gt;"Global",R133&lt;&gt;W133),K133&lt;&gt;YEAR(IFERROR(IF(INDEX('Inventory'!$H$9:$H$108,MATCH(D133,'Inventory'!$C$9:$C$108,0))="","",INDEX('Inventory'!$H$9:$H$108,MATCH(D133,'Inventory'!$C$9:$C$108,0))),""))),"Factor / boundary mismatch",IF(AND(F133="S2",IFERROR(IF(INDEX('Factors'!$I$9:$I$108,MATCH(J133,'Factors'!$C$9:$C$108,0))="","",INDEX('Factors'!$I$9:$I$108,MATCH(J133,'Factors'!$C$9:$C$108,0))),"")&lt;&gt;"Location-based"),"Use location factor",IF(M133&lt;&gt;"Actual","Estimation method review","Ready"))))))))))</x:f>
      </x:c>
      <x:c r="W133" s="9" t="str">
        <x:f>IF(C133="","",IFERROR(IF(INDEX('Inventory'!$G$9:$G$108,MATCH(D133,'Inventory'!$C$9:$C$108,0))="","",INDEX('Inventory'!$G$9:$G$108,MATCH(D133,'Inventory'!$C$9:$C$108,0))),""))</x:f>
      </x:c>
      <x:c r="X133" s="9" t="str">
        <x:f>IF(C133="","",IFERROR(IF(INDEX('Factors'!$P$9:$P$108,MATCH(J133,'Factors'!$C$9:$C$108,0))="","",INDEX('Factors'!$P$9:$P$108,MATCH(J133,'Factors'!$C$9:$C$108,0))),""))</x:f>
      </x:c>
    </x:row>
    <x:row r="134" ht="26" customHeight="1">
      <x:c r="A134" s="1"/>
      <x:c r="B134" s="1"/>
      <x:c r="C134" s="8"/>
      <x:c r="D134" s="8"/>
      <x:c r="E134" s="8"/>
      <x:c r="F134" s="8"/>
      <x:c r="G134" s="8"/>
      <x:c r="H134" s="16"/>
      <x:c r="I134" s="8"/>
      <x:c r="J134" s="8"/>
      <x:c r="K134" s="22"/>
      <x:c r="L134" s="8"/>
      <x:c r="M134" s="8"/>
      <x:c r="N134" s="40"/>
      <x:c r="O134" s="41" t="str">
        <x:f>IF(C134="","",IFERROR(IF(INDEX('Factors'!$G$9:$G$108,MATCH(J134,'Factors'!$C$9:$C$108,0))="","",INDEX('Factors'!$G$9:$G$108,MATCH(J134,'Factors'!$C$9:$C$108,0))),""))</x:f>
      </x:c>
      <x:c r="P134" s="9" t="str">
        <x:f>IF(C134="","",IFERROR(IF(INDEX('Factors'!$F$9:$F$108,MATCH(J134,'Factors'!$C$9:$C$108,0))="","",INDEX('Factors'!$F$9:$F$108,MATCH(J134,'Factors'!$C$9:$C$108,0))),""))</x:f>
      </x:c>
      <x:c r="Q134" s="9" t="str">
        <x:f>IF(C134="","",IFERROR(IF(INDEX('Factors'!$H$9:$H$108,MATCH(J134,'Factors'!$C$9:$C$108,0))="","",INDEX('Factors'!$H$9:$H$108,MATCH(J134,'Factors'!$C$9:$C$108,0))),""))</x:f>
      </x:c>
      <x:c r="R134" s="9" t="str">
        <x:f>IF(C134="","",IFERROR(IF(INDEX('Factors'!$E$9:$E$108,MATCH(J134,'Factors'!$C$9:$C$108,0))="","",INDEX('Factors'!$E$9:$E$108,MATCH(J134,'Factors'!$C$9:$C$108,0))),""))</x:f>
      </x:c>
      <x:c r="S134" s="42" t="str">
        <x:f>IF(C134="","",IFERROR(IF(INDEX('Factors'!$J$9:$J$108,MATCH(J134,'Factors'!$C$9:$C$108,0))="","",INDEX('Factors'!$J$9:$J$108,MATCH(J134,'Factors'!$C$9:$C$108,0))),""))</x:f>
      </x:c>
      <x:c r="T134" s="9" t="str">
        <x:f>IF(C134="","",IFERROR(IF(INDEX('Factors'!$L$9:$L$108,MATCH(J134,'Factors'!$C$9:$C$108,0))="","",INDEX('Factors'!$L$9:$L$108,MATCH(J134,'Factors'!$C$9:$C$108,0))),"")&amp;" / "&amp;IFERROR(IF(INDEX('Factors'!$M$9:$M$108,MATCH(J134,'Factors'!$C$9:$C$108,0))="","",INDEX('Factors'!$M$9:$M$108,MATCH(J134,'Factors'!$C$9:$C$108,0))),""))</x:f>
      </x:c>
      <x:c r="U134" s="21" t="str">
        <x:f>IF(V134="Ready",H134*O134/1000,"")</x:f>
      </x:c>
      <x:c r="V134" s="9" t="str">
        <x:f>IF(C134="","",IF(OR(COUNTIFS($C$9:$C$308,C134)&lt;&gt;1,COUNTIFS($D$9:$D$308,D134,$E$9:$E$308,E134,$F$9:$F$308,F134,$G$9:$G$308,G134,$K$9:$K$308,K134)&lt;&gt;1),"Duplicate annual activity",IF(COUNTIFS('Inventory'!$C$9:$C$108,D134)&lt;&gt;1,"Entity required",IF(OR(E134="",L134="",NOT(ISNUMBER(H134)),H134&lt;0,NOT(ISNUMBER(K134)),NOT(ISNUMBER(N134))),"Missing activity input",IF(AND(E134&lt;&gt;D134,OR(COUNTIFS('Sites'!$C$9:$C$108,E134)&lt;&gt;1,IFERROR(IF(INDEX('Sites'!$D$9:$D$108,MATCH(E134,'Sites'!$C$9:$C$108,0))="","",INDEX('Sites'!$D$9:$D$108,MATCH(E134,'Sites'!$C$9:$C$108,0))),"")&lt;&gt;IFERROR(IF(INDEX('Inventory'!$D$9:$D$108,MATCH(D134,'Inventory'!$C$9:$C$108,0))="","",INDEX('Inventory'!$D$9:$D$108,MATCH(D134,'Inventory'!$C$9:$C$108,0))),""),IFERROR(IF(INDEX('Sites'!$E$9:$E$108,MATCH(E134,'Sites'!$C$9:$C$108,0))="","",INDEX('Sites'!$E$9:$E$108,MATCH(E134,'Sites'!$C$9:$C$108,0))),"")&lt;&gt;W134)),"Site / entity mismatch",IF(N134&lt;'Settings'!$F$8,"Expired",IF(X134&lt;&gt;"Ready","Factor required",IF(OR(G134&lt;&gt;IFERROR(IF(INDEX('Factors'!$D$9:$D$108,MATCH(J134,'Factors'!$C$9:$C$108,0))="","",INDEX('Factors'!$D$9:$D$108,MATCH(J134,'Factors'!$C$9:$C$108,0))),""),I134&lt;&gt;P134,F134&lt;&gt;Q134,K134&lt;&gt;S134,AND(R134&lt;&gt;"Global",R134&lt;&gt;W134),K134&lt;&gt;YEAR(IFERROR(IF(INDEX('Inventory'!$H$9:$H$108,MATCH(D134,'Inventory'!$C$9:$C$108,0))="","",INDEX('Inventory'!$H$9:$H$108,MATCH(D134,'Inventory'!$C$9:$C$108,0))),""))),"Factor / boundary mismatch",IF(AND(F134="S2",IFERROR(IF(INDEX('Factors'!$I$9:$I$108,MATCH(J134,'Factors'!$C$9:$C$108,0))="","",INDEX('Factors'!$I$9:$I$108,MATCH(J134,'Factors'!$C$9:$C$108,0))),"")&lt;&gt;"Location-based"),"Use location factor",IF(M134&lt;&gt;"Actual","Estimation method review","Ready"))))))))))</x:f>
      </x:c>
      <x:c r="W134" s="9" t="str">
        <x:f>IF(C134="","",IFERROR(IF(INDEX('Inventory'!$G$9:$G$108,MATCH(D134,'Inventory'!$C$9:$C$108,0))="","",INDEX('Inventory'!$G$9:$G$108,MATCH(D134,'Inventory'!$C$9:$C$108,0))),""))</x:f>
      </x:c>
      <x:c r="X134" s="9" t="str">
        <x:f>IF(C134="","",IFERROR(IF(INDEX('Factors'!$P$9:$P$108,MATCH(J134,'Factors'!$C$9:$C$108,0))="","",INDEX('Factors'!$P$9:$P$108,MATCH(J134,'Factors'!$C$9:$C$108,0))),""))</x:f>
      </x:c>
    </x:row>
    <x:row r="135" ht="26" customHeight="1">
      <x:c r="A135" s="1"/>
      <x:c r="B135" s="1"/>
      <x:c r="C135" s="8"/>
      <x:c r="D135" s="8"/>
      <x:c r="E135" s="8"/>
      <x:c r="F135" s="8"/>
      <x:c r="G135" s="8"/>
      <x:c r="H135" s="16"/>
      <x:c r="I135" s="8"/>
      <x:c r="J135" s="8"/>
      <x:c r="K135" s="22"/>
      <x:c r="L135" s="8"/>
      <x:c r="M135" s="8"/>
      <x:c r="N135" s="40"/>
      <x:c r="O135" s="41" t="str">
        <x:f>IF(C135="","",IFERROR(IF(INDEX('Factors'!$G$9:$G$108,MATCH(J135,'Factors'!$C$9:$C$108,0))="","",INDEX('Factors'!$G$9:$G$108,MATCH(J135,'Factors'!$C$9:$C$108,0))),""))</x:f>
      </x:c>
      <x:c r="P135" s="9" t="str">
        <x:f>IF(C135="","",IFERROR(IF(INDEX('Factors'!$F$9:$F$108,MATCH(J135,'Factors'!$C$9:$C$108,0))="","",INDEX('Factors'!$F$9:$F$108,MATCH(J135,'Factors'!$C$9:$C$108,0))),""))</x:f>
      </x:c>
      <x:c r="Q135" s="9" t="str">
        <x:f>IF(C135="","",IFERROR(IF(INDEX('Factors'!$H$9:$H$108,MATCH(J135,'Factors'!$C$9:$C$108,0))="","",INDEX('Factors'!$H$9:$H$108,MATCH(J135,'Factors'!$C$9:$C$108,0))),""))</x:f>
      </x:c>
      <x:c r="R135" s="9" t="str">
        <x:f>IF(C135="","",IFERROR(IF(INDEX('Factors'!$E$9:$E$108,MATCH(J135,'Factors'!$C$9:$C$108,0))="","",INDEX('Factors'!$E$9:$E$108,MATCH(J135,'Factors'!$C$9:$C$108,0))),""))</x:f>
      </x:c>
      <x:c r="S135" s="42" t="str">
        <x:f>IF(C135="","",IFERROR(IF(INDEX('Factors'!$J$9:$J$108,MATCH(J135,'Factors'!$C$9:$C$108,0))="","",INDEX('Factors'!$J$9:$J$108,MATCH(J135,'Factors'!$C$9:$C$108,0))),""))</x:f>
      </x:c>
      <x:c r="T135" s="9" t="str">
        <x:f>IF(C135="","",IFERROR(IF(INDEX('Factors'!$L$9:$L$108,MATCH(J135,'Factors'!$C$9:$C$108,0))="","",INDEX('Factors'!$L$9:$L$108,MATCH(J135,'Factors'!$C$9:$C$108,0))),"")&amp;" / "&amp;IFERROR(IF(INDEX('Factors'!$M$9:$M$108,MATCH(J135,'Factors'!$C$9:$C$108,0))="","",INDEX('Factors'!$M$9:$M$108,MATCH(J135,'Factors'!$C$9:$C$108,0))),""))</x:f>
      </x:c>
      <x:c r="U135" s="21" t="str">
        <x:f>IF(V135="Ready",H135*O135/1000,"")</x:f>
      </x:c>
      <x:c r="V135" s="9" t="str">
        <x:f>IF(C135="","",IF(OR(COUNTIFS($C$9:$C$308,C135)&lt;&gt;1,COUNTIFS($D$9:$D$308,D135,$E$9:$E$308,E135,$F$9:$F$308,F135,$G$9:$G$308,G135,$K$9:$K$308,K135)&lt;&gt;1),"Duplicate annual activity",IF(COUNTIFS('Inventory'!$C$9:$C$108,D135)&lt;&gt;1,"Entity required",IF(OR(E135="",L135="",NOT(ISNUMBER(H135)),H135&lt;0,NOT(ISNUMBER(K135)),NOT(ISNUMBER(N135))),"Missing activity input",IF(AND(E135&lt;&gt;D135,OR(COUNTIFS('Sites'!$C$9:$C$108,E135)&lt;&gt;1,IFERROR(IF(INDEX('Sites'!$D$9:$D$108,MATCH(E135,'Sites'!$C$9:$C$108,0))="","",INDEX('Sites'!$D$9:$D$108,MATCH(E135,'Sites'!$C$9:$C$108,0))),"")&lt;&gt;IFERROR(IF(INDEX('Inventory'!$D$9:$D$108,MATCH(D135,'Inventory'!$C$9:$C$108,0))="","",INDEX('Inventory'!$D$9:$D$108,MATCH(D135,'Inventory'!$C$9:$C$108,0))),""),IFERROR(IF(INDEX('Sites'!$E$9:$E$108,MATCH(E135,'Sites'!$C$9:$C$108,0))="","",INDEX('Sites'!$E$9:$E$108,MATCH(E135,'Sites'!$C$9:$C$108,0))),"")&lt;&gt;W135)),"Site / entity mismatch",IF(N135&lt;'Settings'!$F$8,"Expired",IF(X135&lt;&gt;"Ready","Factor required",IF(OR(G135&lt;&gt;IFERROR(IF(INDEX('Factors'!$D$9:$D$108,MATCH(J135,'Factors'!$C$9:$C$108,0))="","",INDEX('Factors'!$D$9:$D$108,MATCH(J135,'Factors'!$C$9:$C$108,0))),""),I135&lt;&gt;P135,F135&lt;&gt;Q135,K135&lt;&gt;S135,AND(R135&lt;&gt;"Global",R135&lt;&gt;W135),K135&lt;&gt;YEAR(IFERROR(IF(INDEX('Inventory'!$H$9:$H$108,MATCH(D135,'Inventory'!$C$9:$C$108,0))="","",INDEX('Inventory'!$H$9:$H$108,MATCH(D135,'Inventory'!$C$9:$C$108,0))),""))),"Factor / boundary mismatch",IF(AND(F135="S2",IFERROR(IF(INDEX('Factors'!$I$9:$I$108,MATCH(J135,'Factors'!$C$9:$C$108,0))="","",INDEX('Factors'!$I$9:$I$108,MATCH(J135,'Factors'!$C$9:$C$108,0))),"")&lt;&gt;"Location-based"),"Use location factor",IF(M135&lt;&gt;"Actual","Estimation method review","Ready"))))))))))</x:f>
      </x:c>
      <x:c r="W135" s="9" t="str">
        <x:f>IF(C135="","",IFERROR(IF(INDEX('Inventory'!$G$9:$G$108,MATCH(D135,'Inventory'!$C$9:$C$108,0))="","",INDEX('Inventory'!$G$9:$G$108,MATCH(D135,'Inventory'!$C$9:$C$108,0))),""))</x:f>
      </x:c>
      <x:c r="X135" s="9" t="str">
        <x:f>IF(C135="","",IFERROR(IF(INDEX('Factors'!$P$9:$P$108,MATCH(J135,'Factors'!$C$9:$C$108,0))="","",INDEX('Factors'!$P$9:$P$108,MATCH(J135,'Factors'!$C$9:$C$108,0))),""))</x:f>
      </x:c>
    </x:row>
    <x:row r="136" ht="26" customHeight="1">
      <x:c r="A136" s="1"/>
      <x:c r="B136" s="1"/>
      <x:c r="C136" s="8"/>
      <x:c r="D136" s="8"/>
      <x:c r="E136" s="8"/>
      <x:c r="F136" s="8"/>
      <x:c r="G136" s="8"/>
      <x:c r="H136" s="16"/>
      <x:c r="I136" s="8"/>
      <x:c r="J136" s="8"/>
      <x:c r="K136" s="22"/>
      <x:c r="L136" s="8"/>
      <x:c r="M136" s="8"/>
      <x:c r="N136" s="40"/>
      <x:c r="O136" s="41" t="str">
        <x:f>IF(C136="","",IFERROR(IF(INDEX('Factors'!$G$9:$G$108,MATCH(J136,'Factors'!$C$9:$C$108,0))="","",INDEX('Factors'!$G$9:$G$108,MATCH(J136,'Factors'!$C$9:$C$108,0))),""))</x:f>
      </x:c>
      <x:c r="P136" s="9" t="str">
        <x:f>IF(C136="","",IFERROR(IF(INDEX('Factors'!$F$9:$F$108,MATCH(J136,'Factors'!$C$9:$C$108,0))="","",INDEX('Factors'!$F$9:$F$108,MATCH(J136,'Factors'!$C$9:$C$108,0))),""))</x:f>
      </x:c>
      <x:c r="Q136" s="9" t="str">
        <x:f>IF(C136="","",IFERROR(IF(INDEX('Factors'!$H$9:$H$108,MATCH(J136,'Factors'!$C$9:$C$108,0))="","",INDEX('Factors'!$H$9:$H$108,MATCH(J136,'Factors'!$C$9:$C$108,0))),""))</x:f>
      </x:c>
      <x:c r="R136" s="9" t="str">
        <x:f>IF(C136="","",IFERROR(IF(INDEX('Factors'!$E$9:$E$108,MATCH(J136,'Factors'!$C$9:$C$108,0))="","",INDEX('Factors'!$E$9:$E$108,MATCH(J136,'Factors'!$C$9:$C$108,0))),""))</x:f>
      </x:c>
      <x:c r="S136" s="42" t="str">
        <x:f>IF(C136="","",IFERROR(IF(INDEX('Factors'!$J$9:$J$108,MATCH(J136,'Factors'!$C$9:$C$108,0))="","",INDEX('Factors'!$J$9:$J$108,MATCH(J136,'Factors'!$C$9:$C$108,0))),""))</x:f>
      </x:c>
      <x:c r="T136" s="9" t="str">
        <x:f>IF(C136="","",IFERROR(IF(INDEX('Factors'!$L$9:$L$108,MATCH(J136,'Factors'!$C$9:$C$108,0))="","",INDEX('Factors'!$L$9:$L$108,MATCH(J136,'Factors'!$C$9:$C$108,0))),"")&amp;" / "&amp;IFERROR(IF(INDEX('Factors'!$M$9:$M$108,MATCH(J136,'Factors'!$C$9:$C$108,0))="","",INDEX('Factors'!$M$9:$M$108,MATCH(J136,'Factors'!$C$9:$C$108,0))),""))</x:f>
      </x:c>
      <x:c r="U136" s="21" t="str">
        <x:f>IF(V136="Ready",H136*O136/1000,"")</x:f>
      </x:c>
      <x:c r="V136" s="9" t="str">
        <x:f>IF(C136="","",IF(OR(COUNTIFS($C$9:$C$308,C136)&lt;&gt;1,COUNTIFS($D$9:$D$308,D136,$E$9:$E$308,E136,$F$9:$F$308,F136,$G$9:$G$308,G136,$K$9:$K$308,K136)&lt;&gt;1),"Duplicate annual activity",IF(COUNTIFS('Inventory'!$C$9:$C$108,D136)&lt;&gt;1,"Entity required",IF(OR(E136="",L136="",NOT(ISNUMBER(H136)),H136&lt;0,NOT(ISNUMBER(K136)),NOT(ISNUMBER(N136))),"Missing activity input",IF(AND(E136&lt;&gt;D136,OR(COUNTIFS('Sites'!$C$9:$C$108,E136)&lt;&gt;1,IFERROR(IF(INDEX('Sites'!$D$9:$D$108,MATCH(E136,'Sites'!$C$9:$C$108,0))="","",INDEX('Sites'!$D$9:$D$108,MATCH(E136,'Sites'!$C$9:$C$108,0))),"")&lt;&gt;IFERROR(IF(INDEX('Inventory'!$D$9:$D$108,MATCH(D136,'Inventory'!$C$9:$C$108,0))="","",INDEX('Inventory'!$D$9:$D$108,MATCH(D136,'Inventory'!$C$9:$C$108,0))),""),IFERROR(IF(INDEX('Sites'!$E$9:$E$108,MATCH(E136,'Sites'!$C$9:$C$108,0))="","",INDEX('Sites'!$E$9:$E$108,MATCH(E136,'Sites'!$C$9:$C$108,0))),"")&lt;&gt;W136)),"Site / entity mismatch",IF(N136&lt;'Settings'!$F$8,"Expired",IF(X136&lt;&gt;"Ready","Factor required",IF(OR(G136&lt;&gt;IFERROR(IF(INDEX('Factors'!$D$9:$D$108,MATCH(J136,'Factors'!$C$9:$C$108,0))="","",INDEX('Factors'!$D$9:$D$108,MATCH(J136,'Factors'!$C$9:$C$108,0))),""),I136&lt;&gt;P136,F136&lt;&gt;Q136,K136&lt;&gt;S136,AND(R136&lt;&gt;"Global",R136&lt;&gt;W136),K136&lt;&gt;YEAR(IFERROR(IF(INDEX('Inventory'!$H$9:$H$108,MATCH(D136,'Inventory'!$C$9:$C$108,0))="","",INDEX('Inventory'!$H$9:$H$108,MATCH(D136,'Inventory'!$C$9:$C$108,0))),""))),"Factor / boundary mismatch",IF(AND(F136="S2",IFERROR(IF(INDEX('Factors'!$I$9:$I$108,MATCH(J136,'Factors'!$C$9:$C$108,0))="","",INDEX('Factors'!$I$9:$I$108,MATCH(J136,'Factors'!$C$9:$C$108,0))),"")&lt;&gt;"Location-based"),"Use location factor",IF(M136&lt;&gt;"Actual","Estimation method review","Ready"))))))))))</x:f>
      </x:c>
      <x:c r="W136" s="9" t="str">
        <x:f>IF(C136="","",IFERROR(IF(INDEX('Inventory'!$G$9:$G$108,MATCH(D136,'Inventory'!$C$9:$C$108,0))="","",INDEX('Inventory'!$G$9:$G$108,MATCH(D136,'Inventory'!$C$9:$C$108,0))),""))</x:f>
      </x:c>
      <x:c r="X136" s="9" t="str">
        <x:f>IF(C136="","",IFERROR(IF(INDEX('Factors'!$P$9:$P$108,MATCH(J136,'Factors'!$C$9:$C$108,0))="","",INDEX('Factors'!$P$9:$P$108,MATCH(J136,'Factors'!$C$9:$C$108,0))),""))</x:f>
      </x:c>
    </x:row>
    <x:row r="137" ht="26" customHeight="1">
      <x:c r="A137" s="1"/>
      <x:c r="B137" s="1"/>
      <x:c r="C137" s="8"/>
      <x:c r="D137" s="8"/>
      <x:c r="E137" s="8"/>
      <x:c r="F137" s="8"/>
      <x:c r="G137" s="8"/>
      <x:c r="H137" s="16"/>
      <x:c r="I137" s="8"/>
      <x:c r="J137" s="8"/>
      <x:c r="K137" s="22"/>
      <x:c r="L137" s="8"/>
      <x:c r="M137" s="8"/>
      <x:c r="N137" s="40"/>
      <x:c r="O137" s="41" t="str">
        <x:f>IF(C137="","",IFERROR(IF(INDEX('Factors'!$G$9:$G$108,MATCH(J137,'Factors'!$C$9:$C$108,0))="","",INDEX('Factors'!$G$9:$G$108,MATCH(J137,'Factors'!$C$9:$C$108,0))),""))</x:f>
      </x:c>
      <x:c r="P137" s="9" t="str">
        <x:f>IF(C137="","",IFERROR(IF(INDEX('Factors'!$F$9:$F$108,MATCH(J137,'Factors'!$C$9:$C$108,0))="","",INDEX('Factors'!$F$9:$F$108,MATCH(J137,'Factors'!$C$9:$C$108,0))),""))</x:f>
      </x:c>
      <x:c r="Q137" s="9" t="str">
        <x:f>IF(C137="","",IFERROR(IF(INDEX('Factors'!$H$9:$H$108,MATCH(J137,'Factors'!$C$9:$C$108,0))="","",INDEX('Factors'!$H$9:$H$108,MATCH(J137,'Factors'!$C$9:$C$108,0))),""))</x:f>
      </x:c>
      <x:c r="R137" s="9" t="str">
        <x:f>IF(C137="","",IFERROR(IF(INDEX('Factors'!$E$9:$E$108,MATCH(J137,'Factors'!$C$9:$C$108,0))="","",INDEX('Factors'!$E$9:$E$108,MATCH(J137,'Factors'!$C$9:$C$108,0))),""))</x:f>
      </x:c>
      <x:c r="S137" s="42" t="str">
        <x:f>IF(C137="","",IFERROR(IF(INDEX('Factors'!$J$9:$J$108,MATCH(J137,'Factors'!$C$9:$C$108,0))="","",INDEX('Factors'!$J$9:$J$108,MATCH(J137,'Factors'!$C$9:$C$108,0))),""))</x:f>
      </x:c>
      <x:c r="T137" s="9" t="str">
        <x:f>IF(C137="","",IFERROR(IF(INDEX('Factors'!$L$9:$L$108,MATCH(J137,'Factors'!$C$9:$C$108,0))="","",INDEX('Factors'!$L$9:$L$108,MATCH(J137,'Factors'!$C$9:$C$108,0))),"")&amp;" / "&amp;IFERROR(IF(INDEX('Factors'!$M$9:$M$108,MATCH(J137,'Factors'!$C$9:$C$108,0))="","",INDEX('Factors'!$M$9:$M$108,MATCH(J137,'Factors'!$C$9:$C$108,0))),""))</x:f>
      </x:c>
      <x:c r="U137" s="21" t="str">
        <x:f>IF(V137="Ready",H137*O137/1000,"")</x:f>
      </x:c>
      <x:c r="V137" s="9" t="str">
        <x:f>IF(C137="","",IF(OR(COUNTIFS($C$9:$C$308,C137)&lt;&gt;1,COUNTIFS($D$9:$D$308,D137,$E$9:$E$308,E137,$F$9:$F$308,F137,$G$9:$G$308,G137,$K$9:$K$308,K137)&lt;&gt;1),"Duplicate annual activity",IF(COUNTIFS('Inventory'!$C$9:$C$108,D137)&lt;&gt;1,"Entity required",IF(OR(E137="",L137="",NOT(ISNUMBER(H137)),H137&lt;0,NOT(ISNUMBER(K137)),NOT(ISNUMBER(N137))),"Missing activity input",IF(AND(E137&lt;&gt;D137,OR(COUNTIFS('Sites'!$C$9:$C$108,E137)&lt;&gt;1,IFERROR(IF(INDEX('Sites'!$D$9:$D$108,MATCH(E137,'Sites'!$C$9:$C$108,0))="","",INDEX('Sites'!$D$9:$D$108,MATCH(E137,'Sites'!$C$9:$C$108,0))),"")&lt;&gt;IFERROR(IF(INDEX('Inventory'!$D$9:$D$108,MATCH(D137,'Inventory'!$C$9:$C$108,0))="","",INDEX('Inventory'!$D$9:$D$108,MATCH(D137,'Inventory'!$C$9:$C$108,0))),""),IFERROR(IF(INDEX('Sites'!$E$9:$E$108,MATCH(E137,'Sites'!$C$9:$C$108,0))="","",INDEX('Sites'!$E$9:$E$108,MATCH(E137,'Sites'!$C$9:$C$108,0))),"")&lt;&gt;W137)),"Site / entity mismatch",IF(N137&lt;'Settings'!$F$8,"Expired",IF(X137&lt;&gt;"Ready","Factor required",IF(OR(G137&lt;&gt;IFERROR(IF(INDEX('Factors'!$D$9:$D$108,MATCH(J137,'Factors'!$C$9:$C$108,0))="","",INDEX('Factors'!$D$9:$D$108,MATCH(J137,'Factors'!$C$9:$C$108,0))),""),I137&lt;&gt;P137,F137&lt;&gt;Q137,K137&lt;&gt;S137,AND(R137&lt;&gt;"Global",R137&lt;&gt;W137),K137&lt;&gt;YEAR(IFERROR(IF(INDEX('Inventory'!$H$9:$H$108,MATCH(D137,'Inventory'!$C$9:$C$108,0))="","",INDEX('Inventory'!$H$9:$H$108,MATCH(D137,'Inventory'!$C$9:$C$108,0))),""))),"Factor / boundary mismatch",IF(AND(F137="S2",IFERROR(IF(INDEX('Factors'!$I$9:$I$108,MATCH(J137,'Factors'!$C$9:$C$108,0))="","",INDEX('Factors'!$I$9:$I$108,MATCH(J137,'Factors'!$C$9:$C$108,0))),"")&lt;&gt;"Location-based"),"Use location factor",IF(M137&lt;&gt;"Actual","Estimation method review","Ready"))))))))))</x:f>
      </x:c>
      <x:c r="W137" s="9" t="str">
        <x:f>IF(C137="","",IFERROR(IF(INDEX('Inventory'!$G$9:$G$108,MATCH(D137,'Inventory'!$C$9:$C$108,0))="","",INDEX('Inventory'!$G$9:$G$108,MATCH(D137,'Inventory'!$C$9:$C$108,0))),""))</x:f>
      </x:c>
      <x:c r="X137" s="9" t="str">
        <x:f>IF(C137="","",IFERROR(IF(INDEX('Factors'!$P$9:$P$108,MATCH(J137,'Factors'!$C$9:$C$108,0))="","",INDEX('Factors'!$P$9:$P$108,MATCH(J137,'Factors'!$C$9:$C$108,0))),""))</x:f>
      </x:c>
    </x:row>
    <x:row r="138" ht="26" customHeight="1">
      <x:c r="A138" s="1"/>
      <x:c r="B138" s="1"/>
      <x:c r="C138" s="8"/>
      <x:c r="D138" s="8"/>
      <x:c r="E138" s="8"/>
      <x:c r="F138" s="8"/>
      <x:c r="G138" s="8"/>
      <x:c r="H138" s="16"/>
      <x:c r="I138" s="8"/>
      <x:c r="J138" s="8"/>
      <x:c r="K138" s="22"/>
      <x:c r="L138" s="8"/>
      <x:c r="M138" s="8"/>
      <x:c r="N138" s="40"/>
      <x:c r="O138" s="41" t="str">
        <x:f>IF(C138="","",IFERROR(IF(INDEX('Factors'!$G$9:$G$108,MATCH(J138,'Factors'!$C$9:$C$108,0))="","",INDEX('Factors'!$G$9:$G$108,MATCH(J138,'Factors'!$C$9:$C$108,0))),""))</x:f>
      </x:c>
      <x:c r="P138" s="9" t="str">
        <x:f>IF(C138="","",IFERROR(IF(INDEX('Factors'!$F$9:$F$108,MATCH(J138,'Factors'!$C$9:$C$108,0))="","",INDEX('Factors'!$F$9:$F$108,MATCH(J138,'Factors'!$C$9:$C$108,0))),""))</x:f>
      </x:c>
      <x:c r="Q138" s="9" t="str">
        <x:f>IF(C138="","",IFERROR(IF(INDEX('Factors'!$H$9:$H$108,MATCH(J138,'Factors'!$C$9:$C$108,0))="","",INDEX('Factors'!$H$9:$H$108,MATCH(J138,'Factors'!$C$9:$C$108,0))),""))</x:f>
      </x:c>
      <x:c r="R138" s="9" t="str">
        <x:f>IF(C138="","",IFERROR(IF(INDEX('Factors'!$E$9:$E$108,MATCH(J138,'Factors'!$C$9:$C$108,0))="","",INDEX('Factors'!$E$9:$E$108,MATCH(J138,'Factors'!$C$9:$C$108,0))),""))</x:f>
      </x:c>
      <x:c r="S138" s="42" t="str">
        <x:f>IF(C138="","",IFERROR(IF(INDEX('Factors'!$J$9:$J$108,MATCH(J138,'Factors'!$C$9:$C$108,0))="","",INDEX('Factors'!$J$9:$J$108,MATCH(J138,'Factors'!$C$9:$C$108,0))),""))</x:f>
      </x:c>
      <x:c r="T138" s="9" t="str">
        <x:f>IF(C138="","",IFERROR(IF(INDEX('Factors'!$L$9:$L$108,MATCH(J138,'Factors'!$C$9:$C$108,0))="","",INDEX('Factors'!$L$9:$L$108,MATCH(J138,'Factors'!$C$9:$C$108,0))),"")&amp;" / "&amp;IFERROR(IF(INDEX('Factors'!$M$9:$M$108,MATCH(J138,'Factors'!$C$9:$C$108,0))="","",INDEX('Factors'!$M$9:$M$108,MATCH(J138,'Factors'!$C$9:$C$108,0))),""))</x:f>
      </x:c>
      <x:c r="U138" s="21" t="str">
        <x:f>IF(V138="Ready",H138*O138/1000,"")</x:f>
      </x:c>
      <x:c r="V138" s="9" t="str">
        <x:f>IF(C138="","",IF(OR(COUNTIFS($C$9:$C$308,C138)&lt;&gt;1,COUNTIFS($D$9:$D$308,D138,$E$9:$E$308,E138,$F$9:$F$308,F138,$G$9:$G$308,G138,$K$9:$K$308,K138)&lt;&gt;1),"Duplicate annual activity",IF(COUNTIFS('Inventory'!$C$9:$C$108,D138)&lt;&gt;1,"Entity required",IF(OR(E138="",L138="",NOT(ISNUMBER(H138)),H138&lt;0,NOT(ISNUMBER(K138)),NOT(ISNUMBER(N138))),"Missing activity input",IF(AND(E138&lt;&gt;D138,OR(COUNTIFS('Sites'!$C$9:$C$108,E138)&lt;&gt;1,IFERROR(IF(INDEX('Sites'!$D$9:$D$108,MATCH(E138,'Sites'!$C$9:$C$108,0))="","",INDEX('Sites'!$D$9:$D$108,MATCH(E138,'Sites'!$C$9:$C$108,0))),"")&lt;&gt;IFERROR(IF(INDEX('Inventory'!$D$9:$D$108,MATCH(D138,'Inventory'!$C$9:$C$108,0))="","",INDEX('Inventory'!$D$9:$D$108,MATCH(D138,'Inventory'!$C$9:$C$108,0))),""),IFERROR(IF(INDEX('Sites'!$E$9:$E$108,MATCH(E138,'Sites'!$C$9:$C$108,0))="","",INDEX('Sites'!$E$9:$E$108,MATCH(E138,'Sites'!$C$9:$C$108,0))),"")&lt;&gt;W138)),"Site / entity mismatch",IF(N138&lt;'Settings'!$F$8,"Expired",IF(X138&lt;&gt;"Ready","Factor required",IF(OR(G138&lt;&gt;IFERROR(IF(INDEX('Factors'!$D$9:$D$108,MATCH(J138,'Factors'!$C$9:$C$108,0))="","",INDEX('Factors'!$D$9:$D$108,MATCH(J138,'Factors'!$C$9:$C$108,0))),""),I138&lt;&gt;P138,F138&lt;&gt;Q138,K138&lt;&gt;S138,AND(R138&lt;&gt;"Global",R138&lt;&gt;W138),K138&lt;&gt;YEAR(IFERROR(IF(INDEX('Inventory'!$H$9:$H$108,MATCH(D138,'Inventory'!$C$9:$C$108,0))="","",INDEX('Inventory'!$H$9:$H$108,MATCH(D138,'Inventory'!$C$9:$C$108,0))),""))),"Factor / boundary mismatch",IF(AND(F138="S2",IFERROR(IF(INDEX('Factors'!$I$9:$I$108,MATCH(J138,'Factors'!$C$9:$C$108,0))="","",INDEX('Factors'!$I$9:$I$108,MATCH(J138,'Factors'!$C$9:$C$108,0))),"")&lt;&gt;"Location-based"),"Use location factor",IF(M138&lt;&gt;"Actual","Estimation method review","Ready"))))))))))</x:f>
      </x:c>
      <x:c r="W138" s="9" t="str">
        <x:f>IF(C138="","",IFERROR(IF(INDEX('Inventory'!$G$9:$G$108,MATCH(D138,'Inventory'!$C$9:$C$108,0))="","",INDEX('Inventory'!$G$9:$G$108,MATCH(D138,'Inventory'!$C$9:$C$108,0))),""))</x:f>
      </x:c>
      <x:c r="X138" s="9" t="str">
        <x:f>IF(C138="","",IFERROR(IF(INDEX('Factors'!$P$9:$P$108,MATCH(J138,'Factors'!$C$9:$C$108,0))="","",INDEX('Factors'!$P$9:$P$108,MATCH(J138,'Factors'!$C$9:$C$108,0))),""))</x:f>
      </x:c>
    </x:row>
    <x:row r="139" ht="26" customHeight="1">
      <x:c r="A139" s="1"/>
      <x:c r="B139" s="1"/>
      <x:c r="C139" s="8"/>
      <x:c r="D139" s="8"/>
      <x:c r="E139" s="8"/>
      <x:c r="F139" s="8"/>
      <x:c r="G139" s="8"/>
      <x:c r="H139" s="16"/>
      <x:c r="I139" s="8"/>
      <x:c r="J139" s="8"/>
      <x:c r="K139" s="22"/>
      <x:c r="L139" s="8"/>
      <x:c r="M139" s="8"/>
      <x:c r="N139" s="40"/>
      <x:c r="O139" s="41" t="str">
        <x:f>IF(C139="","",IFERROR(IF(INDEX('Factors'!$G$9:$G$108,MATCH(J139,'Factors'!$C$9:$C$108,0))="","",INDEX('Factors'!$G$9:$G$108,MATCH(J139,'Factors'!$C$9:$C$108,0))),""))</x:f>
      </x:c>
      <x:c r="P139" s="9" t="str">
        <x:f>IF(C139="","",IFERROR(IF(INDEX('Factors'!$F$9:$F$108,MATCH(J139,'Factors'!$C$9:$C$108,0))="","",INDEX('Factors'!$F$9:$F$108,MATCH(J139,'Factors'!$C$9:$C$108,0))),""))</x:f>
      </x:c>
      <x:c r="Q139" s="9" t="str">
        <x:f>IF(C139="","",IFERROR(IF(INDEX('Factors'!$H$9:$H$108,MATCH(J139,'Factors'!$C$9:$C$108,0))="","",INDEX('Factors'!$H$9:$H$108,MATCH(J139,'Factors'!$C$9:$C$108,0))),""))</x:f>
      </x:c>
      <x:c r="R139" s="9" t="str">
        <x:f>IF(C139="","",IFERROR(IF(INDEX('Factors'!$E$9:$E$108,MATCH(J139,'Factors'!$C$9:$C$108,0))="","",INDEX('Factors'!$E$9:$E$108,MATCH(J139,'Factors'!$C$9:$C$108,0))),""))</x:f>
      </x:c>
      <x:c r="S139" s="42" t="str">
        <x:f>IF(C139="","",IFERROR(IF(INDEX('Factors'!$J$9:$J$108,MATCH(J139,'Factors'!$C$9:$C$108,0))="","",INDEX('Factors'!$J$9:$J$108,MATCH(J139,'Factors'!$C$9:$C$108,0))),""))</x:f>
      </x:c>
      <x:c r="T139" s="9" t="str">
        <x:f>IF(C139="","",IFERROR(IF(INDEX('Factors'!$L$9:$L$108,MATCH(J139,'Factors'!$C$9:$C$108,0))="","",INDEX('Factors'!$L$9:$L$108,MATCH(J139,'Factors'!$C$9:$C$108,0))),"")&amp;" / "&amp;IFERROR(IF(INDEX('Factors'!$M$9:$M$108,MATCH(J139,'Factors'!$C$9:$C$108,0))="","",INDEX('Factors'!$M$9:$M$108,MATCH(J139,'Factors'!$C$9:$C$108,0))),""))</x:f>
      </x:c>
      <x:c r="U139" s="21" t="str">
        <x:f>IF(V139="Ready",H139*O139/1000,"")</x:f>
      </x:c>
      <x:c r="V139" s="9" t="str">
        <x:f>IF(C139="","",IF(OR(COUNTIFS($C$9:$C$308,C139)&lt;&gt;1,COUNTIFS($D$9:$D$308,D139,$E$9:$E$308,E139,$F$9:$F$308,F139,$G$9:$G$308,G139,$K$9:$K$308,K139)&lt;&gt;1),"Duplicate annual activity",IF(COUNTIFS('Inventory'!$C$9:$C$108,D139)&lt;&gt;1,"Entity required",IF(OR(E139="",L139="",NOT(ISNUMBER(H139)),H139&lt;0,NOT(ISNUMBER(K139)),NOT(ISNUMBER(N139))),"Missing activity input",IF(AND(E139&lt;&gt;D139,OR(COUNTIFS('Sites'!$C$9:$C$108,E139)&lt;&gt;1,IFERROR(IF(INDEX('Sites'!$D$9:$D$108,MATCH(E139,'Sites'!$C$9:$C$108,0))="","",INDEX('Sites'!$D$9:$D$108,MATCH(E139,'Sites'!$C$9:$C$108,0))),"")&lt;&gt;IFERROR(IF(INDEX('Inventory'!$D$9:$D$108,MATCH(D139,'Inventory'!$C$9:$C$108,0))="","",INDEX('Inventory'!$D$9:$D$108,MATCH(D139,'Inventory'!$C$9:$C$108,0))),""),IFERROR(IF(INDEX('Sites'!$E$9:$E$108,MATCH(E139,'Sites'!$C$9:$C$108,0))="","",INDEX('Sites'!$E$9:$E$108,MATCH(E139,'Sites'!$C$9:$C$108,0))),"")&lt;&gt;W139)),"Site / entity mismatch",IF(N139&lt;'Settings'!$F$8,"Expired",IF(X139&lt;&gt;"Ready","Factor required",IF(OR(G139&lt;&gt;IFERROR(IF(INDEX('Factors'!$D$9:$D$108,MATCH(J139,'Factors'!$C$9:$C$108,0))="","",INDEX('Factors'!$D$9:$D$108,MATCH(J139,'Factors'!$C$9:$C$108,0))),""),I139&lt;&gt;P139,F139&lt;&gt;Q139,K139&lt;&gt;S139,AND(R139&lt;&gt;"Global",R139&lt;&gt;W139),K139&lt;&gt;YEAR(IFERROR(IF(INDEX('Inventory'!$H$9:$H$108,MATCH(D139,'Inventory'!$C$9:$C$108,0))="","",INDEX('Inventory'!$H$9:$H$108,MATCH(D139,'Inventory'!$C$9:$C$108,0))),""))),"Factor / boundary mismatch",IF(AND(F139="S2",IFERROR(IF(INDEX('Factors'!$I$9:$I$108,MATCH(J139,'Factors'!$C$9:$C$108,0))="","",INDEX('Factors'!$I$9:$I$108,MATCH(J139,'Factors'!$C$9:$C$108,0))),"")&lt;&gt;"Location-based"),"Use location factor",IF(M139&lt;&gt;"Actual","Estimation method review","Ready"))))))))))</x:f>
      </x:c>
      <x:c r="W139" s="9" t="str">
        <x:f>IF(C139="","",IFERROR(IF(INDEX('Inventory'!$G$9:$G$108,MATCH(D139,'Inventory'!$C$9:$C$108,0))="","",INDEX('Inventory'!$G$9:$G$108,MATCH(D139,'Inventory'!$C$9:$C$108,0))),""))</x:f>
      </x:c>
      <x:c r="X139" s="9" t="str">
        <x:f>IF(C139="","",IFERROR(IF(INDEX('Factors'!$P$9:$P$108,MATCH(J139,'Factors'!$C$9:$C$108,0))="","",INDEX('Factors'!$P$9:$P$108,MATCH(J139,'Factors'!$C$9:$C$108,0))),""))</x:f>
      </x:c>
    </x:row>
    <x:row r="140" ht="26" customHeight="1">
      <x:c r="A140" s="1"/>
      <x:c r="B140" s="1"/>
      <x:c r="C140" s="8"/>
      <x:c r="D140" s="8"/>
      <x:c r="E140" s="8"/>
      <x:c r="F140" s="8"/>
      <x:c r="G140" s="8"/>
      <x:c r="H140" s="16"/>
      <x:c r="I140" s="8"/>
      <x:c r="J140" s="8"/>
      <x:c r="K140" s="22"/>
      <x:c r="L140" s="8"/>
      <x:c r="M140" s="8"/>
      <x:c r="N140" s="40"/>
      <x:c r="O140" s="41" t="str">
        <x:f>IF(C140="","",IFERROR(IF(INDEX('Factors'!$G$9:$G$108,MATCH(J140,'Factors'!$C$9:$C$108,0))="","",INDEX('Factors'!$G$9:$G$108,MATCH(J140,'Factors'!$C$9:$C$108,0))),""))</x:f>
      </x:c>
      <x:c r="P140" s="9" t="str">
        <x:f>IF(C140="","",IFERROR(IF(INDEX('Factors'!$F$9:$F$108,MATCH(J140,'Factors'!$C$9:$C$108,0))="","",INDEX('Factors'!$F$9:$F$108,MATCH(J140,'Factors'!$C$9:$C$108,0))),""))</x:f>
      </x:c>
      <x:c r="Q140" s="9" t="str">
        <x:f>IF(C140="","",IFERROR(IF(INDEX('Factors'!$H$9:$H$108,MATCH(J140,'Factors'!$C$9:$C$108,0))="","",INDEX('Factors'!$H$9:$H$108,MATCH(J140,'Factors'!$C$9:$C$108,0))),""))</x:f>
      </x:c>
      <x:c r="R140" s="9" t="str">
        <x:f>IF(C140="","",IFERROR(IF(INDEX('Factors'!$E$9:$E$108,MATCH(J140,'Factors'!$C$9:$C$108,0))="","",INDEX('Factors'!$E$9:$E$108,MATCH(J140,'Factors'!$C$9:$C$108,0))),""))</x:f>
      </x:c>
      <x:c r="S140" s="42" t="str">
        <x:f>IF(C140="","",IFERROR(IF(INDEX('Factors'!$J$9:$J$108,MATCH(J140,'Factors'!$C$9:$C$108,0))="","",INDEX('Factors'!$J$9:$J$108,MATCH(J140,'Factors'!$C$9:$C$108,0))),""))</x:f>
      </x:c>
      <x:c r="T140" s="9" t="str">
        <x:f>IF(C140="","",IFERROR(IF(INDEX('Factors'!$L$9:$L$108,MATCH(J140,'Factors'!$C$9:$C$108,0))="","",INDEX('Factors'!$L$9:$L$108,MATCH(J140,'Factors'!$C$9:$C$108,0))),"")&amp;" / "&amp;IFERROR(IF(INDEX('Factors'!$M$9:$M$108,MATCH(J140,'Factors'!$C$9:$C$108,0))="","",INDEX('Factors'!$M$9:$M$108,MATCH(J140,'Factors'!$C$9:$C$108,0))),""))</x:f>
      </x:c>
      <x:c r="U140" s="21" t="str">
        <x:f>IF(V140="Ready",H140*O140/1000,"")</x:f>
      </x:c>
      <x:c r="V140" s="9" t="str">
        <x:f>IF(C140="","",IF(OR(COUNTIFS($C$9:$C$308,C140)&lt;&gt;1,COUNTIFS($D$9:$D$308,D140,$E$9:$E$308,E140,$F$9:$F$308,F140,$G$9:$G$308,G140,$K$9:$K$308,K140)&lt;&gt;1),"Duplicate annual activity",IF(COUNTIFS('Inventory'!$C$9:$C$108,D140)&lt;&gt;1,"Entity required",IF(OR(E140="",L140="",NOT(ISNUMBER(H140)),H140&lt;0,NOT(ISNUMBER(K140)),NOT(ISNUMBER(N140))),"Missing activity input",IF(AND(E140&lt;&gt;D140,OR(COUNTIFS('Sites'!$C$9:$C$108,E140)&lt;&gt;1,IFERROR(IF(INDEX('Sites'!$D$9:$D$108,MATCH(E140,'Sites'!$C$9:$C$108,0))="","",INDEX('Sites'!$D$9:$D$108,MATCH(E140,'Sites'!$C$9:$C$108,0))),"")&lt;&gt;IFERROR(IF(INDEX('Inventory'!$D$9:$D$108,MATCH(D140,'Inventory'!$C$9:$C$108,0))="","",INDEX('Inventory'!$D$9:$D$108,MATCH(D140,'Inventory'!$C$9:$C$108,0))),""),IFERROR(IF(INDEX('Sites'!$E$9:$E$108,MATCH(E140,'Sites'!$C$9:$C$108,0))="","",INDEX('Sites'!$E$9:$E$108,MATCH(E140,'Sites'!$C$9:$C$108,0))),"")&lt;&gt;W140)),"Site / entity mismatch",IF(N140&lt;'Settings'!$F$8,"Expired",IF(X140&lt;&gt;"Ready","Factor required",IF(OR(G140&lt;&gt;IFERROR(IF(INDEX('Factors'!$D$9:$D$108,MATCH(J140,'Factors'!$C$9:$C$108,0))="","",INDEX('Factors'!$D$9:$D$108,MATCH(J140,'Factors'!$C$9:$C$108,0))),""),I140&lt;&gt;P140,F140&lt;&gt;Q140,K140&lt;&gt;S140,AND(R140&lt;&gt;"Global",R140&lt;&gt;W140),K140&lt;&gt;YEAR(IFERROR(IF(INDEX('Inventory'!$H$9:$H$108,MATCH(D140,'Inventory'!$C$9:$C$108,0))="","",INDEX('Inventory'!$H$9:$H$108,MATCH(D140,'Inventory'!$C$9:$C$108,0))),""))),"Factor / boundary mismatch",IF(AND(F140="S2",IFERROR(IF(INDEX('Factors'!$I$9:$I$108,MATCH(J140,'Factors'!$C$9:$C$108,0))="","",INDEX('Factors'!$I$9:$I$108,MATCH(J140,'Factors'!$C$9:$C$108,0))),"")&lt;&gt;"Location-based"),"Use location factor",IF(M140&lt;&gt;"Actual","Estimation method review","Ready"))))))))))</x:f>
      </x:c>
      <x:c r="W140" s="9" t="str">
        <x:f>IF(C140="","",IFERROR(IF(INDEX('Inventory'!$G$9:$G$108,MATCH(D140,'Inventory'!$C$9:$C$108,0))="","",INDEX('Inventory'!$G$9:$G$108,MATCH(D140,'Inventory'!$C$9:$C$108,0))),""))</x:f>
      </x:c>
      <x:c r="X140" s="9" t="str">
        <x:f>IF(C140="","",IFERROR(IF(INDEX('Factors'!$P$9:$P$108,MATCH(J140,'Factors'!$C$9:$C$108,0))="","",INDEX('Factors'!$P$9:$P$108,MATCH(J140,'Factors'!$C$9:$C$108,0))),""))</x:f>
      </x:c>
    </x:row>
    <x:row r="141" ht="26" customHeight="1">
      <x:c r="A141" s="1"/>
      <x:c r="B141" s="1"/>
      <x:c r="C141" s="8"/>
      <x:c r="D141" s="8"/>
      <x:c r="E141" s="8"/>
      <x:c r="F141" s="8"/>
      <x:c r="G141" s="8"/>
      <x:c r="H141" s="16"/>
      <x:c r="I141" s="8"/>
      <x:c r="J141" s="8"/>
      <x:c r="K141" s="22"/>
      <x:c r="L141" s="8"/>
      <x:c r="M141" s="8"/>
      <x:c r="N141" s="40"/>
      <x:c r="O141" s="41" t="str">
        <x:f>IF(C141="","",IFERROR(IF(INDEX('Factors'!$G$9:$G$108,MATCH(J141,'Factors'!$C$9:$C$108,0))="","",INDEX('Factors'!$G$9:$G$108,MATCH(J141,'Factors'!$C$9:$C$108,0))),""))</x:f>
      </x:c>
      <x:c r="P141" s="9" t="str">
        <x:f>IF(C141="","",IFERROR(IF(INDEX('Factors'!$F$9:$F$108,MATCH(J141,'Factors'!$C$9:$C$108,0))="","",INDEX('Factors'!$F$9:$F$108,MATCH(J141,'Factors'!$C$9:$C$108,0))),""))</x:f>
      </x:c>
      <x:c r="Q141" s="9" t="str">
        <x:f>IF(C141="","",IFERROR(IF(INDEX('Factors'!$H$9:$H$108,MATCH(J141,'Factors'!$C$9:$C$108,0))="","",INDEX('Factors'!$H$9:$H$108,MATCH(J141,'Factors'!$C$9:$C$108,0))),""))</x:f>
      </x:c>
      <x:c r="R141" s="9" t="str">
        <x:f>IF(C141="","",IFERROR(IF(INDEX('Factors'!$E$9:$E$108,MATCH(J141,'Factors'!$C$9:$C$108,0))="","",INDEX('Factors'!$E$9:$E$108,MATCH(J141,'Factors'!$C$9:$C$108,0))),""))</x:f>
      </x:c>
      <x:c r="S141" s="42" t="str">
        <x:f>IF(C141="","",IFERROR(IF(INDEX('Factors'!$J$9:$J$108,MATCH(J141,'Factors'!$C$9:$C$108,0))="","",INDEX('Factors'!$J$9:$J$108,MATCH(J141,'Factors'!$C$9:$C$108,0))),""))</x:f>
      </x:c>
      <x:c r="T141" s="9" t="str">
        <x:f>IF(C141="","",IFERROR(IF(INDEX('Factors'!$L$9:$L$108,MATCH(J141,'Factors'!$C$9:$C$108,0))="","",INDEX('Factors'!$L$9:$L$108,MATCH(J141,'Factors'!$C$9:$C$108,0))),"")&amp;" / "&amp;IFERROR(IF(INDEX('Factors'!$M$9:$M$108,MATCH(J141,'Factors'!$C$9:$C$108,0))="","",INDEX('Factors'!$M$9:$M$108,MATCH(J141,'Factors'!$C$9:$C$108,0))),""))</x:f>
      </x:c>
      <x:c r="U141" s="21" t="str">
        <x:f>IF(V141="Ready",H141*O141/1000,"")</x:f>
      </x:c>
      <x:c r="V141" s="9" t="str">
        <x:f>IF(C141="","",IF(OR(COUNTIFS($C$9:$C$308,C141)&lt;&gt;1,COUNTIFS($D$9:$D$308,D141,$E$9:$E$308,E141,$F$9:$F$308,F141,$G$9:$G$308,G141,$K$9:$K$308,K141)&lt;&gt;1),"Duplicate annual activity",IF(COUNTIFS('Inventory'!$C$9:$C$108,D141)&lt;&gt;1,"Entity required",IF(OR(E141="",L141="",NOT(ISNUMBER(H141)),H141&lt;0,NOT(ISNUMBER(K141)),NOT(ISNUMBER(N141))),"Missing activity input",IF(AND(E141&lt;&gt;D141,OR(COUNTIFS('Sites'!$C$9:$C$108,E141)&lt;&gt;1,IFERROR(IF(INDEX('Sites'!$D$9:$D$108,MATCH(E141,'Sites'!$C$9:$C$108,0))="","",INDEX('Sites'!$D$9:$D$108,MATCH(E141,'Sites'!$C$9:$C$108,0))),"")&lt;&gt;IFERROR(IF(INDEX('Inventory'!$D$9:$D$108,MATCH(D141,'Inventory'!$C$9:$C$108,0))="","",INDEX('Inventory'!$D$9:$D$108,MATCH(D141,'Inventory'!$C$9:$C$108,0))),""),IFERROR(IF(INDEX('Sites'!$E$9:$E$108,MATCH(E141,'Sites'!$C$9:$C$108,0))="","",INDEX('Sites'!$E$9:$E$108,MATCH(E141,'Sites'!$C$9:$C$108,0))),"")&lt;&gt;W141)),"Site / entity mismatch",IF(N141&lt;'Settings'!$F$8,"Expired",IF(X141&lt;&gt;"Ready","Factor required",IF(OR(G141&lt;&gt;IFERROR(IF(INDEX('Factors'!$D$9:$D$108,MATCH(J141,'Factors'!$C$9:$C$108,0))="","",INDEX('Factors'!$D$9:$D$108,MATCH(J141,'Factors'!$C$9:$C$108,0))),""),I141&lt;&gt;P141,F141&lt;&gt;Q141,K141&lt;&gt;S141,AND(R141&lt;&gt;"Global",R141&lt;&gt;W141),K141&lt;&gt;YEAR(IFERROR(IF(INDEX('Inventory'!$H$9:$H$108,MATCH(D141,'Inventory'!$C$9:$C$108,0))="","",INDEX('Inventory'!$H$9:$H$108,MATCH(D141,'Inventory'!$C$9:$C$108,0))),""))),"Factor / boundary mismatch",IF(AND(F141="S2",IFERROR(IF(INDEX('Factors'!$I$9:$I$108,MATCH(J141,'Factors'!$C$9:$C$108,0))="","",INDEX('Factors'!$I$9:$I$108,MATCH(J141,'Factors'!$C$9:$C$108,0))),"")&lt;&gt;"Location-based"),"Use location factor",IF(M141&lt;&gt;"Actual","Estimation method review","Ready"))))))))))</x:f>
      </x:c>
      <x:c r="W141" s="9" t="str">
        <x:f>IF(C141="","",IFERROR(IF(INDEX('Inventory'!$G$9:$G$108,MATCH(D141,'Inventory'!$C$9:$C$108,0))="","",INDEX('Inventory'!$G$9:$G$108,MATCH(D141,'Inventory'!$C$9:$C$108,0))),""))</x:f>
      </x:c>
      <x:c r="X141" s="9" t="str">
        <x:f>IF(C141="","",IFERROR(IF(INDEX('Factors'!$P$9:$P$108,MATCH(J141,'Factors'!$C$9:$C$108,0))="","",INDEX('Factors'!$P$9:$P$108,MATCH(J141,'Factors'!$C$9:$C$108,0))),""))</x:f>
      </x:c>
    </x:row>
    <x:row r="142" ht="26" customHeight="1">
      <x:c r="A142" s="1"/>
      <x:c r="B142" s="1"/>
      <x:c r="C142" s="8"/>
      <x:c r="D142" s="8"/>
      <x:c r="E142" s="8"/>
      <x:c r="F142" s="8"/>
      <x:c r="G142" s="8"/>
      <x:c r="H142" s="16"/>
      <x:c r="I142" s="8"/>
      <x:c r="J142" s="8"/>
      <x:c r="K142" s="22"/>
      <x:c r="L142" s="8"/>
      <x:c r="M142" s="8"/>
      <x:c r="N142" s="40"/>
      <x:c r="O142" s="41" t="str">
        <x:f>IF(C142="","",IFERROR(IF(INDEX('Factors'!$G$9:$G$108,MATCH(J142,'Factors'!$C$9:$C$108,0))="","",INDEX('Factors'!$G$9:$G$108,MATCH(J142,'Factors'!$C$9:$C$108,0))),""))</x:f>
      </x:c>
      <x:c r="P142" s="9" t="str">
        <x:f>IF(C142="","",IFERROR(IF(INDEX('Factors'!$F$9:$F$108,MATCH(J142,'Factors'!$C$9:$C$108,0))="","",INDEX('Factors'!$F$9:$F$108,MATCH(J142,'Factors'!$C$9:$C$108,0))),""))</x:f>
      </x:c>
      <x:c r="Q142" s="9" t="str">
        <x:f>IF(C142="","",IFERROR(IF(INDEX('Factors'!$H$9:$H$108,MATCH(J142,'Factors'!$C$9:$C$108,0))="","",INDEX('Factors'!$H$9:$H$108,MATCH(J142,'Factors'!$C$9:$C$108,0))),""))</x:f>
      </x:c>
      <x:c r="R142" s="9" t="str">
        <x:f>IF(C142="","",IFERROR(IF(INDEX('Factors'!$E$9:$E$108,MATCH(J142,'Factors'!$C$9:$C$108,0))="","",INDEX('Factors'!$E$9:$E$108,MATCH(J142,'Factors'!$C$9:$C$108,0))),""))</x:f>
      </x:c>
      <x:c r="S142" s="42" t="str">
        <x:f>IF(C142="","",IFERROR(IF(INDEX('Factors'!$J$9:$J$108,MATCH(J142,'Factors'!$C$9:$C$108,0))="","",INDEX('Factors'!$J$9:$J$108,MATCH(J142,'Factors'!$C$9:$C$108,0))),""))</x:f>
      </x:c>
      <x:c r="T142" s="9" t="str">
        <x:f>IF(C142="","",IFERROR(IF(INDEX('Factors'!$L$9:$L$108,MATCH(J142,'Factors'!$C$9:$C$108,0))="","",INDEX('Factors'!$L$9:$L$108,MATCH(J142,'Factors'!$C$9:$C$108,0))),"")&amp;" / "&amp;IFERROR(IF(INDEX('Factors'!$M$9:$M$108,MATCH(J142,'Factors'!$C$9:$C$108,0))="","",INDEX('Factors'!$M$9:$M$108,MATCH(J142,'Factors'!$C$9:$C$108,0))),""))</x:f>
      </x:c>
      <x:c r="U142" s="21" t="str">
        <x:f>IF(V142="Ready",H142*O142/1000,"")</x:f>
      </x:c>
      <x:c r="V142" s="9" t="str">
        <x:f>IF(C142="","",IF(OR(COUNTIFS($C$9:$C$308,C142)&lt;&gt;1,COUNTIFS($D$9:$D$308,D142,$E$9:$E$308,E142,$F$9:$F$308,F142,$G$9:$G$308,G142,$K$9:$K$308,K142)&lt;&gt;1),"Duplicate annual activity",IF(COUNTIFS('Inventory'!$C$9:$C$108,D142)&lt;&gt;1,"Entity required",IF(OR(E142="",L142="",NOT(ISNUMBER(H142)),H142&lt;0,NOT(ISNUMBER(K142)),NOT(ISNUMBER(N142))),"Missing activity input",IF(AND(E142&lt;&gt;D142,OR(COUNTIFS('Sites'!$C$9:$C$108,E142)&lt;&gt;1,IFERROR(IF(INDEX('Sites'!$D$9:$D$108,MATCH(E142,'Sites'!$C$9:$C$108,0))="","",INDEX('Sites'!$D$9:$D$108,MATCH(E142,'Sites'!$C$9:$C$108,0))),"")&lt;&gt;IFERROR(IF(INDEX('Inventory'!$D$9:$D$108,MATCH(D142,'Inventory'!$C$9:$C$108,0))="","",INDEX('Inventory'!$D$9:$D$108,MATCH(D142,'Inventory'!$C$9:$C$108,0))),""),IFERROR(IF(INDEX('Sites'!$E$9:$E$108,MATCH(E142,'Sites'!$C$9:$C$108,0))="","",INDEX('Sites'!$E$9:$E$108,MATCH(E142,'Sites'!$C$9:$C$108,0))),"")&lt;&gt;W142)),"Site / entity mismatch",IF(N142&lt;'Settings'!$F$8,"Expired",IF(X142&lt;&gt;"Ready","Factor required",IF(OR(G142&lt;&gt;IFERROR(IF(INDEX('Factors'!$D$9:$D$108,MATCH(J142,'Factors'!$C$9:$C$108,0))="","",INDEX('Factors'!$D$9:$D$108,MATCH(J142,'Factors'!$C$9:$C$108,0))),""),I142&lt;&gt;P142,F142&lt;&gt;Q142,K142&lt;&gt;S142,AND(R142&lt;&gt;"Global",R142&lt;&gt;W142),K142&lt;&gt;YEAR(IFERROR(IF(INDEX('Inventory'!$H$9:$H$108,MATCH(D142,'Inventory'!$C$9:$C$108,0))="","",INDEX('Inventory'!$H$9:$H$108,MATCH(D142,'Inventory'!$C$9:$C$108,0))),""))),"Factor / boundary mismatch",IF(AND(F142="S2",IFERROR(IF(INDEX('Factors'!$I$9:$I$108,MATCH(J142,'Factors'!$C$9:$C$108,0))="","",INDEX('Factors'!$I$9:$I$108,MATCH(J142,'Factors'!$C$9:$C$108,0))),"")&lt;&gt;"Location-based"),"Use location factor",IF(M142&lt;&gt;"Actual","Estimation method review","Ready"))))))))))</x:f>
      </x:c>
      <x:c r="W142" s="9" t="str">
        <x:f>IF(C142="","",IFERROR(IF(INDEX('Inventory'!$G$9:$G$108,MATCH(D142,'Inventory'!$C$9:$C$108,0))="","",INDEX('Inventory'!$G$9:$G$108,MATCH(D142,'Inventory'!$C$9:$C$108,0))),""))</x:f>
      </x:c>
      <x:c r="X142" s="9" t="str">
        <x:f>IF(C142="","",IFERROR(IF(INDEX('Factors'!$P$9:$P$108,MATCH(J142,'Factors'!$C$9:$C$108,0))="","",INDEX('Factors'!$P$9:$P$108,MATCH(J142,'Factors'!$C$9:$C$108,0))),""))</x:f>
      </x:c>
    </x:row>
    <x:row r="143" ht="26" customHeight="1">
      <x:c r="A143" s="1"/>
      <x:c r="B143" s="1"/>
      <x:c r="C143" s="8"/>
      <x:c r="D143" s="8"/>
      <x:c r="E143" s="8"/>
      <x:c r="F143" s="8"/>
      <x:c r="G143" s="8"/>
      <x:c r="H143" s="16"/>
      <x:c r="I143" s="8"/>
      <x:c r="J143" s="8"/>
      <x:c r="K143" s="22"/>
      <x:c r="L143" s="8"/>
      <x:c r="M143" s="8"/>
      <x:c r="N143" s="40"/>
      <x:c r="O143" s="41" t="str">
        <x:f>IF(C143="","",IFERROR(IF(INDEX('Factors'!$G$9:$G$108,MATCH(J143,'Factors'!$C$9:$C$108,0))="","",INDEX('Factors'!$G$9:$G$108,MATCH(J143,'Factors'!$C$9:$C$108,0))),""))</x:f>
      </x:c>
      <x:c r="P143" s="9" t="str">
        <x:f>IF(C143="","",IFERROR(IF(INDEX('Factors'!$F$9:$F$108,MATCH(J143,'Factors'!$C$9:$C$108,0))="","",INDEX('Factors'!$F$9:$F$108,MATCH(J143,'Factors'!$C$9:$C$108,0))),""))</x:f>
      </x:c>
      <x:c r="Q143" s="9" t="str">
        <x:f>IF(C143="","",IFERROR(IF(INDEX('Factors'!$H$9:$H$108,MATCH(J143,'Factors'!$C$9:$C$108,0))="","",INDEX('Factors'!$H$9:$H$108,MATCH(J143,'Factors'!$C$9:$C$108,0))),""))</x:f>
      </x:c>
      <x:c r="R143" s="9" t="str">
        <x:f>IF(C143="","",IFERROR(IF(INDEX('Factors'!$E$9:$E$108,MATCH(J143,'Factors'!$C$9:$C$108,0))="","",INDEX('Factors'!$E$9:$E$108,MATCH(J143,'Factors'!$C$9:$C$108,0))),""))</x:f>
      </x:c>
      <x:c r="S143" s="42" t="str">
        <x:f>IF(C143="","",IFERROR(IF(INDEX('Factors'!$J$9:$J$108,MATCH(J143,'Factors'!$C$9:$C$108,0))="","",INDEX('Factors'!$J$9:$J$108,MATCH(J143,'Factors'!$C$9:$C$108,0))),""))</x:f>
      </x:c>
      <x:c r="T143" s="9" t="str">
        <x:f>IF(C143="","",IFERROR(IF(INDEX('Factors'!$L$9:$L$108,MATCH(J143,'Factors'!$C$9:$C$108,0))="","",INDEX('Factors'!$L$9:$L$108,MATCH(J143,'Factors'!$C$9:$C$108,0))),"")&amp;" / "&amp;IFERROR(IF(INDEX('Factors'!$M$9:$M$108,MATCH(J143,'Factors'!$C$9:$C$108,0))="","",INDEX('Factors'!$M$9:$M$108,MATCH(J143,'Factors'!$C$9:$C$108,0))),""))</x:f>
      </x:c>
      <x:c r="U143" s="21" t="str">
        <x:f>IF(V143="Ready",H143*O143/1000,"")</x:f>
      </x:c>
      <x:c r="V143" s="9" t="str">
        <x:f>IF(C143="","",IF(OR(COUNTIFS($C$9:$C$308,C143)&lt;&gt;1,COUNTIFS($D$9:$D$308,D143,$E$9:$E$308,E143,$F$9:$F$308,F143,$G$9:$G$308,G143,$K$9:$K$308,K143)&lt;&gt;1),"Duplicate annual activity",IF(COUNTIFS('Inventory'!$C$9:$C$108,D143)&lt;&gt;1,"Entity required",IF(OR(E143="",L143="",NOT(ISNUMBER(H143)),H143&lt;0,NOT(ISNUMBER(K143)),NOT(ISNUMBER(N143))),"Missing activity input",IF(AND(E143&lt;&gt;D143,OR(COUNTIFS('Sites'!$C$9:$C$108,E143)&lt;&gt;1,IFERROR(IF(INDEX('Sites'!$D$9:$D$108,MATCH(E143,'Sites'!$C$9:$C$108,0))="","",INDEX('Sites'!$D$9:$D$108,MATCH(E143,'Sites'!$C$9:$C$108,0))),"")&lt;&gt;IFERROR(IF(INDEX('Inventory'!$D$9:$D$108,MATCH(D143,'Inventory'!$C$9:$C$108,0))="","",INDEX('Inventory'!$D$9:$D$108,MATCH(D143,'Inventory'!$C$9:$C$108,0))),""),IFERROR(IF(INDEX('Sites'!$E$9:$E$108,MATCH(E143,'Sites'!$C$9:$C$108,0))="","",INDEX('Sites'!$E$9:$E$108,MATCH(E143,'Sites'!$C$9:$C$108,0))),"")&lt;&gt;W143)),"Site / entity mismatch",IF(N143&lt;'Settings'!$F$8,"Expired",IF(X143&lt;&gt;"Ready","Factor required",IF(OR(G143&lt;&gt;IFERROR(IF(INDEX('Factors'!$D$9:$D$108,MATCH(J143,'Factors'!$C$9:$C$108,0))="","",INDEX('Factors'!$D$9:$D$108,MATCH(J143,'Factors'!$C$9:$C$108,0))),""),I143&lt;&gt;P143,F143&lt;&gt;Q143,K143&lt;&gt;S143,AND(R143&lt;&gt;"Global",R143&lt;&gt;W143),K143&lt;&gt;YEAR(IFERROR(IF(INDEX('Inventory'!$H$9:$H$108,MATCH(D143,'Inventory'!$C$9:$C$108,0))="","",INDEX('Inventory'!$H$9:$H$108,MATCH(D143,'Inventory'!$C$9:$C$108,0))),""))),"Factor / boundary mismatch",IF(AND(F143="S2",IFERROR(IF(INDEX('Factors'!$I$9:$I$108,MATCH(J143,'Factors'!$C$9:$C$108,0))="","",INDEX('Factors'!$I$9:$I$108,MATCH(J143,'Factors'!$C$9:$C$108,0))),"")&lt;&gt;"Location-based"),"Use location factor",IF(M143&lt;&gt;"Actual","Estimation method review","Ready"))))))))))</x:f>
      </x:c>
      <x:c r="W143" s="9" t="str">
        <x:f>IF(C143="","",IFERROR(IF(INDEX('Inventory'!$G$9:$G$108,MATCH(D143,'Inventory'!$C$9:$C$108,0))="","",INDEX('Inventory'!$G$9:$G$108,MATCH(D143,'Inventory'!$C$9:$C$108,0))),""))</x:f>
      </x:c>
      <x:c r="X143" s="9" t="str">
        <x:f>IF(C143="","",IFERROR(IF(INDEX('Factors'!$P$9:$P$108,MATCH(J143,'Factors'!$C$9:$C$108,0))="","",INDEX('Factors'!$P$9:$P$108,MATCH(J143,'Factors'!$C$9:$C$108,0))),""))</x:f>
      </x:c>
    </x:row>
    <x:row r="144" ht="26" customHeight="1">
      <x:c r="A144" s="1"/>
      <x:c r="B144" s="1"/>
      <x:c r="C144" s="8"/>
      <x:c r="D144" s="8"/>
      <x:c r="E144" s="8"/>
      <x:c r="F144" s="8"/>
      <x:c r="G144" s="8"/>
      <x:c r="H144" s="16"/>
      <x:c r="I144" s="8"/>
      <x:c r="J144" s="8"/>
      <x:c r="K144" s="22"/>
      <x:c r="L144" s="8"/>
      <x:c r="M144" s="8"/>
      <x:c r="N144" s="40"/>
      <x:c r="O144" s="41" t="str">
        <x:f>IF(C144="","",IFERROR(IF(INDEX('Factors'!$G$9:$G$108,MATCH(J144,'Factors'!$C$9:$C$108,0))="","",INDEX('Factors'!$G$9:$G$108,MATCH(J144,'Factors'!$C$9:$C$108,0))),""))</x:f>
      </x:c>
      <x:c r="P144" s="9" t="str">
        <x:f>IF(C144="","",IFERROR(IF(INDEX('Factors'!$F$9:$F$108,MATCH(J144,'Factors'!$C$9:$C$108,0))="","",INDEX('Factors'!$F$9:$F$108,MATCH(J144,'Factors'!$C$9:$C$108,0))),""))</x:f>
      </x:c>
      <x:c r="Q144" s="9" t="str">
        <x:f>IF(C144="","",IFERROR(IF(INDEX('Factors'!$H$9:$H$108,MATCH(J144,'Factors'!$C$9:$C$108,0))="","",INDEX('Factors'!$H$9:$H$108,MATCH(J144,'Factors'!$C$9:$C$108,0))),""))</x:f>
      </x:c>
      <x:c r="R144" s="9" t="str">
        <x:f>IF(C144="","",IFERROR(IF(INDEX('Factors'!$E$9:$E$108,MATCH(J144,'Factors'!$C$9:$C$108,0))="","",INDEX('Factors'!$E$9:$E$108,MATCH(J144,'Factors'!$C$9:$C$108,0))),""))</x:f>
      </x:c>
      <x:c r="S144" s="42" t="str">
        <x:f>IF(C144="","",IFERROR(IF(INDEX('Factors'!$J$9:$J$108,MATCH(J144,'Factors'!$C$9:$C$108,0))="","",INDEX('Factors'!$J$9:$J$108,MATCH(J144,'Factors'!$C$9:$C$108,0))),""))</x:f>
      </x:c>
      <x:c r="T144" s="9" t="str">
        <x:f>IF(C144="","",IFERROR(IF(INDEX('Factors'!$L$9:$L$108,MATCH(J144,'Factors'!$C$9:$C$108,0))="","",INDEX('Factors'!$L$9:$L$108,MATCH(J144,'Factors'!$C$9:$C$108,0))),"")&amp;" / "&amp;IFERROR(IF(INDEX('Factors'!$M$9:$M$108,MATCH(J144,'Factors'!$C$9:$C$108,0))="","",INDEX('Factors'!$M$9:$M$108,MATCH(J144,'Factors'!$C$9:$C$108,0))),""))</x:f>
      </x:c>
      <x:c r="U144" s="21" t="str">
        <x:f>IF(V144="Ready",H144*O144/1000,"")</x:f>
      </x:c>
      <x:c r="V144" s="9" t="str">
        <x:f>IF(C144="","",IF(OR(COUNTIFS($C$9:$C$308,C144)&lt;&gt;1,COUNTIFS($D$9:$D$308,D144,$E$9:$E$308,E144,$F$9:$F$308,F144,$G$9:$G$308,G144,$K$9:$K$308,K144)&lt;&gt;1),"Duplicate annual activity",IF(COUNTIFS('Inventory'!$C$9:$C$108,D144)&lt;&gt;1,"Entity required",IF(OR(E144="",L144="",NOT(ISNUMBER(H144)),H144&lt;0,NOT(ISNUMBER(K144)),NOT(ISNUMBER(N144))),"Missing activity input",IF(AND(E144&lt;&gt;D144,OR(COUNTIFS('Sites'!$C$9:$C$108,E144)&lt;&gt;1,IFERROR(IF(INDEX('Sites'!$D$9:$D$108,MATCH(E144,'Sites'!$C$9:$C$108,0))="","",INDEX('Sites'!$D$9:$D$108,MATCH(E144,'Sites'!$C$9:$C$108,0))),"")&lt;&gt;IFERROR(IF(INDEX('Inventory'!$D$9:$D$108,MATCH(D144,'Inventory'!$C$9:$C$108,0))="","",INDEX('Inventory'!$D$9:$D$108,MATCH(D144,'Inventory'!$C$9:$C$108,0))),""),IFERROR(IF(INDEX('Sites'!$E$9:$E$108,MATCH(E144,'Sites'!$C$9:$C$108,0))="","",INDEX('Sites'!$E$9:$E$108,MATCH(E144,'Sites'!$C$9:$C$108,0))),"")&lt;&gt;W144)),"Site / entity mismatch",IF(N144&lt;'Settings'!$F$8,"Expired",IF(X144&lt;&gt;"Ready","Factor required",IF(OR(G144&lt;&gt;IFERROR(IF(INDEX('Factors'!$D$9:$D$108,MATCH(J144,'Factors'!$C$9:$C$108,0))="","",INDEX('Factors'!$D$9:$D$108,MATCH(J144,'Factors'!$C$9:$C$108,0))),""),I144&lt;&gt;P144,F144&lt;&gt;Q144,K144&lt;&gt;S144,AND(R144&lt;&gt;"Global",R144&lt;&gt;W144),K144&lt;&gt;YEAR(IFERROR(IF(INDEX('Inventory'!$H$9:$H$108,MATCH(D144,'Inventory'!$C$9:$C$108,0))="","",INDEX('Inventory'!$H$9:$H$108,MATCH(D144,'Inventory'!$C$9:$C$108,0))),""))),"Factor / boundary mismatch",IF(AND(F144="S2",IFERROR(IF(INDEX('Factors'!$I$9:$I$108,MATCH(J144,'Factors'!$C$9:$C$108,0))="","",INDEX('Factors'!$I$9:$I$108,MATCH(J144,'Factors'!$C$9:$C$108,0))),"")&lt;&gt;"Location-based"),"Use location factor",IF(M144&lt;&gt;"Actual","Estimation method review","Ready"))))))))))</x:f>
      </x:c>
      <x:c r="W144" s="9" t="str">
        <x:f>IF(C144="","",IFERROR(IF(INDEX('Inventory'!$G$9:$G$108,MATCH(D144,'Inventory'!$C$9:$C$108,0))="","",INDEX('Inventory'!$G$9:$G$108,MATCH(D144,'Inventory'!$C$9:$C$108,0))),""))</x:f>
      </x:c>
      <x:c r="X144" s="9" t="str">
        <x:f>IF(C144="","",IFERROR(IF(INDEX('Factors'!$P$9:$P$108,MATCH(J144,'Factors'!$C$9:$C$108,0))="","",INDEX('Factors'!$P$9:$P$108,MATCH(J144,'Factors'!$C$9:$C$108,0))),""))</x:f>
      </x:c>
    </x:row>
    <x:row r="145" ht="26" customHeight="1">
      <x:c r="A145" s="1"/>
      <x:c r="B145" s="1"/>
      <x:c r="C145" s="8"/>
      <x:c r="D145" s="8"/>
      <x:c r="E145" s="8"/>
      <x:c r="F145" s="8"/>
      <x:c r="G145" s="8"/>
      <x:c r="H145" s="16"/>
      <x:c r="I145" s="8"/>
      <x:c r="J145" s="8"/>
      <x:c r="K145" s="22"/>
      <x:c r="L145" s="8"/>
      <x:c r="M145" s="8"/>
      <x:c r="N145" s="40"/>
      <x:c r="O145" s="41" t="str">
        <x:f>IF(C145="","",IFERROR(IF(INDEX('Factors'!$G$9:$G$108,MATCH(J145,'Factors'!$C$9:$C$108,0))="","",INDEX('Factors'!$G$9:$G$108,MATCH(J145,'Factors'!$C$9:$C$108,0))),""))</x:f>
      </x:c>
      <x:c r="P145" s="9" t="str">
        <x:f>IF(C145="","",IFERROR(IF(INDEX('Factors'!$F$9:$F$108,MATCH(J145,'Factors'!$C$9:$C$108,0))="","",INDEX('Factors'!$F$9:$F$108,MATCH(J145,'Factors'!$C$9:$C$108,0))),""))</x:f>
      </x:c>
      <x:c r="Q145" s="9" t="str">
        <x:f>IF(C145="","",IFERROR(IF(INDEX('Factors'!$H$9:$H$108,MATCH(J145,'Factors'!$C$9:$C$108,0))="","",INDEX('Factors'!$H$9:$H$108,MATCH(J145,'Factors'!$C$9:$C$108,0))),""))</x:f>
      </x:c>
      <x:c r="R145" s="9" t="str">
        <x:f>IF(C145="","",IFERROR(IF(INDEX('Factors'!$E$9:$E$108,MATCH(J145,'Factors'!$C$9:$C$108,0))="","",INDEX('Factors'!$E$9:$E$108,MATCH(J145,'Factors'!$C$9:$C$108,0))),""))</x:f>
      </x:c>
      <x:c r="S145" s="42" t="str">
        <x:f>IF(C145="","",IFERROR(IF(INDEX('Factors'!$J$9:$J$108,MATCH(J145,'Factors'!$C$9:$C$108,0))="","",INDEX('Factors'!$J$9:$J$108,MATCH(J145,'Factors'!$C$9:$C$108,0))),""))</x:f>
      </x:c>
      <x:c r="T145" s="9" t="str">
        <x:f>IF(C145="","",IFERROR(IF(INDEX('Factors'!$L$9:$L$108,MATCH(J145,'Factors'!$C$9:$C$108,0))="","",INDEX('Factors'!$L$9:$L$108,MATCH(J145,'Factors'!$C$9:$C$108,0))),"")&amp;" / "&amp;IFERROR(IF(INDEX('Factors'!$M$9:$M$108,MATCH(J145,'Factors'!$C$9:$C$108,0))="","",INDEX('Factors'!$M$9:$M$108,MATCH(J145,'Factors'!$C$9:$C$108,0))),""))</x:f>
      </x:c>
      <x:c r="U145" s="21" t="str">
        <x:f>IF(V145="Ready",H145*O145/1000,"")</x:f>
      </x:c>
      <x:c r="V145" s="9" t="str">
        <x:f>IF(C145="","",IF(OR(COUNTIFS($C$9:$C$308,C145)&lt;&gt;1,COUNTIFS($D$9:$D$308,D145,$E$9:$E$308,E145,$F$9:$F$308,F145,$G$9:$G$308,G145,$K$9:$K$308,K145)&lt;&gt;1),"Duplicate annual activity",IF(COUNTIFS('Inventory'!$C$9:$C$108,D145)&lt;&gt;1,"Entity required",IF(OR(E145="",L145="",NOT(ISNUMBER(H145)),H145&lt;0,NOT(ISNUMBER(K145)),NOT(ISNUMBER(N145))),"Missing activity input",IF(AND(E145&lt;&gt;D145,OR(COUNTIFS('Sites'!$C$9:$C$108,E145)&lt;&gt;1,IFERROR(IF(INDEX('Sites'!$D$9:$D$108,MATCH(E145,'Sites'!$C$9:$C$108,0))="","",INDEX('Sites'!$D$9:$D$108,MATCH(E145,'Sites'!$C$9:$C$108,0))),"")&lt;&gt;IFERROR(IF(INDEX('Inventory'!$D$9:$D$108,MATCH(D145,'Inventory'!$C$9:$C$108,0))="","",INDEX('Inventory'!$D$9:$D$108,MATCH(D145,'Inventory'!$C$9:$C$108,0))),""),IFERROR(IF(INDEX('Sites'!$E$9:$E$108,MATCH(E145,'Sites'!$C$9:$C$108,0))="","",INDEX('Sites'!$E$9:$E$108,MATCH(E145,'Sites'!$C$9:$C$108,0))),"")&lt;&gt;W145)),"Site / entity mismatch",IF(N145&lt;'Settings'!$F$8,"Expired",IF(X145&lt;&gt;"Ready","Factor required",IF(OR(G145&lt;&gt;IFERROR(IF(INDEX('Factors'!$D$9:$D$108,MATCH(J145,'Factors'!$C$9:$C$108,0))="","",INDEX('Factors'!$D$9:$D$108,MATCH(J145,'Factors'!$C$9:$C$108,0))),""),I145&lt;&gt;P145,F145&lt;&gt;Q145,K145&lt;&gt;S145,AND(R145&lt;&gt;"Global",R145&lt;&gt;W145),K145&lt;&gt;YEAR(IFERROR(IF(INDEX('Inventory'!$H$9:$H$108,MATCH(D145,'Inventory'!$C$9:$C$108,0))="","",INDEX('Inventory'!$H$9:$H$108,MATCH(D145,'Inventory'!$C$9:$C$108,0))),""))),"Factor / boundary mismatch",IF(AND(F145="S2",IFERROR(IF(INDEX('Factors'!$I$9:$I$108,MATCH(J145,'Factors'!$C$9:$C$108,0))="","",INDEX('Factors'!$I$9:$I$108,MATCH(J145,'Factors'!$C$9:$C$108,0))),"")&lt;&gt;"Location-based"),"Use location factor",IF(M145&lt;&gt;"Actual","Estimation method review","Ready"))))))))))</x:f>
      </x:c>
      <x:c r="W145" s="9" t="str">
        <x:f>IF(C145="","",IFERROR(IF(INDEX('Inventory'!$G$9:$G$108,MATCH(D145,'Inventory'!$C$9:$C$108,0))="","",INDEX('Inventory'!$G$9:$G$108,MATCH(D145,'Inventory'!$C$9:$C$108,0))),""))</x:f>
      </x:c>
      <x:c r="X145" s="9" t="str">
        <x:f>IF(C145="","",IFERROR(IF(INDEX('Factors'!$P$9:$P$108,MATCH(J145,'Factors'!$C$9:$C$108,0))="","",INDEX('Factors'!$P$9:$P$108,MATCH(J145,'Factors'!$C$9:$C$108,0))),""))</x:f>
      </x:c>
    </x:row>
    <x:row r="146" ht="26" customHeight="1">
      <x:c r="A146" s="1"/>
      <x:c r="B146" s="1"/>
      <x:c r="C146" s="8"/>
      <x:c r="D146" s="8"/>
      <x:c r="E146" s="8"/>
      <x:c r="F146" s="8"/>
      <x:c r="G146" s="8"/>
      <x:c r="H146" s="16"/>
      <x:c r="I146" s="8"/>
      <x:c r="J146" s="8"/>
      <x:c r="K146" s="22"/>
      <x:c r="L146" s="8"/>
      <x:c r="M146" s="8"/>
      <x:c r="N146" s="40"/>
      <x:c r="O146" s="41" t="str">
        <x:f>IF(C146="","",IFERROR(IF(INDEX('Factors'!$G$9:$G$108,MATCH(J146,'Factors'!$C$9:$C$108,0))="","",INDEX('Factors'!$G$9:$G$108,MATCH(J146,'Factors'!$C$9:$C$108,0))),""))</x:f>
      </x:c>
      <x:c r="P146" s="9" t="str">
        <x:f>IF(C146="","",IFERROR(IF(INDEX('Factors'!$F$9:$F$108,MATCH(J146,'Factors'!$C$9:$C$108,0))="","",INDEX('Factors'!$F$9:$F$108,MATCH(J146,'Factors'!$C$9:$C$108,0))),""))</x:f>
      </x:c>
      <x:c r="Q146" s="9" t="str">
        <x:f>IF(C146="","",IFERROR(IF(INDEX('Factors'!$H$9:$H$108,MATCH(J146,'Factors'!$C$9:$C$108,0))="","",INDEX('Factors'!$H$9:$H$108,MATCH(J146,'Factors'!$C$9:$C$108,0))),""))</x:f>
      </x:c>
      <x:c r="R146" s="9" t="str">
        <x:f>IF(C146="","",IFERROR(IF(INDEX('Factors'!$E$9:$E$108,MATCH(J146,'Factors'!$C$9:$C$108,0))="","",INDEX('Factors'!$E$9:$E$108,MATCH(J146,'Factors'!$C$9:$C$108,0))),""))</x:f>
      </x:c>
      <x:c r="S146" s="42" t="str">
        <x:f>IF(C146="","",IFERROR(IF(INDEX('Factors'!$J$9:$J$108,MATCH(J146,'Factors'!$C$9:$C$108,0))="","",INDEX('Factors'!$J$9:$J$108,MATCH(J146,'Factors'!$C$9:$C$108,0))),""))</x:f>
      </x:c>
      <x:c r="T146" s="9" t="str">
        <x:f>IF(C146="","",IFERROR(IF(INDEX('Factors'!$L$9:$L$108,MATCH(J146,'Factors'!$C$9:$C$108,0))="","",INDEX('Factors'!$L$9:$L$108,MATCH(J146,'Factors'!$C$9:$C$108,0))),"")&amp;" / "&amp;IFERROR(IF(INDEX('Factors'!$M$9:$M$108,MATCH(J146,'Factors'!$C$9:$C$108,0))="","",INDEX('Factors'!$M$9:$M$108,MATCH(J146,'Factors'!$C$9:$C$108,0))),""))</x:f>
      </x:c>
      <x:c r="U146" s="21" t="str">
        <x:f>IF(V146="Ready",H146*O146/1000,"")</x:f>
      </x:c>
      <x:c r="V146" s="9" t="str">
        <x:f>IF(C146="","",IF(OR(COUNTIFS($C$9:$C$308,C146)&lt;&gt;1,COUNTIFS($D$9:$D$308,D146,$E$9:$E$308,E146,$F$9:$F$308,F146,$G$9:$G$308,G146,$K$9:$K$308,K146)&lt;&gt;1),"Duplicate annual activity",IF(COUNTIFS('Inventory'!$C$9:$C$108,D146)&lt;&gt;1,"Entity required",IF(OR(E146="",L146="",NOT(ISNUMBER(H146)),H146&lt;0,NOT(ISNUMBER(K146)),NOT(ISNUMBER(N146))),"Missing activity input",IF(AND(E146&lt;&gt;D146,OR(COUNTIFS('Sites'!$C$9:$C$108,E146)&lt;&gt;1,IFERROR(IF(INDEX('Sites'!$D$9:$D$108,MATCH(E146,'Sites'!$C$9:$C$108,0))="","",INDEX('Sites'!$D$9:$D$108,MATCH(E146,'Sites'!$C$9:$C$108,0))),"")&lt;&gt;IFERROR(IF(INDEX('Inventory'!$D$9:$D$108,MATCH(D146,'Inventory'!$C$9:$C$108,0))="","",INDEX('Inventory'!$D$9:$D$108,MATCH(D146,'Inventory'!$C$9:$C$108,0))),""),IFERROR(IF(INDEX('Sites'!$E$9:$E$108,MATCH(E146,'Sites'!$C$9:$C$108,0))="","",INDEX('Sites'!$E$9:$E$108,MATCH(E146,'Sites'!$C$9:$C$108,0))),"")&lt;&gt;W146)),"Site / entity mismatch",IF(N146&lt;'Settings'!$F$8,"Expired",IF(X146&lt;&gt;"Ready","Factor required",IF(OR(G146&lt;&gt;IFERROR(IF(INDEX('Factors'!$D$9:$D$108,MATCH(J146,'Factors'!$C$9:$C$108,0))="","",INDEX('Factors'!$D$9:$D$108,MATCH(J146,'Factors'!$C$9:$C$108,0))),""),I146&lt;&gt;P146,F146&lt;&gt;Q146,K146&lt;&gt;S146,AND(R146&lt;&gt;"Global",R146&lt;&gt;W146),K146&lt;&gt;YEAR(IFERROR(IF(INDEX('Inventory'!$H$9:$H$108,MATCH(D146,'Inventory'!$C$9:$C$108,0))="","",INDEX('Inventory'!$H$9:$H$108,MATCH(D146,'Inventory'!$C$9:$C$108,0))),""))),"Factor / boundary mismatch",IF(AND(F146="S2",IFERROR(IF(INDEX('Factors'!$I$9:$I$108,MATCH(J146,'Factors'!$C$9:$C$108,0))="","",INDEX('Factors'!$I$9:$I$108,MATCH(J146,'Factors'!$C$9:$C$108,0))),"")&lt;&gt;"Location-based"),"Use location factor",IF(M146&lt;&gt;"Actual","Estimation method review","Ready"))))))))))</x:f>
      </x:c>
      <x:c r="W146" s="9" t="str">
        <x:f>IF(C146="","",IFERROR(IF(INDEX('Inventory'!$G$9:$G$108,MATCH(D146,'Inventory'!$C$9:$C$108,0))="","",INDEX('Inventory'!$G$9:$G$108,MATCH(D146,'Inventory'!$C$9:$C$108,0))),""))</x:f>
      </x:c>
      <x:c r="X146" s="9" t="str">
        <x:f>IF(C146="","",IFERROR(IF(INDEX('Factors'!$P$9:$P$108,MATCH(J146,'Factors'!$C$9:$C$108,0))="","",INDEX('Factors'!$P$9:$P$108,MATCH(J146,'Factors'!$C$9:$C$108,0))),""))</x:f>
      </x:c>
    </x:row>
    <x:row r="147" ht="26" customHeight="1">
      <x:c r="A147" s="1"/>
      <x:c r="B147" s="1"/>
      <x:c r="C147" s="8"/>
      <x:c r="D147" s="8"/>
      <x:c r="E147" s="8"/>
      <x:c r="F147" s="8"/>
      <x:c r="G147" s="8"/>
      <x:c r="H147" s="16"/>
      <x:c r="I147" s="8"/>
      <x:c r="J147" s="8"/>
      <x:c r="K147" s="22"/>
      <x:c r="L147" s="8"/>
      <x:c r="M147" s="8"/>
      <x:c r="N147" s="40"/>
      <x:c r="O147" s="41" t="str">
        <x:f>IF(C147="","",IFERROR(IF(INDEX('Factors'!$G$9:$G$108,MATCH(J147,'Factors'!$C$9:$C$108,0))="","",INDEX('Factors'!$G$9:$G$108,MATCH(J147,'Factors'!$C$9:$C$108,0))),""))</x:f>
      </x:c>
      <x:c r="P147" s="9" t="str">
        <x:f>IF(C147="","",IFERROR(IF(INDEX('Factors'!$F$9:$F$108,MATCH(J147,'Factors'!$C$9:$C$108,0))="","",INDEX('Factors'!$F$9:$F$108,MATCH(J147,'Factors'!$C$9:$C$108,0))),""))</x:f>
      </x:c>
      <x:c r="Q147" s="9" t="str">
        <x:f>IF(C147="","",IFERROR(IF(INDEX('Factors'!$H$9:$H$108,MATCH(J147,'Factors'!$C$9:$C$108,0))="","",INDEX('Factors'!$H$9:$H$108,MATCH(J147,'Factors'!$C$9:$C$108,0))),""))</x:f>
      </x:c>
      <x:c r="R147" s="9" t="str">
        <x:f>IF(C147="","",IFERROR(IF(INDEX('Factors'!$E$9:$E$108,MATCH(J147,'Factors'!$C$9:$C$108,0))="","",INDEX('Factors'!$E$9:$E$108,MATCH(J147,'Factors'!$C$9:$C$108,0))),""))</x:f>
      </x:c>
      <x:c r="S147" s="42" t="str">
        <x:f>IF(C147="","",IFERROR(IF(INDEX('Factors'!$J$9:$J$108,MATCH(J147,'Factors'!$C$9:$C$108,0))="","",INDEX('Factors'!$J$9:$J$108,MATCH(J147,'Factors'!$C$9:$C$108,0))),""))</x:f>
      </x:c>
      <x:c r="T147" s="9" t="str">
        <x:f>IF(C147="","",IFERROR(IF(INDEX('Factors'!$L$9:$L$108,MATCH(J147,'Factors'!$C$9:$C$108,0))="","",INDEX('Factors'!$L$9:$L$108,MATCH(J147,'Factors'!$C$9:$C$108,0))),"")&amp;" / "&amp;IFERROR(IF(INDEX('Factors'!$M$9:$M$108,MATCH(J147,'Factors'!$C$9:$C$108,0))="","",INDEX('Factors'!$M$9:$M$108,MATCH(J147,'Factors'!$C$9:$C$108,0))),""))</x:f>
      </x:c>
      <x:c r="U147" s="21" t="str">
        <x:f>IF(V147="Ready",H147*O147/1000,"")</x:f>
      </x:c>
      <x:c r="V147" s="9" t="str">
        <x:f>IF(C147="","",IF(OR(COUNTIFS($C$9:$C$308,C147)&lt;&gt;1,COUNTIFS($D$9:$D$308,D147,$E$9:$E$308,E147,$F$9:$F$308,F147,$G$9:$G$308,G147,$K$9:$K$308,K147)&lt;&gt;1),"Duplicate annual activity",IF(COUNTIFS('Inventory'!$C$9:$C$108,D147)&lt;&gt;1,"Entity required",IF(OR(E147="",L147="",NOT(ISNUMBER(H147)),H147&lt;0,NOT(ISNUMBER(K147)),NOT(ISNUMBER(N147))),"Missing activity input",IF(AND(E147&lt;&gt;D147,OR(COUNTIFS('Sites'!$C$9:$C$108,E147)&lt;&gt;1,IFERROR(IF(INDEX('Sites'!$D$9:$D$108,MATCH(E147,'Sites'!$C$9:$C$108,0))="","",INDEX('Sites'!$D$9:$D$108,MATCH(E147,'Sites'!$C$9:$C$108,0))),"")&lt;&gt;IFERROR(IF(INDEX('Inventory'!$D$9:$D$108,MATCH(D147,'Inventory'!$C$9:$C$108,0))="","",INDEX('Inventory'!$D$9:$D$108,MATCH(D147,'Inventory'!$C$9:$C$108,0))),""),IFERROR(IF(INDEX('Sites'!$E$9:$E$108,MATCH(E147,'Sites'!$C$9:$C$108,0))="","",INDEX('Sites'!$E$9:$E$108,MATCH(E147,'Sites'!$C$9:$C$108,0))),"")&lt;&gt;W147)),"Site / entity mismatch",IF(N147&lt;'Settings'!$F$8,"Expired",IF(X147&lt;&gt;"Ready","Factor required",IF(OR(G147&lt;&gt;IFERROR(IF(INDEX('Factors'!$D$9:$D$108,MATCH(J147,'Factors'!$C$9:$C$108,0))="","",INDEX('Factors'!$D$9:$D$108,MATCH(J147,'Factors'!$C$9:$C$108,0))),""),I147&lt;&gt;P147,F147&lt;&gt;Q147,K147&lt;&gt;S147,AND(R147&lt;&gt;"Global",R147&lt;&gt;W147),K147&lt;&gt;YEAR(IFERROR(IF(INDEX('Inventory'!$H$9:$H$108,MATCH(D147,'Inventory'!$C$9:$C$108,0))="","",INDEX('Inventory'!$H$9:$H$108,MATCH(D147,'Inventory'!$C$9:$C$108,0))),""))),"Factor / boundary mismatch",IF(AND(F147="S2",IFERROR(IF(INDEX('Factors'!$I$9:$I$108,MATCH(J147,'Factors'!$C$9:$C$108,0))="","",INDEX('Factors'!$I$9:$I$108,MATCH(J147,'Factors'!$C$9:$C$108,0))),"")&lt;&gt;"Location-based"),"Use location factor",IF(M147&lt;&gt;"Actual","Estimation method review","Ready"))))))))))</x:f>
      </x:c>
      <x:c r="W147" s="9" t="str">
        <x:f>IF(C147="","",IFERROR(IF(INDEX('Inventory'!$G$9:$G$108,MATCH(D147,'Inventory'!$C$9:$C$108,0))="","",INDEX('Inventory'!$G$9:$G$108,MATCH(D147,'Inventory'!$C$9:$C$108,0))),""))</x:f>
      </x:c>
      <x:c r="X147" s="9" t="str">
        <x:f>IF(C147="","",IFERROR(IF(INDEX('Factors'!$P$9:$P$108,MATCH(J147,'Factors'!$C$9:$C$108,0))="","",INDEX('Factors'!$P$9:$P$108,MATCH(J147,'Factors'!$C$9:$C$108,0))),""))</x:f>
      </x:c>
    </x:row>
    <x:row r="148" ht="26" customHeight="1">
      <x:c r="A148" s="1"/>
      <x:c r="B148" s="1"/>
      <x:c r="C148" s="8"/>
      <x:c r="D148" s="8"/>
      <x:c r="E148" s="8"/>
      <x:c r="F148" s="8"/>
      <x:c r="G148" s="8"/>
      <x:c r="H148" s="16"/>
      <x:c r="I148" s="8"/>
      <x:c r="J148" s="8"/>
      <x:c r="K148" s="22"/>
      <x:c r="L148" s="8"/>
      <x:c r="M148" s="8"/>
      <x:c r="N148" s="40"/>
      <x:c r="O148" s="41" t="str">
        <x:f>IF(C148="","",IFERROR(IF(INDEX('Factors'!$G$9:$G$108,MATCH(J148,'Factors'!$C$9:$C$108,0))="","",INDEX('Factors'!$G$9:$G$108,MATCH(J148,'Factors'!$C$9:$C$108,0))),""))</x:f>
      </x:c>
      <x:c r="P148" s="9" t="str">
        <x:f>IF(C148="","",IFERROR(IF(INDEX('Factors'!$F$9:$F$108,MATCH(J148,'Factors'!$C$9:$C$108,0))="","",INDEX('Factors'!$F$9:$F$108,MATCH(J148,'Factors'!$C$9:$C$108,0))),""))</x:f>
      </x:c>
      <x:c r="Q148" s="9" t="str">
        <x:f>IF(C148="","",IFERROR(IF(INDEX('Factors'!$H$9:$H$108,MATCH(J148,'Factors'!$C$9:$C$108,0))="","",INDEX('Factors'!$H$9:$H$108,MATCH(J148,'Factors'!$C$9:$C$108,0))),""))</x:f>
      </x:c>
      <x:c r="R148" s="9" t="str">
        <x:f>IF(C148="","",IFERROR(IF(INDEX('Factors'!$E$9:$E$108,MATCH(J148,'Factors'!$C$9:$C$108,0))="","",INDEX('Factors'!$E$9:$E$108,MATCH(J148,'Factors'!$C$9:$C$108,0))),""))</x:f>
      </x:c>
      <x:c r="S148" s="42" t="str">
        <x:f>IF(C148="","",IFERROR(IF(INDEX('Factors'!$J$9:$J$108,MATCH(J148,'Factors'!$C$9:$C$108,0))="","",INDEX('Factors'!$J$9:$J$108,MATCH(J148,'Factors'!$C$9:$C$108,0))),""))</x:f>
      </x:c>
      <x:c r="T148" s="9" t="str">
        <x:f>IF(C148="","",IFERROR(IF(INDEX('Factors'!$L$9:$L$108,MATCH(J148,'Factors'!$C$9:$C$108,0))="","",INDEX('Factors'!$L$9:$L$108,MATCH(J148,'Factors'!$C$9:$C$108,0))),"")&amp;" / "&amp;IFERROR(IF(INDEX('Factors'!$M$9:$M$108,MATCH(J148,'Factors'!$C$9:$C$108,0))="","",INDEX('Factors'!$M$9:$M$108,MATCH(J148,'Factors'!$C$9:$C$108,0))),""))</x:f>
      </x:c>
      <x:c r="U148" s="21" t="str">
        <x:f>IF(V148="Ready",H148*O148/1000,"")</x:f>
      </x:c>
      <x:c r="V148" s="9" t="str">
        <x:f>IF(C148="","",IF(OR(COUNTIFS($C$9:$C$308,C148)&lt;&gt;1,COUNTIFS($D$9:$D$308,D148,$E$9:$E$308,E148,$F$9:$F$308,F148,$G$9:$G$308,G148,$K$9:$K$308,K148)&lt;&gt;1),"Duplicate annual activity",IF(COUNTIFS('Inventory'!$C$9:$C$108,D148)&lt;&gt;1,"Entity required",IF(OR(E148="",L148="",NOT(ISNUMBER(H148)),H148&lt;0,NOT(ISNUMBER(K148)),NOT(ISNUMBER(N148))),"Missing activity input",IF(AND(E148&lt;&gt;D148,OR(COUNTIFS('Sites'!$C$9:$C$108,E148)&lt;&gt;1,IFERROR(IF(INDEX('Sites'!$D$9:$D$108,MATCH(E148,'Sites'!$C$9:$C$108,0))="","",INDEX('Sites'!$D$9:$D$108,MATCH(E148,'Sites'!$C$9:$C$108,0))),"")&lt;&gt;IFERROR(IF(INDEX('Inventory'!$D$9:$D$108,MATCH(D148,'Inventory'!$C$9:$C$108,0))="","",INDEX('Inventory'!$D$9:$D$108,MATCH(D148,'Inventory'!$C$9:$C$108,0))),""),IFERROR(IF(INDEX('Sites'!$E$9:$E$108,MATCH(E148,'Sites'!$C$9:$C$108,0))="","",INDEX('Sites'!$E$9:$E$108,MATCH(E148,'Sites'!$C$9:$C$108,0))),"")&lt;&gt;W148)),"Site / entity mismatch",IF(N148&lt;'Settings'!$F$8,"Expired",IF(X148&lt;&gt;"Ready","Factor required",IF(OR(G148&lt;&gt;IFERROR(IF(INDEX('Factors'!$D$9:$D$108,MATCH(J148,'Factors'!$C$9:$C$108,0))="","",INDEX('Factors'!$D$9:$D$108,MATCH(J148,'Factors'!$C$9:$C$108,0))),""),I148&lt;&gt;P148,F148&lt;&gt;Q148,K148&lt;&gt;S148,AND(R148&lt;&gt;"Global",R148&lt;&gt;W148),K148&lt;&gt;YEAR(IFERROR(IF(INDEX('Inventory'!$H$9:$H$108,MATCH(D148,'Inventory'!$C$9:$C$108,0))="","",INDEX('Inventory'!$H$9:$H$108,MATCH(D148,'Inventory'!$C$9:$C$108,0))),""))),"Factor / boundary mismatch",IF(AND(F148="S2",IFERROR(IF(INDEX('Factors'!$I$9:$I$108,MATCH(J148,'Factors'!$C$9:$C$108,0))="","",INDEX('Factors'!$I$9:$I$108,MATCH(J148,'Factors'!$C$9:$C$108,0))),"")&lt;&gt;"Location-based"),"Use location factor",IF(M148&lt;&gt;"Actual","Estimation method review","Ready"))))))))))</x:f>
      </x:c>
      <x:c r="W148" s="9" t="str">
        <x:f>IF(C148="","",IFERROR(IF(INDEX('Inventory'!$G$9:$G$108,MATCH(D148,'Inventory'!$C$9:$C$108,0))="","",INDEX('Inventory'!$G$9:$G$108,MATCH(D148,'Inventory'!$C$9:$C$108,0))),""))</x:f>
      </x:c>
      <x:c r="X148" s="9" t="str">
        <x:f>IF(C148="","",IFERROR(IF(INDEX('Factors'!$P$9:$P$108,MATCH(J148,'Factors'!$C$9:$C$108,0))="","",INDEX('Factors'!$P$9:$P$108,MATCH(J148,'Factors'!$C$9:$C$108,0))),""))</x:f>
      </x:c>
    </x:row>
    <x:row r="149" ht="26" customHeight="1">
      <x:c r="A149" s="1"/>
      <x:c r="B149" s="1"/>
      <x:c r="C149" s="8"/>
      <x:c r="D149" s="8"/>
      <x:c r="E149" s="8"/>
      <x:c r="F149" s="8"/>
      <x:c r="G149" s="8"/>
      <x:c r="H149" s="16"/>
      <x:c r="I149" s="8"/>
      <x:c r="J149" s="8"/>
      <x:c r="K149" s="22"/>
      <x:c r="L149" s="8"/>
      <x:c r="M149" s="8"/>
      <x:c r="N149" s="40"/>
      <x:c r="O149" s="41" t="str">
        <x:f>IF(C149="","",IFERROR(IF(INDEX('Factors'!$G$9:$G$108,MATCH(J149,'Factors'!$C$9:$C$108,0))="","",INDEX('Factors'!$G$9:$G$108,MATCH(J149,'Factors'!$C$9:$C$108,0))),""))</x:f>
      </x:c>
      <x:c r="P149" s="9" t="str">
        <x:f>IF(C149="","",IFERROR(IF(INDEX('Factors'!$F$9:$F$108,MATCH(J149,'Factors'!$C$9:$C$108,0))="","",INDEX('Factors'!$F$9:$F$108,MATCH(J149,'Factors'!$C$9:$C$108,0))),""))</x:f>
      </x:c>
      <x:c r="Q149" s="9" t="str">
        <x:f>IF(C149="","",IFERROR(IF(INDEX('Factors'!$H$9:$H$108,MATCH(J149,'Factors'!$C$9:$C$108,0))="","",INDEX('Factors'!$H$9:$H$108,MATCH(J149,'Factors'!$C$9:$C$108,0))),""))</x:f>
      </x:c>
      <x:c r="R149" s="9" t="str">
        <x:f>IF(C149="","",IFERROR(IF(INDEX('Factors'!$E$9:$E$108,MATCH(J149,'Factors'!$C$9:$C$108,0))="","",INDEX('Factors'!$E$9:$E$108,MATCH(J149,'Factors'!$C$9:$C$108,0))),""))</x:f>
      </x:c>
      <x:c r="S149" s="42" t="str">
        <x:f>IF(C149="","",IFERROR(IF(INDEX('Factors'!$J$9:$J$108,MATCH(J149,'Factors'!$C$9:$C$108,0))="","",INDEX('Factors'!$J$9:$J$108,MATCH(J149,'Factors'!$C$9:$C$108,0))),""))</x:f>
      </x:c>
      <x:c r="T149" s="9" t="str">
        <x:f>IF(C149="","",IFERROR(IF(INDEX('Factors'!$L$9:$L$108,MATCH(J149,'Factors'!$C$9:$C$108,0))="","",INDEX('Factors'!$L$9:$L$108,MATCH(J149,'Factors'!$C$9:$C$108,0))),"")&amp;" / "&amp;IFERROR(IF(INDEX('Factors'!$M$9:$M$108,MATCH(J149,'Factors'!$C$9:$C$108,0))="","",INDEX('Factors'!$M$9:$M$108,MATCH(J149,'Factors'!$C$9:$C$108,0))),""))</x:f>
      </x:c>
      <x:c r="U149" s="21" t="str">
        <x:f>IF(V149="Ready",H149*O149/1000,"")</x:f>
      </x:c>
      <x:c r="V149" s="9" t="str">
        <x:f>IF(C149="","",IF(OR(COUNTIFS($C$9:$C$308,C149)&lt;&gt;1,COUNTIFS($D$9:$D$308,D149,$E$9:$E$308,E149,$F$9:$F$308,F149,$G$9:$G$308,G149,$K$9:$K$308,K149)&lt;&gt;1),"Duplicate annual activity",IF(COUNTIFS('Inventory'!$C$9:$C$108,D149)&lt;&gt;1,"Entity required",IF(OR(E149="",L149="",NOT(ISNUMBER(H149)),H149&lt;0,NOT(ISNUMBER(K149)),NOT(ISNUMBER(N149))),"Missing activity input",IF(AND(E149&lt;&gt;D149,OR(COUNTIFS('Sites'!$C$9:$C$108,E149)&lt;&gt;1,IFERROR(IF(INDEX('Sites'!$D$9:$D$108,MATCH(E149,'Sites'!$C$9:$C$108,0))="","",INDEX('Sites'!$D$9:$D$108,MATCH(E149,'Sites'!$C$9:$C$108,0))),"")&lt;&gt;IFERROR(IF(INDEX('Inventory'!$D$9:$D$108,MATCH(D149,'Inventory'!$C$9:$C$108,0))="","",INDEX('Inventory'!$D$9:$D$108,MATCH(D149,'Inventory'!$C$9:$C$108,0))),""),IFERROR(IF(INDEX('Sites'!$E$9:$E$108,MATCH(E149,'Sites'!$C$9:$C$108,0))="","",INDEX('Sites'!$E$9:$E$108,MATCH(E149,'Sites'!$C$9:$C$108,0))),"")&lt;&gt;W149)),"Site / entity mismatch",IF(N149&lt;'Settings'!$F$8,"Expired",IF(X149&lt;&gt;"Ready","Factor required",IF(OR(G149&lt;&gt;IFERROR(IF(INDEX('Factors'!$D$9:$D$108,MATCH(J149,'Factors'!$C$9:$C$108,0))="","",INDEX('Factors'!$D$9:$D$108,MATCH(J149,'Factors'!$C$9:$C$108,0))),""),I149&lt;&gt;P149,F149&lt;&gt;Q149,K149&lt;&gt;S149,AND(R149&lt;&gt;"Global",R149&lt;&gt;W149),K149&lt;&gt;YEAR(IFERROR(IF(INDEX('Inventory'!$H$9:$H$108,MATCH(D149,'Inventory'!$C$9:$C$108,0))="","",INDEX('Inventory'!$H$9:$H$108,MATCH(D149,'Inventory'!$C$9:$C$108,0))),""))),"Factor / boundary mismatch",IF(AND(F149="S2",IFERROR(IF(INDEX('Factors'!$I$9:$I$108,MATCH(J149,'Factors'!$C$9:$C$108,0))="","",INDEX('Factors'!$I$9:$I$108,MATCH(J149,'Factors'!$C$9:$C$108,0))),"")&lt;&gt;"Location-based"),"Use location factor",IF(M149&lt;&gt;"Actual","Estimation method review","Ready"))))))))))</x:f>
      </x:c>
      <x:c r="W149" s="9" t="str">
        <x:f>IF(C149="","",IFERROR(IF(INDEX('Inventory'!$G$9:$G$108,MATCH(D149,'Inventory'!$C$9:$C$108,0))="","",INDEX('Inventory'!$G$9:$G$108,MATCH(D149,'Inventory'!$C$9:$C$108,0))),""))</x:f>
      </x:c>
      <x:c r="X149" s="9" t="str">
        <x:f>IF(C149="","",IFERROR(IF(INDEX('Factors'!$P$9:$P$108,MATCH(J149,'Factors'!$C$9:$C$108,0))="","",INDEX('Factors'!$P$9:$P$108,MATCH(J149,'Factors'!$C$9:$C$108,0))),""))</x:f>
      </x:c>
    </x:row>
    <x:row r="150" ht="26" customHeight="1">
      <x:c r="A150" s="1"/>
      <x:c r="B150" s="1"/>
      <x:c r="C150" s="8"/>
      <x:c r="D150" s="8"/>
      <x:c r="E150" s="8"/>
      <x:c r="F150" s="8"/>
      <x:c r="G150" s="8"/>
      <x:c r="H150" s="16"/>
      <x:c r="I150" s="8"/>
      <x:c r="J150" s="8"/>
      <x:c r="K150" s="22"/>
      <x:c r="L150" s="8"/>
      <x:c r="M150" s="8"/>
      <x:c r="N150" s="40"/>
      <x:c r="O150" s="41" t="str">
        <x:f>IF(C150="","",IFERROR(IF(INDEX('Factors'!$G$9:$G$108,MATCH(J150,'Factors'!$C$9:$C$108,0))="","",INDEX('Factors'!$G$9:$G$108,MATCH(J150,'Factors'!$C$9:$C$108,0))),""))</x:f>
      </x:c>
      <x:c r="P150" s="9" t="str">
        <x:f>IF(C150="","",IFERROR(IF(INDEX('Factors'!$F$9:$F$108,MATCH(J150,'Factors'!$C$9:$C$108,0))="","",INDEX('Factors'!$F$9:$F$108,MATCH(J150,'Factors'!$C$9:$C$108,0))),""))</x:f>
      </x:c>
      <x:c r="Q150" s="9" t="str">
        <x:f>IF(C150="","",IFERROR(IF(INDEX('Factors'!$H$9:$H$108,MATCH(J150,'Factors'!$C$9:$C$108,0))="","",INDEX('Factors'!$H$9:$H$108,MATCH(J150,'Factors'!$C$9:$C$108,0))),""))</x:f>
      </x:c>
      <x:c r="R150" s="9" t="str">
        <x:f>IF(C150="","",IFERROR(IF(INDEX('Factors'!$E$9:$E$108,MATCH(J150,'Factors'!$C$9:$C$108,0))="","",INDEX('Factors'!$E$9:$E$108,MATCH(J150,'Factors'!$C$9:$C$108,0))),""))</x:f>
      </x:c>
      <x:c r="S150" s="42" t="str">
        <x:f>IF(C150="","",IFERROR(IF(INDEX('Factors'!$J$9:$J$108,MATCH(J150,'Factors'!$C$9:$C$108,0))="","",INDEX('Factors'!$J$9:$J$108,MATCH(J150,'Factors'!$C$9:$C$108,0))),""))</x:f>
      </x:c>
      <x:c r="T150" s="9" t="str">
        <x:f>IF(C150="","",IFERROR(IF(INDEX('Factors'!$L$9:$L$108,MATCH(J150,'Factors'!$C$9:$C$108,0))="","",INDEX('Factors'!$L$9:$L$108,MATCH(J150,'Factors'!$C$9:$C$108,0))),"")&amp;" / "&amp;IFERROR(IF(INDEX('Factors'!$M$9:$M$108,MATCH(J150,'Factors'!$C$9:$C$108,0))="","",INDEX('Factors'!$M$9:$M$108,MATCH(J150,'Factors'!$C$9:$C$108,0))),""))</x:f>
      </x:c>
      <x:c r="U150" s="21" t="str">
        <x:f>IF(V150="Ready",H150*O150/1000,"")</x:f>
      </x:c>
      <x:c r="V150" s="9" t="str">
        <x:f>IF(C150="","",IF(OR(COUNTIFS($C$9:$C$308,C150)&lt;&gt;1,COUNTIFS($D$9:$D$308,D150,$E$9:$E$308,E150,$F$9:$F$308,F150,$G$9:$G$308,G150,$K$9:$K$308,K150)&lt;&gt;1),"Duplicate annual activity",IF(COUNTIFS('Inventory'!$C$9:$C$108,D150)&lt;&gt;1,"Entity required",IF(OR(E150="",L150="",NOT(ISNUMBER(H150)),H150&lt;0,NOT(ISNUMBER(K150)),NOT(ISNUMBER(N150))),"Missing activity input",IF(AND(E150&lt;&gt;D150,OR(COUNTIFS('Sites'!$C$9:$C$108,E150)&lt;&gt;1,IFERROR(IF(INDEX('Sites'!$D$9:$D$108,MATCH(E150,'Sites'!$C$9:$C$108,0))="","",INDEX('Sites'!$D$9:$D$108,MATCH(E150,'Sites'!$C$9:$C$108,0))),"")&lt;&gt;IFERROR(IF(INDEX('Inventory'!$D$9:$D$108,MATCH(D150,'Inventory'!$C$9:$C$108,0))="","",INDEX('Inventory'!$D$9:$D$108,MATCH(D150,'Inventory'!$C$9:$C$108,0))),""),IFERROR(IF(INDEX('Sites'!$E$9:$E$108,MATCH(E150,'Sites'!$C$9:$C$108,0))="","",INDEX('Sites'!$E$9:$E$108,MATCH(E150,'Sites'!$C$9:$C$108,0))),"")&lt;&gt;W150)),"Site / entity mismatch",IF(N150&lt;'Settings'!$F$8,"Expired",IF(X150&lt;&gt;"Ready","Factor required",IF(OR(G150&lt;&gt;IFERROR(IF(INDEX('Factors'!$D$9:$D$108,MATCH(J150,'Factors'!$C$9:$C$108,0))="","",INDEX('Factors'!$D$9:$D$108,MATCH(J150,'Factors'!$C$9:$C$108,0))),""),I150&lt;&gt;P150,F150&lt;&gt;Q150,K150&lt;&gt;S150,AND(R150&lt;&gt;"Global",R150&lt;&gt;W150),K150&lt;&gt;YEAR(IFERROR(IF(INDEX('Inventory'!$H$9:$H$108,MATCH(D150,'Inventory'!$C$9:$C$108,0))="","",INDEX('Inventory'!$H$9:$H$108,MATCH(D150,'Inventory'!$C$9:$C$108,0))),""))),"Factor / boundary mismatch",IF(AND(F150="S2",IFERROR(IF(INDEX('Factors'!$I$9:$I$108,MATCH(J150,'Factors'!$C$9:$C$108,0))="","",INDEX('Factors'!$I$9:$I$108,MATCH(J150,'Factors'!$C$9:$C$108,0))),"")&lt;&gt;"Location-based"),"Use location factor",IF(M150&lt;&gt;"Actual","Estimation method review","Ready"))))))))))</x:f>
      </x:c>
      <x:c r="W150" s="9" t="str">
        <x:f>IF(C150="","",IFERROR(IF(INDEX('Inventory'!$G$9:$G$108,MATCH(D150,'Inventory'!$C$9:$C$108,0))="","",INDEX('Inventory'!$G$9:$G$108,MATCH(D150,'Inventory'!$C$9:$C$108,0))),""))</x:f>
      </x:c>
      <x:c r="X150" s="9" t="str">
        <x:f>IF(C150="","",IFERROR(IF(INDEX('Factors'!$P$9:$P$108,MATCH(J150,'Factors'!$C$9:$C$108,0))="","",INDEX('Factors'!$P$9:$P$108,MATCH(J150,'Factors'!$C$9:$C$108,0))),""))</x:f>
      </x:c>
    </x:row>
    <x:row r="151" ht="26" customHeight="1">
      <x:c r="A151" s="1"/>
      <x:c r="B151" s="1"/>
      <x:c r="C151" s="8"/>
      <x:c r="D151" s="8"/>
      <x:c r="E151" s="8"/>
      <x:c r="F151" s="8"/>
      <x:c r="G151" s="8"/>
      <x:c r="H151" s="16"/>
      <x:c r="I151" s="8"/>
      <x:c r="J151" s="8"/>
      <x:c r="K151" s="22"/>
      <x:c r="L151" s="8"/>
      <x:c r="M151" s="8"/>
      <x:c r="N151" s="40"/>
      <x:c r="O151" s="41" t="str">
        <x:f>IF(C151="","",IFERROR(IF(INDEX('Factors'!$G$9:$G$108,MATCH(J151,'Factors'!$C$9:$C$108,0))="","",INDEX('Factors'!$G$9:$G$108,MATCH(J151,'Factors'!$C$9:$C$108,0))),""))</x:f>
      </x:c>
      <x:c r="P151" s="9" t="str">
        <x:f>IF(C151="","",IFERROR(IF(INDEX('Factors'!$F$9:$F$108,MATCH(J151,'Factors'!$C$9:$C$108,0))="","",INDEX('Factors'!$F$9:$F$108,MATCH(J151,'Factors'!$C$9:$C$108,0))),""))</x:f>
      </x:c>
      <x:c r="Q151" s="9" t="str">
        <x:f>IF(C151="","",IFERROR(IF(INDEX('Factors'!$H$9:$H$108,MATCH(J151,'Factors'!$C$9:$C$108,0))="","",INDEX('Factors'!$H$9:$H$108,MATCH(J151,'Factors'!$C$9:$C$108,0))),""))</x:f>
      </x:c>
      <x:c r="R151" s="9" t="str">
        <x:f>IF(C151="","",IFERROR(IF(INDEX('Factors'!$E$9:$E$108,MATCH(J151,'Factors'!$C$9:$C$108,0))="","",INDEX('Factors'!$E$9:$E$108,MATCH(J151,'Factors'!$C$9:$C$108,0))),""))</x:f>
      </x:c>
      <x:c r="S151" s="42" t="str">
        <x:f>IF(C151="","",IFERROR(IF(INDEX('Factors'!$J$9:$J$108,MATCH(J151,'Factors'!$C$9:$C$108,0))="","",INDEX('Factors'!$J$9:$J$108,MATCH(J151,'Factors'!$C$9:$C$108,0))),""))</x:f>
      </x:c>
      <x:c r="T151" s="9" t="str">
        <x:f>IF(C151="","",IFERROR(IF(INDEX('Factors'!$L$9:$L$108,MATCH(J151,'Factors'!$C$9:$C$108,0))="","",INDEX('Factors'!$L$9:$L$108,MATCH(J151,'Factors'!$C$9:$C$108,0))),"")&amp;" / "&amp;IFERROR(IF(INDEX('Factors'!$M$9:$M$108,MATCH(J151,'Factors'!$C$9:$C$108,0))="","",INDEX('Factors'!$M$9:$M$108,MATCH(J151,'Factors'!$C$9:$C$108,0))),""))</x:f>
      </x:c>
      <x:c r="U151" s="21" t="str">
        <x:f>IF(V151="Ready",H151*O151/1000,"")</x:f>
      </x:c>
      <x:c r="V151" s="9" t="str">
        <x:f>IF(C151="","",IF(OR(COUNTIFS($C$9:$C$308,C151)&lt;&gt;1,COUNTIFS($D$9:$D$308,D151,$E$9:$E$308,E151,$F$9:$F$308,F151,$G$9:$G$308,G151,$K$9:$K$308,K151)&lt;&gt;1),"Duplicate annual activity",IF(COUNTIFS('Inventory'!$C$9:$C$108,D151)&lt;&gt;1,"Entity required",IF(OR(E151="",L151="",NOT(ISNUMBER(H151)),H151&lt;0,NOT(ISNUMBER(K151)),NOT(ISNUMBER(N151))),"Missing activity input",IF(AND(E151&lt;&gt;D151,OR(COUNTIFS('Sites'!$C$9:$C$108,E151)&lt;&gt;1,IFERROR(IF(INDEX('Sites'!$D$9:$D$108,MATCH(E151,'Sites'!$C$9:$C$108,0))="","",INDEX('Sites'!$D$9:$D$108,MATCH(E151,'Sites'!$C$9:$C$108,0))),"")&lt;&gt;IFERROR(IF(INDEX('Inventory'!$D$9:$D$108,MATCH(D151,'Inventory'!$C$9:$C$108,0))="","",INDEX('Inventory'!$D$9:$D$108,MATCH(D151,'Inventory'!$C$9:$C$108,0))),""),IFERROR(IF(INDEX('Sites'!$E$9:$E$108,MATCH(E151,'Sites'!$C$9:$C$108,0))="","",INDEX('Sites'!$E$9:$E$108,MATCH(E151,'Sites'!$C$9:$C$108,0))),"")&lt;&gt;W151)),"Site / entity mismatch",IF(N151&lt;'Settings'!$F$8,"Expired",IF(X151&lt;&gt;"Ready","Factor required",IF(OR(G151&lt;&gt;IFERROR(IF(INDEX('Factors'!$D$9:$D$108,MATCH(J151,'Factors'!$C$9:$C$108,0))="","",INDEX('Factors'!$D$9:$D$108,MATCH(J151,'Factors'!$C$9:$C$108,0))),""),I151&lt;&gt;P151,F151&lt;&gt;Q151,K151&lt;&gt;S151,AND(R151&lt;&gt;"Global",R151&lt;&gt;W151),K151&lt;&gt;YEAR(IFERROR(IF(INDEX('Inventory'!$H$9:$H$108,MATCH(D151,'Inventory'!$C$9:$C$108,0))="","",INDEX('Inventory'!$H$9:$H$108,MATCH(D151,'Inventory'!$C$9:$C$108,0))),""))),"Factor / boundary mismatch",IF(AND(F151="S2",IFERROR(IF(INDEX('Factors'!$I$9:$I$108,MATCH(J151,'Factors'!$C$9:$C$108,0))="","",INDEX('Factors'!$I$9:$I$108,MATCH(J151,'Factors'!$C$9:$C$108,0))),"")&lt;&gt;"Location-based"),"Use location factor",IF(M151&lt;&gt;"Actual","Estimation method review","Ready"))))))))))</x:f>
      </x:c>
      <x:c r="W151" s="9" t="str">
        <x:f>IF(C151="","",IFERROR(IF(INDEX('Inventory'!$G$9:$G$108,MATCH(D151,'Inventory'!$C$9:$C$108,0))="","",INDEX('Inventory'!$G$9:$G$108,MATCH(D151,'Inventory'!$C$9:$C$108,0))),""))</x:f>
      </x:c>
      <x:c r="X151" s="9" t="str">
        <x:f>IF(C151="","",IFERROR(IF(INDEX('Factors'!$P$9:$P$108,MATCH(J151,'Factors'!$C$9:$C$108,0))="","",INDEX('Factors'!$P$9:$P$108,MATCH(J151,'Factors'!$C$9:$C$108,0))),""))</x:f>
      </x:c>
    </x:row>
    <x:row r="152" ht="26" customHeight="1">
      <x:c r="A152" s="1"/>
      <x:c r="B152" s="1"/>
      <x:c r="C152" s="8"/>
      <x:c r="D152" s="8"/>
      <x:c r="E152" s="8"/>
      <x:c r="F152" s="8"/>
      <x:c r="G152" s="8"/>
      <x:c r="H152" s="16"/>
      <x:c r="I152" s="8"/>
      <x:c r="J152" s="8"/>
      <x:c r="K152" s="22"/>
      <x:c r="L152" s="8"/>
      <x:c r="M152" s="8"/>
      <x:c r="N152" s="40"/>
      <x:c r="O152" s="41" t="str">
        <x:f>IF(C152="","",IFERROR(IF(INDEX('Factors'!$G$9:$G$108,MATCH(J152,'Factors'!$C$9:$C$108,0))="","",INDEX('Factors'!$G$9:$G$108,MATCH(J152,'Factors'!$C$9:$C$108,0))),""))</x:f>
      </x:c>
      <x:c r="P152" s="9" t="str">
        <x:f>IF(C152="","",IFERROR(IF(INDEX('Factors'!$F$9:$F$108,MATCH(J152,'Factors'!$C$9:$C$108,0))="","",INDEX('Factors'!$F$9:$F$108,MATCH(J152,'Factors'!$C$9:$C$108,0))),""))</x:f>
      </x:c>
      <x:c r="Q152" s="9" t="str">
        <x:f>IF(C152="","",IFERROR(IF(INDEX('Factors'!$H$9:$H$108,MATCH(J152,'Factors'!$C$9:$C$108,0))="","",INDEX('Factors'!$H$9:$H$108,MATCH(J152,'Factors'!$C$9:$C$108,0))),""))</x:f>
      </x:c>
      <x:c r="R152" s="9" t="str">
        <x:f>IF(C152="","",IFERROR(IF(INDEX('Factors'!$E$9:$E$108,MATCH(J152,'Factors'!$C$9:$C$108,0))="","",INDEX('Factors'!$E$9:$E$108,MATCH(J152,'Factors'!$C$9:$C$108,0))),""))</x:f>
      </x:c>
      <x:c r="S152" s="42" t="str">
        <x:f>IF(C152="","",IFERROR(IF(INDEX('Factors'!$J$9:$J$108,MATCH(J152,'Factors'!$C$9:$C$108,0))="","",INDEX('Factors'!$J$9:$J$108,MATCH(J152,'Factors'!$C$9:$C$108,0))),""))</x:f>
      </x:c>
      <x:c r="T152" s="9" t="str">
        <x:f>IF(C152="","",IFERROR(IF(INDEX('Factors'!$L$9:$L$108,MATCH(J152,'Factors'!$C$9:$C$108,0))="","",INDEX('Factors'!$L$9:$L$108,MATCH(J152,'Factors'!$C$9:$C$108,0))),"")&amp;" / "&amp;IFERROR(IF(INDEX('Factors'!$M$9:$M$108,MATCH(J152,'Factors'!$C$9:$C$108,0))="","",INDEX('Factors'!$M$9:$M$108,MATCH(J152,'Factors'!$C$9:$C$108,0))),""))</x:f>
      </x:c>
      <x:c r="U152" s="21" t="str">
        <x:f>IF(V152="Ready",H152*O152/1000,"")</x:f>
      </x:c>
      <x:c r="V152" s="9" t="str">
        <x:f>IF(C152="","",IF(OR(COUNTIFS($C$9:$C$308,C152)&lt;&gt;1,COUNTIFS($D$9:$D$308,D152,$E$9:$E$308,E152,$F$9:$F$308,F152,$G$9:$G$308,G152,$K$9:$K$308,K152)&lt;&gt;1),"Duplicate annual activity",IF(COUNTIFS('Inventory'!$C$9:$C$108,D152)&lt;&gt;1,"Entity required",IF(OR(E152="",L152="",NOT(ISNUMBER(H152)),H152&lt;0,NOT(ISNUMBER(K152)),NOT(ISNUMBER(N152))),"Missing activity input",IF(AND(E152&lt;&gt;D152,OR(COUNTIFS('Sites'!$C$9:$C$108,E152)&lt;&gt;1,IFERROR(IF(INDEX('Sites'!$D$9:$D$108,MATCH(E152,'Sites'!$C$9:$C$108,0))="","",INDEX('Sites'!$D$9:$D$108,MATCH(E152,'Sites'!$C$9:$C$108,0))),"")&lt;&gt;IFERROR(IF(INDEX('Inventory'!$D$9:$D$108,MATCH(D152,'Inventory'!$C$9:$C$108,0))="","",INDEX('Inventory'!$D$9:$D$108,MATCH(D152,'Inventory'!$C$9:$C$108,0))),""),IFERROR(IF(INDEX('Sites'!$E$9:$E$108,MATCH(E152,'Sites'!$C$9:$C$108,0))="","",INDEX('Sites'!$E$9:$E$108,MATCH(E152,'Sites'!$C$9:$C$108,0))),"")&lt;&gt;W152)),"Site / entity mismatch",IF(N152&lt;'Settings'!$F$8,"Expired",IF(X152&lt;&gt;"Ready","Factor required",IF(OR(G152&lt;&gt;IFERROR(IF(INDEX('Factors'!$D$9:$D$108,MATCH(J152,'Factors'!$C$9:$C$108,0))="","",INDEX('Factors'!$D$9:$D$108,MATCH(J152,'Factors'!$C$9:$C$108,0))),""),I152&lt;&gt;P152,F152&lt;&gt;Q152,K152&lt;&gt;S152,AND(R152&lt;&gt;"Global",R152&lt;&gt;W152),K152&lt;&gt;YEAR(IFERROR(IF(INDEX('Inventory'!$H$9:$H$108,MATCH(D152,'Inventory'!$C$9:$C$108,0))="","",INDEX('Inventory'!$H$9:$H$108,MATCH(D152,'Inventory'!$C$9:$C$108,0))),""))),"Factor / boundary mismatch",IF(AND(F152="S2",IFERROR(IF(INDEX('Factors'!$I$9:$I$108,MATCH(J152,'Factors'!$C$9:$C$108,0))="","",INDEX('Factors'!$I$9:$I$108,MATCH(J152,'Factors'!$C$9:$C$108,0))),"")&lt;&gt;"Location-based"),"Use location factor",IF(M152&lt;&gt;"Actual","Estimation method review","Ready"))))))))))</x:f>
      </x:c>
      <x:c r="W152" s="9" t="str">
        <x:f>IF(C152="","",IFERROR(IF(INDEX('Inventory'!$G$9:$G$108,MATCH(D152,'Inventory'!$C$9:$C$108,0))="","",INDEX('Inventory'!$G$9:$G$108,MATCH(D152,'Inventory'!$C$9:$C$108,0))),""))</x:f>
      </x:c>
      <x:c r="X152" s="9" t="str">
        <x:f>IF(C152="","",IFERROR(IF(INDEX('Factors'!$P$9:$P$108,MATCH(J152,'Factors'!$C$9:$C$108,0))="","",INDEX('Factors'!$P$9:$P$108,MATCH(J152,'Factors'!$C$9:$C$108,0))),""))</x:f>
      </x:c>
    </x:row>
    <x:row r="153" ht="26" customHeight="1">
      <x:c r="A153" s="1"/>
      <x:c r="B153" s="1"/>
      <x:c r="C153" s="8"/>
      <x:c r="D153" s="8"/>
      <x:c r="E153" s="8"/>
      <x:c r="F153" s="8"/>
      <x:c r="G153" s="8"/>
      <x:c r="H153" s="16"/>
      <x:c r="I153" s="8"/>
      <x:c r="J153" s="8"/>
      <x:c r="K153" s="22"/>
      <x:c r="L153" s="8"/>
      <x:c r="M153" s="8"/>
      <x:c r="N153" s="40"/>
      <x:c r="O153" s="41" t="str">
        <x:f>IF(C153="","",IFERROR(IF(INDEX('Factors'!$G$9:$G$108,MATCH(J153,'Factors'!$C$9:$C$108,0))="","",INDEX('Factors'!$G$9:$G$108,MATCH(J153,'Factors'!$C$9:$C$108,0))),""))</x:f>
      </x:c>
      <x:c r="P153" s="9" t="str">
        <x:f>IF(C153="","",IFERROR(IF(INDEX('Factors'!$F$9:$F$108,MATCH(J153,'Factors'!$C$9:$C$108,0))="","",INDEX('Factors'!$F$9:$F$108,MATCH(J153,'Factors'!$C$9:$C$108,0))),""))</x:f>
      </x:c>
      <x:c r="Q153" s="9" t="str">
        <x:f>IF(C153="","",IFERROR(IF(INDEX('Factors'!$H$9:$H$108,MATCH(J153,'Factors'!$C$9:$C$108,0))="","",INDEX('Factors'!$H$9:$H$108,MATCH(J153,'Factors'!$C$9:$C$108,0))),""))</x:f>
      </x:c>
      <x:c r="R153" s="9" t="str">
        <x:f>IF(C153="","",IFERROR(IF(INDEX('Factors'!$E$9:$E$108,MATCH(J153,'Factors'!$C$9:$C$108,0))="","",INDEX('Factors'!$E$9:$E$108,MATCH(J153,'Factors'!$C$9:$C$108,0))),""))</x:f>
      </x:c>
      <x:c r="S153" s="42" t="str">
        <x:f>IF(C153="","",IFERROR(IF(INDEX('Factors'!$J$9:$J$108,MATCH(J153,'Factors'!$C$9:$C$108,0))="","",INDEX('Factors'!$J$9:$J$108,MATCH(J153,'Factors'!$C$9:$C$108,0))),""))</x:f>
      </x:c>
      <x:c r="T153" s="9" t="str">
        <x:f>IF(C153="","",IFERROR(IF(INDEX('Factors'!$L$9:$L$108,MATCH(J153,'Factors'!$C$9:$C$108,0))="","",INDEX('Factors'!$L$9:$L$108,MATCH(J153,'Factors'!$C$9:$C$108,0))),"")&amp;" / "&amp;IFERROR(IF(INDEX('Factors'!$M$9:$M$108,MATCH(J153,'Factors'!$C$9:$C$108,0))="","",INDEX('Factors'!$M$9:$M$108,MATCH(J153,'Factors'!$C$9:$C$108,0))),""))</x:f>
      </x:c>
      <x:c r="U153" s="21" t="str">
        <x:f>IF(V153="Ready",H153*O153/1000,"")</x:f>
      </x:c>
      <x:c r="V153" s="9" t="str">
        <x:f>IF(C153="","",IF(OR(COUNTIFS($C$9:$C$308,C153)&lt;&gt;1,COUNTIFS($D$9:$D$308,D153,$E$9:$E$308,E153,$F$9:$F$308,F153,$G$9:$G$308,G153,$K$9:$K$308,K153)&lt;&gt;1),"Duplicate annual activity",IF(COUNTIFS('Inventory'!$C$9:$C$108,D153)&lt;&gt;1,"Entity required",IF(OR(E153="",L153="",NOT(ISNUMBER(H153)),H153&lt;0,NOT(ISNUMBER(K153)),NOT(ISNUMBER(N153))),"Missing activity input",IF(AND(E153&lt;&gt;D153,OR(COUNTIFS('Sites'!$C$9:$C$108,E153)&lt;&gt;1,IFERROR(IF(INDEX('Sites'!$D$9:$D$108,MATCH(E153,'Sites'!$C$9:$C$108,0))="","",INDEX('Sites'!$D$9:$D$108,MATCH(E153,'Sites'!$C$9:$C$108,0))),"")&lt;&gt;IFERROR(IF(INDEX('Inventory'!$D$9:$D$108,MATCH(D153,'Inventory'!$C$9:$C$108,0))="","",INDEX('Inventory'!$D$9:$D$108,MATCH(D153,'Inventory'!$C$9:$C$108,0))),""),IFERROR(IF(INDEX('Sites'!$E$9:$E$108,MATCH(E153,'Sites'!$C$9:$C$108,0))="","",INDEX('Sites'!$E$9:$E$108,MATCH(E153,'Sites'!$C$9:$C$108,0))),"")&lt;&gt;W153)),"Site / entity mismatch",IF(N153&lt;'Settings'!$F$8,"Expired",IF(X153&lt;&gt;"Ready","Factor required",IF(OR(G153&lt;&gt;IFERROR(IF(INDEX('Factors'!$D$9:$D$108,MATCH(J153,'Factors'!$C$9:$C$108,0))="","",INDEX('Factors'!$D$9:$D$108,MATCH(J153,'Factors'!$C$9:$C$108,0))),""),I153&lt;&gt;P153,F153&lt;&gt;Q153,K153&lt;&gt;S153,AND(R153&lt;&gt;"Global",R153&lt;&gt;W153),K153&lt;&gt;YEAR(IFERROR(IF(INDEX('Inventory'!$H$9:$H$108,MATCH(D153,'Inventory'!$C$9:$C$108,0))="","",INDEX('Inventory'!$H$9:$H$108,MATCH(D153,'Inventory'!$C$9:$C$108,0))),""))),"Factor / boundary mismatch",IF(AND(F153="S2",IFERROR(IF(INDEX('Factors'!$I$9:$I$108,MATCH(J153,'Factors'!$C$9:$C$108,0))="","",INDEX('Factors'!$I$9:$I$108,MATCH(J153,'Factors'!$C$9:$C$108,0))),"")&lt;&gt;"Location-based"),"Use location factor",IF(M153&lt;&gt;"Actual","Estimation method review","Ready"))))))))))</x:f>
      </x:c>
      <x:c r="W153" s="9" t="str">
        <x:f>IF(C153="","",IFERROR(IF(INDEX('Inventory'!$G$9:$G$108,MATCH(D153,'Inventory'!$C$9:$C$108,0))="","",INDEX('Inventory'!$G$9:$G$108,MATCH(D153,'Inventory'!$C$9:$C$108,0))),""))</x:f>
      </x:c>
      <x:c r="X153" s="9" t="str">
        <x:f>IF(C153="","",IFERROR(IF(INDEX('Factors'!$P$9:$P$108,MATCH(J153,'Factors'!$C$9:$C$108,0))="","",INDEX('Factors'!$P$9:$P$108,MATCH(J153,'Factors'!$C$9:$C$108,0))),""))</x:f>
      </x:c>
    </x:row>
    <x:row r="154" ht="26" customHeight="1">
      <x:c r="A154" s="1"/>
      <x:c r="B154" s="1"/>
      <x:c r="C154" s="8"/>
      <x:c r="D154" s="8"/>
      <x:c r="E154" s="8"/>
      <x:c r="F154" s="8"/>
      <x:c r="G154" s="8"/>
      <x:c r="H154" s="16"/>
      <x:c r="I154" s="8"/>
      <x:c r="J154" s="8"/>
      <x:c r="K154" s="22"/>
      <x:c r="L154" s="8"/>
      <x:c r="M154" s="8"/>
      <x:c r="N154" s="40"/>
      <x:c r="O154" s="41" t="str">
        <x:f>IF(C154="","",IFERROR(IF(INDEX('Factors'!$G$9:$G$108,MATCH(J154,'Factors'!$C$9:$C$108,0))="","",INDEX('Factors'!$G$9:$G$108,MATCH(J154,'Factors'!$C$9:$C$108,0))),""))</x:f>
      </x:c>
      <x:c r="P154" s="9" t="str">
        <x:f>IF(C154="","",IFERROR(IF(INDEX('Factors'!$F$9:$F$108,MATCH(J154,'Factors'!$C$9:$C$108,0))="","",INDEX('Factors'!$F$9:$F$108,MATCH(J154,'Factors'!$C$9:$C$108,0))),""))</x:f>
      </x:c>
      <x:c r="Q154" s="9" t="str">
        <x:f>IF(C154="","",IFERROR(IF(INDEX('Factors'!$H$9:$H$108,MATCH(J154,'Factors'!$C$9:$C$108,0))="","",INDEX('Factors'!$H$9:$H$108,MATCH(J154,'Factors'!$C$9:$C$108,0))),""))</x:f>
      </x:c>
      <x:c r="R154" s="9" t="str">
        <x:f>IF(C154="","",IFERROR(IF(INDEX('Factors'!$E$9:$E$108,MATCH(J154,'Factors'!$C$9:$C$108,0))="","",INDEX('Factors'!$E$9:$E$108,MATCH(J154,'Factors'!$C$9:$C$108,0))),""))</x:f>
      </x:c>
      <x:c r="S154" s="42" t="str">
        <x:f>IF(C154="","",IFERROR(IF(INDEX('Factors'!$J$9:$J$108,MATCH(J154,'Factors'!$C$9:$C$108,0))="","",INDEX('Factors'!$J$9:$J$108,MATCH(J154,'Factors'!$C$9:$C$108,0))),""))</x:f>
      </x:c>
      <x:c r="T154" s="9" t="str">
        <x:f>IF(C154="","",IFERROR(IF(INDEX('Factors'!$L$9:$L$108,MATCH(J154,'Factors'!$C$9:$C$108,0))="","",INDEX('Factors'!$L$9:$L$108,MATCH(J154,'Factors'!$C$9:$C$108,0))),"")&amp;" / "&amp;IFERROR(IF(INDEX('Factors'!$M$9:$M$108,MATCH(J154,'Factors'!$C$9:$C$108,0))="","",INDEX('Factors'!$M$9:$M$108,MATCH(J154,'Factors'!$C$9:$C$108,0))),""))</x:f>
      </x:c>
      <x:c r="U154" s="21" t="str">
        <x:f>IF(V154="Ready",H154*O154/1000,"")</x:f>
      </x:c>
      <x:c r="V154" s="9" t="str">
        <x:f>IF(C154="","",IF(OR(COUNTIFS($C$9:$C$308,C154)&lt;&gt;1,COUNTIFS($D$9:$D$308,D154,$E$9:$E$308,E154,$F$9:$F$308,F154,$G$9:$G$308,G154,$K$9:$K$308,K154)&lt;&gt;1),"Duplicate annual activity",IF(COUNTIFS('Inventory'!$C$9:$C$108,D154)&lt;&gt;1,"Entity required",IF(OR(E154="",L154="",NOT(ISNUMBER(H154)),H154&lt;0,NOT(ISNUMBER(K154)),NOT(ISNUMBER(N154))),"Missing activity input",IF(AND(E154&lt;&gt;D154,OR(COUNTIFS('Sites'!$C$9:$C$108,E154)&lt;&gt;1,IFERROR(IF(INDEX('Sites'!$D$9:$D$108,MATCH(E154,'Sites'!$C$9:$C$108,0))="","",INDEX('Sites'!$D$9:$D$108,MATCH(E154,'Sites'!$C$9:$C$108,0))),"")&lt;&gt;IFERROR(IF(INDEX('Inventory'!$D$9:$D$108,MATCH(D154,'Inventory'!$C$9:$C$108,0))="","",INDEX('Inventory'!$D$9:$D$108,MATCH(D154,'Inventory'!$C$9:$C$108,0))),""),IFERROR(IF(INDEX('Sites'!$E$9:$E$108,MATCH(E154,'Sites'!$C$9:$C$108,0))="","",INDEX('Sites'!$E$9:$E$108,MATCH(E154,'Sites'!$C$9:$C$108,0))),"")&lt;&gt;W154)),"Site / entity mismatch",IF(N154&lt;'Settings'!$F$8,"Expired",IF(X154&lt;&gt;"Ready","Factor required",IF(OR(G154&lt;&gt;IFERROR(IF(INDEX('Factors'!$D$9:$D$108,MATCH(J154,'Factors'!$C$9:$C$108,0))="","",INDEX('Factors'!$D$9:$D$108,MATCH(J154,'Factors'!$C$9:$C$108,0))),""),I154&lt;&gt;P154,F154&lt;&gt;Q154,K154&lt;&gt;S154,AND(R154&lt;&gt;"Global",R154&lt;&gt;W154),K154&lt;&gt;YEAR(IFERROR(IF(INDEX('Inventory'!$H$9:$H$108,MATCH(D154,'Inventory'!$C$9:$C$108,0))="","",INDEX('Inventory'!$H$9:$H$108,MATCH(D154,'Inventory'!$C$9:$C$108,0))),""))),"Factor / boundary mismatch",IF(AND(F154="S2",IFERROR(IF(INDEX('Factors'!$I$9:$I$108,MATCH(J154,'Factors'!$C$9:$C$108,0))="","",INDEX('Factors'!$I$9:$I$108,MATCH(J154,'Factors'!$C$9:$C$108,0))),"")&lt;&gt;"Location-based"),"Use location factor",IF(M154&lt;&gt;"Actual","Estimation method review","Ready"))))))))))</x:f>
      </x:c>
      <x:c r="W154" s="9" t="str">
        <x:f>IF(C154="","",IFERROR(IF(INDEX('Inventory'!$G$9:$G$108,MATCH(D154,'Inventory'!$C$9:$C$108,0))="","",INDEX('Inventory'!$G$9:$G$108,MATCH(D154,'Inventory'!$C$9:$C$108,0))),""))</x:f>
      </x:c>
      <x:c r="X154" s="9" t="str">
        <x:f>IF(C154="","",IFERROR(IF(INDEX('Factors'!$P$9:$P$108,MATCH(J154,'Factors'!$C$9:$C$108,0))="","",INDEX('Factors'!$P$9:$P$108,MATCH(J154,'Factors'!$C$9:$C$108,0))),""))</x:f>
      </x:c>
    </x:row>
    <x:row r="155" ht="26" customHeight="1">
      <x:c r="A155" s="1"/>
      <x:c r="B155" s="1"/>
      <x:c r="C155" s="8"/>
      <x:c r="D155" s="8"/>
      <x:c r="E155" s="8"/>
      <x:c r="F155" s="8"/>
      <x:c r="G155" s="8"/>
      <x:c r="H155" s="16"/>
      <x:c r="I155" s="8"/>
      <x:c r="J155" s="8"/>
      <x:c r="K155" s="22"/>
      <x:c r="L155" s="8"/>
      <x:c r="M155" s="8"/>
      <x:c r="N155" s="40"/>
      <x:c r="O155" s="41" t="str">
        <x:f>IF(C155="","",IFERROR(IF(INDEX('Factors'!$G$9:$G$108,MATCH(J155,'Factors'!$C$9:$C$108,0))="","",INDEX('Factors'!$G$9:$G$108,MATCH(J155,'Factors'!$C$9:$C$108,0))),""))</x:f>
      </x:c>
      <x:c r="P155" s="9" t="str">
        <x:f>IF(C155="","",IFERROR(IF(INDEX('Factors'!$F$9:$F$108,MATCH(J155,'Factors'!$C$9:$C$108,0))="","",INDEX('Factors'!$F$9:$F$108,MATCH(J155,'Factors'!$C$9:$C$108,0))),""))</x:f>
      </x:c>
      <x:c r="Q155" s="9" t="str">
        <x:f>IF(C155="","",IFERROR(IF(INDEX('Factors'!$H$9:$H$108,MATCH(J155,'Factors'!$C$9:$C$108,0))="","",INDEX('Factors'!$H$9:$H$108,MATCH(J155,'Factors'!$C$9:$C$108,0))),""))</x:f>
      </x:c>
      <x:c r="R155" s="9" t="str">
        <x:f>IF(C155="","",IFERROR(IF(INDEX('Factors'!$E$9:$E$108,MATCH(J155,'Factors'!$C$9:$C$108,0))="","",INDEX('Factors'!$E$9:$E$108,MATCH(J155,'Factors'!$C$9:$C$108,0))),""))</x:f>
      </x:c>
      <x:c r="S155" s="42" t="str">
        <x:f>IF(C155="","",IFERROR(IF(INDEX('Factors'!$J$9:$J$108,MATCH(J155,'Factors'!$C$9:$C$108,0))="","",INDEX('Factors'!$J$9:$J$108,MATCH(J155,'Factors'!$C$9:$C$108,0))),""))</x:f>
      </x:c>
      <x:c r="T155" s="9" t="str">
        <x:f>IF(C155="","",IFERROR(IF(INDEX('Factors'!$L$9:$L$108,MATCH(J155,'Factors'!$C$9:$C$108,0))="","",INDEX('Factors'!$L$9:$L$108,MATCH(J155,'Factors'!$C$9:$C$108,0))),"")&amp;" / "&amp;IFERROR(IF(INDEX('Factors'!$M$9:$M$108,MATCH(J155,'Factors'!$C$9:$C$108,0))="","",INDEX('Factors'!$M$9:$M$108,MATCH(J155,'Factors'!$C$9:$C$108,0))),""))</x:f>
      </x:c>
      <x:c r="U155" s="21" t="str">
        <x:f>IF(V155="Ready",H155*O155/1000,"")</x:f>
      </x:c>
      <x:c r="V155" s="9" t="str">
        <x:f>IF(C155="","",IF(OR(COUNTIFS($C$9:$C$308,C155)&lt;&gt;1,COUNTIFS($D$9:$D$308,D155,$E$9:$E$308,E155,$F$9:$F$308,F155,$G$9:$G$308,G155,$K$9:$K$308,K155)&lt;&gt;1),"Duplicate annual activity",IF(COUNTIFS('Inventory'!$C$9:$C$108,D155)&lt;&gt;1,"Entity required",IF(OR(E155="",L155="",NOT(ISNUMBER(H155)),H155&lt;0,NOT(ISNUMBER(K155)),NOT(ISNUMBER(N155))),"Missing activity input",IF(AND(E155&lt;&gt;D155,OR(COUNTIFS('Sites'!$C$9:$C$108,E155)&lt;&gt;1,IFERROR(IF(INDEX('Sites'!$D$9:$D$108,MATCH(E155,'Sites'!$C$9:$C$108,0))="","",INDEX('Sites'!$D$9:$D$108,MATCH(E155,'Sites'!$C$9:$C$108,0))),"")&lt;&gt;IFERROR(IF(INDEX('Inventory'!$D$9:$D$108,MATCH(D155,'Inventory'!$C$9:$C$108,0))="","",INDEX('Inventory'!$D$9:$D$108,MATCH(D155,'Inventory'!$C$9:$C$108,0))),""),IFERROR(IF(INDEX('Sites'!$E$9:$E$108,MATCH(E155,'Sites'!$C$9:$C$108,0))="","",INDEX('Sites'!$E$9:$E$108,MATCH(E155,'Sites'!$C$9:$C$108,0))),"")&lt;&gt;W155)),"Site / entity mismatch",IF(N155&lt;'Settings'!$F$8,"Expired",IF(X155&lt;&gt;"Ready","Factor required",IF(OR(G155&lt;&gt;IFERROR(IF(INDEX('Factors'!$D$9:$D$108,MATCH(J155,'Factors'!$C$9:$C$108,0))="","",INDEX('Factors'!$D$9:$D$108,MATCH(J155,'Factors'!$C$9:$C$108,0))),""),I155&lt;&gt;P155,F155&lt;&gt;Q155,K155&lt;&gt;S155,AND(R155&lt;&gt;"Global",R155&lt;&gt;W155),K155&lt;&gt;YEAR(IFERROR(IF(INDEX('Inventory'!$H$9:$H$108,MATCH(D155,'Inventory'!$C$9:$C$108,0))="","",INDEX('Inventory'!$H$9:$H$108,MATCH(D155,'Inventory'!$C$9:$C$108,0))),""))),"Factor / boundary mismatch",IF(AND(F155="S2",IFERROR(IF(INDEX('Factors'!$I$9:$I$108,MATCH(J155,'Factors'!$C$9:$C$108,0))="","",INDEX('Factors'!$I$9:$I$108,MATCH(J155,'Factors'!$C$9:$C$108,0))),"")&lt;&gt;"Location-based"),"Use location factor",IF(M155&lt;&gt;"Actual","Estimation method review","Ready"))))))))))</x:f>
      </x:c>
      <x:c r="W155" s="9" t="str">
        <x:f>IF(C155="","",IFERROR(IF(INDEX('Inventory'!$G$9:$G$108,MATCH(D155,'Inventory'!$C$9:$C$108,0))="","",INDEX('Inventory'!$G$9:$G$108,MATCH(D155,'Inventory'!$C$9:$C$108,0))),""))</x:f>
      </x:c>
      <x:c r="X155" s="9" t="str">
        <x:f>IF(C155="","",IFERROR(IF(INDEX('Factors'!$P$9:$P$108,MATCH(J155,'Factors'!$C$9:$C$108,0))="","",INDEX('Factors'!$P$9:$P$108,MATCH(J155,'Factors'!$C$9:$C$108,0))),""))</x:f>
      </x:c>
    </x:row>
    <x:row r="156" ht="26" customHeight="1">
      <x:c r="A156" s="1"/>
      <x:c r="B156" s="1"/>
      <x:c r="C156" s="8"/>
      <x:c r="D156" s="8"/>
      <x:c r="E156" s="8"/>
      <x:c r="F156" s="8"/>
      <x:c r="G156" s="8"/>
      <x:c r="H156" s="16"/>
      <x:c r="I156" s="8"/>
      <x:c r="J156" s="8"/>
      <x:c r="K156" s="22"/>
      <x:c r="L156" s="8"/>
      <x:c r="M156" s="8"/>
      <x:c r="N156" s="40"/>
      <x:c r="O156" s="41" t="str">
        <x:f>IF(C156="","",IFERROR(IF(INDEX('Factors'!$G$9:$G$108,MATCH(J156,'Factors'!$C$9:$C$108,0))="","",INDEX('Factors'!$G$9:$G$108,MATCH(J156,'Factors'!$C$9:$C$108,0))),""))</x:f>
      </x:c>
      <x:c r="P156" s="9" t="str">
        <x:f>IF(C156="","",IFERROR(IF(INDEX('Factors'!$F$9:$F$108,MATCH(J156,'Factors'!$C$9:$C$108,0))="","",INDEX('Factors'!$F$9:$F$108,MATCH(J156,'Factors'!$C$9:$C$108,0))),""))</x:f>
      </x:c>
      <x:c r="Q156" s="9" t="str">
        <x:f>IF(C156="","",IFERROR(IF(INDEX('Factors'!$H$9:$H$108,MATCH(J156,'Factors'!$C$9:$C$108,0))="","",INDEX('Factors'!$H$9:$H$108,MATCH(J156,'Factors'!$C$9:$C$108,0))),""))</x:f>
      </x:c>
      <x:c r="R156" s="9" t="str">
        <x:f>IF(C156="","",IFERROR(IF(INDEX('Factors'!$E$9:$E$108,MATCH(J156,'Factors'!$C$9:$C$108,0))="","",INDEX('Factors'!$E$9:$E$108,MATCH(J156,'Factors'!$C$9:$C$108,0))),""))</x:f>
      </x:c>
      <x:c r="S156" s="42" t="str">
        <x:f>IF(C156="","",IFERROR(IF(INDEX('Factors'!$J$9:$J$108,MATCH(J156,'Factors'!$C$9:$C$108,0))="","",INDEX('Factors'!$J$9:$J$108,MATCH(J156,'Factors'!$C$9:$C$108,0))),""))</x:f>
      </x:c>
      <x:c r="T156" s="9" t="str">
        <x:f>IF(C156="","",IFERROR(IF(INDEX('Factors'!$L$9:$L$108,MATCH(J156,'Factors'!$C$9:$C$108,0))="","",INDEX('Factors'!$L$9:$L$108,MATCH(J156,'Factors'!$C$9:$C$108,0))),"")&amp;" / "&amp;IFERROR(IF(INDEX('Factors'!$M$9:$M$108,MATCH(J156,'Factors'!$C$9:$C$108,0))="","",INDEX('Factors'!$M$9:$M$108,MATCH(J156,'Factors'!$C$9:$C$108,0))),""))</x:f>
      </x:c>
      <x:c r="U156" s="21" t="str">
        <x:f>IF(V156="Ready",H156*O156/1000,"")</x:f>
      </x:c>
      <x:c r="V156" s="9" t="str">
        <x:f>IF(C156="","",IF(OR(COUNTIFS($C$9:$C$308,C156)&lt;&gt;1,COUNTIFS($D$9:$D$308,D156,$E$9:$E$308,E156,$F$9:$F$308,F156,$G$9:$G$308,G156,$K$9:$K$308,K156)&lt;&gt;1),"Duplicate annual activity",IF(COUNTIFS('Inventory'!$C$9:$C$108,D156)&lt;&gt;1,"Entity required",IF(OR(E156="",L156="",NOT(ISNUMBER(H156)),H156&lt;0,NOT(ISNUMBER(K156)),NOT(ISNUMBER(N156))),"Missing activity input",IF(AND(E156&lt;&gt;D156,OR(COUNTIFS('Sites'!$C$9:$C$108,E156)&lt;&gt;1,IFERROR(IF(INDEX('Sites'!$D$9:$D$108,MATCH(E156,'Sites'!$C$9:$C$108,0))="","",INDEX('Sites'!$D$9:$D$108,MATCH(E156,'Sites'!$C$9:$C$108,0))),"")&lt;&gt;IFERROR(IF(INDEX('Inventory'!$D$9:$D$108,MATCH(D156,'Inventory'!$C$9:$C$108,0))="","",INDEX('Inventory'!$D$9:$D$108,MATCH(D156,'Inventory'!$C$9:$C$108,0))),""),IFERROR(IF(INDEX('Sites'!$E$9:$E$108,MATCH(E156,'Sites'!$C$9:$C$108,0))="","",INDEX('Sites'!$E$9:$E$108,MATCH(E156,'Sites'!$C$9:$C$108,0))),"")&lt;&gt;W156)),"Site / entity mismatch",IF(N156&lt;'Settings'!$F$8,"Expired",IF(X156&lt;&gt;"Ready","Factor required",IF(OR(G156&lt;&gt;IFERROR(IF(INDEX('Factors'!$D$9:$D$108,MATCH(J156,'Factors'!$C$9:$C$108,0))="","",INDEX('Factors'!$D$9:$D$108,MATCH(J156,'Factors'!$C$9:$C$108,0))),""),I156&lt;&gt;P156,F156&lt;&gt;Q156,K156&lt;&gt;S156,AND(R156&lt;&gt;"Global",R156&lt;&gt;W156),K156&lt;&gt;YEAR(IFERROR(IF(INDEX('Inventory'!$H$9:$H$108,MATCH(D156,'Inventory'!$C$9:$C$108,0))="","",INDEX('Inventory'!$H$9:$H$108,MATCH(D156,'Inventory'!$C$9:$C$108,0))),""))),"Factor / boundary mismatch",IF(AND(F156="S2",IFERROR(IF(INDEX('Factors'!$I$9:$I$108,MATCH(J156,'Factors'!$C$9:$C$108,0))="","",INDEX('Factors'!$I$9:$I$108,MATCH(J156,'Factors'!$C$9:$C$108,0))),"")&lt;&gt;"Location-based"),"Use location factor",IF(M156&lt;&gt;"Actual","Estimation method review","Ready"))))))))))</x:f>
      </x:c>
      <x:c r="W156" s="9" t="str">
        <x:f>IF(C156="","",IFERROR(IF(INDEX('Inventory'!$G$9:$G$108,MATCH(D156,'Inventory'!$C$9:$C$108,0))="","",INDEX('Inventory'!$G$9:$G$108,MATCH(D156,'Inventory'!$C$9:$C$108,0))),""))</x:f>
      </x:c>
      <x:c r="X156" s="9" t="str">
        <x:f>IF(C156="","",IFERROR(IF(INDEX('Factors'!$P$9:$P$108,MATCH(J156,'Factors'!$C$9:$C$108,0))="","",INDEX('Factors'!$P$9:$P$108,MATCH(J156,'Factors'!$C$9:$C$108,0))),""))</x:f>
      </x:c>
    </x:row>
    <x:row r="157" ht="26" customHeight="1">
      <x:c r="A157" s="1"/>
      <x:c r="B157" s="1"/>
      <x:c r="C157" s="8"/>
      <x:c r="D157" s="8"/>
      <x:c r="E157" s="8"/>
      <x:c r="F157" s="8"/>
      <x:c r="G157" s="8"/>
      <x:c r="H157" s="16"/>
      <x:c r="I157" s="8"/>
      <x:c r="J157" s="8"/>
      <x:c r="K157" s="22"/>
      <x:c r="L157" s="8"/>
      <x:c r="M157" s="8"/>
      <x:c r="N157" s="40"/>
      <x:c r="O157" s="41" t="str">
        <x:f>IF(C157="","",IFERROR(IF(INDEX('Factors'!$G$9:$G$108,MATCH(J157,'Factors'!$C$9:$C$108,0))="","",INDEX('Factors'!$G$9:$G$108,MATCH(J157,'Factors'!$C$9:$C$108,0))),""))</x:f>
      </x:c>
      <x:c r="P157" s="9" t="str">
        <x:f>IF(C157="","",IFERROR(IF(INDEX('Factors'!$F$9:$F$108,MATCH(J157,'Factors'!$C$9:$C$108,0))="","",INDEX('Factors'!$F$9:$F$108,MATCH(J157,'Factors'!$C$9:$C$108,0))),""))</x:f>
      </x:c>
      <x:c r="Q157" s="9" t="str">
        <x:f>IF(C157="","",IFERROR(IF(INDEX('Factors'!$H$9:$H$108,MATCH(J157,'Factors'!$C$9:$C$108,0))="","",INDEX('Factors'!$H$9:$H$108,MATCH(J157,'Factors'!$C$9:$C$108,0))),""))</x:f>
      </x:c>
      <x:c r="R157" s="9" t="str">
        <x:f>IF(C157="","",IFERROR(IF(INDEX('Factors'!$E$9:$E$108,MATCH(J157,'Factors'!$C$9:$C$108,0))="","",INDEX('Factors'!$E$9:$E$108,MATCH(J157,'Factors'!$C$9:$C$108,0))),""))</x:f>
      </x:c>
      <x:c r="S157" s="42" t="str">
        <x:f>IF(C157="","",IFERROR(IF(INDEX('Factors'!$J$9:$J$108,MATCH(J157,'Factors'!$C$9:$C$108,0))="","",INDEX('Factors'!$J$9:$J$108,MATCH(J157,'Factors'!$C$9:$C$108,0))),""))</x:f>
      </x:c>
      <x:c r="T157" s="9" t="str">
        <x:f>IF(C157="","",IFERROR(IF(INDEX('Factors'!$L$9:$L$108,MATCH(J157,'Factors'!$C$9:$C$108,0))="","",INDEX('Factors'!$L$9:$L$108,MATCH(J157,'Factors'!$C$9:$C$108,0))),"")&amp;" / "&amp;IFERROR(IF(INDEX('Factors'!$M$9:$M$108,MATCH(J157,'Factors'!$C$9:$C$108,0))="","",INDEX('Factors'!$M$9:$M$108,MATCH(J157,'Factors'!$C$9:$C$108,0))),""))</x:f>
      </x:c>
      <x:c r="U157" s="21" t="str">
        <x:f>IF(V157="Ready",H157*O157/1000,"")</x:f>
      </x:c>
      <x:c r="V157" s="9" t="str">
        <x:f>IF(C157="","",IF(OR(COUNTIFS($C$9:$C$308,C157)&lt;&gt;1,COUNTIFS($D$9:$D$308,D157,$E$9:$E$308,E157,$F$9:$F$308,F157,$G$9:$G$308,G157,$K$9:$K$308,K157)&lt;&gt;1),"Duplicate annual activity",IF(COUNTIFS('Inventory'!$C$9:$C$108,D157)&lt;&gt;1,"Entity required",IF(OR(E157="",L157="",NOT(ISNUMBER(H157)),H157&lt;0,NOT(ISNUMBER(K157)),NOT(ISNUMBER(N157))),"Missing activity input",IF(AND(E157&lt;&gt;D157,OR(COUNTIFS('Sites'!$C$9:$C$108,E157)&lt;&gt;1,IFERROR(IF(INDEX('Sites'!$D$9:$D$108,MATCH(E157,'Sites'!$C$9:$C$108,0))="","",INDEX('Sites'!$D$9:$D$108,MATCH(E157,'Sites'!$C$9:$C$108,0))),"")&lt;&gt;IFERROR(IF(INDEX('Inventory'!$D$9:$D$108,MATCH(D157,'Inventory'!$C$9:$C$108,0))="","",INDEX('Inventory'!$D$9:$D$108,MATCH(D157,'Inventory'!$C$9:$C$108,0))),""),IFERROR(IF(INDEX('Sites'!$E$9:$E$108,MATCH(E157,'Sites'!$C$9:$C$108,0))="","",INDEX('Sites'!$E$9:$E$108,MATCH(E157,'Sites'!$C$9:$C$108,0))),"")&lt;&gt;W157)),"Site / entity mismatch",IF(N157&lt;'Settings'!$F$8,"Expired",IF(X157&lt;&gt;"Ready","Factor required",IF(OR(G157&lt;&gt;IFERROR(IF(INDEX('Factors'!$D$9:$D$108,MATCH(J157,'Factors'!$C$9:$C$108,0))="","",INDEX('Factors'!$D$9:$D$108,MATCH(J157,'Factors'!$C$9:$C$108,0))),""),I157&lt;&gt;P157,F157&lt;&gt;Q157,K157&lt;&gt;S157,AND(R157&lt;&gt;"Global",R157&lt;&gt;W157),K157&lt;&gt;YEAR(IFERROR(IF(INDEX('Inventory'!$H$9:$H$108,MATCH(D157,'Inventory'!$C$9:$C$108,0))="","",INDEX('Inventory'!$H$9:$H$108,MATCH(D157,'Inventory'!$C$9:$C$108,0))),""))),"Factor / boundary mismatch",IF(AND(F157="S2",IFERROR(IF(INDEX('Factors'!$I$9:$I$108,MATCH(J157,'Factors'!$C$9:$C$108,0))="","",INDEX('Factors'!$I$9:$I$108,MATCH(J157,'Factors'!$C$9:$C$108,0))),"")&lt;&gt;"Location-based"),"Use location factor",IF(M157&lt;&gt;"Actual","Estimation method review","Ready"))))))))))</x:f>
      </x:c>
      <x:c r="W157" s="9" t="str">
        <x:f>IF(C157="","",IFERROR(IF(INDEX('Inventory'!$G$9:$G$108,MATCH(D157,'Inventory'!$C$9:$C$108,0))="","",INDEX('Inventory'!$G$9:$G$108,MATCH(D157,'Inventory'!$C$9:$C$108,0))),""))</x:f>
      </x:c>
      <x:c r="X157" s="9" t="str">
        <x:f>IF(C157="","",IFERROR(IF(INDEX('Factors'!$P$9:$P$108,MATCH(J157,'Factors'!$C$9:$C$108,0))="","",INDEX('Factors'!$P$9:$P$108,MATCH(J157,'Factors'!$C$9:$C$108,0))),""))</x:f>
      </x:c>
    </x:row>
    <x:row r="158" ht="26" customHeight="1">
      <x:c r="A158" s="1"/>
      <x:c r="B158" s="1"/>
      <x:c r="C158" s="8"/>
      <x:c r="D158" s="8"/>
      <x:c r="E158" s="8"/>
      <x:c r="F158" s="8"/>
      <x:c r="G158" s="8"/>
      <x:c r="H158" s="16"/>
      <x:c r="I158" s="8"/>
      <x:c r="J158" s="8"/>
      <x:c r="K158" s="22"/>
      <x:c r="L158" s="8"/>
      <x:c r="M158" s="8"/>
      <x:c r="N158" s="40"/>
      <x:c r="O158" s="41" t="str">
        <x:f>IF(C158="","",IFERROR(IF(INDEX('Factors'!$G$9:$G$108,MATCH(J158,'Factors'!$C$9:$C$108,0))="","",INDEX('Factors'!$G$9:$G$108,MATCH(J158,'Factors'!$C$9:$C$108,0))),""))</x:f>
      </x:c>
      <x:c r="P158" s="9" t="str">
        <x:f>IF(C158="","",IFERROR(IF(INDEX('Factors'!$F$9:$F$108,MATCH(J158,'Factors'!$C$9:$C$108,0))="","",INDEX('Factors'!$F$9:$F$108,MATCH(J158,'Factors'!$C$9:$C$108,0))),""))</x:f>
      </x:c>
      <x:c r="Q158" s="9" t="str">
        <x:f>IF(C158="","",IFERROR(IF(INDEX('Factors'!$H$9:$H$108,MATCH(J158,'Factors'!$C$9:$C$108,0))="","",INDEX('Factors'!$H$9:$H$108,MATCH(J158,'Factors'!$C$9:$C$108,0))),""))</x:f>
      </x:c>
      <x:c r="R158" s="9" t="str">
        <x:f>IF(C158="","",IFERROR(IF(INDEX('Factors'!$E$9:$E$108,MATCH(J158,'Factors'!$C$9:$C$108,0))="","",INDEX('Factors'!$E$9:$E$108,MATCH(J158,'Factors'!$C$9:$C$108,0))),""))</x:f>
      </x:c>
      <x:c r="S158" s="42" t="str">
        <x:f>IF(C158="","",IFERROR(IF(INDEX('Factors'!$J$9:$J$108,MATCH(J158,'Factors'!$C$9:$C$108,0))="","",INDEX('Factors'!$J$9:$J$108,MATCH(J158,'Factors'!$C$9:$C$108,0))),""))</x:f>
      </x:c>
      <x:c r="T158" s="9" t="str">
        <x:f>IF(C158="","",IFERROR(IF(INDEX('Factors'!$L$9:$L$108,MATCH(J158,'Factors'!$C$9:$C$108,0))="","",INDEX('Factors'!$L$9:$L$108,MATCH(J158,'Factors'!$C$9:$C$108,0))),"")&amp;" / "&amp;IFERROR(IF(INDEX('Factors'!$M$9:$M$108,MATCH(J158,'Factors'!$C$9:$C$108,0))="","",INDEX('Factors'!$M$9:$M$108,MATCH(J158,'Factors'!$C$9:$C$108,0))),""))</x:f>
      </x:c>
      <x:c r="U158" s="21" t="str">
        <x:f>IF(V158="Ready",H158*O158/1000,"")</x:f>
      </x:c>
      <x:c r="V158" s="9" t="str">
        <x:f>IF(C158="","",IF(OR(COUNTIFS($C$9:$C$308,C158)&lt;&gt;1,COUNTIFS($D$9:$D$308,D158,$E$9:$E$308,E158,$F$9:$F$308,F158,$G$9:$G$308,G158,$K$9:$K$308,K158)&lt;&gt;1),"Duplicate annual activity",IF(COUNTIFS('Inventory'!$C$9:$C$108,D158)&lt;&gt;1,"Entity required",IF(OR(E158="",L158="",NOT(ISNUMBER(H158)),H158&lt;0,NOT(ISNUMBER(K158)),NOT(ISNUMBER(N158))),"Missing activity input",IF(AND(E158&lt;&gt;D158,OR(COUNTIFS('Sites'!$C$9:$C$108,E158)&lt;&gt;1,IFERROR(IF(INDEX('Sites'!$D$9:$D$108,MATCH(E158,'Sites'!$C$9:$C$108,0))="","",INDEX('Sites'!$D$9:$D$108,MATCH(E158,'Sites'!$C$9:$C$108,0))),"")&lt;&gt;IFERROR(IF(INDEX('Inventory'!$D$9:$D$108,MATCH(D158,'Inventory'!$C$9:$C$108,0))="","",INDEX('Inventory'!$D$9:$D$108,MATCH(D158,'Inventory'!$C$9:$C$108,0))),""),IFERROR(IF(INDEX('Sites'!$E$9:$E$108,MATCH(E158,'Sites'!$C$9:$C$108,0))="","",INDEX('Sites'!$E$9:$E$108,MATCH(E158,'Sites'!$C$9:$C$108,0))),"")&lt;&gt;W158)),"Site / entity mismatch",IF(N158&lt;'Settings'!$F$8,"Expired",IF(X158&lt;&gt;"Ready","Factor required",IF(OR(G158&lt;&gt;IFERROR(IF(INDEX('Factors'!$D$9:$D$108,MATCH(J158,'Factors'!$C$9:$C$108,0))="","",INDEX('Factors'!$D$9:$D$108,MATCH(J158,'Factors'!$C$9:$C$108,0))),""),I158&lt;&gt;P158,F158&lt;&gt;Q158,K158&lt;&gt;S158,AND(R158&lt;&gt;"Global",R158&lt;&gt;W158),K158&lt;&gt;YEAR(IFERROR(IF(INDEX('Inventory'!$H$9:$H$108,MATCH(D158,'Inventory'!$C$9:$C$108,0))="","",INDEX('Inventory'!$H$9:$H$108,MATCH(D158,'Inventory'!$C$9:$C$108,0))),""))),"Factor / boundary mismatch",IF(AND(F158="S2",IFERROR(IF(INDEX('Factors'!$I$9:$I$108,MATCH(J158,'Factors'!$C$9:$C$108,0))="","",INDEX('Factors'!$I$9:$I$108,MATCH(J158,'Factors'!$C$9:$C$108,0))),"")&lt;&gt;"Location-based"),"Use location factor",IF(M158&lt;&gt;"Actual","Estimation method review","Ready"))))))))))</x:f>
      </x:c>
      <x:c r="W158" s="9" t="str">
        <x:f>IF(C158="","",IFERROR(IF(INDEX('Inventory'!$G$9:$G$108,MATCH(D158,'Inventory'!$C$9:$C$108,0))="","",INDEX('Inventory'!$G$9:$G$108,MATCH(D158,'Inventory'!$C$9:$C$108,0))),""))</x:f>
      </x:c>
      <x:c r="X158" s="9" t="str">
        <x:f>IF(C158="","",IFERROR(IF(INDEX('Factors'!$P$9:$P$108,MATCH(J158,'Factors'!$C$9:$C$108,0))="","",INDEX('Factors'!$P$9:$P$108,MATCH(J158,'Factors'!$C$9:$C$108,0))),""))</x:f>
      </x:c>
    </x:row>
    <x:row r="159" ht="26" customHeight="1">
      <x:c r="A159" s="1"/>
      <x:c r="B159" s="1"/>
      <x:c r="C159" s="8"/>
      <x:c r="D159" s="8"/>
      <x:c r="E159" s="8"/>
      <x:c r="F159" s="8"/>
      <x:c r="G159" s="8"/>
      <x:c r="H159" s="16"/>
      <x:c r="I159" s="8"/>
      <x:c r="J159" s="8"/>
      <x:c r="K159" s="22"/>
      <x:c r="L159" s="8"/>
      <x:c r="M159" s="8"/>
      <x:c r="N159" s="40"/>
      <x:c r="O159" s="41" t="str">
        <x:f>IF(C159="","",IFERROR(IF(INDEX('Factors'!$G$9:$G$108,MATCH(J159,'Factors'!$C$9:$C$108,0))="","",INDEX('Factors'!$G$9:$G$108,MATCH(J159,'Factors'!$C$9:$C$108,0))),""))</x:f>
      </x:c>
      <x:c r="P159" s="9" t="str">
        <x:f>IF(C159="","",IFERROR(IF(INDEX('Factors'!$F$9:$F$108,MATCH(J159,'Factors'!$C$9:$C$108,0))="","",INDEX('Factors'!$F$9:$F$108,MATCH(J159,'Factors'!$C$9:$C$108,0))),""))</x:f>
      </x:c>
      <x:c r="Q159" s="9" t="str">
        <x:f>IF(C159="","",IFERROR(IF(INDEX('Factors'!$H$9:$H$108,MATCH(J159,'Factors'!$C$9:$C$108,0))="","",INDEX('Factors'!$H$9:$H$108,MATCH(J159,'Factors'!$C$9:$C$108,0))),""))</x:f>
      </x:c>
      <x:c r="R159" s="9" t="str">
        <x:f>IF(C159="","",IFERROR(IF(INDEX('Factors'!$E$9:$E$108,MATCH(J159,'Factors'!$C$9:$C$108,0))="","",INDEX('Factors'!$E$9:$E$108,MATCH(J159,'Factors'!$C$9:$C$108,0))),""))</x:f>
      </x:c>
      <x:c r="S159" s="42" t="str">
        <x:f>IF(C159="","",IFERROR(IF(INDEX('Factors'!$J$9:$J$108,MATCH(J159,'Factors'!$C$9:$C$108,0))="","",INDEX('Factors'!$J$9:$J$108,MATCH(J159,'Factors'!$C$9:$C$108,0))),""))</x:f>
      </x:c>
      <x:c r="T159" s="9" t="str">
        <x:f>IF(C159="","",IFERROR(IF(INDEX('Factors'!$L$9:$L$108,MATCH(J159,'Factors'!$C$9:$C$108,0))="","",INDEX('Factors'!$L$9:$L$108,MATCH(J159,'Factors'!$C$9:$C$108,0))),"")&amp;" / "&amp;IFERROR(IF(INDEX('Factors'!$M$9:$M$108,MATCH(J159,'Factors'!$C$9:$C$108,0))="","",INDEX('Factors'!$M$9:$M$108,MATCH(J159,'Factors'!$C$9:$C$108,0))),""))</x:f>
      </x:c>
      <x:c r="U159" s="21" t="str">
        <x:f>IF(V159="Ready",H159*O159/1000,"")</x:f>
      </x:c>
      <x:c r="V159" s="9" t="str">
        <x:f>IF(C159="","",IF(OR(COUNTIFS($C$9:$C$308,C159)&lt;&gt;1,COUNTIFS($D$9:$D$308,D159,$E$9:$E$308,E159,$F$9:$F$308,F159,$G$9:$G$308,G159,$K$9:$K$308,K159)&lt;&gt;1),"Duplicate annual activity",IF(COUNTIFS('Inventory'!$C$9:$C$108,D159)&lt;&gt;1,"Entity required",IF(OR(E159="",L159="",NOT(ISNUMBER(H159)),H159&lt;0,NOT(ISNUMBER(K159)),NOT(ISNUMBER(N159))),"Missing activity input",IF(AND(E159&lt;&gt;D159,OR(COUNTIFS('Sites'!$C$9:$C$108,E159)&lt;&gt;1,IFERROR(IF(INDEX('Sites'!$D$9:$D$108,MATCH(E159,'Sites'!$C$9:$C$108,0))="","",INDEX('Sites'!$D$9:$D$108,MATCH(E159,'Sites'!$C$9:$C$108,0))),"")&lt;&gt;IFERROR(IF(INDEX('Inventory'!$D$9:$D$108,MATCH(D159,'Inventory'!$C$9:$C$108,0))="","",INDEX('Inventory'!$D$9:$D$108,MATCH(D159,'Inventory'!$C$9:$C$108,0))),""),IFERROR(IF(INDEX('Sites'!$E$9:$E$108,MATCH(E159,'Sites'!$C$9:$C$108,0))="","",INDEX('Sites'!$E$9:$E$108,MATCH(E159,'Sites'!$C$9:$C$108,0))),"")&lt;&gt;W159)),"Site / entity mismatch",IF(N159&lt;'Settings'!$F$8,"Expired",IF(X159&lt;&gt;"Ready","Factor required",IF(OR(G159&lt;&gt;IFERROR(IF(INDEX('Factors'!$D$9:$D$108,MATCH(J159,'Factors'!$C$9:$C$108,0))="","",INDEX('Factors'!$D$9:$D$108,MATCH(J159,'Factors'!$C$9:$C$108,0))),""),I159&lt;&gt;P159,F159&lt;&gt;Q159,K159&lt;&gt;S159,AND(R159&lt;&gt;"Global",R159&lt;&gt;W159),K159&lt;&gt;YEAR(IFERROR(IF(INDEX('Inventory'!$H$9:$H$108,MATCH(D159,'Inventory'!$C$9:$C$108,0))="","",INDEX('Inventory'!$H$9:$H$108,MATCH(D159,'Inventory'!$C$9:$C$108,0))),""))),"Factor / boundary mismatch",IF(AND(F159="S2",IFERROR(IF(INDEX('Factors'!$I$9:$I$108,MATCH(J159,'Factors'!$C$9:$C$108,0))="","",INDEX('Factors'!$I$9:$I$108,MATCH(J159,'Factors'!$C$9:$C$108,0))),"")&lt;&gt;"Location-based"),"Use location factor",IF(M159&lt;&gt;"Actual","Estimation method review","Ready"))))))))))</x:f>
      </x:c>
      <x:c r="W159" s="9" t="str">
        <x:f>IF(C159="","",IFERROR(IF(INDEX('Inventory'!$G$9:$G$108,MATCH(D159,'Inventory'!$C$9:$C$108,0))="","",INDEX('Inventory'!$G$9:$G$108,MATCH(D159,'Inventory'!$C$9:$C$108,0))),""))</x:f>
      </x:c>
      <x:c r="X159" s="9" t="str">
        <x:f>IF(C159="","",IFERROR(IF(INDEX('Factors'!$P$9:$P$108,MATCH(J159,'Factors'!$C$9:$C$108,0))="","",INDEX('Factors'!$P$9:$P$108,MATCH(J159,'Factors'!$C$9:$C$108,0))),""))</x:f>
      </x:c>
    </x:row>
    <x:row r="160" ht="26" customHeight="1">
      <x:c r="A160" s="1"/>
      <x:c r="B160" s="1"/>
      <x:c r="C160" s="8"/>
      <x:c r="D160" s="8"/>
      <x:c r="E160" s="8"/>
      <x:c r="F160" s="8"/>
      <x:c r="G160" s="8"/>
      <x:c r="H160" s="16"/>
      <x:c r="I160" s="8"/>
      <x:c r="J160" s="8"/>
      <x:c r="K160" s="22"/>
      <x:c r="L160" s="8"/>
      <x:c r="M160" s="8"/>
      <x:c r="N160" s="40"/>
      <x:c r="O160" s="41" t="str">
        <x:f>IF(C160="","",IFERROR(IF(INDEX('Factors'!$G$9:$G$108,MATCH(J160,'Factors'!$C$9:$C$108,0))="","",INDEX('Factors'!$G$9:$G$108,MATCH(J160,'Factors'!$C$9:$C$108,0))),""))</x:f>
      </x:c>
      <x:c r="P160" s="9" t="str">
        <x:f>IF(C160="","",IFERROR(IF(INDEX('Factors'!$F$9:$F$108,MATCH(J160,'Factors'!$C$9:$C$108,0))="","",INDEX('Factors'!$F$9:$F$108,MATCH(J160,'Factors'!$C$9:$C$108,0))),""))</x:f>
      </x:c>
      <x:c r="Q160" s="9" t="str">
        <x:f>IF(C160="","",IFERROR(IF(INDEX('Factors'!$H$9:$H$108,MATCH(J160,'Factors'!$C$9:$C$108,0))="","",INDEX('Factors'!$H$9:$H$108,MATCH(J160,'Factors'!$C$9:$C$108,0))),""))</x:f>
      </x:c>
      <x:c r="R160" s="9" t="str">
        <x:f>IF(C160="","",IFERROR(IF(INDEX('Factors'!$E$9:$E$108,MATCH(J160,'Factors'!$C$9:$C$108,0))="","",INDEX('Factors'!$E$9:$E$108,MATCH(J160,'Factors'!$C$9:$C$108,0))),""))</x:f>
      </x:c>
      <x:c r="S160" s="42" t="str">
        <x:f>IF(C160="","",IFERROR(IF(INDEX('Factors'!$J$9:$J$108,MATCH(J160,'Factors'!$C$9:$C$108,0))="","",INDEX('Factors'!$J$9:$J$108,MATCH(J160,'Factors'!$C$9:$C$108,0))),""))</x:f>
      </x:c>
      <x:c r="T160" s="9" t="str">
        <x:f>IF(C160="","",IFERROR(IF(INDEX('Factors'!$L$9:$L$108,MATCH(J160,'Factors'!$C$9:$C$108,0))="","",INDEX('Factors'!$L$9:$L$108,MATCH(J160,'Factors'!$C$9:$C$108,0))),"")&amp;" / "&amp;IFERROR(IF(INDEX('Factors'!$M$9:$M$108,MATCH(J160,'Factors'!$C$9:$C$108,0))="","",INDEX('Factors'!$M$9:$M$108,MATCH(J160,'Factors'!$C$9:$C$108,0))),""))</x:f>
      </x:c>
      <x:c r="U160" s="21" t="str">
        <x:f>IF(V160="Ready",H160*O160/1000,"")</x:f>
      </x:c>
      <x:c r="V160" s="9" t="str">
        <x:f>IF(C160="","",IF(OR(COUNTIFS($C$9:$C$308,C160)&lt;&gt;1,COUNTIFS($D$9:$D$308,D160,$E$9:$E$308,E160,$F$9:$F$308,F160,$G$9:$G$308,G160,$K$9:$K$308,K160)&lt;&gt;1),"Duplicate annual activity",IF(COUNTIFS('Inventory'!$C$9:$C$108,D160)&lt;&gt;1,"Entity required",IF(OR(E160="",L160="",NOT(ISNUMBER(H160)),H160&lt;0,NOT(ISNUMBER(K160)),NOT(ISNUMBER(N160))),"Missing activity input",IF(AND(E160&lt;&gt;D160,OR(COUNTIFS('Sites'!$C$9:$C$108,E160)&lt;&gt;1,IFERROR(IF(INDEX('Sites'!$D$9:$D$108,MATCH(E160,'Sites'!$C$9:$C$108,0))="","",INDEX('Sites'!$D$9:$D$108,MATCH(E160,'Sites'!$C$9:$C$108,0))),"")&lt;&gt;IFERROR(IF(INDEX('Inventory'!$D$9:$D$108,MATCH(D160,'Inventory'!$C$9:$C$108,0))="","",INDEX('Inventory'!$D$9:$D$108,MATCH(D160,'Inventory'!$C$9:$C$108,0))),""),IFERROR(IF(INDEX('Sites'!$E$9:$E$108,MATCH(E160,'Sites'!$C$9:$C$108,0))="","",INDEX('Sites'!$E$9:$E$108,MATCH(E160,'Sites'!$C$9:$C$108,0))),"")&lt;&gt;W160)),"Site / entity mismatch",IF(N160&lt;'Settings'!$F$8,"Expired",IF(X160&lt;&gt;"Ready","Factor required",IF(OR(G160&lt;&gt;IFERROR(IF(INDEX('Factors'!$D$9:$D$108,MATCH(J160,'Factors'!$C$9:$C$108,0))="","",INDEX('Factors'!$D$9:$D$108,MATCH(J160,'Factors'!$C$9:$C$108,0))),""),I160&lt;&gt;P160,F160&lt;&gt;Q160,K160&lt;&gt;S160,AND(R160&lt;&gt;"Global",R160&lt;&gt;W160),K160&lt;&gt;YEAR(IFERROR(IF(INDEX('Inventory'!$H$9:$H$108,MATCH(D160,'Inventory'!$C$9:$C$108,0))="","",INDEX('Inventory'!$H$9:$H$108,MATCH(D160,'Inventory'!$C$9:$C$108,0))),""))),"Factor / boundary mismatch",IF(AND(F160="S2",IFERROR(IF(INDEX('Factors'!$I$9:$I$108,MATCH(J160,'Factors'!$C$9:$C$108,0))="","",INDEX('Factors'!$I$9:$I$108,MATCH(J160,'Factors'!$C$9:$C$108,0))),"")&lt;&gt;"Location-based"),"Use location factor",IF(M160&lt;&gt;"Actual","Estimation method review","Ready"))))))))))</x:f>
      </x:c>
      <x:c r="W160" s="9" t="str">
        <x:f>IF(C160="","",IFERROR(IF(INDEX('Inventory'!$G$9:$G$108,MATCH(D160,'Inventory'!$C$9:$C$108,0))="","",INDEX('Inventory'!$G$9:$G$108,MATCH(D160,'Inventory'!$C$9:$C$108,0))),""))</x:f>
      </x:c>
      <x:c r="X160" s="9" t="str">
        <x:f>IF(C160="","",IFERROR(IF(INDEX('Factors'!$P$9:$P$108,MATCH(J160,'Factors'!$C$9:$C$108,0))="","",INDEX('Factors'!$P$9:$P$108,MATCH(J160,'Factors'!$C$9:$C$108,0))),""))</x:f>
      </x:c>
    </x:row>
    <x:row r="161" ht="26" customHeight="1">
      <x:c r="A161" s="1"/>
      <x:c r="B161" s="1"/>
      <x:c r="C161" s="8"/>
      <x:c r="D161" s="8"/>
      <x:c r="E161" s="8"/>
      <x:c r="F161" s="8"/>
      <x:c r="G161" s="8"/>
      <x:c r="H161" s="16"/>
      <x:c r="I161" s="8"/>
      <x:c r="J161" s="8"/>
      <x:c r="K161" s="22"/>
      <x:c r="L161" s="8"/>
      <x:c r="M161" s="8"/>
      <x:c r="N161" s="40"/>
      <x:c r="O161" s="41" t="str">
        <x:f>IF(C161="","",IFERROR(IF(INDEX('Factors'!$G$9:$G$108,MATCH(J161,'Factors'!$C$9:$C$108,0))="","",INDEX('Factors'!$G$9:$G$108,MATCH(J161,'Factors'!$C$9:$C$108,0))),""))</x:f>
      </x:c>
      <x:c r="P161" s="9" t="str">
        <x:f>IF(C161="","",IFERROR(IF(INDEX('Factors'!$F$9:$F$108,MATCH(J161,'Factors'!$C$9:$C$108,0))="","",INDEX('Factors'!$F$9:$F$108,MATCH(J161,'Factors'!$C$9:$C$108,0))),""))</x:f>
      </x:c>
      <x:c r="Q161" s="9" t="str">
        <x:f>IF(C161="","",IFERROR(IF(INDEX('Factors'!$H$9:$H$108,MATCH(J161,'Factors'!$C$9:$C$108,0))="","",INDEX('Factors'!$H$9:$H$108,MATCH(J161,'Factors'!$C$9:$C$108,0))),""))</x:f>
      </x:c>
      <x:c r="R161" s="9" t="str">
        <x:f>IF(C161="","",IFERROR(IF(INDEX('Factors'!$E$9:$E$108,MATCH(J161,'Factors'!$C$9:$C$108,0))="","",INDEX('Factors'!$E$9:$E$108,MATCH(J161,'Factors'!$C$9:$C$108,0))),""))</x:f>
      </x:c>
      <x:c r="S161" s="42" t="str">
        <x:f>IF(C161="","",IFERROR(IF(INDEX('Factors'!$J$9:$J$108,MATCH(J161,'Factors'!$C$9:$C$108,0))="","",INDEX('Factors'!$J$9:$J$108,MATCH(J161,'Factors'!$C$9:$C$108,0))),""))</x:f>
      </x:c>
      <x:c r="T161" s="9" t="str">
        <x:f>IF(C161="","",IFERROR(IF(INDEX('Factors'!$L$9:$L$108,MATCH(J161,'Factors'!$C$9:$C$108,0))="","",INDEX('Factors'!$L$9:$L$108,MATCH(J161,'Factors'!$C$9:$C$108,0))),"")&amp;" / "&amp;IFERROR(IF(INDEX('Factors'!$M$9:$M$108,MATCH(J161,'Factors'!$C$9:$C$108,0))="","",INDEX('Factors'!$M$9:$M$108,MATCH(J161,'Factors'!$C$9:$C$108,0))),""))</x:f>
      </x:c>
      <x:c r="U161" s="21" t="str">
        <x:f>IF(V161="Ready",H161*O161/1000,"")</x:f>
      </x:c>
      <x:c r="V161" s="9" t="str">
        <x:f>IF(C161="","",IF(OR(COUNTIFS($C$9:$C$308,C161)&lt;&gt;1,COUNTIFS($D$9:$D$308,D161,$E$9:$E$308,E161,$F$9:$F$308,F161,$G$9:$G$308,G161,$K$9:$K$308,K161)&lt;&gt;1),"Duplicate annual activity",IF(COUNTIFS('Inventory'!$C$9:$C$108,D161)&lt;&gt;1,"Entity required",IF(OR(E161="",L161="",NOT(ISNUMBER(H161)),H161&lt;0,NOT(ISNUMBER(K161)),NOT(ISNUMBER(N161))),"Missing activity input",IF(AND(E161&lt;&gt;D161,OR(COUNTIFS('Sites'!$C$9:$C$108,E161)&lt;&gt;1,IFERROR(IF(INDEX('Sites'!$D$9:$D$108,MATCH(E161,'Sites'!$C$9:$C$108,0))="","",INDEX('Sites'!$D$9:$D$108,MATCH(E161,'Sites'!$C$9:$C$108,0))),"")&lt;&gt;IFERROR(IF(INDEX('Inventory'!$D$9:$D$108,MATCH(D161,'Inventory'!$C$9:$C$108,0))="","",INDEX('Inventory'!$D$9:$D$108,MATCH(D161,'Inventory'!$C$9:$C$108,0))),""),IFERROR(IF(INDEX('Sites'!$E$9:$E$108,MATCH(E161,'Sites'!$C$9:$C$108,0))="","",INDEX('Sites'!$E$9:$E$108,MATCH(E161,'Sites'!$C$9:$C$108,0))),"")&lt;&gt;W161)),"Site / entity mismatch",IF(N161&lt;'Settings'!$F$8,"Expired",IF(X161&lt;&gt;"Ready","Factor required",IF(OR(G161&lt;&gt;IFERROR(IF(INDEX('Factors'!$D$9:$D$108,MATCH(J161,'Factors'!$C$9:$C$108,0))="","",INDEX('Factors'!$D$9:$D$108,MATCH(J161,'Factors'!$C$9:$C$108,0))),""),I161&lt;&gt;P161,F161&lt;&gt;Q161,K161&lt;&gt;S161,AND(R161&lt;&gt;"Global",R161&lt;&gt;W161),K161&lt;&gt;YEAR(IFERROR(IF(INDEX('Inventory'!$H$9:$H$108,MATCH(D161,'Inventory'!$C$9:$C$108,0))="","",INDEX('Inventory'!$H$9:$H$108,MATCH(D161,'Inventory'!$C$9:$C$108,0))),""))),"Factor / boundary mismatch",IF(AND(F161="S2",IFERROR(IF(INDEX('Factors'!$I$9:$I$108,MATCH(J161,'Factors'!$C$9:$C$108,0))="","",INDEX('Factors'!$I$9:$I$108,MATCH(J161,'Factors'!$C$9:$C$108,0))),"")&lt;&gt;"Location-based"),"Use location factor",IF(M161&lt;&gt;"Actual","Estimation method review","Ready"))))))))))</x:f>
      </x:c>
      <x:c r="W161" s="9" t="str">
        <x:f>IF(C161="","",IFERROR(IF(INDEX('Inventory'!$G$9:$G$108,MATCH(D161,'Inventory'!$C$9:$C$108,0))="","",INDEX('Inventory'!$G$9:$G$108,MATCH(D161,'Inventory'!$C$9:$C$108,0))),""))</x:f>
      </x:c>
      <x:c r="X161" s="9" t="str">
        <x:f>IF(C161="","",IFERROR(IF(INDEX('Factors'!$P$9:$P$108,MATCH(J161,'Factors'!$C$9:$C$108,0))="","",INDEX('Factors'!$P$9:$P$108,MATCH(J161,'Factors'!$C$9:$C$108,0))),""))</x:f>
      </x:c>
    </x:row>
    <x:row r="162" ht="26" customHeight="1">
      <x:c r="A162" s="1"/>
      <x:c r="B162" s="1"/>
      <x:c r="C162" s="8"/>
      <x:c r="D162" s="8"/>
      <x:c r="E162" s="8"/>
      <x:c r="F162" s="8"/>
      <x:c r="G162" s="8"/>
      <x:c r="H162" s="16"/>
      <x:c r="I162" s="8"/>
      <x:c r="J162" s="8"/>
      <x:c r="K162" s="22"/>
      <x:c r="L162" s="8"/>
      <x:c r="M162" s="8"/>
      <x:c r="N162" s="40"/>
      <x:c r="O162" s="41" t="str">
        <x:f>IF(C162="","",IFERROR(IF(INDEX('Factors'!$G$9:$G$108,MATCH(J162,'Factors'!$C$9:$C$108,0))="","",INDEX('Factors'!$G$9:$G$108,MATCH(J162,'Factors'!$C$9:$C$108,0))),""))</x:f>
      </x:c>
      <x:c r="P162" s="9" t="str">
        <x:f>IF(C162="","",IFERROR(IF(INDEX('Factors'!$F$9:$F$108,MATCH(J162,'Factors'!$C$9:$C$108,0))="","",INDEX('Factors'!$F$9:$F$108,MATCH(J162,'Factors'!$C$9:$C$108,0))),""))</x:f>
      </x:c>
      <x:c r="Q162" s="9" t="str">
        <x:f>IF(C162="","",IFERROR(IF(INDEX('Factors'!$H$9:$H$108,MATCH(J162,'Factors'!$C$9:$C$108,0))="","",INDEX('Factors'!$H$9:$H$108,MATCH(J162,'Factors'!$C$9:$C$108,0))),""))</x:f>
      </x:c>
      <x:c r="R162" s="9" t="str">
        <x:f>IF(C162="","",IFERROR(IF(INDEX('Factors'!$E$9:$E$108,MATCH(J162,'Factors'!$C$9:$C$108,0))="","",INDEX('Factors'!$E$9:$E$108,MATCH(J162,'Factors'!$C$9:$C$108,0))),""))</x:f>
      </x:c>
      <x:c r="S162" s="42" t="str">
        <x:f>IF(C162="","",IFERROR(IF(INDEX('Factors'!$J$9:$J$108,MATCH(J162,'Factors'!$C$9:$C$108,0))="","",INDEX('Factors'!$J$9:$J$108,MATCH(J162,'Factors'!$C$9:$C$108,0))),""))</x:f>
      </x:c>
      <x:c r="T162" s="9" t="str">
        <x:f>IF(C162="","",IFERROR(IF(INDEX('Factors'!$L$9:$L$108,MATCH(J162,'Factors'!$C$9:$C$108,0))="","",INDEX('Factors'!$L$9:$L$108,MATCH(J162,'Factors'!$C$9:$C$108,0))),"")&amp;" / "&amp;IFERROR(IF(INDEX('Factors'!$M$9:$M$108,MATCH(J162,'Factors'!$C$9:$C$108,0))="","",INDEX('Factors'!$M$9:$M$108,MATCH(J162,'Factors'!$C$9:$C$108,0))),""))</x:f>
      </x:c>
      <x:c r="U162" s="21" t="str">
        <x:f>IF(V162="Ready",H162*O162/1000,"")</x:f>
      </x:c>
      <x:c r="V162" s="9" t="str">
        <x:f>IF(C162="","",IF(OR(COUNTIFS($C$9:$C$308,C162)&lt;&gt;1,COUNTIFS($D$9:$D$308,D162,$E$9:$E$308,E162,$F$9:$F$308,F162,$G$9:$G$308,G162,$K$9:$K$308,K162)&lt;&gt;1),"Duplicate annual activity",IF(COUNTIFS('Inventory'!$C$9:$C$108,D162)&lt;&gt;1,"Entity required",IF(OR(E162="",L162="",NOT(ISNUMBER(H162)),H162&lt;0,NOT(ISNUMBER(K162)),NOT(ISNUMBER(N162))),"Missing activity input",IF(AND(E162&lt;&gt;D162,OR(COUNTIFS('Sites'!$C$9:$C$108,E162)&lt;&gt;1,IFERROR(IF(INDEX('Sites'!$D$9:$D$108,MATCH(E162,'Sites'!$C$9:$C$108,0))="","",INDEX('Sites'!$D$9:$D$108,MATCH(E162,'Sites'!$C$9:$C$108,0))),"")&lt;&gt;IFERROR(IF(INDEX('Inventory'!$D$9:$D$108,MATCH(D162,'Inventory'!$C$9:$C$108,0))="","",INDEX('Inventory'!$D$9:$D$108,MATCH(D162,'Inventory'!$C$9:$C$108,0))),""),IFERROR(IF(INDEX('Sites'!$E$9:$E$108,MATCH(E162,'Sites'!$C$9:$C$108,0))="","",INDEX('Sites'!$E$9:$E$108,MATCH(E162,'Sites'!$C$9:$C$108,0))),"")&lt;&gt;W162)),"Site / entity mismatch",IF(N162&lt;'Settings'!$F$8,"Expired",IF(X162&lt;&gt;"Ready","Factor required",IF(OR(G162&lt;&gt;IFERROR(IF(INDEX('Factors'!$D$9:$D$108,MATCH(J162,'Factors'!$C$9:$C$108,0))="","",INDEX('Factors'!$D$9:$D$108,MATCH(J162,'Factors'!$C$9:$C$108,0))),""),I162&lt;&gt;P162,F162&lt;&gt;Q162,K162&lt;&gt;S162,AND(R162&lt;&gt;"Global",R162&lt;&gt;W162),K162&lt;&gt;YEAR(IFERROR(IF(INDEX('Inventory'!$H$9:$H$108,MATCH(D162,'Inventory'!$C$9:$C$108,0))="","",INDEX('Inventory'!$H$9:$H$108,MATCH(D162,'Inventory'!$C$9:$C$108,0))),""))),"Factor / boundary mismatch",IF(AND(F162="S2",IFERROR(IF(INDEX('Factors'!$I$9:$I$108,MATCH(J162,'Factors'!$C$9:$C$108,0))="","",INDEX('Factors'!$I$9:$I$108,MATCH(J162,'Factors'!$C$9:$C$108,0))),"")&lt;&gt;"Location-based"),"Use location factor",IF(M162&lt;&gt;"Actual","Estimation method review","Ready"))))))))))</x:f>
      </x:c>
      <x:c r="W162" s="9" t="str">
        <x:f>IF(C162="","",IFERROR(IF(INDEX('Inventory'!$G$9:$G$108,MATCH(D162,'Inventory'!$C$9:$C$108,0))="","",INDEX('Inventory'!$G$9:$G$108,MATCH(D162,'Inventory'!$C$9:$C$108,0))),""))</x:f>
      </x:c>
      <x:c r="X162" s="9" t="str">
        <x:f>IF(C162="","",IFERROR(IF(INDEX('Factors'!$P$9:$P$108,MATCH(J162,'Factors'!$C$9:$C$108,0))="","",INDEX('Factors'!$P$9:$P$108,MATCH(J162,'Factors'!$C$9:$C$108,0))),""))</x:f>
      </x:c>
    </x:row>
    <x:row r="163" ht="26" customHeight="1">
      <x:c r="A163" s="1"/>
      <x:c r="B163" s="1"/>
      <x:c r="C163" s="8"/>
      <x:c r="D163" s="8"/>
      <x:c r="E163" s="8"/>
      <x:c r="F163" s="8"/>
      <x:c r="G163" s="8"/>
      <x:c r="H163" s="16"/>
      <x:c r="I163" s="8"/>
      <x:c r="J163" s="8"/>
      <x:c r="K163" s="22"/>
      <x:c r="L163" s="8"/>
      <x:c r="M163" s="8"/>
      <x:c r="N163" s="40"/>
      <x:c r="O163" s="41" t="str">
        <x:f>IF(C163="","",IFERROR(IF(INDEX('Factors'!$G$9:$G$108,MATCH(J163,'Factors'!$C$9:$C$108,0))="","",INDEX('Factors'!$G$9:$G$108,MATCH(J163,'Factors'!$C$9:$C$108,0))),""))</x:f>
      </x:c>
      <x:c r="P163" s="9" t="str">
        <x:f>IF(C163="","",IFERROR(IF(INDEX('Factors'!$F$9:$F$108,MATCH(J163,'Factors'!$C$9:$C$108,0))="","",INDEX('Factors'!$F$9:$F$108,MATCH(J163,'Factors'!$C$9:$C$108,0))),""))</x:f>
      </x:c>
      <x:c r="Q163" s="9" t="str">
        <x:f>IF(C163="","",IFERROR(IF(INDEX('Factors'!$H$9:$H$108,MATCH(J163,'Factors'!$C$9:$C$108,0))="","",INDEX('Factors'!$H$9:$H$108,MATCH(J163,'Factors'!$C$9:$C$108,0))),""))</x:f>
      </x:c>
      <x:c r="R163" s="9" t="str">
        <x:f>IF(C163="","",IFERROR(IF(INDEX('Factors'!$E$9:$E$108,MATCH(J163,'Factors'!$C$9:$C$108,0))="","",INDEX('Factors'!$E$9:$E$108,MATCH(J163,'Factors'!$C$9:$C$108,0))),""))</x:f>
      </x:c>
      <x:c r="S163" s="42" t="str">
        <x:f>IF(C163="","",IFERROR(IF(INDEX('Factors'!$J$9:$J$108,MATCH(J163,'Factors'!$C$9:$C$108,0))="","",INDEX('Factors'!$J$9:$J$108,MATCH(J163,'Factors'!$C$9:$C$108,0))),""))</x:f>
      </x:c>
      <x:c r="T163" s="9" t="str">
        <x:f>IF(C163="","",IFERROR(IF(INDEX('Factors'!$L$9:$L$108,MATCH(J163,'Factors'!$C$9:$C$108,0))="","",INDEX('Factors'!$L$9:$L$108,MATCH(J163,'Factors'!$C$9:$C$108,0))),"")&amp;" / "&amp;IFERROR(IF(INDEX('Factors'!$M$9:$M$108,MATCH(J163,'Factors'!$C$9:$C$108,0))="","",INDEX('Factors'!$M$9:$M$108,MATCH(J163,'Factors'!$C$9:$C$108,0))),""))</x:f>
      </x:c>
      <x:c r="U163" s="21" t="str">
        <x:f>IF(V163="Ready",H163*O163/1000,"")</x:f>
      </x:c>
      <x:c r="V163" s="9" t="str">
        <x:f>IF(C163="","",IF(OR(COUNTIFS($C$9:$C$308,C163)&lt;&gt;1,COUNTIFS($D$9:$D$308,D163,$E$9:$E$308,E163,$F$9:$F$308,F163,$G$9:$G$308,G163,$K$9:$K$308,K163)&lt;&gt;1),"Duplicate annual activity",IF(COUNTIFS('Inventory'!$C$9:$C$108,D163)&lt;&gt;1,"Entity required",IF(OR(E163="",L163="",NOT(ISNUMBER(H163)),H163&lt;0,NOT(ISNUMBER(K163)),NOT(ISNUMBER(N163))),"Missing activity input",IF(AND(E163&lt;&gt;D163,OR(COUNTIFS('Sites'!$C$9:$C$108,E163)&lt;&gt;1,IFERROR(IF(INDEX('Sites'!$D$9:$D$108,MATCH(E163,'Sites'!$C$9:$C$108,0))="","",INDEX('Sites'!$D$9:$D$108,MATCH(E163,'Sites'!$C$9:$C$108,0))),"")&lt;&gt;IFERROR(IF(INDEX('Inventory'!$D$9:$D$108,MATCH(D163,'Inventory'!$C$9:$C$108,0))="","",INDEX('Inventory'!$D$9:$D$108,MATCH(D163,'Inventory'!$C$9:$C$108,0))),""),IFERROR(IF(INDEX('Sites'!$E$9:$E$108,MATCH(E163,'Sites'!$C$9:$C$108,0))="","",INDEX('Sites'!$E$9:$E$108,MATCH(E163,'Sites'!$C$9:$C$108,0))),"")&lt;&gt;W163)),"Site / entity mismatch",IF(N163&lt;'Settings'!$F$8,"Expired",IF(X163&lt;&gt;"Ready","Factor required",IF(OR(G163&lt;&gt;IFERROR(IF(INDEX('Factors'!$D$9:$D$108,MATCH(J163,'Factors'!$C$9:$C$108,0))="","",INDEX('Factors'!$D$9:$D$108,MATCH(J163,'Factors'!$C$9:$C$108,0))),""),I163&lt;&gt;P163,F163&lt;&gt;Q163,K163&lt;&gt;S163,AND(R163&lt;&gt;"Global",R163&lt;&gt;W163),K163&lt;&gt;YEAR(IFERROR(IF(INDEX('Inventory'!$H$9:$H$108,MATCH(D163,'Inventory'!$C$9:$C$108,0))="","",INDEX('Inventory'!$H$9:$H$108,MATCH(D163,'Inventory'!$C$9:$C$108,0))),""))),"Factor / boundary mismatch",IF(AND(F163="S2",IFERROR(IF(INDEX('Factors'!$I$9:$I$108,MATCH(J163,'Factors'!$C$9:$C$108,0))="","",INDEX('Factors'!$I$9:$I$108,MATCH(J163,'Factors'!$C$9:$C$108,0))),"")&lt;&gt;"Location-based"),"Use location factor",IF(M163&lt;&gt;"Actual","Estimation method review","Ready"))))))))))</x:f>
      </x:c>
      <x:c r="W163" s="9" t="str">
        <x:f>IF(C163="","",IFERROR(IF(INDEX('Inventory'!$G$9:$G$108,MATCH(D163,'Inventory'!$C$9:$C$108,0))="","",INDEX('Inventory'!$G$9:$G$108,MATCH(D163,'Inventory'!$C$9:$C$108,0))),""))</x:f>
      </x:c>
      <x:c r="X163" s="9" t="str">
        <x:f>IF(C163="","",IFERROR(IF(INDEX('Factors'!$P$9:$P$108,MATCH(J163,'Factors'!$C$9:$C$108,0))="","",INDEX('Factors'!$P$9:$P$108,MATCH(J163,'Factors'!$C$9:$C$108,0))),""))</x:f>
      </x:c>
    </x:row>
    <x:row r="164" ht="26" customHeight="1">
      <x:c r="A164" s="1"/>
      <x:c r="B164" s="1"/>
      <x:c r="C164" s="8"/>
      <x:c r="D164" s="8"/>
      <x:c r="E164" s="8"/>
      <x:c r="F164" s="8"/>
      <x:c r="G164" s="8"/>
      <x:c r="H164" s="16"/>
      <x:c r="I164" s="8"/>
      <x:c r="J164" s="8"/>
      <x:c r="K164" s="22"/>
      <x:c r="L164" s="8"/>
      <x:c r="M164" s="8"/>
      <x:c r="N164" s="40"/>
      <x:c r="O164" s="41" t="str">
        <x:f>IF(C164="","",IFERROR(IF(INDEX('Factors'!$G$9:$G$108,MATCH(J164,'Factors'!$C$9:$C$108,0))="","",INDEX('Factors'!$G$9:$G$108,MATCH(J164,'Factors'!$C$9:$C$108,0))),""))</x:f>
      </x:c>
      <x:c r="P164" s="9" t="str">
        <x:f>IF(C164="","",IFERROR(IF(INDEX('Factors'!$F$9:$F$108,MATCH(J164,'Factors'!$C$9:$C$108,0))="","",INDEX('Factors'!$F$9:$F$108,MATCH(J164,'Factors'!$C$9:$C$108,0))),""))</x:f>
      </x:c>
      <x:c r="Q164" s="9" t="str">
        <x:f>IF(C164="","",IFERROR(IF(INDEX('Factors'!$H$9:$H$108,MATCH(J164,'Factors'!$C$9:$C$108,0))="","",INDEX('Factors'!$H$9:$H$108,MATCH(J164,'Factors'!$C$9:$C$108,0))),""))</x:f>
      </x:c>
      <x:c r="R164" s="9" t="str">
        <x:f>IF(C164="","",IFERROR(IF(INDEX('Factors'!$E$9:$E$108,MATCH(J164,'Factors'!$C$9:$C$108,0))="","",INDEX('Factors'!$E$9:$E$108,MATCH(J164,'Factors'!$C$9:$C$108,0))),""))</x:f>
      </x:c>
      <x:c r="S164" s="42" t="str">
        <x:f>IF(C164="","",IFERROR(IF(INDEX('Factors'!$J$9:$J$108,MATCH(J164,'Factors'!$C$9:$C$108,0))="","",INDEX('Factors'!$J$9:$J$108,MATCH(J164,'Factors'!$C$9:$C$108,0))),""))</x:f>
      </x:c>
      <x:c r="T164" s="9" t="str">
        <x:f>IF(C164="","",IFERROR(IF(INDEX('Factors'!$L$9:$L$108,MATCH(J164,'Factors'!$C$9:$C$108,0))="","",INDEX('Factors'!$L$9:$L$108,MATCH(J164,'Factors'!$C$9:$C$108,0))),"")&amp;" / "&amp;IFERROR(IF(INDEX('Factors'!$M$9:$M$108,MATCH(J164,'Factors'!$C$9:$C$108,0))="","",INDEX('Factors'!$M$9:$M$108,MATCH(J164,'Factors'!$C$9:$C$108,0))),""))</x:f>
      </x:c>
      <x:c r="U164" s="21" t="str">
        <x:f>IF(V164="Ready",H164*O164/1000,"")</x:f>
      </x:c>
      <x:c r="V164" s="9" t="str">
        <x:f>IF(C164="","",IF(OR(COUNTIFS($C$9:$C$308,C164)&lt;&gt;1,COUNTIFS($D$9:$D$308,D164,$E$9:$E$308,E164,$F$9:$F$308,F164,$G$9:$G$308,G164,$K$9:$K$308,K164)&lt;&gt;1),"Duplicate annual activity",IF(COUNTIFS('Inventory'!$C$9:$C$108,D164)&lt;&gt;1,"Entity required",IF(OR(E164="",L164="",NOT(ISNUMBER(H164)),H164&lt;0,NOT(ISNUMBER(K164)),NOT(ISNUMBER(N164))),"Missing activity input",IF(AND(E164&lt;&gt;D164,OR(COUNTIFS('Sites'!$C$9:$C$108,E164)&lt;&gt;1,IFERROR(IF(INDEX('Sites'!$D$9:$D$108,MATCH(E164,'Sites'!$C$9:$C$108,0))="","",INDEX('Sites'!$D$9:$D$108,MATCH(E164,'Sites'!$C$9:$C$108,0))),"")&lt;&gt;IFERROR(IF(INDEX('Inventory'!$D$9:$D$108,MATCH(D164,'Inventory'!$C$9:$C$108,0))="","",INDEX('Inventory'!$D$9:$D$108,MATCH(D164,'Inventory'!$C$9:$C$108,0))),""),IFERROR(IF(INDEX('Sites'!$E$9:$E$108,MATCH(E164,'Sites'!$C$9:$C$108,0))="","",INDEX('Sites'!$E$9:$E$108,MATCH(E164,'Sites'!$C$9:$C$108,0))),"")&lt;&gt;W164)),"Site / entity mismatch",IF(N164&lt;'Settings'!$F$8,"Expired",IF(X164&lt;&gt;"Ready","Factor required",IF(OR(G164&lt;&gt;IFERROR(IF(INDEX('Factors'!$D$9:$D$108,MATCH(J164,'Factors'!$C$9:$C$108,0))="","",INDEX('Factors'!$D$9:$D$108,MATCH(J164,'Factors'!$C$9:$C$108,0))),""),I164&lt;&gt;P164,F164&lt;&gt;Q164,K164&lt;&gt;S164,AND(R164&lt;&gt;"Global",R164&lt;&gt;W164),K164&lt;&gt;YEAR(IFERROR(IF(INDEX('Inventory'!$H$9:$H$108,MATCH(D164,'Inventory'!$C$9:$C$108,0))="","",INDEX('Inventory'!$H$9:$H$108,MATCH(D164,'Inventory'!$C$9:$C$108,0))),""))),"Factor / boundary mismatch",IF(AND(F164="S2",IFERROR(IF(INDEX('Factors'!$I$9:$I$108,MATCH(J164,'Factors'!$C$9:$C$108,0))="","",INDEX('Factors'!$I$9:$I$108,MATCH(J164,'Factors'!$C$9:$C$108,0))),"")&lt;&gt;"Location-based"),"Use location factor",IF(M164&lt;&gt;"Actual","Estimation method review","Ready"))))))))))</x:f>
      </x:c>
      <x:c r="W164" s="9" t="str">
        <x:f>IF(C164="","",IFERROR(IF(INDEX('Inventory'!$G$9:$G$108,MATCH(D164,'Inventory'!$C$9:$C$108,0))="","",INDEX('Inventory'!$G$9:$G$108,MATCH(D164,'Inventory'!$C$9:$C$108,0))),""))</x:f>
      </x:c>
      <x:c r="X164" s="9" t="str">
        <x:f>IF(C164="","",IFERROR(IF(INDEX('Factors'!$P$9:$P$108,MATCH(J164,'Factors'!$C$9:$C$108,0))="","",INDEX('Factors'!$P$9:$P$108,MATCH(J164,'Factors'!$C$9:$C$108,0))),""))</x:f>
      </x:c>
    </x:row>
    <x:row r="165" ht="26" customHeight="1">
      <x:c r="A165" s="1"/>
      <x:c r="B165" s="1"/>
      <x:c r="C165" s="8"/>
      <x:c r="D165" s="8"/>
      <x:c r="E165" s="8"/>
      <x:c r="F165" s="8"/>
      <x:c r="G165" s="8"/>
      <x:c r="H165" s="16"/>
      <x:c r="I165" s="8"/>
      <x:c r="J165" s="8"/>
      <x:c r="K165" s="22"/>
      <x:c r="L165" s="8"/>
      <x:c r="M165" s="8"/>
      <x:c r="N165" s="40"/>
      <x:c r="O165" s="41" t="str">
        <x:f>IF(C165="","",IFERROR(IF(INDEX('Factors'!$G$9:$G$108,MATCH(J165,'Factors'!$C$9:$C$108,0))="","",INDEX('Factors'!$G$9:$G$108,MATCH(J165,'Factors'!$C$9:$C$108,0))),""))</x:f>
      </x:c>
      <x:c r="P165" s="9" t="str">
        <x:f>IF(C165="","",IFERROR(IF(INDEX('Factors'!$F$9:$F$108,MATCH(J165,'Factors'!$C$9:$C$108,0))="","",INDEX('Factors'!$F$9:$F$108,MATCH(J165,'Factors'!$C$9:$C$108,0))),""))</x:f>
      </x:c>
      <x:c r="Q165" s="9" t="str">
        <x:f>IF(C165="","",IFERROR(IF(INDEX('Factors'!$H$9:$H$108,MATCH(J165,'Factors'!$C$9:$C$108,0))="","",INDEX('Factors'!$H$9:$H$108,MATCH(J165,'Factors'!$C$9:$C$108,0))),""))</x:f>
      </x:c>
      <x:c r="R165" s="9" t="str">
        <x:f>IF(C165="","",IFERROR(IF(INDEX('Factors'!$E$9:$E$108,MATCH(J165,'Factors'!$C$9:$C$108,0))="","",INDEX('Factors'!$E$9:$E$108,MATCH(J165,'Factors'!$C$9:$C$108,0))),""))</x:f>
      </x:c>
      <x:c r="S165" s="42" t="str">
        <x:f>IF(C165="","",IFERROR(IF(INDEX('Factors'!$J$9:$J$108,MATCH(J165,'Factors'!$C$9:$C$108,0))="","",INDEX('Factors'!$J$9:$J$108,MATCH(J165,'Factors'!$C$9:$C$108,0))),""))</x:f>
      </x:c>
      <x:c r="T165" s="9" t="str">
        <x:f>IF(C165="","",IFERROR(IF(INDEX('Factors'!$L$9:$L$108,MATCH(J165,'Factors'!$C$9:$C$108,0))="","",INDEX('Factors'!$L$9:$L$108,MATCH(J165,'Factors'!$C$9:$C$108,0))),"")&amp;" / "&amp;IFERROR(IF(INDEX('Factors'!$M$9:$M$108,MATCH(J165,'Factors'!$C$9:$C$108,0))="","",INDEX('Factors'!$M$9:$M$108,MATCH(J165,'Factors'!$C$9:$C$108,0))),""))</x:f>
      </x:c>
      <x:c r="U165" s="21" t="str">
        <x:f>IF(V165="Ready",H165*O165/1000,"")</x:f>
      </x:c>
      <x:c r="V165" s="9" t="str">
        <x:f>IF(C165="","",IF(OR(COUNTIFS($C$9:$C$308,C165)&lt;&gt;1,COUNTIFS($D$9:$D$308,D165,$E$9:$E$308,E165,$F$9:$F$308,F165,$G$9:$G$308,G165,$K$9:$K$308,K165)&lt;&gt;1),"Duplicate annual activity",IF(COUNTIFS('Inventory'!$C$9:$C$108,D165)&lt;&gt;1,"Entity required",IF(OR(E165="",L165="",NOT(ISNUMBER(H165)),H165&lt;0,NOT(ISNUMBER(K165)),NOT(ISNUMBER(N165))),"Missing activity input",IF(AND(E165&lt;&gt;D165,OR(COUNTIFS('Sites'!$C$9:$C$108,E165)&lt;&gt;1,IFERROR(IF(INDEX('Sites'!$D$9:$D$108,MATCH(E165,'Sites'!$C$9:$C$108,0))="","",INDEX('Sites'!$D$9:$D$108,MATCH(E165,'Sites'!$C$9:$C$108,0))),"")&lt;&gt;IFERROR(IF(INDEX('Inventory'!$D$9:$D$108,MATCH(D165,'Inventory'!$C$9:$C$108,0))="","",INDEX('Inventory'!$D$9:$D$108,MATCH(D165,'Inventory'!$C$9:$C$108,0))),""),IFERROR(IF(INDEX('Sites'!$E$9:$E$108,MATCH(E165,'Sites'!$C$9:$C$108,0))="","",INDEX('Sites'!$E$9:$E$108,MATCH(E165,'Sites'!$C$9:$C$108,0))),"")&lt;&gt;W165)),"Site / entity mismatch",IF(N165&lt;'Settings'!$F$8,"Expired",IF(X165&lt;&gt;"Ready","Factor required",IF(OR(G165&lt;&gt;IFERROR(IF(INDEX('Factors'!$D$9:$D$108,MATCH(J165,'Factors'!$C$9:$C$108,0))="","",INDEX('Factors'!$D$9:$D$108,MATCH(J165,'Factors'!$C$9:$C$108,0))),""),I165&lt;&gt;P165,F165&lt;&gt;Q165,K165&lt;&gt;S165,AND(R165&lt;&gt;"Global",R165&lt;&gt;W165),K165&lt;&gt;YEAR(IFERROR(IF(INDEX('Inventory'!$H$9:$H$108,MATCH(D165,'Inventory'!$C$9:$C$108,0))="","",INDEX('Inventory'!$H$9:$H$108,MATCH(D165,'Inventory'!$C$9:$C$108,0))),""))),"Factor / boundary mismatch",IF(AND(F165="S2",IFERROR(IF(INDEX('Factors'!$I$9:$I$108,MATCH(J165,'Factors'!$C$9:$C$108,0))="","",INDEX('Factors'!$I$9:$I$108,MATCH(J165,'Factors'!$C$9:$C$108,0))),"")&lt;&gt;"Location-based"),"Use location factor",IF(M165&lt;&gt;"Actual","Estimation method review","Ready"))))))))))</x:f>
      </x:c>
      <x:c r="W165" s="9" t="str">
        <x:f>IF(C165="","",IFERROR(IF(INDEX('Inventory'!$G$9:$G$108,MATCH(D165,'Inventory'!$C$9:$C$108,0))="","",INDEX('Inventory'!$G$9:$G$108,MATCH(D165,'Inventory'!$C$9:$C$108,0))),""))</x:f>
      </x:c>
      <x:c r="X165" s="9" t="str">
        <x:f>IF(C165="","",IFERROR(IF(INDEX('Factors'!$P$9:$P$108,MATCH(J165,'Factors'!$C$9:$C$108,0))="","",INDEX('Factors'!$P$9:$P$108,MATCH(J165,'Factors'!$C$9:$C$108,0))),""))</x:f>
      </x:c>
    </x:row>
    <x:row r="166" ht="26" customHeight="1">
      <x:c r="A166" s="1"/>
      <x:c r="B166" s="1"/>
      <x:c r="C166" s="8"/>
      <x:c r="D166" s="8"/>
      <x:c r="E166" s="8"/>
      <x:c r="F166" s="8"/>
      <x:c r="G166" s="8"/>
      <x:c r="H166" s="16"/>
      <x:c r="I166" s="8"/>
      <x:c r="J166" s="8"/>
      <x:c r="K166" s="22"/>
      <x:c r="L166" s="8"/>
      <x:c r="M166" s="8"/>
      <x:c r="N166" s="40"/>
      <x:c r="O166" s="41" t="str">
        <x:f>IF(C166="","",IFERROR(IF(INDEX('Factors'!$G$9:$G$108,MATCH(J166,'Factors'!$C$9:$C$108,0))="","",INDEX('Factors'!$G$9:$G$108,MATCH(J166,'Factors'!$C$9:$C$108,0))),""))</x:f>
      </x:c>
      <x:c r="P166" s="9" t="str">
        <x:f>IF(C166="","",IFERROR(IF(INDEX('Factors'!$F$9:$F$108,MATCH(J166,'Factors'!$C$9:$C$108,0))="","",INDEX('Factors'!$F$9:$F$108,MATCH(J166,'Factors'!$C$9:$C$108,0))),""))</x:f>
      </x:c>
      <x:c r="Q166" s="9" t="str">
        <x:f>IF(C166="","",IFERROR(IF(INDEX('Factors'!$H$9:$H$108,MATCH(J166,'Factors'!$C$9:$C$108,0))="","",INDEX('Factors'!$H$9:$H$108,MATCH(J166,'Factors'!$C$9:$C$108,0))),""))</x:f>
      </x:c>
      <x:c r="R166" s="9" t="str">
        <x:f>IF(C166="","",IFERROR(IF(INDEX('Factors'!$E$9:$E$108,MATCH(J166,'Factors'!$C$9:$C$108,0))="","",INDEX('Factors'!$E$9:$E$108,MATCH(J166,'Factors'!$C$9:$C$108,0))),""))</x:f>
      </x:c>
      <x:c r="S166" s="42" t="str">
        <x:f>IF(C166="","",IFERROR(IF(INDEX('Factors'!$J$9:$J$108,MATCH(J166,'Factors'!$C$9:$C$108,0))="","",INDEX('Factors'!$J$9:$J$108,MATCH(J166,'Factors'!$C$9:$C$108,0))),""))</x:f>
      </x:c>
      <x:c r="T166" s="9" t="str">
        <x:f>IF(C166="","",IFERROR(IF(INDEX('Factors'!$L$9:$L$108,MATCH(J166,'Factors'!$C$9:$C$108,0))="","",INDEX('Factors'!$L$9:$L$108,MATCH(J166,'Factors'!$C$9:$C$108,0))),"")&amp;" / "&amp;IFERROR(IF(INDEX('Factors'!$M$9:$M$108,MATCH(J166,'Factors'!$C$9:$C$108,0))="","",INDEX('Factors'!$M$9:$M$108,MATCH(J166,'Factors'!$C$9:$C$108,0))),""))</x:f>
      </x:c>
      <x:c r="U166" s="21" t="str">
        <x:f>IF(V166="Ready",H166*O166/1000,"")</x:f>
      </x:c>
      <x:c r="V166" s="9" t="str">
        <x:f>IF(C166="","",IF(OR(COUNTIFS($C$9:$C$308,C166)&lt;&gt;1,COUNTIFS($D$9:$D$308,D166,$E$9:$E$308,E166,$F$9:$F$308,F166,$G$9:$G$308,G166,$K$9:$K$308,K166)&lt;&gt;1),"Duplicate annual activity",IF(COUNTIFS('Inventory'!$C$9:$C$108,D166)&lt;&gt;1,"Entity required",IF(OR(E166="",L166="",NOT(ISNUMBER(H166)),H166&lt;0,NOT(ISNUMBER(K166)),NOT(ISNUMBER(N166))),"Missing activity input",IF(AND(E166&lt;&gt;D166,OR(COUNTIFS('Sites'!$C$9:$C$108,E166)&lt;&gt;1,IFERROR(IF(INDEX('Sites'!$D$9:$D$108,MATCH(E166,'Sites'!$C$9:$C$108,0))="","",INDEX('Sites'!$D$9:$D$108,MATCH(E166,'Sites'!$C$9:$C$108,0))),"")&lt;&gt;IFERROR(IF(INDEX('Inventory'!$D$9:$D$108,MATCH(D166,'Inventory'!$C$9:$C$108,0))="","",INDEX('Inventory'!$D$9:$D$108,MATCH(D166,'Inventory'!$C$9:$C$108,0))),""),IFERROR(IF(INDEX('Sites'!$E$9:$E$108,MATCH(E166,'Sites'!$C$9:$C$108,0))="","",INDEX('Sites'!$E$9:$E$108,MATCH(E166,'Sites'!$C$9:$C$108,0))),"")&lt;&gt;W166)),"Site / entity mismatch",IF(N166&lt;'Settings'!$F$8,"Expired",IF(X166&lt;&gt;"Ready","Factor required",IF(OR(G166&lt;&gt;IFERROR(IF(INDEX('Factors'!$D$9:$D$108,MATCH(J166,'Factors'!$C$9:$C$108,0))="","",INDEX('Factors'!$D$9:$D$108,MATCH(J166,'Factors'!$C$9:$C$108,0))),""),I166&lt;&gt;P166,F166&lt;&gt;Q166,K166&lt;&gt;S166,AND(R166&lt;&gt;"Global",R166&lt;&gt;W166),K166&lt;&gt;YEAR(IFERROR(IF(INDEX('Inventory'!$H$9:$H$108,MATCH(D166,'Inventory'!$C$9:$C$108,0))="","",INDEX('Inventory'!$H$9:$H$108,MATCH(D166,'Inventory'!$C$9:$C$108,0))),""))),"Factor / boundary mismatch",IF(AND(F166="S2",IFERROR(IF(INDEX('Factors'!$I$9:$I$108,MATCH(J166,'Factors'!$C$9:$C$108,0))="","",INDEX('Factors'!$I$9:$I$108,MATCH(J166,'Factors'!$C$9:$C$108,0))),"")&lt;&gt;"Location-based"),"Use location factor",IF(M166&lt;&gt;"Actual","Estimation method review","Ready"))))))))))</x:f>
      </x:c>
      <x:c r="W166" s="9" t="str">
        <x:f>IF(C166="","",IFERROR(IF(INDEX('Inventory'!$G$9:$G$108,MATCH(D166,'Inventory'!$C$9:$C$108,0))="","",INDEX('Inventory'!$G$9:$G$108,MATCH(D166,'Inventory'!$C$9:$C$108,0))),""))</x:f>
      </x:c>
      <x:c r="X166" s="9" t="str">
        <x:f>IF(C166="","",IFERROR(IF(INDEX('Factors'!$P$9:$P$108,MATCH(J166,'Factors'!$C$9:$C$108,0))="","",INDEX('Factors'!$P$9:$P$108,MATCH(J166,'Factors'!$C$9:$C$108,0))),""))</x:f>
      </x:c>
    </x:row>
    <x:row r="167" ht="26" customHeight="1">
      <x:c r="A167" s="1"/>
      <x:c r="B167" s="1"/>
      <x:c r="C167" s="8"/>
      <x:c r="D167" s="8"/>
      <x:c r="E167" s="8"/>
      <x:c r="F167" s="8"/>
      <x:c r="G167" s="8"/>
      <x:c r="H167" s="16"/>
      <x:c r="I167" s="8"/>
      <x:c r="J167" s="8"/>
      <x:c r="K167" s="22"/>
      <x:c r="L167" s="8"/>
      <x:c r="M167" s="8"/>
      <x:c r="N167" s="40"/>
      <x:c r="O167" s="41" t="str">
        <x:f>IF(C167="","",IFERROR(IF(INDEX('Factors'!$G$9:$G$108,MATCH(J167,'Factors'!$C$9:$C$108,0))="","",INDEX('Factors'!$G$9:$G$108,MATCH(J167,'Factors'!$C$9:$C$108,0))),""))</x:f>
      </x:c>
      <x:c r="P167" s="9" t="str">
        <x:f>IF(C167="","",IFERROR(IF(INDEX('Factors'!$F$9:$F$108,MATCH(J167,'Factors'!$C$9:$C$108,0))="","",INDEX('Factors'!$F$9:$F$108,MATCH(J167,'Factors'!$C$9:$C$108,0))),""))</x:f>
      </x:c>
      <x:c r="Q167" s="9" t="str">
        <x:f>IF(C167="","",IFERROR(IF(INDEX('Factors'!$H$9:$H$108,MATCH(J167,'Factors'!$C$9:$C$108,0))="","",INDEX('Factors'!$H$9:$H$108,MATCH(J167,'Factors'!$C$9:$C$108,0))),""))</x:f>
      </x:c>
      <x:c r="R167" s="9" t="str">
        <x:f>IF(C167="","",IFERROR(IF(INDEX('Factors'!$E$9:$E$108,MATCH(J167,'Factors'!$C$9:$C$108,0))="","",INDEX('Factors'!$E$9:$E$108,MATCH(J167,'Factors'!$C$9:$C$108,0))),""))</x:f>
      </x:c>
      <x:c r="S167" s="42" t="str">
        <x:f>IF(C167="","",IFERROR(IF(INDEX('Factors'!$J$9:$J$108,MATCH(J167,'Factors'!$C$9:$C$108,0))="","",INDEX('Factors'!$J$9:$J$108,MATCH(J167,'Factors'!$C$9:$C$108,0))),""))</x:f>
      </x:c>
      <x:c r="T167" s="9" t="str">
        <x:f>IF(C167="","",IFERROR(IF(INDEX('Factors'!$L$9:$L$108,MATCH(J167,'Factors'!$C$9:$C$108,0))="","",INDEX('Factors'!$L$9:$L$108,MATCH(J167,'Factors'!$C$9:$C$108,0))),"")&amp;" / "&amp;IFERROR(IF(INDEX('Factors'!$M$9:$M$108,MATCH(J167,'Factors'!$C$9:$C$108,0))="","",INDEX('Factors'!$M$9:$M$108,MATCH(J167,'Factors'!$C$9:$C$108,0))),""))</x:f>
      </x:c>
      <x:c r="U167" s="21" t="str">
        <x:f>IF(V167="Ready",H167*O167/1000,"")</x:f>
      </x:c>
      <x:c r="V167" s="9" t="str">
        <x:f>IF(C167="","",IF(OR(COUNTIFS($C$9:$C$308,C167)&lt;&gt;1,COUNTIFS($D$9:$D$308,D167,$E$9:$E$308,E167,$F$9:$F$308,F167,$G$9:$G$308,G167,$K$9:$K$308,K167)&lt;&gt;1),"Duplicate annual activity",IF(COUNTIFS('Inventory'!$C$9:$C$108,D167)&lt;&gt;1,"Entity required",IF(OR(E167="",L167="",NOT(ISNUMBER(H167)),H167&lt;0,NOT(ISNUMBER(K167)),NOT(ISNUMBER(N167))),"Missing activity input",IF(AND(E167&lt;&gt;D167,OR(COUNTIFS('Sites'!$C$9:$C$108,E167)&lt;&gt;1,IFERROR(IF(INDEX('Sites'!$D$9:$D$108,MATCH(E167,'Sites'!$C$9:$C$108,0))="","",INDEX('Sites'!$D$9:$D$108,MATCH(E167,'Sites'!$C$9:$C$108,0))),"")&lt;&gt;IFERROR(IF(INDEX('Inventory'!$D$9:$D$108,MATCH(D167,'Inventory'!$C$9:$C$108,0))="","",INDEX('Inventory'!$D$9:$D$108,MATCH(D167,'Inventory'!$C$9:$C$108,0))),""),IFERROR(IF(INDEX('Sites'!$E$9:$E$108,MATCH(E167,'Sites'!$C$9:$C$108,0))="","",INDEX('Sites'!$E$9:$E$108,MATCH(E167,'Sites'!$C$9:$C$108,0))),"")&lt;&gt;W167)),"Site / entity mismatch",IF(N167&lt;'Settings'!$F$8,"Expired",IF(X167&lt;&gt;"Ready","Factor required",IF(OR(G167&lt;&gt;IFERROR(IF(INDEX('Factors'!$D$9:$D$108,MATCH(J167,'Factors'!$C$9:$C$108,0))="","",INDEX('Factors'!$D$9:$D$108,MATCH(J167,'Factors'!$C$9:$C$108,0))),""),I167&lt;&gt;P167,F167&lt;&gt;Q167,K167&lt;&gt;S167,AND(R167&lt;&gt;"Global",R167&lt;&gt;W167),K167&lt;&gt;YEAR(IFERROR(IF(INDEX('Inventory'!$H$9:$H$108,MATCH(D167,'Inventory'!$C$9:$C$108,0))="","",INDEX('Inventory'!$H$9:$H$108,MATCH(D167,'Inventory'!$C$9:$C$108,0))),""))),"Factor / boundary mismatch",IF(AND(F167="S2",IFERROR(IF(INDEX('Factors'!$I$9:$I$108,MATCH(J167,'Factors'!$C$9:$C$108,0))="","",INDEX('Factors'!$I$9:$I$108,MATCH(J167,'Factors'!$C$9:$C$108,0))),"")&lt;&gt;"Location-based"),"Use location factor",IF(M167&lt;&gt;"Actual","Estimation method review","Ready"))))))))))</x:f>
      </x:c>
      <x:c r="W167" s="9" t="str">
        <x:f>IF(C167="","",IFERROR(IF(INDEX('Inventory'!$G$9:$G$108,MATCH(D167,'Inventory'!$C$9:$C$108,0))="","",INDEX('Inventory'!$G$9:$G$108,MATCH(D167,'Inventory'!$C$9:$C$108,0))),""))</x:f>
      </x:c>
      <x:c r="X167" s="9" t="str">
        <x:f>IF(C167="","",IFERROR(IF(INDEX('Factors'!$P$9:$P$108,MATCH(J167,'Factors'!$C$9:$C$108,0))="","",INDEX('Factors'!$P$9:$P$108,MATCH(J167,'Factors'!$C$9:$C$108,0))),""))</x:f>
      </x:c>
    </x:row>
    <x:row r="168" ht="26" customHeight="1">
      <x:c r="A168" s="1"/>
      <x:c r="B168" s="1"/>
      <x:c r="C168" s="8"/>
      <x:c r="D168" s="8"/>
      <x:c r="E168" s="8"/>
      <x:c r="F168" s="8"/>
      <x:c r="G168" s="8"/>
      <x:c r="H168" s="16"/>
      <x:c r="I168" s="8"/>
      <x:c r="J168" s="8"/>
      <x:c r="K168" s="22"/>
      <x:c r="L168" s="8"/>
      <x:c r="M168" s="8"/>
      <x:c r="N168" s="40"/>
      <x:c r="O168" s="41" t="str">
        <x:f>IF(C168="","",IFERROR(IF(INDEX('Factors'!$G$9:$G$108,MATCH(J168,'Factors'!$C$9:$C$108,0))="","",INDEX('Factors'!$G$9:$G$108,MATCH(J168,'Factors'!$C$9:$C$108,0))),""))</x:f>
      </x:c>
      <x:c r="P168" s="9" t="str">
        <x:f>IF(C168="","",IFERROR(IF(INDEX('Factors'!$F$9:$F$108,MATCH(J168,'Factors'!$C$9:$C$108,0))="","",INDEX('Factors'!$F$9:$F$108,MATCH(J168,'Factors'!$C$9:$C$108,0))),""))</x:f>
      </x:c>
      <x:c r="Q168" s="9" t="str">
        <x:f>IF(C168="","",IFERROR(IF(INDEX('Factors'!$H$9:$H$108,MATCH(J168,'Factors'!$C$9:$C$108,0))="","",INDEX('Factors'!$H$9:$H$108,MATCH(J168,'Factors'!$C$9:$C$108,0))),""))</x:f>
      </x:c>
      <x:c r="R168" s="9" t="str">
        <x:f>IF(C168="","",IFERROR(IF(INDEX('Factors'!$E$9:$E$108,MATCH(J168,'Factors'!$C$9:$C$108,0))="","",INDEX('Factors'!$E$9:$E$108,MATCH(J168,'Factors'!$C$9:$C$108,0))),""))</x:f>
      </x:c>
      <x:c r="S168" s="42" t="str">
        <x:f>IF(C168="","",IFERROR(IF(INDEX('Factors'!$J$9:$J$108,MATCH(J168,'Factors'!$C$9:$C$108,0))="","",INDEX('Factors'!$J$9:$J$108,MATCH(J168,'Factors'!$C$9:$C$108,0))),""))</x:f>
      </x:c>
      <x:c r="T168" s="9" t="str">
        <x:f>IF(C168="","",IFERROR(IF(INDEX('Factors'!$L$9:$L$108,MATCH(J168,'Factors'!$C$9:$C$108,0))="","",INDEX('Factors'!$L$9:$L$108,MATCH(J168,'Factors'!$C$9:$C$108,0))),"")&amp;" / "&amp;IFERROR(IF(INDEX('Factors'!$M$9:$M$108,MATCH(J168,'Factors'!$C$9:$C$108,0))="","",INDEX('Factors'!$M$9:$M$108,MATCH(J168,'Factors'!$C$9:$C$108,0))),""))</x:f>
      </x:c>
      <x:c r="U168" s="21" t="str">
        <x:f>IF(V168="Ready",H168*O168/1000,"")</x:f>
      </x:c>
      <x:c r="V168" s="9" t="str">
        <x:f>IF(C168="","",IF(OR(COUNTIFS($C$9:$C$308,C168)&lt;&gt;1,COUNTIFS($D$9:$D$308,D168,$E$9:$E$308,E168,$F$9:$F$308,F168,$G$9:$G$308,G168,$K$9:$K$308,K168)&lt;&gt;1),"Duplicate annual activity",IF(COUNTIFS('Inventory'!$C$9:$C$108,D168)&lt;&gt;1,"Entity required",IF(OR(E168="",L168="",NOT(ISNUMBER(H168)),H168&lt;0,NOT(ISNUMBER(K168)),NOT(ISNUMBER(N168))),"Missing activity input",IF(AND(E168&lt;&gt;D168,OR(COUNTIFS('Sites'!$C$9:$C$108,E168)&lt;&gt;1,IFERROR(IF(INDEX('Sites'!$D$9:$D$108,MATCH(E168,'Sites'!$C$9:$C$108,0))="","",INDEX('Sites'!$D$9:$D$108,MATCH(E168,'Sites'!$C$9:$C$108,0))),"")&lt;&gt;IFERROR(IF(INDEX('Inventory'!$D$9:$D$108,MATCH(D168,'Inventory'!$C$9:$C$108,0))="","",INDEX('Inventory'!$D$9:$D$108,MATCH(D168,'Inventory'!$C$9:$C$108,0))),""),IFERROR(IF(INDEX('Sites'!$E$9:$E$108,MATCH(E168,'Sites'!$C$9:$C$108,0))="","",INDEX('Sites'!$E$9:$E$108,MATCH(E168,'Sites'!$C$9:$C$108,0))),"")&lt;&gt;W168)),"Site / entity mismatch",IF(N168&lt;'Settings'!$F$8,"Expired",IF(X168&lt;&gt;"Ready","Factor required",IF(OR(G168&lt;&gt;IFERROR(IF(INDEX('Factors'!$D$9:$D$108,MATCH(J168,'Factors'!$C$9:$C$108,0))="","",INDEX('Factors'!$D$9:$D$108,MATCH(J168,'Factors'!$C$9:$C$108,0))),""),I168&lt;&gt;P168,F168&lt;&gt;Q168,K168&lt;&gt;S168,AND(R168&lt;&gt;"Global",R168&lt;&gt;W168),K168&lt;&gt;YEAR(IFERROR(IF(INDEX('Inventory'!$H$9:$H$108,MATCH(D168,'Inventory'!$C$9:$C$108,0))="","",INDEX('Inventory'!$H$9:$H$108,MATCH(D168,'Inventory'!$C$9:$C$108,0))),""))),"Factor / boundary mismatch",IF(AND(F168="S2",IFERROR(IF(INDEX('Factors'!$I$9:$I$108,MATCH(J168,'Factors'!$C$9:$C$108,0))="","",INDEX('Factors'!$I$9:$I$108,MATCH(J168,'Factors'!$C$9:$C$108,0))),"")&lt;&gt;"Location-based"),"Use location factor",IF(M168&lt;&gt;"Actual","Estimation method review","Ready"))))))))))</x:f>
      </x:c>
      <x:c r="W168" s="9" t="str">
        <x:f>IF(C168="","",IFERROR(IF(INDEX('Inventory'!$G$9:$G$108,MATCH(D168,'Inventory'!$C$9:$C$108,0))="","",INDEX('Inventory'!$G$9:$G$108,MATCH(D168,'Inventory'!$C$9:$C$108,0))),""))</x:f>
      </x:c>
      <x:c r="X168" s="9" t="str">
        <x:f>IF(C168="","",IFERROR(IF(INDEX('Factors'!$P$9:$P$108,MATCH(J168,'Factors'!$C$9:$C$108,0))="","",INDEX('Factors'!$P$9:$P$108,MATCH(J168,'Factors'!$C$9:$C$108,0))),""))</x:f>
      </x:c>
    </x:row>
    <x:row r="169" ht="26" customHeight="1">
      <x:c r="A169" s="1"/>
      <x:c r="B169" s="1"/>
      <x:c r="C169" s="8"/>
      <x:c r="D169" s="8"/>
      <x:c r="E169" s="8"/>
      <x:c r="F169" s="8"/>
      <x:c r="G169" s="8"/>
      <x:c r="H169" s="16"/>
      <x:c r="I169" s="8"/>
      <x:c r="J169" s="8"/>
      <x:c r="K169" s="22"/>
      <x:c r="L169" s="8"/>
      <x:c r="M169" s="8"/>
      <x:c r="N169" s="40"/>
      <x:c r="O169" s="41" t="str">
        <x:f>IF(C169="","",IFERROR(IF(INDEX('Factors'!$G$9:$G$108,MATCH(J169,'Factors'!$C$9:$C$108,0))="","",INDEX('Factors'!$G$9:$G$108,MATCH(J169,'Factors'!$C$9:$C$108,0))),""))</x:f>
      </x:c>
      <x:c r="P169" s="9" t="str">
        <x:f>IF(C169="","",IFERROR(IF(INDEX('Factors'!$F$9:$F$108,MATCH(J169,'Factors'!$C$9:$C$108,0))="","",INDEX('Factors'!$F$9:$F$108,MATCH(J169,'Factors'!$C$9:$C$108,0))),""))</x:f>
      </x:c>
      <x:c r="Q169" s="9" t="str">
        <x:f>IF(C169="","",IFERROR(IF(INDEX('Factors'!$H$9:$H$108,MATCH(J169,'Factors'!$C$9:$C$108,0))="","",INDEX('Factors'!$H$9:$H$108,MATCH(J169,'Factors'!$C$9:$C$108,0))),""))</x:f>
      </x:c>
      <x:c r="R169" s="9" t="str">
        <x:f>IF(C169="","",IFERROR(IF(INDEX('Factors'!$E$9:$E$108,MATCH(J169,'Factors'!$C$9:$C$108,0))="","",INDEX('Factors'!$E$9:$E$108,MATCH(J169,'Factors'!$C$9:$C$108,0))),""))</x:f>
      </x:c>
      <x:c r="S169" s="42" t="str">
        <x:f>IF(C169="","",IFERROR(IF(INDEX('Factors'!$J$9:$J$108,MATCH(J169,'Factors'!$C$9:$C$108,0))="","",INDEX('Factors'!$J$9:$J$108,MATCH(J169,'Factors'!$C$9:$C$108,0))),""))</x:f>
      </x:c>
      <x:c r="T169" s="9" t="str">
        <x:f>IF(C169="","",IFERROR(IF(INDEX('Factors'!$L$9:$L$108,MATCH(J169,'Factors'!$C$9:$C$108,0))="","",INDEX('Factors'!$L$9:$L$108,MATCH(J169,'Factors'!$C$9:$C$108,0))),"")&amp;" / "&amp;IFERROR(IF(INDEX('Factors'!$M$9:$M$108,MATCH(J169,'Factors'!$C$9:$C$108,0))="","",INDEX('Factors'!$M$9:$M$108,MATCH(J169,'Factors'!$C$9:$C$108,0))),""))</x:f>
      </x:c>
      <x:c r="U169" s="21" t="str">
        <x:f>IF(V169="Ready",H169*O169/1000,"")</x:f>
      </x:c>
      <x:c r="V169" s="9" t="str">
        <x:f>IF(C169="","",IF(OR(COUNTIFS($C$9:$C$308,C169)&lt;&gt;1,COUNTIFS($D$9:$D$308,D169,$E$9:$E$308,E169,$F$9:$F$308,F169,$G$9:$G$308,G169,$K$9:$K$308,K169)&lt;&gt;1),"Duplicate annual activity",IF(COUNTIFS('Inventory'!$C$9:$C$108,D169)&lt;&gt;1,"Entity required",IF(OR(E169="",L169="",NOT(ISNUMBER(H169)),H169&lt;0,NOT(ISNUMBER(K169)),NOT(ISNUMBER(N169))),"Missing activity input",IF(AND(E169&lt;&gt;D169,OR(COUNTIFS('Sites'!$C$9:$C$108,E169)&lt;&gt;1,IFERROR(IF(INDEX('Sites'!$D$9:$D$108,MATCH(E169,'Sites'!$C$9:$C$108,0))="","",INDEX('Sites'!$D$9:$D$108,MATCH(E169,'Sites'!$C$9:$C$108,0))),"")&lt;&gt;IFERROR(IF(INDEX('Inventory'!$D$9:$D$108,MATCH(D169,'Inventory'!$C$9:$C$108,0))="","",INDEX('Inventory'!$D$9:$D$108,MATCH(D169,'Inventory'!$C$9:$C$108,0))),""),IFERROR(IF(INDEX('Sites'!$E$9:$E$108,MATCH(E169,'Sites'!$C$9:$C$108,0))="","",INDEX('Sites'!$E$9:$E$108,MATCH(E169,'Sites'!$C$9:$C$108,0))),"")&lt;&gt;W169)),"Site / entity mismatch",IF(N169&lt;'Settings'!$F$8,"Expired",IF(X169&lt;&gt;"Ready","Factor required",IF(OR(G169&lt;&gt;IFERROR(IF(INDEX('Factors'!$D$9:$D$108,MATCH(J169,'Factors'!$C$9:$C$108,0))="","",INDEX('Factors'!$D$9:$D$108,MATCH(J169,'Factors'!$C$9:$C$108,0))),""),I169&lt;&gt;P169,F169&lt;&gt;Q169,K169&lt;&gt;S169,AND(R169&lt;&gt;"Global",R169&lt;&gt;W169),K169&lt;&gt;YEAR(IFERROR(IF(INDEX('Inventory'!$H$9:$H$108,MATCH(D169,'Inventory'!$C$9:$C$108,0))="","",INDEX('Inventory'!$H$9:$H$108,MATCH(D169,'Inventory'!$C$9:$C$108,0))),""))),"Factor / boundary mismatch",IF(AND(F169="S2",IFERROR(IF(INDEX('Factors'!$I$9:$I$108,MATCH(J169,'Factors'!$C$9:$C$108,0))="","",INDEX('Factors'!$I$9:$I$108,MATCH(J169,'Factors'!$C$9:$C$108,0))),"")&lt;&gt;"Location-based"),"Use location factor",IF(M169&lt;&gt;"Actual","Estimation method review","Ready"))))))))))</x:f>
      </x:c>
      <x:c r="W169" s="9" t="str">
        <x:f>IF(C169="","",IFERROR(IF(INDEX('Inventory'!$G$9:$G$108,MATCH(D169,'Inventory'!$C$9:$C$108,0))="","",INDEX('Inventory'!$G$9:$G$108,MATCH(D169,'Inventory'!$C$9:$C$108,0))),""))</x:f>
      </x:c>
      <x:c r="X169" s="9" t="str">
        <x:f>IF(C169="","",IFERROR(IF(INDEX('Factors'!$P$9:$P$108,MATCH(J169,'Factors'!$C$9:$C$108,0))="","",INDEX('Factors'!$P$9:$P$108,MATCH(J169,'Factors'!$C$9:$C$108,0))),""))</x:f>
      </x:c>
    </x:row>
    <x:row r="170" ht="26" customHeight="1">
      <x:c r="A170" s="1"/>
      <x:c r="B170" s="1"/>
      <x:c r="C170" s="8"/>
      <x:c r="D170" s="8"/>
      <x:c r="E170" s="8"/>
      <x:c r="F170" s="8"/>
      <x:c r="G170" s="8"/>
      <x:c r="H170" s="16"/>
      <x:c r="I170" s="8"/>
      <x:c r="J170" s="8"/>
      <x:c r="K170" s="22"/>
      <x:c r="L170" s="8"/>
      <x:c r="M170" s="8"/>
      <x:c r="N170" s="40"/>
      <x:c r="O170" s="41" t="str">
        <x:f>IF(C170="","",IFERROR(IF(INDEX('Factors'!$G$9:$G$108,MATCH(J170,'Factors'!$C$9:$C$108,0))="","",INDEX('Factors'!$G$9:$G$108,MATCH(J170,'Factors'!$C$9:$C$108,0))),""))</x:f>
      </x:c>
      <x:c r="P170" s="9" t="str">
        <x:f>IF(C170="","",IFERROR(IF(INDEX('Factors'!$F$9:$F$108,MATCH(J170,'Factors'!$C$9:$C$108,0))="","",INDEX('Factors'!$F$9:$F$108,MATCH(J170,'Factors'!$C$9:$C$108,0))),""))</x:f>
      </x:c>
      <x:c r="Q170" s="9" t="str">
        <x:f>IF(C170="","",IFERROR(IF(INDEX('Factors'!$H$9:$H$108,MATCH(J170,'Factors'!$C$9:$C$108,0))="","",INDEX('Factors'!$H$9:$H$108,MATCH(J170,'Factors'!$C$9:$C$108,0))),""))</x:f>
      </x:c>
      <x:c r="R170" s="9" t="str">
        <x:f>IF(C170="","",IFERROR(IF(INDEX('Factors'!$E$9:$E$108,MATCH(J170,'Factors'!$C$9:$C$108,0))="","",INDEX('Factors'!$E$9:$E$108,MATCH(J170,'Factors'!$C$9:$C$108,0))),""))</x:f>
      </x:c>
      <x:c r="S170" s="42" t="str">
        <x:f>IF(C170="","",IFERROR(IF(INDEX('Factors'!$J$9:$J$108,MATCH(J170,'Factors'!$C$9:$C$108,0))="","",INDEX('Factors'!$J$9:$J$108,MATCH(J170,'Factors'!$C$9:$C$108,0))),""))</x:f>
      </x:c>
      <x:c r="T170" s="9" t="str">
        <x:f>IF(C170="","",IFERROR(IF(INDEX('Factors'!$L$9:$L$108,MATCH(J170,'Factors'!$C$9:$C$108,0))="","",INDEX('Factors'!$L$9:$L$108,MATCH(J170,'Factors'!$C$9:$C$108,0))),"")&amp;" / "&amp;IFERROR(IF(INDEX('Factors'!$M$9:$M$108,MATCH(J170,'Factors'!$C$9:$C$108,0))="","",INDEX('Factors'!$M$9:$M$108,MATCH(J170,'Factors'!$C$9:$C$108,0))),""))</x:f>
      </x:c>
      <x:c r="U170" s="21" t="str">
        <x:f>IF(V170="Ready",H170*O170/1000,"")</x:f>
      </x:c>
      <x:c r="V170" s="9" t="str">
        <x:f>IF(C170="","",IF(OR(COUNTIFS($C$9:$C$308,C170)&lt;&gt;1,COUNTIFS($D$9:$D$308,D170,$E$9:$E$308,E170,$F$9:$F$308,F170,$G$9:$G$308,G170,$K$9:$K$308,K170)&lt;&gt;1),"Duplicate annual activity",IF(COUNTIFS('Inventory'!$C$9:$C$108,D170)&lt;&gt;1,"Entity required",IF(OR(E170="",L170="",NOT(ISNUMBER(H170)),H170&lt;0,NOT(ISNUMBER(K170)),NOT(ISNUMBER(N170))),"Missing activity input",IF(AND(E170&lt;&gt;D170,OR(COUNTIFS('Sites'!$C$9:$C$108,E170)&lt;&gt;1,IFERROR(IF(INDEX('Sites'!$D$9:$D$108,MATCH(E170,'Sites'!$C$9:$C$108,0))="","",INDEX('Sites'!$D$9:$D$108,MATCH(E170,'Sites'!$C$9:$C$108,0))),"")&lt;&gt;IFERROR(IF(INDEX('Inventory'!$D$9:$D$108,MATCH(D170,'Inventory'!$C$9:$C$108,0))="","",INDEX('Inventory'!$D$9:$D$108,MATCH(D170,'Inventory'!$C$9:$C$108,0))),""),IFERROR(IF(INDEX('Sites'!$E$9:$E$108,MATCH(E170,'Sites'!$C$9:$C$108,0))="","",INDEX('Sites'!$E$9:$E$108,MATCH(E170,'Sites'!$C$9:$C$108,0))),"")&lt;&gt;W170)),"Site / entity mismatch",IF(N170&lt;'Settings'!$F$8,"Expired",IF(X170&lt;&gt;"Ready","Factor required",IF(OR(G170&lt;&gt;IFERROR(IF(INDEX('Factors'!$D$9:$D$108,MATCH(J170,'Factors'!$C$9:$C$108,0))="","",INDEX('Factors'!$D$9:$D$108,MATCH(J170,'Factors'!$C$9:$C$108,0))),""),I170&lt;&gt;P170,F170&lt;&gt;Q170,K170&lt;&gt;S170,AND(R170&lt;&gt;"Global",R170&lt;&gt;W170),K170&lt;&gt;YEAR(IFERROR(IF(INDEX('Inventory'!$H$9:$H$108,MATCH(D170,'Inventory'!$C$9:$C$108,0))="","",INDEX('Inventory'!$H$9:$H$108,MATCH(D170,'Inventory'!$C$9:$C$108,0))),""))),"Factor / boundary mismatch",IF(AND(F170="S2",IFERROR(IF(INDEX('Factors'!$I$9:$I$108,MATCH(J170,'Factors'!$C$9:$C$108,0))="","",INDEX('Factors'!$I$9:$I$108,MATCH(J170,'Factors'!$C$9:$C$108,0))),"")&lt;&gt;"Location-based"),"Use location factor",IF(M170&lt;&gt;"Actual","Estimation method review","Ready"))))))))))</x:f>
      </x:c>
      <x:c r="W170" s="9" t="str">
        <x:f>IF(C170="","",IFERROR(IF(INDEX('Inventory'!$G$9:$G$108,MATCH(D170,'Inventory'!$C$9:$C$108,0))="","",INDEX('Inventory'!$G$9:$G$108,MATCH(D170,'Inventory'!$C$9:$C$108,0))),""))</x:f>
      </x:c>
      <x:c r="X170" s="9" t="str">
        <x:f>IF(C170="","",IFERROR(IF(INDEX('Factors'!$P$9:$P$108,MATCH(J170,'Factors'!$C$9:$C$108,0))="","",INDEX('Factors'!$P$9:$P$108,MATCH(J170,'Factors'!$C$9:$C$108,0))),""))</x:f>
      </x:c>
    </x:row>
    <x:row r="171" ht="26" customHeight="1">
      <x:c r="A171" s="1"/>
      <x:c r="B171" s="1"/>
      <x:c r="C171" s="8"/>
      <x:c r="D171" s="8"/>
      <x:c r="E171" s="8"/>
      <x:c r="F171" s="8"/>
      <x:c r="G171" s="8"/>
      <x:c r="H171" s="16"/>
      <x:c r="I171" s="8"/>
      <x:c r="J171" s="8"/>
      <x:c r="K171" s="22"/>
      <x:c r="L171" s="8"/>
      <x:c r="M171" s="8"/>
      <x:c r="N171" s="40"/>
      <x:c r="O171" s="41" t="str">
        <x:f>IF(C171="","",IFERROR(IF(INDEX('Factors'!$G$9:$G$108,MATCH(J171,'Factors'!$C$9:$C$108,0))="","",INDEX('Factors'!$G$9:$G$108,MATCH(J171,'Factors'!$C$9:$C$108,0))),""))</x:f>
      </x:c>
      <x:c r="P171" s="9" t="str">
        <x:f>IF(C171="","",IFERROR(IF(INDEX('Factors'!$F$9:$F$108,MATCH(J171,'Factors'!$C$9:$C$108,0))="","",INDEX('Factors'!$F$9:$F$108,MATCH(J171,'Factors'!$C$9:$C$108,0))),""))</x:f>
      </x:c>
      <x:c r="Q171" s="9" t="str">
        <x:f>IF(C171="","",IFERROR(IF(INDEX('Factors'!$H$9:$H$108,MATCH(J171,'Factors'!$C$9:$C$108,0))="","",INDEX('Factors'!$H$9:$H$108,MATCH(J171,'Factors'!$C$9:$C$108,0))),""))</x:f>
      </x:c>
      <x:c r="R171" s="9" t="str">
        <x:f>IF(C171="","",IFERROR(IF(INDEX('Factors'!$E$9:$E$108,MATCH(J171,'Factors'!$C$9:$C$108,0))="","",INDEX('Factors'!$E$9:$E$108,MATCH(J171,'Factors'!$C$9:$C$108,0))),""))</x:f>
      </x:c>
      <x:c r="S171" s="42" t="str">
        <x:f>IF(C171="","",IFERROR(IF(INDEX('Factors'!$J$9:$J$108,MATCH(J171,'Factors'!$C$9:$C$108,0))="","",INDEX('Factors'!$J$9:$J$108,MATCH(J171,'Factors'!$C$9:$C$108,0))),""))</x:f>
      </x:c>
      <x:c r="T171" s="9" t="str">
        <x:f>IF(C171="","",IFERROR(IF(INDEX('Factors'!$L$9:$L$108,MATCH(J171,'Factors'!$C$9:$C$108,0))="","",INDEX('Factors'!$L$9:$L$108,MATCH(J171,'Factors'!$C$9:$C$108,0))),"")&amp;" / "&amp;IFERROR(IF(INDEX('Factors'!$M$9:$M$108,MATCH(J171,'Factors'!$C$9:$C$108,0))="","",INDEX('Factors'!$M$9:$M$108,MATCH(J171,'Factors'!$C$9:$C$108,0))),""))</x:f>
      </x:c>
      <x:c r="U171" s="21" t="str">
        <x:f>IF(V171="Ready",H171*O171/1000,"")</x:f>
      </x:c>
      <x:c r="V171" s="9" t="str">
        <x:f>IF(C171="","",IF(OR(COUNTIFS($C$9:$C$308,C171)&lt;&gt;1,COUNTIFS($D$9:$D$308,D171,$E$9:$E$308,E171,$F$9:$F$308,F171,$G$9:$G$308,G171,$K$9:$K$308,K171)&lt;&gt;1),"Duplicate annual activity",IF(COUNTIFS('Inventory'!$C$9:$C$108,D171)&lt;&gt;1,"Entity required",IF(OR(E171="",L171="",NOT(ISNUMBER(H171)),H171&lt;0,NOT(ISNUMBER(K171)),NOT(ISNUMBER(N171))),"Missing activity input",IF(AND(E171&lt;&gt;D171,OR(COUNTIFS('Sites'!$C$9:$C$108,E171)&lt;&gt;1,IFERROR(IF(INDEX('Sites'!$D$9:$D$108,MATCH(E171,'Sites'!$C$9:$C$108,0))="","",INDEX('Sites'!$D$9:$D$108,MATCH(E171,'Sites'!$C$9:$C$108,0))),"")&lt;&gt;IFERROR(IF(INDEX('Inventory'!$D$9:$D$108,MATCH(D171,'Inventory'!$C$9:$C$108,0))="","",INDEX('Inventory'!$D$9:$D$108,MATCH(D171,'Inventory'!$C$9:$C$108,0))),""),IFERROR(IF(INDEX('Sites'!$E$9:$E$108,MATCH(E171,'Sites'!$C$9:$C$108,0))="","",INDEX('Sites'!$E$9:$E$108,MATCH(E171,'Sites'!$C$9:$C$108,0))),"")&lt;&gt;W171)),"Site / entity mismatch",IF(N171&lt;'Settings'!$F$8,"Expired",IF(X171&lt;&gt;"Ready","Factor required",IF(OR(G171&lt;&gt;IFERROR(IF(INDEX('Factors'!$D$9:$D$108,MATCH(J171,'Factors'!$C$9:$C$108,0))="","",INDEX('Factors'!$D$9:$D$108,MATCH(J171,'Factors'!$C$9:$C$108,0))),""),I171&lt;&gt;P171,F171&lt;&gt;Q171,K171&lt;&gt;S171,AND(R171&lt;&gt;"Global",R171&lt;&gt;W171),K171&lt;&gt;YEAR(IFERROR(IF(INDEX('Inventory'!$H$9:$H$108,MATCH(D171,'Inventory'!$C$9:$C$108,0))="","",INDEX('Inventory'!$H$9:$H$108,MATCH(D171,'Inventory'!$C$9:$C$108,0))),""))),"Factor / boundary mismatch",IF(AND(F171="S2",IFERROR(IF(INDEX('Factors'!$I$9:$I$108,MATCH(J171,'Factors'!$C$9:$C$108,0))="","",INDEX('Factors'!$I$9:$I$108,MATCH(J171,'Factors'!$C$9:$C$108,0))),"")&lt;&gt;"Location-based"),"Use location factor",IF(M171&lt;&gt;"Actual","Estimation method review","Ready"))))))))))</x:f>
      </x:c>
      <x:c r="W171" s="9" t="str">
        <x:f>IF(C171="","",IFERROR(IF(INDEX('Inventory'!$G$9:$G$108,MATCH(D171,'Inventory'!$C$9:$C$108,0))="","",INDEX('Inventory'!$G$9:$G$108,MATCH(D171,'Inventory'!$C$9:$C$108,0))),""))</x:f>
      </x:c>
      <x:c r="X171" s="9" t="str">
        <x:f>IF(C171="","",IFERROR(IF(INDEX('Factors'!$P$9:$P$108,MATCH(J171,'Factors'!$C$9:$C$108,0))="","",INDEX('Factors'!$P$9:$P$108,MATCH(J171,'Factors'!$C$9:$C$108,0))),""))</x:f>
      </x:c>
    </x:row>
    <x:row r="172" ht="26" customHeight="1">
      <x:c r="A172" s="1"/>
      <x:c r="B172" s="1"/>
      <x:c r="C172" s="8"/>
      <x:c r="D172" s="8"/>
      <x:c r="E172" s="8"/>
      <x:c r="F172" s="8"/>
      <x:c r="G172" s="8"/>
      <x:c r="H172" s="16"/>
      <x:c r="I172" s="8"/>
      <x:c r="J172" s="8"/>
      <x:c r="K172" s="22"/>
      <x:c r="L172" s="8"/>
      <x:c r="M172" s="8"/>
      <x:c r="N172" s="40"/>
      <x:c r="O172" s="41" t="str">
        <x:f>IF(C172="","",IFERROR(IF(INDEX('Factors'!$G$9:$G$108,MATCH(J172,'Factors'!$C$9:$C$108,0))="","",INDEX('Factors'!$G$9:$G$108,MATCH(J172,'Factors'!$C$9:$C$108,0))),""))</x:f>
      </x:c>
      <x:c r="P172" s="9" t="str">
        <x:f>IF(C172="","",IFERROR(IF(INDEX('Factors'!$F$9:$F$108,MATCH(J172,'Factors'!$C$9:$C$108,0))="","",INDEX('Factors'!$F$9:$F$108,MATCH(J172,'Factors'!$C$9:$C$108,0))),""))</x:f>
      </x:c>
      <x:c r="Q172" s="9" t="str">
        <x:f>IF(C172="","",IFERROR(IF(INDEX('Factors'!$H$9:$H$108,MATCH(J172,'Factors'!$C$9:$C$108,0))="","",INDEX('Factors'!$H$9:$H$108,MATCH(J172,'Factors'!$C$9:$C$108,0))),""))</x:f>
      </x:c>
      <x:c r="R172" s="9" t="str">
        <x:f>IF(C172="","",IFERROR(IF(INDEX('Factors'!$E$9:$E$108,MATCH(J172,'Factors'!$C$9:$C$108,0))="","",INDEX('Factors'!$E$9:$E$108,MATCH(J172,'Factors'!$C$9:$C$108,0))),""))</x:f>
      </x:c>
      <x:c r="S172" s="42" t="str">
        <x:f>IF(C172="","",IFERROR(IF(INDEX('Factors'!$J$9:$J$108,MATCH(J172,'Factors'!$C$9:$C$108,0))="","",INDEX('Factors'!$J$9:$J$108,MATCH(J172,'Factors'!$C$9:$C$108,0))),""))</x:f>
      </x:c>
      <x:c r="T172" s="9" t="str">
        <x:f>IF(C172="","",IFERROR(IF(INDEX('Factors'!$L$9:$L$108,MATCH(J172,'Factors'!$C$9:$C$108,0))="","",INDEX('Factors'!$L$9:$L$108,MATCH(J172,'Factors'!$C$9:$C$108,0))),"")&amp;" / "&amp;IFERROR(IF(INDEX('Factors'!$M$9:$M$108,MATCH(J172,'Factors'!$C$9:$C$108,0))="","",INDEX('Factors'!$M$9:$M$108,MATCH(J172,'Factors'!$C$9:$C$108,0))),""))</x:f>
      </x:c>
      <x:c r="U172" s="21" t="str">
        <x:f>IF(V172="Ready",H172*O172/1000,"")</x:f>
      </x:c>
      <x:c r="V172" s="9" t="str">
        <x:f>IF(C172="","",IF(OR(COUNTIFS($C$9:$C$308,C172)&lt;&gt;1,COUNTIFS($D$9:$D$308,D172,$E$9:$E$308,E172,$F$9:$F$308,F172,$G$9:$G$308,G172,$K$9:$K$308,K172)&lt;&gt;1),"Duplicate annual activity",IF(COUNTIFS('Inventory'!$C$9:$C$108,D172)&lt;&gt;1,"Entity required",IF(OR(E172="",L172="",NOT(ISNUMBER(H172)),H172&lt;0,NOT(ISNUMBER(K172)),NOT(ISNUMBER(N172))),"Missing activity input",IF(AND(E172&lt;&gt;D172,OR(COUNTIFS('Sites'!$C$9:$C$108,E172)&lt;&gt;1,IFERROR(IF(INDEX('Sites'!$D$9:$D$108,MATCH(E172,'Sites'!$C$9:$C$108,0))="","",INDEX('Sites'!$D$9:$D$108,MATCH(E172,'Sites'!$C$9:$C$108,0))),"")&lt;&gt;IFERROR(IF(INDEX('Inventory'!$D$9:$D$108,MATCH(D172,'Inventory'!$C$9:$C$108,0))="","",INDEX('Inventory'!$D$9:$D$108,MATCH(D172,'Inventory'!$C$9:$C$108,0))),""),IFERROR(IF(INDEX('Sites'!$E$9:$E$108,MATCH(E172,'Sites'!$C$9:$C$108,0))="","",INDEX('Sites'!$E$9:$E$108,MATCH(E172,'Sites'!$C$9:$C$108,0))),"")&lt;&gt;W172)),"Site / entity mismatch",IF(N172&lt;'Settings'!$F$8,"Expired",IF(X172&lt;&gt;"Ready","Factor required",IF(OR(G172&lt;&gt;IFERROR(IF(INDEX('Factors'!$D$9:$D$108,MATCH(J172,'Factors'!$C$9:$C$108,0))="","",INDEX('Factors'!$D$9:$D$108,MATCH(J172,'Factors'!$C$9:$C$108,0))),""),I172&lt;&gt;P172,F172&lt;&gt;Q172,K172&lt;&gt;S172,AND(R172&lt;&gt;"Global",R172&lt;&gt;W172),K172&lt;&gt;YEAR(IFERROR(IF(INDEX('Inventory'!$H$9:$H$108,MATCH(D172,'Inventory'!$C$9:$C$108,0))="","",INDEX('Inventory'!$H$9:$H$108,MATCH(D172,'Inventory'!$C$9:$C$108,0))),""))),"Factor / boundary mismatch",IF(AND(F172="S2",IFERROR(IF(INDEX('Factors'!$I$9:$I$108,MATCH(J172,'Factors'!$C$9:$C$108,0))="","",INDEX('Factors'!$I$9:$I$108,MATCH(J172,'Factors'!$C$9:$C$108,0))),"")&lt;&gt;"Location-based"),"Use location factor",IF(M172&lt;&gt;"Actual","Estimation method review","Ready"))))))))))</x:f>
      </x:c>
      <x:c r="W172" s="9" t="str">
        <x:f>IF(C172="","",IFERROR(IF(INDEX('Inventory'!$G$9:$G$108,MATCH(D172,'Inventory'!$C$9:$C$108,0))="","",INDEX('Inventory'!$G$9:$G$108,MATCH(D172,'Inventory'!$C$9:$C$108,0))),""))</x:f>
      </x:c>
      <x:c r="X172" s="9" t="str">
        <x:f>IF(C172="","",IFERROR(IF(INDEX('Factors'!$P$9:$P$108,MATCH(J172,'Factors'!$C$9:$C$108,0))="","",INDEX('Factors'!$P$9:$P$108,MATCH(J172,'Factors'!$C$9:$C$108,0))),""))</x:f>
      </x:c>
    </x:row>
    <x:row r="173" ht="26" customHeight="1">
      <x:c r="A173" s="1"/>
      <x:c r="B173" s="1"/>
      <x:c r="C173" s="8"/>
      <x:c r="D173" s="8"/>
      <x:c r="E173" s="8"/>
      <x:c r="F173" s="8"/>
      <x:c r="G173" s="8"/>
      <x:c r="H173" s="16"/>
      <x:c r="I173" s="8"/>
      <x:c r="J173" s="8"/>
      <x:c r="K173" s="22"/>
      <x:c r="L173" s="8"/>
      <x:c r="M173" s="8"/>
      <x:c r="N173" s="40"/>
      <x:c r="O173" s="41" t="str">
        <x:f>IF(C173="","",IFERROR(IF(INDEX('Factors'!$G$9:$G$108,MATCH(J173,'Factors'!$C$9:$C$108,0))="","",INDEX('Factors'!$G$9:$G$108,MATCH(J173,'Factors'!$C$9:$C$108,0))),""))</x:f>
      </x:c>
      <x:c r="P173" s="9" t="str">
        <x:f>IF(C173="","",IFERROR(IF(INDEX('Factors'!$F$9:$F$108,MATCH(J173,'Factors'!$C$9:$C$108,0))="","",INDEX('Factors'!$F$9:$F$108,MATCH(J173,'Factors'!$C$9:$C$108,0))),""))</x:f>
      </x:c>
      <x:c r="Q173" s="9" t="str">
        <x:f>IF(C173="","",IFERROR(IF(INDEX('Factors'!$H$9:$H$108,MATCH(J173,'Factors'!$C$9:$C$108,0))="","",INDEX('Factors'!$H$9:$H$108,MATCH(J173,'Factors'!$C$9:$C$108,0))),""))</x:f>
      </x:c>
      <x:c r="R173" s="9" t="str">
        <x:f>IF(C173="","",IFERROR(IF(INDEX('Factors'!$E$9:$E$108,MATCH(J173,'Factors'!$C$9:$C$108,0))="","",INDEX('Factors'!$E$9:$E$108,MATCH(J173,'Factors'!$C$9:$C$108,0))),""))</x:f>
      </x:c>
      <x:c r="S173" s="42" t="str">
        <x:f>IF(C173="","",IFERROR(IF(INDEX('Factors'!$J$9:$J$108,MATCH(J173,'Factors'!$C$9:$C$108,0))="","",INDEX('Factors'!$J$9:$J$108,MATCH(J173,'Factors'!$C$9:$C$108,0))),""))</x:f>
      </x:c>
      <x:c r="T173" s="9" t="str">
        <x:f>IF(C173="","",IFERROR(IF(INDEX('Factors'!$L$9:$L$108,MATCH(J173,'Factors'!$C$9:$C$108,0))="","",INDEX('Factors'!$L$9:$L$108,MATCH(J173,'Factors'!$C$9:$C$108,0))),"")&amp;" / "&amp;IFERROR(IF(INDEX('Factors'!$M$9:$M$108,MATCH(J173,'Factors'!$C$9:$C$108,0))="","",INDEX('Factors'!$M$9:$M$108,MATCH(J173,'Factors'!$C$9:$C$108,0))),""))</x:f>
      </x:c>
      <x:c r="U173" s="21" t="str">
        <x:f>IF(V173="Ready",H173*O173/1000,"")</x:f>
      </x:c>
      <x:c r="V173" s="9" t="str">
        <x:f>IF(C173="","",IF(OR(COUNTIFS($C$9:$C$308,C173)&lt;&gt;1,COUNTIFS($D$9:$D$308,D173,$E$9:$E$308,E173,$F$9:$F$308,F173,$G$9:$G$308,G173,$K$9:$K$308,K173)&lt;&gt;1),"Duplicate annual activity",IF(COUNTIFS('Inventory'!$C$9:$C$108,D173)&lt;&gt;1,"Entity required",IF(OR(E173="",L173="",NOT(ISNUMBER(H173)),H173&lt;0,NOT(ISNUMBER(K173)),NOT(ISNUMBER(N173))),"Missing activity input",IF(AND(E173&lt;&gt;D173,OR(COUNTIFS('Sites'!$C$9:$C$108,E173)&lt;&gt;1,IFERROR(IF(INDEX('Sites'!$D$9:$D$108,MATCH(E173,'Sites'!$C$9:$C$108,0))="","",INDEX('Sites'!$D$9:$D$108,MATCH(E173,'Sites'!$C$9:$C$108,0))),"")&lt;&gt;IFERROR(IF(INDEX('Inventory'!$D$9:$D$108,MATCH(D173,'Inventory'!$C$9:$C$108,0))="","",INDEX('Inventory'!$D$9:$D$108,MATCH(D173,'Inventory'!$C$9:$C$108,0))),""),IFERROR(IF(INDEX('Sites'!$E$9:$E$108,MATCH(E173,'Sites'!$C$9:$C$108,0))="","",INDEX('Sites'!$E$9:$E$108,MATCH(E173,'Sites'!$C$9:$C$108,0))),"")&lt;&gt;W173)),"Site / entity mismatch",IF(N173&lt;'Settings'!$F$8,"Expired",IF(X173&lt;&gt;"Ready","Factor required",IF(OR(G173&lt;&gt;IFERROR(IF(INDEX('Factors'!$D$9:$D$108,MATCH(J173,'Factors'!$C$9:$C$108,0))="","",INDEX('Factors'!$D$9:$D$108,MATCH(J173,'Factors'!$C$9:$C$108,0))),""),I173&lt;&gt;P173,F173&lt;&gt;Q173,K173&lt;&gt;S173,AND(R173&lt;&gt;"Global",R173&lt;&gt;W173),K173&lt;&gt;YEAR(IFERROR(IF(INDEX('Inventory'!$H$9:$H$108,MATCH(D173,'Inventory'!$C$9:$C$108,0))="","",INDEX('Inventory'!$H$9:$H$108,MATCH(D173,'Inventory'!$C$9:$C$108,0))),""))),"Factor / boundary mismatch",IF(AND(F173="S2",IFERROR(IF(INDEX('Factors'!$I$9:$I$108,MATCH(J173,'Factors'!$C$9:$C$108,0))="","",INDEX('Factors'!$I$9:$I$108,MATCH(J173,'Factors'!$C$9:$C$108,0))),"")&lt;&gt;"Location-based"),"Use location factor",IF(M173&lt;&gt;"Actual","Estimation method review","Ready"))))))))))</x:f>
      </x:c>
      <x:c r="W173" s="9" t="str">
        <x:f>IF(C173="","",IFERROR(IF(INDEX('Inventory'!$G$9:$G$108,MATCH(D173,'Inventory'!$C$9:$C$108,0))="","",INDEX('Inventory'!$G$9:$G$108,MATCH(D173,'Inventory'!$C$9:$C$108,0))),""))</x:f>
      </x:c>
      <x:c r="X173" s="9" t="str">
        <x:f>IF(C173="","",IFERROR(IF(INDEX('Factors'!$P$9:$P$108,MATCH(J173,'Factors'!$C$9:$C$108,0))="","",INDEX('Factors'!$P$9:$P$108,MATCH(J173,'Factors'!$C$9:$C$108,0))),""))</x:f>
      </x:c>
    </x:row>
    <x:row r="174" ht="26" customHeight="1">
      <x:c r="A174" s="1"/>
      <x:c r="B174" s="1"/>
      <x:c r="C174" s="8"/>
      <x:c r="D174" s="8"/>
      <x:c r="E174" s="8"/>
      <x:c r="F174" s="8"/>
      <x:c r="G174" s="8"/>
      <x:c r="H174" s="16"/>
      <x:c r="I174" s="8"/>
      <x:c r="J174" s="8"/>
      <x:c r="K174" s="22"/>
      <x:c r="L174" s="8"/>
      <x:c r="M174" s="8"/>
      <x:c r="N174" s="40"/>
      <x:c r="O174" s="41" t="str">
        <x:f>IF(C174="","",IFERROR(IF(INDEX('Factors'!$G$9:$G$108,MATCH(J174,'Factors'!$C$9:$C$108,0))="","",INDEX('Factors'!$G$9:$G$108,MATCH(J174,'Factors'!$C$9:$C$108,0))),""))</x:f>
      </x:c>
      <x:c r="P174" s="9" t="str">
        <x:f>IF(C174="","",IFERROR(IF(INDEX('Factors'!$F$9:$F$108,MATCH(J174,'Factors'!$C$9:$C$108,0))="","",INDEX('Factors'!$F$9:$F$108,MATCH(J174,'Factors'!$C$9:$C$108,0))),""))</x:f>
      </x:c>
      <x:c r="Q174" s="9" t="str">
        <x:f>IF(C174="","",IFERROR(IF(INDEX('Factors'!$H$9:$H$108,MATCH(J174,'Factors'!$C$9:$C$108,0))="","",INDEX('Factors'!$H$9:$H$108,MATCH(J174,'Factors'!$C$9:$C$108,0))),""))</x:f>
      </x:c>
      <x:c r="R174" s="9" t="str">
        <x:f>IF(C174="","",IFERROR(IF(INDEX('Factors'!$E$9:$E$108,MATCH(J174,'Factors'!$C$9:$C$108,0))="","",INDEX('Factors'!$E$9:$E$108,MATCH(J174,'Factors'!$C$9:$C$108,0))),""))</x:f>
      </x:c>
      <x:c r="S174" s="42" t="str">
        <x:f>IF(C174="","",IFERROR(IF(INDEX('Factors'!$J$9:$J$108,MATCH(J174,'Factors'!$C$9:$C$108,0))="","",INDEX('Factors'!$J$9:$J$108,MATCH(J174,'Factors'!$C$9:$C$108,0))),""))</x:f>
      </x:c>
      <x:c r="T174" s="9" t="str">
        <x:f>IF(C174="","",IFERROR(IF(INDEX('Factors'!$L$9:$L$108,MATCH(J174,'Factors'!$C$9:$C$108,0))="","",INDEX('Factors'!$L$9:$L$108,MATCH(J174,'Factors'!$C$9:$C$108,0))),"")&amp;" / "&amp;IFERROR(IF(INDEX('Factors'!$M$9:$M$108,MATCH(J174,'Factors'!$C$9:$C$108,0))="","",INDEX('Factors'!$M$9:$M$108,MATCH(J174,'Factors'!$C$9:$C$108,0))),""))</x:f>
      </x:c>
      <x:c r="U174" s="21" t="str">
        <x:f>IF(V174="Ready",H174*O174/1000,"")</x:f>
      </x:c>
      <x:c r="V174" s="9" t="str">
        <x:f>IF(C174="","",IF(OR(COUNTIFS($C$9:$C$308,C174)&lt;&gt;1,COUNTIFS($D$9:$D$308,D174,$E$9:$E$308,E174,$F$9:$F$308,F174,$G$9:$G$308,G174,$K$9:$K$308,K174)&lt;&gt;1),"Duplicate annual activity",IF(COUNTIFS('Inventory'!$C$9:$C$108,D174)&lt;&gt;1,"Entity required",IF(OR(E174="",L174="",NOT(ISNUMBER(H174)),H174&lt;0,NOT(ISNUMBER(K174)),NOT(ISNUMBER(N174))),"Missing activity input",IF(AND(E174&lt;&gt;D174,OR(COUNTIFS('Sites'!$C$9:$C$108,E174)&lt;&gt;1,IFERROR(IF(INDEX('Sites'!$D$9:$D$108,MATCH(E174,'Sites'!$C$9:$C$108,0))="","",INDEX('Sites'!$D$9:$D$108,MATCH(E174,'Sites'!$C$9:$C$108,0))),"")&lt;&gt;IFERROR(IF(INDEX('Inventory'!$D$9:$D$108,MATCH(D174,'Inventory'!$C$9:$C$108,0))="","",INDEX('Inventory'!$D$9:$D$108,MATCH(D174,'Inventory'!$C$9:$C$108,0))),""),IFERROR(IF(INDEX('Sites'!$E$9:$E$108,MATCH(E174,'Sites'!$C$9:$C$108,0))="","",INDEX('Sites'!$E$9:$E$108,MATCH(E174,'Sites'!$C$9:$C$108,0))),"")&lt;&gt;W174)),"Site / entity mismatch",IF(N174&lt;'Settings'!$F$8,"Expired",IF(X174&lt;&gt;"Ready","Factor required",IF(OR(G174&lt;&gt;IFERROR(IF(INDEX('Factors'!$D$9:$D$108,MATCH(J174,'Factors'!$C$9:$C$108,0))="","",INDEX('Factors'!$D$9:$D$108,MATCH(J174,'Factors'!$C$9:$C$108,0))),""),I174&lt;&gt;P174,F174&lt;&gt;Q174,K174&lt;&gt;S174,AND(R174&lt;&gt;"Global",R174&lt;&gt;W174),K174&lt;&gt;YEAR(IFERROR(IF(INDEX('Inventory'!$H$9:$H$108,MATCH(D174,'Inventory'!$C$9:$C$108,0))="","",INDEX('Inventory'!$H$9:$H$108,MATCH(D174,'Inventory'!$C$9:$C$108,0))),""))),"Factor / boundary mismatch",IF(AND(F174="S2",IFERROR(IF(INDEX('Factors'!$I$9:$I$108,MATCH(J174,'Factors'!$C$9:$C$108,0))="","",INDEX('Factors'!$I$9:$I$108,MATCH(J174,'Factors'!$C$9:$C$108,0))),"")&lt;&gt;"Location-based"),"Use location factor",IF(M174&lt;&gt;"Actual","Estimation method review","Ready"))))))))))</x:f>
      </x:c>
      <x:c r="W174" s="9" t="str">
        <x:f>IF(C174="","",IFERROR(IF(INDEX('Inventory'!$G$9:$G$108,MATCH(D174,'Inventory'!$C$9:$C$108,0))="","",INDEX('Inventory'!$G$9:$G$108,MATCH(D174,'Inventory'!$C$9:$C$108,0))),""))</x:f>
      </x:c>
      <x:c r="X174" s="9" t="str">
        <x:f>IF(C174="","",IFERROR(IF(INDEX('Factors'!$P$9:$P$108,MATCH(J174,'Factors'!$C$9:$C$108,0))="","",INDEX('Factors'!$P$9:$P$108,MATCH(J174,'Factors'!$C$9:$C$108,0))),""))</x:f>
      </x:c>
    </x:row>
    <x:row r="175" ht="26" customHeight="1">
      <x:c r="A175" s="1"/>
      <x:c r="B175" s="1"/>
      <x:c r="C175" s="8"/>
      <x:c r="D175" s="8"/>
      <x:c r="E175" s="8"/>
      <x:c r="F175" s="8"/>
      <x:c r="G175" s="8"/>
      <x:c r="H175" s="16"/>
      <x:c r="I175" s="8"/>
      <x:c r="J175" s="8"/>
      <x:c r="K175" s="22"/>
      <x:c r="L175" s="8"/>
      <x:c r="M175" s="8"/>
      <x:c r="N175" s="40"/>
      <x:c r="O175" s="41" t="str">
        <x:f>IF(C175="","",IFERROR(IF(INDEX('Factors'!$G$9:$G$108,MATCH(J175,'Factors'!$C$9:$C$108,0))="","",INDEX('Factors'!$G$9:$G$108,MATCH(J175,'Factors'!$C$9:$C$108,0))),""))</x:f>
      </x:c>
      <x:c r="P175" s="9" t="str">
        <x:f>IF(C175="","",IFERROR(IF(INDEX('Factors'!$F$9:$F$108,MATCH(J175,'Factors'!$C$9:$C$108,0))="","",INDEX('Factors'!$F$9:$F$108,MATCH(J175,'Factors'!$C$9:$C$108,0))),""))</x:f>
      </x:c>
      <x:c r="Q175" s="9" t="str">
        <x:f>IF(C175="","",IFERROR(IF(INDEX('Factors'!$H$9:$H$108,MATCH(J175,'Factors'!$C$9:$C$108,0))="","",INDEX('Factors'!$H$9:$H$108,MATCH(J175,'Factors'!$C$9:$C$108,0))),""))</x:f>
      </x:c>
      <x:c r="R175" s="9" t="str">
        <x:f>IF(C175="","",IFERROR(IF(INDEX('Factors'!$E$9:$E$108,MATCH(J175,'Factors'!$C$9:$C$108,0))="","",INDEX('Factors'!$E$9:$E$108,MATCH(J175,'Factors'!$C$9:$C$108,0))),""))</x:f>
      </x:c>
      <x:c r="S175" s="42" t="str">
        <x:f>IF(C175="","",IFERROR(IF(INDEX('Factors'!$J$9:$J$108,MATCH(J175,'Factors'!$C$9:$C$108,0))="","",INDEX('Factors'!$J$9:$J$108,MATCH(J175,'Factors'!$C$9:$C$108,0))),""))</x:f>
      </x:c>
      <x:c r="T175" s="9" t="str">
        <x:f>IF(C175="","",IFERROR(IF(INDEX('Factors'!$L$9:$L$108,MATCH(J175,'Factors'!$C$9:$C$108,0))="","",INDEX('Factors'!$L$9:$L$108,MATCH(J175,'Factors'!$C$9:$C$108,0))),"")&amp;" / "&amp;IFERROR(IF(INDEX('Factors'!$M$9:$M$108,MATCH(J175,'Factors'!$C$9:$C$108,0))="","",INDEX('Factors'!$M$9:$M$108,MATCH(J175,'Factors'!$C$9:$C$108,0))),""))</x:f>
      </x:c>
      <x:c r="U175" s="21" t="str">
        <x:f>IF(V175="Ready",H175*O175/1000,"")</x:f>
      </x:c>
      <x:c r="V175" s="9" t="str">
        <x:f>IF(C175="","",IF(OR(COUNTIFS($C$9:$C$308,C175)&lt;&gt;1,COUNTIFS($D$9:$D$308,D175,$E$9:$E$308,E175,$F$9:$F$308,F175,$G$9:$G$308,G175,$K$9:$K$308,K175)&lt;&gt;1),"Duplicate annual activity",IF(COUNTIFS('Inventory'!$C$9:$C$108,D175)&lt;&gt;1,"Entity required",IF(OR(E175="",L175="",NOT(ISNUMBER(H175)),H175&lt;0,NOT(ISNUMBER(K175)),NOT(ISNUMBER(N175))),"Missing activity input",IF(AND(E175&lt;&gt;D175,OR(COUNTIFS('Sites'!$C$9:$C$108,E175)&lt;&gt;1,IFERROR(IF(INDEX('Sites'!$D$9:$D$108,MATCH(E175,'Sites'!$C$9:$C$108,0))="","",INDEX('Sites'!$D$9:$D$108,MATCH(E175,'Sites'!$C$9:$C$108,0))),"")&lt;&gt;IFERROR(IF(INDEX('Inventory'!$D$9:$D$108,MATCH(D175,'Inventory'!$C$9:$C$108,0))="","",INDEX('Inventory'!$D$9:$D$108,MATCH(D175,'Inventory'!$C$9:$C$108,0))),""),IFERROR(IF(INDEX('Sites'!$E$9:$E$108,MATCH(E175,'Sites'!$C$9:$C$108,0))="","",INDEX('Sites'!$E$9:$E$108,MATCH(E175,'Sites'!$C$9:$C$108,0))),"")&lt;&gt;W175)),"Site / entity mismatch",IF(N175&lt;'Settings'!$F$8,"Expired",IF(X175&lt;&gt;"Ready","Factor required",IF(OR(G175&lt;&gt;IFERROR(IF(INDEX('Factors'!$D$9:$D$108,MATCH(J175,'Factors'!$C$9:$C$108,0))="","",INDEX('Factors'!$D$9:$D$108,MATCH(J175,'Factors'!$C$9:$C$108,0))),""),I175&lt;&gt;P175,F175&lt;&gt;Q175,K175&lt;&gt;S175,AND(R175&lt;&gt;"Global",R175&lt;&gt;W175),K175&lt;&gt;YEAR(IFERROR(IF(INDEX('Inventory'!$H$9:$H$108,MATCH(D175,'Inventory'!$C$9:$C$108,0))="","",INDEX('Inventory'!$H$9:$H$108,MATCH(D175,'Inventory'!$C$9:$C$108,0))),""))),"Factor / boundary mismatch",IF(AND(F175="S2",IFERROR(IF(INDEX('Factors'!$I$9:$I$108,MATCH(J175,'Factors'!$C$9:$C$108,0))="","",INDEX('Factors'!$I$9:$I$108,MATCH(J175,'Factors'!$C$9:$C$108,0))),"")&lt;&gt;"Location-based"),"Use location factor",IF(M175&lt;&gt;"Actual","Estimation method review","Ready"))))))))))</x:f>
      </x:c>
      <x:c r="W175" s="9" t="str">
        <x:f>IF(C175="","",IFERROR(IF(INDEX('Inventory'!$G$9:$G$108,MATCH(D175,'Inventory'!$C$9:$C$108,0))="","",INDEX('Inventory'!$G$9:$G$108,MATCH(D175,'Inventory'!$C$9:$C$108,0))),""))</x:f>
      </x:c>
      <x:c r="X175" s="9" t="str">
        <x:f>IF(C175="","",IFERROR(IF(INDEX('Factors'!$P$9:$P$108,MATCH(J175,'Factors'!$C$9:$C$108,0))="","",INDEX('Factors'!$P$9:$P$108,MATCH(J175,'Factors'!$C$9:$C$108,0))),""))</x:f>
      </x:c>
    </x:row>
    <x:row r="176" ht="26" customHeight="1">
      <x:c r="A176" s="1"/>
      <x:c r="B176" s="1"/>
      <x:c r="C176" s="8"/>
      <x:c r="D176" s="8"/>
      <x:c r="E176" s="8"/>
      <x:c r="F176" s="8"/>
      <x:c r="G176" s="8"/>
      <x:c r="H176" s="16"/>
      <x:c r="I176" s="8"/>
      <x:c r="J176" s="8"/>
      <x:c r="K176" s="22"/>
      <x:c r="L176" s="8"/>
      <x:c r="M176" s="8"/>
      <x:c r="N176" s="40"/>
      <x:c r="O176" s="41" t="str">
        <x:f>IF(C176="","",IFERROR(IF(INDEX('Factors'!$G$9:$G$108,MATCH(J176,'Factors'!$C$9:$C$108,0))="","",INDEX('Factors'!$G$9:$G$108,MATCH(J176,'Factors'!$C$9:$C$108,0))),""))</x:f>
      </x:c>
      <x:c r="P176" s="9" t="str">
        <x:f>IF(C176="","",IFERROR(IF(INDEX('Factors'!$F$9:$F$108,MATCH(J176,'Factors'!$C$9:$C$108,0))="","",INDEX('Factors'!$F$9:$F$108,MATCH(J176,'Factors'!$C$9:$C$108,0))),""))</x:f>
      </x:c>
      <x:c r="Q176" s="9" t="str">
        <x:f>IF(C176="","",IFERROR(IF(INDEX('Factors'!$H$9:$H$108,MATCH(J176,'Factors'!$C$9:$C$108,0))="","",INDEX('Factors'!$H$9:$H$108,MATCH(J176,'Factors'!$C$9:$C$108,0))),""))</x:f>
      </x:c>
      <x:c r="R176" s="9" t="str">
        <x:f>IF(C176="","",IFERROR(IF(INDEX('Factors'!$E$9:$E$108,MATCH(J176,'Factors'!$C$9:$C$108,0))="","",INDEX('Factors'!$E$9:$E$108,MATCH(J176,'Factors'!$C$9:$C$108,0))),""))</x:f>
      </x:c>
      <x:c r="S176" s="42" t="str">
        <x:f>IF(C176="","",IFERROR(IF(INDEX('Factors'!$J$9:$J$108,MATCH(J176,'Factors'!$C$9:$C$108,0))="","",INDEX('Factors'!$J$9:$J$108,MATCH(J176,'Factors'!$C$9:$C$108,0))),""))</x:f>
      </x:c>
      <x:c r="T176" s="9" t="str">
        <x:f>IF(C176="","",IFERROR(IF(INDEX('Factors'!$L$9:$L$108,MATCH(J176,'Factors'!$C$9:$C$108,0))="","",INDEX('Factors'!$L$9:$L$108,MATCH(J176,'Factors'!$C$9:$C$108,0))),"")&amp;" / "&amp;IFERROR(IF(INDEX('Factors'!$M$9:$M$108,MATCH(J176,'Factors'!$C$9:$C$108,0))="","",INDEX('Factors'!$M$9:$M$108,MATCH(J176,'Factors'!$C$9:$C$108,0))),""))</x:f>
      </x:c>
      <x:c r="U176" s="21" t="str">
        <x:f>IF(V176="Ready",H176*O176/1000,"")</x:f>
      </x:c>
      <x:c r="V176" s="9" t="str">
        <x:f>IF(C176="","",IF(OR(COUNTIFS($C$9:$C$308,C176)&lt;&gt;1,COUNTIFS($D$9:$D$308,D176,$E$9:$E$308,E176,$F$9:$F$308,F176,$G$9:$G$308,G176,$K$9:$K$308,K176)&lt;&gt;1),"Duplicate annual activity",IF(COUNTIFS('Inventory'!$C$9:$C$108,D176)&lt;&gt;1,"Entity required",IF(OR(E176="",L176="",NOT(ISNUMBER(H176)),H176&lt;0,NOT(ISNUMBER(K176)),NOT(ISNUMBER(N176))),"Missing activity input",IF(AND(E176&lt;&gt;D176,OR(COUNTIFS('Sites'!$C$9:$C$108,E176)&lt;&gt;1,IFERROR(IF(INDEX('Sites'!$D$9:$D$108,MATCH(E176,'Sites'!$C$9:$C$108,0))="","",INDEX('Sites'!$D$9:$D$108,MATCH(E176,'Sites'!$C$9:$C$108,0))),"")&lt;&gt;IFERROR(IF(INDEX('Inventory'!$D$9:$D$108,MATCH(D176,'Inventory'!$C$9:$C$108,0))="","",INDEX('Inventory'!$D$9:$D$108,MATCH(D176,'Inventory'!$C$9:$C$108,0))),""),IFERROR(IF(INDEX('Sites'!$E$9:$E$108,MATCH(E176,'Sites'!$C$9:$C$108,0))="","",INDEX('Sites'!$E$9:$E$108,MATCH(E176,'Sites'!$C$9:$C$108,0))),"")&lt;&gt;W176)),"Site / entity mismatch",IF(N176&lt;'Settings'!$F$8,"Expired",IF(X176&lt;&gt;"Ready","Factor required",IF(OR(G176&lt;&gt;IFERROR(IF(INDEX('Factors'!$D$9:$D$108,MATCH(J176,'Factors'!$C$9:$C$108,0))="","",INDEX('Factors'!$D$9:$D$108,MATCH(J176,'Factors'!$C$9:$C$108,0))),""),I176&lt;&gt;P176,F176&lt;&gt;Q176,K176&lt;&gt;S176,AND(R176&lt;&gt;"Global",R176&lt;&gt;W176),K176&lt;&gt;YEAR(IFERROR(IF(INDEX('Inventory'!$H$9:$H$108,MATCH(D176,'Inventory'!$C$9:$C$108,0))="","",INDEX('Inventory'!$H$9:$H$108,MATCH(D176,'Inventory'!$C$9:$C$108,0))),""))),"Factor / boundary mismatch",IF(AND(F176="S2",IFERROR(IF(INDEX('Factors'!$I$9:$I$108,MATCH(J176,'Factors'!$C$9:$C$108,0))="","",INDEX('Factors'!$I$9:$I$108,MATCH(J176,'Factors'!$C$9:$C$108,0))),"")&lt;&gt;"Location-based"),"Use location factor",IF(M176&lt;&gt;"Actual","Estimation method review","Ready"))))))))))</x:f>
      </x:c>
      <x:c r="W176" s="9" t="str">
        <x:f>IF(C176="","",IFERROR(IF(INDEX('Inventory'!$G$9:$G$108,MATCH(D176,'Inventory'!$C$9:$C$108,0))="","",INDEX('Inventory'!$G$9:$G$108,MATCH(D176,'Inventory'!$C$9:$C$108,0))),""))</x:f>
      </x:c>
      <x:c r="X176" s="9" t="str">
        <x:f>IF(C176="","",IFERROR(IF(INDEX('Factors'!$P$9:$P$108,MATCH(J176,'Factors'!$C$9:$C$108,0))="","",INDEX('Factors'!$P$9:$P$108,MATCH(J176,'Factors'!$C$9:$C$108,0))),""))</x:f>
      </x:c>
    </x:row>
    <x:row r="177" ht="26" customHeight="1">
      <x:c r="A177" s="1"/>
      <x:c r="B177" s="1"/>
      <x:c r="C177" s="8"/>
      <x:c r="D177" s="8"/>
      <x:c r="E177" s="8"/>
      <x:c r="F177" s="8"/>
      <x:c r="G177" s="8"/>
      <x:c r="H177" s="16"/>
      <x:c r="I177" s="8"/>
      <x:c r="J177" s="8"/>
      <x:c r="K177" s="22"/>
      <x:c r="L177" s="8"/>
      <x:c r="M177" s="8"/>
      <x:c r="N177" s="40"/>
      <x:c r="O177" s="41" t="str">
        <x:f>IF(C177="","",IFERROR(IF(INDEX('Factors'!$G$9:$G$108,MATCH(J177,'Factors'!$C$9:$C$108,0))="","",INDEX('Factors'!$G$9:$G$108,MATCH(J177,'Factors'!$C$9:$C$108,0))),""))</x:f>
      </x:c>
      <x:c r="P177" s="9" t="str">
        <x:f>IF(C177="","",IFERROR(IF(INDEX('Factors'!$F$9:$F$108,MATCH(J177,'Factors'!$C$9:$C$108,0))="","",INDEX('Factors'!$F$9:$F$108,MATCH(J177,'Factors'!$C$9:$C$108,0))),""))</x:f>
      </x:c>
      <x:c r="Q177" s="9" t="str">
        <x:f>IF(C177="","",IFERROR(IF(INDEX('Factors'!$H$9:$H$108,MATCH(J177,'Factors'!$C$9:$C$108,0))="","",INDEX('Factors'!$H$9:$H$108,MATCH(J177,'Factors'!$C$9:$C$108,0))),""))</x:f>
      </x:c>
      <x:c r="R177" s="9" t="str">
        <x:f>IF(C177="","",IFERROR(IF(INDEX('Factors'!$E$9:$E$108,MATCH(J177,'Factors'!$C$9:$C$108,0))="","",INDEX('Factors'!$E$9:$E$108,MATCH(J177,'Factors'!$C$9:$C$108,0))),""))</x:f>
      </x:c>
      <x:c r="S177" s="42" t="str">
        <x:f>IF(C177="","",IFERROR(IF(INDEX('Factors'!$J$9:$J$108,MATCH(J177,'Factors'!$C$9:$C$108,0))="","",INDEX('Factors'!$J$9:$J$108,MATCH(J177,'Factors'!$C$9:$C$108,0))),""))</x:f>
      </x:c>
      <x:c r="T177" s="9" t="str">
        <x:f>IF(C177="","",IFERROR(IF(INDEX('Factors'!$L$9:$L$108,MATCH(J177,'Factors'!$C$9:$C$108,0))="","",INDEX('Factors'!$L$9:$L$108,MATCH(J177,'Factors'!$C$9:$C$108,0))),"")&amp;" / "&amp;IFERROR(IF(INDEX('Factors'!$M$9:$M$108,MATCH(J177,'Factors'!$C$9:$C$108,0))="","",INDEX('Factors'!$M$9:$M$108,MATCH(J177,'Factors'!$C$9:$C$108,0))),""))</x:f>
      </x:c>
      <x:c r="U177" s="21" t="str">
        <x:f>IF(V177="Ready",H177*O177/1000,"")</x:f>
      </x:c>
      <x:c r="V177" s="9" t="str">
        <x:f>IF(C177="","",IF(OR(COUNTIFS($C$9:$C$308,C177)&lt;&gt;1,COUNTIFS($D$9:$D$308,D177,$E$9:$E$308,E177,$F$9:$F$308,F177,$G$9:$G$308,G177,$K$9:$K$308,K177)&lt;&gt;1),"Duplicate annual activity",IF(COUNTIFS('Inventory'!$C$9:$C$108,D177)&lt;&gt;1,"Entity required",IF(OR(E177="",L177="",NOT(ISNUMBER(H177)),H177&lt;0,NOT(ISNUMBER(K177)),NOT(ISNUMBER(N177))),"Missing activity input",IF(AND(E177&lt;&gt;D177,OR(COUNTIFS('Sites'!$C$9:$C$108,E177)&lt;&gt;1,IFERROR(IF(INDEX('Sites'!$D$9:$D$108,MATCH(E177,'Sites'!$C$9:$C$108,0))="","",INDEX('Sites'!$D$9:$D$108,MATCH(E177,'Sites'!$C$9:$C$108,0))),"")&lt;&gt;IFERROR(IF(INDEX('Inventory'!$D$9:$D$108,MATCH(D177,'Inventory'!$C$9:$C$108,0))="","",INDEX('Inventory'!$D$9:$D$108,MATCH(D177,'Inventory'!$C$9:$C$108,0))),""),IFERROR(IF(INDEX('Sites'!$E$9:$E$108,MATCH(E177,'Sites'!$C$9:$C$108,0))="","",INDEX('Sites'!$E$9:$E$108,MATCH(E177,'Sites'!$C$9:$C$108,0))),"")&lt;&gt;W177)),"Site / entity mismatch",IF(N177&lt;'Settings'!$F$8,"Expired",IF(X177&lt;&gt;"Ready","Factor required",IF(OR(G177&lt;&gt;IFERROR(IF(INDEX('Factors'!$D$9:$D$108,MATCH(J177,'Factors'!$C$9:$C$108,0))="","",INDEX('Factors'!$D$9:$D$108,MATCH(J177,'Factors'!$C$9:$C$108,0))),""),I177&lt;&gt;P177,F177&lt;&gt;Q177,K177&lt;&gt;S177,AND(R177&lt;&gt;"Global",R177&lt;&gt;W177),K177&lt;&gt;YEAR(IFERROR(IF(INDEX('Inventory'!$H$9:$H$108,MATCH(D177,'Inventory'!$C$9:$C$108,0))="","",INDEX('Inventory'!$H$9:$H$108,MATCH(D177,'Inventory'!$C$9:$C$108,0))),""))),"Factor / boundary mismatch",IF(AND(F177="S2",IFERROR(IF(INDEX('Factors'!$I$9:$I$108,MATCH(J177,'Factors'!$C$9:$C$108,0))="","",INDEX('Factors'!$I$9:$I$108,MATCH(J177,'Factors'!$C$9:$C$108,0))),"")&lt;&gt;"Location-based"),"Use location factor",IF(M177&lt;&gt;"Actual","Estimation method review","Ready"))))))))))</x:f>
      </x:c>
      <x:c r="W177" s="9" t="str">
        <x:f>IF(C177="","",IFERROR(IF(INDEX('Inventory'!$G$9:$G$108,MATCH(D177,'Inventory'!$C$9:$C$108,0))="","",INDEX('Inventory'!$G$9:$G$108,MATCH(D177,'Inventory'!$C$9:$C$108,0))),""))</x:f>
      </x:c>
      <x:c r="X177" s="9" t="str">
        <x:f>IF(C177="","",IFERROR(IF(INDEX('Factors'!$P$9:$P$108,MATCH(J177,'Factors'!$C$9:$C$108,0))="","",INDEX('Factors'!$P$9:$P$108,MATCH(J177,'Factors'!$C$9:$C$108,0))),""))</x:f>
      </x:c>
    </x:row>
    <x:row r="178" ht="26" customHeight="1">
      <x:c r="A178" s="1"/>
      <x:c r="B178" s="1"/>
      <x:c r="C178" s="8"/>
      <x:c r="D178" s="8"/>
      <x:c r="E178" s="8"/>
      <x:c r="F178" s="8"/>
      <x:c r="G178" s="8"/>
      <x:c r="H178" s="16"/>
      <x:c r="I178" s="8"/>
      <x:c r="J178" s="8"/>
      <x:c r="K178" s="22"/>
      <x:c r="L178" s="8"/>
      <x:c r="M178" s="8"/>
      <x:c r="N178" s="40"/>
      <x:c r="O178" s="41" t="str">
        <x:f>IF(C178="","",IFERROR(IF(INDEX('Factors'!$G$9:$G$108,MATCH(J178,'Factors'!$C$9:$C$108,0))="","",INDEX('Factors'!$G$9:$G$108,MATCH(J178,'Factors'!$C$9:$C$108,0))),""))</x:f>
      </x:c>
      <x:c r="P178" s="9" t="str">
        <x:f>IF(C178="","",IFERROR(IF(INDEX('Factors'!$F$9:$F$108,MATCH(J178,'Factors'!$C$9:$C$108,0))="","",INDEX('Factors'!$F$9:$F$108,MATCH(J178,'Factors'!$C$9:$C$108,0))),""))</x:f>
      </x:c>
      <x:c r="Q178" s="9" t="str">
        <x:f>IF(C178="","",IFERROR(IF(INDEX('Factors'!$H$9:$H$108,MATCH(J178,'Factors'!$C$9:$C$108,0))="","",INDEX('Factors'!$H$9:$H$108,MATCH(J178,'Factors'!$C$9:$C$108,0))),""))</x:f>
      </x:c>
      <x:c r="R178" s="9" t="str">
        <x:f>IF(C178="","",IFERROR(IF(INDEX('Factors'!$E$9:$E$108,MATCH(J178,'Factors'!$C$9:$C$108,0))="","",INDEX('Factors'!$E$9:$E$108,MATCH(J178,'Factors'!$C$9:$C$108,0))),""))</x:f>
      </x:c>
      <x:c r="S178" s="42" t="str">
        <x:f>IF(C178="","",IFERROR(IF(INDEX('Factors'!$J$9:$J$108,MATCH(J178,'Factors'!$C$9:$C$108,0))="","",INDEX('Factors'!$J$9:$J$108,MATCH(J178,'Factors'!$C$9:$C$108,0))),""))</x:f>
      </x:c>
      <x:c r="T178" s="9" t="str">
        <x:f>IF(C178="","",IFERROR(IF(INDEX('Factors'!$L$9:$L$108,MATCH(J178,'Factors'!$C$9:$C$108,0))="","",INDEX('Factors'!$L$9:$L$108,MATCH(J178,'Factors'!$C$9:$C$108,0))),"")&amp;" / "&amp;IFERROR(IF(INDEX('Factors'!$M$9:$M$108,MATCH(J178,'Factors'!$C$9:$C$108,0))="","",INDEX('Factors'!$M$9:$M$108,MATCH(J178,'Factors'!$C$9:$C$108,0))),""))</x:f>
      </x:c>
      <x:c r="U178" s="21" t="str">
        <x:f>IF(V178="Ready",H178*O178/1000,"")</x:f>
      </x:c>
      <x:c r="V178" s="9" t="str">
        <x:f>IF(C178="","",IF(OR(COUNTIFS($C$9:$C$308,C178)&lt;&gt;1,COUNTIFS($D$9:$D$308,D178,$E$9:$E$308,E178,$F$9:$F$308,F178,$G$9:$G$308,G178,$K$9:$K$308,K178)&lt;&gt;1),"Duplicate annual activity",IF(COUNTIFS('Inventory'!$C$9:$C$108,D178)&lt;&gt;1,"Entity required",IF(OR(E178="",L178="",NOT(ISNUMBER(H178)),H178&lt;0,NOT(ISNUMBER(K178)),NOT(ISNUMBER(N178))),"Missing activity input",IF(AND(E178&lt;&gt;D178,OR(COUNTIFS('Sites'!$C$9:$C$108,E178)&lt;&gt;1,IFERROR(IF(INDEX('Sites'!$D$9:$D$108,MATCH(E178,'Sites'!$C$9:$C$108,0))="","",INDEX('Sites'!$D$9:$D$108,MATCH(E178,'Sites'!$C$9:$C$108,0))),"")&lt;&gt;IFERROR(IF(INDEX('Inventory'!$D$9:$D$108,MATCH(D178,'Inventory'!$C$9:$C$108,0))="","",INDEX('Inventory'!$D$9:$D$108,MATCH(D178,'Inventory'!$C$9:$C$108,0))),""),IFERROR(IF(INDEX('Sites'!$E$9:$E$108,MATCH(E178,'Sites'!$C$9:$C$108,0))="","",INDEX('Sites'!$E$9:$E$108,MATCH(E178,'Sites'!$C$9:$C$108,0))),"")&lt;&gt;W178)),"Site / entity mismatch",IF(N178&lt;'Settings'!$F$8,"Expired",IF(X178&lt;&gt;"Ready","Factor required",IF(OR(G178&lt;&gt;IFERROR(IF(INDEX('Factors'!$D$9:$D$108,MATCH(J178,'Factors'!$C$9:$C$108,0))="","",INDEX('Factors'!$D$9:$D$108,MATCH(J178,'Factors'!$C$9:$C$108,0))),""),I178&lt;&gt;P178,F178&lt;&gt;Q178,K178&lt;&gt;S178,AND(R178&lt;&gt;"Global",R178&lt;&gt;W178),K178&lt;&gt;YEAR(IFERROR(IF(INDEX('Inventory'!$H$9:$H$108,MATCH(D178,'Inventory'!$C$9:$C$108,0))="","",INDEX('Inventory'!$H$9:$H$108,MATCH(D178,'Inventory'!$C$9:$C$108,0))),""))),"Factor / boundary mismatch",IF(AND(F178="S2",IFERROR(IF(INDEX('Factors'!$I$9:$I$108,MATCH(J178,'Factors'!$C$9:$C$108,0))="","",INDEX('Factors'!$I$9:$I$108,MATCH(J178,'Factors'!$C$9:$C$108,0))),"")&lt;&gt;"Location-based"),"Use location factor",IF(M178&lt;&gt;"Actual","Estimation method review","Ready"))))))))))</x:f>
      </x:c>
      <x:c r="W178" s="9" t="str">
        <x:f>IF(C178="","",IFERROR(IF(INDEX('Inventory'!$G$9:$G$108,MATCH(D178,'Inventory'!$C$9:$C$108,0))="","",INDEX('Inventory'!$G$9:$G$108,MATCH(D178,'Inventory'!$C$9:$C$108,0))),""))</x:f>
      </x:c>
      <x:c r="X178" s="9" t="str">
        <x:f>IF(C178="","",IFERROR(IF(INDEX('Factors'!$P$9:$P$108,MATCH(J178,'Factors'!$C$9:$C$108,0))="","",INDEX('Factors'!$P$9:$P$108,MATCH(J178,'Factors'!$C$9:$C$108,0))),""))</x:f>
      </x:c>
    </x:row>
    <x:row r="179" ht="26" customHeight="1">
      <x:c r="A179" s="1"/>
      <x:c r="B179" s="1"/>
      <x:c r="C179" s="8"/>
      <x:c r="D179" s="8"/>
      <x:c r="E179" s="8"/>
      <x:c r="F179" s="8"/>
      <x:c r="G179" s="8"/>
      <x:c r="H179" s="16"/>
      <x:c r="I179" s="8"/>
      <x:c r="J179" s="8"/>
      <x:c r="K179" s="22"/>
      <x:c r="L179" s="8"/>
      <x:c r="M179" s="8"/>
      <x:c r="N179" s="40"/>
      <x:c r="O179" s="41" t="str">
        <x:f>IF(C179="","",IFERROR(IF(INDEX('Factors'!$G$9:$G$108,MATCH(J179,'Factors'!$C$9:$C$108,0))="","",INDEX('Factors'!$G$9:$G$108,MATCH(J179,'Factors'!$C$9:$C$108,0))),""))</x:f>
      </x:c>
      <x:c r="P179" s="9" t="str">
        <x:f>IF(C179="","",IFERROR(IF(INDEX('Factors'!$F$9:$F$108,MATCH(J179,'Factors'!$C$9:$C$108,0))="","",INDEX('Factors'!$F$9:$F$108,MATCH(J179,'Factors'!$C$9:$C$108,0))),""))</x:f>
      </x:c>
      <x:c r="Q179" s="9" t="str">
        <x:f>IF(C179="","",IFERROR(IF(INDEX('Factors'!$H$9:$H$108,MATCH(J179,'Factors'!$C$9:$C$108,0))="","",INDEX('Factors'!$H$9:$H$108,MATCH(J179,'Factors'!$C$9:$C$108,0))),""))</x:f>
      </x:c>
      <x:c r="R179" s="9" t="str">
        <x:f>IF(C179="","",IFERROR(IF(INDEX('Factors'!$E$9:$E$108,MATCH(J179,'Factors'!$C$9:$C$108,0))="","",INDEX('Factors'!$E$9:$E$108,MATCH(J179,'Factors'!$C$9:$C$108,0))),""))</x:f>
      </x:c>
      <x:c r="S179" s="42" t="str">
        <x:f>IF(C179="","",IFERROR(IF(INDEX('Factors'!$J$9:$J$108,MATCH(J179,'Factors'!$C$9:$C$108,0))="","",INDEX('Factors'!$J$9:$J$108,MATCH(J179,'Factors'!$C$9:$C$108,0))),""))</x:f>
      </x:c>
      <x:c r="T179" s="9" t="str">
        <x:f>IF(C179="","",IFERROR(IF(INDEX('Factors'!$L$9:$L$108,MATCH(J179,'Factors'!$C$9:$C$108,0))="","",INDEX('Factors'!$L$9:$L$108,MATCH(J179,'Factors'!$C$9:$C$108,0))),"")&amp;" / "&amp;IFERROR(IF(INDEX('Factors'!$M$9:$M$108,MATCH(J179,'Factors'!$C$9:$C$108,0))="","",INDEX('Factors'!$M$9:$M$108,MATCH(J179,'Factors'!$C$9:$C$108,0))),""))</x:f>
      </x:c>
      <x:c r="U179" s="21" t="str">
        <x:f>IF(V179="Ready",H179*O179/1000,"")</x:f>
      </x:c>
      <x:c r="V179" s="9" t="str">
        <x:f>IF(C179="","",IF(OR(COUNTIFS($C$9:$C$308,C179)&lt;&gt;1,COUNTIFS($D$9:$D$308,D179,$E$9:$E$308,E179,$F$9:$F$308,F179,$G$9:$G$308,G179,$K$9:$K$308,K179)&lt;&gt;1),"Duplicate annual activity",IF(COUNTIFS('Inventory'!$C$9:$C$108,D179)&lt;&gt;1,"Entity required",IF(OR(E179="",L179="",NOT(ISNUMBER(H179)),H179&lt;0,NOT(ISNUMBER(K179)),NOT(ISNUMBER(N179))),"Missing activity input",IF(AND(E179&lt;&gt;D179,OR(COUNTIFS('Sites'!$C$9:$C$108,E179)&lt;&gt;1,IFERROR(IF(INDEX('Sites'!$D$9:$D$108,MATCH(E179,'Sites'!$C$9:$C$108,0))="","",INDEX('Sites'!$D$9:$D$108,MATCH(E179,'Sites'!$C$9:$C$108,0))),"")&lt;&gt;IFERROR(IF(INDEX('Inventory'!$D$9:$D$108,MATCH(D179,'Inventory'!$C$9:$C$108,0))="","",INDEX('Inventory'!$D$9:$D$108,MATCH(D179,'Inventory'!$C$9:$C$108,0))),""),IFERROR(IF(INDEX('Sites'!$E$9:$E$108,MATCH(E179,'Sites'!$C$9:$C$108,0))="","",INDEX('Sites'!$E$9:$E$108,MATCH(E179,'Sites'!$C$9:$C$108,0))),"")&lt;&gt;W179)),"Site / entity mismatch",IF(N179&lt;'Settings'!$F$8,"Expired",IF(X179&lt;&gt;"Ready","Factor required",IF(OR(G179&lt;&gt;IFERROR(IF(INDEX('Factors'!$D$9:$D$108,MATCH(J179,'Factors'!$C$9:$C$108,0))="","",INDEX('Factors'!$D$9:$D$108,MATCH(J179,'Factors'!$C$9:$C$108,0))),""),I179&lt;&gt;P179,F179&lt;&gt;Q179,K179&lt;&gt;S179,AND(R179&lt;&gt;"Global",R179&lt;&gt;W179),K179&lt;&gt;YEAR(IFERROR(IF(INDEX('Inventory'!$H$9:$H$108,MATCH(D179,'Inventory'!$C$9:$C$108,0))="","",INDEX('Inventory'!$H$9:$H$108,MATCH(D179,'Inventory'!$C$9:$C$108,0))),""))),"Factor / boundary mismatch",IF(AND(F179="S2",IFERROR(IF(INDEX('Factors'!$I$9:$I$108,MATCH(J179,'Factors'!$C$9:$C$108,0))="","",INDEX('Factors'!$I$9:$I$108,MATCH(J179,'Factors'!$C$9:$C$108,0))),"")&lt;&gt;"Location-based"),"Use location factor",IF(M179&lt;&gt;"Actual","Estimation method review","Ready"))))))))))</x:f>
      </x:c>
      <x:c r="W179" s="9" t="str">
        <x:f>IF(C179="","",IFERROR(IF(INDEX('Inventory'!$G$9:$G$108,MATCH(D179,'Inventory'!$C$9:$C$108,0))="","",INDEX('Inventory'!$G$9:$G$108,MATCH(D179,'Inventory'!$C$9:$C$108,0))),""))</x:f>
      </x:c>
      <x:c r="X179" s="9" t="str">
        <x:f>IF(C179="","",IFERROR(IF(INDEX('Factors'!$P$9:$P$108,MATCH(J179,'Factors'!$C$9:$C$108,0))="","",INDEX('Factors'!$P$9:$P$108,MATCH(J179,'Factors'!$C$9:$C$108,0))),""))</x:f>
      </x:c>
    </x:row>
    <x:row r="180" ht="26" customHeight="1">
      <x:c r="A180" s="1"/>
      <x:c r="B180" s="1"/>
      <x:c r="C180" s="8"/>
      <x:c r="D180" s="8"/>
      <x:c r="E180" s="8"/>
      <x:c r="F180" s="8"/>
      <x:c r="G180" s="8"/>
      <x:c r="H180" s="16"/>
      <x:c r="I180" s="8"/>
      <x:c r="J180" s="8"/>
      <x:c r="K180" s="22"/>
      <x:c r="L180" s="8"/>
      <x:c r="M180" s="8"/>
      <x:c r="N180" s="40"/>
      <x:c r="O180" s="41" t="str">
        <x:f>IF(C180="","",IFERROR(IF(INDEX('Factors'!$G$9:$G$108,MATCH(J180,'Factors'!$C$9:$C$108,0))="","",INDEX('Factors'!$G$9:$G$108,MATCH(J180,'Factors'!$C$9:$C$108,0))),""))</x:f>
      </x:c>
      <x:c r="P180" s="9" t="str">
        <x:f>IF(C180="","",IFERROR(IF(INDEX('Factors'!$F$9:$F$108,MATCH(J180,'Factors'!$C$9:$C$108,0))="","",INDEX('Factors'!$F$9:$F$108,MATCH(J180,'Factors'!$C$9:$C$108,0))),""))</x:f>
      </x:c>
      <x:c r="Q180" s="9" t="str">
        <x:f>IF(C180="","",IFERROR(IF(INDEX('Factors'!$H$9:$H$108,MATCH(J180,'Factors'!$C$9:$C$108,0))="","",INDEX('Factors'!$H$9:$H$108,MATCH(J180,'Factors'!$C$9:$C$108,0))),""))</x:f>
      </x:c>
      <x:c r="R180" s="9" t="str">
        <x:f>IF(C180="","",IFERROR(IF(INDEX('Factors'!$E$9:$E$108,MATCH(J180,'Factors'!$C$9:$C$108,0))="","",INDEX('Factors'!$E$9:$E$108,MATCH(J180,'Factors'!$C$9:$C$108,0))),""))</x:f>
      </x:c>
      <x:c r="S180" s="42" t="str">
        <x:f>IF(C180="","",IFERROR(IF(INDEX('Factors'!$J$9:$J$108,MATCH(J180,'Factors'!$C$9:$C$108,0))="","",INDEX('Factors'!$J$9:$J$108,MATCH(J180,'Factors'!$C$9:$C$108,0))),""))</x:f>
      </x:c>
      <x:c r="T180" s="9" t="str">
        <x:f>IF(C180="","",IFERROR(IF(INDEX('Factors'!$L$9:$L$108,MATCH(J180,'Factors'!$C$9:$C$108,0))="","",INDEX('Factors'!$L$9:$L$108,MATCH(J180,'Factors'!$C$9:$C$108,0))),"")&amp;" / "&amp;IFERROR(IF(INDEX('Factors'!$M$9:$M$108,MATCH(J180,'Factors'!$C$9:$C$108,0))="","",INDEX('Factors'!$M$9:$M$108,MATCH(J180,'Factors'!$C$9:$C$108,0))),""))</x:f>
      </x:c>
      <x:c r="U180" s="21" t="str">
        <x:f>IF(V180="Ready",H180*O180/1000,"")</x:f>
      </x:c>
      <x:c r="V180" s="9" t="str">
        <x:f>IF(C180="","",IF(OR(COUNTIFS($C$9:$C$308,C180)&lt;&gt;1,COUNTIFS($D$9:$D$308,D180,$E$9:$E$308,E180,$F$9:$F$308,F180,$G$9:$G$308,G180,$K$9:$K$308,K180)&lt;&gt;1),"Duplicate annual activity",IF(COUNTIFS('Inventory'!$C$9:$C$108,D180)&lt;&gt;1,"Entity required",IF(OR(E180="",L180="",NOT(ISNUMBER(H180)),H180&lt;0,NOT(ISNUMBER(K180)),NOT(ISNUMBER(N180))),"Missing activity input",IF(AND(E180&lt;&gt;D180,OR(COUNTIFS('Sites'!$C$9:$C$108,E180)&lt;&gt;1,IFERROR(IF(INDEX('Sites'!$D$9:$D$108,MATCH(E180,'Sites'!$C$9:$C$108,0))="","",INDEX('Sites'!$D$9:$D$108,MATCH(E180,'Sites'!$C$9:$C$108,0))),"")&lt;&gt;IFERROR(IF(INDEX('Inventory'!$D$9:$D$108,MATCH(D180,'Inventory'!$C$9:$C$108,0))="","",INDEX('Inventory'!$D$9:$D$108,MATCH(D180,'Inventory'!$C$9:$C$108,0))),""),IFERROR(IF(INDEX('Sites'!$E$9:$E$108,MATCH(E180,'Sites'!$C$9:$C$108,0))="","",INDEX('Sites'!$E$9:$E$108,MATCH(E180,'Sites'!$C$9:$C$108,0))),"")&lt;&gt;W180)),"Site / entity mismatch",IF(N180&lt;'Settings'!$F$8,"Expired",IF(X180&lt;&gt;"Ready","Factor required",IF(OR(G180&lt;&gt;IFERROR(IF(INDEX('Factors'!$D$9:$D$108,MATCH(J180,'Factors'!$C$9:$C$108,0))="","",INDEX('Factors'!$D$9:$D$108,MATCH(J180,'Factors'!$C$9:$C$108,0))),""),I180&lt;&gt;P180,F180&lt;&gt;Q180,K180&lt;&gt;S180,AND(R180&lt;&gt;"Global",R180&lt;&gt;W180),K180&lt;&gt;YEAR(IFERROR(IF(INDEX('Inventory'!$H$9:$H$108,MATCH(D180,'Inventory'!$C$9:$C$108,0))="","",INDEX('Inventory'!$H$9:$H$108,MATCH(D180,'Inventory'!$C$9:$C$108,0))),""))),"Factor / boundary mismatch",IF(AND(F180="S2",IFERROR(IF(INDEX('Factors'!$I$9:$I$108,MATCH(J180,'Factors'!$C$9:$C$108,0))="","",INDEX('Factors'!$I$9:$I$108,MATCH(J180,'Factors'!$C$9:$C$108,0))),"")&lt;&gt;"Location-based"),"Use location factor",IF(M180&lt;&gt;"Actual","Estimation method review","Ready"))))))))))</x:f>
      </x:c>
      <x:c r="W180" s="9" t="str">
        <x:f>IF(C180="","",IFERROR(IF(INDEX('Inventory'!$G$9:$G$108,MATCH(D180,'Inventory'!$C$9:$C$108,0))="","",INDEX('Inventory'!$G$9:$G$108,MATCH(D180,'Inventory'!$C$9:$C$108,0))),""))</x:f>
      </x:c>
      <x:c r="X180" s="9" t="str">
        <x:f>IF(C180="","",IFERROR(IF(INDEX('Factors'!$P$9:$P$108,MATCH(J180,'Factors'!$C$9:$C$108,0))="","",INDEX('Factors'!$P$9:$P$108,MATCH(J180,'Factors'!$C$9:$C$108,0))),""))</x:f>
      </x:c>
    </x:row>
    <x:row r="181" ht="26" customHeight="1">
      <x:c r="A181" s="1"/>
      <x:c r="B181" s="1"/>
      <x:c r="C181" s="8"/>
      <x:c r="D181" s="8"/>
      <x:c r="E181" s="8"/>
      <x:c r="F181" s="8"/>
      <x:c r="G181" s="8"/>
      <x:c r="H181" s="16"/>
      <x:c r="I181" s="8"/>
      <x:c r="J181" s="8"/>
      <x:c r="K181" s="22"/>
      <x:c r="L181" s="8"/>
      <x:c r="M181" s="8"/>
      <x:c r="N181" s="40"/>
      <x:c r="O181" s="41" t="str">
        <x:f>IF(C181="","",IFERROR(IF(INDEX('Factors'!$G$9:$G$108,MATCH(J181,'Factors'!$C$9:$C$108,0))="","",INDEX('Factors'!$G$9:$G$108,MATCH(J181,'Factors'!$C$9:$C$108,0))),""))</x:f>
      </x:c>
      <x:c r="P181" s="9" t="str">
        <x:f>IF(C181="","",IFERROR(IF(INDEX('Factors'!$F$9:$F$108,MATCH(J181,'Factors'!$C$9:$C$108,0))="","",INDEX('Factors'!$F$9:$F$108,MATCH(J181,'Factors'!$C$9:$C$108,0))),""))</x:f>
      </x:c>
      <x:c r="Q181" s="9" t="str">
        <x:f>IF(C181="","",IFERROR(IF(INDEX('Factors'!$H$9:$H$108,MATCH(J181,'Factors'!$C$9:$C$108,0))="","",INDEX('Factors'!$H$9:$H$108,MATCH(J181,'Factors'!$C$9:$C$108,0))),""))</x:f>
      </x:c>
      <x:c r="R181" s="9" t="str">
        <x:f>IF(C181="","",IFERROR(IF(INDEX('Factors'!$E$9:$E$108,MATCH(J181,'Factors'!$C$9:$C$108,0))="","",INDEX('Factors'!$E$9:$E$108,MATCH(J181,'Factors'!$C$9:$C$108,0))),""))</x:f>
      </x:c>
      <x:c r="S181" s="42" t="str">
        <x:f>IF(C181="","",IFERROR(IF(INDEX('Factors'!$J$9:$J$108,MATCH(J181,'Factors'!$C$9:$C$108,0))="","",INDEX('Factors'!$J$9:$J$108,MATCH(J181,'Factors'!$C$9:$C$108,0))),""))</x:f>
      </x:c>
      <x:c r="T181" s="9" t="str">
        <x:f>IF(C181="","",IFERROR(IF(INDEX('Factors'!$L$9:$L$108,MATCH(J181,'Factors'!$C$9:$C$108,0))="","",INDEX('Factors'!$L$9:$L$108,MATCH(J181,'Factors'!$C$9:$C$108,0))),"")&amp;" / "&amp;IFERROR(IF(INDEX('Factors'!$M$9:$M$108,MATCH(J181,'Factors'!$C$9:$C$108,0))="","",INDEX('Factors'!$M$9:$M$108,MATCH(J181,'Factors'!$C$9:$C$108,0))),""))</x:f>
      </x:c>
      <x:c r="U181" s="21" t="str">
        <x:f>IF(V181="Ready",H181*O181/1000,"")</x:f>
      </x:c>
      <x:c r="V181" s="9" t="str">
        <x:f>IF(C181="","",IF(OR(COUNTIFS($C$9:$C$308,C181)&lt;&gt;1,COUNTIFS($D$9:$D$308,D181,$E$9:$E$308,E181,$F$9:$F$308,F181,$G$9:$G$308,G181,$K$9:$K$308,K181)&lt;&gt;1),"Duplicate annual activity",IF(COUNTIFS('Inventory'!$C$9:$C$108,D181)&lt;&gt;1,"Entity required",IF(OR(E181="",L181="",NOT(ISNUMBER(H181)),H181&lt;0,NOT(ISNUMBER(K181)),NOT(ISNUMBER(N181))),"Missing activity input",IF(AND(E181&lt;&gt;D181,OR(COUNTIFS('Sites'!$C$9:$C$108,E181)&lt;&gt;1,IFERROR(IF(INDEX('Sites'!$D$9:$D$108,MATCH(E181,'Sites'!$C$9:$C$108,0))="","",INDEX('Sites'!$D$9:$D$108,MATCH(E181,'Sites'!$C$9:$C$108,0))),"")&lt;&gt;IFERROR(IF(INDEX('Inventory'!$D$9:$D$108,MATCH(D181,'Inventory'!$C$9:$C$108,0))="","",INDEX('Inventory'!$D$9:$D$108,MATCH(D181,'Inventory'!$C$9:$C$108,0))),""),IFERROR(IF(INDEX('Sites'!$E$9:$E$108,MATCH(E181,'Sites'!$C$9:$C$108,0))="","",INDEX('Sites'!$E$9:$E$108,MATCH(E181,'Sites'!$C$9:$C$108,0))),"")&lt;&gt;W181)),"Site / entity mismatch",IF(N181&lt;'Settings'!$F$8,"Expired",IF(X181&lt;&gt;"Ready","Factor required",IF(OR(G181&lt;&gt;IFERROR(IF(INDEX('Factors'!$D$9:$D$108,MATCH(J181,'Factors'!$C$9:$C$108,0))="","",INDEX('Factors'!$D$9:$D$108,MATCH(J181,'Factors'!$C$9:$C$108,0))),""),I181&lt;&gt;P181,F181&lt;&gt;Q181,K181&lt;&gt;S181,AND(R181&lt;&gt;"Global",R181&lt;&gt;W181),K181&lt;&gt;YEAR(IFERROR(IF(INDEX('Inventory'!$H$9:$H$108,MATCH(D181,'Inventory'!$C$9:$C$108,0))="","",INDEX('Inventory'!$H$9:$H$108,MATCH(D181,'Inventory'!$C$9:$C$108,0))),""))),"Factor / boundary mismatch",IF(AND(F181="S2",IFERROR(IF(INDEX('Factors'!$I$9:$I$108,MATCH(J181,'Factors'!$C$9:$C$108,0))="","",INDEX('Factors'!$I$9:$I$108,MATCH(J181,'Factors'!$C$9:$C$108,0))),"")&lt;&gt;"Location-based"),"Use location factor",IF(M181&lt;&gt;"Actual","Estimation method review","Ready"))))))))))</x:f>
      </x:c>
      <x:c r="W181" s="9" t="str">
        <x:f>IF(C181="","",IFERROR(IF(INDEX('Inventory'!$G$9:$G$108,MATCH(D181,'Inventory'!$C$9:$C$108,0))="","",INDEX('Inventory'!$G$9:$G$108,MATCH(D181,'Inventory'!$C$9:$C$108,0))),""))</x:f>
      </x:c>
      <x:c r="X181" s="9" t="str">
        <x:f>IF(C181="","",IFERROR(IF(INDEX('Factors'!$P$9:$P$108,MATCH(J181,'Factors'!$C$9:$C$108,0))="","",INDEX('Factors'!$P$9:$P$108,MATCH(J181,'Factors'!$C$9:$C$108,0))),""))</x:f>
      </x:c>
    </x:row>
    <x:row r="182" ht="26" customHeight="1">
      <x:c r="A182" s="1"/>
      <x:c r="B182" s="1"/>
      <x:c r="C182" s="8"/>
      <x:c r="D182" s="8"/>
      <x:c r="E182" s="8"/>
      <x:c r="F182" s="8"/>
      <x:c r="G182" s="8"/>
      <x:c r="H182" s="16"/>
      <x:c r="I182" s="8"/>
      <x:c r="J182" s="8"/>
      <x:c r="K182" s="22"/>
      <x:c r="L182" s="8"/>
      <x:c r="M182" s="8"/>
      <x:c r="N182" s="40"/>
      <x:c r="O182" s="41" t="str">
        <x:f>IF(C182="","",IFERROR(IF(INDEX('Factors'!$G$9:$G$108,MATCH(J182,'Factors'!$C$9:$C$108,0))="","",INDEX('Factors'!$G$9:$G$108,MATCH(J182,'Factors'!$C$9:$C$108,0))),""))</x:f>
      </x:c>
      <x:c r="P182" s="9" t="str">
        <x:f>IF(C182="","",IFERROR(IF(INDEX('Factors'!$F$9:$F$108,MATCH(J182,'Factors'!$C$9:$C$108,0))="","",INDEX('Factors'!$F$9:$F$108,MATCH(J182,'Factors'!$C$9:$C$108,0))),""))</x:f>
      </x:c>
      <x:c r="Q182" s="9" t="str">
        <x:f>IF(C182="","",IFERROR(IF(INDEX('Factors'!$H$9:$H$108,MATCH(J182,'Factors'!$C$9:$C$108,0))="","",INDEX('Factors'!$H$9:$H$108,MATCH(J182,'Factors'!$C$9:$C$108,0))),""))</x:f>
      </x:c>
      <x:c r="R182" s="9" t="str">
        <x:f>IF(C182="","",IFERROR(IF(INDEX('Factors'!$E$9:$E$108,MATCH(J182,'Factors'!$C$9:$C$108,0))="","",INDEX('Factors'!$E$9:$E$108,MATCH(J182,'Factors'!$C$9:$C$108,0))),""))</x:f>
      </x:c>
      <x:c r="S182" s="42" t="str">
        <x:f>IF(C182="","",IFERROR(IF(INDEX('Factors'!$J$9:$J$108,MATCH(J182,'Factors'!$C$9:$C$108,0))="","",INDEX('Factors'!$J$9:$J$108,MATCH(J182,'Factors'!$C$9:$C$108,0))),""))</x:f>
      </x:c>
      <x:c r="T182" s="9" t="str">
        <x:f>IF(C182="","",IFERROR(IF(INDEX('Factors'!$L$9:$L$108,MATCH(J182,'Factors'!$C$9:$C$108,0))="","",INDEX('Factors'!$L$9:$L$108,MATCH(J182,'Factors'!$C$9:$C$108,0))),"")&amp;" / "&amp;IFERROR(IF(INDEX('Factors'!$M$9:$M$108,MATCH(J182,'Factors'!$C$9:$C$108,0))="","",INDEX('Factors'!$M$9:$M$108,MATCH(J182,'Factors'!$C$9:$C$108,0))),""))</x:f>
      </x:c>
      <x:c r="U182" s="21" t="str">
        <x:f>IF(V182="Ready",H182*O182/1000,"")</x:f>
      </x:c>
      <x:c r="V182" s="9" t="str">
        <x:f>IF(C182="","",IF(OR(COUNTIFS($C$9:$C$308,C182)&lt;&gt;1,COUNTIFS($D$9:$D$308,D182,$E$9:$E$308,E182,$F$9:$F$308,F182,$G$9:$G$308,G182,$K$9:$K$308,K182)&lt;&gt;1),"Duplicate annual activity",IF(COUNTIFS('Inventory'!$C$9:$C$108,D182)&lt;&gt;1,"Entity required",IF(OR(E182="",L182="",NOT(ISNUMBER(H182)),H182&lt;0,NOT(ISNUMBER(K182)),NOT(ISNUMBER(N182))),"Missing activity input",IF(AND(E182&lt;&gt;D182,OR(COUNTIFS('Sites'!$C$9:$C$108,E182)&lt;&gt;1,IFERROR(IF(INDEX('Sites'!$D$9:$D$108,MATCH(E182,'Sites'!$C$9:$C$108,0))="","",INDEX('Sites'!$D$9:$D$108,MATCH(E182,'Sites'!$C$9:$C$108,0))),"")&lt;&gt;IFERROR(IF(INDEX('Inventory'!$D$9:$D$108,MATCH(D182,'Inventory'!$C$9:$C$108,0))="","",INDEX('Inventory'!$D$9:$D$108,MATCH(D182,'Inventory'!$C$9:$C$108,0))),""),IFERROR(IF(INDEX('Sites'!$E$9:$E$108,MATCH(E182,'Sites'!$C$9:$C$108,0))="","",INDEX('Sites'!$E$9:$E$108,MATCH(E182,'Sites'!$C$9:$C$108,0))),"")&lt;&gt;W182)),"Site / entity mismatch",IF(N182&lt;'Settings'!$F$8,"Expired",IF(X182&lt;&gt;"Ready","Factor required",IF(OR(G182&lt;&gt;IFERROR(IF(INDEX('Factors'!$D$9:$D$108,MATCH(J182,'Factors'!$C$9:$C$108,0))="","",INDEX('Factors'!$D$9:$D$108,MATCH(J182,'Factors'!$C$9:$C$108,0))),""),I182&lt;&gt;P182,F182&lt;&gt;Q182,K182&lt;&gt;S182,AND(R182&lt;&gt;"Global",R182&lt;&gt;W182),K182&lt;&gt;YEAR(IFERROR(IF(INDEX('Inventory'!$H$9:$H$108,MATCH(D182,'Inventory'!$C$9:$C$108,0))="","",INDEX('Inventory'!$H$9:$H$108,MATCH(D182,'Inventory'!$C$9:$C$108,0))),""))),"Factor / boundary mismatch",IF(AND(F182="S2",IFERROR(IF(INDEX('Factors'!$I$9:$I$108,MATCH(J182,'Factors'!$C$9:$C$108,0))="","",INDEX('Factors'!$I$9:$I$108,MATCH(J182,'Factors'!$C$9:$C$108,0))),"")&lt;&gt;"Location-based"),"Use location factor",IF(M182&lt;&gt;"Actual","Estimation method review","Ready"))))))))))</x:f>
      </x:c>
      <x:c r="W182" s="9" t="str">
        <x:f>IF(C182="","",IFERROR(IF(INDEX('Inventory'!$G$9:$G$108,MATCH(D182,'Inventory'!$C$9:$C$108,0))="","",INDEX('Inventory'!$G$9:$G$108,MATCH(D182,'Inventory'!$C$9:$C$108,0))),""))</x:f>
      </x:c>
      <x:c r="X182" s="9" t="str">
        <x:f>IF(C182="","",IFERROR(IF(INDEX('Factors'!$P$9:$P$108,MATCH(J182,'Factors'!$C$9:$C$108,0))="","",INDEX('Factors'!$P$9:$P$108,MATCH(J182,'Factors'!$C$9:$C$108,0))),""))</x:f>
      </x:c>
    </x:row>
    <x:row r="183" ht="26" customHeight="1">
      <x:c r="A183" s="1"/>
      <x:c r="B183" s="1"/>
      <x:c r="C183" s="8"/>
      <x:c r="D183" s="8"/>
      <x:c r="E183" s="8"/>
      <x:c r="F183" s="8"/>
      <x:c r="G183" s="8"/>
      <x:c r="H183" s="16"/>
      <x:c r="I183" s="8"/>
      <x:c r="J183" s="8"/>
      <x:c r="K183" s="22"/>
      <x:c r="L183" s="8"/>
      <x:c r="M183" s="8"/>
      <x:c r="N183" s="40"/>
      <x:c r="O183" s="41" t="str">
        <x:f>IF(C183="","",IFERROR(IF(INDEX('Factors'!$G$9:$G$108,MATCH(J183,'Factors'!$C$9:$C$108,0))="","",INDEX('Factors'!$G$9:$G$108,MATCH(J183,'Factors'!$C$9:$C$108,0))),""))</x:f>
      </x:c>
      <x:c r="P183" s="9" t="str">
        <x:f>IF(C183="","",IFERROR(IF(INDEX('Factors'!$F$9:$F$108,MATCH(J183,'Factors'!$C$9:$C$108,0))="","",INDEX('Factors'!$F$9:$F$108,MATCH(J183,'Factors'!$C$9:$C$108,0))),""))</x:f>
      </x:c>
      <x:c r="Q183" s="9" t="str">
        <x:f>IF(C183="","",IFERROR(IF(INDEX('Factors'!$H$9:$H$108,MATCH(J183,'Factors'!$C$9:$C$108,0))="","",INDEX('Factors'!$H$9:$H$108,MATCH(J183,'Factors'!$C$9:$C$108,0))),""))</x:f>
      </x:c>
      <x:c r="R183" s="9" t="str">
        <x:f>IF(C183="","",IFERROR(IF(INDEX('Factors'!$E$9:$E$108,MATCH(J183,'Factors'!$C$9:$C$108,0))="","",INDEX('Factors'!$E$9:$E$108,MATCH(J183,'Factors'!$C$9:$C$108,0))),""))</x:f>
      </x:c>
      <x:c r="S183" s="42" t="str">
        <x:f>IF(C183="","",IFERROR(IF(INDEX('Factors'!$J$9:$J$108,MATCH(J183,'Factors'!$C$9:$C$108,0))="","",INDEX('Factors'!$J$9:$J$108,MATCH(J183,'Factors'!$C$9:$C$108,0))),""))</x:f>
      </x:c>
      <x:c r="T183" s="9" t="str">
        <x:f>IF(C183="","",IFERROR(IF(INDEX('Factors'!$L$9:$L$108,MATCH(J183,'Factors'!$C$9:$C$108,0))="","",INDEX('Factors'!$L$9:$L$108,MATCH(J183,'Factors'!$C$9:$C$108,0))),"")&amp;" / "&amp;IFERROR(IF(INDEX('Factors'!$M$9:$M$108,MATCH(J183,'Factors'!$C$9:$C$108,0))="","",INDEX('Factors'!$M$9:$M$108,MATCH(J183,'Factors'!$C$9:$C$108,0))),""))</x:f>
      </x:c>
      <x:c r="U183" s="21" t="str">
        <x:f>IF(V183="Ready",H183*O183/1000,"")</x:f>
      </x:c>
      <x:c r="V183" s="9" t="str">
        <x:f>IF(C183="","",IF(OR(COUNTIFS($C$9:$C$308,C183)&lt;&gt;1,COUNTIFS($D$9:$D$308,D183,$E$9:$E$308,E183,$F$9:$F$308,F183,$G$9:$G$308,G183,$K$9:$K$308,K183)&lt;&gt;1),"Duplicate annual activity",IF(COUNTIFS('Inventory'!$C$9:$C$108,D183)&lt;&gt;1,"Entity required",IF(OR(E183="",L183="",NOT(ISNUMBER(H183)),H183&lt;0,NOT(ISNUMBER(K183)),NOT(ISNUMBER(N183))),"Missing activity input",IF(AND(E183&lt;&gt;D183,OR(COUNTIFS('Sites'!$C$9:$C$108,E183)&lt;&gt;1,IFERROR(IF(INDEX('Sites'!$D$9:$D$108,MATCH(E183,'Sites'!$C$9:$C$108,0))="","",INDEX('Sites'!$D$9:$D$108,MATCH(E183,'Sites'!$C$9:$C$108,0))),"")&lt;&gt;IFERROR(IF(INDEX('Inventory'!$D$9:$D$108,MATCH(D183,'Inventory'!$C$9:$C$108,0))="","",INDEX('Inventory'!$D$9:$D$108,MATCH(D183,'Inventory'!$C$9:$C$108,0))),""),IFERROR(IF(INDEX('Sites'!$E$9:$E$108,MATCH(E183,'Sites'!$C$9:$C$108,0))="","",INDEX('Sites'!$E$9:$E$108,MATCH(E183,'Sites'!$C$9:$C$108,0))),"")&lt;&gt;W183)),"Site / entity mismatch",IF(N183&lt;'Settings'!$F$8,"Expired",IF(X183&lt;&gt;"Ready","Factor required",IF(OR(G183&lt;&gt;IFERROR(IF(INDEX('Factors'!$D$9:$D$108,MATCH(J183,'Factors'!$C$9:$C$108,0))="","",INDEX('Factors'!$D$9:$D$108,MATCH(J183,'Factors'!$C$9:$C$108,0))),""),I183&lt;&gt;P183,F183&lt;&gt;Q183,K183&lt;&gt;S183,AND(R183&lt;&gt;"Global",R183&lt;&gt;W183),K183&lt;&gt;YEAR(IFERROR(IF(INDEX('Inventory'!$H$9:$H$108,MATCH(D183,'Inventory'!$C$9:$C$108,0))="","",INDEX('Inventory'!$H$9:$H$108,MATCH(D183,'Inventory'!$C$9:$C$108,0))),""))),"Factor / boundary mismatch",IF(AND(F183="S2",IFERROR(IF(INDEX('Factors'!$I$9:$I$108,MATCH(J183,'Factors'!$C$9:$C$108,0))="","",INDEX('Factors'!$I$9:$I$108,MATCH(J183,'Factors'!$C$9:$C$108,0))),"")&lt;&gt;"Location-based"),"Use location factor",IF(M183&lt;&gt;"Actual","Estimation method review","Ready"))))))))))</x:f>
      </x:c>
      <x:c r="W183" s="9" t="str">
        <x:f>IF(C183="","",IFERROR(IF(INDEX('Inventory'!$G$9:$G$108,MATCH(D183,'Inventory'!$C$9:$C$108,0))="","",INDEX('Inventory'!$G$9:$G$108,MATCH(D183,'Inventory'!$C$9:$C$108,0))),""))</x:f>
      </x:c>
      <x:c r="X183" s="9" t="str">
        <x:f>IF(C183="","",IFERROR(IF(INDEX('Factors'!$P$9:$P$108,MATCH(J183,'Factors'!$C$9:$C$108,0))="","",INDEX('Factors'!$P$9:$P$108,MATCH(J183,'Factors'!$C$9:$C$108,0))),""))</x:f>
      </x:c>
    </x:row>
    <x:row r="184" ht="26" customHeight="1">
      <x:c r="A184" s="1"/>
      <x:c r="B184" s="1"/>
      <x:c r="C184" s="8"/>
      <x:c r="D184" s="8"/>
      <x:c r="E184" s="8"/>
      <x:c r="F184" s="8"/>
      <x:c r="G184" s="8"/>
      <x:c r="H184" s="16"/>
      <x:c r="I184" s="8"/>
      <x:c r="J184" s="8"/>
      <x:c r="K184" s="22"/>
      <x:c r="L184" s="8"/>
      <x:c r="M184" s="8"/>
      <x:c r="N184" s="40"/>
      <x:c r="O184" s="41" t="str">
        <x:f>IF(C184="","",IFERROR(IF(INDEX('Factors'!$G$9:$G$108,MATCH(J184,'Factors'!$C$9:$C$108,0))="","",INDEX('Factors'!$G$9:$G$108,MATCH(J184,'Factors'!$C$9:$C$108,0))),""))</x:f>
      </x:c>
      <x:c r="P184" s="9" t="str">
        <x:f>IF(C184="","",IFERROR(IF(INDEX('Factors'!$F$9:$F$108,MATCH(J184,'Factors'!$C$9:$C$108,0))="","",INDEX('Factors'!$F$9:$F$108,MATCH(J184,'Factors'!$C$9:$C$108,0))),""))</x:f>
      </x:c>
      <x:c r="Q184" s="9" t="str">
        <x:f>IF(C184="","",IFERROR(IF(INDEX('Factors'!$H$9:$H$108,MATCH(J184,'Factors'!$C$9:$C$108,0))="","",INDEX('Factors'!$H$9:$H$108,MATCH(J184,'Factors'!$C$9:$C$108,0))),""))</x:f>
      </x:c>
      <x:c r="R184" s="9" t="str">
        <x:f>IF(C184="","",IFERROR(IF(INDEX('Factors'!$E$9:$E$108,MATCH(J184,'Factors'!$C$9:$C$108,0))="","",INDEX('Factors'!$E$9:$E$108,MATCH(J184,'Factors'!$C$9:$C$108,0))),""))</x:f>
      </x:c>
      <x:c r="S184" s="42" t="str">
        <x:f>IF(C184="","",IFERROR(IF(INDEX('Factors'!$J$9:$J$108,MATCH(J184,'Factors'!$C$9:$C$108,0))="","",INDEX('Factors'!$J$9:$J$108,MATCH(J184,'Factors'!$C$9:$C$108,0))),""))</x:f>
      </x:c>
      <x:c r="T184" s="9" t="str">
        <x:f>IF(C184="","",IFERROR(IF(INDEX('Factors'!$L$9:$L$108,MATCH(J184,'Factors'!$C$9:$C$108,0))="","",INDEX('Factors'!$L$9:$L$108,MATCH(J184,'Factors'!$C$9:$C$108,0))),"")&amp;" / "&amp;IFERROR(IF(INDEX('Factors'!$M$9:$M$108,MATCH(J184,'Factors'!$C$9:$C$108,0))="","",INDEX('Factors'!$M$9:$M$108,MATCH(J184,'Factors'!$C$9:$C$108,0))),""))</x:f>
      </x:c>
      <x:c r="U184" s="21" t="str">
        <x:f>IF(V184="Ready",H184*O184/1000,"")</x:f>
      </x:c>
      <x:c r="V184" s="9" t="str">
        <x:f>IF(C184="","",IF(OR(COUNTIFS($C$9:$C$308,C184)&lt;&gt;1,COUNTIFS($D$9:$D$308,D184,$E$9:$E$308,E184,$F$9:$F$308,F184,$G$9:$G$308,G184,$K$9:$K$308,K184)&lt;&gt;1),"Duplicate annual activity",IF(COUNTIFS('Inventory'!$C$9:$C$108,D184)&lt;&gt;1,"Entity required",IF(OR(E184="",L184="",NOT(ISNUMBER(H184)),H184&lt;0,NOT(ISNUMBER(K184)),NOT(ISNUMBER(N184))),"Missing activity input",IF(AND(E184&lt;&gt;D184,OR(COUNTIFS('Sites'!$C$9:$C$108,E184)&lt;&gt;1,IFERROR(IF(INDEX('Sites'!$D$9:$D$108,MATCH(E184,'Sites'!$C$9:$C$108,0))="","",INDEX('Sites'!$D$9:$D$108,MATCH(E184,'Sites'!$C$9:$C$108,0))),"")&lt;&gt;IFERROR(IF(INDEX('Inventory'!$D$9:$D$108,MATCH(D184,'Inventory'!$C$9:$C$108,0))="","",INDEX('Inventory'!$D$9:$D$108,MATCH(D184,'Inventory'!$C$9:$C$108,0))),""),IFERROR(IF(INDEX('Sites'!$E$9:$E$108,MATCH(E184,'Sites'!$C$9:$C$108,0))="","",INDEX('Sites'!$E$9:$E$108,MATCH(E184,'Sites'!$C$9:$C$108,0))),"")&lt;&gt;W184)),"Site / entity mismatch",IF(N184&lt;'Settings'!$F$8,"Expired",IF(X184&lt;&gt;"Ready","Factor required",IF(OR(G184&lt;&gt;IFERROR(IF(INDEX('Factors'!$D$9:$D$108,MATCH(J184,'Factors'!$C$9:$C$108,0))="","",INDEX('Factors'!$D$9:$D$108,MATCH(J184,'Factors'!$C$9:$C$108,0))),""),I184&lt;&gt;P184,F184&lt;&gt;Q184,K184&lt;&gt;S184,AND(R184&lt;&gt;"Global",R184&lt;&gt;W184),K184&lt;&gt;YEAR(IFERROR(IF(INDEX('Inventory'!$H$9:$H$108,MATCH(D184,'Inventory'!$C$9:$C$108,0))="","",INDEX('Inventory'!$H$9:$H$108,MATCH(D184,'Inventory'!$C$9:$C$108,0))),""))),"Factor / boundary mismatch",IF(AND(F184="S2",IFERROR(IF(INDEX('Factors'!$I$9:$I$108,MATCH(J184,'Factors'!$C$9:$C$108,0))="","",INDEX('Factors'!$I$9:$I$108,MATCH(J184,'Factors'!$C$9:$C$108,0))),"")&lt;&gt;"Location-based"),"Use location factor",IF(M184&lt;&gt;"Actual","Estimation method review","Ready"))))))))))</x:f>
      </x:c>
      <x:c r="W184" s="9" t="str">
        <x:f>IF(C184="","",IFERROR(IF(INDEX('Inventory'!$G$9:$G$108,MATCH(D184,'Inventory'!$C$9:$C$108,0))="","",INDEX('Inventory'!$G$9:$G$108,MATCH(D184,'Inventory'!$C$9:$C$108,0))),""))</x:f>
      </x:c>
      <x:c r="X184" s="9" t="str">
        <x:f>IF(C184="","",IFERROR(IF(INDEX('Factors'!$P$9:$P$108,MATCH(J184,'Factors'!$C$9:$C$108,0))="","",INDEX('Factors'!$P$9:$P$108,MATCH(J184,'Factors'!$C$9:$C$108,0))),""))</x:f>
      </x:c>
    </x:row>
    <x:row r="185" ht="26" customHeight="1">
      <x:c r="A185" s="1"/>
      <x:c r="B185" s="1"/>
      <x:c r="C185" s="8"/>
      <x:c r="D185" s="8"/>
      <x:c r="E185" s="8"/>
      <x:c r="F185" s="8"/>
      <x:c r="G185" s="8"/>
      <x:c r="H185" s="16"/>
      <x:c r="I185" s="8"/>
      <x:c r="J185" s="8"/>
      <x:c r="K185" s="22"/>
      <x:c r="L185" s="8"/>
      <x:c r="M185" s="8"/>
      <x:c r="N185" s="40"/>
      <x:c r="O185" s="41" t="str">
        <x:f>IF(C185="","",IFERROR(IF(INDEX('Factors'!$G$9:$G$108,MATCH(J185,'Factors'!$C$9:$C$108,0))="","",INDEX('Factors'!$G$9:$G$108,MATCH(J185,'Factors'!$C$9:$C$108,0))),""))</x:f>
      </x:c>
      <x:c r="P185" s="9" t="str">
        <x:f>IF(C185="","",IFERROR(IF(INDEX('Factors'!$F$9:$F$108,MATCH(J185,'Factors'!$C$9:$C$108,0))="","",INDEX('Factors'!$F$9:$F$108,MATCH(J185,'Factors'!$C$9:$C$108,0))),""))</x:f>
      </x:c>
      <x:c r="Q185" s="9" t="str">
        <x:f>IF(C185="","",IFERROR(IF(INDEX('Factors'!$H$9:$H$108,MATCH(J185,'Factors'!$C$9:$C$108,0))="","",INDEX('Factors'!$H$9:$H$108,MATCH(J185,'Factors'!$C$9:$C$108,0))),""))</x:f>
      </x:c>
      <x:c r="R185" s="9" t="str">
        <x:f>IF(C185="","",IFERROR(IF(INDEX('Factors'!$E$9:$E$108,MATCH(J185,'Factors'!$C$9:$C$108,0))="","",INDEX('Factors'!$E$9:$E$108,MATCH(J185,'Factors'!$C$9:$C$108,0))),""))</x:f>
      </x:c>
      <x:c r="S185" s="42" t="str">
        <x:f>IF(C185="","",IFERROR(IF(INDEX('Factors'!$J$9:$J$108,MATCH(J185,'Factors'!$C$9:$C$108,0))="","",INDEX('Factors'!$J$9:$J$108,MATCH(J185,'Factors'!$C$9:$C$108,0))),""))</x:f>
      </x:c>
      <x:c r="T185" s="9" t="str">
        <x:f>IF(C185="","",IFERROR(IF(INDEX('Factors'!$L$9:$L$108,MATCH(J185,'Factors'!$C$9:$C$108,0))="","",INDEX('Factors'!$L$9:$L$108,MATCH(J185,'Factors'!$C$9:$C$108,0))),"")&amp;" / "&amp;IFERROR(IF(INDEX('Factors'!$M$9:$M$108,MATCH(J185,'Factors'!$C$9:$C$108,0))="","",INDEX('Factors'!$M$9:$M$108,MATCH(J185,'Factors'!$C$9:$C$108,0))),""))</x:f>
      </x:c>
      <x:c r="U185" s="21" t="str">
        <x:f>IF(V185="Ready",H185*O185/1000,"")</x:f>
      </x:c>
      <x:c r="V185" s="9" t="str">
        <x:f>IF(C185="","",IF(OR(COUNTIFS($C$9:$C$308,C185)&lt;&gt;1,COUNTIFS($D$9:$D$308,D185,$E$9:$E$308,E185,$F$9:$F$308,F185,$G$9:$G$308,G185,$K$9:$K$308,K185)&lt;&gt;1),"Duplicate annual activity",IF(COUNTIFS('Inventory'!$C$9:$C$108,D185)&lt;&gt;1,"Entity required",IF(OR(E185="",L185="",NOT(ISNUMBER(H185)),H185&lt;0,NOT(ISNUMBER(K185)),NOT(ISNUMBER(N185))),"Missing activity input",IF(AND(E185&lt;&gt;D185,OR(COUNTIFS('Sites'!$C$9:$C$108,E185)&lt;&gt;1,IFERROR(IF(INDEX('Sites'!$D$9:$D$108,MATCH(E185,'Sites'!$C$9:$C$108,0))="","",INDEX('Sites'!$D$9:$D$108,MATCH(E185,'Sites'!$C$9:$C$108,0))),"")&lt;&gt;IFERROR(IF(INDEX('Inventory'!$D$9:$D$108,MATCH(D185,'Inventory'!$C$9:$C$108,0))="","",INDEX('Inventory'!$D$9:$D$108,MATCH(D185,'Inventory'!$C$9:$C$108,0))),""),IFERROR(IF(INDEX('Sites'!$E$9:$E$108,MATCH(E185,'Sites'!$C$9:$C$108,0))="","",INDEX('Sites'!$E$9:$E$108,MATCH(E185,'Sites'!$C$9:$C$108,0))),"")&lt;&gt;W185)),"Site / entity mismatch",IF(N185&lt;'Settings'!$F$8,"Expired",IF(X185&lt;&gt;"Ready","Factor required",IF(OR(G185&lt;&gt;IFERROR(IF(INDEX('Factors'!$D$9:$D$108,MATCH(J185,'Factors'!$C$9:$C$108,0))="","",INDEX('Factors'!$D$9:$D$108,MATCH(J185,'Factors'!$C$9:$C$108,0))),""),I185&lt;&gt;P185,F185&lt;&gt;Q185,K185&lt;&gt;S185,AND(R185&lt;&gt;"Global",R185&lt;&gt;W185),K185&lt;&gt;YEAR(IFERROR(IF(INDEX('Inventory'!$H$9:$H$108,MATCH(D185,'Inventory'!$C$9:$C$108,0))="","",INDEX('Inventory'!$H$9:$H$108,MATCH(D185,'Inventory'!$C$9:$C$108,0))),""))),"Factor / boundary mismatch",IF(AND(F185="S2",IFERROR(IF(INDEX('Factors'!$I$9:$I$108,MATCH(J185,'Factors'!$C$9:$C$108,0))="","",INDEX('Factors'!$I$9:$I$108,MATCH(J185,'Factors'!$C$9:$C$108,0))),"")&lt;&gt;"Location-based"),"Use location factor",IF(M185&lt;&gt;"Actual","Estimation method review","Ready"))))))))))</x:f>
      </x:c>
      <x:c r="W185" s="9" t="str">
        <x:f>IF(C185="","",IFERROR(IF(INDEX('Inventory'!$G$9:$G$108,MATCH(D185,'Inventory'!$C$9:$C$108,0))="","",INDEX('Inventory'!$G$9:$G$108,MATCH(D185,'Inventory'!$C$9:$C$108,0))),""))</x:f>
      </x:c>
      <x:c r="X185" s="9" t="str">
        <x:f>IF(C185="","",IFERROR(IF(INDEX('Factors'!$P$9:$P$108,MATCH(J185,'Factors'!$C$9:$C$108,0))="","",INDEX('Factors'!$P$9:$P$108,MATCH(J185,'Factors'!$C$9:$C$108,0))),""))</x:f>
      </x:c>
    </x:row>
    <x:row r="186" ht="26" customHeight="1">
      <x:c r="A186" s="1"/>
      <x:c r="B186" s="1"/>
      <x:c r="C186" s="8"/>
      <x:c r="D186" s="8"/>
      <x:c r="E186" s="8"/>
      <x:c r="F186" s="8"/>
      <x:c r="G186" s="8"/>
      <x:c r="H186" s="16"/>
      <x:c r="I186" s="8"/>
      <x:c r="J186" s="8"/>
      <x:c r="K186" s="22"/>
      <x:c r="L186" s="8"/>
      <x:c r="M186" s="8"/>
      <x:c r="N186" s="40"/>
      <x:c r="O186" s="41" t="str">
        <x:f>IF(C186="","",IFERROR(IF(INDEX('Factors'!$G$9:$G$108,MATCH(J186,'Factors'!$C$9:$C$108,0))="","",INDEX('Factors'!$G$9:$G$108,MATCH(J186,'Factors'!$C$9:$C$108,0))),""))</x:f>
      </x:c>
      <x:c r="P186" s="9" t="str">
        <x:f>IF(C186="","",IFERROR(IF(INDEX('Factors'!$F$9:$F$108,MATCH(J186,'Factors'!$C$9:$C$108,0))="","",INDEX('Factors'!$F$9:$F$108,MATCH(J186,'Factors'!$C$9:$C$108,0))),""))</x:f>
      </x:c>
      <x:c r="Q186" s="9" t="str">
        <x:f>IF(C186="","",IFERROR(IF(INDEX('Factors'!$H$9:$H$108,MATCH(J186,'Factors'!$C$9:$C$108,0))="","",INDEX('Factors'!$H$9:$H$108,MATCH(J186,'Factors'!$C$9:$C$108,0))),""))</x:f>
      </x:c>
      <x:c r="R186" s="9" t="str">
        <x:f>IF(C186="","",IFERROR(IF(INDEX('Factors'!$E$9:$E$108,MATCH(J186,'Factors'!$C$9:$C$108,0))="","",INDEX('Factors'!$E$9:$E$108,MATCH(J186,'Factors'!$C$9:$C$108,0))),""))</x:f>
      </x:c>
      <x:c r="S186" s="42" t="str">
        <x:f>IF(C186="","",IFERROR(IF(INDEX('Factors'!$J$9:$J$108,MATCH(J186,'Factors'!$C$9:$C$108,0))="","",INDEX('Factors'!$J$9:$J$108,MATCH(J186,'Factors'!$C$9:$C$108,0))),""))</x:f>
      </x:c>
      <x:c r="T186" s="9" t="str">
        <x:f>IF(C186="","",IFERROR(IF(INDEX('Factors'!$L$9:$L$108,MATCH(J186,'Factors'!$C$9:$C$108,0))="","",INDEX('Factors'!$L$9:$L$108,MATCH(J186,'Factors'!$C$9:$C$108,0))),"")&amp;" / "&amp;IFERROR(IF(INDEX('Factors'!$M$9:$M$108,MATCH(J186,'Factors'!$C$9:$C$108,0))="","",INDEX('Factors'!$M$9:$M$108,MATCH(J186,'Factors'!$C$9:$C$108,0))),""))</x:f>
      </x:c>
      <x:c r="U186" s="21" t="str">
        <x:f>IF(V186="Ready",H186*O186/1000,"")</x:f>
      </x:c>
      <x:c r="V186" s="9" t="str">
        <x:f>IF(C186="","",IF(OR(COUNTIFS($C$9:$C$308,C186)&lt;&gt;1,COUNTIFS($D$9:$D$308,D186,$E$9:$E$308,E186,$F$9:$F$308,F186,$G$9:$G$308,G186,$K$9:$K$308,K186)&lt;&gt;1),"Duplicate annual activity",IF(COUNTIFS('Inventory'!$C$9:$C$108,D186)&lt;&gt;1,"Entity required",IF(OR(E186="",L186="",NOT(ISNUMBER(H186)),H186&lt;0,NOT(ISNUMBER(K186)),NOT(ISNUMBER(N186))),"Missing activity input",IF(AND(E186&lt;&gt;D186,OR(COUNTIFS('Sites'!$C$9:$C$108,E186)&lt;&gt;1,IFERROR(IF(INDEX('Sites'!$D$9:$D$108,MATCH(E186,'Sites'!$C$9:$C$108,0))="","",INDEX('Sites'!$D$9:$D$108,MATCH(E186,'Sites'!$C$9:$C$108,0))),"")&lt;&gt;IFERROR(IF(INDEX('Inventory'!$D$9:$D$108,MATCH(D186,'Inventory'!$C$9:$C$108,0))="","",INDEX('Inventory'!$D$9:$D$108,MATCH(D186,'Inventory'!$C$9:$C$108,0))),""),IFERROR(IF(INDEX('Sites'!$E$9:$E$108,MATCH(E186,'Sites'!$C$9:$C$108,0))="","",INDEX('Sites'!$E$9:$E$108,MATCH(E186,'Sites'!$C$9:$C$108,0))),"")&lt;&gt;W186)),"Site / entity mismatch",IF(N186&lt;'Settings'!$F$8,"Expired",IF(X186&lt;&gt;"Ready","Factor required",IF(OR(G186&lt;&gt;IFERROR(IF(INDEX('Factors'!$D$9:$D$108,MATCH(J186,'Factors'!$C$9:$C$108,0))="","",INDEX('Factors'!$D$9:$D$108,MATCH(J186,'Factors'!$C$9:$C$108,0))),""),I186&lt;&gt;P186,F186&lt;&gt;Q186,K186&lt;&gt;S186,AND(R186&lt;&gt;"Global",R186&lt;&gt;W186),K186&lt;&gt;YEAR(IFERROR(IF(INDEX('Inventory'!$H$9:$H$108,MATCH(D186,'Inventory'!$C$9:$C$108,0))="","",INDEX('Inventory'!$H$9:$H$108,MATCH(D186,'Inventory'!$C$9:$C$108,0))),""))),"Factor / boundary mismatch",IF(AND(F186="S2",IFERROR(IF(INDEX('Factors'!$I$9:$I$108,MATCH(J186,'Factors'!$C$9:$C$108,0))="","",INDEX('Factors'!$I$9:$I$108,MATCH(J186,'Factors'!$C$9:$C$108,0))),"")&lt;&gt;"Location-based"),"Use location factor",IF(M186&lt;&gt;"Actual","Estimation method review","Ready"))))))))))</x:f>
      </x:c>
      <x:c r="W186" s="9" t="str">
        <x:f>IF(C186="","",IFERROR(IF(INDEX('Inventory'!$G$9:$G$108,MATCH(D186,'Inventory'!$C$9:$C$108,0))="","",INDEX('Inventory'!$G$9:$G$108,MATCH(D186,'Inventory'!$C$9:$C$108,0))),""))</x:f>
      </x:c>
      <x:c r="X186" s="9" t="str">
        <x:f>IF(C186="","",IFERROR(IF(INDEX('Factors'!$P$9:$P$108,MATCH(J186,'Factors'!$C$9:$C$108,0))="","",INDEX('Factors'!$P$9:$P$108,MATCH(J186,'Factors'!$C$9:$C$108,0))),""))</x:f>
      </x:c>
    </x:row>
    <x:row r="187" ht="26" customHeight="1">
      <x:c r="A187" s="1"/>
      <x:c r="B187" s="1"/>
      <x:c r="C187" s="8"/>
      <x:c r="D187" s="8"/>
      <x:c r="E187" s="8"/>
      <x:c r="F187" s="8"/>
      <x:c r="G187" s="8"/>
      <x:c r="H187" s="16"/>
      <x:c r="I187" s="8"/>
      <x:c r="J187" s="8"/>
      <x:c r="K187" s="22"/>
      <x:c r="L187" s="8"/>
      <x:c r="M187" s="8"/>
      <x:c r="N187" s="40"/>
      <x:c r="O187" s="41" t="str">
        <x:f>IF(C187="","",IFERROR(IF(INDEX('Factors'!$G$9:$G$108,MATCH(J187,'Factors'!$C$9:$C$108,0))="","",INDEX('Factors'!$G$9:$G$108,MATCH(J187,'Factors'!$C$9:$C$108,0))),""))</x:f>
      </x:c>
      <x:c r="P187" s="9" t="str">
        <x:f>IF(C187="","",IFERROR(IF(INDEX('Factors'!$F$9:$F$108,MATCH(J187,'Factors'!$C$9:$C$108,0))="","",INDEX('Factors'!$F$9:$F$108,MATCH(J187,'Factors'!$C$9:$C$108,0))),""))</x:f>
      </x:c>
      <x:c r="Q187" s="9" t="str">
        <x:f>IF(C187="","",IFERROR(IF(INDEX('Factors'!$H$9:$H$108,MATCH(J187,'Factors'!$C$9:$C$108,0))="","",INDEX('Factors'!$H$9:$H$108,MATCH(J187,'Factors'!$C$9:$C$108,0))),""))</x:f>
      </x:c>
      <x:c r="R187" s="9" t="str">
        <x:f>IF(C187="","",IFERROR(IF(INDEX('Factors'!$E$9:$E$108,MATCH(J187,'Factors'!$C$9:$C$108,0))="","",INDEX('Factors'!$E$9:$E$108,MATCH(J187,'Factors'!$C$9:$C$108,0))),""))</x:f>
      </x:c>
      <x:c r="S187" s="42" t="str">
        <x:f>IF(C187="","",IFERROR(IF(INDEX('Factors'!$J$9:$J$108,MATCH(J187,'Factors'!$C$9:$C$108,0))="","",INDEX('Factors'!$J$9:$J$108,MATCH(J187,'Factors'!$C$9:$C$108,0))),""))</x:f>
      </x:c>
      <x:c r="T187" s="9" t="str">
        <x:f>IF(C187="","",IFERROR(IF(INDEX('Factors'!$L$9:$L$108,MATCH(J187,'Factors'!$C$9:$C$108,0))="","",INDEX('Factors'!$L$9:$L$108,MATCH(J187,'Factors'!$C$9:$C$108,0))),"")&amp;" / "&amp;IFERROR(IF(INDEX('Factors'!$M$9:$M$108,MATCH(J187,'Factors'!$C$9:$C$108,0))="","",INDEX('Factors'!$M$9:$M$108,MATCH(J187,'Factors'!$C$9:$C$108,0))),""))</x:f>
      </x:c>
      <x:c r="U187" s="21" t="str">
        <x:f>IF(V187="Ready",H187*O187/1000,"")</x:f>
      </x:c>
      <x:c r="V187" s="9" t="str">
        <x:f>IF(C187="","",IF(OR(COUNTIFS($C$9:$C$308,C187)&lt;&gt;1,COUNTIFS($D$9:$D$308,D187,$E$9:$E$308,E187,$F$9:$F$308,F187,$G$9:$G$308,G187,$K$9:$K$308,K187)&lt;&gt;1),"Duplicate annual activity",IF(COUNTIFS('Inventory'!$C$9:$C$108,D187)&lt;&gt;1,"Entity required",IF(OR(E187="",L187="",NOT(ISNUMBER(H187)),H187&lt;0,NOT(ISNUMBER(K187)),NOT(ISNUMBER(N187))),"Missing activity input",IF(AND(E187&lt;&gt;D187,OR(COUNTIFS('Sites'!$C$9:$C$108,E187)&lt;&gt;1,IFERROR(IF(INDEX('Sites'!$D$9:$D$108,MATCH(E187,'Sites'!$C$9:$C$108,0))="","",INDEX('Sites'!$D$9:$D$108,MATCH(E187,'Sites'!$C$9:$C$108,0))),"")&lt;&gt;IFERROR(IF(INDEX('Inventory'!$D$9:$D$108,MATCH(D187,'Inventory'!$C$9:$C$108,0))="","",INDEX('Inventory'!$D$9:$D$108,MATCH(D187,'Inventory'!$C$9:$C$108,0))),""),IFERROR(IF(INDEX('Sites'!$E$9:$E$108,MATCH(E187,'Sites'!$C$9:$C$108,0))="","",INDEX('Sites'!$E$9:$E$108,MATCH(E187,'Sites'!$C$9:$C$108,0))),"")&lt;&gt;W187)),"Site / entity mismatch",IF(N187&lt;'Settings'!$F$8,"Expired",IF(X187&lt;&gt;"Ready","Factor required",IF(OR(G187&lt;&gt;IFERROR(IF(INDEX('Factors'!$D$9:$D$108,MATCH(J187,'Factors'!$C$9:$C$108,0))="","",INDEX('Factors'!$D$9:$D$108,MATCH(J187,'Factors'!$C$9:$C$108,0))),""),I187&lt;&gt;P187,F187&lt;&gt;Q187,K187&lt;&gt;S187,AND(R187&lt;&gt;"Global",R187&lt;&gt;W187),K187&lt;&gt;YEAR(IFERROR(IF(INDEX('Inventory'!$H$9:$H$108,MATCH(D187,'Inventory'!$C$9:$C$108,0))="","",INDEX('Inventory'!$H$9:$H$108,MATCH(D187,'Inventory'!$C$9:$C$108,0))),""))),"Factor / boundary mismatch",IF(AND(F187="S2",IFERROR(IF(INDEX('Factors'!$I$9:$I$108,MATCH(J187,'Factors'!$C$9:$C$108,0))="","",INDEX('Factors'!$I$9:$I$108,MATCH(J187,'Factors'!$C$9:$C$108,0))),"")&lt;&gt;"Location-based"),"Use location factor",IF(M187&lt;&gt;"Actual","Estimation method review","Ready"))))))))))</x:f>
      </x:c>
      <x:c r="W187" s="9" t="str">
        <x:f>IF(C187="","",IFERROR(IF(INDEX('Inventory'!$G$9:$G$108,MATCH(D187,'Inventory'!$C$9:$C$108,0))="","",INDEX('Inventory'!$G$9:$G$108,MATCH(D187,'Inventory'!$C$9:$C$108,0))),""))</x:f>
      </x:c>
      <x:c r="X187" s="9" t="str">
        <x:f>IF(C187="","",IFERROR(IF(INDEX('Factors'!$P$9:$P$108,MATCH(J187,'Factors'!$C$9:$C$108,0))="","",INDEX('Factors'!$P$9:$P$108,MATCH(J187,'Factors'!$C$9:$C$108,0))),""))</x:f>
      </x:c>
    </x:row>
    <x:row r="188" ht="26" customHeight="1">
      <x:c r="A188" s="1"/>
      <x:c r="B188" s="1"/>
      <x:c r="C188" s="8"/>
      <x:c r="D188" s="8"/>
      <x:c r="E188" s="8"/>
      <x:c r="F188" s="8"/>
      <x:c r="G188" s="8"/>
      <x:c r="H188" s="16"/>
      <x:c r="I188" s="8"/>
      <x:c r="J188" s="8"/>
      <x:c r="K188" s="22"/>
      <x:c r="L188" s="8"/>
      <x:c r="M188" s="8"/>
      <x:c r="N188" s="40"/>
      <x:c r="O188" s="41" t="str">
        <x:f>IF(C188="","",IFERROR(IF(INDEX('Factors'!$G$9:$G$108,MATCH(J188,'Factors'!$C$9:$C$108,0))="","",INDEX('Factors'!$G$9:$G$108,MATCH(J188,'Factors'!$C$9:$C$108,0))),""))</x:f>
      </x:c>
      <x:c r="P188" s="9" t="str">
        <x:f>IF(C188="","",IFERROR(IF(INDEX('Factors'!$F$9:$F$108,MATCH(J188,'Factors'!$C$9:$C$108,0))="","",INDEX('Factors'!$F$9:$F$108,MATCH(J188,'Factors'!$C$9:$C$108,0))),""))</x:f>
      </x:c>
      <x:c r="Q188" s="9" t="str">
        <x:f>IF(C188="","",IFERROR(IF(INDEX('Factors'!$H$9:$H$108,MATCH(J188,'Factors'!$C$9:$C$108,0))="","",INDEX('Factors'!$H$9:$H$108,MATCH(J188,'Factors'!$C$9:$C$108,0))),""))</x:f>
      </x:c>
      <x:c r="R188" s="9" t="str">
        <x:f>IF(C188="","",IFERROR(IF(INDEX('Factors'!$E$9:$E$108,MATCH(J188,'Factors'!$C$9:$C$108,0))="","",INDEX('Factors'!$E$9:$E$108,MATCH(J188,'Factors'!$C$9:$C$108,0))),""))</x:f>
      </x:c>
      <x:c r="S188" s="42" t="str">
        <x:f>IF(C188="","",IFERROR(IF(INDEX('Factors'!$J$9:$J$108,MATCH(J188,'Factors'!$C$9:$C$108,0))="","",INDEX('Factors'!$J$9:$J$108,MATCH(J188,'Factors'!$C$9:$C$108,0))),""))</x:f>
      </x:c>
      <x:c r="T188" s="9" t="str">
        <x:f>IF(C188="","",IFERROR(IF(INDEX('Factors'!$L$9:$L$108,MATCH(J188,'Factors'!$C$9:$C$108,0))="","",INDEX('Factors'!$L$9:$L$108,MATCH(J188,'Factors'!$C$9:$C$108,0))),"")&amp;" / "&amp;IFERROR(IF(INDEX('Factors'!$M$9:$M$108,MATCH(J188,'Factors'!$C$9:$C$108,0))="","",INDEX('Factors'!$M$9:$M$108,MATCH(J188,'Factors'!$C$9:$C$108,0))),""))</x:f>
      </x:c>
      <x:c r="U188" s="21" t="str">
        <x:f>IF(V188="Ready",H188*O188/1000,"")</x:f>
      </x:c>
      <x:c r="V188" s="9" t="str">
        <x:f>IF(C188="","",IF(OR(COUNTIFS($C$9:$C$308,C188)&lt;&gt;1,COUNTIFS($D$9:$D$308,D188,$E$9:$E$308,E188,$F$9:$F$308,F188,$G$9:$G$308,G188,$K$9:$K$308,K188)&lt;&gt;1),"Duplicate annual activity",IF(COUNTIFS('Inventory'!$C$9:$C$108,D188)&lt;&gt;1,"Entity required",IF(OR(E188="",L188="",NOT(ISNUMBER(H188)),H188&lt;0,NOT(ISNUMBER(K188)),NOT(ISNUMBER(N188))),"Missing activity input",IF(AND(E188&lt;&gt;D188,OR(COUNTIFS('Sites'!$C$9:$C$108,E188)&lt;&gt;1,IFERROR(IF(INDEX('Sites'!$D$9:$D$108,MATCH(E188,'Sites'!$C$9:$C$108,0))="","",INDEX('Sites'!$D$9:$D$108,MATCH(E188,'Sites'!$C$9:$C$108,0))),"")&lt;&gt;IFERROR(IF(INDEX('Inventory'!$D$9:$D$108,MATCH(D188,'Inventory'!$C$9:$C$108,0))="","",INDEX('Inventory'!$D$9:$D$108,MATCH(D188,'Inventory'!$C$9:$C$108,0))),""),IFERROR(IF(INDEX('Sites'!$E$9:$E$108,MATCH(E188,'Sites'!$C$9:$C$108,0))="","",INDEX('Sites'!$E$9:$E$108,MATCH(E188,'Sites'!$C$9:$C$108,0))),"")&lt;&gt;W188)),"Site / entity mismatch",IF(N188&lt;'Settings'!$F$8,"Expired",IF(X188&lt;&gt;"Ready","Factor required",IF(OR(G188&lt;&gt;IFERROR(IF(INDEX('Factors'!$D$9:$D$108,MATCH(J188,'Factors'!$C$9:$C$108,0))="","",INDEX('Factors'!$D$9:$D$108,MATCH(J188,'Factors'!$C$9:$C$108,0))),""),I188&lt;&gt;P188,F188&lt;&gt;Q188,K188&lt;&gt;S188,AND(R188&lt;&gt;"Global",R188&lt;&gt;W188),K188&lt;&gt;YEAR(IFERROR(IF(INDEX('Inventory'!$H$9:$H$108,MATCH(D188,'Inventory'!$C$9:$C$108,0))="","",INDEX('Inventory'!$H$9:$H$108,MATCH(D188,'Inventory'!$C$9:$C$108,0))),""))),"Factor / boundary mismatch",IF(AND(F188="S2",IFERROR(IF(INDEX('Factors'!$I$9:$I$108,MATCH(J188,'Factors'!$C$9:$C$108,0))="","",INDEX('Factors'!$I$9:$I$108,MATCH(J188,'Factors'!$C$9:$C$108,0))),"")&lt;&gt;"Location-based"),"Use location factor",IF(M188&lt;&gt;"Actual","Estimation method review","Ready"))))))))))</x:f>
      </x:c>
      <x:c r="W188" s="9" t="str">
        <x:f>IF(C188="","",IFERROR(IF(INDEX('Inventory'!$G$9:$G$108,MATCH(D188,'Inventory'!$C$9:$C$108,0))="","",INDEX('Inventory'!$G$9:$G$108,MATCH(D188,'Inventory'!$C$9:$C$108,0))),""))</x:f>
      </x:c>
      <x:c r="X188" s="9" t="str">
        <x:f>IF(C188="","",IFERROR(IF(INDEX('Factors'!$P$9:$P$108,MATCH(J188,'Factors'!$C$9:$C$108,0))="","",INDEX('Factors'!$P$9:$P$108,MATCH(J188,'Factors'!$C$9:$C$108,0))),""))</x:f>
      </x:c>
    </x:row>
    <x:row r="189" ht="26" customHeight="1">
      <x:c r="A189" s="1"/>
      <x:c r="B189" s="1"/>
      <x:c r="C189" s="8"/>
      <x:c r="D189" s="8"/>
      <x:c r="E189" s="8"/>
      <x:c r="F189" s="8"/>
      <x:c r="G189" s="8"/>
      <x:c r="H189" s="16"/>
      <x:c r="I189" s="8"/>
      <x:c r="J189" s="8"/>
      <x:c r="K189" s="22"/>
      <x:c r="L189" s="8"/>
      <x:c r="M189" s="8"/>
      <x:c r="N189" s="40"/>
      <x:c r="O189" s="41" t="str">
        <x:f>IF(C189="","",IFERROR(IF(INDEX('Factors'!$G$9:$G$108,MATCH(J189,'Factors'!$C$9:$C$108,0))="","",INDEX('Factors'!$G$9:$G$108,MATCH(J189,'Factors'!$C$9:$C$108,0))),""))</x:f>
      </x:c>
      <x:c r="P189" s="9" t="str">
        <x:f>IF(C189="","",IFERROR(IF(INDEX('Factors'!$F$9:$F$108,MATCH(J189,'Factors'!$C$9:$C$108,0))="","",INDEX('Factors'!$F$9:$F$108,MATCH(J189,'Factors'!$C$9:$C$108,0))),""))</x:f>
      </x:c>
      <x:c r="Q189" s="9" t="str">
        <x:f>IF(C189="","",IFERROR(IF(INDEX('Factors'!$H$9:$H$108,MATCH(J189,'Factors'!$C$9:$C$108,0))="","",INDEX('Factors'!$H$9:$H$108,MATCH(J189,'Factors'!$C$9:$C$108,0))),""))</x:f>
      </x:c>
      <x:c r="R189" s="9" t="str">
        <x:f>IF(C189="","",IFERROR(IF(INDEX('Factors'!$E$9:$E$108,MATCH(J189,'Factors'!$C$9:$C$108,0))="","",INDEX('Factors'!$E$9:$E$108,MATCH(J189,'Factors'!$C$9:$C$108,0))),""))</x:f>
      </x:c>
      <x:c r="S189" s="42" t="str">
        <x:f>IF(C189="","",IFERROR(IF(INDEX('Factors'!$J$9:$J$108,MATCH(J189,'Factors'!$C$9:$C$108,0))="","",INDEX('Factors'!$J$9:$J$108,MATCH(J189,'Factors'!$C$9:$C$108,0))),""))</x:f>
      </x:c>
      <x:c r="T189" s="9" t="str">
        <x:f>IF(C189="","",IFERROR(IF(INDEX('Factors'!$L$9:$L$108,MATCH(J189,'Factors'!$C$9:$C$108,0))="","",INDEX('Factors'!$L$9:$L$108,MATCH(J189,'Factors'!$C$9:$C$108,0))),"")&amp;" / "&amp;IFERROR(IF(INDEX('Factors'!$M$9:$M$108,MATCH(J189,'Factors'!$C$9:$C$108,0))="","",INDEX('Factors'!$M$9:$M$108,MATCH(J189,'Factors'!$C$9:$C$108,0))),""))</x:f>
      </x:c>
      <x:c r="U189" s="21" t="str">
        <x:f>IF(V189="Ready",H189*O189/1000,"")</x:f>
      </x:c>
      <x:c r="V189" s="9" t="str">
        <x:f>IF(C189="","",IF(OR(COUNTIFS($C$9:$C$308,C189)&lt;&gt;1,COUNTIFS($D$9:$D$308,D189,$E$9:$E$308,E189,$F$9:$F$308,F189,$G$9:$G$308,G189,$K$9:$K$308,K189)&lt;&gt;1),"Duplicate annual activity",IF(COUNTIFS('Inventory'!$C$9:$C$108,D189)&lt;&gt;1,"Entity required",IF(OR(E189="",L189="",NOT(ISNUMBER(H189)),H189&lt;0,NOT(ISNUMBER(K189)),NOT(ISNUMBER(N189))),"Missing activity input",IF(AND(E189&lt;&gt;D189,OR(COUNTIFS('Sites'!$C$9:$C$108,E189)&lt;&gt;1,IFERROR(IF(INDEX('Sites'!$D$9:$D$108,MATCH(E189,'Sites'!$C$9:$C$108,0))="","",INDEX('Sites'!$D$9:$D$108,MATCH(E189,'Sites'!$C$9:$C$108,0))),"")&lt;&gt;IFERROR(IF(INDEX('Inventory'!$D$9:$D$108,MATCH(D189,'Inventory'!$C$9:$C$108,0))="","",INDEX('Inventory'!$D$9:$D$108,MATCH(D189,'Inventory'!$C$9:$C$108,0))),""),IFERROR(IF(INDEX('Sites'!$E$9:$E$108,MATCH(E189,'Sites'!$C$9:$C$108,0))="","",INDEX('Sites'!$E$9:$E$108,MATCH(E189,'Sites'!$C$9:$C$108,0))),"")&lt;&gt;W189)),"Site / entity mismatch",IF(N189&lt;'Settings'!$F$8,"Expired",IF(X189&lt;&gt;"Ready","Factor required",IF(OR(G189&lt;&gt;IFERROR(IF(INDEX('Factors'!$D$9:$D$108,MATCH(J189,'Factors'!$C$9:$C$108,0))="","",INDEX('Factors'!$D$9:$D$108,MATCH(J189,'Factors'!$C$9:$C$108,0))),""),I189&lt;&gt;P189,F189&lt;&gt;Q189,K189&lt;&gt;S189,AND(R189&lt;&gt;"Global",R189&lt;&gt;W189),K189&lt;&gt;YEAR(IFERROR(IF(INDEX('Inventory'!$H$9:$H$108,MATCH(D189,'Inventory'!$C$9:$C$108,0))="","",INDEX('Inventory'!$H$9:$H$108,MATCH(D189,'Inventory'!$C$9:$C$108,0))),""))),"Factor / boundary mismatch",IF(AND(F189="S2",IFERROR(IF(INDEX('Factors'!$I$9:$I$108,MATCH(J189,'Factors'!$C$9:$C$108,0))="","",INDEX('Factors'!$I$9:$I$108,MATCH(J189,'Factors'!$C$9:$C$108,0))),"")&lt;&gt;"Location-based"),"Use location factor",IF(M189&lt;&gt;"Actual","Estimation method review","Ready"))))))))))</x:f>
      </x:c>
      <x:c r="W189" s="9" t="str">
        <x:f>IF(C189="","",IFERROR(IF(INDEX('Inventory'!$G$9:$G$108,MATCH(D189,'Inventory'!$C$9:$C$108,0))="","",INDEX('Inventory'!$G$9:$G$108,MATCH(D189,'Inventory'!$C$9:$C$108,0))),""))</x:f>
      </x:c>
      <x:c r="X189" s="9" t="str">
        <x:f>IF(C189="","",IFERROR(IF(INDEX('Factors'!$P$9:$P$108,MATCH(J189,'Factors'!$C$9:$C$108,0))="","",INDEX('Factors'!$P$9:$P$108,MATCH(J189,'Factors'!$C$9:$C$108,0))),""))</x:f>
      </x:c>
    </x:row>
    <x:row r="190" ht="26" customHeight="1">
      <x:c r="A190" s="1"/>
      <x:c r="B190" s="1"/>
      <x:c r="C190" s="8"/>
      <x:c r="D190" s="8"/>
      <x:c r="E190" s="8"/>
      <x:c r="F190" s="8"/>
      <x:c r="G190" s="8"/>
      <x:c r="H190" s="16"/>
      <x:c r="I190" s="8"/>
      <x:c r="J190" s="8"/>
      <x:c r="K190" s="22"/>
      <x:c r="L190" s="8"/>
      <x:c r="M190" s="8"/>
      <x:c r="N190" s="40"/>
      <x:c r="O190" s="41" t="str">
        <x:f>IF(C190="","",IFERROR(IF(INDEX('Factors'!$G$9:$G$108,MATCH(J190,'Factors'!$C$9:$C$108,0))="","",INDEX('Factors'!$G$9:$G$108,MATCH(J190,'Factors'!$C$9:$C$108,0))),""))</x:f>
      </x:c>
      <x:c r="P190" s="9" t="str">
        <x:f>IF(C190="","",IFERROR(IF(INDEX('Factors'!$F$9:$F$108,MATCH(J190,'Factors'!$C$9:$C$108,0))="","",INDEX('Factors'!$F$9:$F$108,MATCH(J190,'Factors'!$C$9:$C$108,0))),""))</x:f>
      </x:c>
      <x:c r="Q190" s="9" t="str">
        <x:f>IF(C190="","",IFERROR(IF(INDEX('Factors'!$H$9:$H$108,MATCH(J190,'Factors'!$C$9:$C$108,0))="","",INDEX('Factors'!$H$9:$H$108,MATCH(J190,'Factors'!$C$9:$C$108,0))),""))</x:f>
      </x:c>
      <x:c r="R190" s="9" t="str">
        <x:f>IF(C190="","",IFERROR(IF(INDEX('Factors'!$E$9:$E$108,MATCH(J190,'Factors'!$C$9:$C$108,0))="","",INDEX('Factors'!$E$9:$E$108,MATCH(J190,'Factors'!$C$9:$C$108,0))),""))</x:f>
      </x:c>
      <x:c r="S190" s="42" t="str">
        <x:f>IF(C190="","",IFERROR(IF(INDEX('Factors'!$J$9:$J$108,MATCH(J190,'Factors'!$C$9:$C$108,0))="","",INDEX('Factors'!$J$9:$J$108,MATCH(J190,'Factors'!$C$9:$C$108,0))),""))</x:f>
      </x:c>
      <x:c r="T190" s="9" t="str">
        <x:f>IF(C190="","",IFERROR(IF(INDEX('Factors'!$L$9:$L$108,MATCH(J190,'Factors'!$C$9:$C$108,0))="","",INDEX('Factors'!$L$9:$L$108,MATCH(J190,'Factors'!$C$9:$C$108,0))),"")&amp;" / "&amp;IFERROR(IF(INDEX('Factors'!$M$9:$M$108,MATCH(J190,'Factors'!$C$9:$C$108,0))="","",INDEX('Factors'!$M$9:$M$108,MATCH(J190,'Factors'!$C$9:$C$108,0))),""))</x:f>
      </x:c>
      <x:c r="U190" s="21" t="str">
        <x:f>IF(V190="Ready",H190*O190/1000,"")</x:f>
      </x:c>
      <x:c r="V190" s="9" t="str">
        <x:f>IF(C190="","",IF(OR(COUNTIFS($C$9:$C$308,C190)&lt;&gt;1,COUNTIFS($D$9:$D$308,D190,$E$9:$E$308,E190,$F$9:$F$308,F190,$G$9:$G$308,G190,$K$9:$K$308,K190)&lt;&gt;1),"Duplicate annual activity",IF(COUNTIFS('Inventory'!$C$9:$C$108,D190)&lt;&gt;1,"Entity required",IF(OR(E190="",L190="",NOT(ISNUMBER(H190)),H190&lt;0,NOT(ISNUMBER(K190)),NOT(ISNUMBER(N190))),"Missing activity input",IF(AND(E190&lt;&gt;D190,OR(COUNTIFS('Sites'!$C$9:$C$108,E190)&lt;&gt;1,IFERROR(IF(INDEX('Sites'!$D$9:$D$108,MATCH(E190,'Sites'!$C$9:$C$108,0))="","",INDEX('Sites'!$D$9:$D$108,MATCH(E190,'Sites'!$C$9:$C$108,0))),"")&lt;&gt;IFERROR(IF(INDEX('Inventory'!$D$9:$D$108,MATCH(D190,'Inventory'!$C$9:$C$108,0))="","",INDEX('Inventory'!$D$9:$D$108,MATCH(D190,'Inventory'!$C$9:$C$108,0))),""),IFERROR(IF(INDEX('Sites'!$E$9:$E$108,MATCH(E190,'Sites'!$C$9:$C$108,0))="","",INDEX('Sites'!$E$9:$E$108,MATCH(E190,'Sites'!$C$9:$C$108,0))),"")&lt;&gt;W190)),"Site / entity mismatch",IF(N190&lt;'Settings'!$F$8,"Expired",IF(X190&lt;&gt;"Ready","Factor required",IF(OR(G190&lt;&gt;IFERROR(IF(INDEX('Factors'!$D$9:$D$108,MATCH(J190,'Factors'!$C$9:$C$108,0))="","",INDEX('Factors'!$D$9:$D$108,MATCH(J190,'Factors'!$C$9:$C$108,0))),""),I190&lt;&gt;P190,F190&lt;&gt;Q190,K190&lt;&gt;S190,AND(R190&lt;&gt;"Global",R190&lt;&gt;W190),K190&lt;&gt;YEAR(IFERROR(IF(INDEX('Inventory'!$H$9:$H$108,MATCH(D190,'Inventory'!$C$9:$C$108,0))="","",INDEX('Inventory'!$H$9:$H$108,MATCH(D190,'Inventory'!$C$9:$C$108,0))),""))),"Factor / boundary mismatch",IF(AND(F190="S2",IFERROR(IF(INDEX('Factors'!$I$9:$I$108,MATCH(J190,'Factors'!$C$9:$C$108,0))="","",INDEX('Factors'!$I$9:$I$108,MATCH(J190,'Factors'!$C$9:$C$108,0))),"")&lt;&gt;"Location-based"),"Use location factor",IF(M190&lt;&gt;"Actual","Estimation method review","Ready"))))))))))</x:f>
      </x:c>
      <x:c r="W190" s="9" t="str">
        <x:f>IF(C190="","",IFERROR(IF(INDEX('Inventory'!$G$9:$G$108,MATCH(D190,'Inventory'!$C$9:$C$108,0))="","",INDEX('Inventory'!$G$9:$G$108,MATCH(D190,'Inventory'!$C$9:$C$108,0))),""))</x:f>
      </x:c>
      <x:c r="X190" s="9" t="str">
        <x:f>IF(C190="","",IFERROR(IF(INDEX('Factors'!$P$9:$P$108,MATCH(J190,'Factors'!$C$9:$C$108,0))="","",INDEX('Factors'!$P$9:$P$108,MATCH(J190,'Factors'!$C$9:$C$108,0))),""))</x:f>
      </x:c>
    </x:row>
    <x:row r="191" ht="26" customHeight="1">
      <x:c r="A191" s="1"/>
      <x:c r="B191" s="1"/>
      <x:c r="C191" s="8"/>
      <x:c r="D191" s="8"/>
      <x:c r="E191" s="8"/>
      <x:c r="F191" s="8"/>
      <x:c r="G191" s="8"/>
      <x:c r="H191" s="16"/>
      <x:c r="I191" s="8"/>
      <x:c r="J191" s="8"/>
      <x:c r="K191" s="22"/>
      <x:c r="L191" s="8"/>
      <x:c r="M191" s="8"/>
      <x:c r="N191" s="40"/>
      <x:c r="O191" s="41" t="str">
        <x:f>IF(C191="","",IFERROR(IF(INDEX('Factors'!$G$9:$G$108,MATCH(J191,'Factors'!$C$9:$C$108,0))="","",INDEX('Factors'!$G$9:$G$108,MATCH(J191,'Factors'!$C$9:$C$108,0))),""))</x:f>
      </x:c>
      <x:c r="P191" s="9" t="str">
        <x:f>IF(C191="","",IFERROR(IF(INDEX('Factors'!$F$9:$F$108,MATCH(J191,'Factors'!$C$9:$C$108,0))="","",INDEX('Factors'!$F$9:$F$108,MATCH(J191,'Factors'!$C$9:$C$108,0))),""))</x:f>
      </x:c>
      <x:c r="Q191" s="9" t="str">
        <x:f>IF(C191="","",IFERROR(IF(INDEX('Factors'!$H$9:$H$108,MATCH(J191,'Factors'!$C$9:$C$108,0))="","",INDEX('Factors'!$H$9:$H$108,MATCH(J191,'Factors'!$C$9:$C$108,0))),""))</x:f>
      </x:c>
      <x:c r="R191" s="9" t="str">
        <x:f>IF(C191="","",IFERROR(IF(INDEX('Factors'!$E$9:$E$108,MATCH(J191,'Factors'!$C$9:$C$108,0))="","",INDEX('Factors'!$E$9:$E$108,MATCH(J191,'Factors'!$C$9:$C$108,0))),""))</x:f>
      </x:c>
      <x:c r="S191" s="42" t="str">
        <x:f>IF(C191="","",IFERROR(IF(INDEX('Factors'!$J$9:$J$108,MATCH(J191,'Factors'!$C$9:$C$108,0))="","",INDEX('Factors'!$J$9:$J$108,MATCH(J191,'Factors'!$C$9:$C$108,0))),""))</x:f>
      </x:c>
      <x:c r="T191" s="9" t="str">
        <x:f>IF(C191="","",IFERROR(IF(INDEX('Factors'!$L$9:$L$108,MATCH(J191,'Factors'!$C$9:$C$108,0))="","",INDEX('Factors'!$L$9:$L$108,MATCH(J191,'Factors'!$C$9:$C$108,0))),"")&amp;" / "&amp;IFERROR(IF(INDEX('Factors'!$M$9:$M$108,MATCH(J191,'Factors'!$C$9:$C$108,0))="","",INDEX('Factors'!$M$9:$M$108,MATCH(J191,'Factors'!$C$9:$C$108,0))),""))</x:f>
      </x:c>
      <x:c r="U191" s="21" t="str">
        <x:f>IF(V191="Ready",H191*O191/1000,"")</x:f>
      </x:c>
      <x:c r="V191" s="9" t="str">
        <x:f>IF(C191="","",IF(OR(COUNTIFS($C$9:$C$308,C191)&lt;&gt;1,COUNTIFS($D$9:$D$308,D191,$E$9:$E$308,E191,$F$9:$F$308,F191,$G$9:$G$308,G191,$K$9:$K$308,K191)&lt;&gt;1),"Duplicate annual activity",IF(COUNTIFS('Inventory'!$C$9:$C$108,D191)&lt;&gt;1,"Entity required",IF(OR(E191="",L191="",NOT(ISNUMBER(H191)),H191&lt;0,NOT(ISNUMBER(K191)),NOT(ISNUMBER(N191))),"Missing activity input",IF(AND(E191&lt;&gt;D191,OR(COUNTIFS('Sites'!$C$9:$C$108,E191)&lt;&gt;1,IFERROR(IF(INDEX('Sites'!$D$9:$D$108,MATCH(E191,'Sites'!$C$9:$C$108,0))="","",INDEX('Sites'!$D$9:$D$108,MATCH(E191,'Sites'!$C$9:$C$108,0))),"")&lt;&gt;IFERROR(IF(INDEX('Inventory'!$D$9:$D$108,MATCH(D191,'Inventory'!$C$9:$C$108,0))="","",INDEX('Inventory'!$D$9:$D$108,MATCH(D191,'Inventory'!$C$9:$C$108,0))),""),IFERROR(IF(INDEX('Sites'!$E$9:$E$108,MATCH(E191,'Sites'!$C$9:$C$108,0))="","",INDEX('Sites'!$E$9:$E$108,MATCH(E191,'Sites'!$C$9:$C$108,0))),"")&lt;&gt;W191)),"Site / entity mismatch",IF(N191&lt;'Settings'!$F$8,"Expired",IF(X191&lt;&gt;"Ready","Factor required",IF(OR(G191&lt;&gt;IFERROR(IF(INDEX('Factors'!$D$9:$D$108,MATCH(J191,'Factors'!$C$9:$C$108,0))="","",INDEX('Factors'!$D$9:$D$108,MATCH(J191,'Factors'!$C$9:$C$108,0))),""),I191&lt;&gt;P191,F191&lt;&gt;Q191,K191&lt;&gt;S191,AND(R191&lt;&gt;"Global",R191&lt;&gt;W191),K191&lt;&gt;YEAR(IFERROR(IF(INDEX('Inventory'!$H$9:$H$108,MATCH(D191,'Inventory'!$C$9:$C$108,0))="","",INDEX('Inventory'!$H$9:$H$108,MATCH(D191,'Inventory'!$C$9:$C$108,0))),""))),"Factor / boundary mismatch",IF(AND(F191="S2",IFERROR(IF(INDEX('Factors'!$I$9:$I$108,MATCH(J191,'Factors'!$C$9:$C$108,0))="","",INDEX('Factors'!$I$9:$I$108,MATCH(J191,'Factors'!$C$9:$C$108,0))),"")&lt;&gt;"Location-based"),"Use location factor",IF(M191&lt;&gt;"Actual","Estimation method review","Ready"))))))))))</x:f>
      </x:c>
      <x:c r="W191" s="9" t="str">
        <x:f>IF(C191="","",IFERROR(IF(INDEX('Inventory'!$G$9:$G$108,MATCH(D191,'Inventory'!$C$9:$C$108,0))="","",INDEX('Inventory'!$G$9:$G$108,MATCH(D191,'Inventory'!$C$9:$C$108,0))),""))</x:f>
      </x:c>
      <x:c r="X191" s="9" t="str">
        <x:f>IF(C191="","",IFERROR(IF(INDEX('Factors'!$P$9:$P$108,MATCH(J191,'Factors'!$C$9:$C$108,0))="","",INDEX('Factors'!$P$9:$P$108,MATCH(J191,'Factors'!$C$9:$C$108,0))),""))</x:f>
      </x:c>
    </x:row>
    <x:row r="192" ht="26" customHeight="1">
      <x:c r="A192" s="1"/>
      <x:c r="B192" s="1"/>
      <x:c r="C192" s="8"/>
      <x:c r="D192" s="8"/>
      <x:c r="E192" s="8"/>
      <x:c r="F192" s="8"/>
      <x:c r="G192" s="8"/>
      <x:c r="H192" s="16"/>
      <x:c r="I192" s="8"/>
      <x:c r="J192" s="8"/>
      <x:c r="K192" s="22"/>
      <x:c r="L192" s="8"/>
      <x:c r="M192" s="8"/>
      <x:c r="N192" s="40"/>
      <x:c r="O192" s="41" t="str">
        <x:f>IF(C192="","",IFERROR(IF(INDEX('Factors'!$G$9:$G$108,MATCH(J192,'Factors'!$C$9:$C$108,0))="","",INDEX('Factors'!$G$9:$G$108,MATCH(J192,'Factors'!$C$9:$C$108,0))),""))</x:f>
      </x:c>
      <x:c r="P192" s="9" t="str">
        <x:f>IF(C192="","",IFERROR(IF(INDEX('Factors'!$F$9:$F$108,MATCH(J192,'Factors'!$C$9:$C$108,0))="","",INDEX('Factors'!$F$9:$F$108,MATCH(J192,'Factors'!$C$9:$C$108,0))),""))</x:f>
      </x:c>
      <x:c r="Q192" s="9" t="str">
        <x:f>IF(C192="","",IFERROR(IF(INDEX('Factors'!$H$9:$H$108,MATCH(J192,'Factors'!$C$9:$C$108,0))="","",INDEX('Factors'!$H$9:$H$108,MATCH(J192,'Factors'!$C$9:$C$108,0))),""))</x:f>
      </x:c>
      <x:c r="R192" s="9" t="str">
        <x:f>IF(C192="","",IFERROR(IF(INDEX('Factors'!$E$9:$E$108,MATCH(J192,'Factors'!$C$9:$C$108,0))="","",INDEX('Factors'!$E$9:$E$108,MATCH(J192,'Factors'!$C$9:$C$108,0))),""))</x:f>
      </x:c>
      <x:c r="S192" s="42" t="str">
        <x:f>IF(C192="","",IFERROR(IF(INDEX('Factors'!$J$9:$J$108,MATCH(J192,'Factors'!$C$9:$C$108,0))="","",INDEX('Factors'!$J$9:$J$108,MATCH(J192,'Factors'!$C$9:$C$108,0))),""))</x:f>
      </x:c>
      <x:c r="T192" s="9" t="str">
        <x:f>IF(C192="","",IFERROR(IF(INDEX('Factors'!$L$9:$L$108,MATCH(J192,'Factors'!$C$9:$C$108,0))="","",INDEX('Factors'!$L$9:$L$108,MATCH(J192,'Factors'!$C$9:$C$108,0))),"")&amp;" / "&amp;IFERROR(IF(INDEX('Factors'!$M$9:$M$108,MATCH(J192,'Factors'!$C$9:$C$108,0))="","",INDEX('Factors'!$M$9:$M$108,MATCH(J192,'Factors'!$C$9:$C$108,0))),""))</x:f>
      </x:c>
      <x:c r="U192" s="21" t="str">
        <x:f>IF(V192="Ready",H192*O192/1000,"")</x:f>
      </x:c>
      <x:c r="V192" s="9" t="str">
        <x:f>IF(C192="","",IF(OR(COUNTIFS($C$9:$C$308,C192)&lt;&gt;1,COUNTIFS($D$9:$D$308,D192,$E$9:$E$308,E192,$F$9:$F$308,F192,$G$9:$G$308,G192,$K$9:$K$308,K192)&lt;&gt;1),"Duplicate annual activity",IF(COUNTIFS('Inventory'!$C$9:$C$108,D192)&lt;&gt;1,"Entity required",IF(OR(E192="",L192="",NOT(ISNUMBER(H192)),H192&lt;0,NOT(ISNUMBER(K192)),NOT(ISNUMBER(N192))),"Missing activity input",IF(AND(E192&lt;&gt;D192,OR(COUNTIFS('Sites'!$C$9:$C$108,E192)&lt;&gt;1,IFERROR(IF(INDEX('Sites'!$D$9:$D$108,MATCH(E192,'Sites'!$C$9:$C$108,0))="","",INDEX('Sites'!$D$9:$D$108,MATCH(E192,'Sites'!$C$9:$C$108,0))),"")&lt;&gt;IFERROR(IF(INDEX('Inventory'!$D$9:$D$108,MATCH(D192,'Inventory'!$C$9:$C$108,0))="","",INDEX('Inventory'!$D$9:$D$108,MATCH(D192,'Inventory'!$C$9:$C$108,0))),""),IFERROR(IF(INDEX('Sites'!$E$9:$E$108,MATCH(E192,'Sites'!$C$9:$C$108,0))="","",INDEX('Sites'!$E$9:$E$108,MATCH(E192,'Sites'!$C$9:$C$108,0))),"")&lt;&gt;W192)),"Site / entity mismatch",IF(N192&lt;'Settings'!$F$8,"Expired",IF(X192&lt;&gt;"Ready","Factor required",IF(OR(G192&lt;&gt;IFERROR(IF(INDEX('Factors'!$D$9:$D$108,MATCH(J192,'Factors'!$C$9:$C$108,0))="","",INDEX('Factors'!$D$9:$D$108,MATCH(J192,'Factors'!$C$9:$C$108,0))),""),I192&lt;&gt;P192,F192&lt;&gt;Q192,K192&lt;&gt;S192,AND(R192&lt;&gt;"Global",R192&lt;&gt;W192),K192&lt;&gt;YEAR(IFERROR(IF(INDEX('Inventory'!$H$9:$H$108,MATCH(D192,'Inventory'!$C$9:$C$108,0))="","",INDEX('Inventory'!$H$9:$H$108,MATCH(D192,'Inventory'!$C$9:$C$108,0))),""))),"Factor / boundary mismatch",IF(AND(F192="S2",IFERROR(IF(INDEX('Factors'!$I$9:$I$108,MATCH(J192,'Factors'!$C$9:$C$108,0))="","",INDEX('Factors'!$I$9:$I$108,MATCH(J192,'Factors'!$C$9:$C$108,0))),"")&lt;&gt;"Location-based"),"Use location factor",IF(M192&lt;&gt;"Actual","Estimation method review","Ready"))))))))))</x:f>
      </x:c>
      <x:c r="W192" s="9" t="str">
        <x:f>IF(C192="","",IFERROR(IF(INDEX('Inventory'!$G$9:$G$108,MATCH(D192,'Inventory'!$C$9:$C$108,0))="","",INDEX('Inventory'!$G$9:$G$108,MATCH(D192,'Inventory'!$C$9:$C$108,0))),""))</x:f>
      </x:c>
      <x:c r="X192" s="9" t="str">
        <x:f>IF(C192="","",IFERROR(IF(INDEX('Factors'!$P$9:$P$108,MATCH(J192,'Factors'!$C$9:$C$108,0))="","",INDEX('Factors'!$P$9:$P$108,MATCH(J192,'Factors'!$C$9:$C$108,0))),""))</x:f>
      </x:c>
    </x:row>
    <x:row r="193" ht="26" customHeight="1">
      <x:c r="A193" s="1"/>
      <x:c r="B193" s="1"/>
      <x:c r="C193" s="8"/>
      <x:c r="D193" s="8"/>
      <x:c r="E193" s="8"/>
      <x:c r="F193" s="8"/>
      <x:c r="G193" s="8"/>
      <x:c r="H193" s="16"/>
      <x:c r="I193" s="8"/>
      <x:c r="J193" s="8"/>
      <x:c r="K193" s="22"/>
      <x:c r="L193" s="8"/>
      <x:c r="M193" s="8"/>
      <x:c r="N193" s="40"/>
      <x:c r="O193" s="41" t="str">
        <x:f>IF(C193="","",IFERROR(IF(INDEX('Factors'!$G$9:$G$108,MATCH(J193,'Factors'!$C$9:$C$108,0))="","",INDEX('Factors'!$G$9:$G$108,MATCH(J193,'Factors'!$C$9:$C$108,0))),""))</x:f>
      </x:c>
      <x:c r="P193" s="9" t="str">
        <x:f>IF(C193="","",IFERROR(IF(INDEX('Factors'!$F$9:$F$108,MATCH(J193,'Factors'!$C$9:$C$108,0))="","",INDEX('Factors'!$F$9:$F$108,MATCH(J193,'Factors'!$C$9:$C$108,0))),""))</x:f>
      </x:c>
      <x:c r="Q193" s="9" t="str">
        <x:f>IF(C193="","",IFERROR(IF(INDEX('Factors'!$H$9:$H$108,MATCH(J193,'Factors'!$C$9:$C$108,0))="","",INDEX('Factors'!$H$9:$H$108,MATCH(J193,'Factors'!$C$9:$C$108,0))),""))</x:f>
      </x:c>
      <x:c r="R193" s="9" t="str">
        <x:f>IF(C193="","",IFERROR(IF(INDEX('Factors'!$E$9:$E$108,MATCH(J193,'Factors'!$C$9:$C$108,0))="","",INDEX('Factors'!$E$9:$E$108,MATCH(J193,'Factors'!$C$9:$C$108,0))),""))</x:f>
      </x:c>
      <x:c r="S193" s="42" t="str">
        <x:f>IF(C193="","",IFERROR(IF(INDEX('Factors'!$J$9:$J$108,MATCH(J193,'Factors'!$C$9:$C$108,0))="","",INDEX('Factors'!$J$9:$J$108,MATCH(J193,'Factors'!$C$9:$C$108,0))),""))</x:f>
      </x:c>
      <x:c r="T193" s="9" t="str">
        <x:f>IF(C193="","",IFERROR(IF(INDEX('Factors'!$L$9:$L$108,MATCH(J193,'Factors'!$C$9:$C$108,0))="","",INDEX('Factors'!$L$9:$L$108,MATCH(J193,'Factors'!$C$9:$C$108,0))),"")&amp;" / "&amp;IFERROR(IF(INDEX('Factors'!$M$9:$M$108,MATCH(J193,'Factors'!$C$9:$C$108,0))="","",INDEX('Factors'!$M$9:$M$108,MATCH(J193,'Factors'!$C$9:$C$108,0))),""))</x:f>
      </x:c>
      <x:c r="U193" s="21" t="str">
        <x:f>IF(V193="Ready",H193*O193/1000,"")</x:f>
      </x:c>
      <x:c r="V193" s="9" t="str">
        <x:f>IF(C193="","",IF(OR(COUNTIFS($C$9:$C$308,C193)&lt;&gt;1,COUNTIFS($D$9:$D$308,D193,$E$9:$E$308,E193,$F$9:$F$308,F193,$G$9:$G$308,G193,$K$9:$K$308,K193)&lt;&gt;1),"Duplicate annual activity",IF(COUNTIFS('Inventory'!$C$9:$C$108,D193)&lt;&gt;1,"Entity required",IF(OR(E193="",L193="",NOT(ISNUMBER(H193)),H193&lt;0,NOT(ISNUMBER(K193)),NOT(ISNUMBER(N193))),"Missing activity input",IF(AND(E193&lt;&gt;D193,OR(COUNTIFS('Sites'!$C$9:$C$108,E193)&lt;&gt;1,IFERROR(IF(INDEX('Sites'!$D$9:$D$108,MATCH(E193,'Sites'!$C$9:$C$108,0))="","",INDEX('Sites'!$D$9:$D$108,MATCH(E193,'Sites'!$C$9:$C$108,0))),"")&lt;&gt;IFERROR(IF(INDEX('Inventory'!$D$9:$D$108,MATCH(D193,'Inventory'!$C$9:$C$108,0))="","",INDEX('Inventory'!$D$9:$D$108,MATCH(D193,'Inventory'!$C$9:$C$108,0))),""),IFERROR(IF(INDEX('Sites'!$E$9:$E$108,MATCH(E193,'Sites'!$C$9:$C$108,0))="","",INDEX('Sites'!$E$9:$E$108,MATCH(E193,'Sites'!$C$9:$C$108,0))),"")&lt;&gt;W193)),"Site / entity mismatch",IF(N193&lt;'Settings'!$F$8,"Expired",IF(X193&lt;&gt;"Ready","Factor required",IF(OR(G193&lt;&gt;IFERROR(IF(INDEX('Factors'!$D$9:$D$108,MATCH(J193,'Factors'!$C$9:$C$108,0))="","",INDEX('Factors'!$D$9:$D$108,MATCH(J193,'Factors'!$C$9:$C$108,0))),""),I193&lt;&gt;P193,F193&lt;&gt;Q193,K193&lt;&gt;S193,AND(R193&lt;&gt;"Global",R193&lt;&gt;W193),K193&lt;&gt;YEAR(IFERROR(IF(INDEX('Inventory'!$H$9:$H$108,MATCH(D193,'Inventory'!$C$9:$C$108,0))="","",INDEX('Inventory'!$H$9:$H$108,MATCH(D193,'Inventory'!$C$9:$C$108,0))),""))),"Factor / boundary mismatch",IF(AND(F193="S2",IFERROR(IF(INDEX('Factors'!$I$9:$I$108,MATCH(J193,'Factors'!$C$9:$C$108,0))="","",INDEX('Factors'!$I$9:$I$108,MATCH(J193,'Factors'!$C$9:$C$108,0))),"")&lt;&gt;"Location-based"),"Use location factor",IF(M193&lt;&gt;"Actual","Estimation method review","Ready"))))))))))</x:f>
      </x:c>
      <x:c r="W193" s="9" t="str">
        <x:f>IF(C193="","",IFERROR(IF(INDEX('Inventory'!$G$9:$G$108,MATCH(D193,'Inventory'!$C$9:$C$108,0))="","",INDEX('Inventory'!$G$9:$G$108,MATCH(D193,'Inventory'!$C$9:$C$108,0))),""))</x:f>
      </x:c>
      <x:c r="X193" s="9" t="str">
        <x:f>IF(C193="","",IFERROR(IF(INDEX('Factors'!$P$9:$P$108,MATCH(J193,'Factors'!$C$9:$C$108,0))="","",INDEX('Factors'!$P$9:$P$108,MATCH(J193,'Factors'!$C$9:$C$108,0))),""))</x:f>
      </x:c>
    </x:row>
    <x:row r="194" ht="26" customHeight="1">
      <x:c r="A194" s="1"/>
      <x:c r="B194" s="1"/>
      <x:c r="C194" s="8"/>
      <x:c r="D194" s="8"/>
      <x:c r="E194" s="8"/>
      <x:c r="F194" s="8"/>
      <x:c r="G194" s="8"/>
      <x:c r="H194" s="16"/>
      <x:c r="I194" s="8"/>
      <x:c r="J194" s="8"/>
      <x:c r="K194" s="22"/>
      <x:c r="L194" s="8"/>
      <x:c r="M194" s="8"/>
      <x:c r="N194" s="40"/>
      <x:c r="O194" s="41" t="str">
        <x:f>IF(C194="","",IFERROR(IF(INDEX('Factors'!$G$9:$G$108,MATCH(J194,'Factors'!$C$9:$C$108,0))="","",INDEX('Factors'!$G$9:$G$108,MATCH(J194,'Factors'!$C$9:$C$108,0))),""))</x:f>
      </x:c>
      <x:c r="P194" s="9" t="str">
        <x:f>IF(C194="","",IFERROR(IF(INDEX('Factors'!$F$9:$F$108,MATCH(J194,'Factors'!$C$9:$C$108,0))="","",INDEX('Factors'!$F$9:$F$108,MATCH(J194,'Factors'!$C$9:$C$108,0))),""))</x:f>
      </x:c>
      <x:c r="Q194" s="9" t="str">
        <x:f>IF(C194="","",IFERROR(IF(INDEX('Factors'!$H$9:$H$108,MATCH(J194,'Factors'!$C$9:$C$108,0))="","",INDEX('Factors'!$H$9:$H$108,MATCH(J194,'Factors'!$C$9:$C$108,0))),""))</x:f>
      </x:c>
      <x:c r="R194" s="9" t="str">
        <x:f>IF(C194="","",IFERROR(IF(INDEX('Factors'!$E$9:$E$108,MATCH(J194,'Factors'!$C$9:$C$108,0))="","",INDEX('Factors'!$E$9:$E$108,MATCH(J194,'Factors'!$C$9:$C$108,0))),""))</x:f>
      </x:c>
      <x:c r="S194" s="42" t="str">
        <x:f>IF(C194="","",IFERROR(IF(INDEX('Factors'!$J$9:$J$108,MATCH(J194,'Factors'!$C$9:$C$108,0))="","",INDEX('Factors'!$J$9:$J$108,MATCH(J194,'Factors'!$C$9:$C$108,0))),""))</x:f>
      </x:c>
      <x:c r="T194" s="9" t="str">
        <x:f>IF(C194="","",IFERROR(IF(INDEX('Factors'!$L$9:$L$108,MATCH(J194,'Factors'!$C$9:$C$108,0))="","",INDEX('Factors'!$L$9:$L$108,MATCH(J194,'Factors'!$C$9:$C$108,0))),"")&amp;" / "&amp;IFERROR(IF(INDEX('Factors'!$M$9:$M$108,MATCH(J194,'Factors'!$C$9:$C$108,0))="","",INDEX('Factors'!$M$9:$M$108,MATCH(J194,'Factors'!$C$9:$C$108,0))),""))</x:f>
      </x:c>
      <x:c r="U194" s="21" t="str">
        <x:f>IF(V194="Ready",H194*O194/1000,"")</x:f>
      </x:c>
      <x:c r="V194" s="9" t="str">
        <x:f>IF(C194="","",IF(OR(COUNTIFS($C$9:$C$308,C194)&lt;&gt;1,COUNTIFS($D$9:$D$308,D194,$E$9:$E$308,E194,$F$9:$F$308,F194,$G$9:$G$308,G194,$K$9:$K$308,K194)&lt;&gt;1),"Duplicate annual activity",IF(COUNTIFS('Inventory'!$C$9:$C$108,D194)&lt;&gt;1,"Entity required",IF(OR(E194="",L194="",NOT(ISNUMBER(H194)),H194&lt;0,NOT(ISNUMBER(K194)),NOT(ISNUMBER(N194))),"Missing activity input",IF(AND(E194&lt;&gt;D194,OR(COUNTIFS('Sites'!$C$9:$C$108,E194)&lt;&gt;1,IFERROR(IF(INDEX('Sites'!$D$9:$D$108,MATCH(E194,'Sites'!$C$9:$C$108,0))="","",INDEX('Sites'!$D$9:$D$108,MATCH(E194,'Sites'!$C$9:$C$108,0))),"")&lt;&gt;IFERROR(IF(INDEX('Inventory'!$D$9:$D$108,MATCH(D194,'Inventory'!$C$9:$C$108,0))="","",INDEX('Inventory'!$D$9:$D$108,MATCH(D194,'Inventory'!$C$9:$C$108,0))),""),IFERROR(IF(INDEX('Sites'!$E$9:$E$108,MATCH(E194,'Sites'!$C$9:$C$108,0))="","",INDEX('Sites'!$E$9:$E$108,MATCH(E194,'Sites'!$C$9:$C$108,0))),"")&lt;&gt;W194)),"Site / entity mismatch",IF(N194&lt;'Settings'!$F$8,"Expired",IF(X194&lt;&gt;"Ready","Factor required",IF(OR(G194&lt;&gt;IFERROR(IF(INDEX('Factors'!$D$9:$D$108,MATCH(J194,'Factors'!$C$9:$C$108,0))="","",INDEX('Factors'!$D$9:$D$108,MATCH(J194,'Factors'!$C$9:$C$108,0))),""),I194&lt;&gt;P194,F194&lt;&gt;Q194,K194&lt;&gt;S194,AND(R194&lt;&gt;"Global",R194&lt;&gt;W194),K194&lt;&gt;YEAR(IFERROR(IF(INDEX('Inventory'!$H$9:$H$108,MATCH(D194,'Inventory'!$C$9:$C$108,0))="","",INDEX('Inventory'!$H$9:$H$108,MATCH(D194,'Inventory'!$C$9:$C$108,0))),""))),"Factor / boundary mismatch",IF(AND(F194="S2",IFERROR(IF(INDEX('Factors'!$I$9:$I$108,MATCH(J194,'Factors'!$C$9:$C$108,0))="","",INDEX('Factors'!$I$9:$I$108,MATCH(J194,'Factors'!$C$9:$C$108,0))),"")&lt;&gt;"Location-based"),"Use location factor",IF(M194&lt;&gt;"Actual","Estimation method review","Ready"))))))))))</x:f>
      </x:c>
      <x:c r="W194" s="9" t="str">
        <x:f>IF(C194="","",IFERROR(IF(INDEX('Inventory'!$G$9:$G$108,MATCH(D194,'Inventory'!$C$9:$C$108,0))="","",INDEX('Inventory'!$G$9:$G$108,MATCH(D194,'Inventory'!$C$9:$C$108,0))),""))</x:f>
      </x:c>
      <x:c r="X194" s="9" t="str">
        <x:f>IF(C194="","",IFERROR(IF(INDEX('Factors'!$P$9:$P$108,MATCH(J194,'Factors'!$C$9:$C$108,0))="","",INDEX('Factors'!$P$9:$P$108,MATCH(J194,'Factors'!$C$9:$C$108,0))),""))</x:f>
      </x:c>
    </x:row>
    <x:row r="195" ht="26" customHeight="1">
      <x:c r="A195" s="1"/>
      <x:c r="B195" s="1"/>
      <x:c r="C195" s="8"/>
      <x:c r="D195" s="8"/>
      <x:c r="E195" s="8"/>
      <x:c r="F195" s="8"/>
      <x:c r="G195" s="8"/>
      <x:c r="H195" s="16"/>
      <x:c r="I195" s="8"/>
      <x:c r="J195" s="8"/>
      <x:c r="K195" s="22"/>
      <x:c r="L195" s="8"/>
      <x:c r="M195" s="8"/>
      <x:c r="N195" s="40"/>
      <x:c r="O195" s="41" t="str">
        <x:f>IF(C195="","",IFERROR(IF(INDEX('Factors'!$G$9:$G$108,MATCH(J195,'Factors'!$C$9:$C$108,0))="","",INDEX('Factors'!$G$9:$G$108,MATCH(J195,'Factors'!$C$9:$C$108,0))),""))</x:f>
      </x:c>
      <x:c r="P195" s="9" t="str">
        <x:f>IF(C195="","",IFERROR(IF(INDEX('Factors'!$F$9:$F$108,MATCH(J195,'Factors'!$C$9:$C$108,0))="","",INDEX('Factors'!$F$9:$F$108,MATCH(J195,'Factors'!$C$9:$C$108,0))),""))</x:f>
      </x:c>
      <x:c r="Q195" s="9" t="str">
        <x:f>IF(C195="","",IFERROR(IF(INDEX('Factors'!$H$9:$H$108,MATCH(J195,'Factors'!$C$9:$C$108,0))="","",INDEX('Factors'!$H$9:$H$108,MATCH(J195,'Factors'!$C$9:$C$108,0))),""))</x:f>
      </x:c>
      <x:c r="R195" s="9" t="str">
        <x:f>IF(C195="","",IFERROR(IF(INDEX('Factors'!$E$9:$E$108,MATCH(J195,'Factors'!$C$9:$C$108,0))="","",INDEX('Factors'!$E$9:$E$108,MATCH(J195,'Factors'!$C$9:$C$108,0))),""))</x:f>
      </x:c>
      <x:c r="S195" s="42" t="str">
        <x:f>IF(C195="","",IFERROR(IF(INDEX('Factors'!$J$9:$J$108,MATCH(J195,'Factors'!$C$9:$C$108,0))="","",INDEX('Factors'!$J$9:$J$108,MATCH(J195,'Factors'!$C$9:$C$108,0))),""))</x:f>
      </x:c>
      <x:c r="T195" s="9" t="str">
        <x:f>IF(C195="","",IFERROR(IF(INDEX('Factors'!$L$9:$L$108,MATCH(J195,'Factors'!$C$9:$C$108,0))="","",INDEX('Factors'!$L$9:$L$108,MATCH(J195,'Factors'!$C$9:$C$108,0))),"")&amp;" / "&amp;IFERROR(IF(INDEX('Factors'!$M$9:$M$108,MATCH(J195,'Factors'!$C$9:$C$108,0))="","",INDEX('Factors'!$M$9:$M$108,MATCH(J195,'Factors'!$C$9:$C$108,0))),""))</x:f>
      </x:c>
      <x:c r="U195" s="21" t="str">
        <x:f>IF(V195="Ready",H195*O195/1000,"")</x:f>
      </x:c>
      <x:c r="V195" s="9" t="str">
        <x:f>IF(C195="","",IF(OR(COUNTIFS($C$9:$C$308,C195)&lt;&gt;1,COUNTIFS($D$9:$D$308,D195,$E$9:$E$308,E195,$F$9:$F$308,F195,$G$9:$G$308,G195,$K$9:$K$308,K195)&lt;&gt;1),"Duplicate annual activity",IF(COUNTIFS('Inventory'!$C$9:$C$108,D195)&lt;&gt;1,"Entity required",IF(OR(E195="",L195="",NOT(ISNUMBER(H195)),H195&lt;0,NOT(ISNUMBER(K195)),NOT(ISNUMBER(N195))),"Missing activity input",IF(AND(E195&lt;&gt;D195,OR(COUNTIFS('Sites'!$C$9:$C$108,E195)&lt;&gt;1,IFERROR(IF(INDEX('Sites'!$D$9:$D$108,MATCH(E195,'Sites'!$C$9:$C$108,0))="","",INDEX('Sites'!$D$9:$D$108,MATCH(E195,'Sites'!$C$9:$C$108,0))),"")&lt;&gt;IFERROR(IF(INDEX('Inventory'!$D$9:$D$108,MATCH(D195,'Inventory'!$C$9:$C$108,0))="","",INDEX('Inventory'!$D$9:$D$108,MATCH(D195,'Inventory'!$C$9:$C$108,0))),""),IFERROR(IF(INDEX('Sites'!$E$9:$E$108,MATCH(E195,'Sites'!$C$9:$C$108,0))="","",INDEX('Sites'!$E$9:$E$108,MATCH(E195,'Sites'!$C$9:$C$108,0))),"")&lt;&gt;W195)),"Site / entity mismatch",IF(N195&lt;'Settings'!$F$8,"Expired",IF(X195&lt;&gt;"Ready","Factor required",IF(OR(G195&lt;&gt;IFERROR(IF(INDEX('Factors'!$D$9:$D$108,MATCH(J195,'Factors'!$C$9:$C$108,0))="","",INDEX('Factors'!$D$9:$D$108,MATCH(J195,'Factors'!$C$9:$C$108,0))),""),I195&lt;&gt;P195,F195&lt;&gt;Q195,K195&lt;&gt;S195,AND(R195&lt;&gt;"Global",R195&lt;&gt;W195),K195&lt;&gt;YEAR(IFERROR(IF(INDEX('Inventory'!$H$9:$H$108,MATCH(D195,'Inventory'!$C$9:$C$108,0))="","",INDEX('Inventory'!$H$9:$H$108,MATCH(D195,'Inventory'!$C$9:$C$108,0))),""))),"Factor / boundary mismatch",IF(AND(F195="S2",IFERROR(IF(INDEX('Factors'!$I$9:$I$108,MATCH(J195,'Factors'!$C$9:$C$108,0))="","",INDEX('Factors'!$I$9:$I$108,MATCH(J195,'Factors'!$C$9:$C$108,0))),"")&lt;&gt;"Location-based"),"Use location factor",IF(M195&lt;&gt;"Actual","Estimation method review","Ready"))))))))))</x:f>
      </x:c>
      <x:c r="W195" s="9" t="str">
        <x:f>IF(C195="","",IFERROR(IF(INDEX('Inventory'!$G$9:$G$108,MATCH(D195,'Inventory'!$C$9:$C$108,0))="","",INDEX('Inventory'!$G$9:$G$108,MATCH(D195,'Inventory'!$C$9:$C$108,0))),""))</x:f>
      </x:c>
      <x:c r="X195" s="9" t="str">
        <x:f>IF(C195="","",IFERROR(IF(INDEX('Factors'!$P$9:$P$108,MATCH(J195,'Factors'!$C$9:$C$108,0))="","",INDEX('Factors'!$P$9:$P$108,MATCH(J195,'Factors'!$C$9:$C$108,0))),""))</x:f>
      </x:c>
    </x:row>
    <x:row r="196" ht="26" customHeight="1">
      <x:c r="A196" s="1"/>
      <x:c r="B196" s="1"/>
      <x:c r="C196" s="8"/>
      <x:c r="D196" s="8"/>
      <x:c r="E196" s="8"/>
      <x:c r="F196" s="8"/>
      <x:c r="G196" s="8"/>
      <x:c r="H196" s="16"/>
      <x:c r="I196" s="8"/>
      <x:c r="J196" s="8"/>
      <x:c r="K196" s="22"/>
      <x:c r="L196" s="8"/>
      <x:c r="M196" s="8"/>
      <x:c r="N196" s="40"/>
      <x:c r="O196" s="41" t="str">
        <x:f>IF(C196="","",IFERROR(IF(INDEX('Factors'!$G$9:$G$108,MATCH(J196,'Factors'!$C$9:$C$108,0))="","",INDEX('Factors'!$G$9:$G$108,MATCH(J196,'Factors'!$C$9:$C$108,0))),""))</x:f>
      </x:c>
      <x:c r="P196" s="9" t="str">
        <x:f>IF(C196="","",IFERROR(IF(INDEX('Factors'!$F$9:$F$108,MATCH(J196,'Factors'!$C$9:$C$108,0))="","",INDEX('Factors'!$F$9:$F$108,MATCH(J196,'Factors'!$C$9:$C$108,0))),""))</x:f>
      </x:c>
      <x:c r="Q196" s="9" t="str">
        <x:f>IF(C196="","",IFERROR(IF(INDEX('Factors'!$H$9:$H$108,MATCH(J196,'Factors'!$C$9:$C$108,0))="","",INDEX('Factors'!$H$9:$H$108,MATCH(J196,'Factors'!$C$9:$C$108,0))),""))</x:f>
      </x:c>
      <x:c r="R196" s="9" t="str">
        <x:f>IF(C196="","",IFERROR(IF(INDEX('Factors'!$E$9:$E$108,MATCH(J196,'Factors'!$C$9:$C$108,0))="","",INDEX('Factors'!$E$9:$E$108,MATCH(J196,'Factors'!$C$9:$C$108,0))),""))</x:f>
      </x:c>
      <x:c r="S196" s="42" t="str">
        <x:f>IF(C196="","",IFERROR(IF(INDEX('Factors'!$J$9:$J$108,MATCH(J196,'Factors'!$C$9:$C$108,0))="","",INDEX('Factors'!$J$9:$J$108,MATCH(J196,'Factors'!$C$9:$C$108,0))),""))</x:f>
      </x:c>
      <x:c r="T196" s="9" t="str">
        <x:f>IF(C196="","",IFERROR(IF(INDEX('Factors'!$L$9:$L$108,MATCH(J196,'Factors'!$C$9:$C$108,0))="","",INDEX('Factors'!$L$9:$L$108,MATCH(J196,'Factors'!$C$9:$C$108,0))),"")&amp;" / "&amp;IFERROR(IF(INDEX('Factors'!$M$9:$M$108,MATCH(J196,'Factors'!$C$9:$C$108,0))="","",INDEX('Factors'!$M$9:$M$108,MATCH(J196,'Factors'!$C$9:$C$108,0))),""))</x:f>
      </x:c>
      <x:c r="U196" s="21" t="str">
        <x:f>IF(V196="Ready",H196*O196/1000,"")</x:f>
      </x:c>
      <x:c r="V196" s="9" t="str">
        <x:f>IF(C196="","",IF(OR(COUNTIFS($C$9:$C$308,C196)&lt;&gt;1,COUNTIFS($D$9:$D$308,D196,$E$9:$E$308,E196,$F$9:$F$308,F196,$G$9:$G$308,G196,$K$9:$K$308,K196)&lt;&gt;1),"Duplicate annual activity",IF(COUNTIFS('Inventory'!$C$9:$C$108,D196)&lt;&gt;1,"Entity required",IF(OR(E196="",L196="",NOT(ISNUMBER(H196)),H196&lt;0,NOT(ISNUMBER(K196)),NOT(ISNUMBER(N196))),"Missing activity input",IF(AND(E196&lt;&gt;D196,OR(COUNTIFS('Sites'!$C$9:$C$108,E196)&lt;&gt;1,IFERROR(IF(INDEX('Sites'!$D$9:$D$108,MATCH(E196,'Sites'!$C$9:$C$108,0))="","",INDEX('Sites'!$D$9:$D$108,MATCH(E196,'Sites'!$C$9:$C$108,0))),"")&lt;&gt;IFERROR(IF(INDEX('Inventory'!$D$9:$D$108,MATCH(D196,'Inventory'!$C$9:$C$108,0))="","",INDEX('Inventory'!$D$9:$D$108,MATCH(D196,'Inventory'!$C$9:$C$108,0))),""),IFERROR(IF(INDEX('Sites'!$E$9:$E$108,MATCH(E196,'Sites'!$C$9:$C$108,0))="","",INDEX('Sites'!$E$9:$E$108,MATCH(E196,'Sites'!$C$9:$C$108,0))),"")&lt;&gt;W196)),"Site / entity mismatch",IF(N196&lt;'Settings'!$F$8,"Expired",IF(X196&lt;&gt;"Ready","Factor required",IF(OR(G196&lt;&gt;IFERROR(IF(INDEX('Factors'!$D$9:$D$108,MATCH(J196,'Factors'!$C$9:$C$108,0))="","",INDEX('Factors'!$D$9:$D$108,MATCH(J196,'Factors'!$C$9:$C$108,0))),""),I196&lt;&gt;P196,F196&lt;&gt;Q196,K196&lt;&gt;S196,AND(R196&lt;&gt;"Global",R196&lt;&gt;W196),K196&lt;&gt;YEAR(IFERROR(IF(INDEX('Inventory'!$H$9:$H$108,MATCH(D196,'Inventory'!$C$9:$C$108,0))="","",INDEX('Inventory'!$H$9:$H$108,MATCH(D196,'Inventory'!$C$9:$C$108,0))),""))),"Factor / boundary mismatch",IF(AND(F196="S2",IFERROR(IF(INDEX('Factors'!$I$9:$I$108,MATCH(J196,'Factors'!$C$9:$C$108,0))="","",INDEX('Factors'!$I$9:$I$108,MATCH(J196,'Factors'!$C$9:$C$108,0))),"")&lt;&gt;"Location-based"),"Use location factor",IF(M196&lt;&gt;"Actual","Estimation method review","Ready"))))))))))</x:f>
      </x:c>
      <x:c r="W196" s="9" t="str">
        <x:f>IF(C196="","",IFERROR(IF(INDEX('Inventory'!$G$9:$G$108,MATCH(D196,'Inventory'!$C$9:$C$108,0))="","",INDEX('Inventory'!$G$9:$G$108,MATCH(D196,'Inventory'!$C$9:$C$108,0))),""))</x:f>
      </x:c>
      <x:c r="X196" s="9" t="str">
        <x:f>IF(C196="","",IFERROR(IF(INDEX('Factors'!$P$9:$P$108,MATCH(J196,'Factors'!$C$9:$C$108,0))="","",INDEX('Factors'!$P$9:$P$108,MATCH(J196,'Factors'!$C$9:$C$108,0))),""))</x:f>
      </x:c>
    </x:row>
    <x:row r="197" ht="26" customHeight="1">
      <x:c r="A197" s="1"/>
      <x:c r="B197" s="1"/>
      <x:c r="C197" s="8"/>
      <x:c r="D197" s="8"/>
      <x:c r="E197" s="8"/>
      <x:c r="F197" s="8"/>
      <x:c r="G197" s="8"/>
      <x:c r="H197" s="16"/>
      <x:c r="I197" s="8"/>
      <x:c r="J197" s="8"/>
      <x:c r="K197" s="22"/>
      <x:c r="L197" s="8"/>
      <x:c r="M197" s="8"/>
      <x:c r="N197" s="40"/>
      <x:c r="O197" s="41" t="str">
        <x:f>IF(C197="","",IFERROR(IF(INDEX('Factors'!$G$9:$G$108,MATCH(J197,'Factors'!$C$9:$C$108,0))="","",INDEX('Factors'!$G$9:$G$108,MATCH(J197,'Factors'!$C$9:$C$108,0))),""))</x:f>
      </x:c>
      <x:c r="P197" s="9" t="str">
        <x:f>IF(C197="","",IFERROR(IF(INDEX('Factors'!$F$9:$F$108,MATCH(J197,'Factors'!$C$9:$C$108,0))="","",INDEX('Factors'!$F$9:$F$108,MATCH(J197,'Factors'!$C$9:$C$108,0))),""))</x:f>
      </x:c>
      <x:c r="Q197" s="9" t="str">
        <x:f>IF(C197="","",IFERROR(IF(INDEX('Factors'!$H$9:$H$108,MATCH(J197,'Factors'!$C$9:$C$108,0))="","",INDEX('Factors'!$H$9:$H$108,MATCH(J197,'Factors'!$C$9:$C$108,0))),""))</x:f>
      </x:c>
      <x:c r="R197" s="9" t="str">
        <x:f>IF(C197="","",IFERROR(IF(INDEX('Factors'!$E$9:$E$108,MATCH(J197,'Factors'!$C$9:$C$108,0))="","",INDEX('Factors'!$E$9:$E$108,MATCH(J197,'Factors'!$C$9:$C$108,0))),""))</x:f>
      </x:c>
      <x:c r="S197" s="42" t="str">
        <x:f>IF(C197="","",IFERROR(IF(INDEX('Factors'!$J$9:$J$108,MATCH(J197,'Factors'!$C$9:$C$108,0))="","",INDEX('Factors'!$J$9:$J$108,MATCH(J197,'Factors'!$C$9:$C$108,0))),""))</x:f>
      </x:c>
      <x:c r="T197" s="9" t="str">
        <x:f>IF(C197="","",IFERROR(IF(INDEX('Factors'!$L$9:$L$108,MATCH(J197,'Factors'!$C$9:$C$108,0))="","",INDEX('Factors'!$L$9:$L$108,MATCH(J197,'Factors'!$C$9:$C$108,0))),"")&amp;" / "&amp;IFERROR(IF(INDEX('Factors'!$M$9:$M$108,MATCH(J197,'Factors'!$C$9:$C$108,0))="","",INDEX('Factors'!$M$9:$M$108,MATCH(J197,'Factors'!$C$9:$C$108,0))),""))</x:f>
      </x:c>
      <x:c r="U197" s="21" t="str">
        <x:f>IF(V197="Ready",H197*O197/1000,"")</x:f>
      </x:c>
      <x:c r="V197" s="9" t="str">
        <x:f>IF(C197="","",IF(OR(COUNTIFS($C$9:$C$308,C197)&lt;&gt;1,COUNTIFS($D$9:$D$308,D197,$E$9:$E$308,E197,$F$9:$F$308,F197,$G$9:$G$308,G197,$K$9:$K$308,K197)&lt;&gt;1),"Duplicate annual activity",IF(COUNTIFS('Inventory'!$C$9:$C$108,D197)&lt;&gt;1,"Entity required",IF(OR(E197="",L197="",NOT(ISNUMBER(H197)),H197&lt;0,NOT(ISNUMBER(K197)),NOT(ISNUMBER(N197))),"Missing activity input",IF(AND(E197&lt;&gt;D197,OR(COUNTIFS('Sites'!$C$9:$C$108,E197)&lt;&gt;1,IFERROR(IF(INDEX('Sites'!$D$9:$D$108,MATCH(E197,'Sites'!$C$9:$C$108,0))="","",INDEX('Sites'!$D$9:$D$108,MATCH(E197,'Sites'!$C$9:$C$108,0))),"")&lt;&gt;IFERROR(IF(INDEX('Inventory'!$D$9:$D$108,MATCH(D197,'Inventory'!$C$9:$C$108,0))="","",INDEX('Inventory'!$D$9:$D$108,MATCH(D197,'Inventory'!$C$9:$C$108,0))),""),IFERROR(IF(INDEX('Sites'!$E$9:$E$108,MATCH(E197,'Sites'!$C$9:$C$108,0))="","",INDEX('Sites'!$E$9:$E$108,MATCH(E197,'Sites'!$C$9:$C$108,0))),"")&lt;&gt;W197)),"Site / entity mismatch",IF(N197&lt;'Settings'!$F$8,"Expired",IF(X197&lt;&gt;"Ready","Factor required",IF(OR(G197&lt;&gt;IFERROR(IF(INDEX('Factors'!$D$9:$D$108,MATCH(J197,'Factors'!$C$9:$C$108,0))="","",INDEX('Factors'!$D$9:$D$108,MATCH(J197,'Factors'!$C$9:$C$108,0))),""),I197&lt;&gt;P197,F197&lt;&gt;Q197,K197&lt;&gt;S197,AND(R197&lt;&gt;"Global",R197&lt;&gt;W197),K197&lt;&gt;YEAR(IFERROR(IF(INDEX('Inventory'!$H$9:$H$108,MATCH(D197,'Inventory'!$C$9:$C$108,0))="","",INDEX('Inventory'!$H$9:$H$108,MATCH(D197,'Inventory'!$C$9:$C$108,0))),""))),"Factor / boundary mismatch",IF(AND(F197="S2",IFERROR(IF(INDEX('Factors'!$I$9:$I$108,MATCH(J197,'Factors'!$C$9:$C$108,0))="","",INDEX('Factors'!$I$9:$I$108,MATCH(J197,'Factors'!$C$9:$C$108,0))),"")&lt;&gt;"Location-based"),"Use location factor",IF(M197&lt;&gt;"Actual","Estimation method review","Ready"))))))))))</x:f>
      </x:c>
      <x:c r="W197" s="9" t="str">
        <x:f>IF(C197="","",IFERROR(IF(INDEX('Inventory'!$G$9:$G$108,MATCH(D197,'Inventory'!$C$9:$C$108,0))="","",INDEX('Inventory'!$G$9:$G$108,MATCH(D197,'Inventory'!$C$9:$C$108,0))),""))</x:f>
      </x:c>
      <x:c r="X197" s="9" t="str">
        <x:f>IF(C197="","",IFERROR(IF(INDEX('Factors'!$P$9:$P$108,MATCH(J197,'Factors'!$C$9:$C$108,0))="","",INDEX('Factors'!$P$9:$P$108,MATCH(J197,'Factors'!$C$9:$C$108,0))),""))</x:f>
      </x:c>
    </x:row>
    <x:row r="198" ht="26" customHeight="1">
      <x:c r="A198" s="1"/>
      <x:c r="B198" s="1"/>
      <x:c r="C198" s="8"/>
      <x:c r="D198" s="8"/>
      <x:c r="E198" s="8"/>
      <x:c r="F198" s="8"/>
      <x:c r="G198" s="8"/>
      <x:c r="H198" s="16"/>
      <x:c r="I198" s="8"/>
      <x:c r="J198" s="8"/>
      <x:c r="K198" s="22"/>
      <x:c r="L198" s="8"/>
      <x:c r="M198" s="8"/>
      <x:c r="N198" s="40"/>
      <x:c r="O198" s="41" t="str">
        <x:f>IF(C198="","",IFERROR(IF(INDEX('Factors'!$G$9:$G$108,MATCH(J198,'Factors'!$C$9:$C$108,0))="","",INDEX('Factors'!$G$9:$G$108,MATCH(J198,'Factors'!$C$9:$C$108,0))),""))</x:f>
      </x:c>
      <x:c r="P198" s="9" t="str">
        <x:f>IF(C198="","",IFERROR(IF(INDEX('Factors'!$F$9:$F$108,MATCH(J198,'Factors'!$C$9:$C$108,0))="","",INDEX('Factors'!$F$9:$F$108,MATCH(J198,'Factors'!$C$9:$C$108,0))),""))</x:f>
      </x:c>
      <x:c r="Q198" s="9" t="str">
        <x:f>IF(C198="","",IFERROR(IF(INDEX('Factors'!$H$9:$H$108,MATCH(J198,'Factors'!$C$9:$C$108,0))="","",INDEX('Factors'!$H$9:$H$108,MATCH(J198,'Factors'!$C$9:$C$108,0))),""))</x:f>
      </x:c>
      <x:c r="R198" s="9" t="str">
        <x:f>IF(C198="","",IFERROR(IF(INDEX('Factors'!$E$9:$E$108,MATCH(J198,'Factors'!$C$9:$C$108,0))="","",INDEX('Factors'!$E$9:$E$108,MATCH(J198,'Factors'!$C$9:$C$108,0))),""))</x:f>
      </x:c>
      <x:c r="S198" s="42" t="str">
        <x:f>IF(C198="","",IFERROR(IF(INDEX('Factors'!$J$9:$J$108,MATCH(J198,'Factors'!$C$9:$C$108,0))="","",INDEX('Factors'!$J$9:$J$108,MATCH(J198,'Factors'!$C$9:$C$108,0))),""))</x:f>
      </x:c>
      <x:c r="T198" s="9" t="str">
        <x:f>IF(C198="","",IFERROR(IF(INDEX('Factors'!$L$9:$L$108,MATCH(J198,'Factors'!$C$9:$C$108,0))="","",INDEX('Factors'!$L$9:$L$108,MATCH(J198,'Factors'!$C$9:$C$108,0))),"")&amp;" / "&amp;IFERROR(IF(INDEX('Factors'!$M$9:$M$108,MATCH(J198,'Factors'!$C$9:$C$108,0))="","",INDEX('Factors'!$M$9:$M$108,MATCH(J198,'Factors'!$C$9:$C$108,0))),""))</x:f>
      </x:c>
      <x:c r="U198" s="21" t="str">
        <x:f>IF(V198="Ready",H198*O198/1000,"")</x:f>
      </x:c>
      <x:c r="V198" s="9" t="str">
        <x:f>IF(C198="","",IF(OR(COUNTIFS($C$9:$C$308,C198)&lt;&gt;1,COUNTIFS($D$9:$D$308,D198,$E$9:$E$308,E198,$F$9:$F$308,F198,$G$9:$G$308,G198,$K$9:$K$308,K198)&lt;&gt;1),"Duplicate annual activity",IF(COUNTIFS('Inventory'!$C$9:$C$108,D198)&lt;&gt;1,"Entity required",IF(OR(E198="",L198="",NOT(ISNUMBER(H198)),H198&lt;0,NOT(ISNUMBER(K198)),NOT(ISNUMBER(N198))),"Missing activity input",IF(AND(E198&lt;&gt;D198,OR(COUNTIFS('Sites'!$C$9:$C$108,E198)&lt;&gt;1,IFERROR(IF(INDEX('Sites'!$D$9:$D$108,MATCH(E198,'Sites'!$C$9:$C$108,0))="","",INDEX('Sites'!$D$9:$D$108,MATCH(E198,'Sites'!$C$9:$C$108,0))),"")&lt;&gt;IFERROR(IF(INDEX('Inventory'!$D$9:$D$108,MATCH(D198,'Inventory'!$C$9:$C$108,0))="","",INDEX('Inventory'!$D$9:$D$108,MATCH(D198,'Inventory'!$C$9:$C$108,0))),""),IFERROR(IF(INDEX('Sites'!$E$9:$E$108,MATCH(E198,'Sites'!$C$9:$C$108,0))="","",INDEX('Sites'!$E$9:$E$108,MATCH(E198,'Sites'!$C$9:$C$108,0))),"")&lt;&gt;W198)),"Site / entity mismatch",IF(N198&lt;'Settings'!$F$8,"Expired",IF(X198&lt;&gt;"Ready","Factor required",IF(OR(G198&lt;&gt;IFERROR(IF(INDEX('Factors'!$D$9:$D$108,MATCH(J198,'Factors'!$C$9:$C$108,0))="","",INDEX('Factors'!$D$9:$D$108,MATCH(J198,'Factors'!$C$9:$C$108,0))),""),I198&lt;&gt;P198,F198&lt;&gt;Q198,K198&lt;&gt;S198,AND(R198&lt;&gt;"Global",R198&lt;&gt;W198),K198&lt;&gt;YEAR(IFERROR(IF(INDEX('Inventory'!$H$9:$H$108,MATCH(D198,'Inventory'!$C$9:$C$108,0))="","",INDEX('Inventory'!$H$9:$H$108,MATCH(D198,'Inventory'!$C$9:$C$108,0))),""))),"Factor / boundary mismatch",IF(AND(F198="S2",IFERROR(IF(INDEX('Factors'!$I$9:$I$108,MATCH(J198,'Factors'!$C$9:$C$108,0))="","",INDEX('Factors'!$I$9:$I$108,MATCH(J198,'Factors'!$C$9:$C$108,0))),"")&lt;&gt;"Location-based"),"Use location factor",IF(M198&lt;&gt;"Actual","Estimation method review","Ready"))))))))))</x:f>
      </x:c>
      <x:c r="W198" s="9" t="str">
        <x:f>IF(C198="","",IFERROR(IF(INDEX('Inventory'!$G$9:$G$108,MATCH(D198,'Inventory'!$C$9:$C$108,0))="","",INDEX('Inventory'!$G$9:$G$108,MATCH(D198,'Inventory'!$C$9:$C$108,0))),""))</x:f>
      </x:c>
      <x:c r="X198" s="9" t="str">
        <x:f>IF(C198="","",IFERROR(IF(INDEX('Factors'!$P$9:$P$108,MATCH(J198,'Factors'!$C$9:$C$108,0))="","",INDEX('Factors'!$P$9:$P$108,MATCH(J198,'Factors'!$C$9:$C$108,0))),""))</x:f>
      </x:c>
    </x:row>
    <x:row r="199" ht="26" customHeight="1">
      <x:c r="A199" s="1"/>
      <x:c r="B199" s="1"/>
      <x:c r="C199" s="8"/>
      <x:c r="D199" s="8"/>
      <x:c r="E199" s="8"/>
      <x:c r="F199" s="8"/>
      <x:c r="G199" s="8"/>
      <x:c r="H199" s="16"/>
      <x:c r="I199" s="8"/>
      <x:c r="J199" s="8"/>
      <x:c r="K199" s="22"/>
      <x:c r="L199" s="8"/>
      <x:c r="M199" s="8"/>
      <x:c r="N199" s="40"/>
      <x:c r="O199" s="41" t="str">
        <x:f>IF(C199="","",IFERROR(IF(INDEX('Factors'!$G$9:$G$108,MATCH(J199,'Factors'!$C$9:$C$108,0))="","",INDEX('Factors'!$G$9:$G$108,MATCH(J199,'Factors'!$C$9:$C$108,0))),""))</x:f>
      </x:c>
      <x:c r="P199" s="9" t="str">
        <x:f>IF(C199="","",IFERROR(IF(INDEX('Factors'!$F$9:$F$108,MATCH(J199,'Factors'!$C$9:$C$108,0))="","",INDEX('Factors'!$F$9:$F$108,MATCH(J199,'Factors'!$C$9:$C$108,0))),""))</x:f>
      </x:c>
      <x:c r="Q199" s="9" t="str">
        <x:f>IF(C199="","",IFERROR(IF(INDEX('Factors'!$H$9:$H$108,MATCH(J199,'Factors'!$C$9:$C$108,0))="","",INDEX('Factors'!$H$9:$H$108,MATCH(J199,'Factors'!$C$9:$C$108,0))),""))</x:f>
      </x:c>
      <x:c r="R199" s="9" t="str">
        <x:f>IF(C199="","",IFERROR(IF(INDEX('Factors'!$E$9:$E$108,MATCH(J199,'Factors'!$C$9:$C$108,0))="","",INDEX('Factors'!$E$9:$E$108,MATCH(J199,'Factors'!$C$9:$C$108,0))),""))</x:f>
      </x:c>
      <x:c r="S199" s="42" t="str">
        <x:f>IF(C199="","",IFERROR(IF(INDEX('Factors'!$J$9:$J$108,MATCH(J199,'Factors'!$C$9:$C$108,0))="","",INDEX('Factors'!$J$9:$J$108,MATCH(J199,'Factors'!$C$9:$C$108,0))),""))</x:f>
      </x:c>
      <x:c r="T199" s="9" t="str">
        <x:f>IF(C199="","",IFERROR(IF(INDEX('Factors'!$L$9:$L$108,MATCH(J199,'Factors'!$C$9:$C$108,0))="","",INDEX('Factors'!$L$9:$L$108,MATCH(J199,'Factors'!$C$9:$C$108,0))),"")&amp;" / "&amp;IFERROR(IF(INDEX('Factors'!$M$9:$M$108,MATCH(J199,'Factors'!$C$9:$C$108,0))="","",INDEX('Factors'!$M$9:$M$108,MATCH(J199,'Factors'!$C$9:$C$108,0))),""))</x:f>
      </x:c>
      <x:c r="U199" s="21" t="str">
        <x:f>IF(V199="Ready",H199*O199/1000,"")</x:f>
      </x:c>
      <x:c r="V199" s="9" t="str">
        <x:f>IF(C199="","",IF(OR(COUNTIFS($C$9:$C$308,C199)&lt;&gt;1,COUNTIFS($D$9:$D$308,D199,$E$9:$E$308,E199,$F$9:$F$308,F199,$G$9:$G$308,G199,$K$9:$K$308,K199)&lt;&gt;1),"Duplicate annual activity",IF(COUNTIFS('Inventory'!$C$9:$C$108,D199)&lt;&gt;1,"Entity required",IF(OR(E199="",L199="",NOT(ISNUMBER(H199)),H199&lt;0,NOT(ISNUMBER(K199)),NOT(ISNUMBER(N199))),"Missing activity input",IF(AND(E199&lt;&gt;D199,OR(COUNTIFS('Sites'!$C$9:$C$108,E199)&lt;&gt;1,IFERROR(IF(INDEX('Sites'!$D$9:$D$108,MATCH(E199,'Sites'!$C$9:$C$108,0))="","",INDEX('Sites'!$D$9:$D$108,MATCH(E199,'Sites'!$C$9:$C$108,0))),"")&lt;&gt;IFERROR(IF(INDEX('Inventory'!$D$9:$D$108,MATCH(D199,'Inventory'!$C$9:$C$108,0))="","",INDEX('Inventory'!$D$9:$D$108,MATCH(D199,'Inventory'!$C$9:$C$108,0))),""),IFERROR(IF(INDEX('Sites'!$E$9:$E$108,MATCH(E199,'Sites'!$C$9:$C$108,0))="","",INDEX('Sites'!$E$9:$E$108,MATCH(E199,'Sites'!$C$9:$C$108,0))),"")&lt;&gt;W199)),"Site / entity mismatch",IF(N199&lt;'Settings'!$F$8,"Expired",IF(X199&lt;&gt;"Ready","Factor required",IF(OR(G199&lt;&gt;IFERROR(IF(INDEX('Factors'!$D$9:$D$108,MATCH(J199,'Factors'!$C$9:$C$108,0))="","",INDEX('Factors'!$D$9:$D$108,MATCH(J199,'Factors'!$C$9:$C$108,0))),""),I199&lt;&gt;P199,F199&lt;&gt;Q199,K199&lt;&gt;S199,AND(R199&lt;&gt;"Global",R199&lt;&gt;W199),K199&lt;&gt;YEAR(IFERROR(IF(INDEX('Inventory'!$H$9:$H$108,MATCH(D199,'Inventory'!$C$9:$C$108,0))="","",INDEX('Inventory'!$H$9:$H$108,MATCH(D199,'Inventory'!$C$9:$C$108,0))),""))),"Factor / boundary mismatch",IF(AND(F199="S2",IFERROR(IF(INDEX('Factors'!$I$9:$I$108,MATCH(J199,'Factors'!$C$9:$C$108,0))="","",INDEX('Factors'!$I$9:$I$108,MATCH(J199,'Factors'!$C$9:$C$108,0))),"")&lt;&gt;"Location-based"),"Use location factor",IF(M199&lt;&gt;"Actual","Estimation method review","Ready"))))))))))</x:f>
      </x:c>
      <x:c r="W199" s="9" t="str">
        <x:f>IF(C199="","",IFERROR(IF(INDEX('Inventory'!$G$9:$G$108,MATCH(D199,'Inventory'!$C$9:$C$108,0))="","",INDEX('Inventory'!$G$9:$G$108,MATCH(D199,'Inventory'!$C$9:$C$108,0))),""))</x:f>
      </x:c>
      <x:c r="X199" s="9" t="str">
        <x:f>IF(C199="","",IFERROR(IF(INDEX('Factors'!$P$9:$P$108,MATCH(J199,'Factors'!$C$9:$C$108,0))="","",INDEX('Factors'!$P$9:$P$108,MATCH(J199,'Factors'!$C$9:$C$108,0))),""))</x:f>
      </x:c>
    </x:row>
    <x:row r="200" ht="26" customHeight="1">
      <x:c r="A200" s="1"/>
      <x:c r="B200" s="1"/>
      <x:c r="C200" s="8"/>
      <x:c r="D200" s="8"/>
      <x:c r="E200" s="8"/>
      <x:c r="F200" s="8"/>
      <x:c r="G200" s="8"/>
      <x:c r="H200" s="16"/>
      <x:c r="I200" s="8"/>
      <x:c r="J200" s="8"/>
      <x:c r="K200" s="22"/>
      <x:c r="L200" s="8"/>
      <x:c r="M200" s="8"/>
      <x:c r="N200" s="40"/>
      <x:c r="O200" s="41" t="str">
        <x:f>IF(C200="","",IFERROR(IF(INDEX('Factors'!$G$9:$G$108,MATCH(J200,'Factors'!$C$9:$C$108,0))="","",INDEX('Factors'!$G$9:$G$108,MATCH(J200,'Factors'!$C$9:$C$108,0))),""))</x:f>
      </x:c>
      <x:c r="P200" s="9" t="str">
        <x:f>IF(C200="","",IFERROR(IF(INDEX('Factors'!$F$9:$F$108,MATCH(J200,'Factors'!$C$9:$C$108,0))="","",INDEX('Factors'!$F$9:$F$108,MATCH(J200,'Factors'!$C$9:$C$108,0))),""))</x:f>
      </x:c>
      <x:c r="Q200" s="9" t="str">
        <x:f>IF(C200="","",IFERROR(IF(INDEX('Factors'!$H$9:$H$108,MATCH(J200,'Factors'!$C$9:$C$108,0))="","",INDEX('Factors'!$H$9:$H$108,MATCH(J200,'Factors'!$C$9:$C$108,0))),""))</x:f>
      </x:c>
      <x:c r="R200" s="9" t="str">
        <x:f>IF(C200="","",IFERROR(IF(INDEX('Factors'!$E$9:$E$108,MATCH(J200,'Factors'!$C$9:$C$108,0))="","",INDEX('Factors'!$E$9:$E$108,MATCH(J200,'Factors'!$C$9:$C$108,0))),""))</x:f>
      </x:c>
      <x:c r="S200" s="42" t="str">
        <x:f>IF(C200="","",IFERROR(IF(INDEX('Factors'!$J$9:$J$108,MATCH(J200,'Factors'!$C$9:$C$108,0))="","",INDEX('Factors'!$J$9:$J$108,MATCH(J200,'Factors'!$C$9:$C$108,0))),""))</x:f>
      </x:c>
      <x:c r="T200" s="9" t="str">
        <x:f>IF(C200="","",IFERROR(IF(INDEX('Factors'!$L$9:$L$108,MATCH(J200,'Factors'!$C$9:$C$108,0))="","",INDEX('Factors'!$L$9:$L$108,MATCH(J200,'Factors'!$C$9:$C$108,0))),"")&amp;" / "&amp;IFERROR(IF(INDEX('Factors'!$M$9:$M$108,MATCH(J200,'Factors'!$C$9:$C$108,0))="","",INDEX('Factors'!$M$9:$M$108,MATCH(J200,'Factors'!$C$9:$C$108,0))),""))</x:f>
      </x:c>
      <x:c r="U200" s="21" t="str">
        <x:f>IF(V200="Ready",H200*O200/1000,"")</x:f>
      </x:c>
      <x:c r="V200" s="9" t="str">
        <x:f>IF(C200="","",IF(OR(COUNTIFS($C$9:$C$308,C200)&lt;&gt;1,COUNTIFS($D$9:$D$308,D200,$E$9:$E$308,E200,$F$9:$F$308,F200,$G$9:$G$308,G200,$K$9:$K$308,K200)&lt;&gt;1),"Duplicate annual activity",IF(COUNTIFS('Inventory'!$C$9:$C$108,D200)&lt;&gt;1,"Entity required",IF(OR(E200="",L200="",NOT(ISNUMBER(H200)),H200&lt;0,NOT(ISNUMBER(K200)),NOT(ISNUMBER(N200))),"Missing activity input",IF(AND(E200&lt;&gt;D200,OR(COUNTIFS('Sites'!$C$9:$C$108,E200)&lt;&gt;1,IFERROR(IF(INDEX('Sites'!$D$9:$D$108,MATCH(E200,'Sites'!$C$9:$C$108,0))="","",INDEX('Sites'!$D$9:$D$108,MATCH(E200,'Sites'!$C$9:$C$108,0))),"")&lt;&gt;IFERROR(IF(INDEX('Inventory'!$D$9:$D$108,MATCH(D200,'Inventory'!$C$9:$C$108,0))="","",INDEX('Inventory'!$D$9:$D$108,MATCH(D200,'Inventory'!$C$9:$C$108,0))),""),IFERROR(IF(INDEX('Sites'!$E$9:$E$108,MATCH(E200,'Sites'!$C$9:$C$108,0))="","",INDEX('Sites'!$E$9:$E$108,MATCH(E200,'Sites'!$C$9:$C$108,0))),"")&lt;&gt;W200)),"Site / entity mismatch",IF(N200&lt;'Settings'!$F$8,"Expired",IF(X200&lt;&gt;"Ready","Factor required",IF(OR(G200&lt;&gt;IFERROR(IF(INDEX('Factors'!$D$9:$D$108,MATCH(J200,'Factors'!$C$9:$C$108,0))="","",INDEX('Factors'!$D$9:$D$108,MATCH(J200,'Factors'!$C$9:$C$108,0))),""),I200&lt;&gt;P200,F200&lt;&gt;Q200,K200&lt;&gt;S200,AND(R200&lt;&gt;"Global",R200&lt;&gt;W200),K200&lt;&gt;YEAR(IFERROR(IF(INDEX('Inventory'!$H$9:$H$108,MATCH(D200,'Inventory'!$C$9:$C$108,0))="","",INDEX('Inventory'!$H$9:$H$108,MATCH(D200,'Inventory'!$C$9:$C$108,0))),""))),"Factor / boundary mismatch",IF(AND(F200="S2",IFERROR(IF(INDEX('Factors'!$I$9:$I$108,MATCH(J200,'Factors'!$C$9:$C$108,0))="","",INDEX('Factors'!$I$9:$I$108,MATCH(J200,'Factors'!$C$9:$C$108,0))),"")&lt;&gt;"Location-based"),"Use location factor",IF(M200&lt;&gt;"Actual","Estimation method review","Ready"))))))))))</x:f>
      </x:c>
      <x:c r="W200" s="9" t="str">
        <x:f>IF(C200="","",IFERROR(IF(INDEX('Inventory'!$G$9:$G$108,MATCH(D200,'Inventory'!$C$9:$C$108,0))="","",INDEX('Inventory'!$G$9:$G$108,MATCH(D200,'Inventory'!$C$9:$C$108,0))),""))</x:f>
      </x:c>
      <x:c r="X200" s="9" t="str">
        <x:f>IF(C200="","",IFERROR(IF(INDEX('Factors'!$P$9:$P$108,MATCH(J200,'Factors'!$C$9:$C$108,0))="","",INDEX('Factors'!$P$9:$P$108,MATCH(J200,'Factors'!$C$9:$C$108,0))),""))</x:f>
      </x:c>
    </x:row>
    <x:row r="201" ht="26" customHeight="1">
      <x:c r="A201" s="1"/>
      <x:c r="B201" s="1"/>
      <x:c r="C201" s="8"/>
      <x:c r="D201" s="8"/>
      <x:c r="E201" s="8"/>
      <x:c r="F201" s="8"/>
      <x:c r="G201" s="8"/>
      <x:c r="H201" s="16"/>
      <x:c r="I201" s="8"/>
      <x:c r="J201" s="8"/>
      <x:c r="K201" s="22"/>
      <x:c r="L201" s="8"/>
      <x:c r="M201" s="8"/>
      <x:c r="N201" s="40"/>
      <x:c r="O201" s="41" t="str">
        <x:f>IF(C201="","",IFERROR(IF(INDEX('Factors'!$G$9:$G$108,MATCH(J201,'Factors'!$C$9:$C$108,0))="","",INDEX('Factors'!$G$9:$G$108,MATCH(J201,'Factors'!$C$9:$C$108,0))),""))</x:f>
      </x:c>
      <x:c r="P201" s="9" t="str">
        <x:f>IF(C201="","",IFERROR(IF(INDEX('Factors'!$F$9:$F$108,MATCH(J201,'Factors'!$C$9:$C$108,0))="","",INDEX('Factors'!$F$9:$F$108,MATCH(J201,'Factors'!$C$9:$C$108,0))),""))</x:f>
      </x:c>
      <x:c r="Q201" s="9" t="str">
        <x:f>IF(C201="","",IFERROR(IF(INDEX('Factors'!$H$9:$H$108,MATCH(J201,'Factors'!$C$9:$C$108,0))="","",INDEX('Factors'!$H$9:$H$108,MATCH(J201,'Factors'!$C$9:$C$108,0))),""))</x:f>
      </x:c>
      <x:c r="R201" s="9" t="str">
        <x:f>IF(C201="","",IFERROR(IF(INDEX('Factors'!$E$9:$E$108,MATCH(J201,'Factors'!$C$9:$C$108,0))="","",INDEX('Factors'!$E$9:$E$108,MATCH(J201,'Factors'!$C$9:$C$108,0))),""))</x:f>
      </x:c>
      <x:c r="S201" s="42" t="str">
        <x:f>IF(C201="","",IFERROR(IF(INDEX('Factors'!$J$9:$J$108,MATCH(J201,'Factors'!$C$9:$C$108,0))="","",INDEX('Factors'!$J$9:$J$108,MATCH(J201,'Factors'!$C$9:$C$108,0))),""))</x:f>
      </x:c>
      <x:c r="T201" s="9" t="str">
        <x:f>IF(C201="","",IFERROR(IF(INDEX('Factors'!$L$9:$L$108,MATCH(J201,'Factors'!$C$9:$C$108,0))="","",INDEX('Factors'!$L$9:$L$108,MATCH(J201,'Factors'!$C$9:$C$108,0))),"")&amp;" / "&amp;IFERROR(IF(INDEX('Factors'!$M$9:$M$108,MATCH(J201,'Factors'!$C$9:$C$108,0))="","",INDEX('Factors'!$M$9:$M$108,MATCH(J201,'Factors'!$C$9:$C$108,0))),""))</x:f>
      </x:c>
      <x:c r="U201" s="21" t="str">
        <x:f>IF(V201="Ready",H201*O201/1000,"")</x:f>
      </x:c>
      <x:c r="V201" s="9" t="str">
        <x:f>IF(C201="","",IF(OR(COUNTIFS($C$9:$C$308,C201)&lt;&gt;1,COUNTIFS($D$9:$D$308,D201,$E$9:$E$308,E201,$F$9:$F$308,F201,$G$9:$G$308,G201,$K$9:$K$308,K201)&lt;&gt;1),"Duplicate annual activity",IF(COUNTIFS('Inventory'!$C$9:$C$108,D201)&lt;&gt;1,"Entity required",IF(OR(E201="",L201="",NOT(ISNUMBER(H201)),H201&lt;0,NOT(ISNUMBER(K201)),NOT(ISNUMBER(N201))),"Missing activity input",IF(AND(E201&lt;&gt;D201,OR(COUNTIFS('Sites'!$C$9:$C$108,E201)&lt;&gt;1,IFERROR(IF(INDEX('Sites'!$D$9:$D$108,MATCH(E201,'Sites'!$C$9:$C$108,0))="","",INDEX('Sites'!$D$9:$D$108,MATCH(E201,'Sites'!$C$9:$C$108,0))),"")&lt;&gt;IFERROR(IF(INDEX('Inventory'!$D$9:$D$108,MATCH(D201,'Inventory'!$C$9:$C$108,0))="","",INDEX('Inventory'!$D$9:$D$108,MATCH(D201,'Inventory'!$C$9:$C$108,0))),""),IFERROR(IF(INDEX('Sites'!$E$9:$E$108,MATCH(E201,'Sites'!$C$9:$C$108,0))="","",INDEX('Sites'!$E$9:$E$108,MATCH(E201,'Sites'!$C$9:$C$108,0))),"")&lt;&gt;W201)),"Site / entity mismatch",IF(N201&lt;'Settings'!$F$8,"Expired",IF(X201&lt;&gt;"Ready","Factor required",IF(OR(G201&lt;&gt;IFERROR(IF(INDEX('Factors'!$D$9:$D$108,MATCH(J201,'Factors'!$C$9:$C$108,0))="","",INDEX('Factors'!$D$9:$D$108,MATCH(J201,'Factors'!$C$9:$C$108,0))),""),I201&lt;&gt;P201,F201&lt;&gt;Q201,K201&lt;&gt;S201,AND(R201&lt;&gt;"Global",R201&lt;&gt;W201),K201&lt;&gt;YEAR(IFERROR(IF(INDEX('Inventory'!$H$9:$H$108,MATCH(D201,'Inventory'!$C$9:$C$108,0))="","",INDEX('Inventory'!$H$9:$H$108,MATCH(D201,'Inventory'!$C$9:$C$108,0))),""))),"Factor / boundary mismatch",IF(AND(F201="S2",IFERROR(IF(INDEX('Factors'!$I$9:$I$108,MATCH(J201,'Factors'!$C$9:$C$108,0))="","",INDEX('Factors'!$I$9:$I$108,MATCH(J201,'Factors'!$C$9:$C$108,0))),"")&lt;&gt;"Location-based"),"Use location factor",IF(M201&lt;&gt;"Actual","Estimation method review","Ready"))))))))))</x:f>
      </x:c>
      <x:c r="W201" s="9" t="str">
        <x:f>IF(C201="","",IFERROR(IF(INDEX('Inventory'!$G$9:$G$108,MATCH(D201,'Inventory'!$C$9:$C$108,0))="","",INDEX('Inventory'!$G$9:$G$108,MATCH(D201,'Inventory'!$C$9:$C$108,0))),""))</x:f>
      </x:c>
      <x:c r="X201" s="9" t="str">
        <x:f>IF(C201="","",IFERROR(IF(INDEX('Factors'!$P$9:$P$108,MATCH(J201,'Factors'!$C$9:$C$108,0))="","",INDEX('Factors'!$P$9:$P$108,MATCH(J201,'Factors'!$C$9:$C$108,0))),""))</x:f>
      </x:c>
    </x:row>
    <x:row r="202" ht="26" customHeight="1">
      <x:c r="A202" s="1"/>
      <x:c r="B202" s="1"/>
      <x:c r="C202" s="8"/>
      <x:c r="D202" s="8"/>
      <x:c r="E202" s="8"/>
      <x:c r="F202" s="8"/>
      <x:c r="G202" s="8"/>
      <x:c r="H202" s="16"/>
      <x:c r="I202" s="8"/>
      <x:c r="J202" s="8"/>
      <x:c r="K202" s="22"/>
      <x:c r="L202" s="8"/>
      <x:c r="M202" s="8"/>
      <x:c r="N202" s="40"/>
      <x:c r="O202" s="41" t="str">
        <x:f>IF(C202="","",IFERROR(IF(INDEX('Factors'!$G$9:$G$108,MATCH(J202,'Factors'!$C$9:$C$108,0))="","",INDEX('Factors'!$G$9:$G$108,MATCH(J202,'Factors'!$C$9:$C$108,0))),""))</x:f>
      </x:c>
      <x:c r="P202" s="9" t="str">
        <x:f>IF(C202="","",IFERROR(IF(INDEX('Factors'!$F$9:$F$108,MATCH(J202,'Factors'!$C$9:$C$108,0))="","",INDEX('Factors'!$F$9:$F$108,MATCH(J202,'Factors'!$C$9:$C$108,0))),""))</x:f>
      </x:c>
      <x:c r="Q202" s="9" t="str">
        <x:f>IF(C202="","",IFERROR(IF(INDEX('Factors'!$H$9:$H$108,MATCH(J202,'Factors'!$C$9:$C$108,0))="","",INDEX('Factors'!$H$9:$H$108,MATCH(J202,'Factors'!$C$9:$C$108,0))),""))</x:f>
      </x:c>
      <x:c r="R202" s="9" t="str">
        <x:f>IF(C202="","",IFERROR(IF(INDEX('Factors'!$E$9:$E$108,MATCH(J202,'Factors'!$C$9:$C$108,0))="","",INDEX('Factors'!$E$9:$E$108,MATCH(J202,'Factors'!$C$9:$C$108,0))),""))</x:f>
      </x:c>
      <x:c r="S202" s="42" t="str">
        <x:f>IF(C202="","",IFERROR(IF(INDEX('Factors'!$J$9:$J$108,MATCH(J202,'Factors'!$C$9:$C$108,0))="","",INDEX('Factors'!$J$9:$J$108,MATCH(J202,'Factors'!$C$9:$C$108,0))),""))</x:f>
      </x:c>
      <x:c r="T202" s="9" t="str">
        <x:f>IF(C202="","",IFERROR(IF(INDEX('Factors'!$L$9:$L$108,MATCH(J202,'Factors'!$C$9:$C$108,0))="","",INDEX('Factors'!$L$9:$L$108,MATCH(J202,'Factors'!$C$9:$C$108,0))),"")&amp;" / "&amp;IFERROR(IF(INDEX('Factors'!$M$9:$M$108,MATCH(J202,'Factors'!$C$9:$C$108,0))="","",INDEX('Factors'!$M$9:$M$108,MATCH(J202,'Factors'!$C$9:$C$108,0))),""))</x:f>
      </x:c>
      <x:c r="U202" s="21" t="str">
        <x:f>IF(V202="Ready",H202*O202/1000,"")</x:f>
      </x:c>
      <x:c r="V202" s="9" t="str">
        <x:f>IF(C202="","",IF(OR(COUNTIFS($C$9:$C$308,C202)&lt;&gt;1,COUNTIFS($D$9:$D$308,D202,$E$9:$E$308,E202,$F$9:$F$308,F202,$G$9:$G$308,G202,$K$9:$K$308,K202)&lt;&gt;1),"Duplicate annual activity",IF(COUNTIFS('Inventory'!$C$9:$C$108,D202)&lt;&gt;1,"Entity required",IF(OR(E202="",L202="",NOT(ISNUMBER(H202)),H202&lt;0,NOT(ISNUMBER(K202)),NOT(ISNUMBER(N202))),"Missing activity input",IF(AND(E202&lt;&gt;D202,OR(COUNTIFS('Sites'!$C$9:$C$108,E202)&lt;&gt;1,IFERROR(IF(INDEX('Sites'!$D$9:$D$108,MATCH(E202,'Sites'!$C$9:$C$108,0))="","",INDEX('Sites'!$D$9:$D$108,MATCH(E202,'Sites'!$C$9:$C$108,0))),"")&lt;&gt;IFERROR(IF(INDEX('Inventory'!$D$9:$D$108,MATCH(D202,'Inventory'!$C$9:$C$108,0))="","",INDEX('Inventory'!$D$9:$D$108,MATCH(D202,'Inventory'!$C$9:$C$108,0))),""),IFERROR(IF(INDEX('Sites'!$E$9:$E$108,MATCH(E202,'Sites'!$C$9:$C$108,0))="","",INDEX('Sites'!$E$9:$E$108,MATCH(E202,'Sites'!$C$9:$C$108,0))),"")&lt;&gt;W202)),"Site / entity mismatch",IF(N202&lt;'Settings'!$F$8,"Expired",IF(X202&lt;&gt;"Ready","Factor required",IF(OR(G202&lt;&gt;IFERROR(IF(INDEX('Factors'!$D$9:$D$108,MATCH(J202,'Factors'!$C$9:$C$108,0))="","",INDEX('Factors'!$D$9:$D$108,MATCH(J202,'Factors'!$C$9:$C$108,0))),""),I202&lt;&gt;P202,F202&lt;&gt;Q202,K202&lt;&gt;S202,AND(R202&lt;&gt;"Global",R202&lt;&gt;W202),K202&lt;&gt;YEAR(IFERROR(IF(INDEX('Inventory'!$H$9:$H$108,MATCH(D202,'Inventory'!$C$9:$C$108,0))="","",INDEX('Inventory'!$H$9:$H$108,MATCH(D202,'Inventory'!$C$9:$C$108,0))),""))),"Factor / boundary mismatch",IF(AND(F202="S2",IFERROR(IF(INDEX('Factors'!$I$9:$I$108,MATCH(J202,'Factors'!$C$9:$C$108,0))="","",INDEX('Factors'!$I$9:$I$108,MATCH(J202,'Factors'!$C$9:$C$108,0))),"")&lt;&gt;"Location-based"),"Use location factor",IF(M202&lt;&gt;"Actual","Estimation method review","Ready"))))))))))</x:f>
      </x:c>
      <x:c r="W202" s="9" t="str">
        <x:f>IF(C202="","",IFERROR(IF(INDEX('Inventory'!$G$9:$G$108,MATCH(D202,'Inventory'!$C$9:$C$108,0))="","",INDEX('Inventory'!$G$9:$G$108,MATCH(D202,'Inventory'!$C$9:$C$108,0))),""))</x:f>
      </x:c>
      <x:c r="X202" s="9" t="str">
        <x:f>IF(C202="","",IFERROR(IF(INDEX('Factors'!$P$9:$P$108,MATCH(J202,'Factors'!$C$9:$C$108,0))="","",INDEX('Factors'!$P$9:$P$108,MATCH(J202,'Factors'!$C$9:$C$108,0))),""))</x:f>
      </x:c>
    </x:row>
    <x:row r="203" ht="26" customHeight="1">
      <x:c r="A203" s="1"/>
      <x:c r="B203" s="1"/>
      <x:c r="C203" s="8"/>
      <x:c r="D203" s="8"/>
      <x:c r="E203" s="8"/>
      <x:c r="F203" s="8"/>
      <x:c r="G203" s="8"/>
      <x:c r="H203" s="16"/>
      <x:c r="I203" s="8"/>
      <x:c r="J203" s="8"/>
      <x:c r="K203" s="22"/>
      <x:c r="L203" s="8"/>
      <x:c r="M203" s="8"/>
      <x:c r="N203" s="40"/>
      <x:c r="O203" s="41" t="str">
        <x:f>IF(C203="","",IFERROR(IF(INDEX('Factors'!$G$9:$G$108,MATCH(J203,'Factors'!$C$9:$C$108,0))="","",INDEX('Factors'!$G$9:$G$108,MATCH(J203,'Factors'!$C$9:$C$108,0))),""))</x:f>
      </x:c>
      <x:c r="P203" s="9" t="str">
        <x:f>IF(C203="","",IFERROR(IF(INDEX('Factors'!$F$9:$F$108,MATCH(J203,'Factors'!$C$9:$C$108,0))="","",INDEX('Factors'!$F$9:$F$108,MATCH(J203,'Factors'!$C$9:$C$108,0))),""))</x:f>
      </x:c>
      <x:c r="Q203" s="9" t="str">
        <x:f>IF(C203="","",IFERROR(IF(INDEX('Factors'!$H$9:$H$108,MATCH(J203,'Factors'!$C$9:$C$108,0))="","",INDEX('Factors'!$H$9:$H$108,MATCH(J203,'Factors'!$C$9:$C$108,0))),""))</x:f>
      </x:c>
      <x:c r="R203" s="9" t="str">
        <x:f>IF(C203="","",IFERROR(IF(INDEX('Factors'!$E$9:$E$108,MATCH(J203,'Factors'!$C$9:$C$108,0))="","",INDEX('Factors'!$E$9:$E$108,MATCH(J203,'Factors'!$C$9:$C$108,0))),""))</x:f>
      </x:c>
      <x:c r="S203" s="42" t="str">
        <x:f>IF(C203="","",IFERROR(IF(INDEX('Factors'!$J$9:$J$108,MATCH(J203,'Factors'!$C$9:$C$108,0))="","",INDEX('Factors'!$J$9:$J$108,MATCH(J203,'Factors'!$C$9:$C$108,0))),""))</x:f>
      </x:c>
      <x:c r="T203" s="9" t="str">
        <x:f>IF(C203="","",IFERROR(IF(INDEX('Factors'!$L$9:$L$108,MATCH(J203,'Factors'!$C$9:$C$108,0))="","",INDEX('Factors'!$L$9:$L$108,MATCH(J203,'Factors'!$C$9:$C$108,0))),"")&amp;" / "&amp;IFERROR(IF(INDEX('Factors'!$M$9:$M$108,MATCH(J203,'Factors'!$C$9:$C$108,0))="","",INDEX('Factors'!$M$9:$M$108,MATCH(J203,'Factors'!$C$9:$C$108,0))),""))</x:f>
      </x:c>
      <x:c r="U203" s="21" t="str">
        <x:f>IF(V203="Ready",H203*O203/1000,"")</x:f>
      </x:c>
      <x:c r="V203" s="9" t="str">
        <x:f>IF(C203="","",IF(OR(COUNTIFS($C$9:$C$308,C203)&lt;&gt;1,COUNTIFS($D$9:$D$308,D203,$E$9:$E$308,E203,$F$9:$F$308,F203,$G$9:$G$308,G203,$K$9:$K$308,K203)&lt;&gt;1),"Duplicate annual activity",IF(COUNTIFS('Inventory'!$C$9:$C$108,D203)&lt;&gt;1,"Entity required",IF(OR(E203="",L203="",NOT(ISNUMBER(H203)),H203&lt;0,NOT(ISNUMBER(K203)),NOT(ISNUMBER(N203))),"Missing activity input",IF(AND(E203&lt;&gt;D203,OR(COUNTIFS('Sites'!$C$9:$C$108,E203)&lt;&gt;1,IFERROR(IF(INDEX('Sites'!$D$9:$D$108,MATCH(E203,'Sites'!$C$9:$C$108,0))="","",INDEX('Sites'!$D$9:$D$108,MATCH(E203,'Sites'!$C$9:$C$108,0))),"")&lt;&gt;IFERROR(IF(INDEX('Inventory'!$D$9:$D$108,MATCH(D203,'Inventory'!$C$9:$C$108,0))="","",INDEX('Inventory'!$D$9:$D$108,MATCH(D203,'Inventory'!$C$9:$C$108,0))),""),IFERROR(IF(INDEX('Sites'!$E$9:$E$108,MATCH(E203,'Sites'!$C$9:$C$108,0))="","",INDEX('Sites'!$E$9:$E$108,MATCH(E203,'Sites'!$C$9:$C$108,0))),"")&lt;&gt;W203)),"Site / entity mismatch",IF(N203&lt;'Settings'!$F$8,"Expired",IF(X203&lt;&gt;"Ready","Factor required",IF(OR(G203&lt;&gt;IFERROR(IF(INDEX('Factors'!$D$9:$D$108,MATCH(J203,'Factors'!$C$9:$C$108,0))="","",INDEX('Factors'!$D$9:$D$108,MATCH(J203,'Factors'!$C$9:$C$108,0))),""),I203&lt;&gt;P203,F203&lt;&gt;Q203,K203&lt;&gt;S203,AND(R203&lt;&gt;"Global",R203&lt;&gt;W203),K203&lt;&gt;YEAR(IFERROR(IF(INDEX('Inventory'!$H$9:$H$108,MATCH(D203,'Inventory'!$C$9:$C$108,0))="","",INDEX('Inventory'!$H$9:$H$108,MATCH(D203,'Inventory'!$C$9:$C$108,0))),""))),"Factor / boundary mismatch",IF(AND(F203="S2",IFERROR(IF(INDEX('Factors'!$I$9:$I$108,MATCH(J203,'Factors'!$C$9:$C$108,0))="","",INDEX('Factors'!$I$9:$I$108,MATCH(J203,'Factors'!$C$9:$C$108,0))),"")&lt;&gt;"Location-based"),"Use location factor",IF(M203&lt;&gt;"Actual","Estimation method review","Ready"))))))))))</x:f>
      </x:c>
      <x:c r="W203" s="9" t="str">
        <x:f>IF(C203="","",IFERROR(IF(INDEX('Inventory'!$G$9:$G$108,MATCH(D203,'Inventory'!$C$9:$C$108,0))="","",INDEX('Inventory'!$G$9:$G$108,MATCH(D203,'Inventory'!$C$9:$C$108,0))),""))</x:f>
      </x:c>
      <x:c r="X203" s="9" t="str">
        <x:f>IF(C203="","",IFERROR(IF(INDEX('Factors'!$P$9:$P$108,MATCH(J203,'Factors'!$C$9:$C$108,0))="","",INDEX('Factors'!$P$9:$P$108,MATCH(J203,'Factors'!$C$9:$C$108,0))),""))</x:f>
      </x:c>
    </x:row>
    <x:row r="204" ht="26" customHeight="1">
      <x:c r="A204" s="1"/>
      <x:c r="B204" s="1"/>
      <x:c r="C204" s="8"/>
      <x:c r="D204" s="8"/>
      <x:c r="E204" s="8"/>
      <x:c r="F204" s="8"/>
      <x:c r="G204" s="8"/>
      <x:c r="H204" s="16"/>
      <x:c r="I204" s="8"/>
      <x:c r="J204" s="8"/>
      <x:c r="K204" s="22"/>
      <x:c r="L204" s="8"/>
      <x:c r="M204" s="8"/>
      <x:c r="N204" s="40"/>
      <x:c r="O204" s="41" t="str">
        <x:f>IF(C204="","",IFERROR(IF(INDEX('Factors'!$G$9:$G$108,MATCH(J204,'Factors'!$C$9:$C$108,0))="","",INDEX('Factors'!$G$9:$G$108,MATCH(J204,'Factors'!$C$9:$C$108,0))),""))</x:f>
      </x:c>
      <x:c r="P204" s="9" t="str">
        <x:f>IF(C204="","",IFERROR(IF(INDEX('Factors'!$F$9:$F$108,MATCH(J204,'Factors'!$C$9:$C$108,0))="","",INDEX('Factors'!$F$9:$F$108,MATCH(J204,'Factors'!$C$9:$C$108,0))),""))</x:f>
      </x:c>
      <x:c r="Q204" s="9" t="str">
        <x:f>IF(C204="","",IFERROR(IF(INDEX('Factors'!$H$9:$H$108,MATCH(J204,'Factors'!$C$9:$C$108,0))="","",INDEX('Factors'!$H$9:$H$108,MATCH(J204,'Factors'!$C$9:$C$108,0))),""))</x:f>
      </x:c>
      <x:c r="R204" s="9" t="str">
        <x:f>IF(C204="","",IFERROR(IF(INDEX('Factors'!$E$9:$E$108,MATCH(J204,'Factors'!$C$9:$C$108,0))="","",INDEX('Factors'!$E$9:$E$108,MATCH(J204,'Factors'!$C$9:$C$108,0))),""))</x:f>
      </x:c>
      <x:c r="S204" s="42" t="str">
        <x:f>IF(C204="","",IFERROR(IF(INDEX('Factors'!$J$9:$J$108,MATCH(J204,'Factors'!$C$9:$C$108,0))="","",INDEX('Factors'!$J$9:$J$108,MATCH(J204,'Factors'!$C$9:$C$108,0))),""))</x:f>
      </x:c>
      <x:c r="T204" s="9" t="str">
        <x:f>IF(C204="","",IFERROR(IF(INDEX('Factors'!$L$9:$L$108,MATCH(J204,'Factors'!$C$9:$C$108,0))="","",INDEX('Factors'!$L$9:$L$108,MATCH(J204,'Factors'!$C$9:$C$108,0))),"")&amp;" / "&amp;IFERROR(IF(INDEX('Factors'!$M$9:$M$108,MATCH(J204,'Factors'!$C$9:$C$108,0))="","",INDEX('Factors'!$M$9:$M$108,MATCH(J204,'Factors'!$C$9:$C$108,0))),""))</x:f>
      </x:c>
      <x:c r="U204" s="21" t="str">
        <x:f>IF(V204="Ready",H204*O204/1000,"")</x:f>
      </x:c>
      <x:c r="V204" s="9" t="str">
        <x:f>IF(C204="","",IF(OR(COUNTIFS($C$9:$C$308,C204)&lt;&gt;1,COUNTIFS($D$9:$D$308,D204,$E$9:$E$308,E204,$F$9:$F$308,F204,$G$9:$G$308,G204,$K$9:$K$308,K204)&lt;&gt;1),"Duplicate annual activity",IF(COUNTIFS('Inventory'!$C$9:$C$108,D204)&lt;&gt;1,"Entity required",IF(OR(E204="",L204="",NOT(ISNUMBER(H204)),H204&lt;0,NOT(ISNUMBER(K204)),NOT(ISNUMBER(N204))),"Missing activity input",IF(AND(E204&lt;&gt;D204,OR(COUNTIFS('Sites'!$C$9:$C$108,E204)&lt;&gt;1,IFERROR(IF(INDEX('Sites'!$D$9:$D$108,MATCH(E204,'Sites'!$C$9:$C$108,0))="","",INDEX('Sites'!$D$9:$D$108,MATCH(E204,'Sites'!$C$9:$C$108,0))),"")&lt;&gt;IFERROR(IF(INDEX('Inventory'!$D$9:$D$108,MATCH(D204,'Inventory'!$C$9:$C$108,0))="","",INDEX('Inventory'!$D$9:$D$108,MATCH(D204,'Inventory'!$C$9:$C$108,0))),""),IFERROR(IF(INDEX('Sites'!$E$9:$E$108,MATCH(E204,'Sites'!$C$9:$C$108,0))="","",INDEX('Sites'!$E$9:$E$108,MATCH(E204,'Sites'!$C$9:$C$108,0))),"")&lt;&gt;W204)),"Site / entity mismatch",IF(N204&lt;'Settings'!$F$8,"Expired",IF(X204&lt;&gt;"Ready","Factor required",IF(OR(G204&lt;&gt;IFERROR(IF(INDEX('Factors'!$D$9:$D$108,MATCH(J204,'Factors'!$C$9:$C$108,0))="","",INDEX('Factors'!$D$9:$D$108,MATCH(J204,'Factors'!$C$9:$C$108,0))),""),I204&lt;&gt;P204,F204&lt;&gt;Q204,K204&lt;&gt;S204,AND(R204&lt;&gt;"Global",R204&lt;&gt;W204),K204&lt;&gt;YEAR(IFERROR(IF(INDEX('Inventory'!$H$9:$H$108,MATCH(D204,'Inventory'!$C$9:$C$108,0))="","",INDEX('Inventory'!$H$9:$H$108,MATCH(D204,'Inventory'!$C$9:$C$108,0))),""))),"Factor / boundary mismatch",IF(AND(F204="S2",IFERROR(IF(INDEX('Factors'!$I$9:$I$108,MATCH(J204,'Factors'!$C$9:$C$108,0))="","",INDEX('Factors'!$I$9:$I$108,MATCH(J204,'Factors'!$C$9:$C$108,0))),"")&lt;&gt;"Location-based"),"Use location factor",IF(M204&lt;&gt;"Actual","Estimation method review","Ready"))))))))))</x:f>
      </x:c>
      <x:c r="W204" s="9" t="str">
        <x:f>IF(C204="","",IFERROR(IF(INDEX('Inventory'!$G$9:$G$108,MATCH(D204,'Inventory'!$C$9:$C$108,0))="","",INDEX('Inventory'!$G$9:$G$108,MATCH(D204,'Inventory'!$C$9:$C$108,0))),""))</x:f>
      </x:c>
      <x:c r="X204" s="9" t="str">
        <x:f>IF(C204="","",IFERROR(IF(INDEX('Factors'!$P$9:$P$108,MATCH(J204,'Factors'!$C$9:$C$108,0))="","",INDEX('Factors'!$P$9:$P$108,MATCH(J204,'Factors'!$C$9:$C$108,0))),""))</x:f>
      </x:c>
    </x:row>
    <x:row r="205" ht="26" customHeight="1">
      <x:c r="A205" s="1"/>
      <x:c r="B205" s="1"/>
      <x:c r="C205" s="8"/>
      <x:c r="D205" s="8"/>
      <x:c r="E205" s="8"/>
      <x:c r="F205" s="8"/>
      <x:c r="G205" s="8"/>
      <x:c r="H205" s="16"/>
      <x:c r="I205" s="8"/>
      <x:c r="J205" s="8"/>
      <x:c r="K205" s="22"/>
      <x:c r="L205" s="8"/>
      <x:c r="M205" s="8"/>
      <x:c r="N205" s="40"/>
      <x:c r="O205" s="41" t="str">
        <x:f>IF(C205="","",IFERROR(IF(INDEX('Factors'!$G$9:$G$108,MATCH(J205,'Factors'!$C$9:$C$108,0))="","",INDEX('Factors'!$G$9:$G$108,MATCH(J205,'Factors'!$C$9:$C$108,0))),""))</x:f>
      </x:c>
      <x:c r="P205" s="9" t="str">
        <x:f>IF(C205="","",IFERROR(IF(INDEX('Factors'!$F$9:$F$108,MATCH(J205,'Factors'!$C$9:$C$108,0))="","",INDEX('Factors'!$F$9:$F$108,MATCH(J205,'Factors'!$C$9:$C$108,0))),""))</x:f>
      </x:c>
      <x:c r="Q205" s="9" t="str">
        <x:f>IF(C205="","",IFERROR(IF(INDEX('Factors'!$H$9:$H$108,MATCH(J205,'Factors'!$C$9:$C$108,0))="","",INDEX('Factors'!$H$9:$H$108,MATCH(J205,'Factors'!$C$9:$C$108,0))),""))</x:f>
      </x:c>
      <x:c r="R205" s="9" t="str">
        <x:f>IF(C205="","",IFERROR(IF(INDEX('Factors'!$E$9:$E$108,MATCH(J205,'Factors'!$C$9:$C$108,0))="","",INDEX('Factors'!$E$9:$E$108,MATCH(J205,'Factors'!$C$9:$C$108,0))),""))</x:f>
      </x:c>
      <x:c r="S205" s="42" t="str">
        <x:f>IF(C205="","",IFERROR(IF(INDEX('Factors'!$J$9:$J$108,MATCH(J205,'Factors'!$C$9:$C$108,0))="","",INDEX('Factors'!$J$9:$J$108,MATCH(J205,'Factors'!$C$9:$C$108,0))),""))</x:f>
      </x:c>
      <x:c r="T205" s="9" t="str">
        <x:f>IF(C205="","",IFERROR(IF(INDEX('Factors'!$L$9:$L$108,MATCH(J205,'Factors'!$C$9:$C$108,0))="","",INDEX('Factors'!$L$9:$L$108,MATCH(J205,'Factors'!$C$9:$C$108,0))),"")&amp;" / "&amp;IFERROR(IF(INDEX('Factors'!$M$9:$M$108,MATCH(J205,'Factors'!$C$9:$C$108,0))="","",INDEX('Factors'!$M$9:$M$108,MATCH(J205,'Factors'!$C$9:$C$108,0))),""))</x:f>
      </x:c>
      <x:c r="U205" s="21" t="str">
        <x:f>IF(V205="Ready",H205*O205/1000,"")</x:f>
      </x:c>
      <x:c r="V205" s="9" t="str">
        <x:f>IF(C205="","",IF(OR(COUNTIFS($C$9:$C$308,C205)&lt;&gt;1,COUNTIFS($D$9:$D$308,D205,$E$9:$E$308,E205,$F$9:$F$308,F205,$G$9:$G$308,G205,$K$9:$K$308,K205)&lt;&gt;1),"Duplicate annual activity",IF(COUNTIFS('Inventory'!$C$9:$C$108,D205)&lt;&gt;1,"Entity required",IF(OR(E205="",L205="",NOT(ISNUMBER(H205)),H205&lt;0,NOT(ISNUMBER(K205)),NOT(ISNUMBER(N205))),"Missing activity input",IF(AND(E205&lt;&gt;D205,OR(COUNTIFS('Sites'!$C$9:$C$108,E205)&lt;&gt;1,IFERROR(IF(INDEX('Sites'!$D$9:$D$108,MATCH(E205,'Sites'!$C$9:$C$108,0))="","",INDEX('Sites'!$D$9:$D$108,MATCH(E205,'Sites'!$C$9:$C$108,0))),"")&lt;&gt;IFERROR(IF(INDEX('Inventory'!$D$9:$D$108,MATCH(D205,'Inventory'!$C$9:$C$108,0))="","",INDEX('Inventory'!$D$9:$D$108,MATCH(D205,'Inventory'!$C$9:$C$108,0))),""),IFERROR(IF(INDEX('Sites'!$E$9:$E$108,MATCH(E205,'Sites'!$C$9:$C$108,0))="","",INDEX('Sites'!$E$9:$E$108,MATCH(E205,'Sites'!$C$9:$C$108,0))),"")&lt;&gt;W205)),"Site / entity mismatch",IF(N205&lt;'Settings'!$F$8,"Expired",IF(X205&lt;&gt;"Ready","Factor required",IF(OR(G205&lt;&gt;IFERROR(IF(INDEX('Factors'!$D$9:$D$108,MATCH(J205,'Factors'!$C$9:$C$108,0))="","",INDEX('Factors'!$D$9:$D$108,MATCH(J205,'Factors'!$C$9:$C$108,0))),""),I205&lt;&gt;P205,F205&lt;&gt;Q205,K205&lt;&gt;S205,AND(R205&lt;&gt;"Global",R205&lt;&gt;W205),K205&lt;&gt;YEAR(IFERROR(IF(INDEX('Inventory'!$H$9:$H$108,MATCH(D205,'Inventory'!$C$9:$C$108,0))="","",INDEX('Inventory'!$H$9:$H$108,MATCH(D205,'Inventory'!$C$9:$C$108,0))),""))),"Factor / boundary mismatch",IF(AND(F205="S2",IFERROR(IF(INDEX('Factors'!$I$9:$I$108,MATCH(J205,'Factors'!$C$9:$C$108,0))="","",INDEX('Factors'!$I$9:$I$108,MATCH(J205,'Factors'!$C$9:$C$108,0))),"")&lt;&gt;"Location-based"),"Use location factor",IF(M205&lt;&gt;"Actual","Estimation method review","Ready"))))))))))</x:f>
      </x:c>
      <x:c r="W205" s="9" t="str">
        <x:f>IF(C205="","",IFERROR(IF(INDEX('Inventory'!$G$9:$G$108,MATCH(D205,'Inventory'!$C$9:$C$108,0))="","",INDEX('Inventory'!$G$9:$G$108,MATCH(D205,'Inventory'!$C$9:$C$108,0))),""))</x:f>
      </x:c>
      <x:c r="X205" s="9" t="str">
        <x:f>IF(C205="","",IFERROR(IF(INDEX('Factors'!$P$9:$P$108,MATCH(J205,'Factors'!$C$9:$C$108,0))="","",INDEX('Factors'!$P$9:$P$108,MATCH(J205,'Factors'!$C$9:$C$108,0))),""))</x:f>
      </x:c>
    </x:row>
    <x:row r="206" ht="26" customHeight="1">
      <x:c r="A206" s="1"/>
      <x:c r="B206" s="1"/>
      <x:c r="C206" s="8"/>
      <x:c r="D206" s="8"/>
      <x:c r="E206" s="8"/>
      <x:c r="F206" s="8"/>
      <x:c r="G206" s="8"/>
      <x:c r="H206" s="16"/>
      <x:c r="I206" s="8"/>
      <x:c r="J206" s="8"/>
      <x:c r="K206" s="22"/>
      <x:c r="L206" s="8"/>
      <x:c r="M206" s="8"/>
      <x:c r="N206" s="40"/>
      <x:c r="O206" s="41" t="str">
        <x:f>IF(C206="","",IFERROR(IF(INDEX('Factors'!$G$9:$G$108,MATCH(J206,'Factors'!$C$9:$C$108,0))="","",INDEX('Factors'!$G$9:$G$108,MATCH(J206,'Factors'!$C$9:$C$108,0))),""))</x:f>
      </x:c>
      <x:c r="P206" s="9" t="str">
        <x:f>IF(C206="","",IFERROR(IF(INDEX('Factors'!$F$9:$F$108,MATCH(J206,'Factors'!$C$9:$C$108,0))="","",INDEX('Factors'!$F$9:$F$108,MATCH(J206,'Factors'!$C$9:$C$108,0))),""))</x:f>
      </x:c>
      <x:c r="Q206" s="9" t="str">
        <x:f>IF(C206="","",IFERROR(IF(INDEX('Factors'!$H$9:$H$108,MATCH(J206,'Factors'!$C$9:$C$108,0))="","",INDEX('Factors'!$H$9:$H$108,MATCH(J206,'Factors'!$C$9:$C$108,0))),""))</x:f>
      </x:c>
      <x:c r="R206" s="9" t="str">
        <x:f>IF(C206="","",IFERROR(IF(INDEX('Factors'!$E$9:$E$108,MATCH(J206,'Factors'!$C$9:$C$108,0))="","",INDEX('Factors'!$E$9:$E$108,MATCH(J206,'Factors'!$C$9:$C$108,0))),""))</x:f>
      </x:c>
      <x:c r="S206" s="42" t="str">
        <x:f>IF(C206="","",IFERROR(IF(INDEX('Factors'!$J$9:$J$108,MATCH(J206,'Factors'!$C$9:$C$108,0))="","",INDEX('Factors'!$J$9:$J$108,MATCH(J206,'Factors'!$C$9:$C$108,0))),""))</x:f>
      </x:c>
      <x:c r="T206" s="9" t="str">
        <x:f>IF(C206="","",IFERROR(IF(INDEX('Factors'!$L$9:$L$108,MATCH(J206,'Factors'!$C$9:$C$108,0))="","",INDEX('Factors'!$L$9:$L$108,MATCH(J206,'Factors'!$C$9:$C$108,0))),"")&amp;" / "&amp;IFERROR(IF(INDEX('Factors'!$M$9:$M$108,MATCH(J206,'Factors'!$C$9:$C$108,0))="","",INDEX('Factors'!$M$9:$M$108,MATCH(J206,'Factors'!$C$9:$C$108,0))),""))</x:f>
      </x:c>
      <x:c r="U206" s="21" t="str">
        <x:f>IF(V206="Ready",H206*O206/1000,"")</x:f>
      </x:c>
      <x:c r="V206" s="9" t="str">
        <x:f>IF(C206="","",IF(OR(COUNTIFS($C$9:$C$308,C206)&lt;&gt;1,COUNTIFS($D$9:$D$308,D206,$E$9:$E$308,E206,$F$9:$F$308,F206,$G$9:$G$308,G206,$K$9:$K$308,K206)&lt;&gt;1),"Duplicate annual activity",IF(COUNTIFS('Inventory'!$C$9:$C$108,D206)&lt;&gt;1,"Entity required",IF(OR(E206="",L206="",NOT(ISNUMBER(H206)),H206&lt;0,NOT(ISNUMBER(K206)),NOT(ISNUMBER(N206))),"Missing activity input",IF(AND(E206&lt;&gt;D206,OR(COUNTIFS('Sites'!$C$9:$C$108,E206)&lt;&gt;1,IFERROR(IF(INDEX('Sites'!$D$9:$D$108,MATCH(E206,'Sites'!$C$9:$C$108,0))="","",INDEX('Sites'!$D$9:$D$108,MATCH(E206,'Sites'!$C$9:$C$108,0))),"")&lt;&gt;IFERROR(IF(INDEX('Inventory'!$D$9:$D$108,MATCH(D206,'Inventory'!$C$9:$C$108,0))="","",INDEX('Inventory'!$D$9:$D$108,MATCH(D206,'Inventory'!$C$9:$C$108,0))),""),IFERROR(IF(INDEX('Sites'!$E$9:$E$108,MATCH(E206,'Sites'!$C$9:$C$108,0))="","",INDEX('Sites'!$E$9:$E$108,MATCH(E206,'Sites'!$C$9:$C$108,0))),"")&lt;&gt;W206)),"Site / entity mismatch",IF(N206&lt;'Settings'!$F$8,"Expired",IF(X206&lt;&gt;"Ready","Factor required",IF(OR(G206&lt;&gt;IFERROR(IF(INDEX('Factors'!$D$9:$D$108,MATCH(J206,'Factors'!$C$9:$C$108,0))="","",INDEX('Factors'!$D$9:$D$108,MATCH(J206,'Factors'!$C$9:$C$108,0))),""),I206&lt;&gt;P206,F206&lt;&gt;Q206,K206&lt;&gt;S206,AND(R206&lt;&gt;"Global",R206&lt;&gt;W206),K206&lt;&gt;YEAR(IFERROR(IF(INDEX('Inventory'!$H$9:$H$108,MATCH(D206,'Inventory'!$C$9:$C$108,0))="","",INDEX('Inventory'!$H$9:$H$108,MATCH(D206,'Inventory'!$C$9:$C$108,0))),""))),"Factor / boundary mismatch",IF(AND(F206="S2",IFERROR(IF(INDEX('Factors'!$I$9:$I$108,MATCH(J206,'Factors'!$C$9:$C$108,0))="","",INDEX('Factors'!$I$9:$I$108,MATCH(J206,'Factors'!$C$9:$C$108,0))),"")&lt;&gt;"Location-based"),"Use location factor",IF(M206&lt;&gt;"Actual","Estimation method review","Ready"))))))))))</x:f>
      </x:c>
      <x:c r="W206" s="9" t="str">
        <x:f>IF(C206="","",IFERROR(IF(INDEX('Inventory'!$G$9:$G$108,MATCH(D206,'Inventory'!$C$9:$C$108,0))="","",INDEX('Inventory'!$G$9:$G$108,MATCH(D206,'Inventory'!$C$9:$C$108,0))),""))</x:f>
      </x:c>
      <x:c r="X206" s="9" t="str">
        <x:f>IF(C206="","",IFERROR(IF(INDEX('Factors'!$P$9:$P$108,MATCH(J206,'Factors'!$C$9:$C$108,0))="","",INDEX('Factors'!$P$9:$P$108,MATCH(J206,'Factors'!$C$9:$C$108,0))),""))</x:f>
      </x:c>
    </x:row>
    <x:row r="207" ht="26" customHeight="1">
      <x:c r="A207" s="1"/>
      <x:c r="B207" s="1"/>
      <x:c r="C207" s="8"/>
      <x:c r="D207" s="8"/>
      <x:c r="E207" s="8"/>
      <x:c r="F207" s="8"/>
      <x:c r="G207" s="8"/>
      <x:c r="H207" s="16"/>
      <x:c r="I207" s="8"/>
      <x:c r="J207" s="8"/>
      <x:c r="K207" s="22"/>
      <x:c r="L207" s="8"/>
      <x:c r="M207" s="8"/>
      <x:c r="N207" s="40"/>
      <x:c r="O207" s="41" t="str">
        <x:f>IF(C207="","",IFERROR(IF(INDEX('Factors'!$G$9:$G$108,MATCH(J207,'Factors'!$C$9:$C$108,0))="","",INDEX('Factors'!$G$9:$G$108,MATCH(J207,'Factors'!$C$9:$C$108,0))),""))</x:f>
      </x:c>
      <x:c r="P207" s="9" t="str">
        <x:f>IF(C207="","",IFERROR(IF(INDEX('Factors'!$F$9:$F$108,MATCH(J207,'Factors'!$C$9:$C$108,0))="","",INDEX('Factors'!$F$9:$F$108,MATCH(J207,'Factors'!$C$9:$C$108,0))),""))</x:f>
      </x:c>
      <x:c r="Q207" s="9" t="str">
        <x:f>IF(C207="","",IFERROR(IF(INDEX('Factors'!$H$9:$H$108,MATCH(J207,'Factors'!$C$9:$C$108,0))="","",INDEX('Factors'!$H$9:$H$108,MATCH(J207,'Factors'!$C$9:$C$108,0))),""))</x:f>
      </x:c>
      <x:c r="R207" s="9" t="str">
        <x:f>IF(C207="","",IFERROR(IF(INDEX('Factors'!$E$9:$E$108,MATCH(J207,'Factors'!$C$9:$C$108,0))="","",INDEX('Factors'!$E$9:$E$108,MATCH(J207,'Factors'!$C$9:$C$108,0))),""))</x:f>
      </x:c>
      <x:c r="S207" s="42" t="str">
        <x:f>IF(C207="","",IFERROR(IF(INDEX('Factors'!$J$9:$J$108,MATCH(J207,'Factors'!$C$9:$C$108,0))="","",INDEX('Factors'!$J$9:$J$108,MATCH(J207,'Factors'!$C$9:$C$108,0))),""))</x:f>
      </x:c>
      <x:c r="T207" s="9" t="str">
        <x:f>IF(C207="","",IFERROR(IF(INDEX('Factors'!$L$9:$L$108,MATCH(J207,'Factors'!$C$9:$C$108,0))="","",INDEX('Factors'!$L$9:$L$108,MATCH(J207,'Factors'!$C$9:$C$108,0))),"")&amp;" / "&amp;IFERROR(IF(INDEX('Factors'!$M$9:$M$108,MATCH(J207,'Factors'!$C$9:$C$108,0))="","",INDEX('Factors'!$M$9:$M$108,MATCH(J207,'Factors'!$C$9:$C$108,0))),""))</x:f>
      </x:c>
      <x:c r="U207" s="21" t="str">
        <x:f>IF(V207="Ready",H207*O207/1000,"")</x:f>
      </x:c>
      <x:c r="V207" s="9" t="str">
        <x:f>IF(C207="","",IF(OR(COUNTIFS($C$9:$C$308,C207)&lt;&gt;1,COUNTIFS($D$9:$D$308,D207,$E$9:$E$308,E207,$F$9:$F$308,F207,$G$9:$G$308,G207,$K$9:$K$308,K207)&lt;&gt;1),"Duplicate annual activity",IF(COUNTIFS('Inventory'!$C$9:$C$108,D207)&lt;&gt;1,"Entity required",IF(OR(E207="",L207="",NOT(ISNUMBER(H207)),H207&lt;0,NOT(ISNUMBER(K207)),NOT(ISNUMBER(N207))),"Missing activity input",IF(AND(E207&lt;&gt;D207,OR(COUNTIFS('Sites'!$C$9:$C$108,E207)&lt;&gt;1,IFERROR(IF(INDEX('Sites'!$D$9:$D$108,MATCH(E207,'Sites'!$C$9:$C$108,0))="","",INDEX('Sites'!$D$9:$D$108,MATCH(E207,'Sites'!$C$9:$C$108,0))),"")&lt;&gt;IFERROR(IF(INDEX('Inventory'!$D$9:$D$108,MATCH(D207,'Inventory'!$C$9:$C$108,0))="","",INDEX('Inventory'!$D$9:$D$108,MATCH(D207,'Inventory'!$C$9:$C$108,0))),""),IFERROR(IF(INDEX('Sites'!$E$9:$E$108,MATCH(E207,'Sites'!$C$9:$C$108,0))="","",INDEX('Sites'!$E$9:$E$108,MATCH(E207,'Sites'!$C$9:$C$108,0))),"")&lt;&gt;W207)),"Site / entity mismatch",IF(N207&lt;'Settings'!$F$8,"Expired",IF(X207&lt;&gt;"Ready","Factor required",IF(OR(G207&lt;&gt;IFERROR(IF(INDEX('Factors'!$D$9:$D$108,MATCH(J207,'Factors'!$C$9:$C$108,0))="","",INDEX('Factors'!$D$9:$D$108,MATCH(J207,'Factors'!$C$9:$C$108,0))),""),I207&lt;&gt;P207,F207&lt;&gt;Q207,K207&lt;&gt;S207,AND(R207&lt;&gt;"Global",R207&lt;&gt;W207),K207&lt;&gt;YEAR(IFERROR(IF(INDEX('Inventory'!$H$9:$H$108,MATCH(D207,'Inventory'!$C$9:$C$108,0))="","",INDEX('Inventory'!$H$9:$H$108,MATCH(D207,'Inventory'!$C$9:$C$108,0))),""))),"Factor / boundary mismatch",IF(AND(F207="S2",IFERROR(IF(INDEX('Factors'!$I$9:$I$108,MATCH(J207,'Factors'!$C$9:$C$108,0))="","",INDEX('Factors'!$I$9:$I$108,MATCH(J207,'Factors'!$C$9:$C$108,0))),"")&lt;&gt;"Location-based"),"Use location factor",IF(M207&lt;&gt;"Actual","Estimation method review","Ready"))))))))))</x:f>
      </x:c>
      <x:c r="W207" s="9" t="str">
        <x:f>IF(C207="","",IFERROR(IF(INDEX('Inventory'!$G$9:$G$108,MATCH(D207,'Inventory'!$C$9:$C$108,0))="","",INDEX('Inventory'!$G$9:$G$108,MATCH(D207,'Inventory'!$C$9:$C$108,0))),""))</x:f>
      </x:c>
      <x:c r="X207" s="9" t="str">
        <x:f>IF(C207="","",IFERROR(IF(INDEX('Factors'!$P$9:$P$108,MATCH(J207,'Factors'!$C$9:$C$108,0))="","",INDEX('Factors'!$P$9:$P$108,MATCH(J207,'Factors'!$C$9:$C$108,0))),""))</x:f>
      </x:c>
    </x:row>
    <x:row r="208" ht="26" customHeight="1">
      <x:c r="A208" s="1"/>
      <x:c r="B208" s="1"/>
      <x:c r="C208" s="8"/>
      <x:c r="D208" s="8"/>
      <x:c r="E208" s="8"/>
      <x:c r="F208" s="8"/>
      <x:c r="G208" s="8"/>
      <x:c r="H208" s="16"/>
      <x:c r="I208" s="8"/>
      <x:c r="J208" s="8"/>
      <x:c r="K208" s="22"/>
      <x:c r="L208" s="8"/>
      <x:c r="M208" s="8"/>
      <x:c r="N208" s="40"/>
      <x:c r="O208" s="41" t="str">
        <x:f>IF(C208="","",IFERROR(IF(INDEX('Factors'!$G$9:$G$108,MATCH(J208,'Factors'!$C$9:$C$108,0))="","",INDEX('Factors'!$G$9:$G$108,MATCH(J208,'Factors'!$C$9:$C$108,0))),""))</x:f>
      </x:c>
      <x:c r="P208" s="9" t="str">
        <x:f>IF(C208="","",IFERROR(IF(INDEX('Factors'!$F$9:$F$108,MATCH(J208,'Factors'!$C$9:$C$108,0))="","",INDEX('Factors'!$F$9:$F$108,MATCH(J208,'Factors'!$C$9:$C$108,0))),""))</x:f>
      </x:c>
      <x:c r="Q208" s="9" t="str">
        <x:f>IF(C208="","",IFERROR(IF(INDEX('Factors'!$H$9:$H$108,MATCH(J208,'Factors'!$C$9:$C$108,0))="","",INDEX('Factors'!$H$9:$H$108,MATCH(J208,'Factors'!$C$9:$C$108,0))),""))</x:f>
      </x:c>
      <x:c r="R208" s="9" t="str">
        <x:f>IF(C208="","",IFERROR(IF(INDEX('Factors'!$E$9:$E$108,MATCH(J208,'Factors'!$C$9:$C$108,0))="","",INDEX('Factors'!$E$9:$E$108,MATCH(J208,'Factors'!$C$9:$C$108,0))),""))</x:f>
      </x:c>
      <x:c r="S208" s="42" t="str">
        <x:f>IF(C208="","",IFERROR(IF(INDEX('Factors'!$J$9:$J$108,MATCH(J208,'Factors'!$C$9:$C$108,0))="","",INDEX('Factors'!$J$9:$J$108,MATCH(J208,'Factors'!$C$9:$C$108,0))),""))</x:f>
      </x:c>
      <x:c r="T208" s="9" t="str">
        <x:f>IF(C208="","",IFERROR(IF(INDEX('Factors'!$L$9:$L$108,MATCH(J208,'Factors'!$C$9:$C$108,0))="","",INDEX('Factors'!$L$9:$L$108,MATCH(J208,'Factors'!$C$9:$C$108,0))),"")&amp;" / "&amp;IFERROR(IF(INDEX('Factors'!$M$9:$M$108,MATCH(J208,'Factors'!$C$9:$C$108,0))="","",INDEX('Factors'!$M$9:$M$108,MATCH(J208,'Factors'!$C$9:$C$108,0))),""))</x:f>
      </x:c>
      <x:c r="U208" s="21" t="str">
        <x:f>IF(V208="Ready",H208*O208/1000,"")</x:f>
      </x:c>
      <x:c r="V208" s="9" t="str">
        <x:f>IF(C208="","",IF(OR(COUNTIFS($C$9:$C$308,C208)&lt;&gt;1,COUNTIFS($D$9:$D$308,D208,$E$9:$E$308,E208,$F$9:$F$308,F208,$G$9:$G$308,G208,$K$9:$K$308,K208)&lt;&gt;1),"Duplicate annual activity",IF(COUNTIFS('Inventory'!$C$9:$C$108,D208)&lt;&gt;1,"Entity required",IF(OR(E208="",L208="",NOT(ISNUMBER(H208)),H208&lt;0,NOT(ISNUMBER(K208)),NOT(ISNUMBER(N208))),"Missing activity input",IF(AND(E208&lt;&gt;D208,OR(COUNTIFS('Sites'!$C$9:$C$108,E208)&lt;&gt;1,IFERROR(IF(INDEX('Sites'!$D$9:$D$108,MATCH(E208,'Sites'!$C$9:$C$108,0))="","",INDEX('Sites'!$D$9:$D$108,MATCH(E208,'Sites'!$C$9:$C$108,0))),"")&lt;&gt;IFERROR(IF(INDEX('Inventory'!$D$9:$D$108,MATCH(D208,'Inventory'!$C$9:$C$108,0))="","",INDEX('Inventory'!$D$9:$D$108,MATCH(D208,'Inventory'!$C$9:$C$108,0))),""),IFERROR(IF(INDEX('Sites'!$E$9:$E$108,MATCH(E208,'Sites'!$C$9:$C$108,0))="","",INDEX('Sites'!$E$9:$E$108,MATCH(E208,'Sites'!$C$9:$C$108,0))),"")&lt;&gt;W208)),"Site / entity mismatch",IF(N208&lt;'Settings'!$F$8,"Expired",IF(X208&lt;&gt;"Ready","Factor required",IF(OR(G208&lt;&gt;IFERROR(IF(INDEX('Factors'!$D$9:$D$108,MATCH(J208,'Factors'!$C$9:$C$108,0))="","",INDEX('Factors'!$D$9:$D$108,MATCH(J208,'Factors'!$C$9:$C$108,0))),""),I208&lt;&gt;P208,F208&lt;&gt;Q208,K208&lt;&gt;S208,AND(R208&lt;&gt;"Global",R208&lt;&gt;W208),K208&lt;&gt;YEAR(IFERROR(IF(INDEX('Inventory'!$H$9:$H$108,MATCH(D208,'Inventory'!$C$9:$C$108,0))="","",INDEX('Inventory'!$H$9:$H$108,MATCH(D208,'Inventory'!$C$9:$C$108,0))),""))),"Factor / boundary mismatch",IF(AND(F208="S2",IFERROR(IF(INDEX('Factors'!$I$9:$I$108,MATCH(J208,'Factors'!$C$9:$C$108,0))="","",INDEX('Factors'!$I$9:$I$108,MATCH(J208,'Factors'!$C$9:$C$108,0))),"")&lt;&gt;"Location-based"),"Use location factor",IF(M208&lt;&gt;"Actual","Estimation method review","Ready"))))))))))</x:f>
      </x:c>
      <x:c r="W208" s="9" t="str">
        <x:f>IF(C208="","",IFERROR(IF(INDEX('Inventory'!$G$9:$G$108,MATCH(D208,'Inventory'!$C$9:$C$108,0))="","",INDEX('Inventory'!$G$9:$G$108,MATCH(D208,'Inventory'!$C$9:$C$108,0))),""))</x:f>
      </x:c>
      <x:c r="X208" s="9" t="str">
        <x:f>IF(C208="","",IFERROR(IF(INDEX('Factors'!$P$9:$P$108,MATCH(J208,'Factors'!$C$9:$C$108,0))="","",INDEX('Factors'!$P$9:$P$108,MATCH(J208,'Factors'!$C$9:$C$108,0))),""))</x:f>
      </x:c>
    </x:row>
    <x:row r="209" ht="26" customHeight="1">
      <x:c r="A209" s="1"/>
      <x:c r="B209" s="1"/>
      <x:c r="C209" s="8"/>
      <x:c r="D209" s="8"/>
      <x:c r="E209" s="8"/>
      <x:c r="F209" s="8"/>
      <x:c r="G209" s="8"/>
      <x:c r="H209" s="16"/>
      <x:c r="I209" s="8"/>
      <x:c r="J209" s="8"/>
      <x:c r="K209" s="22"/>
      <x:c r="L209" s="8"/>
      <x:c r="M209" s="8"/>
      <x:c r="N209" s="40"/>
      <x:c r="O209" s="41" t="str">
        <x:f>IF(C209="","",IFERROR(IF(INDEX('Factors'!$G$9:$G$108,MATCH(J209,'Factors'!$C$9:$C$108,0))="","",INDEX('Factors'!$G$9:$G$108,MATCH(J209,'Factors'!$C$9:$C$108,0))),""))</x:f>
      </x:c>
      <x:c r="P209" s="9" t="str">
        <x:f>IF(C209="","",IFERROR(IF(INDEX('Factors'!$F$9:$F$108,MATCH(J209,'Factors'!$C$9:$C$108,0))="","",INDEX('Factors'!$F$9:$F$108,MATCH(J209,'Factors'!$C$9:$C$108,0))),""))</x:f>
      </x:c>
      <x:c r="Q209" s="9" t="str">
        <x:f>IF(C209="","",IFERROR(IF(INDEX('Factors'!$H$9:$H$108,MATCH(J209,'Factors'!$C$9:$C$108,0))="","",INDEX('Factors'!$H$9:$H$108,MATCH(J209,'Factors'!$C$9:$C$108,0))),""))</x:f>
      </x:c>
      <x:c r="R209" s="9" t="str">
        <x:f>IF(C209="","",IFERROR(IF(INDEX('Factors'!$E$9:$E$108,MATCH(J209,'Factors'!$C$9:$C$108,0))="","",INDEX('Factors'!$E$9:$E$108,MATCH(J209,'Factors'!$C$9:$C$108,0))),""))</x:f>
      </x:c>
      <x:c r="S209" s="42" t="str">
        <x:f>IF(C209="","",IFERROR(IF(INDEX('Factors'!$J$9:$J$108,MATCH(J209,'Factors'!$C$9:$C$108,0))="","",INDEX('Factors'!$J$9:$J$108,MATCH(J209,'Factors'!$C$9:$C$108,0))),""))</x:f>
      </x:c>
      <x:c r="T209" s="9" t="str">
        <x:f>IF(C209="","",IFERROR(IF(INDEX('Factors'!$L$9:$L$108,MATCH(J209,'Factors'!$C$9:$C$108,0))="","",INDEX('Factors'!$L$9:$L$108,MATCH(J209,'Factors'!$C$9:$C$108,0))),"")&amp;" / "&amp;IFERROR(IF(INDEX('Factors'!$M$9:$M$108,MATCH(J209,'Factors'!$C$9:$C$108,0))="","",INDEX('Factors'!$M$9:$M$108,MATCH(J209,'Factors'!$C$9:$C$108,0))),""))</x:f>
      </x:c>
      <x:c r="U209" s="21" t="str">
        <x:f>IF(V209="Ready",H209*O209/1000,"")</x:f>
      </x:c>
      <x:c r="V209" s="9" t="str">
        <x:f>IF(C209="","",IF(OR(COUNTIFS($C$9:$C$308,C209)&lt;&gt;1,COUNTIFS($D$9:$D$308,D209,$E$9:$E$308,E209,$F$9:$F$308,F209,$G$9:$G$308,G209,$K$9:$K$308,K209)&lt;&gt;1),"Duplicate annual activity",IF(COUNTIFS('Inventory'!$C$9:$C$108,D209)&lt;&gt;1,"Entity required",IF(OR(E209="",L209="",NOT(ISNUMBER(H209)),H209&lt;0,NOT(ISNUMBER(K209)),NOT(ISNUMBER(N209))),"Missing activity input",IF(AND(E209&lt;&gt;D209,OR(COUNTIFS('Sites'!$C$9:$C$108,E209)&lt;&gt;1,IFERROR(IF(INDEX('Sites'!$D$9:$D$108,MATCH(E209,'Sites'!$C$9:$C$108,0))="","",INDEX('Sites'!$D$9:$D$108,MATCH(E209,'Sites'!$C$9:$C$108,0))),"")&lt;&gt;IFERROR(IF(INDEX('Inventory'!$D$9:$D$108,MATCH(D209,'Inventory'!$C$9:$C$108,0))="","",INDEX('Inventory'!$D$9:$D$108,MATCH(D209,'Inventory'!$C$9:$C$108,0))),""),IFERROR(IF(INDEX('Sites'!$E$9:$E$108,MATCH(E209,'Sites'!$C$9:$C$108,0))="","",INDEX('Sites'!$E$9:$E$108,MATCH(E209,'Sites'!$C$9:$C$108,0))),"")&lt;&gt;W209)),"Site / entity mismatch",IF(N209&lt;'Settings'!$F$8,"Expired",IF(X209&lt;&gt;"Ready","Factor required",IF(OR(G209&lt;&gt;IFERROR(IF(INDEX('Factors'!$D$9:$D$108,MATCH(J209,'Factors'!$C$9:$C$108,0))="","",INDEX('Factors'!$D$9:$D$108,MATCH(J209,'Factors'!$C$9:$C$108,0))),""),I209&lt;&gt;P209,F209&lt;&gt;Q209,K209&lt;&gt;S209,AND(R209&lt;&gt;"Global",R209&lt;&gt;W209),K209&lt;&gt;YEAR(IFERROR(IF(INDEX('Inventory'!$H$9:$H$108,MATCH(D209,'Inventory'!$C$9:$C$108,0))="","",INDEX('Inventory'!$H$9:$H$108,MATCH(D209,'Inventory'!$C$9:$C$108,0))),""))),"Factor / boundary mismatch",IF(AND(F209="S2",IFERROR(IF(INDEX('Factors'!$I$9:$I$108,MATCH(J209,'Factors'!$C$9:$C$108,0))="","",INDEX('Factors'!$I$9:$I$108,MATCH(J209,'Factors'!$C$9:$C$108,0))),"")&lt;&gt;"Location-based"),"Use location factor",IF(M209&lt;&gt;"Actual","Estimation method review","Ready"))))))))))</x:f>
      </x:c>
      <x:c r="W209" s="9" t="str">
        <x:f>IF(C209="","",IFERROR(IF(INDEX('Inventory'!$G$9:$G$108,MATCH(D209,'Inventory'!$C$9:$C$108,0))="","",INDEX('Inventory'!$G$9:$G$108,MATCH(D209,'Inventory'!$C$9:$C$108,0))),""))</x:f>
      </x:c>
      <x:c r="X209" s="9" t="str">
        <x:f>IF(C209="","",IFERROR(IF(INDEX('Factors'!$P$9:$P$108,MATCH(J209,'Factors'!$C$9:$C$108,0))="","",INDEX('Factors'!$P$9:$P$108,MATCH(J209,'Factors'!$C$9:$C$108,0))),""))</x:f>
      </x:c>
    </x:row>
    <x:row r="210" ht="26" customHeight="1">
      <x:c r="A210" s="1"/>
      <x:c r="B210" s="1"/>
      <x:c r="C210" s="8"/>
      <x:c r="D210" s="8"/>
      <x:c r="E210" s="8"/>
      <x:c r="F210" s="8"/>
      <x:c r="G210" s="8"/>
      <x:c r="H210" s="16"/>
      <x:c r="I210" s="8"/>
      <x:c r="J210" s="8"/>
      <x:c r="K210" s="22"/>
      <x:c r="L210" s="8"/>
      <x:c r="M210" s="8"/>
      <x:c r="N210" s="40"/>
      <x:c r="O210" s="41" t="str">
        <x:f>IF(C210="","",IFERROR(IF(INDEX('Factors'!$G$9:$G$108,MATCH(J210,'Factors'!$C$9:$C$108,0))="","",INDEX('Factors'!$G$9:$G$108,MATCH(J210,'Factors'!$C$9:$C$108,0))),""))</x:f>
      </x:c>
      <x:c r="P210" s="9" t="str">
        <x:f>IF(C210="","",IFERROR(IF(INDEX('Factors'!$F$9:$F$108,MATCH(J210,'Factors'!$C$9:$C$108,0))="","",INDEX('Factors'!$F$9:$F$108,MATCH(J210,'Factors'!$C$9:$C$108,0))),""))</x:f>
      </x:c>
      <x:c r="Q210" s="9" t="str">
        <x:f>IF(C210="","",IFERROR(IF(INDEX('Factors'!$H$9:$H$108,MATCH(J210,'Factors'!$C$9:$C$108,0))="","",INDEX('Factors'!$H$9:$H$108,MATCH(J210,'Factors'!$C$9:$C$108,0))),""))</x:f>
      </x:c>
      <x:c r="R210" s="9" t="str">
        <x:f>IF(C210="","",IFERROR(IF(INDEX('Factors'!$E$9:$E$108,MATCH(J210,'Factors'!$C$9:$C$108,0))="","",INDEX('Factors'!$E$9:$E$108,MATCH(J210,'Factors'!$C$9:$C$108,0))),""))</x:f>
      </x:c>
      <x:c r="S210" s="42" t="str">
        <x:f>IF(C210="","",IFERROR(IF(INDEX('Factors'!$J$9:$J$108,MATCH(J210,'Factors'!$C$9:$C$108,0))="","",INDEX('Factors'!$J$9:$J$108,MATCH(J210,'Factors'!$C$9:$C$108,0))),""))</x:f>
      </x:c>
      <x:c r="T210" s="9" t="str">
        <x:f>IF(C210="","",IFERROR(IF(INDEX('Factors'!$L$9:$L$108,MATCH(J210,'Factors'!$C$9:$C$108,0))="","",INDEX('Factors'!$L$9:$L$108,MATCH(J210,'Factors'!$C$9:$C$108,0))),"")&amp;" / "&amp;IFERROR(IF(INDEX('Factors'!$M$9:$M$108,MATCH(J210,'Factors'!$C$9:$C$108,0))="","",INDEX('Factors'!$M$9:$M$108,MATCH(J210,'Factors'!$C$9:$C$108,0))),""))</x:f>
      </x:c>
      <x:c r="U210" s="21" t="str">
        <x:f>IF(V210="Ready",H210*O210/1000,"")</x:f>
      </x:c>
      <x:c r="V210" s="9" t="str">
        <x:f>IF(C210="","",IF(OR(COUNTIFS($C$9:$C$308,C210)&lt;&gt;1,COUNTIFS($D$9:$D$308,D210,$E$9:$E$308,E210,$F$9:$F$308,F210,$G$9:$G$308,G210,$K$9:$K$308,K210)&lt;&gt;1),"Duplicate annual activity",IF(COUNTIFS('Inventory'!$C$9:$C$108,D210)&lt;&gt;1,"Entity required",IF(OR(E210="",L210="",NOT(ISNUMBER(H210)),H210&lt;0,NOT(ISNUMBER(K210)),NOT(ISNUMBER(N210))),"Missing activity input",IF(AND(E210&lt;&gt;D210,OR(COUNTIFS('Sites'!$C$9:$C$108,E210)&lt;&gt;1,IFERROR(IF(INDEX('Sites'!$D$9:$D$108,MATCH(E210,'Sites'!$C$9:$C$108,0))="","",INDEX('Sites'!$D$9:$D$108,MATCH(E210,'Sites'!$C$9:$C$108,0))),"")&lt;&gt;IFERROR(IF(INDEX('Inventory'!$D$9:$D$108,MATCH(D210,'Inventory'!$C$9:$C$108,0))="","",INDEX('Inventory'!$D$9:$D$108,MATCH(D210,'Inventory'!$C$9:$C$108,0))),""),IFERROR(IF(INDEX('Sites'!$E$9:$E$108,MATCH(E210,'Sites'!$C$9:$C$108,0))="","",INDEX('Sites'!$E$9:$E$108,MATCH(E210,'Sites'!$C$9:$C$108,0))),"")&lt;&gt;W210)),"Site / entity mismatch",IF(N210&lt;'Settings'!$F$8,"Expired",IF(X210&lt;&gt;"Ready","Factor required",IF(OR(G210&lt;&gt;IFERROR(IF(INDEX('Factors'!$D$9:$D$108,MATCH(J210,'Factors'!$C$9:$C$108,0))="","",INDEX('Factors'!$D$9:$D$108,MATCH(J210,'Factors'!$C$9:$C$108,0))),""),I210&lt;&gt;P210,F210&lt;&gt;Q210,K210&lt;&gt;S210,AND(R210&lt;&gt;"Global",R210&lt;&gt;W210),K210&lt;&gt;YEAR(IFERROR(IF(INDEX('Inventory'!$H$9:$H$108,MATCH(D210,'Inventory'!$C$9:$C$108,0))="","",INDEX('Inventory'!$H$9:$H$108,MATCH(D210,'Inventory'!$C$9:$C$108,0))),""))),"Factor / boundary mismatch",IF(AND(F210="S2",IFERROR(IF(INDEX('Factors'!$I$9:$I$108,MATCH(J210,'Factors'!$C$9:$C$108,0))="","",INDEX('Factors'!$I$9:$I$108,MATCH(J210,'Factors'!$C$9:$C$108,0))),"")&lt;&gt;"Location-based"),"Use location factor",IF(M210&lt;&gt;"Actual","Estimation method review","Ready"))))))))))</x:f>
      </x:c>
      <x:c r="W210" s="9" t="str">
        <x:f>IF(C210="","",IFERROR(IF(INDEX('Inventory'!$G$9:$G$108,MATCH(D210,'Inventory'!$C$9:$C$108,0))="","",INDEX('Inventory'!$G$9:$G$108,MATCH(D210,'Inventory'!$C$9:$C$108,0))),""))</x:f>
      </x:c>
      <x:c r="X210" s="9" t="str">
        <x:f>IF(C210="","",IFERROR(IF(INDEX('Factors'!$P$9:$P$108,MATCH(J210,'Factors'!$C$9:$C$108,0))="","",INDEX('Factors'!$P$9:$P$108,MATCH(J210,'Factors'!$C$9:$C$108,0))),""))</x:f>
      </x:c>
    </x:row>
    <x:row r="211" ht="26" customHeight="1">
      <x:c r="A211" s="1"/>
      <x:c r="B211" s="1"/>
      <x:c r="C211" s="8"/>
      <x:c r="D211" s="8"/>
      <x:c r="E211" s="8"/>
      <x:c r="F211" s="8"/>
      <x:c r="G211" s="8"/>
      <x:c r="H211" s="16"/>
      <x:c r="I211" s="8"/>
      <x:c r="J211" s="8"/>
      <x:c r="K211" s="22"/>
      <x:c r="L211" s="8"/>
      <x:c r="M211" s="8"/>
      <x:c r="N211" s="40"/>
      <x:c r="O211" s="41" t="str">
        <x:f>IF(C211="","",IFERROR(IF(INDEX('Factors'!$G$9:$G$108,MATCH(J211,'Factors'!$C$9:$C$108,0))="","",INDEX('Factors'!$G$9:$G$108,MATCH(J211,'Factors'!$C$9:$C$108,0))),""))</x:f>
      </x:c>
      <x:c r="P211" s="9" t="str">
        <x:f>IF(C211="","",IFERROR(IF(INDEX('Factors'!$F$9:$F$108,MATCH(J211,'Factors'!$C$9:$C$108,0))="","",INDEX('Factors'!$F$9:$F$108,MATCH(J211,'Factors'!$C$9:$C$108,0))),""))</x:f>
      </x:c>
      <x:c r="Q211" s="9" t="str">
        <x:f>IF(C211="","",IFERROR(IF(INDEX('Factors'!$H$9:$H$108,MATCH(J211,'Factors'!$C$9:$C$108,0))="","",INDEX('Factors'!$H$9:$H$108,MATCH(J211,'Factors'!$C$9:$C$108,0))),""))</x:f>
      </x:c>
      <x:c r="R211" s="9" t="str">
        <x:f>IF(C211="","",IFERROR(IF(INDEX('Factors'!$E$9:$E$108,MATCH(J211,'Factors'!$C$9:$C$108,0))="","",INDEX('Factors'!$E$9:$E$108,MATCH(J211,'Factors'!$C$9:$C$108,0))),""))</x:f>
      </x:c>
      <x:c r="S211" s="42" t="str">
        <x:f>IF(C211="","",IFERROR(IF(INDEX('Factors'!$J$9:$J$108,MATCH(J211,'Factors'!$C$9:$C$108,0))="","",INDEX('Factors'!$J$9:$J$108,MATCH(J211,'Factors'!$C$9:$C$108,0))),""))</x:f>
      </x:c>
      <x:c r="T211" s="9" t="str">
        <x:f>IF(C211="","",IFERROR(IF(INDEX('Factors'!$L$9:$L$108,MATCH(J211,'Factors'!$C$9:$C$108,0))="","",INDEX('Factors'!$L$9:$L$108,MATCH(J211,'Factors'!$C$9:$C$108,0))),"")&amp;" / "&amp;IFERROR(IF(INDEX('Factors'!$M$9:$M$108,MATCH(J211,'Factors'!$C$9:$C$108,0))="","",INDEX('Factors'!$M$9:$M$108,MATCH(J211,'Factors'!$C$9:$C$108,0))),""))</x:f>
      </x:c>
      <x:c r="U211" s="21" t="str">
        <x:f>IF(V211="Ready",H211*O211/1000,"")</x:f>
      </x:c>
      <x:c r="V211" s="9" t="str">
        <x:f>IF(C211="","",IF(OR(COUNTIFS($C$9:$C$308,C211)&lt;&gt;1,COUNTIFS($D$9:$D$308,D211,$E$9:$E$308,E211,$F$9:$F$308,F211,$G$9:$G$308,G211,$K$9:$K$308,K211)&lt;&gt;1),"Duplicate annual activity",IF(COUNTIFS('Inventory'!$C$9:$C$108,D211)&lt;&gt;1,"Entity required",IF(OR(E211="",L211="",NOT(ISNUMBER(H211)),H211&lt;0,NOT(ISNUMBER(K211)),NOT(ISNUMBER(N211))),"Missing activity input",IF(AND(E211&lt;&gt;D211,OR(COUNTIFS('Sites'!$C$9:$C$108,E211)&lt;&gt;1,IFERROR(IF(INDEX('Sites'!$D$9:$D$108,MATCH(E211,'Sites'!$C$9:$C$108,0))="","",INDEX('Sites'!$D$9:$D$108,MATCH(E211,'Sites'!$C$9:$C$108,0))),"")&lt;&gt;IFERROR(IF(INDEX('Inventory'!$D$9:$D$108,MATCH(D211,'Inventory'!$C$9:$C$108,0))="","",INDEX('Inventory'!$D$9:$D$108,MATCH(D211,'Inventory'!$C$9:$C$108,0))),""),IFERROR(IF(INDEX('Sites'!$E$9:$E$108,MATCH(E211,'Sites'!$C$9:$C$108,0))="","",INDEX('Sites'!$E$9:$E$108,MATCH(E211,'Sites'!$C$9:$C$108,0))),"")&lt;&gt;W211)),"Site / entity mismatch",IF(N211&lt;'Settings'!$F$8,"Expired",IF(X211&lt;&gt;"Ready","Factor required",IF(OR(G211&lt;&gt;IFERROR(IF(INDEX('Factors'!$D$9:$D$108,MATCH(J211,'Factors'!$C$9:$C$108,0))="","",INDEX('Factors'!$D$9:$D$108,MATCH(J211,'Factors'!$C$9:$C$108,0))),""),I211&lt;&gt;P211,F211&lt;&gt;Q211,K211&lt;&gt;S211,AND(R211&lt;&gt;"Global",R211&lt;&gt;W211),K211&lt;&gt;YEAR(IFERROR(IF(INDEX('Inventory'!$H$9:$H$108,MATCH(D211,'Inventory'!$C$9:$C$108,0))="","",INDEX('Inventory'!$H$9:$H$108,MATCH(D211,'Inventory'!$C$9:$C$108,0))),""))),"Factor / boundary mismatch",IF(AND(F211="S2",IFERROR(IF(INDEX('Factors'!$I$9:$I$108,MATCH(J211,'Factors'!$C$9:$C$108,0))="","",INDEX('Factors'!$I$9:$I$108,MATCH(J211,'Factors'!$C$9:$C$108,0))),"")&lt;&gt;"Location-based"),"Use location factor",IF(M211&lt;&gt;"Actual","Estimation method review","Ready"))))))))))</x:f>
      </x:c>
      <x:c r="W211" s="9" t="str">
        <x:f>IF(C211="","",IFERROR(IF(INDEX('Inventory'!$G$9:$G$108,MATCH(D211,'Inventory'!$C$9:$C$108,0))="","",INDEX('Inventory'!$G$9:$G$108,MATCH(D211,'Inventory'!$C$9:$C$108,0))),""))</x:f>
      </x:c>
      <x:c r="X211" s="9" t="str">
        <x:f>IF(C211="","",IFERROR(IF(INDEX('Factors'!$P$9:$P$108,MATCH(J211,'Factors'!$C$9:$C$108,0))="","",INDEX('Factors'!$P$9:$P$108,MATCH(J211,'Factors'!$C$9:$C$108,0))),""))</x:f>
      </x:c>
    </x:row>
    <x:row r="212" ht="26" customHeight="1">
      <x:c r="A212" s="1"/>
      <x:c r="B212" s="1"/>
      <x:c r="C212" s="8"/>
      <x:c r="D212" s="8"/>
      <x:c r="E212" s="8"/>
      <x:c r="F212" s="8"/>
      <x:c r="G212" s="8"/>
      <x:c r="H212" s="16"/>
      <x:c r="I212" s="8"/>
      <x:c r="J212" s="8"/>
      <x:c r="K212" s="22"/>
      <x:c r="L212" s="8"/>
      <x:c r="M212" s="8"/>
      <x:c r="N212" s="40"/>
      <x:c r="O212" s="41" t="str">
        <x:f>IF(C212="","",IFERROR(IF(INDEX('Factors'!$G$9:$G$108,MATCH(J212,'Factors'!$C$9:$C$108,0))="","",INDEX('Factors'!$G$9:$G$108,MATCH(J212,'Factors'!$C$9:$C$108,0))),""))</x:f>
      </x:c>
      <x:c r="P212" s="9" t="str">
        <x:f>IF(C212="","",IFERROR(IF(INDEX('Factors'!$F$9:$F$108,MATCH(J212,'Factors'!$C$9:$C$108,0))="","",INDEX('Factors'!$F$9:$F$108,MATCH(J212,'Factors'!$C$9:$C$108,0))),""))</x:f>
      </x:c>
      <x:c r="Q212" s="9" t="str">
        <x:f>IF(C212="","",IFERROR(IF(INDEX('Factors'!$H$9:$H$108,MATCH(J212,'Factors'!$C$9:$C$108,0))="","",INDEX('Factors'!$H$9:$H$108,MATCH(J212,'Factors'!$C$9:$C$108,0))),""))</x:f>
      </x:c>
      <x:c r="R212" s="9" t="str">
        <x:f>IF(C212="","",IFERROR(IF(INDEX('Factors'!$E$9:$E$108,MATCH(J212,'Factors'!$C$9:$C$108,0))="","",INDEX('Factors'!$E$9:$E$108,MATCH(J212,'Factors'!$C$9:$C$108,0))),""))</x:f>
      </x:c>
      <x:c r="S212" s="42" t="str">
        <x:f>IF(C212="","",IFERROR(IF(INDEX('Factors'!$J$9:$J$108,MATCH(J212,'Factors'!$C$9:$C$108,0))="","",INDEX('Factors'!$J$9:$J$108,MATCH(J212,'Factors'!$C$9:$C$108,0))),""))</x:f>
      </x:c>
      <x:c r="T212" s="9" t="str">
        <x:f>IF(C212="","",IFERROR(IF(INDEX('Factors'!$L$9:$L$108,MATCH(J212,'Factors'!$C$9:$C$108,0))="","",INDEX('Factors'!$L$9:$L$108,MATCH(J212,'Factors'!$C$9:$C$108,0))),"")&amp;" / "&amp;IFERROR(IF(INDEX('Factors'!$M$9:$M$108,MATCH(J212,'Factors'!$C$9:$C$108,0))="","",INDEX('Factors'!$M$9:$M$108,MATCH(J212,'Factors'!$C$9:$C$108,0))),""))</x:f>
      </x:c>
      <x:c r="U212" s="21" t="str">
        <x:f>IF(V212="Ready",H212*O212/1000,"")</x:f>
      </x:c>
      <x:c r="V212" s="9" t="str">
        <x:f>IF(C212="","",IF(OR(COUNTIFS($C$9:$C$308,C212)&lt;&gt;1,COUNTIFS($D$9:$D$308,D212,$E$9:$E$308,E212,$F$9:$F$308,F212,$G$9:$G$308,G212,$K$9:$K$308,K212)&lt;&gt;1),"Duplicate annual activity",IF(COUNTIFS('Inventory'!$C$9:$C$108,D212)&lt;&gt;1,"Entity required",IF(OR(E212="",L212="",NOT(ISNUMBER(H212)),H212&lt;0,NOT(ISNUMBER(K212)),NOT(ISNUMBER(N212))),"Missing activity input",IF(AND(E212&lt;&gt;D212,OR(COUNTIFS('Sites'!$C$9:$C$108,E212)&lt;&gt;1,IFERROR(IF(INDEX('Sites'!$D$9:$D$108,MATCH(E212,'Sites'!$C$9:$C$108,0))="","",INDEX('Sites'!$D$9:$D$108,MATCH(E212,'Sites'!$C$9:$C$108,0))),"")&lt;&gt;IFERROR(IF(INDEX('Inventory'!$D$9:$D$108,MATCH(D212,'Inventory'!$C$9:$C$108,0))="","",INDEX('Inventory'!$D$9:$D$108,MATCH(D212,'Inventory'!$C$9:$C$108,0))),""),IFERROR(IF(INDEX('Sites'!$E$9:$E$108,MATCH(E212,'Sites'!$C$9:$C$108,0))="","",INDEX('Sites'!$E$9:$E$108,MATCH(E212,'Sites'!$C$9:$C$108,0))),"")&lt;&gt;W212)),"Site / entity mismatch",IF(N212&lt;'Settings'!$F$8,"Expired",IF(X212&lt;&gt;"Ready","Factor required",IF(OR(G212&lt;&gt;IFERROR(IF(INDEX('Factors'!$D$9:$D$108,MATCH(J212,'Factors'!$C$9:$C$108,0))="","",INDEX('Factors'!$D$9:$D$108,MATCH(J212,'Factors'!$C$9:$C$108,0))),""),I212&lt;&gt;P212,F212&lt;&gt;Q212,K212&lt;&gt;S212,AND(R212&lt;&gt;"Global",R212&lt;&gt;W212),K212&lt;&gt;YEAR(IFERROR(IF(INDEX('Inventory'!$H$9:$H$108,MATCH(D212,'Inventory'!$C$9:$C$108,0))="","",INDEX('Inventory'!$H$9:$H$108,MATCH(D212,'Inventory'!$C$9:$C$108,0))),""))),"Factor / boundary mismatch",IF(AND(F212="S2",IFERROR(IF(INDEX('Factors'!$I$9:$I$108,MATCH(J212,'Factors'!$C$9:$C$108,0))="","",INDEX('Factors'!$I$9:$I$108,MATCH(J212,'Factors'!$C$9:$C$108,0))),"")&lt;&gt;"Location-based"),"Use location factor",IF(M212&lt;&gt;"Actual","Estimation method review","Ready"))))))))))</x:f>
      </x:c>
      <x:c r="W212" s="9" t="str">
        <x:f>IF(C212="","",IFERROR(IF(INDEX('Inventory'!$G$9:$G$108,MATCH(D212,'Inventory'!$C$9:$C$108,0))="","",INDEX('Inventory'!$G$9:$G$108,MATCH(D212,'Inventory'!$C$9:$C$108,0))),""))</x:f>
      </x:c>
      <x:c r="X212" s="9" t="str">
        <x:f>IF(C212="","",IFERROR(IF(INDEX('Factors'!$P$9:$P$108,MATCH(J212,'Factors'!$C$9:$C$108,0))="","",INDEX('Factors'!$P$9:$P$108,MATCH(J212,'Factors'!$C$9:$C$108,0))),""))</x:f>
      </x:c>
    </x:row>
    <x:row r="213" ht="26" customHeight="1">
      <x:c r="A213" s="1"/>
      <x:c r="B213" s="1"/>
      <x:c r="C213" s="8"/>
      <x:c r="D213" s="8"/>
      <x:c r="E213" s="8"/>
      <x:c r="F213" s="8"/>
      <x:c r="G213" s="8"/>
      <x:c r="H213" s="16"/>
      <x:c r="I213" s="8"/>
      <x:c r="J213" s="8"/>
      <x:c r="K213" s="22"/>
      <x:c r="L213" s="8"/>
      <x:c r="M213" s="8"/>
      <x:c r="N213" s="40"/>
      <x:c r="O213" s="41" t="str">
        <x:f>IF(C213="","",IFERROR(IF(INDEX('Factors'!$G$9:$G$108,MATCH(J213,'Factors'!$C$9:$C$108,0))="","",INDEX('Factors'!$G$9:$G$108,MATCH(J213,'Factors'!$C$9:$C$108,0))),""))</x:f>
      </x:c>
      <x:c r="P213" s="9" t="str">
        <x:f>IF(C213="","",IFERROR(IF(INDEX('Factors'!$F$9:$F$108,MATCH(J213,'Factors'!$C$9:$C$108,0))="","",INDEX('Factors'!$F$9:$F$108,MATCH(J213,'Factors'!$C$9:$C$108,0))),""))</x:f>
      </x:c>
      <x:c r="Q213" s="9" t="str">
        <x:f>IF(C213="","",IFERROR(IF(INDEX('Factors'!$H$9:$H$108,MATCH(J213,'Factors'!$C$9:$C$108,0))="","",INDEX('Factors'!$H$9:$H$108,MATCH(J213,'Factors'!$C$9:$C$108,0))),""))</x:f>
      </x:c>
      <x:c r="R213" s="9" t="str">
        <x:f>IF(C213="","",IFERROR(IF(INDEX('Factors'!$E$9:$E$108,MATCH(J213,'Factors'!$C$9:$C$108,0))="","",INDEX('Factors'!$E$9:$E$108,MATCH(J213,'Factors'!$C$9:$C$108,0))),""))</x:f>
      </x:c>
      <x:c r="S213" s="42" t="str">
        <x:f>IF(C213="","",IFERROR(IF(INDEX('Factors'!$J$9:$J$108,MATCH(J213,'Factors'!$C$9:$C$108,0))="","",INDEX('Factors'!$J$9:$J$108,MATCH(J213,'Factors'!$C$9:$C$108,0))),""))</x:f>
      </x:c>
      <x:c r="T213" s="9" t="str">
        <x:f>IF(C213="","",IFERROR(IF(INDEX('Factors'!$L$9:$L$108,MATCH(J213,'Factors'!$C$9:$C$108,0))="","",INDEX('Factors'!$L$9:$L$108,MATCH(J213,'Factors'!$C$9:$C$108,0))),"")&amp;" / "&amp;IFERROR(IF(INDEX('Factors'!$M$9:$M$108,MATCH(J213,'Factors'!$C$9:$C$108,0))="","",INDEX('Factors'!$M$9:$M$108,MATCH(J213,'Factors'!$C$9:$C$108,0))),""))</x:f>
      </x:c>
      <x:c r="U213" s="21" t="str">
        <x:f>IF(V213="Ready",H213*O213/1000,"")</x:f>
      </x:c>
      <x:c r="V213" s="9" t="str">
        <x:f>IF(C213="","",IF(OR(COUNTIFS($C$9:$C$308,C213)&lt;&gt;1,COUNTIFS($D$9:$D$308,D213,$E$9:$E$308,E213,$F$9:$F$308,F213,$G$9:$G$308,G213,$K$9:$K$308,K213)&lt;&gt;1),"Duplicate annual activity",IF(COUNTIFS('Inventory'!$C$9:$C$108,D213)&lt;&gt;1,"Entity required",IF(OR(E213="",L213="",NOT(ISNUMBER(H213)),H213&lt;0,NOT(ISNUMBER(K213)),NOT(ISNUMBER(N213))),"Missing activity input",IF(AND(E213&lt;&gt;D213,OR(COUNTIFS('Sites'!$C$9:$C$108,E213)&lt;&gt;1,IFERROR(IF(INDEX('Sites'!$D$9:$D$108,MATCH(E213,'Sites'!$C$9:$C$108,0))="","",INDEX('Sites'!$D$9:$D$108,MATCH(E213,'Sites'!$C$9:$C$108,0))),"")&lt;&gt;IFERROR(IF(INDEX('Inventory'!$D$9:$D$108,MATCH(D213,'Inventory'!$C$9:$C$108,0))="","",INDEX('Inventory'!$D$9:$D$108,MATCH(D213,'Inventory'!$C$9:$C$108,0))),""),IFERROR(IF(INDEX('Sites'!$E$9:$E$108,MATCH(E213,'Sites'!$C$9:$C$108,0))="","",INDEX('Sites'!$E$9:$E$108,MATCH(E213,'Sites'!$C$9:$C$108,0))),"")&lt;&gt;W213)),"Site / entity mismatch",IF(N213&lt;'Settings'!$F$8,"Expired",IF(X213&lt;&gt;"Ready","Factor required",IF(OR(G213&lt;&gt;IFERROR(IF(INDEX('Factors'!$D$9:$D$108,MATCH(J213,'Factors'!$C$9:$C$108,0))="","",INDEX('Factors'!$D$9:$D$108,MATCH(J213,'Factors'!$C$9:$C$108,0))),""),I213&lt;&gt;P213,F213&lt;&gt;Q213,K213&lt;&gt;S213,AND(R213&lt;&gt;"Global",R213&lt;&gt;W213),K213&lt;&gt;YEAR(IFERROR(IF(INDEX('Inventory'!$H$9:$H$108,MATCH(D213,'Inventory'!$C$9:$C$108,0))="","",INDEX('Inventory'!$H$9:$H$108,MATCH(D213,'Inventory'!$C$9:$C$108,0))),""))),"Factor / boundary mismatch",IF(AND(F213="S2",IFERROR(IF(INDEX('Factors'!$I$9:$I$108,MATCH(J213,'Factors'!$C$9:$C$108,0))="","",INDEX('Factors'!$I$9:$I$108,MATCH(J213,'Factors'!$C$9:$C$108,0))),"")&lt;&gt;"Location-based"),"Use location factor",IF(M213&lt;&gt;"Actual","Estimation method review","Ready"))))))))))</x:f>
      </x:c>
      <x:c r="W213" s="9" t="str">
        <x:f>IF(C213="","",IFERROR(IF(INDEX('Inventory'!$G$9:$G$108,MATCH(D213,'Inventory'!$C$9:$C$108,0))="","",INDEX('Inventory'!$G$9:$G$108,MATCH(D213,'Inventory'!$C$9:$C$108,0))),""))</x:f>
      </x:c>
      <x:c r="X213" s="9" t="str">
        <x:f>IF(C213="","",IFERROR(IF(INDEX('Factors'!$P$9:$P$108,MATCH(J213,'Factors'!$C$9:$C$108,0))="","",INDEX('Factors'!$P$9:$P$108,MATCH(J213,'Factors'!$C$9:$C$108,0))),""))</x:f>
      </x:c>
    </x:row>
    <x:row r="214" ht="26" customHeight="1">
      <x:c r="A214" s="1"/>
      <x:c r="B214" s="1"/>
      <x:c r="C214" s="8"/>
      <x:c r="D214" s="8"/>
      <x:c r="E214" s="8"/>
      <x:c r="F214" s="8"/>
      <x:c r="G214" s="8"/>
      <x:c r="H214" s="16"/>
      <x:c r="I214" s="8"/>
      <x:c r="J214" s="8"/>
      <x:c r="K214" s="22"/>
      <x:c r="L214" s="8"/>
      <x:c r="M214" s="8"/>
      <x:c r="N214" s="40"/>
      <x:c r="O214" s="41" t="str">
        <x:f>IF(C214="","",IFERROR(IF(INDEX('Factors'!$G$9:$G$108,MATCH(J214,'Factors'!$C$9:$C$108,0))="","",INDEX('Factors'!$G$9:$G$108,MATCH(J214,'Factors'!$C$9:$C$108,0))),""))</x:f>
      </x:c>
      <x:c r="P214" s="9" t="str">
        <x:f>IF(C214="","",IFERROR(IF(INDEX('Factors'!$F$9:$F$108,MATCH(J214,'Factors'!$C$9:$C$108,0))="","",INDEX('Factors'!$F$9:$F$108,MATCH(J214,'Factors'!$C$9:$C$108,0))),""))</x:f>
      </x:c>
      <x:c r="Q214" s="9" t="str">
        <x:f>IF(C214="","",IFERROR(IF(INDEX('Factors'!$H$9:$H$108,MATCH(J214,'Factors'!$C$9:$C$108,0))="","",INDEX('Factors'!$H$9:$H$108,MATCH(J214,'Factors'!$C$9:$C$108,0))),""))</x:f>
      </x:c>
      <x:c r="R214" s="9" t="str">
        <x:f>IF(C214="","",IFERROR(IF(INDEX('Factors'!$E$9:$E$108,MATCH(J214,'Factors'!$C$9:$C$108,0))="","",INDEX('Factors'!$E$9:$E$108,MATCH(J214,'Factors'!$C$9:$C$108,0))),""))</x:f>
      </x:c>
      <x:c r="S214" s="42" t="str">
        <x:f>IF(C214="","",IFERROR(IF(INDEX('Factors'!$J$9:$J$108,MATCH(J214,'Factors'!$C$9:$C$108,0))="","",INDEX('Factors'!$J$9:$J$108,MATCH(J214,'Factors'!$C$9:$C$108,0))),""))</x:f>
      </x:c>
      <x:c r="T214" s="9" t="str">
        <x:f>IF(C214="","",IFERROR(IF(INDEX('Factors'!$L$9:$L$108,MATCH(J214,'Factors'!$C$9:$C$108,0))="","",INDEX('Factors'!$L$9:$L$108,MATCH(J214,'Factors'!$C$9:$C$108,0))),"")&amp;" / "&amp;IFERROR(IF(INDEX('Factors'!$M$9:$M$108,MATCH(J214,'Factors'!$C$9:$C$108,0))="","",INDEX('Factors'!$M$9:$M$108,MATCH(J214,'Factors'!$C$9:$C$108,0))),""))</x:f>
      </x:c>
      <x:c r="U214" s="21" t="str">
        <x:f>IF(V214="Ready",H214*O214/1000,"")</x:f>
      </x:c>
      <x:c r="V214" s="9" t="str">
        <x:f>IF(C214="","",IF(OR(COUNTIFS($C$9:$C$308,C214)&lt;&gt;1,COUNTIFS($D$9:$D$308,D214,$E$9:$E$308,E214,$F$9:$F$308,F214,$G$9:$G$308,G214,$K$9:$K$308,K214)&lt;&gt;1),"Duplicate annual activity",IF(COUNTIFS('Inventory'!$C$9:$C$108,D214)&lt;&gt;1,"Entity required",IF(OR(E214="",L214="",NOT(ISNUMBER(H214)),H214&lt;0,NOT(ISNUMBER(K214)),NOT(ISNUMBER(N214))),"Missing activity input",IF(AND(E214&lt;&gt;D214,OR(COUNTIFS('Sites'!$C$9:$C$108,E214)&lt;&gt;1,IFERROR(IF(INDEX('Sites'!$D$9:$D$108,MATCH(E214,'Sites'!$C$9:$C$108,0))="","",INDEX('Sites'!$D$9:$D$108,MATCH(E214,'Sites'!$C$9:$C$108,0))),"")&lt;&gt;IFERROR(IF(INDEX('Inventory'!$D$9:$D$108,MATCH(D214,'Inventory'!$C$9:$C$108,0))="","",INDEX('Inventory'!$D$9:$D$108,MATCH(D214,'Inventory'!$C$9:$C$108,0))),""),IFERROR(IF(INDEX('Sites'!$E$9:$E$108,MATCH(E214,'Sites'!$C$9:$C$108,0))="","",INDEX('Sites'!$E$9:$E$108,MATCH(E214,'Sites'!$C$9:$C$108,0))),"")&lt;&gt;W214)),"Site / entity mismatch",IF(N214&lt;'Settings'!$F$8,"Expired",IF(X214&lt;&gt;"Ready","Factor required",IF(OR(G214&lt;&gt;IFERROR(IF(INDEX('Factors'!$D$9:$D$108,MATCH(J214,'Factors'!$C$9:$C$108,0))="","",INDEX('Factors'!$D$9:$D$108,MATCH(J214,'Factors'!$C$9:$C$108,0))),""),I214&lt;&gt;P214,F214&lt;&gt;Q214,K214&lt;&gt;S214,AND(R214&lt;&gt;"Global",R214&lt;&gt;W214),K214&lt;&gt;YEAR(IFERROR(IF(INDEX('Inventory'!$H$9:$H$108,MATCH(D214,'Inventory'!$C$9:$C$108,0))="","",INDEX('Inventory'!$H$9:$H$108,MATCH(D214,'Inventory'!$C$9:$C$108,0))),""))),"Factor / boundary mismatch",IF(AND(F214="S2",IFERROR(IF(INDEX('Factors'!$I$9:$I$108,MATCH(J214,'Factors'!$C$9:$C$108,0))="","",INDEX('Factors'!$I$9:$I$108,MATCH(J214,'Factors'!$C$9:$C$108,0))),"")&lt;&gt;"Location-based"),"Use location factor",IF(M214&lt;&gt;"Actual","Estimation method review","Ready"))))))))))</x:f>
      </x:c>
      <x:c r="W214" s="9" t="str">
        <x:f>IF(C214="","",IFERROR(IF(INDEX('Inventory'!$G$9:$G$108,MATCH(D214,'Inventory'!$C$9:$C$108,0))="","",INDEX('Inventory'!$G$9:$G$108,MATCH(D214,'Inventory'!$C$9:$C$108,0))),""))</x:f>
      </x:c>
      <x:c r="X214" s="9" t="str">
        <x:f>IF(C214="","",IFERROR(IF(INDEX('Factors'!$P$9:$P$108,MATCH(J214,'Factors'!$C$9:$C$108,0))="","",INDEX('Factors'!$P$9:$P$108,MATCH(J214,'Factors'!$C$9:$C$108,0))),""))</x:f>
      </x:c>
    </x:row>
    <x:row r="215" ht="26" customHeight="1">
      <x:c r="A215" s="1"/>
      <x:c r="B215" s="1"/>
      <x:c r="C215" s="8"/>
      <x:c r="D215" s="8"/>
      <x:c r="E215" s="8"/>
      <x:c r="F215" s="8"/>
      <x:c r="G215" s="8"/>
      <x:c r="H215" s="16"/>
      <x:c r="I215" s="8"/>
      <x:c r="J215" s="8"/>
      <x:c r="K215" s="22"/>
      <x:c r="L215" s="8"/>
      <x:c r="M215" s="8"/>
      <x:c r="N215" s="40"/>
      <x:c r="O215" s="41" t="str">
        <x:f>IF(C215="","",IFERROR(IF(INDEX('Factors'!$G$9:$G$108,MATCH(J215,'Factors'!$C$9:$C$108,0))="","",INDEX('Factors'!$G$9:$G$108,MATCH(J215,'Factors'!$C$9:$C$108,0))),""))</x:f>
      </x:c>
      <x:c r="P215" s="9" t="str">
        <x:f>IF(C215="","",IFERROR(IF(INDEX('Factors'!$F$9:$F$108,MATCH(J215,'Factors'!$C$9:$C$108,0))="","",INDEX('Factors'!$F$9:$F$108,MATCH(J215,'Factors'!$C$9:$C$108,0))),""))</x:f>
      </x:c>
      <x:c r="Q215" s="9" t="str">
        <x:f>IF(C215="","",IFERROR(IF(INDEX('Factors'!$H$9:$H$108,MATCH(J215,'Factors'!$C$9:$C$108,0))="","",INDEX('Factors'!$H$9:$H$108,MATCH(J215,'Factors'!$C$9:$C$108,0))),""))</x:f>
      </x:c>
      <x:c r="R215" s="9" t="str">
        <x:f>IF(C215="","",IFERROR(IF(INDEX('Factors'!$E$9:$E$108,MATCH(J215,'Factors'!$C$9:$C$108,0))="","",INDEX('Factors'!$E$9:$E$108,MATCH(J215,'Factors'!$C$9:$C$108,0))),""))</x:f>
      </x:c>
      <x:c r="S215" s="42" t="str">
        <x:f>IF(C215="","",IFERROR(IF(INDEX('Factors'!$J$9:$J$108,MATCH(J215,'Factors'!$C$9:$C$108,0))="","",INDEX('Factors'!$J$9:$J$108,MATCH(J215,'Factors'!$C$9:$C$108,0))),""))</x:f>
      </x:c>
      <x:c r="T215" s="9" t="str">
        <x:f>IF(C215="","",IFERROR(IF(INDEX('Factors'!$L$9:$L$108,MATCH(J215,'Factors'!$C$9:$C$108,0))="","",INDEX('Factors'!$L$9:$L$108,MATCH(J215,'Factors'!$C$9:$C$108,0))),"")&amp;" / "&amp;IFERROR(IF(INDEX('Factors'!$M$9:$M$108,MATCH(J215,'Factors'!$C$9:$C$108,0))="","",INDEX('Factors'!$M$9:$M$108,MATCH(J215,'Factors'!$C$9:$C$108,0))),""))</x:f>
      </x:c>
      <x:c r="U215" s="21" t="str">
        <x:f>IF(V215="Ready",H215*O215/1000,"")</x:f>
      </x:c>
      <x:c r="V215" s="9" t="str">
        <x:f>IF(C215="","",IF(OR(COUNTIFS($C$9:$C$308,C215)&lt;&gt;1,COUNTIFS($D$9:$D$308,D215,$E$9:$E$308,E215,$F$9:$F$308,F215,$G$9:$G$308,G215,$K$9:$K$308,K215)&lt;&gt;1),"Duplicate annual activity",IF(COUNTIFS('Inventory'!$C$9:$C$108,D215)&lt;&gt;1,"Entity required",IF(OR(E215="",L215="",NOT(ISNUMBER(H215)),H215&lt;0,NOT(ISNUMBER(K215)),NOT(ISNUMBER(N215))),"Missing activity input",IF(AND(E215&lt;&gt;D215,OR(COUNTIFS('Sites'!$C$9:$C$108,E215)&lt;&gt;1,IFERROR(IF(INDEX('Sites'!$D$9:$D$108,MATCH(E215,'Sites'!$C$9:$C$108,0))="","",INDEX('Sites'!$D$9:$D$108,MATCH(E215,'Sites'!$C$9:$C$108,0))),"")&lt;&gt;IFERROR(IF(INDEX('Inventory'!$D$9:$D$108,MATCH(D215,'Inventory'!$C$9:$C$108,0))="","",INDEX('Inventory'!$D$9:$D$108,MATCH(D215,'Inventory'!$C$9:$C$108,0))),""),IFERROR(IF(INDEX('Sites'!$E$9:$E$108,MATCH(E215,'Sites'!$C$9:$C$108,0))="","",INDEX('Sites'!$E$9:$E$108,MATCH(E215,'Sites'!$C$9:$C$108,0))),"")&lt;&gt;W215)),"Site / entity mismatch",IF(N215&lt;'Settings'!$F$8,"Expired",IF(X215&lt;&gt;"Ready","Factor required",IF(OR(G215&lt;&gt;IFERROR(IF(INDEX('Factors'!$D$9:$D$108,MATCH(J215,'Factors'!$C$9:$C$108,0))="","",INDEX('Factors'!$D$9:$D$108,MATCH(J215,'Factors'!$C$9:$C$108,0))),""),I215&lt;&gt;P215,F215&lt;&gt;Q215,K215&lt;&gt;S215,AND(R215&lt;&gt;"Global",R215&lt;&gt;W215),K215&lt;&gt;YEAR(IFERROR(IF(INDEX('Inventory'!$H$9:$H$108,MATCH(D215,'Inventory'!$C$9:$C$108,0))="","",INDEX('Inventory'!$H$9:$H$108,MATCH(D215,'Inventory'!$C$9:$C$108,0))),""))),"Factor / boundary mismatch",IF(AND(F215="S2",IFERROR(IF(INDEX('Factors'!$I$9:$I$108,MATCH(J215,'Factors'!$C$9:$C$108,0))="","",INDEX('Factors'!$I$9:$I$108,MATCH(J215,'Factors'!$C$9:$C$108,0))),"")&lt;&gt;"Location-based"),"Use location factor",IF(M215&lt;&gt;"Actual","Estimation method review","Ready"))))))))))</x:f>
      </x:c>
      <x:c r="W215" s="9" t="str">
        <x:f>IF(C215="","",IFERROR(IF(INDEX('Inventory'!$G$9:$G$108,MATCH(D215,'Inventory'!$C$9:$C$108,0))="","",INDEX('Inventory'!$G$9:$G$108,MATCH(D215,'Inventory'!$C$9:$C$108,0))),""))</x:f>
      </x:c>
      <x:c r="X215" s="9" t="str">
        <x:f>IF(C215="","",IFERROR(IF(INDEX('Factors'!$P$9:$P$108,MATCH(J215,'Factors'!$C$9:$C$108,0))="","",INDEX('Factors'!$P$9:$P$108,MATCH(J215,'Factors'!$C$9:$C$108,0))),""))</x:f>
      </x:c>
    </x:row>
    <x:row r="216" ht="26" customHeight="1">
      <x:c r="A216" s="1"/>
      <x:c r="B216" s="1"/>
      <x:c r="C216" s="8"/>
      <x:c r="D216" s="8"/>
      <x:c r="E216" s="8"/>
      <x:c r="F216" s="8"/>
      <x:c r="G216" s="8"/>
      <x:c r="H216" s="16"/>
      <x:c r="I216" s="8"/>
      <x:c r="J216" s="8"/>
      <x:c r="K216" s="22"/>
      <x:c r="L216" s="8"/>
      <x:c r="M216" s="8"/>
      <x:c r="N216" s="40"/>
      <x:c r="O216" s="41" t="str">
        <x:f>IF(C216="","",IFERROR(IF(INDEX('Factors'!$G$9:$G$108,MATCH(J216,'Factors'!$C$9:$C$108,0))="","",INDEX('Factors'!$G$9:$G$108,MATCH(J216,'Factors'!$C$9:$C$108,0))),""))</x:f>
      </x:c>
      <x:c r="P216" s="9" t="str">
        <x:f>IF(C216="","",IFERROR(IF(INDEX('Factors'!$F$9:$F$108,MATCH(J216,'Factors'!$C$9:$C$108,0))="","",INDEX('Factors'!$F$9:$F$108,MATCH(J216,'Factors'!$C$9:$C$108,0))),""))</x:f>
      </x:c>
      <x:c r="Q216" s="9" t="str">
        <x:f>IF(C216="","",IFERROR(IF(INDEX('Factors'!$H$9:$H$108,MATCH(J216,'Factors'!$C$9:$C$108,0))="","",INDEX('Factors'!$H$9:$H$108,MATCH(J216,'Factors'!$C$9:$C$108,0))),""))</x:f>
      </x:c>
      <x:c r="R216" s="9" t="str">
        <x:f>IF(C216="","",IFERROR(IF(INDEX('Factors'!$E$9:$E$108,MATCH(J216,'Factors'!$C$9:$C$108,0))="","",INDEX('Factors'!$E$9:$E$108,MATCH(J216,'Factors'!$C$9:$C$108,0))),""))</x:f>
      </x:c>
      <x:c r="S216" s="42" t="str">
        <x:f>IF(C216="","",IFERROR(IF(INDEX('Factors'!$J$9:$J$108,MATCH(J216,'Factors'!$C$9:$C$108,0))="","",INDEX('Factors'!$J$9:$J$108,MATCH(J216,'Factors'!$C$9:$C$108,0))),""))</x:f>
      </x:c>
      <x:c r="T216" s="9" t="str">
        <x:f>IF(C216="","",IFERROR(IF(INDEX('Factors'!$L$9:$L$108,MATCH(J216,'Factors'!$C$9:$C$108,0))="","",INDEX('Factors'!$L$9:$L$108,MATCH(J216,'Factors'!$C$9:$C$108,0))),"")&amp;" / "&amp;IFERROR(IF(INDEX('Factors'!$M$9:$M$108,MATCH(J216,'Factors'!$C$9:$C$108,0))="","",INDEX('Factors'!$M$9:$M$108,MATCH(J216,'Factors'!$C$9:$C$108,0))),""))</x:f>
      </x:c>
      <x:c r="U216" s="21" t="str">
        <x:f>IF(V216="Ready",H216*O216/1000,"")</x:f>
      </x:c>
      <x:c r="V216" s="9" t="str">
        <x:f>IF(C216="","",IF(OR(COUNTIFS($C$9:$C$308,C216)&lt;&gt;1,COUNTIFS($D$9:$D$308,D216,$E$9:$E$308,E216,$F$9:$F$308,F216,$G$9:$G$308,G216,$K$9:$K$308,K216)&lt;&gt;1),"Duplicate annual activity",IF(COUNTIFS('Inventory'!$C$9:$C$108,D216)&lt;&gt;1,"Entity required",IF(OR(E216="",L216="",NOT(ISNUMBER(H216)),H216&lt;0,NOT(ISNUMBER(K216)),NOT(ISNUMBER(N216))),"Missing activity input",IF(AND(E216&lt;&gt;D216,OR(COUNTIFS('Sites'!$C$9:$C$108,E216)&lt;&gt;1,IFERROR(IF(INDEX('Sites'!$D$9:$D$108,MATCH(E216,'Sites'!$C$9:$C$108,0))="","",INDEX('Sites'!$D$9:$D$108,MATCH(E216,'Sites'!$C$9:$C$108,0))),"")&lt;&gt;IFERROR(IF(INDEX('Inventory'!$D$9:$D$108,MATCH(D216,'Inventory'!$C$9:$C$108,0))="","",INDEX('Inventory'!$D$9:$D$108,MATCH(D216,'Inventory'!$C$9:$C$108,0))),""),IFERROR(IF(INDEX('Sites'!$E$9:$E$108,MATCH(E216,'Sites'!$C$9:$C$108,0))="","",INDEX('Sites'!$E$9:$E$108,MATCH(E216,'Sites'!$C$9:$C$108,0))),"")&lt;&gt;W216)),"Site / entity mismatch",IF(N216&lt;'Settings'!$F$8,"Expired",IF(X216&lt;&gt;"Ready","Factor required",IF(OR(G216&lt;&gt;IFERROR(IF(INDEX('Factors'!$D$9:$D$108,MATCH(J216,'Factors'!$C$9:$C$108,0))="","",INDEX('Factors'!$D$9:$D$108,MATCH(J216,'Factors'!$C$9:$C$108,0))),""),I216&lt;&gt;P216,F216&lt;&gt;Q216,K216&lt;&gt;S216,AND(R216&lt;&gt;"Global",R216&lt;&gt;W216),K216&lt;&gt;YEAR(IFERROR(IF(INDEX('Inventory'!$H$9:$H$108,MATCH(D216,'Inventory'!$C$9:$C$108,0))="","",INDEX('Inventory'!$H$9:$H$108,MATCH(D216,'Inventory'!$C$9:$C$108,0))),""))),"Factor / boundary mismatch",IF(AND(F216="S2",IFERROR(IF(INDEX('Factors'!$I$9:$I$108,MATCH(J216,'Factors'!$C$9:$C$108,0))="","",INDEX('Factors'!$I$9:$I$108,MATCH(J216,'Factors'!$C$9:$C$108,0))),"")&lt;&gt;"Location-based"),"Use location factor",IF(M216&lt;&gt;"Actual","Estimation method review","Ready"))))))))))</x:f>
      </x:c>
      <x:c r="W216" s="9" t="str">
        <x:f>IF(C216="","",IFERROR(IF(INDEX('Inventory'!$G$9:$G$108,MATCH(D216,'Inventory'!$C$9:$C$108,0))="","",INDEX('Inventory'!$G$9:$G$108,MATCH(D216,'Inventory'!$C$9:$C$108,0))),""))</x:f>
      </x:c>
      <x:c r="X216" s="9" t="str">
        <x:f>IF(C216="","",IFERROR(IF(INDEX('Factors'!$P$9:$P$108,MATCH(J216,'Factors'!$C$9:$C$108,0))="","",INDEX('Factors'!$P$9:$P$108,MATCH(J216,'Factors'!$C$9:$C$108,0))),""))</x:f>
      </x:c>
    </x:row>
    <x:row r="217" ht="26" customHeight="1">
      <x:c r="A217" s="1"/>
      <x:c r="B217" s="1"/>
      <x:c r="C217" s="8"/>
      <x:c r="D217" s="8"/>
      <x:c r="E217" s="8"/>
      <x:c r="F217" s="8"/>
      <x:c r="G217" s="8"/>
      <x:c r="H217" s="16"/>
      <x:c r="I217" s="8"/>
      <x:c r="J217" s="8"/>
      <x:c r="K217" s="22"/>
      <x:c r="L217" s="8"/>
      <x:c r="M217" s="8"/>
      <x:c r="N217" s="40"/>
      <x:c r="O217" s="41" t="str">
        <x:f>IF(C217="","",IFERROR(IF(INDEX('Factors'!$G$9:$G$108,MATCH(J217,'Factors'!$C$9:$C$108,0))="","",INDEX('Factors'!$G$9:$G$108,MATCH(J217,'Factors'!$C$9:$C$108,0))),""))</x:f>
      </x:c>
      <x:c r="P217" s="9" t="str">
        <x:f>IF(C217="","",IFERROR(IF(INDEX('Factors'!$F$9:$F$108,MATCH(J217,'Factors'!$C$9:$C$108,0))="","",INDEX('Factors'!$F$9:$F$108,MATCH(J217,'Factors'!$C$9:$C$108,0))),""))</x:f>
      </x:c>
      <x:c r="Q217" s="9" t="str">
        <x:f>IF(C217="","",IFERROR(IF(INDEX('Factors'!$H$9:$H$108,MATCH(J217,'Factors'!$C$9:$C$108,0))="","",INDEX('Factors'!$H$9:$H$108,MATCH(J217,'Factors'!$C$9:$C$108,0))),""))</x:f>
      </x:c>
      <x:c r="R217" s="9" t="str">
        <x:f>IF(C217="","",IFERROR(IF(INDEX('Factors'!$E$9:$E$108,MATCH(J217,'Factors'!$C$9:$C$108,0))="","",INDEX('Factors'!$E$9:$E$108,MATCH(J217,'Factors'!$C$9:$C$108,0))),""))</x:f>
      </x:c>
      <x:c r="S217" s="42" t="str">
        <x:f>IF(C217="","",IFERROR(IF(INDEX('Factors'!$J$9:$J$108,MATCH(J217,'Factors'!$C$9:$C$108,0))="","",INDEX('Factors'!$J$9:$J$108,MATCH(J217,'Factors'!$C$9:$C$108,0))),""))</x:f>
      </x:c>
      <x:c r="T217" s="9" t="str">
        <x:f>IF(C217="","",IFERROR(IF(INDEX('Factors'!$L$9:$L$108,MATCH(J217,'Factors'!$C$9:$C$108,0))="","",INDEX('Factors'!$L$9:$L$108,MATCH(J217,'Factors'!$C$9:$C$108,0))),"")&amp;" / "&amp;IFERROR(IF(INDEX('Factors'!$M$9:$M$108,MATCH(J217,'Factors'!$C$9:$C$108,0))="","",INDEX('Factors'!$M$9:$M$108,MATCH(J217,'Factors'!$C$9:$C$108,0))),""))</x:f>
      </x:c>
      <x:c r="U217" s="21" t="str">
        <x:f>IF(V217="Ready",H217*O217/1000,"")</x:f>
      </x:c>
      <x:c r="V217" s="9" t="str">
        <x:f>IF(C217="","",IF(OR(COUNTIFS($C$9:$C$308,C217)&lt;&gt;1,COUNTIFS($D$9:$D$308,D217,$E$9:$E$308,E217,$F$9:$F$308,F217,$G$9:$G$308,G217,$K$9:$K$308,K217)&lt;&gt;1),"Duplicate annual activity",IF(COUNTIFS('Inventory'!$C$9:$C$108,D217)&lt;&gt;1,"Entity required",IF(OR(E217="",L217="",NOT(ISNUMBER(H217)),H217&lt;0,NOT(ISNUMBER(K217)),NOT(ISNUMBER(N217))),"Missing activity input",IF(AND(E217&lt;&gt;D217,OR(COUNTIFS('Sites'!$C$9:$C$108,E217)&lt;&gt;1,IFERROR(IF(INDEX('Sites'!$D$9:$D$108,MATCH(E217,'Sites'!$C$9:$C$108,0))="","",INDEX('Sites'!$D$9:$D$108,MATCH(E217,'Sites'!$C$9:$C$108,0))),"")&lt;&gt;IFERROR(IF(INDEX('Inventory'!$D$9:$D$108,MATCH(D217,'Inventory'!$C$9:$C$108,0))="","",INDEX('Inventory'!$D$9:$D$108,MATCH(D217,'Inventory'!$C$9:$C$108,0))),""),IFERROR(IF(INDEX('Sites'!$E$9:$E$108,MATCH(E217,'Sites'!$C$9:$C$108,0))="","",INDEX('Sites'!$E$9:$E$108,MATCH(E217,'Sites'!$C$9:$C$108,0))),"")&lt;&gt;W217)),"Site / entity mismatch",IF(N217&lt;'Settings'!$F$8,"Expired",IF(X217&lt;&gt;"Ready","Factor required",IF(OR(G217&lt;&gt;IFERROR(IF(INDEX('Factors'!$D$9:$D$108,MATCH(J217,'Factors'!$C$9:$C$108,0))="","",INDEX('Factors'!$D$9:$D$108,MATCH(J217,'Factors'!$C$9:$C$108,0))),""),I217&lt;&gt;P217,F217&lt;&gt;Q217,K217&lt;&gt;S217,AND(R217&lt;&gt;"Global",R217&lt;&gt;W217),K217&lt;&gt;YEAR(IFERROR(IF(INDEX('Inventory'!$H$9:$H$108,MATCH(D217,'Inventory'!$C$9:$C$108,0))="","",INDEX('Inventory'!$H$9:$H$108,MATCH(D217,'Inventory'!$C$9:$C$108,0))),""))),"Factor / boundary mismatch",IF(AND(F217="S2",IFERROR(IF(INDEX('Factors'!$I$9:$I$108,MATCH(J217,'Factors'!$C$9:$C$108,0))="","",INDEX('Factors'!$I$9:$I$108,MATCH(J217,'Factors'!$C$9:$C$108,0))),"")&lt;&gt;"Location-based"),"Use location factor",IF(M217&lt;&gt;"Actual","Estimation method review","Ready"))))))))))</x:f>
      </x:c>
      <x:c r="W217" s="9" t="str">
        <x:f>IF(C217="","",IFERROR(IF(INDEX('Inventory'!$G$9:$G$108,MATCH(D217,'Inventory'!$C$9:$C$108,0))="","",INDEX('Inventory'!$G$9:$G$108,MATCH(D217,'Inventory'!$C$9:$C$108,0))),""))</x:f>
      </x:c>
      <x:c r="X217" s="9" t="str">
        <x:f>IF(C217="","",IFERROR(IF(INDEX('Factors'!$P$9:$P$108,MATCH(J217,'Factors'!$C$9:$C$108,0))="","",INDEX('Factors'!$P$9:$P$108,MATCH(J217,'Factors'!$C$9:$C$108,0))),""))</x:f>
      </x:c>
    </x:row>
    <x:row r="218" ht="26" customHeight="1">
      <x:c r="A218" s="1"/>
      <x:c r="B218" s="1"/>
      <x:c r="C218" s="8"/>
      <x:c r="D218" s="8"/>
      <x:c r="E218" s="8"/>
      <x:c r="F218" s="8"/>
      <x:c r="G218" s="8"/>
      <x:c r="H218" s="16"/>
      <x:c r="I218" s="8"/>
      <x:c r="J218" s="8"/>
      <x:c r="K218" s="22"/>
      <x:c r="L218" s="8"/>
      <x:c r="M218" s="8"/>
      <x:c r="N218" s="40"/>
      <x:c r="O218" s="41" t="str">
        <x:f>IF(C218="","",IFERROR(IF(INDEX('Factors'!$G$9:$G$108,MATCH(J218,'Factors'!$C$9:$C$108,0))="","",INDEX('Factors'!$G$9:$G$108,MATCH(J218,'Factors'!$C$9:$C$108,0))),""))</x:f>
      </x:c>
      <x:c r="P218" s="9" t="str">
        <x:f>IF(C218="","",IFERROR(IF(INDEX('Factors'!$F$9:$F$108,MATCH(J218,'Factors'!$C$9:$C$108,0))="","",INDEX('Factors'!$F$9:$F$108,MATCH(J218,'Factors'!$C$9:$C$108,0))),""))</x:f>
      </x:c>
      <x:c r="Q218" s="9" t="str">
        <x:f>IF(C218="","",IFERROR(IF(INDEX('Factors'!$H$9:$H$108,MATCH(J218,'Factors'!$C$9:$C$108,0))="","",INDEX('Factors'!$H$9:$H$108,MATCH(J218,'Factors'!$C$9:$C$108,0))),""))</x:f>
      </x:c>
      <x:c r="R218" s="9" t="str">
        <x:f>IF(C218="","",IFERROR(IF(INDEX('Factors'!$E$9:$E$108,MATCH(J218,'Factors'!$C$9:$C$108,0))="","",INDEX('Factors'!$E$9:$E$108,MATCH(J218,'Factors'!$C$9:$C$108,0))),""))</x:f>
      </x:c>
      <x:c r="S218" s="42" t="str">
        <x:f>IF(C218="","",IFERROR(IF(INDEX('Factors'!$J$9:$J$108,MATCH(J218,'Factors'!$C$9:$C$108,0))="","",INDEX('Factors'!$J$9:$J$108,MATCH(J218,'Factors'!$C$9:$C$108,0))),""))</x:f>
      </x:c>
      <x:c r="T218" s="9" t="str">
        <x:f>IF(C218="","",IFERROR(IF(INDEX('Factors'!$L$9:$L$108,MATCH(J218,'Factors'!$C$9:$C$108,0))="","",INDEX('Factors'!$L$9:$L$108,MATCH(J218,'Factors'!$C$9:$C$108,0))),"")&amp;" / "&amp;IFERROR(IF(INDEX('Factors'!$M$9:$M$108,MATCH(J218,'Factors'!$C$9:$C$108,0))="","",INDEX('Factors'!$M$9:$M$108,MATCH(J218,'Factors'!$C$9:$C$108,0))),""))</x:f>
      </x:c>
      <x:c r="U218" s="21" t="str">
        <x:f>IF(V218="Ready",H218*O218/1000,"")</x:f>
      </x:c>
      <x:c r="V218" s="9" t="str">
        <x:f>IF(C218="","",IF(OR(COUNTIFS($C$9:$C$308,C218)&lt;&gt;1,COUNTIFS($D$9:$D$308,D218,$E$9:$E$308,E218,$F$9:$F$308,F218,$G$9:$G$308,G218,$K$9:$K$308,K218)&lt;&gt;1),"Duplicate annual activity",IF(COUNTIFS('Inventory'!$C$9:$C$108,D218)&lt;&gt;1,"Entity required",IF(OR(E218="",L218="",NOT(ISNUMBER(H218)),H218&lt;0,NOT(ISNUMBER(K218)),NOT(ISNUMBER(N218))),"Missing activity input",IF(AND(E218&lt;&gt;D218,OR(COUNTIFS('Sites'!$C$9:$C$108,E218)&lt;&gt;1,IFERROR(IF(INDEX('Sites'!$D$9:$D$108,MATCH(E218,'Sites'!$C$9:$C$108,0))="","",INDEX('Sites'!$D$9:$D$108,MATCH(E218,'Sites'!$C$9:$C$108,0))),"")&lt;&gt;IFERROR(IF(INDEX('Inventory'!$D$9:$D$108,MATCH(D218,'Inventory'!$C$9:$C$108,0))="","",INDEX('Inventory'!$D$9:$D$108,MATCH(D218,'Inventory'!$C$9:$C$108,0))),""),IFERROR(IF(INDEX('Sites'!$E$9:$E$108,MATCH(E218,'Sites'!$C$9:$C$108,0))="","",INDEX('Sites'!$E$9:$E$108,MATCH(E218,'Sites'!$C$9:$C$108,0))),"")&lt;&gt;W218)),"Site / entity mismatch",IF(N218&lt;'Settings'!$F$8,"Expired",IF(X218&lt;&gt;"Ready","Factor required",IF(OR(G218&lt;&gt;IFERROR(IF(INDEX('Factors'!$D$9:$D$108,MATCH(J218,'Factors'!$C$9:$C$108,0))="","",INDEX('Factors'!$D$9:$D$108,MATCH(J218,'Factors'!$C$9:$C$108,0))),""),I218&lt;&gt;P218,F218&lt;&gt;Q218,K218&lt;&gt;S218,AND(R218&lt;&gt;"Global",R218&lt;&gt;W218),K218&lt;&gt;YEAR(IFERROR(IF(INDEX('Inventory'!$H$9:$H$108,MATCH(D218,'Inventory'!$C$9:$C$108,0))="","",INDEX('Inventory'!$H$9:$H$108,MATCH(D218,'Inventory'!$C$9:$C$108,0))),""))),"Factor / boundary mismatch",IF(AND(F218="S2",IFERROR(IF(INDEX('Factors'!$I$9:$I$108,MATCH(J218,'Factors'!$C$9:$C$108,0))="","",INDEX('Factors'!$I$9:$I$108,MATCH(J218,'Factors'!$C$9:$C$108,0))),"")&lt;&gt;"Location-based"),"Use location factor",IF(M218&lt;&gt;"Actual","Estimation method review","Ready"))))))))))</x:f>
      </x:c>
      <x:c r="W218" s="9" t="str">
        <x:f>IF(C218="","",IFERROR(IF(INDEX('Inventory'!$G$9:$G$108,MATCH(D218,'Inventory'!$C$9:$C$108,0))="","",INDEX('Inventory'!$G$9:$G$108,MATCH(D218,'Inventory'!$C$9:$C$108,0))),""))</x:f>
      </x:c>
      <x:c r="X218" s="9" t="str">
        <x:f>IF(C218="","",IFERROR(IF(INDEX('Factors'!$P$9:$P$108,MATCH(J218,'Factors'!$C$9:$C$108,0))="","",INDEX('Factors'!$P$9:$P$108,MATCH(J218,'Factors'!$C$9:$C$108,0))),""))</x:f>
      </x:c>
    </x:row>
    <x:row r="219" ht="26" customHeight="1">
      <x:c r="A219" s="1"/>
      <x:c r="B219" s="1"/>
      <x:c r="C219" s="8"/>
      <x:c r="D219" s="8"/>
      <x:c r="E219" s="8"/>
      <x:c r="F219" s="8"/>
      <x:c r="G219" s="8"/>
      <x:c r="H219" s="16"/>
      <x:c r="I219" s="8"/>
      <x:c r="J219" s="8"/>
      <x:c r="K219" s="22"/>
      <x:c r="L219" s="8"/>
      <x:c r="M219" s="8"/>
      <x:c r="N219" s="40"/>
      <x:c r="O219" s="41" t="str">
        <x:f>IF(C219="","",IFERROR(IF(INDEX('Factors'!$G$9:$G$108,MATCH(J219,'Factors'!$C$9:$C$108,0))="","",INDEX('Factors'!$G$9:$G$108,MATCH(J219,'Factors'!$C$9:$C$108,0))),""))</x:f>
      </x:c>
      <x:c r="P219" s="9" t="str">
        <x:f>IF(C219="","",IFERROR(IF(INDEX('Factors'!$F$9:$F$108,MATCH(J219,'Factors'!$C$9:$C$108,0))="","",INDEX('Factors'!$F$9:$F$108,MATCH(J219,'Factors'!$C$9:$C$108,0))),""))</x:f>
      </x:c>
      <x:c r="Q219" s="9" t="str">
        <x:f>IF(C219="","",IFERROR(IF(INDEX('Factors'!$H$9:$H$108,MATCH(J219,'Factors'!$C$9:$C$108,0))="","",INDEX('Factors'!$H$9:$H$108,MATCH(J219,'Factors'!$C$9:$C$108,0))),""))</x:f>
      </x:c>
      <x:c r="R219" s="9" t="str">
        <x:f>IF(C219="","",IFERROR(IF(INDEX('Factors'!$E$9:$E$108,MATCH(J219,'Factors'!$C$9:$C$108,0))="","",INDEX('Factors'!$E$9:$E$108,MATCH(J219,'Factors'!$C$9:$C$108,0))),""))</x:f>
      </x:c>
      <x:c r="S219" s="42" t="str">
        <x:f>IF(C219="","",IFERROR(IF(INDEX('Factors'!$J$9:$J$108,MATCH(J219,'Factors'!$C$9:$C$108,0))="","",INDEX('Factors'!$J$9:$J$108,MATCH(J219,'Factors'!$C$9:$C$108,0))),""))</x:f>
      </x:c>
      <x:c r="T219" s="9" t="str">
        <x:f>IF(C219="","",IFERROR(IF(INDEX('Factors'!$L$9:$L$108,MATCH(J219,'Factors'!$C$9:$C$108,0))="","",INDEX('Factors'!$L$9:$L$108,MATCH(J219,'Factors'!$C$9:$C$108,0))),"")&amp;" / "&amp;IFERROR(IF(INDEX('Factors'!$M$9:$M$108,MATCH(J219,'Factors'!$C$9:$C$108,0))="","",INDEX('Factors'!$M$9:$M$108,MATCH(J219,'Factors'!$C$9:$C$108,0))),""))</x:f>
      </x:c>
      <x:c r="U219" s="21" t="str">
        <x:f>IF(V219="Ready",H219*O219/1000,"")</x:f>
      </x:c>
      <x:c r="V219" s="9" t="str">
        <x:f>IF(C219="","",IF(OR(COUNTIFS($C$9:$C$308,C219)&lt;&gt;1,COUNTIFS($D$9:$D$308,D219,$E$9:$E$308,E219,$F$9:$F$308,F219,$G$9:$G$308,G219,$K$9:$K$308,K219)&lt;&gt;1),"Duplicate annual activity",IF(COUNTIFS('Inventory'!$C$9:$C$108,D219)&lt;&gt;1,"Entity required",IF(OR(E219="",L219="",NOT(ISNUMBER(H219)),H219&lt;0,NOT(ISNUMBER(K219)),NOT(ISNUMBER(N219))),"Missing activity input",IF(AND(E219&lt;&gt;D219,OR(COUNTIFS('Sites'!$C$9:$C$108,E219)&lt;&gt;1,IFERROR(IF(INDEX('Sites'!$D$9:$D$108,MATCH(E219,'Sites'!$C$9:$C$108,0))="","",INDEX('Sites'!$D$9:$D$108,MATCH(E219,'Sites'!$C$9:$C$108,0))),"")&lt;&gt;IFERROR(IF(INDEX('Inventory'!$D$9:$D$108,MATCH(D219,'Inventory'!$C$9:$C$108,0))="","",INDEX('Inventory'!$D$9:$D$108,MATCH(D219,'Inventory'!$C$9:$C$108,0))),""),IFERROR(IF(INDEX('Sites'!$E$9:$E$108,MATCH(E219,'Sites'!$C$9:$C$108,0))="","",INDEX('Sites'!$E$9:$E$108,MATCH(E219,'Sites'!$C$9:$C$108,0))),"")&lt;&gt;W219)),"Site / entity mismatch",IF(N219&lt;'Settings'!$F$8,"Expired",IF(X219&lt;&gt;"Ready","Factor required",IF(OR(G219&lt;&gt;IFERROR(IF(INDEX('Factors'!$D$9:$D$108,MATCH(J219,'Factors'!$C$9:$C$108,0))="","",INDEX('Factors'!$D$9:$D$108,MATCH(J219,'Factors'!$C$9:$C$108,0))),""),I219&lt;&gt;P219,F219&lt;&gt;Q219,K219&lt;&gt;S219,AND(R219&lt;&gt;"Global",R219&lt;&gt;W219),K219&lt;&gt;YEAR(IFERROR(IF(INDEX('Inventory'!$H$9:$H$108,MATCH(D219,'Inventory'!$C$9:$C$108,0))="","",INDEX('Inventory'!$H$9:$H$108,MATCH(D219,'Inventory'!$C$9:$C$108,0))),""))),"Factor / boundary mismatch",IF(AND(F219="S2",IFERROR(IF(INDEX('Factors'!$I$9:$I$108,MATCH(J219,'Factors'!$C$9:$C$108,0))="","",INDEX('Factors'!$I$9:$I$108,MATCH(J219,'Factors'!$C$9:$C$108,0))),"")&lt;&gt;"Location-based"),"Use location factor",IF(M219&lt;&gt;"Actual","Estimation method review","Ready"))))))))))</x:f>
      </x:c>
      <x:c r="W219" s="9" t="str">
        <x:f>IF(C219="","",IFERROR(IF(INDEX('Inventory'!$G$9:$G$108,MATCH(D219,'Inventory'!$C$9:$C$108,0))="","",INDEX('Inventory'!$G$9:$G$108,MATCH(D219,'Inventory'!$C$9:$C$108,0))),""))</x:f>
      </x:c>
      <x:c r="X219" s="9" t="str">
        <x:f>IF(C219="","",IFERROR(IF(INDEX('Factors'!$P$9:$P$108,MATCH(J219,'Factors'!$C$9:$C$108,0))="","",INDEX('Factors'!$P$9:$P$108,MATCH(J219,'Factors'!$C$9:$C$108,0))),""))</x:f>
      </x:c>
    </x:row>
    <x:row r="220" ht="26" customHeight="1">
      <x:c r="A220" s="1"/>
      <x:c r="B220" s="1"/>
      <x:c r="C220" s="8"/>
      <x:c r="D220" s="8"/>
      <x:c r="E220" s="8"/>
      <x:c r="F220" s="8"/>
      <x:c r="G220" s="8"/>
      <x:c r="H220" s="16"/>
      <x:c r="I220" s="8"/>
      <x:c r="J220" s="8"/>
      <x:c r="K220" s="22"/>
      <x:c r="L220" s="8"/>
      <x:c r="M220" s="8"/>
      <x:c r="N220" s="40"/>
      <x:c r="O220" s="41" t="str">
        <x:f>IF(C220="","",IFERROR(IF(INDEX('Factors'!$G$9:$G$108,MATCH(J220,'Factors'!$C$9:$C$108,0))="","",INDEX('Factors'!$G$9:$G$108,MATCH(J220,'Factors'!$C$9:$C$108,0))),""))</x:f>
      </x:c>
      <x:c r="P220" s="9" t="str">
        <x:f>IF(C220="","",IFERROR(IF(INDEX('Factors'!$F$9:$F$108,MATCH(J220,'Factors'!$C$9:$C$108,0))="","",INDEX('Factors'!$F$9:$F$108,MATCH(J220,'Factors'!$C$9:$C$108,0))),""))</x:f>
      </x:c>
      <x:c r="Q220" s="9" t="str">
        <x:f>IF(C220="","",IFERROR(IF(INDEX('Factors'!$H$9:$H$108,MATCH(J220,'Factors'!$C$9:$C$108,0))="","",INDEX('Factors'!$H$9:$H$108,MATCH(J220,'Factors'!$C$9:$C$108,0))),""))</x:f>
      </x:c>
      <x:c r="R220" s="9" t="str">
        <x:f>IF(C220="","",IFERROR(IF(INDEX('Factors'!$E$9:$E$108,MATCH(J220,'Factors'!$C$9:$C$108,0))="","",INDEX('Factors'!$E$9:$E$108,MATCH(J220,'Factors'!$C$9:$C$108,0))),""))</x:f>
      </x:c>
      <x:c r="S220" s="42" t="str">
        <x:f>IF(C220="","",IFERROR(IF(INDEX('Factors'!$J$9:$J$108,MATCH(J220,'Factors'!$C$9:$C$108,0))="","",INDEX('Factors'!$J$9:$J$108,MATCH(J220,'Factors'!$C$9:$C$108,0))),""))</x:f>
      </x:c>
      <x:c r="T220" s="9" t="str">
        <x:f>IF(C220="","",IFERROR(IF(INDEX('Factors'!$L$9:$L$108,MATCH(J220,'Factors'!$C$9:$C$108,0))="","",INDEX('Factors'!$L$9:$L$108,MATCH(J220,'Factors'!$C$9:$C$108,0))),"")&amp;" / "&amp;IFERROR(IF(INDEX('Factors'!$M$9:$M$108,MATCH(J220,'Factors'!$C$9:$C$108,0))="","",INDEX('Factors'!$M$9:$M$108,MATCH(J220,'Factors'!$C$9:$C$108,0))),""))</x:f>
      </x:c>
      <x:c r="U220" s="21" t="str">
        <x:f>IF(V220="Ready",H220*O220/1000,"")</x:f>
      </x:c>
      <x:c r="V220" s="9" t="str">
        <x:f>IF(C220="","",IF(OR(COUNTIFS($C$9:$C$308,C220)&lt;&gt;1,COUNTIFS($D$9:$D$308,D220,$E$9:$E$308,E220,$F$9:$F$308,F220,$G$9:$G$308,G220,$K$9:$K$308,K220)&lt;&gt;1),"Duplicate annual activity",IF(COUNTIFS('Inventory'!$C$9:$C$108,D220)&lt;&gt;1,"Entity required",IF(OR(E220="",L220="",NOT(ISNUMBER(H220)),H220&lt;0,NOT(ISNUMBER(K220)),NOT(ISNUMBER(N220))),"Missing activity input",IF(AND(E220&lt;&gt;D220,OR(COUNTIFS('Sites'!$C$9:$C$108,E220)&lt;&gt;1,IFERROR(IF(INDEX('Sites'!$D$9:$D$108,MATCH(E220,'Sites'!$C$9:$C$108,0))="","",INDEX('Sites'!$D$9:$D$108,MATCH(E220,'Sites'!$C$9:$C$108,0))),"")&lt;&gt;IFERROR(IF(INDEX('Inventory'!$D$9:$D$108,MATCH(D220,'Inventory'!$C$9:$C$108,0))="","",INDEX('Inventory'!$D$9:$D$108,MATCH(D220,'Inventory'!$C$9:$C$108,0))),""),IFERROR(IF(INDEX('Sites'!$E$9:$E$108,MATCH(E220,'Sites'!$C$9:$C$108,0))="","",INDEX('Sites'!$E$9:$E$108,MATCH(E220,'Sites'!$C$9:$C$108,0))),"")&lt;&gt;W220)),"Site / entity mismatch",IF(N220&lt;'Settings'!$F$8,"Expired",IF(X220&lt;&gt;"Ready","Factor required",IF(OR(G220&lt;&gt;IFERROR(IF(INDEX('Factors'!$D$9:$D$108,MATCH(J220,'Factors'!$C$9:$C$108,0))="","",INDEX('Factors'!$D$9:$D$108,MATCH(J220,'Factors'!$C$9:$C$108,0))),""),I220&lt;&gt;P220,F220&lt;&gt;Q220,K220&lt;&gt;S220,AND(R220&lt;&gt;"Global",R220&lt;&gt;W220),K220&lt;&gt;YEAR(IFERROR(IF(INDEX('Inventory'!$H$9:$H$108,MATCH(D220,'Inventory'!$C$9:$C$108,0))="","",INDEX('Inventory'!$H$9:$H$108,MATCH(D220,'Inventory'!$C$9:$C$108,0))),""))),"Factor / boundary mismatch",IF(AND(F220="S2",IFERROR(IF(INDEX('Factors'!$I$9:$I$108,MATCH(J220,'Factors'!$C$9:$C$108,0))="","",INDEX('Factors'!$I$9:$I$108,MATCH(J220,'Factors'!$C$9:$C$108,0))),"")&lt;&gt;"Location-based"),"Use location factor",IF(M220&lt;&gt;"Actual","Estimation method review","Ready"))))))))))</x:f>
      </x:c>
      <x:c r="W220" s="9" t="str">
        <x:f>IF(C220="","",IFERROR(IF(INDEX('Inventory'!$G$9:$G$108,MATCH(D220,'Inventory'!$C$9:$C$108,0))="","",INDEX('Inventory'!$G$9:$G$108,MATCH(D220,'Inventory'!$C$9:$C$108,0))),""))</x:f>
      </x:c>
      <x:c r="X220" s="9" t="str">
        <x:f>IF(C220="","",IFERROR(IF(INDEX('Factors'!$P$9:$P$108,MATCH(J220,'Factors'!$C$9:$C$108,0))="","",INDEX('Factors'!$P$9:$P$108,MATCH(J220,'Factors'!$C$9:$C$108,0))),""))</x:f>
      </x:c>
    </x:row>
    <x:row r="221" ht="26" customHeight="1">
      <x:c r="A221" s="1"/>
      <x:c r="B221" s="1"/>
      <x:c r="C221" s="8"/>
      <x:c r="D221" s="8"/>
      <x:c r="E221" s="8"/>
      <x:c r="F221" s="8"/>
      <x:c r="G221" s="8"/>
      <x:c r="H221" s="16"/>
      <x:c r="I221" s="8"/>
      <x:c r="J221" s="8"/>
      <x:c r="K221" s="22"/>
      <x:c r="L221" s="8"/>
      <x:c r="M221" s="8"/>
      <x:c r="N221" s="40"/>
      <x:c r="O221" s="41" t="str">
        <x:f>IF(C221="","",IFERROR(IF(INDEX('Factors'!$G$9:$G$108,MATCH(J221,'Factors'!$C$9:$C$108,0))="","",INDEX('Factors'!$G$9:$G$108,MATCH(J221,'Factors'!$C$9:$C$108,0))),""))</x:f>
      </x:c>
      <x:c r="P221" s="9" t="str">
        <x:f>IF(C221="","",IFERROR(IF(INDEX('Factors'!$F$9:$F$108,MATCH(J221,'Factors'!$C$9:$C$108,0))="","",INDEX('Factors'!$F$9:$F$108,MATCH(J221,'Factors'!$C$9:$C$108,0))),""))</x:f>
      </x:c>
      <x:c r="Q221" s="9" t="str">
        <x:f>IF(C221="","",IFERROR(IF(INDEX('Factors'!$H$9:$H$108,MATCH(J221,'Factors'!$C$9:$C$108,0))="","",INDEX('Factors'!$H$9:$H$108,MATCH(J221,'Factors'!$C$9:$C$108,0))),""))</x:f>
      </x:c>
      <x:c r="R221" s="9" t="str">
        <x:f>IF(C221="","",IFERROR(IF(INDEX('Factors'!$E$9:$E$108,MATCH(J221,'Factors'!$C$9:$C$108,0))="","",INDEX('Factors'!$E$9:$E$108,MATCH(J221,'Factors'!$C$9:$C$108,0))),""))</x:f>
      </x:c>
      <x:c r="S221" s="42" t="str">
        <x:f>IF(C221="","",IFERROR(IF(INDEX('Factors'!$J$9:$J$108,MATCH(J221,'Factors'!$C$9:$C$108,0))="","",INDEX('Factors'!$J$9:$J$108,MATCH(J221,'Factors'!$C$9:$C$108,0))),""))</x:f>
      </x:c>
      <x:c r="T221" s="9" t="str">
        <x:f>IF(C221="","",IFERROR(IF(INDEX('Factors'!$L$9:$L$108,MATCH(J221,'Factors'!$C$9:$C$108,0))="","",INDEX('Factors'!$L$9:$L$108,MATCH(J221,'Factors'!$C$9:$C$108,0))),"")&amp;" / "&amp;IFERROR(IF(INDEX('Factors'!$M$9:$M$108,MATCH(J221,'Factors'!$C$9:$C$108,0))="","",INDEX('Factors'!$M$9:$M$108,MATCH(J221,'Factors'!$C$9:$C$108,0))),""))</x:f>
      </x:c>
      <x:c r="U221" s="21" t="str">
        <x:f>IF(V221="Ready",H221*O221/1000,"")</x:f>
      </x:c>
      <x:c r="V221" s="9" t="str">
        <x:f>IF(C221="","",IF(OR(COUNTIFS($C$9:$C$308,C221)&lt;&gt;1,COUNTIFS($D$9:$D$308,D221,$E$9:$E$308,E221,$F$9:$F$308,F221,$G$9:$G$308,G221,$K$9:$K$308,K221)&lt;&gt;1),"Duplicate annual activity",IF(COUNTIFS('Inventory'!$C$9:$C$108,D221)&lt;&gt;1,"Entity required",IF(OR(E221="",L221="",NOT(ISNUMBER(H221)),H221&lt;0,NOT(ISNUMBER(K221)),NOT(ISNUMBER(N221))),"Missing activity input",IF(AND(E221&lt;&gt;D221,OR(COUNTIFS('Sites'!$C$9:$C$108,E221)&lt;&gt;1,IFERROR(IF(INDEX('Sites'!$D$9:$D$108,MATCH(E221,'Sites'!$C$9:$C$108,0))="","",INDEX('Sites'!$D$9:$D$108,MATCH(E221,'Sites'!$C$9:$C$108,0))),"")&lt;&gt;IFERROR(IF(INDEX('Inventory'!$D$9:$D$108,MATCH(D221,'Inventory'!$C$9:$C$108,0))="","",INDEX('Inventory'!$D$9:$D$108,MATCH(D221,'Inventory'!$C$9:$C$108,0))),""),IFERROR(IF(INDEX('Sites'!$E$9:$E$108,MATCH(E221,'Sites'!$C$9:$C$108,0))="","",INDEX('Sites'!$E$9:$E$108,MATCH(E221,'Sites'!$C$9:$C$108,0))),"")&lt;&gt;W221)),"Site / entity mismatch",IF(N221&lt;'Settings'!$F$8,"Expired",IF(X221&lt;&gt;"Ready","Factor required",IF(OR(G221&lt;&gt;IFERROR(IF(INDEX('Factors'!$D$9:$D$108,MATCH(J221,'Factors'!$C$9:$C$108,0))="","",INDEX('Factors'!$D$9:$D$108,MATCH(J221,'Factors'!$C$9:$C$108,0))),""),I221&lt;&gt;P221,F221&lt;&gt;Q221,K221&lt;&gt;S221,AND(R221&lt;&gt;"Global",R221&lt;&gt;W221),K221&lt;&gt;YEAR(IFERROR(IF(INDEX('Inventory'!$H$9:$H$108,MATCH(D221,'Inventory'!$C$9:$C$108,0))="","",INDEX('Inventory'!$H$9:$H$108,MATCH(D221,'Inventory'!$C$9:$C$108,0))),""))),"Factor / boundary mismatch",IF(AND(F221="S2",IFERROR(IF(INDEX('Factors'!$I$9:$I$108,MATCH(J221,'Factors'!$C$9:$C$108,0))="","",INDEX('Factors'!$I$9:$I$108,MATCH(J221,'Factors'!$C$9:$C$108,0))),"")&lt;&gt;"Location-based"),"Use location factor",IF(M221&lt;&gt;"Actual","Estimation method review","Ready"))))))))))</x:f>
      </x:c>
      <x:c r="W221" s="9" t="str">
        <x:f>IF(C221="","",IFERROR(IF(INDEX('Inventory'!$G$9:$G$108,MATCH(D221,'Inventory'!$C$9:$C$108,0))="","",INDEX('Inventory'!$G$9:$G$108,MATCH(D221,'Inventory'!$C$9:$C$108,0))),""))</x:f>
      </x:c>
      <x:c r="X221" s="9" t="str">
        <x:f>IF(C221="","",IFERROR(IF(INDEX('Factors'!$P$9:$P$108,MATCH(J221,'Factors'!$C$9:$C$108,0))="","",INDEX('Factors'!$P$9:$P$108,MATCH(J221,'Factors'!$C$9:$C$108,0))),""))</x:f>
      </x:c>
    </x:row>
    <x:row r="222" ht="26" customHeight="1">
      <x:c r="A222" s="1"/>
      <x:c r="B222" s="1"/>
      <x:c r="C222" s="8"/>
      <x:c r="D222" s="8"/>
      <x:c r="E222" s="8"/>
      <x:c r="F222" s="8"/>
      <x:c r="G222" s="8"/>
      <x:c r="H222" s="16"/>
      <x:c r="I222" s="8"/>
      <x:c r="J222" s="8"/>
      <x:c r="K222" s="22"/>
      <x:c r="L222" s="8"/>
      <x:c r="M222" s="8"/>
      <x:c r="N222" s="40"/>
      <x:c r="O222" s="41" t="str">
        <x:f>IF(C222="","",IFERROR(IF(INDEX('Factors'!$G$9:$G$108,MATCH(J222,'Factors'!$C$9:$C$108,0))="","",INDEX('Factors'!$G$9:$G$108,MATCH(J222,'Factors'!$C$9:$C$108,0))),""))</x:f>
      </x:c>
      <x:c r="P222" s="9" t="str">
        <x:f>IF(C222="","",IFERROR(IF(INDEX('Factors'!$F$9:$F$108,MATCH(J222,'Factors'!$C$9:$C$108,0))="","",INDEX('Factors'!$F$9:$F$108,MATCH(J222,'Factors'!$C$9:$C$108,0))),""))</x:f>
      </x:c>
      <x:c r="Q222" s="9" t="str">
        <x:f>IF(C222="","",IFERROR(IF(INDEX('Factors'!$H$9:$H$108,MATCH(J222,'Factors'!$C$9:$C$108,0))="","",INDEX('Factors'!$H$9:$H$108,MATCH(J222,'Factors'!$C$9:$C$108,0))),""))</x:f>
      </x:c>
      <x:c r="R222" s="9" t="str">
        <x:f>IF(C222="","",IFERROR(IF(INDEX('Factors'!$E$9:$E$108,MATCH(J222,'Factors'!$C$9:$C$108,0))="","",INDEX('Factors'!$E$9:$E$108,MATCH(J222,'Factors'!$C$9:$C$108,0))),""))</x:f>
      </x:c>
      <x:c r="S222" s="42" t="str">
        <x:f>IF(C222="","",IFERROR(IF(INDEX('Factors'!$J$9:$J$108,MATCH(J222,'Factors'!$C$9:$C$108,0))="","",INDEX('Factors'!$J$9:$J$108,MATCH(J222,'Factors'!$C$9:$C$108,0))),""))</x:f>
      </x:c>
      <x:c r="T222" s="9" t="str">
        <x:f>IF(C222="","",IFERROR(IF(INDEX('Factors'!$L$9:$L$108,MATCH(J222,'Factors'!$C$9:$C$108,0))="","",INDEX('Factors'!$L$9:$L$108,MATCH(J222,'Factors'!$C$9:$C$108,0))),"")&amp;" / "&amp;IFERROR(IF(INDEX('Factors'!$M$9:$M$108,MATCH(J222,'Factors'!$C$9:$C$108,0))="","",INDEX('Factors'!$M$9:$M$108,MATCH(J222,'Factors'!$C$9:$C$108,0))),""))</x:f>
      </x:c>
      <x:c r="U222" s="21" t="str">
        <x:f>IF(V222="Ready",H222*O222/1000,"")</x:f>
      </x:c>
      <x:c r="V222" s="9" t="str">
        <x:f>IF(C222="","",IF(OR(COUNTIFS($C$9:$C$308,C222)&lt;&gt;1,COUNTIFS($D$9:$D$308,D222,$E$9:$E$308,E222,$F$9:$F$308,F222,$G$9:$G$308,G222,$K$9:$K$308,K222)&lt;&gt;1),"Duplicate annual activity",IF(COUNTIFS('Inventory'!$C$9:$C$108,D222)&lt;&gt;1,"Entity required",IF(OR(E222="",L222="",NOT(ISNUMBER(H222)),H222&lt;0,NOT(ISNUMBER(K222)),NOT(ISNUMBER(N222))),"Missing activity input",IF(AND(E222&lt;&gt;D222,OR(COUNTIFS('Sites'!$C$9:$C$108,E222)&lt;&gt;1,IFERROR(IF(INDEX('Sites'!$D$9:$D$108,MATCH(E222,'Sites'!$C$9:$C$108,0))="","",INDEX('Sites'!$D$9:$D$108,MATCH(E222,'Sites'!$C$9:$C$108,0))),"")&lt;&gt;IFERROR(IF(INDEX('Inventory'!$D$9:$D$108,MATCH(D222,'Inventory'!$C$9:$C$108,0))="","",INDEX('Inventory'!$D$9:$D$108,MATCH(D222,'Inventory'!$C$9:$C$108,0))),""),IFERROR(IF(INDEX('Sites'!$E$9:$E$108,MATCH(E222,'Sites'!$C$9:$C$108,0))="","",INDEX('Sites'!$E$9:$E$108,MATCH(E222,'Sites'!$C$9:$C$108,0))),"")&lt;&gt;W222)),"Site / entity mismatch",IF(N222&lt;'Settings'!$F$8,"Expired",IF(X222&lt;&gt;"Ready","Factor required",IF(OR(G222&lt;&gt;IFERROR(IF(INDEX('Factors'!$D$9:$D$108,MATCH(J222,'Factors'!$C$9:$C$108,0))="","",INDEX('Factors'!$D$9:$D$108,MATCH(J222,'Factors'!$C$9:$C$108,0))),""),I222&lt;&gt;P222,F222&lt;&gt;Q222,K222&lt;&gt;S222,AND(R222&lt;&gt;"Global",R222&lt;&gt;W222),K222&lt;&gt;YEAR(IFERROR(IF(INDEX('Inventory'!$H$9:$H$108,MATCH(D222,'Inventory'!$C$9:$C$108,0))="","",INDEX('Inventory'!$H$9:$H$108,MATCH(D222,'Inventory'!$C$9:$C$108,0))),""))),"Factor / boundary mismatch",IF(AND(F222="S2",IFERROR(IF(INDEX('Factors'!$I$9:$I$108,MATCH(J222,'Factors'!$C$9:$C$108,0))="","",INDEX('Factors'!$I$9:$I$108,MATCH(J222,'Factors'!$C$9:$C$108,0))),"")&lt;&gt;"Location-based"),"Use location factor",IF(M222&lt;&gt;"Actual","Estimation method review","Ready"))))))))))</x:f>
      </x:c>
      <x:c r="W222" s="9" t="str">
        <x:f>IF(C222="","",IFERROR(IF(INDEX('Inventory'!$G$9:$G$108,MATCH(D222,'Inventory'!$C$9:$C$108,0))="","",INDEX('Inventory'!$G$9:$G$108,MATCH(D222,'Inventory'!$C$9:$C$108,0))),""))</x:f>
      </x:c>
      <x:c r="X222" s="9" t="str">
        <x:f>IF(C222="","",IFERROR(IF(INDEX('Factors'!$P$9:$P$108,MATCH(J222,'Factors'!$C$9:$C$108,0))="","",INDEX('Factors'!$P$9:$P$108,MATCH(J222,'Factors'!$C$9:$C$108,0))),""))</x:f>
      </x:c>
    </x:row>
    <x:row r="223" ht="26" customHeight="1">
      <x:c r="A223" s="1"/>
      <x:c r="B223" s="1"/>
      <x:c r="C223" s="8"/>
      <x:c r="D223" s="8"/>
      <x:c r="E223" s="8"/>
      <x:c r="F223" s="8"/>
      <x:c r="G223" s="8"/>
      <x:c r="H223" s="16"/>
      <x:c r="I223" s="8"/>
      <x:c r="J223" s="8"/>
      <x:c r="K223" s="22"/>
      <x:c r="L223" s="8"/>
      <x:c r="M223" s="8"/>
      <x:c r="N223" s="40"/>
      <x:c r="O223" s="41" t="str">
        <x:f>IF(C223="","",IFERROR(IF(INDEX('Factors'!$G$9:$G$108,MATCH(J223,'Factors'!$C$9:$C$108,0))="","",INDEX('Factors'!$G$9:$G$108,MATCH(J223,'Factors'!$C$9:$C$108,0))),""))</x:f>
      </x:c>
      <x:c r="P223" s="9" t="str">
        <x:f>IF(C223="","",IFERROR(IF(INDEX('Factors'!$F$9:$F$108,MATCH(J223,'Factors'!$C$9:$C$108,0))="","",INDEX('Factors'!$F$9:$F$108,MATCH(J223,'Factors'!$C$9:$C$108,0))),""))</x:f>
      </x:c>
      <x:c r="Q223" s="9" t="str">
        <x:f>IF(C223="","",IFERROR(IF(INDEX('Factors'!$H$9:$H$108,MATCH(J223,'Factors'!$C$9:$C$108,0))="","",INDEX('Factors'!$H$9:$H$108,MATCH(J223,'Factors'!$C$9:$C$108,0))),""))</x:f>
      </x:c>
      <x:c r="R223" s="9" t="str">
        <x:f>IF(C223="","",IFERROR(IF(INDEX('Factors'!$E$9:$E$108,MATCH(J223,'Factors'!$C$9:$C$108,0))="","",INDEX('Factors'!$E$9:$E$108,MATCH(J223,'Factors'!$C$9:$C$108,0))),""))</x:f>
      </x:c>
      <x:c r="S223" s="42" t="str">
        <x:f>IF(C223="","",IFERROR(IF(INDEX('Factors'!$J$9:$J$108,MATCH(J223,'Factors'!$C$9:$C$108,0))="","",INDEX('Factors'!$J$9:$J$108,MATCH(J223,'Factors'!$C$9:$C$108,0))),""))</x:f>
      </x:c>
      <x:c r="T223" s="9" t="str">
        <x:f>IF(C223="","",IFERROR(IF(INDEX('Factors'!$L$9:$L$108,MATCH(J223,'Factors'!$C$9:$C$108,0))="","",INDEX('Factors'!$L$9:$L$108,MATCH(J223,'Factors'!$C$9:$C$108,0))),"")&amp;" / "&amp;IFERROR(IF(INDEX('Factors'!$M$9:$M$108,MATCH(J223,'Factors'!$C$9:$C$108,0))="","",INDEX('Factors'!$M$9:$M$108,MATCH(J223,'Factors'!$C$9:$C$108,0))),""))</x:f>
      </x:c>
      <x:c r="U223" s="21" t="str">
        <x:f>IF(V223="Ready",H223*O223/1000,"")</x:f>
      </x:c>
      <x:c r="V223" s="9" t="str">
        <x:f>IF(C223="","",IF(OR(COUNTIFS($C$9:$C$308,C223)&lt;&gt;1,COUNTIFS($D$9:$D$308,D223,$E$9:$E$308,E223,$F$9:$F$308,F223,$G$9:$G$308,G223,$K$9:$K$308,K223)&lt;&gt;1),"Duplicate annual activity",IF(COUNTIFS('Inventory'!$C$9:$C$108,D223)&lt;&gt;1,"Entity required",IF(OR(E223="",L223="",NOT(ISNUMBER(H223)),H223&lt;0,NOT(ISNUMBER(K223)),NOT(ISNUMBER(N223))),"Missing activity input",IF(AND(E223&lt;&gt;D223,OR(COUNTIFS('Sites'!$C$9:$C$108,E223)&lt;&gt;1,IFERROR(IF(INDEX('Sites'!$D$9:$D$108,MATCH(E223,'Sites'!$C$9:$C$108,0))="","",INDEX('Sites'!$D$9:$D$108,MATCH(E223,'Sites'!$C$9:$C$108,0))),"")&lt;&gt;IFERROR(IF(INDEX('Inventory'!$D$9:$D$108,MATCH(D223,'Inventory'!$C$9:$C$108,0))="","",INDEX('Inventory'!$D$9:$D$108,MATCH(D223,'Inventory'!$C$9:$C$108,0))),""),IFERROR(IF(INDEX('Sites'!$E$9:$E$108,MATCH(E223,'Sites'!$C$9:$C$108,0))="","",INDEX('Sites'!$E$9:$E$108,MATCH(E223,'Sites'!$C$9:$C$108,0))),"")&lt;&gt;W223)),"Site / entity mismatch",IF(N223&lt;'Settings'!$F$8,"Expired",IF(X223&lt;&gt;"Ready","Factor required",IF(OR(G223&lt;&gt;IFERROR(IF(INDEX('Factors'!$D$9:$D$108,MATCH(J223,'Factors'!$C$9:$C$108,0))="","",INDEX('Factors'!$D$9:$D$108,MATCH(J223,'Factors'!$C$9:$C$108,0))),""),I223&lt;&gt;P223,F223&lt;&gt;Q223,K223&lt;&gt;S223,AND(R223&lt;&gt;"Global",R223&lt;&gt;W223),K223&lt;&gt;YEAR(IFERROR(IF(INDEX('Inventory'!$H$9:$H$108,MATCH(D223,'Inventory'!$C$9:$C$108,0))="","",INDEX('Inventory'!$H$9:$H$108,MATCH(D223,'Inventory'!$C$9:$C$108,0))),""))),"Factor / boundary mismatch",IF(AND(F223="S2",IFERROR(IF(INDEX('Factors'!$I$9:$I$108,MATCH(J223,'Factors'!$C$9:$C$108,0))="","",INDEX('Factors'!$I$9:$I$108,MATCH(J223,'Factors'!$C$9:$C$108,0))),"")&lt;&gt;"Location-based"),"Use location factor",IF(M223&lt;&gt;"Actual","Estimation method review","Ready"))))))))))</x:f>
      </x:c>
      <x:c r="W223" s="9" t="str">
        <x:f>IF(C223="","",IFERROR(IF(INDEX('Inventory'!$G$9:$G$108,MATCH(D223,'Inventory'!$C$9:$C$108,0))="","",INDEX('Inventory'!$G$9:$G$108,MATCH(D223,'Inventory'!$C$9:$C$108,0))),""))</x:f>
      </x:c>
      <x:c r="X223" s="9" t="str">
        <x:f>IF(C223="","",IFERROR(IF(INDEX('Factors'!$P$9:$P$108,MATCH(J223,'Factors'!$C$9:$C$108,0))="","",INDEX('Factors'!$P$9:$P$108,MATCH(J223,'Factors'!$C$9:$C$108,0))),""))</x:f>
      </x:c>
    </x:row>
    <x:row r="224" ht="26" customHeight="1">
      <x:c r="A224" s="1"/>
      <x:c r="B224" s="1"/>
      <x:c r="C224" s="8"/>
      <x:c r="D224" s="8"/>
      <x:c r="E224" s="8"/>
      <x:c r="F224" s="8"/>
      <x:c r="G224" s="8"/>
      <x:c r="H224" s="16"/>
      <x:c r="I224" s="8"/>
      <x:c r="J224" s="8"/>
      <x:c r="K224" s="22"/>
      <x:c r="L224" s="8"/>
      <x:c r="M224" s="8"/>
      <x:c r="N224" s="40"/>
      <x:c r="O224" s="41" t="str">
        <x:f>IF(C224="","",IFERROR(IF(INDEX('Factors'!$G$9:$G$108,MATCH(J224,'Factors'!$C$9:$C$108,0))="","",INDEX('Factors'!$G$9:$G$108,MATCH(J224,'Factors'!$C$9:$C$108,0))),""))</x:f>
      </x:c>
      <x:c r="P224" s="9" t="str">
        <x:f>IF(C224="","",IFERROR(IF(INDEX('Factors'!$F$9:$F$108,MATCH(J224,'Factors'!$C$9:$C$108,0))="","",INDEX('Factors'!$F$9:$F$108,MATCH(J224,'Factors'!$C$9:$C$108,0))),""))</x:f>
      </x:c>
      <x:c r="Q224" s="9" t="str">
        <x:f>IF(C224="","",IFERROR(IF(INDEX('Factors'!$H$9:$H$108,MATCH(J224,'Factors'!$C$9:$C$108,0))="","",INDEX('Factors'!$H$9:$H$108,MATCH(J224,'Factors'!$C$9:$C$108,0))),""))</x:f>
      </x:c>
      <x:c r="R224" s="9" t="str">
        <x:f>IF(C224="","",IFERROR(IF(INDEX('Factors'!$E$9:$E$108,MATCH(J224,'Factors'!$C$9:$C$108,0))="","",INDEX('Factors'!$E$9:$E$108,MATCH(J224,'Factors'!$C$9:$C$108,0))),""))</x:f>
      </x:c>
      <x:c r="S224" s="42" t="str">
        <x:f>IF(C224="","",IFERROR(IF(INDEX('Factors'!$J$9:$J$108,MATCH(J224,'Factors'!$C$9:$C$108,0))="","",INDEX('Factors'!$J$9:$J$108,MATCH(J224,'Factors'!$C$9:$C$108,0))),""))</x:f>
      </x:c>
      <x:c r="T224" s="9" t="str">
        <x:f>IF(C224="","",IFERROR(IF(INDEX('Factors'!$L$9:$L$108,MATCH(J224,'Factors'!$C$9:$C$108,0))="","",INDEX('Factors'!$L$9:$L$108,MATCH(J224,'Factors'!$C$9:$C$108,0))),"")&amp;" / "&amp;IFERROR(IF(INDEX('Factors'!$M$9:$M$108,MATCH(J224,'Factors'!$C$9:$C$108,0))="","",INDEX('Factors'!$M$9:$M$108,MATCH(J224,'Factors'!$C$9:$C$108,0))),""))</x:f>
      </x:c>
      <x:c r="U224" s="21" t="str">
        <x:f>IF(V224="Ready",H224*O224/1000,"")</x:f>
      </x:c>
      <x:c r="V224" s="9" t="str">
        <x:f>IF(C224="","",IF(OR(COUNTIFS($C$9:$C$308,C224)&lt;&gt;1,COUNTIFS($D$9:$D$308,D224,$E$9:$E$308,E224,$F$9:$F$308,F224,$G$9:$G$308,G224,$K$9:$K$308,K224)&lt;&gt;1),"Duplicate annual activity",IF(COUNTIFS('Inventory'!$C$9:$C$108,D224)&lt;&gt;1,"Entity required",IF(OR(E224="",L224="",NOT(ISNUMBER(H224)),H224&lt;0,NOT(ISNUMBER(K224)),NOT(ISNUMBER(N224))),"Missing activity input",IF(AND(E224&lt;&gt;D224,OR(COUNTIFS('Sites'!$C$9:$C$108,E224)&lt;&gt;1,IFERROR(IF(INDEX('Sites'!$D$9:$D$108,MATCH(E224,'Sites'!$C$9:$C$108,0))="","",INDEX('Sites'!$D$9:$D$108,MATCH(E224,'Sites'!$C$9:$C$108,0))),"")&lt;&gt;IFERROR(IF(INDEX('Inventory'!$D$9:$D$108,MATCH(D224,'Inventory'!$C$9:$C$108,0))="","",INDEX('Inventory'!$D$9:$D$108,MATCH(D224,'Inventory'!$C$9:$C$108,0))),""),IFERROR(IF(INDEX('Sites'!$E$9:$E$108,MATCH(E224,'Sites'!$C$9:$C$108,0))="","",INDEX('Sites'!$E$9:$E$108,MATCH(E224,'Sites'!$C$9:$C$108,0))),"")&lt;&gt;W224)),"Site / entity mismatch",IF(N224&lt;'Settings'!$F$8,"Expired",IF(X224&lt;&gt;"Ready","Factor required",IF(OR(G224&lt;&gt;IFERROR(IF(INDEX('Factors'!$D$9:$D$108,MATCH(J224,'Factors'!$C$9:$C$108,0))="","",INDEX('Factors'!$D$9:$D$108,MATCH(J224,'Factors'!$C$9:$C$108,0))),""),I224&lt;&gt;P224,F224&lt;&gt;Q224,K224&lt;&gt;S224,AND(R224&lt;&gt;"Global",R224&lt;&gt;W224),K224&lt;&gt;YEAR(IFERROR(IF(INDEX('Inventory'!$H$9:$H$108,MATCH(D224,'Inventory'!$C$9:$C$108,0))="","",INDEX('Inventory'!$H$9:$H$108,MATCH(D224,'Inventory'!$C$9:$C$108,0))),""))),"Factor / boundary mismatch",IF(AND(F224="S2",IFERROR(IF(INDEX('Factors'!$I$9:$I$108,MATCH(J224,'Factors'!$C$9:$C$108,0))="","",INDEX('Factors'!$I$9:$I$108,MATCH(J224,'Factors'!$C$9:$C$108,0))),"")&lt;&gt;"Location-based"),"Use location factor",IF(M224&lt;&gt;"Actual","Estimation method review","Ready"))))))))))</x:f>
      </x:c>
      <x:c r="W224" s="9" t="str">
        <x:f>IF(C224="","",IFERROR(IF(INDEX('Inventory'!$G$9:$G$108,MATCH(D224,'Inventory'!$C$9:$C$108,0))="","",INDEX('Inventory'!$G$9:$G$108,MATCH(D224,'Inventory'!$C$9:$C$108,0))),""))</x:f>
      </x:c>
      <x:c r="X224" s="9" t="str">
        <x:f>IF(C224="","",IFERROR(IF(INDEX('Factors'!$P$9:$P$108,MATCH(J224,'Factors'!$C$9:$C$108,0))="","",INDEX('Factors'!$P$9:$P$108,MATCH(J224,'Factors'!$C$9:$C$108,0))),""))</x:f>
      </x:c>
    </x:row>
    <x:row r="225" ht="26" customHeight="1">
      <x:c r="A225" s="1"/>
      <x:c r="B225" s="1"/>
      <x:c r="C225" s="8"/>
      <x:c r="D225" s="8"/>
      <x:c r="E225" s="8"/>
      <x:c r="F225" s="8"/>
      <x:c r="G225" s="8"/>
      <x:c r="H225" s="16"/>
      <x:c r="I225" s="8"/>
      <x:c r="J225" s="8"/>
      <x:c r="K225" s="22"/>
      <x:c r="L225" s="8"/>
      <x:c r="M225" s="8"/>
      <x:c r="N225" s="40"/>
      <x:c r="O225" s="41" t="str">
        <x:f>IF(C225="","",IFERROR(IF(INDEX('Factors'!$G$9:$G$108,MATCH(J225,'Factors'!$C$9:$C$108,0))="","",INDEX('Factors'!$G$9:$G$108,MATCH(J225,'Factors'!$C$9:$C$108,0))),""))</x:f>
      </x:c>
      <x:c r="P225" s="9" t="str">
        <x:f>IF(C225="","",IFERROR(IF(INDEX('Factors'!$F$9:$F$108,MATCH(J225,'Factors'!$C$9:$C$108,0))="","",INDEX('Factors'!$F$9:$F$108,MATCH(J225,'Factors'!$C$9:$C$108,0))),""))</x:f>
      </x:c>
      <x:c r="Q225" s="9" t="str">
        <x:f>IF(C225="","",IFERROR(IF(INDEX('Factors'!$H$9:$H$108,MATCH(J225,'Factors'!$C$9:$C$108,0))="","",INDEX('Factors'!$H$9:$H$108,MATCH(J225,'Factors'!$C$9:$C$108,0))),""))</x:f>
      </x:c>
      <x:c r="R225" s="9" t="str">
        <x:f>IF(C225="","",IFERROR(IF(INDEX('Factors'!$E$9:$E$108,MATCH(J225,'Factors'!$C$9:$C$108,0))="","",INDEX('Factors'!$E$9:$E$108,MATCH(J225,'Factors'!$C$9:$C$108,0))),""))</x:f>
      </x:c>
      <x:c r="S225" s="42" t="str">
        <x:f>IF(C225="","",IFERROR(IF(INDEX('Factors'!$J$9:$J$108,MATCH(J225,'Factors'!$C$9:$C$108,0))="","",INDEX('Factors'!$J$9:$J$108,MATCH(J225,'Factors'!$C$9:$C$108,0))),""))</x:f>
      </x:c>
      <x:c r="T225" s="9" t="str">
        <x:f>IF(C225="","",IFERROR(IF(INDEX('Factors'!$L$9:$L$108,MATCH(J225,'Factors'!$C$9:$C$108,0))="","",INDEX('Factors'!$L$9:$L$108,MATCH(J225,'Factors'!$C$9:$C$108,0))),"")&amp;" / "&amp;IFERROR(IF(INDEX('Factors'!$M$9:$M$108,MATCH(J225,'Factors'!$C$9:$C$108,0))="","",INDEX('Factors'!$M$9:$M$108,MATCH(J225,'Factors'!$C$9:$C$108,0))),""))</x:f>
      </x:c>
      <x:c r="U225" s="21" t="str">
        <x:f>IF(V225="Ready",H225*O225/1000,"")</x:f>
      </x:c>
      <x:c r="V225" s="9" t="str">
        <x:f>IF(C225="","",IF(OR(COUNTIFS($C$9:$C$308,C225)&lt;&gt;1,COUNTIFS($D$9:$D$308,D225,$E$9:$E$308,E225,$F$9:$F$308,F225,$G$9:$G$308,G225,$K$9:$K$308,K225)&lt;&gt;1),"Duplicate annual activity",IF(COUNTIFS('Inventory'!$C$9:$C$108,D225)&lt;&gt;1,"Entity required",IF(OR(E225="",L225="",NOT(ISNUMBER(H225)),H225&lt;0,NOT(ISNUMBER(K225)),NOT(ISNUMBER(N225))),"Missing activity input",IF(AND(E225&lt;&gt;D225,OR(COUNTIFS('Sites'!$C$9:$C$108,E225)&lt;&gt;1,IFERROR(IF(INDEX('Sites'!$D$9:$D$108,MATCH(E225,'Sites'!$C$9:$C$108,0))="","",INDEX('Sites'!$D$9:$D$108,MATCH(E225,'Sites'!$C$9:$C$108,0))),"")&lt;&gt;IFERROR(IF(INDEX('Inventory'!$D$9:$D$108,MATCH(D225,'Inventory'!$C$9:$C$108,0))="","",INDEX('Inventory'!$D$9:$D$108,MATCH(D225,'Inventory'!$C$9:$C$108,0))),""),IFERROR(IF(INDEX('Sites'!$E$9:$E$108,MATCH(E225,'Sites'!$C$9:$C$108,0))="","",INDEX('Sites'!$E$9:$E$108,MATCH(E225,'Sites'!$C$9:$C$108,0))),"")&lt;&gt;W225)),"Site / entity mismatch",IF(N225&lt;'Settings'!$F$8,"Expired",IF(X225&lt;&gt;"Ready","Factor required",IF(OR(G225&lt;&gt;IFERROR(IF(INDEX('Factors'!$D$9:$D$108,MATCH(J225,'Factors'!$C$9:$C$108,0))="","",INDEX('Factors'!$D$9:$D$108,MATCH(J225,'Factors'!$C$9:$C$108,0))),""),I225&lt;&gt;P225,F225&lt;&gt;Q225,K225&lt;&gt;S225,AND(R225&lt;&gt;"Global",R225&lt;&gt;W225),K225&lt;&gt;YEAR(IFERROR(IF(INDEX('Inventory'!$H$9:$H$108,MATCH(D225,'Inventory'!$C$9:$C$108,0))="","",INDEX('Inventory'!$H$9:$H$108,MATCH(D225,'Inventory'!$C$9:$C$108,0))),""))),"Factor / boundary mismatch",IF(AND(F225="S2",IFERROR(IF(INDEX('Factors'!$I$9:$I$108,MATCH(J225,'Factors'!$C$9:$C$108,0))="","",INDEX('Factors'!$I$9:$I$108,MATCH(J225,'Factors'!$C$9:$C$108,0))),"")&lt;&gt;"Location-based"),"Use location factor",IF(M225&lt;&gt;"Actual","Estimation method review","Ready"))))))))))</x:f>
      </x:c>
      <x:c r="W225" s="9" t="str">
        <x:f>IF(C225="","",IFERROR(IF(INDEX('Inventory'!$G$9:$G$108,MATCH(D225,'Inventory'!$C$9:$C$108,0))="","",INDEX('Inventory'!$G$9:$G$108,MATCH(D225,'Inventory'!$C$9:$C$108,0))),""))</x:f>
      </x:c>
      <x:c r="X225" s="9" t="str">
        <x:f>IF(C225="","",IFERROR(IF(INDEX('Factors'!$P$9:$P$108,MATCH(J225,'Factors'!$C$9:$C$108,0))="","",INDEX('Factors'!$P$9:$P$108,MATCH(J225,'Factors'!$C$9:$C$108,0))),""))</x:f>
      </x:c>
    </x:row>
    <x:row r="226" ht="26" customHeight="1">
      <x:c r="A226" s="1"/>
      <x:c r="B226" s="1"/>
      <x:c r="C226" s="8"/>
      <x:c r="D226" s="8"/>
      <x:c r="E226" s="8"/>
      <x:c r="F226" s="8"/>
      <x:c r="G226" s="8"/>
      <x:c r="H226" s="16"/>
      <x:c r="I226" s="8"/>
      <x:c r="J226" s="8"/>
      <x:c r="K226" s="22"/>
      <x:c r="L226" s="8"/>
      <x:c r="M226" s="8"/>
      <x:c r="N226" s="40"/>
      <x:c r="O226" s="41" t="str">
        <x:f>IF(C226="","",IFERROR(IF(INDEX('Factors'!$G$9:$G$108,MATCH(J226,'Factors'!$C$9:$C$108,0))="","",INDEX('Factors'!$G$9:$G$108,MATCH(J226,'Factors'!$C$9:$C$108,0))),""))</x:f>
      </x:c>
      <x:c r="P226" s="9" t="str">
        <x:f>IF(C226="","",IFERROR(IF(INDEX('Factors'!$F$9:$F$108,MATCH(J226,'Factors'!$C$9:$C$108,0))="","",INDEX('Factors'!$F$9:$F$108,MATCH(J226,'Factors'!$C$9:$C$108,0))),""))</x:f>
      </x:c>
      <x:c r="Q226" s="9" t="str">
        <x:f>IF(C226="","",IFERROR(IF(INDEX('Factors'!$H$9:$H$108,MATCH(J226,'Factors'!$C$9:$C$108,0))="","",INDEX('Factors'!$H$9:$H$108,MATCH(J226,'Factors'!$C$9:$C$108,0))),""))</x:f>
      </x:c>
      <x:c r="R226" s="9" t="str">
        <x:f>IF(C226="","",IFERROR(IF(INDEX('Factors'!$E$9:$E$108,MATCH(J226,'Factors'!$C$9:$C$108,0))="","",INDEX('Factors'!$E$9:$E$108,MATCH(J226,'Factors'!$C$9:$C$108,0))),""))</x:f>
      </x:c>
      <x:c r="S226" s="42" t="str">
        <x:f>IF(C226="","",IFERROR(IF(INDEX('Factors'!$J$9:$J$108,MATCH(J226,'Factors'!$C$9:$C$108,0))="","",INDEX('Factors'!$J$9:$J$108,MATCH(J226,'Factors'!$C$9:$C$108,0))),""))</x:f>
      </x:c>
      <x:c r="T226" s="9" t="str">
        <x:f>IF(C226="","",IFERROR(IF(INDEX('Factors'!$L$9:$L$108,MATCH(J226,'Factors'!$C$9:$C$108,0))="","",INDEX('Factors'!$L$9:$L$108,MATCH(J226,'Factors'!$C$9:$C$108,0))),"")&amp;" / "&amp;IFERROR(IF(INDEX('Factors'!$M$9:$M$108,MATCH(J226,'Factors'!$C$9:$C$108,0))="","",INDEX('Factors'!$M$9:$M$108,MATCH(J226,'Factors'!$C$9:$C$108,0))),""))</x:f>
      </x:c>
      <x:c r="U226" s="21" t="str">
        <x:f>IF(V226="Ready",H226*O226/1000,"")</x:f>
      </x:c>
      <x:c r="V226" s="9" t="str">
        <x:f>IF(C226="","",IF(OR(COUNTIFS($C$9:$C$308,C226)&lt;&gt;1,COUNTIFS($D$9:$D$308,D226,$E$9:$E$308,E226,$F$9:$F$308,F226,$G$9:$G$308,G226,$K$9:$K$308,K226)&lt;&gt;1),"Duplicate annual activity",IF(COUNTIFS('Inventory'!$C$9:$C$108,D226)&lt;&gt;1,"Entity required",IF(OR(E226="",L226="",NOT(ISNUMBER(H226)),H226&lt;0,NOT(ISNUMBER(K226)),NOT(ISNUMBER(N226))),"Missing activity input",IF(AND(E226&lt;&gt;D226,OR(COUNTIFS('Sites'!$C$9:$C$108,E226)&lt;&gt;1,IFERROR(IF(INDEX('Sites'!$D$9:$D$108,MATCH(E226,'Sites'!$C$9:$C$108,0))="","",INDEX('Sites'!$D$9:$D$108,MATCH(E226,'Sites'!$C$9:$C$108,0))),"")&lt;&gt;IFERROR(IF(INDEX('Inventory'!$D$9:$D$108,MATCH(D226,'Inventory'!$C$9:$C$108,0))="","",INDEX('Inventory'!$D$9:$D$108,MATCH(D226,'Inventory'!$C$9:$C$108,0))),""),IFERROR(IF(INDEX('Sites'!$E$9:$E$108,MATCH(E226,'Sites'!$C$9:$C$108,0))="","",INDEX('Sites'!$E$9:$E$108,MATCH(E226,'Sites'!$C$9:$C$108,0))),"")&lt;&gt;W226)),"Site / entity mismatch",IF(N226&lt;'Settings'!$F$8,"Expired",IF(X226&lt;&gt;"Ready","Factor required",IF(OR(G226&lt;&gt;IFERROR(IF(INDEX('Factors'!$D$9:$D$108,MATCH(J226,'Factors'!$C$9:$C$108,0))="","",INDEX('Factors'!$D$9:$D$108,MATCH(J226,'Factors'!$C$9:$C$108,0))),""),I226&lt;&gt;P226,F226&lt;&gt;Q226,K226&lt;&gt;S226,AND(R226&lt;&gt;"Global",R226&lt;&gt;W226),K226&lt;&gt;YEAR(IFERROR(IF(INDEX('Inventory'!$H$9:$H$108,MATCH(D226,'Inventory'!$C$9:$C$108,0))="","",INDEX('Inventory'!$H$9:$H$108,MATCH(D226,'Inventory'!$C$9:$C$108,0))),""))),"Factor / boundary mismatch",IF(AND(F226="S2",IFERROR(IF(INDEX('Factors'!$I$9:$I$108,MATCH(J226,'Factors'!$C$9:$C$108,0))="","",INDEX('Factors'!$I$9:$I$108,MATCH(J226,'Factors'!$C$9:$C$108,0))),"")&lt;&gt;"Location-based"),"Use location factor",IF(M226&lt;&gt;"Actual","Estimation method review","Ready"))))))))))</x:f>
      </x:c>
      <x:c r="W226" s="9" t="str">
        <x:f>IF(C226="","",IFERROR(IF(INDEX('Inventory'!$G$9:$G$108,MATCH(D226,'Inventory'!$C$9:$C$108,0))="","",INDEX('Inventory'!$G$9:$G$108,MATCH(D226,'Inventory'!$C$9:$C$108,0))),""))</x:f>
      </x:c>
      <x:c r="X226" s="9" t="str">
        <x:f>IF(C226="","",IFERROR(IF(INDEX('Factors'!$P$9:$P$108,MATCH(J226,'Factors'!$C$9:$C$108,0))="","",INDEX('Factors'!$P$9:$P$108,MATCH(J226,'Factors'!$C$9:$C$108,0))),""))</x:f>
      </x:c>
    </x:row>
    <x:row r="227" ht="26" customHeight="1">
      <x:c r="A227" s="1"/>
      <x:c r="B227" s="1"/>
      <x:c r="C227" s="8"/>
      <x:c r="D227" s="8"/>
      <x:c r="E227" s="8"/>
      <x:c r="F227" s="8"/>
      <x:c r="G227" s="8"/>
      <x:c r="H227" s="16"/>
      <x:c r="I227" s="8"/>
      <x:c r="J227" s="8"/>
      <x:c r="K227" s="22"/>
      <x:c r="L227" s="8"/>
      <x:c r="M227" s="8"/>
      <x:c r="N227" s="40"/>
      <x:c r="O227" s="41" t="str">
        <x:f>IF(C227="","",IFERROR(IF(INDEX('Factors'!$G$9:$G$108,MATCH(J227,'Factors'!$C$9:$C$108,0))="","",INDEX('Factors'!$G$9:$G$108,MATCH(J227,'Factors'!$C$9:$C$108,0))),""))</x:f>
      </x:c>
      <x:c r="P227" s="9" t="str">
        <x:f>IF(C227="","",IFERROR(IF(INDEX('Factors'!$F$9:$F$108,MATCH(J227,'Factors'!$C$9:$C$108,0))="","",INDEX('Factors'!$F$9:$F$108,MATCH(J227,'Factors'!$C$9:$C$108,0))),""))</x:f>
      </x:c>
      <x:c r="Q227" s="9" t="str">
        <x:f>IF(C227="","",IFERROR(IF(INDEX('Factors'!$H$9:$H$108,MATCH(J227,'Factors'!$C$9:$C$108,0))="","",INDEX('Factors'!$H$9:$H$108,MATCH(J227,'Factors'!$C$9:$C$108,0))),""))</x:f>
      </x:c>
      <x:c r="R227" s="9" t="str">
        <x:f>IF(C227="","",IFERROR(IF(INDEX('Factors'!$E$9:$E$108,MATCH(J227,'Factors'!$C$9:$C$108,0))="","",INDEX('Factors'!$E$9:$E$108,MATCH(J227,'Factors'!$C$9:$C$108,0))),""))</x:f>
      </x:c>
      <x:c r="S227" s="42" t="str">
        <x:f>IF(C227="","",IFERROR(IF(INDEX('Factors'!$J$9:$J$108,MATCH(J227,'Factors'!$C$9:$C$108,0))="","",INDEX('Factors'!$J$9:$J$108,MATCH(J227,'Factors'!$C$9:$C$108,0))),""))</x:f>
      </x:c>
      <x:c r="T227" s="9" t="str">
        <x:f>IF(C227="","",IFERROR(IF(INDEX('Factors'!$L$9:$L$108,MATCH(J227,'Factors'!$C$9:$C$108,0))="","",INDEX('Factors'!$L$9:$L$108,MATCH(J227,'Factors'!$C$9:$C$108,0))),"")&amp;" / "&amp;IFERROR(IF(INDEX('Factors'!$M$9:$M$108,MATCH(J227,'Factors'!$C$9:$C$108,0))="","",INDEX('Factors'!$M$9:$M$108,MATCH(J227,'Factors'!$C$9:$C$108,0))),""))</x:f>
      </x:c>
      <x:c r="U227" s="21" t="str">
        <x:f>IF(V227="Ready",H227*O227/1000,"")</x:f>
      </x:c>
      <x:c r="V227" s="9" t="str">
        <x:f>IF(C227="","",IF(OR(COUNTIFS($C$9:$C$308,C227)&lt;&gt;1,COUNTIFS($D$9:$D$308,D227,$E$9:$E$308,E227,$F$9:$F$308,F227,$G$9:$G$308,G227,$K$9:$K$308,K227)&lt;&gt;1),"Duplicate annual activity",IF(COUNTIFS('Inventory'!$C$9:$C$108,D227)&lt;&gt;1,"Entity required",IF(OR(E227="",L227="",NOT(ISNUMBER(H227)),H227&lt;0,NOT(ISNUMBER(K227)),NOT(ISNUMBER(N227))),"Missing activity input",IF(AND(E227&lt;&gt;D227,OR(COUNTIFS('Sites'!$C$9:$C$108,E227)&lt;&gt;1,IFERROR(IF(INDEX('Sites'!$D$9:$D$108,MATCH(E227,'Sites'!$C$9:$C$108,0))="","",INDEX('Sites'!$D$9:$D$108,MATCH(E227,'Sites'!$C$9:$C$108,0))),"")&lt;&gt;IFERROR(IF(INDEX('Inventory'!$D$9:$D$108,MATCH(D227,'Inventory'!$C$9:$C$108,0))="","",INDEX('Inventory'!$D$9:$D$108,MATCH(D227,'Inventory'!$C$9:$C$108,0))),""),IFERROR(IF(INDEX('Sites'!$E$9:$E$108,MATCH(E227,'Sites'!$C$9:$C$108,0))="","",INDEX('Sites'!$E$9:$E$108,MATCH(E227,'Sites'!$C$9:$C$108,0))),"")&lt;&gt;W227)),"Site / entity mismatch",IF(N227&lt;'Settings'!$F$8,"Expired",IF(X227&lt;&gt;"Ready","Factor required",IF(OR(G227&lt;&gt;IFERROR(IF(INDEX('Factors'!$D$9:$D$108,MATCH(J227,'Factors'!$C$9:$C$108,0))="","",INDEX('Factors'!$D$9:$D$108,MATCH(J227,'Factors'!$C$9:$C$108,0))),""),I227&lt;&gt;P227,F227&lt;&gt;Q227,K227&lt;&gt;S227,AND(R227&lt;&gt;"Global",R227&lt;&gt;W227),K227&lt;&gt;YEAR(IFERROR(IF(INDEX('Inventory'!$H$9:$H$108,MATCH(D227,'Inventory'!$C$9:$C$108,0))="","",INDEX('Inventory'!$H$9:$H$108,MATCH(D227,'Inventory'!$C$9:$C$108,0))),""))),"Factor / boundary mismatch",IF(AND(F227="S2",IFERROR(IF(INDEX('Factors'!$I$9:$I$108,MATCH(J227,'Factors'!$C$9:$C$108,0))="","",INDEX('Factors'!$I$9:$I$108,MATCH(J227,'Factors'!$C$9:$C$108,0))),"")&lt;&gt;"Location-based"),"Use location factor",IF(M227&lt;&gt;"Actual","Estimation method review","Ready"))))))))))</x:f>
      </x:c>
      <x:c r="W227" s="9" t="str">
        <x:f>IF(C227="","",IFERROR(IF(INDEX('Inventory'!$G$9:$G$108,MATCH(D227,'Inventory'!$C$9:$C$108,0))="","",INDEX('Inventory'!$G$9:$G$108,MATCH(D227,'Inventory'!$C$9:$C$108,0))),""))</x:f>
      </x:c>
      <x:c r="X227" s="9" t="str">
        <x:f>IF(C227="","",IFERROR(IF(INDEX('Factors'!$P$9:$P$108,MATCH(J227,'Factors'!$C$9:$C$108,0))="","",INDEX('Factors'!$P$9:$P$108,MATCH(J227,'Factors'!$C$9:$C$108,0))),""))</x:f>
      </x:c>
    </x:row>
    <x:row r="228" ht="26" customHeight="1">
      <x:c r="A228" s="1"/>
      <x:c r="B228" s="1"/>
      <x:c r="C228" s="8"/>
      <x:c r="D228" s="8"/>
      <x:c r="E228" s="8"/>
      <x:c r="F228" s="8"/>
      <x:c r="G228" s="8"/>
      <x:c r="H228" s="16"/>
      <x:c r="I228" s="8"/>
      <x:c r="J228" s="8"/>
      <x:c r="K228" s="22"/>
      <x:c r="L228" s="8"/>
      <x:c r="M228" s="8"/>
      <x:c r="N228" s="40"/>
      <x:c r="O228" s="41" t="str">
        <x:f>IF(C228="","",IFERROR(IF(INDEX('Factors'!$G$9:$G$108,MATCH(J228,'Factors'!$C$9:$C$108,0))="","",INDEX('Factors'!$G$9:$G$108,MATCH(J228,'Factors'!$C$9:$C$108,0))),""))</x:f>
      </x:c>
      <x:c r="P228" s="9" t="str">
        <x:f>IF(C228="","",IFERROR(IF(INDEX('Factors'!$F$9:$F$108,MATCH(J228,'Factors'!$C$9:$C$108,0))="","",INDEX('Factors'!$F$9:$F$108,MATCH(J228,'Factors'!$C$9:$C$108,0))),""))</x:f>
      </x:c>
      <x:c r="Q228" s="9" t="str">
        <x:f>IF(C228="","",IFERROR(IF(INDEX('Factors'!$H$9:$H$108,MATCH(J228,'Factors'!$C$9:$C$108,0))="","",INDEX('Factors'!$H$9:$H$108,MATCH(J228,'Factors'!$C$9:$C$108,0))),""))</x:f>
      </x:c>
      <x:c r="R228" s="9" t="str">
        <x:f>IF(C228="","",IFERROR(IF(INDEX('Factors'!$E$9:$E$108,MATCH(J228,'Factors'!$C$9:$C$108,0))="","",INDEX('Factors'!$E$9:$E$108,MATCH(J228,'Factors'!$C$9:$C$108,0))),""))</x:f>
      </x:c>
      <x:c r="S228" s="42" t="str">
        <x:f>IF(C228="","",IFERROR(IF(INDEX('Factors'!$J$9:$J$108,MATCH(J228,'Factors'!$C$9:$C$108,0))="","",INDEX('Factors'!$J$9:$J$108,MATCH(J228,'Factors'!$C$9:$C$108,0))),""))</x:f>
      </x:c>
      <x:c r="T228" s="9" t="str">
        <x:f>IF(C228="","",IFERROR(IF(INDEX('Factors'!$L$9:$L$108,MATCH(J228,'Factors'!$C$9:$C$108,0))="","",INDEX('Factors'!$L$9:$L$108,MATCH(J228,'Factors'!$C$9:$C$108,0))),"")&amp;" / "&amp;IFERROR(IF(INDEX('Factors'!$M$9:$M$108,MATCH(J228,'Factors'!$C$9:$C$108,0))="","",INDEX('Factors'!$M$9:$M$108,MATCH(J228,'Factors'!$C$9:$C$108,0))),""))</x:f>
      </x:c>
      <x:c r="U228" s="21" t="str">
        <x:f>IF(V228="Ready",H228*O228/1000,"")</x:f>
      </x:c>
      <x:c r="V228" s="9" t="str">
        <x:f>IF(C228="","",IF(OR(COUNTIFS($C$9:$C$308,C228)&lt;&gt;1,COUNTIFS($D$9:$D$308,D228,$E$9:$E$308,E228,$F$9:$F$308,F228,$G$9:$G$308,G228,$K$9:$K$308,K228)&lt;&gt;1),"Duplicate annual activity",IF(COUNTIFS('Inventory'!$C$9:$C$108,D228)&lt;&gt;1,"Entity required",IF(OR(E228="",L228="",NOT(ISNUMBER(H228)),H228&lt;0,NOT(ISNUMBER(K228)),NOT(ISNUMBER(N228))),"Missing activity input",IF(AND(E228&lt;&gt;D228,OR(COUNTIFS('Sites'!$C$9:$C$108,E228)&lt;&gt;1,IFERROR(IF(INDEX('Sites'!$D$9:$D$108,MATCH(E228,'Sites'!$C$9:$C$108,0))="","",INDEX('Sites'!$D$9:$D$108,MATCH(E228,'Sites'!$C$9:$C$108,0))),"")&lt;&gt;IFERROR(IF(INDEX('Inventory'!$D$9:$D$108,MATCH(D228,'Inventory'!$C$9:$C$108,0))="","",INDEX('Inventory'!$D$9:$D$108,MATCH(D228,'Inventory'!$C$9:$C$108,0))),""),IFERROR(IF(INDEX('Sites'!$E$9:$E$108,MATCH(E228,'Sites'!$C$9:$C$108,0))="","",INDEX('Sites'!$E$9:$E$108,MATCH(E228,'Sites'!$C$9:$C$108,0))),"")&lt;&gt;W228)),"Site / entity mismatch",IF(N228&lt;'Settings'!$F$8,"Expired",IF(X228&lt;&gt;"Ready","Factor required",IF(OR(G228&lt;&gt;IFERROR(IF(INDEX('Factors'!$D$9:$D$108,MATCH(J228,'Factors'!$C$9:$C$108,0))="","",INDEX('Factors'!$D$9:$D$108,MATCH(J228,'Factors'!$C$9:$C$108,0))),""),I228&lt;&gt;P228,F228&lt;&gt;Q228,K228&lt;&gt;S228,AND(R228&lt;&gt;"Global",R228&lt;&gt;W228),K228&lt;&gt;YEAR(IFERROR(IF(INDEX('Inventory'!$H$9:$H$108,MATCH(D228,'Inventory'!$C$9:$C$108,0))="","",INDEX('Inventory'!$H$9:$H$108,MATCH(D228,'Inventory'!$C$9:$C$108,0))),""))),"Factor / boundary mismatch",IF(AND(F228="S2",IFERROR(IF(INDEX('Factors'!$I$9:$I$108,MATCH(J228,'Factors'!$C$9:$C$108,0))="","",INDEX('Factors'!$I$9:$I$108,MATCH(J228,'Factors'!$C$9:$C$108,0))),"")&lt;&gt;"Location-based"),"Use location factor",IF(M228&lt;&gt;"Actual","Estimation method review","Ready"))))))))))</x:f>
      </x:c>
      <x:c r="W228" s="9" t="str">
        <x:f>IF(C228="","",IFERROR(IF(INDEX('Inventory'!$G$9:$G$108,MATCH(D228,'Inventory'!$C$9:$C$108,0))="","",INDEX('Inventory'!$G$9:$G$108,MATCH(D228,'Inventory'!$C$9:$C$108,0))),""))</x:f>
      </x:c>
      <x:c r="X228" s="9" t="str">
        <x:f>IF(C228="","",IFERROR(IF(INDEX('Factors'!$P$9:$P$108,MATCH(J228,'Factors'!$C$9:$C$108,0))="","",INDEX('Factors'!$P$9:$P$108,MATCH(J228,'Factors'!$C$9:$C$108,0))),""))</x:f>
      </x:c>
    </x:row>
    <x:row r="229" ht="26" customHeight="1">
      <x:c r="A229" s="1"/>
      <x:c r="B229" s="1"/>
      <x:c r="C229" s="8"/>
      <x:c r="D229" s="8"/>
      <x:c r="E229" s="8"/>
      <x:c r="F229" s="8"/>
      <x:c r="G229" s="8"/>
      <x:c r="H229" s="16"/>
      <x:c r="I229" s="8"/>
      <x:c r="J229" s="8"/>
      <x:c r="K229" s="22"/>
      <x:c r="L229" s="8"/>
      <x:c r="M229" s="8"/>
      <x:c r="N229" s="40"/>
      <x:c r="O229" s="41" t="str">
        <x:f>IF(C229="","",IFERROR(IF(INDEX('Factors'!$G$9:$G$108,MATCH(J229,'Factors'!$C$9:$C$108,0))="","",INDEX('Factors'!$G$9:$G$108,MATCH(J229,'Factors'!$C$9:$C$108,0))),""))</x:f>
      </x:c>
      <x:c r="P229" s="9" t="str">
        <x:f>IF(C229="","",IFERROR(IF(INDEX('Factors'!$F$9:$F$108,MATCH(J229,'Factors'!$C$9:$C$108,0))="","",INDEX('Factors'!$F$9:$F$108,MATCH(J229,'Factors'!$C$9:$C$108,0))),""))</x:f>
      </x:c>
      <x:c r="Q229" s="9" t="str">
        <x:f>IF(C229="","",IFERROR(IF(INDEX('Factors'!$H$9:$H$108,MATCH(J229,'Factors'!$C$9:$C$108,0))="","",INDEX('Factors'!$H$9:$H$108,MATCH(J229,'Factors'!$C$9:$C$108,0))),""))</x:f>
      </x:c>
      <x:c r="R229" s="9" t="str">
        <x:f>IF(C229="","",IFERROR(IF(INDEX('Factors'!$E$9:$E$108,MATCH(J229,'Factors'!$C$9:$C$108,0))="","",INDEX('Factors'!$E$9:$E$108,MATCH(J229,'Factors'!$C$9:$C$108,0))),""))</x:f>
      </x:c>
      <x:c r="S229" s="42" t="str">
        <x:f>IF(C229="","",IFERROR(IF(INDEX('Factors'!$J$9:$J$108,MATCH(J229,'Factors'!$C$9:$C$108,0))="","",INDEX('Factors'!$J$9:$J$108,MATCH(J229,'Factors'!$C$9:$C$108,0))),""))</x:f>
      </x:c>
      <x:c r="T229" s="9" t="str">
        <x:f>IF(C229="","",IFERROR(IF(INDEX('Factors'!$L$9:$L$108,MATCH(J229,'Factors'!$C$9:$C$108,0))="","",INDEX('Factors'!$L$9:$L$108,MATCH(J229,'Factors'!$C$9:$C$108,0))),"")&amp;" / "&amp;IFERROR(IF(INDEX('Factors'!$M$9:$M$108,MATCH(J229,'Factors'!$C$9:$C$108,0))="","",INDEX('Factors'!$M$9:$M$108,MATCH(J229,'Factors'!$C$9:$C$108,0))),""))</x:f>
      </x:c>
      <x:c r="U229" s="21" t="str">
        <x:f>IF(V229="Ready",H229*O229/1000,"")</x:f>
      </x:c>
      <x:c r="V229" s="9" t="str">
        <x:f>IF(C229="","",IF(OR(COUNTIFS($C$9:$C$308,C229)&lt;&gt;1,COUNTIFS($D$9:$D$308,D229,$E$9:$E$308,E229,$F$9:$F$308,F229,$G$9:$G$308,G229,$K$9:$K$308,K229)&lt;&gt;1),"Duplicate annual activity",IF(COUNTIFS('Inventory'!$C$9:$C$108,D229)&lt;&gt;1,"Entity required",IF(OR(E229="",L229="",NOT(ISNUMBER(H229)),H229&lt;0,NOT(ISNUMBER(K229)),NOT(ISNUMBER(N229))),"Missing activity input",IF(AND(E229&lt;&gt;D229,OR(COUNTIFS('Sites'!$C$9:$C$108,E229)&lt;&gt;1,IFERROR(IF(INDEX('Sites'!$D$9:$D$108,MATCH(E229,'Sites'!$C$9:$C$108,0))="","",INDEX('Sites'!$D$9:$D$108,MATCH(E229,'Sites'!$C$9:$C$108,0))),"")&lt;&gt;IFERROR(IF(INDEX('Inventory'!$D$9:$D$108,MATCH(D229,'Inventory'!$C$9:$C$108,0))="","",INDEX('Inventory'!$D$9:$D$108,MATCH(D229,'Inventory'!$C$9:$C$108,0))),""),IFERROR(IF(INDEX('Sites'!$E$9:$E$108,MATCH(E229,'Sites'!$C$9:$C$108,0))="","",INDEX('Sites'!$E$9:$E$108,MATCH(E229,'Sites'!$C$9:$C$108,0))),"")&lt;&gt;W229)),"Site / entity mismatch",IF(N229&lt;'Settings'!$F$8,"Expired",IF(X229&lt;&gt;"Ready","Factor required",IF(OR(G229&lt;&gt;IFERROR(IF(INDEX('Factors'!$D$9:$D$108,MATCH(J229,'Factors'!$C$9:$C$108,0))="","",INDEX('Factors'!$D$9:$D$108,MATCH(J229,'Factors'!$C$9:$C$108,0))),""),I229&lt;&gt;P229,F229&lt;&gt;Q229,K229&lt;&gt;S229,AND(R229&lt;&gt;"Global",R229&lt;&gt;W229),K229&lt;&gt;YEAR(IFERROR(IF(INDEX('Inventory'!$H$9:$H$108,MATCH(D229,'Inventory'!$C$9:$C$108,0))="","",INDEX('Inventory'!$H$9:$H$108,MATCH(D229,'Inventory'!$C$9:$C$108,0))),""))),"Factor / boundary mismatch",IF(AND(F229="S2",IFERROR(IF(INDEX('Factors'!$I$9:$I$108,MATCH(J229,'Factors'!$C$9:$C$108,0))="","",INDEX('Factors'!$I$9:$I$108,MATCH(J229,'Factors'!$C$9:$C$108,0))),"")&lt;&gt;"Location-based"),"Use location factor",IF(M229&lt;&gt;"Actual","Estimation method review","Ready"))))))))))</x:f>
      </x:c>
      <x:c r="W229" s="9" t="str">
        <x:f>IF(C229="","",IFERROR(IF(INDEX('Inventory'!$G$9:$G$108,MATCH(D229,'Inventory'!$C$9:$C$108,0))="","",INDEX('Inventory'!$G$9:$G$108,MATCH(D229,'Inventory'!$C$9:$C$108,0))),""))</x:f>
      </x:c>
      <x:c r="X229" s="9" t="str">
        <x:f>IF(C229="","",IFERROR(IF(INDEX('Factors'!$P$9:$P$108,MATCH(J229,'Factors'!$C$9:$C$108,0))="","",INDEX('Factors'!$P$9:$P$108,MATCH(J229,'Factors'!$C$9:$C$108,0))),""))</x:f>
      </x:c>
    </x:row>
    <x:row r="230" ht="26" customHeight="1">
      <x:c r="A230" s="1"/>
      <x:c r="B230" s="1"/>
      <x:c r="C230" s="8"/>
      <x:c r="D230" s="8"/>
      <x:c r="E230" s="8"/>
      <x:c r="F230" s="8"/>
      <x:c r="G230" s="8"/>
      <x:c r="H230" s="16"/>
      <x:c r="I230" s="8"/>
      <x:c r="J230" s="8"/>
      <x:c r="K230" s="22"/>
      <x:c r="L230" s="8"/>
      <x:c r="M230" s="8"/>
      <x:c r="N230" s="40"/>
      <x:c r="O230" s="41" t="str">
        <x:f>IF(C230="","",IFERROR(IF(INDEX('Factors'!$G$9:$G$108,MATCH(J230,'Factors'!$C$9:$C$108,0))="","",INDEX('Factors'!$G$9:$G$108,MATCH(J230,'Factors'!$C$9:$C$108,0))),""))</x:f>
      </x:c>
      <x:c r="P230" s="9" t="str">
        <x:f>IF(C230="","",IFERROR(IF(INDEX('Factors'!$F$9:$F$108,MATCH(J230,'Factors'!$C$9:$C$108,0))="","",INDEX('Factors'!$F$9:$F$108,MATCH(J230,'Factors'!$C$9:$C$108,0))),""))</x:f>
      </x:c>
      <x:c r="Q230" s="9" t="str">
        <x:f>IF(C230="","",IFERROR(IF(INDEX('Factors'!$H$9:$H$108,MATCH(J230,'Factors'!$C$9:$C$108,0))="","",INDEX('Factors'!$H$9:$H$108,MATCH(J230,'Factors'!$C$9:$C$108,0))),""))</x:f>
      </x:c>
      <x:c r="R230" s="9" t="str">
        <x:f>IF(C230="","",IFERROR(IF(INDEX('Factors'!$E$9:$E$108,MATCH(J230,'Factors'!$C$9:$C$108,0))="","",INDEX('Factors'!$E$9:$E$108,MATCH(J230,'Factors'!$C$9:$C$108,0))),""))</x:f>
      </x:c>
      <x:c r="S230" s="42" t="str">
        <x:f>IF(C230="","",IFERROR(IF(INDEX('Factors'!$J$9:$J$108,MATCH(J230,'Factors'!$C$9:$C$108,0))="","",INDEX('Factors'!$J$9:$J$108,MATCH(J230,'Factors'!$C$9:$C$108,0))),""))</x:f>
      </x:c>
      <x:c r="T230" s="9" t="str">
        <x:f>IF(C230="","",IFERROR(IF(INDEX('Factors'!$L$9:$L$108,MATCH(J230,'Factors'!$C$9:$C$108,0))="","",INDEX('Factors'!$L$9:$L$108,MATCH(J230,'Factors'!$C$9:$C$108,0))),"")&amp;" / "&amp;IFERROR(IF(INDEX('Factors'!$M$9:$M$108,MATCH(J230,'Factors'!$C$9:$C$108,0))="","",INDEX('Factors'!$M$9:$M$108,MATCH(J230,'Factors'!$C$9:$C$108,0))),""))</x:f>
      </x:c>
      <x:c r="U230" s="21" t="str">
        <x:f>IF(V230="Ready",H230*O230/1000,"")</x:f>
      </x:c>
      <x:c r="V230" s="9" t="str">
        <x:f>IF(C230="","",IF(OR(COUNTIFS($C$9:$C$308,C230)&lt;&gt;1,COUNTIFS($D$9:$D$308,D230,$E$9:$E$308,E230,$F$9:$F$308,F230,$G$9:$G$308,G230,$K$9:$K$308,K230)&lt;&gt;1),"Duplicate annual activity",IF(COUNTIFS('Inventory'!$C$9:$C$108,D230)&lt;&gt;1,"Entity required",IF(OR(E230="",L230="",NOT(ISNUMBER(H230)),H230&lt;0,NOT(ISNUMBER(K230)),NOT(ISNUMBER(N230))),"Missing activity input",IF(AND(E230&lt;&gt;D230,OR(COUNTIFS('Sites'!$C$9:$C$108,E230)&lt;&gt;1,IFERROR(IF(INDEX('Sites'!$D$9:$D$108,MATCH(E230,'Sites'!$C$9:$C$108,0))="","",INDEX('Sites'!$D$9:$D$108,MATCH(E230,'Sites'!$C$9:$C$108,0))),"")&lt;&gt;IFERROR(IF(INDEX('Inventory'!$D$9:$D$108,MATCH(D230,'Inventory'!$C$9:$C$108,0))="","",INDEX('Inventory'!$D$9:$D$108,MATCH(D230,'Inventory'!$C$9:$C$108,0))),""),IFERROR(IF(INDEX('Sites'!$E$9:$E$108,MATCH(E230,'Sites'!$C$9:$C$108,0))="","",INDEX('Sites'!$E$9:$E$108,MATCH(E230,'Sites'!$C$9:$C$108,0))),"")&lt;&gt;W230)),"Site / entity mismatch",IF(N230&lt;'Settings'!$F$8,"Expired",IF(X230&lt;&gt;"Ready","Factor required",IF(OR(G230&lt;&gt;IFERROR(IF(INDEX('Factors'!$D$9:$D$108,MATCH(J230,'Factors'!$C$9:$C$108,0))="","",INDEX('Factors'!$D$9:$D$108,MATCH(J230,'Factors'!$C$9:$C$108,0))),""),I230&lt;&gt;P230,F230&lt;&gt;Q230,K230&lt;&gt;S230,AND(R230&lt;&gt;"Global",R230&lt;&gt;W230),K230&lt;&gt;YEAR(IFERROR(IF(INDEX('Inventory'!$H$9:$H$108,MATCH(D230,'Inventory'!$C$9:$C$108,0))="","",INDEX('Inventory'!$H$9:$H$108,MATCH(D230,'Inventory'!$C$9:$C$108,0))),""))),"Factor / boundary mismatch",IF(AND(F230="S2",IFERROR(IF(INDEX('Factors'!$I$9:$I$108,MATCH(J230,'Factors'!$C$9:$C$108,0))="","",INDEX('Factors'!$I$9:$I$108,MATCH(J230,'Factors'!$C$9:$C$108,0))),"")&lt;&gt;"Location-based"),"Use location factor",IF(M230&lt;&gt;"Actual","Estimation method review","Ready"))))))))))</x:f>
      </x:c>
      <x:c r="W230" s="9" t="str">
        <x:f>IF(C230="","",IFERROR(IF(INDEX('Inventory'!$G$9:$G$108,MATCH(D230,'Inventory'!$C$9:$C$108,0))="","",INDEX('Inventory'!$G$9:$G$108,MATCH(D230,'Inventory'!$C$9:$C$108,0))),""))</x:f>
      </x:c>
      <x:c r="X230" s="9" t="str">
        <x:f>IF(C230="","",IFERROR(IF(INDEX('Factors'!$P$9:$P$108,MATCH(J230,'Factors'!$C$9:$C$108,0))="","",INDEX('Factors'!$P$9:$P$108,MATCH(J230,'Factors'!$C$9:$C$108,0))),""))</x:f>
      </x:c>
    </x:row>
    <x:row r="231" ht="26" customHeight="1">
      <x:c r="A231" s="1"/>
      <x:c r="B231" s="1"/>
      <x:c r="C231" s="8"/>
      <x:c r="D231" s="8"/>
      <x:c r="E231" s="8"/>
      <x:c r="F231" s="8"/>
      <x:c r="G231" s="8"/>
      <x:c r="H231" s="16"/>
      <x:c r="I231" s="8"/>
      <x:c r="J231" s="8"/>
      <x:c r="K231" s="22"/>
      <x:c r="L231" s="8"/>
      <x:c r="M231" s="8"/>
      <x:c r="N231" s="40"/>
      <x:c r="O231" s="41" t="str">
        <x:f>IF(C231="","",IFERROR(IF(INDEX('Factors'!$G$9:$G$108,MATCH(J231,'Factors'!$C$9:$C$108,0))="","",INDEX('Factors'!$G$9:$G$108,MATCH(J231,'Factors'!$C$9:$C$108,0))),""))</x:f>
      </x:c>
      <x:c r="P231" s="9" t="str">
        <x:f>IF(C231="","",IFERROR(IF(INDEX('Factors'!$F$9:$F$108,MATCH(J231,'Factors'!$C$9:$C$108,0))="","",INDEX('Factors'!$F$9:$F$108,MATCH(J231,'Factors'!$C$9:$C$108,0))),""))</x:f>
      </x:c>
      <x:c r="Q231" s="9" t="str">
        <x:f>IF(C231="","",IFERROR(IF(INDEX('Factors'!$H$9:$H$108,MATCH(J231,'Factors'!$C$9:$C$108,0))="","",INDEX('Factors'!$H$9:$H$108,MATCH(J231,'Factors'!$C$9:$C$108,0))),""))</x:f>
      </x:c>
      <x:c r="R231" s="9" t="str">
        <x:f>IF(C231="","",IFERROR(IF(INDEX('Factors'!$E$9:$E$108,MATCH(J231,'Factors'!$C$9:$C$108,0))="","",INDEX('Factors'!$E$9:$E$108,MATCH(J231,'Factors'!$C$9:$C$108,0))),""))</x:f>
      </x:c>
      <x:c r="S231" s="42" t="str">
        <x:f>IF(C231="","",IFERROR(IF(INDEX('Factors'!$J$9:$J$108,MATCH(J231,'Factors'!$C$9:$C$108,0))="","",INDEX('Factors'!$J$9:$J$108,MATCH(J231,'Factors'!$C$9:$C$108,0))),""))</x:f>
      </x:c>
      <x:c r="T231" s="9" t="str">
        <x:f>IF(C231="","",IFERROR(IF(INDEX('Factors'!$L$9:$L$108,MATCH(J231,'Factors'!$C$9:$C$108,0))="","",INDEX('Factors'!$L$9:$L$108,MATCH(J231,'Factors'!$C$9:$C$108,0))),"")&amp;" / "&amp;IFERROR(IF(INDEX('Factors'!$M$9:$M$108,MATCH(J231,'Factors'!$C$9:$C$108,0))="","",INDEX('Factors'!$M$9:$M$108,MATCH(J231,'Factors'!$C$9:$C$108,0))),""))</x:f>
      </x:c>
      <x:c r="U231" s="21" t="str">
        <x:f>IF(V231="Ready",H231*O231/1000,"")</x:f>
      </x:c>
      <x:c r="V231" s="9" t="str">
        <x:f>IF(C231="","",IF(OR(COUNTIFS($C$9:$C$308,C231)&lt;&gt;1,COUNTIFS($D$9:$D$308,D231,$E$9:$E$308,E231,$F$9:$F$308,F231,$G$9:$G$308,G231,$K$9:$K$308,K231)&lt;&gt;1),"Duplicate annual activity",IF(COUNTIFS('Inventory'!$C$9:$C$108,D231)&lt;&gt;1,"Entity required",IF(OR(E231="",L231="",NOT(ISNUMBER(H231)),H231&lt;0,NOT(ISNUMBER(K231)),NOT(ISNUMBER(N231))),"Missing activity input",IF(AND(E231&lt;&gt;D231,OR(COUNTIFS('Sites'!$C$9:$C$108,E231)&lt;&gt;1,IFERROR(IF(INDEX('Sites'!$D$9:$D$108,MATCH(E231,'Sites'!$C$9:$C$108,0))="","",INDEX('Sites'!$D$9:$D$108,MATCH(E231,'Sites'!$C$9:$C$108,0))),"")&lt;&gt;IFERROR(IF(INDEX('Inventory'!$D$9:$D$108,MATCH(D231,'Inventory'!$C$9:$C$108,0))="","",INDEX('Inventory'!$D$9:$D$108,MATCH(D231,'Inventory'!$C$9:$C$108,0))),""),IFERROR(IF(INDEX('Sites'!$E$9:$E$108,MATCH(E231,'Sites'!$C$9:$C$108,0))="","",INDEX('Sites'!$E$9:$E$108,MATCH(E231,'Sites'!$C$9:$C$108,0))),"")&lt;&gt;W231)),"Site / entity mismatch",IF(N231&lt;'Settings'!$F$8,"Expired",IF(X231&lt;&gt;"Ready","Factor required",IF(OR(G231&lt;&gt;IFERROR(IF(INDEX('Factors'!$D$9:$D$108,MATCH(J231,'Factors'!$C$9:$C$108,0))="","",INDEX('Factors'!$D$9:$D$108,MATCH(J231,'Factors'!$C$9:$C$108,0))),""),I231&lt;&gt;P231,F231&lt;&gt;Q231,K231&lt;&gt;S231,AND(R231&lt;&gt;"Global",R231&lt;&gt;W231),K231&lt;&gt;YEAR(IFERROR(IF(INDEX('Inventory'!$H$9:$H$108,MATCH(D231,'Inventory'!$C$9:$C$108,0))="","",INDEX('Inventory'!$H$9:$H$108,MATCH(D231,'Inventory'!$C$9:$C$108,0))),""))),"Factor / boundary mismatch",IF(AND(F231="S2",IFERROR(IF(INDEX('Factors'!$I$9:$I$108,MATCH(J231,'Factors'!$C$9:$C$108,0))="","",INDEX('Factors'!$I$9:$I$108,MATCH(J231,'Factors'!$C$9:$C$108,0))),"")&lt;&gt;"Location-based"),"Use location factor",IF(M231&lt;&gt;"Actual","Estimation method review","Ready"))))))))))</x:f>
      </x:c>
      <x:c r="W231" s="9" t="str">
        <x:f>IF(C231="","",IFERROR(IF(INDEX('Inventory'!$G$9:$G$108,MATCH(D231,'Inventory'!$C$9:$C$108,0))="","",INDEX('Inventory'!$G$9:$G$108,MATCH(D231,'Inventory'!$C$9:$C$108,0))),""))</x:f>
      </x:c>
      <x:c r="X231" s="9" t="str">
        <x:f>IF(C231="","",IFERROR(IF(INDEX('Factors'!$P$9:$P$108,MATCH(J231,'Factors'!$C$9:$C$108,0))="","",INDEX('Factors'!$P$9:$P$108,MATCH(J231,'Factors'!$C$9:$C$108,0))),""))</x:f>
      </x:c>
    </x:row>
    <x:row r="232" ht="26" customHeight="1">
      <x:c r="A232" s="1"/>
      <x:c r="B232" s="1"/>
      <x:c r="C232" s="8"/>
      <x:c r="D232" s="8"/>
      <x:c r="E232" s="8"/>
      <x:c r="F232" s="8"/>
      <x:c r="G232" s="8"/>
      <x:c r="H232" s="16"/>
      <x:c r="I232" s="8"/>
      <x:c r="J232" s="8"/>
      <x:c r="K232" s="22"/>
      <x:c r="L232" s="8"/>
      <x:c r="M232" s="8"/>
      <x:c r="N232" s="40"/>
      <x:c r="O232" s="41" t="str">
        <x:f>IF(C232="","",IFERROR(IF(INDEX('Factors'!$G$9:$G$108,MATCH(J232,'Factors'!$C$9:$C$108,0))="","",INDEX('Factors'!$G$9:$G$108,MATCH(J232,'Factors'!$C$9:$C$108,0))),""))</x:f>
      </x:c>
      <x:c r="P232" s="9" t="str">
        <x:f>IF(C232="","",IFERROR(IF(INDEX('Factors'!$F$9:$F$108,MATCH(J232,'Factors'!$C$9:$C$108,0))="","",INDEX('Factors'!$F$9:$F$108,MATCH(J232,'Factors'!$C$9:$C$108,0))),""))</x:f>
      </x:c>
      <x:c r="Q232" s="9" t="str">
        <x:f>IF(C232="","",IFERROR(IF(INDEX('Factors'!$H$9:$H$108,MATCH(J232,'Factors'!$C$9:$C$108,0))="","",INDEX('Factors'!$H$9:$H$108,MATCH(J232,'Factors'!$C$9:$C$108,0))),""))</x:f>
      </x:c>
      <x:c r="R232" s="9" t="str">
        <x:f>IF(C232="","",IFERROR(IF(INDEX('Factors'!$E$9:$E$108,MATCH(J232,'Factors'!$C$9:$C$108,0))="","",INDEX('Factors'!$E$9:$E$108,MATCH(J232,'Factors'!$C$9:$C$108,0))),""))</x:f>
      </x:c>
      <x:c r="S232" s="42" t="str">
        <x:f>IF(C232="","",IFERROR(IF(INDEX('Factors'!$J$9:$J$108,MATCH(J232,'Factors'!$C$9:$C$108,0))="","",INDEX('Factors'!$J$9:$J$108,MATCH(J232,'Factors'!$C$9:$C$108,0))),""))</x:f>
      </x:c>
      <x:c r="T232" s="9" t="str">
        <x:f>IF(C232="","",IFERROR(IF(INDEX('Factors'!$L$9:$L$108,MATCH(J232,'Factors'!$C$9:$C$108,0))="","",INDEX('Factors'!$L$9:$L$108,MATCH(J232,'Factors'!$C$9:$C$108,0))),"")&amp;" / "&amp;IFERROR(IF(INDEX('Factors'!$M$9:$M$108,MATCH(J232,'Factors'!$C$9:$C$108,0))="","",INDEX('Factors'!$M$9:$M$108,MATCH(J232,'Factors'!$C$9:$C$108,0))),""))</x:f>
      </x:c>
      <x:c r="U232" s="21" t="str">
        <x:f>IF(V232="Ready",H232*O232/1000,"")</x:f>
      </x:c>
      <x:c r="V232" s="9" t="str">
        <x:f>IF(C232="","",IF(OR(COUNTIFS($C$9:$C$308,C232)&lt;&gt;1,COUNTIFS($D$9:$D$308,D232,$E$9:$E$308,E232,$F$9:$F$308,F232,$G$9:$G$308,G232,$K$9:$K$308,K232)&lt;&gt;1),"Duplicate annual activity",IF(COUNTIFS('Inventory'!$C$9:$C$108,D232)&lt;&gt;1,"Entity required",IF(OR(E232="",L232="",NOT(ISNUMBER(H232)),H232&lt;0,NOT(ISNUMBER(K232)),NOT(ISNUMBER(N232))),"Missing activity input",IF(AND(E232&lt;&gt;D232,OR(COUNTIFS('Sites'!$C$9:$C$108,E232)&lt;&gt;1,IFERROR(IF(INDEX('Sites'!$D$9:$D$108,MATCH(E232,'Sites'!$C$9:$C$108,0))="","",INDEX('Sites'!$D$9:$D$108,MATCH(E232,'Sites'!$C$9:$C$108,0))),"")&lt;&gt;IFERROR(IF(INDEX('Inventory'!$D$9:$D$108,MATCH(D232,'Inventory'!$C$9:$C$108,0))="","",INDEX('Inventory'!$D$9:$D$108,MATCH(D232,'Inventory'!$C$9:$C$108,0))),""),IFERROR(IF(INDEX('Sites'!$E$9:$E$108,MATCH(E232,'Sites'!$C$9:$C$108,0))="","",INDEX('Sites'!$E$9:$E$108,MATCH(E232,'Sites'!$C$9:$C$108,0))),"")&lt;&gt;W232)),"Site / entity mismatch",IF(N232&lt;'Settings'!$F$8,"Expired",IF(X232&lt;&gt;"Ready","Factor required",IF(OR(G232&lt;&gt;IFERROR(IF(INDEX('Factors'!$D$9:$D$108,MATCH(J232,'Factors'!$C$9:$C$108,0))="","",INDEX('Factors'!$D$9:$D$108,MATCH(J232,'Factors'!$C$9:$C$108,0))),""),I232&lt;&gt;P232,F232&lt;&gt;Q232,K232&lt;&gt;S232,AND(R232&lt;&gt;"Global",R232&lt;&gt;W232),K232&lt;&gt;YEAR(IFERROR(IF(INDEX('Inventory'!$H$9:$H$108,MATCH(D232,'Inventory'!$C$9:$C$108,0))="","",INDEX('Inventory'!$H$9:$H$108,MATCH(D232,'Inventory'!$C$9:$C$108,0))),""))),"Factor / boundary mismatch",IF(AND(F232="S2",IFERROR(IF(INDEX('Factors'!$I$9:$I$108,MATCH(J232,'Factors'!$C$9:$C$108,0))="","",INDEX('Factors'!$I$9:$I$108,MATCH(J232,'Factors'!$C$9:$C$108,0))),"")&lt;&gt;"Location-based"),"Use location factor",IF(M232&lt;&gt;"Actual","Estimation method review","Ready"))))))))))</x:f>
      </x:c>
      <x:c r="W232" s="9" t="str">
        <x:f>IF(C232="","",IFERROR(IF(INDEX('Inventory'!$G$9:$G$108,MATCH(D232,'Inventory'!$C$9:$C$108,0))="","",INDEX('Inventory'!$G$9:$G$108,MATCH(D232,'Inventory'!$C$9:$C$108,0))),""))</x:f>
      </x:c>
      <x:c r="X232" s="9" t="str">
        <x:f>IF(C232="","",IFERROR(IF(INDEX('Factors'!$P$9:$P$108,MATCH(J232,'Factors'!$C$9:$C$108,0))="","",INDEX('Factors'!$P$9:$P$108,MATCH(J232,'Factors'!$C$9:$C$108,0))),""))</x:f>
      </x:c>
    </x:row>
    <x:row r="233" ht="26" customHeight="1">
      <x:c r="A233" s="1"/>
      <x:c r="B233" s="1"/>
      <x:c r="C233" s="8"/>
      <x:c r="D233" s="8"/>
      <x:c r="E233" s="8"/>
      <x:c r="F233" s="8"/>
      <x:c r="G233" s="8"/>
      <x:c r="H233" s="16"/>
      <x:c r="I233" s="8"/>
      <x:c r="J233" s="8"/>
      <x:c r="K233" s="22"/>
      <x:c r="L233" s="8"/>
      <x:c r="M233" s="8"/>
      <x:c r="N233" s="40"/>
      <x:c r="O233" s="41" t="str">
        <x:f>IF(C233="","",IFERROR(IF(INDEX('Factors'!$G$9:$G$108,MATCH(J233,'Factors'!$C$9:$C$108,0))="","",INDEX('Factors'!$G$9:$G$108,MATCH(J233,'Factors'!$C$9:$C$108,0))),""))</x:f>
      </x:c>
      <x:c r="P233" s="9" t="str">
        <x:f>IF(C233="","",IFERROR(IF(INDEX('Factors'!$F$9:$F$108,MATCH(J233,'Factors'!$C$9:$C$108,0))="","",INDEX('Factors'!$F$9:$F$108,MATCH(J233,'Factors'!$C$9:$C$108,0))),""))</x:f>
      </x:c>
      <x:c r="Q233" s="9" t="str">
        <x:f>IF(C233="","",IFERROR(IF(INDEX('Factors'!$H$9:$H$108,MATCH(J233,'Factors'!$C$9:$C$108,0))="","",INDEX('Factors'!$H$9:$H$108,MATCH(J233,'Factors'!$C$9:$C$108,0))),""))</x:f>
      </x:c>
      <x:c r="R233" s="9" t="str">
        <x:f>IF(C233="","",IFERROR(IF(INDEX('Factors'!$E$9:$E$108,MATCH(J233,'Factors'!$C$9:$C$108,0))="","",INDEX('Factors'!$E$9:$E$108,MATCH(J233,'Factors'!$C$9:$C$108,0))),""))</x:f>
      </x:c>
      <x:c r="S233" s="42" t="str">
        <x:f>IF(C233="","",IFERROR(IF(INDEX('Factors'!$J$9:$J$108,MATCH(J233,'Factors'!$C$9:$C$108,0))="","",INDEX('Factors'!$J$9:$J$108,MATCH(J233,'Factors'!$C$9:$C$108,0))),""))</x:f>
      </x:c>
      <x:c r="T233" s="9" t="str">
        <x:f>IF(C233="","",IFERROR(IF(INDEX('Factors'!$L$9:$L$108,MATCH(J233,'Factors'!$C$9:$C$108,0))="","",INDEX('Factors'!$L$9:$L$108,MATCH(J233,'Factors'!$C$9:$C$108,0))),"")&amp;" / "&amp;IFERROR(IF(INDEX('Factors'!$M$9:$M$108,MATCH(J233,'Factors'!$C$9:$C$108,0))="","",INDEX('Factors'!$M$9:$M$108,MATCH(J233,'Factors'!$C$9:$C$108,0))),""))</x:f>
      </x:c>
      <x:c r="U233" s="21" t="str">
        <x:f>IF(V233="Ready",H233*O233/1000,"")</x:f>
      </x:c>
      <x:c r="V233" s="9" t="str">
        <x:f>IF(C233="","",IF(OR(COUNTIFS($C$9:$C$308,C233)&lt;&gt;1,COUNTIFS($D$9:$D$308,D233,$E$9:$E$308,E233,$F$9:$F$308,F233,$G$9:$G$308,G233,$K$9:$K$308,K233)&lt;&gt;1),"Duplicate annual activity",IF(COUNTIFS('Inventory'!$C$9:$C$108,D233)&lt;&gt;1,"Entity required",IF(OR(E233="",L233="",NOT(ISNUMBER(H233)),H233&lt;0,NOT(ISNUMBER(K233)),NOT(ISNUMBER(N233))),"Missing activity input",IF(AND(E233&lt;&gt;D233,OR(COUNTIFS('Sites'!$C$9:$C$108,E233)&lt;&gt;1,IFERROR(IF(INDEX('Sites'!$D$9:$D$108,MATCH(E233,'Sites'!$C$9:$C$108,0))="","",INDEX('Sites'!$D$9:$D$108,MATCH(E233,'Sites'!$C$9:$C$108,0))),"")&lt;&gt;IFERROR(IF(INDEX('Inventory'!$D$9:$D$108,MATCH(D233,'Inventory'!$C$9:$C$108,0))="","",INDEX('Inventory'!$D$9:$D$108,MATCH(D233,'Inventory'!$C$9:$C$108,0))),""),IFERROR(IF(INDEX('Sites'!$E$9:$E$108,MATCH(E233,'Sites'!$C$9:$C$108,0))="","",INDEX('Sites'!$E$9:$E$108,MATCH(E233,'Sites'!$C$9:$C$108,0))),"")&lt;&gt;W233)),"Site / entity mismatch",IF(N233&lt;'Settings'!$F$8,"Expired",IF(X233&lt;&gt;"Ready","Factor required",IF(OR(G233&lt;&gt;IFERROR(IF(INDEX('Factors'!$D$9:$D$108,MATCH(J233,'Factors'!$C$9:$C$108,0))="","",INDEX('Factors'!$D$9:$D$108,MATCH(J233,'Factors'!$C$9:$C$108,0))),""),I233&lt;&gt;P233,F233&lt;&gt;Q233,K233&lt;&gt;S233,AND(R233&lt;&gt;"Global",R233&lt;&gt;W233),K233&lt;&gt;YEAR(IFERROR(IF(INDEX('Inventory'!$H$9:$H$108,MATCH(D233,'Inventory'!$C$9:$C$108,0))="","",INDEX('Inventory'!$H$9:$H$108,MATCH(D233,'Inventory'!$C$9:$C$108,0))),""))),"Factor / boundary mismatch",IF(AND(F233="S2",IFERROR(IF(INDEX('Factors'!$I$9:$I$108,MATCH(J233,'Factors'!$C$9:$C$108,0))="","",INDEX('Factors'!$I$9:$I$108,MATCH(J233,'Factors'!$C$9:$C$108,0))),"")&lt;&gt;"Location-based"),"Use location factor",IF(M233&lt;&gt;"Actual","Estimation method review","Ready"))))))))))</x:f>
      </x:c>
      <x:c r="W233" s="9" t="str">
        <x:f>IF(C233="","",IFERROR(IF(INDEX('Inventory'!$G$9:$G$108,MATCH(D233,'Inventory'!$C$9:$C$108,0))="","",INDEX('Inventory'!$G$9:$G$108,MATCH(D233,'Inventory'!$C$9:$C$108,0))),""))</x:f>
      </x:c>
      <x:c r="X233" s="9" t="str">
        <x:f>IF(C233="","",IFERROR(IF(INDEX('Factors'!$P$9:$P$108,MATCH(J233,'Factors'!$C$9:$C$108,0))="","",INDEX('Factors'!$P$9:$P$108,MATCH(J233,'Factors'!$C$9:$C$108,0))),""))</x:f>
      </x:c>
    </x:row>
    <x:row r="234" ht="26" customHeight="1">
      <x:c r="A234" s="1"/>
      <x:c r="B234" s="1"/>
      <x:c r="C234" s="8"/>
      <x:c r="D234" s="8"/>
      <x:c r="E234" s="8"/>
      <x:c r="F234" s="8"/>
      <x:c r="G234" s="8"/>
      <x:c r="H234" s="16"/>
      <x:c r="I234" s="8"/>
      <x:c r="J234" s="8"/>
      <x:c r="K234" s="22"/>
      <x:c r="L234" s="8"/>
      <x:c r="M234" s="8"/>
      <x:c r="N234" s="40"/>
      <x:c r="O234" s="41" t="str">
        <x:f>IF(C234="","",IFERROR(IF(INDEX('Factors'!$G$9:$G$108,MATCH(J234,'Factors'!$C$9:$C$108,0))="","",INDEX('Factors'!$G$9:$G$108,MATCH(J234,'Factors'!$C$9:$C$108,0))),""))</x:f>
      </x:c>
      <x:c r="P234" s="9" t="str">
        <x:f>IF(C234="","",IFERROR(IF(INDEX('Factors'!$F$9:$F$108,MATCH(J234,'Factors'!$C$9:$C$108,0))="","",INDEX('Factors'!$F$9:$F$108,MATCH(J234,'Factors'!$C$9:$C$108,0))),""))</x:f>
      </x:c>
      <x:c r="Q234" s="9" t="str">
        <x:f>IF(C234="","",IFERROR(IF(INDEX('Factors'!$H$9:$H$108,MATCH(J234,'Factors'!$C$9:$C$108,0))="","",INDEX('Factors'!$H$9:$H$108,MATCH(J234,'Factors'!$C$9:$C$108,0))),""))</x:f>
      </x:c>
      <x:c r="R234" s="9" t="str">
        <x:f>IF(C234="","",IFERROR(IF(INDEX('Factors'!$E$9:$E$108,MATCH(J234,'Factors'!$C$9:$C$108,0))="","",INDEX('Factors'!$E$9:$E$108,MATCH(J234,'Factors'!$C$9:$C$108,0))),""))</x:f>
      </x:c>
      <x:c r="S234" s="42" t="str">
        <x:f>IF(C234="","",IFERROR(IF(INDEX('Factors'!$J$9:$J$108,MATCH(J234,'Factors'!$C$9:$C$108,0))="","",INDEX('Factors'!$J$9:$J$108,MATCH(J234,'Factors'!$C$9:$C$108,0))),""))</x:f>
      </x:c>
      <x:c r="T234" s="9" t="str">
        <x:f>IF(C234="","",IFERROR(IF(INDEX('Factors'!$L$9:$L$108,MATCH(J234,'Factors'!$C$9:$C$108,0))="","",INDEX('Factors'!$L$9:$L$108,MATCH(J234,'Factors'!$C$9:$C$108,0))),"")&amp;" / "&amp;IFERROR(IF(INDEX('Factors'!$M$9:$M$108,MATCH(J234,'Factors'!$C$9:$C$108,0))="","",INDEX('Factors'!$M$9:$M$108,MATCH(J234,'Factors'!$C$9:$C$108,0))),""))</x:f>
      </x:c>
      <x:c r="U234" s="21" t="str">
        <x:f>IF(V234="Ready",H234*O234/1000,"")</x:f>
      </x:c>
      <x:c r="V234" s="9" t="str">
        <x:f>IF(C234="","",IF(OR(COUNTIFS($C$9:$C$308,C234)&lt;&gt;1,COUNTIFS($D$9:$D$308,D234,$E$9:$E$308,E234,$F$9:$F$308,F234,$G$9:$G$308,G234,$K$9:$K$308,K234)&lt;&gt;1),"Duplicate annual activity",IF(COUNTIFS('Inventory'!$C$9:$C$108,D234)&lt;&gt;1,"Entity required",IF(OR(E234="",L234="",NOT(ISNUMBER(H234)),H234&lt;0,NOT(ISNUMBER(K234)),NOT(ISNUMBER(N234))),"Missing activity input",IF(AND(E234&lt;&gt;D234,OR(COUNTIFS('Sites'!$C$9:$C$108,E234)&lt;&gt;1,IFERROR(IF(INDEX('Sites'!$D$9:$D$108,MATCH(E234,'Sites'!$C$9:$C$108,0))="","",INDEX('Sites'!$D$9:$D$108,MATCH(E234,'Sites'!$C$9:$C$108,0))),"")&lt;&gt;IFERROR(IF(INDEX('Inventory'!$D$9:$D$108,MATCH(D234,'Inventory'!$C$9:$C$108,0))="","",INDEX('Inventory'!$D$9:$D$108,MATCH(D234,'Inventory'!$C$9:$C$108,0))),""),IFERROR(IF(INDEX('Sites'!$E$9:$E$108,MATCH(E234,'Sites'!$C$9:$C$108,0))="","",INDEX('Sites'!$E$9:$E$108,MATCH(E234,'Sites'!$C$9:$C$108,0))),"")&lt;&gt;W234)),"Site / entity mismatch",IF(N234&lt;'Settings'!$F$8,"Expired",IF(X234&lt;&gt;"Ready","Factor required",IF(OR(G234&lt;&gt;IFERROR(IF(INDEX('Factors'!$D$9:$D$108,MATCH(J234,'Factors'!$C$9:$C$108,0))="","",INDEX('Factors'!$D$9:$D$108,MATCH(J234,'Factors'!$C$9:$C$108,0))),""),I234&lt;&gt;P234,F234&lt;&gt;Q234,K234&lt;&gt;S234,AND(R234&lt;&gt;"Global",R234&lt;&gt;W234),K234&lt;&gt;YEAR(IFERROR(IF(INDEX('Inventory'!$H$9:$H$108,MATCH(D234,'Inventory'!$C$9:$C$108,0))="","",INDEX('Inventory'!$H$9:$H$108,MATCH(D234,'Inventory'!$C$9:$C$108,0))),""))),"Factor / boundary mismatch",IF(AND(F234="S2",IFERROR(IF(INDEX('Factors'!$I$9:$I$108,MATCH(J234,'Factors'!$C$9:$C$108,0))="","",INDEX('Factors'!$I$9:$I$108,MATCH(J234,'Factors'!$C$9:$C$108,0))),"")&lt;&gt;"Location-based"),"Use location factor",IF(M234&lt;&gt;"Actual","Estimation method review","Ready"))))))))))</x:f>
      </x:c>
      <x:c r="W234" s="9" t="str">
        <x:f>IF(C234="","",IFERROR(IF(INDEX('Inventory'!$G$9:$G$108,MATCH(D234,'Inventory'!$C$9:$C$108,0))="","",INDEX('Inventory'!$G$9:$G$108,MATCH(D234,'Inventory'!$C$9:$C$108,0))),""))</x:f>
      </x:c>
      <x:c r="X234" s="9" t="str">
        <x:f>IF(C234="","",IFERROR(IF(INDEX('Factors'!$P$9:$P$108,MATCH(J234,'Factors'!$C$9:$C$108,0))="","",INDEX('Factors'!$P$9:$P$108,MATCH(J234,'Factors'!$C$9:$C$108,0))),""))</x:f>
      </x:c>
    </x:row>
    <x:row r="235" ht="26" customHeight="1">
      <x:c r="A235" s="1"/>
      <x:c r="B235" s="1"/>
      <x:c r="C235" s="8"/>
      <x:c r="D235" s="8"/>
      <x:c r="E235" s="8"/>
      <x:c r="F235" s="8"/>
      <x:c r="G235" s="8"/>
      <x:c r="H235" s="16"/>
      <x:c r="I235" s="8"/>
      <x:c r="J235" s="8"/>
      <x:c r="K235" s="22"/>
      <x:c r="L235" s="8"/>
      <x:c r="M235" s="8"/>
      <x:c r="N235" s="40"/>
      <x:c r="O235" s="41" t="str">
        <x:f>IF(C235="","",IFERROR(IF(INDEX('Factors'!$G$9:$G$108,MATCH(J235,'Factors'!$C$9:$C$108,0))="","",INDEX('Factors'!$G$9:$G$108,MATCH(J235,'Factors'!$C$9:$C$108,0))),""))</x:f>
      </x:c>
      <x:c r="P235" s="9" t="str">
        <x:f>IF(C235="","",IFERROR(IF(INDEX('Factors'!$F$9:$F$108,MATCH(J235,'Factors'!$C$9:$C$108,0))="","",INDEX('Factors'!$F$9:$F$108,MATCH(J235,'Factors'!$C$9:$C$108,0))),""))</x:f>
      </x:c>
      <x:c r="Q235" s="9" t="str">
        <x:f>IF(C235="","",IFERROR(IF(INDEX('Factors'!$H$9:$H$108,MATCH(J235,'Factors'!$C$9:$C$108,0))="","",INDEX('Factors'!$H$9:$H$108,MATCH(J235,'Factors'!$C$9:$C$108,0))),""))</x:f>
      </x:c>
      <x:c r="R235" s="9" t="str">
        <x:f>IF(C235="","",IFERROR(IF(INDEX('Factors'!$E$9:$E$108,MATCH(J235,'Factors'!$C$9:$C$108,0))="","",INDEX('Factors'!$E$9:$E$108,MATCH(J235,'Factors'!$C$9:$C$108,0))),""))</x:f>
      </x:c>
      <x:c r="S235" s="42" t="str">
        <x:f>IF(C235="","",IFERROR(IF(INDEX('Factors'!$J$9:$J$108,MATCH(J235,'Factors'!$C$9:$C$108,0))="","",INDEX('Factors'!$J$9:$J$108,MATCH(J235,'Factors'!$C$9:$C$108,0))),""))</x:f>
      </x:c>
      <x:c r="T235" s="9" t="str">
        <x:f>IF(C235="","",IFERROR(IF(INDEX('Factors'!$L$9:$L$108,MATCH(J235,'Factors'!$C$9:$C$108,0))="","",INDEX('Factors'!$L$9:$L$108,MATCH(J235,'Factors'!$C$9:$C$108,0))),"")&amp;" / "&amp;IFERROR(IF(INDEX('Factors'!$M$9:$M$108,MATCH(J235,'Factors'!$C$9:$C$108,0))="","",INDEX('Factors'!$M$9:$M$108,MATCH(J235,'Factors'!$C$9:$C$108,0))),""))</x:f>
      </x:c>
      <x:c r="U235" s="21" t="str">
        <x:f>IF(V235="Ready",H235*O235/1000,"")</x:f>
      </x:c>
      <x:c r="V235" s="9" t="str">
        <x:f>IF(C235="","",IF(OR(COUNTIFS($C$9:$C$308,C235)&lt;&gt;1,COUNTIFS($D$9:$D$308,D235,$E$9:$E$308,E235,$F$9:$F$308,F235,$G$9:$G$308,G235,$K$9:$K$308,K235)&lt;&gt;1),"Duplicate annual activity",IF(COUNTIFS('Inventory'!$C$9:$C$108,D235)&lt;&gt;1,"Entity required",IF(OR(E235="",L235="",NOT(ISNUMBER(H235)),H235&lt;0,NOT(ISNUMBER(K235)),NOT(ISNUMBER(N235))),"Missing activity input",IF(AND(E235&lt;&gt;D235,OR(COUNTIFS('Sites'!$C$9:$C$108,E235)&lt;&gt;1,IFERROR(IF(INDEX('Sites'!$D$9:$D$108,MATCH(E235,'Sites'!$C$9:$C$108,0))="","",INDEX('Sites'!$D$9:$D$108,MATCH(E235,'Sites'!$C$9:$C$108,0))),"")&lt;&gt;IFERROR(IF(INDEX('Inventory'!$D$9:$D$108,MATCH(D235,'Inventory'!$C$9:$C$108,0))="","",INDEX('Inventory'!$D$9:$D$108,MATCH(D235,'Inventory'!$C$9:$C$108,0))),""),IFERROR(IF(INDEX('Sites'!$E$9:$E$108,MATCH(E235,'Sites'!$C$9:$C$108,0))="","",INDEX('Sites'!$E$9:$E$108,MATCH(E235,'Sites'!$C$9:$C$108,0))),"")&lt;&gt;W235)),"Site / entity mismatch",IF(N235&lt;'Settings'!$F$8,"Expired",IF(X235&lt;&gt;"Ready","Factor required",IF(OR(G235&lt;&gt;IFERROR(IF(INDEX('Factors'!$D$9:$D$108,MATCH(J235,'Factors'!$C$9:$C$108,0))="","",INDEX('Factors'!$D$9:$D$108,MATCH(J235,'Factors'!$C$9:$C$108,0))),""),I235&lt;&gt;P235,F235&lt;&gt;Q235,K235&lt;&gt;S235,AND(R235&lt;&gt;"Global",R235&lt;&gt;W235),K235&lt;&gt;YEAR(IFERROR(IF(INDEX('Inventory'!$H$9:$H$108,MATCH(D235,'Inventory'!$C$9:$C$108,0))="","",INDEX('Inventory'!$H$9:$H$108,MATCH(D235,'Inventory'!$C$9:$C$108,0))),""))),"Factor / boundary mismatch",IF(AND(F235="S2",IFERROR(IF(INDEX('Factors'!$I$9:$I$108,MATCH(J235,'Factors'!$C$9:$C$108,0))="","",INDEX('Factors'!$I$9:$I$108,MATCH(J235,'Factors'!$C$9:$C$108,0))),"")&lt;&gt;"Location-based"),"Use location factor",IF(M235&lt;&gt;"Actual","Estimation method review","Ready"))))))))))</x:f>
      </x:c>
      <x:c r="W235" s="9" t="str">
        <x:f>IF(C235="","",IFERROR(IF(INDEX('Inventory'!$G$9:$G$108,MATCH(D235,'Inventory'!$C$9:$C$108,0))="","",INDEX('Inventory'!$G$9:$G$108,MATCH(D235,'Inventory'!$C$9:$C$108,0))),""))</x:f>
      </x:c>
      <x:c r="X235" s="9" t="str">
        <x:f>IF(C235="","",IFERROR(IF(INDEX('Factors'!$P$9:$P$108,MATCH(J235,'Factors'!$C$9:$C$108,0))="","",INDEX('Factors'!$P$9:$P$108,MATCH(J235,'Factors'!$C$9:$C$108,0))),""))</x:f>
      </x:c>
    </x:row>
    <x:row r="236" ht="26" customHeight="1">
      <x:c r="A236" s="1"/>
      <x:c r="B236" s="1"/>
      <x:c r="C236" s="8"/>
      <x:c r="D236" s="8"/>
      <x:c r="E236" s="8"/>
      <x:c r="F236" s="8"/>
      <x:c r="G236" s="8"/>
      <x:c r="H236" s="16"/>
      <x:c r="I236" s="8"/>
      <x:c r="J236" s="8"/>
      <x:c r="K236" s="22"/>
      <x:c r="L236" s="8"/>
      <x:c r="M236" s="8"/>
      <x:c r="N236" s="40"/>
      <x:c r="O236" s="41" t="str">
        <x:f>IF(C236="","",IFERROR(IF(INDEX('Factors'!$G$9:$G$108,MATCH(J236,'Factors'!$C$9:$C$108,0))="","",INDEX('Factors'!$G$9:$G$108,MATCH(J236,'Factors'!$C$9:$C$108,0))),""))</x:f>
      </x:c>
      <x:c r="P236" s="9" t="str">
        <x:f>IF(C236="","",IFERROR(IF(INDEX('Factors'!$F$9:$F$108,MATCH(J236,'Factors'!$C$9:$C$108,0))="","",INDEX('Factors'!$F$9:$F$108,MATCH(J236,'Factors'!$C$9:$C$108,0))),""))</x:f>
      </x:c>
      <x:c r="Q236" s="9" t="str">
        <x:f>IF(C236="","",IFERROR(IF(INDEX('Factors'!$H$9:$H$108,MATCH(J236,'Factors'!$C$9:$C$108,0))="","",INDEX('Factors'!$H$9:$H$108,MATCH(J236,'Factors'!$C$9:$C$108,0))),""))</x:f>
      </x:c>
      <x:c r="R236" s="9" t="str">
        <x:f>IF(C236="","",IFERROR(IF(INDEX('Factors'!$E$9:$E$108,MATCH(J236,'Factors'!$C$9:$C$108,0))="","",INDEX('Factors'!$E$9:$E$108,MATCH(J236,'Factors'!$C$9:$C$108,0))),""))</x:f>
      </x:c>
      <x:c r="S236" s="42" t="str">
        <x:f>IF(C236="","",IFERROR(IF(INDEX('Factors'!$J$9:$J$108,MATCH(J236,'Factors'!$C$9:$C$108,0))="","",INDEX('Factors'!$J$9:$J$108,MATCH(J236,'Factors'!$C$9:$C$108,0))),""))</x:f>
      </x:c>
      <x:c r="T236" s="9" t="str">
        <x:f>IF(C236="","",IFERROR(IF(INDEX('Factors'!$L$9:$L$108,MATCH(J236,'Factors'!$C$9:$C$108,0))="","",INDEX('Factors'!$L$9:$L$108,MATCH(J236,'Factors'!$C$9:$C$108,0))),"")&amp;" / "&amp;IFERROR(IF(INDEX('Factors'!$M$9:$M$108,MATCH(J236,'Factors'!$C$9:$C$108,0))="","",INDEX('Factors'!$M$9:$M$108,MATCH(J236,'Factors'!$C$9:$C$108,0))),""))</x:f>
      </x:c>
      <x:c r="U236" s="21" t="str">
        <x:f>IF(V236="Ready",H236*O236/1000,"")</x:f>
      </x:c>
      <x:c r="V236" s="9" t="str">
        <x:f>IF(C236="","",IF(OR(COUNTIFS($C$9:$C$308,C236)&lt;&gt;1,COUNTIFS($D$9:$D$308,D236,$E$9:$E$308,E236,$F$9:$F$308,F236,$G$9:$G$308,G236,$K$9:$K$308,K236)&lt;&gt;1),"Duplicate annual activity",IF(COUNTIFS('Inventory'!$C$9:$C$108,D236)&lt;&gt;1,"Entity required",IF(OR(E236="",L236="",NOT(ISNUMBER(H236)),H236&lt;0,NOT(ISNUMBER(K236)),NOT(ISNUMBER(N236))),"Missing activity input",IF(AND(E236&lt;&gt;D236,OR(COUNTIFS('Sites'!$C$9:$C$108,E236)&lt;&gt;1,IFERROR(IF(INDEX('Sites'!$D$9:$D$108,MATCH(E236,'Sites'!$C$9:$C$108,0))="","",INDEX('Sites'!$D$9:$D$108,MATCH(E236,'Sites'!$C$9:$C$108,0))),"")&lt;&gt;IFERROR(IF(INDEX('Inventory'!$D$9:$D$108,MATCH(D236,'Inventory'!$C$9:$C$108,0))="","",INDEX('Inventory'!$D$9:$D$108,MATCH(D236,'Inventory'!$C$9:$C$108,0))),""),IFERROR(IF(INDEX('Sites'!$E$9:$E$108,MATCH(E236,'Sites'!$C$9:$C$108,0))="","",INDEX('Sites'!$E$9:$E$108,MATCH(E236,'Sites'!$C$9:$C$108,0))),"")&lt;&gt;W236)),"Site / entity mismatch",IF(N236&lt;'Settings'!$F$8,"Expired",IF(X236&lt;&gt;"Ready","Factor required",IF(OR(G236&lt;&gt;IFERROR(IF(INDEX('Factors'!$D$9:$D$108,MATCH(J236,'Factors'!$C$9:$C$108,0))="","",INDEX('Factors'!$D$9:$D$108,MATCH(J236,'Factors'!$C$9:$C$108,0))),""),I236&lt;&gt;P236,F236&lt;&gt;Q236,K236&lt;&gt;S236,AND(R236&lt;&gt;"Global",R236&lt;&gt;W236),K236&lt;&gt;YEAR(IFERROR(IF(INDEX('Inventory'!$H$9:$H$108,MATCH(D236,'Inventory'!$C$9:$C$108,0))="","",INDEX('Inventory'!$H$9:$H$108,MATCH(D236,'Inventory'!$C$9:$C$108,0))),""))),"Factor / boundary mismatch",IF(AND(F236="S2",IFERROR(IF(INDEX('Factors'!$I$9:$I$108,MATCH(J236,'Factors'!$C$9:$C$108,0))="","",INDEX('Factors'!$I$9:$I$108,MATCH(J236,'Factors'!$C$9:$C$108,0))),"")&lt;&gt;"Location-based"),"Use location factor",IF(M236&lt;&gt;"Actual","Estimation method review","Ready"))))))))))</x:f>
      </x:c>
      <x:c r="W236" s="9" t="str">
        <x:f>IF(C236="","",IFERROR(IF(INDEX('Inventory'!$G$9:$G$108,MATCH(D236,'Inventory'!$C$9:$C$108,0))="","",INDEX('Inventory'!$G$9:$G$108,MATCH(D236,'Inventory'!$C$9:$C$108,0))),""))</x:f>
      </x:c>
      <x:c r="X236" s="9" t="str">
        <x:f>IF(C236="","",IFERROR(IF(INDEX('Factors'!$P$9:$P$108,MATCH(J236,'Factors'!$C$9:$C$108,0))="","",INDEX('Factors'!$P$9:$P$108,MATCH(J236,'Factors'!$C$9:$C$108,0))),""))</x:f>
      </x:c>
    </x:row>
    <x:row r="237" ht="26" customHeight="1">
      <x:c r="A237" s="1"/>
      <x:c r="B237" s="1"/>
      <x:c r="C237" s="8"/>
      <x:c r="D237" s="8"/>
      <x:c r="E237" s="8"/>
      <x:c r="F237" s="8"/>
      <x:c r="G237" s="8"/>
      <x:c r="H237" s="16"/>
      <x:c r="I237" s="8"/>
      <x:c r="J237" s="8"/>
      <x:c r="K237" s="22"/>
      <x:c r="L237" s="8"/>
      <x:c r="M237" s="8"/>
      <x:c r="N237" s="40"/>
      <x:c r="O237" s="41" t="str">
        <x:f>IF(C237="","",IFERROR(IF(INDEX('Factors'!$G$9:$G$108,MATCH(J237,'Factors'!$C$9:$C$108,0))="","",INDEX('Factors'!$G$9:$G$108,MATCH(J237,'Factors'!$C$9:$C$108,0))),""))</x:f>
      </x:c>
      <x:c r="P237" s="9" t="str">
        <x:f>IF(C237="","",IFERROR(IF(INDEX('Factors'!$F$9:$F$108,MATCH(J237,'Factors'!$C$9:$C$108,0))="","",INDEX('Factors'!$F$9:$F$108,MATCH(J237,'Factors'!$C$9:$C$108,0))),""))</x:f>
      </x:c>
      <x:c r="Q237" s="9" t="str">
        <x:f>IF(C237="","",IFERROR(IF(INDEX('Factors'!$H$9:$H$108,MATCH(J237,'Factors'!$C$9:$C$108,0))="","",INDEX('Factors'!$H$9:$H$108,MATCH(J237,'Factors'!$C$9:$C$108,0))),""))</x:f>
      </x:c>
      <x:c r="R237" s="9" t="str">
        <x:f>IF(C237="","",IFERROR(IF(INDEX('Factors'!$E$9:$E$108,MATCH(J237,'Factors'!$C$9:$C$108,0))="","",INDEX('Factors'!$E$9:$E$108,MATCH(J237,'Factors'!$C$9:$C$108,0))),""))</x:f>
      </x:c>
      <x:c r="S237" s="42" t="str">
        <x:f>IF(C237="","",IFERROR(IF(INDEX('Factors'!$J$9:$J$108,MATCH(J237,'Factors'!$C$9:$C$108,0))="","",INDEX('Factors'!$J$9:$J$108,MATCH(J237,'Factors'!$C$9:$C$108,0))),""))</x:f>
      </x:c>
      <x:c r="T237" s="9" t="str">
        <x:f>IF(C237="","",IFERROR(IF(INDEX('Factors'!$L$9:$L$108,MATCH(J237,'Factors'!$C$9:$C$108,0))="","",INDEX('Factors'!$L$9:$L$108,MATCH(J237,'Factors'!$C$9:$C$108,0))),"")&amp;" / "&amp;IFERROR(IF(INDEX('Factors'!$M$9:$M$108,MATCH(J237,'Factors'!$C$9:$C$108,0))="","",INDEX('Factors'!$M$9:$M$108,MATCH(J237,'Factors'!$C$9:$C$108,0))),""))</x:f>
      </x:c>
      <x:c r="U237" s="21" t="str">
        <x:f>IF(V237="Ready",H237*O237/1000,"")</x:f>
      </x:c>
      <x:c r="V237" s="9" t="str">
        <x:f>IF(C237="","",IF(OR(COUNTIFS($C$9:$C$308,C237)&lt;&gt;1,COUNTIFS($D$9:$D$308,D237,$E$9:$E$308,E237,$F$9:$F$308,F237,$G$9:$G$308,G237,$K$9:$K$308,K237)&lt;&gt;1),"Duplicate annual activity",IF(COUNTIFS('Inventory'!$C$9:$C$108,D237)&lt;&gt;1,"Entity required",IF(OR(E237="",L237="",NOT(ISNUMBER(H237)),H237&lt;0,NOT(ISNUMBER(K237)),NOT(ISNUMBER(N237))),"Missing activity input",IF(AND(E237&lt;&gt;D237,OR(COUNTIFS('Sites'!$C$9:$C$108,E237)&lt;&gt;1,IFERROR(IF(INDEX('Sites'!$D$9:$D$108,MATCH(E237,'Sites'!$C$9:$C$108,0))="","",INDEX('Sites'!$D$9:$D$108,MATCH(E237,'Sites'!$C$9:$C$108,0))),"")&lt;&gt;IFERROR(IF(INDEX('Inventory'!$D$9:$D$108,MATCH(D237,'Inventory'!$C$9:$C$108,0))="","",INDEX('Inventory'!$D$9:$D$108,MATCH(D237,'Inventory'!$C$9:$C$108,0))),""),IFERROR(IF(INDEX('Sites'!$E$9:$E$108,MATCH(E237,'Sites'!$C$9:$C$108,0))="","",INDEX('Sites'!$E$9:$E$108,MATCH(E237,'Sites'!$C$9:$C$108,0))),"")&lt;&gt;W237)),"Site / entity mismatch",IF(N237&lt;'Settings'!$F$8,"Expired",IF(X237&lt;&gt;"Ready","Factor required",IF(OR(G237&lt;&gt;IFERROR(IF(INDEX('Factors'!$D$9:$D$108,MATCH(J237,'Factors'!$C$9:$C$108,0))="","",INDEX('Factors'!$D$9:$D$108,MATCH(J237,'Factors'!$C$9:$C$108,0))),""),I237&lt;&gt;P237,F237&lt;&gt;Q237,K237&lt;&gt;S237,AND(R237&lt;&gt;"Global",R237&lt;&gt;W237),K237&lt;&gt;YEAR(IFERROR(IF(INDEX('Inventory'!$H$9:$H$108,MATCH(D237,'Inventory'!$C$9:$C$108,0))="","",INDEX('Inventory'!$H$9:$H$108,MATCH(D237,'Inventory'!$C$9:$C$108,0))),""))),"Factor / boundary mismatch",IF(AND(F237="S2",IFERROR(IF(INDEX('Factors'!$I$9:$I$108,MATCH(J237,'Factors'!$C$9:$C$108,0))="","",INDEX('Factors'!$I$9:$I$108,MATCH(J237,'Factors'!$C$9:$C$108,0))),"")&lt;&gt;"Location-based"),"Use location factor",IF(M237&lt;&gt;"Actual","Estimation method review","Ready"))))))))))</x:f>
      </x:c>
      <x:c r="W237" s="9" t="str">
        <x:f>IF(C237="","",IFERROR(IF(INDEX('Inventory'!$G$9:$G$108,MATCH(D237,'Inventory'!$C$9:$C$108,0))="","",INDEX('Inventory'!$G$9:$G$108,MATCH(D237,'Inventory'!$C$9:$C$108,0))),""))</x:f>
      </x:c>
      <x:c r="X237" s="9" t="str">
        <x:f>IF(C237="","",IFERROR(IF(INDEX('Factors'!$P$9:$P$108,MATCH(J237,'Factors'!$C$9:$C$108,0))="","",INDEX('Factors'!$P$9:$P$108,MATCH(J237,'Factors'!$C$9:$C$108,0))),""))</x:f>
      </x:c>
    </x:row>
    <x:row r="238" ht="26" customHeight="1">
      <x:c r="A238" s="1"/>
      <x:c r="B238" s="1"/>
      <x:c r="C238" s="8"/>
      <x:c r="D238" s="8"/>
      <x:c r="E238" s="8"/>
      <x:c r="F238" s="8"/>
      <x:c r="G238" s="8"/>
      <x:c r="H238" s="16"/>
      <x:c r="I238" s="8"/>
      <x:c r="J238" s="8"/>
      <x:c r="K238" s="22"/>
      <x:c r="L238" s="8"/>
      <x:c r="M238" s="8"/>
      <x:c r="N238" s="40"/>
      <x:c r="O238" s="41" t="str">
        <x:f>IF(C238="","",IFERROR(IF(INDEX('Factors'!$G$9:$G$108,MATCH(J238,'Factors'!$C$9:$C$108,0))="","",INDEX('Factors'!$G$9:$G$108,MATCH(J238,'Factors'!$C$9:$C$108,0))),""))</x:f>
      </x:c>
      <x:c r="P238" s="9" t="str">
        <x:f>IF(C238="","",IFERROR(IF(INDEX('Factors'!$F$9:$F$108,MATCH(J238,'Factors'!$C$9:$C$108,0))="","",INDEX('Factors'!$F$9:$F$108,MATCH(J238,'Factors'!$C$9:$C$108,0))),""))</x:f>
      </x:c>
      <x:c r="Q238" s="9" t="str">
        <x:f>IF(C238="","",IFERROR(IF(INDEX('Factors'!$H$9:$H$108,MATCH(J238,'Factors'!$C$9:$C$108,0))="","",INDEX('Factors'!$H$9:$H$108,MATCH(J238,'Factors'!$C$9:$C$108,0))),""))</x:f>
      </x:c>
      <x:c r="R238" s="9" t="str">
        <x:f>IF(C238="","",IFERROR(IF(INDEX('Factors'!$E$9:$E$108,MATCH(J238,'Factors'!$C$9:$C$108,0))="","",INDEX('Factors'!$E$9:$E$108,MATCH(J238,'Factors'!$C$9:$C$108,0))),""))</x:f>
      </x:c>
      <x:c r="S238" s="42" t="str">
        <x:f>IF(C238="","",IFERROR(IF(INDEX('Factors'!$J$9:$J$108,MATCH(J238,'Factors'!$C$9:$C$108,0))="","",INDEX('Factors'!$J$9:$J$108,MATCH(J238,'Factors'!$C$9:$C$108,0))),""))</x:f>
      </x:c>
      <x:c r="T238" s="9" t="str">
        <x:f>IF(C238="","",IFERROR(IF(INDEX('Factors'!$L$9:$L$108,MATCH(J238,'Factors'!$C$9:$C$108,0))="","",INDEX('Factors'!$L$9:$L$108,MATCH(J238,'Factors'!$C$9:$C$108,0))),"")&amp;" / "&amp;IFERROR(IF(INDEX('Factors'!$M$9:$M$108,MATCH(J238,'Factors'!$C$9:$C$108,0))="","",INDEX('Factors'!$M$9:$M$108,MATCH(J238,'Factors'!$C$9:$C$108,0))),""))</x:f>
      </x:c>
      <x:c r="U238" s="21" t="str">
        <x:f>IF(V238="Ready",H238*O238/1000,"")</x:f>
      </x:c>
      <x:c r="V238" s="9" t="str">
        <x:f>IF(C238="","",IF(OR(COUNTIFS($C$9:$C$308,C238)&lt;&gt;1,COUNTIFS($D$9:$D$308,D238,$E$9:$E$308,E238,$F$9:$F$308,F238,$G$9:$G$308,G238,$K$9:$K$308,K238)&lt;&gt;1),"Duplicate annual activity",IF(COUNTIFS('Inventory'!$C$9:$C$108,D238)&lt;&gt;1,"Entity required",IF(OR(E238="",L238="",NOT(ISNUMBER(H238)),H238&lt;0,NOT(ISNUMBER(K238)),NOT(ISNUMBER(N238))),"Missing activity input",IF(AND(E238&lt;&gt;D238,OR(COUNTIFS('Sites'!$C$9:$C$108,E238)&lt;&gt;1,IFERROR(IF(INDEX('Sites'!$D$9:$D$108,MATCH(E238,'Sites'!$C$9:$C$108,0))="","",INDEX('Sites'!$D$9:$D$108,MATCH(E238,'Sites'!$C$9:$C$108,0))),"")&lt;&gt;IFERROR(IF(INDEX('Inventory'!$D$9:$D$108,MATCH(D238,'Inventory'!$C$9:$C$108,0))="","",INDEX('Inventory'!$D$9:$D$108,MATCH(D238,'Inventory'!$C$9:$C$108,0))),""),IFERROR(IF(INDEX('Sites'!$E$9:$E$108,MATCH(E238,'Sites'!$C$9:$C$108,0))="","",INDEX('Sites'!$E$9:$E$108,MATCH(E238,'Sites'!$C$9:$C$108,0))),"")&lt;&gt;W238)),"Site / entity mismatch",IF(N238&lt;'Settings'!$F$8,"Expired",IF(X238&lt;&gt;"Ready","Factor required",IF(OR(G238&lt;&gt;IFERROR(IF(INDEX('Factors'!$D$9:$D$108,MATCH(J238,'Factors'!$C$9:$C$108,0))="","",INDEX('Factors'!$D$9:$D$108,MATCH(J238,'Factors'!$C$9:$C$108,0))),""),I238&lt;&gt;P238,F238&lt;&gt;Q238,K238&lt;&gt;S238,AND(R238&lt;&gt;"Global",R238&lt;&gt;W238),K238&lt;&gt;YEAR(IFERROR(IF(INDEX('Inventory'!$H$9:$H$108,MATCH(D238,'Inventory'!$C$9:$C$108,0))="","",INDEX('Inventory'!$H$9:$H$108,MATCH(D238,'Inventory'!$C$9:$C$108,0))),""))),"Factor / boundary mismatch",IF(AND(F238="S2",IFERROR(IF(INDEX('Factors'!$I$9:$I$108,MATCH(J238,'Factors'!$C$9:$C$108,0))="","",INDEX('Factors'!$I$9:$I$108,MATCH(J238,'Factors'!$C$9:$C$108,0))),"")&lt;&gt;"Location-based"),"Use location factor",IF(M238&lt;&gt;"Actual","Estimation method review","Ready"))))))))))</x:f>
      </x:c>
      <x:c r="W238" s="9" t="str">
        <x:f>IF(C238="","",IFERROR(IF(INDEX('Inventory'!$G$9:$G$108,MATCH(D238,'Inventory'!$C$9:$C$108,0))="","",INDEX('Inventory'!$G$9:$G$108,MATCH(D238,'Inventory'!$C$9:$C$108,0))),""))</x:f>
      </x:c>
      <x:c r="X238" s="9" t="str">
        <x:f>IF(C238="","",IFERROR(IF(INDEX('Factors'!$P$9:$P$108,MATCH(J238,'Factors'!$C$9:$C$108,0))="","",INDEX('Factors'!$P$9:$P$108,MATCH(J238,'Factors'!$C$9:$C$108,0))),""))</x:f>
      </x:c>
    </x:row>
    <x:row r="239" ht="26" customHeight="1">
      <x:c r="A239" s="1"/>
      <x:c r="B239" s="1"/>
      <x:c r="C239" s="8"/>
      <x:c r="D239" s="8"/>
      <x:c r="E239" s="8"/>
      <x:c r="F239" s="8"/>
      <x:c r="G239" s="8"/>
      <x:c r="H239" s="16"/>
      <x:c r="I239" s="8"/>
      <x:c r="J239" s="8"/>
      <x:c r="K239" s="22"/>
      <x:c r="L239" s="8"/>
      <x:c r="M239" s="8"/>
      <x:c r="N239" s="40"/>
      <x:c r="O239" s="41" t="str">
        <x:f>IF(C239="","",IFERROR(IF(INDEX('Factors'!$G$9:$G$108,MATCH(J239,'Factors'!$C$9:$C$108,0))="","",INDEX('Factors'!$G$9:$G$108,MATCH(J239,'Factors'!$C$9:$C$108,0))),""))</x:f>
      </x:c>
      <x:c r="P239" s="9" t="str">
        <x:f>IF(C239="","",IFERROR(IF(INDEX('Factors'!$F$9:$F$108,MATCH(J239,'Factors'!$C$9:$C$108,0))="","",INDEX('Factors'!$F$9:$F$108,MATCH(J239,'Factors'!$C$9:$C$108,0))),""))</x:f>
      </x:c>
      <x:c r="Q239" s="9" t="str">
        <x:f>IF(C239="","",IFERROR(IF(INDEX('Factors'!$H$9:$H$108,MATCH(J239,'Factors'!$C$9:$C$108,0))="","",INDEX('Factors'!$H$9:$H$108,MATCH(J239,'Factors'!$C$9:$C$108,0))),""))</x:f>
      </x:c>
      <x:c r="R239" s="9" t="str">
        <x:f>IF(C239="","",IFERROR(IF(INDEX('Factors'!$E$9:$E$108,MATCH(J239,'Factors'!$C$9:$C$108,0))="","",INDEX('Factors'!$E$9:$E$108,MATCH(J239,'Factors'!$C$9:$C$108,0))),""))</x:f>
      </x:c>
      <x:c r="S239" s="42" t="str">
        <x:f>IF(C239="","",IFERROR(IF(INDEX('Factors'!$J$9:$J$108,MATCH(J239,'Factors'!$C$9:$C$108,0))="","",INDEX('Factors'!$J$9:$J$108,MATCH(J239,'Factors'!$C$9:$C$108,0))),""))</x:f>
      </x:c>
      <x:c r="T239" s="9" t="str">
        <x:f>IF(C239="","",IFERROR(IF(INDEX('Factors'!$L$9:$L$108,MATCH(J239,'Factors'!$C$9:$C$108,0))="","",INDEX('Factors'!$L$9:$L$108,MATCH(J239,'Factors'!$C$9:$C$108,0))),"")&amp;" / "&amp;IFERROR(IF(INDEX('Factors'!$M$9:$M$108,MATCH(J239,'Factors'!$C$9:$C$108,0))="","",INDEX('Factors'!$M$9:$M$108,MATCH(J239,'Factors'!$C$9:$C$108,0))),""))</x:f>
      </x:c>
      <x:c r="U239" s="21" t="str">
        <x:f>IF(V239="Ready",H239*O239/1000,"")</x:f>
      </x:c>
      <x:c r="V239" s="9" t="str">
        <x:f>IF(C239="","",IF(OR(COUNTIFS($C$9:$C$308,C239)&lt;&gt;1,COUNTIFS($D$9:$D$308,D239,$E$9:$E$308,E239,$F$9:$F$308,F239,$G$9:$G$308,G239,$K$9:$K$308,K239)&lt;&gt;1),"Duplicate annual activity",IF(COUNTIFS('Inventory'!$C$9:$C$108,D239)&lt;&gt;1,"Entity required",IF(OR(E239="",L239="",NOT(ISNUMBER(H239)),H239&lt;0,NOT(ISNUMBER(K239)),NOT(ISNUMBER(N239))),"Missing activity input",IF(AND(E239&lt;&gt;D239,OR(COUNTIFS('Sites'!$C$9:$C$108,E239)&lt;&gt;1,IFERROR(IF(INDEX('Sites'!$D$9:$D$108,MATCH(E239,'Sites'!$C$9:$C$108,0))="","",INDEX('Sites'!$D$9:$D$108,MATCH(E239,'Sites'!$C$9:$C$108,0))),"")&lt;&gt;IFERROR(IF(INDEX('Inventory'!$D$9:$D$108,MATCH(D239,'Inventory'!$C$9:$C$108,0))="","",INDEX('Inventory'!$D$9:$D$108,MATCH(D239,'Inventory'!$C$9:$C$108,0))),""),IFERROR(IF(INDEX('Sites'!$E$9:$E$108,MATCH(E239,'Sites'!$C$9:$C$108,0))="","",INDEX('Sites'!$E$9:$E$108,MATCH(E239,'Sites'!$C$9:$C$108,0))),"")&lt;&gt;W239)),"Site / entity mismatch",IF(N239&lt;'Settings'!$F$8,"Expired",IF(X239&lt;&gt;"Ready","Factor required",IF(OR(G239&lt;&gt;IFERROR(IF(INDEX('Factors'!$D$9:$D$108,MATCH(J239,'Factors'!$C$9:$C$108,0))="","",INDEX('Factors'!$D$9:$D$108,MATCH(J239,'Factors'!$C$9:$C$108,0))),""),I239&lt;&gt;P239,F239&lt;&gt;Q239,K239&lt;&gt;S239,AND(R239&lt;&gt;"Global",R239&lt;&gt;W239),K239&lt;&gt;YEAR(IFERROR(IF(INDEX('Inventory'!$H$9:$H$108,MATCH(D239,'Inventory'!$C$9:$C$108,0))="","",INDEX('Inventory'!$H$9:$H$108,MATCH(D239,'Inventory'!$C$9:$C$108,0))),""))),"Factor / boundary mismatch",IF(AND(F239="S2",IFERROR(IF(INDEX('Factors'!$I$9:$I$108,MATCH(J239,'Factors'!$C$9:$C$108,0))="","",INDEX('Factors'!$I$9:$I$108,MATCH(J239,'Factors'!$C$9:$C$108,0))),"")&lt;&gt;"Location-based"),"Use location factor",IF(M239&lt;&gt;"Actual","Estimation method review","Ready"))))))))))</x:f>
      </x:c>
      <x:c r="W239" s="9" t="str">
        <x:f>IF(C239="","",IFERROR(IF(INDEX('Inventory'!$G$9:$G$108,MATCH(D239,'Inventory'!$C$9:$C$108,0))="","",INDEX('Inventory'!$G$9:$G$108,MATCH(D239,'Inventory'!$C$9:$C$108,0))),""))</x:f>
      </x:c>
      <x:c r="X239" s="9" t="str">
        <x:f>IF(C239="","",IFERROR(IF(INDEX('Factors'!$P$9:$P$108,MATCH(J239,'Factors'!$C$9:$C$108,0))="","",INDEX('Factors'!$P$9:$P$108,MATCH(J239,'Factors'!$C$9:$C$108,0))),""))</x:f>
      </x:c>
    </x:row>
    <x:row r="240" ht="26" customHeight="1">
      <x:c r="A240" s="1"/>
      <x:c r="B240" s="1"/>
      <x:c r="C240" s="8"/>
      <x:c r="D240" s="8"/>
      <x:c r="E240" s="8"/>
      <x:c r="F240" s="8"/>
      <x:c r="G240" s="8"/>
      <x:c r="H240" s="16"/>
      <x:c r="I240" s="8"/>
      <x:c r="J240" s="8"/>
      <x:c r="K240" s="22"/>
      <x:c r="L240" s="8"/>
      <x:c r="M240" s="8"/>
      <x:c r="N240" s="40"/>
      <x:c r="O240" s="41" t="str">
        <x:f>IF(C240="","",IFERROR(IF(INDEX('Factors'!$G$9:$G$108,MATCH(J240,'Factors'!$C$9:$C$108,0))="","",INDEX('Factors'!$G$9:$G$108,MATCH(J240,'Factors'!$C$9:$C$108,0))),""))</x:f>
      </x:c>
      <x:c r="P240" s="9" t="str">
        <x:f>IF(C240="","",IFERROR(IF(INDEX('Factors'!$F$9:$F$108,MATCH(J240,'Factors'!$C$9:$C$108,0))="","",INDEX('Factors'!$F$9:$F$108,MATCH(J240,'Factors'!$C$9:$C$108,0))),""))</x:f>
      </x:c>
      <x:c r="Q240" s="9" t="str">
        <x:f>IF(C240="","",IFERROR(IF(INDEX('Factors'!$H$9:$H$108,MATCH(J240,'Factors'!$C$9:$C$108,0))="","",INDEX('Factors'!$H$9:$H$108,MATCH(J240,'Factors'!$C$9:$C$108,0))),""))</x:f>
      </x:c>
      <x:c r="R240" s="9" t="str">
        <x:f>IF(C240="","",IFERROR(IF(INDEX('Factors'!$E$9:$E$108,MATCH(J240,'Factors'!$C$9:$C$108,0))="","",INDEX('Factors'!$E$9:$E$108,MATCH(J240,'Factors'!$C$9:$C$108,0))),""))</x:f>
      </x:c>
      <x:c r="S240" s="42" t="str">
        <x:f>IF(C240="","",IFERROR(IF(INDEX('Factors'!$J$9:$J$108,MATCH(J240,'Factors'!$C$9:$C$108,0))="","",INDEX('Factors'!$J$9:$J$108,MATCH(J240,'Factors'!$C$9:$C$108,0))),""))</x:f>
      </x:c>
      <x:c r="T240" s="9" t="str">
        <x:f>IF(C240="","",IFERROR(IF(INDEX('Factors'!$L$9:$L$108,MATCH(J240,'Factors'!$C$9:$C$108,0))="","",INDEX('Factors'!$L$9:$L$108,MATCH(J240,'Factors'!$C$9:$C$108,0))),"")&amp;" / "&amp;IFERROR(IF(INDEX('Factors'!$M$9:$M$108,MATCH(J240,'Factors'!$C$9:$C$108,0))="","",INDEX('Factors'!$M$9:$M$108,MATCH(J240,'Factors'!$C$9:$C$108,0))),""))</x:f>
      </x:c>
      <x:c r="U240" s="21" t="str">
        <x:f>IF(V240="Ready",H240*O240/1000,"")</x:f>
      </x:c>
      <x:c r="V240" s="9" t="str">
        <x:f>IF(C240="","",IF(OR(COUNTIFS($C$9:$C$308,C240)&lt;&gt;1,COUNTIFS($D$9:$D$308,D240,$E$9:$E$308,E240,$F$9:$F$308,F240,$G$9:$G$308,G240,$K$9:$K$308,K240)&lt;&gt;1),"Duplicate annual activity",IF(COUNTIFS('Inventory'!$C$9:$C$108,D240)&lt;&gt;1,"Entity required",IF(OR(E240="",L240="",NOT(ISNUMBER(H240)),H240&lt;0,NOT(ISNUMBER(K240)),NOT(ISNUMBER(N240))),"Missing activity input",IF(AND(E240&lt;&gt;D240,OR(COUNTIFS('Sites'!$C$9:$C$108,E240)&lt;&gt;1,IFERROR(IF(INDEX('Sites'!$D$9:$D$108,MATCH(E240,'Sites'!$C$9:$C$108,0))="","",INDEX('Sites'!$D$9:$D$108,MATCH(E240,'Sites'!$C$9:$C$108,0))),"")&lt;&gt;IFERROR(IF(INDEX('Inventory'!$D$9:$D$108,MATCH(D240,'Inventory'!$C$9:$C$108,0))="","",INDEX('Inventory'!$D$9:$D$108,MATCH(D240,'Inventory'!$C$9:$C$108,0))),""),IFERROR(IF(INDEX('Sites'!$E$9:$E$108,MATCH(E240,'Sites'!$C$9:$C$108,0))="","",INDEX('Sites'!$E$9:$E$108,MATCH(E240,'Sites'!$C$9:$C$108,0))),"")&lt;&gt;W240)),"Site / entity mismatch",IF(N240&lt;'Settings'!$F$8,"Expired",IF(X240&lt;&gt;"Ready","Factor required",IF(OR(G240&lt;&gt;IFERROR(IF(INDEX('Factors'!$D$9:$D$108,MATCH(J240,'Factors'!$C$9:$C$108,0))="","",INDEX('Factors'!$D$9:$D$108,MATCH(J240,'Factors'!$C$9:$C$108,0))),""),I240&lt;&gt;P240,F240&lt;&gt;Q240,K240&lt;&gt;S240,AND(R240&lt;&gt;"Global",R240&lt;&gt;W240),K240&lt;&gt;YEAR(IFERROR(IF(INDEX('Inventory'!$H$9:$H$108,MATCH(D240,'Inventory'!$C$9:$C$108,0))="","",INDEX('Inventory'!$H$9:$H$108,MATCH(D240,'Inventory'!$C$9:$C$108,0))),""))),"Factor / boundary mismatch",IF(AND(F240="S2",IFERROR(IF(INDEX('Factors'!$I$9:$I$108,MATCH(J240,'Factors'!$C$9:$C$108,0))="","",INDEX('Factors'!$I$9:$I$108,MATCH(J240,'Factors'!$C$9:$C$108,0))),"")&lt;&gt;"Location-based"),"Use location factor",IF(M240&lt;&gt;"Actual","Estimation method review","Ready"))))))))))</x:f>
      </x:c>
      <x:c r="W240" s="9" t="str">
        <x:f>IF(C240="","",IFERROR(IF(INDEX('Inventory'!$G$9:$G$108,MATCH(D240,'Inventory'!$C$9:$C$108,0))="","",INDEX('Inventory'!$G$9:$G$108,MATCH(D240,'Inventory'!$C$9:$C$108,0))),""))</x:f>
      </x:c>
      <x:c r="X240" s="9" t="str">
        <x:f>IF(C240="","",IFERROR(IF(INDEX('Factors'!$P$9:$P$108,MATCH(J240,'Factors'!$C$9:$C$108,0))="","",INDEX('Factors'!$P$9:$P$108,MATCH(J240,'Factors'!$C$9:$C$108,0))),""))</x:f>
      </x:c>
    </x:row>
    <x:row r="241" ht="26" customHeight="1">
      <x:c r="A241" s="1"/>
      <x:c r="B241" s="1"/>
      <x:c r="C241" s="8"/>
      <x:c r="D241" s="8"/>
      <x:c r="E241" s="8"/>
      <x:c r="F241" s="8"/>
      <x:c r="G241" s="8"/>
      <x:c r="H241" s="16"/>
      <x:c r="I241" s="8"/>
      <x:c r="J241" s="8"/>
      <x:c r="K241" s="22"/>
      <x:c r="L241" s="8"/>
      <x:c r="M241" s="8"/>
      <x:c r="N241" s="40"/>
      <x:c r="O241" s="41" t="str">
        <x:f>IF(C241="","",IFERROR(IF(INDEX('Factors'!$G$9:$G$108,MATCH(J241,'Factors'!$C$9:$C$108,0))="","",INDEX('Factors'!$G$9:$G$108,MATCH(J241,'Factors'!$C$9:$C$108,0))),""))</x:f>
      </x:c>
      <x:c r="P241" s="9" t="str">
        <x:f>IF(C241="","",IFERROR(IF(INDEX('Factors'!$F$9:$F$108,MATCH(J241,'Factors'!$C$9:$C$108,0))="","",INDEX('Factors'!$F$9:$F$108,MATCH(J241,'Factors'!$C$9:$C$108,0))),""))</x:f>
      </x:c>
      <x:c r="Q241" s="9" t="str">
        <x:f>IF(C241="","",IFERROR(IF(INDEX('Factors'!$H$9:$H$108,MATCH(J241,'Factors'!$C$9:$C$108,0))="","",INDEX('Factors'!$H$9:$H$108,MATCH(J241,'Factors'!$C$9:$C$108,0))),""))</x:f>
      </x:c>
      <x:c r="R241" s="9" t="str">
        <x:f>IF(C241="","",IFERROR(IF(INDEX('Factors'!$E$9:$E$108,MATCH(J241,'Factors'!$C$9:$C$108,0))="","",INDEX('Factors'!$E$9:$E$108,MATCH(J241,'Factors'!$C$9:$C$108,0))),""))</x:f>
      </x:c>
      <x:c r="S241" s="42" t="str">
        <x:f>IF(C241="","",IFERROR(IF(INDEX('Factors'!$J$9:$J$108,MATCH(J241,'Factors'!$C$9:$C$108,0))="","",INDEX('Factors'!$J$9:$J$108,MATCH(J241,'Factors'!$C$9:$C$108,0))),""))</x:f>
      </x:c>
      <x:c r="T241" s="9" t="str">
        <x:f>IF(C241="","",IFERROR(IF(INDEX('Factors'!$L$9:$L$108,MATCH(J241,'Factors'!$C$9:$C$108,0))="","",INDEX('Factors'!$L$9:$L$108,MATCH(J241,'Factors'!$C$9:$C$108,0))),"")&amp;" / "&amp;IFERROR(IF(INDEX('Factors'!$M$9:$M$108,MATCH(J241,'Factors'!$C$9:$C$108,0))="","",INDEX('Factors'!$M$9:$M$108,MATCH(J241,'Factors'!$C$9:$C$108,0))),""))</x:f>
      </x:c>
      <x:c r="U241" s="21" t="str">
        <x:f>IF(V241="Ready",H241*O241/1000,"")</x:f>
      </x:c>
      <x:c r="V241" s="9" t="str">
        <x:f>IF(C241="","",IF(OR(COUNTIFS($C$9:$C$308,C241)&lt;&gt;1,COUNTIFS($D$9:$D$308,D241,$E$9:$E$308,E241,$F$9:$F$308,F241,$G$9:$G$308,G241,$K$9:$K$308,K241)&lt;&gt;1),"Duplicate annual activity",IF(COUNTIFS('Inventory'!$C$9:$C$108,D241)&lt;&gt;1,"Entity required",IF(OR(E241="",L241="",NOT(ISNUMBER(H241)),H241&lt;0,NOT(ISNUMBER(K241)),NOT(ISNUMBER(N241))),"Missing activity input",IF(AND(E241&lt;&gt;D241,OR(COUNTIFS('Sites'!$C$9:$C$108,E241)&lt;&gt;1,IFERROR(IF(INDEX('Sites'!$D$9:$D$108,MATCH(E241,'Sites'!$C$9:$C$108,0))="","",INDEX('Sites'!$D$9:$D$108,MATCH(E241,'Sites'!$C$9:$C$108,0))),"")&lt;&gt;IFERROR(IF(INDEX('Inventory'!$D$9:$D$108,MATCH(D241,'Inventory'!$C$9:$C$108,0))="","",INDEX('Inventory'!$D$9:$D$108,MATCH(D241,'Inventory'!$C$9:$C$108,0))),""),IFERROR(IF(INDEX('Sites'!$E$9:$E$108,MATCH(E241,'Sites'!$C$9:$C$108,0))="","",INDEX('Sites'!$E$9:$E$108,MATCH(E241,'Sites'!$C$9:$C$108,0))),"")&lt;&gt;W241)),"Site / entity mismatch",IF(N241&lt;'Settings'!$F$8,"Expired",IF(X241&lt;&gt;"Ready","Factor required",IF(OR(G241&lt;&gt;IFERROR(IF(INDEX('Factors'!$D$9:$D$108,MATCH(J241,'Factors'!$C$9:$C$108,0))="","",INDEX('Factors'!$D$9:$D$108,MATCH(J241,'Factors'!$C$9:$C$108,0))),""),I241&lt;&gt;P241,F241&lt;&gt;Q241,K241&lt;&gt;S241,AND(R241&lt;&gt;"Global",R241&lt;&gt;W241),K241&lt;&gt;YEAR(IFERROR(IF(INDEX('Inventory'!$H$9:$H$108,MATCH(D241,'Inventory'!$C$9:$C$108,0))="","",INDEX('Inventory'!$H$9:$H$108,MATCH(D241,'Inventory'!$C$9:$C$108,0))),""))),"Factor / boundary mismatch",IF(AND(F241="S2",IFERROR(IF(INDEX('Factors'!$I$9:$I$108,MATCH(J241,'Factors'!$C$9:$C$108,0))="","",INDEX('Factors'!$I$9:$I$108,MATCH(J241,'Factors'!$C$9:$C$108,0))),"")&lt;&gt;"Location-based"),"Use location factor",IF(M241&lt;&gt;"Actual","Estimation method review","Ready"))))))))))</x:f>
      </x:c>
      <x:c r="W241" s="9" t="str">
        <x:f>IF(C241="","",IFERROR(IF(INDEX('Inventory'!$G$9:$G$108,MATCH(D241,'Inventory'!$C$9:$C$108,0))="","",INDEX('Inventory'!$G$9:$G$108,MATCH(D241,'Inventory'!$C$9:$C$108,0))),""))</x:f>
      </x:c>
      <x:c r="X241" s="9" t="str">
        <x:f>IF(C241="","",IFERROR(IF(INDEX('Factors'!$P$9:$P$108,MATCH(J241,'Factors'!$C$9:$C$108,0))="","",INDEX('Factors'!$P$9:$P$108,MATCH(J241,'Factors'!$C$9:$C$108,0))),""))</x:f>
      </x:c>
    </x:row>
    <x:row r="242" ht="26" customHeight="1">
      <x:c r="A242" s="1"/>
      <x:c r="B242" s="1"/>
      <x:c r="C242" s="8"/>
      <x:c r="D242" s="8"/>
      <x:c r="E242" s="8"/>
      <x:c r="F242" s="8"/>
      <x:c r="G242" s="8"/>
      <x:c r="H242" s="16"/>
      <x:c r="I242" s="8"/>
      <x:c r="J242" s="8"/>
      <x:c r="K242" s="22"/>
      <x:c r="L242" s="8"/>
      <x:c r="M242" s="8"/>
      <x:c r="N242" s="40"/>
      <x:c r="O242" s="41" t="str">
        <x:f>IF(C242="","",IFERROR(IF(INDEX('Factors'!$G$9:$G$108,MATCH(J242,'Factors'!$C$9:$C$108,0))="","",INDEX('Factors'!$G$9:$G$108,MATCH(J242,'Factors'!$C$9:$C$108,0))),""))</x:f>
      </x:c>
      <x:c r="P242" s="9" t="str">
        <x:f>IF(C242="","",IFERROR(IF(INDEX('Factors'!$F$9:$F$108,MATCH(J242,'Factors'!$C$9:$C$108,0))="","",INDEX('Factors'!$F$9:$F$108,MATCH(J242,'Factors'!$C$9:$C$108,0))),""))</x:f>
      </x:c>
      <x:c r="Q242" s="9" t="str">
        <x:f>IF(C242="","",IFERROR(IF(INDEX('Factors'!$H$9:$H$108,MATCH(J242,'Factors'!$C$9:$C$108,0))="","",INDEX('Factors'!$H$9:$H$108,MATCH(J242,'Factors'!$C$9:$C$108,0))),""))</x:f>
      </x:c>
      <x:c r="R242" s="9" t="str">
        <x:f>IF(C242="","",IFERROR(IF(INDEX('Factors'!$E$9:$E$108,MATCH(J242,'Factors'!$C$9:$C$108,0))="","",INDEX('Factors'!$E$9:$E$108,MATCH(J242,'Factors'!$C$9:$C$108,0))),""))</x:f>
      </x:c>
      <x:c r="S242" s="42" t="str">
        <x:f>IF(C242="","",IFERROR(IF(INDEX('Factors'!$J$9:$J$108,MATCH(J242,'Factors'!$C$9:$C$108,0))="","",INDEX('Factors'!$J$9:$J$108,MATCH(J242,'Factors'!$C$9:$C$108,0))),""))</x:f>
      </x:c>
      <x:c r="T242" s="9" t="str">
        <x:f>IF(C242="","",IFERROR(IF(INDEX('Factors'!$L$9:$L$108,MATCH(J242,'Factors'!$C$9:$C$108,0))="","",INDEX('Factors'!$L$9:$L$108,MATCH(J242,'Factors'!$C$9:$C$108,0))),"")&amp;" / "&amp;IFERROR(IF(INDEX('Factors'!$M$9:$M$108,MATCH(J242,'Factors'!$C$9:$C$108,0))="","",INDEX('Factors'!$M$9:$M$108,MATCH(J242,'Factors'!$C$9:$C$108,0))),""))</x:f>
      </x:c>
      <x:c r="U242" s="21" t="str">
        <x:f>IF(V242="Ready",H242*O242/1000,"")</x:f>
      </x:c>
      <x:c r="V242" s="9" t="str">
        <x:f>IF(C242="","",IF(OR(COUNTIFS($C$9:$C$308,C242)&lt;&gt;1,COUNTIFS($D$9:$D$308,D242,$E$9:$E$308,E242,$F$9:$F$308,F242,$G$9:$G$308,G242,$K$9:$K$308,K242)&lt;&gt;1),"Duplicate annual activity",IF(COUNTIFS('Inventory'!$C$9:$C$108,D242)&lt;&gt;1,"Entity required",IF(OR(E242="",L242="",NOT(ISNUMBER(H242)),H242&lt;0,NOT(ISNUMBER(K242)),NOT(ISNUMBER(N242))),"Missing activity input",IF(AND(E242&lt;&gt;D242,OR(COUNTIFS('Sites'!$C$9:$C$108,E242)&lt;&gt;1,IFERROR(IF(INDEX('Sites'!$D$9:$D$108,MATCH(E242,'Sites'!$C$9:$C$108,0))="","",INDEX('Sites'!$D$9:$D$108,MATCH(E242,'Sites'!$C$9:$C$108,0))),"")&lt;&gt;IFERROR(IF(INDEX('Inventory'!$D$9:$D$108,MATCH(D242,'Inventory'!$C$9:$C$108,0))="","",INDEX('Inventory'!$D$9:$D$108,MATCH(D242,'Inventory'!$C$9:$C$108,0))),""),IFERROR(IF(INDEX('Sites'!$E$9:$E$108,MATCH(E242,'Sites'!$C$9:$C$108,0))="","",INDEX('Sites'!$E$9:$E$108,MATCH(E242,'Sites'!$C$9:$C$108,0))),"")&lt;&gt;W242)),"Site / entity mismatch",IF(N242&lt;'Settings'!$F$8,"Expired",IF(X242&lt;&gt;"Ready","Factor required",IF(OR(G242&lt;&gt;IFERROR(IF(INDEX('Factors'!$D$9:$D$108,MATCH(J242,'Factors'!$C$9:$C$108,0))="","",INDEX('Factors'!$D$9:$D$108,MATCH(J242,'Factors'!$C$9:$C$108,0))),""),I242&lt;&gt;P242,F242&lt;&gt;Q242,K242&lt;&gt;S242,AND(R242&lt;&gt;"Global",R242&lt;&gt;W242),K242&lt;&gt;YEAR(IFERROR(IF(INDEX('Inventory'!$H$9:$H$108,MATCH(D242,'Inventory'!$C$9:$C$108,0))="","",INDEX('Inventory'!$H$9:$H$108,MATCH(D242,'Inventory'!$C$9:$C$108,0))),""))),"Factor / boundary mismatch",IF(AND(F242="S2",IFERROR(IF(INDEX('Factors'!$I$9:$I$108,MATCH(J242,'Factors'!$C$9:$C$108,0))="","",INDEX('Factors'!$I$9:$I$108,MATCH(J242,'Factors'!$C$9:$C$108,0))),"")&lt;&gt;"Location-based"),"Use location factor",IF(M242&lt;&gt;"Actual","Estimation method review","Ready"))))))))))</x:f>
      </x:c>
      <x:c r="W242" s="9" t="str">
        <x:f>IF(C242="","",IFERROR(IF(INDEX('Inventory'!$G$9:$G$108,MATCH(D242,'Inventory'!$C$9:$C$108,0))="","",INDEX('Inventory'!$G$9:$G$108,MATCH(D242,'Inventory'!$C$9:$C$108,0))),""))</x:f>
      </x:c>
      <x:c r="X242" s="9" t="str">
        <x:f>IF(C242="","",IFERROR(IF(INDEX('Factors'!$P$9:$P$108,MATCH(J242,'Factors'!$C$9:$C$108,0))="","",INDEX('Factors'!$P$9:$P$108,MATCH(J242,'Factors'!$C$9:$C$108,0))),""))</x:f>
      </x:c>
    </x:row>
    <x:row r="243" ht="26" customHeight="1">
      <x:c r="A243" s="1"/>
      <x:c r="B243" s="1"/>
      <x:c r="C243" s="8"/>
      <x:c r="D243" s="8"/>
      <x:c r="E243" s="8"/>
      <x:c r="F243" s="8"/>
      <x:c r="G243" s="8"/>
      <x:c r="H243" s="16"/>
      <x:c r="I243" s="8"/>
      <x:c r="J243" s="8"/>
      <x:c r="K243" s="22"/>
      <x:c r="L243" s="8"/>
      <x:c r="M243" s="8"/>
      <x:c r="N243" s="40"/>
      <x:c r="O243" s="41" t="str">
        <x:f>IF(C243="","",IFERROR(IF(INDEX('Factors'!$G$9:$G$108,MATCH(J243,'Factors'!$C$9:$C$108,0))="","",INDEX('Factors'!$G$9:$G$108,MATCH(J243,'Factors'!$C$9:$C$108,0))),""))</x:f>
      </x:c>
      <x:c r="P243" s="9" t="str">
        <x:f>IF(C243="","",IFERROR(IF(INDEX('Factors'!$F$9:$F$108,MATCH(J243,'Factors'!$C$9:$C$108,0))="","",INDEX('Factors'!$F$9:$F$108,MATCH(J243,'Factors'!$C$9:$C$108,0))),""))</x:f>
      </x:c>
      <x:c r="Q243" s="9" t="str">
        <x:f>IF(C243="","",IFERROR(IF(INDEX('Factors'!$H$9:$H$108,MATCH(J243,'Factors'!$C$9:$C$108,0))="","",INDEX('Factors'!$H$9:$H$108,MATCH(J243,'Factors'!$C$9:$C$108,0))),""))</x:f>
      </x:c>
      <x:c r="R243" s="9" t="str">
        <x:f>IF(C243="","",IFERROR(IF(INDEX('Factors'!$E$9:$E$108,MATCH(J243,'Factors'!$C$9:$C$108,0))="","",INDEX('Factors'!$E$9:$E$108,MATCH(J243,'Factors'!$C$9:$C$108,0))),""))</x:f>
      </x:c>
      <x:c r="S243" s="42" t="str">
        <x:f>IF(C243="","",IFERROR(IF(INDEX('Factors'!$J$9:$J$108,MATCH(J243,'Factors'!$C$9:$C$108,0))="","",INDEX('Factors'!$J$9:$J$108,MATCH(J243,'Factors'!$C$9:$C$108,0))),""))</x:f>
      </x:c>
      <x:c r="T243" s="9" t="str">
        <x:f>IF(C243="","",IFERROR(IF(INDEX('Factors'!$L$9:$L$108,MATCH(J243,'Factors'!$C$9:$C$108,0))="","",INDEX('Factors'!$L$9:$L$108,MATCH(J243,'Factors'!$C$9:$C$108,0))),"")&amp;" / "&amp;IFERROR(IF(INDEX('Factors'!$M$9:$M$108,MATCH(J243,'Factors'!$C$9:$C$108,0))="","",INDEX('Factors'!$M$9:$M$108,MATCH(J243,'Factors'!$C$9:$C$108,0))),""))</x:f>
      </x:c>
      <x:c r="U243" s="21" t="str">
        <x:f>IF(V243="Ready",H243*O243/1000,"")</x:f>
      </x:c>
      <x:c r="V243" s="9" t="str">
        <x:f>IF(C243="","",IF(OR(COUNTIFS($C$9:$C$308,C243)&lt;&gt;1,COUNTIFS($D$9:$D$308,D243,$E$9:$E$308,E243,$F$9:$F$308,F243,$G$9:$G$308,G243,$K$9:$K$308,K243)&lt;&gt;1),"Duplicate annual activity",IF(COUNTIFS('Inventory'!$C$9:$C$108,D243)&lt;&gt;1,"Entity required",IF(OR(E243="",L243="",NOT(ISNUMBER(H243)),H243&lt;0,NOT(ISNUMBER(K243)),NOT(ISNUMBER(N243))),"Missing activity input",IF(AND(E243&lt;&gt;D243,OR(COUNTIFS('Sites'!$C$9:$C$108,E243)&lt;&gt;1,IFERROR(IF(INDEX('Sites'!$D$9:$D$108,MATCH(E243,'Sites'!$C$9:$C$108,0))="","",INDEX('Sites'!$D$9:$D$108,MATCH(E243,'Sites'!$C$9:$C$108,0))),"")&lt;&gt;IFERROR(IF(INDEX('Inventory'!$D$9:$D$108,MATCH(D243,'Inventory'!$C$9:$C$108,0))="","",INDEX('Inventory'!$D$9:$D$108,MATCH(D243,'Inventory'!$C$9:$C$108,0))),""),IFERROR(IF(INDEX('Sites'!$E$9:$E$108,MATCH(E243,'Sites'!$C$9:$C$108,0))="","",INDEX('Sites'!$E$9:$E$108,MATCH(E243,'Sites'!$C$9:$C$108,0))),"")&lt;&gt;W243)),"Site / entity mismatch",IF(N243&lt;'Settings'!$F$8,"Expired",IF(X243&lt;&gt;"Ready","Factor required",IF(OR(G243&lt;&gt;IFERROR(IF(INDEX('Factors'!$D$9:$D$108,MATCH(J243,'Factors'!$C$9:$C$108,0))="","",INDEX('Factors'!$D$9:$D$108,MATCH(J243,'Factors'!$C$9:$C$108,0))),""),I243&lt;&gt;P243,F243&lt;&gt;Q243,K243&lt;&gt;S243,AND(R243&lt;&gt;"Global",R243&lt;&gt;W243),K243&lt;&gt;YEAR(IFERROR(IF(INDEX('Inventory'!$H$9:$H$108,MATCH(D243,'Inventory'!$C$9:$C$108,0))="","",INDEX('Inventory'!$H$9:$H$108,MATCH(D243,'Inventory'!$C$9:$C$108,0))),""))),"Factor / boundary mismatch",IF(AND(F243="S2",IFERROR(IF(INDEX('Factors'!$I$9:$I$108,MATCH(J243,'Factors'!$C$9:$C$108,0))="","",INDEX('Factors'!$I$9:$I$108,MATCH(J243,'Factors'!$C$9:$C$108,0))),"")&lt;&gt;"Location-based"),"Use location factor",IF(M243&lt;&gt;"Actual","Estimation method review","Ready"))))))))))</x:f>
      </x:c>
      <x:c r="W243" s="9" t="str">
        <x:f>IF(C243="","",IFERROR(IF(INDEX('Inventory'!$G$9:$G$108,MATCH(D243,'Inventory'!$C$9:$C$108,0))="","",INDEX('Inventory'!$G$9:$G$108,MATCH(D243,'Inventory'!$C$9:$C$108,0))),""))</x:f>
      </x:c>
      <x:c r="X243" s="9" t="str">
        <x:f>IF(C243="","",IFERROR(IF(INDEX('Factors'!$P$9:$P$108,MATCH(J243,'Factors'!$C$9:$C$108,0))="","",INDEX('Factors'!$P$9:$P$108,MATCH(J243,'Factors'!$C$9:$C$108,0))),""))</x:f>
      </x:c>
    </x:row>
    <x:row r="244" ht="26" customHeight="1">
      <x:c r="A244" s="1"/>
      <x:c r="B244" s="1"/>
      <x:c r="C244" s="8"/>
      <x:c r="D244" s="8"/>
      <x:c r="E244" s="8"/>
      <x:c r="F244" s="8"/>
      <x:c r="G244" s="8"/>
      <x:c r="H244" s="16"/>
      <x:c r="I244" s="8"/>
      <x:c r="J244" s="8"/>
      <x:c r="K244" s="22"/>
      <x:c r="L244" s="8"/>
      <x:c r="M244" s="8"/>
      <x:c r="N244" s="40"/>
      <x:c r="O244" s="41" t="str">
        <x:f>IF(C244="","",IFERROR(IF(INDEX('Factors'!$G$9:$G$108,MATCH(J244,'Factors'!$C$9:$C$108,0))="","",INDEX('Factors'!$G$9:$G$108,MATCH(J244,'Factors'!$C$9:$C$108,0))),""))</x:f>
      </x:c>
      <x:c r="P244" s="9" t="str">
        <x:f>IF(C244="","",IFERROR(IF(INDEX('Factors'!$F$9:$F$108,MATCH(J244,'Factors'!$C$9:$C$108,0))="","",INDEX('Factors'!$F$9:$F$108,MATCH(J244,'Factors'!$C$9:$C$108,0))),""))</x:f>
      </x:c>
      <x:c r="Q244" s="9" t="str">
        <x:f>IF(C244="","",IFERROR(IF(INDEX('Factors'!$H$9:$H$108,MATCH(J244,'Factors'!$C$9:$C$108,0))="","",INDEX('Factors'!$H$9:$H$108,MATCH(J244,'Factors'!$C$9:$C$108,0))),""))</x:f>
      </x:c>
      <x:c r="R244" s="9" t="str">
        <x:f>IF(C244="","",IFERROR(IF(INDEX('Factors'!$E$9:$E$108,MATCH(J244,'Factors'!$C$9:$C$108,0))="","",INDEX('Factors'!$E$9:$E$108,MATCH(J244,'Factors'!$C$9:$C$108,0))),""))</x:f>
      </x:c>
      <x:c r="S244" s="42" t="str">
        <x:f>IF(C244="","",IFERROR(IF(INDEX('Factors'!$J$9:$J$108,MATCH(J244,'Factors'!$C$9:$C$108,0))="","",INDEX('Factors'!$J$9:$J$108,MATCH(J244,'Factors'!$C$9:$C$108,0))),""))</x:f>
      </x:c>
      <x:c r="T244" s="9" t="str">
        <x:f>IF(C244="","",IFERROR(IF(INDEX('Factors'!$L$9:$L$108,MATCH(J244,'Factors'!$C$9:$C$108,0))="","",INDEX('Factors'!$L$9:$L$108,MATCH(J244,'Factors'!$C$9:$C$108,0))),"")&amp;" / "&amp;IFERROR(IF(INDEX('Factors'!$M$9:$M$108,MATCH(J244,'Factors'!$C$9:$C$108,0))="","",INDEX('Factors'!$M$9:$M$108,MATCH(J244,'Factors'!$C$9:$C$108,0))),""))</x:f>
      </x:c>
      <x:c r="U244" s="21" t="str">
        <x:f>IF(V244="Ready",H244*O244/1000,"")</x:f>
      </x:c>
      <x:c r="V244" s="9" t="str">
        <x:f>IF(C244="","",IF(OR(COUNTIFS($C$9:$C$308,C244)&lt;&gt;1,COUNTIFS($D$9:$D$308,D244,$E$9:$E$308,E244,$F$9:$F$308,F244,$G$9:$G$308,G244,$K$9:$K$308,K244)&lt;&gt;1),"Duplicate annual activity",IF(COUNTIFS('Inventory'!$C$9:$C$108,D244)&lt;&gt;1,"Entity required",IF(OR(E244="",L244="",NOT(ISNUMBER(H244)),H244&lt;0,NOT(ISNUMBER(K244)),NOT(ISNUMBER(N244))),"Missing activity input",IF(AND(E244&lt;&gt;D244,OR(COUNTIFS('Sites'!$C$9:$C$108,E244)&lt;&gt;1,IFERROR(IF(INDEX('Sites'!$D$9:$D$108,MATCH(E244,'Sites'!$C$9:$C$108,0))="","",INDEX('Sites'!$D$9:$D$108,MATCH(E244,'Sites'!$C$9:$C$108,0))),"")&lt;&gt;IFERROR(IF(INDEX('Inventory'!$D$9:$D$108,MATCH(D244,'Inventory'!$C$9:$C$108,0))="","",INDEX('Inventory'!$D$9:$D$108,MATCH(D244,'Inventory'!$C$9:$C$108,0))),""),IFERROR(IF(INDEX('Sites'!$E$9:$E$108,MATCH(E244,'Sites'!$C$9:$C$108,0))="","",INDEX('Sites'!$E$9:$E$108,MATCH(E244,'Sites'!$C$9:$C$108,0))),"")&lt;&gt;W244)),"Site / entity mismatch",IF(N244&lt;'Settings'!$F$8,"Expired",IF(X244&lt;&gt;"Ready","Factor required",IF(OR(G244&lt;&gt;IFERROR(IF(INDEX('Factors'!$D$9:$D$108,MATCH(J244,'Factors'!$C$9:$C$108,0))="","",INDEX('Factors'!$D$9:$D$108,MATCH(J244,'Factors'!$C$9:$C$108,0))),""),I244&lt;&gt;P244,F244&lt;&gt;Q244,K244&lt;&gt;S244,AND(R244&lt;&gt;"Global",R244&lt;&gt;W244),K244&lt;&gt;YEAR(IFERROR(IF(INDEX('Inventory'!$H$9:$H$108,MATCH(D244,'Inventory'!$C$9:$C$108,0))="","",INDEX('Inventory'!$H$9:$H$108,MATCH(D244,'Inventory'!$C$9:$C$108,0))),""))),"Factor / boundary mismatch",IF(AND(F244="S2",IFERROR(IF(INDEX('Factors'!$I$9:$I$108,MATCH(J244,'Factors'!$C$9:$C$108,0))="","",INDEX('Factors'!$I$9:$I$108,MATCH(J244,'Factors'!$C$9:$C$108,0))),"")&lt;&gt;"Location-based"),"Use location factor",IF(M244&lt;&gt;"Actual","Estimation method review","Ready"))))))))))</x:f>
      </x:c>
      <x:c r="W244" s="9" t="str">
        <x:f>IF(C244="","",IFERROR(IF(INDEX('Inventory'!$G$9:$G$108,MATCH(D244,'Inventory'!$C$9:$C$108,0))="","",INDEX('Inventory'!$G$9:$G$108,MATCH(D244,'Inventory'!$C$9:$C$108,0))),""))</x:f>
      </x:c>
      <x:c r="X244" s="9" t="str">
        <x:f>IF(C244="","",IFERROR(IF(INDEX('Factors'!$P$9:$P$108,MATCH(J244,'Factors'!$C$9:$C$108,0))="","",INDEX('Factors'!$P$9:$P$108,MATCH(J244,'Factors'!$C$9:$C$108,0))),""))</x:f>
      </x:c>
    </x:row>
    <x:row r="245" ht="26" customHeight="1">
      <x:c r="A245" s="1"/>
      <x:c r="B245" s="1"/>
      <x:c r="C245" s="8"/>
      <x:c r="D245" s="8"/>
      <x:c r="E245" s="8"/>
      <x:c r="F245" s="8"/>
      <x:c r="G245" s="8"/>
      <x:c r="H245" s="16"/>
      <x:c r="I245" s="8"/>
      <x:c r="J245" s="8"/>
      <x:c r="K245" s="22"/>
      <x:c r="L245" s="8"/>
      <x:c r="M245" s="8"/>
      <x:c r="N245" s="40"/>
      <x:c r="O245" s="41" t="str">
        <x:f>IF(C245="","",IFERROR(IF(INDEX('Factors'!$G$9:$G$108,MATCH(J245,'Factors'!$C$9:$C$108,0))="","",INDEX('Factors'!$G$9:$G$108,MATCH(J245,'Factors'!$C$9:$C$108,0))),""))</x:f>
      </x:c>
      <x:c r="P245" s="9" t="str">
        <x:f>IF(C245="","",IFERROR(IF(INDEX('Factors'!$F$9:$F$108,MATCH(J245,'Factors'!$C$9:$C$108,0))="","",INDEX('Factors'!$F$9:$F$108,MATCH(J245,'Factors'!$C$9:$C$108,0))),""))</x:f>
      </x:c>
      <x:c r="Q245" s="9" t="str">
        <x:f>IF(C245="","",IFERROR(IF(INDEX('Factors'!$H$9:$H$108,MATCH(J245,'Factors'!$C$9:$C$108,0))="","",INDEX('Factors'!$H$9:$H$108,MATCH(J245,'Factors'!$C$9:$C$108,0))),""))</x:f>
      </x:c>
      <x:c r="R245" s="9" t="str">
        <x:f>IF(C245="","",IFERROR(IF(INDEX('Factors'!$E$9:$E$108,MATCH(J245,'Factors'!$C$9:$C$108,0))="","",INDEX('Factors'!$E$9:$E$108,MATCH(J245,'Factors'!$C$9:$C$108,0))),""))</x:f>
      </x:c>
      <x:c r="S245" s="42" t="str">
        <x:f>IF(C245="","",IFERROR(IF(INDEX('Factors'!$J$9:$J$108,MATCH(J245,'Factors'!$C$9:$C$108,0))="","",INDEX('Factors'!$J$9:$J$108,MATCH(J245,'Factors'!$C$9:$C$108,0))),""))</x:f>
      </x:c>
      <x:c r="T245" s="9" t="str">
        <x:f>IF(C245="","",IFERROR(IF(INDEX('Factors'!$L$9:$L$108,MATCH(J245,'Factors'!$C$9:$C$108,0))="","",INDEX('Factors'!$L$9:$L$108,MATCH(J245,'Factors'!$C$9:$C$108,0))),"")&amp;" / "&amp;IFERROR(IF(INDEX('Factors'!$M$9:$M$108,MATCH(J245,'Factors'!$C$9:$C$108,0))="","",INDEX('Factors'!$M$9:$M$108,MATCH(J245,'Factors'!$C$9:$C$108,0))),""))</x:f>
      </x:c>
      <x:c r="U245" s="21" t="str">
        <x:f>IF(V245="Ready",H245*O245/1000,"")</x:f>
      </x:c>
      <x:c r="V245" s="9" t="str">
        <x:f>IF(C245="","",IF(OR(COUNTIFS($C$9:$C$308,C245)&lt;&gt;1,COUNTIFS($D$9:$D$308,D245,$E$9:$E$308,E245,$F$9:$F$308,F245,$G$9:$G$308,G245,$K$9:$K$308,K245)&lt;&gt;1),"Duplicate annual activity",IF(COUNTIFS('Inventory'!$C$9:$C$108,D245)&lt;&gt;1,"Entity required",IF(OR(E245="",L245="",NOT(ISNUMBER(H245)),H245&lt;0,NOT(ISNUMBER(K245)),NOT(ISNUMBER(N245))),"Missing activity input",IF(AND(E245&lt;&gt;D245,OR(COUNTIFS('Sites'!$C$9:$C$108,E245)&lt;&gt;1,IFERROR(IF(INDEX('Sites'!$D$9:$D$108,MATCH(E245,'Sites'!$C$9:$C$108,0))="","",INDEX('Sites'!$D$9:$D$108,MATCH(E245,'Sites'!$C$9:$C$108,0))),"")&lt;&gt;IFERROR(IF(INDEX('Inventory'!$D$9:$D$108,MATCH(D245,'Inventory'!$C$9:$C$108,0))="","",INDEX('Inventory'!$D$9:$D$108,MATCH(D245,'Inventory'!$C$9:$C$108,0))),""),IFERROR(IF(INDEX('Sites'!$E$9:$E$108,MATCH(E245,'Sites'!$C$9:$C$108,0))="","",INDEX('Sites'!$E$9:$E$108,MATCH(E245,'Sites'!$C$9:$C$108,0))),"")&lt;&gt;W245)),"Site / entity mismatch",IF(N245&lt;'Settings'!$F$8,"Expired",IF(X245&lt;&gt;"Ready","Factor required",IF(OR(G245&lt;&gt;IFERROR(IF(INDEX('Factors'!$D$9:$D$108,MATCH(J245,'Factors'!$C$9:$C$108,0))="","",INDEX('Factors'!$D$9:$D$108,MATCH(J245,'Factors'!$C$9:$C$108,0))),""),I245&lt;&gt;P245,F245&lt;&gt;Q245,K245&lt;&gt;S245,AND(R245&lt;&gt;"Global",R245&lt;&gt;W245),K245&lt;&gt;YEAR(IFERROR(IF(INDEX('Inventory'!$H$9:$H$108,MATCH(D245,'Inventory'!$C$9:$C$108,0))="","",INDEX('Inventory'!$H$9:$H$108,MATCH(D245,'Inventory'!$C$9:$C$108,0))),""))),"Factor / boundary mismatch",IF(AND(F245="S2",IFERROR(IF(INDEX('Factors'!$I$9:$I$108,MATCH(J245,'Factors'!$C$9:$C$108,0))="","",INDEX('Factors'!$I$9:$I$108,MATCH(J245,'Factors'!$C$9:$C$108,0))),"")&lt;&gt;"Location-based"),"Use location factor",IF(M245&lt;&gt;"Actual","Estimation method review","Ready"))))))))))</x:f>
      </x:c>
      <x:c r="W245" s="9" t="str">
        <x:f>IF(C245="","",IFERROR(IF(INDEX('Inventory'!$G$9:$G$108,MATCH(D245,'Inventory'!$C$9:$C$108,0))="","",INDEX('Inventory'!$G$9:$G$108,MATCH(D245,'Inventory'!$C$9:$C$108,0))),""))</x:f>
      </x:c>
      <x:c r="X245" s="9" t="str">
        <x:f>IF(C245="","",IFERROR(IF(INDEX('Factors'!$P$9:$P$108,MATCH(J245,'Factors'!$C$9:$C$108,0))="","",INDEX('Factors'!$P$9:$P$108,MATCH(J245,'Factors'!$C$9:$C$108,0))),""))</x:f>
      </x:c>
    </x:row>
    <x:row r="246" ht="26" customHeight="1">
      <x:c r="A246" s="1"/>
      <x:c r="B246" s="1"/>
      <x:c r="C246" s="8"/>
      <x:c r="D246" s="8"/>
      <x:c r="E246" s="8"/>
      <x:c r="F246" s="8"/>
      <x:c r="G246" s="8"/>
      <x:c r="H246" s="16"/>
      <x:c r="I246" s="8"/>
      <x:c r="J246" s="8"/>
      <x:c r="K246" s="22"/>
      <x:c r="L246" s="8"/>
      <x:c r="M246" s="8"/>
      <x:c r="N246" s="40"/>
      <x:c r="O246" s="41" t="str">
        <x:f>IF(C246="","",IFERROR(IF(INDEX('Factors'!$G$9:$G$108,MATCH(J246,'Factors'!$C$9:$C$108,0))="","",INDEX('Factors'!$G$9:$G$108,MATCH(J246,'Factors'!$C$9:$C$108,0))),""))</x:f>
      </x:c>
      <x:c r="P246" s="9" t="str">
        <x:f>IF(C246="","",IFERROR(IF(INDEX('Factors'!$F$9:$F$108,MATCH(J246,'Factors'!$C$9:$C$108,0))="","",INDEX('Factors'!$F$9:$F$108,MATCH(J246,'Factors'!$C$9:$C$108,0))),""))</x:f>
      </x:c>
      <x:c r="Q246" s="9" t="str">
        <x:f>IF(C246="","",IFERROR(IF(INDEX('Factors'!$H$9:$H$108,MATCH(J246,'Factors'!$C$9:$C$108,0))="","",INDEX('Factors'!$H$9:$H$108,MATCH(J246,'Factors'!$C$9:$C$108,0))),""))</x:f>
      </x:c>
      <x:c r="R246" s="9" t="str">
        <x:f>IF(C246="","",IFERROR(IF(INDEX('Factors'!$E$9:$E$108,MATCH(J246,'Factors'!$C$9:$C$108,0))="","",INDEX('Factors'!$E$9:$E$108,MATCH(J246,'Factors'!$C$9:$C$108,0))),""))</x:f>
      </x:c>
      <x:c r="S246" s="42" t="str">
        <x:f>IF(C246="","",IFERROR(IF(INDEX('Factors'!$J$9:$J$108,MATCH(J246,'Factors'!$C$9:$C$108,0))="","",INDEX('Factors'!$J$9:$J$108,MATCH(J246,'Factors'!$C$9:$C$108,0))),""))</x:f>
      </x:c>
      <x:c r="T246" s="9" t="str">
        <x:f>IF(C246="","",IFERROR(IF(INDEX('Factors'!$L$9:$L$108,MATCH(J246,'Factors'!$C$9:$C$108,0))="","",INDEX('Factors'!$L$9:$L$108,MATCH(J246,'Factors'!$C$9:$C$108,0))),"")&amp;" / "&amp;IFERROR(IF(INDEX('Factors'!$M$9:$M$108,MATCH(J246,'Factors'!$C$9:$C$108,0))="","",INDEX('Factors'!$M$9:$M$108,MATCH(J246,'Factors'!$C$9:$C$108,0))),""))</x:f>
      </x:c>
      <x:c r="U246" s="21" t="str">
        <x:f>IF(V246="Ready",H246*O246/1000,"")</x:f>
      </x:c>
      <x:c r="V246" s="9" t="str">
        <x:f>IF(C246="","",IF(OR(COUNTIFS($C$9:$C$308,C246)&lt;&gt;1,COUNTIFS($D$9:$D$308,D246,$E$9:$E$308,E246,$F$9:$F$308,F246,$G$9:$G$308,G246,$K$9:$K$308,K246)&lt;&gt;1),"Duplicate annual activity",IF(COUNTIFS('Inventory'!$C$9:$C$108,D246)&lt;&gt;1,"Entity required",IF(OR(E246="",L246="",NOT(ISNUMBER(H246)),H246&lt;0,NOT(ISNUMBER(K246)),NOT(ISNUMBER(N246))),"Missing activity input",IF(AND(E246&lt;&gt;D246,OR(COUNTIFS('Sites'!$C$9:$C$108,E246)&lt;&gt;1,IFERROR(IF(INDEX('Sites'!$D$9:$D$108,MATCH(E246,'Sites'!$C$9:$C$108,0))="","",INDEX('Sites'!$D$9:$D$108,MATCH(E246,'Sites'!$C$9:$C$108,0))),"")&lt;&gt;IFERROR(IF(INDEX('Inventory'!$D$9:$D$108,MATCH(D246,'Inventory'!$C$9:$C$108,0))="","",INDEX('Inventory'!$D$9:$D$108,MATCH(D246,'Inventory'!$C$9:$C$108,0))),""),IFERROR(IF(INDEX('Sites'!$E$9:$E$108,MATCH(E246,'Sites'!$C$9:$C$108,0))="","",INDEX('Sites'!$E$9:$E$108,MATCH(E246,'Sites'!$C$9:$C$108,0))),"")&lt;&gt;W246)),"Site / entity mismatch",IF(N246&lt;'Settings'!$F$8,"Expired",IF(X246&lt;&gt;"Ready","Factor required",IF(OR(G246&lt;&gt;IFERROR(IF(INDEX('Factors'!$D$9:$D$108,MATCH(J246,'Factors'!$C$9:$C$108,0))="","",INDEX('Factors'!$D$9:$D$108,MATCH(J246,'Factors'!$C$9:$C$108,0))),""),I246&lt;&gt;P246,F246&lt;&gt;Q246,K246&lt;&gt;S246,AND(R246&lt;&gt;"Global",R246&lt;&gt;W246),K246&lt;&gt;YEAR(IFERROR(IF(INDEX('Inventory'!$H$9:$H$108,MATCH(D246,'Inventory'!$C$9:$C$108,0))="","",INDEX('Inventory'!$H$9:$H$108,MATCH(D246,'Inventory'!$C$9:$C$108,0))),""))),"Factor / boundary mismatch",IF(AND(F246="S2",IFERROR(IF(INDEX('Factors'!$I$9:$I$108,MATCH(J246,'Factors'!$C$9:$C$108,0))="","",INDEX('Factors'!$I$9:$I$108,MATCH(J246,'Factors'!$C$9:$C$108,0))),"")&lt;&gt;"Location-based"),"Use location factor",IF(M246&lt;&gt;"Actual","Estimation method review","Ready"))))))))))</x:f>
      </x:c>
      <x:c r="W246" s="9" t="str">
        <x:f>IF(C246="","",IFERROR(IF(INDEX('Inventory'!$G$9:$G$108,MATCH(D246,'Inventory'!$C$9:$C$108,0))="","",INDEX('Inventory'!$G$9:$G$108,MATCH(D246,'Inventory'!$C$9:$C$108,0))),""))</x:f>
      </x:c>
      <x:c r="X246" s="9" t="str">
        <x:f>IF(C246="","",IFERROR(IF(INDEX('Factors'!$P$9:$P$108,MATCH(J246,'Factors'!$C$9:$C$108,0))="","",INDEX('Factors'!$P$9:$P$108,MATCH(J246,'Factors'!$C$9:$C$108,0))),""))</x:f>
      </x:c>
    </x:row>
    <x:row r="247" ht="26" customHeight="1">
      <x:c r="A247" s="1"/>
      <x:c r="B247" s="1"/>
      <x:c r="C247" s="8"/>
      <x:c r="D247" s="8"/>
      <x:c r="E247" s="8"/>
      <x:c r="F247" s="8"/>
      <x:c r="G247" s="8"/>
      <x:c r="H247" s="16"/>
      <x:c r="I247" s="8"/>
      <x:c r="J247" s="8"/>
      <x:c r="K247" s="22"/>
      <x:c r="L247" s="8"/>
      <x:c r="M247" s="8"/>
      <x:c r="N247" s="40"/>
      <x:c r="O247" s="41" t="str">
        <x:f>IF(C247="","",IFERROR(IF(INDEX('Factors'!$G$9:$G$108,MATCH(J247,'Factors'!$C$9:$C$108,0))="","",INDEX('Factors'!$G$9:$G$108,MATCH(J247,'Factors'!$C$9:$C$108,0))),""))</x:f>
      </x:c>
      <x:c r="P247" s="9" t="str">
        <x:f>IF(C247="","",IFERROR(IF(INDEX('Factors'!$F$9:$F$108,MATCH(J247,'Factors'!$C$9:$C$108,0))="","",INDEX('Factors'!$F$9:$F$108,MATCH(J247,'Factors'!$C$9:$C$108,0))),""))</x:f>
      </x:c>
      <x:c r="Q247" s="9" t="str">
        <x:f>IF(C247="","",IFERROR(IF(INDEX('Factors'!$H$9:$H$108,MATCH(J247,'Factors'!$C$9:$C$108,0))="","",INDEX('Factors'!$H$9:$H$108,MATCH(J247,'Factors'!$C$9:$C$108,0))),""))</x:f>
      </x:c>
      <x:c r="R247" s="9" t="str">
        <x:f>IF(C247="","",IFERROR(IF(INDEX('Factors'!$E$9:$E$108,MATCH(J247,'Factors'!$C$9:$C$108,0))="","",INDEX('Factors'!$E$9:$E$108,MATCH(J247,'Factors'!$C$9:$C$108,0))),""))</x:f>
      </x:c>
      <x:c r="S247" s="42" t="str">
        <x:f>IF(C247="","",IFERROR(IF(INDEX('Factors'!$J$9:$J$108,MATCH(J247,'Factors'!$C$9:$C$108,0))="","",INDEX('Factors'!$J$9:$J$108,MATCH(J247,'Factors'!$C$9:$C$108,0))),""))</x:f>
      </x:c>
      <x:c r="T247" s="9" t="str">
        <x:f>IF(C247="","",IFERROR(IF(INDEX('Factors'!$L$9:$L$108,MATCH(J247,'Factors'!$C$9:$C$108,0))="","",INDEX('Factors'!$L$9:$L$108,MATCH(J247,'Factors'!$C$9:$C$108,0))),"")&amp;" / "&amp;IFERROR(IF(INDEX('Factors'!$M$9:$M$108,MATCH(J247,'Factors'!$C$9:$C$108,0))="","",INDEX('Factors'!$M$9:$M$108,MATCH(J247,'Factors'!$C$9:$C$108,0))),""))</x:f>
      </x:c>
      <x:c r="U247" s="21" t="str">
        <x:f>IF(V247="Ready",H247*O247/1000,"")</x:f>
      </x:c>
      <x:c r="V247" s="9" t="str">
        <x:f>IF(C247="","",IF(OR(COUNTIFS($C$9:$C$308,C247)&lt;&gt;1,COUNTIFS($D$9:$D$308,D247,$E$9:$E$308,E247,$F$9:$F$308,F247,$G$9:$G$308,G247,$K$9:$K$308,K247)&lt;&gt;1),"Duplicate annual activity",IF(COUNTIFS('Inventory'!$C$9:$C$108,D247)&lt;&gt;1,"Entity required",IF(OR(E247="",L247="",NOT(ISNUMBER(H247)),H247&lt;0,NOT(ISNUMBER(K247)),NOT(ISNUMBER(N247))),"Missing activity input",IF(AND(E247&lt;&gt;D247,OR(COUNTIFS('Sites'!$C$9:$C$108,E247)&lt;&gt;1,IFERROR(IF(INDEX('Sites'!$D$9:$D$108,MATCH(E247,'Sites'!$C$9:$C$108,0))="","",INDEX('Sites'!$D$9:$D$108,MATCH(E247,'Sites'!$C$9:$C$108,0))),"")&lt;&gt;IFERROR(IF(INDEX('Inventory'!$D$9:$D$108,MATCH(D247,'Inventory'!$C$9:$C$108,0))="","",INDEX('Inventory'!$D$9:$D$108,MATCH(D247,'Inventory'!$C$9:$C$108,0))),""),IFERROR(IF(INDEX('Sites'!$E$9:$E$108,MATCH(E247,'Sites'!$C$9:$C$108,0))="","",INDEX('Sites'!$E$9:$E$108,MATCH(E247,'Sites'!$C$9:$C$108,0))),"")&lt;&gt;W247)),"Site / entity mismatch",IF(N247&lt;'Settings'!$F$8,"Expired",IF(X247&lt;&gt;"Ready","Factor required",IF(OR(G247&lt;&gt;IFERROR(IF(INDEX('Factors'!$D$9:$D$108,MATCH(J247,'Factors'!$C$9:$C$108,0))="","",INDEX('Factors'!$D$9:$D$108,MATCH(J247,'Factors'!$C$9:$C$108,0))),""),I247&lt;&gt;P247,F247&lt;&gt;Q247,K247&lt;&gt;S247,AND(R247&lt;&gt;"Global",R247&lt;&gt;W247),K247&lt;&gt;YEAR(IFERROR(IF(INDEX('Inventory'!$H$9:$H$108,MATCH(D247,'Inventory'!$C$9:$C$108,0))="","",INDEX('Inventory'!$H$9:$H$108,MATCH(D247,'Inventory'!$C$9:$C$108,0))),""))),"Factor / boundary mismatch",IF(AND(F247="S2",IFERROR(IF(INDEX('Factors'!$I$9:$I$108,MATCH(J247,'Factors'!$C$9:$C$108,0))="","",INDEX('Factors'!$I$9:$I$108,MATCH(J247,'Factors'!$C$9:$C$108,0))),"")&lt;&gt;"Location-based"),"Use location factor",IF(M247&lt;&gt;"Actual","Estimation method review","Ready"))))))))))</x:f>
      </x:c>
      <x:c r="W247" s="9" t="str">
        <x:f>IF(C247="","",IFERROR(IF(INDEX('Inventory'!$G$9:$G$108,MATCH(D247,'Inventory'!$C$9:$C$108,0))="","",INDEX('Inventory'!$G$9:$G$108,MATCH(D247,'Inventory'!$C$9:$C$108,0))),""))</x:f>
      </x:c>
      <x:c r="X247" s="9" t="str">
        <x:f>IF(C247="","",IFERROR(IF(INDEX('Factors'!$P$9:$P$108,MATCH(J247,'Factors'!$C$9:$C$108,0))="","",INDEX('Factors'!$P$9:$P$108,MATCH(J247,'Factors'!$C$9:$C$108,0))),""))</x:f>
      </x:c>
    </x:row>
    <x:row r="248" ht="26" customHeight="1">
      <x:c r="A248" s="1"/>
      <x:c r="B248" s="1"/>
      <x:c r="C248" s="8"/>
      <x:c r="D248" s="8"/>
      <x:c r="E248" s="8"/>
      <x:c r="F248" s="8"/>
      <x:c r="G248" s="8"/>
      <x:c r="H248" s="16"/>
      <x:c r="I248" s="8"/>
      <x:c r="J248" s="8"/>
      <x:c r="K248" s="22"/>
      <x:c r="L248" s="8"/>
      <x:c r="M248" s="8"/>
      <x:c r="N248" s="40"/>
      <x:c r="O248" s="41" t="str">
        <x:f>IF(C248="","",IFERROR(IF(INDEX('Factors'!$G$9:$G$108,MATCH(J248,'Factors'!$C$9:$C$108,0))="","",INDEX('Factors'!$G$9:$G$108,MATCH(J248,'Factors'!$C$9:$C$108,0))),""))</x:f>
      </x:c>
      <x:c r="P248" s="9" t="str">
        <x:f>IF(C248="","",IFERROR(IF(INDEX('Factors'!$F$9:$F$108,MATCH(J248,'Factors'!$C$9:$C$108,0))="","",INDEX('Factors'!$F$9:$F$108,MATCH(J248,'Factors'!$C$9:$C$108,0))),""))</x:f>
      </x:c>
      <x:c r="Q248" s="9" t="str">
        <x:f>IF(C248="","",IFERROR(IF(INDEX('Factors'!$H$9:$H$108,MATCH(J248,'Factors'!$C$9:$C$108,0))="","",INDEX('Factors'!$H$9:$H$108,MATCH(J248,'Factors'!$C$9:$C$108,0))),""))</x:f>
      </x:c>
      <x:c r="R248" s="9" t="str">
        <x:f>IF(C248="","",IFERROR(IF(INDEX('Factors'!$E$9:$E$108,MATCH(J248,'Factors'!$C$9:$C$108,0))="","",INDEX('Factors'!$E$9:$E$108,MATCH(J248,'Factors'!$C$9:$C$108,0))),""))</x:f>
      </x:c>
      <x:c r="S248" s="42" t="str">
        <x:f>IF(C248="","",IFERROR(IF(INDEX('Factors'!$J$9:$J$108,MATCH(J248,'Factors'!$C$9:$C$108,0))="","",INDEX('Factors'!$J$9:$J$108,MATCH(J248,'Factors'!$C$9:$C$108,0))),""))</x:f>
      </x:c>
      <x:c r="T248" s="9" t="str">
        <x:f>IF(C248="","",IFERROR(IF(INDEX('Factors'!$L$9:$L$108,MATCH(J248,'Factors'!$C$9:$C$108,0))="","",INDEX('Factors'!$L$9:$L$108,MATCH(J248,'Factors'!$C$9:$C$108,0))),"")&amp;" / "&amp;IFERROR(IF(INDEX('Factors'!$M$9:$M$108,MATCH(J248,'Factors'!$C$9:$C$108,0))="","",INDEX('Factors'!$M$9:$M$108,MATCH(J248,'Factors'!$C$9:$C$108,0))),""))</x:f>
      </x:c>
      <x:c r="U248" s="21" t="str">
        <x:f>IF(V248="Ready",H248*O248/1000,"")</x:f>
      </x:c>
      <x:c r="V248" s="9" t="str">
        <x:f>IF(C248="","",IF(OR(COUNTIFS($C$9:$C$308,C248)&lt;&gt;1,COUNTIFS($D$9:$D$308,D248,$E$9:$E$308,E248,$F$9:$F$308,F248,$G$9:$G$308,G248,$K$9:$K$308,K248)&lt;&gt;1),"Duplicate annual activity",IF(COUNTIFS('Inventory'!$C$9:$C$108,D248)&lt;&gt;1,"Entity required",IF(OR(E248="",L248="",NOT(ISNUMBER(H248)),H248&lt;0,NOT(ISNUMBER(K248)),NOT(ISNUMBER(N248))),"Missing activity input",IF(AND(E248&lt;&gt;D248,OR(COUNTIFS('Sites'!$C$9:$C$108,E248)&lt;&gt;1,IFERROR(IF(INDEX('Sites'!$D$9:$D$108,MATCH(E248,'Sites'!$C$9:$C$108,0))="","",INDEX('Sites'!$D$9:$D$108,MATCH(E248,'Sites'!$C$9:$C$108,0))),"")&lt;&gt;IFERROR(IF(INDEX('Inventory'!$D$9:$D$108,MATCH(D248,'Inventory'!$C$9:$C$108,0))="","",INDEX('Inventory'!$D$9:$D$108,MATCH(D248,'Inventory'!$C$9:$C$108,0))),""),IFERROR(IF(INDEX('Sites'!$E$9:$E$108,MATCH(E248,'Sites'!$C$9:$C$108,0))="","",INDEX('Sites'!$E$9:$E$108,MATCH(E248,'Sites'!$C$9:$C$108,0))),"")&lt;&gt;W248)),"Site / entity mismatch",IF(N248&lt;'Settings'!$F$8,"Expired",IF(X248&lt;&gt;"Ready","Factor required",IF(OR(G248&lt;&gt;IFERROR(IF(INDEX('Factors'!$D$9:$D$108,MATCH(J248,'Factors'!$C$9:$C$108,0))="","",INDEX('Factors'!$D$9:$D$108,MATCH(J248,'Factors'!$C$9:$C$108,0))),""),I248&lt;&gt;P248,F248&lt;&gt;Q248,K248&lt;&gt;S248,AND(R248&lt;&gt;"Global",R248&lt;&gt;W248),K248&lt;&gt;YEAR(IFERROR(IF(INDEX('Inventory'!$H$9:$H$108,MATCH(D248,'Inventory'!$C$9:$C$108,0))="","",INDEX('Inventory'!$H$9:$H$108,MATCH(D248,'Inventory'!$C$9:$C$108,0))),""))),"Factor / boundary mismatch",IF(AND(F248="S2",IFERROR(IF(INDEX('Factors'!$I$9:$I$108,MATCH(J248,'Factors'!$C$9:$C$108,0))="","",INDEX('Factors'!$I$9:$I$108,MATCH(J248,'Factors'!$C$9:$C$108,0))),"")&lt;&gt;"Location-based"),"Use location factor",IF(M248&lt;&gt;"Actual","Estimation method review","Ready"))))))))))</x:f>
      </x:c>
      <x:c r="W248" s="9" t="str">
        <x:f>IF(C248="","",IFERROR(IF(INDEX('Inventory'!$G$9:$G$108,MATCH(D248,'Inventory'!$C$9:$C$108,0))="","",INDEX('Inventory'!$G$9:$G$108,MATCH(D248,'Inventory'!$C$9:$C$108,0))),""))</x:f>
      </x:c>
      <x:c r="X248" s="9" t="str">
        <x:f>IF(C248="","",IFERROR(IF(INDEX('Factors'!$P$9:$P$108,MATCH(J248,'Factors'!$C$9:$C$108,0))="","",INDEX('Factors'!$P$9:$P$108,MATCH(J248,'Factors'!$C$9:$C$108,0))),""))</x:f>
      </x:c>
    </x:row>
    <x:row r="249" ht="26" customHeight="1">
      <x:c r="A249" s="1"/>
      <x:c r="B249" s="1"/>
      <x:c r="C249" s="8"/>
      <x:c r="D249" s="8"/>
      <x:c r="E249" s="8"/>
      <x:c r="F249" s="8"/>
      <x:c r="G249" s="8"/>
      <x:c r="H249" s="16"/>
      <x:c r="I249" s="8"/>
      <x:c r="J249" s="8"/>
      <x:c r="K249" s="22"/>
      <x:c r="L249" s="8"/>
      <x:c r="M249" s="8"/>
      <x:c r="N249" s="40"/>
      <x:c r="O249" s="41" t="str">
        <x:f>IF(C249="","",IFERROR(IF(INDEX('Factors'!$G$9:$G$108,MATCH(J249,'Factors'!$C$9:$C$108,0))="","",INDEX('Factors'!$G$9:$G$108,MATCH(J249,'Factors'!$C$9:$C$108,0))),""))</x:f>
      </x:c>
      <x:c r="P249" s="9" t="str">
        <x:f>IF(C249="","",IFERROR(IF(INDEX('Factors'!$F$9:$F$108,MATCH(J249,'Factors'!$C$9:$C$108,0))="","",INDEX('Factors'!$F$9:$F$108,MATCH(J249,'Factors'!$C$9:$C$108,0))),""))</x:f>
      </x:c>
      <x:c r="Q249" s="9" t="str">
        <x:f>IF(C249="","",IFERROR(IF(INDEX('Factors'!$H$9:$H$108,MATCH(J249,'Factors'!$C$9:$C$108,0))="","",INDEX('Factors'!$H$9:$H$108,MATCH(J249,'Factors'!$C$9:$C$108,0))),""))</x:f>
      </x:c>
      <x:c r="R249" s="9" t="str">
        <x:f>IF(C249="","",IFERROR(IF(INDEX('Factors'!$E$9:$E$108,MATCH(J249,'Factors'!$C$9:$C$108,0))="","",INDEX('Factors'!$E$9:$E$108,MATCH(J249,'Factors'!$C$9:$C$108,0))),""))</x:f>
      </x:c>
      <x:c r="S249" s="42" t="str">
        <x:f>IF(C249="","",IFERROR(IF(INDEX('Factors'!$J$9:$J$108,MATCH(J249,'Factors'!$C$9:$C$108,0))="","",INDEX('Factors'!$J$9:$J$108,MATCH(J249,'Factors'!$C$9:$C$108,0))),""))</x:f>
      </x:c>
      <x:c r="T249" s="9" t="str">
        <x:f>IF(C249="","",IFERROR(IF(INDEX('Factors'!$L$9:$L$108,MATCH(J249,'Factors'!$C$9:$C$108,0))="","",INDEX('Factors'!$L$9:$L$108,MATCH(J249,'Factors'!$C$9:$C$108,0))),"")&amp;" / "&amp;IFERROR(IF(INDEX('Factors'!$M$9:$M$108,MATCH(J249,'Factors'!$C$9:$C$108,0))="","",INDEX('Factors'!$M$9:$M$108,MATCH(J249,'Factors'!$C$9:$C$108,0))),""))</x:f>
      </x:c>
      <x:c r="U249" s="21" t="str">
        <x:f>IF(V249="Ready",H249*O249/1000,"")</x:f>
      </x:c>
      <x:c r="V249" s="9" t="str">
        <x:f>IF(C249="","",IF(OR(COUNTIFS($C$9:$C$308,C249)&lt;&gt;1,COUNTIFS($D$9:$D$308,D249,$E$9:$E$308,E249,$F$9:$F$308,F249,$G$9:$G$308,G249,$K$9:$K$308,K249)&lt;&gt;1),"Duplicate annual activity",IF(COUNTIFS('Inventory'!$C$9:$C$108,D249)&lt;&gt;1,"Entity required",IF(OR(E249="",L249="",NOT(ISNUMBER(H249)),H249&lt;0,NOT(ISNUMBER(K249)),NOT(ISNUMBER(N249))),"Missing activity input",IF(AND(E249&lt;&gt;D249,OR(COUNTIFS('Sites'!$C$9:$C$108,E249)&lt;&gt;1,IFERROR(IF(INDEX('Sites'!$D$9:$D$108,MATCH(E249,'Sites'!$C$9:$C$108,0))="","",INDEX('Sites'!$D$9:$D$108,MATCH(E249,'Sites'!$C$9:$C$108,0))),"")&lt;&gt;IFERROR(IF(INDEX('Inventory'!$D$9:$D$108,MATCH(D249,'Inventory'!$C$9:$C$108,0))="","",INDEX('Inventory'!$D$9:$D$108,MATCH(D249,'Inventory'!$C$9:$C$108,0))),""),IFERROR(IF(INDEX('Sites'!$E$9:$E$108,MATCH(E249,'Sites'!$C$9:$C$108,0))="","",INDEX('Sites'!$E$9:$E$108,MATCH(E249,'Sites'!$C$9:$C$108,0))),"")&lt;&gt;W249)),"Site / entity mismatch",IF(N249&lt;'Settings'!$F$8,"Expired",IF(X249&lt;&gt;"Ready","Factor required",IF(OR(G249&lt;&gt;IFERROR(IF(INDEX('Factors'!$D$9:$D$108,MATCH(J249,'Factors'!$C$9:$C$108,0))="","",INDEX('Factors'!$D$9:$D$108,MATCH(J249,'Factors'!$C$9:$C$108,0))),""),I249&lt;&gt;P249,F249&lt;&gt;Q249,K249&lt;&gt;S249,AND(R249&lt;&gt;"Global",R249&lt;&gt;W249),K249&lt;&gt;YEAR(IFERROR(IF(INDEX('Inventory'!$H$9:$H$108,MATCH(D249,'Inventory'!$C$9:$C$108,0))="","",INDEX('Inventory'!$H$9:$H$108,MATCH(D249,'Inventory'!$C$9:$C$108,0))),""))),"Factor / boundary mismatch",IF(AND(F249="S2",IFERROR(IF(INDEX('Factors'!$I$9:$I$108,MATCH(J249,'Factors'!$C$9:$C$108,0))="","",INDEX('Factors'!$I$9:$I$108,MATCH(J249,'Factors'!$C$9:$C$108,0))),"")&lt;&gt;"Location-based"),"Use location factor",IF(M249&lt;&gt;"Actual","Estimation method review","Ready"))))))))))</x:f>
      </x:c>
      <x:c r="W249" s="9" t="str">
        <x:f>IF(C249="","",IFERROR(IF(INDEX('Inventory'!$G$9:$G$108,MATCH(D249,'Inventory'!$C$9:$C$108,0))="","",INDEX('Inventory'!$G$9:$G$108,MATCH(D249,'Inventory'!$C$9:$C$108,0))),""))</x:f>
      </x:c>
      <x:c r="X249" s="9" t="str">
        <x:f>IF(C249="","",IFERROR(IF(INDEX('Factors'!$P$9:$P$108,MATCH(J249,'Factors'!$C$9:$C$108,0))="","",INDEX('Factors'!$P$9:$P$108,MATCH(J249,'Factors'!$C$9:$C$108,0))),""))</x:f>
      </x:c>
    </x:row>
    <x:row r="250" ht="26" customHeight="1">
      <x:c r="A250" s="1"/>
      <x:c r="B250" s="1"/>
      <x:c r="C250" s="8"/>
      <x:c r="D250" s="8"/>
      <x:c r="E250" s="8"/>
      <x:c r="F250" s="8"/>
      <x:c r="G250" s="8"/>
      <x:c r="H250" s="16"/>
      <x:c r="I250" s="8"/>
      <x:c r="J250" s="8"/>
      <x:c r="K250" s="22"/>
      <x:c r="L250" s="8"/>
      <x:c r="M250" s="8"/>
      <x:c r="N250" s="40"/>
      <x:c r="O250" s="41" t="str">
        <x:f>IF(C250="","",IFERROR(IF(INDEX('Factors'!$G$9:$G$108,MATCH(J250,'Factors'!$C$9:$C$108,0))="","",INDEX('Factors'!$G$9:$G$108,MATCH(J250,'Factors'!$C$9:$C$108,0))),""))</x:f>
      </x:c>
      <x:c r="P250" s="9" t="str">
        <x:f>IF(C250="","",IFERROR(IF(INDEX('Factors'!$F$9:$F$108,MATCH(J250,'Factors'!$C$9:$C$108,0))="","",INDEX('Factors'!$F$9:$F$108,MATCH(J250,'Factors'!$C$9:$C$108,0))),""))</x:f>
      </x:c>
      <x:c r="Q250" s="9" t="str">
        <x:f>IF(C250="","",IFERROR(IF(INDEX('Factors'!$H$9:$H$108,MATCH(J250,'Factors'!$C$9:$C$108,0))="","",INDEX('Factors'!$H$9:$H$108,MATCH(J250,'Factors'!$C$9:$C$108,0))),""))</x:f>
      </x:c>
      <x:c r="R250" s="9" t="str">
        <x:f>IF(C250="","",IFERROR(IF(INDEX('Factors'!$E$9:$E$108,MATCH(J250,'Factors'!$C$9:$C$108,0))="","",INDEX('Factors'!$E$9:$E$108,MATCH(J250,'Factors'!$C$9:$C$108,0))),""))</x:f>
      </x:c>
      <x:c r="S250" s="42" t="str">
        <x:f>IF(C250="","",IFERROR(IF(INDEX('Factors'!$J$9:$J$108,MATCH(J250,'Factors'!$C$9:$C$108,0))="","",INDEX('Factors'!$J$9:$J$108,MATCH(J250,'Factors'!$C$9:$C$108,0))),""))</x:f>
      </x:c>
      <x:c r="T250" s="9" t="str">
        <x:f>IF(C250="","",IFERROR(IF(INDEX('Factors'!$L$9:$L$108,MATCH(J250,'Factors'!$C$9:$C$108,0))="","",INDEX('Factors'!$L$9:$L$108,MATCH(J250,'Factors'!$C$9:$C$108,0))),"")&amp;" / "&amp;IFERROR(IF(INDEX('Factors'!$M$9:$M$108,MATCH(J250,'Factors'!$C$9:$C$108,0))="","",INDEX('Factors'!$M$9:$M$108,MATCH(J250,'Factors'!$C$9:$C$108,0))),""))</x:f>
      </x:c>
      <x:c r="U250" s="21" t="str">
        <x:f>IF(V250="Ready",H250*O250/1000,"")</x:f>
      </x:c>
      <x:c r="V250" s="9" t="str">
        <x:f>IF(C250="","",IF(OR(COUNTIFS($C$9:$C$308,C250)&lt;&gt;1,COUNTIFS($D$9:$D$308,D250,$E$9:$E$308,E250,$F$9:$F$308,F250,$G$9:$G$308,G250,$K$9:$K$308,K250)&lt;&gt;1),"Duplicate annual activity",IF(COUNTIFS('Inventory'!$C$9:$C$108,D250)&lt;&gt;1,"Entity required",IF(OR(E250="",L250="",NOT(ISNUMBER(H250)),H250&lt;0,NOT(ISNUMBER(K250)),NOT(ISNUMBER(N250))),"Missing activity input",IF(AND(E250&lt;&gt;D250,OR(COUNTIFS('Sites'!$C$9:$C$108,E250)&lt;&gt;1,IFERROR(IF(INDEX('Sites'!$D$9:$D$108,MATCH(E250,'Sites'!$C$9:$C$108,0))="","",INDEX('Sites'!$D$9:$D$108,MATCH(E250,'Sites'!$C$9:$C$108,0))),"")&lt;&gt;IFERROR(IF(INDEX('Inventory'!$D$9:$D$108,MATCH(D250,'Inventory'!$C$9:$C$108,0))="","",INDEX('Inventory'!$D$9:$D$108,MATCH(D250,'Inventory'!$C$9:$C$108,0))),""),IFERROR(IF(INDEX('Sites'!$E$9:$E$108,MATCH(E250,'Sites'!$C$9:$C$108,0))="","",INDEX('Sites'!$E$9:$E$108,MATCH(E250,'Sites'!$C$9:$C$108,0))),"")&lt;&gt;W250)),"Site / entity mismatch",IF(N250&lt;'Settings'!$F$8,"Expired",IF(X250&lt;&gt;"Ready","Factor required",IF(OR(G250&lt;&gt;IFERROR(IF(INDEX('Factors'!$D$9:$D$108,MATCH(J250,'Factors'!$C$9:$C$108,0))="","",INDEX('Factors'!$D$9:$D$108,MATCH(J250,'Factors'!$C$9:$C$108,0))),""),I250&lt;&gt;P250,F250&lt;&gt;Q250,K250&lt;&gt;S250,AND(R250&lt;&gt;"Global",R250&lt;&gt;W250),K250&lt;&gt;YEAR(IFERROR(IF(INDEX('Inventory'!$H$9:$H$108,MATCH(D250,'Inventory'!$C$9:$C$108,0))="","",INDEX('Inventory'!$H$9:$H$108,MATCH(D250,'Inventory'!$C$9:$C$108,0))),""))),"Factor / boundary mismatch",IF(AND(F250="S2",IFERROR(IF(INDEX('Factors'!$I$9:$I$108,MATCH(J250,'Factors'!$C$9:$C$108,0))="","",INDEX('Factors'!$I$9:$I$108,MATCH(J250,'Factors'!$C$9:$C$108,0))),"")&lt;&gt;"Location-based"),"Use location factor",IF(M250&lt;&gt;"Actual","Estimation method review","Ready"))))))))))</x:f>
      </x:c>
      <x:c r="W250" s="9" t="str">
        <x:f>IF(C250="","",IFERROR(IF(INDEX('Inventory'!$G$9:$G$108,MATCH(D250,'Inventory'!$C$9:$C$108,0))="","",INDEX('Inventory'!$G$9:$G$108,MATCH(D250,'Inventory'!$C$9:$C$108,0))),""))</x:f>
      </x:c>
      <x:c r="X250" s="9" t="str">
        <x:f>IF(C250="","",IFERROR(IF(INDEX('Factors'!$P$9:$P$108,MATCH(J250,'Factors'!$C$9:$C$108,0))="","",INDEX('Factors'!$P$9:$P$108,MATCH(J250,'Factors'!$C$9:$C$108,0))),""))</x:f>
      </x:c>
    </x:row>
    <x:row r="251" ht="26" customHeight="1">
      <x:c r="A251" s="1"/>
      <x:c r="B251" s="1"/>
      <x:c r="C251" s="8"/>
      <x:c r="D251" s="8"/>
      <x:c r="E251" s="8"/>
      <x:c r="F251" s="8"/>
      <x:c r="G251" s="8"/>
      <x:c r="H251" s="16"/>
      <x:c r="I251" s="8"/>
      <x:c r="J251" s="8"/>
      <x:c r="K251" s="22"/>
      <x:c r="L251" s="8"/>
      <x:c r="M251" s="8"/>
      <x:c r="N251" s="40"/>
      <x:c r="O251" s="41" t="str">
        <x:f>IF(C251="","",IFERROR(IF(INDEX('Factors'!$G$9:$G$108,MATCH(J251,'Factors'!$C$9:$C$108,0))="","",INDEX('Factors'!$G$9:$G$108,MATCH(J251,'Factors'!$C$9:$C$108,0))),""))</x:f>
      </x:c>
      <x:c r="P251" s="9" t="str">
        <x:f>IF(C251="","",IFERROR(IF(INDEX('Factors'!$F$9:$F$108,MATCH(J251,'Factors'!$C$9:$C$108,0))="","",INDEX('Factors'!$F$9:$F$108,MATCH(J251,'Factors'!$C$9:$C$108,0))),""))</x:f>
      </x:c>
      <x:c r="Q251" s="9" t="str">
        <x:f>IF(C251="","",IFERROR(IF(INDEX('Factors'!$H$9:$H$108,MATCH(J251,'Factors'!$C$9:$C$108,0))="","",INDEX('Factors'!$H$9:$H$108,MATCH(J251,'Factors'!$C$9:$C$108,0))),""))</x:f>
      </x:c>
      <x:c r="R251" s="9" t="str">
        <x:f>IF(C251="","",IFERROR(IF(INDEX('Factors'!$E$9:$E$108,MATCH(J251,'Factors'!$C$9:$C$108,0))="","",INDEX('Factors'!$E$9:$E$108,MATCH(J251,'Factors'!$C$9:$C$108,0))),""))</x:f>
      </x:c>
      <x:c r="S251" s="42" t="str">
        <x:f>IF(C251="","",IFERROR(IF(INDEX('Factors'!$J$9:$J$108,MATCH(J251,'Factors'!$C$9:$C$108,0))="","",INDEX('Factors'!$J$9:$J$108,MATCH(J251,'Factors'!$C$9:$C$108,0))),""))</x:f>
      </x:c>
      <x:c r="T251" s="9" t="str">
        <x:f>IF(C251="","",IFERROR(IF(INDEX('Factors'!$L$9:$L$108,MATCH(J251,'Factors'!$C$9:$C$108,0))="","",INDEX('Factors'!$L$9:$L$108,MATCH(J251,'Factors'!$C$9:$C$108,0))),"")&amp;" / "&amp;IFERROR(IF(INDEX('Factors'!$M$9:$M$108,MATCH(J251,'Factors'!$C$9:$C$108,0))="","",INDEX('Factors'!$M$9:$M$108,MATCH(J251,'Factors'!$C$9:$C$108,0))),""))</x:f>
      </x:c>
      <x:c r="U251" s="21" t="str">
        <x:f>IF(V251="Ready",H251*O251/1000,"")</x:f>
      </x:c>
      <x:c r="V251" s="9" t="str">
        <x:f>IF(C251="","",IF(OR(COUNTIFS($C$9:$C$308,C251)&lt;&gt;1,COUNTIFS($D$9:$D$308,D251,$E$9:$E$308,E251,$F$9:$F$308,F251,$G$9:$G$308,G251,$K$9:$K$308,K251)&lt;&gt;1),"Duplicate annual activity",IF(COUNTIFS('Inventory'!$C$9:$C$108,D251)&lt;&gt;1,"Entity required",IF(OR(E251="",L251="",NOT(ISNUMBER(H251)),H251&lt;0,NOT(ISNUMBER(K251)),NOT(ISNUMBER(N251))),"Missing activity input",IF(AND(E251&lt;&gt;D251,OR(COUNTIFS('Sites'!$C$9:$C$108,E251)&lt;&gt;1,IFERROR(IF(INDEX('Sites'!$D$9:$D$108,MATCH(E251,'Sites'!$C$9:$C$108,0))="","",INDEX('Sites'!$D$9:$D$108,MATCH(E251,'Sites'!$C$9:$C$108,0))),"")&lt;&gt;IFERROR(IF(INDEX('Inventory'!$D$9:$D$108,MATCH(D251,'Inventory'!$C$9:$C$108,0))="","",INDEX('Inventory'!$D$9:$D$108,MATCH(D251,'Inventory'!$C$9:$C$108,0))),""),IFERROR(IF(INDEX('Sites'!$E$9:$E$108,MATCH(E251,'Sites'!$C$9:$C$108,0))="","",INDEX('Sites'!$E$9:$E$108,MATCH(E251,'Sites'!$C$9:$C$108,0))),"")&lt;&gt;W251)),"Site / entity mismatch",IF(N251&lt;'Settings'!$F$8,"Expired",IF(X251&lt;&gt;"Ready","Factor required",IF(OR(G251&lt;&gt;IFERROR(IF(INDEX('Factors'!$D$9:$D$108,MATCH(J251,'Factors'!$C$9:$C$108,0))="","",INDEX('Factors'!$D$9:$D$108,MATCH(J251,'Factors'!$C$9:$C$108,0))),""),I251&lt;&gt;P251,F251&lt;&gt;Q251,K251&lt;&gt;S251,AND(R251&lt;&gt;"Global",R251&lt;&gt;W251),K251&lt;&gt;YEAR(IFERROR(IF(INDEX('Inventory'!$H$9:$H$108,MATCH(D251,'Inventory'!$C$9:$C$108,0))="","",INDEX('Inventory'!$H$9:$H$108,MATCH(D251,'Inventory'!$C$9:$C$108,0))),""))),"Factor / boundary mismatch",IF(AND(F251="S2",IFERROR(IF(INDEX('Factors'!$I$9:$I$108,MATCH(J251,'Factors'!$C$9:$C$108,0))="","",INDEX('Factors'!$I$9:$I$108,MATCH(J251,'Factors'!$C$9:$C$108,0))),"")&lt;&gt;"Location-based"),"Use location factor",IF(M251&lt;&gt;"Actual","Estimation method review","Ready"))))))))))</x:f>
      </x:c>
      <x:c r="W251" s="9" t="str">
        <x:f>IF(C251="","",IFERROR(IF(INDEX('Inventory'!$G$9:$G$108,MATCH(D251,'Inventory'!$C$9:$C$108,0))="","",INDEX('Inventory'!$G$9:$G$108,MATCH(D251,'Inventory'!$C$9:$C$108,0))),""))</x:f>
      </x:c>
      <x:c r="X251" s="9" t="str">
        <x:f>IF(C251="","",IFERROR(IF(INDEX('Factors'!$P$9:$P$108,MATCH(J251,'Factors'!$C$9:$C$108,0))="","",INDEX('Factors'!$P$9:$P$108,MATCH(J251,'Factors'!$C$9:$C$108,0))),""))</x:f>
      </x:c>
    </x:row>
    <x:row r="252" ht="26" customHeight="1">
      <x:c r="A252" s="1"/>
      <x:c r="B252" s="1"/>
      <x:c r="C252" s="8"/>
      <x:c r="D252" s="8"/>
      <x:c r="E252" s="8"/>
      <x:c r="F252" s="8"/>
      <x:c r="G252" s="8"/>
      <x:c r="H252" s="16"/>
      <x:c r="I252" s="8"/>
      <x:c r="J252" s="8"/>
      <x:c r="K252" s="22"/>
      <x:c r="L252" s="8"/>
      <x:c r="M252" s="8"/>
      <x:c r="N252" s="40"/>
      <x:c r="O252" s="41" t="str">
        <x:f>IF(C252="","",IFERROR(IF(INDEX('Factors'!$G$9:$G$108,MATCH(J252,'Factors'!$C$9:$C$108,0))="","",INDEX('Factors'!$G$9:$G$108,MATCH(J252,'Factors'!$C$9:$C$108,0))),""))</x:f>
      </x:c>
      <x:c r="P252" s="9" t="str">
        <x:f>IF(C252="","",IFERROR(IF(INDEX('Factors'!$F$9:$F$108,MATCH(J252,'Factors'!$C$9:$C$108,0))="","",INDEX('Factors'!$F$9:$F$108,MATCH(J252,'Factors'!$C$9:$C$108,0))),""))</x:f>
      </x:c>
      <x:c r="Q252" s="9" t="str">
        <x:f>IF(C252="","",IFERROR(IF(INDEX('Factors'!$H$9:$H$108,MATCH(J252,'Factors'!$C$9:$C$108,0))="","",INDEX('Factors'!$H$9:$H$108,MATCH(J252,'Factors'!$C$9:$C$108,0))),""))</x:f>
      </x:c>
      <x:c r="R252" s="9" t="str">
        <x:f>IF(C252="","",IFERROR(IF(INDEX('Factors'!$E$9:$E$108,MATCH(J252,'Factors'!$C$9:$C$108,0))="","",INDEX('Factors'!$E$9:$E$108,MATCH(J252,'Factors'!$C$9:$C$108,0))),""))</x:f>
      </x:c>
      <x:c r="S252" s="42" t="str">
        <x:f>IF(C252="","",IFERROR(IF(INDEX('Factors'!$J$9:$J$108,MATCH(J252,'Factors'!$C$9:$C$108,0))="","",INDEX('Factors'!$J$9:$J$108,MATCH(J252,'Factors'!$C$9:$C$108,0))),""))</x:f>
      </x:c>
      <x:c r="T252" s="9" t="str">
        <x:f>IF(C252="","",IFERROR(IF(INDEX('Factors'!$L$9:$L$108,MATCH(J252,'Factors'!$C$9:$C$108,0))="","",INDEX('Factors'!$L$9:$L$108,MATCH(J252,'Factors'!$C$9:$C$108,0))),"")&amp;" / "&amp;IFERROR(IF(INDEX('Factors'!$M$9:$M$108,MATCH(J252,'Factors'!$C$9:$C$108,0))="","",INDEX('Factors'!$M$9:$M$108,MATCH(J252,'Factors'!$C$9:$C$108,0))),""))</x:f>
      </x:c>
      <x:c r="U252" s="21" t="str">
        <x:f>IF(V252="Ready",H252*O252/1000,"")</x:f>
      </x:c>
      <x:c r="V252" s="9" t="str">
        <x:f>IF(C252="","",IF(OR(COUNTIFS($C$9:$C$308,C252)&lt;&gt;1,COUNTIFS($D$9:$D$308,D252,$E$9:$E$308,E252,$F$9:$F$308,F252,$G$9:$G$308,G252,$K$9:$K$308,K252)&lt;&gt;1),"Duplicate annual activity",IF(COUNTIFS('Inventory'!$C$9:$C$108,D252)&lt;&gt;1,"Entity required",IF(OR(E252="",L252="",NOT(ISNUMBER(H252)),H252&lt;0,NOT(ISNUMBER(K252)),NOT(ISNUMBER(N252))),"Missing activity input",IF(AND(E252&lt;&gt;D252,OR(COUNTIFS('Sites'!$C$9:$C$108,E252)&lt;&gt;1,IFERROR(IF(INDEX('Sites'!$D$9:$D$108,MATCH(E252,'Sites'!$C$9:$C$108,0))="","",INDEX('Sites'!$D$9:$D$108,MATCH(E252,'Sites'!$C$9:$C$108,0))),"")&lt;&gt;IFERROR(IF(INDEX('Inventory'!$D$9:$D$108,MATCH(D252,'Inventory'!$C$9:$C$108,0))="","",INDEX('Inventory'!$D$9:$D$108,MATCH(D252,'Inventory'!$C$9:$C$108,0))),""),IFERROR(IF(INDEX('Sites'!$E$9:$E$108,MATCH(E252,'Sites'!$C$9:$C$108,0))="","",INDEX('Sites'!$E$9:$E$108,MATCH(E252,'Sites'!$C$9:$C$108,0))),"")&lt;&gt;W252)),"Site / entity mismatch",IF(N252&lt;'Settings'!$F$8,"Expired",IF(X252&lt;&gt;"Ready","Factor required",IF(OR(G252&lt;&gt;IFERROR(IF(INDEX('Factors'!$D$9:$D$108,MATCH(J252,'Factors'!$C$9:$C$108,0))="","",INDEX('Factors'!$D$9:$D$108,MATCH(J252,'Factors'!$C$9:$C$108,0))),""),I252&lt;&gt;P252,F252&lt;&gt;Q252,K252&lt;&gt;S252,AND(R252&lt;&gt;"Global",R252&lt;&gt;W252),K252&lt;&gt;YEAR(IFERROR(IF(INDEX('Inventory'!$H$9:$H$108,MATCH(D252,'Inventory'!$C$9:$C$108,0))="","",INDEX('Inventory'!$H$9:$H$108,MATCH(D252,'Inventory'!$C$9:$C$108,0))),""))),"Factor / boundary mismatch",IF(AND(F252="S2",IFERROR(IF(INDEX('Factors'!$I$9:$I$108,MATCH(J252,'Factors'!$C$9:$C$108,0))="","",INDEX('Factors'!$I$9:$I$108,MATCH(J252,'Factors'!$C$9:$C$108,0))),"")&lt;&gt;"Location-based"),"Use location factor",IF(M252&lt;&gt;"Actual","Estimation method review","Ready"))))))))))</x:f>
      </x:c>
      <x:c r="W252" s="9" t="str">
        <x:f>IF(C252="","",IFERROR(IF(INDEX('Inventory'!$G$9:$G$108,MATCH(D252,'Inventory'!$C$9:$C$108,0))="","",INDEX('Inventory'!$G$9:$G$108,MATCH(D252,'Inventory'!$C$9:$C$108,0))),""))</x:f>
      </x:c>
      <x:c r="X252" s="9" t="str">
        <x:f>IF(C252="","",IFERROR(IF(INDEX('Factors'!$P$9:$P$108,MATCH(J252,'Factors'!$C$9:$C$108,0))="","",INDEX('Factors'!$P$9:$P$108,MATCH(J252,'Factors'!$C$9:$C$108,0))),""))</x:f>
      </x:c>
    </x:row>
    <x:row r="253" ht="26" customHeight="1">
      <x:c r="A253" s="1"/>
      <x:c r="B253" s="1"/>
      <x:c r="C253" s="8"/>
      <x:c r="D253" s="8"/>
      <x:c r="E253" s="8"/>
      <x:c r="F253" s="8"/>
      <x:c r="G253" s="8"/>
      <x:c r="H253" s="16"/>
      <x:c r="I253" s="8"/>
      <x:c r="J253" s="8"/>
      <x:c r="K253" s="22"/>
      <x:c r="L253" s="8"/>
      <x:c r="M253" s="8"/>
      <x:c r="N253" s="40"/>
      <x:c r="O253" s="41" t="str">
        <x:f>IF(C253="","",IFERROR(IF(INDEX('Factors'!$G$9:$G$108,MATCH(J253,'Factors'!$C$9:$C$108,0))="","",INDEX('Factors'!$G$9:$G$108,MATCH(J253,'Factors'!$C$9:$C$108,0))),""))</x:f>
      </x:c>
      <x:c r="P253" s="9" t="str">
        <x:f>IF(C253="","",IFERROR(IF(INDEX('Factors'!$F$9:$F$108,MATCH(J253,'Factors'!$C$9:$C$108,0))="","",INDEX('Factors'!$F$9:$F$108,MATCH(J253,'Factors'!$C$9:$C$108,0))),""))</x:f>
      </x:c>
      <x:c r="Q253" s="9" t="str">
        <x:f>IF(C253="","",IFERROR(IF(INDEX('Factors'!$H$9:$H$108,MATCH(J253,'Factors'!$C$9:$C$108,0))="","",INDEX('Factors'!$H$9:$H$108,MATCH(J253,'Factors'!$C$9:$C$108,0))),""))</x:f>
      </x:c>
      <x:c r="R253" s="9" t="str">
        <x:f>IF(C253="","",IFERROR(IF(INDEX('Factors'!$E$9:$E$108,MATCH(J253,'Factors'!$C$9:$C$108,0))="","",INDEX('Factors'!$E$9:$E$108,MATCH(J253,'Factors'!$C$9:$C$108,0))),""))</x:f>
      </x:c>
      <x:c r="S253" s="42" t="str">
        <x:f>IF(C253="","",IFERROR(IF(INDEX('Factors'!$J$9:$J$108,MATCH(J253,'Factors'!$C$9:$C$108,0))="","",INDEX('Factors'!$J$9:$J$108,MATCH(J253,'Factors'!$C$9:$C$108,0))),""))</x:f>
      </x:c>
      <x:c r="T253" s="9" t="str">
        <x:f>IF(C253="","",IFERROR(IF(INDEX('Factors'!$L$9:$L$108,MATCH(J253,'Factors'!$C$9:$C$108,0))="","",INDEX('Factors'!$L$9:$L$108,MATCH(J253,'Factors'!$C$9:$C$108,0))),"")&amp;" / "&amp;IFERROR(IF(INDEX('Factors'!$M$9:$M$108,MATCH(J253,'Factors'!$C$9:$C$108,0))="","",INDEX('Factors'!$M$9:$M$108,MATCH(J253,'Factors'!$C$9:$C$108,0))),""))</x:f>
      </x:c>
      <x:c r="U253" s="21" t="str">
        <x:f>IF(V253="Ready",H253*O253/1000,"")</x:f>
      </x:c>
      <x:c r="V253" s="9" t="str">
        <x:f>IF(C253="","",IF(OR(COUNTIFS($C$9:$C$308,C253)&lt;&gt;1,COUNTIFS($D$9:$D$308,D253,$E$9:$E$308,E253,$F$9:$F$308,F253,$G$9:$G$308,G253,$K$9:$K$308,K253)&lt;&gt;1),"Duplicate annual activity",IF(COUNTIFS('Inventory'!$C$9:$C$108,D253)&lt;&gt;1,"Entity required",IF(OR(E253="",L253="",NOT(ISNUMBER(H253)),H253&lt;0,NOT(ISNUMBER(K253)),NOT(ISNUMBER(N253))),"Missing activity input",IF(AND(E253&lt;&gt;D253,OR(COUNTIFS('Sites'!$C$9:$C$108,E253)&lt;&gt;1,IFERROR(IF(INDEX('Sites'!$D$9:$D$108,MATCH(E253,'Sites'!$C$9:$C$108,0))="","",INDEX('Sites'!$D$9:$D$108,MATCH(E253,'Sites'!$C$9:$C$108,0))),"")&lt;&gt;IFERROR(IF(INDEX('Inventory'!$D$9:$D$108,MATCH(D253,'Inventory'!$C$9:$C$108,0))="","",INDEX('Inventory'!$D$9:$D$108,MATCH(D253,'Inventory'!$C$9:$C$108,0))),""),IFERROR(IF(INDEX('Sites'!$E$9:$E$108,MATCH(E253,'Sites'!$C$9:$C$108,0))="","",INDEX('Sites'!$E$9:$E$108,MATCH(E253,'Sites'!$C$9:$C$108,0))),"")&lt;&gt;W253)),"Site / entity mismatch",IF(N253&lt;'Settings'!$F$8,"Expired",IF(X253&lt;&gt;"Ready","Factor required",IF(OR(G253&lt;&gt;IFERROR(IF(INDEX('Factors'!$D$9:$D$108,MATCH(J253,'Factors'!$C$9:$C$108,0))="","",INDEX('Factors'!$D$9:$D$108,MATCH(J253,'Factors'!$C$9:$C$108,0))),""),I253&lt;&gt;P253,F253&lt;&gt;Q253,K253&lt;&gt;S253,AND(R253&lt;&gt;"Global",R253&lt;&gt;W253),K253&lt;&gt;YEAR(IFERROR(IF(INDEX('Inventory'!$H$9:$H$108,MATCH(D253,'Inventory'!$C$9:$C$108,0))="","",INDEX('Inventory'!$H$9:$H$108,MATCH(D253,'Inventory'!$C$9:$C$108,0))),""))),"Factor / boundary mismatch",IF(AND(F253="S2",IFERROR(IF(INDEX('Factors'!$I$9:$I$108,MATCH(J253,'Factors'!$C$9:$C$108,0))="","",INDEX('Factors'!$I$9:$I$108,MATCH(J253,'Factors'!$C$9:$C$108,0))),"")&lt;&gt;"Location-based"),"Use location factor",IF(M253&lt;&gt;"Actual","Estimation method review","Ready"))))))))))</x:f>
      </x:c>
      <x:c r="W253" s="9" t="str">
        <x:f>IF(C253="","",IFERROR(IF(INDEX('Inventory'!$G$9:$G$108,MATCH(D253,'Inventory'!$C$9:$C$108,0))="","",INDEX('Inventory'!$G$9:$G$108,MATCH(D253,'Inventory'!$C$9:$C$108,0))),""))</x:f>
      </x:c>
      <x:c r="X253" s="9" t="str">
        <x:f>IF(C253="","",IFERROR(IF(INDEX('Factors'!$P$9:$P$108,MATCH(J253,'Factors'!$C$9:$C$108,0))="","",INDEX('Factors'!$P$9:$P$108,MATCH(J253,'Factors'!$C$9:$C$108,0))),""))</x:f>
      </x:c>
    </x:row>
    <x:row r="254" ht="26" customHeight="1">
      <x:c r="A254" s="1"/>
      <x:c r="B254" s="1"/>
      <x:c r="C254" s="8"/>
      <x:c r="D254" s="8"/>
      <x:c r="E254" s="8"/>
      <x:c r="F254" s="8"/>
      <x:c r="G254" s="8"/>
      <x:c r="H254" s="16"/>
      <x:c r="I254" s="8"/>
      <x:c r="J254" s="8"/>
      <x:c r="K254" s="22"/>
      <x:c r="L254" s="8"/>
      <x:c r="M254" s="8"/>
      <x:c r="N254" s="40"/>
      <x:c r="O254" s="41" t="str">
        <x:f>IF(C254="","",IFERROR(IF(INDEX('Factors'!$G$9:$G$108,MATCH(J254,'Factors'!$C$9:$C$108,0))="","",INDEX('Factors'!$G$9:$G$108,MATCH(J254,'Factors'!$C$9:$C$108,0))),""))</x:f>
      </x:c>
      <x:c r="P254" s="9" t="str">
        <x:f>IF(C254="","",IFERROR(IF(INDEX('Factors'!$F$9:$F$108,MATCH(J254,'Factors'!$C$9:$C$108,0))="","",INDEX('Factors'!$F$9:$F$108,MATCH(J254,'Factors'!$C$9:$C$108,0))),""))</x:f>
      </x:c>
      <x:c r="Q254" s="9" t="str">
        <x:f>IF(C254="","",IFERROR(IF(INDEX('Factors'!$H$9:$H$108,MATCH(J254,'Factors'!$C$9:$C$108,0))="","",INDEX('Factors'!$H$9:$H$108,MATCH(J254,'Factors'!$C$9:$C$108,0))),""))</x:f>
      </x:c>
      <x:c r="R254" s="9" t="str">
        <x:f>IF(C254="","",IFERROR(IF(INDEX('Factors'!$E$9:$E$108,MATCH(J254,'Factors'!$C$9:$C$108,0))="","",INDEX('Factors'!$E$9:$E$108,MATCH(J254,'Factors'!$C$9:$C$108,0))),""))</x:f>
      </x:c>
      <x:c r="S254" s="42" t="str">
        <x:f>IF(C254="","",IFERROR(IF(INDEX('Factors'!$J$9:$J$108,MATCH(J254,'Factors'!$C$9:$C$108,0))="","",INDEX('Factors'!$J$9:$J$108,MATCH(J254,'Factors'!$C$9:$C$108,0))),""))</x:f>
      </x:c>
      <x:c r="T254" s="9" t="str">
        <x:f>IF(C254="","",IFERROR(IF(INDEX('Factors'!$L$9:$L$108,MATCH(J254,'Factors'!$C$9:$C$108,0))="","",INDEX('Factors'!$L$9:$L$108,MATCH(J254,'Factors'!$C$9:$C$108,0))),"")&amp;" / "&amp;IFERROR(IF(INDEX('Factors'!$M$9:$M$108,MATCH(J254,'Factors'!$C$9:$C$108,0))="","",INDEX('Factors'!$M$9:$M$108,MATCH(J254,'Factors'!$C$9:$C$108,0))),""))</x:f>
      </x:c>
      <x:c r="U254" s="21" t="str">
        <x:f>IF(V254="Ready",H254*O254/1000,"")</x:f>
      </x:c>
      <x:c r="V254" s="9" t="str">
        <x:f>IF(C254="","",IF(OR(COUNTIFS($C$9:$C$308,C254)&lt;&gt;1,COUNTIFS($D$9:$D$308,D254,$E$9:$E$308,E254,$F$9:$F$308,F254,$G$9:$G$308,G254,$K$9:$K$308,K254)&lt;&gt;1),"Duplicate annual activity",IF(COUNTIFS('Inventory'!$C$9:$C$108,D254)&lt;&gt;1,"Entity required",IF(OR(E254="",L254="",NOT(ISNUMBER(H254)),H254&lt;0,NOT(ISNUMBER(K254)),NOT(ISNUMBER(N254))),"Missing activity input",IF(AND(E254&lt;&gt;D254,OR(COUNTIFS('Sites'!$C$9:$C$108,E254)&lt;&gt;1,IFERROR(IF(INDEX('Sites'!$D$9:$D$108,MATCH(E254,'Sites'!$C$9:$C$108,0))="","",INDEX('Sites'!$D$9:$D$108,MATCH(E254,'Sites'!$C$9:$C$108,0))),"")&lt;&gt;IFERROR(IF(INDEX('Inventory'!$D$9:$D$108,MATCH(D254,'Inventory'!$C$9:$C$108,0))="","",INDEX('Inventory'!$D$9:$D$108,MATCH(D254,'Inventory'!$C$9:$C$108,0))),""),IFERROR(IF(INDEX('Sites'!$E$9:$E$108,MATCH(E254,'Sites'!$C$9:$C$108,0))="","",INDEX('Sites'!$E$9:$E$108,MATCH(E254,'Sites'!$C$9:$C$108,0))),"")&lt;&gt;W254)),"Site / entity mismatch",IF(N254&lt;'Settings'!$F$8,"Expired",IF(X254&lt;&gt;"Ready","Factor required",IF(OR(G254&lt;&gt;IFERROR(IF(INDEX('Factors'!$D$9:$D$108,MATCH(J254,'Factors'!$C$9:$C$108,0))="","",INDEX('Factors'!$D$9:$D$108,MATCH(J254,'Factors'!$C$9:$C$108,0))),""),I254&lt;&gt;P254,F254&lt;&gt;Q254,K254&lt;&gt;S254,AND(R254&lt;&gt;"Global",R254&lt;&gt;W254),K254&lt;&gt;YEAR(IFERROR(IF(INDEX('Inventory'!$H$9:$H$108,MATCH(D254,'Inventory'!$C$9:$C$108,0))="","",INDEX('Inventory'!$H$9:$H$108,MATCH(D254,'Inventory'!$C$9:$C$108,0))),""))),"Factor / boundary mismatch",IF(AND(F254="S2",IFERROR(IF(INDEX('Factors'!$I$9:$I$108,MATCH(J254,'Factors'!$C$9:$C$108,0))="","",INDEX('Factors'!$I$9:$I$108,MATCH(J254,'Factors'!$C$9:$C$108,0))),"")&lt;&gt;"Location-based"),"Use location factor",IF(M254&lt;&gt;"Actual","Estimation method review","Ready"))))))))))</x:f>
      </x:c>
      <x:c r="W254" s="9" t="str">
        <x:f>IF(C254="","",IFERROR(IF(INDEX('Inventory'!$G$9:$G$108,MATCH(D254,'Inventory'!$C$9:$C$108,0))="","",INDEX('Inventory'!$G$9:$G$108,MATCH(D254,'Inventory'!$C$9:$C$108,0))),""))</x:f>
      </x:c>
      <x:c r="X254" s="9" t="str">
        <x:f>IF(C254="","",IFERROR(IF(INDEX('Factors'!$P$9:$P$108,MATCH(J254,'Factors'!$C$9:$C$108,0))="","",INDEX('Factors'!$P$9:$P$108,MATCH(J254,'Factors'!$C$9:$C$108,0))),""))</x:f>
      </x:c>
    </x:row>
    <x:row r="255" ht="26" customHeight="1">
      <x:c r="A255" s="1"/>
      <x:c r="B255" s="1"/>
      <x:c r="C255" s="8"/>
      <x:c r="D255" s="8"/>
      <x:c r="E255" s="8"/>
      <x:c r="F255" s="8"/>
      <x:c r="G255" s="8"/>
      <x:c r="H255" s="16"/>
      <x:c r="I255" s="8"/>
      <x:c r="J255" s="8"/>
      <x:c r="K255" s="22"/>
      <x:c r="L255" s="8"/>
      <x:c r="M255" s="8"/>
      <x:c r="N255" s="40"/>
      <x:c r="O255" s="41" t="str">
        <x:f>IF(C255="","",IFERROR(IF(INDEX('Factors'!$G$9:$G$108,MATCH(J255,'Factors'!$C$9:$C$108,0))="","",INDEX('Factors'!$G$9:$G$108,MATCH(J255,'Factors'!$C$9:$C$108,0))),""))</x:f>
      </x:c>
      <x:c r="P255" s="9" t="str">
        <x:f>IF(C255="","",IFERROR(IF(INDEX('Factors'!$F$9:$F$108,MATCH(J255,'Factors'!$C$9:$C$108,0))="","",INDEX('Factors'!$F$9:$F$108,MATCH(J255,'Factors'!$C$9:$C$108,0))),""))</x:f>
      </x:c>
      <x:c r="Q255" s="9" t="str">
        <x:f>IF(C255="","",IFERROR(IF(INDEX('Factors'!$H$9:$H$108,MATCH(J255,'Factors'!$C$9:$C$108,0))="","",INDEX('Factors'!$H$9:$H$108,MATCH(J255,'Factors'!$C$9:$C$108,0))),""))</x:f>
      </x:c>
      <x:c r="R255" s="9" t="str">
        <x:f>IF(C255="","",IFERROR(IF(INDEX('Factors'!$E$9:$E$108,MATCH(J255,'Factors'!$C$9:$C$108,0))="","",INDEX('Factors'!$E$9:$E$108,MATCH(J255,'Factors'!$C$9:$C$108,0))),""))</x:f>
      </x:c>
      <x:c r="S255" s="42" t="str">
        <x:f>IF(C255="","",IFERROR(IF(INDEX('Factors'!$J$9:$J$108,MATCH(J255,'Factors'!$C$9:$C$108,0))="","",INDEX('Factors'!$J$9:$J$108,MATCH(J255,'Factors'!$C$9:$C$108,0))),""))</x:f>
      </x:c>
      <x:c r="T255" s="9" t="str">
        <x:f>IF(C255="","",IFERROR(IF(INDEX('Factors'!$L$9:$L$108,MATCH(J255,'Factors'!$C$9:$C$108,0))="","",INDEX('Factors'!$L$9:$L$108,MATCH(J255,'Factors'!$C$9:$C$108,0))),"")&amp;" / "&amp;IFERROR(IF(INDEX('Factors'!$M$9:$M$108,MATCH(J255,'Factors'!$C$9:$C$108,0))="","",INDEX('Factors'!$M$9:$M$108,MATCH(J255,'Factors'!$C$9:$C$108,0))),""))</x:f>
      </x:c>
      <x:c r="U255" s="21" t="str">
        <x:f>IF(V255="Ready",H255*O255/1000,"")</x:f>
      </x:c>
      <x:c r="V255" s="9" t="str">
        <x:f>IF(C255="","",IF(OR(COUNTIFS($C$9:$C$308,C255)&lt;&gt;1,COUNTIFS($D$9:$D$308,D255,$E$9:$E$308,E255,$F$9:$F$308,F255,$G$9:$G$308,G255,$K$9:$K$308,K255)&lt;&gt;1),"Duplicate annual activity",IF(COUNTIFS('Inventory'!$C$9:$C$108,D255)&lt;&gt;1,"Entity required",IF(OR(E255="",L255="",NOT(ISNUMBER(H255)),H255&lt;0,NOT(ISNUMBER(K255)),NOT(ISNUMBER(N255))),"Missing activity input",IF(AND(E255&lt;&gt;D255,OR(COUNTIFS('Sites'!$C$9:$C$108,E255)&lt;&gt;1,IFERROR(IF(INDEX('Sites'!$D$9:$D$108,MATCH(E255,'Sites'!$C$9:$C$108,0))="","",INDEX('Sites'!$D$9:$D$108,MATCH(E255,'Sites'!$C$9:$C$108,0))),"")&lt;&gt;IFERROR(IF(INDEX('Inventory'!$D$9:$D$108,MATCH(D255,'Inventory'!$C$9:$C$108,0))="","",INDEX('Inventory'!$D$9:$D$108,MATCH(D255,'Inventory'!$C$9:$C$108,0))),""),IFERROR(IF(INDEX('Sites'!$E$9:$E$108,MATCH(E255,'Sites'!$C$9:$C$108,0))="","",INDEX('Sites'!$E$9:$E$108,MATCH(E255,'Sites'!$C$9:$C$108,0))),"")&lt;&gt;W255)),"Site / entity mismatch",IF(N255&lt;'Settings'!$F$8,"Expired",IF(X255&lt;&gt;"Ready","Factor required",IF(OR(G255&lt;&gt;IFERROR(IF(INDEX('Factors'!$D$9:$D$108,MATCH(J255,'Factors'!$C$9:$C$108,0))="","",INDEX('Factors'!$D$9:$D$108,MATCH(J255,'Factors'!$C$9:$C$108,0))),""),I255&lt;&gt;P255,F255&lt;&gt;Q255,K255&lt;&gt;S255,AND(R255&lt;&gt;"Global",R255&lt;&gt;W255),K255&lt;&gt;YEAR(IFERROR(IF(INDEX('Inventory'!$H$9:$H$108,MATCH(D255,'Inventory'!$C$9:$C$108,0))="","",INDEX('Inventory'!$H$9:$H$108,MATCH(D255,'Inventory'!$C$9:$C$108,0))),""))),"Factor / boundary mismatch",IF(AND(F255="S2",IFERROR(IF(INDEX('Factors'!$I$9:$I$108,MATCH(J255,'Factors'!$C$9:$C$108,0))="","",INDEX('Factors'!$I$9:$I$108,MATCH(J255,'Factors'!$C$9:$C$108,0))),"")&lt;&gt;"Location-based"),"Use location factor",IF(M255&lt;&gt;"Actual","Estimation method review","Ready"))))))))))</x:f>
      </x:c>
      <x:c r="W255" s="9" t="str">
        <x:f>IF(C255="","",IFERROR(IF(INDEX('Inventory'!$G$9:$G$108,MATCH(D255,'Inventory'!$C$9:$C$108,0))="","",INDEX('Inventory'!$G$9:$G$108,MATCH(D255,'Inventory'!$C$9:$C$108,0))),""))</x:f>
      </x:c>
      <x:c r="X255" s="9" t="str">
        <x:f>IF(C255="","",IFERROR(IF(INDEX('Factors'!$P$9:$P$108,MATCH(J255,'Factors'!$C$9:$C$108,0))="","",INDEX('Factors'!$P$9:$P$108,MATCH(J255,'Factors'!$C$9:$C$108,0))),""))</x:f>
      </x:c>
    </x:row>
    <x:row r="256" ht="26" customHeight="1">
      <x:c r="A256" s="1"/>
      <x:c r="B256" s="1"/>
      <x:c r="C256" s="8"/>
      <x:c r="D256" s="8"/>
      <x:c r="E256" s="8"/>
      <x:c r="F256" s="8"/>
      <x:c r="G256" s="8"/>
      <x:c r="H256" s="16"/>
      <x:c r="I256" s="8"/>
      <x:c r="J256" s="8"/>
      <x:c r="K256" s="22"/>
      <x:c r="L256" s="8"/>
      <x:c r="M256" s="8"/>
      <x:c r="N256" s="40"/>
      <x:c r="O256" s="41" t="str">
        <x:f>IF(C256="","",IFERROR(IF(INDEX('Factors'!$G$9:$G$108,MATCH(J256,'Factors'!$C$9:$C$108,0))="","",INDEX('Factors'!$G$9:$G$108,MATCH(J256,'Factors'!$C$9:$C$108,0))),""))</x:f>
      </x:c>
      <x:c r="P256" s="9" t="str">
        <x:f>IF(C256="","",IFERROR(IF(INDEX('Factors'!$F$9:$F$108,MATCH(J256,'Factors'!$C$9:$C$108,0))="","",INDEX('Factors'!$F$9:$F$108,MATCH(J256,'Factors'!$C$9:$C$108,0))),""))</x:f>
      </x:c>
      <x:c r="Q256" s="9" t="str">
        <x:f>IF(C256="","",IFERROR(IF(INDEX('Factors'!$H$9:$H$108,MATCH(J256,'Factors'!$C$9:$C$108,0))="","",INDEX('Factors'!$H$9:$H$108,MATCH(J256,'Factors'!$C$9:$C$108,0))),""))</x:f>
      </x:c>
      <x:c r="R256" s="9" t="str">
        <x:f>IF(C256="","",IFERROR(IF(INDEX('Factors'!$E$9:$E$108,MATCH(J256,'Factors'!$C$9:$C$108,0))="","",INDEX('Factors'!$E$9:$E$108,MATCH(J256,'Factors'!$C$9:$C$108,0))),""))</x:f>
      </x:c>
      <x:c r="S256" s="42" t="str">
        <x:f>IF(C256="","",IFERROR(IF(INDEX('Factors'!$J$9:$J$108,MATCH(J256,'Factors'!$C$9:$C$108,0))="","",INDEX('Factors'!$J$9:$J$108,MATCH(J256,'Factors'!$C$9:$C$108,0))),""))</x:f>
      </x:c>
      <x:c r="T256" s="9" t="str">
        <x:f>IF(C256="","",IFERROR(IF(INDEX('Factors'!$L$9:$L$108,MATCH(J256,'Factors'!$C$9:$C$108,0))="","",INDEX('Factors'!$L$9:$L$108,MATCH(J256,'Factors'!$C$9:$C$108,0))),"")&amp;" / "&amp;IFERROR(IF(INDEX('Factors'!$M$9:$M$108,MATCH(J256,'Factors'!$C$9:$C$108,0))="","",INDEX('Factors'!$M$9:$M$108,MATCH(J256,'Factors'!$C$9:$C$108,0))),""))</x:f>
      </x:c>
      <x:c r="U256" s="21" t="str">
        <x:f>IF(V256="Ready",H256*O256/1000,"")</x:f>
      </x:c>
      <x:c r="V256" s="9" t="str">
        <x:f>IF(C256="","",IF(OR(COUNTIFS($C$9:$C$308,C256)&lt;&gt;1,COUNTIFS($D$9:$D$308,D256,$E$9:$E$308,E256,$F$9:$F$308,F256,$G$9:$G$308,G256,$K$9:$K$308,K256)&lt;&gt;1),"Duplicate annual activity",IF(COUNTIFS('Inventory'!$C$9:$C$108,D256)&lt;&gt;1,"Entity required",IF(OR(E256="",L256="",NOT(ISNUMBER(H256)),H256&lt;0,NOT(ISNUMBER(K256)),NOT(ISNUMBER(N256))),"Missing activity input",IF(AND(E256&lt;&gt;D256,OR(COUNTIFS('Sites'!$C$9:$C$108,E256)&lt;&gt;1,IFERROR(IF(INDEX('Sites'!$D$9:$D$108,MATCH(E256,'Sites'!$C$9:$C$108,0))="","",INDEX('Sites'!$D$9:$D$108,MATCH(E256,'Sites'!$C$9:$C$108,0))),"")&lt;&gt;IFERROR(IF(INDEX('Inventory'!$D$9:$D$108,MATCH(D256,'Inventory'!$C$9:$C$108,0))="","",INDEX('Inventory'!$D$9:$D$108,MATCH(D256,'Inventory'!$C$9:$C$108,0))),""),IFERROR(IF(INDEX('Sites'!$E$9:$E$108,MATCH(E256,'Sites'!$C$9:$C$108,0))="","",INDEX('Sites'!$E$9:$E$108,MATCH(E256,'Sites'!$C$9:$C$108,0))),"")&lt;&gt;W256)),"Site / entity mismatch",IF(N256&lt;'Settings'!$F$8,"Expired",IF(X256&lt;&gt;"Ready","Factor required",IF(OR(G256&lt;&gt;IFERROR(IF(INDEX('Factors'!$D$9:$D$108,MATCH(J256,'Factors'!$C$9:$C$108,0))="","",INDEX('Factors'!$D$9:$D$108,MATCH(J256,'Factors'!$C$9:$C$108,0))),""),I256&lt;&gt;P256,F256&lt;&gt;Q256,K256&lt;&gt;S256,AND(R256&lt;&gt;"Global",R256&lt;&gt;W256),K256&lt;&gt;YEAR(IFERROR(IF(INDEX('Inventory'!$H$9:$H$108,MATCH(D256,'Inventory'!$C$9:$C$108,0))="","",INDEX('Inventory'!$H$9:$H$108,MATCH(D256,'Inventory'!$C$9:$C$108,0))),""))),"Factor / boundary mismatch",IF(AND(F256="S2",IFERROR(IF(INDEX('Factors'!$I$9:$I$108,MATCH(J256,'Factors'!$C$9:$C$108,0))="","",INDEX('Factors'!$I$9:$I$108,MATCH(J256,'Factors'!$C$9:$C$108,0))),"")&lt;&gt;"Location-based"),"Use location factor",IF(M256&lt;&gt;"Actual","Estimation method review","Ready"))))))))))</x:f>
      </x:c>
      <x:c r="W256" s="9" t="str">
        <x:f>IF(C256="","",IFERROR(IF(INDEX('Inventory'!$G$9:$G$108,MATCH(D256,'Inventory'!$C$9:$C$108,0))="","",INDEX('Inventory'!$G$9:$G$108,MATCH(D256,'Inventory'!$C$9:$C$108,0))),""))</x:f>
      </x:c>
      <x:c r="X256" s="9" t="str">
        <x:f>IF(C256="","",IFERROR(IF(INDEX('Factors'!$P$9:$P$108,MATCH(J256,'Factors'!$C$9:$C$108,0))="","",INDEX('Factors'!$P$9:$P$108,MATCH(J256,'Factors'!$C$9:$C$108,0))),""))</x:f>
      </x:c>
    </x:row>
    <x:row r="257" ht="26" customHeight="1">
      <x:c r="A257" s="1"/>
      <x:c r="B257" s="1"/>
      <x:c r="C257" s="8"/>
      <x:c r="D257" s="8"/>
      <x:c r="E257" s="8"/>
      <x:c r="F257" s="8"/>
      <x:c r="G257" s="8"/>
      <x:c r="H257" s="16"/>
      <x:c r="I257" s="8"/>
      <x:c r="J257" s="8"/>
      <x:c r="K257" s="22"/>
      <x:c r="L257" s="8"/>
      <x:c r="M257" s="8"/>
      <x:c r="N257" s="40"/>
      <x:c r="O257" s="41" t="str">
        <x:f>IF(C257="","",IFERROR(IF(INDEX('Factors'!$G$9:$G$108,MATCH(J257,'Factors'!$C$9:$C$108,0))="","",INDEX('Factors'!$G$9:$G$108,MATCH(J257,'Factors'!$C$9:$C$108,0))),""))</x:f>
      </x:c>
      <x:c r="P257" s="9" t="str">
        <x:f>IF(C257="","",IFERROR(IF(INDEX('Factors'!$F$9:$F$108,MATCH(J257,'Factors'!$C$9:$C$108,0))="","",INDEX('Factors'!$F$9:$F$108,MATCH(J257,'Factors'!$C$9:$C$108,0))),""))</x:f>
      </x:c>
      <x:c r="Q257" s="9" t="str">
        <x:f>IF(C257="","",IFERROR(IF(INDEX('Factors'!$H$9:$H$108,MATCH(J257,'Factors'!$C$9:$C$108,0))="","",INDEX('Factors'!$H$9:$H$108,MATCH(J257,'Factors'!$C$9:$C$108,0))),""))</x:f>
      </x:c>
      <x:c r="R257" s="9" t="str">
        <x:f>IF(C257="","",IFERROR(IF(INDEX('Factors'!$E$9:$E$108,MATCH(J257,'Factors'!$C$9:$C$108,0))="","",INDEX('Factors'!$E$9:$E$108,MATCH(J257,'Factors'!$C$9:$C$108,0))),""))</x:f>
      </x:c>
      <x:c r="S257" s="42" t="str">
        <x:f>IF(C257="","",IFERROR(IF(INDEX('Factors'!$J$9:$J$108,MATCH(J257,'Factors'!$C$9:$C$108,0))="","",INDEX('Factors'!$J$9:$J$108,MATCH(J257,'Factors'!$C$9:$C$108,0))),""))</x:f>
      </x:c>
      <x:c r="T257" s="9" t="str">
        <x:f>IF(C257="","",IFERROR(IF(INDEX('Factors'!$L$9:$L$108,MATCH(J257,'Factors'!$C$9:$C$108,0))="","",INDEX('Factors'!$L$9:$L$108,MATCH(J257,'Factors'!$C$9:$C$108,0))),"")&amp;" / "&amp;IFERROR(IF(INDEX('Factors'!$M$9:$M$108,MATCH(J257,'Factors'!$C$9:$C$108,0))="","",INDEX('Factors'!$M$9:$M$108,MATCH(J257,'Factors'!$C$9:$C$108,0))),""))</x:f>
      </x:c>
      <x:c r="U257" s="21" t="str">
        <x:f>IF(V257="Ready",H257*O257/1000,"")</x:f>
      </x:c>
      <x:c r="V257" s="9" t="str">
        <x:f>IF(C257="","",IF(OR(COUNTIFS($C$9:$C$308,C257)&lt;&gt;1,COUNTIFS($D$9:$D$308,D257,$E$9:$E$308,E257,$F$9:$F$308,F257,$G$9:$G$308,G257,$K$9:$K$308,K257)&lt;&gt;1),"Duplicate annual activity",IF(COUNTIFS('Inventory'!$C$9:$C$108,D257)&lt;&gt;1,"Entity required",IF(OR(E257="",L257="",NOT(ISNUMBER(H257)),H257&lt;0,NOT(ISNUMBER(K257)),NOT(ISNUMBER(N257))),"Missing activity input",IF(AND(E257&lt;&gt;D257,OR(COUNTIFS('Sites'!$C$9:$C$108,E257)&lt;&gt;1,IFERROR(IF(INDEX('Sites'!$D$9:$D$108,MATCH(E257,'Sites'!$C$9:$C$108,0))="","",INDEX('Sites'!$D$9:$D$108,MATCH(E257,'Sites'!$C$9:$C$108,0))),"")&lt;&gt;IFERROR(IF(INDEX('Inventory'!$D$9:$D$108,MATCH(D257,'Inventory'!$C$9:$C$108,0))="","",INDEX('Inventory'!$D$9:$D$108,MATCH(D257,'Inventory'!$C$9:$C$108,0))),""),IFERROR(IF(INDEX('Sites'!$E$9:$E$108,MATCH(E257,'Sites'!$C$9:$C$108,0))="","",INDEX('Sites'!$E$9:$E$108,MATCH(E257,'Sites'!$C$9:$C$108,0))),"")&lt;&gt;W257)),"Site / entity mismatch",IF(N257&lt;'Settings'!$F$8,"Expired",IF(X257&lt;&gt;"Ready","Factor required",IF(OR(G257&lt;&gt;IFERROR(IF(INDEX('Factors'!$D$9:$D$108,MATCH(J257,'Factors'!$C$9:$C$108,0))="","",INDEX('Factors'!$D$9:$D$108,MATCH(J257,'Factors'!$C$9:$C$108,0))),""),I257&lt;&gt;P257,F257&lt;&gt;Q257,K257&lt;&gt;S257,AND(R257&lt;&gt;"Global",R257&lt;&gt;W257),K257&lt;&gt;YEAR(IFERROR(IF(INDEX('Inventory'!$H$9:$H$108,MATCH(D257,'Inventory'!$C$9:$C$108,0))="","",INDEX('Inventory'!$H$9:$H$108,MATCH(D257,'Inventory'!$C$9:$C$108,0))),""))),"Factor / boundary mismatch",IF(AND(F257="S2",IFERROR(IF(INDEX('Factors'!$I$9:$I$108,MATCH(J257,'Factors'!$C$9:$C$108,0))="","",INDEX('Factors'!$I$9:$I$108,MATCH(J257,'Factors'!$C$9:$C$108,0))),"")&lt;&gt;"Location-based"),"Use location factor",IF(M257&lt;&gt;"Actual","Estimation method review","Ready"))))))))))</x:f>
      </x:c>
      <x:c r="W257" s="9" t="str">
        <x:f>IF(C257="","",IFERROR(IF(INDEX('Inventory'!$G$9:$G$108,MATCH(D257,'Inventory'!$C$9:$C$108,0))="","",INDEX('Inventory'!$G$9:$G$108,MATCH(D257,'Inventory'!$C$9:$C$108,0))),""))</x:f>
      </x:c>
      <x:c r="X257" s="9" t="str">
        <x:f>IF(C257="","",IFERROR(IF(INDEX('Factors'!$P$9:$P$108,MATCH(J257,'Factors'!$C$9:$C$108,0))="","",INDEX('Factors'!$P$9:$P$108,MATCH(J257,'Factors'!$C$9:$C$108,0))),""))</x:f>
      </x:c>
    </x:row>
    <x:row r="258" ht="26" customHeight="1">
      <x:c r="A258" s="1"/>
      <x:c r="B258" s="1"/>
      <x:c r="C258" s="8"/>
      <x:c r="D258" s="8"/>
      <x:c r="E258" s="8"/>
      <x:c r="F258" s="8"/>
      <x:c r="G258" s="8"/>
      <x:c r="H258" s="16"/>
      <x:c r="I258" s="8"/>
      <x:c r="J258" s="8"/>
      <x:c r="K258" s="22"/>
      <x:c r="L258" s="8"/>
      <x:c r="M258" s="8"/>
      <x:c r="N258" s="40"/>
      <x:c r="O258" s="41" t="str">
        <x:f>IF(C258="","",IFERROR(IF(INDEX('Factors'!$G$9:$G$108,MATCH(J258,'Factors'!$C$9:$C$108,0))="","",INDEX('Factors'!$G$9:$G$108,MATCH(J258,'Factors'!$C$9:$C$108,0))),""))</x:f>
      </x:c>
      <x:c r="P258" s="9" t="str">
        <x:f>IF(C258="","",IFERROR(IF(INDEX('Factors'!$F$9:$F$108,MATCH(J258,'Factors'!$C$9:$C$108,0))="","",INDEX('Factors'!$F$9:$F$108,MATCH(J258,'Factors'!$C$9:$C$108,0))),""))</x:f>
      </x:c>
      <x:c r="Q258" s="9" t="str">
        <x:f>IF(C258="","",IFERROR(IF(INDEX('Factors'!$H$9:$H$108,MATCH(J258,'Factors'!$C$9:$C$108,0))="","",INDEX('Factors'!$H$9:$H$108,MATCH(J258,'Factors'!$C$9:$C$108,0))),""))</x:f>
      </x:c>
      <x:c r="R258" s="9" t="str">
        <x:f>IF(C258="","",IFERROR(IF(INDEX('Factors'!$E$9:$E$108,MATCH(J258,'Factors'!$C$9:$C$108,0))="","",INDEX('Factors'!$E$9:$E$108,MATCH(J258,'Factors'!$C$9:$C$108,0))),""))</x:f>
      </x:c>
      <x:c r="S258" s="42" t="str">
        <x:f>IF(C258="","",IFERROR(IF(INDEX('Factors'!$J$9:$J$108,MATCH(J258,'Factors'!$C$9:$C$108,0))="","",INDEX('Factors'!$J$9:$J$108,MATCH(J258,'Factors'!$C$9:$C$108,0))),""))</x:f>
      </x:c>
      <x:c r="T258" s="9" t="str">
        <x:f>IF(C258="","",IFERROR(IF(INDEX('Factors'!$L$9:$L$108,MATCH(J258,'Factors'!$C$9:$C$108,0))="","",INDEX('Factors'!$L$9:$L$108,MATCH(J258,'Factors'!$C$9:$C$108,0))),"")&amp;" / "&amp;IFERROR(IF(INDEX('Factors'!$M$9:$M$108,MATCH(J258,'Factors'!$C$9:$C$108,0))="","",INDEX('Factors'!$M$9:$M$108,MATCH(J258,'Factors'!$C$9:$C$108,0))),""))</x:f>
      </x:c>
      <x:c r="U258" s="21" t="str">
        <x:f>IF(V258="Ready",H258*O258/1000,"")</x:f>
      </x:c>
      <x:c r="V258" s="9" t="str">
        <x:f>IF(C258="","",IF(OR(COUNTIFS($C$9:$C$308,C258)&lt;&gt;1,COUNTIFS($D$9:$D$308,D258,$E$9:$E$308,E258,$F$9:$F$308,F258,$G$9:$G$308,G258,$K$9:$K$308,K258)&lt;&gt;1),"Duplicate annual activity",IF(COUNTIFS('Inventory'!$C$9:$C$108,D258)&lt;&gt;1,"Entity required",IF(OR(E258="",L258="",NOT(ISNUMBER(H258)),H258&lt;0,NOT(ISNUMBER(K258)),NOT(ISNUMBER(N258))),"Missing activity input",IF(AND(E258&lt;&gt;D258,OR(COUNTIFS('Sites'!$C$9:$C$108,E258)&lt;&gt;1,IFERROR(IF(INDEX('Sites'!$D$9:$D$108,MATCH(E258,'Sites'!$C$9:$C$108,0))="","",INDEX('Sites'!$D$9:$D$108,MATCH(E258,'Sites'!$C$9:$C$108,0))),"")&lt;&gt;IFERROR(IF(INDEX('Inventory'!$D$9:$D$108,MATCH(D258,'Inventory'!$C$9:$C$108,0))="","",INDEX('Inventory'!$D$9:$D$108,MATCH(D258,'Inventory'!$C$9:$C$108,0))),""),IFERROR(IF(INDEX('Sites'!$E$9:$E$108,MATCH(E258,'Sites'!$C$9:$C$108,0))="","",INDEX('Sites'!$E$9:$E$108,MATCH(E258,'Sites'!$C$9:$C$108,0))),"")&lt;&gt;W258)),"Site / entity mismatch",IF(N258&lt;'Settings'!$F$8,"Expired",IF(X258&lt;&gt;"Ready","Factor required",IF(OR(G258&lt;&gt;IFERROR(IF(INDEX('Factors'!$D$9:$D$108,MATCH(J258,'Factors'!$C$9:$C$108,0))="","",INDEX('Factors'!$D$9:$D$108,MATCH(J258,'Factors'!$C$9:$C$108,0))),""),I258&lt;&gt;P258,F258&lt;&gt;Q258,K258&lt;&gt;S258,AND(R258&lt;&gt;"Global",R258&lt;&gt;W258),K258&lt;&gt;YEAR(IFERROR(IF(INDEX('Inventory'!$H$9:$H$108,MATCH(D258,'Inventory'!$C$9:$C$108,0))="","",INDEX('Inventory'!$H$9:$H$108,MATCH(D258,'Inventory'!$C$9:$C$108,0))),""))),"Factor / boundary mismatch",IF(AND(F258="S2",IFERROR(IF(INDEX('Factors'!$I$9:$I$108,MATCH(J258,'Factors'!$C$9:$C$108,0))="","",INDEX('Factors'!$I$9:$I$108,MATCH(J258,'Factors'!$C$9:$C$108,0))),"")&lt;&gt;"Location-based"),"Use location factor",IF(M258&lt;&gt;"Actual","Estimation method review","Ready"))))))))))</x:f>
      </x:c>
      <x:c r="W258" s="9" t="str">
        <x:f>IF(C258="","",IFERROR(IF(INDEX('Inventory'!$G$9:$G$108,MATCH(D258,'Inventory'!$C$9:$C$108,0))="","",INDEX('Inventory'!$G$9:$G$108,MATCH(D258,'Inventory'!$C$9:$C$108,0))),""))</x:f>
      </x:c>
      <x:c r="X258" s="9" t="str">
        <x:f>IF(C258="","",IFERROR(IF(INDEX('Factors'!$P$9:$P$108,MATCH(J258,'Factors'!$C$9:$C$108,0))="","",INDEX('Factors'!$P$9:$P$108,MATCH(J258,'Factors'!$C$9:$C$108,0))),""))</x:f>
      </x:c>
    </x:row>
    <x:row r="259" ht="26" customHeight="1">
      <x:c r="A259" s="1"/>
      <x:c r="B259" s="1"/>
      <x:c r="C259" s="8"/>
      <x:c r="D259" s="8"/>
      <x:c r="E259" s="8"/>
      <x:c r="F259" s="8"/>
      <x:c r="G259" s="8"/>
      <x:c r="H259" s="16"/>
      <x:c r="I259" s="8"/>
      <x:c r="J259" s="8"/>
      <x:c r="K259" s="22"/>
      <x:c r="L259" s="8"/>
      <x:c r="M259" s="8"/>
      <x:c r="N259" s="40"/>
      <x:c r="O259" s="41" t="str">
        <x:f>IF(C259="","",IFERROR(IF(INDEX('Factors'!$G$9:$G$108,MATCH(J259,'Factors'!$C$9:$C$108,0))="","",INDEX('Factors'!$G$9:$G$108,MATCH(J259,'Factors'!$C$9:$C$108,0))),""))</x:f>
      </x:c>
      <x:c r="P259" s="9" t="str">
        <x:f>IF(C259="","",IFERROR(IF(INDEX('Factors'!$F$9:$F$108,MATCH(J259,'Factors'!$C$9:$C$108,0))="","",INDEX('Factors'!$F$9:$F$108,MATCH(J259,'Factors'!$C$9:$C$108,0))),""))</x:f>
      </x:c>
      <x:c r="Q259" s="9" t="str">
        <x:f>IF(C259="","",IFERROR(IF(INDEX('Factors'!$H$9:$H$108,MATCH(J259,'Factors'!$C$9:$C$108,0))="","",INDEX('Factors'!$H$9:$H$108,MATCH(J259,'Factors'!$C$9:$C$108,0))),""))</x:f>
      </x:c>
      <x:c r="R259" s="9" t="str">
        <x:f>IF(C259="","",IFERROR(IF(INDEX('Factors'!$E$9:$E$108,MATCH(J259,'Factors'!$C$9:$C$108,0))="","",INDEX('Factors'!$E$9:$E$108,MATCH(J259,'Factors'!$C$9:$C$108,0))),""))</x:f>
      </x:c>
      <x:c r="S259" s="42" t="str">
        <x:f>IF(C259="","",IFERROR(IF(INDEX('Factors'!$J$9:$J$108,MATCH(J259,'Factors'!$C$9:$C$108,0))="","",INDEX('Factors'!$J$9:$J$108,MATCH(J259,'Factors'!$C$9:$C$108,0))),""))</x:f>
      </x:c>
      <x:c r="T259" s="9" t="str">
        <x:f>IF(C259="","",IFERROR(IF(INDEX('Factors'!$L$9:$L$108,MATCH(J259,'Factors'!$C$9:$C$108,0))="","",INDEX('Factors'!$L$9:$L$108,MATCH(J259,'Factors'!$C$9:$C$108,0))),"")&amp;" / "&amp;IFERROR(IF(INDEX('Factors'!$M$9:$M$108,MATCH(J259,'Factors'!$C$9:$C$108,0))="","",INDEX('Factors'!$M$9:$M$108,MATCH(J259,'Factors'!$C$9:$C$108,0))),""))</x:f>
      </x:c>
      <x:c r="U259" s="21" t="str">
        <x:f>IF(V259="Ready",H259*O259/1000,"")</x:f>
      </x:c>
      <x:c r="V259" s="9" t="str">
        <x:f>IF(C259="","",IF(OR(COUNTIFS($C$9:$C$308,C259)&lt;&gt;1,COUNTIFS($D$9:$D$308,D259,$E$9:$E$308,E259,$F$9:$F$308,F259,$G$9:$G$308,G259,$K$9:$K$308,K259)&lt;&gt;1),"Duplicate annual activity",IF(COUNTIFS('Inventory'!$C$9:$C$108,D259)&lt;&gt;1,"Entity required",IF(OR(E259="",L259="",NOT(ISNUMBER(H259)),H259&lt;0,NOT(ISNUMBER(K259)),NOT(ISNUMBER(N259))),"Missing activity input",IF(AND(E259&lt;&gt;D259,OR(COUNTIFS('Sites'!$C$9:$C$108,E259)&lt;&gt;1,IFERROR(IF(INDEX('Sites'!$D$9:$D$108,MATCH(E259,'Sites'!$C$9:$C$108,0))="","",INDEX('Sites'!$D$9:$D$108,MATCH(E259,'Sites'!$C$9:$C$108,0))),"")&lt;&gt;IFERROR(IF(INDEX('Inventory'!$D$9:$D$108,MATCH(D259,'Inventory'!$C$9:$C$108,0))="","",INDEX('Inventory'!$D$9:$D$108,MATCH(D259,'Inventory'!$C$9:$C$108,0))),""),IFERROR(IF(INDEX('Sites'!$E$9:$E$108,MATCH(E259,'Sites'!$C$9:$C$108,0))="","",INDEX('Sites'!$E$9:$E$108,MATCH(E259,'Sites'!$C$9:$C$108,0))),"")&lt;&gt;W259)),"Site / entity mismatch",IF(N259&lt;'Settings'!$F$8,"Expired",IF(X259&lt;&gt;"Ready","Factor required",IF(OR(G259&lt;&gt;IFERROR(IF(INDEX('Factors'!$D$9:$D$108,MATCH(J259,'Factors'!$C$9:$C$108,0))="","",INDEX('Factors'!$D$9:$D$108,MATCH(J259,'Factors'!$C$9:$C$108,0))),""),I259&lt;&gt;P259,F259&lt;&gt;Q259,K259&lt;&gt;S259,AND(R259&lt;&gt;"Global",R259&lt;&gt;W259),K259&lt;&gt;YEAR(IFERROR(IF(INDEX('Inventory'!$H$9:$H$108,MATCH(D259,'Inventory'!$C$9:$C$108,0))="","",INDEX('Inventory'!$H$9:$H$108,MATCH(D259,'Inventory'!$C$9:$C$108,0))),""))),"Factor / boundary mismatch",IF(AND(F259="S2",IFERROR(IF(INDEX('Factors'!$I$9:$I$108,MATCH(J259,'Factors'!$C$9:$C$108,0))="","",INDEX('Factors'!$I$9:$I$108,MATCH(J259,'Factors'!$C$9:$C$108,0))),"")&lt;&gt;"Location-based"),"Use location factor",IF(M259&lt;&gt;"Actual","Estimation method review","Ready"))))))))))</x:f>
      </x:c>
      <x:c r="W259" s="9" t="str">
        <x:f>IF(C259="","",IFERROR(IF(INDEX('Inventory'!$G$9:$G$108,MATCH(D259,'Inventory'!$C$9:$C$108,0))="","",INDEX('Inventory'!$G$9:$G$108,MATCH(D259,'Inventory'!$C$9:$C$108,0))),""))</x:f>
      </x:c>
      <x:c r="X259" s="9" t="str">
        <x:f>IF(C259="","",IFERROR(IF(INDEX('Factors'!$P$9:$P$108,MATCH(J259,'Factors'!$C$9:$C$108,0))="","",INDEX('Factors'!$P$9:$P$108,MATCH(J259,'Factors'!$C$9:$C$108,0))),""))</x:f>
      </x:c>
    </x:row>
    <x:row r="260" ht="26" customHeight="1">
      <x:c r="A260" s="1"/>
      <x:c r="B260" s="1"/>
      <x:c r="C260" s="8"/>
      <x:c r="D260" s="8"/>
      <x:c r="E260" s="8"/>
      <x:c r="F260" s="8"/>
      <x:c r="G260" s="8"/>
      <x:c r="H260" s="16"/>
      <x:c r="I260" s="8"/>
      <x:c r="J260" s="8"/>
      <x:c r="K260" s="22"/>
      <x:c r="L260" s="8"/>
      <x:c r="M260" s="8"/>
      <x:c r="N260" s="40"/>
      <x:c r="O260" s="41" t="str">
        <x:f>IF(C260="","",IFERROR(IF(INDEX('Factors'!$G$9:$G$108,MATCH(J260,'Factors'!$C$9:$C$108,0))="","",INDEX('Factors'!$G$9:$G$108,MATCH(J260,'Factors'!$C$9:$C$108,0))),""))</x:f>
      </x:c>
      <x:c r="P260" s="9" t="str">
        <x:f>IF(C260="","",IFERROR(IF(INDEX('Factors'!$F$9:$F$108,MATCH(J260,'Factors'!$C$9:$C$108,0))="","",INDEX('Factors'!$F$9:$F$108,MATCH(J260,'Factors'!$C$9:$C$108,0))),""))</x:f>
      </x:c>
      <x:c r="Q260" s="9" t="str">
        <x:f>IF(C260="","",IFERROR(IF(INDEX('Factors'!$H$9:$H$108,MATCH(J260,'Factors'!$C$9:$C$108,0))="","",INDEX('Factors'!$H$9:$H$108,MATCH(J260,'Factors'!$C$9:$C$108,0))),""))</x:f>
      </x:c>
      <x:c r="R260" s="9" t="str">
        <x:f>IF(C260="","",IFERROR(IF(INDEX('Factors'!$E$9:$E$108,MATCH(J260,'Factors'!$C$9:$C$108,0))="","",INDEX('Factors'!$E$9:$E$108,MATCH(J260,'Factors'!$C$9:$C$108,0))),""))</x:f>
      </x:c>
      <x:c r="S260" s="42" t="str">
        <x:f>IF(C260="","",IFERROR(IF(INDEX('Factors'!$J$9:$J$108,MATCH(J260,'Factors'!$C$9:$C$108,0))="","",INDEX('Factors'!$J$9:$J$108,MATCH(J260,'Factors'!$C$9:$C$108,0))),""))</x:f>
      </x:c>
      <x:c r="T260" s="9" t="str">
        <x:f>IF(C260="","",IFERROR(IF(INDEX('Factors'!$L$9:$L$108,MATCH(J260,'Factors'!$C$9:$C$108,0))="","",INDEX('Factors'!$L$9:$L$108,MATCH(J260,'Factors'!$C$9:$C$108,0))),"")&amp;" / "&amp;IFERROR(IF(INDEX('Factors'!$M$9:$M$108,MATCH(J260,'Factors'!$C$9:$C$108,0))="","",INDEX('Factors'!$M$9:$M$108,MATCH(J260,'Factors'!$C$9:$C$108,0))),""))</x:f>
      </x:c>
      <x:c r="U260" s="21" t="str">
        <x:f>IF(V260="Ready",H260*O260/1000,"")</x:f>
      </x:c>
      <x:c r="V260" s="9" t="str">
        <x:f>IF(C260="","",IF(OR(COUNTIFS($C$9:$C$308,C260)&lt;&gt;1,COUNTIFS($D$9:$D$308,D260,$E$9:$E$308,E260,$F$9:$F$308,F260,$G$9:$G$308,G260,$K$9:$K$308,K260)&lt;&gt;1),"Duplicate annual activity",IF(COUNTIFS('Inventory'!$C$9:$C$108,D260)&lt;&gt;1,"Entity required",IF(OR(E260="",L260="",NOT(ISNUMBER(H260)),H260&lt;0,NOT(ISNUMBER(K260)),NOT(ISNUMBER(N260))),"Missing activity input",IF(AND(E260&lt;&gt;D260,OR(COUNTIFS('Sites'!$C$9:$C$108,E260)&lt;&gt;1,IFERROR(IF(INDEX('Sites'!$D$9:$D$108,MATCH(E260,'Sites'!$C$9:$C$108,0))="","",INDEX('Sites'!$D$9:$D$108,MATCH(E260,'Sites'!$C$9:$C$108,0))),"")&lt;&gt;IFERROR(IF(INDEX('Inventory'!$D$9:$D$108,MATCH(D260,'Inventory'!$C$9:$C$108,0))="","",INDEX('Inventory'!$D$9:$D$108,MATCH(D260,'Inventory'!$C$9:$C$108,0))),""),IFERROR(IF(INDEX('Sites'!$E$9:$E$108,MATCH(E260,'Sites'!$C$9:$C$108,0))="","",INDEX('Sites'!$E$9:$E$108,MATCH(E260,'Sites'!$C$9:$C$108,0))),"")&lt;&gt;W260)),"Site / entity mismatch",IF(N260&lt;'Settings'!$F$8,"Expired",IF(X260&lt;&gt;"Ready","Factor required",IF(OR(G260&lt;&gt;IFERROR(IF(INDEX('Factors'!$D$9:$D$108,MATCH(J260,'Factors'!$C$9:$C$108,0))="","",INDEX('Factors'!$D$9:$D$108,MATCH(J260,'Factors'!$C$9:$C$108,0))),""),I260&lt;&gt;P260,F260&lt;&gt;Q260,K260&lt;&gt;S260,AND(R260&lt;&gt;"Global",R260&lt;&gt;W260),K260&lt;&gt;YEAR(IFERROR(IF(INDEX('Inventory'!$H$9:$H$108,MATCH(D260,'Inventory'!$C$9:$C$108,0))="","",INDEX('Inventory'!$H$9:$H$108,MATCH(D260,'Inventory'!$C$9:$C$108,0))),""))),"Factor / boundary mismatch",IF(AND(F260="S2",IFERROR(IF(INDEX('Factors'!$I$9:$I$108,MATCH(J260,'Factors'!$C$9:$C$108,0))="","",INDEX('Factors'!$I$9:$I$108,MATCH(J260,'Factors'!$C$9:$C$108,0))),"")&lt;&gt;"Location-based"),"Use location factor",IF(M260&lt;&gt;"Actual","Estimation method review","Ready"))))))))))</x:f>
      </x:c>
      <x:c r="W260" s="9" t="str">
        <x:f>IF(C260="","",IFERROR(IF(INDEX('Inventory'!$G$9:$G$108,MATCH(D260,'Inventory'!$C$9:$C$108,0))="","",INDEX('Inventory'!$G$9:$G$108,MATCH(D260,'Inventory'!$C$9:$C$108,0))),""))</x:f>
      </x:c>
      <x:c r="X260" s="9" t="str">
        <x:f>IF(C260="","",IFERROR(IF(INDEX('Factors'!$P$9:$P$108,MATCH(J260,'Factors'!$C$9:$C$108,0))="","",INDEX('Factors'!$P$9:$P$108,MATCH(J260,'Factors'!$C$9:$C$108,0))),""))</x:f>
      </x:c>
    </x:row>
    <x:row r="261" ht="26" customHeight="1">
      <x:c r="A261" s="1"/>
      <x:c r="B261" s="1"/>
      <x:c r="C261" s="8"/>
      <x:c r="D261" s="8"/>
      <x:c r="E261" s="8"/>
      <x:c r="F261" s="8"/>
      <x:c r="G261" s="8"/>
      <x:c r="H261" s="16"/>
      <x:c r="I261" s="8"/>
      <x:c r="J261" s="8"/>
      <x:c r="K261" s="22"/>
      <x:c r="L261" s="8"/>
      <x:c r="M261" s="8"/>
      <x:c r="N261" s="40"/>
      <x:c r="O261" s="41" t="str">
        <x:f>IF(C261="","",IFERROR(IF(INDEX('Factors'!$G$9:$G$108,MATCH(J261,'Factors'!$C$9:$C$108,0))="","",INDEX('Factors'!$G$9:$G$108,MATCH(J261,'Factors'!$C$9:$C$108,0))),""))</x:f>
      </x:c>
      <x:c r="P261" s="9" t="str">
        <x:f>IF(C261="","",IFERROR(IF(INDEX('Factors'!$F$9:$F$108,MATCH(J261,'Factors'!$C$9:$C$108,0))="","",INDEX('Factors'!$F$9:$F$108,MATCH(J261,'Factors'!$C$9:$C$108,0))),""))</x:f>
      </x:c>
      <x:c r="Q261" s="9" t="str">
        <x:f>IF(C261="","",IFERROR(IF(INDEX('Factors'!$H$9:$H$108,MATCH(J261,'Factors'!$C$9:$C$108,0))="","",INDEX('Factors'!$H$9:$H$108,MATCH(J261,'Factors'!$C$9:$C$108,0))),""))</x:f>
      </x:c>
      <x:c r="R261" s="9" t="str">
        <x:f>IF(C261="","",IFERROR(IF(INDEX('Factors'!$E$9:$E$108,MATCH(J261,'Factors'!$C$9:$C$108,0))="","",INDEX('Factors'!$E$9:$E$108,MATCH(J261,'Factors'!$C$9:$C$108,0))),""))</x:f>
      </x:c>
      <x:c r="S261" s="42" t="str">
        <x:f>IF(C261="","",IFERROR(IF(INDEX('Factors'!$J$9:$J$108,MATCH(J261,'Factors'!$C$9:$C$108,0))="","",INDEX('Factors'!$J$9:$J$108,MATCH(J261,'Factors'!$C$9:$C$108,0))),""))</x:f>
      </x:c>
      <x:c r="T261" s="9" t="str">
        <x:f>IF(C261="","",IFERROR(IF(INDEX('Factors'!$L$9:$L$108,MATCH(J261,'Factors'!$C$9:$C$108,0))="","",INDEX('Factors'!$L$9:$L$108,MATCH(J261,'Factors'!$C$9:$C$108,0))),"")&amp;" / "&amp;IFERROR(IF(INDEX('Factors'!$M$9:$M$108,MATCH(J261,'Factors'!$C$9:$C$108,0))="","",INDEX('Factors'!$M$9:$M$108,MATCH(J261,'Factors'!$C$9:$C$108,0))),""))</x:f>
      </x:c>
      <x:c r="U261" s="21" t="str">
        <x:f>IF(V261="Ready",H261*O261/1000,"")</x:f>
      </x:c>
      <x:c r="V261" s="9" t="str">
        <x:f>IF(C261="","",IF(OR(COUNTIFS($C$9:$C$308,C261)&lt;&gt;1,COUNTIFS($D$9:$D$308,D261,$E$9:$E$308,E261,$F$9:$F$308,F261,$G$9:$G$308,G261,$K$9:$K$308,K261)&lt;&gt;1),"Duplicate annual activity",IF(COUNTIFS('Inventory'!$C$9:$C$108,D261)&lt;&gt;1,"Entity required",IF(OR(E261="",L261="",NOT(ISNUMBER(H261)),H261&lt;0,NOT(ISNUMBER(K261)),NOT(ISNUMBER(N261))),"Missing activity input",IF(AND(E261&lt;&gt;D261,OR(COUNTIFS('Sites'!$C$9:$C$108,E261)&lt;&gt;1,IFERROR(IF(INDEX('Sites'!$D$9:$D$108,MATCH(E261,'Sites'!$C$9:$C$108,0))="","",INDEX('Sites'!$D$9:$D$108,MATCH(E261,'Sites'!$C$9:$C$108,0))),"")&lt;&gt;IFERROR(IF(INDEX('Inventory'!$D$9:$D$108,MATCH(D261,'Inventory'!$C$9:$C$108,0))="","",INDEX('Inventory'!$D$9:$D$108,MATCH(D261,'Inventory'!$C$9:$C$108,0))),""),IFERROR(IF(INDEX('Sites'!$E$9:$E$108,MATCH(E261,'Sites'!$C$9:$C$108,0))="","",INDEX('Sites'!$E$9:$E$108,MATCH(E261,'Sites'!$C$9:$C$108,0))),"")&lt;&gt;W261)),"Site / entity mismatch",IF(N261&lt;'Settings'!$F$8,"Expired",IF(X261&lt;&gt;"Ready","Factor required",IF(OR(G261&lt;&gt;IFERROR(IF(INDEX('Factors'!$D$9:$D$108,MATCH(J261,'Factors'!$C$9:$C$108,0))="","",INDEX('Factors'!$D$9:$D$108,MATCH(J261,'Factors'!$C$9:$C$108,0))),""),I261&lt;&gt;P261,F261&lt;&gt;Q261,K261&lt;&gt;S261,AND(R261&lt;&gt;"Global",R261&lt;&gt;W261),K261&lt;&gt;YEAR(IFERROR(IF(INDEX('Inventory'!$H$9:$H$108,MATCH(D261,'Inventory'!$C$9:$C$108,0))="","",INDEX('Inventory'!$H$9:$H$108,MATCH(D261,'Inventory'!$C$9:$C$108,0))),""))),"Factor / boundary mismatch",IF(AND(F261="S2",IFERROR(IF(INDEX('Factors'!$I$9:$I$108,MATCH(J261,'Factors'!$C$9:$C$108,0))="","",INDEX('Factors'!$I$9:$I$108,MATCH(J261,'Factors'!$C$9:$C$108,0))),"")&lt;&gt;"Location-based"),"Use location factor",IF(M261&lt;&gt;"Actual","Estimation method review","Ready"))))))))))</x:f>
      </x:c>
      <x:c r="W261" s="9" t="str">
        <x:f>IF(C261="","",IFERROR(IF(INDEX('Inventory'!$G$9:$G$108,MATCH(D261,'Inventory'!$C$9:$C$108,0))="","",INDEX('Inventory'!$G$9:$G$108,MATCH(D261,'Inventory'!$C$9:$C$108,0))),""))</x:f>
      </x:c>
      <x:c r="X261" s="9" t="str">
        <x:f>IF(C261="","",IFERROR(IF(INDEX('Factors'!$P$9:$P$108,MATCH(J261,'Factors'!$C$9:$C$108,0))="","",INDEX('Factors'!$P$9:$P$108,MATCH(J261,'Factors'!$C$9:$C$108,0))),""))</x:f>
      </x:c>
    </x:row>
    <x:row r="262" ht="26" customHeight="1">
      <x:c r="A262" s="1"/>
      <x:c r="B262" s="1"/>
      <x:c r="C262" s="8"/>
      <x:c r="D262" s="8"/>
      <x:c r="E262" s="8"/>
      <x:c r="F262" s="8"/>
      <x:c r="G262" s="8"/>
      <x:c r="H262" s="16"/>
      <x:c r="I262" s="8"/>
      <x:c r="J262" s="8"/>
      <x:c r="K262" s="22"/>
      <x:c r="L262" s="8"/>
      <x:c r="M262" s="8"/>
      <x:c r="N262" s="40"/>
      <x:c r="O262" s="41" t="str">
        <x:f>IF(C262="","",IFERROR(IF(INDEX('Factors'!$G$9:$G$108,MATCH(J262,'Factors'!$C$9:$C$108,0))="","",INDEX('Factors'!$G$9:$G$108,MATCH(J262,'Factors'!$C$9:$C$108,0))),""))</x:f>
      </x:c>
      <x:c r="P262" s="9" t="str">
        <x:f>IF(C262="","",IFERROR(IF(INDEX('Factors'!$F$9:$F$108,MATCH(J262,'Factors'!$C$9:$C$108,0))="","",INDEX('Factors'!$F$9:$F$108,MATCH(J262,'Factors'!$C$9:$C$108,0))),""))</x:f>
      </x:c>
      <x:c r="Q262" s="9" t="str">
        <x:f>IF(C262="","",IFERROR(IF(INDEX('Factors'!$H$9:$H$108,MATCH(J262,'Factors'!$C$9:$C$108,0))="","",INDEX('Factors'!$H$9:$H$108,MATCH(J262,'Factors'!$C$9:$C$108,0))),""))</x:f>
      </x:c>
      <x:c r="R262" s="9" t="str">
        <x:f>IF(C262="","",IFERROR(IF(INDEX('Factors'!$E$9:$E$108,MATCH(J262,'Factors'!$C$9:$C$108,0))="","",INDEX('Factors'!$E$9:$E$108,MATCH(J262,'Factors'!$C$9:$C$108,0))),""))</x:f>
      </x:c>
      <x:c r="S262" s="42" t="str">
        <x:f>IF(C262="","",IFERROR(IF(INDEX('Factors'!$J$9:$J$108,MATCH(J262,'Factors'!$C$9:$C$108,0))="","",INDEX('Factors'!$J$9:$J$108,MATCH(J262,'Factors'!$C$9:$C$108,0))),""))</x:f>
      </x:c>
      <x:c r="T262" s="9" t="str">
        <x:f>IF(C262="","",IFERROR(IF(INDEX('Factors'!$L$9:$L$108,MATCH(J262,'Factors'!$C$9:$C$108,0))="","",INDEX('Factors'!$L$9:$L$108,MATCH(J262,'Factors'!$C$9:$C$108,0))),"")&amp;" / "&amp;IFERROR(IF(INDEX('Factors'!$M$9:$M$108,MATCH(J262,'Factors'!$C$9:$C$108,0))="","",INDEX('Factors'!$M$9:$M$108,MATCH(J262,'Factors'!$C$9:$C$108,0))),""))</x:f>
      </x:c>
      <x:c r="U262" s="21" t="str">
        <x:f>IF(V262="Ready",H262*O262/1000,"")</x:f>
      </x:c>
      <x:c r="V262" s="9" t="str">
        <x:f>IF(C262="","",IF(OR(COUNTIFS($C$9:$C$308,C262)&lt;&gt;1,COUNTIFS($D$9:$D$308,D262,$E$9:$E$308,E262,$F$9:$F$308,F262,$G$9:$G$308,G262,$K$9:$K$308,K262)&lt;&gt;1),"Duplicate annual activity",IF(COUNTIFS('Inventory'!$C$9:$C$108,D262)&lt;&gt;1,"Entity required",IF(OR(E262="",L262="",NOT(ISNUMBER(H262)),H262&lt;0,NOT(ISNUMBER(K262)),NOT(ISNUMBER(N262))),"Missing activity input",IF(AND(E262&lt;&gt;D262,OR(COUNTIFS('Sites'!$C$9:$C$108,E262)&lt;&gt;1,IFERROR(IF(INDEX('Sites'!$D$9:$D$108,MATCH(E262,'Sites'!$C$9:$C$108,0))="","",INDEX('Sites'!$D$9:$D$108,MATCH(E262,'Sites'!$C$9:$C$108,0))),"")&lt;&gt;IFERROR(IF(INDEX('Inventory'!$D$9:$D$108,MATCH(D262,'Inventory'!$C$9:$C$108,0))="","",INDEX('Inventory'!$D$9:$D$108,MATCH(D262,'Inventory'!$C$9:$C$108,0))),""),IFERROR(IF(INDEX('Sites'!$E$9:$E$108,MATCH(E262,'Sites'!$C$9:$C$108,0))="","",INDEX('Sites'!$E$9:$E$108,MATCH(E262,'Sites'!$C$9:$C$108,0))),"")&lt;&gt;W262)),"Site / entity mismatch",IF(N262&lt;'Settings'!$F$8,"Expired",IF(X262&lt;&gt;"Ready","Factor required",IF(OR(G262&lt;&gt;IFERROR(IF(INDEX('Factors'!$D$9:$D$108,MATCH(J262,'Factors'!$C$9:$C$108,0))="","",INDEX('Factors'!$D$9:$D$108,MATCH(J262,'Factors'!$C$9:$C$108,0))),""),I262&lt;&gt;P262,F262&lt;&gt;Q262,K262&lt;&gt;S262,AND(R262&lt;&gt;"Global",R262&lt;&gt;W262),K262&lt;&gt;YEAR(IFERROR(IF(INDEX('Inventory'!$H$9:$H$108,MATCH(D262,'Inventory'!$C$9:$C$108,0))="","",INDEX('Inventory'!$H$9:$H$108,MATCH(D262,'Inventory'!$C$9:$C$108,0))),""))),"Factor / boundary mismatch",IF(AND(F262="S2",IFERROR(IF(INDEX('Factors'!$I$9:$I$108,MATCH(J262,'Factors'!$C$9:$C$108,0))="","",INDEX('Factors'!$I$9:$I$108,MATCH(J262,'Factors'!$C$9:$C$108,0))),"")&lt;&gt;"Location-based"),"Use location factor",IF(M262&lt;&gt;"Actual","Estimation method review","Ready"))))))))))</x:f>
      </x:c>
      <x:c r="W262" s="9" t="str">
        <x:f>IF(C262="","",IFERROR(IF(INDEX('Inventory'!$G$9:$G$108,MATCH(D262,'Inventory'!$C$9:$C$108,0))="","",INDEX('Inventory'!$G$9:$G$108,MATCH(D262,'Inventory'!$C$9:$C$108,0))),""))</x:f>
      </x:c>
      <x:c r="X262" s="9" t="str">
        <x:f>IF(C262="","",IFERROR(IF(INDEX('Factors'!$P$9:$P$108,MATCH(J262,'Factors'!$C$9:$C$108,0))="","",INDEX('Factors'!$P$9:$P$108,MATCH(J262,'Factors'!$C$9:$C$108,0))),""))</x:f>
      </x:c>
    </x:row>
    <x:row r="263" ht="26" customHeight="1">
      <x:c r="A263" s="1"/>
      <x:c r="B263" s="1"/>
      <x:c r="C263" s="8"/>
      <x:c r="D263" s="8"/>
      <x:c r="E263" s="8"/>
      <x:c r="F263" s="8"/>
      <x:c r="G263" s="8"/>
      <x:c r="H263" s="16"/>
      <x:c r="I263" s="8"/>
      <x:c r="J263" s="8"/>
      <x:c r="K263" s="22"/>
      <x:c r="L263" s="8"/>
      <x:c r="M263" s="8"/>
      <x:c r="N263" s="40"/>
      <x:c r="O263" s="41" t="str">
        <x:f>IF(C263="","",IFERROR(IF(INDEX('Factors'!$G$9:$G$108,MATCH(J263,'Factors'!$C$9:$C$108,0))="","",INDEX('Factors'!$G$9:$G$108,MATCH(J263,'Factors'!$C$9:$C$108,0))),""))</x:f>
      </x:c>
      <x:c r="P263" s="9" t="str">
        <x:f>IF(C263="","",IFERROR(IF(INDEX('Factors'!$F$9:$F$108,MATCH(J263,'Factors'!$C$9:$C$108,0))="","",INDEX('Factors'!$F$9:$F$108,MATCH(J263,'Factors'!$C$9:$C$108,0))),""))</x:f>
      </x:c>
      <x:c r="Q263" s="9" t="str">
        <x:f>IF(C263="","",IFERROR(IF(INDEX('Factors'!$H$9:$H$108,MATCH(J263,'Factors'!$C$9:$C$108,0))="","",INDEX('Factors'!$H$9:$H$108,MATCH(J263,'Factors'!$C$9:$C$108,0))),""))</x:f>
      </x:c>
      <x:c r="R263" s="9" t="str">
        <x:f>IF(C263="","",IFERROR(IF(INDEX('Factors'!$E$9:$E$108,MATCH(J263,'Factors'!$C$9:$C$108,0))="","",INDEX('Factors'!$E$9:$E$108,MATCH(J263,'Factors'!$C$9:$C$108,0))),""))</x:f>
      </x:c>
      <x:c r="S263" s="42" t="str">
        <x:f>IF(C263="","",IFERROR(IF(INDEX('Factors'!$J$9:$J$108,MATCH(J263,'Factors'!$C$9:$C$108,0))="","",INDEX('Factors'!$J$9:$J$108,MATCH(J263,'Factors'!$C$9:$C$108,0))),""))</x:f>
      </x:c>
      <x:c r="T263" s="9" t="str">
        <x:f>IF(C263="","",IFERROR(IF(INDEX('Factors'!$L$9:$L$108,MATCH(J263,'Factors'!$C$9:$C$108,0))="","",INDEX('Factors'!$L$9:$L$108,MATCH(J263,'Factors'!$C$9:$C$108,0))),"")&amp;" / "&amp;IFERROR(IF(INDEX('Factors'!$M$9:$M$108,MATCH(J263,'Factors'!$C$9:$C$108,0))="","",INDEX('Factors'!$M$9:$M$108,MATCH(J263,'Factors'!$C$9:$C$108,0))),""))</x:f>
      </x:c>
      <x:c r="U263" s="21" t="str">
        <x:f>IF(V263="Ready",H263*O263/1000,"")</x:f>
      </x:c>
      <x:c r="V263" s="9" t="str">
        <x:f>IF(C263="","",IF(OR(COUNTIFS($C$9:$C$308,C263)&lt;&gt;1,COUNTIFS($D$9:$D$308,D263,$E$9:$E$308,E263,$F$9:$F$308,F263,$G$9:$G$308,G263,$K$9:$K$308,K263)&lt;&gt;1),"Duplicate annual activity",IF(COUNTIFS('Inventory'!$C$9:$C$108,D263)&lt;&gt;1,"Entity required",IF(OR(E263="",L263="",NOT(ISNUMBER(H263)),H263&lt;0,NOT(ISNUMBER(K263)),NOT(ISNUMBER(N263))),"Missing activity input",IF(AND(E263&lt;&gt;D263,OR(COUNTIFS('Sites'!$C$9:$C$108,E263)&lt;&gt;1,IFERROR(IF(INDEX('Sites'!$D$9:$D$108,MATCH(E263,'Sites'!$C$9:$C$108,0))="","",INDEX('Sites'!$D$9:$D$108,MATCH(E263,'Sites'!$C$9:$C$108,0))),"")&lt;&gt;IFERROR(IF(INDEX('Inventory'!$D$9:$D$108,MATCH(D263,'Inventory'!$C$9:$C$108,0))="","",INDEX('Inventory'!$D$9:$D$108,MATCH(D263,'Inventory'!$C$9:$C$108,0))),""),IFERROR(IF(INDEX('Sites'!$E$9:$E$108,MATCH(E263,'Sites'!$C$9:$C$108,0))="","",INDEX('Sites'!$E$9:$E$108,MATCH(E263,'Sites'!$C$9:$C$108,0))),"")&lt;&gt;W263)),"Site / entity mismatch",IF(N263&lt;'Settings'!$F$8,"Expired",IF(X263&lt;&gt;"Ready","Factor required",IF(OR(G263&lt;&gt;IFERROR(IF(INDEX('Factors'!$D$9:$D$108,MATCH(J263,'Factors'!$C$9:$C$108,0))="","",INDEX('Factors'!$D$9:$D$108,MATCH(J263,'Factors'!$C$9:$C$108,0))),""),I263&lt;&gt;P263,F263&lt;&gt;Q263,K263&lt;&gt;S263,AND(R263&lt;&gt;"Global",R263&lt;&gt;W263),K263&lt;&gt;YEAR(IFERROR(IF(INDEX('Inventory'!$H$9:$H$108,MATCH(D263,'Inventory'!$C$9:$C$108,0))="","",INDEX('Inventory'!$H$9:$H$108,MATCH(D263,'Inventory'!$C$9:$C$108,0))),""))),"Factor / boundary mismatch",IF(AND(F263="S2",IFERROR(IF(INDEX('Factors'!$I$9:$I$108,MATCH(J263,'Factors'!$C$9:$C$108,0))="","",INDEX('Factors'!$I$9:$I$108,MATCH(J263,'Factors'!$C$9:$C$108,0))),"")&lt;&gt;"Location-based"),"Use location factor",IF(M263&lt;&gt;"Actual","Estimation method review","Ready"))))))))))</x:f>
      </x:c>
      <x:c r="W263" s="9" t="str">
        <x:f>IF(C263="","",IFERROR(IF(INDEX('Inventory'!$G$9:$G$108,MATCH(D263,'Inventory'!$C$9:$C$108,0))="","",INDEX('Inventory'!$G$9:$G$108,MATCH(D263,'Inventory'!$C$9:$C$108,0))),""))</x:f>
      </x:c>
      <x:c r="X263" s="9" t="str">
        <x:f>IF(C263="","",IFERROR(IF(INDEX('Factors'!$P$9:$P$108,MATCH(J263,'Factors'!$C$9:$C$108,0))="","",INDEX('Factors'!$P$9:$P$108,MATCH(J263,'Factors'!$C$9:$C$108,0))),""))</x:f>
      </x:c>
    </x:row>
    <x:row r="264" ht="26" customHeight="1">
      <x:c r="A264" s="1"/>
      <x:c r="B264" s="1"/>
      <x:c r="C264" s="8"/>
      <x:c r="D264" s="8"/>
      <x:c r="E264" s="8"/>
      <x:c r="F264" s="8"/>
      <x:c r="G264" s="8"/>
      <x:c r="H264" s="16"/>
      <x:c r="I264" s="8"/>
      <x:c r="J264" s="8"/>
      <x:c r="K264" s="22"/>
      <x:c r="L264" s="8"/>
      <x:c r="M264" s="8"/>
      <x:c r="N264" s="40"/>
      <x:c r="O264" s="41" t="str">
        <x:f>IF(C264="","",IFERROR(IF(INDEX('Factors'!$G$9:$G$108,MATCH(J264,'Factors'!$C$9:$C$108,0))="","",INDEX('Factors'!$G$9:$G$108,MATCH(J264,'Factors'!$C$9:$C$108,0))),""))</x:f>
      </x:c>
      <x:c r="P264" s="9" t="str">
        <x:f>IF(C264="","",IFERROR(IF(INDEX('Factors'!$F$9:$F$108,MATCH(J264,'Factors'!$C$9:$C$108,0))="","",INDEX('Factors'!$F$9:$F$108,MATCH(J264,'Factors'!$C$9:$C$108,0))),""))</x:f>
      </x:c>
      <x:c r="Q264" s="9" t="str">
        <x:f>IF(C264="","",IFERROR(IF(INDEX('Factors'!$H$9:$H$108,MATCH(J264,'Factors'!$C$9:$C$108,0))="","",INDEX('Factors'!$H$9:$H$108,MATCH(J264,'Factors'!$C$9:$C$108,0))),""))</x:f>
      </x:c>
      <x:c r="R264" s="9" t="str">
        <x:f>IF(C264="","",IFERROR(IF(INDEX('Factors'!$E$9:$E$108,MATCH(J264,'Factors'!$C$9:$C$108,0))="","",INDEX('Factors'!$E$9:$E$108,MATCH(J264,'Factors'!$C$9:$C$108,0))),""))</x:f>
      </x:c>
      <x:c r="S264" s="42" t="str">
        <x:f>IF(C264="","",IFERROR(IF(INDEX('Factors'!$J$9:$J$108,MATCH(J264,'Factors'!$C$9:$C$108,0))="","",INDEX('Factors'!$J$9:$J$108,MATCH(J264,'Factors'!$C$9:$C$108,0))),""))</x:f>
      </x:c>
      <x:c r="T264" s="9" t="str">
        <x:f>IF(C264="","",IFERROR(IF(INDEX('Factors'!$L$9:$L$108,MATCH(J264,'Factors'!$C$9:$C$108,0))="","",INDEX('Factors'!$L$9:$L$108,MATCH(J264,'Factors'!$C$9:$C$108,0))),"")&amp;" / "&amp;IFERROR(IF(INDEX('Factors'!$M$9:$M$108,MATCH(J264,'Factors'!$C$9:$C$108,0))="","",INDEX('Factors'!$M$9:$M$108,MATCH(J264,'Factors'!$C$9:$C$108,0))),""))</x:f>
      </x:c>
      <x:c r="U264" s="21" t="str">
        <x:f>IF(V264="Ready",H264*O264/1000,"")</x:f>
      </x:c>
      <x:c r="V264" s="9" t="str">
        <x:f>IF(C264="","",IF(OR(COUNTIFS($C$9:$C$308,C264)&lt;&gt;1,COUNTIFS($D$9:$D$308,D264,$E$9:$E$308,E264,$F$9:$F$308,F264,$G$9:$G$308,G264,$K$9:$K$308,K264)&lt;&gt;1),"Duplicate annual activity",IF(COUNTIFS('Inventory'!$C$9:$C$108,D264)&lt;&gt;1,"Entity required",IF(OR(E264="",L264="",NOT(ISNUMBER(H264)),H264&lt;0,NOT(ISNUMBER(K264)),NOT(ISNUMBER(N264))),"Missing activity input",IF(AND(E264&lt;&gt;D264,OR(COUNTIFS('Sites'!$C$9:$C$108,E264)&lt;&gt;1,IFERROR(IF(INDEX('Sites'!$D$9:$D$108,MATCH(E264,'Sites'!$C$9:$C$108,0))="","",INDEX('Sites'!$D$9:$D$108,MATCH(E264,'Sites'!$C$9:$C$108,0))),"")&lt;&gt;IFERROR(IF(INDEX('Inventory'!$D$9:$D$108,MATCH(D264,'Inventory'!$C$9:$C$108,0))="","",INDEX('Inventory'!$D$9:$D$108,MATCH(D264,'Inventory'!$C$9:$C$108,0))),""),IFERROR(IF(INDEX('Sites'!$E$9:$E$108,MATCH(E264,'Sites'!$C$9:$C$108,0))="","",INDEX('Sites'!$E$9:$E$108,MATCH(E264,'Sites'!$C$9:$C$108,0))),"")&lt;&gt;W264)),"Site / entity mismatch",IF(N264&lt;'Settings'!$F$8,"Expired",IF(X264&lt;&gt;"Ready","Factor required",IF(OR(G264&lt;&gt;IFERROR(IF(INDEX('Factors'!$D$9:$D$108,MATCH(J264,'Factors'!$C$9:$C$108,0))="","",INDEX('Factors'!$D$9:$D$108,MATCH(J264,'Factors'!$C$9:$C$108,0))),""),I264&lt;&gt;P264,F264&lt;&gt;Q264,K264&lt;&gt;S264,AND(R264&lt;&gt;"Global",R264&lt;&gt;W264),K264&lt;&gt;YEAR(IFERROR(IF(INDEX('Inventory'!$H$9:$H$108,MATCH(D264,'Inventory'!$C$9:$C$108,0))="","",INDEX('Inventory'!$H$9:$H$108,MATCH(D264,'Inventory'!$C$9:$C$108,0))),""))),"Factor / boundary mismatch",IF(AND(F264="S2",IFERROR(IF(INDEX('Factors'!$I$9:$I$108,MATCH(J264,'Factors'!$C$9:$C$108,0))="","",INDEX('Factors'!$I$9:$I$108,MATCH(J264,'Factors'!$C$9:$C$108,0))),"")&lt;&gt;"Location-based"),"Use location factor",IF(M264&lt;&gt;"Actual","Estimation method review","Ready"))))))))))</x:f>
      </x:c>
      <x:c r="W264" s="9" t="str">
        <x:f>IF(C264="","",IFERROR(IF(INDEX('Inventory'!$G$9:$G$108,MATCH(D264,'Inventory'!$C$9:$C$108,0))="","",INDEX('Inventory'!$G$9:$G$108,MATCH(D264,'Inventory'!$C$9:$C$108,0))),""))</x:f>
      </x:c>
      <x:c r="X264" s="9" t="str">
        <x:f>IF(C264="","",IFERROR(IF(INDEX('Factors'!$P$9:$P$108,MATCH(J264,'Factors'!$C$9:$C$108,0))="","",INDEX('Factors'!$P$9:$P$108,MATCH(J264,'Factors'!$C$9:$C$108,0))),""))</x:f>
      </x:c>
    </x:row>
    <x:row r="265" ht="26" customHeight="1">
      <x:c r="A265" s="1"/>
      <x:c r="B265" s="1"/>
      <x:c r="C265" s="8"/>
      <x:c r="D265" s="8"/>
      <x:c r="E265" s="8"/>
      <x:c r="F265" s="8"/>
      <x:c r="G265" s="8"/>
      <x:c r="H265" s="16"/>
      <x:c r="I265" s="8"/>
      <x:c r="J265" s="8"/>
      <x:c r="K265" s="22"/>
      <x:c r="L265" s="8"/>
      <x:c r="M265" s="8"/>
      <x:c r="N265" s="40"/>
      <x:c r="O265" s="41" t="str">
        <x:f>IF(C265="","",IFERROR(IF(INDEX('Factors'!$G$9:$G$108,MATCH(J265,'Factors'!$C$9:$C$108,0))="","",INDEX('Factors'!$G$9:$G$108,MATCH(J265,'Factors'!$C$9:$C$108,0))),""))</x:f>
      </x:c>
      <x:c r="P265" s="9" t="str">
        <x:f>IF(C265="","",IFERROR(IF(INDEX('Factors'!$F$9:$F$108,MATCH(J265,'Factors'!$C$9:$C$108,0))="","",INDEX('Factors'!$F$9:$F$108,MATCH(J265,'Factors'!$C$9:$C$108,0))),""))</x:f>
      </x:c>
      <x:c r="Q265" s="9" t="str">
        <x:f>IF(C265="","",IFERROR(IF(INDEX('Factors'!$H$9:$H$108,MATCH(J265,'Factors'!$C$9:$C$108,0))="","",INDEX('Factors'!$H$9:$H$108,MATCH(J265,'Factors'!$C$9:$C$108,0))),""))</x:f>
      </x:c>
      <x:c r="R265" s="9" t="str">
        <x:f>IF(C265="","",IFERROR(IF(INDEX('Factors'!$E$9:$E$108,MATCH(J265,'Factors'!$C$9:$C$108,0))="","",INDEX('Factors'!$E$9:$E$108,MATCH(J265,'Factors'!$C$9:$C$108,0))),""))</x:f>
      </x:c>
      <x:c r="S265" s="42" t="str">
        <x:f>IF(C265="","",IFERROR(IF(INDEX('Factors'!$J$9:$J$108,MATCH(J265,'Factors'!$C$9:$C$108,0))="","",INDEX('Factors'!$J$9:$J$108,MATCH(J265,'Factors'!$C$9:$C$108,0))),""))</x:f>
      </x:c>
      <x:c r="T265" s="9" t="str">
        <x:f>IF(C265="","",IFERROR(IF(INDEX('Factors'!$L$9:$L$108,MATCH(J265,'Factors'!$C$9:$C$108,0))="","",INDEX('Factors'!$L$9:$L$108,MATCH(J265,'Factors'!$C$9:$C$108,0))),"")&amp;" / "&amp;IFERROR(IF(INDEX('Factors'!$M$9:$M$108,MATCH(J265,'Factors'!$C$9:$C$108,0))="","",INDEX('Factors'!$M$9:$M$108,MATCH(J265,'Factors'!$C$9:$C$108,0))),""))</x:f>
      </x:c>
      <x:c r="U265" s="21" t="str">
        <x:f>IF(V265="Ready",H265*O265/1000,"")</x:f>
      </x:c>
      <x:c r="V265" s="9" t="str">
        <x:f>IF(C265="","",IF(OR(COUNTIFS($C$9:$C$308,C265)&lt;&gt;1,COUNTIFS($D$9:$D$308,D265,$E$9:$E$308,E265,$F$9:$F$308,F265,$G$9:$G$308,G265,$K$9:$K$308,K265)&lt;&gt;1),"Duplicate annual activity",IF(COUNTIFS('Inventory'!$C$9:$C$108,D265)&lt;&gt;1,"Entity required",IF(OR(E265="",L265="",NOT(ISNUMBER(H265)),H265&lt;0,NOT(ISNUMBER(K265)),NOT(ISNUMBER(N265))),"Missing activity input",IF(AND(E265&lt;&gt;D265,OR(COUNTIFS('Sites'!$C$9:$C$108,E265)&lt;&gt;1,IFERROR(IF(INDEX('Sites'!$D$9:$D$108,MATCH(E265,'Sites'!$C$9:$C$108,0))="","",INDEX('Sites'!$D$9:$D$108,MATCH(E265,'Sites'!$C$9:$C$108,0))),"")&lt;&gt;IFERROR(IF(INDEX('Inventory'!$D$9:$D$108,MATCH(D265,'Inventory'!$C$9:$C$108,0))="","",INDEX('Inventory'!$D$9:$D$108,MATCH(D265,'Inventory'!$C$9:$C$108,0))),""),IFERROR(IF(INDEX('Sites'!$E$9:$E$108,MATCH(E265,'Sites'!$C$9:$C$108,0))="","",INDEX('Sites'!$E$9:$E$108,MATCH(E265,'Sites'!$C$9:$C$108,0))),"")&lt;&gt;W265)),"Site / entity mismatch",IF(N265&lt;'Settings'!$F$8,"Expired",IF(X265&lt;&gt;"Ready","Factor required",IF(OR(G265&lt;&gt;IFERROR(IF(INDEX('Factors'!$D$9:$D$108,MATCH(J265,'Factors'!$C$9:$C$108,0))="","",INDEX('Factors'!$D$9:$D$108,MATCH(J265,'Factors'!$C$9:$C$108,0))),""),I265&lt;&gt;P265,F265&lt;&gt;Q265,K265&lt;&gt;S265,AND(R265&lt;&gt;"Global",R265&lt;&gt;W265),K265&lt;&gt;YEAR(IFERROR(IF(INDEX('Inventory'!$H$9:$H$108,MATCH(D265,'Inventory'!$C$9:$C$108,0))="","",INDEX('Inventory'!$H$9:$H$108,MATCH(D265,'Inventory'!$C$9:$C$108,0))),""))),"Factor / boundary mismatch",IF(AND(F265="S2",IFERROR(IF(INDEX('Factors'!$I$9:$I$108,MATCH(J265,'Factors'!$C$9:$C$108,0))="","",INDEX('Factors'!$I$9:$I$108,MATCH(J265,'Factors'!$C$9:$C$108,0))),"")&lt;&gt;"Location-based"),"Use location factor",IF(M265&lt;&gt;"Actual","Estimation method review","Ready"))))))))))</x:f>
      </x:c>
      <x:c r="W265" s="9" t="str">
        <x:f>IF(C265="","",IFERROR(IF(INDEX('Inventory'!$G$9:$G$108,MATCH(D265,'Inventory'!$C$9:$C$108,0))="","",INDEX('Inventory'!$G$9:$G$108,MATCH(D265,'Inventory'!$C$9:$C$108,0))),""))</x:f>
      </x:c>
      <x:c r="X265" s="9" t="str">
        <x:f>IF(C265="","",IFERROR(IF(INDEX('Factors'!$P$9:$P$108,MATCH(J265,'Factors'!$C$9:$C$108,0))="","",INDEX('Factors'!$P$9:$P$108,MATCH(J265,'Factors'!$C$9:$C$108,0))),""))</x:f>
      </x:c>
    </x:row>
    <x:row r="266" ht="26" customHeight="1">
      <x:c r="A266" s="1"/>
      <x:c r="B266" s="1"/>
      <x:c r="C266" s="8"/>
      <x:c r="D266" s="8"/>
      <x:c r="E266" s="8"/>
      <x:c r="F266" s="8"/>
      <x:c r="G266" s="8"/>
      <x:c r="H266" s="16"/>
      <x:c r="I266" s="8"/>
      <x:c r="J266" s="8"/>
      <x:c r="K266" s="22"/>
      <x:c r="L266" s="8"/>
      <x:c r="M266" s="8"/>
      <x:c r="N266" s="40"/>
      <x:c r="O266" s="41" t="str">
        <x:f>IF(C266="","",IFERROR(IF(INDEX('Factors'!$G$9:$G$108,MATCH(J266,'Factors'!$C$9:$C$108,0))="","",INDEX('Factors'!$G$9:$G$108,MATCH(J266,'Factors'!$C$9:$C$108,0))),""))</x:f>
      </x:c>
      <x:c r="P266" s="9" t="str">
        <x:f>IF(C266="","",IFERROR(IF(INDEX('Factors'!$F$9:$F$108,MATCH(J266,'Factors'!$C$9:$C$108,0))="","",INDEX('Factors'!$F$9:$F$108,MATCH(J266,'Factors'!$C$9:$C$108,0))),""))</x:f>
      </x:c>
      <x:c r="Q266" s="9" t="str">
        <x:f>IF(C266="","",IFERROR(IF(INDEX('Factors'!$H$9:$H$108,MATCH(J266,'Factors'!$C$9:$C$108,0))="","",INDEX('Factors'!$H$9:$H$108,MATCH(J266,'Factors'!$C$9:$C$108,0))),""))</x:f>
      </x:c>
      <x:c r="R266" s="9" t="str">
        <x:f>IF(C266="","",IFERROR(IF(INDEX('Factors'!$E$9:$E$108,MATCH(J266,'Factors'!$C$9:$C$108,0))="","",INDEX('Factors'!$E$9:$E$108,MATCH(J266,'Factors'!$C$9:$C$108,0))),""))</x:f>
      </x:c>
      <x:c r="S266" s="42" t="str">
        <x:f>IF(C266="","",IFERROR(IF(INDEX('Factors'!$J$9:$J$108,MATCH(J266,'Factors'!$C$9:$C$108,0))="","",INDEX('Factors'!$J$9:$J$108,MATCH(J266,'Factors'!$C$9:$C$108,0))),""))</x:f>
      </x:c>
      <x:c r="T266" s="9" t="str">
        <x:f>IF(C266="","",IFERROR(IF(INDEX('Factors'!$L$9:$L$108,MATCH(J266,'Factors'!$C$9:$C$108,0))="","",INDEX('Factors'!$L$9:$L$108,MATCH(J266,'Factors'!$C$9:$C$108,0))),"")&amp;" / "&amp;IFERROR(IF(INDEX('Factors'!$M$9:$M$108,MATCH(J266,'Factors'!$C$9:$C$108,0))="","",INDEX('Factors'!$M$9:$M$108,MATCH(J266,'Factors'!$C$9:$C$108,0))),""))</x:f>
      </x:c>
      <x:c r="U266" s="21" t="str">
        <x:f>IF(V266="Ready",H266*O266/1000,"")</x:f>
      </x:c>
      <x:c r="V266" s="9" t="str">
        <x:f>IF(C266="","",IF(OR(COUNTIFS($C$9:$C$308,C266)&lt;&gt;1,COUNTIFS($D$9:$D$308,D266,$E$9:$E$308,E266,$F$9:$F$308,F266,$G$9:$G$308,G266,$K$9:$K$308,K266)&lt;&gt;1),"Duplicate annual activity",IF(COUNTIFS('Inventory'!$C$9:$C$108,D266)&lt;&gt;1,"Entity required",IF(OR(E266="",L266="",NOT(ISNUMBER(H266)),H266&lt;0,NOT(ISNUMBER(K266)),NOT(ISNUMBER(N266))),"Missing activity input",IF(AND(E266&lt;&gt;D266,OR(COUNTIFS('Sites'!$C$9:$C$108,E266)&lt;&gt;1,IFERROR(IF(INDEX('Sites'!$D$9:$D$108,MATCH(E266,'Sites'!$C$9:$C$108,0))="","",INDEX('Sites'!$D$9:$D$108,MATCH(E266,'Sites'!$C$9:$C$108,0))),"")&lt;&gt;IFERROR(IF(INDEX('Inventory'!$D$9:$D$108,MATCH(D266,'Inventory'!$C$9:$C$108,0))="","",INDEX('Inventory'!$D$9:$D$108,MATCH(D266,'Inventory'!$C$9:$C$108,0))),""),IFERROR(IF(INDEX('Sites'!$E$9:$E$108,MATCH(E266,'Sites'!$C$9:$C$108,0))="","",INDEX('Sites'!$E$9:$E$108,MATCH(E266,'Sites'!$C$9:$C$108,0))),"")&lt;&gt;W266)),"Site / entity mismatch",IF(N266&lt;'Settings'!$F$8,"Expired",IF(X266&lt;&gt;"Ready","Factor required",IF(OR(G266&lt;&gt;IFERROR(IF(INDEX('Factors'!$D$9:$D$108,MATCH(J266,'Factors'!$C$9:$C$108,0))="","",INDEX('Factors'!$D$9:$D$108,MATCH(J266,'Factors'!$C$9:$C$108,0))),""),I266&lt;&gt;P266,F266&lt;&gt;Q266,K266&lt;&gt;S266,AND(R266&lt;&gt;"Global",R266&lt;&gt;W266),K266&lt;&gt;YEAR(IFERROR(IF(INDEX('Inventory'!$H$9:$H$108,MATCH(D266,'Inventory'!$C$9:$C$108,0))="","",INDEX('Inventory'!$H$9:$H$108,MATCH(D266,'Inventory'!$C$9:$C$108,0))),""))),"Factor / boundary mismatch",IF(AND(F266="S2",IFERROR(IF(INDEX('Factors'!$I$9:$I$108,MATCH(J266,'Factors'!$C$9:$C$108,0))="","",INDEX('Factors'!$I$9:$I$108,MATCH(J266,'Factors'!$C$9:$C$108,0))),"")&lt;&gt;"Location-based"),"Use location factor",IF(M266&lt;&gt;"Actual","Estimation method review","Ready"))))))))))</x:f>
      </x:c>
      <x:c r="W266" s="9" t="str">
        <x:f>IF(C266="","",IFERROR(IF(INDEX('Inventory'!$G$9:$G$108,MATCH(D266,'Inventory'!$C$9:$C$108,0))="","",INDEX('Inventory'!$G$9:$G$108,MATCH(D266,'Inventory'!$C$9:$C$108,0))),""))</x:f>
      </x:c>
      <x:c r="X266" s="9" t="str">
        <x:f>IF(C266="","",IFERROR(IF(INDEX('Factors'!$P$9:$P$108,MATCH(J266,'Factors'!$C$9:$C$108,0))="","",INDEX('Factors'!$P$9:$P$108,MATCH(J266,'Factors'!$C$9:$C$108,0))),""))</x:f>
      </x:c>
    </x:row>
    <x:row r="267" ht="26" customHeight="1">
      <x:c r="A267" s="1"/>
      <x:c r="B267" s="1"/>
      <x:c r="C267" s="8"/>
      <x:c r="D267" s="8"/>
      <x:c r="E267" s="8"/>
      <x:c r="F267" s="8"/>
      <x:c r="G267" s="8"/>
      <x:c r="H267" s="16"/>
      <x:c r="I267" s="8"/>
      <x:c r="J267" s="8"/>
      <x:c r="K267" s="22"/>
      <x:c r="L267" s="8"/>
      <x:c r="M267" s="8"/>
      <x:c r="N267" s="40"/>
      <x:c r="O267" s="41" t="str">
        <x:f>IF(C267="","",IFERROR(IF(INDEX('Factors'!$G$9:$G$108,MATCH(J267,'Factors'!$C$9:$C$108,0))="","",INDEX('Factors'!$G$9:$G$108,MATCH(J267,'Factors'!$C$9:$C$108,0))),""))</x:f>
      </x:c>
      <x:c r="P267" s="9" t="str">
        <x:f>IF(C267="","",IFERROR(IF(INDEX('Factors'!$F$9:$F$108,MATCH(J267,'Factors'!$C$9:$C$108,0))="","",INDEX('Factors'!$F$9:$F$108,MATCH(J267,'Factors'!$C$9:$C$108,0))),""))</x:f>
      </x:c>
      <x:c r="Q267" s="9" t="str">
        <x:f>IF(C267="","",IFERROR(IF(INDEX('Factors'!$H$9:$H$108,MATCH(J267,'Factors'!$C$9:$C$108,0))="","",INDEX('Factors'!$H$9:$H$108,MATCH(J267,'Factors'!$C$9:$C$108,0))),""))</x:f>
      </x:c>
      <x:c r="R267" s="9" t="str">
        <x:f>IF(C267="","",IFERROR(IF(INDEX('Factors'!$E$9:$E$108,MATCH(J267,'Factors'!$C$9:$C$108,0))="","",INDEX('Factors'!$E$9:$E$108,MATCH(J267,'Factors'!$C$9:$C$108,0))),""))</x:f>
      </x:c>
      <x:c r="S267" s="42" t="str">
        <x:f>IF(C267="","",IFERROR(IF(INDEX('Factors'!$J$9:$J$108,MATCH(J267,'Factors'!$C$9:$C$108,0))="","",INDEX('Factors'!$J$9:$J$108,MATCH(J267,'Factors'!$C$9:$C$108,0))),""))</x:f>
      </x:c>
      <x:c r="T267" s="9" t="str">
        <x:f>IF(C267="","",IFERROR(IF(INDEX('Factors'!$L$9:$L$108,MATCH(J267,'Factors'!$C$9:$C$108,0))="","",INDEX('Factors'!$L$9:$L$108,MATCH(J267,'Factors'!$C$9:$C$108,0))),"")&amp;" / "&amp;IFERROR(IF(INDEX('Factors'!$M$9:$M$108,MATCH(J267,'Factors'!$C$9:$C$108,0))="","",INDEX('Factors'!$M$9:$M$108,MATCH(J267,'Factors'!$C$9:$C$108,0))),""))</x:f>
      </x:c>
      <x:c r="U267" s="21" t="str">
        <x:f>IF(V267="Ready",H267*O267/1000,"")</x:f>
      </x:c>
      <x:c r="V267" s="9" t="str">
        <x:f>IF(C267="","",IF(OR(COUNTIFS($C$9:$C$308,C267)&lt;&gt;1,COUNTIFS($D$9:$D$308,D267,$E$9:$E$308,E267,$F$9:$F$308,F267,$G$9:$G$308,G267,$K$9:$K$308,K267)&lt;&gt;1),"Duplicate annual activity",IF(COUNTIFS('Inventory'!$C$9:$C$108,D267)&lt;&gt;1,"Entity required",IF(OR(E267="",L267="",NOT(ISNUMBER(H267)),H267&lt;0,NOT(ISNUMBER(K267)),NOT(ISNUMBER(N267))),"Missing activity input",IF(AND(E267&lt;&gt;D267,OR(COUNTIFS('Sites'!$C$9:$C$108,E267)&lt;&gt;1,IFERROR(IF(INDEX('Sites'!$D$9:$D$108,MATCH(E267,'Sites'!$C$9:$C$108,0))="","",INDEX('Sites'!$D$9:$D$108,MATCH(E267,'Sites'!$C$9:$C$108,0))),"")&lt;&gt;IFERROR(IF(INDEX('Inventory'!$D$9:$D$108,MATCH(D267,'Inventory'!$C$9:$C$108,0))="","",INDEX('Inventory'!$D$9:$D$108,MATCH(D267,'Inventory'!$C$9:$C$108,0))),""),IFERROR(IF(INDEX('Sites'!$E$9:$E$108,MATCH(E267,'Sites'!$C$9:$C$108,0))="","",INDEX('Sites'!$E$9:$E$108,MATCH(E267,'Sites'!$C$9:$C$108,0))),"")&lt;&gt;W267)),"Site / entity mismatch",IF(N267&lt;'Settings'!$F$8,"Expired",IF(X267&lt;&gt;"Ready","Factor required",IF(OR(G267&lt;&gt;IFERROR(IF(INDEX('Factors'!$D$9:$D$108,MATCH(J267,'Factors'!$C$9:$C$108,0))="","",INDEX('Factors'!$D$9:$D$108,MATCH(J267,'Factors'!$C$9:$C$108,0))),""),I267&lt;&gt;P267,F267&lt;&gt;Q267,K267&lt;&gt;S267,AND(R267&lt;&gt;"Global",R267&lt;&gt;W267),K267&lt;&gt;YEAR(IFERROR(IF(INDEX('Inventory'!$H$9:$H$108,MATCH(D267,'Inventory'!$C$9:$C$108,0))="","",INDEX('Inventory'!$H$9:$H$108,MATCH(D267,'Inventory'!$C$9:$C$108,0))),""))),"Factor / boundary mismatch",IF(AND(F267="S2",IFERROR(IF(INDEX('Factors'!$I$9:$I$108,MATCH(J267,'Factors'!$C$9:$C$108,0))="","",INDEX('Factors'!$I$9:$I$108,MATCH(J267,'Factors'!$C$9:$C$108,0))),"")&lt;&gt;"Location-based"),"Use location factor",IF(M267&lt;&gt;"Actual","Estimation method review","Ready"))))))))))</x:f>
      </x:c>
      <x:c r="W267" s="9" t="str">
        <x:f>IF(C267="","",IFERROR(IF(INDEX('Inventory'!$G$9:$G$108,MATCH(D267,'Inventory'!$C$9:$C$108,0))="","",INDEX('Inventory'!$G$9:$G$108,MATCH(D267,'Inventory'!$C$9:$C$108,0))),""))</x:f>
      </x:c>
      <x:c r="X267" s="9" t="str">
        <x:f>IF(C267="","",IFERROR(IF(INDEX('Factors'!$P$9:$P$108,MATCH(J267,'Factors'!$C$9:$C$108,0))="","",INDEX('Factors'!$P$9:$P$108,MATCH(J267,'Factors'!$C$9:$C$108,0))),""))</x:f>
      </x:c>
    </x:row>
    <x:row r="268" ht="26" customHeight="1">
      <x:c r="A268" s="1"/>
      <x:c r="B268" s="1"/>
      <x:c r="C268" s="8"/>
      <x:c r="D268" s="8"/>
      <x:c r="E268" s="8"/>
      <x:c r="F268" s="8"/>
      <x:c r="G268" s="8"/>
      <x:c r="H268" s="16"/>
      <x:c r="I268" s="8"/>
      <x:c r="J268" s="8"/>
      <x:c r="K268" s="22"/>
      <x:c r="L268" s="8"/>
      <x:c r="M268" s="8"/>
      <x:c r="N268" s="40"/>
      <x:c r="O268" s="41" t="str">
        <x:f>IF(C268="","",IFERROR(IF(INDEX('Factors'!$G$9:$G$108,MATCH(J268,'Factors'!$C$9:$C$108,0))="","",INDEX('Factors'!$G$9:$G$108,MATCH(J268,'Factors'!$C$9:$C$108,0))),""))</x:f>
      </x:c>
      <x:c r="P268" s="9" t="str">
        <x:f>IF(C268="","",IFERROR(IF(INDEX('Factors'!$F$9:$F$108,MATCH(J268,'Factors'!$C$9:$C$108,0))="","",INDEX('Factors'!$F$9:$F$108,MATCH(J268,'Factors'!$C$9:$C$108,0))),""))</x:f>
      </x:c>
      <x:c r="Q268" s="9" t="str">
        <x:f>IF(C268="","",IFERROR(IF(INDEX('Factors'!$H$9:$H$108,MATCH(J268,'Factors'!$C$9:$C$108,0))="","",INDEX('Factors'!$H$9:$H$108,MATCH(J268,'Factors'!$C$9:$C$108,0))),""))</x:f>
      </x:c>
      <x:c r="R268" s="9" t="str">
        <x:f>IF(C268="","",IFERROR(IF(INDEX('Factors'!$E$9:$E$108,MATCH(J268,'Factors'!$C$9:$C$108,0))="","",INDEX('Factors'!$E$9:$E$108,MATCH(J268,'Factors'!$C$9:$C$108,0))),""))</x:f>
      </x:c>
      <x:c r="S268" s="42" t="str">
        <x:f>IF(C268="","",IFERROR(IF(INDEX('Factors'!$J$9:$J$108,MATCH(J268,'Factors'!$C$9:$C$108,0))="","",INDEX('Factors'!$J$9:$J$108,MATCH(J268,'Factors'!$C$9:$C$108,0))),""))</x:f>
      </x:c>
      <x:c r="T268" s="9" t="str">
        <x:f>IF(C268="","",IFERROR(IF(INDEX('Factors'!$L$9:$L$108,MATCH(J268,'Factors'!$C$9:$C$108,0))="","",INDEX('Factors'!$L$9:$L$108,MATCH(J268,'Factors'!$C$9:$C$108,0))),"")&amp;" / "&amp;IFERROR(IF(INDEX('Factors'!$M$9:$M$108,MATCH(J268,'Factors'!$C$9:$C$108,0))="","",INDEX('Factors'!$M$9:$M$108,MATCH(J268,'Factors'!$C$9:$C$108,0))),""))</x:f>
      </x:c>
      <x:c r="U268" s="21" t="str">
        <x:f>IF(V268="Ready",H268*O268/1000,"")</x:f>
      </x:c>
      <x:c r="V268" s="9" t="str">
        <x:f>IF(C268="","",IF(OR(COUNTIFS($C$9:$C$308,C268)&lt;&gt;1,COUNTIFS($D$9:$D$308,D268,$E$9:$E$308,E268,$F$9:$F$308,F268,$G$9:$G$308,G268,$K$9:$K$308,K268)&lt;&gt;1),"Duplicate annual activity",IF(COUNTIFS('Inventory'!$C$9:$C$108,D268)&lt;&gt;1,"Entity required",IF(OR(E268="",L268="",NOT(ISNUMBER(H268)),H268&lt;0,NOT(ISNUMBER(K268)),NOT(ISNUMBER(N268))),"Missing activity input",IF(AND(E268&lt;&gt;D268,OR(COUNTIFS('Sites'!$C$9:$C$108,E268)&lt;&gt;1,IFERROR(IF(INDEX('Sites'!$D$9:$D$108,MATCH(E268,'Sites'!$C$9:$C$108,0))="","",INDEX('Sites'!$D$9:$D$108,MATCH(E268,'Sites'!$C$9:$C$108,0))),"")&lt;&gt;IFERROR(IF(INDEX('Inventory'!$D$9:$D$108,MATCH(D268,'Inventory'!$C$9:$C$108,0))="","",INDEX('Inventory'!$D$9:$D$108,MATCH(D268,'Inventory'!$C$9:$C$108,0))),""),IFERROR(IF(INDEX('Sites'!$E$9:$E$108,MATCH(E268,'Sites'!$C$9:$C$108,0))="","",INDEX('Sites'!$E$9:$E$108,MATCH(E268,'Sites'!$C$9:$C$108,0))),"")&lt;&gt;W268)),"Site / entity mismatch",IF(N268&lt;'Settings'!$F$8,"Expired",IF(X268&lt;&gt;"Ready","Factor required",IF(OR(G268&lt;&gt;IFERROR(IF(INDEX('Factors'!$D$9:$D$108,MATCH(J268,'Factors'!$C$9:$C$108,0))="","",INDEX('Factors'!$D$9:$D$108,MATCH(J268,'Factors'!$C$9:$C$108,0))),""),I268&lt;&gt;P268,F268&lt;&gt;Q268,K268&lt;&gt;S268,AND(R268&lt;&gt;"Global",R268&lt;&gt;W268),K268&lt;&gt;YEAR(IFERROR(IF(INDEX('Inventory'!$H$9:$H$108,MATCH(D268,'Inventory'!$C$9:$C$108,0))="","",INDEX('Inventory'!$H$9:$H$108,MATCH(D268,'Inventory'!$C$9:$C$108,0))),""))),"Factor / boundary mismatch",IF(AND(F268="S2",IFERROR(IF(INDEX('Factors'!$I$9:$I$108,MATCH(J268,'Factors'!$C$9:$C$108,0))="","",INDEX('Factors'!$I$9:$I$108,MATCH(J268,'Factors'!$C$9:$C$108,0))),"")&lt;&gt;"Location-based"),"Use location factor",IF(M268&lt;&gt;"Actual","Estimation method review","Ready"))))))))))</x:f>
      </x:c>
      <x:c r="W268" s="9" t="str">
        <x:f>IF(C268="","",IFERROR(IF(INDEX('Inventory'!$G$9:$G$108,MATCH(D268,'Inventory'!$C$9:$C$108,0))="","",INDEX('Inventory'!$G$9:$G$108,MATCH(D268,'Inventory'!$C$9:$C$108,0))),""))</x:f>
      </x:c>
      <x:c r="X268" s="9" t="str">
        <x:f>IF(C268="","",IFERROR(IF(INDEX('Factors'!$P$9:$P$108,MATCH(J268,'Factors'!$C$9:$C$108,0))="","",INDEX('Factors'!$P$9:$P$108,MATCH(J268,'Factors'!$C$9:$C$108,0))),""))</x:f>
      </x:c>
    </x:row>
    <x:row r="269" ht="26" customHeight="1">
      <x:c r="A269" s="1"/>
      <x:c r="B269" s="1"/>
      <x:c r="C269" s="8"/>
      <x:c r="D269" s="8"/>
      <x:c r="E269" s="8"/>
      <x:c r="F269" s="8"/>
      <x:c r="G269" s="8"/>
      <x:c r="H269" s="16"/>
      <x:c r="I269" s="8"/>
      <x:c r="J269" s="8"/>
      <x:c r="K269" s="22"/>
      <x:c r="L269" s="8"/>
      <x:c r="M269" s="8"/>
      <x:c r="N269" s="40"/>
      <x:c r="O269" s="41" t="str">
        <x:f>IF(C269="","",IFERROR(IF(INDEX('Factors'!$G$9:$G$108,MATCH(J269,'Factors'!$C$9:$C$108,0))="","",INDEX('Factors'!$G$9:$G$108,MATCH(J269,'Factors'!$C$9:$C$108,0))),""))</x:f>
      </x:c>
      <x:c r="P269" s="9" t="str">
        <x:f>IF(C269="","",IFERROR(IF(INDEX('Factors'!$F$9:$F$108,MATCH(J269,'Factors'!$C$9:$C$108,0))="","",INDEX('Factors'!$F$9:$F$108,MATCH(J269,'Factors'!$C$9:$C$108,0))),""))</x:f>
      </x:c>
      <x:c r="Q269" s="9" t="str">
        <x:f>IF(C269="","",IFERROR(IF(INDEX('Factors'!$H$9:$H$108,MATCH(J269,'Factors'!$C$9:$C$108,0))="","",INDEX('Factors'!$H$9:$H$108,MATCH(J269,'Factors'!$C$9:$C$108,0))),""))</x:f>
      </x:c>
      <x:c r="R269" s="9" t="str">
        <x:f>IF(C269="","",IFERROR(IF(INDEX('Factors'!$E$9:$E$108,MATCH(J269,'Factors'!$C$9:$C$108,0))="","",INDEX('Factors'!$E$9:$E$108,MATCH(J269,'Factors'!$C$9:$C$108,0))),""))</x:f>
      </x:c>
      <x:c r="S269" s="42" t="str">
        <x:f>IF(C269="","",IFERROR(IF(INDEX('Factors'!$J$9:$J$108,MATCH(J269,'Factors'!$C$9:$C$108,0))="","",INDEX('Factors'!$J$9:$J$108,MATCH(J269,'Factors'!$C$9:$C$108,0))),""))</x:f>
      </x:c>
      <x:c r="T269" s="9" t="str">
        <x:f>IF(C269="","",IFERROR(IF(INDEX('Factors'!$L$9:$L$108,MATCH(J269,'Factors'!$C$9:$C$108,0))="","",INDEX('Factors'!$L$9:$L$108,MATCH(J269,'Factors'!$C$9:$C$108,0))),"")&amp;" / "&amp;IFERROR(IF(INDEX('Factors'!$M$9:$M$108,MATCH(J269,'Factors'!$C$9:$C$108,0))="","",INDEX('Factors'!$M$9:$M$108,MATCH(J269,'Factors'!$C$9:$C$108,0))),""))</x:f>
      </x:c>
      <x:c r="U269" s="21" t="str">
        <x:f>IF(V269="Ready",H269*O269/1000,"")</x:f>
      </x:c>
      <x:c r="V269" s="9" t="str">
        <x:f>IF(C269="","",IF(OR(COUNTIFS($C$9:$C$308,C269)&lt;&gt;1,COUNTIFS($D$9:$D$308,D269,$E$9:$E$308,E269,$F$9:$F$308,F269,$G$9:$G$308,G269,$K$9:$K$308,K269)&lt;&gt;1),"Duplicate annual activity",IF(COUNTIFS('Inventory'!$C$9:$C$108,D269)&lt;&gt;1,"Entity required",IF(OR(E269="",L269="",NOT(ISNUMBER(H269)),H269&lt;0,NOT(ISNUMBER(K269)),NOT(ISNUMBER(N269))),"Missing activity input",IF(AND(E269&lt;&gt;D269,OR(COUNTIFS('Sites'!$C$9:$C$108,E269)&lt;&gt;1,IFERROR(IF(INDEX('Sites'!$D$9:$D$108,MATCH(E269,'Sites'!$C$9:$C$108,0))="","",INDEX('Sites'!$D$9:$D$108,MATCH(E269,'Sites'!$C$9:$C$108,0))),"")&lt;&gt;IFERROR(IF(INDEX('Inventory'!$D$9:$D$108,MATCH(D269,'Inventory'!$C$9:$C$108,0))="","",INDEX('Inventory'!$D$9:$D$108,MATCH(D269,'Inventory'!$C$9:$C$108,0))),""),IFERROR(IF(INDEX('Sites'!$E$9:$E$108,MATCH(E269,'Sites'!$C$9:$C$108,0))="","",INDEX('Sites'!$E$9:$E$108,MATCH(E269,'Sites'!$C$9:$C$108,0))),"")&lt;&gt;W269)),"Site / entity mismatch",IF(N269&lt;'Settings'!$F$8,"Expired",IF(X269&lt;&gt;"Ready","Factor required",IF(OR(G269&lt;&gt;IFERROR(IF(INDEX('Factors'!$D$9:$D$108,MATCH(J269,'Factors'!$C$9:$C$108,0))="","",INDEX('Factors'!$D$9:$D$108,MATCH(J269,'Factors'!$C$9:$C$108,0))),""),I269&lt;&gt;P269,F269&lt;&gt;Q269,K269&lt;&gt;S269,AND(R269&lt;&gt;"Global",R269&lt;&gt;W269),K269&lt;&gt;YEAR(IFERROR(IF(INDEX('Inventory'!$H$9:$H$108,MATCH(D269,'Inventory'!$C$9:$C$108,0))="","",INDEX('Inventory'!$H$9:$H$108,MATCH(D269,'Inventory'!$C$9:$C$108,0))),""))),"Factor / boundary mismatch",IF(AND(F269="S2",IFERROR(IF(INDEX('Factors'!$I$9:$I$108,MATCH(J269,'Factors'!$C$9:$C$108,0))="","",INDEX('Factors'!$I$9:$I$108,MATCH(J269,'Factors'!$C$9:$C$108,0))),"")&lt;&gt;"Location-based"),"Use location factor",IF(M269&lt;&gt;"Actual","Estimation method review","Ready"))))))))))</x:f>
      </x:c>
      <x:c r="W269" s="9" t="str">
        <x:f>IF(C269="","",IFERROR(IF(INDEX('Inventory'!$G$9:$G$108,MATCH(D269,'Inventory'!$C$9:$C$108,0))="","",INDEX('Inventory'!$G$9:$G$108,MATCH(D269,'Inventory'!$C$9:$C$108,0))),""))</x:f>
      </x:c>
      <x:c r="X269" s="9" t="str">
        <x:f>IF(C269="","",IFERROR(IF(INDEX('Factors'!$P$9:$P$108,MATCH(J269,'Factors'!$C$9:$C$108,0))="","",INDEX('Factors'!$P$9:$P$108,MATCH(J269,'Factors'!$C$9:$C$108,0))),""))</x:f>
      </x:c>
    </x:row>
    <x:row r="270" ht="26" customHeight="1">
      <x:c r="A270" s="1"/>
      <x:c r="B270" s="1"/>
      <x:c r="C270" s="8"/>
      <x:c r="D270" s="8"/>
      <x:c r="E270" s="8"/>
      <x:c r="F270" s="8"/>
      <x:c r="G270" s="8"/>
      <x:c r="H270" s="16"/>
      <x:c r="I270" s="8"/>
      <x:c r="J270" s="8"/>
      <x:c r="K270" s="22"/>
      <x:c r="L270" s="8"/>
      <x:c r="M270" s="8"/>
      <x:c r="N270" s="40"/>
      <x:c r="O270" s="41" t="str">
        <x:f>IF(C270="","",IFERROR(IF(INDEX('Factors'!$G$9:$G$108,MATCH(J270,'Factors'!$C$9:$C$108,0))="","",INDEX('Factors'!$G$9:$G$108,MATCH(J270,'Factors'!$C$9:$C$108,0))),""))</x:f>
      </x:c>
      <x:c r="P270" s="9" t="str">
        <x:f>IF(C270="","",IFERROR(IF(INDEX('Factors'!$F$9:$F$108,MATCH(J270,'Factors'!$C$9:$C$108,0))="","",INDEX('Factors'!$F$9:$F$108,MATCH(J270,'Factors'!$C$9:$C$108,0))),""))</x:f>
      </x:c>
      <x:c r="Q270" s="9" t="str">
        <x:f>IF(C270="","",IFERROR(IF(INDEX('Factors'!$H$9:$H$108,MATCH(J270,'Factors'!$C$9:$C$108,0))="","",INDEX('Factors'!$H$9:$H$108,MATCH(J270,'Factors'!$C$9:$C$108,0))),""))</x:f>
      </x:c>
      <x:c r="R270" s="9" t="str">
        <x:f>IF(C270="","",IFERROR(IF(INDEX('Factors'!$E$9:$E$108,MATCH(J270,'Factors'!$C$9:$C$108,0))="","",INDEX('Factors'!$E$9:$E$108,MATCH(J270,'Factors'!$C$9:$C$108,0))),""))</x:f>
      </x:c>
      <x:c r="S270" s="42" t="str">
        <x:f>IF(C270="","",IFERROR(IF(INDEX('Factors'!$J$9:$J$108,MATCH(J270,'Factors'!$C$9:$C$108,0))="","",INDEX('Factors'!$J$9:$J$108,MATCH(J270,'Factors'!$C$9:$C$108,0))),""))</x:f>
      </x:c>
      <x:c r="T270" s="9" t="str">
        <x:f>IF(C270="","",IFERROR(IF(INDEX('Factors'!$L$9:$L$108,MATCH(J270,'Factors'!$C$9:$C$108,0))="","",INDEX('Factors'!$L$9:$L$108,MATCH(J270,'Factors'!$C$9:$C$108,0))),"")&amp;" / "&amp;IFERROR(IF(INDEX('Factors'!$M$9:$M$108,MATCH(J270,'Factors'!$C$9:$C$108,0))="","",INDEX('Factors'!$M$9:$M$108,MATCH(J270,'Factors'!$C$9:$C$108,0))),""))</x:f>
      </x:c>
      <x:c r="U270" s="21" t="str">
        <x:f>IF(V270="Ready",H270*O270/1000,"")</x:f>
      </x:c>
      <x:c r="V270" s="9" t="str">
        <x:f>IF(C270="","",IF(OR(COUNTIFS($C$9:$C$308,C270)&lt;&gt;1,COUNTIFS($D$9:$D$308,D270,$E$9:$E$308,E270,$F$9:$F$308,F270,$G$9:$G$308,G270,$K$9:$K$308,K270)&lt;&gt;1),"Duplicate annual activity",IF(COUNTIFS('Inventory'!$C$9:$C$108,D270)&lt;&gt;1,"Entity required",IF(OR(E270="",L270="",NOT(ISNUMBER(H270)),H270&lt;0,NOT(ISNUMBER(K270)),NOT(ISNUMBER(N270))),"Missing activity input",IF(AND(E270&lt;&gt;D270,OR(COUNTIFS('Sites'!$C$9:$C$108,E270)&lt;&gt;1,IFERROR(IF(INDEX('Sites'!$D$9:$D$108,MATCH(E270,'Sites'!$C$9:$C$108,0))="","",INDEX('Sites'!$D$9:$D$108,MATCH(E270,'Sites'!$C$9:$C$108,0))),"")&lt;&gt;IFERROR(IF(INDEX('Inventory'!$D$9:$D$108,MATCH(D270,'Inventory'!$C$9:$C$108,0))="","",INDEX('Inventory'!$D$9:$D$108,MATCH(D270,'Inventory'!$C$9:$C$108,0))),""),IFERROR(IF(INDEX('Sites'!$E$9:$E$108,MATCH(E270,'Sites'!$C$9:$C$108,0))="","",INDEX('Sites'!$E$9:$E$108,MATCH(E270,'Sites'!$C$9:$C$108,0))),"")&lt;&gt;W270)),"Site / entity mismatch",IF(N270&lt;'Settings'!$F$8,"Expired",IF(X270&lt;&gt;"Ready","Factor required",IF(OR(G270&lt;&gt;IFERROR(IF(INDEX('Factors'!$D$9:$D$108,MATCH(J270,'Factors'!$C$9:$C$108,0))="","",INDEX('Factors'!$D$9:$D$108,MATCH(J270,'Factors'!$C$9:$C$108,0))),""),I270&lt;&gt;P270,F270&lt;&gt;Q270,K270&lt;&gt;S270,AND(R270&lt;&gt;"Global",R270&lt;&gt;W270),K270&lt;&gt;YEAR(IFERROR(IF(INDEX('Inventory'!$H$9:$H$108,MATCH(D270,'Inventory'!$C$9:$C$108,0))="","",INDEX('Inventory'!$H$9:$H$108,MATCH(D270,'Inventory'!$C$9:$C$108,0))),""))),"Factor / boundary mismatch",IF(AND(F270="S2",IFERROR(IF(INDEX('Factors'!$I$9:$I$108,MATCH(J270,'Factors'!$C$9:$C$108,0))="","",INDEX('Factors'!$I$9:$I$108,MATCH(J270,'Factors'!$C$9:$C$108,0))),"")&lt;&gt;"Location-based"),"Use location factor",IF(M270&lt;&gt;"Actual","Estimation method review","Ready"))))))))))</x:f>
      </x:c>
      <x:c r="W270" s="9" t="str">
        <x:f>IF(C270="","",IFERROR(IF(INDEX('Inventory'!$G$9:$G$108,MATCH(D270,'Inventory'!$C$9:$C$108,0))="","",INDEX('Inventory'!$G$9:$G$108,MATCH(D270,'Inventory'!$C$9:$C$108,0))),""))</x:f>
      </x:c>
      <x:c r="X270" s="9" t="str">
        <x:f>IF(C270="","",IFERROR(IF(INDEX('Factors'!$P$9:$P$108,MATCH(J270,'Factors'!$C$9:$C$108,0))="","",INDEX('Factors'!$P$9:$P$108,MATCH(J270,'Factors'!$C$9:$C$108,0))),""))</x:f>
      </x:c>
    </x:row>
    <x:row r="271" ht="26" customHeight="1">
      <x:c r="A271" s="1"/>
      <x:c r="B271" s="1"/>
      <x:c r="C271" s="8"/>
      <x:c r="D271" s="8"/>
      <x:c r="E271" s="8"/>
      <x:c r="F271" s="8"/>
      <x:c r="G271" s="8"/>
      <x:c r="H271" s="16"/>
      <x:c r="I271" s="8"/>
      <x:c r="J271" s="8"/>
      <x:c r="K271" s="22"/>
      <x:c r="L271" s="8"/>
      <x:c r="M271" s="8"/>
      <x:c r="N271" s="40"/>
      <x:c r="O271" s="41" t="str">
        <x:f>IF(C271="","",IFERROR(IF(INDEX('Factors'!$G$9:$G$108,MATCH(J271,'Factors'!$C$9:$C$108,0))="","",INDEX('Factors'!$G$9:$G$108,MATCH(J271,'Factors'!$C$9:$C$108,0))),""))</x:f>
      </x:c>
      <x:c r="P271" s="9" t="str">
        <x:f>IF(C271="","",IFERROR(IF(INDEX('Factors'!$F$9:$F$108,MATCH(J271,'Factors'!$C$9:$C$108,0))="","",INDEX('Factors'!$F$9:$F$108,MATCH(J271,'Factors'!$C$9:$C$108,0))),""))</x:f>
      </x:c>
      <x:c r="Q271" s="9" t="str">
        <x:f>IF(C271="","",IFERROR(IF(INDEX('Factors'!$H$9:$H$108,MATCH(J271,'Factors'!$C$9:$C$108,0))="","",INDEX('Factors'!$H$9:$H$108,MATCH(J271,'Factors'!$C$9:$C$108,0))),""))</x:f>
      </x:c>
      <x:c r="R271" s="9" t="str">
        <x:f>IF(C271="","",IFERROR(IF(INDEX('Factors'!$E$9:$E$108,MATCH(J271,'Factors'!$C$9:$C$108,0))="","",INDEX('Factors'!$E$9:$E$108,MATCH(J271,'Factors'!$C$9:$C$108,0))),""))</x:f>
      </x:c>
      <x:c r="S271" s="42" t="str">
        <x:f>IF(C271="","",IFERROR(IF(INDEX('Factors'!$J$9:$J$108,MATCH(J271,'Factors'!$C$9:$C$108,0))="","",INDEX('Factors'!$J$9:$J$108,MATCH(J271,'Factors'!$C$9:$C$108,0))),""))</x:f>
      </x:c>
      <x:c r="T271" s="9" t="str">
        <x:f>IF(C271="","",IFERROR(IF(INDEX('Factors'!$L$9:$L$108,MATCH(J271,'Factors'!$C$9:$C$108,0))="","",INDEX('Factors'!$L$9:$L$108,MATCH(J271,'Factors'!$C$9:$C$108,0))),"")&amp;" / "&amp;IFERROR(IF(INDEX('Factors'!$M$9:$M$108,MATCH(J271,'Factors'!$C$9:$C$108,0))="","",INDEX('Factors'!$M$9:$M$108,MATCH(J271,'Factors'!$C$9:$C$108,0))),""))</x:f>
      </x:c>
      <x:c r="U271" s="21" t="str">
        <x:f>IF(V271="Ready",H271*O271/1000,"")</x:f>
      </x:c>
      <x:c r="V271" s="9" t="str">
        <x:f>IF(C271="","",IF(OR(COUNTIFS($C$9:$C$308,C271)&lt;&gt;1,COUNTIFS($D$9:$D$308,D271,$E$9:$E$308,E271,$F$9:$F$308,F271,$G$9:$G$308,G271,$K$9:$K$308,K271)&lt;&gt;1),"Duplicate annual activity",IF(COUNTIFS('Inventory'!$C$9:$C$108,D271)&lt;&gt;1,"Entity required",IF(OR(E271="",L271="",NOT(ISNUMBER(H271)),H271&lt;0,NOT(ISNUMBER(K271)),NOT(ISNUMBER(N271))),"Missing activity input",IF(AND(E271&lt;&gt;D271,OR(COUNTIFS('Sites'!$C$9:$C$108,E271)&lt;&gt;1,IFERROR(IF(INDEX('Sites'!$D$9:$D$108,MATCH(E271,'Sites'!$C$9:$C$108,0))="","",INDEX('Sites'!$D$9:$D$108,MATCH(E271,'Sites'!$C$9:$C$108,0))),"")&lt;&gt;IFERROR(IF(INDEX('Inventory'!$D$9:$D$108,MATCH(D271,'Inventory'!$C$9:$C$108,0))="","",INDEX('Inventory'!$D$9:$D$108,MATCH(D271,'Inventory'!$C$9:$C$108,0))),""),IFERROR(IF(INDEX('Sites'!$E$9:$E$108,MATCH(E271,'Sites'!$C$9:$C$108,0))="","",INDEX('Sites'!$E$9:$E$108,MATCH(E271,'Sites'!$C$9:$C$108,0))),"")&lt;&gt;W271)),"Site / entity mismatch",IF(N271&lt;'Settings'!$F$8,"Expired",IF(X271&lt;&gt;"Ready","Factor required",IF(OR(G271&lt;&gt;IFERROR(IF(INDEX('Factors'!$D$9:$D$108,MATCH(J271,'Factors'!$C$9:$C$108,0))="","",INDEX('Factors'!$D$9:$D$108,MATCH(J271,'Factors'!$C$9:$C$108,0))),""),I271&lt;&gt;P271,F271&lt;&gt;Q271,K271&lt;&gt;S271,AND(R271&lt;&gt;"Global",R271&lt;&gt;W271),K271&lt;&gt;YEAR(IFERROR(IF(INDEX('Inventory'!$H$9:$H$108,MATCH(D271,'Inventory'!$C$9:$C$108,0))="","",INDEX('Inventory'!$H$9:$H$108,MATCH(D271,'Inventory'!$C$9:$C$108,0))),""))),"Factor / boundary mismatch",IF(AND(F271="S2",IFERROR(IF(INDEX('Factors'!$I$9:$I$108,MATCH(J271,'Factors'!$C$9:$C$108,0))="","",INDEX('Factors'!$I$9:$I$108,MATCH(J271,'Factors'!$C$9:$C$108,0))),"")&lt;&gt;"Location-based"),"Use location factor",IF(M271&lt;&gt;"Actual","Estimation method review","Ready"))))))))))</x:f>
      </x:c>
      <x:c r="W271" s="9" t="str">
        <x:f>IF(C271="","",IFERROR(IF(INDEX('Inventory'!$G$9:$G$108,MATCH(D271,'Inventory'!$C$9:$C$108,0))="","",INDEX('Inventory'!$G$9:$G$108,MATCH(D271,'Inventory'!$C$9:$C$108,0))),""))</x:f>
      </x:c>
      <x:c r="X271" s="9" t="str">
        <x:f>IF(C271="","",IFERROR(IF(INDEX('Factors'!$P$9:$P$108,MATCH(J271,'Factors'!$C$9:$C$108,0))="","",INDEX('Factors'!$P$9:$P$108,MATCH(J271,'Factors'!$C$9:$C$108,0))),""))</x:f>
      </x:c>
    </x:row>
    <x:row r="272" ht="26" customHeight="1">
      <x:c r="A272" s="1"/>
      <x:c r="B272" s="1"/>
      <x:c r="C272" s="8"/>
      <x:c r="D272" s="8"/>
      <x:c r="E272" s="8"/>
      <x:c r="F272" s="8"/>
      <x:c r="G272" s="8"/>
      <x:c r="H272" s="16"/>
      <x:c r="I272" s="8"/>
      <x:c r="J272" s="8"/>
      <x:c r="K272" s="22"/>
      <x:c r="L272" s="8"/>
      <x:c r="M272" s="8"/>
      <x:c r="N272" s="40"/>
      <x:c r="O272" s="41" t="str">
        <x:f>IF(C272="","",IFERROR(IF(INDEX('Factors'!$G$9:$G$108,MATCH(J272,'Factors'!$C$9:$C$108,0))="","",INDEX('Factors'!$G$9:$G$108,MATCH(J272,'Factors'!$C$9:$C$108,0))),""))</x:f>
      </x:c>
      <x:c r="P272" s="9" t="str">
        <x:f>IF(C272="","",IFERROR(IF(INDEX('Factors'!$F$9:$F$108,MATCH(J272,'Factors'!$C$9:$C$108,0))="","",INDEX('Factors'!$F$9:$F$108,MATCH(J272,'Factors'!$C$9:$C$108,0))),""))</x:f>
      </x:c>
      <x:c r="Q272" s="9" t="str">
        <x:f>IF(C272="","",IFERROR(IF(INDEX('Factors'!$H$9:$H$108,MATCH(J272,'Factors'!$C$9:$C$108,0))="","",INDEX('Factors'!$H$9:$H$108,MATCH(J272,'Factors'!$C$9:$C$108,0))),""))</x:f>
      </x:c>
      <x:c r="R272" s="9" t="str">
        <x:f>IF(C272="","",IFERROR(IF(INDEX('Factors'!$E$9:$E$108,MATCH(J272,'Factors'!$C$9:$C$108,0))="","",INDEX('Factors'!$E$9:$E$108,MATCH(J272,'Factors'!$C$9:$C$108,0))),""))</x:f>
      </x:c>
      <x:c r="S272" s="42" t="str">
        <x:f>IF(C272="","",IFERROR(IF(INDEX('Factors'!$J$9:$J$108,MATCH(J272,'Factors'!$C$9:$C$108,0))="","",INDEX('Factors'!$J$9:$J$108,MATCH(J272,'Factors'!$C$9:$C$108,0))),""))</x:f>
      </x:c>
      <x:c r="T272" s="9" t="str">
        <x:f>IF(C272="","",IFERROR(IF(INDEX('Factors'!$L$9:$L$108,MATCH(J272,'Factors'!$C$9:$C$108,0))="","",INDEX('Factors'!$L$9:$L$108,MATCH(J272,'Factors'!$C$9:$C$108,0))),"")&amp;" / "&amp;IFERROR(IF(INDEX('Factors'!$M$9:$M$108,MATCH(J272,'Factors'!$C$9:$C$108,0))="","",INDEX('Factors'!$M$9:$M$108,MATCH(J272,'Factors'!$C$9:$C$108,0))),""))</x:f>
      </x:c>
      <x:c r="U272" s="21" t="str">
        <x:f>IF(V272="Ready",H272*O272/1000,"")</x:f>
      </x:c>
      <x:c r="V272" s="9" t="str">
        <x:f>IF(C272="","",IF(OR(COUNTIFS($C$9:$C$308,C272)&lt;&gt;1,COUNTIFS($D$9:$D$308,D272,$E$9:$E$308,E272,$F$9:$F$308,F272,$G$9:$G$308,G272,$K$9:$K$308,K272)&lt;&gt;1),"Duplicate annual activity",IF(COUNTIFS('Inventory'!$C$9:$C$108,D272)&lt;&gt;1,"Entity required",IF(OR(E272="",L272="",NOT(ISNUMBER(H272)),H272&lt;0,NOT(ISNUMBER(K272)),NOT(ISNUMBER(N272))),"Missing activity input",IF(AND(E272&lt;&gt;D272,OR(COUNTIFS('Sites'!$C$9:$C$108,E272)&lt;&gt;1,IFERROR(IF(INDEX('Sites'!$D$9:$D$108,MATCH(E272,'Sites'!$C$9:$C$108,0))="","",INDEX('Sites'!$D$9:$D$108,MATCH(E272,'Sites'!$C$9:$C$108,0))),"")&lt;&gt;IFERROR(IF(INDEX('Inventory'!$D$9:$D$108,MATCH(D272,'Inventory'!$C$9:$C$108,0))="","",INDEX('Inventory'!$D$9:$D$108,MATCH(D272,'Inventory'!$C$9:$C$108,0))),""),IFERROR(IF(INDEX('Sites'!$E$9:$E$108,MATCH(E272,'Sites'!$C$9:$C$108,0))="","",INDEX('Sites'!$E$9:$E$108,MATCH(E272,'Sites'!$C$9:$C$108,0))),"")&lt;&gt;W272)),"Site / entity mismatch",IF(N272&lt;'Settings'!$F$8,"Expired",IF(X272&lt;&gt;"Ready","Factor required",IF(OR(G272&lt;&gt;IFERROR(IF(INDEX('Factors'!$D$9:$D$108,MATCH(J272,'Factors'!$C$9:$C$108,0))="","",INDEX('Factors'!$D$9:$D$108,MATCH(J272,'Factors'!$C$9:$C$108,0))),""),I272&lt;&gt;P272,F272&lt;&gt;Q272,K272&lt;&gt;S272,AND(R272&lt;&gt;"Global",R272&lt;&gt;W272),K272&lt;&gt;YEAR(IFERROR(IF(INDEX('Inventory'!$H$9:$H$108,MATCH(D272,'Inventory'!$C$9:$C$108,0))="","",INDEX('Inventory'!$H$9:$H$108,MATCH(D272,'Inventory'!$C$9:$C$108,0))),""))),"Factor / boundary mismatch",IF(AND(F272="S2",IFERROR(IF(INDEX('Factors'!$I$9:$I$108,MATCH(J272,'Factors'!$C$9:$C$108,0))="","",INDEX('Factors'!$I$9:$I$108,MATCH(J272,'Factors'!$C$9:$C$108,0))),"")&lt;&gt;"Location-based"),"Use location factor",IF(M272&lt;&gt;"Actual","Estimation method review","Ready"))))))))))</x:f>
      </x:c>
      <x:c r="W272" s="9" t="str">
        <x:f>IF(C272="","",IFERROR(IF(INDEX('Inventory'!$G$9:$G$108,MATCH(D272,'Inventory'!$C$9:$C$108,0))="","",INDEX('Inventory'!$G$9:$G$108,MATCH(D272,'Inventory'!$C$9:$C$108,0))),""))</x:f>
      </x:c>
      <x:c r="X272" s="9" t="str">
        <x:f>IF(C272="","",IFERROR(IF(INDEX('Factors'!$P$9:$P$108,MATCH(J272,'Factors'!$C$9:$C$108,0))="","",INDEX('Factors'!$P$9:$P$108,MATCH(J272,'Factors'!$C$9:$C$108,0))),""))</x:f>
      </x:c>
    </x:row>
    <x:row r="273" ht="26" customHeight="1">
      <x:c r="A273" s="1"/>
      <x:c r="B273" s="1"/>
      <x:c r="C273" s="8"/>
      <x:c r="D273" s="8"/>
      <x:c r="E273" s="8"/>
      <x:c r="F273" s="8"/>
      <x:c r="G273" s="8"/>
      <x:c r="H273" s="16"/>
      <x:c r="I273" s="8"/>
      <x:c r="J273" s="8"/>
      <x:c r="K273" s="22"/>
      <x:c r="L273" s="8"/>
      <x:c r="M273" s="8"/>
      <x:c r="N273" s="40"/>
      <x:c r="O273" s="41" t="str">
        <x:f>IF(C273="","",IFERROR(IF(INDEX('Factors'!$G$9:$G$108,MATCH(J273,'Factors'!$C$9:$C$108,0))="","",INDEX('Factors'!$G$9:$G$108,MATCH(J273,'Factors'!$C$9:$C$108,0))),""))</x:f>
      </x:c>
      <x:c r="P273" s="9" t="str">
        <x:f>IF(C273="","",IFERROR(IF(INDEX('Factors'!$F$9:$F$108,MATCH(J273,'Factors'!$C$9:$C$108,0))="","",INDEX('Factors'!$F$9:$F$108,MATCH(J273,'Factors'!$C$9:$C$108,0))),""))</x:f>
      </x:c>
      <x:c r="Q273" s="9" t="str">
        <x:f>IF(C273="","",IFERROR(IF(INDEX('Factors'!$H$9:$H$108,MATCH(J273,'Factors'!$C$9:$C$108,0))="","",INDEX('Factors'!$H$9:$H$108,MATCH(J273,'Factors'!$C$9:$C$108,0))),""))</x:f>
      </x:c>
      <x:c r="R273" s="9" t="str">
        <x:f>IF(C273="","",IFERROR(IF(INDEX('Factors'!$E$9:$E$108,MATCH(J273,'Factors'!$C$9:$C$108,0))="","",INDEX('Factors'!$E$9:$E$108,MATCH(J273,'Factors'!$C$9:$C$108,0))),""))</x:f>
      </x:c>
      <x:c r="S273" s="42" t="str">
        <x:f>IF(C273="","",IFERROR(IF(INDEX('Factors'!$J$9:$J$108,MATCH(J273,'Factors'!$C$9:$C$108,0))="","",INDEX('Factors'!$J$9:$J$108,MATCH(J273,'Factors'!$C$9:$C$108,0))),""))</x:f>
      </x:c>
      <x:c r="T273" s="9" t="str">
        <x:f>IF(C273="","",IFERROR(IF(INDEX('Factors'!$L$9:$L$108,MATCH(J273,'Factors'!$C$9:$C$108,0))="","",INDEX('Factors'!$L$9:$L$108,MATCH(J273,'Factors'!$C$9:$C$108,0))),"")&amp;" / "&amp;IFERROR(IF(INDEX('Factors'!$M$9:$M$108,MATCH(J273,'Factors'!$C$9:$C$108,0))="","",INDEX('Factors'!$M$9:$M$108,MATCH(J273,'Factors'!$C$9:$C$108,0))),""))</x:f>
      </x:c>
      <x:c r="U273" s="21" t="str">
        <x:f>IF(V273="Ready",H273*O273/1000,"")</x:f>
      </x:c>
      <x:c r="V273" s="9" t="str">
        <x:f>IF(C273="","",IF(OR(COUNTIFS($C$9:$C$308,C273)&lt;&gt;1,COUNTIFS($D$9:$D$308,D273,$E$9:$E$308,E273,$F$9:$F$308,F273,$G$9:$G$308,G273,$K$9:$K$308,K273)&lt;&gt;1),"Duplicate annual activity",IF(COUNTIFS('Inventory'!$C$9:$C$108,D273)&lt;&gt;1,"Entity required",IF(OR(E273="",L273="",NOT(ISNUMBER(H273)),H273&lt;0,NOT(ISNUMBER(K273)),NOT(ISNUMBER(N273))),"Missing activity input",IF(AND(E273&lt;&gt;D273,OR(COUNTIFS('Sites'!$C$9:$C$108,E273)&lt;&gt;1,IFERROR(IF(INDEX('Sites'!$D$9:$D$108,MATCH(E273,'Sites'!$C$9:$C$108,0))="","",INDEX('Sites'!$D$9:$D$108,MATCH(E273,'Sites'!$C$9:$C$108,0))),"")&lt;&gt;IFERROR(IF(INDEX('Inventory'!$D$9:$D$108,MATCH(D273,'Inventory'!$C$9:$C$108,0))="","",INDEX('Inventory'!$D$9:$D$108,MATCH(D273,'Inventory'!$C$9:$C$108,0))),""),IFERROR(IF(INDEX('Sites'!$E$9:$E$108,MATCH(E273,'Sites'!$C$9:$C$108,0))="","",INDEX('Sites'!$E$9:$E$108,MATCH(E273,'Sites'!$C$9:$C$108,0))),"")&lt;&gt;W273)),"Site / entity mismatch",IF(N273&lt;'Settings'!$F$8,"Expired",IF(X273&lt;&gt;"Ready","Factor required",IF(OR(G273&lt;&gt;IFERROR(IF(INDEX('Factors'!$D$9:$D$108,MATCH(J273,'Factors'!$C$9:$C$108,0))="","",INDEX('Factors'!$D$9:$D$108,MATCH(J273,'Factors'!$C$9:$C$108,0))),""),I273&lt;&gt;P273,F273&lt;&gt;Q273,K273&lt;&gt;S273,AND(R273&lt;&gt;"Global",R273&lt;&gt;W273),K273&lt;&gt;YEAR(IFERROR(IF(INDEX('Inventory'!$H$9:$H$108,MATCH(D273,'Inventory'!$C$9:$C$108,0))="","",INDEX('Inventory'!$H$9:$H$108,MATCH(D273,'Inventory'!$C$9:$C$108,0))),""))),"Factor / boundary mismatch",IF(AND(F273="S2",IFERROR(IF(INDEX('Factors'!$I$9:$I$108,MATCH(J273,'Factors'!$C$9:$C$108,0))="","",INDEX('Factors'!$I$9:$I$108,MATCH(J273,'Factors'!$C$9:$C$108,0))),"")&lt;&gt;"Location-based"),"Use location factor",IF(M273&lt;&gt;"Actual","Estimation method review","Ready"))))))))))</x:f>
      </x:c>
      <x:c r="W273" s="9" t="str">
        <x:f>IF(C273="","",IFERROR(IF(INDEX('Inventory'!$G$9:$G$108,MATCH(D273,'Inventory'!$C$9:$C$108,0))="","",INDEX('Inventory'!$G$9:$G$108,MATCH(D273,'Inventory'!$C$9:$C$108,0))),""))</x:f>
      </x:c>
      <x:c r="X273" s="9" t="str">
        <x:f>IF(C273="","",IFERROR(IF(INDEX('Factors'!$P$9:$P$108,MATCH(J273,'Factors'!$C$9:$C$108,0))="","",INDEX('Factors'!$P$9:$P$108,MATCH(J273,'Factors'!$C$9:$C$108,0))),""))</x:f>
      </x:c>
    </x:row>
    <x:row r="274" ht="26" customHeight="1">
      <x:c r="A274" s="1"/>
      <x:c r="B274" s="1"/>
      <x:c r="C274" s="8"/>
      <x:c r="D274" s="8"/>
      <x:c r="E274" s="8"/>
      <x:c r="F274" s="8"/>
      <x:c r="G274" s="8"/>
      <x:c r="H274" s="16"/>
      <x:c r="I274" s="8"/>
      <x:c r="J274" s="8"/>
      <x:c r="K274" s="22"/>
      <x:c r="L274" s="8"/>
      <x:c r="M274" s="8"/>
      <x:c r="N274" s="40"/>
      <x:c r="O274" s="41" t="str">
        <x:f>IF(C274="","",IFERROR(IF(INDEX('Factors'!$G$9:$G$108,MATCH(J274,'Factors'!$C$9:$C$108,0))="","",INDEX('Factors'!$G$9:$G$108,MATCH(J274,'Factors'!$C$9:$C$108,0))),""))</x:f>
      </x:c>
      <x:c r="P274" s="9" t="str">
        <x:f>IF(C274="","",IFERROR(IF(INDEX('Factors'!$F$9:$F$108,MATCH(J274,'Factors'!$C$9:$C$108,0))="","",INDEX('Factors'!$F$9:$F$108,MATCH(J274,'Factors'!$C$9:$C$108,0))),""))</x:f>
      </x:c>
      <x:c r="Q274" s="9" t="str">
        <x:f>IF(C274="","",IFERROR(IF(INDEX('Factors'!$H$9:$H$108,MATCH(J274,'Factors'!$C$9:$C$108,0))="","",INDEX('Factors'!$H$9:$H$108,MATCH(J274,'Factors'!$C$9:$C$108,0))),""))</x:f>
      </x:c>
      <x:c r="R274" s="9" t="str">
        <x:f>IF(C274="","",IFERROR(IF(INDEX('Factors'!$E$9:$E$108,MATCH(J274,'Factors'!$C$9:$C$108,0))="","",INDEX('Factors'!$E$9:$E$108,MATCH(J274,'Factors'!$C$9:$C$108,0))),""))</x:f>
      </x:c>
      <x:c r="S274" s="42" t="str">
        <x:f>IF(C274="","",IFERROR(IF(INDEX('Factors'!$J$9:$J$108,MATCH(J274,'Factors'!$C$9:$C$108,0))="","",INDEX('Factors'!$J$9:$J$108,MATCH(J274,'Factors'!$C$9:$C$108,0))),""))</x:f>
      </x:c>
      <x:c r="T274" s="9" t="str">
        <x:f>IF(C274="","",IFERROR(IF(INDEX('Factors'!$L$9:$L$108,MATCH(J274,'Factors'!$C$9:$C$108,0))="","",INDEX('Factors'!$L$9:$L$108,MATCH(J274,'Factors'!$C$9:$C$108,0))),"")&amp;" / "&amp;IFERROR(IF(INDEX('Factors'!$M$9:$M$108,MATCH(J274,'Factors'!$C$9:$C$108,0))="","",INDEX('Factors'!$M$9:$M$108,MATCH(J274,'Factors'!$C$9:$C$108,0))),""))</x:f>
      </x:c>
      <x:c r="U274" s="21" t="str">
        <x:f>IF(V274="Ready",H274*O274/1000,"")</x:f>
      </x:c>
      <x:c r="V274" s="9" t="str">
        <x:f>IF(C274="","",IF(OR(COUNTIFS($C$9:$C$308,C274)&lt;&gt;1,COUNTIFS($D$9:$D$308,D274,$E$9:$E$308,E274,$F$9:$F$308,F274,$G$9:$G$308,G274,$K$9:$K$308,K274)&lt;&gt;1),"Duplicate annual activity",IF(COUNTIFS('Inventory'!$C$9:$C$108,D274)&lt;&gt;1,"Entity required",IF(OR(E274="",L274="",NOT(ISNUMBER(H274)),H274&lt;0,NOT(ISNUMBER(K274)),NOT(ISNUMBER(N274))),"Missing activity input",IF(AND(E274&lt;&gt;D274,OR(COUNTIFS('Sites'!$C$9:$C$108,E274)&lt;&gt;1,IFERROR(IF(INDEX('Sites'!$D$9:$D$108,MATCH(E274,'Sites'!$C$9:$C$108,0))="","",INDEX('Sites'!$D$9:$D$108,MATCH(E274,'Sites'!$C$9:$C$108,0))),"")&lt;&gt;IFERROR(IF(INDEX('Inventory'!$D$9:$D$108,MATCH(D274,'Inventory'!$C$9:$C$108,0))="","",INDEX('Inventory'!$D$9:$D$108,MATCH(D274,'Inventory'!$C$9:$C$108,0))),""),IFERROR(IF(INDEX('Sites'!$E$9:$E$108,MATCH(E274,'Sites'!$C$9:$C$108,0))="","",INDEX('Sites'!$E$9:$E$108,MATCH(E274,'Sites'!$C$9:$C$108,0))),"")&lt;&gt;W274)),"Site / entity mismatch",IF(N274&lt;'Settings'!$F$8,"Expired",IF(X274&lt;&gt;"Ready","Factor required",IF(OR(G274&lt;&gt;IFERROR(IF(INDEX('Factors'!$D$9:$D$108,MATCH(J274,'Factors'!$C$9:$C$108,0))="","",INDEX('Factors'!$D$9:$D$108,MATCH(J274,'Factors'!$C$9:$C$108,0))),""),I274&lt;&gt;P274,F274&lt;&gt;Q274,K274&lt;&gt;S274,AND(R274&lt;&gt;"Global",R274&lt;&gt;W274),K274&lt;&gt;YEAR(IFERROR(IF(INDEX('Inventory'!$H$9:$H$108,MATCH(D274,'Inventory'!$C$9:$C$108,0))="","",INDEX('Inventory'!$H$9:$H$108,MATCH(D274,'Inventory'!$C$9:$C$108,0))),""))),"Factor / boundary mismatch",IF(AND(F274="S2",IFERROR(IF(INDEX('Factors'!$I$9:$I$108,MATCH(J274,'Factors'!$C$9:$C$108,0))="","",INDEX('Factors'!$I$9:$I$108,MATCH(J274,'Factors'!$C$9:$C$108,0))),"")&lt;&gt;"Location-based"),"Use location factor",IF(M274&lt;&gt;"Actual","Estimation method review","Ready"))))))))))</x:f>
      </x:c>
      <x:c r="W274" s="9" t="str">
        <x:f>IF(C274="","",IFERROR(IF(INDEX('Inventory'!$G$9:$G$108,MATCH(D274,'Inventory'!$C$9:$C$108,0))="","",INDEX('Inventory'!$G$9:$G$108,MATCH(D274,'Inventory'!$C$9:$C$108,0))),""))</x:f>
      </x:c>
      <x:c r="X274" s="9" t="str">
        <x:f>IF(C274="","",IFERROR(IF(INDEX('Factors'!$P$9:$P$108,MATCH(J274,'Factors'!$C$9:$C$108,0))="","",INDEX('Factors'!$P$9:$P$108,MATCH(J274,'Factors'!$C$9:$C$108,0))),""))</x:f>
      </x:c>
    </x:row>
    <x:row r="275" ht="26" customHeight="1">
      <x:c r="A275" s="1"/>
      <x:c r="B275" s="1"/>
      <x:c r="C275" s="8"/>
      <x:c r="D275" s="8"/>
      <x:c r="E275" s="8"/>
      <x:c r="F275" s="8"/>
      <x:c r="G275" s="8"/>
      <x:c r="H275" s="16"/>
      <x:c r="I275" s="8"/>
      <x:c r="J275" s="8"/>
      <x:c r="K275" s="22"/>
      <x:c r="L275" s="8"/>
      <x:c r="M275" s="8"/>
      <x:c r="N275" s="40"/>
      <x:c r="O275" s="41" t="str">
        <x:f>IF(C275="","",IFERROR(IF(INDEX('Factors'!$G$9:$G$108,MATCH(J275,'Factors'!$C$9:$C$108,0))="","",INDEX('Factors'!$G$9:$G$108,MATCH(J275,'Factors'!$C$9:$C$108,0))),""))</x:f>
      </x:c>
      <x:c r="P275" s="9" t="str">
        <x:f>IF(C275="","",IFERROR(IF(INDEX('Factors'!$F$9:$F$108,MATCH(J275,'Factors'!$C$9:$C$108,0))="","",INDEX('Factors'!$F$9:$F$108,MATCH(J275,'Factors'!$C$9:$C$108,0))),""))</x:f>
      </x:c>
      <x:c r="Q275" s="9" t="str">
        <x:f>IF(C275="","",IFERROR(IF(INDEX('Factors'!$H$9:$H$108,MATCH(J275,'Factors'!$C$9:$C$108,0))="","",INDEX('Factors'!$H$9:$H$108,MATCH(J275,'Factors'!$C$9:$C$108,0))),""))</x:f>
      </x:c>
      <x:c r="R275" s="9" t="str">
        <x:f>IF(C275="","",IFERROR(IF(INDEX('Factors'!$E$9:$E$108,MATCH(J275,'Factors'!$C$9:$C$108,0))="","",INDEX('Factors'!$E$9:$E$108,MATCH(J275,'Factors'!$C$9:$C$108,0))),""))</x:f>
      </x:c>
      <x:c r="S275" s="42" t="str">
        <x:f>IF(C275="","",IFERROR(IF(INDEX('Factors'!$J$9:$J$108,MATCH(J275,'Factors'!$C$9:$C$108,0))="","",INDEX('Factors'!$J$9:$J$108,MATCH(J275,'Factors'!$C$9:$C$108,0))),""))</x:f>
      </x:c>
      <x:c r="T275" s="9" t="str">
        <x:f>IF(C275="","",IFERROR(IF(INDEX('Factors'!$L$9:$L$108,MATCH(J275,'Factors'!$C$9:$C$108,0))="","",INDEX('Factors'!$L$9:$L$108,MATCH(J275,'Factors'!$C$9:$C$108,0))),"")&amp;" / "&amp;IFERROR(IF(INDEX('Factors'!$M$9:$M$108,MATCH(J275,'Factors'!$C$9:$C$108,0))="","",INDEX('Factors'!$M$9:$M$108,MATCH(J275,'Factors'!$C$9:$C$108,0))),""))</x:f>
      </x:c>
      <x:c r="U275" s="21" t="str">
        <x:f>IF(V275="Ready",H275*O275/1000,"")</x:f>
      </x:c>
      <x:c r="V275" s="9" t="str">
        <x:f>IF(C275="","",IF(OR(COUNTIFS($C$9:$C$308,C275)&lt;&gt;1,COUNTIFS($D$9:$D$308,D275,$E$9:$E$308,E275,$F$9:$F$308,F275,$G$9:$G$308,G275,$K$9:$K$308,K275)&lt;&gt;1),"Duplicate annual activity",IF(COUNTIFS('Inventory'!$C$9:$C$108,D275)&lt;&gt;1,"Entity required",IF(OR(E275="",L275="",NOT(ISNUMBER(H275)),H275&lt;0,NOT(ISNUMBER(K275)),NOT(ISNUMBER(N275))),"Missing activity input",IF(AND(E275&lt;&gt;D275,OR(COUNTIFS('Sites'!$C$9:$C$108,E275)&lt;&gt;1,IFERROR(IF(INDEX('Sites'!$D$9:$D$108,MATCH(E275,'Sites'!$C$9:$C$108,0))="","",INDEX('Sites'!$D$9:$D$108,MATCH(E275,'Sites'!$C$9:$C$108,0))),"")&lt;&gt;IFERROR(IF(INDEX('Inventory'!$D$9:$D$108,MATCH(D275,'Inventory'!$C$9:$C$108,0))="","",INDEX('Inventory'!$D$9:$D$108,MATCH(D275,'Inventory'!$C$9:$C$108,0))),""),IFERROR(IF(INDEX('Sites'!$E$9:$E$108,MATCH(E275,'Sites'!$C$9:$C$108,0))="","",INDEX('Sites'!$E$9:$E$108,MATCH(E275,'Sites'!$C$9:$C$108,0))),"")&lt;&gt;W275)),"Site / entity mismatch",IF(N275&lt;'Settings'!$F$8,"Expired",IF(X275&lt;&gt;"Ready","Factor required",IF(OR(G275&lt;&gt;IFERROR(IF(INDEX('Factors'!$D$9:$D$108,MATCH(J275,'Factors'!$C$9:$C$108,0))="","",INDEX('Factors'!$D$9:$D$108,MATCH(J275,'Factors'!$C$9:$C$108,0))),""),I275&lt;&gt;P275,F275&lt;&gt;Q275,K275&lt;&gt;S275,AND(R275&lt;&gt;"Global",R275&lt;&gt;W275),K275&lt;&gt;YEAR(IFERROR(IF(INDEX('Inventory'!$H$9:$H$108,MATCH(D275,'Inventory'!$C$9:$C$108,0))="","",INDEX('Inventory'!$H$9:$H$108,MATCH(D275,'Inventory'!$C$9:$C$108,0))),""))),"Factor / boundary mismatch",IF(AND(F275="S2",IFERROR(IF(INDEX('Factors'!$I$9:$I$108,MATCH(J275,'Factors'!$C$9:$C$108,0))="","",INDEX('Factors'!$I$9:$I$108,MATCH(J275,'Factors'!$C$9:$C$108,0))),"")&lt;&gt;"Location-based"),"Use location factor",IF(M275&lt;&gt;"Actual","Estimation method review","Ready"))))))))))</x:f>
      </x:c>
      <x:c r="W275" s="9" t="str">
        <x:f>IF(C275="","",IFERROR(IF(INDEX('Inventory'!$G$9:$G$108,MATCH(D275,'Inventory'!$C$9:$C$108,0))="","",INDEX('Inventory'!$G$9:$G$108,MATCH(D275,'Inventory'!$C$9:$C$108,0))),""))</x:f>
      </x:c>
      <x:c r="X275" s="9" t="str">
        <x:f>IF(C275="","",IFERROR(IF(INDEX('Factors'!$P$9:$P$108,MATCH(J275,'Factors'!$C$9:$C$108,0))="","",INDEX('Factors'!$P$9:$P$108,MATCH(J275,'Factors'!$C$9:$C$108,0))),""))</x:f>
      </x:c>
    </x:row>
    <x:row r="276" ht="26" customHeight="1">
      <x:c r="A276" s="1"/>
      <x:c r="B276" s="1"/>
      <x:c r="C276" s="8"/>
      <x:c r="D276" s="8"/>
      <x:c r="E276" s="8"/>
      <x:c r="F276" s="8"/>
      <x:c r="G276" s="8"/>
      <x:c r="H276" s="16"/>
      <x:c r="I276" s="8"/>
      <x:c r="J276" s="8"/>
      <x:c r="K276" s="22"/>
      <x:c r="L276" s="8"/>
      <x:c r="M276" s="8"/>
      <x:c r="N276" s="40"/>
      <x:c r="O276" s="41" t="str">
        <x:f>IF(C276="","",IFERROR(IF(INDEX('Factors'!$G$9:$G$108,MATCH(J276,'Factors'!$C$9:$C$108,0))="","",INDEX('Factors'!$G$9:$G$108,MATCH(J276,'Factors'!$C$9:$C$108,0))),""))</x:f>
      </x:c>
      <x:c r="P276" s="9" t="str">
        <x:f>IF(C276="","",IFERROR(IF(INDEX('Factors'!$F$9:$F$108,MATCH(J276,'Factors'!$C$9:$C$108,0))="","",INDEX('Factors'!$F$9:$F$108,MATCH(J276,'Factors'!$C$9:$C$108,0))),""))</x:f>
      </x:c>
      <x:c r="Q276" s="9" t="str">
        <x:f>IF(C276="","",IFERROR(IF(INDEX('Factors'!$H$9:$H$108,MATCH(J276,'Factors'!$C$9:$C$108,0))="","",INDEX('Factors'!$H$9:$H$108,MATCH(J276,'Factors'!$C$9:$C$108,0))),""))</x:f>
      </x:c>
      <x:c r="R276" s="9" t="str">
        <x:f>IF(C276="","",IFERROR(IF(INDEX('Factors'!$E$9:$E$108,MATCH(J276,'Factors'!$C$9:$C$108,0))="","",INDEX('Factors'!$E$9:$E$108,MATCH(J276,'Factors'!$C$9:$C$108,0))),""))</x:f>
      </x:c>
      <x:c r="S276" s="42" t="str">
        <x:f>IF(C276="","",IFERROR(IF(INDEX('Factors'!$J$9:$J$108,MATCH(J276,'Factors'!$C$9:$C$108,0))="","",INDEX('Factors'!$J$9:$J$108,MATCH(J276,'Factors'!$C$9:$C$108,0))),""))</x:f>
      </x:c>
      <x:c r="T276" s="9" t="str">
        <x:f>IF(C276="","",IFERROR(IF(INDEX('Factors'!$L$9:$L$108,MATCH(J276,'Factors'!$C$9:$C$108,0))="","",INDEX('Factors'!$L$9:$L$108,MATCH(J276,'Factors'!$C$9:$C$108,0))),"")&amp;" / "&amp;IFERROR(IF(INDEX('Factors'!$M$9:$M$108,MATCH(J276,'Factors'!$C$9:$C$108,0))="","",INDEX('Factors'!$M$9:$M$108,MATCH(J276,'Factors'!$C$9:$C$108,0))),""))</x:f>
      </x:c>
      <x:c r="U276" s="21" t="str">
        <x:f>IF(V276="Ready",H276*O276/1000,"")</x:f>
      </x:c>
      <x:c r="V276" s="9" t="str">
        <x:f>IF(C276="","",IF(OR(COUNTIFS($C$9:$C$308,C276)&lt;&gt;1,COUNTIFS($D$9:$D$308,D276,$E$9:$E$308,E276,$F$9:$F$308,F276,$G$9:$G$308,G276,$K$9:$K$308,K276)&lt;&gt;1),"Duplicate annual activity",IF(COUNTIFS('Inventory'!$C$9:$C$108,D276)&lt;&gt;1,"Entity required",IF(OR(E276="",L276="",NOT(ISNUMBER(H276)),H276&lt;0,NOT(ISNUMBER(K276)),NOT(ISNUMBER(N276))),"Missing activity input",IF(AND(E276&lt;&gt;D276,OR(COUNTIFS('Sites'!$C$9:$C$108,E276)&lt;&gt;1,IFERROR(IF(INDEX('Sites'!$D$9:$D$108,MATCH(E276,'Sites'!$C$9:$C$108,0))="","",INDEX('Sites'!$D$9:$D$108,MATCH(E276,'Sites'!$C$9:$C$108,0))),"")&lt;&gt;IFERROR(IF(INDEX('Inventory'!$D$9:$D$108,MATCH(D276,'Inventory'!$C$9:$C$108,0))="","",INDEX('Inventory'!$D$9:$D$108,MATCH(D276,'Inventory'!$C$9:$C$108,0))),""),IFERROR(IF(INDEX('Sites'!$E$9:$E$108,MATCH(E276,'Sites'!$C$9:$C$108,0))="","",INDEX('Sites'!$E$9:$E$108,MATCH(E276,'Sites'!$C$9:$C$108,0))),"")&lt;&gt;W276)),"Site / entity mismatch",IF(N276&lt;'Settings'!$F$8,"Expired",IF(X276&lt;&gt;"Ready","Factor required",IF(OR(G276&lt;&gt;IFERROR(IF(INDEX('Factors'!$D$9:$D$108,MATCH(J276,'Factors'!$C$9:$C$108,0))="","",INDEX('Factors'!$D$9:$D$108,MATCH(J276,'Factors'!$C$9:$C$108,0))),""),I276&lt;&gt;P276,F276&lt;&gt;Q276,K276&lt;&gt;S276,AND(R276&lt;&gt;"Global",R276&lt;&gt;W276),K276&lt;&gt;YEAR(IFERROR(IF(INDEX('Inventory'!$H$9:$H$108,MATCH(D276,'Inventory'!$C$9:$C$108,0))="","",INDEX('Inventory'!$H$9:$H$108,MATCH(D276,'Inventory'!$C$9:$C$108,0))),""))),"Factor / boundary mismatch",IF(AND(F276="S2",IFERROR(IF(INDEX('Factors'!$I$9:$I$108,MATCH(J276,'Factors'!$C$9:$C$108,0))="","",INDEX('Factors'!$I$9:$I$108,MATCH(J276,'Factors'!$C$9:$C$108,0))),"")&lt;&gt;"Location-based"),"Use location factor",IF(M276&lt;&gt;"Actual","Estimation method review","Ready"))))))))))</x:f>
      </x:c>
      <x:c r="W276" s="9" t="str">
        <x:f>IF(C276="","",IFERROR(IF(INDEX('Inventory'!$G$9:$G$108,MATCH(D276,'Inventory'!$C$9:$C$108,0))="","",INDEX('Inventory'!$G$9:$G$108,MATCH(D276,'Inventory'!$C$9:$C$108,0))),""))</x:f>
      </x:c>
      <x:c r="X276" s="9" t="str">
        <x:f>IF(C276="","",IFERROR(IF(INDEX('Factors'!$P$9:$P$108,MATCH(J276,'Factors'!$C$9:$C$108,0))="","",INDEX('Factors'!$P$9:$P$108,MATCH(J276,'Factors'!$C$9:$C$108,0))),""))</x:f>
      </x:c>
    </x:row>
    <x:row r="277" ht="26" customHeight="1">
      <x:c r="A277" s="1"/>
      <x:c r="B277" s="1"/>
      <x:c r="C277" s="8"/>
      <x:c r="D277" s="8"/>
      <x:c r="E277" s="8"/>
      <x:c r="F277" s="8"/>
      <x:c r="G277" s="8"/>
      <x:c r="H277" s="16"/>
      <x:c r="I277" s="8"/>
      <x:c r="J277" s="8"/>
      <x:c r="K277" s="22"/>
      <x:c r="L277" s="8"/>
      <x:c r="M277" s="8"/>
      <x:c r="N277" s="40"/>
      <x:c r="O277" s="41" t="str">
        <x:f>IF(C277="","",IFERROR(IF(INDEX('Factors'!$G$9:$G$108,MATCH(J277,'Factors'!$C$9:$C$108,0))="","",INDEX('Factors'!$G$9:$G$108,MATCH(J277,'Factors'!$C$9:$C$108,0))),""))</x:f>
      </x:c>
      <x:c r="P277" s="9" t="str">
        <x:f>IF(C277="","",IFERROR(IF(INDEX('Factors'!$F$9:$F$108,MATCH(J277,'Factors'!$C$9:$C$108,0))="","",INDEX('Factors'!$F$9:$F$108,MATCH(J277,'Factors'!$C$9:$C$108,0))),""))</x:f>
      </x:c>
      <x:c r="Q277" s="9" t="str">
        <x:f>IF(C277="","",IFERROR(IF(INDEX('Factors'!$H$9:$H$108,MATCH(J277,'Factors'!$C$9:$C$108,0))="","",INDEX('Factors'!$H$9:$H$108,MATCH(J277,'Factors'!$C$9:$C$108,0))),""))</x:f>
      </x:c>
      <x:c r="R277" s="9" t="str">
        <x:f>IF(C277="","",IFERROR(IF(INDEX('Factors'!$E$9:$E$108,MATCH(J277,'Factors'!$C$9:$C$108,0))="","",INDEX('Factors'!$E$9:$E$108,MATCH(J277,'Factors'!$C$9:$C$108,0))),""))</x:f>
      </x:c>
      <x:c r="S277" s="42" t="str">
        <x:f>IF(C277="","",IFERROR(IF(INDEX('Factors'!$J$9:$J$108,MATCH(J277,'Factors'!$C$9:$C$108,0))="","",INDEX('Factors'!$J$9:$J$108,MATCH(J277,'Factors'!$C$9:$C$108,0))),""))</x:f>
      </x:c>
      <x:c r="T277" s="9" t="str">
        <x:f>IF(C277="","",IFERROR(IF(INDEX('Factors'!$L$9:$L$108,MATCH(J277,'Factors'!$C$9:$C$108,0))="","",INDEX('Factors'!$L$9:$L$108,MATCH(J277,'Factors'!$C$9:$C$108,0))),"")&amp;" / "&amp;IFERROR(IF(INDEX('Factors'!$M$9:$M$108,MATCH(J277,'Factors'!$C$9:$C$108,0))="","",INDEX('Factors'!$M$9:$M$108,MATCH(J277,'Factors'!$C$9:$C$108,0))),""))</x:f>
      </x:c>
      <x:c r="U277" s="21" t="str">
        <x:f>IF(V277="Ready",H277*O277/1000,"")</x:f>
      </x:c>
      <x:c r="V277" s="9" t="str">
        <x:f>IF(C277="","",IF(OR(COUNTIFS($C$9:$C$308,C277)&lt;&gt;1,COUNTIFS($D$9:$D$308,D277,$E$9:$E$308,E277,$F$9:$F$308,F277,$G$9:$G$308,G277,$K$9:$K$308,K277)&lt;&gt;1),"Duplicate annual activity",IF(COUNTIFS('Inventory'!$C$9:$C$108,D277)&lt;&gt;1,"Entity required",IF(OR(E277="",L277="",NOT(ISNUMBER(H277)),H277&lt;0,NOT(ISNUMBER(K277)),NOT(ISNUMBER(N277))),"Missing activity input",IF(AND(E277&lt;&gt;D277,OR(COUNTIFS('Sites'!$C$9:$C$108,E277)&lt;&gt;1,IFERROR(IF(INDEX('Sites'!$D$9:$D$108,MATCH(E277,'Sites'!$C$9:$C$108,0))="","",INDEX('Sites'!$D$9:$D$108,MATCH(E277,'Sites'!$C$9:$C$108,0))),"")&lt;&gt;IFERROR(IF(INDEX('Inventory'!$D$9:$D$108,MATCH(D277,'Inventory'!$C$9:$C$108,0))="","",INDEX('Inventory'!$D$9:$D$108,MATCH(D277,'Inventory'!$C$9:$C$108,0))),""),IFERROR(IF(INDEX('Sites'!$E$9:$E$108,MATCH(E277,'Sites'!$C$9:$C$108,0))="","",INDEX('Sites'!$E$9:$E$108,MATCH(E277,'Sites'!$C$9:$C$108,0))),"")&lt;&gt;W277)),"Site / entity mismatch",IF(N277&lt;'Settings'!$F$8,"Expired",IF(X277&lt;&gt;"Ready","Factor required",IF(OR(G277&lt;&gt;IFERROR(IF(INDEX('Factors'!$D$9:$D$108,MATCH(J277,'Factors'!$C$9:$C$108,0))="","",INDEX('Factors'!$D$9:$D$108,MATCH(J277,'Factors'!$C$9:$C$108,0))),""),I277&lt;&gt;P277,F277&lt;&gt;Q277,K277&lt;&gt;S277,AND(R277&lt;&gt;"Global",R277&lt;&gt;W277),K277&lt;&gt;YEAR(IFERROR(IF(INDEX('Inventory'!$H$9:$H$108,MATCH(D277,'Inventory'!$C$9:$C$108,0))="","",INDEX('Inventory'!$H$9:$H$108,MATCH(D277,'Inventory'!$C$9:$C$108,0))),""))),"Factor / boundary mismatch",IF(AND(F277="S2",IFERROR(IF(INDEX('Factors'!$I$9:$I$108,MATCH(J277,'Factors'!$C$9:$C$108,0))="","",INDEX('Factors'!$I$9:$I$108,MATCH(J277,'Factors'!$C$9:$C$108,0))),"")&lt;&gt;"Location-based"),"Use location factor",IF(M277&lt;&gt;"Actual","Estimation method review","Ready"))))))))))</x:f>
      </x:c>
      <x:c r="W277" s="9" t="str">
        <x:f>IF(C277="","",IFERROR(IF(INDEX('Inventory'!$G$9:$G$108,MATCH(D277,'Inventory'!$C$9:$C$108,0))="","",INDEX('Inventory'!$G$9:$G$108,MATCH(D277,'Inventory'!$C$9:$C$108,0))),""))</x:f>
      </x:c>
      <x:c r="X277" s="9" t="str">
        <x:f>IF(C277="","",IFERROR(IF(INDEX('Factors'!$P$9:$P$108,MATCH(J277,'Factors'!$C$9:$C$108,0))="","",INDEX('Factors'!$P$9:$P$108,MATCH(J277,'Factors'!$C$9:$C$108,0))),""))</x:f>
      </x:c>
    </x:row>
    <x:row r="278" ht="26" customHeight="1">
      <x:c r="A278" s="1"/>
      <x:c r="B278" s="1"/>
      <x:c r="C278" s="8"/>
      <x:c r="D278" s="8"/>
      <x:c r="E278" s="8"/>
      <x:c r="F278" s="8"/>
      <x:c r="G278" s="8"/>
      <x:c r="H278" s="16"/>
      <x:c r="I278" s="8"/>
      <x:c r="J278" s="8"/>
      <x:c r="K278" s="22"/>
      <x:c r="L278" s="8"/>
      <x:c r="M278" s="8"/>
      <x:c r="N278" s="40"/>
      <x:c r="O278" s="41" t="str">
        <x:f>IF(C278="","",IFERROR(IF(INDEX('Factors'!$G$9:$G$108,MATCH(J278,'Factors'!$C$9:$C$108,0))="","",INDEX('Factors'!$G$9:$G$108,MATCH(J278,'Factors'!$C$9:$C$108,0))),""))</x:f>
      </x:c>
      <x:c r="P278" s="9" t="str">
        <x:f>IF(C278="","",IFERROR(IF(INDEX('Factors'!$F$9:$F$108,MATCH(J278,'Factors'!$C$9:$C$108,0))="","",INDEX('Factors'!$F$9:$F$108,MATCH(J278,'Factors'!$C$9:$C$108,0))),""))</x:f>
      </x:c>
      <x:c r="Q278" s="9" t="str">
        <x:f>IF(C278="","",IFERROR(IF(INDEX('Factors'!$H$9:$H$108,MATCH(J278,'Factors'!$C$9:$C$108,0))="","",INDEX('Factors'!$H$9:$H$108,MATCH(J278,'Factors'!$C$9:$C$108,0))),""))</x:f>
      </x:c>
      <x:c r="R278" s="9" t="str">
        <x:f>IF(C278="","",IFERROR(IF(INDEX('Factors'!$E$9:$E$108,MATCH(J278,'Factors'!$C$9:$C$108,0))="","",INDEX('Factors'!$E$9:$E$108,MATCH(J278,'Factors'!$C$9:$C$108,0))),""))</x:f>
      </x:c>
      <x:c r="S278" s="42" t="str">
        <x:f>IF(C278="","",IFERROR(IF(INDEX('Factors'!$J$9:$J$108,MATCH(J278,'Factors'!$C$9:$C$108,0))="","",INDEX('Factors'!$J$9:$J$108,MATCH(J278,'Factors'!$C$9:$C$108,0))),""))</x:f>
      </x:c>
      <x:c r="T278" s="9" t="str">
        <x:f>IF(C278="","",IFERROR(IF(INDEX('Factors'!$L$9:$L$108,MATCH(J278,'Factors'!$C$9:$C$108,0))="","",INDEX('Factors'!$L$9:$L$108,MATCH(J278,'Factors'!$C$9:$C$108,0))),"")&amp;" / "&amp;IFERROR(IF(INDEX('Factors'!$M$9:$M$108,MATCH(J278,'Factors'!$C$9:$C$108,0))="","",INDEX('Factors'!$M$9:$M$108,MATCH(J278,'Factors'!$C$9:$C$108,0))),""))</x:f>
      </x:c>
      <x:c r="U278" s="21" t="str">
        <x:f>IF(V278="Ready",H278*O278/1000,"")</x:f>
      </x:c>
      <x:c r="V278" s="9" t="str">
        <x:f>IF(C278="","",IF(OR(COUNTIFS($C$9:$C$308,C278)&lt;&gt;1,COUNTIFS($D$9:$D$308,D278,$E$9:$E$308,E278,$F$9:$F$308,F278,$G$9:$G$308,G278,$K$9:$K$308,K278)&lt;&gt;1),"Duplicate annual activity",IF(COUNTIFS('Inventory'!$C$9:$C$108,D278)&lt;&gt;1,"Entity required",IF(OR(E278="",L278="",NOT(ISNUMBER(H278)),H278&lt;0,NOT(ISNUMBER(K278)),NOT(ISNUMBER(N278))),"Missing activity input",IF(AND(E278&lt;&gt;D278,OR(COUNTIFS('Sites'!$C$9:$C$108,E278)&lt;&gt;1,IFERROR(IF(INDEX('Sites'!$D$9:$D$108,MATCH(E278,'Sites'!$C$9:$C$108,0))="","",INDEX('Sites'!$D$9:$D$108,MATCH(E278,'Sites'!$C$9:$C$108,0))),"")&lt;&gt;IFERROR(IF(INDEX('Inventory'!$D$9:$D$108,MATCH(D278,'Inventory'!$C$9:$C$108,0))="","",INDEX('Inventory'!$D$9:$D$108,MATCH(D278,'Inventory'!$C$9:$C$108,0))),""),IFERROR(IF(INDEX('Sites'!$E$9:$E$108,MATCH(E278,'Sites'!$C$9:$C$108,0))="","",INDEX('Sites'!$E$9:$E$108,MATCH(E278,'Sites'!$C$9:$C$108,0))),"")&lt;&gt;W278)),"Site / entity mismatch",IF(N278&lt;'Settings'!$F$8,"Expired",IF(X278&lt;&gt;"Ready","Factor required",IF(OR(G278&lt;&gt;IFERROR(IF(INDEX('Factors'!$D$9:$D$108,MATCH(J278,'Factors'!$C$9:$C$108,0))="","",INDEX('Factors'!$D$9:$D$108,MATCH(J278,'Factors'!$C$9:$C$108,0))),""),I278&lt;&gt;P278,F278&lt;&gt;Q278,K278&lt;&gt;S278,AND(R278&lt;&gt;"Global",R278&lt;&gt;W278),K278&lt;&gt;YEAR(IFERROR(IF(INDEX('Inventory'!$H$9:$H$108,MATCH(D278,'Inventory'!$C$9:$C$108,0))="","",INDEX('Inventory'!$H$9:$H$108,MATCH(D278,'Inventory'!$C$9:$C$108,0))),""))),"Factor / boundary mismatch",IF(AND(F278="S2",IFERROR(IF(INDEX('Factors'!$I$9:$I$108,MATCH(J278,'Factors'!$C$9:$C$108,0))="","",INDEX('Factors'!$I$9:$I$108,MATCH(J278,'Factors'!$C$9:$C$108,0))),"")&lt;&gt;"Location-based"),"Use location factor",IF(M278&lt;&gt;"Actual","Estimation method review","Ready"))))))))))</x:f>
      </x:c>
      <x:c r="W278" s="9" t="str">
        <x:f>IF(C278="","",IFERROR(IF(INDEX('Inventory'!$G$9:$G$108,MATCH(D278,'Inventory'!$C$9:$C$108,0))="","",INDEX('Inventory'!$G$9:$G$108,MATCH(D278,'Inventory'!$C$9:$C$108,0))),""))</x:f>
      </x:c>
      <x:c r="X278" s="9" t="str">
        <x:f>IF(C278="","",IFERROR(IF(INDEX('Factors'!$P$9:$P$108,MATCH(J278,'Factors'!$C$9:$C$108,0))="","",INDEX('Factors'!$P$9:$P$108,MATCH(J278,'Factors'!$C$9:$C$108,0))),""))</x:f>
      </x:c>
    </x:row>
    <x:row r="279" ht="26" customHeight="1">
      <x:c r="A279" s="1"/>
      <x:c r="B279" s="1"/>
      <x:c r="C279" s="8"/>
      <x:c r="D279" s="8"/>
      <x:c r="E279" s="8"/>
      <x:c r="F279" s="8"/>
      <x:c r="G279" s="8"/>
      <x:c r="H279" s="16"/>
      <x:c r="I279" s="8"/>
      <x:c r="J279" s="8"/>
      <x:c r="K279" s="22"/>
      <x:c r="L279" s="8"/>
      <x:c r="M279" s="8"/>
      <x:c r="N279" s="40"/>
      <x:c r="O279" s="41" t="str">
        <x:f>IF(C279="","",IFERROR(IF(INDEX('Factors'!$G$9:$G$108,MATCH(J279,'Factors'!$C$9:$C$108,0))="","",INDEX('Factors'!$G$9:$G$108,MATCH(J279,'Factors'!$C$9:$C$108,0))),""))</x:f>
      </x:c>
      <x:c r="P279" s="9" t="str">
        <x:f>IF(C279="","",IFERROR(IF(INDEX('Factors'!$F$9:$F$108,MATCH(J279,'Factors'!$C$9:$C$108,0))="","",INDEX('Factors'!$F$9:$F$108,MATCH(J279,'Factors'!$C$9:$C$108,0))),""))</x:f>
      </x:c>
      <x:c r="Q279" s="9" t="str">
        <x:f>IF(C279="","",IFERROR(IF(INDEX('Factors'!$H$9:$H$108,MATCH(J279,'Factors'!$C$9:$C$108,0))="","",INDEX('Factors'!$H$9:$H$108,MATCH(J279,'Factors'!$C$9:$C$108,0))),""))</x:f>
      </x:c>
      <x:c r="R279" s="9" t="str">
        <x:f>IF(C279="","",IFERROR(IF(INDEX('Factors'!$E$9:$E$108,MATCH(J279,'Factors'!$C$9:$C$108,0))="","",INDEX('Factors'!$E$9:$E$108,MATCH(J279,'Factors'!$C$9:$C$108,0))),""))</x:f>
      </x:c>
      <x:c r="S279" s="42" t="str">
        <x:f>IF(C279="","",IFERROR(IF(INDEX('Factors'!$J$9:$J$108,MATCH(J279,'Factors'!$C$9:$C$108,0))="","",INDEX('Factors'!$J$9:$J$108,MATCH(J279,'Factors'!$C$9:$C$108,0))),""))</x:f>
      </x:c>
      <x:c r="T279" s="9" t="str">
        <x:f>IF(C279="","",IFERROR(IF(INDEX('Factors'!$L$9:$L$108,MATCH(J279,'Factors'!$C$9:$C$108,0))="","",INDEX('Factors'!$L$9:$L$108,MATCH(J279,'Factors'!$C$9:$C$108,0))),"")&amp;" / "&amp;IFERROR(IF(INDEX('Factors'!$M$9:$M$108,MATCH(J279,'Factors'!$C$9:$C$108,0))="","",INDEX('Factors'!$M$9:$M$108,MATCH(J279,'Factors'!$C$9:$C$108,0))),""))</x:f>
      </x:c>
      <x:c r="U279" s="21" t="str">
        <x:f>IF(V279="Ready",H279*O279/1000,"")</x:f>
      </x:c>
      <x:c r="V279" s="9" t="str">
        <x:f>IF(C279="","",IF(OR(COUNTIFS($C$9:$C$308,C279)&lt;&gt;1,COUNTIFS($D$9:$D$308,D279,$E$9:$E$308,E279,$F$9:$F$308,F279,$G$9:$G$308,G279,$K$9:$K$308,K279)&lt;&gt;1),"Duplicate annual activity",IF(COUNTIFS('Inventory'!$C$9:$C$108,D279)&lt;&gt;1,"Entity required",IF(OR(E279="",L279="",NOT(ISNUMBER(H279)),H279&lt;0,NOT(ISNUMBER(K279)),NOT(ISNUMBER(N279))),"Missing activity input",IF(AND(E279&lt;&gt;D279,OR(COUNTIFS('Sites'!$C$9:$C$108,E279)&lt;&gt;1,IFERROR(IF(INDEX('Sites'!$D$9:$D$108,MATCH(E279,'Sites'!$C$9:$C$108,0))="","",INDEX('Sites'!$D$9:$D$108,MATCH(E279,'Sites'!$C$9:$C$108,0))),"")&lt;&gt;IFERROR(IF(INDEX('Inventory'!$D$9:$D$108,MATCH(D279,'Inventory'!$C$9:$C$108,0))="","",INDEX('Inventory'!$D$9:$D$108,MATCH(D279,'Inventory'!$C$9:$C$108,0))),""),IFERROR(IF(INDEX('Sites'!$E$9:$E$108,MATCH(E279,'Sites'!$C$9:$C$108,0))="","",INDEX('Sites'!$E$9:$E$108,MATCH(E279,'Sites'!$C$9:$C$108,0))),"")&lt;&gt;W279)),"Site / entity mismatch",IF(N279&lt;'Settings'!$F$8,"Expired",IF(X279&lt;&gt;"Ready","Factor required",IF(OR(G279&lt;&gt;IFERROR(IF(INDEX('Factors'!$D$9:$D$108,MATCH(J279,'Factors'!$C$9:$C$108,0))="","",INDEX('Factors'!$D$9:$D$108,MATCH(J279,'Factors'!$C$9:$C$108,0))),""),I279&lt;&gt;P279,F279&lt;&gt;Q279,K279&lt;&gt;S279,AND(R279&lt;&gt;"Global",R279&lt;&gt;W279),K279&lt;&gt;YEAR(IFERROR(IF(INDEX('Inventory'!$H$9:$H$108,MATCH(D279,'Inventory'!$C$9:$C$108,0))="","",INDEX('Inventory'!$H$9:$H$108,MATCH(D279,'Inventory'!$C$9:$C$108,0))),""))),"Factor / boundary mismatch",IF(AND(F279="S2",IFERROR(IF(INDEX('Factors'!$I$9:$I$108,MATCH(J279,'Factors'!$C$9:$C$108,0))="","",INDEX('Factors'!$I$9:$I$108,MATCH(J279,'Factors'!$C$9:$C$108,0))),"")&lt;&gt;"Location-based"),"Use location factor",IF(M279&lt;&gt;"Actual","Estimation method review","Ready"))))))))))</x:f>
      </x:c>
      <x:c r="W279" s="9" t="str">
        <x:f>IF(C279="","",IFERROR(IF(INDEX('Inventory'!$G$9:$G$108,MATCH(D279,'Inventory'!$C$9:$C$108,0))="","",INDEX('Inventory'!$G$9:$G$108,MATCH(D279,'Inventory'!$C$9:$C$108,0))),""))</x:f>
      </x:c>
      <x:c r="X279" s="9" t="str">
        <x:f>IF(C279="","",IFERROR(IF(INDEX('Factors'!$P$9:$P$108,MATCH(J279,'Factors'!$C$9:$C$108,0))="","",INDEX('Factors'!$P$9:$P$108,MATCH(J279,'Factors'!$C$9:$C$108,0))),""))</x:f>
      </x:c>
    </x:row>
    <x:row r="280" ht="26" customHeight="1">
      <x:c r="A280" s="1"/>
      <x:c r="B280" s="1"/>
      <x:c r="C280" s="8"/>
      <x:c r="D280" s="8"/>
      <x:c r="E280" s="8"/>
      <x:c r="F280" s="8"/>
      <x:c r="G280" s="8"/>
      <x:c r="H280" s="16"/>
      <x:c r="I280" s="8"/>
      <x:c r="J280" s="8"/>
      <x:c r="K280" s="22"/>
      <x:c r="L280" s="8"/>
      <x:c r="M280" s="8"/>
      <x:c r="N280" s="40"/>
      <x:c r="O280" s="41" t="str">
        <x:f>IF(C280="","",IFERROR(IF(INDEX('Factors'!$G$9:$G$108,MATCH(J280,'Factors'!$C$9:$C$108,0))="","",INDEX('Factors'!$G$9:$G$108,MATCH(J280,'Factors'!$C$9:$C$108,0))),""))</x:f>
      </x:c>
      <x:c r="P280" s="9" t="str">
        <x:f>IF(C280="","",IFERROR(IF(INDEX('Factors'!$F$9:$F$108,MATCH(J280,'Factors'!$C$9:$C$108,0))="","",INDEX('Factors'!$F$9:$F$108,MATCH(J280,'Factors'!$C$9:$C$108,0))),""))</x:f>
      </x:c>
      <x:c r="Q280" s="9" t="str">
        <x:f>IF(C280="","",IFERROR(IF(INDEX('Factors'!$H$9:$H$108,MATCH(J280,'Factors'!$C$9:$C$108,0))="","",INDEX('Factors'!$H$9:$H$108,MATCH(J280,'Factors'!$C$9:$C$108,0))),""))</x:f>
      </x:c>
      <x:c r="R280" s="9" t="str">
        <x:f>IF(C280="","",IFERROR(IF(INDEX('Factors'!$E$9:$E$108,MATCH(J280,'Factors'!$C$9:$C$108,0))="","",INDEX('Factors'!$E$9:$E$108,MATCH(J280,'Factors'!$C$9:$C$108,0))),""))</x:f>
      </x:c>
      <x:c r="S280" s="42" t="str">
        <x:f>IF(C280="","",IFERROR(IF(INDEX('Factors'!$J$9:$J$108,MATCH(J280,'Factors'!$C$9:$C$108,0))="","",INDEX('Factors'!$J$9:$J$108,MATCH(J280,'Factors'!$C$9:$C$108,0))),""))</x:f>
      </x:c>
      <x:c r="T280" s="9" t="str">
        <x:f>IF(C280="","",IFERROR(IF(INDEX('Factors'!$L$9:$L$108,MATCH(J280,'Factors'!$C$9:$C$108,0))="","",INDEX('Factors'!$L$9:$L$108,MATCH(J280,'Factors'!$C$9:$C$108,0))),"")&amp;" / "&amp;IFERROR(IF(INDEX('Factors'!$M$9:$M$108,MATCH(J280,'Factors'!$C$9:$C$108,0))="","",INDEX('Factors'!$M$9:$M$108,MATCH(J280,'Factors'!$C$9:$C$108,0))),""))</x:f>
      </x:c>
      <x:c r="U280" s="21" t="str">
        <x:f>IF(V280="Ready",H280*O280/1000,"")</x:f>
      </x:c>
      <x:c r="V280" s="9" t="str">
        <x:f>IF(C280="","",IF(OR(COUNTIFS($C$9:$C$308,C280)&lt;&gt;1,COUNTIFS($D$9:$D$308,D280,$E$9:$E$308,E280,$F$9:$F$308,F280,$G$9:$G$308,G280,$K$9:$K$308,K280)&lt;&gt;1),"Duplicate annual activity",IF(COUNTIFS('Inventory'!$C$9:$C$108,D280)&lt;&gt;1,"Entity required",IF(OR(E280="",L280="",NOT(ISNUMBER(H280)),H280&lt;0,NOT(ISNUMBER(K280)),NOT(ISNUMBER(N280))),"Missing activity input",IF(AND(E280&lt;&gt;D280,OR(COUNTIFS('Sites'!$C$9:$C$108,E280)&lt;&gt;1,IFERROR(IF(INDEX('Sites'!$D$9:$D$108,MATCH(E280,'Sites'!$C$9:$C$108,0))="","",INDEX('Sites'!$D$9:$D$108,MATCH(E280,'Sites'!$C$9:$C$108,0))),"")&lt;&gt;IFERROR(IF(INDEX('Inventory'!$D$9:$D$108,MATCH(D280,'Inventory'!$C$9:$C$108,0))="","",INDEX('Inventory'!$D$9:$D$108,MATCH(D280,'Inventory'!$C$9:$C$108,0))),""),IFERROR(IF(INDEX('Sites'!$E$9:$E$108,MATCH(E280,'Sites'!$C$9:$C$108,0))="","",INDEX('Sites'!$E$9:$E$108,MATCH(E280,'Sites'!$C$9:$C$108,0))),"")&lt;&gt;W280)),"Site / entity mismatch",IF(N280&lt;'Settings'!$F$8,"Expired",IF(X280&lt;&gt;"Ready","Factor required",IF(OR(G280&lt;&gt;IFERROR(IF(INDEX('Factors'!$D$9:$D$108,MATCH(J280,'Factors'!$C$9:$C$108,0))="","",INDEX('Factors'!$D$9:$D$108,MATCH(J280,'Factors'!$C$9:$C$108,0))),""),I280&lt;&gt;P280,F280&lt;&gt;Q280,K280&lt;&gt;S280,AND(R280&lt;&gt;"Global",R280&lt;&gt;W280),K280&lt;&gt;YEAR(IFERROR(IF(INDEX('Inventory'!$H$9:$H$108,MATCH(D280,'Inventory'!$C$9:$C$108,0))="","",INDEX('Inventory'!$H$9:$H$108,MATCH(D280,'Inventory'!$C$9:$C$108,0))),""))),"Factor / boundary mismatch",IF(AND(F280="S2",IFERROR(IF(INDEX('Factors'!$I$9:$I$108,MATCH(J280,'Factors'!$C$9:$C$108,0))="","",INDEX('Factors'!$I$9:$I$108,MATCH(J280,'Factors'!$C$9:$C$108,0))),"")&lt;&gt;"Location-based"),"Use location factor",IF(M280&lt;&gt;"Actual","Estimation method review","Ready"))))))))))</x:f>
      </x:c>
      <x:c r="W280" s="9" t="str">
        <x:f>IF(C280="","",IFERROR(IF(INDEX('Inventory'!$G$9:$G$108,MATCH(D280,'Inventory'!$C$9:$C$108,0))="","",INDEX('Inventory'!$G$9:$G$108,MATCH(D280,'Inventory'!$C$9:$C$108,0))),""))</x:f>
      </x:c>
      <x:c r="X280" s="9" t="str">
        <x:f>IF(C280="","",IFERROR(IF(INDEX('Factors'!$P$9:$P$108,MATCH(J280,'Factors'!$C$9:$C$108,0))="","",INDEX('Factors'!$P$9:$P$108,MATCH(J280,'Factors'!$C$9:$C$108,0))),""))</x:f>
      </x:c>
    </x:row>
    <x:row r="281" ht="26" customHeight="1">
      <x:c r="A281" s="1"/>
      <x:c r="B281" s="1"/>
      <x:c r="C281" s="8"/>
      <x:c r="D281" s="8"/>
      <x:c r="E281" s="8"/>
      <x:c r="F281" s="8"/>
      <x:c r="G281" s="8"/>
      <x:c r="H281" s="16"/>
      <x:c r="I281" s="8"/>
      <x:c r="J281" s="8"/>
      <x:c r="K281" s="22"/>
      <x:c r="L281" s="8"/>
      <x:c r="M281" s="8"/>
      <x:c r="N281" s="40"/>
      <x:c r="O281" s="41" t="str">
        <x:f>IF(C281="","",IFERROR(IF(INDEX('Factors'!$G$9:$G$108,MATCH(J281,'Factors'!$C$9:$C$108,0))="","",INDEX('Factors'!$G$9:$G$108,MATCH(J281,'Factors'!$C$9:$C$108,0))),""))</x:f>
      </x:c>
      <x:c r="P281" s="9" t="str">
        <x:f>IF(C281="","",IFERROR(IF(INDEX('Factors'!$F$9:$F$108,MATCH(J281,'Factors'!$C$9:$C$108,0))="","",INDEX('Factors'!$F$9:$F$108,MATCH(J281,'Factors'!$C$9:$C$108,0))),""))</x:f>
      </x:c>
      <x:c r="Q281" s="9" t="str">
        <x:f>IF(C281="","",IFERROR(IF(INDEX('Factors'!$H$9:$H$108,MATCH(J281,'Factors'!$C$9:$C$108,0))="","",INDEX('Factors'!$H$9:$H$108,MATCH(J281,'Factors'!$C$9:$C$108,0))),""))</x:f>
      </x:c>
      <x:c r="R281" s="9" t="str">
        <x:f>IF(C281="","",IFERROR(IF(INDEX('Factors'!$E$9:$E$108,MATCH(J281,'Factors'!$C$9:$C$108,0))="","",INDEX('Factors'!$E$9:$E$108,MATCH(J281,'Factors'!$C$9:$C$108,0))),""))</x:f>
      </x:c>
      <x:c r="S281" s="42" t="str">
        <x:f>IF(C281="","",IFERROR(IF(INDEX('Factors'!$J$9:$J$108,MATCH(J281,'Factors'!$C$9:$C$108,0))="","",INDEX('Factors'!$J$9:$J$108,MATCH(J281,'Factors'!$C$9:$C$108,0))),""))</x:f>
      </x:c>
      <x:c r="T281" s="9" t="str">
        <x:f>IF(C281="","",IFERROR(IF(INDEX('Factors'!$L$9:$L$108,MATCH(J281,'Factors'!$C$9:$C$108,0))="","",INDEX('Factors'!$L$9:$L$108,MATCH(J281,'Factors'!$C$9:$C$108,0))),"")&amp;" / "&amp;IFERROR(IF(INDEX('Factors'!$M$9:$M$108,MATCH(J281,'Factors'!$C$9:$C$108,0))="","",INDEX('Factors'!$M$9:$M$108,MATCH(J281,'Factors'!$C$9:$C$108,0))),""))</x:f>
      </x:c>
      <x:c r="U281" s="21" t="str">
        <x:f>IF(V281="Ready",H281*O281/1000,"")</x:f>
      </x:c>
      <x:c r="V281" s="9" t="str">
        <x:f>IF(C281="","",IF(OR(COUNTIFS($C$9:$C$308,C281)&lt;&gt;1,COUNTIFS($D$9:$D$308,D281,$E$9:$E$308,E281,$F$9:$F$308,F281,$G$9:$G$308,G281,$K$9:$K$308,K281)&lt;&gt;1),"Duplicate annual activity",IF(COUNTIFS('Inventory'!$C$9:$C$108,D281)&lt;&gt;1,"Entity required",IF(OR(E281="",L281="",NOT(ISNUMBER(H281)),H281&lt;0,NOT(ISNUMBER(K281)),NOT(ISNUMBER(N281))),"Missing activity input",IF(AND(E281&lt;&gt;D281,OR(COUNTIFS('Sites'!$C$9:$C$108,E281)&lt;&gt;1,IFERROR(IF(INDEX('Sites'!$D$9:$D$108,MATCH(E281,'Sites'!$C$9:$C$108,0))="","",INDEX('Sites'!$D$9:$D$108,MATCH(E281,'Sites'!$C$9:$C$108,0))),"")&lt;&gt;IFERROR(IF(INDEX('Inventory'!$D$9:$D$108,MATCH(D281,'Inventory'!$C$9:$C$108,0))="","",INDEX('Inventory'!$D$9:$D$108,MATCH(D281,'Inventory'!$C$9:$C$108,0))),""),IFERROR(IF(INDEX('Sites'!$E$9:$E$108,MATCH(E281,'Sites'!$C$9:$C$108,0))="","",INDEX('Sites'!$E$9:$E$108,MATCH(E281,'Sites'!$C$9:$C$108,0))),"")&lt;&gt;W281)),"Site / entity mismatch",IF(N281&lt;'Settings'!$F$8,"Expired",IF(X281&lt;&gt;"Ready","Factor required",IF(OR(G281&lt;&gt;IFERROR(IF(INDEX('Factors'!$D$9:$D$108,MATCH(J281,'Factors'!$C$9:$C$108,0))="","",INDEX('Factors'!$D$9:$D$108,MATCH(J281,'Factors'!$C$9:$C$108,0))),""),I281&lt;&gt;P281,F281&lt;&gt;Q281,K281&lt;&gt;S281,AND(R281&lt;&gt;"Global",R281&lt;&gt;W281),K281&lt;&gt;YEAR(IFERROR(IF(INDEX('Inventory'!$H$9:$H$108,MATCH(D281,'Inventory'!$C$9:$C$108,0))="","",INDEX('Inventory'!$H$9:$H$108,MATCH(D281,'Inventory'!$C$9:$C$108,0))),""))),"Factor / boundary mismatch",IF(AND(F281="S2",IFERROR(IF(INDEX('Factors'!$I$9:$I$108,MATCH(J281,'Factors'!$C$9:$C$108,0))="","",INDEX('Factors'!$I$9:$I$108,MATCH(J281,'Factors'!$C$9:$C$108,0))),"")&lt;&gt;"Location-based"),"Use location factor",IF(M281&lt;&gt;"Actual","Estimation method review","Ready"))))))))))</x:f>
      </x:c>
      <x:c r="W281" s="9" t="str">
        <x:f>IF(C281="","",IFERROR(IF(INDEX('Inventory'!$G$9:$G$108,MATCH(D281,'Inventory'!$C$9:$C$108,0))="","",INDEX('Inventory'!$G$9:$G$108,MATCH(D281,'Inventory'!$C$9:$C$108,0))),""))</x:f>
      </x:c>
      <x:c r="X281" s="9" t="str">
        <x:f>IF(C281="","",IFERROR(IF(INDEX('Factors'!$P$9:$P$108,MATCH(J281,'Factors'!$C$9:$C$108,0))="","",INDEX('Factors'!$P$9:$P$108,MATCH(J281,'Factors'!$C$9:$C$108,0))),""))</x:f>
      </x:c>
    </x:row>
    <x:row r="282" ht="26" customHeight="1">
      <x:c r="A282" s="1"/>
      <x:c r="B282" s="1"/>
      <x:c r="C282" s="8"/>
      <x:c r="D282" s="8"/>
      <x:c r="E282" s="8"/>
      <x:c r="F282" s="8"/>
      <x:c r="G282" s="8"/>
      <x:c r="H282" s="16"/>
      <x:c r="I282" s="8"/>
      <x:c r="J282" s="8"/>
      <x:c r="K282" s="22"/>
      <x:c r="L282" s="8"/>
      <x:c r="M282" s="8"/>
      <x:c r="N282" s="40"/>
      <x:c r="O282" s="41" t="str">
        <x:f>IF(C282="","",IFERROR(IF(INDEX('Factors'!$G$9:$G$108,MATCH(J282,'Factors'!$C$9:$C$108,0))="","",INDEX('Factors'!$G$9:$G$108,MATCH(J282,'Factors'!$C$9:$C$108,0))),""))</x:f>
      </x:c>
      <x:c r="P282" s="9" t="str">
        <x:f>IF(C282="","",IFERROR(IF(INDEX('Factors'!$F$9:$F$108,MATCH(J282,'Factors'!$C$9:$C$108,0))="","",INDEX('Factors'!$F$9:$F$108,MATCH(J282,'Factors'!$C$9:$C$108,0))),""))</x:f>
      </x:c>
      <x:c r="Q282" s="9" t="str">
        <x:f>IF(C282="","",IFERROR(IF(INDEX('Factors'!$H$9:$H$108,MATCH(J282,'Factors'!$C$9:$C$108,0))="","",INDEX('Factors'!$H$9:$H$108,MATCH(J282,'Factors'!$C$9:$C$108,0))),""))</x:f>
      </x:c>
      <x:c r="R282" s="9" t="str">
        <x:f>IF(C282="","",IFERROR(IF(INDEX('Factors'!$E$9:$E$108,MATCH(J282,'Factors'!$C$9:$C$108,0))="","",INDEX('Factors'!$E$9:$E$108,MATCH(J282,'Factors'!$C$9:$C$108,0))),""))</x:f>
      </x:c>
      <x:c r="S282" s="42" t="str">
        <x:f>IF(C282="","",IFERROR(IF(INDEX('Factors'!$J$9:$J$108,MATCH(J282,'Factors'!$C$9:$C$108,0))="","",INDEX('Factors'!$J$9:$J$108,MATCH(J282,'Factors'!$C$9:$C$108,0))),""))</x:f>
      </x:c>
      <x:c r="T282" s="9" t="str">
        <x:f>IF(C282="","",IFERROR(IF(INDEX('Factors'!$L$9:$L$108,MATCH(J282,'Factors'!$C$9:$C$108,0))="","",INDEX('Factors'!$L$9:$L$108,MATCH(J282,'Factors'!$C$9:$C$108,0))),"")&amp;" / "&amp;IFERROR(IF(INDEX('Factors'!$M$9:$M$108,MATCH(J282,'Factors'!$C$9:$C$108,0))="","",INDEX('Factors'!$M$9:$M$108,MATCH(J282,'Factors'!$C$9:$C$108,0))),""))</x:f>
      </x:c>
      <x:c r="U282" s="21" t="str">
        <x:f>IF(V282="Ready",H282*O282/1000,"")</x:f>
      </x:c>
      <x:c r="V282" s="9" t="str">
        <x:f>IF(C282="","",IF(OR(COUNTIFS($C$9:$C$308,C282)&lt;&gt;1,COUNTIFS($D$9:$D$308,D282,$E$9:$E$308,E282,$F$9:$F$308,F282,$G$9:$G$308,G282,$K$9:$K$308,K282)&lt;&gt;1),"Duplicate annual activity",IF(COUNTIFS('Inventory'!$C$9:$C$108,D282)&lt;&gt;1,"Entity required",IF(OR(E282="",L282="",NOT(ISNUMBER(H282)),H282&lt;0,NOT(ISNUMBER(K282)),NOT(ISNUMBER(N282))),"Missing activity input",IF(AND(E282&lt;&gt;D282,OR(COUNTIFS('Sites'!$C$9:$C$108,E282)&lt;&gt;1,IFERROR(IF(INDEX('Sites'!$D$9:$D$108,MATCH(E282,'Sites'!$C$9:$C$108,0))="","",INDEX('Sites'!$D$9:$D$108,MATCH(E282,'Sites'!$C$9:$C$108,0))),"")&lt;&gt;IFERROR(IF(INDEX('Inventory'!$D$9:$D$108,MATCH(D282,'Inventory'!$C$9:$C$108,0))="","",INDEX('Inventory'!$D$9:$D$108,MATCH(D282,'Inventory'!$C$9:$C$108,0))),""),IFERROR(IF(INDEX('Sites'!$E$9:$E$108,MATCH(E282,'Sites'!$C$9:$C$108,0))="","",INDEX('Sites'!$E$9:$E$108,MATCH(E282,'Sites'!$C$9:$C$108,0))),"")&lt;&gt;W282)),"Site / entity mismatch",IF(N282&lt;'Settings'!$F$8,"Expired",IF(X282&lt;&gt;"Ready","Factor required",IF(OR(G282&lt;&gt;IFERROR(IF(INDEX('Factors'!$D$9:$D$108,MATCH(J282,'Factors'!$C$9:$C$108,0))="","",INDEX('Factors'!$D$9:$D$108,MATCH(J282,'Factors'!$C$9:$C$108,0))),""),I282&lt;&gt;P282,F282&lt;&gt;Q282,K282&lt;&gt;S282,AND(R282&lt;&gt;"Global",R282&lt;&gt;W282),K282&lt;&gt;YEAR(IFERROR(IF(INDEX('Inventory'!$H$9:$H$108,MATCH(D282,'Inventory'!$C$9:$C$108,0))="","",INDEX('Inventory'!$H$9:$H$108,MATCH(D282,'Inventory'!$C$9:$C$108,0))),""))),"Factor / boundary mismatch",IF(AND(F282="S2",IFERROR(IF(INDEX('Factors'!$I$9:$I$108,MATCH(J282,'Factors'!$C$9:$C$108,0))="","",INDEX('Factors'!$I$9:$I$108,MATCH(J282,'Factors'!$C$9:$C$108,0))),"")&lt;&gt;"Location-based"),"Use location factor",IF(M282&lt;&gt;"Actual","Estimation method review","Ready"))))))))))</x:f>
      </x:c>
      <x:c r="W282" s="9" t="str">
        <x:f>IF(C282="","",IFERROR(IF(INDEX('Inventory'!$G$9:$G$108,MATCH(D282,'Inventory'!$C$9:$C$108,0))="","",INDEX('Inventory'!$G$9:$G$108,MATCH(D282,'Inventory'!$C$9:$C$108,0))),""))</x:f>
      </x:c>
      <x:c r="X282" s="9" t="str">
        <x:f>IF(C282="","",IFERROR(IF(INDEX('Factors'!$P$9:$P$108,MATCH(J282,'Factors'!$C$9:$C$108,0))="","",INDEX('Factors'!$P$9:$P$108,MATCH(J282,'Factors'!$C$9:$C$108,0))),""))</x:f>
      </x:c>
    </x:row>
    <x:row r="283" ht="26" customHeight="1">
      <x:c r="A283" s="1"/>
      <x:c r="B283" s="1"/>
      <x:c r="C283" s="8"/>
      <x:c r="D283" s="8"/>
      <x:c r="E283" s="8"/>
      <x:c r="F283" s="8"/>
      <x:c r="G283" s="8"/>
      <x:c r="H283" s="16"/>
      <x:c r="I283" s="8"/>
      <x:c r="J283" s="8"/>
      <x:c r="K283" s="22"/>
      <x:c r="L283" s="8"/>
      <x:c r="M283" s="8"/>
      <x:c r="N283" s="40"/>
      <x:c r="O283" s="41" t="str">
        <x:f>IF(C283="","",IFERROR(IF(INDEX('Factors'!$G$9:$G$108,MATCH(J283,'Factors'!$C$9:$C$108,0))="","",INDEX('Factors'!$G$9:$G$108,MATCH(J283,'Factors'!$C$9:$C$108,0))),""))</x:f>
      </x:c>
      <x:c r="P283" s="9" t="str">
        <x:f>IF(C283="","",IFERROR(IF(INDEX('Factors'!$F$9:$F$108,MATCH(J283,'Factors'!$C$9:$C$108,0))="","",INDEX('Factors'!$F$9:$F$108,MATCH(J283,'Factors'!$C$9:$C$108,0))),""))</x:f>
      </x:c>
      <x:c r="Q283" s="9" t="str">
        <x:f>IF(C283="","",IFERROR(IF(INDEX('Factors'!$H$9:$H$108,MATCH(J283,'Factors'!$C$9:$C$108,0))="","",INDEX('Factors'!$H$9:$H$108,MATCH(J283,'Factors'!$C$9:$C$108,0))),""))</x:f>
      </x:c>
      <x:c r="R283" s="9" t="str">
        <x:f>IF(C283="","",IFERROR(IF(INDEX('Factors'!$E$9:$E$108,MATCH(J283,'Factors'!$C$9:$C$108,0))="","",INDEX('Factors'!$E$9:$E$108,MATCH(J283,'Factors'!$C$9:$C$108,0))),""))</x:f>
      </x:c>
      <x:c r="S283" s="42" t="str">
        <x:f>IF(C283="","",IFERROR(IF(INDEX('Factors'!$J$9:$J$108,MATCH(J283,'Factors'!$C$9:$C$108,0))="","",INDEX('Factors'!$J$9:$J$108,MATCH(J283,'Factors'!$C$9:$C$108,0))),""))</x:f>
      </x:c>
      <x:c r="T283" s="9" t="str">
        <x:f>IF(C283="","",IFERROR(IF(INDEX('Factors'!$L$9:$L$108,MATCH(J283,'Factors'!$C$9:$C$108,0))="","",INDEX('Factors'!$L$9:$L$108,MATCH(J283,'Factors'!$C$9:$C$108,0))),"")&amp;" / "&amp;IFERROR(IF(INDEX('Factors'!$M$9:$M$108,MATCH(J283,'Factors'!$C$9:$C$108,0))="","",INDEX('Factors'!$M$9:$M$108,MATCH(J283,'Factors'!$C$9:$C$108,0))),""))</x:f>
      </x:c>
      <x:c r="U283" s="21" t="str">
        <x:f>IF(V283="Ready",H283*O283/1000,"")</x:f>
      </x:c>
      <x:c r="V283" s="9" t="str">
        <x:f>IF(C283="","",IF(OR(COUNTIFS($C$9:$C$308,C283)&lt;&gt;1,COUNTIFS($D$9:$D$308,D283,$E$9:$E$308,E283,$F$9:$F$308,F283,$G$9:$G$308,G283,$K$9:$K$308,K283)&lt;&gt;1),"Duplicate annual activity",IF(COUNTIFS('Inventory'!$C$9:$C$108,D283)&lt;&gt;1,"Entity required",IF(OR(E283="",L283="",NOT(ISNUMBER(H283)),H283&lt;0,NOT(ISNUMBER(K283)),NOT(ISNUMBER(N283))),"Missing activity input",IF(AND(E283&lt;&gt;D283,OR(COUNTIFS('Sites'!$C$9:$C$108,E283)&lt;&gt;1,IFERROR(IF(INDEX('Sites'!$D$9:$D$108,MATCH(E283,'Sites'!$C$9:$C$108,0))="","",INDEX('Sites'!$D$9:$D$108,MATCH(E283,'Sites'!$C$9:$C$108,0))),"")&lt;&gt;IFERROR(IF(INDEX('Inventory'!$D$9:$D$108,MATCH(D283,'Inventory'!$C$9:$C$108,0))="","",INDEX('Inventory'!$D$9:$D$108,MATCH(D283,'Inventory'!$C$9:$C$108,0))),""),IFERROR(IF(INDEX('Sites'!$E$9:$E$108,MATCH(E283,'Sites'!$C$9:$C$108,0))="","",INDEX('Sites'!$E$9:$E$108,MATCH(E283,'Sites'!$C$9:$C$108,0))),"")&lt;&gt;W283)),"Site / entity mismatch",IF(N283&lt;'Settings'!$F$8,"Expired",IF(X283&lt;&gt;"Ready","Factor required",IF(OR(G283&lt;&gt;IFERROR(IF(INDEX('Factors'!$D$9:$D$108,MATCH(J283,'Factors'!$C$9:$C$108,0))="","",INDEX('Factors'!$D$9:$D$108,MATCH(J283,'Factors'!$C$9:$C$108,0))),""),I283&lt;&gt;P283,F283&lt;&gt;Q283,K283&lt;&gt;S283,AND(R283&lt;&gt;"Global",R283&lt;&gt;W283),K283&lt;&gt;YEAR(IFERROR(IF(INDEX('Inventory'!$H$9:$H$108,MATCH(D283,'Inventory'!$C$9:$C$108,0))="","",INDEX('Inventory'!$H$9:$H$108,MATCH(D283,'Inventory'!$C$9:$C$108,0))),""))),"Factor / boundary mismatch",IF(AND(F283="S2",IFERROR(IF(INDEX('Factors'!$I$9:$I$108,MATCH(J283,'Factors'!$C$9:$C$108,0))="","",INDEX('Factors'!$I$9:$I$108,MATCH(J283,'Factors'!$C$9:$C$108,0))),"")&lt;&gt;"Location-based"),"Use location factor",IF(M283&lt;&gt;"Actual","Estimation method review","Ready"))))))))))</x:f>
      </x:c>
      <x:c r="W283" s="9" t="str">
        <x:f>IF(C283="","",IFERROR(IF(INDEX('Inventory'!$G$9:$G$108,MATCH(D283,'Inventory'!$C$9:$C$108,0))="","",INDEX('Inventory'!$G$9:$G$108,MATCH(D283,'Inventory'!$C$9:$C$108,0))),""))</x:f>
      </x:c>
      <x:c r="X283" s="9" t="str">
        <x:f>IF(C283="","",IFERROR(IF(INDEX('Factors'!$P$9:$P$108,MATCH(J283,'Factors'!$C$9:$C$108,0))="","",INDEX('Factors'!$P$9:$P$108,MATCH(J283,'Factors'!$C$9:$C$108,0))),""))</x:f>
      </x:c>
    </x:row>
    <x:row r="284" ht="26" customHeight="1">
      <x:c r="A284" s="1"/>
      <x:c r="B284" s="1"/>
      <x:c r="C284" s="8"/>
      <x:c r="D284" s="8"/>
      <x:c r="E284" s="8"/>
      <x:c r="F284" s="8"/>
      <x:c r="G284" s="8"/>
      <x:c r="H284" s="16"/>
      <x:c r="I284" s="8"/>
      <x:c r="J284" s="8"/>
      <x:c r="K284" s="22"/>
      <x:c r="L284" s="8"/>
      <x:c r="M284" s="8"/>
      <x:c r="N284" s="40"/>
      <x:c r="O284" s="41" t="str">
        <x:f>IF(C284="","",IFERROR(IF(INDEX('Factors'!$G$9:$G$108,MATCH(J284,'Factors'!$C$9:$C$108,0))="","",INDEX('Factors'!$G$9:$G$108,MATCH(J284,'Factors'!$C$9:$C$108,0))),""))</x:f>
      </x:c>
      <x:c r="P284" s="9" t="str">
        <x:f>IF(C284="","",IFERROR(IF(INDEX('Factors'!$F$9:$F$108,MATCH(J284,'Factors'!$C$9:$C$108,0))="","",INDEX('Factors'!$F$9:$F$108,MATCH(J284,'Factors'!$C$9:$C$108,0))),""))</x:f>
      </x:c>
      <x:c r="Q284" s="9" t="str">
        <x:f>IF(C284="","",IFERROR(IF(INDEX('Factors'!$H$9:$H$108,MATCH(J284,'Factors'!$C$9:$C$108,0))="","",INDEX('Factors'!$H$9:$H$108,MATCH(J284,'Factors'!$C$9:$C$108,0))),""))</x:f>
      </x:c>
      <x:c r="R284" s="9" t="str">
        <x:f>IF(C284="","",IFERROR(IF(INDEX('Factors'!$E$9:$E$108,MATCH(J284,'Factors'!$C$9:$C$108,0))="","",INDEX('Factors'!$E$9:$E$108,MATCH(J284,'Factors'!$C$9:$C$108,0))),""))</x:f>
      </x:c>
      <x:c r="S284" s="42" t="str">
        <x:f>IF(C284="","",IFERROR(IF(INDEX('Factors'!$J$9:$J$108,MATCH(J284,'Factors'!$C$9:$C$108,0))="","",INDEX('Factors'!$J$9:$J$108,MATCH(J284,'Factors'!$C$9:$C$108,0))),""))</x:f>
      </x:c>
      <x:c r="T284" s="9" t="str">
        <x:f>IF(C284="","",IFERROR(IF(INDEX('Factors'!$L$9:$L$108,MATCH(J284,'Factors'!$C$9:$C$108,0))="","",INDEX('Factors'!$L$9:$L$108,MATCH(J284,'Factors'!$C$9:$C$108,0))),"")&amp;" / "&amp;IFERROR(IF(INDEX('Factors'!$M$9:$M$108,MATCH(J284,'Factors'!$C$9:$C$108,0))="","",INDEX('Factors'!$M$9:$M$108,MATCH(J284,'Factors'!$C$9:$C$108,0))),""))</x:f>
      </x:c>
      <x:c r="U284" s="21" t="str">
        <x:f>IF(V284="Ready",H284*O284/1000,"")</x:f>
      </x:c>
      <x:c r="V284" s="9" t="str">
        <x:f>IF(C284="","",IF(OR(COUNTIFS($C$9:$C$308,C284)&lt;&gt;1,COUNTIFS($D$9:$D$308,D284,$E$9:$E$308,E284,$F$9:$F$308,F284,$G$9:$G$308,G284,$K$9:$K$308,K284)&lt;&gt;1),"Duplicate annual activity",IF(COUNTIFS('Inventory'!$C$9:$C$108,D284)&lt;&gt;1,"Entity required",IF(OR(E284="",L284="",NOT(ISNUMBER(H284)),H284&lt;0,NOT(ISNUMBER(K284)),NOT(ISNUMBER(N284))),"Missing activity input",IF(AND(E284&lt;&gt;D284,OR(COUNTIFS('Sites'!$C$9:$C$108,E284)&lt;&gt;1,IFERROR(IF(INDEX('Sites'!$D$9:$D$108,MATCH(E284,'Sites'!$C$9:$C$108,0))="","",INDEX('Sites'!$D$9:$D$108,MATCH(E284,'Sites'!$C$9:$C$108,0))),"")&lt;&gt;IFERROR(IF(INDEX('Inventory'!$D$9:$D$108,MATCH(D284,'Inventory'!$C$9:$C$108,0))="","",INDEX('Inventory'!$D$9:$D$108,MATCH(D284,'Inventory'!$C$9:$C$108,0))),""),IFERROR(IF(INDEX('Sites'!$E$9:$E$108,MATCH(E284,'Sites'!$C$9:$C$108,0))="","",INDEX('Sites'!$E$9:$E$108,MATCH(E284,'Sites'!$C$9:$C$108,0))),"")&lt;&gt;W284)),"Site / entity mismatch",IF(N284&lt;'Settings'!$F$8,"Expired",IF(X284&lt;&gt;"Ready","Factor required",IF(OR(G284&lt;&gt;IFERROR(IF(INDEX('Factors'!$D$9:$D$108,MATCH(J284,'Factors'!$C$9:$C$108,0))="","",INDEX('Factors'!$D$9:$D$108,MATCH(J284,'Factors'!$C$9:$C$108,0))),""),I284&lt;&gt;P284,F284&lt;&gt;Q284,K284&lt;&gt;S284,AND(R284&lt;&gt;"Global",R284&lt;&gt;W284),K284&lt;&gt;YEAR(IFERROR(IF(INDEX('Inventory'!$H$9:$H$108,MATCH(D284,'Inventory'!$C$9:$C$108,0))="","",INDEX('Inventory'!$H$9:$H$108,MATCH(D284,'Inventory'!$C$9:$C$108,0))),""))),"Factor / boundary mismatch",IF(AND(F284="S2",IFERROR(IF(INDEX('Factors'!$I$9:$I$108,MATCH(J284,'Factors'!$C$9:$C$108,0))="","",INDEX('Factors'!$I$9:$I$108,MATCH(J284,'Factors'!$C$9:$C$108,0))),"")&lt;&gt;"Location-based"),"Use location factor",IF(M284&lt;&gt;"Actual","Estimation method review","Ready"))))))))))</x:f>
      </x:c>
      <x:c r="W284" s="9" t="str">
        <x:f>IF(C284="","",IFERROR(IF(INDEX('Inventory'!$G$9:$G$108,MATCH(D284,'Inventory'!$C$9:$C$108,0))="","",INDEX('Inventory'!$G$9:$G$108,MATCH(D284,'Inventory'!$C$9:$C$108,0))),""))</x:f>
      </x:c>
      <x:c r="X284" s="9" t="str">
        <x:f>IF(C284="","",IFERROR(IF(INDEX('Factors'!$P$9:$P$108,MATCH(J284,'Factors'!$C$9:$C$108,0))="","",INDEX('Factors'!$P$9:$P$108,MATCH(J284,'Factors'!$C$9:$C$108,0))),""))</x:f>
      </x:c>
    </x:row>
    <x:row r="285" ht="26" customHeight="1">
      <x:c r="A285" s="1"/>
      <x:c r="B285" s="1"/>
      <x:c r="C285" s="8"/>
      <x:c r="D285" s="8"/>
      <x:c r="E285" s="8"/>
      <x:c r="F285" s="8"/>
      <x:c r="G285" s="8"/>
      <x:c r="H285" s="16"/>
      <x:c r="I285" s="8"/>
      <x:c r="J285" s="8"/>
      <x:c r="K285" s="22"/>
      <x:c r="L285" s="8"/>
      <x:c r="M285" s="8"/>
      <x:c r="N285" s="40"/>
      <x:c r="O285" s="41" t="str">
        <x:f>IF(C285="","",IFERROR(IF(INDEX('Factors'!$G$9:$G$108,MATCH(J285,'Factors'!$C$9:$C$108,0))="","",INDEX('Factors'!$G$9:$G$108,MATCH(J285,'Factors'!$C$9:$C$108,0))),""))</x:f>
      </x:c>
      <x:c r="P285" s="9" t="str">
        <x:f>IF(C285="","",IFERROR(IF(INDEX('Factors'!$F$9:$F$108,MATCH(J285,'Factors'!$C$9:$C$108,0))="","",INDEX('Factors'!$F$9:$F$108,MATCH(J285,'Factors'!$C$9:$C$108,0))),""))</x:f>
      </x:c>
      <x:c r="Q285" s="9" t="str">
        <x:f>IF(C285="","",IFERROR(IF(INDEX('Factors'!$H$9:$H$108,MATCH(J285,'Factors'!$C$9:$C$108,0))="","",INDEX('Factors'!$H$9:$H$108,MATCH(J285,'Factors'!$C$9:$C$108,0))),""))</x:f>
      </x:c>
      <x:c r="R285" s="9" t="str">
        <x:f>IF(C285="","",IFERROR(IF(INDEX('Factors'!$E$9:$E$108,MATCH(J285,'Factors'!$C$9:$C$108,0))="","",INDEX('Factors'!$E$9:$E$108,MATCH(J285,'Factors'!$C$9:$C$108,0))),""))</x:f>
      </x:c>
      <x:c r="S285" s="42" t="str">
        <x:f>IF(C285="","",IFERROR(IF(INDEX('Factors'!$J$9:$J$108,MATCH(J285,'Factors'!$C$9:$C$108,0))="","",INDEX('Factors'!$J$9:$J$108,MATCH(J285,'Factors'!$C$9:$C$108,0))),""))</x:f>
      </x:c>
      <x:c r="T285" s="9" t="str">
        <x:f>IF(C285="","",IFERROR(IF(INDEX('Factors'!$L$9:$L$108,MATCH(J285,'Factors'!$C$9:$C$108,0))="","",INDEX('Factors'!$L$9:$L$108,MATCH(J285,'Factors'!$C$9:$C$108,0))),"")&amp;" / "&amp;IFERROR(IF(INDEX('Factors'!$M$9:$M$108,MATCH(J285,'Factors'!$C$9:$C$108,0))="","",INDEX('Factors'!$M$9:$M$108,MATCH(J285,'Factors'!$C$9:$C$108,0))),""))</x:f>
      </x:c>
      <x:c r="U285" s="21" t="str">
        <x:f>IF(V285="Ready",H285*O285/1000,"")</x:f>
      </x:c>
      <x:c r="V285" s="9" t="str">
        <x:f>IF(C285="","",IF(OR(COUNTIFS($C$9:$C$308,C285)&lt;&gt;1,COUNTIFS($D$9:$D$308,D285,$E$9:$E$308,E285,$F$9:$F$308,F285,$G$9:$G$308,G285,$K$9:$K$308,K285)&lt;&gt;1),"Duplicate annual activity",IF(COUNTIFS('Inventory'!$C$9:$C$108,D285)&lt;&gt;1,"Entity required",IF(OR(E285="",L285="",NOT(ISNUMBER(H285)),H285&lt;0,NOT(ISNUMBER(K285)),NOT(ISNUMBER(N285))),"Missing activity input",IF(AND(E285&lt;&gt;D285,OR(COUNTIFS('Sites'!$C$9:$C$108,E285)&lt;&gt;1,IFERROR(IF(INDEX('Sites'!$D$9:$D$108,MATCH(E285,'Sites'!$C$9:$C$108,0))="","",INDEX('Sites'!$D$9:$D$108,MATCH(E285,'Sites'!$C$9:$C$108,0))),"")&lt;&gt;IFERROR(IF(INDEX('Inventory'!$D$9:$D$108,MATCH(D285,'Inventory'!$C$9:$C$108,0))="","",INDEX('Inventory'!$D$9:$D$108,MATCH(D285,'Inventory'!$C$9:$C$108,0))),""),IFERROR(IF(INDEX('Sites'!$E$9:$E$108,MATCH(E285,'Sites'!$C$9:$C$108,0))="","",INDEX('Sites'!$E$9:$E$108,MATCH(E285,'Sites'!$C$9:$C$108,0))),"")&lt;&gt;W285)),"Site / entity mismatch",IF(N285&lt;'Settings'!$F$8,"Expired",IF(X285&lt;&gt;"Ready","Factor required",IF(OR(G285&lt;&gt;IFERROR(IF(INDEX('Factors'!$D$9:$D$108,MATCH(J285,'Factors'!$C$9:$C$108,0))="","",INDEX('Factors'!$D$9:$D$108,MATCH(J285,'Factors'!$C$9:$C$108,0))),""),I285&lt;&gt;P285,F285&lt;&gt;Q285,K285&lt;&gt;S285,AND(R285&lt;&gt;"Global",R285&lt;&gt;W285),K285&lt;&gt;YEAR(IFERROR(IF(INDEX('Inventory'!$H$9:$H$108,MATCH(D285,'Inventory'!$C$9:$C$108,0))="","",INDEX('Inventory'!$H$9:$H$108,MATCH(D285,'Inventory'!$C$9:$C$108,0))),""))),"Factor / boundary mismatch",IF(AND(F285="S2",IFERROR(IF(INDEX('Factors'!$I$9:$I$108,MATCH(J285,'Factors'!$C$9:$C$108,0))="","",INDEX('Factors'!$I$9:$I$108,MATCH(J285,'Factors'!$C$9:$C$108,0))),"")&lt;&gt;"Location-based"),"Use location factor",IF(M285&lt;&gt;"Actual","Estimation method review","Ready"))))))))))</x:f>
      </x:c>
      <x:c r="W285" s="9" t="str">
        <x:f>IF(C285="","",IFERROR(IF(INDEX('Inventory'!$G$9:$G$108,MATCH(D285,'Inventory'!$C$9:$C$108,0))="","",INDEX('Inventory'!$G$9:$G$108,MATCH(D285,'Inventory'!$C$9:$C$108,0))),""))</x:f>
      </x:c>
      <x:c r="X285" s="9" t="str">
        <x:f>IF(C285="","",IFERROR(IF(INDEX('Factors'!$P$9:$P$108,MATCH(J285,'Factors'!$C$9:$C$108,0))="","",INDEX('Factors'!$P$9:$P$108,MATCH(J285,'Factors'!$C$9:$C$108,0))),""))</x:f>
      </x:c>
    </x:row>
    <x:row r="286" ht="26" customHeight="1">
      <x:c r="A286" s="1"/>
      <x:c r="B286" s="1"/>
      <x:c r="C286" s="8"/>
      <x:c r="D286" s="8"/>
      <x:c r="E286" s="8"/>
      <x:c r="F286" s="8"/>
      <x:c r="G286" s="8"/>
      <x:c r="H286" s="16"/>
      <x:c r="I286" s="8"/>
      <x:c r="J286" s="8"/>
      <x:c r="K286" s="22"/>
      <x:c r="L286" s="8"/>
      <x:c r="M286" s="8"/>
      <x:c r="N286" s="40"/>
      <x:c r="O286" s="41" t="str">
        <x:f>IF(C286="","",IFERROR(IF(INDEX('Factors'!$G$9:$G$108,MATCH(J286,'Factors'!$C$9:$C$108,0))="","",INDEX('Factors'!$G$9:$G$108,MATCH(J286,'Factors'!$C$9:$C$108,0))),""))</x:f>
      </x:c>
      <x:c r="P286" s="9" t="str">
        <x:f>IF(C286="","",IFERROR(IF(INDEX('Factors'!$F$9:$F$108,MATCH(J286,'Factors'!$C$9:$C$108,0))="","",INDEX('Factors'!$F$9:$F$108,MATCH(J286,'Factors'!$C$9:$C$108,0))),""))</x:f>
      </x:c>
      <x:c r="Q286" s="9" t="str">
        <x:f>IF(C286="","",IFERROR(IF(INDEX('Factors'!$H$9:$H$108,MATCH(J286,'Factors'!$C$9:$C$108,0))="","",INDEX('Factors'!$H$9:$H$108,MATCH(J286,'Factors'!$C$9:$C$108,0))),""))</x:f>
      </x:c>
      <x:c r="R286" s="9" t="str">
        <x:f>IF(C286="","",IFERROR(IF(INDEX('Factors'!$E$9:$E$108,MATCH(J286,'Factors'!$C$9:$C$108,0))="","",INDEX('Factors'!$E$9:$E$108,MATCH(J286,'Factors'!$C$9:$C$108,0))),""))</x:f>
      </x:c>
      <x:c r="S286" s="42" t="str">
        <x:f>IF(C286="","",IFERROR(IF(INDEX('Factors'!$J$9:$J$108,MATCH(J286,'Factors'!$C$9:$C$108,0))="","",INDEX('Factors'!$J$9:$J$108,MATCH(J286,'Factors'!$C$9:$C$108,0))),""))</x:f>
      </x:c>
      <x:c r="T286" s="9" t="str">
        <x:f>IF(C286="","",IFERROR(IF(INDEX('Factors'!$L$9:$L$108,MATCH(J286,'Factors'!$C$9:$C$108,0))="","",INDEX('Factors'!$L$9:$L$108,MATCH(J286,'Factors'!$C$9:$C$108,0))),"")&amp;" / "&amp;IFERROR(IF(INDEX('Factors'!$M$9:$M$108,MATCH(J286,'Factors'!$C$9:$C$108,0))="","",INDEX('Factors'!$M$9:$M$108,MATCH(J286,'Factors'!$C$9:$C$108,0))),""))</x:f>
      </x:c>
      <x:c r="U286" s="21" t="str">
        <x:f>IF(V286="Ready",H286*O286/1000,"")</x:f>
      </x:c>
      <x:c r="V286" s="9" t="str">
        <x:f>IF(C286="","",IF(OR(COUNTIFS($C$9:$C$308,C286)&lt;&gt;1,COUNTIFS($D$9:$D$308,D286,$E$9:$E$308,E286,$F$9:$F$308,F286,$G$9:$G$308,G286,$K$9:$K$308,K286)&lt;&gt;1),"Duplicate annual activity",IF(COUNTIFS('Inventory'!$C$9:$C$108,D286)&lt;&gt;1,"Entity required",IF(OR(E286="",L286="",NOT(ISNUMBER(H286)),H286&lt;0,NOT(ISNUMBER(K286)),NOT(ISNUMBER(N286))),"Missing activity input",IF(AND(E286&lt;&gt;D286,OR(COUNTIFS('Sites'!$C$9:$C$108,E286)&lt;&gt;1,IFERROR(IF(INDEX('Sites'!$D$9:$D$108,MATCH(E286,'Sites'!$C$9:$C$108,0))="","",INDEX('Sites'!$D$9:$D$108,MATCH(E286,'Sites'!$C$9:$C$108,0))),"")&lt;&gt;IFERROR(IF(INDEX('Inventory'!$D$9:$D$108,MATCH(D286,'Inventory'!$C$9:$C$108,0))="","",INDEX('Inventory'!$D$9:$D$108,MATCH(D286,'Inventory'!$C$9:$C$108,0))),""),IFERROR(IF(INDEX('Sites'!$E$9:$E$108,MATCH(E286,'Sites'!$C$9:$C$108,0))="","",INDEX('Sites'!$E$9:$E$108,MATCH(E286,'Sites'!$C$9:$C$108,0))),"")&lt;&gt;W286)),"Site / entity mismatch",IF(N286&lt;'Settings'!$F$8,"Expired",IF(X286&lt;&gt;"Ready","Factor required",IF(OR(G286&lt;&gt;IFERROR(IF(INDEX('Factors'!$D$9:$D$108,MATCH(J286,'Factors'!$C$9:$C$108,0))="","",INDEX('Factors'!$D$9:$D$108,MATCH(J286,'Factors'!$C$9:$C$108,0))),""),I286&lt;&gt;P286,F286&lt;&gt;Q286,K286&lt;&gt;S286,AND(R286&lt;&gt;"Global",R286&lt;&gt;W286),K286&lt;&gt;YEAR(IFERROR(IF(INDEX('Inventory'!$H$9:$H$108,MATCH(D286,'Inventory'!$C$9:$C$108,0))="","",INDEX('Inventory'!$H$9:$H$108,MATCH(D286,'Inventory'!$C$9:$C$108,0))),""))),"Factor / boundary mismatch",IF(AND(F286="S2",IFERROR(IF(INDEX('Factors'!$I$9:$I$108,MATCH(J286,'Factors'!$C$9:$C$108,0))="","",INDEX('Factors'!$I$9:$I$108,MATCH(J286,'Factors'!$C$9:$C$108,0))),"")&lt;&gt;"Location-based"),"Use location factor",IF(M286&lt;&gt;"Actual","Estimation method review","Ready"))))))))))</x:f>
      </x:c>
      <x:c r="W286" s="9" t="str">
        <x:f>IF(C286="","",IFERROR(IF(INDEX('Inventory'!$G$9:$G$108,MATCH(D286,'Inventory'!$C$9:$C$108,0))="","",INDEX('Inventory'!$G$9:$G$108,MATCH(D286,'Inventory'!$C$9:$C$108,0))),""))</x:f>
      </x:c>
      <x:c r="X286" s="9" t="str">
        <x:f>IF(C286="","",IFERROR(IF(INDEX('Factors'!$P$9:$P$108,MATCH(J286,'Factors'!$C$9:$C$108,0))="","",INDEX('Factors'!$P$9:$P$108,MATCH(J286,'Factors'!$C$9:$C$108,0))),""))</x:f>
      </x:c>
    </x:row>
    <x:row r="287" ht="26" customHeight="1">
      <x:c r="A287" s="1"/>
      <x:c r="B287" s="1"/>
      <x:c r="C287" s="8"/>
      <x:c r="D287" s="8"/>
      <x:c r="E287" s="8"/>
      <x:c r="F287" s="8"/>
      <x:c r="G287" s="8"/>
      <x:c r="H287" s="16"/>
      <x:c r="I287" s="8"/>
      <x:c r="J287" s="8"/>
      <x:c r="K287" s="22"/>
      <x:c r="L287" s="8"/>
      <x:c r="M287" s="8"/>
      <x:c r="N287" s="40"/>
      <x:c r="O287" s="41" t="str">
        <x:f>IF(C287="","",IFERROR(IF(INDEX('Factors'!$G$9:$G$108,MATCH(J287,'Factors'!$C$9:$C$108,0))="","",INDEX('Factors'!$G$9:$G$108,MATCH(J287,'Factors'!$C$9:$C$108,0))),""))</x:f>
      </x:c>
      <x:c r="P287" s="9" t="str">
        <x:f>IF(C287="","",IFERROR(IF(INDEX('Factors'!$F$9:$F$108,MATCH(J287,'Factors'!$C$9:$C$108,0))="","",INDEX('Factors'!$F$9:$F$108,MATCH(J287,'Factors'!$C$9:$C$108,0))),""))</x:f>
      </x:c>
      <x:c r="Q287" s="9" t="str">
        <x:f>IF(C287="","",IFERROR(IF(INDEX('Factors'!$H$9:$H$108,MATCH(J287,'Factors'!$C$9:$C$108,0))="","",INDEX('Factors'!$H$9:$H$108,MATCH(J287,'Factors'!$C$9:$C$108,0))),""))</x:f>
      </x:c>
      <x:c r="R287" s="9" t="str">
        <x:f>IF(C287="","",IFERROR(IF(INDEX('Factors'!$E$9:$E$108,MATCH(J287,'Factors'!$C$9:$C$108,0))="","",INDEX('Factors'!$E$9:$E$108,MATCH(J287,'Factors'!$C$9:$C$108,0))),""))</x:f>
      </x:c>
      <x:c r="S287" s="42" t="str">
        <x:f>IF(C287="","",IFERROR(IF(INDEX('Factors'!$J$9:$J$108,MATCH(J287,'Factors'!$C$9:$C$108,0))="","",INDEX('Factors'!$J$9:$J$108,MATCH(J287,'Factors'!$C$9:$C$108,0))),""))</x:f>
      </x:c>
      <x:c r="T287" s="9" t="str">
        <x:f>IF(C287="","",IFERROR(IF(INDEX('Factors'!$L$9:$L$108,MATCH(J287,'Factors'!$C$9:$C$108,0))="","",INDEX('Factors'!$L$9:$L$108,MATCH(J287,'Factors'!$C$9:$C$108,0))),"")&amp;" / "&amp;IFERROR(IF(INDEX('Factors'!$M$9:$M$108,MATCH(J287,'Factors'!$C$9:$C$108,0))="","",INDEX('Factors'!$M$9:$M$108,MATCH(J287,'Factors'!$C$9:$C$108,0))),""))</x:f>
      </x:c>
      <x:c r="U287" s="21" t="str">
        <x:f>IF(V287="Ready",H287*O287/1000,"")</x:f>
      </x:c>
      <x:c r="V287" s="9" t="str">
        <x:f>IF(C287="","",IF(OR(COUNTIFS($C$9:$C$308,C287)&lt;&gt;1,COUNTIFS($D$9:$D$308,D287,$E$9:$E$308,E287,$F$9:$F$308,F287,$G$9:$G$308,G287,$K$9:$K$308,K287)&lt;&gt;1),"Duplicate annual activity",IF(COUNTIFS('Inventory'!$C$9:$C$108,D287)&lt;&gt;1,"Entity required",IF(OR(E287="",L287="",NOT(ISNUMBER(H287)),H287&lt;0,NOT(ISNUMBER(K287)),NOT(ISNUMBER(N287))),"Missing activity input",IF(AND(E287&lt;&gt;D287,OR(COUNTIFS('Sites'!$C$9:$C$108,E287)&lt;&gt;1,IFERROR(IF(INDEX('Sites'!$D$9:$D$108,MATCH(E287,'Sites'!$C$9:$C$108,0))="","",INDEX('Sites'!$D$9:$D$108,MATCH(E287,'Sites'!$C$9:$C$108,0))),"")&lt;&gt;IFERROR(IF(INDEX('Inventory'!$D$9:$D$108,MATCH(D287,'Inventory'!$C$9:$C$108,0))="","",INDEX('Inventory'!$D$9:$D$108,MATCH(D287,'Inventory'!$C$9:$C$108,0))),""),IFERROR(IF(INDEX('Sites'!$E$9:$E$108,MATCH(E287,'Sites'!$C$9:$C$108,0))="","",INDEX('Sites'!$E$9:$E$108,MATCH(E287,'Sites'!$C$9:$C$108,0))),"")&lt;&gt;W287)),"Site / entity mismatch",IF(N287&lt;'Settings'!$F$8,"Expired",IF(X287&lt;&gt;"Ready","Factor required",IF(OR(G287&lt;&gt;IFERROR(IF(INDEX('Factors'!$D$9:$D$108,MATCH(J287,'Factors'!$C$9:$C$108,0))="","",INDEX('Factors'!$D$9:$D$108,MATCH(J287,'Factors'!$C$9:$C$108,0))),""),I287&lt;&gt;P287,F287&lt;&gt;Q287,K287&lt;&gt;S287,AND(R287&lt;&gt;"Global",R287&lt;&gt;W287),K287&lt;&gt;YEAR(IFERROR(IF(INDEX('Inventory'!$H$9:$H$108,MATCH(D287,'Inventory'!$C$9:$C$108,0))="","",INDEX('Inventory'!$H$9:$H$108,MATCH(D287,'Inventory'!$C$9:$C$108,0))),""))),"Factor / boundary mismatch",IF(AND(F287="S2",IFERROR(IF(INDEX('Factors'!$I$9:$I$108,MATCH(J287,'Factors'!$C$9:$C$108,0))="","",INDEX('Factors'!$I$9:$I$108,MATCH(J287,'Factors'!$C$9:$C$108,0))),"")&lt;&gt;"Location-based"),"Use location factor",IF(M287&lt;&gt;"Actual","Estimation method review","Ready"))))))))))</x:f>
      </x:c>
      <x:c r="W287" s="9" t="str">
        <x:f>IF(C287="","",IFERROR(IF(INDEX('Inventory'!$G$9:$G$108,MATCH(D287,'Inventory'!$C$9:$C$108,0))="","",INDEX('Inventory'!$G$9:$G$108,MATCH(D287,'Inventory'!$C$9:$C$108,0))),""))</x:f>
      </x:c>
      <x:c r="X287" s="9" t="str">
        <x:f>IF(C287="","",IFERROR(IF(INDEX('Factors'!$P$9:$P$108,MATCH(J287,'Factors'!$C$9:$C$108,0))="","",INDEX('Factors'!$P$9:$P$108,MATCH(J287,'Factors'!$C$9:$C$108,0))),""))</x:f>
      </x:c>
    </x:row>
    <x:row r="288" ht="26" customHeight="1">
      <x:c r="A288" s="1"/>
      <x:c r="B288" s="1"/>
      <x:c r="C288" s="8"/>
      <x:c r="D288" s="8"/>
      <x:c r="E288" s="8"/>
      <x:c r="F288" s="8"/>
      <x:c r="G288" s="8"/>
      <x:c r="H288" s="16"/>
      <x:c r="I288" s="8"/>
      <x:c r="J288" s="8"/>
      <x:c r="K288" s="22"/>
      <x:c r="L288" s="8"/>
      <x:c r="M288" s="8"/>
      <x:c r="N288" s="40"/>
      <x:c r="O288" s="41" t="str">
        <x:f>IF(C288="","",IFERROR(IF(INDEX('Factors'!$G$9:$G$108,MATCH(J288,'Factors'!$C$9:$C$108,0))="","",INDEX('Factors'!$G$9:$G$108,MATCH(J288,'Factors'!$C$9:$C$108,0))),""))</x:f>
      </x:c>
      <x:c r="P288" s="9" t="str">
        <x:f>IF(C288="","",IFERROR(IF(INDEX('Factors'!$F$9:$F$108,MATCH(J288,'Factors'!$C$9:$C$108,0))="","",INDEX('Factors'!$F$9:$F$108,MATCH(J288,'Factors'!$C$9:$C$108,0))),""))</x:f>
      </x:c>
      <x:c r="Q288" s="9" t="str">
        <x:f>IF(C288="","",IFERROR(IF(INDEX('Factors'!$H$9:$H$108,MATCH(J288,'Factors'!$C$9:$C$108,0))="","",INDEX('Factors'!$H$9:$H$108,MATCH(J288,'Factors'!$C$9:$C$108,0))),""))</x:f>
      </x:c>
      <x:c r="R288" s="9" t="str">
        <x:f>IF(C288="","",IFERROR(IF(INDEX('Factors'!$E$9:$E$108,MATCH(J288,'Factors'!$C$9:$C$108,0))="","",INDEX('Factors'!$E$9:$E$108,MATCH(J288,'Factors'!$C$9:$C$108,0))),""))</x:f>
      </x:c>
      <x:c r="S288" s="42" t="str">
        <x:f>IF(C288="","",IFERROR(IF(INDEX('Factors'!$J$9:$J$108,MATCH(J288,'Factors'!$C$9:$C$108,0))="","",INDEX('Factors'!$J$9:$J$108,MATCH(J288,'Factors'!$C$9:$C$108,0))),""))</x:f>
      </x:c>
      <x:c r="T288" s="9" t="str">
        <x:f>IF(C288="","",IFERROR(IF(INDEX('Factors'!$L$9:$L$108,MATCH(J288,'Factors'!$C$9:$C$108,0))="","",INDEX('Factors'!$L$9:$L$108,MATCH(J288,'Factors'!$C$9:$C$108,0))),"")&amp;" / "&amp;IFERROR(IF(INDEX('Factors'!$M$9:$M$108,MATCH(J288,'Factors'!$C$9:$C$108,0))="","",INDEX('Factors'!$M$9:$M$108,MATCH(J288,'Factors'!$C$9:$C$108,0))),""))</x:f>
      </x:c>
      <x:c r="U288" s="21" t="str">
        <x:f>IF(V288="Ready",H288*O288/1000,"")</x:f>
      </x:c>
      <x:c r="V288" s="9" t="str">
        <x:f>IF(C288="","",IF(OR(COUNTIFS($C$9:$C$308,C288)&lt;&gt;1,COUNTIFS($D$9:$D$308,D288,$E$9:$E$308,E288,$F$9:$F$308,F288,$G$9:$G$308,G288,$K$9:$K$308,K288)&lt;&gt;1),"Duplicate annual activity",IF(COUNTIFS('Inventory'!$C$9:$C$108,D288)&lt;&gt;1,"Entity required",IF(OR(E288="",L288="",NOT(ISNUMBER(H288)),H288&lt;0,NOT(ISNUMBER(K288)),NOT(ISNUMBER(N288))),"Missing activity input",IF(AND(E288&lt;&gt;D288,OR(COUNTIFS('Sites'!$C$9:$C$108,E288)&lt;&gt;1,IFERROR(IF(INDEX('Sites'!$D$9:$D$108,MATCH(E288,'Sites'!$C$9:$C$108,0))="","",INDEX('Sites'!$D$9:$D$108,MATCH(E288,'Sites'!$C$9:$C$108,0))),"")&lt;&gt;IFERROR(IF(INDEX('Inventory'!$D$9:$D$108,MATCH(D288,'Inventory'!$C$9:$C$108,0))="","",INDEX('Inventory'!$D$9:$D$108,MATCH(D288,'Inventory'!$C$9:$C$108,0))),""),IFERROR(IF(INDEX('Sites'!$E$9:$E$108,MATCH(E288,'Sites'!$C$9:$C$108,0))="","",INDEX('Sites'!$E$9:$E$108,MATCH(E288,'Sites'!$C$9:$C$108,0))),"")&lt;&gt;W288)),"Site / entity mismatch",IF(N288&lt;'Settings'!$F$8,"Expired",IF(X288&lt;&gt;"Ready","Factor required",IF(OR(G288&lt;&gt;IFERROR(IF(INDEX('Factors'!$D$9:$D$108,MATCH(J288,'Factors'!$C$9:$C$108,0))="","",INDEX('Factors'!$D$9:$D$108,MATCH(J288,'Factors'!$C$9:$C$108,0))),""),I288&lt;&gt;P288,F288&lt;&gt;Q288,K288&lt;&gt;S288,AND(R288&lt;&gt;"Global",R288&lt;&gt;W288),K288&lt;&gt;YEAR(IFERROR(IF(INDEX('Inventory'!$H$9:$H$108,MATCH(D288,'Inventory'!$C$9:$C$108,0))="","",INDEX('Inventory'!$H$9:$H$108,MATCH(D288,'Inventory'!$C$9:$C$108,0))),""))),"Factor / boundary mismatch",IF(AND(F288="S2",IFERROR(IF(INDEX('Factors'!$I$9:$I$108,MATCH(J288,'Factors'!$C$9:$C$108,0))="","",INDEX('Factors'!$I$9:$I$108,MATCH(J288,'Factors'!$C$9:$C$108,0))),"")&lt;&gt;"Location-based"),"Use location factor",IF(M288&lt;&gt;"Actual","Estimation method review","Ready"))))))))))</x:f>
      </x:c>
      <x:c r="W288" s="9" t="str">
        <x:f>IF(C288="","",IFERROR(IF(INDEX('Inventory'!$G$9:$G$108,MATCH(D288,'Inventory'!$C$9:$C$108,0))="","",INDEX('Inventory'!$G$9:$G$108,MATCH(D288,'Inventory'!$C$9:$C$108,0))),""))</x:f>
      </x:c>
      <x:c r="X288" s="9" t="str">
        <x:f>IF(C288="","",IFERROR(IF(INDEX('Factors'!$P$9:$P$108,MATCH(J288,'Factors'!$C$9:$C$108,0))="","",INDEX('Factors'!$P$9:$P$108,MATCH(J288,'Factors'!$C$9:$C$108,0))),""))</x:f>
      </x:c>
    </x:row>
    <x:row r="289" ht="26" customHeight="1">
      <x:c r="A289" s="1"/>
      <x:c r="B289" s="1"/>
      <x:c r="C289" s="8"/>
      <x:c r="D289" s="8"/>
      <x:c r="E289" s="8"/>
      <x:c r="F289" s="8"/>
      <x:c r="G289" s="8"/>
      <x:c r="H289" s="16"/>
      <x:c r="I289" s="8"/>
      <x:c r="J289" s="8"/>
      <x:c r="K289" s="22"/>
      <x:c r="L289" s="8"/>
      <x:c r="M289" s="8"/>
      <x:c r="N289" s="40"/>
      <x:c r="O289" s="41" t="str">
        <x:f>IF(C289="","",IFERROR(IF(INDEX('Factors'!$G$9:$G$108,MATCH(J289,'Factors'!$C$9:$C$108,0))="","",INDEX('Factors'!$G$9:$G$108,MATCH(J289,'Factors'!$C$9:$C$108,0))),""))</x:f>
      </x:c>
      <x:c r="P289" s="9" t="str">
        <x:f>IF(C289="","",IFERROR(IF(INDEX('Factors'!$F$9:$F$108,MATCH(J289,'Factors'!$C$9:$C$108,0))="","",INDEX('Factors'!$F$9:$F$108,MATCH(J289,'Factors'!$C$9:$C$108,0))),""))</x:f>
      </x:c>
      <x:c r="Q289" s="9" t="str">
        <x:f>IF(C289="","",IFERROR(IF(INDEX('Factors'!$H$9:$H$108,MATCH(J289,'Factors'!$C$9:$C$108,0))="","",INDEX('Factors'!$H$9:$H$108,MATCH(J289,'Factors'!$C$9:$C$108,0))),""))</x:f>
      </x:c>
      <x:c r="R289" s="9" t="str">
        <x:f>IF(C289="","",IFERROR(IF(INDEX('Factors'!$E$9:$E$108,MATCH(J289,'Factors'!$C$9:$C$108,0))="","",INDEX('Factors'!$E$9:$E$108,MATCH(J289,'Factors'!$C$9:$C$108,0))),""))</x:f>
      </x:c>
      <x:c r="S289" s="42" t="str">
        <x:f>IF(C289="","",IFERROR(IF(INDEX('Factors'!$J$9:$J$108,MATCH(J289,'Factors'!$C$9:$C$108,0))="","",INDEX('Factors'!$J$9:$J$108,MATCH(J289,'Factors'!$C$9:$C$108,0))),""))</x:f>
      </x:c>
      <x:c r="T289" s="9" t="str">
        <x:f>IF(C289="","",IFERROR(IF(INDEX('Factors'!$L$9:$L$108,MATCH(J289,'Factors'!$C$9:$C$108,0))="","",INDEX('Factors'!$L$9:$L$108,MATCH(J289,'Factors'!$C$9:$C$108,0))),"")&amp;" / "&amp;IFERROR(IF(INDEX('Factors'!$M$9:$M$108,MATCH(J289,'Factors'!$C$9:$C$108,0))="","",INDEX('Factors'!$M$9:$M$108,MATCH(J289,'Factors'!$C$9:$C$108,0))),""))</x:f>
      </x:c>
      <x:c r="U289" s="21" t="str">
        <x:f>IF(V289="Ready",H289*O289/1000,"")</x:f>
      </x:c>
      <x:c r="V289" s="9" t="str">
        <x:f>IF(C289="","",IF(OR(COUNTIFS($C$9:$C$308,C289)&lt;&gt;1,COUNTIFS($D$9:$D$308,D289,$E$9:$E$308,E289,$F$9:$F$308,F289,$G$9:$G$308,G289,$K$9:$K$308,K289)&lt;&gt;1),"Duplicate annual activity",IF(COUNTIFS('Inventory'!$C$9:$C$108,D289)&lt;&gt;1,"Entity required",IF(OR(E289="",L289="",NOT(ISNUMBER(H289)),H289&lt;0,NOT(ISNUMBER(K289)),NOT(ISNUMBER(N289))),"Missing activity input",IF(AND(E289&lt;&gt;D289,OR(COUNTIFS('Sites'!$C$9:$C$108,E289)&lt;&gt;1,IFERROR(IF(INDEX('Sites'!$D$9:$D$108,MATCH(E289,'Sites'!$C$9:$C$108,0))="","",INDEX('Sites'!$D$9:$D$108,MATCH(E289,'Sites'!$C$9:$C$108,0))),"")&lt;&gt;IFERROR(IF(INDEX('Inventory'!$D$9:$D$108,MATCH(D289,'Inventory'!$C$9:$C$108,0))="","",INDEX('Inventory'!$D$9:$D$108,MATCH(D289,'Inventory'!$C$9:$C$108,0))),""),IFERROR(IF(INDEX('Sites'!$E$9:$E$108,MATCH(E289,'Sites'!$C$9:$C$108,0))="","",INDEX('Sites'!$E$9:$E$108,MATCH(E289,'Sites'!$C$9:$C$108,0))),"")&lt;&gt;W289)),"Site / entity mismatch",IF(N289&lt;'Settings'!$F$8,"Expired",IF(X289&lt;&gt;"Ready","Factor required",IF(OR(G289&lt;&gt;IFERROR(IF(INDEX('Factors'!$D$9:$D$108,MATCH(J289,'Factors'!$C$9:$C$108,0))="","",INDEX('Factors'!$D$9:$D$108,MATCH(J289,'Factors'!$C$9:$C$108,0))),""),I289&lt;&gt;P289,F289&lt;&gt;Q289,K289&lt;&gt;S289,AND(R289&lt;&gt;"Global",R289&lt;&gt;W289),K289&lt;&gt;YEAR(IFERROR(IF(INDEX('Inventory'!$H$9:$H$108,MATCH(D289,'Inventory'!$C$9:$C$108,0))="","",INDEX('Inventory'!$H$9:$H$108,MATCH(D289,'Inventory'!$C$9:$C$108,0))),""))),"Factor / boundary mismatch",IF(AND(F289="S2",IFERROR(IF(INDEX('Factors'!$I$9:$I$108,MATCH(J289,'Factors'!$C$9:$C$108,0))="","",INDEX('Factors'!$I$9:$I$108,MATCH(J289,'Factors'!$C$9:$C$108,0))),"")&lt;&gt;"Location-based"),"Use location factor",IF(M289&lt;&gt;"Actual","Estimation method review","Ready"))))))))))</x:f>
      </x:c>
      <x:c r="W289" s="9" t="str">
        <x:f>IF(C289="","",IFERROR(IF(INDEX('Inventory'!$G$9:$G$108,MATCH(D289,'Inventory'!$C$9:$C$108,0))="","",INDEX('Inventory'!$G$9:$G$108,MATCH(D289,'Inventory'!$C$9:$C$108,0))),""))</x:f>
      </x:c>
      <x:c r="X289" s="9" t="str">
        <x:f>IF(C289="","",IFERROR(IF(INDEX('Factors'!$P$9:$P$108,MATCH(J289,'Factors'!$C$9:$C$108,0))="","",INDEX('Factors'!$P$9:$P$108,MATCH(J289,'Factors'!$C$9:$C$108,0))),""))</x:f>
      </x:c>
    </x:row>
    <x:row r="290" ht="26" customHeight="1">
      <x:c r="A290" s="1"/>
      <x:c r="B290" s="1"/>
      <x:c r="C290" s="8"/>
      <x:c r="D290" s="8"/>
      <x:c r="E290" s="8"/>
      <x:c r="F290" s="8"/>
      <x:c r="G290" s="8"/>
      <x:c r="H290" s="16"/>
      <x:c r="I290" s="8"/>
      <x:c r="J290" s="8"/>
      <x:c r="K290" s="22"/>
      <x:c r="L290" s="8"/>
      <x:c r="M290" s="8"/>
      <x:c r="N290" s="40"/>
      <x:c r="O290" s="41" t="str">
        <x:f>IF(C290="","",IFERROR(IF(INDEX('Factors'!$G$9:$G$108,MATCH(J290,'Factors'!$C$9:$C$108,0))="","",INDEX('Factors'!$G$9:$G$108,MATCH(J290,'Factors'!$C$9:$C$108,0))),""))</x:f>
      </x:c>
      <x:c r="P290" s="9" t="str">
        <x:f>IF(C290="","",IFERROR(IF(INDEX('Factors'!$F$9:$F$108,MATCH(J290,'Factors'!$C$9:$C$108,0))="","",INDEX('Factors'!$F$9:$F$108,MATCH(J290,'Factors'!$C$9:$C$108,0))),""))</x:f>
      </x:c>
      <x:c r="Q290" s="9" t="str">
        <x:f>IF(C290="","",IFERROR(IF(INDEX('Factors'!$H$9:$H$108,MATCH(J290,'Factors'!$C$9:$C$108,0))="","",INDEX('Factors'!$H$9:$H$108,MATCH(J290,'Factors'!$C$9:$C$108,0))),""))</x:f>
      </x:c>
      <x:c r="R290" s="9" t="str">
        <x:f>IF(C290="","",IFERROR(IF(INDEX('Factors'!$E$9:$E$108,MATCH(J290,'Factors'!$C$9:$C$108,0))="","",INDEX('Factors'!$E$9:$E$108,MATCH(J290,'Factors'!$C$9:$C$108,0))),""))</x:f>
      </x:c>
      <x:c r="S290" s="42" t="str">
        <x:f>IF(C290="","",IFERROR(IF(INDEX('Factors'!$J$9:$J$108,MATCH(J290,'Factors'!$C$9:$C$108,0))="","",INDEX('Factors'!$J$9:$J$108,MATCH(J290,'Factors'!$C$9:$C$108,0))),""))</x:f>
      </x:c>
      <x:c r="T290" s="9" t="str">
        <x:f>IF(C290="","",IFERROR(IF(INDEX('Factors'!$L$9:$L$108,MATCH(J290,'Factors'!$C$9:$C$108,0))="","",INDEX('Factors'!$L$9:$L$108,MATCH(J290,'Factors'!$C$9:$C$108,0))),"")&amp;" / "&amp;IFERROR(IF(INDEX('Factors'!$M$9:$M$108,MATCH(J290,'Factors'!$C$9:$C$108,0))="","",INDEX('Factors'!$M$9:$M$108,MATCH(J290,'Factors'!$C$9:$C$108,0))),""))</x:f>
      </x:c>
      <x:c r="U290" s="21" t="str">
        <x:f>IF(V290="Ready",H290*O290/1000,"")</x:f>
      </x:c>
      <x:c r="V290" s="9" t="str">
        <x:f>IF(C290="","",IF(OR(COUNTIFS($C$9:$C$308,C290)&lt;&gt;1,COUNTIFS($D$9:$D$308,D290,$E$9:$E$308,E290,$F$9:$F$308,F290,$G$9:$G$308,G290,$K$9:$K$308,K290)&lt;&gt;1),"Duplicate annual activity",IF(COUNTIFS('Inventory'!$C$9:$C$108,D290)&lt;&gt;1,"Entity required",IF(OR(E290="",L290="",NOT(ISNUMBER(H290)),H290&lt;0,NOT(ISNUMBER(K290)),NOT(ISNUMBER(N290))),"Missing activity input",IF(AND(E290&lt;&gt;D290,OR(COUNTIFS('Sites'!$C$9:$C$108,E290)&lt;&gt;1,IFERROR(IF(INDEX('Sites'!$D$9:$D$108,MATCH(E290,'Sites'!$C$9:$C$108,0))="","",INDEX('Sites'!$D$9:$D$108,MATCH(E290,'Sites'!$C$9:$C$108,0))),"")&lt;&gt;IFERROR(IF(INDEX('Inventory'!$D$9:$D$108,MATCH(D290,'Inventory'!$C$9:$C$108,0))="","",INDEX('Inventory'!$D$9:$D$108,MATCH(D290,'Inventory'!$C$9:$C$108,0))),""),IFERROR(IF(INDEX('Sites'!$E$9:$E$108,MATCH(E290,'Sites'!$C$9:$C$108,0))="","",INDEX('Sites'!$E$9:$E$108,MATCH(E290,'Sites'!$C$9:$C$108,0))),"")&lt;&gt;W290)),"Site / entity mismatch",IF(N290&lt;'Settings'!$F$8,"Expired",IF(X290&lt;&gt;"Ready","Factor required",IF(OR(G290&lt;&gt;IFERROR(IF(INDEX('Factors'!$D$9:$D$108,MATCH(J290,'Factors'!$C$9:$C$108,0))="","",INDEX('Factors'!$D$9:$D$108,MATCH(J290,'Factors'!$C$9:$C$108,0))),""),I290&lt;&gt;P290,F290&lt;&gt;Q290,K290&lt;&gt;S290,AND(R290&lt;&gt;"Global",R290&lt;&gt;W290),K290&lt;&gt;YEAR(IFERROR(IF(INDEX('Inventory'!$H$9:$H$108,MATCH(D290,'Inventory'!$C$9:$C$108,0))="","",INDEX('Inventory'!$H$9:$H$108,MATCH(D290,'Inventory'!$C$9:$C$108,0))),""))),"Factor / boundary mismatch",IF(AND(F290="S2",IFERROR(IF(INDEX('Factors'!$I$9:$I$108,MATCH(J290,'Factors'!$C$9:$C$108,0))="","",INDEX('Factors'!$I$9:$I$108,MATCH(J290,'Factors'!$C$9:$C$108,0))),"")&lt;&gt;"Location-based"),"Use location factor",IF(M290&lt;&gt;"Actual","Estimation method review","Ready"))))))))))</x:f>
      </x:c>
      <x:c r="W290" s="9" t="str">
        <x:f>IF(C290="","",IFERROR(IF(INDEX('Inventory'!$G$9:$G$108,MATCH(D290,'Inventory'!$C$9:$C$108,0))="","",INDEX('Inventory'!$G$9:$G$108,MATCH(D290,'Inventory'!$C$9:$C$108,0))),""))</x:f>
      </x:c>
      <x:c r="X290" s="9" t="str">
        <x:f>IF(C290="","",IFERROR(IF(INDEX('Factors'!$P$9:$P$108,MATCH(J290,'Factors'!$C$9:$C$108,0))="","",INDEX('Factors'!$P$9:$P$108,MATCH(J290,'Factors'!$C$9:$C$108,0))),""))</x:f>
      </x:c>
    </x:row>
    <x:row r="291" ht="26" customHeight="1">
      <x:c r="A291" s="1"/>
      <x:c r="B291" s="1"/>
      <x:c r="C291" s="8"/>
      <x:c r="D291" s="8"/>
      <x:c r="E291" s="8"/>
      <x:c r="F291" s="8"/>
      <x:c r="G291" s="8"/>
      <x:c r="H291" s="16"/>
      <x:c r="I291" s="8"/>
      <x:c r="J291" s="8"/>
      <x:c r="K291" s="22"/>
      <x:c r="L291" s="8"/>
      <x:c r="M291" s="8"/>
      <x:c r="N291" s="40"/>
      <x:c r="O291" s="41" t="str">
        <x:f>IF(C291="","",IFERROR(IF(INDEX('Factors'!$G$9:$G$108,MATCH(J291,'Factors'!$C$9:$C$108,0))="","",INDEX('Factors'!$G$9:$G$108,MATCH(J291,'Factors'!$C$9:$C$108,0))),""))</x:f>
      </x:c>
      <x:c r="P291" s="9" t="str">
        <x:f>IF(C291="","",IFERROR(IF(INDEX('Factors'!$F$9:$F$108,MATCH(J291,'Factors'!$C$9:$C$108,0))="","",INDEX('Factors'!$F$9:$F$108,MATCH(J291,'Factors'!$C$9:$C$108,0))),""))</x:f>
      </x:c>
      <x:c r="Q291" s="9" t="str">
        <x:f>IF(C291="","",IFERROR(IF(INDEX('Factors'!$H$9:$H$108,MATCH(J291,'Factors'!$C$9:$C$108,0))="","",INDEX('Factors'!$H$9:$H$108,MATCH(J291,'Factors'!$C$9:$C$108,0))),""))</x:f>
      </x:c>
      <x:c r="R291" s="9" t="str">
        <x:f>IF(C291="","",IFERROR(IF(INDEX('Factors'!$E$9:$E$108,MATCH(J291,'Factors'!$C$9:$C$108,0))="","",INDEX('Factors'!$E$9:$E$108,MATCH(J291,'Factors'!$C$9:$C$108,0))),""))</x:f>
      </x:c>
      <x:c r="S291" s="42" t="str">
        <x:f>IF(C291="","",IFERROR(IF(INDEX('Factors'!$J$9:$J$108,MATCH(J291,'Factors'!$C$9:$C$108,0))="","",INDEX('Factors'!$J$9:$J$108,MATCH(J291,'Factors'!$C$9:$C$108,0))),""))</x:f>
      </x:c>
      <x:c r="T291" s="9" t="str">
        <x:f>IF(C291="","",IFERROR(IF(INDEX('Factors'!$L$9:$L$108,MATCH(J291,'Factors'!$C$9:$C$108,0))="","",INDEX('Factors'!$L$9:$L$108,MATCH(J291,'Factors'!$C$9:$C$108,0))),"")&amp;" / "&amp;IFERROR(IF(INDEX('Factors'!$M$9:$M$108,MATCH(J291,'Factors'!$C$9:$C$108,0))="","",INDEX('Factors'!$M$9:$M$108,MATCH(J291,'Factors'!$C$9:$C$108,0))),""))</x:f>
      </x:c>
      <x:c r="U291" s="21" t="str">
        <x:f>IF(V291="Ready",H291*O291/1000,"")</x:f>
      </x:c>
      <x:c r="V291" s="9" t="str">
        <x:f>IF(C291="","",IF(OR(COUNTIFS($C$9:$C$308,C291)&lt;&gt;1,COUNTIFS($D$9:$D$308,D291,$E$9:$E$308,E291,$F$9:$F$308,F291,$G$9:$G$308,G291,$K$9:$K$308,K291)&lt;&gt;1),"Duplicate annual activity",IF(COUNTIFS('Inventory'!$C$9:$C$108,D291)&lt;&gt;1,"Entity required",IF(OR(E291="",L291="",NOT(ISNUMBER(H291)),H291&lt;0,NOT(ISNUMBER(K291)),NOT(ISNUMBER(N291))),"Missing activity input",IF(AND(E291&lt;&gt;D291,OR(COUNTIFS('Sites'!$C$9:$C$108,E291)&lt;&gt;1,IFERROR(IF(INDEX('Sites'!$D$9:$D$108,MATCH(E291,'Sites'!$C$9:$C$108,0))="","",INDEX('Sites'!$D$9:$D$108,MATCH(E291,'Sites'!$C$9:$C$108,0))),"")&lt;&gt;IFERROR(IF(INDEX('Inventory'!$D$9:$D$108,MATCH(D291,'Inventory'!$C$9:$C$108,0))="","",INDEX('Inventory'!$D$9:$D$108,MATCH(D291,'Inventory'!$C$9:$C$108,0))),""),IFERROR(IF(INDEX('Sites'!$E$9:$E$108,MATCH(E291,'Sites'!$C$9:$C$108,0))="","",INDEX('Sites'!$E$9:$E$108,MATCH(E291,'Sites'!$C$9:$C$108,0))),"")&lt;&gt;W291)),"Site / entity mismatch",IF(N291&lt;'Settings'!$F$8,"Expired",IF(X291&lt;&gt;"Ready","Factor required",IF(OR(G291&lt;&gt;IFERROR(IF(INDEX('Factors'!$D$9:$D$108,MATCH(J291,'Factors'!$C$9:$C$108,0))="","",INDEX('Factors'!$D$9:$D$108,MATCH(J291,'Factors'!$C$9:$C$108,0))),""),I291&lt;&gt;P291,F291&lt;&gt;Q291,K291&lt;&gt;S291,AND(R291&lt;&gt;"Global",R291&lt;&gt;W291),K291&lt;&gt;YEAR(IFERROR(IF(INDEX('Inventory'!$H$9:$H$108,MATCH(D291,'Inventory'!$C$9:$C$108,0))="","",INDEX('Inventory'!$H$9:$H$108,MATCH(D291,'Inventory'!$C$9:$C$108,0))),""))),"Factor / boundary mismatch",IF(AND(F291="S2",IFERROR(IF(INDEX('Factors'!$I$9:$I$108,MATCH(J291,'Factors'!$C$9:$C$108,0))="","",INDEX('Factors'!$I$9:$I$108,MATCH(J291,'Factors'!$C$9:$C$108,0))),"")&lt;&gt;"Location-based"),"Use location factor",IF(M291&lt;&gt;"Actual","Estimation method review","Ready"))))))))))</x:f>
      </x:c>
      <x:c r="W291" s="9" t="str">
        <x:f>IF(C291="","",IFERROR(IF(INDEX('Inventory'!$G$9:$G$108,MATCH(D291,'Inventory'!$C$9:$C$108,0))="","",INDEX('Inventory'!$G$9:$G$108,MATCH(D291,'Inventory'!$C$9:$C$108,0))),""))</x:f>
      </x:c>
      <x:c r="X291" s="9" t="str">
        <x:f>IF(C291="","",IFERROR(IF(INDEX('Factors'!$P$9:$P$108,MATCH(J291,'Factors'!$C$9:$C$108,0))="","",INDEX('Factors'!$P$9:$P$108,MATCH(J291,'Factors'!$C$9:$C$108,0))),""))</x:f>
      </x:c>
    </x:row>
    <x:row r="292" ht="26" customHeight="1">
      <x:c r="A292" s="1"/>
      <x:c r="B292" s="1"/>
      <x:c r="C292" s="8"/>
      <x:c r="D292" s="8"/>
      <x:c r="E292" s="8"/>
      <x:c r="F292" s="8"/>
      <x:c r="G292" s="8"/>
      <x:c r="H292" s="16"/>
      <x:c r="I292" s="8"/>
      <x:c r="J292" s="8"/>
      <x:c r="K292" s="22"/>
      <x:c r="L292" s="8"/>
      <x:c r="M292" s="8"/>
      <x:c r="N292" s="40"/>
      <x:c r="O292" s="41" t="str">
        <x:f>IF(C292="","",IFERROR(IF(INDEX('Factors'!$G$9:$G$108,MATCH(J292,'Factors'!$C$9:$C$108,0))="","",INDEX('Factors'!$G$9:$G$108,MATCH(J292,'Factors'!$C$9:$C$108,0))),""))</x:f>
      </x:c>
      <x:c r="P292" s="9" t="str">
        <x:f>IF(C292="","",IFERROR(IF(INDEX('Factors'!$F$9:$F$108,MATCH(J292,'Factors'!$C$9:$C$108,0))="","",INDEX('Factors'!$F$9:$F$108,MATCH(J292,'Factors'!$C$9:$C$108,0))),""))</x:f>
      </x:c>
      <x:c r="Q292" s="9" t="str">
        <x:f>IF(C292="","",IFERROR(IF(INDEX('Factors'!$H$9:$H$108,MATCH(J292,'Factors'!$C$9:$C$108,0))="","",INDEX('Factors'!$H$9:$H$108,MATCH(J292,'Factors'!$C$9:$C$108,0))),""))</x:f>
      </x:c>
      <x:c r="R292" s="9" t="str">
        <x:f>IF(C292="","",IFERROR(IF(INDEX('Factors'!$E$9:$E$108,MATCH(J292,'Factors'!$C$9:$C$108,0))="","",INDEX('Factors'!$E$9:$E$108,MATCH(J292,'Factors'!$C$9:$C$108,0))),""))</x:f>
      </x:c>
      <x:c r="S292" s="42" t="str">
        <x:f>IF(C292="","",IFERROR(IF(INDEX('Factors'!$J$9:$J$108,MATCH(J292,'Factors'!$C$9:$C$108,0))="","",INDEX('Factors'!$J$9:$J$108,MATCH(J292,'Factors'!$C$9:$C$108,0))),""))</x:f>
      </x:c>
      <x:c r="T292" s="9" t="str">
        <x:f>IF(C292="","",IFERROR(IF(INDEX('Factors'!$L$9:$L$108,MATCH(J292,'Factors'!$C$9:$C$108,0))="","",INDEX('Factors'!$L$9:$L$108,MATCH(J292,'Factors'!$C$9:$C$108,0))),"")&amp;" / "&amp;IFERROR(IF(INDEX('Factors'!$M$9:$M$108,MATCH(J292,'Factors'!$C$9:$C$108,0))="","",INDEX('Factors'!$M$9:$M$108,MATCH(J292,'Factors'!$C$9:$C$108,0))),""))</x:f>
      </x:c>
      <x:c r="U292" s="21" t="str">
        <x:f>IF(V292="Ready",H292*O292/1000,"")</x:f>
      </x:c>
      <x:c r="V292" s="9" t="str">
        <x:f>IF(C292="","",IF(OR(COUNTIFS($C$9:$C$308,C292)&lt;&gt;1,COUNTIFS($D$9:$D$308,D292,$E$9:$E$308,E292,$F$9:$F$308,F292,$G$9:$G$308,G292,$K$9:$K$308,K292)&lt;&gt;1),"Duplicate annual activity",IF(COUNTIFS('Inventory'!$C$9:$C$108,D292)&lt;&gt;1,"Entity required",IF(OR(E292="",L292="",NOT(ISNUMBER(H292)),H292&lt;0,NOT(ISNUMBER(K292)),NOT(ISNUMBER(N292))),"Missing activity input",IF(AND(E292&lt;&gt;D292,OR(COUNTIFS('Sites'!$C$9:$C$108,E292)&lt;&gt;1,IFERROR(IF(INDEX('Sites'!$D$9:$D$108,MATCH(E292,'Sites'!$C$9:$C$108,0))="","",INDEX('Sites'!$D$9:$D$108,MATCH(E292,'Sites'!$C$9:$C$108,0))),"")&lt;&gt;IFERROR(IF(INDEX('Inventory'!$D$9:$D$108,MATCH(D292,'Inventory'!$C$9:$C$108,0))="","",INDEX('Inventory'!$D$9:$D$108,MATCH(D292,'Inventory'!$C$9:$C$108,0))),""),IFERROR(IF(INDEX('Sites'!$E$9:$E$108,MATCH(E292,'Sites'!$C$9:$C$108,0))="","",INDEX('Sites'!$E$9:$E$108,MATCH(E292,'Sites'!$C$9:$C$108,0))),"")&lt;&gt;W292)),"Site / entity mismatch",IF(N292&lt;'Settings'!$F$8,"Expired",IF(X292&lt;&gt;"Ready","Factor required",IF(OR(G292&lt;&gt;IFERROR(IF(INDEX('Factors'!$D$9:$D$108,MATCH(J292,'Factors'!$C$9:$C$108,0))="","",INDEX('Factors'!$D$9:$D$108,MATCH(J292,'Factors'!$C$9:$C$108,0))),""),I292&lt;&gt;P292,F292&lt;&gt;Q292,K292&lt;&gt;S292,AND(R292&lt;&gt;"Global",R292&lt;&gt;W292),K292&lt;&gt;YEAR(IFERROR(IF(INDEX('Inventory'!$H$9:$H$108,MATCH(D292,'Inventory'!$C$9:$C$108,0))="","",INDEX('Inventory'!$H$9:$H$108,MATCH(D292,'Inventory'!$C$9:$C$108,0))),""))),"Factor / boundary mismatch",IF(AND(F292="S2",IFERROR(IF(INDEX('Factors'!$I$9:$I$108,MATCH(J292,'Factors'!$C$9:$C$108,0))="","",INDEX('Factors'!$I$9:$I$108,MATCH(J292,'Factors'!$C$9:$C$108,0))),"")&lt;&gt;"Location-based"),"Use location factor",IF(M292&lt;&gt;"Actual","Estimation method review","Ready"))))))))))</x:f>
      </x:c>
      <x:c r="W292" s="9" t="str">
        <x:f>IF(C292="","",IFERROR(IF(INDEX('Inventory'!$G$9:$G$108,MATCH(D292,'Inventory'!$C$9:$C$108,0))="","",INDEX('Inventory'!$G$9:$G$108,MATCH(D292,'Inventory'!$C$9:$C$108,0))),""))</x:f>
      </x:c>
      <x:c r="X292" s="9" t="str">
        <x:f>IF(C292="","",IFERROR(IF(INDEX('Factors'!$P$9:$P$108,MATCH(J292,'Factors'!$C$9:$C$108,0))="","",INDEX('Factors'!$P$9:$P$108,MATCH(J292,'Factors'!$C$9:$C$108,0))),""))</x:f>
      </x:c>
    </x:row>
    <x:row r="293" ht="26" customHeight="1">
      <x:c r="A293" s="1"/>
      <x:c r="B293" s="1"/>
      <x:c r="C293" s="8"/>
      <x:c r="D293" s="8"/>
      <x:c r="E293" s="8"/>
      <x:c r="F293" s="8"/>
      <x:c r="G293" s="8"/>
      <x:c r="H293" s="16"/>
      <x:c r="I293" s="8"/>
      <x:c r="J293" s="8"/>
      <x:c r="K293" s="22"/>
      <x:c r="L293" s="8"/>
      <x:c r="M293" s="8"/>
      <x:c r="N293" s="40"/>
      <x:c r="O293" s="41" t="str">
        <x:f>IF(C293="","",IFERROR(IF(INDEX('Factors'!$G$9:$G$108,MATCH(J293,'Factors'!$C$9:$C$108,0))="","",INDEX('Factors'!$G$9:$G$108,MATCH(J293,'Factors'!$C$9:$C$108,0))),""))</x:f>
      </x:c>
      <x:c r="P293" s="9" t="str">
        <x:f>IF(C293="","",IFERROR(IF(INDEX('Factors'!$F$9:$F$108,MATCH(J293,'Factors'!$C$9:$C$108,0))="","",INDEX('Factors'!$F$9:$F$108,MATCH(J293,'Factors'!$C$9:$C$108,0))),""))</x:f>
      </x:c>
      <x:c r="Q293" s="9" t="str">
        <x:f>IF(C293="","",IFERROR(IF(INDEX('Factors'!$H$9:$H$108,MATCH(J293,'Factors'!$C$9:$C$108,0))="","",INDEX('Factors'!$H$9:$H$108,MATCH(J293,'Factors'!$C$9:$C$108,0))),""))</x:f>
      </x:c>
      <x:c r="R293" s="9" t="str">
        <x:f>IF(C293="","",IFERROR(IF(INDEX('Factors'!$E$9:$E$108,MATCH(J293,'Factors'!$C$9:$C$108,0))="","",INDEX('Factors'!$E$9:$E$108,MATCH(J293,'Factors'!$C$9:$C$108,0))),""))</x:f>
      </x:c>
      <x:c r="S293" s="42" t="str">
        <x:f>IF(C293="","",IFERROR(IF(INDEX('Factors'!$J$9:$J$108,MATCH(J293,'Factors'!$C$9:$C$108,0))="","",INDEX('Factors'!$J$9:$J$108,MATCH(J293,'Factors'!$C$9:$C$108,0))),""))</x:f>
      </x:c>
      <x:c r="T293" s="9" t="str">
        <x:f>IF(C293="","",IFERROR(IF(INDEX('Factors'!$L$9:$L$108,MATCH(J293,'Factors'!$C$9:$C$108,0))="","",INDEX('Factors'!$L$9:$L$108,MATCH(J293,'Factors'!$C$9:$C$108,0))),"")&amp;" / "&amp;IFERROR(IF(INDEX('Factors'!$M$9:$M$108,MATCH(J293,'Factors'!$C$9:$C$108,0))="","",INDEX('Factors'!$M$9:$M$108,MATCH(J293,'Factors'!$C$9:$C$108,0))),""))</x:f>
      </x:c>
      <x:c r="U293" s="21" t="str">
        <x:f>IF(V293="Ready",H293*O293/1000,"")</x:f>
      </x:c>
      <x:c r="V293" s="9" t="str">
        <x:f>IF(C293="","",IF(OR(COUNTIFS($C$9:$C$308,C293)&lt;&gt;1,COUNTIFS($D$9:$D$308,D293,$E$9:$E$308,E293,$F$9:$F$308,F293,$G$9:$G$308,G293,$K$9:$K$308,K293)&lt;&gt;1),"Duplicate annual activity",IF(COUNTIFS('Inventory'!$C$9:$C$108,D293)&lt;&gt;1,"Entity required",IF(OR(E293="",L293="",NOT(ISNUMBER(H293)),H293&lt;0,NOT(ISNUMBER(K293)),NOT(ISNUMBER(N293))),"Missing activity input",IF(AND(E293&lt;&gt;D293,OR(COUNTIFS('Sites'!$C$9:$C$108,E293)&lt;&gt;1,IFERROR(IF(INDEX('Sites'!$D$9:$D$108,MATCH(E293,'Sites'!$C$9:$C$108,0))="","",INDEX('Sites'!$D$9:$D$108,MATCH(E293,'Sites'!$C$9:$C$108,0))),"")&lt;&gt;IFERROR(IF(INDEX('Inventory'!$D$9:$D$108,MATCH(D293,'Inventory'!$C$9:$C$108,0))="","",INDEX('Inventory'!$D$9:$D$108,MATCH(D293,'Inventory'!$C$9:$C$108,0))),""),IFERROR(IF(INDEX('Sites'!$E$9:$E$108,MATCH(E293,'Sites'!$C$9:$C$108,0))="","",INDEX('Sites'!$E$9:$E$108,MATCH(E293,'Sites'!$C$9:$C$108,0))),"")&lt;&gt;W293)),"Site / entity mismatch",IF(N293&lt;'Settings'!$F$8,"Expired",IF(X293&lt;&gt;"Ready","Factor required",IF(OR(G293&lt;&gt;IFERROR(IF(INDEX('Factors'!$D$9:$D$108,MATCH(J293,'Factors'!$C$9:$C$108,0))="","",INDEX('Factors'!$D$9:$D$108,MATCH(J293,'Factors'!$C$9:$C$108,0))),""),I293&lt;&gt;P293,F293&lt;&gt;Q293,K293&lt;&gt;S293,AND(R293&lt;&gt;"Global",R293&lt;&gt;W293),K293&lt;&gt;YEAR(IFERROR(IF(INDEX('Inventory'!$H$9:$H$108,MATCH(D293,'Inventory'!$C$9:$C$108,0))="","",INDEX('Inventory'!$H$9:$H$108,MATCH(D293,'Inventory'!$C$9:$C$108,0))),""))),"Factor / boundary mismatch",IF(AND(F293="S2",IFERROR(IF(INDEX('Factors'!$I$9:$I$108,MATCH(J293,'Factors'!$C$9:$C$108,0))="","",INDEX('Factors'!$I$9:$I$108,MATCH(J293,'Factors'!$C$9:$C$108,0))),"")&lt;&gt;"Location-based"),"Use location factor",IF(M293&lt;&gt;"Actual","Estimation method review","Ready"))))))))))</x:f>
      </x:c>
      <x:c r="W293" s="9" t="str">
        <x:f>IF(C293="","",IFERROR(IF(INDEX('Inventory'!$G$9:$G$108,MATCH(D293,'Inventory'!$C$9:$C$108,0))="","",INDEX('Inventory'!$G$9:$G$108,MATCH(D293,'Inventory'!$C$9:$C$108,0))),""))</x:f>
      </x:c>
      <x:c r="X293" s="9" t="str">
        <x:f>IF(C293="","",IFERROR(IF(INDEX('Factors'!$P$9:$P$108,MATCH(J293,'Factors'!$C$9:$C$108,0))="","",INDEX('Factors'!$P$9:$P$108,MATCH(J293,'Factors'!$C$9:$C$108,0))),""))</x:f>
      </x:c>
    </x:row>
    <x:row r="294" ht="26" customHeight="1">
      <x:c r="A294" s="1"/>
      <x:c r="B294" s="1"/>
      <x:c r="C294" s="8"/>
      <x:c r="D294" s="8"/>
      <x:c r="E294" s="8"/>
      <x:c r="F294" s="8"/>
      <x:c r="G294" s="8"/>
      <x:c r="H294" s="16"/>
      <x:c r="I294" s="8"/>
      <x:c r="J294" s="8"/>
      <x:c r="K294" s="22"/>
      <x:c r="L294" s="8"/>
      <x:c r="M294" s="8"/>
      <x:c r="N294" s="40"/>
      <x:c r="O294" s="41" t="str">
        <x:f>IF(C294="","",IFERROR(IF(INDEX('Factors'!$G$9:$G$108,MATCH(J294,'Factors'!$C$9:$C$108,0))="","",INDEX('Factors'!$G$9:$G$108,MATCH(J294,'Factors'!$C$9:$C$108,0))),""))</x:f>
      </x:c>
      <x:c r="P294" s="9" t="str">
        <x:f>IF(C294="","",IFERROR(IF(INDEX('Factors'!$F$9:$F$108,MATCH(J294,'Factors'!$C$9:$C$108,0))="","",INDEX('Factors'!$F$9:$F$108,MATCH(J294,'Factors'!$C$9:$C$108,0))),""))</x:f>
      </x:c>
      <x:c r="Q294" s="9" t="str">
        <x:f>IF(C294="","",IFERROR(IF(INDEX('Factors'!$H$9:$H$108,MATCH(J294,'Factors'!$C$9:$C$108,0))="","",INDEX('Factors'!$H$9:$H$108,MATCH(J294,'Factors'!$C$9:$C$108,0))),""))</x:f>
      </x:c>
      <x:c r="R294" s="9" t="str">
        <x:f>IF(C294="","",IFERROR(IF(INDEX('Factors'!$E$9:$E$108,MATCH(J294,'Factors'!$C$9:$C$108,0))="","",INDEX('Factors'!$E$9:$E$108,MATCH(J294,'Factors'!$C$9:$C$108,0))),""))</x:f>
      </x:c>
      <x:c r="S294" s="42" t="str">
        <x:f>IF(C294="","",IFERROR(IF(INDEX('Factors'!$J$9:$J$108,MATCH(J294,'Factors'!$C$9:$C$108,0))="","",INDEX('Factors'!$J$9:$J$108,MATCH(J294,'Factors'!$C$9:$C$108,0))),""))</x:f>
      </x:c>
      <x:c r="T294" s="9" t="str">
        <x:f>IF(C294="","",IFERROR(IF(INDEX('Factors'!$L$9:$L$108,MATCH(J294,'Factors'!$C$9:$C$108,0))="","",INDEX('Factors'!$L$9:$L$108,MATCH(J294,'Factors'!$C$9:$C$108,0))),"")&amp;" / "&amp;IFERROR(IF(INDEX('Factors'!$M$9:$M$108,MATCH(J294,'Factors'!$C$9:$C$108,0))="","",INDEX('Factors'!$M$9:$M$108,MATCH(J294,'Factors'!$C$9:$C$108,0))),""))</x:f>
      </x:c>
      <x:c r="U294" s="21" t="str">
        <x:f>IF(V294="Ready",H294*O294/1000,"")</x:f>
      </x:c>
      <x:c r="V294" s="9" t="str">
        <x:f>IF(C294="","",IF(OR(COUNTIFS($C$9:$C$308,C294)&lt;&gt;1,COUNTIFS($D$9:$D$308,D294,$E$9:$E$308,E294,$F$9:$F$308,F294,$G$9:$G$308,G294,$K$9:$K$308,K294)&lt;&gt;1),"Duplicate annual activity",IF(COUNTIFS('Inventory'!$C$9:$C$108,D294)&lt;&gt;1,"Entity required",IF(OR(E294="",L294="",NOT(ISNUMBER(H294)),H294&lt;0,NOT(ISNUMBER(K294)),NOT(ISNUMBER(N294))),"Missing activity input",IF(AND(E294&lt;&gt;D294,OR(COUNTIFS('Sites'!$C$9:$C$108,E294)&lt;&gt;1,IFERROR(IF(INDEX('Sites'!$D$9:$D$108,MATCH(E294,'Sites'!$C$9:$C$108,0))="","",INDEX('Sites'!$D$9:$D$108,MATCH(E294,'Sites'!$C$9:$C$108,0))),"")&lt;&gt;IFERROR(IF(INDEX('Inventory'!$D$9:$D$108,MATCH(D294,'Inventory'!$C$9:$C$108,0))="","",INDEX('Inventory'!$D$9:$D$108,MATCH(D294,'Inventory'!$C$9:$C$108,0))),""),IFERROR(IF(INDEX('Sites'!$E$9:$E$108,MATCH(E294,'Sites'!$C$9:$C$108,0))="","",INDEX('Sites'!$E$9:$E$108,MATCH(E294,'Sites'!$C$9:$C$108,0))),"")&lt;&gt;W294)),"Site / entity mismatch",IF(N294&lt;'Settings'!$F$8,"Expired",IF(X294&lt;&gt;"Ready","Factor required",IF(OR(G294&lt;&gt;IFERROR(IF(INDEX('Factors'!$D$9:$D$108,MATCH(J294,'Factors'!$C$9:$C$108,0))="","",INDEX('Factors'!$D$9:$D$108,MATCH(J294,'Factors'!$C$9:$C$108,0))),""),I294&lt;&gt;P294,F294&lt;&gt;Q294,K294&lt;&gt;S294,AND(R294&lt;&gt;"Global",R294&lt;&gt;W294),K294&lt;&gt;YEAR(IFERROR(IF(INDEX('Inventory'!$H$9:$H$108,MATCH(D294,'Inventory'!$C$9:$C$108,0))="","",INDEX('Inventory'!$H$9:$H$108,MATCH(D294,'Inventory'!$C$9:$C$108,0))),""))),"Factor / boundary mismatch",IF(AND(F294="S2",IFERROR(IF(INDEX('Factors'!$I$9:$I$108,MATCH(J294,'Factors'!$C$9:$C$108,0))="","",INDEX('Factors'!$I$9:$I$108,MATCH(J294,'Factors'!$C$9:$C$108,0))),"")&lt;&gt;"Location-based"),"Use location factor",IF(M294&lt;&gt;"Actual","Estimation method review","Ready"))))))))))</x:f>
      </x:c>
      <x:c r="W294" s="9" t="str">
        <x:f>IF(C294="","",IFERROR(IF(INDEX('Inventory'!$G$9:$G$108,MATCH(D294,'Inventory'!$C$9:$C$108,0))="","",INDEX('Inventory'!$G$9:$G$108,MATCH(D294,'Inventory'!$C$9:$C$108,0))),""))</x:f>
      </x:c>
      <x:c r="X294" s="9" t="str">
        <x:f>IF(C294="","",IFERROR(IF(INDEX('Factors'!$P$9:$P$108,MATCH(J294,'Factors'!$C$9:$C$108,0))="","",INDEX('Factors'!$P$9:$P$108,MATCH(J294,'Factors'!$C$9:$C$108,0))),""))</x:f>
      </x:c>
    </x:row>
    <x:row r="295" ht="26" customHeight="1">
      <x:c r="A295" s="1"/>
      <x:c r="B295" s="1"/>
      <x:c r="C295" s="8"/>
      <x:c r="D295" s="8"/>
      <x:c r="E295" s="8"/>
      <x:c r="F295" s="8"/>
      <x:c r="G295" s="8"/>
      <x:c r="H295" s="16"/>
      <x:c r="I295" s="8"/>
      <x:c r="J295" s="8"/>
      <x:c r="K295" s="22"/>
      <x:c r="L295" s="8"/>
      <x:c r="M295" s="8"/>
      <x:c r="N295" s="40"/>
      <x:c r="O295" s="41" t="str">
        <x:f>IF(C295="","",IFERROR(IF(INDEX('Factors'!$G$9:$G$108,MATCH(J295,'Factors'!$C$9:$C$108,0))="","",INDEX('Factors'!$G$9:$G$108,MATCH(J295,'Factors'!$C$9:$C$108,0))),""))</x:f>
      </x:c>
      <x:c r="P295" s="9" t="str">
        <x:f>IF(C295="","",IFERROR(IF(INDEX('Factors'!$F$9:$F$108,MATCH(J295,'Factors'!$C$9:$C$108,0))="","",INDEX('Factors'!$F$9:$F$108,MATCH(J295,'Factors'!$C$9:$C$108,0))),""))</x:f>
      </x:c>
      <x:c r="Q295" s="9" t="str">
        <x:f>IF(C295="","",IFERROR(IF(INDEX('Factors'!$H$9:$H$108,MATCH(J295,'Factors'!$C$9:$C$108,0))="","",INDEX('Factors'!$H$9:$H$108,MATCH(J295,'Factors'!$C$9:$C$108,0))),""))</x:f>
      </x:c>
      <x:c r="R295" s="9" t="str">
        <x:f>IF(C295="","",IFERROR(IF(INDEX('Factors'!$E$9:$E$108,MATCH(J295,'Factors'!$C$9:$C$108,0))="","",INDEX('Factors'!$E$9:$E$108,MATCH(J295,'Factors'!$C$9:$C$108,0))),""))</x:f>
      </x:c>
      <x:c r="S295" s="42" t="str">
        <x:f>IF(C295="","",IFERROR(IF(INDEX('Factors'!$J$9:$J$108,MATCH(J295,'Factors'!$C$9:$C$108,0))="","",INDEX('Factors'!$J$9:$J$108,MATCH(J295,'Factors'!$C$9:$C$108,0))),""))</x:f>
      </x:c>
      <x:c r="T295" s="9" t="str">
        <x:f>IF(C295="","",IFERROR(IF(INDEX('Factors'!$L$9:$L$108,MATCH(J295,'Factors'!$C$9:$C$108,0))="","",INDEX('Factors'!$L$9:$L$108,MATCH(J295,'Factors'!$C$9:$C$108,0))),"")&amp;" / "&amp;IFERROR(IF(INDEX('Factors'!$M$9:$M$108,MATCH(J295,'Factors'!$C$9:$C$108,0))="","",INDEX('Factors'!$M$9:$M$108,MATCH(J295,'Factors'!$C$9:$C$108,0))),""))</x:f>
      </x:c>
      <x:c r="U295" s="21" t="str">
        <x:f>IF(V295="Ready",H295*O295/1000,"")</x:f>
      </x:c>
      <x:c r="V295" s="9" t="str">
        <x:f>IF(C295="","",IF(OR(COUNTIFS($C$9:$C$308,C295)&lt;&gt;1,COUNTIFS($D$9:$D$308,D295,$E$9:$E$308,E295,$F$9:$F$308,F295,$G$9:$G$308,G295,$K$9:$K$308,K295)&lt;&gt;1),"Duplicate annual activity",IF(COUNTIFS('Inventory'!$C$9:$C$108,D295)&lt;&gt;1,"Entity required",IF(OR(E295="",L295="",NOT(ISNUMBER(H295)),H295&lt;0,NOT(ISNUMBER(K295)),NOT(ISNUMBER(N295))),"Missing activity input",IF(AND(E295&lt;&gt;D295,OR(COUNTIFS('Sites'!$C$9:$C$108,E295)&lt;&gt;1,IFERROR(IF(INDEX('Sites'!$D$9:$D$108,MATCH(E295,'Sites'!$C$9:$C$108,0))="","",INDEX('Sites'!$D$9:$D$108,MATCH(E295,'Sites'!$C$9:$C$108,0))),"")&lt;&gt;IFERROR(IF(INDEX('Inventory'!$D$9:$D$108,MATCH(D295,'Inventory'!$C$9:$C$108,0))="","",INDEX('Inventory'!$D$9:$D$108,MATCH(D295,'Inventory'!$C$9:$C$108,0))),""),IFERROR(IF(INDEX('Sites'!$E$9:$E$108,MATCH(E295,'Sites'!$C$9:$C$108,0))="","",INDEX('Sites'!$E$9:$E$108,MATCH(E295,'Sites'!$C$9:$C$108,0))),"")&lt;&gt;W295)),"Site / entity mismatch",IF(N295&lt;'Settings'!$F$8,"Expired",IF(X295&lt;&gt;"Ready","Factor required",IF(OR(G295&lt;&gt;IFERROR(IF(INDEX('Factors'!$D$9:$D$108,MATCH(J295,'Factors'!$C$9:$C$108,0))="","",INDEX('Factors'!$D$9:$D$108,MATCH(J295,'Factors'!$C$9:$C$108,0))),""),I295&lt;&gt;P295,F295&lt;&gt;Q295,K295&lt;&gt;S295,AND(R295&lt;&gt;"Global",R295&lt;&gt;W295),K295&lt;&gt;YEAR(IFERROR(IF(INDEX('Inventory'!$H$9:$H$108,MATCH(D295,'Inventory'!$C$9:$C$108,0))="","",INDEX('Inventory'!$H$9:$H$108,MATCH(D295,'Inventory'!$C$9:$C$108,0))),""))),"Factor / boundary mismatch",IF(AND(F295="S2",IFERROR(IF(INDEX('Factors'!$I$9:$I$108,MATCH(J295,'Factors'!$C$9:$C$108,0))="","",INDEX('Factors'!$I$9:$I$108,MATCH(J295,'Factors'!$C$9:$C$108,0))),"")&lt;&gt;"Location-based"),"Use location factor",IF(M295&lt;&gt;"Actual","Estimation method review","Ready"))))))))))</x:f>
      </x:c>
      <x:c r="W295" s="9" t="str">
        <x:f>IF(C295="","",IFERROR(IF(INDEX('Inventory'!$G$9:$G$108,MATCH(D295,'Inventory'!$C$9:$C$108,0))="","",INDEX('Inventory'!$G$9:$G$108,MATCH(D295,'Inventory'!$C$9:$C$108,0))),""))</x:f>
      </x:c>
      <x:c r="X295" s="9" t="str">
        <x:f>IF(C295="","",IFERROR(IF(INDEX('Factors'!$P$9:$P$108,MATCH(J295,'Factors'!$C$9:$C$108,0))="","",INDEX('Factors'!$P$9:$P$108,MATCH(J295,'Factors'!$C$9:$C$108,0))),""))</x:f>
      </x:c>
    </x:row>
    <x:row r="296" ht="26" customHeight="1">
      <x:c r="A296" s="1"/>
      <x:c r="B296" s="1"/>
      <x:c r="C296" s="8"/>
      <x:c r="D296" s="8"/>
      <x:c r="E296" s="8"/>
      <x:c r="F296" s="8"/>
      <x:c r="G296" s="8"/>
      <x:c r="H296" s="16"/>
      <x:c r="I296" s="8"/>
      <x:c r="J296" s="8"/>
      <x:c r="K296" s="22"/>
      <x:c r="L296" s="8"/>
      <x:c r="M296" s="8"/>
      <x:c r="N296" s="40"/>
      <x:c r="O296" s="41" t="str">
        <x:f>IF(C296="","",IFERROR(IF(INDEX('Factors'!$G$9:$G$108,MATCH(J296,'Factors'!$C$9:$C$108,0))="","",INDEX('Factors'!$G$9:$G$108,MATCH(J296,'Factors'!$C$9:$C$108,0))),""))</x:f>
      </x:c>
      <x:c r="P296" s="9" t="str">
        <x:f>IF(C296="","",IFERROR(IF(INDEX('Factors'!$F$9:$F$108,MATCH(J296,'Factors'!$C$9:$C$108,0))="","",INDEX('Factors'!$F$9:$F$108,MATCH(J296,'Factors'!$C$9:$C$108,0))),""))</x:f>
      </x:c>
      <x:c r="Q296" s="9" t="str">
        <x:f>IF(C296="","",IFERROR(IF(INDEX('Factors'!$H$9:$H$108,MATCH(J296,'Factors'!$C$9:$C$108,0))="","",INDEX('Factors'!$H$9:$H$108,MATCH(J296,'Factors'!$C$9:$C$108,0))),""))</x:f>
      </x:c>
      <x:c r="R296" s="9" t="str">
        <x:f>IF(C296="","",IFERROR(IF(INDEX('Factors'!$E$9:$E$108,MATCH(J296,'Factors'!$C$9:$C$108,0))="","",INDEX('Factors'!$E$9:$E$108,MATCH(J296,'Factors'!$C$9:$C$108,0))),""))</x:f>
      </x:c>
      <x:c r="S296" s="42" t="str">
        <x:f>IF(C296="","",IFERROR(IF(INDEX('Factors'!$J$9:$J$108,MATCH(J296,'Factors'!$C$9:$C$108,0))="","",INDEX('Factors'!$J$9:$J$108,MATCH(J296,'Factors'!$C$9:$C$108,0))),""))</x:f>
      </x:c>
      <x:c r="T296" s="9" t="str">
        <x:f>IF(C296="","",IFERROR(IF(INDEX('Factors'!$L$9:$L$108,MATCH(J296,'Factors'!$C$9:$C$108,0))="","",INDEX('Factors'!$L$9:$L$108,MATCH(J296,'Factors'!$C$9:$C$108,0))),"")&amp;" / "&amp;IFERROR(IF(INDEX('Factors'!$M$9:$M$108,MATCH(J296,'Factors'!$C$9:$C$108,0))="","",INDEX('Factors'!$M$9:$M$108,MATCH(J296,'Factors'!$C$9:$C$108,0))),""))</x:f>
      </x:c>
      <x:c r="U296" s="21" t="str">
        <x:f>IF(V296="Ready",H296*O296/1000,"")</x:f>
      </x:c>
      <x:c r="V296" s="9" t="str">
        <x:f>IF(C296="","",IF(OR(COUNTIFS($C$9:$C$308,C296)&lt;&gt;1,COUNTIFS($D$9:$D$308,D296,$E$9:$E$308,E296,$F$9:$F$308,F296,$G$9:$G$308,G296,$K$9:$K$308,K296)&lt;&gt;1),"Duplicate annual activity",IF(COUNTIFS('Inventory'!$C$9:$C$108,D296)&lt;&gt;1,"Entity required",IF(OR(E296="",L296="",NOT(ISNUMBER(H296)),H296&lt;0,NOT(ISNUMBER(K296)),NOT(ISNUMBER(N296))),"Missing activity input",IF(AND(E296&lt;&gt;D296,OR(COUNTIFS('Sites'!$C$9:$C$108,E296)&lt;&gt;1,IFERROR(IF(INDEX('Sites'!$D$9:$D$108,MATCH(E296,'Sites'!$C$9:$C$108,0))="","",INDEX('Sites'!$D$9:$D$108,MATCH(E296,'Sites'!$C$9:$C$108,0))),"")&lt;&gt;IFERROR(IF(INDEX('Inventory'!$D$9:$D$108,MATCH(D296,'Inventory'!$C$9:$C$108,0))="","",INDEX('Inventory'!$D$9:$D$108,MATCH(D296,'Inventory'!$C$9:$C$108,0))),""),IFERROR(IF(INDEX('Sites'!$E$9:$E$108,MATCH(E296,'Sites'!$C$9:$C$108,0))="","",INDEX('Sites'!$E$9:$E$108,MATCH(E296,'Sites'!$C$9:$C$108,0))),"")&lt;&gt;W296)),"Site / entity mismatch",IF(N296&lt;'Settings'!$F$8,"Expired",IF(X296&lt;&gt;"Ready","Factor required",IF(OR(G296&lt;&gt;IFERROR(IF(INDEX('Factors'!$D$9:$D$108,MATCH(J296,'Factors'!$C$9:$C$108,0))="","",INDEX('Factors'!$D$9:$D$108,MATCH(J296,'Factors'!$C$9:$C$108,0))),""),I296&lt;&gt;P296,F296&lt;&gt;Q296,K296&lt;&gt;S296,AND(R296&lt;&gt;"Global",R296&lt;&gt;W296),K296&lt;&gt;YEAR(IFERROR(IF(INDEX('Inventory'!$H$9:$H$108,MATCH(D296,'Inventory'!$C$9:$C$108,0))="","",INDEX('Inventory'!$H$9:$H$108,MATCH(D296,'Inventory'!$C$9:$C$108,0))),""))),"Factor / boundary mismatch",IF(AND(F296="S2",IFERROR(IF(INDEX('Factors'!$I$9:$I$108,MATCH(J296,'Factors'!$C$9:$C$108,0))="","",INDEX('Factors'!$I$9:$I$108,MATCH(J296,'Factors'!$C$9:$C$108,0))),"")&lt;&gt;"Location-based"),"Use location factor",IF(M296&lt;&gt;"Actual","Estimation method review","Ready"))))))))))</x:f>
      </x:c>
      <x:c r="W296" s="9" t="str">
        <x:f>IF(C296="","",IFERROR(IF(INDEX('Inventory'!$G$9:$G$108,MATCH(D296,'Inventory'!$C$9:$C$108,0))="","",INDEX('Inventory'!$G$9:$G$108,MATCH(D296,'Inventory'!$C$9:$C$108,0))),""))</x:f>
      </x:c>
      <x:c r="X296" s="9" t="str">
        <x:f>IF(C296="","",IFERROR(IF(INDEX('Factors'!$P$9:$P$108,MATCH(J296,'Factors'!$C$9:$C$108,0))="","",INDEX('Factors'!$P$9:$P$108,MATCH(J296,'Factors'!$C$9:$C$108,0))),""))</x:f>
      </x:c>
    </x:row>
    <x:row r="297" ht="26" customHeight="1">
      <x:c r="A297" s="1"/>
      <x:c r="B297" s="1"/>
      <x:c r="C297" s="8"/>
      <x:c r="D297" s="8"/>
      <x:c r="E297" s="8"/>
      <x:c r="F297" s="8"/>
      <x:c r="G297" s="8"/>
      <x:c r="H297" s="16"/>
      <x:c r="I297" s="8"/>
      <x:c r="J297" s="8"/>
      <x:c r="K297" s="22"/>
      <x:c r="L297" s="8"/>
      <x:c r="M297" s="8"/>
      <x:c r="N297" s="40"/>
      <x:c r="O297" s="41" t="str">
        <x:f>IF(C297="","",IFERROR(IF(INDEX('Factors'!$G$9:$G$108,MATCH(J297,'Factors'!$C$9:$C$108,0))="","",INDEX('Factors'!$G$9:$G$108,MATCH(J297,'Factors'!$C$9:$C$108,0))),""))</x:f>
      </x:c>
      <x:c r="P297" s="9" t="str">
        <x:f>IF(C297="","",IFERROR(IF(INDEX('Factors'!$F$9:$F$108,MATCH(J297,'Factors'!$C$9:$C$108,0))="","",INDEX('Factors'!$F$9:$F$108,MATCH(J297,'Factors'!$C$9:$C$108,0))),""))</x:f>
      </x:c>
      <x:c r="Q297" s="9" t="str">
        <x:f>IF(C297="","",IFERROR(IF(INDEX('Factors'!$H$9:$H$108,MATCH(J297,'Factors'!$C$9:$C$108,0))="","",INDEX('Factors'!$H$9:$H$108,MATCH(J297,'Factors'!$C$9:$C$108,0))),""))</x:f>
      </x:c>
      <x:c r="R297" s="9" t="str">
        <x:f>IF(C297="","",IFERROR(IF(INDEX('Factors'!$E$9:$E$108,MATCH(J297,'Factors'!$C$9:$C$108,0))="","",INDEX('Factors'!$E$9:$E$108,MATCH(J297,'Factors'!$C$9:$C$108,0))),""))</x:f>
      </x:c>
      <x:c r="S297" s="42" t="str">
        <x:f>IF(C297="","",IFERROR(IF(INDEX('Factors'!$J$9:$J$108,MATCH(J297,'Factors'!$C$9:$C$108,0))="","",INDEX('Factors'!$J$9:$J$108,MATCH(J297,'Factors'!$C$9:$C$108,0))),""))</x:f>
      </x:c>
      <x:c r="T297" s="9" t="str">
        <x:f>IF(C297="","",IFERROR(IF(INDEX('Factors'!$L$9:$L$108,MATCH(J297,'Factors'!$C$9:$C$108,0))="","",INDEX('Factors'!$L$9:$L$108,MATCH(J297,'Factors'!$C$9:$C$108,0))),"")&amp;" / "&amp;IFERROR(IF(INDEX('Factors'!$M$9:$M$108,MATCH(J297,'Factors'!$C$9:$C$108,0))="","",INDEX('Factors'!$M$9:$M$108,MATCH(J297,'Factors'!$C$9:$C$108,0))),""))</x:f>
      </x:c>
      <x:c r="U297" s="21" t="str">
        <x:f>IF(V297="Ready",H297*O297/1000,"")</x:f>
      </x:c>
      <x:c r="V297" s="9" t="str">
        <x:f>IF(C297="","",IF(OR(COUNTIFS($C$9:$C$308,C297)&lt;&gt;1,COUNTIFS($D$9:$D$308,D297,$E$9:$E$308,E297,$F$9:$F$308,F297,$G$9:$G$308,G297,$K$9:$K$308,K297)&lt;&gt;1),"Duplicate annual activity",IF(COUNTIFS('Inventory'!$C$9:$C$108,D297)&lt;&gt;1,"Entity required",IF(OR(E297="",L297="",NOT(ISNUMBER(H297)),H297&lt;0,NOT(ISNUMBER(K297)),NOT(ISNUMBER(N297))),"Missing activity input",IF(AND(E297&lt;&gt;D297,OR(COUNTIFS('Sites'!$C$9:$C$108,E297)&lt;&gt;1,IFERROR(IF(INDEX('Sites'!$D$9:$D$108,MATCH(E297,'Sites'!$C$9:$C$108,0))="","",INDEX('Sites'!$D$9:$D$108,MATCH(E297,'Sites'!$C$9:$C$108,0))),"")&lt;&gt;IFERROR(IF(INDEX('Inventory'!$D$9:$D$108,MATCH(D297,'Inventory'!$C$9:$C$108,0))="","",INDEX('Inventory'!$D$9:$D$108,MATCH(D297,'Inventory'!$C$9:$C$108,0))),""),IFERROR(IF(INDEX('Sites'!$E$9:$E$108,MATCH(E297,'Sites'!$C$9:$C$108,0))="","",INDEX('Sites'!$E$9:$E$108,MATCH(E297,'Sites'!$C$9:$C$108,0))),"")&lt;&gt;W297)),"Site / entity mismatch",IF(N297&lt;'Settings'!$F$8,"Expired",IF(X297&lt;&gt;"Ready","Factor required",IF(OR(G297&lt;&gt;IFERROR(IF(INDEX('Factors'!$D$9:$D$108,MATCH(J297,'Factors'!$C$9:$C$108,0))="","",INDEX('Factors'!$D$9:$D$108,MATCH(J297,'Factors'!$C$9:$C$108,0))),""),I297&lt;&gt;P297,F297&lt;&gt;Q297,K297&lt;&gt;S297,AND(R297&lt;&gt;"Global",R297&lt;&gt;W297),K297&lt;&gt;YEAR(IFERROR(IF(INDEX('Inventory'!$H$9:$H$108,MATCH(D297,'Inventory'!$C$9:$C$108,0))="","",INDEX('Inventory'!$H$9:$H$108,MATCH(D297,'Inventory'!$C$9:$C$108,0))),""))),"Factor / boundary mismatch",IF(AND(F297="S2",IFERROR(IF(INDEX('Factors'!$I$9:$I$108,MATCH(J297,'Factors'!$C$9:$C$108,0))="","",INDEX('Factors'!$I$9:$I$108,MATCH(J297,'Factors'!$C$9:$C$108,0))),"")&lt;&gt;"Location-based"),"Use location factor",IF(M297&lt;&gt;"Actual","Estimation method review","Ready"))))))))))</x:f>
      </x:c>
      <x:c r="W297" s="9" t="str">
        <x:f>IF(C297="","",IFERROR(IF(INDEX('Inventory'!$G$9:$G$108,MATCH(D297,'Inventory'!$C$9:$C$108,0))="","",INDEX('Inventory'!$G$9:$G$108,MATCH(D297,'Inventory'!$C$9:$C$108,0))),""))</x:f>
      </x:c>
      <x:c r="X297" s="9" t="str">
        <x:f>IF(C297="","",IFERROR(IF(INDEX('Factors'!$P$9:$P$108,MATCH(J297,'Factors'!$C$9:$C$108,0))="","",INDEX('Factors'!$P$9:$P$108,MATCH(J297,'Factors'!$C$9:$C$108,0))),""))</x:f>
      </x:c>
    </x:row>
    <x:row r="298" ht="26" customHeight="1">
      <x:c r="A298" s="1"/>
      <x:c r="B298" s="1"/>
      <x:c r="C298" s="8"/>
      <x:c r="D298" s="8"/>
      <x:c r="E298" s="8"/>
      <x:c r="F298" s="8"/>
      <x:c r="G298" s="8"/>
      <x:c r="H298" s="16"/>
      <x:c r="I298" s="8"/>
      <x:c r="J298" s="8"/>
      <x:c r="K298" s="22"/>
      <x:c r="L298" s="8"/>
      <x:c r="M298" s="8"/>
      <x:c r="N298" s="40"/>
      <x:c r="O298" s="41" t="str">
        <x:f>IF(C298="","",IFERROR(IF(INDEX('Factors'!$G$9:$G$108,MATCH(J298,'Factors'!$C$9:$C$108,0))="","",INDEX('Factors'!$G$9:$G$108,MATCH(J298,'Factors'!$C$9:$C$108,0))),""))</x:f>
      </x:c>
      <x:c r="P298" s="9" t="str">
        <x:f>IF(C298="","",IFERROR(IF(INDEX('Factors'!$F$9:$F$108,MATCH(J298,'Factors'!$C$9:$C$108,0))="","",INDEX('Factors'!$F$9:$F$108,MATCH(J298,'Factors'!$C$9:$C$108,0))),""))</x:f>
      </x:c>
      <x:c r="Q298" s="9" t="str">
        <x:f>IF(C298="","",IFERROR(IF(INDEX('Factors'!$H$9:$H$108,MATCH(J298,'Factors'!$C$9:$C$108,0))="","",INDEX('Factors'!$H$9:$H$108,MATCH(J298,'Factors'!$C$9:$C$108,0))),""))</x:f>
      </x:c>
      <x:c r="R298" s="9" t="str">
        <x:f>IF(C298="","",IFERROR(IF(INDEX('Factors'!$E$9:$E$108,MATCH(J298,'Factors'!$C$9:$C$108,0))="","",INDEX('Factors'!$E$9:$E$108,MATCH(J298,'Factors'!$C$9:$C$108,0))),""))</x:f>
      </x:c>
      <x:c r="S298" s="42" t="str">
        <x:f>IF(C298="","",IFERROR(IF(INDEX('Factors'!$J$9:$J$108,MATCH(J298,'Factors'!$C$9:$C$108,0))="","",INDEX('Factors'!$J$9:$J$108,MATCH(J298,'Factors'!$C$9:$C$108,0))),""))</x:f>
      </x:c>
      <x:c r="T298" s="9" t="str">
        <x:f>IF(C298="","",IFERROR(IF(INDEX('Factors'!$L$9:$L$108,MATCH(J298,'Factors'!$C$9:$C$108,0))="","",INDEX('Factors'!$L$9:$L$108,MATCH(J298,'Factors'!$C$9:$C$108,0))),"")&amp;" / "&amp;IFERROR(IF(INDEX('Factors'!$M$9:$M$108,MATCH(J298,'Factors'!$C$9:$C$108,0))="","",INDEX('Factors'!$M$9:$M$108,MATCH(J298,'Factors'!$C$9:$C$108,0))),""))</x:f>
      </x:c>
      <x:c r="U298" s="21" t="str">
        <x:f>IF(V298="Ready",H298*O298/1000,"")</x:f>
      </x:c>
      <x:c r="V298" s="9" t="str">
        <x:f>IF(C298="","",IF(OR(COUNTIFS($C$9:$C$308,C298)&lt;&gt;1,COUNTIFS($D$9:$D$308,D298,$E$9:$E$308,E298,$F$9:$F$308,F298,$G$9:$G$308,G298,$K$9:$K$308,K298)&lt;&gt;1),"Duplicate annual activity",IF(COUNTIFS('Inventory'!$C$9:$C$108,D298)&lt;&gt;1,"Entity required",IF(OR(E298="",L298="",NOT(ISNUMBER(H298)),H298&lt;0,NOT(ISNUMBER(K298)),NOT(ISNUMBER(N298))),"Missing activity input",IF(AND(E298&lt;&gt;D298,OR(COUNTIFS('Sites'!$C$9:$C$108,E298)&lt;&gt;1,IFERROR(IF(INDEX('Sites'!$D$9:$D$108,MATCH(E298,'Sites'!$C$9:$C$108,0))="","",INDEX('Sites'!$D$9:$D$108,MATCH(E298,'Sites'!$C$9:$C$108,0))),"")&lt;&gt;IFERROR(IF(INDEX('Inventory'!$D$9:$D$108,MATCH(D298,'Inventory'!$C$9:$C$108,0))="","",INDEX('Inventory'!$D$9:$D$108,MATCH(D298,'Inventory'!$C$9:$C$108,0))),""),IFERROR(IF(INDEX('Sites'!$E$9:$E$108,MATCH(E298,'Sites'!$C$9:$C$108,0))="","",INDEX('Sites'!$E$9:$E$108,MATCH(E298,'Sites'!$C$9:$C$108,0))),"")&lt;&gt;W298)),"Site / entity mismatch",IF(N298&lt;'Settings'!$F$8,"Expired",IF(X298&lt;&gt;"Ready","Factor required",IF(OR(G298&lt;&gt;IFERROR(IF(INDEX('Factors'!$D$9:$D$108,MATCH(J298,'Factors'!$C$9:$C$108,0))="","",INDEX('Factors'!$D$9:$D$108,MATCH(J298,'Factors'!$C$9:$C$108,0))),""),I298&lt;&gt;P298,F298&lt;&gt;Q298,K298&lt;&gt;S298,AND(R298&lt;&gt;"Global",R298&lt;&gt;W298),K298&lt;&gt;YEAR(IFERROR(IF(INDEX('Inventory'!$H$9:$H$108,MATCH(D298,'Inventory'!$C$9:$C$108,0))="","",INDEX('Inventory'!$H$9:$H$108,MATCH(D298,'Inventory'!$C$9:$C$108,0))),""))),"Factor / boundary mismatch",IF(AND(F298="S2",IFERROR(IF(INDEX('Factors'!$I$9:$I$108,MATCH(J298,'Factors'!$C$9:$C$108,0))="","",INDEX('Factors'!$I$9:$I$108,MATCH(J298,'Factors'!$C$9:$C$108,0))),"")&lt;&gt;"Location-based"),"Use location factor",IF(M298&lt;&gt;"Actual","Estimation method review","Ready"))))))))))</x:f>
      </x:c>
      <x:c r="W298" s="9" t="str">
        <x:f>IF(C298="","",IFERROR(IF(INDEX('Inventory'!$G$9:$G$108,MATCH(D298,'Inventory'!$C$9:$C$108,0))="","",INDEX('Inventory'!$G$9:$G$108,MATCH(D298,'Inventory'!$C$9:$C$108,0))),""))</x:f>
      </x:c>
      <x:c r="X298" s="9" t="str">
        <x:f>IF(C298="","",IFERROR(IF(INDEX('Factors'!$P$9:$P$108,MATCH(J298,'Factors'!$C$9:$C$108,0))="","",INDEX('Factors'!$P$9:$P$108,MATCH(J298,'Factors'!$C$9:$C$108,0))),""))</x:f>
      </x:c>
    </x:row>
    <x:row r="299" ht="26" customHeight="1">
      <x:c r="A299" s="1"/>
      <x:c r="B299" s="1"/>
      <x:c r="C299" s="8"/>
      <x:c r="D299" s="8"/>
      <x:c r="E299" s="8"/>
      <x:c r="F299" s="8"/>
      <x:c r="G299" s="8"/>
      <x:c r="H299" s="16"/>
      <x:c r="I299" s="8"/>
      <x:c r="J299" s="8"/>
      <x:c r="K299" s="22"/>
      <x:c r="L299" s="8"/>
      <x:c r="M299" s="8"/>
      <x:c r="N299" s="40"/>
      <x:c r="O299" s="41" t="str">
        <x:f>IF(C299="","",IFERROR(IF(INDEX('Factors'!$G$9:$G$108,MATCH(J299,'Factors'!$C$9:$C$108,0))="","",INDEX('Factors'!$G$9:$G$108,MATCH(J299,'Factors'!$C$9:$C$108,0))),""))</x:f>
      </x:c>
      <x:c r="P299" s="9" t="str">
        <x:f>IF(C299="","",IFERROR(IF(INDEX('Factors'!$F$9:$F$108,MATCH(J299,'Factors'!$C$9:$C$108,0))="","",INDEX('Factors'!$F$9:$F$108,MATCH(J299,'Factors'!$C$9:$C$108,0))),""))</x:f>
      </x:c>
      <x:c r="Q299" s="9" t="str">
        <x:f>IF(C299="","",IFERROR(IF(INDEX('Factors'!$H$9:$H$108,MATCH(J299,'Factors'!$C$9:$C$108,0))="","",INDEX('Factors'!$H$9:$H$108,MATCH(J299,'Factors'!$C$9:$C$108,0))),""))</x:f>
      </x:c>
      <x:c r="R299" s="9" t="str">
        <x:f>IF(C299="","",IFERROR(IF(INDEX('Factors'!$E$9:$E$108,MATCH(J299,'Factors'!$C$9:$C$108,0))="","",INDEX('Factors'!$E$9:$E$108,MATCH(J299,'Factors'!$C$9:$C$108,0))),""))</x:f>
      </x:c>
      <x:c r="S299" s="42" t="str">
        <x:f>IF(C299="","",IFERROR(IF(INDEX('Factors'!$J$9:$J$108,MATCH(J299,'Factors'!$C$9:$C$108,0))="","",INDEX('Factors'!$J$9:$J$108,MATCH(J299,'Factors'!$C$9:$C$108,0))),""))</x:f>
      </x:c>
      <x:c r="T299" s="9" t="str">
        <x:f>IF(C299="","",IFERROR(IF(INDEX('Factors'!$L$9:$L$108,MATCH(J299,'Factors'!$C$9:$C$108,0))="","",INDEX('Factors'!$L$9:$L$108,MATCH(J299,'Factors'!$C$9:$C$108,0))),"")&amp;" / "&amp;IFERROR(IF(INDEX('Factors'!$M$9:$M$108,MATCH(J299,'Factors'!$C$9:$C$108,0))="","",INDEX('Factors'!$M$9:$M$108,MATCH(J299,'Factors'!$C$9:$C$108,0))),""))</x:f>
      </x:c>
      <x:c r="U299" s="21" t="str">
        <x:f>IF(V299="Ready",H299*O299/1000,"")</x:f>
      </x:c>
      <x:c r="V299" s="9" t="str">
        <x:f>IF(C299="","",IF(OR(COUNTIFS($C$9:$C$308,C299)&lt;&gt;1,COUNTIFS($D$9:$D$308,D299,$E$9:$E$308,E299,$F$9:$F$308,F299,$G$9:$G$308,G299,$K$9:$K$308,K299)&lt;&gt;1),"Duplicate annual activity",IF(COUNTIFS('Inventory'!$C$9:$C$108,D299)&lt;&gt;1,"Entity required",IF(OR(E299="",L299="",NOT(ISNUMBER(H299)),H299&lt;0,NOT(ISNUMBER(K299)),NOT(ISNUMBER(N299))),"Missing activity input",IF(AND(E299&lt;&gt;D299,OR(COUNTIFS('Sites'!$C$9:$C$108,E299)&lt;&gt;1,IFERROR(IF(INDEX('Sites'!$D$9:$D$108,MATCH(E299,'Sites'!$C$9:$C$108,0))="","",INDEX('Sites'!$D$9:$D$108,MATCH(E299,'Sites'!$C$9:$C$108,0))),"")&lt;&gt;IFERROR(IF(INDEX('Inventory'!$D$9:$D$108,MATCH(D299,'Inventory'!$C$9:$C$108,0))="","",INDEX('Inventory'!$D$9:$D$108,MATCH(D299,'Inventory'!$C$9:$C$108,0))),""),IFERROR(IF(INDEX('Sites'!$E$9:$E$108,MATCH(E299,'Sites'!$C$9:$C$108,0))="","",INDEX('Sites'!$E$9:$E$108,MATCH(E299,'Sites'!$C$9:$C$108,0))),"")&lt;&gt;W299)),"Site / entity mismatch",IF(N299&lt;'Settings'!$F$8,"Expired",IF(X299&lt;&gt;"Ready","Factor required",IF(OR(G299&lt;&gt;IFERROR(IF(INDEX('Factors'!$D$9:$D$108,MATCH(J299,'Factors'!$C$9:$C$108,0))="","",INDEX('Factors'!$D$9:$D$108,MATCH(J299,'Factors'!$C$9:$C$108,0))),""),I299&lt;&gt;P299,F299&lt;&gt;Q299,K299&lt;&gt;S299,AND(R299&lt;&gt;"Global",R299&lt;&gt;W299),K299&lt;&gt;YEAR(IFERROR(IF(INDEX('Inventory'!$H$9:$H$108,MATCH(D299,'Inventory'!$C$9:$C$108,0))="","",INDEX('Inventory'!$H$9:$H$108,MATCH(D299,'Inventory'!$C$9:$C$108,0))),""))),"Factor / boundary mismatch",IF(AND(F299="S2",IFERROR(IF(INDEX('Factors'!$I$9:$I$108,MATCH(J299,'Factors'!$C$9:$C$108,0))="","",INDEX('Factors'!$I$9:$I$108,MATCH(J299,'Factors'!$C$9:$C$108,0))),"")&lt;&gt;"Location-based"),"Use location factor",IF(M299&lt;&gt;"Actual","Estimation method review","Ready"))))))))))</x:f>
      </x:c>
      <x:c r="W299" s="9" t="str">
        <x:f>IF(C299="","",IFERROR(IF(INDEX('Inventory'!$G$9:$G$108,MATCH(D299,'Inventory'!$C$9:$C$108,0))="","",INDEX('Inventory'!$G$9:$G$108,MATCH(D299,'Inventory'!$C$9:$C$108,0))),""))</x:f>
      </x:c>
      <x:c r="X299" s="9" t="str">
        <x:f>IF(C299="","",IFERROR(IF(INDEX('Factors'!$P$9:$P$108,MATCH(J299,'Factors'!$C$9:$C$108,0))="","",INDEX('Factors'!$P$9:$P$108,MATCH(J299,'Factors'!$C$9:$C$108,0))),""))</x:f>
      </x:c>
    </x:row>
    <x:row r="300" ht="26" customHeight="1">
      <x:c r="A300" s="1"/>
      <x:c r="B300" s="1"/>
      <x:c r="C300" s="8"/>
      <x:c r="D300" s="8"/>
      <x:c r="E300" s="8"/>
      <x:c r="F300" s="8"/>
      <x:c r="G300" s="8"/>
      <x:c r="H300" s="16"/>
      <x:c r="I300" s="8"/>
      <x:c r="J300" s="8"/>
      <x:c r="K300" s="22"/>
      <x:c r="L300" s="8"/>
      <x:c r="M300" s="8"/>
      <x:c r="N300" s="40"/>
      <x:c r="O300" s="41" t="str">
        <x:f>IF(C300="","",IFERROR(IF(INDEX('Factors'!$G$9:$G$108,MATCH(J300,'Factors'!$C$9:$C$108,0))="","",INDEX('Factors'!$G$9:$G$108,MATCH(J300,'Factors'!$C$9:$C$108,0))),""))</x:f>
      </x:c>
      <x:c r="P300" s="9" t="str">
        <x:f>IF(C300="","",IFERROR(IF(INDEX('Factors'!$F$9:$F$108,MATCH(J300,'Factors'!$C$9:$C$108,0))="","",INDEX('Factors'!$F$9:$F$108,MATCH(J300,'Factors'!$C$9:$C$108,0))),""))</x:f>
      </x:c>
      <x:c r="Q300" s="9" t="str">
        <x:f>IF(C300="","",IFERROR(IF(INDEX('Factors'!$H$9:$H$108,MATCH(J300,'Factors'!$C$9:$C$108,0))="","",INDEX('Factors'!$H$9:$H$108,MATCH(J300,'Factors'!$C$9:$C$108,0))),""))</x:f>
      </x:c>
      <x:c r="R300" s="9" t="str">
        <x:f>IF(C300="","",IFERROR(IF(INDEX('Factors'!$E$9:$E$108,MATCH(J300,'Factors'!$C$9:$C$108,0))="","",INDEX('Factors'!$E$9:$E$108,MATCH(J300,'Factors'!$C$9:$C$108,0))),""))</x:f>
      </x:c>
      <x:c r="S300" s="42" t="str">
        <x:f>IF(C300="","",IFERROR(IF(INDEX('Factors'!$J$9:$J$108,MATCH(J300,'Factors'!$C$9:$C$108,0))="","",INDEX('Factors'!$J$9:$J$108,MATCH(J300,'Factors'!$C$9:$C$108,0))),""))</x:f>
      </x:c>
      <x:c r="T300" s="9" t="str">
        <x:f>IF(C300="","",IFERROR(IF(INDEX('Factors'!$L$9:$L$108,MATCH(J300,'Factors'!$C$9:$C$108,0))="","",INDEX('Factors'!$L$9:$L$108,MATCH(J300,'Factors'!$C$9:$C$108,0))),"")&amp;" / "&amp;IFERROR(IF(INDEX('Factors'!$M$9:$M$108,MATCH(J300,'Factors'!$C$9:$C$108,0))="","",INDEX('Factors'!$M$9:$M$108,MATCH(J300,'Factors'!$C$9:$C$108,0))),""))</x:f>
      </x:c>
      <x:c r="U300" s="21" t="str">
        <x:f>IF(V300="Ready",H300*O300/1000,"")</x:f>
      </x:c>
      <x:c r="V300" s="9" t="str">
        <x:f>IF(C300="","",IF(OR(COUNTIFS($C$9:$C$308,C300)&lt;&gt;1,COUNTIFS($D$9:$D$308,D300,$E$9:$E$308,E300,$F$9:$F$308,F300,$G$9:$G$308,G300,$K$9:$K$308,K300)&lt;&gt;1),"Duplicate annual activity",IF(COUNTIFS('Inventory'!$C$9:$C$108,D300)&lt;&gt;1,"Entity required",IF(OR(E300="",L300="",NOT(ISNUMBER(H300)),H300&lt;0,NOT(ISNUMBER(K300)),NOT(ISNUMBER(N300))),"Missing activity input",IF(AND(E300&lt;&gt;D300,OR(COUNTIFS('Sites'!$C$9:$C$108,E300)&lt;&gt;1,IFERROR(IF(INDEX('Sites'!$D$9:$D$108,MATCH(E300,'Sites'!$C$9:$C$108,0))="","",INDEX('Sites'!$D$9:$D$108,MATCH(E300,'Sites'!$C$9:$C$108,0))),"")&lt;&gt;IFERROR(IF(INDEX('Inventory'!$D$9:$D$108,MATCH(D300,'Inventory'!$C$9:$C$108,0))="","",INDEX('Inventory'!$D$9:$D$108,MATCH(D300,'Inventory'!$C$9:$C$108,0))),""),IFERROR(IF(INDEX('Sites'!$E$9:$E$108,MATCH(E300,'Sites'!$C$9:$C$108,0))="","",INDEX('Sites'!$E$9:$E$108,MATCH(E300,'Sites'!$C$9:$C$108,0))),"")&lt;&gt;W300)),"Site / entity mismatch",IF(N300&lt;'Settings'!$F$8,"Expired",IF(X300&lt;&gt;"Ready","Factor required",IF(OR(G300&lt;&gt;IFERROR(IF(INDEX('Factors'!$D$9:$D$108,MATCH(J300,'Factors'!$C$9:$C$108,0))="","",INDEX('Factors'!$D$9:$D$108,MATCH(J300,'Factors'!$C$9:$C$108,0))),""),I300&lt;&gt;P300,F300&lt;&gt;Q300,K300&lt;&gt;S300,AND(R300&lt;&gt;"Global",R300&lt;&gt;W300),K300&lt;&gt;YEAR(IFERROR(IF(INDEX('Inventory'!$H$9:$H$108,MATCH(D300,'Inventory'!$C$9:$C$108,0))="","",INDEX('Inventory'!$H$9:$H$108,MATCH(D300,'Inventory'!$C$9:$C$108,0))),""))),"Factor / boundary mismatch",IF(AND(F300="S2",IFERROR(IF(INDEX('Factors'!$I$9:$I$108,MATCH(J300,'Factors'!$C$9:$C$108,0))="","",INDEX('Factors'!$I$9:$I$108,MATCH(J300,'Factors'!$C$9:$C$108,0))),"")&lt;&gt;"Location-based"),"Use location factor",IF(M300&lt;&gt;"Actual","Estimation method review","Ready"))))))))))</x:f>
      </x:c>
      <x:c r="W300" s="9" t="str">
        <x:f>IF(C300="","",IFERROR(IF(INDEX('Inventory'!$G$9:$G$108,MATCH(D300,'Inventory'!$C$9:$C$108,0))="","",INDEX('Inventory'!$G$9:$G$108,MATCH(D300,'Inventory'!$C$9:$C$108,0))),""))</x:f>
      </x:c>
      <x:c r="X300" s="9" t="str">
        <x:f>IF(C300="","",IFERROR(IF(INDEX('Factors'!$P$9:$P$108,MATCH(J300,'Factors'!$C$9:$C$108,0))="","",INDEX('Factors'!$P$9:$P$108,MATCH(J300,'Factors'!$C$9:$C$108,0))),""))</x:f>
      </x:c>
    </x:row>
    <x:row r="301" ht="26" customHeight="1">
      <x:c r="A301" s="1"/>
      <x:c r="B301" s="1"/>
      <x:c r="C301" s="8"/>
      <x:c r="D301" s="8"/>
      <x:c r="E301" s="8"/>
      <x:c r="F301" s="8"/>
      <x:c r="G301" s="8"/>
      <x:c r="H301" s="16"/>
      <x:c r="I301" s="8"/>
      <x:c r="J301" s="8"/>
      <x:c r="K301" s="22"/>
      <x:c r="L301" s="8"/>
      <x:c r="M301" s="8"/>
      <x:c r="N301" s="40"/>
      <x:c r="O301" s="41" t="str">
        <x:f>IF(C301="","",IFERROR(IF(INDEX('Factors'!$G$9:$G$108,MATCH(J301,'Factors'!$C$9:$C$108,0))="","",INDEX('Factors'!$G$9:$G$108,MATCH(J301,'Factors'!$C$9:$C$108,0))),""))</x:f>
      </x:c>
      <x:c r="P301" s="9" t="str">
        <x:f>IF(C301="","",IFERROR(IF(INDEX('Factors'!$F$9:$F$108,MATCH(J301,'Factors'!$C$9:$C$108,0))="","",INDEX('Factors'!$F$9:$F$108,MATCH(J301,'Factors'!$C$9:$C$108,0))),""))</x:f>
      </x:c>
      <x:c r="Q301" s="9" t="str">
        <x:f>IF(C301="","",IFERROR(IF(INDEX('Factors'!$H$9:$H$108,MATCH(J301,'Factors'!$C$9:$C$108,0))="","",INDEX('Factors'!$H$9:$H$108,MATCH(J301,'Factors'!$C$9:$C$108,0))),""))</x:f>
      </x:c>
      <x:c r="R301" s="9" t="str">
        <x:f>IF(C301="","",IFERROR(IF(INDEX('Factors'!$E$9:$E$108,MATCH(J301,'Factors'!$C$9:$C$108,0))="","",INDEX('Factors'!$E$9:$E$108,MATCH(J301,'Factors'!$C$9:$C$108,0))),""))</x:f>
      </x:c>
      <x:c r="S301" s="42" t="str">
        <x:f>IF(C301="","",IFERROR(IF(INDEX('Factors'!$J$9:$J$108,MATCH(J301,'Factors'!$C$9:$C$108,0))="","",INDEX('Factors'!$J$9:$J$108,MATCH(J301,'Factors'!$C$9:$C$108,0))),""))</x:f>
      </x:c>
      <x:c r="T301" s="9" t="str">
        <x:f>IF(C301="","",IFERROR(IF(INDEX('Factors'!$L$9:$L$108,MATCH(J301,'Factors'!$C$9:$C$108,0))="","",INDEX('Factors'!$L$9:$L$108,MATCH(J301,'Factors'!$C$9:$C$108,0))),"")&amp;" / "&amp;IFERROR(IF(INDEX('Factors'!$M$9:$M$108,MATCH(J301,'Factors'!$C$9:$C$108,0))="","",INDEX('Factors'!$M$9:$M$108,MATCH(J301,'Factors'!$C$9:$C$108,0))),""))</x:f>
      </x:c>
      <x:c r="U301" s="21" t="str">
        <x:f>IF(V301="Ready",H301*O301/1000,"")</x:f>
      </x:c>
      <x:c r="V301" s="9" t="str">
        <x:f>IF(C301="","",IF(OR(COUNTIFS($C$9:$C$308,C301)&lt;&gt;1,COUNTIFS($D$9:$D$308,D301,$E$9:$E$308,E301,$F$9:$F$308,F301,$G$9:$G$308,G301,$K$9:$K$308,K301)&lt;&gt;1),"Duplicate annual activity",IF(COUNTIFS('Inventory'!$C$9:$C$108,D301)&lt;&gt;1,"Entity required",IF(OR(E301="",L301="",NOT(ISNUMBER(H301)),H301&lt;0,NOT(ISNUMBER(K301)),NOT(ISNUMBER(N301))),"Missing activity input",IF(AND(E301&lt;&gt;D301,OR(COUNTIFS('Sites'!$C$9:$C$108,E301)&lt;&gt;1,IFERROR(IF(INDEX('Sites'!$D$9:$D$108,MATCH(E301,'Sites'!$C$9:$C$108,0))="","",INDEX('Sites'!$D$9:$D$108,MATCH(E301,'Sites'!$C$9:$C$108,0))),"")&lt;&gt;IFERROR(IF(INDEX('Inventory'!$D$9:$D$108,MATCH(D301,'Inventory'!$C$9:$C$108,0))="","",INDEX('Inventory'!$D$9:$D$108,MATCH(D301,'Inventory'!$C$9:$C$108,0))),""),IFERROR(IF(INDEX('Sites'!$E$9:$E$108,MATCH(E301,'Sites'!$C$9:$C$108,0))="","",INDEX('Sites'!$E$9:$E$108,MATCH(E301,'Sites'!$C$9:$C$108,0))),"")&lt;&gt;W301)),"Site / entity mismatch",IF(N301&lt;'Settings'!$F$8,"Expired",IF(X301&lt;&gt;"Ready","Factor required",IF(OR(G301&lt;&gt;IFERROR(IF(INDEX('Factors'!$D$9:$D$108,MATCH(J301,'Factors'!$C$9:$C$108,0))="","",INDEX('Factors'!$D$9:$D$108,MATCH(J301,'Factors'!$C$9:$C$108,0))),""),I301&lt;&gt;P301,F301&lt;&gt;Q301,K301&lt;&gt;S301,AND(R301&lt;&gt;"Global",R301&lt;&gt;W301),K301&lt;&gt;YEAR(IFERROR(IF(INDEX('Inventory'!$H$9:$H$108,MATCH(D301,'Inventory'!$C$9:$C$108,0))="","",INDEX('Inventory'!$H$9:$H$108,MATCH(D301,'Inventory'!$C$9:$C$108,0))),""))),"Factor / boundary mismatch",IF(AND(F301="S2",IFERROR(IF(INDEX('Factors'!$I$9:$I$108,MATCH(J301,'Factors'!$C$9:$C$108,0))="","",INDEX('Factors'!$I$9:$I$108,MATCH(J301,'Factors'!$C$9:$C$108,0))),"")&lt;&gt;"Location-based"),"Use location factor",IF(M301&lt;&gt;"Actual","Estimation method review","Ready"))))))))))</x:f>
      </x:c>
      <x:c r="W301" s="9" t="str">
        <x:f>IF(C301="","",IFERROR(IF(INDEX('Inventory'!$G$9:$G$108,MATCH(D301,'Inventory'!$C$9:$C$108,0))="","",INDEX('Inventory'!$G$9:$G$108,MATCH(D301,'Inventory'!$C$9:$C$108,0))),""))</x:f>
      </x:c>
      <x:c r="X301" s="9" t="str">
        <x:f>IF(C301="","",IFERROR(IF(INDEX('Factors'!$P$9:$P$108,MATCH(J301,'Factors'!$C$9:$C$108,0))="","",INDEX('Factors'!$P$9:$P$108,MATCH(J301,'Factors'!$C$9:$C$108,0))),""))</x:f>
      </x:c>
    </x:row>
    <x:row r="302" ht="26" customHeight="1">
      <x:c r="A302" s="1"/>
      <x:c r="B302" s="1"/>
      <x:c r="C302" s="8"/>
      <x:c r="D302" s="8"/>
      <x:c r="E302" s="8"/>
      <x:c r="F302" s="8"/>
      <x:c r="G302" s="8"/>
      <x:c r="H302" s="16"/>
      <x:c r="I302" s="8"/>
      <x:c r="J302" s="8"/>
      <x:c r="K302" s="22"/>
      <x:c r="L302" s="8"/>
      <x:c r="M302" s="8"/>
      <x:c r="N302" s="40"/>
      <x:c r="O302" s="41" t="str">
        <x:f>IF(C302="","",IFERROR(IF(INDEX('Factors'!$G$9:$G$108,MATCH(J302,'Factors'!$C$9:$C$108,0))="","",INDEX('Factors'!$G$9:$G$108,MATCH(J302,'Factors'!$C$9:$C$108,0))),""))</x:f>
      </x:c>
      <x:c r="P302" s="9" t="str">
        <x:f>IF(C302="","",IFERROR(IF(INDEX('Factors'!$F$9:$F$108,MATCH(J302,'Factors'!$C$9:$C$108,0))="","",INDEX('Factors'!$F$9:$F$108,MATCH(J302,'Factors'!$C$9:$C$108,0))),""))</x:f>
      </x:c>
      <x:c r="Q302" s="9" t="str">
        <x:f>IF(C302="","",IFERROR(IF(INDEX('Factors'!$H$9:$H$108,MATCH(J302,'Factors'!$C$9:$C$108,0))="","",INDEX('Factors'!$H$9:$H$108,MATCH(J302,'Factors'!$C$9:$C$108,0))),""))</x:f>
      </x:c>
      <x:c r="R302" s="9" t="str">
        <x:f>IF(C302="","",IFERROR(IF(INDEX('Factors'!$E$9:$E$108,MATCH(J302,'Factors'!$C$9:$C$108,0))="","",INDEX('Factors'!$E$9:$E$108,MATCH(J302,'Factors'!$C$9:$C$108,0))),""))</x:f>
      </x:c>
      <x:c r="S302" s="42" t="str">
        <x:f>IF(C302="","",IFERROR(IF(INDEX('Factors'!$J$9:$J$108,MATCH(J302,'Factors'!$C$9:$C$108,0))="","",INDEX('Factors'!$J$9:$J$108,MATCH(J302,'Factors'!$C$9:$C$108,0))),""))</x:f>
      </x:c>
      <x:c r="T302" s="9" t="str">
        <x:f>IF(C302="","",IFERROR(IF(INDEX('Factors'!$L$9:$L$108,MATCH(J302,'Factors'!$C$9:$C$108,0))="","",INDEX('Factors'!$L$9:$L$108,MATCH(J302,'Factors'!$C$9:$C$108,0))),"")&amp;" / "&amp;IFERROR(IF(INDEX('Factors'!$M$9:$M$108,MATCH(J302,'Factors'!$C$9:$C$108,0))="","",INDEX('Factors'!$M$9:$M$108,MATCH(J302,'Factors'!$C$9:$C$108,0))),""))</x:f>
      </x:c>
      <x:c r="U302" s="21" t="str">
        <x:f>IF(V302="Ready",H302*O302/1000,"")</x:f>
      </x:c>
      <x:c r="V302" s="9" t="str">
        <x:f>IF(C302="","",IF(OR(COUNTIFS($C$9:$C$308,C302)&lt;&gt;1,COUNTIFS($D$9:$D$308,D302,$E$9:$E$308,E302,$F$9:$F$308,F302,$G$9:$G$308,G302,$K$9:$K$308,K302)&lt;&gt;1),"Duplicate annual activity",IF(COUNTIFS('Inventory'!$C$9:$C$108,D302)&lt;&gt;1,"Entity required",IF(OR(E302="",L302="",NOT(ISNUMBER(H302)),H302&lt;0,NOT(ISNUMBER(K302)),NOT(ISNUMBER(N302))),"Missing activity input",IF(AND(E302&lt;&gt;D302,OR(COUNTIFS('Sites'!$C$9:$C$108,E302)&lt;&gt;1,IFERROR(IF(INDEX('Sites'!$D$9:$D$108,MATCH(E302,'Sites'!$C$9:$C$108,0))="","",INDEX('Sites'!$D$9:$D$108,MATCH(E302,'Sites'!$C$9:$C$108,0))),"")&lt;&gt;IFERROR(IF(INDEX('Inventory'!$D$9:$D$108,MATCH(D302,'Inventory'!$C$9:$C$108,0))="","",INDEX('Inventory'!$D$9:$D$108,MATCH(D302,'Inventory'!$C$9:$C$108,0))),""),IFERROR(IF(INDEX('Sites'!$E$9:$E$108,MATCH(E302,'Sites'!$C$9:$C$108,0))="","",INDEX('Sites'!$E$9:$E$108,MATCH(E302,'Sites'!$C$9:$C$108,0))),"")&lt;&gt;W302)),"Site / entity mismatch",IF(N302&lt;'Settings'!$F$8,"Expired",IF(X302&lt;&gt;"Ready","Factor required",IF(OR(G302&lt;&gt;IFERROR(IF(INDEX('Factors'!$D$9:$D$108,MATCH(J302,'Factors'!$C$9:$C$108,0))="","",INDEX('Factors'!$D$9:$D$108,MATCH(J302,'Factors'!$C$9:$C$108,0))),""),I302&lt;&gt;P302,F302&lt;&gt;Q302,K302&lt;&gt;S302,AND(R302&lt;&gt;"Global",R302&lt;&gt;W302),K302&lt;&gt;YEAR(IFERROR(IF(INDEX('Inventory'!$H$9:$H$108,MATCH(D302,'Inventory'!$C$9:$C$108,0))="","",INDEX('Inventory'!$H$9:$H$108,MATCH(D302,'Inventory'!$C$9:$C$108,0))),""))),"Factor / boundary mismatch",IF(AND(F302="S2",IFERROR(IF(INDEX('Factors'!$I$9:$I$108,MATCH(J302,'Factors'!$C$9:$C$108,0))="","",INDEX('Factors'!$I$9:$I$108,MATCH(J302,'Factors'!$C$9:$C$108,0))),"")&lt;&gt;"Location-based"),"Use location factor",IF(M302&lt;&gt;"Actual","Estimation method review","Ready"))))))))))</x:f>
      </x:c>
      <x:c r="W302" s="9" t="str">
        <x:f>IF(C302="","",IFERROR(IF(INDEX('Inventory'!$G$9:$G$108,MATCH(D302,'Inventory'!$C$9:$C$108,0))="","",INDEX('Inventory'!$G$9:$G$108,MATCH(D302,'Inventory'!$C$9:$C$108,0))),""))</x:f>
      </x:c>
      <x:c r="X302" s="9" t="str">
        <x:f>IF(C302="","",IFERROR(IF(INDEX('Factors'!$P$9:$P$108,MATCH(J302,'Factors'!$C$9:$C$108,0))="","",INDEX('Factors'!$P$9:$P$108,MATCH(J302,'Factors'!$C$9:$C$108,0))),""))</x:f>
      </x:c>
    </x:row>
    <x:row r="303" ht="26" customHeight="1">
      <x:c r="A303" s="1"/>
      <x:c r="B303" s="1"/>
      <x:c r="C303" s="8"/>
      <x:c r="D303" s="8"/>
      <x:c r="E303" s="8"/>
      <x:c r="F303" s="8"/>
      <x:c r="G303" s="8"/>
      <x:c r="H303" s="16"/>
      <x:c r="I303" s="8"/>
      <x:c r="J303" s="8"/>
      <x:c r="K303" s="22"/>
      <x:c r="L303" s="8"/>
      <x:c r="M303" s="8"/>
      <x:c r="N303" s="40"/>
      <x:c r="O303" s="41" t="str">
        <x:f>IF(C303="","",IFERROR(IF(INDEX('Factors'!$G$9:$G$108,MATCH(J303,'Factors'!$C$9:$C$108,0))="","",INDEX('Factors'!$G$9:$G$108,MATCH(J303,'Factors'!$C$9:$C$108,0))),""))</x:f>
      </x:c>
      <x:c r="P303" s="9" t="str">
        <x:f>IF(C303="","",IFERROR(IF(INDEX('Factors'!$F$9:$F$108,MATCH(J303,'Factors'!$C$9:$C$108,0))="","",INDEX('Factors'!$F$9:$F$108,MATCH(J303,'Factors'!$C$9:$C$108,0))),""))</x:f>
      </x:c>
      <x:c r="Q303" s="9" t="str">
        <x:f>IF(C303="","",IFERROR(IF(INDEX('Factors'!$H$9:$H$108,MATCH(J303,'Factors'!$C$9:$C$108,0))="","",INDEX('Factors'!$H$9:$H$108,MATCH(J303,'Factors'!$C$9:$C$108,0))),""))</x:f>
      </x:c>
      <x:c r="R303" s="9" t="str">
        <x:f>IF(C303="","",IFERROR(IF(INDEX('Factors'!$E$9:$E$108,MATCH(J303,'Factors'!$C$9:$C$108,0))="","",INDEX('Factors'!$E$9:$E$108,MATCH(J303,'Factors'!$C$9:$C$108,0))),""))</x:f>
      </x:c>
      <x:c r="S303" s="42" t="str">
        <x:f>IF(C303="","",IFERROR(IF(INDEX('Factors'!$J$9:$J$108,MATCH(J303,'Factors'!$C$9:$C$108,0))="","",INDEX('Factors'!$J$9:$J$108,MATCH(J303,'Factors'!$C$9:$C$108,0))),""))</x:f>
      </x:c>
      <x:c r="T303" s="9" t="str">
        <x:f>IF(C303="","",IFERROR(IF(INDEX('Factors'!$L$9:$L$108,MATCH(J303,'Factors'!$C$9:$C$108,0))="","",INDEX('Factors'!$L$9:$L$108,MATCH(J303,'Factors'!$C$9:$C$108,0))),"")&amp;" / "&amp;IFERROR(IF(INDEX('Factors'!$M$9:$M$108,MATCH(J303,'Factors'!$C$9:$C$108,0))="","",INDEX('Factors'!$M$9:$M$108,MATCH(J303,'Factors'!$C$9:$C$108,0))),""))</x:f>
      </x:c>
      <x:c r="U303" s="21" t="str">
        <x:f>IF(V303="Ready",H303*O303/1000,"")</x:f>
      </x:c>
      <x:c r="V303" s="9" t="str">
        <x:f>IF(C303="","",IF(OR(COUNTIFS($C$9:$C$308,C303)&lt;&gt;1,COUNTIFS($D$9:$D$308,D303,$E$9:$E$308,E303,$F$9:$F$308,F303,$G$9:$G$308,G303,$K$9:$K$308,K303)&lt;&gt;1),"Duplicate annual activity",IF(COUNTIFS('Inventory'!$C$9:$C$108,D303)&lt;&gt;1,"Entity required",IF(OR(E303="",L303="",NOT(ISNUMBER(H303)),H303&lt;0,NOT(ISNUMBER(K303)),NOT(ISNUMBER(N303))),"Missing activity input",IF(AND(E303&lt;&gt;D303,OR(COUNTIFS('Sites'!$C$9:$C$108,E303)&lt;&gt;1,IFERROR(IF(INDEX('Sites'!$D$9:$D$108,MATCH(E303,'Sites'!$C$9:$C$108,0))="","",INDEX('Sites'!$D$9:$D$108,MATCH(E303,'Sites'!$C$9:$C$108,0))),"")&lt;&gt;IFERROR(IF(INDEX('Inventory'!$D$9:$D$108,MATCH(D303,'Inventory'!$C$9:$C$108,0))="","",INDEX('Inventory'!$D$9:$D$108,MATCH(D303,'Inventory'!$C$9:$C$108,0))),""),IFERROR(IF(INDEX('Sites'!$E$9:$E$108,MATCH(E303,'Sites'!$C$9:$C$108,0))="","",INDEX('Sites'!$E$9:$E$108,MATCH(E303,'Sites'!$C$9:$C$108,0))),"")&lt;&gt;W303)),"Site / entity mismatch",IF(N303&lt;'Settings'!$F$8,"Expired",IF(X303&lt;&gt;"Ready","Factor required",IF(OR(G303&lt;&gt;IFERROR(IF(INDEX('Factors'!$D$9:$D$108,MATCH(J303,'Factors'!$C$9:$C$108,0))="","",INDEX('Factors'!$D$9:$D$108,MATCH(J303,'Factors'!$C$9:$C$108,0))),""),I303&lt;&gt;P303,F303&lt;&gt;Q303,K303&lt;&gt;S303,AND(R303&lt;&gt;"Global",R303&lt;&gt;W303),K303&lt;&gt;YEAR(IFERROR(IF(INDEX('Inventory'!$H$9:$H$108,MATCH(D303,'Inventory'!$C$9:$C$108,0))="","",INDEX('Inventory'!$H$9:$H$108,MATCH(D303,'Inventory'!$C$9:$C$108,0))),""))),"Factor / boundary mismatch",IF(AND(F303="S2",IFERROR(IF(INDEX('Factors'!$I$9:$I$108,MATCH(J303,'Factors'!$C$9:$C$108,0))="","",INDEX('Factors'!$I$9:$I$108,MATCH(J303,'Factors'!$C$9:$C$108,0))),"")&lt;&gt;"Location-based"),"Use location factor",IF(M303&lt;&gt;"Actual","Estimation method review","Ready"))))))))))</x:f>
      </x:c>
      <x:c r="W303" s="9" t="str">
        <x:f>IF(C303="","",IFERROR(IF(INDEX('Inventory'!$G$9:$G$108,MATCH(D303,'Inventory'!$C$9:$C$108,0))="","",INDEX('Inventory'!$G$9:$G$108,MATCH(D303,'Inventory'!$C$9:$C$108,0))),""))</x:f>
      </x:c>
      <x:c r="X303" s="9" t="str">
        <x:f>IF(C303="","",IFERROR(IF(INDEX('Factors'!$P$9:$P$108,MATCH(J303,'Factors'!$C$9:$C$108,0))="","",INDEX('Factors'!$P$9:$P$108,MATCH(J303,'Factors'!$C$9:$C$108,0))),""))</x:f>
      </x:c>
    </x:row>
    <x:row r="304" ht="26" customHeight="1">
      <x:c r="A304" s="1"/>
      <x:c r="B304" s="1"/>
      <x:c r="C304" s="8"/>
      <x:c r="D304" s="8"/>
      <x:c r="E304" s="8"/>
      <x:c r="F304" s="8"/>
      <x:c r="G304" s="8"/>
      <x:c r="H304" s="16"/>
      <x:c r="I304" s="8"/>
      <x:c r="J304" s="8"/>
      <x:c r="K304" s="22"/>
      <x:c r="L304" s="8"/>
      <x:c r="M304" s="8"/>
      <x:c r="N304" s="40"/>
      <x:c r="O304" s="41" t="str">
        <x:f>IF(C304="","",IFERROR(IF(INDEX('Factors'!$G$9:$G$108,MATCH(J304,'Factors'!$C$9:$C$108,0))="","",INDEX('Factors'!$G$9:$G$108,MATCH(J304,'Factors'!$C$9:$C$108,0))),""))</x:f>
      </x:c>
      <x:c r="P304" s="9" t="str">
        <x:f>IF(C304="","",IFERROR(IF(INDEX('Factors'!$F$9:$F$108,MATCH(J304,'Factors'!$C$9:$C$108,0))="","",INDEX('Factors'!$F$9:$F$108,MATCH(J304,'Factors'!$C$9:$C$108,0))),""))</x:f>
      </x:c>
      <x:c r="Q304" s="9" t="str">
        <x:f>IF(C304="","",IFERROR(IF(INDEX('Factors'!$H$9:$H$108,MATCH(J304,'Factors'!$C$9:$C$108,0))="","",INDEX('Factors'!$H$9:$H$108,MATCH(J304,'Factors'!$C$9:$C$108,0))),""))</x:f>
      </x:c>
      <x:c r="R304" s="9" t="str">
        <x:f>IF(C304="","",IFERROR(IF(INDEX('Factors'!$E$9:$E$108,MATCH(J304,'Factors'!$C$9:$C$108,0))="","",INDEX('Factors'!$E$9:$E$108,MATCH(J304,'Factors'!$C$9:$C$108,0))),""))</x:f>
      </x:c>
      <x:c r="S304" s="42" t="str">
        <x:f>IF(C304="","",IFERROR(IF(INDEX('Factors'!$J$9:$J$108,MATCH(J304,'Factors'!$C$9:$C$108,0))="","",INDEX('Factors'!$J$9:$J$108,MATCH(J304,'Factors'!$C$9:$C$108,0))),""))</x:f>
      </x:c>
      <x:c r="T304" s="9" t="str">
        <x:f>IF(C304="","",IFERROR(IF(INDEX('Factors'!$L$9:$L$108,MATCH(J304,'Factors'!$C$9:$C$108,0))="","",INDEX('Factors'!$L$9:$L$108,MATCH(J304,'Factors'!$C$9:$C$108,0))),"")&amp;" / "&amp;IFERROR(IF(INDEX('Factors'!$M$9:$M$108,MATCH(J304,'Factors'!$C$9:$C$108,0))="","",INDEX('Factors'!$M$9:$M$108,MATCH(J304,'Factors'!$C$9:$C$108,0))),""))</x:f>
      </x:c>
      <x:c r="U304" s="21" t="str">
        <x:f>IF(V304="Ready",H304*O304/1000,"")</x:f>
      </x:c>
      <x:c r="V304" s="9" t="str">
        <x:f>IF(C304="","",IF(OR(COUNTIFS($C$9:$C$308,C304)&lt;&gt;1,COUNTIFS($D$9:$D$308,D304,$E$9:$E$308,E304,$F$9:$F$308,F304,$G$9:$G$308,G304,$K$9:$K$308,K304)&lt;&gt;1),"Duplicate annual activity",IF(COUNTIFS('Inventory'!$C$9:$C$108,D304)&lt;&gt;1,"Entity required",IF(OR(E304="",L304="",NOT(ISNUMBER(H304)),H304&lt;0,NOT(ISNUMBER(K304)),NOT(ISNUMBER(N304))),"Missing activity input",IF(AND(E304&lt;&gt;D304,OR(COUNTIFS('Sites'!$C$9:$C$108,E304)&lt;&gt;1,IFERROR(IF(INDEX('Sites'!$D$9:$D$108,MATCH(E304,'Sites'!$C$9:$C$108,0))="","",INDEX('Sites'!$D$9:$D$108,MATCH(E304,'Sites'!$C$9:$C$108,0))),"")&lt;&gt;IFERROR(IF(INDEX('Inventory'!$D$9:$D$108,MATCH(D304,'Inventory'!$C$9:$C$108,0))="","",INDEX('Inventory'!$D$9:$D$108,MATCH(D304,'Inventory'!$C$9:$C$108,0))),""),IFERROR(IF(INDEX('Sites'!$E$9:$E$108,MATCH(E304,'Sites'!$C$9:$C$108,0))="","",INDEX('Sites'!$E$9:$E$108,MATCH(E304,'Sites'!$C$9:$C$108,0))),"")&lt;&gt;W304)),"Site / entity mismatch",IF(N304&lt;'Settings'!$F$8,"Expired",IF(X304&lt;&gt;"Ready","Factor required",IF(OR(G304&lt;&gt;IFERROR(IF(INDEX('Factors'!$D$9:$D$108,MATCH(J304,'Factors'!$C$9:$C$108,0))="","",INDEX('Factors'!$D$9:$D$108,MATCH(J304,'Factors'!$C$9:$C$108,0))),""),I304&lt;&gt;P304,F304&lt;&gt;Q304,K304&lt;&gt;S304,AND(R304&lt;&gt;"Global",R304&lt;&gt;W304),K304&lt;&gt;YEAR(IFERROR(IF(INDEX('Inventory'!$H$9:$H$108,MATCH(D304,'Inventory'!$C$9:$C$108,0))="","",INDEX('Inventory'!$H$9:$H$108,MATCH(D304,'Inventory'!$C$9:$C$108,0))),""))),"Factor / boundary mismatch",IF(AND(F304="S2",IFERROR(IF(INDEX('Factors'!$I$9:$I$108,MATCH(J304,'Factors'!$C$9:$C$108,0))="","",INDEX('Factors'!$I$9:$I$108,MATCH(J304,'Factors'!$C$9:$C$108,0))),"")&lt;&gt;"Location-based"),"Use location factor",IF(M304&lt;&gt;"Actual","Estimation method review","Ready"))))))))))</x:f>
      </x:c>
      <x:c r="W304" s="9" t="str">
        <x:f>IF(C304="","",IFERROR(IF(INDEX('Inventory'!$G$9:$G$108,MATCH(D304,'Inventory'!$C$9:$C$108,0))="","",INDEX('Inventory'!$G$9:$G$108,MATCH(D304,'Inventory'!$C$9:$C$108,0))),""))</x:f>
      </x:c>
      <x:c r="X304" s="9" t="str">
        <x:f>IF(C304="","",IFERROR(IF(INDEX('Factors'!$P$9:$P$108,MATCH(J304,'Factors'!$C$9:$C$108,0))="","",INDEX('Factors'!$P$9:$P$108,MATCH(J304,'Factors'!$C$9:$C$108,0))),""))</x:f>
      </x:c>
    </x:row>
    <x:row r="305" ht="26" customHeight="1">
      <x:c r="A305" s="1"/>
      <x:c r="B305" s="1"/>
      <x:c r="C305" s="8"/>
      <x:c r="D305" s="8"/>
      <x:c r="E305" s="8"/>
      <x:c r="F305" s="8"/>
      <x:c r="G305" s="8"/>
      <x:c r="H305" s="16"/>
      <x:c r="I305" s="8"/>
      <x:c r="J305" s="8"/>
      <x:c r="K305" s="22"/>
      <x:c r="L305" s="8"/>
      <x:c r="M305" s="8"/>
      <x:c r="N305" s="40"/>
      <x:c r="O305" s="41" t="str">
        <x:f>IF(C305="","",IFERROR(IF(INDEX('Factors'!$G$9:$G$108,MATCH(J305,'Factors'!$C$9:$C$108,0))="","",INDEX('Factors'!$G$9:$G$108,MATCH(J305,'Factors'!$C$9:$C$108,0))),""))</x:f>
      </x:c>
      <x:c r="P305" s="9" t="str">
        <x:f>IF(C305="","",IFERROR(IF(INDEX('Factors'!$F$9:$F$108,MATCH(J305,'Factors'!$C$9:$C$108,0))="","",INDEX('Factors'!$F$9:$F$108,MATCH(J305,'Factors'!$C$9:$C$108,0))),""))</x:f>
      </x:c>
      <x:c r="Q305" s="9" t="str">
        <x:f>IF(C305="","",IFERROR(IF(INDEX('Factors'!$H$9:$H$108,MATCH(J305,'Factors'!$C$9:$C$108,0))="","",INDEX('Factors'!$H$9:$H$108,MATCH(J305,'Factors'!$C$9:$C$108,0))),""))</x:f>
      </x:c>
      <x:c r="R305" s="9" t="str">
        <x:f>IF(C305="","",IFERROR(IF(INDEX('Factors'!$E$9:$E$108,MATCH(J305,'Factors'!$C$9:$C$108,0))="","",INDEX('Factors'!$E$9:$E$108,MATCH(J305,'Factors'!$C$9:$C$108,0))),""))</x:f>
      </x:c>
      <x:c r="S305" s="42" t="str">
        <x:f>IF(C305="","",IFERROR(IF(INDEX('Factors'!$J$9:$J$108,MATCH(J305,'Factors'!$C$9:$C$108,0))="","",INDEX('Factors'!$J$9:$J$108,MATCH(J305,'Factors'!$C$9:$C$108,0))),""))</x:f>
      </x:c>
      <x:c r="T305" s="9" t="str">
        <x:f>IF(C305="","",IFERROR(IF(INDEX('Factors'!$L$9:$L$108,MATCH(J305,'Factors'!$C$9:$C$108,0))="","",INDEX('Factors'!$L$9:$L$108,MATCH(J305,'Factors'!$C$9:$C$108,0))),"")&amp;" / "&amp;IFERROR(IF(INDEX('Factors'!$M$9:$M$108,MATCH(J305,'Factors'!$C$9:$C$108,0))="","",INDEX('Factors'!$M$9:$M$108,MATCH(J305,'Factors'!$C$9:$C$108,0))),""))</x:f>
      </x:c>
      <x:c r="U305" s="21" t="str">
        <x:f>IF(V305="Ready",H305*O305/1000,"")</x:f>
      </x:c>
      <x:c r="V305" s="9" t="str">
        <x:f>IF(C305="","",IF(OR(COUNTIFS($C$9:$C$308,C305)&lt;&gt;1,COUNTIFS($D$9:$D$308,D305,$E$9:$E$308,E305,$F$9:$F$308,F305,$G$9:$G$308,G305,$K$9:$K$308,K305)&lt;&gt;1),"Duplicate annual activity",IF(COUNTIFS('Inventory'!$C$9:$C$108,D305)&lt;&gt;1,"Entity required",IF(OR(E305="",L305="",NOT(ISNUMBER(H305)),H305&lt;0,NOT(ISNUMBER(K305)),NOT(ISNUMBER(N305))),"Missing activity input",IF(AND(E305&lt;&gt;D305,OR(COUNTIFS('Sites'!$C$9:$C$108,E305)&lt;&gt;1,IFERROR(IF(INDEX('Sites'!$D$9:$D$108,MATCH(E305,'Sites'!$C$9:$C$108,0))="","",INDEX('Sites'!$D$9:$D$108,MATCH(E305,'Sites'!$C$9:$C$108,0))),"")&lt;&gt;IFERROR(IF(INDEX('Inventory'!$D$9:$D$108,MATCH(D305,'Inventory'!$C$9:$C$108,0))="","",INDEX('Inventory'!$D$9:$D$108,MATCH(D305,'Inventory'!$C$9:$C$108,0))),""),IFERROR(IF(INDEX('Sites'!$E$9:$E$108,MATCH(E305,'Sites'!$C$9:$C$108,0))="","",INDEX('Sites'!$E$9:$E$108,MATCH(E305,'Sites'!$C$9:$C$108,0))),"")&lt;&gt;W305)),"Site / entity mismatch",IF(N305&lt;'Settings'!$F$8,"Expired",IF(X305&lt;&gt;"Ready","Factor required",IF(OR(G305&lt;&gt;IFERROR(IF(INDEX('Factors'!$D$9:$D$108,MATCH(J305,'Factors'!$C$9:$C$108,0))="","",INDEX('Factors'!$D$9:$D$108,MATCH(J305,'Factors'!$C$9:$C$108,0))),""),I305&lt;&gt;P305,F305&lt;&gt;Q305,K305&lt;&gt;S305,AND(R305&lt;&gt;"Global",R305&lt;&gt;W305),K305&lt;&gt;YEAR(IFERROR(IF(INDEX('Inventory'!$H$9:$H$108,MATCH(D305,'Inventory'!$C$9:$C$108,0))="","",INDEX('Inventory'!$H$9:$H$108,MATCH(D305,'Inventory'!$C$9:$C$108,0))),""))),"Factor / boundary mismatch",IF(AND(F305="S2",IFERROR(IF(INDEX('Factors'!$I$9:$I$108,MATCH(J305,'Factors'!$C$9:$C$108,0))="","",INDEX('Factors'!$I$9:$I$108,MATCH(J305,'Factors'!$C$9:$C$108,0))),"")&lt;&gt;"Location-based"),"Use location factor",IF(M305&lt;&gt;"Actual","Estimation method review","Ready"))))))))))</x:f>
      </x:c>
      <x:c r="W305" s="9" t="str">
        <x:f>IF(C305="","",IFERROR(IF(INDEX('Inventory'!$G$9:$G$108,MATCH(D305,'Inventory'!$C$9:$C$108,0))="","",INDEX('Inventory'!$G$9:$G$108,MATCH(D305,'Inventory'!$C$9:$C$108,0))),""))</x:f>
      </x:c>
      <x:c r="X305" s="9" t="str">
        <x:f>IF(C305="","",IFERROR(IF(INDEX('Factors'!$P$9:$P$108,MATCH(J305,'Factors'!$C$9:$C$108,0))="","",INDEX('Factors'!$P$9:$P$108,MATCH(J305,'Factors'!$C$9:$C$108,0))),""))</x:f>
      </x:c>
    </x:row>
    <x:row r="306" ht="26" customHeight="1">
      <x:c r="A306" s="1"/>
      <x:c r="B306" s="1"/>
      <x:c r="C306" s="8"/>
      <x:c r="D306" s="8"/>
      <x:c r="E306" s="8"/>
      <x:c r="F306" s="8"/>
      <x:c r="G306" s="8"/>
      <x:c r="H306" s="16"/>
      <x:c r="I306" s="8"/>
      <x:c r="J306" s="8"/>
      <x:c r="K306" s="22"/>
      <x:c r="L306" s="8"/>
      <x:c r="M306" s="8"/>
      <x:c r="N306" s="40"/>
      <x:c r="O306" s="41" t="str">
        <x:f>IF(C306="","",IFERROR(IF(INDEX('Factors'!$G$9:$G$108,MATCH(J306,'Factors'!$C$9:$C$108,0))="","",INDEX('Factors'!$G$9:$G$108,MATCH(J306,'Factors'!$C$9:$C$108,0))),""))</x:f>
      </x:c>
      <x:c r="P306" s="9" t="str">
        <x:f>IF(C306="","",IFERROR(IF(INDEX('Factors'!$F$9:$F$108,MATCH(J306,'Factors'!$C$9:$C$108,0))="","",INDEX('Factors'!$F$9:$F$108,MATCH(J306,'Factors'!$C$9:$C$108,0))),""))</x:f>
      </x:c>
      <x:c r="Q306" s="9" t="str">
        <x:f>IF(C306="","",IFERROR(IF(INDEX('Factors'!$H$9:$H$108,MATCH(J306,'Factors'!$C$9:$C$108,0))="","",INDEX('Factors'!$H$9:$H$108,MATCH(J306,'Factors'!$C$9:$C$108,0))),""))</x:f>
      </x:c>
      <x:c r="R306" s="9" t="str">
        <x:f>IF(C306="","",IFERROR(IF(INDEX('Factors'!$E$9:$E$108,MATCH(J306,'Factors'!$C$9:$C$108,0))="","",INDEX('Factors'!$E$9:$E$108,MATCH(J306,'Factors'!$C$9:$C$108,0))),""))</x:f>
      </x:c>
      <x:c r="S306" s="42" t="str">
        <x:f>IF(C306="","",IFERROR(IF(INDEX('Factors'!$J$9:$J$108,MATCH(J306,'Factors'!$C$9:$C$108,0))="","",INDEX('Factors'!$J$9:$J$108,MATCH(J306,'Factors'!$C$9:$C$108,0))),""))</x:f>
      </x:c>
      <x:c r="T306" s="9" t="str">
        <x:f>IF(C306="","",IFERROR(IF(INDEX('Factors'!$L$9:$L$108,MATCH(J306,'Factors'!$C$9:$C$108,0))="","",INDEX('Factors'!$L$9:$L$108,MATCH(J306,'Factors'!$C$9:$C$108,0))),"")&amp;" / "&amp;IFERROR(IF(INDEX('Factors'!$M$9:$M$108,MATCH(J306,'Factors'!$C$9:$C$108,0))="","",INDEX('Factors'!$M$9:$M$108,MATCH(J306,'Factors'!$C$9:$C$108,0))),""))</x:f>
      </x:c>
      <x:c r="U306" s="21" t="str">
        <x:f>IF(V306="Ready",H306*O306/1000,"")</x:f>
      </x:c>
      <x:c r="V306" s="9" t="str">
        <x:f>IF(C306="","",IF(OR(COUNTIFS($C$9:$C$308,C306)&lt;&gt;1,COUNTIFS($D$9:$D$308,D306,$E$9:$E$308,E306,$F$9:$F$308,F306,$G$9:$G$308,G306,$K$9:$K$308,K306)&lt;&gt;1),"Duplicate annual activity",IF(COUNTIFS('Inventory'!$C$9:$C$108,D306)&lt;&gt;1,"Entity required",IF(OR(E306="",L306="",NOT(ISNUMBER(H306)),H306&lt;0,NOT(ISNUMBER(K306)),NOT(ISNUMBER(N306))),"Missing activity input",IF(AND(E306&lt;&gt;D306,OR(COUNTIFS('Sites'!$C$9:$C$108,E306)&lt;&gt;1,IFERROR(IF(INDEX('Sites'!$D$9:$D$108,MATCH(E306,'Sites'!$C$9:$C$108,0))="","",INDEX('Sites'!$D$9:$D$108,MATCH(E306,'Sites'!$C$9:$C$108,0))),"")&lt;&gt;IFERROR(IF(INDEX('Inventory'!$D$9:$D$108,MATCH(D306,'Inventory'!$C$9:$C$108,0))="","",INDEX('Inventory'!$D$9:$D$108,MATCH(D306,'Inventory'!$C$9:$C$108,0))),""),IFERROR(IF(INDEX('Sites'!$E$9:$E$108,MATCH(E306,'Sites'!$C$9:$C$108,0))="","",INDEX('Sites'!$E$9:$E$108,MATCH(E306,'Sites'!$C$9:$C$108,0))),"")&lt;&gt;W306)),"Site / entity mismatch",IF(N306&lt;'Settings'!$F$8,"Expired",IF(X306&lt;&gt;"Ready","Factor required",IF(OR(G306&lt;&gt;IFERROR(IF(INDEX('Factors'!$D$9:$D$108,MATCH(J306,'Factors'!$C$9:$C$108,0))="","",INDEX('Factors'!$D$9:$D$108,MATCH(J306,'Factors'!$C$9:$C$108,0))),""),I306&lt;&gt;P306,F306&lt;&gt;Q306,K306&lt;&gt;S306,AND(R306&lt;&gt;"Global",R306&lt;&gt;W306),K306&lt;&gt;YEAR(IFERROR(IF(INDEX('Inventory'!$H$9:$H$108,MATCH(D306,'Inventory'!$C$9:$C$108,0))="","",INDEX('Inventory'!$H$9:$H$108,MATCH(D306,'Inventory'!$C$9:$C$108,0))),""))),"Factor / boundary mismatch",IF(AND(F306="S2",IFERROR(IF(INDEX('Factors'!$I$9:$I$108,MATCH(J306,'Factors'!$C$9:$C$108,0))="","",INDEX('Factors'!$I$9:$I$108,MATCH(J306,'Factors'!$C$9:$C$108,0))),"")&lt;&gt;"Location-based"),"Use location factor",IF(M306&lt;&gt;"Actual","Estimation method review","Ready"))))))))))</x:f>
      </x:c>
      <x:c r="W306" s="9" t="str">
        <x:f>IF(C306="","",IFERROR(IF(INDEX('Inventory'!$G$9:$G$108,MATCH(D306,'Inventory'!$C$9:$C$108,0))="","",INDEX('Inventory'!$G$9:$G$108,MATCH(D306,'Inventory'!$C$9:$C$108,0))),""))</x:f>
      </x:c>
      <x:c r="X306" s="9" t="str">
        <x:f>IF(C306="","",IFERROR(IF(INDEX('Factors'!$P$9:$P$108,MATCH(J306,'Factors'!$C$9:$C$108,0))="","",INDEX('Factors'!$P$9:$P$108,MATCH(J306,'Factors'!$C$9:$C$108,0))),""))</x:f>
      </x:c>
    </x:row>
    <x:row r="307" ht="26" customHeight="1">
      <x:c r="A307" s="1"/>
      <x:c r="B307" s="1"/>
      <x:c r="C307" s="8"/>
      <x:c r="D307" s="8"/>
      <x:c r="E307" s="8"/>
      <x:c r="F307" s="8"/>
      <x:c r="G307" s="8"/>
      <x:c r="H307" s="16"/>
      <x:c r="I307" s="8"/>
      <x:c r="J307" s="8"/>
      <x:c r="K307" s="22"/>
      <x:c r="L307" s="8"/>
      <x:c r="M307" s="8"/>
      <x:c r="N307" s="40"/>
      <x:c r="O307" s="41" t="str">
        <x:f>IF(C307="","",IFERROR(IF(INDEX('Factors'!$G$9:$G$108,MATCH(J307,'Factors'!$C$9:$C$108,0))="","",INDEX('Factors'!$G$9:$G$108,MATCH(J307,'Factors'!$C$9:$C$108,0))),""))</x:f>
      </x:c>
      <x:c r="P307" s="9" t="str">
        <x:f>IF(C307="","",IFERROR(IF(INDEX('Factors'!$F$9:$F$108,MATCH(J307,'Factors'!$C$9:$C$108,0))="","",INDEX('Factors'!$F$9:$F$108,MATCH(J307,'Factors'!$C$9:$C$108,0))),""))</x:f>
      </x:c>
      <x:c r="Q307" s="9" t="str">
        <x:f>IF(C307="","",IFERROR(IF(INDEX('Factors'!$H$9:$H$108,MATCH(J307,'Factors'!$C$9:$C$108,0))="","",INDEX('Factors'!$H$9:$H$108,MATCH(J307,'Factors'!$C$9:$C$108,0))),""))</x:f>
      </x:c>
      <x:c r="R307" s="9" t="str">
        <x:f>IF(C307="","",IFERROR(IF(INDEX('Factors'!$E$9:$E$108,MATCH(J307,'Factors'!$C$9:$C$108,0))="","",INDEX('Factors'!$E$9:$E$108,MATCH(J307,'Factors'!$C$9:$C$108,0))),""))</x:f>
      </x:c>
      <x:c r="S307" s="42" t="str">
        <x:f>IF(C307="","",IFERROR(IF(INDEX('Factors'!$J$9:$J$108,MATCH(J307,'Factors'!$C$9:$C$108,0))="","",INDEX('Factors'!$J$9:$J$108,MATCH(J307,'Factors'!$C$9:$C$108,0))),""))</x:f>
      </x:c>
      <x:c r="T307" s="9" t="str">
        <x:f>IF(C307="","",IFERROR(IF(INDEX('Factors'!$L$9:$L$108,MATCH(J307,'Factors'!$C$9:$C$108,0))="","",INDEX('Factors'!$L$9:$L$108,MATCH(J307,'Factors'!$C$9:$C$108,0))),"")&amp;" / "&amp;IFERROR(IF(INDEX('Factors'!$M$9:$M$108,MATCH(J307,'Factors'!$C$9:$C$108,0))="","",INDEX('Factors'!$M$9:$M$108,MATCH(J307,'Factors'!$C$9:$C$108,0))),""))</x:f>
      </x:c>
      <x:c r="U307" s="21" t="str">
        <x:f>IF(V307="Ready",H307*O307/1000,"")</x:f>
      </x:c>
      <x:c r="V307" s="9" t="str">
        <x:f>IF(C307="","",IF(OR(COUNTIFS($C$9:$C$308,C307)&lt;&gt;1,COUNTIFS($D$9:$D$308,D307,$E$9:$E$308,E307,$F$9:$F$308,F307,$G$9:$G$308,G307,$K$9:$K$308,K307)&lt;&gt;1),"Duplicate annual activity",IF(COUNTIFS('Inventory'!$C$9:$C$108,D307)&lt;&gt;1,"Entity required",IF(OR(E307="",L307="",NOT(ISNUMBER(H307)),H307&lt;0,NOT(ISNUMBER(K307)),NOT(ISNUMBER(N307))),"Missing activity input",IF(AND(E307&lt;&gt;D307,OR(COUNTIFS('Sites'!$C$9:$C$108,E307)&lt;&gt;1,IFERROR(IF(INDEX('Sites'!$D$9:$D$108,MATCH(E307,'Sites'!$C$9:$C$108,0))="","",INDEX('Sites'!$D$9:$D$108,MATCH(E307,'Sites'!$C$9:$C$108,0))),"")&lt;&gt;IFERROR(IF(INDEX('Inventory'!$D$9:$D$108,MATCH(D307,'Inventory'!$C$9:$C$108,0))="","",INDEX('Inventory'!$D$9:$D$108,MATCH(D307,'Inventory'!$C$9:$C$108,0))),""),IFERROR(IF(INDEX('Sites'!$E$9:$E$108,MATCH(E307,'Sites'!$C$9:$C$108,0))="","",INDEX('Sites'!$E$9:$E$108,MATCH(E307,'Sites'!$C$9:$C$108,0))),"")&lt;&gt;W307)),"Site / entity mismatch",IF(N307&lt;'Settings'!$F$8,"Expired",IF(X307&lt;&gt;"Ready","Factor required",IF(OR(G307&lt;&gt;IFERROR(IF(INDEX('Factors'!$D$9:$D$108,MATCH(J307,'Factors'!$C$9:$C$108,0))="","",INDEX('Factors'!$D$9:$D$108,MATCH(J307,'Factors'!$C$9:$C$108,0))),""),I307&lt;&gt;P307,F307&lt;&gt;Q307,K307&lt;&gt;S307,AND(R307&lt;&gt;"Global",R307&lt;&gt;W307),K307&lt;&gt;YEAR(IFERROR(IF(INDEX('Inventory'!$H$9:$H$108,MATCH(D307,'Inventory'!$C$9:$C$108,0))="","",INDEX('Inventory'!$H$9:$H$108,MATCH(D307,'Inventory'!$C$9:$C$108,0))),""))),"Factor / boundary mismatch",IF(AND(F307="S2",IFERROR(IF(INDEX('Factors'!$I$9:$I$108,MATCH(J307,'Factors'!$C$9:$C$108,0))="","",INDEX('Factors'!$I$9:$I$108,MATCH(J307,'Factors'!$C$9:$C$108,0))),"")&lt;&gt;"Location-based"),"Use location factor",IF(M307&lt;&gt;"Actual","Estimation method review","Ready"))))))))))</x:f>
      </x:c>
      <x:c r="W307" s="9" t="str">
        <x:f>IF(C307="","",IFERROR(IF(INDEX('Inventory'!$G$9:$G$108,MATCH(D307,'Inventory'!$C$9:$C$108,0))="","",INDEX('Inventory'!$G$9:$G$108,MATCH(D307,'Inventory'!$C$9:$C$108,0))),""))</x:f>
      </x:c>
      <x:c r="X307" s="9" t="str">
        <x:f>IF(C307="","",IFERROR(IF(INDEX('Factors'!$P$9:$P$108,MATCH(J307,'Factors'!$C$9:$C$108,0))="","",INDEX('Factors'!$P$9:$P$108,MATCH(J307,'Factors'!$C$9:$C$108,0))),""))</x:f>
      </x:c>
    </x:row>
    <x:row r="308" ht="26" customHeight="1">
      <x:c r="A308" s="1"/>
      <x:c r="B308" s="1"/>
      <x:c r="C308" s="8"/>
      <x:c r="D308" s="8"/>
      <x:c r="E308" s="8"/>
      <x:c r="F308" s="8"/>
      <x:c r="G308" s="8"/>
      <x:c r="H308" s="16"/>
      <x:c r="I308" s="8"/>
      <x:c r="J308" s="8"/>
      <x:c r="K308" s="22"/>
      <x:c r="L308" s="8"/>
      <x:c r="M308" s="8"/>
      <x:c r="N308" s="40"/>
      <x:c r="O308" s="41" t="str">
        <x:f>IF(C308="","",IFERROR(IF(INDEX('Factors'!$G$9:$G$108,MATCH(J308,'Factors'!$C$9:$C$108,0))="","",INDEX('Factors'!$G$9:$G$108,MATCH(J308,'Factors'!$C$9:$C$108,0))),""))</x:f>
      </x:c>
      <x:c r="P308" s="9" t="str">
        <x:f>IF(C308="","",IFERROR(IF(INDEX('Factors'!$F$9:$F$108,MATCH(J308,'Factors'!$C$9:$C$108,0))="","",INDEX('Factors'!$F$9:$F$108,MATCH(J308,'Factors'!$C$9:$C$108,0))),""))</x:f>
      </x:c>
      <x:c r="Q308" s="9" t="str">
        <x:f>IF(C308="","",IFERROR(IF(INDEX('Factors'!$H$9:$H$108,MATCH(J308,'Factors'!$C$9:$C$108,0))="","",INDEX('Factors'!$H$9:$H$108,MATCH(J308,'Factors'!$C$9:$C$108,0))),""))</x:f>
      </x:c>
      <x:c r="R308" s="9" t="str">
        <x:f>IF(C308="","",IFERROR(IF(INDEX('Factors'!$E$9:$E$108,MATCH(J308,'Factors'!$C$9:$C$108,0))="","",INDEX('Factors'!$E$9:$E$108,MATCH(J308,'Factors'!$C$9:$C$108,0))),""))</x:f>
      </x:c>
      <x:c r="S308" s="42" t="str">
        <x:f>IF(C308="","",IFERROR(IF(INDEX('Factors'!$J$9:$J$108,MATCH(J308,'Factors'!$C$9:$C$108,0))="","",INDEX('Factors'!$J$9:$J$108,MATCH(J308,'Factors'!$C$9:$C$108,0))),""))</x:f>
      </x:c>
      <x:c r="T308" s="9" t="str">
        <x:f>IF(C308="","",IFERROR(IF(INDEX('Factors'!$L$9:$L$108,MATCH(J308,'Factors'!$C$9:$C$108,0))="","",INDEX('Factors'!$L$9:$L$108,MATCH(J308,'Factors'!$C$9:$C$108,0))),"")&amp;" / "&amp;IFERROR(IF(INDEX('Factors'!$M$9:$M$108,MATCH(J308,'Factors'!$C$9:$C$108,0))="","",INDEX('Factors'!$M$9:$M$108,MATCH(J308,'Factors'!$C$9:$C$108,0))),""))</x:f>
      </x:c>
      <x:c r="U308" s="21" t="str">
        <x:f>IF(V308="Ready",H308*O308/1000,"")</x:f>
      </x:c>
      <x:c r="V308" s="9" t="str">
        <x:f>IF(C308="","",IF(OR(COUNTIFS($C$9:$C$308,C308)&lt;&gt;1,COUNTIFS($D$9:$D$308,D308,$E$9:$E$308,E308,$F$9:$F$308,F308,$G$9:$G$308,G308,$K$9:$K$308,K308)&lt;&gt;1),"Duplicate annual activity",IF(COUNTIFS('Inventory'!$C$9:$C$108,D308)&lt;&gt;1,"Entity required",IF(OR(E308="",L308="",NOT(ISNUMBER(H308)),H308&lt;0,NOT(ISNUMBER(K308)),NOT(ISNUMBER(N308))),"Missing activity input",IF(AND(E308&lt;&gt;D308,OR(COUNTIFS('Sites'!$C$9:$C$108,E308)&lt;&gt;1,IFERROR(IF(INDEX('Sites'!$D$9:$D$108,MATCH(E308,'Sites'!$C$9:$C$108,0))="","",INDEX('Sites'!$D$9:$D$108,MATCH(E308,'Sites'!$C$9:$C$108,0))),"")&lt;&gt;IFERROR(IF(INDEX('Inventory'!$D$9:$D$108,MATCH(D308,'Inventory'!$C$9:$C$108,0))="","",INDEX('Inventory'!$D$9:$D$108,MATCH(D308,'Inventory'!$C$9:$C$108,0))),""),IFERROR(IF(INDEX('Sites'!$E$9:$E$108,MATCH(E308,'Sites'!$C$9:$C$108,0))="","",INDEX('Sites'!$E$9:$E$108,MATCH(E308,'Sites'!$C$9:$C$108,0))),"")&lt;&gt;W308)),"Site / entity mismatch",IF(N308&lt;'Settings'!$F$8,"Expired",IF(X308&lt;&gt;"Ready","Factor required",IF(OR(G308&lt;&gt;IFERROR(IF(INDEX('Factors'!$D$9:$D$108,MATCH(J308,'Factors'!$C$9:$C$108,0))="","",INDEX('Factors'!$D$9:$D$108,MATCH(J308,'Factors'!$C$9:$C$108,0))),""),I308&lt;&gt;P308,F308&lt;&gt;Q308,K308&lt;&gt;S308,AND(R308&lt;&gt;"Global",R308&lt;&gt;W308),K308&lt;&gt;YEAR(IFERROR(IF(INDEX('Inventory'!$H$9:$H$108,MATCH(D308,'Inventory'!$C$9:$C$108,0))="","",INDEX('Inventory'!$H$9:$H$108,MATCH(D308,'Inventory'!$C$9:$C$108,0))),""))),"Factor / boundary mismatch",IF(AND(F308="S2",IFERROR(IF(INDEX('Factors'!$I$9:$I$108,MATCH(J308,'Factors'!$C$9:$C$108,0))="","",INDEX('Factors'!$I$9:$I$108,MATCH(J308,'Factors'!$C$9:$C$108,0))),"")&lt;&gt;"Location-based"),"Use location factor",IF(M308&lt;&gt;"Actual","Estimation method review","Ready"))))))))))</x:f>
      </x:c>
      <x:c r="W308" s="9" t="str">
        <x:f>IF(C308="","",IFERROR(IF(INDEX('Inventory'!$G$9:$G$108,MATCH(D308,'Inventory'!$C$9:$C$108,0))="","",INDEX('Inventory'!$G$9:$G$108,MATCH(D308,'Inventory'!$C$9:$C$108,0))),""))</x:f>
      </x:c>
      <x:c r="X308" s="9" t="str">
        <x:f>IF(C308="","",IFERROR(IF(INDEX('Factors'!$P$9:$P$108,MATCH(J308,'Factors'!$C$9:$C$108,0))="","",INDEX('Factors'!$P$9:$P$108,MATCH(J308,'Factors'!$C$9:$C$108,0))),""))</x:f>
      </x:c>
    </x:row>
  </x:sheetData>
  <x:mergeCells>
    <x:mergeCell ref="C2:H2"/>
    <x:mergeCell ref="C3:M3"/>
    <x:mergeCell ref="C1:D1"/>
    <x:mergeCell ref="E1:F1"/>
    <x:mergeCell ref="G1:H1"/>
    <x:mergeCell ref="I1:J1"/>
    <x:mergeCell ref="K1:L1"/>
    <x:mergeCell ref="M1:N1"/>
  </x:mergeCells>
  <x:conditionalFormatting sqref="V9:V308">
    <x:cfRule type="containsText" dxfId="288" priority="1" operator="containsText" text="Missing"/>
    <x:cfRule type="containsText" dxfId="289" priority="2" operator="containsText" text="Required"/>
    <x:cfRule type="containsText" dxfId="290" priority="3" operator="containsText" text="required"/>
    <x:cfRule type="containsText" dxfId="291" priority="4" operator="containsText" text="Expired"/>
    <x:cfRule type="containsText" dxfId="292" priority="5" operator="containsText" text="Hold"/>
    <x:cfRule type="containsText" dxfId="293" priority="6" operator="containsText" text="Review"/>
    <x:cfRule type="containsText" dxfId="294" priority="7" operator="containsText" text="Incomplete"/>
    <x:cfRule type="containsText" dxfId="295" priority="8" operator="containsText" text="Pending"/>
    <x:cfRule type="containsText" dxfId="296" priority="9" operator="containsText" text="Unsupported"/>
    <x:cfRule type="containsText" dxfId="297" priority="10" operator="containsText" text="Criteria"/>
    <x:cfRule type="containsText" dxfId="298" priority="11" operator="containsText" text="Fail"/>
    <x:cfRule type="containsText" dxfId="299" priority="12" operator="containsText" text="Stop"/>
    <x:cfRule type="containsText" dxfId="300" priority="13" operator="containsText" text="Breach"/>
    <x:cfRule type="containsText" dxfId="301" priority="14" operator="containsText" text="Invalid"/>
    <x:cfRule type="containsText" dxfId="302" priority="15" operator="containsText" text="Duplicate"/>
    <x:cfRule type="containsText" dxfId="303" priority="16" operator="containsText" text="Not aligned"/>
  </x:conditionalFormatting>
  <x:dataValidations count="3">
    <x:dataValidation type="list" sqref="F9:F308">
      <x:formula1>"S1,S2,S3"</x:formula1>
    </x:dataValidation>
    <x:dataValidation type="list" sqref="M9:M308">
      <x:formula1>"Actual,Estimate"</x:formula1>
    </x:dataValidation>
    <x:dataValidation type="list" sqref="I9:I308">
      <x:formula1>"litre,kWh,t clinker"</x:formula1>
    </x:dataValidation>
  </x:dataValidations>
  <x:hyperlinks>
    <x:hyperlink ref="C1" location="'Overview'!C2" display="Home" tooltip="Open Overview"/>
    <x:hyperlink ref="E1" location="'Customer'!C2" display="Customer" tooltip="Open Customer"/>
    <x:hyperlink ref="G1" location="'Capital'!C2" display="Capital" tooltip="Open Capital"/>
    <x:hyperlink ref="I1" location="'Disclosures'!C2" display="Reporting" tooltip="Open Disclosures"/>
    <x:hyperlink ref="K1" location="'Borrowers'!C8" display="Inputs" tooltip="Open Borrowers"/>
    <x:hyperlink ref="M1" location="'Settings'!C5" display="Settings" tooltip="Open Settings"/>
  </x:hyperlinks>
  <x:pageMargins left="0.7" right="0.7" top="0.75" bottom="0.75" header="0.3" footer="0.3"/>
  <x:tableParts count="1">
    <x:tablePart xmlns:r="http://schemas.openxmlformats.org/officeDocument/2006/relationships" r:id="Reb38b923f8ef435a"/>
  </x:tableParts>
</x:worksheet>
</file>

<file path=xl/worksheets/sheet25.xml><?xml version="1.0" encoding="utf-8"?>
<x:worksheet xmlns:x="http://schemas.openxmlformats.org/spreadsheetml/2006/main">
  <x:sheetPr>
    <x:tabColor rgb="FF007F86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2.4000000953674316" hidden="0" customWidth="1"/>
    <x:col min="2" max="2" width="2.4000000953674316" hidden="0" customWidth="1"/>
    <x:col min="3" max="3" width="17" hidden="0" customWidth="1"/>
    <x:col min="4" max="4" width="28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38" hidden="0" customWidth="1"/>
    <x:col min="13" max="13" width="20" hidden="0" customWidth="1"/>
    <x:col min="14" max="14" width="17" hidden="0" customWidth="1"/>
    <x:col min="15" max="15" width="17" hidden="0" customWidth="1"/>
    <x:col min="16" max="16" width="17" hidden="0" customWidth="1"/>
  </x:cols>
  <x:sheetData>
    <x:row r="1" ht="27" customHeight="1">
      <x:c r="A1" s="1"/>
      <x:c r="B1" s="1"/>
      <x:c r="C1" s="50" t="str">
        <x:v>Home</x:v>
      </x:c>
      <x:c r="D1" s="50"/>
      <x:c r="E1" s="63" t="str">
        <x:v>Customer</x:v>
      </x:c>
      <x:c r="F1" s="63"/>
      <x:c r="G1" s="63" t="str">
        <x:v>Capital</x:v>
      </x:c>
      <x:c r="H1" s="63"/>
      <x:c r="I1" s="63" t="str">
        <x:v>Reporting</x:v>
      </x:c>
      <x:c r="J1" s="63"/>
      <x:c r="K1" s="63" t="str">
        <x:v>Inputs</x:v>
      </x:c>
      <x:c r="L1" s="63"/>
      <x:c r="M1" s="63" t="str">
        <x:v>Settings</x:v>
      </x:c>
      <x:c r="N1" s="63"/>
      <x:c r="O1" s="3"/>
      <x:c r="P1" s="3"/>
    </x:row>
    <x:row r="2" ht="45" customHeight="1">
      <x:c r="A2" s="1"/>
      <x:c r="B2" s="1"/>
      <x:c r="C2" s="5" t="str">
        <x:v>Emission factor registry</x:v>
      </x:c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</x:row>
    <x:row r="3" ht="32" customHeight="1">
      <x:c r="A3" s="1"/>
      <x:c r="B3" s="1"/>
      <x:c r="C3" s="6" t="str">
        <x:v>Synthetic factors. kg CO2e per stated activity unit. Replace with approved factors and preserve provenance.</x:v>
      </x:c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3"/>
      <x:c r="O3" s="3"/>
      <x:c r="P3" s="3"/>
    </x:row>
    <x:row r="4" ht="26" customHeight="1">
      <x:c r="A4" s="1"/>
      <x:c r="B4" s="1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</x:row>
    <x:row r="5" ht="42" customHeight="1">
      <x:c r="A5" s="1"/>
      <x:c r="B5" s="1"/>
      <x:c r="C5" s="3" t="str">
        <x:v>Factors</x:v>
      </x:c>
      <x:c r="D5" s="3" t="n">
        <x:f>COUNTA(C9:C108)</x:f>
        <x:v>11</x:v>
      </x:c>
      <x:c r="E5" s="3"/>
      <x:c r="F5" s="3"/>
      <x:c r="G5" s="3" t="str">
        <x:v>Usable</x:v>
      </x:c>
      <x:c r="H5" s="3" t="n">
        <x:f>COUNTIFS(P9:P108,"Ready")</x:f>
        <x:v>11</x:v>
      </x:c>
      <x:c r="I5" s="3"/>
      <x:c r="J5" s="3"/>
      <x:c r="K5" s="3" t="str">
        <x:v>External factors</x:v>
      </x:c>
      <x:c r="L5" s="3" t="n">
        <x:f>COUNTIFS(N9:N108,"Approved external",P9:P108,"Ready")</x:f>
        <x:v>0</x:v>
      </x:c>
      <x:c r="M5" s="3"/>
      <x:c r="N5" s="3"/>
      <x:c r="O5" s="3"/>
      <x:c r="P5" s="3"/>
    </x:row>
    <x:row r="6" ht="42" customHeight="1">
      <x:c r="A6" s="1"/>
      <x:c r="B6" s="1"/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  <x:c r="O6" s="3"/>
      <x:c r="P6" s="3"/>
    </x:row>
    <x:row r="7" ht="26" customHeight="1">
      <x:c r="A7" s="1"/>
      <x:c r="B7" s="1"/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3"/>
    </x:row>
    <x:row r="8" ht="46" customHeight="1">
      <x:c r="A8" s="1"/>
      <x:c r="B8" s="1"/>
      <x:c r="C8" s="15" t="str">
        <x:v>Factor ID</x:v>
      </x:c>
      <x:c r="D8" s="15" t="str">
        <x:v>Activity</x:v>
      </x:c>
      <x:c r="E8" s="15" t="str">
        <x:v>Country</x:v>
      </x:c>
      <x:c r="F8" s="15" t="str">
        <x:v>Activity unit</x:v>
      </x:c>
      <x:c r="G8" s="15" t="str">
        <x:v>kg CO2e / unit</x:v>
      </x:c>
      <x:c r="H8" s="15" t="str">
        <x:v>Scope</x:v>
      </x:c>
      <x:c r="I8" s="15" t="str">
        <x:v>Boundary basis</x:v>
      </x:c>
      <x:c r="J8" s="15" t="str">
        <x:v>Factor year</x:v>
      </x:c>
      <x:c r="K8" s="15" t="str">
        <x:v>Valid through</x:v>
      </x:c>
      <x:c r="L8" s="15" t="str">
        <x:v>Source</x:v>
      </x:c>
      <x:c r="M8" s="15" t="str">
        <x:v>Version</x:v>
      </x:c>
      <x:c r="N8" s="15" t="str">
        <x:v>Data basis</x:v>
      </x:c>
      <x:c r="O8" s="15" t="str">
        <x:v>Gas basis</x:v>
      </x:c>
      <x:c r="P8" s="15" t="str">
        <x:v>Factor status</x:v>
      </x:c>
    </x:row>
    <x:row r="9" ht="40" customHeight="1">
      <x:c r="A9" s="1"/>
      <x:c r="B9" s="1"/>
      <x:c r="C9" s="8" t="str">
        <x:v>EG-GRID-26</x:v>
      </x:c>
      <x:c r="D9" s="8" t="str">
        <x:v>Electricity</x:v>
      </x:c>
      <x:c r="E9" s="8" t="str">
        <x:v>Egypt</x:v>
      </x:c>
      <x:c r="F9" s="8" t="str">
        <x:v>kWh</x:v>
      </x:c>
      <x:c r="G9" s="39" t="n">
        <x:v>0.46</x:v>
      </x:c>
      <x:c r="H9" s="8" t="str">
        <x:v>S2</x:v>
      </x:c>
      <x:c r="I9" s="8" t="str">
        <x:v>Location-based</x:v>
      </x:c>
      <x:c r="J9" s="22" t="n">
        <x:v>2026</x:v>
      </x:c>
      <x:c r="K9" s="40" t="n">
        <x:v>46752</x:v>
      </x:c>
      <x:c r="L9" s="8" t="str">
        <x:v>SYNTHETIC DEMO</x:v>
      </x:c>
      <x:c r="M9" s="8" t="str">
        <x:v>SYN-2026.1</x:v>
      </x:c>
      <x:c r="N9" s="8" t="str">
        <x:v>Illustrative</x:v>
      </x:c>
      <x:c r="O9" s="8" t="str">
        <x:v>CO2e</x:v>
      </x:c>
      <x:c r="P9" s="9" t="str">
        <x:f>IF(C9="","",IF(COUNTIFS($C$9:$C$108,C9)&lt;&gt;1,"Duplicate factor ID",IF(OR(D9="",E9="",F9="",H9="",I9="",L9="",M9="",N9="",O9&lt;&gt;"CO2e",NOT(ISNUMBER(G9)),G9&lt;0,NOT(ISNUMBER(J9)),NOT(ISNUMBER(K9))),"Missing factor input",IF(K9&lt;'Settings'!$F$8,"Expired","Ready"))))</x:f>
        <x:v>Ready</x:v>
      </x:c>
    </x:row>
    <x:row r="10" ht="40" customHeight="1">
      <x:c r="A10" s="1"/>
      <x:c r="B10" s="1"/>
      <x:c r="C10" s="8" t="str">
        <x:v>EG-RESID-26</x:v>
      </x:c>
      <x:c r="D10" s="8" t="str">
        <x:v>Electricity</x:v>
      </x:c>
      <x:c r="E10" s="8" t="str">
        <x:v>Egypt</x:v>
      </x:c>
      <x:c r="F10" s="8" t="str">
        <x:v>kWh</x:v>
      </x:c>
      <x:c r="G10" s="39" t="n">
        <x:v>0.52</x:v>
      </x:c>
      <x:c r="H10" s="8" t="str">
        <x:v>S2</x:v>
      </x:c>
      <x:c r="I10" s="8" t="str">
        <x:v>Residual mix</x:v>
      </x:c>
      <x:c r="J10" s="22" t="n">
        <x:v>2026</x:v>
      </x:c>
      <x:c r="K10" s="40" t="n">
        <x:v>46752</x:v>
      </x:c>
      <x:c r="L10" s="8" t="str">
        <x:v>SYNTHETIC DEMO</x:v>
      </x:c>
      <x:c r="M10" s="8" t="str">
        <x:v>SYN-2026.1</x:v>
      </x:c>
      <x:c r="N10" s="8" t="str">
        <x:v>Illustrative</x:v>
      </x:c>
      <x:c r="O10" s="8" t="str">
        <x:v>CO2e</x:v>
      </x:c>
      <x:c r="P10" s="9" t="str">
        <x:f>IF(C10="","",IF(COUNTIFS($C$9:$C$108,C10)&lt;&gt;1,"Duplicate factor ID",IF(OR(D10="",E10="",F10="",H10="",I10="",L10="",M10="",N10="",O10&lt;&gt;"CO2e",NOT(ISNUMBER(G10)),G10&lt;0,NOT(ISNUMBER(J10)),NOT(ISNUMBER(K10))),"Missing factor input",IF(K10&lt;'Settings'!$F$8,"Expired","Ready"))))</x:f>
        <x:v>Ready</x:v>
      </x:c>
    </x:row>
    <x:row r="11" ht="40" customHeight="1">
      <x:c r="A11" s="1"/>
      <x:c r="B11" s="1"/>
      <x:c r="C11" s="8" t="str">
        <x:v>EG-CONTRACT-26</x:v>
      </x:c>
      <x:c r="D11" s="8" t="str">
        <x:v>Electricity</x:v>
      </x:c>
      <x:c r="E11" s="8" t="str">
        <x:v>Egypt</x:v>
      </x:c>
      <x:c r="F11" s="8" t="str">
        <x:v>kWh</x:v>
      </x:c>
      <x:c r="G11" s="39" t="n">
        <x:v>0.025</x:v>
      </x:c>
      <x:c r="H11" s="8" t="str">
        <x:v>S2</x:v>
      </x:c>
      <x:c r="I11" s="8" t="str">
        <x:v>Market-based</x:v>
      </x:c>
      <x:c r="J11" s="22" t="n">
        <x:v>2026</x:v>
      </x:c>
      <x:c r="K11" s="40" t="n">
        <x:v>46752</x:v>
      </x:c>
      <x:c r="L11" s="8" t="str">
        <x:v>SYNTHETIC DEMO</x:v>
      </x:c>
      <x:c r="M11" s="8" t="str">
        <x:v>SYN-2026.1</x:v>
      </x:c>
      <x:c r="N11" s="8" t="str">
        <x:v>Illustrative</x:v>
      </x:c>
      <x:c r="O11" s="8" t="str">
        <x:v>CO2e</x:v>
      </x:c>
      <x:c r="P11" s="9" t="str">
        <x:f>IF(C11="","",IF(COUNTIFS($C$9:$C$108,C11)&lt;&gt;1,"Duplicate factor ID",IF(OR(D11="",E11="",F11="",H11="",I11="",L11="",M11="",N11="",O11&lt;&gt;"CO2e",NOT(ISNUMBER(G11)),G11&lt;0,NOT(ISNUMBER(J11)),NOT(ISNUMBER(K11))),"Missing factor input",IF(K11&lt;'Settings'!$F$8,"Expired","Ready"))))</x:f>
        <x:v>Ready</x:v>
      </x:c>
    </x:row>
    <x:row r="12" ht="40" customHeight="1">
      <x:c r="A12" s="1"/>
      <x:c r="B12" s="1"/>
      <x:c r="C12" s="8" t="str">
        <x:v>JO-GRID-26</x:v>
      </x:c>
      <x:c r="D12" s="8" t="str">
        <x:v>Electricity</x:v>
      </x:c>
      <x:c r="E12" s="8" t="str">
        <x:v>Jordan</x:v>
      </x:c>
      <x:c r="F12" s="8" t="str">
        <x:v>kWh</x:v>
      </x:c>
      <x:c r="G12" s="39" t="n">
        <x:v>0.43</x:v>
      </x:c>
      <x:c r="H12" s="8" t="str">
        <x:v>S2</x:v>
      </x:c>
      <x:c r="I12" s="8" t="str">
        <x:v>Location-based</x:v>
      </x:c>
      <x:c r="J12" s="22" t="n">
        <x:v>2026</x:v>
      </x:c>
      <x:c r="K12" s="40" t="n">
        <x:v>46752</x:v>
      </x:c>
      <x:c r="L12" s="8" t="str">
        <x:v>SYNTHETIC DEMO</x:v>
      </x:c>
      <x:c r="M12" s="8" t="str">
        <x:v>SYN-2026.1</x:v>
      </x:c>
      <x:c r="N12" s="8" t="str">
        <x:v>Illustrative</x:v>
      </x:c>
      <x:c r="O12" s="8" t="str">
        <x:v>CO2e</x:v>
      </x:c>
      <x:c r="P12" s="9" t="str">
        <x:f>IF(C12="","",IF(COUNTIFS($C$9:$C$108,C12)&lt;&gt;1,"Duplicate factor ID",IF(OR(D12="",E12="",F12="",H12="",I12="",L12="",M12="",N12="",O12&lt;&gt;"CO2e",NOT(ISNUMBER(G12)),G12&lt;0,NOT(ISNUMBER(J12)),NOT(ISNUMBER(K12))),"Missing factor input",IF(K12&lt;'Settings'!$F$8,"Expired","Ready"))))</x:f>
        <x:v>Ready</x:v>
      </x:c>
    </x:row>
    <x:row r="13" ht="40" customHeight="1">
      <x:c r="A13" s="1"/>
      <x:c r="B13" s="1"/>
      <x:c r="C13" s="8" t="str">
        <x:v>JO-RESID-26</x:v>
      </x:c>
      <x:c r="D13" s="8" t="str">
        <x:v>Electricity</x:v>
      </x:c>
      <x:c r="E13" s="8" t="str">
        <x:v>Jordan</x:v>
      </x:c>
      <x:c r="F13" s="8" t="str">
        <x:v>kWh</x:v>
      </x:c>
      <x:c r="G13" s="39" t="n">
        <x:v>0.49</x:v>
      </x:c>
      <x:c r="H13" s="8" t="str">
        <x:v>S2</x:v>
      </x:c>
      <x:c r="I13" s="8" t="str">
        <x:v>Residual mix</x:v>
      </x:c>
      <x:c r="J13" s="22" t="n">
        <x:v>2026</x:v>
      </x:c>
      <x:c r="K13" s="40" t="n">
        <x:v>46752</x:v>
      </x:c>
      <x:c r="L13" s="8" t="str">
        <x:v>SYNTHETIC DEMO</x:v>
      </x:c>
      <x:c r="M13" s="8" t="str">
        <x:v>SYN-2026.1</x:v>
      </x:c>
      <x:c r="N13" s="8" t="str">
        <x:v>Illustrative</x:v>
      </x:c>
      <x:c r="O13" s="8" t="str">
        <x:v>CO2e</x:v>
      </x:c>
      <x:c r="P13" s="9" t="str">
        <x:f>IF(C13="","",IF(COUNTIFS($C$9:$C$108,C13)&lt;&gt;1,"Duplicate factor ID",IF(OR(D13="",E13="",F13="",H13="",I13="",L13="",M13="",N13="",O13&lt;&gt;"CO2e",NOT(ISNUMBER(G13)),G13&lt;0,NOT(ISNUMBER(J13)),NOT(ISNUMBER(K13))),"Missing factor input",IF(K13&lt;'Settings'!$F$8,"Expired","Ready"))))</x:f>
        <x:v>Ready</x:v>
      </x:c>
    </x:row>
    <x:row r="14" ht="40" customHeight="1">
      <x:c r="A14" s="1"/>
      <x:c r="B14" s="1"/>
      <x:c r="C14" s="8" t="str">
        <x:v>JO-CONTRACT-26</x:v>
      </x:c>
      <x:c r="D14" s="8" t="str">
        <x:v>Electricity</x:v>
      </x:c>
      <x:c r="E14" s="8" t="str">
        <x:v>Jordan</x:v>
      </x:c>
      <x:c r="F14" s="8" t="str">
        <x:v>kWh</x:v>
      </x:c>
      <x:c r="G14" s="39" t="n">
        <x:v>0.025</x:v>
      </x:c>
      <x:c r="H14" s="8" t="str">
        <x:v>S2</x:v>
      </x:c>
      <x:c r="I14" s="8" t="str">
        <x:v>Market-based</x:v>
      </x:c>
      <x:c r="J14" s="22" t="n">
        <x:v>2026</x:v>
      </x:c>
      <x:c r="K14" s="40" t="n">
        <x:v>46752</x:v>
      </x:c>
      <x:c r="L14" s="8" t="str">
        <x:v>SYNTHETIC DEMO</x:v>
      </x:c>
      <x:c r="M14" s="8" t="str">
        <x:v>SYN-2026.1</x:v>
      </x:c>
      <x:c r="N14" s="8" t="str">
        <x:v>Illustrative</x:v>
      </x:c>
      <x:c r="O14" s="8" t="str">
        <x:v>CO2e</x:v>
      </x:c>
      <x:c r="P14" s="9" t="str">
        <x:f>IF(C14="","",IF(COUNTIFS($C$9:$C$108,C14)&lt;&gt;1,"Duplicate factor ID",IF(OR(D14="",E14="",F14="",H14="",I14="",L14="",M14="",N14="",O14&lt;&gt;"CO2e",NOT(ISNUMBER(G14)),G14&lt;0,NOT(ISNUMBER(J14)),NOT(ISNUMBER(K14))),"Missing factor input",IF(K14&lt;'Settings'!$F$8,"Expired","Ready"))))</x:f>
        <x:v>Ready</x:v>
      </x:c>
    </x:row>
    <x:row r="15" ht="40" customHeight="1">
      <x:c r="A15" s="1"/>
      <x:c r="B15" s="1"/>
      <x:c r="C15" s="8" t="str">
        <x:v>AE-GRID-26</x:v>
      </x:c>
      <x:c r="D15" s="8" t="str">
        <x:v>Electricity</x:v>
      </x:c>
      <x:c r="E15" s="8" t="str">
        <x:v>UAE</x:v>
      </x:c>
      <x:c r="F15" s="8" t="str">
        <x:v>kWh</x:v>
      </x:c>
      <x:c r="G15" s="39" t="n">
        <x:v>0.39</x:v>
      </x:c>
      <x:c r="H15" s="8" t="str">
        <x:v>S2</x:v>
      </x:c>
      <x:c r="I15" s="8" t="str">
        <x:v>Location-based</x:v>
      </x:c>
      <x:c r="J15" s="22" t="n">
        <x:v>2026</x:v>
      </x:c>
      <x:c r="K15" s="40" t="n">
        <x:v>46752</x:v>
      </x:c>
      <x:c r="L15" s="8" t="str">
        <x:v>SYNTHETIC DEMO</x:v>
      </x:c>
      <x:c r="M15" s="8" t="str">
        <x:v>SYN-2026.1</x:v>
      </x:c>
      <x:c r="N15" s="8" t="str">
        <x:v>Illustrative</x:v>
      </x:c>
      <x:c r="O15" s="8" t="str">
        <x:v>CO2e</x:v>
      </x:c>
      <x:c r="P15" s="9" t="str">
        <x:f>IF(C15="","",IF(COUNTIFS($C$9:$C$108,C15)&lt;&gt;1,"Duplicate factor ID",IF(OR(D15="",E15="",F15="",H15="",I15="",L15="",M15="",N15="",O15&lt;&gt;"CO2e",NOT(ISNUMBER(G15)),G15&lt;0,NOT(ISNUMBER(J15)),NOT(ISNUMBER(K15))),"Missing factor input",IF(K15&lt;'Settings'!$F$8,"Expired","Ready"))))</x:f>
        <x:v>Ready</x:v>
      </x:c>
    </x:row>
    <x:row r="16" ht="40" customHeight="1">
      <x:c r="A16" s="1"/>
      <x:c r="B16" s="1"/>
      <x:c r="C16" s="8" t="str">
        <x:v>AE-RESID-26</x:v>
      </x:c>
      <x:c r="D16" s="8" t="str">
        <x:v>Electricity</x:v>
      </x:c>
      <x:c r="E16" s="8" t="str">
        <x:v>UAE</x:v>
      </x:c>
      <x:c r="F16" s="8" t="str">
        <x:v>kWh</x:v>
      </x:c>
      <x:c r="G16" s="39" t="n">
        <x:v>0.45</x:v>
      </x:c>
      <x:c r="H16" s="8" t="str">
        <x:v>S2</x:v>
      </x:c>
      <x:c r="I16" s="8" t="str">
        <x:v>Residual mix</x:v>
      </x:c>
      <x:c r="J16" s="22" t="n">
        <x:v>2026</x:v>
      </x:c>
      <x:c r="K16" s="40" t="n">
        <x:v>46752</x:v>
      </x:c>
      <x:c r="L16" s="8" t="str">
        <x:v>SYNTHETIC DEMO</x:v>
      </x:c>
      <x:c r="M16" s="8" t="str">
        <x:v>SYN-2026.1</x:v>
      </x:c>
      <x:c r="N16" s="8" t="str">
        <x:v>Illustrative</x:v>
      </x:c>
      <x:c r="O16" s="8" t="str">
        <x:v>CO2e</x:v>
      </x:c>
      <x:c r="P16" s="9" t="str">
        <x:f>IF(C16="","",IF(COUNTIFS($C$9:$C$108,C16)&lt;&gt;1,"Duplicate factor ID",IF(OR(D16="",E16="",F16="",H16="",I16="",L16="",M16="",N16="",O16&lt;&gt;"CO2e",NOT(ISNUMBER(G16)),G16&lt;0,NOT(ISNUMBER(J16)),NOT(ISNUMBER(K16))),"Missing factor input",IF(K16&lt;'Settings'!$F$8,"Expired","Ready"))))</x:f>
        <x:v>Ready</x:v>
      </x:c>
    </x:row>
    <x:row r="17" ht="40" customHeight="1">
      <x:c r="A17" s="1"/>
      <x:c r="B17" s="1"/>
      <x:c r="C17" s="8" t="str">
        <x:v>AE-CONTRACT-26</x:v>
      </x:c>
      <x:c r="D17" s="8" t="str">
        <x:v>Electricity</x:v>
      </x:c>
      <x:c r="E17" s="8" t="str">
        <x:v>UAE</x:v>
      </x:c>
      <x:c r="F17" s="8" t="str">
        <x:v>kWh</x:v>
      </x:c>
      <x:c r="G17" s="39" t="n">
        <x:v>0.025</x:v>
      </x:c>
      <x:c r="H17" s="8" t="str">
        <x:v>S2</x:v>
      </x:c>
      <x:c r="I17" s="8" t="str">
        <x:v>Market-based</x:v>
      </x:c>
      <x:c r="J17" s="22" t="n">
        <x:v>2026</x:v>
      </x:c>
      <x:c r="K17" s="40" t="n">
        <x:v>46752</x:v>
      </x:c>
      <x:c r="L17" s="8" t="str">
        <x:v>SYNTHETIC DEMO</x:v>
      </x:c>
      <x:c r="M17" s="8" t="str">
        <x:v>SYN-2026.1</x:v>
      </x:c>
      <x:c r="N17" s="8" t="str">
        <x:v>Illustrative</x:v>
      </x:c>
      <x:c r="O17" s="8" t="str">
        <x:v>CO2e</x:v>
      </x:c>
      <x:c r="P17" s="9" t="str">
        <x:f>IF(C17="","",IF(COUNTIFS($C$9:$C$108,C17)&lt;&gt;1,"Duplicate factor ID",IF(OR(D17="",E17="",F17="",H17="",I17="",L17="",M17="",N17="",O17&lt;&gt;"CO2e",NOT(ISNUMBER(G17)),G17&lt;0,NOT(ISNUMBER(J17)),NOT(ISNUMBER(K17))),"Missing factor input",IF(K17&lt;'Settings'!$F$8,"Expired","Ready"))))</x:f>
        <x:v>Ready</x:v>
      </x:c>
    </x:row>
    <x:row r="18" ht="40" customHeight="1">
      <x:c r="A18" s="1"/>
      <x:c r="B18" s="1"/>
      <x:c r="C18" s="8" t="str">
        <x:v>GLOBAL-DIESEL-26</x:v>
      </x:c>
      <x:c r="D18" s="8" t="str">
        <x:v>Diesel</x:v>
      </x:c>
      <x:c r="E18" s="8" t="str">
        <x:v>Global</x:v>
      </x:c>
      <x:c r="F18" s="8" t="str">
        <x:v>litre</x:v>
      </x:c>
      <x:c r="G18" s="39" t="n">
        <x:v>2.68</x:v>
      </x:c>
      <x:c r="H18" s="8" t="str">
        <x:v>S1</x:v>
      </x:c>
      <x:c r="I18" s="8" t="str">
        <x:v>Combustion</x:v>
      </x:c>
      <x:c r="J18" s="22" t="n">
        <x:v>2026</x:v>
      </x:c>
      <x:c r="K18" s="40" t="n">
        <x:v>46752</x:v>
      </x:c>
      <x:c r="L18" s="8" t="str">
        <x:v>SYNTHETIC DEMO</x:v>
      </x:c>
      <x:c r="M18" s="8" t="str">
        <x:v>SYN-2026.1</x:v>
      </x:c>
      <x:c r="N18" s="8" t="str">
        <x:v>Illustrative</x:v>
      </x:c>
      <x:c r="O18" s="8" t="str">
        <x:v>CO2e</x:v>
      </x:c>
      <x:c r="P18" s="9" t="str">
        <x:f>IF(C18="","",IF(COUNTIFS($C$9:$C$108,C18)&lt;&gt;1,"Duplicate factor ID",IF(OR(D18="",E18="",F18="",H18="",I18="",L18="",M18="",N18="",O18&lt;&gt;"CO2e",NOT(ISNUMBER(G18)),G18&lt;0,NOT(ISNUMBER(J18)),NOT(ISNUMBER(K18))),"Missing factor input",IF(K18&lt;'Settings'!$F$8,"Expired","Ready"))))</x:f>
        <x:v>Ready</x:v>
      </x:c>
    </x:row>
    <x:row r="19" ht="40" customHeight="1">
      <x:c r="A19" s="1"/>
      <x:c r="B19" s="1"/>
      <x:c r="C19" s="8" t="str">
        <x:v>GLOBAL-CLINKER-26</x:v>
      </x:c>
      <x:c r="D19" s="8" t="str">
        <x:v>Clinker process</x:v>
      </x:c>
      <x:c r="E19" s="8" t="str">
        <x:v>Global</x:v>
      </x:c>
      <x:c r="F19" s="8" t="str">
        <x:v>t clinker</x:v>
      </x:c>
      <x:c r="G19" s="39" t="n">
        <x:v>525</x:v>
      </x:c>
      <x:c r="H19" s="8" t="str">
        <x:v>S1</x:v>
      </x:c>
      <x:c r="I19" s="8" t="str">
        <x:v>Process</x:v>
      </x:c>
      <x:c r="J19" s="22" t="n">
        <x:v>2026</x:v>
      </x:c>
      <x:c r="K19" s="40" t="n">
        <x:v>46752</x:v>
      </x:c>
      <x:c r="L19" s="8" t="str">
        <x:v>SYNTHETIC DEMO</x:v>
      </x:c>
      <x:c r="M19" s="8" t="str">
        <x:v>SYN-2026.1</x:v>
      </x:c>
      <x:c r="N19" s="8" t="str">
        <x:v>Illustrative</x:v>
      </x:c>
      <x:c r="O19" s="8" t="str">
        <x:v>CO2e</x:v>
      </x:c>
      <x:c r="P19" s="9" t="str">
        <x:f>IF(C19="","",IF(COUNTIFS($C$9:$C$108,C19)&lt;&gt;1,"Duplicate factor ID",IF(OR(D19="",E19="",F19="",H19="",I19="",L19="",M19="",N19="",O19&lt;&gt;"CO2e",NOT(ISNUMBER(G19)),G19&lt;0,NOT(ISNUMBER(J19)),NOT(ISNUMBER(K19))),"Missing factor input",IF(K19&lt;'Settings'!$F$8,"Expired","Ready"))))</x:f>
        <x:v>Ready</x:v>
      </x:c>
    </x:row>
    <x:row r="20" ht="40" customHeight="1">
      <x:c r="A20" s="1"/>
      <x:c r="B20" s="1"/>
      <x:c r="C20" s="8"/>
      <x:c r="D20" s="8"/>
      <x:c r="E20" s="8"/>
      <x:c r="F20" s="8"/>
      <x:c r="G20" s="39"/>
      <x:c r="H20" s="8"/>
      <x:c r="I20" s="8"/>
      <x:c r="J20" s="22"/>
      <x:c r="K20" s="40"/>
      <x:c r="L20" s="8"/>
      <x:c r="M20" s="8"/>
      <x:c r="N20" s="8"/>
      <x:c r="O20" s="8"/>
      <x:c r="P20" s="9" t="str">
        <x:f>IF(C20="","",IF(COUNTIFS($C$9:$C$108,C20)&lt;&gt;1,"Duplicate factor ID",IF(OR(D20="",E20="",F20="",H20="",I20="",L20="",M20="",N20="",O20&lt;&gt;"CO2e",NOT(ISNUMBER(G20)),G20&lt;0,NOT(ISNUMBER(J20)),NOT(ISNUMBER(K20))),"Missing factor input",IF(K20&lt;'Settings'!$F$8,"Expired","Ready"))))</x:f>
      </x:c>
    </x:row>
    <x:row r="21" ht="40" customHeight="1">
      <x:c r="A21" s="1"/>
      <x:c r="B21" s="1"/>
      <x:c r="C21" s="8"/>
      <x:c r="D21" s="8"/>
      <x:c r="E21" s="8"/>
      <x:c r="F21" s="8"/>
      <x:c r="G21" s="39"/>
      <x:c r="H21" s="8"/>
      <x:c r="I21" s="8"/>
      <x:c r="J21" s="22"/>
      <x:c r="K21" s="40"/>
      <x:c r="L21" s="8"/>
      <x:c r="M21" s="8"/>
      <x:c r="N21" s="8"/>
      <x:c r="O21" s="8"/>
      <x:c r="P21" s="9" t="str">
        <x:f>IF(C21="","",IF(COUNTIFS($C$9:$C$108,C21)&lt;&gt;1,"Duplicate factor ID",IF(OR(D21="",E21="",F21="",H21="",I21="",L21="",M21="",N21="",O21&lt;&gt;"CO2e",NOT(ISNUMBER(G21)),G21&lt;0,NOT(ISNUMBER(J21)),NOT(ISNUMBER(K21))),"Missing factor input",IF(K21&lt;'Settings'!$F$8,"Expired","Ready"))))</x:f>
      </x:c>
    </x:row>
    <x:row r="22" ht="40" customHeight="1">
      <x:c r="A22" s="1"/>
      <x:c r="B22" s="1"/>
      <x:c r="C22" s="8"/>
      <x:c r="D22" s="8"/>
      <x:c r="E22" s="8"/>
      <x:c r="F22" s="8"/>
      <x:c r="G22" s="39"/>
      <x:c r="H22" s="8"/>
      <x:c r="I22" s="8"/>
      <x:c r="J22" s="22"/>
      <x:c r="K22" s="40"/>
      <x:c r="L22" s="8"/>
      <x:c r="M22" s="8"/>
      <x:c r="N22" s="8"/>
      <x:c r="O22" s="8"/>
      <x:c r="P22" s="9" t="str">
        <x:f>IF(C22="","",IF(COUNTIFS($C$9:$C$108,C22)&lt;&gt;1,"Duplicate factor ID",IF(OR(D22="",E22="",F22="",H22="",I22="",L22="",M22="",N22="",O22&lt;&gt;"CO2e",NOT(ISNUMBER(G22)),G22&lt;0,NOT(ISNUMBER(J22)),NOT(ISNUMBER(K22))),"Missing factor input",IF(K22&lt;'Settings'!$F$8,"Expired","Ready"))))</x:f>
      </x:c>
    </x:row>
    <x:row r="23" ht="40" customHeight="1">
      <x:c r="A23" s="1"/>
      <x:c r="B23" s="1"/>
      <x:c r="C23" s="8"/>
      <x:c r="D23" s="8"/>
      <x:c r="E23" s="8"/>
      <x:c r="F23" s="8"/>
      <x:c r="G23" s="39"/>
      <x:c r="H23" s="8"/>
      <x:c r="I23" s="8"/>
      <x:c r="J23" s="22"/>
      <x:c r="K23" s="40"/>
      <x:c r="L23" s="8"/>
      <x:c r="M23" s="8"/>
      <x:c r="N23" s="8"/>
      <x:c r="O23" s="8"/>
      <x:c r="P23" s="9" t="str">
        <x:f>IF(C23="","",IF(COUNTIFS($C$9:$C$108,C23)&lt;&gt;1,"Duplicate factor ID",IF(OR(D23="",E23="",F23="",H23="",I23="",L23="",M23="",N23="",O23&lt;&gt;"CO2e",NOT(ISNUMBER(G23)),G23&lt;0,NOT(ISNUMBER(J23)),NOT(ISNUMBER(K23))),"Missing factor input",IF(K23&lt;'Settings'!$F$8,"Expired","Ready"))))</x:f>
      </x:c>
    </x:row>
    <x:row r="24" ht="40" customHeight="1">
      <x:c r="A24" s="1"/>
      <x:c r="B24" s="1"/>
      <x:c r="C24" s="8"/>
      <x:c r="D24" s="8"/>
      <x:c r="E24" s="8"/>
      <x:c r="F24" s="8"/>
      <x:c r="G24" s="39"/>
      <x:c r="H24" s="8"/>
      <x:c r="I24" s="8"/>
      <x:c r="J24" s="22"/>
      <x:c r="K24" s="40"/>
      <x:c r="L24" s="8"/>
      <x:c r="M24" s="8"/>
      <x:c r="N24" s="8"/>
      <x:c r="O24" s="8"/>
      <x:c r="P24" s="9" t="str">
        <x:f>IF(C24="","",IF(COUNTIFS($C$9:$C$108,C24)&lt;&gt;1,"Duplicate factor ID",IF(OR(D24="",E24="",F24="",H24="",I24="",L24="",M24="",N24="",O24&lt;&gt;"CO2e",NOT(ISNUMBER(G24)),G24&lt;0,NOT(ISNUMBER(J24)),NOT(ISNUMBER(K24))),"Missing factor input",IF(K24&lt;'Settings'!$F$8,"Expired","Ready"))))</x:f>
      </x:c>
    </x:row>
    <x:row r="25" ht="40" customHeight="1">
      <x:c r="A25" s="1"/>
      <x:c r="B25" s="1"/>
      <x:c r="C25" s="8"/>
      <x:c r="D25" s="8"/>
      <x:c r="E25" s="8"/>
      <x:c r="F25" s="8"/>
      <x:c r="G25" s="39"/>
      <x:c r="H25" s="8"/>
      <x:c r="I25" s="8"/>
      <x:c r="J25" s="22"/>
      <x:c r="K25" s="40"/>
      <x:c r="L25" s="8"/>
      <x:c r="M25" s="8"/>
      <x:c r="N25" s="8"/>
      <x:c r="O25" s="8"/>
      <x:c r="P25" s="9" t="str">
        <x:f>IF(C25="","",IF(COUNTIFS($C$9:$C$108,C25)&lt;&gt;1,"Duplicate factor ID",IF(OR(D25="",E25="",F25="",H25="",I25="",L25="",M25="",N25="",O25&lt;&gt;"CO2e",NOT(ISNUMBER(G25)),G25&lt;0,NOT(ISNUMBER(J25)),NOT(ISNUMBER(K25))),"Missing factor input",IF(K25&lt;'Settings'!$F$8,"Expired","Ready"))))</x:f>
      </x:c>
    </x:row>
    <x:row r="26" ht="40" customHeight="1">
      <x:c r="A26" s="1"/>
      <x:c r="B26" s="1"/>
      <x:c r="C26" s="8"/>
      <x:c r="D26" s="8"/>
      <x:c r="E26" s="8"/>
      <x:c r="F26" s="8"/>
      <x:c r="G26" s="39"/>
      <x:c r="H26" s="8"/>
      <x:c r="I26" s="8"/>
      <x:c r="J26" s="22"/>
      <x:c r="K26" s="40"/>
      <x:c r="L26" s="8"/>
      <x:c r="M26" s="8"/>
      <x:c r="N26" s="8"/>
      <x:c r="O26" s="8"/>
      <x:c r="P26" s="9" t="str">
        <x:f>IF(C26="","",IF(COUNTIFS($C$9:$C$108,C26)&lt;&gt;1,"Duplicate factor ID",IF(OR(D26="",E26="",F26="",H26="",I26="",L26="",M26="",N26="",O26&lt;&gt;"CO2e",NOT(ISNUMBER(G26)),G26&lt;0,NOT(ISNUMBER(J26)),NOT(ISNUMBER(K26))),"Missing factor input",IF(K26&lt;'Settings'!$F$8,"Expired","Ready"))))</x:f>
      </x:c>
    </x:row>
    <x:row r="27" ht="40" customHeight="1">
      <x:c r="A27" s="1"/>
      <x:c r="B27" s="1"/>
      <x:c r="C27" s="8"/>
      <x:c r="D27" s="8"/>
      <x:c r="E27" s="8"/>
      <x:c r="F27" s="8"/>
      <x:c r="G27" s="39"/>
      <x:c r="H27" s="8"/>
      <x:c r="I27" s="8"/>
      <x:c r="J27" s="22"/>
      <x:c r="K27" s="40"/>
      <x:c r="L27" s="8"/>
      <x:c r="M27" s="8"/>
      <x:c r="N27" s="8"/>
      <x:c r="O27" s="8"/>
      <x:c r="P27" s="9" t="str">
        <x:f>IF(C27="","",IF(COUNTIFS($C$9:$C$108,C27)&lt;&gt;1,"Duplicate factor ID",IF(OR(D27="",E27="",F27="",H27="",I27="",L27="",M27="",N27="",O27&lt;&gt;"CO2e",NOT(ISNUMBER(G27)),G27&lt;0,NOT(ISNUMBER(J27)),NOT(ISNUMBER(K27))),"Missing factor input",IF(K27&lt;'Settings'!$F$8,"Expired","Ready"))))</x:f>
      </x:c>
    </x:row>
    <x:row r="28" ht="40" customHeight="1">
      <x:c r="A28" s="1"/>
      <x:c r="B28" s="1"/>
      <x:c r="C28" s="8"/>
      <x:c r="D28" s="8"/>
      <x:c r="E28" s="8"/>
      <x:c r="F28" s="8"/>
      <x:c r="G28" s="39"/>
      <x:c r="H28" s="8"/>
      <x:c r="I28" s="8"/>
      <x:c r="J28" s="22"/>
      <x:c r="K28" s="40"/>
      <x:c r="L28" s="8"/>
      <x:c r="M28" s="8"/>
      <x:c r="N28" s="8"/>
      <x:c r="O28" s="8"/>
      <x:c r="P28" s="9" t="str">
        <x:f>IF(C28="","",IF(COUNTIFS($C$9:$C$108,C28)&lt;&gt;1,"Duplicate factor ID",IF(OR(D28="",E28="",F28="",H28="",I28="",L28="",M28="",N28="",O28&lt;&gt;"CO2e",NOT(ISNUMBER(G28)),G28&lt;0,NOT(ISNUMBER(J28)),NOT(ISNUMBER(K28))),"Missing factor input",IF(K28&lt;'Settings'!$F$8,"Expired","Ready"))))</x:f>
      </x:c>
    </x:row>
    <x:row r="29" ht="40" customHeight="1">
      <x:c r="A29" s="1"/>
      <x:c r="B29" s="1"/>
      <x:c r="C29" s="8"/>
      <x:c r="D29" s="8"/>
      <x:c r="E29" s="8"/>
      <x:c r="F29" s="8"/>
      <x:c r="G29" s="39"/>
      <x:c r="H29" s="8"/>
      <x:c r="I29" s="8"/>
      <x:c r="J29" s="22"/>
      <x:c r="K29" s="40"/>
      <x:c r="L29" s="8"/>
      <x:c r="M29" s="8"/>
      <x:c r="N29" s="8"/>
      <x:c r="O29" s="8"/>
      <x:c r="P29" s="9" t="str">
        <x:f>IF(C29="","",IF(COUNTIFS($C$9:$C$108,C29)&lt;&gt;1,"Duplicate factor ID",IF(OR(D29="",E29="",F29="",H29="",I29="",L29="",M29="",N29="",O29&lt;&gt;"CO2e",NOT(ISNUMBER(G29)),G29&lt;0,NOT(ISNUMBER(J29)),NOT(ISNUMBER(K29))),"Missing factor input",IF(K29&lt;'Settings'!$F$8,"Expired","Ready"))))</x:f>
      </x:c>
    </x:row>
    <x:row r="30" ht="40" customHeight="1">
      <x:c r="A30" s="1"/>
      <x:c r="B30" s="1"/>
      <x:c r="C30" s="8"/>
      <x:c r="D30" s="8"/>
      <x:c r="E30" s="8"/>
      <x:c r="F30" s="8"/>
      <x:c r="G30" s="39"/>
      <x:c r="H30" s="8"/>
      <x:c r="I30" s="8"/>
      <x:c r="J30" s="22"/>
      <x:c r="K30" s="40"/>
      <x:c r="L30" s="8"/>
      <x:c r="M30" s="8"/>
      <x:c r="N30" s="8"/>
      <x:c r="O30" s="8"/>
      <x:c r="P30" s="9" t="str">
        <x:f>IF(C30="","",IF(COUNTIFS($C$9:$C$108,C30)&lt;&gt;1,"Duplicate factor ID",IF(OR(D30="",E30="",F30="",H30="",I30="",L30="",M30="",N30="",O30&lt;&gt;"CO2e",NOT(ISNUMBER(G30)),G30&lt;0,NOT(ISNUMBER(J30)),NOT(ISNUMBER(K30))),"Missing factor input",IF(K30&lt;'Settings'!$F$8,"Expired","Ready"))))</x:f>
      </x:c>
    </x:row>
    <x:row r="31" ht="40" customHeight="1">
      <x:c r="A31" s="1"/>
      <x:c r="B31" s="1"/>
      <x:c r="C31" s="8"/>
      <x:c r="D31" s="8"/>
      <x:c r="E31" s="8"/>
      <x:c r="F31" s="8"/>
      <x:c r="G31" s="39"/>
      <x:c r="H31" s="8"/>
      <x:c r="I31" s="8"/>
      <x:c r="J31" s="22"/>
      <x:c r="K31" s="40"/>
      <x:c r="L31" s="8"/>
      <x:c r="M31" s="8"/>
      <x:c r="N31" s="8"/>
      <x:c r="O31" s="8"/>
      <x:c r="P31" s="9" t="str">
        <x:f>IF(C31="","",IF(COUNTIFS($C$9:$C$108,C31)&lt;&gt;1,"Duplicate factor ID",IF(OR(D31="",E31="",F31="",H31="",I31="",L31="",M31="",N31="",O31&lt;&gt;"CO2e",NOT(ISNUMBER(G31)),G31&lt;0,NOT(ISNUMBER(J31)),NOT(ISNUMBER(K31))),"Missing factor input",IF(K31&lt;'Settings'!$F$8,"Expired","Ready"))))</x:f>
      </x:c>
    </x:row>
    <x:row r="32" ht="40" customHeight="1">
      <x:c r="A32" s="1"/>
      <x:c r="B32" s="1"/>
      <x:c r="C32" s="8"/>
      <x:c r="D32" s="8"/>
      <x:c r="E32" s="8"/>
      <x:c r="F32" s="8"/>
      <x:c r="G32" s="39"/>
      <x:c r="H32" s="8"/>
      <x:c r="I32" s="8"/>
      <x:c r="J32" s="22"/>
      <x:c r="K32" s="40"/>
      <x:c r="L32" s="8"/>
      <x:c r="M32" s="8"/>
      <x:c r="N32" s="8"/>
      <x:c r="O32" s="8"/>
      <x:c r="P32" s="9" t="str">
        <x:f>IF(C32="","",IF(COUNTIFS($C$9:$C$108,C32)&lt;&gt;1,"Duplicate factor ID",IF(OR(D32="",E32="",F32="",H32="",I32="",L32="",M32="",N32="",O32&lt;&gt;"CO2e",NOT(ISNUMBER(G32)),G32&lt;0,NOT(ISNUMBER(J32)),NOT(ISNUMBER(K32))),"Missing factor input",IF(K32&lt;'Settings'!$F$8,"Expired","Ready"))))</x:f>
      </x:c>
    </x:row>
    <x:row r="33" ht="40" customHeight="1">
      <x:c r="A33" s="1"/>
      <x:c r="B33" s="1"/>
      <x:c r="C33" s="8"/>
      <x:c r="D33" s="8"/>
      <x:c r="E33" s="8"/>
      <x:c r="F33" s="8"/>
      <x:c r="G33" s="39"/>
      <x:c r="H33" s="8"/>
      <x:c r="I33" s="8"/>
      <x:c r="J33" s="22"/>
      <x:c r="K33" s="40"/>
      <x:c r="L33" s="8"/>
      <x:c r="M33" s="8"/>
      <x:c r="N33" s="8"/>
      <x:c r="O33" s="8"/>
      <x:c r="P33" s="9" t="str">
        <x:f>IF(C33="","",IF(COUNTIFS($C$9:$C$108,C33)&lt;&gt;1,"Duplicate factor ID",IF(OR(D33="",E33="",F33="",H33="",I33="",L33="",M33="",N33="",O33&lt;&gt;"CO2e",NOT(ISNUMBER(G33)),G33&lt;0,NOT(ISNUMBER(J33)),NOT(ISNUMBER(K33))),"Missing factor input",IF(K33&lt;'Settings'!$F$8,"Expired","Ready"))))</x:f>
      </x:c>
    </x:row>
    <x:row r="34" ht="40" customHeight="1">
      <x:c r="A34" s="1"/>
      <x:c r="B34" s="1"/>
      <x:c r="C34" s="8"/>
      <x:c r="D34" s="8"/>
      <x:c r="E34" s="8"/>
      <x:c r="F34" s="8"/>
      <x:c r="G34" s="39"/>
      <x:c r="H34" s="8"/>
      <x:c r="I34" s="8"/>
      <x:c r="J34" s="22"/>
      <x:c r="K34" s="40"/>
      <x:c r="L34" s="8"/>
      <x:c r="M34" s="8"/>
      <x:c r="N34" s="8"/>
      <x:c r="O34" s="8"/>
      <x:c r="P34" s="9" t="str">
        <x:f>IF(C34="","",IF(COUNTIFS($C$9:$C$108,C34)&lt;&gt;1,"Duplicate factor ID",IF(OR(D34="",E34="",F34="",H34="",I34="",L34="",M34="",N34="",O34&lt;&gt;"CO2e",NOT(ISNUMBER(G34)),G34&lt;0,NOT(ISNUMBER(J34)),NOT(ISNUMBER(K34))),"Missing factor input",IF(K34&lt;'Settings'!$F$8,"Expired","Ready"))))</x:f>
      </x:c>
    </x:row>
    <x:row r="35" ht="40" customHeight="1">
      <x:c r="A35" s="1"/>
      <x:c r="B35" s="1"/>
      <x:c r="C35" s="8"/>
      <x:c r="D35" s="8"/>
      <x:c r="E35" s="8"/>
      <x:c r="F35" s="8"/>
      <x:c r="G35" s="39"/>
      <x:c r="H35" s="8"/>
      <x:c r="I35" s="8"/>
      <x:c r="J35" s="22"/>
      <x:c r="K35" s="40"/>
      <x:c r="L35" s="8"/>
      <x:c r="M35" s="8"/>
      <x:c r="N35" s="8"/>
      <x:c r="O35" s="8"/>
      <x:c r="P35" s="9" t="str">
        <x:f>IF(C35="","",IF(COUNTIFS($C$9:$C$108,C35)&lt;&gt;1,"Duplicate factor ID",IF(OR(D35="",E35="",F35="",H35="",I35="",L35="",M35="",N35="",O35&lt;&gt;"CO2e",NOT(ISNUMBER(G35)),G35&lt;0,NOT(ISNUMBER(J35)),NOT(ISNUMBER(K35))),"Missing factor input",IF(K35&lt;'Settings'!$F$8,"Expired","Ready"))))</x:f>
      </x:c>
    </x:row>
    <x:row r="36" ht="40" customHeight="1">
      <x:c r="A36" s="1"/>
      <x:c r="B36" s="1"/>
      <x:c r="C36" s="8"/>
      <x:c r="D36" s="8"/>
      <x:c r="E36" s="8"/>
      <x:c r="F36" s="8"/>
      <x:c r="G36" s="39"/>
      <x:c r="H36" s="8"/>
      <x:c r="I36" s="8"/>
      <x:c r="J36" s="22"/>
      <x:c r="K36" s="40"/>
      <x:c r="L36" s="8"/>
      <x:c r="M36" s="8"/>
      <x:c r="N36" s="8"/>
      <x:c r="O36" s="8"/>
      <x:c r="P36" s="9" t="str">
        <x:f>IF(C36="","",IF(COUNTIFS($C$9:$C$108,C36)&lt;&gt;1,"Duplicate factor ID",IF(OR(D36="",E36="",F36="",H36="",I36="",L36="",M36="",N36="",O36&lt;&gt;"CO2e",NOT(ISNUMBER(G36)),G36&lt;0,NOT(ISNUMBER(J36)),NOT(ISNUMBER(K36))),"Missing factor input",IF(K36&lt;'Settings'!$F$8,"Expired","Ready"))))</x:f>
      </x:c>
    </x:row>
    <x:row r="37" ht="40" customHeight="1">
      <x:c r="A37" s="1"/>
      <x:c r="B37" s="1"/>
      <x:c r="C37" s="8"/>
      <x:c r="D37" s="8"/>
      <x:c r="E37" s="8"/>
      <x:c r="F37" s="8"/>
      <x:c r="G37" s="39"/>
      <x:c r="H37" s="8"/>
      <x:c r="I37" s="8"/>
      <x:c r="J37" s="22"/>
      <x:c r="K37" s="40"/>
      <x:c r="L37" s="8"/>
      <x:c r="M37" s="8"/>
      <x:c r="N37" s="8"/>
      <x:c r="O37" s="8"/>
      <x:c r="P37" s="9" t="str">
        <x:f>IF(C37="","",IF(COUNTIFS($C$9:$C$108,C37)&lt;&gt;1,"Duplicate factor ID",IF(OR(D37="",E37="",F37="",H37="",I37="",L37="",M37="",N37="",O37&lt;&gt;"CO2e",NOT(ISNUMBER(G37)),G37&lt;0,NOT(ISNUMBER(J37)),NOT(ISNUMBER(K37))),"Missing factor input",IF(K37&lt;'Settings'!$F$8,"Expired","Ready"))))</x:f>
      </x:c>
    </x:row>
    <x:row r="38" ht="40" customHeight="1">
      <x:c r="A38" s="1"/>
      <x:c r="B38" s="1"/>
      <x:c r="C38" s="8"/>
      <x:c r="D38" s="8"/>
      <x:c r="E38" s="8"/>
      <x:c r="F38" s="8"/>
      <x:c r="G38" s="39"/>
      <x:c r="H38" s="8"/>
      <x:c r="I38" s="8"/>
      <x:c r="J38" s="22"/>
      <x:c r="K38" s="40"/>
      <x:c r="L38" s="8"/>
      <x:c r="M38" s="8"/>
      <x:c r="N38" s="8"/>
      <x:c r="O38" s="8"/>
      <x:c r="P38" s="9" t="str">
        <x:f>IF(C38="","",IF(COUNTIFS($C$9:$C$108,C38)&lt;&gt;1,"Duplicate factor ID",IF(OR(D38="",E38="",F38="",H38="",I38="",L38="",M38="",N38="",O38&lt;&gt;"CO2e",NOT(ISNUMBER(G38)),G38&lt;0,NOT(ISNUMBER(J38)),NOT(ISNUMBER(K38))),"Missing factor input",IF(K38&lt;'Settings'!$F$8,"Expired","Ready"))))</x:f>
      </x:c>
    </x:row>
    <x:row r="39" ht="40" customHeight="1">
      <x:c r="A39" s="1"/>
      <x:c r="B39" s="1"/>
      <x:c r="C39" s="8"/>
      <x:c r="D39" s="8"/>
      <x:c r="E39" s="8"/>
      <x:c r="F39" s="8"/>
      <x:c r="G39" s="39"/>
      <x:c r="H39" s="8"/>
      <x:c r="I39" s="8"/>
      <x:c r="J39" s="22"/>
      <x:c r="K39" s="40"/>
      <x:c r="L39" s="8"/>
      <x:c r="M39" s="8"/>
      <x:c r="N39" s="8"/>
      <x:c r="O39" s="8"/>
      <x:c r="P39" s="9" t="str">
        <x:f>IF(C39="","",IF(COUNTIFS($C$9:$C$108,C39)&lt;&gt;1,"Duplicate factor ID",IF(OR(D39="",E39="",F39="",H39="",I39="",L39="",M39="",N39="",O39&lt;&gt;"CO2e",NOT(ISNUMBER(G39)),G39&lt;0,NOT(ISNUMBER(J39)),NOT(ISNUMBER(K39))),"Missing factor input",IF(K39&lt;'Settings'!$F$8,"Expired","Ready"))))</x:f>
      </x:c>
    </x:row>
    <x:row r="40" ht="40" customHeight="1">
      <x:c r="A40" s="1"/>
      <x:c r="B40" s="1"/>
      <x:c r="C40" s="8"/>
      <x:c r="D40" s="8"/>
      <x:c r="E40" s="8"/>
      <x:c r="F40" s="8"/>
      <x:c r="G40" s="39"/>
      <x:c r="H40" s="8"/>
      <x:c r="I40" s="8"/>
      <x:c r="J40" s="22"/>
      <x:c r="K40" s="40"/>
      <x:c r="L40" s="8"/>
      <x:c r="M40" s="8"/>
      <x:c r="N40" s="8"/>
      <x:c r="O40" s="8"/>
      <x:c r="P40" s="9" t="str">
        <x:f>IF(C40="","",IF(COUNTIFS($C$9:$C$108,C40)&lt;&gt;1,"Duplicate factor ID",IF(OR(D40="",E40="",F40="",H40="",I40="",L40="",M40="",N40="",O40&lt;&gt;"CO2e",NOT(ISNUMBER(G40)),G40&lt;0,NOT(ISNUMBER(J40)),NOT(ISNUMBER(K40))),"Missing factor input",IF(K40&lt;'Settings'!$F$8,"Expired","Ready"))))</x:f>
      </x:c>
    </x:row>
    <x:row r="41" ht="40" customHeight="1">
      <x:c r="A41" s="1"/>
      <x:c r="B41" s="1"/>
      <x:c r="C41" s="8"/>
      <x:c r="D41" s="8"/>
      <x:c r="E41" s="8"/>
      <x:c r="F41" s="8"/>
      <x:c r="G41" s="39"/>
      <x:c r="H41" s="8"/>
      <x:c r="I41" s="8"/>
      <x:c r="J41" s="22"/>
      <x:c r="K41" s="40"/>
      <x:c r="L41" s="8"/>
      <x:c r="M41" s="8"/>
      <x:c r="N41" s="8"/>
      <x:c r="O41" s="8"/>
      <x:c r="P41" s="9" t="str">
        <x:f>IF(C41="","",IF(COUNTIFS($C$9:$C$108,C41)&lt;&gt;1,"Duplicate factor ID",IF(OR(D41="",E41="",F41="",H41="",I41="",L41="",M41="",N41="",O41&lt;&gt;"CO2e",NOT(ISNUMBER(G41)),G41&lt;0,NOT(ISNUMBER(J41)),NOT(ISNUMBER(K41))),"Missing factor input",IF(K41&lt;'Settings'!$F$8,"Expired","Ready"))))</x:f>
      </x:c>
    </x:row>
    <x:row r="42" ht="40" customHeight="1">
      <x:c r="A42" s="1"/>
      <x:c r="B42" s="1"/>
      <x:c r="C42" s="8"/>
      <x:c r="D42" s="8"/>
      <x:c r="E42" s="8"/>
      <x:c r="F42" s="8"/>
      <x:c r="G42" s="39"/>
      <x:c r="H42" s="8"/>
      <x:c r="I42" s="8"/>
      <x:c r="J42" s="22"/>
      <x:c r="K42" s="40"/>
      <x:c r="L42" s="8"/>
      <x:c r="M42" s="8"/>
      <x:c r="N42" s="8"/>
      <x:c r="O42" s="8"/>
      <x:c r="P42" s="9" t="str">
        <x:f>IF(C42="","",IF(COUNTIFS($C$9:$C$108,C42)&lt;&gt;1,"Duplicate factor ID",IF(OR(D42="",E42="",F42="",H42="",I42="",L42="",M42="",N42="",O42&lt;&gt;"CO2e",NOT(ISNUMBER(G42)),G42&lt;0,NOT(ISNUMBER(J42)),NOT(ISNUMBER(K42))),"Missing factor input",IF(K42&lt;'Settings'!$F$8,"Expired","Ready"))))</x:f>
      </x:c>
    </x:row>
    <x:row r="43" ht="40" customHeight="1">
      <x:c r="A43" s="1"/>
      <x:c r="B43" s="1"/>
      <x:c r="C43" s="8"/>
      <x:c r="D43" s="8"/>
      <x:c r="E43" s="8"/>
      <x:c r="F43" s="8"/>
      <x:c r="G43" s="39"/>
      <x:c r="H43" s="8"/>
      <x:c r="I43" s="8"/>
      <x:c r="J43" s="22"/>
      <x:c r="K43" s="40"/>
      <x:c r="L43" s="8"/>
      <x:c r="M43" s="8"/>
      <x:c r="N43" s="8"/>
      <x:c r="O43" s="8"/>
      <x:c r="P43" s="9" t="str">
        <x:f>IF(C43="","",IF(COUNTIFS($C$9:$C$108,C43)&lt;&gt;1,"Duplicate factor ID",IF(OR(D43="",E43="",F43="",H43="",I43="",L43="",M43="",N43="",O43&lt;&gt;"CO2e",NOT(ISNUMBER(G43)),G43&lt;0,NOT(ISNUMBER(J43)),NOT(ISNUMBER(K43))),"Missing factor input",IF(K43&lt;'Settings'!$F$8,"Expired","Ready"))))</x:f>
      </x:c>
    </x:row>
    <x:row r="44" ht="40" customHeight="1">
      <x:c r="A44" s="1"/>
      <x:c r="B44" s="1"/>
      <x:c r="C44" s="8"/>
      <x:c r="D44" s="8"/>
      <x:c r="E44" s="8"/>
      <x:c r="F44" s="8"/>
      <x:c r="G44" s="39"/>
      <x:c r="H44" s="8"/>
      <x:c r="I44" s="8"/>
      <x:c r="J44" s="22"/>
      <x:c r="K44" s="40"/>
      <x:c r="L44" s="8"/>
      <x:c r="M44" s="8"/>
      <x:c r="N44" s="8"/>
      <x:c r="O44" s="8"/>
      <x:c r="P44" s="9" t="str">
        <x:f>IF(C44="","",IF(COUNTIFS($C$9:$C$108,C44)&lt;&gt;1,"Duplicate factor ID",IF(OR(D44="",E44="",F44="",H44="",I44="",L44="",M44="",N44="",O44&lt;&gt;"CO2e",NOT(ISNUMBER(G44)),G44&lt;0,NOT(ISNUMBER(J44)),NOT(ISNUMBER(K44))),"Missing factor input",IF(K44&lt;'Settings'!$F$8,"Expired","Ready"))))</x:f>
      </x:c>
    </x:row>
    <x:row r="45" ht="40" customHeight="1">
      <x:c r="A45" s="1"/>
      <x:c r="B45" s="1"/>
      <x:c r="C45" s="8"/>
      <x:c r="D45" s="8"/>
      <x:c r="E45" s="8"/>
      <x:c r="F45" s="8"/>
      <x:c r="G45" s="39"/>
      <x:c r="H45" s="8"/>
      <x:c r="I45" s="8"/>
      <x:c r="J45" s="22"/>
      <x:c r="K45" s="40"/>
      <x:c r="L45" s="8"/>
      <x:c r="M45" s="8"/>
      <x:c r="N45" s="8"/>
      <x:c r="O45" s="8"/>
      <x:c r="P45" s="9" t="str">
        <x:f>IF(C45="","",IF(COUNTIFS($C$9:$C$108,C45)&lt;&gt;1,"Duplicate factor ID",IF(OR(D45="",E45="",F45="",H45="",I45="",L45="",M45="",N45="",O45&lt;&gt;"CO2e",NOT(ISNUMBER(G45)),G45&lt;0,NOT(ISNUMBER(J45)),NOT(ISNUMBER(K45))),"Missing factor input",IF(K45&lt;'Settings'!$F$8,"Expired","Ready"))))</x:f>
      </x:c>
    </x:row>
    <x:row r="46" ht="40" customHeight="1">
      <x:c r="A46" s="1"/>
      <x:c r="B46" s="1"/>
      <x:c r="C46" s="8"/>
      <x:c r="D46" s="8"/>
      <x:c r="E46" s="8"/>
      <x:c r="F46" s="8"/>
      <x:c r="G46" s="39"/>
      <x:c r="H46" s="8"/>
      <x:c r="I46" s="8"/>
      <x:c r="J46" s="22"/>
      <x:c r="K46" s="40"/>
      <x:c r="L46" s="8"/>
      <x:c r="M46" s="8"/>
      <x:c r="N46" s="8"/>
      <x:c r="O46" s="8"/>
      <x:c r="P46" s="9" t="str">
        <x:f>IF(C46="","",IF(COUNTIFS($C$9:$C$108,C46)&lt;&gt;1,"Duplicate factor ID",IF(OR(D46="",E46="",F46="",H46="",I46="",L46="",M46="",N46="",O46&lt;&gt;"CO2e",NOT(ISNUMBER(G46)),G46&lt;0,NOT(ISNUMBER(J46)),NOT(ISNUMBER(K46))),"Missing factor input",IF(K46&lt;'Settings'!$F$8,"Expired","Ready"))))</x:f>
      </x:c>
    </x:row>
    <x:row r="47" ht="40" customHeight="1">
      <x:c r="A47" s="1"/>
      <x:c r="B47" s="1"/>
      <x:c r="C47" s="8"/>
      <x:c r="D47" s="8"/>
      <x:c r="E47" s="8"/>
      <x:c r="F47" s="8"/>
      <x:c r="G47" s="39"/>
      <x:c r="H47" s="8"/>
      <x:c r="I47" s="8"/>
      <x:c r="J47" s="22"/>
      <x:c r="K47" s="40"/>
      <x:c r="L47" s="8"/>
      <x:c r="M47" s="8"/>
      <x:c r="N47" s="8"/>
      <x:c r="O47" s="8"/>
      <x:c r="P47" s="9" t="str">
        <x:f>IF(C47="","",IF(COUNTIFS($C$9:$C$108,C47)&lt;&gt;1,"Duplicate factor ID",IF(OR(D47="",E47="",F47="",H47="",I47="",L47="",M47="",N47="",O47&lt;&gt;"CO2e",NOT(ISNUMBER(G47)),G47&lt;0,NOT(ISNUMBER(J47)),NOT(ISNUMBER(K47))),"Missing factor input",IF(K47&lt;'Settings'!$F$8,"Expired","Ready"))))</x:f>
      </x:c>
    </x:row>
    <x:row r="48" ht="40" customHeight="1">
      <x:c r="A48" s="1"/>
      <x:c r="B48" s="1"/>
      <x:c r="C48" s="8"/>
      <x:c r="D48" s="8"/>
      <x:c r="E48" s="8"/>
      <x:c r="F48" s="8"/>
      <x:c r="G48" s="39"/>
      <x:c r="H48" s="8"/>
      <x:c r="I48" s="8"/>
      <x:c r="J48" s="22"/>
      <x:c r="K48" s="40"/>
      <x:c r="L48" s="8"/>
      <x:c r="M48" s="8"/>
      <x:c r="N48" s="8"/>
      <x:c r="O48" s="8"/>
      <x:c r="P48" s="9" t="str">
        <x:f>IF(C48="","",IF(COUNTIFS($C$9:$C$108,C48)&lt;&gt;1,"Duplicate factor ID",IF(OR(D48="",E48="",F48="",H48="",I48="",L48="",M48="",N48="",O48&lt;&gt;"CO2e",NOT(ISNUMBER(G48)),G48&lt;0,NOT(ISNUMBER(J48)),NOT(ISNUMBER(K48))),"Missing factor input",IF(K48&lt;'Settings'!$F$8,"Expired","Ready"))))</x:f>
      </x:c>
    </x:row>
    <x:row r="49" ht="40" customHeight="1">
      <x:c r="A49" s="1"/>
      <x:c r="B49" s="1"/>
      <x:c r="C49" s="8"/>
      <x:c r="D49" s="8"/>
      <x:c r="E49" s="8"/>
      <x:c r="F49" s="8"/>
      <x:c r="G49" s="39"/>
      <x:c r="H49" s="8"/>
      <x:c r="I49" s="8"/>
      <x:c r="J49" s="22"/>
      <x:c r="K49" s="40"/>
      <x:c r="L49" s="8"/>
      <x:c r="M49" s="8"/>
      <x:c r="N49" s="8"/>
      <x:c r="O49" s="8"/>
      <x:c r="P49" s="9" t="str">
        <x:f>IF(C49="","",IF(COUNTIFS($C$9:$C$108,C49)&lt;&gt;1,"Duplicate factor ID",IF(OR(D49="",E49="",F49="",H49="",I49="",L49="",M49="",N49="",O49&lt;&gt;"CO2e",NOT(ISNUMBER(G49)),G49&lt;0,NOT(ISNUMBER(J49)),NOT(ISNUMBER(K49))),"Missing factor input",IF(K49&lt;'Settings'!$F$8,"Expired","Ready"))))</x:f>
      </x:c>
    </x:row>
    <x:row r="50" ht="40" customHeight="1">
      <x:c r="A50" s="1"/>
      <x:c r="B50" s="1"/>
      <x:c r="C50" s="8"/>
      <x:c r="D50" s="8"/>
      <x:c r="E50" s="8"/>
      <x:c r="F50" s="8"/>
      <x:c r="G50" s="39"/>
      <x:c r="H50" s="8"/>
      <x:c r="I50" s="8"/>
      <x:c r="J50" s="22"/>
      <x:c r="K50" s="40"/>
      <x:c r="L50" s="8"/>
      <x:c r="M50" s="8"/>
      <x:c r="N50" s="8"/>
      <x:c r="O50" s="8"/>
      <x:c r="P50" s="9" t="str">
        <x:f>IF(C50="","",IF(COUNTIFS($C$9:$C$108,C50)&lt;&gt;1,"Duplicate factor ID",IF(OR(D50="",E50="",F50="",H50="",I50="",L50="",M50="",N50="",O50&lt;&gt;"CO2e",NOT(ISNUMBER(G50)),G50&lt;0,NOT(ISNUMBER(J50)),NOT(ISNUMBER(K50))),"Missing factor input",IF(K50&lt;'Settings'!$F$8,"Expired","Ready"))))</x:f>
      </x:c>
    </x:row>
    <x:row r="51" ht="40" customHeight="1">
      <x:c r="A51" s="1"/>
      <x:c r="B51" s="1"/>
      <x:c r="C51" s="8"/>
      <x:c r="D51" s="8"/>
      <x:c r="E51" s="8"/>
      <x:c r="F51" s="8"/>
      <x:c r="G51" s="39"/>
      <x:c r="H51" s="8"/>
      <x:c r="I51" s="8"/>
      <x:c r="J51" s="22"/>
      <x:c r="K51" s="40"/>
      <x:c r="L51" s="8"/>
      <x:c r="M51" s="8"/>
      <x:c r="N51" s="8"/>
      <x:c r="O51" s="8"/>
      <x:c r="P51" s="9" t="str">
        <x:f>IF(C51="","",IF(COUNTIFS($C$9:$C$108,C51)&lt;&gt;1,"Duplicate factor ID",IF(OR(D51="",E51="",F51="",H51="",I51="",L51="",M51="",N51="",O51&lt;&gt;"CO2e",NOT(ISNUMBER(G51)),G51&lt;0,NOT(ISNUMBER(J51)),NOT(ISNUMBER(K51))),"Missing factor input",IF(K51&lt;'Settings'!$F$8,"Expired","Ready"))))</x:f>
      </x:c>
    </x:row>
    <x:row r="52" ht="40" customHeight="1">
      <x:c r="A52" s="1"/>
      <x:c r="B52" s="1"/>
      <x:c r="C52" s="8"/>
      <x:c r="D52" s="8"/>
      <x:c r="E52" s="8"/>
      <x:c r="F52" s="8"/>
      <x:c r="G52" s="39"/>
      <x:c r="H52" s="8"/>
      <x:c r="I52" s="8"/>
      <x:c r="J52" s="22"/>
      <x:c r="K52" s="40"/>
      <x:c r="L52" s="8"/>
      <x:c r="M52" s="8"/>
      <x:c r="N52" s="8"/>
      <x:c r="O52" s="8"/>
      <x:c r="P52" s="9" t="str">
        <x:f>IF(C52="","",IF(COUNTIFS($C$9:$C$108,C52)&lt;&gt;1,"Duplicate factor ID",IF(OR(D52="",E52="",F52="",H52="",I52="",L52="",M52="",N52="",O52&lt;&gt;"CO2e",NOT(ISNUMBER(G52)),G52&lt;0,NOT(ISNUMBER(J52)),NOT(ISNUMBER(K52))),"Missing factor input",IF(K52&lt;'Settings'!$F$8,"Expired","Ready"))))</x:f>
      </x:c>
    </x:row>
    <x:row r="53" ht="40" customHeight="1">
      <x:c r="A53" s="1"/>
      <x:c r="B53" s="1"/>
      <x:c r="C53" s="8"/>
      <x:c r="D53" s="8"/>
      <x:c r="E53" s="8"/>
      <x:c r="F53" s="8"/>
      <x:c r="G53" s="39"/>
      <x:c r="H53" s="8"/>
      <x:c r="I53" s="8"/>
      <x:c r="J53" s="22"/>
      <x:c r="K53" s="40"/>
      <x:c r="L53" s="8"/>
      <x:c r="M53" s="8"/>
      <x:c r="N53" s="8"/>
      <x:c r="O53" s="8"/>
      <x:c r="P53" s="9" t="str">
        <x:f>IF(C53="","",IF(COUNTIFS($C$9:$C$108,C53)&lt;&gt;1,"Duplicate factor ID",IF(OR(D53="",E53="",F53="",H53="",I53="",L53="",M53="",N53="",O53&lt;&gt;"CO2e",NOT(ISNUMBER(G53)),G53&lt;0,NOT(ISNUMBER(J53)),NOT(ISNUMBER(K53))),"Missing factor input",IF(K53&lt;'Settings'!$F$8,"Expired","Ready"))))</x:f>
      </x:c>
    </x:row>
    <x:row r="54" ht="40" customHeight="1">
      <x:c r="A54" s="1"/>
      <x:c r="B54" s="1"/>
      <x:c r="C54" s="8"/>
      <x:c r="D54" s="8"/>
      <x:c r="E54" s="8"/>
      <x:c r="F54" s="8"/>
      <x:c r="G54" s="39"/>
      <x:c r="H54" s="8"/>
      <x:c r="I54" s="8"/>
      <x:c r="J54" s="22"/>
      <x:c r="K54" s="40"/>
      <x:c r="L54" s="8"/>
      <x:c r="M54" s="8"/>
      <x:c r="N54" s="8"/>
      <x:c r="O54" s="8"/>
      <x:c r="P54" s="9" t="str">
        <x:f>IF(C54="","",IF(COUNTIFS($C$9:$C$108,C54)&lt;&gt;1,"Duplicate factor ID",IF(OR(D54="",E54="",F54="",H54="",I54="",L54="",M54="",N54="",O54&lt;&gt;"CO2e",NOT(ISNUMBER(G54)),G54&lt;0,NOT(ISNUMBER(J54)),NOT(ISNUMBER(K54))),"Missing factor input",IF(K54&lt;'Settings'!$F$8,"Expired","Ready"))))</x:f>
      </x:c>
    </x:row>
    <x:row r="55" ht="40" customHeight="1">
      <x:c r="A55" s="1"/>
      <x:c r="B55" s="1"/>
      <x:c r="C55" s="8"/>
      <x:c r="D55" s="8"/>
      <x:c r="E55" s="8"/>
      <x:c r="F55" s="8"/>
      <x:c r="G55" s="39"/>
      <x:c r="H55" s="8"/>
      <x:c r="I55" s="8"/>
      <x:c r="J55" s="22"/>
      <x:c r="K55" s="40"/>
      <x:c r="L55" s="8"/>
      <x:c r="M55" s="8"/>
      <x:c r="N55" s="8"/>
      <x:c r="O55" s="8"/>
      <x:c r="P55" s="9" t="str">
        <x:f>IF(C55="","",IF(COUNTIFS($C$9:$C$108,C55)&lt;&gt;1,"Duplicate factor ID",IF(OR(D55="",E55="",F55="",H55="",I55="",L55="",M55="",N55="",O55&lt;&gt;"CO2e",NOT(ISNUMBER(G55)),G55&lt;0,NOT(ISNUMBER(J55)),NOT(ISNUMBER(K55))),"Missing factor input",IF(K55&lt;'Settings'!$F$8,"Expired","Ready"))))</x:f>
      </x:c>
    </x:row>
    <x:row r="56" ht="40" customHeight="1">
      <x:c r="A56" s="1"/>
      <x:c r="B56" s="1"/>
      <x:c r="C56" s="8"/>
      <x:c r="D56" s="8"/>
      <x:c r="E56" s="8"/>
      <x:c r="F56" s="8"/>
      <x:c r="G56" s="39"/>
      <x:c r="H56" s="8"/>
      <x:c r="I56" s="8"/>
      <x:c r="J56" s="22"/>
      <x:c r="K56" s="40"/>
      <x:c r="L56" s="8"/>
      <x:c r="M56" s="8"/>
      <x:c r="N56" s="8"/>
      <x:c r="O56" s="8"/>
      <x:c r="P56" s="9" t="str">
        <x:f>IF(C56="","",IF(COUNTIFS($C$9:$C$108,C56)&lt;&gt;1,"Duplicate factor ID",IF(OR(D56="",E56="",F56="",H56="",I56="",L56="",M56="",N56="",O56&lt;&gt;"CO2e",NOT(ISNUMBER(G56)),G56&lt;0,NOT(ISNUMBER(J56)),NOT(ISNUMBER(K56))),"Missing factor input",IF(K56&lt;'Settings'!$F$8,"Expired","Ready"))))</x:f>
      </x:c>
    </x:row>
    <x:row r="57" ht="40" customHeight="1">
      <x:c r="A57" s="1"/>
      <x:c r="B57" s="1"/>
      <x:c r="C57" s="8"/>
      <x:c r="D57" s="8"/>
      <x:c r="E57" s="8"/>
      <x:c r="F57" s="8"/>
      <x:c r="G57" s="39"/>
      <x:c r="H57" s="8"/>
      <x:c r="I57" s="8"/>
      <x:c r="J57" s="22"/>
      <x:c r="K57" s="40"/>
      <x:c r="L57" s="8"/>
      <x:c r="M57" s="8"/>
      <x:c r="N57" s="8"/>
      <x:c r="O57" s="8"/>
      <x:c r="P57" s="9" t="str">
        <x:f>IF(C57="","",IF(COUNTIFS($C$9:$C$108,C57)&lt;&gt;1,"Duplicate factor ID",IF(OR(D57="",E57="",F57="",H57="",I57="",L57="",M57="",N57="",O57&lt;&gt;"CO2e",NOT(ISNUMBER(G57)),G57&lt;0,NOT(ISNUMBER(J57)),NOT(ISNUMBER(K57))),"Missing factor input",IF(K57&lt;'Settings'!$F$8,"Expired","Ready"))))</x:f>
      </x:c>
    </x:row>
    <x:row r="58" ht="40" customHeight="1">
      <x:c r="A58" s="1"/>
      <x:c r="B58" s="1"/>
      <x:c r="C58" s="8"/>
      <x:c r="D58" s="8"/>
      <x:c r="E58" s="8"/>
      <x:c r="F58" s="8"/>
      <x:c r="G58" s="39"/>
      <x:c r="H58" s="8"/>
      <x:c r="I58" s="8"/>
      <x:c r="J58" s="22"/>
      <x:c r="K58" s="40"/>
      <x:c r="L58" s="8"/>
      <x:c r="M58" s="8"/>
      <x:c r="N58" s="8"/>
      <x:c r="O58" s="8"/>
      <x:c r="P58" s="9" t="str">
        <x:f>IF(C58="","",IF(COUNTIFS($C$9:$C$108,C58)&lt;&gt;1,"Duplicate factor ID",IF(OR(D58="",E58="",F58="",H58="",I58="",L58="",M58="",N58="",O58&lt;&gt;"CO2e",NOT(ISNUMBER(G58)),G58&lt;0,NOT(ISNUMBER(J58)),NOT(ISNUMBER(K58))),"Missing factor input",IF(K58&lt;'Settings'!$F$8,"Expired","Ready"))))</x:f>
      </x:c>
    </x:row>
    <x:row r="59" ht="40" customHeight="1">
      <x:c r="A59" s="1"/>
      <x:c r="B59" s="1"/>
      <x:c r="C59" s="8"/>
      <x:c r="D59" s="8"/>
      <x:c r="E59" s="8"/>
      <x:c r="F59" s="8"/>
      <x:c r="G59" s="39"/>
      <x:c r="H59" s="8"/>
      <x:c r="I59" s="8"/>
      <x:c r="J59" s="22"/>
      <x:c r="K59" s="40"/>
      <x:c r="L59" s="8"/>
      <x:c r="M59" s="8"/>
      <x:c r="N59" s="8"/>
      <x:c r="O59" s="8"/>
      <x:c r="P59" s="9" t="str">
        <x:f>IF(C59="","",IF(COUNTIFS($C$9:$C$108,C59)&lt;&gt;1,"Duplicate factor ID",IF(OR(D59="",E59="",F59="",H59="",I59="",L59="",M59="",N59="",O59&lt;&gt;"CO2e",NOT(ISNUMBER(G59)),G59&lt;0,NOT(ISNUMBER(J59)),NOT(ISNUMBER(K59))),"Missing factor input",IF(K59&lt;'Settings'!$F$8,"Expired","Ready"))))</x:f>
      </x:c>
    </x:row>
    <x:row r="60" ht="40" customHeight="1">
      <x:c r="A60" s="1"/>
      <x:c r="B60" s="1"/>
      <x:c r="C60" s="8"/>
      <x:c r="D60" s="8"/>
      <x:c r="E60" s="8"/>
      <x:c r="F60" s="8"/>
      <x:c r="G60" s="39"/>
      <x:c r="H60" s="8"/>
      <x:c r="I60" s="8"/>
      <x:c r="J60" s="22"/>
      <x:c r="K60" s="40"/>
      <x:c r="L60" s="8"/>
      <x:c r="M60" s="8"/>
      <x:c r="N60" s="8"/>
      <x:c r="O60" s="8"/>
      <x:c r="P60" s="9" t="str">
        <x:f>IF(C60="","",IF(COUNTIFS($C$9:$C$108,C60)&lt;&gt;1,"Duplicate factor ID",IF(OR(D60="",E60="",F60="",H60="",I60="",L60="",M60="",N60="",O60&lt;&gt;"CO2e",NOT(ISNUMBER(G60)),G60&lt;0,NOT(ISNUMBER(J60)),NOT(ISNUMBER(K60))),"Missing factor input",IF(K60&lt;'Settings'!$F$8,"Expired","Ready"))))</x:f>
      </x:c>
    </x:row>
    <x:row r="61" ht="40" customHeight="1">
      <x:c r="A61" s="1"/>
      <x:c r="B61" s="1"/>
      <x:c r="C61" s="8"/>
      <x:c r="D61" s="8"/>
      <x:c r="E61" s="8"/>
      <x:c r="F61" s="8"/>
      <x:c r="G61" s="39"/>
      <x:c r="H61" s="8"/>
      <x:c r="I61" s="8"/>
      <x:c r="J61" s="22"/>
      <x:c r="K61" s="40"/>
      <x:c r="L61" s="8"/>
      <x:c r="M61" s="8"/>
      <x:c r="N61" s="8"/>
      <x:c r="O61" s="8"/>
      <x:c r="P61" s="9" t="str">
        <x:f>IF(C61="","",IF(COUNTIFS($C$9:$C$108,C61)&lt;&gt;1,"Duplicate factor ID",IF(OR(D61="",E61="",F61="",H61="",I61="",L61="",M61="",N61="",O61&lt;&gt;"CO2e",NOT(ISNUMBER(G61)),G61&lt;0,NOT(ISNUMBER(J61)),NOT(ISNUMBER(K61))),"Missing factor input",IF(K61&lt;'Settings'!$F$8,"Expired","Ready"))))</x:f>
      </x:c>
    </x:row>
    <x:row r="62" ht="40" customHeight="1">
      <x:c r="A62" s="1"/>
      <x:c r="B62" s="1"/>
      <x:c r="C62" s="8"/>
      <x:c r="D62" s="8"/>
      <x:c r="E62" s="8"/>
      <x:c r="F62" s="8"/>
      <x:c r="G62" s="39"/>
      <x:c r="H62" s="8"/>
      <x:c r="I62" s="8"/>
      <x:c r="J62" s="22"/>
      <x:c r="K62" s="40"/>
      <x:c r="L62" s="8"/>
      <x:c r="M62" s="8"/>
      <x:c r="N62" s="8"/>
      <x:c r="O62" s="8"/>
      <x:c r="P62" s="9" t="str">
        <x:f>IF(C62="","",IF(COUNTIFS($C$9:$C$108,C62)&lt;&gt;1,"Duplicate factor ID",IF(OR(D62="",E62="",F62="",H62="",I62="",L62="",M62="",N62="",O62&lt;&gt;"CO2e",NOT(ISNUMBER(G62)),G62&lt;0,NOT(ISNUMBER(J62)),NOT(ISNUMBER(K62))),"Missing factor input",IF(K62&lt;'Settings'!$F$8,"Expired","Ready"))))</x:f>
      </x:c>
    </x:row>
    <x:row r="63" ht="40" customHeight="1">
      <x:c r="A63" s="1"/>
      <x:c r="B63" s="1"/>
      <x:c r="C63" s="8"/>
      <x:c r="D63" s="8"/>
      <x:c r="E63" s="8"/>
      <x:c r="F63" s="8"/>
      <x:c r="G63" s="39"/>
      <x:c r="H63" s="8"/>
      <x:c r="I63" s="8"/>
      <x:c r="J63" s="22"/>
      <x:c r="K63" s="40"/>
      <x:c r="L63" s="8"/>
      <x:c r="M63" s="8"/>
      <x:c r="N63" s="8"/>
      <x:c r="O63" s="8"/>
      <x:c r="P63" s="9" t="str">
        <x:f>IF(C63="","",IF(COUNTIFS($C$9:$C$108,C63)&lt;&gt;1,"Duplicate factor ID",IF(OR(D63="",E63="",F63="",H63="",I63="",L63="",M63="",N63="",O63&lt;&gt;"CO2e",NOT(ISNUMBER(G63)),G63&lt;0,NOT(ISNUMBER(J63)),NOT(ISNUMBER(K63))),"Missing factor input",IF(K63&lt;'Settings'!$F$8,"Expired","Ready"))))</x:f>
      </x:c>
    </x:row>
    <x:row r="64" ht="40" customHeight="1">
      <x:c r="A64" s="1"/>
      <x:c r="B64" s="1"/>
      <x:c r="C64" s="8"/>
      <x:c r="D64" s="8"/>
      <x:c r="E64" s="8"/>
      <x:c r="F64" s="8"/>
      <x:c r="G64" s="39"/>
      <x:c r="H64" s="8"/>
      <x:c r="I64" s="8"/>
      <x:c r="J64" s="22"/>
      <x:c r="K64" s="40"/>
      <x:c r="L64" s="8"/>
      <x:c r="M64" s="8"/>
      <x:c r="N64" s="8"/>
      <x:c r="O64" s="8"/>
      <x:c r="P64" s="9" t="str">
        <x:f>IF(C64="","",IF(COUNTIFS($C$9:$C$108,C64)&lt;&gt;1,"Duplicate factor ID",IF(OR(D64="",E64="",F64="",H64="",I64="",L64="",M64="",N64="",O64&lt;&gt;"CO2e",NOT(ISNUMBER(G64)),G64&lt;0,NOT(ISNUMBER(J64)),NOT(ISNUMBER(K64))),"Missing factor input",IF(K64&lt;'Settings'!$F$8,"Expired","Ready"))))</x:f>
      </x:c>
    </x:row>
    <x:row r="65" ht="40" customHeight="1">
      <x:c r="A65" s="1"/>
      <x:c r="B65" s="1"/>
      <x:c r="C65" s="8"/>
      <x:c r="D65" s="8"/>
      <x:c r="E65" s="8"/>
      <x:c r="F65" s="8"/>
      <x:c r="G65" s="39"/>
      <x:c r="H65" s="8"/>
      <x:c r="I65" s="8"/>
      <x:c r="J65" s="22"/>
      <x:c r="K65" s="40"/>
      <x:c r="L65" s="8"/>
      <x:c r="M65" s="8"/>
      <x:c r="N65" s="8"/>
      <x:c r="O65" s="8"/>
      <x:c r="P65" s="9" t="str">
        <x:f>IF(C65="","",IF(COUNTIFS($C$9:$C$108,C65)&lt;&gt;1,"Duplicate factor ID",IF(OR(D65="",E65="",F65="",H65="",I65="",L65="",M65="",N65="",O65&lt;&gt;"CO2e",NOT(ISNUMBER(G65)),G65&lt;0,NOT(ISNUMBER(J65)),NOT(ISNUMBER(K65))),"Missing factor input",IF(K65&lt;'Settings'!$F$8,"Expired","Ready"))))</x:f>
      </x:c>
    </x:row>
    <x:row r="66" ht="40" customHeight="1">
      <x:c r="A66" s="1"/>
      <x:c r="B66" s="1"/>
      <x:c r="C66" s="8"/>
      <x:c r="D66" s="8"/>
      <x:c r="E66" s="8"/>
      <x:c r="F66" s="8"/>
      <x:c r="G66" s="39"/>
      <x:c r="H66" s="8"/>
      <x:c r="I66" s="8"/>
      <x:c r="J66" s="22"/>
      <x:c r="K66" s="40"/>
      <x:c r="L66" s="8"/>
      <x:c r="M66" s="8"/>
      <x:c r="N66" s="8"/>
      <x:c r="O66" s="8"/>
      <x:c r="P66" s="9" t="str">
        <x:f>IF(C66="","",IF(COUNTIFS($C$9:$C$108,C66)&lt;&gt;1,"Duplicate factor ID",IF(OR(D66="",E66="",F66="",H66="",I66="",L66="",M66="",N66="",O66&lt;&gt;"CO2e",NOT(ISNUMBER(G66)),G66&lt;0,NOT(ISNUMBER(J66)),NOT(ISNUMBER(K66))),"Missing factor input",IF(K66&lt;'Settings'!$F$8,"Expired","Ready"))))</x:f>
      </x:c>
    </x:row>
    <x:row r="67" ht="40" customHeight="1">
      <x:c r="A67" s="1"/>
      <x:c r="B67" s="1"/>
      <x:c r="C67" s="8"/>
      <x:c r="D67" s="8"/>
      <x:c r="E67" s="8"/>
      <x:c r="F67" s="8"/>
      <x:c r="G67" s="39"/>
      <x:c r="H67" s="8"/>
      <x:c r="I67" s="8"/>
      <x:c r="J67" s="22"/>
      <x:c r="K67" s="40"/>
      <x:c r="L67" s="8"/>
      <x:c r="M67" s="8"/>
      <x:c r="N67" s="8"/>
      <x:c r="O67" s="8"/>
      <x:c r="P67" s="9" t="str">
        <x:f>IF(C67="","",IF(COUNTIFS($C$9:$C$108,C67)&lt;&gt;1,"Duplicate factor ID",IF(OR(D67="",E67="",F67="",H67="",I67="",L67="",M67="",N67="",O67&lt;&gt;"CO2e",NOT(ISNUMBER(G67)),G67&lt;0,NOT(ISNUMBER(J67)),NOT(ISNUMBER(K67))),"Missing factor input",IF(K67&lt;'Settings'!$F$8,"Expired","Ready"))))</x:f>
      </x:c>
    </x:row>
    <x:row r="68" ht="40" customHeight="1">
      <x:c r="A68" s="1"/>
      <x:c r="B68" s="1"/>
      <x:c r="C68" s="8"/>
      <x:c r="D68" s="8"/>
      <x:c r="E68" s="8"/>
      <x:c r="F68" s="8"/>
      <x:c r="G68" s="39"/>
      <x:c r="H68" s="8"/>
      <x:c r="I68" s="8"/>
      <x:c r="J68" s="22"/>
      <x:c r="K68" s="40"/>
      <x:c r="L68" s="8"/>
      <x:c r="M68" s="8"/>
      <x:c r="N68" s="8"/>
      <x:c r="O68" s="8"/>
      <x:c r="P68" s="9" t="str">
        <x:f>IF(C68="","",IF(COUNTIFS($C$9:$C$108,C68)&lt;&gt;1,"Duplicate factor ID",IF(OR(D68="",E68="",F68="",H68="",I68="",L68="",M68="",N68="",O68&lt;&gt;"CO2e",NOT(ISNUMBER(G68)),G68&lt;0,NOT(ISNUMBER(J68)),NOT(ISNUMBER(K68))),"Missing factor input",IF(K68&lt;'Settings'!$F$8,"Expired","Ready"))))</x:f>
      </x:c>
    </x:row>
    <x:row r="69" ht="40" customHeight="1">
      <x:c r="A69" s="1"/>
      <x:c r="B69" s="1"/>
      <x:c r="C69" s="8"/>
      <x:c r="D69" s="8"/>
      <x:c r="E69" s="8"/>
      <x:c r="F69" s="8"/>
      <x:c r="G69" s="39"/>
      <x:c r="H69" s="8"/>
      <x:c r="I69" s="8"/>
      <x:c r="J69" s="22"/>
      <x:c r="K69" s="40"/>
      <x:c r="L69" s="8"/>
      <x:c r="M69" s="8"/>
      <x:c r="N69" s="8"/>
      <x:c r="O69" s="8"/>
      <x:c r="P69" s="9" t="str">
        <x:f>IF(C69="","",IF(COUNTIFS($C$9:$C$108,C69)&lt;&gt;1,"Duplicate factor ID",IF(OR(D69="",E69="",F69="",H69="",I69="",L69="",M69="",N69="",O69&lt;&gt;"CO2e",NOT(ISNUMBER(G69)),G69&lt;0,NOT(ISNUMBER(J69)),NOT(ISNUMBER(K69))),"Missing factor input",IF(K69&lt;'Settings'!$F$8,"Expired","Ready"))))</x:f>
      </x:c>
    </x:row>
    <x:row r="70" ht="40" customHeight="1">
      <x:c r="A70" s="1"/>
      <x:c r="B70" s="1"/>
      <x:c r="C70" s="8"/>
      <x:c r="D70" s="8"/>
      <x:c r="E70" s="8"/>
      <x:c r="F70" s="8"/>
      <x:c r="G70" s="39"/>
      <x:c r="H70" s="8"/>
      <x:c r="I70" s="8"/>
      <x:c r="J70" s="22"/>
      <x:c r="K70" s="40"/>
      <x:c r="L70" s="8"/>
      <x:c r="M70" s="8"/>
      <x:c r="N70" s="8"/>
      <x:c r="O70" s="8"/>
      <x:c r="P70" s="9" t="str">
        <x:f>IF(C70="","",IF(COUNTIFS($C$9:$C$108,C70)&lt;&gt;1,"Duplicate factor ID",IF(OR(D70="",E70="",F70="",H70="",I70="",L70="",M70="",N70="",O70&lt;&gt;"CO2e",NOT(ISNUMBER(G70)),G70&lt;0,NOT(ISNUMBER(J70)),NOT(ISNUMBER(K70))),"Missing factor input",IF(K70&lt;'Settings'!$F$8,"Expired","Ready"))))</x:f>
      </x:c>
    </x:row>
    <x:row r="71" ht="40" customHeight="1">
      <x:c r="A71" s="1"/>
      <x:c r="B71" s="1"/>
      <x:c r="C71" s="8"/>
      <x:c r="D71" s="8"/>
      <x:c r="E71" s="8"/>
      <x:c r="F71" s="8"/>
      <x:c r="G71" s="39"/>
      <x:c r="H71" s="8"/>
      <x:c r="I71" s="8"/>
      <x:c r="J71" s="22"/>
      <x:c r="K71" s="40"/>
      <x:c r="L71" s="8"/>
      <x:c r="M71" s="8"/>
      <x:c r="N71" s="8"/>
      <x:c r="O71" s="8"/>
      <x:c r="P71" s="9" t="str">
        <x:f>IF(C71="","",IF(COUNTIFS($C$9:$C$108,C71)&lt;&gt;1,"Duplicate factor ID",IF(OR(D71="",E71="",F71="",H71="",I71="",L71="",M71="",N71="",O71&lt;&gt;"CO2e",NOT(ISNUMBER(G71)),G71&lt;0,NOT(ISNUMBER(J71)),NOT(ISNUMBER(K71))),"Missing factor input",IF(K71&lt;'Settings'!$F$8,"Expired","Ready"))))</x:f>
      </x:c>
    </x:row>
    <x:row r="72" ht="40" customHeight="1">
      <x:c r="A72" s="1"/>
      <x:c r="B72" s="1"/>
      <x:c r="C72" s="8"/>
      <x:c r="D72" s="8"/>
      <x:c r="E72" s="8"/>
      <x:c r="F72" s="8"/>
      <x:c r="G72" s="39"/>
      <x:c r="H72" s="8"/>
      <x:c r="I72" s="8"/>
      <x:c r="J72" s="22"/>
      <x:c r="K72" s="40"/>
      <x:c r="L72" s="8"/>
      <x:c r="M72" s="8"/>
      <x:c r="N72" s="8"/>
      <x:c r="O72" s="8"/>
      <x:c r="P72" s="9" t="str">
        <x:f>IF(C72="","",IF(COUNTIFS($C$9:$C$108,C72)&lt;&gt;1,"Duplicate factor ID",IF(OR(D72="",E72="",F72="",H72="",I72="",L72="",M72="",N72="",O72&lt;&gt;"CO2e",NOT(ISNUMBER(G72)),G72&lt;0,NOT(ISNUMBER(J72)),NOT(ISNUMBER(K72))),"Missing factor input",IF(K72&lt;'Settings'!$F$8,"Expired","Ready"))))</x:f>
      </x:c>
    </x:row>
    <x:row r="73" ht="40" customHeight="1">
      <x:c r="A73" s="1"/>
      <x:c r="B73" s="1"/>
      <x:c r="C73" s="8"/>
      <x:c r="D73" s="8"/>
      <x:c r="E73" s="8"/>
      <x:c r="F73" s="8"/>
      <x:c r="G73" s="39"/>
      <x:c r="H73" s="8"/>
      <x:c r="I73" s="8"/>
      <x:c r="J73" s="22"/>
      <x:c r="K73" s="40"/>
      <x:c r="L73" s="8"/>
      <x:c r="M73" s="8"/>
      <x:c r="N73" s="8"/>
      <x:c r="O73" s="8"/>
      <x:c r="P73" s="9" t="str">
        <x:f>IF(C73="","",IF(COUNTIFS($C$9:$C$108,C73)&lt;&gt;1,"Duplicate factor ID",IF(OR(D73="",E73="",F73="",H73="",I73="",L73="",M73="",N73="",O73&lt;&gt;"CO2e",NOT(ISNUMBER(G73)),G73&lt;0,NOT(ISNUMBER(J73)),NOT(ISNUMBER(K73))),"Missing factor input",IF(K73&lt;'Settings'!$F$8,"Expired","Ready"))))</x:f>
      </x:c>
    </x:row>
    <x:row r="74" ht="40" customHeight="1">
      <x:c r="A74" s="1"/>
      <x:c r="B74" s="1"/>
      <x:c r="C74" s="8"/>
      <x:c r="D74" s="8"/>
      <x:c r="E74" s="8"/>
      <x:c r="F74" s="8"/>
      <x:c r="G74" s="39"/>
      <x:c r="H74" s="8"/>
      <x:c r="I74" s="8"/>
      <x:c r="J74" s="22"/>
      <x:c r="K74" s="40"/>
      <x:c r="L74" s="8"/>
      <x:c r="M74" s="8"/>
      <x:c r="N74" s="8"/>
      <x:c r="O74" s="8"/>
      <x:c r="P74" s="9" t="str">
        <x:f>IF(C74="","",IF(COUNTIFS($C$9:$C$108,C74)&lt;&gt;1,"Duplicate factor ID",IF(OR(D74="",E74="",F74="",H74="",I74="",L74="",M74="",N74="",O74&lt;&gt;"CO2e",NOT(ISNUMBER(G74)),G74&lt;0,NOT(ISNUMBER(J74)),NOT(ISNUMBER(K74))),"Missing factor input",IF(K74&lt;'Settings'!$F$8,"Expired","Ready"))))</x:f>
      </x:c>
    </x:row>
    <x:row r="75" ht="40" customHeight="1">
      <x:c r="A75" s="1"/>
      <x:c r="B75" s="1"/>
      <x:c r="C75" s="8"/>
      <x:c r="D75" s="8"/>
      <x:c r="E75" s="8"/>
      <x:c r="F75" s="8"/>
      <x:c r="G75" s="39"/>
      <x:c r="H75" s="8"/>
      <x:c r="I75" s="8"/>
      <x:c r="J75" s="22"/>
      <x:c r="K75" s="40"/>
      <x:c r="L75" s="8"/>
      <x:c r="M75" s="8"/>
      <x:c r="N75" s="8"/>
      <x:c r="O75" s="8"/>
      <x:c r="P75" s="9" t="str">
        <x:f>IF(C75="","",IF(COUNTIFS($C$9:$C$108,C75)&lt;&gt;1,"Duplicate factor ID",IF(OR(D75="",E75="",F75="",H75="",I75="",L75="",M75="",N75="",O75&lt;&gt;"CO2e",NOT(ISNUMBER(G75)),G75&lt;0,NOT(ISNUMBER(J75)),NOT(ISNUMBER(K75))),"Missing factor input",IF(K75&lt;'Settings'!$F$8,"Expired","Ready"))))</x:f>
      </x:c>
    </x:row>
    <x:row r="76" ht="40" customHeight="1">
      <x:c r="A76" s="1"/>
      <x:c r="B76" s="1"/>
      <x:c r="C76" s="8"/>
      <x:c r="D76" s="8"/>
      <x:c r="E76" s="8"/>
      <x:c r="F76" s="8"/>
      <x:c r="G76" s="39"/>
      <x:c r="H76" s="8"/>
      <x:c r="I76" s="8"/>
      <x:c r="J76" s="22"/>
      <x:c r="K76" s="40"/>
      <x:c r="L76" s="8"/>
      <x:c r="M76" s="8"/>
      <x:c r="N76" s="8"/>
      <x:c r="O76" s="8"/>
      <x:c r="P76" s="9" t="str">
        <x:f>IF(C76="","",IF(COUNTIFS($C$9:$C$108,C76)&lt;&gt;1,"Duplicate factor ID",IF(OR(D76="",E76="",F76="",H76="",I76="",L76="",M76="",N76="",O76&lt;&gt;"CO2e",NOT(ISNUMBER(G76)),G76&lt;0,NOT(ISNUMBER(J76)),NOT(ISNUMBER(K76))),"Missing factor input",IF(K76&lt;'Settings'!$F$8,"Expired","Ready"))))</x:f>
      </x:c>
    </x:row>
    <x:row r="77" ht="40" customHeight="1">
      <x:c r="A77" s="1"/>
      <x:c r="B77" s="1"/>
      <x:c r="C77" s="8"/>
      <x:c r="D77" s="8"/>
      <x:c r="E77" s="8"/>
      <x:c r="F77" s="8"/>
      <x:c r="G77" s="39"/>
      <x:c r="H77" s="8"/>
      <x:c r="I77" s="8"/>
      <x:c r="J77" s="22"/>
      <x:c r="K77" s="40"/>
      <x:c r="L77" s="8"/>
      <x:c r="M77" s="8"/>
      <x:c r="N77" s="8"/>
      <x:c r="O77" s="8"/>
      <x:c r="P77" s="9" t="str">
        <x:f>IF(C77="","",IF(COUNTIFS($C$9:$C$108,C77)&lt;&gt;1,"Duplicate factor ID",IF(OR(D77="",E77="",F77="",H77="",I77="",L77="",M77="",N77="",O77&lt;&gt;"CO2e",NOT(ISNUMBER(G77)),G77&lt;0,NOT(ISNUMBER(J77)),NOT(ISNUMBER(K77))),"Missing factor input",IF(K77&lt;'Settings'!$F$8,"Expired","Ready"))))</x:f>
      </x:c>
    </x:row>
    <x:row r="78" ht="40" customHeight="1">
      <x:c r="A78" s="1"/>
      <x:c r="B78" s="1"/>
      <x:c r="C78" s="8"/>
      <x:c r="D78" s="8"/>
      <x:c r="E78" s="8"/>
      <x:c r="F78" s="8"/>
      <x:c r="G78" s="39"/>
      <x:c r="H78" s="8"/>
      <x:c r="I78" s="8"/>
      <x:c r="J78" s="22"/>
      <x:c r="K78" s="40"/>
      <x:c r="L78" s="8"/>
      <x:c r="M78" s="8"/>
      <x:c r="N78" s="8"/>
      <x:c r="O78" s="8"/>
      <x:c r="P78" s="9" t="str">
        <x:f>IF(C78="","",IF(COUNTIFS($C$9:$C$108,C78)&lt;&gt;1,"Duplicate factor ID",IF(OR(D78="",E78="",F78="",H78="",I78="",L78="",M78="",N78="",O78&lt;&gt;"CO2e",NOT(ISNUMBER(G78)),G78&lt;0,NOT(ISNUMBER(J78)),NOT(ISNUMBER(K78))),"Missing factor input",IF(K78&lt;'Settings'!$F$8,"Expired","Ready"))))</x:f>
      </x:c>
    </x:row>
    <x:row r="79" ht="40" customHeight="1">
      <x:c r="A79" s="1"/>
      <x:c r="B79" s="1"/>
      <x:c r="C79" s="8"/>
      <x:c r="D79" s="8"/>
      <x:c r="E79" s="8"/>
      <x:c r="F79" s="8"/>
      <x:c r="G79" s="39"/>
      <x:c r="H79" s="8"/>
      <x:c r="I79" s="8"/>
      <x:c r="J79" s="22"/>
      <x:c r="K79" s="40"/>
      <x:c r="L79" s="8"/>
      <x:c r="M79" s="8"/>
      <x:c r="N79" s="8"/>
      <x:c r="O79" s="8"/>
      <x:c r="P79" s="9" t="str">
        <x:f>IF(C79="","",IF(COUNTIFS($C$9:$C$108,C79)&lt;&gt;1,"Duplicate factor ID",IF(OR(D79="",E79="",F79="",H79="",I79="",L79="",M79="",N79="",O79&lt;&gt;"CO2e",NOT(ISNUMBER(G79)),G79&lt;0,NOT(ISNUMBER(J79)),NOT(ISNUMBER(K79))),"Missing factor input",IF(K79&lt;'Settings'!$F$8,"Expired","Ready"))))</x:f>
      </x:c>
    </x:row>
    <x:row r="80" ht="40" customHeight="1">
      <x:c r="A80" s="1"/>
      <x:c r="B80" s="1"/>
      <x:c r="C80" s="8"/>
      <x:c r="D80" s="8"/>
      <x:c r="E80" s="8"/>
      <x:c r="F80" s="8"/>
      <x:c r="G80" s="39"/>
      <x:c r="H80" s="8"/>
      <x:c r="I80" s="8"/>
      <x:c r="J80" s="22"/>
      <x:c r="K80" s="40"/>
      <x:c r="L80" s="8"/>
      <x:c r="M80" s="8"/>
      <x:c r="N80" s="8"/>
      <x:c r="O80" s="8"/>
      <x:c r="P80" s="9" t="str">
        <x:f>IF(C80="","",IF(COUNTIFS($C$9:$C$108,C80)&lt;&gt;1,"Duplicate factor ID",IF(OR(D80="",E80="",F80="",H80="",I80="",L80="",M80="",N80="",O80&lt;&gt;"CO2e",NOT(ISNUMBER(G80)),G80&lt;0,NOT(ISNUMBER(J80)),NOT(ISNUMBER(K80))),"Missing factor input",IF(K80&lt;'Settings'!$F$8,"Expired","Ready"))))</x:f>
      </x:c>
    </x:row>
    <x:row r="81" ht="40" customHeight="1">
      <x:c r="A81" s="1"/>
      <x:c r="B81" s="1"/>
      <x:c r="C81" s="8"/>
      <x:c r="D81" s="8"/>
      <x:c r="E81" s="8"/>
      <x:c r="F81" s="8"/>
      <x:c r="G81" s="39"/>
      <x:c r="H81" s="8"/>
      <x:c r="I81" s="8"/>
      <x:c r="J81" s="22"/>
      <x:c r="K81" s="40"/>
      <x:c r="L81" s="8"/>
      <x:c r="M81" s="8"/>
      <x:c r="N81" s="8"/>
      <x:c r="O81" s="8"/>
      <x:c r="P81" s="9" t="str">
        <x:f>IF(C81="","",IF(COUNTIFS($C$9:$C$108,C81)&lt;&gt;1,"Duplicate factor ID",IF(OR(D81="",E81="",F81="",H81="",I81="",L81="",M81="",N81="",O81&lt;&gt;"CO2e",NOT(ISNUMBER(G81)),G81&lt;0,NOT(ISNUMBER(J81)),NOT(ISNUMBER(K81))),"Missing factor input",IF(K81&lt;'Settings'!$F$8,"Expired","Ready"))))</x:f>
      </x:c>
    </x:row>
    <x:row r="82" ht="40" customHeight="1">
      <x:c r="A82" s="1"/>
      <x:c r="B82" s="1"/>
      <x:c r="C82" s="8"/>
      <x:c r="D82" s="8"/>
      <x:c r="E82" s="8"/>
      <x:c r="F82" s="8"/>
      <x:c r="G82" s="39"/>
      <x:c r="H82" s="8"/>
      <x:c r="I82" s="8"/>
      <x:c r="J82" s="22"/>
      <x:c r="K82" s="40"/>
      <x:c r="L82" s="8"/>
      <x:c r="M82" s="8"/>
      <x:c r="N82" s="8"/>
      <x:c r="O82" s="8"/>
      <x:c r="P82" s="9" t="str">
        <x:f>IF(C82="","",IF(COUNTIFS($C$9:$C$108,C82)&lt;&gt;1,"Duplicate factor ID",IF(OR(D82="",E82="",F82="",H82="",I82="",L82="",M82="",N82="",O82&lt;&gt;"CO2e",NOT(ISNUMBER(G82)),G82&lt;0,NOT(ISNUMBER(J82)),NOT(ISNUMBER(K82))),"Missing factor input",IF(K82&lt;'Settings'!$F$8,"Expired","Ready"))))</x:f>
      </x:c>
    </x:row>
    <x:row r="83" ht="40" customHeight="1">
      <x:c r="A83" s="1"/>
      <x:c r="B83" s="1"/>
      <x:c r="C83" s="8"/>
      <x:c r="D83" s="8"/>
      <x:c r="E83" s="8"/>
      <x:c r="F83" s="8"/>
      <x:c r="G83" s="39"/>
      <x:c r="H83" s="8"/>
      <x:c r="I83" s="8"/>
      <x:c r="J83" s="22"/>
      <x:c r="K83" s="40"/>
      <x:c r="L83" s="8"/>
      <x:c r="M83" s="8"/>
      <x:c r="N83" s="8"/>
      <x:c r="O83" s="8"/>
      <x:c r="P83" s="9" t="str">
        <x:f>IF(C83="","",IF(COUNTIFS($C$9:$C$108,C83)&lt;&gt;1,"Duplicate factor ID",IF(OR(D83="",E83="",F83="",H83="",I83="",L83="",M83="",N83="",O83&lt;&gt;"CO2e",NOT(ISNUMBER(G83)),G83&lt;0,NOT(ISNUMBER(J83)),NOT(ISNUMBER(K83))),"Missing factor input",IF(K83&lt;'Settings'!$F$8,"Expired","Ready"))))</x:f>
      </x:c>
    </x:row>
    <x:row r="84" ht="40" customHeight="1">
      <x:c r="A84" s="1"/>
      <x:c r="B84" s="1"/>
      <x:c r="C84" s="8"/>
      <x:c r="D84" s="8"/>
      <x:c r="E84" s="8"/>
      <x:c r="F84" s="8"/>
      <x:c r="G84" s="39"/>
      <x:c r="H84" s="8"/>
      <x:c r="I84" s="8"/>
      <x:c r="J84" s="22"/>
      <x:c r="K84" s="40"/>
      <x:c r="L84" s="8"/>
      <x:c r="M84" s="8"/>
      <x:c r="N84" s="8"/>
      <x:c r="O84" s="8"/>
      <x:c r="P84" s="9" t="str">
        <x:f>IF(C84="","",IF(COUNTIFS($C$9:$C$108,C84)&lt;&gt;1,"Duplicate factor ID",IF(OR(D84="",E84="",F84="",H84="",I84="",L84="",M84="",N84="",O84&lt;&gt;"CO2e",NOT(ISNUMBER(G84)),G84&lt;0,NOT(ISNUMBER(J84)),NOT(ISNUMBER(K84))),"Missing factor input",IF(K84&lt;'Settings'!$F$8,"Expired","Ready"))))</x:f>
      </x:c>
    </x:row>
    <x:row r="85" ht="40" customHeight="1">
      <x:c r="A85" s="1"/>
      <x:c r="B85" s="1"/>
      <x:c r="C85" s="8"/>
      <x:c r="D85" s="8"/>
      <x:c r="E85" s="8"/>
      <x:c r="F85" s="8"/>
      <x:c r="G85" s="39"/>
      <x:c r="H85" s="8"/>
      <x:c r="I85" s="8"/>
      <x:c r="J85" s="22"/>
      <x:c r="K85" s="40"/>
      <x:c r="L85" s="8"/>
      <x:c r="M85" s="8"/>
      <x:c r="N85" s="8"/>
      <x:c r="O85" s="8"/>
      <x:c r="P85" s="9" t="str">
        <x:f>IF(C85="","",IF(COUNTIFS($C$9:$C$108,C85)&lt;&gt;1,"Duplicate factor ID",IF(OR(D85="",E85="",F85="",H85="",I85="",L85="",M85="",N85="",O85&lt;&gt;"CO2e",NOT(ISNUMBER(G85)),G85&lt;0,NOT(ISNUMBER(J85)),NOT(ISNUMBER(K85))),"Missing factor input",IF(K85&lt;'Settings'!$F$8,"Expired","Ready"))))</x:f>
      </x:c>
    </x:row>
    <x:row r="86" ht="40" customHeight="1">
      <x:c r="A86" s="1"/>
      <x:c r="B86" s="1"/>
      <x:c r="C86" s="8"/>
      <x:c r="D86" s="8"/>
      <x:c r="E86" s="8"/>
      <x:c r="F86" s="8"/>
      <x:c r="G86" s="39"/>
      <x:c r="H86" s="8"/>
      <x:c r="I86" s="8"/>
      <x:c r="J86" s="22"/>
      <x:c r="K86" s="40"/>
      <x:c r="L86" s="8"/>
      <x:c r="M86" s="8"/>
      <x:c r="N86" s="8"/>
      <x:c r="O86" s="8"/>
      <x:c r="P86" s="9" t="str">
        <x:f>IF(C86="","",IF(COUNTIFS($C$9:$C$108,C86)&lt;&gt;1,"Duplicate factor ID",IF(OR(D86="",E86="",F86="",H86="",I86="",L86="",M86="",N86="",O86&lt;&gt;"CO2e",NOT(ISNUMBER(G86)),G86&lt;0,NOT(ISNUMBER(J86)),NOT(ISNUMBER(K86))),"Missing factor input",IF(K86&lt;'Settings'!$F$8,"Expired","Ready"))))</x:f>
      </x:c>
    </x:row>
    <x:row r="87" ht="40" customHeight="1">
      <x:c r="A87" s="1"/>
      <x:c r="B87" s="1"/>
      <x:c r="C87" s="8"/>
      <x:c r="D87" s="8"/>
      <x:c r="E87" s="8"/>
      <x:c r="F87" s="8"/>
      <x:c r="G87" s="39"/>
      <x:c r="H87" s="8"/>
      <x:c r="I87" s="8"/>
      <x:c r="J87" s="22"/>
      <x:c r="K87" s="40"/>
      <x:c r="L87" s="8"/>
      <x:c r="M87" s="8"/>
      <x:c r="N87" s="8"/>
      <x:c r="O87" s="8"/>
      <x:c r="P87" s="9" t="str">
        <x:f>IF(C87="","",IF(COUNTIFS($C$9:$C$108,C87)&lt;&gt;1,"Duplicate factor ID",IF(OR(D87="",E87="",F87="",H87="",I87="",L87="",M87="",N87="",O87&lt;&gt;"CO2e",NOT(ISNUMBER(G87)),G87&lt;0,NOT(ISNUMBER(J87)),NOT(ISNUMBER(K87))),"Missing factor input",IF(K87&lt;'Settings'!$F$8,"Expired","Ready"))))</x:f>
      </x:c>
    </x:row>
    <x:row r="88" ht="40" customHeight="1">
      <x:c r="A88" s="1"/>
      <x:c r="B88" s="1"/>
      <x:c r="C88" s="8"/>
      <x:c r="D88" s="8"/>
      <x:c r="E88" s="8"/>
      <x:c r="F88" s="8"/>
      <x:c r="G88" s="39"/>
      <x:c r="H88" s="8"/>
      <x:c r="I88" s="8"/>
      <x:c r="J88" s="22"/>
      <x:c r="K88" s="40"/>
      <x:c r="L88" s="8"/>
      <x:c r="M88" s="8"/>
      <x:c r="N88" s="8"/>
      <x:c r="O88" s="8"/>
      <x:c r="P88" s="9" t="str">
        <x:f>IF(C88="","",IF(COUNTIFS($C$9:$C$108,C88)&lt;&gt;1,"Duplicate factor ID",IF(OR(D88="",E88="",F88="",H88="",I88="",L88="",M88="",N88="",O88&lt;&gt;"CO2e",NOT(ISNUMBER(G88)),G88&lt;0,NOT(ISNUMBER(J88)),NOT(ISNUMBER(K88))),"Missing factor input",IF(K88&lt;'Settings'!$F$8,"Expired","Ready"))))</x:f>
      </x:c>
    </x:row>
    <x:row r="89" ht="40" customHeight="1">
      <x:c r="A89" s="1"/>
      <x:c r="B89" s="1"/>
      <x:c r="C89" s="8"/>
      <x:c r="D89" s="8"/>
      <x:c r="E89" s="8"/>
      <x:c r="F89" s="8"/>
      <x:c r="G89" s="39"/>
      <x:c r="H89" s="8"/>
      <x:c r="I89" s="8"/>
      <x:c r="J89" s="22"/>
      <x:c r="K89" s="40"/>
      <x:c r="L89" s="8"/>
      <x:c r="M89" s="8"/>
      <x:c r="N89" s="8"/>
      <x:c r="O89" s="8"/>
      <x:c r="P89" s="9" t="str">
        <x:f>IF(C89="","",IF(COUNTIFS($C$9:$C$108,C89)&lt;&gt;1,"Duplicate factor ID",IF(OR(D89="",E89="",F89="",H89="",I89="",L89="",M89="",N89="",O89&lt;&gt;"CO2e",NOT(ISNUMBER(G89)),G89&lt;0,NOT(ISNUMBER(J89)),NOT(ISNUMBER(K89))),"Missing factor input",IF(K89&lt;'Settings'!$F$8,"Expired","Ready"))))</x:f>
      </x:c>
    </x:row>
    <x:row r="90" ht="40" customHeight="1">
      <x:c r="A90" s="1"/>
      <x:c r="B90" s="1"/>
      <x:c r="C90" s="8"/>
      <x:c r="D90" s="8"/>
      <x:c r="E90" s="8"/>
      <x:c r="F90" s="8"/>
      <x:c r="G90" s="39"/>
      <x:c r="H90" s="8"/>
      <x:c r="I90" s="8"/>
      <x:c r="J90" s="22"/>
      <x:c r="K90" s="40"/>
      <x:c r="L90" s="8"/>
      <x:c r="M90" s="8"/>
      <x:c r="N90" s="8"/>
      <x:c r="O90" s="8"/>
      <x:c r="P90" s="9" t="str">
        <x:f>IF(C90="","",IF(COUNTIFS($C$9:$C$108,C90)&lt;&gt;1,"Duplicate factor ID",IF(OR(D90="",E90="",F90="",H90="",I90="",L90="",M90="",N90="",O90&lt;&gt;"CO2e",NOT(ISNUMBER(G90)),G90&lt;0,NOT(ISNUMBER(J90)),NOT(ISNUMBER(K90))),"Missing factor input",IF(K90&lt;'Settings'!$F$8,"Expired","Ready"))))</x:f>
      </x:c>
    </x:row>
    <x:row r="91" ht="40" customHeight="1">
      <x:c r="A91" s="1"/>
      <x:c r="B91" s="1"/>
      <x:c r="C91" s="8"/>
      <x:c r="D91" s="8"/>
      <x:c r="E91" s="8"/>
      <x:c r="F91" s="8"/>
      <x:c r="G91" s="39"/>
      <x:c r="H91" s="8"/>
      <x:c r="I91" s="8"/>
      <x:c r="J91" s="22"/>
      <x:c r="K91" s="40"/>
      <x:c r="L91" s="8"/>
      <x:c r="M91" s="8"/>
      <x:c r="N91" s="8"/>
      <x:c r="O91" s="8"/>
      <x:c r="P91" s="9" t="str">
        <x:f>IF(C91="","",IF(COUNTIFS($C$9:$C$108,C91)&lt;&gt;1,"Duplicate factor ID",IF(OR(D91="",E91="",F91="",H91="",I91="",L91="",M91="",N91="",O91&lt;&gt;"CO2e",NOT(ISNUMBER(G91)),G91&lt;0,NOT(ISNUMBER(J91)),NOT(ISNUMBER(K91))),"Missing factor input",IF(K91&lt;'Settings'!$F$8,"Expired","Ready"))))</x:f>
      </x:c>
    </x:row>
    <x:row r="92" ht="40" customHeight="1">
      <x:c r="A92" s="1"/>
      <x:c r="B92" s="1"/>
      <x:c r="C92" s="8"/>
      <x:c r="D92" s="8"/>
      <x:c r="E92" s="8"/>
      <x:c r="F92" s="8"/>
      <x:c r="G92" s="39"/>
      <x:c r="H92" s="8"/>
      <x:c r="I92" s="8"/>
      <x:c r="J92" s="22"/>
      <x:c r="K92" s="40"/>
      <x:c r="L92" s="8"/>
      <x:c r="M92" s="8"/>
      <x:c r="N92" s="8"/>
      <x:c r="O92" s="8"/>
      <x:c r="P92" s="9" t="str">
        <x:f>IF(C92="","",IF(COUNTIFS($C$9:$C$108,C92)&lt;&gt;1,"Duplicate factor ID",IF(OR(D92="",E92="",F92="",H92="",I92="",L92="",M92="",N92="",O92&lt;&gt;"CO2e",NOT(ISNUMBER(G92)),G92&lt;0,NOT(ISNUMBER(J92)),NOT(ISNUMBER(K92))),"Missing factor input",IF(K92&lt;'Settings'!$F$8,"Expired","Ready"))))</x:f>
      </x:c>
    </x:row>
    <x:row r="93" ht="40" customHeight="1">
      <x:c r="A93" s="1"/>
      <x:c r="B93" s="1"/>
      <x:c r="C93" s="8"/>
      <x:c r="D93" s="8"/>
      <x:c r="E93" s="8"/>
      <x:c r="F93" s="8"/>
      <x:c r="G93" s="39"/>
      <x:c r="H93" s="8"/>
      <x:c r="I93" s="8"/>
      <x:c r="J93" s="22"/>
      <x:c r="K93" s="40"/>
      <x:c r="L93" s="8"/>
      <x:c r="M93" s="8"/>
      <x:c r="N93" s="8"/>
      <x:c r="O93" s="8"/>
      <x:c r="P93" s="9" t="str">
        <x:f>IF(C93="","",IF(COUNTIFS($C$9:$C$108,C93)&lt;&gt;1,"Duplicate factor ID",IF(OR(D93="",E93="",F93="",H93="",I93="",L93="",M93="",N93="",O93&lt;&gt;"CO2e",NOT(ISNUMBER(G93)),G93&lt;0,NOT(ISNUMBER(J93)),NOT(ISNUMBER(K93))),"Missing factor input",IF(K93&lt;'Settings'!$F$8,"Expired","Ready"))))</x:f>
      </x:c>
    </x:row>
    <x:row r="94" ht="40" customHeight="1">
      <x:c r="A94" s="1"/>
      <x:c r="B94" s="1"/>
      <x:c r="C94" s="8"/>
      <x:c r="D94" s="8"/>
      <x:c r="E94" s="8"/>
      <x:c r="F94" s="8"/>
      <x:c r="G94" s="39"/>
      <x:c r="H94" s="8"/>
      <x:c r="I94" s="8"/>
      <x:c r="J94" s="22"/>
      <x:c r="K94" s="40"/>
      <x:c r="L94" s="8"/>
      <x:c r="M94" s="8"/>
      <x:c r="N94" s="8"/>
      <x:c r="O94" s="8"/>
      <x:c r="P94" s="9" t="str">
        <x:f>IF(C94="","",IF(COUNTIFS($C$9:$C$108,C94)&lt;&gt;1,"Duplicate factor ID",IF(OR(D94="",E94="",F94="",H94="",I94="",L94="",M94="",N94="",O94&lt;&gt;"CO2e",NOT(ISNUMBER(G94)),G94&lt;0,NOT(ISNUMBER(J94)),NOT(ISNUMBER(K94))),"Missing factor input",IF(K94&lt;'Settings'!$F$8,"Expired","Ready"))))</x:f>
      </x:c>
    </x:row>
    <x:row r="95" ht="40" customHeight="1">
      <x:c r="A95" s="1"/>
      <x:c r="B95" s="1"/>
      <x:c r="C95" s="8"/>
      <x:c r="D95" s="8"/>
      <x:c r="E95" s="8"/>
      <x:c r="F95" s="8"/>
      <x:c r="G95" s="39"/>
      <x:c r="H95" s="8"/>
      <x:c r="I95" s="8"/>
      <x:c r="J95" s="22"/>
      <x:c r="K95" s="40"/>
      <x:c r="L95" s="8"/>
      <x:c r="M95" s="8"/>
      <x:c r="N95" s="8"/>
      <x:c r="O95" s="8"/>
      <x:c r="P95" s="9" t="str">
        <x:f>IF(C95="","",IF(COUNTIFS($C$9:$C$108,C95)&lt;&gt;1,"Duplicate factor ID",IF(OR(D95="",E95="",F95="",H95="",I95="",L95="",M95="",N95="",O95&lt;&gt;"CO2e",NOT(ISNUMBER(G95)),G95&lt;0,NOT(ISNUMBER(J95)),NOT(ISNUMBER(K95))),"Missing factor input",IF(K95&lt;'Settings'!$F$8,"Expired","Ready"))))</x:f>
      </x:c>
    </x:row>
    <x:row r="96" ht="40" customHeight="1">
      <x:c r="A96" s="1"/>
      <x:c r="B96" s="1"/>
      <x:c r="C96" s="8"/>
      <x:c r="D96" s="8"/>
      <x:c r="E96" s="8"/>
      <x:c r="F96" s="8"/>
      <x:c r="G96" s="39"/>
      <x:c r="H96" s="8"/>
      <x:c r="I96" s="8"/>
      <x:c r="J96" s="22"/>
      <x:c r="K96" s="40"/>
      <x:c r="L96" s="8"/>
      <x:c r="M96" s="8"/>
      <x:c r="N96" s="8"/>
      <x:c r="O96" s="8"/>
      <x:c r="P96" s="9" t="str">
        <x:f>IF(C96="","",IF(COUNTIFS($C$9:$C$108,C96)&lt;&gt;1,"Duplicate factor ID",IF(OR(D96="",E96="",F96="",H96="",I96="",L96="",M96="",N96="",O96&lt;&gt;"CO2e",NOT(ISNUMBER(G96)),G96&lt;0,NOT(ISNUMBER(J96)),NOT(ISNUMBER(K96))),"Missing factor input",IF(K96&lt;'Settings'!$F$8,"Expired","Ready"))))</x:f>
      </x:c>
    </x:row>
    <x:row r="97" ht="40" customHeight="1">
      <x:c r="A97" s="1"/>
      <x:c r="B97" s="1"/>
      <x:c r="C97" s="8"/>
      <x:c r="D97" s="8"/>
      <x:c r="E97" s="8"/>
      <x:c r="F97" s="8"/>
      <x:c r="G97" s="39"/>
      <x:c r="H97" s="8"/>
      <x:c r="I97" s="8"/>
      <x:c r="J97" s="22"/>
      <x:c r="K97" s="40"/>
      <x:c r="L97" s="8"/>
      <x:c r="M97" s="8"/>
      <x:c r="N97" s="8"/>
      <x:c r="O97" s="8"/>
      <x:c r="P97" s="9" t="str">
        <x:f>IF(C97="","",IF(COUNTIFS($C$9:$C$108,C97)&lt;&gt;1,"Duplicate factor ID",IF(OR(D97="",E97="",F97="",H97="",I97="",L97="",M97="",N97="",O97&lt;&gt;"CO2e",NOT(ISNUMBER(G97)),G97&lt;0,NOT(ISNUMBER(J97)),NOT(ISNUMBER(K97))),"Missing factor input",IF(K97&lt;'Settings'!$F$8,"Expired","Ready"))))</x:f>
      </x:c>
    </x:row>
    <x:row r="98" ht="40" customHeight="1">
      <x:c r="A98" s="1"/>
      <x:c r="B98" s="1"/>
      <x:c r="C98" s="8"/>
      <x:c r="D98" s="8"/>
      <x:c r="E98" s="8"/>
      <x:c r="F98" s="8"/>
      <x:c r="G98" s="39"/>
      <x:c r="H98" s="8"/>
      <x:c r="I98" s="8"/>
      <x:c r="J98" s="22"/>
      <x:c r="K98" s="40"/>
      <x:c r="L98" s="8"/>
      <x:c r="M98" s="8"/>
      <x:c r="N98" s="8"/>
      <x:c r="O98" s="8"/>
      <x:c r="P98" s="9" t="str">
        <x:f>IF(C98="","",IF(COUNTIFS($C$9:$C$108,C98)&lt;&gt;1,"Duplicate factor ID",IF(OR(D98="",E98="",F98="",H98="",I98="",L98="",M98="",N98="",O98&lt;&gt;"CO2e",NOT(ISNUMBER(G98)),G98&lt;0,NOT(ISNUMBER(J98)),NOT(ISNUMBER(K98))),"Missing factor input",IF(K98&lt;'Settings'!$F$8,"Expired","Ready"))))</x:f>
      </x:c>
    </x:row>
    <x:row r="99" ht="40" customHeight="1">
      <x:c r="A99" s="1"/>
      <x:c r="B99" s="1"/>
      <x:c r="C99" s="8"/>
      <x:c r="D99" s="8"/>
      <x:c r="E99" s="8"/>
      <x:c r="F99" s="8"/>
      <x:c r="G99" s="39"/>
      <x:c r="H99" s="8"/>
      <x:c r="I99" s="8"/>
      <x:c r="J99" s="22"/>
      <x:c r="K99" s="40"/>
      <x:c r="L99" s="8"/>
      <x:c r="M99" s="8"/>
      <x:c r="N99" s="8"/>
      <x:c r="O99" s="8"/>
      <x:c r="P99" s="9" t="str">
        <x:f>IF(C99="","",IF(COUNTIFS($C$9:$C$108,C99)&lt;&gt;1,"Duplicate factor ID",IF(OR(D99="",E99="",F99="",H99="",I99="",L99="",M99="",N99="",O99&lt;&gt;"CO2e",NOT(ISNUMBER(G99)),G99&lt;0,NOT(ISNUMBER(J99)),NOT(ISNUMBER(K99))),"Missing factor input",IF(K99&lt;'Settings'!$F$8,"Expired","Ready"))))</x:f>
      </x:c>
    </x:row>
    <x:row r="100" ht="40" customHeight="1">
      <x:c r="A100" s="1"/>
      <x:c r="B100" s="1"/>
      <x:c r="C100" s="8"/>
      <x:c r="D100" s="8"/>
      <x:c r="E100" s="8"/>
      <x:c r="F100" s="8"/>
      <x:c r="G100" s="39"/>
      <x:c r="H100" s="8"/>
      <x:c r="I100" s="8"/>
      <x:c r="J100" s="22"/>
      <x:c r="K100" s="40"/>
      <x:c r="L100" s="8"/>
      <x:c r="M100" s="8"/>
      <x:c r="N100" s="8"/>
      <x:c r="O100" s="8"/>
      <x:c r="P100" s="9" t="str">
        <x:f>IF(C100="","",IF(COUNTIFS($C$9:$C$108,C100)&lt;&gt;1,"Duplicate factor ID",IF(OR(D100="",E100="",F100="",H100="",I100="",L100="",M100="",N100="",O100&lt;&gt;"CO2e",NOT(ISNUMBER(G100)),G100&lt;0,NOT(ISNUMBER(J100)),NOT(ISNUMBER(K100))),"Missing factor input",IF(K100&lt;'Settings'!$F$8,"Expired","Ready"))))</x:f>
      </x:c>
    </x:row>
    <x:row r="101" ht="40" customHeight="1">
      <x:c r="A101" s="1"/>
      <x:c r="B101" s="1"/>
      <x:c r="C101" s="8"/>
      <x:c r="D101" s="8"/>
      <x:c r="E101" s="8"/>
      <x:c r="F101" s="8"/>
      <x:c r="G101" s="39"/>
      <x:c r="H101" s="8"/>
      <x:c r="I101" s="8"/>
      <x:c r="J101" s="22"/>
      <x:c r="K101" s="40"/>
      <x:c r="L101" s="8"/>
      <x:c r="M101" s="8"/>
      <x:c r="N101" s="8"/>
      <x:c r="O101" s="8"/>
      <x:c r="P101" s="9" t="str">
        <x:f>IF(C101="","",IF(COUNTIFS($C$9:$C$108,C101)&lt;&gt;1,"Duplicate factor ID",IF(OR(D101="",E101="",F101="",H101="",I101="",L101="",M101="",N101="",O101&lt;&gt;"CO2e",NOT(ISNUMBER(G101)),G101&lt;0,NOT(ISNUMBER(J101)),NOT(ISNUMBER(K101))),"Missing factor input",IF(K101&lt;'Settings'!$F$8,"Expired","Ready"))))</x:f>
      </x:c>
    </x:row>
    <x:row r="102" ht="40" customHeight="1">
      <x:c r="A102" s="1"/>
      <x:c r="B102" s="1"/>
      <x:c r="C102" s="8"/>
      <x:c r="D102" s="8"/>
      <x:c r="E102" s="8"/>
      <x:c r="F102" s="8"/>
      <x:c r="G102" s="39"/>
      <x:c r="H102" s="8"/>
      <x:c r="I102" s="8"/>
      <x:c r="J102" s="22"/>
      <x:c r="K102" s="40"/>
      <x:c r="L102" s="8"/>
      <x:c r="M102" s="8"/>
      <x:c r="N102" s="8"/>
      <x:c r="O102" s="8"/>
      <x:c r="P102" s="9" t="str">
        <x:f>IF(C102="","",IF(COUNTIFS($C$9:$C$108,C102)&lt;&gt;1,"Duplicate factor ID",IF(OR(D102="",E102="",F102="",H102="",I102="",L102="",M102="",N102="",O102&lt;&gt;"CO2e",NOT(ISNUMBER(G102)),G102&lt;0,NOT(ISNUMBER(J102)),NOT(ISNUMBER(K102))),"Missing factor input",IF(K102&lt;'Settings'!$F$8,"Expired","Ready"))))</x:f>
      </x:c>
    </x:row>
    <x:row r="103" ht="40" customHeight="1">
      <x:c r="A103" s="1"/>
      <x:c r="B103" s="1"/>
      <x:c r="C103" s="8"/>
      <x:c r="D103" s="8"/>
      <x:c r="E103" s="8"/>
      <x:c r="F103" s="8"/>
      <x:c r="G103" s="39"/>
      <x:c r="H103" s="8"/>
      <x:c r="I103" s="8"/>
      <x:c r="J103" s="22"/>
      <x:c r="K103" s="40"/>
      <x:c r="L103" s="8"/>
      <x:c r="M103" s="8"/>
      <x:c r="N103" s="8"/>
      <x:c r="O103" s="8"/>
      <x:c r="P103" s="9" t="str">
        <x:f>IF(C103="","",IF(COUNTIFS($C$9:$C$108,C103)&lt;&gt;1,"Duplicate factor ID",IF(OR(D103="",E103="",F103="",H103="",I103="",L103="",M103="",N103="",O103&lt;&gt;"CO2e",NOT(ISNUMBER(G103)),G103&lt;0,NOT(ISNUMBER(J103)),NOT(ISNUMBER(K103))),"Missing factor input",IF(K103&lt;'Settings'!$F$8,"Expired","Ready"))))</x:f>
      </x:c>
    </x:row>
    <x:row r="104" ht="40" customHeight="1">
      <x:c r="A104" s="1"/>
      <x:c r="B104" s="1"/>
      <x:c r="C104" s="8"/>
      <x:c r="D104" s="8"/>
      <x:c r="E104" s="8"/>
      <x:c r="F104" s="8"/>
      <x:c r="G104" s="39"/>
      <x:c r="H104" s="8"/>
      <x:c r="I104" s="8"/>
      <x:c r="J104" s="22"/>
      <x:c r="K104" s="40"/>
      <x:c r="L104" s="8"/>
      <x:c r="M104" s="8"/>
      <x:c r="N104" s="8"/>
      <x:c r="O104" s="8"/>
      <x:c r="P104" s="9" t="str">
        <x:f>IF(C104="","",IF(COUNTIFS($C$9:$C$108,C104)&lt;&gt;1,"Duplicate factor ID",IF(OR(D104="",E104="",F104="",H104="",I104="",L104="",M104="",N104="",O104&lt;&gt;"CO2e",NOT(ISNUMBER(G104)),G104&lt;0,NOT(ISNUMBER(J104)),NOT(ISNUMBER(K104))),"Missing factor input",IF(K104&lt;'Settings'!$F$8,"Expired","Ready"))))</x:f>
      </x:c>
    </x:row>
    <x:row r="105" ht="40" customHeight="1">
      <x:c r="A105" s="1"/>
      <x:c r="B105" s="1"/>
      <x:c r="C105" s="8"/>
      <x:c r="D105" s="8"/>
      <x:c r="E105" s="8"/>
      <x:c r="F105" s="8"/>
      <x:c r="G105" s="39"/>
      <x:c r="H105" s="8"/>
      <x:c r="I105" s="8"/>
      <x:c r="J105" s="22"/>
      <x:c r="K105" s="40"/>
      <x:c r="L105" s="8"/>
      <x:c r="M105" s="8"/>
      <x:c r="N105" s="8"/>
      <x:c r="O105" s="8"/>
      <x:c r="P105" s="9" t="str">
        <x:f>IF(C105="","",IF(COUNTIFS($C$9:$C$108,C105)&lt;&gt;1,"Duplicate factor ID",IF(OR(D105="",E105="",F105="",H105="",I105="",L105="",M105="",N105="",O105&lt;&gt;"CO2e",NOT(ISNUMBER(G105)),G105&lt;0,NOT(ISNUMBER(J105)),NOT(ISNUMBER(K105))),"Missing factor input",IF(K105&lt;'Settings'!$F$8,"Expired","Ready"))))</x:f>
      </x:c>
    </x:row>
    <x:row r="106" ht="40" customHeight="1">
      <x:c r="A106" s="1"/>
      <x:c r="B106" s="1"/>
      <x:c r="C106" s="8"/>
      <x:c r="D106" s="8"/>
      <x:c r="E106" s="8"/>
      <x:c r="F106" s="8"/>
      <x:c r="G106" s="39"/>
      <x:c r="H106" s="8"/>
      <x:c r="I106" s="8"/>
      <x:c r="J106" s="22"/>
      <x:c r="K106" s="40"/>
      <x:c r="L106" s="8"/>
      <x:c r="M106" s="8"/>
      <x:c r="N106" s="8"/>
      <x:c r="O106" s="8"/>
      <x:c r="P106" s="9" t="str">
        <x:f>IF(C106="","",IF(COUNTIFS($C$9:$C$108,C106)&lt;&gt;1,"Duplicate factor ID",IF(OR(D106="",E106="",F106="",H106="",I106="",L106="",M106="",N106="",O106&lt;&gt;"CO2e",NOT(ISNUMBER(G106)),G106&lt;0,NOT(ISNUMBER(J106)),NOT(ISNUMBER(K106))),"Missing factor input",IF(K106&lt;'Settings'!$F$8,"Expired","Ready"))))</x:f>
      </x:c>
    </x:row>
    <x:row r="107" ht="40" customHeight="1">
      <x:c r="A107" s="1"/>
      <x:c r="B107" s="1"/>
      <x:c r="C107" s="8"/>
      <x:c r="D107" s="8"/>
      <x:c r="E107" s="8"/>
      <x:c r="F107" s="8"/>
      <x:c r="G107" s="39"/>
      <x:c r="H107" s="8"/>
      <x:c r="I107" s="8"/>
      <x:c r="J107" s="22"/>
      <x:c r="K107" s="40"/>
      <x:c r="L107" s="8"/>
      <x:c r="M107" s="8"/>
      <x:c r="N107" s="8"/>
      <x:c r="O107" s="8"/>
      <x:c r="P107" s="9" t="str">
        <x:f>IF(C107="","",IF(COUNTIFS($C$9:$C$108,C107)&lt;&gt;1,"Duplicate factor ID",IF(OR(D107="",E107="",F107="",H107="",I107="",L107="",M107="",N107="",O107&lt;&gt;"CO2e",NOT(ISNUMBER(G107)),G107&lt;0,NOT(ISNUMBER(J107)),NOT(ISNUMBER(K107))),"Missing factor input",IF(K107&lt;'Settings'!$F$8,"Expired","Ready"))))</x:f>
      </x:c>
    </x:row>
    <x:row r="108" ht="40" customHeight="1">
      <x:c r="A108" s="1"/>
      <x:c r="B108" s="1"/>
      <x:c r="C108" s="8"/>
      <x:c r="D108" s="8"/>
      <x:c r="E108" s="8"/>
      <x:c r="F108" s="8"/>
      <x:c r="G108" s="39"/>
      <x:c r="H108" s="8"/>
      <x:c r="I108" s="8"/>
      <x:c r="J108" s="22"/>
      <x:c r="K108" s="40"/>
      <x:c r="L108" s="8"/>
      <x:c r="M108" s="8"/>
      <x:c r="N108" s="8"/>
      <x:c r="O108" s="8"/>
      <x:c r="P108" s="9" t="str">
        <x:f>IF(C108="","",IF(COUNTIFS($C$9:$C$108,C108)&lt;&gt;1,"Duplicate factor ID",IF(OR(D108="",E108="",F108="",H108="",I108="",L108="",M108="",N108="",O108&lt;&gt;"CO2e",NOT(ISNUMBER(G108)),G108&lt;0,NOT(ISNUMBER(J108)),NOT(ISNUMBER(K108))),"Missing factor input",IF(K108&lt;'Settings'!$F$8,"Expired","Ready"))))</x:f>
      </x:c>
    </x:row>
  </x:sheetData>
  <x:mergeCells>
    <x:mergeCell ref="C2:H2"/>
    <x:mergeCell ref="C3:M3"/>
    <x:mergeCell ref="C1:D1"/>
    <x:mergeCell ref="E1:F1"/>
    <x:mergeCell ref="G1:H1"/>
    <x:mergeCell ref="I1:J1"/>
    <x:mergeCell ref="K1:L1"/>
    <x:mergeCell ref="M1:N1"/>
  </x:mergeCells>
  <x:conditionalFormatting sqref="P9:P108">
    <x:cfRule type="containsText" dxfId="272" priority="1" operator="containsText" text="Missing"/>
    <x:cfRule type="containsText" dxfId="273" priority="2" operator="containsText" text="Required"/>
    <x:cfRule type="containsText" dxfId="274" priority="3" operator="containsText" text="required"/>
    <x:cfRule type="containsText" dxfId="275" priority="4" operator="containsText" text="Expired"/>
    <x:cfRule type="containsText" dxfId="276" priority="5" operator="containsText" text="Hold"/>
    <x:cfRule type="containsText" dxfId="277" priority="6" operator="containsText" text="Review"/>
    <x:cfRule type="containsText" dxfId="278" priority="7" operator="containsText" text="Incomplete"/>
    <x:cfRule type="containsText" dxfId="279" priority="8" operator="containsText" text="Pending"/>
    <x:cfRule type="containsText" dxfId="280" priority="9" operator="containsText" text="Unsupported"/>
    <x:cfRule type="containsText" dxfId="281" priority="10" operator="containsText" text="Criteria"/>
    <x:cfRule type="containsText" dxfId="282" priority="11" operator="containsText" text="Fail"/>
    <x:cfRule type="containsText" dxfId="283" priority="12" operator="containsText" text="Stop"/>
    <x:cfRule type="containsText" dxfId="284" priority="13" operator="containsText" text="Breach"/>
    <x:cfRule type="containsText" dxfId="285" priority="14" operator="containsText" text="Invalid"/>
    <x:cfRule type="containsText" dxfId="286" priority="15" operator="containsText" text="Duplicate"/>
    <x:cfRule type="containsText" dxfId="287" priority="16" operator="containsText" text="Not aligned"/>
  </x:conditionalFormatting>
  <x:dataValidations count="5">
    <x:dataValidation type="list" sqref="E9:E108">
      <x:formula1>"Egypt,Jordan,UAE,Global"</x:formula1>
    </x:dataValidation>
    <x:dataValidation type="list" sqref="H9:H108">
      <x:formula1>"S1,S2,S3"</x:formula1>
    </x:dataValidation>
    <x:dataValidation type="list" sqref="I9:I108">
      <x:formula1>"Combustion,Process,Location-based,Market-based,Residual mix,Scope 3"</x:formula1>
    </x:dataValidation>
    <x:dataValidation type="list" sqref="N9:N108">
      <x:formula1>"Illustrative,Approved external"</x:formula1>
    </x:dataValidation>
    <x:dataValidation type="list" sqref="O9:O108">
      <x:formula1>"CO2e"</x:formula1>
    </x:dataValidation>
  </x:dataValidations>
  <x:hyperlinks>
    <x:hyperlink ref="C1" location="'Overview'!C2" display="Home" tooltip="Open Overview"/>
    <x:hyperlink ref="E1" location="'Customer'!C2" display="Customer" tooltip="Open Customer"/>
    <x:hyperlink ref="G1" location="'Capital'!C2" display="Capital" tooltip="Open Capital"/>
    <x:hyperlink ref="I1" location="'Disclosures'!C2" display="Reporting" tooltip="Open Disclosures"/>
    <x:hyperlink ref="K1" location="'Borrowers'!C8" display="Inputs" tooltip="Open Borrowers"/>
    <x:hyperlink ref="M1" location="'Settings'!C5" display="Settings" tooltip="Open Settings"/>
  </x:hyperlinks>
  <x:pageMargins left="0.7" right="0.7" top="0.75" bottom="0.75" header="0.3" footer="0.3"/>
  <x:tableParts count="1">
    <x:tablePart xmlns:r="http://schemas.openxmlformats.org/officeDocument/2006/relationships" r:id="Raa9eddd85801419f"/>
  </x:tableParts>
</x:worksheet>
</file>

<file path=xl/worksheets/sheet26.xml><?xml version="1.0" encoding="utf-8"?>
<x:worksheet xmlns:x="http://schemas.openxmlformats.org/spreadsheetml/2006/main">
  <x:sheetPr>
    <x:tabColor rgb="FF007F86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2.4000000953674316" hidden="0" customWidth="1"/>
    <x:col min="2" max="2" width="2.4000000953674316" hidden="0" customWidth="1"/>
    <x:col min="3" max="3" width="38" hidden="0" customWidth="1"/>
    <x:col min="4" max="4" width="14" hidden="0" customWidth="1"/>
    <x:col min="5" max="5" width="23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</x:cols>
  <x:sheetData>
    <x:row r="1" ht="27" customHeight="1">
      <x:c r="A1" s="1"/>
      <x:c r="B1" s="1"/>
      <x:c r="C1" s="50" t="str">
        <x:v>Home</x:v>
      </x:c>
      <x:c r="D1" s="50"/>
      <x:c r="E1" s="63" t="str">
        <x:v>Customer</x:v>
      </x:c>
      <x:c r="F1" s="63"/>
      <x:c r="G1" s="63" t="str">
        <x:v>Capital</x:v>
      </x:c>
      <x:c r="H1" s="63"/>
      <x:c r="I1" s="63" t="str">
        <x:v>Reporting</x:v>
      </x:c>
      <x:c r="J1" s="63"/>
      <x:c r="K1" s="63" t="str">
        <x:v>Inputs</x:v>
      </x:c>
      <x:c r="L1" s="125"/>
      <x:c r="M1" s="125" t="str">
        <x:v>Settings</x:v>
      </x:c>
      <x:c r="N1" s="125"/>
    </x:row>
    <x:row r="2" ht="45" customHeight="1">
      <x:c r="A2" s="1"/>
      <x:c r="B2" s="1"/>
      <x:c r="C2" s="5" t="str">
        <x:v>Model controls</x:v>
      </x:c>
      <x:c r="D2" s="5"/>
      <x:c r="E2" s="5"/>
      <x:c r="F2" s="5"/>
      <x:c r="G2" s="5"/>
      <x:c r="H2" s="5"/>
      <x:c r="I2" s="5"/>
      <x:c r="J2" s="5"/>
      <x:c r="K2" s="5"/>
    </x:row>
    <x:row r="3" ht="32" customHeight="1">
      <x:c r="A3" s="1"/>
      <x:c r="B3" s="1"/>
      <x:c r="C3" s="6" t="str">
        <x:v>Independent reconciliation checks. Exceptions are reviewed here; calculations do not depend on this sheet.</x:v>
      </x:c>
      <x:c r="D3" s="6"/>
      <x:c r="E3" s="6"/>
      <x:c r="F3" s="6"/>
      <x:c r="G3" s="6"/>
      <x:c r="H3" s="6"/>
      <x:c r="I3" s="6"/>
      <x:c r="J3" s="6"/>
      <x:c r="K3" s="6"/>
      <x:c r="L3" s="24"/>
      <x:c r="M3" s="24"/>
    </x:row>
    <x:row r="4" ht="26" customHeight="1">
      <x:c r="A4" s="1"/>
      <x:c r="B4" s="1"/>
      <x:c r="C4" s="3"/>
      <x:c r="D4" s="3"/>
      <x:c r="E4" s="3"/>
      <x:c r="F4" s="3"/>
      <x:c r="G4" s="3"/>
      <x:c r="H4" s="3"/>
      <x:c r="I4" s="3"/>
      <x:c r="J4" s="3"/>
      <x:c r="K4" s="3"/>
    </x:row>
    <x:row r="5" ht="26" customHeight="1">
      <x:c r="A5" s="1"/>
      <x:c r="B5" s="1"/>
      <x:c r="C5" s="3"/>
      <x:c r="D5" s="3"/>
      <x:c r="E5" s="3"/>
      <x:c r="F5" s="3"/>
      <x:c r="G5" s="3"/>
      <x:c r="H5" s="3"/>
      <x:c r="I5" s="3"/>
      <x:c r="J5" s="3"/>
      <x:c r="K5" s="3"/>
    </x:row>
    <x:row r="6" ht="26" customHeight="1">
      <x:c r="A6" s="1"/>
      <x:c r="B6" s="1"/>
      <x:c r="C6" s="3"/>
      <x:c r="D6" s="3"/>
      <x:c r="E6" s="3"/>
      <x:c r="F6" s="3"/>
      <x:c r="G6" s="3"/>
      <x:c r="H6" s="3"/>
      <x:c r="I6" s="3"/>
      <x:c r="J6" s="3"/>
      <x:c r="K6" s="3"/>
    </x:row>
    <x:row r="7" ht="26" customHeight="1">
      <x:c r="A7" s="1"/>
      <x:c r="B7" s="1"/>
      <x:c r="C7" s="3"/>
      <x:c r="D7" s="3"/>
      <x:c r="E7" s="3"/>
      <x:c r="F7" s="3"/>
      <x:c r="G7" s="3"/>
      <x:c r="H7" s="3"/>
      <x:c r="I7" s="3"/>
      <x:c r="J7" s="3"/>
      <x:c r="K7" s="3"/>
    </x:row>
    <x:row r="8" ht="46" customHeight="1">
      <x:c r="A8" s="1"/>
      <x:c r="B8" s="1"/>
      <x:c r="C8" s="15" t="str">
        <x:v>Control</x:v>
      </x:c>
      <x:c r="D8" s="15" t="str">
        <x:v>Result</x:v>
      </x:c>
      <x:c r="E8" s="15" t="str">
        <x:v>Expected</x:v>
      </x:c>
      <x:c r="F8" s="15" t="str">
        <x:v>Status</x:v>
      </x:c>
      <x:c r="G8" s="3"/>
      <x:c r="H8" s="3"/>
      <x:c r="I8" s="3"/>
      <x:c r="J8" s="3"/>
      <x:c r="K8" s="3"/>
    </x:row>
    <x:row r="9" ht="26" customHeight="1">
      <x:c r="A9" s="1"/>
      <x:c r="B9" s="1"/>
      <x:c r="C9" s="3" t="str">
        <x:v>Borrower ready count</x:v>
      </x:c>
      <x:c r="D9" s="23" t="n">
        <x:f>COUNTIF(Borrowers!AA9:AA108,"Ready")</x:f>
        <x:v>24</x:v>
      </x:c>
      <x:c r="E9" s="23" t="n">
        <x:f>COUNTA(Borrowers!C9:C108)</x:f>
        <x:v>24</x:v>
      </x:c>
      <x:c r="F9" s="3" t="str">
        <x:f>IF(ABS(D9-E9)&lt;0.000001,"Pass","Fail")</x:f>
        <x:v>Pass</x:v>
      </x:c>
      <x:c r="G9" s="3"/>
      <x:c r="H9" s="3"/>
      <x:c r="I9" s="3"/>
      <x:c r="J9" s="3"/>
      <x:c r="K9" s="3"/>
    </x:row>
    <x:row r="10" ht="26" customHeight="1">
      <x:c r="A10" s="1"/>
      <x:c r="B10" s="1"/>
      <x:c r="C10" s="3" t="str">
        <x:v>Facility ready count</x:v>
      </x:c>
      <x:c r="D10" s="23" t="n">
        <x:f>COUNTIF(Facilities!AF9:AF108,"Ready")</x:f>
        <x:v>36</x:v>
      </x:c>
      <x:c r="E10" s="23" t="n">
        <x:f>COUNTA(Facilities!C9:C108)</x:f>
        <x:v>36</x:v>
      </x:c>
      <x:c r="F10" s="3" t="str">
        <x:f>IF(ABS(D10-E10)&lt;0.000001,"Pass","Fail")</x:f>
        <x:v>Pass</x:v>
      </x:c>
      <x:c r="G10" s="3"/>
      <x:c r="H10" s="3"/>
      <x:c r="I10" s="3"/>
      <x:c r="J10" s="3"/>
      <x:c r="K10" s="3"/>
    </x:row>
    <x:row r="11" ht="26" customHeight="1">
      <x:c r="A11" s="1"/>
      <x:c r="B11" s="1"/>
      <x:c r="C11" s="3" t="str">
        <x:v>Site ready count</x:v>
      </x:c>
      <x:c r="D11" s="23" t="n">
        <x:f>COUNTIF(Sites!Q9:Q108,"Ready")</x:f>
        <x:v>48</x:v>
      </x:c>
      <x:c r="E11" s="23" t="n">
        <x:f>COUNTA(Sites!C9:C108)</x:f>
        <x:v>48</x:v>
      </x:c>
      <x:c r="F11" s="3" t="str">
        <x:f>IF(ABS(D11-E11)&lt;0.000001,"Pass","Fail")</x:f>
        <x:v>Pass</x:v>
      </x:c>
      <x:c r="G11" s="3"/>
      <x:c r="H11" s="3"/>
      <x:c r="I11" s="3"/>
      <x:c r="J11" s="3"/>
      <x:c r="K11" s="3"/>
    </x:row>
    <x:row r="12" ht="26" customHeight="1">
      <x:c r="A12" s="1"/>
      <x:c r="B12" s="1"/>
      <x:c r="C12" s="3" t="str">
        <x:v>Accounting case weights</x:v>
      </x:c>
      <x:c r="D12" s="23" t="n">
        <x:f>Settings!F35</x:f>
        <x:v>0.9999999999999999</x:v>
      </x:c>
      <x:c r="E12" s="21" t="n">
        <x:f>1</x:f>
        <x:v>1</x:v>
      </x:c>
      <x:c r="F12" s="3" t="str">
        <x:f>IF(ABS(D12-E12)&lt;0.000001,"Pass","Fail")</x:f>
        <x:v>Pass</x:v>
      </x:c>
      <x:c r="G12" s="3"/>
      <x:c r="H12" s="3"/>
      <x:c r="I12" s="3"/>
      <x:c r="J12" s="3"/>
      <x:c r="K12" s="3"/>
    </x:row>
    <x:row r="13" ht="26" customHeight="1">
      <x:c r="A13" s="1"/>
      <x:c r="B13" s="1"/>
      <x:c r="C13" s="3" t="str">
        <x:v>Accounting ECL total</x:v>
      </x:c>
      <x:c r="D13" s="23" t="n">
        <x:f>SUM(ECL!AD9:AD108)</x:f>
        <x:v>14.373489786299864</x:v>
      </x:c>
      <x:c r="E13" s="23" t="n">
        <x:f>SUM(ECL!AB9:AC108)</x:f>
        <x:v>14.373489786299865</x:v>
      </x:c>
      <x:c r="F13" s="3" t="str">
        <x:f>IF(ABS(D13-E13)&lt;0.000001,"Pass","Fail")</x:f>
        <x:v>Pass</x:v>
      </x:c>
      <x:c r="G13" s="3"/>
      <x:c r="H13" s="3"/>
      <x:c r="I13" s="3"/>
      <x:c r="J13" s="3"/>
      <x:c r="K13" s="3"/>
    </x:row>
    <x:row r="14" ht="26" customHeight="1">
      <x:c r="A14" s="1"/>
      <x:c r="B14" s="1"/>
      <x:c r="C14" s="3" t="str">
        <x:v>Facility gross roll-forward</x:v>
      </x:c>
      <x:c r="D14" s="23" t="n">
        <x:f>SUM('Facility Plan'!AE9:AE508)</x:f>
        <x:v>1.9345636204093353e-14</x:v>
      </x:c>
      <x:c r="E14" s="21" t="n">
        <x:f>0</x:f>
        <x:v>0</x:v>
      </x:c>
      <x:c r="F14" s="3" t="str">
        <x:f>IF(ABS(D14-E14)&lt;0.000001,"Pass","Fail")</x:f>
        <x:v>Pass</x:v>
      </x:c>
      <x:c r="G14" s="3"/>
      <x:c r="H14" s="3"/>
      <x:c r="I14" s="3"/>
      <x:c r="J14" s="3"/>
      <x:c r="K14" s="3"/>
    </x:row>
    <x:row r="15" ht="26" customHeight="1">
      <x:c r="A15" s="1"/>
      <x:c r="B15" s="1"/>
      <x:c r="C15" s="3" t="str">
        <x:v>Bank balance sheet all years</x:v>
      </x:c>
      <x:c r="D15" s="23" t="n">
        <x:f>SUM(Bank!F37:K37)</x:f>
        <x:v>3.410605131648481e-13</x:v>
      </x:c>
      <x:c r="E15" s="21" t="n">
        <x:f>0</x:f>
        <x:v>0</x:v>
      </x:c>
      <x:c r="F15" s="3" t="str">
        <x:f>IF(ABS(D15-E15)&lt;0.000001,"Pass","Fail")</x:f>
        <x:v>Pass</x:v>
      </x:c>
      <x:c r="G15" s="3"/>
      <x:c r="H15" s="3"/>
      <x:c r="I15" s="3"/>
      <x:c r="J15" s="3"/>
      <x:c r="K15" s="3"/>
    </x:row>
    <x:row r="16" ht="26" customHeight="1">
      <x:c r="A16" s="1"/>
      <x:c r="B16" s="1"/>
      <x:c r="C16" s="3" t="str">
        <x:v>Sector exposure reconciliation</x:v>
      </x:c>
      <x:c r="D16" s="23" t="n">
        <x:f>SUM(Portfolio!D13:D24)-Bank!F25</x:f>
        <x:v>0</x:v>
      </x:c>
      <x:c r="E16" s="21" t="n">
        <x:f>0</x:f>
        <x:v>0</x:v>
      </x:c>
      <x:c r="F16" s="3" t="str">
        <x:f>IF(ABS(D16-E16)&lt;0.000001,"Pass","Fail")</x:f>
        <x:v>Pass</x:v>
      </x:c>
      <x:c r="G16" s="3"/>
      <x:c r="H16" s="3"/>
      <x:c r="I16" s="3"/>
      <x:c r="J16" s="3"/>
      <x:c r="K16" s="3"/>
    </x:row>
    <x:row r="17" ht="26" customHeight="1">
      <x:c r="A17" s="1"/>
      <x:c r="B17" s="1"/>
      <x:c r="C17" s="3" t="str">
        <x:v>Country exposure reconciliation</x:v>
      </x:c>
      <x:c r="D17" s="23" t="n">
        <x:f>SUM(Portfolio!D29:D32)-Bank!F25</x:f>
        <x:v>-5.684341886080802e-14</x:v>
      </x:c>
      <x:c r="E17" s="21" t="n">
        <x:f>0</x:f>
        <x:v>0</x:v>
      </x:c>
      <x:c r="F17" s="3" t="str">
        <x:f>IF(ABS(D17-E17)&lt;0.000001,"Pass","Fail")</x:f>
        <x:v>Pass</x:v>
      </x:c>
      <x:c r="G17" s="3"/>
      <x:c r="H17" s="3"/>
      <x:c r="I17" s="3"/>
      <x:c r="J17" s="3"/>
      <x:c r="K17" s="3"/>
    </x:row>
    <x:row r="18" ht="26" customHeight="1">
      <x:c r="A18" s="1"/>
      <x:c r="B18" s="1"/>
      <x:c r="C18" s="3" t="str">
        <x:v>Scope 1 + 2 financed total</x:v>
      </x:c>
      <x:c r="D18" s="23" t="n">
        <x:f>'Financed Emissions'!$D$5</x:f>
        <x:v>48668.63080271585</x:v>
      </x:c>
      <x:c r="E18" s="23" t="n">
        <x:f>SUMIF('Financed Emissions'!$M$9:$M$108,"&gt;0",'Financed Emissions'!$J$9:$J$108)+SUMIF('Financed Emissions'!$M$9:$M$108,"&gt;0",'Financed Emissions'!$K$9:$K$108)</x:f>
        <x:v>48668.63080271585</x:v>
      </x:c>
      <x:c r="F18" s="3" t="str">
        <x:f>IF(ABS(D18-E18)&lt;0.000001,"Pass","Fail")</x:f>
        <x:v>Pass</x:v>
      </x:c>
      <x:c r="G18" s="3"/>
      <x:c r="H18" s="3"/>
      <x:c r="I18" s="3"/>
      <x:c r="J18" s="3"/>
      <x:c r="K18" s="3"/>
    </x:row>
    <x:row r="19" ht="26" customHeight="1">
      <x:c r="A19" s="1"/>
      <x:c r="B19" s="1"/>
      <x:c r="C19" s="3" t="str">
        <x:v>Allocated amount &lt;= loans</x:v>
      </x:c>
      <x:c r="D19" s="23" t="n">
        <x:f>IF('Taxonomy'!H5+'Taxonomy'!P5&lt;=Bank!F25,1,0)</x:f>
        <x:v>1</x:v>
      </x:c>
      <x:c r="E19" s="21" t="n">
        <x:f>1</x:f>
        <x:v>1</x:v>
      </x:c>
      <x:c r="F19" s="3" t="str">
        <x:f>IF(ABS(D19-E19)&lt;0.000001,"Pass","Fail")</x:f>
        <x:v>Pass</x:v>
      </x:c>
      <x:c r="G19" s="3"/>
      <x:c r="H19" s="3"/>
      <x:c r="I19" s="3"/>
      <x:c r="J19" s="3"/>
      <x:c r="K19" s="3"/>
    </x:row>
    <x:row r="20" ht="26" customHeight="1">
      <x:c r="A20" s="1"/>
      <x:c r="B20" s="1"/>
      <x:c r="C20" s="3" t="str">
        <x:v>Native currency rate positive</x:v>
      </x:c>
      <x:c r="D20" s="23" t="n">
        <x:f>IF(Settings!F50&gt;0,1,0)</x:f>
        <x:v>1</x:v>
      </x:c>
      <x:c r="E20" s="21" t="n">
        <x:f>1</x:f>
        <x:v>1</x:v>
      </x:c>
      <x:c r="F20" s="3" t="str">
        <x:f>IF(ABS(D20-E20)&lt;0.000001,"Pass","Fail")</x:f>
        <x:v>Pass</x:v>
      </x:c>
      <x:c r="G20" s="3"/>
      <x:c r="H20" s="3"/>
      <x:c r="I20" s="3"/>
      <x:c r="J20" s="3"/>
      <x:c r="K20" s="3"/>
    </x:row>
    <x:row r="21" ht="26" customHeight="1">
      <x:c r="A21" s="1"/>
      <x:c r="B21" s="1"/>
      <x:c r="C21" s="3" t="str">
        <x:v>Forecast rows ready</x:v>
      </x:c>
      <x:c r="D21" s="23" t="n">
        <x:f>COUNTIF('Facility Plan'!AQ9:AQ508,"Ready")</x:f>
        <x:v>180</x:v>
      </x:c>
      <x:c r="E21" s="23" t="n">
        <x:f>COUNTA(Facilities!C9:C108)*5</x:f>
        <x:v>180</x:v>
      </x:c>
      <x:c r="F21" s="3" t="str">
        <x:f>IF(ABS(D21-E21)&lt;0.000001,"Pass","Fail")</x:f>
        <x:v>Pass</x:v>
      </x:c>
      <x:c r="G21" s="3"/>
      <x:c r="H21" s="3"/>
      <x:c r="I21" s="3"/>
      <x:c r="J21" s="3"/>
      <x:c r="K21" s="3"/>
    </x:row>
    <x:row r="22" ht="26" customHeight="1">
      <x:c r="A22" s="1"/>
      <x:c r="B22" s="1"/>
      <x:c r="C22" s="3"/>
      <x:c r="D22" s="3"/>
      <x:c r="E22" s="3"/>
      <x:c r="F22" s="3"/>
      <x:c r="G22" s="3"/>
      <x:c r="H22" s="3"/>
      <x:c r="I22" s="3"/>
      <x:c r="J22" s="3"/>
      <x:c r="K22" s="3"/>
    </x:row>
    <x:row r="23" ht="26" customHeight="1">
      <x:c r="A23" s="1"/>
      <x:c r="B23" s="1"/>
      <x:c r="C23" s="3"/>
      <x:c r="D23" s="3"/>
      <x:c r="E23" s="3"/>
      <x:c r="F23" s="3"/>
      <x:c r="G23" s="3"/>
      <x:c r="H23" s="3"/>
      <x:c r="I23" s="3"/>
      <x:c r="J23" s="3"/>
      <x:c r="K23" s="3"/>
    </x:row>
    <x:row r="24" ht="30" customHeight="1">
      <x:c r="A24" s="1"/>
      <x:c r="B24" s="1"/>
      <x:c r="C24" s="13" t="str">
        <x:v>Exceptions requiring owner review</x:v>
      </x:c>
      <x:c r="D24" s="13"/>
      <x:c r="E24" s="13"/>
      <x:c r="F24" s="13"/>
      <x:c r="G24" s="13"/>
      <x:c r="H24" s="13"/>
      <x:c r="I24" s="13"/>
      <x:c r="J24" s="13"/>
      <x:c r="K24" s="13"/>
    </x:row>
    <x:row r="25" ht="26" customHeight="1">
      <x:c r="A25" s="1"/>
      <x:c r="B25" s="1"/>
      <x:c r="C25" s="3"/>
      <x:c r="D25" s="3"/>
      <x:c r="E25" s="3"/>
      <x:c r="F25" s="3"/>
      <x:c r="G25" s="3"/>
      <x:c r="H25" s="3"/>
      <x:c r="I25" s="3"/>
      <x:c r="J25" s="3"/>
      <x:c r="K25" s="3"/>
    </x:row>
    <x:row r="26" ht="26" customHeight="1">
      <x:c r="A26" s="1"/>
      <x:c r="B26" s="1"/>
      <x:c r="C26" s="3" t="str">
        <x:v>Borrower records requiring review</x:v>
      </x:c>
      <x:c r="D26" s="3"/>
      <x:c r="E26" s="3"/>
      <x:c r="F26" s="9" t="n">
        <x:f>COUNTA(Borrowers!C9:C108)-COUNTIF(Borrowers!AA9:AA108,"Ready")</x:f>
        <x:v>0</x:v>
      </x:c>
      <x:c r="G26" s="3"/>
      <x:c r="H26" s="3"/>
      <x:c r="I26" s="3"/>
      <x:c r="J26" s="3"/>
      <x:c r="K26" s="3"/>
    </x:row>
    <x:row r="27" ht="26" customHeight="1">
      <x:c r="A27" s="1"/>
      <x:c r="B27" s="1"/>
      <x:c r="C27" s="3" t="str">
        <x:v>Taxonomy pending</x:v>
      </x:c>
      <x:c r="D27" s="3"/>
      <x:c r="E27" s="3"/>
      <x:c r="F27" s="9" t="n">
        <x:f>'Taxonomy'!X5</x:f>
        <x:v>22</x:v>
      </x:c>
      <x:c r="G27" s="3"/>
      <x:c r="H27" s="3"/>
      <x:c r="I27" s="3"/>
      <x:c r="J27" s="3"/>
      <x:c r="K27" s="3"/>
    </x:row>
    <x:row r="28" ht="26" customHeight="1">
      <x:c r="A28" s="1"/>
      <x:c r="B28" s="1"/>
      <x:c r="C28" s="3" t="str">
        <x:v>Emissions methods pending</x:v>
      </x:c>
      <x:c r="D28" s="3"/>
      <x:c r="E28" s="3"/>
      <x:c r="F28" s="9" t="n">
        <x:f>'Financed Emissions'!$L$6</x:f>
        <x:v>0</x:v>
      </x:c>
      <x:c r="G28" s="3"/>
      <x:c r="H28" s="3"/>
      <x:c r="I28" s="3"/>
      <x:c r="J28" s="3"/>
      <x:c r="K28" s="3"/>
    </x:row>
    <x:row r="29" ht="26" customHeight="1">
      <x:c r="A29" s="1"/>
      <x:c r="B29" s="1"/>
      <x:c r="C29" s="3" t="str">
        <x:v>Critical actions open</x:v>
      </x:c>
      <x:c r="D29" s="3"/>
      <x:c r="E29" s="3"/>
      <x:c r="F29" s="9" t="n">
        <x:f>'Actions'!L5</x:f>
        <x:v>3</x:v>
      </x:c>
      <x:c r="G29" s="3"/>
      <x:c r="H29" s="3"/>
      <x:c r="I29" s="3"/>
      <x:c r="J29" s="3"/>
      <x:c r="K29" s="3"/>
    </x:row>
    <x:row r="30" ht="26" customHeight="1">
      <x:c r="A30" s="1"/>
      <x:c r="B30" s="1"/>
      <x:c r="C30" s="3"/>
      <x:c r="D30" s="3"/>
      <x:c r="E30" s="3"/>
      <x:c r="F30" s="3"/>
      <x:c r="G30" s="3"/>
      <x:c r="H30" s="3"/>
      <x:c r="I30" s="3"/>
      <x:c r="J30" s="3"/>
      <x:c r="K30" s="3"/>
    </x:row>
    <x:row r="31" ht="26" customHeight="1">
      <x:c r="A31" s="1"/>
      <x:c r="B31" s="1"/>
      <x:c r="C31" s="3"/>
      <x:c r="D31" s="3"/>
      <x:c r="E31" s="3"/>
      <x:c r="F31" s="3"/>
      <x:c r="G31" s="3"/>
      <x:c r="H31" s="3"/>
      <x:c r="I31" s="3"/>
      <x:c r="J31" s="3"/>
      <x:c r="K31" s="3"/>
    </x:row>
    <x:row r="32" ht="26" customHeight="1">
      <x:c r="A32" s="1"/>
      <x:c r="B32" s="1"/>
      <x:c r="C32" s="3" t="str">
        <x:v>Calibration status</x:v>
      </x:c>
      <x:c r="D32" s="3"/>
      <x:c r="E32" s="3"/>
      <x:c r="F32" s="9" t="str">
        <x:f>Settings!F13</x:f>
        <x:v>Illustrative</x:v>
      </x:c>
      <x:c r="G32" s="3"/>
      <x:c r="H32" s="3"/>
      <x:c r="I32" s="3"/>
      <x:c r="J32" s="3"/>
      <x:c r="K32" s="3"/>
    </x:row>
    <x:row r="33" ht="26" customHeight="1">
      <x:c r="A33" s="1"/>
      <x:c r="B33" s="1"/>
      <x:c r="C33" s="3" t="str">
        <x:v>Native Excel check</x:v>
      </x:c>
      <x:c r="D33" s="3"/>
      <x:c r="E33" s="3"/>
      <x:c r="F33" s="3" t="str">
        <x:v>See validation note</x:v>
      </x:c>
      <x:c r="G33" s="3"/>
      <x:c r="H33" s="3"/>
      <x:c r="I33" s="3"/>
      <x:c r="J33" s="3"/>
      <x:c r="K33" s="3"/>
    </x:row>
    <x:row r="34" ht="26" customHeight="1">
      <x:c r="A34" s="1"/>
      <x:c r="B34" s="1"/>
      <x:c r="C34" s="3"/>
      <x:c r="D34" s="3"/>
      <x:c r="E34" s="3"/>
      <x:c r="F34" s="3"/>
      <x:c r="G34" s="3"/>
      <x:c r="H34" s="3"/>
      <x:c r="I34" s="3"/>
      <x:c r="J34" s="3"/>
      <x:c r="K34" s="3"/>
    </x:row>
    <x:row r="35" ht="26" customHeight="1">
      <x:c r="A35" s="1"/>
      <x:c r="B35" s="1"/>
      <x:c r="C35" s="3"/>
      <x:c r="D35" s="3"/>
      <x:c r="E35" s="3"/>
      <x:c r="F35" s="3"/>
      <x:c r="G35" s="3"/>
      <x:c r="H35" s="3"/>
      <x:c r="I35" s="3"/>
      <x:c r="J35" s="3"/>
      <x:c r="K35" s="3"/>
    </x:row>
    <x:row r="36" ht="26" customHeight="1">
      <x:c r="A36" s="1"/>
      <x:c r="B36" s="1"/>
      <x:c r="C36" s="3"/>
      <x:c r="D36" s="3"/>
      <x:c r="E36" s="3"/>
      <x:c r="F36" s="3"/>
      <x:c r="G36" s="3"/>
      <x:c r="H36" s="3"/>
      <x:c r="I36" s="3"/>
      <x:c r="J36" s="3"/>
      <x:c r="K36" s="3"/>
    </x:row>
    <x:row r="37" ht="26" customHeight="1">
      <x:c r="A37" s="1"/>
      <x:c r="B37" s="1"/>
      <x:c r="C37" s="3"/>
      <x:c r="D37" s="3"/>
      <x:c r="E37" s="3"/>
      <x:c r="F37" s="3"/>
      <x:c r="G37" s="3"/>
      <x:c r="H37" s="3"/>
      <x:c r="I37" s="3"/>
      <x:c r="J37" s="3"/>
      <x:c r="K37" s="3"/>
    </x:row>
    <x:row r="38" ht="26" customHeight="1">
      <x:c r="A38" s="1"/>
      <x:c r="B38" s="1"/>
      <x:c r="C38" s="3"/>
      <x:c r="D38" s="3"/>
      <x:c r="E38" s="3"/>
      <x:c r="F38" s="3"/>
      <x:c r="G38" s="3"/>
      <x:c r="H38" s="3"/>
      <x:c r="I38" s="3"/>
      <x:c r="J38" s="3"/>
      <x:c r="K38" s="3"/>
    </x:row>
    <x:row r="39" ht="26" customHeight="1">
      <x:c r="A39" s="1"/>
      <x:c r="B39" s="1"/>
      <x:c r="C39" s="3"/>
      <x:c r="D39" s="3"/>
      <x:c r="E39" s="3"/>
      <x:c r="F39" s="3"/>
      <x:c r="G39" s="3"/>
      <x:c r="H39" s="3"/>
      <x:c r="I39" s="3"/>
      <x:c r="J39" s="3"/>
      <x:c r="K39" s="3"/>
    </x:row>
    <x:row r="40" ht="26" customHeight="1">
      <x:c r="A40" s="1"/>
      <x:c r="B40" s="1"/>
      <x:c r="C40" s="3"/>
      <x:c r="D40" s="3"/>
      <x:c r="E40" s="3"/>
      <x:c r="F40" s="3"/>
      <x:c r="G40" s="3"/>
      <x:c r="H40" s="3"/>
      <x:c r="I40" s="3"/>
      <x:c r="J40" s="3"/>
      <x:c r="K40" s="3"/>
    </x:row>
    <x:row r="41" ht="26" customHeight="1">
      <x:c r="A41" s="1"/>
      <x:c r="B41" s="1"/>
      <x:c r="C41" s="3"/>
      <x:c r="D41" s="3"/>
      <x:c r="E41" s="3"/>
      <x:c r="F41" s="3"/>
      <x:c r="G41" s="3"/>
      <x:c r="H41" s="3"/>
      <x:c r="I41" s="3"/>
      <x:c r="J41" s="3"/>
      <x:c r="K41" s="3"/>
    </x:row>
    <x:row r="42" ht="26" customHeight="1">
      <x:c r="A42" s="1"/>
      <x:c r="B42" s="1"/>
      <x:c r="C42" s="3"/>
      <x:c r="D42" s="3"/>
      <x:c r="E42" s="3"/>
      <x:c r="F42" s="3"/>
      <x:c r="G42" s="3"/>
      <x:c r="H42" s="3"/>
      <x:c r="I42" s="3"/>
      <x:c r="J42" s="3"/>
      <x:c r="K42" s="3"/>
    </x:row>
    <x:row r="43" ht="26" customHeight="1">
      <x:c r="A43" s="1"/>
      <x:c r="B43" s="1"/>
      <x:c r="C43" s="3"/>
      <x:c r="D43" s="3"/>
      <x:c r="E43" s="3"/>
      <x:c r="F43" s="3"/>
      <x:c r="G43" s="3"/>
      <x:c r="H43" s="3"/>
      <x:c r="I43" s="3"/>
      <x:c r="J43" s="3"/>
      <x:c r="K43" s="3"/>
    </x:row>
    <x:row r="44" ht="26" customHeight="1">
      <x:c r="A44" s="1"/>
      <x:c r="B44" s="1"/>
      <x:c r="C44" s="3"/>
      <x:c r="D44" s="3"/>
      <x:c r="E44" s="3"/>
      <x:c r="F44" s="3"/>
      <x:c r="G44" s="3"/>
      <x:c r="H44" s="3"/>
      <x:c r="I44" s="3"/>
      <x:c r="J44" s="3"/>
      <x:c r="K44" s="3"/>
    </x:row>
    <x:row r="45" ht="26" customHeight="1">
      <x:c r="A45" s="1"/>
      <x:c r="B45" s="1"/>
      <x:c r="C45" s="3"/>
      <x:c r="D45" s="3"/>
      <x:c r="E45" s="3"/>
      <x:c r="F45" s="3"/>
      <x:c r="G45" s="3"/>
      <x:c r="H45" s="3"/>
      <x:c r="I45" s="3"/>
      <x:c r="J45" s="3"/>
      <x:c r="K45" s="3"/>
    </x:row>
    <x:row r="46" ht="26" customHeight="1">
      <x:c r="A46" s="1"/>
      <x:c r="B46" s="1"/>
      <x:c r="C46" s="3"/>
      <x:c r="D46" s="3"/>
      <x:c r="E46" s="3"/>
      <x:c r="F46" s="3"/>
      <x:c r="G46" s="3"/>
      <x:c r="H46" s="3"/>
      <x:c r="I46" s="3"/>
      <x:c r="J46" s="3"/>
      <x:c r="K46" s="3"/>
    </x:row>
    <x:row r="47" ht="26" customHeight="1">
      <x:c r="A47" s="1"/>
      <x:c r="B47" s="1"/>
      <x:c r="C47" s="3"/>
      <x:c r="D47" s="3"/>
      <x:c r="E47" s="3"/>
      <x:c r="F47" s="3"/>
      <x:c r="G47" s="3"/>
      <x:c r="H47" s="3"/>
      <x:c r="I47" s="3"/>
      <x:c r="J47" s="3"/>
      <x:c r="K47" s="3"/>
    </x:row>
    <x:row r="48" ht="26" customHeight="1">
      <x:c r="A48" s="1"/>
      <x:c r="B48" s="1"/>
      <x:c r="C48" s="3"/>
      <x:c r="D48" s="3"/>
      <x:c r="E48" s="3"/>
      <x:c r="F48" s="3"/>
      <x:c r="G48" s="3"/>
      <x:c r="H48" s="3"/>
      <x:c r="I48" s="3"/>
      <x:c r="J48" s="3"/>
      <x:c r="K48" s="3"/>
    </x:row>
    <x:row r="49" ht="26" customHeight="1">
      <x:c r="A49" s="1"/>
      <x:c r="B49" s="1"/>
      <x:c r="C49" s="3"/>
      <x:c r="D49" s="3"/>
      <x:c r="E49" s="3"/>
      <x:c r="F49" s="3"/>
      <x:c r="G49" s="3"/>
      <x:c r="H49" s="3"/>
      <x:c r="I49" s="3"/>
      <x:c r="J49" s="3"/>
      <x:c r="K49" s="3"/>
    </x:row>
    <x:row r="50" ht="26" customHeight="1">
      <x:c r="A50" s="1"/>
      <x:c r="B50" s="1"/>
      <x:c r="C50" s="3"/>
      <x:c r="D50" s="3"/>
      <x:c r="E50" s="3"/>
      <x:c r="F50" s="3"/>
      <x:c r="G50" s="3"/>
      <x:c r="H50" s="3"/>
      <x:c r="I50" s="3"/>
      <x:c r="J50" s="3"/>
      <x:c r="K50" s="3"/>
    </x:row>
  </x:sheetData>
  <x:mergeCells>
    <x:mergeCell ref="C2:H2"/>
    <x:mergeCell ref="C3:M3"/>
    <x:mergeCell ref="C24:K24"/>
    <x:mergeCell ref="C1:D1"/>
    <x:mergeCell ref="E1:F1"/>
    <x:mergeCell ref="G1:H1"/>
    <x:mergeCell ref="I1:J1"/>
    <x:mergeCell ref="K1:L1"/>
    <x:mergeCell ref="M1:N1"/>
  </x:mergeCells>
  <x:conditionalFormatting sqref="F9:F21">
    <x:cfRule type="containsText" dxfId="560" priority="1" operator="containsText" text="Missing"/>
    <x:cfRule type="containsText" dxfId="561" priority="2" operator="containsText" text="Required"/>
    <x:cfRule type="containsText" dxfId="562" priority="3" operator="containsText" text="required"/>
    <x:cfRule type="containsText" dxfId="563" priority="4" operator="containsText" text="Expired"/>
    <x:cfRule type="containsText" dxfId="564" priority="5" operator="containsText" text="Hold"/>
    <x:cfRule type="containsText" dxfId="565" priority="6" operator="containsText" text="Review"/>
    <x:cfRule type="containsText" dxfId="566" priority="7" operator="containsText" text="Incomplete"/>
    <x:cfRule type="containsText" dxfId="567" priority="8" operator="containsText" text="Pending"/>
    <x:cfRule type="containsText" dxfId="568" priority="9" operator="containsText" text="Unsupported"/>
    <x:cfRule type="containsText" dxfId="569" priority="10" operator="containsText" text="Criteria"/>
    <x:cfRule type="containsText" dxfId="570" priority="11" operator="containsText" text="Fail"/>
    <x:cfRule type="containsText" dxfId="571" priority="12" operator="containsText" text="Stop"/>
    <x:cfRule type="containsText" dxfId="572" priority="13" operator="containsText" text="Breach"/>
    <x:cfRule type="containsText" dxfId="573" priority="14" operator="containsText" text="Invalid"/>
    <x:cfRule type="containsText" dxfId="574" priority="15" operator="containsText" text="Duplicate"/>
    <x:cfRule type="containsText" dxfId="575" priority="16" operator="containsText" text="Not aligned"/>
  </x:conditionalFormatting>
  <x:hyperlinks>
    <x:hyperlink ref="C1" location="'Overview'!C2" display="Home" tooltip="Open Overview"/>
    <x:hyperlink ref="E1" location="'Customer'!C2" display="Customer" tooltip="Open Customer"/>
    <x:hyperlink ref="G1" location="'Capital'!C2" display="Capital" tooltip="Open Capital"/>
    <x:hyperlink ref="I1" location="'Disclosures'!C2" display="Reporting" tooltip="Open Disclosures"/>
    <x:hyperlink ref="K1" location="'Borrowers'!C8" display="Inputs" tooltip="Open Borrowers"/>
    <x:hyperlink ref="M1" location="'Settings'!C5" display="Settings" tooltip="Open Settings"/>
  </x:hyperlink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Pr>
    <x:tabColor rgb="FF007F86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2.4000000953674316" hidden="0" customWidth="1"/>
    <x:col min="2" max="2" width="2.4000000953674316" hidden="0" customWidth="1"/>
    <x:col min="3" max="3" width="17" hidden="0" customWidth="1"/>
    <x:col min="4" max="4" width="17" hidden="0" customWidth="1"/>
    <x:col min="5" max="5" width="40" hidden="0" customWidth="1"/>
    <x:col min="6" max="6" width="17" hidden="0" customWidth="1"/>
    <x:col min="7" max="7" width="17" hidden="0" customWidth="1"/>
    <x:col min="8" max="8" width="17" hidden="0" customWidth="1"/>
    <x:col min="9" max="9" width="60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</x:cols>
  <x:sheetData>
    <x:row r="1" ht="27" customHeight="1">
      <x:c r="A1" s="1"/>
      <x:c r="B1" s="1"/>
      <x:c r="C1" s="50" t="str">
        <x:v>Home</x:v>
      </x:c>
      <x:c r="D1" s="50"/>
      <x:c r="E1" s="63" t="str">
        <x:v>Customer</x:v>
      </x:c>
      <x:c r="F1" s="63"/>
      <x:c r="G1" s="63" t="str">
        <x:v>Capital</x:v>
      </x:c>
      <x:c r="H1" s="63"/>
      <x:c r="I1" s="63" t="str">
        <x:v>Reporting</x:v>
      </x:c>
      <x:c r="J1" s="63"/>
      <x:c r="K1" s="63" t="str">
        <x:v>Inputs</x:v>
      </x:c>
      <x:c r="L1" s="63"/>
      <x:c r="M1" s="63" t="str">
        <x:v>Settings</x:v>
      </x:c>
      <x:c r="N1" s="63"/>
      <x:c r="O1" s="3"/>
      <x:c r="P1" s="3"/>
      <x:c r="Q1" s="3"/>
    </x:row>
    <x:row r="2" ht="45" customHeight="1">
      <x:c r="A2" s="1"/>
      <x:c r="B2" s="1"/>
      <x:c r="C2" s="5" t="str">
        <x:v>ASSESSMENT RULES</x:v>
      </x:c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</x:row>
    <x:row r="3" ht="32" customHeight="1">
      <x:c r="A3" s="1"/>
      <x:c r="B3" s="1"/>
      <x:c r="C3" s="6" t="str">
        <x:v>Source-backed Jordan pathways • separate illustrative internal policy • editable bank sector weights</x:v>
      </x:c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3"/>
      <x:c r="O3" s="3"/>
      <x:c r="P3" s="3"/>
      <x:c r="Q3" s="3"/>
    </x:row>
    <x:row r="4" ht="26" customHeight="1">
      <x:c r="A4" s="1"/>
      <x:c r="B4" s="1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</x:row>
    <x:row r="5" ht="26" customHeight="1">
      <x:c r="A5" s="1"/>
      <x:c r="B5" s="1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</x:row>
    <x:row r="6" ht="26" customHeight="1">
      <x:c r="A6" s="1"/>
      <x:c r="B6" s="1"/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  <x:c r="O6" s="3"/>
      <x:c r="P6" s="3"/>
      <x:c r="Q6" s="3"/>
    </x:row>
    <x:row r="7" ht="26" customHeight="1">
      <x:c r="A7" s="1"/>
      <x:c r="B7" s="1"/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3"/>
      <x:c r="Q7" s="3"/>
    </x:row>
    <x:row r="8" ht="46" customHeight="1">
      <x:c r="A8" s="1"/>
      <x:c r="B8" s="1"/>
      <x:c r="C8" s="15" t="str">
        <x:v>Rule key</x:v>
      </x:c>
      <x:c r="D8" s="15" t="str">
        <x:v>Scheme / version</x:v>
      </x:c>
      <x:c r="E8" s="15" t="str">
        <x:v>Activity</x:v>
      </x:c>
      <x:c r="F8" s="15" t="str">
        <x:v>Primary metric</x:v>
      </x:c>
      <x:c r="G8" s="15" t="str">
        <x:v>Reference trigger</x:v>
      </x:c>
      <x:c r="H8" s="15" t="str">
        <x:v>Unit</x:v>
      </x:c>
      <x:c r="I8" s="15" t="str">
        <x:v>Interpretation</x:v>
      </x:c>
      <x:c r="J8" s="15" t="str">
        <x:v>Required tests</x:v>
      </x:c>
      <x:c r="K8" s="15" t="str">
        <x:v>Authority</x:v>
      </x:c>
      <x:c r="L8" s="15" t="str">
        <x:v>Source locator</x:v>
      </x:c>
      <x:c r="M8" s="15" t="str">
        <x:v>Secondary metric</x:v>
      </x:c>
      <x:c r="N8" s="15" t="str">
        <x:v>Permitted pathway</x:v>
      </x:c>
      <x:c r="O8" s="3" t="str">
        <x:v>Cement year</x:v>
      </x:c>
      <x:c r="P8" s="3" t="str">
        <x:v>Green maximum</x:v>
      </x:c>
      <x:c r="Q8" s="3" t="str">
        <x:v>Unit</x:v>
      </x:c>
    </x:row>
    <x:row r="9" ht="75" customHeight="1">
      <x:c r="A9" s="1"/>
      <x:c r="B9" s="1"/>
      <x:c r="C9" s="3" t="str">
        <x:v>Jordan 2026::Solar PV</x:v>
      </x:c>
      <x:c r="D9" s="3" t="str">
        <x:v>Jordan 2026</x:v>
      </x:c>
      <x:c r="E9" s="3" t="str">
        <x:v>Solar PV</x:v>
      </x:c>
      <x:c r="F9" s="3" t="str">
        <x:v>Eligible PV activity</x:v>
      </x:c>
      <x:c r="G9" s="3" t="n">
        <x:v>1</x:v>
      </x:c>
      <x:c r="H9" s="3" t="str">
        <x:v>1 = confirmed</x:v>
      </x:c>
      <x:c r="I9" s="3" t="str">
        <x:v>Activity-based route; no invented 100g emissions limit</x:v>
      </x:c>
      <x:c r="J9" s="3" t="n">
        <x:v>12</x:v>
      </x:c>
      <x:c r="K9" s="3" t="str">
        <x:v>Jordan taxonomy reference</x:v>
      </x:c>
      <x:c r="L9" s="3" t="str">
        <x:v>S10 p86</x:v>
      </x:c>
      <x:c r="M9" s="3" t="str">
        <x:v>Not used</x:v>
      </x:c>
      <x:c r="N9" s="3" t="str">
        <x:v>Eligible activity</x:v>
      </x:c>
      <x:c r="O9" s="3" t="n">
        <x:v>2025</x:v>
      </x:c>
      <x:c r="P9" s="36" t="n">
        <x:v>0.539</x:v>
      </x:c>
      <x:c r="Q9" s="3" t="str">
        <x:v>tCO2/t</x:v>
      </x:c>
    </x:row>
    <x:row r="10" ht="75" customHeight="1">
      <x:c r="A10" s="1"/>
      <x:c r="B10" s="1"/>
      <x:c r="C10" s="3" t="str">
        <x:v>Jordan 2026::Cement</x:v>
      </x:c>
      <x:c r="D10" s="3" t="str">
        <x:v>Jordan 2026</x:v>
      </x:c>
      <x:c r="E10" s="3" t="str">
        <x:v>Cement</x:v>
      </x:c>
      <x:c r="F10" s="3" t="str">
        <x:v>Cementitious-product intensity</x:v>
      </x:c>
      <x:c r="G10" s="126" t="n">
        <x:v>0</x:v>
      </x:c>
      <x:c r="H10" s="3" t="str">
        <x:v>tCO2 / t cementitious product</x:v>
      </x:c>
      <x:c r="I10" s="3" t="str">
        <x:v>Use exact milestone year table; no assumed interpolation</x:v>
      </x:c>
      <x:c r="J10" s="3" t="n">
        <x:v>13</x:v>
      </x:c>
      <x:c r="K10" s="3" t="str">
        <x:v>Jordan taxonomy reference</x:v>
      </x:c>
      <x:c r="L10" s="3" t="str">
        <x:v>S10 pp49–51</x:v>
      </x:c>
      <x:c r="M10" s="3" t="str">
        <x:v>Not used; fuel / CCS conditions in evidence tests</x:v>
      </x:c>
      <x:c r="N10" s="3" t="str">
        <x:v>Green; Amber only under Jordan scheme</x:v>
      </x:c>
      <x:c r="O10" s="3" t="n">
        <x:v>2030</x:v>
      </x:c>
      <x:c r="P10" s="36" t="n">
        <x:v>0.463</x:v>
      </x:c>
      <x:c r="Q10" s="3" t="str">
        <x:v>tCO2/t</x:v>
      </x:c>
    </x:row>
    <x:row r="11" ht="75" customHeight="1">
      <x:c r="A11" s="1"/>
      <x:c r="B11" s="1"/>
      <x:c r="C11" s="3" t="str">
        <x:v>Jordan 2026::Building renovation</x:v>
      </x:c>
      <x:c r="D11" s="3" t="str">
        <x:v>Jordan 2026</x:v>
      </x:c>
      <x:c r="E11" s="3" t="str">
        <x:v>Building renovation</x:v>
      </x:c>
      <x:c r="F11" s="3" t="str">
        <x:v>Improvement: primary energy reduction; Whole building: 1 = qualifying</x:v>
      </x:c>
      <x:c r="G11" s="3" t="n">
        <x:v>0.2</x:v>
      </x:c>
      <x:c r="H11" s="3" t="str">
        <x:v>ratio: before versus after</x:v>
      </x:c>
      <x:c r="I11" s="3" t="str">
        <x:v>20% improvement is Amber only; boundary year 2035 requires interpretation</x:v>
      </x:c>
      <x:c r="J11" s="3" t="n">
        <x:v>17</x:v>
      </x:c>
      <x:c r="K11" s="3" t="str">
        <x:v>Jordan taxonomy reference</x:v>
      </x:c>
      <x:c r="L11" s="3" t="str">
        <x:v>S10 pp136–137; pp131–133</x:v>
      </x:c>
      <x:c r="M11" s="3" t="str">
        <x:v>GHG-intensity reduction, fraction 0–1; not used on Whole building route</x:v>
      </x:c>
      <x:c r="N11" s="3" t="str">
        <x:v>Improvement; Whole building</x:v>
      </x:c>
      <x:c r="O11" s="3" t="n">
        <x:v>2035</x:v>
      </x:c>
      <x:c r="P11" s="36" t="n">
        <x:v>0.344</x:v>
      </x:c>
      <x:c r="Q11" s="3" t="str">
        <x:v>tCO2/t</x:v>
      </x:c>
    </x:row>
    <x:row r="12" ht="75" customHeight="1">
      <x:c r="A12" s="1"/>
      <x:c r="B12" s="1"/>
      <x:c r="C12" s="3" t="str">
        <x:v>Jordan 2026::Road freight</x:v>
      </x:c>
      <x:c r="D12" s="3" t="str">
        <x:v>Jordan 2026</x:v>
      </x:c>
      <x:c r="E12" s="3" t="str">
        <x:v>Road freight</x:v>
      </x:c>
      <x:c r="F12" s="3" t="str">
        <x:v>Direct tailpipe CO2</x:v>
      </x:c>
      <x:c r="G12" s="3" t="n">
        <x:v>0</x:v>
      </x:c>
      <x:c r="H12" s="3" t="str">
        <x:v>gCO2 / km</x:v>
      </x:c>
      <x:c r="I12" s="3" t="str">
        <x:v>Zero tailpipe AND no dedication to fossil-fuel transport; Amber threshold unresolved</x:v>
      </x:c>
      <x:c r="J12" s="3" t="n">
        <x:v>12</x:v>
      </x:c>
      <x:c r="K12" s="3" t="str">
        <x:v>Jordan taxonomy reference</x:v>
      </x:c>
      <x:c r="L12" s="3" t="str">
        <x:v>S10 pp117–118</x:v>
      </x:c>
      <x:c r="M12" s="3" t="str">
        <x:v>0 = no dedication to fossil-fuel transport; 1 = dedicated</x:v>
      </x:c>
      <x:c r="N12" s="3" t="str">
        <x:v>Zero emissions</x:v>
      </x:c>
      <x:c r="O12" s="3" t="n">
        <x:v>2040</x:v>
      </x:c>
      <x:c r="P12" s="36" t="n">
        <x:v>0.219</x:v>
      </x:c>
      <x:c r="Q12" s="3" t="str">
        <x:v>tCO2/t</x:v>
      </x:c>
    </x:row>
    <x:row r="13" ht="75" customHeight="1">
      <x:c r="A13" s="1"/>
      <x:c r="B13" s="1"/>
      <x:c r="C13" s="3" t="str">
        <x:v>Jordan 2026::New building</x:v>
      </x:c>
      <x:c r="D13" s="3" t="str">
        <x:v>Jordan 2026</x:v>
      </x:c>
      <x:c r="E13" s="3" t="str">
        <x:v>New building</x:v>
      </x:c>
      <x:c r="F13" s="3" t="str">
        <x:v>Qualifying whole-building route</x:v>
      </x:c>
      <x:c r="G13" s="3" t="n">
        <x:v>1</x:v>
      </x:c>
      <x:c r="H13" s="3" t="str">
        <x:v>1 = confirmed</x:v>
      </x:c>
      <x:c r="I13" s="3" t="str">
        <x:v>Verify card and referenced conditions</x:v>
      </x:c>
      <x:c r="J13" s="3" t="n">
        <x:v>16</x:v>
      </x:c>
      <x:c r="K13" s="3" t="str">
        <x:v>Jordan taxonomy reference</x:v>
      </x:c>
      <x:c r="L13" s="3" t="str">
        <x:v>S10 pp131–133</x:v>
      </x:c>
      <x:c r="M13" s="3" t="str">
        <x:v>Not used</x:v>
      </x:c>
      <x:c r="N13" s="3" t="str">
        <x:v>Green; Amber only under Jordan scheme</x:v>
      </x:c>
      <x:c r="O13" s="3" t="n">
        <x:v>2045</x:v>
      </x:c>
      <x:c r="P13" s="36" t="n">
        <x:v>0.127</x:v>
      </x:c>
      <x:c r="Q13" s="3" t="str">
        <x:v>tCO2/t</x:v>
      </x:c>
    </x:row>
    <x:row r="14" ht="75" customHeight="1">
      <x:c r="A14" s="1"/>
      <x:c r="B14" s="1"/>
      <x:c r="C14" s="3" t="str">
        <x:v>Jordan 2026::Building equipment</x:v>
      </x:c>
      <x:c r="D14" s="3" t="str">
        <x:v>Jordan 2026</x:v>
      </x:c>
      <x:c r="E14" s="3" t="str">
        <x:v>Building equipment</x:v>
      </x:c>
      <x:c r="F14" s="3" t="str">
        <x:v>Qualifying equipment route</x:v>
      </x:c>
      <x:c r="G14" s="3" t="n">
        <x:v>1</x:v>
      </x:c>
      <x:c r="H14" s="3" t="str">
        <x:v>1 = confirmed</x:v>
      </x:c>
      <x:c r="I14" s="3" t="str">
        <x:v>Verify card and referenced conditions</x:v>
      </x:c>
      <x:c r="J14" s="3" t="n">
        <x:v>17</x:v>
      </x:c>
      <x:c r="K14" s="3" t="str">
        <x:v>Jordan taxonomy reference</x:v>
      </x:c>
      <x:c r="L14" s="3" t="str">
        <x:v>S10 pp138–139</x:v>
      </x:c>
      <x:c r="M14" s="3" t="str">
        <x:v>Not used</x:v>
      </x:c>
      <x:c r="N14" s="3" t="str">
        <x:v>Equipment</x:v>
      </x:c>
      <x:c r="O14" s="3" t="n">
        <x:v>2050</x:v>
      </x:c>
      <x:c r="P14" s="36" t="n">
        <x:v>0.032</x:v>
      </x:c>
      <x:c r="Q14" s="3" t="str">
        <x:v>tCO2/t</x:v>
      </x:c>
    </x:row>
    <x:row r="15" ht="75" customHeight="1">
      <x:c r="A15" s="1"/>
      <x:c r="B15" s="1"/>
      <x:c r="C15" s="3" t="str">
        <x:v>Internal criteria::Solar PV</x:v>
      </x:c>
      <x:c r="D15" s="3" t="str">
        <x:v>Internal criteria</x:v>
      </x:c>
      <x:c r="E15" s="3" t="str">
        <x:v>Solar PV</x:v>
      </x:c>
      <x:c r="F15" s="3" t="str">
        <x:v>Eligible PV activity</x:v>
      </x:c>
      <x:c r="G15" s="3" t="n">
        <x:v>1</x:v>
      </x:c>
      <x:c r="H15" s="3" t="str">
        <x:v>1 = confirmed</x:v>
      </x:c>
      <x:c r="I15" s="3" t="str">
        <x:v>Illustrative bank policy; no legal or national taxonomy claim</x:v>
      </x:c>
      <x:c r="J15" s="3" t="n">
        <x:v>12</x:v>
      </x:c>
      <x:c r="K15" s="3" t="str">
        <x:v>Illustrative bank policy</x:v>
      </x:c>
      <x:c r="L15" s="3" t="str">
        <x:v>S10 p86</x:v>
      </x:c>
      <x:c r="M15" s="3" t="str">
        <x:v>Not used</x:v>
      </x:c>
      <x:c r="N15" s="3" t="str">
        <x:v>Eligible activity</x:v>
      </x:c>
      <x:c r="O15" s="3"/>
      <x:c r="P15" s="3"/>
      <x:c r="Q15" s="3"/>
    </x:row>
    <x:row r="16" ht="75" customHeight="1">
      <x:c r="A16" s="1"/>
      <x:c r="B16" s="1"/>
      <x:c r="C16" s="3" t="str">
        <x:v>Internal criteria::Cement</x:v>
      </x:c>
      <x:c r="D16" s="3" t="str">
        <x:v>Internal criteria</x:v>
      </x:c>
      <x:c r="E16" s="3" t="str">
        <x:v>Cement</x:v>
      </x:c>
      <x:c r="F16" s="3" t="str">
        <x:v>Cementitious-product intensity</x:v>
      </x:c>
      <x:c r="G16" s="35" t="n">
        <x:v>0.55</x:v>
      </x:c>
      <x:c r="H16" s="3" t="str">
        <x:v>tCO2 / t cementitious product</x:v>
      </x:c>
      <x:c r="I16" s="3" t="str">
        <x:v>Illustrative bank policy; no legal or national taxonomy claim</x:v>
      </x:c>
      <x:c r="J16" s="3" t="n">
        <x:v>13</x:v>
      </x:c>
      <x:c r="K16" s="3" t="str">
        <x:v>Illustrative bank policy</x:v>
      </x:c>
      <x:c r="L16" s="3" t="str">
        <x:v>S10 pp49–51</x:v>
      </x:c>
      <x:c r="M16" s="3" t="str">
        <x:v>Not used; fuel / CCS conditions in evidence tests</x:v>
      </x:c>
      <x:c r="N16" s="3" t="str">
        <x:v>Green; Amber only under Jordan scheme</x:v>
      </x:c>
      <x:c r="O16" s="3"/>
      <x:c r="P16" s="3"/>
      <x:c r="Q16" s="3"/>
    </x:row>
    <x:row r="17" ht="75" customHeight="1">
      <x:c r="A17" s="1"/>
      <x:c r="B17" s="1"/>
      <x:c r="C17" s="3" t="str">
        <x:v>Internal criteria::Building renovation</x:v>
      </x:c>
      <x:c r="D17" s="3" t="str">
        <x:v>Internal criteria</x:v>
      </x:c>
      <x:c r="E17" s="3" t="str">
        <x:v>Building renovation</x:v>
      </x:c>
      <x:c r="F17" s="3" t="str">
        <x:v>Improvement: primary energy reduction; Whole building: 1 = qualifying</x:v>
      </x:c>
      <x:c r="G17" s="35" t="n">
        <x:v>0.2</x:v>
      </x:c>
      <x:c r="H17" s="3" t="str">
        <x:v>ratio: before versus after</x:v>
      </x:c>
      <x:c r="I17" s="3" t="str">
        <x:v>Illustrative bank policy; no legal or national taxonomy claim</x:v>
      </x:c>
      <x:c r="J17" s="3" t="n">
        <x:v>17</x:v>
      </x:c>
      <x:c r="K17" s="3" t="str">
        <x:v>Illustrative bank policy</x:v>
      </x:c>
      <x:c r="L17" s="3" t="str">
        <x:v>S10 pp136–137; pp131–133</x:v>
      </x:c>
      <x:c r="M17" s="3" t="str">
        <x:v>GHG-intensity reduction, fraction 0–1; not used on Whole building route</x:v>
      </x:c>
      <x:c r="N17" s="3" t="str">
        <x:v>Improvement; Whole building</x:v>
      </x:c>
      <x:c r="O17" s="3" t="str">
        <x:v>Cement: measurement year drives the threshold.</x:v>
      </x:c>
      <x:c r="P17" s="3"/>
      <x:c r="Q17" s="3"/>
    </x:row>
    <x:row r="18" ht="75" customHeight="1">
      <x:c r="A18" s="1"/>
      <x:c r="B18" s="1"/>
      <x:c r="C18" s="3" t="str">
        <x:v>Internal criteria::Road freight</x:v>
      </x:c>
      <x:c r="D18" s="3" t="str">
        <x:v>Internal criteria</x:v>
      </x:c>
      <x:c r="E18" s="3" t="str">
        <x:v>Road freight</x:v>
      </x:c>
      <x:c r="F18" s="3" t="str">
        <x:v>Direct tailpipe CO2</x:v>
      </x:c>
      <x:c r="G18" s="3" t="n">
        <x:v>0</x:v>
      </x:c>
      <x:c r="H18" s="3" t="str">
        <x:v>gCO2 / km</x:v>
      </x:c>
      <x:c r="I18" s="3" t="str">
        <x:v>Illustrative bank policy; no legal or national taxonomy claim</x:v>
      </x:c>
      <x:c r="J18" s="3" t="n">
        <x:v>12</x:v>
      </x:c>
      <x:c r="K18" s="3" t="str">
        <x:v>Illustrative bank policy</x:v>
      </x:c>
      <x:c r="L18" s="3" t="str">
        <x:v>S10 pp117–118</x:v>
      </x:c>
      <x:c r="M18" s="3" t="str">
        <x:v>0 = no dedication to fossil-fuel transport; 1 = dedicated</x:v>
      </x:c>
      <x:c r="N18" s="3" t="str">
        <x:v>Zero emissions</x:v>
      </x:c>
      <x:c r="O18" s="3" t="str">
        <x:v>No interpolation supplied by source.</x:v>
      </x:c>
      <x:c r="P18" s="3"/>
      <x:c r="Q18" s="3"/>
    </x:row>
    <x:row r="19" ht="75" customHeight="1">
      <x:c r="A19" s="1"/>
      <x:c r="B19" s="1"/>
      <x:c r="C19" s="3" t="str">
        <x:v>Internal criteria::New building</x:v>
      </x:c>
      <x:c r="D19" s="3" t="str">
        <x:v>Internal criteria</x:v>
      </x:c>
      <x:c r="E19" s="3" t="str">
        <x:v>New building</x:v>
      </x:c>
      <x:c r="F19" s="3" t="str">
        <x:v>Qualifying whole-building route</x:v>
      </x:c>
      <x:c r="G19" s="3" t="n">
        <x:v>1</x:v>
      </x:c>
      <x:c r="H19" s="3" t="str">
        <x:v>1 = confirmed</x:v>
      </x:c>
      <x:c r="I19" s="3" t="str">
        <x:v>Illustrative bank policy; no legal or national taxonomy claim</x:v>
      </x:c>
      <x:c r="J19" s="3" t="n">
        <x:v>16</x:v>
      </x:c>
      <x:c r="K19" s="3" t="str">
        <x:v>Illustrative bank policy</x:v>
      </x:c>
      <x:c r="L19" s="3" t="str">
        <x:v>S10 pp131–133</x:v>
      </x:c>
      <x:c r="M19" s="3" t="str">
        <x:v>Not used</x:v>
      </x:c>
      <x:c r="N19" s="3" t="str">
        <x:v>Green; Amber only under Jordan scheme</x:v>
      </x:c>
      <x:c r="O19" s="3"/>
      <x:c r="P19" s="3"/>
      <x:c r="Q19" s="3"/>
    </x:row>
    <x:row r="20" ht="75" customHeight="1">
      <x:c r="A20" s="1"/>
      <x:c r="B20" s="1"/>
      <x:c r="C20" s="3" t="str">
        <x:v>Internal criteria::Building equipment</x:v>
      </x:c>
      <x:c r="D20" s="3" t="str">
        <x:v>Internal criteria</x:v>
      </x:c>
      <x:c r="E20" s="3" t="str">
        <x:v>Building equipment</x:v>
      </x:c>
      <x:c r="F20" s="3" t="str">
        <x:v>Qualifying equipment route</x:v>
      </x:c>
      <x:c r="G20" s="3" t="n">
        <x:v>1</x:v>
      </x:c>
      <x:c r="H20" s="3" t="str">
        <x:v>1 = confirmed</x:v>
      </x:c>
      <x:c r="I20" s="3" t="str">
        <x:v>Illustrative bank policy; no legal or national taxonomy claim</x:v>
      </x:c>
      <x:c r="J20" s="3" t="n">
        <x:v>17</x:v>
      </x:c>
      <x:c r="K20" s="3" t="str">
        <x:v>Illustrative bank policy</x:v>
      </x:c>
      <x:c r="L20" s="3" t="str">
        <x:v>S10 pp138–139</x:v>
      </x:c>
      <x:c r="M20" s="3" t="str">
        <x:v>Not used</x:v>
      </x:c>
      <x:c r="N20" s="3" t="str">
        <x:v>Equipment</x:v>
      </x:c>
      <x:c r="O20" s="3" t="str">
        <x:v>Jordan outside Jordan = reference benchmark.</x:v>
      </x:c>
      <x:c r="P20" s="3"/>
      <x:c r="Q20" s="3"/>
    </x:row>
    <x:row r="21" ht="26" customHeight="1">
      <x:c r="A21" s="1"/>
      <x:c r="B21" s="1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 t="str">
        <x:v>Internal policy is illustrative and editable.</x:v>
      </x:c>
      <x:c r="P21" s="3"/>
      <x:c r="Q21" s="3"/>
    </x:row>
    <x:row r="22" ht="26" customHeight="1">
      <x:c r="A22" s="1"/>
      <x:c r="B22" s="1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3"/>
      <x:c r="Q22" s="3"/>
    </x:row>
    <x:row r="23" ht="26" customHeight="1">
      <x:c r="A23" s="1"/>
      <x:c r="B23" s="1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3"/>
      <x:c r="Q23" s="3"/>
    </x:row>
    <x:row r="24" ht="30" customHeight="1">
      <x:c r="A24" s="1"/>
      <x:c r="B24" s="1"/>
      <x:c r="C24" s="13" t="str">
        <x:v>SECTOR MATERIALITY • illustrative bank weights</x:v>
      </x:c>
      <x:c r="D24" s="13"/>
      <x:c r="E24" s="13"/>
      <x:c r="F24" s="13"/>
      <x:c r="G24" s="13"/>
      <x:c r="H24" s="13"/>
      <x:c r="I24" s="13"/>
      <x:c r="J24" s="13"/>
      <x:c r="K24" s="13"/>
      <x:c r="L24" s="13"/>
      <x:c r="M24" s="3"/>
      <x:c r="N24" s="3"/>
      <x:c r="O24" s="3"/>
      <x:c r="P24" s="3"/>
      <x:c r="Q24" s="3"/>
    </x:row>
    <x:row r="25" ht="46" customHeight="1">
      <x:c r="A25" s="1"/>
      <x:c r="B25" s="1"/>
      <x:c r="C25" s="15" t="str">
        <x:v>Sector</x:v>
      </x:c>
      <x:c r="D25" s="15" t="str">
        <x:v>E weight</x:v>
      </x:c>
      <x:c r="E25" s="15" t="str">
        <x:v>S weight</x:v>
      </x:c>
      <x:c r="F25" s="15" t="str">
        <x:v>G weight</x:v>
      </x:c>
      <x:c r="G25" s="15" t="str">
        <x:v>Control</x:v>
      </x:c>
      <x:c r="H25" s="3"/>
      <x:c r="I25" s="3"/>
      <x:c r="J25" s="3"/>
      <x:c r="K25" s="3"/>
      <x:c r="L25" s="3"/>
      <x:c r="M25" s="3"/>
      <x:c r="N25" s="3"/>
      <x:c r="O25" s="3"/>
      <x:c r="P25" s="3"/>
      <x:c r="Q25" s="3"/>
    </x:row>
    <x:row r="26" ht="26" customHeight="1">
      <x:c r="A26" s="1"/>
      <x:c r="B26" s="1"/>
      <x:c r="C26" s="3" t="str">
        <x:v>Cement</x:v>
      </x:c>
      <x:c r="D26" s="11" t="n">
        <x:v>0.55</x:v>
      </x:c>
      <x:c r="E26" s="11" t="n">
        <x:v>0.25</x:v>
      </x:c>
      <x:c r="F26" s="11" t="n">
        <x:v>0.2</x:v>
      </x:c>
      <x:c r="G26" s="3" t="str">
        <x:f>IF(AND(MIN(D26:F26)&gt;=0,ABS(SUM(D26:F26)-1)&lt;0.000001),"Valid","Check weights")</x:f>
        <x:v>Valid</x:v>
      </x:c>
      <x:c r="H26" s="3"/>
      <x:c r="I26" s="3" t="str">
        <x:v>High management score = stronger practices.</x:v>
      </x:c>
      <x:c r="J26" s="3"/>
      <x:c r="K26" s="3"/>
      <x:c r="L26" s="3"/>
      <x:c r="M26" s="3"/>
      <x:c r="N26" s="3"/>
      <x:c r="O26" s="3"/>
      <x:c r="P26" s="3"/>
      <x:c r="Q26" s="3"/>
    </x:row>
    <x:row r="27" ht="26" customHeight="1">
      <x:c r="A27" s="1"/>
      <x:c r="B27" s="1"/>
      <x:c r="C27" s="3" t="str">
        <x:v>Solar</x:v>
      </x:c>
      <x:c r="D27" s="11" t="n">
        <x:v>0.45</x:v>
      </x:c>
      <x:c r="E27" s="11" t="n">
        <x:v>0.3</x:v>
      </x:c>
      <x:c r="F27" s="11" t="n">
        <x:v>0.25</x:v>
      </x:c>
      <x:c r="G27" s="3" t="str">
        <x:f>IF(AND(MIN(D27:F27)&gt;=0,ABS(SUM(D27:F27)-1)&lt;0.000001),"Valid","Check weights")</x:f>
        <x:v>Valid</x:v>
      </x:c>
      <x:c r="H27" s="3"/>
      <x:c r="I27" s="3" t="str">
        <x:v>Weights are bank policy, not MSCI or regulatory ratings.</x:v>
      </x:c>
      <x:c r="J27" s="3"/>
      <x:c r="K27" s="3"/>
      <x:c r="L27" s="3"/>
      <x:c r="M27" s="3"/>
      <x:c r="N27" s="3"/>
      <x:c r="O27" s="3"/>
      <x:c r="P27" s="3"/>
      <x:c r="Q27" s="3"/>
    </x:row>
    <x:row r="28" ht="26" customHeight="1">
      <x:c r="A28" s="1"/>
      <x:c r="B28" s="1"/>
      <x:c r="C28" s="3" t="str">
        <x:v>Logistics</x:v>
      </x:c>
      <x:c r="D28" s="11" t="n">
        <x:v>0.45</x:v>
      </x:c>
      <x:c r="E28" s="11" t="n">
        <x:v>0.3</x:v>
      </x:c>
      <x:c r="F28" s="11" t="n">
        <x:v>0.25</x:v>
      </x:c>
      <x:c r="G28" s="3" t="str">
        <x:f>IF(AND(MIN(D28:F28)&gt;=0,ABS(SUM(D28:F28)-1)&lt;0.000001),"Valid","Check weights")</x:f>
        <x:v>Valid</x:v>
      </x:c>
      <x:c r="H28" s="3"/>
      <x:c r="I28" s="3" t="str">
        <x:v>E&amp;S decisions are independent of the score.</x:v>
      </x:c>
      <x:c r="J28" s="3"/>
      <x:c r="K28" s="3"/>
      <x:c r="L28" s="3"/>
      <x:c r="M28" s="3"/>
      <x:c r="N28" s="3"/>
      <x:c r="O28" s="3"/>
      <x:c r="P28" s="3"/>
      <x:c r="Q28" s="3"/>
    </x:row>
    <x:row r="29" ht="26" customHeight="1">
      <x:c r="A29" s="1"/>
      <x:c r="B29" s="1"/>
      <x:c r="C29" s="3" t="str">
        <x:v>Food</x:v>
      </x:c>
      <x:c r="D29" s="11" t="n">
        <x:v>0.4</x:v>
      </x:c>
      <x:c r="E29" s="11" t="n">
        <x:v>0.35</x:v>
      </x:c>
      <x:c r="F29" s="11" t="n">
        <x:v>0.25</x:v>
      </x:c>
      <x:c r="G29" s="3" t="str">
        <x:f>IF(AND(MIN(D29:F29)&gt;=0,ABS(SUM(D29:F29)-1)&lt;0.000001),"Valid","Check weights")</x:f>
        <x:v>Valid</x:v>
      </x:c>
      <x:c r="H29" s="3"/>
      <x:c r="I29" s="3"/>
      <x:c r="J29" s="3"/>
      <x:c r="K29" s="3"/>
      <x:c r="L29" s="3"/>
      <x:c r="M29" s="3"/>
      <x:c r="N29" s="3"/>
      <x:c r="O29" s="3"/>
      <x:c r="P29" s="3"/>
      <x:c r="Q29" s="3"/>
    </x:row>
    <x:row r="30" ht="26" customHeight="1">
      <x:c r="A30" s="1"/>
      <x:c r="B30" s="1"/>
      <x:c r="C30" s="3" t="str">
        <x:v>Property</x:v>
      </x:c>
      <x:c r="D30" s="11" t="n">
        <x:v>0.45</x:v>
      </x:c>
      <x:c r="E30" s="11" t="n">
        <x:v>0.3</x:v>
      </x:c>
      <x:c r="F30" s="11" t="n">
        <x:v>0.25</x:v>
      </x:c>
      <x:c r="G30" s="3" t="str">
        <x:f>IF(AND(MIN(D30:F30)&gt;=0,ABS(SUM(D30:F30)-1)&lt;0.000001),"Valid","Check weights")</x:f>
        <x:v>Valid</x:v>
      </x:c>
      <x:c r="H30" s="3"/>
      <x:c r="I30" s="3"/>
      <x:c r="J30" s="3"/>
      <x:c r="K30" s="3"/>
      <x:c r="L30" s="3"/>
      <x:c r="M30" s="3"/>
      <x:c r="N30" s="3"/>
      <x:c r="O30" s="3"/>
      <x:c r="P30" s="3"/>
      <x:c r="Q30" s="3"/>
    </x:row>
    <x:row r="31" ht="26" customHeight="1">
      <x:c r="A31" s="1"/>
      <x:c r="B31" s="1"/>
      <x:c r="C31" s="3" t="str">
        <x:v>Hospitality</x:v>
      </x:c>
      <x:c r="D31" s="11" t="n">
        <x:v>0.35</x:v>
      </x:c>
      <x:c r="E31" s="11" t="n">
        <x:v>0.4</x:v>
      </x:c>
      <x:c r="F31" s="11" t="n">
        <x:v>0.25</x:v>
      </x:c>
      <x:c r="G31" s="3" t="str">
        <x:f>IF(AND(MIN(D31:F31)&gt;=0,ABS(SUM(D31:F31)-1)&lt;0.000001),"Valid","Check weights")</x:f>
        <x:v>Valid</x:v>
      </x:c>
      <x:c r="H31" s="3"/>
      <x:c r="I31" s="3"/>
      <x:c r="J31" s="3"/>
      <x:c r="K31" s="3"/>
      <x:c r="L31" s="3"/>
      <x:c r="M31" s="3"/>
      <x:c r="N31" s="3"/>
      <x:c r="O31" s="3"/>
      <x:c r="P31" s="3"/>
      <x:c r="Q31" s="3"/>
    </x:row>
    <x:row r="32" ht="26" customHeight="1">
      <x:c r="A32" s="1"/>
      <x:c r="B32" s="1"/>
      <x:c r="C32" s="3" t="str">
        <x:v>Healthcare</x:v>
      </x:c>
      <x:c r="D32" s="11" t="n">
        <x:v>0.2</x:v>
      </x:c>
      <x:c r="E32" s="11" t="n">
        <x:v>0.5</x:v>
      </x:c>
      <x:c r="F32" s="11" t="n">
        <x:v>0.3</x:v>
      </x:c>
      <x:c r="G32" s="3" t="str">
        <x:f>IF(AND(MIN(D32:F32)&gt;=0,ABS(SUM(D32:F32)-1)&lt;0.000001),"Valid","Check weights")</x:f>
        <x:v>Valid</x:v>
      </x:c>
      <x:c r="H32" s="3"/>
      <x:c r="I32" s="3"/>
      <x:c r="J32" s="3"/>
      <x:c r="K32" s="3"/>
      <x:c r="L32" s="3"/>
      <x:c r="M32" s="3"/>
      <x:c r="N32" s="3"/>
      <x:c r="O32" s="3"/>
      <x:c r="P32" s="3"/>
      <x:c r="Q32" s="3"/>
    </x:row>
    <x:row r="33" ht="26" customHeight="1">
      <x:c r="A33" s="1"/>
      <x:c r="B33" s="1"/>
      <x:c r="C33" s="3" t="str">
        <x:v>Manufacturing</x:v>
      </x:c>
      <x:c r="D33" s="11" t="n">
        <x:v>0.45</x:v>
      </x:c>
      <x:c r="E33" s="11" t="n">
        <x:v>0.3</x:v>
      </x:c>
      <x:c r="F33" s="11" t="n">
        <x:v>0.25</x:v>
      </x:c>
      <x:c r="G33" s="3" t="str">
        <x:f>IF(AND(MIN(D33:F33)&gt;=0,ABS(SUM(D33:F33)-1)&lt;0.000001),"Valid","Check weights")</x:f>
        <x:v>Valid</x:v>
      </x:c>
      <x:c r="H33" s="3"/>
      <x:c r="I33" s="3"/>
      <x:c r="J33" s="3"/>
      <x:c r="K33" s="3"/>
      <x:c r="L33" s="3"/>
      <x:c r="M33" s="3"/>
      <x:c r="N33" s="3"/>
      <x:c r="O33" s="3"/>
      <x:c r="P33" s="3"/>
      <x:c r="Q33" s="3"/>
    </x:row>
    <x:row r="34" ht="26" customHeight="1">
      <x:c r="A34" s="1"/>
      <x:c r="B34" s="1"/>
      <x:c r="C34" s="3" t="str">
        <x:v>Agriculture</x:v>
      </x:c>
      <x:c r="D34" s="11" t="n">
        <x:v>0.5</x:v>
      </x:c>
      <x:c r="E34" s="11" t="n">
        <x:v>0.3</x:v>
      </x:c>
      <x:c r="F34" s="11" t="n">
        <x:v>0.2</x:v>
      </x:c>
      <x:c r="G34" s="3" t="str">
        <x:f>IF(AND(MIN(D34:F34)&gt;=0,ABS(SUM(D34:F34)-1)&lt;0.000001),"Valid","Check weights")</x:f>
        <x:v>Valid</x:v>
      </x:c>
      <x:c r="H34" s="3"/>
      <x:c r="I34" s="3"/>
      <x:c r="J34" s="3"/>
      <x:c r="K34" s="3"/>
      <x:c r="L34" s="3"/>
      <x:c r="M34" s="3"/>
      <x:c r="N34" s="3"/>
      <x:c r="O34" s="3"/>
      <x:c r="P34" s="3"/>
      <x:c r="Q34" s="3"/>
    </x:row>
    <x:row r="35" ht="26" customHeight="1">
      <x:c r="A35" s="1"/>
      <x:c r="B35" s="1"/>
      <x:c r="C35" s="3" t="str">
        <x:v>Utilities</x:v>
      </x:c>
      <x:c r="D35" s="11" t="n">
        <x:v>0.55</x:v>
      </x:c>
      <x:c r="E35" s="11" t="n">
        <x:v>0.25</x:v>
      </x:c>
      <x:c r="F35" s="11" t="n">
        <x:v>0.2</x:v>
      </x:c>
      <x:c r="G35" s="3" t="str">
        <x:f>IF(AND(MIN(D35:F35)&gt;=0,ABS(SUM(D35:F35)-1)&lt;0.000001),"Valid","Check weights")</x:f>
        <x:v>Valid</x:v>
      </x:c>
      <x:c r="H35" s="3"/>
      <x:c r="I35" s="3"/>
      <x:c r="J35" s="3"/>
      <x:c r="K35" s="3"/>
      <x:c r="L35" s="3"/>
      <x:c r="M35" s="3"/>
      <x:c r="N35" s="3"/>
      <x:c r="O35" s="3"/>
      <x:c r="P35" s="3"/>
      <x:c r="Q35" s="3"/>
    </x:row>
    <x:row r="36" ht="26" customHeight="1">
      <x:c r="A36" s="1"/>
      <x:c r="B36" s="1"/>
      <x:c r="C36" s="3" t="str">
        <x:v>Technology</x:v>
      </x:c>
      <x:c r="D36" s="11" t="n">
        <x:v>0.2</x:v>
      </x:c>
      <x:c r="E36" s="11" t="n">
        <x:v>0.4</x:v>
      </x:c>
      <x:c r="F36" s="11" t="n">
        <x:v>0.4</x:v>
      </x:c>
      <x:c r="G36" s="3" t="str">
        <x:f>IF(AND(MIN(D36:F36)&gt;=0,ABS(SUM(D36:F36)-1)&lt;0.000001),"Valid","Check weights")</x:f>
        <x:v>Valid</x:v>
      </x:c>
      <x:c r="H36" s="3"/>
      <x:c r="I36" s="3"/>
      <x:c r="J36" s="3"/>
      <x:c r="K36" s="3"/>
      <x:c r="L36" s="3"/>
      <x:c r="M36" s="3"/>
      <x:c r="N36" s="3"/>
      <x:c r="O36" s="3"/>
      <x:c r="P36" s="3"/>
      <x:c r="Q36" s="3"/>
    </x:row>
    <x:row r="37" ht="26" customHeight="1">
      <x:c r="A37" s="1"/>
      <x:c r="B37" s="1"/>
      <x:c r="C37" s="3" t="str">
        <x:v>Transport</x:v>
      </x:c>
      <x:c r="D37" s="11" t="n">
        <x:v>0.45</x:v>
      </x:c>
      <x:c r="E37" s="11" t="n">
        <x:v>0.3</x:v>
      </x:c>
      <x:c r="F37" s="11" t="n">
        <x:v>0.25</x:v>
      </x:c>
      <x:c r="G37" s="3" t="str">
        <x:f>IF(AND(MIN(D37:F37)&gt;=0,ABS(SUM(D37:F37)-1)&lt;0.000001),"Valid","Check weights")</x:f>
        <x:v>Valid</x:v>
      </x:c>
      <x:c r="H37" s="3"/>
      <x:c r="I37" s="3"/>
      <x:c r="J37" s="3"/>
      <x:c r="K37" s="3"/>
      <x:c r="L37" s="3"/>
      <x:c r="M37" s="3"/>
      <x:c r="N37" s="3"/>
      <x:c r="O37" s="3"/>
      <x:c r="P37" s="3"/>
      <x:c r="Q37" s="3"/>
    </x:row>
    <x:row r="38" ht="26" customHeight="1">
      <x:c r="A38" s="1"/>
      <x:c r="B38" s="1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  <x:c r="Q38" s="3"/>
    </x:row>
    <x:row r="39" ht="26" customHeight="1">
      <x:c r="A39" s="1"/>
      <x:c r="B39" s="1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3"/>
    </x:row>
    <x:row r="40" ht="30" customHeight="1">
      <x:c r="A40" s="1"/>
      <x:c r="B40" s="1"/>
      <x:c r="C40" s="13" t="str">
        <x:v>CRITERIA LIBRARY • required evidence checklist</x:v>
      </x:c>
      <x:c r="D40" s="13"/>
      <x:c r="E40" s="13"/>
      <x:c r="F40" s="13"/>
      <x:c r="G40" s="13"/>
      <x:c r="H40" s="13"/>
      <x:c r="I40" s="13"/>
      <x:c r="J40" s="13"/>
      <x:c r="K40" s="13"/>
      <x:c r="L40" s="13"/>
      <x:c r="M40" s="13"/>
      <x:c r="N40" s="13"/>
      <x:c r="O40" s="13"/>
      <x:c r="P40" s="13"/>
      <x:c r="Q40" s="13"/>
    </x:row>
    <x:row r="41" ht="46" customHeight="1">
      <x:c r="A41" s="1"/>
      <x:c r="B41" s="1"/>
      <x:c r="C41" s="15" t="str">
        <x:v>Test ID</x:v>
      </x:c>
      <x:c r="D41" s="15" t="str">
        <x:v>Family</x:v>
      </x:c>
      <x:c r="E41" s="15" t="str">
        <x:v>Evidence requirement</x:v>
      </x:c>
      <x:c r="F41" s="15" t="str">
        <x:v>Source</x:v>
      </x:c>
      <x:c r="G41" s="15" t="str">
        <x:v>Activity scope</x:v>
      </x:c>
      <x:c r="H41" s="3"/>
      <x:c r="I41" s="3"/>
      <x:c r="J41" s="3"/>
      <x:c r="K41" s="3"/>
      <x:c r="L41" s="3"/>
      <x:c r="M41" s="3"/>
      <x:c r="N41" s="3"/>
      <x:c r="O41" s="3"/>
      <x:c r="P41" s="3"/>
      <x:c r="Q41" s="3"/>
    </x:row>
    <x:row r="42" ht="80" customHeight="1">
      <x:c r="A42" s="1"/>
      <x:c r="B42" s="1"/>
      <x:c r="C42" s="3" t="str">
        <x:v>SC-EVIDENCE</x:v>
      </x:c>
      <x:c r="D42" s="3" t="str">
        <x:v>Technical</x:v>
      </x:c>
      <x:c r="E42" s="3" t="str">
        <x:v>Boundary and chosen route are evidenced; observations match the activity card.</x:v>
      </x:c>
      <x:c r="F42" s="3" t="str">
        <x:v>S10 activity card</x:v>
      </x:c>
      <x:c r="G42" s="3" t="str">
        <x:v>All supported routes</x:v>
      </x:c>
      <x:c r="H42" s="3"/>
      <x:c r="I42" s="3"/>
      <x:c r="J42" s="3"/>
      <x:c r="K42" s="3"/>
      <x:c r="L42" s="3"/>
      <x:c r="M42" s="3"/>
      <x:c r="N42" s="3"/>
      <x:c r="O42" s="3"/>
      <x:c r="P42" s="3"/>
      <x:c r="Q42" s="3"/>
    </x:row>
    <x:row r="43" ht="80" customHeight="1">
      <x:c r="A43" s="1"/>
      <x:c r="B43" s="1"/>
      <x:c r="C43" s="3" t="str">
        <x:v>DNSH-MIT</x:v>
      </x:c>
      <x:c r="D43" s="3" t="str">
        <x:v>DNSH</x:v>
      </x:c>
      <x:c r="E43" s="3" t="str">
        <x:v>No avoidable fossil lock-in; material lifecycle effects assessed.</x:v>
      </x:c>
      <x:c r="F43" s="3" t="str">
        <x:v>S10 p30</x:v>
      </x:c>
      <x:c r="G43" s="3" t="str">
        <x:v>All supported routes</x:v>
      </x:c>
      <x:c r="H43" s="3"/>
      <x:c r="I43" s="3"/>
      <x:c r="J43" s="3"/>
      <x:c r="K43" s="3"/>
      <x:c r="L43" s="3"/>
      <x:c r="M43" s="3"/>
      <x:c r="N43" s="3"/>
      <x:c r="O43" s="3"/>
      <x:c r="P43" s="3"/>
      <x:c r="Q43" s="3"/>
    </x:row>
    <x:row r="44" ht="80" customHeight="1">
      <x:c r="A44" s="1"/>
      <x:c r="B44" s="1"/>
      <x:c r="C44" s="3" t="str">
        <x:v>DNSH-ADAPT</x:v>
      </x:c>
      <x:c r="D44" s="3" t="str">
        <x:v>DNSH</x:v>
      </x:c>
      <x:c r="E44" s="3" t="str">
        <x:v>Lifetime hazard screen, material risk assessment and implemented adaptation; no harm to others.</x:v>
      </x:c>
      <x:c r="F44" s="3" t="str">
        <x:v>S10 pp30–31</x:v>
      </x:c>
      <x:c r="G44" s="3" t="str">
        <x:v>All supported routes</x:v>
      </x:c>
      <x:c r="H44" s="3"/>
      <x:c r="I44" s="3"/>
      <x:c r="J44" s="3"/>
      <x:c r="K44" s="3"/>
      <x:c r="L44" s="3"/>
      <x:c r="M44" s="3"/>
      <x:c r="N44" s="3"/>
      <x:c r="O44" s="3"/>
      <x:c r="P44" s="3"/>
      <x:c r="Q44" s="3"/>
    </x:row>
    <x:row r="45" ht="80" customHeight="1">
      <x:c r="A45" s="1"/>
      <x:c r="B45" s="1"/>
      <x:c r="C45" s="3" t="str">
        <x:v>DNSH-WATER</x:v>
      </x:c>
      <x:c r="D45" s="3" t="str">
        <x:v>DNSH</x:v>
      </x:c>
      <x:c r="E45" s="3" t="str">
        <x:v>Water permits, abstraction/discharge limits, required assessments and management measures.</x:v>
      </x:c>
      <x:c r="F45" s="3" t="str">
        <x:v>S10 p31</x:v>
      </x:c>
      <x:c r="G45" s="3" t="str">
        <x:v>All supported routes</x:v>
      </x:c>
      <x:c r="H45" s="3"/>
      <x:c r="I45" s="3"/>
      <x:c r="J45" s="3"/>
      <x:c r="K45" s="3"/>
      <x:c r="L45" s="3"/>
      <x:c r="M45" s="3"/>
      <x:c r="N45" s="3"/>
      <x:c r="O45" s="3"/>
      <x:c r="P45" s="3"/>
      <x:c r="Q45" s="3"/>
    </x:row>
    <x:row r="46" ht="80" customHeight="1">
      <x:c r="A46" s="1"/>
      <x:c r="B46" s="1"/>
      <x:c r="C46" s="3" t="str">
        <x:v>DNSH-POLL</x:v>
      </x:c>
      <x:c r="D46" s="3" t="str">
        <x:v>DNSH</x:v>
      </x:c>
      <x:c r="E46" s="3" t="str">
        <x:v>National pollution and prohibited-substance requirements; activity-specific limits.</x:v>
      </x:c>
      <x:c r="F46" s="3" t="str">
        <x:v>S10 p31</x:v>
      </x:c>
      <x:c r="G46" s="3" t="str">
        <x:v>All supported routes</x:v>
      </x:c>
      <x:c r="H46" s="3"/>
      <x:c r="I46" s="3"/>
      <x:c r="J46" s="3"/>
      <x:c r="K46" s="3"/>
      <x:c r="L46" s="3"/>
      <x:c r="M46" s="3"/>
      <x:c r="N46" s="3"/>
      <x:c r="O46" s="3"/>
      <x:c r="P46" s="3"/>
      <x:c r="Q46" s="3"/>
    </x:row>
    <x:row r="47" ht="80" customHeight="1">
      <x:c r="A47" s="1"/>
      <x:c r="B47" s="1"/>
      <x:c r="C47" s="3" t="str">
        <x:v>DNSH-CIRC</x:v>
      </x:c>
      <x:c r="D47" s="3" t="str">
        <x:v>DNSH</x:v>
      </x:c>
      <x:c r="E47" s="3" t="str">
        <x:v>Waste hierarchy, resource efficiency, hazardous-waste traceability and end-of-life arrangements.</x:v>
      </x:c>
      <x:c r="F47" s="3" t="str">
        <x:v>S10 p32</x:v>
      </x:c>
      <x:c r="G47" s="3" t="str">
        <x:v>All supported routes</x:v>
      </x:c>
      <x:c r="H47" s="3"/>
      <x:c r="I47" s="3"/>
      <x:c r="J47" s="3"/>
      <x:c r="K47" s="3"/>
      <x:c r="L47" s="3"/>
      <x:c r="M47" s="3"/>
      <x:c r="N47" s="3"/>
      <x:c r="O47" s="3"/>
      <x:c r="P47" s="3"/>
      <x:c r="Q47" s="3"/>
    </x:row>
    <x:row r="48" ht="80" customHeight="1">
      <x:c r="A48" s="1"/>
      <x:c r="B48" s="1"/>
      <x:c r="C48" s="3" t="str">
        <x:v>DNSH-BIO</x:v>
      </x:c>
      <x:c r="D48" s="3" t="str">
        <x:v>DNSH</x:v>
      </x:c>
      <x:c r="E48" s="3" t="str">
        <x:v>Required EIA, habitat screening and implemented mitigation.</x:v>
      </x:c>
      <x:c r="F48" s="3" t="str">
        <x:v>S10 p32</x:v>
      </x:c>
      <x:c r="G48" s="3" t="str">
        <x:v>All supported routes</x:v>
      </x:c>
      <x:c r="H48" s="3"/>
      <x:c r="I48" s="3"/>
      <x:c r="J48" s="3"/>
      <x:c r="K48" s="3"/>
      <x:c r="L48" s="3"/>
      <x:c r="M48" s="3"/>
      <x:c r="N48" s="3"/>
      <x:c r="O48" s="3"/>
      <x:c r="P48" s="3"/>
      <x:c r="Q48" s="3"/>
    </x:row>
    <x:row r="49" ht="80" customHeight="1">
      <x:c r="A49" s="1"/>
      <x:c r="B49" s="1"/>
      <x:c r="C49" s="3" t="str">
        <x:v>MSS-LABOUR</x:v>
      </x:c>
      <x:c r="D49" s="3" t="str">
        <x:v>MSS</x:v>
      </x:c>
      <x:c r="E49" s="3" t="str">
        <x:v>Labour rights, minimum age, no child/forced labour, equality and worker representation.</x:v>
      </x:c>
      <x:c r="F49" s="3" t="str">
        <x:v>S10 p29</x:v>
      </x:c>
      <x:c r="G49" s="3" t="str">
        <x:v>All supported routes</x:v>
      </x:c>
      <x:c r="H49" s="3"/>
      <x:c r="I49" s="3"/>
      <x:c r="J49" s="3"/>
      <x:c r="K49" s="3"/>
      <x:c r="L49" s="3"/>
      <x:c r="M49" s="3"/>
      <x:c r="N49" s="3"/>
      <x:c r="O49" s="3"/>
      <x:c r="P49" s="3"/>
      <x:c r="Q49" s="3"/>
    </x:row>
    <x:row r="50" ht="80" customHeight="1">
      <x:c r="A50" s="1"/>
      <x:c r="B50" s="1"/>
      <x:c r="C50" s="3" t="str">
        <x:v>MSS-OSH</x:v>
      </x:c>
      <x:c r="D50" s="3" t="str">
        <x:v>MSS</x:v>
      </x:c>
      <x:c r="E50" s="3" t="str">
        <x:v>Applicable occupational safety, hazard prevention and emergency readiness.</x:v>
      </x:c>
      <x:c r="F50" s="3" t="str">
        <x:v>S10 p29</x:v>
      </x:c>
      <x:c r="G50" s="3" t="str">
        <x:v>All supported routes</x:v>
      </x:c>
      <x:c r="H50" s="3"/>
      <x:c r="I50" s="3"/>
      <x:c r="J50" s="3"/>
      <x:c r="K50" s="3"/>
      <x:c r="L50" s="3"/>
      <x:c r="M50" s="3"/>
      <x:c r="N50" s="3"/>
      <x:c r="O50" s="3"/>
      <x:c r="P50" s="3"/>
      <x:c r="Q50" s="3"/>
    </x:row>
    <x:row r="51" ht="80" customHeight="1">
      <x:c r="A51" s="1"/>
      <x:c r="B51" s="1"/>
      <x:c r="C51" s="3" t="str">
        <x:v>MSS-RIGHTS</x:v>
      </x:c>
      <x:c r="D51" s="3" t="str">
        <x:v>MSS</x:v>
      </x:c>
      <x:c r="E51" s="3" t="str">
        <x:v>Proportionate human-rights diligence, stakeholder/social-impact process and grievance mechanism.</x:v>
      </x:c>
      <x:c r="F51" s="3" t="str">
        <x:v>S10 p29</x:v>
      </x:c>
      <x:c r="G51" s="3" t="str">
        <x:v>All supported routes</x:v>
      </x:c>
      <x:c r="H51" s="3"/>
      <x:c r="I51" s="3"/>
      <x:c r="J51" s="3"/>
      <x:c r="K51" s="3"/>
      <x:c r="L51" s="3"/>
      <x:c r="M51" s="3"/>
      <x:c r="N51" s="3"/>
      <x:c r="O51" s="3"/>
      <x:c r="P51" s="3"/>
      <x:c r="Q51" s="3"/>
    </x:row>
    <x:row r="52" ht="80" customHeight="1">
      <x:c r="A52" s="1"/>
      <x:c r="B52" s="1"/>
      <x:c r="C52" s="3" t="str">
        <x:v>PV-DURABLE</x:v>
      </x:c>
      <x:c r="D52" s="3" t="str">
        <x:v>DNSH</x:v>
      </x:c>
      <x:c r="E52" s="3" t="str">
        <x:v>Durable, recyclable, dismantlable and refurbishable components assessed and used where feasible.</x:v>
      </x:c>
      <x:c r="F52" s="3" t="str">
        <x:v>S10 p86</x:v>
      </x:c>
      <x:c r="G52" s="3" t="str">
        <x:v>Solar PV</x:v>
      </x:c>
      <x:c r="H52" s="3"/>
      <x:c r="I52" s="3"/>
      <x:c r="J52" s="3"/>
      <x:c r="K52" s="3"/>
      <x:c r="L52" s="3"/>
      <x:c r="M52" s="3"/>
      <x:c r="N52" s="3"/>
      <x:c r="O52" s="3"/>
      <x:c r="P52" s="3"/>
      <x:c r="Q52" s="3"/>
    </x:row>
    <x:row r="53" ht="80" customHeight="1">
      <x:c r="A53" s="1"/>
      <x:c r="B53" s="1"/>
      <x:c r="C53" s="3" t="str">
        <x:v>PV-ENDLIFE</x:v>
      </x:c>
      <x:c r="D53" s="3" t="str">
        <x:v>DNSH</x:v>
      </x:c>
      <x:c r="E53" s="3" t="str">
        <x:v>Implemented panel end-of-life management consistent with recycling standards.</x:v>
      </x:c>
      <x:c r="F53" s="3" t="str">
        <x:v>S10 p86</x:v>
      </x:c>
      <x:c r="G53" s="3" t="str">
        <x:v>Solar PV</x:v>
      </x:c>
      <x:c r="H53" s="3"/>
      <x:c r="I53" s="3"/>
      <x:c r="J53" s="3"/>
      <x:c r="K53" s="3"/>
      <x:c r="L53" s="3"/>
      <x:c r="M53" s="3"/>
      <x:c r="N53" s="3"/>
      <x:c r="O53" s="3"/>
      <x:c r="P53" s="3"/>
      <x:c r="Q53" s="3"/>
    </x:row>
    <x:row r="54" ht="80" customHeight="1">
      <x:c r="A54" s="1"/>
      <x:c r="B54" s="1"/>
      <x:c r="C54" s="3" t="str">
        <x:v>CEM-FUELS</x:v>
      </x:c>
      <x:c r="D54" s="3" t="str">
        <x:v>Technical</x:v>
      </x:c>
      <x:c r="E54" s="3" t="str">
        <x:v>If biomass / hydrogen used, cross-referenced taxonomy criteria met; waste nonrecyclable with separation and air standards.</x:v>
      </x:c>
      <x:c r="F54" s="3" t="str">
        <x:v>S10 pp49–50</x:v>
      </x:c>
      <x:c r="G54" s="3" t="str">
        <x:v>Cement</x:v>
      </x:c>
      <x:c r="H54" s="3"/>
      <x:c r="I54" s="3"/>
      <x:c r="J54" s="3"/>
      <x:c r="K54" s="3"/>
      <x:c r="L54" s="3"/>
      <x:c r="M54" s="3"/>
      <x:c r="N54" s="3"/>
      <x:c r="O54" s="3"/>
      <x:c r="P54" s="3"/>
      <x:c r="Q54" s="3"/>
    </x:row>
    <x:row r="55" ht="80" customHeight="1">
      <x:c r="A55" s="1"/>
      <x:c r="B55" s="1"/>
      <x:c r="C55" s="3" t="str">
        <x:v>CEM-CCS</x:v>
      </x:c>
      <x:c r="D55" s="3" t="str">
        <x:v>Technical</x:v>
      </x:c>
      <x:c r="E55" s="3" t="str">
        <x:v>If CCS used: at least 70% total CO2 capture plus recognised capture, transport and permanent-storage practice.</x:v>
      </x:c>
      <x:c r="F55" s="3" t="str">
        <x:v>S10 pp49–50</x:v>
      </x:c>
      <x:c r="G55" s="3" t="str">
        <x:v>Cement</x:v>
      </x:c>
      <x:c r="H55" s="3"/>
      <x:c r="I55" s="3"/>
      <x:c r="J55" s="3"/>
      <x:c r="K55" s="3"/>
      <x:c r="L55" s="3"/>
      <x:c r="M55" s="3"/>
      <x:c r="N55" s="3"/>
      <x:c r="O55" s="3"/>
      <x:c r="P55" s="3"/>
      <x:c r="Q55" s="3"/>
    </x:row>
    <x:row r="56" ht="80" customHeight="1">
      <x:c r="A56" s="1"/>
      <x:c r="B56" s="1"/>
      <x:c r="C56" s="3" t="str">
        <x:v>CEM-PLAN</x:v>
      </x:c>
      <x:c r="D56" s="3" t="str">
        <x:v>Technical</x:v>
      </x:c>
      <x:c r="E56" s="3" t="str">
        <x:v>For Amber: Paris-aligned net-zero plan and listed decarbonisation measure implemented before 2040.</x:v>
      </x:c>
      <x:c r="F56" s="3" t="str">
        <x:v>S10 pp50–51</x:v>
      </x:c>
      <x:c r="G56" s="3" t="str">
        <x:v>Cement</x:v>
      </x:c>
      <x:c r="H56" s="3"/>
      <x:c r="I56" s="3"/>
      <x:c r="J56" s="3"/>
      <x:c r="K56" s="3"/>
      <x:c r="L56" s="3"/>
      <x:c r="M56" s="3"/>
      <x:c r="N56" s="3"/>
      <x:c r="O56" s="3"/>
      <x:c r="P56" s="3"/>
      <x:c r="Q56" s="3"/>
    </x:row>
    <x:row r="57" ht="80" customHeight="1">
      <x:c r="A57" s="1"/>
      <x:c r="B57" s="1"/>
      <x:c r="C57" s="3" t="str">
        <x:v>ROAD-SAFETY</x:v>
      </x:c>
      <x:c r="D57" s="3" t="str">
        <x:v>DNSH</x:v>
      </x:c>
      <x:c r="E57" s="3" t="str">
        <x:v>Applicable vehicle standards, exterior noise, tyres and battery-safety standards met.</x:v>
      </x:c>
      <x:c r="F57" s="3" t="str">
        <x:v>S10 p118</x:v>
      </x:c>
      <x:c r="G57" s="3" t="str">
        <x:v>Road freight</x:v>
      </x:c>
      <x:c r="H57" s="3"/>
      <x:c r="I57" s="3"/>
      <x:c r="J57" s="3"/>
      <x:c r="K57" s="3"/>
      <x:c r="L57" s="3"/>
      <x:c r="M57" s="3"/>
      <x:c r="N57" s="3"/>
      <x:c r="O57" s="3"/>
      <x:c r="P57" s="3"/>
      <x:c r="Q57" s="3"/>
    </x:row>
    <x:row r="58" ht="80" customHeight="1">
      <x:c r="A58" s="1"/>
      <x:c r="B58" s="1"/>
      <x:c r="C58" s="3" t="str">
        <x:v>ROAD-WASTE</x:v>
      </x:c>
      <x:c r="D58" s="3" t="str">
        <x:v>DNSH</x:v>
      </x:c>
      <x:c r="E58" s="3" t="str">
        <x:v>Lubricants, chemicals, batteries and vehicle life-cycle waste safely handled; reuse / recycling provided.</x:v>
      </x:c>
      <x:c r="F58" s="3" t="str">
        <x:v>S10 p118</x:v>
      </x:c>
      <x:c r="G58" s="3" t="str">
        <x:v>Road freight</x:v>
      </x:c>
      <x:c r="H58" s="3"/>
      <x:c r="I58" s="3"/>
      <x:c r="J58" s="3"/>
      <x:c r="K58" s="3"/>
      <x:c r="L58" s="3"/>
      <x:c r="M58" s="3"/>
      <x:c r="N58" s="3"/>
      <x:c r="O58" s="3"/>
      <x:c r="P58" s="3"/>
      <x:c r="Q58" s="3"/>
    </x:row>
    <x:row r="59" ht="80" customHeight="1">
      <x:c r="A59" s="1"/>
      <x:c r="B59" s="1"/>
      <x:c r="C59" s="3" t="str">
        <x:v>REN-METHOD</x:v>
      </x:c>
      <x:c r="D59" s="3" t="str">
        <x:v>Technical</x:v>
      </x:c>
      <x:c r="E59" s="3" t="str">
        <x:v>Whole-building baseline adjusted for occupancy/weather; recognised method for floor area at least 1,000 m².</x:v>
      </x:c>
      <x:c r="F59" s="3" t="str">
        <x:v>S10 p136</x:v>
      </x:c>
      <x:c r="G59" s="3" t="str">
        <x:v>Building renovation</x:v>
      </x:c>
      <x:c r="H59" s="3"/>
      <x:c r="I59" s="3"/>
      <x:c r="J59" s="3"/>
      <x:c r="K59" s="3"/>
      <x:c r="L59" s="3"/>
      <x:c r="M59" s="3"/>
      <x:c r="N59" s="3"/>
      <x:c r="O59" s="3"/>
      <x:c r="P59" s="3"/>
      <x:c r="Q59" s="3"/>
    </x:row>
    <x:row r="60" ht="80" customHeight="1">
      <x:c r="A60" s="1"/>
      <x:c r="B60" s="1"/>
      <x:c r="C60" s="3" t="str">
        <x:v>REN-ROUTE</x:v>
      </x:c>
      <x:c r="D60" s="3" t="str">
        <x:v>Technical</x:v>
      </x:c>
      <x:c r="E60" s="3" t="str">
        <x:v>Whole-building Green requires new-building criteria; Amber improvement route is separate. Certification not required solely for Amber.</x:v>
      </x:c>
      <x:c r="F60" s="3" t="str">
        <x:v>S10 pp131,136</x:v>
      </x:c>
      <x:c r="G60" s="3" t="str">
        <x:v>Building renovation</x:v>
      </x:c>
      <x:c r="H60" s="3"/>
      <x:c r="I60" s="3"/>
      <x:c r="J60" s="3"/>
      <x:c r="K60" s="3"/>
      <x:c r="L60" s="3"/>
      <x:c r="M60" s="3"/>
      <x:c r="N60" s="3"/>
      <x:c r="O60" s="3"/>
      <x:c r="P60" s="3"/>
      <x:c r="Q60" s="3"/>
    </x:row>
    <x:row r="61" ht="80" customHeight="1">
      <x:c r="A61" s="1"/>
      <x:c r="B61" s="1"/>
      <x:c r="C61" s="3" t="str">
        <x:v>BLD-WATER</x:v>
      </x:c>
      <x:c r="D61" s="3" t="str">
        <x:v>DNSH</x:v>
      </x:c>
      <x:c r="E61" s="3" t="str">
        <x:v>Compliant water fittings under JSMO / recognised water-efficiency standards.</x:v>
      </x:c>
      <x:c r="F61" s="3" t="str">
        <x:v>S10 p132</x:v>
      </x:c>
      <x:c r="G61" s="3" t="str">
        <x:v>Building routes</x:v>
      </x:c>
      <x:c r="H61" s="3"/>
      <x:c r="I61" s="3"/>
      <x:c r="J61" s="3"/>
      <x:c r="K61" s="3"/>
      <x:c r="L61" s="3"/>
      <x:c r="M61" s="3"/>
      <x:c r="N61" s="3"/>
      <x:c r="O61" s="3"/>
      <x:c r="P61" s="3"/>
      <x:c r="Q61" s="3"/>
    </x:row>
    <x:row r="62" ht="80" customHeight="1">
      <x:c r="A62" s="1"/>
      <x:c r="B62" s="1"/>
      <x:c r="C62" s="3" t="str">
        <x:v>BLD-MATERIALS</x:v>
      </x:c>
      <x:c r="D62" s="3" t="str">
        <x:v>DNSH</x:v>
      </x:c>
      <x:c r="E62" s="3" t="str">
        <x:v>No asbestos; controlled hazardous substances; contamination and indoor-air checks as applicable.</x:v>
      </x:c>
      <x:c r="F62" s="3" t="str">
        <x:v>S10 pp132–133</x:v>
      </x:c>
      <x:c r="G62" s="3" t="str">
        <x:v>Building routes</x:v>
      </x:c>
      <x:c r="H62" s="3"/>
      <x:c r="I62" s="3"/>
      <x:c r="J62" s="3"/>
      <x:c r="K62" s="3"/>
      <x:c r="L62" s="3"/>
      <x:c r="M62" s="3"/>
      <x:c r="N62" s="3"/>
      <x:c r="O62" s="3"/>
      <x:c r="P62" s="3"/>
      <x:c r="Q62" s="3"/>
    </x:row>
    <x:row r="63" ht="80" customHeight="1">
      <x:c r="A63" s="1"/>
      <x:c r="B63" s="1"/>
      <x:c r="C63" s="3" t="str">
        <x:v>BLD-WASTE</x:v>
      </x:c>
      <x:c r="D63" s="3" t="str">
        <x:v>DNSH</x:v>
      </x:c>
      <x:c r="E63" s="3" t="str">
        <x:v>At least 40% by weight nonhazardous construction/demolition waste recovered; soil/stone excluded.</x:v>
      </x:c>
      <x:c r="F63" s="3" t="str">
        <x:v>S10 p133</x:v>
      </x:c>
      <x:c r="G63" s="3" t="str">
        <x:v>Building routes</x:v>
      </x:c>
      <x:c r="H63" s="3"/>
      <x:c r="I63" s="3"/>
      <x:c r="J63" s="3"/>
      <x:c r="K63" s="3"/>
      <x:c r="L63" s="3"/>
      <x:c r="M63" s="3"/>
      <x:c r="N63" s="3"/>
      <x:c r="O63" s="3"/>
      <x:c r="P63" s="3"/>
      <x:c r="Q63" s="3"/>
    </x:row>
    <x:row r="64" ht="80" customHeight="1">
      <x:c r="A64" s="1"/>
      <x:c r="B64" s="1"/>
      <x:c r="C64" s="3" t="str">
        <x:v>BLD-TIMBER</x:v>
      </x:c>
      <x:c r="D64" s="3" t="str">
        <x:v>DNSH</x:v>
      </x:c>
      <x:c r="E64" s="3" t="str">
        <x:v>At least 70% timber recycled/reused or certified sustainably sourced; justified N/A if no timber.</x:v>
      </x:c>
      <x:c r="F64" s="3" t="str">
        <x:v>S10 p133</x:v>
      </x:c>
      <x:c r="G64" s="3" t="str">
        <x:v>Building routes</x:v>
      </x:c>
      <x:c r="H64" s="3"/>
      <x:c r="I64" s="3"/>
      <x:c r="J64" s="3"/>
      <x:c r="K64" s="3"/>
      <x:c r="L64" s="3"/>
      <x:c r="M64" s="3"/>
      <x:c r="N64" s="3"/>
      <x:c r="O64" s="3"/>
      <x:c r="P64" s="3"/>
      <x:c r="Q64" s="3"/>
    </x:row>
    <x:row r="65" ht="80" customHeight="1">
      <x:c r="A65" s="1"/>
      <x:c r="B65" s="1"/>
      <x:c r="C65" s="3" t="str">
        <x:v>BLD-LAND</x:v>
      </x:c>
      <x:c r="D65" s="3" t="str">
        <x:v>DNSH</x:v>
      </x:c>
      <x:c r="E65" s="3" t="str">
        <x:v>Protected habitats, endangered species and forest conversion exclusions assessed.</x:v>
      </x:c>
      <x:c r="F65" s="3" t="str">
        <x:v>S10 p133</x:v>
      </x:c>
      <x:c r="G65" s="3" t="str">
        <x:v>Building routes</x:v>
      </x:c>
      <x:c r="H65" s="3"/>
      <x:c r="I65" s="3"/>
      <x:c r="J65" s="3"/>
      <x:c r="K65" s="3"/>
      <x:c r="L65" s="3"/>
      <x:c r="M65" s="3"/>
      <x:c r="N65" s="3"/>
      <x:c r="O65" s="3"/>
      <x:c r="P65" s="3"/>
      <x:c r="Q65" s="3"/>
    </x:row>
    <x:row r="66" ht="80" customHeight="1">
      <x:c r="A66" s="1"/>
      <x:c r="B66" s="1"/>
      <x:c r="C66" s="3" t="str">
        <x:v>NEW-ROUTE</x:v>
      </x:c>
      <x:c r="D66" s="3" t="str">
        <x:v>Technical</x:v>
      </x:c>
      <x:c r="E66" s="3" t="str">
        <x:v>Green: recognised qualifying certification or RSS EPC A/A+ and codes. Amber before 2030: EPC B, LEED Silver or EDGE level 2.</x:v>
      </x:c>
      <x:c r="F66" s="3" t="str">
        <x:v>S10 p131</x:v>
      </x:c>
      <x:c r="G66" s="3" t="str">
        <x:v>New building</x:v>
      </x:c>
      <x:c r="H66" s="3"/>
      <x:c r="I66" s="3"/>
      <x:c r="J66" s="3"/>
      <x:c r="K66" s="3"/>
      <x:c r="L66" s="3"/>
      <x:c r="M66" s="3"/>
      <x:c r="N66" s="3"/>
      <x:c r="O66" s="3"/>
      <x:c r="P66" s="3"/>
      <x:c r="Q66" s="3"/>
    </x:row>
    <x:row r="67" ht="80" customHeight="1">
      <x:c r="A67" s="1"/>
      <x:c r="B67" s="1"/>
      <x:c r="C67" s="3" t="str">
        <x:v>EQ-ROUTE</x:v>
      </x:c>
      <x:c r="D67" s="3" t="str">
        <x:v>Technical</x:v>
      </x:c>
      <x:c r="E67" s="3" t="str">
        <x:v>Eligible renewable / EV equipment and permits, or top two populated efficiency classes / recognised benchmark / evidenced BAT.</x:v>
      </x:c>
      <x:c r="F67" s="3" t="str">
        <x:v>S10 p138</x:v>
      </x:c>
      <x:c r="G67" s="3" t="str">
        <x:v>Building equipment</x:v>
      </x:c>
      <x:c r="H67" s="3"/>
      <x:c r="I67" s="3"/>
      <x:c r="J67" s="3"/>
      <x:c r="K67" s="3"/>
      <x:c r="L67" s="3"/>
      <x:c r="M67" s="3"/>
      <x:c r="N67" s="3"/>
      <x:c r="O67" s="3"/>
      <x:c r="P67" s="3"/>
      <x:c r="Q67" s="3"/>
    </x:row>
    <x:row r="68" ht="80" customHeight="1">
      <x:c r="A68" s="1"/>
      <x:c r="B68" s="1"/>
      <x:c r="C68" s="3" t="str">
        <x:v>EQ-FOSSIL</x:v>
      </x:c>
      <x:c r="D68" s="3" t="str">
        <x:v>DNSH</x:v>
      </x:c>
      <x:c r="E68" s="3" t="str">
        <x:v>Installation must not increase fossil-fuel consumption.</x:v>
      </x:c>
      <x:c r="F68" s="3" t="str">
        <x:v>S10 p139</x:v>
      </x:c>
      <x:c r="G68" s="3" t="str">
        <x:v>Building equipment</x:v>
      </x:c>
      <x:c r="H68" s="3"/>
      <x:c r="I68" s="3"/>
      <x:c r="J68" s="3"/>
      <x:c r="K68" s="3"/>
      <x:c r="L68" s="3"/>
      <x:c r="M68" s="3"/>
      <x:c r="N68" s="3"/>
      <x:c r="O68" s="3"/>
      <x:c r="P68" s="3"/>
      <x:c r="Q68" s="3"/>
    </x:row>
    <x:row r="69" ht="80" customHeight="1">
      <x:c r="A69" s="1"/>
      <x:c r="B69" s="1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N69" s="3"/>
      <x:c r="O69" s="3"/>
      <x:c r="P69" s="3"/>
      <x:c r="Q69" s="3"/>
    </x:row>
    <x:row r="70" ht="80" customHeight="1">
      <x:c r="A70" s="1"/>
      <x:c r="B70" s="1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  <x:c r="O70" s="3"/>
      <x:c r="P70" s="3"/>
      <x:c r="Q70" s="3"/>
    </x:row>
    <x:row r="71" ht="80" customHeight="1">
      <x:c r="A71" s="1"/>
      <x:c r="B71" s="1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  <x:c r="O71" s="3"/>
      <x:c r="P71" s="3"/>
      <x:c r="Q71" s="3"/>
    </x:row>
    <x:row r="72" ht="80" customHeight="1">
      <x:c r="A72" s="1"/>
      <x:c r="B72" s="1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3"/>
      <x:c r="O72" s="3"/>
      <x:c r="P72" s="3"/>
      <x:c r="Q72" s="3"/>
    </x:row>
    <x:row r="73" ht="80" customHeight="1">
      <x:c r="A73" s="1"/>
      <x:c r="B73" s="1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  <x:c r="O73" s="3"/>
      <x:c r="P73" s="3"/>
      <x:c r="Q73" s="3"/>
    </x:row>
    <x:row r="74" ht="80" customHeight="1">
      <x:c r="A74" s="1"/>
      <x:c r="B74" s="1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  <x:c r="O74" s="3"/>
      <x:c r="P74" s="3"/>
      <x:c r="Q74" s="3"/>
    </x:row>
    <x:row r="75" ht="80" customHeight="1">
      <x:c r="A75" s="1"/>
      <x:c r="B75" s="1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  <x:c r="O75" s="3"/>
      <x:c r="P75" s="3"/>
      <x:c r="Q75" s="3"/>
    </x:row>
    <x:row r="76" ht="80" customHeight="1">
      <x:c r="A76" s="1"/>
      <x:c r="B76" s="1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  <x:c r="O76" s="3"/>
      <x:c r="P76" s="3"/>
      <x:c r="Q76" s="3"/>
    </x:row>
    <x:row r="77" ht="80" customHeight="1">
      <x:c r="A77" s="1"/>
      <x:c r="B77" s="1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3"/>
      <x:c r="Q77" s="3"/>
    </x:row>
    <x:row r="78" ht="80" customHeight="1">
      <x:c r="A78" s="1"/>
      <x:c r="B78" s="1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  <x:c r="O78" s="3"/>
      <x:c r="P78" s="3"/>
      <x:c r="Q78" s="3"/>
    </x:row>
    <x:row r="79" ht="26" customHeight="1">
      <x:c r="A79" s="1"/>
      <x:c r="B79" s="1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  <x:c r="O79" s="3"/>
      <x:c r="P79" s="3"/>
      <x:c r="Q79" s="3"/>
    </x:row>
    <x:row r="80" ht="26" customHeight="1">
      <x:c r="A80" s="1"/>
      <x:c r="B80" s="1"/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  <x:c r="N80" s="3"/>
      <x:c r="O80" s="3"/>
      <x:c r="P80" s="3"/>
      <x:c r="Q80" s="3"/>
    </x:row>
    <x:row r="81" ht="26" customHeight="1">
      <x:c r="A81" s="1"/>
      <x:c r="B81" s="1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3"/>
      <x:c r="Q81" s="3"/>
    </x:row>
    <x:row r="82" ht="26" customHeight="1">
      <x:c r="A82" s="1"/>
      <x:c r="B82" s="1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  <x:c r="N82" s="3"/>
      <x:c r="O82" s="3"/>
      <x:c r="P82" s="3"/>
      <x:c r="Q82" s="3"/>
    </x:row>
    <x:row r="83" ht="26" customHeight="1">
      <x:c r="A83" s="1"/>
      <x:c r="B83" s="1"/>
      <x:c r="C83" s="3"/>
      <x:c r="D83" s="3"/>
      <x:c r="E83" s="3"/>
      <x:c r="F83" s="3"/>
      <x:c r="G83" s="3"/>
      <x:c r="H83" s="3"/>
      <x:c r="I83" s="3"/>
      <x:c r="J83" s="3"/>
      <x:c r="K83" s="3"/>
      <x:c r="L83" s="3"/>
      <x:c r="M83" s="3"/>
      <x:c r="N83" s="3"/>
      <x:c r="O83" s="3"/>
      <x:c r="P83" s="3"/>
      <x:c r="Q83" s="3"/>
    </x:row>
    <x:row r="84" ht="26" customHeight="1">
      <x:c r="A84" s="1"/>
      <x:c r="B84" s="1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  <x:c r="N84" s="3"/>
      <x:c r="O84" s="3"/>
      <x:c r="P84" s="3"/>
      <x:c r="Q84" s="3"/>
    </x:row>
    <x:row r="85" ht="26" customHeight="1">
      <x:c r="A85" s="1"/>
      <x:c r="B85" s="1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  <x:c r="N85" s="3"/>
      <x:c r="O85" s="3"/>
      <x:c r="P85" s="3"/>
      <x:c r="Q85" s="3"/>
    </x:row>
    <x:row r="86" ht="26" customHeight="1">
      <x:c r="A86" s="1"/>
      <x:c r="B86" s="1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  <x:c r="N86" s="3"/>
      <x:c r="O86" s="3"/>
      <x:c r="P86" s="3"/>
      <x:c r="Q86" s="3"/>
    </x:row>
    <x:row r="87" ht="26" customHeight="1">
      <x:c r="A87" s="1"/>
      <x:c r="B87" s="1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  <x:c r="N87" s="3"/>
      <x:c r="O87" s="3"/>
      <x:c r="P87" s="3"/>
      <x:c r="Q87" s="3"/>
    </x:row>
    <x:row r="88" ht="26" customHeight="1">
      <x:c r="A88" s="1"/>
      <x:c r="B88" s="1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  <x:c r="N88" s="3"/>
      <x:c r="O88" s="3"/>
      <x:c r="P88" s="3"/>
      <x:c r="Q88" s="3"/>
    </x:row>
    <x:row r="89" ht="26" customHeight="1">
      <x:c r="A89" s="1"/>
      <x:c r="B89" s="1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  <x:c r="N89" s="3"/>
      <x:c r="O89" s="3"/>
      <x:c r="P89" s="3"/>
      <x:c r="Q89" s="3"/>
    </x:row>
    <x:row r="90" ht="26" customHeight="1">
      <x:c r="A90" s="1"/>
      <x:c r="B90" s="1"/>
      <x:c r="C90" s="3"/>
      <x:c r="D90" s="3"/>
      <x:c r="E90" s="3"/>
      <x:c r="F90" s="3"/>
      <x:c r="G90" s="3"/>
      <x:c r="H90" s="3"/>
      <x:c r="I90" s="3"/>
      <x:c r="J90" s="3"/>
      <x:c r="K90" s="3"/>
      <x:c r="L90" s="3"/>
      <x:c r="M90" s="3"/>
      <x:c r="N90" s="3"/>
      <x:c r="O90" s="3"/>
      <x:c r="P90" s="3"/>
      <x:c r="Q90" s="3"/>
    </x:row>
    <x:row r="91" ht="26" customHeight="1">
      <x:c r="A91" s="1"/>
      <x:c r="B91" s="1"/>
      <x:c r="C91" s="3"/>
      <x:c r="D91" s="3"/>
      <x:c r="E91" s="3"/>
      <x:c r="F91" s="3"/>
      <x:c r="G91" s="3"/>
      <x:c r="H91" s="3"/>
      <x:c r="I91" s="3"/>
      <x:c r="J91" s="3"/>
      <x:c r="K91" s="3"/>
      <x:c r="L91" s="3"/>
      <x:c r="M91" s="3"/>
      <x:c r="N91" s="3"/>
      <x:c r="O91" s="3"/>
      <x:c r="P91" s="3"/>
      <x:c r="Q91" s="3"/>
    </x:row>
  </x:sheetData>
  <x:mergeCells>
    <x:mergeCell ref="C2:H2"/>
    <x:mergeCell ref="C3:M3"/>
    <x:mergeCell ref="C24:L24"/>
    <x:mergeCell ref="C40:Q40"/>
    <x:mergeCell ref="C1:D1"/>
    <x:mergeCell ref="E1:F1"/>
    <x:mergeCell ref="G1:H1"/>
    <x:mergeCell ref="I1:J1"/>
    <x:mergeCell ref="K1:L1"/>
    <x:mergeCell ref="M1:N1"/>
  </x:mergeCells>
  <x:hyperlinks>
    <x:hyperlink ref="C1" location="'Overview'!C2" display="Home" tooltip="Open Overview"/>
    <x:hyperlink ref="E1" location="'Customer'!C2" display="Customer" tooltip="Open Customer"/>
    <x:hyperlink ref="G1" location="'Capital'!C2" display="Capital" tooltip="Open Capital"/>
    <x:hyperlink ref="I1" location="'Disclosures'!C2" display="Reporting" tooltip="Open Disclosures"/>
    <x:hyperlink ref="K1" location="'Borrowers'!C8" display="Inputs" tooltip="Open Borrowers"/>
    <x:hyperlink ref="M1" location="'Settings'!C5" display="Settings" tooltip="Open Settings"/>
  </x:hyperlinks>
  <x:pageMargins left="0.7" right="0.7" top="0.75" bottom="0.75" header="0.3" footer="0.3"/>
  <x:tableParts count="3">
    <x:tablePart xmlns:r="http://schemas.openxmlformats.org/officeDocument/2006/relationships" r:id="Rd69366e0a1a847b5"/>
    <x:tablePart xmlns:r="http://schemas.openxmlformats.org/officeDocument/2006/relationships" r:id="Rf634667d548e4177"/>
    <x:tablePart xmlns:r="http://schemas.openxmlformats.org/officeDocument/2006/relationships" r:id="R471d65db094b488a"/>
  </x:tableParts>
</x:worksheet>
</file>

<file path=xl/worksheets/sheet28.xml><?xml version="1.0" encoding="utf-8"?>
<x:worksheet xmlns:x="http://schemas.openxmlformats.org/spreadsheetml/2006/main">
  <x:sheetPr>
    <x:tabColor rgb="FF007F86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2.4000000953674316" hidden="0" customWidth="1"/>
    <x:col min="2" max="2" width="2.4000000953674316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34" hidden="0" customWidth="1"/>
    <x:col min="10" max="10" width="48" hidden="0" customWidth="1"/>
    <x:col min="11" max="11" width="24" hidden="0" customWidth="1"/>
    <x:col min="12" max="12" width="24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62" hidden="0" customWidth="1"/>
    <x:col min="20" max="20" width="17" hidden="0" customWidth="1"/>
    <x:col min="21" max="21" width="17" hidden="0" customWidth="1"/>
  </x:cols>
  <x:sheetData>
    <x:row r="1" ht="27" customHeight="1">
      <x:c r="A1" s="1"/>
      <x:c r="B1" s="1"/>
      <x:c r="C1" s="50" t="str">
        <x:v>Home</x:v>
      </x:c>
      <x:c r="D1" s="50"/>
      <x:c r="E1" s="63" t="str">
        <x:v>Customer</x:v>
      </x:c>
      <x:c r="F1" s="63"/>
      <x:c r="G1" s="63" t="str">
        <x:v>Capital</x:v>
      </x:c>
      <x:c r="H1" s="63"/>
      <x:c r="I1" s="63" t="str">
        <x:v>Reporting</x:v>
      </x:c>
      <x:c r="J1" s="63"/>
      <x:c r="K1" s="63" t="str">
        <x:v>Inputs</x:v>
      </x:c>
      <x:c r="L1" s="63"/>
      <x:c r="M1" s="63" t="str">
        <x:v>Settings</x:v>
      </x:c>
      <x:c r="N1" s="63"/>
      <x:c r="O1" s="3"/>
      <x:c r="P1" s="3"/>
      <x:c r="Q1" s="3"/>
      <x:c r="R1" s="3"/>
      <x:c r="S1" s="3"/>
      <x:c r="T1" s="3"/>
      <x:c r="U1" s="3"/>
    </x:row>
    <x:row r="2" ht="45" customHeight="1">
      <x:c r="A2" s="1"/>
      <x:c r="B2" s="1"/>
      <x:c r="C2" s="5" t="str">
        <x:v>TAXONOMY EVIDENCE TESTS</x:v>
      </x:c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</x:row>
    <x:row r="3" ht="32" customHeight="1">
      <x:c r="A3" s="1"/>
      <x:c r="B3" s="1"/>
      <x:c r="C3" s="6" t="str">
        <x:v>Every expected test must resolve with current evidence • N/A requires rationale and independent review • seeded evidence is synthetic</x:v>
      </x:c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3"/>
      <x:c r="O3" s="3"/>
      <x:c r="P3" s="3"/>
      <x:c r="Q3" s="3"/>
      <x:c r="R3" s="3"/>
      <x:c r="S3" s="3"/>
      <x:c r="T3" s="3"/>
      <x:c r="U3" s="3"/>
    </x:row>
    <x:row r="4" ht="26" customHeight="1">
      <x:c r="A4" s="1"/>
      <x:c r="B4" s="1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</x:row>
    <x:row r="5" ht="26" customHeight="1">
      <x:c r="A5" s="1"/>
      <x:c r="B5" s="1"/>
      <x:c r="C5" s="3" t="str">
        <x:v>Complete tests</x:v>
      </x:c>
      <x:c r="D5" s="3"/>
      <x:c r="E5" s="3"/>
      <x:c r="F5" s="3"/>
      <x:c r="G5" s="3" t="n">
        <x:f>COUNTIF(Q9:Q2008,"Complete")</x:f>
        <x:v>268</x:v>
      </x:c>
      <x:c r="H5" s="3"/>
      <x:c r="I5" s="3"/>
      <x:c r="J5" s="3"/>
      <x:c r="K5" s="3" t="str">
        <x:v>Unresolved</x:v>
      </x:c>
      <x:c r="L5" s="3"/>
      <x:c r="M5" s="3"/>
      <x:c r="N5" s="3"/>
      <x:c r="O5" s="3" t="n">
        <x:f>COUNTIF(Q9:Q2008,"Unresolved")</x:f>
        <x:v>2</x:v>
      </x:c>
      <x:c r="P5" s="3"/>
      <x:c r="Q5" s="3"/>
      <x:c r="R5" s="3"/>
      <x:c r="S5" s="3" t="str">
        <x:v>Evidence is illustrative</x:v>
      </x:c>
      <x:c r="T5" s="3"/>
      <x:c r="U5" s="3"/>
    </x:row>
    <x:row r="6" ht="26" customHeight="1">
      <x:c r="A6" s="1"/>
      <x:c r="B6" s="1"/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  <x:c r="O6" s="3"/>
      <x:c r="P6" s="3"/>
      <x:c r="Q6" s="3"/>
      <x:c r="R6" s="3"/>
      <x:c r="S6" s="3"/>
      <x:c r="T6" s="3"/>
      <x:c r="U6" s="3"/>
    </x:row>
    <x:row r="7" ht="26" customHeight="1">
      <x:c r="A7" s="1"/>
      <x:c r="B7" s="1"/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3"/>
      <x:c r="Q7" s="3"/>
      <x:c r="R7" s="3"/>
      <x:c r="S7" s="3"/>
      <x:c r="T7" s="3"/>
      <x:c r="U7" s="3"/>
    </x:row>
    <x:row r="8" ht="46" customHeight="1">
      <x:c r="A8" s="1"/>
      <x:c r="B8" s="1"/>
      <x:c r="C8" s="15" t="str">
        <x:v>Test record ID</x:v>
      </x:c>
      <x:c r="D8" s="15" t="str">
        <x:v>Assessment ID</x:v>
      </x:c>
      <x:c r="E8" s="15" t="str">
        <x:v>Criterion ID</x:v>
      </x:c>
      <x:c r="F8" s="15" t="str">
        <x:v>Family</x:v>
      </x:c>
      <x:c r="G8" s="15" t="str">
        <x:v>Applicability</x:v>
      </x:c>
      <x:c r="H8" s="15" t="str">
        <x:v>Result entered</x:v>
      </x:c>
      <x:c r="I8" s="15" t="str">
        <x:v>Evidence / document</x:v>
      </x:c>
      <x:c r="J8" s="15" t="str">
        <x:v>N/A rationale</x:v>
      </x:c>
      <x:c r="K8" s="15" t="str">
        <x:v>Owner</x:v>
      </x:c>
      <x:c r="L8" s="15" t="str">
        <x:v>Reviewer</x:v>
      </x:c>
      <x:c r="M8" s="15" t="str">
        <x:v>Review date</x:v>
      </x:c>
      <x:c r="N8" s="15" t="str">
        <x:v>Valid to</x:v>
      </x:c>
      <x:c r="O8" s="15" t="str">
        <x:v>Review note</x:v>
      </x:c>
      <x:c r="P8" s="15" t="str">
        <x:v>Result validated</x:v>
      </x:c>
      <x:c r="Q8" s="15" t="str">
        <x:v>Complete state</x:v>
      </x:c>
      <x:c r="R8" s="15" t="str">
        <x:v>Key control</x:v>
      </x:c>
      <x:c r="S8" s="15" t="str">
        <x:v>Requirement</x:v>
      </x:c>
      <x:c r="T8" s="15" t="str">
        <x:v>Source</x:v>
      </x:c>
      <x:c r="U8" s="15" t="str">
        <x:v>Activity</x:v>
      </x:c>
    </x:row>
    <x:row r="9" ht="44" customHeight="1">
      <x:c r="A9" s="1"/>
      <x:c r="B9" s="1"/>
      <x:c r="C9" s="8" t="str">
        <x:v>TST-F001-SC-EVIDENCE</x:v>
      </x:c>
      <x:c r="D9" s="8" t="str">
        <x:v>TAX-F001</x:v>
      </x:c>
      <x:c r="E9" s="8" t="str">
        <x:v>SC-EVIDENCE</x:v>
      </x:c>
      <x:c r="F9" s="8" t="str">
        <x:v>Technical</x:v>
      </x:c>
      <x:c r="G9" s="8" t="str">
        <x:v>Applicable</x:v>
      </x:c>
      <x:c r="H9" s="8" t="str">
        <x:v>Pass</x:v>
      </x:c>
      <x:c r="I9" s="8" t="str">
        <x:v>SYN-TEST-F001-SC-EVIDENCE</x:v>
      </x:c>
      <x:c r="J9" s="8" t="str"/>
      <x:c r="K9" s="8" t="str">
        <x:v>Taxonomy analyst 1</x:v>
      </x:c>
      <x:c r="L9" s="8" t="str">
        <x:v>Taxonomy reviewer 1</x:v>
      </x:c>
      <x:c r="M9" s="10" t="n">
        <x:v>46266</x:v>
      </x:c>
      <x:c r="N9" s="10" t="n">
        <x:v>46631</x:v>
      </x:c>
      <x:c r="O9" s="8"/>
      <x:c r="P9" s="9" t="str">
        <x:f>IF(C9="","",IF(AND(G9="Applicable",H9="Fail"),"Fail",IF(R9&lt;&gt;"Valid","Pending",IF(OR(I9="",K9="",L9="",K9=L9,NOT(ISNUMBER(M9)),NOT(ISNUMBER(N9)),M9&gt;Settings!$F$8,N9&lt;Settings!$F$8,N9&lt;M9),"Pending",IF(AND(G9="Applicable",H9="Pass"),"Pass",IF(AND(G9="N/A",H9="N/A",J9&lt;&gt;"",OR(E9="CEM-FUELS",E9="CEM-CCS",AND(E9="CEM-PLAN",IFERROR(INDEX('Taxonomy'!$M$9:$M$108,MATCH(D9,'Taxonomy'!$C$9:$C$108,0)),"")&lt;&gt;"Amber"),E9="BLD-TIMBER",AND(U9="Building equipment",OR(E9="BLD-WATER",E9="BLD-WASTE",E9="BLD-LAND")),AND(U9="Building renovation",E9="BLD-LAND"))),"N/A","Pending"))))))</x:f>
        <x:v>Pass</x:v>
      </x:c>
      <x:c r="Q9" s="3" t="str">
        <x:f>IF(C9="","",IF(AND(R9="Valid",OR(P9="Pass",P9="N/A")),"Complete","Unresolved"))</x:f>
        <x:v>Complete</x:v>
      </x:c>
      <x:c r="R9" s="9" t="str">
        <x:f>IF(C9="","",IF(OR(COUNTIF($C$9:$C$2008,C9)&lt;&gt;1,COUNTIFS($D$9:$D$2008,D9,$E$9:$E$2008,E9)&lt;&gt;1),"Duplicate test",IF(COUNTIF('Taxonomy'!$C$9:$C$108,D9)&lt;&gt;1,"Assessment key",IF(OR(COUNTIF('Taxonomy Rules'!$C$42:$C$68,E9)&lt;&gt;1,F9&lt;&gt;IFERROR(INDEX('Taxonomy Rules'!$D$42:$D$68,MATCH(E9,'Taxonomy Rules'!$C$42:$C$68,0)),""),NOT(OR(IFERROR(INDEX('Taxonomy Rules'!$G$42:$G$68,MATCH(E9,'Taxonomy Rules'!$C$42:$C$68,0)),"")="All supported routes",IFERROR(INDEX('Taxonomy Rules'!$G$42:$G$68,MATCH(E9,'Taxonomy Rules'!$C$42:$C$68,0)),"")=U9,AND(IFERROR(INDEX('Taxonomy Rules'!$G$42:$G$68,MATCH(E9,'Taxonomy Rules'!$C$42:$C$68,0)),"")="Building routes",OR(U9="Building renovation",U9="New building",U9="Building equipment"))))),"Unexpected test","Valid"))))</x:f>
        <x:v>Valid</x:v>
      </x:c>
      <x:c r="S9" s="9" t="str">
        <x:f>IF(C9="","",IFERROR(INDEX('Taxonomy Rules'!$E$42:$E$68,MATCH(E9,'Taxonomy Rules'!$C$42:$C$68,0)),""))</x:f>
        <x:v>Boundary and chosen route are evidenced; observations match the activity card.</x:v>
      </x:c>
      <x:c r="T9" s="9" t="str">
        <x:f>IF(C9="","",IFERROR(INDEX('Taxonomy Rules'!$F$42:$F$68,MATCH(E9,'Taxonomy Rules'!$C$42:$C$68,0)),""))</x:f>
        <x:v>S10 activity card</x:v>
      </x:c>
      <x:c r="U9" s="9" t="str">
        <x:f>IF(C9="","",IFERROR(INDEX('Taxonomy'!$G$9:$G$108,MATCH(D9,'Taxonomy'!$C$9:$C$108,0)),""))</x:f>
        <x:v>Cement</x:v>
      </x:c>
    </x:row>
    <x:row r="10" ht="44" customHeight="1">
      <x:c r="A10" s="1"/>
      <x:c r="B10" s="1"/>
      <x:c r="C10" s="8" t="str">
        <x:v>TST-F001-DNSH-MIT</x:v>
      </x:c>
      <x:c r="D10" s="8" t="str">
        <x:v>TAX-F001</x:v>
      </x:c>
      <x:c r="E10" s="8" t="str">
        <x:v>DNSH-MIT</x:v>
      </x:c>
      <x:c r="F10" s="8" t="str">
        <x:v>DNSH</x:v>
      </x:c>
      <x:c r="G10" s="8" t="str">
        <x:v>Applicable</x:v>
      </x:c>
      <x:c r="H10" s="8" t="str">
        <x:v>Pass</x:v>
      </x:c>
      <x:c r="I10" s="8" t="str">
        <x:v>SYN-TEST-F001-DNSH-MIT</x:v>
      </x:c>
      <x:c r="J10" s="8" t="str"/>
      <x:c r="K10" s="8" t="str">
        <x:v>Taxonomy analyst 1</x:v>
      </x:c>
      <x:c r="L10" s="8" t="str">
        <x:v>Taxonomy reviewer 1</x:v>
      </x:c>
      <x:c r="M10" s="10" t="n">
        <x:v>46266</x:v>
      </x:c>
      <x:c r="N10" s="10" t="n">
        <x:v>46631</x:v>
      </x:c>
      <x:c r="O10" s="8"/>
      <x:c r="P10" s="9" t="str">
        <x:f>IF(C10="","",IF(AND(G10="Applicable",H10="Fail"),"Fail",IF(R10&lt;&gt;"Valid","Pending",IF(OR(I10="",K10="",L10="",K10=L10,NOT(ISNUMBER(M10)),NOT(ISNUMBER(N10)),M10&gt;Settings!$F$8,N10&lt;Settings!$F$8,N10&lt;M10),"Pending",IF(AND(G10="Applicable",H10="Pass"),"Pass",IF(AND(G10="N/A",H10="N/A",J10&lt;&gt;"",OR(E10="CEM-FUELS",E10="CEM-CCS",AND(E10="CEM-PLAN",IFERROR(INDEX('Taxonomy'!$M$9:$M$108,MATCH(D10,'Taxonomy'!$C$9:$C$108,0)),"")&lt;&gt;"Amber"),E10="BLD-TIMBER",AND(U10="Building equipment",OR(E10="BLD-WATER",E10="BLD-WASTE",E10="BLD-LAND")),AND(U10="Building renovation",E10="BLD-LAND"))),"N/A","Pending"))))))</x:f>
        <x:v>Pass</x:v>
      </x:c>
      <x:c r="Q10" s="3" t="str">
        <x:f>IF(C10="","",IF(AND(R10="Valid",OR(P10="Pass",P10="N/A")),"Complete","Unresolved"))</x:f>
        <x:v>Complete</x:v>
      </x:c>
      <x:c r="R10" s="9" t="str">
        <x:f>IF(C10="","",IF(OR(COUNTIF($C$9:$C$2008,C10)&lt;&gt;1,COUNTIFS($D$9:$D$2008,D10,$E$9:$E$2008,E10)&lt;&gt;1),"Duplicate test",IF(COUNTIF('Taxonomy'!$C$9:$C$108,D10)&lt;&gt;1,"Assessment key",IF(OR(COUNTIF('Taxonomy Rules'!$C$42:$C$68,E10)&lt;&gt;1,F10&lt;&gt;IFERROR(INDEX('Taxonomy Rules'!$D$42:$D$68,MATCH(E10,'Taxonomy Rules'!$C$42:$C$68,0)),""),NOT(OR(IFERROR(INDEX('Taxonomy Rules'!$G$42:$G$68,MATCH(E10,'Taxonomy Rules'!$C$42:$C$68,0)),"")="All supported routes",IFERROR(INDEX('Taxonomy Rules'!$G$42:$G$68,MATCH(E10,'Taxonomy Rules'!$C$42:$C$68,0)),"")=U10,AND(IFERROR(INDEX('Taxonomy Rules'!$G$42:$G$68,MATCH(E10,'Taxonomy Rules'!$C$42:$C$68,0)),"")="Building routes",OR(U10="Building renovation",U10="New building",U10="Building equipment"))))),"Unexpected test","Valid"))))</x:f>
        <x:v>Valid</x:v>
      </x:c>
      <x:c r="S10" s="9" t="str">
        <x:f>IF(C10="","",IFERROR(INDEX('Taxonomy Rules'!$E$42:$E$68,MATCH(E10,'Taxonomy Rules'!$C$42:$C$68,0)),""))</x:f>
        <x:v>No avoidable fossil lock-in; material lifecycle effects assessed.</x:v>
      </x:c>
      <x:c r="T10" s="9" t="str">
        <x:f>IF(C10="","",IFERROR(INDEX('Taxonomy Rules'!$F$42:$F$68,MATCH(E10,'Taxonomy Rules'!$C$42:$C$68,0)),""))</x:f>
        <x:v>S10 p30</x:v>
      </x:c>
      <x:c r="U10" s="9" t="str">
        <x:f>IF(C10="","",IFERROR(INDEX('Taxonomy'!$G$9:$G$108,MATCH(D10,'Taxonomy'!$C$9:$C$108,0)),""))</x:f>
        <x:v>Cement</x:v>
      </x:c>
    </x:row>
    <x:row r="11" ht="44" customHeight="1">
      <x:c r="A11" s="1"/>
      <x:c r="B11" s="1"/>
      <x:c r="C11" s="8" t="str">
        <x:v>TST-F001-DNSH-ADAPT</x:v>
      </x:c>
      <x:c r="D11" s="8" t="str">
        <x:v>TAX-F001</x:v>
      </x:c>
      <x:c r="E11" s="8" t="str">
        <x:v>DNSH-ADAPT</x:v>
      </x:c>
      <x:c r="F11" s="8" t="str">
        <x:v>DNSH</x:v>
      </x:c>
      <x:c r="G11" s="8" t="str">
        <x:v>Applicable</x:v>
      </x:c>
      <x:c r="H11" s="8" t="str">
        <x:v>Pass</x:v>
      </x:c>
      <x:c r="I11" s="8" t="str">
        <x:v>SYN-TEST-F001-DNSH-ADAPT</x:v>
      </x:c>
      <x:c r="J11" s="8" t="str"/>
      <x:c r="K11" s="8" t="str">
        <x:v>Taxonomy analyst 1</x:v>
      </x:c>
      <x:c r="L11" s="8" t="str">
        <x:v>Taxonomy reviewer 1</x:v>
      </x:c>
      <x:c r="M11" s="10" t="n">
        <x:v>46266</x:v>
      </x:c>
      <x:c r="N11" s="10" t="n">
        <x:v>46631</x:v>
      </x:c>
      <x:c r="O11" s="8"/>
      <x:c r="P11" s="9" t="str">
        <x:f>IF(C11="","",IF(AND(G11="Applicable",H11="Fail"),"Fail",IF(R11&lt;&gt;"Valid","Pending",IF(OR(I11="",K11="",L11="",K11=L11,NOT(ISNUMBER(M11)),NOT(ISNUMBER(N11)),M11&gt;Settings!$F$8,N11&lt;Settings!$F$8,N11&lt;M11),"Pending",IF(AND(G11="Applicable",H11="Pass"),"Pass",IF(AND(G11="N/A",H11="N/A",J11&lt;&gt;"",OR(E11="CEM-FUELS",E11="CEM-CCS",AND(E11="CEM-PLAN",IFERROR(INDEX('Taxonomy'!$M$9:$M$108,MATCH(D11,'Taxonomy'!$C$9:$C$108,0)),"")&lt;&gt;"Amber"),E11="BLD-TIMBER",AND(U11="Building equipment",OR(E11="BLD-WATER",E11="BLD-WASTE",E11="BLD-LAND")),AND(U11="Building renovation",E11="BLD-LAND"))),"N/A","Pending"))))))</x:f>
        <x:v>Pass</x:v>
      </x:c>
      <x:c r="Q11" s="3" t="str">
        <x:f>IF(C11="","",IF(AND(R11="Valid",OR(P11="Pass",P11="N/A")),"Complete","Unresolved"))</x:f>
        <x:v>Complete</x:v>
      </x:c>
      <x:c r="R11" s="9" t="str">
        <x:f>IF(C11="","",IF(OR(COUNTIF($C$9:$C$2008,C11)&lt;&gt;1,COUNTIFS($D$9:$D$2008,D11,$E$9:$E$2008,E11)&lt;&gt;1),"Duplicate test",IF(COUNTIF('Taxonomy'!$C$9:$C$108,D11)&lt;&gt;1,"Assessment key",IF(OR(COUNTIF('Taxonomy Rules'!$C$42:$C$68,E11)&lt;&gt;1,F11&lt;&gt;IFERROR(INDEX('Taxonomy Rules'!$D$42:$D$68,MATCH(E11,'Taxonomy Rules'!$C$42:$C$68,0)),""),NOT(OR(IFERROR(INDEX('Taxonomy Rules'!$G$42:$G$68,MATCH(E11,'Taxonomy Rules'!$C$42:$C$68,0)),"")="All supported routes",IFERROR(INDEX('Taxonomy Rules'!$G$42:$G$68,MATCH(E11,'Taxonomy Rules'!$C$42:$C$68,0)),"")=U11,AND(IFERROR(INDEX('Taxonomy Rules'!$G$42:$G$68,MATCH(E11,'Taxonomy Rules'!$C$42:$C$68,0)),"")="Building routes",OR(U11="Building renovation",U11="New building",U11="Building equipment"))))),"Unexpected test","Valid"))))</x:f>
        <x:v>Valid</x:v>
      </x:c>
      <x:c r="S11" s="9" t="str">
        <x:f>IF(C11="","",IFERROR(INDEX('Taxonomy Rules'!$E$42:$E$68,MATCH(E11,'Taxonomy Rules'!$C$42:$C$68,0)),""))</x:f>
        <x:v>Lifetime hazard screen, material risk assessment and implemented adaptation; no harm to others.</x:v>
      </x:c>
      <x:c r="T11" s="9" t="str">
        <x:f>IF(C11="","",IFERROR(INDEX('Taxonomy Rules'!$F$42:$F$68,MATCH(E11,'Taxonomy Rules'!$C$42:$C$68,0)),""))</x:f>
        <x:v>S10 pp30–31</x:v>
      </x:c>
      <x:c r="U11" s="9" t="str">
        <x:f>IF(C11="","",IFERROR(INDEX('Taxonomy'!$G$9:$G$108,MATCH(D11,'Taxonomy'!$C$9:$C$108,0)),""))</x:f>
        <x:v>Cement</x:v>
      </x:c>
    </x:row>
    <x:row r="12" ht="44" customHeight="1">
      <x:c r="A12" s="1"/>
      <x:c r="B12" s="1"/>
      <x:c r="C12" s="8" t="str">
        <x:v>TST-F001-DNSH-WATER</x:v>
      </x:c>
      <x:c r="D12" s="8" t="str">
        <x:v>TAX-F001</x:v>
      </x:c>
      <x:c r="E12" s="8" t="str">
        <x:v>DNSH-WATER</x:v>
      </x:c>
      <x:c r="F12" s="8" t="str">
        <x:v>DNSH</x:v>
      </x:c>
      <x:c r="G12" s="8" t="str">
        <x:v>Applicable</x:v>
      </x:c>
      <x:c r="H12" s="8" t="str">
        <x:v>Pass</x:v>
      </x:c>
      <x:c r="I12" s="8" t="str">
        <x:v>SYN-TEST-F001-DNSH-WATER</x:v>
      </x:c>
      <x:c r="J12" s="8" t="str"/>
      <x:c r="K12" s="8" t="str">
        <x:v>Taxonomy analyst 1</x:v>
      </x:c>
      <x:c r="L12" s="8" t="str">
        <x:v>Taxonomy reviewer 1</x:v>
      </x:c>
      <x:c r="M12" s="10" t="n">
        <x:v>46266</x:v>
      </x:c>
      <x:c r="N12" s="10" t="n">
        <x:v>46631</x:v>
      </x:c>
      <x:c r="O12" s="8"/>
      <x:c r="P12" s="9" t="str">
        <x:f>IF(C12="","",IF(AND(G12="Applicable",H12="Fail"),"Fail",IF(R12&lt;&gt;"Valid","Pending",IF(OR(I12="",K12="",L12="",K12=L12,NOT(ISNUMBER(M12)),NOT(ISNUMBER(N12)),M12&gt;Settings!$F$8,N12&lt;Settings!$F$8,N12&lt;M12),"Pending",IF(AND(G12="Applicable",H12="Pass"),"Pass",IF(AND(G12="N/A",H12="N/A",J12&lt;&gt;"",OR(E12="CEM-FUELS",E12="CEM-CCS",AND(E12="CEM-PLAN",IFERROR(INDEX('Taxonomy'!$M$9:$M$108,MATCH(D12,'Taxonomy'!$C$9:$C$108,0)),"")&lt;&gt;"Amber"),E12="BLD-TIMBER",AND(U12="Building equipment",OR(E12="BLD-WATER",E12="BLD-WASTE",E12="BLD-LAND")),AND(U12="Building renovation",E12="BLD-LAND"))),"N/A","Pending"))))))</x:f>
        <x:v>Pass</x:v>
      </x:c>
      <x:c r="Q12" s="3" t="str">
        <x:f>IF(C12="","",IF(AND(R12="Valid",OR(P12="Pass",P12="N/A")),"Complete","Unresolved"))</x:f>
        <x:v>Complete</x:v>
      </x:c>
      <x:c r="R12" s="9" t="str">
        <x:f>IF(C12="","",IF(OR(COUNTIF($C$9:$C$2008,C12)&lt;&gt;1,COUNTIFS($D$9:$D$2008,D12,$E$9:$E$2008,E12)&lt;&gt;1),"Duplicate test",IF(COUNTIF('Taxonomy'!$C$9:$C$108,D12)&lt;&gt;1,"Assessment key",IF(OR(COUNTIF('Taxonomy Rules'!$C$42:$C$68,E12)&lt;&gt;1,F12&lt;&gt;IFERROR(INDEX('Taxonomy Rules'!$D$42:$D$68,MATCH(E12,'Taxonomy Rules'!$C$42:$C$68,0)),""),NOT(OR(IFERROR(INDEX('Taxonomy Rules'!$G$42:$G$68,MATCH(E12,'Taxonomy Rules'!$C$42:$C$68,0)),"")="All supported routes",IFERROR(INDEX('Taxonomy Rules'!$G$42:$G$68,MATCH(E12,'Taxonomy Rules'!$C$42:$C$68,0)),"")=U12,AND(IFERROR(INDEX('Taxonomy Rules'!$G$42:$G$68,MATCH(E12,'Taxonomy Rules'!$C$42:$C$68,0)),"")="Building routes",OR(U12="Building renovation",U12="New building",U12="Building equipment"))))),"Unexpected test","Valid"))))</x:f>
        <x:v>Valid</x:v>
      </x:c>
      <x:c r="S12" s="9" t="str">
        <x:f>IF(C12="","",IFERROR(INDEX('Taxonomy Rules'!$E$42:$E$68,MATCH(E12,'Taxonomy Rules'!$C$42:$C$68,0)),""))</x:f>
        <x:v>Water permits, abstraction/discharge limits, required assessments and management measures.</x:v>
      </x:c>
      <x:c r="T12" s="9" t="str">
        <x:f>IF(C12="","",IFERROR(INDEX('Taxonomy Rules'!$F$42:$F$68,MATCH(E12,'Taxonomy Rules'!$C$42:$C$68,0)),""))</x:f>
        <x:v>S10 p31</x:v>
      </x:c>
      <x:c r="U12" s="9" t="str">
        <x:f>IF(C12="","",IFERROR(INDEX('Taxonomy'!$G$9:$G$108,MATCH(D12,'Taxonomy'!$C$9:$C$108,0)),""))</x:f>
        <x:v>Cement</x:v>
      </x:c>
    </x:row>
    <x:row r="13" ht="44" customHeight="1">
      <x:c r="A13" s="1"/>
      <x:c r="B13" s="1"/>
      <x:c r="C13" s="8" t="str">
        <x:v>TST-F001-DNSH-POLL</x:v>
      </x:c>
      <x:c r="D13" s="8" t="str">
        <x:v>TAX-F001</x:v>
      </x:c>
      <x:c r="E13" s="8" t="str">
        <x:v>DNSH-POLL</x:v>
      </x:c>
      <x:c r="F13" s="8" t="str">
        <x:v>DNSH</x:v>
      </x:c>
      <x:c r="G13" s="8" t="str">
        <x:v>Applicable</x:v>
      </x:c>
      <x:c r="H13" s="8" t="str">
        <x:v>Pass</x:v>
      </x:c>
      <x:c r="I13" s="8" t="str">
        <x:v>SYN-TEST-F001-DNSH-POLL</x:v>
      </x:c>
      <x:c r="J13" s="8" t="str"/>
      <x:c r="K13" s="8" t="str">
        <x:v>Taxonomy analyst 1</x:v>
      </x:c>
      <x:c r="L13" s="8" t="str">
        <x:v>Taxonomy reviewer 1</x:v>
      </x:c>
      <x:c r="M13" s="10" t="n">
        <x:v>46266</x:v>
      </x:c>
      <x:c r="N13" s="10" t="n">
        <x:v>46631</x:v>
      </x:c>
      <x:c r="O13" s="8"/>
      <x:c r="P13" s="9" t="str">
        <x:f>IF(C13="","",IF(AND(G13="Applicable",H13="Fail"),"Fail",IF(R13&lt;&gt;"Valid","Pending",IF(OR(I13="",K13="",L13="",K13=L13,NOT(ISNUMBER(M13)),NOT(ISNUMBER(N13)),M13&gt;Settings!$F$8,N13&lt;Settings!$F$8,N13&lt;M13),"Pending",IF(AND(G13="Applicable",H13="Pass"),"Pass",IF(AND(G13="N/A",H13="N/A",J13&lt;&gt;"",OR(E13="CEM-FUELS",E13="CEM-CCS",AND(E13="CEM-PLAN",IFERROR(INDEX('Taxonomy'!$M$9:$M$108,MATCH(D13,'Taxonomy'!$C$9:$C$108,0)),"")&lt;&gt;"Amber"),E13="BLD-TIMBER",AND(U13="Building equipment",OR(E13="BLD-WATER",E13="BLD-WASTE",E13="BLD-LAND")),AND(U13="Building renovation",E13="BLD-LAND"))),"N/A","Pending"))))))</x:f>
        <x:v>Pass</x:v>
      </x:c>
      <x:c r="Q13" s="3" t="str">
        <x:f>IF(C13="","",IF(AND(R13="Valid",OR(P13="Pass",P13="N/A")),"Complete","Unresolved"))</x:f>
        <x:v>Complete</x:v>
      </x:c>
      <x:c r="R13" s="9" t="str">
        <x:f>IF(C13="","",IF(OR(COUNTIF($C$9:$C$2008,C13)&lt;&gt;1,COUNTIFS($D$9:$D$2008,D13,$E$9:$E$2008,E13)&lt;&gt;1),"Duplicate test",IF(COUNTIF('Taxonomy'!$C$9:$C$108,D13)&lt;&gt;1,"Assessment key",IF(OR(COUNTIF('Taxonomy Rules'!$C$42:$C$68,E13)&lt;&gt;1,F13&lt;&gt;IFERROR(INDEX('Taxonomy Rules'!$D$42:$D$68,MATCH(E13,'Taxonomy Rules'!$C$42:$C$68,0)),""),NOT(OR(IFERROR(INDEX('Taxonomy Rules'!$G$42:$G$68,MATCH(E13,'Taxonomy Rules'!$C$42:$C$68,0)),"")="All supported routes",IFERROR(INDEX('Taxonomy Rules'!$G$42:$G$68,MATCH(E13,'Taxonomy Rules'!$C$42:$C$68,0)),"")=U13,AND(IFERROR(INDEX('Taxonomy Rules'!$G$42:$G$68,MATCH(E13,'Taxonomy Rules'!$C$42:$C$68,0)),"")="Building routes",OR(U13="Building renovation",U13="New building",U13="Building equipment"))))),"Unexpected test","Valid"))))</x:f>
        <x:v>Valid</x:v>
      </x:c>
      <x:c r="S13" s="9" t="str">
        <x:f>IF(C13="","",IFERROR(INDEX('Taxonomy Rules'!$E$42:$E$68,MATCH(E13,'Taxonomy Rules'!$C$42:$C$68,0)),""))</x:f>
        <x:v>National pollution and prohibited-substance requirements; activity-specific limits.</x:v>
      </x:c>
      <x:c r="T13" s="9" t="str">
        <x:f>IF(C13="","",IFERROR(INDEX('Taxonomy Rules'!$F$42:$F$68,MATCH(E13,'Taxonomy Rules'!$C$42:$C$68,0)),""))</x:f>
        <x:v>S10 p31</x:v>
      </x:c>
      <x:c r="U13" s="9" t="str">
        <x:f>IF(C13="","",IFERROR(INDEX('Taxonomy'!$G$9:$G$108,MATCH(D13,'Taxonomy'!$C$9:$C$108,0)),""))</x:f>
        <x:v>Cement</x:v>
      </x:c>
    </x:row>
    <x:row r="14" ht="44" customHeight="1">
      <x:c r="A14" s="1"/>
      <x:c r="B14" s="1"/>
      <x:c r="C14" s="8" t="str">
        <x:v>TST-F001-DNSH-CIRC</x:v>
      </x:c>
      <x:c r="D14" s="8" t="str">
        <x:v>TAX-F001</x:v>
      </x:c>
      <x:c r="E14" s="8" t="str">
        <x:v>DNSH-CIRC</x:v>
      </x:c>
      <x:c r="F14" s="8" t="str">
        <x:v>DNSH</x:v>
      </x:c>
      <x:c r="G14" s="8" t="str">
        <x:v>Applicable</x:v>
      </x:c>
      <x:c r="H14" s="8" t="str">
        <x:v>Pass</x:v>
      </x:c>
      <x:c r="I14" s="8" t="str">
        <x:v>SYN-TEST-F001-DNSH-CIRC</x:v>
      </x:c>
      <x:c r="J14" s="8" t="str"/>
      <x:c r="K14" s="8" t="str">
        <x:v>Taxonomy analyst 1</x:v>
      </x:c>
      <x:c r="L14" s="8" t="str">
        <x:v>Taxonomy reviewer 1</x:v>
      </x:c>
      <x:c r="M14" s="10" t="n">
        <x:v>46266</x:v>
      </x:c>
      <x:c r="N14" s="10" t="n">
        <x:v>46631</x:v>
      </x:c>
      <x:c r="O14" s="8"/>
      <x:c r="P14" s="9" t="str">
        <x:f>IF(C14="","",IF(AND(G14="Applicable",H14="Fail"),"Fail",IF(R14&lt;&gt;"Valid","Pending",IF(OR(I14="",K14="",L14="",K14=L14,NOT(ISNUMBER(M14)),NOT(ISNUMBER(N14)),M14&gt;Settings!$F$8,N14&lt;Settings!$F$8,N14&lt;M14),"Pending",IF(AND(G14="Applicable",H14="Pass"),"Pass",IF(AND(G14="N/A",H14="N/A",J14&lt;&gt;"",OR(E14="CEM-FUELS",E14="CEM-CCS",AND(E14="CEM-PLAN",IFERROR(INDEX('Taxonomy'!$M$9:$M$108,MATCH(D14,'Taxonomy'!$C$9:$C$108,0)),"")&lt;&gt;"Amber"),E14="BLD-TIMBER",AND(U14="Building equipment",OR(E14="BLD-WATER",E14="BLD-WASTE",E14="BLD-LAND")),AND(U14="Building renovation",E14="BLD-LAND"))),"N/A","Pending"))))))</x:f>
        <x:v>Pass</x:v>
      </x:c>
      <x:c r="Q14" s="3" t="str">
        <x:f>IF(C14="","",IF(AND(R14="Valid",OR(P14="Pass",P14="N/A")),"Complete","Unresolved"))</x:f>
        <x:v>Complete</x:v>
      </x:c>
      <x:c r="R14" s="9" t="str">
        <x:f>IF(C14="","",IF(OR(COUNTIF($C$9:$C$2008,C14)&lt;&gt;1,COUNTIFS($D$9:$D$2008,D14,$E$9:$E$2008,E14)&lt;&gt;1),"Duplicate test",IF(COUNTIF('Taxonomy'!$C$9:$C$108,D14)&lt;&gt;1,"Assessment key",IF(OR(COUNTIF('Taxonomy Rules'!$C$42:$C$68,E14)&lt;&gt;1,F14&lt;&gt;IFERROR(INDEX('Taxonomy Rules'!$D$42:$D$68,MATCH(E14,'Taxonomy Rules'!$C$42:$C$68,0)),""),NOT(OR(IFERROR(INDEX('Taxonomy Rules'!$G$42:$G$68,MATCH(E14,'Taxonomy Rules'!$C$42:$C$68,0)),"")="All supported routes",IFERROR(INDEX('Taxonomy Rules'!$G$42:$G$68,MATCH(E14,'Taxonomy Rules'!$C$42:$C$68,0)),"")=U14,AND(IFERROR(INDEX('Taxonomy Rules'!$G$42:$G$68,MATCH(E14,'Taxonomy Rules'!$C$42:$C$68,0)),"")="Building routes",OR(U14="Building renovation",U14="New building",U14="Building equipment"))))),"Unexpected test","Valid"))))</x:f>
        <x:v>Valid</x:v>
      </x:c>
      <x:c r="S14" s="9" t="str">
        <x:f>IF(C14="","",IFERROR(INDEX('Taxonomy Rules'!$E$42:$E$68,MATCH(E14,'Taxonomy Rules'!$C$42:$C$68,0)),""))</x:f>
        <x:v>Waste hierarchy, resource efficiency, hazardous-waste traceability and end-of-life arrangements.</x:v>
      </x:c>
      <x:c r="T14" s="9" t="str">
        <x:f>IF(C14="","",IFERROR(INDEX('Taxonomy Rules'!$F$42:$F$68,MATCH(E14,'Taxonomy Rules'!$C$42:$C$68,0)),""))</x:f>
        <x:v>S10 p32</x:v>
      </x:c>
      <x:c r="U14" s="9" t="str">
        <x:f>IF(C14="","",IFERROR(INDEX('Taxonomy'!$G$9:$G$108,MATCH(D14,'Taxonomy'!$C$9:$C$108,0)),""))</x:f>
        <x:v>Cement</x:v>
      </x:c>
    </x:row>
    <x:row r="15" ht="44" customHeight="1">
      <x:c r="A15" s="1"/>
      <x:c r="B15" s="1"/>
      <x:c r="C15" s="8" t="str">
        <x:v>TST-F001-DNSH-BIO</x:v>
      </x:c>
      <x:c r="D15" s="8" t="str">
        <x:v>TAX-F001</x:v>
      </x:c>
      <x:c r="E15" s="8" t="str">
        <x:v>DNSH-BIO</x:v>
      </x:c>
      <x:c r="F15" s="8" t="str">
        <x:v>DNSH</x:v>
      </x:c>
      <x:c r="G15" s="8" t="str">
        <x:v>Applicable</x:v>
      </x:c>
      <x:c r="H15" s="8" t="str">
        <x:v>Pass</x:v>
      </x:c>
      <x:c r="I15" s="8" t="str">
        <x:v>SYN-TEST-F001-DNSH-BIO</x:v>
      </x:c>
      <x:c r="J15" s="8" t="str"/>
      <x:c r="K15" s="8" t="str">
        <x:v>Taxonomy analyst 1</x:v>
      </x:c>
      <x:c r="L15" s="8" t="str">
        <x:v>Taxonomy reviewer 1</x:v>
      </x:c>
      <x:c r="M15" s="10" t="n">
        <x:v>46266</x:v>
      </x:c>
      <x:c r="N15" s="10" t="n">
        <x:v>46631</x:v>
      </x:c>
      <x:c r="O15" s="8"/>
      <x:c r="P15" s="9" t="str">
        <x:f>IF(C15="","",IF(AND(G15="Applicable",H15="Fail"),"Fail",IF(R15&lt;&gt;"Valid","Pending",IF(OR(I15="",K15="",L15="",K15=L15,NOT(ISNUMBER(M15)),NOT(ISNUMBER(N15)),M15&gt;Settings!$F$8,N15&lt;Settings!$F$8,N15&lt;M15),"Pending",IF(AND(G15="Applicable",H15="Pass"),"Pass",IF(AND(G15="N/A",H15="N/A",J15&lt;&gt;"",OR(E15="CEM-FUELS",E15="CEM-CCS",AND(E15="CEM-PLAN",IFERROR(INDEX('Taxonomy'!$M$9:$M$108,MATCH(D15,'Taxonomy'!$C$9:$C$108,0)),"")&lt;&gt;"Amber"),E15="BLD-TIMBER",AND(U15="Building equipment",OR(E15="BLD-WATER",E15="BLD-WASTE",E15="BLD-LAND")),AND(U15="Building renovation",E15="BLD-LAND"))),"N/A","Pending"))))))</x:f>
        <x:v>Pass</x:v>
      </x:c>
      <x:c r="Q15" s="3" t="str">
        <x:f>IF(C15="","",IF(AND(R15="Valid",OR(P15="Pass",P15="N/A")),"Complete","Unresolved"))</x:f>
        <x:v>Complete</x:v>
      </x:c>
      <x:c r="R15" s="9" t="str">
        <x:f>IF(C15="","",IF(OR(COUNTIF($C$9:$C$2008,C15)&lt;&gt;1,COUNTIFS($D$9:$D$2008,D15,$E$9:$E$2008,E15)&lt;&gt;1),"Duplicate test",IF(COUNTIF('Taxonomy'!$C$9:$C$108,D15)&lt;&gt;1,"Assessment key",IF(OR(COUNTIF('Taxonomy Rules'!$C$42:$C$68,E15)&lt;&gt;1,F15&lt;&gt;IFERROR(INDEX('Taxonomy Rules'!$D$42:$D$68,MATCH(E15,'Taxonomy Rules'!$C$42:$C$68,0)),""),NOT(OR(IFERROR(INDEX('Taxonomy Rules'!$G$42:$G$68,MATCH(E15,'Taxonomy Rules'!$C$42:$C$68,0)),"")="All supported routes",IFERROR(INDEX('Taxonomy Rules'!$G$42:$G$68,MATCH(E15,'Taxonomy Rules'!$C$42:$C$68,0)),"")=U15,AND(IFERROR(INDEX('Taxonomy Rules'!$G$42:$G$68,MATCH(E15,'Taxonomy Rules'!$C$42:$C$68,0)),"")="Building routes",OR(U15="Building renovation",U15="New building",U15="Building equipment"))))),"Unexpected test","Valid"))))</x:f>
        <x:v>Valid</x:v>
      </x:c>
      <x:c r="S15" s="9" t="str">
        <x:f>IF(C15="","",IFERROR(INDEX('Taxonomy Rules'!$E$42:$E$68,MATCH(E15,'Taxonomy Rules'!$C$42:$C$68,0)),""))</x:f>
        <x:v>Required EIA, habitat screening and implemented mitigation.</x:v>
      </x:c>
      <x:c r="T15" s="9" t="str">
        <x:f>IF(C15="","",IFERROR(INDEX('Taxonomy Rules'!$F$42:$F$68,MATCH(E15,'Taxonomy Rules'!$C$42:$C$68,0)),""))</x:f>
        <x:v>S10 p32</x:v>
      </x:c>
      <x:c r="U15" s="9" t="str">
        <x:f>IF(C15="","",IFERROR(INDEX('Taxonomy'!$G$9:$G$108,MATCH(D15,'Taxonomy'!$C$9:$C$108,0)),""))</x:f>
        <x:v>Cement</x:v>
      </x:c>
    </x:row>
    <x:row r="16" ht="44" customHeight="1">
      <x:c r="A16" s="1"/>
      <x:c r="B16" s="1"/>
      <x:c r="C16" s="8" t="str">
        <x:v>TST-F001-MSS-LABOUR</x:v>
      </x:c>
      <x:c r="D16" s="8" t="str">
        <x:v>TAX-F001</x:v>
      </x:c>
      <x:c r="E16" s="8" t="str">
        <x:v>MSS-LABOUR</x:v>
      </x:c>
      <x:c r="F16" s="8" t="str">
        <x:v>MSS</x:v>
      </x:c>
      <x:c r="G16" s="8" t="str">
        <x:v>Applicable</x:v>
      </x:c>
      <x:c r="H16" s="8" t="str">
        <x:v>Pass</x:v>
      </x:c>
      <x:c r="I16" s="8" t="str">
        <x:v>SYN-TEST-F001-MSS-LABOUR</x:v>
      </x:c>
      <x:c r="J16" s="8" t="str"/>
      <x:c r="K16" s="8" t="str">
        <x:v>Taxonomy analyst 1</x:v>
      </x:c>
      <x:c r="L16" s="8" t="str">
        <x:v>Taxonomy reviewer 1</x:v>
      </x:c>
      <x:c r="M16" s="10" t="n">
        <x:v>46266</x:v>
      </x:c>
      <x:c r="N16" s="10" t="n">
        <x:v>46631</x:v>
      </x:c>
      <x:c r="O16" s="8"/>
      <x:c r="P16" s="9" t="str">
        <x:f>IF(C16="","",IF(AND(G16="Applicable",H16="Fail"),"Fail",IF(R16&lt;&gt;"Valid","Pending",IF(OR(I16="",K16="",L16="",K16=L16,NOT(ISNUMBER(M16)),NOT(ISNUMBER(N16)),M16&gt;Settings!$F$8,N16&lt;Settings!$F$8,N16&lt;M16),"Pending",IF(AND(G16="Applicable",H16="Pass"),"Pass",IF(AND(G16="N/A",H16="N/A",J16&lt;&gt;"",OR(E16="CEM-FUELS",E16="CEM-CCS",AND(E16="CEM-PLAN",IFERROR(INDEX('Taxonomy'!$M$9:$M$108,MATCH(D16,'Taxonomy'!$C$9:$C$108,0)),"")&lt;&gt;"Amber"),E16="BLD-TIMBER",AND(U16="Building equipment",OR(E16="BLD-WATER",E16="BLD-WASTE",E16="BLD-LAND")),AND(U16="Building renovation",E16="BLD-LAND"))),"N/A","Pending"))))))</x:f>
        <x:v>Pass</x:v>
      </x:c>
      <x:c r="Q16" s="3" t="str">
        <x:f>IF(C16="","",IF(AND(R16="Valid",OR(P16="Pass",P16="N/A")),"Complete","Unresolved"))</x:f>
        <x:v>Complete</x:v>
      </x:c>
      <x:c r="R16" s="9" t="str">
        <x:f>IF(C16="","",IF(OR(COUNTIF($C$9:$C$2008,C16)&lt;&gt;1,COUNTIFS($D$9:$D$2008,D16,$E$9:$E$2008,E16)&lt;&gt;1),"Duplicate test",IF(COUNTIF('Taxonomy'!$C$9:$C$108,D16)&lt;&gt;1,"Assessment key",IF(OR(COUNTIF('Taxonomy Rules'!$C$42:$C$68,E16)&lt;&gt;1,F16&lt;&gt;IFERROR(INDEX('Taxonomy Rules'!$D$42:$D$68,MATCH(E16,'Taxonomy Rules'!$C$42:$C$68,0)),""),NOT(OR(IFERROR(INDEX('Taxonomy Rules'!$G$42:$G$68,MATCH(E16,'Taxonomy Rules'!$C$42:$C$68,0)),"")="All supported routes",IFERROR(INDEX('Taxonomy Rules'!$G$42:$G$68,MATCH(E16,'Taxonomy Rules'!$C$42:$C$68,0)),"")=U16,AND(IFERROR(INDEX('Taxonomy Rules'!$G$42:$G$68,MATCH(E16,'Taxonomy Rules'!$C$42:$C$68,0)),"")="Building routes",OR(U16="Building renovation",U16="New building",U16="Building equipment"))))),"Unexpected test","Valid"))))</x:f>
        <x:v>Valid</x:v>
      </x:c>
      <x:c r="S16" s="9" t="str">
        <x:f>IF(C16="","",IFERROR(INDEX('Taxonomy Rules'!$E$42:$E$68,MATCH(E16,'Taxonomy Rules'!$C$42:$C$68,0)),""))</x:f>
        <x:v>Labour rights, minimum age, no child/forced labour, equality and worker representation.</x:v>
      </x:c>
      <x:c r="T16" s="9" t="str">
        <x:f>IF(C16="","",IFERROR(INDEX('Taxonomy Rules'!$F$42:$F$68,MATCH(E16,'Taxonomy Rules'!$C$42:$C$68,0)),""))</x:f>
        <x:v>S10 p29</x:v>
      </x:c>
      <x:c r="U16" s="9" t="str">
        <x:f>IF(C16="","",IFERROR(INDEX('Taxonomy'!$G$9:$G$108,MATCH(D16,'Taxonomy'!$C$9:$C$108,0)),""))</x:f>
        <x:v>Cement</x:v>
      </x:c>
    </x:row>
    <x:row r="17" ht="44" customHeight="1">
      <x:c r="A17" s="1"/>
      <x:c r="B17" s="1"/>
      <x:c r="C17" s="8" t="str">
        <x:v>TST-F001-MSS-OSH</x:v>
      </x:c>
      <x:c r="D17" s="8" t="str">
        <x:v>TAX-F001</x:v>
      </x:c>
      <x:c r="E17" s="8" t="str">
        <x:v>MSS-OSH</x:v>
      </x:c>
      <x:c r="F17" s="8" t="str">
        <x:v>MSS</x:v>
      </x:c>
      <x:c r="G17" s="8" t="str">
        <x:v>Applicable</x:v>
      </x:c>
      <x:c r="H17" s="8" t="str">
        <x:v>Pass</x:v>
      </x:c>
      <x:c r="I17" s="8" t="str">
        <x:v>SYN-TEST-F001-MSS-OSH</x:v>
      </x:c>
      <x:c r="J17" s="8" t="str"/>
      <x:c r="K17" s="8" t="str">
        <x:v>Taxonomy analyst 1</x:v>
      </x:c>
      <x:c r="L17" s="8" t="str">
        <x:v>Taxonomy reviewer 1</x:v>
      </x:c>
      <x:c r="M17" s="10" t="n">
        <x:v>46266</x:v>
      </x:c>
      <x:c r="N17" s="10" t="n">
        <x:v>46631</x:v>
      </x:c>
      <x:c r="O17" s="8"/>
      <x:c r="P17" s="9" t="str">
        <x:f>IF(C17="","",IF(AND(G17="Applicable",H17="Fail"),"Fail",IF(R17&lt;&gt;"Valid","Pending",IF(OR(I17="",K17="",L17="",K17=L17,NOT(ISNUMBER(M17)),NOT(ISNUMBER(N17)),M17&gt;Settings!$F$8,N17&lt;Settings!$F$8,N17&lt;M17),"Pending",IF(AND(G17="Applicable",H17="Pass"),"Pass",IF(AND(G17="N/A",H17="N/A",J17&lt;&gt;"",OR(E17="CEM-FUELS",E17="CEM-CCS",AND(E17="CEM-PLAN",IFERROR(INDEX('Taxonomy'!$M$9:$M$108,MATCH(D17,'Taxonomy'!$C$9:$C$108,0)),"")&lt;&gt;"Amber"),E17="BLD-TIMBER",AND(U17="Building equipment",OR(E17="BLD-WATER",E17="BLD-WASTE",E17="BLD-LAND")),AND(U17="Building renovation",E17="BLD-LAND"))),"N/A","Pending"))))))</x:f>
        <x:v>Pass</x:v>
      </x:c>
      <x:c r="Q17" s="3" t="str">
        <x:f>IF(C17="","",IF(AND(R17="Valid",OR(P17="Pass",P17="N/A")),"Complete","Unresolved"))</x:f>
        <x:v>Complete</x:v>
      </x:c>
      <x:c r="R17" s="9" t="str">
        <x:f>IF(C17="","",IF(OR(COUNTIF($C$9:$C$2008,C17)&lt;&gt;1,COUNTIFS($D$9:$D$2008,D17,$E$9:$E$2008,E17)&lt;&gt;1),"Duplicate test",IF(COUNTIF('Taxonomy'!$C$9:$C$108,D17)&lt;&gt;1,"Assessment key",IF(OR(COUNTIF('Taxonomy Rules'!$C$42:$C$68,E17)&lt;&gt;1,F17&lt;&gt;IFERROR(INDEX('Taxonomy Rules'!$D$42:$D$68,MATCH(E17,'Taxonomy Rules'!$C$42:$C$68,0)),""),NOT(OR(IFERROR(INDEX('Taxonomy Rules'!$G$42:$G$68,MATCH(E17,'Taxonomy Rules'!$C$42:$C$68,0)),"")="All supported routes",IFERROR(INDEX('Taxonomy Rules'!$G$42:$G$68,MATCH(E17,'Taxonomy Rules'!$C$42:$C$68,0)),"")=U17,AND(IFERROR(INDEX('Taxonomy Rules'!$G$42:$G$68,MATCH(E17,'Taxonomy Rules'!$C$42:$C$68,0)),"")="Building routes",OR(U17="Building renovation",U17="New building",U17="Building equipment"))))),"Unexpected test","Valid"))))</x:f>
        <x:v>Valid</x:v>
      </x:c>
      <x:c r="S17" s="9" t="str">
        <x:f>IF(C17="","",IFERROR(INDEX('Taxonomy Rules'!$E$42:$E$68,MATCH(E17,'Taxonomy Rules'!$C$42:$C$68,0)),""))</x:f>
        <x:v>Applicable occupational safety, hazard prevention and emergency readiness.</x:v>
      </x:c>
      <x:c r="T17" s="9" t="str">
        <x:f>IF(C17="","",IFERROR(INDEX('Taxonomy Rules'!$F$42:$F$68,MATCH(E17,'Taxonomy Rules'!$C$42:$C$68,0)),""))</x:f>
        <x:v>S10 p29</x:v>
      </x:c>
      <x:c r="U17" s="9" t="str">
        <x:f>IF(C17="","",IFERROR(INDEX('Taxonomy'!$G$9:$G$108,MATCH(D17,'Taxonomy'!$C$9:$C$108,0)),""))</x:f>
        <x:v>Cement</x:v>
      </x:c>
    </x:row>
    <x:row r="18" ht="44" customHeight="1">
      <x:c r="A18" s="1"/>
      <x:c r="B18" s="1"/>
      <x:c r="C18" s="8" t="str">
        <x:v>TST-F001-MSS-RIGHTS</x:v>
      </x:c>
      <x:c r="D18" s="8" t="str">
        <x:v>TAX-F001</x:v>
      </x:c>
      <x:c r="E18" s="8" t="str">
        <x:v>MSS-RIGHTS</x:v>
      </x:c>
      <x:c r="F18" s="8" t="str">
        <x:v>MSS</x:v>
      </x:c>
      <x:c r="G18" s="8" t="str">
        <x:v>Applicable</x:v>
      </x:c>
      <x:c r="H18" s="8" t="str">
        <x:v>Pass</x:v>
      </x:c>
      <x:c r="I18" s="8" t="str">
        <x:v>SYN-TEST-F001-MSS-RIGHTS</x:v>
      </x:c>
      <x:c r="J18" s="8" t="str"/>
      <x:c r="K18" s="8" t="str">
        <x:v>Taxonomy analyst 1</x:v>
      </x:c>
      <x:c r="L18" s="8" t="str">
        <x:v>Taxonomy reviewer 1</x:v>
      </x:c>
      <x:c r="M18" s="10" t="n">
        <x:v>46266</x:v>
      </x:c>
      <x:c r="N18" s="10" t="n">
        <x:v>46631</x:v>
      </x:c>
      <x:c r="O18" s="8"/>
      <x:c r="P18" s="9" t="str">
        <x:f>IF(C18="","",IF(AND(G18="Applicable",H18="Fail"),"Fail",IF(R18&lt;&gt;"Valid","Pending",IF(OR(I18="",K18="",L18="",K18=L18,NOT(ISNUMBER(M18)),NOT(ISNUMBER(N18)),M18&gt;Settings!$F$8,N18&lt;Settings!$F$8,N18&lt;M18),"Pending",IF(AND(G18="Applicable",H18="Pass"),"Pass",IF(AND(G18="N/A",H18="N/A",J18&lt;&gt;"",OR(E18="CEM-FUELS",E18="CEM-CCS",AND(E18="CEM-PLAN",IFERROR(INDEX('Taxonomy'!$M$9:$M$108,MATCH(D18,'Taxonomy'!$C$9:$C$108,0)),"")&lt;&gt;"Amber"),E18="BLD-TIMBER",AND(U18="Building equipment",OR(E18="BLD-WATER",E18="BLD-WASTE",E18="BLD-LAND")),AND(U18="Building renovation",E18="BLD-LAND"))),"N/A","Pending"))))))</x:f>
        <x:v>Pass</x:v>
      </x:c>
      <x:c r="Q18" s="3" t="str">
        <x:f>IF(C18="","",IF(AND(R18="Valid",OR(P18="Pass",P18="N/A")),"Complete","Unresolved"))</x:f>
        <x:v>Complete</x:v>
      </x:c>
      <x:c r="R18" s="9" t="str">
        <x:f>IF(C18="","",IF(OR(COUNTIF($C$9:$C$2008,C18)&lt;&gt;1,COUNTIFS($D$9:$D$2008,D18,$E$9:$E$2008,E18)&lt;&gt;1),"Duplicate test",IF(COUNTIF('Taxonomy'!$C$9:$C$108,D18)&lt;&gt;1,"Assessment key",IF(OR(COUNTIF('Taxonomy Rules'!$C$42:$C$68,E18)&lt;&gt;1,F18&lt;&gt;IFERROR(INDEX('Taxonomy Rules'!$D$42:$D$68,MATCH(E18,'Taxonomy Rules'!$C$42:$C$68,0)),""),NOT(OR(IFERROR(INDEX('Taxonomy Rules'!$G$42:$G$68,MATCH(E18,'Taxonomy Rules'!$C$42:$C$68,0)),"")="All supported routes",IFERROR(INDEX('Taxonomy Rules'!$G$42:$G$68,MATCH(E18,'Taxonomy Rules'!$C$42:$C$68,0)),"")=U18,AND(IFERROR(INDEX('Taxonomy Rules'!$G$42:$G$68,MATCH(E18,'Taxonomy Rules'!$C$42:$C$68,0)),"")="Building routes",OR(U18="Building renovation",U18="New building",U18="Building equipment"))))),"Unexpected test","Valid"))))</x:f>
        <x:v>Valid</x:v>
      </x:c>
      <x:c r="S18" s="9" t="str">
        <x:f>IF(C18="","",IFERROR(INDEX('Taxonomy Rules'!$E$42:$E$68,MATCH(E18,'Taxonomy Rules'!$C$42:$C$68,0)),""))</x:f>
        <x:v>Proportionate human-rights diligence, stakeholder/social-impact process and grievance mechanism.</x:v>
      </x:c>
      <x:c r="T18" s="9" t="str">
        <x:f>IF(C18="","",IFERROR(INDEX('Taxonomy Rules'!$F$42:$F$68,MATCH(E18,'Taxonomy Rules'!$C$42:$C$68,0)),""))</x:f>
        <x:v>S10 p29</x:v>
      </x:c>
      <x:c r="U18" s="9" t="str">
        <x:f>IF(C18="","",IFERROR(INDEX('Taxonomy'!$G$9:$G$108,MATCH(D18,'Taxonomy'!$C$9:$C$108,0)),""))</x:f>
        <x:v>Cement</x:v>
      </x:c>
    </x:row>
    <x:row r="19" ht="44" customHeight="1">
      <x:c r="A19" s="1"/>
      <x:c r="B19" s="1"/>
      <x:c r="C19" s="8" t="str">
        <x:v>TST-F001-CEM-FUELS</x:v>
      </x:c>
      <x:c r="D19" s="8" t="str">
        <x:v>TAX-F001</x:v>
      </x:c>
      <x:c r="E19" s="8" t="str">
        <x:v>CEM-FUELS</x:v>
      </x:c>
      <x:c r="F19" s="8" t="str">
        <x:v>Technical</x:v>
      </x:c>
      <x:c r="G19" s="8" t="str">
        <x:v>N/A</x:v>
      </x:c>
      <x:c r="H19" s="8" t="str">
        <x:v>N/A</x:v>
      </x:c>
      <x:c r="I19" s="8" t="str">
        <x:v>SYN-TEST-F001-CEM-FUELS</x:v>
      </x:c>
      <x:c r="J19" s="8" t="str">
        <x:v>Not used / Green route; independent review confirms conditional criterion not triggered</x:v>
      </x:c>
      <x:c r="K19" s="8" t="str">
        <x:v>Taxonomy analyst 1</x:v>
      </x:c>
      <x:c r="L19" s="8" t="str">
        <x:v>Taxonomy reviewer 1</x:v>
      </x:c>
      <x:c r="M19" s="10" t="n">
        <x:v>46266</x:v>
      </x:c>
      <x:c r="N19" s="10" t="n">
        <x:v>46631</x:v>
      </x:c>
      <x:c r="O19" s="8"/>
      <x:c r="P19" s="9" t="str">
        <x:f>IF(C19="","",IF(AND(G19="Applicable",H19="Fail"),"Fail",IF(R19&lt;&gt;"Valid","Pending",IF(OR(I19="",K19="",L19="",K19=L19,NOT(ISNUMBER(M19)),NOT(ISNUMBER(N19)),M19&gt;Settings!$F$8,N19&lt;Settings!$F$8,N19&lt;M19),"Pending",IF(AND(G19="Applicable",H19="Pass"),"Pass",IF(AND(G19="N/A",H19="N/A",J19&lt;&gt;"",OR(E19="CEM-FUELS",E19="CEM-CCS",AND(E19="CEM-PLAN",IFERROR(INDEX('Taxonomy'!$M$9:$M$108,MATCH(D19,'Taxonomy'!$C$9:$C$108,0)),"")&lt;&gt;"Amber"),E19="BLD-TIMBER",AND(U19="Building equipment",OR(E19="BLD-WATER",E19="BLD-WASTE",E19="BLD-LAND")),AND(U19="Building renovation",E19="BLD-LAND"))),"N/A","Pending"))))))</x:f>
        <x:v>N/A</x:v>
      </x:c>
      <x:c r="Q19" s="3" t="str">
        <x:f>IF(C19="","",IF(AND(R19="Valid",OR(P19="Pass",P19="N/A")),"Complete","Unresolved"))</x:f>
        <x:v>Complete</x:v>
      </x:c>
      <x:c r="R19" s="9" t="str">
        <x:f>IF(C19="","",IF(OR(COUNTIF($C$9:$C$2008,C19)&lt;&gt;1,COUNTIFS($D$9:$D$2008,D19,$E$9:$E$2008,E19)&lt;&gt;1),"Duplicate test",IF(COUNTIF('Taxonomy'!$C$9:$C$108,D19)&lt;&gt;1,"Assessment key",IF(OR(COUNTIF('Taxonomy Rules'!$C$42:$C$68,E19)&lt;&gt;1,F19&lt;&gt;IFERROR(INDEX('Taxonomy Rules'!$D$42:$D$68,MATCH(E19,'Taxonomy Rules'!$C$42:$C$68,0)),""),NOT(OR(IFERROR(INDEX('Taxonomy Rules'!$G$42:$G$68,MATCH(E19,'Taxonomy Rules'!$C$42:$C$68,0)),"")="All supported routes",IFERROR(INDEX('Taxonomy Rules'!$G$42:$G$68,MATCH(E19,'Taxonomy Rules'!$C$42:$C$68,0)),"")=U19,AND(IFERROR(INDEX('Taxonomy Rules'!$G$42:$G$68,MATCH(E19,'Taxonomy Rules'!$C$42:$C$68,0)),"")="Building routes",OR(U19="Building renovation",U19="New building",U19="Building equipment"))))),"Unexpected test","Valid"))))</x:f>
        <x:v>Valid</x:v>
      </x:c>
      <x:c r="S19" s="9" t="str">
        <x:f>IF(C19="","",IFERROR(INDEX('Taxonomy Rules'!$E$42:$E$68,MATCH(E19,'Taxonomy Rules'!$C$42:$C$68,0)),""))</x:f>
        <x:v>If biomass / hydrogen used, cross-referenced taxonomy criteria met; waste nonrecyclable with separation and air standards.</x:v>
      </x:c>
      <x:c r="T19" s="9" t="str">
        <x:f>IF(C19="","",IFERROR(INDEX('Taxonomy Rules'!$F$42:$F$68,MATCH(E19,'Taxonomy Rules'!$C$42:$C$68,0)),""))</x:f>
        <x:v>S10 pp49–50</x:v>
      </x:c>
      <x:c r="U19" s="9" t="str">
        <x:f>IF(C19="","",IFERROR(INDEX('Taxonomy'!$G$9:$G$108,MATCH(D19,'Taxonomy'!$C$9:$C$108,0)),""))</x:f>
        <x:v>Cement</x:v>
      </x:c>
    </x:row>
    <x:row r="20" ht="44" customHeight="1">
      <x:c r="A20" s="1"/>
      <x:c r="B20" s="1"/>
      <x:c r="C20" s="8" t="str">
        <x:v>TST-F001-CEM-CCS</x:v>
      </x:c>
      <x:c r="D20" s="8" t="str">
        <x:v>TAX-F001</x:v>
      </x:c>
      <x:c r="E20" s="8" t="str">
        <x:v>CEM-CCS</x:v>
      </x:c>
      <x:c r="F20" s="8" t="str">
        <x:v>Technical</x:v>
      </x:c>
      <x:c r="G20" s="8" t="str">
        <x:v>N/A</x:v>
      </x:c>
      <x:c r="H20" s="8" t="str">
        <x:v>N/A</x:v>
      </x:c>
      <x:c r="I20" s="8" t="str">
        <x:v>SYN-TEST-F001-CEM-CCS</x:v>
      </x:c>
      <x:c r="J20" s="8" t="str">
        <x:v>Not used / Green route; independent review confirms conditional criterion not triggered</x:v>
      </x:c>
      <x:c r="K20" s="8" t="str">
        <x:v>Taxonomy analyst 1</x:v>
      </x:c>
      <x:c r="L20" s="8" t="str">
        <x:v>Taxonomy reviewer 1</x:v>
      </x:c>
      <x:c r="M20" s="10" t="n">
        <x:v>46266</x:v>
      </x:c>
      <x:c r="N20" s="10" t="n">
        <x:v>46631</x:v>
      </x:c>
      <x:c r="O20" s="8"/>
      <x:c r="P20" s="9" t="str">
        <x:f>IF(C20="","",IF(AND(G20="Applicable",H20="Fail"),"Fail",IF(R20&lt;&gt;"Valid","Pending",IF(OR(I20="",K20="",L20="",K20=L20,NOT(ISNUMBER(M20)),NOT(ISNUMBER(N20)),M20&gt;Settings!$F$8,N20&lt;Settings!$F$8,N20&lt;M20),"Pending",IF(AND(G20="Applicable",H20="Pass"),"Pass",IF(AND(G20="N/A",H20="N/A",J20&lt;&gt;"",OR(E20="CEM-FUELS",E20="CEM-CCS",AND(E20="CEM-PLAN",IFERROR(INDEX('Taxonomy'!$M$9:$M$108,MATCH(D20,'Taxonomy'!$C$9:$C$108,0)),"")&lt;&gt;"Amber"),E20="BLD-TIMBER",AND(U20="Building equipment",OR(E20="BLD-WATER",E20="BLD-WASTE",E20="BLD-LAND")),AND(U20="Building renovation",E20="BLD-LAND"))),"N/A","Pending"))))))</x:f>
        <x:v>N/A</x:v>
      </x:c>
      <x:c r="Q20" s="3" t="str">
        <x:f>IF(C20="","",IF(AND(R20="Valid",OR(P20="Pass",P20="N/A")),"Complete","Unresolved"))</x:f>
        <x:v>Complete</x:v>
      </x:c>
      <x:c r="R20" s="9" t="str">
        <x:f>IF(C20="","",IF(OR(COUNTIF($C$9:$C$2008,C20)&lt;&gt;1,COUNTIFS($D$9:$D$2008,D20,$E$9:$E$2008,E20)&lt;&gt;1),"Duplicate test",IF(COUNTIF('Taxonomy'!$C$9:$C$108,D20)&lt;&gt;1,"Assessment key",IF(OR(COUNTIF('Taxonomy Rules'!$C$42:$C$68,E20)&lt;&gt;1,F20&lt;&gt;IFERROR(INDEX('Taxonomy Rules'!$D$42:$D$68,MATCH(E20,'Taxonomy Rules'!$C$42:$C$68,0)),""),NOT(OR(IFERROR(INDEX('Taxonomy Rules'!$G$42:$G$68,MATCH(E20,'Taxonomy Rules'!$C$42:$C$68,0)),"")="All supported routes",IFERROR(INDEX('Taxonomy Rules'!$G$42:$G$68,MATCH(E20,'Taxonomy Rules'!$C$42:$C$68,0)),"")=U20,AND(IFERROR(INDEX('Taxonomy Rules'!$G$42:$G$68,MATCH(E20,'Taxonomy Rules'!$C$42:$C$68,0)),"")="Building routes",OR(U20="Building renovation",U20="New building",U20="Building equipment"))))),"Unexpected test","Valid"))))</x:f>
        <x:v>Valid</x:v>
      </x:c>
      <x:c r="S20" s="9" t="str">
        <x:f>IF(C20="","",IFERROR(INDEX('Taxonomy Rules'!$E$42:$E$68,MATCH(E20,'Taxonomy Rules'!$C$42:$C$68,0)),""))</x:f>
        <x:v>If CCS used: at least 70% total CO2 capture plus recognised capture, transport and permanent-storage practice.</x:v>
      </x:c>
      <x:c r="T20" s="9" t="str">
        <x:f>IF(C20="","",IFERROR(INDEX('Taxonomy Rules'!$F$42:$F$68,MATCH(E20,'Taxonomy Rules'!$C$42:$C$68,0)),""))</x:f>
        <x:v>S10 pp49–50</x:v>
      </x:c>
      <x:c r="U20" s="9" t="str">
        <x:f>IF(C20="","",IFERROR(INDEX('Taxonomy'!$G$9:$G$108,MATCH(D20,'Taxonomy'!$C$9:$C$108,0)),""))</x:f>
        <x:v>Cement</x:v>
      </x:c>
    </x:row>
    <x:row r="21" ht="44" customHeight="1">
      <x:c r="A21" s="1"/>
      <x:c r="B21" s="1"/>
      <x:c r="C21" s="8" t="str">
        <x:v>TST-F001-CEM-PLAN</x:v>
      </x:c>
      <x:c r="D21" s="8" t="str">
        <x:v>TAX-F001</x:v>
      </x:c>
      <x:c r="E21" s="8" t="str">
        <x:v>CEM-PLAN</x:v>
      </x:c>
      <x:c r="F21" s="8" t="str">
        <x:v>Technical</x:v>
      </x:c>
      <x:c r="G21" s="8" t="str">
        <x:v>N/A</x:v>
      </x:c>
      <x:c r="H21" s="8" t="str">
        <x:v>N/A</x:v>
      </x:c>
      <x:c r="I21" s="8" t="str">
        <x:v>SYN-TEST-F001-CEM-PLAN</x:v>
      </x:c>
      <x:c r="J21" s="8" t="str">
        <x:v>Not used / Green route; independent review confirms conditional criterion not triggered</x:v>
      </x:c>
      <x:c r="K21" s="8" t="str">
        <x:v>Taxonomy analyst 1</x:v>
      </x:c>
      <x:c r="L21" s="8" t="str">
        <x:v>Taxonomy reviewer 1</x:v>
      </x:c>
      <x:c r="M21" s="10" t="n">
        <x:v>46266</x:v>
      </x:c>
      <x:c r="N21" s="10" t="n">
        <x:v>46631</x:v>
      </x:c>
      <x:c r="O21" s="8"/>
      <x:c r="P21" s="9" t="str">
        <x:f>IF(C21="","",IF(AND(G21="Applicable",H21="Fail"),"Fail",IF(R21&lt;&gt;"Valid","Pending",IF(OR(I21="",K21="",L21="",K21=L21,NOT(ISNUMBER(M21)),NOT(ISNUMBER(N21)),M21&gt;Settings!$F$8,N21&lt;Settings!$F$8,N21&lt;M21),"Pending",IF(AND(G21="Applicable",H21="Pass"),"Pass",IF(AND(G21="N/A",H21="N/A",J21&lt;&gt;"",OR(E21="CEM-FUELS",E21="CEM-CCS",AND(E21="CEM-PLAN",IFERROR(INDEX('Taxonomy'!$M$9:$M$108,MATCH(D21,'Taxonomy'!$C$9:$C$108,0)),"")&lt;&gt;"Amber"),E21="BLD-TIMBER",AND(U21="Building equipment",OR(E21="BLD-WATER",E21="BLD-WASTE",E21="BLD-LAND")),AND(U21="Building renovation",E21="BLD-LAND"))),"N/A","Pending"))))))</x:f>
        <x:v>N/A</x:v>
      </x:c>
      <x:c r="Q21" s="3" t="str">
        <x:f>IF(C21="","",IF(AND(R21="Valid",OR(P21="Pass",P21="N/A")),"Complete","Unresolved"))</x:f>
        <x:v>Complete</x:v>
      </x:c>
      <x:c r="R21" s="9" t="str">
        <x:f>IF(C21="","",IF(OR(COUNTIF($C$9:$C$2008,C21)&lt;&gt;1,COUNTIFS($D$9:$D$2008,D21,$E$9:$E$2008,E21)&lt;&gt;1),"Duplicate test",IF(COUNTIF('Taxonomy'!$C$9:$C$108,D21)&lt;&gt;1,"Assessment key",IF(OR(COUNTIF('Taxonomy Rules'!$C$42:$C$68,E21)&lt;&gt;1,F21&lt;&gt;IFERROR(INDEX('Taxonomy Rules'!$D$42:$D$68,MATCH(E21,'Taxonomy Rules'!$C$42:$C$68,0)),""),NOT(OR(IFERROR(INDEX('Taxonomy Rules'!$G$42:$G$68,MATCH(E21,'Taxonomy Rules'!$C$42:$C$68,0)),"")="All supported routes",IFERROR(INDEX('Taxonomy Rules'!$G$42:$G$68,MATCH(E21,'Taxonomy Rules'!$C$42:$C$68,0)),"")=U21,AND(IFERROR(INDEX('Taxonomy Rules'!$G$42:$G$68,MATCH(E21,'Taxonomy Rules'!$C$42:$C$68,0)),"")="Building routes",OR(U21="Building renovation",U21="New building",U21="Building equipment"))))),"Unexpected test","Valid"))))</x:f>
        <x:v>Valid</x:v>
      </x:c>
      <x:c r="S21" s="9" t="str">
        <x:f>IF(C21="","",IFERROR(INDEX('Taxonomy Rules'!$E$42:$E$68,MATCH(E21,'Taxonomy Rules'!$C$42:$C$68,0)),""))</x:f>
        <x:v>For Amber: Paris-aligned net-zero plan and listed decarbonisation measure implemented before 2040.</x:v>
      </x:c>
      <x:c r="T21" s="9" t="str">
        <x:f>IF(C21="","",IFERROR(INDEX('Taxonomy Rules'!$F$42:$F$68,MATCH(E21,'Taxonomy Rules'!$C$42:$C$68,0)),""))</x:f>
        <x:v>S10 pp50–51</x:v>
      </x:c>
      <x:c r="U21" s="9" t="str">
        <x:f>IF(C21="","",IFERROR(INDEX('Taxonomy'!$G$9:$G$108,MATCH(D21,'Taxonomy'!$C$9:$C$108,0)),""))</x:f>
        <x:v>Cement</x:v>
      </x:c>
    </x:row>
    <x:row r="22" ht="44" customHeight="1">
      <x:c r="A22" s="1"/>
      <x:c r="B22" s="1"/>
      <x:c r="C22" s="8" t="str">
        <x:v>TST-F002-SC-EVIDENCE</x:v>
      </x:c>
      <x:c r="D22" s="8" t="str">
        <x:v>TAX-F002</x:v>
      </x:c>
      <x:c r="E22" s="8" t="str">
        <x:v>SC-EVIDENCE</x:v>
      </x:c>
      <x:c r="F22" s="8" t="str">
        <x:v>Technical</x:v>
      </x:c>
      <x:c r="G22" s="8" t="str">
        <x:v>Applicable</x:v>
      </x:c>
      <x:c r="H22" s="8" t="str">
        <x:v>Pass</x:v>
      </x:c>
      <x:c r="I22" s="8" t="str">
        <x:v>SYN-TEST-F002-SC-EVIDENCE</x:v>
      </x:c>
      <x:c r="J22" s="8" t="str"/>
      <x:c r="K22" s="8" t="str">
        <x:v>Taxonomy analyst 2</x:v>
      </x:c>
      <x:c r="L22" s="8" t="str">
        <x:v>Taxonomy reviewer 2</x:v>
      </x:c>
      <x:c r="M22" s="10" t="n">
        <x:v>46266</x:v>
      </x:c>
      <x:c r="N22" s="10" t="n">
        <x:v>46631</x:v>
      </x:c>
      <x:c r="O22" s="8"/>
      <x:c r="P22" s="9" t="str">
        <x:f>IF(C22="","",IF(AND(G22="Applicable",H22="Fail"),"Fail",IF(R22&lt;&gt;"Valid","Pending",IF(OR(I22="",K22="",L22="",K22=L22,NOT(ISNUMBER(M22)),NOT(ISNUMBER(N22)),M22&gt;Settings!$F$8,N22&lt;Settings!$F$8,N22&lt;M22),"Pending",IF(AND(G22="Applicable",H22="Pass"),"Pass",IF(AND(G22="N/A",H22="N/A",J22&lt;&gt;"",OR(E22="CEM-FUELS",E22="CEM-CCS",AND(E22="CEM-PLAN",IFERROR(INDEX('Taxonomy'!$M$9:$M$108,MATCH(D22,'Taxonomy'!$C$9:$C$108,0)),"")&lt;&gt;"Amber"),E22="BLD-TIMBER",AND(U22="Building equipment",OR(E22="BLD-WATER",E22="BLD-WASTE",E22="BLD-LAND")),AND(U22="Building renovation",E22="BLD-LAND"))),"N/A","Pending"))))))</x:f>
        <x:v>Pass</x:v>
      </x:c>
      <x:c r="Q22" s="3" t="str">
        <x:f>IF(C22="","",IF(AND(R22="Valid",OR(P22="Pass",P22="N/A")),"Complete","Unresolved"))</x:f>
        <x:v>Complete</x:v>
      </x:c>
      <x:c r="R22" s="9" t="str">
        <x:f>IF(C22="","",IF(OR(COUNTIF($C$9:$C$2008,C22)&lt;&gt;1,COUNTIFS($D$9:$D$2008,D22,$E$9:$E$2008,E22)&lt;&gt;1),"Duplicate test",IF(COUNTIF('Taxonomy'!$C$9:$C$108,D22)&lt;&gt;1,"Assessment key",IF(OR(COUNTIF('Taxonomy Rules'!$C$42:$C$68,E22)&lt;&gt;1,F22&lt;&gt;IFERROR(INDEX('Taxonomy Rules'!$D$42:$D$68,MATCH(E22,'Taxonomy Rules'!$C$42:$C$68,0)),""),NOT(OR(IFERROR(INDEX('Taxonomy Rules'!$G$42:$G$68,MATCH(E22,'Taxonomy Rules'!$C$42:$C$68,0)),"")="All supported routes",IFERROR(INDEX('Taxonomy Rules'!$G$42:$G$68,MATCH(E22,'Taxonomy Rules'!$C$42:$C$68,0)),"")=U22,AND(IFERROR(INDEX('Taxonomy Rules'!$G$42:$G$68,MATCH(E22,'Taxonomy Rules'!$C$42:$C$68,0)),"")="Building routes",OR(U22="Building renovation",U22="New building",U22="Building equipment"))))),"Unexpected test","Valid"))))</x:f>
        <x:v>Valid</x:v>
      </x:c>
      <x:c r="S22" s="9" t="str">
        <x:f>IF(C22="","",IFERROR(INDEX('Taxonomy Rules'!$E$42:$E$68,MATCH(E22,'Taxonomy Rules'!$C$42:$C$68,0)),""))</x:f>
        <x:v>Boundary and chosen route are evidenced; observations match the activity card.</x:v>
      </x:c>
      <x:c r="T22" s="9" t="str">
        <x:f>IF(C22="","",IFERROR(INDEX('Taxonomy Rules'!$F$42:$F$68,MATCH(E22,'Taxonomy Rules'!$C$42:$C$68,0)),""))</x:f>
        <x:v>S10 activity card</x:v>
      </x:c>
      <x:c r="U22" s="9" t="str">
        <x:f>IF(C22="","",IFERROR(INDEX('Taxonomy'!$G$9:$G$108,MATCH(D22,'Taxonomy'!$C$9:$C$108,0)),""))</x:f>
        <x:v>Cement</x:v>
      </x:c>
    </x:row>
    <x:row r="23" ht="44" customHeight="1">
      <x:c r="A23" s="1"/>
      <x:c r="B23" s="1"/>
      <x:c r="C23" s="8" t="str">
        <x:v>TST-F002-DNSH-MIT</x:v>
      </x:c>
      <x:c r="D23" s="8" t="str">
        <x:v>TAX-F002</x:v>
      </x:c>
      <x:c r="E23" s="8" t="str">
        <x:v>DNSH-MIT</x:v>
      </x:c>
      <x:c r="F23" s="8" t="str">
        <x:v>DNSH</x:v>
      </x:c>
      <x:c r="G23" s="8" t="str">
        <x:v>Applicable</x:v>
      </x:c>
      <x:c r="H23" s="8" t="str">
        <x:v>Pass</x:v>
      </x:c>
      <x:c r="I23" s="8" t="str">
        <x:v>SYN-TEST-F002-DNSH-MIT</x:v>
      </x:c>
      <x:c r="J23" s="8" t="str"/>
      <x:c r="K23" s="8" t="str">
        <x:v>Taxonomy analyst 2</x:v>
      </x:c>
      <x:c r="L23" s="8" t="str">
        <x:v>Taxonomy reviewer 2</x:v>
      </x:c>
      <x:c r="M23" s="10" t="n">
        <x:v>46266</x:v>
      </x:c>
      <x:c r="N23" s="10" t="n">
        <x:v>46631</x:v>
      </x:c>
      <x:c r="O23" s="8"/>
      <x:c r="P23" s="9" t="str">
        <x:f>IF(C23="","",IF(AND(G23="Applicable",H23="Fail"),"Fail",IF(R23&lt;&gt;"Valid","Pending",IF(OR(I23="",K23="",L23="",K23=L23,NOT(ISNUMBER(M23)),NOT(ISNUMBER(N23)),M23&gt;Settings!$F$8,N23&lt;Settings!$F$8,N23&lt;M23),"Pending",IF(AND(G23="Applicable",H23="Pass"),"Pass",IF(AND(G23="N/A",H23="N/A",J23&lt;&gt;"",OR(E23="CEM-FUELS",E23="CEM-CCS",AND(E23="CEM-PLAN",IFERROR(INDEX('Taxonomy'!$M$9:$M$108,MATCH(D23,'Taxonomy'!$C$9:$C$108,0)),"")&lt;&gt;"Amber"),E23="BLD-TIMBER",AND(U23="Building equipment",OR(E23="BLD-WATER",E23="BLD-WASTE",E23="BLD-LAND")),AND(U23="Building renovation",E23="BLD-LAND"))),"N/A","Pending"))))))</x:f>
        <x:v>Pass</x:v>
      </x:c>
      <x:c r="Q23" s="3" t="str">
        <x:f>IF(C23="","",IF(AND(R23="Valid",OR(P23="Pass",P23="N/A")),"Complete","Unresolved"))</x:f>
        <x:v>Complete</x:v>
      </x:c>
      <x:c r="R23" s="9" t="str">
        <x:f>IF(C23="","",IF(OR(COUNTIF($C$9:$C$2008,C23)&lt;&gt;1,COUNTIFS($D$9:$D$2008,D23,$E$9:$E$2008,E23)&lt;&gt;1),"Duplicate test",IF(COUNTIF('Taxonomy'!$C$9:$C$108,D23)&lt;&gt;1,"Assessment key",IF(OR(COUNTIF('Taxonomy Rules'!$C$42:$C$68,E23)&lt;&gt;1,F23&lt;&gt;IFERROR(INDEX('Taxonomy Rules'!$D$42:$D$68,MATCH(E23,'Taxonomy Rules'!$C$42:$C$68,0)),""),NOT(OR(IFERROR(INDEX('Taxonomy Rules'!$G$42:$G$68,MATCH(E23,'Taxonomy Rules'!$C$42:$C$68,0)),"")="All supported routes",IFERROR(INDEX('Taxonomy Rules'!$G$42:$G$68,MATCH(E23,'Taxonomy Rules'!$C$42:$C$68,0)),"")=U23,AND(IFERROR(INDEX('Taxonomy Rules'!$G$42:$G$68,MATCH(E23,'Taxonomy Rules'!$C$42:$C$68,0)),"")="Building routes",OR(U23="Building renovation",U23="New building",U23="Building equipment"))))),"Unexpected test","Valid"))))</x:f>
        <x:v>Valid</x:v>
      </x:c>
      <x:c r="S23" s="9" t="str">
        <x:f>IF(C23="","",IFERROR(INDEX('Taxonomy Rules'!$E$42:$E$68,MATCH(E23,'Taxonomy Rules'!$C$42:$C$68,0)),""))</x:f>
        <x:v>No avoidable fossil lock-in; material lifecycle effects assessed.</x:v>
      </x:c>
      <x:c r="T23" s="9" t="str">
        <x:f>IF(C23="","",IFERROR(INDEX('Taxonomy Rules'!$F$42:$F$68,MATCH(E23,'Taxonomy Rules'!$C$42:$C$68,0)),""))</x:f>
        <x:v>S10 p30</x:v>
      </x:c>
      <x:c r="U23" s="9" t="str">
        <x:f>IF(C23="","",IFERROR(INDEX('Taxonomy'!$G$9:$G$108,MATCH(D23,'Taxonomy'!$C$9:$C$108,0)),""))</x:f>
        <x:v>Cement</x:v>
      </x:c>
    </x:row>
    <x:row r="24" ht="44" customHeight="1">
      <x:c r="A24" s="1"/>
      <x:c r="B24" s="1"/>
      <x:c r="C24" s="8" t="str">
        <x:v>TST-F002-DNSH-ADAPT</x:v>
      </x:c>
      <x:c r="D24" s="8" t="str">
        <x:v>TAX-F002</x:v>
      </x:c>
      <x:c r="E24" s="8" t="str">
        <x:v>DNSH-ADAPT</x:v>
      </x:c>
      <x:c r="F24" s="8" t="str">
        <x:v>DNSH</x:v>
      </x:c>
      <x:c r="G24" s="8" t="str">
        <x:v>Applicable</x:v>
      </x:c>
      <x:c r="H24" s="8" t="str">
        <x:v>Pass</x:v>
      </x:c>
      <x:c r="I24" s="8" t="str">
        <x:v>SYN-TEST-F002-DNSH-ADAPT</x:v>
      </x:c>
      <x:c r="J24" s="8" t="str"/>
      <x:c r="K24" s="8" t="str">
        <x:v>Taxonomy analyst 2</x:v>
      </x:c>
      <x:c r="L24" s="8" t="str">
        <x:v>Taxonomy reviewer 2</x:v>
      </x:c>
      <x:c r="M24" s="10" t="n">
        <x:v>46266</x:v>
      </x:c>
      <x:c r="N24" s="10" t="n">
        <x:v>46631</x:v>
      </x:c>
      <x:c r="O24" s="8"/>
      <x:c r="P24" s="9" t="str">
        <x:f>IF(C24="","",IF(AND(G24="Applicable",H24="Fail"),"Fail",IF(R24&lt;&gt;"Valid","Pending",IF(OR(I24="",K24="",L24="",K24=L24,NOT(ISNUMBER(M24)),NOT(ISNUMBER(N24)),M24&gt;Settings!$F$8,N24&lt;Settings!$F$8,N24&lt;M24),"Pending",IF(AND(G24="Applicable",H24="Pass"),"Pass",IF(AND(G24="N/A",H24="N/A",J24&lt;&gt;"",OR(E24="CEM-FUELS",E24="CEM-CCS",AND(E24="CEM-PLAN",IFERROR(INDEX('Taxonomy'!$M$9:$M$108,MATCH(D24,'Taxonomy'!$C$9:$C$108,0)),"")&lt;&gt;"Amber"),E24="BLD-TIMBER",AND(U24="Building equipment",OR(E24="BLD-WATER",E24="BLD-WASTE",E24="BLD-LAND")),AND(U24="Building renovation",E24="BLD-LAND"))),"N/A","Pending"))))))</x:f>
        <x:v>Pass</x:v>
      </x:c>
      <x:c r="Q24" s="3" t="str">
        <x:f>IF(C24="","",IF(AND(R24="Valid",OR(P24="Pass",P24="N/A")),"Complete","Unresolved"))</x:f>
        <x:v>Complete</x:v>
      </x:c>
      <x:c r="R24" s="9" t="str">
        <x:f>IF(C24="","",IF(OR(COUNTIF($C$9:$C$2008,C24)&lt;&gt;1,COUNTIFS($D$9:$D$2008,D24,$E$9:$E$2008,E24)&lt;&gt;1),"Duplicate test",IF(COUNTIF('Taxonomy'!$C$9:$C$108,D24)&lt;&gt;1,"Assessment key",IF(OR(COUNTIF('Taxonomy Rules'!$C$42:$C$68,E24)&lt;&gt;1,F24&lt;&gt;IFERROR(INDEX('Taxonomy Rules'!$D$42:$D$68,MATCH(E24,'Taxonomy Rules'!$C$42:$C$68,0)),""),NOT(OR(IFERROR(INDEX('Taxonomy Rules'!$G$42:$G$68,MATCH(E24,'Taxonomy Rules'!$C$42:$C$68,0)),"")="All supported routes",IFERROR(INDEX('Taxonomy Rules'!$G$42:$G$68,MATCH(E24,'Taxonomy Rules'!$C$42:$C$68,0)),"")=U24,AND(IFERROR(INDEX('Taxonomy Rules'!$G$42:$G$68,MATCH(E24,'Taxonomy Rules'!$C$42:$C$68,0)),"")="Building routes",OR(U24="Building renovation",U24="New building",U24="Building equipment"))))),"Unexpected test","Valid"))))</x:f>
        <x:v>Valid</x:v>
      </x:c>
      <x:c r="S24" s="9" t="str">
        <x:f>IF(C24="","",IFERROR(INDEX('Taxonomy Rules'!$E$42:$E$68,MATCH(E24,'Taxonomy Rules'!$C$42:$C$68,0)),""))</x:f>
        <x:v>Lifetime hazard screen, material risk assessment and implemented adaptation; no harm to others.</x:v>
      </x:c>
      <x:c r="T24" s="9" t="str">
        <x:f>IF(C24="","",IFERROR(INDEX('Taxonomy Rules'!$F$42:$F$68,MATCH(E24,'Taxonomy Rules'!$C$42:$C$68,0)),""))</x:f>
        <x:v>S10 pp30–31</x:v>
      </x:c>
      <x:c r="U24" s="9" t="str">
        <x:f>IF(C24="","",IFERROR(INDEX('Taxonomy'!$G$9:$G$108,MATCH(D24,'Taxonomy'!$C$9:$C$108,0)),""))</x:f>
        <x:v>Cement</x:v>
      </x:c>
    </x:row>
    <x:row r="25" ht="44" customHeight="1">
      <x:c r="A25" s="1"/>
      <x:c r="B25" s="1"/>
      <x:c r="C25" s="8" t="str">
        <x:v>TST-F002-DNSH-WATER</x:v>
      </x:c>
      <x:c r="D25" s="8" t="str">
        <x:v>TAX-F002</x:v>
      </x:c>
      <x:c r="E25" s="8" t="str">
        <x:v>DNSH-WATER</x:v>
      </x:c>
      <x:c r="F25" s="8" t="str">
        <x:v>DNSH</x:v>
      </x:c>
      <x:c r="G25" s="8" t="str">
        <x:v>Applicable</x:v>
      </x:c>
      <x:c r="H25" s="8" t="str">
        <x:v>Pass</x:v>
      </x:c>
      <x:c r="I25" s="8" t="str">
        <x:v>SYN-TEST-F002-DNSH-WATER</x:v>
      </x:c>
      <x:c r="J25" s="8" t="str"/>
      <x:c r="K25" s="8" t="str">
        <x:v>Taxonomy analyst 2</x:v>
      </x:c>
      <x:c r="L25" s="8" t="str">
        <x:v>Taxonomy reviewer 2</x:v>
      </x:c>
      <x:c r="M25" s="10" t="n">
        <x:v>46266</x:v>
      </x:c>
      <x:c r="N25" s="10" t="n">
        <x:v>46631</x:v>
      </x:c>
      <x:c r="O25" s="8"/>
      <x:c r="P25" s="9" t="str">
        <x:f>IF(C25="","",IF(AND(G25="Applicable",H25="Fail"),"Fail",IF(R25&lt;&gt;"Valid","Pending",IF(OR(I25="",K25="",L25="",K25=L25,NOT(ISNUMBER(M25)),NOT(ISNUMBER(N25)),M25&gt;Settings!$F$8,N25&lt;Settings!$F$8,N25&lt;M25),"Pending",IF(AND(G25="Applicable",H25="Pass"),"Pass",IF(AND(G25="N/A",H25="N/A",J25&lt;&gt;"",OR(E25="CEM-FUELS",E25="CEM-CCS",AND(E25="CEM-PLAN",IFERROR(INDEX('Taxonomy'!$M$9:$M$108,MATCH(D25,'Taxonomy'!$C$9:$C$108,0)),"")&lt;&gt;"Amber"),E25="BLD-TIMBER",AND(U25="Building equipment",OR(E25="BLD-WATER",E25="BLD-WASTE",E25="BLD-LAND")),AND(U25="Building renovation",E25="BLD-LAND"))),"N/A","Pending"))))))</x:f>
        <x:v>Pass</x:v>
      </x:c>
      <x:c r="Q25" s="3" t="str">
        <x:f>IF(C25="","",IF(AND(R25="Valid",OR(P25="Pass",P25="N/A")),"Complete","Unresolved"))</x:f>
        <x:v>Complete</x:v>
      </x:c>
      <x:c r="R25" s="9" t="str">
        <x:f>IF(C25="","",IF(OR(COUNTIF($C$9:$C$2008,C25)&lt;&gt;1,COUNTIFS($D$9:$D$2008,D25,$E$9:$E$2008,E25)&lt;&gt;1),"Duplicate test",IF(COUNTIF('Taxonomy'!$C$9:$C$108,D25)&lt;&gt;1,"Assessment key",IF(OR(COUNTIF('Taxonomy Rules'!$C$42:$C$68,E25)&lt;&gt;1,F25&lt;&gt;IFERROR(INDEX('Taxonomy Rules'!$D$42:$D$68,MATCH(E25,'Taxonomy Rules'!$C$42:$C$68,0)),""),NOT(OR(IFERROR(INDEX('Taxonomy Rules'!$G$42:$G$68,MATCH(E25,'Taxonomy Rules'!$C$42:$C$68,0)),"")="All supported routes",IFERROR(INDEX('Taxonomy Rules'!$G$42:$G$68,MATCH(E25,'Taxonomy Rules'!$C$42:$C$68,0)),"")=U25,AND(IFERROR(INDEX('Taxonomy Rules'!$G$42:$G$68,MATCH(E25,'Taxonomy Rules'!$C$42:$C$68,0)),"")="Building routes",OR(U25="Building renovation",U25="New building",U25="Building equipment"))))),"Unexpected test","Valid"))))</x:f>
        <x:v>Valid</x:v>
      </x:c>
      <x:c r="S25" s="9" t="str">
        <x:f>IF(C25="","",IFERROR(INDEX('Taxonomy Rules'!$E$42:$E$68,MATCH(E25,'Taxonomy Rules'!$C$42:$C$68,0)),""))</x:f>
        <x:v>Water permits, abstraction/discharge limits, required assessments and management measures.</x:v>
      </x:c>
      <x:c r="T25" s="9" t="str">
        <x:f>IF(C25="","",IFERROR(INDEX('Taxonomy Rules'!$F$42:$F$68,MATCH(E25,'Taxonomy Rules'!$C$42:$C$68,0)),""))</x:f>
        <x:v>S10 p31</x:v>
      </x:c>
      <x:c r="U25" s="9" t="str">
        <x:f>IF(C25="","",IFERROR(INDEX('Taxonomy'!$G$9:$G$108,MATCH(D25,'Taxonomy'!$C$9:$C$108,0)),""))</x:f>
        <x:v>Cement</x:v>
      </x:c>
    </x:row>
    <x:row r="26" ht="44" customHeight="1">
      <x:c r="A26" s="1"/>
      <x:c r="B26" s="1"/>
      <x:c r="C26" s="8" t="str">
        <x:v>TST-F002-DNSH-POLL</x:v>
      </x:c>
      <x:c r="D26" s="8" t="str">
        <x:v>TAX-F002</x:v>
      </x:c>
      <x:c r="E26" s="8" t="str">
        <x:v>DNSH-POLL</x:v>
      </x:c>
      <x:c r="F26" s="8" t="str">
        <x:v>DNSH</x:v>
      </x:c>
      <x:c r="G26" s="8" t="str">
        <x:v>Applicable</x:v>
      </x:c>
      <x:c r="H26" s="8" t="str">
        <x:v>Pass</x:v>
      </x:c>
      <x:c r="I26" s="8" t="str">
        <x:v>SYN-TEST-F002-DNSH-POLL</x:v>
      </x:c>
      <x:c r="J26" s="8" t="str"/>
      <x:c r="K26" s="8" t="str">
        <x:v>Taxonomy analyst 2</x:v>
      </x:c>
      <x:c r="L26" s="8" t="str">
        <x:v>Taxonomy reviewer 2</x:v>
      </x:c>
      <x:c r="M26" s="10" t="n">
        <x:v>46266</x:v>
      </x:c>
      <x:c r="N26" s="10" t="n">
        <x:v>46631</x:v>
      </x:c>
      <x:c r="O26" s="8"/>
      <x:c r="P26" s="9" t="str">
        <x:f>IF(C26="","",IF(AND(G26="Applicable",H26="Fail"),"Fail",IF(R26&lt;&gt;"Valid","Pending",IF(OR(I26="",K26="",L26="",K26=L26,NOT(ISNUMBER(M26)),NOT(ISNUMBER(N26)),M26&gt;Settings!$F$8,N26&lt;Settings!$F$8,N26&lt;M26),"Pending",IF(AND(G26="Applicable",H26="Pass"),"Pass",IF(AND(G26="N/A",H26="N/A",J26&lt;&gt;"",OR(E26="CEM-FUELS",E26="CEM-CCS",AND(E26="CEM-PLAN",IFERROR(INDEX('Taxonomy'!$M$9:$M$108,MATCH(D26,'Taxonomy'!$C$9:$C$108,0)),"")&lt;&gt;"Amber"),E26="BLD-TIMBER",AND(U26="Building equipment",OR(E26="BLD-WATER",E26="BLD-WASTE",E26="BLD-LAND")),AND(U26="Building renovation",E26="BLD-LAND"))),"N/A","Pending"))))))</x:f>
        <x:v>Pass</x:v>
      </x:c>
      <x:c r="Q26" s="3" t="str">
        <x:f>IF(C26="","",IF(AND(R26="Valid",OR(P26="Pass",P26="N/A")),"Complete","Unresolved"))</x:f>
        <x:v>Complete</x:v>
      </x:c>
      <x:c r="R26" s="9" t="str">
        <x:f>IF(C26="","",IF(OR(COUNTIF($C$9:$C$2008,C26)&lt;&gt;1,COUNTIFS($D$9:$D$2008,D26,$E$9:$E$2008,E26)&lt;&gt;1),"Duplicate test",IF(COUNTIF('Taxonomy'!$C$9:$C$108,D26)&lt;&gt;1,"Assessment key",IF(OR(COUNTIF('Taxonomy Rules'!$C$42:$C$68,E26)&lt;&gt;1,F26&lt;&gt;IFERROR(INDEX('Taxonomy Rules'!$D$42:$D$68,MATCH(E26,'Taxonomy Rules'!$C$42:$C$68,0)),""),NOT(OR(IFERROR(INDEX('Taxonomy Rules'!$G$42:$G$68,MATCH(E26,'Taxonomy Rules'!$C$42:$C$68,0)),"")="All supported routes",IFERROR(INDEX('Taxonomy Rules'!$G$42:$G$68,MATCH(E26,'Taxonomy Rules'!$C$42:$C$68,0)),"")=U26,AND(IFERROR(INDEX('Taxonomy Rules'!$G$42:$G$68,MATCH(E26,'Taxonomy Rules'!$C$42:$C$68,0)),"")="Building routes",OR(U26="Building renovation",U26="New building",U26="Building equipment"))))),"Unexpected test","Valid"))))</x:f>
        <x:v>Valid</x:v>
      </x:c>
      <x:c r="S26" s="9" t="str">
        <x:f>IF(C26="","",IFERROR(INDEX('Taxonomy Rules'!$E$42:$E$68,MATCH(E26,'Taxonomy Rules'!$C$42:$C$68,0)),""))</x:f>
        <x:v>National pollution and prohibited-substance requirements; activity-specific limits.</x:v>
      </x:c>
      <x:c r="T26" s="9" t="str">
        <x:f>IF(C26="","",IFERROR(INDEX('Taxonomy Rules'!$F$42:$F$68,MATCH(E26,'Taxonomy Rules'!$C$42:$C$68,0)),""))</x:f>
        <x:v>S10 p31</x:v>
      </x:c>
      <x:c r="U26" s="9" t="str">
        <x:f>IF(C26="","",IFERROR(INDEX('Taxonomy'!$G$9:$G$108,MATCH(D26,'Taxonomy'!$C$9:$C$108,0)),""))</x:f>
        <x:v>Cement</x:v>
      </x:c>
    </x:row>
    <x:row r="27" ht="44" customHeight="1">
      <x:c r="A27" s="1"/>
      <x:c r="B27" s="1"/>
      <x:c r="C27" s="8" t="str">
        <x:v>TST-F002-DNSH-CIRC</x:v>
      </x:c>
      <x:c r="D27" s="8" t="str">
        <x:v>TAX-F002</x:v>
      </x:c>
      <x:c r="E27" s="8" t="str">
        <x:v>DNSH-CIRC</x:v>
      </x:c>
      <x:c r="F27" s="8" t="str">
        <x:v>DNSH</x:v>
      </x:c>
      <x:c r="G27" s="8" t="str">
        <x:v>Applicable</x:v>
      </x:c>
      <x:c r="H27" s="8" t="str">
        <x:v>Pass</x:v>
      </x:c>
      <x:c r="I27" s="8" t="str">
        <x:v>SYN-TEST-F002-DNSH-CIRC</x:v>
      </x:c>
      <x:c r="J27" s="8" t="str"/>
      <x:c r="K27" s="8" t="str">
        <x:v>Taxonomy analyst 2</x:v>
      </x:c>
      <x:c r="L27" s="8" t="str">
        <x:v>Taxonomy reviewer 2</x:v>
      </x:c>
      <x:c r="M27" s="10" t="n">
        <x:v>46266</x:v>
      </x:c>
      <x:c r="N27" s="10" t="n">
        <x:v>46631</x:v>
      </x:c>
      <x:c r="O27" s="8"/>
      <x:c r="P27" s="9" t="str">
        <x:f>IF(C27="","",IF(AND(G27="Applicable",H27="Fail"),"Fail",IF(R27&lt;&gt;"Valid","Pending",IF(OR(I27="",K27="",L27="",K27=L27,NOT(ISNUMBER(M27)),NOT(ISNUMBER(N27)),M27&gt;Settings!$F$8,N27&lt;Settings!$F$8,N27&lt;M27),"Pending",IF(AND(G27="Applicable",H27="Pass"),"Pass",IF(AND(G27="N/A",H27="N/A",J27&lt;&gt;"",OR(E27="CEM-FUELS",E27="CEM-CCS",AND(E27="CEM-PLAN",IFERROR(INDEX('Taxonomy'!$M$9:$M$108,MATCH(D27,'Taxonomy'!$C$9:$C$108,0)),"")&lt;&gt;"Amber"),E27="BLD-TIMBER",AND(U27="Building equipment",OR(E27="BLD-WATER",E27="BLD-WASTE",E27="BLD-LAND")),AND(U27="Building renovation",E27="BLD-LAND"))),"N/A","Pending"))))))</x:f>
        <x:v>Pass</x:v>
      </x:c>
      <x:c r="Q27" s="3" t="str">
        <x:f>IF(C27="","",IF(AND(R27="Valid",OR(P27="Pass",P27="N/A")),"Complete","Unresolved"))</x:f>
        <x:v>Complete</x:v>
      </x:c>
      <x:c r="R27" s="9" t="str">
        <x:f>IF(C27="","",IF(OR(COUNTIF($C$9:$C$2008,C27)&lt;&gt;1,COUNTIFS($D$9:$D$2008,D27,$E$9:$E$2008,E27)&lt;&gt;1),"Duplicate test",IF(COUNTIF('Taxonomy'!$C$9:$C$108,D27)&lt;&gt;1,"Assessment key",IF(OR(COUNTIF('Taxonomy Rules'!$C$42:$C$68,E27)&lt;&gt;1,F27&lt;&gt;IFERROR(INDEX('Taxonomy Rules'!$D$42:$D$68,MATCH(E27,'Taxonomy Rules'!$C$42:$C$68,0)),""),NOT(OR(IFERROR(INDEX('Taxonomy Rules'!$G$42:$G$68,MATCH(E27,'Taxonomy Rules'!$C$42:$C$68,0)),"")="All supported routes",IFERROR(INDEX('Taxonomy Rules'!$G$42:$G$68,MATCH(E27,'Taxonomy Rules'!$C$42:$C$68,0)),"")=U27,AND(IFERROR(INDEX('Taxonomy Rules'!$G$42:$G$68,MATCH(E27,'Taxonomy Rules'!$C$42:$C$68,0)),"")="Building routes",OR(U27="Building renovation",U27="New building",U27="Building equipment"))))),"Unexpected test","Valid"))))</x:f>
        <x:v>Valid</x:v>
      </x:c>
      <x:c r="S27" s="9" t="str">
        <x:f>IF(C27="","",IFERROR(INDEX('Taxonomy Rules'!$E$42:$E$68,MATCH(E27,'Taxonomy Rules'!$C$42:$C$68,0)),""))</x:f>
        <x:v>Waste hierarchy, resource efficiency, hazardous-waste traceability and end-of-life arrangements.</x:v>
      </x:c>
      <x:c r="T27" s="9" t="str">
        <x:f>IF(C27="","",IFERROR(INDEX('Taxonomy Rules'!$F$42:$F$68,MATCH(E27,'Taxonomy Rules'!$C$42:$C$68,0)),""))</x:f>
        <x:v>S10 p32</x:v>
      </x:c>
      <x:c r="U27" s="9" t="str">
        <x:f>IF(C27="","",IFERROR(INDEX('Taxonomy'!$G$9:$G$108,MATCH(D27,'Taxonomy'!$C$9:$C$108,0)),""))</x:f>
        <x:v>Cement</x:v>
      </x:c>
    </x:row>
    <x:row r="28" ht="44" customHeight="1">
      <x:c r="A28" s="1"/>
      <x:c r="B28" s="1"/>
      <x:c r="C28" s="8" t="str">
        <x:v>TST-F002-DNSH-BIO</x:v>
      </x:c>
      <x:c r="D28" s="8" t="str">
        <x:v>TAX-F002</x:v>
      </x:c>
      <x:c r="E28" s="8" t="str">
        <x:v>DNSH-BIO</x:v>
      </x:c>
      <x:c r="F28" s="8" t="str">
        <x:v>DNSH</x:v>
      </x:c>
      <x:c r="G28" s="8" t="str">
        <x:v>Applicable</x:v>
      </x:c>
      <x:c r="H28" s="8" t="str">
        <x:v>Pass</x:v>
      </x:c>
      <x:c r="I28" s="8" t="str">
        <x:v>SYN-TEST-F002-DNSH-BIO</x:v>
      </x:c>
      <x:c r="J28" s="8" t="str"/>
      <x:c r="K28" s="8" t="str">
        <x:v>Taxonomy analyst 2</x:v>
      </x:c>
      <x:c r="L28" s="8" t="str">
        <x:v>Taxonomy reviewer 2</x:v>
      </x:c>
      <x:c r="M28" s="10" t="n">
        <x:v>46266</x:v>
      </x:c>
      <x:c r="N28" s="10" t="n">
        <x:v>46631</x:v>
      </x:c>
      <x:c r="O28" s="8"/>
      <x:c r="P28" s="9" t="str">
        <x:f>IF(C28="","",IF(AND(G28="Applicable",H28="Fail"),"Fail",IF(R28&lt;&gt;"Valid","Pending",IF(OR(I28="",K28="",L28="",K28=L28,NOT(ISNUMBER(M28)),NOT(ISNUMBER(N28)),M28&gt;Settings!$F$8,N28&lt;Settings!$F$8,N28&lt;M28),"Pending",IF(AND(G28="Applicable",H28="Pass"),"Pass",IF(AND(G28="N/A",H28="N/A",J28&lt;&gt;"",OR(E28="CEM-FUELS",E28="CEM-CCS",AND(E28="CEM-PLAN",IFERROR(INDEX('Taxonomy'!$M$9:$M$108,MATCH(D28,'Taxonomy'!$C$9:$C$108,0)),"")&lt;&gt;"Amber"),E28="BLD-TIMBER",AND(U28="Building equipment",OR(E28="BLD-WATER",E28="BLD-WASTE",E28="BLD-LAND")),AND(U28="Building renovation",E28="BLD-LAND"))),"N/A","Pending"))))))</x:f>
        <x:v>Pass</x:v>
      </x:c>
      <x:c r="Q28" s="3" t="str">
        <x:f>IF(C28="","",IF(AND(R28="Valid",OR(P28="Pass",P28="N/A")),"Complete","Unresolved"))</x:f>
        <x:v>Complete</x:v>
      </x:c>
      <x:c r="R28" s="9" t="str">
        <x:f>IF(C28="","",IF(OR(COUNTIF($C$9:$C$2008,C28)&lt;&gt;1,COUNTIFS($D$9:$D$2008,D28,$E$9:$E$2008,E28)&lt;&gt;1),"Duplicate test",IF(COUNTIF('Taxonomy'!$C$9:$C$108,D28)&lt;&gt;1,"Assessment key",IF(OR(COUNTIF('Taxonomy Rules'!$C$42:$C$68,E28)&lt;&gt;1,F28&lt;&gt;IFERROR(INDEX('Taxonomy Rules'!$D$42:$D$68,MATCH(E28,'Taxonomy Rules'!$C$42:$C$68,0)),""),NOT(OR(IFERROR(INDEX('Taxonomy Rules'!$G$42:$G$68,MATCH(E28,'Taxonomy Rules'!$C$42:$C$68,0)),"")="All supported routes",IFERROR(INDEX('Taxonomy Rules'!$G$42:$G$68,MATCH(E28,'Taxonomy Rules'!$C$42:$C$68,0)),"")=U28,AND(IFERROR(INDEX('Taxonomy Rules'!$G$42:$G$68,MATCH(E28,'Taxonomy Rules'!$C$42:$C$68,0)),"")="Building routes",OR(U28="Building renovation",U28="New building",U28="Building equipment"))))),"Unexpected test","Valid"))))</x:f>
        <x:v>Valid</x:v>
      </x:c>
      <x:c r="S28" s="9" t="str">
        <x:f>IF(C28="","",IFERROR(INDEX('Taxonomy Rules'!$E$42:$E$68,MATCH(E28,'Taxonomy Rules'!$C$42:$C$68,0)),""))</x:f>
        <x:v>Required EIA, habitat screening and implemented mitigation.</x:v>
      </x:c>
      <x:c r="T28" s="9" t="str">
        <x:f>IF(C28="","",IFERROR(INDEX('Taxonomy Rules'!$F$42:$F$68,MATCH(E28,'Taxonomy Rules'!$C$42:$C$68,0)),""))</x:f>
        <x:v>S10 p32</x:v>
      </x:c>
      <x:c r="U28" s="9" t="str">
        <x:f>IF(C28="","",IFERROR(INDEX('Taxonomy'!$G$9:$G$108,MATCH(D28,'Taxonomy'!$C$9:$C$108,0)),""))</x:f>
        <x:v>Cement</x:v>
      </x:c>
    </x:row>
    <x:row r="29" ht="44" customHeight="1">
      <x:c r="A29" s="1"/>
      <x:c r="B29" s="1"/>
      <x:c r="C29" s="8" t="str">
        <x:v>TST-F002-MSS-LABOUR</x:v>
      </x:c>
      <x:c r="D29" s="8" t="str">
        <x:v>TAX-F002</x:v>
      </x:c>
      <x:c r="E29" s="8" t="str">
        <x:v>MSS-LABOUR</x:v>
      </x:c>
      <x:c r="F29" s="8" t="str">
        <x:v>MSS</x:v>
      </x:c>
      <x:c r="G29" s="8" t="str">
        <x:v>Applicable</x:v>
      </x:c>
      <x:c r="H29" s="8" t="str">
        <x:v>Pass</x:v>
      </x:c>
      <x:c r="I29" s="8" t="str">
        <x:v>SYN-TEST-F002-MSS-LABOUR</x:v>
      </x:c>
      <x:c r="J29" s="8" t="str"/>
      <x:c r="K29" s="8" t="str">
        <x:v>Taxonomy analyst 2</x:v>
      </x:c>
      <x:c r="L29" s="8" t="str">
        <x:v>Taxonomy reviewer 2</x:v>
      </x:c>
      <x:c r="M29" s="10" t="n">
        <x:v>46266</x:v>
      </x:c>
      <x:c r="N29" s="10" t="n">
        <x:v>46631</x:v>
      </x:c>
      <x:c r="O29" s="8"/>
      <x:c r="P29" s="9" t="str">
        <x:f>IF(C29="","",IF(AND(G29="Applicable",H29="Fail"),"Fail",IF(R29&lt;&gt;"Valid","Pending",IF(OR(I29="",K29="",L29="",K29=L29,NOT(ISNUMBER(M29)),NOT(ISNUMBER(N29)),M29&gt;Settings!$F$8,N29&lt;Settings!$F$8,N29&lt;M29),"Pending",IF(AND(G29="Applicable",H29="Pass"),"Pass",IF(AND(G29="N/A",H29="N/A",J29&lt;&gt;"",OR(E29="CEM-FUELS",E29="CEM-CCS",AND(E29="CEM-PLAN",IFERROR(INDEX('Taxonomy'!$M$9:$M$108,MATCH(D29,'Taxonomy'!$C$9:$C$108,0)),"")&lt;&gt;"Amber"),E29="BLD-TIMBER",AND(U29="Building equipment",OR(E29="BLD-WATER",E29="BLD-WASTE",E29="BLD-LAND")),AND(U29="Building renovation",E29="BLD-LAND"))),"N/A","Pending"))))))</x:f>
        <x:v>Pass</x:v>
      </x:c>
      <x:c r="Q29" s="3" t="str">
        <x:f>IF(C29="","",IF(AND(R29="Valid",OR(P29="Pass",P29="N/A")),"Complete","Unresolved"))</x:f>
        <x:v>Complete</x:v>
      </x:c>
      <x:c r="R29" s="9" t="str">
        <x:f>IF(C29="","",IF(OR(COUNTIF($C$9:$C$2008,C29)&lt;&gt;1,COUNTIFS($D$9:$D$2008,D29,$E$9:$E$2008,E29)&lt;&gt;1),"Duplicate test",IF(COUNTIF('Taxonomy'!$C$9:$C$108,D29)&lt;&gt;1,"Assessment key",IF(OR(COUNTIF('Taxonomy Rules'!$C$42:$C$68,E29)&lt;&gt;1,F29&lt;&gt;IFERROR(INDEX('Taxonomy Rules'!$D$42:$D$68,MATCH(E29,'Taxonomy Rules'!$C$42:$C$68,0)),""),NOT(OR(IFERROR(INDEX('Taxonomy Rules'!$G$42:$G$68,MATCH(E29,'Taxonomy Rules'!$C$42:$C$68,0)),"")="All supported routes",IFERROR(INDEX('Taxonomy Rules'!$G$42:$G$68,MATCH(E29,'Taxonomy Rules'!$C$42:$C$68,0)),"")=U29,AND(IFERROR(INDEX('Taxonomy Rules'!$G$42:$G$68,MATCH(E29,'Taxonomy Rules'!$C$42:$C$68,0)),"")="Building routes",OR(U29="Building renovation",U29="New building",U29="Building equipment"))))),"Unexpected test","Valid"))))</x:f>
        <x:v>Valid</x:v>
      </x:c>
      <x:c r="S29" s="9" t="str">
        <x:f>IF(C29="","",IFERROR(INDEX('Taxonomy Rules'!$E$42:$E$68,MATCH(E29,'Taxonomy Rules'!$C$42:$C$68,0)),""))</x:f>
        <x:v>Labour rights, minimum age, no child/forced labour, equality and worker representation.</x:v>
      </x:c>
      <x:c r="T29" s="9" t="str">
        <x:f>IF(C29="","",IFERROR(INDEX('Taxonomy Rules'!$F$42:$F$68,MATCH(E29,'Taxonomy Rules'!$C$42:$C$68,0)),""))</x:f>
        <x:v>S10 p29</x:v>
      </x:c>
      <x:c r="U29" s="9" t="str">
        <x:f>IF(C29="","",IFERROR(INDEX('Taxonomy'!$G$9:$G$108,MATCH(D29,'Taxonomy'!$C$9:$C$108,0)),""))</x:f>
        <x:v>Cement</x:v>
      </x:c>
    </x:row>
    <x:row r="30" ht="44" customHeight="1">
      <x:c r="A30" s="1"/>
      <x:c r="B30" s="1"/>
      <x:c r="C30" s="8" t="str">
        <x:v>TST-F002-MSS-OSH</x:v>
      </x:c>
      <x:c r="D30" s="8" t="str">
        <x:v>TAX-F002</x:v>
      </x:c>
      <x:c r="E30" s="8" t="str">
        <x:v>MSS-OSH</x:v>
      </x:c>
      <x:c r="F30" s="8" t="str">
        <x:v>MSS</x:v>
      </x:c>
      <x:c r="G30" s="8" t="str">
        <x:v>Applicable</x:v>
      </x:c>
      <x:c r="H30" s="8" t="str">
        <x:v>Pass</x:v>
      </x:c>
      <x:c r="I30" s="8" t="str">
        <x:v>SYN-TEST-F002-MSS-OSH</x:v>
      </x:c>
      <x:c r="J30" s="8" t="str"/>
      <x:c r="K30" s="8" t="str">
        <x:v>Taxonomy analyst 2</x:v>
      </x:c>
      <x:c r="L30" s="8" t="str">
        <x:v>Taxonomy reviewer 2</x:v>
      </x:c>
      <x:c r="M30" s="10" t="n">
        <x:v>46266</x:v>
      </x:c>
      <x:c r="N30" s="10" t="n">
        <x:v>46631</x:v>
      </x:c>
      <x:c r="O30" s="8"/>
      <x:c r="P30" s="9" t="str">
        <x:f>IF(C30="","",IF(AND(G30="Applicable",H30="Fail"),"Fail",IF(R30&lt;&gt;"Valid","Pending",IF(OR(I30="",K30="",L30="",K30=L30,NOT(ISNUMBER(M30)),NOT(ISNUMBER(N30)),M30&gt;Settings!$F$8,N30&lt;Settings!$F$8,N30&lt;M30),"Pending",IF(AND(G30="Applicable",H30="Pass"),"Pass",IF(AND(G30="N/A",H30="N/A",J30&lt;&gt;"",OR(E30="CEM-FUELS",E30="CEM-CCS",AND(E30="CEM-PLAN",IFERROR(INDEX('Taxonomy'!$M$9:$M$108,MATCH(D30,'Taxonomy'!$C$9:$C$108,0)),"")&lt;&gt;"Amber"),E30="BLD-TIMBER",AND(U30="Building equipment",OR(E30="BLD-WATER",E30="BLD-WASTE",E30="BLD-LAND")),AND(U30="Building renovation",E30="BLD-LAND"))),"N/A","Pending"))))))</x:f>
        <x:v>Pass</x:v>
      </x:c>
      <x:c r="Q30" s="3" t="str">
        <x:f>IF(C30="","",IF(AND(R30="Valid",OR(P30="Pass",P30="N/A")),"Complete","Unresolved"))</x:f>
        <x:v>Complete</x:v>
      </x:c>
      <x:c r="R30" s="9" t="str">
        <x:f>IF(C30="","",IF(OR(COUNTIF($C$9:$C$2008,C30)&lt;&gt;1,COUNTIFS($D$9:$D$2008,D30,$E$9:$E$2008,E30)&lt;&gt;1),"Duplicate test",IF(COUNTIF('Taxonomy'!$C$9:$C$108,D30)&lt;&gt;1,"Assessment key",IF(OR(COUNTIF('Taxonomy Rules'!$C$42:$C$68,E30)&lt;&gt;1,F30&lt;&gt;IFERROR(INDEX('Taxonomy Rules'!$D$42:$D$68,MATCH(E30,'Taxonomy Rules'!$C$42:$C$68,0)),""),NOT(OR(IFERROR(INDEX('Taxonomy Rules'!$G$42:$G$68,MATCH(E30,'Taxonomy Rules'!$C$42:$C$68,0)),"")="All supported routes",IFERROR(INDEX('Taxonomy Rules'!$G$42:$G$68,MATCH(E30,'Taxonomy Rules'!$C$42:$C$68,0)),"")=U30,AND(IFERROR(INDEX('Taxonomy Rules'!$G$42:$G$68,MATCH(E30,'Taxonomy Rules'!$C$42:$C$68,0)),"")="Building routes",OR(U30="Building renovation",U30="New building",U30="Building equipment"))))),"Unexpected test","Valid"))))</x:f>
        <x:v>Valid</x:v>
      </x:c>
      <x:c r="S30" s="9" t="str">
        <x:f>IF(C30="","",IFERROR(INDEX('Taxonomy Rules'!$E$42:$E$68,MATCH(E30,'Taxonomy Rules'!$C$42:$C$68,0)),""))</x:f>
        <x:v>Applicable occupational safety, hazard prevention and emergency readiness.</x:v>
      </x:c>
      <x:c r="T30" s="9" t="str">
        <x:f>IF(C30="","",IFERROR(INDEX('Taxonomy Rules'!$F$42:$F$68,MATCH(E30,'Taxonomy Rules'!$C$42:$C$68,0)),""))</x:f>
        <x:v>S10 p29</x:v>
      </x:c>
      <x:c r="U30" s="9" t="str">
        <x:f>IF(C30="","",IFERROR(INDEX('Taxonomy'!$G$9:$G$108,MATCH(D30,'Taxonomy'!$C$9:$C$108,0)),""))</x:f>
        <x:v>Cement</x:v>
      </x:c>
    </x:row>
    <x:row r="31" ht="44" customHeight="1">
      <x:c r="A31" s="1"/>
      <x:c r="B31" s="1"/>
      <x:c r="C31" s="8" t="str">
        <x:v>TST-F002-MSS-RIGHTS</x:v>
      </x:c>
      <x:c r="D31" s="8" t="str">
        <x:v>TAX-F002</x:v>
      </x:c>
      <x:c r="E31" s="8" t="str">
        <x:v>MSS-RIGHTS</x:v>
      </x:c>
      <x:c r="F31" s="8" t="str">
        <x:v>MSS</x:v>
      </x:c>
      <x:c r="G31" s="8" t="str">
        <x:v>Applicable</x:v>
      </x:c>
      <x:c r="H31" s="8" t="str">
        <x:v>Pass</x:v>
      </x:c>
      <x:c r="I31" s="8" t="str">
        <x:v>SYN-TEST-F002-MSS-RIGHTS</x:v>
      </x:c>
      <x:c r="J31" s="8" t="str"/>
      <x:c r="K31" s="8" t="str">
        <x:v>Taxonomy analyst 2</x:v>
      </x:c>
      <x:c r="L31" s="8" t="str">
        <x:v>Taxonomy reviewer 2</x:v>
      </x:c>
      <x:c r="M31" s="10" t="n">
        <x:v>46266</x:v>
      </x:c>
      <x:c r="N31" s="10" t="n">
        <x:v>46631</x:v>
      </x:c>
      <x:c r="O31" s="8"/>
      <x:c r="P31" s="9" t="str">
        <x:f>IF(C31="","",IF(AND(G31="Applicable",H31="Fail"),"Fail",IF(R31&lt;&gt;"Valid","Pending",IF(OR(I31="",K31="",L31="",K31=L31,NOT(ISNUMBER(M31)),NOT(ISNUMBER(N31)),M31&gt;Settings!$F$8,N31&lt;Settings!$F$8,N31&lt;M31),"Pending",IF(AND(G31="Applicable",H31="Pass"),"Pass",IF(AND(G31="N/A",H31="N/A",J31&lt;&gt;"",OR(E31="CEM-FUELS",E31="CEM-CCS",AND(E31="CEM-PLAN",IFERROR(INDEX('Taxonomy'!$M$9:$M$108,MATCH(D31,'Taxonomy'!$C$9:$C$108,0)),"")&lt;&gt;"Amber"),E31="BLD-TIMBER",AND(U31="Building equipment",OR(E31="BLD-WATER",E31="BLD-WASTE",E31="BLD-LAND")),AND(U31="Building renovation",E31="BLD-LAND"))),"N/A","Pending"))))))</x:f>
        <x:v>Pass</x:v>
      </x:c>
      <x:c r="Q31" s="3" t="str">
        <x:f>IF(C31="","",IF(AND(R31="Valid",OR(P31="Pass",P31="N/A")),"Complete","Unresolved"))</x:f>
        <x:v>Complete</x:v>
      </x:c>
      <x:c r="R31" s="9" t="str">
        <x:f>IF(C31="","",IF(OR(COUNTIF($C$9:$C$2008,C31)&lt;&gt;1,COUNTIFS($D$9:$D$2008,D31,$E$9:$E$2008,E31)&lt;&gt;1),"Duplicate test",IF(COUNTIF('Taxonomy'!$C$9:$C$108,D31)&lt;&gt;1,"Assessment key",IF(OR(COUNTIF('Taxonomy Rules'!$C$42:$C$68,E31)&lt;&gt;1,F31&lt;&gt;IFERROR(INDEX('Taxonomy Rules'!$D$42:$D$68,MATCH(E31,'Taxonomy Rules'!$C$42:$C$68,0)),""),NOT(OR(IFERROR(INDEX('Taxonomy Rules'!$G$42:$G$68,MATCH(E31,'Taxonomy Rules'!$C$42:$C$68,0)),"")="All supported routes",IFERROR(INDEX('Taxonomy Rules'!$G$42:$G$68,MATCH(E31,'Taxonomy Rules'!$C$42:$C$68,0)),"")=U31,AND(IFERROR(INDEX('Taxonomy Rules'!$G$42:$G$68,MATCH(E31,'Taxonomy Rules'!$C$42:$C$68,0)),"")="Building routes",OR(U31="Building renovation",U31="New building",U31="Building equipment"))))),"Unexpected test","Valid"))))</x:f>
        <x:v>Valid</x:v>
      </x:c>
      <x:c r="S31" s="9" t="str">
        <x:f>IF(C31="","",IFERROR(INDEX('Taxonomy Rules'!$E$42:$E$68,MATCH(E31,'Taxonomy Rules'!$C$42:$C$68,0)),""))</x:f>
        <x:v>Proportionate human-rights diligence, stakeholder/social-impact process and grievance mechanism.</x:v>
      </x:c>
      <x:c r="T31" s="9" t="str">
        <x:f>IF(C31="","",IFERROR(INDEX('Taxonomy Rules'!$F$42:$F$68,MATCH(E31,'Taxonomy Rules'!$C$42:$C$68,0)),""))</x:f>
        <x:v>S10 p29</x:v>
      </x:c>
      <x:c r="U31" s="9" t="str">
        <x:f>IF(C31="","",IFERROR(INDEX('Taxonomy'!$G$9:$G$108,MATCH(D31,'Taxonomy'!$C$9:$C$108,0)),""))</x:f>
        <x:v>Cement</x:v>
      </x:c>
    </x:row>
    <x:row r="32" ht="44" customHeight="1">
      <x:c r="A32" s="1"/>
      <x:c r="B32" s="1"/>
      <x:c r="C32" s="8" t="str">
        <x:v>TST-F002-CEM-FUELS</x:v>
      </x:c>
      <x:c r="D32" s="8" t="str">
        <x:v>TAX-F002</x:v>
      </x:c>
      <x:c r="E32" s="8" t="str">
        <x:v>CEM-FUELS</x:v>
      </x:c>
      <x:c r="F32" s="8" t="str">
        <x:v>Technical</x:v>
      </x:c>
      <x:c r="G32" s="8" t="str">
        <x:v>N/A</x:v>
      </x:c>
      <x:c r="H32" s="8" t="str">
        <x:v>N/A</x:v>
      </x:c>
      <x:c r="I32" s="8" t="str">
        <x:v>SYN-TEST-F002-CEM-FUELS</x:v>
      </x:c>
      <x:c r="J32" s="8" t="str">
        <x:v>Not used / Green route; independent review confirms conditional criterion not triggered</x:v>
      </x:c>
      <x:c r="K32" s="8" t="str">
        <x:v>Taxonomy analyst 2</x:v>
      </x:c>
      <x:c r="L32" s="8" t="str">
        <x:v>Taxonomy reviewer 2</x:v>
      </x:c>
      <x:c r="M32" s="10" t="n">
        <x:v>46266</x:v>
      </x:c>
      <x:c r="N32" s="10" t="n">
        <x:v>46631</x:v>
      </x:c>
      <x:c r="O32" s="8"/>
      <x:c r="P32" s="9" t="str">
        <x:f>IF(C32="","",IF(AND(G32="Applicable",H32="Fail"),"Fail",IF(R32&lt;&gt;"Valid","Pending",IF(OR(I32="",K32="",L32="",K32=L32,NOT(ISNUMBER(M32)),NOT(ISNUMBER(N32)),M32&gt;Settings!$F$8,N32&lt;Settings!$F$8,N32&lt;M32),"Pending",IF(AND(G32="Applicable",H32="Pass"),"Pass",IF(AND(G32="N/A",H32="N/A",J32&lt;&gt;"",OR(E32="CEM-FUELS",E32="CEM-CCS",AND(E32="CEM-PLAN",IFERROR(INDEX('Taxonomy'!$M$9:$M$108,MATCH(D32,'Taxonomy'!$C$9:$C$108,0)),"")&lt;&gt;"Amber"),E32="BLD-TIMBER",AND(U32="Building equipment",OR(E32="BLD-WATER",E32="BLD-WASTE",E32="BLD-LAND")),AND(U32="Building renovation",E32="BLD-LAND"))),"N/A","Pending"))))))</x:f>
        <x:v>N/A</x:v>
      </x:c>
      <x:c r="Q32" s="3" t="str">
        <x:f>IF(C32="","",IF(AND(R32="Valid",OR(P32="Pass",P32="N/A")),"Complete","Unresolved"))</x:f>
        <x:v>Complete</x:v>
      </x:c>
      <x:c r="R32" s="9" t="str">
        <x:f>IF(C32="","",IF(OR(COUNTIF($C$9:$C$2008,C32)&lt;&gt;1,COUNTIFS($D$9:$D$2008,D32,$E$9:$E$2008,E32)&lt;&gt;1),"Duplicate test",IF(COUNTIF('Taxonomy'!$C$9:$C$108,D32)&lt;&gt;1,"Assessment key",IF(OR(COUNTIF('Taxonomy Rules'!$C$42:$C$68,E32)&lt;&gt;1,F32&lt;&gt;IFERROR(INDEX('Taxonomy Rules'!$D$42:$D$68,MATCH(E32,'Taxonomy Rules'!$C$42:$C$68,0)),""),NOT(OR(IFERROR(INDEX('Taxonomy Rules'!$G$42:$G$68,MATCH(E32,'Taxonomy Rules'!$C$42:$C$68,0)),"")="All supported routes",IFERROR(INDEX('Taxonomy Rules'!$G$42:$G$68,MATCH(E32,'Taxonomy Rules'!$C$42:$C$68,0)),"")=U32,AND(IFERROR(INDEX('Taxonomy Rules'!$G$42:$G$68,MATCH(E32,'Taxonomy Rules'!$C$42:$C$68,0)),"")="Building routes",OR(U32="Building renovation",U32="New building",U32="Building equipment"))))),"Unexpected test","Valid"))))</x:f>
        <x:v>Valid</x:v>
      </x:c>
      <x:c r="S32" s="9" t="str">
        <x:f>IF(C32="","",IFERROR(INDEX('Taxonomy Rules'!$E$42:$E$68,MATCH(E32,'Taxonomy Rules'!$C$42:$C$68,0)),""))</x:f>
        <x:v>If biomass / hydrogen used, cross-referenced taxonomy criteria met; waste nonrecyclable with separation and air standards.</x:v>
      </x:c>
      <x:c r="T32" s="9" t="str">
        <x:f>IF(C32="","",IFERROR(INDEX('Taxonomy Rules'!$F$42:$F$68,MATCH(E32,'Taxonomy Rules'!$C$42:$C$68,0)),""))</x:f>
        <x:v>S10 pp49–50</x:v>
      </x:c>
      <x:c r="U32" s="9" t="str">
        <x:f>IF(C32="","",IFERROR(INDEX('Taxonomy'!$G$9:$G$108,MATCH(D32,'Taxonomy'!$C$9:$C$108,0)),""))</x:f>
        <x:v>Cement</x:v>
      </x:c>
    </x:row>
    <x:row r="33" ht="44" customHeight="1">
      <x:c r="A33" s="1"/>
      <x:c r="B33" s="1"/>
      <x:c r="C33" s="8" t="str">
        <x:v>TST-F002-CEM-CCS</x:v>
      </x:c>
      <x:c r="D33" s="8" t="str">
        <x:v>TAX-F002</x:v>
      </x:c>
      <x:c r="E33" s="8" t="str">
        <x:v>CEM-CCS</x:v>
      </x:c>
      <x:c r="F33" s="8" t="str">
        <x:v>Technical</x:v>
      </x:c>
      <x:c r="G33" s="8" t="str">
        <x:v>N/A</x:v>
      </x:c>
      <x:c r="H33" s="8" t="str">
        <x:v>N/A</x:v>
      </x:c>
      <x:c r="I33" s="8" t="str">
        <x:v>SYN-TEST-F002-CEM-CCS</x:v>
      </x:c>
      <x:c r="J33" s="8" t="str">
        <x:v>Not used / Green route; independent review confirms conditional criterion not triggered</x:v>
      </x:c>
      <x:c r="K33" s="8" t="str">
        <x:v>Taxonomy analyst 2</x:v>
      </x:c>
      <x:c r="L33" s="8" t="str">
        <x:v>Taxonomy reviewer 2</x:v>
      </x:c>
      <x:c r="M33" s="10" t="n">
        <x:v>46266</x:v>
      </x:c>
      <x:c r="N33" s="10" t="n">
        <x:v>46631</x:v>
      </x:c>
      <x:c r="O33" s="8"/>
      <x:c r="P33" s="9" t="str">
        <x:f>IF(C33="","",IF(AND(G33="Applicable",H33="Fail"),"Fail",IF(R33&lt;&gt;"Valid","Pending",IF(OR(I33="",K33="",L33="",K33=L33,NOT(ISNUMBER(M33)),NOT(ISNUMBER(N33)),M33&gt;Settings!$F$8,N33&lt;Settings!$F$8,N33&lt;M33),"Pending",IF(AND(G33="Applicable",H33="Pass"),"Pass",IF(AND(G33="N/A",H33="N/A",J33&lt;&gt;"",OR(E33="CEM-FUELS",E33="CEM-CCS",AND(E33="CEM-PLAN",IFERROR(INDEX('Taxonomy'!$M$9:$M$108,MATCH(D33,'Taxonomy'!$C$9:$C$108,0)),"")&lt;&gt;"Amber"),E33="BLD-TIMBER",AND(U33="Building equipment",OR(E33="BLD-WATER",E33="BLD-WASTE",E33="BLD-LAND")),AND(U33="Building renovation",E33="BLD-LAND"))),"N/A","Pending"))))))</x:f>
        <x:v>N/A</x:v>
      </x:c>
      <x:c r="Q33" s="3" t="str">
        <x:f>IF(C33="","",IF(AND(R33="Valid",OR(P33="Pass",P33="N/A")),"Complete","Unresolved"))</x:f>
        <x:v>Complete</x:v>
      </x:c>
      <x:c r="R33" s="9" t="str">
        <x:f>IF(C33="","",IF(OR(COUNTIF($C$9:$C$2008,C33)&lt;&gt;1,COUNTIFS($D$9:$D$2008,D33,$E$9:$E$2008,E33)&lt;&gt;1),"Duplicate test",IF(COUNTIF('Taxonomy'!$C$9:$C$108,D33)&lt;&gt;1,"Assessment key",IF(OR(COUNTIF('Taxonomy Rules'!$C$42:$C$68,E33)&lt;&gt;1,F33&lt;&gt;IFERROR(INDEX('Taxonomy Rules'!$D$42:$D$68,MATCH(E33,'Taxonomy Rules'!$C$42:$C$68,0)),""),NOT(OR(IFERROR(INDEX('Taxonomy Rules'!$G$42:$G$68,MATCH(E33,'Taxonomy Rules'!$C$42:$C$68,0)),"")="All supported routes",IFERROR(INDEX('Taxonomy Rules'!$G$42:$G$68,MATCH(E33,'Taxonomy Rules'!$C$42:$C$68,0)),"")=U33,AND(IFERROR(INDEX('Taxonomy Rules'!$G$42:$G$68,MATCH(E33,'Taxonomy Rules'!$C$42:$C$68,0)),"")="Building routes",OR(U33="Building renovation",U33="New building",U33="Building equipment"))))),"Unexpected test","Valid"))))</x:f>
        <x:v>Valid</x:v>
      </x:c>
      <x:c r="S33" s="9" t="str">
        <x:f>IF(C33="","",IFERROR(INDEX('Taxonomy Rules'!$E$42:$E$68,MATCH(E33,'Taxonomy Rules'!$C$42:$C$68,0)),""))</x:f>
        <x:v>If CCS used: at least 70% total CO2 capture plus recognised capture, transport and permanent-storage practice.</x:v>
      </x:c>
      <x:c r="T33" s="9" t="str">
        <x:f>IF(C33="","",IFERROR(INDEX('Taxonomy Rules'!$F$42:$F$68,MATCH(E33,'Taxonomy Rules'!$C$42:$C$68,0)),""))</x:f>
        <x:v>S10 pp49–50</x:v>
      </x:c>
      <x:c r="U33" s="9" t="str">
        <x:f>IF(C33="","",IFERROR(INDEX('Taxonomy'!$G$9:$G$108,MATCH(D33,'Taxonomy'!$C$9:$C$108,0)),""))</x:f>
        <x:v>Cement</x:v>
      </x:c>
    </x:row>
    <x:row r="34" ht="44" customHeight="1">
      <x:c r="A34" s="1"/>
      <x:c r="B34" s="1"/>
      <x:c r="C34" s="8" t="str">
        <x:v>TST-F002-CEM-PLAN</x:v>
      </x:c>
      <x:c r="D34" s="8" t="str">
        <x:v>TAX-F002</x:v>
      </x:c>
      <x:c r="E34" s="8" t="str">
        <x:v>CEM-PLAN</x:v>
      </x:c>
      <x:c r="F34" s="8" t="str">
        <x:v>Technical</x:v>
      </x:c>
      <x:c r="G34" s="8" t="str">
        <x:v>N/A</x:v>
      </x:c>
      <x:c r="H34" s="8" t="str">
        <x:v>N/A</x:v>
      </x:c>
      <x:c r="I34" s="8" t="str">
        <x:v>SYN-TEST-F002-CEM-PLAN</x:v>
      </x:c>
      <x:c r="J34" s="8" t="str">
        <x:v>Not used / Green route; independent review confirms conditional criterion not triggered</x:v>
      </x:c>
      <x:c r="K34" s="8" t="str">
        <x:v>Taxonomy analyst 2</x:v>
      </x:c>
      <x:c r="L34" s="8" t="str">
        <x:v>Taxonomy reviewer 2</x:v>
      </x:c>
      <x:c r="M34" s="10" t="n">
        <x:v>46266</x:v>
      </x:c>
      <x:c r="N34" s="10" t="n">
        <x:v>46631</x:v>
      </x:c>
      <x:c r="O34" s="8"/>
      <x:c r="P34" s="9" t="str">
        <x:f>IF(C34="","",IF(AND(G34="Applicable",H34="Fail"),"Fail",IF(R34&lt;&gt;"Valid","Pending",IF(OR(I34="",K34="",L34="",K34=L34,NOT(ISNUMBER(M34)),NOT(ISNUMBER(N34)),M34&gt;Settings!$F$8,N34&lt;Settings!$F$8,N34&lt;M34),"Pending",IF(AND(G34="Applicable",H34="Pass"),"Pass",IF(AND(G34="N/A",H34="N/A",J34&lt;&gt;"",OR(E34="CEM-FUELS",E34="CEM-CCS",AND(E34="CEM-PLAN",IFERROR(INDEX('Taxonomy'!$M$9:$M$108,MATCH(D34,'Taxonomy'!$C$9:$C$108,0)),"")&lt;&gt;"Amber"),E34="BLD-TIMBER",AND(U34="Building equipment",OR(E34="BLD-WATER",E34="BLD-WASTE",E34="BLD-LAND")),AND(U34="Building renovation",E34="BLD-LAND"))),"N/A","Pending"))))))</x:f>
        <x:v>N/A</x:v>
      </x:c>
      <x:c r="Q34" s="3" t="str">
        <x:f>IF(C34="","",IF(AND(R34="Valid",OR(P34="Pass",P34="N/A")),"Complete","Unresolved"))</x:f>
        <x:v>Complete</x:v>
      </x:c>
      <x:c r="R34" s="9" t="str">
        <x:f>IF(C34="","",IF(OR(COUNTIF($C$9:$C$2008,C34)&lt;&gt;1,COUNTIFS($D$9:$D$2008,D34,$E$9:$E$2008,E34)&lt;&gt;1),"Duplicate test",IF(COUNTIF('Taxonomy'!$C$9:$C$108,D34)&lt;&gt;1,"Assessment key",IF(OR(COUNTIF('Taxonomy Rules'!$C$42:$C$68,E34)&lt;&gt;1,F34&lt;&gt;IFERROR(INDEX('Taxonomy Rules'!$D$42:$D$68,MATCH(E34,'Taxonomy Rules'!$C$42:$C$68,0)),""),NOT(OR(IFERROR(INDEX('Taxonomy Rules'!$G$42:$G$68,MATCH(E34,'Taxonomy Rules'!$C$42:$C$68,0)),"")="All supported routes",IFERROR(INDEX('Taxonomy Rules'!$G$42:$G$68,MATCH(E34,'Taxonomy Rules'!$C$42:$C$68,0)),"")=U34,AND(IFERROR(INDEX('Taxonomy Rules'!$G$42:$G$68,MATCH(E34,'Taxonomy Rules'!$C$42:$C$68,0)),"")="Building routes",OR(U34="Building renovation",U34="New building",U34="Building equipment"))))),"Unexpected test","Valid"))))</x:f>
        <x:v>Valid</x:v>
      </x:c>
      <x:c r="S34" s="9" t="str">
        <x:f>IF(C34="","",IFERROR(INDEX('Taxonomy Rules'!$E$42:$E$68,MATCH(E34,'Taxonomy Rules'!$C$42:$C$68,0)),""))</x:f>
        <x:v>For Amber: Paris-aligned net-zero plan and listed decarbonisation measure implemented before 2040.</x:v>
      </x:c>
      <x:c r="T34" s="9" t="str">
        <x:f>IF(C34="","",IFERROR(INDEX('Taxonomy Rules'!$F$42:$F$68,MATCH(E34,'Taxonomy Rules'!$C$42:$C$68,0)),""))</x:f>
        <x:v>S10 pp50–51</x:v>
      </x:c>
      <x:c r="U34" s="9" t="str">
        <x:f>IF(C34="","",IFERROR(INDEX('Taxonomy'!$G$9:$G$108,MATCH(D34,'Taxonomy'!$C$9:$C$108,0)),""))</x:f>
        <x:v>Cement</x:v>
      </x:c>
    </x:row>
    <x:row r="35" ht="44" customHeight="1">
      <x:c r="A35" s="1"/>
      <x:c r="B35" s="1"/>
      <x:c r="C35" s="8" t="str">
        <x:v>TST-F003-SC-EVIDENCE</x:v>
      </x:c>
      <x:c r="D35" s="8" t="str">
        <x:v>TAX-F003</x:v>
      </x:c>
      <x:c r="E35" s="8" t="str">
        <x:v>SC-EVIDENCE</x:v>
      </x:c>
      <x:c r="F35" s="8" t="str">
        <x:v>Technical</x:v>
      </x:c>
      <x:c r="G35" s="8" t="str">
        <x:v>Applicable</x:v>
      </x:c>
      <x:c r="H35" s="8" t="str">
        <x:v>Pass</x:v>
      </x:c>
      <x:c r="I35" s="8" t="str">
        <x:v>SYN-TEST-F003-SC-EVIDENCE</x:v>
      </x:c>
      <x:c r="J35" s="8" t="str"/>
      <x:c r="K35" s="8" t="str">
        <x:v>Taxonomy analyst 3</x:v>
      </x:c>
      <x:c r="L35" s="8" t="str">
        <x:v>Taxonomy reviewer 1</x:v>
      </x:c>
      <x:c r="M35" s="10" t="n">
        <x:v>46266</x:v>
      </x:c>
      <x:c r="N35" s="10" t="n">
        <x:v>46631</x:v>
      </x:c>
      <x:c r="O35" s="8"/>
      <x:c r="P35" s="9" t="str">
        <x:f>IF(C35="","",IF(AND(G35="Applicable",H35="Fail"),"Fail",IF(R35&lt;&gt;"Valid","Pending",IF(OR(I35="",K35="",L35="",K35=L35,NOT(ISNUMBER(M35)),NOT(ISNUMBER(N35)),M35&gt;Settings!$F$8,N35&lt;Settings!$F$8,N35&lt;M35),"Pending",IF(AND(G35="Applicable",H35="Pass"),"Pass",IF(AND(G35="N/A",H35="N/A",J35&lt;&gt;"",OR(E35="CEM-FUELS",E35="CEM-CCS",AND(E35="CEM-PLAN",IFERROR(INDEX('Taxonomy'!$M$9:$M$108,MATCH(D35,'Taxonomy'!$C$9:$C$108,0)),"")&lt;&gt;"Amber"),E35="BLD-TIMBER",AND(U35="Building equipment",OR(E35="BLD-WATER",E35="BLD-WASTE",E35="BLD-LAND")),AND(U35="Building renovation",E35="BLD-LAND"))),"N/A","Pending"))))))</x:f>
        <x:v>Pass</x:v>
      </x:c>
      <x:c r="Q35" s="3" t="str">
        <x:f>IF(C35="","",IF(AND(R35="Valid",OR(P35="Pass",P35="N/A")),"Complete","Unresolved"))</x:f>
        <x:v>Complete</x:v>
      </x:c>
      <x:c r="R35" s="9" t="str">
        <x:f>IF(C35="","",IF(OR(COUNTIF($C$9:$C$2008,C35)&lt;&gt;1,COUNTIFS($D$9:$D$2008,D35,$E$9:$E$2008,E35)&lt;&gt;1),"Duplicate test",IF(COUNTIF('Taxonomy'!$C$9:$C$108,D35)&lt;&gt;1,"Assessment key",IF(OR(COUNTIF('Taxonomy Rules'!$C$42:$C$68,E35)&lt;&gt;1,F35&lt;&gt;IFERROR(INDEX('Taxonomy Rules'!$D$42:$D$68,MATCH(E35,'Taxonomy Rules'!$C$42:$C$68,0)),""),NOT(OR(IFERROR(INDEX('Taxonomy Rules'!$G$42:$G$68,MATCH(E35,'Taxonomy Rules'!$C$42:$C$68,0)),"")="All supported routes",IFERROR(INDEX('Taxonomy Rules'!$G$42:$G$68,MATCH(E35,'Taxonomy Rules'!$C$42:$C$68,0)),"")=U35,AND(IFERROR(INDEX('Taxonomy Rules'!$G$42:$G$68,MATCH(E35,'Taxonomy Rules'!$C$42:$C$68,0)),"")="Building routes",OR(U35="Building renovation",U35="New building",U35="Building equipment"))))),"Unexpected test","Valid"))))</x:f>
        <x:v>Valid</x:v>
      </x:c>
      <x:c r="S35" s="9" t="str">
        <x:f>IF(C35="","",IFERROR(INDEX('Taxonomy Rules'!$E$42:$E$68,MATCH(E35,'Taxonomy Rules'!$C$42:$C$68,0)),""))</x:f>
        <x:v>Boundary and chosen route are evidenced; observations match the activity card.</x:v>
      </x:c>
      <x:c r="T35" s="9" t="str">
        <x:f>IF(C35="","",IFERROR(INDEX('Taxonomy Rules'!$F$42:$F$68,MATCH(E35,'Taxonomy Rules'!$C$42:$C$68,0)),""))</x:f>
        <x:v>S10 activity card</x:v>
      </x:c>
      <x:c r="U35" s="9" t="str">
        <x:f>IF(C35="","",IFERROR(INDEX('Taxonomy'!$G$9:$G$108,MATCH(D35,'Taxonomy'!$C$9:$C$108,0)),""))</x:f>
        <x:v>Solar PV</x:v>
      </x:c>
    </x:row>
    <x:row r="36" ht="44" customHeight="1">
      <x:c r="A36" s="1"/>
      <x:c r="B36" s="1"/>
      <x:c r="C36" s="8" t="str">
        <x:v>TST-F003-DNSH-MIT</x:v>
      </x:c>
      <x:c r="D36" s="8" t="str">
        <x:v>TAX-F003</x:v>
      </x:c>
      <x:c r="E36" s="8" t="str">
        <x:v>DNSH-MIT</x:v>
      </x:c>
      <x:c r="F36" s="8" t="str">
        <x:v>DNSH</x:v>
      </x:c>
      <x:c r="G36" s="8" t="str">
        <x:v>Applicable</x:v>
      </x:c>
      <x:c r="H36" s="8" t="str">
        <x:v>Pass</x:v>
      </x:c>
      <x:c r="I36" s="8" t="str">
        <x:v>SYN-TEST-F003-DNSH-MIT</x:v>
      </x:c>
      <x:c r="J36" s="8" t="str"/>
      <x:c r="K36" s="8" t="str">
        <x:v>Taxonomy analyst 3</x:v>
      </x:c>
      <x:c r="L36" s="8" t="str">
        <x:v>Taxonomy reviewer 1</x:v>
      </x:c>
      <x:c r="M36" s="10" t="n">
        <x:v>46266</x:v>
      </x:c>
      <x:c r="N36" s="10" t="n">
        <x:v>46631</x:v>
      </x:c>
      <x:c r="O36" s="8"/>
      <x:c r="P36" s="9" t="str">
        <x:f>IF(C36="","",IF(AND(G36="Applicable",H36="Fail"),"Fail",IF(R36&lt;&gt;"Valid","Pending",IF(OR(I36="",K36="",L36="",K36=L36,NOT(ISNUMBER(M36)),NOT(ISNUMBER(N36)),M36&gt;Settings!$F$8,N36&lt;Settings!$F$8,N36&lt;M36),"Pending",IF(AND(G36="Applicable",H36="Pass"),"Pass",IF(AND(G36="N/A",H36="N/A",J36&lt;&gt;"",OR(E36="CEM-FUELS",E36="CEM-CCS",AND(E36="CEM-PLAN",IFERROR(INDEX('Taxonomy'!$M$9:$M$108,MATCH(D36,'Taxonomy'!$C$9:$C$108,0)),"")&lt;&gt;"Amber"),E36="BLD-TIMBER",AND(U36="Building equipment",OR(E36="BLD-WATER",E36="BLD-WASTE",E36="BLD-LAND")),AND(U36="Building renovation",E36="BLD-LAND"))),"N/A","Pending"))))))</x:f>
        <x:v>Pass</x:v>
      </x:c>
      <x:c r="Q36" s="3" t="str">
        <x:f>IF(C36="","",IF(AND(R36="Valid",OR(P36="Pass",P36="N/A")),"Complete","Unresolved"))</x:f>
        <x:v>Complete</x:v>
      </x:c>
      <x:c r="R36" s="9" t="str">
        <x:f>IF(C36="","",IF(OR(COUNTIF($C$9:$C$2008,C36)&lt;&gt;1,COUNTIFS($D$9:$D$2008,D36,$E$9:$E$2008,E36)&lt;&gt;1),"Duplicate test",IF(COUNTIF('Taxonomy'!$C$9:$C$108,D36)&lt;&gt;1,"Assessment key",IF(OR(COUNTIF('Taxonomy Rules'!$C$42:$C$68,E36)&lt;&gt;1,F36&lt;&gt;IFERROR(INDEX('Taxonomy Rules'!$D$42:$D$68,MATCH(E36,'Taxonomy Rules'!$C$42:$C$68,0)),""),NOT(OR(IFERROR(INDEX('Taxonomy Rules'!$G$42:$G$68,MATCH(E36,'Taxonomy Rules'!$C$42:$C$68,0)),"")="All supported routes",IFERROR(INDEX('Taxonomy Rules'!$G$42:$G$68,MATCH(E36,'Taxonomy Rules'!$C$42:$C$68,0)),"")=U36,AND(IFERROR(INDEX('Taxonomy Rules'!$G$42:$G$68,MATCH(E36,'Taxonomy Rules'!$C$42:$C$68,0)),"")="Building routes",OR(U36="Building renovation",U36="New building",U36="Building equipment"))))),"Unexpected test","Valid"))))</x:f>
        <x:v>Valid</x:v>
      </x:c>
      <x:c r="S36" s="9" t="str">
        <x:f>IF(C36="","",IFERROR(INDEX('Taxonomy Rules'!$E$42:$E$68,MATCH(E36,'Taxonomy Rules'!$C$42:$C$68,0)),""))</x:f>
        <x:v>No avoidable fossil lock-in; material lifecycle effects assessed.</x:v>
      </x:c>
      <x:c r="T36" s="9" t="str">
        <x:f>IF(C36="","",IFERROR(INDEX('Taxonomy Rules'!$F$42:$F$68,MATCH(E36,'Taxonomy Rules'!$C$42:$C$68,0)),""))</x:f>
        <x:v>S10 p30</x:v>
      </x:c>
      <x:c r="U36" s="9" t="str">
        <x:f>IF(C36="","",IFERROR(INDEX('Taxonomy'!$G$9:$G$108,MATCH(D36,'Taxonomy'!$C$9:$C$108,0)),""))</x:f>
        <x:v>Solar PV</x:v>
      </x:c>
    </x:row>
    <x:row r="37" ht="44" customHeight="1">
      <x:c r="A37" s="1"/>
      <x:c r="B37" s="1"/>
      <x:c r="C37" s="8" t="str">
        <x:v>TST-F003-DNSH-ADAPT</x:v>
      </x:c>
      <x:c r="D37" s="8" t="str">
        <x:v>TAX-F003</x:v>
      </x:c>
      <x:c r="E37" s="8" t="str">
        <x:v>DNSH-ADAPT</x:v>
      </x:c>
      <x:c r="F37" s="8" t="str">
        <x:v>DNSH</x:v>
      </x:c>
      <x:c r="G37" s="8" t="str">
        <x:v>Applicable</x:v>
      </x:c>
      <x:c r="H37" s="8" t="str">
        <x:v>Pass</x:v>
      </x:c>
      <x:c r="I37" s="8" t="str">
        <x:v>SYN-TEST-F003-DNSH-ADAPT</x:v>
      </x:c>
      <x:c r="J37" s="8" t="str"/>
      <x:c r="K37" s="8" t="str">
        <x:v>Taxonomy analyst 3</x:v>
      </x:c>
      <x:c r="L37" s="8" t="str">
        <x:v>Taxonomy reviewer 1</x:v>
      </x:c>
      <x:c r="M37" s="10" t="n">
        <x:v>46266</x:v>
      </x:c>
      <x:c r="N37" s="10" t="n">
        <x:v>46631</x:v>
      </x:c>
      <x:c r="O37" s="8"/>
      <x:c r="P37" s="9" t="str">
        <x:f>IF(C37="","",IF(AND(G37="Applicable",H37="Fail"),"Fail",IF(R37&lt;&gt;"Valid","Pending",IF(OR(I37="",K37="",L37="",K37=L37,NOT(ISNUMBER(M37)),NOT(ISNUMBER(N37)),M37&gt;Settings!$F$8,N37&lt;Settings!$F$8,N37&lt;M37),"Pending",IF(AND(G37="Applicable",H37="Pass"),"Pass",IF(AND(G37="N/A",H37="N/A",J37&lt;&gt;"",OR(E37="CEM-FUELS",E37="CEM-CCS",AND(E37="CEM-PLAN",IFERROR(INDEX('Taxonomy'!$M$9:$M$108,MATCH(D37,'Taxonomy'!$C$9:$C$108,0)),"")&lt;&gt;"Amber"),E37="BLD-TIMBER",AND(U37="Building equipment",OR(E37="BLD-WATER",E37="BLD-WASTE",E37="BLD-LAND")),AND(U37="Building renovation",E37="BLD-LAND"))),"N/A","Pending"))))))</x:f>
        <x:v>Pass</x:v>
      </x:c>
      <x:c r="Q37" s="3" t="str">
        <x:f>IF(C37="","",IF(AND(R37="Valid",OR(P37="Pass",P37="N/A")),"Complete","Unresolved"))</x:f>
        <x:v>Complete</x:v>
      </x:c>
      <x:c r="R37" s="9" t="str">
        <x:f>IF(C37="","",IF(OR(COUNTIF($C$9:$C$2008,C37)&lt;&gt;1,COUNTIFS($D$9:$D$2008,D37,$E$9:$E$2008,E37)&lt;&gt;1),"Duplicate test",IF(COUNTIF('Taxonomy'!$C$9:$C$108,D37)&lt;&gt;1,"Assessment key",IF(OR(COUNTIF('Taxonomy Rules'!$C$42:$C$68,E37)&lt;&gt;1,F37&lt;&gt;IFERROR(INDEX('Taxonomy Rules'!$D$42:$D$68,MATCH(E37,'Taxonomy Rules'!$C$42:$C$68,0)),""),NOT(OR(IFERROR(INDEX('Taxonomy Rules'!$G$42:$G$68,MATCH(E37,'Taxonomy Rules'!$C$42:$C$68,0)),"")="All supported routes",IFERROR(INDEX('Taxonomy Rules'!$G$42:$G$68,MATCH(E37,'Taxonomy Rules'!$C$42:$C$68,0)),"")=U37,AND(IFERROR(INDEX('Taxonomy Rules'!$G$42:$G$68,MATCH(E37,'Taxonomy Rules'!$C$42:$C$68,0)),"")="Building routes",OR(U37="Building renovation",U37="New building",U37="Building equipment"))))),"Unexpected test","Valid"))))</x:f>
        <x:v>Valid</x:v>
      </x:c>
      <x:c r="S37" s="9" t="str">
        <x:f>IF(C37="","",IFERROR(INDEX('Taxonomy Rules'!$E$42:$E$68,MATCH(E37,'Taxonomy Rules'!$C$42:$C$68,0)),""))</x:f>
        <x:v>Lifetime hazard screen, material risk assessment and implemented adaptation; no harm to others.</x:v>
      </x:c>
      <x:c r="T37" s="9" t="str">
        <x:f>IF(C37="","",IFERROR(INDEX('Taxonomy Rules'!$F$42:$F$68,MATCH(E37,'Taxonomy Rules'!$C$42:$C$68,0)),""))</x:f>
        <x:v>S10 pp30–31</x:v>
      </x:c>
      <x:c r="U37" s="9" t="str">
        <x:f>IF(C37="","",IFERROR(INDEX('Taxonomy'!$G$9:$G$108,MATCH(D37,'Taxonomy'!$C$9:$C$108,0)),""))</x:f>
        <x:v>Solar PV</x:v>
      </x:c>
    </x:row>
    <x:row r="38" ht="44" customHeight="1">
      <x:c r="A38" s="1"/>
      <x:c r="B38" s="1"/>
      <x:c r="C38" s="8" t="str">
        <x:v>TST-F003-DNSH-WATER</x:v>
      </x:c>
      <x:c r="D38" s="8" t="str">
        <x:v>TAX-F003</x:v>
      </x:c>
      <x:c r="E38" s="8" t="str">
        <x:v>DNSH-WATER</x:v>
      </x:c>
      <x:c r="F38" s="8" t="str">
        <x:v>DNSH</x:v>
      </x:c>
      <x:c r="G38" s="8" t="str">
        <x:v>Applicable</x:v>
      </x:c>
      <x:c r="H38" s="8" t="str">
        <x:v>Pass</x:v>
      </x:c>
      <x:c r="I38" s="8" t="str">
        <x:v>SYN-TEST-F003-DNSH-WATER</x:v>
      </x:c>
      <x:c r="J38" s="8" t="str"/>
      <x:c r="K38" s="8" t="str">
        <x:v>Taxonomy analyst 3</x:v>
      </x:c>
      <x:c r="L38" s="8" t="str">
        <x:v>Taxonomy reviewer 1</x:v>
      </x:c>
      <x:c r="M38" s="10" t="n">
        <x:v>46266</x:v>
      </x:c>
      <x:c r="N38" s="10" t="n">
        <x:v>46631</x:v>
      </x:c>
      <x:c r="O38" s="8"/>
      <x:c r="P38" s="9" t="str">
        <x:f>IF(C38="","",IF(AND(G38="Applicable",H38="Fail"),"Fail",IF(R38&lt;&gt;"Valid","Pending",IF(OR(I38="",K38="",L38="",K38=L38,NOT(ISNUMBER(M38)),NOT(ISNUMBER(N38)),M38&gt;Settings!$F$8,N38&lt;Settings!$F$8,N38&lt;M38),"Pending",IF(AND(G38="Applicable",H38="Pass"),"Pass",IF(AND(G38="N/A",H38="N/A",J38&lt;&gt;"",OR(E38="CEM-FUELS",E38="CEM-CCS",AND(E38="CEM-PLAN",IFERROR(INDEX('Taxonomy'!$M$9:$M$108,MATCH(D38,'Taxonomy'!$C$9:$C$108,0)),"")&lt;&gt;"Amber"),E38="BLD-TIMBER",AND(U38="Building equipment",OR(E38="BLD-WATER",E38="BLD-WASTE",E38="BLD-LAND")),AND(U38="Building renovation",E38="BLD-LAND"))),"N/A","Pending"))))))</x:f>
        <x:v>Pass</x:v>
      </x:c>
      <x:c r="Q38" s="3" t="str">
        <x:f>IF(C38="","",IF(AND(R38="Valid",OR(P38="Pass",P38="N/A")),"Complete","Unresolved"))</x:f>
        <x:v>Complete</x:v>
      </x:c>
      <x:c r="R38" s="9" t="str">
        <x:f>IF(C38="","",IF(OR(COUNTIF($C$9:$C$2008,C38)&lt;&gt;1,COUNTIFS($D$9:$D$2008,D38,$E$9:$E$2008,E38)&lt;&gt;1),"Duplicate test",IF(COUNTIF('Taxonomy'!$C$9:$C$108,D38)&lt;&gt;1,"Assessment key",IF(OR(COUNTIF('Taxonomy Rules'!$C$42:$C$68,E38)&lt;&gt;1,F38&lt;&gt;IFERROR(INDEX('Taxonomy Rules'!$D$42:$D$68,MATCH(E38,'Taxonomy Rules'!$C$42:$C$68,0)),""),NOT(OR(IFERROR(INDEX('Taxonomy Rules'!$G$42:$G$68,MATCH(E38,'Taxonomy Rules'!$C$42:$C$68,0)),"")="All supported routes",IFERROR(INDEX('Taxonomy Rules'!$G$42:$G$68,MATCH(E38,'Taxonomy Rules'!$C$42:$C$68,0)),"")=U38,AND(IFERROR(INDEX('Taxonomy Rules'!$G$42:$G$68,MATCH(E38,'Taxonomy Rules'!$C$42:$C$68,0)),"")="Building routes",OR(U38="Building renovation",U38="New building",U38="Building equipment"))))),"Unexpected test","Valid"))))</x:f>
        <x:v>Valid</x:v>
      </x:c>
      <x:c r="S38" s="9" t="str">
        <x:f>IF(C38="","",IFERROR(INDEX('Taxonomy Rules'!$E$42:$E$68,MATCH(E38,'Taxonomy Rules'!$C$42:$C$68,0)),""))</x:f>
        <x:v>Water permits, abstraction/discharge limits, required assessments and management measures.</x:v>
      </x:c>
      <x:c r="T38" s="9" t="str">
        <x:f>IF(C38="","",IFERROR(INDEX('Taxonomy Rules'!$F$42:$F$68,MATCH(E38,'Taxonomy Rules'!$C$42:$C$68,0)),""))</x:f>
        <x:v>S10 p31</x:v>
      </x:c>
      <x:c r="U38" s="9" t="str">
        <x:f>IF(C38="","",IFERROR(INDEX('Taxonomy'!$G$9:$G$108,MATCH(D38,'Taxonomy'!$C$9:$C$108,0)),""))</x:f>
        <x:v>Solar PV</x:v>
      </x:c>
    </x:row>
    <x:row r="39" ht="44" customHeight="1">
      <x:c r="A39" s="1"/>
      <x:c r="B39" s="1"/>
      <x:c r="C39" s="8" t="str">
        <x:v>TST-F003-DNSH-POLL</x:v>
      </x:c>
      <x:c r="D39" s="8" t="str">
        <x:v>TAX-F003</x:v>
      </x:c>
      <x:c r="E39" s="8" t="str">
        <x:v>DNSH-POLL</x:v>
      </x:c>
      <x:c r="F39" s="8" t="str">
        <x:v>DNSH</x:v>
      </x:c>
      <x:c r="G39" s="8" t="str">
        <x:v>Applicable</x:v>
      </x:c>
      <x:c r="H39" s="8" t="str">
        <x:v>Pass</x:v>
      </x:c>
      <x:c r="I39" s="8" t="str">
        <x:v>SYN-TEST-F003-DNSH-POLL</x:v>
      </x:c>
      <x:c r="J39" s="8" t="str"/>
      <x:c r="K39" s="8" t="str">
        <x:v>Taxonomy analyst 3</x:v>
      </x:c>
      <x:c r="L39" s="8" t="str">
        <x:v>Taxonomy reviewer 1</x:v>
      </x:c>
      <x:c r="M39" s="10" t="n">
        <x:v>46266</x:v>
      </x:c>
      <x:c r="N39" s="10" t="n">
        <x:v>46631</x:v>
      </x:c>
      <x:c r="O39" s="8"/>
      <x:c r="P39" s="9" t="str">
        <x:f>IF(C39="","",IF(AND(G39="Applicable",H39="Fail"),"Fail",IF(R39&lt;&gt;"Valid","Pending",IF(OR(I39="",K39="",L39="",K39=L39,NOT(ISNUMBER(M39)),NOT(ISNUMBER(N39)),M39&gt;Settings!$F$8,N39&lt;Settings!$F$8,N39&lt;M39),"Pending",IF(AND(G39="Applicable",H39="Pass"),"Pass",IF(AND(G39="N/A",H39="N/A",J39&lt;&gt;"",OR(E39="CEM-FUELS",E39="CEM-CCS",AND(E39="CEM-PLAN",IFERROR(INDEX('Taxonomy'!$M$9:$M$108,MATCH(D39,'Taxonomy'!$C$9:$C$108,0)),"")&lt;&gt;"Amber"),E39="BLD-TIMBER",AND(U39="Building equipment",OR(E39="BLD-WATER",E39="BLD-WASTE",E39="BLD-LAND")),AND(U39="Building renovation",E39="BLD-LAND"))),"N/A","Pending"))))))</x:f>
        <x:v>Pass</x:v>
      </x:c>
      <x:c r="Q39" s="3" t="str">
        <x:f>IF(C39="","",IF(AND(R39="Valid",OR(P39="Pass",P39="N/A")),"Complete","Unresolved"))</x:f>
        <x:v>Complete</x:v>
      </x:c>
      <x:c r="R39" s="9" t="str">
        <x:f>IF(C39="","",IF(OR(COUNTIF($C$9:$C$2008,C39)&lt;&gt;1,COUNTIFS($D$9:$D$2008,D39,$E$9:$E$2008,E39)&lt;&gt;1),"Duplicate test",IF(COUNTIF('Taxonomy'!$C$9:$C$108,D39)&lt;&gt;1,"Assessment key",IF(OR(COUNTIF('Taxonomy Rules'!$C$42:$C$68,E39)&lt;&gt;1,F39&lt;&gt;IFERROR(INDEX('Taxonomy Rules'!$D$42:$D$68,MATCH(E39,'Taxonomy Rules'!$C$42:$C$68,0)),""),NOT(OR(IFERROR(INDEX('Taxonomy Rules'!$G$42:$G$68,MATCH(E39,'Taxonomy Rules'!$C$42:$C$68,0)),"")="All supported routes",IFERROR(INDEX('Taxonomy Rules'!$G$42:$G$68,MATCH(E39,'Taxonomy Rules'!$C$42:$C$68,0)),"")=U39,AND(IFERROR(INDEX('Taxonomy Rules'!$G$42:$G$68,MATCH(E39,'Taxonomy Rules'!$C$42:$C$68,0)),"")="Building routes",OR(U39="Building renovation",U39="New building",U39="Building equipment"))))),"Unexpected test","Valid"))))</x:f>
        <x:v>Valid</x:v>
      </x:c>
      <x:c r="S39" s="9" t="str">
        <x:f>IF(C39="","",IFERROR(INDEX('Taxonomy Rules'!$E$42:$E$68,MATCH(E39,'Taxonomy Rules'!$C$42:$C$68,0)),""))</x:f>
        <x:v>National pollution and prohibited-substance requirements; activity-specific limits.</x:v>
      </x:c>
      <x:c r="T39" s="9" t="str">
        <x:f>IF(C39="","",IFERROR(INDEX('Taxonomy Rules'!$F$42:$F$68,MATCH(E39,'Taxonomy Rules'!$C$42:$C$68,0)),""))</x:f>
        <x:v>S10 p31</x:v>
      </x:c>
      <x:c r="U39" s="9" t="str">
        <x:f>IF(C39="","",IFERROR(INDEX('Taxonomy'!$G$9:$G$108,MATCH(D39,'Taxonomy'!$C$9:$C$108,0)),""))</x:f>
        <x:v>Solar PV</x:v>
      </x:c>
    </x:row>
    <x:row r="40" ht="44" customHeight="1">
      <x:c r="A40" s="1"/>
      <x:c r="B40" s="1"/>
      <x:c r="C40" s="8" t="str">
        <x:v>TST-F003-DNSH-CIRC</x:v>
      </x:c>
      <x:c r="D40" s="8" t="str">
        <x:v>TAX-F003</x:v>
      </x:c>
      <x:c r="E40" s="8" t="str">
        <x:v>DNSH-CIRC</x:v>
      </x:c>
      <x:c r="F40" s="8" t="str">
        <x:v>DNSH</x:v>
      </x:c>
      <x:c r="G40" s="8" t="str">
        <x:v>Applicable</x:v>
      </x:c>
      <x:c r="H40" s="8" t="str">
        <x:v>Pass</x:v>
      </x:c>
      <x:c r="I40" s="8" t="str">
        <x:v>SYN-TEST-F003-DNSH-CIRC</x:v>
      </x:c>
      <x:c r="J40" s="8" t="str"/>
      <x:c r="K40" s="8" t="str">
        <x:v>Taxonomy analyst 3</x:v>
      </x:c>
      <x:c r="L40" s="8" t="str">
        <x:v>Taxonomy reviewer 1</x:v>
      </x:c>
      <x:c r="M40" s="10" t="n">
        <x:v>46266</x:v>
      </x:c>
      <x:c r="N40" s="10" t="n">
        <x:v>46631</x:v>
      </x:c>
      <x:c r="O40" s="8"/>
      <x:c r="P40" s="9" t="str">
        <x:f>IF(C40="","",IF(AND(G40="Applicable",H40="Fail"),"Fail",IF(R40&lt;&gt;"Valid","Pending",IF(OR(I40="",K40="",L40="",K40=L40,NOT(ISNUMBER(M40)),NOT(ISNUMBER(N40)),M40&gt;Settings!$F$8,N40&lt;Settings!$F$8,N40&lt;M40),"Pending",IF(AND(G40="Applicable",H40="Pass"),"Pass",IF(AND(G40="N/A",H40="N/A",J40&lt;&gt;"",OR(E40="CEM-FUELS",E40="CEM-CCS",AND(E40="CEM-PLAN",IFERROR(INDEX('Taxonomy'!$M$9:$M$108,MATCH(D40,'Taxonomy'!$C$9:$C$108,0)),"")&lt;&gt;"Amber"),E40="BLD-TIMBER",AND(U40="Building equipment",OR(E40="BLD-WATER",E40="BLD-WASTE",E40="BLD-LAND")),AND(U40="Building renovation",E40="BLD-LAND"))),"N/A","Pending"))))))</x:f>
        <x:v>Pass</x:v>
      </x:c>
      <x:c r="Q40" s="3" t="str">
        <x:f>IF(C40="","",IF(AND(R40="Valid",OR(P40="Pass",P40="N/A")),"Complete","Unresolved"))</x:f>
        <x:v>Complete</x:v>
      </x:c>
      <x:c r="R40" s="9" t="str">
        <x:f>IF(C40="","",IF(OR(COUNTIF($C$9:$C$2008,C40)&lt;&gt;1,COUNTIFS($D$9:$D$2008,D40,$E$9:$E$2008,E40)&lt;&gt;1),"Duplicate test",IF(COUNTIF('Taxonomy'!$C$9:$C$108,D40)&lt;&gt;1,"Assessment key",IF(OR(COUNTIF('Taxonomy Rules'!$C$42:$C$68,E40)&lt;&gt;1,F40&lt;&gt;IFERROR(INDEX('Taxonomy Rules'!$D$42:$D$68,MATCH(E40,'Taxonomy Rules'!$C$42:$C$68,0)),""),NOT(OR(IFERROR(INDEX('Taxonomy Rules'!$G$42:$G$68,MATCH(E40,'Taxonomy Rules'!$C$42:$C$68,0)),"")="All supported routes",IFERROR(INDEX('Taxonomy Rules'!$G$42:$G$68,MATCH(E40,'Taxonomy Rules'!$C$42:$C$68,0)),"")=U40,AND(IFERROR(INDEX('Taxonomy Rules'!$G$42:$G$68,MATCH(E40,'Taxonomy Rules'!$C$42:$C$68,0)),"")="Building routes",OR(U40="Building renovation",U40="New building",U40="Building equipment"))))),"Unexpected test","Valid"))))</x:f>
        <x:v>Valid</x:v>
      </x:c>
      <x:c r="S40" s="9" t="str">
        <x:f>IF(C40="","",IFERROR(INDEX('Taxonomy Rules'!$E$42:$E$68,MATCH(E40,'Taxonomy Rules'!$C$42:$C$68,0)),""))</x:f>
        <x:v>Waste hierarchy, resource efficiency, hazardous-waste traceability and end-of-life arrangements.</x:v>
      </x:c>
      <x:c r="T40" s="9" t="str">
        <x:f>IF(C40="","",IFERROR(INDEX('Taxonomy Rules'!$F$42:$F$68,MATCH(E40,'Taxonomy Rules'!$C$42:$C$68,0)),""))</x:f>
        <x:v>S10 p32</x:v>
      </x:c>
      <x:c r="U40" s="9" t="str">
        <x:f>IF(C40="","",IFERROR(INDEX('Taxonomy'!$G$9:$G$108,MATCH(D40,'Taxonomy'!$C$9:$C$108,0)),""))</x:f>
        <x:v>Solar PV</x:v>
      </x:c>
    </x:row>
    <x:row r="41" ht="44" customHeight="1">
      <x:c r="A41" s="1"/>
      <x:c r="B41" s="1"/>
      <x:c r="C41" s="8" t="str">
        <x:v>TST-F003-DNSH-BIO</x:v>
      </x:c>
      <x:c r="D41" s="8" t="str">
        <x:v>TAX-F003</x:v>
      </x:c>
      <x:c r="E41" s="8" t="str">
        <x:v>DNSH-BIO</x:v>
      </x:c>
      <x:c r="F41" s="8" t="str">
        <x:v>DNSH</x:v>
      </x:c>
      <x:c r="G41" s="8" t="str">
        <x:v>Applicable</x:v>
      </x:c>
      <x:c r="H41" s="8" t="str">
        <x:v>Pass</x:v>
      </x:c>
      <x:c r="I41" s="8" t="str">
        <x:v>SYN-TEST-F003-DNSH-BIO</x:v>
      </x:c>
      <x:c r="J41" s="8" t="str"/>
      <x:c r="K41" s="8" t="str">
        <x:v>Taxonomy analyst 3</x:v>
      </x:c>
      <x:c r="L41" s="8" t="str">
        <x:v>Taxonomy reviewer 1</x:v>
      </x:c>
      <x:c r="M41" s="10" t="n">
        <x:v>46266</x:v>
      </x:c>
      <x:c r="N41" s="10" t="n">
        <x:v>46631</x:v>
      </x:c>
      <x:c r="O41" s="8"/>
      <x:c r="P41" s="9" t="str">
        <x:f>IF(C41="","",IF(AND(G41="Applicable",H41="Fail"),"Fail",IF(R41&lt;&gt;"Valid","Pending",IF(OR(I41="",K41="",L41="",K41=L41,NOT(ISNUMBER(M41)),NOT(ISNUMBER(N41)),M41&gt;Settings!$F$8,N41&lt;Settings!$F$8,N41&lt;M41),"Pending",IF(AND(G41="Applicable",H41="Pass"),"Pass",IF(AND(G41="N/A",H41="N/A",J41&lt;&gt;"",OR(E41="CEM-FUELS",E41="CEM-CCS",AND(E41="CEM-PLAN",IFERROR(INDEX('Taxonomy'!$M$9:$M$108,MATCH(D41,'Taxonomy'!$C$9:$C$108,0)),"")&lt;&gt;"Amber"),E41="BLD-TIMBER",AND(U41="Building equipment",OR(E41="BLD-WATER",E41="BLD-WASTE",E41="BLD-LAND")),AND(U41="Building renovation",E41="BLD-LAND"))),"N/A","Pending"))))))</x:f>
        <x:v>Pass</x:v>
      </x:c>
      <x:c r="Q41" s="3" t="str">
        <x:f>IF(C41="","",IF(AND(R41="Valid",OR(P41="Pass",P41="N/A")),"Complete","Unresolved"))</x:f>
        <x:v>Complete</x:v>
      </x:c>
      <x:c r="R41" s="9" t="str">
        <x:f>IF(C41="","",IF(OR(COUNTIF($C$9:$C$2008,C41)&lt;&gt;1,COUNTIFS($D$9:$D$2008,D41,$E$9:$E$2008,E41)&lt;&gt;1),"Duplicate test",IF(COUNTIF('Taxonomy'!$C$9:$C$108,D41)&lt;&gt;1,"Assessment key",IF(OR(COUNTIF('Taxonomy Rules'!$C$42:$C$68,E41)&lt;&gt;1,F41&lt;&gt;IFERROR(INDEX('Taxonomy Rules'!$D$42:$D$68,MATCH(E41,'Taxonomy Rules'!$C$42:$C$68,0)),""),NOT(OR(IFERROR(INDEX('Taxonomy Rules'!$G$42:$G$68,MATCH(E41,'Taxonomy Rules'!$C$42:$C$68,0)),"")="All supported routes",IFERROR(INDEX('Taxonomy Rules'!$G$42:$G$68,MATCH(E41,'Taxonomy Rules'!$C$42:$C$68,0)),"")=U41,AND(IFERROR(INDEX('Taxonomy Rules'!$G$42:$G$68,MATCH(E41,'Taxonomy Rules'!$C$42:$C$68,0)),"")="Building routes",OR(U41="Building renovation",U41="New building",U41="Building equipment"))))),"Unexpected test","Valid"))))</x:f>
        <x:v>Valid</x:v>
      </x:c>
      <x:c r="S41" s="9" t="str">
        <x:f>IF(C41="","",IFERROR(INDEX('Taxonomy Rules'!$E$42:$E$68,MATCH(E41,'Taxonomy Rules'!$C$42:$C$68,0)),""))</x:f>
        <x:v>Required EIA, habitat screening and implemented mitigation.</x:v>
      </x:c>
      <x:c r="T41" s="9" t="str">
        <x:f>IF(C41="","",IFERROR(INDEX('Taxonomy Rules'!$F$42:$F$68,MATCH(E41,'Taxonomy Rules'!$C$42:$C$68,0)),""))</x:f>
        <x:v>S10 p32</x:v>
      </x:c>
      <x:c r="U41" s="9" t="str">
        <x:f>IF(C41="","",IFERROR(INDEX('Taxonomy'!$G$9:$G$108,MATCH(D41,'Taxonomy'!$C$9:$C$108,0)),""))</x:f>
        <x:v>Solar PV</x:v>
      </x:c>
    </x:row>
    <x:row r="42" ht="44" customHeight="1">
      <x:c r="A42" s="1"/>
      <x:c r="B42" s="1"/>
      <x:c r="C42" s="8" t="str">
        <x:v>TST-F003-MSS-LABOUR</x:v>
      </x:c>
      <x:c r="D42" s="8" t="str">
        <x:v>TAX-F003</x:v>
      </x:c>
      <x:c r="E42" s="8" t="str">
        <x:v>MSS-LABOUR</x:v>
      </x:c>
      <x:c r="F42" s="8" t="str">
        <x:v>MSS</x:v>
      </x:c>
      <x:c r="G42" s="8" t="str">
        <x:v>Applicable</x:v>
      </x:c>
      <x:c r="H42" s="8" t="str">
        <x:v>Pass</x:v>
      </x:c>
      <x:c r="I42" s="8" t="str">
        <x:v>SYN-TEST-F003-MSS-LABOUR</x:v>
      </x:c>
      <x:c r="J42" s="8" t="str"/>
      <x:c r="K42" s="8" t="str">
        <x:v>Taxonomy analyst 3</x:v>
      </x:c>
      <x:c r="L42" s="8" t="str">
        <x:v>Taxonomy reviewer 1</x:v>
      </x:c>
      <x:c r="M42" s="10" t="n">
        <x:v>46266</x:v>
      </x:c>
      <x:c r="N42" s="10" t="n">
        <x:v>46631</x:v>
      </x:c>
      <x:c r="O42" s="8"/>
      <x:c r="P42" s="9" t="str">
        <x:f>IF(C42="","",IF(AND(G42="Applicable",H42="Fail"),"Fail",IF(R42&lt;&gt;"Valid","Pending",IF(OR(I42="",K42="",L42="",K42=L42,NOT(ISNUMBER(M42)),NOT(ISNUMBER(N42)),M42&gt;Settings!$F$8,N42&lt;Settings!$F$8,N42&lt;M42),"Pending",IF(AND(G42="Applicable",H42="Pass"),"Pass",IF(AND(G42="N/A",H42="N/A",J42&lt;&gt;"",OR(E42="CEM-FUELS",E42="CEM-CCS",AND(E42="CEM-PLAN",IFERROR(INDEX('Taxonomy'!$M$9:$M$108,MATCH(D42,'Taxonomy'!$C$9:$C$108,0)),"")&lt;&gt;"Amber"),E42="BLD-TIMBER",AND(U42="Building equipment",OR(E42="BLD-WATER",E42="BLD-WASTE",E42="BLD-LAND")),AND(U42="Building renovation",E42="BLD-LAND"))),"N/A","Pending"))))))</x:f>
        <x:v>Pass</x:v>
      </x:c>
      <x:c r="Q42" s="3" t="str">
        <x:f>IF(C42="","",IF(AND(R42="Valid",OR(P42="Pass",P42="N/A")),"Complete","Unresolved"))</x:f>
        <x:v>Complete</x:v>
      </x:c>
      <x:c r="R42" s="9" t="str">
        <x:f>IF(C42="","",IF(OR(COUNTIF($C$9:$C$2008,C42)&lt;&gt;1,COUNTIFS($D$9:$D$2008,D42,$E$9:$E$2008,E42)&lt;&gt;1),"Duplicate test",IF(COUNTIF('Taxonomy'!$C$9:$C$108,D42)&lt;&gt;1,"Assessment key",IF(OR(COUNTIF('Taxonomy Rules'!$C$42:$C$68,E42)&lt;&gt;1,F42&lt;&gt;IFERROR(INDEX('Taxonomy Rules'!$D$42:$D$68,MATCH(E42,'Taxonomy Rules'!$C$42:$C$68,0)),""),NOT(OR(IFERROR(INDEX('Taxonomy Rules'!$G$42:$G$68,MATCH(E42,'Taxonomy Rules'!$C$42:$C$68,0)),"")="All supported routes",IFERROR(INDEX('Taxonomy Rules'!$G$42:$G$68,MATCH(E42,'Taxonomy Rules'!$C$42:$C$68,0)),"")=U42,AND(IFERROR(INDEX('Taxonomy Rules'!$G$42:$G$68,MATCH(E42,'Taxonomy Rules'!$C$42:$C$68,0)),"")="Building routes",OR(U42="Building renovation",U42="New building",U42="Building equipment"))))),"Unexpected test","Valid"))))</x:f>
        <x:v>Valid</x:v>
      </x:c>
      <x:c r="S42" s="9" t="str">
        <x:f>IF(C42="","",IFERROR(INDEX('Taxonomy Rules'!$E$42:$E$68,MATCH(E42,'Taxonomy Rules'!$C$42:$C$68,0)),""))</x:f>
        <x:v>Labour rights, minimum age, no child/forced labour, equality and worker representation.</x:v>
      </x:c>
      <x:c r="T42" s="9" t="str">
        <x:f>IF(C42="","",IFERROR(INDEX('Taxonomy Rules'!$F$42:$F$68,MATCH(E42,'Taxonomy Rules'!$C$42:$C$68,0)),""))</x:f>
        <x:v>S10 p29</x:v>
      </x:c>
      <x:c r="U42" s="9" t="str">
        <x:f>IF(C42="","",IFERROR(INDEX('Taxonomy'!$G$9:$G$108,MATCH(D42,'Taxonomy'!$C$9:$C$108,0)),""))</x:f>
        <x:v>Solar PV</x:v>
      </x:c>
    </x:row>
    <x:row r="43" ht="44" customHeight="1">
      <x:c r="A43" s="1"/>
      <x:c r="B43" s="1"/>
      <x:c r="C43" s="8" t="str">
        <x:v>TST-F003-MSS-OSH</x:v>
      </x:c>
      <x:c r="D43" s="8" t="str">
        <x:v>TAX-F003</x:v>
      </x:c>
      <x:c r="E43" s="8" t="str">
        <x:v>MSS-OSH</x:v>
      </x:c>
      <x:c r="F43" s="8" t="str">
        <x:v>MSS</x:v>
      </x:c>
      <x:c r="G43" s="8" t="str">
        <x:v>Applicable</x:v>
      </x:c>
      <x:c r="H43" s="8" t="str">
        <x:v>Pass</x:v>
      </x:c>
      <x:c r="I43" s="8" t="str">
        <x:v>SYN-TEST-F003-MSS-OSH</x:v>
      </x:c>
      <x:c r="J43" s="8" t="str"/>
      <x:c r="K43" s="8" t="str">
        <x:v>Taxonomy analyst 3</x:v>
      </x:c>
      <x:c r="L43" s="8" t="str">
        <x:v>Taxonomy reviewer 1</x:v>
      </x:c>
      <x:c r="M43" s="10" t="n">
        <x:v>46266</x:v>
      </x:c>
      <x:c r="N43" s="10" t="n">
        <x:v>46631</x:v>
      </x:c>
      <x:c r="O43" s="8"/>
      <x:c r="P43" s="9" t="str">
        <x:f>IF(C43="","",IF(AND(G43="Applicable",H43="Fail"),"Fail",IF(R43&lt;&gt;"Valid","Pending",IF(OR(I43="",K43="",L43="",K43=L43,NOT(ISNUMBER(M43)),NOT(ISNUMBER(N43)),M43&gt;Settings!$F$8,N43&lt;Settings!$F$8,N43&lt;M43),"Pending",IF(AND(G43="Applicable",H43="Pass"),"Pass",IF(AND(G43="N/A",H43="N/A",J43&lt;&gt;"",OR(E43="CEM-FUELS",E43="CEM-CCS",AND(E43="CEM-PLAN",IFERROR(INDEX('Taxonomy'!$M$9:$M$108,MATCH(D43,'Taxonomy'!$C$9:$C$108,0)),"")&lt;&gt;"Amber"),E43="BLD-TIMBER",AND(U43="Building equipment",OR(E43="BLD-WATER",E43="BLD-WASTE",E43="BLD-LAND")),AND(U43="Building renovation",E43="BLD-LAND"))),"N/A","Pending"))))))</x:f>
        <x:v>Pass</x:v>
      </x:c>
      <x:c r="Q43" s="3" t="str">
        <x:f>IF(C43="","",IF(AND(R43="Valid",OR(P43="Pass",P43="N/A")),"Complete","Unresolved"))</x:f>
        <x:v>Complete</x:v>
      </x:c>
      <x:c r="R43" s="9" t="str">
        <x:f>IF(C43="","",IF(OR(COUNTIF($C$9:$C$2008,C43)&lt;&gt;1,COUNTIFS($D$9:$D$2008,D43,$E$9:$E$2008,E43)&lt;&gt;1),"Duplicate test",IF(COUNTIF('Taxonomy'!$C$9:$C$108,D43)&lt;&gt;1,"Assessment key",IF(OR(COUNTIF('Taxonomy Rules'!$C$42:$C$68,E43)&lt;&gt;1,F43&lt;&gt;IFERROR(INDEX('Taxonomy Rules'!$D$42:$D$68,MATCH(E43,'Taxonomy Rules'!$C$42:$C$68,0)),""),NOT(OR(IFERROR(INDEX('Taxonomy Rules'!$G$42:$G$68,MATCH(E43,'Taxonomy Rules'!$C$42:$C$68,0)),"")="All supported routes",IFERROR(INDEX('Taxonomy Rules'!$G$42:$G$68,MATCH(E43,'Taxonomy Rules'!$C$42:$C$68,0)),"")=U43,AND(IFERROR(INDEX('Taxonomy Rules'!$G$42:$G$68,MATCH(E43,'Taxonomy Rules'!$C$42:$C$68,0)),"")="Building routes",OR(U43="Building renovation",U43="New building",U43="Building equipment"))))),"Unexpected test","Valid"))))</x:f>
        <x:v>Valid</x:v>
      </x:c>
      <x:c r="S43" s="9" t="str">
        <x:f>IF(C43="","",IFERROR(INDEX('Taxonomy Rules'!$E$42:$E$68,MATCH(E43,'Taxonomy Rules'!$C$42:$C$68,0)),""))</x:f>
        <x:v>Applicable occupational safety, hazard prevention and emergency readiness.</x:v>
      </x:c>
      <x:c r="T43" s="9" t="str">
        <x:f>IF(C43="","",IFERROR(INDEX('Taxonomy Rules'!$F$42:$F$68,MATCH(E43,'Taxonomy Rules'!$C$42:$C$68,0)),""))</x:f>
        <x:v>S10 p29</x:v>
      </x:c>
      <x:c r="U43" s="9" t="str">
        <x:f>IF(C43="","",IFERROR(INDEX('Taxonomy'!$G$9:$G$108,MATCH(D43,'Taxonomy'!$C$9:$C$108,0)),""))</x:f>
        <x:v>Solar PV</x:v>
      </x:c>
    </x:row>
    <x:row r="44" ht="44" customHeight="1">
      <x:c r="A44" s="1"/>
      <x:c r="B44" s="1"/>
      <x:c r="C44" s="8" t="str">
        <x:v>TST-F003-MSS-RIGHTS</x:v>
      </x:c>
      <x:c r="D44" s="8" t="str">
        <x:v>TAX-F003</x:v>
      </x:c>
      <x:c r="E44" s="8" t="str">
        <x:v>MSS-RIGHTS</x:v>
      </x:c>
      <x:c r="F44" s="8" t="str">
        <x:v>MSS</x:v>
      </x:c>
      <x:c r="G44" s="8" t="str">
        <x:v>Applicable</x:v>
      </x:c>
      <x:c r="H44" s="8" t="str">
        <x:v>Pass</x:v>
      </x:c>
      <x:c r="I44" s="8" t="str">
        <x:v>SYN-TEST-F003-MSS-RIGHTS</x:v>
      </x:c>
      <x:c r="J44" s="8" t="str"/>
      <x:c r="K44" s="8" t="str">
        <x:v>Taxonomy analyst 3</x:v>
      </x:c>
      <x:c r="L44" s="8" t="str">
        <x:v>Taxonomy reviewer 1</x:v>
      </x:c>
      <x:c r="M44" s="10" t="n">
        <x:v>46266</x:v>
      </x:c>
      <x:c r="N44" s="10" t="n">
        <x:v>46631</x:v>
      </x:c>
      <x:c r="O44" s="8"/>
      <x:c r="P44" s="9" t="str">
        <x:f>IF(C44="","",IF(AND(G44="Applicable",H44="Fail"),"Fail",IF(R44&lt;&gt;"Valid","Pending",IF(OR(I44="",K44="",L44="",K44=L44,NOT(ISNUMBER(M44)),NOT(ISNUMBER(N44)),M44&gt;Settings!$F$8,N44&lt;Settings!$F$8,N44&lt;M44),"Pending",IF(AND(G44="Applicable",H44="Pass"),"Pass",IF(AND(G44="N/A",H44="N/A",J44&lt;&gt;"",OR(E44="CEM-FUELS",E44="CEM-CCS",AND(E44="CEM-PLAN",IFERROR(INDEX('Taxonomy'!$M$9:$M$108,MATCH(D44,'Taxonomy'!$C$9:$C$108,0)),"")&lt;&gt;"Amber"),E44="BLD-TIMBER",AND(U44="Building equipment",OR(E44="BLD-WATER",E44="BLD-WASTE",E44="BLD-LAND")),AND(U44="Building renovation",E44="BLD-LAND"))),"N/A","Pending"))))))</x:f>
        <x:v>Pass</x:v>
      </x:c>
      <x:c r="Q44" s="3" t="str">
        <x:f>IF(C44="","",IF(AND(R44="Valid",OR(P44="Pass",P44="N/A")),"Complete","Unresolved"))</x:f>
        <x:v>Complete</x:v>
      </x:c>
      <x:c r="R44" s="9" t="str">
        <x:f>IF(C44="","",IF(OR(COUNTIF($C$9:$C$2008,C44)&lt;&gt;1,COUNTIFS($D$9:$D$2008,D44,$E$9:$E$2008,E44)&lt;&gt;1),"Duplicate test",IF(COUNTIF('Taxonomy'!$C$9:$C$108,D44)&lt;&gt;1,"Assessment key",IF(OR(COUNTIF('Taxonomy Rules'!$C$42:$C$68,E44)&lt;&gt;1,F44&lt;&gt;IFERROR(INDEX('Taxonomy Rules'!$D$42:$D$68,MATCH(E44,'Taxonomy Rules'!$C$42:$C$68,0)),""),NOT(OR(IFERROR(INDEX('Taxonomy Rules'!$G$42:$G$68,MATCH(E44,'Taxonomy Rules'!$C$42:$C$68,0)),"")="All supported routes",IFERROR(INDEX('Taxonomy Rules'!$G$42:$G$68,MATCH(E44,'Taxonomy Rules'!$C$42:$C$68,0)),"")=U44,AND(IFERROR(INDEX('Taxonomy Rules'!$G$42:$G$68,MATCH(E44,'Taxonomy Rules'!$C$42:$C$68,0)),"")="Building routes",OR(U44="Building renovation",U44="New building",U44="Building equipment"))))),"Unexpected test","Valid"))))</x:f>
        <x:v>Valid</x:v>
      </x:c>
      <x:c r="S44" s="9" t="str">
        <x:f>IF(C44="","",IFERROR(INDEX('Taxonomy Rules'!$E$42:$E$68,MATCH(E44,'Taxonomy Rules'!$C$42:$C$68,0)),""))</x:f>
        <x:v>Proportionate human-rights diligence, stakeholder/social-impact process and grievance mechanism.</x:v>
      </x:c>
      <x:c r="T44" s="9" t="str">
        <x:f>IF(C44="","",IFERROR(INDEX('Taxonomy Rules'!$F$42:$F$68,MATCH(E44,'Taxonomy Rules'!$C$42:$C$68,0)),""))</x:f>
        <x:v>S10 p29</x:v>
      </x:c>
      <x:c r="U44" s="9" t="str">
        <x:f>IF(C44="","",IFERROR(INDEX('Taxonomy'!$G$9:$G$108,MATCH(D44,'Taxonomy'!$C$9:$C$108,0)),""))</x:f>
        <x:v>Solar PV</x:v>
      </x:c>
    </x:row>
    <x:row r="45" ht="44" customHeight="1">
      <x:c r="A45" s="1"/>
      <x:c r="B45" s="1"/>
      <x:c r="C45" s="8" t="str">
        <x:v>TST-F003-PV-DURABLE</x:v>
      </x:c>
      <x:c r="D45" s="8" t="str">
        <x:v>TAX-F003</x:v>
      </x:c>
      <x:c r="E45" s="8" t="str">
        <x:v>PV-DURABLE</x:v>
      </x:c>
      <x:c r="F45" s="8" t="str">
        <x:v>DNSH</x:v>
      </x:c>
      <x:c r="G45" s="8" t="str">
        <x:v>Applicable</x:v>
      </x:c>
      <x:c r="H45" s="8" t="str">
        <x:v>Pass</x:v>
      </x:c>
      <x:c r="I45" s="8" t="str">
        <x:v>SYN-TEST-F003-PV-DURABLE</x:v>
      </x:c>
      <x:c r="J45" s="8" t="str"/>
      <x:c r="K45" s="8" t="str">
        <x:v>Taxonomy analyst 3</x:v>
      </x:c>
      <x:c r="L45" s="8" t="str">
        <x:v>Taxonomy reviewer 1</x:v>
      </x:c>
      <x:c r="M45" s="10" t="n">
        <x:v>46266</x:v>
      </x:c>
      <x:c r="N45" s="10" t="n">
        <x:v>46631</x:v>
      </x:c>
      <x:c r="O45" s="8"/>
      <x:c r="P45" s="9" t="str">
        <x:f>IF(C45="","",IF(AND(G45="Applicable",H45="Fail"),"Fail",IF(R45&lt;&gt;"Valid","Pending",IF(OR(I45="",K45="",L45="",K45=L45,NOT(ISNUMBER(M45)),NOT(ISNUMBER(N45)),M45&gt;Settings!$F$8,N45&lt;Settings!$F$8,N45&lt;M45),"Pending",IF(AND(G45="Applicable",H45="Pass"),"Pass",IF(AND(G45="N/A",H45="N/A",J45&lt;&gt;"",OR(E45="CEM-FUELS",E45="CEM-CCS",AND(E45="CEM-PLAN",IFERROR(INDEX('Taxonomy'!$M$9:$M$108,MATCH(D45,'Taxonomy'!$C$9:$C$108,0)),"")&lt;&gt;"Amber"),E45="BLD-TIMBER",AND(U45="Building equipment",OR(E45="BLD-WATER",E45="BLD-WASTE",E45="BLD-LAND")),AND(U45="Building renovation",E45="BLD-LAND"))),"N/A","Pending"))))))</x:f>
        <x:v>Pass</x:v>
      </x:c>
      <x:c r="Q45" s="3" t="str">
        <x:f>IF(C45="","",IF(AND(R45="Valid",OR(P45="Pass",P45="N/A")),"Complete","Unresolved"))</x:f>
        <x:v>Complete</x:v>
      </x:c>
      <x:c r="R45" s="9" t="str">
        <x:f>IF(C45="","",IF(OR(COUNTIF($C$9:$C$2008,C45)&lt;&gt;1,COUNTIFS($D$9:$D$2008,D45,$E$9:$E$2008,E45)&lt;&gt;1),"Duplicate test",IF(COUNTIF('Taxonomy'!$C$9:$C$108,D45)&lt;&gt;1,"Assessment key",IF(OR(COUNTIF('Taxonomy Rules'!$C$42:$C$68,E45)&lt;&gt;1,F45&lt;&gt;IFERROR(INDEX('Taxonomy Rules'!$D$42:$D$68,MATCH(E45,'Taxonomy Rules'!$C$42:$C$68,0)),""),NOT(OR(IFERROR(INDEX('Taxonomy Rules'!$G$42:$G$68,MATCH(E45,'Taxonomy Rules'!$C$42:$C$68,0)),"")="All supported routes",IFERROR(INDEX('Taxonomy Rules'!$G$42:$G$68,MATCH(E45,'Taxonomy Rules'!$C$42:$C$68,0)),"")=U45,AND(IFERROR(INDEX('Taxonomy Rules'!$G$42:$G$68,MATCH(E45,'Taxonomy Rules'!$C$42:$C$68,0)),"")="Building routes",OR(U45="Building renovation",U45="New building",U45="Building equipment"))))),"Unexpected test","Valid"))))</x:f>
        <x:v>Valid</x:v>
      </x:c>
      <x:c r="S45" s="9" t="str">
        <x:f>IF(C45="","",IFERROR(INDEX('Taxonomy Rules'!$E$42:$E$68,MATCH(E45,'Taxonomy Rules'!$C$42:$C$68,0)),""))</x:f>
        <x:v>Durable, recyclable, dismantlable and refurbishable components assessed and used where feasible.</x:v>
      </x:c>
      <x:c r="T45" s="9" t="str">
        <x:f>IF(C45="","",IFERROR(INDEX('Taxonomy Rules'!$F$42:$F$68,MATCH(E45,'Taxonomy Rules'!$C$42:$C$68,0)),""))</x:f>
        <x:v>S10 p86</x:v>
      </x:c>
      <x:c r="U45" s="9" t="str">
        <x:f>IF(C45="","",IFERROR(INDEX('Taxonomy'!$G$9:$G$108,MATCH(D45,'Taxonomy'!$C$9:$C$108,0)),""))</x:f>
        <x:v>Solar PV</x:v>
      </x:c>
    </x:row>
    <x:row r="46" ht="44" customHeight="1">
      <x:c r="A46" s="1"/>
      <x:c r="B46" s="1"/>
      <x:c r="C46" s="8" t="str">
        <x:v>TST-F003-PV-ENDLIFE</x:v>
      </x:c>
      <x:c r="D46" s="8" t="str">
        <x:v>TAX-F003</x:v>
      </x:c>
      <x:c r="E46" s="8" t="str">
        <x:v>PV-ENDLIFE</x:v>
      </x:c>
      <x:c r="F46" s="8" t="str">
        <x:v>DNSH</x:v>
      </x:c>
      <x:c r="G46" s="8" t="str">
        <x:v>Applicable</x:v>
      </x:c>
      <x:c r="H46" s="8" t="str">
        <x:v>Pass</x:v>
      </x:c>
      <x:c r="I46" s="8" t="str">
        <x:v>SYN-TEST-F003-PV-ENDLIFE</x:v>
      </x:c>
      <x:c r="J46" s="8" t="str"/>
      <x:c r="K46" s="8" t="str">
        <x:v>Taxonomy analyst 3</x:v>
      </x:c>
      <x:c r="L46" s="8" t="str">
        <x:v>Taxonomy reviewer 1</x:v>
      </x:c>
      <x:c r="M46" s="10" t="n">
        <x:v>46266</x:v>
      </x:c>
      <x:c r="N46" s="10" t="n">
        <x:v>46631</x:v>
      </x:c>
      <x:c r="O46" s="8"/>
      <x:c r="P46" s="9" t="str">
        <x:f>IF(C46="","",IF(AND(G46="Applicable",H46="Fail"),"Fail",IF(R46&lt;&gt;"Valid","Pending",IF(OR(I46="",K46="",L46="",K46=L46,NOT(ISNUMBER(M46)),NOT(ISNUMBER(N46)),M46&gt;Settings!$F$8,N46&lt;Settings!$F$8,N46&lt;M46),"Pending",IF(AND(G46="Applicable",H46="Pass"),"Pass",IF(AND(G46="N/A",H46="N/A",J46&lt;&gt;"",OR(E46="CEM-FUELS",E46="CEM-CCS",AND(E46="CEM-PLAN",IFERROR(INDEX('Taxonomy'!$M$9:$M$108,MATCH(D46,'Taxonomy'!$C$9:$C$108,0)),"")&lt;&gt;"Amber"),E46="BLD-TIMBER",AND(U46="Building equipment",OR(E46="BLD-WATER",E46="BLD-WASTE",E46="BLD-LAND")),AND(U46="Building renovation",E46="BLD-LAND"))),"N/A","Pending"))))))</x:f>
        <x:v>Pass</x:v>
      </x:c>
      <x:c r="Q46" s="3" t="str">
        <x:f>IF(C46="","",IF(AND(R46="Valid",OR(P46="Pass",P46="N/A")),"Complete","Unresolved"))</x:f>
        <x:v>Complete</x:v>
      </x:c>
      <x:c r="R46" s="9" t="str">
        <x:f>IF(C46="","",IF(OR(COUNTIF($C$9:$C$2008,C46)&lt;&gt;1,COUNTIFS($D$9:$D$2008,D46,$E$9:$E$2008,E46)&lt;&gt;1),"Duplicate test",IF(COUNTIF('Taxonomy'!$C$9:$C$108,D46)&lt;&gt;1,"Assessment key",IF(OR(COUNTIF('Taxonomy Rules'!$C$42:$C$68,E46)&lt;&gt;1,F46&lt;&gt;IFERROR(INDEX('Taxonomy Rules'!$D$42:$D$68,MATCH(E46,'Taxonomy Rules'!$C$42:$C$68,0)),""),NOT(OR(IFERROR(INDEX('Taxonomy Rules'!$G$42:$G$68,MATCH(E46,'Taxonomy Rules'!$C$42:$C$68,0)),"")="All supported routes",IFERROR(INDEX('Taxonomy Rules'!$G$42:$G$68,MATCH(E46,'Taxonomy Rules'!$C$42:$C$68,0)),"")=U46,AND(IFERROR(INDEX('Taxonomy Rules'!$G$42:$G$68,MATCH(E46,'Taxonomy Rules'!$C$42:$C$68,0)),"")="Building routes",OR(U46="Building renovation",U46="New building",U46="Building equipment"))))),"Unexpected test","Valid"))))</x:f>
        <x:v>Valid</x:v>
      </x:c>
      <x:c r="S46" s="9" t="str">
        <x:f>IF(C46="","",IFERROR(INDEX('Taxonomy Rules'!$E$42:$E$68,MATCH(E46,'Taxonomy Rules'!$C$42:$C$68,0)),""))</x:f>
        <x:v>Implemented panel end-of-life management consistent with recycling standards.</x:v>
      </x:c>
      <x:c r="T46" s="9" t="str">
        <x:f>IF(C46="","",IFERROR(INDEX('Taxonomy Rules'!$F$42:$F$68,MATCH(E46,'Taxonomy Rules'!$C$42:$C$68,0)),""))</x:f>
        <x:v>S10 p86</x:v>
      </x:c>
      <x:c r="U46" s="9" t="str">
        <x:f>IF(C46="","",IFERROR(INDEX('Taxonomy'!$G$9:$G$108,MATCH(D46,'Taxonomy'!$C$9:$C$108,0)),""))</x:f>
        <x:v>Solar PV</x:v>
      </x:c>
    </x:row>
    <x:row r="47" ht="44" customHeight="1">
      <x:c r="A47" s="1"/>
      <x:c r="B47" s="1"/>
      <x:c r="C47" s="8" t="str">
        <x:v>TST-F004-SC-EVIDENCE</x:v>
      </x:c>
      <x:c r="D47" s="8" t="str">
        <x:v>TAX-F004</x:v>
      </x:c>
      <x:c r="E47" s="8" t="str">
        <x:v>SC-EVIDENCE</x:v>
      </x:c>
      <x:c r="F47" s="8" t="str">
        <x:v>Technical</x:v>
      </x:c>
      <x:c r="G47" s="8" t="str">
        <x:v>Applicable</x:v>
      </x:c>
      <x:c r="H47" s="8" t="str">
        <x:v>Pass</x:v>
      </x:c>
      <x:c r="I47" s="8" t="str">
        <x:v>SYN-TEST-F004-SC-EVIDENCE</x:v>
      </x:c>
      <x:c r="J47" s="8" t="str"/>
      <x:c r="K47" s="8" t="str">
        <x:v>Taxonomy analyst 1</x:v>
      </x:c>
      <x:c r="L47" s="8" t="str">
        <x:v>Taxonomy reviewer 2</x:v>
      </x:c>
      <x:c r="M47" s="10" t="n">
        <x:v>46266</x:v>
      </x:c>
      <x:c r="N47" s="10" t="n">
        <x:v>46631</x:v>
      </x:c>
      <x:c r="O47" s="8"/>
      <x:c r="P47" s="9" t="str">
        <x:f>IF(C47="","",IF(AND(G47="Applicable",H47="Fail"),"Fail",IF(R47&lt;&gt;"Valid","Pending",IF(OR(I47="",K47="",L47="",K47=L47,NOT(ISNUMBER(M47)),NOT(ISNUMBER(N47)),M47&gt;Settings!$F$8,N47&lt;Settings!$F$8,N47&lt;M47),"Pending",IF(AND(G47="Applicable",H47="Pass"),"Pass",IF(AND(G47="N/A",H47="N/A",J47&lt;&gt;"",OR(E47="CEM-FUELS",E47="CEM-CCS",AND(E47="CEM-PLAN",IFERROR(INDEX('Taxonomy'!$M$9:$M$108,MATCH(D47,'Taxonomy'!$C$9:$C$108,0)),"")&lt;&gt;"Amber"),E47="BLD-TIMBER",AND(U47="Building equipment",OR(E47="BLD-WATER",E47="BLD-WASTE",E47="BLD-LAND")),AND(U47="Building renovation",E47="BLD-LAND"))),"N/A","Pending"))))))</x:f>
        <x:v>Pass</x:v>
      </x:c>
      <x:c r="Q47" s="3" t="str">
        <x:f>IF(C47="","",IF(AND(R47="Valid",OR(P47="Pass",P47="N/A")),"Complete","Unresolved"))</x:f>
        <x:v>Complete</x:v>
      </x:c>
      <x:c r="R47" s="9" t="str">
        <x:f>IF(C47="","",IF(OR(COUNTIF($C$9:$C$2008,C47)&lt;&gt;1,COUNTIFS($D$9:$D$2008,D47,$E$9:$E$2008,E47)&lt;&gt;1),"Duplicate test",IF(COUNTIF('Taxonomy'!$C$9:$C$108,D47)&lt;&gt;1,"Assessment key",IF(OR(COUNTIF('Taxonomy Rules'!$C$42:$C$68,E47)&lt;&gt;1,F47&lt;&gt;IFERROR(INDEX('Taxonomy Rules'!$D$42:$D$68,MATCH(E47,'Taxonomy Rules'!$C$42:$C$68,0)),""),NOT(OR(IFERROR(INDEX('Taxonomy Rules'!$G$42:$G$68,MATCH(E47,'Taxonomy Rules'!$C$42:$C$68,0)),"")="All supported routes",IFERROR(INDEX('Taxonomy Rules'!$G$42:$G$68,MATCH(E47,'Taxonomy Rules'!$C$42:$C$68,0)),"")=U47,AND(IFERROR(INDEX('Taxonomy Rules'!$G$42:$G$68,MATCH(E47,'Taxonomy Rules'!$C$42:$C$68,0)),"")="Building routes",OR(U47="Building renovation",U47="New building",U47="Building equipment"))))),"Unexpected test","Valid"))))</x:f>
        <x:v>Valid</x:v>
      </x:c>
      <x:c r="S47" s="9" t="str">
        <x:f>IF(C47="","",IFERROR(INDEX('Taxonomy Rules'!$E$42:$E$68,MATCH(E47,'Taxonomy Rules'!$C$42:$C$68,0)),""))</x:f>
        <x:v>Boundary and chosen route are evidenced; observations match the activity card.</x:v>
      </x:c>
      <x:c r="T47" s="9" t="str">
        <x:f>IF(C47="","",IFERROR(INDEX('Taxonomy Rules'!$F$42:$F$68,MATCH(E47,'Taxonomy Rules'!$C$42:$C$68,0)),""))</x:f>
        <x:v>S10 activity card</x:v>
      </x:c>
      <x:c r="U47" s="9" t="str">
        <x:f>IF(C47="","",IFERROR(INDEX('Taxonomy'!$G$9:$G$108,MATCH(D47,'Taxonomy'!$C$9:$C$108,0)),""))</x:f>
        <x:v>Solar PV</x:v>
      </x:c>
    </x:row>
    <x:row r="48" ht="44" customHeight="1">
      <x:c r="A48" s="1"/>
      <x:c r="B48" s="1"/>
      <x:c r="C48" s="8" t="str">
        <x:v>TST-F004-DNSH-MIT</x:v>
      </x:c>
      <x:c r="D48" s="8" t="str">
        <x:v>TAX-F004</x:v>
      </x:c>
      <x:c r="E48" s="8" t="str">
        <x:v>DNSH-MIT</x:v>
      </x:c>
      <x:c r="F48" s="8" t="str">
        <x:v>DNSH</x:v>
      </x:c>
      <x:c r="G48" s="8" t="str">
        <x:v>Applicable</x:v>
      </x:c>
      <x:c r="H48" s="8" t="str">
        <x:v>Pass</x:v>
      </x:c>
      <x:c r="I48" s="8" t="str">
        <x:v>SYN-TEST-F004-DNSH-MIT</x:v>
      </x:c>
      <x:c r="J48" s="8" t="str"/>
      <x:c r="K48" s="8" t="str">
        <x:v>Taxonomy analyst 1</x:v>
      </x:c>
      <x:c r="L48" s="8" t="str">
        <x:v>Taxonomy reviewer 2</x:v>
      </x:c>
      <x:c r="M48" s="10" t="n">
        <x:v>46266</x:v>
      </x:c>
      <x:c r="N48" s="10" t="n">
        <x:v>46631</x:v>
      </x:c>
      <x:c r="O48" s="8"/>
      <x:c r="P48" s="9" t="str">
        <x:f>IF(C48="","",IF(AND(G48="Applicable",H48="Fail"),"Fail",IF(R48&lt;&gt;"Valid","Pending",IF(OR(I48="",K48="",L48="",K48=L48,NOT(ISNUMBER(M48)),NOT(ISNUMBER(N48)),M48&gt;Settings!$F$8,N48&lt;Settings!$F$8,N48&lt;M48),"Pending",IF(AND(G48="Applicable",H48="Pass"),"Pass",IF(AND(G48="N/A",H48="N/A",J48&lt;&gt;"",OR(E48="CEM-FUELS",E48="CEM-CCS",AND(E48="CEM-PLAN",IFERROR(INDEX('Taxonomy'!$M$9:$M$108,MATCH(D48,'Taxonomy'!$C$9:$C$108,0)),"")&lt;&gt;"Amber"),E48="BLD-TIMBER",AND(U48="Building equipment",OR(E48="BLD-WATER",E48="BLD-WASTE",E48="BLD-LAND")),AND(U48="Building renovation",E48="BLD-LAND"))),"N/A","Pending"))))))</x:f>
        <x:v>Pass</x:v>
      </x:c>
      <x:c r="Q48" s="3" t="str">
        <x:f>IF(C48="","",IF(AND(R48="Valid",OR(P48="Pass",P48="N/A")),"Complete","Unresolved"))</x:f>
        <x:v>Complete</x:v>
      </x:c>
      <x:c r="R48" s="9" t="str">
        <x:f>IF(C48="","",IF(OR(COUNTIF($C$9:$C$2008,C48)&lt;&gt;1,COUNTIFS($D$9:$D$2008,D48,$E$9:$E$2008,E48)&lt;&gt;1),"Duplicate test",IF(COUNTIF('Taxonomy'!$C$9:$C$108,D48)&lt;&gt;1,"Assessment key",IF(OR(COUNTIF('Taxonomy Rules'!$C$42:$C$68,E48)&lt;&gt;1,F48&lt;&gt;IFERROR(INDEX('Taxonomy Rules'!$D$42:$D$68,MATCH(E48,'Taxonomy Rules'!$C$42:$C$68,0)),""),NOT(OR(IFERROR(INDEX('Taxonomy Rules'!$G$42:$G$68,MATCH(E48,'Taxonomy Rules'!$C$42:$C$68,0)),"")="All supported routes",IFERROR(INDEX('Taxonomy Rules'!$G$42:$G$68,MATCH(E48,'Taxonomy Rules'!$C$42:$C$68,0)),"")=U48,AND(IFERROR(INDEX('Taxonomy Rules'!$G$42:$G$68,MATCH(E48,'Taxonomy Rules'!$C$42:$C$68,0)),"")="Building routes",OR(U48="Building renovation",U48="New building",U48="Building equipment"))))),"Unexpected test","Valid"))))</x:f>
        <x:v>Valid</x:v>
      </x:c>
      <x:c r="S48" s="9" t="str">
        <x:f>IF(C48="","",IFERROR(INDEX('Taxonomy Rules'!$E$42:$E$68,MATCH(E48,'Taxonomy Rules'!$C$42:$C$68,0)),""))</x:f>
        <x:v>No avoidable fossil lock-in; material lifecycle effects assessed.</x:v>
      </x:c>
      <x:c r="T48" s="9" t="str">
        <x:f>IF(C48="","",IFERROR(INDEX('Taxonomy Rules'!$F$42:$F$68,MATCH(E48,'Taxonomy Rules'!$C$42:$C$68,0)),""))</x:f>
        <x:v>S10 p30</x:v>
      </x:c>
      <x:c r="U48" s="9" t="str">
        <x:f>IF(C48="","",IFERROR(INDEX('Taxonomy'!$G$9:$G$108,MATCH(D48,'Taxonomy'!$C$9:$C$108,0)),""))</x:f>
        <x:v>Solar PV</x:v>
      </x:c>
    </x:row>
    <x:row r="49" ht="44" customHeight="1">
      <x:c r="A49" s="1"/>
      <x:c r="B49" s="1"/>
      <x:c r="C49" s="8" t="str">
        <x:v>TST-F004-DNSH-ADAPT</x:v>
      </x:c>
      <x:c r="D49" s="8" t="str">
        <x:v>TAX-F004</x:v>
      </x:c>
      <x:c r="E49" s="8" t="str">
        <x:v>DNSH-ADAPT</x:v>
      </x:c>
      <x:c r="F49" s="8" t="str">
        <x:v>DNSH</x:v>
      </x:c>
      <x:c r="G49" s="8" t="str">
        <x:v>Applicable</x:v>
      </x:c>
      <x:c r="H49" s="8" t="str">
        <x:v>Pass</x:v>
      </x:c>
      <x:c r="I49" s="8" t="str">
        <x:v>SYN-TEST-F004-DNSH-ADAPT</x:v>
      </x:c>
      <x:c r="J49" s="8" t="str"/>
      <x:c r="K49" s="8" t="str">
        <x:v>Taxonomy analyst 1</x:v>
      </x:c>
      <x:c r="L49" s="8" t="str">
        <x:v>Taxonomy reviewer 2</x:v>
      </x:c>
      <x:c r="M49" s="10" t="n">
        <x:v>46266</x:v>
      </x:c>
      <x:c r="N49" s="10" t="n">
        <x:v>46631</x:v>
      </x:c>
      <x:c r="O49" s="8"/>
      <x:c r="P49" s="9" t="str">
        <x:f>IF(C49="","",IF(AND(G49="Applicable",H49="Fail"),"Fail",IF(R49&lt;&gt;"Valid","Pending",IF(OR(I49="",K49="",L49="",K49=L49,NOT(ISNUMBER(M49)),NOT(ISNUMBER(N49)),M49&gt;Settings!$F$8,N49&lt;Settings!$F$8,N49&lt;M49),"Pending",IF(AND(G49="Applicable",H49="Pass"),"Pass",IF(AND(G49="N/A",H49="N/A",J49&lt;&gt;"",OR(E49="CEM-FUELS",E49="CEM-CCS",AND(E49="CEM-PLAN",IFERROR(INDEX('Taxonomy'!$M$9:$M$108,MATCH(D49,'Taxonomy'!$C$9:$C$108,0)),"")&lt;&gt;"Amber"),E49="BLD-TIMBER",AND(U49="Building equipment",OR(E49="BLD-WATER",E49="BLD-WASTE",E49="BLD-LAND")),AND(U49="Building renovation",E49="BLD-LAND"))),"N/A","Pending"))))))</x:f>
        <x:v>Pass</x:v>
      </x:c>
      <x:c r="Q49" s="3" t="str">
        <x:f>IF(C49="","",IF(AND(R49="Valid",OR(P49="Pass",P49="N/A")),"Complete","Unresolved"))</x:f>
        <x:v>Complete</x:v>
      </x:c>
      <x:c r="R49" s="9" t="str">
        <x:f>IF(C49="","",IF(OR(COUNTIF($C$9:$C$2008,C49)&lt;&gt;1,COUNTIFS($D$9:$D$2008,D49,$E$9:$E$2008,E49)&lt;&gt;1),"Duplicate test",IF(COUNTIF('Taxonomy'!$C$9:$C$108,D49)&lt;&gt;1,"Assessment key",IF(OR(COUNTIF('Taxonomy Rules'!$C$42:$C$68,E49)&lt;&gt;1,F49&lt;&gt;IFERROR(INDEX('Taxonomy Rules'!$D$42:$D$68,MATCH(E49,'Taxonomy Rules'!$C$42:$C$68,0)),""),NOT(OR(IFERROR(INDEX('Taxonomy Rules'!$G$42:$G$68,MATCH(E49,'Taxonomy Rules'!$C$42:$C$68,0)),"")="All supported routes",IFERROR(INDEX('Taxonomy Rules'!$G$42:$G$68,MATCH(E49,'Taxonomy Rules'!$C$42:$C$68,0)),"")=U49,AND(IFERROR(INDEX('Taxonomy Rules'!$G$42:$G$68,MATCH(E49,'Taxonomy Rules'!$C$42:$C$68,0)),"")="Building routes",OR(U49="Building renovation",U49="New building",U49="Building equipment"))))),"Unexpected test","Valid"))))</x:f>
        <x:v>Valid</x:v>
      </x:c>
      <x:c r="S49" s="9" t="str">
        <x:f>IF(C49="","",IFERROR(INDEX('Taxonomy Rules'!$E$42:$E$68,MATCH(E49,'Taxonomy Rules'!$C$42:$C$68,0)),""))</x:f>
        <x:v>Lifetime hazard screen, material risk assessment and implemented adaptation; no harm to others.</x:v>
      </x:c>
      <x:c r="T49" s="9" t="str">
        <x:f>IF(C49="","",IFERROR(INDEX('Taxonomy Rules'!$F$42:$F$68,MATCH(E49,'Taxonomy Rules'!$C$42:$C$68,0)),""))</x:f>
        <x:v>S10 pp30–31</x:v>
      </x:c>
      <x:c r="U49" s="9" t="str">
        <x:f>IF(C49="","",IFERROR(INDEX('Taxonomy'!$G$9:$G$108,MATCH(D49,'Taxonomy'!$C$9:$C$108,0)),""))</x:f>
        <x:v>Solar PV</x:v>
      </x:c>
    </x:row>
    <x:row r="50" ht="44" customHeight="1">
      <x:c r="A50" s="1"/>
      <x:c r="B50" s="1"/>
      <x:c r="C50" s="8" t="str">
        <x:v>TST-F004-DNSH-WATER</x:v>
      </x:c>
      <x:c r="D50" s="8" t="str">
        <x:v>TAX-F004</x:v>
      </x:c>
      <x:c r="E50" s="8" t="str">
        <x:v>DNSH-WATER</x:v>
      </x:c>
      <x:c r="F50" s="8" t="str">
        <x:v>DNSH</x:v>
      </x:c>
      <x:c r="G50" s="8" t="str">
        <x:v>Applicable</x:v>
      </x:c>
      <x:c r="H50" s="8" t="str">
        <x:v>Pass</x:v>
      </x:c>
      <x:c r="I50" s="8" t="str">
        <x:v>SYN-TEST-F004-DNSH-WATER</x:v>
      </x:c>
      <x:c r="J50" s="8" t="str"/>
      <x:c r="K50" s="8" t="str">
        <x:v>Taxonomy analyst 1</x:v>
      </x:c>
      <x:c r="L50" s="8" t="str">
        <x:v>Taxonomy reviewer 2</x:v>
      </x:c>
      <x:c r="M50" s="10" t="n">
        <x:v>46266</x:v>
      </x:c>
      <x:c r="N50" s="10" t="n">
        <x:v>46631</x:v>
      </x:c>
      <x:c r="O50" s="8"/>
      <x:c r="P50" s="9" t="str">
        <x:f>IF(C50="","",IF(AND(G50="Applicable",H50="Fail"),"Fail",IF(R50&lt;&gt;"Valid","Pending",IF(OR(I50="",K50="",L50="",K50=L50,NOT(ISNUMBER(M50)),NOT(ISNUMBER(N50)),M50&gt;Settings!$F$8,N50&lt;Settings!$F$8,N50&lt;M50),"Pending",IF(AND(G50="Applicable",H50="Pass"),"Pass",IF(AND(G50="N/A",H50="N/A",J50&lt;&gt;"",OR(E50="CEM-FUELS",E50="CEM-CCS",AND(E50="CEM-PLAN",IFERROR(INDEX('Taxonomy'!$M$9:$M$108,MATCH(D50,'Taxonomy'!$C$9:$C$108,0)),"")&lt;&gt;"Amber"),E50="BLD-TIMBER",AND(U50="Building equipment",OR(E50="BLD-WATER",E50="BLD-WASTE",E50="BLD-LAND")),AND(U50="Building renovation",E50="BLD-LAND"))),"N/A","Pending"))))))</x:f>
        <x:v>Pass</x:v>
      </x:c>
      <x:c r="Q50" s="3" t="str">
        <x:f>IF(C50="","",IF(AND(R50="Valid",OR(P50="Pass",P50="N/A")),"Complete","Unresolved"))</x:f>
        <x:v>Complete</x:v>
      </x:c>
      <x:c r="R50" s="9" t="str">
        <x:f>IF(C50="","",IF(OR(COUNTIF($C$9:$C$2008,C50)&lt;&gt;1,COUNTIFS($D$9:$D$2008,D50,$E$9:$E$2008,E50)&lt;&gt;1),"Duplicate test",IF(COUNTIF('Taxonomy'!$C$9:$C$108,D50)&lt;&gt;1,"Assessment key",IF(OR(COUNTIF('Taxonomy Rules'!$C$42:$C$68,E50)&lt;&gt;1,F50&lt;&gt;IFERROR(INDEX('Taxonomy Rules'!$D$42:$D$68,MATCH(E50,'Taxonomy Rules'!$C$42:$C$68,0)),""),NOT(OR(IFERROR(INDEX('Taxonomy Rules'!$G$42:$G$68,MATCH(E50,'Taxonomy Rules'!$C$42:$C$68,0)),"")="All supported routes",IFERROR(INDEX('Taxonomy Rules'!$G$42:$G$68,MATCH(E50,'Taxonomy Rules'!$C$42:$C$68,0)),"")=U50,AND(IFERROR(INDEX('Taxonomy Rules'!$G$42:$G$68,MATCH(E50,'Taxonomy Rules'!$C$42:$C$68,0)),"")="Building routes",OR(U50="Building renovation",U50="New building",U50="Building equipment"))))),"Unexpected test","Valid"))))</x:f>
        <x:v>Valid</x:v>
      </x:c>
      <x:c r="S50" s="9" t="str">
        <x:f>IF(C50="","",IFERROR(INDEX('Taxonomy Rules'!$E$42:$E$68,MATCH(E50,'Taxonomy Rules'!$C$42:$C$68,0)),""))</x:f>
        <x:v>Water permits, abstraction/discharge limits, required assessments and management measures.</x:v>
      </x:c>
      <x:c r="T50" s="9" t="str">
        <x:f>IF(C50="","",IFERROR(INDEX('Taxonomy Rules'!$F$42:$F$68,MATCH(E50,'Taxonomy Rules'!$C$42:$C$68,0)),""))</x:f>
        <x:v>S10 p31</x:v>
      </x:c>
      <x:c r="U50" s="9" t="str">
        <x:f>IF(C50="","",IFERROR(INDEX('Taxonomy'!$G$9:$G$108,MATCH(D50,'Taxonomy'!$C$9:$C$108,0)),""))</x:f>
        <x:v>Solar PV</x:v>
      </x:c>
    </x:row>
    <x:row r="51" ht="44" customHeight="1">
      <x:c r="A51" s="1"/>
      <x:c r="B51" s="1"/>
      <x:c r="C51" s="8" t="str">
        <x:v>TST-F004-DNSH-POLL</x:v>
      </x:c>
      <x:c r="D51" s="8" t="str">
        <x:v>TAX-F004</x:v>
      </x:c>
      <x:c r="E51" s="8" t="str">
        <x:v>DNSH-POLL</x:v>
      </x:c>
      <x:c r="F51" s="8" t="str">
        <x:v>DNSH</x:v>
      </x:c>
      <x:c r="G51" s="8" t="str">
        <x:v>Applicable</x:v>
      </x:c>
      <x:c r="H51" s="8" t="str">
        <x:v>Pass</x:v>
      </x:c>
      <x:c r="I51" s="8" t="str">
        <x:v>SYN-TEST-F004-DNSH-POLL</x:v>
      </x:c>
      <x:c r="J51" s="8" t="str"/>
      <x:c r="K51" s="8" t="str">
        <x:v>Taxonomy analyst 1</x:v>
      </x:c>
      <x:c r="L51" s="8" t="str">
        <x:v>Taxonomy reviewer 2</x:v>
      </x:c>
      <x:c r="M51" s="10" t="n">
        <x:v>46266</x:v>
      </x:c>
      <x:c r="N51" s="10" t="n">
        <x:v>46631</x:v>
      </x:c>
      <x:c r="O51" s="8"/>
      <x:c r="P51" s="9" t="str">
        <x:f>IF(C51="","",IF(AND(G51="Applicable",H51="Fail"),"Fail",IF(R51&lt;&gt;"Valid","Pending",IF(OR(I51="",K51="",L51="",K51=L51,NOT(ISNUMBER(M51)),NOT(ISNUMBER(N51)),M51&gt;Settings!$F$8,N51&lt;Settings!$F$8,N51&lt;M51),"Pending",IF(AND(G51="Applicable",H51="Pass"),"Pass",IF(AND(G51="N/A",H51="N/A",J51&lt;&gt;"",OR(E51="CEM-FUELS",E51="CEM-CCS",AND(E51="CEM-PLAN",IFERROR(INDEX('Taxonomy'!$M$9:$M$108,MATCH(D51,'Taxonomy'!$C$9:$C$108,0)),"")&lt;&gt;"Amber"),E51="BLD-TIMBER",AND(U51="Building equipment",OR(E51="BLD-WATER",E51="BLD-WASTE",E51="BLD-LAND")),AND(U51="Building renovation",E51="BLD-LAND"))),"N/A","Pending"))))))</x:f>
        <x:v>Pass</x:v>
      </x:c>
      <x:c r="Q51" s="3" t="str">
        <x:f>IF(C51="","",IF(AND(R51="Valid",OR(P51="Pass",P51="N/A")),"Complete","Unresolved"))</x:f>
        <x:v>Complete</x:v>
      </x:c>
      <x:c r="R51" s="9" t="str">
        <x:f>IF(C51="","",IF(OR(COUNTIF($C$9:$C$2008,C51)&lt;&gt;1,COUNTIFS($D$9:$D$2008,D51,$E$9:$E$2008,E51)&lt;&gt;1),"Duplicate test",IF(COUNTIF('Taxonomy'!$C$9:$C$108,D51)&lt;&gt;1,"Assessment key",IF(OR(COUNTIF('Taxonomy Rules'!$C$42:$C$68,E51)&lt;&gt;1,F51&lt;&gt;IFERROR(INDEX('Taxonomy Rules'!$D$42:$D$68,MATCH(E51,'Taxonomy Rules'!$C$42:$C$68,0)),""),NOT(OR(IFERROR(INDEX('Taxonomy Rules'!$G$42:$G$68,MATCH(E51,'Taxonomy Rules'!$C$42:$C$68,0)),"")="All supported routes",IFERROR(INDEX('Taxonomy Rules'!$G$42:$G$68,MATCH(E51,'Taxonomy Rules'!$C$42:$C$68,0)),"")=U51,AND(IFERROR(INDEX('Taxonomy Rules'!$G$42:$G$68,MATCH(E51,'Taxonomy Rules'!$C$42:$C$68,0)),"")="Building routes",OR(U51="Building renovation",U51="New building",U51="Building equipment"))))),"Unexpected test","Valid"))))</x:f>
        <x:v>Valid</x:v>
      </x:c>
      <x:c r="S51" s="9" t="str">
        <x:f>IF(C51="","",IFERROR(INDEX('Taxonomy Rules'!$E$42:$E$68,MATCH(E51,'Taxonomy Rules'!$C$42:$C$68,0)),""))</x:f>
        <x:v>National pollution and prohibited-substance requirements; activity-specific limits.</x:v>
      </x:c>
      <x:c r="T51" s="9" t="str">
        <x:f>IF(C51="","",IFERROR(INDEX('Taxonomy Rules'!$F$42:$F$68,MATCH(E51,'Taxonomy Rules'!$C$42:$C$68,0)),""))</x:f>
        <x:v>S10 p31</x:v>
      </x:c>
      <x:c r="U51" s="9" t="str">
        <x:f>IF(C51="","",IFERROR(INDEX('Taxonomy'!$G$9:$G$108,MATCH(D51,'Taxonomy'!$C$9:$C$108,0)),""))</x:f>
        <x:v>Solar PV</x:v>
      </x:c>
    </x:row>
    <x:row r="52" ht="44" customHeight="1">
      <x:c r="A52" s="1"/>
      <x:c r="B52" s="1"/>
      <x:c r="C52" s="8" t="str">
        <x:v>TST-F004-DNSH-CIRC</x:v>
      </x:c>
      <x:c r="D52" s="8" t="str">
        <x:v>TAX-F004</x:v>
      </x:c>
      <x:c r="E52" s="8" t="str">
        <x:v>DNSH-CIRC</x:v>
      </x:c>
      <x:c r="F52" s="8" t="str">
        <x:v>DNSH</x:v>
      </x:c>
      <x:c r="G52" s="8" t="str">
        <x:v>Applicable</x:v>
      </x:c>
      <x:c r="H52" s="8" t="str">
        <x:v>Pass</x:v>
      </x:c>
      <x:c r="I52" s="8" t="str">
        <x:v>SYN-TEST-F004-DNSH-CIRC</x:v>
      </x:c>
      <x:c r="J52" s="8" t="str"/>
      <x:c r="K52" s="8" t="str">
        <x:v>Taxonomy analyst 1</x:v>
      </x:c>
      <x:c r="L52" s="8" t="str">
        <x:v>Taxonomy reviewer 2</x:v>
      </x:c>
      <x:c r="M52" s="10" t="n">
        <x:v>46266</x:v>
      </x:c>
      <x:c r="N52" s="10" t="n">
        <x:v>46631</x:v>
      </x:c>
      <x:c r="O52" s="8"/>
      <x:c r="P52" s="9" t="str">
        <x:f>IF(C52="","",IF(AND(G52="Applicable",H52="Fail"),"Fail",IF(R52&lt;&gt;"Valid","Pending",IF(OR(I52="",K52="",L52="",K52=L52,NOT(ISNUMBER(M52)),NOT(ISNUMBER(N52)),M52&gt;Settings!$F$8,N52&lt;Settings!$F$8,N52&lt;M52),"Pending",IF(AND(G52="Applicable",H52="Pass"),"Pass",IF(AND(G52="N/A",H52="N/A",J52&lt;&gt;"",OR(E52="CEM-FUELS",E52="CEM-CCS",AND(E52="CEM-PLAN",IFERROR(INDEX('Taxonomy'!$M$9:$M$108,MATCH(D52,'Taxonomy'!$C$9:$C$108,0)),"")&lt;&gt;"Amber"),E52="BLD-TIMBER",AND(U52="Building equipment",OR(E52="BLD-WATER",E52="BLD-WASTE",E52="BLD-LAND")),AND(U52="Building renovation",E52="BLD-LAND"))),"N/A","Pending"))))))</x:f>
        <x:v>Pass</x:v>
      </x:c>
      <x:c r="Q52" s="3" t="str">
        <x:f>IF(C52="","",IF(AND(R52="Valid",OR(P52="Pass",P52="N/A")),"Complete","Unresolved"))</x:f>
        <x:v>Complete</x:v>
      </x:c>
      <x:c r="R52" s="9" t="str">
        <x:f>IF(C52="","",IF(OR(COUNTIF($C$9:$C$2008,C52)&lt;&gt;1,COUNTIFS($D$9:$D$2008,D52,$E$9:$E$2008,E52)&lt;&gt;1),"Duplicate test",IF(COUNTIF('Taxonomy'!$C$9:$C$108,D52)&lt;&gt;1,"Assessment key",IF(OR(COUNTIF('Taxonomy Rules'!$C$42:$C$68,E52)&lt;&gt;1,F52&lt;&gt;IFERROR(INDEX('Taxonomy Rules'!$D$42:$D$68,MATCH(E52,'Taxonomy Rules'!$C$42:$C$68,0)),""),NOT(OR(IFERROR(INDEX('Taxonomy Rules'!$G$42:$G$68,MATCH(E52,'Taxonomy Rules'!$C$42:$C$68,0)),"")="All supported routes",IFERROR(INDEX('Taxonomy Rules'!$G$42:$G$68,MATCH(E52,'Taxonomy Rules'!$C$42:$C$68,0)),"")=U52,AND(IFERROR(INDEX('Taxonomy Rules'!$G$42:$G$68,MATCH(E52,'Taxonomy Rules'!$C$42:$C$68,0)),"")="Building routes",OR(U52="Building renovation",U52="New building",U52="Building equipment"))))),"Unexpected test","Valid"))))</x:f>
        <x:v>Valid</x:v>
      </x:c>
      <x:c r="S52" s="9" t="str">
        <x:f>IF(C52="","",IFERROR(INDEX('Taxonomy Rules'!$E$42:$E$68,MATCH(E52,'Taxonomy Rules'!$C$42:$C$68,0)),""))</x:f>
        <x:v>Waste hierarchy, resource efficiency, hazardous-waste traceability and end-of-life arrangements.</x:v>
      </x:c>
      <x:c r="T52" s="9" t="str">
        <x:f>IF(C52="","",IFERROR(INDEX('Taxonomy Rules'!$F$42:$F$68,MATCH(E52,'Taxonomy Rules'!$C$42:$C$68,0)),""))</x:f>
        <x:v>S10 p32</x:v>
      </x:c>
      <x:c r="U52" s="9" t="str">
        <x:f>IF(C52="","",IFERROR(INDEX('Taxonomy'!$G$9:$G$108,MATCH(D52,'Taxonomy'!$C$9:$C$108,0)),""))</x:f>
        <x:v>Solar PV</x:v>
      </x:c>
    </x:row>
    <x:row r="53" ht="44" customHeight="1">
      <x:c r="A53" s="1"/>
      <x:c r="B53" s="1"/>
      <x:c r="C53" s="8" t="str">
        <x:v>TST-F004-DNSH-BIO</x:v>
      </x:c>
      <x:c r="D53" s="8" t="str">
        <x:v>TAX-F004</x:v>
      </x:c>
      <x:c r="E53" s="8" t="str">
        <x:v>DNSH-BIO</x:v>
      </x:c>
      <x:c r="F53" s="8" t="str">
        <x:v>DNSH</x:v>
      </x:c>
      <x:c r="G53" s="8" t="str">
        <x:v>Applicable</x:v>
      </x:c>
      <x:c r="H53" s="8" t="str">
        <x:v>Pass</x:v>
      </x:c>
      <x:c r="I53" s="8" t="str">
        <x:v>SYN-TEST-F004-DNSH-BIO</x:v>
      </x:c>
      <x:c r="J53" s="8" t="str"/>
      <x:c r="K53" s="8" t="str">
        <x:v>Taxonomy analyst 1</x:v>
      </x:c>
      <x:c r="L53" s="8" t="str">
        <x:v>Taxonomy reviewer 2</x:v>
      </x:c>
      <x:c r="M53" s="10" t="n">
        <x:v>46266</x:v>
      </x:c>
      <x:c r="N53" s="10" t="n">
        <x:v>46631</x:v>
      </x:c>
      <x:c r="O53" s="8"/>
      <x:c r="P53" s="9" t="str">
        <x:f>IF(C53="","",IF(AND(G53="Applicable",H53="Fail"),"Fail",IF(R53&lt;&gt;"Valid","Pending",IF(OR(I53="",K53="",L53="",K53=L53,NOT(ISNUMBER(M53)),NOT(ISNUMBER(N53)),M53&gt;Settings!$F$8,N53&lt;Settings!$F$8,N53&lt;M53),"Pending",IF(AND(G53="Applicable",H53="Pass"),"Pass",IF(AND(G53="N/A",H53="N/A",J53&lt;&gt;"",OR(E53="CEM-FUELS",E53="CEM-CCS",AND(E53="CEM-PLAN",IFERROR(INDEX('Taxonomy'!$M$9:$M$108,MATCH(D53,'Taxonomy'!$C$9:$C$108,0)),"")&lt;&gt;"Amber"),E53="BLD-TIMBER",AND(U53="Building equipment",OR(E53="BLD-WATER",E53="BLD-WASTE",E53="BLD-LAND")),AND(U53="Building renovation",E53="BLD-LAND"))),"N/A","Pending"))))))</x:f>
        <x:v>Pass</x:v>
      </x:c>
      <x:c r="Q53" s="3" t="str">
        <x:f>IF(C53="","",IF(AND(R53="Valid",OR(P53="Pass",P53="N/A")),"Complete","Unresolved"))</x:f>
        <x:v>Complete</x:v>
      </x:c>
      <x:c r="R53" s="9" t="str">
        <x:f>IF(C53="","",IF(OR(COUNTIF($C$9:$C$2008,C53)&lt;&gt;1,COUNTIFS($D$9:$D$2008,D53,$E$9:$E$2008,E53)&lt;&gt;1),"Duplicate test",IF(COUNTIF('Taxonomy'!$C$9:$C$108,D53)&lt;&gt;1,"Assessment key",IF(OR(COUNTIF('Taxonomy Rules'!$C$42:$C$68,E53)&lt;&gt;1,F53&lt;&gt;IFERROR(INDEX('Taxonomy Rules'!$D$42:$D$68,MATCH(E53,'Taxonomy Rules'!$C$42:$C$68,0)),""),NOT(OR(IFERROR(INDEX('Taxonomy Rules'!$G$42:$G$68,MATCH(E53,'Taxonomy Rules'!$C$42:$C$68,0)),"")="All supported routes",IFERROR(INDEX('Taxonomy Rules'!$G$42:$G$68,MATCH(E53,'Taxonomy Rules'!$C$42:$C$68,0)),"")=U53,AND(IFERROR(INDEX('Taxonomy Rules'!$G$42:$G$68,MATCH(E53,'Taxonomy Rules'!$C$42:$C$68,0)),"")="Building routes",OR(U53="Building renovation",U53="New building",U53="Building equipment"))))),"Unexpected test","Valid"))))</x:f>
        <x:v>Valid</x:v>
      </x:c>
      <x:c r="S53" s="9" t="str">
        <x:f>IF(C53="","",IFERROR(INDEX('Taxonomy Rules'!$E$42:$E$68,MATCH(E53,'Taxonomy Rules'!$C$42:$C$68,0)),""))</x:f>
        <x:v>Required EIA, habitat screening and implemented mitigation.</x:v>
      </x:c>
      <x:c r="T53" s="9" t="str">
        <x:f>IF(C53="","",IFERROR(INDEX('Taxonomy Rules'!$F$42:$F$68,MATCH(E53,'Taxonomy Rules'!$C$42:$C$68,0)),""))</x:f>
        <x:v>S10 p32</x:v>
      </x:c>
      <x:c r="U53" s="9" t="str">
        <x:f>IF(C53="","",IFERROR(INDEX('Taxonomy'!$G$9:$G$108,MATCH(D53,'Taxonomy'!$C$9:$C$108,0)),""))</x:f>
        <x:v>Solar PV</x:v>
      </x:c>
    </x:row>
    <x:row r="54" ht="44" customHeight="1">
      <x:c r="A54" s="1"/>
      <x:c r="B54" s="1"/>
      <x:c r="C54" s="8" t="str">
        <x:v>TST-F004-MSS-LABOUR</x:v>
      </x:c>
      <x:c r="D54" s="8" t="str">
        <x:v>TAX-F004</x:v>
      </x:c>
      <x:c r="E54" s="8" t="str">
        <x:v>MSS-LABOUR</x:v>
      </x:c>
      <x:c r="F54" s="8" t="str">
        <x:v>MSS</x:v>
      </x:c>
      <x:c r="G54" s="8" t="str">
        <x:v>Applicable</x:v>
      </x:c>
      <x:c r="H54" s="8" t="str">
        <x:v>Pass</x:v>
      </x:c>
      <x:c r="I54" s="8" t="str">
        <x:v>SYN-TEST-F004-MSS-LABOUR</x:v>
      </x:c>
      <x:c r="J54" s="8" t="str"/>
      <x:c r="K54" s="8" t="str">
        <x:v>Taxonomy analyst 1</x:v>
      </x:c>
      <x:c r="L54" s="8" t="str">
        <x:v>Taxonomy reviewer 2</x:v>
      </x:c>
      <x:c r="M54" s="10" t="n">
        <x:v>46266</x:v>
      </x:c>
      <x:c r="N54" s="10" t="n">
        <x:v>46631</x:v>
      </x:c>
      <x:c r="O54" s="8"/>
      <x:c r="P54" s="9" t="str">
        <x:f>IF(C54="","",IF(AND(G54="Applicable",H54="Fail"),"Fail",IF(R54&lt;&gt;"Valid","Pending",IF(OR(I54="",K54="",L54="",K54=L54,NOT(ISNUMBER(M54)),NOT(ISNUMBER(N54)),M54&gt;Settings!$F$8,N54&lt;Settings!$F$8,N54&lt;M54),"Pending",IF(AND(G54="Applicable",H54="Pass"),"Pass",IF(AND(G54="N/A",H54="N/A",J54&lt;&gt;"",OR(E54="CEM-FUELS",E54="CEM-CCS",AND(E54="CEM-PLAN",IFERROR(INDEX('Taxonomy'!$M$9:$M$108,MATCH(D54,'Taxonomy'!$C$9:$C$108,0)),"")&lt;&gt;"Amber"),E54="BLD-TIMBER",AND(U54="Building equipment",OR(E54="BLD-WATER",E54="BLD-WASTE",E54="BLD-LAND")),AND(U54="Building renovation",E54="BLD-LAND"))),"N/A","Pending"))))))</x:f>
        <x:v>Pass</x:v>
      </x:c>
      <x:c r="Q54" s="3" t="str">
        <x:f>IF(C54="","",IF(AND(R54="Valid",OR(P54="Pass",P54="N/A")),"Complete","Unresolved"))</x:f>
        <x:v>Complete</x:v>
      </x:c>
      <x:c r="R54" s="9" t="str">
        <x:f>IF(C54="","",IF(OR(COUNTIF($C$9:$C$2008,C54)&lt;&gt;1,COUNTIFS($D$9:$D$2008,D54,$E$9:$E$2008,E54)&lt;&gt;1),"Duplicate test",IF(COUNTIF('Taxonomy'!$C$9:$C$108,D54)&lt;&gt;1,"Assessment key",IF(OR(COUNTIF('Taxonomy Rules'!$C$42:$C$68,E54)&lt;&gt;1,F54&lt;&gt;IFERROR(INDEX('Taxonomy Rules'!$D$42:$D$68,MATCH(E54,'Taxonomy Rules'!$C$42:$C$68,0)),""),NOT(OR(IFERROR(INDEX('Taxonomy Rules'!$G$42:$G$68,MATCH(E54,'Taxonomy Rules'!$C$42:$C$68,0)),"")="All supported routes",IFERROR(INDEX('Taxonomy Rules'!$G$42:$G$68,MATCH(E54,'Taxonomy Rules'!$C$42:$C$68,0)),"")=U54,AND(IFERROR(INDEX('Taxonomy Rules'!$G$42:$G$68,MATCH(E54,'Taxonomy Rules'!$C$42:$C$68,0)),"")="Building routes",OR(U54="Building renovation",U54="New building",U54="Building equipment"))))),"Unexpected test","Valid"))))</x:f>
        <x:v>Valid</x:v>
      </x:c>
      <x:c r="S54" s="9" t="str">
        <x:f>IF(C54="","",IFERROR(INDEX('Taxonomy Rules'!$E$42:$E$68,MATCH(E54,'Taxonomy Rules'!$C$42:$C$68,0)),""))</x:f>
        <x:v>Labour rights, minimum age, no child/forced labour, equality and worker representation.</x:v>
      </x:c>
      <x:c r="T54" s="9" t="str">
        <x:f>IF(C54="","",IFERROR(INDEX('Taxonomy Rules'!$F$42:$F$68,MATCH(E54,'Taxonomy Rules'!$C$42:$C$68,0)),""))</x:f>
        <x:v>S10 p29</x:v>
      </x:c>
      <x:c r="U54" s="9" t="str">
        <x:f>IF(C54="","",IFERROR(INDEX('Taxonomy'!$G$9:$G$108,MATCH(D54,'Taxonomy'!$C$9:$C$108,0)),""))</x:f>
        <x:v>Solar PV</x:v>
      </x:c>
    </x:row>
    <x:row r="55" ht="44" customHeight="1">
      <x:c r="A55" s="1"/>
      <x:c r="B55" s="1"/>
      <x:c r="C55" s="8" t="str">
        <x:v>TST-F004-MSS-OSH</x:v>
      </x:c>
      <x:c r="D55" s="8" t="str">
        <x:v>TAX-F004</x:v>
      </x:c>
      <x:c r="E55" s="8" t="str">
        <x:v>MSS-OSH</x:v>
      </x:c>
      <x:c r="F55" s="8" t="str">
        <x:v>MSS</x:v>
      </x:c>
      <x:c r="G55" s="8" t="str">
        <x:v>Applicable</x:v>
      </x:c>
      <x:c r="H55" s="8" t="str">
        <x:v>Pass</x:v>
      </x:c>
      <x:c r="I55" s="8" t="str">
        <x:v>SYN-TEST-F004-MSS-OSH</x:v>
      </x:c>
      <x:c r="J55" s="8" t="str"/>
      <x:c r="K55" s="8" t="str">
        <x:v>Taxonomy analyst 1</x:v>
      </x:c>
      <x:c r="L55" s="8" t="str">
        <x:v>Taxonomy reviewer 2</x:v>
      </x:c>
      <x:c r="M55" s="10" t="n">
        <x:v>46266</x:v>
      </x:c>
      <x:c r="N55" s="10" t="n">
        <x:v>46631</x:v>
      </x:c>
      <x:c r="O55" s="8"/>
      <x:c r="P55" s="9" t="str">
        <x:f>IF(C55="","",IF(AND(G55="Applicable",H55="Fail"),"Fail",IF(R55&lt;&gt;"Valid","Pending",IF(OR(I55="",K55="",L55="",K55=L55,NOT(ISNUMBER(M55)),NOT(ISNUMBER(N55)),M55&gt;Settings!$F$8,N55&lt;Settings!$F$8,N55&lt;M55),"Pending",IF(AND(G55="Applicable",H55="Pass"),"Pass",IF(AND(G55="N/A",H55="N/A",J55&lt;&gt;"",OR(E55="CEM-FUELS",E55="CEM-CCS",AND(E55="CEM-PLAN",IFERROR(INDEX('Taxonomy'!$M$9:$M$108,MATCH(D55,'Taxonomy'!$C$9:$C$108,0)),"")&lt;&gt;"Amber"),E55="BLD-TIMBER",AND(U55="Building equipment",OR(E55="BLD-WATER",E55="BLD-WASTE",E55="BLD-LAND")),AND(U55="Building renovation",E55="BLD-LAND"))),"N/A","Pending"))))))</x:f>
        <x:v>Pass</x:v>
      </x:c>
      <x:c r="Q55" s="3" t="str">
        <x:f>IF(C55="","",IF(AND(R55="Valid",OR(P55="Pass",P55="N/A")),"Complete","Unresolved"))</x:f>
        <x:v>Complete</x:v>
      </x:c>
      <x:c r="R55" s="9" t="str">
        <x:f>IF(C55="","",IF(OR(COUNTIF($C$9:$C$2008,C55)&lt;&gt;1,COUNTIFS($D$9:$D$2008,D55,$E$9:$E$2008,E55)&lt;&gt;1),"Duplicate test",IF(COUNTIF('Taxonomy'!$C$9:$C$108,D55)&lt;&gt;1,"Assessment key",IF(OR(COUNTIF('Taxonomy Rules'!$C$42:$C$68,E55)&lt;&gt;1,F55&lt;&gt;IFERROR(INDEX('Taxonomy Rules'!$D$42:$D$68,MATCH(E55,'Taxonomy Rules'!$C$42:$C$68,0)),""),NOT(OR(IFERROR(INDEX('Taxonomy Rules'!$G$42:$G$68,MATCH(E55,'Taxonomy Rules'!$C$42:$C$68,0)),"")="All supported routes",IFERROR(INDEX('Taxonomy Rules'!$G$42:$G$68,MATCH(E55,'Taxonomy Rules'!$C$42:$C$68,0)),"")=U55,AND(IFERROR(INDEX('Taxonomy Rules'!$G$42:$G$68,MATCH(E55,'Taxonomy Rules'!$C$42:$C$68,0)),"")="Building routes",OR(U55="Building renovation",U55="New building",U55="Building equipment"))))),"Unexpected test","Valid"))))</x:f>
        <x:v>Valid</x:v>
      </x:c>
      <x:c r="S55" s="9" t="str">
        <x:f>IF(C55="","",IFERROR(INDEX('Taxonomy Rules'!$E$42:$E$68,MATCH(E55,'Taxonomy Rules'!$C$42:$C$68,0)),""))</x:f>
        <x:v>Applicable occupational safety, hazard prevention and emergency readiness.</x:v>
      </x:c>
      <x:c r="T55" s="9" t="str">
        <x:f>IF(C55="","",IFERROR(INDEX('Taxonomy Rules'!$F$42:$F$68,MATCH(E55,'Taxonomy Rules'!$C$42:$C$68,0)),""))</x:f>
        <x:v>S10 p29</x:v>
      </x:c>
      <x:c r="U55" s="9" t="str">
        <x:f>IF(C55="","",IFERROR(INDEX('Taxonomy'!$G$9:$G$108,MATCH(D55,'Taxonomy'!$C$9:$C$108,0)),""))</x:f>
        <x:v>Solar PV</x:v>
      </x:c>
    </x:row>
    <x:row r="56" ht="44" customHeight="1">
      <x:c r="A56" s="1"/>
      <x:c r="B56" s="1"/>
      <x:c r="C56" s="8" t="str">
        <x:v>TST-F004-MSS-RIGHTS</x:v>
      </x:c>
      <x:c r="D56" s="8" t="str">
        <x:v>TAX-F004</x:v>
      </x:c>
      <x:c r="E56" s="8" t="str">
        <x:v>MSS-RIGHTS</x:v>
      </x:c>
      <x:c r="F56" s="8" t="str">
        <x:v>MSS</x:v>
      </x:c>
      <x:c r="G56" s="8" t="str">
        <x:v>Applicable</x:v>
      </x:c>
      <x:c r="H56" s="8" t="str">
        <x:v>Pass</x:v>
      </x:c>
      <x:c r="I56" s="8" t="str">
        <x:v>SYN-TEST-F004-MSS-RIGHTS</x:v>
      </x:c>
      <x:c r="J56" s="8" t="str"/>
      <x:c r="K56" s="8" t="str">
        <x:v>Taxonomy analyst 1</x:v>
      </x:c>
      <x:c r="L56" s="8" t="str">
        <x:v>Taxonomy reviewer 2</x:v>
      </x:c>
      <x:c r="M56" s="10" t="n">
        <x:v>46266</x:v>
      </x:c>
      <x:c r="N56" s="10" t="n">
        <x:v>46631</x:v>
      </x:c>
      <x:c r="O56" s="8"/>
      <x:c r="P56" s="9" t="str">
        <x:f>IF(C56="","",IF(AND(G56="Applicable",H56="Fail"),"Fail",IF(R56&lt;&gt;"Valid","Pending",IF(OR(I56="",K56="",L56="",K56=L56,NOT(ISNUMBER(M56)),NOT(ISNUMBER(N56)),M56&gt;Settings!$F$8,N56&lt;Settings!$F$8,N56&lt;M56),"Pending",IF(AND(G56="Applicable",H56="Pass"),"Pass",IF(AND(G56="N/A",H56="N/A",J56&lt;&gt;"",OR(E56="CEM-FUELS",E56="CEM-CCS",AND(E56="CEM-PLAN",IFERROR(INDEX('Taxonomy'!$M$9:$M$108,MATCH(D56,'Taxonomy'!$C$9:$C$108,0)),"")&lt;&gt;"Amber"),E56="BLD-TIMBER",AND(U56="Building equipment",OR(E56="BLD-WATER",E56="BLD-WASTE",E56="BLD-LAND")),AND(U56="Building renovation",E56="BLD-LAND"))),"N/A","Pending"))))))</x:f>
        <x:v>Pass</x:v>
      </x:c>
      <x:c r="Q56" s="3" t="str">
        <x:f>IF(C56="","",IF(AND(R56="Valid",OR(P56="Pass",P56="N/A")),"Complete","Unresolved"))</x:f>
        <x:v>Complete</x:v>
      </x:c>
      <x:c r="R56" s="9" t="str">
        <x:f>IF(C56="","",IF(OR(COUNTIF($C$9:$C$2008,C56)&lt;&gt;1,COUNTIFS($D$9:$D$2008,D56,$E$9:$E$2008,E56)&lt;&gt;1),"Duplicate test",IF(COUNTIF('Taxonomy'!$C$9:$C$108,D56)&lt;&gt;1,"Assessment key",IF(OR(COUNTIF('Taxonomy Rules'!$C$42:$C$68,E56)&lt;&gt;1,F56&lt;&gt;IFERROR(INDEX('Taxonomy Rules'!$D$42:$D$68,MATCH(E56,'Taxonomy Rules'!$C$42:$C$68,0)),""),NOT(OR(IFERROR(INDEX('Taxonomy Rules'!$G$42:$G$68,MATCH(E56,'Taxonomy Rules'!$C$42:$C$68,0)),"")="All supported routes",IFERROR(INDEX('Taxonomy Rules'!$G$42:$G$68,MATCH(E56,'Taxonomy Rules'!$C$42:$C$68,0)),"")=U56,AND(IFERROR(INDEX('Taxonomy Rules'!$G$42:$G$68,MATCH(E56,'Taxonomy Rules'!$C$42:$C$68,0)),"")="Building routes",OR(U56="Building renovation",U56="New building",U56="Building equipment"))))),"Unexpected test","Valid"))))</x:f>
        <x:v>Valid</x:v>
      </x:c>
      <x:c r="S56" s="9" t="str">
        <x:f>IF(C56="","",IFERROR(INDEX('Taxonomy Rules'!$E$42:$E$68,MATCH(E56,'Taxonomy Rules'!$C$42:$C$68,0)),""))</x:f>
        <x:v>Proportionate human-rights diligence, stakeholder/social-impact process and grievance mechanism.</x:v>
      </x:c>
      <x:c r="T56" s="9" t="str">
        <x:f>IF(C56="","",IFERROR(INDEX('Taxonomy Rules'!$F$42:$F$68,MATCH(E56,'Taxonomy Rules'!$C$42:$C$68,0)),""))</x:f>
        <x:v>S10 p29</x:v>
      </x:c>
      <x:c r="U56" s="9" t="str">
        <x:f>IF(C56="","",IFERROR(INDEX('Taxonomy'!$G$9:$G$108,MATCH(D56,'Taxonomy'!$C$9:$C$108,0)),""))</x:f>
        <x:v>Solar PV</x:v>
      </x:c>
    </x:row>
    <x:row r="57" ht="44" customHeight="1">
      <x:c r="A57" s="1"/>
      <x:c r="B57" s="1"/>
      <x:c r="C57" s="8" t="str">
        <x:v>TST-F004-PV-DURABLE</x:v>
      </x:c>
      <x:c r="D57" s="8" t="str">
        <x:v>TAX-F004</x:v>
      </x:c>
      <x:c r="E57" s="8" t="str">
        <x:v>PV-DURABLE</x:v>
      </x:c>
      <x:c r="F57" s="8" t="str">
        <x:v>DNSH</x:v>
      </x:c>
      <x:c r="G57" s="8" t="str">
        <x:v>Applicable</x:v>
      </x:c>
      <x:c r="H57" s="8" t="str">
        <x:v>Pass</x:v>
      </x:c>
      <x:c r="I57" s="8" t="str">
        <x:v>SYN-TEST-F004-PV-DURABLE</x:v>
      </x:c>
      <x:c r="J57" s="8" t="str"/>
      <x:c r="K57" s="8" t="str">
        <x:v>Taxonomy analyst 1</x:v>
      </x:c>
      <x:c r="L57" s="8" t="str">
        <x:v>Taxonomy reviewer 2</x:v>
      </x:c>
      <x:c r="M57" s="10" t="n">
        <x:v>46266</x:v>
      </x:c>
      <x:c r="N57" s="10" t="n">
        <x:v>46631</x:v>
      </x:c>
      <x:c r="O57" s="8"/>
      <x:c r="P57" s="9" t="str">
        <x:f>IF(C57="","",IF(AND(G57="Applicable",H57="Fail"),"Fail",IF(R57&lt;&gt;"Valid","Pending",IF(OR(I57="",K57="",L57="",K57=L57,NOT(ISNUMBER(M57)),NOT(ISNUMBER(N57)),M57&gt;Settings!$F$8,N57&lt;Settings!$F$8,N57&lt;M57),"Pending",IF(AND(G57="Applicable",H57="Pass"),"Pass",IF(AND(G57="N/A",H57="N/A",J57&lt;&gt;"",OR(E57="CEM-FUELS",E57="CEM-CCS",AND(E57="CEM-PLAN",IFERROR(INDEX('Taxonomy'!$M$9:$M$108,MATCH(D57,'Taxonomy'!$C$9:$C$108,0)),"")&lt;&gt;"Amber"),E57="BLD-TIMBER",AND(U57="Building equipment",OR(E57="BLD-WATER",E57="BLD-WASTE",E57="BLD-LAND")),AND(U57="Building renovation",E57="BLD-LAND"))),"N/A","Pending"))))))</x:f>
        <x:v>Pass</x:v>
      </x:c>
      <x:c r="Q57" s="3" t="str">
        <x:f>IF(C57="","",IF(AND(R57="Valid",OR(P57="Pass",P57="N/A")),"Complete","Unresolved"))</x:f>
        <x:v>Complete</x:v>
      </x:c>
      <x:c r="R57" s="9" t="str">
        <x:f>IF(C57="","",IF(OR(COUNTIF($C$9:$C$2008,C57)&lt;&gt;1,COUNTIFS($D$9:$D$2008,D57,$E$9:$E$2008,E57)&lt;&gt;1),"Duplicate test",IF(COUNTIF('Taxonomy'!$C$9:$C$108,D57)&lt;&gt;1,"Assessment key",IF(OR(COUNTIF('Taxonomy Rules'!$C$42:$C$68,E57)&lt;&gt;1,F57&lt;&gt;IFERROR(INDEX('Taxonomy Rules'!$D$42:$D$68,MATCH(E57,'Taxonomy Rules'!$C$42:$C$68,0)),""),NOT(OR(IFERROR(INDEX('Taxonomy Rules'!$G$42:$G$68,MATCH(E57,'Taxonomy Rules'!$C$42:$C$68,0)),"")="All supported routes",IFERROR(INDEX('Taxonomy Rules'!$G$42:$G$68,MATCH(E57,'Taxonomy Rules'!$C$42:$C$68,0)),"")=U57,AND(IFERROR(INDEX('Taxonomy Rules'!$G$42:$G$68,MATCH(E57,'Taxonomy Rules'!$C$42:$C$68,0)),"")="Building routes",OR(U57="Building renovation",U57="New building",U57="Building equipment"))))),"Unexpected test","Valid"))))</x:f>
        <x:v>Valid</x:v>
      </x:c>
      <x:c r="S57" s="9" t="str">
        <x:f>IF(C57="","",IFERROR(INDEX('Taxonomy Rules'!$E$42:$E$68,MATCH(E57,'Taxonomy Rules'!$C$42:$C$68,0)),""))</x:f>
        <x:v>Durable, recyclable, dismantlable and refurbishable components assessed and used where feasible.</x:v>
      </x:c>
      <x:c r="T57" s="9" t="str">
        <x:f>IF(C57="","",IFERROR(INDEX('Taxonomy Rules'!$F$42:$F$68,MATCH(E57,'Taxonomy Rules'!$C$42:$C$68,0)),""))</x:f>
        <x:v>S10 p86</x:v>
      </x:c>
      <x:c r="U57" s="9" t="str">
        <x:f>IF(C57="","",IFERROR(INDEX('Taxonomy'!$G$9:$G$108,MATCH(D57,'Taxonomy'!$C$9:$C$108,0)),""))</x:f>
        <x:v>Solar PV</x:v>
      </x:c>
    </x:row>
    <x:row r="58" ht="44" customHeight="1">
      <x:c r="A58" s="1"/>
      <x:c r="B58" s="1"/>
      <x:c r="C58" s="8" t="str">
        <x:v>TST-F004-PV-ENDLIFE</x:v>
      </x:c>
      <x:c r="D58" s="8" t="str">
        <x:v>TAX-F004</x:v>
      </x:c>
      <x:c r="E58" s="8" t="str">
        <x:v>PV-ENDLIFE</x:v>
      </x:c>
      <x:c r="F58" s="8" t="str">
        <x:v>DNSH</x:v>
      </x:c>
      <x:c r="G58" s="8" t="str">
        <x:v>Applicable</x:v>
      </x:c>
      <x:c r="H58" s="8" t="str">
        <x:v>Pass</x:v>
      </x:c>
      <x:c r="I58" s="8" t="str"/>
      <x:c r="J58" s="8" t="str"/>
      <x:c r="K58" s="8" t="str">
        <x:v>Taxonomy analyst 1</x:v>
      </x:c>
      <x:c r="L58" s="8" t="str">
        <x:v>Taxonomy reviewer 2</x:v>
      </x:c>
      <x:c r="M58" s="10" t="n">
        <x:v>46266</x:v>
      </x:c>
      <x:c r="N58" s="10" t="n">
        <x:v>46631</x:v>
      </x:c>
      <x:c r="O58" s="8"/>
      <x:c r="P58" s="9" t="str">
        <x:f>IF(C58="","",IF(AND(G58="Applicable",H58="Fail"),"Fail",IF(R58&lt;&gt;"Valid","Pending",IF(OR(I58="",K58="",L58="",K58=L58,NOT(ISNUMBER(M58)),NOT(ISNUMBER(N58)),M58&gt;Settings!$F$8,N58&lt;Settings!$F$8,N58&lt;M58),"Pending",IF(AND(G58="Applicable",H58="Pass"),"Pass",IF(AND(G58="N/A",H58="N/A",J58&lt;&gt;"",OR(E58="CEM-FUELS",E58="CEM-CCS",AND(E58="CEM-PLAN",IFERROR(INDEX('Taxonomy'!$M$9:$M$108,MATCH(D58,'Taxonomy'!$C$9:$C$108,0)),"")&lt;&gt;"Amber"),E58="BLD-TIMBER",AND(U58="Building equipment",OR(E58="BLD-WATER",E58="BLD-WASTE",E58="BLD-LAND")),AND(U58="Building renovation",E58="BLD-LAND"))),"N/A","Pending"))))))</x:f>
        <x:v>Pending</x:v>
      </x:c>
      <x:c r="Q58" s="3" t="str">
        <x:f>IF(C58="","",IF(AND(R58="Valid",OR(P58="Pass",P58="N/A")),"Complete","Unresolved"))</x:f>
        <x:v>Unresolved</x:v>
      </x:c>
      <x:c r="R58" s="9" t="str">
        <x:f>IF(C58="","",IF(OR(COUNTIF($C$9:$C$2008,C58)&lt;&gt;1,COUNTIFS($D$9:$D$2008,D58,$E$9:$E$2008,E58)&lt;&gt;1),"Duplicate test",IF(COUNTIF('Taxonomy'!$C$9:$C$108,D58)&lt;&gt;1,"Assessment key",IF(OR(COUNTIF('Taxonomy Rules'!$C$42:$C$68,E58)&lt;&gt;1,F58&lt;&gt;IFERROR(INDEX('Taxonomy Rules'!$D$42:$D$68,MATCH(E58,'Taxonomy Rules'!$C$42:$C$68,0)),""),NOT(OR(IFERROR(INDEX('Taxonomy Rules'!$G$42:$G$68,MATCH(E58,'Taxonomy Rules'!$C$42:$C$68,0)),"")="All supported routes",IFERROR(INDEX('Taxonomy Rules'!$G$42:$G$68,MATCH(E58,'Taxonomy Rules'!$C$42:$C$68,0)),"")=U58,AND(IFERROR(INDEX('Taxonomy Rules'!$G$42:$G$68,MATCH(E58,'Taxonomy Rules'!$C$42:$C$68,0)),"")="Building routes",OR(U58="Building renovation",U58="New building",U58="Building equipment"))))),"Unexpected test","Valid"))))</x:f>
        <x:v>Valid</x:v>
      </x:c>
      <x:c r="S58" s="9" t="str">
        <x:f>IF(C58="","",IFERROR(INDEX('Taxonomy Rules'!$E$42:$E$68,MATCH(E58,'Taxonomy Rules'!$C$42:$C$68,0)),""))</x:f>
        <x:v>Implemented panel end-of-life management consistent with recycling standards.</x:v>
      </x:c>
      <x:c r="T58" s="9" t="str">
        <x:f>IF(C58="","",IFERROR(INDEX('Taxonomy Rules'!$F$42:$F$68,MATCH(E58,'Taxonomy Rules'!$C$42:$C$68,0)),""))</x:f>
        <x:v>S10 p86</x:v>
      </x:c>
      <x:c r="U58" s="9" t="str">
        <x:f>IF(C58="","",IFERROR(INDEX('Taxonomy'!$G$9:$G$108,MATCH(D58,'Taxonomy'!$C$9:$C$108,0)),""))</x:f>
        <x:v>Solar PV</x:v>
      </x:c>
    </x:row>
    <x:row r="59" ht="44" customHeight="1">
      <x:c r="A59" s="1"/>
      <x:c r="B59" s="1"/>
      <x:c r="C59" s="8" t="str">
        <x:v>TST-F005-SC-EVIDENCE</x:v>
      </x:c>
      <x:c r="D59" s="8" t="str">
        <x:v>TAX-F005</x:v>
      </x:c>
      <x:c r="E59" s="8" t="str">
        <x:v>SC-EVIDENCE</x:v>
      </x:c>
      <x:c r="F59" s="8" t="str">
        <x:v>Technical</x:v>
      </x:c>
      <x:c r="G59" s="8" t="str">
        <x:v>Applicable</x:v>
      </x:c>
      <x:c r="H59" s="8" t="str">
        <x:v>Pass</x:v>
      </x:c>
      <x:c r="I59" s="8" t="str">
        <x:v>SYN-TEST-F005-SC-EVIDENCE</x:v>
      </x:c>
      <x:c r="J59" s="8" t="str"/>
      <x:c r="K59" s="8" t="str">
        <x:v>Taxonomy analyst 2</x:v>
      </x:c>
      <x:c r="L59" s="8" t="str">
        <x:v>Taxonomy reviewer 1</x:v>
      </x:c>
      <x:c r="M59" s="10" t="n">
        <x:v>46266</x:v>
      </x:c>
      <x:c r="N59" s="10" t="n">
        <x:v>46631</x:v>
      </x:c>
      <x:c r="O59" s="8"/>
      <x:c r="P59" s="9" t="str">
        <x:f>IF(C59="","",IF(AND(G59="Applicable",H59="Fail"),"Fail",IF(R59&lt;&gt;"Valid","Pending",IF(OR(I59="",K59="",L59="",K59=L59,NOT(ISNUMBER(M59)),NOT(ISNUMBER(N59)),M59&gt;Settings!$F$8,N59&lt;Settings!$F$8,N59&lt;M59),"Pending",IF(AND(G59="Applicable",H59="Pass"),"Pass",IF(AND(G59="N/A",H59="N/A",J59&lt;&gt;"",OR(E59="CEM-FUELS",E59="CEM-CCS",AND(E59="CEM-PLAN",IFERROR(INDEX('Taxonomy'!$M$9:$M$108,MATCH(D59,'Taxonomy'!$C$9:$C$108,0)),"")&lt;&gt;"Amber"),E59="BLD-TIMBER",AND(U59="Building equipment",OR(E59="BLD-WATER",E59="BLD-WASTE",E59="BLD-LAND")),AND(U59="Building renovation",E59="BLD-LAND"))),"N/A","Pending"))))))</x:f>
        <x:v>Pass</x:v>
      </x:c>
      <x:c r="Q59" s="3" t="str">
        <x:f>IF(C59="","",IF(AND(R59="Valid",OR(P59="Pass",P59="N/A")),"Complete","Unresolved"))</x:f>
        <x:v>Complete</x:v>
      </x:c>
      <x:c r="R59" s="9" t="str">
        <x:f>IF(C59="","",IF(OR(COUNTIF($C$9:$C$2008,C59)&lt;&gt;1,COUNTIFS($D$9:$D$2008,D59,$E$9:$E$2008,E59)&lt;&gt;1),"Duplicate test",IF(COUNTIF('Taxonomy'!$C$9:$C$108,D59)&lt;&gt;1,"Assessment key",IF(OR(COUNTIF('Taxonomy Rules'!$C$42:$C$68,E59)&lt;&gt;1,F59&lt;&gt;IFERROR(INDEX('Taxonomy Rules'!$D$42:$D$68,MATCH(E59,'Taxonomy Rules'!$C$42:$C$68,0)),""),NOT(OR(IFERROR(INDEX('Taxonomy Rules'!$G$42:$G$68,MATCH(E59,'Taxonomy Rules'!$C$42:$C$68,0)),"")="All supported routes",IFERROR(INDEX('Taxonomy Rules'!$G$42:$G$68,MATCH(E59,'Taxonomy Rules'!$C$42:$C$68,0)),"")=U59,AND(IFERROR(INDEX('Taxonomy Rules'!$G$42:$G$68,MATCH(E59,'Taxonomy Rules'!$C$42:$C$68,0)),"")="Building routes",OR(U59="Building renovation",U59="New building",U59="Building equipment"))))),"Unexpected test","Valid"))))</x:f>
        <x:v>Valid</x:v>
      </x:c>
      <x:c r="S59" s="9" t="str">
        <x:f>IF(C59="","",IFERROR(INDEX('Taxonomy Rules'!$E$42:$E$68,MATCH(E59,'Taxonomy Rules'!$C$42:$C$68,0)),""))</x:f>
        <x:v>Boundary and chosen route are evidenced; observations match the activity card.</x:v>
      </x:c>
      <x:c r="T59" s="9" t="str">
        <x:f>IF(C59="","",IFERROR(INDEX('Taxonomy Rules'!$F$42:$F$68,MATCH(E59,'Taxonomy Rules'!$C$42:$C$68,0)),""))</x:f>
        <x:v>S10 activity card</x:v>
      </x:c>
      <x:c r="U59" s="9" t="str">
        <x:f>IF(C59="","",IFERROR(INDEX('Taxonomy'!$G$9:$G$108,MATCH(D59,'Taxonomy'!$C$9:$C$108,0)),""))</x:f>
        <x:v>Road freight</x:v>
      </x:c>
    </x:row>
    <x:row r="60" ht="44" customHeight="1">
      <x:c r="A60" s="1"/>
      <x:c r="B60" s="1"/>
      <x:c r="C60" s="8" t="str">
        <x:v>TST-F005-DNSH-MIT</x:v>
      </x:c>
      <x:c r="D60" s="8" t="str">
        <x:v>TAX-F005</x:v>
      </x:c>
      <x:c r="E60" s="8" t="str">
        <x:v>DNSH-MIT</x:v>
      </x:c>
      <x:c r="F60" s="8" t="str">
        <x:v>DNSH</x:v>
      </x:c>
      <x:c r="G60" s="8" t="str">
        <x:v>Applicable</x:v>
      </x:c>
      <x:c r="H60" s="8" t="str">
        <x:v>Pass</x:v>
      </x:c>
      <x:c r="I60" s="8" t="str">
        <x:v>SYN-TEST-F005-DNSH-MIT</x:v>
      </x:c>
      <x:c r="J60" s="8" t="str"/>
      <x:c r="K60" s="8" t="str">
        <x:v>Taxonomy analyst 2</x:v>
      </x:c>
      <x:c r="L60" s="8" t="str">
        <x:v>Taxonomy reviewer 1</x:v>
      </x:c>
      <x:c r="M60" s="10" t="n">
        <x:v>46266</x:v>
      </x:c>
      <x:c r="N60" s="10" t="n">
        <x:v>46631</x:v>
      </x:c>
      <x:c r="O60" s="8"/>
      <x:c r="P60" s="9" t="str">
        <x:f>IF(C60="","",IF(AND(G60="Applicable",H60="Fail"),"Fail",IF(R60&lt;&gt;"Valid","Pending",IF(OR(I60="",K60="",L60="",K60=L60,NOT(ISNUMBER(M60)),NOT(ISNUMBER(N60)),M60&gt;Settings!$F$8,N60&lt;Settings!$F$8,N60&lt;M60),"Pending",IF(AND(G60="Applicable",H60="Pass"),"Pass",IF(AND(G60="N/A",H60="N/A",J60&lt;&gt;"",OR(E60="CEM-FUELS",E60="CEM-CCS",AND(E60="CEM-PLAN",IFERROR(INDEX('Taxonomy'!$M$9:$M$108,MATCH(D60,'Taxonomy'!$C$9:$C$108,0)),"")&lt;&gt;"Amber"),E60="BLD-TIMBER",AND(U60="Building equipment",OR(E60="BLD-WATER",E60="BLD-WASTE",E60="BLD-LAND")),AND(U60="Building renovation",E60="BLD-LAND"))),"N/A","Pending"))))))</x:f>
        <x:v>Pass</x:v>
      </x:c>
      <x:c r="Q60" s="3" t="str">
        <x:f>IF(C60="","",IF(AND(R60="Valid",OR(P60="Pass",P60="N/A")),"Complete","Unresolved"))</x:f>
        <x:v>Complete</x:v>
      </x:c>
      <x:c r="R60" s="9" t="str">
        <x:f>IF(C60="","",IF(OR(COUNTIF($C$9:$C$2008,C60)&lt;&gt;1,COUNTIFS($D$9:$D$2008,D60,$E$9:$E$2008,E60)&lt;&gt;1),"Duplicate test",IF(COUNTIF('Taxonomy'!$C$9:$C$108,D60)&lt;&gt;1,"Assessment key",IF(OR(COUNTIF('Taxonomy Rules'!$C$42:$C$68,E60)&lt;&gt;1,F60&lt;&gt;IFERROR(INDEX('Taxonomy Rules'!$D$42:$D$68,MATCH(E60,'Taxonomy Rules'!$C$42:$C$68,0)),""),NOT(OR(IFERROR(INDEX('Taxonomy Rules'!$G$42:$G$68,MATCH(E60,'Taxonomy Rules'!$C$42:$C$68,0)),"")="All supported routes",IFERROR(INDEX('Taxonomy Rules'!$G$42:$G$68,MATCH(E60,'Taxonomy Rules'!$C$42:$C$68,0)),"")=U60,AND(IFERROR(INDEX('Taxonomy Rules'!$G$42:$G$68,MATCH(E60,'Taxonomy Rules'!$C$42:$C$68,0)),"")="Building routes",OR(U60="Building renovation",U60="New building",U60="Building equipment"))))),"Unexpected test","Valid"))))</x:f>
        <x:v>Valid</x:v>
      </x:c>
      <x:c r="S60" s="9" t="str">
        <x:f>IF(C60="","",IFERROR(INDEX('Taxonomy Rules'!$E$42:$E$68,MATCH(E60,'Taxonomy Rules'!$C$42:$C$68,0)),""))</x:f>
        <x:v>No avoidable fossil lock-in; material lifecycle effects assessed.</x:v>
      </x:c>
      <x:c r="T60" s="9" t="str">
        <x:f>IF(C60="","",IFERROR(INDEX('Taxonomy Rules'!$F$42:$F$68,MATCH(E60,'Taxonomy Rules'!$C$42:$C$68,0)),""))</x:f>
        <x:v>S10 p30</x:v>
      </x:c>
      <x:c r="U60" s="9" t="str">
        <x:f>IF(C60="","",IFERROR(INDEX('Taxonomy'!$G$9:$G$108,MATCH(D60,'Taxonomy'!$C$9:$C$108,0)),""))</x:f>
        <x:v>Road freight</x:v>
      </x:c>
    </x:row>
    <x:row r="61" ht="44" customHeight="1">
      <x:c r="A61" s="1"/>
      <x:c r="B61" s="1"/>
      <x:c r="C61" s="8" t="str">
        <x:v>TST-F005-DNSH-ADAPT</x:v>
      </x:c>
      <x:c r="D61" s="8" t="str">
        <x:v>TAX-F005</x:v>
      </x:c>
      <x:c r="E61" s="8" t="str">
        <x:v>DNSH-ADAPT</x:v>
      </x:c>
      <x:c r="F61" s="8" t="str">
        <x:v>DNSH</x:v>
      </x:c>
      <x:c r="G61" s="8" t="str">
        <x:v>Applicable</x:v>
      </x:c>
      <x:c r="H61" s="8" t="str">
        <x:v>Pass</x:v>
      </x:c>
      <x:c r="I61" s="8" t="str">
        <x:v>SYN-TEST-F005-DNSH-ADAPT</x:v>
      </x:c>
      <x:c r="J61" s="8" t="str"/>
      <x:c r="K61" s="8" t="str">
        <x:v>Taxonomy analyst 2</x:v>
      </x:c>
      <x:c r="L61" s="8" t="str">
        <x:v>Taxonomy reviewer 1</x:v>
      </x:c>
      <x:c r="M61" s="10" t="n">
        <x:v>46266</x:v>
      </x:c>
      <x:c r="N61" s="10" t="n">
        <x:v>46631</x:v>
      </x:c>
      <x:c r="O61" s="8"/>
      <x:c r="P61" s="9" t="str">
        <x:f>IF(C61="","",IF(AND(G61="Applicable",H61="Fail"),"Fail",IF(R61&lt;&gt;"Valid","Pending",IF(OR(I61="",K61="",L61="",K61=L61,NOT(ISNUMBER(M61)),NOT(ISNUMBER(N61)),M61&gt;Settings!$F$8,N61&lt;Settings!$F$8,N61&lt;M61),"Pending",IF(AND(G61="Applicable",H61="Pass"),"Pass",IF(AND(G61="N/A",H61="N/A",J61&lt;&gt;"",OR(E61="CEM-FUELS",E61="CEM-CCS",AND(E61="CEM-PLAN",IFERROR(INDEX('Taxonomy'!$M$9:$M$108,MATCH(D61,'Taxonomy'!$C$9:$C$108,0)),"")&lt;&gt;"Amber"),E61="BLD-TIMBER",AND(U61="Building equipment",OR(E61="BLD-WATER",E61="BLD-WASTE",E61="BLD-LAND")),AND(U61="Building renovation",E61="BLD-LAND"))),"N/A","Pending"))))))</x:f>
        <x:v>Pass</x:v>
      </x:c>
      <x:c r="Q61" s="3" t="str">
        <x:f>IF(C61="","",IF(AND(R61="Valid",OR(P61="Pass",P61="N/A")),"Complete","Unresolved"))</x:f>
        <x:v>Complete</x:v>
      </x:c>
      <x:c r="R61" s="9" t="str">
        <x:f>IF(C61="","",IF(OR(COUNTIF($C$9:$C$2008,C61)&lt;&gt;1,COUNTIFS($D$9:$D$2008,D61,$E$9:$E$2008,E61)&lt;&gt;1),"Duplicate test",IF(COUNTIF('Taxonomy'!$C$9:$C$108,D61)&lt;&gt;1,"Assessment key",IF(OR(COUNTIF('Taxonomy Rules'!$C$42:$C$68,E61)&lt;&gt;1,F61&lt;&gt;IFERROR(INDEX('Taxonomy Rules'!$D$42:$D$68,MATCH(E61,'Taxonomy Rules'!$C$42:$C$68,0)),""),NOT(OR(IFERROR(INDEX('Taxonomy Rules'!$G$42:$G$68,MATCH(E61,'Taxonomy Rules'!$C$42:$C$68,0)),"")="All supported routes",IFERROR(INDEX('Taxonomy Rules'!$G$42:$G$68,MATCH(E61,'Taxonomy Rules'!$C$42:$C$68,0)),"")=U61,AND(IFERROR(INDEX('Taxonomy Rules'!$G$42:$G$68,MATCH(E61,'Taxonomy Rules'!$C$42:$C$68,0)),"")="Building routes",OR(U61="Building renovation",U61="New building",U61="Building equipment"))))),"Unexpected test","Valid"))))</x:f>
        <x:v>Valid</x:v>
      </x:c>
      <x:c r="S61" s="9" t="str">
        <x:f>IF(C61="","",IFERROR(INDEX('Taxonomy Rules'!$E$42:$E$68,MATCH(E61,'Taxonomy Rules'!$C$42:$C$68,0)),""))</x:f>
        <x:v>Lifetime hazard screen, material risk assessment and implemented adaptation; no harm to others.</x:v>
      </x:c>
      <x:c r="T61" s="9" t="str">
        <x:f>IF(C61="","",IFERROR(INDEX('Taxonomy Rules'!$F$42:$F$68,MATCH(E61,'Taxonomy Rules'!$C$42:$C$68,0)),""))</x:f>
        <x:v>S10 pp30–31</x:v>
      </x:c>
      <x:c r="U61" s="9" t="str">
        <x:f>IF(C61="","",IFERROR(INDEX('Taxonomy'!$G$9:$G$108,MATCH(D61,'Taxonomy'!$C$9:$C$108,0)),""))</x:f>
        <x:v>Road freight</x:v>
      </x:c>
    </x:row>
    <x:row r="62" ht="44" customHeight="1">
      <x:c r="A62" s="1"/>
      <x:c r="B62" s="1"/>
      <x:c r="C62" s="8" t="str">
        <x:v>TST-F005-DNSH-WATER</x:v>
      </x:c>
      <x:c r="D62" s="8" t="str">
        <x:v>TAX-F005</x:v>
      </x:c>
      <x:c r="E62" s="8" t="str">
        <x:v>DNSH-WATER</x:v>
      </x:c>
      <x:c r="F62" s="8" t="str">
        <x:v>DNSH</x:v>
      </x:c>
      <x:c r="G62" s="8" t="str">
        <x:v>Applicable</x:v>
      </x:c>
      <x:c r="H62" s="8" t="str">
        <x:v>Pass</x:v>
      </x:c>
      <x:c r="I62" s="8" t="str">
        <x:v>SYN-TEST-F005-DNSH-WATER</x:v>
      </x:c>
      <x:c r="J62" s="8" t="str"/>
      <x:c r="K62" s="8" t="str">
        <x:v>Taxonomy analyst 2</x:v>
      </x:c>
      <x:c r="L62" s="8" t="str">
        <x:v>Taxonomy reviewer 1</x:v>
      </x:c>
      <x:c r="M62" s="10" t="n">
        <x:v>46266</x:v>
      </x:c>
      <x:c r="N62" s="10" t="n">
        <x:v>46631</x:v>
      </x:c>
      <x:c r="O62" s="8"/>
      <x:c r="P62" s="9" t="str">
        <x:f>IF(C62="","",IF(AND(G62="Applicable",H62="Fail"),"Fail",IF(R62&lt;&gt;"Valid","Pending",IF(OR(I62="",K62="",L62="",K62=L62,NOT(ISNUMBER(M62)),NOT(ISNUMBER(N62)),M62&gt;Settings!$F$8,N62&lt;Settings!$F$8,N62&lt;M62),"Pending",IF(AND(G62="Applicable",H62="Pass"),"Pass",IF(AND(G62="N/A",H62="N/A",J62&lt;&gt;"",OR(E62="CEM-FUELS",E62="CEM-CCS",AND(E62="CEM-PLAN",IFERROR(INDEX('Taxonomy'!$M$9:$M$108,MATCH(D62,'Taxonomy'!$C$9:$C$108,0)),"")&lt;&gt;"Amber"),E62="BLD-TIMBER",AND(U62="Building equipment",OR(E62="BLD-WATER",E62="BLD-WASTE",E62="BLD-LAND")),AND(U62="Building renovation",E62="BLD-LAND"))),"N/A","Pending"))))))</x:f>
        <x:v>Pass</x:v>
      </x:c>
      <x:c r="Q62" s="3" t="str">
        <x:f>IF(C62="","",IF(AND(R62="Valid",OR(P62="Pass",P62="N/A")),"Complete","Unresolved"))</x:f>
        <x:v>Complete</x:v>
      </x:c>
      <x:c r="R62" s="9" t="str">
        <x:f>IF(C62="","",IF(OR(COUNTIF($C$9:$C$2008,C62)&lt;&gt;1,COUNTIFS($D$9:$D$2008,D62,$E$9:$E$2008,E62)&lt;&gt;1),"Duplicate test",IF(COUNTIF('Taxonomy'!$C$9:$C$108,D62)&lt;&gt;1,"Assessment key",IF(OR(COUNTIF('Taxonomy Rules'!$C$42:$C$68,E62)&lt;&gt;1,F62&lt;&gt;IFERROR(INDEX('Taxonomy Rules'!$D$42:$D$68,MATCH(E62,'Taxonomy Rules'!$C$42:$C$68,0)),""),NOT(OR(IFERROR(INDEX('Taxonomy Rules'!$G$42:$G$68,MATCH(E62,'Taxonomy Rules'!$C$42:$C$68,0)),"")="All supported routes",IFERROR(INDEX('Taxonomy Rules'!$G$42:$G$68,MATCH(E62,'Taxonomy Rules'!$C$42:$C$68,0)),"")=U62,AND(IFERROR(INDEX('Taxonomy Rules'!$G$42:$G$68,MATCH(E62,'Taxonomy Rules'!$C$42:$C$68,0)),"")="Building routes",OR(U62="Building renovation",U62="New building",U62="Building equipment"))))),"Unexpected test","Valid"))))</x:f>
        <x:v>Valid</x:v>
      </x:c>
      <x:c r="S62" s="9" t="str">
        <x:f>IF(C62="","",IFERROR(INDEX('Taxonomy Rules'!$E$42:$E$68,MATCH(E62,'Taxonomy Rules'!$C$42:$C$68,0)),""))</x:f>
        <x:v>Water permits, abstraction/discharge limits, required assessments and management measures.</x:v>
      </x:c>
      <x:c r="T62" s="9" t="str">
        <x:f>IF(C62="","",IFERROR(INDEX('Taxonomy Rules'!$F$42:$F$68,MATCH(E62,'Taxonomy Rules'!$C$42:$C$68,0)),""))</x:f>
        <x:v>S10 p31</x:v>
      </x:c>
      <x:c r="U62" s="9" t="str">
        <x:f>IF(C62="","",IFERROR(INDEX('Taxonomy'!$G$9:$G$108,MATCH(D62,'Taxonomy'!$C$9:$C$108,0)),""))</x:f>
        <x:v>Road freight</x:v>
      </x:c>
    </x:row>
    <x:row r="63" ht="44" customHeight="1">
      <x:c r="A63" s="1"/>
      <x:c r="B63" s="1"/>
      <x:c r="C63" s="8" t="str">
        <x:v>TST-F005-DNSH-POLL</x:v>
      </x:c>
      <x:c r="D63" s="8" t="str">
        <x:v>TAX-F005</x:v>
      </x:c>
      <x:c r="E63" s="8" t="str">
        <x:v>DNSH-POLL</x:v>
      </x:c>
      <x:c r="F63" s="8" t="str">
        <x:v>DNSH</x:v>
      </x:c>
      <x:c r="G63" s="8" t="str">
        <x:v>Applicable</x:v>
      </x:c>
      <x:c r="H63" s="8" t="str">
        <x:v>Pass</x:v>
      </x:c>
      <x:c r="I63" s="8" t="str">
        <x:v>SYN-TEST-F005-DNSH-POLL</x:v>
      </x:c>
      <x:c r="J63" s="8" t="str"/>
      <x:c r="K63" s="8" t="str">
        <x:v>Taxonomy analyst 2</x:v>
      </x:c>
      <x:c r="L63" s="8" t="str">
        <x:v>Taxonomy reviewer 1</x:v>
      </x:c>
      <x:c r="M63" s="10" t="n">
        <x:v>46266</x:v>
      </x:c>
      <x:c r="N63" s="10" t="n">
        <x:v>46631</x:v>
      </x:c>
      <x:c r="O63" s="8"/>
      <x:c r="P63" s="9" t="str">
        <x:f>IF(C63="","",IF(AND(G63="Applicable",H63="Fail"),"Fail",IF(R63&lt;&gt;"Valid","Pending",IF(OR(I63="",K63="",L63="",K63=L63,NOT(ISNUMBER(M63)),NOT(ISNUMBER(N63)),M63&gt;Settings!$F$8,N63&lt;Settings!$F$8,N63&lt;M63),"Pending",IF(AND(G63="Applicable",H63="Pass"),"Pass",IF(AND(G63="N/A",H63="N/A",J63&lt;&gt;"",OR(E63="CEM-FUELS",E63="CEM-CCS",AND(E63="CEM-PLAN",IFERROR(INDEX('Taxonomy'!$M$9:$M$108,MATCH(D63,'Taxonomy'!$C$9:$C$108,0)),"")&lt;&gt;"Amber"),E63="BLD-TIMBER",AND(U63="Building equipment",OR(E63="BLD-WATER",E63="BLD-WASTE",E63="BLD-LAND")),AND(U63="Building renovation",E63="BLD-LAND"))),"N/A","Pending"))))))</x:f>
        <x:v>Pass</x:v>
      </x:c>
      <x:c r="Q63" s="3" t="str">
        <x:f>IF(C63="","",IF(AND(R63="Valid",OR(P63="Pass",P63="N/A")),"Complete","Unresolved"))</x:f>
        <x:v>Complete</x:v>
      </x:c>
      <x:c r="R63" s="9" t="str">
        <x:f>IF(C63="","",IF(OR(COUNTIF($C$9:$C$2008,C63)&lt;&gt;1,COUNTIFS($D$9:$D$2008,D63,$E$9:$E$2008,E63)&lt;&gt;1),"Duplicate test",IF(COUNTIF('Taxonomy'!$C$9:$C$108,D63)&lt;&gt;1,"Assessment key",IF(OR(COUNTIF('Taxonomy Rules'!$C$42:$C$68,E63)&lt;&gt;1,F63&lt;&gt;IFERROR(INDEX('Taxonomy Rules'!$D$42:$D$68,MATCH(E63,'Taxonomy Rules'!$C$42:$C$68,0)),""),NOT(OR(IFERROR(INDEX('Taxonomy Rules'!$G$42:$G$68,MATCH(E63,'Taxonomy Rules'!$C$42:$C$68,0)),"")="All supported routes",IFERROR(INDEX('Taxonomy Rules'!$G$42:$G$68,MATCH(E63,'Taxonomy Rules'!$C$42:$C$68,0)),"")=U63,AND(IFERROR(INDEX('Taxonomy Rules'!$G$42:$G$68,MATCH(E63,'Taxonomy Rules'!$C$42:$C$68,0)),"")="Building routes",OR(U63="Building renovation",U63="New building",U63="Building equipment"))))),"Unexpected test","Valid"))))</x:f>
        <x:v>Valid</x:v>
      </x:c>
      <x:c r="S63" s="9" t="str">
        <x:f>IF(C63="","",IFERROR(INDEX('Taxonomy Rules'!$E$42:$E$68,MATCH(E63,'Taxonomy Rules'!$C$42:$C$68,0)),""))</x:f>
        <x:v>National pollution and prohibited-substance requirements; activity-specific limits.</x:v>
      </x:c>
      <x:c r="T63" s="9" t="str">
        <x:f>IF(C63="","",IFERROR(INDEX('Taxonomy Rules'!$F$42:$F$68,MATCH(E63,'Taxonomy Rules'!$C$42:$C$68,0)),""))</x:f>
        <x:v>S10 p31</x:v>
      </x:c>
      <x:c r="U63" s="9" t="str">
        <x:f>IF(C63="","",IFERROR(INDEX('Taxonomy'!$G$9:$G$108,MATCH(D63,'Taxonomy'!$C$9:$C$108,0)),""))</x:f>
        <x:v>Road freight</x:v>
      </x:c>
    </x:row>
    <x:row r="64" ht="44" customHeight="1">
      <x:c r="A64" s="1"/>
      <x:c r="B64" s="1"/>
      <x:c r="C64" s="8" t="str">
        <x:v>TST-F005-DNSH-CIRC</x:v>
      </x:c>
      <x:c r="D64" s="8" t="str">
        <x:v>TAX-F005</x:v>
      </x:c>
      <x:c r="E64" s="8" t="str">
        <x:v>DNSH-CIRC</x:v>
      </x:c>
      <x:c r="F64" s="8" t="str">
        <x:v>DNSH</x:v>
      </x:c>
      <x:c r="G64" s="8" t="str">
        <x:v>Applicable</x:v>
      </x:c>
      <x:c r="H64" s="8" t="str">
        <x:v>Pass</x:v>
      </x:c>
      <x:c r="I64" s="8" t="str">
        <x:v>SYN-TEST-F005-DNSH-CIRC</x:v>
      </x:c>
      <x:c r="J64" s="8" t="str"/>
      <x:c r="K64" s="8" t="str">
        <x:v>Taxonomy analyst 2</x:v>
      </x:c>
      <x:c r="L64" s="8" t="str">
        <x:v>Taxonomy reviewer 1</x:v>
      </x:c>
      <x:c r="M64" s="10" t="n">
        <x:v>46266</x:v>
      </x:c>
      <x:c r="N64" s="10" t="n">
        <x:v>46631</x:v>
      </x:c>
      <x:c r="O64" s="8"/>
      <x:c r="P64" s="9" t="str">
        <x:f>IF(C64="","",IF(AND(G64="Applicable",H64="Fail"),"Fail",IF(R64&lt;&gt;"Valid","Pending",IF(OR(I64="",K64="",L64="",K64=L64,NOT(ISNUMBER(M64)),NOT(ISNUMBER(N64)),M64&gt;Settings!$F$8,N64&lt;Settings!$F$8,N64&lt;M64),"Pending",IF(AND(G64="Applicable",H64="Pass"),"Pass",IF(AND(G64="N/A",H64="N/A",J64&lt;&gt;"",OR(E64="CEM-FUELS",E64="CEM-CCS",AND(E64="CEM-PLAN",IFERROR(INDEX('Taxonomy'!$M$9:$M$108,MATCH(D64,'Taxonomy'!$C$9:$C$108,0)),"")&lt;&gt;"Amber"),E64="BLD-TIMBER",AND(U64="Building equipment",OR(E64="BLD-WATER",E64="BLD-WASTE",E64="BLD-LAND")),AND(U64="Building renovation",E64="BLD-LAND"))),"N/A","Pending"))))))</x:f>
        <x:v>Pass</x:v>
      </x:c>
      <x:c r="Q64" s="3" t="str">
        <x:f>IF(C64="","",IF(AND(R64="Valid",OR(P64="Pass",P64="N/A")),"Complete","Unresolved"))</x:f>
        <x:v>Complete</x:v>
      </x:c>
      <x:c r="R64" s="9" t="str">
        <x:f>IF(C64="","",IF(OR(COUNTIF($C$9:$C$2008,C64)&lt;&gt;1,COUNTIFS($D$9:$D$2008,D64,$E$9:$E$2008,E64)&lt;&gt;1),"Duplicate test",IF(COUNTIF('Taxonomy'!$C$9:$C$108,D64)&lt;&gt;1,"Assessment key",IF(OR(COUNTIF('Taxonomy Rules'!$C$42:$C$68,E64)&lt;&gt;1,F64&lt;&gt;IFERROR(INDEX('Taxonomy Rules'!$D$42:$D$68,MATCH(E64,'Taxonomy Rules'!$C$42:$C$68,0)),""),NOT(OR(IFERROR(INDEX('Taxonomy Rules'!$G$42:$G$68,MATCH(E64,'Taxonomy Rules'!$C$42:$C$68,0)),"")="All supported routes",IFERROR(INDEX('Taxonomy Rules'!$G$42:$G$68,MATCH(E64,'Taxonomy Rules'!$C$42:$C$68,0)),"")=U64,AND(IFERROR(INDEX('Taxonomy Rules'!$G$42:$G$68,MATCH(E64,'Taxonomy Rules'!$C$42:$C$68,0)),"")="Building routes",OR(U64="Building renovation",U64="New building",U64="Building equipment"))))),"Unexpected test","Valid"))))</x:f>
        <x:v>Valid</x:v>
      </x:c>
      <x:c r="S64" s="9" t="str">
        <x:f>IF(C64="","",IFERROR(INDEX('Taxonomy Rules'!$E$42:$E$68,MATCH(E64,'Taxonomy Rules'!$C$42:$C$68,0)),""))</x:f>
        <x:v>Waste hierarchy, resource efficiency, hazardous-waste traceability and end-of-life arrangements.</x:v>
      </x:c>
      <x:c r="T64" s="9" t="str">
        <x:f>IF(C64="","",IFERROR(INDEX('Taxonomy Rules'!$F$42:$F$68,MATCH(E64,'Taxonomy Rules'!$C$42:$C$68,0)),""))</x:f>
        <x:v>S10 p32</x:v>
      </x:c>
      <x:c r="U64" s="9" t="str">
        <x:f>IF(C64="","",IFERROR(INDEX('Taxonomy'!$G$9:$G$108,MATCH(D64,'Taxonomy'!$C$9:$C$108,0)),""))</x:f>
        <x:v>Road freight</x:v>
      </x:c>
    </x:row>
    <x:row r="65" ht="44" customHeight="1">
      <x:c r="A65" s="1"/>
      <x:c r="B65" s="1"/>
      <x:c r="C65" s="8" t="str">
        <x:v>TST-F005-DNSH-BIO</x:v>
      </x:c>
      <x:c r="D65" s="8" t="str">
        <x:v>TAX-F005</x:v>
      </x:c>
      <x:c r="E65" s="8" t="str">
        <x:v>DNSH-BIO</x:v>
      </x:c>
      <x:c r="F65" s="8" t="str">
        <x:v>DNSH</x:v>
      </x:c>
      <x:c r="G65" s="8" t="str">
        <x:v>Applicable</x:v>
      </x:c>
      <x:c r="H65" s="8" t="str">
        <x:v>Pass</x:v>
      </x:c>
      <x:c r="I65" s="8" t="str">
        <x:v>SYN-TEST-F005-DNSH-BIO</x:v>
      </x:c>
      <x:c r="J65" s="8" t="str"/>
      <x:c r="K65" s="8" t="str">
        <x:v>Taxonomy analyst 2</x:v>
      </x:c>
      <x:c r="L65" s="8" t="str">
        <x:v>Taxonomy reviewer 1</x:v>
      </x:c>
      <x:c r="M65" s="10" t="n">
        <x:v>46266</x:v>
      </x:c>
      <x:c r="N65" s="10" t="n">
        <x:v>46631</x:v>
      </x:c>
      <x:c r="O65" s="8"/>
      <x:c r="P65" s="9" t="str">
        <x:f>IF(C65="","",IF(AND(G65="Applicable",H65="Fail"),"Fail",IF(R65&lt;&gt;"Valid","Pending",IF(OR(I65="",K65="",L65="",K65=L65,NOT(ISNUMBER(M65)),NOT(ISNUMBER(N65)),M65&gt;Settings!$F$8,N65&lt;Settings!$F$8,N65&lt;M65),"Pending",IF(AND(G65="Applicable",H65="Pass"),"Pass",IF(AND(G65="N/A",H65="N/A",J65&lt;&gt;"",OR(E65="CEM-FUELS",E65="CEM-CCS",AND(E65="CEM-PLAN",IFERROR(INDEX('Taxonomy'!$M$9:$M$108,MATCH(D65,'Taxonomy'!$C$9:$C$108,0)),"")&lt;&gt;"Amber"),E65="BLD-TIMBER",AND(U65="Building equipment",OR(E65="BLD-WATER",E65="BLD-WASTE",E65="BLD-LAND")),AND(U65="Building renovation",E65="BLD-LAND"))),"N/A","Pending"))))))</x:f>
        <x:v>Pass</x:v>
      </x:c>
      <x:c r="Q65" s="3" t="str">
        <x:f>IF(C65="","",IF(AND(R65="Valid",OR(P65="Pass",P65="N/A")),"Complete","Unresolved"))</x:f>
        <x:v>Complete</x:v>
      </x:c>
      <x:c r="R65" s="9" t="str">
        <x:f>IF(C65="","",IF(OR(COUNTIF($C$9:$C$2008,C65)&lt;&gt;1,COUNTIFS($D$9:$D$2008,D65,$E$9:$E$2008,E65)&lt;&gt;1),"Duplicate test",IF(COUNTIF('Taxonomy'!$C$9:$C$108,D65)&lt;&gt;1,"Assessment key",IF(OR(COUNTIF('Taxonomy Rules'!$C$42:$C$68,E65)&lt;&gt;1,F65&lt;&gt;IFERROR(INDEX('Taxonomy Rules'!$D$42:$D$68,MATCH(E65,'Taxonomy Rules'!$C$42:$C$68,0)),""),NOT(OR(IFERROR(INDEX('Taxonomy Rules'!$G$42:$G$68,MATCH(E65,'Taxonomy Rules'!$C$42:$C$68,0)),"")="All supported routes",IFERROR(INDEX('Taxonomy Rules'!$G$42:$G$68,MATCH(E65,'Taxonomy Rules'!$C$42:$C$68,0)),"")=U65,AND(IFERROR(INDEX('Taxonomy Rules'!$G$42:$G$68,MATCH(E65,'Taxonomy Rules'!$C$42:$C$68,0)),"")="Building routes",OR(U65="Building renovation",U65="New building",U65="Building equipment"))))),"Unexpected test","Valid"))))</x:f>
        <x:v>Valid</x:v>
      </x:c>
      <x:c r="S65" s="9" t="str">
        <x:f>IF(C65="","",IFERROR(INDEX('Taxonomy Rules'!$E$42:$E$68,MATCH(E65,'Taxonomy Rules'!$C$42:$C$68,0)),""))</x:f>
        <x:v>Required EIA, habitat screening and implemented mitigation.</x:v>
      </x:c>
      <x:c r="T65" s="9" t="str">
        <x:f>IF(C65="","",IFERROR(INDEX('Taxonomy Rules'!$F$42:$F$68,MATCH(E65,'Taxonomy Rules'!$C$42:$C$68,0)),""))</x:f>
        <x:v>S10 p32</x:v>
      </x:c>
      <x:c r="U65" s="9" t="str">
        <x:f>IF(C65="","",IFERROR(INDEX('Taxonomy'!$G$9:$G$108,MATCH(D65,'Taxonomy'!$C$9:$C$108,0)),""))</x:f>
        <x:v>Road freight</x:v>
      </x:c>
    </x:row>
    <x:row r="66" ht="44" customHeight="1">
      <x:c r="A66" s="1"/>
      <x:c r="B66" s="1"/>
      <x:c r="C66" s="8" t="str">
        <x:v>TST-F005-MSS-LABOUR</x:v>
      </x:c>
      <x:c r="D66" s="8" t="str">
        <x:v>TAX-F005</x:v>
      </x:c>
      <x:c r="E66" s="8" t="str">
        <x:v>MSS-LABOUR</x:v>
      </x:c>
      <x:c r="F66" s="8" t="str">
        <x:v>MSS</x:v>
      </x:c>
      <x:c r="G66" s="8" t="str">
        <x:v>Applicable</x:v>
      </x:c>
      <x:c r="H66" s="8" t="str">
        <x:v>Pass</x:v>
      </x:c>
      <x:c r="I66" s="8" t="str">
        <x:v>SYN-TEST-F005-MSS-LABOUR</x:v>
      </x:c>
      <x:c r="J66" s="8" t="str"/>
      <x:c r="K66" s="8" t="str">
        <x:v>Taxonomy analyst 2</x:v>
      </x:c>
      <x:c r="L66" s="8" t="str">
        <x:v>Taxonomy reviewer 1</x:v>
      </x:c>
      <x:c r="M66" s="10" t="n">
        <x:v>46266</x:v>
      </x:c>
      <x:c r="N66" s="10" t="n">
        <x:v>46631</x:v>
      </x:c>
      <x:c r="O66" s="8"/>
      <x:c r="P66" s="9" t="str">
        <x:f>IF(C66="","",IF(AND(G66="Applicable",H66="Fail"),"Fail",IF(R66&lt;&gt;"Valid","Pending",IF(OR(I66="",K66="",L66="",K66=L66,NOT(ISNUMBER(M66)),NOT(ISNUMBER(N66)),M66&gt;Settings!$F$8,N66&lt;Settings!$F$8,N66&lt;M66),"Pending",IF(AND(G66="Applicable",H66="Pass"),"Pass",IF(AND(G66="N/A",H66="N/A",J66&lt;&gt;"",OR(E66="CEM-FUELS",E66="CEM-CCS",AND(E66="CEM-PLAN",IFERROR(INDEX('Taxonomy'!$M$9:$M$108,MATCH(D66,'Taxonomy'!$C$9:$C$108,0)),"")&lt;&gt;"Amber"),E66="BLD-TIMBER",AND(U66="Building equipment",OR(E66="BLD-WATER",E66="BLD-WASTE",E66="BLD-LAND")),AND(U66="Building renovation",E66="BLD-LAND"))),"N/A","Pending"))))))</x:f>
        <x:v>Pass</x:v>
      </x:c>
      <x:c r="Q66" s="3" t="str">
        <x:f>IF(C66="","",IF(AND(R66="Valid",OR(P66="Pass",P66="N/A")),"Complete","Unresolved"))</x:f>
        <x:v>Complete</x:v>
      </x:c>
      <x:c r="R66" s="9" t="str">
        <x:f>IF(C66="","",IF(OR(COUNTIF($C$9:$C$2008,C66)&lt;&gt;1,COUNTIFS($D$9:$D$2008,D66,$E$9:$E$2008,E66)&lt;&gt;1),"Duplicate test",IF(COUNTIF('Taxonomy'!$C$9:$C$108,D66)&lt;&gt;1,"Assessment key",IF(OR(COUNTIF('Taxonomy Rules'!$C$42:$C$68,E66)&lt;&gt;1,F66&lt;&gt;IFERROR(INDEX('Taxonomy Rules'!$D$42:$D$68,MATCH(E66,'Taxonomy Rules'!$C$42:$C$68,0)),""),NOT(OR(IFERROR(INDEX('Taxonomy Rules'!$G$42:$G$68,MATCH(E66,'Taxonomy Rules'!$C$42:$C$68,0)),"")="All supported routes",IFERROR(INDEX('Taxonomy Rules'!$G$42:$G$68,MATCH(E66,'Taxonomy Rules'!$C$42:$C$68,0)),"")=U66,AND(IFERROR(INDEX('Taxonomy Rules'!$G$42:$G$68,MATCH(E66,'Taxonomy Rules'!$C$42:$C$68,0)),"")="Building routes",OR(U66="Building renovation",U66="New building",U66="Building equipment"))))),"Unexpected test","Valid"))))</x:f>
        <x:v>Valid</x:v>
      </x:c>
      <x:c r="S66" s="9" t="str">
        <x:f>IF(C66="","",IFERROR(INDEX('Taxonomy Rules'!$E$42:$E$68,MATCH(E66,'Taxonomy Rules'!$C$42:$C$68,0)),""))</x:f>
        <x:v>Labour rights, minimum age, no child/forced labour, equality and worker representation.</x:v>
      </x:c>
      <x:c r="T66" s="9" t="str">
        <x:f>IF(C66="","",IFERROR(INDEX('Taxonomy Rules'!$F$42:$F$68,MATCH(E66,'Taxonomy Rules'!$C$42:$C$68,0)),""))</x:f>
        <x:v>S10 p29</x:v>
      </x:c>
      <x:c r="U66" s="9" t="str">
        <x:f>IF(C66="","",IFERROR(INDEX('Taxonomy'!$G$9:$G$108,MATCH(D66,'Taxonomy'!$C$9:$C$108,0)),""))</x:f>
        <x:v>Road freight</x:v>
      </x:c>
    </x:row>
    <x:row r="67" ht="44" customHeight="1">
      <x:c r="A67" s="1"/>
      <x:c r="B67" s="1"/>
      <x:c r="C67" s="8" t="str">
        <x:v>TST-F005-MSS-OSH</x:v>
      </x:c>
      <x:c r="D67" s="8" t="str">
        <x:v>TAX-F005</x:v>
      </x:c>
      <x:c r="E67" s="8" t="str">
        <x:v>MSS-OSH</x:v>
      </x:c>
      <x:c r="F67" s="8" t="str">
        <x:v>MSS</x:v>
      </x:c>
      <x:c r="G67" s="8" t="str">
        <x:v>Applicable</x:v>
      </x:c>
      <x:c r="H67" s="8" t="str">
        <x:v>Pass</x:v>
      </x:c>
      <x:c r="I67" s="8" t="str">
        <x:v>SYN-TEST-F005-MSS-OSH</x:v>
      </x:c>
      <x:c r="J67" s="8" t="str"/>
      <x:c r="K67" s="8" t="str">
        <x:v>Taxonomy analyst 2</x:v>
      </x:c>
      <x:c r="L67" s="8" t="str">
        <x:v>Taxonomy reviewer 1</x:v>
      </x:c>
      <x:c r="M67" s="10" t="n">
        <x:v>46266</x:v>
      </x:c>
      <x:c r="N67" s="10" t="n">
        <x:v>46631</x:v>
      </x:c>
      <x:c r="O67" s="8"/>
      <x:c r="P67" s="9" t="str">
        <x:f>IF(C67="","",IF(AND(G67="Applicable",H67="Fail"),"Fail",IF(R67&lt;&gt;"Valid","Pending",IF(OR(I67="",K67="",L67="",K67=L67,NOT(ISNUMBER(M67)),NOT(ISNUMBER(N67)),M67&gt;Settings!$F$8,N67&lt;Settings!$F$8,N67&lt;M67),"Pending",IF(AND(G67="Applicable",H67="Pass"),"Pass",IF(AND(G67="N/A",H67="N/A",J67&lt;&gt;"",OR(E67="CEM-FUELS",E67="CEM-CCS",AND(E67="CEM-PLAN",IFERROR(INDEX('Taxonomy'!$M$9:$M$108,MATCH(D67,'Taxonomy'!$C$9:$C$108,0)),"")&lt;&gt;"Amber"),E67="BLD-TIMBER",AND(U67="Building equipment",OR(E67="BLD-WATER",E67="BLD-WASTE",E67="BLD-LAND")),AND(U67="Building renovation",E67="BLD-LAND"))),"N/A","Pending"))))))</x:f>
        <x:v>Pass</x:v>
      </x:c>
      <x:c r="Q67" s="3" t="str">
        <x:f>IF(C67="","",IF(AND(R67="Valid",OR(P67="Pass",P67="N/A")),"Complete","Unresolved"))</x:f>
        <x:v>Complete</x:v>
      </x:c>
      <x:c r="R67" s="9" t="str">
        <x:f>IF(C67="","",IF(OR(COUNTIF($C$9:$C$2008,C67)&lt;&gt;1,COUNTIFS($D$9:$D$2008,D67,$E$9:$E$2008,E67)&lt;&gt;1),"Duplicate test",IF(COUNTIF('Taxonomy'!$C$9:$C$108,D67)&lt;&gt;1,"Assessment key",IF(OR(COUNTIF('Taxonomy Rules'!$C$42:$C$68,E67)&lt;&gt;1,F67&lt;&gt;IFERROR(INDEX('Taxonomy Rules'!$D$42:$D$68,MATCH(E67,'Taxonomy Rules'!$C$42:$C$68,0)),""),NOT(OR(IFERROR(INDEX('Taxonomy Rules'!$G$42:$G$68,MATCH(E67,'Taxonomy Rules'!$C$42:$C$68,0)),"")="All supported routes",IFERROR(INDEX('Taxonomy Rules'!$G$42:$G$68,MATCH(E67,'Taxonomy Rules'!$C$42:$C$68,0)),"")=U67,AND(IFERROR(INDEX('Taxonomy Rules'!$G$42:$G$68,MATCH(E67,'Taxonomy Rules'!$C$42:$C$68,0)),"")="Building routes",OR(U67="Building renovation",U67="New building",U67="Building equipment"))))),"Unexpected test","Valid"))))</x:f>
        <x:v>Valid</x:v>
      </x:c>
      <x:c r="S67" s="9" t="str">
        <x:f>IF(C67="","",IFERROR(INDEX('Taxonomy Rules'!$E$42:$E$68,MATCH(E67,'Taxonomy Rules'!$C$42:$C$68,0)),""))</x:f>
        <x:v>Applicable occupational safety, hazard prevention and emergency readiness.</x:v>
      </x:c>
      <x:c r="T67" s="9" t="str">
        <x:f>IF(C67="","",IFERROR(INDEX('Taxonomy Rules'!$F$42:$F$68,MATCH(E67,'Taxonomy Rules'!$C$42:$C$68,0)),""))</x:f>
        <x:v>S10 p29</x:v>
      </x:c>
      <x:c r="U67" s="9" t="str">
        <x:f>IF(C67="","",IFERROR(INDEX('Taxonomy'!$G$9:$G$108,MATCH(D67,'Taxonomy'!$C$9:$C$108,0)),""))</x:f>
        <x:v>Road freight</x:v>
      </x:c>
    </x:row>
    <x:row r="68" ht="44" customHeight="1">
      <x:c r="A68" s="1"/>
      <x:c r="B68" s="1"/>
      <x:c r="C68" s="8" t="str">
        <x:v>TST-F005-MSS-RIGHTS</x:v>
      </x:c>
      <x:c r="D68" s="8" t="str">
        <x:v>TAX-F005</x:v>
      </x:c>
      <x:c r="E68" s="8" t="str">
        <x:v>MSS-RIGHTS</x:v>
      </x:c>
      <x:c r="F68" s="8" t="str">
        <x:v>MSS</x:v>
      </x:c>
      <x:c r="G68" s="8" t="str">
        <x:v>Applicable</x:v>
      </x:c>
      <x:c r="H68" s="8" t="str">
        <x:v>Pass</x:v>
      </x:c>
      <x:c r="I68" s="8" t="str">
        <x:v>SYN-TEST-F005-MSS-RIGHTS</x:v>
      </x:c>
      <x:c r="J68" s="8" t="str"/>
      <x:c r="K68" s="8" t="str">
        <x:v>Taxonomy analyst 2</x:v>
      </x:c>
      <x:c r="L68" s="8" t="str">
        <x:v>Taxonomy reviewer 1</x:v>
      </x:c>
      <x:c r="M68" s="10" t="n">
        <x:v>46266</x:v>
      </x:c>
      <x:c r="N68" s="10" t="n">
        <x:v>46631</x:v>
      </x:c>
      <x:c r="O68" s="8"/>
      <x:c r="P68" s="9" t="str">
        <x:f>IF(C68="","",IF(AND(G68="Applicable",H68="Fail"),"Fail",IF(R68&lt;&gt;"Valid","Pending",IF(OR(I68="",K68="",L68="",K68=L68,NOT(ISNUMBER(M68)),NOT(ISNUMBER(N68)),M68&gt;Settings!$F$8,N68&lt;Settings!$F$8,N68&lt;M68),"Pending",IF(AND(G68="Applicable",H68="Pass"),"Pass",IF(AND(G68="N/A",H68="N/A",J68&lt;&gt;"",OR(E68="CEM-FUELS",E68="CEM-CCS",AND(E68="CEM-PLAN",IFERROR(INDEX('Taxonomy'!$M$9:$M$108,MATCH(D68,'Taxonomy'!$C$9:$C$108,0)),"")&lt;&gt;"Amber"),E68="BLD-TIMBER",AND(U68="Building equipment",OR(E68="BLD-WATER",E68="BLD-WASTE",E68="BLD-LAND")),AND(U68="Building renovation",E68="BLD-LAND"))),"N/A","Pending"))))))</x:f>
        <x:v>Pass</x:v>
      </x:c>
      <x:c r="Q68" s="3" t="str">
        <x:f>IF(C68="","",IF(AND(R68="Valid",OR(P68="Pass",P68="N/A")),"Complete","Unresolved"))</x:f>
        <x:v>Complete</x:v>
      </x:c>
      <x:c r="R68" s="9" t="str">
        <x:f>IF(C68="","",IF(OR(COUNTIF($C$9:$C$2008,C68)&lt;&gt;1,COUNTIFS($D$9:$D$2008,D68,$E$9:$E$2008,E68)&lt;&gt;1),"Duplicate test",IF(COUNTIF('Taxonomy'!$C$9:$C$108,D68)&lt;&gt;1,"Assessment key",IF(OR(COUNTIF('Taxonomy Rules'!$C$42:$C$68,E68)&lt;&gt;1,F68&lt;&gt;IFERROR(INDEX('Taxonomy Rules'!$D$42:$D$68,MATCH(E68,'Taxonomy Rules'!$C$42:$C$68,0)),""),NOT(OR(IFERROR(INDEX('Taxonomy Rules'!$G$42:$G$68,MATCH(E68,'Taxonomy Rules'!$C$42:$C$68,0)),"")="All supported routes",IFERROR(INDEX('Taxonomy Rules'!$G$42:$G$68,MATCH(E68,'Taxonomy Rules'!$C$42:$C$68,0)),"")=U68,AND(IFERROR(INDEX('Taxonomy Rules'!$G$42:$G$68,MATCH(E68,'Taxonomy Rules'!$C$42:$C$68,0)),"")="Building routes",OR(U68="Building renovation",U68="New building",U68="Building equipment"))))),"Unexpected test","Valid"))))</x:f>
        <x:v>Valid</x:v>
      </x:c>
      <x:c r="S68" s="9" t="str">
        <x:f>IF(C68="","",IFERROR(INDEX('Taxonomy Rules'!$E$42:$E$68,MATCH(E68,'Taxonomy Rules'!$C$42:$C$68,0)),""))</x:f>
        <x:v>Proportionate human-rights diligence, stakeholder/social-impact process and grievance mechanism.</x:v>
      </x:c>
      <x:c r="T68" s="9" t="str">
        <x:f>IF(C68="","",IFERROR(INDEX('Taxonomy Rules'!$F$42:$F$68,MATCH(E68,'Taxonomy Rules'!$C$42:$C$68,0)),""))</x:f>
        <x:v>S10 p29</x:v>
      </x:c>
      <x:c r="U68" s="9" t="str">
        <x:f>IF(C68="","",IFERROR(INDEX('Taxonomy'!$G$9:$G$108,MATCH(D68,'Taxonomy'!$C$9:$C$108,0)),""))</x:f>
        <x:v>Road freight</x:v>
      </x:c>
    </x:row>
    <x:row r="69" ht="44" customHeight="1">
      <x:c r="A69" s="1"/>
      <x:c r="B69" s="1"/>
      <x:c r="C69" s="8" t="str">
        <x:v>TST-F005-ROAD-SAFETY</x:v>
      </x:c>
      <x:c r="D69" s="8" t="str">
        <x:v>TAX-F005</x:v>
      </x:c>
      <x:c r="E69" s="8" t="str">
        <x:v>ROAD-SAFETY</x:v>
      </x:c>
      <x:c r="F69" s="8" t="str">
        <x:v>DNSH</x:v>
      </x:c>
      <x:c r="G69" s="8" t="str">
        <x:v>Applicable</x:v>
      </x:c>
      <x:c r="H69" s="8" t="str">
        <x:v>Pass</x:v>
      </x:c>
      <x:c r="I69" s="8" t="str">
        <x:v>SYN-TEST-F005-ROAD-SAFETY</x:v>
      </x:c>
      <x:c r="J69" s="8" t="str"/>
      <x:c r="K69" s="8" t="str">
        <x:v>Taxonomy analyst 2</x:v>
      </x:c>
      <x:c r="L69" s="8" t="str">
        <x:v>Taxonomy reviewer 1</x:v>
      </x:c>
      <x:c r="M69" s="10" t="n">
        <x:v>46266</x:v>
      </x:c>
      <x:c r="N69" s="10" t="n">
        <x:v>46631</x:v>
      </x:c>
      <x:c r="O69" s="8"/>
      <x:c r="P69" s="9" t="str">
        <x:f>IF(C69="","",IF(AND(G69="Applicable",H69="Fail"),"Fail",IF(R69&lt;&gt;"Valid","Pending",IF(OR(I69="",K69="",L69="",K69=L69,NOT(ISNUMBER(M69)),NOT(ISNUMBER(N69)),M69&gt;Settings!$F$8,N69&lt;Settings!$F$8,N69&lt;M69),"Pending",IF(AND(G69="Applicable",H69="Pass"),"Pass",IF(AND(G69="N/A",H69="N/A",J69&lt;&gt;"",OR(E69="CEM-FUELS",E69="CEM-CCS",AND(E69="CEM-PLAN",IFERROR(INDEX('Taxonomy'!$M$9:$M$108,MATCH(D69,'Taxonomy'!$C$9:$C$108,0)),"")&lt;&gt;"Amber"),E69="BLD-TIMBER",AND(U69="Building equipment",OR(E69="BLD-WATER",E69="BLD-WASTE",E69="BLD-LAND")),AND(U69="Building renovation",E69="BLD-LAND"))),"N/A","Pending"))))))</x:f>
        <x:v>Pass</x:v>
      </x:c>
      <x:c r="Q69" s="3" t="str">
        <x:f>IF(C69="","",IF(AND(R69="Valid",OR(P69="Pass",P69="N/A")),"Complete","Unresolved"))</x:f>
        <x:v>Complete</x:v>
      </x:c>
      <x:c r="R69" s="9" t="str">
        <x:f>IF(C69="","",IF(OR(COUNTIF($C$9:$C$2008,C69)&lt;&gt;1,COUNTIFS($D$9:$D$2008,D69,$E$9:$E$2008,E69)&lt;&gt;1),"Duplicate test",IF(COUNTIF('Taxonomy'!$C$9:$C$108,D69)&lt;&gt;1,"Assessment key",IF(OR(COUNTIF('Taxonomy Rules'!$C$42:$C$68,E69)&lt;&gt;1,F69&lt;&gt;IFERROR(INDEX('Taxonomy Rules'!$D$42:$D$68,MATCH(E69,'Taxonomy Rules'!$C$42:$C$68,0)),""),NOT(OR(IFERROR(INDEX('Taxonomy Rules'!$G$42:$G$68,MATCH(E69,'Taxonomy Rules'!$C$42:$C$68,0)),"")="All supported routes",IFERROR(INDEX('Taxonomy Rules'!$G$42:$G$68,MATCH(E69,'Taxonomy Rules'!$C$42:$C$68,0)),"")=U69,AND(IFERROR(INDEX('Taxonomy Rules'!$G$42:$G$68,MATCH(E69,'Taxonomy Rules'!$C$42:$C$68,0)),"")="Building routes",OR(U69="Building renovation",U69="New building",U69="Building equipment"))))),"Unexpected test","Valid"))))</x:f>
        <x:v>Valid</x:v>
      </x:c>
      <x:c r="S69" s="9" t="str">
        <x:f>IF(C69="","",IFERROR(INDEX('Taxonomy Rules'!$E$42:$E$68,MATCH(E69,'Taxonomy Rules'!$C$42:$C$68,0)),""))</x:f>
        <x:v>Applicable vehicle standards, exterior noise, tyres and battery-safety standards met.</x:v>
      </x:c>
      <x:c r="T69" s="9" t="str">
        <x:f>IF(C69="","",IFERROR(INDEX('Taxonomy Rules'!$F$42:$F$68,MATCH(E69,'Taxonomy Rules'!$C$42:$C$68,0)),""))</x:f>
        <x:v>S10 p118</x:v>
      </x:c>
      <x:c r="U69" s="9" t="str">
        <x:f>IF(C69="","",IFERROR(INDEX('Taxonomy'!$G$9:$G$108,MATCH(D69,'Taxonomy'!$C$9:$C$108,0)),""))</x:f>
        <x:v>Road freight</x:v>
      </x:c>
    </x:row>
    <x:row r="70" ht="44" customHeight="1">
      <x:c r="A70" s="1"/>
      <x:c r="B70" s="1"/>
      <x:c r="C70" s="8" t="str">
        <x:v>TST-F005-ROAD-WASTE</x:v>
      </x:c>
      <x:c r="D70" s="8" t="str">
        <x:v>TAX-F005</x:v>
      </x:c>
      <x:c r="E70" s="8" t="str">
        <x:v>ROAD-WASTE</x:v>
      </x:c>
      <x:c r="F70" s="8" t="str">
        <x:v>DNSH</x:v>
      </x:c>
      <x:c r="G70" s="8" t="str">
        <x:v>Applicable</x:v>
      </x:c>
      <x:c r="H70" s="8" t="str">
        <x:v>Pass</x:v>
      </x:c>
      <x:c r="I70" s="8" t="str">
        <x:v>SYN-TEST-F005-ROAD-WASTE</x:v>
      </x:c>
      <x:c r="J70" s="8" t="str"/>
      <x:c r="K70" s="8" t="str">
        <x:v>Taxonomy analyst 2</x:v>
      </x:c>
      <x:c r="L70" s="8" t="str">
        <x:v>Taxonomy reviewer 1</x:v>
      </x:c>
      <x:c r="M70" s="10" t="n">
        <x:v>46266</x:v>
      </x:c>
      <x:c r="N70" s="10" t="n">
        <x:v>46631</x:v>
      </x:c>
      <x:c r="O70" s="8"/>
      <x:c r="P70" s="9" t="str">
        <x:f>IF(C70="","",IF(AND(G70="Applicable",H70="Fail"),"Fail",IF(R70&lt;&gt;"Valid","Pending",IF(OR(I70="",K70="",L70="",K70=L70,NOT(ISNUMBER(M70)),NOT(ISNUMBER(N70)),M70&gt;Settings!$F$8,N70&lt;Settings!$F$8,N70&lt;M70),"Pending",IF(AND(G70="Applicable",H70="Pass"),"Pass",IF(AND(G70="N/A",H70="N/A",J70&lt;&gt;"",OR(E70="CEM-FUELS",E70="CEM-CCS",AND(E70="CEM-PLAN",IFERROR(INDEX('Taxonomy'!$M$9:$M$108,MATCH(D70,'Taxonomy'!$C$9:$C$108,0)),"")&lt;&gt;"Amber"),E70="BLD-TIMBER",AND(U70="Building equipment",OR(E70="BLD-WATER",E70="BLD-WASTE",E70="BLD-LAND")),AND(U70="Building renovation",E70="BLD-LAND"))),"N/A","Pending"))))))</x:f>
        <x:v>Pass</x:v>
      </x:c>
      <x:c r="Q70" s="3" t="str">
        <x:f>IF(C70="","",IF(AND(R70="Valid",OR(P70="Pass",P70="N/A")),"Complete","Unresolved"))</x:f>
        <x:v>Complete</x:v>
      </x:c>
      <x:c r="R70" s="9" t="str">
        <x:f>IF(C70="","",IF(OR(COUNTIF($C$9:$C$2008,C70)&lt;&gt;1,COUNTIFS($D$9:$D$2008,D70,$E$9:$E$2008,E70)&lt;&gt;1),"Duplicate test",IF(COUNTIF('Taxonomy'!$C$9:$C$108,D70)&lt;&gt;1,"Assessment key",IF(OR(COUNTIF('Taxonomy Rules'!$C$42:$C$68,E70)&lt;&gt;1,F70&lt;&gt;IFERROR(INDEX('Taxonomy Rules'!$D$42:$D$68,MATCH(E70,'Taxonomy Rules'!$C$42:$C$68,0)),""),NOT(OR(IFERROR(INDEX('Taxonomy Rules'!$G$42:$G$68,MATCH(E70,'Taxonomy Rules'!$C$42:$C$68,0)),"")="All supported routes",IFERROR(INDEX('Taxonomy Rules'!$G$42:$G$68,MATCH(E70,'Taxonomy Rules'!$C$42:$C$68,0)),"")=U70,AND(IFERROR(INDEX('Taxonomy Rules'!$G$42:$G$68,MATCH(E70,'Taxonomy Rules'!$C$42:$C$68,0)),"")="Building routes",OR(U70="Building renovation",U70="New building",U70="Building equipment"))))),"Unexpected test","Valid"))))</x:f>
        <x:v>Valid</x:v>
      </x:c>
      <x:c r="S70" s="9" t="str">
        <x:f>IF(C70="","",IFERROR(INDEX('Taxonomy Rules'!$E$42:$E$68,MATCH(E70,'Taxonomy Rules'!$C$42:$C$68,0)),""))</x:f>
        <x:v>Lubricants, chemicals, batteries and vehicle life-cycle waste safely handled; reuse / recycling provided.</x:v>
      </x:c>
      <x:c r="T70" s="9" t="str">
        <x:f>IF(C70="","",IFERROR(INDEX('Taxonomy Rules'!$F$42:$F$68,MATCH(E70,'Taxonomy Rules'!$C$42:$C$68,0)),""))</x:f>
        <x:v>S10 p118</x:v>
      </x:c>
      <x:c r="U70" s="9" t="str">
        <x:f>IF(C70="","",IFERROR(INDEX('Taxonomy'!$G$9:$G$108,MATCH(D70,'Taxonomy'!$C$9:$C$108,0)),""))</x:f>
        <x:v>Road freight</x:v>
      </x:c>
    </x:row>
    <x:row r="71" ht="44" customHeight="1">
      <x:c r="A71" s="1"/>
      <x:c r="B71" s="1"/>
      <x:c r="C71" s="8" t="str">
        <x:v>TST-F006-SC-EVIDENCE</x:v>
      </x:c>
      <x:c r="D71" s="8" t="str">
        <x:v>TAX-F006</x:v>
      </x:c>
      <x:c r="E71" s="8" t="str">
        <x:v>SC-EVIDENCE</x:v>
      </x:c>
      <x:c r="F71" s="8" t="str">
        <x:v>Technical</x:v>
      </x:c>
      <x:c r="G71" s="8" t="str">
        <x:v>Applicable</x:v>
      </x:c>
      <x:c r="H71" s="8" t="str">
        <x:v>Pass</x:v>
      </x:c>
      <x:c r="I71" s="8" t="str">
        <x:v>SYN-TEST-F006-SC-EVIDENCE</x:v>
      </x:c>
      <x:c r="J71" s="8" t="str"/>
      <x:c r="K71" s="8" t="str">
        <x:v>Taxonomy analyst 3</x:v>
      </x:c>
      <x:c r="L71" s="8" t="str">
        <x:v>Taxonomy reviewer 2</x:v>
      </x:c>
      <x:c r="M71" s="10" t="n">
        <x:v>46266</x:v>
      </x:c>
      <x:c r="N71" s="10" t="n">
        <x:v>46631</x:v>
      </x:c>
      <x:c r="O71" s="8"/>
      <x:c r="P71" s="9" t="str">
        <x:f>IF(C71="","",IF(AND(G71="Applicable",H71="Fail"),"Fail",IF(R71&lt;&gt;"Valid","Pending",IF(OR(I71="",K71="",L71="",K71=L71,NOT(ISNUMBER(M71)),NOT(ISNUMBER(N71)),M71&gt;Settings!$F$8,N71&lt;Settings!$F$8,N71&lt;M71),"Pending",IF(AND(G71="Applicable",H71="Pass"),"Pass",IF(AND(G71="N/A",H71="N/A",J71&lt;&gt;"",OR(E71="CEM-FUELS",E71="CEM-CCS",AND(E71="CEM-PLAN",IFERROR(INDEX('Taxonomy'!$M$9:$M$108,MATCH(D71,'Taxonomy'!$C$9:$C$108,0)),"")&lt;&gt;"Amber"),E71="BLD-TIMBER",AND(U71="Building equipment",OR(E71="BLD-WATER",E71="BLD-WASTE",E71="BLD-LAND")),AND(U71="Building renovation",E71="BLD-LAND"))),"N/A","Pending"))))))</x:f>
        <x:v>Pass</x:v>
      </x:c>
      <x:c r="Q71" s="3" t="str">
        <x:f>IF(C71="","",IF(AND(R71="Valid",OR(P71="Pass",P71="N/A")),"Complete","Unresolved"))</x:f>
        <x:v>Complete</x:v>
      </x:c>
      <x:c r="R71" s="9" t="str">
        <x:f>IF(C71="","",IF(OR(COUNTIF($C$9:$C$2008,C71)&lt;&gt;1,COUNTIFS($D$9:$D$2008,D71,$E$9:$E$2008,E71)&lt;&gt;1),"Duplicate test",IF(COUNTIF('Taxonomy'!$C$9:$C$108,D71)&lt;&gt;1,"Assessment key",IF(OR(COUNTIF('Taxonomy Rules'!$C$42:$C$68,E71)&lt;&gt;1,F71&lt;&gt;IFERROR(INDEX('Taxonomy Rules'!$D$42:$D$68,MATCH(E71,'Taxonomy Rules'!$C$42:$C$68,0)),""),NOT(OR(IFERROR(INDEX('Taxonomy Rules'!$G$42:$G$68,MATCH(E71,'Taxonomy Rules'!$C$42:$C$68,0)),"")="All supported routes",IFERROR(INDEX('Taxonomy Rules'!$G$42:$G$68,MATCH(E71,'Taxonomy Rules'!$C$42:$C$68,0)),"")=U71,AND(IFERROR(INDEX('Taxonomy Rules'!$G$42:$G$68,MATCH(E71,'Taxonomy Rules'!$C$42:$C$68,0)),"")="Building routes",OR(U71="Building renovation",U71="New building",U71="Building equipment"))))),"Unexpected test","Valid"))))</x:f>
        <x:v>Valid</x:v>
      </x:c>
      <x:c r="S71" s="9" t="str">
        <x:f>IF(C71="","",IFERROR(INDEX('Taxonomy Rules'!$E$42:$E$68,MATCH(E71,'Taxonomy Rules'!$C$42:$C$68,0)),""))</x:f>
        <x:v>Boundary and chosen route are evidenced; observations match the activity card.</x:v>
      </x:c>
      <x:c r="T71" s="9" t="str">
        <x:f>IF(C71="","",IFERROR(INDEX('Taxonomy Rules'!$F$42:$F$68,MATCH(E71,'Taxonomy Rules'!$C$42:$C$68,0)),""))</x:f>
        <x:v>S10 activity card</x:v>
      </x:c>
      <x:c r="U71" s="9" t="str">
        <x:f>IF(C71="","",IFERROR(INDEX('Taxonomy'!$G$9:$G$108,MATCH(D71,'Taxonomy'!$C$9:$C$108,0)),""))</x:f>
        <x:v>Road freight</x:v>
      </x:c>
    </x:row>
    <x:row r="72" ht="44" customHeight="1">
      <x:c r="A72" s="1"/>
      <x:c r="B72" s="1"/>
      <x:c r="C72" s="8" t="str">
        <x:v>TST-F006-DNSH-MIT</x:v>
      </x:c>
      <x:c r="D72" s="8" t="str">
        <x:v>TAX-F006</x:v>
      </x:c>
      <x:c r="E72" s="8" t="str">
        <x:v>DNSH-MIT</x:v>
      </x:c>
      <x:c r="F72" s="8" t="str">
        <x:v>DNSH</x:v>
      </x:c>
      <x:c r="G72" s="8" t="str">
        <x:v>Applicable</x:v>
      </x:c>
      <x:c r="H72" s="8" t="str">
        <x:v>Pass</x:v>
      </x:c>
      <x:c r="I72" s="8" t="str">
        <x:v>SYN-TEST-F006-DNSH-MIT</x:v>
      </x:c>
      <x:c r="J72" s="8" t="str"/>
      <x:c r="K72" s="8" t="str">
        <x:v>Taxonomy analyst 3</x:v>
      </x:c>
      <x:c r="L72" s="8" t="str">
        <x:v>Taxonomy reviewer 2</x:v>
      </x:c>
      <x:c r="M72" s="10" t="n">
        <x:v>46266</x:v>
      </x:c>
      <x:c r="N72" s="10" t="n">
        <x:v>46265</x:v>
      </x:c>
      <x:c r="O72" s="8"/>
      <x:c r="P72" s="9" t="str">
        <x:f>IF(C72="","",IF(AND(G72="Applicable",H72="Fail"),"Fail",IF(R72&lt;&gt;"Valid","Pending",IF(OR(I72="",K72="",L72="",K72=L72,NOT(ISNUMBER(M72)),NOT(ISNUMBER(N72)),M72&gt;Settings!$F$8,N72&lt;Settings!$F$8,N72&lt;M72),"Pending",IF(AND(G72="Applicable",H72="Pass"),"Pass",IF(AND(G72="N/A",H72="N/A",J72&lt;&gt;"",OR(E72="CEM-FUELS",E72="CEM-CCS",AND(E72="CEM-PLAN",IFERROR(INDEX('Taxonomy'!$M$9:$M$108,MATCH(D72,'Taxonomy'!$C$9:$C$108,0)),"")&lt;&gt;"Amber"),E72="BLD-TIMBER",AND(U72="Building equipment",OR(E72="BLD-WATER",E72="BLD-WASTE",E72="BLD-LAND")),AND(U72="Building renovation",E72="BLD-LAND"))),"N/A","Pending"))))))</x:f>
        <x:v>Pending</x:v>
      </x:c>
      <x:c r="Q72" s="3" t="str">
        <x:f>IF(C72="","",IF(AND(R72="Valid",OR(P72="Pass",P72="N/A")),"Complete","Unresolved"))</x:f>
        <x:v>Unresolved</x:v>
      </x:c>
      <x:c r="R72" s="9" t="str">
        <x:f>IF(C72="","",IF(OR(COUNTIF($C$9:$C$2008,C72)&lt;&gt;1,COUNTIFS($D$9:$D$2008,D72,$E$9:$E$2008,E72)&lt;&gt;1),"Duplicate test",IF(COUNTIF('Taxonomy'!$C$9:$C$108,D72)&lt;&gt;1,"Assessment key",IF(OR(COUNTIF('Taxonomy Rules'!$C$42:$C$68,E72)&lt;&gt;1,F72&lt;&gt;IFERROR(INDEX('Taxonomy Rules'!$D$42:$D$68,MATCH(E72,'Taxonomy Rules'!$C$42:$C$68,0)),""),NOT(OR(IFERROR(INDEX('Taxonomy Rules'!$G$42:$G$68,MATCH(E72,'Taxonomy Rules'!$C$42:$C$68,0)),"")="All supported routes",IFERROR(INDEX('Taxonomy Rules'!$G$42:$G$68,MATCH(E72,'Taxonomy Rules'!$C$42:$C$68,0)),"")=U72,AND(IFERROR(INDEX('Taxonomy Rules'!$G$42:$G$68,MATCH(E72,'Taxonomy Rules'!$C$42:$C$68,0)),"")="Building routes",OR(U72="Building renovation",U72="New building",U72="Building equipment"))))),"Unexpected test","Valid"))))</x:f>
        <x:v>Valid</x:v>
      </x:c>
      <x:c r="S72" s="9" t="str">
        <x:f>IF(C72="","",IFERROR(INDEX('Taxonomy Rules'!$E$42:$E$68,MATCH(E72,'Taxonomy Rules'!$C$42:$C$68,0)),""))</x:f>
        <x:v>No avoidable fossil lock-in; material lifecycle effects assessed.</x:v>
      </x:c>
      <x:c r="T72" s="9" t="str">
        <x:f>IF(C72="","",IFERROR(INDEX('Taxonomy Rules'!$F$42:$F$68,MATCH(E72,'Taxonomy Rules'!$C$42:$C$68,0)),""))</x:f>
        <x:v>S10 p30</x:v>
      </x:c>
      <x:c r="U72" s="9" t="str">
        <x:f>IF(C72="","",IFERROR(INDEX('Taxonomy'!$G$9:$G$108,MATCH(D72,'Taxonomy'!$C$9:$C$108,0)),""))</x:f>
        <x:v>Road freight</x:v>
      </x:c>
    </x:row>
    <x:row r="73" ht="44" customHeight="1">
      <x:c r="A73" s="1"/>
      <x:c r="B73" s="1"/>
      <x:c r="C73" s="8" t="str">
        <x:v>TST-F006-DNSH-ADAPT</x:v>
      </x:c>
      <x:c r="D73" s="8" t="str">
        <x:v>TAX-F006</x:v>
      </x:c>
      <x:c r="E73" s="8" t="str">
        <x:v>DNSH-ADAPT</x:v>
      </x:c>
      <x:c r="F73" s="8" t="str">
        <x:v>DNSH</x:v>
      </x:c>
      <x:c r="G73" s="8" t="str">
        <x:v>Applicable</x:v>
      </x:c>
      <x:c r="H73" s="8" t="str">
        <x:v>Pass</x:v>
      </x:c>
      <x:c r="I73" s="8" t="str">
        <x:v>SYN-TEST-F006-DNSH-ADAPT</x:v>
      </x:c>
      <x:c r="J73" s="8" t="str"/>
      <x:c r="K73" s="8" t="str">
        <x:v>Taxonomy analyst 3</x:v>
      </x:c>
      <x:c r="L73" s="8" t="str">
        <x:v>Taxonomy reviewer 2</x:v>
      </x:c>
      <x:c r="M73" s="10" t="n">
        <x:v>46266</x:v>
      </x:c>
      <x:c r="N73" s="10" t="n">
        <x:v>46631</x:v>
      </x:c>
      <x:c r="O73" s="8"/>
      <x:c r="P73" s="9" t="str">
        <x:f>IF(C73="","",IF(AND(G73="Applicable",H73="Fail"),"Fail",IF(R73&lt;&gt;"Valid","Pending",IF(OR(I73="",K73="",L73="",K73=L73,NOT(ISNUMBER(M73)),NOT(ISNUMBER(N73)),M73&gt;Settings!$F$8,N73&lt;Settings!$F$8,N73&lt;M73),"Pending",IF(AND(G73="Applicable",H73="Pass"),"Pass",IF(AND(G73="N/A",H73="N/A",J73&lt;&gt;"",OR(E73="CEM-FUELS",E73="CEM-CCS",AND(E73="CEM-PLAN",IFERROR(INDEX('Taxonomy'!$M$9:$M$108,MATCH(D73,'Taxonomy'!$C$9:$C$108,0)),"")&lt;&gt;"Amber"),E73="BLD-TIMBER",AND(U73="Building equipment",OR(E73="BLD-WATER",E73="BLD-WASTE",E73="BLD-LAND")),AND(U73="Building renovation",E73="BLD-LAND"))),"N/A","Pending"))))))</x:f>
        <x:v>Pass</x:v>
      </x:c>
      <x:c r="Q73" s="3" t="str">
        <x:f>IF(C73="","",IF(AND(R73="Valid",OR(P73="Pass",P73="N/A")),"Complete","Unresolved"))</x:f>
        <x:v>Complete</x:v>
      </x:c>
      <x:c r="R73" s="9" t="str">
        <x:f>IF(C73="","",IF(OR(COUNTIF($C$9:$C$2008,C73)&lt;&gt;1,COUNTIFS($D$9:$D$2008,D73,$E$9:$E$2008,E73)&lt;&gt;1),"Duplicate test",IF(COUNTIF('Taxonomy'!$C$9:$C$108,D73)&lt;&gt;1,"Assessment key",IF(OR(COUNTIF('Taxonomy Rules'!$C$42:$C$68,E73)&lt;&gt;1,F73&lt;&gt;IFERROR(INDEX('Taxonomy Rules'!$D$42:$D$68,MATCH(E73,'Taxonomy Rules'!$C$42:$C$68,0)),""),NOT(OR(IFERROR(INDEX('Taxonomy Rules'!$G$42:$G$68,MATCH(E73,'Taxonomy Rules'!$C$42:$C$68,0)),"")="All supported routes",IFERROR(INDEX('Taxonomy Rules'!$G$42:$G$68,MATCH(E73,'Taxonomy Rules'!$C$42:$C$68,0)),"")=U73,AND(IFERROR(INDEX('Taxonomy Rules'!$G$42:$G$68,MATCH(E73,'Taxonomy Rules'!$C$42:$C$68,0)),"")="Building routes",OR(U73="Building renovation",U73="New building",U73="Building equipment"))))),"Unexpected test","Valid"))))</x:f>
        <x:v>Valid</x:v>
      </x:c>
      <x:c r="S73" s="9" t="str">
        <x:f>IF(C73="","",IFERROR(INDEX('Taxonomy Rules'!$E$42:$E$68,MATCH(E73,'Taxonomy Rules'!$C$42:$C$68,0)),""))</x:f>
        <x:v>Lifetime hazard screen, material risk assessment and implemented adaptation; no harm to others.</x:v>
      </x:c>
      <x:c r="T73" s="9" t="str">
        <x:f>IF(C73="","",IFERROR(INDEX('Taxonomy Rules'!$F$42:$F$68,MATCH(E73,'Taxonomy Rules'!$C$42:$C$68,0)),""))</x:f>
        <x:v>S10 pp30–31</x:v>
      </x:c>
      <x:c r="U73" s="9" t="str">
        <x:f>IF(C73="","",IFERROR(INDEX('Taxonomy'!$G$9:$G$108,MATCH(D73,'Taxonomy'!$C$9:$C$108,0)),""))</x:f>
        <x:v>Road freight</x:v>
      </x:c>
    </x:row>
    <x:row r="74" ht="44" customHeight="1">
      <x:c r="A74" s="1"/>
      <x:c r="B74" s="1"/>
      <x:c r="C74" s="8" t="str">
        <x:v>TST-F006-DNSH-WATER</x:v>
      </x:c>
      <x:c r="D74" s="8" t="str">
        <x:v>TAX-F006</x:v>
      </x:c>
      <x:c r="E74" s="8" t="str">
        <x:v>DNSH-WATER</x:v>
      </x:c>
      <x:c r="F74" s="8" t="str">
        <x:v>DNSH</x:v>
      </x:c>
      <x:c r="G74" s="8" t="str">
        <x:v>Applicable</x:v>
      </x:c>
      <x:c r="H74" s="8" t="str">
        <x:v>Pass</x:v>
      </x:c>
      <x:c r="I74" s="8" t="str">
        <x:v>SYN-TEST-F006-DNSH-WATER</x:v>
      </x:c>
      <x:c r="J74" s="8" t="str"/>
      <x:c r="K74" s="8" t="str">
        <x:v>Taxonomy analyst 3</x:v>
      </x:c>
      <x:c r="L74" s="8" t="str">
        <x:v>Taxonomy reviewer 2</x:v>
      </x:c>
      <x:c r="M74" s="10" t="n">
        <x:v>46266</x:v>
      </x:c>
      <x:c r="N74" s="10" t="n">
        <x:v>46631</x:v>
      </x:c>
      <x:c r="O74" s="8"/>
      <x:c r="P74" s="9" t="str">
        <x:f>IF(C74="","",IF(AND(G74="Applicable",H74="Fail"),"Fail",IF(R74&lt;&gt;"Valid","Pending",IF(OR(I74="",K74="",L74="",K74=L74,NOT(ISNUMBER(M74)),NOT(ISNUMBER(N74)),M74&gt;Settings!$F$8,N74&lt;Settings!$F$8,N74&lt;M74),"Pending",IF(AND(G74="Applicable",H74="Pass"),"Pass",IF(AND(G74="N/A",H74="N/A",J74&lt;&gt;"",OR(E74="CEM-FUELS",E74="CEM-CCS",AND(E74="CEM-PLAN",IFERROR(INDEX('Taxonomy'!$M$9:$M$108,MATCH(D74,'Taxonomy'!$C$9:$C$108,0)),"")&lt;&gt;"Amber"),E74="BLD-TIMBER",AND(U74="Building equipment",OR(E74="BLD-WATER",E74="BLD-WASTE",E74="BLD-LAND")),AND(U74="Building renovation",E74="BLD-LAND"))),"N/A","Pending"))))))</x:f>
        <x:v>Pass</x:v>
      </x:c>
      <x:c r="Q74" s="3" t="str">
        <x:f>IF(C74="","",IF(AND(R74="Valid",OR(P74="Pass",P74="N/A")),"Complete","Unresolved"))</x:f>
        <x:v>Complete</x:v>
      </x:c>
      <x:c r="R74" s="9" t="str">
        <x:f>IF(C74="","",IF(OR(COUNTIF($C$9:$C$2008,C74)&lt;&gt;1,COUNTIFS($D$9:$D$2008,D74,$E$9:$E$2008,E74)&lt;&gt;1),"Duplicate test",IF(COUNTIF('Taxonomy'!$C$9:$C$108,D74)&lt;&gt;1,"Assessment key",IF(OR(COUNTIF('Taxonomy Rules'!$C$42:$C$68,E74)&lt;&gt;1,F74&lt;&gt;IFERROR(INDEX('Taxonomy Rules'!$D$42:$D$68,MATCH(E74,'Taxonomy Rules'!$C$42:$C$68,0)),""),NOT(OR(IFERROR(INDEX('Taxonomy Rules'!$G$42:$G$68,MATCH(E74,'Taxonomy Rules'!$C$42:$C$68,0)),"")="All supported routes",IFERROR(INDEX('Taxonomy Rules'!$G$42:$G$68,MATCH(E74,'Taxonomy Rules'!$C$42:$C$68,0)),"")=U74,AND(IFERROR(INDEX('Taxonomy Rules'!$G$42:$G$68,MATCH(E74,'Taxonomy Rules'!$C$42:$C$68,0)),"")="Building routes",OR(U74="Building renovation",U74="New building",U74="Building equipment"))))),"Unexpected test","Valid"))))</x:f>
        <x:v>Valid</x:v>
      </x:c>
      <x:c r="S74" s="9" t="str">
        <x:f>IF(C74="","",IFERROR(INDEX('Taxonomy Rules'!$E$42:$E$68,MATCH(E74,'Taxonomy Rules'!$C$42:$C$68,0)),""))</x:f>
        <x:v>Water permits, abstraction/discharge limits, required assessments and management measures.</x:v>
      </x:c>
      <x:c r="T74" s="9" t="str">
        <x:f>IF(C74="","",IFERROR(INDEX('Taxonomy Rules'!$F$42:$F$68,MATCH(E74,'Taxonomy Rules'!$C$42:$C$68,0)),""))</x:f>
        <x:v>S10 p31</x:v>
      </x:c>
      <x:c r="U74" s="9" t="str">
        <x:f>IF(C74="","",IFERROR(INDEX('Taxonomy'!$G$9:$G$108,MATCH(D74,'Taxonomy'!$C$9:$C$108,0)),""))</x:f>
        <x:v>Road freight</x:v>
      </x:c>
    </x:row>
    <x:row r="75" ht="44" customHeight="1">
      <x:c r="A75" s="1"/>
      <x:c r="B75" s="1"/>
      <x:c r="C75" s="8" t="str">
        <x:v>TST-F006-DNSH-POLL</x:v>
      </x:c>
      <x:c r="D75" s="8" t="str">
        <x:v>TAX-F006</x:v>
      </x:c>
      <x:c r="E75" s="8" t="str">
        <x:v>DNSH-POLL</x:v>
      </x:c>
      <x:c r="F75" s="8" t="str">
        <x:v>DNSH</x:v>
      </x:c>
      <x:c r="G75" s="8" t="str">
        <x:v>Applicable</x:v>
      </x:c>
      <x:c r="H75" s="8" t="str">
        <x:v>Pass</x:v>
      </x:c>
      <x:c r="I75" s="8" t="str">
        <x:v>SYN-TEST-F006-DNSH-POLL</x:v>
      </x:c>
      <x:c r="J75" s="8" t="str"/>
      <x:c r="K75" s="8" t="str">
        <x:v>Taxonomy analyst 3</x:v>
      </x:c>
      <x:c r="L75" s="8" t="str">
        <x:v>Taxonomy reviewer 2</x:v>
      </x:c>
      <x:c r="M75" s="10" t="n">
        <x:v>46266</x:v>
      </x:c>
      <x:c r="N75" s="10" t="n">
        <x:v>46631</x:v>
      </x:c>
      <x:c r="O75" s="8"/>
      <x:c r="P75" s="9" t="str">
        <x:f>IF(C75="","",IF(AND(G75="Applicable",H75="Fail"),"Fail",IF(R75&lt;&gt;"Valid","Pending",IF(OR(I75="",K75="",L75="",K75=L75,NOT(ISNUMBER(M75)),NOT(ISNUMBER(N75)),M75&gt;Settings!$F$8,N75&lt;Settings!$F$8,N75&lt;M75),"Pending",IF(AND(G75="Applicable",H75="Pass"),"Pass",IF(AND(G75="N/A",H75="N/A",J75&lt;&gt;"",OR(E75="CEM-FUELS",E75="CEM-CCS",AND(E75="CEM-PLAN",IFERROR(INDEX('Taxonomy'!$M$9:$M$108,MATCH(D75,'Taxonomy'!$C$9:$C$108,0)),"")&lt;&gt;"Amber"),E75="BLD-TIMBER",AND(U75="Building equipment",OR(E75="BLD-WATER",E75="BLD-WASTE",E75="BLD-LAND")),AND(U75="Building renovation",E75="BLD-LAND"))),"N/A","Pending"))))))</x:f>
        <x:v>Pass</x:v>
      </x:c>
      <x:c r="Q75" s="3" t="str">
        <x:f>IF(C75="","",IF(AND(R75="Valid",OR(P75="Pass",P75="N/A")),"Complete","Unresolved"))</x:f>
        <x:v>Complete</x:v>
      </x:c>
      <x:c r="R75" s="9" t="str">
        <x:f>IF(C75="","",IF(OR(COUNTIF($C$9:$C$2008,C75)&lt;&gt;1,COUNTIFS($D$9:$D$2008,D75,$E$9:$E$2008,E75)&lt;&gt;1),"Duplicate test",IF(COUNTIF('Taxonomy'!$C$9:$C$108,D75)&lt;&gt;1,"Assessment key",IF(OR(COUNTIF('Taxonomy Rules'!$C$42:$C$68,E75)&lt;&gt;1,F75&lt;&gt;IFERROR(INDEX('Taxonomy Rules'!$D$42:$D$68,MATCH(E75,'Taxonomy Rules'!$C$42:$C$68,0)),""),NOT(OR(IFERROR(INDEX('Taxonomy Rules'!$G$42:$G$68,MATCH(E75,'Taxonomy Rules'!$C$42:$C$68,0)),"")="All supported routes",IFERROR(INDEX('Taxonomy Rules'!$G$42:$G$68,MATCH(E75,'Taxonomy Rules'!$C$42:$C$68,0)),"")=U75,AND(IFERROR(INDEX('Taxonomy Rules'!$G$42:$G$68,MATCH(E75,'Taxonomy Rules'!$C$42:$C$68,0)),"")="Building routes",OR(U75="Building renovation",U75="New building",U75="Building equipment"))))),"Unexpected test","Valid"))))</x:f>
        <x:v>Valid</x:v>
      </x:c>
      <x:c r="S75" s="9" t="str">
        <x:f>IF(C75="","",IFERROR(INDEX('Taxonomy Rules'!$E$42:$E$68,MATCH(E75,'Taxonomy Rules'!$C$42:$C$68,0)),""))</x:f>
        <x:v>National pollution and prohibited-substance requirements; activity-specific limits.</x:v>
      </x:c>
      <x:c r="T75" s="9" t="str">
        <x:f>IF(C75="","",IFERROR(INDEX('Taxonomy Rules'!$F$42:$F$68,MATCH(E75,'Taxonomy Rules'!$C$42:$C$68,0)),""))</x:f>
        <x:v>S10 p31</x:v>
      </x:c>
      <x:c r="U75" s="9" t="str">
        <x:f>IF(C75="","",IFERROR(INDEX('Taxonomy'!$G$9:$G$108,MATCH(D75,'Taxonomy'!$C$9:$C$108,0)),""))</x:f>
        <x:v>Road freight</x:v>
      </x:c>
    </x:row>
    <x:row r="76" ht="44" customHeight="1">
      <x:c r="A76" s="1"/>
      <x:c r="B76" s="1"/>
      <x:c r="C76" s="8" t="str">
        <x:v>TST-F006-DNSH-CIRC</x:v>
      </x:c>
      <x:c r="D76" s="8" t="str">
        <x:v>TAX-F006</x:v>
      </x:c>
      <x:c r="E76" s="8" t="str">
        <x:v>DNSH-CIRC</x:v>
      </x:c>
      <x:c r="F76" s="8" t="str">
        <x:v>DNSH</x:v>
      </x:c>
      <x:c r="G76" s="8" t="str">
        <x:v>Applicable</x:v>
      </x:c>
      <x:c r="H76" s="8" t="str">
        <x:v>Pass</x:v>
      </x:c>
      <x:c r="I76" s="8" t="str">
        <x:v>SYN-TEST-F006-DNSH-CIRC</x:v>
      </x:c>
      <x:c r="J76" s="8" t="str"/>
      <x:c r="K76" s="8" t="str">
        <x:v>Taxonomy analyst 3</x:v>
      </x:c>
      <x:c r="L76" s="8" t="str">
        <x:v>Taxonomy reviewer 2</x:v>
      </x:c>
      <x:c r="M76" s="10" t="n">
        <x:v>46266</x:v>
      </x:c>
      <x:c r="N76" s="10" t="n">
        <x:v>46631</x:v>
      </x:c>
      <x:c r="O76" s="8"/>
      <x:c r="P76" s="9" t="str">
        <x:f>IF(C76="","",IF(AND(G76="Applicable",H76="Fail"),"Fail",IF(R76&lt;&gt;"Valid","Pending",IF(OR(I76="",K76="",L76="",K76=L76,NOT(ISNUMBER(M76)),NOT(ISNUMBER(N76)),M76&gt;Settings!$F$8,N76&lt;Settings!$F$8,N76&lt;M76),"Pending",IF(AND(G76="Applicable",H76="Pass"),"Pass",IF(AND(G76="N/A",H76="N/A",J76&lt;&gt;"",OR(E76="CEM-FUELS",E76="CEM-CCS",AND(E76="CEM-PLAN",IFERROR(INDEX('Taxonomy'!$M$9:$M$108,MATCH(D76,'Taxonomy'!$C$9:$C$108,0)),"")&lt;&gt;"Amber"),E76="BLD-TIMBER",AND(U76="Building equipment",OR(E76="BLD-WATER",E76="BLD-WASTE",E76="BLD-LAND")),AND(U76="Building renovation",E76="BLD-LAND"))),"N/A","Pending"))))))</x:f>
        <x:v>Pass</x:v>
      </x:c>
      <x:c r="Q76" s="3" t="str">
        <x:f>IF(C76="","",IF(AND(R76="Valid",OR(P76="Pass",P76="N/A")),"Complete","Unresolved"))</x:f>
        <x:v>Complete</x:v>
      </x:c>
      <x:c r="R76" s="9" t="str">
        <x:f>IF(C76="","",IF(OR(COUNTIF($C$9:$C$2008,C76)&lt;&gt;1,COUNTIFS($D$9:$D$2008,D76,$E$9:$E$2008,E76)&lt;&gt;1),"Duplicate test",IF(COUNTIF('Taxonomy'!$C$9:$C$108,D76)&lt;&gt;1,"Assessment key",IF(OR(COUNTIF('Taxonomy Rules'!$C$42:$C$68,E76)&lt;&gt;1,F76&lt;&gt;IFERROR(INDEX('Taxonomy Rules'!$D$42:$D$68,MATCH(E76,'Taxonomy Rules'!$C$42:$C$68,0)),""),NOT(OR(IFERROR(INDEX('Taxonomy Rules'!$G$42:$G$68,MATCH(E76,'Taxonomy Rules'!$C$42:$C$68,0)),"")="All supported routes",IFERROR(INDEX('Taxonomy Rules'!$G$42:$G$68,MATCH(E76,'Taxonomy Rules'!$C$42:$C$68,0)),"")=U76,AND(IFERROR(INDEX('Taxonomy Rules'!$G$42:$G$68,MATCH(E76,'Taxonomy Rules'!$C$42:$C$68,0)),"")="Building routes",OR(U76="Building renovation",U76="New building",U76="Building equipment"))))),"Unexpected test","Valid"))))</x:f>
        <x:v>Valid</x:v>
      </x:c>
      <x:c r="S76" s="9" t="str">
        <x:f>IF(C76="","",IFERROR(INDEX('Taxonomy Rules'!$E$42:$E$68,MATCH(E76,'Taxonomy Rules'!$C$42:$C$68,0)),""))</x:f>
        <x:v>Waste hierarchy, resource efficiency, hazardous-waste traceability and end-of-life arrangements.</x:v>
      </x:c>
      <x:c r="T76" s="9" t="str">
        <x:f>IF(C76="","",IFERROR(INDEX('Taxonomy Rules'!$F$42:$F$68,MATCH(E76,'Taxonomy Rules'!$C$42:$C$68,0)),""))</x:f>
        <x:v>S10 p32</x:v>
      </x:c>
      <x:c r="U76" s="9" t="str">
        <x:f>IF(C76="","",IFERROR(INDEX('Taxonomy'!$G$9:$G$108,MATCH(D76,'Taxonomy'!$C$9:$C$108,0)),""))</x:f>
        <x:v>Road freight</x:v>
      </x:c>
    </x:row>
    <x:row r="77" ht="44" customHeight="1">
      <x:c r="A77" s="1"/>
      <x:c r="B77" s="1"/>
      <x:c r="C77" s="8" t="str">
        <x:v>TST-F006-DNSH-BIO</x:v>
      </x:c>
      <x:c r="D77" s="8" t="str">
        <x:v>TAX-F006</x:v>
      </x:c>
      <x:c r="E77" s="8" t="str">
        <x:v>DNSH-BIO</x:v>
      </x:c>
      <x:c r="F77" s="8" t="str">
        <x:v>DNSH</x:v>
      </x:c>
      <x:c r="G77" s="8" t="str">
        <x:v>Applicable</x:v>
      </x:c>
      <x:c r="H77" s="8" t="str">
        <x:v>Pass</x:v>
      </x:c>
      <x:c r="I77" s="8" t="str">
        <x:v>SYN-TEST-F006-DNSH-BIO</x:v>
      </x:c>
      <x:c r="J77" s="8" t="str"/>
      <x:c r="K77" s="8" t="str">
        <x:v>Taxonomy analyst 3</x:v>
      </x:c>
      <x:c r="L77" s="8" t="str">
        <x:v>Taxonomy reviewer 2</x:v>
      </x:c>
      <x:c r="M77" s="10" t="n">
        <x:v>46266</x:v>
      </x:c>
      <x:c r="N77" s="10" t="n">
        <x:v>46631</x:v>
      </x:c>
      <x:c r="O77" s="8"/>
      <x:c r="P77" s="9" t="str">
        <x:f>IF(C77="","",IF(AND(G77="Applicable",H77="Fail"),"Fail",IF(R77&lt;&gt;"Valid","Pending",IF(OR(I77="",K77="",L77="",K77=L77,NOT(ISNUMBER(M77)),NOT(ISNUMBER(N77)),M77&gt;Settings!$F$8,N77&lt;Settings!$F$8,N77&lt;M77),"Pending",IF(AND(G77="Applicable",H77="Pass"),"Pass",IF(AND(G77="N/A",H77="N/A",J77&lt;&gt;"",OR(E77="CEM-FUELS",E77="CEM-CCS",AND(E77="CEM-PLAN",IFERROR(INDEX('Taxonomy'!$M$9:$M$108,MATCH(D77,'Taxonomy'!$C$9:$C$108,0)),"")&lt;&gt;"Amber"),E77="BLD-TIMBER",AND(U77="Building equipment",OR(E77="BLD-WATER",E77="BLD-WASTE",E77="BLD-LAND")),AND(U77="Building renovation",E77="BLD-LAND"))),"N/A","Pending"))))))</x:f>
        <x:v>Pass</x:v>
      </x:c>
      <x:c r="Q77" s="3" t="str">
        <x:f>IF(C77="","",IF(AND(R77="Valid",OR(P77="Pass",P77="N/A")),"Complete","Unresolved"))</x:f>
        <x:v>Complete</x:v>
      </x:c>
      <x:c r="R77" s="9" t="str">
        <x:f>IF(C77="","",IF(OR(COUNTIF($C$9:$C$2008,C77)&lt;&gt;1,COUNTIFS($D$9:$D$2008,D77,$E$9:$E$2008,E77)&lt;&gt;1),"Duplicate test",IF(COUNTIF('Taxonomy'!$C$9:$C$108,D77)&lt;&gt;1,"Assessment key",IF(OR(COUNTIF('Taxonomy Rules'!$C$42:$C$68,E77)&lt;&gt;1,F77&lt;&gt;IFERROR(INDEX('Taxonomy Rules'!$D$42:$D$68,MATCH(E77,'Taxonomy Rules'!$C$42:$C$68,0)),""),NOT(OR(IFERROR(INDEX('Taxonomy Rules'!$G$42:$G$68,MATCH(E77,'Taxonomy Rules'!$C$42:$C$68,0)),"")="All supported routes",IFERROR(INDEX('Taxonomy Rules'!$G$42:$G$68,MATCH(E77,'Taxonomy Rules'!$C$42:$C$68,0)),"")=U77,AND(IFERROR(INDEX('Taxonomy Rules'!$G$42:$G$68,MATCH(E77,'Taxonomy Rules'!$C$42:$C$68,0)),"")="Building routes",OR(U77="Building renovation",U77="New building",U77="Building equipment"))))),"Unexpected test","Valid"))))</x:f>
        <x:v>Valid</x:v>
      </x:c>
      <x:c r="S77" s="9" t="str">
        <x:f>IF(C77="","",IFERROR(INDEX('Taxonomy Rules'!$E$42:$E$68,MATCH(E77,'Taxonomy Rules'!$C$42:$C$68,0)),""))</x:f>
        <x:v>Required EIA, habitat screening and implemented mitigation.</x:v>
      </x:c>
      <x:c r="T77" s="9" t="str">
        <x:f>IF(C77="","",IFERROR(INDEX('Taxonomy Rules'!$F$42:$F$68,MATCH(E77,'Taxonomy Rules'!$C$42:$C$68,0)),""))</x:f>
        <x:v>S10 p32</x:v>
      </x:c>
      <x:c r="U77" s="9" t="str">
        <x:f>IF(C77="","",IFERROR(INDEX('Taxonomy'!$G$9:$G$108,MATCH(D77,'Taxonomy'!$C$9:$C$108,0)),""))</x:f>
        <x:v>Road freight</x:v>
      </x:c>
    </x:row>
    <x:row r="78" ht="44" customHeight="1">
      <x:c r="A78" s="1"/>
      <x:c r="B78" s="1"/>
      <x:c r="C78" s="8" t="str">
        <x:v>TST-F006-MSS-LABOUR</x:v>
      </x:c>
      <x:c r="D78" s="8" t="str">
        <x:v>TAX-F006</x:v>
      </x:c>
      <x:c r="E78" s="8" t="str">
        <x:v>MSS-LABOUR</x:v>
      </x:c>
      <x:c r="F78" s="8" t="str">
        <x:v>MSS</x:v>
      </x:c>
      <x:c r="G78" s="8" t="str">
        <x:v>Applicable</x:v>
      </x:c>
      <x:c r="H78" s="8" t="str">
        <x:v>Pass</x:v>
      </x:c>
      <x:c r="I78" s="8" t="str">
        <x:v>SYN-TEST-F006-MSS-LABOUR</x:v>
      </x:c>
      <x:c r="J78" s="8" t="str"/>
      <x:c r="K78" s="8" t="str">
        <x:v>Taxonomy analyst 3</x:v>
      </x:c>
      <x:c r="L78" s="8" t="str">
        <x:v>Taxonomy reviewer 2</x:v>
      </x:c>
      <x:c r="M78" s="10" t="n">
        <x:v>46266</x:v>
      </x:c>
      <x:c r="N78" s="10" t="n">
        <x:v>46631</x:v>
      </x:c>
      <x:c r="O78" s="8"/>
      <x:c r="P78" s="9" t="str">
        <x:f>IF(C78="","",IF(AND(G78="Applicable",H78="Fail"),"Fail",IF(R78&lt;&gt;"Valid","Pending",IF(OR(I78="",K78="",L78="",K78=L78,NOT(ISNUMBER(M78)),NOT(ISNUMBER(N78)),M78&gt;Settings!$F$8,N78&lt;Settings!$F$8,N78&lt;M78),"Pending",IF(AND(G78="Applicable",H78="Pass"),"Pass",IF(AND(G78="N/A",H78="N/A",J78&lt;&gt;"",OR(E78="CEM-FUELS",E78="CEM-CCS",AND(E78="CEM-PLAN",IFERROR(INDEX('Taxonomy'!$M$9:$M$108,MATCH(D78,'Taxonomy'!$C$9:$C$108,0)),"")&lt;&gt;"Amber"),E78="BLD-TIMBER",AND(U78="Building equipment",OR(E78="BLD-WATER",E78="BLD-WASTE",E78="BLD-LAND")),AND(U78="Building renovation",E78="BLD-LAND"))),"N/A","Pending"))))))</x:f>
        <x:v>Pass</x:v>
      </x:c>
      <x:c r="Q78" s="3" t="str">
        <x:f>IF(C78="","",IF(AND(R78="Valid",OR(P78="Pass",P78="N/A")),"Complete","Unresolved"))</x:f>
        <x:v>Complete</x:v>
      </x:c>
      <x:c r="R78" s="9" t="str">
        <x:f>IF(C78="","",IF(OR(COUNTIF($C$9:$C$2008,C78)&lt;&gt;1,COUNTIFS($D$9:$D$2008,D78,$E$9:$E$2008,E78)&lt;&gt;1),"Duplicate test",IF(COUNTIF('Taxonomy'!$C$9:$C$108,D78)&lt;&gt;1,"Assessment key",IF(OR(COUNTIF('Taxonomy Rules'!$C$42:$C$68,E78)&lt;&gt;1,F78&lt;&gt;IFERROR(INDEX('Taxonomy Rules'!$D$42:$D$68,MATCH(E78,'Taxonomy Rules'!$C$42:$C$68,0)),""),NOT(OR(IFERROR(INDEX('Taxonomy Rules'!$G$42:$G$68,MATCH(E78,'Taxonomy Rules'!$C$42:$C$68,0)),"")="All supported routes",IFERROR(INDEX('Taxonomy Rules'!$G$42:$G$68,MATCH(E78,'Taxonomy Rules'!$C$42:$C$68,0)),"")=U78,AND(IFERROR(INDEX('Taxonomy Rules'!$G$42:$G$68,MATCH(E78,'Taxonomy Rules'!$C$42:$C$68,0)),"")="Building routes",OR(U78="Building renovation",U78="New building",U78="Building equipment"))))),"Unexpected test","Valid"))))</x:f>
        <x:v>Valid</x:v>
      </x:c>
      <x:c r="S78" s="9" t="str">
        <x:f>IF(C78="","",IFERROR(INDEX('Taxonomy Rules'!$E$42:$E$68,MATCH(E78,'Taxonomy Rules'!$C$42:$C$68,0)),""))</x:f>
        <x:v>Labour rights, minimum age, no child/forced labour, equality and worker representation.</x:v>
      </x:c>
      <x:c r="T78" s="9" t="str">
        <x:f>IF(C78="","",IFERROR(INDEX('Taxonomy Rules'!$F$42:$F$68,MATCH(E78,'Taxonomy Rules'!$C$42:$C$68,0)),""))</x:f>
        <x:v>S10 p29</x:v>
      </x:c>
      <x:c r="U78" s="9" t="str">
        <x:f>IF(C78="","",IFERROR(INDEX('Taxonomy'!$G$9:$G$108,MATCH(D78,'Taxonomy'!$C$9:$C$108,0)),""))</x:f>
        <x:v>Road freight</x:v>
      </x:c>
    </x:row>
    <x:row r="79" ht="44" customHeight="1">
      <x:c r="A79" s="1"/>
      <x:c r="B79" s="1"/>
      <x:c r="C79" s="8" t="str">
        <x:v>TST-F006-MSS-OSH</x:v>
      </x:c>
      <x:c r="D79" s="8" t="str">
        <x:v>TAX-F006</x:v>
      </x:c>
      <x:c r="E79" s="8" t="str">
        <x:v>MSS-OSH</x:v>
      </x:c>
      <x:c r="F79" s="8" t="str">
        <x:v>MSS</x:v>
      </x:c>
      <x:c r="G79" s="8" t="str">
        <x:v>Applicable</x:v>
      </x:c>
      <x:c r="H79" s="8" t="str">
        <x:v>Pass</x:v>
      </x:c>
      <x:c r="I79" s="8" t="str">
        <x:v>SYN-TEST-F006-MSS-OSH</x:v>
      </x:c>
      <x:c r="J79" s="8" t="str"/>
      <x:c r="K79" s="8" t="str">
        <x:v>Taxonomy analyst 3</x:v>
      </x:c>
      <x:c r="L79" s="8" t="str">
        <x:v>Taxonomy reviewer 2</x:v>
      </x:c>
      <x:c r="M79" s="10" t="n">
        <x:v>46266</x:v>
      </x:c>
      <x:c r="N79" s="10" t="n">
        <x:v>46631</x:v>
      </x:c>
      <x:c r="O79" s="8"/>
      <x:c r="P79" s="9" t="str">
        <x:f>IF(C79="","",IF(AND(G79="Applicable",H79="Fail"),"Fail",IF(R79&lt;&gt;"Valid","Pending",IF(OR(I79="",K79="",L79="",K79=L79,NOT(ISNUMBER(M79)),NOT(ISNUMBER(N79)),M79&gt;Settings!$F$8,N79&lt;Settings!$F$8,N79&lt;M79),"Pending",IF(AND(G79="Applicable",H79="Pass"),"Pass",IF(AND(G79="N/A",H79="N/A",J79&lt;&gt;"",OR(E79="CEM-FUELS",E79="CEM-CCS",AND(E79="CEM-PLAN",IFERROR(INDEX('Taxonomy'!$M$9:$M$108,MATCH(D79,'Taxonomy'!$C$9:$C$108,0)),"")&lt;&gt;"Amber"),E79="BLD-TIMBER",AND(U79="Building equipment",OR(E79="BLD-WATER",E79="BLD-WASTE",E79="BLD-LAND")),AND(U79="Building renovation",E79="BLD-LAND"))),"N/A","Pending"))))))</x:f>
        <x:v>Pass</x:v>
      </x:c>
      <x:c r="Q79" s="3" t="str">
        <x:f>IF(C79="","",IF(AND(R79="Valid",OR(P79="Pass",P79="N/A")),"Complete","Unresolved"))</x:f>
        <x:v>Complete</x:v>
      </x:c>
      <x:c r="R79" s="9" t="str">
        <x:f>IF(C79="","",IF(OR(COUNTIF($C$9:$C$2008,C79)&lt;&gt;1,COUNTIFS($D$9:$D$2008,D79,$E$9:$E$2008,E79)&lt;&gt;1),"Duplicate test",IF(COUNTIF('Taxonomy'!$C$9:$C$108,D79)&lt;&gt;1,"Assessment key",IF(OR(COUNTIF('Taxonomy Rules'!$C$42:$C$68,E79)&lt;&gt;1,F79&lt;&gt;IFERROR(INDEX('Taxonomy Rules'!$D$42:$D$68,MATCH(E79,'Taxonomy Rules'!$C$42:$C$68,0)),""),NOT(OR(IFERROR(INDEX('Taxonomy Rules'!$G$42:$G$68,MATCH(E79,'Taxonomy Rules'!$C$42:$C$68,0)),"")="All supported routes",IFERROR(INDEX('Taxonomy Rules'!$G$42:$G$68,MATCH(E79,'Taxonomy Rules'!$C$42:$C$68,0)),"")=U79,AND(IFERROR(INDEX('Taxonomy Rules'!$G$42:$G$68,MATCH(E79,'Taxonomy Rules'!$C$42:$C$68,0)),"")="Building routes",OR(U79="Building renovation",U79="New building",U79="Building equipment"))))),"Unexpected test","Valid"))))</x:f>
        <x:v>Valid</x:v>
      </x:c>
      <x:c r="S79" s="9" t="str">
        <x:f>IF(C79="","",IFERROR(INDEX('Taxonomy Rules'!$E$42:$E$68,MATCH(E79,'Taxonomy Rules'!$C$42:$C$68,0)),""))</x:f>
        <x:v>Applicable occupational safety, hazard prevention and emergency readiness.</x:v>
      </x:c>
      <x:c r="T79" s="9" t="str">
        <x:f>IF(C79="","",IFERROR(INDEX('Taxonomy Rules'!$F$42:$F$68,MATCH(E79,'Taxonomy Rules'!$C$42:$C$68,0)),""))</x:f>
        <x:v>S10 p29</x:v>
      </x:c>
      <x:c r="U79" s="9" t="str">
        <x:f>IF(C79="","",IFERROR(INDEX('Taxonomy'!$G$9:$G$108,MATCH(D79,'Taxonomy'!$C$9:$C$108,0)),""))</x:f>
        <x:v>Road freight</x:v>
      </x:c>
    </x:row>
    <x:row r="80" ht="44" customHeight="1">
      <x:c r="A80" s="1"/>
      <x:c r="B80" s="1"/>
      <x:c r="C80" s="8" t="str">
        <x:v>TST-F006-MSS-RIGHTS</x:v>
      </x:c>
      <x:c r="D80" s="8" t="str">
        <x:v>TAX-F006</x:v>
      </x:c>
      <x:c r="E80" s="8" t="str">
        <x:v>MSS-RIGHTS</x:v>
      </x:c>
      <x:c r="F80" s="8" t="str">
        <x:v>MSS</x:v>
      </x:c>
      <x:c r="G80" s="8" t="str">
        <x:v>Applicable</x:v>
      </x:c>
      <x:c r="H80" s="8" t="str">
        <x:v>Pass</x:v>
      </x:c>
      <x:c r="I80" s="8" t="str">
        <x:v>SYN-TEST-F006-MSS-RIGHTS</x:v>
      </x:c>
      <x:c r="J80" s="8" t="str"/>
      <x:c r="K80" s="8" t="str">
        <x:v>Taxonomy analyst 3</x:v>
      </x:c>
      <x:c r="L80" s="8" t="str">
        <x:v>Taxonomy reviewer 2</x:v>
      </x:c>
      <x:c r="M80" s="10" t="n">
        <x:v>46266</x:v>
      </x:c>
      <x:c r="N80" s="10" t="n">
        <x:v>46631</x:v>
      </x:c>
      <x:c r="O80" s="8"/>
      <x:c r="P80" s="9" t="str">
        <x:f>IF(C80="","",IF(AND(G80="Applicable",H80="Fail"),"Fail",IF(R80&lt;&gt;"Valid","Pending",IF(OR(I80="",K80="",L80="",K80=L80,NOT(ISNUMBER(M80)),NOT(ISNUMBER(N80)),M80&gt;Settings!$F$8,N80&lt;Settings!$F$8,N80&lt;M80),"Pending",IF(AND(G80="Applicable",H80="Pass"),"Pass",IF(AND(G80="N/A",H80="N/A",J80&lt;&gt;"",OR(E80="CEM-FUELS",E80="CEM-CCS",AND(E80="CEM-PLAN",IFERROR(INDEX('Taxonomy'!$M$9:$M$108,MATCH(D80,'Taxonomy'!$C$9:$C$108,0)),"")&lt;&gt;"Amber"),E80="BLD-TIMBER",AND(U80="Building equipment",OR(E80="BLD-WATER",E80="BLD-WASTE",E80="BLD-LAND")),AND(U80="Building renovation",E80="BLD-LAND"))),"N/A","Pending"))))))</x:f>
        <x:v>Pass</x:v>
      </x:c>
      <x:c r="Q80" s="3" t="str">
        <x:f>IF(C80="","",IF(AND(R80="Valid",OR(P80="Pass",P80="N/A")),"Complete","Unresolved"))</x:f>
        <x:v>Complete</x:v>
      </x:c>
      <x:c r="R80" s="9" t="str">
        <x:f>IF(C80="","",IF(OR(COUNTIF($C$9:$C$2008,C80)&lt;&gt;1,COUNTIFS($D$9:$D$2008,D80,$E$9:$E$2008,E80)&lt;&gt;1),"Duplicate test",IF(COUNTIF('Taxonomy'!$C$9:$C$108,D80)&lt;&gt;1,"Assessment key",IF(OR(COUNTIF('Taxonomy Rules'!$C$42:$C$68,E80)&lt;&gt;1,F80&lt;&gt;IFERROR(INDEX('Taxonomy Rules'!$D$42:$D$68,MATCH(E80,'Taxonomy Rules'!$C$42:$C$68,0)),""),NOT(OR(IFERROR(INDEX('Taxonomy Rules'!$G$42:$G$68,MATCH(E80,'Taxonomy Rules'!$C$42:$C$68,0)),"")="All supported routes",IFERROR(INDEX('Taxonomy Rules'!$G$42:$G$68,MATCH(E80,'Taxonomy Rules'!$C$42:$C$68,0)),"")=U80,AND(IFERROR(INDEX('Taxonomy Rules'!$G$42:$G$68,MATCH(E80,'Taxonomy Rules'!$C$42:$C$68,0)),"")="Building routes",OR(U80="Building renovation",U80="New building",U80="Building equipment"))))),"Unexpected test","Valid"))))</x:f>
        <x:v>Valid</x:v>
      </x:c>
      <x:c r="S80" s="9" t="str">
        <x:f>IF(C80="","",IFERROR(INDEX('Taxonomy Rules'!$E$42:$E$68,MATCH(E80,'Taxonomy Rules'!$C$42:$C$68,0)),""))</x:f>
        <x:v>Proportionate human-rights diligence, stakeholder/social-impact process and grievance mechanism.</x:v>
      </x:c>
      <x:c r="T80" s="9" t="str">
        <x:f>IF(C80="","",IFERROR(INDEX('Taxonomy Rules'!$F$42:$F$68,MATCH(E80,'Taxonomy Rules'!$C$42:$C$68,0)),""))</x:f>
        <x:v>S10 p29</x:v>
      </x:c>
      <x:c r="U80" s="9" t="str">
        <x:f>IF(C80="","",IFERROR(INDEX('Taxonomy'!$G$9:$G$108,MATCH(D80,'Taxonomy'!$C$9:$C$108,0)),""))</x:f>
        <x:v>Road freight</x:v>
      </x:c>
    </x:row>
    <x:row r="81" ht="44" customHeight="1">
      <x:c r="A81" s="1"/>
      <x:c r="B81" s="1"/>
      <x:c r="C81" s="8" t="str">
        <x:v>TST-F006-ROAD-SAFETY</x:v>
      </x:c>
      <x:c r="D81" s="8" t="str">
        <x:v>TAX-F006</x:v>
      </x:c>
      <x:c r="E81" s="8" t="str">
        <x:v>ROAD-SAFETY</x:v>
      </x:c>
      <x:c r="F81" s="8" t="str">
        <x:v>DNSH</x:v>
      </x:c>
      <x:c r="G81" s="8" t="str">
        <x:v>Applicable</x:v>
      </x:c>
      <x:c r="H81" s="8" t="str">
        <x:v>Pass</x:v>
      </x:c>
      <x:c r="I81" s="8" t="str">
        <x:v>SYN-TEST-F006-ROAD-SAFETY</x:v>
      </x:c>
      <x:c r="J81" s="8" t="str"/>
      <x:c r="K81" s="8" t="str">
        <x:v>Taxonomy analyst 3</x:v>
      </x:c>
      <x:c r="L81" s="8" t="str">
        <x:v>Taxonomy reviewer 2</x:v>
      </x:c>
      <x:c r="M81" s="10" t="n">
        <x:v>46266</x:v>
      </x:c>
      <x:c r="N81" s="10" t="n">
        <x:v>46631</x:v>
      </x:c>
      <x:c r="O81" s="8"/>
      <x:c r="P81" s="9" t="str">
        <x:f>IF(C81="","",IF(AND(G81="Applicable",H81="Fail"),"Fail",IF(R81&lt;&gt;"Valid","Pending",IF(OR(I81="",K81="",L81="",K81=L81,NOT(ISNUMBER(M81)),NOT(ISNUMBER(N81)),M81&gt;Settings!$F$8,N81&lt;Settings!$F$8,N81&lt;M81),"Pending",IF(AND(G81="Applicable",H81="Pass"),"Pass",IF(AND(G81="N/A",H81="N/A",J81&lt;&gt;"",OR(E81="CEM-FUELS",E81="CEM-CCS",AND(E81="CEM-PLAN",IFERROR(INDEX('Taxonomy'!$M$9:$M$108,MATCH(D81,'Taxonomy'!$C$9:$C$108,0)),"")&lt;&gt;"Amber"),E81="BLD-TIMBER",AND(U81="Building equipment",OR(E81="BLD-WATER",E81="BLD-WASTE",E81="BLD-LAND")),AND(U81="Building renovation",E81="BLD-LAND"))),"N/A","Pending"))))))</x:f>
        <x:v>Pass</x:v>
      </x:c>
      <x:c r="Q81" s="3" t="str">
        <x:f>IF(C81="","",IF(AND(R81="Valid",OR(P81="Pass",P81="N/A")),"Complete","Unresolved"))</x:f>
        <x:v>Complete</x:v>
      </x:c>
      <x:c r="R81" s="9" t="str">
        <x:f>IF(C81="","",IF(OR(COUNTIF($C$9:$C$2008,C81)&lt;&gt;1,COUNTIFS($D$9:$D$2008,D81,$E$9:$E$2008,E81)&lt;&gt;1),"Duplicate test",IF(COUNTIF('Taxonomy'!$C$9:$C$108,D81)&lt;&gt;1,"Assessment key",IF(OR(COUNTIF('Taxonomy Rules'!$C$42:$C$68,E81)&lt;&gt;1,F81&lt;&gt;IFERROR(INDEX('Taxonomy Rules'!$D$42:$D$68,MATCH(E81,'Taxonomy Rules'!$C$42:$C$68,0)),""),NOT(OR(IFERROR(INDEX('Taxonomy Rules'!$G$42:$G$68,MATCH(E81,'Taxonomy Rules'!$C$42:$C$68,0)),"")="All supported routes",IFERROR(INDEX('Taxonomy Rules'!$G$42:$G$68,MATCH(E81,'Taxonomy Rules'!$C$42:$C$68,0)),"")=U81,AND(IFERROR(INDEX('Taxonomy Rules'!$G$42:$G$68,MATCH(E81,'Taxonomy Rules'!$C$42:$C$68,0)),"")="Building routes",OR(U81="Building renovation",U81="New building",U81="Building equipment"))))),"Unexpected test","Valid"))))</x:f>
        <x:v>Valid</x:v>
      </x:c>
      <x:c r="S81" s="9" t="str">
        <x:f>IF(C81="","",IFERROR(INDEX('Taxonomy Rules'!$E$42:$E$68,MATCH(E81,'Taxonomy Rules'!$C$42:$C$68,0)),""))</x:f>
        <x:v>Applicable vehicle standards, exterior noise, tyres and battery-safety standards met.</x:v>
      </x:c>
      <x:c r="T81" s="9" t="str">
        <x:f>IF(C81="","",IFERROR(INDEX('Taxonomy Rules'!$F$42:$F$68,MATCH(E81,'Taxonomy Rules'!$C$42:$C$68,0)),""))</x:f>
        <x:v>S10 p118</x:v>
      </x:c>
      <x:c r="U81" s="9" t="str">
        <x:f>IF(C81="","",IFERROR(INDEX('Taxonomy'!$G$9:$G$108,MATCH(D81,'Taxonomy'!$C$9:$C$108,0)),""))</x:f>
        <x:v>Road freight</x:v>
      </x:c>
    </x:row>
    <x:row r="82" ht="44" customHeight="1">
      <x:c r="A82" s="1"/>
      <x:c r="B82" s="1"/>
      <x:c r="C82" s="8" t="str">
        <x:v>TST-F006-ROAD-WASTE</x:v>
      </x:c>
      <x:c r="D82" s="8" t="str">
        <x:v>TAX-F006</x:v>
      </x:c>
      <x:c r="E82" s="8" t="str">
        <x:v>ROAD-WASTE</x:v>
      </x:c>
      <x:c r="F82" s="8" t="str">
        <x:v>DNSH</x:v>
      </x:c>
      <x:c r="G82" s="8" t="str">
        <x:v>Applicable</x:v>
      </x:c>
      <x:c r="H82" s="8" t="str">
        <x:v>Pass</x:v>
      </x:c>
      <x:c r="I82" s="8" t="str">
        <x:v>SYN-TEST-F006-ROAD-WASTE</x:v>
      </x:c>
      <x:c r="J82" s="8" t="str"/>
      <x:c r="K82" s="8" t="str">
        <x:v>Taxonomy analyst 3</x:v>
      </x:c>
      <x:c r="L82" s="8" t="str">
        <x:v>Taxonomy reviewer 2</x:v>
      </x:c>
      <x:c r="M82" s="10" t="n">
        <x:v>46266</x:v>
      </x:c>
      <x:c r="N82" s="10" t="n">
        <x:v>46631</x:v>
      </x:c>
      <x:c r="O82" s="8"/>
      <x:c r="P82" s="9" t="str">
        <x:f>IF(C82="","",IF(AND(G82="Applicable",H82="Fail"),"Fail",IF(R82&lt;&gt;"Valid","Pending",IF(OR(I82="",K82="",L82="",K82=L82,NOT(ISNUMBER(M82)),NOT(ISNUMBER(N82)),M82&gt;Settings!$F$8,N82&lt;Settings!$F$8,N82&lt;M82),"Pending",IF(AND(G82="Applicable",H82="Pass"),"Pass",IF(AND(G82="N/A",H82="N/A",J82&lt;&gt;"",OR(E82="CEM-FUELS",E82="CEM-CCS",AND(E82="CEM-PLAN",IFERROR(INDEX('Taxonomy'!$M$9:$M$108,MATCH(D82,'Taxonomy'!$C$9:$C$108,0)),"")&lt;&gt;"Amber"),E82="BLD-TIMBER",AND(U82="Building equipment",OR(E82="BLD-WATER",E82="BLD-WASTE",E82="BLD-LAND")),AND(U82="Building renovation",E82="BLD-LAND"))),"N/A","Pending"))))))</x:f>
        <x:v>Pass</x:v>
      </x:c>
      <x:c r="Q82" s="3" t="str">
        <x:f>IF(C82="","",IF(AND(R82="Valid",OR(P82="Pass",P82="N/A")),"Complete","Unresolved"))</x:f>
        <x:v>Complete</x:v>
      </x:c>
      <x:c r="R82" s="9" t="str">
        <x:f>IF(C82="","",IF(OR(COUNTIF($C$9:$C$2008,C82)&lt;&gt;1,COUNTIFS($D$9:$D$2008,D82,$E$9:$E$2008,E82)&lt;&gt;1),"Duplicate test",IF(COUNTIF('Taxonomy'!$C$9:$C$108,D82)&lt;&gt;1,"Assessment key",IF(OR(COUNTIF('Taxonomy Rules'!$C$42:$C$68,E82)&lt;&gt;1,F82&lt;&gt;IFERROR(INDEX('Taxonomy Rules'!$D$42:$D$68,MATCH(E82,'Taxonomy Rules'!$C$42:$C$68,0)),""),NOT(OR(IFERROR(INDEX('Taxonomy Rules'!$G$42:$G$68,MATCH(E82,'Taxonomy Rules'!$C$42:$C$68,0)),"")="All supported routes",IFERROR(INDEX('Taxonomy Rules'!$G$42:$G$68,MATCH(E82,'Taxonomy Rules'!$C$42:$C$68,0)),"")=U82,AND(IFERROR(INDEX('Taxonomy Rules'!$G$42:$G$68,MATCH(E82,'Taxonomy Rules'!$C$42:$C$68,0)),"")="Building routes",OR(U82="Building renovation",U82="New building",U82="Building equipment"))))),"Unexpected test","Valid"))))</x:f>
        <x:v>Valid</x:v>
      </x:c>
      <x:c r="S82" s="9" t="str">
        <x:f>IF(C82="","",IFERROR(INDEX('Taxonomy Rules'!$E$42:$E$68,MATCH(E82,'Taxonomy Rules'!$C$42:$C$68,0)),""))</x:f>
        <x:v>Lubricants, chemicals, batteries and vehicle life-cycle waste safely handled; reuse / recycling provided.</x:v>
      </x:c>
      <x:c r="T82" s="9" t="str">
        <x:f>IF(C82="","",IFERROR(INDEX('Taxonomy Rules'!$F$42:$F$68,MATCH(E82,'Taxonomy Rules'!$C$42:$C$68,0)),""))</x:f>
        <x:v>S10 p118</x:v>
      </x:c>
      <x:c r="U82" s="9" t="str">
        <x:f>IF(C82="","",IFERROR(INDEX('Taxonomy'!$G$9:$G$108,MATCH(D82,'Taxonomy'!$C$9:$C$108,0)),""))</x:f>
        <x:v>Road freight</x:v>
      </x:c>
    </x:row>
    <x:row r="83" ht="44" customHeight="1">
      <x:c r="A83" s="1"/>
      <x:c r="B83" s="1"/>
      <x:c r="C83" s="8" t="str">
        <x:v>TST-F009-SC-EVIDENCE</x:v>
      </x:c>
      <x:c r="D83" s="8" t="str">
        <x:v>TAX-F009</x:v>
      </x:c>
      <x:c r="E83" s="8" t="str">
        <x:v>SC-EVIDENCE</x:v>
      </x:c>
      <x:c r="F83" s="8" t="str">
        <x:v>Technical</x:v>
      </x:c>
      <x:c r="G83" s="8" t="str">
        <x:v>Applicable</x:v>
      </x:c>
      <x:c r="H83" s="8" t="str">
        <x:v>Pass</x:v>
      </x:c>
      <x:c r="I83" s="8" t="str">
        <x:v>SYN-TEST-F009-SC-EVIDENCE</x:v>
      </x:c>
      <x:c r="J83" s="8" t="str"/>
      <x:c r="K83" s="8" t="str">
        <x:v>Taxonomy analyst 3</x:v>
      </x:c>
      <x:c r="L83" s="8" t="str">
        <x:v>Taxonomy reviewer 1</x:v>
      </x:c>
      <x:c r="M83" s="10" t="n">
        <x:v>46266</x:v>
      </x:c>
      <x:c r="N83" s="10" t="n">
        <x:v>46631</x:v>
      </x:c>
      <x:c r="O83" s="8"/>
      <x:c r="P83" s="9" t="str">
        <x:f>IF(C83="","",IF(AND(G83="Applicable",H83="Fail"),"Fail",IF(R83&lt;&gt;"Valid","Pending",IF(OR(I83="",K83="",L83="",K83=L83,NOT(ISNUMBER(M83)),NOT(ISNUMBER(N83)),M83&gt;Settings!$F$8,N83&lt;Settings!$F$8,N83&lt;M83),"Pending",IF(AND(G83="Applicable",H83="Pass"),"Pass",IF(AND(G83="N/A",H83="N/A",J83&lt;&gt;"",OR(E83="CEM-FUELS",E83="CEM-CCS",AND(E83="CEM-PLAN",IFERROR(INDEX('Taxonomy'!$M$9:$M$108,MATCH(D83,'Taxonomy'!$C$9:$C$108,0)),"")&lt;&gt;"Amber"),E83="BLD-TIMBER",AND(U83="Building equipment",OR(E83="BLD-WATER",E83="BLD-WASTE",E83="BLD-LAND")),AND(U83="Building renovation",E83="BLD-LAND"))),"N/A","Pending"))))))</x:f>
        <x:v>Pass</x:v>
      </x:c>
      <x:c r="Q83" s="3" t="str">
        <x:f>IF(C83="","",IF(AND(R83="Valid",OR(P83="Pass",P83="N/A")),"Complete","Unresolved"))</x:f>
        <x:v>Complete</x:v>
      </x:c>
      <x:c r="R83" s="9" t="str">
        <x:f>IF(C83="","",IF(OR(COUNTIF($C$9:$C$2008,C83)&lt;&gt;1,COUNTIFS($D$9:$D$2008,D83,$E$9:$E$2008,E83)&lt;&gt;1),"Duplicate test",IF(COUNTIF('Taxonomy'!$C$9:$C$108,D83)&lt;&gt;1,"Assessment key",IF(OR(COUNTIF('Taxonomy Rules'!$C$42:$C$68,E83)&lt;&gt;1,F83&lt;&gt;IFERROR(INDEX('Taxonomy Rules'!$D$42:$D$68,MATCH(E83,'Taxonomy Rules'!$C$42:$C$68,0)),""),NOT(OR(IFERROR(INDEX('Taxonomy Rules'!$G$42:$G$68,MATCH(E83,'Taxonomy Rules'!$C$42:$C$68,0)),"")="All supported routes",IFERROR(INDEX('Taxonomy Rules'!$G$42:$G$68,MATCH(E83,'Taxonomy Rules'!$C$42:$C$68,0)),"")=U83,AND(IFERROR(INDEX('Taxonomy Rules'!$G$42:$G$68,MATCH(E83,'Taxonomy Rules'!$C$42:$C$68,0)),"")="Building routes",OR(U83="Building renovation",U83="New building",U83="Building equipment"))))),"Unexpected test","Valid"))))</x:f>
        <x:v>Valid</x:v>
      </x:c>
      <x:c r="S83" s="9" t="str">
        <x:f>IF(C83="","",IFERROR(INDEX('Taxonomy Rules'!$E$42:$E$68,MATCH(E83,'Taxonomy Rules'!$C$42:$C$68,0)),""))</x:f>
        <x:v>Boundary and chosen route are evidenced; observations match the activity card.</x:v>
      </x:c>
      <x:c r="T83" s="9" t="str">
        <x:f>IF(C83="","",IFERROR(INDEX('Taxonomy Rules'!$F$42:$F$68,MATCH(E83,'Taxonomy Rules'!$C$42:$C$68,0)),""))</x:f>
        <x:v>S10 activity card</x:v>
      </x:c>
      <x:c r="U83" s="9" t="str">
        <x:f>IF(C83="","",IFERROR(INDEX('Taxonomy'!$G$9:$G$108,MATCH(D83,'Taxonomy'!$C$9:$C$108,0)),""))</x:f>
        <x:v>Building renovation</x:v>
      </x:c>
    </x:row>
    <x:row r="84" ht="44" customHeight="1">
      <x:c r="A84" s="1"/>
      <x:c r="B84" s="1"/>
      <x:c r="C84" s="8" t="str">
        <x:v>TST-F009-DNSH-MIT</x:v>
      </x:c>
      <x:c r="D84" s="8" t="str">
        <x:v>TAX-F009</x:v>
      </x:c>
      <x:c r="E84" s="8" t="str">
        <x:v>DNSH-MIT</x:v>
      </x:c>
      <x:c r="F84" s="8" t="str">
        <x:v>DNSH</x:v>
      </x:c>
      <x:c r="G84" s="8" t="str">
        <x:v>Applicable</x:v>
      </x:c>
      <x:c r="H84" s="8" t="str">
        <x:v>Pass</x:v>
      </x:c>
      <x:c r="I84" s="8" t="str">
        <x:v>SYN-TEST-F009-DNSH-MIT</x:v>
      </x:c>
      <x:c r="J84" s="8" t="str"/>
      <x:c r="K84" s="8" t="str">
        <x:v>Taxonomy analyst 3</x:v>
      </x:c>
      <x:c r="L84" s="8" t="str">
        <x:v>Taxonomy reviewer 1</x:v>
      </x:c>
      <x:c r="M84" s="10" t="n">
        <x:v>46266</x:v>
      </x:c>
      <x:c r="N84" s="10" t="n">
        <x:v>46631</x:v>
      </x:c>
      <x:c r="O84" s="8"/>
      <x:c r="P84" s="9" t="str">
        <x:f>IF(C84="","",IF(AND(G84="Applicable",H84="Fail"),"Fail",IF(R84&lt;&gt;"Valid","Pending",IF(OR(I84="",K84="",L84="",K84=L84,NOT(ISNUMBER(M84)),NOT(ISNUMBER(N84)),M84&gt;Settings!$F$8,N84&lt;Settings!$F$8,N84&lt;M84),"Pending",IF(AND(G84="Applicable",H84="Pass"),"Pass",IF(AND(G84="N/A",H84="N/A",J84&lt;&gt;"",OR(E84="CEM-FUELS",E84="CEM-CCS",AND(E84="CEM-PLAN",IFERROR(INDEX('Taxonomy'!$M$9:$M$108,MATCH(D84,'Taxonomy'!$C$9:$C$108,0)),"")&lt;&gt;"Amber"),E84="BLD-TIMBER",AND(U84="Building equipment",OR(E84="BLD-WATER",E84="BLD-WASTE",E84="BLD-LAND")),AND(U84="Building renovation",E84="BLD-LAND"))),"N/A","Pending"))))))</x:f>
        <x:v>Pass</x:v>
      </x:c>
      <x:c r="Q84" s="3" t="str">
        <x:f>IF(C84="","",IF(AND(R84="Valid",OR(P84="Pass",P84="N/A")),"Complete","Unresolved"))</x:f>
        <x:v>Complete</x:v>
      </x:c>
      <x:c r="R84" s="9" t="str">
        <x:f>IF(C84="","",IF(OR(COUNTIF($C$9:$C$2008,C84)&lt;&gt;1,COUNTIFS($D$9:$D$2008,D84,$E$9:$E$2008,E84)&lt;&gt;1),"Duplicate test",IF(COUNTIF('Taxonomy'!$C$9:$C$108,D84)&lt;&gt;1,"Assessment key",IF(OR(COUNTIF('Taxonomy Rules'!$C$42:$C$68,E84)&lt;&gt;1,F84&lt;&gt;IFERROR(INDEX('Taxonomy Rules'!$D$42:$D$68,MATCH(E84,'Taxonomy Rules'!$C$42:$C$68,0)),""),NOT(OR(IFERROR(INDEX('Taxonomy Rules'!$G$42:$G$68,MATCH(E84,'Taxonomy Rules'!$C$42:$C$68,0)),"")="All supported routes",IFERROR(INDEX('Taxonomy Rules'!$G$42:$G$68,MATCH(E84,'Taxonomy Rules'!$C$42:$C$68,0)),"")=U84,AND(IFERROR(INDEX('Taxonomy Rules'!$G$42:$G$68,MATCH(E84,'Taxonomy Rules'!$C$42:$C$68,0)),"")="Building routes",OR(U84="Building renovation",U84="New building",U84="Building equipment"))))),"Unexpected test","Valid"))))</x:f>
        <x:v>Valid</x:v>
      </x:c>
      <x:c r="S84" s="9" t="str">
        <x:f>IF(C84="","",IFERROR(INDEX('Taxonomy Rules'!$E$42:$E$68,MATCH(E84,'Taxonomy Rules'!$C$42:$C$68,0)),""))</x:f>
        <x:v>No avoidable fossil lock-in; material lifecycle effects assessed.</x:v>
      </x:c>
      <x:c r="T84" s="9" t="str">
        <x:f>IF(C84="","",IFERROR(INDEX('Taxonomy Rules'!$F$42:$F$68,MATCH(E84,'Taxonomy Rules'!$C$42:$C$68,0)),""))</x:f>
        <x:v>S10 p30</x:v>
      </x:c>
      <x:c r="U84" s="9" t="str">
        <x:f>IF(C84="","",IFERROR(INDEX('Taxonomy'!$G$9:$G$108,MATCH(D84,'Taxonomy'!$C$9:$C$108,0)),""))</x:f>
        <x:v>Building renovation</x:v>
      </x:c>
    </x:row>
    <x:row r="85" ht="44" customHeight="1">
      <x:c r="A85" s="1"/>
      <x:c r="B85" s="1"/>
      <x:c r="C85" s="8" t="str">
        <x:v>TST-F009-DNSH-ADAPT</x:v>
      </x:c>
      <x:c r="D85" s="8" t="str">
        <x:v>TAX-F009</x:v>
      </x:c>
      <x:c r="E85" s="8" t="str">
        <x:v>DNSH-ADAPT</x:v>
      </x:c>
      <x:c r="F85" s="8" t="str">
        <x:v>DNSH</x:v>
      </x:c>
      <x:c r="G85" s="8" t="str">
        <x:v>Applicable</x:v>
      </x:c>
      <x:c r="H85" s="8" t="str">
        <x:v>Pass</x:v>
      </x:c>
      <x:c r="I85" s="8" t="str">
        <x:v>SYN-TEST-F009-DNSH-ADAPT</x:v>
      </x:c>
      <x:c r="J85" s="8" t="str"/>
      <x:c r="K85" s="8" t="str">
        <x:v>Taxonomy analyst 3</x:v>
      </x:c>
      <x:c r="L85" s="8" t="str">
        <x:v>Taxonomy reviewer 1</x:v>
      </x:c>
      <x:c r="M85" s="10" t="n">
        <x:v>46266</x:v>
      </x:c>
      <x:c r="N85" s="10" t="n">
        <x:v>46631</x:v>
      </x:c>
      <x:c r="O85" s="8"/>
      <x:c r="P85" s="9" t="str">
        <x:f>IF(C85="","",IF(AND(G85="Applicable",H85="Fail"),"Fail",IF(R85&lt;&gt;"Valid","Pending",IF(OR(I85="",K85="",L85="",K85=L85,NOT(ISNUMBER(M85)),NOT(ISNUMBER(N85)),M85&gt;Settings!$F$8,N85&lt;Settings!$F$8,N85&lt;M85),"Pending",IF(AND(G85="Applicable",H85="Pass"),"Pass",IF(AND(G85="N/A",H85="N/A",J85&lt;&gt;"",OR(E85="CEM-FUELS",E85="CEM-CCS",AND(E85="CEM-PLAN",IFERROR(INDEX('Taxonomy'!$M$9:$M$108,MATCH(D85,'Taxonomy'!$C$9:$C$108,0)),"")&lt;&gt;"Amber"),E85="BLD-TIMBER",AND(U85="Building equipment",OR(E85="BLD-WATER",E85="BLD-WASTE",E85="BLD-LAND")),AND(U85="Building renovation",E85="BLD-LAND"))),"N/A","Pending"))))))</x:f>
        <x:v>Pass</x:v>
      </x:c>
      <x:c r="Q85" s="3" t="str">
        <x:f>IF(C85="","",IF(AND(R85="Valid",OR(P85="Pass",P85="N/A")),"Complete","Unresolved"))</x:f>
        <x:v>Complete</x:v>
      </x:c>
      <x:c r="R85" s="9" t="str">
        <x:f>IF(C85="","",IF(OR(COUNTIF($C$9:$C$2008,C85)&lt;&gt;1,COUNTIFS($D$9:$D$2008,D85,$E$9:$E$2008,E85)&lt;&gt;1),"Duplicate test",IF(COUNTIF('Taxonomy'!$C$9:$C$108,D85)&lt;&gt;1,"Assessment key",IF(OR(COUNTIF('Taxonomy Rules'!$C$42:$C$68,E85)&lt;&gt;1,F85&lt;&gt;IFERROR(INDEX('Taxonomy Rules'!$D$42:$D$68,MATCH(E85,'Taxonomy Rules'!$C$42:$C$68,0)),""),NOT(OR(IFERROR(INDEX('Taxonomy Rules'!$G$42:$G$68,MATCH(E85,'Taxonomy Rules'!$C$42:$C$68,0)),"")="All supported routes",IFERROR(INDEX('Taxonomy Rules'!$G$42:$G$68,MATCH(E85,'Taxonomy Rules'!$C$42:$C$68,0)),"")=U85,AND(IFERROR(INDEX('Taxonomy Rules'!$G$42:$G$68,MATCH(E85,'Taxonomy Rules'!$C$42:$C$68,0)),"")="Building routes",OR(U85="Building renovation",U85="New building",U85="Building equipment"))))),"Unexpected test","Valid"))))</x:f>
        <x:v>Valid</x:v>
      </x:c>
      <x:c r="S85" s="9" t="str">
        <x:f>IF(C85="","",IFERROR(INDEX('Taxonomy Rules'!$E$42:$E$68,MATCH(E85,'Taxonomy Rules'!$C$42:$C$68,0)),""))</x:f>
        <x:v>Lifetime hazard screen, material risk assessment and implemented adaptation; no harm to others.</x:v>
      </x:c>
      <x:c r="T85" s="9" t="str">
        <x:f>IF(C85="","",IFERROR(INDEX('Taxonomy Rules'!$F$42:$F$68,MATCH(E85,'Taxonomy Rules'!$C$42:$C$68,0)),""))</x:f>
        <x:v>S10 pp30–31</x:v>
      </x:c>
      <x:c r="U85" s="9" t="str">
        <x:f>IF(C85="","",IFERROR(INDEX('Taxonomy'!$G$9:$G$108,MATCH(D85,'Taxonomy'!$C$9:$C$108,0)),""))</x:f>
        <x:v>Building renovation</x:v>
      </x:c>
    </x:row>
    <x:row r="86" ht="44" customHeight="1">
      <x:c r="A86" s="1"/>
      <x:c r="B86" s="1"/>
      <x:c r="C86" s="8" t="str">
        <x:v>TST-F009-DNSH-WATER</x:v>
      </x:c>
      <x:c r="D86" s="8" t="str">
        <x:v>TAX-F009</x:v>
      </x:c>
      <x:c r="E86" s="8" t="str">
        <x:v>DNSH-WATER</x:v>
      </x:c>
      <x:c r="F86" s="8" t="str">
        <x:v>DNSH</x:v>
      </x:c>
      <x:c r="G86" s="8" t="str">
        <x:v>Applicable</x:v>
      </x:c>
      <x:c r="H86" s="8" t="str">
        <x:v>Pass</x:v>
      </x:c>
      <x:c r="I86" s="8" t="str">
        <x:v>SYN-TEST-F009-DNSH-WATER</x:v>
      </x:c>
      <x:c r="J86" s="8" t="str"/>
      <x:c r="K86" s="8" t="str">
        <x:v>Taxonomy analyst 3</x:v>
      </x:c>
      <x:c r="L86" s="8" t="str">
        <x:v>Taxonomy reviewer 1</x:v>
      </x:c>
      <x:c r="M86" s="10" t="n">
        <x:v>46266</x:v>
      </x:c>
      <x:c r="N86" s="10" t="n">
        <x:v>46631</x:v>
      </x:c>
      <x:c r="O86" s="8"/>
      <x:c r="P86" s="9" t="str">
        <x:f>IF(C86="","",IF(AND(G86="Applicable",H86="Fail"),"Fail",IF(R86&lt;&gt;"Valid","Pending",IF(OR(I86="",K86="",L86="",K86=L86,NOT(ISNUMBER(M86)),NOT(ISNUMBER(N86)),M86&gt;Settings!$F$8,N86&lt;Settings!$F$8,N86&lt;M86),"Pending",IF(AND(G86="Applicable",H86="Pass"),"Pass",IF(AND(G86="N/A",H86="N/A",J86&lt;&gt;"",OR(E86="CEM-FUELS",E86="CEM-CCS",AND(E86="CEM-PLAN",IFERROR(INDEX('Taxonomy'!$M$9:$M$108,MATCH(D86,'Taxonomy'!$C$9:$C$108,0)),"")&lt;&gt;"Amber"),E86="BLD-TIMBER",AND(U86="Building equipment",OR(E86="BLD-WATER",E86="BLD-WASTE",E86="BLD-LAND")),AND(U86="Building renovation",E86="BLD-LAND"))),"N/A","Pending"))))))</x:f>
        <x:v>Pass</x:v>
      </x:c>
      <x:c r="Q86" s="3" t="str">
        <x:f>IF(C86="","",IF(AND(R86="Valid",OR(P86="Pass",P86="N/A")),"Complete","Unresolved"))</x:f>
        <x:v>Complete</x:v>
      </x:c>
      <x:c r="R86" s="9" t="str">
        <x:f>IF(C86="","",IF(OR(COUNTIF($C$9:$C$2008,C86)&lt;&gt;1,COUNTIFS($D$9:$D$2008,D86,$E$9:$E$2008,E86)&lt;&gt;1),"Duplicate test",IF(COUNTIF('Taxonomy'!$C$9:$C$108,D86)&lt;&gt;1,"Assessment key",IF(OR(COUNTIF('Taxonomy Rules'!$C$42:$C$68,E86)&lt;&gt;1,F86&lt;&gt;IFERROR(INDEX('Taxonomy Rules'!$D$42:$D$68,MATCH(E86,'Taxonomy Rules'!$C$42:$C$68,0)),""),NOT(OR(IFERROR(INDEX('Taxonomy Rules'!$G$42:$G$68,MATCH(E86,'Taxonomy Rules'!$C$42:$C$68,0)),"")="All supported routes",IFERROR(INDEX('Taxonomy Rules'!$G$42:$G$68,MATCH(E86,'Taxonomy Rules'!$C$42:$C$68,0)),"")=U86,AND(IFERROR(INDEX('Taxonomy Rules'!$G$42:$G$68,MATCH(E86,'Taxonomy Rules'!$C$42:$C$68,0)),"")="Building routes",OR(U86="Building renovation",U86="New building",U86="Building equipment"))))),"Unexpected test","Valid"))))</x:f>
        <x:v>Valid</x:v>
      </x:c>
      <x:c r="S86" s="9" t="str">
        <x:f>IF(C86="","",IFERROR(INDEX('Taxonomy Rules'!$E$42:$E$68,MATCH(E86,'Taxonomy Rules'!$C$42:$C$68,0)),""))</x:f>
        <x:v>Water permits, abstraction/discharge limits, required assessments and management measures.</x:v>
      </x:c>
      <x:c r="T86" s="9" t="str">
        <x:f>IF(C86="","",IFERROR(INDEX('Taxonomy Rules'!$F$42:$F$68,MATCH(E86,'Taxonomy Rules'!$C$42:$C$68,0)),""))</x:f>
        <x:v>S10 p31</x:v>
      </x:c>
      <x:c r="U86" s="9" t="str">
        <x:f>IF(C86="","",IFERROR(INDEX('Taxonomy'!$G$9:$G$108,MATCH(D86,'Taxonomy'!$C$9:$C$108,0)),""))</x:f>
        <x:v>Building renovation</x:v>
      </x:c>
    </x:row>
    <x:row r="87" ht="44" customHeight="1">
      <x:c r="A87" s="1"/>
      <x:c r="B87" s="1"/>
      <x:c r="C87" s="8" t="str">
        <x:v>TST-F009-DNSH-POLL</x:v>
      </x:c>
      <x:c r="D87" s="8" t="str">
        <x:v>TAX-F009</x:v>
      </x:c>
      <x:c r="E87" s="8" t="str">
        <x:v>DNSH-POLL</x:v>
      </x:c>
      <x:c r="F87" s="8" t="str">
        <x:v>DNSH</x:v>
      </x:c>
      <x:c r="G87" s="8" t="str">
        <x:v>Applicable</x:v>
      </x:c>
      <x:c r="H87" s="8" t="str">
        <x:v>Pass</x:v>
      </x:c>
      <x:c r="I87" s="8" t="str">
        <x:v>SYN-TEST-F009-DNSH-POLL</x:v>
      </x:c>
      <x:c r="J87" s="8" t="str"/>
      <x:c r="K87" s="8" t="str">
        <x:v>Taxonomy analyst 3</x:v>
      </x:c>
      <x:c r="L87" s="8" t="str">
        <x:v>Taxonomy reviewer 1</x:v>
      </x:c>
      <x:c r="M87" s="10" t="n">
        <x:v>46266</x:v>
      </x:c>
      <x:c r="N87" s="10" t="n">
        <x:v>46631</x:v>
      </x:c>
      <x:c r="O87" s="8"/>
      <x:c r="P87" s="9" t="str">
        <x:f>IF(C87="","",IF(AND(G87="Applicable",H87="Fail"),"Fail",IF(R87&lt;&gt;"Valid","Pending",IF(OR(I87="",K87="",L87="",K87=L87,NOT(ISNUMBER(M87)),NOT(ISNUMBER(N87)),M87&gt;Settings!$F$8,N87&lt;Settings!$F$8,N87&lt;M87),"Pending",IF(AND(G87="Applicable",H87="Pass"),"Pass",IF(AND(G87="N/A",H87="N/A",J87&lt;&gt;"",OR(E87="CEM-FUELS",E87="CEM-CCS",AND(E87="CEM-PLAN",IFERROR(INDEX('Taxonomy'!$M$9:$M$108,MATCH(D87,'Taxonomy'!$C$9:$C$108,0)),"")&lt;&gt;"Amber"),E87="BLD-TIMBER",AND(U87="Building equipment",OR(E87="BLD-WATER",E87="BLD-WASTE",E87="BLD-LAND")),AND(U87="Building renovation",E87="BLD-LAND"))),"N/A","Pending"))))))</x:f>
        <x:v>Pass</x:v>
      </x:c>
      <x:c r="Q87" s="3" t="str">
        <x:f>IF(C87="","",IF(AND(R87="Valid",OR(P87="Pass",P87="N/A")),"Complete","Unresolved"))</x:f>
        <x:v>Complete</x:v>
      </x:c>
      <x:c r="R87" s="9" t="str">
        <x:f>IF(C87="","",IF(OR(COUNTIF($C$9:$C$2008,C87)&lt;&gt;1,COUNTIFS($D$9:$D$2008,D87,$E$9:$E$2008,E87)&lt;&gt;1),"Duplicate test",IF(COUNTIF('Taxonomy'!$C$9:$C$108,D87)&lt;&gt;1,"Assessment key",IF(OR(COUNTIF('Taxonomy Rules'!$C$42:$C$68,E87)&lt;&gt;1,F87&lt;&gt;IFERROR(INDEX('Taxonomy Rules'!$D$42:$D$68,MATCH(E87,'Taxonomy Rules'!$C$42:$C$68,0)),""),NOT(OR(IFERROR(INDEX('Taxonomy Rules'!$G$42:$G$68,MATCH(E87,'Taxonomy Rules'!$C$42:$C$68,0)),"")="All supported routes",IFERROR(INDEX('Taxonomy Rules'!$G$42:$G$68,MATCH(E87,'Taxonomy Rules'!$C$42:$C$68,0)),"")=U87,AND(IFERROR(INDEX('Taxonomy Rules'!$G$42:$G$68,MATCH(E87,'Taxonomy Rules'!$C$42:$C$68,0)),"")="Building routes",OR(U87="Building renovation",U87="New building",U87="Building equipment"))))),"Unexpected test","Valid"))))</x:f>
        <x:v>Valid</x:v>
      </x:c>
      <x:c r="S87" s="9" t="str">
        <x:f>IF(C87="","",IFERROR(INDEX('Taxonomy Rules'!$E$42:$E$68,MATCH(E87,'Taxonomy Rules'!$C$42:$C$68,0)),""))</x:f>
        <x:v>National pollution and prohibited-substance requirements; activity-specific limits.</x:v>
      </x:c>
      <x:c r="T87" s="9" t="str">
        <x:f>IF(C87="","",IFERROR(INDEX('Taxonomy Rules'!$F$42:$F$68,MATCH(E87,'Taxonomy Rules'!$C$42:$C$68,0)),""))</x:f>
        <x:v>S10 p31</x:v>
      </x:c>
      <x:c r="U87" s="9" t="str">
        <x:f>IF(C87="","",IFERROR(INDEX('Taxonomy'!$G$9:$G$108,MATCH(D87,'Taxonomy'!$C$9:$C$108,0)),""))</x:f>
        <x:v>Building renovation</x:v>
      </x:c>
    </x:row>
    <x:row r="88" ht="44" customHeight="1">
      <x:c r="A88" s="1"/>
      <x:c r="B88" s="1"/>
      <x:c r="C88" s="8" t="str">
        <x:v>TST-F009-DNSH-CIRC</x:v>
      </x:c>
      <x:c r="D88" s="8" t="str">
        <x:v>TAX-F009</x:v>
      </x:c>
      <x:c r="E88" s="8" t="str">
        <x:v>DNSH-CIRC</x:v>
      </x:c>
      <x:c r="F88" s="8" t="str">
        <x:v>DNSH</x:v>
      </x:c>
      <x:c r="G88" s="8" t="str">
        <x:v>Applicable</x:v>
      </x:c>
      <x:c r="H88" s="8" t="str">
        <x:v>Pass</x:v>
      </x:c>
      <x:c r="I88" s="8" t="str">
        <x:v>SYN-TEST-F009-DNSH-CIRC</x:v>
      </x:c>
      <x:c r="J88" s="8" t="str"/>
      <x:c r="K88" s="8" t="str">
        <x:v>Taxonomy analyst 3</x:v>
      </x:c>
      <x:c r="L88" s="8" t="str">
        <x:v>Taxonomy reviewer 1</x:v>
      </x:c>
      <x:c r="M88" s="10" t="n">
        <x:v>46266</x:v>
      </x:c>
      <x:c r="N88" s="10" t="n">
        <x:v>46631</x:v>
      </x:c>
      <x:c r="O88" s="8"/>
      <x:c r="P88" s="9" t="str">
        <x:f>IF(C88="","",IF(AND(G88="Applicable",H88="Fail"),"Fail",IF(R88&lt;&gt;"Valid","Pending",IF(OR(I88="",K88="",L88="",K88=L88,NOT(ISNUMBER(M88)),NOT(ISNUMBER(N88)),M88&gt;Settings!$F$8,N88&lt;Settings!$F$8,N88&lt;M88),"Pending",IF(AND(G88="Applicable",H88="Pass"),"Pass",IF(AND(G88="N/A",H88="N/A",J88&lt;&gt;"",OR(E88="CEM-FUELS",E88="CEM-CCS",AND(E88="CEM-PLAN",IFERROR(INDEX('Taxonomy'!$M$9:$M$108,MATCH(D88,'Taxonomy'!$C$9:$C$108,0)),"")&lt;&gt;"Amber"),E88="BLD-TIMBER",AND(U88="Building equipment",OR(E88="BLD-WATER",E88="BLD-WASTE",E88="BLD-LAND")),AND(U88="Building renovation",E88="BLD-LAND"))),"N/A","Pending"))))))</x:f>
        <x:v>Pass</x:v>
      </x:c>
      <x:c r="Q88" s="3" t="str">
        <x:f>IF(C88="","",IF(AND(R88="Valid",OR(P88="Pass",P88="N/A")),"Complete","Unresolved"))</x:f>
        <x:v>Complete</x:v>
      </x:c>
      <x:c r="R88" s="9" t="str">
        <x:f>IF(C88="","",IF(OR(COUNTIF($C$9:$C$2008,C88)&lt;&gt;1,COUNTIFS($D$9:$D$2008,D88,$E$9:$E$2008,E88)&lt;&gt;1),"Duplicate test",IF(COUNTIF('Taxonomy'!$C$9:$C$108,D88)&lt;&gt;1,"Assessment key",IF(OR(COUNTIF('Taxonomy Rules'!$C$42:$C$68,E88)&lt;&gt;1,F88&lt;&gt;IFERROR(INDEX('Taxonomy Rules'!$D$42:$D$68,MATCH(E88,'Taxonomy Rules'!$C$42:$C$68,0)),""),NOT(OR(IFERROR(INDEX('Taxonomy Rules'!$G$42:$G$68,MATCH(E88,'Taxonomy Rules'!$C$42:$C$68,0)),"")="All supported routes",IFERROR(INDEX('Taxonomy Rules'!$G$42:$G$68,MATCH(E88,'Taxonomy Rules'!$C$42:$C$68,0)),"")=U88,AND(IFERROR(INDEX('Taxonomy Rules'!$G$42:$G$68,MATCH(E88,'Taxonomy Rules'!$C$42:$C$68,0)),"")="Building routes",OR(U88="Building renovation",U88="New building",U88="Building equipment"))))),"Unexpected test","Valid"))))</x:f>
        <x:v>Valid</x:v>
      </x:c>
      <x:c r="S88" s="9" t="str">
        <x:f>IF(C88="","",IFERROR(INDEX('Taxonomy Rules'!$E$42:$E$68,MATCH(E88,'Taxonomy Rules'!$C$42:$C$68,0)),""))</x:f>
        <x:v>Waste hierarchy, resource efficiency, hazardous-waste traceability and end-of-life arrangements.</x:v>
      </x:c>
      <x:c r="T88" s="9" t="str">
        <x:f>IF(C88="","",IFERROR(INDEX('Taxonomy Rules'!$F$42:$F$68,MATCH(E88,'Taxonomy Rules'!$C$42:$C$68,0)),""))</x:f>
        <x:v>S10 p32</x:v>
      </x:c>
      <x:c r="U88" s="9" t="str">
        <x:f>IF(C88="","",IFERROR(INDEX('Taxonomy'!$G$9:$G$108,MATCH(D88,'Taxonomy'!$C$9:$C$108,0)),""))</x:f>
        <x:v>Building renovation</x:v>
      </x:c>
    </x:row>
    <x:row r="89" ht="44" customHeight="1">
      <x:c r="A89" s="1"/>
      <x:c r="B89" s="1"/>
      <x:c r="C89" s="8" t="str">
        <x:v>TST-F009-DNSH-BIO</x:v>
      </x:c>
      <x:c r="D89" s="8" t="str">
        <x:v>TAX-F009</x:v>
      </x:c>
      <x:c r="E89" s="8" t="str">
        <x:v>DNSH-BIO</x:v>
      </x:c>
      <x:c r="F89" s="8" t="str">
        <x:v>DNSH</x:v>
      </x:c>
      <x:c r="G89" s="8" t="str">
        <x:v>Applicable</x:v>
      </x:c>
      <x:c r="H89" s="8" t="str">
        <x:v>Pass</x:v>
      </x:c>
      <x:c r="I89" s="8" t="str">
        <x:v>SYN-TEST-F009-DNSH-BIO</x:v>
      </x:c>
      <x:c r="J89" s="8" t="str"/>
      <x:c r="K89" s="8" t="str">
        <x:v>Taxonomy analyst 3</x:v>
      </x:c>
      <x:c r="L89" s="8" t="str">
        <x:v>Taxonomy reviewer 1</x:v>
      </x:c>
      <x:c r="M89" s="10" t="n">
        <x:v>46266</x:v>
      </x:c>
      <x:c r="N89" s="10" t="n">
        <x:v>46631</x:v>
      </x:c>
      <x:c r="O89" s="8"/>
      <x:c r="P89" s="9" t="str">
        <x:f>IF(C89="","",IF(AND(G89="Applicable",H89="Fail"),"Fail",IF(R89&lt;&gt;"Valid","Pending",IF(OR(I89="",K89="",L89="",K89=L89,NOT(ISNUMBER(M89)),NOT(ISNUMBER(N89)),M89&gt;Settings!$F$8,N89&lt;Settings!$F$8,N89&lt;M89),"Pending",IF(AND(G89="Applicable",H89="Pass"),"Pass",IF(AND(G89="N/A",H89="N/A",J89&lt;&gt;"",OR(E89="CEM-FUELS",E89="CEM-CCS",AND(E89="CEM-PLAN",IFERROR(INDEX('Taxonomy'!$M$9:$M$108,MATCH(D89,'Taxonomy'!$C$9:$C$108,0)),"")&lt;&gt;"Amber"),E89="BLD-TIMBER",AND(U89="Building equipment",OR(E89="BLD-WATER",E89="BLD-WASTE",E89="BLD-LAND")),AND(U89="Building renovation",E89="BLD-LAND"))),"N/A","Pending"))))))</x:f>
        <x:v>Pass</x:v>
      </x:c>
      <x:c r="Q89" s="3" t="str">
        <x:f>IF(C89="","",IF(AND(R89="Valid",OR(P89="Pass",P89="N/A")),"Complete","Unresolved"))</x:f>
        <x:v>Complete</x:v>
      </x:c>
      <x:c r="R89" s="9" t="str">
        <x:f>IF(C89="","",IF(OR(COUNTIF($C$9:$C$2008,C89)&lt;&gt;1,COUNTIFS($D$9:$D$2008,D89,$E$9:$E$2008,E89)&lt;&gt;1),"Duplicate test",IF(COUNTIF('Taxonomy'!$C$9:$C$108,D89)&lt;&gt;1,"Assessment key",IF(OR(COUNTIF('Taxonomy Rules'!$C$42:$C$68,E89)&lt;&gt;1,F89&lt;&gt;IFERROR(INDEX('Taxonomy Rules'!$D$42:$D$68,MATCH(E89,'Taxonomy Rules'!$C$42:$C$68,0)),""),NOT(OR(IFERROR(INDEX('Taxonomy Rules'!$G$42:$G$68,MATCH(E89,'Taxonomy Rules'!$C$42:$C$68,0)),"")="All supported routes",IFERROR(INDEX('Taxonomy Rules'!$G$42:$G$68,MATCH(E89,'Taxonomy Rules'!$C$42:$C$68,0)),"")=U89,AND(IFERROR(INDEX('Taxonomy Rules'!$G$42:$G$68,MATCH(E89,'Taxonomy Rules'!$C$42:$C$68,0)),"")="Building routes",OR(U89="Building renovation",U89="New building",U89="Building equipment"))))),"Unexpected test","Valid"))))</x:f>
        <x:v>Valid</x:v>
      </x:c>
      <x:c r="S89" s="9" t="str">
        <x:f>IF(C89="","",IFERROR(INDEX('Taxonomy Rules'!$E$42:$E$68,MATCH(E89,'Taxonomy Rules'!$C$42:$C$68,0)),""))</x:f>
        <x:v>Required EIA, habitat screening and implemented mitigation.</x:v>
      </x:c>
      <x:c r="T89" s="9" t="str">
        <x:f>IF(C89="","",IFERROR(INDEX('Taxonomy Rules'!$F$42:$F$68,MATCH(E89,'Taxonomy Rules'!$C$42:$C$68,0)),""))</x:f>
        <x:v>S10 p32</x:v>
      </x:c>
      <x:c r="U89" s="9" t="str">
        <x:f>IF(C89="","",IFERROR(INDEX('Taxonomy'!$G$9:$G$108,MATCH(D89,'Taxonomy'!$C$9:$C$108,0)),""))</x:f>
        <x:v>Building renovation</x:v>
      </x:c>
    </x:row>
    <x:row r="90" ht="44" customHeight="1">
      <x:c r="A90" s="1"/>
      <x:c r="B90" s="1"/>
      <x:c r="C90" s="8" t="str">
        <x:v>TST-F009-MSS-LABOUR</x:v>
      </x:c>
      <x:c r="D90" s="8" t="str">
        <x:v>TAX-F009</x:v>
      </x:c>
      <x:c r="E90" s="8" t="str">
        <x:v>MSS-LABOUR</x:v>
      </x:c>
      <x:c r="F90" s="8" t="str">
        <x:v>MSS</x:v>
      </x:c>
      <x:c r="G90" s="8" t="str">
        <x:v>Applicable</x:v>
      </x:c>
      <x:c r="H90" s="8" t="str">
        <x:v>Pass</x:v>
      </x:c>
      <x:c r="I90" s="8" t="str">
        <x:v>SYN-TEST-F009-MSS-LABOUR</x:v>
      </x:c>
      <x:c r="J90" s="8" t="str"/>
      <x:c r="K90" s="8" t="str">
        <x:v>Taxonomy analyst 3</x:v>
      </x:c>
      <x:c r="L90" s="8" t="str">
        <x:v>Taxonomy reviewer 1</x:v>
      </x:c>
      <x:c r="M90" s="10" t="n">
        <x:v>46266</x:v>
      </x:c>
      <x:c r="N90" s="10" t="n">
        <x:v>46631</x:v>
      </x:c>
      <x:c r="O90" s="8"/>
      <x:c r="P90" s="9" t="str">
        <x:f>IF(C90="","",IF(AND(G90="Applicable",H90="Fail"),"Fail",IF(R90&lt;&gt;"Valid","Pending",IF(OR(I90="",K90="",L90="",K90=L90,NOT(ISNUMBER(M90)),NOT(ISNUMBER(N90)),M90&gt;Settings!$F$8,N90&lt;Settings!$F$8,N90&lt;M90),"Pending",IF(AND(G90="Applicable",H90="Pass"),"Pass",IF(AND(G90="N/A",H90="N/A",J90&lt;&gt;"",OR(E90="CEM-FUELS",E90="CEM-CCS",AND(E90="CEM-PLAN",IFERROR(INDEX('Taxonomy'!$M$9:$M$108,MATCH(D90,'Taxonomy'!$C$9:$C$108,0)),"")&lt;&gt;"Amber"),E90="BLD-TIMBER",AND(U90="Building equipment",OR(E90="BLD-WATER",E90="BLD-WASTE",E90="BLD-LAND")),AND(U90="Building renovation",E90="BLD-LAND"))),"N/A","Pending"))))))</x:f>
        <x:v>Pass</x:v>
      </x:c>
      <x:c r="Q90" s="3" t="str">
        <x:f>IF(C90="","",IF(AND(R90="Valid",OR(P90="Pass",P90="N/A")),"Complete","Unresolved"))</x:f>
        <x:v>Complete</x:v>
      </x:c>
      <x:c r="R90" s="9" t="str">
        <x:f>IF(C90="","",IF(OR(COUNTIF($C$9:$C$2008,C90)&lt;&gt;1,COUNTIFS($D$9:$D$2008,D90,$E$9:$E$2008,E90)&lt;&gt;1),"Duplicate test",IF(COUNTIF('Taxonomy'!$C$9:$C$108,D90)&lt;&gt;1,"Assessment key",IF(OR(COUNTIF('Taxonomy Rules'!$C$42:$C$68,E90)&lt;&gt;1,F90&lt;&gt;IFERROR(INDEX('Taxonomy Rules'!$D$42:$D$68,MATCH(E90,'Taxonomy Rules'!$C$42:$C$68,0)),""),NOT(OR(IFERROR(INDEX('Taxonomy Rules'!$G$42:$G$68,MATCH(E90,'Taxonomy Rules'!$C$42:$C$68,0)),"")="All supported routes",IFERROR(INDEX('Taxonomy Rules'!$G$42:$G$68,MATCH(E90,'Taxonomy Rules'!$C$42:$C$68,0)),"")=U90,AND(IFERROR(INDEX('Taxonomy Rules'!$G$42:$G$68,MATCH(E90,'Taxonomy Rules'!$C$42:$C$68,0)),"")="Building routes",OR(U90="Building renovation",U90="New building",U90="Building equipment"))))),"Unexpected test","Valid"))))</x:f>
        <x:v>Valid</x:v>
      </x:c>
      <x:c r="S90" s="9" t="str">
        <x:f>IF(C90="","",IFERROR(INDEX('Taxonomy Rules'!$E$42:$E$68,MATCH(E90,'Taxonomy Rules'!$C$42:$C$68,0)),""))</x:f>
        <x:v>Labour rights, minimum age, no child/forced labour, equality and worker representation.</x:v>
      </x:c>
      <x:c r="T90" s="9" t="str">
        <x:f>IF(C90="","",IFERROR(INDEX('Taxonomy Rules'!$F$42:$F$68,MATCH(E90,'Taxonomy Rules'!$C$42:$C$68,0)),""))</x:f>
        <x:v>S10 p29</x:v>
      </x:c>
      <x:c r="U90" s="9" t="str">
        <x:f>IF(C90="","",IFERROR(INDEX('Taxonomy'!$G$9:$G$108,MATCH(D90,'Taxonomy'!$C$9:$C$108,0)),""))</x:f>
        <x:v>Building renovation</x:v>
      </x:c>
    </x:row>
    <x:row r="91" ht="44" customHeight="1">
      <x:c r="A91" s="1"/>
      <x:c r="B91" s="1"/>
      <x:c r="C91" s="8" t="str">
        <x:v>TST-F009-MSS-OSH</x:v>
      </x:c>
      <x:c r="D91" s="8" t="str">
        <x:v>TAX-F009</x:v>
      </x:c>
      <x:c r="E91" s="8" t="str">
        <x:v>MSS-OSH</x:v>
      </x:c>
      <x:c r="F91" s="8" t="str">
        <x:v>MSS</x:v>
      </x:c>
      <x:c r="G91" s="8" t="str">
        <x:v>Applicable</x:v>
      </x:c>
      <x:c r="H91" s="8" t="str">
        <x:v>Pass</x:v>
      </x:c>
      <x:c r="I91" s="8" t="str">
        <x:v>SYN-TEST-F009-MSS-OSH</x:v>
      </x:c>
      <x:c r="J91" s="8" t="str"/>
      <x:c r="K91" s="8" t="str">
        <x:v>Taxonomy analyst 3</x:v>
      </x:c>
      <x:c r="L91" s="8" t="str">
        <x:v>Taxonomy reviewer 1</x:v>
      </x:c>
      <x:c r="M91" s="10" t="n">
        <x:v>46266</x:v>
      </x:c>
      <x:c r="N91" s="10" t="n">
        <x:v>46631</x:v>
      </x:c>
      <x:c r="O91" s="8"/>
      <x:c r="P91" s="9" t="str">
        <x:f>IF(C91="","",IF(AND(G91="Applicable",H91="Fail"),"Fail",IF(R91&lt;&gt;"Valid","Pending",IF(OR(I91="",K91="",L91="",K91=L91,NOT(ISNUMBER(M91)),NOT(ISNUMBER(N91)),M91&gt;Settings!$F$8,N91&lt;Settings!$F$8,N91&lt;M91),"Pending",IF(AND(G91="Applicable",H91="Pass"),"Pass",IF(AND(G91="N/A",H91="N/A",J91&lt;&gt;"",OR(E91="CEM-FUELS",E91="CEM-CCS",AND(E91="CEM-PLAN",IFERROR(INDEX('Taxonomy'!$M$9:$M$108,MATCH(D91,'Taxonomy'!$C$9:$C$108,0)),"")&lt;&gt;"Amber"),E91="BLD-TIMBER",AND(U91="Building equipment",OR(E91="BLD-WATER",E91="BLD-WASTE",E91="BLD-LAND")),AND(U91="Building renovation",E91="BLD-LAND"))),"N/A","Pending"))))))</x:f>
        <x:v>Pass</x:v>
      </x:c>
      <x:c r="Q91" s="3" t="str">
        <x:f>IF(C91="","",IF(AND(R91="Valid",OR(P91="Pass",P91="N/A")),"Complete","Unresolved"))</x:f>
        <x:v>Complete</x:v>
      </x:c>
      <x:c r="R91" s="9" t="str">
        <x:f>IF(C91="","",IF(OR(COUNTIF($C$9:$C$2008,C91)&lt;&gt;1,COUNTIFS($D$9:$D$2008,D91,$E$9:$E$2008,E91)&lt;&gt;1),"Duplicate test",IF(COUNTIF('Taxonomy'!$C$9:$C$108,D91)&lt;&gt;1,"Assessment key",IF(OR(COUNTIF('Taxonomy Rules'!$C$42:$C$68,E91)&lt;&gt;1,F91&lt;&gt;IFERROR(INDEX('Taxonomy Rules'!$D$42:$D$68,MATCH(E91,'Taxonomy Rules'!$C$42:$C$68,0)),""),NOT(OR(IFERROR(INDEX('Taxonomy Rules'!$G$42:$G$68,MATCH(E91,'Taxonomy Rules'!$C$42:$C$68,0)),"")="All supported routes",IFERROR(INDEX('Taxonomy Rules'!$G$42:$G$68,MATCH(E91,'Taxonomy Rules'!$C$42:$C$68,0)),"")=U91,AND(IFERROR(INDEX('Taxonomy Rules'!$G$42:$G$68,MATCH(E91,'Taxonomy Rules'!$C$42:$C$68,0)),"")="Building routes",OR(U91="Building renovation",U91="New building",U91="Building equipment"))))),"Unexpected test","Valid"))))</x:f>
        <x:v>Valid</x:v>
      </x:c>
      <x:c r="S91" s="9" t="str">
        <x:f>IF(C91="","",IFERROR(INDEX('Taxonomy Rules'!$E$42:$E$68,MATCH(E91,'Taxonomy Rules'!$C$42:$C$68,0)),""))</x:f>
        <x:v>Applicable occupational safety, hazard prevention and emergency readiness.</x:v>
      </x:c>
      <x:c r="T91" s="9" t="str">
        <x:f>IF(C91="","",IFERROR(INDEX('Taxonomy Rules'!$F$42:$F$68,MATCH(E91,'Taxonomy Rules'!$C$42:$C$68,0)),""))</x:f>
        <x:v>S10 p29</x:v>
      </x:c>
      <x:c r="U91" s="9" t="str">
        <x:f>IF(C91="","",IFERROR(INDEX('Taxonomy'!$G$9:$G$108,MATCH(D91,'Taxonomy'!$C$9:$C$108,0)),""))</x:f>
        <x:v>Building renovation</x:v>
      </x:c>
    </x:row>
    <x:row r="92" ht="44" customHeight="1">
      <x:c r="A92" s="1"/>
      <x:c r="B92" s="1"/>
      <x:c r="C92" s="8" t="str">
        <x:v>TST-F009-MSS-RIGHTS</x:v>
      </x:c>
      <x:c r="D92" s="8" t="str">
        <x:v>TAX-F009</x:v>
      </x:c>
      <x:c r="E92" s="8" t="str">
        <x:v>MSS-RIGHTS</x:v>
      </x:c>
      <x:c r="F92" s="8" t="str">
        <x:v>MSS</x:v>
      </x:c>
      <x:c r="G92" s="8" t="str">
        <x:v>Applicable</x:v>
      </x:c>
      <x:c r="H92" s="8" t="str">
        <x:v>Pass</x:v>
      </x:c>
      <x:c r="I92" s="8" t="str">
        <x:v>SYN-TEST-F009-MSS-RIGHTS</x:v>
      </x:c>
      <x:c r="J92" s="8" t="str"/>
      <x:c r="K92" s="8" t="str">
        <x:v>Taxonomy analyst 3</x:v>
      </x:c>
      <x:c r="L92" s="8" t="str">
        <x:v>Taxonomy reviewer 1</x:v>
      </x:c>
      <x:c r="M92" s="10" t="n">
        <x:v>46266</x:v>
      </x:c>
      <x:c r="N92" s="10" t="n">
        <x:v>46631</x:v>
      </x:c>
      <x:c r="O92" s="8"/>
      <x:c r="P92" s="9" t="str">
        <x:f>IF(C92="","",IF(AND(G92="Applicable",H92="Fail"),"Fail",IF(R92&lt;&gt;"Valid","Pending",IF(OR(I92="",K92="",L92="",K92=L92,NOT(ISNUMBER(M92)),NOT(ISNUMBER(N92)),M92&gt;Settings!$F$8,N92&lt;Settings!$F$8,N92&lt;M92),"Pending",IF(AND(G92="Applicable",H92="Pass"),"Pass",IF(AND(G92="N/A",H92="N/A",J92&lt;&gt;"",OR(E92="CEM-FUELS",E92="CEM-CCS",AND(E92="CEM-PLAN",IFERROR(INDEX('Taxonomy'!$M$9:$M$108,MATCH(D92,'Taxonomy'!$C$9:$C$108,0)),"")&lt;&gt;"Amber"),E92="BLD-TIMBER",AND(U92="Building equipment",OR(E92="BLD-WATER",E92="BLD-WASTE",E92="BLD-LAND")),AND(U92="Building renovation",E92="BLD-LAND"))),"N/A","Pending"))))))</x:f>
        <x:v>Pass</x:v>
      </x:c>
      <x:c r="Q92" s="3" t="str">
        <x:f>IF(C92="","",IF(AND(R92="Valid",OR(P92="Pass",P92="N/A")),"Complete","Unresolved"))</x:f>
        <x:v>Complete</x:v>
      </x:c>
      <x:c r="R92" s="9" t="str">
        <x:f>IF(C92="","",IF(OR(COUNTIF($C$9:$C$2008,C92)&lt;&gt;1,COUNTIFS($D$9:$D$2008,D92,$E$9:$E$2008,E92)&lt;&gt;1),"Duplicate test",IF(COUNTIF('Taxonomy'!$C$9:$C$108,D92)&lt;&gt;1,"Assessment key",IF(OR(COUNTIF('Taxonomy Rules'!$C$42:$C$68,E92)&lt;&gt;1,F92&lt;&gt;IFERROR(INDEX('Taxonomy Rules'!$D$42:$D$68,MATCH(E92,'Taxonomy Rules'!$C$42:$C$68,0)),""),NOT(OR(IFERROR(INDEX('Taxonomy Rules'!$G$42:$G$68,MATCH(E92,'Taxonomy Rules'!$C$42:$C$68,0)),"")="All supported routes",IFERROR(INDEX('Taxonomy Rules'!$G$42:$G$68,MATCH(E92,'Taxonomy Rules'!$C$42:$C$68,0)),"")=U92,AND(IFERROR(INDEX('Taxonomy Rules'!$G$42:$G$68,MATCH(E92,'Taxonomy Rules'!$C$42:$C$68,0)),"")="Building routes",OR(U92="Building renovation",U92="New building",U92="Building equipment"))))),"Unexpected test","Valid"))))</x:f>
        <x:v>Valid</x:v>
      </x:c>
      <x:c r="S92" s="9" t="str">
        <x:f>IF(C92="","",IFERROR(INDEX('Taxonomy Rules'!$E$42:$E$68,MATCH(E92,'Taxonomy Rules'!$C$42:$C$68,0)),""))</x:f>
        <x:v>Proportionate human-rights diligence, stakeholder/social-impact process and grievance mechanism.</x:v>
      </x:c>
      <x:c r="T92" s="9" t="str">
        <x:f>IF(C92="","",IFERROR(INDEX('Taxonomy Rules'!$F$42:$F$68,MATCH(E92,'Taxonomy Rules'!$C$42:$C$68,0)),""))</x:f>
        <x:v>S10 p29</x:v>
      </x:c>
      <x:c r="U92" s="9" t="str">
        <x:f>IF(C92="","",IFERROR(INDEX('Taxonomy'!$G$9:$G$108,MATCH(D92,'Taxonomy'!$C$9:$C$108,0)),""))</x:f>
        <x:v>Building renovation</x:v>
      </x:c>
    </x:row>
    <x:row r="93" ht="44" customHeight="1">
      <x:c r="A93" s="1"/>
      <x:c r="B93" s="1"/>
      <x:c r="C93" s="8" t="str">
        <x:v>TST-F009-REN-METHOD</x:v>
      </x:c>
      <x:c r="D93" s="8" t="str">
        <x:v>TAX-F009</x:v>
      </x:c>
      <x:c r="E93" s="8" t="str">
        <x:v>REN-METHOD</x:v>
      </x:c>
      <x:c r="F93" s="8" t="str">
        <x:v>Technical</x:v>
      </x:c>
      <x:c r="G93" s="8" t="str">
        <x:v>Applicable</x:v>
      </x:c>
      <x:c r="H93" s="8" t="str">
        <x:v>Pass</x:v>
      </x:c>
      <x:c r="I93" s="8" t="str">
        <x:v>SYN-TEST-F009-REN-METHOD</x:v>
      </x:c>
      <x:c r="J93" s="8" t="str"/>
      <x:c r="K93" s="8" t="str">
        <x:v>Taxonomy analyst 3</x:v>
      </x:c>
      <x:c r="L93" s="8" t="str">
        <x:v>Taxonomy reviewer 1</x:v>
      </x:c>
      <x:c r="M93" s="10" t="n">
        <x:v>46266</x:v>
      </x:c>
      <x:c r="N93" s="10" t="n">
        <x:v>46631</x:v>
      </x:c>
      <x:c r="O93" s="8"/>
      <x:c r="P93" s="9" t="str">
        <x:f>IF(C93="","",IF(AND(G93="Applicable",H93="Fail"),"Fail",IF(R93&lt;&gt;"Valid","Pending",IF(OR(I93="",K93="",L93="",K93=L93,NOT(ISNUMBER(M93)),NOT(ISNUMBER(N93)),M93&gt;Settings!$F$8,N93&lt;Settings!$F$8,N93&lt;M93),"Pending",IF(AND(G93="Applicable",H93="Pass"),"Pass",IF(AND(G93="N/A",H93="N/A",J93&lt;&gt;"",OR(E93="CEM-FUELS",E93="CEM-CCS",AND(E93="CEM-PLAN",IFERROR(INDEX('Taxonomy'!$M$9:$M$108,MATCH(D93,'Taxonomy'!$C$9:$C$108,0)),"")&lt;&gt;"Amber"),E93="BLD-TIMBER",AND(U93="Building equipment",OR(E93="BLD-WATER",E93="BLD-WASTE",E93="BLD-LAND")),AND(U93="Building renovation",E93="BLD-LAND"))),"N/A","Pending"))))))</x:f>
        <x:v>Pass</x:v>
      </x:c>
      <x:c r="Q93" s="3" t="str">
        <x:f>IF(C93="","",IF(AND(R93="Valid",OR(P93="Pass",P93="N/A")),"Complete","Unresolved"))</x:f>
        <x:v>Complete</x:v>
      </x:c>
      <x:c r="R93" s="9" t="str">
        <x:f>IF(C93="","",IF(OR(COUNTIF($C$9:$C$2008,C93)&lt;&gt;1,COUNTIFS($D$9:$D$2008,D93,$E$9:$E$2008,E93)&lt;&gt;1),"Duplicate test",IF(COUNTIF('Taxonomy'!$C$9:$C$108,D93)&lt;&gt;1,"Assessment key",IF(OR(COUNTIF('Taxonomy Rules'!$C$42:$C$68,E93)&lt;&gt;1,F93&lt;&gt;IFERROR(INDEX('Taxonomy Rules'!$D$42:$D$68,MATCH(E93,'Taxonomy Rules'!$C$42:$C$68,0)),""),NOT(OR(IFERROR(INDEX('Taxonomy Rules'!$G$42:$G$68,MATCH(E93,'Taxonomy Rules'!$C$42:$C$68,0)),"")="All supported routes",IFERROR(INDEX('Taxonomy Rules'!$G$42:$G$68,MATCH(E93,'Taxonomy Rules'!$C$42:$C$68,0)),"")=U93,AND(IFERROR(INDEX('Taxonomy Rules'!$G$42:$G$68,MATCH(E93,'Taxonomy Rules'!$C$42:$C$68,0)),"")="Building routes",OR(U93="Building renovation",U93="New building",U93="Building equipment"))))),"Unexpected test","Valid"))))</x:f>
        <x:v>Valid</x:v>
      </x:c>
      <x:c r="S93" s="9" t="str">
        <x:f>IF(C93="","",IFERROR(INDEX('Taxonomy Rules'!$E$42:$E$68,MATCH(E93,'Taxonomy Rules'!$C$42:$C$68,0)),""))</x:f>
        <x:v>Whole-building baseline adjusted for occupancy/weather; recognised method for floor area at least 1,000 m².</x:v>
      </x:c>
      <x:c r="T93" s="9" t="str">
        <x:f>IF(C93="","",IFERROR(INDEX('Taxonomy Rules'!$F$42:$F$68,MATCH(E93,'Taxonomy Rules'!$C$42:$C$68,0)),""))</x:f>
        <x:v>S10 p136</x:v>
      </x:c>
      <x:c r="U93" s="9" t="str">
        <x:f>IF(C93="","",IFERROR(INDEX('Taxonomy'!$G$9:$G$108,MATCH(D93,'Taxonomy'!$C$9:$C$108,0)),""))</x:f>
        <x:v>Building renovation</x:v>
      </x:c>
    </x:row>
    <x:row r="94" ht="44" customHeight="1">
      <x:c r="A94" s="1"/>
      <x:c r="B94" s="1"/>
      <x:c r="C94" s="8" t="str">
        <x:v>TST-F009-REN-ROUTE</x:v>
      </x:c>
      <x:c r="D94" s="8" t="str">
        <x:v>TAX-F009</x:v>
      </x:c>
      <x:c r="E94" s="8" t="str">
        <x:v>REN-ROUTE</x:v>
      </x:c>
      <x:c r="F94" s="8" t="str">
        <x:v>Technical</x:v>
      </x:c>
      <x:c r="G94" s="8" t="str">
        <x:v>Applicable</x:v>
      </x:c>
      <x:c r="H94" s="8" t="str">
        <x:v>Pass</x:v>
      </x:c>
      <x:c r="I94" s="8" t="str">
        <x:v>SYN-TEST-F009-REN-ROUTE</x:v>
      </x:c>
      <x:c r="J94" s="8" t="str"/>
      <x:c r="K94" s="8" t="str">
        <x:v>Taxonomy analyst 3</x:v>
      </x:c>
      <x:c r="L94" s="8" t="str">
        <x:v>Taxonomy reviewer 1</x:v>
      </x:c>
      <x:c r="M94" s="10" t="n">
        <x:v>46266</x:v>
      </x:c>
      <x:c r="N94" s="10" t="n">
        <x:v>46631</x:v>
      </x:c>
      <x:c r="O94" s="8"/>
      <x:c r="P94" s="9" t="str">
        <x:f>IF(C94="","",IF(AND(G94="Applicable",H94="Fail"),"Fail",IF(R94&lt;&gt;"Valid","Pending",IF(OR(I94="",K94="",L94="",K94=L94,NOT(ISNUMBER(M94)),NOT(ISNUMBER(N94)),M94&gt;Settings!$F$8,N94&lt;Settings!$F$8,N94&lt;M94),"Pending",IF(AND(G94="Applicable",H94="Pass"),"Pass",IF(AND(G94="N/A",H94="N/A",J94&lt;&gt;"",OR(E94="CEM-FUELS",E94="CEM-CCS",AND(E94="CEM-PLAN",IFERROR(INDEX('Taxonomy'!$M$9:$M$108,MATCH(D94,'Taxonomy'!$C$9:$C$108,0)),"")&lt;&gt;"Amber"),E94="BLD-TIMBER",AND(U94="Building equipment",OR(E94="BLD-WATER",E94="BLD-WASTE",E94="BLD-LAND")),AND(U94="Building renovation",E94="BLD-LAND"))),"N/A","Pending"))))))</x:f>
        <x:v>Pass</x:v>
      </x:c>
      <x:c r="Q94" s="3" t="str">
        <x:f>IF(C94="","",IF(AND(R94="Valid",OR(P94="Pass",P94="N/A")),"Complete","Unresolved"))</x:f>
        <x:v>Complete</x:v>
      </x:c>
      <x:c r="R94" s="9" t="str">
        <x:f>IF(C94="","",IF(OR(COUNTIF($C$9:$C$2008,C94)&lt;&gt;1,COUNTIFS($D$9:$D$2008,D94,$E$9:$E$2008,E94)&lt;&gt;1),"Duplicate test",IF(COUNTIF('Taxonomy'!$C$9:$C$108,D94)&lt;&gt;1,"Assessment key",IF(OR(COUNTIF('Taxonomy Rules'!$C$42:$C$68,E94)&lt;&gt;1,F94&lt;&gt;IFERROR(INDEX('Taxonomy Rules'!$D$42:$D$68,MATCH(E94,'Taxonomy Rules'!$C$42:$C$68,0)),""),NOT(OR(IFERROR(INDEX('Taxonomy Rules'!$G$42:$G$68,MATCH(E94,'Taxonomy Rules'!$C$42:$C$68,0)),"")="All supported routes",IFERROR(INDEX('Taxonomy Rules'!$G$42:$G$68,MATCH(E94,'Taxonomy Rules'!$C$42:$C$68,0)),"")=U94,AND(IFERROR(INDEX('Taxonomy Rules'!$G$42:$G$68,MATCH(E94,'Taxonomy Rules'!$C$42:$C$68,0)),"")="Building routes",OR(U94="Building renovation",U94="New building",U94="Building equipment"))))),"Unexpected test","Valid"))))</x:f>
        <x:v>Valid</x:v>
      </x:c>
      <x:c r="S94" s="9" t="str">
        <x:f>IF(C94="","",IFERROR(INDEX('Taxonomy Rules'!$E$42:$E$68,MATCH(E94,'Taxonomy Rules'!$C$42:$C$68,0)),""))</x:f>
        <x:v>Whole-building Green requires new-building criteria; Amber improvement route is separate. Certification not required solely for Amber.</x:v>
      </x:c>
      <x:c r="T94" s="9" t="str">
        <x:f>IF(C94="","",IFERROR(INDEX('Taxonomy Rules'!$F$42:$F$68,MATCH(E94,'Taxonomy Rules'!$C$42:$C$68,0)),""))</x:f>
        <x:v>S10 pp131,136</x:v>
      </x:c>
      <x:c r="U94" s="9" t="str">
        <x:f>IF(C94="","",IFERROR(INDEX('Taxonomy'!$G$9:$G$108,MATCH(D94,'Taxonomy'!$C$9:$C$108,0)),""))</x:f>
        <x:v>Building renovation</x:v>
      </x:c>
    </x:row>
    <x:row r="95" ht="44" customHeight="1">
      <x:c r="A95" s="1"/>
      <x:c r="B95" s="1"/>
      <x:c r="C95" s="8" t="str">
        <x:v>TST-F009-BLD-WATER</x:v>
      </x:c>
      <x:c r="D95" s="8" t="str">
        <x:v>TAX-F009</x:v>
      </x:c>
      <x:c r="E95" s="8" t="str">
        <x:v>BLD-WATER</x:v>
      </x:c>
      <x:c r="F95" s="8" t="str">
        <x:v>DNSH</x:v>
      </x:c>
      <x:c r="G95" s="8" t="str">
        <x:v>Applicable</x:v>
      </x:c>
      <x:c r="H95" s="8" t="str">
        <x:v>Pass</x:v>
      </x:c>
      <x:c r="I95" s="8" t="str">
        <x:v>SYN-TEST-F009-BLD-WATER</x:v>
      </x:c>
      <x:c r="J95" s="8" t="str"/>
      <x:c r="K95" s="8" t="str">
        <x:v>Taxonomy analyst 3</x:v>
      </x:c>
      <x:c r="L95" s="8" t="str">
        <x:v>Taxonomy reviewer 1</x:v>
      </x:c>
      <x:c r="M95" s="10" t="n">
        <x:v>46266</x:v>
      </x:c>
      <x:c r="N95" s="10" t="n">
        <x:v>46631</x:v>
      </x:c>
      <x:c r="O95" s="8"/>
      <x:c r="P95" s="9" t="str">
        <x:f>IF(C95="","",IF(AND(G95="Applicable",H95="Fail"),"Fail",IF(R95&lt;&gt;"Valid","Pending",IF(OR(I95="",K95="",L95="",K95=L95,NOT(ISNUMBER(M95)),NOT(ISNUMBER(N95)),M95&gt;Settings!$F$8,N95&lt;Settings!$F$8,N95&lt;M95),"Pending",IF(AND(G95="Applicable",H95="Pass"),"Pass",IF(AND(G95="N/A",H95="N/A",J95&lt;&gt;"",OR(E95="CEM-FUELS",E95="CEM-CCS",AND(E95="CEM-PLAN",IFERROR(INDEX('Taxonomy'!$M$9:$M$108,MATCH(D95,'Taxonomy'!$C$9:$C$108,0)),"")&lt;&gt;"Amber"),E95="BLD-TIMBER",AND(U95="Building equipment",OR(E95="BLD-WATER",E95="BLD-WASTE",E95="BLD-LAND")),AND(U95="Building renovation",E95="BLD-LAND"))),"N/A","Pending"))))))</x:f>
        <x:v>Pass</x:v>
      </x:c>
      <x:c r="Q95" s="3" t="str">
        <x:f>IF(C95="","",IF(AND(R95="Valid",OR(P95="Pass",P95="N/A")),"Complete","Unresolved"))</x:f>
        <x:v>Complete</x:v>
      </x:c>
      <x:c r="R95" s="9" t="str">
        <x:f>IF(C95="","",IF(OR(COUNTIF($C$9:$C$2008,C95)&lt;&gt;1,COUNTIFS($D$9:$D$2008,D95,$E$9:$E$2008,E95)&lt;&gt;1),"Duplicate test",IF(COUNTIF('Taxonomy'!$C$9:$C$108,D95)&lt;&gt;1,"Assessment key",IF(OR(COUNTIF('Taxonomy Rules'!$C$42:$C$68,E95)&lt;&gt;1,F95&lt;&gt;IFERROR(INDEX('Taxonomy Rules'!$D$42:$D$68,MATCH(E95,'Taxonomy Rules'!$C$42:$C$68,0)),""),NOT(OR(IFERROR(INDEX('Taxonomy Rules'!$G$42:$G$68,MATCH(E95,'Taxonomy Rules'!$C$42:$C$68,0)),"")="All supported routes",IFERROR(INDEX('Taxonomy Rules'!$G$42:$G$68,MATCH(E95,'Taxonomy Rules'!$C$42:$C$68,0)),"")=U95,AND(IFERROR(INDEX('Taxonomy Rules'!$G$42:$G$68,MATCH(E95,'Taxonomy Rules'!$C$42:$C$68,0)),"")="Building routes",OR(U95="Building renovation",U95="New building",U95="Building equipment"))))),"Unexpected test","Valid"))))</x:f>
        <x:v>Valid</x:v>
      </x:c>
      <x:c r="S95" s="9" t="str">
        <x:f>IF(C95="","",IFERROR(INDEX('Taxonomy Rules'!$E$42:$E$68,MATCH(E95,'Taxonomy Rules'!$C$42:$C$68,0)),""))</x:f>
        <x:v>Compliant water fittings under JSMO / recognised water-efficiency standards.</x:v>
      </x:c>
      <x:c r="T95" s="9" t="str">
        <x:f>IF(C95="","",IFERROR(INDEX('Taxonomy Rules'!$F$42:$F$68,MATCH(E95,'Taxonomy Rules'!$C$42:$C$68,0)),""))</x:f>
        <x:v>S10 p132</x:v>
      </x:c>
      <x:c r="U95" s="9" t="str">
        <x:f>IF(C95="","",IFERROR(INDEX('Taxonomy'!$G$9:$G$108,MATCH(D95,'Taxonomy'!$C$9:$C$108,0)),""))</x:f>
        <x:v>Building renovation</x:v>
      </x:c>
    </x:row>
    <x:row r="96" ht="44" customHeight="1">
      <x:c r="A96" s="1"/>
      <x:c r="B96" s="1"/>
      <x:c r="C96" s="8" t="str">
        <x:v>TST-F009-BLD-MATERIALS</x:v>
      </x:c>
      <x:c r="D96" s="8" t="str">
        <x:v>TAX-F009</x:v>
      </x:c>
      <x:c r="E96" s="8" t="str">
        <x:v>BLD-MATERIALS</x:v>
      </x:c>
      <x:c r="F96" s="8" t="str">
        <x:v>DNSH</x:v>
      </x:c>
      <x:c r="G96" s="8" t="str">
        <x:v>Applicable</x:v>
      </x:c>
      <x:c r="H96" s="8" t="str">
        <x:v>Pass</x:v>
      </x:c>
      <x:c r="I96" s="8" t="str">
        <x:v>SYN-TEST-F009-BLD-MATERIALS</x:v>
      </x:c>
      <x:c r="J96" s="8" t="str"/>
      <x:c r="K96" s="8" t="str">
        <x:v>Taxonomy analyst 3</x:v>
      </x:c>
      <x:c r="L96" s="8" t="str">
        <x:v>Taxonomy reviewer 1</x:v>
      </x:c>
      <x:c r="M96" s="10" t="n">
        <x:v>46266</x:v>
      </x:c>
      <x:c r="N96" s="10" t="n">
        <x:v>46631</x:v>
      </x:c>
      <x:c r="O96" s="8"/>
      <x:c r="P96" s="9" t="str">
        <x:f>IF(C96="","",IF(AND(G96="Applicable",H96="Fail"),"Fail",IF(R96&lt;&gt;"Valid","Pending",IF(OR(I96="",K96="",L96="",K96=L96,NOT(ISNUMBER(M96)),NOT(ISNUMBER(N96)),M96&gt;Settings!$F$8,N96&lt;Settings!$F$8,N96&lt;M96),"Pending",IF(AND(G96="Applicable",H96="Pass"),"Pass",IF(AND(G96="N/A",H96="N/A",J96&lt;&gt;"",OR(E96="CEM-FUELS",E96="CEM-CCS",AND(E96="CEM-PLAN",IFERROR(INDEX('Taxonomy'!$M$9:$M$108,MATCH(D96,'Taxonomy'!$C$9:$C$108,0)),"")&lt;&gt;"Amber"),E96="BLD-TIMBER",AND(U96="Building equipment",OR(E96="BLD-WATER",E96="BLD-WASTE",E96="BLD-LAND")),AND(U96="Building renovation",E96="BLD-LAND"))),"N/A","Pending"))))))</x:f>
        <x:v>Pass</x:v>
      </x:c>
      <x:c r="Q96" s="3" t="str">
        <x:f>IF(C96="","",IF(AND(R96="Valid",OR(P96="Pass",P96="N/A")),"Complete","Unresolved"))</x:f>
        <x:v>Complete</x:v>
      </x:c>
      <x:c r="R96" s="9" t="str">
        <x:f>IF(C96="","",IF(OR(COUNTIF($C$9:$C$2008,C96)&lt;&gt;1,COUNTIFS($D$9:$D$2008,D96,$E$9:$E$2008,E96)&lt;&gt;1),"Duplicate test",IF(COUNTIF('Taxonomy'!$C$9:$C$108,D96)&lt;&gt;1,"Assessment key",IF(OR(COUNTIF('Taxonomy Rules'!$C$42:$C$68,E96)&lt;&gt;1,F96&lt;&gt;IFERROR(INDEX('Taxonomy Rules'!$D$42:$D$68,MATCH(E96,'Taxonomy Rules'!$C$42:$C$68,0)),""),NOT(OR(IFERROR(INDEX('Taxonomy Rules'!$G$42:$G$68,MATCH(E96,'Taxonomy Rules'!$C$42:$C$68,0)),"")="All supported routes",IFERROR(INDEX('Taxonomy Rules'!$G$42:$G$68,MATCH(E96,'Taxonomy Rules'!$C$42:$C$68,0)),"")=U96,AND(IFERROR(INDEX('Taxonomy Rules'!$G$42:$G$68,MATCH(E96,'Taxonomy Rules'!$C$42:$C$68,0)),"")="Building routes",OR(U96="Building renovation",U96="New building",U96="Building equipment"))))),"Unexpected test","Valid"))))</x:f>
        <x:v>Valid</x:v>
      </x:c>
      <x:c r="S96" s="9" t="str">
        <x:f>IF(C96="","",IFERROR(INDEX('Taxonomy Rules'!$E$42:$E$68,MATCH(E96,'Taxonomy Rules'!$C$42:$C$68,0)),""))</x:f>
        <x:v>No asbestos; controlled hazardous substances; contamination and indoor-air checks as applicable.</x:v>
      </x:c>
      <x:c r="T96" s="9" t="str">
        <x:f>IF(C96="","",IFERROR(INDEX('Taxonomy Rules'!$F$42:$F$68,MATCH(E96,'Taxonomy Rules'!$C$42:$C$68,0)),""))</x:f>
        <x:v>S10 pp132–133</x:v>
      </x:c>
      <x:c r="U96" s="9" t="str">
        <x:f>IF(C96="","",IFERROR(INDEX('Taxonomy'!$G$9:$G$108,MATCH(D96,'Taxonomy'!$C$9:$C$108,0)),""))</x:f>
        <x:v>Building renovation</x:v>
      </x:c>
    </x:row>
    <x:row r="97" ht="44" customHeight="1">
      <x:c r="A97" s="1"/>
      <x:c r="B97" s="1"/>
      <x:c r="C97" s="8" t="str">
        <x:v>TST-F009-BLD-WASTE</x:v>
      </x:c>
      <x:c r="D97" s="8" t="str">
        <x:v>TAX-F009</x:v>
      </x:c>
      <x:c r="E97" s="8" t="str">
        <x:v>BLD-WASTE</x:v>
      </x:c>
      <x:c r="F97" s="8" t="str">
        <x:v>DNSH</x:v>
      </x:c>
      <x:c r="G97" s="8" t="str">
        <x:v>Applicable</x:v>
      </x:c>
      <x:c r="H97" s="8" t="str">
        <x:v>Pass</x:v>
      </x:c>
      <x:c r="I97" s="8" t="str">
        <x:v>SYN-TEST-F009-BLD-WASTE</x:v>
      </x:c>
      <x:c r="J97" s="8" t="str"/>
      <x:c r="K97" s="8" t="str">
        <x:v>Taxonomy analyst 3</x:v>
      </x:c>
      <x:c r="L97" s="8" t="str">
        <x:v>Taxonomy reviewer 1</x:v>
      </x:c>
      <x:c r="M97" s="10" t="n">
        <x:v>46266</x:v>
      </x:c>
      <x:c r="N97" s="10" t="n">
        <x:v>46631</x:v>
      </x:c>
      <x:c r="O97" s="8"/>
      <x:c r="P97" s="9" t="str">
        <x:f>IF(C97="","",IF(AND(G97="Applicable",H97="Fail"),"Fail",IF(R97&lt;&gt;"Valid","Pending",IF(OR(I97="",K97="",L97="",K97=L97,NOT(ISNUMBER(M97)),NOT(ISNUMBER(N97)),M97&gt;Settings!$F$8,N97&lt;Settings!$F$8,N97&lt;M97),"Pending",IF(AND(G97="Applicable",H97="Pass"),"Pass",IF(AND(G97="N/A",H97="N/A",J97&lt;&gt;"",OR(E97="CEM-FUELS",E97="CEM-CCS",AND(E97="CEM-PLAN",IFERROR(INDEX('Taxonomy'!$M$9:$M$108,MATCH(D97,'Taxonomy'!$C$9:$C$108,0)),"")&lt;&gt;"Amber"),E97="BLD-TIMBER",AND(U97="Building equipment",OR(E97="BLD-WATER",E97="BLD-WASTE",E97="BLD-LAND")),AND(U97="Building renovation",E97="BLD-LAND"))),"N/A","Pending"))))))</x:f>
        <x:v>Pass</x:v>
      </x:c>
      <x:c r="Q97" s="3" t="str">
        <x:f>IF(C97="","",IF(AND(R97="Valid",OR(P97="Pass",P97="N/A")),"Complete","Unresolved"))</x:f>
        <x:v>Complete</x:v>
      </x:c>
      <x:c r="R97" s="9" t="str">
        <x:f>IF(C97="","",IF(OR(COUNTIF($C$9:$C$2008,C97)&lt;&gt;1,COUNTIFS($D$9:$D$2008,D97,$E$9:$E$2008,E97)&lt;&gt;1),"Duplicate test",IF(COUNTIF('Taxonomy'!$C$9:$C$108,D97)&lt;&gt;1,"Assessment key",IF(OR(COUNTIF('Taxonomy Rules'!$C$42:$C$68,E97)&lt;&gt;1,F97&lt;&gt;IFERROR(INDEX('Taxonomy Rules'!$D$42:$D$68,MATCH(E97,'Taxonomy Rules'!$C$42:$C$68,0)),""),NOT(OR(IFERROR(INDEX('Taxonomy Rules'!$G$42:$G$68,MATCH(E97,'Taxonomy Rules'!$C$42:$C$68,0)),"")="All supported routes",IFERROR(INDEX('Taxonomy Rules'!$G$42:$G$68,MATCH(E97,'Taxonomy Rules'!$C$42:$C$68,0)),"")=U97,AND(IFERROR(INDEX('Taxonomy Rules'!$G$42:$G$68,MATCH(E97,'Taxonomy Rules'!$C$42:$C$68,0)),"")="Building routes",OR(U97="Building renovation",U97="New building",U97="Building equipment"))))),"Unexpected test","Valid"))))</x:f>
        <x:v>Valid</x:v>
      </x:c>
      <x:c r="S97" s="9" t="str">
        <x:f>IF(C97="","",IFERROR(INDEX('Taxonomy Rules'!$E$42:$E$68,MATCH(E97,'Taxonomy Rules'!$C$42:$C$68,0)),""))</x:f>
        <x:v>At least 40% by weight nonhazardous construction/demolition waste recovered; soil/stone excluded.</x:v>
      </x:c>
      <x:c r="T97" s="9" t="str">
        <x:f>IF(C97="","",IFERROR(INDEX('Taxonomy Rules'!$F$42:$F$68,MATCH(E97,'Taxonomy Rules'!$C$42:$C$68,0)),""))</x:f>
        <x:v>S10 p133</x:v>
      </x:c>
      <x:c r="U97" s="9" t="str">
        <x:f>IF(C97="","",IFERROR(INDEX('Taxonomy'!$G$9:$G$108,MATCH(D97,'Taxonomy'!$C$9:$C$108,0)),""))</x:f>
        <x:v>Building renovation</x:v>
      </x:c>
    </x:row>
    <x:row r="98" ht="44" customHeight="1">
      <x:c r="A98" s="1"/>
      <x:c r="B98" s="1"/>
      <x:c r="C98" s="8" t="str">
        <x:v>TST-F009-BLD-TIMBER</x:v>
      </x:c>
      <x:c r="D98" s="8" t="str">
        <x:v>TAX-F009</x:v>
      </x:c>
      <x:c r="E98" s="8" t="str">
        <x:v>BLD-TIMBER</x:v>
      </x:c>
      <x:c r="F98" s="8" t="str">
        <x:v>DNSH</x:v>
      </x:c>
      <x:c r="G98" s="8" t="str">
        <x:v>Applicable</x:v>
      </x:c>
      <x:c r="H98" s="8" t="str">
        <x:v>Pass</x:v>
      </x:c>
      <x:c r="I98" s="8" t="str">
        <x:v>SYN-TEST-F009-BLD-TIMBER</x:v>
      </x:c>
      <x:c r="J98" s="8" t="str"/>
      <x:c r="K98" s="8" t="str">
        <x:v>Taxonomy analyst 3</x:v>
      </x:c>
      <x:c r="L98" s="8" t="str">
        <x:v>Taxonomy reviewer 1</x:v>
      </x:c>
      <x:c r="M98" s="10" t="n">
        <x:v>46266</x:v>
      </x:c>
      <x:c r="N98" s="10" t="n">
        <x:v>46631</x:v>
      </x:c>
      <x:c r="O98" s="8"/>
      <x:c r="P98" s="9" t="str">
        <x:f>IF(C98="","",IF(AND(G98="Applicable",H98="Fail"),"Fail",IF(R98&lt;&gt;"Valid","Pending",IF(OR(I98="",K98="",L98="",K98=L98,NOT(ISNUMBER(M98)),NOT(ISNUMBER(N98)),M98&gt;Settings!$F$8,N98&lt;Settings!$F$8,N98&lt;M98),"Pending",IF(AND(G98="Applicable",H98="Pass"),"Pass",IF(AND(G98="N/A",H98="N/A",J98&lt;&gt;"",OR(E98="CEM-FUELS",E98="CEM-CCS",AND(E98="CEM-PLAN",IFERROR(INDEX('Taxonomy'!$M$9:$M$108,MATCH(D98,'Taxonomy'!$C$9:$C$108,0)),"")&lt;&gt;"Amber"),E98="BLD-TIMBER",AND(U98="Building equipment",OR(E98="BLD-WATER",E98="BLD-WASTE",E98="BLD-LAND")),AND(U98="Building renovation",E98="BLD-LAND"))),"N/A","Pending"))))))</x:f>
        <x:v>Pass</x:v>
      </x:c>
      <x:c r="Q98" s="3" t="str">
        <x:f>IF(C98="","",IF(AND(R98="Valid",OR(P98="Pass",P98="N/A")),"Complete","Unresolved"))</x:f>
        <x:v>Complete</x:v>
      </x:c>
      <x:c r="R98" s="9" t="str">
        <x:f>IF(C98="","",IF(OR(COUNTIF($C$9:$C$2008,C98)&lt;&gt;1,COUNTIFS($D$9:$D$2008,D98,$E$9:$E$2008,E98)&lt;&gt;1),"Duplicate test",IF(COUNTIF('Taxonomy'!$C$9:$C$108,D98)&lt;&gt;1,"Assessment key",IF(OR(COUNTIF('Taxonomy Rules'!$C$42:$C$68,E98)&lt;&gt;1,F98&lt;&gt;IFERROR(INDEX('Taxonomy Rules'!$D$42:$D$68,MATCH(E98,'Taxonomy Rules'!$C$42:$C$68,0)),""),NOT(OR(IFERROR(INDEX('Taxonomy Rules'!$G$42:$G$68,MATCH(E98,'Taxonomy Rules'!$C$42:$C$68,0)),"")="All supported routes",IFERROR(INDEX('Taxonomy Rules'!$G$42:$G$68,MATCH(E98,'Taxonomy Rules'!$C$42:$C$68,0)),"")=U98,AND(IFERROR(INDEX('Taxonomy Rules'!$G$42:$G$68,MATCH(E98,'Taxonomy Rules'!$C$42:$C$68,0)),"")="Building routes",OR(U98="Building renovation",U98="New building",U98="Building equipment"))))),"Unexpected test","Valid"))))</x:f>
        <x:v>Valid</x:v>
      </x:c>
      <x:c r="S98" s="9" t="str">
        <x:f>IF(C98="","",IFERROR(INDEX('Taxonomy Rules'!$E$42:$E$68,MATCH(E98,'Taxonomy Rules'!$C$42:$C$68,0)),""))</x:f>
        <x:v>At least 70% timber recycled/reused or certified sustainably sourced; justified N/A if no timber.</x:v>
      </x:c>
      <x:c r="T98" s="9" t="str">
        <x:f>IF(C98="","",IFERROR(INDEX('Taxonomy Rules'!$F$42:$F$68,MATCH(E98,'Taxonomy Rules'!$C$42:$C$68,0)),""))</x:f>
        <x:v>S10 p133</x:v>
      </x:c>
      <x:c r="U98" s="9" t="str">
        <x:f>IF(C98="","",IFERROR(INDEX('Taxonomy'!$G$9:$G$108,MATCH(D98,'Taxonomy'!$C$9:$C$108,0)),""))</x:f>
        <x:v>Building renovation</x:v>
      </x:c>
    </x:row>
    <x:row r="99" ht="44" customHeight="1">
      <x:c r="A99" s="1"/>
      <x:c r="B99" s="1"/>
      <x:c r="C99" s="8" t="str">
        <x:v>TST-F009-BLD-LAND</x:v>
      </x:c>
      <x:c r="D99" s="8" t="str">
        <x:v>TAX-F009</x:v>
      </x:c>
      <x:c r="E99" s="8" t="str">
        <x:v>BLD-LAND</x:v>
      </x:c>
      <x:c r="F99" s="8" t="str">
        <x:v>DNSH</x:v>
      </x:c>
      <x:c r="G99" s="8" t="str">
        <x:v>Applicable</x:v>
      </x:c>
      <x:c r="H99" s="8" t="str">
        <x:v>Pass</x:v>
      </x:c>
      <x:c r="I99" s="8" t="str">
        <x:v>SYN-TEST-F009-BLD-LAND</x:v>
      </x:c>
      <x:c r="J99" s="8" t="str"/>
      <x:c r="K99" s="8" t="str">
        <x:v>Taxonomy analyst 3</x:v>
      </x:c>
      <x:c r="L99" s="8" t="str">
        <x:v>Taxonomy reviewer 1</x:v>
      </x:c>
      <x:c r="M99" s="10" t="n">
        <x:v>46266</x:v>
      </x:c>
      <x:c r="N99" s="10" t="n">
        <x:v>46631</x:v>
      </x:c>
      <x:c r="O99" s="8"/>
      <x:c r="P99" s="9" t="str">
        <x:f>IF(C99="","",IF(AND(G99="Applicable",H99="Fail"),"Fail",IF(R99&lt;&gt;"Valid","Pending",IF(OR(I99="",K99="",L99="",K99=L99,NOT(ISNUMBER(M99)),NOT(ISNUMBER(N99)),M99&gt;Settings!$F$8,N99&lt;Settings!$F$8,N99&lt;M99),"Pending",IF(AND(G99="Applicable",H99="Pass"),"Pass",IF(AND(G99="N/A",H99="N/A",J99&lt;&gt;"",OR(E99="CEM-FUELS",E99="CEM-CCS",AND(E99="CEM-PLAN",IFERROR(INDEX('Taxonomy'!$M$9:$M$108,MATCH(D99,'Taxonomy'!$C$9:$C$108,0)),"")&lt;&gt;"Amber"),E99="BLD-TIMBER",AND(U99="Building equipment",OR(E99="BLD-WATER",E99="BLD-WASTE",E99="BLD-LAND")),AND(U99="Building renovation",E99="BLD-LAND"))),"N/A","Pending"))))))</x:f>
        <x:v>Pass</x:v>
      </x:c>
      <x:c r="Q99" s="3" t="str">
        <x:f>IF(C99="","",IF(AND(R99="Valid",OR(P99="Pass",P99="N/A")),"Complete","Unresolved"))</x:f>
        <x:v>Complete</x:v>
      </x:c>
      <x:c r="R99" s="9" t="str">
        <x:f>IF(C99="","",IF(OR(COUNTIF($C$9:$C$2008,C99)&lt;&gt;1,COUNTIFS($D$9:$D$2008,D99,$E$9:$E$2008,E99)&lt;&gt;1),"Duplicate test",IF(COUNTIF('Taxonomy'!$C$9:$C$108,D99)&lt;&gt;1,"Assessment key",IF(OR(COUNTIF('Taxonomy Rules'!$C$42:$C$68,E99)&lt;&gt;1,F99&lt;&gt;IFERROR(INDEX('Taxonomy Rules'!$D$42:$D$68,MATCH(E99,'Taxonomy Rules'!$C$42:$C$68,0)),""),NOT(OR(IFERROR(INDEX('Taxonomy Rules'!$G$42:$G$68,MATCH(E99,'Taxonomy Rules'!$C$42:$C$68,0)),"")="All supported routes",IFERROR(INDEX('Taxonomy Rules'!$G$42:$G$68,MATCH(E99,'Taxonomy Rules'!$C$42:$C$68,0)),"")=U99,AND(IFERROR(INDEX('Taxonomy Rules'!$G$42:$G$68,MATCH(E99,'Taxonomy Rules'!$C$42:$C$68,0)),"")="Building routes",OR(U99="Building renovation",U99="New building",U99="Building equipment"))))),"Unexpected test","Valid"))))</x:f>
        <x:v>Valid</x:v>
      </x:c>
      <x:c r="S99" s="9" t="str">
        <x:f>IF(C99="","",IFERROR(INDEX('Taxonomy Rules'!$E$42:$E$68,MATCH(E99,'Taxonomy Rules'!$C$42:$C$68,0)),""))</x:f>
        <x:v>Protected habitats, endangered species and forest conversion exclusions assessed.</x:v>
      </x:c>
      <x:c r="T99" s="9" t="str">
        <x:f>IF(C99="","",IFERROR(INDEX('Taxonomy Rules'!$F$42:$F$68,MATCH(E99,'Taxonomy Rules'!$C$42:$C$68,0)),""))</x:f>
        <x:v>S10 p133</x:v>
      </x:c>
      <x:c r="U99" s="9" t="str">
        <x:f>IF(C99="","",IFERROR(INDEX('Taxonomy'!$G$9:$G$108,MATCH(D99,'Taxonomy'!$C$9:$C$108,0)),""))</x:f>
        <x:v>Building renovation</x:v>
      </x:c>
    </x:row>
    <x:row r="100" ht="44" customHeight="1">
      <x:c r="A100" s="1"/>
      <x:c r="B100" s="1"/>
      <x:c r="C100" s="8" t="str">
        <x:v>TST-F010-SC-EVIDENCE</x:v>
      </x:c>
      <x:c r="D100" s="8" t="str">
        <x:v>TAX-F010</x:v>
      </x:c>
      <x:c r="E100" s="8" t="str">
        <x:v>SC-EVIDENCE</x:v>
      </x:c>
      <x:c r="F100" s="8" t="str">
        <x:v>Technical</x:v>
      </x:c>
      <x:c r="G100" s="8" t="str">
        <x:v>Applicable</x:v>
      </x:c>
      <x:c r="H100" s="8" t="str">
        <x:v>Pass</x:v>
      </x:c>
      <x:c r="I100" s="8" t="str">
        <x:v>SYN-TEST-F010-SC-EVIDENCE</x:v>
      </x:c>
      <x:c r="J100" s="8" t="str"/>
      <x:c r="K100" s="8" t="str">
        <x:v>Taxonomy analyst 1</x:v>
      </x:c>
      <x:c r="L100" s="8" t="str">
        <x:v>Taxonomy reviewer 2</x:v>
      </x:c>
      <x:c r="M100" s="10" t="n">
        <x:v>46266</x:v>
      </x:c>
      <x:c r="N100" s="10" t="n">
        <x:v>46631</x:v>
      </x:c>
      <x:c r="O100" s="8"/>
      <x:c r="P100" s="9" t="str">
        <x:f>IF(C100="","",IF(AND(G100="Applicable",H100="Fail"),"Fail",IF(R100&lt;&gt;"Valid","Pending",IF(OR(I100="",K100="",L100="",K100=L100,NOT(ISNUMBER(M100)),NOT(ISNUMBER(N100)),M100&gt;Settings!$F$8,N100&lt;Settings!$F$8,N100&lt;M100),"Pending",IF(AND(G100="Applicable",H100="Pass"),"Pass",IF(AND(G100="N/A",H100="N/A",J100&lt;&gt;"",OR(E100="CEM-FUELS",E100="CEM-CCS",AND(E100="CEM-PLAN",IFERROR(INDEX('Taxonomy'!$M$9:$M$108,MATCH(D100,'Taxonomy'!$C$9:$C$108,0)),"")&lt;&gt;"Amber"),E100="BLD-TIMBER",AND(U100="Building equipment",OR(E100="BLD-WATER",E100="BLD-WASTE",E100="BLD-LAND")),AND(U100="Building renovation",E100="BLD-LAND"))),"N/A","Pending"))))))</x:f>
        <x:v>Pass</x:v>
      </x:c>
      <x:c r="Q100" s="3" t="str">
        <x:f>IF(C100="","",IF(AND(R100="Valid",OR(P100="Pass",P100="N/A")),"Complete","Unresolved"))</x:f>
        <x:v>Complete</x:v>
      </x:c>
      <x:c r="R100" s="9" t="str">
        <x:f>IF(C100="","",IF(OR(COUNTIF($C$9:$C$2008,C100)&lt;&gt;1,COUNTIFS($D$9:$D$2008,D100,$E$9:$E$2008,E100)&lt;&gt;1),"Duplicate test",IF(COUNTIF('Taxonomy'!$C$9:$C$108,D100)&lt;&gt;1,"Assessment key",IF(OR(COUNTIF('Taxonomy Rules'!$C$42:$C$68,E100)&lt;&gt;1,F100&lt;&gt;IFERROR(INDEX('Taxonomy Rules'!$D$42:$D$68,MATCH(E100,'Taxonomy Rules'!$C$42:$C$68,0)),""),NOT(OR(IFERROR(INDEX('Taxonomy Rules'!$G$42:$G$68,MATCH(E100,'Taxonomy Rules'!$C$42:$C$68,0)),"")="All supported routes",IFERROR(INDEX('Taxonomy Rules'!$G$42:$G$68,MATCH(E100,'Taxonomy Rules'!$C$42:$C$68,0)),"")=U100,AND(IFERROR(INDEX('Taxonomy Rules'!$G$42:$G$68,MATCH(E100,'Taxonomy Rules'!$C$42:$C$68,0)),"")="Building routes",OR(U100="Building renovation",U100="New building",U100="Building equipment"))))),"Unexpected test","Valid"))))</x:f>
        <x:v>Valid</x:v>
      </x:c>
      <x:c r="S100" s="9" t="str">
        <x:f>IF(C100="","",IFERROR(INDEX('Taxonomy Rules'!$E$42:$E$68,MATCH(E100,'Taxonomy Rules'!$C$42:$C$68,0)),""))</x:f>
        <x:v>Boundary and chosen route are evidenced; observations match the activity card.</x:v>
      </x:c>
      <x:c r="T100" s="9" t="str">
        <x:f>IF(C100="","",IFERROR(INDEX('Taxonomy Rules'!$F$42:$F$68,MATCH(E100,'Taxonomy Rules'!$C$42:$C$68,0)),""))</x:f>
        <x:v>S10 activity card</x:v>
      </x:c>
      <x:c r="U100" s="9" t="str">
        <x:f>IF(C100="","",IFERROR(INDEX('Taxonomy'!$G$9:$G$108,MATCH(D100,'Taxonomy'!$C$9:$C$108,0)),""))</x:f>
        <x:v>Building renovation</x:v>
      </x:c>
    </x:row>
    <x:row r="101" ht="44" customHeight="1">
      <x:c r="A101" s="1"/>
      <x:c r="B101" s="1"/>
      <x:c r="C101" s="8" t="str">
        <x:v>TST-F010-DNSH-MIT</x:v>
      </x:c>
      <x:c r="D101" s="8" t="str">
        <x:v>TAX-F010</x:v>
      </x:c>
      <x:c r="E101" s="8" t="str">
        <x:v>DNSH-MIT</x:v>
      </x:c>
      <x:c r="F101" s="8" t="str">
        <x:v>DNSH</x:v>
      </x:c>
      <x:c r="G101" s="8" t="str">
        <x:v>Applicable</x:v>
      </x:c>
      <x:c r="H101" s="8" t="str">
        <x:v>Pass</x:v>
      </x:c>
      <x:c r="I101" s="8" t="str">
        <x:v>SYN-TEST-F010-DNSH-MIT</x:v>
      </x:c>
      <x:c r="J101" s="8" t="str"/>
      <x:c r="K101" s="8" t="str">
        <x:v>Taxonomy analyst 1</x:v>
      </x:c>
      <x:c r="L101" s="8" t="str">
        <x:v>Taxonomy reviewer 2</x:v>
      </x:c>
      <x:c r="M101" s="10" t="n">
        <x:v>46266</x:v>
      </x:c>
      <x:c r="N101" s="10" t="n">
        <x:v>46631</x:v>
      </x:c>
      <x:c r="O101" s="8"/>
      <x:c r="P101" s="9" t="str">
        <x:f>IF(C101="","",IF(AND(G101="Applicable",H101="Fail"),"Fail",IF(R101&lt;&gt;"Valid","Pending",IF(OR(I101="",K101="",L101="",K101=L101,NOT(ISNUMBER(M101)),NOT(ISNUMBER(N101)),M101&gt;Settings!$F$8,N101&lt;Settings!$F$8,N101&lt;M101),"Pending",IF(AND(G101="Applicable",H101="Pass"),"Pass",IF(AND(G101="N/A",H101="N/A",J101&lt;&gt;"",OR(E101="CEM-FUELS",E101="CEM-CCS",AND(E101="CEM-PLAN",IFERROR(INDEX('Taxonomy'!$M$9:$M$108,MATCH(D101,'Taxonomy'!$C$9:$C$108,0)),"")&lt;&gt;"Amber"),E101="BLD-TIMBER",AND(U101="Building equipment",OR(E101="BLD-WATER",E101="BLD-WASTE",E101="BLD-LAND")),AND(U101="Building renovation",E101="BLD-LAND"))),"N/A","Pending"))))))</x:f>
        <x:v>Pass</x:v>
      </x:c>
      <x:c r="Q101" s="3" t="str">
        <x:f>IF(C101="","",IF(AND(R101="Valid",OR(P101="Pass",P101="N/A")),"Complete","Unresolved"))</x:f>
        <x:v>Complete</x:v>
      </x:c>
      <x:c r="R101" s="9" t="str">
        <x:f>IF(C101="","",IF(OR(COUNTIF($C$9:$C$2008,C101)&lt;&gt;1,COUNTIFS($D$9:$D$2008,D101,$E$9:$E$2008,E101)&lt;&gt;1),"Duplicate test",IF(COUNTIF('Taxonomy'!$C$9:$C$108,D101)&lt;&gt;1,"Assessment key",IF(OR(COUNTIF('Taxonomy Rules'!$C$42:$C$68,E101)&lt;&gt;1,F101&lt;&gt;IFERROR(INDEX('Taxonomy Rules'!$D$42:$D$68,MATCH(E101,'Taxonomy Rules'!$C$42:$C$68,0)),""),NOT(OR(IFERROR(INDEX('Taxonomy Rules'!$G$42:$G$68,MATCH(E101,'Taxonomy Rules'!$C$42:$C$68,0)),"")="All supported routes",IFERROR(INDEX('Taxonomy Rules'!$G$42:$G$68,MATCH(E101,'Taxonomy Rules'!$C$42:$C$68,0)),"")=U101,AND(IFERROR(INDEX('Taxonomy Rules'!$G$42:$G$68,MATCH(E101,'Taxonomy Rules'!$C$42:$C$68,0)),"")="Building routes",OR(U101="Building renovation",U101="New building",U101="Building equipment"))))),"Unexpected test","Valid"))))</x:f>
        <x:v>Valid</x:v>
      </x:c>
      <x:c r="S101" s="9" t="str">
        <x:f>IF(C101="","",IFERROR(INDEX('Taxonomy Rules'!$E$42:$E$68,MATCH(E101,'Taxonomy Rules'!$C$42:$C$68,0)),""))</x:f>
        <x:v>No avoidable fossil lock-in; material lifecycle effects assessed.</x:v>
      </x:c>
      <x:c r="T101" s="9" t="str">
        <x:f>IF(C101="","",IFERROR(INDEX('Taxonomy Rules'!$F$42:$F$68,MATCH(E101,'Taxonomy Rules'!$C$42:$C$68,0)),""))</x:f>
        <x:v>S10 p30</x:v>
      </x:c>
      <x:c r="U101" s="9" t="str">
        <x:f>IF(C101="","",IFERROR(INDEX('Taxonomy'!$G$9:$G$108,MATCH(D101,'Taxonomy'!$C$9:$C$108,0)),""))</x:f>
        <x:v>Building renovation</x:v>
      </x:c>
    </x:row>
    <x:row r="102" ht="44" customHeight="1">
      <x:c r="A102" s="1"/>
      <x:c r="B102" s="1"/>
      <x:c r="C102" s="8" t="str">
        <x:v>TST-F010-DNSH-ADAPT</x:v>
      </x:c>
      <x:c r="D102" s="8" t="str">
        <x:v>TAX-F010</x:v>
      </x:c>
      <x:c r="E102" s="8" t="str">
        <x:v>DNSH-ADAPT</x:v>
      </x:c>
      <x:c r="F102" s="8" t="str">
        <x:v>DNSH</x:v>
      </x:c>
      <x:c r="G102" s="8" t="str">
        <x:v>Applicable</x:v>
      </x:c>
      <x:c r="H102" s="8" t="str">
        <x:v>Pass</x:v>
      </x:c>
      <x:c r="I102" s="8" t="str">
        <x:v>SYN-TEST-F010-DNSH-ADAPT</x:v>
      </x:c>
      <x:c r="J102" s="8" t="str"/>
      <x:c r="K102" s="8" t="str">
        <x:v>Taxonomy analyst 1</x:v>
      </x:c>
      <x:c r="L102" s="8" t="str">
        <x:v>Taxonomy reviewer 2</x:v>
      </x:c>
      <x:c r="M102" s="10" t="n">
        <x:v>46266</x:v>
      </x:c>
      <x:c r="N102" s="10" t="n">
        <x:v>46631</x:v>
      </x:c>
      <x:c r="O102" s="8"/>
      <x:c r="P102" s="9" t="str">
        <x:f>IF(C102="","",IF(AND(G102="Applicable",H102="Fail"),"Fail",IF(R102&lt;&gt;"Valid","Pending",IF(OR(I102="",K102="",L102="",K102=L102,NOT(ISNUMBER(M102)),NOT(ISNUMBER(N102)),M102&gt;Settings!$F$8,N102&lt;Settings!$F$8,N102&lt;M102),"Pending",IF(AND(G102="Applicable",H102="Pass"),"Pass",IF(AND(G102="N/A",H102="N/A",J102&lt;&gt;"",OR(E102="CEM-FUELS",E102="CEM-CCS",AND(E102="CEM-PLAN",IFERROR(INDEX('Taxonomy'!$M$9:$M$108,MATCH(D102,'Taxonomy'!$C$9:$C$108,0)),"")&lt;&gt;"Amber"),E102="BLD-TIMBER",AND(U102="Building equipment",OR(E102="BLD-WATER",E102="BLD-WASTE",E102="BLD-LAND")),AND(U102="Building renovation",E102="BLD-LAND"))),"N/A","Pending"))))))</x:f>
        <x:v>Pass</x:v>
      </x:c>
      <x:c r="Q102" s="3" t="str">
        <x:f>IF(C102="","",IF(AND(R102="Valid",OR(P102="Pass",P102="N/A")),"Complete","Unresolved"))</x:f>
        <x:v>Complete</x:v>
      </x:c>
      <x:c r="R102" s="9" t="str">
        <x:f>IF(C102="","",IF(OR(COUNTIF($C$9:$C$2008,C102)&lt;&gt;1,COUNTIFS($D$9:$D$2008,D102,$E$9:$E$2008,E102)&lt;&gt;1),"Duplicate test",IF(COUNTIF('Taxonomy'!$C$9:$C$108,D102)&lt;&gt;1,"Assessment key",IF(OR(COUNTIF('Taxonomy Rules'!$C$42:$C$68,E102)&lt;&gt;1,F102&lt;&gt;IFERROR(INDEX('Taxonomy Rules'!$D$42:$D$68,MATCH(E102,'Taxonomy Rules'!$C$42:$C$68,0)),""),NOT(OR(IFERROR(INDEX('Taxonomy Rules'!$G$42:$G$68,MATCH(E102,'Taxonomy Rules'!$C$42:$C$68,0)),"")="All supported routes",IFERROR(INDEX('Taxonomy Rules'!$G$42:$G$68,MATCH(E102,'Taxonomy Rules'!$C$42:$C$68,0)),"")=U102,AND(IFERROR(INDEX('Taxonomy Rules'!$G$42:$G$68,MATCH(E102,'Taxonomy Rules'!$C$42:$C$68,0)),"")="Building routes",OR(U102="Building renovation",U102="New building",U102="Building equipment"))))),"Unexpected test","Valid"))))</x:f>
        <x:v>Valid</x:v>
      </x:c>
      <x:c r="S102" s="9" t="str">
        <x:f>IF(C102="","",IFERROR(INDEX('Taxonomy Rules'!$E$42:$E$68,MATCH(E102,'Taxonomy Rules'!$C$42:$C$68,0)),""))</x:f>
        <x:v>Lifetime hazard screen, material risk assessment and implemented adaptation; no harm to others.</x:v>
      </x:c>
      <x:c r="T102" s="9" t="str">
        <x:f>IF(C102="","",IFERROR(INDEX('Taxonomy Rules'!$F$42:$F$68,MATCH(E102,'Taxonomy Rules'!$C$42:$C$68,0)),""))</x:f>
        <x:v>S10 pp30–31</x:v>
      </x:c>
      <x:c r="U102" s="9" t="str">
        <x:f>IF(C102="","",IFERROR(INDEX('Taxonomy'!$G$9:$G$108,MATCH(D102,'Taxonomy'!$C$9:$C$108,0)),""))</x:f>
        <x:v>Building renovation</x:v>
      </x:c>
    </x:row>
    <x:row r="103" ht="44" customHeight="1">
      <x:c r="A103" s="1"/>
      <x:c r="B103" s="1"/>
      <x:c r="C103" s="8" t="str">
        <x:v>TST-F010-DNSH-WATER</x:v>
      </x:c>
      <x:c r="D103" s="8" t="str">
        <x:v>TAX-F010</x:v>
      </x:c>
      <x:c r="E103" s="8" t="str">
        <x:v>DNSH-WATER</x:v>
      </x:c>
      <x:c r="F103" s="8" t="str">
        <x:v>DNSH</x:v>
      </x:c>
      <x:c r="G103" s="8" t="str">
        <x:v>Applicable</x:v>
      </x:c>
      <x:c r="H103" s="8" t="str">
        <x:v>Pass</x:v>
      </x:c>
      <x:c r="I103" s="8" t="str">
        <x:v>SYN-TEST-F010-DNSH-WATER</x:v>
      </x:c>
      <x:c r="J103" s="8" t="str"/>
      <x:c r="K103" s="8" t="str">
        <x:v>Taxonomy analyst 1</x:v>
      </x:c>
      <x:c r="L103" s="8" t="str">
        <x:v>Taxonomy reviewer 2</x:v>
      </x:c>
      <x:c r="M103" s="10" t="n">
        <x:v>46266</x:v>
      </x:c>
      <x:c r="N103" s="10" t="n">
        <x:v>46631</x:v>
      </x:c>
      <x:c r="O103" s="8"/>
      <x:c r="P103" s="9" t="str">
        <x:f>IF(C103="","",IF(AND(G103="Applicable",H103="Fail"),"Fail",IF(R103&lt;&gt;"Valid","Pending",IF(OR(I103="",K103="",L103="",K103=L103,NOT(ISNUMBER(M103)),NOT(ISNUMBER(N103)),M103&gt;Settings!$F$8,N103&lt;Settings!$F$8,N103&lt;M103),"Pending",IF(AND(G103="Applicable",H103="Pass"),"Pass",IF(AND(G103="N/A",H103="N/A",J103&lt;&gt;"",OR(E103="CEM-FUELS",E103="CEM-CCS",AND(E103="CEM-PLAN",IFERROR(INDEX('Taxonomy'!$M$9:$M$108,MATCH(D103,'Taxonomy'!$C$9:$C$108,0)),"")&lt;&gt;"Amber"),E103="BLD-TIMBER",AND(U103="Building equipment",OR(E103="BLD-WATER",E103="BLD-WASTE",E103="BLD-LAND")),AND(U103="Building renovation",E103="BLD-LAND"))),"N/A","Pending"))))))</x:f>
        <x:v>Pass</x:v>
      </x:c>
      <x:c r="Q103" s="3" t="str">
        <x:f>IF(C103="","",IF(AND(R103="Valid",OR(P103="Pass",P103="N/A")),"Complete","Unresolved"))</x:f>
        <x:v>Complete</x:v>
      </x:c>
      <x:c r="R103" s="9" t="str">
        <x:f>IF(C103="","",IF(OR(COUNTIF($C$9:$C$2008,C103)&lt;&gt;1,COUNTIFS($D$9:$D$2008,D103,$E$9:$E$2008,E103)&lt;&gt;1),"Duplicate test",IF(COUNTIF('Taxonomy'!$C$9:$C$108,D103)&lt;&gt;1,"Assessment key",IF(OR(COUNTIF('Taxonomy Rules'!$C$42:$C$68,E103)&lt;&gt;1,F103&lt;&gt;IFERROR(INDEX('Taxonomy Rules'!$D$42:$D$68,MATCH(E103,'Taxonomy Rules'!$C$42:$C$68,0)),""),NOT(OR(IFERROR(INDEX('Taxonomy Rules'!$G$42:$G$68,MATCH(E103,'Taxonomy Rules'!$C$42:$C$68,0)),"")="All supported routes",IFERROR(INDEX('Taxonomy Rules'!$G$42:$G$68,MATCH(E103,'Taxonomy Rules'!$C$42:$C$68,0)),"")=U103,AND(IFERROR(INDEX('Taxonomy Rules'!$G$42:$G$68,MATCH(E103,'Taxonomy Rules'!$C$42:$C$68,0)),"")="Building routes",OR(U103="Building renovation",U103="New building",U103="Building equipment"))))),"Unexpected test","Valid"))))</x:f>
        <x:v>Valid</x:v>
      </x:c>
      <x:c r="S103" s="9" t="str">
        <x:f>IF(C103="","",IFERROR(INDEX('Taxonomy Rules'!$E$42:$E$68,MATCH(E103,'Taxonomy Rules'!$C$42:$C$68,0)),""))</x:f>
        <x:v>Water permits, abstraction/discharge limits, required assessments and management measures.</x:v>
      </x:c>
      <x:c r="T103" s="9" t="str">
        <x:f>IF(C103="","",IFERROR(INDEX('Taxonomy Rules'!$F$42:$F$68,MATCH(E103,'Taxonomy Rules'!$C$42:$C$68,0)),""))</x:f>
        <x:v>S10 p31</x:v>
      </x:c>
      <x:c r="U103" s="9" t="str">
        <x:f>IF(C103="","",IFERROR(INDEX('Taxonomy'!$G$9:$G$108,MATCH(D103,'Taxonomy'!$C$9:$C$108,0)),""))</x:f>
        <x:v>Building renovation</x:v>
      </x:c>
    </x:row>
    <x:row r="104" ht="44" customHeight="1">
      <x:c r="A104" s="1"/>
      <x:c r="B104" s="1"/>
      <x:c r="C104" s="8" t="str">
        <x:v>TST-F010-DNSH-POLL</x:v>
      </x:c>
      <x:c r="D104" s="8" t="str">
        <x:v>TAX-F010</x:v>
      </x:c>
      <x:c r="E104" s="8" t="str">
        <x:v>DNSH-POLL</x:v>
      </x:c>
      <x:c r="F104" s="8" t="str">
        <x:v>DNSH</x:v>
      </x:c>
      <x:c r="G104" s="8" t="str">
        <x:v>Applicable</x:v>
      </x:c>
      <x:c r="H104" s="8" t="str">
        <x:v>Pass</x:v>
      </x:c>
      <x:c r="I104" s="8" t="str">
        <x:v>SYN-TEST-F010-DNSH-POLL</x:v>
      </x:c>
      <x:c r="J104" s="8" t="str"/>
      <x:c r="K104" s="8" t="str">
        <x:v>Taxonomy analyst 1</x:v>
      </x:c>
      <x:c r="L104" s="8" t="str">
        <x:v>Taxonomy reviewer 2</x:v>
      </x:c>
      <x:c r="M104" s="10" t="n">
        <x:v>46266</x:v>
      </x:c>
      <x:c r="N104" s="10" t="n">
        <x:v>46631</x:v>
      </x:c>
      <x:c r="O104" s="8"/>
      <x:c r="P104" s="9" t="str">
        <x:f>IF(C104="","",IF(AND(G104="Applicable",H104="Fail"),"Fail",IF(R104&lt;&gt;"Valid","Pending",IF(OR(I104="",K104="",L104="",K104=L104,NOT(ISNUMBER(M104)),NOT(ISNUMBER(N104)),M104&gt;Settings!$F$8,N104&lt;Settings!$F$8,N104&lt;M104),"Pending",IF(AND(G104="Applicable",H104="Pass"),"Pass",IF(AND(G104="N/A",H104="N/A",J104&lt;&gt;"",OR(E104="CEM-FUELS",E104="CEM-CCS",AND(E104="CEM-PLAN",IFERROR(INDEX('Taxonomy'!$M$9:$M$108,MATCH(D104,'Taxonomy'!$C$9:$C$108,0)),"")&lt;&gt;"Amber"),E104="BLD-TIMBER",AND(U104="Building equipment",OR(E104="BLD-WATER",E104="BLD-WASTE",E104="BLD-LAND")),AND(U104="Building renovation",E104="BLD-LAND"))),"N/A","Pending"))))))</x:f>
        <x:v>Pass</x:v>
      </x:c>
      <x:c r="Q104" s="3" t="str">
        <x:f>IF(C104="","",IF(AND(R104="Valid",OR(P104="Pass",P104="N/A")),"Complete","Unresolved"))</x:f>
        <x:v>Complete</x:v>
      </x:c>
      <x:c r="R104" s="9" t="str">
        <x:f>IF(C104="","",IF(OR(COUNTIF($C$9:$C$2008,C104)&lt;&gt;1,COUNTIFS($D$9:$D$2008,D104,$E$9:$E$2008,E104)&lt;&gt;1),"Duplicate test",IF(COUNTIF('Taxonomy'!$C$9:$C$108,D104)&lt;&gt;1,"Assessment key",IF(OR(COUNTIF('Taxonomy Rules'!$C$42:$C$68,E104)&lt;&gt;1,F104&lt;&gt;IFERROR(INDEX('Taxonomy Rules'!$D$42:$D$68,MATCH(E104,'Taxonomy Rules'!$C$42:$C$68,0)),""),NOT(OR(IFERROR(INDEX('Taxonomy Rules'!$G$42:$G$68,MATCH(E104,'Taxonomy Rules'!$C$42:$C$68,0)),"")="All supported routes",IFERROR(INDEX('Taxonomy Rules'!$G$42:$G$68,MATCH(E104,'Taxonomy Rules'!$C$42:$C$68,0)),"")=U104,AND(IFERROR(INDEX('Taxonomy Rules'!$G$42:$G$68,MATCH(E104,'Taxonomy Rules'!$C$42:$C$68,0)),"")="Building routes",OR(U104="Building renovation",U104="New building",U104="Building equipment"))))),"Unexpected test","Valid"))))</x:f>
        <x:v>Valid</x:v>
      </x:c>
      <x:c r="S104" s="9" t="str">
        <x:f>IF(C104="","",IFERROR(INDEX('Taxonomy Rules'!$E$42:$E$68,MATCH(E104,'Taxonomy Rules'!$C$42:$C$68,0)),""))</x:f>
        <x:v>National pollution and prohibited-substance requirements; activity-specific limits.</x:v>
      </x:c>
      <x:c r="T104" s="9" t="str">
        <x:f>IF(C104="","",IFERROR(INDEX('Taxonomy Rules'!$F$42:$F$68,MATCH(E104,'Taxonomy Rules'!$C$42:$C$68,0)),""))</x:f>
        <x:v>S10 p31</x:v>
      </x:c>
      <x:c r="U104" s="9" t="str">
        <x:f>IF(C104="","",IFERROR(INDEX('Taxonomy'!$G$9:$G$108,MATCH(D104,'Taxonomy'!$C$9:$C$108,0)),""))</x:f>
        <x:v>Building renovation</x:v>
      </x:c>
    </x:row>
    <x:row r="105" ht="44" customHeight="1">
      <x:c r="A105" s="1"/>
      <x:c r="B105" s="1"/>
      <x:c r="C105" s="8" t="str">
        <x:v>TST-F010-DNSH-CIRC</x:v>
      </x:c>
      <x:c r="D105" s="8" t="str">
        <x:v>TAX-F010</x:v>
      </x:c>
      <x:c r="E105" s="8" t="str">
        <x:v>DNSH-CIRC</x:v>
      </x:c>
      <x:c r="F105" s="8" t="str">
        <x:v>DNSH</x:v>
      </x:c>
      <x:c r="G105" s="8" t="str">
        <x:v>Applicable</x:v>
      </x:c>
      <x:c r="H105" s="8" t="str">
        <x:v>Pass</x:v>
      </x:c>
      <x:c r="I105" s="8" t="str">
        <x:v>SYN-TEST-F010-DNSH-CIRC</x:v>
      </x:c>
      <x:c r="J105" s="8" t="str"/>
      <x:c r="K105" s="8" t="str">
        <x:v>Taxonomy analyst 1</x:v>
      </x:c>
      <x:c r="L105" s="8" t="str">
        <x:v>Taxonomy reviewer 2</x:v>
      </x:c>
      <x:c r="M105" s="10" t="n">
        <x:v>46266</x:v>
      </x:c>
      <x:c r="N105" s="10" t="n">
        <x:v>46631</x:v>
      </x:c>
      <x:c r="O105" s="8"/>
      <x:c r="P105" s="9" t="str">
        <x:f>IF(C105="","",IF(AND(G105="Applicable",H105="Fail"),"Fail",IF(R105&lt;&gt;"Valid","Pending",IF(OR(I105="",K105="",L105="",K105=L105,NOT(ISNUMBER(M105)),NOT(ISNUMBER(N105)),M105&gt;Settings!$F$8,N105&lt;Settings!$F$8,N105&lt;M105),"Pending",IF(AND(G105="Applicable",H105="Pass"),"Pass",IF(AND(G105="N/A",H105="N/A",J105&lt;&gt;"",OR(E105="CEM-FUELS",E105="CEM-CCS",AND(E105="CEM-PLAN",IFERROR(INDEX('Taxonomy'!$M$9:$M$108,MATCH(D105,'Taxonomy'!$C$9:$C$108,0)),"")&lt;&gt;"Amber"),E105="BLD-TIMBER",AND(U105="Building equipment",OR(E105="BLD-WATER",E105="BLD-WASTE",E105="BLD-LAND")),AND(U105="Building renovation",E105="BLD-LAND"))),"N/A","Pending"))))))</x:f>
        <x:v>Pass</x:v>
      </x:c>
      <x:c r="Q105" s="3" t="str">
        <x:f>IF(C105="","",IF(AND(R105="Valid",OR(P105="Pass",P105="N/A")),"Complete","Unresolved"))</x:f>
        <x:v>Complete</x:v>
      </x:c>
      <x:c r="R105" s="9" t="str">
        <x:f>IF(C105="","",IF(OR(COUNTIF($C$9:$C$2008,C105)&lt;&gt;1,COUNTIFS($D$9:$D$2008,D105,$E$9:$E$2008,E105)&lt;&gt;1),"Duplicate test",IF(COUNTIF('Taxonomy'!$C$9:$C$108,D105)&lt;&gt;1,"Assessment key",IF(OR(COUNTIF('Taxonomy Rules'!$C$42:$C$68,E105)&lt;&gt;1,F105&lt;&gt;IFERROR(INDEX('Taxonomy Rules'!$D$42:$D$68,MATCH(E105,'Taxonomy Rules'!$C$42:$C$68,0)),""),NOT(OR(IFERROR(INDEX('Taxonomy Rules'!$G$42:$G$68,MATCH(E105,'Taxonomy Rules'!$C$42:$C$68,0)),"")="All supported routes",IFERROR(INDEX('Taxonomy Rules'!$G$42:$G$68,MATCH(E105,'Taxonomy Rules'!$C$42:$C$68,0)),"")=U105,AND(IFERROR(INDEX('Taxonomy Rules'!$G$42:$G$68,MATCH(E105,'Taxonomy Rules'!$C$42:$C$68,0)),"")="Building routes",OR(U105="Building renovation",U105="New building",U105="Building equipment"))))),"Unexpected test","Valid"))))</x:f>
        <x:v>Valid</x:v>
      </x:c>
      <x:c r="S105" s="9" t="str">
        <x:f>IF(C105="","",IFERROR(INDEX('Taxonomy Rules'!$E$42:$E$68,MATCH(E105,'Taxonomy Rules'!$C$42:$C$68,0)),""))</x:f>
        <x:v>Waste hierarchy, resource efficiency, hazardous-waste traceability and end-of-life arrangements.</x:v>
      </x:c>
      <x:c r="T105" s="9" t="str">
        <x:f>IF(C105="","",IFERROR(INDEX('Taxonomy Rules'!$F$42:$F$68,MATCH(E105,'Taxonomy Rules'!$C$42:$C$68,0)),""))</x:f>
        <x:v>S10 p32</x:v>
      </x:c>
      <x:c r="U105" s="9" t="str">
        <x:f>IF(C105="","",IFERROR(INDEX('Taxonomy'!$G$9:$G$108,MATCH(D105,'Taxonomy'!$C$9:$C$108,0)),""))</x:f>
        <x:v>Building renovation</x:v>
      </x:c>
    </x:row>
    <x:row r="106" ht="44" customHeight="1">
      <x:c r="A106" s="1"/>
      <x:c r="B106" s="1"/>
      <x:c r="C106" s="8" t="str">
        <x:v>TST-F010-DNSH-BIO</x:v>
      </x:c>
      <x:c r="D106" s="8" t="str">
        <x:v>TAX-F010</x:v>
      </x:c>
      <x:c r="E106" s="8" t="str">
        <x:v>DNSH-BIO</x:v>
      </x:c>
      <x:c r="F106" s="8" t="str">
        <x:v>DNSH</x:v>
      </x:c>
      <x:c r="G106" s="8" t="str">
        <x:v>Applicable</x:v>
      </x:c>
      <x:c r="H106" s="8" t="str">
        <x:v>Pass</x:v>
      </x:c>
      <x:c r="I106" s="8" t="str">
        <x:v>SYN-TEST-F010-DNSH-BIO</x:v>
      </x:c>
      <x:c r="J106" s="8" t="str"/>
      <x:c r="K106" s="8" t="str">
        <x:v>Taxonomy analyst 1</x:v>
      </x:c>
      <x:c r="L106" s="8" t="str">
        <x:v>Taxonomy reviewer 2</x:v>
      </x:c>
      <x:c r="M106" s="10" t="n">
        <x:v>46266</x:v>
      </x:c>
      <x:c r="N106" s="10" t="n">
        <x:v>46631</x:v>
      </x:c>
      <x:c r="O106" s="8"/>
      <x:c r="P106" s="9" t="str">
        <x:f>IF(C106="","",IF(AND(G106="Applicable",H106="Fail"),"Fail",IF(R106&lt;&gt;"Valid","Pending",IF(OR(I106="",K106="",L106="",K106=L106,NOT(ISNUMBER(M106)),NOT(ISNUMBER(N106)),M106&gt;Settings!$F$8,N106&lt;Settings!$F$8,N106&lt;M106),"Pending",IF(AND(G106="Applicable",H106="Pass"),"Pass",IF(AND(G106="N/A",H106="N/A",J106&lt;&gt;"",OR(E106="CEM-FUELS",E106="CEM-CCS",AND(E106="CEM-PLAN",IFERROR(INDEX('Taxonomy'!$M$9:$M$108,MATCH(D106,'Taxonomy'!$C$9:$C$108,0)),"")&lt;&gt;"Amber"),E106="BLD-TIMBER",AND(U106="Building equipment",OR(E106="BLD-WATER",E106="BLD-WASTE",E106="BLD-LAND")),AND(U106="Building renovation",E106="BLD-LAND"))),"N/A","Pending"))))))</x:f>
        <x:v>Pass</x:v>
      </x:c>
      <x:c r="Q106" s="3" t="str">
        <x:f>IF(C106="","",IF(AND(R106="Valid",OR(P106="Pass",P106="N/A")),"Complete","Unresolved"))</x:f>
        <x:v>Complete</x:v>
      </x:c>
      <x:c r="R106" s="9" t="str">
        <x:f>IF(C106="","",IF(OR(COUNTIF($C$9:$C$2008,C106)&lt;&gt;1,COUNTIFS($D$9:$D$2008,D106,$E$9:$E$2008,E106)&lt;&gt;1),"Duplicate test",IF(COUNTIF('Taxonomy'!$C$9:$C$108,D106)&lt;&gt;1,"Assessment key",IF(OR(COUNTIF('Taxonomy Rules'!$C$42:$C$68,E106)&lt;&gt;1,F106&lt;&gt;IFERROR(INDEX('Taxonomy Rules'!$D$42:$D$68,MATCH(E106,'Taxonomy Rules'!$C$42:$C$68,0)),""),NOT(OR(IFERROR(INDEX('Taxonomy Rules'!$G$42:$G$68,MATCH(E106,'Taxonomy Rules'!$C$42:$C$68,0)),"")="All supported routes",IFERROR(INDEX('Taxonomy Rules'!$G$42:$G$68,MATCH(E106,'Taxonomy Rules'!$C$42:$C$68,0)),"")=U106,AND(IFERROR(INDEX('Taxonomy Rules'!$G$42:$G$68,MATCH(E106,'Taxonomy Rules'!$C$42:$C$68,0)),"")="Building routes",OR(U106="Building renovation",U106="New building",U106="Building equipment"))))),"Unexpected test","Valid"))))</x:f>
        <x:v>Valid</x:v>
      </x:c>
      <x:c r="S106" s="9" t="str">
        <x:f>IF(C106="","",IFERROR(INDEX('Taxonomy Rules'!$E$42:$E$68,MATCH(E106,'Taxonomy Rules'!$C$42:$C$68,0)),""))</x:f>
        <x:v>Required EIA, habitat screening and implemented mitigation.</x:v>
      </x:c>
      <x:c r="T106" s="9" t="str">
        <x:f>IF(C106="","",IFERROR(INDEX('Taxonomy Rules'!$F$42:$F$68,MATCH(E106,'Taxonomy Rules'!$C$42:$C$68,0)),""))</x:f>
        <x:v>S10 p32</x:v>
      </x:c>
      <x:c r="U106" s="9" t="str">
        <x:f>IF(C106="","",IFERROR(INDEX('Taxonomy'!$G$9:$G$108,MATCH(D106,'Taxonomy'!$C$9:$C$108,0)),""))</x:f>
        <x:v>Building renovation</x:v>
      </x:c>
    </x:row>
    <x:row r="107" ht="44" customHeight="1">
      <x:c r="A107" s="1"/>
      <x:c r="B107" s="1"/>
      <x:c r="C107" s="8" t="str">
        <x:v>TST-F010-MSS-LABOUR</x:v>
      </x:c>
      <x:c r="D107" s="8" t="str">
        <x:v>TAX-F010</x:v>
      </x:c>
      <x:c r="E107" s="8" t="str">
        <x:v>MSS-LABOUR</x:v>
      </x:c>
      <x:c r="F107" s="8" t="str">
        <x:v>MSS</x:v>
      </x:c>
      <x:c r="G107" s="8" t="str">
        <x:v>Applicable</x:v>
      </x:c>
      <x:c r="H107" s="8" t="str">
        <x:v>Pass</x:v>
      </x:c>
      <x:c r="I107" s="8" t="str">
        <x:v>SYN-TEST-F010-MSS-LABOUR</x:v>
      </x:c>
      <x:c r="J107" s="8" t="str"/>
      <x:c r="K107" s="8" t="str">
        <x:v>Taxonomy analyst 1</x:v>
      </x:c>
      <x:c r="L107" s="8" t="str">
        <x:v>Taxonomy reviewer 2</x:v>
      </x:c>
      <x:c r="M107" s="10" t="n">
        <x:v>46266</x:v>
      </x:c>
      <x:c r="N107" s="10" t="n">
        <x:v>46631</x:v>
      </x:c>
      <x:c r="O107" s="8"/>
      <x:c r="P107" s="9" t="str">
        <x:f>IF(C107="","",IF(AND(G107="Applicable",H107="Fail"),"Fail",IF(R107&lt;&gt;"Valid","Pending",IF(OR(I107="",K107="",L107="",K107=L107,NOT(ISNUMBER(M107)),NOT(ISNUMBER(N107)),M107&gt;Settings!$F$8,N107&lt;Settings!$F$8,N107&lt;M107),"Pending",IF(AND(G107="Applicable",H107="Pass"),"Pass",IF(AND(G107="N/A",H107="N/A",J107&lt;&gt;"",OR(E107="CEM-FUELS",E107="CEM-CCS",AND(E107="CEM-PLAN",IFERROR(INDEX('Taxonomy'!$M$9:$M$108,MATCH(D107,'Taxonomy'!$C$9:$C$108,0)),"")&lt;&gt;"Amber"),E107="BLD-TIMBER",AND(U107="Building equipment",OR(E107="BLD-WATER",E107="BLD-WASTE",E107="BLD-LAND")),AND(U107="Building renovation",E107="BLD-LAND"))),"N/A","Pending"))))))</x:f>
        <x:v>Pass</x:v>
      </x:c>
      <x:c r="Q107" s="3" t="str">
        <x:f>IF(C107="","",IF(AND(R107="Valid",OR(P107="Pass",P107="N/A")),"Complete","Unresolved"))</x:f>
        <x:v>Complete</x:v>
      </x:c>
      <x:c r="R107" s="9" t="str">
        <x:f>IF(C107="","",IF(OR(COUNTIF($C$9:$C$2008,C107)&lt;&gt;1,COUNTIFS($D$9:$D$2008,D107,$E$9:$E$2008,E107)&lt;&gt;1),"Duplicate test",IF(COUNTIF('Taxonomy'!$C$9:$C$108,D107)&lt;&gt;1,"Assessment key",IF(OR(COUNTIF('Taxonomy Rules'!$C$42:$C$68,E107)&lt;&gt;1,F107&lt;&gt;IFERROR(INDEX('Taxonomy Rules'!$D$42:$D$68,MATCH(E107,'Taxonomy Rules'!$C$42:$C$68,0)),""),NOT(OR(IFERROR(INDEX('Taxonomy Rules'!$G$42:$G$68,MATCH(E107,'Taxonomy Rules'!$C$42:$C$68,0)),"")="All supported routes",IFERROR(INDEX('Taxonomy Rules'!$G$42:$G$68,MATCH(E107,'Taxonomy Rules'!$C$42:$C$68,0)),"")=U107,AND(IFERROR(INDEX('Taxonomy Rules'!$G$42:$G$68,MATCH(E107,'Taxonomy Rules'!$C$42:$C$68,0)),"")="Building routes",OR(U107="Building renovation",U107="New building",U107="Building equipment"))))),"Unexpected test","Valid"))))</x:f>
        <x:v>Valid</x:v>
      </x:c>
      <x:c r="S107" s="9" t="str">
        <x:f>IF(C107="","",IFERROR(INDEX('Taxonomy Rules'!$E$42:$E$68,MATCH(E107,'Taxonomy Rules'!$C$42:$C$68,0)),""))</x:f>
        <x:v>Labour rights, minimum age, no child/forced labour, equality and worker representation.</x:v>
      </x:c>
      <x:c r="T107" s="9" t="str">
        <x:f>IF(C107="","",IFERROR(INDEX('Taxonomy Rules'!$F$42:$F$68,MATCH(E107,'Taxonomy Rules'!$C$42:$C$68,0)),""))</x:f>
        <x:v>S10 p29</x:v>
      </x:c>
      <x:c r="U107" s="9" t="str">
        <x:f>IF(C107="","",IFERROR(INDEX('Taxonomy'!$G$9:$G$108,MATCH(D107,'Taxonomy'!$C$9:$C$108,0)),""))</x:f>
        <x:v>Building renovation</x:v>
      </x:c>
    </x:row>
    <x:row r="108" ht="44" customHeight="1">
      <x:c r="A108" s="1"/>
      <x:c r="B108" s="1"/>
      <x:c r="C108" s="8" t="str">
        <x:v>TST-F010-MSS-OSH</x:v>
      </x:c>
      <x:c r="D108" s="8" t="str">
        <x:v>TAX-F010</x:v>
      </x:c>
      <x:c r="E108" s="8" t="str">
        <x:v>MSS-OSH</x:v>
      </x:c>
      <x:c r="F108" s="8" t="str">
        <x:v>MSS</x:v>
      </x:c>
      <x:c r="G108" s="8" t="str">
        <x:v>Applicable</x:v>
      </x:c>
      <x:c r="H108" s="8" t="str">
        <x:v>Pass</x:v>
      </x:c>
      <x:c r="I108" s="8" t="str">
        <x:v>SYN-TEST-F010-MSS-OSH</x:v>
      </x:c>
      <x:c r="J108" s="8" t="str"/>
      <x:c r="K108" s="8" t="str">
        <x:v>Taxonomy analyst 1</x:v>
      </x:c>
      <x:c r="L108" s="8" t="str">
        <x:v>Taxonomy reviewer 2</x:v>
      </x:c>
      <x:c r="M108" s="10" t="n">
        <x:v>46266</x:v>
      </x:c>
      <x:c r="N108" s="10" t="n">
        <x:v>46631</x:v>
      </x:c>
      <x:c r="O108" s="8"/>
      <x:c r="P108" s="9" t="str">
        <x:f>IF(C108="","",IF(AND(G108="Applicable",H108="Fail"),"Fail",IF(R108&lt;&gt;"Valid","Pending",IF(OR(I108="",K108="",L108="",K108=L108,NOT(ISNUMBER(M108)),NOT(ISNUMBER(N108)),M108&gt;Settings!$F$8,N108&lt;Settings!$F$8,N108&lt;M108),"Pending",IF(AND(G108="Applicable",H108="Pass"),"Pass",IF(AND(G108="N/A",H108="N/A",J108&lt;&gt;"",OR(E108="CEM-FUELS",E108="CEM-CCS",AND(E108="CEM-PLAN",IFERROR(INDEX('Taxonomy'!$M$9:$M$108,MATCH(D108,'Taxonomy'!$C$9:$C$108,0)),"")&lt;&gt;"Amber"),E108="BLD-TIMBER",AND(U108="Building equipment",OR(E108="BLD-WATER",E108="BLD-WASTE",E108="BLD-LAND")),AND(U108="Building renovation",E108="BLD-LAND"))),"N/A","Pending"))))))</x:f>
        <x:v>Pass</x:v>
      </x:c>
      <x:c r="Q108" s="3" t="str">
        <x:f>IF(C108="","",IF(AND(R108="Valid",OR(P108="Pass",P108="N/A")),"Complete","Unresolved"))</x:f>
        <x:v>Complete</x:v>
      </x:c>
      <x:c r="R108" s="9" t="str">
        <x:f>IF(C108="","",IF(OR(COUNTIF($C$9:$C$2008,C108)&lt;&gt;1,COUNTIFS($D$9:$D$2008,D108,$E$9:$E$2008,E108)&lt;&gt;1),"Duplicate test",IF(COUNTIF('Taxonomy'!$C$9:$C$108,D108)&lt;&gt;1,"Assessment key",IF(OR(COUNTIF('Taxonomy Rules'!$C$42:$C$68,E108)&lt;&gt;1,F108&lt;&gt;IFERROR(INDEX('Taxonomy Rules'!$D$42:$D$68,MATCH(E108,'Taxonomy Rules'!$C$42:$C$68,0)),""),NOT(OR(IFERROR(INDEX('Taxonomy Rules'!$G$42:$G$68,MATCH(E108,'Taxonomy Rules'!$C$42:$C$68,0)),"")="All supported routes",IFERROR(INDEX('Taxonomy Rules'!$G$42:$G$68,MATCH(E108,'Taxonomy Rules'!$C$42:$C$68,0)),"")=U108,AND(IFERROR(INDEX('Taxonomy Rules'!$G$42:$G$68,MATCH(E108,'Taxonomy Rules'!$C$42:$C$68,0)),"")="Building routes",OR(U108="Building renovation",U108="New building",U108="Building equipment"))))),"Unexpected test","Valid"))))</x:f>
        <x:v>Valid</x:v>
      </x:c>
      <x:c r="S108" s="9" t="str">
        <x:f>IF(C108="","",IFERROR(INDEX('Taxonomy Rules'!$E$42:$E$68,MATCH(E108,'Taxonomy Rules'!$C$42:$C$68,0)),""))</x:f>
        <x:v>Applicable occupational safety, hazard prevention and emergency readiness.</x:v>
      </x:c>
      <x:c r="T108" s="9" t="str">
        <x:f>IF(C108="","",IFERROR(INDEX('Taxonomy Rules'!$F$42:$F$68,MATCH(E108,'Taxonomy Rules'!$C$42:$C$68,0)),""))</x:f>
        <x:v>S10 p29</x:v>
      </x:c>
      <x:c r="U108" s="9" t="str">
        <x:f>IF(C108="","",IFERROR(INDEX('Taxonomy'!$G$9:$G$108,MATCH(D108,'Taxonomy'!$C$9:$C$108,0)),""))</x:f>
        <x:v>Building renovation</x:v>
      </x:c>
    </x:row>
    <x:row r="109" ht="44" customHeight="1">
      <x:c r="A109" s="1"/>
      <x:c r="B109" s="1"/>
      <x:c r="C109" s="8" t="str">
        <x:v>TST-F010-MSS-RIGHTS</x:v>
      </x:c>
      <x:c r="D109" s="8" t="str">
        <x:v>TAX-F010</x:v>
      </x:c>
      <x:c r="E109" s="8" t="str">
        <x:v>MSS-RIGHTS</x:v>
      </x:c>
      <x:c r="F109" s="8" t="str">
        <x:v>MSS</x:v>
      </x:c>
      <x:c r="G109" s="8" t="str">
        <x:v>Applicable</x:v>
      </x:c>
      <x:c r="H109" s="8" t="str">
        <x:v>Pass</x:v>
      </x:c>
      <x:c r="I109" s="8" t="str">
        <x:v>SYN-TEST-F010-MSS-RIGHTS</x:v>
      </x:c>
      <x:c r="J109" s="8" t="str"/>
      <x:c r="K109" s="8" t="str">
        <x:v>Taxonomy analyst 1</x:v>
      </x:c>
      <x:c r="L109" s="8" t="str">
        <x:v>Taxonomy reviewer 2</x:v>
      </x:c>
      <x:c r="M109" s="10" t="n">
        <x:v>46266</x:v>
      </x:c>
      <x:c r="N109" s="10" t="n">
        <x:v>46631</x:v>
      </x:c>
      <x:c r="O109" s="8"/>
      <x:c r="P109" s="9" t="str">
        <x:f>IF(C109="","",IF(AND(G109="Applicable",H109="Fail"),"Fail",IF(R109&lt;&gt;"Valid","Pending",IF(OR(I109="",K109="",L109="",K109=L109,NOT(ISNUMBER(M109)),NOT(ISNUMBER(N109)),M109&gt;Settings!$F$8,N109&lt;Settings!$F$8,N109&lt;M109),"Pending",IF(AND(G109="Applicable",H109="Pass"),"Pass",IF(AND(G109="N/A",H109="N/A",J109&lt;&gt;"",OR(E109="CEM-FUELS",E109="CEM-CCS",AND(E109="CEM-PLAN",IFERROR(INDEX('Taxonomy'!$M$9:$M$108,MATCH(D109,'Taxonomy'!$C$9:$C$108,0)),"")&lt;&gt;"Amber"),E109="BLD-TIMBER",AND(U109="Building equipment",OR(E109="BLD-WATER",E109="BLD-WASTE",E109="BLD-LAND")),AND(U109="Building renovation",E109="BLD-LAND"))),"N/A","Pending"))))))</x:f>
        <x:v>Pass</x:v>
      </x:c>
      <x:c r="Q109" s="3" t="str">
        <x:f>IF(C109="","",IF(AND(R109="Valid",OR(P109="Pass",P109="N/A")),"Complete","Unresolved"))</x:f>
        <x:v>Complete</x:v>
      </x:c>
      <x:c r="R109" s="9" t="str">
        <x:f>IF(C109="","",IF(OR(COUNTIF($C$9:$C$2008,C109)&lt;&gt;1,COUNTIFS($D$9:$D$2008,D109,$E$9:$E$2008,E109)&lt;&gt;1),"Duplicate test",IF(COUNTIF('Taxonomy'!$C$9:$C$108,D109)&lt;&gt;1,"Assessment key",IF(OR(COUNTIF('Taxonomy Rules'!$C$42:$C$68,E109)&lt;&gt;1,F109&lt;&gt;IFERROR(INDEX('Taxonomy Rules'!$D$42:$D$68,MATCH(E109,'Taxonomy Rules'!$C$42:$C$68,0)),""),NOT(OR(IFERROR(INDEX('Taxonomy Rules'!$G$42:$G$68,MATCH(E109,'Taxonomy Rules'!$C$42:$C$68,0)),"")="All supported routes",IFERROR(INDEX('Taxonomy Rules'!$G$42:$G$68,MATCH(E109,'Taxonomy Rules'!$C$42:$C$68,0)),"")=U109,AND(IFERROR(INDEX('Taxonomy Rules'!$G$42:$G$68,MATCH(E109,'Taxonomy Rules'!$C$42:$C$68,0)),"")="Building routes",OR(U109="Building renovation",U109="New building",U109="Building equipment"))))),"Unexpected test","Valid"))))</x:f>
        <x:v>Valid</x:v>
      </x:c>
      <x:c r="S109" s="9" t="str">
        <x:f>IF(C109="","",IFERROR(INDEX('Taxonomy Rules'!$E$42:$E$68,MATCH(E109,'Taxonomy Rules'!$C$42:$C$68,0)),""))</x:f>
        <x:v>Proportionate human-rights diligence, stakeholder/social-impact process and grievance mechanism.</x:v>
      </x:c>
      <x:c r="T109" s="9" t="str">
        <x:f>IF(C109="","",IFERROR(INDEX('Taxonomy Rules'!$F$42:$F$68,MATCH(E109,'Taxonomy Rules'!$C$42:$C$68,0)),""))</x:f>
        <x:v>S10 p29</x:v>
      </x:c>
      <x:c r="U109" s="9" t="str">
        <x:f>IF(C109="","",IFERROR(INDEX('Taxonomy'!$G$9:$G$108,MATCH(D109,'Taxonomy'!$C$9:$C$108,0)),""))</x:f>
        <x:v>Building renovation</x:v>
      </x:c>
    </x:row>
    <x:row r="110" ht="44" customHeight="1">
      <x:c r="A110" s="1"/>
      <x:c r="B110" s="1"/>
      <x:c r="C110" s="8" t="str">
        <x:v>TST-F010-REN-METHOD</x:v>
      </x:c>
      <x:c r="D110" s="8" t="str">
        <x:v>TAX-F010</x:v>
      </x:c>
      <x:c r="E110" s="8" t="str">
        <x:v>REN-METHOD</x:v>
      </x:c>
      <x:c r="F110" s="8" t="str">
        <x:v>Technical</x:v>
      </x:c>
      <x:c r="G110" s="8" t="str">
        <x:v>Applicable</x:v>
      </x:c>
      <x:c r="H110" s="8" t="str">
        <x:v>Pass</x:v>
      </x:c>
      <x:c r="I110" s="8" t="str">
        <x:v>SYN-TEST-F010-REN-METHOD</x:v>
      </x:c>
      <x:c r="J110" s="8" t="str"/>
      <x:c r="K110" s="8" t="str">
        <x:v>Taxonomy analyst 1</x:v>
      </x:c>
      <x:c r="L110" s="8" t="str">
        <x:v>Taxonomy reviewer 2</x:v>
      </x:c>
      <x:c r="M110" s="10" t="n">
        <x:v>46266</x:v>
      </x:c>
      <x:c r="N110" s="10" t="n">
        <x:v>46631</x:v>
      </x:c>
      <x:c r="O110" s="8"/>
      <x:c r="P110" s="9" t="str">
        <x:f>IF(C110="","",IF(AND(G110="Applicable",H110="Fail"),"Fail",IF(R110&lt;&gt;"Valid","Pending",IF(OR(I110="",K110="",L110="",K110=L110,NOT(ISNUMBER(M110)),NOT(ISNUMBER(N110)),M110&gt;Settings!$F$8,N110&lt;Settings!$F$8,N110&lt;M110),"Pending",IF(AND(G110="Applicable",H110="Pass"),"Pass",IF(AND(G110="N/A",H110="N/A",J110&lt;&gt;"",OR(E110="CEM-FUELS",E110="CEM-CCS",AND(E110="CEM-PLAN",IFERROR(INDEX('Taxonomy'!$M$9:$M$108,MATCH(D110,'Taxonomy'!$C$9:$C$108,0)),"")&lt;&gt;"Amber"),E110="BLD-TIMBER",AND(U110="Building equipment",OR(E110="BLD-WATER",E110="BLD-WASTE",E110="BLD-LAND")),AND(U110="Building renovation",E110="BLD-LAND"))),"N/A","Pending"))))))</x:f>
        <x:v>Pass</x:v>
      </x:c>
      <x:c r="Q110" s="3" t="str">
        <x:f>IF(C110="","",IF(AND(R110="Valid",OR(P110="Pass",P110="N/A")),"Complete","Unresolved"))</x:f>
        <x:v>Complete</x:v>
      </x:c>
      <x:c r="R110" s="9" t="str">
        <x:f>IF(C110="","",IF(OR(COUNTIF($C$9:$C$2008,C110)&lt;&gt;1,COUNTIFS($D$9:$D$2008,D110,$E$9:$E$2008,E110)&lt;&gt;1),"Duplicate test",IF(COUNTIF('Taxonomy'!$C$9:$C$108,D110)&lt;&gt;1,"Assessment key",IF(OR(COUNTIF('Taxonomy Rules'!$C$42:$C$68,E110)&lt;&gt;1,F110&lt;&gt;IFERROR(INDEX('Taxonomy Rules'!$D$42:$D$68,MATCH(E110,'Taxonomy Rules'!$C$42:$C$68,0)),""),NOT(OR(IFERROR(INDEX('Taxonomy Rules'!$G$42:$G$68,MATCH(E110,'Taxonomy Rules'!$C$42:$C$68,0)),"")="All supported routes",IFERROR(INDEX('Taxonomy Rules'!$G$42:$G$68,MATCH(E110,'Taxonomy Rules'!$C$42:$C$68,0)),"")=U110,AND(IFERROR(INDEX('Taxonomy Rules'!$G$42:$G$68,MATCH(E110,'Taxonomy Rules'!$C$42:$C$68,0)),"")="Building routes",OR(U110="Building renovation",U110="New building",U110="Building equipment"))))),"Unexpected test","Valid"))))</x:f>
        <x:v>Valid</x:v>
      </x:c>
      <x:c r="S110" s="9" t="str">
        <x:f>IF(C110="","",IFERROR(INDEX('Taxonomy Rules'!$E$42:$E$68,MATCH(E110,'Taxonomy Rules'!$C$42:$C$68,0)),""))</x:f>
        <x:v>Whole-building baseline adjusted for occupancy/weather; recognised method for floor area at least 1,000 m².</x:v>
      </x:c>
      <x:c r="T110" s="9" t="str">
        <x:f>IF(C110="","",IFERROR(INDEX('Taxonomy Rules'!$F$42:$F$68,MATCH(E110,'Taxonomy Rules'!$C$42:$C$68,0)),""))</x:f>
        <x:v>S10 p136</x:v>
      </x:c>
      <x:c r="U110" s="9" t="str">
        <x:f>IF(C110="","",IFERROR(INDEX('Taxonomy'!$G$9:$G$108,MATCH(D110,'Taxonomy'!$C$9:$C$108,0)),""))</x:f>
        <x:v>Building renovation</x:v>
      </x:c>
    </x:row>
    <x:row r="111" ht="44" customHeight="1">
      <x:c r="A111" s="1"/>
      <x:c r="B111" s="1"/>
      <x:c r="C111" s="8" t="str">
        <x:v>TST-F010-REN-ROUTE</x:v>
      </x:c>
      <x:c r="D111" s="8" t="str">
        <x:v>TAX-F010</x:v>
      </x:c>
      <x:c r="E111" s="8" t="str">
        <x:v>REN-ROUTE</x:v>
      </x:c>
      <x:c r="F111" s="8" t="str">
        <x:v>Technical</x:v>
      </x:c>
      <x:c r="G111" s="8" t="str">
        <x:v>Applicable</x:v>
      </x:c>
      <x:c r="H111" s="8" t="str">
        <x:v>Pass</x:v>
      </x:c>
      <x:c r="I111" s="8" t="str">
        <x:v>SYN-TEST-F010-REN-ROUTE</x:v>
      </x:c>
      <x:c r="J111" s="8" t="str"/>
      <x:c r="K111" s="8" t="str">
        <x:v>Taxonomy analyst 1</x:v>
      </x:c>
      <x:c r="L111" s="8" t="str">
        <x:v>Taxonomy reviewer 2</x:v>
      </x:c>
      <x:c r="M111" s="10" t="n">
        <x:v>46266</x:v>
      </x:c>
      <x:c r="N111" s="10" t="n">
        <x:v>46631</x:v>
      </x:c>
      <x:c r="O111" s="8"/>
      <x:c r="P111" s="9" t="str">
        <x:f>IF(C111="","",IF(AND(G111="Applicable",H111="Fail"),"Fail",IF(R111&lt;&gt;"Valid","Pending",IF(OR(I111="",K111="",L111="",K111=L111,NOT(ISNUMBER(M111)),NOT(ISNUMBER(N111)),M111&gt;Settings!$F$8,N111&lt;Settings!$F$8,N111&lt;M111),"Pending",IF(AND(G111="Applicable",H111="Pass"),"Pass",IF(AND(G111="N/A",H111="N/A",J111&lt;&gt;"",OR(E111="CEM-FUELS",E111="CEM-CCS",AND(E111="CEM-PLAN",IFERROR(INDEX('Taxonomy'!$M$9:$M$108,MATCH(D111,'Taxonomy'!$C$9:$C$108,0)),"")&lt;&gt;"Amber"),E111="BLD-TIMBER",AND(U111="Building equipment",OR(E111="BLD-WATER",E111="BLD-WASTE",E111="BLD-LAND")),AND(U111="Building renovation",E111="BLD-LAND"))),"N/A","Pending"))))))</x:f>
        <x:v>Pass</x:v>
      </x:c>
      <x:c r="Q111" s="3" t="str">
        <x:f>IF(C111="","",IF(AND(R111="Valid",OR(P111="Pass",P111="N/A")),"Complete","Unresolved"))</x:f>
        <x:v>Complete</x:v>
      </x:c>
      <x:c r="R111" s="9" t="str">
        <x:f>IF(C111="","",IF(OR(COUNTIF($C$9:$C$2008,C111)&lt;&gt;1,COUNTIFS($D$9:$D$2008,D111,$E$9:$E$2008,E111)&lt;&gt;1),"Duplicate test",IF(COUNTIF('Taxonomy'!$C$9:$C$108,D111)&lt;&gt;1,"Assessment key",IF(OR(COUNTIF('Taxonomy Rules'!$C$42:$C$68,E111)&lt;&gt;1,F111&lt;&gt;IFERROR(INDEX('Taxonomy Rules'!$D$42:$D$68,MATCH(E111,'Taxonomy Rules'!$C$42:$C$68,0)),""),NOT(OR(IFERROR(INDEX('Taxonomy Rules'!$G$42:$G$68,MATCH(E111,'Taxonomy Rules'!$C$42:$C$68,0)),"")="All supported routes",IFERROR(INDEX('Taxonomy Rules'!$G$42:$G$68,MATCH(E111,'Taxonomy Rules'!$C$42:$C$68,0)),"")=U111,AND(IFERROR(INDEX('Taxonomy Rules'!$G$42:$G$68,MATCH(E111,'Taxonomy Rules'!$C$42:$C$68,0)),"")="Building routes",OR(U111="Building renovation",U111="New building",U111="Building equipment"))))),"Unexpected test","Valid"))))</x:f>
        <x:v>Valid</x:v>
      </x:c>
      <x:c r="S111" s="9" t="str">
        <x:f>IF(C111="","",IFERROR(INDEX('Taxonomy Rules'!$E$42:$E$68,MATCH(E111,'Taxonomy Rules'!$C$42:$C$68,0)),""))</x:f>
        <x:v>Whole-building Green requires new-building criteria; Amber improvement route is separate. Certification not required solely for Amber.</x:v>
      </x:c>
      <x:c r="T111" s="9" t="str">
        <x:f>IF(C111="","",IFERROR(INDEX('Taxonomy Rules'!$F$42:$F$68,MATCH(E111,'Taxonomy Rules'!$C$42:$C$68,0)),""))</x:f>
        <x:v>S10 pp131,136</x:v>
      </x:c>
      <x:c r="U111" s="9" t="str">
        <x:f>IF(C111="","",IFERROR(INDEX('Taxonomy'!$G$9:$G$108,MATCH(D111,'Taxonomy'!$C$9:$C$108,0)),""))</x:f>
        <x:v>Building renovation</x:v>
      </x:c>
    </x:row>
    <x:row r="112" ht="44" customHeight="1">
      <x:c r="A112" s="1"/>
      <x:c r="B112" s="1"/>
      <x:c r="C112" s="8" t="str">
        <x:v>TST-F010-BLD-WATER</x:v>
      </x:c>
      <x:c r="D112" s="8" t="str">
        <x:v>TAX-F010</x:v>
      </x:c>
      <x:c r="E112" s="8" t="str">
        <x:v>BLD-WATER</x:v>
      </x:c>
      <x:c r="F112" s="8" t="str">
        <x:v>DNSH</x:v>
      </x:c>
      <x:c r="G112" s="8" t="str">
        <x:v>Applicable</x:v>
      </x:c>
      <x:c r="H112" s="8" t="str">
        <x:v>Pass</x:v>
      </x:c>
      <x:c r="I112" s="8" t="str">
        <x:v>SYN-TEST-F010-BLD-WATER</x:v>
      </x:c>
      <x:c r="J112" s="8" t="str"/>
      <x:c r="K112" s="8" t="str">
        <x:v>Taxonomy analyst 1</x:v>
      </x:c>
      <x:c r="L112" s="8" t="str">
        <x:v>Taxonomy reviewer 2</x:v>
      </x:c>
      <x:c r="M112" s="10" t="n">
        <x:v>46266</x:v>
      </x:c>
      <x:c r="N112" s="10" t="n">
        <x:v>46631</x:v>
      </x:c>
      <x:c r="O112" s="8"/>
      <x:c r="P112" s="9" t="str">
        <x:f>IF(C112="","",IF(AND(G112="Applicable",H112="Fail"),"Fail",IF(R112&lt;&gt;"Valid","Pending",IF(OR(I112="",K112="",L112="",K112=L112,NOT(ISNUMBER(M112)),NOT(ISNUMBER(N112)),M112&gt;Settings!$F$8,N112&lt;Settings!$F$8,N112&lt;M112),"Pending",IF(AND(G112="Applicable",H112="Pass"),"Pass",IF(AND(G112="N/A",H112="N/A",J112&lt;&gt;"",OR(E112="CEM-FUELS",E112="CEM-CCS",AND(E112="CEM-PLAN",IFERROR(INDEX('Taxonomy'!$M$9:$M$108,MATCH(D112,'Taxonomy'!$C$9:$C$108,0)),"")&lt;&gt;"Amber"),E112="BLD-TIMBER",AND(U112="Building equipment",OR(E112="BLD-WATER",E112="BLD-WASTE",E112="BLD-LAND")),AND(U112="Building renovation",E112="BLD-LAND"))),"N/A","Pending"))))))</x:f>
        <x:v>Pass</x:v>
      </x:c>
      <x:c r="Q112" s="3" t="str">
        <x:f>IF(C112="","",IF(AND(R112="Valid",OR(P112="Pass",P112="N/A")),"Complete","Unresolved"))</x:f>
        <x:v>Complete</x:v>
      </x:c>
      <x:c r="R112" s="9" t="str">
        <x:f>IF(C112="","",IF(OR(COUNTIF($C$9:$C$2008,C112)&lt;&gt;1,COUNTIFS($D$9:$D$2008,D112,$E$9:$E$2008,E112)&lt;&gt;1),"Duplicate test",IF(COUNTIF('Taxonomy'!$C$9:$C$108,D112)&lt;&gt;1,"Assessment key",IF(OR(COUNTIF('Taxonomy Rules'!$C$42:$C$68,E112)&lt;&gt;1,F112&lt;&gt;IFERROR(INDEX('Taxonomy Rules'!$D$42:$D$68,MATCH(E112,'Taxonomy Rules'!$C$42:$C$68,0)),""),NOT(OR(IFERROR(INDEX('Taxonomy Rules'!$G$42:$G$68,MATCH(E112,'Taxonomy Rules'!$C$42:$C$68,0)),"")="All supported routes",IFERROR(INDEX('Taxonomy Rules'!$G$42:$G$68,MATCH(E112,'Taxonomy Rules'!$C$42:$C$68,0)),"")=U112,AND(IFERROR(INDEX('Taxonomy Rules'!$G$42:$G$68,MATCH(E112,'Taxonomy Rules'!$C$42:$C$68,0)),"")="Building routes",OR(U112="Building renovation",U112="New building",U112="Building equipment"))))),"Unexpected test","Valid"))))</x:f>
        <x:v>Valid</x:v>
      </x:c>
      <x:c r="S112" s="9" t="str">
        <x:f>IF(C112="","",IFERROR(INDEX('Taxonomy Rules'!$E$42:$E$68,MATCH(E112,'Taxonomy Rules'!$C$42:$C$68,0)),""))</x:f>
        <x:v>Compliant water fittings under JSMO / recognised water-efficiency standards.</x:v>
      </x:c>
      <x:c r="T112" s="9" t="str">
        <x:f>IF(C112="","",IFERROR(INDEX('Taxonomy Rules'!$F$42:$F$68,MATCH(E112,'Taxonomy Rules'!$C$42:$C$68,0)),""))</x:f>
        <x:v>S10 p132</x:v>
      </x:c>
      <x:c r="U112" s="9" t="str">
        <x:f>IF(C112="","",IFERROR(INDEX('Taxonomy'!$G$9:$G$108,MATCH(D112,'Taxonomy'!$C$9:$C$108,0)),""))</x:f>
        <x:v>Building renovation</x:v>
      </x:c>
    </x:row>
    <x:row r="113" ht="44" customHeight="1">
      <x:c r="A113" s="1"/>
      <x:c r="B113" s="1"/>
      <x:c r="C113" s="8" t="str">
        <x:v>TST-F010-BLD-MATERIALS</x:v>
      </x:c>
      <x:c r="D113" s="8" t="str">
        <x:v>TAX-F010</x:v>
      </x:c>
      <x:c r="E113" s="8" t="str">
        <x:v>BLD-MATERIALS</x:v>
      </x:c>
      <x:c r="F113" s="8" t="str">
        <x:v>DNSH</x:v>
      </x:c>
      <x:c r="G113" s="8" t="str">
        <x:v>Applicable</x:v>
      </x:c>
      <x:c r="H113" s="8" t="str">
        <x:v>Pass</x:v>
      </x:c>
      <x:c r="I113" s="8" t="str">
        <x:v>SYN-TEST-F010-BLD-MATERIALS</x:v>
      </x:c>
      <x:c r="J113" s="8" t="str"/>
      <x:c r="K113" s="8" t="str">
        <x:v>Taxonomy analyst 1</x:v>
      </x:c>
      <x:c r="L113" s="8" t="str">
        <x:v>Taxonomy reviewer 2</x:v>
      </x:c>
      <x:c r="M113" s="10" t="n">
        <x:v>46266</x:v>
      </x:c>
      <x:c r="N113" s="10" t="n">
        <x:v>46631</x:v>
      </x:c>
      <x:c r="O113" s="8"/>
      <x:c r="P113" s="9" t="str">
        <x:f>IF(C113="","",IF(AND(G113="Applicable",H113="Fail"),"Fail",IF(R113&lt;&gt;"Valid","Pending",IF(OR(I113="",K113="",L113="",K113=L113,NOT(ISNUMBER(M113)),NOT(ISNUMBER(N113)),M113&gt;Settings!$F$8,N113&lt;Settings!$F$8,N113&lt;M113),"Pending",IF(AND(G113="Applicable",H113="Pass"),"Pass",IF(AND(G113="N/A",H113="N/A",J113&lt;&gt;"",OR(E113="CEM-FUELS",E113="CEM-CCS",AND(E113="CEM-PLAN",IFERROR(INDEX('Taxonomy'!$M$9:$M$108,MATCH(D113,'Taxonomy'!$C$9:$C$108,0)),"")&lt;&gt;"Amber"),E113="BLD-TIMBER",AND(U113="Building equipment",OR(E113="BLD-WATER",E113="BLD-WASTE",E113="BLD-LAND")),AND(U113="Building renovation",E113="BLD-LAND"))),"N/A","Pending"))))))</x:f>
        <x:v>Pass</x:v>
      </x:c>
      <x:c r="Q113" s="3" t="str">
        <x:f>IF(C113="","",IF(AND(R113="Valid",OR(P113="Pass",P113="N/A")),"Complete","Unresolved"))</x:f>
        <x:v>Complete</x:v>
      </x:c>
      <x:c r="R113" s="9" t="str">
        <x:f>IF(C113="","",IF(OR(COUNTIF($C$9:$C$2008,C113)&lt;&gt;1,COUNTIFS($D$9:$D$2008,D113,$E$9:$E$2008,E113)&lt;&gt;1),"Duplicate test",IF(COUNTIF('Taxonomy'!$C$9:$C$108,D113)&lt;&gt;1,"Assessment key",IF(OR(COUNTIF('Taxonomy Rules'!$C$42:$C$68,E113)&lt;&gt;1,F113&lt;&gt;IFERROR(INDEX('Taxonomy Rules'!$D$42:$D$68,MATCH(E113,'Taxonomy Rules'!$C$42:$C$68,0)),""),NOT(OR(IFERROR(INDEX('Taxonomy Rules'!$G$42:$G$68,MATCH(E113,'Taxonomy Rules'!$C$42:$C$68,0)),"")="All supported routes",IFERROR(INDEX('Taxonomy Rules'!$G$42:$G$68,MATCH(E113,'Taxonomy Rules'!$C$42:$C$68,0)),"")=U113,AND(IFERROR(INDEX('Taxonomy Rules'!$G$42:$G$68,MATCH(E113,'Taxonomy Rules'!$C$42:$C$68,0)),"")="Building routes",OR(U113="Building renovation",U113="New building",U113="Building equipment"))))),"Unexpected test","Valid"))))</x:f>
        <x:v>Valid</x:v>
      </x:c>
      <x:c r="S113" s="9" t="str">
        <x:f>IF(C113="","",IFERROR(INDEX('Taxonomy Rules'!$E$42:$E$68,MATCH(E113,'Taxonomy Rules'!$C$42:$C$68,0)),""))</x:f>
        <x:v>No asbestos; controlled hazardous substances; contamination and indoor-air checks as applicable.</x:v>
      </x:c>
      <x:c r="T113" s="9" t="str">
        <x:f>IF(C113="","",IFERROR(INDEX('Taxonomy Rules'!$F$42:$F$68,MATCH(E113,'Taxonomy Rules'!$C$42:$C$68,0)),""))</x:f>
        <x:v>S10 pp132–133</x:v>
      </x:c>
      <x:c r="U113" s="9" t="str">
        <x:f>IF(C113="","",IFERROR(INDEX('Taxonomy'!$G$9:$G$108,MATCH(D113,'Taxonomy'!$C$9:$C$108,0)),""))</x:f>
        <x:v>Building renovation</x:v>
      </x:c>
    </x:row>
    <x:row r="114" ht="44" customHeight="1">
      <x:c r="A114" s="1"/>
      <x:c r="B114" s="1"/>
      <x:c r="C114" s="8" t="str">
        <x:v>TST-F010-BLD-WASTE</x:v>
      </x:c>
      <x:c r="D114" s="8" t="str">
        <x:v>TAX-F010</x:v>
      </x:c>
      <x:c r="E114" s="8" t="str">
        <x:v>BLD-WASTE</x:v>
      </x:c>
      <x:c r="F114" s="8" t="str">
        <x:v>DNSH</x:v>
      </x:c>
      <x:c r="G114" s="8" t="str">
        <x:v>Applicable</x:v>
      </x:c>
      <x:c r="H114" s="8" t="str">
        <x:v>Pass</x:v>
      </x:c>
      <x:c r="I114" s="8" t="str">
        <x:v>SYN-TEST-F010-BLD-WASTE</x:v>
      </x:c>
      <x:c r="J114" s="8" t="str"/>
      <x:c r="K114" s="8" t="str">
        <x:v>Taxonomy analyst 1</x:v>
      </x:c>
      <x:c r="L114" s="8" t="str">
        <x:v>Taxonomy reviewer 2</x:v>
      </x:c>
      <x:c r="M114" s="10" t="n">
        <x:v>46266</x:v>
      </x:c>
      <x:c r="N114" s="10" t="n">
        <x:v>46631</x:v>
      </x:c>
      <x:c r="O114" s="8"/>
      <x:c r="P114" s="9" t="str">
        <x:f>IF(C114="","",IF(AND(G114="Applicable",H114="Fail"),"Fail",IF(R114&lt;&gt;"Valid","Pending",IF(OR(I114="",K114="",L114="",K114=L114,NOT(ISNUMBER(M114)),NOT(ISNUMBER(N114)),M114&gt;Settings!$F$8,N114&lt;Settings!$F$8,N114&lt;M114),"Pending",IF(AND(G114="Applicable",H114="Pass"),"Pass",IF(AND(G114="N/A",H114="N/A",J114&lt;&gt;"",OR(E114="CEM-FUELS",E114="CEM-CCS",AND(E114="CEM-PLAN",IFERROR(INDEX('Taxonomy'!$M$9:$M$108,MATCH(D114,'Taxonomy'!$C$9:$C$108,0)),"")&lt;&gt;"Amber"),E114="BLD-TIMBER",AND(U114="Building equipment",OR(E114="BLD-WATER",E114="BLD-WASTE",E114="BLD-LAND")),AND(U114="Building renovation",E114="BLD-LAND"))),"N/A","Pending"))))))</x:f>
        <x:v>Pass</x:v>
      </x:c>
      <x:c r="Q114" s="3" t="str">
        <x:f>IF(C114="","",IF(AND(R114="Valid",OR(P114="Pass",P114="N/A")),"Complete","Unresolved"))</x:f>
        <x:v>Complete</x:v>
      </x:c>
      <x:c r="R114" s="9" t="str">
        <x:f>IF(C114="","",IF(OR(COUNTIF($C$9:$C$2008,C114)&lt;&gt;1,COUNTIFS($D$9:$D$2008,D114,$E$9:$E$2008,E114)&lt;&gt;1),"Duplicate test",IF(COUNTIF('Taxonomy'!$C$9:$C$108,D114)&lt;&gt;1,"Assessment key",IF(OR(COUNTIF('Taxonomy Rules'!$C$42:$C$68,E114)&lt;&gt;1,F114&lt;&gt;IFERROR(INDEX('Taxonomy Rules'!$D$42:$D$68,MATCH(E114,'Taxonomy Rules'!$C$42:$C$68,0)),""),NOT(OR(IFERROR(INDEX('Taxonomy Rules'!$G$42:$G$68,MATCH(E114,'Taxonomy Rules'!$C$42:$C$68,0)),"")="All supported routes",IFERROR(INDEX('Taxonomy Rules'!$G$42:$G$68,MATCH(E114,'Taxonomy Rules'!$C$42:$C$68,0)),"")=U114,AND(IFERROR(INDEX('Taxonomy Rules'!$G$42:$G$68,MATCH(E114,'Taxonomy Rules'!$C$42:$C$68,0)),"")="Building routes",OR(U114="Building renovation",U114="New building",U114="Building equipment"))))),"Unexpected test","Valid"))))</x:f>
        <x:v>Valid</x:v>
      </x:c>
      <x:c r="S114" s="9" t="str">
        <x:f>IF(C114="","",IFERROR(INDEX('Taxonomy Rules'!$E$42:$E$68,MATCH(E114,'Taxonomy Rules'!$C$42:$C$68,0)),""))</x:f>
        <x:v>At least 40% by weight nonhazardous construction/demolition waste recovered; soil/stone excluded.</x:v>
      </x:c>
      <x:c r="T114" s="9" t="str">
        <x:f>IF(C114="","",IFERROR(INDEX('Taxonomy Rules'!$F$42:$F$68,MATCH(E114,'Taxonomy Rules'!$C$42:$C$68,0)),""))</x:f>
        <x:v>S10 p133</x:v>
      </x:c>
      <x:c r="U114" s="9" t="str">
        <x:f>IF(C114="","",IFERROR(INDEX('Taxonomy'!$G$9:$G$108,MATCH(D114,'Taxonomy'!$C$9:$C$108,0)),""))</x:f>
        <x:v>Building renovation</x:v>
      </x:c>
    </x:row>
    <x:row r="115" ht="44" customHeight="1">
      <x:c r="A115" s="1"/>
      <x:c r="B115" s="1"/>
      <x:c r="C115" s="8" t="str">
        <x:v>TST-F010-BLD-TIMBER</x:v>
      </x:c>
      <x:c r="D115" s="8" t="str">
        <x:v>TAX-F010</x:v>
      </x:c>
      <x:c r="E115" s="8" t="str">
        <x:v>BLD-TIMBER</x:v>
      </x:c>
      <x:c r="F115" s="8" t="str">
        <x:v>DNSH</x:v>
      </x:c>
      <x:c r="G115" s="8" t="str">
        <x:v>Applicable</x:v>
      </x:c>
      <x:c r="H115" s="8" t="str">
        <x:v>Pass</x:v>
      </x:c>
      <x:c r="I115" s="8" t="str">
        <x:v>SYN-TEST-F010-BLD-TIMBER</x:v>
      </x:c>
      <x:c r="J115" s="8" t="str"/>
      <x:c r="K115" s="8" t="str">
        <x:v>Taxonomy analyst 1</x:v>
      </x:c>
      <x:c r="L115" s="8" t="str">
        <x:v>Taxonomy reviewer 2</x:v>
      </x:c>
      <x:c r="M115" s="10" t="n">
        <x:v>46266</x:v>
      </x:c>
      <x:c r="N115" s="10" t="n">
        <x:v>46631</x:v>
      </x:c>
      <x:c r="O115" s="8"/>
      <x:c r="P115" s="9" t="str">
        <x:f>IF(C115="","",IF(AND(G115="Applicable",H115="Fail"),"Fail",IF(R115&lt;&gt;"Valid","Pending",IF(OR(I115="",K115="",L115="",K115=L115,NOT(ISNUMBER(M115)),NOT(ISNUMBER(N115)),M115&gt;Settings!$F$8,N115&lt;Settings!$F$8,N115&lt;M115),"Pending",IF(AND(G115="Applicable",H115="Pass"),"Pass",IF(AND(G115="N/A",H115="N/A",J115&lt;&gt;"",OR(E115="CEM-FUELS",E115="CEM-CCS",AND(E115="CEM-PLAN",IFERROR(INDEX('Taxonomy'!$M$9:$M$108,MATCH(D115,'Taxonomy'!$C$9:$C$108,0)),"")&lt;&gt;"Amber"),E115="BLD-TIMBER",AND(U115="Building equipment",OR(E115="BLD-WATER",E115="BLD-WASTE",E115="BLD-LAND")),AND(U115="Building renovation",E115="BLD-LAND"))),"N/A","Pending"))))))</x:f>
        <x:v>Pass</x:v>
      </x:c>
      <x:c r="Q115" s="3" t="str">
        <x:f>IF(C115="","",IF(AND(R115="Valid",OR(P115="Pass",P115="N/A")),"Complete","Unresolved"))</x:f>
        <x:v>Complete</x:v>
      </x:c>
      <x:c r="R115" s="9" t="str">
        <x:f>IF(C115="","",IF(OR(COUNTIF($C$9:$C$2008,C115)&lt;&gt;1,COUNTIFS($D$9:$D$2008,D115,$E$9:$E$2008,E115)&lt;&gt;1),"Duplicate test",IF(COUNTIF('Taxonomy'!$C$9:$C$108,D115)&lt;&gt;1,"Assessment key",IF(OR(COUNTIF('Taxonomy Rules'!$C$42:$C$68,E115)&lt;&gt;1,F115&lt;&gt;IFERROR(INDEX('Taxonomy Rules'!$D$42:$D$68,MATCH(E115,'Taxonomy Rules'!$C$42:$C$68,0)),""),NOT(OR(IFERROR(INDEX('Taxonomy Rules'!$G$42:$G$68,MATCH(E115,'Taxonomy Rules'!$C$42:$C$68,0)),"")="All supported routes",IFERROR(INDEX('Taxonomy Rules'!$G$42:$G$68,MATCH(E115,'Taxonomy Rules'!$C$42:$C$68,0)),"")=U115,AND(IFERROR(INDEX('Taxonomy Rules'!$G$42:$G$68,MATCH(E115,'Taxonomy Rules'!$C$42:$C$68,0)),"")="Building routes",OR(U115="Building renovation",U115="New building",U115="Building equipment"))))),"Unexpected test","Valid"))))</x:f>
        <x:v>Valid</x:v>
      </x:c>
      <x:c r="S115" s="9" t="str">
        <x:f>IF(C115="","",IFERROR(INDEX('Taxonomy Rules'!$E$42:$E$68,MATCH(E115,'Taxonomy Rules'!$C$42:$C$68,0)),""))</x:f>
        <x:v>At least 70% timber recycled/reused or certified sustainably sourced; justified N/A if no timber.</x:v>
      </x:c>
      <x:c r="T115" s="9" t="str">
        <x:f>IF(C115="","",IFERROR(INDEX('Taxonomy Rules'!$F$42:$F$68,MATCH(E115,'Taxonomy Rules'!$C$42:$C$68,0)),""))</x:f>
        <x:v>S10 p133</x:v>
      </x:c>
      <x:c r="U115" s="9" t="str">
        <x:f>IF(C115="","",IFERROR(INDEX('Taxonomy'!$G$9:$G$108,MATCH(D115,'Taxonomy'!$C$9:$C$108,0)),""))</x:f>
        <x:v>Building renovation</x:v>
      </x:c>
    </x:row>
    <x:row r="116" ht="44" customHeight="1">
      <x:c r="A116" s="1"/>
      <x:c r="B116" s="1"/>
      <x:c r="C116" s="8" t="str">
        <x:v>TST-F010-BLD-LAND</x:v>
      </x:c>
      <x:c r="D116" s="8" t="str">
        <x:v>TAX-F010</x:v>
      </x:c>
      <x:c r="E116" s="8" t="str">
        <x:v>BLD-LAND</x:v>
      </x:c>
      <x:c r="F116" s="8" t="str">
        <x:v>DNSH</x:v>
      </x:c>
      <x:c r="G116" s="8" t="str">
        <x:v>Applicable</x:v>
      </x:c>
      <x:c r="H116" s="8" t="str">
        <x:v>Pass</x:v>
      </x:c>
      <x:c r="I116" s="8" t="str">
        <x:v>SYN-TEST-F010-BLD-LAND</x:v>
      </x:c>
      <x:c r="J116" s="8" t="str"/>
      <x:c r="K116" s="8" t="str">
        <x:v>Taxonomy analyst 1</x:v>
      </x:c>
      <x:c r="L116" s="8" t="str">
        <x:v>Taxonomy reviewer 2</x:v>
      </x:c>
      <x:c r="M116" s="10" t="n">
        <x:v>46266</x:v>
      </x:c>
      <x:c r="N116" s="10" t="n">
        <x:v>46631</x:v>
      </x:c>
      <x:c r="O116" s="8"/>
      <x:c r="P116" s="9" t="str">
        <x:f>IF(C116="","",IF(AND(G116="Applicable",H116="Fail"),"Fail",IF(R116&lt;&gt;"Valid","Pending",IF(OR(I116="",K116="",L116="",K116=L116,NOT(ISNUMBER(M116)),NOT(ISNUMBER(N116)),M116&gt;Settings!$F$8,N116&lt;Settings!$F$8,N116&lt;M116),"Pending",IF(AND(G116="Applicable",H116="Pass"),"Pass",IF(AND(G116="N/A",H116="N/A",J116&lt;&gt;"",OR(E116="CEM-FUELS",E116="CEM-CCS",AND(E116="CEM-PLAN",IFERROR(INDEX('Taxonomy'!$M$9:$M$108,MATCH(D116,'Taxonomy'!$C$9:$C$108,0)),"")&lt;&gt;"Amber"),E116="BLD-TIMBER",AND(U116="Building equipment",OR(E116="BLD-WATER",E116="BLD-WASTE",E116="BLD-LAND")),AND(U116="Building renovation",E116="BLD-LAND"))),"N/A","Pending"))))))</x:f>
        <x:v>Pass</x:v>
      </x:c>
      <x:c r="Q116" s="3" t="str">
        <x:f>IF(C116="","",IF(AND(R116="Valid",OR(P116="Pass",P116="N/A")),"Complete","Unresolved"))</x:f>
        <x:v>Complete</x:v>
      </x:c>
      <x:c r="R116" s="9" t="str">
        <x:f>IF(C116="","",IF(OR(COUNTIF($C$9:$C$2008,C116)&lt;&gt;1,COUNTIFS($D$9:$D$2008,D116,$E$9:$E$2008,E116)&lt;&gt;1),"Duplicate test",IF(COUNTIF('Taxonomy'!$C$9:$C$108,D116)&lt;&gt;1,"Assessment key",IF(OR(COUNTIF('Taxonomy Rules'!$C$42:$C$68,E116)&lt;&gt;1,F116&lt;&gt;IFERROR(INDEX('Taxonomy Rules'!$D$42:$D$68,MATCH(E116,'Taxonomy Rules'!$C$42:$C$68,0)),""),NOT(OR(IFERROR(INDEX('Taxonomy Rules'!$G$42:$G$68,MATCH(E116,'Taxonomy Rules'!$C$42:$C$68,0)),"")="All supported routes",IFERROR(INDEX('Taxonomy Rules'!$G$42:$G$68,MATCH(E116,'Taxonomy Rules'!$C$42:$C$68,0)),"")=U116,AND(IFERROR(INDEX('Taxonomy Rules'!$G$42:$G$68,MATCH(E116,'Taxonomy Rules'!$C$42:$C$68,0)),"")="Building routes",OR(U116="Building renovation",U116="New building",U116="Building equipment"))))),"Unexpected test","Valid"))))</x:f>
        <x:v>Valid</x:v>
      </x:c>
      <x:c r="S116" s="9" t="str">
        <x:f>IF(C116="","",IFERROR(INDEX('Taxonomy Rules'!$E$42:$E$68,MATCH(E116,'Taxonomy Rules'!$C$42:$C$68,0)),""))</x:f>
        <x:v>Protected habitats, endangered species and forest conversion exclusions assessed.</x:v>
      </x:c>
      <x:c r="T116" s="9" t="str">
        <x:f>IF(C116="","",IFERROR(INDEX('Taxonomy Rules'!$F$42:$F$68,MATCH(E116,'Taxonomy Rules'!$C$42:$C$68,0)),""))</x:f>
        <x:v>S10 p133</x:v>
      </x:c>
      <x:c r="U116" s="9" t="str">
        <x:f>IF(C116="","",IFERROR(INDEX('Taxonomy'!$G$9:$G$108,MATCH(D116,'Taxonomy'!$C$9:$C$108,0)),""))</x:f>
        <x:v>Building renovation</x:v>
      </x:c>
    </x:row>
    <x:row r="117" ht="44" customHeight="1">
      <x:c r="A117" s="1"/>
      <x:c r="B117" s="1"/>
      <x:c r="C117" s="8" t="str">
        <x:v>TST-F013-SC-EVIDENCE</x:v>
      </x:c>
      <x:c r="D117" s="8" t="str">
        <x:v>TAX-F013</x:v>
      </x:c>
      <x:c r="E117" s="8" t="str">
        <x:v>SC-EVIDENCE</x:v>
      </x:c>
      <x:c r="F117" s="8" t="str">
        <x:v>Technical</x:v>
      </x:c>
      <x:c r="G117" s="8" t="str">
        <x:v>Applicable</x:v>
      </x:c>
      <x:c r="H117" s="8" t="str">
        <x:v>Pass</x:v>
      </x:c>
      <x:c r="I117" s="8" t="str">
        <x:v>SYN-TEST-F013-SC-EVIDENCE</x:v>
      </x:c>
      <x:c r="J117" s="8" t="str"/>
      <x:c r="K117" s="8" t="str">
        <x:v>Taxonomy analyst 1</x:v>
      </x:c>
      <x:c r="L117" s="8" t="str">
        <x:v>Taxonomy reviewer 1</x:v>
      </x:c>
      <x:c r="M117" s="10" t="n">
        <x:v>46266</x:v>
      </x:c>
      <x:c r="N117" s="10" t="n">
        <x:v>46631</x:v>
      </x:c>
      <x:c r="O117" s="8"/>
      <x:c r="P117" s="9" t="str">
        <x:f>IF(C117="","",IF(AND(G117="Applicable",H117="Fail"),"Fail",IF(R117&lt;&gt;"Valid","Pending",IF(OR(I117="",K117="",L117="",K117=L117,NOT(ISNUMBER(M117)),NOT(ISNUMBER(N117)),M117&gt;Settings!$F$8,N117&lt;Settings!$F$8,N117&lt;M117),"Pending",IF(AND(G117="Applicable",H117="Pass"),"Pass",IF(AND(G117="N/A",H117="N/A",J117&lt;&gt;"",OR(E117="CEM-FUELS",E117="CEM-CCS",AND(E117="CEM-PLAN",IFERROR(INDEX('Taxonomy'!$M$9:$M$108,MATCH(D117,'Taxonomy'!$C$9:$C$108,0)),"")&lt;&gt;"Amber"),E117="BLD-TIMBER",AND(U117="Building equipment",OR(E117="BLD-WATER",E117="BLD-WASTE",E117="BLD-LAND")),AND(U117="Building renovation",E117="BLD-LAND"))),"N/A","Pending"))))))</x:f>
        <x:v>Pass</x:v>
      </x:c>
      <x:c r="Q117" s="3" t="str">
        <x:f>IF(C117="","",IF(AND(R117="Valid",OR(P117="Pass",P117="N/A")),"Complete","Unresolved"))</x:f>
        <x:v>Complete</x:v>
      </x:c>
      <x:c r="R117" s="9" t="str">
        <x:f>IF(C117="","",IF(OR(COUNTIF($C$9:$C$2008,C117)&lt;&gt;1,COUNTIFS($D$9:$D$2008,D117,$E$9:$E$2008,E117)&lt;&gt;1),"Duplicate test",IF(COUNTIF('Taxonomy'!$C$9:$C$108,D117)&lt;&gt;1,"Assessment key",IF(OR(COUNTIF('Taxonomy Rules'!$C$42:$C$68,E117)&lt;&gt;1,F117&lt;&gt;IFERROR(INDEX('Taxonomy Rules'!$D$42:$D$68,MATCH(E117,'Taxonomy Rules'!$C$42:$C$68,0)),""),NOT(OR(IFERROR(INDEX('Taxonomy Rules'!$G$42:$G$68,MATCH(E117,'Taxonomy Rules'!$C$42:$C$68,0)),"")="All supported routes",IFERROR(INDEX('Taxonomy Rules'!$G$42:$G$68,MATCH(E117,'Taxonomy Rules'!$C$42:$C$68,0)),"")=U117,AND(IFERROR(INDEX('Taxonomy Rules'!$G$42:$G$68,MATCH(E117,'Taxonomy Rules'!$C$42:$C$68,0)),"")="Building routes",OR(U117="Building renovation",U117="New building",U117="Building equipment"))))),"Unexpected test","Valid"))))</x:f>
        <x:v>Valid</x:v>
      </x:c>
      <x:c r="S117" s="9" t="str">
        <x:f>IF(C117="","",IFERROR(INDEX('Taxonomy Rules'!$E$42:$E$68,MATCH(E117,'Taxonomy Rules'!$C$42:$C$68,0)),""))</x:f>
        <x:v>Boundary and chosen route are evidenced; observations match the activity card.</x:v>
      </x:c>
      <x:c r="T117" s="9" t="str">
        <x:f>IF(C117="","",IFERROR(INDEX('Taxonomy Rules'!$F$42:$F$68,MATCH(E117,'Taxonomy Rules'!$C$42:$C$68,0)),""))</x:f>
        <x:v>S10 activity card</x:v>
      </x:c>
      <x:c r="U117" s="9" t="str">
        <x:f>IF(C117="","",IFERROR(INDEX('Taxonomy'!$G$9:$G$108,MATCH(D117,'Taxonomy'!$C$9:$C$108,0)),""))</x:f>
        <x:v>Cement</x:v>
      </x:c>
    </x:row>
    <x:row r="118" ht="44" customHeight="1">
      <x:c r="A118" s="1"/>
      <x:c r="B118" s="1"/>
      <x:c r="C118" s="8" t="str">
        <x:v>TST-F013-DNSH-MIT</x:v>
      </x:c>
      <x:c r="D118" s="8" t="str">
        <x:v>TAX-F013</x:v>
      </x:c>
      <x:c r="E118" s="8" t="str">
        <x:v>DNSH-MIT</x:v>
      </x:c>
      <x:c r="F118" s="8" t="str">
        <x:v>DNSH</x:v>
      </x:c>
      <x:c r="G118" s="8" t="str">
        <x:v>Applicable</x:v>
      </x:c>
      <x:c r="H118" s="8" t="str">
        <x:v>Pass</x:v>
      </x:c>
      <x:c r="I118" s="8" t="str">
        <x:v>SYN-TEST-F013-DNSH-MIT</x:v>
      </x:c>
      <x:c r="J118" s="8" t="str"/>
      <x:c r="K118" s="8" t="str">
        <x:v>Taxonomy analyst 1</x:v>
      </x:c>
      <x:c r="L118" s="8" t="str">
        <x:v>Taxonomy reviewer 1</x:v>
      </x:c>
      <x:c r="M118" s="10" t="n">
        <x:v>46266</x:v>
      </x:c>
      <x:c r="N118" s="10" t="n">
        <x:v>46631</x:v>
      </x:c>
      <x:c r="O118" s="8"/>
      <x:c r="P118" s="9" t="str">
        <x:f>IF(C118="","",IF(AND(G118="Applicable",H118="Fail"),"Fail",IF(R118&lt;&gt;"Valid","Pending",IF(OR(I118="",K118="",L118="",K118=L118,NOT(ISNUMBER(M118)),NOT(ISNUMBER(N118)),M118&gt;Settings!$F$8,N118&lt;Settings!$F$8,N118&lt;M118),"Pending",IF(AND(G118="Applicable",H118="Pass"),"Pass",IF(AND(G118="N/A",H118="N/A",J118&lt;&gt;"",OR(E118="CEM-FUELS",E118="CEM-CCS",AND(E118="CEM-PLAN",IFERROR(INDEX('Taxonomy'!$M$9:$M$108,MATCH(D118,'Taxonomy'!$C$9:$C$108,0)),"")&lt;&gt;"Amber"),E118="BLD-TIMBER",AND(U118="Building equipment",OR(E118="BLD-WATER",E118="BLD-WASTE",E118="BLD-LAND")),AND(U118="Building renovation",E118="BLD-LAND"))),"N/A","Pending"))))))</x:f>
        <x:v>Pass</x:v>
      </x:c>
      <x:c r="Q118" s="3" t="str">
        <x:f>IF(C118="","",IF(AND(R118="Valid",OR(P118="Pass",P118="N/A")),"Complete","Unresolved"))</x:f>
        <x:v>Complete</x:v>
      </x:c>
      <x:c r="R118" s="9" t="str">
        <x:f>IF(C118="","",IF(OR(COUNTIF($C$9:$C$2008,C118)&lt;&gt;1,COUNTIFS($D$9:$D$2008,D118,$E$9:$E$2008,E118)&lt;&gt;1),"Duplicate test",IF(COUNTIF('Taxonomy'!$C$9:$C$108,D118)&lt;&gt;1,"Assessment key",IF(OR(COUNTIF('Taxonomy Rules'!$C$42:$C$68,E118)&lt;&gt;1,F118&lt;&gt;IFERROR(INDEX('Taxonomy Rules'!$D$42:$D$68,MATCH(E118,'Taxonomy Rules'!$C$42:$C$68,0)),""),NOT(OR(IFERROR(INDEX('Taxonomy Rules'!$G$42:$G$68,MATCH(E118,'Taxonomy Rules'!$C$42:$C$68,0)),"")="All supported routes",IFERROR(INDEX('Taxonomy Rules'!$G$42:$G$68,MATCH(E118,'Taxonomy Rules'!$C$42:$C$68,0)),"")=U118,AND(IFERROR(INDEX('Taxonomy Rules'!$G$42:$G$68,MATCH(E118,'Taxonomy Rules'!$C$42:$C$68,0)),"")="Building routes",OR(U118="Building renovation",U118="New building",U118="Building equipment"))))),"Unexpected test","Valid"))))</x:f>
        <x:v>Valid</x:v>
      </x:c>
      <x:c r="S118" s="9" t="str">
        <x:f>IF(C118="","",IFERROR(INDEX('Taxonomy Rules'!$E$42:$E$68,MATCH(E118,'Taxonomy Rules'!$C$42:$C$68,0)),""))</x:f>
        <x:v>No avoidable fossil lock-in; material lifecycle effects assessed.</x:v>
      </x:c>
      <x:c r="T118" s="9" t="str">
        <x:f>IF(C118="","",IFERROR(INDEX('Taxonomy Rules'!$F$42:$F$68,MATCH(E118,'Taxonomy Rules'!$C$42:$C$68,0)),""))</x:f>
        <x:v>S10 p30</x:v>
      </x:c>
      <x:c r="U118" s="9" t="str">
        <x:f>IF(C118="","",IFERROR(INDEX('Taxonomy'!$G$9:$G$108,MATCH(D118,'Taxonomy'!$C$9:$C$108,0)),""))</x:f>
        <x:v>Cement</x:v>
      </x:c>
    </x:row>
    <x:row r="119" ht="44" customHeight="1">
      <x:c r="A119" s="1"/>
      <x:c r="B119" s="1"/>
      <x:c r="C119" s="8" t="str">
        <x:v>TST-F013-DNSH-ADAPT</x:v>
      </x:c>
      <x:c r="D119" s="8" t="str">
        <x:v>TAX-F013</x:v>
      </x:c>
      <x:c r="E119" s="8" t="str">
        <x:v>DNSH-ADAPT</x:v>
      </x:c>
      <x:c r="F119" s="8" t="str">
        <x:v>DNSH</x:v>
      </x:c>
      <x:c r="G119" s="8" t="str">
        <x:v>Applicable</x:v>
      </x:c>
      <x:c r="H119" s="8" t="str">
        <x:v>Pass</x:v>
      </x:c>
      <x:c r="I119" s="8" t="str">
        <x:v>SYN-TEST-F013-DNSH-ADAPT</x:v>
      </x:c>
      <x:c r="J119" s="8" t="str"/>
      <x:c r="K119" s="8" t="str">
        <x:v>Taxonomy analyst 1</x:v>
      </x:c>
      <x:c r="L119" s="8" t="str">
        <x:v>Taxonomy reviewer 1</x:v>
      </x:c>
      <x:c r="M119" s="10" t="n">
        <x:v>46266</x:v>
      </x:c>
      <x:c r="N119" s="10" t="n">
        <x:v>46631</x:v>
      </x:c>
      <x:c r="O119" s="8"/>
      <x:c r="P119" s="9" t="str">
        <x:f>IF(C119="","",IF(AND(G119="Applicable",H119="Fail"),"Fail",IF(R119&lt;&gt;"Valid","Pending",IF(OR(I119="",K119="",L119="",K119=L119,NOT(ISNUMBER(M119)),NOT(ISNUMBER(N119)),M119&gt;Settings!$F$8,N119&lt;Settings!$F$8,N119&lt;M119),"Pending",IF(AND(G119="Applicable",H119="Pass"),"Pass",IF(AND(G119="N/A",H119="N/A",J119&lt;&gt;"",OR(E119="CEM-FUELS",E119="CEM-CCS",AND(E119="CEM-PLAN",IFERROR(INDEX('Taxonomy'!$M$9:$M$108,MATCH(D119,'Taxonomy'!$C$9:$C$108,0)),"")&lt;&gt;"Amber"),E119="BLD-TIMBER",AND(U119="Building equipment",OR(E119="BLD-WATER",E119="BLD-WASTE",E119="BLD-LAND")),AND(U119="Building renovation",E119="BLD-LAND"))),"N/A","Pending"))))))</x:f>
        <x:v>Pass</x:v>
      </x:c>
      <x:c r="Q119" s="3" t="str">
        <x:f>IF(C119="","",IF(AND(R119="Valid",OR(P119="Pass",P119="N/A")),"Complete","Unresolved"))</x:f>
        <x:v>Complete</x:v>
      </x:c>
      <x:c r="R119" s="9" t="str">
        <x:f>IF(C119="","",IF(OR(COUNTIF($C$9:$C$2008,C119)&lt;&gt;1,COUNTIFS($D$9:$D$2008,D119,$E$9:$E$2008,E119)&lt;&gt;1),"Duplicate test",IF(COUNTIF('Taxonomy'!$C$9:$C$108,D119)&lt;&gt;1,"Assessment key",IF(OR(COUNTIF('Taxonomy Rules'!$C$42:$C$68,E119)&lt;&gt;1,F119&lt;&gt;IFERROR(INDEX('Taxonomy Rules'!$D$42:$D$68,MATCH(E119,'Taxonomy Rules'!$C$42:$C$68,0)),""),NOT(OR(IFERROR(INDEX('Taxonomy Rules'!$G$42:$G$68,MATCH(E119,'Taxonomy Rules'!$C$42:$C$68,0)),"")="All supported routes",IFERROR(INDEX('Taxonomy Rules'!$G$42:$G$68,MATCH(E119,'Taxonomy Rules'!$C$42:$C$68,0)),"")=U119,AND(IFERROR(INDEX('Taxonomy Rules'!$G$42:$G$68,MATCH(E119,'Taxonomy Rules'!$C$42:$C$68,0)),"")="Building routes",OR(U119="Building renovation",U119="New building",U119="Building equipment"))))),"Unexpected test","Valid"))))</x:f>
        <x:v>Valid</x:v>
      </x:c>
      <x:c r="S119" s="9" t="str">
        <x:f>IF(C119="","",IFERROR(INDEX('Taxonomy Rules'!$E$42:$E$68,MATCH(E119,'Taxonomy Rules'!$C$42:$C$68,0)),""))</x:f>
        <x:v>Lifetime hazard screen, material risk assessment and implemented adaptation; no harm to others.</x:v>
      </x:c>
      <x:c r="T119" s="9" t="str">
        <x:f>IF(C119="","",IFERROR(INDEX('Taxonomy Rules'!$F$42:$F$68,MATCH(E119,'Taxonomy Rules'!$C$42:$C$68,0)),""))</x:f>
        <x:v>S10 pp30–31</x:v>
      </x:c>
      <x:c r="U119" s="9" t="str">
        <x:f>IF(C119="","",IFERROR(INDEX('Taxonomy'!$G$9:$G$108,MATCH(D119,'Taxonomy'!$C$9:$C$108,0)),""))</x:f>
        <x:v>Cement</x:v>
      </x:c>
    </x:row>
    <x:row r="120" ht="44" customHeight="1">
      <x:c r="A120" s="1"/>
      <x:c r="B120" s="1"/>
      <x:c r="C120" s="8" t="str">
        <x:v>TST-F013-DNSH-WATER</x:v>
      </x:c>
      <x:c r="D120" s="8" t="str">
        <x:v>TAX-F013</x:v>
      </x:c>
      <x:c r="E120" s="8" t="str">
        <x:v>DNSH-WATER</x:v>
      </x:c>
      <x:c r="F120" s="8" t="str">
        <x:v>DNSH</x:v>
      </x:c>
      <x:c r="G120" s="8" t="str">
        <x:v>Applicable</x:v>
      </x:c>
      <x:c r="H120" s="8" t="str">
        <x:v>Pass</x:v>
      </x:c>
      <x:c r="I120" s="8" t="str">
        <x:v>SYN-TEST-F013-DNSH-WATER</x:v>
      </x:c>
      <x:c r="J120" s="8" t="str"/>
      <x:c r="K120" s="8" t="str">
        <x:v>Taxonomy analyst 1</x:v>
      </x:c>
      <x:c r="L120" s="8" t="str">
        <x:v>Taxonomy reviewer 1</x:v>
      </x:c>
      <x:c r="M120" s="10" t="n">
        <x:v>46266</x:v>
      </x:c>
      <x:c r="N120" s="10" t="n">
        <x:v>46631</x:v>
      </x:c>
      <x:c r="O120" s="8"/>
      <x:c r="P120" s="9" t="str">
        <x:f>IF(C120="","",IF(AND(G120="Applicable",H120="Fail"),"Fail",IF(R120&lt;&gt;"Valid","Pending",IF(OR(I120="",K120="",L120="",K120=L120,NOT(ISNUMBER(M120)),NOT(ISNUMBER(N120)),M120&gt;Settings!$F$8,N120&lt;Settings!$F$8,N120&lt;M120),"Pending",IF(AND(G120="Applicable",H120="Pass"),"Pass",IF(AND(G120="N/A",H120="N/A",J120&lt;&gt;"",OR(E120="CEM-FUELS",E120="CEM-CCS",AND(E120="CEM-PLAN",IFERROR(INDEX('Taxonomy'!$M$9:$M$108,MATCH(D120,'Taxonomy'!$C$9:$C$108,0)),"")&lt;&gt;"Amber"),E120="BLD-TIMBER",AND(U120="Building equipment",OR(E120="BLD-WATER",E120="BLD-WASTE",E120="BLD-LAND")),AND(U120="Building renovation",E120="BLD-LAND"))),"N/A","Pending"))))))</x:f>
        <x:v>Pass</x:v>
      </x:c>
      <x:c r="Q120" s="3" t="str">
        <x:f>IF(C120="","",IF(AND(R120="Valid",OR(P120="Pass",P120="N/A")),"Complete","Unresolved"))</x:f>
        <x:v>Complete</x:v>
      </x:c>
      <x:c r="R120" s="9" t="str">
        <x:f>IF(C120="","",IF(OR(COUNTIF($C$9:$C$2008,C120)&lt;&gt;1,COUNTIFS($D$9:$D$2008,D120,$E$9:$E$2008,E120)&lt;&gt;1),"Duplicate test",IF(COUNTIF('Taxonomy'!$C$9:$C$108,D120)&lt;&gt;1,"Assessment key",IF(OR(COUNTIF('Taxonomy Rules'!$C$42:$C$68,E120)&lt;&gt;1,F120&lt;&gt;IFERROR(INDEX('Taxonomy Rules'!$D$42:$D$68,MATCH(E120,'Taxonomy Rules'!$C$42:$C$68,0)),""),NOT(OR(IFERROR(INDEX('Taxonomy Rules'!$G$42:$G$68,MATCH(E120,'Taxonomy Rules'!$C$42:$C$68,0)),"")="All supported routes",IFERROR(INDEX('Taxonomy Rules'!$G$42:$G$68,MATCH(E120,'Taxonomy Rules'!$C$42:$C$68,0)),"")=U120,AND(IFERROR(INDEX('Taxonomy Rules'!$G$42:$G$68,MATCH(E120,'Taxonomy Rules'!$C$42:$C$68,0)),"")="Building routes",OR(U120="Building renovation",U120="New building",U120="Building equipment"))))),"Unexpected test","Valid"))))</x:f>
        <x:v>Valid</x:v>
      </x:c>
      <x:c r="S120" s="9" t="str">
        <x:f>IF(C120="","",IFERROR(INDEX('Taxonomy Rules'!$E$42:$E$68,MATCH(E120,'Taxonomy Rules'!$C$42:$C$68,0)),""))</x:f>
        <x:v>Water permits, abstraction/discharge limits, required assessments and management measures.</x:v>
      </x:c>
      <x:c r="T120" s="9" t="str">
        <x:f>IF(C120="","",IFERROR(INDEX('Taxonomy Rules'!$F$42:$F$68,MATCH(E120,'Taxonomy Rules'!$C$42:$C$68,0)),""))</x:f>
        <x:v>S10 p31</x:v>
      </x:c>
      <x:c r="U120" s="9" t="str">
        <x:f>IF(C120="","",IFERROR(INDEX('Taxonomy'!$G$9:$G$108,MATCH(D120,'Taxonomy'!$C$9:$C$108,0)),""))</x:f>
        <x:v>Cement</x:v>
      </x:c>
    </x:row>
    <x:row r="121" ht="44" customHeight="1">
      <x:c r="A121" s="1"/>
      <x:c r="B121" s="1"/>
      <x:c r="C121" s="8" t="str">
        <x:v>TST-F013-DNSH-POLL</x:v>
      </x:c>
      <x:c r="D121" s="8" t="str">
        <x:v>TAX-F013</x:v>
      </x:c>
      <x:c r="E121" s="8" t="str">
        <x:v>DNSH-POLL</x:v>
      </x:c>
      <x:c r="F121" s="8" t="str">
        <x:v>DNSH</x:v>
      </x:c>
      <x:c r="G121" s="8" t="str">
        <x:v>Applicable</x:v>
      </x:c>
      <x:c r="H121" s="8" t="str">
        <x:v>Pass</x:v>
      </x:c>
      <x:c r="I121" s="8" t="str">
        <x:v>SYN-TEST-F013-DNSH-POLL</x:v>
      </x:c>
      <x:c r="J121" s="8" t="str"/>
      <x:c r="K121" s="8" t="str">
        <x:v>Taxonomy analyst 1</x:v>
      </x:c>
      <x:c r="L121" s="8" t="str">
        <x:v>Taxonomy reviewer 1</x:v>
      </x:c>
      <x:c r="M121" s="10" t="n">
        <x:v>46266</x:v>
      </x:c>
      <x:c r="N121" s="10" t="n">
        <x:v>46631</x:v>
      </x:c>
      <x:c r="O121" s="8"/>
      <x:c r="P121" s="9" t="str">
        <x:f>IF(C121="","",IF(AND(G121="Applicable",H121="Fail"),"Fail",IF(R121&lt;&gt;"Valid","Pending",IF(OR(I121="",K121="",L121="",K121=L121,NOT(ISNUMBER(M121)),NOT(ISNUMBER(N121)),M121&gt;Settings!$F$8,N121&lt;Settings!$F$8,N121&lt;M121),"Pending",IF(AND(G121="Applicable",H121="Pass"),"Pass",IF(AND(G121="N/A",H121="N/A",J121&lt;&gt;"",OR(E121="CEM-FUELS",E121="CEM-CCS",AND(E121="CEM-PLAN",IFERROR(INDEX('Taxonomy'!$M$9:$M$108,MATCH(D121,'Taxonomy'!$C$9:$C$108,0)),"")&lt;&gt;"Amber"),E121="BLD-TIMBER",AND(U121="Building equipment",OR(E121="BLD-WATER",E121="BLD-WASTE",E121="BLD-LAND")),AND(U121="Building renovation",E121="BLD-LAND"))),"N/A","Pending"))))))</x:f>
        <x:v>Pass</x:v>
      </x:c>
      <x:c r="Q121" s="3" t="str">
        <x:f>IF(C121="","",IF(AND(R121="Valid",OR(P121="Pass",P121="N/A")),"Complete","Unresolved"))</x:f>
        <x:v>Complete</x:v>
      </x:c>
      <x:c r="R121" s="9" t="str">
        <x:f>IF(C121="","",IF(OR(COUNTIF($C$9:$C$2008,C121)&lt;&gt;1,COUNTIFS($D$9:$D$2008,D121,$E$9:$E$2008,E121)&lt;&gt;1),"Duplicate test",IF(COUNTIF('Taxonomy'!$C$9:$C$108,D121)&lt;&gt;1,"Assessment key",IF(OR(COUNTIF('Taxonomy Rules'!$C$42:$C$68,E121)&lt;&gt;1,F121&lt;&gt;IFERROR(INDEX('Taxonomy Rules'!$D$42:$D$68,MATCH(E121,'Taxonomy Rules'!$C$42:$C$68,0)),""),NOT(OR(IFERROR(INDEX('Taxonomy Rules'!$G$42:$G$68,MATCH(E121,'Taxonomy Rules'!$C$42:$C$68,0)),"")="All supported routes",IFERROR(INDEX('Taxonomy Rules'!$G$42:$G$68,MATCH(E121,'Taxonomy Rules'!$C$42:$C$68,0)),"")=U121,AND(IFERROR(INDEX('Taxonomy Rules'!$G$42:$G$68,MATCH(E121,'Taxonomy Rules'!$C$42:$C$68,0)),"")="Building routes",OR(U121="Building renovation",U121="New building",U121="Building equipment"))))),"Unexpected test","Valid"))))</x:f>
        <x:v>Valid</x:v>
      </x:c>
      <x:c r="S121" s="9" t="str">
        <x:f>IF(C121="","",IFERROR(INDEX('Taxonomy Rules'!$E$42:$E$68,MATCH(E121,'Taxonomy Rules'!$C$42:$C$68,0)),""))</x:f>
        <x:v>National pollution and prohibited-substance requirements; activity-specific limits.</x:v>
      </x:c>
      <x:c r="T121" s="9" t="str">
        <x:f>IF(C121="","",IFERROR(INDEX('Taxonomy Rules'!$F$42:$F$68,MATCH(E121,'Taxonomy Rules'!$C$42:$C$68,0)),""))</x:f>
        <x:v>S10 p31</x:v>
      </x:c>
      <x:c r="U121" s="9" t="str">
        <x:f>IF(C121="","",IFERROR(INDEX('Taxonomy'!$G$9:$G$108,MATCH(D121,'Taxonomy'!$C$9:$C$108,0)),""))</x:f>
        <x:v>Cement</x:v>
      </x:c>
    </x:row>
    <x:row r="122" ht="44" customHeight="1">
      <x:c r="A122" s="1"/>
      <x:c r="B122" s="1"/>
      <x:c r="C122" s="8" t="str">
        <x:v>TST-F013-DNSH-CIRC</x:v>
      </x:c>
      <x:c r="D122" s="8" t="str">
        <x:v>TAX-F013</x:v>
      </x:c>
      <x:c r="E122" s="8" t="str">
        <x:v>DNSH-CIRC</x:v>
      </x:c>
      <x:c r="F122" s="8" t="str">
        <x:v>DNSH</x:v>
      </x:c>
      <x:c r="G122" s="8" t="str">
        <x:v>Applicable</x:v>
      </x:c>
      <x:c r="H122" s="8" t="str">
        <x:v>Pass</x:v>
      </x:c>
      <x:c r="I122" s="8" t="str">
        <x:v>SYN-TEST-F013-DNSH-CIRC</x:v>
      </x:c>
      <x:c r="J122" s="8" t="str"/>
      <x:c r="K122" s="8" t="str">
        <x:v>Taxonomy analyst 1</x:v>
      </x:c>
      <x:c r="L122" s="8" t="str">
        <x:v>Taxonomy reviewer 1</x:v>
      </x:c>
      <x:c r="M122" s="10" t="n">
        <x:v>46266</x:v>
      </x:c>
      <x:c r="N122" s="10" t="n">
        <x:v>46631</x:v>
      </x:c>
      <x:c r="O122" s="8"/>
      <x:c r="P122" s="9" t="str">
        <x:f>IF(C122="","",IF(AND(G122="Applicable",H122="Fail"),"Fail",IF(R122&lt;&gt;"Valid","Pending",IF(OR(I122="",K122="",L122="",K122=L122,NOT(ISNUMBER(M122)),NOT(ISNUMBER(N122)),M122&gt;Settings!$F$8,N122&lt;Settings!$F$8,N122&lt;M122),"Pending",IF(AND(G122="Applicable",H122="Pass"),"Pass",IF(AND(G122="N/A",H122="N/A",J122&lt;&gt;"",OR(E122="CEM-FUELS",E122="CEM-CCS",AND(E122="CEM-PLAN",IFERROR(INDEX('Taxonomy'!$M$9:$M$108,MATCH(D122,'Taxonomy'!$C$9:$C$108,0)),"")&lt;&gt;"Amber"),E122="BLD-TIMBER",AND(U122="Building equipment",OR(E122="BLD-WATER",E122="BLD-WASTE",E122="BLD-LAND")),AND(U122="Building renovation",E122="BLD-LAND"))),"N/A","Pending"))))))</x:f>
        <x:v>Pass</x:v>
      </x:c>
      <x:c r="Q122" s="3" t="str">
        <x:f>IF(C122="","",IF(AND(R122="Valid",OR(P122="Pass",P122="N/A")),"Complete","Unresolved"))</x:f>
        <x:v>Complete</x:v>
      </x:c>
      <x:c r="R122" s="9" t="str">
        <x:f>IF(C122="","",IF(OR(COUNTIF($C$9:$C$2008,C122)&lt;&gt;1,COUNTIFS($D$9:$D$2008,D122,$E$9:$E$2008,E122)&lt;&gt;1),"Duplicate test",IF(COUNTIF('Taxonomy'!$C$9:$C$108,D122)&lt;&gt;1,"Assessment key",IF(OR(COUNTIF('Taxonomy Rules'!$C$42:$C$68,E122)&lt;&gt;1,F122&lt;&gt;IFERROR(INDEX('Taxonomy Rules'!$D$42:$D$68,MATCH(E122,'Taxonomy Rules'!$C$42:$C$68,0)),""),NOT(OR(IFERROR(INDEX('Taxonomy Rules'!$G$42:$G$68,MATCH(E122,'Taxonomy Rules'!$C$42:$C$68,0)),"")="All supported routes",IFERROR(INDEX('Taxonomy Rules'!$G$42:$G$68,MATCH(E122,'Taxonomy Rules'!$C$42:$C$68,0)),"")=U122,AND(IFERROR(INDEX('Taxonomy Rules'!$G$42:$G$68,MATCH(E122,'Taxonomy Rules'!$C$42:$C$68,0)),"")="Building routes",OR(U122="Building renovation",U122="New building",U122="Building equipment"))))),"Unexpected test","Valid"))))</x:f>
        <x:v>Valid</x:v>
      </x:c>
      <x:c r="S122" s="9" t="str">
        <x:f>IF(C122="","",IFERROR(INDEX('Taxonomy Rules'!$E$42:$E$68,MATCH(E122,'Taxonomy Rules'!$C$42:$C$68,0)),""))</x:f>
        <x:v>Waste hierarchy, resource efficiency, hazardous-waste traceability and end-of-life arrangements.</x:v>
      </x:c>
      <x:c r="T122" s="9" t="str">
        <x:f>IF(C122="","",IFERROR(INDEX('Taxonomy Rules'!$F$42:$F$68,MATCH(E122,'Taxonomy Rules'!$C$42:$C$68,0)),""))</x:f>
        <x:v>S10 p32</x:v>
      </x:c>
      <x:c r="U122" s="9" t="str">
        <x:f>IF(C122="","",IFERROR(INDEX('Taxonomy'!$G$9:$G$108,MATCH(D122,'Taxonomy'!$C$9:$C$108,0)),""))</x:f>
        <x:v>Cement</x:v>
      </x:c>
    </x:row>
    <x:row r="123" ht="44" customHeight="1">
      <x:c r="A123" s="1"/>
      <x:c r="B123" s="1"/>
      <x:c r="C123" s="8" t="str">
        <x:v>TST-F013-DNSH-BIO</x:v>
      </x:c>
      <x:c r="D123" s="8" t="str">
        <x:v>TAX-F013</x:v>
      </x:c>
      <x:c r="E123" s="8" t="str">
        <x:v>DNSH-BIO</x:v>
      </x:c>
      <x:c r="F123" s="8" t="str">
        <x:v>DNSH</x:v>
      </x:c>
      <x:c r="G123" s="8" t="str">
        <x:v>Applicable</x:v>
      </x:c>
      <x:c r="H123" s="8" t="str">
        <x:v>Pass</x:v>
      </x:c>
      <x:c r="I123" s="8" t="str">
        <x:v>SYN-TEST-F013-DNSH-BIO</x:v>
      </x:c>
      <x:c r="J123" s="8" t="str"/>
      <x:c r="K123" s="8" t="str">
        <x:v>Taxonomy analyst 1</x:v>
      </x:c>
      <x:c r="L123" s="8" t="str">
        <x:v>Taxonomy reviewer 1</x:v>
      </x:c>
      <x:c r="M123" s="10" t="n">
        <x:v>46266</x:v>
      </x:c>
      <x:c r="N123" s="10" t="n">
        <x:v>46631</x:v>
      </x:c>
      <x:c r="O123" s="8"/>
      <x:c r="P123" s="9" t="str">
        <x:f>IF(C123="","",IF(AND(G123="Applicable",H123="Fail"),"Fail",IF(R123&lt;&gt;"Valid","Pending",IF(OR(I123="",K123="",L123="",K123=L123,NOT(ISNUMBER(M123)),NOT(ISNUMBER(N123)),M123&gt;Settings!$F$8,N123&lt;Settings!$F$8,N123&lt;M123),"Pending",IF(AND(G123="Applicable",H123="Pass"),"Pass",IF(AND(G123="N/A",H123="N/A",J123&lt;&gt;"",OR(E123="CEM-FUELS",E123="CEM-CCS",AND(E123="CEM-PLAN",IFERROR(INDEX('Taxonomy'!$M$9:$M$108,MATCH(D123,'Taxonomy'!$C$9:$C$108,0)),"")&lt;&gt;"Amber"),E123="BLD-TIMBER",AND(U123="Building equipment",OR(E123="BLD-WATER",E123="BLD-WASTE",E123="BLD-LAND")),AND(U123="Building renovation",E123="BLD-LAND"))),"N/A","Pending"))))))</x:f>
        <x:v>Pass</x:v>
      </x:c>
      <x:c r="Q123" s="3" t="str">
        <x:f>IF(C123="","",IF(AND(R123="Valid",OR(P123="Pass",P123="N/A")),"Complete","Unresolved"))</x:f>
        <x:v>Complete</x:v>
      </x:c>
      <x:c r="R123" s="9" t="str">
        <x:f>IF(C123="","",IF(OR(COUNTIF($C$9:$C$2008,C123)&lt;&gt;1,COUNTIFS($D$9:$D$2008,D123,$E$9:$E$2008,E123)&lt;&gt;1),"Duplicate test",IF(COUNTIF('Taxonomy'!$C$9:$C$108,D123)&lt;&gt;1,"Assessment key",IF(OR(COUNTIF('Taxonomy Rules'!$C$42:$C$68,E123)&lt;&gt;1,F123&lt;&gt;IFERROR(INDEX('Taxonomy Rules'!$D$42:$D$68,MATCH(E123,'Taxonomy Rules'!$C$42:$C$68,0)),""),NOT(OR(IFERROR(INDEX('Taxonomy Rules'!$G$42:$G$68,MATCH(E123,'Taxonomy Rules'!$C$42:$C$68,0)),"")="All supported routes",IFERROR(INDEX('Taxonomy Rules'!$G$42:$G$68,MATCH(E123,'Taxonomy Rules'!$C$42:$C$68,0)),"")=U123,AND(IFERROR(INDEX('Taxonomy Rules'!$G$42:$G$68,MATCH(E123,'Taxonomy Rules'!$C$42:$C$68,0)),"")="Building routes",OR(U123="Building renovation",U123="New building",U123="Building equipment"))))),"Unexpected test","Valid"))))</x:f>
        <x:v>Valid</x:v>
      </x:c>
      <x:c r="S123" s="9" t="str">
        <x:f>IF(C123="","",IFERROR(INDEX('Taxonomy Rules'!$E$42:$E$68,MATCH(E123,'Taxonomy Rules'!$C$42:$C$68,0)),""))</x:f>
        <x:v>Required EIA, habitat screening and implemented mitigation.</x:v>
      </x:c>
      <x:c r="T123" s="9" t="str">
        <x:f>IF(C123="","",IFERROR(INDEX('Taxonomy Rules'!$F$42:$F$68,MATCH(E123,'Taxonomy Rules'!$C$42:$C$68,0)),""))</x:f>
        <x:v>S10 p32</x:v>
      </x:c>
      <x:c r="U123" s="9" t="str">
        <x:f>IF(C123="","",IFERROR(INDEX('Taxonomy'!$G$9:$G$108,MATCH(D123,'Taxonomy'!$C$9:$C$108,0)),""))</x:f>
        <x:v>Cement</x:v>
      </x:c>
    </x:row>
    <x:row r="124" ht="44" customHeight="1">
      <x:c r="A124" s="1"/>
      <x:c r="B124" s="1"/>
      <x:c r="C124" s="8" t="str">
        <x:v>TST-F013-MSS-LABOUR</x:v>
      </x:c>
      <x:c r="D124" s="8" t="str">
        <x:v>TAX-F013</x:v>
      </x:c>
      <x:c r="E124" s="8" t="str">
        <x:v>MSS-LABOUR</x:v>
      </x:c>
      <x:c r="F124" s="8" t="str">
        <x:v>MSS</x:v>
      </x:c>
      <x:c r="G124" s="8" t="str">
        <x:v>Applicable</x:v>
      </x:c>
      <x:c r="H124" s="8" t="str">
        <x:v>Pass</x:v>
      </x:c>
      <x:c r="I124" s="8" t="str">
        <x:v>SYN-TEST-F013-MSS-LABOUR</x:v>
      </x:c>
      <x:c r="J124" s="8" t="str"/>
      <x:c r="K124" s="8" t="str">
        <x:v>Taxonomy analyst 1</x:v>
      </x:c>
      <x:c r="L124" s="8" t="str">
        <x:v>Taxonomy reviewer 1</x:v>
      </x:c>
      <x:c r="M124" s="10" t="n">
        <x:v>46266</x:v>
      </x:c>
      <x:c r="N124" s="10" t="n">
        <x:v>46631</x:v>
      </x:c>
      <x:c r="O124" s="8"/>
      <x:c r="P124" s="9" t="str">
        <x:f>IF(C124="","",IF(AND(G124="Applicable",H124="Fail"),"Fail",IF(R124&lt;&gt;"Valid","Pending",IF(OR(I124="",K124="",L124="",K124=L124,NOT(ISNUMBER(M124)),NOT(ISNUMBER(N124)),M124&gt;Settings!$F$8,N124&lt;Settings!$F$8,N124&lt;M124),"Pending",IF(AND(G124="Applicable",H124="Pass"),"Pass",IF(AND(G124="N/A",H124="N/A",J124&lt;&gt;"",OR(E124="CEM-FUELS",E124="CEM-CCS",AND(E124="CEM-PLAN",IFERROR(INDEX('Taxonomy'!$M$9:$M$108,MATCH(D124,'Taxonomy'!$C$9:$C$108,0)),"")&lt;&gt;"Amber"),E124="BLD-TIMBER",AND(U124="Building equipment",OR(E124="BLD-WATER",E124="BLD-WASTE",E124="BLD-LAND")),AND(U124="Building renovation",E124="BLD-LAND"))),"N/A","Pending"))))))</x:f>
        <x:v>Pass</x:v>
      </x:c>
      <x:c r="Q124" s="3" t="str">
        <x:f>IF(C124="","",IF(AND(R124="Valid",OR(P124="Pass",P124="N/A")),"Complete","Unresolved"))</x:f>
        <x:v>Complete</x:v>
      </x:c>
      <x:c r="R124" s="9" t="str">
        <x:f>IF(C124="","",IF(OR(COUNTIF($C$9:$C$2008,C124)&lt;&gt;1,COUNTIFS($D$9:$D$2008,D124,$E$9:$E$2008,E124)&lt;&gt;1),"Duplicate test",IF(COUNTIF('Taxonomy'!$C$9:$C$108,D124)&lt;&gt;1,"Assessment key",IF(OR(COUNTIF('Taxonomy Rules'!$C$42:$C$68,E124)&lt;&gt;1,F124&lt;&gt;IFERROR(INDEX('Taxonomy Rules'!$D$42:$D$68,MATCH(E124,'Taxonomy Rules'!$C$42:$C$68,0)),""),NOT(OR(IFERROR(INDEX('Taxonomy Rules'!$G$42:$G$68,MATCH(E124,'Taxonomy Rules'!$C$42:$C$68,0)),"")="All supported routes",IFERROR(INDEX('Taxonomy Rules'!$G$42:$G$68,MATCH(E124,'Taxonomy Rules'!$C$42:$C$68,0)),"")=U124,AND(IFERROR(INDEX('Taxonomy Rules'!$G$42:$G$68,MATCH(E124,'Taxonomy Rules'!$C$42:$C$68,0)),"")="Building routes",OR(U124="Building renovation",U124="New building",U124="Building equipment"))))),"Unexpected test","Valid"))))</x:f>
        <x:v>Valid</x:v>
      </x:c>
      <x:c r="S124" s="9" t="str">
        <x:f>IF(C124="","",IFERROR(INDEX('Taxonomy Rules'!$E$42:$E$68,MATCH(E124,'Taxonomy Rules'!$C$42:$C$68,0)),""))</x:f>
        <x:v>Labour rights, minimum age, no child/forced labour, equality and worker representation.</x:v>
      </x:c>
      <x:c r="T124" s="9" t="str">
        <x:f>IF(C124="","",IFERROR(INDEX('Taxonomy Rules'!$F$42:$F$68,MATCH(E124,'Taxonomy Rules'!$C$42:$C$68,0)),""))</x:f>
        <x:v>S10 p29</x:v>
      </x:c>
      <x:c r="U124" s="9" t="str">
        <x:f>IF(C124="","",IFERROR(INDEX('Taxonomy'!$G$9:$G$108,MATCH(D124,'Taxonomy'!$C$9:$C$108,0)),""))</x:f>
        <x:v>Cement</x:v>
      </x:c>
    </x:row>
    <x:row r="125" ht="44" customHeight="1">
      <x:c r="A125" s="1"/>
      <x:c r="B125" s="1"/>
      <x:c r="C125" s="8" t="str">
        <x:v>TST-F013-MSS-OSH</x:v>
      </x:c>
      <x:c r="D125" s="8" t="str">
        <x:v>TAX-F013</x:v>
      </x:c>
      <x:c r="E125" s="8" t="str">
        <x:v>MSS-OSH</x:v>
      </x:c>
      <x:c r="F125" s="8" t="str">
        <x:v>MSS</x:v>
      </x:c>
      <x:c r="G125" s="8" t="str">
        <x:v>Applicable</x:v>
      </x:c>
      <x:c r="H125" s="8" t="str">
        <x:v>Pass</x:v>
      </x:c>
      <x:c r="I125" s="8" t="str">
        <x:v>SYN-TEST-F013-MSS-OSH</x:v>
      </x:c>
      <x:c r="J125" s="8" t="str"/>
      <x:c r="K125" s="8" t="str">
        <x:v>Taxonomy analyst 1</x:v>
      </x:c>
      <x:c r="L125" s="8" t="str">
        <x:v>Taxonomy reviewer 1</x:v>
      </x:c>
      <x:c r="M125" s="10" t="n">
        <x:v>46266</x:v>
      </x:c>
      <x:c r="N125" s="10" t="n">
        <x:v>46631</x:v>
      </x:c>
      <x:c r="O125" s="8"/>
      <x:c r="P125" s="9" t="str">
        <x:f>IF(C125="","",IF(AND(G125="Applicable",H125="Fail"),"Fail",IF(R125&lt;&gt;"Valid","Pending",IF(OR(I125="",K125="",L125="",K125=L125,NOT(ISNUMBER(M125)),NOT(ISNUMBER(N125)),M125&gt;Settings!$F$8,N125&lt;Settings!$F$8,N125&lt;M125),"Pending",IF(AND(G125="Applicable",H125="Pass"),"Pass",IF(AND(G125="N/A",H125="N/A",J125&lt;&gt;"",OR(E125="CEM-FUELS",E125="CEM-CCS",AND(E125="CEM-PLAN",IFERROR(INDEX('Taxonomy'!$M$9:$M$108,MATCH(D125,'Taxonomy'!$C$9:$C$108,0)),"")&lt;&gt;"Amber"),E125="BLD-TIMBER",AND(U125="Building equipment",OR(E125="BLD-WATER",E125="BLD-WASTE",E125="BLD-LAND")),AND(U125="Building renovation",E125="BLD-LAND"))),"N/A","Pending"))))))</x:f>
        <x:v>Pass</x:v>
      </x:c>
      <x:c r="Q125" s="3" t="str">
        <x:f>IF(C125="","",IF(AND(R125="Valid",OR(P125="Pass",P125="N/A")),"Complete","Unresolved"))</x:f>
        <x:v>Complete</x:v>
      </x:c>
      <x:c r="R125" s="9" t="str">
        <x:f>IF(C125="","",IF(OR(COUNTIF($C$9:$C$2008,C125)&lt;&gt;1,COUNTIFS($D$9:$D$2008,D125,$E$9:$E$2008,E125)&lt;&gt;1),"Duplicate test",IF(COUNTIF('Taxonomy'!$C$9:$C$108,D125)&lt;&gt;1,"Assessment key",IF(OR(COUNTIF('Taxonomy Rules'!$C$42:$C$68,E125)&lt;&gt;1,F125&lt;&gt;IFERROR(INDEX('Taxonomy Rules'!$D$42:$D$68,MATCH(E125,'Taxonomy Rules'!$C$42:$C$68,0)),""),NOT(OR(IFERROR(INDEX('Taxonomy Rules'!$G$42:$G$68,MATCH(E125,'Taxonomy Rules'!$C$42:$C$68,0)),"")="All supported routes",IFERROR(INDEX('Taxonomy Rules'!$G$42:$G$68,MATCH(E125,'Taxonomy Rules'!$C$42:$C$68,0)),"")=U125,AND(IFERROR(INDEX('Taxonomy Rules'!$G$42:$G$68,MATCH(E125,'Taxonomy Rules'!$C$42:$C$68,0)),"")="Building routes",OR(U125="Building renovation",U125="New building",U125="Building equipment"))))),"Unexpected test","Valid"))))</x:f>
        <x:v>Valid</x:v>
      </x:c>
      <x:c r="S125" s="9" t="str">
        <x:f>IF(C125="","",IFERROR(INDEX('Taxonomy Rules'!$E$42:$E$68,MATCH(E125,'Taxonomy Rules'!$C$42:$C$68,0)),""))</x:f>
        <x:v>Applicable occupational safety, hazard prevention and emergency readiness.</x:v>
      </x:c>
      <x:c r="T125" s="9" t="str">
        <x:f>IF(C125="","",IFERROR(INDEX('Taxonomy Rules'!$F$42:$F$68,MATCH(E125,'Taxonomy Rules'!$C$42:$C$68,0)),""))</x:f>
        <x:v>S10 p29</x:v>
      </x:c>
      <x:c r="U125" s="9" t="str">
        <x:f>IF(C125="","",IFERROR(INDEX('Taxonomy'!$G$9:$G$108,MATCH(D125,'Taxonomy'!$C$9:$C$108,0)),""))</x:f>
        <x:v>Cement</x:v>
      </x:c>
    </x:row>
    <x:row r="126" ht="44" customHeight="1">
      <x:c r="A126" s="1"/>
      <x:c r="B126" s="1"/>
      <x:c r="C126" s="8" t="str">
        <x:v>TST-F013-MSS-RIGHTS</x:v>
      </x:c>
      <x:c r="D126" s="8" t="str">
        <x:v>TAX-F013</x:v>
      </x:c>
      <x:c r="E126" s="8" t="str">
        <x:v>MSS-RIGHTS</x:v>
      </x:c>
      <x:c r="F126" s="8" t="str">
        <x:v>MSS</x:v>
      </x:c>
      <x:c r="G126" s="8" t="str">
        <x:v>Applicable</x:v>
      </x:c>
      <x:c r="H126" s="8" t="str">
        <x:v>Pass</x:v>
      </x:c>
      <x:c r="I126" s="8" t="str">
        <x:v>SYN-TEST-F013-MSS-RIGHTS</x:v>
      </x:c>
      <x:c r="J126" s="8" t="str"/>
      <x:c r="K126" s="8" t="str">
        <x:v>Taxonomy analyst 1</x:v>
      </x:c>
      <x:c r="L126" s="8" t="str">
        <x:v>Taxonomy reviewer 1</x:v>
      </x:c>
      <x:c r="M126" s="10" t="n">
        <x:v>46266</x:v>
      </x:c>
      <x:c r="N126" s="10" t="n">
        <x:v>46631</x:v>
      </x:c>
      <x:c r="O126" s="8"/>
      <x:c r="P126" s="9" t="str">
        <x:f>IF(C126="","",IF(AND(G126="Applicable",H126="Fail"),"Fail",IF(R126&lt;&gt;"Valid","Pending",IF(OR(I126="",K126="",L126="",K126=L126,NOT(ISNUMBER(M126)),NOT(ISNUMBER(N126)),M126&gt;Settings!$F$8,N126&lt;Settings!$F$8,N126&lt;M126),"Pending",IF(AND(G126="Applicable",H126="Pass"),"Pass",IF(AND(G126="N/A",H126="N/A",J126&lt;&gt;"",OR(E126="CEM-FUELS",E126="CEM-CCS",AND(E126="CEM-PLAN",IFERROR(INDEX('Taxonomy'!$M$9:$M$108,MATCH(D126,'Taxonomy'!$C$9:$C$108,0)),"")&lt;&gt;"Amber"),E126="BLD-TIMBER",AND(U126="Building equipment",OR(E126="BLD-WATER",E126="BLD-WASTE",E126="BLD-LAND")),AND(U126="Building renovation",E126="BLD-LAND"))),"N/A","Pending"))))))</x:f>
        <x:v>Pass</x:v>
      </x:c>
      <x:c r="Q126" s="3" t="str">
        <x:f>IF(C126="","",IF(AND(R126="Valid",OR(P126="Pass",P126="N/A")),"Complete","Unresolved"))</x:f>
        <x:v>Complete</x:v>
      </x:c>
      <x:c r="R126" s="9" t="str">
        <x:f>IF(C126="","",IF(OR(COUNTIF($C$9:$C$2008,C126)&lt;&gt;1,COUNTIFS($D$9:$D$2008,D126,$E$9:$E$2008,E126)&lt;&gt;1),"Duplicate test",IF(COUNTIF('Taxonomy'!$C$9:$C$108,D126)&lt;&gt;1,"Assessment key",IF(OR(COUNTIF('Taxonomy Rules'!$C$42:$C$68,E126)&lt;&gt;1,F126&lt;&gt;IFERROR(INDEX('Taxonomy Rules'!$D$42:$D$68,MATCH(E126,'Taxonomy Rules'!$C$42:$C$68,0)),""),NOT(OR(IFERROR(INDEX('Taxonomy Rules'!$G$42:$G$68,MATCH(E126,'Taxonomy Rules'!$C$42:$C$68,0)),"")="All supported routes",IFERROR(INDEX('Taxonomy Rules'!$G$42:$G$68,MATCH(E126,'Taxonomy Rules'!$C$42:$C$68,0)),"")=U126,AND(IFERROR(INDEX('Taxonomy Rules'!$G$42:$G$68,MATCH(E126,'Taxonomy Rules'!$C$42:$C$68,0)),"")="Building routes",OR(U126="Building renovation",U126="New building",U126="Building equipment"))))),"Unexpected test","Valid"))))</x:f>
        <x:v>Valid</x:v>
      </x:c>
      <x:c r="S126" s="9" t="str">
        <x:f>IF(C126="","",IFERROR(INDEX('Taxonomy Rules'!$E$42:$E$68,MATCH(E126,'Taxonomy Rules'!$C$42:$C$68,0)),""))</x:f>
        <x:v>Proportionate human-rights diligence, stakeholder/social-impact process and grievance mechanism.</x:v>
      </x:c>
      <x:c r="T126" s="9" t="str">
        <x:f>IF(C126="","",IFERROR(INDEX('Taxonomy Rules'!$F$42:$F$68,MATCH(E126,'Taxonomy Rules'!$C$42:$C$68,0)),""))</x:f>
        <x:v>S10 p29</x:v>
      </x:c>
      <x:c r="U126" s="9" t="str">
        <x:f>IF(C126="","",IFERROR(INDEX('Taxonomy'!$G$9:$G$108,MATCH(D126,'Taxonomy'!$C$9:$C$108,0)),""))</x:f>
        <x:v>Cement</x:v>
      </x:c>
    </x:row>
    <x:row r="127" ht="44" customHeight="1">
      <x:c r="A127" s="1"/>
      <x:c r="B127" s="1"/>
      <x:c r="C127" s="8" t="str">
        <x:v>TST-F013-CEM-FUELS</x:v>
      </x:c>
      <x:c r="D127" s="8" t="str">
        <x:v>TAX-F013</x:v>
      </x:c>
      <x:c r="E127" s="8" t="str">
        <x:v>CEM-FUELS</x:v>
      </x:c>
      <x:c r="F127" s="8" t="str">
        <x:v>Technical</x:v>
      </x:c>
      <x:c r="G127" s="8" t="str">
        <x:v>N/A</x:v>
      </x:c>
      <x:c r="H127" s="8" t="str">
        <x:v>N/A</x:v>
      </x:c>
      <x:c r="I127" s="8" t="str">
        <x:v>SYN-TEST-F013-CEM-FUELS</x:v>
      </x:c>
      <x:c r="J127" s="8" t="str">
        <x:v>Not used / Green route; independent review confirms conditional criterion not triggered</x:v>
      </x:c>
      <x:c r="K127" s="8" t="str">
        <x:v>Taxonomy analyst 1</x:v>
      </x:c>
      <x:c r="L127" s="8" t="str">
        <x:v>Taxonomy reviewer 1</x:v>
      </x:c>
      <x:c r="M127" s="10" t="n">
        <x:v>46266</x:v>
      </x:c>
      <x:c r="N127" s="10" t="n">
        <x:v>46631</x:v>
      </x:c>
      <x:c r="O127" s="8"/>
      <x:c r="P127" s="9" t="str">
        <x:f>IF(C127="","",IF(AND(G127="Applicable",H127="Fail"),"Fail",IF(R127&lt;&gt;"Valid","Pending",IF(OR(I127="",K127="",L127="",K127=L127,NOT(ISNUMBER(M127)),NOT(ISNUMBER(N127)),M127&gt;Settings!$F$8,N127&lt;Settings!$F$8,N127&lt;M127),"Pending",IF(AND(G127="Applicable",H127="Pass"),"Pass",IF(AND(G127="N/A",H127="N/A",J127&lt;&gt;"",OR(E127="CEM-FUELS",E127="CEM-CCS",AND(E127="CEM-PLAN",IFERROR(INDEX('Taxonomy'!$M$9:$M$108,MATCH(D127,'Taxonomy'!$C$9:$C$108,0)),"")&lt;&gt;"Amber"),E127="BLD-TIMBER",AND(U127="Building equipment",OR(E127="BLD-WATER",E127="BLD-WASTE",E127="BLD-LAND")),AND(U127="Building renovation",E127="BLD-LAND"))),"N/A","Pending"))))))</x:f>
        <x:v>N/A</x:v>
      </x:c>
      <x:c r="Q127" s="3" t="str">
        <x:f>IF(C127="","",IF(AND(R127="Valid",OR(P127="Pass",P127="N/A")),"Complete","Unresolved"))</x:f>
        <x:v>Complete</x:v>
      </x:c>
      <x:c r="R127" s="9" t="str">
        <x:f>IF(C127="","",IF(OR(COUNTIF($C$9:$C$2008,C127)&lt;&gt;1,COUNTIFS($D$9:$D$2008,D127,$E$9:$E$2008,E127)&lt;&gt;1),"Duplicate test",IF(COUNTIF('Taxonomy'!$C$9:$C$108,D127)&lt;&gt;1,"Assessment key",IF(OR(COUNTIF('Taxonomy Rules'!$C$42:$C$68,E127)&lt;&gt;1,F127&lt;&gt;IFERROR(INDEX('Taxonomy Rules'!$D$42:$D$68,MATCH(E127,'Taxonomy Rules'!$C$42:$C$68,0)),""),NOT(OR(IFERROR(INDEX('Taxonomy Rules'!$G$42:$G$68,MATCH(E127,'Taxonomy Rules'!$C$42:$C$68,0)),"")="All supported routes",IFERROR(INDEX('Taxonomy Rules'!$G$42:$G$68,MATCH(E127,'Taxonomy Rules'!$C$42:$C$68,0)),"")=U127,AND(IFERROR(INDEX('Taxonomy Rules'!$G$42:$G$68,MATCH(E127,'Taxonomy Rules'!$C$42:$C$68,0)),"")="Building routes",OR(U127="Building renovation",U127="New building",U127="Building equipment"))))),"Unexpected test","Valid"))))</x:f>
        <x:v>Valid</x:v>
      </x:c>
      <x:c r="S127" s="9" t="str">
        <x:f>IF(C127="","",IFERROR(INDEX('Taxonomy Rules'!$E$42:$E$68,MATCH(E127,'Taxonomy Rules'!$C$42:$C$68,0)),""))</x:f>
        <x:v>If biomass / hydrogen used, cross-referenced taxonomy criteria met; waste nonrecyclable with separation and air standards.</x:v>
      </x:c>
      <x:c r="T127" s="9" t="str">
        <x:f>IF(C127="","",IFERROR(INDEX('Taxonomy Rules'!$F$42:$F$68,MATCH(E127,'Taxonomy Rules'!$C$42:$C$68,0)),""))</x:f>
        <x:v>S10 pp49–50</x:v>
      </x:c>
      <x:c r="U127" s="9" t="str">
        <x:f>IF(C127="","",IFERROR(INDEX('Taxonomy'!$G$9:$G$108,MATCH(D127,'Taxonomy'!$C$9:$C$108,0)),""))</x:f>
        <x:v>Cement</x:v>
      </x:c>
    </x:row>
    <x:row r="128" ht="44" customHeight="1">
      <x:c r="A128" s="1"/>
      <x:c r="B128" s="1"/>
      <x:c r="C128" s="8" t="str">
        <x:v>TST-F013-CEM-CCS</x:v>
      </x:c>
      <x:c r="D128" s="8" t="str">
        <x:v>TAX-F013</x:v>
      </x:c>
      <x:c r="E128" s="8" t="str">
        <x:v>CEM-CCS</x:v>
      </x:c>
      <x:c r="F128" s="8" t="str">
        <x:v>Technical</x:v>
      </x:c>
      <x:c r="G128" s="8" t="str">
        <x:v>N/A</x:v>
      </x:c>
      <x:c r="H128" s="8" t="str">
        <x:v>N/A</x:v>
      </x:c>
      <x:c r="I128" s="8" t="str">
        <x:v>SYN-TEST-F013-CEM-CCS</x:v>
      </x:c>
      <x:c r="J128" s="8" t="str">
        <x:v>Not used / Green route; independent review confirms conditional criterion not triggered</x:v>
      </x:c>
      <x:c r="K128" s="8" t="str">
        <x:v>Taxonomy analyst 1</x:v>
      </x:c>
      <x:c r="L128" s="8" t="str">
        <x:v>Taxonomy reviewer 1</x:v>
      </x:c>
      <x:c r="M128" s="10" t="n">
        <x:v>46266</x:v>
      </x:c>
      <x:c r="N128" s="10" t="n">
        <x:v>46631</x:v>
      </x:c>
      <x:c r="O128" s="8"/>
      <x:c r="P128" s="9" t="str">
        <x:f>IF(C128="","",IF(AND(G128="Applicable",H128="Fail"),"Fail",IF(R128&lt;&gt;"Valid","Pending",IF(OR(I128="",K128="",L128="",K128=L128,NOT(ISNUMBER(M128)),NOT(ISNUMBER(N128)),M128&gt;Settings!$F$8,N128&lt;Settings!$F$8,N128&lt;M128),"Pending",IF(AND(G128="Applicable",H128="Pass"),"Pass",IF(AND(G128="N/A",H128="N/A",J128&lt;&gt;"",OR(E128="CEM-FUELS",E128="CEM-CCS",AND(E128="CEM-PLAN",IFERROR(INDEX('Taxonomy'!$M$9:$M$108,MATCH(D128,'Taxonomy'!$C$9:$C$108,0)),"")&lt;&gt;"Amber"),E128="BLD-TIMBER",AND(U128="Building equipment",OR(E128="BLD-WATER",E128="BLD-WASTE",E128="BLD-LAND")),AND(U128="Building renovation",E128="BLD-LAND"))),"N/A","Pending"))))))</x:f>
        <x:v>N/A</x:v>
      </x:c>
      <x:c r="Q128" s="3" t="str">
        <x:f>IF(C128="","",IF(AND(R128="Valid",OR(P128="Pass",P128="N/A")),"Complete","Unresolved"))</x:f>
        <x:v>Complete</x:v>
      </x:c>
      <x:c r="R128" s="9" t="str">
        <x:f>IF(C128="","",IF(OR(COUNTIF($C$9:$C$2008,C128)&lt;&gt;1,COUNTIFS($D$9:$D$2008,D128,$E$9:$E$2008,E128)&lt;&gt;1),"Duplicate test",IF(COUNTIF('Taxonomy'!$C$9:$C$108,D128)&lt;&gt;1,"Assessment key",IF(OR(COUNTIF('Taxonomy Rules'!$C$42:$C$68,E128)&lt;&gt;1,F128&lt;&gt;IFERROR(INDEX('Taxonomy Rules'!$D$42:$D$68,MATCH(E128,'Taxonomy Rules'!$C$42:$C$68,0)),""),NOT(OR(IFERROR(INDEX('Taxonomy Rules'!$G$42:$G$68,MATCH(E128,'Taxonomy Rules'!$C$42:$C$68,0)),"")="All supported routes",IFERROR(INDEX('Taxonomy Rules'!$G$42:$G$68,MATCH(E128,'Taxonomy Rules'!$C$42:$C$68,0)),"")=U128,AND(IFERROR(INDEX('Taxonomy Rules'!$G$42:$G$68,MATCH(E128,'Taxonomy Rules'!$C$42:$C$68,0)),"")="Building routes",OR(U128="Building renovation",U128="New building",U128="Building equipment"))))),"Unexpected test","Valid"))))</x:f>
        <x:v>Valid</x:v>
      </x:c>
      <x:c r="S128" s="9" t="str">
        <x:f>IF(C128="","",IFERROR(INDEX('Taxonomy Rules'!$E$42:$E$68,MATCH(E128,'Taxonomy Rules'!$C$42:$C$68,0)),""))</x:f>
        <x:v>If CCS used: at least 70% total CO2 capture plus recognised capture, transport and permanent-storage practice.</x:v>
      </x:c>
      <x:c r="T128" s="9" t="str">
        <x:f>IF(C128="","",IFERROR(INDEX('Taxonomy Rules'!$F$42:$F$68,MATCH(E128,'Taxonomy Rules'!$C$42:$C$68,0)),""))</x:f>
        <x:v>S10 pp49–50</x:v>
      </x:c>
      <x:c r="U128" s="9" t="str">
        <x:f>IF(C128="","",IFERROR(INDEX('Taxonomy'!$G$9:$G$108,MATCH(D128,'Taxonomy'!$C$9:$C$108,0)),""))</x:f>
        <x:v>Cement</x:v>
      </x:c>
    </x:row>
    <x:row r="129" ht="44" customHeight="1">
      <x:c r="A129" s="1"/>
      <x:c r="B129" s="1"/>
      <x:c r="C129" s="8" t="str">
        <x:v>TST-F013-CEM-PLAN</x:v>
      </x:c>
      <x:c r="D129" s="8" t="str">
        <x:v>TAX-F013</x:v>
      </x:c>
      <x:c r="E129" s="8" t="str">
        <x:v>CEM-PLAN</x:v>
      </x:c>
      <x:c r="F129" s="8" t="str">
        <x:v>Technical</x:v>
      </x:c>
      <x:c r="G129" s="8" t="str">
        <x:v>N/A</x:v>
      </x:c>
      <x:c r="H129" s="8" t="str">
        <x:v>N/A</x:v>
      </x:c>
      <x:c r="I129" s="8" t="str">
        <x:v>SYN-TEST-F013-CEM-PLAN</x:v>
      </x:c>
      <x:c r="J129" s="8" t="str">
        <x:v>Not used / Green route; independent review confirms conditional criterion not triggered</x:v>
      </x:c>
      <x:c r="K129" s="8" t="str">
        <x:v>Taxonomy analyst 1</x:v>
      </x:c>
      <x:c r="L129" s="8" t="str">
        <x:v>Taxonomy reviewer 1</x:v>
      </x:c>
      <x:c r="M129" s="10" t="n">
        <x:v>46266</x:v>
      </x:c>
      <x:c r="N129" s="10" t="n">
        <x:v>46631</x:v>
      </x:c>
      <x:c r="O129" s="8"/>
      <x:c r="P129" s="9" t="str">
        <x:f>IF(C129="","",IF(AND(G129="Applicable",H129="Fail"),"Fail",IF(R129&lt;&gt;"Valid","Pending",IF(OR(I129="",K129="",L129="",K129=L129,NOT(ISNUMBER(M129)),NOT(ISNUMBER(N129)),M129&gt;Settings!$F$8,N129&lt;Settings!$F$8,N129&lt;M129),"Pending",IF(AND(G129="Applicable",H129="Pass"),"Pass",IF(AND(G129="N/A",H129="N/A",J129&lt;&gt;"",OR(E129="CEM-FUELS",E129="CEM-CCS",AND(E129="CEM-PLAN",IFERROR(INDEX('Taxonomy'!$M$9:$M$108,MATCH(D129,'Taxonomy'!$C$9:$C$108,0)),"")&lt;&gt;"Amber"),E129="BLD-TIMBER",AND(U129="Building equipment",OR(E129="BLD-WATER",E129="BLD-WASTE",E129="BLD-LAND")),AND(U129="Building renovation",E129="BLD-LAND"))),"N/A","Pending"))))))</x:f>
        <x:v>N/A</x:v>
      </x:c>
      <x:c r="Q129" s="3" t="str">
        <x:f>IF(C129="","",IF(AND(R129="Valid",OR(P129="Pass",P129="N/A")),"Complete","Unresolved"))</x:f>
        <x:v>Complete</x:v>
      </x:c>
      <x:c r="R129" s="9" t="str">
        <x:f>IF(C129="","",IF(OR(COUNTIF($C$9:$C$2008,C129)&lt;&gt;1,COUNTIFS($D$9:$D$2008,D129,$E$9:$E$2008,E129)&lt;&gt;1),"Duplicate test",IF(COUNTIF('Taxonomy'!$C$9:$C$108,D129)&lt;&gt;1,"Assessment key",IF(OR(COUNTIF('Taxonomy Rules'!$C$42:$C$68,E129)&lt;&gt;1,F129&lt;&gt;IFERROR(INDEX('Taxonomy Rules'!$D$42:$D$68,MATCH(E129,'Taxonomy Rules'!$C$42:$C$68,0)),""),NOT(OR(IFERROR(INDEX('Taxonomy Rules'!$G$42:$G$68,MATCH(E129,'Taxonomy Rules'!$C$42:$C$68,0)),"")="All supported routes",IFERROR(INDEX('Taxonomy Rules'!$G$42:$G$68,MATCH(E129,'Taxonomy Rules'!$C$42:$C$68,0)),"")=U129,AND(IFERROR(INDEX('Taxonomy Rules'!$G$42:$G$68,MATCH(E129,'Taxonomy Rules'!$C$42:$C$68,0)),"")="Building routes",OR(U129="Building renovation",U129="New building",U129="Building equipment"))))),"Unexpected test","Valid"))))</x:f>
        <x:v>Valid</x:v>
      </x:c>
      <x:c r="S129" s="9" t="str">
        <x:f>IF(C129="","",IFERROR(INDEX('Taxonomy Rules'!$E$42:$E$68,MATCH(E129,'Taxonomy Rules'!$C$42:$C$68,0)),""))</x:f>
        <x:v>For Amber: Paris-aligned net-zero plan and listed decarbonisation measure implemented before 2040.</x:v>
      </x:c>
      <x:c r="T129" s="9" t="str">
        <x:f>IF(C129="","",IFERROR(INDEX('Taxonomy Rules'!$F$42:$F$68,MATCH(E129,'Taxonomy Rules'!$C$42:$C$68,0)),""))</x:f>
        <x:v>S10 pp50–51</x:v>
      </x:c>
      <x:c r="U129" s="9" t="str">
        <x:f>IF(C129="","",IFERROR(INDEX('Taxonomy'!$G$9:$G$108,MATCH(D129,'Taxonomy'!$C$9:$C$108,0)),""))</x:f>
        <x:v>Cement</x:v>
      </x:c>
    </x:row>
    <x:row r="130" ht="44" customHeight="1">
      <x:c r="A130" s="1"/>
      <x:c r="B130" s="1"/>
      <x:c r="C130" s="8" t="str">
        <x:v>TST-F014-SC-EVIDENCE</x:v>
      </x:c>
      <x:c r="D130" s="8" t="str">
        <x:v>TAX-F014</x:v>
      </x:c>
      <x:c r="E130" s="8" t="str">
        <x:v>SC-EVIDENCE</x:v>
      </x:c>
      <x:c r="F130" s="8" t="str">
        <x:v>Technical</x:v>
      </x:c>
      <x:c r="G130" s="8" t="str">
        <x:v>Applicable</x:v>
      </x:c>
      <x:c r="H130" s="8" t="str">
        <x:v>Pass</x:v>
      </x:c>
      <x:c r="I130" s="8" t="str">
        <x:v>SYN-TEST-F014-SC-EVIDENCE</x:v>
      </x:c>
      <x:c r="J130" s="8" t="str"/>
      <x:c r="K130" s="8" t="str">
        <x:v>Taxonomy analyst 2</x:v>
      </x:c>
      <x:c r="L130" s="8" t="str">
        <x:v>Taxonomy reviewer 2</x:v>
      </x:c>
      <x:c r="M130" s="10" t="n">
        <x:v>46266</x:v>
      </x:c>
      <x:c r="N130" s="10" t="n">
        <x:v>46631</x:v>
      </x:c>
      <x:c r="O130" s="8"/>
      <x:c r="P130" s="9" t="str">
        <x:f>IF(C130="","",IF(AND(G130="Applicable",H130="Fail"),"Fail",IF(R130&lt;&gt;"Valid","Pending",IF(OR(I130="",K130="",L130="",K130=L130,NOT(ISNUMBER(M130)),NOT(ISNUMBER(N130)),M130&gt;Settings!$F$8,N130&lt;Settings!$F$8,N130&lt;M130),"Pending",IF(AND(G130="Applicable",H130="Pass"),"Pass",IF(AND(G130="N/A",H130="N/A",J130&lt;&gt;"",OR(E130="CEM-FUELS",E130="CEM-CCS",AND(E130="CEM-PLAN",IFERROR(INDEX('Taxonomy'!$M$9:$M$108,MATCH(D130,'Taxonomy'!$C$9:$C$108,0)),"")&lt;&gt;"Amber"),E130="BLD-TIMBER",AND(U130="Building equipment",OR(E130="BLD-WATER",E130="BLD-WASTE",E130="BLD-LAND")),AND(U130="Building renovation",E130="BLD-LAND"))),"N/A","Pending"))))))</x:f>
        <x:v>Pass</x:v>
      </x:c>
      <x:c r="Q130" s="3" t="str">
        <x:f>IF(C130="","",IF(AND(R130="Valid",OR(P130="Pass",P130="N/A")),"Complete","Unresolved"))</x:f>
        <x:v>Complete</x:v>
      </x:c>
      <x:c r="R130" s="9" t="str">
        <x:f>IF(C130="","",IF(OR(COUNTIF($C$9:$C$2008,C130)&lt;&gt;1,COUNTIFS($D$9:$D$2008,D130,$E$9:$E$2008,E130)&lt;&gt;1),"Duplicate test",IF(COUNTIF('Taxonomy'!$C$9:$C$108,D130)&lt;&gt;1,"Assessment key",IF(OR(COUNTIF('Taxonomy Rules'!$C$42:$C$68,E130)&lt;&gt;1,F130&lt;&gt;IFERROR(INDEX('Taxonomy Rules'!$D$42:$D$68,MATCH(E130,'Taxonomy Rules'!$C$42:$C$68,0)),""),NOT(OR(IFERROR(INDEX('Taxonomy Rules'!$G$42:$G$68,MATCH(E130,'Taxonomy Rules'!$C$42:$C$68,0)),"")="All supported routes",IFERROR(INDEX('Taxonomy Rules'!$G$42:$G$68,MATCH(E130,'Taxonomy Rules'!$C$42:$C$68,0)),"")=U130,AND(IFERROR(INDEX('Taxonomy Rules'!$G$42:$G$68,MATCH(E130,'Taxonomy Rules'!$C$42:$C$68,0)),"")="Building routes",OR(U130="Building renovation",U130="New building",U130="Building equipment"))))),"Unexpected test","Valid"))))</x:f>
        <x:v>Valid</x:v>
      </x:c>
      <x:c r="S130" s="9" t="str">
        <x:f>IF(C130="","",IFERROR(INDEX('Taxonomy Rules'!$E$42:$E$68,MATCH(E130,'Taxonomy Rules'!$C$42:$C$68,0)),""))</x:f>
        <x:v>Boundary and chosen route are evidenced; observations match the activity card.</x:v>
      </x:c>
      <x:c r="T130" s="9" t="str">
        <x:f>IF(C130="","",IFERROR(INDEX('Taxonomy Rules'!$F$42:$F$68,MATCH(E130,'Taxonomy Rules'!$C$42:$C$68,0)),""))</x:f>
        <x:v>S10 activity card</x:v>
      </x:c>
      <x:c r="U130" s="9" t="str">
        <x:f>IF(C130="","",IFERROR(INDEX('Taxonomy'!$G$9:$G$108,MATCH(D130,'Taxonomy'!$C$9:$C$108,0)),""))</x:f>
        <x:v>Cement</x:v>
      </x:c>
    </x:row>
    <x:row r="131" ht="44" customHeight="1">
      <x:c r="A131" s="1"/>
      <x:c r="B131" s="1"/>
      <x:c r="C131" s="8" t="str">
        <x:v>TST-F014-DNSH-MIT</x:v>
      </x:c>
      <x:c r="D131" s="8" t="str">
        <x:v>TAX-F014</x:v>
      </x:c>
      <x:c r="E131" s="8" t="str">
        <x:v>DNSH-MIT</x:v>
      </x:c>
      <x:c r="F131" s="8" t="str">
        <x:v>DNSH</x:v>
      </x:c>
      <x:c r="G131" s="8" t="str">
        <x:v>Applicable</x:v>
      </x:c>
      <x:c r="H131" s="8" t="str">
        <x:v>Pass</x:v>
      </x:c>
      <x:c r="I131" s="8" t="str">
        <x:v>SYN-TEST-F014-DNSH-MIT</x:v>
      </x:c>
      <x:c r="J131" s="8" t="str"/>
      <x:c r="K131" s="8" t="str">
        <x:v>Taxonomy analyst 2</x:v>
      </x:c>
      <x:c r="L131" s="8" t="str">
        <x:v>Taxonomy reviewer 2</x:v>
      </x:c>
      <x:c r="M131" s="10" t="n">
        <x:v>46266</x:v>
      </x:c>
      <x:c r="N131" s="10" t="n">
        <x:v>46631</x:v>
      </x:c>
      <x:c r="O131" s="8"/>
      <x:c r="P131" s="9" t="str">
        <x:f>IF(C131="","",IF(AND(G131="Applicable",H131="Fail"),"Fail",IF(R131&lt;&gt;"Valid","Pending",IF(OR(I131="",K131="",L131="",K131=L131,NOT(ISNUMBER(M131)),NOT(ISNUMBER(N131)),M131&gt;Settings!$F$8,N131&lt;Settings!$F$8,N131&lt;M131),"Pending",IF(AND(G131="Applicable",H131="Pass"),"Pass",IF(AND(G131="N/A",H131="N/A",J131&lt;&gt;"",OR(E131="CEM-FUELS",E131="CEM-CCS",AND(E131="CEM-PLAN",IFERROR(INDEX('Taxonomy'!$M$9:$M$108,MATCH(D131,'Taxonomy'!$C$9:$C$108,0)),"")&lt;&gt;"Amber"),E131="BLD-TIMBER",AND(U131="Building equipment",OR(E131="BLD-WATER",E131="BLD-WASTE",E131="BLD-LAND")),AND(U131="Building renovation",E131="BLD-LAND"))),"N/A","Pending"))))))</x:f>
        <x:v>Pass</x:v>
      </x:c>
      <x:c r="Q131" s="3" t="str">
        <x:f>IF(C131="","",IF(AND(R131="Valid",OR(P131="Pass",P131="N/A")),"Complete","Unresolved"))</x:f>
        <x:v>Complete</x:v>
      </x:c>
      <x:c r="R131" s="9" t="str">
        <x:f>IF(C131="","",IF(OR(COUNTIF($C$9:$C$2008,C131)&lt;&gt;1,COUNTIFS($D$9:$D$2008,D131,$E$9:$E$2008,E131)&lt;&gt;1),"Duplicate test",IF(COUNTIF('Taxonomy'!$C$9:$C$108,D131)&lt;&gt;1,"Assessment key",IF(OR(COUNTIF('Taxonomy Rules'!$C$42:$C$68,E131)&lt;&gt;1,F131&lt;&gt;IFERROR(INDEX('Taxonomy Rules'!$D$42:$D$68,MATCH(E131,'Taxonomy Rules'!$C$42:$C$68,0)),""),NOT(OR(IFERROR(INDEX('Taxonomy Rules'!$G$42:$G$68,MATCH(E131,'Taxonomy Rules'!$C$42:$C$68,0)),"")="All supported routes",IFERROR(INDEX('Taxonomy Rules'!$G$42:$G$68,MATCH(E131,'Taxonomy Rules'!$C$42:$C$68,0)),"")=U131,AND(IFERROR(INDEX('Taxonomy Rules'!$G$42:$G$68,MATCH(E131,'Taxonomy Rules'!$C$42:$C$68,0)),"")="Building routes",OR(U131="Building renovation",U131="New building",U131="Building equipment"))))),"Unexpected test","Valid"))))</x:f>
        <x:v>Valid</x:v>
      </x:c>
      <x:c r="S131" s="9" t="str">
        <x:f>IF(C131="","",IFERROR(INDEX('Taxonomy Rules'!$E$42:$E$68,MATCH(E131,'Taxonomy Rules'!$C$42:$C$68,0)),""))</x:f>
        <x:v>No avoidable fossil lock-in; material lifecycle effects assessed.</x:v>
      </x:c>
      <x:c r="T131" s="9" t="str">
        <x:f>IF(C131="","",IFERROR(INDEX('Taxonomy Rules'!$F$42:$F$68,MATCH(E131,'Taxonomy Rules'!$C$42:$C$68,0)),""))</x:f>
        <x:v>S10 p30</x:v>
      </x:c>
      <x:c r="U131" s="9" t="str">
        <x:f>IF(C131="","",IFERROR(INDEX('Taxonomy'!$G$9:$G$108,MATCH(D131,'Taxonomy'!$C$9:$C$108,0)),""))</x:f>
        <x:v>Cement</x:v>
      </x:c>
    </x:row>
    <x:row r="132" ht="44" customHeight="1">
      <x:c r="A132" s="1"/>
      <x:c r="B132" s="1"/>
      <x:c r="C132" s="8" t="str">
        <x:v>TST-F014-DNSH-ADAPT</x:v>
      </x:c>
      <x:c r="D132" s="8" t="str">
        <x:v>TAX-F014</x:v>
      </x:c>
      <x:c r="E132" s="8" t="str">
        <x:v>DNSH-ADAPT</x:v>
      </x:c>
      <x:c r="F132" s="8" t="str">
        <x:v>DNSH</x:v>
      </x:c>
      <x:c r="G132" s="8" t="str">
        <x:v>Applicable</x:v>
      </x:c>
      <x:c r="H132" s="8" t="str">
        <x:v>Pass</x:v>
      </x:c>
      <x:c r="I132" s="8" t="str">
        <x:v>SYN-TEST-F014-DNSH-ADAPT</x:v>
      </x:c>
      <x:c r="J132" s="8" t="str"/>
      <x:c r="K132" s="8" t="str">
        <x:v>Taxonomy analyst 2</x:v>
      </x:c>
      <x:c r="L132" s="8" t="str">
        <x:v>Taxonomy reviewer 2</x:v>
      </x:c>
      <x:c r="M132" s="10" t="n">
        <x:v>46266</x:v>
      </x:c>
      <x:c r="N132" s="10" t="n">
        <x:v>46631</x:v>
      </x:c>
      <x:c r="O132" s="8"/>
      <x:c r="P132" s="9" t="str">
        <x:f>IF(C132="","",IF(AND(G132="Applicable",H132="Fail"),"Fail",IF(R132&lt;&gt;"Valid","Pending",IF(OR(I132="",K132="",L132="",K132=L132,NOT(ISNUMBER(M132)),NOT(ISNUMBER(N132)),M132&gt;Settings!$F$8,N132&lt;Settings!$F$8,N132&lt;M132),"Pending",IF(AND(G132="Applicable",H132="Pass"),"Pass",IF(AND(G132="N/A",H132="N/A",J132&lt;&gt;"",OR(E132="CEM-FUELS",E132="CEM-CCS",AND(E132="CEM-PLAN",IFERROR(INDEX('Taxonomy'!$M$9:$M$108,MATCH(D132,'Taxonomy'!$C$9:$C$108,0)),"")&lt;&gt;"Amber"),E132="BLD-TIMBER",AND(U132="Building equipment",OR(E132="BLD-WATER",E132="BLD-WASTE",E132="BLD-LAND")),AND(U132="Building renovation",E132="BLD-LAND"))),"N/A","Pending"))))))</x:f>
        <x:v>Pass</x:v>
      </x:c>
      <x:c r="Q132" s="3" t="str">
        <x:f>IF(C132="","",IF(AND(R132="Valid",OR(P132="Pass",P132="N/A")),"Complete","Unresolved"))</x:f>
        <x:v>Complete</x:v>
      </x:c>
      <x:c r="R132" s="9" t="str">
        <x:f>IF(C132="","",IF(OR(COUNTIF($C$9:$C$2008,C132)&lt;&gt;1,COUNTIFS($D$9:$D$2008,D132,$E$9:$E$2008,E132)&lt;&gt;1),"Duplicate test",IF(COUNTIF('Taxonomy'!$C$9:$C$108,D132)&lt;&gt;1,"Assessment key",IF(OR(COUNTIF('Taxonomy Rules'!$C$42:$C$68,E132)&lt;&gt;1,F132&lt;&gt;IFERROR(INDEX('Taxonomy Rules'!$D$42:$D$68,MATCH(E132,'Taxonomy Rules'!$C$42:$C$68,0)),""),NOT(OR(IFERROR(INDEX('Taxonomy Rules'!$G$42:$G$68,MATCH(E132,'Taxonomy Rules'!$C$42:$C$68,0)),"")="All supported routes",IFERROR(INDEX('Taxonomy Rules'!$G$42:$G$68,MATCH(E132,'Taxonomy Rules'!$C$42:$C$68,0)),"")=U132,AND(IFERROR(INDEX('Taxonomy Rules'!$G$42:$G$68,MATCH(E132,'Taxonomy Rules'!$C$42:$C$68,0)),"")="Building routes",OR(U132="Building renovation",U132="New building",U132="Building equipment"))))),"Unexpected test","Valid"))))</x:f>
        <x:v>Valid</x:v>
      </x:c>
      <x:c r="S132" s="9" t="str">
        <x:f>IF(C132="","",IFERROR(INDEX('Taxonomy Rules'!$E$42:$E$68,MATCH(E132,'Taxonomy Rules'!$C$42:$C$68,0)),""))</x:f>
        <x:v>Lifetime hazard screen, material risk assessment and implemented adaptation; no harm to others.</x:v>
      </x:c>
      <x:c r="T132" s="9" t="str">
        <x:f>IF(C132="","",IFERROR(INDEX('Taxonomy Rules'!$F$42:$F$68,MATCH(E132,'Taxonomy Rules'!$C$42:$C$68,0)),""))</x:f>
        <x:v>S10 pp30–31</x:v>
      </x:c>
      <x:c r="U132" s="9" t="str">
        <x:f>IF(C132="","",IFERROR(INDEX('Taxonomy'!$G$9:$G$108,MATCH(D132,'Taxonomy'!$C$9:$C$108,0)),""))</x:f>
        <x:v>Cement</x:v>
      </x:c>
    </x:row>
    <x:row r="133" ht="44" customHeight="1">
      <x:c r="A133" s="1"/>
      <x:c r="B133" s="1"/>
      <x:c r="C133" s="8" t="str">
        <x:v>TST-F014-DNSH-WATER</x:v>
      </x:c>
      <x:c r="D133" s="8" t="str">
        <x:v>TAX-F014</x:v>
      </x:c>
      <x:c r="E133" s="8" t="str">
        <x:v>DNSH-WATER</x:v>
      </x:c>
      <x:c r="F133" s="8" t="str">
        <x:v>DNSH</x:v>
      </x:c>
      <x:c r="G133" s="8" t="str">
        <x:v>Applicable</x:v>
      </x:c>
      <x:c r="H133" s="8" t="str">
        <x:v>Pass</x:v>
      </x:c>
      <x:c r="I133" s="8" t="str">
        <x:v>SYN-TEST-F014-DNSH-WATER</x:v>
      </x:c>
      <x:c r="J133" s="8" t="str"/>
      <x:c r="K133" s="8" t="str">
        <x:v>Taxonomy analyst 2</x:v>
      </x:c>
      <x:c r="L133" s="8" t="str">
        <x:v>Taxonomy reviewer 2</x:v>
      </x:c>
      <x:c r="M133" s="10" t="n">
        <x:v>46266</x:v>
      </x:c>
      <x:c r="N133" s="10" t="n">
        <x:v>46631</x:v>
      </x:c>
      <x:c r="O133" s="8"/>
      <x:c r="P133" s="9" t="str">
        <x:f>IF(C133="","",IF(AND(G133="Applicable",H133="Fail"),"Fail",IF(R133&lt;&gt;"Valid","Pending",IF(OR(I133="",K133="",L133="",K133=L133,NOT(ISNUMBER(M133)),NOT(ISNUMBER(N133)),M133&gt;Settings!$F$8,N133&lt;Settings!$F$8,N133&lt;M133),"Pending",IF(AND(G133="Applicable",H133="Pass"),"Pass",IF(AND(G133="N/A",H133="N/A",J133&lt;&gt;"",OR(E133="CEM-FUELS",E133="CEM-CCS",AND(E133="CEM-PLAN",IFERROR(INDEX('Taxonomy'!$M$9:$M$108,MATCH(D133,'Taxonomy'!$C$9:$C$108,0)),"")&lt;&gt;"Amber"),E133="BLD-TIMBER",AND(U133="Building equipment",OR(E133="BLD-WATER",E133="BLD-WASTE",E133="BLD-LAND")),AND(U133="Building renovation",E133="BLD-LAND"))),"N/A","Pending"))))))</x:f>
        <x:v>Pass</x:v>
      </x:c>
      <x:c r="Q133" s="3" t="str">
        <x:f>IF(C133="","",IF(AND(R133="Valid",OR(P133="Pass",P133="N/A")),"Complete","Unresolved"))</x:f>
        <x:v>Complete</x:v>
      </x:c>
      <x:c r="R133" s="9" t="str">
        <x:f>IF(C133="","",IF(OR(COUNTIF($C$9:$C$2008,C133)&lt;&gt;1,COUNTIFS($D$9:$D$2008,D133,$E$9:$E$2008,E133)&lt;&gt;1),"Duplicate test",IF(COUNTIF('Taxonomy'!$C$9:$C$108,D133)&lt;&gt;1,"Assessment key",IF(OR(COUNTIF('Taxonomy Rules'!$C$42:$C$68,E133)&lt;&gt;1,F133&lt;&gt;IFERROR(INDEX('Taxonomy Rules'!$D$42:$D$68,MATCH(E133,'Taxonomy Rules'!$C$42:$C$68,0)),""),NOT(OR(IFERROR(INDEX('Taxonomy Rules'!$G$42:$G$68,MATCH(E133,'Taxonomy Rules'!$C$42:$C$68,0)),"")="All supported routes",IFERROR(INDEX('Taxonomy Rules'!$G$42:$G$68,MATCH(E133,'Taxonomy Rules'!$C$42:$C$68,0)),"")=U133,AND(IFERROR(INDEX('Taxonomy Rules'!$G$42:$G$68,MATCH(E133,'Taxonomy Rules'!$C$42:$C$68,0)),"")="Building routes",OR(U133="Building renovation",U133="New building",U133="Building equipment"))))),"Unexpected test","Valid"))))</x:f>
        <x:v>Valid</x:v>
      </x:c>
      <x:c r="S133" s="9" t="str">
        <x:f>IF(C133="","",IFERROR(INDEX('Taxonomy Rules'!$E$42:$E$68,MATCH(E133,'Taxonomy Rules'!$C$42:$C$68,0)),""))</x:f>
        <x:v>Water permits, abstraction/discharge limits, required assessments and management measures.</x:v>
      </x:c>
      <x:c r="T133" s="9" t="str">
        <x:f>IF(C133="","",IFERROR(INDEX('Taxonomy Rules'!$F$42:$F$68,MATCH(E133,'Taxonomy Rules'!$C$42:$C$68,0)),""))</x:f>
        <x:v>S10 p31</x:v>
      </x:c>
      <x:c r="U133" s="9" t="str">
        <x:f>IF(C133="","",IFERROR(INDEX('Taxonomy'!$G$9:$G$108,MATCH(D133,'Taxonomy'!$C$9:$C$108,0)),""))</x:f>
        <x:v>Cement</x:v>
      </x:c>
    </x:row>
    <x:row r="134" ht="44" customHeight="1">
      <x:c r="A134" s="1"/>
      <x:c r="B134" s="1"/>
      <x:c r="C134" s="8" t="str">
        <x:v>TST-F014-DNSH-POLL</x:v>
      </x:c>
      <x:c r="D134" s="8" t="str">
        <x:v>TAX-F014</x:v>
      </x:c>
      <x:c r="E134" s="8" t="str">
        <x:v>DNSH-POLL</x:v>
      </x:c>
      <x:c r="F134" s="8" t="str">
        <x:v>DNSH</x:v>
      </x:c>
      <x:c r="G134" s="8" t="str">
        <x:v>Applicable</x:v>
      </x:c>
      <x:c r="H134" s="8" t="str">
        <x:v>Pass</x:v>
      </x:c>
      <x:c r="I134" s="8" t="str">
        <x:v>SYN-TEST-F014-DNSH-POLL</x:v>
      </x:c>
      <x:c r="J134" s="8" t="str"/>
      <x:c r="K134" s="8" t="str">
        <x:v>Taxonomy analyst 2</x:v>
      </x:c>
      <x:c r="L134" s="8" t="str">
        <x:v>Taxonomy reviewer 2</x:v>
      </x:c>
      <x:c r="M134" s="10" t="n">
        <x:v>46266</x:v>
      </x:c>
      <x:c r="N134" s="10" t="n">
        <x:v>46631</x:v>
      </x:c>
      <x:c r="O134" s="8"/>
      <x:c r="P134" s="9" t="str">
        <x:f>IF(C134="","",IF(AND(G134="Applicable",H134="Fail"),"Fail",IF(R134&lt;&gt;"Valid","Pending",IF(OR(I134="",K134="",L134="",K134=L134,NOT(ISNUMBER(M134)),NOT(ISNUMBER(N134)),M134&gt;Settings!$F$8,N134&lt;Settings!$F$8,N134&lt;M134),"Pending",IF(AND(G134="Applicable",H134="Pass"),"Pass",IF(AND(G134="N/A",H134="N/A",J134&lt;&gt;"",OR(E134="CEM-FUELS",E134="CEM-CCS",AND(E134="CEM-PLAN",IFERROR(INDEX('Taxonomy'!$M$9:$M$108,MATCH(D134,'Taxonomy'!$C$9:$C$108,0)),"")&lt;&gt;"Amber"),E134="BLD-TIMBER",AND(U134="Building equipment",OR(E134="BLD-WATER",E134="BLD-WASTE",E134="BLD-LAND")),AND(U134="Building renovation",E134="BLD-LAND"))),"N/A","Pending"))))))</x:f>
        <x:v>Pass</x:v>
      </x:c>
      <x:c r="Q134" s="3" t="str">
        <x:f>IF(C134="","",IF(AND(R134="Valid",OR(P134="Pass",P134="N/A")),"Complete","Unresolved"))</x:f>
        <x:v>Complete</x:v>
      </x:c>
      <x:c r="R134" s="9" t="str">
        <x:f>IF(C134="","",IF(OR(COUNTIF($C$9:$C$2008,C134)&lt;&gt;1,COUNTIFS($D$9:$D$2008,D134,$E$9:$E$2008,E134)&lt;&gt;1),"Duplicate test",IF(COUNTIF('Taxonomy'!$C$9:$C$108,D134)&lt;&gt;1,"Assessment key",IF(OR(COUNTIF('Taxonomy Rules'!$C$42:$C$68,E134)&lt;&gt;1,F134&lt;&gt;IFERROR(INDEX('Taxonomy Rules'!$D$42:$D$68,MATCH(E134,'Taxonomy Rules'!$C$42:$C$68,0)),""),NOT(OR(IFERROR(INDEX('Taxonomy Rules'!$G$42:$G$68,MATCH(E134,'Taxonomy Rules'!$C$42:$C$68,0)),"")="All supported routes",IFERROR(INDEX('Taxonomy Rules'!$G$42:$G$68,MATCH(E134,'Taxonomy Rules'!$C$42:$C$68,0)),"")=U134,AND(IFERROR(INDEX('Taxonomy Rules'!$G$42:$G$68,MATCH(E134,'Taxonomy Rules'!$C$42:$C$68,0)),"")="Building routes",OR(U134="Building renovation",U134="New building",U134="Building equipment"))))),"Unexpected test","Valid"))))</x:f>
        <x:v>Valid</x:v>
      </x:c>
      <x:c r="S134" s="9" t="str">
        <x:f>IF(C134="","",IFERROR(INDEX('Taxonomy Rules'!$E$42:$E$68,MATCH(E134,'Taxonomy Rules'!$C$42:$C$68,0)),""))</x:f>
        <x:v>National pollution and prohibited-substance requirements; activity-specific limits.</x:v>
      </x:c>
      <x:c r="T134" s="9" t="str">
        <x:f>IF(C134="","",IFERROR(INDEX('Taxonomy Rules'!$F$42:$F$68,MATCH(E134,'Taxonomy Rules'!$C$42:$C$68,0)),""))</x:f>
        <x:v>S10 p31</x:v>
      </x:c>
      <x:c r="U134" s="9" t="str">
        <x:f>IF(C134="","",IFERROR(INDEX('Taxonomy'!$G$9:$G$108,MATCH(D134,'Taxonomy'!$C$9:$C$108,0)),""))</x:f>
        <x:v>Cement</x:v>
      </x:c>
    </x:row>
    <x:row r="135" ht="44" customHeight="1">
      <x:c r="A135" s="1"/>
      <x:c r="B135" s="1"/>
      <x:c r="C135" s="8" t="str">
        <x:v>TST-F014-DNSH-CIRC</x:v>
      </x:c>
      <x:c r="D135" s="8" t="str">
        <x:v>TAX-F014</x:v>
      </x:c>
      <x:c r="E135" s="8" t="str">
        <x:v>DNSH-CIRC</x:v>
      </x:c>
      <x:c r="F135" s="8" t="str">
        <x:v>DNSH</x:v>
      </x:c>
      <x:c r="G135" s="8" t="str">
        <x:v>Applicable</x:v>
      </x:c>
      <x:c r="H135" s="8" t="str">
        <x:v>Pass</x:v>
      </x:c>
      <x:c r="I135" s="8" t="str">
        <x:v>SYN-TEST-F014-DNSH-CIRC</x:v>
      </x:c>
      <x:c r="J135" s="8" t="str"/>
      <x:c r="K135" s="8" t="str">
        <x:v>Taxonomy analyst 2</x:v>
      </x:c>
      <x:c r="L135" s="8" t="str">
        <x:v>Taxonomy reviewer 2</x:v>
      </x:c>
      <x:c r="M135" s="10" t="n">
        <x:v>46266</x:v>
      </x:c>
      <x:c r="N135" s="10" t="n">
        <x:v>46631</x:v>
      </x:c>
      <x:c r="O135" s="8"/>
      <x:c r="P135" s="9" t="str">
        <x:f>IF(C135="","",IF(AND(G135="Applicable",H135="Fail"),"Fail",IF(R135&lt;&gt;"Valid","Pending",IF(OR(I135="",K135="",L135="",K135=L135,NOT(ISNUMBER(M135)),NOT(ISNUMBER(N135)),M135&gt;Settings!$F$8,N135&lt;Settings!$F$8,N135&lt;M135),"Pending",IF(AND(G135="Applicable",H135="Pass"),"Pass",IF(AND(G135="N/A",H135="N/A",J135&lt;&gt;"",OR(E135="CEM-FUELS",E135="CEM-CCS",AND(E135="CEM-PLAN",IFERROR(INDEX('Taxonomy'!$M$9:$M$108,MATCH(D135,'Taxonomy'!$C$9:$C$108,0)),"")&lt;&gt;"Amber"),E135="BLD-TIMBER",AND(U135="Building equipment",OR(E135="BLD-WATER",E135="BLD-WASTE",E135="BLD-LAND")),AND(U135="Building renovation",E135="BLD-LAND"))),"N/A","Pending"))))))</x:f>
        <x:v>Pass</x:v>
      </x:c>
      <x:c r="Q135" s="3" t="str">
        <x:f>IF(C135="","",IF(AND(R135="Valid",OR(P135="Pass",P135="N/A")),"Complete","Unresolved"))</x:f>
        <x:v>Complete</x:v>
      </x:c>
      <x:c r="R135" s="9" t="str">
        <x:f>IF(C135="","",IF(OR(COUNTIF($C$9:$C$2008,C135)&lt;&gt;1,COUNTIFS($D$9:$D$2008,D135,$E$9:$E$2008,E135)&lt;&gt;1),"Duplicate test",IF(COUNTIF('Taxonomy'!$C$9:$C$108,D135)&lt;&gt;1,"Assessment key",IF(OR(COUNTIF('Taxonomy Rules'!$C$42:$C$68,E135)&lt;&gt;1,F135&lt;&gt;IFERROR(INDEX('Taxonomy Rules'!$D$42:$D$68,MATCH(E135,'Taxonomy Rules'!$C$42:$C$68,0)),""),NOT(OR(IFERROR(INDEX('Taxonomy Rules'!$G$42:$G$68,MATCH(E135,'Taxonomy Rules'!$C$42:$C$68,0)),"")="All supported routes",IFERROR(INDEX('Taxonomy Rules'!$G$42:$G$68,MATCH(E135,'Taxonomy Rules'!$C$42:$C$68,0)),"")=U135,AND(IFERROR(INDEX('Taxonomy Rules'!$G$42:$G$68,MATCH(E135,'Taxonomy Rules'!$C$42:$C$68,0)),"")="Building routes",OR(U135="Building renovation",U135="New building",U135="Building equipment"))))),"Unexpected test","Valid"))))</x:f>
        <x:v>Valid</x:v>
      </x:c>
      <x:c r="S135" s="9" t="str">
        <x:f>IF(C135="","",IFERROR(INDEX('Taxonomy Rules'!$E$42:$E$68,MATCH(E135,'Taxonomy Rules'!$C$42:$C$68,0)),""))</x:f>
        <x:v>Waste hierarchy, resource efficiency, hazardous-waste traceability and end-of-life arrangements.</x:v>
      </x:c>
      <x:c r="T135" s="9" t="str">
        <x:f>IF(C135="","",IFERROR(INDEX('Taxonomy Rules'!$F$42:$F$68,MATCH(E135,'Taxonomy Rules'!$C$42:$C$68,0)),""))</x:f>
        <x:v>S10 p32</x:v>
      </x:c>
      <x:c r="U135" s="9" t="str">
        <x:f>IF(C135="","",IFERROR(INDEX('Taxonomy'!$G$9:$G$108,MATCH(D135,'Taxonomy'!$C$9:$C$108,0)),""))</x:f>
        <x:v>Cement</x:v>
      </x:c>
    </x:row>
    <x:row r="136" ht="44" customHeight="1">
      <x:c r="A136" s="1"/>
      <x:c r="B136" s="1"/>
      <x:c r="C136" s="8" t="str">
        <x:v>TST-F014-DNSH-BIO</x:v>
      </x:c>
      <x:c r="D136" s="8" t="str">
        <x:v>TAX-F014</x:v>
      </x:c>
      <x:c r="E136" s="8" t="str">
        <x:v>DNSH-BIO</x:v>
      </x:c>
      <x:c r="F136" s="8" t="str">
        <x:v>DNSH</x:v>
      </x:c>
      <x:c r="G136" s="8" t="str">
        <x:v>Applicable</x:v>
      </x:c>
      <x:c r="H136" s="8" t="str">
        <x:v>Pass</x:v>
      </x:c>
      <x:c r="I136" s="8" t="str">
        <x:v>SYN-TEST-F014-DNSH-BIO</x:v>
      </x:c>
      <x:c r="J136" s="8" t="str"/>
      <x:c r="K136" s="8" t="str">
        <x:v>Taxonomy analyst 2</x:v>
      </x:c>
      <x:c r="L136" s="8" t="str">
        <x:v>Taxonomy reviewer 2</x:v>
      </x:c>
      <x:c r="M136" s="10" t="n">
        <x:v>46266</x:v>
      </x:c>
      <x:c r="N136" s="10" t="n">
        <x:v>46631</x:v>
      </x:c>
      <x:c r="O136" s="8"/>
      <x:c r="P136" s="9" t="str">
        <x:f>IF(C136="","",IF(AND(G136="Applicable",H136="Fail"),"Fail",IF(R136&lt;&gt;"Valid","Pending",IF(OR(I136="",K136="",L136="",K136=L136,NOT(ISNUMBER(M136)),NOT(ISNUMBER(N136)),M136&gt;Settings!$F$8,N136&lt;Settings!$F$8,N136&lt;M136),"Pending",IF(AND(G136="Applicable",H136="Pass"),"Pass",IF(AND(G136="N/A",H136="N/A",J136&lt;&gt;"",OR(E136="CEM-FUELS",E136="CEM-CCS",AND(E136="CEM-PLAN",IFERROR(INDEX('Taxonomy'!$M$9:$M$108,MATCH(D136,'Taxonomy'!$C$9:$C$108,0)),"")&lt;&gt;"Amber"),E136="BLD-TIMBER",AND(U136="Building equipment",OR(E136="BLD-WATER",E136="BLD-WASTE",E136="BLD-LAND")),AND(U136="Building renovation",E136="BLD-LAND"))),"N/A","Pending"))))))</x:f>
        <x:v>Pass</x:v>
      </x:c>
      <x:c r="Q136" s="3" t="str">
        <x:f>IF(C136="","",IF(AND(R136="Valid",OR(P136="Pass",P136="N/A")),"Complete","Unresolved"))</x:f>
        <x:v>Complete</x:v>
      </x:c>
      <x:c r="R136" s="9" t="str">
        <x:f>IF(C136="","",IF(OR(COUNTIF($C$9:$C$2008,C136)&lt;&gt;1,COUNTIFS($D$9:$D$2008,D136,$E$9:$E$2008,E136)&lt;&gt;1),"Duplicate test",IF(COUNTIF('Taxonomy'!$C$9:$C$108,D136)&lt;&gt;1,"Assessment key",IF(OR(COUNTIF('Taxonomy Rules'!$C$42:$C$68,E136)&lt;&gt;1,F136&lt;&gt;IFERROR(INDEX('Taxonomy Rules'!$D$42:$D$68,MATCH(E136,'Taxonomy Rules'!$C$42:$C$68,0)),""),NOT(OR(IFERROR(INDEX('Taxonomy Rules'!$G$42:$G$68,MATCH(E136,'Taxonomy Rules'!$C$42:$C$68,0)),"")="All supported routes",IFERROR(INDEX('Taxonomy Rules'!$G$42:$G$68,MATCH(E136,'Taxonomy Rules'!$C$42:$C$68,0)),"")=U136,AND(IFERROR(INDEX('Taxonomy Rules'!$G$42:$G$68,MATCH(E136,'Taxonomy Rules'!$C$42:$C$68,0)),"")="Building routes",OR(U136="Building renovation",U136="New building",U136="Building equipment"))))),"Unexpected test","Valid"))))</x:f>
        <x:v>Valid</x:v>
      </x:c>
      <x:c r="S136" s="9" t="str">
        <x:f>IF(C136="","",IFERROR(INDEX('Taxonomy Rules'!$E$42:$E$68,MATCH(E136,'Taxonomy Rules'!$C$42:$C$68,0)),""))</x:f>
        <x:v>Required EIA, habitat screening and implemented mitigation.</x:v>
      </x:c>
      <x:c r="T136" s="9" t="str">
        <x:f>IF(C136="","",IFERROR(INDEX('Taxonomy Rules'!$F$42:$F$68,MATCH(E136,'Taxonomy Rules'!$C$42:$C$68,0)),""))</x:f>
        <x:v>S10 p32</x:v>
      </x:c>
      <x:c r="U136" s="9" t="str">
        <x:f>IF(C136="","",IFERROR(INDEX('Taxonomy'!$G$9:$G$108,MATCH(D136,'Taxonomy'!$C$9:$C$108,0)),""))</x:f>
        <x:v>Cement</x:v>
      </x:c>
    </x:row>
    <x:row r="137" ht="44" customHeight="1">
      <x:c r="A137" s="1"/>
      <x:c r="B137" s="1"/>
      <x:c r="C137" s="8" t="str">
        <x:v>TST-F014-MSS-LABOUR</x:v>
      </x:c>
      <x:c r="D137" s="8" t="str">
        <x:v>TAX-F014</x:v>
      </x:c>
      <x:c r="E137" s="8" t="str">
        <x:v>MSS-LABOUR</x:v>
      </x:c>
      <x:c r="F137" s="8" t="str">
        <x:v>MSS</x:v>
      </x:c>
      <x:c r="G137" s="8" t="str">
        <x:v>Applicable</x:v>
      </x:c>
      <x:c r="H137" s="8" t="str">
        <x:v>Pass</x:v>
      </x:c>
      <x:c r="I137" s="8" t="str">
        <x:v>SYN-TEST-F014-MSS-LABOUR</x:v>
      </x:c>
      <x:c r="J137" s="8" t="str"/>
      <x:c r="K137" s="8" t="str">
        <x:v>Taxonomy analyst 2</x:v>
      </x:c>
      <x:c r="L137" s="8" t="str">
        <x:v>Taxonomy reviewer 2</x:v>
      </x:c>
      <x:c r="M137" s="10" t="n">
        <x:v>46266</x:v>
      </x:c>
      <x:c r="N137" s="10" t="n">
        <x:v>46631</x:v>
      </x:c>
      <x:c r="O137" s="8"/>
      <x:c r="P137" s="9" t="str">
        <x:f>IF(C137="","",IF(AND(G137="Applicable",H137="Fail"),"Fail",IF(R137&lt;&gt;"Valid","Pending",IF(OR(I137="",K137="",L137="",K137=L137,NOT(ISNUMBER(M137)),NOT(ISNUMBER(N137)),M137&gt;Settings!$F$8,N137&lt;Settings!$F$8,N137&lt;M137),"Pending",IF(AND(G137="Applicable",H137="Pass"),"Pass",IF(AND(G137="N/A",H137="N/A",J137&lt;&gt;"",OR(E137="CEM-FUELS",E137="CEM-CCS",AND(E137="CEM-PLAN",IFERROR(INDEX('Taxonomy'!$M$9:$M$108,MATCH(D137,'Taxonomy'!$C$9:$C$108,0)),"")&lt;&gt;"Amber"),E137="BLD-TIMBER",AND(U137="Building equipment",OR(E137="BLD-WATER",E137="BLD-WASTE",E137="BLD-LAND")),AND(U137="Building renovation",E137="BLD-LAND"))),"N/A","Pending"))))))</x:f>
        <x:v>Pass</x:v>
      </x:c>
      <x:c r="Q137" s="3" t="str">
        <x:f>IF(C137="","",IF(AND(R137="Valid",OR(P137="Pass",P137="N/A")),"Complete","Unresolved"))</x:f>
        <x:v>Complete</x:v>
      </x:c>
      <x:c r="R137" s="9" t="str">
        <x:f>IF(C137="","",IF(OR(COUNTIF($C$9:$C$2008,C137)&lt;&gt;1,COUNTIFS($D$9:$D$2008,D137,$E$9:$E$2008,E137)&lt;&gt;1),"Duplicate test",IF(COUNTIF('Taxonomy'!$C$9:$C$108,D137)&lt;&gt;1,"Assessment key",IF(OR(COUNTIF('Taxonomy Rules'!$C$42:$C$68,E137)&lt;&gt;1,F137&lt;&gt;IFERROR(INDEX('Taxonomy Rules'!$D$42:$D$68,MATCH(E137,'Taxonomy Rules'!$C$42:$C$68,0)),""),NOT(OR(IFERROR(INDEX('Taxonomy Rules'!$G$42:$G$68,MATCH(E137,'Taxonomy Rules'!$C$42:$C$68,0)),"")="All supported routes",IFERROR(INDEX('Taxonomy Rules'!$G$42:$G$68,MATCH(E137,'Taxonomy Rules'!$C$42:$C$68,0)),"")=U137,AND(IFERROR(INDEX('Taxonomy Rules'!$G$42:$G$68,MATCH(E137,'Taxonomy Rules'!$C$42:$C$68,0)),"")="Building routes",OR(U137="Building renovation",U137="New building",U137="Building equipment"))))),"Unexpected test","Valid"))))</x:f>
        <x:v>Valid</x:v>
      </x:c>
      <x:c r="S137" s="9" t="str">
        <x:f>IF(C137="","",IFERROR(INDEX('Taxonomy Rules'!$E$42:$E$68,MATCH(E137,'Taxonomy Rules'!$C$42:$C$68,0)),""))</x:f>
        <x:v>Labour rights, minimum age, no child/forced labour, equality and worker representation.</x:v>
      </x:c>
      <x:c r="T137" s="9" t="str">
        <x:f>IF(C137="","",IFERROR(INDEX('Taxonomy Rules'!$F$42:$F$68,MATCH(E137,'Taxonomy Rules'!$C$42:$C$68,0)),""))</x:f>
        <x:v>S10 p29</x:v>
      </x:c>
      <x:c r="U137" s="9" t="str">
        <x:f>IF(C137="","",IFERROR(INDEX('Taxonomy'!$G$9:$G$108,MATCH(D137,'Taxonomy'!$C$9:$C$108,0)),""))</x:f>
        <x:v>Cement</x:v>
      </x:c>
    </x:row>
    <x:row r="138" ht="44" customHeight="1">
      <x:c r="A138" s="1"/>
      <x:c r="B138" s="1"/>
      <x:c r="C138" s="8" t="str">
        <x:v>TST-F014-MSS-OSH</x:v>
      </x:c>
      <x:c r="D138" s="8" t="str">
        <x:v>TAX-F014</x:v>
      </x:c>
      <x:c r="E138" s="8" t="str">
        <x:v>MSS-OSH</x:v>
      </x:c>
      <x:c r="F138" s="8" t="str">
        <x:v>MSS</x:v>
      </x:c>
      <x:c r="G138" s="8" t="str">
        <x:v>Applicable</x:v>
      </x:c>
      <x:c r="H138" s="8" t="str">
        <x:v>Pass</x:v>
      </x:c>
      <x:c r="I138" s="8" t="str">
        <x:v>SYN-TEST-F014-MSS-OSH</x:v>
      </x:c>
      <x:c r="J138" s="8" t="str"/>
      <x:c r="K138" s="8" t="str">
        <x:v>Taxonomy analyst 2</x:v>
      </x:c>
      <x:c r="L138" s="8" t="str">
        <x:v>Taxonomy reviewer 2</x:v>
      </x:c>
      <x:c r="M138" s="10" t="n">
        <x:v>46266</x:v>
      </x:c>
      <x:c r="N138" s="10" t="n">
        <x:v>46631</x:v>
      </x:c>
      <x:c r="O138" s="8"/>
      <x:c r="P138" s="9" t="str">
        <x:f>IF(C138="","",IF(AND(G138="Applicable",H138="Fail"),"Fail",IF(R138&lt;&gt;"Valid","Pending",IF(OR(I138="",K138="",L138="",K138=L138,NOT(ISNUMBER(M138)),NOT(ISNUMBER(N138)),M138&gt;Settings!$F$8,N138&lt;Settings!$F$8,N138&lt;M138),"Pending",IF(AND(G138="Applicable",H138="Pass"),"Pass",IF(AND(G138="N/A",H138="N/A",J138&lt;&gt;"",OR(E138="CEM-FUELS",E138="CEM-CCS",AND(E138="CEM-PLAN",IFERROR(INDEX('Taxonomy'!$M$9:$M$108,MATCH(D138,'Taxonomy'!$C$9:$C$108,0)),"")&lt;&gt;"Amber"),E138="BLD-TIMBER",AND(U138="Building equipment",OR(E138="BLD-WATER",E138="BLD-WASTE",E138="BLD-LAND")),AND(U138="Building renovation",E138="BLD-LAND"))),"N/A","Pending"))))))</x:f>
        <x:v>Pass</x:v>
      </x:c>
      <x:c r="Q138" s="3" t="str">
        <x:f>IF(C138="","",IF(AND(R138="Valid",OR(P138="Pass",P138="N/A")),"Complete","Unresolved"))</x:f>
        <x:v>Complete</x:v>
      </x:c>
      <x:c r="R138" s="9" t="str">
        <x:f>IF(C138="","",IF(OR(COUNTIF($C$9:$C$2008,C138)&lt;&gt;1,COUNTIFS($D$9:$D$2008,D138,$E$9:$E$2008,E138)&lt;&gt;1),"Duplicate test",IF(COUNTIF('Taxonomy'!$C$9:$C$108,D138)&lt;&gt;1,"Assessment key",IF(OR(COUNTIF('Taxonomy Rules'!$C$42:$C$68,E138)&lt;&gt;1,F138&lt;&gt;IFERROR(INDEX('Taxonomy Rules'!$D$42:$D$68,MATCH(E138,'Taxonomy Rules'!$C$42:$C$68,0)),""),NOT(OR(IFERROR(INDEX('Taxonomy Rules'!$G$42:$G$68,MATCH(E138,'Taxonomy Rules'!$C$42:$C$68,0)),"")="All supported routes",IFERROR(INDEX('Taxonomy Rules'!$G$42:$G$68,MATCH(E138,'Taxonomy Rules'!$C$42:$C$68,0)),"")=U138,AND(IFERROR(INDEX('Taxonomy Rules'!$G$42:$G$68,MATCH(E138,'Taxonomy Rules'!$C$42:$C$68,0)),"")="Building routes",OR(U138="Building renovation",U138="New building",U138="Building equipment"))))),"Unexpected test","Valid"))))</x:f>
        <x:v>Valid</x:v>
      </x:c>
      <x:c r="S138" s="9" t="str">
        <x:f>IF(C138="","",IFERROR(INDEX('Taxonomy Rules'!$E$42:$E$68,MATCH(E138,'Taxonomy Rules'!$C$42:$C$68,0)),""))</x:f>
        <x:v>Applicable occupational safety, hazard prevention and emergency readiness.</x:v>
      </x:c>
      <x:c r="T138" s="9" t="str">
        <x:f>IF(C138="","",IFERROR(INDEX('Taxonomy Rules'!$F$42:$F$68,MATCH(E138,'Taxonomy Rules'!$C$42:$C$68,0)),""))</x:f>
        <x:v>S10 p29</x:v>
      </x:c>
      <x:c r="U138" s="9" t="str">
        <x:f>IF(C138="","",IFERROR(INDEX('Taxonomy'!$G$9:$G$108,MATCH(D138,'Taxonomy'!$C$9:$C$108,0)),""))</x:f>
        <x:v>Cement</x:v>
      </x:c>
    </x:row>
    <x:row r="139" ht="44" customHeight="1">
      <x:c r="A139" s="1"/>
      <x:c r="B139" s="1"/>
      <x:c r="C139" s="8" t="str">
        <x:v>TST-F014-MSS-RIGHTS</x:v>
      </x:c>
      <x:c r="D139" s="8" t="str">
        <x:v>TAX-F014</x:v>
      </x:c>
      <x:c r="E139" s="8" t="str">
        <x:v>MSS-RIGHTS</x:v>
      </x:c>
      <x:c r="F139" s="8" t="str">
        <x:v>MSS</x:v>
      </x:c>
      <x:c r="G139" s="8" t="str">
        <x:v>Applicable</x:v>
      </x:c>
      <x:c r="H139" s="8" t="str">
        <x:v>Pass</x:v>
      </x:c>
      <x:c r="I139" s="8" t="str">
        <x:v>SYN-TEST-F014-MSS-RIGHTS</x:v>
      </x:c>
      <x:c r="J139" s="8" t="str"/>
      <x:c r="K139" s="8" t="str">
        <x:v>Taxonomy analyst 2</x:v>
      </x:c>
      <x:c r="L139" s="8" t="str">
        <x:v>Taxonomy reviewer 2</x:v>
      </x:c>
      <x:c r="M139" s="10" t="n">
        <x:v>46266</x:v>
      </x:c>
      <x:c r="N139" s="10" t="n">
        <x:v>46631</x:v>
      </x:c>
      <x:c r="O139" s="8"/>
      <x:c r="P139" s="9" t="str">
        <x:f>IF(C139="","",IF(AND(G139="Applicable",H139="Fail"),"Fail",IF(R139&lt;&gt;"Valid","Pending",IF(OR(I139="",K139="",L139="",K139=L139,NOT(ISNUMBER(M139)),NOT(ISNUMBER(N139)),M139&gt;Settings!$F$8,N139&lt;Settings!$F$8,N139&lt;M139),"Pending",IF(AND(G139="Applicable",H139="Pass"),"Pass",IF(AND(G139="N/A",H139="N/A",J139&lt;&gt;"",OR(E139="CEM-FUELS",E139="CEM-CCS",AND(E139="CEM-PLAN",IFERROR(INDEX('Taxonomy'!$M$9:$M$108,MATCH(D139,'Taxonomy'!$C$9:$C$108,0)),"")&lt;&gt;"Amber"),E139="BLD-TIMBER",AND(U139="Building equipment",OR(E139="BLD-WATER",E139="BLD-WASTE",E139="BLD-LAND")),AND(U139="Building renovation",E139="BLD-LAND"))),"N/A","Pending"))))))</x:f>
        <x:v>Pass</x:v>
      </x:c>
      <x:c r="Q139" s="3" t="str">
        <x:f>IF(C139="","",IF(AND(R139="Valid",OR(P139="Pass",P139="N/A")),"Complete","Unresolved"))</x:f>
        <x:v>Complete</x:v>
      </x:c>
      <x:c r="R139" s="9" t="str">
        <x:f>IF(C139="","",IF(OR(COUNTIF($C$9:$C$2008,C139)&lt;&gt;1,COUNTIFS($D$9:$D$2008,D139,$E$9:$E$2008,E139)&lt;&gt;1),"Duplicate test",IF(COUNTIF('Taxonomy'!$C$9:$C$108,D139)&lt;&gt;1,"Assessment key",IF(OR(COUNTIF('Taxonomy Rules'!$C$42:$C$68,E139)&lt;&gt;1,F139&lt;&gt;IFERROR(INDEX('Taxonomy Rules'!$D$42:$D$68,MATCH(E139,'Taxonomy Rules'!$C$42:$C$68,0)),""),NOT(OR(IFERROR(INDEX('Taxonomy Rules'!$G$42:$G$68,MATCH(E139,'Taxonomy Rules'!$C$42:$C$68,0)),"")="All supported routes",IFERROR(INDEX('Taxonomy Rules'!$G$42:$G$68,MATCH(E139,'Taxonomy Rules'!$C$42:$C$68,0)),"")=U139,AND(IFERROR(INDEX('Taxonomy Rules'!$G$42:$G$68,MATCH(E139,'Taxonomy Rules'!$C$42:$C$68,0)),"")="Building routes",OR(U139="Building renovation",U139="New building",U139="Building equipment"))))),"Unexpected test","Valid"))))</x:f>
        <x:v>Valid</x:v>
      </x:c>
      <x:c r="S139" s="9" t="str">
        <x:f>IF(C139="","",IFERROR(INDEX('Taxonomy Rules'!$E$42:$E$68,MATCH(E139,'Taxonomy Rules'!$C$42:$C$68,0)),""))</x:f>
        <x:v>Proportionate human-rights diligence, stakeholder/social-impact process and grievance mechanism.</x:v>
      </x:c>
      <x:c r="T139" s="9" t="str">
        <x:f>IF(C139="","",IFERROR(INDEX('Taxonomy Rules'!$F$42:$F$68,MATCH(E139,'Taxonomy Rules'!$C$42:$C$68,0)),""))</x:f>
        <x:v>S10 p29</x:v>
      </x:c>
      <x:c r="U139" s="9" t="str">
        <x:f>IF(C139="","",IFERROR(INDEX('Taxonomy'!$G$9:$G$108,MATCH(D139,'Taxonomy'!$C$9:$C$108,0)),""))</x:f>
        <x:v>Cement</x:v>
      </x:c>
    </x:row>
    <x:row r="140" ht="44" customHeight="1">
      <x:c r="A140" s="1"/>
      <x:c r="B140" s="1"/>
      <x:c r="C140" s="8" t="str">
        <x:v>TST-F014-CEM-FUELS</x:v>
      </x:c>
      <x:c r="D140" s="8" t="str">
        <x:v>TAX-F014</x:v>
      </x:c>
      <x:c r="E140" s="8" t="str">
        <x:v>CEM-FUELS</x:v>
      </x:c>
      <x:c r="F140" s="8" t="str">
        <x:v>Technical</x:v>
      </x:c>
      <x:c r="G140" s="8" t="str">
        <x:v>N/A</x:v>
      </x:c>
      <x:c r="H140" s="8" t="str">
        <x:v>N/A</x:v>
      </x:c>
      <x:c r="I140" s="8" t="str">
        <x:v>SYN-TEST-F014-CEM-FUELS</x:v>
      </x:c>
      <x:c r="J140" s="8" t="str">
        <x:v>Not used / Green route; independent review confirms conditional criterion not triggered</x:v>
      </x:c>
      <x:c r="K140" s="8" t="str">
        <x:v>Taxonomy analyst 2</x:v>
      </x:c>
      <x:c r="L140" s="8" t="str">
        <x:v>Taxonomy reviewer 2</x:v>
      </x:c>
      <x:c r="M140" s="10" t="n">
        <x:v>46266</x:v>
      </x:c>
      <x:c r="N140" s="10" t="n">
        <x:v>46631</x:v>
      </x:c>
      <x:c r="O140" s="8"/>
      <x:c r="P140" s="9" t="str">
        <x:f>IF(C140="","",IF(AND(G140="Applicable",H140="Fail"),"Fail",IF(R140&lt;&gt;"Valid","Pending",IF(OR(I140="",K140="",L140="",K140=L140,NOT(ISNUMBER(M140)),NOT(ISNUMBER(N140)),M140&gt;Settings!$F$8,N140&lt;Settings!$F$8,N140&lt;M140),"Pending",IF(AND(G140="Applicable",H140="Pass"),"Pass",IF(AND(G140="N/A",H140="N/A",J140&lt;&gt;"",OR(E140="CEM-FUELS",E140="CEM-CCS",AND(E140="CEM-PLAN",IFERROR(INDEX('Taxonomy'!$M$9:$M$108,MATCH(D140,'Taxonomy'!$C$9:$C$108,0)),"")&lt;&gt;"Amber"),E140="BLD-TIMBER",AND(U140="Building equipment",OR(E140="BLD-WATER",E140="BLD-WASTE",E140="BLD-LAND")),AND(U140="Building renovation",E140="BLD-LAND"))),"N/A","Pending"))))))</x:f>
        <x:v>N/A</x:v>
      </x:c>
      <x:c r="Q140" s="3" t="str">
        <x:f>IF(C140="","",IF(AND(R140="Valid",OR(P140="Pass",P140="N/A")),"Complete","Unresolved"))</x:f>
        <x:v>Complete</x:v>
      </x:c>
      <x:c r="R140" s="9" t="str">
        <x:f>IF(C140="","",IF(OR(COUNTIF($C$9:$C$2008,C140)&lt;&gt;1,COUNTIFS($D$9:$D$2008,D140,$E$9:$E$2008,E140)&lt;&gt;1),"Duplicate test",IF(COUNTIF('Taxonomy'!$C$9:$C$108,D140)&lt;&gt;1,"Assessment key",IF(OR(COUNTIF('Taxonomy Rules'!$C$42:$C$68,E140)&lt;&gt;1,F140&lt;&gt;IFERROR(INDEX('Taxonomy Rules'!$D$42:$D$68,MATCH(E140,'Taxonomy Rules'!$C$42:$C$68,0)),""),NOT(OR(IFERROR(INDEX('Taxonomy Rules'!$G$42:$G$68,MATCH(E140,'Taxonomy Rules'!$C$42:$C$68,0)),"")="All supported routes",IFERROR(INDEX('Taxonomy Rules'!$G$42:$G$68,MATCH(E140,'Taxonomy Rules'!$C$42:$C$68,0)),"")=U140,AND(IFERROR(INDEX('Taxonomy Rules'!$G$42:$G$68,MATCH(E140,'Taxonomy Rules'!$C$42:$C$68,0)),"")="Building routes",OR(U140="Building renovation",U140="New building",U140="Building equipment"))))),"Unexpected test","Valid"))))</x:f>
        <x:v>Valid</x:v>
      </x:c>
      <x:c r="S140" s="9" t="str">
        <x:f>IF(C140="","",IFERROR(INDEX('Taxonomy Rules'!$E$42:$E$68,MATCH(E140,'Taxonomy Rules'!$C$42:$C$68,0)),""))</x:f>
        <x:v>If biomass / hydrogen used, cross-referenced taxonomy criteria met; waste nonrecyclable with separation and air standards.</x:v>
      </x:c>
      <x:c r="T140" s="9" t="str">
        <x:f>IF(C140="","",IFERROR(INDEX('Taxonomy Rules'!$F$42:$F$68,MATCH(E140,'Taxonomy Rules'!$C$42:$C$68,0)),""))</x:f>
        <x:v>S10 pp49–50</x:v>
      </x:c>
      <x:c r="U140" s="9" t="str">
        <x:f>IF(C140="","",IFERROR(INDEX('Taxonomy'!$G$9:$G$108,MATCH(D140,'Taxonomy'!$C$9:$C$108,0)),""))</x:f>
        <x:v>Cement</x:v>
      </x:c>
    </x:row>
    <x:row r="141" ht="44" customHeight="1">
      <x:c r="A141" s="1"/>
      <x:c r="B141" s="1"/>
      <x:c r="C141" s="8" t="str">
        <x:v>TST-F014-CEM-CCS</x:v>
      </x:c>
      <x:c r="D141" s="8" t="str">
        <x:v>TAX-F014</x:v>
      </x:c>
      <x:c r="E141" s="8" t="str">
        <x:v>CEM-CCS</x:v>
      </x:c>
      <x:c r="F141" s="8" t="str">
        <x:v>Technical</x:v>
      </x:c>
      <x:c r="G141" s="8" t="str">
        <x:v>N/A</x:v>
      </x:c>
      <x:c r="H141" s="8" t="str">
        <x:v>N/A</x:v>
      </x:c>
      <x:c r="I141" s="8" t="str">
        <x:v>SYN-TEST-F014-CEM-CCS</x:v>
      </x:c>
      <x:c r="J141" s="8" t="str">
        <x:v>Not used / Green route; independent review confirms conditional criterion not triggered</x:v>
      </x:c>
      <x:c r="K141" s="8" t="str">
        <x:v>Taxonomy analyst 2</x:v>
      </x:c>
      <x:c r="L141" s="8" t="str">
        <x:v>Taxonomy reviewer 2</x:v>
      </x:c>
      <x:c r="M141" s="10" t="n">
        <x:v>46266</x:v>
      </x:c>
      <x:c r="N141" s="10" t="n">
        <x:v>46631</x:v>
      </x:c>
      <x:c r="O141" s="8"/>
      <x:c r="P141" s="9" t="str">
        <x:f>IF(C141="","",IF(AND(G141="Applicable",H141="Fail"),"Fail",IF(R141&lt;&gt;"Valid","Pending",IF(OR(I141="",K141="",L141="",K141=L141,NOT(ISNUMBER(M141)),NOT(ISNUMBER(N141)),M141&gt;Settings!$F$8,N141&lt;Settings!$F$8,N141&lt;M141),"Pending",IF(AND(G141="Applicable",H141="Pass"),"Pass",IF(AND(G141="N/A",H141="N/A",J141&lt;&gt;"",OR(E141="CEM-FUELS",E141="CEM-CCS",AND(E141="CEM-PLAN",IFERROR(INDEX('Taxonomy'!$M$9:$M$108,MATCH(D141,'Taxonomy'!$C$9:$C$108,0)),"")&lt;&gt;"Amber"),E141="BLD-TIMBER",AND(U141="Building equipment",OR(E141="BLD-WATER",E141="BLD-WASTE",E141="BLD-LAND")),AND(U141="Building renovation",E141="BLD-LAND"))),"N/A","Pending"))))))</x:f>
        <x:v>N/A</x:v>
      </x:c>
      <x:c r="Q141" s="3" t="str">
        <x:f>IF(C141="","",IF(AND(R141="Valid",OR(P141="Pass",P141="N/A")),"Complete","Unresolved"))</x:f>
        <x:v>Complete</x:v>
      </x:c>
      <x:c r="R141" s="9" t="str">
        <x:f>IF(C141="","",IF(OR(COUNTIF($C$9:$C$2008,C141)&lt;&gt;1,COUNTIFS($D$9:$D$2008,D141,$E$9:$E$2008,E141)&lt;&gt;1),"Duplicate test",IF(COUNTIF('Taxonomy'!$C$9:$C$108,D141)&lt;&gt;1,"Assessment key",IF(OR(COUNTIF('Taxonomy Rules'!$C$42:$C$68,E141)&lt;&gt;1,F141&lt;&gt;IFERROR(INDEX('Taxonomy Rules'!$D$42:$D$68,MATCH(E141,'Taxonomy Rules'!$C$42:$C$68,0)),""),NOT(OR(IFERROR(INDEX('Taxonomy Rules'!$G$42:$G$68,MATCH(E141,'Taxonomy Rules'!$C$42:$C$68,0)),"")="All supported routes",IFERROR(INDEX('Taxonomy Rules'!$G$42:$G$68,MATCH(E141,'Taxonomy Rules'!$C$42:$C$68,0)),"")=U141,AND(IFERROR(INDEX('Taxonomy Rules'!$G$42:$G$68,MATCH(E141,'Taxonomy Rules'!$C$42:$C$68,0)),"")="Building routes",OR(U141="Building renovation",U141="New building",U141="Building equipment"))))),"Unexpected test","Valid"))))</x:f>
        <x:v>Valid</x:v>
      </x:c>
      <x:c r="S141" s="9" t="str">
        <x:f>IF(C141="","",IFERROR(INDEX('Taxonomy Rules'!$E$42:$E$68,MATCH(E141,'Taxonomy Rules'!$C$42:$C$68,0)),""))</x:f>
        <x:v>If CCS used: at least 70% total CO2 capture plus recognised capture, transport and permanent-storage practice.</x:v>
      </x:c>
      <x:c r="T141" s="9" t="str">
        <x:f>IF(C141="","",IFERROR(INDEX('Taxonomy Rules'!$F$42:$F$68,MATCH(E141,'Taxonomy Rules'!$C$42:$C$68,0)),""))</x:f>
        <x:v>S10 pp49–50</x:v>
      </x:c>
      <x:c r="U141" s="9" t="str">
        <x:f>IF(C141="","",IFERROR(INDEX('Taxonomy'!$G$9:$G$108,MATCH(D141,'Taxonomy'!$C$9:$C$108,0)),""))</x:f>
        <x:v>Cement</x:v>
      </x:c>
    </x:row>
    <x:row r="142" ht="44" customHeight="1">
      <x:c r="A142" s="1"/>
      <x:c r="B142" s="1"/>
      <x:c r="C142" s="8" t="str">
        <x:v>TST-F014-CEM-PLAN</x:v>
      </x:c>
      <x:c r="D142" s="8" t="str">
        <x:v>TAX-F014</x:v>
      </x:c>
      <x:c r="E142" s="8" t="str">
        <x:v>CEM-PLAN</x:v>
      </x:c>
      <x:c r="F142" s="8" t="str">
        <x:v>Technical</x:v>
      </x:c>
      <x:c r="G142" s="8" t="str">
        <x:v>N/A</x:v>
      </x:c>
      <x:c r="H142" s="8" t="str">
        <x:v>N/A</x:v>
      </x:c>
      <x:c r="I142" s="8" t="str">
        <x:v>SYN-TEST-F014-CEM-PLAN</x:v>
      </x:c>
      <x:c r="J142" s="8" t="str">
        <x:v>Not used / Green route; independent review confirms conditional criterion not triggered</x:v>
      </x:c>
      <x:c r="K142" s="8" t="str">
        <x:v>Taxonomy analyst 2</x:v>
      </x:c>
      <x:c r="L142" s="8" t="str">
        <x:v>Taxonomy reviewer 2</x:v>
      </x:c>
      <x:c r="M142" s="10" t="n">
        <x:v>46266</x:v>
      </x:c>
      <x:c r="N142" s="10" t="n">
        <x:v>46631</x:v>
      </x:c>
      <x:c r="O142" s="8"/>
      <x:c r="P142" s="9" t="str">
        <x:f>IF(C142="","",IF(AND(G142="Applicable",H142="Fail"),"Fail",IF(R142&lt;&gt;"Valid","Pending",IF(OR(I142="",K142="",L142="",K142=L142,NOT(ISNUMBER(M142)),NOT(ISNUMBER(N142)),M142&gt;Settings!$F$8,N142&lt;Settings!$F$8,N142&lt;M142),"Pending",IF(AND(G142="Applicable",H142="Pass"),"Pass",IF(AND(G142="N/A",H142="N/A",J142&lt;&gt;"",OR(E142="CEM-FUELS",E142="CEM-CCS",AND(E142="CEM-PLAN",IFERROR(INDEX('Taxonomy'!$M$9:$M$108,MATCH(D142,'Taxonomy'!$C$9:$C$108,0)),"")&lt;&gt;"Amber"),E142="BLD-TIMBER",AND(U142="Building equipment",OR(E142="BLD-WATER",E142="BLD-WASTE",E142="BLD-LAND")),AND(U142="Building renovation",E142="BLD-LAND"))),"N/A","Pending"))))))</x:f>
        <x:v>N/A</x:v>
      </x:c>
      <x:c r="Q142" s="3" t="str">
        <x:f>IF(C142="","",IF(AND(R142="Valid",OR(P142="Pass",P142="N/A")),"Complete","Unresolved"))</x:f>
        <x:v>Complete</x:v>
      </x:c>
      <x:c r="R142" s="9" t="str">
        <x:f>IF(C142="","",IF(OR(COUNTIF($C$9:$C$2008,C142)&lt;&gt;1,COUNTIFS($D$9:$D$2008,D142,$E$9:$E$2008,E142)&lt;&gt;1),"Duplicate test",IF(COUNTIF('Taxonomy'!$C$9:$C$108,D142)&lt;&gt;1,"Assessment key",IF(OR(COUNTIF('Taxonomy Rules'!$C$42:$C$68,E142)&lt;&gt;1,F142&lt;&gt;IFERROR(INDEX('Taxonomy Rules'!$D$42:$D$68,MATCH(E142,'Taxonomy Rules'!$C$42:$C$68,0)),""),NOT(OR(IFERROR(INDEX('Taxonomy Rules'!$G$42:$G$68,MATCH(E142,'Taxonomy Rules'!$C$42:$C$68,0)),"")="All supported routes",IFERROR(INDEX('Taxonomy Rules'!$G$42:$G$68,MATCH(E142,'Taxonomy Rules'!$C$42:$C$68,0)),"")=U142,AND(IFERROR(INDEX('Taxonomy Rules'!$G$42:$G$68,MATCH(E142,'Taxonomy Rules'!$C$42:$C$68,0)),"")="Building routes",OR(U142="Building renovation",U142="New building",U142="Building equipment"))))),"Unexpected test","Valid"))))</x:f>
        <x:v>Valid</x:v>
      </x:c>
      <x:c r="S142" s="9" t="str">
        <x:f>IF(C142="","",IFERROR(INDEX('Taxonomy Rules'!$E$42:$E$68,MATCH(E142,'Taxonomy Rules'!$C$42:$C$68,0)),""))</x:f>
        <x:v>For Amber: Paris-aligned net-zero plan and listed decarbonisation measure implemented before 2040.</x:v>
      </x:c>
      <x:c r="T142" s="9" t="str">
        <x:f>IF(C142="","",IFERROR(INDEX('Taxonomy Rules'!$F$42:$F$68,MATCH(E142,'Taxonomy Rules'!$C$42:$C$68,0)),""))</x:f>
        <x:v>S10 pp50–51</x:v>
      </x:c>
      <x:c r="U142" s="9" t="str">
        <x:f>IF(C142="","",IFERROR(INDEX('Taxonomy'!$G$9:$G$108,MATCH(D142,'Taxonomy'!$C$9:$C$108,0)),""))</x:f>
        <x:v>Cement</x:v>
      </x:c>
    </x:row>
    <x:row r="143" ht="44" customHeight="1">
      <x:c r="A143" s="1"/>
      <x:c r="B143" s="1"/>
      <x:c r="C143" s="8" t="str">
        <x:v>TST-F015-SC-EVIDENCE</x:v>
      </x:c>
      <x:c r="D143" s="8" t="str">
        <x:v>TAX-F015</x:v>
      </x:c>
      <x:c r="E143" s="8" t="str">
        <x:v>SC-EVIDENCE</x:v>
      </x:c>
      <x:c r="F143" s="8" t="str">
        <x:v>Technical</x:v>
      </x:c>
      <x:c r="G143" s="8" t="str">
        <x:v>Applicable</x:v>
      </x:c>
      <x:c r="H143" s="8" t="str">
        <x:v>Pass</x:v>
      </x:c>
      <x:c r="I143" s="8" t="str">
        <x:v>SYN-TEST-F015-SC-EVIDENCE</x:v>
      </x:c>
      <x:c r="J143" s="8" t="str"/>
      <x:c r="K143" s="8" t="str">
        <x:v>Taxonomy analyst 3</x:v>
      </x:c>
      <x:c r="L143" s="8" t="str">
        <x:v>Taxonomy reviewer 1</x:v>
      </x:c>
      <x:c r="M143" s="10" t="n">
        <x:v>46266</x:v>
      </x:c>
      <x:c r="N143" s="10" t="n">
        <x:v>46631</x:v>
      </x:c>
      <x:c r="O143" s="8"/>
      <x:c r="P143" s="9" t="str">
        <x:f>IF(C143="","",IF(AND(G143="Applicable",H143="Fail"),"Fail",IF(R143&lt;&gt;"Valid","Pending",IF(OR(I143="",K143="",L143="",K143=L143,NOT(ISNUMBER(M143)),NOT(ISNUMBER(N143)),M143&gt;Settings!$F$8,N143&lt;Settings!$F$8,N143&lt;M143),"Pending",IF(AND(G143="Applicable",H143="Pass"),"Pass",IF(AND(G143="N/A",H143="N/A",J143&lt;&gt;"",OR(E143="CEM-FUELS",E143="CEM-CCS",AND(E143="CEM-PLAN",IFERROR(INDEX('Taxonomy'!$M$9:$M$108,MATCH(D143,'Taxonomy'!$C$9:$C$108,0)),"")&lt;&gt;"Amber"),E143="BLD-TIMBER",AND(U143="Building equipment",OR(E143="BLD-WATER",E143="BLD-WASTE",E143="BLD-LAND")),AND(U143="Building renovation",E143="BLD-LAND"))),"N/A","Pending"))))))</x:f>
        <x:v>Pass</x:v>
      </x:c>
      <x:c r="Q143" s="3" t="str">
        <x:f>IF(C143="","",IF(AND(R143="Valid",OR(P143="Pass",P143="N/A")),"Complete","Unresolved"))</x:f>
        <x:v>Complete</x:v>
      </x:c>
      <x:c r="R143" s="9" t="str">
        <x:f>IF(C143="","",IF(OR(COUNTIF($C$9:$C$2008,C143)&lt;&gt;1,COUNTIFS($D$9:$D$2008,D143,$E$9:$E$2008,E143)&lt;&gt;1),"Duplicate test",IF(COUNTIF('Taxonomy'!$C$9:$C$108,D143)&lt;&gt;1,"Assessment key",IF(OR(COUNTIF('Taxonomy Rules'!$C$42:$C$68,E143)&lt;&gt;1,F143&lt;&gt;IFERROR(INDEX('Taxonomy Rules'!$D$42:$D$68,MATCH(E143,'Taxonomy Rules'!$C$42:$C$68,0)),""),NOT(OR(IFERROR(INDEX('Taxonomy Rules'!$G$42:$G$68,MATCH(E143,'Taxonomy Rules'!$C$42:$C$68,0)),"")="All supported routes",IFERROR(INDEX('Taxonomy Rules'!$G$42:$G$68,MATCH(E143,'Taxonomy Rules'!$C$42:$C$68,0)),"")=U143,AND(IFERROR(INDEX('Taxonomy Rules'!$G$42:$G$68,MATCH(E143,'Taxonomy Rules'!$C$42:$C$68,0)),"")="Building routes",OR(U143="Building renovation",U143="New building",U143="Building equipment"))))),"Unexpected test","Valid"))))</x:f>
        <x:v>Valid</x:v>
      </x:c>
      <x:c r="S143" s="9" t="str">
        <x:f>IF(C143="","",IFERROR(INDEX('Taxonomy Rules'!$E$42:$E$68,MATCH(E143,'Taxonomy Rules'!$C$42:$C$68,0)),""))</x:f>
        <x:v>Boundary and chosen route are evidenced; observations match the activity card.</x:v>
      </x:c>
      <x:c r="T143" s="9" t="str">
        <x:f>IF(C143="","",IFERROR(INDEX('Taxonomy Rules'!$F$42:$F$68,MATCH(E143,'Taxonomy Rules'!$C$42:$C$68,0)),""))</x:f>
        <x:v>S10 activity card</x:v>
      </x:c>
      <x:c r="U143" s="9" t="str">
        <x:f>IF(C143="","",IFERROR(INDEX('Taxonomy'!$G$9:$G$108,MATCH(D143,'Taxonomy'!$C$9:$C$108,0)),""))</x:f>
        <x:v>Solar PV</x:v>
      </x:c>
    </x:row>
    <x:row r="144" ht="44" customHeight="1">
      <x:c r="A144" s="1"/>
      <x:c r="B144" s="1"/>
      <x:c r="C144" s="8" t="str">
        <x:v>TST-F015-DNSH-MIT</x:v>
      </x:c>
      <x:c r="D144" s="8" t="str">
        <x:v>TAX-F015</x:v>
      </x:c>
      <x:c r="E144" s="8" t="str">
        <x:v>DNSH-MIT</x:v>
      </x:c>
      <x:c r="F144" s="8" t="str">
        <x:v>DNSH</x:v>
      </x:c>
      <x:c r="G144" s="8" t="str">
        <x:v>Applicable</x:v>
      </x:c>
      <x:c r="H144" s="8" t="str">
        <x:v>Pass</x:v>
      </x:c>
      <x:c r="I144" s="8" t="str">
        <x:v>SYN-TEST-F015-DNSH-MIT</x:v>
      </x:c>
      <x:c r="J144" s="8" t="str"/>
      <x:c r="K144" s="8" t="str">
        <x:v>Taxonomy analyst 3</x:v>
      </x:c>
      <x:c r="L144" s="8" t="str">
        <x:v>Taxonomy reviewer 1</x:v>
      </x:c>
      <x:c r="M144" s="10" t="n">
        <x:v>46266</x:v>
      </x:c>
      <x:c r="N144" s="10" t="n">
        <x:v>46631</x:v>
      </x:c>
      <x:c r="O144" s="8"/>
      <x:c r="P144" s="9" t="str">
        <x:f>IF(C144="","",IF(AND(G144="Applicable",H144="Fail"),"Fail",IF(R144&lt;&gt;"Valid","Pending",IF(OR(I144="",K144="",L144="",K144=L144,NOT(ISNUMBER(M144)),NOT(ISNUMBER(N144)),M144&gt;Settings!$F$8,N144&lt;Settings!$F$8,N144&lt;M144),"Pending",IF(AND(G144="Applicable",H144="Pass"),"Pass",IF(AND(G144="N/A",H144="N/A",J144&lt;&gt;"",OR(E144="CEM-FUELS",E144="CEM-CCS",AND(E144="CEM-PLAN",IFERROR(INDEX('Taxonomy'!$M$9:$M$108,MATCH(D144,'Taxonomy'!$C$9:$C$108,0)),"")&lt;&gt;"Amber"),E144="BLD-TIMBER",AND(U144="Building equipment",OR(E144="BLD-WATER",E144="BLD-WASTE",E144="BLD-LAND")),AND(U144="Building renovation",E144="BLD-LAND"))),"N/A","Pending"))))))</x:f>
        <x:v>Pass</x:v>
      </x:c>
      <x:c r="Q144" s="3" t="str">
        <x:f>IF(C144="","",IF(AND(R144="Valid",OR(P144="Pass",P144="N/A")),"Complete","Unresolved"))</x:f>
        <x:v>Complete</x:v>
      </x:c>
      <x:c r="R144" s="9" t="str">
        <x:f>IF(C144="","",IF(OR(COUNTIF($C$9:$C$2008,C144)&lt;&gt;1,COUNTIFS($D$9:$D$2008,D144,$E$9:$E$2008,E144)&lt;&gt;1),"Duplicate test",IF(COUNTIF('Taxonomy'!$C$9:$C$108,D144)&lt;&gt;1,"Assessment key",IF(OR(COUNTIF('Taxonomy Rules'!$C$42:$C$68,E144)&lt;&gt;1,F144&lt;&gt;IFERROR(INDEX('Taxonomy Rules'!$D$42:$D$68,MATCH(E144,'Taxonomy Rules'!$C$42:$C$68,0)),""),NOT(OR(IFERROR(INDEX('Taxonomy Rules'!$G$42:$G$68,MATCH(E144,'Taxonomy Rules'!$C$42:$C$68,0)),"")="All supported routes",IFERROR(INDEX('Taxonomy Rules'!$G$42:$G$68,MATCH(E144,'Taxonomy Rules'!$C$42:$C$68,0)),"")=U144,AND(IFERROR(INDEX('Taxonomy Rules'!$G$42:$G$68,MATCH(E144,'Taxonomy Rules'!$C$42:$C$68,0)),"")="Building routes",OR(U144="Building renovation",U144="New building",U144="Building equipment"))))),"Unexpected test","Valid"))))</x:f>
        <x:v>Valid</x:v>
      </x:c>
      <x:c r="S144" s="9" t="str">
        <x:f>IF(C144="","",IFERROR(INDEX('Taxonomy Rules'!$E$42:$E$68,MATCH(E144,'Taxonomy Rules'!$C$42:$C$68,0)),""))</x:f>
        <x:v>No avoidable fossil lock-in; material lifecycle effects assessed.</x:v>
      </x:c>
      <x:c r="T144" s="9" t="str">
        <x:f>IF(C144="","",IFERROR(INDEX('Taxonomy Rules'!$F$42:$F$68,MATCH(E144,'Taxonomy Rules'!$C$42:$C$68,0)),""))</x:f>
        <x:v>S10 p30</x:v>
      </x:c>
      <x:c r="U144" s="9" t="str">
        <x:f>IF(C144="","",IFERROR(INDEX('Taxonomy'!$G$9:$G$108,MATCH(D144,'Taxonomy'!$C$9:$C$108,0)),""))</x:f>
        <x:v>Solar PV</x:v>
      </x:c>
    </x:row>
    <x:row r="145" ht="44" customHeight="1">
      <x:c r="A145" s="1"/>
      <x:c r="B145" s="1"/>
      <x:c r="C145" s="8" t="str">
        <x:v>TST-F015-DNSH-ADAPT</x:v>
      </x:c>
      <x:c r="D145" s="8" t="str">
        <x:v>TAX-F015</x:v>
      </x:c>
      <x:c r="E145" s="8" t="str">
        <x:v>DNSH-ADAPT</x:v>
      </x:c>
      <x:c r="F145" s="8" t="str">
        <x:v>DNSH</x:v>
      </x:c>
      <x:c r="G145" s="8" t="str">
        <x:v>Applicable</x:v>
      </x:c>
      <x:c r="H145" s="8" t="str">
        <x:v>Pass</x:v>
      </x:c>
      <x:c r="I145" s="8" t="str">
        <x:v>SYN-TEST-F015-DNSH-ADAPT</x:v>
      </x:c>
      <x:c r="J145" s="8" t="str"/>
      <x:c r="K145" s="8" t="str">
        <x:v>Taxonomy analyst 3</x:v>
      </x:c>
      <x:c r="L145" s="8" t="str">
        <x:v>Taxonomy reviewer 1</x:v>
      </x:c>
      <x:c r="M145" s="10" t="n">
        <x:v>46266</x:v>
      </x:c>
      <x:c r="N145" s="10" t="n">
        <x:v>46631</x:v>
      </x:c>
      <x:c r="O145" s="8"/>
      <x:c r="P145" s="9" t="str">
        <x:f>IF(C145="","",IF(AND(G145="Applicable",H145="Fail"),"Fail",IF(R145&lt;&gt;"Valid","Pending",IF(OR(I145="",K145="",L145="",K145=L145,NOT(ISNUMBER(M145)),NOT(ISNUMBER(N145)),M145&gt;Settings!$F$8,N145&lt;Settings!$F$8,N145&lt;M145),"Pending",IF(AND(G145="Applicable",H145="Pass"),"Pass",IF(AND(G145="N/A",H145="N/A",J145&lt;&gt;"",OR(E145="CEM-FUELS",E145="CEM-CCS",AND(E145="CEM-PLAN",IFERROR(INDEX('Taxonomy'!$M$9:$M$108,MATCH(D145,'Taxonomy'!$C$9:$C$108,0)),"")&lt;&gt;"Amber"),E145="BLD-TIMBER",AND(U145="Building equipment",OR(E145="BLD-WATER",E145="BLD-WASTE",E145="BLD-LAND")),AND(U145="Building renovation",E145="BLD-LAND"))),"N/A","Pending"))))))</x:f>
        <x:v>Pass</x:v>
      </x:c>
      <x:c r="Q145" s="3" t="str">
        <x:f>IF(C145="","",IF(AND(R145="Valid",OR(P145="Pass",P145="N/A")),"Complete","Unresolved"))</x:f>
        <x:v>Complete</x:v>
      </x:c>
      <x:c r="R145" s="9" t="str">
        <x:f>IF(C145="","",IF(OR(COUNTIF($C$9:$C$2008,C145)&lt;&gt;1,COUNTIFS($D$9:$D$2008,D145,$E$9:$E$2008,E145)&lt;&gt;1),"Duplicate test",IF(COUNTIF('Taxonomy'!$C$9:$C$108,D145)&lt;&gt;1,"Assessment key",IF(OR(COUNTIF('Taxonomy Rules'!$C$42:$C$68,E145)&lt;&gt;1,F145&lt;&gt;IFERROR(INDEX('Taxonomy Rules'!$D$42:$D$68,MATCH(E145,'Taxonomy Rules'!$C$42:$C$68,0)),""),NOT(OR(IFERROR(INDEX('Taxonomy Rules'!$G$42:$G$68,MATCH(E145,'Taxonomy Rules'!$C$42:$C$68,0)),"")="All supported routes",IFERROR(INDEX('Taxonomy Rules'!$G$42:$G$68,MATCH(E145,'Taxonomy Rules'!$C$42:$C$68,0)),"")=U145,AND(IFERROR(INDEX('Taxonomy Rules'!$G$42:$G$68,MATCH(E145,'Taxonomy Rules'!$C$42:$C$68,0)),"")="Building routes",OR(U145="Building renovation",U145="New building",U145="Building equipment"))))),"Unexpected test","Valid"))))</x:f>
        <x:v>Valid</x:v>
      </x:c>
      <x:c r="S145" s="9" t="str">
        <x:f>IF(C145="","",IFERROR(INDEX('Taxonomy Rules'!$E$42:$E$68,MATCH(E145,'Taxonomy Rules'!$C$42:$C$68,0)),""))</x:f>
        <x:v>Lifetime hazard screen, material risk assessment and implemented adaptation; no harm to others.</x:v>
      </x:c>
      <x:c r="T145" s="9" t="str">
        <x:f>IF(C145="","",IFERROR(INDEX('Taxonomy Rules'!$F$42:$F$68,MATCH(E145,'Taxonomy Rules'!$C$42:$C$68,0)),""))</x:f>
        <x:v>S10 pp30–31</x:v>
      </x:c>
      <x:c r="U145" s="9" t="str">
        <x:f>IF(C145="","",IFERROR(INDEX('Taxonomy'!$G$9:$G$108,MATCH(D145,'Taxonomy'!$C$9:$C$108,0)),""))</x:f>
        <x:v>Solar PV</x:v>
      </x:c>
    </x:row>
    <x:row r="146" ht="44" customHeight="1">
      <x:c r="A146" s="1"/>
      <x:c r="B146" s="1"/>
      <x:c r="C146" s="8" t="str">
        <x:v>TST-F015-DNSH-WATER</x:v>
      </x:c>
      <x:c r="D146" s="8" t="str">
        <x:v>TAX-F015</x:v>
      </x:c>
      <x:c r="E146" s="8" t="str">
        <x:v>DNSH-WATER</x:v>
      </x:c>
      <x:c r="F146" s="8" t="str">
        <x:v>DNSH</x:v>
      </x:c>
      <x:c r="G146" s="8" t="str">
        <x:v>Applicable</x:v>
      </x:c>
      <x:c r="H146" s="8" t="str">
        <x:v>Pass</x:v>
      </x:c>
      <x:c r="I146" s="8" t="str">
        <x:v>SYN-TEST-F015-DNSH-WATER</x:v>
      </x:c>
      <x:c r="J146" s="8" t="str"/>
      <x:c r="K146" s="8" t="str">
        <x:v>Taxonomy analyst 3</x:v>
      </x:c>
      <x:c r="L146" s="8" t="str">
        <x:v>Taxonomy reviewer 1</x:v>
      </x:c>
      <x:c r="M146" s="10" t="n">
        <x:v>46266</x:v>
      </x:c>
      <x:c r="N146" s="10" t="n">
        <x:v>46631</x:v>
      </x:c>
      <x:c r="O146" s="8"/>
      <x:c r="P146" s="9" t="str">
        <x:f>IF(C146="","",IF(AND(G146="Applicable",H146="Fail"),"Fail",IF(R146&lt;&gt;"Valid","Pending",IF(OR(I146="",K146="",L146="",K146=L146,NOT(ISNUMBER(M146)),NOT(ISNUMBER(N146)),M146&gt;Settings!$F$8,N146&lt;Settings!$F$8,N146&lt;M146),"Pending",IF(AND(G146="Applicable",H146="Pass"),"Pass",IF(AND(G146="N/A",H146="N/A",J146&lt;&gt;"",OR(E146="CEM-FUELS",E146="CEM-CCS",AND(E146="CEM-PLAN",IFERROR(INDEX('Taxonomy'!$M$9:$M$108,MATCH(D146,'Taxonomy'!$C$9:$C$108,0)),"")&lt;&gt;"Amber"),E146="BLD-TIMBER",AND(U146="Building equipment",OR(E146="BLD-WATER",E146="BLD-WASTE",E146="BLD-LAND")),AND(U146="Building renovation",E146="BLD-LAND"))),"N/A","Pending"))))))</x:f>
        <x:v>Pass</x:v>
      </x:c>
      <x:c r="Q146" s="3" t="str">
        <x:f>IF(C146="","",IF(AND(R146="Valid",OR(P146="Pass",P146="N/A")),"Complete","Unresolved"))</x:f>
        <x:v>Complete</x:v>
      </x:c>
      <x:c r="R146" s="9" t="str">
        <x:f>IF(C146="","",IF(OR(COUNTIF($C$9:$C$2008,C146)&lt;&gt;1,COUNTIFS($D$9:$D$2008,D146,$E$9:$E$2008,E146)&lt;&gt;1),"Duplicate test",IF(COUNTIF('Taxonomy'!$C$9:$C$108,D146)&lt;&gt;1,"Assessment key",IF(OR(COUNTIF('Taxonomy Rules'!$C$42:$C$68,E146)&lt;&gt;1,F146&lt;&gt;IFERROR(INDEX('Taxonomy Rules'!$D$42:$D$68,MATCH(E146,'Taxonomy Rules'!$C$42:$C$68,0)),""),NOT(OR(IFERROR(INDEX('Taxonomy Rules'!$G$42:$G$68,MATCH(E146,'Taxonomy Rules'!$C$42:$C$68,0)),"")="All supported routes",IFERROR(INDEX('Taxonomy Rules'!$G$42:$G$68,MATCH(E146,'Taxonomy Rules'!$C$42:$C$68,0)),"")=U146,AND(IFERROR(INDEX('Taxonomy Rules'!$G$42:$G$68,MATCH(E146,'Taxonomy Rules'!$C$42:$C$68,0)),"")="Building routes",OR(U146="Building renovation",U146="New building",U146="Building equipment"))))),"Unexpected test","Valid"))))</x:f>
        <x:v>Valid</x:v>
      </x:c>
      <x:c r="S146" s="9" t="str">
        <x:f>IF(C146="","",IFERROR(INDEX('Taxonomy Rules'!$E$42:$E$68,MATCH(E146,'Taxonomy Rules'!$C$42:$C$68,0)),""))</x:f>
        <x:v>Water permits, abstraction/discharge limits, required assessments and management measures.</x:v>
      </x:c>
      <x:c r="T146" s="9" t="str">
        <x:f>IF(C146="","",IFERROR(INDEX('Taxonomy Rules'!$F$42:$F$68,MATCH(E146,'Taxonomy Rules'!$C$42:$C$68,0)),""))</x:f>
        <x:v>S10 p31</x:v>
      </x:c>
      <x:c r="U146" s="9" t="str">
        <x:f>IF(C146="","",IFERROR(INDEX('Taxonomy'!$G$9:$G$108,MATCH(D146,'Taxonomy'!$C$9:$C$108,0)),""))</x:f>
        <x:v>Solar PV</x:v>
      </x:c>
    </x:row>
    <x:row r="147" ht="44" customHeight="1">
      <x:c r="A147" s="1"/>
      <x:c r="B147" s="1"/>
      <x:c r="C147" s="8" t="str">
        <x:v>TST-F015-DNSH-POLL</x:v>
      </x:c>
      <x:c r="D147" s="8" t="str">
        <x:v>TAX-F015</x:v>
      </x:c>
      <x:c r="E147" s="8" t="str">
        <x:v>DNSH-POLL</x:v>
      </x:c>
      <x:c r="F147" s="8" t="str">
        <x:v>DNSH</x:v>
      </x:c>
      <x:c r="G147" s="8" t="str">
        <x:v>Applicable</x:v>
      </x:c>
      <x:c r="H147" s="8" t="str">
        <x:v>Pass</x:v>
      </x:c>
      <x:c r="I147" s="8" t="str">
        <x:v>SYN-TEST-F015-DNSH-POLL</x:v>
      </x:c>
      <x:c r="J147" s="8" t="str"/>
      <x:c r="K147" s="8" t="str">
        <x:v>Taxonomy analyst 3</x:v>
      </x:c>
      <x:c r="L147" s="8" t="str">
        <x:v>Taxonomy reviewer 1</x:v>
      </x:c>
      <x:c r="M147" s="10" t="n">
        <x:v>46266</x:v>
      </x:c>
      <x:c r="N147" s="10" t="n">
        <x:v>46631</x:v>
      </x:c>
      <x:c r="O147" s="8"/>
      <x:c r="P147" s="9" t="str">
        <x:f>IF(C147="","",IF(AND(G147="Applicable",H147="Fail"),"Fail",IF(R147&lt;&gt;"Valid","Pending",IF(OR(I147="",K147="",L147="",K147=L147,NOT(ISNUMBER(M147)),NOT(ISNUMBER(N147)),M147&gt;Settings!$F$8,N147&lt;Settings!$F$8,N147&lt;M147),"Pending",IF(AND(G147="Applicable",H147="Pass"),"Pass",IF(AND(G147="N/A",H147="N/A",J147&lt;&gt;"",OR(E147="CEM-FUELS",E147="CEM-CCS",AND(E147="CEM-PLAN",IFERROR(INDEX('Taxonomy'!$M$9:$M$108,MATCH(D147,'Taxonomy'!$C$9:$C$108,0)),"")&lt;&gt;"Amber"),E147="BLD-TIMBER",AND(U147="Building equipment",OR(E147="BLD-WATER",E147="BLD-WASTE",E147="BLD-LAND")),AND(U147="Building renovation",E147="BLD-LAND"))),"N/A","Pending"))))))</x:f>
        <x:v>Pass</x:v>
      </x:c>
      <x:c r="Q147" s="3" t="str">
        <x:f>IF(C147="","",IF(AND(R147="Valid",OR(P147="Pass",P147="N/A")),"Complete","Unresolved"))</x:f>
        <x:v>Complete</x:v>
      </x:c>
      <x:c r="R147" s="9" t="str">
        <x:f>IF(C147="","",IF(OR(COUNTIF($C$9:$C$2008,C147)&lt;&gt;1,COUNTIFS($D$9:$D$2008,D147,$E$9:$E$2008,E147)&lt;&gt;1),"Duplicate test",IF(COUNTIF('Taxonomy'!$C$9:$C$108,D147)&lt;&gt;1,"Assessment key",IF(OR(COUNTIF('Taxonomy Rules'!$C$42:$C$68,E147)&lt;&gt;1,F147&lt;&gt;IFERROR(INDEX('Taxonomy Rules'!$D$42:$D$68,MATCH(E147,'Taxonomy Rules'!$C$42:$C$68,0)),""),NOT(OR(IFERROR(INDEX('Taxonomy Rules'!$G$42:$G$68,MATCH(E147,'Taxonomy Rules'!$C$42:$C$68,0)),"")="All supported routes",IFERROR(INDEX('Taxonomy Rules'!$G$42:$G$68,MATCH(E147,'Taxonomy Rules'!$C$42:$C$68,0)),"")=U147,AND(IFERROR(INDEX('Taxonomy Rules'!$G$42:$G$68,MATCH(E147,'Taxonomy Rules'!$C$42:$C$68,0)),"")="Building routes",OR(U147="Building renovation",U147="New building",U147="Building equipment"))))),"Unexpected test","Valid"))))</x:f>
        <x:v>Valid</x:v>
      </x:c>
      <x:c r="S147" s="9" t="str">
        <x:f>IF(C147="","",IFERROR(INDEX('Taxonomy Rules'!$E$42:$E$68,MATCH(E147,'Taxonomy Rules'!$C$42:$C$68,0)),""))</x:f>
        <x:v>National pollution and prohibited-substance requirements; activity-specific limits.</x:v>
      </x:c>
      <x:c r="T147" s="9" t="str">
        <x:f>IF(C147="","",IFERROR(INDEX('Taxonomy Rules'!$F$42:$F$68,MATCH(E147,'Taxonomy Rules'!$C$42:$C$68,0)),""))</x:f>
        <x:v>S10 p31</x:v>
      </x:c>
      <x:c r="U147" s="9" t="str">
        <x:f>IF(C147="","",IFERROR(INDEX('Taxonomy'!$G$9:$G$108,MATCH(D147,'Taxonomy'!$C$9:$C$108,0)),""))</x:f>
        <x:v>Solar PV</x:v>
      </x:c>
    </x:row>
    <x:row r="148" ht="44" customHeight="1">
      <x:c r="A148" s="1"/>
      <x:c r="B148" s="1"/>
      <x:c r="C148" s="8" t="str">
        <x:v>TST-F015-DNSH-CIRC</x:v>
      </x:c>
      <x:c r="D148" s="8" t="str">
        <x:v>TAX-F015</x:v>
      </x:c>
      <x:c r="E148" s="8" t="str">
        <x:v>DNSH-CIRC</x:v>
      </x:c>
      <x:c r="F148" s="8" t="str">
        <x:v>DNSH</x:v>
      </x:c>
      <x:c r="G148" s="8" t="str">
        <x:v>Applicable</x:v>
      </x:c>
      <x:c r="H148" s="8" t="str">
        <x:v>Pass</x:v>
      </x:c>
      <x:c r="I148" s="8" t="str">
        <x:v>SYN-TEST-F015-DNSH-CIRC</x:v>
      </x:c>
      <x:c r="J148" s="8" t="str"/>
      <x:c r="K148" s="8" t="str">
        <x:v>Taxonomy analyst 3</x:v>
      </x:c>
      <x:c r="L148" s="8" t="str">
        <x:v>Taxonomy reviewer 1</x:v>
      </x:c>
      <x:c r="M148" s="10" t="n">
        <x:v>46266</x:v>
      </x:c>
      <x:c r="N148" s="10" t="n">
        <x:v>46631</x:v>
      </x:c>
      <x:c r="O148" s="8"/>
      <x:c r="P148" s="9" t="str">
        <x:f>IF(C148="","",IF(AND(G148="Applicable",H148="Fail"),"Fail",IF(R148&lt;&gt;"Valid","Pending",IF(OR(I148="",K148="",L148="",K148=L148,NOT(ISNUMBER(M148)),NOT(ISNUMBER(N148)),M148&gt;Settings!$F$8,N148&lt;Settings!$F$8,N148&lt;M148),"Pending",IF(AND(G148="Applicable",H148="Pass"),"Pass",IF(AND(G148="N/A",H148="N/A",J148&lt;&gt;"",OR(E148="CEM-FUELS",E148="CEM-CCS",AND(E148="CEM-PLAN",IFERROR(INDEX('Taxonomy'!$M$9:$M$108,MATCH(D148,'Taxonomy'!$C$9:$C$108,0)),"")&lt;&gt;"Amber"),E148="BLD-TIMBER",AND(U148="Building equipment",OR(E148="BLD-WATER",E148="BLD-WASTE",E148="BLD-LAND")),AND(U148="Building renovation",E148="BLD-LAND"))),"N/A","Pending"))))))</x:f>
        <x:v>Pass</x:v>
      </x:c>
      <x:c r="Q148" s="3" t="str">
        <x:f>IF(C148="","",IF(AND(R148="Valid",OR(P148="Pass",P148="N/A")),"Complete","Unresolved"))</x:f>
        <x:v>Complete</x:v>
      </x:c>
      <x:c r="R148" s="9" t="str">
        <x:f>IF(C148="","",IF(OR(COUNTIF($C$9:$C$2008,C148)&lt;&gt;1,COUNTIFS($D$9:$D$2008,D148,$E$9:$E$2008,E148)&lt;&gt;1),"Duplicate test",IF(COUNTIF('Taxonomy'!$C$9:$C$108,D148)&lt;&gt;1,"Assessment key",IF(OR(COUNTIF('Taxonomy Rules'!$C$42:$C$68,E148)&lt;&gt;1,F148&lt;&gt;IFERROR(INDEX('Taxonomy Rules'!$D$42:$D$68,MATCH(E148,'Taxonomy Rules'!$C$42:$C$68,0)),""),NOT(OR(IFERROR(INDEX('Taxonomy Rules'!$G$42:$G$68,MATCH(E148,'Taxonomy Rules'!$C$42:$C$68,0)),"")="All supported routes",IFERROR(INDEX('Taxonomy Rules'!$G$42:$G$68,MATCH(E148,'Taxonomy Rules'!$C$42:$C$68,0)),"")=U148,AND(IFERROR(INDEX('Taxonomy Rules'!$G$42:$G$68,MATCH(E148,'Taxonomy Rules'!$C$42:$C$68,0)),"")="Building routes",OR(U148="Building renovation",U148="New building",U148="Building equipment"))))),"Unexpected test","Valid"))))</x:f>
        <x:v>Valid</x:v>
      </x:c>
      <x:c r="S148" s="9" t="str">
        <x:f>IF(C148="","",IFERROR(INDEX('Taxonomy Rules'!$E$42:$E$68,MATCH(E148,'Taxonomy Rules'!$C$42:$C$68,0)),""))</x:f>
        <x:v>Waste hierarchy, resource efficiency, hazardous-waste traceability and end-of-life arrangements.</x:v>
      </x:c>
      <x:c r="T148" s="9" t="str">
        <x:f>IF(C148="","",IFERROR(INDEX('Taxonomy Rules'!$F$42:$F$68,MATCH(E148,'Taxonomy Rules'!$C$42:$C$68,0)),""))</x:f>
        <x:v>S10 p32</x:v>
      </x:c>
      <x:c r="U148" s="9" t="str">
        <x:f>IF(C148="","",IFERROR(INDEX('Taxonomy'!$G$9:$G$108,MATCH(D148,'Taxonomy'!$C$9:$C$108,0)),""))</x:f>
        <x:v>Solar PV</x:v>
      </x:c>
    </x:row>
    <x:row r="149" ht="44" customHeight="1">
      <x:c r="A149" s="1"/>
      <x:c r="B149" s="1"/>
      <x:c r="C149" s="8" t="str">
        <x:v>TST-F015-DNSH-BIO</x:v>
      </x:c>
      <x:c r="D149" s="8" t="str">
        <x:v>TAX-F015</x:v>
      </x:c>
      <x:c r="E149" s="8" t="str">
        <x:v>DNSH-BIO</x:v>
      </x:c>
      <x:c r="F149" s="8" t="str">
        <x:v>DNSH</x:v>
      </x:c>
      <x:c r="G149" s="8" t="str">
        <x:v>Applicable</x:v>
      </x:c>
      <x:c r="H149" s="8" t="str">
        <x:v>Pass</x:v>
      </x:c>
      <x:c r="I149" s="8" t="str">
        <x:v>SYN-TEST-F015-DNSH-BIO</x:v>
      </x:c>
      <x:c r="J149" s="8" t="str"/>
      <x:c r="K149" s="8" t="str">
        <x:v>Taxonomy analyst 3</x:v>
      </x:c>
      <x:c r="L149" s="8" t="str">
        <x:v>Taxonomy reviewer 1</x:v>
      </x:c>
      <x:c r="M149" s="10" t="n">
        <x:v>46266</x:v>
      </x:c>
      <x:c r="N149" s="10" t="n">
        <x:v>46631</x:v>
      </x:c>
      <x:c r="O149" s="8"/>
      <x:c r="P149" s="9" t="str">
        <x:f>IF(C149="","",IF(AND(G149="Applicable",H149="Fail"),"Fail",IF(R149&lt;&gt;"Valid","Pending",IF(OR(I149="",K149="",L149="",K149=L149,NOT(ISNUMBER(M149)),NOT(ISNUMBER(N149)),M149&gt;Settings!$F$8,N149&lt;Settings!$F$8,N149&lt;M149),"Pending",IF(AND(G149="Applicable",H149="Pass"),"Pass",IF(AND(G149="N/A",H149="N/A",J149&lt;&gt;"",OR(E149="CEM-FUELS",E149="CEM-CCS",AND(E149="CEM-PLAN",IFERROR(INDEX('Taxonomy'!$M$9:$M$108,MATCH(D149,'Taxonomy'!$C$9:$C$108,0)),"")&lt;&gt;"Amber"),E149="BLD-TIMBER",AND(U149="Building equipment",OR(E149="BLD-WATER",E149="BLD-WASTE",E149="BLD-LAND")),AND(U149="Building renovation",E149="BLD-LAND"))),"N/A","Pending"))))))</x:f>
        <x:v>Pass</x:v>
      </x:c>
      <x:c r="Q149" s="3" t="str">
        <x:f>IF(C149="","",IF(AND(R149="Valid",OR(P149="Pass",P149="N/A")),"Complete","Unresolved"))</x:f>
        <x:v>Complete</x:v>
      </x:c>
      <x:c r="R149" s="9" t="str">
        <x:f>IF(C149="","",IF(OR(COUNTIF($C$9:$C$2008,C149)&lt;&gt;1,COUNTIFS($D$9:$D$2008,D149,$E$9:$E$2008,E149)&lt;&gt;1),"Duplicate test",IF(COUNTIF('Taxonomy'!$C$9:$C$108,D149)&lt;&gt;1,"Assessment key",IF(OR(COUNTIF('Taxonomy Rules'!$C$42:$C$68,E149)&lt;&gt;1,F149&lt;&gt;IFERROR(INDEX('Taxonomy Rules'!$D$42:$D$68,MATCH(E149,'Taxonomy Rules'!$C$42:$C$68,0)),""),NOT(OR(IFERROR(INDEX('Taxonomy Rules'!$G$42:$G$68,MATCH(E149,'Taxonomy Rules'!$C$42:$C$68,0)),"")="All supported routes",IFERROR(INDEX('Taxonomy Rules'!$G$42:$G$68,MATCH(E149,'Taxonomy Rules'!$C$42:$C$68,0)),"")=U149,AND(IFERROR(INDEX('Taxonomy Rules'!$G$42:$G$68,MATCH(E149,'Taxonomy Rules'!$C$42:$C$68,0)),"")="Building routes",OR(U149="Building renovation",U149="New building",U149="Building equipment"))))),"Unexpected test","Valid"))))</x:f>
        <x:v>Valid</x:v>
      </x:c>
      <x:c r="S149" s="9" t="str">
        <x:f>IF(C149="","",IFERROR(INDEX('Taxonomy Rules'!$E$42:$E$68,MATCH(E149,'Taxonomy Rules'!$C$42:$C$68,0)),""))</x:f>
        <x:v>Required EIA, habitat screening and implemented mitigation.</x:v>
      </x:c>
      <x:c r="T149" s="9" t="str">
        <x:f>IF(C149="","",IFERROR(INDEX('Taxonomy Rules'!$F$42:$F$68,MATCH(E149,'Taxonomy Rules'!$C$42:$C$68,0)),""))</x:f>
        <x:v>S10 p32</x:v>
      </x:c>
      <x:c r="U149" s="9" t="str">
        <x:f>IF(C149="","",IFERROR(INDEX('Taxonomy'!$G$9:$G$108,MATCH(D149,'Taxonomy'!$C$9:$C$108,0)),""))</x:f>
        <x:v>Solar PV</x:v>
      </x:c>
    </x:row>
    <x:row r="150" ht="44" customHeight="1">
      <x:c r="A150" s="1"/>
      <x:c r="B150" s="1"/>
      <x:c r="C150" s="8" t="str">
        <x:v>TST-F015-MSS-LABOUR</x:v>
      </x:c>
      <x:c r="D150" s="8" t="str">
        <x:v>TAX-F015</x:v>
      </x:c>
      <x:c r="E150" s="8" t="str">
        <x:v>MSS-LABOUR</x:v>
      </x:c>
      <x:c r="F150" s="8" t="str">
        <x:v>MSS</x:v>
      </x:c>
      <x:c r="G150" s="8" t="str">
        <x:v>Applicable</x:v>
      </x:c>
      <x:c r="H150" s="8" t="str">
        <x:v>Pass</x:v>
      </x:c>
      <x:c r="I150" s="8" t="str">
        <x:v>SYN-TEST-F015-MSS-LABOUR</x:v>
      </x:c>
      <x:c r="J150" s="8" t="str"/>
      <x:c r="K150" s="8" t="str">
        <x:v>Taxonomy analyst 3</x:v>
      </x:c>
      <x:c r="L150" s="8" t="str">
        <x:v>Taxonomy reviewer 1</x:v>
      </x:c>
      <x:c r="M150" s="10" t="n">
        <x:v>46266</x:v>
      </x:c>
      <x:c r="N150" s="10" t="n">
        <x:v>46631</x:v>
      </x:c>
      <x:c r="O150" s="8"/>
      <x:c r="P150" s="9" t="str">
        <x:f>IF(C150="","",IF(AND(G150="Applicable",H150="Fail"),"Fail",IF(R150&lt;&gt;"Valid","Pending",IF(OR(I150="",K150="",L150="",K150=L150,NOT(ISNUMBER(M150)),NOT(ISNUMBER(N150)),M150&gt;Settings!$F$8,N150&lt;Settings!$F$8,N150&lt;M150),"Pending",IF(AND(G150="Applicable",H150="Pass"),"Pass",IF(AND(G150="N/A",H150="N/A",J150&lt;&gt;"",OR(E150="CEM-FUELS",E150="CEM-CCS",AND(E150="CEM-PLAN",IFERROR(INDEX('Taxonomy'!$M$9:$M$108,MATCH(D150,'Taxonomy'!$C$9:$C$108,0)),"")&lt;&gt;"Amber"),E150="BLD-TIMBER",AND(U150="Building equipment",OR(E150="BLD-WATER",E150="BLD-WASTE",E150="BLD-LAND")),AND(U150="Building renovation",E150="BLD-LAND"))),"N/A","Pending"))))))</x:f>
        <x:v>Pass</x:v>
      </x:c>
      <x:c r="Q150" s="3" t="str">
        <x:f>IF(C150="","",IF(AND(R150="Valid",OR(P150="Pass",P150="N/A")),"Complete","Unresolved"))</x:f>
        <x:v>Complete</x:v>
      </x:c>
      <x:c r="R150" s="9" t="str">
        <x:f>IF(C150="","",IF(OR(COUNTIF($C$9:$C$2008,C150)&lt;&gt;1,COUNTIFS($D$9:$D$2008,D150,$E$9:$E$2008,E150)&lt;&gt;1),"Duplicate test",IF(COUNTIF('Taxonomy'!$C$9:$C$108,D150)&lt;&gt;1,"Assessment key",IF(OR(COUNTIF('Taxonomy Rules'!$C$42:$C$68,E150)&lt;&gt;1,F150&lt;&gt;IFERROR(INDEX('Taxonomy Rules'!$D$42:$D$68,MATCH(E150,'Taxonomy Rules'!$C$42:$C$68,0)),""),NOT(OR(IFERROR(INDEX('Taxonomy Rules'!$G$42:$G$68,MATCH(E150,'Taxonomy Rules'!$C$42:$C$68,0)),"")="All supported routes",IFERROR(INDEX('Taxonomy Rules'!$G$42:$G$68,MATCH(E150,'Taxonomy Rules'!$C$42:$C$68,0)),"")=U150,AND(IFERROR(INDEX('Taxonomy Rules'!$G$42:$G$68,MATCH(E150,'Taxonomy Rules'!$C$42:$C$68,0)),"")="Building routes",OR(U150="Building renovation",U150="New building",U150="Building equipment"))))),"Unexpected test","Valid"))))</x:f>
        <x:v>Valid</x:v>
      </x:c>
      <x:c r="S150" s="9" t="str">
        <x:f>IF(C150="","",IFERROR(INDEX('Taxonomy Rules'!$E$42:$E$68,MATCH(E150,'Taxonomy Rules'!$C$42:$C$68,0)),""))</x:f>
        <x:v>Labour rights, minimum age, no child/forced labour, equality and worker representation.</x:v>
      </x:c>
      <x:c r="T150" s="9" t="str">
        <x:f>IF(C150="","",IFERROR(INDEX('Taxonomy Rules'!$F$42:$F$68,MATCH(E150,'Taxonomy Rules'!$C$42:$C$68,0)),""))</x:f>
        <x:v>S10 p29</x:v>
      </x:c>
      <x:c r="U150" s="9" t="str">
        <x:f>IF(C150="","",IFERROR(INDEX('Taxonomy'!$G$9:$G$108,MATCH(D150,'Taxonomy'!$C$9:$C$108,0)),""))</x:f>
        <x:v>Solar PV</x:v>
      </x:c>
    </x:row>
    <x:row r="151" ht="44" customHeight="1">
      <x:c r="A151" s="1"/>
      <x:c r="B151" s="1"/>
      <x:c r="C151" s="8" t="str">
        <x:v>TST-F015-MSS-OSH</x:v>
      </x:c>
      <x:c r="D151" s="8" t="str">
        <x:v>TAX-F015</x:v>
      </x:c>
      <x:c r="E151" s="8" t="str">
        <x:v>MSS-OSH</x:v>
      </x:c>
      <x:c r="F151" s="8" t="str">
        <x:v>MSS</x:v>
      </x:c>
      <x:c r="G151" s="8" t="str">
        <x:v>Applicable</x:v>
      </x:c>
      <x:c r="H151" s="8" t="str">
        <x:v>Pass</x:v>
      </x:c>
      <x:c r="I151" s="8" t="str">
        <x:v>SYN-TEST-F015-MSS-OSH</x:v>
      </x:c>
      <x:c r="J151" s="8" t="str"/>
      <x:c r="K151" s="8" t="str">
        <x:v>Taxonomy analyst 3</x:v>
      </x:c>
      <x:c r="L151" s="8" t="str">
        <x:v>Taxonomy reviewer 1</x:v>
      </x:c>
      <x:c r="M151" s="10" t="n">
        <x:v>46266</x:v>
      </x:c>
      <x:c r="N151" s="10" t="n">
        <x:v>46631</x:v>
      </x:c>
      <x:c r="O151" s="8"/>
      <x:c r="P151" s="9" t="str">
        <x:f>IF(C151="","",IF(AND(G151="Applicable",H151="Fail"),"Fail",IF(R151&lt;&gt;"Valid","Pending",IF(OR(I151="",K151="",L151="",K151=L151,NOT(ISNUMBER(M151)),NOT(ISNUMBER(N151)),M151&gt;Settings!$F$8,N151&lt;Settings!$F$8,N151&lt;M151),"Pending",IF(AND(G151="Applicable",H151="Pass"),"Pass",IF(AND(G151="N/A",H151="N/A",J151&lt;&gt;"",OR(E151="CEM-FUELS",E151="CEM-CCS",AND(E151="CEM-PLAN",IFERROR(INDEX('Taxonomy'!$M$9:$M$108,MATCH(D151,'Taxonomy'!$C$9:$C$108,0)),"")&lt;&gt;"Amber"),E151="BLD-TIMBER",AND(U151="Building equipment",OR(E151="BLD-WATER",E151="BLD-WASTE",E151="BLD-LAND")),AND(U151="Building renovation",E151="BLD-LAND"))),"N/A","Pending"))))))</x:f>
        <x:v>Pass</x:v>
      </x:c>
      <x:c r="Q151" s="3" t="str">
        <x:f>IF(C151="","",IF(AND(R151="Valid",OR(P151="Pass",P151="N/A")),"Complete","Unresolved"))</x:f>
        <x:v>Complete</x:v>
      </x:c>
      <x:c r="R151" s="9" t="str">
        <x:f>IF(C151="","",IF(OR(COUNTIF($C$9:$C$2008,C151)&lt;&gt;1,COUNTIFS($D$9:$D$2008,D151,$E$9:$E$2008,E151)&lt;&gt;1),"Duplicate test",IF(COUNTIF('Taxonomy'!$C$9:$C$108,D151)&lt;&gt;1,"Assessment key",IF(OR(COUNTIF('Taxonomy Rules'!$C$42:$C$68,E151)&lt;&gt;1,F151&lt;&gt;IFERROR(INDEX('Taxonomy Rules'!$D$42:$D$68,MATCH(E151,'Taxonomy Rules'!$C$42:$C$68,0)),""),NOT(OR(IFERROR(INDEX('Taxonomy Rules'!$G$42:$G$68,MATCH(E151,'Taxonomy Rules'!$C$42:$C$68,0)),"")="All supported routes",IFERROR(INDEX('Taxonomy Rules'!$G$42:$G$68,MATCH(E151,'Taxonomy Rules'!$C$42:$C$68,0)),"")=U151,AND(IFERROR(INDEX('Taxonomy Rules'!$G$42:$G$68,MATCH(E151,'Taxonomy Rules'!$C$42:$C$68,0)),"")="Building routes",OR(U151="Building renovation",U151="New building",U151="Building equipment"))))),"Unexpected test","Valid"))))</x:f>
        <x:v>Valid</x:v>
      </x:c>
      <x:c r="S151" s="9" t="str">
        <x:f>IF(C151="","",IFERROR(INDEX('Taxonomy Rules'!$E$42:$E$68,MATCH(E151,'Taxonomy Rules'!$C$42:$C$68,0)),""))</x:f>
        <x:v>Applicable occupational safety, hazard prevention and emergency readiness.</x:v>
      </x:c>
      <x:c r="T151" s="9" t="str">
        <x:f>IF(C151="","",IFERROR(INDEX('Taxonomy Rules'!$F$42:$F$68,MATCH(E151,'Taxonomy Rules'!$C$42:$C$68,0)),""))</x:f>
        <x:v>S10 p29</x:v>
      </x:c>
      <x:c r="U151" s="9" t="str">
        <x:f>IF(C151="","",IFERROR(INDEX('Taxonomy'!$G$9:$G$108,MATCH(D151,'Taxonomy'!$C$9:$C$108,0)),""))</x:f>
        <x:v>Solar PV</x:v>
      </x:c>
    </x:row>
    <x:row r="152" ht="44" customHeight="1">
      <x:c r="A152" s="1"/>
      <x:c r="B152" s="1"/>
      <x:c r="C152" s="8" t="str">
        <x:v>TST-F015-MSS-RIGHTS</x:v>
      </x:c>
      <x:c r="D152" s="8" t="str">
        <x:v>TAX-F015</x:v>
      </x:c>
      <x:c r="E152" s="8" t="str">
        <x:v>MSS-RIGHTS</x:v>
      </x:c>
      <x:c r="F152" s="8" t="str">
        <x:v>MSS</x:v>
      </x:c>
      <x:c r="G152" s="8" t="str">
        <x:v>Applicable</x:v>
      </x:c>
      <x:c r="H152" s="8" t="str">
        <x:v>Pass</x:v>
      </x:c>
      <x:c r="I152" s="8" t="str">
        <x:v>SYN-TEST-F015-MSS-RIGHTS</x:v>
      </x:c>
      <x:c r="J152" s="8" t="str"/>
      <x:c r="K152" s="8" t="str">
        <x:v>Taxonomy analyst 3</x:v>
      </x:c>
      <x:c r="L152" s="8" t="str">
        <x:v>Taxonomy reviewer 1</x:v>
      </x:c>
      <x:c r="M152" s="10" t="n">
        <x:v>46266</x:v>
      </x:c>
      <x:c r="N152" s="10" t="n">
        <x:v>46631</x:v>
      </x:c>
      <x:c r="O152" s="8"/>
      <x:c r="P152" s="9" t="str">
        <x:f>IF(C152="","",IF(AND(G152="Applicable",H152="Fail"),"Fail",IF(R152&lt;&gt;"Valid","Pending",IF(OR(I152="",K152="",L152="",K152=L152,NOT(ISNUMBER(M152)),NOT(ISNUMBER(N152)),M152&gt;Settings!$F$8,N152&lt;Settings!$F$8,N152&lt;M152),"Pending",IF(AND(G152="Applicable",H152="Pass"),"Pass",IF(AND(G152="N/A",H152="N/A",J152&lt;&gt;"",OR(E152="CEM-FUELS",E152="CEM-CCS",AND(E152="CEM-PLAN",IFERROR(INDEX('Taxonomy'!$M$9:$M$108,MATCH(D152,'Taxonomy'!$C$9:$C$108,0)),"")&lt;&gt;"Amber"),E152="BLD-TIMBER",AND(U152="Building equipment",OR(E152="BLD-WATER",E152="BLD-WASTE",E152="BLD-LAND")),AND(U152="Building renovation",E152="BLD-LAND"))),"N/A","Pending"))))))</x:f>
        <x:v>Pass</x:v>
      </x:c>
      <x:c r="Q152" s="3" t="str">
        <x:f>IF(C152="","",IF(AND(R152="Valid",OR(P152="Pass",P152="N/A")),"Complete","Unresolved"))</x:f>
        <x:v>Complete</x:v>
      </x:c>
      <x:c r="R152" s="9" t="str">
        <x:f>IF(C152="","",IF(OR(COUNTIF($C$9:$C$2008,C152)&lt;&gt;1,COUNTIFS($D$9:$D$2008,D152,$E$9:$E$2008,E152)&lt;&gt;1),"Duplicate test",IF(COUNTIF('Taxonomy'!$C$9:$C$108,D152)&lt;&gt;1,"Assessment key",IF(OR(COUNTIF('Taxonomy Rules'!$C$42:$C$68,E152)&lt;&gt;1,F152&lt;&gt;IFERROR(INDEX('Taxonomy Rules'!$D$42:$D$68,MATCH(E152,'Taxonomy Rules'!$C$42:$C$68,0)),""),NOT(OR(IFERROR(INDEX('Taxonomy Rules'!$G$42:$G$68,MATCH(E152,'Taxonomy Rules'!$C$42:$C$68,0)),"")="All supported routes",IFERROR(INDEX('Taxonomy Rules'!$G$42:$G$68,MATCH(E152,'Taxonomy Rules'!$C$42:$C$68,0)),"")=U152,AND(IFERROR(INDEX('Taxonomy Rules'!$G$42:$G$68,MATCH(E152,'Taxonomy Rules'!$C$42:$C$68,0)),"")="Building routes",OR(U152="Building renovation",U152="New building",U152="Building equipment"))))),"Unexpected test","Valid"))))</x:f>
        <x:v>Valid</x:v>
      </x:c>
      <x:c r="S152" s="9" t="str">
        <x:f>IF(C152="","",IFERROR(INDEX('Taxonomy Rules'!$E$42:$E$68,MATCH(E152,'Taxonomy Rules'!$C$42:$C$68,0)),""))</x:f>
        <x:v>Proportionate human-rights diligence, stakeholder/social-impact process and grievance mechanism.</x:v>
      </x:c>
      <x:c r="T152" s="9" t="str">
        <x:f>IF(C152="","",IFERROR(INDEX('Taxonomy Rules'!$F$42:$F$68,MATCH(E152,'Taxonomy Rules'!$C$42:$C$68,0)),""))</x:f>
        <x:v>S10 p29</x:v>
      </x:c>
      <x:c r="U152" s="9" t="str">
        <x:f>IF(C152="","",IFERROR(INDEX('Taxonomy'!$G$9:$G$108,MATCH(D152,'Taxonomy'!$C$9:$C$108,0)),""))</x:f>
        <x:v>Solar PV</x:v>
      </x:c>
    </x:row>
    <x:row r="153" ht="44" customHeight="1">
      <x:c r="A153" s="1"/>
      <x:c r="B153" s="1"/>
      <x:c r="C153" s="8" t="str">
        <x:v>TST-F015-PV-DURABLE</x:v>
      </x:c>
      <x:c r="D153" s="8" t="str">
        <x:v>TAX-F015</x:v>
      </x:c>
      <x:c r="E153" s="8" t="str">
        <x:v>PV-DURABLE</x:v>
      </x:c>
      <x:c r="F153" s="8" t="str">
        <x:v>DNSH</x:v>
      </x:c>
      <x:c r="G153" s="8" t="str">
        <x:v>Applicable</x:v>
      </x:c>
      <x:c r="H153" s="8" t="str">
        <x:v>Pass</x:v>
      </x:c>
      <x:c r="I153" s="8" t="str">
        <x:v>SYN-TEST-F015-PV-DURABLE</x:v>
      </x:c>
      <x:c r="J153" s="8" t="str"/>
      <x:c r="K153" s="8" t="str">
        <x:v>Taxonomy analyst 3</x:v>
      </x:c>
      <x:c r="L153" s="8" t="str">
        <x:v>Taxonomy reviewer 1</x:v>
      </x:c>
      <x:c r="M153" s="10" t="n">
        <x:v>46266</x:v>
      </x:c>
      <x:c r="N153" s="10" t="n">
        <x:v>46631</x:v>
      </x:c>
      <x:c r="O153" s="8"/>
      <x:c r="P153" s="9" t="str">
        <x:f>IF(C153="","",IF(AND(G153="Applicable",H153="Fail"),"Fail",IF(R153&lt;&gt;"Valid","Pending",IF(OR(I153="",K153="",L153="",K153=L153,NOT(ISNUMBER(M153)),NOT(ISNUMBER(N153)),M153&gt;Settings!$F$8,N153&lt;Settings!$F$8,N153&lt;M153),"Pending",IF(AND(G153="Applicable",H153="Pass"),"Pass",IF(AND(G153="N/A",H153="N/A",J153&lt;&gt;"",OR(E153="CEM-FUELS",E153="CEM-CCS",AND(E153="CEM-PLAN",IFERROR(INDEX('Taxonomy'!$M$9:$M$108,MATCH(D153,'Taxonomy'!$C$9:$C$108,0)),"")&lt;&gt;"Amber"),E153="BLD-TIMBER",AND(U153="Building equipment",OR(E153="BLD-WATER",E153="BLD-WASTE",E153="BLD-LAND")),AND(U153="Building renovation",E153="BLD-LAND"))),"N/A","Pending"))))))</x:f>
        <x:v>Pass</x:v>
      </x:c>
      <x:c r="Q153" s="3" t="str">
        <x:f>IF(C153="","",IF(AND(R153="Valid",OR(P153="Pass",P153="N/A")),"Complete","Unresolved"))</x:f>
        <x:v>Complete</x:v>
      </x:c>
      <x:c r="R153" s="9" t="str">
        <x:f>IF(C153="","",IF(OR(COUNTIF($C$9:$C$2008,C153)&lt;&gt;1,COUNTIFS($D$9:$D$2008,D153,$E$9:$E$2008,E153)&lt;&gt;1),"Duplicate test",IF(COUNTIF('Taxonomy'!$C$9:$C$108,D153)&lt;&gt;1,"Assessment key",IF(OR(COUNTIF('Taxonomy Rules'!$C$42:$C$68,E153)&lt;&gt;1,F153&lt;&gt;IFERROR(INDEX('Taxonomy Rules'!$D$42:$D$68,MATCH(E153,'Taxonomy Rules'!$C$42:$C$68,0)),""),NOT(OR(IFERROR(INDEX('Taxonomy Rules'!$G$42:$G$68,MATCH(E153,'Taxonomy Rules'!$C$42:$C$68,0)),"")="All supported routes",IFERROR(INDEX('Taxonomy Rules'!$G$42:$G$68,MATCH(E153,'Taxonomy Rules'!$C$42:$C$68,0)),"")=U153,AND(IFERROR(INDEX('Taxonomy Rules'!$G$42:$G$68,MATCH(E153,'Taxonomy Rules'!$C$42:$C$68,0)),"")="Building routes",OR(U153="Building renovation",U153="New building",U153="Building equipment"))))),"Unexpected test","Valid"))))</x:f>
        <x:v>Valid</x:v>
      </x:c>
      <x:c r="S153" s="9" t="str">
        <x:f>IF(C153="","",IFERROR(INDEX('Taxonomy Rules'!$E$42:$E$68,MATCH(E153,'Taxonomy Rules'!$C$42:$C$68,0)),""))</x:f>
        <x:v>Durable, recyclable, dismantlable and refurbishable components assessed and used where feasible.</x:v>
      </x:c>
      <x:c r="T153" s="9" t="str">
        <x:f>IF(C153="","",IFERROR(INDEX('Taxonomy Rules'!$F$42:$F$68,MATCH(E153,'Taxonomy Rules'!$C$42:$C$68,0)),""))</x:f>
        <x:v>S10 p86</x:v>
      </x:c>
      <x:c r="U153" s="9" t="str">
        <x:f>IF(C153="","",IFERROR(INDEX('Taxonomy'!$G$9:$G$108,MATCH(D153,'Taxonomy'!$C$9:$C$108,0)),""))</x:f>
        <x:v>Solar PV</x:v>
      </x:c>
    </x:row>
    <x:row r="154" ht="44" customHeight="1">
      <x:c r="A154" s="1"/>
      <x:c r="B154" s="1"/>
      <x:c r="C154" s="8" t="str">
        <x:v>TST-F015-PV-ENDLIFE</x:v>
      </x:c>
      <x:c r="D154" s="8" t="str">
        <x:v>TAX-F015</x:v>
      </x:c>
      <x:c r="E154" s="8" t="str">
        <x:v>PV-ENDLIFE</x:v>
      </x:c>
      <x:c r="F154" s="8" t="str">
        <x:v>DNSH</x:v>
      </x:c>
      <x:c r="G154" s="8" t="str">
        <x:v>Applicable</x:v>
      </x:c>
      <x:c r="H154" s="8" t="str">
        <x:v>Pass</x:v>
      </x:c>
      <x:c r="I154" s="8" t="str">
        <x:v>SYN-TEST-F015-PV-ENDLIFE</x:v>
      </x:c>
      <x:c r="J154" s="8" t="str"/>
      <x:c r="K154" s="8" t="str">
        <x:v>Taxonomy analyst 3</x:v>
      </x:c>
      <x:c r="L154" s="8" t="str">
        <x:v>Taxonomy reviewer 1</x:v>
      </x:c>
      <x:c r="M154" s="10" t="n">
        <x:v>46266</x:v>
      </x:c>
      <x:c r="N154" s="10" t="n">
        <x:v>46631</x:v>
      </x:c>
      <x:c r="O154" s="8"/>
      <x:c r="P154" s="9" t="str">
        <x:f>IF(C154="","",IF(AND(G154="Applicable",H154="Fail"),"Fail",IF(R154&lt;&gt;"Valid","Pending",IF(OR(I154="",K154="",L154="",K154=L154,NOT(ISNUMBER(M154)),NOT(ISNUMBER(N154)),M154&gt;Settings!$F$8,N154&lt;Settings!$F$8,N154&lt;M154),"Pending",IF(AND(G154="Applicable",H154="Pass"),"Pass",IF(AND(G154="N/A",H154="N/A",J154&lt;&gt;"",OR(E154="CEM-FUELS",E154="CEM-CCS",AND(E154="CEM-PLAN",IFERROR(INDEX('Taxonomy'!$M$9:$M$108,MATCH(D154,'Taxonomy'!$C$9:$C$108,0)),"")&lt;&gt;"Amber"),E154="BLD-TIMBER",AND(U154="Building equipment",OR(E154="BLD-WATER",E154="BLD-WASTE",E154="BLD-LAND")),AND(U154="Building renovation",E154="BLD-LAND"))),"N/A","Pending"))))))</x:f>
        <x:v>Pass</x:v>
      </x:c>
      <x:c r="Q154" s="3" t="str">
        <x:f>IF(C154="","",IF(AND(R154="Valid",OR(P154="Pass",P154="N/A")),"Complete","Unresolved"))</x:f>
        <x:v>Complete</x:v>
      </x:c>
      <x:c r="R154" s="9" t="str">
        <x:f>IF(C154="","",IF(OR(COUNTIF($C$9:$C$2008,C154)&lt;&gt;1,COUNTIFS($D$9:$D$2008,D154,$E$9:$E$2008,E154)&lt;&gt;1),"Duplicate test",IF(COUNTIF('Taxonomy'!$C$9:$C$108,D154)&lt;&gt;1,"Assessment key",IF(OR(COUNTIF('Taxonomy Rules'!$C$42:$C$68,E154)&lt;&gt;1,F154&lt;&gt;IFERROR(INDEX('Taxonomy Rules'!$D$42:$D$68,MATCH(E154,'Taxonomy Rules'!$C$42:$C$68,0)),""),NOT(OR(IFERROR(INDEX('Taxonomy Rules'!$G$42:$G$68,MATCH(E154,'Taxonomy Rules'!$C$42:$C$68,0)),"")="All supported routes",IFERROR(INDEX('Taxonomy Rules'!$G$42:$G$68,MATCH(E154,'Taxonomy Rules'!$C$42:$C$68,0)),"")=U154,AND(IFERROR(INDEX('Taxonomy Rules'!$G$42:$G$68,MATCH(E154,'Taxonomy Rules'!$C$42:$C$68,0)),"")="Building routes",OR(U154="Building renovation",U154="New building",U154="Building equipment"))))),"Unexpected test","Valid"))))</x:f>
        <x:v>Valid</x:v>
      </x:c>
      <x:c r="S154" s="9" t="str">
        <x:f>IF(C154="","",IFERROR(INDEX('Taxonomy Rules'!$E$42:$E$68,MATCH(E154,'Taxonomy Rules'!$C$42:$C$68,0)),""))</x:f>
        <x:v>Implemented panel end-of-life management consistent with recycling standards.</x:v>
      </x:c>
      <x:c r="T154" s="9" t="str">
        <x:f>IF(C154="","",IFERROR(INDEX('Taxonomy Rules'!$F$42:$F$68,MATCH(E154,'Taxonomy Rules'!$C$42:$C$68,0)),""))</x:f>
        <x:v>S10 p86</x:v>
      </x:c>
      <x:c r="U154" s="9" t="str">
        <x:f>IF(C154="","",IFERROR(INDEX('Taxonomy'!$G$9:$G$108,MATCH(D154,'Taxonomy'!$C$9:$C$108,0)),""))</x:f>
        <x:v>Solar PV</x:v>
      </x:c>
    </x:row>
    <x:row r="155" ht="44" customHeight="1">
      <x:c r="A155" s="1"/>
      <x:c r="B155" s="1"/>
      <x:c r="C155" s="8" t="str">
        <x:v>TST-F016-SC-EVIDENCE</x:v>
      </x:c>
      <x:c r="D155" s="8" t="str">
        <x:v>TAX-F016</x:v>
      </x:c>
      <x:c r="E155" s="8" t="str">
        <x:v>SC-EVIDENCE</x:v>
      </x:c>
      <x:c r="F155" s="8" t="str">
        <x:v>Technical</x:v>
      </x:c>
      <x:c r="G155" s="8" t="str">
        <x:v>Applicable</x:v>
      </x:c>
      <x:c r="H155" s="8" t="str">
        <x:v>Pass</x:v>
      </x:c>
      <x:c r="I155" s="8" t="str">
        <x:v>SYN-TEST-F016-SC-EVIDENCE</x:v>
      </x:c>
      <x:c r="J155" s="8" t="str"/>
      <x:c r="K155" s="8" t="str">
        <x:v>Taxonomy analyst 1</x:v>
      </x:c>
      <x:c r="L155" s="8" t="str">
        <x:v>Taxonomy reviewer 2</x:v>
      </x:c>
      <x:c r="M155" s="10" t="n">
        <x:v>46266</x:v>
      </x:c>
      <x:c r="N155" s="10" t="n">
        <x:v>46631</x:v>
      </x:c>
      <x:c r="O155" s="8"/>
      <x:c r="P155" s="9" t="str">
        <x:f>IF(C155="","",IF(AND(G155="Applicable",H155="Fail"),"Fail",IF(R155&lt;&gt;"Valid","Pending",IF(OR(I155="",K155="",L155="",K155=L155,NOT(ISNUMBER(M155)),NOT(ISNUMBER(N155)),M155&gt;Settings!$F$8,N155&lt;Settings!$F$8,N155&lt;M155),"Pending",IF(AND(G155="Applicable",H155="Pass"),"Pass",IF(AND(G155="N/A",H155="N/A",J155&lt;&gt;"",OR(E155="CEM-FUELS",E155="CEM-CCS",AND(E155="CEM-PLAN",IFERROR(INDEX('Taxonomy'!$M$9:$M$108,MATCH(D155,'Taxonomy'!$C$9:$C$108,0)),"")&lt;&gt;"Amber"),E155="BLD-TIMBER",AND(U155="Building equipment",OR(E155="BLD-WATER",E155="BLD-WASTE",E155="BLD-LAND")),AND(U155="Building renovation",E155="BLD-LAND"))),"N/A","Pending"))))))</x:f>
        <x:v>Pass</x:v>
      </x:c>
      <x:c r="Q155" s="3" t="str">
        <x:f>IF(C155="","",IF(AND(R155="Valid",OR(P155="Pass",P155="N/A")),"Complete","Unresolved"))</x:f>
        <x:v>Complete</x:v>
      </x:c>
      <x:c r="R155" s="9" t="str">
        <x:f>IF(C155="","",IF(OR(COUNTIF($C$9:$C$2008,C155)&lt;&gt;1,COUNTIFS($D$9:$D$2008,D155,$E$9:$E$2008,E155)&lt;&gt;1),"Duplicate test",IF(COUNTIF('Taxonomy'!$C$9:$C$108,D155)&lt;&gt;1,"Assessment key",IF(OR(COUNTIF('Taxonomy Rules'!$C$42:$C$68,E155)&lt;&gt;1,F155&lt;&gt;IFERROR(INDEX('Taxonomy Rules'!$D$42:$D$68,MATCH(E155,'Taxonomy Rules'!$C$42:$C$68,0)),""),NOT(OR(IFERROR(INDEX('Taxonomy Rules'!$G$42:$G$68,MATCH(E155,'Taxonomy Rules'!$C$42:$C$68,0)),"")="All supported routes",IFERROR(INDEX('Taxonomy Rules'!$G$42:$G$68,MATCH(E155,'Taxonomy Rules'!$C$42:$C$68,0)),"")=U155,AND(IFERROR(INDEX('Taxonomy Rules'!$G$42:$G$68,MATCH(E155,'Taxonomy Rules'!$C$42:$C$68,0)),"")="Building routes",OR(U155="Building renovation",U155="New building",U155="Building equipment"))))),"Unexpected test","Valid"))))</x:f>
        <x:v>Valid</x:v>
      </x:c>
      <x:c r="S155" s="9" t="str">
        <x:f>IF(C155="","",IFERROR(INDEX('Taxonomy Rules'!$E$42:$E$68,MATCH(E155,'Taxonomy Rules'!$C$42:$C$68,0)),""))</x:f>
        <x:v>Boundary and chosen route are evidenced; observations match the activity card.</x:v>
      </x:c>
      <x:c r="T155" s="9" t="str">
        <x:f>IF(C155="","",IFERROR(INDEX('Taxonomy Rules'!$F$42:$F$68,MATCH(E155,'Taxonomy Rules'!$C$42:$C$68,0)),""))</x:f>
        <x:v>S10 activity card</x:v>
      </x:c>
      <x:c r="U155" s="9" t="str">
        <x:f>IF(C155="","",IFERROR(INDEX('Taxonomy'!$G$9:$G$108,MATCH(D155,'Taxonomy'!$C$9:$C$108,0)),""))</x:f>
        <x:v>Solar PV</x:v>
      </x:c>
    </x:row>
    <x:row r="156" ht="44" customHeight="1">
      <x:c r="A156" s="1"/>
      <x:c r="B156" s="1"/>
      <x:c r="C156" s="8" t="str">
        <x:v>TST-F016-DNSH-MIT</x:v>
      </x:c>
      <x:c r="D156" s="8" t="str">
        <x:v>TAX-F016</x:v>
      </x:c>
      <x:c r="E156" s="8" t="str">
        <x:v>DNSH-MIT</x:v>
      </x:c>
      <x:c r="F156" s="8" t="str">
        <x:v>DNSH</x:v>
      </x:c>
      <x:c r="G156" s="8" t="str">
        <x:v>Applicable</x:v>
      </x:c>
      <x:c r="H156" s="8" t="str">
        <x:v>Pass</x:v>
      </x:c>
      <x:c r="I156" s="8" t="str">
        <x:v>SYN-TEST-F016-DNSH-MIT</x:v>
      </x:c>
      <x:c r="J156" s="8" t="str"/>
      <x:c r="K156" s="8" t="str">
        <x:v>Taxonomy analyst 1</x:v>
      </x:c>
      <x:c r="L156" s="8" t="str">
        <x:v>Taxonomy reviewer 2</x:v>
      </x:c>
      <x:c r="M156" s="10" t="n">
        <x:v>46266</x:v>
      </x:c>
      <x:c r="N156" s="10" t="n">
        <x:v>46631</x:v>
      </x:c>
      <x:c r="O156" s="8"/>
      <x:c r="P156" s="9" t="str">
        <x:f>IF(C156="","",IF(AND(G156="Applicable",H156="Fail"),"Fail",IF(R156&lt;&gt;"Valid","Pending",IF(OR(I156="",K156="",L156="",K156=L156,NOT(ISNUMBER(M156)),NOT(ISNUMBER(N156)),M156&gt;Settings!$F$8,N156&lt;Settings!$F$8,N156&lt;M156),"Pending",IF(AND(G156="Applicable",H156="Pass"),"Pass",IF(AND(G156="N/A",H156="N/A",J156&lt;&gt;"",OR(E156="CEM-FUELS",E156="CEM-CCS",AND(E156="CEM-PLAN",IFERROR(INDEX('Taxonomy'!$M$9:$M$108,MATCH(D156,'Taxonomy'!$C$9:$C$108,0)),"")&lt;&gt;"Amber"),E156="BLD-TIMBER",AND(U156="Building equipment",OR(E156="BLD-WATER",E156="BLD-WASTE",E156="BLD-LAND")),AND(U156="Building renovation",E156="BLD-LAND"))),"N/A","Pending"))))))</x:f>
        <x:v>Pass</x:v>
      </x:c>
      <x:c r="Q156" s="3" t="str">
        <x:f>IF(C156="","",IF(AND(R156="Valid",OR(P156="Pass",P156="N/A")),"Complete","Unresolved"))</x:f>
        <x:v>Complete</x:v>
      </x:c>
      <x:c r="R156" s="9" t="str">
        <x:f>IF(C156="","",IF(OR(COUNTIF($C$9:$C$2008,C156)&lt;&gt;1,COUNTIFS($D$9:$D$2008,D156,$E$9:$E$2008,E156)&lt;&gt;1),"Duplicate test",IF(COUNTIF('Taxonomy'!$C$9:$C$108,D156)&lt;&gt;1,"Assessment key",IF(OR(COUNTIF('Taxonomy Rules'!$C$42:$C$68,E156)&lt;&gt;1,F156&lt;&gt;IFERROR(INDEX('Taxonomy Rules'!$D$42:$D$68,MATCH(E156,'Taxonomy Rules'!$C$42:$C$68,0)),""),NOT(OR(IFERROR(INDEX('Taxonomy Rules'!$G$42:$G$68,MATCH(E156,'Taxonomy Rules'!$C$42:$C$68,0)),"")="All supported routes",IFERROR(INDEX('Taxonomy Rules'!$G$42:$G$68,MATCH(E156,'Taxonomy Rules'!$C$42:$C$68,0)),"")=U156,AND(IFERROR(INDEX('Taxonomy Rules'!$G$42:$G$68,MATCH(E156,'Taxonomy Rules'!$C$42:$C$68,0)),"")="Building routes",OR(U156="Building renovation",U156="New building",U156="Building equipment"))))),"Unexpected test","Valid"))))</x:f>
        <x:v>Valid</x:v>
      </x:c>
      <x:c r="S156" s="9" t="str">
        <x:f>IF(C156="","",IFERROR(INDEX('Taxonomy Rules'!$E$42:$E$68,MATCH(E156,'Taxonomy Rules'!$C$42:$C$68,0)),""))</x:f>
        <x:v>No avoidable fossil lock-in; material lifecycle effects assessed.</x:v>
      </x:c>
      <x:c r="T156" s="9" t="str">
        <x:f>IF(C156="","",IFERROR(INDEX('Taxonomy Rules'!$F$42:$F$68,MATCH(E156,'Taxonomy Rules'!$C$42:$C$68,0)),""))</x:f>
        <x:v>S10 p30</x:v>
      </x:c>
      <x:c r="U156" s="9" t="str">
        <x:f>IF(C156="","",IFERROR(INDEX('Taxonomy'!$G$9:$G$108,MATCH(D156,'Taxonomy'!$C$9:$C$108,0)),""))</x:f>
        <x:v>Solar PV</x:v>
      </x:c>
    </x:row>
    <x:row r="157" ht="44" customHeight="1">
      <x:c r="A157" s="1"/>
      <x:c r="B157" s="1"/>
      <x:c r="C157" s="8" t="str">
        <x:v>TST-F016-DNSH-ADAPT</x:v>
      </x:c>
      <x:c r="D157" s="8" t="str">
        <x:v>TAX-F016</x:v>
      </x:c>
      <x:c r="E157" s="8" t="str">
        <x:v>DNSH-ADAPT</x:v>
      </x:c>
      <x:c r="F157" s="8" t="str">
        <x:v>DNSH</x:v>
      </x:c>
      <x:c r="G157" s="8" t="str">
        <x:v>Applicable</x:v>
      </x:c>
      <x:c r="H157" s="8" t="str">
        <x:v>Pass</x:v>
      </x:c>
      <x:c r="I157" s="8" t="str">
        <x:v>SYN-TEST-F016-DNSH-ADAPT</x:v>
      </x:c>
      <x:c r="J157" s="8" t="str"/>
      <x:c r="K157" s="8" t="str">
        <x:v>Taxonomy analyst 1</x:v>
      </x:c>
      <x:c r="L157" s="8" t="str">
        <x:v>Taxonomy reviewer 2</x:v>
      </x:c>
      <x:c r="M157" s="10" t="n">
        <x:v>46266</x:v>
      </x:c>
      <x:c r="N157" s="10" t="n">
        <x:v>46631</x:v>
      </x:c>
      <x:c r="O157" s="8"/>
      <x:c r="P157" s="9" t="str">
        <x:f>IF(C157="","",IF(AND(G157="Applicable",H157="Fail"),"Fail",IF(R157&lt;&gt;"Valid","Pending",IF(OR(I157="",K157="",L157="",K157=L157,NOT(ISNUMBER(M157)),NOT(ISNUMBER(N157)),M157&gt;Settings!$F$8,N157&lt;Settings!$F$8,N157&lt;M157),"Pending",IF(AND(G157="Applicable",H157="Pass"),"Pass",IF(AND(G157="N/A",H157="N/A",J157&lt;&gt;"",OR(E157="CEM-FUELS",E157="CEM-CCS",AND(E157="CEM-PLAN",IFERROR(INDEX('Taxonomy'!$M$9:$M$108,MATCH(D157,'Taxonomy'!$C$9:$C$108,0)),"")&lt;&gt;"Amber"),E157="BLD-TIMBER",AND(U157="Building equipment",OR(E157="BLD-WATER",E157="BLD-WASTE",E157="BLD-LAND")),AND(U157="Building renovation",E157="BLD-LAND"))),"N/A","Pending"))))))</x:f>
        <x:v>Pass</x:v>
      </x:c>
      <x:c r="Q157" s="3" t="str">
        <x:f>IF(C157="","",IF(AND(R157="Valid",OR(P157="Pass",P157="N/A")),"Complete","Unresolved"))</x:f>
        <x:v>Complete</x:v>
      </x:c>
      <x:c r="R157" s="9" t="str">
        <x:f>IF(C157="","",IF(OR(COUNTIF($C$9:$C$2008,C157)&lt;&gt;1,COUNTIFS($D$9:$D$2008,D157,$E$9:$E$2008,E157)&lt;&gt;1),"Duplicate test",IF(COUNTIF('Taxonomy'!$C$9:$C$108,D157)&lt;&gt;1,"Assessment key",IF(OR(COUNTIF('Taxonomy Rules'!$C$42:$C$68,E157)&lt;&gt;1,F157&lt;&gt;IFERROR(INDEX('Taxonomy Rules'!$D$42:$D$68,MATCH(E157,'Taxonomy Rules'!$C$42:$C$68,0)),""),NOT(OR(IFERROR(INDEX('Taxonomy Rules'!$G$42:$G$68,MATCH(E157,'Taxonomy Rules'!$C$42:$C$68,0)),"")="All supported routes",IFERROR(INDEX('Taxonomy Rules'!$G$42:$G$68,MATCH(E157,'Taxonomy Rules'!$C$42:$C$68,0)),"")=U157,AND(IFERROR(INDEX('Taxonomy Rules'!$G$42:$G$68,MATCH(E157,'Taxonomy Rules'!$C$42:$C$68,0)),"")="Building routes",OR(U157="Building renovation",U157="New building",U157="Building equipment"))))),"Unexpected test","Valid"))))</x:f>
        <x:v>Valid</x:v>
      </x:c>
      <x:c r="S157" s="9" t="str">
        <x:f>IF(C157="","",IFERROR(INDEX('Taxonomy Rules'!$E$42:$E$68,MATCH(E157,'Taxonomy Rules'!$C$42:$C$68,0)),""))</x:f>
        <x:v>Lifetime hazard screen, material risk assessment and implemented adaptation; no harm to others.</x:v>
      </x:c>
      <x:c r="T157" s="9" t="str">
        <x:f>IF(C157="","",IFERROR(INDEX('Taxonomy Rules'!$F$42:$F$68,MATCH(E157,'Taxonomy Rules'!$C$42:$C$68,0)),""))</x:f>
        <x:v>S10 pp30–31</x:v>
      </x:c>
      <x:c r="U157" s="9" t="str">
        <x:f>IF(C157="","",IFERROR(INDEX('Taxonomy'!$G$9:$G$108,MATCH(D157,'Taxonomy'!$C$9:$C$108,0)),""))</x:f>
        <x:v>Solar PV</x:v>
      </x:c>
    </x:row>
    <x:row r="158" ht="44" customHeight="1">
      <x:c r="A158" s="1"/>
      <x:c r="B158" s="1"/>
      <x:c r="C158" s="8" t="str">
        <x:v>TST-F016-DNSH-WATER</x:v>
      </x:c>
      <x:c r="D158" s="8" t="str">
        <x:v>TAX-F016</x:v>
      </x:c>
      <x:c r="E158" s="8" t="str">
        <x:v>DNSH-WATER</x:v>
      </x:c>
      <x:c r="F158" s="8" t="str">
        <x:v>DNSH</x:v>
      </x:c>
      <x:c r="G158" s="8" t="str">
        <x:v>Applicable</x:v>
      </x:c>
      <x:c r="H158" s="8" t="str">
        <x:v>Pass</x:v>
      </x:c>
      <x:c r="I158" s="8" t="str">
        <x:v>SYN-TEST-F016-DNSH-WATER</x:v>
      </x:c>
      <x:c r="J158" s="8" t="str"/>
      <x:c r="K158" s="8" t="str">
        <x:v>Taxonomy analyst 1</x:v>
      </x:c>
      <x:c r="L158" s="8" t="str">
        <x:v>Taxonomy reviewer 2</x:v>
      </x:c>
      <x:c r="M158" s="10" t="n">
        <x:v>46266</x:v>
      </x:c>
      <x:c r="N158" s="10" t="n">
        <x:v>46631</x:v>
      </x:c>
      <x:c r="O158" s="8"/>
      <x:c r="P158" s="9" t="str">
        <x:f>IF(C158="","",IF(AND(G158="Applicable",H158="Fail"),"Fail",IF(R158&lt;&gt;"Valid","Pending",IF(OR(I158="",K158="",L158="",K158=L158,NOT(ISNUMBER(M158)),NOT(ISNUMBER(N158)),M158&gt;Settings!$F$8,N158&lt;Settings!$F$8,N158&lt;M158),"Pending",IF(AND(G158="Applicable",H158="Pass"),"Pass",IF(AND(G158="N/A",H158="N/A",J158&lt;&gt;"",OR(E158="CEM-FUELS",E158="CEM-CCS",AND(E158="CEM-PLAN",IFERROR(INDEX('Taxonomy'!$M$9:$M$108,MATCH(D158,'Taxonomy'!$C$9:$C$108,0)),"")&lt;&gt;"Amber"),E158="BLD-TIMBER",AND(U158="Building equipment",OR(E158="BLD-WATER",E158="BLD-WASTE",E158="BLD-LAND")),AND(U158="Building renovation",E158="BLD-LAND"))),"N/A","Pending"))))))</x:f>
        <x:v>Pass</x:v>
      </x:c>
      <x:c r="Q158" s="3" t="str">
        <x:f>IF(C158="","",IF(AND(R158="Valid",OR(P158="Pass",P158="N/A")),"Complete","Unresolved"))</x:f>
        <x:v>Complete</x:v>
      </x:c>
      <x:c r="R158" s="9" t="str">
        <x:f>IF(C158="","",IF(OR(COUNTIF($C$9:$C$2008,C158)&lt;&gt;1,COUNTIFS($D$9:$D$2008,D158,$E$9:$E$2008,E158)&lt;&gt;1),"Duplicate test",IF(COUNTIF('Taxonomy'!$C$9:$C$108,D158)&lt;&gt;1,"Assessment key",IF(OR(COUNTIF('Taxonomy Rules'!$C$42:$C$68,E158)&lt;&gt;1,F158&lt;&gt;IFERROR(INDEX('Taxonomy Rules'!$D$42:$D$68,MATCH(E158,'Taxonomy Rules'!$C$42:$C$68,0)),""),NOT(OR(IFERROR(INDEX('Taxonomy Rules'!$G$42:$G$68,MATCH(E158,'Taxonomy Rules'!$C$42:$C$68,0)),"")="All supported routes",IFERROR(INDEX('Taxonomy Rules'!$G$42:$G$68,MATCH(E158,'Taxonomy Rules'!$C$42:$C$68,0)),"")=U158,AND(IFERROR(INDEX('Taxonomy Rules'!$G$42:$G$68,MATCH(E158,'Taxonomy Rules'!$C$42:$C$68,0)),"")="Building routes",OR(U158="Building renovation",U158="New building",U158="Building equipment"))))),"Unexpected test","Valid"))))</x:f>
        <x:v>Valid</x:v>
      </x:c>
      <x:c r="S158" s="9" t="str">
        <x:f>IF(C158="","",IFERROR(INDEX('Taxonomy Rules'!$E$42:$E$68,MATCH(E158,'Taxonomy Rules'!$C$42:$C$68,0)),""))</x:f>
        <x:v>Water permits, abstraction/discharge limits, required assessments and management measures.</x:v>
      </x:c>
      <x:c r="T158" s="9" t="str">
        <x:f>IF(C158="","",IFERROR(INDEX('Taxonomy Rules'!$F$42:$F$68,MATCH(E158,'Taxonomy Rules'!$C$42:$C$68,0)),""))</x:f>
        <x:v>S10 p31</x:v>
      </x:c>
      <x:c r="U158" s="9" t="str">
        <x:f>IF(C158="","",IFERROR(INDEX('Taxonomy'!$G$9:$G$108,MATCH(D158,'Taxonomy'!$C$9:$C$108,0)),""))</x:f>
        <x:v>Solar PV</x:v>
      </x:c>
    </x:row>
    <x:row r="159" ht="44" customHeight="1">
      <x:c r="A159" s="1"/>
      <x:c r="B159" s="1"/>
      <x:c r="C159" s="8" t="str">
        <x:v>TST-F016-DNSH-POLL</x:v>
      </x:c>
      <x:c r="D159" s="8" t="str">
        <x:v>TAX-F016</x:v>
      </x:c>
      <x:c r="E159" s="8" t="str">
        <x:v>DNSH-POLL</x:v>
      </x:c>
      <x:c r="F159" s="8" t="str">
        <x:v>DNSH</x:v>
      </x:c>
      <x:c r="G159" s="8" t="str">
        <x:v>Applicable</x:v>
      </x:c>
      <x:c r="H159" s="8" t="str">
        <x:v>Pass</x:v>
      </x:c>
      <x:c r="I159" s="8" t="str">
        <x:v>SYN-TEST-F016-DNSH-POLL</x:v>
      </x:c>
      <x:c r="J159" s="8" t="str"/>
      <x:c r="K159" s="8" t="str">
        <x:v>Taxonomy analyst 1</x:v>
      </x:c>
      <x:c r="L159" s="8" t="str">
        <x:v>Taxonomy reviewer 2</x:v>
      </x:c>
      <x:c r="M159" s="10" t="n">
        <x:v>46266</x:v>
      </x:c>
      <x:c r="N159" s="10" t="n">
        <x:v>46631</x:v>
      </x:c>
      <x:c r="O159" s="8"/>
      <x:c r="P159" s="9" t="str">
        <x:f>IF(C159="","",IF(AND(G159="Applicable",H159="Fail"),"Fail",IF(R159&lt;&gt;"Valid","Pending",IF(OR(I159="",K159="",L159="",K159=L159,NOT(ISNUMBER(M159)),NOT(ISNUMBER(N159)),M159&gt;Settings!$F$8,N159&lt;Settings!$F$8,N159&lt;M159),"Pending",IF(AND(G159="Applicable",H159="Pass"),"Pass",IF(AND(G159="N/A",H159="N/A",J159&lt;&gt;"",OR(E159="CEM-FUELS",E159="CEM-CCS",AND(E159="CEM-PLAN",IFERROR(INDEX('Taxonomy'!$M$9:$M$108,MATCH(D159,'Taxonomy'!$C$9:$C$108,0)),"")&lt;&gt;"Amber"),E159="BLD-TIMBER",AND(U159="Building equipment",OR(E159="BLD-WATER",E159="BLD-WASTE",E159="BLD-LAND")),AND(U159="Building renovation",E159="BLD-LAND"))),"N/A","Pending"))))))</x:f>
        <x:v>Pass</x:v>
      </x:c>
      <x:c r="Q159" s="3" t="str">
        <x:f>IF(C159="","",IF(AND(R159="Valid",OR(P159="Pass",P159="N/A")),"Complete","Unresolved"))</x:f>
        <x:v>Complete</x:v>
      </x:c>
      <x:c r="R159" s="9" t="str">
        <x:f>IF(C159="","",IF(OR(COUNTIF($C$9:$C$2008,C159)&lt;&gt;1,COUNTIFS($D$9:$D$2008,D159,$E$9:$E$2008,E159)&lt;&gt;1),"Duplicate test",IF(COUNTIF('Taxonomy'!$C$9:$C$108,D159)&lt;&gt;1,"Assessment key",IF(OR(COUNTIF('Taxonomy Rules'!$C$42:$C$68,E159)&lt;&gt;1,F159&lt;&gt;IFERROR(INDEX('Taxonomy Rules'!$D$42:$D$68,MATCH(E159,'Taxonomy Rules'!$C$42:$C$68,0)),""),NOT(OR(IFERROR(INDEX('Taxonomy Rules'!$G$42:$G$68,MATCH(E159,'Taxonomy Rules'!$C$42:$C$68,0)),"")="All supported routes",IFERROR(INDEX('Taxonomy Rules'!$G$42:$G$68,MATCH(E159,'Taxonomy Rules'!$C$42:$C$68,0)),"")=U159,AND(IFERROR(INDEX('Taxonomy Rules'!$G$42:$G$68,MATCH(E159,'Taxonomy Rules'!$C$42:$C$68,0)),"")="Building routes",OR(U159="Building renovation",U159="New building",U159="Building equipment"))))),"Unexpected test","Valid"))))</x:f>
        <x:v>Valid</x:v>
      </x:c>
      <x:c r="S159" s="9" t="str">
        <x:f>IF(C159="","",IFERROR(INDEX('Taxonomy Rules'!$E$42:$E$68,MATCH(E159,'Taxonomy Rules'!$C$42:$C$68,0)),""))</x:f>
        <x:v>National pollution and prohibited-substance requirements; activity-specific limits.</x:v>
      </x:c>
      <x:c r="T159" s="9" t="str">
        <x:f>IF(C159="","",IFERROR(INDEX('Taxonomy Rules'!$F$42:$F$68,MATCH(E159,'Taxonomy Rules'!$C$42:$C$68,0)),""))</x:f>
        <x:v>S10 p31</x:v>
      </x:c>
      <x:c r="U159" s="9" t="str">
        <x:f>IF(C159="","",IFERROR(INDEX('Taxonomy'!$G$9:$G$108,MATCH(D159,'Taxonomy'!$C$9:$C$108,0)),""))</x:f>
        <x:v>Solar PV</x:v>
      </x:c>
    </x:row>
    <x:row r="160" ht="44" customHeight="1">
      <x:c r="A160" s="1"/>
      <x:c r="B160" s="1"/>
      <x:c r="C160" s="8" t="str">
        <x:v>TST-F016-DNSH-CIRC</x:v>
      </x:c>
      <x:c r="D160" s="8" t="str">
        <x:v>TAX-F016</x:v>
      </x:c>
      <x:c r="E160" s="8" t="str">
        <x:v>DNSH-CIRC</x:v>
      </x:c>
      <x:c r="F160" s="8" t="str">
        <x:v>DNSH</x:v>
      </x:c>
      <x:c r="G160" s="8" t="str">
        <x:v>Applicable</x:v>
      </x:c>
      <x:c r="H160" s="8" t="str">
        <x:v>Pass</x:v>
      </x:c>
      <x:c r="I160" s="8" t="str">
        <x:v>SYN-TEST-F016-DNSH-CIRC</x:v>
      </x:c>
      <x:c r="J160" s="8" t="str"/>
      <x:c r="K160" s="8" t="str">
        <x:v>Taxonomy analyst 1</x:v>
      </x:c>
      <x:c r="L160" s="8" t="str">
        <x:v>Taxonomy reviewer 2</x:v>
      </x:c>
      <x:c r="M160" s="10" t="n">
        <x:v>46266</x:v>
      </x:c>
      <x:c r="N160" s="10" t="n">
        <x:v>46631</x:v>
      </x:c>
      <x:c r="O160" s="8"/>
      <x:c r="P160" s="9" t="str">
        <x:f>IF(C160="","",IF(AND(G160="Applicable",H160="Fail"),"Fail",IF(R160&lt;&gt;"Valid","Pending",IF(OR(I160="",K160="",L160="",K160=L160,NOT(ISNUMBER(M160)),NOT(ISNUMBER(N160)),M160&gt;Settings!$F$8,N160&lt;Settings!$F$8,N160&lt;M160),"Pending",IF(AND(G160="Applicable",H160="Pass"),"Pass",IF(AND(G160="N/A",H160="N/A",J160&lt;&gt;"",OR(E160="CEM-FUELS",E160="CEM-CCS",AND(E160="CEM-PLAN",IFERROR(INDEX('Taxonomy'!$M$9:$M$108,MATCH(D160,'Taxonomy'!$C$9:$C$108,0)),"")&lt;&gt;"Amber"),E160="BLD-TIMBER",AND(U160="Building equipment",OR(E160="BLD-WATER",E160="BLD-WASTE",E160="BLD-LAND")),AND(U160="Building renovation",E160="BLD-LAND"))),"N/A","Pending"))))))</x:f>
        <x:v>Pass</x:v>
      </x:c>
      <x:c r="Q160" s="3" t="str">
        <x:f>IF(C160="","",IF(AND(R160="Valid",OR(P160="Pass",P160="N/A")),"Complete","Unresolved"))</x:f>
        <x:v>Complete</x:v>
      </x:c>
      <x:c r="R160" s="9" t="str">
        <x:f>IF(C160="","",IF(OR(COUNTIF($C$9:$C$2008,C160)&lt;&gt;1,COUNTIFS($D$9:$D$2008,D160,$E$9:$E$2008,E160)&lt;&gt;1),"Duplicate test",IF(COUNTIF('Taxonomy'!$C$9:$C$108,D160)&lt;&gt;1,"Assessment key",IF(OR(COUNTIF('Taxonomy Rules'!$C$42:$C$68,E160)&lt;&gt;1,F160&lt;&gt;IFERROR(INDEX('Taxonomy Rules'!$D$42:$D$68,MATCH(E160,'Taxonomy Rules'!$C$42:$C$68,0)),""),NOT(OR(IFERROR(INDEX('Taxonomy Rules'!$G$42:$G$68,MATCH(E160,'Taxonomy Rules'!$C$42:$C$68,0)),"")="All supported routes",IFERROR(INDEX('Taxonomy Rules'!$G$42:$G$68,MATCH(E160,'Taxonomy Rules'!$C$42:$C$68,0)),"")=U160,AND(IFERROR(INDEX('Taxonomy Rules'!$G$42:$G$68,MATCH(E160,'Taxonomy Rules'!$C$42:$C$68,0)),"")="Building routes",OR(U160="Building renovation",U160="New building",U160="Building equipment"))))),"Unexpected test","Valid"))))</x:f>
        <x:v>Valid</x:v>
      </x:c>
      <x:c r="S160" s="9" t="str">
        <x:f>IF(C160="","",IFERROR(INDEX('Taxonomy Rules'!$E$42:$E$68,MATCH(E160,'Taxonomy Rules'!$C$42:$C$68,0)),""))</x:f>
        <x:v>Waste hierarchy, resource efficiency, hazardous-waste traceability and end-of-life arrangements.</x:v>
      </x:c>
      <x:c r="T160" s="9" t="str">
        <x:f>IF(C160="","",IFERROR(INDEX('Taxonomy Rules'!$F$42:$F$68,MATCH(E160,'Taxonomy Rules'!$C$42:$C$68,0)),""))</x:f>
        <x:v>S10 p32</x:v>
      </x:c>
      <x:c r="U160" s="9" t="str">
        <x:f>IF(C160="","",IFERROR(INDEX('Taxonomy'!$G$9:$G$108,MATCH(D160,'Taxonomy'!$C$9:$C$108,0)),""))</x:f>
        <x:v>Solar PV</x:v>
      </x:c>
    </x:row>
    <x:row r="161" ht="44" customHeight="1">
      <x:c r="A161" s="1"/>
      <x:c r="B161" s="1"/>
      <x:c r="C161" s="8" t="str">
        <x:v>TST-F016-DNSH-BIO</x:v>
      </x:c>
      <x:c r="D161" s="8" t="str">
        <x:v>TAX-F016</x:v>
      </x:c>
      <x:c r="E161" s="8" t="str">
        <x:v>DNSH-BIO</x:v>
      </x:c>
      <x:c r="F161" s="8" t="str">
        <x:v>DNSH</x:v>
      </x:c>
      <x:c r="G161" s="8" t="str">
        <x:v>Applicable</x:v>
      </x:c>
      <x:c r="H161" s="8" t="str">
        <x:v>Pass</x:v>
      </x:c>
      <x:c r="I161" s="8" t="str">
        <x:v>SYN-TEST-F016-DNSH-BIO</x:v>
      </x:c>
      <x:c r="J161" s="8" t="str"/>
      <x:c r="K161" s="8" t="str">
        <x:v>Taxonomy analyst 1</x:v>
      </x:c>
      <x:c r="L161" s="8" t="str">
        <x:v>Taxonomy reviewer 2</x:v>
      </x:c>
      <x:c r="M161" s="10" t="n">
        <x:v>46266</x:v>
      </x:c>
      <x:c r="N161" s="10" t="n">
        <x:v>46631</x:v>
      </x:c>
      <x:c r="O161" s="8"/>
      <x:c r="P161" s="9" t="str">
        <x:f>IF(C161="","",IF(AND(G161="Applicable",H161="Fail"),"Fail",IF(R161&lt;&gt;"Valid","Pending",IF(OR(I161="",K161="",L161="",K161=L161,NOT(ISNUMBER(M161)),NOT(ISNUMBER(N161)),M161&gt;Settings!$F$8,N161&lt;Settings!$F$8,N161&lt;M161),"Pending",IF(AND(G161="Applicable",H161="Pass"),"Pass",IF(AND(G161="N/A",H161="N/A",J161&lt;&gt;"",OR(E161="CEM-FUELS",E161="CEM-CCS",AND(E161="CEM-PLAN",IFERROR(INDEX('Taxonomy'!$M$9:$M$108,MATCH(D161,'Taxonomy'!$C$9:$C$108,0)),"")&lt;&gt;"Amber"),E161="BLD-TIMBER",AND(U161="Building equipment",OR(E161="BLD-WATER",E161="BLD-WASTE",E161="BLD-LAND")),AND(U161="Building renovation",E161="BLD-LAND"))),"N/A","Pending"))))))</x:f>
        <x:v>Pass</x:v>
      </x:c>
      <x:c r="Q161" s="3" t="str">
        <x:f>IF(C161="","",IF(AND(R161="Valid",OR(P161="Pass",P161="N/A")),"Complete","Unresolved"))</x:f>
        <x:v>Complete</x:v>
      </x:c>
      <x:c r="R161" s="9" t="str">
        <x:f>IF(C161="","",IF(OR(COUNTIF($C$9:$C$2008,C161)&lt;&gt;1,COUNTIFS($D$9:$D$2008,D161,$E$9:$E$2008,E161)&lt;&gt;1),"Duplicate test",IF(COUNTIF('Taxonomy'!$C$9:$C$108,D161)&lt;&gt;1,"Assessment key",IF(OR(COUNTIF('Taxonomy Rules'!$C$42:$C$68,E161)&lt;&gt;1,F161&lt;&gt;IFERROR(INDEX('Taxonomy Rules'!$D$42:$D$68,MATCH(E161,'Taxonomy Rules'!$C$42:$C$68,0)),""),NOT(OR(IFERROR(INDEX('Taxonomy Rules'!$G$42:$G$68,MATCH(E161,'Taxonomy Rules'!$C$42:$C$68,0)),"")="All supported routes",IFERROR(INDEX('Taxonomy Rules'!$G$42:$G$68,MATCH(E161,'Taxonomy Rules'!$C$42:$C$68,0)),"")=U161,AND(IFERROR(INDEX('Taxonomy Rules'!$G$42:$G$68,MATCH(E161,'Taxonomy Rules'!$C$42:$C$68,0)),"")="Building routes",OR(U161="Building renovation",U161="New building",U161="Building equipment"))))),"Unexpected test","Valid"))))</x:f>
        <x:v>Valid</x:v>
      </x:c>
      <x:c r="S161" s="9" t="str">
        <x:f>IF(C161="","",IFERROR(INDEX('Taxonomy Rules'!$E$42:$E$68,MATCH(E161,'Taxonomy Rules'!$C$42:$C$68,0)),""))</x:f>
        <x:v>Required EIA, habitat screening and implemented mitigation.</x:v>
      </x:c>
      <x:c r="T161" s="9" t="str">
        <x:f>IF(C161="","",IFERROR(INDEX('Taxonomy Rules'!$F$42:$F$68,MATCH(E161,'Taxonomy Rules'!$C$42:$C$68,0)),""))</x:f>
        <x:v>S10 p32</x:v>
      </x:c>
      <x:c r="U161" s="9" t="str">
        <x:f>IF(C161="","",IFERROR(INDEX('Taxonomy'!$G$9:$G$108,MATCH(D161,'Taxonomy'!$C$9:$C$108,0)),""))</x:f>
        <x:v>Solar PV</x:v>
      </x:c>
    </x:row>
    <x:row r="162" ht="44" customHeight="1">
      <x:c r="A162" s="1"/>
      <x:c r="B162" s="1"/>
      <x:c r="C162" s="8" t="str">
        <x:v>TST-F016-MSS-LABOUR</x:v>
      </x:c>
      <x:c r="D162" s="8" t="str">
        <x:v>TAX-F016</x:v>
      </x:c>
      <x:c r="E162" s="8" t="str">
        <x:v>MSS-LABOUR</x:v>
      </x:c>
      <x:c r="F162" s="8" t="str">
        <x:v>MSS</x:v>
      </x:c>
      <x:c r="G162" s="8" t="str">
        <x:v>Applicable</x:v>
      </x:c>
      <x:c r="H162" s="8" t="str">
        <x:v>Pass</x:v>
      </x:c>
      <x:c r="I162" s="8" t="str">
        <x:v>SYN-TEST-F016-MSS-LABOUR</x:v>
      </x:c>
      <x:c r="J162" s="8" t="str"/>
      <x:c r="K162" s="8" t="str">
        <x:v>Taxonomy analyst 1</x:v>
      </x:c>
      <x:c r="L162" s="8" t="str">
        <x:v>Taxonomy reviewer 2</x:v>
      </x:c>
      <x:c r="M162" s="10" t="n">
        <x:v>46266</x:v>
      </x:c>
      <x:c r="N162" s="10" t="n">
        <x:v>46631</x:v>
      </x:c>
      <x:c r="O162" s="8"/>
      <x:c r="P162" s="9" t="str">
        <x:f>IF(C162="","",IF(AND(G162="Applicable",H162="Fail"),"Fail",IF(R162&lt;&gt;"Valid","Pending",IF(OR(I162="",K162="",L162="",K162=L162,NOT(ISNUMBER(M162)),NOT(ISNUMBER(N162)),M162&gt;Settings!$F$8,N162&lt;Settings!$F$8,N162&lt;M162),"Pending",IF(AND(G162="Applicable",H162="Pass"),"Pass",IF(AND(G162="N/A",H162="N/A",J162&lt;&gt;"",OR(E162="CEM-FUELS",E162="CEM-CCS",AND(E162="CEM-PLAN",IFERROR(INDEX('Taxonomy'!$M$9:$M$108,MATCH(D162,'Taxonomy'!$C$9:$C$108,0)),"")&lt;&gt;"Amber"),E162="BLD-TIMBER",AND(U162="Building equipment",OR(E162="BLD-WATER",E162="BLD-WASTE",E162="BLD-LAND")),AND(U162="Building renovation",E162="BLD-LAND"))),"N/A","Pending"))))))</x:f>
        <x:v>Pass</x:v>
      </x:c>
      <x:c r="Q162" s="3" t="str">
        <x:f>IF(C162="","",IF(AND(R162="Valid",OR(P162="Pass",P162="N/A")),"Complete","Unresolved"))</x:f>
        <x:v>Complete</x:v>
      </x:c>
      <x:c r="R162" s="9" t="str">
        <x:f>IF(C162="","",IF(OR(COUNTIF($C$9:$C$2008,C162)&lt;&gt;1,COUNTIFS($D$9:$D$2008,D162,$E$9:$E$2008,E162)&lt;&gt;1),"Duplicate test",IF(COUNTIF('Taxonomy'!$C$9:$C$108,D162)&lt;&gt;1,"Assessment key",IF(OR(COUNTIF('Taxonomy Rules'!$C$42:$C$68,E162)&lt;&gt;1,F162&lt;&gt;IFERROR(INDEX('Taxonomy Rules'!$D$42:$D$68,MATCH(E162,'Taxonomy Rules'!$C$42:$C$68,0)),""),NOT(OR(IFERROR(INDEX('Taxonomy Rules'!$G$42:$G$68,MATCH(E162,'Taxonomy Rules'!$C$42:$C$68,0)),"")="All supported routes",IFERROR(INDEX('Taxonomy Rules'!$G$42:$G$68,MATCH(E162,'Taxonomy Rules'!$C$42:$C$68,0)),"")=U162,AND(IFERROR(INDEX('Taxonomy Rules'!$G$42:$G$68,MATCH(E162,'Taxonomy Rules'!$C$42:$C$68,0)),"")="Building routes",OR(U162="Building renovation",U162="New building",U162="Building equipment"))))),"Unexpected test","Valid"))))</x:f>
        <x:v>Valid</x:v>
      </x:c>
      <x:c r="S162" s="9" t="str">
        <x:f>IF(C162="","",IFERROR(INDEX('Taxonomy Rules'!$E$42:$E$68,MATCH(E162,'Taxonomy Rules'!$C$42:$C$68,0)),""))</x:f>
        <x:v>Labour rights, minimum age, no child/forced labour, equality and worker representation.</x:v>
      </x:c>
      <x:c r="T162" s="9" t="str">
        <x:f>IF(C162="","",IFERROR(INDEX('Taxonomy Rules'!$F$42:$F$68,MATCH(E162,'Taxonomy Rules'!$C$42:$C$68,0)),""))</x:f>
        <x:v>S10 p29</x:v>
      </x:c>
      <x:c r="U162" s="9" t="str">
        <x:f>IF(C162="","",IFERROR(INDEX('Taxonomy'!$G$9:$G$108,MATCH(D162,'Taxonomy'!$C$9:$C$108,0)),""))</x:f>
        <x:v>Solar PV</x:v>
      </x:c>
    </x:row>
    <x:row r="163" ht="44" customHeight="1">
      <x:c r="A163" s="1"/>
      <x:c r="B163" s="1"/>
      <x:c r="C163" s="8" t="str">
        <x:v>TST-F016-MSS-OSH</x:v>
      </x:c>
      <x:c r="D163" s="8" t="str">
        <x:v>TAX-F016</x:v>
      </x:c>
      <x:c r="E163" s="8" t="str">
        <x:v>MSS-OSH</x:v>
      </x:c>
      <x:c r="F163" s="8" t="str">
        <x:v>MSS</x:v>
      </x:c>
      <x:c r="G163" s="8" t="str">
        <x:v>Applicable</x:v>
      </x:c>
      <x:c r="H163" s="8" t="str">
        <x:v>Pass</x:v>
      </x:c>
      <x:c r="I163" s="8" t="str">
        <x:v>SYN-TEST-F016-MSS-OSH</x:v>
      </x:c>
      <x:c r="J163" s="8" t="str"/>
      <x:c r="K163" s="8" t="str">
        <x:v>Taxonomy analyst 1</x:v>
      </x:c>
      <x:c r="L163" s="8" t="str">
        <x:v>Taxonomy reviewer 2</x:v>
      </x:c>
      <x:c r="M163" s="10" t="n">
        <x:v>46266</x:v>
      </x:c>
      <x:c r="N163" s="10" t="n">
        <x:v>46631</x:v>
      </x:c>
      <x:c r="O163" s="8"/>
      <x:c r="P163" s="9" t="str">
        <x:f>IF(C163="","",IF(AND(G163="Applicable",H163="Fail"),"Fail",IF(R163&lt;&gt;"Valid","Pending",IF(OR(I163="",K163="",L163="",K163=L163,NOT(ISNUMBER(M163)),NOT(ISNUMBER(N163)),M163&gt;Settings!$F$8,N163&lt;Settings!$F$8,N163&lt;M163),"Pending",IF(AND(G163="Applicable",H163="Pass"),"Pass",IF(AND(G163="N/A",H163="N/A",J163&lt;&gt;"",OR(E163="CEM-FUELS",E163="CEM-CCS",AND(E163="CEM-PLAN",IFERROR(INDEX('Taxonomy'!$M$9:$M$108,MATCH(D163,'Taxonomy'!$C$9:$C$108,0)),"")&lt;&gt;"Amber"),E163="BLD-TIMBER",AND(U163="Building equipment",OR(E163="BLD-WATER",E163="BLD-WASTE",E163="BLD-LAND")),AND(U163="Building renovation",E163="BLD-LAND"))),"N/A","Pending"))))))</x:f>
        <x:v>Pass</x:v>
      </x:c>
      <x:c r="Q163" s="3" t="str">
        <x:f>IF(C163="","",IF(AND(R163="Valid",OR(P163="Pass",P163="N/A")),"Complete","Unresolved"))</x:f>
        <x:v>Complete</x:v>
      </x:c>
      <x:c r="R163" s="9" t="str">
        <x:f>IF(C163="","",IF(OR(COUNTIF($C$9:$C$2008,C163)&lt;&gt;1,COUNTIFS($D$9:$D$2008,D163,$E$9:$E$2008,E163)&lt;&gt;1),"Duplicate test",IF(COUNTIF('Taxonomy'!$C$9:$C$108,D163)&lt;&gt;1,"Assessment key",IF(OR(COUNTIF('Taxonomy Rules'!$C$42:$C$68,E163)&lt;&gt;1,F163&lt;&gt;IFERROR(INDEX('Taxonomy Rules'!$D$42:$D$68,MATCH(E163,'Taxonomy Rules'!$C$42:$C$68,0)),""),NOT(OR(IFERROR(INDEX('Taxonomy Rules'!$G$42:$G$68,MATCH(E163,'Taxonomy Rules'!$C$42:$C$68,0)),"")="All supported routes",IFERROR(INDEX('Taxonomy Rules'!$G$42:$G$68,MATCH(E163,'Taxonomy Rules'!$C$42:$C$68,0)),"")=U163,AND(IFERROR(INDEX('Taxonomy Rules'!$G$42:$G$68,MATCH(E163,'Taxonomy Rules'!$C$42:$C$68,0)),"")="Building routes",OR(U163="Building renovation",U163="New building",U163="Building equipment"))))),"Unexpected test","Valid"))))</x:f>
        <x:v>Valid</x:v>
      </x:c>
      <x:c r="S163" s="9" t="str">
        <x:f>IF(C163="","",IFERROR(INDEX('Taxonomy Rules'!$E$42:$E$68,MATCH(E163,'Taxonomy Rules'!$C$42:$C$68,0)),""))</x:f>
        <x:v>Applicable occupational safety, hazard prevention and emergency readiness.</x:v>
      </x:c>
      <x:c r="T163" s="9" t="str">
        <x:f>IF(C163="","",IFERROR(INDEX('Taxonomy Rules'!$F$42:$F$68,MATCH(E163,'Taxonomy Rules'!$C$42:$C$68,0)),""))</x:f>
        <x:v>S10 p29</x:v>
      </x:c>
      <x:c r="U163" s="9" t="str">
        <x:f>IF(C163="","",IFERROR(INDEX('Taxonomy'!$G$9:$G$108,MATCH(D163,'Taxonomy'!$C$9:$C$108,0)),""))</x:f>
        <x:v>Solar PV</x:v>
      </x:c>
    </x:row>
    <x:row r="164" ht="44" customHeight="1">
      <x:c r="A164" s="1"/>
      <x:c r="B164" s="1"/>
      <x:c r="C164" s="8" t="str">
        <x:v>TST-F016-MSS-RIGHTS</x:v>
      </x:c>
      <x:c r="D164" s="8" t="str">
        <x:v>TAX-F016</x:v>
      </x:c>
      <x:c r="E164" s="8" t="str">
        <x:v>MSS-RIGHTS</x:v>
      </x:c>
      <x:c r="F164" s="8" t="str">
        <x:v>MSS</x:v>
      </x:c>
      <x:c r="G164" s="8" t="str">
        <x:v>Applicable</x:v>
      </x:c>
      <x:c r="H164" s="8" t="str">
        <x:v>Pass</x:v>
      </x:c>
      <x:c r="I164" s="8" t="str">
        <x:v>SYN-TEST-F016-MSS-RIGHTS</x:v>
      </x:c>
      <x:c r="J164" s="8" t="str"/>
      <x:c r="K164" s="8" t="str">
        <x:v>Taxonomy analyst 1</x:v>
      </x:c>
      <x:c r="L164" s="8" t="str">
        <x:v>Taxonomy reviewer 2</x:v>
      </x:c>
      <x:c r="M164" s="10" t="n">
        <x:v>46266</x:v>
      </x:c>
      <x:c r="N164" s="10" t="n">
        <x:v>46631</x:v>
      </x:c>
      <x:c r="O164" s="8"/>
      <x:c r="P164" s="9" t="str">
        <x:f>IF(C164="","",IF(AND(G164="Applicable",H164="Fail"),"Fail",IF(R164&lt;&gt;"Valid","Pending",IF(OR(I164="",K164="",L164="",K164=L164,NOT(ISNUMBER(M164)),NOT(ISNUMBER(N164)),M164&gt;Settings!$F$8,N164&lt;Settings!$F$8,N164&lt;M164),"Pending",IF(AND(G164="Applicable",H164="Pass"),"Pass",IF(AND(G164="N/A",H164="N/A",J164&lt;&gt;"",OR(E164="CEM-FUELS",E164="CEM-CCS",AND(E164="CEM-PLAN",IFERROR(INDEX('Taxonomy'!$M$9:$M$108,MATCH(D164,'Taxonomy'!$C$9:$C$108,0)),"")&lt;&gt;"Amber"),E164="BLD-TIMBER",AND(U164="Building equipment",OR(E164="BLD-WATER",E164="BLD-WASTE",E164="BLD-LAND")),AND(U164="Building renovation",E164="BLD-LAND"))),"N/A","Pending"))))))</x:f>
        <x:v>Pass</x:v>
      </x:c>
      <x:c r="Q164" s="3" t="str">
        <x:f>IF(C164="","",IF(AND(R164="Valid",OR(P164="Pass",P164="N/A")),"Complete","Unresolved"))</x:f>
        <x:v>Complete</x:v>
      </x:c>
      <x:c r="R164" s="9" t="str">
        <x:f>IF(C164="","",IF(OR(COUNTIF($C$9:$C$2008,C164)&lt;&gt;1,COUNTIFS($D$9:$D$2008,D164,$E$9:$E$2008,E164)&lt;&gt;1),"Duplicate test",IF(COUNTIF('Taxonomy'!$C$9:$C$108,D164)&lt;&gt;1,"Assessment key",IF(OR(COUNTIF('Taxonomy Rules'!$C$42:$C$68,E164)&lt;&gt;1,F164&lt;&gt;IFERROR(INDEX('Taxonomy Rules'!$D$42:$D$68,MATCH(E164,'Taxonomy Rules'!$C$42:$C$68,0)),""),NOT(OR(IFERROR(INDEX('Taxonomy Rules'!$G$42:$G$68,MATCH(E164,'Taxonomy Rules'!$C$42:$C$68,0)),"")="All supported routes",IFERROR(INDEX('Taxonomy Rules'!$G$42:$G$68,MATCH(E164,'Taxonomy Rules'!$C$42:$C$68,0)),"")=U164,AND(IFERROR(INDEX('Taxonomy Rules'!$G$42:$G$68,MATCH(E164,'Taxonomy Rules'!$C$42:$C$68,0)),"")="Building routes",OR(U164="Building renovation",U164="New building",U164="Building equipment"))))),"Unexpected test","Valid"))))</x:f>
        <x:v>Valid</x:v>
      </x:c>
      <x:c r="S164" s="9" t="str">
        <x:f>IF(C164="","",IFERROR(INDEX('Taxonomy Rules'!$E$42:$E$68,MATCH(E164,'Taxonomy Rules'!$C$42:$C$68,0)),""))</x:f>
        <x:v>Proportionate human-rights diligence, stakeholder/social-impact process and grievance mechanism.</x:v>
      </x:c>
      <x:c r="T164" s="9" t="str">
        <x:f>IF(C164="","",IFERROR(INDEX('Taxonomy Rules'!$F$42:$F$68,MATCH(E164,'Taxonomy Rules'!$C$42:$C$68,0)),""))</x:f>
        <x:v>S10 p29</x:v>
      </x:c>
      <x:c r="U164" s="9" t="str">
        <x:f>IF(C164="","",IFERROR(INDEX('Taxonomy'!$G$9:$G$108,MATCH(D164,'Taxonomy'!$C$9:$C$108,0)),""))</x:f>
        <x:v>Solar PV</x:v>
      </x:c>
    </x:row>
    <x:row r="165" ht="44" customHeight="1">
      <x:c r="A165" s="1"/>
      <x:c r="B165" s="1"/>
      <x:c r="C165" s="8" t="str">
        <x:v>TST-F016-PV-DURABLE</x:v>
      </x:c>
      <x:c r="D165" s="8" t="str">
        <x:v>TAX-F016</x:v>
      </x:c>
      <x:c r="E165" s="8" t="str">
        <x:v>PV-DURABLE</x:v>
      </x:c>
      <x:c r="F165" s="8" t="str">
        <x:v>DNSH</x:v>
      </x:c>
      <x:c r="G165" s="8" t="str">
        <x:v>Applicable</x:v>
      </x:c>
      <x:c r="H165" s="8" t="str">
        <x:v>Pass</x:v>
      </x:c>
      <x:c r="I165" s="8" t="str">
        <x:v>SYN-TEST-F016-PV-DURABLE</x:v>
      </x:c>
      <x:c r="J165" s="8" t="str"/>
      <x:c r="K165" s="8" t="str">
        <x:v>Taxonomy analyst 1</x:v>
      </x:c>
      <x:c r="L165" s="8" t="str">
        <x:v>Taxonomy reviewer 2</x:v>
      </x:c>
      <x:c r="M165" s="10" t="n">
        <x:v>46266</x:v>
      </x:c>
      <x:c r="N165" s="10" t="n">
        <x:v>46631</x:v>
      </x:c>
      <x:c r="O165" s="8"/>
      <x:c r="P165" s="9" t="str">
        <x:f>IF(C165="","",IF(AND(G165="Applicable",H165="Fail"),"Fail",IF(R165&lt;&gt;"Valid","Pending",IF(OR(I165="",K165="",L165="",K165=L165,NOT(ISNUMBER(M165)),NOT(ISNUMBER(N165)),M165&gt;Settings!$F$8,N165&lt;Settings!$F$8,N165&lt;M165),"Pending",IF(AND(G165="Applicable",H165="Pass"),"Pass",IF(AND(G165="N/A",H165="N/A",J165&lt;&gt;"",OR(E165="CEM-FUELS",E165="CEM-CCS",AND(E165="CEM-PLAN",IFERROR(INDEX('Taxonomy'!$M$9:$M$108,MATCH(D165,'Taxonomy'!$C$9:$C$108,0)),"")&lt;&gt;"Amber"),E165="BLD-TIMBER",AND(U165="Building equipment",OR(E165="BLD-WATER",E165="BLD-WASTE",E165="BLD-LAND")),AND(U165="Building renovation",E165="BLD-LAND"))),"N/A","Pending"))))))</x:f>
        <x:v>Pass</x:v>
      </x:c>
      <x:c r="Q165" s="3" t="str">
        <x:f>IF(C165="","",IF(AND(R165="Valid",OR(P165="Pass",P165="N/A")),"Complete","Unresolved"))</x:f>
        <x:v>Complete</x:v>
      </x:c>
      <x:c r="R165" s="9" t="str">
        <x:f>IF(C165="","",IF(OR(COUNTIF($C$9:$C$2008,C165)&lt;&gt;1,COUNTIFS($D$9:$D$2008,D165,$E$9:$E$2008,E165)&lt;&gt;1),"Duplicate test",IF(COUNTIF('Taxonomy'!$C$9:$C$108,D165)&lt;&gt;1,"Assessment key",IF(OR(COUNTIF('Taxonomy Rules'!$C$42:$C$68,E165)&lt;&gt;1,F165&lt;&gt;IFERROR(INDEX('Taxonomy Rules'!$D$42:$D$68,MATCH(E165,'Taxonomy Rules'!$C$42:$C$68,0)),""),NOT(OR(IFERROR(INDEX('Taxonomy Rules'!$G$42:$G$68,MATCH(E165,'Taxonomy Rules'!$C$42:$C$68,0)),"")="All supported routes",IFERROR(INDEX('Taxonomy Rules'!$G$42:$G$68,MATCH(E165,'Taxonomy Rules'!$C$42:$C$68,0)),"")=U165,AND(IFERROR(INDEX('Taxonomy Rules'!$G$42:$G$68,MATCH(E165,'Taxonomy Rules'!$C$42:$C$68,0)),"")="Building routes",OR(U165="Building renovation",U165="New building",U165="Building equipment"))))),"Unexpected test","Valid"))))</x:f>
        <x:v>Valid</x:v>
      </x:c>
      <x:c r="S165" s="9" t="str">
        <x:f>IF(C165="","",IFERROR(INDEX('Taxonomy Rules'!$E$42:$E$68,MATCH(E165,'Taxonomy Rules'!$C$42:$C$68,0)),""))</x:f>
        <x:v>Durable, recyclable, dismantlable and refurbishable components assessed and used where feasible.</x:v>
      </x:c>
      <x:c r="T165" s="9" t="str">
        <x:f>IF(C165="","",IFERROR(INDEX('Taxonomy Rules'!$F$42:$F$68,MATCH(E165,'Taxonomy Rules'!$C$42:$C$68,0)),""))</x:f>
        <x:v>S10 p86</x:v>
      </x:c>
      <x:c r="U165" s="9" t="str">
        <x:f>IF(C165="","",IFERROR(INDEX('Taxonomy'!$G$9:$G$108,MATCH(D165,'Taxonomy'!$C$9:$C$108,0)),""))</x:f>
        <x:v>Solar PV</x:v>
      </x:c>
    </x:row>
    <x:row r="166" ht="44" customHeight="1">
      <x:c r="A166" s="1"/>
      <x:c r="B166" s="1"/>
      <x:c r="C166" s="8" t="str">
        <x:v>TST-F016-PV-ENDLIFE</x:v>
      </x:c>
      <x:c r="D166" s="8" t="str">
        <x:v>TAX-F016</x:v>
      </x:c>
      <x:c r="E166" s="8" t="str">
        <x:v>PV-ENDLIFE</x:v>
      </x:c>
      <x:c r="F166" s="8" t="str">
        <x:v>DNSH</x:v>
      </x:c>
      <x:c r="G166" s="8" t="str">
        <x:v>Applicable</x:v>
      </x:c>
      <x:c r="H166" s="8" t="str">
        <x:v>Pass</x:v>
      </x:c>
      <x:c r="I166" s="8" t="str">
        <x:v>SYN-TEST-F016-PV-ENDLIFE</x:v>
      </x:c>
      <x:c r="J166" s="8" t="str"/>
      <x:c r="K166" s="8" t="str">
        <x:v>Taxonomy analyst 1</x:v>
      </x:c>
      <x:c r="L166" s="8" t="str">
        <x:v>Taxonomy reviewer 2</x:v>
      </x:c>
      <x:c r="M166" s="10" t="n">
        <x:v>46266</x:v>
      </x:c>
      <x:c r="N166" s="10" t="n">
        <x:v>46631</x:v>
      </x:c>
      <x:c r="O166" s="8"/>
      <x:c r="P166" s="9" t="str">
        <x:f>IF(C166="","",IF(AND(G166="Applicable",H166="Fail"),"Fail",IF(R166&lt;&gt;"Valid","Pending",IF(OR(I166="",K166="",L166="",K166=L166,NOT(ISNUMBER(M166)),NOT(ISNUMBER(N166)),M166&gt;Settings!$F$8,N166&lt;Settings!$F$8,N166&lt;M166),"Pending",IF(AND(G166="Applicable",H166="Pass"),"Pass",IF(AND(G166="N/A",H166="N/A",J166&lt;&gt;"",OR(E166="CEM-FUELS",E166="CEM-CCS",AND(E166="CEM-PLAN",IFERROR(INDEX('Taxonomy'!$M$9:$M$108,MATCH(D166,'Taxonomy'!$C$9:$C$108,0)),"")&lt;&gt;"Amber"),E166="BLD-TIMBER",AND(U166="Building equipment",OR(E166="BLD-WATER",E166="BLD-WASTE",E166="BLD-LAND")),AND(U166="Building renovation",E166="BLD-LAND"))),"N/A","Pending"))))))</x:f>
        <x:v>Pass</x:v>
      </x:c>
      <x:c r="Q166" s="3" t="str">
        <x:f>IF(C166="","",IF(AND(R166="Valid",OR(P166="Pass",P166="N/A")),"Complete","Unresolved"))</x:f>
        <x:v>Complete</x:v>
      </x:c>
      <x:c r="R166" s="9" t="str">
        <x:f>IF(C166="","",IF(OR(COUNTIF($C$9:$C$2008,C166)&lt;&gt;1,COUNTIFS($D$9:$D$2008,D166,$E$9:$E$2008,E166)&lt;&gt;1),"Duplicate test",IF(COUNTIF('Taxonomy'!$C$9:$C$108,D166)&lt;&gt;1,"Assessment key",IF(OR(COUNTIF('Taxonomy Rules'!$C$42:$C$68,E166)&lt;&gt;1,F166&lt;&gt;IFERROR(INDEX('Taxonomy Rules'!$D$42:$D$68,MATCH(E166,'Taxonomy Rules'!$C$42:$C$68,0)),""),NOT(OR(IFERROR(INDEX('Taxonomy Rules'!$G$42:$G$68,MATCH(E166,'Taxonomy Rules'!$C$42:$C$68,0)),"")="All supported routes",IFERROR(INDEX('Taxonomy Rules'!$G$42:$G$68,MATCH(E166,'Taxonomy Rules'!$C$42:$C$68,0)),"")=U166,AND(IFERROR(INDEX('Taxonomy Rules'!$G$42:$G$68,MATCH(E166,'Taxonomy Rules'!$C$42:$C$68,0)),"")="Building routes",OR(U166="Building renovation",U166="New building",U166="Building equipment"))))),"Unexpected test","Valid"))))</x:f>
        <x:v>Valid</x:v>
      </x:c>
      <x:c r="S166" s="9" t="str">
        <x:f>IF(C166="","",IFERROR(INDEX('Taxonomy Rules'!$E$42:$E$68,MATCH(E166,'Taxonomy Rules'!$C$42:$C$68,0)),""))</x:f>
        <x:v>Implemented panel end-of-life management consistent with recycling standards.</x:v>
      </x:c>
      <x:c r="T166" s="9" t="str">
        <x:f>IF(C166="","",IFERROR(INDEX('Taxonomy Rules'!$F$42:$F$68,MATCH(E166,'Taxonomy Rules'!$C$42:$C$68,0)),""))</x:f>
        <x:v>S10 p86</x:v>
      </x:c>
      <x:c r="U166" s="9" t="str">
        <x:f>IF(C166="","",IFERROR(INDEX('Taxonomy'!$G$9:$G$108,MATCH(D166,'Taxonomy'!$C$9:$C$108,0)),""))</x:f>
        <x:v>Solar PV</x:v>
      </x:c>
    </x:row>
    <x:row r="167" ht="44" customHeight="1">
      <x:c r="A167" s="1"/>
      <x:c r="B167" s="1"/>
      <x:c r="C167" s="8" t="str">
        <x:v>TST-F017-SC-EVIDENCE</x:v>
      </x:c>
      <x:c r="D167" s="8" t="str">
        <x:v>TAX-F017</x:v>
      </x:c>
      <x:c r="E167" s="8" t="str">
        <x:v>SC-EVIDENCE</x:v>
      </x:c>
      <x:c r="F167" s="8" t="str">
        <x:v>Technical</x:v>
      </x:c>
      <x:c r="G167" s="8" t="str">
        <x:v>Applicable</x:v>
      </x:c>
      <x:c r="H167" s="8" t="str">
        <x:v>Pass</x:v>
      </x:c>
      <x:c r="I167" s="8" t="str">
        <x:v>SYN-TEST-F017-SC-EVIDENCE</x:v>
      </x:c>
      <x:c r="J167" s="8" t="str"/>
      <x:c r="K167" s="8" t="str">
        <x:v>Taxonomy analyst 2</x:v>
      </x:c>
      <x:c r="L167" s="8" t="str">
        <x:v>Taxonomy reviewer 1</x:v>
      </x:c>
      <x:c r="M167" s="10" t="n">
        <x:v>46266</x:v>
      </x:c>
      <x:c r="N167" s="10" t="n">
        <x:v>46631</x:v>
      </x:c>
      <x:c r="O167" s="8"/>
      <x:c r="P167" s="9" t="str">
        <x:f>IF(C167="","",IF(AND(G167="Applicable",H167="Fail"),"Fail",IF(R167&lt;&gt;"Valid","Pending",IF(OR(I167="",K167="",L167="",K167=L167,NOT(ISNUMBER(M167)),NOT(ISNUMBER(N167)),M167&gt;Settings!$F$8,N167&lt;Settings!$F$8,N167&lt;M167),"Pending",IF(AND(G167="Applicable",H167="Pass"),"Pass",IF(AND(G167="N/A",H167="N/A",J167&lt;&gt;"",OR(E167="CEM-FUELS",E167="CEM-CCS",AND(E167="CEM-PLAN",IFERROR(INDEX('Taxonomy'!$M$9:$M$108,MATCH(D167,'Taxonomy'!$C$9:$C$108,0)),"")&lt;&gt;"Amber"),E167="BLD-TIMBER",AND(U167="Building equipment",OR(E167="BLD-WATER",E167="BLD-WASTE",E167="BLD-LAND")),AND(U167="Building renovation",E167="BLD-LAND"))),"N/A","Pending"))))))</x:f>
        <x:v>Pass</x:v>
      </x:c>
      <x:c r="Q167" s="3" t="str">
        <x:f>IF(C167="","",IF(AND(R167="Valid",OR(P167="Pass",P167="N/A")),"Complete","Unresolved"))</x:f>
        <x:v>Complete</x:v>
      </x:c>
      <x:c r="R167" s="9" t="str">
        <x:f>IF(C167="","",IF(OR(COUNTIF($C$9:$C$2008,C167)&lt;&gt;1,COUNTIFS($D$9:$D$2008,D167,$E$9:$E$2008,E167)&lt;&gt;1),"Duplicate test",IF(COUNTIF('Taxonomy'!$C$9:$C$108,D167)&lt;&gt;1,"Assessment key",IF(OR(COUNTIF('Taxonomy Rules'!$C$42:$C$68,E167)&lt;&gt;1,F167&lt;&gt;IFERROR(INDEX('Taxonomy Rules'!$D$42:$D$68,MATCH(E167,'Taxonomy Rules'!$C$42:$C$68,0)),""),NOT(OR(IFERROR(INDEX('Taxonomy Rules'!$G$42:$G$68,MATCH(E167,'Taxonomy Rules'!$C$42:$C$68,0)),"")="All supported routes",IFERROR(INDEX('Taxonomy Rules'!$G$42:$G$68,MATCH(E167,'Taxonomy Rules'!$C$42:$C$68,0)),"")=U167,AND(IFERROR(INDEX('Taxonomy Rules'!$G$42:$G$68,MATCH(E167,'Taxonomy Rules'!$C$42:$C$68,0)),"")="Building routes",OR(U167="Building renovation",U167="New building",U167="Building equipment"))))),"Unexpected test","Valid"))))</x:f>
        <x:v>Valid</x:v>
      </x:c>
      <x:c r="S167" s="9" t="str">
        <x:f>IF(C167="","",IFERROR(INDEX('Taxonomy Rules'!$E$42:$E$68,MATCH(E167,'Taxonomy Rules'!$C$42:$C$68,0)),""))</x:f>
        <x:v>Boundary and chosen route are evidenced; observations match the activity card.</x:v>
      </x:c>
      <x:c r="T167" s="9" t="str">
        <x:f>IF(C167="","",IFERROR(INDEX('Taxonomy Rules'!$F$42:$F$68,MATCH(E167,'Taxonomy Rules'!$C$42:$C$68,0)),""))</x:f>
        <x:v>S10 activity card</x:v>
      </x:c>
      <x:c r="U167" s="9" t="str">
        <x:f>IF(C167="","",IFERROR(INDEX('Taxonomy'!$G$9:$G$108,MATCH(D167,'Taxonomy'!$C$9:$C$108,0)),""))</x:f>
        <x:v>Road freight</x:v>
      </x:c>
    </x:row>
    <x:row r="168" ht="44" customHeight="1">
      <x:c r="A168" s="1"/>
      <x:c r="B168" s="1"/>
      <x:c r="C168" s="8" t="str">
        <x:v>TST-F017-DNSH-MIT</x:v>
      </x:c>
      <x:c r="D168" s="8" t="str">
        <x:v>TAX-F017</x:v>
      </x:c>
      <x:c r="E168" s="8" t="str">
        <x:v>DNSH-MIT</x:v>
      </x:c>
      <x:c r="F168" s="8" t="str">
        <x:v>DNSH</x:v>
      </x:c>
      <x:c r="G168" s="8" t="str">
        <x:v>Applicable</x:v>
      </x:c>
      <x:c r="H168" s="8" t="str">
        <x:v>Pass</x:v>
      </x:c>
      <x:c r="I168" s="8" t="str">
        <x:v>SYN-TEST-F017-DNSH-MIT</x:v>
      </x:c>
      <x:c r="J168" s="8" t="str"/>
      <x:c r="K168" s="8" t="str">
        <x:v>Taxonomy analyst 2</x:v>
      </x:c>
      <x:c r="L168" s="8" t="str">
        <x:v>Taxonomy reviewer 1</x:v>
      </x:c>
      <x:c r="M168" s="10" t="n">
        <x:v>46266</x:v>
      </x:c>
      <x:c r="N168" s="10" t="n">
        <x:v>46631</x:v>
      </x:c>
      <x:c r="O168" s="8"/>
      <x:c r="P168" s="9" t="str">
        <x:f>IF(C168="","",IF(AND(G168="Applicable",H168="Fail"),"Fail",IF(R168&lt;&gt;"Valid","Pending",IF(OR(I168="",K168="",L168="",K168=L168,NOT(ISNUMBER(M168)),NOT(ISNUMBER(N168)),M168&gt;Settings!$F$8,N168&lt;Settings!$F$8,N168&lt;M168),"Pending",IF(AND(G168="Applicable",H168="Pass"),"Pass",IF(AND(G168="N/A",H168="N/A",J168&lt;&gt;"",OR(E168="CEM-FUELS",E168="CEM-CCS",AND(E168="CEM-PLAN",IFERROR(INDEX('Taxonomy'!$M$9:$M$108,MATCH(D168,'Taxonomy'!$C$9:$C$108,0)),"")&lt;&gt;"Amber"),E168="BLD-TIMBER",AND(U168="Building equipment",OR(E168="BLD-WATER",E168="BLD-WASTE",E168="BLD-LAND")),AND(U168="Building renovation",E168="BLD-LAND"))),"N/A","Pending"))))))</x:f>
        <x:v>Pass</x:v>
      </x:c>
      <x:c r="Q168" s="3" t="str">
        <x:f>IF(C168="","",IF(AND(R168="Valid",OR(P168="Pass",P168="N/A")),"Complete","Unresolved"))</x:f>
        <x:v>Complete</x:v>
      </x:c>
      <x:c r="R168" s="9" t="str">
        <x:f>IF(C168="","",IF(OR(COUNTIF($C$9:$C$2008,C168)&lt;&gt;1,COUNTIFS($D$9:$D$2008,D168,$E$9:$E$2008,E168)&lt;&gt;1),"Duplicate test",IF(COUNTIF('Taxonomy'!$C$9:$C$108,D168)&lt;&gt;1,"Assessment key",IF(OR(COUNTIF('Taxonomy Rules'!$C$42:$C$68,E168)&lt;&gt;1,F168&lt;&gt;IFERROR(INDEX('Taxonomy Rules'!$D$42:$D$68,MATCH(E168,'Taxonomy Rules'!$C$42:$C$68,0)),""),NOT(OR(IFERROR(INDEX('Taxonomy Rules'!$G$42:$G$68,MATCH(E168,'Taxonomy Rules'!$C$42:$C$68,0)),"")="All supported routes",IFERROR(INDEX('Taxonomy Rules'!$G$42:$G$68,MATCH(E168,'Taxonomy Rules'!$C$42:$C$68,0)),"")=U168,AND(IFERROR(INDEX('Taxonomy Rules'!$G$42:$G$68,MATCH(E168,'Taxonomy Rules'!$C$42:$C$68,0)),"")="Building routes",OR(U168="Building renovation",U168="New building",U168="Building equipment"))))),"Unexpected test","Valid"))))</x:f>
        <x:v>Valid</x:v>
      </x:c>
      <x:c r="S168" s="9" t="str">
        <x:f>IF(C168="","",IFERROR(INDEX('Taxonomy Rules'!$E$42:$E$68,MATCH(E168,'Taxonomy Rules'!$C$42:$C$68,0)),""))</x:f>
        <x:v>No avoidable fossil lock-in; material lifecycle effects assessed.</x:v>
      </x:c>
      <x:c r="T168" s="9" t="str">
        <x:f>IF(C168="","",IFERROR(INDEX('Taxonomy Rules'!$F$42:$F$68,MATCH(E168,'Taxonomy Rules'!$C$42:$C$68,0)),""))</x:f>
        <x:v>S10 p30</x:v>
      </x:c>
      <x:c r="U168" s="9" t="str">
        <x:f>IF(C168="","",IFERROR(INDEX('Taxonomy'!$G$9:$G$108,MATCH(D168,'Taxonomy'!$C$9:$C$108,0)),""))</x:f>
        <x:v>Road freight</x:v>
      </x:c>
    </x:row>
    <x:row r="169" ht="44" customHeight="1">
      <x:c r="A169" s="1"/>
      <x:c r="B169" s="1"/>
      <x:c r="C169" s="8" t="str">
        <x:v>TST-F017-DNSH-ADAPT</x:v>
      </x:c>
      <x:c r="D169" s="8" t="str">
        <x:v>TAX-F017</x:v>
      </x:c>
      <x:c r="E169" s="8" t="str">
        <x:v>DNSH-ADAPT</x:v>
      </x:c>
      <x:c r="F169" s="8" t="str">
        <x:v>DNSH</x:v>
      </x:c>
      <x:c r="G169" s="8" t="str">
        <x:v>Applicable</x:v>
      </x:c>
      <x:c r="H169" s="8" t="str">
        <x:v>Pass</x:v>
      </x:c>
      <x:c r="I169" s="8" t="str">
        <x:v>SYN-TEST-F017-DNSH-ADAPT</x:v>
      </x:c>
      <x:c r="J169" s="8" t="str"/>
      <x:c r="K169" s="8" t="str">
        <x:v>Taxonomy analyst 2</x:v>
      </x:c>
      <x:c r="L169" s="8" t="str">
        <x:v>Taxonomy reviewer 1</x:v>
      </x:c>
      <x:c r="M169" s="10" t="n">
        <x:v>46266</x:v>
      </x:c>
      <x:c r="N169" s="10" t="n">
        <x:v>46631</x:v>
      </x:c>
      <x:c r="O169" s="8"/>
      <x:c r="P169" s="9" t="str">
        <x:f>IF(C169="","",IF(AND(G169="Applicable",H169="Fail"),"Fail",IF(R169&lt;&gt;"Valid","Pending",IF(OR(I169="",K169="",L169="",K169=L169,NOT(ISNUMBER(M169)),NOT(ISNUMBER(N169)),M169&gt;Settings!$F$8,N169&lt;Settings!$F$8,N169&lt;M169),"Pending",IF(AND(G169="Applicable",H169="Pass"),"Pass",IF(AND(G169="N/A",H169="N/A",J169&lt;&gt;"",OR(E169="CEM-FUELS",E169="CEM-CCS",AND(E169="CEM-PLAN",IFERROR(INDEX('Taxonomy'!$M$9:$M$108,MATCH(D169,'Taxonomy'!$C$9:$C$108,0)),"")&lt;&gt;"Amber"),E169="BLD-TIMBER",AND(U169="Building equipment",OR(E169="BLD-WATER",E169="BLD-WASTE",E169="BLD-LAND")),AND(U169="Building renovation",E169="BLD-LAND"))),"N/A","Pending"))))))</x:f>
        <x:v>Pass</x:v>
      </x:c>
      <x:c r="Q169" s="3" t="str">
        <x:f>IF(C169="","",IF(AND(R169="Valid",OR(P169="Pass",P169="N/A")),"Complete","Unresolved"))</x:f>
        <x:v>Complete</x:v>
      </x:c>
      <x:c r="R169" s="9" t="str">
        <x:f>IF(C169="","",IF(OR(COUNTIF($C$9:$C$2008,C169)&lt;&gt;1,COUNTIFS($D$9:$D$2008,D169,$E$9:$E$2008,E169)&lt;&gt;1),"Duplicate test",IF(COUNTIF('Taxonomy'!$C$9:$C$108,D169)&lt;&gt;1,"Assessment key",IF(OR(COUNTIF('Taxonomy Rules'!$C$42:$C$68,E169)&lt;&gt;1,F169&lt;&gt;IFERROR(INDEX('Taxonomy Rules'!$D$42:$D$68,MATCH(E169,'Taxonomy Rules'!$C$42:$C$68,0)),""),NOT(OR(IFERROR(INDEX('Taxonomy Rules'!$G$42:$G$68,MATCH(E169,'Taxonomy Rules'!$C$42:$C$68,0)),"")="All supported routes",IFERROR(INDEX('Taxonomy Rules'!$G$42:$G$68,MATCH(E169,'Taxonomy Rules'!$C$42:$C$68,0)),"")=U169,AND(IFERROR(INDEX('Taxonomy Rules'!$G$42:$G$68,MATCH(E169,'Taxonomy Rules'!$C$42:$C$68,0)),"")="Building routes",OR(U169="Building renovation",U169="New building",U169="Building equipment"))))),"Unexpected test","Valid"))))</x:f>
        <x:v>Valid</x:v>
      </x:c>
      <x:c r="S169" s="9" t="str">
        <x:f>IF(C169="","",IFERROR(INDEX('Taxonomy Rules'!$E$42:$E$68,MATCH(E169,'Taxonomy Rules'!$C$42:$C$68,0)),""))</x:f>
        <x:v>Lifetime hazard screen, material risk assessment and implemented adaptation; no harm to others.</x:v>
      </x:c>
      <x:c r="T169" s="9" t="str">
        <x:f>IF(C169="","",IFERROR(INDEX('Taxonomy Rules'!$F$42:$F$68,MATCH(E169,'Taxonomy Rules'!$C$42:$C$68,0)),""))</x:f>
        <x:v>S10 pp30–31</x:v>
      </x:c>
      <x:c r="U169" s="9" t="str">
        <x:f>IF(C169="","",IFERROR(INDEX('Taxonomy'!$G$9:$G$108,MATCH(D169,'Taxonomy'!$C$9:$C$108,0)),""))</x:f>
        <x:v>Road freight</x:v>
      </x:c>
    </x:row>
    <x:row r="170" ht="44" customHeight="1">
      <x:c r="A170" s="1"/>
      <x:c r="B170" s="1"/>
      <x:c r="C170" s="8" t="str">
        <x:v>TST-F017-DNSH-WATER</x:v>
      </x:c>
      <x:c r="D170" s="8" t="str">
        <x:v>TAX-F017</x:v>
      </x:c>
      <x:c r="E170" s="8" t="str">
        <x:v>DNSH-WATER</x:v>
      </x:c>
      <x:c r="F170" s="8" t="str">
        <x:v>DNSH</x:v>
      </x:c>
      <x:c r="G170" s="8" t="str">
        <x:v>Applicable</x:v>
      </x:c>
      <x:c r="H170" s="8" t="str">
        <x:v>Pass</x:v>
      </x:c>
      <x:c r="I170" s="8" t="str">
        <x:v>SYN-TEST-F017-DNSH-WATER</x:v>
      </x:c>
      <x:c r="J170" s="8" t="str"/>
      <x:c r="K170" s="8" t="str">
        <x:v>Taxonomy analyst 2</x:v>
      </x:c>
      <x:c r="L170" s="8" t="str">
        <x:v>Taxonomy reviewer 1</x:v>
      </x:c>
      <x:c r="M170" s="10" t="n">
        <x:v>46266</x:v>
      </x:c>
      <x:c r="N170" s="10" t="n">
        <x:v>46631</x:v>
      </x:c>
      <x:c r="O170" s="8"/>
      <x:c r="P170" s="9" t="str">
        <x:f>IF(C170="","",IF(AND(G170="Applicable",H170="Fail"),"Fail",IF(R170&lt;&gt;"Valid","Pending",IF(OR(I170="",K170="",L170="",K170=L170,NOT(ISNUMBER(M170)),NOT(ISNUMBER(N170)),M170&gt;Settings!$F$8,N170&lt;Settings!$F$8,N170&lt;M170),"Pending",IF(AND(G170="Applicable",H170="Pass"),"Pass",IF(AND(G170="N/A",H170="N/A",J170&lt;&gt;"",OR(E170="CEM-FUELS",E170="CEM-CCS",AND(E170="CEM-PLAN",IFERROR(INDEX('Taxonomy'!$M$9:$M$108,MATCH(D170,'Taxonomy'!$C$9:$C$108,0)),"")&lt;&gt;"Amber"),E170="BLD-TIMBER",AND(U170="Building equipment",OR(E170="BLD-WATER",E170="BLD-WASTE",E170="BLD-LAND")),AND(U170="Building renovation",E170="BLD-LAND"))),"N/A","Pending"))))))</x:f>
        <x:v>Pass</x:v>
      </x:c>
      <x:c r="Q170" s="3" t="str">
        <x:f>IF(C170="","",IF(AND(R170="Valid",OR(P170="Pass",P170="N/A")),"Complete","Unresolved"))</x:f>
        <x:v>Complete</x:v>
      </x:c>
      <x:c r="R170" s="9" t="str">
        <x:f>IF(C170="","",IF(OR(COUNTIF($C$9:$C$2008,C170)&lt;&gt;1,COUNTIFS($D$9:$D$2008,D170,$E$9:$E$2008,E170)&lt;&gt;1),"Duplicate test",IF(COUNTIF('Taxonomy'!$C$9:$C$108,D170)&lt;&gt;1,"Assessment key",IF(OR(COUNTIF('Taxonomy Rules'!$C$42:$C$68,E170)&lt;&gt;1,F170&lt;&gt;IFERROR(INDEX('Taxonomy Rules'!$D$42:$D$68,MATCH(E170,'Taxonomy Rules'!$C$42:$C$68,0)),""),NOT(OR(IFERROR(INDEX('Taxonomy Rules'!$G$42:$G$68,MATCH(E170,'Taxonomy Rules'!$C$42:$C$68,0)),"")="All supported routes",IFERROR(INDEX('Taxonomy Rules'!$G$42:$G$68,MATCH(E170,'Taxonomy Rules'!$C$42:$C$68,0)),"")=U170,AND(IFERROR(INDEX('Taxonomy Rules'!$G$42:$G$68,MATCH(E170,'Taxonomy Rules'!$C$42:$C$68,0)),"")="Building routes",OR(U170="Building renovation",U170="New building",U170="Building equipment"))))),"Unexpected test","Valid"))))</x:f>
        <x:v>Valid</x:v>
      </x:c>
      <x:c r="S170" s="9" t="str">
        <x:f>IF(C170="","",IFERROR(INDEX('Taxonomy Rules'!$E$42:$E$68,MATCH(E170,'Taxonomy Rules'!$C$42:$C$68,0)),""))</x:f>
        <x:v>Water permits, abstraction/discharge limits, required assessments and management measures.</x:v>
      </x:c>
      <x:c r="T170" s="9" t="str">
        <x:f>IF(C170="","",IFERROR(INDEX('Taxonomy Rules'!$F$42:$F$68,MATCH(E170,'Taxonomy Rules'!$C$42:$C$68,0)),""))</x:f>
        <x:v>S10 p31</x:v>
      </x:c>
      <x:c r="U170" s="9" t="str">
        <x:f>IF(C170="","",IFERROR(INDEX('Taxonomy'!$G$9:$G$108,MATCH(D170,'Taxonomy'!$C$9:$C$108,0)),""))</x:f>
        <x:v>Road freight</x:v>
      </x:c>
    </x:row>
    <x:row r="171" ht="44" customHeight="1">
      <x:c r="A171" s="1"/>
      <x:c r="B171" s="1"/>
      <x:c r="C171" s="8" t="str">
        <x:v>TST-F017-DNSH-POLL</x:v>
      </x:c>
      <x:c r="D171" s="8" t="str">
        <x:v>TAX-F017</x:v>
      </x:c>
      <x:c r="E171" s="8" t="str">
        <x:v>DNSH-POLL</x:v>
      </x:c>
      <x:c r="F171" s="8" t="str">
        <x:v>DNSH</x:v>
      </x:c>
      <x:c r="G171" s="8" t="str">
        <x:v>Applicable</x:v>
      </x:c>
      <x:c r="H171" s="8" t="str">
        <x:v>Pass</x:v>
      </x:c>
      <x:c r="I171" s="8" t="str">
        <x:v>SYN-TEST-F017-DNSH-POLL</x:v>
      </x:c>
      <x:c r="J171" s="8" t="str"/>
      <x:c r="K171" s="8" t="str">
        <x:v>Taxonomy analyst 2</x:v>
      </x:c>
      <x:c r="L171" s="8" t="str">
        <x:v>Taxonomy reviewer 1</x:v>
      </x:c>
      <x:c r="M171" s="10" t="n">
        <x:v>46266</x:v>
      </x:c>
      <x:c r="N171" s="10" t="n">
        <x:v>46631</x:v>
      </x:c>
      <x:c r="O171" s="8"/>
      <x:c r="P171" s="9" t="str">
        <x:f>IF(C171="","",IF(AND(G171="Applicable",H171="Fail"),"Fail",IF(R171&lt;&gt;"Valid","Pending",IF(OR(I171="",K171="",L171="",K171=L171,NOT(ISNUMBER(M171)),NOT(ISNUMBER(N171)),M171&gt;Settings!$F$8,N171&lt;Settings!$F$8,N171&lt;M171),"Pending",IF(AND(G171="Applicable",H171="Pass"),"Pass",IF(AND(G171="N/A",H171="N/A",J171&lt;&gt;"",OR(E171="CEM-FUELS",E171="CEM-CCS",AND(E171="CEM-PLAN",IFERROR(INDEX('Taxonomy'!$M$9:$M$108,MATCH(D171,'Taxonomy'!$C$9:$C$108,0)),"")&lt;&gt;"Amber"),E171="BLD-TIMBER",AND(U171="Building equipment",OR(E171="BLD-WATER",E171="BLD-WASTE",E171="BLD-LAND")),AND(U171="Building renovation",E171="BLD-LAND"))),"N/A","Pending"))))))</x:f>
        <x:v>Pass</x:v>
      </x:c>
      <x:c r="Q171" s="3" t="str">
        <x:f>IF(C171="","",IF(AND(R171="Valid",OR(P171="Pass",P171="N/A")),"Complete","Unresolved"))</x:f>
        <x:v>Complete</x:v>
      </x:c>
      <x:c r="R171" s="9" t="str">
        <x:f>IF(C171="","",IF(OR(COUNTIF($C$9:$C$2008,C171)&lt;&gt;1,COUNTIFS($D$9:$D$2008,D171,$E$9:$E$2008,E171)&lt;&gt;1),"Duplicate test",IF(COUNTIF('Taxonomy'!$C$9:$C$108,D171)&lt;&gt;1,"Assessment key",IF(OR(COUNTIF('Taxonomy Rules'!$C$42:$C$68,E171)&lt;&gt;1,F171&lt;&gt;IFERROR(INDEX('Taxonomy Rules'!$D$42:$D$68,MATCH(E171,'Taxonomy Rules'!$C$42:$C$68,0)),""),NOT(OR(IFERROR(INDEX('Taxonomy Rules'!$G$42:$G$68,MATCH(E171,'Taxonomy Rules'!$C$42:$C$68,0)),"")="All supported routes",IFERROR(INDEX('Taxonomy Rules'!$G$42:$G$68,MATCH(E171,'Taxonomy Rules'!$C$42:$C$68,0)),"")=U171,AND(IFERROR(INDEX('Taxonomy Rules'!$G$42:$G$68,MATCH(E171,'Taxonomy Rules'!$C$42:$C$68,0)),"")="Building routes",OR(U171="Building renovation",U171="New building",U171="Building equipment"))))),"Unexpected test","Valid"))))</x:f>
        <x:v>Valid</x:v>
      </x:c>
      <x:c r="S171" s="9" t="str">
        <x:f>IF(C171="","",IFERROR(INDEX('Taxonomy Rules'!$E$42:$E$68,MATCH(E171,'Taxonomy Rules'!$C$42:$C$68,0)),""))</x:f>
        <x:v>National pollution and prohibited-substance requirements; activity-specific limits.</x:v>
      </x:c>
      <x:c r="T171" s="9" t="str">
        <x:f>IF(C171="","",IFERROR(INDEX('Taxonomy Rules'!$F$42:$F$68,MATCH(E171,'Taxonomy Rules'!$C$42:$C$68,0)),""))</x:f>
        <x:v>S10 p31</x:v>
      </x:c>
      <x:c r="U171" s="9" t="str">
        <x:f>IF(C171="","",IFERROR(INDEX('Taxonomy'!$G$9:$G$108,MATCH(D171,'Taxonomy'!$C$9:$C$108,0)),""))</x:f>
        <x:v>Road freight</x:v>
      </x:c>
    </x:row>
    <x:row r="172" ht="44" customHeight="1">
      <x:c r="A172" s="1"/>
      <x:c r="B172" s="1"/>
      <x:c r="C172" s="8" t="str">
        <x:v>TST-F017-DNSH-CIRC</x:v>
      </x:c>
      <x:c r="D172" s="8" t="str">
        <x:v>TAX-F017</x:v>
      </x:c>
      <x:c r="E172" s="8" t="str">
        <x:v>DNSH-CIRC</x:v>
      </x:c>
      <x:c r="F172" s="8" t="str">
        <x:v>DNSH</x:v>
      </x:c>
      <x:c r="G172" s="8" t="str">
        <x:v>Applicable</x:v>
      </x:c>
      <x:c r="H172" s="8" t="str">
        <x:v>Pass</x:v>
      </x:c>
      <x:c r="I172" s="8" t="str">
        <x:v>SYN-TEST-F017-DNSH-CIRC</x:v>
      </x:c>
      <x:c r="J172" s="8" t="str"/>
      <x:c r="K172" s="8" t="str">
        <x:v>Taxonomy analyst 2</x:v>
      </x:c>
      <x:c r="L172" s="8" t="str">
        <x:v>Taxonomy reviewer 1</x:v>
      </x:c>
      <x:c r="M172" s="10" t="n">
        <x:v>46266</x:v>
      </x:c>
      <x:c r="N172" s="10" t="n">
        <x:v>46631</x:v>
      </x:c>
      <x:c r="O172" s="8"/>
      <x:c r="P172" s="9" t="str">
        <x:f>IF(C172="","",IF(AND(G172="Applicable",H172="Fail"),"Fail",IF(R172&lt;&gt;"Valid","Pending",IF(OR(I172="",K172="",L172="",K172=L172,NOT(ISNUMBER(M172)),NOT(ISNUMBER(N172)),M172&gt;Settings!$F$8,N172&lt;Settings!$F$8,N172&lt;M172),"Pending",IF(AND(G172="Applicable",H172="Pass"),"Pass",IF(AND(G172="N/A",H172="N/A",J172&lt;&gt;"",OR(E172="CEM-FUELS",E172="CEM-CCS",AND(E172="CEM-PLAN",IFERROR(INDEX('Taxonomy'!$M$9:$M$108,MATCH(D172,'Taxonomy'!$C$9:$C$108,0)),"")&lt;&gt;"Amber"),E172="BLD-TIMBER",AND(U172="Building equipment",OR(E172="BLD-WATER",E172="BLD-WASTE",E172="BLD-LAND")),AND(U172="Building renovation",E172="BLD-LAND"))),"N/A","Pending"))))))</x:f>
        <x:v>Pass</x:v>
      </x:c>
      <x:c r="Q172" s="3" t="str">
        <x:f>IF(C172="","",IF(AND(R172="Valid",OR(P172="Pass",P172="N/A")),"Complete","Unresolved"))</x:f>
        <x:v>Complete</x:v>
      </x:c>
      <x:c r="R172" s="9" t="str">
        <x:f>IF(C172="","",IF(OR(COUNTIF($C$9:$C$2008,C172)&lt;&gt;1,COUNTIFS($D$9:$D$2008,D172,$E$9:$E$2008,E172)&lt;&gt;1),"Duplicate test",IF(COUNTIF('Taxonomy'!$C$9:$C$108,D172)&lt;&gt;1,"Assessment key",IF(OR(COUNTIF('Taxonomy Rules'!$C$42:$C$68,E172)&lt;&gt;1,F172&lt;&gt;IFERROR(INDEX('Taxonomy Rules'!$D$42:$D$68,MATCH(E172,'Taxonomy Rules'!$C$42:$C$68,0)),""),NOT(OR(IFERROR(INDEX('Taxonomy Rules'!$G$42:$G$68,MATCH(E172,'Taxonomy Rules'!$C$42:$C$68,0)),"")="All supported routes",IFERROR(INDEX('Taxonomy Rules'!$G$42:$G$68,MATCH(E172,'Taxonomy Rules'!$C$42:$C$68,0)),"")=U172,AND(IFERROR(INDEX('Taxonomy Rules'!$G$42:$G$68,MATCH(E172,'Taxonomy Rules'!$C$42:$C$68,0)),"")="Building routes",OR(U172="Building renovation",U172="New building",U172="Building equipment"))))),"Unexpected test","Valid"))))</x:f>
        <x:v>Valid</x:v>
      </x:c>
      <x:c r="S172" s="9" t="str">
        <x:f>IF(C172="","",IFERROR(INDEX('Taxonomy Rules'!$E$42:$E$68,MATCH(E172,'Taxonomy Rules'!$C$42:$C$68,0)),""))</x:f>
        <x:v>Waste hierarchy, resource efficiency, hazardous-waste traceability and end-of-life arrangements.</x:v>
      </x:c>
      <x:c r="T172" s="9" t="str">
        <x:f>IF(C172="","",IFERROR(INDEX('Taxonomy Rules'!$F$42:$F$68,MATCH(E172,'Taxonomy Rules'!$C$42:$C$68,0)),""))</x:f>
        <x:v>S10 p32</x:v>
      </x:c>
      <x:c r="U172" s="9" t="str">
        <x:f>IF(C172="","",IFERROR(INDEX('Taxonomy'!$G$9:$G$108,MATCH(D172,'Taxonomy'!$C$9:$C$108,0)),""))</x:f>
        <x:v>Road freight</x:v>
      </x:c>
    </x:row>
    <x:row r="173" ht="44" customHeight="1">
      <x:c r="A173" s="1"/>
      <x:c r="B173" s="1"/>
      <x:c r="C173" s="8" t="str">
        <x:v>TST-F017-DNSH-BIO</x:v>
      </x:c>
      <x:c r="D173" s="8" t="str">
        <x:v>TAX-F017</x:v>
      </x:c>
      <x:c r="E173" s="8" t="str">
        <x:v>DNSH-BIO</x:v>
      </x:c>
      <x:c r="F173" s="8" t="str">
        <x:v>DNSH</x:v>
      </x:c>
      <x:c r="G173" s="8" t="str">
        <x:v>Applicable</x:v>
      </x:c>
      <x:c r="H173" s="8" t="str">
        <x:v>Pass</x:v>
      </x:c>
      <x:c r="I173" s="8" t="str">
        <x:v>SYN-TEST-F017-DNSH-BIO</x:v>
      </x:c>
      <x:c r="J173" s="8" t="str"/>
      <x:c r="K173" s="8" t="str">
        <x:v>Taxonomy analyst 2</x:v>
      </x:c>
      <x:c r="L173" s="8" t="str">
        <x:v>Taxonomy reviewer 1</x:v>
      </x:c>
      <x:c r="M173" s="10" t="n">
        <x:v>46266</x:v>
      </x:c>
      <x:c r="N173" s="10" t="n">
        <x:v>46631</x:v>
      </x:c>
      <x:c r="O173" s="8"/>
      <x:c r="P173" s="9" t="str">
        <x:f>IF(C173="","",IF(AND(G173="Applicable",H173="Fail"),"Fail",IF(R173&lt;&gt;"Valid","Pending",IF(OR(I173="",K173="",L173="",K173=L173,NOT(ISNUMBER(M173)),NOT(ISNUMBER(N173)),M173&gt;Settings!$F$8,N173&lt;Settings!$F$8,N173&lt;M173),"Pending",IF(AND(G173="Applicable",H173="Pass"),"Pass",IF(AND(G173="N/A",H173="N/A",J173&lt;&gt;"",OR(E173="CEM-FUELS",E173="CEM-CCS",AND(E173="CEM-PLAN",IFERROR(INDEX('Taxonomy'!$M$9:$M$108,MATCH(D173,'Taxonomy'!$C$9:$C$108,0)),"")&lt;&gt;"Amber"),E173="BLD-TIMBER",AND(U173="Building equipment",OR(E173="BLD-WATER",E173="BLD-WASTE",E173="BLD-LAND")),AND(U173="Building renovation",E173="BLD-LAND"))),"N/A","Pending"))))))</x:f>
        <x:v>Pass</x:v>
      </x:c>
      <x:c r="Q173" s="3" t="str">
        <x:f>IF(C173="","",IF(AND(R173="Valid",OR(P173="Pass",P173="N/A")),"Complete","Unresolved"))</x:f>
        <x:v>Complete</x:v>
      </x:c>
      <x:c r="R173" s="9" t="str">
        <x:f>IF(C173="","",IF(OR(COUNTIF($C$9:$C$2008,C173)&lt;&gt;1,COUNTIFS($D$9:$D$2008,D173,$E$9:$E$2008,E173)&lt;&gt;1),"Duplicate test",IF(COUNTIF('Taxonomy'!$C$9:$C$108,D173)&lt;&gt;1,"Assessment key",IF(OR(COUNTIF('Taxonomy Rules'!$C$42:$C$68,E173)&lt;&gt;1,F173&lt;&gt;IFERROR(INDEX('Taxonomy Rules'!$D$42:$D$68,MATCH(E173,'Taxonomy Rules'!$C$42:$C$68,0)),""),NOT(OR(IFERROR(INDEX('Taxonomy Rules'!$G$42:$G$68,MATCH(E173,'Taxonomy Rules'!$C$42:$C$68,0)),"")="All supported routes",IFERROR(INDEX('Taxonomy Rules'!$G$42:$G$68,MATCH(E173,'Taxonomy Rules'!$C$42:$C$68,0)),"")=U173,AND(IFERROR(INDEX('Taxonomy Rules'!$G$42:$G$68,MATCH(E173,'Taxonomy Rules'!$C$42:$C$68,0)),"")="Building routes",OR(U173="Building renovation",U173="New building",U173="Building equipment"))))),"Unexpected test","Valid"))))</x:f>
        <x:v>Valid</x:v>
      </x:c>
      <x:c r="S173" s="9" t="str">
        <x:f>IF(C173="","",IFERROR(INDEX('Taxonomy Rules'!$E$42:$E$68,MATCH(E173,'Taxonomy Rules'!$C$42:$C$68,0)),""))</x:f>
        <x:v>Required EIA, habitat screening and implemented mitigation.</x:v>
      </x:c>
      <x:c r="T173" s="9" t="str">
        <x:f>IF(C173="","",IFERROR(INDEX('Taxonomy Rules'!$F$42:$F$68,MATCH(E173,'Taxonomy Rules'!$C$42:$C$68,0)),""))</x:f>
        <x:v>S10 p32</x:v>
      </x:c>
      <x:c r="U173" s="9" t="str">
        <x:f>IF(C173="","",IFERROR(INDEX('Taxonomy'!$G$9:$G$108,MATCH(D173,'Taxonomy'!$C$9:$C$108,0)),""))</x:f>
        <x:v>Road freight</x:v>
      </x:c>
    </x:row>
    <x:row r="174" ht="44" customHeight="1">
      <x:c r="A174" s="1"/>
      <x:c r="B174" s="1"/>
      <x:c r="C174" s="8" t="str">
        <x:v>TST-F017-MSS-LABOUR</x:v>
      </x:c>
      <x:c r="D174" s="8" t="str">
        <x:v>TAX-F017</x:v>
      </x:c>
      <x:c r="E174" s="8" t="str">
        <x:v>MSS-LABOUR</x:v>
      </x:c>
      <x:c r="F174" s="8" t="str">
        <x:v>MSS</x:v>
      </x:c>
      <x:c r="G174" s="8" t="str">
        <x:v>Applicable</x:v>
      </x:c>
      <x:c r="H174" s="8" t="str">
        <x:v>Pass</x:v>
      </x:c>
      <x:c r="I174" s="8" t="str">
        <x:v>SYN-TEST-F017-MSS-LABOUR</x:v>
      </x:c>
      <x:c r="J174" s="8" t="str"/>
      <x:c r="K174" s="8" t="str">
        <x:v>Taxonomy analyst 2</x:v>
      </x:c>
      <x:c r="L174" s="8" t="str">
        <x:v>Taxonomy reviewer 1</x:v>
      </x:c>
      <x:c r="M174" s="10" t="n">
        <x:v>46266</x:v>
      </x:c>
      <x:c r="N174" s="10" t="n">
        <x:v>46631</x:v>
      </x:c>
      <x:c r="O174" s="8"/>
      <x:c r="P174" s="9" t="str">
        <x:f>IF(C174="","",IF(AND(G174="Applicable",H174="Fail"),"Fail",IF(R174&lt;&gt;"Valid","Pending",IF(OR(I174="",K174="",L174="",K174=L174,NOT(ISNUMBER(M174)),NOT(ISNUMBER(N174)),M174&gt;Settings!$F$8,N174&lt;Settings!$F$8,N174&lt;M174),"Pending",IF(AND(G174="Applicable",H174="Pass"),"Pass",IF(AND(G174="N/A",H174="N/A",J174&lt;&gt;"",OR(E174="CEM-FUELS",E174="CEM-CCS",AND(E174="CEM-PLAN",IFERROR(INDEX('Taxonomy'!$M$9:$M$108,MATCH(D174,'Taxonomy'!$C$9:$C$108,0)),"")&lt;&gt;"Amber"),E174="BLD-TIMBER",AND(U174="Building equipment",OR(E174="BLD-WATER",E174="BLD-WASTE",E174="BLD-LAND")),AND(U174="Building renovation",E174="BLD-LAND"))),"N/A","Pending"))))))</x:f>
        <x:v>Pass</x:v>
      </x:c>
      <x:c r="Q174" s="3" t="str">
        <x:f>IF(C174="","",IF(AND(R174="Valid",OR(P174="Pass",P174="N/A")),"Complete","Unresolved"))</x:f>
        <x:v>Complete</x:v>
      </x:c>
      <x:c r="R174" s="9" t="str">
        <x:f>IF(C174="","",IF(OR(COUNTIF($C$9:$C$2008,C174)&lt;&gt;1,COUNTIFS($D$9:$D$2008,D174,$E$9:$E$2008,E174)&lt;&gt;1),"Duplicate test",IF(COUNTIF('Taxonomy'!$C$9:$C$108,D174)&lt;&gt;1,"Assessment key",IF(OR(COUNTIF('Taxonomy Rules'!$C$42:$C$68,E174)&lt;&gt;1,F174&lt;&gt;IFERROR(INDEX('Taxonomy Rules'!$D$42:$D$68,MATCH(E174,'Taxonomy Rules'!$C$42:$C$68,0)),""),NOT(OR(IFERROR(INDEX('Taxonomy Rules'!$G$42:$G$68,MATCH(E174,'Taxonomy Rules'!$C$42:$C$68,0)),"")="All supported routes",IFERROR(INDEX('Taxonomy Rules'!$G$42:$G$68,MATCH(E174,'Taxonomy Rules'!$C$42:$C$68,0)),"")=U174,AND(IFERROR(INDEX('Taxonomy Rules'!$G$42:$G$68,MATCH(E174,'Taxonomy Rules'!$C$42:$C$68,0)),"")="Building routes",OR(U174="Building renovation",U174="New building",U174="Building equipment"))))),"Unexpected test","Valid"))))</x:f>
        <x:v>Valid</x:v>
      </x:c>
      <x:c r="S174" s="9" t="str">
        <x:f>IF(C174="","",IFERROR(INDEX('Taxonomy Rules'!$E$42:$E$68,MATCH(E174,'Taxonomy Rules'!$C$42:$C$68,0)),""))</x:f>
        <x:v>Labour rights, minimum age, no child/forced labour, equality and worker representation.</x:v>
      </x:c>
      <x:c r="T174" s="9" t="str">
        <x:f>IF(C174="","",IFERROR(INDEX('Taxonomy Rules'!$F$42:$F$68,MATCH(E174,'Taxonomy Rules'!$C$42:$C$68,0)),""))</x:f>
        <x:v>S10 p29</x:v>
      </x:c>
      <x:c r="U174" s="9" t="str">
        <x:f>IF(C174="","",IFERROR(INDEX('Taxonomy'!$G$9:$G$108,MATCH(D174,'Taxonomy'!$C$9:$C$108,0)),""))</x:f>
        <x:v>Road freight</x:v>
      </x:c>
    </x:row>
    <x:row r="175" ht="44" customHeight="1">
      <x:c r="A175" s="1"/>
      <x:c r="B175" s="1"/>
      <x:c r="C175" s="8" t="str">
        <x:v>TST-F017-MSS-OSH</x:v>
      </x:c>
      <x:c r="D175" s="8" t="str">
        <x:v>TAX-F017</x:v>
      </x:c>
      <x:c r="E175" s="8" t="str">
        <x:v>MSS-OSH</x:v>
      </x:c>
      <x:c r="F175" s="8" t="str">
        <x:v>MSS</x:v>
      </x:c>
      <x:c r="G175" s="8" t="str">
        <x:v>Applicable</x:v>
      </x:c>
      <x:c r="H175" s="8" t="str">
        <x:v>Pass</x:v>
      </x:c>
      <x:c r="I175" s="8" t="str">
        <x:v>SYN-TEST-F017-MSS-OSH</x:v>
      </x:c>
      <x:c r="J175" s="8" t="str"/>
      <x:c r="K175" s="8" t="str">
        <x:v>Taxonomy analyst 2</x:v>
      </x:c>
      <x:c r="L175" s="8" t="str">
        <x:v>Taxonomy reviewer 1</x:v>
      </x:c>
      <x:c r="M175" s="10" t="n">
        <x:v>46266</x:v>
      </x:c>
      <x:c r="N175" s="10" t="n">
        <x:v>46631</x:v>
      </x:c>
      <x:c r="O175" s="8"/>
      <x:c r="P175" s="9" t="str">
        <x:f>IF(C175="","",IF(AND(G175="Applicable",H175="Fail"),"Fail",IF(R175&lt;&gt;"Valid","Pending",IF(OR(I175="",K175="",L175="",K175=L175,NOT(ISNUMBER(M175)),NOT(ISNUMBER(N175)),M175&gt;Settings!$F$8,N175&lt;Settings!$F$8,N175&lt;M175),"Pending",IF(AND(G175="Applicable",H175="Pass"),"Pass",IF(AND(G175="N/A",H175="N/A",J175&lt;&gt;"",OR(E175="CEM-FUELS",E175="CEM-CCS",AND(E175="CEM-PLAN",IFERROR(INDEX('Taxonomy'!$M$9:$M$108,MATCH(D175,'Taxonomy'!$C$9:$C$108,0)),"")&lt;&gt;"Amber"),E175="BLD-TIMBER",AND(U175="Building equipment",OR(E175="BLD-WATER",E175="BLD-WASTE",E175="BLD-LAND")),AND(U175="Building renovation",E175="BLD-LAND"))),"N/A","Pending"))))))</x:f>
        <x:v>Pass</x:v>
      </x:c>
      <x:c r="Q175" s="3" t="str">
        <x:f>IF(C175="","",IF(AND(R175="Valid",OR(P175="Pass",P175="N/A")),"Complete","Unresolved"))</x:f>
        <x:v>Complete</x:v>
      </x:c>
      <x:c r="R175" s="9" t="str">
        <x:f>IF(C175="","",IF(OR(COUNTIF($C$9:$C$2008,C175)&lt;&gt;1,COUNTIFS($D$9:$D$2008,D175,$E$9:$E$2008,E175)&lt;&gt;1),"Duplicate test",IF(COUNTIF('Taxonomy'!$C$9:$C$108,D175)&lt;&gt;1,"Assessment key",IF(OR(COUNTIF('Taxonomy Rules'!$C$42:$C$68,E175)&lt;&gt;1,F175&lt;&gt;IFERROR(INDEX('Taxonomy Rules'!$D$42:$D$68,MATCH(E175,'Taxonomy Rules'!$C$42:$C$68,0)),""),NOT(OR(IFERROR(INDEX('Taxonomy Rules'!$G$42:$G$68,MATCH(E175,'Taxonomy Rules'!$C$42:$C$68,0)),"")="All supported routes",IFERROR(INDEX('Taxonomy Rules'!$G$42:$G$68,MATCH(E175,'Taxonomy Rules'!$C$42:$C$68,0)),"")=U175,AND(IFERROR(INDEX('Taxonomy Rules'!$G$42:$G$68,MATCH(E175,'Taxonomy Rules'!$C$42:$C$68,0)),"")="Building routes",OR(U175="Building renovation",U175="New building",U175="Building equipment"))))),"Unexpected test","Valid"))))</x:f>
        <x:v>Valid</x:v>
      </x:c>
      <x:c r="S175" s="9" t="str">
        <x:f>IF(C175="","",IFERROR(INDEX('Taxonomy Rules'!$E$42:$E$68,MATCH(E175,'Taxonomy Rules'!$C$42:$C$68,0)),""))</x:f>
        <x:v>Applicable occupational safety, hazard prevention and emergency readiness.</x:v>
      </x:c>
      <x:c r="T175" s="9" t="str">
        <x:f>IF(C175="","",IFERROR(INDEX('Taxonomy Rules'!$F$42:$F$68,MATCH(E175,'Taxonomy Rules'!$C$42:$C$68,0)),""))</x:f>
        <x:v>S10 p29</x:v>
      </x:c>
      <x:c r="U175" s="9" t="str">
        <x:f>IF(C175="","",IFERROR(INDEX('Taxonomy'!$G$9:$G$108,MATCH(D175,'Taxonomy'!$C$9:$C$108,0)),""))</x:f>
        <x:v>Road freight</x:v>
      </x:c>
    </x:row>
    <x:row r="176" ht="44" customHeight="1">
      <x:c r="A176" s="1"/>
      <x:c r="B176" s="1"/>
      <x:c r="C176" s="8" t="str">
        <x:v>TST-F017-MSS-RIGHTS</x:v>
      </x:c>
      <x:c r="D176" s="8" t="str">
        <x:v>TAX-F017</x:v>
      </x:c>
      <x:c r="E176" s="8" t="str">
        <x:v>MSS-RIGHTS</x:v>
      </x:c>
      <x:c r="F176" s="8" t="str">
        <x:v>MSS</x:v>
      </x:c>
      <x:c r="G176" s="8" t="str">
        <x:v>Applicable</x:v>
      </x:c>
      <x:c r="H176" s="8" t="str">
        <x:v>Pass</x:v>
      </x:c>
      <x:c r="I176" s="8" t="str">
        <x:v>SYN-TEST-F017-MSS-RIGHTS</x:v>
      </x:c>
      <x:c r="J176" s="8" t="str"/>
      <x:c r="K176" s="8" t="str">
        <x:v>Taxonomy analyst 2</x:v>
      </x:c>
      <x:c r="L176" s="8" t="str">
        <x:v>Taxonomy reviewer 1</x:v>
      </x:c>
      <x:c r="M176" s="10" t="n">
        <x:v>46266</x:v>
      </x:c>
      <x:c r="N176" s="10" t="n">
        <x:v>46631</x:v>
      </x:c>
      <x:c r="O176" s="8"/>
      <x:c r="P176" s="9" t="str">
        <x:f>IF(C176="","",IF(AND(G176="Applicable",H176="Fail"),"Fail",IF(R176&lt;&gt;"Valid","Pending",IF(OR(I176="",K176="",L176="",K176=L176,NOT(ISNUMBER(M176)),NOT(ISNUMBER(N176)),M176&gt;Settings!$F$8,N176&lt;Settings!$F$8,N176&lt;M176),"Pending",IF(AND(G176="Applicable",H176="Pass"),"Pass",IF(AND(G176="N/A",H176="N/A",J176&lt;&gt;"",OR(E176="CEM-FUELS",E176="CEM-CCS",AND(E176="CEM-PLAN",IFERROR(INDEX('Taxonomy'!$M$9:$M$108,MATCH(D176,'Taxonomy'!$C$9:$C$108,0)),"")&lt;&gt;"Amber"),E176="BLD-TIMBER",AND(U176="Building equipment",OR(E176="BLD-WATER",E176="BLD-WASTE",E176="BLD-LAND")),AND(U176="Building renovation",E176="BLD-LAND"))),"N/A","Pending"))))))</x:f>
        <x:v>Pass</x:v>
      </x:c>
      <x:c r="Q176" s="3" t="str">
        <x:f>IF(C176="","",IF(AND(R176="Valid",OR(P176="Pass",P176="N/A")),"Complete","Unresolved"))</x:f>
        <x:v>Complete</x:v>
      </x:c>
      <x:c r="R176" s="9" t="str">
        <x:f>IF(C176="","",IF(OR(COUNTIF($C$9:$C$2008,C176)&lt;&gt;1,COUNTIFS($D$9:$D$2008,D176,$E$9:$E$2008,E176)&lt;&gt;1),"Duplicate test",IF(COUNTIF('Taxonomy'!$C$9:$C$108,D176)&lt;&gt;1,"Assessment key",IF(OR(COUNTIF('Taxonomy Rules'!$C$42:$C$68,E176)&lt;&gt;1,F176&lt;&gt;IFERROR(INDEX('Taxonomy Rules'!$D$42:$D$68,MATCH(E176,'Taxonomy Rules'!$C$42:$C$68,0)),""),NOT(OR(IFERROR(INDEX('Taxonomy Rules'!$G$42:$G$68,MATCH(E176,'Taxonomy Rules'!$C$42:$C$68,0)),"")="All supported routes",IFERROR(INDEX('Taxonomy Rules'!$G$42:$G$68,MATCH(E176,'Taxonomy Rules'!$C$42:$C$68,0)),"")=U176,AND(IFERROR(INDEX('Taxonomy Rules'!$G$42:$G$68,MATCH(E176,'Taxonomy Rules'!$C$42:$C$68,0)),"")="Building routes",OR(U176="Building renovation",U176="New building",U176="Building equipment"))))),"Unexpected test","Valid"))))</x:f>
        <x:v>Valid</x:v>
      </x:c>
      <x:c r="S176" s="9" t="str">
        <x:f>IF(C176="","",IFERROR(INDEX('Taxonomy Rules'!$E$42:$E$68,MATCH(E176,'Taxonomy Rules'!$C$42:$C$68,0)),""))</x:f>
        <x:v>Proportionate human-rights diligence, stakeholder/social-impact process and grievance mechanism.</x:v>
      </x:c>
      <x:c r="T176" s="9" t="str">
        <x:f>IF(C176="","",IFERROR(INDEX('Taxonomy Rules'!$F$42:$F$68,MATCH(E176,'Taxonomy Rules'!$C$42:$C$68,0)),""))</x:f>
        <x:v>S10 p29</x:v>
      </x:c>
      <x:c r="U176" s="9" t="str">
        <x:f>IF(C176="","",IFERROR(INDEX('Taxonomy'!$G$9:$G$108,MATCH(D176,'Taxonomy'!$C$9:$C$108,0)),""))</x:f>
        <x:v>Road freight</x:v>
      </x:c>
    </x:row>
    <x:row r="177" ht="44" customHeight="1">
      <x:c r="A177" s="1"/>
      <x:c r="B177" s="1"/>
      <x:c r="C177" s="8" t="str">
        <x:v>TST-F017-ROAD-SAFETY</x:v>
      </x:c>
      <x:c r="D177" s="8" t="str">
        <x:v>TAX-F017</x:v>
      </x:c>
      <x:c r="E177" s="8" t="str">
        <x:v>ROAD-SAFETY</x:v>
      </x:c>
      <x:c r="F177" s="8" t="str">
        <x:v>DNSH</x:v>
      </x:c>
      <x:c r="G177" s="8" t="str">
        <x:v>Applicable</x:v>
      </x:c>
      <x:c r="H177" s="8" t="str">
        <x:v>Pass</x:v>
      </x:c>
      <x:c r="I177" s="8" t="str">
        <x:v>SYN-TEST-F017-ROAD-SAFETY</x:v>
      </x:c>
      <x:c r="J177" s="8" t="str"/>
      <x:c r="K177" s="8" t="str">
        <x:v>Taxonomy analyst 2</x:v>
      </x:c>
      <x:c r="L177" s="8" t="str">
        <x:v>Taxonomy reviewer 1</x:v>
      </x:c>
      <x:c r="M177" s="10" t="n">
        <x:v>46266</x:v>
      </x:c>
      <x:c r="N177" s="10" t="n">
        <x:v>46631</x:v>
      </x:c>
      <x:c r="O177" s="8"/>
      <x:c r="P177" s="9" t="str">
        <x:f>IF(C177="","",IF(AND(G177="Applicable",H177="Fail"),"Fail",IF(R177&lt;&gt;"Valid","Pending",IF(OR(I177="",K177="",L177="",K177=L177,NOT(ISNUMBER(M177)),NOT(ISNUMBER(N177)),M177&gt;Settings!$F$8,N177&lt;Settings!$F$8,N177&lt;M177),"Pending",IF(AND(G177="Applicable",H177="Pass"),"Pass",IF(AND(G177="N/A",H177="N/A",J177&lt;&gt;"",OR(E177="CEM-FUELS",E177="CEM-CCS",AND(E177="CEM-PLAN",IFERROR(INDEX('Taxonomy'!$M$9:$M$108,MATCH(D177,'Taxonomy'!$C$9:$C$108,0)),"")&lt;&gt;"Amber"),E177="BLD-TIMBER",AND(U177="Building equipment",OR(E177="BLD-WATER",E177="BLD-WASTE",E177="BLD-LAND")),AND(U177="Building renovation",E177="BLD-LAND"))),"N/A","Pending"))))))</x:f>
        <x:v>Pass</x:v>
      </x:c>
      <x:c r="Q177" s="3" t="str">
        <x:f>IF(C177="","",IF(AND(R177="Valid",OR(P177="Pass",P177="N/A")),"Complete","Unresolved"))</x:f>
        <x:v>Complete</x:v>
      </x:c>
      <x:c r="R177" s="9" t="str">
        <x:f>IF(C177="","",IF(OR(COUNTIF($C$9:$C$2008,C177)&lt;&gt;1,COUNTIFS($D$9:$D$2008,D177,$E$9:$E$2008,E177)&lt;&gt;1),"Duplicate test",IF(COUNTIF('Taxonomy'!$C$9:$C$108,D177)&lt;&gt;1,"Assessment key",IF(OR(COUNTIF('Taxonomy Rules'!$C$42:$C$68,E177)&lt;&gt;1,F177&lt;&gt;IFERROR(INDEX('Taxonomy Rules'!$D$42:$D$68,MATCH(E177,'Taxonomy Rules'!$C$42:$C$68,0)),""),NOT(OR(IFERROR(INDEX('Taxonomy Rules'!$G$42:$G$68,MATCH(E177,'Taxonomy Rules'!$C$42:$C$68,0)),"")="All supported routes",IFERROR(INDEX('Taxonomy Rules'!$G$42:$G$68,MATCH(E177,'Taxonomy Rules'!$C$42:$C$68,0)),"")=U177,AND(IFERROR(INDEX('Taxonomy Rules'!$G$42:$G$68,MATCH(E177,'Taxonomy Rules'!$C$42:$C$68,0)),"")="Building routes",OR(U177="Building renovation",U177="New building",U177="Building equipment"))))),"Unexpected test","Valid"))))</x:f>
        <x:v>Valid</x:v>
      </x:c>
      <x:c r="S177" s="9" t="str">
        <x:f>IF(C177="","",IFERROR(INDEX('Taxonomy Rules'!$E$42:$E$68,MATCH(E177,'Taxonomy Rules'!$C$42:$C$68,0)),""))</x:f>
        <x:v>Applicable vehicle standards, exterior noise, tyres and battery-safety standards met.</x:v>
      </x:c>
      <x:c r="T177" s="9" t="str">
        <x:f>IF(C177="","",IFERROR(INDEX('Taxonomy Rules'!$F$42:$F$68,MATCH(E177,'Taxonomy Rules'!$C$42:$C$68,0)),""))</x:f>
        <x:v>S10 p118</x:v>
      </x:c>
      <x:c r="U177" s="9" t="str">
        <x:f>IF(C177="","",IFERROR(INDEX('Taxonomy'!$G$9:$G$108,MATCH(D177,'Taxonomy'!$C$9:$C$108,0)),""))</x:f>
        <x:v>Road freight</x:v>
      </x:c>
    </x:row>
    <x:row r="178" ht="44" customHeight="1">
      <x:c r="A178" s="1"/>
      <x:c r="B178" s="1"/>
      <x:c r="C178" s="8" t="str">
        <x:v>TST-F017-ROAD-WASTE</x:v>
      </x:c>
      <x:c r="D178" s="8" t="str">
        <x:v>TAX-F017</x:v>
      </x:c>
      <x:c r="E178" s="8" t="str">
        <x:v>ROAD-WASTE</x:v>
      </x:c>
      <x:c r="F178" s="8" t="str">
        <x:v>DNSH</x:v>
      </x:c>
      <x:c r="G178" s="8" t="str">
        <x:v>Applicable</x:v>
      </x:c>
      <x:c r="H178" s="8" t="str">
        <x:v>Pass</x:v>
      </x:c>
      <x:c r="I178" s="8" t="str">
        <x:v>SYN-TEST-F017-ROAD-WASTE</x:v>
      </x:c>
      <x:c r="J178" s="8" t="str"/>
      <x:c r="K178" s="8" t="str">
        <x:v>Taxonomy analyst 2</x:v>
      </x:c>
      <x:c r="L178" s="8" t="str">
        <x:v>Taxonomy reviewer 1</x:v>
      </x:c>
      <x:c r="M178" s="10" t="n">
        <x:v>46266</x:v>
      </x:c>
      <x:c r="N178" s="10" t="n">
        <x:v>46631</x:v>
      </x:c>
      <x:c r="O178" s="8"/>
      <x:c r="P178" s="9" t="str">
        <x:f>IF(C178="","",IF(AND(G178="Applicable",H178="Fail"),"Fail",IF(R178&lt;&gt;"Valid","Pending",IF(OR(I178="",K178="",L178="",K178=L178,NOT(ISNUMBER(M178)),NOT(ISNUMBER(N178)),M178&gt;Settings!$F$8,N178&lt;Settings!$F$8,N178&lt;M178),"Pending",IF(AND(G178="Applicable",H178="Pass"),"Pass",IF(AND(G178="N/A",H178="N/A",J178&lt;&gt;"",OR(E178="CEM-FUELS",E178="CEM-CCS",AND(E178="CEM-PLAN",IFERROR(INDEX('Taxonomy'!$M$9:$M$108,MATCH(D178,'Taxonomy'!$C$9:$C$108,0)),"")&lt;&gt;"Amber"),E178="BLD-TIMBER",AND(U178="Building equipment",OR(E178="BLD-WATER",E178="BLD-WASTE",E178="BLD-LAND")),AND(U178="Building renovation",E178="BLD-LAND"))),"N/A","Pending"))))))</x:f>
        <x:v>Pass</x:v>
      </x:c>
      <x:c r="Q178" s="3" t="str">
        <x:f>IF(C178="","",IF(AND(R178="Valid",OR(P178="Pass",P178="N/A")),"Complete","Unresolved"))</x:f>
        <x:v>Complete</x:v>
      </x:c>
      <x:c r="R178" s="9" t="str">
        <x:f>IF(C178="","",IF(OR(COUNTIF($C$9:$C$2008,C178)&lt;&gt;1,COUNTIFS($D$9:$D$2008,D178,$E$9:$E$2008,E178)&lt;&gt;1),"Duplicate test",IF(COUNTIF('Taxonomy'!$C$9:$C$108,D178)&lt;&gt;1,"Assessment key",IF(OR(COUNTIF('Taxonomy Rules'!$C$42:$C$68,E178)&lt;&gt;1,F178&lt;&gt;IFERROR(INDEX('Taxonomy Rules'!$D$42:$D$68,MATCH(E178,'Taxonomy Rules'!$C$42:$C$68,0)),""),NOT(OR(IFERROR(INDEX('Taxonomy Rules'!$G$42:$G$68,MATCH(E178,'Taxonomy Rules'!$C$42:$C$68,0)),"")="All supported routes",IFERROR(INDEX('Taxonomy Rules'!$G$42:$G$68,MATCH(E178,'Taxonomy Rules'!$C$42:$C$68,0)),"")=U178,AND(IFERROR(INDEX('Taxonomy Rules'!$G$42:$G$68,MATCH(E178,'Taxonomy Rules'!$C$42:$C$68,0)),"")="Building routes",OR(U178="Building renovation",U178="New building",U178="Building equipment"))))),"Unexpected test","Valid"))))</x:f>
        <x:v>Valid</x:v>
      </x:c>
      <x:c r="S178" s="9" t="str">
        <x:f>IF(C178="","",IFERROR(INDEX('Taxonomy Rules'!$E$42:$E$68,MATCH(E178,'Taxonomy Rules'!$C$42:$C$68,0)),""))</x:f>
        <x:v>Lubricants, chemicals, batteries and vehicle life-cycle waste safely handled; reuse / recycling provided.</x:v>
      </x:c>
      <x:c r="T178" s="9" t="str">
        <x:f>IF(C178="","",IFERROR(INDEX('Taxonomy Rules'!$F$42:$F$68,MATCH(E178,'Taxonomy Rules'!$C$42:$C$68,0)),""))</x:f>
        <x:v>S10 p118</x:v>
      </x:c>
      <x:c r="U178" s="9" t="str">
        <x:f>IF(C178="","",IFERROR(INDEX('Taxonomy'!$G$9:$G$108,MATCH(D178,'Taxonomy'!$C$9:$C$108,0)),""))</x:f>
        <x:v>Road freight</x:v>
      </x:c>
    </x:row>
    <x:row r="179" ht="44" customHeight="1">
      <x:c r="A179" s="1"/>
      <x:c r="B179" s="1"/>
      <x:c r="C179" s="8" t="str">
        <x:v>TST-F018-SC-EVIDENCE</x:v>
      </x:c>
      <x:c r="D179" s="8" t="str">
        <x:v>TAX-F018</x:v>
      </x:c>
      <x:c r="E179" s="8" t="str">
        <x:v>SC-EVIDENCE</x:v>
      </x:c>
      <x:c r="F179" s="8" t="str">
        <x:v>Technical</x:v>
      </x:c>
      <x:c r="G179" s="8" t="str">
        <x:v>Applicable</x:v>
      </x:c>
      <x:c r="H179" s="8" t="str">
        <x:v>Pass</x:v>
      </x:c>
      <x:c r="I179" s="8" t="str">
        <x:v>SYN-TEST-F018-SC-EVIDENCE</x:v>
      </x:c>
      <x:c r="J179" s="8" t="str"/>
      <x:c r="K179" s="8" t="str">
        <x:v>Taxonomy analyst 3</x:v>
      </x:c>
      <x:c r="L179" s="8" t="str">
        <x:v>Taxonomy reviewer 2</x:v>
      </x:c>
      <x:c r="M179" s="10" t="n">
        <x:v>46266</x:v>
      </x:c>
      <x:c r="N179" s="10" t="n">
        <x:v>46631</x:v>
      </x:c>
      <x:c r="O179" s="8"/>
      <x:c r="P179" s="9" t="str">
        <x:f>IF(C179="","",IF(AND(G179="Applicable",H179="Fail"),"Fail",IF(R179&lt;&gt;"Valid","Pending",IF(OR(I179="",K179="",L179="",K179=L179,NOT(ISNUMBER(M179)),NOT(ISNUMBER(N179)),M179&gt;Settings!$F$8,N179&lt;Settings!$F$8,N179&lt;M179),"Pending",IF(AND(G179="Applicable",H179="Pass"),"Pass",IF(AND(G179="N/A",H179="N/A",J179&lt;&gt;"",OR(E179="CEM-FUELS",E179="CEM-CCS",AND(E179="CEM-PLAN",IFERROR(INDEX('Taxonomy'!$M$9:$M$108,MATCH(D179,'Taxonomy'!$C$9:$C$108,0)),"")&lt;&gt;"Amber"),E179="BLD-TIMBER",AND(U179="Building equipment",OR(E179="BLD-WATER",E179="BLD-WASTE",E179="BLD-LAND")),AND(U179="Building renovation",E179="BLD-LAND"))),"N/A","Pending"))))))</x:f>
        <x:v>Pass</x:v>
      </x:c>
      <x:c r="Q179" s="3" t="str">
        <x:f>IF(C179="","",IF(AND(R179="Valid",OR(P179="Pass",P179="N/A")),"Complete","Unresolved"))</x:f>
        <x:v>Complete</x:v>
      </x:c>
      <x:c r="R179" s="9" t="str">
        <x:f>IF(C179="","",IF(OR(COUNTIF($C$9:$C$2008,C179)&lt;&gt;1,COUNTIFS($D$9:$D$2008,D179,$E$9:$E$2008,E179)&lt;&gt;1),"Duplicate test",IF(COUNTIF('Taxonomy'!$C$9:$C$108,D179)&lt;&gt;1,"Assessment key",IF(OR(COUNTIF('Taxonomy Rules'!$C$42:$C$68,E179)&lt;&gt;1,F179&lt;&gt;IFERROR(INDEX('Taxonomy Rules'!$D$42:$D$68,MATCH(E179,'Taxonomy Rules'!$C$42:$C$68,0)),""),NOT(OR(IFERROR(INDEX('Taxonomy Rules'!$G$42:$G$68,MATCH(E179,'Taxonomy Rules'!$C$42:$C$68,0)),"")="All supported routes",IFERROR(INDEX('Taxonomy Rules'!$G$42:$G$68,MATCH(E179,'Taxonomy Rules'!$C$42:$C$68,0)),"")=U179,AND(IFERROR(INDEX('Taxonomy Rules'!$G$42:$G$68,MATCH(E179,'Taxonomy Rules'!$C$42:$C$68,0)),"")="Building routes",OR(U179="Building renovation",U179="New building",U179="Building equipment"))))),"Unexpected test","Valid"))))</x:f>
        <x:v>Valid</x:v>
      </x:c>
      <x:c r="S179" s="9" t="str">
        <x:f>IF(C179="","",IFERROR(INDEX('Taxonomy Rules'!$E$42:$E$68,MATCH(E179,'Taxonomy Rules'!$C$42:$C$68,0)),""))</x:f>
        <x:v>Boundary and chosen route are evidenced; observations match the activity card.</x:v>
      </x:c>
      <x:c r="T179" s="9" t="str">
        <x:f>IF(C179="","",IFERROR(INDEX('Taxonomy Rules'!$F$42:$F$68,MATCH(E179,'Taxonomy Rules'!$C$42:$C$68,0)),""))</x:f>
        <x:v>S10 activity card</x:v>
      </x:c>
      <x:c r="U179" s="9" t="str">
        <x:f>IF(C179="","",IFERROR(INDEX('Taxonomy'!$G$9:$G$108,MATCH(D179,'Taxonomy'!$C$9:$C$108,0)),""))</x:f>
        <x:v>Road freight</x:v>
      </x:c>
    </x:row>
    <x:row r="180" ht="44" customHeight="1">
      <x:c r="A180" s="1"/>
      <x:c r="B180" s="1"/>
      <x:c r="C180" s="8" t="str">
        <x:v>TST-F018-DNSH-MIT</x:v>
      </x:c>
      <x:c r="D180" s="8" t="str">
        <x:v>TAX-F018</x:v>
      </x:c>
      <x:c r="E180" s="8" t="str">
        <x:v>DNSH-MIT</x:v>
      </x:c>
      <x:c r="F180" s="8" t="str">
        <x:v>DNSH</x:v>
      </x:c>
      <x:c r="G180" s="8" t="str">
        <x:v>Applicable</x:v>
      </x:c>
      <x:c r="H180" s="8" t="str">
        <x:v>Pass</x:v>
      </x:c>
      <x:c r="I180" s="8" t="str">
        <x:v>SYN-TEST-F018-DNSH-MIT</x:v>
      </x:c>
      <x:c r="J180" s="8" t="str"/>
      <x:c r="K180" s="8" t="str">
        <x:v>Taxonomy analyst 3</x:v>
      </x:c>
      <x:c r="L180" s="8" t="str">
        <x:v>Taxonomy reviewer 2</x:v>
      </x:c>
      <x:c r="M180" s="10" t="n">
        <x:v>46266</x:v>
      </x:c>
      <x:c r="N180" s="10" t="n">
        <x:v>46631</x:v>
      </x:c>
      <x:c r="O180" s="8"/>
      <x:c r="P180" s="9" t="str">
        <x:f>IF(C180="","",IF(AND(G180="Applicable",H180="Fail"),"Fail",IF(R180&lt;&gt;"Valid","Pending",IF(OR(I180="",K180="",L180="",K180=L180,NOT(ISNUMBER(M180)),NOT(ISNUMBER(N180)),M180&gt;Settings!$F$8,N180&lt;Settings!$F$8,N180&lt;M180),"Pending",IF(AND(G180="Applicable",H180="Pass"),"Pass",IF(AND(G180="N/A",H180="N/A",J180&lt;&gt;"",OR(E180="CEM-FUELS",E180="CEM-CCS",AND(E180="CEM-PLAN",IFERROR(INDEX('Taxonomy'!$M$9:$M$108,MATCH(D180,'Taxonomy'!$C$9:$C$108,0)),"")&lt;&gt;"Amber"),E180="BLD-TIMBER",AND(U180="Building equipment",OR(E180="BLD-WATER",E180="BLD-WASTE",E180="BLD-LAND")),AND(U180="Building renovation",E180="BLD-LAND"))),"N/A","Pending"))))))</x:f>
        <x:v>Pass</x:v>
      </x:c>
      <x:c r="Q180" s="3" t="str">
        <x:f>IF(C180="","",IF(AND(R180="Valid",OR(P180="Pass",P180="N/A")),"Complete","Unresolved"))</x:f>
        <x:v>Complete</x:v>
      </x:c>
      <x:c r="R180" s="9" t="str">
        <x:f>IF(C180="","",IF(OR(COUNTIF($C$9:$C$2008,C180)&lt;&gt;1,COUNTIFS($D$9:$D$2008,D180,$E$9:$E$2008,E180)&lt;&gt;1),"Duplicate test",IF(COUNTIF('Taxonomy'!$C$9:$C$108,D180)&lt;&gt;1,"Assessment key",IF(OR(COUNTIF('Taxonomy Rules'!$C$42:$C$68,E180)&lt;&gt;1,F180&lt;&gt;IFERROR(INDEX('Taxonomy Rules'!$D$42:$D$68,MATCH(E180,'Taxonomy Rules'!$C$42:$C$68,0)),""),NOT(OR(IFERROR(INDEX('Taxonomy Rules'!$G$42:$G$68,MATCH(E180,'Taxonomy Rules'!$C$42:$C$68,0)),"")="All supported routes",IFERROR(INDEX('Taxonomy Rules'!$G$42:$G$68,MATCH(E180,'Taxonomy Rules'!$C$42:$C$68,0)),"")=U180,AND(IFERROR(INDEX('Taxonomy Rules'!$G$42:$G$68,MATCH(E180,'Taxonomy Rules'!$C$42:$C$68,0)),"")="Building routes",OR(U180="Building renovation",U180="New building",U180="Building equipment"))))),"Unexpected test","Valid"))))</x:f>
        <x:v>Valid</x:v>
      </x:c>
      <x:c r="S180" s="9" t="str">
        <x:f>IF(C180="","",IFERROR(INDEX('Taxonomy Rules'!$E$42:$E$68,MATCH(E180,'Taxonomy Rules'!$C$42:$C$68,0)),""))</x:f>
        <x:v>No avoidable fossil lock-in; material lifecycle effects assessed.</x:v>
      </x:c>
      <x:c r="T180" s="9" t="str">
        <x:f>IF(C180="","",IFERROR(INDEX('Taxonomy Rules'!$F$42:$F$68,MATCH(E180,'Taxonomy Rules'!$C$42:$C$68,0)),""))</x:f>
        <x:v>S10 p30</x:v>
      </x:c>
      <x:c r="U180" s="9" t="str">
        <x:f>IF(C180="","",IFERROR(INDEX('Taxonomy'!$G$9:$G$108,MATCH(D180,'Taxonomy'!$C$9:$C$108,0)),""))</x:f>
        <x:v>Road freight</x:v>
      </x:c>
    </x:row>
    <x:row r="181" ht="44" customHeight="1">
      <x:c r="A181" s="1"/>
      <x:c r="B181" s="1"/>
      <x:c r="C181" s="8" t="str">
        <x:v>TST-F018-DNSH-ADAPT</x:v>
      </x:c>
      <x:c r="D181" s="8" t="str">
        <x:v>TAX-F018</x:v>
      </x:c>
      <x:c r="E181" s="8" t="str">
        <x:v>DNSH-ADAPT</x:v>
      </x:c>
      <x:c r="F181" s="8" t="str">
        <x:v>DNSH</x:v>
      </x:c>
      <x:c r="G181" s="8" t="str">
        <x:v>Applicable</x:v>
      </x:c>
      <x:c r="H181" s="8" t="str">
        <x:v>Pass</x:v>
      </x:c>
      <x:c r="I181" s="8" t="str">
        <x:v>SYN-TEST-F018-DNSH-ADAPT</x:v>
      </x:c>
      <x:c r="J181" s="8" t="str"/>
      <x:c r="K181" s="8" t="str">
        <x:v>Taxonomy analyst 3</x:v>
      </x:c>
      <x:c r="L181" s="8" t="str">
        <x:v>Taxonomy reviewer 2</x:v>
      </x:c>
      <x:c r="M181" s="10" t="n">
        <x:v>46266</x:v>
      </x:c>
      <x:c r="N181" s="10" t="n">
        <x:v>46631</x:v>
      </x:c>
      <x:c r="O181" s="8"/>
      <x:c r="P181" s="9" t="str">
        <x:f>IF(C181="","",IF(AND(G181="Applicable",H181="Fail"),"Fail",IF(R181&lt;&gt;"Valid","Pending",IF(OR(I181="",K181="",L181="",K181=L181,NOT(ISNUMBER(M181)),NOT(ISNUMBER(N181)),M181&gt;Settings!$F$8,N181&lt;Settings!$F$8,N181&lt;M181),"Pending",IF(AND(G181="Applicable",H181="Pass"),"Pass",IF(AND(G181="N/A",H181="N/A",J181&lt;&gt;"",OR(E181="CEM-FUELS",E181="CEM-CCS",AND(E181="CEM-PLAN",IFERROR(INDEX('Taxonomy'!$M$9:$M$108,MATCH(D181,'Taxonomy'!$C$9:$C$108,0)),"")&lt;&gt;"Amber"),E181="BLD-TIMBER",AND(U181="Building equipment",OR(E181="BLD-WATER",E181="BLD-WASTE",E181="BLD-LAND")),AND(U181="Building renovation",E181="BLD-LAND"))),"N/A","Pending"))))))</x:f>
        <x:v>Pass</x:v>
      </x:c>
      <x:c r="Q181" s="3" t="str">
        <x:f>IF(C181="","",IF(AND(R181="Valid",OR(P181="Pass",P181="N/A")),"Complete","Unresolved"))</x:f>
        <x:v>Complete</x:v>
      </x:c>
      <x:c r="R181" s="9" t="str">
        <x:f>IF(C181="","",IF(OR(COUNTIF($C$9:$C$2008,C181)&lt;&gt;1,COUNTIFS($D$9:$D$2008,D181,$E$9:$E$2008,E181)&lt;&gt;1),"Duplicate test",IF(COUNTIF('Taxonomy'!$C$9:$C$108,D181)&lt;&gt;1,"Assessment key",IF(OR(COUNTIF('Taxonomy Rules'!$C$42:$C$68,E181)&lt;&gt;1,F181&lt;&gt;IFERROR(INDEX('Taxonomy Rules'!$D$42:$D$68,MATCH(E181,'Taxonomy Rules'!$C$42:$C$68,0)),""),NOT(OR(IFERROR(INDEX('Taxonomy Rules'!$G$42:$G$68,MATCH(E181,'Taxonomy Rules'!$C$42:$C$68,0)),"")="All supported routes",IFERROR(INDEX('Taxonomy Rules'!$G$42:$G$68,MATCH(E181,'Taxonomy Rules'!$C$42:$C$68,0)),"")=U181,AND(IFERROR(INDEX('Taxonomy Rules'!$G$42:$G$68,MATCH(E181,'Taxonomy Rules'!$C$42:$C$68,0)),"")="Building routes",OR(U181="Building renovation",U181="New building",U181="Building equipment"))))),"Unexpected test","Valid"))))</x:f>
        <x:v>Valid</x:v>
      </x:c>
      <x:c r="S181" s="9" t="str">
        <x:f>IF(C181="","",IFERROR(INDEX('Taxonomy Rules'!$E$42:$E$68,MATCH(E181,'Taxonomy Rules'!$C$42:$C$68,0)),""))</x:f>
        <x:v>Lifetime hazard screen, material risk assessment and implemented adaptation; no harm to others.</x:v>
      </x:c>
      <x:c r="T181" s="9" t="str">
        <x:f>IF(C181="","",IFERROR(INDEX('Taxonomy Rules'!$F$42:$F$68,MATCH(E181,'Taxonomy Rules'!$C$42:$C$68,0)),""))</x:f>
        <x:v>S10 pp30–31</x:v>
      </x:c>
      <x:c r="U181" s="9" t="str">
        <x:f>IF(C181="","",IFERROR(INDEX('Taxonomy'!$G$9:$G$108,MATCH(D181,'Taxonomy'!$C$9:$C$108,0)),""))</x:f>
        <x:v>Road freight</x:v>
      </x:c>
    </x:row>
    <x:row r="182" ht="44" customHeight="1">
      <x:c r="A182" s="1"/>
      <x:c r="B182" s="1"/>
      <x:c r="C182" s="8" t="str">
        <x:v>TST-F018-DNSH-WATER</x:v>
      </x:c>
      <x:c r="D182" s="8" t="str">
        <x:v>TAX-F018</x:v>
      </x:c>
      <x:c r="E182" s="8" t="str">
        <x:v>DNSH-WATER</x:v>
      </x:c>
      <x:c r="F182" s="8" t="str">
        <x:v>DNSH</x:v>
      </x:c>
      <x:c r="G182" s="8" t="str">
        <x:v>Applicable</x:v>
      </x:c>
      <x:c r="H182" s="8" t="str">
        <x:v>Pass</x:v>
      </x:c>
      <x:c r="I182" s="8" t="str">
        <x:v>SYN-TEST-F018-DNSH-WATER</x:v>
      </x:c>
      <x:c r="J182" s="8" t="str"/>
      <x:c r="K182" s="8" t="str">
        <x:v>Taxonomy analyst 3</x:v>
      </x:c>
      <x:c r="L182" s="8" t="str">
        <x:v>Taxonomy reviewer 2</x:v>
      </x:c>
      <x:c r="M182" s="10" t="n">
        <x:v>46266</x:v>
      </x:c>
      <x:c r="N182" s="10" t="n">
        <x:v>46631</x:v>
      </x:c>
      <x:c r="O182" s="8"/>
      <x:c r="P182" s="9" t="str">
        <x:f>IF(C182="","",IF(AND(G182="Applicable",H182="Fail"),"Fail",IF(R182&lt;&gt;"Valid","Pending",IF(OR(I182="",K182="",L182="",K182=L182,NOT(ISNUMBER(M182)),NOT(ISNUMBER(N182)),M182&gt;Settings!$F$8,N182&lt;Settings!$F$8,N182&lt;M182),"Pending",IF(AND(G182="Applicable",H182="Pass"),"Pass",IF(AND(G182="N/A",H182="N/A",J182&lt;&gt;"",OR(E182="CEM-FUELS",E182="CEM-CCS",AND(E182="CEM-PLAN",IFERROR(INDEX('Taxonomy'!$M$9:$M$108,MATCH(D182,'Taxonomy'!$C$9:$C$108,0)),"")&lt;&gt;"Amber"),E182="BLD-TIMBER",AND(U182="Building equipment",OR(E182="BLD-WATER",E182="BLD-WASTE",E182="BLD-LAND")),AND(U182="Building renovation",E182="BLD-LAND"))),"N/A","Pending"))))))</x:f>
        <x:v>Pass</x:v>
      </x:c>
      <x:c r="Q182" s="3" t="str">
        <x:f>IF(C182="","",IF(AND(R182="Valid",OR(P182="Pass",P182="N/A")),"Complete","Unresolved"))</x:f>
        <x:v>Complete</x:v>
      </x:c>
      <x:c r="R182" s="9" t="str">
        <x:f>IF(C182="","",IF(OR(COUNTIF($C$9:$C$2008,C182)&lt;&gt;1,COUNTIFS($D$9:$D$2008,D182,$E$9:$E$2008,E182)&lt;&gt;1),"Duplicate test",IF(COUNTIF('Taxonomy'!$C$9:$C$108,D182)&lt;&gt;1,"Assessment key",IF(OR(COUNTIF('Taxonomy Rules'!$C$42:$C$68,E182)&lt;&gt;1,F182&lt;&gt;IFERROR(INDEX('Taxonomy Rules'!$D$42:$D$68,MATCH(E182,'Taxonomy Rules'!$C$42:$C$68,0)),""),NOT(OR(IFERROR(INDEX('Taxonomy Rules'!$G$42:$G$68,MATCH(E182,'Taxonomy Rules'!$C$42:$C$68,0)),"")="All supported routes",IFERROR(INDEX('Taxonomy Rules'!$G$42:$G$68,MATCH(E182,'Taxonomy Rules'!$C$42:$C$68,0)),"")=U182,AND(IFERROR(INDEX('Taxonomy Rules'!$G$42:$G$68,MATCH(E182,'Taxonomy Rules'!$C$42:$C$68,0)),"")="Building routes",OR(U182="Building renovation",U182="New building",U182="Building equipment"))))),"Unexpected test","Valid"))))</x:f>
        <x:v>Valid</x:v>
      </x:c>
      <x:c r="S182" s="9" t="str">
        <x:f>IF(C182="","",IFERROR(INDEX('Taxonomy Rules'!$E$42:$E$68,MATCH(E182,'Taxonomy Rules'!$C$42:$C$68,0)),""))</x:f>
        <x:v>Water permits, abstraction/discharge limits, required assessments and management measures.</x:v>
      </x:c>
      <x:c r="T182" s="9" t="str">
        <x:f>IF(C182="","",IFERROR(INDEX('Taxonomy Rules'!$F$42:$F$68,MATCH(E182,'Taxonomy Rules'!$C$42:$C$68,0)),""))</x:f>
        <x:v>S10 p31</x:v>
      </x:c>
      <x:c r="U182" s="9" t="str">
        <x:f>IF(C182="","",IFERROR(INDEX('Taxonomy'!$G$9:$G$108,MATCH(D182,'Taxonomy'!$C$9:$C$108,0)),""))</x:f>
        <x:v>Road freight</x:v>
      </x:c>
    </x:row>
    <x:row r="183" ht="44" customHeight="1">
      <x:c r="A183" s="1"/>
      <x:c r="B183" s="1"/>
      <x:c r="C183" s="8" t="str">
        <x:v>TST-F018-DNSH-POLL</x:v>
      </x:c>
      <x:c r="D183" s="8" t="str">
        <x:v>TAX-F018</x:v>
      </x:c>
      <x:c r="E183" s="8" t="str">
        <x:v>DNSH-POLL</x:v>
      </x:c>
      <x:c r="F183" s="8" t="str">
        <x:v>DNSH</x:v>
      </x:c>
      <x:c r="G183" s="8" t="str">
        <x:v>Applicable</x:v>
      </x:c>
      <x:c r="H183" s="8" t="str">
        <x:v>Pass</x:v>
      </x:c>
      <x:c r="I183" s="8" t="str">
        <x:v>SYN-TEST-F018-DNSH-POLL</x:v>
      </x:c>
      <x:c r="J183" s="8" t="str"/>
      <x:c r="K183" s="8" t="str">
        <x:v>Taxonomy analyst 3</x:v>
      </x:c>
      <x:c r="L183" s="8" t="str">
        <x:v>Taxonomy reviewer 2</x:v>
      </x:c>
      <x:c r="M183" s="10" t="n">
        <x:v>46266</x:v>
      </x:c>
      <x:c r="N183" s="10" t="n">
        <x:v>46631</x:v>
      </x:c>
      <x:c r="O183" s="8"/>
      <x:c r="P183" s="9" t="str">
        <x:f>IF(C183="","",IF(AND(G183="Applicable",H183="Fail"),"Fail",IF(R183&lt;&gt;"Valid","Pending",IF(OR(I183="",K183="",L183="",K183=L183,NOT(ISNUMBER(M183)),NOT(ISNUMBER(N183)),M183&gt;Settings!$F$8,N183&lt;Settings!$F$8,N183&lt;M183),"Pending",IF(AND(G183="Applicable",H183="Pass"),"Pass",IF(AND(G183="N/A",H183="N/A",J183&lt;&gt;"",OR(E183="CEM-FUELS",E183="CEM-CCS",AND(E183="CEM-PLAN",IFERROR(INDEX('Taxonomy'!$M$9:$M$108,MATCH(D183,'Taxonomy'!$C$9:$C$108,0)),"")&lt;&gt;"Amber"),E183="BLD-TIMBER",AND(U183="Building equipment",OR(E183="BLD-WATER",E183="BLD-WASTE",E183="BLD-LAND")),AND(U183="Building renovation",E183="BLD-LAND"))),"N/A","Pending"))))))</x:f>
        <x:v>Pass</x:v>
      </x:c>
      <x:c r="Q183" s="3" t="str">
        <x:f>IF(C183="","",IF(AND(R183="Valid",OR(P183="Pass",P183="N/A")),"Complete","Unresolved"))</x:f>
        <x:v>Complete</x:v>
      </x:c>
      <x:c r="R183" s="9" t="str">
        <x:f>IF(C183="","",IF(OR(COUNTIF($C$9:$C$2008,C183)&lt;&gt;1,COUNTIFS($D$9:$D$2008,D183,$E$9:$E$2008,E183)&lt;&gt;1),"Duplicate test",IF(COUNTIF('Taxonomy'!$C$9:$C$108,D183)&lt;&gt;1,"Assessment key",IF(OR(COUNTIF('Taxonomy Rules'!$C$42:$C$68,E183)&lt;&gt;1,F183&lt;&gt;IFERROR(INDEX('Taxonomy Rules'!$D$42:$D$68,MATCH(E183,'Taxonomy Rules'!$C$42:$C$68,0)),""),NOT(OR(IFERROR(INDEX('Taxonomy Rules'!$G$42:$G$68,MATCH(E183,'Taxonomy Rules'!$C$42:$C$68,0)),"")="All supported routes",IFERROR(INDEX('Taxonomy Rules'!$G$42:$G$68,MATCH(E183,'Taxonomy Rules'!$C$42:$C$68,0)),"")=U183,AND(IFERROR(INDEX('Taxonomy Rules'!$G$42:$G$68,MATCH(E183,'Taxonomy Rules'!$C$42:$C$68,0)),"")="Building routes",OR(U183="Building renovation",U183="New building",U183="Building equipment"))))),"Unexpected test","Valid"))))</x:f>
        <x:v>Valid</x:v>
      </x:c>
      <x:c r="S183" s="9" t="str">
        <x:f>IF(C183="","",IFERROR(INDEX('Taxonomy Rules'!$E$42:$E$68,MATCH(E183,'Taxonomy Rules'!$C$42:$C$68,0)),""))</x:f>
        <x:v>National pollution and prohibited-substance requirements; activity-specific limits.</x:v>
      </x:c>
      <x:c r="T183" s="9" t="str">
        <x:f>IF(C183="","",IFERROR(INDEX('Taxonomy Rules'!$F$42:$F$68,MATCH(E183,'Taxonomy Rules'!$C$42:$C$68,0)),""))</x:f>
        <x:v>S10 p31</x:v>
      </x:c>
      <x:c r="U183" s="9" t="str">
        <x:f>IF(C183="","",IFERROR(INDEX('Taxonomy'!$G$9:$G$108,MATCH(D183,'Taxonomy'!$C$9:$C$108,0)),""))</x:f>
        <x:v>Road freight</x:v>
      </x:c>
    </x:row>
    <x:row r="184" ht="44" customHeight="1">
      <x:c r="A184" s="1"/>
      <x:c r="B184" s="1"/>
      <x:c r="C184" s="8" t="str">
        <x:v>TST-F018-DNSH-CIRC</x:v>
      </x:c>
      <x:c r="D184" s="8" t="str">
        <x:v>TAX-F018</x:v>
      </x:c>
      <x:c r="E184" s="8" t="str">
        <x:v>DNSH-CIRC</x:v>
      </x:c>
      <x:c r="F184" s="8" t="str">
        <x:v>DNSH</x:v>
      </x:c>
      <x:c r="G184" s="8" t="str">
        <x:v>Applicable</x:v>
      </x:c>
      <x:c r="H184" s="8" t="str">
        <x:v>Pass</x:v>
      </x:c>
      <x:c r="I184" s="8" t="str">
        <x:v>SYN-TEST-F018-DNSH-CIRC</x:v>
      </x:c>
      <x:c r="J184" s="8" t="str"/>
      <x:c r="K184" s="8" t="str">
        <x:v>Taxonomy analyst 3</x:v>
      </x:c>
      <x:c r="L184" s="8" t="str">
        <x:v>Taxonomy reviewer 2</x:v>
      </x:c>
      <x:c r="M184" s="10" t="n">
        <x:v>46266</x:v>
      </x:c>
      <x:c r="N184" s="10" t="n">
        <x:v>46631</x:v>
      </x:c>
      <x:c r="O184" s="8"/>
      <x:c r="P184" s="9" t="str">
        <x:f>IF(C184="","",IF(AND(G184="Applicable",H184="Fail"),"Fail",IF(R184&lt;&gt;"Valid","Pending",IF(OR(I184="",K184="",L184="",K184=L184,NOT(ISNUMBER(M184)),NOT(ISNUMBER(N184)),M184&gt;Settings!$F$8,N184&lt;Settings!$F$8,N184&lt;M184),"Pending",IF(AND(G184="Applicable",H184="Pass"),"Pass",IF(AND(G184="N/A",H184="N/A",J184&lt;&gt;"",OR(E184="CEM-FUELS",E184="CEM-CCS",AND(E184="CEM-PLAN",IFERROR(INDEX('Taxonomy'!$M$9:$M$108,MATCH(D184,'Taxonomy'!$C$9:$C$108,0)),"")&lt;&gt;"Amber"),E184="BLD-TIMBER",AND(U184="Building equipment",OR(E184="BLD-WATER",E184="BLD-WASTE",E184="BLD-LAND")),AND(U184="Building renovation",E184="BLD-LAND"))),"N/A","Pending"))))))</x:f>
        <x:v>Pass</x:v>
      </x:c>
      <x:c r="Q184" s="3" t="str">
        <x:f>IF(C184="","",IF(AND(R184="Valid",OR(P184="Pass",P184="N/A")),"Complete","Unresolved"))</x:f>
        <x:v>Complete</x:v>
      </x:c>
      <x:c r="R184" s="9" t="str">
        <x:f>IF(C184="","",IF(OR(COUNTIF($C$9:$C$2008,C184)&lt;&gt;1,COUNTIFS($D$9:$D$2008,D184,$E$9:$E$2008,E184)&lt;&gt;1),"Duplicate test",IF(COUNTIF('Taxonomy'!$C$9:$C$108,D184)&lt;&gt;1,"Assessment key",IF(OR(COUNTIF('Taxonomy Rules'!$C$42:$C$68,E184)&lt;&gt;1,F184&lt;&gt;IFERROR(INDEX('Taxonomy Rules'!$D$42:$D$68,MATCH(E184,'Taxonomy Rules'!$C$42:$C$68,0)),""),NOT(OR(IFERROR(INDEX('Taxonomy Rules'!$G$42:$G$68,MATCH(E184,'Taxonomy Rules'!$C$42:$C$68,0)),"")="All supported routes",IFERROR(INDEX('Taxonomy Rules'!$G$42:$G$68,MATCH(E184,'Taxonomy Rules'!$C$42:$C$68,0)),"")=U184,AND(IFERROR(INDEX('Taxonomy Rules'!$G$42:$G$68,MATCH(E184,'Taxonomy Rules'!$C$42:$C$68,0)),"")="Building routes",OR(U184="Building renovation",U184="New building",U184="Building equipment"))))),"Unexpected test","Valid"))))</x:f>
        <x:v>Valid</x:v>
      </x:c>
      <x:c r="S184" s="9" t="str">
        <x:f>IF(C184="","",IFERROR(INDEX('Taxonomy Rules'!$E$42:$E$68,MATCH(E184,'Taxonomy Rules'!$C$42:$C$68,0)),""))</x:f>
        <x:v>Waste hierarchy, resource efficiency, hazardous-waste traceability and end-of-life arrangements.</x:v>
      </x:c>
      <x:c r="T184" s="9" t="str">
        <x:f>IF(C184="","",IFERROR(INDEX('Taxonomy Rules'!$F$42:$F$68,MATCH(E184,'Taxonomy Rules'!$C$42:$C$68,0)),""))</x:f>
        <x:v>S10 p32</x:v>
      </x:c>
      <x:c r="U184" s="9" t="str">
        <x:f>IF(C184="","",IFERROR(INDEX('Taxonomy'!$G$9:$G$108,MATCH(D184,'Taxonomy'!$C$9:$C$108,0)),""))</x:f>
        <x:v>Road freight</x:v>
      </x:c>
    </x:row>
    <x:row r="185" ht="44" customHeight="1">
      <x:c r="A185" s="1"/>
      <x:c r="B185" s="1"/>
      <x:c r="C185" s="8" t="str">
        <x:v>TST-F018-DNSH-BIO</x:v>
      </x:c>
      <x:c r="D185" s="8" t="str">
        <x:v>TAX-F018</x:v>
      </x:c>
      <x:c r="E185" s="8" t="str">
        <x:v>DNSH-BIO</x:v>
      </x:c>
      <x:c r="F185" s="8" t="str">
        <x:v>DNSH</x:v>
      </x:c>
      <x:c r="G185" s="8" t="str">
        <x:v>Applicable</x:v>
      </x:c>
      <x:c r="H185" s="8" t="str">
        <x:v>Pass</x:v>
      </x:c>
      <x:c r="I185" s="8" t="str">
        <x:v>SYN-TEST-F018-DNSH-BIO</x:v>
      </x:c>
      <x:c r="J185" s="8" t="str"/>
      <x:c r="K185" s="8" t="str">
        <x:v>Taxonomy analyst 3</x:v>
      </x:c>
      <x:c r="L185" s="8" t="str">
        <x:v>Taxonomy reviewer 2</x:v>
      </x:c>
      <x:c r="M185" s="10" t="n">
        <x:v>46266</x:v>
      </x:c>
      <x:c r="N185" s="10" t="n">
        <x:v>46631</x:v>
      </x:c>
      <x:c r="O185" s="8"/>
      <x:c r="P185" s="9" t="str">
        <x:f>IF(C185="","",IF(AND(G185="Applicable",H185="Fail"),"Fail",IF(R185&lt;&gt;"Valid","Pending",IF(OR(I185="",K185="",L185="",K185=L185,NOT(ISNUMBER(M185)),NOT(ISNUMBER(N185)),M185&gt;Settings!$F$8,N185&lt;Settings!$F$8,N185&lt;M185),"Pending",IF(AND(G185="Applicable",H185="Pass"),"Pass",IF(AND(G185="N/A",H185="N/A",J185&lt;&gt;"",OR(E185="CEM-FUELS",E185="CEM-CCS",AND(E185="CEM-PLAN",IFERROR(INDEX('Taxonomy'!$M$9:$M$108,MATCH(D185,'Taxonomy'!$C$9:$C$108,0)),"")&lt;&gt;"Amber"),E185="BLD-TIMBER",AND(U185="Building equipment",OR(E185="BLD-WATER",E185="BLD-WASTE",E185="BLD-LAND")),AND(U185="Building renovation",E185="BLD-LAND"))),"N/A","Pending"))))))</x:f>
        <x:v>Pass</x:v>
      </x:c>
      <x:c r="Q185" s="3" t="str">
        <x:f>IF(C185="","",IF(AND(R185="Valid",OR(P185="Pass",P185="N/A")),"Complete","Unresolved"))</x:f>
        <x:v>Complete</x:v>
      </x:c>
      <x:c r="R185" s="9" t="str">
        <x:f>IF(C185="","",IF(OR(COUNTIF($C$9:$C$2008,C185)&lt;&gt;1,COUNTIFS($D$9:$D$2008,D185,$E$9:$E$2008,E185)&lt;&gt;1),"Duplicate test",IF(COUNTIF('Taxonomy'!$C$9:$C$108,D185)&lt;&gt;1,"Assessment key",IF(OR(COUNTIF('Taxonomy Rules'!$C$42:$C$68,E185)&lt;&gt;1,F185&lt;&gt;IFERROR(INDEX('Taxonomy Rules'!$D$42:$D$68,MATCH(E185,'Taxonomy Rules'!$C$42:$C$68,0)),""),NOT(OR(IFERROR(INDEX('Taxonomy Rules'!$G$42:$G$68,MATCH(E185,'Taxonomy Rules'!$C$42:$C$68,0)),"")="All supported routes",IFERROR(INDEX('Taxonomy Rules'!$G$42:$G$68,MATCH(E185,'Taxonomy Rules'!$C$42:$C$68,0)),"")=U185,AND(IFERROR(INDEX('Taxonomy Rules'!$G$42:$G$68,MATCH(E185,'Taxonomy Rules'!$C$42:$C$68,0)),"")="Building routes",OR(U185="Building renovation",U185="New building",U185="Building equipment"))))),"Unexpected test","Valid"))))</x:f>
        <x:v>Valid</x:v>
      </x:c>
      <x:c r="S185" s="9" t="str">
        <x:f>IF(C185="","",IFERROR(INDEX('Taxonomy Rules'!$E$42:$E$68,MATCH(E185,'Taxonomy Rules'!$C$42:$C$68,0)),""))</x:f>
        <x:v>Required EIA, habitat screening and implemented mitigation.</x:v>
      </x:c>
      <x:c r="T185" s="9" t="str">
        <x:f>IF(C185="","",IFERROR(INDEX('Taxonomy Rules'!$F$42:$F$68,MATCH(E185,'Taxonomy Rules'!$C$42:$C$68,0)),""))</x:f>
        <x:v>S10 p32</x:v>
      </x:c>
      <x:c r="U185" s="9" t="str">
        <x:f>IF(C185="","",IFERROR(INDEX('Taxonomy'!$G$9:$G$108,MATCH(D185,'Taxonomy'!$C$9:$C$108,0)),""))</x:f>
        <x:v>Road freight</x:v>
      </x:c>
    </x:row>
    <x:row r="186" ht="44" customHeight="1">
      <x:c r="A186" s="1"/>
      <x:c r="B186" s="1"/>
      <x:c r="C186" s="8" t="str">
        <x:v>TST-F018-MSS-LABOUR</x:v>
      </x:c>
      <x:c r="D186" s="8" t="str">
        <x:v>TAX-F018</x:v>
      </x:c>
      <x:c r="E186" s="8" t="str">
        <x:v>MSS-LABOUR</x:v>
      </x:c>
      <x:c r="F186" s="8" t="str">
        <x:v>MSS</x:v>
      </x:c>
      <x:c r="G186" s="8" t="str">
        <x:v>Applicable</x:v>
      </x:c>
      <x:c r="H186" s="8" t="str">
        <x:v>Pass</x:v>
      </x:c>
      <x:c r="I186" s="8" t="str">
        <x:v>SYN-TEST-F018-MSS-LABOUR</x:v>
      </x:c>
      <x:c r="J186" s="8" t="str"/>
      <x:c r="K186" s="8" t="str">
        <x:v>Taxonomy analyst 3</x:v>
      </x:c>
      <x:c r="L186" s="8" t="str">
        <x:v>Taxonomy reviewer 2</x:v>
      </x:c>
      <x:c r="M186" s="10" t="n">
        <x:v>46266</x:v>
      </x:c>
      <x:c r="N186" s="10" t="n">
        <x:v>46631</x:v>
      </x:c>
      <x:c r="O186" s="8"/>
      <x:c r="P186" s="9" t="str">
        <x:f>IF(C186="","",IF(AND(G186="Applicable",H186="Fail"),"Fail",IF(R186&lt;&gt;"Valid","Pending",IF(OR(I186="",K186="",L186="",K186=L186,NOT(ISNUMBER(M186)),NOT(ISNUMBER(N186)),M186&gt;Settings!$F$8,N186&lt;Settings!$F$8,N186&lt;M186),"Pending",IF(AND(G186="Applicable",H186="Pass"),"Pass",IF(AND(G186="N/A",H186="N/A",J186&lt;&gt;"",OR(E186="CEM-FUELS",E186="CEM-CCS",AND(E186="CEM-PLAN",IFERROR(INDEX('Taxonomy'!$M$9:$M$108,MATCH(D186,'Taxonomy'!$C$9:$C$108,0)),"")&lt;&gt;"Amber"),E186="BLD-TIMBER",AND(U186="Building equipment",OR(E186="BLD-WATER",E186="BLD-WASTE",E186="BLD-LAND")),AND(U186="Building renovation",E186="BLD-LAND"))),"N/A","Pending"))))))</x:f>
        <x:v>Pass</x:v>
      </x:c>
      <x:c r="Q186" s="3" t="str">
        <x:f>IF(C186="","",IF(AND(R186="Valid",OR(P186="Pass",P186="N/A")),"Complete","Unresolved"))</x:f>
        <x:v>Complete</x:v>
      </x:c>
      <x:c r="R186" s="9" t="str">
        <x:f>IF(C186="","",IF(OR(COUNTIF($C$9:$C$2008,C186)&lt;&gt;1,COUNTIFS($D$9:$D$2008,D186,$E$9:$E$2008,E186)&lt;&gt;1),"Duplicate test",IF(COUNTIF('Taxonomy'!$C$9:$C$108,D186)&lt;&gt;1,"Assessment key",IF(OR(COUNTIF('Taxonomy Rules'!$C$42:$C$68,E186)&lt;&gt;1,F186&lt;&gt;IFERROR(INDEX('Taxonomy Rules'!$D$42:$D$68,MATCH(E186,'Taxonomy Rules'!$C$42:$C$68,0)),""),NOT(OR(IFERROR(INDEX('Taxonomy Rules'!$G$42:$G$68,MATCH(E186,'Taxonomy Rules'!$C$42:$C$68,0)),"")="All supported routes",IFERROR(INDEX('Taxonomy Rules'!$G$42:$G$68,MATCH(E186,'Taxonomy Rules'!$C$42:$C$68,0)),"")=U186,AND(IFERROR(INDEX('Taxonomy Rules'!$G$42:$G$68,MATCH(E186,'Taxonomy Rules'!$C$42:$C$68,0)),"")="Building routes",OR(U186="Building renovation",U186="New building",U186="Building equipment"))))),"Unexpected test","Valid"))))</x:f>
        <x:v>Valid</x:v>
      </x:c>
      <x:c r="S186" s="9" t="str">
        <x:f>IF(C186="","",IFERROR(INDEX('Taxonomy Rules'!$E$42:$E$68,MATCH(E186,'Taxonomy Rules'!$C$42:$C$68,0)),""))</x:f>
        <x:v>Labour rights, minimum age, no child/forced labour, equality and worker representation.</x:v>
      </x:c>
      <x:c r="T186" s="9" t="str">
        <x:f>IF(C186="","",IFERROR(INDEX('Taxonomy Rules'!$F$42:$F$68,MATCH(E186,'Taxonomy Rules'!$C$42:$C$68,0)),""))</x:f>
        <x:v>S10 p29</x:v>
      </x:c>
      <x:c r="U186" s="9" t="str">
        <x:f>IF(C186="","",IFERROR(INDEX('Taxonomy'!$G$9:$G$108,MATCH(D186,'Taxonomy'!$C$9:$C$108,0)),""))</x:f>
        <x:v>Road freight</x:v>
      </x:c>
    </x:row>
    <x:row r="187" ht="44" customHeight="1">
      <x:c r="A187" s="1"/>
      <x:c r="B187" s="1"/>
      <x:c r="C187" s="8" t="str">
        <x:v>TST-F018-MSS-OSH</x:v>
      </x:c>
      <x:c r="D187" s="8" t="str">
        <x:v>TAX-F018</x:v>
      </x:c>
      <x:c r="E187" s="8" t="str">
        <x:v>MSS-OSH</x:v>
      </x:c>
      <x:c r="F187" s="8" t="str">
        <x:v>MSS</x:v>
      </x:c>
      <x:c r="G187" s="8" t="str">
        <x:v>Applicable</x:v>
      </x:c>
      <x:c r="H187" s="8" t="str">
        <x:v>Pass</x:v>
      </x:c>
      <x:c r="I187" s="8" t="str">
        <x:v>SYN-TEST-F018-MSS-OSH</x:v>
      </x:c>
      <x:c r="J187" s="8" t="str"/>
      <x:c r="K187" s="8" t="str">
        <x:v>Taxonomy analyst 3</x:v>
      </x:c>
      <x:c r="L187" s="8" t="str">
        <x:v>Taxonomy reviewer 2</x:v>
      </x:c>
      <x:c r="M187" s="10" t="n">
        <x:v>46266</x:v>
      </x:c>
      <x:c r="N187" s="10" t="n">
        <x:v>46631</x:v>
      </x:c>
      <x:c r="O187" s="8"/>
      <x:c r="P187" s="9" t="str">
        <x:f>IF(C187="","",IF(AND(G187="Applicable",H187="Fail"),"Fail",IF(R187&lt;&gt;"Valid","Pending",IF(OR(I187="",K187="",L187="",K187=L187,NOT(ISNUMBER(M187)),NOT(ISNUMBER(N187)),M187&gt;Settings!$F$8,N187&lt;Settings!$F$8,N187&lt;M187),"Pending",IF(AND(G187="Applicable",H187="Pass"),"Pass",IF(AND(G187="N/A",H187="N/A",J187&lt;&gt;"",OR(E187="CEM-FUELS",E187="CEM-CCS",AND(E187="CEM-PLAN",IFERROR(INDEX('Taxonomy'!$M$9:$M$108,MATCH(D187,'Taxonomy'!$C$9:$C$108,0)),"")&lt;&gt;"Amber"),E187="BLD-TIMBER",AND(U187="Building equipment",OR(E187="BLD-WATER",E187="BLD-WASTE",E187="BLD-LAND")),AND(U187="Building renovation",E187="BLD-LAND"))),"N/A","Pending"))))))</x:f>
        <x:v>Pass</x:v>
      </x:c>
      <x:c r="Q187" s="3" t="str">
        <x:f>IF(C187="","",IF(AND(R187="Valid",OR(P187="Pass",P187="N/A")),"Complete","Unresolved"))</x:f>
        <x:v>Complete</x:v>
      </x:c>
      <x:c r="R187" s="9" t="str">
        <x:f>IF(C187="","",IF(OR(COUNTIF($C$9:$C$2008,C187)&lt;&gt;1,COUNTIFS($D$9:$D$2008,D187,$E$9:$E$2008,E187)&lt;&gt;1),"Duplicate test",IF(COUNTIF('Taxonomy'!$C$9:$C$108,D187)&lt;&gt;1,"Assessment key",IF(OR(COUNTIF('Taxonomy Rules'!$C$42:$C$68,E187)&lt;&gt;1,F187&lt;&gt;IFERROR(INDEX('Taxonomy Rules'!$D$42:$D$68,MATCH(E187,'Taxonomy Rules'!$C$42:$C$68,0)),""),NOT(OR(IFERROR(INDEX('Taxonomy Rules'!$G$42:$G$68,MATCH(E187,'Taxonomy Rules'!$C$42:$C$68,0)),"")="All supported routes",IFERROR(INDEX('Taxonomy Rules'!$G$42:$G$68,MATCH(E187,'Taxonomy Rules'!$C$42:$C$68,0)),"")=U187,AND(IFERROR(INDEX('Taxonomy Rules'!$G$42:$G$68,MATCH(E187,'Taxonomy Rules'!$C$42:$C$68,0)),"")="Building routes",OR(U187="Building renovation",U187="New building",U187="Building equipment"))))),"Unexpected test","Valid"))))</x:f>
        <x:v>Valid</x:v>
      </x:c>
      <x:c r="S187" s="9" t="str">
        <x:f>IF(C187="","",IFERROR(INDEX('Taxonomy Rules'!$E$42:$E$68,MATCH(E187,'Taxonomy Rules'!$C$42:$C$68,0)),""))</x:f>
        <x:v>Applicable occupational safety, hazard prevention and emergency readiness.</x:v>
      </x:c>
      <x:c r="T187" s="9" t="str">
        <x:f>IF(C187="","",IFERROR(INDEX('Taxonomy Rules'!$F$42:$F$68,MATCH(E187,'Taxonomy Rules'!$C$42:$C$68,0)),""))</x:f>
        <x:v>S10 p29</x:v>
      </x:c>
      <x:c r="U187" s="9" t="str">
        <x:f>IF(C187="","",IFERROR(INDEX('Taxonomy'!$G$9:$G$108,MATCH(D187,'Taxonomy'!$C$9:$C$108,0)),""))</x:f>
        <x:v>Road freight</x:v>
      </x:c>
    </x:row>
    <x:row r="188" ht="44" customHeight="1">
      <x:c r="A188" s="1"/>
      <x:c r="B188" s="1"/>
      <x:c r="C188" s="8" t="str">
        <x:v>TST-F018-MSS-RIGHTS</x:v>
      </x:c>
      <x:c r="D188" s="8" t="str">
        <x:v>TAX-F018</x:v>
      </x:c>
      <x:c r="E188" s="8" t="str">
        <x:v>MSS-RIGHTS</x:v>
      </x:c>
      <x:c r="F188" s="8" t="str">
        <x:v>MSS</x:v>
      </x:c>
      <x:c r="G188" s="8" t="str">
        <x:v>Applicable</x:v>
      </x:c>
      <x:c r="H188" s="8" t="str">
        <x:v>Pass</x:v>
      </x:c>
      <x:c r="I188" s="8" t="str">
        <x:v>SYN-TEST-F018-MSS-RIGHTS</x:v>
      </x:c>
      <x:c r="J188" s="8" t="str"/>
      <x:c r="K188" s="8" t="str">
        <x:v>Taxonomy analyst 3</x:v>
      </x:c>
      <x:c r="L188" s="8" t="str">
        <x:v>Taxonomy reviewer 2</x:v>
      </x:c>
      <x:c r="M188" s="10" t="n">
        <x:v>46266</x:v>
      </x:c>
      <x:c r="N188" s="10" t="n">
        <x:v>46631</x:v>
      </x:c>
      <x:c r="O188" s="8"/>
      <x:c r="P188" s="9" t="str">
        <x:f>IF(C188="","",IF(AND(G188="Applicable",H188="Fail"),"Fail",IF(R188&lt;&gt;"Valid","Pending",IF(OR(I188="",K188="",L188="",K188=L188,NOT(ISNUMBER(M188)),NOT(ISNUMBER(N188)),M188&gt;Settings!$F$8,N188&lt;Settings!$F$8,N188&lt;M188),"Pending",IF(AND(G188="Applicable",H188="Pass"),"Pass",IF(AND(G188="N/A",H188="N/A",J188&lt;&gt;"",OR(E188="CEM-FUELS",E188="CEM-CCS",AND(E188="CEM-PLAN",IFERROR(INDEX('Taxonomy'!$M$9:$M$108,MATCH(D188,'Taxonomy'!$C$9:$C$108,0)),"")&lt;&gt;"Amber"),E188="BLD-TIMBER",AND(U188="Building equipment",OR(E188="BLD-WATER",E188="BLD-WASTE",E188="BLD-LAND")),AND(U188="Building renovation",E188="BLD-LAND"))),"N/A","Pending"))))))</x:f>
        <x:v>Pass</x:v>
      </x:c>
      <x:c r="Q188" s="3" t="str">
        <x:f>IF(C188="","",IF(AND(R188="Valid",OR(P188="Pass",P188="N/A")),"Complete","Unresolved"))</x:f>
        <x:v>Complete</x:v>
      </x:c>
      <x:c r="R188" s="9" t="str">
        <x:f>IF(C188="","",IF(OR(COUNTIF($C$9:$C$2008,C188)&lt;&gt;1,COUNTIFS($D$9:$D$2008,D188,$E$9:$E$2008,E188)&lt;&gt;1),"Duplicate test",IF(COUNTIF('Taxonomy'!$C$9:$C$108,D188)&lt;&gt;1,"Assessment key",IF(OR(COUNTIF('Taxonomy Rules'!$C$42:$C$68,E188)&lt;&gt;1,F188&lt;&gt;IFERROR(INDEX('Taxonomy Rules'!$D$42:$D$68,MATCH(E188,'Taxonomy Rules'!$C$42:$C$68,0)),""),NOT(OR(IFERROR(INDEX('Taxonomy Rules'!$G$42:$G$68,MATCH(E188,'Taxonomy Rules'!$C$42:$C$68,0)),"")="All supported routes",IFERROR(INDEX('Taxonomy Rules'!$G$42:$G$68,MATCH(E188,'Taxonomy Rules'!$C$42:$C$68,0)),"")=U188,AND(IFERROR(INDEX('Taxonomy Rules'!$G$42:$G$68,MATCH(E188,'Taxonomy Rules'!$C$42:$C$68,0)),"")="Building routes",OR(U188="Building renovation",U188="New building",U188="Building equipment"))))),"Unexpected test","Valid"))))</x:f>
        <x:v>Valid</x:v>
      </x:c>
      <x:c r="S188" s="9" t="str">
        <x:f>IF(C188="","",IFERROR(INDEX('Taxonomy Rules'!$E$42:$E$68,MATCH(E188,'Taxonomy Rules'!$C$42:$C$68,0)),""))</x:f>
        <x:v>Proportionate human-rights diligence, stakeholder/social-impact process and grievance mechanism.</x:v>
      </x:c>
      <x:c r="T188" s="9" t="str">
        <x:f>IF(C188="","",IFERROR(INDEX('Taxonomy Rules'!$F$42:$F$68,MATCH(E188,'Taxonomy Rules'!$C$42:$C$68,0)),""))</x:f>
        <x:v>S10 p29</x:v>
      </x:c>
      <x:c r="U188" s="9" t="str">
        <x:f>IF(C188="","",IFERROR(INDEX('Taxonomy'!$G$9:$G$108,MATCH(D188,'Taxonomy'!$C$9:$C$108,0)),""))</x:f>
        <x:v>Road freight</x:v>
      </x:c>
    </x:row>
    <x:row r="189" ht="44" customHeight="1">
      <x:c r="A189" s="1"/>
      <x:c r="B189" s="1"/>
      <x:c r="C189" s="8" t="str">
        <x:v>TST-F018-ROAD-SAFETY</x:v>
      </x:c>
      <x:c r="D189" s="8" t="str">
        <x:v>TAX-F018</x:v>
      </x:c>
      <x:c r="E189" s="8" t="str">
        <x:v>ROAD-SAFETY</x:v>
      </x:c>
      <x:c r="F189" s="8" t="str">
        <x:v>DNSH</x:v>
      </x:c>
      <x:c r="G189" s="8" t="str">
        <x:v>Applicable</x:v>
      </x:c>
      <x:c r="H189" s="8" t="str">
        <x:v>Pass</x:v>
      </x:c>
      <x:c r="I189" s="8" t="str">
        <x:v>SYN-TEST-F018-ROAD-SAFETY</x:v>
      </x:c>
      <x:c r="J189" s="8" t="str"/>
      <x:c r="K189" s="8" t="str">
        <x:v>Taxonomy analyst 3</x:v>
      </x:c>
      <x:c r="L189" s="8" t="str">
        <x:v>Taxonomy reviewer 2</x:v>
      </x:c>
      <x:c r="M189" s="10" t="n">
        <x:v>46266</x:v>
      </x:c>
      <x:c r="N189" s="10" t="n">
        <x:v>46631</x:v>
      </x:c>
      <x:c r="O189" s="8"/>
      <x:c r="P189" s="9" t="str">
        <x:f>IF(C189="","",IF(AND(G189="Applicable",H189="Fail"),"Fail",IF(R189&lt;&gt;"Valid","Pending",IF(OR(I189="",K189="",L189="",K189=L189,NOT(ISNUMBER(M189)),NOT(ISNUMBER(N189)),M189&gt;Settings!$F$8,N189&lt;Settings!$F$8,N189&lt;M189),"Pending",IF(AND(G189="Applicable",H189="Pass"),"Pass",IF(AND(G189="N/A",H189="N/A",J189&lt;&gt;"",OR(E189="CEM-FUELS",E189="CEM-CCS",AND(E189="CEM-PLAN",IFERROR(INDEX('Taxonomy'!$M$9:$M$108,MATCH(D189,'Taxonomy'!$C$9:$C$108,0)),"")&lt;&gt;"Amber"),E189="BLD-TIMBER",AND(U189="Building equipment",OR(E189="BLD-WATER",E189="BLD-WASTE",E189="BLD-LAND")),AND(U189="Building renovation",E189="BLD-LAND"))),"N/A","Pending"))))))</x:f>
        <x:v>Pass</x:v>
      </x:c>
      <x:c r="Q189" s="3" t="str">
        <x:f>IF(C189="","",IF(AND(R189="Valid",OR(P189="Pass",P189="N/A")),"Complete","Unresolved"))</x:f>
        <x:v>Complete</x:v>
      </x:c>
      <x:c r="R189" s="9" t="str">
        <x:f>IF(C189="","",IF(OR(COUNTIF($C$9:$C$2008,C189)&lt;&gt;1,COUNTIFS($D$9:$D$2008,D189,$E$9:$E$2008,E189)&lt;&gt;1),"Duplicate test",IF(COUNTIF('Taxonomy'!$C$9:$C$108,D189)&lt;&gt;1,"Assessment key",IF(OR(COUNTIF('Taxonomy Rules'!$C$42:$C$68,E189)&lt;&gt;1,F189&lt;&gt;IFERROR(INDEX('Taxonomy Rules'!$D$42:$D$68,MATCH(E189,'Taxonomy Rules'!$C$42:$C$68,0)),""),NOT(OR(IFERROR(INDEX('Taxonomy Rules'!$G$42:$G$68,MATCH(E189,'Taxonomy Rules'!$C$42:$C$68,0)),"")="All supported routes",IFERROR(INDEX('Taxonomy Rules'!$G$42:$G$68,MATCH(E189,'Taxonomy Rules'!$C$42:$C$68,0)),"")=U189,AND(IFERROR(INDEX('Taxonomy Rules'!$G$42:$G$68,MATCH(E189,'Taxonomy Rules'!$C$42:$C$68,0)),"")="Building routes",OR(U189="Building renovation",U189="New building",U189="Building equipment"))))),"Unexpected test","Valid"))))</x:f>
        <x:v>Valid</x:v>
      </x:c>
      <x:c r="S189" s="9" t="str">
        <x:f>IF(C189="","",IFERROR(INDEX('Taxonomy Rules'!$E$42:$E$68,MATCH(E189,'Taxonomy Rules'!$C$42:$C$68,0)),""))</x:f>
        <x:v>Applicable vehicle standards, exterior noise, tyres and battery-safety standards met.</x:v>
      </x:c>
      <x:c r="T189" s="9" t="str">
        <x:f>IF(C189="","",IFERROR(INDEX('Taxonomy Rules'!$F$42:$F$68,MATCH(E189,'Taxonomy Rules'!$C$42:$C$68,0)),""))</x:f>
        <x:v>S10 p118</x:v>
      </x:c>
      <x:c r="U189" s="9" t="str">
        <x:f>IF(C189="","",IFERROR(INDEX('Taxonomy'!$G$9:$G$108,MATCH(D189,'Taxonomy'!$C$9:$C$108,0)),""))</x:f>
        <x:v>Road freight</x:v>
      </x:c>
    </x:row>
    <x:row r="190" ht="44" customHeight="1">
      <x:c r="A190" s="1"/>
      <x:c r="B190" s="1"/>
      <x:c r="C190" s="8" t="str">
        <x:v>TST-F018-ROAD-WASTE</x:v>
      </x:c>
      <x:c r="D190" s="8" t="str">
        <x:v>TAX-F018</x:v>
      </x:c>
      <x:c r="E190" s="8" t="str">
        <x:v>ROAD-WASTE</x:v>
      </x:c>
      <x:c r="F190" s="8" t="str">
        <x:v>DNSH</x:v>
      </x:c>
      <x:c r="G190" s="8" t="str">
        <x:v>Applicable</x:v>
      </x:c>
      <x:c r="H190" s="8" t="str">
        <x:v>Pass</x:v>
      </x:c>
      <x:c r="I190" s="8" t="str">
        <x:v>SYN-TEST-F018-ROAD-WASTE</x:v>
      </x:c>
      <x:c r="J190" s="8" t="str"/>
      <x:c r="K190" s="8" t="str">
        <x:v>Taxonomy analyst 3</x:v>
      </x:c>
      <x:c r="L190" s="8" t="str">
        <x:v>Taxonomy reviewer 2</x:v>
      </x:c>
      <x:c r="M190" s="10" t="n">
        <x:v>46266</x:v>
      </x:c>
      <x:c r="N190" s="10" t="n">
        <x:v>46631</x:v>
      </x:c>
      <x:c r="O190" s="8"/>
      <x:c r="P190" s="9" t="str">
        <x:f>IF(C190="","",IF(AND(G190="Applicable",H190="Fail"),"Fail",IF(R190&lt;&gt;"Valid","Pending",IF(OR(I190="",K190="",L190="",K190=L190,NOT(ISNUMBER(M190)),NOT(ISNUMBER(N190)),M190&gt;Settings!$F$8,N190&lt;Settings!$F$8,N190&lt;M190),"Pending",IF(AND(G190="Applicable",H190="Pass"),"Pass",IF(AND(G190="N/A",H190="N/A",J190&lt;&gt;"",OR(E190="CEM-FUELS",E190="CEM-CCS",AND(E190="CEM-PLAN",IFERROR(INDEX('Taxonomy'!$M$9:$M$108,MATCH(D190,'Taxonomy'!$C$9:$C$108,0)),"")&lt;&gt;"Amber"),E190="BLD-TIMBER",AND(U190="Building equipment",OR(E190="BLD-WATER",E190="BLD-WASTE",E190="BLD-LAND")),AND(U190="Building renovation",E190="BLD-LAND"))),"N/A","Pending"))))))</x:f>
        <x:v>Pass</x:v>
      </x:c>
      <x:c r="Q190" s="3" t="str">
        <x:f>IF(C190="","",IF(AND(R190="Valid",OR(P190="Pass",P190="N/A")),"Complete","Unresolved"))</x:f>
        <x:v>Complete</x:v>
      </x:c>
      <x:c r="R190" s="9" t="str">
        <x:f>IF(C190="","",IF(OR(COUNTIF($C$9:$C$2008,C190)&lt;&gt;1,COUNTIFS($D$9:$D$2008,D190,$E$9:$E$2008,E190)&lt;&gt;1),"Duplicate test",IF(COUNTIF('Taxonomy'!$C$9:$C$108,D190)&lt;&gt;1,"Assessment key",IF(OR(COUNTIF('Taxonomy Rules'!$C$42:$C$68,E190)&lt;&gt;1,F190&lt;&gt;IFERROR(INDEX('Taxonomy Rules'!$D$42:$D$68,MATCH(E190,'Taxonomy Rules'!$C$42:$C$68,0)),""),NOT(OR(IFERROR(INDEX('Taxonomy Rules'!$G$42:$G$68,MATCH(E190,'Taxonomy Rules'!$C$42:$C$68,0)),"")="All supported routes",IFERROR(INDEX('Taxonomy Rules'!$G$42:$G$68,MATCH(E190,'Taxonomy Rules'!$C$42:$C$68,0)),"")=U190,AND(IFERROR(INDEX('Taxonomy Rules'!$G$42:$G$68,MATCH(E190,'Taxonomy Rules'!$C$42:$C$68,0)),"")="Building routes",OR(U190="Building renovation",U190="New building",U190="Building equipment"))))),"Unexpected test","Valid"))))</x:f>
        <x:v>Valid</x:v>
      </x:c>
      <x:c r="S190" s="9" t="str">
        <x:f>IF(C190="","",IFERROR(INDEX('Taxonomy Rules'!$E$42:$E$68,MATCH(E190,'Taxonomy Rules'!$C$42:$C$68,0)),""))</x:f>
        <x:v>Lubricants, chemicals, batteries and vehicle life-cycle waste safely handled; reuse / recycling provided.</x:v>
      </x:c>
      <x:c r="T190" s="9" t="str">
        <x:f>IF(C190="","",IFERROR(INDEX('Taxonomy Rules'!$F$42:$F$68,MATCH(E190,'Taxonomy Rules'!$C$42:$C$68,0)),""))</x:f>
        <x:v>S10 p118</x:v>
      </x:c>
      <x:c r="U190" s="9" t="str">
        <x:f>IF(C190="","",IFERROR(INDEX('Taxonomy'!$G$9:$G$108,MATCH(D190,'Taxonomy'!$C$9:$C$108,0)),""))</x:f>
        <x:v>Road freight</x:v>
      </x:c>
    </x:row>
    <x:row r="191" ht="44" customHeight="1">
      <x:c r="A191" s="1"/>
      <x:c r="B191" s="1"/>
      <x:c r="C191" s="8" t="str">
        <x:v>TST-F021-SC-EVIDENCE</x:v>
      </x:c>
      <x:c r="D191" s="8" t="str">
        <x:v>TAX-F021</x:v>
      </x:c>
      <x:c r="E191" s="8" t="str">
        <x:v>SC-EVIDENCE</x:v>
      </x:c>
      <x:c r="F191" s="8" t="str">
        <x:v>Technical</x:v>
      </x:c>
      <x:c r="G191" s="8" t="str">
        <x:v>Applicable</x:v>
      </x:c>
      <x:c r="H191" s="8" t="str">
        <x:v>Pass</x:v>
      </x:c>
      <x:c r="I191" s="8" t="str">
        <x:v>SYN-TEST-F021-SC-EVIDENCE</x:v>
      </x:c>
      <x:c r="J191" s="8" t="str"/>
      <x:c r="K191" s="8" t="str">
        <x:v>Taxonomy analyst 3</x:v>
      </x:c>
      <x:c r="L191" s="8" t="str">
        <x:v>Taxonomy reviewer 1</x:v>
      </x:c>
      <x:c r="M191" s="10" t="n">
        <x:v>46266</x:v>
      </x:c>
      <x:c r="N191" s="10" t="n">
        <x:v>46631</x:v>
      </x:c>
      <x:c r="O191" s="8"/>
      <x:c r="P191" s="9" t="str">
        <x:f>IF(C191="","",IF(AND(G191="Applicable",H191="Fail"),"Fail",IF(R191&lt;&gt;"Valid","Pending",IF(OR(I191="",K191="",L191="",K191=L191,NOT(ISNUMBER(M191)),NOT(ISNUMBER(N191)),M191&gt;Settings!$F$8,N191&lt;Settings!$F$8,N191&lt;M191),"Pending",IF(AND(G191="Applicable",H191="Pass"),"Pass",IF(AND(G191="N/A",H191="N/A",J191&lt;&gt;"",OR(E191="CEM-FUELS",E191="CEM-CCS",AND(E191="CEM-PLAN",IFERROR(INDEX('Taxonomy'!$M$9:$M$108,MATCH(D191,'Taxonomy'!$C$9:$C$108,0)),"")&lt;&gt;"Amber"),E191="BLD-TIMBER",AND(U191="Building equipment",OR(E191="BLD-WATER",E191="BLD-WASTE",E191="BLD-LAND")),AND(U191="Building renovation",E191="BLD-LAND"))),"N/A","Pending"))))))</x:f>
        <x:v>Pass</x:v>
      </x:c>
      <x:c r="Q191" s="3" t="str">
        <x:f>IF(C191="","",IF(AND(R191="Valid",OR(P191="Pass",P191="N/A")),"Complete","Unresolved"))</x:f>
        <x:v>Complete</x:v>
      </x:c>
      <x:c r="R191" s="9" t="str">
        <x:f>IF(C191="","",IF(OR(COUNTIF($C$9:$C$2008,C191)&lt;&gt;1,COUNTIFS($D$9:$D$2008,D191,$E$9:$E$2008,E191)&lt;&gt;1),"Duplicate test",IF(COUNTIF('Taxonomy'!$C$9:$C$108,D191)&lt;&gt;1,"Assessment key",IF(OR(COUNTIF('Taxonomy Rules'!$C$42:$C$68,E191)&lt;&gt;1,F191&lt;&gt;IFERROR(INDEX('Taxonomy Rules'!$D$42:$D$68,MATCH(E191,'Taxonomy Rules'!$C$42:$C$68,0)),""),NOT(OR(IFERROR(INDEX('Taxonomy Rules'!$G$42:$G$68,MATCH(E191,'Taxonomy Rules'!$C$42:$C$68,0)),"")="All supported routes",IFERROR(INDEX('Taxonomy Rules'!$G$42:$G$68,MATCH(E191,'Taxonomy Rules'!$C$42:$C$68,0)),"")=U191,AND(IFERROR(INDEX('Taxonomy Rules'!$G$42:$G$68,MATCH(E191,'Taxonomy Rules'!$C$42:$C$68,0)),"")="Building routes",OR(U191="Building renovation",U191="New building",U191="Building equipment"))))),"Unexpected test","Valid"))))</x:f>
        <x:v>Valid</x:v>
      </x:c>
      <x:c r="S191" s="9" t="str">
        <x:f>IF(C191="","",IFERROR(INDEX('Taxonomy Rules'!$E$42:$E$68,MATCH(E191,'Taxonomy Rules'!$C$42:$C$68,0)),""))</x:f>
        <x:v>Boundary and chosen route are evidenced; observations match the activity card.</x:v>
      </x:c>
      <x:c r="T191" s="9" t="str">
        <x:f>IF(C191="","",IFERROR(INDEX('Taxonomy Rules'!$F$42:$F$68,MATCH(E191,'Taxonomy Rules'!$C$42:$C$68,0)),""))</x:f>
        <x:v>S10 activity card</x:v>
      </x:c>
      <x:c r="U191" s="9" t="str">
        <x:f>IF(C191="","",IFERROR(INDEX('Taxonomy'!$G$9:$G$108,MATCH(D191,'Taxonomy'!$C$9:$C$108,0)),""))</x:f>
        <x:v>Building renovation</x:v>
      </x:c>
    </x:row>
    <x:row r="192" ht="44" customHeight="1">
      <x:c r="A192" s="1"/>
      <x:c r="B192" s="1"/>
      <x:c r="C192" s="8" t="str">
        <x:v>TST-F021-DNSH-MIT</x:v>
      </x:c>
      <x:c r="D192" s="8" t="str">
        <x:v>TAX-F021</x:v>
      </x:c>
      <x:c r="E192" s="8" t="str">
        <x:v>DNSH-MIT</x:v>
      </x:c>
      <x:c r="F192" s="8" t="str">
        <x:v>DNSH</x:v>
      </x:c>
      <x:c r="G192" s="8" t="str">
        <x:v>Applicable</x:v>
      </x:c>
      <x:c r="H192" s="8" t="str">
        <x:v>Pass</x:v>
      </x:c>
      <x:c r="I192" s="8" t="str">
        <x:v>SYN-TEST-F021-DNSH-MIT</x:v>
      </x:c>
      <x:c r="J192" s="8" t="str"/>
      <x:c r="K192" s="8" t="str">
        <x:v>Taxonomy analyst 3</x:v>
      </x:c>
      <x:c r="L192" s="8" t="str">
        <x:v>Taxonomy reviewer 1</x:v>
      </x:c>
      <x:c r="M192" s="10" t="n">
        <x:v>46266</x:v>
      </x:c>
      <x:c r="N192" s="10" t="n">
        <x:v>46631</x:v>
      </x:c>
      <x:c r="O192" s="8"/>
      <x:c r="P192" s="9" t="str">
        <x:f>IF(C192="","",IF(AND(G192="Applicable",H192="Fail"),"Fail",IF(R192&lt;&gt;"Valid","Pending",IF(OR(I192="",K192="",L192="",K192=L192,NOT(ISNUMBER(M192)),NOT(ISNUMBER(N192)),M192&gt;Settings!$F$8,N192&lt;Settings!$F$8,N192&lt;M192),"Pending",IF(AND(G192="Applicable",H192="Pass"),"Pass",IF(AND(G192="N/A",H192="N/A",J192&lt;&gt;"",OR(E192="CEM-FUELS",E192="CEM-CCS",AND(E192="CEM-PLAN",IFERROR(INDEX('Taxonomy'!$M$9:$M$108,MATCH(D192,'Taxonomy'!$C$9:$C$108,0)),"")&lt;&gt;"Amber"),E192="BLD-TIMBER",AND(U192="Building equipment",OR(E192="BLD-WATER",E192="BLD-WASTE",E192="BLD-LAND")),AND(U192="Building renovation",E192="BLD-LAND"))),"N/A","Pending"))))))</x:f>
        <x:v>Pass</x:v>
      </x:c>
      <x:c r="Q192" s="3" t="str">
        <x:f>IF(C192="","",IF(AND(R192="Valid",OR(P192="Pass",P192="N/A")),"Complete","Unresolved"))</x:f>
        <x:v>Complete</x:v>
      </x:c>
      <x:c r="R192" s="9" t="str">
        <x:f>IF(C192="","",IF(OR(COUNTIF($C$9:$C$2008,C192)&lt;&gt;1,COUNTIFS($D$9:$D$2008,D192,$E$9:$E$2008,E192)&lt;&gt;1),"Duplicate test",IF(COUNTIF('Taxonomy'!$C$9:$C$108,D192)&lt;&gt;1,"Assessment key",IF(OR(COUNTIF('Taxonomy Rules'!$C$42:$C$68,E192)&lt;&gt;1,F192&lt;&gt;IFERROR(INDEX('Taxonomy Rules'!$D$42:$D$68,MATCH(E192,'Taxonomy Rules'!$C$42:$C$68,0)),""),NOT(OR(IFERROR(INDEX('Taxonomy Rules'!$G$42:$G$68,MATCH(E192,'Taxonomy Rules'!$C$42:$C$68,0)),"")="All supported routes",IFERROR(INDEX('Taxonomy Rules'!$G$42:$G$68,MATCH(E192,'Taxonomy Rules'!$C$42:$C$68,0)),"")=U192,AND(IFERROR(INDEX('Taxonomy Rules'!$G$42:$G$68,MATCH(E192,'Taxonomy Rules'!$C$42:$C$68,0)),"")="Building routes",OR(U192="Building renovation",U192="New building",U192="Building equipment"))))),"Unexpected test","Valid"))))</x:f>
        <x:v>Valid</x:v>
      </x:c>
      <x:c r="S192" s="9" t="str">
        <x:f>IF(C192="","",IFERROR(INDEX('Taxonomy Rules'!$E$42:$E$68,MATCH(E192,'Taxonomy Rules'!$C$42:$C$68,0)),""))</x:f>
        <x:v>No avoidable fossil lock-in; material lifecycle effects assessed.</x:v>
      </x:c>
      <x:c r="T192" s="9" t="str">
        <x:f>IF(C192="","",IFERROR(INDEX('Taxonomy Rules'!$F$42:$F$68,MATCH(E192,'Taxonomy Rules'!$C$42:$C$68,0)),""))</x:f>
        <x:v>S10 p30</x:v>
      </x:c>
      <x:c r="U192" s="9" t="str">
        <x:f>IF(C192="","",IFERROR(INDEX('Taxonomy'!$G$9:$G$108,MATCH(D192,'Taxonomy'!$C$9:$C$108,0)),""))</x:f>
        <x:v>Building renovation</x:v>
      </x:c>
    </x:row>
    <x:row r="193" ht="44" customHeight="1">
      <x:c r="A193" s="1"/>
      <x:c r="B193" s="1"/>
      <x:c r="C193" s="8" t="str">
        <x:v>TST-F021-DNSH-ADAPT</x:v>
      </x:c>
      <x:c r="D193" s="8" t="str">
        <x:v>TAX-F021</x:v>
      </x:c>
      <x:c r="E193" s="8" t="str">
        <x:v>DNSH-ADAPT</x:v>
      </x:c>
      <x:c r="F193" s="8" t="str">
        <x:v>DNSH</x:v>
      </x:c>
      <x:c r="G193" s="8" t="str">
        <x:v>Applicable</x:v>
      </x:c>
      <x:c r="H193" s="8" t="str">
        <x:v>Pass</x:v>
      </x:c>
      <x:c r="I193" s="8" t="str">
        <x:v>SYN-TEST-F021-DNSH-ADAPT</x:v>
      </x:c>
      <x:c r="J193" s="8" t="str"/>
      <x:c r="K193" s="8" t="str">
        <x:v>Taxonomy analyst 3</x:v>
      </x:c>
      <x:c r="L193" s="8" t="str">
        <x:v>Taxonomy reviewer 1</x:v>
      </x:c>
      <x:c r="M193" s="10" t="n">
        <x:v>46266</x:v>
      </x:c>
      <x:c r="N193" s="10" t="n">
        <x:v>46631</x:v>
      </x:c>
      <x:c r="O193" s="8"/>
      <x:c r="P193" s="9" t="str">
        <x:f>IF(C193="","",IF(AND(G193="Applicable",H193="Fail"),"Fail",IF(R193&lt;&gt;"Valid","Pending",IF(OR(I193="",K193="",L193="",K193=L193,NOT(ISNUMBER(M193)),NOT(ISNUMBER(N193)),M193&gt;Settings!$F$8,N193&lt;Settings!$F$8,N193&lt;M193),"Pending",IF(AND(G193="Applicable",H193="Pass"),"Pass",IF(AND(G193="N/A",H193="N/A",J193&lt;&gt;"",OR(E193="CEM-FUELS",E193="CEM-CCS",AND(E193="CEM-PLAN",IFERROR(INDEX('Taxonomy'!$M$9:$M$108,MATCH(D193,'Taxonomy'!$C$9:$C$108,0)),"")&lt;&gt;"Amber"),E193="BLD-TIMBER",AND(U193="Building equipment",OR(E193="BLD-WATER",E193="BLD-WASTE",E193="BLD-LAND")),AND(U193="Building renovation",E193="BLD-LAND"))),"N/A","Pending"))))))</x:f>
        <x:v>Pass</x:v>
      </x:c>
      <x:c r="Q193" s="3" t="str">
        <x:f>IF(C193="","",IF(AND(R193="Valid",OR(P193="Pass",P193="N/A")),"Complete","Unresolved"))</x:f>
        <x:v>Complete</x:v>
      </x:c>
      <x:c r="R193" s="9" t="str">
        <x:f>IF(C193="","",IF(OR(COUNTIF($C$9:$C$2008,C193)&lt;&gt;1,COUNTIFS($D$9:$D$2008,D193,$E$9:$E$2008,E193)&lt;&gt;1),"Duplicate test",IF(COUNTIF('Taxonomy'!$C$9:$C$108,D193)&lt;&gt;1,"Assessment key",IF(OR(COUNTIF('Taxonomy Rules'!$C$42:$C$68,E193)&lt;&gt;1,F193&lt;&gt;IFERROR(INDEX('Taxonomy Rules'!$D$42:$D$68,MATCH(E193,'Taxonomy Rules'!$C$42:$C$68,0)),""),NOT(OR(IFERROR(INDEX('Taxonomy Rules'!$G$42:$G$68,MATCH(E193,'Taxonomy Rules'!$C$42:$C$68,0)),"")="All supported routes",IFERROR(INDEX('Taxonomy Rules'!$G$42:$G$68,MATCH(E193,'Taxonomy Rules'!$C$42:$C$68,0)),"")=U193,AND(IFERROR(INDEX('Taxonomy Rules'!$G$42:$G$68,MATCH(E193,'Taxonomy Rules'!$C$42:$C$68,0)),"")="Building routes",OR(U193="Building renovation",U193="New building",U193="Building equipment"))))),"Unexpected test","Valid"))))</x:f>
        <x:v>Valid</x:v>
      </x:c>
      <x:c r="S193" s="9" t="str">
        <x:f>IF(C193="","",IFERROR(INDEX('Taxonomy Rules'!$E$42:$E$68,MATCH(E193,'Taxonomy Rules'!$C$42:$C$68,0)),""))</x:f>
        <x:v>Lifetime hazard screen, material risk assessment and implemented adaptation; no harm to others.</x:v>
      </x:c>
      <x:c r="T193" s="9" t="str">
        <x:f>IF(C193="","",IFERROR(INDEX('Taxonomy Rules'!$F$42:$F$68,MATCH(E193,'Taxonomy Rules'!$C$42:$C$68,0)),""))</x:f>
        <x:v>S10 pp30–31</x:v>
      </x:c>
      <x:c r="U193" s="9" t="str">
        <x:f>IF(C193="","",IFERROR(INDEX('Taxonomy'!$G$9:$G$108,MATCH(D193,'Taxonomy'!$C$9:$C$108,0)),""))</x:f>
        <x:v>Building renovation</x:v>
      </x:c>
    </x:row>
    <x:row r="194" ht="44" customHeight="1">
      <x:c r="A194" s="1"/>
      <x:c r="B194" s="1"/>
      <x:c r="C194" s="8" t="str">
        <x:v>TST-F021-DNSH-WATER</x:v>
      </x:c>
      <x:c r="D194" s="8" t="str">
        <x:v>TAX-F021</x:v>
      </x:c>
      <x:c r="E194" s="8" t="str">
        <x:v>DNSH-WATER</x:v>
      </x:c>
      <x:c r="F194" s="8" t="str">
        <x:v>DNSH</x:v>
      </x:c>
      <x:c r="G194" s="8" t="str">
        <x:v>Applicable</x:v>
      </x:c>
      <x:c r="H194" s="8" t="str">
        <x:v>Pass</x:v>
      </x:c>
      <x:c r="I194" s="8" t="str">
        <x:v>SYN-TEST-F021-DNSH-WATER</x:v>
      </x:c>
      <x:c r="J194" s="8" t="str"/>
      <x:c r="K194" s="8" t="str">
        <x:v>Taxonomy analyst 3</x:v>
      </x:c>
      <x:c r="L194" s="8" t="str">
        <x:v>Taxonomy reviewer 1</x:v>
      </x:c>
      <x:c r="M194" s="10" t="n">
        <x:v>46266</x:v>
      </x:c>
      <x:c r="N194" s="10" t="n">
        <x:v>46631</x:v>
      </x:c>
      <x:c r="O194" s="8"/>
      <x:c r="P194" s="9" t="str">
        <x:f>IF(C194="","",IF(AND(G194="Applicable",H194="Fail"),"Fail",IF(R194&lt;&gt;"Valid","Pending",IF(OR(I194="",K194="",L194="",K194=L194,NOT(ISNUMBER(M194)),NOT(ISNUMBER(N194)),M194&gt;Settings!$F$8,N194&lt;Settings!$F$8,N194&lt;M194),"Pending",IF(AND(G194="Applicable",H194="Pass"),"Pass",IF(AND(G194="N/A",H194="N/A",J194&lt;&gt;"",OR(E194="CEM-FUELS",E194="CEM-CCS",AND(E194="CEM-PLAN",IFERROR(INDEX('Taxonomy'!$M$9:$M$108,MATCH(D194,'Taxonomy'!$C$9:$C$108,0)),"")&lt;&gt;"Amber"),E194="BLD-TIMBER",AND(U194="Building equipment",OR(E194="BLD-WATER",E194="BLD-WASTE",E194="BLD-LAND")),AND(U194="Building renovation",E194="BLD-LAND"))),"N/A","Pending"))))))</x:f>
        <x:v>Pass</x:v>
      </x:c>
      <x:c r="Q194" s="3" t="str">
        <x:f>IF(C194="","",IF(AND(R194="Valid",OR(P194="Pass",P194="N/A")),"Complete","Unresolved"))</x:f>
        <x:v>Complete</x:v>
      </x:c>
      <x:c r="R194" s="9" t="str">
        <x:f>IF(C194="","",IF(OR(COUNTIF($C$9:$C$2008,C194)&lt;&gt;1,COUNTIFS($D$9:$D$2008,D194,$E$9:$E$2008,E194)&lt;&gt;1),"Duplicate test",IF(COUNTIF('Taxonomy'!$C$9:$C$108,D194)&lt;&gt;1,"Assessment key",IF(OR(COUNTIF('Taxonomy Rules'!$C$42:$C$68,E194)&lt;&gt;1,F194&lt;&gt;IFERROR(INDEX('Taxonomy Rules'!$D$42:$D$68,MATCH(E194,'Taxonomy Rules'!$C$42:$C$68,0)),""),NOT(OR(IFERROR(INDEX('Taxonomy Rules'!$G$42:$G$68,MATCH(E194,'Taxonomy Rules'!$C$42:$C$68,0)),"")="All supported routes",IFERROR(INDEX('Taxonomy Rules'!$G$42:$G$68,MATCH(E194,'Taxonomy Rules'!$C$42:$C$68,0)),"")=U194,AND(IFERROR(INDEX('Taxonomy Rules'!$G$42:$G$68,MATCH(E194,'Taxonomy Rules'!$C$42:$C$68,0)),"")="Building routes",OR(U194="Building renovation",U194="New building",U194="Building equipment"))))),"Unexpected test","Valid"))))</x:f>
        <x:v>Valid</x:v>
      </x:c>
      <x:c r="S194" s="9" t="str">
        <x:f>IF(C194="","",IFERROR(INDEX('Taxonomy Rules'!$E$42:$E$68,MATCH(E194,'Taxonomy Rules'!$C$42:$C$68,0)),""))</x:f>
        <x:v>Water permits, abstraction/discharge limits, required assessments and management measures.</x:v>
      </x:c>
      <x:c r="T194" s="9" t="str">
        <x:f>IF(C194="","",IFERROR(INDEX('Taxonomy Rules'!$F$42:$F$68,MATCH(E194,'Taxonomy Rules'!$C$42:$C$68,0)),""))</x:f>
        <x:v>S10 p31</x:v>
      </x:c>
      <x:c r="U194" s="9" t="str">
        <x:f>IF(C194="","",IFERROR(INDEX('Taxonomy'!$G$9:$G$108,MATCH(D194,'Taxonomy'!$C$9:$C$108,0)),""))</x:f>
        <x:v>Building renovation</x:v>
      </x:c>
    </x:row>
    <x:row r="195" ht="44" customHeight="1">
      <x:c r="A195" s="1"/>
      <x:c r="B195" s="1"/>
      <x:c r="C195" s="8" t="str">
        <x:v>TST-F021-DNSH-POLL</x:v>
      </x:c>
      <x:c r="D195" s="8" t="str">
        <x:v>TAX-F021</x:v>
      </x:c>
      <x:c r="E195" s="8" t="str">
        <x:v>DNSH-POLL</x:v>
      </x:c>
      <x:c r="F195" s="8" t="str">
        <x:v>DNSH</x:v>
      </x:c>
      <x:c r="G195" s="8" t="str">
        <x:v>Applicable</x:v>
      </x:c>
      <x:c r="H195" s="8" t="str">
        <x:v>Pass</x:v>
      </x:c>
      <x:c r="I195" s="8" t="str">
        <x:v>SYN-TEST-F021-DNSH-POLL</x:v>
      </x:c>
      <x:c r="J195" s="8" t="str"/>
      <x:c r="K195" s="8" t="str">
        <x:v>Taxonomy analyst 3</x:v>
      </x:c>
      <x:c r="L195" s="8" t="str">
        <x:v>Taxonomy reviewer 1</x:v>
      </x:c>
      <x:c r="M195" s="10" t="n">
        <x:v>46266</x:v>
      </x:c>
      <x:c r="N195" s="10" t="n">
        <x:v>46631</x:v>
      </x:c>
      <x:c r="O195" s="8"/>
      <x:c r="P195" s="9" t="str">
        <x:f>IF(C195="","",IF(AND(G195="Applicable",H195="Fail"),"Fail",IF(R195&lt;&gt;"Valid","Pending",IF(OR(I195="",K195="",L195="",K195=L195,NOT(ISNUMBER(M195)),NOT(ISNUMBER(N195)),M195&gt;Settings!$F$8,N195&lt;Settings!$F$8,N195&lt;M195),"Pending",IF(AND(G195="Applicable",H195="Pass"),"Pass",IF(AND(G195="N/A",H195="N/A",J195&lt;&gt;"",OR(E195="CEM-FUELS",E195="CEM-CCS",AND(E195="CEM-PLAN",IFERROR(INDEX('Taxonomy'!$M$9:$M$108,MATCH(D195,'Taxonomy'!$C$9:$C$108,0)),"")&lt;&gt;"Amber"),E195="BLD-TIMBER",AND(U195="Building equipment",OR(E195="BLD-WATER",E195="BLD-WASTE",E195="BLD-LAND")),AND(U195="Building renovation",E195="BLD-LAND"))),"N/A","Pending"))))))</x:f>
        <x:v>Pass</x:v>
      </x:c>
      <x:c r="Q195" s="3" t="str">
        <x:f>IF(C195="","",IF(AND(R195="Valid",OR(P195="Pass",P195="N/A")),"Complete","Unresolved"))</x:f>
        <x:v>Complete</x:v>
      </x:c>
      <x:c r="R195" s="9" t="str">
        <x:f>IF(C195="","",IF(OR(COUNTIF($C$9:$C$2008,C195)&lt;&gt;1,COUNTIFS($D$9:$D$2008,D195,$E$9:$E$2008,E195)&lt;&gt;1),"Duplicate test",IF(COUNTIF('Taxonomy'!$C$9:$C$108,D195)&lt;&gt;1,"Assessment key",IF(OR(COUNTIF('Taxonomy Rules'!$C$42:$C$68,E195)&lt;&gt;1,F195&lt;&gt;IFERROR(INDEX('Taxonomy Rules'!$D$42:$D$68,MATCH(E195,'Taxonomy Rules'!$C$42:$C$68,0)),""),NOT(OR(IFERROR(INDEX('Taxonomy Rules'!$G$42:$G$68,MATCH(E195,'Taxonomy Rules'!$C$42:$C$68,0)),"")="All supported routes",IFERROR(INDEX('Taxonomy Rules'!$G$42:$G$68,MATCH(E195,'Taxonomy Rules'!$C$42:$C$68,0)),"")=U195,AND(IFERROR(INDEX('Taxonomy Rules'!$G$42:$G$68,MATCH(E195,'Taxonomy Rules'!$C$42:$C$68,0)),"")="Building routes",OR(U195="Building renovation",U195="New building",U195="Building equipment"))))),"Unexpected test","Valid"))))</x:f>
        <x:v>Valid</x:v>
      </x:c>
      <x:c r="S195" s="9" t="str">
        <x:f>IF(C195="","",IFERROR(INDEX('Taxonomy Rules'!$E$42:$E$68,MATCH(E195,'Taxonomy Rules'!$C$42:$C$68,0)),""))</x:f>
        <x:v>National pollution and prohibited-substance requirements; activity-specific limits.</x:v>
      </x:c>
      <x:c r="T195" s="9" t="str">
        <x:f>IF(C195="","",IFERROR(INDEX('Taxonomy Rules'!$F$42:$F$68,MATCH(E195,'Taxonomy Rules'!$C$42:$C$68,0)),""))</x:f>
        <x:v>S10 p31</x:v>
      </x:c>
      <x:c r="U195" s="9" t="str">
        <x:f>IF(C195="","",IFERROR(INDEX('Taxonomy'!$G$9:$G$108,MATCH(D195,'Taxonomy'!$C$9:$C$108,0)),""))</x:f>
        <x:v>Building renovation</x:v>
      </x:c>
    </x:row>
    <x:row r="196" ht="44" customHeight="1">
      <x:c r="A196" s="1"/>
      <x:c r="B196" s="1"/>
      <x:c r="C196" s="8" t="str">
        <x:v>TST-F021-DNSH-CIRC</x:v>
      </x:c>
      <x:c r="D196" s="8" t="str">
        <x:v>TAX-F021</x:v>
      </x:c>
      <x:c r="E196" s="8" t="str">
        <x:v>DNSH-CIRC</x:v>
      </x:c>
      <x:c r="F196" s="8" t="str">
        <x:v>DNSH</x:v>
      </x:c>
      <x:c r="G196" s="8" t="str">
        <x:v>Applicable</x:v>
      </x:c>
      <x:c r="H196" s="8" t="str">
        <x:v>Pass</x:v>
      </x:c>
      <x:c r="I196" s="8" t="str">
        <x:v>SYN-TEST-F021-DNSH-CIRC</x:v>
      </x:c>
      <x:c r="J196" s="8" t="str"/>
      <x:c r="K196" s="8" t="str">
        <x:v>Taxonomy analyst 3</x:v>
      </x:c>
      <x:c r="L196" s="8" t="str">
        <x:v>Taxonomy reviewer 1</x:v>
      </x:c>
      <x:c r="M196" s="10" t="n">
        <x:v>46266</x:v>
      </x:c>
      <x:c r="N196" s="10" t="n">
        <x:v>46631</x:v>
      </x:c>
      <x:c r="O196" s="8"/>
      <x:c r="P196" s="9" t="str">
        <x:f>IF(C196="","",IF(AND(G196="Applicable",H196="Fail"),"Fail",IF(R196&lt;&gt;"Valid","Pending",IF(OR(I196="",K196="",L196="",K196=L196,NOT(ISNUMBER(M196)),NOT(ISNUMBER(N196)),M196&gt;Settings!$F$8,N196&lt;Settings!$F$8,N196&lt;M196),"Pending",IF(AND(G196="Applicable",H196="Pass"),"Pass",IF(AND(G196="N/A",H196="N/A",J196&lt;&gt;"",OR(E196="CEM-FUELS",E196="CEM-CCS",AND(E196="CEM-PLAN",IFERROR(INDEX('Taxonomy'!$M$9:$M$108,MATCH(D196,'Taxonomy'!$C$9:$C$108,0)),"")&lt;&gt;"Amber"),E196="BLD-TIMBER",AND(U196="Building equipment",OR(E196="BLD-WATER",E196="BLD-WASTE",E196="BLD-LAND")),AND(U196="Building renovation",E196="BLD-LAND"))),"N/A","Pending"))))))</x:f>
        <x:v>Pass</x:v>
      </x:c>
      <x:c r="Q196" s="3" t="str">
        <x:f>IF(C196="","",IF(AND(R196="Valid",OR(P196="Pass",P196="N/A")),"Complete","Unresolved"))</x:f>
        <x:v>Complete</x:v>
      </x:c>
      <x:c r="R196" s="9" t="str">
        <x:f>IF(C196="","",IF(OR(COUNTIF($C$9:$C$2008,C196)&lt;&gt;1,COUNTIFS($D$9:$D$2008,D196,$E$9:$E$2008,E196)&lt;&gt;1),"Duplicate test",IF(COUNTIF('Taxonomy'!$C$9:$C$108,D196)&lt;&gt;1,"Assessment key",IF(OR(COUNTIF('Taxonomy Rules'!$C$42:$C$68,E196)&lt;&gt;1,F196&lt;&gt;IFERROR(INDEX('Taxonomy Rules'!$D$42:$D$68,MATCH(E196,'Taxonomy Rules'!$C$42:$C$68,0)),""),NOT(OR(IFERROR(INDEX('Taxonomy Rules'!$G$42:$G$68,MATCH(E196,'Taxonomy Rules'!$C$42:$C$68,0)),"")="All supported routes",IFERROR(INDEX('Taxonomy Rules'!$G$42:$G$68,MATCH(E196,'Taxonomy Rules'!$C$42:$C$68,0)),"")=U196,AND(IFERROR(INDEX('Taxonomy Rules'!$G$42:$G$68,MATCH(E196,'Taxonomy Rules'!$C$42:$C$68,0)),"")="Building routes",OR(U196="Building renovation",U196="New building",U196="Building equipment"))))),"Unexpected test","Valid"))))</x:f>
        <x:v>Valid</x:v>
      </x:c>
      <x:c r="S196" s="9" t="str">
        <x:f>IF(C196="","",IFERROR(INDEX('Taxonomy Rules'!$E$42:$E$68,MATCH(E196,'Taxonomy Rules'!$C$42:$C$68,0)),""))</x:f>
        <x:v>Waste hierarchy, resource efficiency, hazardous-waste traceability and end-of-life arrangements.</x:v>
      </x:c>
      <x:c r="T196" s="9" t="str">
        <x:f>IF(C196="","",IFERROR(INDEX('Taxonomy Rules'!$F$42:$F$68,MATCH(E196,'Taxonomy Rules'!$C$42:$C$68,0)),""))</x:f>
        <x:v>S10 p32</x:v>
      </x:c>
      <x:c r="U196" s="9" t="str">
        <x:f>IF(C196="","",IFERROR(INDEX('Taxonomy'!$G$9:$G$108,MATCH(D196,'Taxonomy'!$C$9:$C$108,0)),""))</x:f>
        <x:v>Building renovation</x:v>
      </x:c>
    </x:row>
    <x:row r="197" ht="44" customHeight="1">
      <x:c r="A197" s="1"/>
      <x:c r="B197" s="1"/>
      <x:c r="C197" s="8" t="str">
        <x:v>TST-F021-DNSH-BIO</x:v>
      </x:c>
      <x:c r="D197" s="8" t="str">
        <x:v>TAX-F021</x:v>
      </x:c>
      <x:c r="E197" s="8" t="str">
        <x:v>DNSH-BIO</x:v>
      </x:c>
      <x:c r="F197" s="8" t="str">
        <x:v>DNSH</x:v>
      </x:c>
      <x:c r="G197" s="8" t="str">
        <x:v>Applicable</x:v>
      </x:c>
      <x:c r="H197" s="8" t="str">
        <x:v>Pass</x:v>
      </x:c>
      <x:c r="I197" s="8" t="str">
        <x:v>SYN-TEST-F021-DNSH-BIO</x:v>
      </x:c>
      <x:c r="J197" s="8" t="str"/>
      <x:c r="K197" s="8" t="str">
        <x:v>Taxonomy analyst 3</x:v>
      </x:c>
      <x:c r="L197" s="8" t="str">
        <x:v>Taxonomy reviewer 1</x:v>
      </x:c>
      <x:c r="M197" s="10" t="n">
        <x:v>46266</x:v>
      </x:c>
      <x:c r="N197" s="10" t="n">
        <x:v>46631</x:v>
      </x:c>
      <x:c r="O197" s="8"/>
      <x:c r="P197" s="9" t="str">
        <x:f>IF(C197="","",IF(AND(G197="Applicable",H197="Fail"),"Fail",IF(R197&lt;&gt;"Valid","Pending",IF(OR(I197="",K197="",L197="",K197=L197,NOT(ISNUMBER(M197)),NOT(ISNUMBER(N197)),M197&gt;Settings!$F$8,N197&lt;Settings!$F$8,N197&lt;M197),"Pending",IF(AND(G197="Applicable",H197="Pass"),"Pass",IF(AND(G197="N/A",H197="N/A",J197&lt;&gt;"",OR(E197="CEM-FUELS",E197="CEM-CCS",AND(E197="CEM-PLAN",IFERROR(INDEX('Taxonomy'!$M$9:$M$108,MATCH(D197,'Taxonomy'!$C$9:$C$108,0)),"")&lt;&gt;"Amber"),E197="BLD-TIMBER",AND(U197="Building equipment",OR(E197="BLD-WATER",E197="BLD-WASTE",E197="BLD-LAND")),AND(U197="Building renovation",E197="BLD-LAND"))),"N/A","Pending"))))))</x:f>
        <x:v>Pass</x:v>
      </x:c>
      <x:c r="Q197" s="3" t="str">
        <x:f>IF(C197="","",IF(AND(R197="Valid",OR(P197="Pass",P197="N/A")),"Complete","Unresolved"))</x:f>
        <x:v>Complete</x:v>
      </x:c>
      <x:c r="R197" s="9" t="str">
        <x:f>IF(C197="","",IF(OR(COUNTIF($C$9:$C$2008,C197)&lt;&gt;1,COUNTIFS($D$9:$D$2008,D197,$E$9:$E$2008,E197)&lt;&gt;1),"Duplicate test",IF(COUNTIF('Taxonomy'!$C$9:$C$108,D197)&lt;&gt;1,"Assessment key",IF(OR(COUNTIF('Taxonomy Rules'!$C$42:$C$68,E197)&lt;&gt;1,F197&lt;&gt;IFERROR(INDEX('Taxonomy Rules'!$D$42:$D$68,MATCH(E197,'Taxonomy Rules'!$C$42:$C$68,0)),""),NOT(OR(IFERROR(INDEX('Taxonomy Rules'!$G$42:$G$68,MATCH(E197,'Taxonomy Rules'!$C$42:$C$68,0)),"")="All supported routes",IFERROR(INDEX('Taxonomy Rules'!$G$42:$G$68,MATCH(E197,'Taxonomy Rules'!$C$42:$C$68,0)),"")=U197,AND(IFERROR(INDEX('Taxonomy Rules'!$G$42:$G$68,MATCH(E197,'Taxonomy Rules'!$C$42:$C$68,0)),"")="Building routes",OR(U197="Building renovation",U197="New building",U197="Building equipment"))))),"Unexpected test","Valid"))))</x:f>
        <x:v>Valid</x:v>
      </x:c>
      <x:c r="S197" s="9" t="str">
        <x:f>IF(C197="","",IFERROR(INDEX('Taxonomy Rules'!$E$42:$E$68,MATCH(E197,'Taxonomy Rules'!$C$42:$C$68,0)),""))</x:f>
        <x:v>Required EIA, habitat screening and implemented mitigation.</x:v>
      </x:c>
      <x:c r="T197" s="9" t="str">
        <x:f>IF(C197="","",IFERROR(INDEX('Taxonomy Rules'!$F$42:$F$68,MATCH(E197,'Taxonomy Rules'!$C$42:$C$68,0)),""))</x:f>
        <x:v>S10 p32</x:v>
      </x:c>
      <x:c r="U197" s="9" t="str">
        <x:f>IF(C197="","",IFERROR(INDEX('Taxonomy'!$G$9:$G$108,MATCH(D197,'Taxonomy'!$C$9:$C$108,0)),""))</x:f>
        <x:v>Building renovation</x:v>
      </x:c>
    </x:row>
    <x:row r="198" ht="44" customHeight="1">
      <x:c r="A198" s="1"/>
      <x:c r="B198" s="1"/>
      <x:c r="C198" s="8" t="str">
        <x:v>TST-F021-MSS-LABOUR</x:v>
      </x:c>
      <x:c r="D198" s="8" t="str">
        <x:v>TAX-F021</x:v>
      </x:c>
      <x:c r="E198" s="8" t="str">
        <x:v>MSS-LABOUR</x:v>
      </x:c>
      <x:c r="F198" s="8" t="str">
        <x:v>MSS</x:v>
      </x:c>
      <x:c r="G198" s="8" t="str">
        <x:v>Applicable</x:v>
      </x:c>
      <x:c r="H198" s="8" t="str">
        <x:v>Pass</x:v>
      </x:c>
      <x:c r="I198" s="8" t="str">
        <x:v>SYN-TEST-F021-MSS-LABOUR</x:v>
      </x:c>
      <x:c r="J198" s="8" t="str"/>
      <x:c r="K198" s="8" t="str">
        <x:v>Taxonomy analyst 3</x:v>
      </x:c>
      <x:c r="L198" s="8" t="str">
        <x:v>Taxonomy reviewer 1</x:v>
      </x:c>
      <x:c r="M198" s="10" t="n">
        <x:v>46266</x:v>
      </x:c>
      <x:c r="N198" s="10" t="n">
        <x:v>46631</x:v>
      </x:c>
      <x:c r="O198" s="8"/>
      <x:c r="P198" s="9" t="str">
        <x:f>IF(C198="","",IF(AND(G198="Applicable",H198="Fail"),"Fail",IF(R198&lt;&gt;"Valid","Pending",IF(OR(I198="",K198="",L198="",K198=L198,NOT(ISNUMBER(M198)),NOT(ISNUMBER(N198)),M198&gt;Settings!$F$8,N198&lt;Settings!$F$8,N198&lt;M198),"Pending",IF(AND(G198="Applicable",H198="Pass"),"Pass",IF(AND(G198="N/A",H198="N/A",J198&lt;&gt;"",OR(E198="CEM-FUELS",E198="CEM-CCS",AND(E198="CEM-PLAN",IFERROR(INDEX('Taxonomy'!$M$9:$M$108,MATCH(D198,'Taxonomy'!$C$9:$C$108,0)),"")&lt;&gt;"Amber"),E198="BLD-TIMBER",AND(U198="Building equipment",OR(E198="BLD-WATER",E198="BLD-WASTE",E198="BLD-LAND")),AND(U198="Building renovation",E198="BLD-LAND"))),"N/A","Pending"))))))</x:f>
        <x:v>Pass</x:v>
      </x:c>
      <x:c r="Q198" s="3" t="str">
        <x:f>IF(C198="","",IF(AND(R198="Valid",OR(P198="Pass",P198="N/A")),"Complete","Unresolved"))</x:f>
        <x:v>Complete</x:v>
      </x:c>
      <x:c r="R198" s="9" t="str">
        <x:f>IF(C198="","",IF(OR(COUNTIF($C$9:$C$2008,C198)&lt;&gt;1,COUNTIFS($D$9:$D$2008,D198,$E$9:$E$2008,E198)&lt;&gt;1),"Duplicate test",IF(COUNTIF('Taxonomy'!$C$9:$C$108,D198)&lt;&gt;1,"Assessment key",IF(OR(COUNTIF('Taxonomy Rules'!$C$42:$C$68,E198)&lt;&gt;1,F198&lt;&gt;IFERROR(INDEX('Taxonomy Rules'!$D$42:$D$68,MATCH(E198,'Taxonomy Rules'!$C$42:$C$68,0)),""),NOT(OR(IFERROR(INDEX('Taxonomy Rules'!$G$42:$G$68,MATCH(E198,'Taxonomy Rules'!$C$42:$C$68,0)),"")="All supported routes",IFERROR(INDEX('Taxonomy Rules'!$G$42:$G$68,MATCH(E198,'Taxonomy Rules'!$C$42:$C$68,0)),"")=U198,AND(IFERROR(INDEX('Taxonomy Rules'!$G$42:$G$68,MATCH(E198,'Taxonomy Rules'!$C$42:$C$68,0)),"")="Building routes",OR(U198="Building renovation",U198="New building",U198="Building equipment"))))),"Unexpected test","Valid"))))</x:f>
        <x:v>Valid</x:v>
      </x:c>
      <x:c r="S198" s="9" t="str">
        <x:f>IF(C198="","",IFERROR(INDEX('Taxonomy Rules'!$E$42:$E$68,MATCH(E198,'Taxonomy Rules'!$C$42:$C$68,0)),""))</x:f>
        <x:v>Labour rights, minimum age, no child/forced labour, equality and worker representation.</x:v>
      </x:c>
      <x:c r="T198" s="9" t="str">
        <x:f>IF(C198="","",IFERROR(INDEX('Taxonomy Rules'!$F$42:$F$68,MATCH(E198,'Taxonomy Rules'!$C$42:$C$68,0)),""))</x:f>
        <x:v>S10 p29</x:v>
      </x:c>
      <x:c r="U198" s="9" t="str">
        <x:f>IF(C198="","",IFERROR(INDEX('Taxonomy'!$G$9:$G$108,MATCH(D198,'Taxonomy'!$C$9:$C$108,0)),""))</x:f>
        <x:v>Building renovation</x:v>
      </x:c>
    </x:row>
    <x:row r="199" ht="44" customHeight="1">
      <x:c r="A199" s="1"/>
      <x:c r="B199" s="1"/>
      <x:c r="C199" s="8" t="str">
        <x:v>TST-F021-MSS-OSH</x:v>
      </x:c>
      <x:c r="D199" s="8" t="str">
        <x:v>TAX-F021</x:v>
      </x:c>
      <x:c r="E199" s="8" t="str">
        <x:v>MSS-OSH</x:v>
      </x:c>
      <x:c r="F199" s="8" t="str">
        <x:v>MSS</x:v>
      </x:c>
      <x:c r="G199" s="8" t="str">
        <x:v>Applicable</x:v>
      </x:c>
      <x:c r="H199" s="8" t="str">
        <x:v>Pass</x:v>
      </x:c>
      <x:c r="I199" s="8" t="str">
        <x:v>SYN-TEST-F021-MSS-OSH</x:v>
      </x:c>
      <x:c r="J199" s="8" t="str"/>
      <x:c r="K199" s="8" t="str">
        <x:v>Taxonomy analyst 3</x:v>
      </x:c>
      <x:c r="L199" s="8" t="str">
        <x:v>Taxonomy reviewer 1</x:v>
      </x:c>
      <x:c r="M199" s="10" t="n">
        <x:v>46266</x:v>
      </x:c>
      <x:c r="N199" s="10" t="n">
        <x:v>46631</x:v>
      </x:c>
      <x:c r="O199" s="8"/>
      <x:c r="P199" s="9" t="str">
        <x:f>IF(C199="","",IF(AND(G199="Applicable",H199="Fail"),"Fail",IF(R199&lt;&gt;"Valid","Pending",IF(OR(I199="",K199="",L199="",K199=L199,NOT(ISNUMBER(M199)),NOT(ISNUMBER(N199)),M199&gt;Settings!$F$8,N199&lt;Settings!$F$8,N199&lt;M199),"Pending",IF(AND(G199="Applicable",H199="Pass"),"Pass",IF(AND(G199="N/A",H199="N/A",J199&lt;&gt;"",OR(E199="CEM-FUELS",E199="CEM-CCS",AND(E199="CEM-PLAN",IFERROR(INDEX('Taxonomy'!$M$9:$M$108,MATCH(D199,'Taxonomy'!$C$9:$C$108,0)),"")&lt;&gt;"Amber"),E199="BLD-TIMBER",AND(U199="Building equipment",OR(E199="BLD-WATER",E199="BLD-WASTE",E199="BLD-LAND")),AND(U199="Building renovation",E199="BLD-LAND"))),"N/A","Pending"))))))</x:f>
        <x:v>Pass</x:v>
      </x:c>
      <x:c r="Q199" s="3" t="str">
        <x:f>IF(C199="","",IF(AND(R199="Valid",OR(P199="Pass",P199="N/A")),"Complete","Unresolved"))</x:f>
        <x:v>Complete</x:v>
      </x:c>
      <x:c r="R199" s="9" t="str">
        <x:f>IF(C199="","",IF(OR(COUNTIF($C$9:$C$2008,C199)&lt;&gt;1,COUNTIFS($D$9:$D$2008,D199,$E$9:$E$2008,E199)&lt;&gt;1),"Duplicate test",IF(COUNTIF('Taxonomy'!$C$9:$C$108,D199)&lt;&gt;1,"Assessment key",IF(OR(COUNTIF('Taxonomy Rules'!$C$42:$C$68,E199)&lt;&gt;1,F199&lt;&gt;IFERROR(INDEX('Taxonomy Rules'!$D$42:$D$68,MATCH(E199,'Taxonomy Rules'!$C$42:$C$68,0)),""),NOT(OR(IFERROR(INDEX('Taxonomy Rules'!$G$42:$G$68,MATCH(E199,'Taxonomy Rules'!$C$42:$C$68,0)),"")="All supported routes",IFERROR(INDEX('Taxonomy Rules'!$G$42:$G$68,MATCH(E199,'Taxonomy Rules'!$C$42:$C$68,0)),"")=U199,AND(IFERROR(INDEX('Taxonomy Rules'!$G$42:$G$68,MATCH(E199,'Taxonomy Rules'!$C$42:$C$68,0)),"")="Building routes",OR(U199="Building renovation",U199="New building",U199="Building equipment"))))),"Unexpected test","Valid"))))</x:f>
        <x:v>Valid</x:v>
      </x:c>
      <x:c r="S199" s="9" t="str">
        <x:f>IF(C199="","",IFERROR(INDEX('Taxonomy Rules'!$E$42:$E$68,MATCH(E199,'Taxonomy Rules'!$C$42:$C$68,0)),""))</x:f>
        <x:v>Applicable occupational safety, hazard prevention and emergency readiness.</x:v>
      </x:c>
      <x:c r="T199" s="9" t="str">
        <x:f>IF(C199="","",IFERROR(INDEX('Taxonomy Rules'!$F$42:$F$68,MATCH(E199,'Taxonomy Rules'!$C$42:$C$68,0)),""))</x:f>
        <x:v>S10 p29</x:v>
      </x:c>
      <x:c r="U199" s="9" t="str">
        <x:f>IF(C199="","",IFERROR(INDEX('Taxonomy'!$G$9:$G$108,MATCH(D199,'Taxonomy'!$C$9:$C$108,0)),""))</x:f>
        <x:v>Building renovation</x:v>
      </x:c>
    </x:row>
    <x:row r="200" ht="44" customHeight="1">
      <x:c r="A200" s="1"/>
      <x:c r="B200" s="1"/>
      <x:c r="C200" s="8" t="str">
        <x:v>TST-F021-MSS-RIGHTS</x:v>
      </x:c>
      <x:c r="D200" s="8" t="str">
        <x:v>TAX-F021</x:v>
      </x:c>
      <x:c r="E200" s="8" t="str">
        <x:v>MSS-RIGHTS</x:v>
      </x:c>
      <x:c r="F200" s="8" t="str">
        <x:v>MSS</x:v>
      </x:c>
      <x:c r="G200" s="8" t="str">
        <x:v>Applicable</x:v>
      </x:c>
      <x:c r="H200" s="8" t="str">
        <x:v>Pass</x:v>
      </x:c>
      <x:c r="I200" s="8" t="str">
        <x:v>SYN-TEST-F021-MSS-RIGHTS</x:v>
      </x:c>
      <x:c r="J200" s="8" t="str"/>
      <x:c r="K200" s="8" t="str">
        <x:v>Taxonomy analyst 3</x:v>
      </x:c>
      <x:c r="L200" s="8" t="str">
        <x:v>Taxonomy reviewer 1</x:v>
      </x:c>
      <x:c r="M200" s="10" t="n">
        <x:v>46266</x:v>
      </x:c>
      <x:c r="N200" s="10" t="n">
        <x:v>46631</x:v>
      </x:c>
      <x:c r="O200" s="8"/>
      <x:c r="P200" s="9" t="str">
        <x:f>IF(C200="","",IF(AND(G200="Applicable",H200="Fail"),"Fail",IF(R200&lt;&gt;"Valid","Pending",IF(OR(I200="",K200="",L200="",K200=L200,NOT(ISNUMBER(M200)),NOT(ISNUMBER(N200)),M200&gt;Settings!$F$8,N200&lt;Settings!$F$8,N200&lt;M200),"Pending",IF(AND(G200="Applicable",H200="Pass"),"Pass",IF(AND(G200="N/A",H200="N/A",J200&lt;&gt;"",OR(E200="CEM-FUELS",E200="CEM-CCS",AND(E200="CEM-PLAN",IFERROR(INDEX('Taxonomy'!$M$9:$M$108,MATCH(D200,'Taxonomy'!$C$9:$C$108,0)),"")&lt;&gt;"Amber"),E200="BLD-TIMBER",AND(U200="Building equipment",OR(E200="BLD-WATER",E200="BLD-WASTE",E200="BLD-LAND")),AND(U200="Building renovation",E200="BLD-LAND"))),"N/A","Pending"))))))</x:f>
        <x:v>Pass</x:v>
      </x:c>
      <x:c r="Q200" s="3" t="str">
        <x:f>IF(C200="","",IF(AND(R200="Valid",OR(P200="Pass",P200="N/A")),"Complete","Unresolved"))</x:f>
        <x:v>Complete</x:v>
      </x:c>
      <x:c r="R200" s="9" t="str">
        <x:f>IF(C200="","",IF(OR(COUNTIF($C$9:$C$2008,C200)&lt;&gt;1,COUNTIFS($D$9:$D$2008,D200,$E$9:$E$2008,E200)&lt;&gt;1),"Duplicate test",IF(COUNTIF('Taxonomy'!$C$9:$C$108,D200)&lt;&gt;1,"Assessment key",IF(OR(COUNTIF('Taxonomy Rules'!$C$42:$C$68,E200)&lt;&gt;1,F200&lt;&gt;IFERROR(INDEX('Taxonomy Rules'!$D$42:$D$68,MATCH(E200,'Taxonomy Rules'!$C$42:$C$68,0)),""),NOT(OR(IFERROR(INDEX('Taxonomy Rules'!$G$42:$G$68,MATCH(E200,'Taxonomy Rules'!$C$42:$C$68,0)),"")="All supported routes",IFERROR(INDEX('Taxonomy Rules'!$G$42:$G$68,MATCH(E200,'Taxonomy Rules'!$C$42:$C$68,0)),"")=U200,AND(IFERROR(INDEX('Taxonomy Rules'!$G$42:$G$68,MATCH(E200,'Taxonomy Rules'!$C$42:$C$68,0)),"")="Building routes",OR(U200="Building renovation",U200="New building",U200="Building equipment"))))),"Unexpected test","Valid"))))</x:f>
        <x:v>Valid</x:v>
      </x:c>
      <x:c r="S200" s="9" t="str">
        <x:f>IF(C200="","",IFERROR(INDEX('Taxonomy Rules'!$E$42:$E$68,MATCH(E200,'Taxonomy Rules'!$C$42:$C$68,0)),""))</x:f>
        <x:v>Proportionate human-rights diligence, stakeholder/social-impact process and grievance mechanism.</x:v>
      </x:c>
      <x:c r="T200" s="9" t="str">
        <x:f>IF(C200="","",IFERROR(INDEX('Taxonomy Rules'!$F$42:$F$68,MATCH(E200,'Taxonomy Rules'!$C$42:$C$68,0)),""))</x:f>
        <x:v>S10 p29</x:v>
      </x:c>
      <x:c r="U200" s="9" t="str">
        <x:f>IF(C200="","",IFERROR(INDEX('Taxonomy'!$G$9:$G$108,MATCH(D200,'Taxonomy'!$C$9:$C$108,0)),""))</x:f>
        <x:v>Building renovation</x:v>
      </x:c>
    </x:row>
    <x:row r="201" ht="44" customHeight="1">
      <x:c r="A201" s="1"/>
      <x:c r="B201" s="1"/>
      <x:c r="C201" s="8" t="str">
        <x:v>TST-F021-REN-METHOD</x:v>
      </x:c>
      <x:c r="D201" s="8" t="str">
        <x:v>TAX-F021</x:v>
      </x:c>
      <x:c r="E201" s="8" t="str">
        <x:v>REN-METHOD</x:v>
      </x:c>
      <x:c r="F201" s="8" t="str">
        <x:v>Technical</x:v>
      </x:c>
      <x:c r="G201" s="8" t="str">
        <x:v>Applicable</x:v>
      </x:c>
      <x:c r="H201" s="8" t="str">
        <x:v>Pass</x:v>
      </x:c>
      <x:c r="I201" s="8" t="str">
        <x:v>SYN-TEST-F021-REN-METHOD</x:v>
      </x:c>
      <x:c r="J201" s="8" t="str"/>
      <x:c r="K201" s="8" t="str">
        <x:v>Taxonomy analyst 3</x:v>
      </x:c>
      <x:c r="L201" s="8" t="str">
        <x:v>Taxonomy reviewer 1</x:v>
      </x:c>
      <x:c r="M201" s="10" t="n">
        <x:v>46266</x:v>
      </x:c>
      <x:c r="N201" s="10" t="n">
        <x:v>46631</x:v>
      </x:c>
      <x:c r="O201" s="8"/>
      <x:c r="P201" s="9" t="str">
        <x:f>IF(C201="","",IF(AND(G201="Applicable",H201="Fail"),"Fail",IF(R201&lt;&gt;"Valid","Pending",IF(OR(I201="",K201="",L201="",K201=L201,NOT(ISNUMBER(M201)),NOT(ISNUMBER(N201)),M201&gt;Settings!$F$8,N201&lt;Settings!$F$8,N201&lt;M201),"Pending",IF(AND(G201="Applicable",H201="Pass"),"Pass",IF(AND(G201="N/A",H201="N/A",J201&lt;&gt;"",OR(E201="CEM-FUELS",E201="CEM-CCS",AND(E201="CEM-PLAN",IFERROR(INDEX('Taxonomy'!$M$9:$M$108,MATCH(D201,'Taxonomy'!$C$9:$C$108,0)),"")&lt;&gt;"Amber"),E201="BLD-TIMBER",AND(U201="Building equipment",OR(E201="BLD-WATER",E201="BLD-WASTE",E201="BLD-LAND")),AND(U201="Building renovation",E201="BLD-LAND"))),"N/A","Pending"))))))</x:f>
        <x:v>Pass</x:v>
      </x:c>
      <x:c r="Q201" s="3" t="str">
        <x:f>IF(C201="","",IF(AND(R201="Valid",OR(P201="Pass",P201="N/A")),"Complete","Unresolved"))</x:f>
        <x:v>Complete</x:v>
      </x:c>
      <x:c r="R201" s="9" t="str">
        <x:f>IF(C201="","",IF(OR(COUNTIF($C$9:$C$2008,C201)&lt;&gt;1,COUNTIFS($D$9:$D$2008,D201,$E$9:$E$2008,E201)&lt;&gt;1),"Duplicate test",IF(COUNTIF('Taxonomy'!$C$9:$C$108,D201)&lt;&gt;1,"Assessment key",IF(OR(COUNTIF('Taxonomy Rules'!$C$42:$C$68,E201)&lt;&gt;1,F201&lt;&gt;IFERROR(INDEX('Taxonomy Rules'!$D$42:$D$68,MATCH(E201,'Taxonomy Rules'!$C$42:$C$68,0)),""),NOT(OR(IFERROR(INDEX('Taxonomy Rules'!$G$42:$G$68,MATCH(E201,'Taxonomy Rules'!$C$42:$C$68,0)),"")="All supported routes",IFERROR(INDEX('Taxonomy Rules'!$G$42:$G$68,MATCH(E201,'Taxonomy Rules'!$C$42:$C$68,0)),"")=U201,AND(IFERROR(INDEX('Taxonomy Rules'!$G$42:$G$68,MATCH(E201,'Taxonomy Rules'!$C$42:$C$68,0)),"")="Building routes",OR(U201="Building renovation",U201="New building",U201="Building equipment"))))),"Unexpected test","Valid"))))</x:f>
        <x:v>Valid</x:v>
      </x:c>
      <x:c r="S201" s="9" t="str">
        <x:f>IF(C201="","",IFERROR(INDEX('Taxonomy Rules'!$E$42:$E$68,MATCH(E201,'Taxonomy Rules'!$C$42:$C$68,0)),""))</x:f>
        <x:v>Whole-building baseline adjusted for occupancy/weather; recognised method for floor area at least 1,000 m².</x:v>
      </x:c>
      <x:c r="T201" s="9" t="str">
        <x:f>IF(C201="","",IFERROR(INDEX('Taxonomy Rules'!$F$42:$F$68,MATCH(E201,'Taxonomy Rules'!$C$42:$C$68,0)),""))</x:f>
        <x:v>S10 p136</x:v>
      </x:c>
      <x:c r="U201" s="9" t="str">
        <x:f>IF(C201="","",IFERROR(INDEX('Taxonomy'!$G$9:$G$108,MATCH(D201,'Taxonomy'!$C$9:$C$108,0)),""))</x:f>
        <x:v>Building renovation</x:v>
      </x:c>
    </x:row>
    <x:row r="202" ht="44" customHeight="1">
      <x:c r="A202" s="1"/>
      <x:c r="B202" s="1"/>
      <x:c r="C202" s="8" t="str">
        <x:v>TST-F021-REN-ROUTE</x:v>
      </x:c>
      <x:c r="D202" s="8" t="str">
        <x:v>TAX-F021</x:v>
      </x:c>
      <x:c r="E202" s="8" t="str">
        <x:v>REN-ROUTE</x:v>
      </x:c>
      <x:c r="F202" s="8" t="str">
        <x:v>Technical</x:v>
      </x:c>
      <x:c r="G202" s="8" t="str">
        <x:v>Applicable</x:v>
      </x:c>
      <x:c r="H202" s="8" t="str">
        <x:v>Pass</x:v>
      </x:c>
      <x:c r="I202" s="8" t="str">
        <x:v>SYN-TEST-F021-REN-ROUTE</x:v>
      </x:c>
      <x:c r="J202" s="8" t="str"/>
      <x:c r="K202" s="8" t="str">
        <x:v>Taxonomy analyst 3</x:v>
      </x:c>
      <x:c r="L202" s="8" t="str">
        <x:v>Taxonomy reviewer 1</x:v>
      </x:c>
      <x:c r="M202" s="10" t="n">
        <x:v>46266</x:v>
      </x:c>
      <x:c r="N202" s="10" t="n">
        <x:v>46631</x:v>
      </x:c>
      <x:c r="O202" s="8"/>
      <x:c r="P202" s="9" t="str">
        <x:f>IF(C202="","",IF(AND(G202="Applicable",H202="Fail"),"Fail",IF(R202&lt;&gt;"Valid","Pending",IF(OR(I202="",K202="",L202="",K202=L202,NOT(ISNUMBER(M202)),NOT(ISNUMBER(N202)),M202&gt;Settings!$F$8,N202&lt;Settings!$F$8,N202&lt;M202),"Pending",IF(AND(G202="Applicable",H202="Pass"),"Pass",IF(AND(G202="N/A",H202="N/A",J202&lt;&gt;"",OR(E202="CEM-FUELS",E202="CEM-CCS",AND(E202="CEM-PLAN",IFERROR(INDEX('Taxonomy'!$M$9:$M$108,MATCH(D202,'Taxonomy'!$C$9:$C$108,0)),"")&lt;&gt;"Amber"),E202="BLD-TIMBER",AND(U202="Building equipment",OR(E202="BLD-WATER",E202="BLD-WASTE",E202="BLD-LAND")),AND(U202="Building renovation",E202="BLD-LAND"))),"N/A","Pending"))))))</x:f>
        <x:v>Pass</x:v>
      </x:c>
      <x:c r="Q202" s="3" t="str">
        <x:f>IF(C202="","",IF(AND(R202="Valid",OR(P202="Pass",P202="N/A")),"Complete","Unresolved"))</x:f>
        <x:v>Complete</x:v>
      </x:c>
      <x:c r="R202" s="9" t="str">
        <x:f>IF(C202="","",IF(OR(COUNTIF($C$9:$C$2008,C202)&lt;&gt;1,COUNTIFS($D$9:$D$2008,D202,$E$9:$E$2008,E202)&lt;&gt;1),"Duplicate test",IF(COUNTIF('Taxonomy'!$C$9:$C$108,D202)&lt;&gt;1,"Assessment key",IF(OR(COUNTIF('Taxonomy Rules'!$C$42:$C$68,E202)&lt;&gt;1,F202&lt;&gt;IFERROR(INDEX('Taxonomy Rules'!$D$42:$D$68,MATCH(E202,'Taxonomy Rules'!$C$42:$C$68,0)),""),NOT(OR(IFERROR(INDEX('Taxonomy Rules'!$G$42:$G$68,MATCH(E202,'Taxonomy Rules'!$C$42:$C$68,0)),"")="All supported routes",IFERROR(INDEX('Taxonomy Rules'!$G$42:$G$68,MATCH(E202,'Taxonomy Rules'!$C$42:$C$68,0)),"")=U202,AND(IFERROR(INDEX('Taxonomy Rules'!$G$42:$G$68,MATCH(E202,'Taxonomy Rules'!$C$42:$C$68,0)),"")="Building routes",OR(U202="Building renovation",U202="New building",U202="Building equipment"))))),"Unexpected test","Valid"))))</x:f>
        <x:v>Valid</x:v>
      </x:c>
      <x:c r="S202" s="9" t="str">
        <x:f>IF(C202="","",IFERROR(INDEX('Taxonomy Rules'!$E$42:$E$68,MATCH(E202,'Taxonomy Rules'!$C$42:$C$68,0)),""))</x:f>
        <x:v>Whole-building Green requires new-building criteria; Amber improvement route is separate. Certification not required solely for Amber.</x:v>
      </x:c>
      <x:c r="T202" s="9" t="str">
        <x:f>IF(C202="","",IFERROR(INDEX('Taxonomy Rules'!$F$42:$F$68,MATCH(E202,'Taxonomy Rules'!$C$42:$C$68,0)),""))</x:f>
        <x:v>S10 pp131,136</x:v>
      </x:c>
      <x:c r="U202" s="9" t="str">
        <x:f>IF(C202="","",IFERROR(INDEX('Taxonomy'!$G$9:$G$108,MATCH(D202,'Taxonomy'!$C$9:$C$108,0)),""))</x:f>
        <x:v>Building renovation</x:v>
      </x:c>
    </x:row>
    <x:row r="203" ht="44" customHeight="1">
      <x:c r="A203" s="1"/>
      <x:c r="B203" s="1"/>
      <x:c r="C203" s="8" t="str">
        <x:v>TST-F021-BLD-WATER</x:v>
      </x:c>
      <x:c r="D203" s="8" t="str">
        <x:v>TAX-F021</x:v>
      </x:c>
      <x:c r="E203" s="8" t="str">
        <x:v>BLD-WATER</x:v>
      </x:c>
      <x:c r="F203" s="8" t="str">
        <x:v>DNSH</x:v>
      </x:c>
      <x:c r="G203" s="8" t="str">
        <x:v>Applicable</x:v>
      </x:c>
      <x:c r="H203" s="8" t="str">
        <x:v>Pass</x:v>
      </x:c>
      <x:c r="I203" s="8" t="str">
        <x:v>SYN-TEST-F021-BLD-WATER</x:v>
      </x:c>
      <x:c r="J203" s="8" t="str"/>
      <x:c r="K203" s="8" t="str">
        <x:v>Taxonomy analyst 3</x:v>
      </x:c>
      <x:c r="L203" s="8" t="str">
        <x:v>Taxonomy reviewer 1</x:v>
      </x:c>
      <x:c r="M203" s="10" t="n">
        <x:v>46266</x:v>
      </x:c>
      <x:c r="N203" s="10" t="n">
        <x:v>46631</x:v>
      </x:c>
      <x:c r="O203" s="8"/>
      <x:c r="P203" s="9" t="str">
        <x:f>IF(C203="","",IF(AND(G203="Applicable",H203="Fail"),"Fail",IF(R203&lt;&gt;"Valid","Pending",IF(OR(I203="",K203="",L203="",K203=L203,NOT(ISNUMBER(M203)),NOT(ISNUMBER(N203)),M203&gt;Settings!$F$8,N203&lt;Settings!$F$8,N203&lt;M203),"Pending",IF(AND(G203="Applicable",H203="Pass"),"Pass",IF(AND(G203="N/A",H203="N/A",J203&lt;&gt;"",OR(E203="CEM-FUELS",E203="CEM-CCS",AND(E203="CEM-PLAN",IFERROR(INDEX('Taxonomy'!$M$9:$M$108,MATCH(D203,'Taxonomy'!$C$9:$C$108,0)),"")&lt;&gt;"Amber"),E203="BLD-TIMBER",AND(U203="Building equipment",OR(E203="BLD-WATER",E203="BLD-WASTE",E203="BLD-LAND")),AND(U203="Building renovation",E203="BLD-LAND"))),"N/A","Pending"))))))</x:f>
        <x:v>Pass</x:v>
      </x:c>
      <x:c r="Q203" s="3" t="str">
        <x:f>IF(C203="","",IF(AND(R203="Valid",OR(P203="Pass",P203="N/A")),"Complete","Unresolved"))</x:f>
        <x:v>Complete</x:v>
      </x:c>
      <x:c r="R203" s="9" t="str">
        <x:f>IF(C203="","",IF(OR(COUNTIF($C$9:$C$2008,C203)&lt;&gt;1,COUNTIFS($D$9:$D$2008,D203,$E$9:$E$2008,E203)&lt;&gt;1),"Duplicate test",IF(COUNTIF('Taxonomy'!$C$9:$C$108,D203)&lt;&gt;1,"Assessment key",IF(OR(COUNTIF('Taxonomy Rules'!$C$42:$C$68,E203)&lt;&gt;1,F203&lt;&gt;IFERROR(INDEX('Taxonomy Rules'!$D$42:$D$68,MATCH(E203,'Taxonomy Rules'!$C$42:$C$68,0)),""),NOT(OR(IFERROR(INDEX('Taxonomy Rules'!$G$42:$G$68,MATCH(E203,'Taxonomy Rules'!$C$42:$C$68,0)),"")="All supported routes",IFERROR(INDEX('Taxonomy Rules'!$G$42:$G$68,MATCH(E203,'Taxonomy Rules'!$C$42:$C$68,0)),"")=U203,AND(IFERROR(INDEX('Taxonomy Rules'!$G$42:$G$68,MATCH(E203,'Taxonomy Rules'!$C$42:$C$68,0)),"")="Building routes",OR(U203="Building renovation",U203="New building",U203="Building equipment"))))),"Unexpected test","Valid"))))</x:f>
        <x:v>Valid</x:v>
      </x:c>
      <x:c r="S203" s="9" t="str">
        <x:f>IF(C203="","",IFERROR(INDEX('Taxonomy Rules'!$E$42:$E$68,MATCH(E203,'Taxonomy Rules'!$C$42:$C$68,0)),""))</x:f>
        <x:v>Compliant water fittings under JSMO / recognised water-efficiency standards.</x:v>
      </x:c>
      <x:c r="T203" s="9" t="str">
        <x:f>IF(C203="","",IFERROR(INDEX('Taxonomy Rules'!$F$42:$F$68,MATCH(E203,'Taxonomy Rules'!$C$42:$C$68,0)),""))</x:f>
        <x:v>S10 p132</x:v>
      </x:c>
      <x:c r="U203" s="9" t="str">
        <x:f>IF(C203="","",IFERROR(INDEX('Taxonomy'!$G$9:$G$108,MATCH(D203,'Taxonomy'!$C$9:$C$108,0)),""))</x:f>
        <x:v>Building renovation</x:v>
      </x:c>
    </x:row>
    <x:row r="204" ht="44" customHeight="1">
      <x:c r="A204" s="1"/>
      <x:c r="B204" s="1"/>
      <x:c r="C204" s="8" t="str">
        <x:v>TST-F021-BLD-MATERIALS</x:v>
      </x:c>
      <x:c r="D204" s="8" t="str">
        <x:v>TAX-F021</x:v>
      </x:c>
      <x:c r="E204" s="8" t="str">
        <x:v>BLD-MATERIALS</x:v>
      </x:c>
      <x:c r="F204" s="8" t="str">
        <x:v>DNSH</x:v>
      </x:c>
      <x:c r="G204" s="8" t="str">
        <x:v>Applicable</x:v>
      </x:c>
      <x:c r="H204" s="8" t="str">
        <x:v>Pass</x:v>
      </x:c>
      <x:c r="I204" s="8" t="str">
        <x:v>SYN-TEST-F021-BLD-MATERIALS</x:v>
      </x:c>
      <x:c r="J204" s="8" t="str"/>
      <x:c r="K204" s="8" t="str">
        <x:v>Taxonomy analyst 3</x:v>
      </x:c>
      <x:c r="L204" s="8" t="str">
        <x:v>Taxonomy reviewer 1</x:v>
      </x:c>
      <x:c r="M204" s="10" t="n">
        <x:v>46266</x:v>
      </x:c>
      <x:c r="N204" s="10" t="n">
        <x:v>46631</x:v>
      </x:c>
      <x:c r="O204" s="8"/>
      <x:c r="P204" s="9" t="str">
        <x:f>IF(C204="","",IF(AND(G204="Applicable",H204="Fail"),"Fail",IF(R204&lt;&gt;"Valid","Pending",IF(OR(I204="",K204="",L204="",K204=L204,NOT(ISNUMBER(M204)),NOT(ISNUMBER(N204)),M204&gt;Settings!$F$8,N204&lt;Settings!$F$8,N204&lt;M204),"Pending",IF(AND(G204="Applicable",H204="Pass"),"Pass",IF(AND(G204="N/A",H204="N/A",J204&lt;&gt;"",OR(E204="CEM-FUELS",E204="CEM-CCS",AND(E204="CEM-PLAN",IFERROR(INDEX('Taxonomy'!$M$9:$M$108,MATCH(D204,'Taxonomy'!$C$9:$C$108,0)),"")&lt;&gt;"Amber"),E204="BLD-TIMBER",AND(U204="Building equipment",OR(E204="BLD-WATER",E204="BLD-WASTE",E204="BLD-LAND")),AND(U204="Building renovation",E204="BLD-LAND"))),"N/A","Pending"))))))</x:f>
        <x:v>Pass</x:v>
      </x:c>
      <x:c r="Q204" s="3" t="str">
        <x:f>IF(C204="","",IF(AND(R204="Valid",OR(P204="Pass",P204="N/A")),"Complete","Unresolved"))</x:f>
        <x:v>Complete</x:v>
      </x:c>
      <x:c r="R204" s="9" t="str">
        <x:f>IF(C204="","",IF(OR(COUNTIF($C$9:$C$2008,C204)&lt;&gt;1,COUNTIFS($D$9:$D$2008,D204,$E$9:$E$2008,E204)&lt;&gt;1),"Duplicate test",IF(COUNTIF('Taxonomy'!$C$9:$C$108,D204)&lt;&gt;1,"Assessment key",IF(OR(COUNTIF('Taxonomy Rules'!$C$42:$C$68,E204)&lt;&gt;1,F204&lt;&gt;IFERROR(INDEX('Taxonomy Rules'!$D$42:$D$68,MATCH(E204,'Taxonomy Rules'!$C$42:$C$68,0)),""),NOT(OR(IFERROR(INDEX('Taxonomy Rules'!$G$42:$G$68,MATCH(E204,'Taxonomy Rules'!$C$42:$C$68,0)),"")="All supported routes",IFERROR(INDEX('Taxonomy Rules'!$G$42:$G$68,MATCH(E204,'Taxonomy Rules'!$C$42:$C$68,0)),"")=U204,AND(IFERROR(INDEX('Taxonomy Rules'!$G$42:$G$68,MATCH(E204,'Taxonomy Rules'!$C$42:$C$68,0)),"")="Building routes",OR(U204="Building renovation",U204="New building",U204="Building equipment"))))),"Unexpected test","Valid"))))</x:f>
        <x:v>Valid</x:v>
      </x:c>
      <x:c r="S204" s="9" t="str">
        <x:f>IF(C204="","",IFERROR(INDEX('Taxonomy Rules'!$E$42:$E$68,MATCH(E204,'Taxonomy Rules'!$C$42:$C$68,0)),""))</x:f>
        <x:v>No asbestos; controlled hazardous substances; contamination and indoor-air checks as applicable.</x:v>
      </x:c>
      <x:c r="T204" s="9" t="str">
        <x:f>IF(C204="","",IFERROR(INDEX('Taxonomy Rules'!$F$42:$F$68,MATCH(E204,'Taxonomy Rules'!$C$42:$C$68,0)),""))</x:f>
        <x:v>S10 pp132–133</x:v>
      </x:c>
      <x:c r="U204" s="9" t="str">
        <x:f>IF(C204="","",IFERROR(INDEX('Taxonomy'!$G$9:$G$108,MATCH(D204,'Taxonomy'!$C$9:$C$108,0)),""))</x:f>
        <x:v>Building renovation</x:v>
      </x:c>
    </x:row>
    <x:row r="205" ht="44" customHeight="1">
      <x:c r="A205" s="1"/>
      <x:c r="B205" s="1"/>
      <x:c r="C205" s="8" t="str">
        <x:v>TST-F021-BLD-WASTE</x:v>
      </x:c>
      <x:c r="D205" s="8" t="str">
        <x:v>TAX-F021</x:v>
      </x:c>
      <x:c r="E205" s="8" t="str">
        <x:v>BLD-WASTE</x:v>
      </x:c>
      <x:c r="F205" s="8" t="str">
        <x:v>DNSH</x:v>
      </x:c>
      <x:c r="G205" s="8" t="str">
        <x:v>Applicable</x:v>
      </x:c>
      <x:c r="H205" s="8" t="str">
        <x:v>Pass</x:v>
      </x:c>
      <x:c r="I205" s="8" t="str">
        <x:v>SYN-TEST-F021-BLD-WASTE</x:v>
      </x:c>
      <x:c r="J205" s="8" t="str"/>
      <x:c r="K205" s="8" t="str">
        <x:v>Taxonomy analyst 3</x:v>
      </x:c>
      <x:c r="L205" s="8" t="str">
        <x:v>Taxonomy reviewer 1</x:v>
      </x:c>
      <x:c r="M205" s="10" t="n">
        <x:v>46266</x:v>
      </x:c>
      <x:c r="N205" s="10" t="n">
        <x:v>46631</x:v>
      </x:c>
      <x:c r="O205" s="8"/>
      <x:c r="P205" s="9" t="str">
        <x:f>IF(C205="","",IF(AND(G205="Applicable",H205="Fail"),"Fail",IF(R205&lt;&gt;"Valid","Pending",IF(OR(I205="",K205="",L205="",K205=L205,NOT(ISNUMBER(M205)),NOT(ISNUMBER(N205)),M205&gt;Settings!$F$8,N205&lt;Settings!$F$8,N205&lt;M205),"Pending",IF(AND(G205="Applicable",H205="Pass"),"Pass",IF(AND(G205="N/A",H205="N/A",J205&lt;&gt;"",OR(E205="CEM-FUELS",E205="CEM-CCS",AND(E205="CEM-PLAN",IFERROR(INDEX('Taxonomy'!$M$9:$M$108,MATCH(D205,'Taxonomy'!$C$9:$C$108,0)),"")&lt;&gt;"Amber"),E205="BLD-TIMBER",AND(U205="Building equipment",OR(E205="BLD-WATER",E205="BLD-WASTE",E205="BLD-LAND")),AND(U205="Building renovation",E205="BLD-LAND"))),"N/A","Pending"))))))</x:f>
        <x:v>Pass</x:v>
      </x:c>
      <x:c r="Q205" s="3" t="str">
        <x:f>IF(C205="","",IF(AND(R205="Valid",OR(P205="Pass",P205="N/A")),"Complete","Unresolved"))</x:f>
        <x:v>Complete</x:v>
      </x:c>
      <x:c r="R205" s="9" t="str">
        <x:f>IF(C205="","",IF(OR(COUNTIF($C$9:$C$2008,C205)&lt;&gt;1,COUNTIFS($D$9:$D$2008,D205,$E$9:$E$2008,E205)&lt;&gt;1),"Duplicate test",IF(COUNTIF('Taxonomy'!$C$9:$C$108,D205)&lt;&gt;1,"Assessment key",IF(OR(COUNTIF('Taxonomy Rules'!$C$42:$C$68,E205)&lt;&gt;1,F205&lt;&gt;IFERROR(INDEX('Taxonomy Rules'!$D$42:$D$68,MATCH(E205,'Taxonomy Rules'!$C$42:$C$68,0)),""),NOT(OR(IFERROR(INDEX('Taxonomy Rules'!$G$42:$G$68,MATCH(E205,'Taxonomy Rules'!$C$42:$C$68,0)),"")="All supported routes",IFERROR(INDEX('Taxonomy Rules'!$G$42:$G$68,MATCH(E205,'Taxonomy Rules'!$C$42:$C$68,0)),"")=U205,AND(IFERROR(INDEX('Taxonomy Rules'!$G$42:$G$68,MATCH(E205,'Taxonomy Rules'!$C$42:$C$68,0)),"")="Building routes",OR(U205="Building renovation",U205="New building",U205="Building equipment"))))),"Unexpected test","Valid"))))</x:f>
        <x:v>Valid</x:v>
      </x:c>
      <x:c r="S205" s="9" t="str">
        <x:f>IF(C205="","",IFERROR(INDEX('Taxonomy Rules'!$E$42:$E$68,MATCH(E205,'Taxonomy Rules'!$C$42:$C$68,0)),""))</x:f>
        <x:v>At least 40% by weight nonhazardous construction/demolition waste recovered; soil/stone excluded.</x:v>
      </x:c>
      <x:c r="T205" s="9" t="str">
        <x:f>IF(C205="","",IFERROR(INDEX('Taxonomy Rules'!$F$42:$F$68,MATCH(E205,'Taxonomy Rules'!$C$42:$C$68,0)),""))</x:f>
        <x:v>S10 p133</x:v>
      </x:c>
      <x:c r="U205" s="9" t="str">
        <x:f>IF(C205="","",IFERROR(INDEX('Taxonomy'!$G$9:$G$108,MATCH(D205,'Taxonomy'!$C$9:$C$108,0)),""))</x:f>
        <x:v>Building renovation</x:v>
      </x:c>
    </x:row>
    <x:row r="206" ht="44" customHeight="1">
      <x:c r="A206" s="1"/>
      <x:c r="B206" s="1"/>
      <x:c r="C206" s="8" t="str">
        <x:v>TST-F021-BLD-TIMBER</x:v>
      </x:c>
      <x:c r="D206" s="8" t="str">
        <x:v>TAX-F021</x:v>
      </x:c>
      <x:c r="E206" s="8" t="str">
        <x:v>BLD-TIMBER</x:v>
      </x:c>
      <x:c r="F206" s="8" t="str">
        <x:v>DNSH</x:v>
      </x:c>
      <x:c r="G206" s="8" t="str">
        <x:v>Applicable</x:v>
      </x:c>
      <x:c r="H206" s="8" t="str">
        <x:v>Pass</x:v>
      </x:c>
      <x:c r="I206" s="8" t="str">
        <x:v>SYN-TEST-F021-BLD-TIMBER</x:v>
      </x:c>
      <x:c r="J206" s="8" t="str"/>
      <x:c r="K206" s="8" t="str">
        <x:v>Taxonomy analyst 3</x:v>
      </x:c>
      <x:c r="L206" s="8" t="str">
        <x:v>Taxonomy reviewer 1</x:v>
      </x:c>
      <x:c r="M206" s="10" t="n">
        <x:v>46266</x:v>
      </x:c>
      <x:c r="N206" s="10" t="n">
        <x:v>46631</x:v>
      </x:c>
      <x:c r="O206" s="8"/>
      <x:c r="P206" s="9" t="str">
        <x:f>IF(C206="","",IF(AND(G206="Applicable",H206="Fail"),"Fail",IF(R206&lt;&gt;"Valid","Pending",IF(OR(I206="",K206="",L206="",K206=L206,NOT(ISNUMBER(M206)),NOT(ISNUMBER(N206)),M206&gt;Settings!$F$8,N206&lt;Settings!$F$8,N206&lt;M206),"Pending",IF(AND(G206="Applicable",H206="Pass"),"Pass",IF(AND(G206="N/A",H206="N/A",J206&lt;&gt;"",OR(E206="CEM-FUELS",E206="CEM-CCS",AND(E206="CEM-PLAN",IFERROR(INDEX('Taxonomy'!$M$9:$M$108,MATCH(D206,'Taxonomy'!$C$9:$C$108,0)),"")&lt;&gt;"Amber"),E206="BLD-TIMBER",AND(U206="Building equipment",OR(E206="BLD-WATER",E206="BLD-WASTE",E206="BLD-LAND")),AND(U206="Building renovation",E206="BLD-LAND"))),"N/A","Pending"))))))</x:f>
        <x:v>Pass</x:v>
      </x:c>
      <x:c r="Q206" s="3" t="str">
        <x:f>IF(C206="","",IF(AND(R206="Valid",OR(P206="Pass",P206="N/A")),"Complete","Unresolved"))</x:f>
        <x:v>Complete</x:v>
      </x:c>
      <x:c r="R206" s="9" t="str">
        <x:f>IF(C206="","",IF(OR(COUNTIF($C$9:$C$2008,C206)&lt;&gt;1,COUNTIFS($D$9:$D$2008,D206,$E$9:$E$2008,E206)&lt;&gt;1),"Duplicate test",IF(COUNTIF('Taxonomy'!$C$9:$C$108,D206)&lt;&gt;1,"Assessment key",IF(OR(COUNTIF('Taxonomy Rules'!$C$42:$C$68,E206)&lt;&gt;1,F206&lt;&gt;IFERROR(INDEX('Taxonomy Rules'!$D$42:$D$68,MATCH(E206,'Taxonomy Rules'!$C$42:$C$68,0)),""),NOT(OR(IFERROR(INDEX('Taxonomy Rules'!$G$42:$G$68,MATCH(E206,'Taxonomy Rules'!$C$42:$C$68,0)),"")="All supported routes",IFERROR(INDEX('Taxonomy Rules'!$G$42:$G$68,MATCH(E206,'Taxonomy Rules'!$C$42:$C$68,0)),"")=U206,AND(IFERROR(INDEX('Taxonomy Rules'!$G$42:$G$68,MATCH(E206,'Taxonomy Rules'!$C$42:$C$68,0)),"")="Building routes",OR(U206="Building renovation",U206="New building",U206="Building equipment"))))),"Unexpected test","Valid"))))</x:f>
        <x:v>Valid</x:v>
      </x:c>
      <x:c r="S206" s="9" t="str">
        <x:f>IF(C206="","",IFERROR(INDEX('Taxonomy Rules'!$E$42:$E$68,MATCH(E206,'Taxonomy Rules'!$C$42:$C$68,0)),""))</x:f>
        <x:v>At least 70% timber recycled/reused or certified sustainably sourced; justified N/A if no timber.</x:v>
      </x:c>
      <x:c r="T206" s="9" t="str">
        <x:f>IF(C206="","",IFERROR(INDEX('Taxonomy Rules'!$F$42:$F$68,MATCH(E206,'Taxonomy Rules'!$C$42:$C$68,0)),""))</x:f>
        <x:v>S10 p133</x:v>
      </x:c>
      <x:c r="U206" s="9" t="str">
        <x:f>IF(C206="","",IFERROR(INDEX('Taxonomy'!$G$9:$G$108,MATCH(D206,'Taxonomy'!$C$9:$C$108,0)),""))</x:f>
        <x:v>Building renovation</x:v>
      </x:c>
    </x:row>
    <x:row r="207" ht="44" customHeight="1">
      <x:c r="A207" s="1"/>
      <x:c r="B207" s="1"/>
      <x:c r="C207" s="8" t="str">
        <x:v>TST-F021-BLD-LAND</x:v>
      </x:c>
      <x:c r="D207" s="8" t="str">
        <x:v>TAX-F021</x:v>
      </x:c>
      <x:c r="E207" s="8" t="str">
        <x:v>BLD-LAND</x:v>
      </x:c>
      <x:c r="F207" s="8" t="str">
        <x:v>DNSH</x:v>
      </x:c>
      <x:c r="G207" s="8" t="str">
        <x:v>Applicable</x:v>
      </x:c>
      <x:c r="H207" s="8" t="str">
        <x:v>Pass</x:v>
      </x:c>
      <x:c r="I207" s="8" t="str">
        <x:v>SYN-TEST-F021-BLD-LAND</x:v>
      </x:c>
      <x:c r="J207" s="8" t="str"/>
      <x:c r="K207" s="8" t="str">
        <x:v>Taxonomy analyst 3</x:v>
      </x:c>
      <x:c r="L207" s="8" t="str">
        <x:v>Taxonomy reviewer 1</x:v>
      </x:c>
      <x:c r="M207" s="10" t="n">
        <x:v>46266</x:v>
      </x:c>
      <x:c r="N207" s="10" t="n">
        <x:v>46631</x:v>
      </x:c>
      <x:c r="O207" s="8"/>
      <x:c r="P207" s="9" t="str">
        <x:f>IF(C207="","",IF(AND(G207="Applicable",H207="Fail"),"Fail",IF(R207&lt;&gt;"Valid","Pending",IF(OR(I207="",K207="",L207="",K207=L207,NOT(ISNUMBER(M207)),NOT(ISNUMBER(N207)),M207&gt;Settings!$F$8,N207&lt;Settings!$F$8,N207&lt;M207),"Pending",IF(AND(G207="Applicable",H207="Pass"),"Pass",IF(AND(G207="N/A",H207="N/A",J207&lt;&gt;"",OR(E207="CEM-FUELS",E207="CEM-CCS",AND(E207="CEM-PLAN",IFERROR(INDEX('Taxonomy'!$M$9:$M$108,MATCH(D207,'Taxonomy'!$C$9:$C$108,0)),"")&lt;&gt;"Amber"),E207="BLD-TIMBER",AND(U207="Building equipment",OR(E207="BLD-WATER",E207="BLD-WASTE",E207="BLD-LAND")),AND(U207="Building renovation",E207="BLD-LAND"))),"N/A","Pending"))))))</x:f>
        <x:v>Pass</x:v>
      </x:c>
      <x:c r="Q207" s="3" t="str">
        <x:f>IF(C207="","",IF(AND(R207="Valid",OR(P207="Pass",P207="N/A")),"Complete","Unresolved"))</x:f>
        <x:v>Complete</x:v>
      </x:c>
      <x:c r="R207" s="9" t="str">
        <x:f>IF(C207="","",IF(OR(COUNTIF($C$9:$C$2008,C207)&lt;&gt;1,COUNTIFS($D$9:$D$2008,D207,$E$9:$E$2008,E207)&lt;&gt;1),"Duplicate test",IF(COUNTIF('Taxonomy'!$C$9:$C$108,D207)&lt;&gt;1,"Assessment key",IF(OR(COUNTIF('Taxonomy Rules'!$C$42:$C$68,E207)&lt;&gt;1,F207&lt;&gt;IFERROR(INDEX('Taxonomy Rules'!$D$42:$D$68,MATCH(E207,'Taxonomy Rules'!$C$42:$C$68,0)),""),NOT(OR(IFERROR(INDEX('Taxonomy Rules'!$G$42:$G$68,MATCH(E207,'Taxonomy Rules'!$C$42:$C$68,0)),"")="All supported routes",IFERROR(INDEX('Taxonomy Rules'!$G$42:$G$68,MATCH(E207,'Taxonomy Rules'!$C$42:$C$68,0)),"")=U207,AND(IFERROR(INDEX('Taxonomy Rules'!$G$42:$G$68,MATCH(E207,'Taxonomy Rules'!$C$42:$C$68,0)),"")="Building routes",OR(U207="Building renovation",U207="New building",U207="Building equipment"))))),"Unexpected test","Valid"))))</x:f>
        <x:v>Valid</x:v>
      </x:c>
      <x:c r="S207" s="9" t="str">
        <x:f>IF(C207="","",IFERROR(INDEX('Taxonomy Rules'!$E$42:$E$68,MATCH(E207,'Taxonomy Rules'!$C$42:$C$68,0)),""))</x:f>
        <x:v>Protected habitats, endangered species and forest conversion exclusions assessed.</x:v>
      </x:c>
      <x:c r="T207" s="9" t="str">
        <x:f>IF(C207="","",IFERROR(INDEX('Taxonomy Rules'!$F$42:$F$68,MATCH(E207,'Taxonomy Rules'!$C$42:$C$68,0)),""))</x:f>
        <x:v>S10 p133</x:v>
      </x:c>
      <x:c r="U207" s="9" t="str">
        <x:f>IF(C207="","",IFERROR(INDEX('Taxonomy'!$G$9:$G$108,MATCH(D207,'Taxonomy'!$C$9:$C$108,0)),""))</x:f>
        <x:v>Building renovation</x:v>
      </x:c>
    </x:row>
    <x:row r="208" ht="44" customHeight="1">
      <x:c r="A208" s="1"/>
      <x:c r="B208" s="1"/>
      <x:c r="C208" s="8" t="str">
        <x:v>TST-F022-SC-EVIDENCE</x:v>
      </x:c>
      <x:c r="D208" s="8" t="str">
        <x:v>TAX-F022</x:v>
      </x:c>
      <x:c r="E208" s="8" t="str">
        <x:v>SC-EVIDENCE</x:v>
      </x:c>
      <x:c r="F208" s="8" t="str">
        <x:v>Technical</x:v>
      </x:c>
      <x:c r="G208" s="8" t="str">
        <x:v>Applicable</x:v>
      </x:c>
      <x:c r="H208" s="8" t="str">
        <x:v>Pass</x:v>
      </x:c>
      <x:c r="I208" s="8" t="str">
        <x:v>SYN-TEST-F022-SC-EVIDENCE</x:v>
      </x:c>
      <x:c r="J208" s="8" t="str"/>
      <x:c r="K208" s="8" t="str">
        <x:v>Taxonomy analyst 1</x:v>
      </x:c>
      <x:c r="L208" s="8" t="str">
        <x:v>Taxonomy reviewer 2</x:v>
      </x:c>
      <x:c r="M208" s="10" t="n">
        <x:v>46266</x:v>
      </x:c>
      <x:c r="N208" s="10" t="n">
        <x:v>46631</x:v>
      </x:c>
      <x:c r="O208" s="8"/>
      <x:c r="P208" s="9" t="str">
        <x:f>IF(C208="","",IF(AND(G208="Applicable",H208="Fail"),"Fail",IF(R208&lt;&gt;"Valid","Pending",IF(OR(I208="",K208="",L208="",K208=L208,NOT(ISNUMBER(M208)),NOT(ISNUMBER(N208)),M208&gt;Settings!$F$8,N208&lt;Settings!$F$8,N208&lt;M208),"Pending",IF(AND(G208="Applicable",H208="Pass"),"Pass",IF(AND(G208="N/A",H208="N/A",J208&lt;&gt;"",OR(E208="CEM-FUELS",E208="CEM-CCS",AND(E208="CEM-PLAN",IFERROR(INDEX('Taxonomy'!$M$9:$M$108,MATCH(D208,'Taxonomy'!$C$9:$C$108,0)),"")&lt;&gt;"Amber"),E208="BLD-TIMBER",AND(U208="Building equipment",OR(E208="BLD-WATER",E208="BLD-WASTE",E208="BLD-LAND")),AND(U208="Building renovation",E208="BLD-LAND"))),"N/A","Pending"))))))</x:f>
        <x:v>Pass</x:v>
      </x:c>
      <x:c r="Q208" s="3" t="str">
        <x:f>IF(C208="","",IF(AND(R208="Valid",OR(P208="Pass",P208="N/A")),"Complete","Unresolved"))</x:f>
        <x:v>Complete</x:v>
      </x:c>
      <x:c r="R208" s="9" t="str">
        <x:f>IF(C208="","",IF(OR(COUNTIF($C$9:$C$2008,C208)&lt;&gt;1,COUNTIFS($D$9:$D$2008,D208,$E$9:$E$2008,E208)&lt;&gt;1),"Duplicate test",IF(COUNTIF('Taxonomy'!$C$9:$C$108,D208)&lt;&gt;1,"Assessment key",IF(OR(COUNTIF('Taxonomy Rules'!$C$42:$C$68,E208)&lt;&gt;1,F208&lt;&gt;IFERROR(INDEX('Taxonomy Rules'!$D$42:$D$68,MATCH(E208,'Taxonomy Rules'!$C$42:$C$68,0)),""),NOT(OR(IFERROR(INDEX('Taxonomy Rules'!$G$42:$G$68,MATCH(E208,'Taxonomy Rules'!$C$42:$C$68,0)),"")="All supported routes",IFERROR(INDEX('Taxonomy Rules'!$G$42:$G$68,MATCH(E208,'Taxonomy Rules'!$C$42:$C$68,0)),"")=U208,AND(IFERROR(INDEX('Taxonomy Rules'!$G$42:$G$68,MATCH(E208,'Taxonomy Rules'!$C$42:$C$68,0)),"")="Building routes",OR(U208="Building renovation",U208="New building",U208="Building equipment"))))),"Unexpected test","Valid"))))</x:f>
        <x:v>Valid</x:v>
      </x:c>
      <x:c r="S208" s="9" t="str">
        <x:f>IF(C208="","",IFERROR(INDEX('Taxonomy Rules'!$E$42:$E$68,MATCH(E208,'Taxonomy Rules'!$C$42:$C$68,0)),""))</x:f>
        <x:v>Boundary and chosen route are evidenced; observations match the activity card.</x:v>
      </x:c>
      <x:c r="T208" s="9" t="str">
        <x:f>IF(C208="","",IFERROR(INDEX('Taxonomy Rules'!$F$42:$F$68,MATCH(E208,'Taxonomy Rules'!$C$42:$C$68,0)),""))</x:f>
        <x:v>S10 activity card</x:v>
      </x:c>
      <x:c r="U208" s="9" t="str">
        <x:f>IF(C208="","",IFERROR(INDEX('Taxonomy'!$G$9:$G$108,MATCH(D208,'Taxonomy'!$C$9:$C$108,0)),""))</x:f>
        <x:v>Building renovation</x:v>
      </x:c>
    </x:row>
    <x:row r="209" ht="44" customHeight="1">
      <x:c r="A209" s="1"/>
      <x:c r="B209" s="1"/>
      <x:c r="C209" s="8" t="str">
        <x:v>TST-F022-DNSH-MIT</x:v>
      </x:c>
      <x:c r="D209" s="8" t="str">
        <x:v>TAX-F022</x:v>
      </x:c>
      <x:c r="E209" s="8" t="str">
        <x:v>DNSH-MIT</x:v>
      </x:c>
      <x:c r="F209" s="8" t="str">
        <x:v>DNSH</x:v>
      </x:c>
      <x:c r="G209" s="8" t="str">
        <x:v>Applicable</x:v>
      </x:c>
      <x:c r="H209" s="8" t="str">
        <x:v>Pass</x:v>
      </x:c>
      <x:c r="I209" s="8" t="str">
        <x:v>SYN-TEST-F022-DNSH-MIT</x:v>
      </x:c>
      <x:c r="J209" s="8" t="str"/>
      <x:c r="K209" s="8" t="str">
        <x:v>Taxonomy analyst 1</x:v>
      </x:c>
      <x:c r="L209" s="8" t="str">
        <x:v>Taxonomy reviewer 2</x:v>
      </x:c>
      <x:c r="M209" s="10" t="n">
        <x:v>46266</x:v>
      </x:c>
      <x:c r="N209" s="10" t="n">
        <x:v>46631</x:v>
      </x:c>
      <x:c r="O209" s="8"/>
      <x:c r="P209" s="9" t="str">
        <x:f>IF(C209="","",IF(AND(G209="Applicable",H209="Fail"),"Fail",IF(R209&lt;&gt;"Valid","Pending",IF(OR(I209="",K209="",L209="",K209=L209,NOT(ISNUMBER(M209)),NOT(ISNUMBER(N209)),M209&gt;Settings!$F$8,N209&lt;Settings!$F$8,N209&lt;M209),"Pending",IF(AND(G209="Applicable",H209="Pass"),"Pass",IF(AND(G209="N/A",H209="N/A",J209&lt;&gt;"",OR(E209="CEM-FUELS",E209="CEM-CCS",AND(E209="CEM-PLAN",IFERROR(INDEX('Taxonomy'!$M$9:$M$108,MATCH(D209,'Taxonomy'!$C$9:$C$108,0)),"")&lt;&gt;"Amber"),E209="BLD-TIMBER",AND(U209="Building equipment",OR(E209="BLD-WATER",E209="BLD-WASTE",E209="BLD-LAND")),AND(U209="Building renovation",E209="BLD-LAND"))),"N/A","Pending"))))))</x:f>
        <x:v>Pass</x:v>
      </x:c>
      <x:c r="Q209" s="3" t="str">
        <x:f>IF(C209="","",IF(AND(R209="Valid",OR(P209="Pass",P209="N/A")),"Complete","Unresolved"))</x:f>
        <x:v>Complete</x:v>
      </x:c>
      <x:c r="R209" s="9" t="str">
        <x:f>IF(C209="","",IF(OR(COUNTIF($C$9:$C$2008,C209)&lt;&gt;1,COUNTIFS($D$9:$D$2008,D209,$E$9:$E$2008,E209)&lt;&gt;1),"Duplicate test",IF(COUNTIF('Taxonomy'!$C$9:$C$108,D209)&lt;&gt;1,"Assessment key",IF(OR(COUNTIF('Taxonomy Rules'!$C$42:$C$68,E209)&lt;&gt;1,F209&lt;&gt;IFERROR(INDEX('Taxonomy Rules'!$D$42:$D$68,MATCH(E209,'Taxonomy Rules'!$C$42:$C$68,0)),""),NOT(OR(IFERROR(INDEX('Taxonomy Rules'!$G$42:$G$68,MATCH(E209,'Taxonomy Rules'!$C$42:$C$68,0)),"")="All supported routes",IFERROR(INDEX('Taxonomy Rules'!$G$42:$G$68,MATCH(E209,'Taxonomy Rules'!$C$42:$C$68,0)),"")=U209,AND(IFERROR(INDEX('Taxonomy Rules'!$G$42:$G$68,MATCH(E209,'Taxonomy Rules'!$C$42:$C$68,0)),"")="Building routes",OR(U209="Building renovation",U209="New building",U209="Building equipment"))))),"Unexpected test","Valid"))))</x:f>
        <x:v>Valid</x:v>
      </x:c>
      <x:c r="S209" s="9" t="str">
        <x:f>IF(C209="","",IFERROR(INDEX('Taxonomy Rules'!$E$42:$E$68,MATCH(E209,'Taxonomy Rules'!$C$42:$C$68,0)),""))</x:f>
        <x:v>No avoidable fossil lock-in; material lifecycle effects assessed.</x:v>
      </x:c>
      <x:c r="T209" s="9" t="str">
        <x:f>IF(C209="","",IFERROR(INDEX('Taxonomy Rules'!$F$42:$F$68,MATCH(E209,'Taxonomy Rules'!$C$42:$C$68,0)),""))</x:f>
        <x:v>S10 p30</x:v>
      </x:c>
      <x:c r="U209" s="9" t="str">
        <x:f>IF(C209="","",IFERROR(INDEX('Taxonomy'!$G$9:$G$108,MATCH(D209,'Taxonomy'!$C$9:$C$108,0)),""))</x:f>
        <x:v>Building renovation</x:v>
      </x:c>
    </x:row>
    <x:row r="210" ht="44" customHeight="1">
      <x:c r="A210" s="1"/>
      <x:c r="B210" s="1"/>
      <x:c r="C210" s="8" t="str">
        <x:v>TST-F022-DNSH-ADAPT</x:v>
      </x:c>
      <x:c r="D210" s="8" t="str">
        <x:v>TAX-F022</x:v>
      </x:c>
      <x:c r="E210" s="8" t="str">
        <x:v>DNSH-ADAPT</x:v>
      </x:c>
      <x:c r="F210" s="8" t="str">
        <x:v>DNSH</x:v>
      </x:c>
      <x:c r="G210" s="8" t="str">
        <x:v>Applicable</x:v>
      </x:c>
      <x:c r="H210" s="8" t="str">
        <x:v>Pass</x:v>
      </x:c>
      <x:c r="I210" s="8" t="str">
        <x:v>SYN-TEST-F022-DNSH-ADAPT</x:v>
      </x:c>
      <x:c r="J210" s="8" t="str"/>
      <x:c r="K210" s="8" t="str">
        <x:v>Taxonomy analyst 1</x:v>
      </x:c>
      <x:c r="L210" s="8" t="str">
        <x:v>Taxonomy reviewer 2</x:v>
      </x:c>
      <x:c r="M210" s="10" t="n">
        <x:v>46266</x:v>
      </x:c>
      <x:c r="N210" s="10" t="n">
        <x:v>46631</x:v>
      </x:c>
      <x:c r="O210" s="8"/>
      <x:c r="P210" s="9" t="str">
        <x:f>IF(C210="","",IF(AND(G210="Applicable",H210="Fail"),"Fail",IF(R210&lt;&gt;"Valid","Pending",IF(OR(I210="",K210="",L210="",K210=L210,NOT(ISNUMBER(M210)),NOT(ISNUMBER(N210)),M210&gt;Settings!$F$8,N210&lt;Settings!$F$8,N210&lt;M210),"Pending",IF(AND(G210="Applicable",H210="Pass"),"Pass",IF(AND(G210="N/A",H210="N/A",J210&lt;&gt;"",OR(E210="CEM-FUELS",E210="CEM-CCS",AND(E210="CEM-PLAN",IFERROR(INDEX('Taxonomy'!$M$9:$M$108,MATCH(D210,'Taxonomy'!$C$9:$C$108,0)),"")&lt;&gt;"Amber"),E210="BLD-TIMBER",AND(U210="Building equipment",OR(E210="BLD-WATER",E210="BLD-WASTE",E210="BLD-LAND")),AND(U210="Building renovation",E210="BLD-LAND"))),"N/A","Pending"))))))</x:f>
        <x:v>Pass</x:v>
      </x:c>
      <x:c r="Q210" s="3" t="str">
        <x:f>IF(C210="","",IF(AND(R210="Valid",OR(P210="Pass",P210="N/A")),"Complete","Unresolved"))</x:f>
        <x:v>Complete</x:v>
      </x:c>
      <x:c r="R210" s="9" t="str">
        <x:f>IF(C210="","",IF(OR(COUNTIF($C$9:$C$2008,C210)&lt;&gt;1,COUNTIFS($D$9:$D$2008,D210,$E$9:$E$2008,E210)&lt;&gt;1),"Duplicate test",IF(COUNTIF('Taxonomy'!$C$9:$C$108,D210)&lt;&gt;1,"Assessment key",IF(OR(COUNTIF('Taxonomy Rules'!$C$42:$C$68,E210)&lt;&gt;1,F210&lt;&gt;IFERROR(INDEX('Taxonomy Rules'!$D$42:$D$68,MATCH(E210,'Taxonomy Rules'!$C$42:$C$68,0)),""),NOT(OR(IFERROR(INDEX('Taxonomy Rules'!$G$42:$G$68,MATCH(E210,'Taxonomy Rules'!$C$42:$C$68,0)),"")="All supported routes",IFERROR(INDEX('Taxonomy Rules'!$G$42:$G$68,MATCH(E210,'Taxonomy Rules'!$C$42:$C$68,0)),"")=U210,AND(IFERROR(INDEX('Taxonomy Rules'!$G$42:$G$68,MATCH(E210,'Taxonomy Rules'!$C$42:$C$68,0)),"")="Building routes",OR(U210="Building renovation",U210="New building",U210="Building equipment"))))),"Unexpected test","Valid"))))</x:f>
        <x:v>Valid</x:v>
      </x:c>
      <x:c r="S210" s="9" t="str">
        <x:f>IF(C210="","",IFERROR(INDEX('Taxonomy Rules'!$E$42:$E$68,MATCH(E210,'Taxonomy Rules'!$C$42:$C$68,0)),""))</x:f>
        <x:v>Lifetime hazard screen, material risk assessment and implemented adaptation; no harm to others.</x:v>
      </x:c>
      <x:c r="T210" s="9" t="str">
        <x:f>IF(C210="","",IFERROR(INDEX('Taxonomy Rules'!$F$42:$F$68,MATCH(E210,'Taxonomy Rules'!$C$42:$C$68,0)),""))</x:f>
        <x:v>S10 pp30–31</x:v>
      </x:c>
      <x:c r="U210" s="9" t="str">
        <x:f>IF(C210="","",IFERROR(INDEX('Taxonomy'!$G$9:$G$108,MATCH(D210,'Taxonomy'!$C$9:$C$108,0)),""))</x:f>
        <x:v>Building renovation</x:v>
      </x:c>
    </x:row>
    <x:row r="211" ht="44" customHeight="1">
      <x:c r="A211" s="1"/>
      <x:c r="B211" s="1"/>
      <x:c r="C211" s="8" t="str">
        <x:v>TST-F022-DNSH-WATER</x:v>
      </x:c>
      <x:c r="D211" s="8" t="str">
        <x:v>TAX-F022</x:v>
      </x:c>
      <x:c r="E211" s="8" t="str">
        <x:v>DNSH-WATER</x:v>
      </x:c>
      <x:c r="F211" s="8" t="str">
        <x:v>DNSH</x:v>
      </x:c>
      <x:c r="G211" s="8" t="str">
        <x:v>Applicable</x:v>
      </x:c>
      <x:c r="H211" s="8" t="str">
        <x:v>Pass</x:v>
      </x:c>
      <x:c r="I211" s="8" t="str">
        <x:v>SYN-TEST-F022-DNSH-WATER</x:v>
      </x:c>
      <x:c r="J211" s="8" t="str"/>
      <x:c r="K211" s="8" t="str">
        <x:v>Taxonomy analyst 1</x:v>
      </x:c>
      <x:c r="L211" s="8" t="str">
        <x:v>Taxonomy reviewer 2</x:v>
      </x:c>
      <x:c r="M211" s="10" t="n">
        <x:v>46266</x:v>
      </x:c>
      <x:c r="N211" s="10" t="n">
        <x:v>46631</x:v>
      </x:c>
      <x:c r="O211" s="8"/>
      <x:c r="P211" s="9" t="str">
        <x:f>IF(C211="","",IF(AND(G211="Applicable",H211="Fail"),"Fail",IF(R211&lt;&gt;"Valid","Pending",IF(OR(I211="",K211="",L211="",K211=L211,NOT(ISNUMBER(M211)),NOT(ISNUMBER(N211)),M211&gt;Settings!$F$8,N211&lt;Settings!$F$8,N211&lt;M211),"Pending",IF(AND(G211="Applicable",H211="Pass"),"Pass",IF(AND(G211="N/A",H211="N/A",J211&lt;&gt;"",OR(E211="CEM-FUELS",E211="CEM-CCS",AND(E211="CEM-PLAN",IFERROR(INDEX('Taxonomy'!$M$9:$M$108,MATCH(D211,'Taxonomy'!$C$9:$C$108,0)),"")&lt;&gt;"Amber"),E211="BLD-TIMBER",AND(U211="Building equipment",OR(E211="BLD-WATER",E211="BLD-WASTE",E211="BLD-LAND")),AND(U211="Building renovation",E211="BLD-LAND"))),"N/A","Pending"))))))</x:f>
        <x:v>Pass</x:v>
      </x:c>
      <x:c r="Q211" s="3" t="str">
        <x:f>IF(C211="","",IF(AND(R211="Valid",OR(P211="Pass",P211="N/A")),"Complete","Unresolved"))</x:f>
        <x:v>Complete</x:v>
      </x:c>
      <x:c r="R211" s="9" t="str">
        <x:f>IF(C211="","",IF(OR(COUNTIF($C$9:$C$2008,C211)&lt;&gt;1,COUNTIFS($D$9:$D$2008,D211,$E$9:$E$2008,E211)&lt;&gt;1),"Duplicate test",IF(COUNTIF('Taxonomy'!$C$9:$C$108,D211)&lt;&gt;1,"Assessment key",IF(OR(COUNTIF('Taxonomy Rules'!$C$42:$C$68,E211)&lt;&gt;1,F211&lt;&gt;IFERROR(INDEX('Taxonomy Rules'!$D$42:$D$68,MATCH(E211,'Taxonomy Rules'!$C$42:$C$68,0)),""),NOT(OR(IFERROR(INDEX('Taxonomy Rules'!$G$42:$G$68,MATCH(E211,'Taxonomy Rules'!$C$42:$C$68,0)),"")="All supported routes",IFERROR(INDEX('Taxonomy Rules'!$G$42:$G$68,MATCH(E211,'Taxonomy Rules'!$C$42:$C$68,0)),"")=U211,AND(IFERROR(INDEX('Taxonomy Rules'!$G$42:$G$68,MATCH(E211,'Taxonomy Rules'!$C$42:$C$68,0)),"")="Building routes",OR(U211="Building renovation",U211="New building",U211="Building equipment"))))),"Unexpected test","Valid"))))</x:f>
        <x:v>Valid</x:v>
      </x:c>
      <x:c r="S211" s="9" t="str">
        <x:f>IF(C211="","",IFERROR(INDEX('Taxonomy Rules'!$E$42:$E$68,MATCH(E211,'Taxonomy Rules'!$C$42:$C$68,0)),""))</x:f>
        <x:v>Water permits, abstraction/discharge limits, required assessments and management measures.</x:v>
      </x:c>
      <x:c r="T211" s="9" t="str">
        <x:f>IF(C211="","",IFERROR(INDEX('Taxonomy Rules'!$F$42:$F$68,MATCH(E211,'Taxonomy Rules'!$C$42:$C$68,0)),""))</x:f>
        <x:v>S10 p31</x:v>
      </x:c>
      <x:c r="U211" s="9" t="str">
        <x:f>IF(C211="","",IFERROR(INDEX('Taxonomy'!$G$9:$G$108,MATCH(D211,'Taxonomy'!$C$9:$C$108,0)),""))</x:f>
        <x:v>Building renovation</x:v>
      </x:c>
    </x:row>
    <x:row r="212" ht="44" customHeight="1">
      <x:c r="A212" s="1"/>
      <x:c r="B212" s="1"/>
      <x:c r="C212" s="8" t="str">
        <x:v>TST-F022-DNSH-POLL</x:v>
      </x:c>
      <x:c r="D212" s="8" t="str">
        <x:v>TAX-F022</x:v>
      </x:c>
      <x:c r="E212" s="8" t="str">
        <x:v>DNSH-POLL</x:v>
      </x:c>
      <x:c r="F212" s="8" t="str">
        <x:v>DNSH</x:v>
      </x:c>
      <x:c r="G212" s="8" t="str">
        <x:v>Applicable</x:v>
      </x:c>
      <x:c r="H212" s="8" t="str">
        <x:v>Pass</x:v>
      </x:c>
      <x:c r="I212" s="8" t="str">
        <x:v>SYN-TEST-F022-DNSH-POLL</x:v>
      </x:c>
      <x:c r="J212" s="8" t="str"/>
      <x:c r="K212" s="8" t="str">
        <x:v>Taxonomy analyst 1</x:v>
      </x:c>
      <x:c r="L212" s="8" t="str">
        <x:v>Taxonomy reviewer 2</x:v>
      </x:c>
      <x:c r="M212" s="10" t="n">
        <x:v>46266</x:v>
      </x:c>
      <x:c r="N212" s="10" t="n">
        <x:v>46631</x:v>
      </x:c>
      <x:c r="O212" s="8"/>
      <x:c r="P212" s="9" t="str">
        <x:f>IF(C212="","",IF(AND(G212="Applicable",H212="Fail"),"Fail",IF(R212&lt;&gt;"Valid","Pending",IF(OR(I212="",K212="",L212="",K212=L212,NOT(ISNUMBER(M212)),NOT(ISNUMBER(N212)),M212&gt;Settings!$F$8,N212&lt;Settings!$F$8,N212&lt;M212),"Pending",IF(AND(G212="Applicable",H212="Pass"),"Pass",IF(AND(G212="N/A",H212="N/A",J212&lt;&gt;"",OR(E212="CEM-FUELS",E212="CEM-CCS",AND(E212="CEM-PLAN",IFERROR(INDEX('Taxonomy'!$M$9:$M$108,MATCH(D212,'Taxonomy'!$C$9:$C$108,0)),"")&lt;&gt;"Amber"),E212="BLD-TIMBER",AND(U212="Building equipment",OR(E212="BLD-WATER",E212="BLD-WASTE",E212="BLD-LAND")),AND(U212="Building renovation",E212="BLD-LAND"))),"N/A","Pending"))))))</x:f>
        <x:v>Pass</x:v>
      </x:c>
      <x:c r="Q212" s="3" t="str">
        <x:f>IF(C212="","",IF(AND(R212="Valid",OR(P212="Pass",P212="N/A")),"Complete","Unresolved"))</x:f>
        <x:v>Complete</x:v>
      </x:c>
      <x:c r="R212" s="9" t="str">
        <x:f>IF(C212="","",IF(OR(COUNTIF($C$9:$C$2008,C212)&lt;&gt;1,COUNTIFS($D$9:$D$2008,D212,$E$9:$E$2008,E212)&lt;&gt;1),"Duplicate test",IF(COUNTIF('Taxonomy'!$C$9:$C$108,D212)&lt;&gt;1,"Assessment key",IF(OR(COUNTIF('Taxonomy Rules'!$C$42:$C$68,E212)&lt;&gt;1,F212&lt;&gt;IFERROR(INDEX('Taxonomy Rules'!$D$42:$D$68,MATCH(E212,'Taxonomy Rules'!$C$42:$C$68,0)),""),NOT(OR(IFERROR(INDEX('Taxonomy Rules'!$G$42:$G$68,MATCH(E212,'Taxonomy Rules'!$C$42:$C$68,0)),"")="All supported routes",IFERROR(INDEX('Taxonomy Rules'!$G$42:$G$68,MATCH(E212,'Taxonomy Rules'!$C$42:$C$68,0)),"")=U212,AND(IFERROR(INDEX('Taxonomy Rules'!$G$42:$G$68,MATCH(E212,'Taxonomy Rules'!$C$42:$C$68,0)),"")="Building routes",OR(U212="Building renovation",U212="New building",U212="Building equipment"))))),"Unexpected test","Valid"))))</x:f>
        <x:v>Valid</x:v>
      </x:c>
      <x:c r="S212" s="9" t="str">
        <x:f>IF(C212="","",IFERROR(INDEX('Taxonomy Rules'!$E$42:$E$68,MATCH(E212,'Taxonomy Rules'!$C$42:$C$68,0)),""))</x:f>
        <x:v>National pollution and prohibited-substance requirements; activity-specific limits.</x:v>
      </x:c>
      <x:c r="T212" s="9" t="str">
        <x:f>IF(C212="","",IFERROR(INDEX('Taxonomy Rules'!$F$42:$F$68,MATCH(E212,'Taxonomy Rules'!$C$42:$C$68,0)),""))</x:f>
        <x:v>S10 p31</x:v>
      </x:c>
      <x:c r="U212" s="9" t="str">
        <x:f>IF(C212="","",IFERROR(INDEX('Taxonomy'!$G$9:$G$108,MATCH(D212,'Taxonomy'!$C$9:$C$108,0)),""))</x:f>
        <x:v>Building renovation</x:v>
      </x:c>
    </x:row>
    <x:row r="213" ht="44" customHeight="1">
      <x:c r="A213" s="1"/>
      <x:c r="B213" s="1"/>
      <x:c r="C213" s="8" t="str">
        <x:v>TST-F022-DNSH-CIRC</x:v>
      </x:c>
      <x:c r="D213" s="8" t="str">
        <x:v>TAX-F022</x:v>
      </x:c>
      <x:c r="E213" s="8" t="str">
        <x:v>DNSH-CIRC</x:v>
      </x:c>
      <x:c r="F213" s="8" t="str">
        <x:v>DNSH</x:v>
      </x:c>
      <x:c r="G213" s="8" t="str">
        <x:v>Applicable</x:v>
      </x:c>
      <x:c r="H213" s="8" t="str">
        <x:v>Pass</x:v>
      </x:c>
      <x:c r="I213" s="8" t="str">
        <x:v>SYN-TEST-F022-DNSH-CIRC</x:v>
      </x:c>
      <x:c r="J213" s="8" t="str"/>
      <x:c r="K213" s="8" t="str">
        <x:v>Taxonomy analyst 1</x:v>
      </x:c>
      <x:c r="L213" s="8" t="str">
        <x:v>Taxonomy reviewer 2</x:v>
      </x:c>
      <x:c r="M213" s="10" t="n">
        <x:v>46266</x:v>
      </x:c>
      <x:c r="N213" s="10" t="n">
        <x:v>46631</x:v>
      </x:c>
      <x:c r="O213" s="8"/>
      <x:c r="P213" s="9" t="str">
        <x:f>IF(C213="","",IF(AND(G213="Applicable",H213="Fail"),"Fail",IF(R213&lt;&gt;"Valid","Pending",IF(OR(I213="",K213="",L213="",K213=L213,NOT(ISNUMBER(M213)),NOT(ISNUMBER(N213)),M213&gt;Settings!$F$8,N213&lt;Settings!$F$8,N213&lt;M213),"Pending",IF(AND(G213="Applicable",H213="Pass"),"Pass",IF(AND(G213="N/A",H213="N/A",J213&lt;&gt;"",OR(E213="CEM-FUELS",E213="CEM-CCS",AND(E213="CEM-PLAN",IFERROR(INDEX('Taxonomy'!$M$9:$M$108,MATCH(D213,'Taxonomy'!$C$9:$C$108,0)),"")&lt;&gt;"Amber"),E213="BLD-TIMBER",AND(U213="Building equipment",OR(E213="BLD-WATER",E213="BLD-WASTE",E213="BLD-LAND")),AND(U213="Building renovation",E213="BLD-LAND"))),"N/A","Pending"))))))</x:f>
        <x:v>Pass</x:v>
      </x:c>
      <x:c r="Q213" s="3" t="str">
        <x:f>IF(C213="","",IF(AND(R213="Valid",OR(P213="Pass",P213="N/A")),"Complete","Unresolved"))</x:f>
        <x:v>Complete</x:v>
      </x:c>
      <x:c r="R213" s="9" t="str">
        <x:f>IF(C213="","",IF(OR(COUNTIF($C$9:$C$2008,C213)&lt;&gt;1,COUNTIFS($D$9:$D$2008,D213,$E$9:$E$2008,E213)&lt;&gt;1),"Duplicate test",IF(COUNTIF('Taxonomy'!$C$9:$C$108,D213)&lt;&gt;1,"Assessment key",IF(OR(COUNTIF('Taxonomy Rules'!$C$42:$C$68,E213)&lt;&gt;1,F213&lt;&gt;IFERROR(INDEX('Taxonomy Rules'!$D$42:$D$68,MATCH(E213,'Taxonomy Rules'!$C$42:$C$68,0)),""),NOT(OR(IFERROR(INDEX('Taxonomy Rules'!$G$42:$G$68,MATCH(E213,'Taxonomy Rules'!$C$42:$C$68,0)),"")="All supported routes",IFERROR(INDEX('Taxonomy Rules'!$G$42:$G$68,MATCH(E213,'Taxonomy Rules'!$C$42:$C$68,0)),"")=U213,AND(IFERROR(INDEX('Taxonomy Rules'!$G$42:$G$68,MATCH(E213,'Taxonomy Rules'!$C$42:$C$68,0)),"")="Building routes",OR(U213="Building renovation",U213="New building",U213="Building equipment"))))),"Unexpected test","Valid"))))</x:f>
        <x:v>Valid</x:v>
      </x:c>
      <x:c r="S213" s="9" t="str">
        <x:f>IF(C213="","",IFERROR(INDEX('Taxonomy Rules'!$E$42:$E$68,MATCH(E213,'Taxonomy Rules'!$C$42:$C$68,0)),""))</x:f>
        <x:v>Waste hierarchy, resource efficiency, hazardous-waste traceability and end-of-life arrangements.</x:v>
      </x:c>
      <x:c r="T213" s="9" t="str">
        <x:f>IF(C213="","",IFERROR(INDEX('Taxonomy Rules'!$F$42:$F$68,MATCH(E213,'Taxonomy Rules'!$C$42:$C$68,0)),""))</x:f>
        <x:v>S10 p32</x:v>
      </x:c>
      <x:c r="U213" s="9" t="str">
        <x:f>IF(C213="","",IFERROR(INDEX('Taxonomy'!$G$9:$G$108,MATCH(D213,'Taxonomy'!$C$9:$C$108,0)),""))</x:f>
        <x:v>Building renovation</x:v>
      </x:c>
    </x:row>
    <x:row r="214" ht="44" customHeight="1">
      <x:c r="A214" s="1"/>
      <x:c r="B214" s="1"/>
      <x:c r="C214" s="8" t="str">
        <x:v>TST-F022-DNSH-BIO</x:v>
      </x:c>
      <x:c r="D214" s="8" t="str">
        <x:v>TAX-F022</x:v>
      </x:c>
      <x:c r="E214" s="8" t="str">
        <x:v>DNSH-BIO</x:v>
      </x:c>
      <x:c r="F214" s="8" t="str">
        <x:v>DNSH</x:v>
      </x:c>
      <x:c r="G214" s="8" t="str">
        <x:v>Applicable</x:v>
      </x:c>
      <x:c r="H214" s="8" t="str">
        <x:v>Pass</x:v>
      </x:c>
      <x:c r="I214" s="8" t="str">
        <x:v>SYN-TEST-F022-DNSH-BIO</x:v>
      </x:c>
      <x:c r="J214" s="8" t="str"/>
      <x:c r="K214" s="8" t="str">
        <x:v>Taxonomy analyst 1</x:v>
      </x:c>
      <x:c r="L214" s="8" t="str">
        <x:v>Taxonomy reviewer 2</x:v>
      </x:c>
      <x:c r="M214" s="10" t="n">
        <x:v>46266</x:v>
      </x:c>
      <x:c r="N214" s="10" t="n">
        <x:v>46631</x:v>
      </x:c>
      <x:c r="O214" s="8"/>
      <x:c r="P214" s="9" t="str">
        <x:f>IF(C214="","",IF(AND(G214="Applicable",H214="Fail"),"Fail",IF(R214&lt;&gt;"Valid","Pending",IF(OR(I214="",K214="",L214="",K214=L214,NOT(ISNUMBER(M214)),NOT(ISNUMBER(N214)),M214&gt;Settings!$F$8,N214&lt;Settings!$F$8,N214&lt;M214),"Pending",IF(AND(G214="Applicable",H214="Pass"),"Pass",IF(AND(G214="N/A",H214="N/A",J214&lt;&gt;"",OR(E214="CEM-FUELS",E214="CEM-CCS",AND(E214="CEM-PLAN",IFERROR(INDEX('Taxonomy'!$M$9:$M$108,MATCH(D214,'Taxonomy'!$C$9:$C$108,0)),"")&lt;&gt;"Amber"),E214="BLD-TIMBER",AND(U214="Building equipment",OR(E214="BLD-WATER",E214="BLD-WASTE",E214="BLD-LAND")),AND(U214="Building renovation",E214="BLD-LAND"))),"N/A","Pending"))))))</x:f>
        <x:v>Pass</x:v>
      </x:c>
      <x:c r="Q214" s="3" t="str">
        <x:f>IF(C214="","",IF(AND(R214="Valid",OR(P214="Pass",P214="N/A")),"Complete","Unresolved"))</x:f>
        <x:v>Complete</x:v>
      </x:c>
      <x:c r="R214" s="9" t="str">
        <x:f>IF(C214="","",IF(OR(COUNTIF($C$9:$C$2008,C214)&lt;&gt;1,COUNTIFS($D$9:$D$2008,D214,$E$9:$E$2008,E214)&lt;&gt;1),"Duplicate test",IF(COUNTIF('Taxonomy'!$C$9:$C$108,D214)&lt;&gt;1,"Assessment key",IF(OR(COUNTIF('Taxonomy Rules'!$C$42:$C$68,E214)&lt;&gt;1,F214&lt;&gt;IFERROR(INDEX('Taxonomy Rules'!$D$42:$D$68,MATCH(E214,'Taxonomy Rules'!$C$42:$C$68,0)),""),NOT(OR(IFERROR(INDEX('Taxonomy Rules'!$G$42:$G$68,MATCH(E214,'Taxonomy Rules'!$C$42:$C$68,0)),"")="All supported routes",IFERROR(INDEX('Taxonomy Rules'!$G$42:$G$68,MATCH(E214,'Taxonomy Rules'!$C$42:$C$68,0)),"")=U214,AND(IFERROR(INDEX('Taxonomy Rules'!$G$42:$G$68,MATCH(E214,'Taxonomy Rules'!$C$42:$C$68,0)),"")="Building routes",OR(U214="Building renovation",U214="New building",U214="Building equipment"))))),"Unexpected test","Valid"))))</x:f>
        <x:v>Valid</x:v>
      </x:c>
      <x:c r="S214" s="9" t="str">
        <x:f>IF(C214="","",IFERROR(INDEX('Taxonomy Rules'!$E$42:$E$68,MATCH(E214,'Taxonomy Rules'!$C$42:$C$68,0)),""))</x:f>
        <x:v>Required EIA, habitat screening and implemented mitigation.</x:v>
      </x:c>
      <x:c r="T214" s="9" t="str">
        <x:f>IF(C214="","",IFERROR(INDEX('Taxonomy Rules'!$F$42:$F$68,MATCH(E214,'Taxonomy Rules'!$C$42:$C$68,0)),""))</x:f>
        <x:v>S10 p32</x:v>
      </x:c>
      <x:c r="U214" s="9" t="str">
        <x:f>IF(C214="","",IFERROR(INDEX('Taxonomy'!$G$9:$G$108,MATCH(D214,'Taxonomy'!$C$9:$C$108,0)),""))</x:f>
        <x:v>Building renovation</x:v>
      </x:c>
    </x:row>
    <x:row r="215" ht="44" customHeight="1">
      <x:c r="A215" s="1"/>
      <x:c r="B215" s="1"/>
      <x:c r="C215" s="8" t="str">
        <x:v>TST-F022-MSS-LABOUR</x:v>
      </x:c>
      <x:c r="D215" s="8" t="str">
        <x:v>TAX-F022</x:v>
      </x:c>
      <x:c r="E215" s="8" t="str">
        <x:v>MSS-LABOUR</x:v>
      </x:c>
      <x:c r="F215" s="8" t="str">
        <x:v>MSS</x:v>
      </x:c>
      <x:c r="G215" s="8" t="str">
        <x:v>Applicable</x:v>
      </x:c>
      <x:c r="H215" s="8" t="str">
        <x:v>Pass</x:v>
      </x:c>
      <x:c r="I215" s="8" t="str">
        <x:v>SYN-TEST-F022-MSS-LABOUR</x:v>
      </x:c>
      <x:c r="J215" s="8" t="str"/>
      <x:c r="K215" s="8" t="str">
        <x:v>Taxonomy analyst 1</x:v>
      </x:c>
      <x:c r="L215" s="8" t="str">
        <x:v>Taxonomy reviewer 2</x:v>
      </x:c>
      <x:c r="M215" s="10" t="n">
        <x:v>46266</x:v>
      </x:c>
      <x:c r="N215" s="10" t="n">
        <x:v>46631</x:v>
      </x:c>
      <x:c r="O215" s="8"/>
      <x:c r="P215" s="9" t="str">
        <x:f>IF(C215="","",IF(AND(G215="Applicable",H215="Fail"),"Fail",IF(R215&lt;&gt;"Valid","Pending",IF(OR(I215="",K215="",L215="",K215=L215,NOT(ISNUMBER(M215)),NOT(ISNUMBER(N215)),M215&gt;Settings!$F$8,N215&lt;Settings!$F$8,N215&lt;M215),"Pending",IF(AND(G215="Applicable",H215="Pass"),"Pass",IF(AND(G215="N/A",H215="N/A",J215&lt;&gt;"",OR(E215="CEM-FUELS",E215="CEM-CCS",AND(E215="CEM-PLAN",IFERROR(INDEX('Taxonomy'!$M$9:$M$108,MATCH(D215,'Taxonomy'!$C$9:$C$108,0)),"")&lt;&gt;"Amber"),E215="BLD-TIMBER",AND(U215="Building equipment",OR(E215="BLD-WATER",E215="BLD-WASTE",E215="BLD-LAND")),AND(U215="Building renovation",E215="BLD-LAND"))),"N/A","Pending"))))))</x:f>
        <x:v>Pass</x:v>
      </x:c>
      <x:c r="Q215" s="3" t="str">
        <x:f>IF(C215="","",IF(AND(R215="Valid",OR(P215="Pass",P215="N/A")),"Complete","Unresolved"))</x:f>
        <x:v>Complete</x:v>
      </x:c>
      <x:c r="R215" s="9" t="str">
        <x:f>IF(C215="","",IF(OR(COUNTIF($C$9:$C$2008,C215)&lt;&gt;1,COUNTIFS($D$9:$D$2008,D215,$E$9:$E$2008,E215)&lt;&gt;1),"Duplicate test",IF(COUNTIF('Taxonomy'!$C$9:$C$108,D215)&lt;&gt;1,"Assessment key",IF(OR(COUNTIF('Taxonomy Rules'!$C$42:$C$68,E215)&lt;&gt;1,F215&lt;&gt;IFERROR(INDEX('Taxonomy Rules'!$D$42:$D$68,MATCH(E215,'Taxonomy Rules'!$C$42:$C$68,0)),""),NOT(OR(IFERROR(INDEX('Taxonomy Rules'!$G$42:$G$68,MATCH(E215,'Taxonomy Rules'!$C$42:$C$68,0)),"")="All supported routes",IFERROR(INDEX('Taxonomy Rules'!$G$42:$G$68,MATCH(E215,'Taxonomy Rules'!$C$42:$C$68,0)),"")=U215,AND(IFERROR(INDEX('Taxonomy Rules'!$G$42:$G$68,MATCH(E215,'Taxonomy Rules'!$C$42:$C$68,0)),"")="Building routes",OR(U215="Building renovation",U215="New building",U215="Building equipment"))))),"Unexpected test","Valid"))))</x:f>
        <x:v>Valid</x:v>
      </x:c>
      <x:c r="S215" s="9" t="str">
        <x:f>IF(C215="","",IFERROR(INDEX('Taxonomy Rules'!$E$42:$E$68,MATCH(E215,'Taxonomy Rules'!$C$42:$C$68,0)),""))</x:f>
        <x:v>Labour rights, minimum age, no child/forced labour, equality and worker representation.</x:v>
      </x:c>
      <x:c r="T215" s="9" t="str">
        <x:f>IF(C215="","",IFERROR(INDEX('Taxonomy Rules'!$F$42:$F$68,MATCH(E215,'Taxonomy Rules'!$C$42:$C$68,0)),""))</x:f>
        <x:v>S10 p29</x:v>
      </x:c>
      <x:c r="U215" s="9" t="str">
        <x:f>IF(C215="","",IFERROR(INDEX('Taxonomy'!$G$9:$G$108,MATCH(D215,'Taxonomy'!$C$9:$C$108,0)),""))</x:f>
        <x:v>Building renovation</x:v>
      </x:c>
    </x:row>
    <x:row r="216" ht="44" customHeight="1">
      <x:c r="A216" s="1"/>
      <x:c r="B216" s="1"/>
      <x:c r="C216" s="8" t="str">
        <x:v>TST-F022-MSS-OSH</x:v>
      </x:c>
      <x:c r="D216" s="8" t="str">
        <x:v>TAX-F022</x:v>
      </x:c>
      <x:c r="E216" s="8" t="str">
        <x:v>MSS-OSH</x:v>
      </x:c>
      <x:c r="F216" s="8" t="str">
        <x:v>MSS</x:v>
      </x:c>
      <x:c r="G216" s="8" t="str">
        <x:v>Applicable</x:v>
      </x:c>
      <x:c r="H216" s="8" t="str">
        <x:v>Pass</x:v>
      </x:c>
      <x:c r="I216" s="8" t="str">
        <x:v>SYN-TEST-F022-MSS-OSH</x:v>
      </x:c>
      <x:c r="J216" s="8" t="str"/>
      <x:c r="K216" s="8" t="str">
        <x:v>Taxonomy analyst 1</x:v>
      </x:c>
      <x:c r="L216" s="8" t="str">
        <x:v>Taxonomy reviewer 2</x:v>
      </x:c>
      <x:c r="M216" s="10" t="n">
        <x:v>46266</x:v>
      </x:c>
      <x:c r="N216" s="10" t="n">
        <x:v>46631</x:v>
      </x:c>
      <x:c r="O216" s="8"/>
      <x:c r="P216" s="9" t="str">
        <x:f>IF(C216="","",IF(AND(G216="Applicable",H216="Fail"),"Fail",IF(R216&lt;&gt;"Valid","Pending",IF(OR(I216="",K216="",L216="",K216=L216,NOT(ISNUMBER(M216)),NOT(ISNUMBER(N216)),M216&gt;Settings!$F$8,N216&lt;Settings!$F$8,N216&lt;M216),"Pending",IF(AND(G216="Applicable",H216="Pass"),"Pass",IF(AND(G216="N/A",H216="N/A",J216&lt;&gt;"",OR(E216="CEM-FUELS",E216="CEM-CCS",AND(E216="CEM-PLAN",IFERROR(INDEX('Taxonomy'!$M$9:$M$108,MATCH(D216,'Taxonomy'!$C$9:$C$108,0)),"")&lt;&gt;"Amber"),E216="BLD-TIMBER",AND(U216="Building equipment",OR(E216="BLD-WATER",E216="BLD-WASTE",E216="BLD-LAND")),AND(U216="Building renovation",E216="BLD-LAND"))),"N/A","Pending"))))))</x:f>
        <x:v>Pass</x:v>
      </x:c>
      <x:c r="Q216" s="3" t="str">
        <x:f>IF(C216="","",IF(AND(R216="Valid",OR(P216="Pass",P216="N/A")),"Complete","Unresolved"))</x:f>
        <x:v>Complete</x:v>
      </x:c>
      <x:c r="R216" s="9" t="str">
        <x:f>IF(C216="","",IF(OR(COUNTIF($C$9:$C$2008,C216)&lt;&gt;1,COUNTIFS($D$9:$D$2008,D216,$E$9:$E$2008,E216)&lt;&gt;1),"Duplicate test",IF(COUNTIF('Taxonomy'!$C$9:$C$108,D216)&lt;&gt;1,"Assessment key",IF(OR(COUNTIF('Taxonomy Rules'!$C$42:$C$68,E216)&lt;&gt;1,F216&lt;&gt;IFERROR(INDEX('Taxonomy Rules'!$D$42:$D$68,MATCH(E216,'Taxonomy Rules'!$C$42:$C$68,0)),""),NOT(OR(IFERROR(INDEX('Taxonomy Rules'!$G$42:$G$68,MATCH(E216,'Taxonomy Rules'!$C$42:$C$68,0)),"")="All supported routes",IFERROR(INDEX('Taxonomy Rules'!$G$42:$G$68,MATCH(E216,'Taxonomy Rules'!$C$42:$C$68,0)),"")=U216,AND(IFERROR(INDEX('Taxonomy Rules'!$G$42:$G$68,MATCH(E216,'Taxonomy Rules'!$C$42:$C$68,0)),"")="Building routes",OR(U216="Building renovation",U216="New building",U216="Building equipment"))))),"Unexpected test","Valid"))))</x:f>
        <x:v>Valid</x:v>
      </x:c>
      <x:c r="S216" s="9" t="str">
        <x:f>IF(C216="","",IFERROR(INDEX('Taxonomy Rules'!$E$42:$E$68,MATCH(E216,'Taxonomy Rules'!$C$42:$C$68,0)),""))</x:f>
        <x:v>Applicable occupational safety, hazard prevention and emergency readiness.</x:v>
      </x:c>
      <x:c r="T216" s="9" t="str">
        <x:f>IF(C216="","",IFERROR(INDEX('Taxonomy Rules'!$F$42:$F$68,MATCH(E216,'Taxonomy Rules'!$C$42:$C$68,0)),""))</x:f>
        <x:v>S10 p29</x:v>
      </x:c>
      <x:c r="U216" s="9" t="str">
        <x:f>IF(C216="","",IFERROR(INDEX('Taxonomy'!$G$9:$G$108,MATCH(D216,'Taxonomy'!$C$9:$C$108,0)),""))</x:f>
        <x:v>Building renovation</x:v>
      </x:c>
    </x:row>
    <x:row r="217" ht="44" customHeight="1">
      <x:c r="A217" s="1"/>
      <x:c r="B217" s="1"/>
      <x:c r="C217" s="8" t="str">
        <x:v>TST-F022-MSS-RIGHTS</x:v>
      </x:c>
      <x:c r="D217" s="8" t="str">
        <x:v>TAX-F022</x:v>
      </x:c>
      <x:c r="E217" s="8" t="str">
        <x:v>MSS-RIGHTS</x:v>
      </x:c>
      <x:c r="F217" s="8" t="str">
        <x:v>MSS</x:v>
      </x:c>
      <x:c r="G217" s="8" t="str">
        <x:v>Applicable</x:v>
      </x:c>
      <x:c r="H217" s="8" t="str">
        <x:v>Pass</x:v>
      </x:c>
      <x:c r="I217" s="8" t="str">
        <x:v>SYN-TEST-F022-MSS-RIGHTS</x:v>
      </x:c>
      <x:c r="J217" s="8" t="str"/>
      <x:c r="K217" s="8" t="str">
        <x:v>Taxonomy analyst 1</x:v>
      </x:c>
      <x:c r="L217" s="8" t="str">
        <x:v>Taxonomy reviewer 2</x:v>
      </x:c>
      <x:c r="M217" s="10" t="n">
        <x:v>46266</x:v>
      </x:c>
      <x:c r="N217" s="10" t="n">
        <x:v>46631</x:v>
      </x:c>
      <x:c r="O217" s="8"/>
      <x:c r="P217" s="9" t="str">
        <x:f>IF(C217="","",IF(AND(G217="Applicable",H217="Fail"),"Fail",IF(R217&lt;&gt;"Valid","Pending",IF(OR(I217="",K217="",L217="",K217=L217,NOT(ISNUMBER(M217)),NOT(ISNUMBER(N217)),M217&gt;Settings!$F$8,N217&lt;Settings!$F$8,N217&lt;M217),"Pending",IF(AND(G217="Applicable",H217="Pass"),"Pass",IF(AND(G217="N/A",H217="N/A",J217&lt;&gt;"",OR(E217="CEM-FUELS",E217="CEM-CCS",AND(E217="CEM-PLAN",IFERROR(INDEX('Taxonomy'!$M$9:$M$108,MATCH(D217,'Taxonomy'!$C$9:$C$108,0)),"")&lt;&gt;"Amber"),E217="BLD-TIMBER",AND(U217="Building equipment",OR(E217="BLD-WATER",E217="BLD-WASTE",E217="BLD-LAND")),AND(U217="Building renovation",E217="BLD-LAND"))),"N/A","Pending"))))))</x:f>
        <x:v>Pass</x:v>
      </x:c>
      <x:c r="Q217" s="3" t="str">
        <x:f>IF(C217="","",IF(AND(R217="Valid",OR(P217="Pass",P217="N/A")),"Complete","Unresolved"))</x:f>
        <x:v>Complete</x:v>
      </x:c>
      <x:c r="R217" s="9" t="str">
        <x:f>IF(C217="","",IF(OR(COUNTIF($C$9:$C$2008,C217)&lt;&gt;1,COUNTIFS($D$9:$D$2008,D217,$E$9:$E$2008,E217)&lt;&gt;1),"Duplicate test",IF(COUNTIF('Taxonomy'!$C$9:$C$108,D217)&lt;&gt;1,"Assessment key",IF(OR(COUNTIF('Taxonomy Rules'!$C$42:$C$68,E217)&lt;&gt;1,F217&lt;&gt;IFERROR(INDEX('Taxonomy Rules'!$D$42:$D$68,MATCH(E217,'Taxonomy Rules'!$C$42:$C$68,0)),""),NOT(OR(IFERROR(INDEX('Taxonomy Rules'!$G$42:$G$68,MATCH(E217,'Taxonomy Rules'!$C$42:$C$68,0)),"")="All supported routes",IFERROR(INDEX('Taxonomy Rules'!$G$42:$G$68,MATCH(E217,'Taxonomy Rules'!$C$42:$C$68,0)),"")=U217,AND(IFERROR(INDEX('Taxonomy Rules'!$G$42:$G$68,MATCH(E217,'Taxonomy Rules'!$C$42:$C$68,0)),"")="Building routes",OR(U217="Building renovation",U217="New building",U217="Building equipment"))))),"Unexpected test","Valid"))))</x:f>
        <x:v>Valid</x:v>
      </x:c>
      <x:c r="S217" s="9" t="str">
        <x:f>IF(C217="","",IFERROR(INDEX('Taxonomy Rules'!$E$42:$E$68,MATCH(E217,'Taxonomy Rules'!$C$42:$C$68,0)),""))</x:f>
        <x:v>Proportionate human-rights diligence, stakeholder/social-impact process and grievance mechanism.</x:v>
      </x:c>
      <x:c r="T217" s="9" t="str">
        <x:f>IF(C217="","",IFERROR(INDEX('Taxonomy Rules'!$F$42:$F$68,MATCH(E217,'Taxonomy Rules'!$C$42:$C$68,0)),""))</x:f>
        <x:v>S10 p29</x:v>
      </x:c>
      <x:c r="U217" s="9" t="str">
        <x:f>IF(C217="","",IFERROR(INDEX('Taxonomy'!$G$9:$G$108,MATCH(D217,'Taxonomy'!$C$9:$C$108,0)),""))</x:f>
        <x:v>Building renovation</x:v>
      </x:c>
    </x:row>
    <x:row r="218" ht="44" customHeight="1">
      <x:c r="A218" s="1"/>
      <x:c r="B218" s="1"/>
      <x:c r="C218" s="8" t="str">
        <x:v>TST-F022-REN-METHOD</x:v>
      </x:c>
      <x:c r="D218" s="8" t="str">
        <x:v>TAX-F022</x:v>
      </x:c>
      <x:c r="E218" s="8" t="str">
        <x:v>REN-METHOD</x:v>
      </x:c>
      <x:c r="F218" s="8" t="str">
        <x:v>Technical</x:v>
      </x:c>
      <x:c r="G218" s="8" t="str">
        <x:v>Applicable</x:v>
      </x:c>
      <x:c r="H218" s="8" t="str">
        <x:v>Pass</x:v>
      </x:c>
      <x:c r="I218" s="8" t="str">
        <x:v>SYN-TEST-F022-REN-METHOD</x:v>
      </x:c>
      <x:c r="J218" s="8" t="str"/>
      <x:c r="K218" s="8" t="str">
        <x:v>Taxonomy analyst 1</x:v>
      </x:c>
      <x:c r="L218" s="8" t="str">
        <x:v>Taxonomy reviewer 2</x:v>
      </x:c>
      <x:c r="M218" s="10" t="n">
        <x:v>46266</x:v>
      </x:c>
      <x:c r="N218" s="10" t="n">
        <x:v>46631</x:v>
      </x:c>
      <x:c r="O218" s="8"/>
      <x:c r="P218" s="9" t="str">
        <x:f>IF(C218="","",IF(AND(G218="Applicable",H218="Fail"),"Fail",IF(R218&lt;&gt;"Valid","Pending",IF(OR(I218="",K218="",L218="",K218=L218,NOT(ISNUMBER(M218)),NOT(ISNUMBER(N218)),M218&gt;Settings!$F$8,N218&lt;Settings!$F$8,N218&lt;M218),"Pending",IF(AND(G218="Applicable",H218="Pass"),"Pass",IF(AND(G218="N/A",H218="N/A",J218&lt;&gt;"",OR(E218="CEM-FUELS",E218="CEM-CCS",AND(E218="CEM-PLAN",IFERROR(INDEX('Taxonomy'!$M$9:$M$108,MATCH(D218,'Taxonomy'!$C$9:$C$108,0)),"")&lt;&gt;"Amber"),E218="BLD-TIMBER",AND(U218="Building equipment",OR(E218="BLD-WATER",E218="BLD-WASTE",E218="BLD-LAND")),AND(U218="Building renovation",E218="BLD-LAND"))),"N/A","Pending"))))))</x:f>
        <x:v>Pass</x:v>
      </x:c>
      <x:c r="Q218" s="3" t="str">
        <x:f>IF(C218="","",IF(AND(R218="Valid",OR(P218="Pass",P218="N/A")),"Complete","Unresolved"))</x:f>
        <x:v>Complete</x:v>
      </x:c>
      <x:c r="R218" s="9" t="str">
        <x:f>IF(C218="","",IF(OR(COUNTIF($C$9:$C$2008,C218)&lt;&gt;1,COUNTIFS($D$9:$D$2008,D218,$E$9:$E$2008,E218)&lt;&gt;1),"Duplicate test",IF(COUNTIF('Taxonomy'!$C$9:$C$108,D218)&lt;&gt;1,"Assessment key",IF(OR(COUNTIF('Taxonomy Rules'!$C$42:$C$68,E218)&lt;&gt;1,F218&lt;&gt;IFERROR(INDEX('Taxonomy Rules'!$D$42:$D$68,MATCH(E218,'Taxonomy Rules'!$C$42:$C$68,0)),""),NOT(OR(IFERROR(INDEX('Taxonomy Rules'!$G$42:$G$68,MATCH(E218,'Taxonomy Rules'!$C$42:$C$68,0)),"")="All supported routes",IFERROR(INDEX('Taxonomy Rules'!$G$42:$G$68,MATCH(E218,'Taxonomy Rules'!$C$42:$C$68,0)),"")=U218,AND(IFERROR(INDEX('Taxonomy Rules'!$G$42:$G$68,MATCH(E218,'Taxonomy Rules'!$C$42:$C$68,0)),"")="Building routes",OR(U218="Building renovation",U218="New building",U218="Building equipment"))))),"Unexpected test","Valid"))))</x:f>
        <x:v>Valid</x:v>
      </x:c>
      <x:c r="S218" s="9" t="str">
        <x:f>IF(C218="","",IFERROR(INDEX('Taxonomy Rules'!$E$42:$E$68,MATCH(E218,'Taxonomy Rules'!$C$42:$C$68,0)),""))</x:f>
        <x:v>Whole-building baseline adjusted for occupancy/weather; recognised method for floor area at least 1,000 m².</x:v>
      </x:c>
      <x:c r="T218" s="9" t="str">
        <x:f>IF(C218="","",IFERROR(INDEX('Taxonomy Rules'!$F$42:$F$68,MATCH(E218,'Taxonomy Rules'!$C$42:$C$68,0)),""))</x:f>
        <x:v>S10 p136</x:v>
      </x:c>
      <x:c r="U218" s="9" t="str">
        <x:f>IF(C218="","",IFERROR(INDEX('Taxonomy'!$G$9:$G$108,MATCH(D218,'Taxonomy'!$C$9:$C$108,0)),""))</x:f>
        <x:v>Building renovation</x:v>
      </x:c>
    </x:row>
    <x:row r="219" ht="44" customHeight="1">
      <x:c r="A219" s="1"/>
      <x:c r="B219" s="1"/>
      <x:c r="C219" s="8" t="str">
        <x:v>TST-F022-REN-ROUTE</x:v>
      </x:c>
      <x:c r="D219" s="8" t="str">
        <x:v>TAX-F022</x:v>
      </x:c>
      <x:c r="E219" s="8" t="str">
        <x:v>REN-ROUTE</x:v>
      </x:c>
      <x:c r="F219" s="8" t="str">
        <x:v>Technical</x:v>
      </x:c>
      <x:c r="G219" s="8" t="str">
        <x:v>Applicable</x:v>
      </x:c>
      <x:c r="H219" s="8" t="str">
        <x:v>Pass</x:v>
      </x:c>
      <x:c r="I219" s="8" t="str">
        <x:v>SYN-TEST-F022-REN-ROUTE</x:v>
      </x:c>
      <x:c r="J219" s="8" t="str"/>
      <x:c r="K219" s="8" t="str">
        <x:v>Taxonomy analyst 1</x:v>
      </x:c>
      <x:c r="L219" s="8" t="str">
        <x:v>Taxonomy reviewer 2</x:v>
      </x:c>
      <x:c r="M219" s="10" t="n">
        <x:v>46266</x:v>
      </x:c>
      <x:c r="N219" s="10" t="n">
        <x:v>46631</x:v>
      </x:c>
      <x:c r="O219" s="8"/>
      <x:c r="P219" s="9" t="str">
        <x:f>IF(C219="","",IF(AND(G219="Applicable",H219="Fail"),"Fail",IF(R219&lt;&gt;"Valid","Pending",IF(OR(I219="",K219="",L219="",K219=L219,NOT(ISNUMBER(M219)),NOT(ISNUMBER(N219)),M219&gt;Settings!$F$8,N219&lt;Settings!$F$8,N219&lt;M219),"Pending",IF(AND(G219="Applicable",H219="Pass"),"Pass",IF(AND(G219="N/A",H219="N/A",J219&lt;&gt;"",OR(E219="CEM-FUELS",E219="CEM-CCS",AND(E219="CEM-PLAN",IFERROR(INDEX('Taxonomy'!$M$9:$M$108,MATCH(D219,'Taxonomy'!$C$9:$C$108,0)),"")&lt;&gt;"Amber"),E219="BLD-TIMBER",AND(U219="Building equipment",OR(E219="BLD-WATER",E219="BLD-WASTE",E219="BLD-LAND")),AND(U219="Building renovation",E219="BLD-LAND"))),"N/A","Pending"))))))</x:f>
        <x:v>Pass</x:v>
      </x:c>
      <x:c r="Q219" s="3" t="str">
        <x:f>IF(C219="","",IF(AND(R219="Valid",OR(P219="Pass",P219="N/A")),"Complete","Unresolved"))</x:f>
        <x:v>Complete</x:v>
      </x:c>
      <x:c r="R219" s="9" t="str">
        <x:f>IF(C219="","",IF(OR(COUNTIF($C$9:$C$2008,C219)&lt;&gt;1,COUNTIFS($D$9:$D$2008,D219,$E$9:$E$2008,E219)&lt;&gt;1),"Duplicate test",IF(COUNTIF('Taxonomy'!$C$9:$C$108,D219)&lt;&gt;1,"Assessment key",IF(OR(COUNTIF('Taxonomy Rules'!$C$42:$C$68,E219)&lt;&gt;1,F219&lt;&gt;IFERROR(INDEX('Taxonomy Rules'!$D$42:$D$68,MATCH(E219,'Taxonomy Rules'!$C$42:$C$68,0)),""),NOT(OR(IFERROR(INDEX('Taxonomy Rules'!$G$42:$G$68,MATCH(E219,'Taxonomy Rules'!$C$42:$C$68,0)),"")="All supported routes",IFERROR(INDEX('Taxonomy Rules'!$G$42:$G$68,MATCH(E219,'Taxonomy Rules'!$C$42:$C$68,0)),"")=U219,AND(IFERROR(INDEX('Taxonomy Rules'!$G$42:$G$68,MATCH(E219,'Taxonomy Rules'!$C$42:$C$68,0)),"")="Building routes",OR(U219="Building renovation",U219="New building",U219="Building equipment"))))),"Unexpected test","Valid"))))</x:f>
        <x:v>Valid</x:v>
      </x:c>
      <x:c r="S219" s="9" t="str">
        <x:f>IF(C219="","",IFERROR(INDEX('Taxonomy Rules'!$E$42:$E$68,MATCH(E219,'Taxonomy Rules'!$C$42:$C$68,0)),""))</x:f>
        <x:v>Whole-building Green requires new-building criteria; Amber improvement route is separate. Certification not required solely for Amber.</x:v>
      </x:c>
      <x:c r="T219" s="9" t="str">
        <x:f>IF(C219="","",IFERROR(INDEX('Taxonomy Rules'!$F$42:$F$68,MATCH(E219,'Taxonomy Rules'!$C$42:$C$68,0)),""))</x:f>
        <x:v>S10 pp131,136</x:v>
      </x:c>
      <x:c r="U219" s="9" t="str">
        <x:f>IF(C219="","",IFERROR(INDEX('Taxonomy'!$G$9:$G$108,MATCH(D219,'Taxonomy'!$C$9:$C$108,0)),""))</x:f>
        <x:v>Building renovation</x:v>
      </x:c>
    </x:row>
    <x:row r="220" ht="44" customHeight="1">
      <x:c r="A220" s="1"/>
      <x:c r="B220" s="1"/>
      <x:c r="C220" s="8" t="str">
        <x:v>TST-F022-BLD-WATER</x:v>
      </x:c>
      <x:c r="D220" s="8" t="str">
        <x:v>TAX-F022</x:v>
      </x:c>
      <x:c r="E220" s="8" t="str">
        <x:v>BLD-WATER</x:v>
      </x:c>
      <x:c r="F220" s="8" t="str">
        <x:v>DNSH</x:v>
      </x:c>
      <x:c r="G220" s="8" t="str">
        <x:v>Applicable</x:v>
      </x:c>
      <x:c r="H220" s="8" t="str">
        <x:v>Pass</x:v>
      </x:c>
      <x:c r="I220" s="8" t="str">
        <x:v>SYN-TEST-F022-BLD-WATER</x:v>
      </x:c>
      <x:c r="J220" s="8" t="str"/>
      <x:c r="K220" s="8" t="str">
        <x:v>Taxonomy analyst 1</x:v>
      </x:c>
      <x:c r="L220" s="8" t="str">
        <x:v>Taxonomy reviewer 2</x:v>
      </x:c>
      <x:c r="M220" s="10" t="n">
        <x:v>46266</x:v>
      </x:c>
      <x:c r="N220" s="10" t="n">
        <x:v>46631</x:v>
      </x:c>
      <x:c r="O220" s="8"/>
      <x:c r="P220" s="9" t="str">
        <x:f>IF(C220="","",IF(AND(G220="Applicable",H220="Fail"),"Fail",IF(R220&lt;&gt;"Valid","Pending",IF(OR(I220="",K220="",L220="",K220=L220,NOT(ISNUMBER(M220)),NOT(ISNUMBER(N220)),M220&gt;Settings!$F$8,N220&lt;Settings!$F$8,N220&lt;M220),"Pending",IF(AND(G220="Applicable",H220="Pass"),"Pass",IF(AND(G220="N/A",H220="N/A",J220&lt;&gt;"",OR(E220="CEM-FUELS",E220="CEM-CCS",AND(E220="CEM-PLAN",IFERROR(INDEX('Taxonomy'!$M$9:$M$108,MATCH(D220,'Taxonomy'!$C$9:$C$108,0)),"")&lt;&gt;"Amber"),E220="BLD-TIMBER",AND(U220="Building equipment",OR(E220="BLD-WATER",E220="BLD-WASTE",E220="BLD-LAND")),AND(U220="Building renovation",E220="BLD-LAND"))),"N/A","Pending"))))))</x:f>
        <x:v>Pass</x:v>
      </x:c>
      <x:c r="Q220" s="3" t="str">
        <x:f>IF(C220="","",IF(AND(R220="Valid",OR(P220="Pass",P220="N/A")),"Complete","Unresolved"))</x:f>
        <x:v>Complete</x:v>
      </x:c>
      <x:c r="R220" s="9" t="str">
        <x:f>IF(C220="","",IF(OR(COUNTIF($C$9:$C$2008,C220)&lt;&gt;1,COUNTIFS($D$9:$D$2008,D220,$E$9:$E$2008,E220)&lt;&gt;1),"Duplicate test",IF(COUNTIF('Taxonomy'!$C$9:$C$108,D220)&lt;&gt;1,"Assessment key",IF(OR(COUNTIF('Taxonomy Rules'!$C$42:$C$68,E220)&lt;&gt;1,F220&lt;&gt;IFERROR(INDEX('Taxonomy Rules'!$D$42:$D$68,MATCH(E220,'Taxonomy Rules'!$C$42:$C$68,0)),""),NOT(OR(IFERROR(INDEX('Taxonomy Rules'!$G$42:$G$68,MATCH(E220,'Taxonomy Rules'!$C$42:$C$68,0)),"")="All supported routes",IFERROR(INDEX('Taxonomy Rules'!$G$42:$G$68,MATCH(E220,'Taxonomy Rules'!$C$42:$C$68,0)),"")=U220,AND(IFERROR(INDEX('Taxonomy Rules'!$G$42:$G$68,MATCH(E220,'Taxonomy Rules'!$C$42:$C$68,0)),"")="Building routes",OR(U220="Building renovation",U220="New building",U220="Building equipment"))))),"Unexpected test","Valid"))))</x:f>
        <x:v>Valid</x:v>
      </x:c>
      <x:c r="S220" s="9" t="str">
        <x:f>IF(C220="","",IFERROR(INDEX('Taxonomy Rules'!$E$42:$E$68,MATCH(E220,'Taxonomy Rules'!$C$42:$C$68,0)),""))</x:f>
        <x:v>Compliant water fittings under JSMO / recognised water-efficiency standards.</x:v>
      </x:c>
      <x:c r="T220" s="9" t="str">
        <x:f>IF(C220="","",IFERROR(INDEX('Taxonomy Rules'!$F$42:$F$68,MATCH(E220,'Taxonomy Rules'!$C$42:$C$68,0)),""))</x:f>
        <x:v>S10 p132</x:v>
      </x:c>
      <x:c r="U220" s="9" t="str">
        <x:f>IF(C220="","",IFERROR(INDEX('Taxonomy'!$G$9:$G$108,MATCH(D220,'Taxonomy'!$C$9:$C$108,0)),""))</x:f>
        <x:v>Building renovation</x:v>
      </x:c>
    </x:row>
    <x:row r="221" ht="44" customHeight="1">
      <x:c r="A221" s="1"/>
      <x:c r="B221" s="1"/>
      <x:c r="C221" s="8" t="str">
        <x:v>TST-F022-BLD-MATERIALS</x:v>
      </x:c>
      <x:c r="D221" s="8" t="str">
        <x:v>TAX-F022</x:v>
      </x:c>
      <x:c r="E221" s="8" t="str">
        <x:v>BLD-MATERIALS</x:v>
      </x:c>
      <x:c r="F221" s="8" t="str">
        <x:v>DNSH</x:v>
      </x:c>
      <x:c r="G221" s="8" t="str">
        <x:v>Applicable</x:v>
      </x:c>
      <x:c r="H221" s="8" t="str">
        <x:v>Pass</x:v>
      </x:c>
      <x:c r="I221" s="8" t="str">
        <x:v>SYN-TEST-F022-BLD-MATERIALS</x:v>
      </x:c>
      <x:c r="J221" s="8" t="str"/>
      <x:c r="K221" s="8" t="str">
        <x:v>Taxonomy analyst 1</x:v>
      </x:c>
      <x:c r="L221" s="8" t="str">
        <x:v>Taxonomy reviewer 2</x:v>
      </x:c>
      <x:c r="M221" s="10" t="n">
        <x:v>46266</x:v>
      </x:c>
      <x:c r="N221" s="10" t="n">
        <x:v>46631</x:v>
      </x:c>
      <x:c r="O221" s="8"/>
      <x:c r="P221" s="9" t="str">
        <x:f>IF(C221="","",IF(AND(G221="Applicable",H221="Fail"),"Fail",IF(R221&lt;&gt;"Valid","Pending",IF(OR(I221="",K221="",L221="",K221=L221,NOT(ISNUMBER(M221)),NOT(ISNUMBER(N221)),M221&gt;Settings!$F$8,N221&lt;Settings!$F$8,N221&lt;M221),"Pending",IF(AND(G221="Applicable",H221="Pass"),"Pass",IF(AND(G221="N/A",H221="N/A",J221&lt;&gt;"",OR(E221="CEM-FUELS",E221="CEM-CCS",AND(E221="CEM-PLAN",IFERROR(INDEX('Taxonomy'!$M$9:$M$108,MATCH(D221,'Taxonomy'!$C$9:$C$108,0)),"")&lt;&gt;"Amber"),E221="BLD-TIMBER",AND(U221="Building equipment",OR(E221="BLD-WATER",E221="BLD-WASTE",E221="BLD-LAND")),AND(U221="Building renovation",E221="BLD-LAND"))),"N/A","Pending"))))))</x:f>
        <x:v>Pass</x:v>
      </x:c>
      <x:c r="Q221" s="3" t="str">
        <x:f>IF(C221="","",IF(AND(R221="Valid",OR(P221="Pass",P221="N/A")),"Complete","Unresolved"))</x:f>
        <x:v>Complete</x:v>
      </x:c>
      <x:c r="R221" s="9" t="str">
        <x:f>IF(C221="","",IF(OR(COUNTIF($C$9:$C$2008,C221)&lt;&gt;1,COUNTIFS($D$9:$D$2008,D221,$E$9:$E$2008,E221)&lt;&gt;1),"Duplicate test",IF(COUNTIF('Taxonomy'!$C$9:$C$108,D221)&lt;&gt;1,"Assessment key",IF(OR(COUNTIF('Taxonomy Rules'!$C$42:$C$68,E221)&lt;&gt;1,F221&lt;&gt;IFERROR(INDEX('Taxonomy Rules'!$D$42:$D$68,MATCH(E221,'Taxonomy Rules'!$C$42:$C$68,0)),""),NOT(OR(IFERROR(INDEX('Taxonomy Rules'!$G$42:$G$68,MATCH(E221,'Taxonomy Rules'!$C$42:$C$68,0)),"")="All supported routes",IFERROR(INDEX('Taxonomy Rules'!$G$42:$G$68,MATCH(E221,'Taxonomy Rules'!$C$42:$C$68,0)),"")=U221,AND(IFERROR(INDEX('Taxonomy Rules'!$G$42:$G$68,MATCH(E221,'Taxonomy Rules'!$C$42:$C$68,0)),"")="Building routes",OR(U221="Building renovation",U221="New building",U221="Building equipment"))))),"Unexpected test","Valid"))))</x:f>
        <x:v>Valid</x:v>
      </x:c>
      <x:c r="S221" s="9" t="str">
        <x:f>IF(C221="","",IFERROR(INDEX('Taxonomy Rules'!$E$42:$E$68,MATCH(E221,'Taxonomy Rules'!$C$42:$C$68,0)),""))</x:f>
        <x:v>No asbestos; controlled hazardous substances; contamination and indoor-air checks as applicable.</x:v>
      </x:c>
      <x:c r="T221" s="9" t="str">
        <x:f>IF(C221="","",IFERROR(INDEX('Taxonomy Rules'!$F$42:$F$68,MATCH(E221,'Taxonomy Rules'!$C$42:$C$68,0)),""))</x:f>
        <x:v>S10 pp132–133</x:v>
      </x:c>
      <x:c r="U221" s="9" t="str">
        <x:f>IF(C221="","",IFERROR(INDEX('Taxonomy'!$G$9:$G$108,MATCH(D221,'Taxonomy'!$C$9:$C$108,0)),""))</x:f>
        <x:v>Building renovation</x:v>
      </x:c>
    </x:row>
    <x:row r="222" ht="44" customHeight="1">
      <x:c r="A222" s="1"/>
      <x:c r="B222" s="1"/>
      <x:c r="C222" s="8" t="str">
        <x:v>TST-F022-BLD-WASTE</x:v>
      </x:c>
      <x:c r="D222" s="8" t="str">
        <x:v>TAX-F022</x:v>
      </x:c>
      <x:c r="E222" s="8" t="str">
        <x:v>BLD-WASTE</x:v>
      </x:c>
      <x:c r="F222" s="8" t="str">
        <x:v>DNSH</x:v>
      </x:c>
      <x:c r="G222" s="8" t="str">
        <x:v>Applicable</x:v>
      </x:c>
      <x:c r="H222" s="8" t="str">
        <x:v>Pass</x:v>
      </x:c>
      <x:c r="I222" s="8" t="str">
        <x:v>SYN-TEST-F022-BLD-WASTE</x:v>
      </x:c>
      <x:c r="J222" s="8" t="str"/>
      <x:c r="K222" s="8" t="str">
        <x:v>Taxonomy analyst 1</x:v>
      </x:c>
      <x:c r="L222" s="8" t="str">
        <x:v>Taxonomy reviewer 2</x:v>
      </x:c>
      <x:c r="M222" s="10" t="n">
        <x:v>46266</x:v>
      </x:c>
      <x:c r="N222" s="10" t="n">
        <x:v>46631</x:v>
      </x:c>
      <x:c r="O222" s="8"/>
      <x:c r="P222" s="9" t="str">
        <x:f>IF(C222="","",IF(AND(G222="Applicable",H222="Fail"),"Fail",IF(R222&lt;&gt;"Valid","Pending",IF(OR(I222="",K222="",L222="",K222=L222,NOT(ISNUMBER(M222)),NOT(ISNUMBER(N222)),M222&gt;Settings!$F$8,N222&lt;Settings!$F$8,N222&lt;M222),"Pending",IF(AND(G222="Applicable",H222="Pass"),"Pass",IF(AND(G222="N/A",H222="N/A",J222&lt;&gt;"",OR(E222="CEM-FUELS",E222="CEM-CCS",AND(E222="CEM-PLAN",IFERROR(INDEX('Taxonomy'!$M$9:$M$108,MATCH(D222,'Taxonomy'!$C$9:$C$108,0)),"")&lt;&gt;"Amber"),E222="BLD-TIMBER",AND(U222="Building equipment",OR(E222="BLD-WATER",E222="BLD-WASTE",E222="BLD-LAND")),AND(U222="Building renovation",E222="BLD-LAND"))),"N/A","Pending"))))))</x:f>
        <x:v>Pass</x:v>
      </x:c>
      <x:c r="Q222" s="3" t="str">
        <x:f>IF(C222="","",IF(AND(R222="Valid",OR(P222="Pass",P222="N/A")),"Complete","Unresolved"))</x:f>
        <x:v>Complete</x:v>
      </x:c>
      <x:c r="R222" s="9" t="str">
        <x:f>IF(C222="","",IF(OR(COUNTIF($C$9:$C$2008,C222)&lt;&gt;1,COUNTIFS($D$9:$D$2008,D222,$E$9:$E$2008,E222)&lt;&gt;1),"Duplicate test",IF(COUNTIF('Taxonomy'!$C$9:$C$108,D222)&lt;&gt;1,"Assessment key",IF(OR(COUNTIF('Taxonomy Rules'!$C$42:$C$68,E222)&lt;&gt;1,F222&lt;&gt;IFERROR(INDEX('Taxonomy Rules'!$D$42:$D$68,MATCH(E222,'Taxonomy Rules'!$C$42:$C$68,0)),""),NOT(OR(IFERROR(INDEX('Taxonomy Rules'!$G$42:$G$68,MATCH(E222,'Taxonomy Rules'!$C$42:$C$68,0)),"")="All supported routes",IFERROR(INDEX('Taxonomy Rules'!$G$42:$G$68,MATCH(E222,'Taxonomy Rules'!$C$42:$C$68,0)),"")=U222,AND(IFERROR(INDEX('Taxonomy Rules'!$G$42:$G$68,MATCH(E222,'Taxonomy Rules'!$C$42:$C$68,0)),"")="Building routes",OR(U222="Building renovation",U222="New building",U222="Building equipment"))))),"Unexpected test","Valid"))))</x:f>
        <x:v>Valid</x:v>
      </x:c>
      <x:c r="S222" s="9" t="str">
        <x:f>IF(C222="","",IFERROR(INDEX('Taxonomy Rules'!$E$42:$E$68,MATCH(E222,'Taxonomy Rules'!$C$42:$C$68,0)),""))</x:f>
        <x:v>At least 40% by weight nonhazardous construction/demolition waste recovered; soil/stone excluded.</x:v>
      </x:c>
      <x:c r="T222" s="9" t="str">
        <x:f>IF(C222="","",IFERROR(INDEX('Taxonomy Rules'!$F$42:$F$68,MATCH(E222,'Taxonomy Rules'!$C$42:$C$68,0)),""))</x:f>
        <x:v>S10 p133</x:v>
      </x:c>
      <x:c r="U222" s="9" t="str">
        <x:f>IF(C222="","",IFERROR(INDEX('Taxonomy'!$G$9:$G$108,MATCH(D222,'Taxonomy'!$C$9:$C$108,0)),""))</x:f>
        <x:v>Building renovation</x:v>
      </x:c>
    </x:row>
    <x:row r="223" ht="44" customHeight="1">
      <x:c r="A223" s="1"/>
      <x:c r="B223" s="1"/>
      <x:c r="C223" s="8" t="str">
        <x:v>TST-F022-BLD-TIMBER</x:v>
      </x:c>
      <x:c r="D223" s="8" t="str">
        <x:v>TAX-F022</x:v>
      </x:c>
      <x:c r="E223" s="8" t="str">
        <x:v>BLD-TIMBER</x:v>
      </x:c>
      <x:c r="F223" s="8" t="str">
        <x:v>DNSH</x:v>
      </x:c>
      <x:c r="G223" s="8" t="str">
        <x:v>Applicable</x:v>
      </x:c>
      <x:c r="H223" s="8" t="str">
        <x:v>Pass</x:v>
      </x:c>
      <x:c r="I223" s="8" t="str">
        <x:v>SYN-TEST-F022-BLD-TIMBER</x:v>
      </x:c>
      <x:c r="J223" s="8" t="str"/>
      <x:c r="K223" s="8" t="str">
        <x:v>Taxonomy analyst 1</x:v>
      </x:c>
      <x:c r="L223" s="8" t="str">
        <x:v>Taxonomy reviewer 2</x:v>
      </x:c>
      <x:c r="M223" s="10" t="n">
        <x:v>46266</x:v>
      </x:c>
      <x:c r="N223" s="10" t="n">
        <x:v>46631</x:v>
      </x:c>
      <x:c r="O223" s="8"/>
      <x:c r="P223" s="9" t="str">
        <x:f>IF(C223="","",IF(AND(G223="Applicable",H223="Fail"),"Fail",IF(R223&lt;&gt;"Valid","Pending",IF(OR(I223="",K223="",L223="",K223=L223,NOT(ISNUMBER(M223)),NOT(ISNUMBER(N223)),M223&gt;Settings!$F$8,N223&lt;Settings!$F$8,N223&lt;M223),"Pending",IF(AND(G223="Applicable",H223="Pass"),"Pass",IF(AND(G223="N/A",H223="N/A",J223&lt;&gt;"",OR(E223="CEM-FUELS",E223="CEM-CCS",AND(E223="CEM-PLAN",IFERROR(INDEX('Taxonomy'!$M$9:$M$108,MATCH(D223,'Taxonomy'!$C$9:$C$108,0)),"")&lt;&gt;"Amber"),E223="BLD-TIMBER",AND(U223="Building equipment",OR(E223="BLD-WATER",E223="BLD-WASTE",E223="BLD-LAND")),AND(U223="Building renovation",E223="BLD-LAND"))),"N/A","Pending"))))))</x:f>
        <x:v>Pass</x:v>
      </x:c>
      <x:c r="Q223" s="3" t="str">
        <x:f>IF(C223="","",IF(AND(R223="Valid",OR(P223="Pass",P223="N/A")),"Complete","Unresolved"))</x:f>
        <x:v>Complete</x:v>
      </x:c>
      <x:c r="R223" s="9" t="str">
        <x:f>IF(C223="","",IF(OR(COUNTIF($C$9:$C$2008,C223)&lt;&gt;1,COUNTIFS($D$9:$D$2008,D223,$E$9:$E$2008,E223)&lt;&gt;1),"Duplicate test",IF(COUNTIF('Taxonomy'!$C$9:$C$108,D223)&lt;&gt;1,"Assessment key",IF(OR(COUNTIF('Taxonomy Rules'!$C$42:$C$68,E223)&lt;&gt;1,F223&lt;&gt;IFERROR(INDEX('Taxonomy Rules'!$D$42:$D$68,MATCH(E223,'Taxonomy Rules'!$C$42:$C$68,0)),""),NOT(OR(IFERROR(INDEX('Taxonomy Rules'!$G$42:$G$68,MATCH(E223,'Taxonomy Rules'!$C$42:$C$68,0)),"")="All supported routes",IFERROR(INDEX('Taxonomy Rules'!$G$42:$G$68,MATCH(E223,'Taxonomy Rules'!$C$42:$C$68,0)),"")=U223,AND(IFERROR(INDEX('Taxonomy Rules'!$G$42:$G$68,MATCH(E223,'Taxonomy Rules'!$C$42:$C$68,0)),"")="Building routes",OR(U223="Building renovation",U223="New building",U223="Building equipment"))))),"Unexpected test","Valid"))))</x:f>
        <x:v>Valid</x:v>
      </x:c>
      <x:c r="S223" s="9" t="str">
        <x:f>IF(C223="","",IFERROR(INDEX('Taxonomy Rules'!$E$42:$E$68,MATCH(E223,'Taxonomy Rules'!$C$42:$C$68,0)),""))</x:f>
        <x:v>At least 70% timber recycled/reused or certified sustainably sourced; justified N/A if no timber.</x:v>
      </x:c>
      <x:c r="T223" s="9" t="str">
        <x:f>IF(C223="","",IFERROR(INDEX('Taxonomy Rules'!$F$42:$F$68,MATCH(E223,'Taxonomy Rules'!$C$42:$C$68,0)),""))</x:f>
        <x:v>S10 p133</x:v>
      </x:c>
      <x:c r="U223" s="9" t="str">
        <x:f>IF(C223="","",IFERROR(INDEX('Taxonomy'!$G$9:$G$108,MATCH(D223,'Taxonomy'!$C$9:$C$108,0)),""))</x:f>
        <x:v>Building renovation</x:v>
      </x:c>
    </x:row>
    <x:row r="224" ht="44" customHeight="1">
      <x:c r="A224" s="1"/>
      <x:c r="B224" s="1"/>
      <x:c r="C224" s="8" t="str">
        <x:v>TST-F022-BLD-LAND</x:v>
      </x:c>
      <x:c r="D224" s="8" t="str">
        <x:v>TAX-F022</x:v>
      </x:c>
      <x:c r="E224" s="8" t="str">
        <x:v>BLD-LAND</x:v>
      </x:c>
      <x:c r="F224" s="8" t="str">
        <x:v>DNSH</x:v>
      </x:c>
      <x:c r="G224" s="8" t="str">
        <x:v>Applicable</x:v>
      </x:c>
      <x:c r="H224" s="8" t="str">
        <x:v>Pass</x:v>
      </x:c>
      <x:c r="I224" s="8" t="str">
        <x:v>SYN-TEST-F022-BLD-LAND</x:v>
      </x:c>
      <x:c r="J224" s="8" t="str"/>
      <x:c r="K224" s="8" t="str">
        <x:v>Taxonomy analyst 1</x:v>
      </x:c>
      <x:c r="L224" s="8" t="str">
        <x:v>Taxonomy reviewer 2</x:v>
      </x:c>
      <x:c r="M224" s="10" t="n">
        <x:v>46266</x:v>
      </x:c>
      <x:c r="N224" s="10" t="n">
        <x:v>46631</x:v>
      </x:c>
      <x:c r="O224" s="8"/>
      <x:c r="P224" s="9" t="str">
        <x:f>IF(C224="","",IF(AND(G224="Applicable",H224="Fail"),"Fail",IF(R224&lt;&gt;"Valid","Pending",IF(OR(I224="",K224="",L224="",K224=L224,NOT(ISNUMBER(M224)),NOT(ISNUMBER(N224)),M224&gt;Settings!$F$8,N224&lt;Settings!$F$8,N224&lt;M224),"Pending",IF(AND(G224="Applicable",H224="Pass"),"Pass",IF(AND(G224="N/A",H224="N/A",J224&lt;&gt;"",OR(E224="CEM-FUELS",E224="CEM-CCS",AND(E224="CEM-PLAN",IFERROR(INDEX('Taxonomy'!$M$9:$M$108,MATCH(D224,'Taxonomy'!$C$9:$C$108,0)),"")&lt;&gt;"Amber"),E224="BLD-TIMBER",AND(U224="Building equipment",OR(E224="BLD-WATER",E224="BLD-WASTE",E224="BLD-LAND")),AND(U224="Building renovation",E224="BLD-LAND"))),"N/A","Pending"))))))</x:f>
        <x:v>Pass</x:v>
      </x:c>
      <x:c r="Q224" s="3" t="str">
        <x:f>IF(C224="","",IF(AND(R224="Valid",OR(P224="Pass",P224="N/A")),"Complete","Unresolved"))</x:f>
        <x:v>Complete</x:v>
      </x:c>
      <x:c r="R224" s="9" t="str">
        <x:f>IF(C224="","",IF(OR(COUNTIF($C$9:$C$2008,C224)&lt;&gt;1,COUNTIFS($D$9:$D$2008,D224,$E$9:$E$2008,E224)&lt;&gt;1),"Duplicate test",IF(COUNTIF('Taxonomy'!$C$9:$C$108,D224)&lt;&gt;1,"Assessment key",IF(OR(COUNTIF('Taxonomy Rules'!$C$42:$C$68,E224)&lt;&gt;1,F224&lt;&gt;IFERROR(INDEX('Taxonomy Rules'!$D$42:$D$68,MATCH(E224,'Taxonomy Rules'!$C$42:$C$68,0)),""),NOT(OR(IFERROR(INDEX('Taxonomy Rules'!$G$42:$G$68,MATCH(E224,'Taxonomy Rules'!$C$42:$C$68,0)),"")="All supported routes",IFERROR(INDEX('Taxonomy Rules'!$G$42:$G$68,MATCH(E224,'Taxonomy Rules'!$C$42:$C$68,0)),"")=U224,AND(IFERROR(INDEX('Taxonomy Rules'!$G$42:$G$68,MATCH(E224,'Taxonomy Rules'!$C$42:$C$68,0)),"")="Building routes",OR(U224="Building renovation",U224="New building",U224="Building equipment"))))),"Unexpected test","Valid"))))</x:f>
        <x:v>Valid</x:v>
      </x:c>
      <x:c r="S224" s="9" t="str">
        <x:f>IF(C224="","",IFERROR(INDEX('Taxonomy Rules'!$E$42:$E$68,MATCH(E224,'Taxonomy Rules'!$C$42:$C$68,0)),""))</x:f>
        <x:v>Protected habitats, endangered species and forest conversion exclusions assessed.</x:v>
      </x:c>
      <x:c r="T224" s="9" t="str">
        <x:f>IF(C224="","",IFERROR(INDEX('Taxonomy Rules'!$F$42:$F$68,MATCH(E224,'Taxonomy Rules'!$C$42:$C$68,0)),""))</x:f>
        <x:v>S10 p133</x:v>
      </x:c>
      <x:c r="U224" s="9" t="str">
        <x:f>IF(C224="","",IFERROR(INDEX('Taxonomy'!$G$9:$G$108,MATCH(D224,'Taxonomy'!$C$9:$C$108,0)),""))</x:f>
        <x:v>Building renovation</x:v>
      </x:c>
    </x:row>
    <x:row r="225" ht="44" customHeight="1">
      <x:c r="A225" s="1"/>
      <x:c r="B225" s="1"/>
      <x:c r="C225" s="8" t="str">
        <x:v>TST-F025-SC-EVIDENCE</x:v>
      </x:c>
      <x:c r="D225" s="8" t="str">
        <x:v>TAX-F025</x:v>
      </x:c>
      <x:c r="E225" s="8" t="str">
        <x:v>SC-EVIDENCE</x:v>
      </x:c>
      <x:c r="F225" s="8" t="str">
        <x:v>Technical</x:v>
      </x:c>
      <x:c r="G225" s="8" t="str">
        <x:v>Applicable</x:v>
      </x:c>
      <x:c r="H225" s="8" t="str">
        <x:v>Pass</x:v>
      </x:c>
      <x:c r="I225" s="8" t="str">
        <x:v>SYN-TEST-F025-SC-EVIDENCE</x:v>
      </x:c>
      <x:c r="J225" s="8" t="str"/>
      <x:c r="K225" s="8" t="str">
        <x:v>Taxonomy analyst 1</x:v>
      </x:c>
      <x:c r="L225" s="8" t="str">
        <x:v>Taxonomy reviewer 1</x:v>
      </x:c>
      <x:c r="M225" s="10" t="n">
        <x:v>46266</x:v>
      </x:c>
      <x:c r="N225" s="10" t="n">
        <x:v>46631</x:v>
      </x:c>
      <x:c r="O225" s="8"/>
      <x:c r="P225" s="9" t="str">
        <x:f>IF(C225="","",IF(AND(G225="Applicable",H225="Fail"),"Fail",IF(R225&lt;&gt;"Valid","Pending",IF(OR(I225="",K225="",L225="",K225=L225,NOT(ISNUMBER(M225)),NOT(ISNUMBER(N225)),M225&gt;Settings!$F$8,N225&lt;Settings!$F$8,N225&lt;M225),"Pending",IF(AND(G225="Applicable",H225="Pass"),"Pass",IF(AND(G225="N/A",H225="N/A",J225&lt;&gt;"",OR(E225="CEM-FUELS",E225="CEM-CCS",AND(E225="CEM-PLAN",IFERROR(INDEX('Taxonomy'!$M$9:$M$108,MATCH(D225,'Taxonomy'!$C$9:$C$108,0)),"")&lt;&gt;"Amber"),E225="BLD-TIMBER",AND(U225="Building equipment",OR(E225="BLD-WATER",E225="BLD-WASTE",E225="BLD-LAND")),AND(U225="Building renovation",E225="BLD-LAND"))),"N/A","Pending"))))))</x:f>
        <x:v>Pass</x:v>
      </x:c>
      <x:c r="Q225" s="3" t="str">
        <x:f>IF(C225="","",IF(AND(R225="Valid",OR(P225="Pass",P225="N/A")),"Complete","Unresolved"))</x:f>
        <x:v>Complete</x:v>
      </x:c>
      <x:c r="R225" s="9" t="str">
        <x:f>IF(C225="","",IF(OR(COUNTIF($C$9:$C$2008,C225)&lt;&gt;1,COUNTIFS($D$9:$D$2008,D225,$E$9:$E$2008,E225)&lt;&gt;1),"Duplicate test",IF(COUNTIF('Taxonomy'!$C$9:$C$108,D225)&lt;&gt;1,"Assessment key",IF(OR(COUNTIF('Taxonomy Rules'!$C$42:$C$68,E225)&lt;&gt;1,F225&lt;&gt;IFERROR(INDEX('Taxonomy Rules'!$D$42:$D$68,MATCH(E225,'Taxonomy Rules'!$C$42:$C$68,0)),""),NOT(OR(IFERROR(INDEX('Taxonomy Rules'!$G$42:$G$68,MATCH(E225,'Taxonomy Rules'!$C$42:$C$68,0)),"")="All supported routes",IFERROR(INDEX('Taxonomy Rules'!$G$42:$G$68,MATCH(E225,'Taxonomy Rules'!$C$42:$C$68,0)),"")=U225,AND(IFERROR(INDEX('Taxonomy Rules'!$G$42:$G$68,MATCH(E225,'Taxonomy Rules'!$C$42:$C$68,0)),"")="Building routes",OR(U225="Building renovation",U225="New building",U225="Building equipment"))))),"Unexpected test","Valid"))))</x:f>
        <x:v>Valid</x:v>
      </x:c>
      <x:c r="S225" s="9" t="str">
        <x:f>IF(C225="","",IFERROR(INDEX('Taxonomy Rules'!$E$42:$E$68,MATCH(E225,'Taxonomy Rules'!$C$42:$C$68,0)),""))</x:f>
        <x:v>Boundary and chosen route are evidenced; observations match the activity card.</x:v>
      </x:c>
      <x:c r="T225" s="9" t="str">
        <x:f>IF(C225="","",IFERROR(INDEX('Taxonomy Rules'!$F$42:$F$68,MATCH(E225,'Taxonomy Rules'!$C$42:$C$68,0)),""))</x:f>
        <x:v>S10 activity card</x:v>
      </x:c>
      <x:c r="U225" s="9" t="str">
        <x:f>IF(C225="","",IFERROR(INDEX('Taxonomy'!$G$9:$G$108,MATCH(D225,'Taxonomy'!$C$9:$C$108,0)),""))</x:f>
        <x:v>Cement</x:v>
      </x:c>
    </x:row>
    <x:row r="226" ht="44" customHeight="1">
      <x:c r="A226" s="1"/>
      <x:c r="B226" s="1"/>
      <x:c r="C226" s="8" t="str">
        <x:v>TST-F025-DNSH-MIT</x:v>
      </x:c>
      <x:c r="D226" s="8" t="str">
        <x:v>TAX-F025</x:v>
      </x:c>
      <x:c r="E226" s="8" t="str">
        <x:v>DNSH-MIT</x:v>
      </x:c>
      <x:c r="F226" s="8" t="str">
        <x:v>DNSH</x:v>
      </x:c>
      <x:c r="G226" s="8" t="str">
        <x:v>Applicable</x:v>
      </x:c>
      <x:c r="H226" s="8" t="str">
        <x:v>Pass</x:v>
      </x:c>
      <x:c r="I226" s="8" t="str">
        <x:v>SYN-TEST-F025-DNSH-MIT</x:v>
      </x:c>
      <x:c r="J226" s="8" t="str"/>
      <x:c r="K226" s="8" t="str">
        <x:v>Taxonomy analyst 1</x:v>
      </x:c>
      <x:c r="L226" s="8" t="str">
        <x:v>Taxonomy reviewer 1</x:v>
      </x:c>
      <x:c r="M226" s="10" t="n">
        <x:v>46266</x:v>
      </x:c>
      <x:c r="N226" s="10" t="n">
        <x:v>46631</x:v>
      </x:c>
      <x:c r="O226" s="8"/>
      <x:c r="P226" s="9" t="str">
        <x:f>IF(C226="","",IF(AND(G226="Applicable",H226="Fail"),"Fail",IF(R226&lt;&gt;"Valid","Pending",IF(OR(I226="",K226="",L226="",K226=L226,NOT(ISNUMBER(M226)),NOT(ISNUMBER(N226)),M226&gt;Settings!$F$8,N226&lt;Settings!$F$8,N226&lt;M226),"Pending",IF(AND(G226="Applicable",H226="Pass"),"Pass",IF(AND(G226="N/A",H226="N/A",J226&lt;&gt;"",OR(E226="CEM-FUELS",E226="CEM-CCS",AND(E226="CEM-PLAN",IFERROR(INDEX('Taxonomy'!$M$9:$M$108,MATCH(D226,'Taxonomy'!$C$9:$C$108,0)),"")&lt;&gt;"Amber"),E226="BLD-TIMBER",AND(U226="Building equipment",OR(E226="BLD-WATER",E226="BLD-WASTE",E226="BLD-LAND")),AND(U226="Building renovation",E226="BLD-LAND"))),"N/A","Pending"))))))</x:f>
        <x:v>Pass</x:v>
      </x:c>
      <x:c r="Q226" s="3" t="str">
        <x:f>IF(C226="","",IF(AND(R226="Valid",OR(P226="Pass",P226="N/A")),"Complete","Unresolved"))</x:f>
        <x:v>Complete</x:v>
      </x:c>
      <x:c r="R226" s="9" t="str">
        <x:f>IF(C226="","",IF(OR(COUNTIF($C$9:$C$2008,C226)&lt;&gt;1,COUNTIFS($D$9:$D$2008,D226,$E$9:$E$2008,E226)&lt;&gt;1),"Duplicate test",IF(COUNTIF('Taxonomy'!$C$9:$C$108,D226)&lt;&gt;1,"Assessment key",IF(OR(COUNTIF('Taxonomy Rules'!$C$42:$C$68,E226)&lt;&gt;1,F226&lt;&gt;IFERROR(INDEX('Taxonomy Rules'!$D$42:$D$68,MATCH(E226,'Taxonomy Rules'!$C$42:$C$68,0)),""),NOT(OR(IFERROR(INDEX('Taxonomy Rules'!$G$42:$G$68,MATCH(E226,'Taxonomy Rules'!$C$42:$C$68,0)),"")="All supported routes",IFERROR(INDEX('Taxonomy Rules'!$G$42:$G$68,MATCH(E226,'Taxonomy Rules'!$C$42:$C$68,0)),"")=U226,AND(IFERROR(INDEX('Taxonomy Rules'!$G$42:$G$68,MATCH(E226,'Taxonomy Rules'!$C$42:$C$68,0)),"")="Building routes",OR(U226="Building renovation",U226="New building",U226="Building equipment"))))),"Unexpected test","Valid"))))</x:f>
        <x:v>Valid</x:v>
      </x:c>
      <x:c r="S226" s="9" t="str">
        <x:f>IF(C226="","",IFERROR(INDEX('Taxonomy Rules'!$E$42:$E$68,MATCH(E226,'Taxonomy Rules'!$C$42:$C$68,0)),""))</x:f>
        <x:v>No avoidable fossil lock-in; material lifecycle effects assessed.</x:v>
      </x:c>
      <x:c r="T226" s="9" t="str">
        <x:f>IF(C226="","",IFERROR(INDEX('Taxonomy Rules'!$F$42:$F$68,MATCH(E226,'Taxonomy Rules'!$C$42:$C$68,0)),""))</x:f>
        <x:v>S10 p30</x:v>
      </x:c>
      <x:c r="U226" s="9" t="str">
        <x:f>IF(C226="","",IFERROR(INDEX('Taxonomy'!$G$9:$G$108,MATCH(D226,'Taxonomy'!$C$9:$C$108,0)),""))</x:f>
        <x:v>Cement</x:v>
      </x:c>
    </x:row>
    <x:row r="227" ht="44" customHeight="1">
      <x:c r="A227" s="1"/>
      <x:c r="B227" s="1"/>
      <x:c r="C227" s="8" t="str">
        <x:v>TST-F025-DNSH-ADAPT</x:v>
      </x:c>
      <x:c r="D227" s="8" t="str">
        <x:v>TAX-F025</x:v>
      </x:c>
      <x:c r="E227" s="8" t="str">
        <x:v>DNSH-ADAPT</x:v>
      </x:c>
      <x:c r="F227" s="8" t="str">
        <x:v>DNSH</x:v>
      </x:c>
      <x:c r="G227" s="8" t="str">
        <x:v>Applicable</x:v>
      </x:c>
      <x:c r="H227" s="8" t="str">
        <x:v>Pass</x:v>
      </x:c>
      <x:c r="I227" s="8" t="str">
        <x:v>SYN-TEST-F025-DNSH-ADAPT</x:v>
      </x:c>
      <x:c r="J227" s="8" t="str"/>
      <x:c r="K227" s="8" t="str">
        <x:v>Taxonomy analyst 1</x:v>
      </x:c>
      <x:c r="L227" s="8" t="str">
        <x:v>Taxonomy reviewer 1</x:v>
      </x:c>
      <x:c r="M227" s="10" t="n">
        <x:v>46266</x:v>
      </x:c>
      <x:c r="N227" s="10" t="n">
        <x:v>46631</x:v>
      </x:c>
      <x:c r="O227" s="8"/>
      <x:c r="P227" s="9" t="str">
        <x:f>IF(C227="","",IF(AND(G227="Applicable",H227="Fail"),"Fail",IF(R227&lt;&gt;"Valid","Pending",IF(OR(I227="",K227="",L227="",K227=L227,NOT(ISNUMBER(M227)),NOT(ISNUMBER(N227)),M227&gt;Settings!$F$8,N227&lt;Settings!$F$8,N227&lt;M227),"Pending",IF(AND(G227="Applicable",H227="Pass"),"Pass",IF(AND(G227="N/A",H227="N/A",J227&lt;&gt;"",OR(E227="CEM-FUELS",E227="CEM-CCS",AND(E227="CEM-PLAN",IFERROR(INDEX('Taxonomy'!$M$9:$M$108,MATCH(D227,'Taxonomy'!$C$9:$C$108,0)),"")&lt;&gt;"Amber"),E227="BLD-TIMBER",AND(U227="Building equipment",OR(E227="BLD-WATER",E227="BLD-WASTE",E227="BLD-LAND")),AND(U227="Building renovation",E227="BLD-LAND"))),"N/A","Pending"))))))</x:f>
        <x:v>Pass</x:v>
      </x:c>
      <x:c r="Q227" s="3" t="str">
        <x:f>IF(C227="","",IF(AND(R227="Valid",OR(P227="Pass",P227="N/A")),"Complete","Unresolved"))</x:f>
        <x:v>Complete</x:v>
      </x:c>
      <x:c r="R227" s="9" t="str">
        <x:f>IF(C227="","",IF(OR(COUNTIF($C$9:$C$2008,C227)&lt;&gt;1,COUNTIFS($D$9:$D$2008,D227,$E$9:$E$2008,E227)&lt;&gt;1),"Duplicate test",IF(COUNTIF('Taxonomy'!$C$9:$C$108,D227)&lt;&gt;1,"Assessment key",IF(OR(COUNTIF('Taxonomy Rules'!$C$42:$C$68,E227)&lt;&gt;1,F227&lt;&gt;IFERROR(INDEX('Taxonomy Rules'!$D$42:$D$68,MATCH(E227,'Taxonomy Rules'!$C$42:$C$68,0)),""),NOT(OR(IFERROR(INDEX('Taxonomy Rules'!$G$42:$G$68,MATCH(E227,'Taxonomy Rules'!$C$42:$C$68,0)),"")="All supported routes",IFERROR(INDEX('Taxonomy Rules'!$G$42:$G$68,MATCH(E227,'Taxonomy Rules'!$C$42:$C$68,0)),"")=U227,AND(IFERROR(INDEX('Taxonomy Rules'!$G$42:$G$68,MATCH(E227,'Taxonomy Rules'!$C$42:$C$68,0)),"")="Building routes",OR(U227="Building renovation",U227="New building",U227="Building equipment"))))),"Unexpected test","Valid"))))</x:f>
        <x:v>Valid</x:v>
      </x:c>
      <x:c r="S227" s="9" t="str">
        <x:f>IF(C227="","",IFERROR(INDEX('Taxonomy Rules'!$E$42:$E$68,MATCH(E227,'Taxonomy Rules'!$C$42:$C$68,0)),""))</x:f>
        <x:v>Lifetime hazard screen, material risk assessment and implemented adaptation; no harm to others.</x:v>
      </x:c>
      <x:c r="T227" s="9" t="str">
        <x:f>IF(C227="","",IFERROR(INDEX('Taxonomy Rules'!$F$42:$F$68,MATCH(E227,'Taxonomy Rules'!$C$42:$C$68,0)),""))</x:f>
        <x:v>S10 pp30–31</x:v>
      </x:c>
      <x:c r="U227" s="9" t="str">
        <x:f>IF(C227="","",IFERROR(INDEX('Taxonomy'!$G$9:$G$108,MATCH(D227,'Taxonomy'!$C$9:$C$108,0)),""))</x:f>
        <x:v>Cement</x:v>
      </x:c>
    </x:row>
    <x:row r="228" ht="44" customHeight="1">
      <x:c r="A228" s="1"/>
      <x:c r="B228" s="1"/>
      <x:c r="C228" s="8" t="str">
        <x:v>TST-F025-DNSH-WATER</x:v>
      </x:c>
      <x:c r="D228" s="8" t="str">
        <x:v>TAX-F025</x:v>
      </x:c>
      <x:c r="E228" s="8" t="str">
        <x:v>DNSH-WATER</x:v>
      </x:c>
      <x:c r="F228" s="8" t="str">
        <x:v>DNSH</x:v>
      </x:c>
      <x:c r="G228" s="8" t="str">
        <x:v>Applicable</x:v>
      </x:c>
      <x:c r="H228" s="8" t="str">
        <x:v>Pass</x:v>
      </x:c>
      <x:c r="I228" s="8" t="str">
        <x:v>SYN-TEST-F025-DNSH-WATER</x:v>
      </x:c>
      <x:c r="J228" s="8" t="str"/>
      <x:c r="K228" s="8" t="str">
        <x:v>Taxonomy analyst 1</x:v>
      </x:c>
      <x:c r="L228" s="8" t="str">
        <x:v>Taxonomy reviewer 1</x:v>
      </x:c>
      <x:c r="M228" s="10" t="n">
        <x:v>46266</x:v>
      </x:c>
      <x:c r="N228" s="10" t="n">
        <x:v>46631</x:v>
      </x:c>
      <x:c r="O228" s="8"/>
      <x:c r="P228" s="9" t="str">
        <x:f>IF(C228="","",IF(AND(G228="Applicable",H228="Fail"),"Fail",IF(R228&lt;&gt;"Valid","Pending",IF(OR(I228="",K228="",L228="",K228=L228,NOT(ISNUMBER(M228)),NOT(ISNUMBER(N228)),M228&gt;Settings!$F$8,N228&lt;Settings!$F$8,N228&lt;M228),"Pending",IF(AND(G228="Applicable",H228="Pass"),"Pass",IF(AND(G228="N/A",H228="N/A",J228&lt;&gt;"",OR(E228="CEM-FUELS",E228="CEM-CCS",AND(E228="CEM-PLAN",IFERROR(INDEX('Taxonomy'!$M$9:$M$108,MATCH(D228,'Taxonomy'!$C$9:$C$108,0)),"")&lt;&gt;"Amber"),E228="BLD-TIMBER",AND(U228="Building equipment",OR(E228="BLD-WATER",E228="BLD-WASTE",E228="BLD-LAND")),AND(U228="Building renovation",E228="BLD-LAND"))),"N/A","Pending"))))))</x:f>
        <x:v>Pass</x:v>
      </x:c>
      <x:c r="Q228" s="3" t="str">
        <x:f>IF(C228="","",IF(AND(R228="Valid",OR(P228="Pass",P228="N/A")),"Complete","Unresolved"))</x:f>
        <x:v>Complete</x:v>
      </x:c>
      <x:c r="R228" s="9" t="str">
        <x:f>IF(C228="","",IF(OR(COUNTIF($C$9:$C$2008,C228)&lt;&gt;1,COUNTIFS($D$9:$D$2008,D228,$E$9:$E$2008,E228)&lt;&gt;1),"Duplicate test",IF(COUNTIF('Taxonomy'!$C$9:$C$108,D228)&lt;&gt;1,"Assessment key",IF(OR(COUNTIF('Taxonomy Rules'!$C$42:$C$68,E228)&lt;&gt;1,F228&lt;&gt;IFERROR(INDEX('Taxonomy Rules'!$D$42:$D$68,MATCH(E228,'Taxonomy Rules'!$C$42:$C$68,0)),""),NOT(OR(IFERROR(INDEX('Taxonomy Rules'!$G$42:$G$68,MATCH(E228,'Taxonomy Rules'!$C$42:$C$68,0)),"")="All supported routes",IFERROR(INDEX('Taxonomy Rules'!$G$42:$G$68,MATCH(E228,'Taxonomy Rules'!$C$42:$C$68,0)),"")=U228,AND(IFERROR(INDEX('Taxonomy Rules'!$G$42:$G$68,MATCH(E228,'Taxonomy Rules'!$C$42:$C$68,0)),"")="Building routes",OR(U228="Building renovation",U228="New building",U228="Building equipment"))))),"Unexpected test","Valid"))))</x:f>
        <x:v>Valid</x:v>
      </x:c>
      <x:c r="S228" s="9" t="str">
        <x:f>IF(C228="","",IFERROR(INDEX('Taxonomy Rules'!$E$42:$E$68,MATCH(E228,'Taxonomy Rules'!$C$42:$C$68,0)),""))</x:f>
        <x:v>Water permits, abstraction/discharge limits, required assessments and management measures.</x:v>
      </x:c>
      <x:c r="T228" s="9" t="str">
        <x:f>IF(C228="","",IFERROR(INDEX('Taxonomy Rules'!$F$42:$F$68,MATCH(E228,'Taxonomy Rules'!$C$42:$C$68,0)),""))</x:f>
        <x:v>S10 p31</x:v>
      </x:c>
      <x:c r="U228" s="9" t="str">
        <x:f>IF(C228="","",IFERROR(INDEX('Taxonomy'!$G$9:$G$108,MATCH(D228,'Taxonomy'!$C$9:$C$108,0)),""))</x:f>
        <x:v>Cement</x:v>
      </x:c>
    </x:row>
    <x:row r="229" ht="44" customHeight="1">
      <x:c r="A229" s="1"/>
      <x:c r="B229" s="1"/>
      <x:c r="C229" s="8" t="str">
        <x:v>TST-F025-DNSH-POLL</x:v>
      </x:c>
      <x:c r="D229" s="8" t="str">
        <x:v>TAX-F025</x:v>
      </x:c>
      <x:c r="E229" s="8" t="str">
        <x:v>DNSH-POLL</x:v>
      </x:c>
      <x:c r="F229" s="8" t="str">
        <x:v>DNSH</x:v>
      </x:c>
      <x:c r="G229" s="8" t="str">
        <x:v>Applicable</x:v>
      </x:c>
      <x:c r="H229" s="8" t="str">
        <x:v>Pass</x:v>
      </x:c>
      <x:c r="I229" s="8" t="str">
        <x:v>SYN-TEST-F025-DNSH-POLL</x:v>
      </x:c>
      <x:c r="J229" s="8" t="str"/>
      <x:c r="K229" s="8" t="str">
        <x:v>Taxonomy analyst 1</x:v>
      </x:c>
      <x:c r="L229" s="8" t="str">
        <x:v>Taxonomy reviewer 1</x:v>
      </x:c>
      <x:c r="M229" s="10" t="n">
        <x:v>46266</x:v>
      </x:c>
      <x:c r="N229" s="10" t="n">
        <x:v>46631</x:v>
      </x:c>
      <x:c r="O229" s="8"/>
      <x:c r="P229" s="9" t="str">
        <x:f>IF(C229="","",IF(AND(G229="Applicable",H229="Fail"),"Fail",IF(R229&lt;&gt;"Valid","Pending",IF(OR(I229="",K229="",L229="",K229=L229,NOT(ISNUMBER(M229)),NOT(ISNUMBER(N229)),M229&gt;Settings!$F$8,N229&lt;Settings!$F$8,N229&lt;M229),"Pending",IF(AND(G229="Applicable",H229="Pass"),"Pass",IF(AND(G229="N/A",H229="N/A",J229&lt;&gt;"",OR(E229="CEM-FUELS",E229="CEM-CCS",AND(E229="CEM-PLAN",IFERROR(INDEX('Taxonomy'!$M$9:$M$108,MATCH(D229,'Taxonomy'!$C$9:$C$108,0)),"")&lt;&gt;"Amber"),E229="BLD-TIMBER",AND(U229="Building equipment",OR(E229="BLD-WATER",E229="BLD-WASTE",E229="BLD-LAND")),AND(U229="Building renovation",E229="BLD-LAND"))),"N/A","Pending"))))))</x:f>
        <x:v>Pass</x:v>
      </x:c>
      <x:c r="Q229" s="3" t="str">
        <x:f>IF(C229="","",IF(AND(R229="Valid",OR(P229="Pass",P229="N/A")),"Complete","Unresolved"))</x:f>
        <x:v>Complete</x:v>
      </x:c>
      <x:c r="R229" s="9" t="str">
        <x:f>IF(C229="","",IF(OR(COUNTIF($C$9:$C$2008,C229)&lt;&gt;1,COUNTIFS($D$9:$D$2008,D229,$E$9:$E$2008,E229)&lt;&gt;1),"Duplicate test",IF(COUNTIF('Taxonomy'!$C$9:$C$108,D229)&lt;&gt;1,"Assessment key",IF(OR(COUNTIF('Taxonomy Rules'!$C$42:$C$68,E229)&lt;&gt;1,F229&lt;&gt;IFERROR(INDEX('Taxonomy Rules'!$D$42:$D$68,MATCH(E229,'Taxonomy Rules'!$C$42:$C$68,0)),""),NOT(OR(IFERROR(INDEX('Taxonomy Rules'!$G$42:$G$68,MATCH(E229,'Taxonomy Rules'!$C$42:$C$68,0)),"")="All supported routes",IFERROR(INDEX('Taxonomy Rules'!$G$42:$G$68,MATCH(E229,'Taxonomy Rules'!$C$42:$C$68,0)),"")=U229,AND(IFERROR(INDEX('Taxonomy Rules'!$G$42:$G$68,MATCH(E229,'Taxonomy Rules'!$C$42:$C$68,0)),"")="Building routes",OR(U229="Building renovation",U229="New building",U229="Building equipment"))))),"Unexpected test","Valid"))))</x:f>
        <x:v>Valid</x:v>
      </x:c>
      <x:c r="S229" s="9" t="str">
        <x:f>IF(C229="","",IFERROR(INDEX('Taxonomy Rules'!$E$42:$E$68,MATCH(E229,'Taxonomy Rules'!$C$42:$C$68,0)),""))</x:f>
        <x:v>National pollution and prohibited-substance requirements; activity-specific limits.</x:v>
      </x:c>
      <x:c r="T229" s="9" t="str">
        <x:f>IF(C229="","",IFERROR(INDEX('Taxonomy Rules'!$F$42:$F$68,MATCH(E229,'Taxonomy Rules'!$C$42:$C$68,0)),""))</x:f>
        <x:v>S10 p31</x:v>
      </x:c>
      <x:c r="U229" s="9" t="str">
        <x:f>IF(C229="","",IFERROR(INDEX('Taxonomy'!$G$9:$G$108,MATCH(D229,'Taxonomy'!$C$9:$C$108,0)),""))</x:f>
        <x:v>Cement</x:v>
      </x:c>
    </x:row>
    <x:row r="230" ht="44" customHeight="1">
      <x:c r="A230" s="1"/>
      <x:c r="B230" s="1"/>
      <x:c r="C230" s="8" t="str">
        <x:v>TST-F025-DNSH-CIRC</x:v>
      </x:c>
      <x:c r="D230" s="8" t="str">
        <x:v>TAX-F025</x:v>
      </x:c>
      <x:c r="E230" s="8" t="str">
        <x:v>DNSH-CIRC</x:v>
      </x:c>
      <x:c r="F230" s="8" t="str">
        <x:v>DNSH</x:v>
      </x:c>
      <x:c r="G230" s="8" t="str">
        <x:v>Applicable</x:v>
      </x:c>
      <x:c r="H230" s="8" t="str">
        <x:v>Pass</x:v>
      </x:c>
      <x:c r="I230" s="8" t="str">
        <x:v>SYN-TEST-F025-DNSH-CIRC</x:v>
      </x:c>
      <x:c r="J230" s="8" t="str"/>
      <x:c r="K230" s="8" t="str">
        <x:v>Taxonomy analyst 1</x:v>
      </x:c>
      <x:c r="L230" s="8" t="str">
        <x:v>Taxonomy reviewer 1</x:v>
      </x:c>
      <x:c r="M230" s="10" t="n">
        <x:v>46266</x:v>
      </x:c>
      <x:c r="N230" s="10" t="n">
        <x:v>46631</x:v>
      </x:c>
      <x:c r="O230" s="8"/>
      <x:c r="P230" s="9" t="str">
        <x:f>IF(C230="","",IF(AND(G230="Applicable",H230="Fail"),"Fail",IF(R230&lt;&gt;"Valid","Pending",IF(OR(I230="",K230="",L230="",K230=L230,NOT(ISNUMBER(M230)),NOT(ISNUMBER(N230)),M230&gt;Settings!$F$8,N230&lt;Settings!$F$8,N230&lt;M230),"Pending",IF(AND(G230="Applicable",H230="Pass"),"Pass",IF(AND(G230="N/A",H230="N/A",J230&lt;&gt;"",OR(E230="CEM-FUELS",E230="CEM-CCS",AND(E230="CEM-PLAN",IFERROR(INDEX('Taxonomy'!$M$9:$M$108,MATCH(D230,'Taxonomy'!$C$9:$C$108,0)),"")&lt;&gt;"Amber"),E230="BLD-TIMBER",AND(U230="Building equipment",OR(E230="BLD-WATER",E230="BLD-WASTE",E230="BLD-LAND")),AND(U230="Building renovation",E230="BLD-LAND"))),"N/A","Pending"))))))</x:f>
        <x:v>Pass</x:v>
      </x:c>
      <x:c r="Q230" s="3" t="str">
        <x:f>IF(C230="","",IF(AND(R230="Valid",OR(P230="Pass",P230="N/A")),"Complete","Unresolved"))</x:f>
        <x:v>Complete</x:v>
      </x:c>
      <x:c r="R230" s="9" t="str">
        <x:f>IF(C230="","",IF(OR(COUNTIF($C$9:$C$2008,C230)&lt;&gt;1,COUNTIFS($D$9:$D$2008,D230,$E$9:$E$2008,E230)&lt;&gt;1),"Duplicate test",IF(COUNTIF('Taxonomy'!$C$9:$C$108,D230)&lt;&gt;1,"Assessment key",IF(OR(COUNTIF('Taxonomy Rules'!$C$42:$C$68,E230)&lt;&gt;1,F230&lt;&gt;IFERROR(INDEX('Taxonomy Rules'!$D$42:$D$68,MATCH(E230,'Taxonomy Rules'!$C$42:$C$68,0)),""),NOT(OR(IFERROR(INDEX('Taxonomy Rules'!$G$42:$G$68,MATCH(E230,'Taxonomy Rules'!$C$42:$C$68,0)),"")="All supported routes",IFERROR(INDEX('Taxonomy Rules'!$G$42:$G$68,MATCH(E230,'Taxonomy Rules'!$C$42:$C$68,0)),"")=U230,AND(IFERROR(INDEX('Taxonomy Rules'!$G$42:$G$68,MATCH(E230,'Taxonomy Rules'!$C$42:$C$68,0)),"")="Building routes",OR(U230="Building renovation",U230="New building",U230="Building equipment"))))),"Unexpected test","Valid"))))</x:f>
        <x:v>Valid</x:v>
      </x:c>
      <x:c r="S230" s="9" t="str">
        <x:f>IF(C230="","",IFERROR(INDEX('Taxonomy Rules'!$E$42:$E$68,MATCH(E230,'Taxonomy Rules'!$C$42:$C$68,0)),""))</x:f>
        <x:v>Waste hierarchy, resource efficiency, hazardous-waste traceability and end-of-life arrangements.</x:v>
      </x:c>
      <x:c r="T230" s="9" t="str">
        <x:f>IF(C230="","",IFERROR(INDEX('Taxonomy Rules'!$F$42:$F$68,MATCH(E230,'Taxonomy Rules'!$C$42:$C$68,0)),""))</x:f>
        <x:v>S10 p32</x:v>
      </x:c>
      <x:c r="U230" s="9" t="str">
        <x:f>IF(C230="","",IFERROR(INDEX('Taxonomy'!$G$9:$G$108,MATCH(D230,'Taxonomy'!$C$9:$C$108,0)),""))</x:f>
        <x:v>Cement</x:v>
      </x:c>
    </x:row>
    <x:row r="231" ht="44" customHeight="1">
      <x:c r="A231" s="1"/>
      <x:c r="B231" s="1"/>
      <x:c r="C231" s="8" t="str">
        <x:v>TST-F025-DNSH-BIO</x:v>
      </x:c>
      <x:c r="D231" s="8" t="str">
        <x:v>TAX-F025</x:v>
      </x:c>
      <x:c r="E231" s="8" t="str">
        <x:v>DNSH-BIO</x:v>
      </x:c>
      <x:c r="F231" s="8" t="str">
        <x:v>DNSH</x:v>
      </x:c>
      <x:c r="G231" s="8" t="str">
        <x:v>Applicable</x:v>
      </x:c>
      <x:c r="H231" s="8" t="str">
        <x:v>Pass</x:v>
      </x:c>
      <x:c r="I231" s="8" t="str">
        <x:v>SYN-TEST-F025-DNSH-BIO</x:v>
      </x:c>
      <x:c r="J231" s="8" t="str"/>
      <x:c r="K231" s="8" t="str">
        <x:v>Taxonomy analyst 1</x:v>
      </x:c>
      <x:c r="L231" s="8" t="str">
        <x:v>Taxonomy reviewer 1</x:v>
      </x:c>
      <x:c r="M231" s="10" t="n">
        <x:v>46266</x:v>
      </x:c>
      <x:c r="N231" s="10" t="n">
        <x:v>46631</x:v>
      </x:c>
      <x:c r="O231" s="8"/>
      <x:c r="P231" s="9" t="str">
        <x:f>IF(C231="","",IF(AND(G231="Applicable",H231="Fail"),"Fail",IF(R231&lt;&gt;"Valid","Pending",IF(OR(I231="",K231="",L231="",K231=L231,NOT(ISNUMBER(M231)),NOT(ISNUMBER(N231)),M231&gt;Settings!$F$8,N231&lt;Settings!$F$8,N231&lt;M231),"Pending",IF(AND(G231="Applicable",H231="Pass"),"Pass",IF(AND(G231="N/A",H231="N/A",J231&lt;&gt;"",OR(E231="CEM-FUELS",E231="CEM-CCS",AND(E231="CEM-PLAN",IFERROR(INDEX('Taxonomy'!$M$9:$M$108,MATCH(D231,'Taxonomy'!$C$9:$C$108,0)),"")&lt;&gt;"Amber"),E231="BLD-TIMBER",AND(U231="Building equipment",OR(E231="BLD-WATER",E231="BLD-WASTE",E231="BLD-LAND")),AND(U231="Building renovation",E231="BLD-LAND"))),"N/A","Pending"))))))</x:f>
        <x:v>Pass</x:v>
      </x:c>
      <x:c r="Q231" s="3" t="str">
        <x:f>IF(C231="","",IF(AND(R231="Valid",OR(P231="Pass",P231="N/A")),"Complete","Unresolved"))</x:f>
        <x:v>Complete</x:v>
      </x:c>
      <x:c r="R231" s="9" t="str">
        <x:f>IF(C231="","",IF(OR(COUNTIF($C$9:$C$2008,C231)&lt;&gt;1,COUNTIFS($D$9:$D$2008,D231,$E$9:$E$2008,E231)&lt;&gt;1),"Duplicate test",IF(COUNTIF('Taxonomy'!$C$9:$C$108,D231)&lt;&gt;1,"Assessment key",IF(OR(COUNTIF('Taxonomy Rules'!$C$42:$C$68,E231)&lt;&gt;1,F231&lt;&gt;IFERROR(INDEX('Taxonomy Rules'!$D$42:$D$68,MATCH(E231,'Taxonomy Rules'!$C$42:$C$68,0)),""),NOT(OR(IFERROR(INDEX('Taxonomy Rules'!$G$42:$G$68,MATCH(E231,'Taxonomy Rules'!$C$42:$C$68,0)),"")="All supported routes",IFERROR(INDEX('Taxonomy Rules'!$G$42:$G$68,MATCH(E231,'Taxonomy Rules'!$C$42:$C$68,0)),"")=U231,AND(IFERROR(INDEX('Taxonomy Rules'!$G$42:$G$68,MATCH(E231,'Taxonomy Rules'!$C$42:$C$68,0)),"")="Building routes",OR(U231="Building renovation",U231="New building",U231="Building equipment"))))),"Unexpected test","Valid"))))</x:f>
        <x:v>Valid</x:v>
      </x:c>
      <x:c r="S231" s="9" t="str">
        <x:f>IF(C231="","",IFERROR(INDEX('Taxonomy Rules'!$E$42:$E$68,MATCH(E231,'Taxonomy Rules'!$C$42:$C$68,0)),""))</x:f>
        <x:v>Required EIA, habitat screening and implemented mitigation.</x:v>
      </x:c>
      <x:c r="T231" s="9" t="str">
        <x:f>IF(C231="","",IFERROR(INDEX('Taxonomy Rules'!$F$42:$F$68,MATCH(E231,'Taxonomy Rules'!$C$42:$C$68,0)),""))</x:f>
        <x:v>S10 p32</x:v>
      </x:c>
      <x:c r="U231" s="9" t="str">
        <x:f>IF(C231="","",IFERROR(INDEX('Taxonomy'!$G$9:$G$108,MATCH(D231,'Taxonomy'!$C$9:$C$108,0)),""))</x:f>
        <x:v>Cement</x:v>
      </x:c>
    </x:row>
    <x:row r="232" ht="44" customHeight="1">
      <x:c r="A232" s="1"/>
      <x:c r="B232" s="1"/>
      <x:c r="C232" s="8" t="str">
        <x:v>TST-F025-MSS-LABOUR</x:v>
      </x:c>
      <x:c r="D232" s="8" t="str">
        <x:v>TAX-F025</x:v>
      </x:c>
      <x:c r="E232" s="8" t="str">
        <x:v>MSS-LABOUR</x:v>
      </x:c>
      <x:c r="F232" s="8" t="str">
        <x:v>MSS</x:v>
      </x:c>
      <x:c r="G232" s="8" t="str">
        <x:v>Applicable</x:v>
      </x:c>
      <x:c r="H232" s="8" t="str">
        <x:v>Pass</x:v>
      </x:c>
      <x:c r="I232" s="8" t="str">
        <x:v>SYN-TEST-F025-MSS-LABOUR</x:v>
      </x:c>
      <x:c r="J232" s="8" t="str"/>
      <x:c r="K232" s="8" t="str">
        <x:v>Taxonomy analyst 1</x:v>
      </x:c>
      <x:c r="L232" s="8" t="str">
        <x:v>Taxonomy reviewer 1</x:v>
      </x:c>
      <x:c r="M232" s="10" t="n">
        <x:v>46266</x:v>
      </x:c>
      <x:c r="N232" s="10" t="n">
        <x:v>46631</x:v>
      </x:c>
      <x:c r="O232" s="8"/>
      <x:c r="P232" s="9" t="str">
        <x:f>IF(C232="","",IF(AND(G232="Applicable",H232="Fail"),"Fail",IF(R232&lt;&gt;"Valid","Pending",IF(OR(I232="",K232="",L232="",K232=L232,NOT(ISNUMBER(M232)),NOT(ISNUMBER(N232)),M232&gt;Settings!$F$8,N232&lt;Settings!$F$8,N232&lt;M232),"Pending",IF(AND(G232="Applicable",H232="Pass"),"Pass",IF(AND(G232="N/A",H232="N/A",J232&lt;&gt;"",OR(E232="CEM-FUELS",E232="CEM-CCS",AND(E232="CEM-PLAN",IFERROR(INDEX('Taxonomy'!$M$9:$M$108,MATCH(D232,'Taxonomy'!$C$9:$C$108,0)),"")&lt;&gt;"Amber"),E232="BLD-TIMBER",AND(U232="Building equipment",OR(E232="BLD-WATER",E232="BLD-WASTE",E232="BLD-LAND")),AND(U232="Building renovation",E232="BLD-LAND"))),"N/A","Pending"))))))</x:f>
        <x:v>Pass</x:v>
      </x:c>
      <x:c r="Q232" s="3" t="str">
        <x:f>IF(C232="","",IF(AND(R232="Valid",OR(P232="Pass",P232="N/A")),"Complete","Unresolved"))</x:f>
        <x:v>Complete</x:v>
      </x:c>
      <x:c r="R232" s="9" t="str">
        <x:f>IF(C232="","",IF(OR(COUNTIF($C$9:$C$2008,C232)&lt;&gt;1,COUNTIFS($D$9:$D$2008,D232,$E$9:$E$2008,E232)&lt;&gt;1),"Duplicate test",IF(COUNTIF('Taxonomy'!$C$9:$C$108,D232)&lt;&gt;1,"Assessment key",IF(OR(COUNTIF('Taxonomy Rules'!$C$42:$C$68,E232)&lt;&gt;1,F232&lt;&gt;IFERROR(INDEX('Taxonomy Rules'!$D$42:$D$68,MATCH(E232,'Taxonomy Rules'!$C$42:$C$68,0)),""),NOT(OR(IFERROR(INDEX('Taxonomy Rules'!$G$42:$G$68,MATCH(E232,'Taxonomy Rules'!$C$42:$C$68,0)),"")="All supported routes",IFERROR(INDEX('Taxonomy Rules'!$G$42:$G$68,MATCH(E232,'Taxonomy Rules'!$C$42:$C$68,0)),"")=U232,AND(IFERROR(INDEX('Taxonomy Rules'!$G$42:$G$68,MATCH(E232,'Taxonomy Rules'!$C$42:$C$68,0)),"")="Building routes",OR(U232="Building renovation",U232="New building",U232="Building equipment"))))),"Unexpected test","Valid"))))</x:f>
        <x:v>Valid</x:v>
      </x:c>
      <x:c r="S232" s="9" t="str">
        <x:f>IF(C232="","",IFERROR(INDEX('Taxonomy Rules'!$E$42:$E$68,MATCH(E232,'Taxonomy Rules'!$C$42:$C$68,0)),""))</x:f>
        <x:v>Labour rights, minimum age, no child/forced labour, equality and worker representation.</x:v>
      </x:c>
      <x:c r="T232" s="9" t="str">
        <x:f>IF(C232="","",IFERROR(INDEX('Taxonomy Rules'!$F$42:$F$68,MATCH(E232,'Taxonomy Rules'!$C$42:$C$68,0)),""))</x:f>
        <x:v>S10 p29</x:v>
      </x:c>
      <x:c r="U232" s="9" t="str">
        <x:f>IF(C232="","",IFERROR(INDEX('Taxonomy'!$G$9:$G$108,MATCH(D232,'Taxonomy'!$C$9:$C$108,0)),""))</x:f>
        <x:v>Cement</x:v>
      </x:c>
    </x:row>
    <x:row r="233" ht="44" customHeight="1">
      <x:c r="A233" s="1"/>
      <x:c r="B233" s="1"/>
      <x:c r="C233" s="8" t="str">
        <x:v>TST-F025-MSS-OSH</x:v>
      </x:c>
      <x:c r="D233" s="8" t="str">
        <x:v>TAX-F025</x:v>
      </x:c>
      <x:c r="E233" s="8" t="str">
        <x:v>MSS-OSH</x:v>
      </x:c>
      <x:c r="F233" s="8" t="str">
        <x:v>MSS</x:v>
      </x:c>
      <x:c r="G233" s="8" t="str">
        <x:v>Applicable</x:v>
      </x:c>
      <x:c r="H233" s="8" t="str">
        <x:v>Pass</x:v>
      </x:c>
      <x:c r="I233" s="8" t="str">
        <x:v>SYN-TEST-F025-MSS-OSH</x:v>
      </x:c>
      <x:c r="J233" s="8" t="str"/>
      <x:c r="K233" s="8" t="str">
        <x:v>Taxonomy analyst 1</x:v>
      </x:c>
      <x:c r="L233" s="8" t="str">
        <x:v>Taxonomy reviewer 1</x:v>
      </x:c>
      <x:c r="M233" s="10" t="n">
        <x:v>46266</x:v>
      </x:c>
      <x:c r="N233" s="10" t="n">
        <x:v>46631</x:v>
      </x:c>
      <x:c r="O233" s="8"/>
      <x:c r="P233" s="9" t="str">
        <x:f>IF(C233="","",IF(AND(G233="Applicable",H233="Fail"),"Fail",IF(R233&lt;&gt;"Valid","Pending",IF(OR(I233="",K233="",L233="",K233=L233,NOT(ISNUMBER(M233)),NOT(ISNUMBER(N233)),M233&gt;Settings!$F$8,N233&lt;Settings!$F$8,N233&lt;M233),"Pending",IF(AND(G233="Applicable",H233="Pass"),"Pass",IF(AND(G233="N/A",H233="N/A",J233&lt;&gt;"",OR(E233="CEM-FUELS",E233="CEM-CCS",AND(E233="CEM-PLAN",IFERROR(INDEX('Taxonomy'!$M$9:$M$108,MATCH(D233,'Taxonomy'!$C$9:$C$108,0)),"")&lt;&gt;"Amber"),E233="BLD-TIMBER",AND(U233="Building equipment",OR(E233="BLD-WATER",E233="BLD-WASTE",E233="BLD-LAND")),AND(U233="Building renovation",E233="BLD-LAND"))),"N/A","Pending"))))))</x:f>
        <x:v>Pass</x:v>
      </x:c>
      <x:c r="Q233" s="3" t="str">
        <x:f>IF(C233="","",IF(AND(R233="Valid",OR(P233="Pass",P233="N/A")),"Complete","Unresolved"))</x:f>
        <x:v>Complete</x:v>
      </x:c>
      <x:c r="R233" s="9" t="str">
        <x:f>IF(C233="","",IF(OR(COUNTIF($C$9:$C$2008,C233)&lt;&gt;1,COUNTIFS($D$9:$D$2008,D233,$E$9:$E$2008,E233)&lt;&gt;1),"Duplicate test",IF(COUNTIF('Taxonomy'!$C$9:$C$108,D233)&lt;&gt;1,"Assessment key",IF(OR(COUNTIF('Taxonomy Rules'!$C$42:$C$68,E233)&lt;&gt;1,F233&lt;&gt;IFERROR(INDEX('Taxonomy Rules'!$D$42:$D$68,MATCH(E233,'Taxonomy Rules'!$C$42:$C$68,0)),""),NOT(OR(IFERROR(INDEX('Taxonomy Rules'!$G$42:$G$68,MATCH(E233,'Taxonomy Rules'!$C$42:$C$68,0)),"")="All supported routes",IFERROR(INDEX('Taxonomy Rules'!$G$42:$G$68,MATCH(E233,'Taxonomy Rules'!$C$42:$C$68,0)),"")=U233,AND(IFERROR(INDEX('Taxonomy Rules'!$G$42:$G$68,MATCH(E233,'Taxonomy Rules'!$C$42:$C$68,0)),"")="Building routes",OR(U233="Building renovation",U233="New building",U233="Building equipment"))))),"Unexpected test","Valid"))))</x:f>
        <x:v>Valid</x:v>
      </x:c>
      <x:c r="S233" s="9" t="str">
        <x:f>IF(C233="","",IFERROR(INDEX('Taxonomy Rules'!$E$42:$E$68,MATCH(E233,'Taxonomy Rules'!$C$42:$C$68,0)),""))</x:f>
        <x:v>Applicable occupational safety, hazard prevention and emergency readiness.</x:v>
      </x:c>
      <x:c r="T233" s="9" t="str">
        <x:f>IF(C233="","",IFERROR(INDEX('Taxonomy Rules'!$F$42:$F$68,MATCH(E233,'Taxonomy Rules'!$C$42:$C$68,0)),""))</x:f>
        <x:v>S10 p29</x:v>
      </x:c>
      <x:c r="U233" s="9" t="str">
        <x:f>IF(C233="","",IFERROR(INDEX('Taxonomy'!$G$9:$G$108,MATCH(D233,'Taxonomy'!$C$9:$C$108,0)),""))</x:f>
        <x:v>Cement</x:v>
      </x:c>
    </x:row>
    <x:row r="234" ht="44" customHeight="1">
      <x:c r="A234" s="1"/>
      <x:c r="B234" s="1"/>
      <x:c r="C234" s="8" t="str">
        <x:v>TST-F025-MSS-RIGHTS</x:v>
      </x:c>
      <x:c r="D234" s="8" t="str">
        <x:v>TAX-F025</x:v>
      </x:c>
      <x:c r="E234" s="8" t="str">
        <x:v>MSS-RIGHTS</x:v>
      </x:c>
      <x:c r="F234" s="8" t="str">
        <x:v>MSS</x:v>
      </x:c>
      <x:c r="G234" s="8" t="str">
        <x:v>Applicable</x:v>
      </x:c>
      <x:c r="H234" s="8" t="str">
        <x:v>Pass</x:v>
      </x:c>
      <x:c r="I234" s="8" t="str">
        <x:v>SYN-TEST-F025-MSS-RIGHTS</x:v>
      </x:c>
      <x:c r="J234" s="8" t="str"/>
      <x:c r="K234" s="8" t="str">
        <x:v>Taxonomy analyst 1</x:v>
      </x:c>
      <x:c r="L234" s="8" t="str">
        <x:v>Taxonomy reviewer 1</x:v>
      </x:c>
      <x:c r="M234" s="10" t="n">
        <x:v>46266</x:v>
      </x:c>
      <x:c r="N234" s="10" t="n">
        <x:v>46631</x:v>
      </x:c>
      <x:c r="O234" s="8"/>
      <x:c r="P234" s="9" t="str">
        <x:f>IF(C234="","",IF(AND(G234="Applicable",H234="Fail"),"Fail",IF(R234&lt;&gt;"Valid","Pending",IF(OR(I234="",K234="",L234="",K234=L234,NOT(ISNUMBER(M234)),NOT(ISNUMBER(N234)),M234&gt;Settings!$F$8,N234&lt;Settings!$F$8,N234&lt;M234),"Pending",IF(AND(G234="Applicable",H234="Pass"),"Pass",IF(AND(G234="N/A",H234="N/A",J234&lt;&gt;"",OR(E234="CEM-FUELS",E234="CEM-CCS",AND(E234="CEM-PLAN",IFERROR(INDEX('Taxonomy'!$M$9:$M$108,MATCH(D234,'Taxonomy'!$C$9:$C$108,0)),"")&lt;&gt;"Amber"),E234="BLD-TIMBER",AND(U234="Building equipment",OR(E234="BLD-WATER",E234="BLD-WASTE",E234="BLD-LAND")),AND(U234="Building renovation",E234="BLD-LAND"))),"N/A","Pending"))))))</x:f>
        <x:v>Pass</x:v>
      </x:c>
      <x:c r="Q234" s="3" t="str">
        <x:f>IF(C234="","",IF(AND(R234="Valid",OR(P234="Pass",P234="N/A")),"Complete","Unresolved"))</x:f>
        <x:v>Complete</x:v>
      </x:c>
      <x:c r="R234" s="9" t="str">
        <x:f>IF(C234="","",IF(OR(COUNTIF($C$9:$C$2008,C234)&lt;&gt;1,COUNTIFS($D$9:$D$2008,D234,$E$9:$E$2008,E234)&lt;&gt;1),"Duplicate test",IF(COUNTIF('Taxonomy'!$C$9:$C$108,D234)&lt;&gt;1,"Assessment key",IF(OR(COUNTIF('Taxonomy Rules'!$C$42:$C$68,E234)&lt;&gt;1,F234&lt;&gt;IFERROR(INDEX('Taxonomy Rules'!$D$42:$D$68,MATCH(E234,'Taxonomy Rules'!$C$42:$C$68,0)),""),NOT(OR(IFERROR(INDEX('Taxonomy Rules'!$G$42:$G$68,MATCH(E234,'Taxonomy Rules'!$C$42:$C$68,0)),"")="All supported routes",IFERROR(INDEX('Taxonomy Rules'!$G$42:$G$68,MATCH(E234,'Taxonomy Rules'!$C$42:$C$68,0)),"")=U234,AND(IFERROR(INDEX('Taxonomy Rules'!$G$42:$G$68,MATCH(E234,'Taxonomy Rules'!$C$42:$C$68,0)),"")="Building routes",OR(U234="Building renovation",U234="New building",U234="Building equipment"))))),"Unexpected test","Valid"))))</x:f>
        <x:v>Valid</x:v>
      </x:c>
      <x:c r="S234" s="9" t="str">
        <x:f>IF(C234="","",IFERROR(INDEX('Taxonomy Rules'!$E$42:$E$68,MATCH(E234,'Taxonomy Rules'!$C$42:$C$68,0)),""))</x:f>
        <x:v>Proportionate human-rights diligence, stakeholder/social-impact process and grievance mechanism.</x:v>
      </x:c>
      <x:c r="T234" s="9" t="str">
        <x:f>IF(C234="","",IFERROR(INDEX('Taxonomy Rules'!$F$42:$F$68,MATCH(E234,'Taxonomy Rules'!$C$42:$C$68,0)),""))</x:f>
        <x:v>S10 p29</x:v>
      </x:c>
      <x:c r="U234" s="9" t="str">
        <x:f>IF(C234="","",IFERROR(INDEX('Taxonomy'!$G$9:$G$108,MATCH(D234,'Taxonomy'!$C$9:$C$108,0)),""))</x:f>
        <x:v>Cement</x:v>
      </x:c>
    </x:row>
    <x:row r="235" ht="44" customHeight="1">
      <x:c r="A235" s="1"/>
      <x:c r="B235" s="1"/>
      <x:c r="C235" s="8" t="str">
        <x:v>TST-F025-CEM-FUELS</x:v>
      </x:c>
      <x:c r="D235" s="8" t="str">
        <x:v>TAX-F025</x:v>
      </x:c>
      <x:c r="E235" s="8" t="str">
        <x:v>CEM-FUELS</x:v>
      </x:c>
      <x:c r="F235" s="8" t="str">
        <x:v>Technical</x:v>
      </x:c>
      <x:c r="G235" s="8" t="str">
        <x:v>N/A</x:v>
      </x:c>
      <x:c r="H235" s="8" t="str">
        <x:v>N/A</x:v>
      </x:c>
      <x:c r="I235" s="8" t="str">
        <x:v>SYN-TEST-F025-CEM-FUELS</x:v>
      </x:c>
      <x:c r="J235" s="8" t="str">
        <x:v>Not used / Green route; independent review confirms conditional criterion not triggered</x:v>
      </x:c>
      <x:c r="K235" s="8" t="str">
        <x:v>Taxonomy analyst 1</x:v>
      </x:c>
      <x:c r="L235" s="8" t="str">
        <x:v>Taxonomy reviewer 1</x:v>
      </x:c>
      <x:c r="M235" s="10" t="n">
        <x:v>46266</x:v>
      </x:c>
      <x:c r="N235" s="10" t="n">
        <x:v>46631</x:v>
      </x:c>
      <x:c r="O235" s="8"/>
      <x:c r="P235" s="9" t="str">
        <x:f>IF(C235="","",IF(AND(G235="Applicable",H235="Fail"),"Fail",IF(R235&lt;&gt;"Valid","Pending",IF(OR(I235="",K235="",L235="",K235=L235,NOT(ISNUMBER(M235)),NOT(ISNUMBER(N235)),M235&gt;Settings!$F$8,N235&lt;Settings!$F$8,N235&lt;M235),"Pending",IF(AND(G235="Applicable",H235="Pass"),"Pass",IF(AND(G235="N/A",H235="N/A",J235&lt;&gt;"",OR(E235="CEM-FUELS",E235="CEM-CCS",AND(E235="CEM-PLAN",IFERROR(INDEX('Taxonomy'!$M$9:$M$108,MATCH(D235,'Taxonomy'!$C$9:$C$108,0)),"")&lt;&gt;"Amber"),E235="BLD-TIMBER",AND(U235="Building equipment",OR(E235="BLD-WATER",E235="BLD-WASTE",E235="BLD-LAND")),AND(U235="Building renovation",E235="BLD-LAND"))),"N/A","Pending"))))))</x:f>
        <x:v>N/A</x:v>
      </x:c>
      <x:c r="Q235" s="3" t="str">
        <x:f>IF(C235="","",IF(AND(R235="Valid",OR(P235="Pass",P235="N/A")),"Complete","Unresolved"))</x:f>
        <x:v>Complete</x:v>
      </x:c>
      <x:c r="R235" s="9" t="str">
        <x:f>IF(C235="","",IF(OR(COUNTIF($C$9:$C$2008,C235)&lt;&gt;1,COUNTIFS($D$9:$D$2008,D235,$E$9:$E$2008,E235)&lt;&gt;1),"Duplicate test",IF(COUNTIF('Taxonomy'!$C$9:$C$108,D235)&lt;&gt;1,"Assessment key",IF(OR(COUNTIF('Taxonomy Rules'!$C$42:$C$68,E235)&lt;&gt;1,F235&lt;&gt;IFERROR(INDEX('Taxonomy Rules'!$D$42:$D$68,MATCH(E235,'Taxonomy Rules'!$C$42:$C$68,0)),""),NOT(OR(IFERROR(INDEX('Taxonomy Rules'!$G$42:$G$68,MATCH(E235,'Taxonomy Rules'!$C$42:$C$68,0)),"")="All supported routes",IFERROR(INDEX('Taxonomy Rules'!$G$42:$G$68,MATCH(E235,'Taxonomy Rules'!$C$42:$C$68,0)),"")=U235,AND(IFERROR(INDEX('Taxonomy Rules'!$G$42:$G$68,MATCH(E235,'Taxonomy Rules'!$C$42:$C$68,0)),"")="Building routes",OR(U235="Building renovation",U235="New building",U235="Building equipment"))))),"Unexpected test","Valid"))))</x:f>
        <x:v>Valid</x:v>
      </x:c>
      <x:c r="S235" s="9" t="str">
        <x:f>IF(C235="","",IFERROR(INDEX('Taxonomy Rules'!$E$42:$E$68,MATCH(E235,'Taxonomy Rules'!$C$42:$C$68,0)),""))</x:f>
        <x:v>If biomass / hydrogen used, cross-referenced taxonomy criteria met; waste nonrecyclable with separation and air standards.</x:v>
      </x:c>
      <x:c r="T235" s="9" t="str">
        <x:f>IF(C235="","",IFERROR(INDEX('Taxonomy Rules'!$F$42:$F$68,MATCH(E235,'Taxonomy Rules'!$C$42:$C$68,0)),""))</x:f>
        <x:v>S10 pp49–50</x:v>
      </x:c>
      <x:c r="U235" s="9" t="str">
        <x:f>IF(C235="","",IFERROR(INDEX('Taxonomy'!$G$9:$G$108,MATCH(D235,'Taxonomy'!$C$9:$C$108,0)),""))</x:f>
        <x:v>Cement</x:v>
      </x:c>
    </x:row>
    <x:row r="236" ht="44" customHeight="1">
      <x:c r="A236" s="1"/>
      <x:c r="B236" s="1"/>
      <x:c r="C236" s="8" t="str">
        <x:v>TST-F025-CEM-CCS</x:v>
      </x:c>
      <x:c r="D236" s="8" t="str">
        <x:v>TAX-F025</x:v>
      </x:c>
      <x:c r="E236" s="8" t="str">
        <x:v>CEM-CCS</x:v>
      </x:c>
      <x:c r="F236" s="8" t="str">
        <x:v>Technical</x:v>
      </x:c>
      <x:c r="G236" s="8" t="str">
        <x:v>N/A</x:v>
      </x:c>
      <x:c r="H236" s="8" t="str">
        <x:v>N/A</x:v>
      </x:c>
      <x:c r="I236" s="8" t="str">
        <x:v>SYN-TEST-F025-CEM-CCS</x:v>
      </x:c>
      <x:c r="J236" s="8" t="str">
        <x:v>Not used / Green route; independent review confirms conditional criterion not triggered</x:v>
      </x:c>
      <x:c r="K236" s="8" t="str">
        <x:v>Taxonomy analyst 1</x:v>
      </x:c>
      <x:c r="L236" s="8" t="str">
        <x:v>Taxonomy reviewer 1</x:v>
      </x:c>
      <x:c r="M236" s="10" t="n">
        <x:v>46266</x:v>
      </x:c>
      <x:c r="N236" s="10" t="n">
        <x:v>46631</x:v>
      </x:c>
      <x:c r="O236" s="8"/>
      <x:c r="P236" s="9" t="str">
        <x:f>IF(C236="","",IF(AND(G236="Applicable",H236="Fail"),"Fail",IF(R236&lt;&gt;"Valid","Pending",IF(OR(I236="",K236="",L236="",K236=L236,NOT(ISNUMBER(M236)),NOT(ISNUMBER(N236)),M236&gt;Settings!$F$8,N236&lt;Settings!$F$8,N236&lt;M236),"Pending",IF(AND(G236="Applicable",H236="Pass"),"Pass",IF(AND(G236="N/A",H236="N/A",J236&lt;&gt;"",OR(E236="CEM-FUELS",E236="CEM-CCS",AND(E236="CEM-PLAN",IFERROR(INDEX('Taxonomy'!$M$9:$M$108,MATCH(D236,'Taxonomy'!$C$9:$C$108,0)),"")&lt;&gt;"Amber"),E236="BLD-TIMBER",AND(U236="Building equipment",OR(E236="BLD-WATER",E236="BLD-WASTE",E236="BLD-LAND")),AND(U236="Building renovation",E236="BLD-LAND"))),"N/A","Pending"))))))</x:f>
        <x:v>N/A</x:v>
      </x:c>
      <x:c r="Q236" s="3" t="str">
        <x:f>IF(C236="","",IF(AND(R236="Valid",OR(P236="Pass",P236="N/A")),"Complete","Unresolved"))</x:f>
        <x:v>Complete</x:v>
      </x:c>
      <x:c r="R236" s="9" t="str">
        <x:f>IF(C236="","",IF(OR(COUNTIF($C$9:$C$2008,C236)&lt;&gt;1,COUNTIFS($D$9:$D$2008,D236,$E$9:$E$2008,E236)&lt;&gt;1),"Duplicate test",IF(COUNTIF('Taxonomy'!$C$9:$C$108,D236)&lt;&gt;1,"Assessment key",IF(OR(COUNTIF('Taxonomy Rules'!$C$42:$C$68,E236)&lt;&gt;1,F236&lt;&gt;IFERROR(INDEX('Taxonomy Rules'!$D$42:$D$68,MATCH(E236,'Taxonomy Rules'!$C$42:$C$68,0)),""),NOT(OR(IFERROR(INDEX('Taxonomy Rules'!$G$42:$G$68,MATCH(E236,'Taxonomy Rules'!$C$42:$C$68,0)),"")="All supported routes",IFERROR(INDEX('Taxonomy Rules'!$G$42:$G$68,MATCH(E236,'Taxonomy Rules'!$C$42:$C$68,0)),"")=U236,AND(IFERROR(INDEX('Taxonomy Rules'!$G$42:$G$68,MATCH(E236,'Taxonomy Rules'!$C$42:$C$68,0)),"")="Building routes",OR(U236="Building renovation",U236="New building",U236="Building equipment"))))),"Unexpected test","Valid"))))</x:f>
        <x:v>Valid</x:v>
      </x:c>
      <x:c r="S236" s="9" t="str">
        <x:f>IF(C236="","",IFERROR(INDEX('Taxonomy Rules'!$E$42:$E$68,MATCH(E236,'Taxonomy Rules'!$C$42:$C$68,0)),""))</x:f>
        <x:v>If CCS used: at least 70% total CO2 capture plus recognised capture, transport and permanent-storage practice.</x:v>
      </x:c>
      <x:c r="T236" s="9" t="str">
        <x:f>IF(C236="","",IFERROR(INDEX('Taxonomy Rules'!$F$42:$F$68,MATCH(E236,'Taxonomy Rules'!$C$42:$C$68,0)),""))</x:f>
        <x:v>S10 pp49–50</x:v>
      </x:c>
      <x:c r="U236" s="9" t="str">
        <x:f>IF(C236="","",IFERROR(INDEX('Taxonomy'!$G$9:$G$108,MATCH(D236,'Taxonomy'!$C$9:$C$108,0)),""))</x:f>
        <x:v>Cement</x:v>
      </x:c>
    </x:row>
    <x:row r="237" ht="44" customHeight="1">
      <x:c r="A237" s="1"/>
      <x:c r="B237" s="1"/>
      <x:c r="C237" s="8" t="str">
        <x:v>TST-F025-CEM-PLAN</x:v>
      </x:c>
      <x:c r="D237" s="8" t="str">
        <x:v>TAX-F025</x:v>
      </x:c>
      <x:c r="E237" s="8" t="str">
        <x:v>CEM-PLAN</x:v>
      </x:c>
      <x:c r="F237" s="8" t="str">
        <x:v>Technical</x:v>
      </x:c>
      <x:c r="G237" s="8" t="str">
        <x:v>N/A</x:v>
      </x:c>
      <x:c r="H237" s="8" t="str">
        <x:v>N/A</x:v>
      </x:c>
      <x:c r="I237" s="8" t="str">
        <x:v>SYN-TEST-F025-CEM-PLAN</x:v>
      </x:c>
      <x:c r="J237" s="8" t="str">
        <x:v>Not used / Green route; independent review confirms conditional criterion not triggered</x:v>
      </x:c>
      <x:c r="K237" s="8" t="str">
        <x:v>Taxonomy analyst 1</x:v>
      </x:c>
      <x:c r="L237" s="8" t="str">
        <x:v>Taxonomy reviewer 1</x:v>
      </x:c>
      <x:c r="M237" s="10" t="n">
        <x:v>46266</x:v>
      </x:c>
      <x:c r="N237" s="10" t="n">
        <x:v>46631</x:v>
      </x:c>
      <x:c r="O237" s="8"/>
      <x:c r="P237" s="9" t="str">
        <x:f>IF(C237="","",IF(AND(G237="Applicable",H237="Fail"),"Fail",IF(R237&lt;&gt;"Valid","Pending",IF(OR(I237="",K237="",L237="",K237=L237,NOT(ISNUMBER(M237)),NOT(ISNUMBER(N237)),M237&gt;Settings!$F$8,N237&lt;Settings!$F$8,N237&lt;M237),"Pending",IF(AND(G237="Applicable",H237="Pass"),"Pass",IF(AND(G237="N/A",H237="N/A",J237&lt;&gt;"",OR(E237="CEM-FUELS",E237="CEM-CCS",AND(E237="CEM-PLAN",IFERROR(INDEX('Taxonomy'!$M$9:$M$108,MATCH(D237,'Taxonomy'!$C$9:$C$108,0)),"")&lt;&gt;"Amber"),E237="BLD-TIMBER",AND(U237="Building equipment",OR(E237="BLD-WATER",E237="BLD-WASTE",E237="BLD-LAND")),AND(U237="Building renovation",E237="BLD-LAND"))),"N/A","Pending"))))))</x:f>
        <x:v>N/A</x:v>
      </x:c>
      <x:c r="Q237" s="3" t="str">
        <x:f>IF(C237="","",IF(AND(R237="Valid",OR(P237="Pass",P237="N/A")),"Complete","Unresolved"))</x:f>
        <x:v>Complete</x:v>
      </x:c>
      <x:c r="R237" s="9" t="str">
        <x:f>IF(C237="","",IF(OR(COUNTIF($C$9:$C$2008,C237)&lt;&gt;1,COUNTIFS($D$9:$D$2008,D237,$E$9:$E$2008,E237)&lt;&gt;1),"Duplicate test",IF(COUNTIF('Taxonomy'!$C$9:$C$108,D237)&lt;&gt;1,"Assessment key",IF(OR(COUNTIF('Taxonomy Rules'!$C$42:$C$68,E237)&lt;&gt;1,F237&lt;&gt;IFERROR(INDEX('Taxonomy Rules'!$D$42:$D$68,MATCH(E237,'Taxonomy Rules'!$C$42:$C$68,0)),""),NOT(OR(IFERROR(INDEX('Taxonomy Rules'!$G$42:$G$68,MATCH(E237,'Taxonomy Rules'!$C$42:$C$68,0)),"")="All supported routes",IFERROR(INDEX('Taxonomy Rules'!$G$42:$G$68,MATCH(E237,'Taxonomy Rules'!$C$42:$C$68,0)),"")=U237,AND(IFERROR(INDEX('Taxonomy Rules'!$G$42:$G$68,MATCH(E237,'Taxonomy Rules'!$C$42:$C$68,0)),"")="Building routes",OR(U237="Building renovation",U237="New building",U237="Building equipment"))))),"Unexpected test","Valid"))))</x:f>
        <x:v>Valid</x:v>
      </x:c>
      <x:c r="S237" s="9" t="str">
        <x:f>IF(C237="","",IFERROR(INDEX('Taxonomy Rules'!$E$42:$E$68,MATCH(E237,'Taxonomy Rules'!$C$42:$C$68,0)),""))</x:f>
        <x:v>For Amber: Paris-aligned net-zero plan and listed decarbonisation measure implemented before 2040.</x:v>
      </x:c>
      <x:c r="T237" s="9" t="str">
        <x:f>IF(C237="","",IFERROR(INDEX('Taxonomy Rules'!$F$42:$F$68,MATCH(E237,'Taxonomy Rules'!$C$42:$C$68,0)),""))</x:f>
        <x:v>S10 pp50–51</x:v>
      </x:c>
      <x:c r="U237" s="9" t="str">
        <x:f>IF(C237="","",IFERROR(INDEX('Taxonomy'!$G$9:$G$108,MATCH(D237,'Taxonomy'!$C$9:$C$108,0)),""))</x:f>
        <x:v>Cement</x:v>
      </x:c>
    </x:row>
    <x:row r="238" ht="44" customHeight="1">
      <x:c r="A238" s="1"/>
      <x:c r="B238" s="1"/>
      <x:c r="C238" s="8" t="str">
        <x:v>TST-F026-SC-EVIDENCE</x:v>
      </x:c>
      <x:c r="D238" s="8" t="str">
        <x:v>TAX-F026</x:v>
      </x:c>
      <x:c r="E238" s="8" t="str">
        <x:v>SC-EVIDENCE</x:v>
      </x:c>
      <x:c r="F238" s="8" t="str">
        <x:v>Technical</x:v>
      </x:c>
      <x:c r="G238" s="8" t="str">
        <x:v>Applicable</x:v>
      </x:c>
      <x:c r="H238" s="8" t="str">
        <x:v>Pass</x:v>
      </x:c>
      <x:c r="I238" s="8" t="str">
        <x:v>SYN-TEST-F026-SC-EVIDENCE</x:v>
      </x:c>
      <x:c r="J238" s="8" t="str"/>
      <x:c r="K238" s="8" t="str">
        <x:v>Taxonomy analyst 2</x:v>
      </x:c>
      <x:c r="L238" s="8" t="str">
        <x:v>Taxonomy reviewer 2</x:v>
      </x:c>
      <x:c r="M238" s="10" t="n">
        <x:v>46266</x:v>
      </x:c>
      <x:c r="N238" s="10" t="n">
        <x:v>46631</x:v>
      </x:c>
      <x:c r="O238" s="8"/>
      <x:c r="P238" s="9" t="str">
        <x:f>IF(C238="","",IF(AND(G238="Applicable",H238="Fail"),"Fail",IF(R238&lt;&gt;"Valid","Pending",IF(OR(I238="",K238="",L238="",K238=L238,NOT(ISNUMBER(M238)),NOT(ISNUMBER(N238)),M238&gt;Settings!$F$8,N238&lt;Settings!$F$8,N238&lt;M238),"Pending",IF(AND(G238="Applicable",H238="Pass"),"Pass",IF(AND(G238="N/A",H238="N/A",J238&lt;&gt;"",OR(E238="CEM-FUELS",E238="CEM-CCS",AND(E238="CEM-PLAN",IFERROR(INDEX('Taxonomy'!$M$9:$M$108,MATCH(D238,'Taxonomy'!$C$9:$C$108,0)),"")&lt;&gt;"Amber"),E238="BLD-TIMBER",AND(U238="Building equipment",OR(E238="BLD-WATER",E238="BLD-WASTE",E238="BLD-LAND")),AND(U238="Building renovation",E238="BLD-LAND"))),"N/A","Pending"))))))</x:f>
        <x:v>Pass</x:v>
      </x:c>
      <x:c r="Q238" s="3" t="str">
        <x:f>IF(C238="","",IF(AND(R238="Valid",OR(P238="Pass",P238="N/A")),"Complete","Unresolved"))</x:f>
        <x:v>Complete</x:v>
      </x:c>
      <x:c r="R238" s="9" t="str">
        <x:f>IF(C238="","",IF(OR(COUNTIF($C$9:$C$2008,C238)&lt;&gt;1,COUNTIFS($D$9:$D$2008,D238,$E$9:$E$2008,E238)&lt;&gt;1),"Duplicate test",IF(COUNTIF('Taxonomy'!$C$9:$C$108,D238)&lt;&gt;1,"Assessment key",IF(OR(COUNTIF('Taxonomy Rules'!$C$42:$C$68,E238)&lt;&gt;1,F238&lt;&gt;IFERROR(INDEX('Taxonomy Rules'!$D$42:$D$68,MATCH(E238,'Taxonomy Rules'!$C$42:$C$68,0)),""),NOT(OR(IFERROR(INDEX('Taxonomy Rules'!$G$42:$G$68,MATCH(E238,'Taxonomy Rules'!$C$42:$C$68,0)),"")="All supported routes",IFERROR(INDEX('Taxonomy Rules'!$G$42:$G$68,MATCH(E238,'Taxonomy Rules'!$C$42:$C$68,0)),"")=U238,AND(IFERROR(INDEX('Taxonomy Rules'!$G$42:$G$68,MATCH(E238,'Taxonomy Rules'!$C$42:$C$68,0)),"")="Building routes",OR(U238="Building renovation",U238="New building",U238="Building equipment"))))),"Unexpected test","Valid"))))</x:f>
        <x:v>Valid</x:v>
      </x:c>
      <x:c r="S238" s="9" t="str">
        <x:f>IF(C238="","",IFERROR(INDEX('Taxonomy Rules'!$E$42:$E$68,MATCH(E238,'Taxonomy Rules'!$C$42:$C$68,0)),""))</x:f>
        <x:v>Boundary and chosen route are evidenced; observations match the activity card.</x:v>
      </x:c>
      <x:c r="T238" s="9" t="str">
        <x:f>IF(C238="","",IFERROR(INDEX('Taxonomy Rules'!$F$42:$F$68,MATCH(E238,'Taxonomy Rules'!$C$42:$C$68,0)),""))</x:f>
        <x:v>S10 activity card</x:v>
      </x:c>
      <x:c r="U238" s="9" t="str">
        <x:f>IF(C238="","",IFERROR(INDEX('Taxonomy'!$G$9:$G$108,MATCH(D238,'Taxonomy'!$C$9:$C$108,0)),""))</x:f>
        <x:v>Solar PV</x:v>
      </x:c>
    </x:row>
    <x:row r="239" ht="44" customHeight="1">
      <x:c r="A239" s="1"/>
      <x:c r="B239" s="1"/>
      <x:c r="C239" s="8" t="str">
        <x:v>TST-F026-DNSH-MIT</x:v>
      </x:c>
      <x:c r="D239" s="8" t="str">
        <x:v>TAX-F026</x:v>
      </x:c>
      <x:c r="E239" s="8" t="str">
        <x:v>DNSH-MIT</x:v>
      </x:c>
      <x:c r="F239" s="8" t="str">
        <x:v>DNSH</x:v>
      </x:c>
      <x:c r="G239" s="8" t="str">
        <x:v>Applicable</x:v>
      </x:c>
      <x:c r="H239" s="8" t="str">
        <x:v>Pass</x:v>
      </x:c>
      <x:c r="I239" s="8" t="str">
        <x:v>SYN-TEST-F026-DNSH-MIT</x:v>
      </x:c>
      <x:c r="J239" s="8" t="str"/>
      <x:c r="K239" s="8" t="str">
        <x:v>Taxonomy analyst 2</x:v>
      </x:c>
      <x:c r="L239" s="8" t="str">
        <x:v>Taxonomy reviewer 2</x:v>
      </x:c>
      <x:c r="M239" s="10" t="n">
        <x:v>46266</x:v>
      </x:c>
      <x:c r="N239" s="10" t="n">
        <x:v>46631</x:v>
      </x:c>
      <x:c r="O239" s="8"/>
      <x:c r="P239" s="9" t="str">
        <x:f>IF(C239="","",IF(AND(G239="Applicable",H239="Fail"),"Fail",IF(R239&lt;&gt;"Valid","Pending",IF(OR(I239="",K239="",L239="",K239=L239,NOT(ISNUMBER(M239)),NOT(ISNUMBER(N239)),M239&gt;Settings!$F$8,N239&lt;Settings!$F$8,N239&lt;M239),"Pending",IF(AND(G239="Applicable",H239="Pass"),"Pass",IF(AND(G239="N/A",H239="N/A",J239&lt;&gt;"",OR(E239="CEM-FUELS",E239="CEM-CCS",AND(E239="CEM-PLAN",IFERROR(INDEX('Taxonomy'!$M$9:$M$108,MATCH(D239,'Taxonomy'!$C$9:$C$108,0)),"")&lt;&gt;"Amber"),E239="BLD-TIMBER",AND(U239="Building equipment",OR(E239="BLD-WATER",E239="BLD-WASTE",E239="BLD-LAND")),AND(U239="Building renovation",E239="BLD-LAND"))),"N/A","Pending"))))))</x:f>
        <x:v>Pass</x:v>
      </x:c>
      <x:c r="Q239" s="3" t="str">
        <x:f>IF(C239="","",IF(AND(R239="Valid",OR(P239="Pass",P239="N/A")),"Complete","Unresolved"))</x:f>
        <x:v>Complete</x:v>
      </x:c>
      <x:c r="R239" s="9" t="str">
        <x:f>IF(C239="","",IF(OR(COUNTIF($C$9:$C$2008,C239)&lt;&gt;1,COUNTIFS($D$9:$D$2008,D239,$E$9:$E$2008,E239)&lt;&gt;1),"Duplicate test",IF(COUNTIF('Taxonomy'!$C$9:$C$108,D239)&lt;&gt;1,"Assessment key",IF(OR(COUNTIF('Taxonomy Rules'!$C$42:$C$68,E239)&lt;&gt;1,F239&lt;&gt;IFERROR(INDEX('Taxonomy Rules'!$D$42:$D$68,MATCH(E239,'Taxonomy Rules'!$C$42:$C$68,0)),""),NOT(OR(IFERROR(INDEX('Taxonomy Rules'!$G$42:$G$68,MATCH(E239,'Taxonomy Rules'!$C$42:$C$68,0)),"")="All supported routes",IFERROR(INDEX('Taxonomy Rules'!$G$42:$G$68,MATCH(E239,'Taxonomy Rules'!$C$42:$C$68,0)),"")=U239,AND(IFERROR(INDEX('Taxonomy Rules'!$G$42:$G$68,MATCH(E239,'Taxonomy Rules'!$C$42:$C$68,0)),"")="Building routes",OR(U239="Building renovation",U239="New building",U239="Building equipment"))))),"Unexpected test","Valid"))))</x:f>
        <x:v>Valid</x:v>
      </x:c>
      <x:c r="S239" s="9" t="str">
        <x:f>IF(C239="","",IFERROR(INDEX('Taxonomy Rules'!$E$42:$E$68,MATCH(E239,'Taxonomy Rules'!$C$42:$C$68,0)),""))</x:f>
        <x:v>No avoidable fossil lock-in; material lifecycle effects assessed.</x:v>
      </x:c>
      <x:c r="T239" s="9" t="str">
        <x:f>IF(C239="","",IFERROR(INDEX('Taxonomy Rules'!$F$42:$F$68,MATCH(E239,'Taxonomy Rules'!$C$42:$C$68,0)),""))</x:f>
        <x:v>S10 p30</x:v>
      </x:c>
      <x:c r="U239" s="9" t="str">
        <x:f>IF(C239="","",IFERROR(INDEX('Taxonomy'!$G$9:$G$108,MATCH(D239,'Taxonomy'!$C$9:$C$108,0)),""))</x:f>
        <x:v>Solar PV</x:v>
      </x:c>
    </x:row>
    <x:row r="240" ht="44" customHeight="1">
      <x:c r="A240" s="1"/>
      <x:c r="B240" s="1"/>
      <x:c r="C240" s="8" t="str">
        <x:v>TST-F026-DNSH-ADAPT</x:v>
      </x:c>
      <x:c r="D240" s="8" t="str">
        <x:v>TAX-F026</x:v>
      </x:c>
      <x:c r="E240" s="8" t="str">
        <x:v>DNSH-ADAPT</x:v>
      </x:c>
      <x:c r="F240" s="8" t="str">
        <x:v>DNSH</x:v>
      </x:c>
      <x:c r="G240" s="8" t="str">
        <x:v>Applicable</x:v>
      </x:c>
      <x:c r="H240" s="8" t="str">
        <x:v>Pass</x:v>
      </x:c>
      <x:c r="I240" s="8" t="str">
        <x:v>SYN-TEST-F026-DNSH-ADAPT</x:v>
      </x:c>
      <x:c r="J240" s="8" t="str"/>
      <x:c r="K240" s="8" t="str">
        <x:v>Taxonomy analyst 2</x:v>
      </x:c>
      <x:c r="L240" s="8" t="str">
        <x:v>Taxonomy reviewer 2</x:v>
      </x:c>
      <x:c r="M240" s="10" t="n">
        <x:v>46266</x:v>
      </x:c>
      <x:c r="N240" s="10" t="n">
        <x:v>46631</x:v>
      </x:c>
      <x:c r="O240" s="8"/>
      <x:c r="P240" s="9" t="str">
        <x:f>IF(C240="","",IF(AND(G240="Applicable",H240="Fail"),"Fail",IF(R240&lt;&gt;"Valid","Pending",IF(OR(I240="",K240="",L240="",K240=L240,NOT(ISNUMBER(M240)),NOT(ISNUMBER(N240)),M240&gt;Settings!$F$8,N240&lt;Settings!$F$8,N240&lt;M240),"Pending",IF(AND(G240="Applicable",H240="Pass"),"Pass",IF(AND(G240="N/A",H240="N/A",J240&lt;&gt;"",OR(E240="CEM-FUELS",E240="CEM-CCS",AND(E240="CEM-PLAN",IFERROR(INDEX('Taxonomy'!$M$9:$M$108,MATCH(D240,'Taxonomy'!$C$9:$C$108,0)),"")&lt;&gt;"Amber"),E240="BLD-TIMBER",AND(U240="Building equipment",OR(E240="BLD-WATER",E240="BLD-WASTE",E240="BLD-LAND")),AND(U240="Building renovation",E240="BLD-LAND"))),"N/A","Pending"))))))</x:f>
        <x:v>Pass</x:v>
      </x:c>
      <x:c r="Q240" s="3" t="str">
        <x:f>IF(C240="","",IF(AND(R240="Valid",OR(P240="Pass",P240="N/A")),"Complete","Unresolved"))</x:f>
        <x:v>Complete</x:v>
      </x:c>
      <x:c r="R240" s="9" t="str">
        <x:f>IF(C240="","",IF(OR(COUNTIF($C$9:$C$2008,C240)&lt;&gt;1,COUNTIFS($D$9:$D$2008,D240,$E$9:$E$2008,E240)&lt;&gt;1),"Duplicate test",IF(COUNTIF('Taxonomy'!$C$9:$C$108,D240)&lt;&gt;1,"Assessment key",IF(OR(COUNTIF('Taxonomy Rules'!$C$42:$C$68,E240)&lt;&gt;1,F240&lt;&gt;IFERROR(INDEX('Taxonomy Rules'!$D$42:$D$68,MATCH(E240,'Taxonomy Rules'!$C$42:$C$68,0)),""),NOT(OR(IFERROR(INDEX('Taxonomy Rules'!$G$42:$G$68,MATCH(E240,'Taxonomy Rules'!$C$42:$C$68,0)),"")="All supported routes",IFERROR(INDEX('Taxonomy Rules'!$G$42:$G$68,MATCH(E240,'Taxonomy Rules'!$C$42:$C$68,0)),"")=U240,AND(IFERROR(INDEX('Taxonomy Rules'!$G$42:$G$68,MATCH(E240,'Taxonomy Rules'!$C$42:$C$68,0)),"")="Building routes",OR(U240="Building renovation",U240="New building",U240="Building equipment"))))),"Unexpected test","Valid"))))</x:f>
        <x:v>Valid</x:v>
      </x:c>
      <x:c r="S240" s="9" t="str">
        <x:f>IF(C240="","",IFERROR(INDEX('Taxonomy Rules'!$E$42:$E$68,MATCH(E240,'Taxonomy Rules'!$C$42:$C$68,0)),""))</x:f>
        <x:v>Lifetime hazard screen, material risk assessment and implemented adaptation; no harm to others.</x:v>
      </x:c>
      <x:c r="T240" s="9" t="str">
        <x:f>IF(C240="","",IFERROR(INDEX('Taxonomy Rules'!$F$42:$F$68,MATCH(E240,'Taxonomy Rules'!$C$42:$C$68,0)),""))</x:f>
        <x:v>S10 pp30–31</x:v>
      </x:c>
      <x:c r="U240" s="9" t="str">
        <x:f>IF(C240="","",IFERROR(INDEX('Taxonomy'!$G$9:$G$108,MATCH(D240,'Taxonomy'!$C$9:$C$108,0)),""))</x:f>
        <x:v>Solar PV</x:v>
      </x:c>
    </x:row>
    <x:row r="241" ht="44" customHeight="1">
      <x:c r="A241" s="1"/>
      <x:c r="B241" s="1"/>
      <x:c r="C241" s="8" t="str">
        <x:v>TST-F026-DNSH-WATER</x:v>
      </x:c>
      <x:c r="D241" s="8" t="str">
        <x:v>TAX-F026</x:v>
      </x:c>
      <x:c r="E241" s="8" t="str">
        <x:v>DNSH-WATER</x:v>
      </x:c>
      <x:c r="F241" s="8" t="str">
        <x:v>DNSH</x:v>
      </x:c>
      <x:c r="G241" s="8" t="str">
        <x:v>Applicable</x:v>
      </x:c>
      <x:c r="H241" s="8" t="str">
        <x:v>Pass</x:v>
      </x:c>
      <x:c r="I241" s="8" t="str">
        <x:v>SYN-TEST-F026-DNSH-WATER</x:v>
      </x:c>
      <x:c r="J241" s="8" t="str"/>
      <x:c r="K241" s="8" t="str">
        <x:v>Taxonomy analyst 2</x:v>
      </x:c>
      <x:c r="L241" s="8" t="str">
        <x:v>Taxonomy reviewer 2</x:v>
      </x:c>
      <x:c r="M241" s="10" t="n">
        <x:v>46266</x:v>
      </x:c>
      <x:c r="N241" s="10" t="n">
        <x:v>46631</x:v>
      </x:c>
      <x:c r="O241" s="8"/>
      <x:c r="P241" s="9" t="str">
        <x:f>IF(C241="","",IF(AND(G241="Applicable",H241="Fail"),"Fail",IF(R241&lt;&gt;"Valid","Pending",IF(OR(I241="",K241="",L241="",K241=L241,NOT(ISNUMBER(M241)),NOT(ISNUMBER(N241)),M241&gt;Settings!$F$8,N241&lt;Settings!$F$8,N241&lt;M241),"Pending",IF(AND(G241="Applicable",H241="Pass"),"Pass",IF(AND(G241="N/A",H241="N/A",J241&lt;&gt;"",OR(E241="CEM-FUELS",E241="CEM-CCS",AND(E241="CEM-PLAN",IFERROR(INDEX('Taxonomy'!$M$9:$M$108,MATCH(D241,'Taxonomy'!$C$9:$C$108,0)),"")&lt;&gt;"Amber"),E241="BLD-TIMBER",AND(U241="Building equipment",OR(E241="BLD-WATER",E241="BLD-WASTE",E241="BLD-LAND")),AND(U241="Building renovation",E241="BLD-LAND"))),"N/A","Pending"))))))</x:f>
        <x:v>Pass</x:v>
      </x:c>
      <x:c r="Q241" s="3" t="str">
        <x:f>IF(C241="","",IF(AND(R241="Valid",OR(P241="Pass",P241="N/A")),"Complete","Unresolved"))</x:f>
        <x:v>Complete</x:v>
      </x:c>
      <x:c r="R241" s="9" t="str">
        <x:f>IF(C241="","",IF(OR(COUNTIF($C$9:$C$2008,C241)&lt;&gt;1,COUNTIFS($D$9:$D$2008,D241,$E$9:$E$2008,E241)&lt;&gt;1),"Duplicate test",IF(COUNTIF('Taxonomy'!$C$9:$C$108,D241)&lt;&gt;1,"Assessment key",IF(OR(COUNTIF('Taxonomy Rules'!$C$42:$C$68,E241)&lt;&gt;1,F241&lt;&gt;IFERROR(INDEX('Taxonomy Rules'!$D$42:$D$68,MATCH(E241,'Taxonomy Rules'!$C$42:$C$68,0)),""),NOT(OR(IFERROR(INDEX('Taxonomy Rules'!$G$42:$G$68,MATCH(E241,'Taxonomy Rules'!$C$42:$C$68,0)),"")="All supported routes",IFERROR(INDEX('Taxonomy Rules'!$G$42:$G$68,MATCH(E241,'Taxonomy Rules'!$C$42:$C$68,0)),"")=U241,AND(IFERROR(INDEX('Taxonomy Rules'!$G$42:$G$68,MATCH(E241,'Taxonomy Rules'!$C$42:$C$68,0)),"")="Building routes",OR(U241="Building renovation",U241="New building",U241="Building equipment"))))),"Unexpected test","Valid"))))</x:f>
        <x:v>Valid</x:v>
      </x:c>
      <x:c r="S241" s="9" t="str">
        <x:f>IF(C241="","",IFERROR(INDEX('Taxonomy Rules'!$E$42:$E$68,MATCH(E241,'Taxonomy Rules'!$C$42:$C$68,0)),""))</x:f>
        <x:v>Water permits, abstraction/discharge limits, required assessments and management measures.</x:v>
      </x:c>
      <x:c r="T241" s="9" t="str">
        <x:f>IF(C241="","",IFERROR(INDEX('Taxonomy Rules'!$F$42:$F$68,MATCH(E241,'Taxonomy Rules'!$C$42:$C$68,0)),""))</x:f>
        <x:v>S10 p31</x:v>
      </x:c>
      <x:c r="U241" s="9" t="str">
        <x:f>IF(C241="","",IFERROR(INDEX('Taxonomy'!$G$9:$G$108,MATCH(D241,'Taxonomy'!$C$9:$C$108,0)),""))</x:f>
        <x:v>Solar PV</x:v>
      </x:c>
    </x:row>
    <x:row r="242" ht="44" customHeight="1">
      <x:c r="A242" s="1"/>
      <x:c r="B242" s="1"/>
      <x:c r="C242" s="8" t="str">
        <x:v>TST-F026-DNSH-POLL</x:v>
      </x:c>
      <x:c r="D242" s="8" t="str">
        <x:v>TAX-F026</x:v>
      </x:c>
      <x:c r="E242" s="8" t="str">
        <x:v>DNSH-POLL</x:v>
      </x:c>
      <x:c r="F242" s="8" t="str">
        <x:v>DNSH</x:v>
      </x:c>
      <x:c r="G242" s="8" t="str">
        <x:v>Applicable</x:v>
      </x:c>
      <x:c r="H242" s="8" t="str">
        <x:v>Pass</x:v>
      </x:c>
      <x:c r="I242" s="8" t="str">
        <x:v>SYN-TEST-F026-DNSH-POLL</x:v>
      </x:c>
      <x:c r="J242" s="8" t="str"/>
      <x:c r="K242" s="8" t="str">
        <x:v>Taxonomy analyst 2</x:v>
      </x:c>
      <x:c r="L242" s="8" t="str">
        <x:v>Taxonomy reviewer 2</x:v>
      </x:c>
      <x:c r="M242" s="10" t="n">
        <x:v>46266</x:v>
      </x:c>
      <x:c r="N242" s="10" t="n">
        <x:v>46631</x:v>
      </x:c>
      <x:c r="O242" s="8"/>
      <x:c r="P242" s="9" t="str">
        <x:f>IF(C242="","",IF(AND(G242="Applicable",H242="Fail"),"Fail",IF(R242&lt;&gt;"Valid","Pending",IF(OR(I242="",K242="",L242="",K242=L242,NOT(ISNUMBER(M242)),NOT(ISNUMBER(N242)),M242&gt;Settings!$F$8,N242&lt;Settings!$F$8,N242&lt;M242),"Pending",IF(AND(G242="Applicable",H242="Pass"),"Pass",IF(AND(G242="N/A",H242="N/A",J242&lt;&gt;"",OR(E242="CEM-FUELS",E242="CEM-CCS",AND(E242="CEM-PLAN",IFERROR(INDEX('Taxonomy'!$M$9:$M$108,MATCH(D242,'Taxonomy'!$C$9:$C$108,0)),"")&lt;&gt;"Amber"),E242="BLD-TIMBER",AND(U242="Building equipment",OR(E242="BLD-WATER",E242="BLD-WASTE",E242="BLD-LAND")),AND(U242="Building renovation",E242="BLD-LAND"))),"N/A","Pending"))))))</x:f>
        <x:v>Pass</x:v>
      </x:c>
      <x:c r="Q242" s="3" t="str">
        <x:f>IF(C242="","",IF(AND(R242="Valid",OR(P242="Pass",P242="N/A")),"Complete","Unresolved"))</x:f>
        <x:v>Complete</x:v>
      </x:c>
      <x:c r="R242" s="9" t="str">
        <x:f>IF(C242="","",IF(OR(COUNTIF($C$9:$C$2008,C242)&lt;&gt;1,COUNTIFS($D$9:$D$2008,D242,$E$9:$E$2008,E242)&lt;&gt;1),"Duplicate test",IF(COUNTIF('Taxonomy'!$C$9:$C$108,D242)&lt;&gt;1,"Assessment key",IF(OR(COUNTIF('Taxonomy Rules'!$C$42:$C$68,E242)&lt;&gt;1,F242&lt;&gt;IFERROR(INDEX('Taxonomy Rules'!$D$42:$D$68,MATCH(E242,'Taxonomy Rules'!$C$42:$C$68,0)),""),NOT(OR(IFERROR(INDEX('Taxonomy Rules'!$G$42:$G$68,MATCH(E242,'Taxonomy Rules'!$C$42:$C$68,0)),"")="All supported routes",IFERROR(INDEX('Taxonomy Rules'!$G$42:$G$68,MATCH(E242,'Taxonomy Rules'!$C$42:$C$68,0)),"")=U242,AND(IFERROR(INDEX('Taxonomy Rules'!$G$42:$G$68,MATCH(E242,'Taxonomy Rules'!$C$42:$C$68,0)),"")="Building routes",OR(U242="Building renovation",U242="New building",U242="Building equipment"))))),"Unexpected test","Valid"))))</x:f>
        <x:v>Valid</x:v>
      </x:c>
      <x:c r="S242" s="9" t="str">
        <x:f>IF(C242="","",IFERROR(INDEX('Taxonomy Rules'!$E$42:$E$68,MATCH(E242,'Taxonomy Rules'!$C$42:$C$68,0)),""))</x:f>
        <x:v>National pollution and prohibited-substance requirements; activity-specific limits.</x:v>
      </x:c>
      <x:c r="T242" s="9" t="str">
        <x:f>IF(C242="","",IFERROR(INDEX('Taxonomy Rules'!$F$42:$F$68,MATCH(E242,'Taxonomy Rules'!$C$42:$C$68,0)),""))</x:f>
        <x:v>S10 p31</x:v>
      </x:c>
      <x:c r="U242" s="9" t="str">
        <x:f>IF(C242="","",IFERROR(INDEX('Taxonomy'!$G$9:$G$108,MATCH(D242,'Taxonomy'!$C$9:$C$108,0)),""))</x:f>
        <x:v>Solar PV</x:v>
      </x:c>
    </x:row>
    <x:row r="243" ht="44" customHeight="1">
      <x:c r="A243" s="1"/>
      <x:c r="B243" s="1"/>
      <x:c r="C243" s="8" t="str">
        <x:v>TST-F026-DNSH-CIRC</x:v>
      </x:c>
      <x:c r="D243" s="8" t="str">
        <x:v>TAX-F026</x:v>
      </x:c>
      <x:c r="E243" s="8" t="str">
        <x:v>DNSH-CIRC</x:v>
      </x:c>
      <x:c r="F243" s="8" t="str">
        <x:v>DNSH</x:v>
      </x:c>
      <x:c r="G243" s="8" t="str">
        <x:v>Applicable</x:v>
      </x:c>
      <x:c r="H243" s="8" t="str">
        <x:v>Pass</x:v>
      </x:c>
      <x:c r="I243" s="8" t="str">
        <x:v>SYN-TEST-F026-DNSH-CIRC</x:v>
      </x:c>
      <x:c r="J243" s="8" t="str"/>
      <x:c r="K243" s="8" t="str">
        <x:v>Taxonomy analyst 2</x:v>
      </x:c>
      <x:c r="L243" s="8" t="str">
        <x:v>Taxonomy reviewer 2</x:v>
      </x:c>
      <x:c r="M243" s="10" t="n">
        <x:v>46266</x:v>
      </x:c>
      <x:c r="N243" s="10" t="n">
        <x:v>46631</x:v>
      </x:c>
      <x:c r="O243" s="8"/>
      <x:c r="P243" s="9" t="str">
        <x:f>IF(C243="","",IF(AND(G243="Applicable",H243="Fail"),"Fail",IF(R243&lt;&gt;"Valid","Pending",IF(OR(I243="",K243="",L243="",K243=L243,NOT(ISNUMBER(M243)),NOT(ISNUMBER(N243)),M243&gt;Settings!$F$8,N243&lt;Settings!$F$8,N243&lt;M243),"Pending",IF(AND(G243="Applicable",H243="Pass"),"Pass",IF(AND(G243="N/A",H243="N/A",J243&lt;&gt;"",OR(E243="CEM-FUELS",E243="CEM-CCS",AND(E243="CEM-PLAN",IFERROR(INDEX('Taxonomy'!$M$9:$M$108,MATCH(D243,'Taxonomy'!$C$9:$C$108,0)),"")&lt;&gt;"Amber"),E243="BLD-TIMBER",AND(U243="Building equipment",OR(E243="BLD-WATER",E243="BLD-WASTE",E243="BLD-LAND")),AND(U243="Building renovation",E243="BLD-LAND"))),"N/A","Pending"))))))</x:f>
        <x:v>Pass</x:v>
      </x:c>
      <x:c r="Q243" s="3" t="str">
        <x:f>IF(C243="","",IF(AND(R243="Valid",OR(P243="Pass",P243="N/A")),"Complete","Unresolved"))</x:f>
        <x:v>Complete</x:v>
      </x:c>
      <x:c r="R243" s="9" t="str">
        <x:f>IF(C243="","",IF(OR(COUNTIF($C$9:$C$2008,C243)&lt;&gt;1,COUNTIFS($D$9:$D$2008,D243,$E$9:$E$2008,E243)&lt;&gt;1),"Duplicate test",IF(COUNTIF('Taxonomy'!$C$9:$C$108,D243)&lt;&gt;1,"Assessment key",IF(OR(COUNTIF('Taxonomy Rules'!$C$42:$C$68,E243)&lt;&gt;1,F243&lt;&gt;IFERROR(INDEX('Taxonomy Rules'!$D$42:$D$68,MATCH(E243,'Taxonomy Rules'!$C$42:$C$68,0)),""),NOT(OR(IFERROR(INDEX('Taxonomy Rules'!$G$42:$G$68,MATCH(E243,'Taxonomy Rules'!$C$42:$C$68,0)),"")="All supported routes",IFERROR(INDEX('Taxonomy Rules'!$G$42:$G$68,MATCH(E243,'Taxonomy Rules'!$C$42:$C$68,0)),"")=U243,AND(IFERROR(INDEX('Taxonomy Rules'!$G$42:$G$68,MATCH(E243,'Taxonomy Rules'!$C$42:$C$68,0)),"")="Building routes",OR(U243="Building renovation",U243="New building",U243="Building equipment"))))),"Unexpected test","Valid"))))</x:f>
        <x:v>Valid</x:v>
      </x:c>
      <x:c r="S243" s="9" t="str">
        <x:f>IF(C243="","",IFERROR(INDEX('Taxonomy Rules'!$E$42:$E$68,MATCH(E243,'Taxonomy Rules'!$C$42:$C$68,0)),""))</x:f>
        <x:v>Waste hierarchy, resource efficiency, hazardous-waste traceability and end-of-life arrangements.</x:v>
      </x:c>
      <x:c r="T243" s="9" t="str">
        <x:f>IF(C243="","",IFERROR(INDEX('Taxonomy Rules'!$F$42:$F$68,MATCH(E243,'Taxonomy Rules'!$C$42:$C$68,0)),""))</x:f>
        <x:v>S10 p32</x:v>
      </x:c>
      <x:c r="U243" s="9" t="str">
        <x:f>IF(C243="","",IFERROR(INDEX('Taxonomy'!$G$9:$G$108,MATCH(D243,'Taxonomy'!$C$9:$C$108,0)),""))</x:f>
        <x:v>Solar PV</x:v>
      </x:c>
    </x:row>
    <x:row r="244" ht="44" customHeight="1">
      <x:c r="A244" s="1"/>
      <x:c r="B244" s="1"/>
      <x:c r="C244" s="8" t="str">
        <x:v>TST-F026-DNSH-BIO</x:v>
      </x:c>
      <x:c r="D244" s="8" t="str">
        <x:v>TAX-F026</x:v>
      </x:c>
      <x:c r="E244" s="8" t="str">
        <x:v>DNSH-BIO</x:v>
      </x:c>
      <x:c r="F244" s="8" t="str">
        <x:v>DNSH</x:v>
      </x:c>
      <x:c r="G244" s="8" t="str">
        <x:v>Applicable</x:v>
      </x:c>
      <x:c r="H244" s="8" t="str">
        <x:v>Pass</x:v>
      </x:c>
      <x:c r="I244" s="8" t="str">
        <x:v>SYN-TEST-F026-DNSH-BIO</x:v>
      </x:c>
      <x:c r="J244" s="8" t="str"/>
      <x:c r="K244" s="8" t="str">
        <x:v>Taxonomy analyst 2</x:v>
      </x:c>
      <x:c r="L244" s="8" t="str">
        <x:v>Taxonomy reviewer 2</x:v>
      </x:c>
      <x:c r="M244" s="10" t="n">
        <x:v>46266</x:v>
      </x:c>
      <x:c r="N244" s="10" t="n">
        <x:v>46631</x:v>
      </x:c>
      <x:c r="O244" s="8"/>
      <x:c r="P244" s="9" t="str">
        <x:f>IF(C244="","",IF(AND(G244="Applicable",H244="Fail"),"Fail",IF(R244&lt;&gt;"Valid","Pending",IF(OR(I244="",K244="",L244="",K244=L244,NOT(ISNUMBER(M244)),NOT(ISNUMBER(N244)),M244&gt;Settings!$F$8,N244&lt;Settings!$F$8,N244&lt;M244),"Pending",IF(AND(G244="Applicable",H244="Pass"),"Pass",IF(AND(G244="N/A",H244="N/A",J244&lt;&gt;"",OR(E244="CEM-FUELS",E244="CEM-CCS",AND(E244="CEM-PLAN",IFERROR(INDEX('Taxonomy'!$M$9:$M$108,MATCH(D244,'Taxonomy'!$C$9:$C$108,0)),"")&lt;&gt;"Amber"),E244="BLD-TIMBER",AND(U244="Building equipment",OR(E244="BLD-WATER",E244="BLD-WASTE",E244="BLD-LAND")),AND(U244="Building renovation",E244="BLD-LAND"))),"N/A","Pending"))))))</x:f>
        <x:v>Pass</x:v>
      </x:c>
      <x:c r="Q244" s="3" t="str">
        <x:f>IF(C244="","",IF(AND(R244="Valid",OR(P244="Pass",P244="N/A")),"Complete","Unresolved"))</x:f>
        <x:v>Complete</x:v>
      </x:c>
      <x:c r="R244" s="9" t="str">
        <x:f>IF(C244="","",IF(OR(COUNTIF($C$9:$C$2008,C244)&lt;&gt;1,COUNTIFS($D$9:$D$2008,D244,$E$9:$E$2008,E244)&lt;&gt;1),"Duplicate test",IF(COUNTIF('Taxonomy'!$C$9:$C$108,D244)&lt;&gt;1,"Assessment key",IF(OR(COUNTIF('Taxonomy Rules'!$C$42:$C$68,E244)&lt;&gt;1,F244&lt;&gt;IFERROR(INDEX('Taxonomy Rules'!$D$42:$D$68,MATCH(E244,'Taxonomy Rules'!$C$42:$C$68,0)),""),NOT(OR(IFERROR(INDEX('Taxonomy Rules'!$G$42:$G$68,MATCH(E244,'Taxonomy Rules'!$C$42:$C$68,0)),"")="All supported routes",IFERROR(INDEX('Taxonomy Rules'!$G$42:$G$68,MATCH(E244,'Taxonomy Rules'!$C$42:$C$68,0)),"")=U244,AND(IFERROR(INDEX('Taxonomy Rules'!$G$42:$G$68,MATCH(E244,'Taxonomy Rules'!$C$42:$C$68,0)),"")="Building routes",OR(U244="Building renovation",U244="New building",U244="Building equipment"))))),"Unexpected test","Valid"))))</x:f>
        <x:v>Valid</x:v>
      </x:c>
      <x:c r="S244" s="9" t="str">
        <x:f>IF(C244="","",IFERROR(INDEX('Taxonomy Rules'!$E$42:$E$68,MATCH(E244,'Taxonomy Rules'!$C$42:$C$68,0)),""))</x:f>
        <x:v>Required EIA, habitat screening and implemented mitigation.</x:v>
      </x:c>
      <x:c r="T244" s="9" t="str">
        <x:f>IF(C244="","",IFERROR(INDEX('Taxonomy Rules'!$F$42:$F$68,MATCH(E244,'Taxonomy Rules'!$C$42:$C$68,0)),""))</x:f>
        <x:v>S10 p32</x:v>
      </x:c>
      <x:c r="U244" s="9" t="str">
        <x:f>IF(C244="","",IFERROR(INDEX('Taxonomy'!$G$9:$G$108,MATCH(D244,'Taxonomy'!$C$9:$C$108,0)),""))</x:f>
        <x:v>Solar PV</x:v>
      </x:c>
    </x:row>
    <x:row r="245" ht="44" customHeight="1">
      <x:c r="A245" s="1"/>
      <x:c r="B245" s="1"/>
      <x:c r="C245" s="8" t="str">
        <x:v>TST-F026-MSS-LABOUR</x:v>
      </x:c>
      <x:c r="D245" s="8" t="str">
        <x:v>TAX-F026</x:v>
      </x:c>
      <x:c r="E245" s="8" t="str">
        <x:v>MSS-LABOUR</x:v>
      </x:c>
      <x:c r="F245" s="8" t="str">
        <x:v>MSS</x:v>
      </x:c>
      <x:c r="G245" s="8" t="str">
        <x:v>Applicable</x:v>
      </x:c>
      <x:c r="H245" s="8" t="str">
        <x:v>Pass</x:v>
      </x:c>
      <x:c r="I245" s="8" t="str">
        <x:v>SYN-TEST-F026-MSS-LABOUR</x:v>
      </x:c>
      <x:c r="J245" s="8" t="str"/>
      <x:c r="K245" s="8" t="str">
        <x:v>Taxonomy analyst 2</x:v>
      </x:c>
      <x:c r="L245" s="8" t="str">
        <x:v>Taxonomy reviewer 2</x:v>
      </x:c>
      <x:c r="M245" s="10" t="n">
        <x:v>46266</x:v>
      </x:c>
      <x:c r="N245" s="10" t="n">
        <x:v>46631</x:v>
      </x:c>
      <x:c r="O245" s="8"/>
      <x:c r="P245" s="9" t="str">
        <x:f>IF(C245="","",IF(AND(G245="Applicable",H245="Fail"),"Fail",IF(R245&lt;&gt;"Valid","Pending",IF(OR(I245="",K245="",L245="",K245=L245,NOT(ISNUMBER(M245)),NOT(ISNUMBER(N245)),M245&gt;Settings!$F$8,N245&lt;Settings!$F$8,N245&lt;M245),"Pending",IF(AND(G245="Applicable",H245="Pass"),"Pass",IF(AND(G245="N/A",H245="N/A",J245&lt;&gt;"",OR(E245="CEM-FUELS",E245="CEM-CCS",AND(E245="CEM-PLAN",IFERROR(INDEX('Taxonomy'!$M$9:$M$108,MATCH(D245,'Taxonomy'!$C$9:$C$108,0)),"")&lt;&gt;"Amber"),E245="BLD-TIMBER",AND(U245="Building equipment",OR(E245="BLD-WATER",E245="BLD-WASTE",E245="BLD-LAND")),AND(U245="Building renovation",E245="BLD-LAND"))),"N/A","Pending"))))))</x:f>
        <x:v>Pass</x:v>
      </x:c>
      <x:c r="Q245" s="3" t="str">
        <x:f>IF(C245="","",IF(AND(R245="Valid",OR(P245="Pass",P245="N/A")),"Complete","Unresolved"))</x:f>
        <x:v>Complete</x:v>
      </x:c>
      <x:c r="R245" s="9" t="str">
        <x:f>IF(C245="","",IF(OR(COUNTIF($C$9:$C$2008,C245)&lt;&gt;1,COUNTIFS($D$9:$D$2008,D245,$E$9:$E$2008,E245)&lt;&gt;1),"Duplicate test",IF(COUNTIF('Taxonomy'!$C$9:$C$108,D245)&lt;&gt;1,"Assessment key",IF(OR(COUNTIF('Taxonomy Rules'!$C$42:$C$68,E245)&lt;&gt;1,F245&lt;&gt;IFERROR(INDEX('Taxonomy Rules'!$D$42:$D$68,MATCH(E245,'Taxonomy Rules'!$C$42:$C$68,0)),""),NOT(OR(IFERROR(INDEX('Taxonomy Rules'!$G$42:$G$68,MATCH(E245,'Taxonomy Rules'!$C$42:$C$68,0)),"")="All supported routes",IFERROR(INDEX('Taxonomy Rules'!$G$42:$G$68,MATCH(E245,'Taxonomy Rules'!$C$42:$C$68,0)),"")=U245,AND(IFERROR(INDEX('Taxonomy Rules'!$G$42:$G$68,MATCH(E245,'Taxonomy Rules'!$C$42:$C$68,0)),"")="Building routes",OR(U245="Building renovation",U245="New building",U245="Building equipment"))))),"Unexpected test","Valid"))))</x:f>
        <x:v>Valid</x:v>
      </x:c>
      <x:c r="S245" s="9" t="str">
        <x:f>IF(C245="","",IFERROR(INDEX('Taxonomy Rules'!$E$42:$E$68,MATCH(E245,'Taxonomy Rules'!$C$42:$C$68,0)),""))</x:f>
        <x:v>Labour rights, minimum age, no child/forced labour, equality and worker representation.</x:v>
      </x:c>
      <x:c r="T245" s="9" t="str">
        <x:f>IF(C245="","",IFERROR(INDEX('Taxonomy Rules'!$F$42:$F$68,MATCH(E245,'Taxonomy Rules'!$C$42:$C$68,0)),""))</x:f>
        <x:v>S10 p29</x:v>
      </x:c>
      <x:c r="U245" s="9" t="str">
        <x:f>IF(C245="","",IFERROR(INDEX('Taxonomy'!$G$9:$G$108,MATCH(D245,'Taxonomy'!$C$9:$C$108,0)),""))</x:f>
        <x:v>Solar PV</x:v>
      </x:c>
    </x:row>
    <x:row r="246" ht="44" customHeight="1">
      <x:c r="A246" s="1"/>
      <x:c r="B246" s="1"/>
      <x:c r="C246" s="8" t="str">
        <x:v>TST-F026-MSS-OSH</x:v>
      </x:c>
      <x:c r="D246" s="8" t="str">
        <x:v>TAX-F026</x:v>
      </x:c>
      <x:c r="E246" s="8" t="str">
        <x:v>MSS-OSH</x:v>
      </x:c>
      <x:c r="F246" s="8" t="str">
        <x:v>MSS</x:v>
      </x:c>
      <x:c r="G246" s="8" t="str">
        <x:v>Applicable</x:v>
      </x:c>
      <x:c r="H246" s="8" t="str">
        <x:v>Pass</x:v>
      </x:c>
      <x:c r="I246" s="8" t="str">
        <x:v>SYN-TEST-F026-MSS-OSH</x:v>
      </x:c>
      <x:c r="J246" s="8" t="str"/>
      <x:c r="K246" s="8" t="str">
        <x:v>Taxonomy analyst 2</x:v>
      </x:c>
      <x:c r="L246" s="8" t="str">
        <x:v>Taxonomy reviewer 2</x:v>
      </x:c>
      <x:c r="M246" s="10" t="n">
        <x:v>46266</x:v>
      </x:c>
      <x:c r="N246" s="10" t="n">
        <x:v>46631</x:v>
      </x:c>
      <x:c r="O246" s="8"/>
      <x:c r="P246" s="9" t="str">
        <x:f>IF(C246="","",IF(AND(G246="Applicable",H246="Fail"),"Fail",IF(R246&lt;&gt;"Valid","Pending",IF(OR(I246="",K246="",L246="",K246=L246,NOT(ISNUMBER(M246)),NOT(ISNUMBER(N246)),M246&gt;Settings!$F$8,N246&lt;Settings!$F$8,N246&lt;M246),"Pending",IF(AND(G246="Applicable",H246="Pass"),"Pass",IF(AND(G246="N/A",H246="N/A",J246&lt;&gt;"",OR(E246="CEM-FUELS",E246="CEM-CCS",AND(E246="CEM-PLAN",IFERROR(INDEX('Taxonomy'!$M$9:$M$108,MATCH(D246,'Taxonomy'!$C$9:$C$108,0)),"")&lt;&gt;"Amber"),E246="BLD-TIMBER",AND(U246="Building equipment",OR(E246="BLD-WATER",E246="BLD-WASTE",E246="BLD-LAND")),AND(U246="Building renovation",E246="BLD-LAND"))),"N/A","Pending"))))))</x:f>
        <x:v>Pass</x:v>
      </x:c>
      <x:c r="Q246" s="3" t="str">
        <x:f>IF(C246="","",IF(AND(R246="Valid",OR(P246="Pass",P246="N/A")),"Complete","Unresolved"))</x:f>
        <x:v>Complete</x:v>
      </x:c>
      <x:c r="R246" s="9" t="str">
        <x:f>IF(C246="","",IF(OR(COUNTIF($C$9:$C$2008,C246)&lt;&gt;1,COUNTIFS($D$9:$D$2008,D246,$E$9:$E$2008,E246)&lt;&gt;1),"Duplicate test",IF(COUNTIF('Taxonomy'!$C$9:$C$108,D246)&lt;&gt;1,"Assessment key",IF(OR(COUNTIF('Taxonomy Rules'!$C$42:$C$68,E246)&lt;&gt;1,F246&lt;&gt;IFERROR(INDEX('Taxonomy Rules'!$D$42:$D$68,MATCH(E246,'Taxonomy Rules'!$C$42:$C$68,0)),""),NOT(OR(IFERROR(INDEX('Taxonomy Rules'!$G$42:$G$68,MATCH(E246,'Taxonomy Rules'!$C$42:$C$68,0)),"")="All supported routes",IFERROR(INDEX('Taxonomy Rules'!$G$42:$G$68,MATCH(E246,'Taxonomy Rules'!$C$42:$C$68,0)),"")=U246,AND(IFERROR(INDEX('Taxonomy Rules'!$G$42:$G$68,MATCH(E246,'Taxonomy Rules'!$C$42:$C$68,0)),"")="Building routes",OR(U246="Building renovation",U246="New building",U246="Building equipment"))))),"Unexpected test","Valid"))))</x:f>
        <x:v>Valid</x:v>
      </x:c>
      <x:c r="S246" s="9" t="str">
        <x:f>IF(C246="","",IFERROR(INDEX('Taxonomy Rules'!$E$42:$E$68,MATCH(E246,'Taxonomy Rules'!$C$42:$C$68,0)),""))</x:f>
        <x:v>Applicable occupational safety, hazard prevention and emergency readiness.</x:v>
      </x:c>
      <x:c r="T246" s="9" t="str">
        <x:f>IF(C246="","",IFERROR(INDEX('Taxonomy Rules'!$F$42:$F$68,MATCH(E246,'Taxonomy Rules'!$C$42:$C$68,0)),""))</x:f>
        <x:v>S10 p29</x:v>
      </x:c>
      <x:c r="U246" s="9" t="str">
        <x:f>IF(C246="","",IFERROR(INDEX('Taxonomy'!$G$9:$G$108,MATCH(D246,'Taxonomy'!$C$9:$C$108,0)),""))</x:f>
        <x:v>Solar PV</x:v>
      </x:c>
    </x:row>
    <x:row r="247" ht="44" customHeight="1">
      <x:c r="A247" s="1"/>
      <x:c r="B247" s="1"/>
      <x:c r="C247" s="8" t="str">
        <x:v>TST-F026-MSS-RIGHTS</x:v>
      </x:c>
      <x:c r="D247" s="8" t="str">
        <x:v>TAX-F026</x:v>
      </x:c>
      <x:c r="E247" s="8" t="str">
        <x:v>MSS-RIGHTS</x:v>
      </x:c>
      <x:c r="F247" s="8" t="str">
        <x:v>MSS</x:v>
      </x:c>
      <x:c r="G247" s="8" t="str">
        <x:v>Applicable</x:v>
      </x:c>
      <x:c r="H247" s="8" t="str">
        <x:v>Pass</x:v>
      </x:c>
      <x:c r="I247" s="8" t="str">
        <x:v>SYN-TEST-F026-MSS-RIGHTS</x:v>
      </x:c>
      <x:c r="J247" s="8" t="str"/>
      <x:c r="K247" s="8" t="str">
        <x:v>Taxonomy analyst 2</x:v>
      </x:c>
      <x:c r="L247" s="8" t="str">
        <x:v>Taxonomy reviewer 2</x:v>
      </x:c>
      <x:c r="M247" s="10" t="n">
        <x:v>46266</x:v>
      </x:c>
      <x:c r="N247" s="10" t="n">
        <x:v>46631</x:v>
      </x:c>
      <x:c r="O247" s="8"/>
      <x:c r="P247" s="9" t="str">
        <x:f>IF(C247="","",IF(AND(G247="Applicable",H247="Fail"),"Fail",IF(R247&lt;&gt;"Valid","Pending",IF(OR(I247="",K247="",L247="",K247=L247,NOT(ISNUMBER(M247)),NOT(ISNUMBER(N247)),M247&gt;Settings!$F$8,N247&lt;Settings!$F$8,N247&lt;M247),"Pending",IF(AND(G247="Applicable",H247="Pass"),"Pass",IF(AND(G247="N/A",H247="N/A",J247&lt;&gt;"",OR(E247="CEM-FUELS",E247="CEM-CCS",AND(E247="CEM-PLAN",IFERROR(INDEX('Taxonomy'!$M$9:$M$108,MATCH(D247,'Taxonomy'!$C$9:$C$108,0)),"")&lt;&gt;"Amber"),E247="BLD-TIMBER",AND(U247="Building equipment",OR(E247="BLD-WATER",E247="BLD-WASTE",E247="BLD-LAND")),AND(U247="Building renovation",E247="BLD-LAND"))),"N/A","Pending"))))))</x:f>
        <x:v>Pass</x:v>
      </x:c>
      <x:c r="Q247" s="3" t="str">
        <x:f>IF(C247="","",IF(AND(R247="Valid",OR(P247="Pass",P247="N/A")),"Complete","Unresolved"))</x:f>
        <x:v>Complete</x:v>
      </x:c>
      <x:c r="R247" s="9" t="str">
        <x:f>IF(C247="","",IF(OR(COUNTIF($C$9:$C$2008,C247)&lt;&gt;1,COUNTIFS($D$9:$D$2008,D247,$E$9:$E$2008,E247)&lt;&gt;1),"Duplicate test",IF(COUNTIF('Taxonomy'!$C$9:$C$108,D247)&lt;&gt;1,"Assessment key",IF(OR(COUNTIF('Taxonomy Rules'!$C$42:$C$68,E247)&lt;&gt;1,F247&lt;&gt;IFERROR(INDEX('Taxonomy Rules'!$D$42:$D$68,MATCH(E247,'Taxonomy Rules'!$C$42:$C$68,0)),""),NOT(OR(IFERROR(INDEX('Taxonomy Rules'!$G$42:$G$68,MATCH(E247,'Taxonomy Rules'!$C$42:$C$68,0)),"")="All supported routes",IFERROR(INDEX('Taxonomy Rules'!$G$42:$G$68,MATCH(E247,'Taxonomy Rules'!$C$42:$C$68,0)),"")=U247,AND(IFERROR(INDEX('Taxonomy Rules'!$G$42:$G$68,MATCH(E247,'Taxonomy Rules'!$C$42:$C$68,0)),"")="Building routes",OR(U247="Building renovation",U247="New building",U247="Building equipment"))))),"Unexpected test","Valid"))))</x:f>
        <x:v>Valid</x:v>
      </x:c>
      <x:c r="S247" s="9" t="str">
        <x:f>IF(C247="","",IFERROR(INDEX('Taxonomy Rules'!$E$42:$E$68,MATCH(E247,'Taxonomy Rules'!$C$42:$C$68,0)),""))</x:f>
        <x:v>Proportionate human-rights diligence, stakeholder/social-impact process and grievance mechanism.</x:v>
      </x:c>
      <x:c r="T247" s="9" t="str">
        <x:f>IF(C247="","",IFERROR(INDEX('Taxonomy Rules'!$F$42:$F$68,MATCH(E247,'Taxonomy Rules'!$C$42:$C$68,0)),""))</x:f>
        <x:v>S10 p29</x:v>
      </x:c>
      <x:c r="U247" s="9" t="str">
        <x:f>IF(C247="","",IFERROR(INDEX('Taxonomy'!$G$9:$G$108,MATCH(D247,'Taxonomy'!$C$9:$C$108,0)),""))</x:f>
        <x:v>Solar PV</x:v>
      </x:c>
    </x:row>
    <x:row r="248" ht="44" customHeight="1">
      <x:c r="A248" s="1"/>
      <x:c r="B248" s="1"/>
      <x:c r="C248" s="8" t="str">
        <x:v>TST-F026-PV-DURABLE</x:v>
      </x:c>
      <x:c r="D248" s="8" t="str">
        <x:v>TAX-F026</x:v>
      </x:c>
      <x:c r="E248" s="8" t="str">
        <x:v>PV-DURABLE</x:v>
      </x:c>
      <x:c r="F248" s="8" t="str">
        <x:v>DNSH</x:v>
      </x:c>
      <x:c r="G248" s="8" t="str">
        <x:v>Applicable</x:v>
      </x:c>
      <x:c r="H248" s="8" t="str">
        <x:v>Pass</x:v>
      </x:c>
      <x:c r="I248" s="8" t="str">
        <x:v>SYN-TEST-F026-PV-DURABLE</x:v>
      </x:c>
      <x:c r="J248" s="8" t="str"/>
      <x:c r="K248" s="8" t="str">
        <x:v>Taxonomy analyst 2</x:v>
      </x:c>
      <x:c r="L248" s="8" t="str">
        <x:v>Taxonomy reviewer 2</x:v>
      </x:c>
      <x:c r="M248" s="10" t="n">
        <x:v>46266</x:v>
      </x:c>
      <x:c r="N248" s="10" t="n">
        <x:v>46631</x:v>
      </x:c>
      <x:c r="O248" s="8"/>
      <x:c r="P248" s="9" t="str">
        <x:f>IF(C248="","",IF(AND(G248="Applicable",H248="Fail"),"Fail",IF(R248&lt;&gt;"Valid","Pending",IF(OR(I248="",K248="",L248="",K248=L248,NOT(ISNUMBER(M248)),NOT(ISNUMBER(N248)),M248&gt;Settings!$F$8,N248&lt;Settings!$F$8,N248&lt;M248),"Pending",IF(AND(G248="Applicable",H248="Pass"),"Pass",IF(AND(G248="N/A",H248="N/A",J248&lt;&gt;"",OR(E248="CEM-FUELS",E248="CEM-CCS",AND(E248="CEM-PLAN",IFERROR(INDEX('Taxonomy'!$M$9:$M$108,MATCH(D248,'Taxonomy'!$C$9:$C$108,0)),"")&lt;&gt;"Amber"),E248="BLD-TIMBER",AND(U248="Building equipment",OR(E248="BLD-WATER",E248="BLD-WASTE",E248="BLD-LAND")),AND(U248="Building renovation",E248="BLD-LAND"))),"N/A","Pending"))))))</x:f>
        <x:v>Pass</x:v>
      </x:c>
      <x:c r="Q248" s="3" t="str">
        <x:f>IF(C248="","",IF(AND(R248="Valid",OR(P248="Pass",P248="N/A")),"Complete","Unresolved"))</x:f>
        <x:v>Complete</x:v>
      </x:c>
      <x:c r="R248" s="9" t="str">
        <x:f>IF(C248="","",IF(OR(COUNTIF($C$9:$C$2008,C248)&lt;&gt;1,COUNTIFS($D$9:$D$2008,D248,$E$9:$E$2008,E248)&lt;&gt;1),"Duplicate test",IF(COUNTIF('Taxonomy'!$C$9:$C$108,D248)&lt;&gt;1,"Assessment key",IF(OR(COUNTIF('Taxonomy Rules'!$C$42:$C$68,E248)&lt;&gt;1,F248&lt;&gt;IFERROR(INDEX('Taxonomy Rules'!$D$42:$D$68,MATCH(E248,'Taxonomy Rules'!$C$42:$C$68,0)),""),NOT(OR(IFERROR(INDEX('Taxonomy Rules'!$G$42:$G$68,MATCH(E248,'Taxonomy Rules'!$C$42:$C$68,0)),"")="All supported routes",IFERROR(INDEX('Taxonomy Rules'!$G$42:$G$68,MATCH(E248,'Taxonomy Rules'!$C$42:$C$68,0)),"")=U248,AND(IFERROR(INDEX('Taxonomy Rules'!$G$42:$G$68,MATCH(E248,'Taxonomy Rules'!$C$42:$C$68,0)),"")="Building routes",OR(U248="Building renovation",U248="New building",U248="Building equipment"))))),"Unexpected test","Valid"))))</x:f>
        <x:v>Valid</x:v>
      </x:c>
      <x:c r="S248" s="9" t="str">
        <x:f>IF(C248="","",IFERROR(INDEX('Taxonomy Rules'!$E$42:$E$68,MATCH(E248,'Taxonomy Rules'!$C$42:$C$68,0)),""))</x:f>
        <x:v>Durable, recyclable, dismantlable and refurbishable components assessed and used where feasible.</x:v>
      </x:c>
      <x:c r="T248" s="9" t="str">
        <x:f>IF(C248="","",IFERROR(INDEX('Taxonomy Rules'!$F$42:$F$68,MATCH(E248,'Taxonomy Rules'!$C$42:$C$68,0)),""))</x:f>
        <x:v>S10 p86</x:v>
      </x:c>
      <x:c r="U248" s="9" t="str">
        <x:f>IF(C248="","",IFERROR(INDEX('Taxonomy'!$G$9:$G$108,MATCH(D248,'Taxonomy'!$C$9:$C$108,0)),""))</x:f>
        <x:v>Solar PV</x:v>
      </x:c>
    </x:row>
    <x:row r="249" ht="44" customHeight="1">
      <x:c r="A249" s="1"/>
      <x:c r="B249" s="1"/>
      <x:c r="C249" s="8" t="str">
        <x:v>TST-F026-PV-ENDLIFE</x:v>
      </x:c>
      <x:c r="D249" s="8" t="str">
        <x:v>TAX-F026</x:v>
      </x:c>
      <x:c r="E249" s="8" t="str">
        <x:v>PV-ENDLIFE</x:v>
      </x:c>
      <x:c r="F249" s="8" t="str">
        <x:v>DNSH</x:v>
      </x:c>
      <x:c r="G249" s="8" t="str">
        <x:v>Applicable</x:v>
      </x:c>
      <x:c r="H249" s="8" t="str">
        <x:v>Pass</x:v>
      </x:c>
      <x:c r="I249" s="8" t="str">
        <x:v>SYN-TEST-F026-PV-ENDLIFE</x:v>
      </x:c>
      <x:c r="J249" s="8" t="str"/>
      <x:c r="K249" s="8" t="str">
        <x:v>Taxonomy analyst 2</x:v>
      </x:c>
      <x:c r="L249" s="8" t="str">
        <x:v>Taxonomy reviewer 2</x:v>
      </x:c>
      <x:c r="M249" s="10" t="n">
        <x:v>46266</x:v>
      </x:c>
      <x:c r="N249" s="10" t="n">
        <x:v>46631</x:v>
      </x:c>
      <x:c r="O249" s="8"/>
      <x:c r="P249" s="9" t="str">
        <x:f>IF(C249="","",IF(AND(G249="Applicable",H249="Fail"),"Fail",IF(R249&lt;&gt;"Valid","Pending",IF(OR(I249="",K249="",L249="",K249=L249,NOT(ISNUMBER(M249)),NOT(ISNUMBER(N249)),M249&gt;Settings!$F$8,N249&lt;Settings!$F$8,N249&lt;M249),"Pending",IF(AND(G249="Applicable",H249="Pass"),"Pass",IF(AND(G249="N/A",H249="N/A",J249&lt;&gt;"",OR(E249="CEM-FUELS",E249="CEM-CCS",AND(E249="CEM-PLAN",IFERROR(INDEX('Taxonomy'!$M$9:$M$108,MATCH(D249,'Taxonomy'!$C$9:$C$108,0)),"")&lt;&gt;"Amber"),E249="BLD-TIMBER",AND(U249="Building equipment",OR(E249="BLD-WATER",E249="BLD-WASTE",E249="BLD-LAND")),AND(U249="Building renovation",E249="BLD-LAND"))),"N/A","Pending"))))))</x:f>
        <x:v>Pass</x:v>
      </x:c>
      <x:c r="Q249" s="3" t="str">
        <x:f>IF(C249="","",IF(AND(R249="Valid",OR(P249="Pass",P249="N/A")),"Complete","Unresolved"))</x:f>
        <x:v>Complete</x:v>
      </x:c>
      <x:c r="R249" s="9" t="str">
        <x:f>IF(C249="","",IF(OR(COUNTIF($C$9:$C$2008,C249)&lt;&gt;1,COUNTIFS($D$9:$D$2008,D249,$E$9:$E$2008,E249)&lt;&gt;1),"Duplicate test",IF(COUNTIF('Taxonomy'!$C$9:$C$108,D249)&lt;&gt;1,"Assessment key",IF(OR(COUNTIF('Taxonomy Rules'!$C$42:$C$68,E249)&lt;&gt;1,F249&lt;&gt;IFERROR(INDEX('Taxonomy Rules'!$D$42:$D$68,MATCH(E249,'Taxonomy Rules'!$C$42:$C$68,0)),""),NOT(OR(IFERROR(INDEX('Taxonomy Rules'!$G$42:$G$68,MATCH(E249,'Taxonomy Rules'!$C$42:$C$68,0)),"")="All supported routes",IFERROR(INDEX('Taxonomy Rules'!$G$42:$G$68,MATCH(E249,'Taxonomy Rules'!$C$42:$C$68,0)),"")=U249,AND(IFERROR(INDEX('Taxonomy Rules'!$G$42:$G$68,MATCH(E249,'Taxonomy Rules'!$C$42:$C$68,0)),"")="Building routes",OR(U249="Building renovation",U249="New building",U249="Building equipment"))))),"Unexpected test","Valid"))))</x:f>
        <x:v>Valid</x:v>
      </x:c>
      <x:c r="S249" s="9" t="str">
        <x:f>IF(C249="","",IFERROR(INDEX('Taxonomy Rules'!$E$42:$E$68,MATCH(E249,'Taxonomy Rules'!$C$42:$C$68,0)),""))</x:f>
        <x:v>Implemented panel end-of-life management consistent with recycling standards.</x:v>
      </x:c>
      <x:c r="T249" s="9" t="str">
        <x:f>IF(C249="","",IFERROR(INDEX('Taxonomy Rules'!$F$42:$F$68,MATCH(E249,'Taxonomy Rules'!$C$42:$C$68,0)),""))</x:f>
        <x:v>S10 p86</x:v>
      </x:c>
      <x:c r="U249" s="9" t="str">
        <x:f>IF(C249="","",IFERROR(INDEX('Taxonomy'!$G$9:$G$108,MATCH(D249,'Taxonomy'!$C$9:$C$108,0)),""))</x:f>
        <x:v>Solar PV</x:v>
      </x:c>
    </x:row>
    <x:row r="250" ht="44" customHeight="1">
      <x:c r="A250" s="1"/>
      <x:c r="B250" s="1"/>
      <x:c r="C250" s="8" t="str">
        <x:v>TST-F027-SC-EVIDENCE</x:v>
      </x:c>
      <x:c r="D250" s="8" t="str">
        <x:v>TAX-F027</x:v>
      </x:c>
      <x:c r="E250" s="8" t="str">
        <x:v>SC-EVIDENCE</x:v>
      </x:c>
      <x:c r="F250" s="8" t="str">
        <x:v>Technical</x:v>
      </x:c>
      <x:c r="G250" s="8" t="str">
        <x:v>Applicable</x:v>
      </x:c>
      <x:c r="H250" s="8" t="str">
        <x:v>Pass</x:v>
      </x:c>
      <x:c r="I250" s="8" t="str">
        <x:v>SYN-TEST-F027-SC-EVIDENCE</x:v>
      </x:c>
      <x:c r="J250" s="8" t="str"/>
      <x:c r="K250" s="8" t="str">
        <x:v>Taxonomy analyst 3</x:v>
      </x:c>
      <x:c r="L250" s="8" t="str">
        <x:v>Taxonomy reviewer 1</x:v>
      </x:c>
      <x:c r="M250" s="10" t="n">
        <x:v>46266</x:v>
      </x:c>
      <x:c r="N250" s="10" t="n">
        <x:v>46631</x:v>
      </x:c>
      <x:c r="O250" s="8"/>
      <x:c r="P250" s="9" t="str">
        <x:f>IF(C250="","",IF(AND(G250="Applicable",H250="Fail"),"Fail",IF(R250&lt;&gt;"Valid","Pending",IF(OR(I250="",K250="",L250="",K250=L250,NOT(ISNUMBER(M250)),NOT(ISNUMBER(N250)),M250&gt;Settings!$F$8,N250&lt;Settings!$F$8,N250&lt;M250),"Pending",IF(AND(G250="Applicable",H250="Pass"),"Pass",IF(AND(G250="N/A",H250="N/A",J250&lt;&gt;"",OR(E250="CEM-FUELS",E250="CEM-CCS",AND(E250="CEM-PLAN",IFERROR(INDEX('Taxonomy'!$M$9:$M$108,MATCH(D250,'Taxonomy'!$C$9:$C$108,0)),"")&lt;&gt;"Amber"),E250="BLD-TIMBER",AND(U250="Building equipment",OR(E250="BLD-WATER",E250="BLD-WASTE",E250="BLD-LAND")),AND(U250="Building renovation",E250="BLD-LAND"))),"N/A","Pending"))))))</x:f>
        <x:v>Pass</x:v>
      </x:c>
      <x:c r="Q250" s="3" t="str">
        <x:f>IF(C250="","",IF(AND(R250="Valid",OR(P250="Pass",P250="N/A")),"Complete","Unresolved"))</x:f>
        <x:v>Complete</x:v>
      </x:c>
      <x:c r="R250" s="9" t="str">
        <x:f>IF(C250="","",IF(OR(COUNTIF($C$9:$C$2008,C250)&lt;&gt;1,COUNTIFS($D$9:$D$2008,D250,$E$9:$E$2008,E250)&lt;&gt;1),"Duplicate test",IF(COUNTIF('Taxonomy'!$C$9:$C$108,D250)&lt;&gt;1,"Assessment key",IF(OR(COUNTIF('Taxonomy Rules'!$C$42:$C$68,E250)&lt;&gt;1,F250&lt;&gt;IFERROR(INDEX('Taxonomy Rules'!$D$42:$D$68,MATCH(E250,'Taxonomy Rules'!$C$42:$C$68,0)),""),NOT(OR(IFERROR(INDEX('Taxonomy Rules'!$G$42:$G$68,MATCH(E250,'Taxonomy Rules'!$C$42:$C$68,0)),"")="All supported routes",IFERROR(INDEX('Taxonomy Rules'!$G$42:$G$68,MATCH(E250,'Taxonomy Rules'!$C$42:$C$68,0)),"")=U250,AND(IFERROR(INDEX('Taxonomy Rules'!$G$42:$G$68,MATCH(E250,'Taxonomy Rules'!$C$42:$C$68,0)),"")="Building routes",OR(U250="Building renovation",U250="New building",U250="Building equipment"))))),"Unexpected test","Valid"))))</x:f>
        <x:v>Valid</x:v>
      </x:c>
      <x:c r="S250" s="9" t="str">
        <x:f>IF(C250="","",IFERROR(INDEX('Taxonomy Rules'!$E$42:$E$68,MATCH(E250,'Taxonomy Rules'!$C$42:$C$68,0)),""))</x:f>
        <x:v>Boundary and chosen route are evidenced; observations match the activity card.</x:v>
      </x:c>
      <x:c r="T250" s="9" t="str">
        <x:f>IF(C250="","",IFERROR(INDEX('Taxonomy Rules'!$F$42:$F$68,MATCH(E250,'Taxonomy Rules'!$C$42:$C$68,0)),""))</x:f>
        <x:v>S10 activity card</x:v>
      </x:c>
      <x:c r="U250" s="9" t="str">
        <x:f>IF(C250="","",IFERROR(INDEX('Taxonomy'!$G$9:$G$108,MATCH(D250,'Taxonomy'!$C$9:$C$108,0)),""))</x:f>
        <x:v>Road freight</x:v>
      </x:c>
    </x:row>
    <x:row r="251" ht="44" customHeight="1">
      <x:c r="A251" s="1"/>
      <x:c r="B251" s="1"/>
      <x:c r="C251" s="8" t="str">
        <x:v>TST-F027-DNSH-MIT</x:v>
      </x:c>
      <x:c r="D251" s="8" t="str">
        <x:v>TAX-F027</x:v>
      </x:c>
      <x:c r="E251" s="8" t="str">
        <x:v>DNSH-MIT</x:v>
      </x:c>
      <x:c r="F251" s="8" t="str">
        <x:v>DNSH</x:v>
      </x:c>
      <x:c r="G251" s="8" t="str">
        <x:v>Applicable</x:v>
      </x:c>
      <x:c r="H251" s="8" t="str">
        <x:v>Pass</x:v>
      </x:c>
      <x:c r="I251" s="8" t="str">
        <x:v>SYN-TEST-F027-DNSH-MIT</x:v>
      </x:c>
      <x:c r="J251" s="8" t="str"/>
      <x:c r="K251" s="8" t="str">
        <x:v>Taxonomy analyst 3</x:v>
      </x:c>
      <x:c r="L251" s="8" t="str">
        <x:v>Taxonomy reviewer 1</x:v>
      </x:c>
      <x:c r="M251" s="10" t="n">
        <x:v>46266</x:v>
      </x:c>
      <x:c r="N251" s="10" t="n">
        <x:v>46631</x:v>
      </x:c>
      <x:c r="O251" s="8"/>
      <x:c r="P251" s="9" t="str">
        <x:f>IF(C251="","",IF(AND(G251="Applicable",H251="Fail"),"Fail",IF(R251&lt;&gt;"Valid","Pending",IF(OR(I251="",K251="",L251="",K251=L251,NOT(ISNUMBER(M251)),NOT(ISNUMBER(N251)),M251&gt;Settings!$F$8,N251&lt;Settings!$F$8,N251&lt;M251),"Pending",IF(AND(G251="Applicable",H251="Pass"),"Pass",IF(AND(G251="N/A",H251="N/A",J251&lt;&gt;"",OR(E251="CEM-FUELS",E251="CEM-CCS",AND(E251="CEM-PLAN",IFERROR(INDEX('Taxonomy'!$M$9:$M$108,MATCH(D251,'Taxonomy'!$C$9:$C$108,0)),"")&lt;&gt;"Amber"),E251="BLD-TIMBER",AND(U251="Building equipment",OR(E251="BLD-WATER",E251="BLD-WASTE",E251="BLD-LAND")),AND(U251="Building renovation",E251="BLD-LAND"))),"N/A","Pending"))))))</x:f>
        <x:v>Pass</x:v>
      </x:c>
      <x:c r="Q251" s="3" t="str">
        <x:f>IF(C251="","",IF(AND(R251="Valid",OR(P251="Pass",P251="N/A")),"Complete","Unresolved"))</x:f>
        <x:v>Complete</x:v>
      </x:c>
      <x:c r="R251" s="9" t="str">
        <x:f>IF(C251="","",IF(OR(COUNTIF($C$9:$C$2008,C251)&lt;&gt;1,COUNTIFS($D$9:$D$2008,D251,$E$9:$E$2008,E251)&lt;&gt;1),"Duplicate test",IF(COUNTIF('Taxonomy'!$C$9:$C$108,D251)&lt;&gt;1,"Assessment key",IF(OR(COUNTIF('Taxonomy Rules'!$C$42:$C$68,E251)&lt;&gt;1,F251&lt;&gt;IFERROR(INDEX('Taxonomy Rules'!$D$42:$D$68,MATCH(E251,'Taxonomy Rules'!$C$42:$C$68,0)),""),NOT(OR(IFERROR(INDEX('Taxonomy Rules'!$G$42:$G$68,MATCH(E251,'Taxonomy Rules'!$C$42:$C$68,0)),"")="All supported routes",IFERROR(INDEX('Taxonomy Rules'!$G$42:$G$68,MATCH(E251,'Taxonomy Rules'!$C$42:$C$68,0)),"")=U251,AND(IFERROR(INDEX('Taxonomy Rules'!$G$42:$G$68,MATCH(E251,'Taxonomy Rules'!$C$42:$C$68,0)),"")="Building routes",OR(U251="Building renovation",U251="New building",U251="Building equipment"))))),"Unexpected test","Valid"))))</x:f>
        <x:v>Valid</x:v>
      </x:c>
      <x:c r="S251" s="9" t="str">
        <x:f>IF(C251="","",IFERROR(INDEX('Taxonomy Rules'!$E$42:$E$68,MATCH(E251,'Taxonomy Rules'!$C$42:$C$68,0)),""))</x:f>
        <x:v>No avoidable fossil lock-in; material lifecycle effects assessed.</x:v>
      </x:c>
      <x:c r="T251" s="9" t="str">
        <x:f>IF(C251="","",IFERROR(INDEX('Taxonomy Rules'!$F$42:$F$68,MATCH(E251,'Taxonomy Rules'!$C$42:$C$68,0)),""))</x:f>
        <x:v>S10 p30</x:v>
      </x:c>
      <x:c r="U251" s="9" t="str">
        <x:f>IF(C251="","",IFERROR(INDEX('Taxonomy'!$G$9:$G$108,MATCH(D251,'Taxonomy'!$C$9:$C$108,0)),""))</x:f>
        <x:v>Road freight</x:v>
      </x:c>
    </x:row>
    <x:row r="252" ht="44" customHeight="1">
      <x:c r="A252" s="1"/>
      <x:c r="B252" s="1"/>
      <x:c r="C252" s="8" t="str">
        <x:v>TST-F027-DNSH-ADAPT</x:v>
      </x:c>
      <x:c r="D252" s="8" t="str">
        <x:v>TAX-F027</x:v>
      </x:c>
      <x:c r="E252" s="8" t="str">
        <x:v>DNSH-ADAPT</x:v>
      </x:c>
      <x:c r="F252" s="8" t="str">
        <x:v>DNSH</x:v>
      </x:c>
      <x:c r="G252" s="8" t="str">
        <x:v>Applicable</x:v>
      </x:c>
      <x:c r="H252" s="8" t="str">
        <x:v>Pass</x:v>
      </x:c>
      <x:c r="I252" s="8" t="str">
        <x:v>SYN-TEST-F027-DNSH-ADAPT</x:v>
      </x:c>
      <x:c r="J252" s="8" t="str"/>
      <x:c r="K252" s="8" t="str">
        <x:v>Taxonomy analyst 3</x:v>
      </x:c>
      <x:c r="L252" s="8" t="str">
        <x:v>Taxonomy reviewer 1</x:v>
      </x:c>
      <x:c r="M252" s="10" t="n">
        <x:v>46266</x:v>
      </x:c>
      <x:c r="N252" s="10" t="n">
        <x:v>46631</x:v>
      </x:c>
      <x:c r="O252" s="8"/>
      <x:c r="P252" s="9" t="str">
        <x:f>IF(C252="","",IF(AND(G252="Applicable",H252="Fail"),"Fail",IF(R252&lt;&gt;"Valid","Pending",IF(OR(I252="",K252="",L252="",K252=L252,NOT(ISNUMBER(M252)),NOT(ISNUMBER(N252)),M252&gt;Settings!$F$8,N252&lt;Settings!$F$8,N252&lt;M252),"Pending",IF(AND(G252="Applicable",H252="Pass"),"Pass",IF(AND(G252="N/A",H252="N/A",J252&lt;&gt;"",OR(E252="CEM-FUELS",E252="CEM-CCS",AND(E252="CEM-PLAN",IFERROR(INDEX('Taxonomy'!$M$9:$M$108,MATCH(D252,'Taxonomy'!$C$9:$C$108,0)),"")&lt;&gt;"Amber"),E252="BLD-TIMBER",AND(U252="Building equipment",OR(E252="BLD-WATER",E252="BLD-WASTE",E252="BLD-LAND")),AND(U252="Building renovation",E252="BLD-LAND"))),"N/A","Pending"))))))</x:f>
        <x:v>Pass</x:v>
      </x:c>
      <x:c r="Q252" s="3" t="str">
        <x:f>IF(C252="","",IF(AND(R252="Valid",OR(P252="Pass",P252="N/A")),"Complete","Unresolved"))</x:f>
        <x:v>Complete</x:v>
      </x:c>
      <x:c r="R252" s="9" t="str">
        <x:f>IF(C252="","",IF(OR(COUNTIF($C$9:$C$2008,C252)&lt;&gt;1,COUNTIFS($D$9:$D$2008,D252,$E$9:$E$2008,E252)&lt;&gt;1),"Duplicate test",IF(COUNTIF('Taxonomy'!$C$9:$C$108,D252)&lt;&gt;1,"Assessment key",IF(OR(COUNTIF('Taxonomy Rules'!$C$42:$C$68,E252)&lt;&gt;1,F252&lt;&gt;IFERROR(INDEX('Taxonomy Rules'!$D$42:$D$68,MATCH(E252,'Taxonomy Rules'!$C$42:$C$68,0)),""),NOT(OR(IFERROR(INDEX('Taxonomy Rules'!$G$42:$G$68,MATCH(E252,'Taxonomy Rules'!$C$42:$C$68,0)),"")="All supported routes",IFERROR(INDEX('Taxonomy Rules'!$G$42:$G$68,MATCH(E252,'Taxonomy Rules'!$C$42:$C$68,0)),"")=U252,AND(IFERROR(INDEX('Taxonomy Rules'!$G$42:$G$68,MATCH(E252,'Taxonomy Rules'!$C$42:$C$68,0)),"")="Building routes",OR(U252="Building renovation",U252="New building",U252="Building equipment"))))),"Unexpected test","Valid"))))</x:f>
        <x:v>Valid</x:v>
      </x:c>
      <x:c r="S252" s="9" t="str">
        <x:f>IF(C252="","",IFERROR(INDEX('Taxonomy Rules'!$E$42:$E$68,MATCH(E252,'Taxonomy Rules'!$C$42:$C$68,0)),""))</x:f>
        <x:v>Lifetime hazard screen, material risk assessment and implemented adaptation; no harm to others.</x:v>
      </x:c>
      <x:c r="T252" s="9" t="str">
        <x:f>IF(C252="","",IFERROR(INDEX('Taxonomy Rules'!$F$42:$F$68,MATCH(E252,'Taxonomy Rules'!$C$42:$C$68,0)),""))</x:f>
        <x:v>S10 pp30–31</x:v>
      </x:c>
      <x:c r="U252" s="9" t="str">
        <x:f>IF(C252="","",IFERROR(INDEX('Taxonomy'!$G$9:$G$108,MATCH(D252,'Taxonomy'!$C$9:$C$108,0)),""))</x:f>
        <x:v>Road freight</x:v>
      </x:c>
    </x:row>
    <x:row r="253" ht="44" customHeight="1">
      <x:c r="A253" s="1"/>
      <x:c r="B253" s="1"/>
      <x:c r="C253" s="8" t="str">
        <x:v>TST-F027-DNSH-WATER</x:v>
      </x:c>
      <x:c r="D253" s="8" t="str">
        <x:v>TAX-F027</x:v>
      </x:c>
      <x:c r="E253" s="8" t="str">
        <x:v>DNSH-WATER</x:v>
      </x:c>
      <x:c r="F253" s="8" t="str">
        <x:v>DNSH</x:v>
      </x:c>
      <x:c r="G253" s="8" t="str">
        <x:v>Applicable</x:v>
      </x:c>
      <x:c r="H253" s="8" t="str">
        <x:v>Pass</x:v>
      </x:c>
      <x:c r="I253" s="8" t="str">
        <x:v>SYN-TEST-F027-DNSH-WATER</x:v>
      </x:c>
      <x:c r="J253" s="8" t="str"/>
      <x:c r="K253" s="8" t="str">
        <x:v>Taxonomy analyst 3</x:v>
      </x:c>
      <x:c r="L253" s="8" t="str">
        <x:v>Taxonomy reviewer 1</x:v>
      </x:c>
      <x:c r="M253" s="10" t="n">
        <x:v>46266</x:v>
      </x:c>
      <x:c r="N253" s="10" t="n">
        <x:v>46631</x:v>
      </x:c>
      <x:c r="O253" s="8"/>
      <x:c r="P253" s="9" t="str">
        <x:f>IF(C253="","",IF(AND(G253="Applicable",H253="Fail"),"Fail",IF(R253&lt;&gt;"Valid","Pending",IF(OR(I253="",K253="",L253="",K253=L253,NOT(ISNUMBER(M253)),NOT(ISNUMBER(N253)),M253&gt;Settings!$F$8,N253&lt;Settings!$F$8,N253&lt;M253),"Pending",IF(AND(G253="Applicable",H253="Pass"),"Pass",IF(AND(G253="N/A",H253="N/A",J253&lt;&gt;"",OR(E253="CEM-FUELS",E253="CEM-CCS",AND(E253="CEM-PLAN",IFERROR(INDEX('Taxonomy'!$M$9:$M$108,MATCH(D253,'Taxonomy'!$C$9:$C$108,0)),"")&lt;&gt;"Amber"),E253="BLD-TIMBER",AND(U253="Building equipment",OR(E253="BLD-WATER",E253="BLD-WASTE",E253="BLD-LAND")),AND(U253="Building renovation",E253="BLD-LAND"))),"N/A","Pending"))))))</x:f>
        <x:v>Pass</x:v>
      </x:c>
      <x:c r="Q253" s="3" t="str">
        <x:f>IF(C253="","",IF(AND(R253="Valid",OR(P253="Pass",P253="N/A")),"Complete","Unresolved"))</x:f>
        <x:v>Complete</x:v>
      </x:c>
      <x:c r="R253" s="9" t="str">
        <x:f>IF(C253="","",IF(OR(COUNTIF($C$9:$C$2008,C253)&lt;&gt;1,COUNTIFS($D$9:$D$2008,D253,$E$9:$E$2008,E253)&lt;&gt;1),"Duplicate test",IF(COUNTIF('Taxonomy'!$C$9:$C$108,D253)&lt;&gt;1,"Assessment key",IF(OR(COUNTIF('Taxonomy Rules'!$C$42:$C$68,E253)&lt;&gt;1,F253&lt;&gt;IFERROR(INDEX('Taxonomy Rules'!$D$42:$D$68,MATCH(E253,'Taxonomy Rules'!$C$42:$C$68,0)),""),NOT(OR(IFERROR(INDEX('Taxonomy Rules'!$G$42:$G$68,MATCH(E253,'Taxonomy Rules'!$C$42:$C$68,0)),"")="All supported routes",IFERROR(INDEX('Taxonomy Rules'!$G$42:$G$68,MATCH(E253,'Taxonomy Rules'!$C$42:$C$68,0)),"")=U253,AND(IFERROR(INDEX('Taxonomy Rules'!$G$42:$G$68,MATCH(E253,'Taxonomy Rules'!$C$42:$C$68,0)),"")="Building routes",OR(U253="Building renovation",U253="New building",U253="Building equipment"))))),"Unexpected test","Valid"))))</x:f>
        <x:v>Valid</x:v>
      </x:c>
      <x:c r="S253" s="9" t="str">
        <x:f>IF(C253="","",IFERROR(INDEX('Taxonomy Rules'!$E$42:$E$68,MATCH(E253,'Taxonomy Rules'!$C$42:$C$68,0)),""))</x:f>
        <x:v>Water permits, abstraction/discharge limits, required assessments and management measures.</x:v>
      </x:c>
      <x:c r="T253" s="9" t="str">
        <x:f>IF(C253="","",IFERROR(INDEX('Taxonomy Rules'!$F$42:$F$68,MATCH(E253,'Taxonomy Rules'!$C$42:$C$68,0)),""))</x:f>
        <x:v>S10 p31</x:v>
      </x:c>
      <x:c r="U253" s="9" t="str">
        <x:f>IF(C253="","",IFERROR(INDEX('Taxonomy'!$G$9:$G$108,MATCH(D253,'Taxonomy'!$C$9:$C$108,0)),""))</x:f>
        <x:v>Road freight</x:v>
      </x:c>
    </x:row>
    <x:row r="254" ht="44" customHeight="1">
      <x:c r="A254" s="1"/>
      <x:c r="B254" s="1"/>
      <x:c r="C254" s="8" t="str">
        <x:v>TST-F027-DNSH-POLL</x:v>
      </x:c>
      <x:c r="D254" s="8" t="str">
        <x:v>TAX-F027</x:v>
      </x:c>
      <x:c r="E254" s="8" t="str">
        <x:v>DNSH-POLL</x:v>
      </x:c>
      <x:c r="F254" s="8" t="str">
        <x:v>DNSH</x:v>
      </x:c>
      <x:c r="G254" s="8" t="str">
        <x:v>Applicable</x:v>
      </x:c>
      <x:c r="H254" s="8" t="str">
        <x:v>Pass</x:v>
      </x:c>
      <x:c r="I254" s="8" t="str">
        <x:v>SYN-TEST-F027-DNSH-POLL</x:v>
      </x:c>
      <x:c r="J254" s="8" t="str"/>
      <x:c r="K254" s="8" t="str">
        <x:v>Taxonomy analyst 3</x:v>
      </x:c>
      <x:c r="L254" s="8" t="str">
        <x:v>Taxonomy reviewer 1</x:v>
      </x:c>
      <x:c r="M254" s="10" t="n">
        <x:v>46266</x:v>
      </x:c>
      <x:c r="N254" s="10" t="n">
        <x:v>46631</x:v>
      </x:c>
      <x:c r="O254" s="8"/>
      <x:c r="P254" s="9" t="str">
        <x:f>IF(C254="","",IF(AND(G254="Applicable",H254="Fail"),"Fail",IF(R254&lt;&gt;"Valid","Pending",IF(OR(I254="",K254="",L254="",K254=L254,NOT(ISNUMBER(M254)),NOT(ISNUMBER(N254)),M254&gt;Settings!$F$8,N254&lt;Settings!$F$8,N254&lt;M254),"Pending",IF(AND(G254="Applicable",H254="Pass"),"Pass",IF(AND(G254="N/A",H254="N/A",J254&lt;&gt;"",OR(E254="CEM-FUELS",E254="CEM-CCS",AND(E254="CEM-PLAN",IFERROR(INDEX('Taxonomy'!$M$9:$M$108,MATCH(D254,'Taxonomy'!$C$9:$C$108,0)),"")&lt;&gt;"Amber"),E254="BLD-TIMBER",AND(U254="Building equipment",OR(E254="BLD-WATER",E254="BLD-WASTE",E254="BLD-LAND")),AND(U254="Building renovation",E254="BLD-LAND"))),"N/A","Pending"))))))</x:f>
        <x:v>Pass</x:v>
      </x:c>
      <x:c r="Q254" s="3" t="str">
        <x:f>IF(C254="","",IF(AND(R254="Valid",OR(P254="Pass",P254="N/A")),"Complete","Unresolved"))</x:f>
        <x:v>Complete</x:v>
      </x:c>
      <x:c r="R254" s="9" t="str">
        <x:f>IF(C254="","",IF(OR(COUNTIF($C$9:$C$2008,C254)&lt;&gt;1,COUNTIFS($D$9:$D$2008,D254,$E$9:$E$2008,E254)&lt;&gt;1),"Duplicate test",IF(COUNTIF('Taxonomy'!$C$9:$C$108,D254)&lt;&gt;1,"Assessment key",IF(OR(COUNTIF('Taxonomy Rules'!$C$42:$C$68,E254)&lt;&gt;1,F254&lt;&gt;IFERROR(INDEX('Taxonomy Rules'!$D$42:$D$68,MATCH(E254,'Taxonomy Rules'!$C$42:$C$68,0)),""),NOT(OR(IFERROR(INDEX('Taxonomy Rules'!$G$42:$G$68,MATCH(E254,'Taxonomy Rules'!$C$42:$C$68,0)),"")="All supported routes",IFERROR(INDEX('Taxonomy Rules'!$G$42:$G$68,MATCH(E254,'Taxonomy Rules'!$C$42:$C$68,0)),"")=U254,AND(IFERROR(INDEX('Taxonomy Rules'!$G$42:$G$68,MATCH(E254,'Taxonomy Rules'!$C$42:$C$68,0)),"")="Building routes",OR(U254="Building renovation",U254="New building",U254="Building equipment"))))),"Unexpected test","Valid"))))</x:f>
        <x:v>Valid</x:v>
      </x:c>
      <x:c r="S254" s="9" t="str">
        <x:f>IF(C254="","",IFERROR(INDEX('Taxonomy Rules'!$E$42:$E$68,MATCH(E254,'Taxonomy Rules'!$C$42:$C$68,0)),""))</x:f>
        <x:v>National pollution and prohibited-substance requirements; activity-specific limits.</x:v>
      </x:c>
      <x:c r="T254" s="9" t="str">
        <x:f>IF(C254="","",IFERROR(INDEX('Taxonomy Rules'!$F$42:$F$68,MATCH(E254,'Taxonomy Rules'!$C$42:$C$68,0)),""))</x:f>
        <x:v>S10 p31</x:v>
      </x:c>
      <x:c r="U254" s="9" t="str">
        <x:f>IF(C254="","",IFERROR(INDEX('Taxonomy'!$G$9:$G$108,MATCH(D254,'Taxonomy'!$C$9:$C$108,0)),""))</x:f>
        <x:v>Road freight</x:v>
      </x:c>
    </x:row>
    <x:row r="255" ht="44" customHeight="1">
      <x:c r="A255" s="1"/>
      <x:c r="B255" s="1"/>
      <x:c r="C255" s="8" t="str">
        <x:v>TST-F027-DNSH-CIRC</x:v>
      </x:c>
      <x:c r="D255" s="8" t="str">
        <x:v>TAX-F027</x:v>
      </x:c>
      <x:c r="E255" s="8" t="str">
        <x:v>DNSH-CIRC</x:v>
      </x:c>
      <x:c r="F255" s="8" t="str">
        <x:v>DNSH</x:v>
      </x:c>
      <x:c r="G255" s="8" t="str">
        <x:v>Applicable</x:v>
      </x:c>
      <x:c r="H255" s="8" t="str">
        <x:v>Pass</x:v>
      </x:c>
      <x:c r="I255" s="8" t="str">
        <x:v>SYN-TEST-F027-DNSH-CIRC</x:v>
      </x:c>
      <x:c r="J255" s="8" t="str"/>
      <x:c r="K255" s="8" t="str">
        <x:v>Taxonomy analyst 3</x:v>
      </x:c>
      <x:c r="L255" s="8" t="str">
        <x:v>Taxonomy reviewer 1</x:v>
      </x:c>
      <x:c r="M255" s="10" t="n">
        <x:v>46266</x:v>
      </x:c>
      <x:c r="N255" s="10" t="n">
        <x:v>46631</x:v>
      </x:c>
      <x:c r="O255" s="8"/>
      <x:c r="P255" s="9" t="str">
        <x:f>IF(C255="","",IF(AND(G255="Applicable",H255="Fail"),"Fail",IF(R255&lt;&gt;"Valid","Pending",IF(OR(I255="",K255="",L255="",K255=L255,NOT(ISNUMBER(M255)),NOT(ISNUMBER(N255)),M255&gt;Settings!$F$8,N255&lt;Settings!$F$8,N255&lt;M255),"Pending",IF(AND(G255="Applicable",H255="Pass"),"Pass",IF(AND(G255="N/A",H255="N/A",J255&lt;&gt;"",OR(E255="CEM-FUELS",E255="CEM-CCS",AND(E255="CEM-PLAN",IFERROR(INDEX('Taxonomy'!$M$9:$M$108,MATCH(D255,'Taxonomy'!$C$9:$C$108,0)),"")&lt;&gt;"Amber"),E255="BLD-TIMBER",AND(U255="Building equipment",OR(E255="BLD-WATER",E255="BLD-WASTE",E255="BLD-LAND")),AND(U255="Building renovation",E255="BLD-LAND"))),"N/A","Pending"))))))</x:f>
        <x:v>Pass</x:v>
      </x:c>
      <x:c r="Q255" s="3" t="str">
        <x:f>IF(C255="","",IF(AND(R255="Valid",OR(P255="Pass",P255="N/A")),"Complete","Unresolved"))</x:f>
        <x:v>Complete</x:v>
      </x:c>
      <x:c r="R255" s="9" t="str">
        <x:f>IF(C255="","",IF(OR(COUNTIF($C$9:$C$2008,C255)&lt;&gt;1,COUNTIFS($D$9:$D$2008,D255,$E$9:$E$2008,E255)&lt;&gt;1),"Duplicate test",IF(COUNTIF('Taxonomy'!$C$9:$C$108,D255)&lt;&gt;1,"Assessment key",IF(OR(COUNTIF('Taxonomy Rules'!$C$42:$C$68,E255)&lt;&gt;1,F255&lt;&gt;IFERROR(INDEX('Taxonomy Rules'!$D$42:$D$68,MATCH(E255,'Taxonomy Rules'!$C$42:$C$68,0)),""),NOT(OR(IFERROR(INDEX('Taxonomy Rules'!$G$42:$G$68,MATCH(E255,'Taxonomy Rules'!$C$42:$C$68,0)),"")="All supported routes",IFERROR(INDEX('Taxonomy Rules'!$G$42:$G$68,MATCH(E255,'Taxonomy Rules'!$C$42:$C$68,0)),"")=U255,AND(IFERROR(INDEX('Taxonomy Rules'!$G$42:$G$68,MATCH(E255,'Taxonomy Rules'!$C$42:$C$68,0)),"")="Building routes",OR(U255="Building renovation",U255="New building",U255="Building equipment"))))),"Unexpected test","Valid"))))</x:f>
        <x:v>Valid</x:v>
      </x:c>
      <x:c r="S255" s="9" t="str">
        <x:f>IF(C255="","",IFERROR(INDEX('Taxonomy Rules'!$E$42:$E$68,MATCH(E255,'Taxonomy Rules'!$C$42:$C$68,0)),""))</x:f>
        <x:v>Waste hierarchy, resource efficiency, hazardous-waste traceability and end-of-life arrangements.</x:v>
      </x:c>
      <x:c r="T255" s="9" t="str">
        <x:f>IF(C255="","",IFERROR(INDEX('Taxonomy Rules'!$F$42:$F$68,MATCH(E255,'Taxonomy Rules'!$C$42:$C$68,0)),""))</x:f>
        <x:v>S10 p32</x:v>
      </x:c>
      <x:c r="U255" s="9" t="str">
        <x:f>IF(C255="","",IFERROR(INDEX('Taxonomy'!$G$9:$G$108,MATCH(D255,'Taxonomy'!$C$9:$C$108,0)),""))</x:f>
        <x:v>Road freight</x:v>
      </x:c>
    </x:row>
    <x:row r="256" ht="44" customHeight="1">
      <x:c r="A256" s="1"/>
      <x:c r="B256" s="1"/>
      <x:c r="C256" s="8" t="str">
        <x:v>TST-F027-DNSH-BIO</x:v>
      </x:c>
      <x:c r="D256" s="8" t="str">
        <x:v>TAX-F027</x:v>
      </x:c>
      <x:c r="E256" s="8" t="str">
        <x:v>DNSH-BIO</x:v>
      </x:c>
      <x:c r="F256" s="8" t="str">
        <x:v>DNSH</x:v>
      </x:c>
      <x:c r="G256" s="8" t="str">
        <x:v>Applicable</x:v>
      </x:c>
      <x:c r="H256" s="8" t="str">
        <x:v>Pass</x:v>
      </x:c>
      <x:c r="I256" s="8" t="str">
        <x:v>SYN-TEST-F027-DNSH-BIO</x:v>
      </x:c>
      <x:c r="J256" s="8" t="str"/>
      <x:c r="K256" s="8" t="str">
        <x:v>Taxonomy analyst 3</x:v>
      </x:c>
      <x:c r="L256" s="8" t="str">
        <x:v>Taxonomy reviewer 1</x:v>
      </x:c>
      <x:c r="M256" s="10" t="n">
        <x:v>46266</x:v>
      </x:c>
      <x:c r="N256" s="10" t="n">
        <x:v>46631</x:v>
      </x:c>
      <x:c r="O256" s="8"/>
      <x:c r="P256" s="9" t="str">
        <x:f>IF(C256="","",IF(AND(G256="Applicable",H256="Fail"),"Fail",IF(R256&lt;&gt;"Valid","Pending",IF(OR(I256="",K256="",L256="",K256=L256,NOT(ISNUMBER(M256)),NOT(ISNUMBER(N256)),M256&gt;Settings!$F$8,N256&lt;Settings!$F$8,N256&lt;M256),"Pending",IF(AND(G256="Applicable",H256="Pass"),"Pass",IF(AND(G256="N/A",H256="N/A",J256&lt;&gt;"",OR(E256="CEM-FUELS",E256="CEM-CCS",AND(E256="CEM-PLAN",IFERROR(INDEX('Taxonomy'!$M$9:$M$108,MATCH(D256,'Taxonomy'!$C$9:$C$108,0)),"")&lt;&gt;"Amber"),E256="BLD-TIMBER",AND(U256="Building equipment",OR(E256="BLD-WATER",E256="BLD-WASTE",E256="BLD-LAND")),AND(U256="Building renovation",E256="BLD-LAND"))),"N/A","Pending"))))))</x:f>
        <x:v>Pass</x:v>
      </x:c>
      <x:c r="Q256" s="3" t="str">
        <x:f>IF(C256="","",IF(AND(R256="Valid",OR(P256="Pass",P256="N/A")),"Complete","Unresolved"))</x:f>
        <x:v>Complete</x:v>
      </x:c>
      <x:c r="R256" s="9" t="str">
        <x:f>IF(C256="","",IF(OR(COUNTIF($C$9:$C$2008,C256)&lt;&gt;1,COUNTIFS($D$9:$D$2008,D256,$E$9:$E$2008,E256)&lt;&gt;1),"Duplicate test",IF(COUNTIF('Taxonomy'!$C$9:$C$108,D256)&lt;&gt;1,"Assessment key",IF(OR(COUNTIF('Taxonomy Rules'!$C$42:$C$68,E256)&lt;&gt;1,F256&lt;&gt;IFERROR(INDEX('Taxonomy Rules'!$D$42:$D$68,MATCH(E256,'Taxonomy Rules'!$C$42:$C$68,0)),""),NOT(OR(IFERROR(INDEX('Taxonomy Rules'!$G$42:$G$68,MATCH(E256,'Taxonomy Rules'!$C$42:$C$68,0)),"")="All supported routes",IFERROR(INDEX('Taxonomy Rules'!$G$42:$G$68,MATCH(E256,'Taxonomy Rules'!$C$42:$C$68,0)),"")=U256,AND(IFERROR(INDEX('Taxonomy Rules'!$G$42:$G$68,MATCH(E256,'Taxonomy Rules'!$C$42:$C$68,0)),"")="Building routes",OR(U256="Building renovation",U256="New building",U256="Building equipment"))))),"Unexpected test","Valid"))))</x:f>
        <x:v>Valid</x:v>
      </x:c>
      <x:c r="S256" s="9" t="str">
        <x:f>IF(C256="","",IFERROR(INDEX('Taxonomy Rules'!$E$42:$E$68,MATCH(E256,'Taxonomy Rules'!$C$42:$C$68,0)),""))</x:f>
        <x:v>Required EIA, habitat screening and implemented mitigation.</x:v>
      </x:c>
      <x:c r="T256" s="9" t="str">
        <x:f>IF(C256="","",IFERROR(INDEX('Taxonomy Rules'!$F$42:$F$68,MATCH(E256,'Taxonomy Rules'!$C$42:$C$68,0)),""))</x:f>
        <x:v>S10 p32</x:v>
      </x:c>
      <x:c r="U256" s="9" t="str">
        <x:f>IF(C256="","",IFERROR(INDEX('Taxonomy'!$G$9:$G$108,MATCH(D256,'Taxonomy'!$C$9:$C$108,0)),""))</x:f>
        <x:v>Road freight</x:v>
      </x:c>
    </x:row>
    <x:row r="257" ht="44" customHeight="1">
      <x:c r="A257" s="1"/>
      <x:c r="B257" s="1"/>
      <x:c r="C257" s="8" t="str">
        <x:v>TST-F027-MSS-LABOUR</x:v>
      </x:c>
      <x:c r="D257" s="8" t="str">
        <x:v>TAX-F027</x:v>
      </x:c>
      <x:c r="E257" s="8" t="str">
        <x:v>MSS-LABOUR</x:v>
      </x:c>
      <x:c r="F257" s="8" t="str">
        <x:v>MSS</x:v>
      </x:c>
      <x:c r="G257" s="8" t="str">
        <x:v>Applicable</x:v>
      </x:c>
      <x:c r="H257" s="8" t="str">
        <x:v>Pass</x:v>
      </x:c>
      <x:c r="I257" s="8" t="str">
        <x:v>SYN-TEST-F027-MSS-LABOUR</x:v>
      </x:c>
      <x:c r="J257" s="8" t="str"/>
      <x:c r="K257" s="8" t="str">
        <x:v>Taxonomy analyst 3</x:v>
      </x:c>
      <x:c r="L257" s="8" t="str">
        <x:v>Taxonomy reviewer 1</x:v>
      </x:c>
      <x:c r="M257" s="10" t="n">
        <x:v>46266</x:v>
      </x:c>
      <x:c r="N257" s="10" t="n">
        <x:v>46631</x:v>
      </x:c>
      <x:c r="O257" s="8"/>
      <x:c r="P257" s="9" t="str">
        <x:f>IF(C257="","",IF(AND(G257="Applicable",H257="Fail"),"Fail",IF(R257&lt;&gt;"Valid","Pending",IF(OR(I257="",K257="",L257="",K257=L257,NOT(ISNUMBER(M257)),NOT(ISNUMBER(N257)),M257&gt;Settings!$F$8,N257&lt;Settings!$F$8,N257&lt;M257),"Pending",IF(AND(G257="Applicable",H257="Pass"),"Pass",IF(AND(G257="N/A",H257="N/A",J257&lt;&gt;"",OR(E257="CEM-FUELS",E257="CEM-CCS",AND(E257="CEM-PLAN",IFERROR(INDEX('Taxonomy'!$M$9:$M$108,MATCH(D257,'Taxonomy'!$C$9:$C$108,0)),"")&lt;&gt;"Amber"),E257="BLD-TIMBER",AND(U257="Building equipment",OR(E257="BLD-WATER",E257="BLD-WASTE",E257="BLD-LAND")),AND(U257="Building renovation",E257="BLD-LAND"))),"N/A","Pending"))))))</x:f>
        <x:v>Pass</x:v>
      </x:c>
      <x:c r="Q257" s="3" t="str">
        <x:f>IF(C257="","",IF(AND(R257="Valid",OR(P257="Pass",P257="N/A")),"Complete","Unresolved"))</x:f>
        <x:v>Complete</x:v>
      </x:c>
      <x:c r="R257" s="9" t="str">
        <x:f>IF(C257="","",IF(OR(COUNTIF($C$9:$C$2008,C257)&lt;&gt;1,COUNTIFS($D$9:$D$2008,D257,$E$9:$E$2008,E257)&lt;&gt;1),"Duplicate test",IF(COUNTIF('Taxonomy'!$C$9:$C$108,D257)&lt;&gt;1,"Assessment key",IF(OR(COUNTIF('Taxonomy Rules'!$C$42:$C$68,E257)&lt;&gt;1,F257&lt;&gt;IFERROR(INDEX('Taxonomy Rules'!$D$42:$D$68,MATCH(E257,'Taxonomy Rules'!$C$42:$C$68,0)),""),NOT(OR(IFERROR(INDEX('Taxonomy Rules'!$G$42:$G$68,MATCH(E257,'Taxonomy Rules'!$C$42:$C$68,0)),"")="All supported routes",IFERROR(INDEX('Taxonomy Rules'!$G$42:$G$68,MATCH(E257,'Taxonomy Rules'!$C$42:$C$68,0)),"")=U257,AND(IFERROR(INDEX('Taxonomy Rules'!$G$42:$G$68,MATCH(E257,'Taxonomy Rules'!$C$42:$C$68,0)),"")="Building routes",OR(U257="Building renovation",U257="New building",U257="Building equipment"))))),"Unexpected test","Valid"))))</x:f>
        <x:v>Valid</x:v>
      </x:c>
      <x:c r="S257" s="9" t="str">
        <x:f>IF(C257="","",IFERROR(INDEX('Taxonomy Rules'!$E$42:$E$68,MATCH(E257,'Taxonomy Rules'!$C$42:$C$68,0)),""))</x:f>
        <x:v>Labour rights, minimum age, no child/forced labour, equality and worker representation.</x:v>
      </x:c>
      <x:c r="T257" s="9" t="str">
        <x:f>IF(C257="","",IFERROR(INDEX('Taxonomy Rules'!$F$42:$F$68,MATCH(E257,'Taxonomy Rules'!$C$42:$C$68,0)),""))</x:f>
        <x:v>S10 p29</x:v>
      </x:c>
      <x:c r="U257" s="9" t="str">
        <x:f>IF(C257="","",IFERROR(INDEX('Taxonomy'!$G$9:$G$108,MATCH(D257,'Taxonomy'!$C$9:$C$108,0)),""))</x:f>
        <x:v>Road freight</x:v>
      </x:c>
    </x:row>
    <x:row r="258" ht="44" customHeight="1">
      <x:c r="A258" s="1"/>
      <x:c r="B258" s="1"/>
      <x:c r="C258" s="8" t="str">
        <x:v>TST-F027-MSS-OSH</x:v>
      </x:c>
      <x:c r="D258" s="8" t="str">
        <x:v>TAX-F027</x:v>
      </x:c>
      <x:c r="E258" s="8" t="str">
        <x:v>MSS-OSH</x:v>
      </x:c>
      <x:c r="F258" s="8" t="str">
        <x:v>MSS</x:v>
      </x:c>
      <x:c r="G258" s="8" t="str">
        <x:v>Applicable</x:v>
      </x:c>
      <x:c r="H258" s="8" t="str">
        <x:v>Pass</x:v>
      </x:c>
      <x:c r="I258" s="8" t="str">
        <x:v>SYN-TEST-F027-MSS-OSH</x:v>
      </x:c>
      <x:c r="J258" s="8" t="str"/>
      <x:c r="K258" s="8" t="str">
        <x:v>Taxonomy analyst 3</x:v>
      </x:c>
      <x:c r="L258" s="8" t="str">
        <x:v>Taxonomy reviewer 1</x:v>
      </x:c>
      <x:c r="M258" s="10" t="n">
        <x:v>46266</x:v>
      </x:c>
      <x:c r="N258" s="10" t="n">
        <x:v>46631</x:v>
      </x:c>
      <x:c r="O258" s="8"/>
      <x:c r="P258" s="9" t="str">
        <x:f>IF(C258="","",IF(AND(G258="Applicable",H258="Fail"),"Fail",IF(R258&lt;&gt;"Valid","Pending",IF(OR(I258="",K258="",L258="",K258=L258,NOT(ISNUMBER(M258)),NOT(ISNUMBER(N258)),M258&gt;Settings!$F$8,N258&lt;Settings!$F$8,N258&lt;M258),"Pending",IF(AND(G258="Applicable",H258="Pass"),"Pass",IF(AND(G258="N/A",H258="N/A",J258&lt;&gt;"",OR(E258="CEM-FUELS",E258="CEM-CCS",AND(E258="CEM-PLAN",IFERROR(INDEX('Taxonomy'!$M$9:$M$108,MATCH(D258,'Taxonomy'!$C$9:$C$108,0)),"")&lt;&gt;"Amber"),E258="BLD-TIMBER",AND(U258="Building equipment",OR(E258="BLD-WATER",E258="BLD-WASTE",E258="BLD-LAND")),AND(U258="Building renovation",E258="BLD-LAND"))),"N/A","Pending"))))))</x:f>
        <x:v>Pass</x:v>
      </x:c>
      <x:c r="Q258" s="3" t="str">
        <x:f>IF(C258="","",IF(AND(R258="Valid",OR(P258="Pass",P258="N/A")),"Complete","Unresolved"))</x:f>
        <x:v>Complete</x:v>
      </x:c>
      <x:c r="R258" s="9" t="str">
        <x:f>IF(C258="","",IF(OR(COUNTIF($C$9:$C$2008,C258)&lt;&gt;1,COUNTIFS($D$9:$D$2008,D258,$E$9:$E$2008,E258)&lt;&gt;1),"Duplicate test",IF(COUNTIF('Taxonomy'!$C$9:$C$108,D258)&lt;&gt;1,"Assessment key",IF(OR(COUNTIF('Taxonomy Rules'!$C$42:$C$68,E258)&lt;&gt;1,F258&lt;&gt;IFERROR(INDEX('Taxonomy Rules'!$D$42:$D$68,MATCH(E258,'Taxonomy Rules'!$C$42:$C$68,0)),""),NOT(OR(IFERROR(INDEX('Taxonomy Rules'!$G$42:$G$68,MATCH(E258,'Taxonomy Rules'!$C$42:$C$68,0)),"")="All supported routes",IFERROR(INDEX('Taxonomy Rules'!$G$42:$G$68,MATCH(E258,'Taxonomy Rules'!$C$42:$C$68,0)),"")=U258,AND(IFERROR(INDEX('Taxonomy Rules'!$G$42:$G$68,MATCH(E258,'Taxonomy Rules'!$C$42:$C$68,0)),"")="Building routes",OR(U258="Building renovation",U258="New building",U258="Building equipment"))))),"Unexpected test","Valid"))))</x:f>
        <x:v>Valid</x:v>
      </x:c>
      <x:c r="S258" s="9" t="str">
        <x:f>IF(C258="","",IFERROR(INDEX('Taxonomy Rules'!$E$42:$E$68,MATCH(E258,'Taxonomy Rules'!$C$42:$C$68,0)),""))</x:f>
        <x:v>Applicable occupational safety, hazard prevention and emergency readiness.</x:v>
      </x:c>
      <x:c r="T258" s="9" t="str">
        <x:f>IF(C258="","",IFERROR(INDEX('Taxonomy Rules'!$F$42:$F$68,MATCH(E258,'Taxonomy Rules'!$C$42:$C$68,0)),""))</x:f>
        <x:v>S10 p29</x:v>
      </x:c>
      <x:c r="U258" s="9" t="str">
        <x:f>IF(C258="","",IFERROR(INDEX('Taxonomy'!$G$9:$G$108,MATCH(D258,'Taxonomy'!$C$9:$C$108,0)),""))</x:f>
        <x:v>Road freight</x:v>
      </x:c>
    </x:row>
    <x:row r="259" ht="44" customHeight="1">
      <x:c r="A259" s="1"/>
      <x:c r="B259" s="1"/>
      <x:c r="C259" s="8" t="str">
        <x:v>TST-F027-MSS-RIGHTS</x:v>
      </x:c>
      <x:c r="D259" s="8" t="str">
        <x:v>TAX-F027</x:v>
      </x:c>
      <x:c r="E259" s="8" t="str">
        <x:v>MSS-RIGHTS</x:v>
      </x:c>
      <x:c r="F259" s="8" t="str">
        <x:v>MSS</x:v>
      </x:c>
      <x:c r="G259" s="8" t="str">
        <x:v>Applicable</x:v>
      </x:c>
      <x:c r="H259" s="8" t="str">
        <x:v>Pass</x:v>
      </x:c>
      <x:c r="I259" s="8" t="str">
        <x:v>SYN-TEST-F027-MSS-RIGHTS</x:v>
      </x:c>
      <x:c r="J259" s="8" t="str"/>
      <x:c r="K259" s="8" t="str">
        <x:v>Taxonomy analyst 3</x:v>
      </x:c>
      <x:c r="L259" s="8" t="str">
        <x:v>Taxonomy reviewer 1</x:v>
      </x:c>
      <x:c r="M259" s="10" t="n">
        <x:v>46266</x:v>
      </x:c>
      <x:c r="N259" s="10" t="n">
        <x:v>46631</x:v>
      </x:c>
      <x:c r="O259" s="8"/>
      <x:c r="P259" s="9" t="str">
        <x:f>IF(C259="","",IF(AND(G259="Applicable",H259="Fail"),"Fail",IF(R259&lt;&gt;"Valid","Pending",IF(OR(I259="",K259="",L259="",K259=L259,NOT(ISNUMBER(M259)),NOT(ISNUMBER(N259)),M259&gt;Settings!$F$8,N259&lt;Settings!$F$8,N259&lt;M259),"Pending",IF(AND(G259="Applicable",H259="Pass"),"Pass",IF(AND(G259="N/A",H259="N/A",J259&lt;&gt;"",OR(E259="CEM-FUELS",E259="CEM-CCS",AND(E259="CEM-PLAN",IFERROR(INDEX('Taxonomy'!$M$9:$M$108,MATCH(D259,'Taxonomy'!$C$9:$C$108,0)),"")&lt;&gt;"Amber"),E259="BLD-TIMBER",AND(U259="Building equipment",OR(E259="BLD-WATER",E259="BLD-WASTE",E259="BLD-LAND")),AND(U259="Building renovation",E259="BLD-LAND"))),"N/A","Pending"))))))</x:f>
        <x:v>Pass</x:v>
      </x:c>
      <x:c r="Q259" s="3" t="str">
        <x:f>IF(C259="","",IF(AND(R259="Valid",OR(P259="Pass",P259="N/A")),"Complete","Unresolved"))</x:f>
        <x:v>Complete</x:v>
      </x:c>
      <x:c r="R259" s="9" t="str">
        <x:f>IF(C259="","",IF(OR(COUNTIF($C$9:$C$2008,C259)&lt;&gt;1,COUNTIFS($D$9:$D$2008,D259,$E$9:$E$2008,E259)&lt;&gt;1),"Duplicate test",IF(COUNTIF('Taxonomy'!$C$9:$C$108,D259)&lt;&gt;1,"Assessment key",IF(OR(COUNTIF('Taxonomy Rules'!$C$42:$C$68,E259)&lt;&gt;1,F259&lt;&gt;IFERROR(INDEX('Taxonomy Rules'!$D$42:$D$68,MATCH(E259,'Taxonomy Rules'!$C$42:$C$68,0)),""),NOT(OR(IFERROR(INDEX('Taxonomy Rules'!$G$42:$G$68,MATCH(E259,'Taxonomy Rules'!$C$42:$C$68,0)),"")="All supported routes",IFERROR(INDEX('Taxonomy Rules'!$G$42:$G$68,MATCH(E259,'Taxonomy Rules'!$C$42:$C$68,0)),"")=U259,AND(IFERROR(INDEX('Taxonomy Rules'!$G$42:$G$68,MATCH(E259,'Taxonomy Rules'!$C$42:$C$68,0)),"")="Building routes",OR(U259="Building renovation",U259="New building",U259="Building equipment"))))),"Unexpected test","Valid"))))</x:f>
        <x:v>Valid</x:v>
      </x:c>
      <x:c r="S259" s="9" t="str">
        <x:f>IF(C259="","",IFERROR(INDEX('Taxonomy Rules'!$E$42:$E$68,MATCH(E259,'Taxonomy Rules'!$C$42:$C$68,0)),""))</x:f>
        <x:v>Proportionate human-rights diligence, stakeholder/social-impact process and grievance mechanism.</x:v>
      </x:c>
      <x:c r="T259" s="9" t="str">
        <x:f>IF(C259="","",IFERROR(INDEX('Taxonomy Rules'!$F$42:$F$68,MATCH(E259,'Taxonomy Rules'!$C$42:$C$68,0)),""))</x:f>
        <x:v>S10 p29</x:v>
      </x:c>
      <x:c r="U259" s="9" t="str">
        <x:f>IF(C259="","",IFERROR(INDEX('Taxonomy'!$G$9:$G$108,MATCH(D259,'Taxonomy'!$C$9:$C$108,0)),""))</x:f>
        <x:v>Road freight</x:v>
      </x:c>
    </x:row>
    <x:row r="260" ht="44" customHeight="1">
      <x:c r="A260" s="1"/>
      <x:c r="B260" s="1"/>
      <x:c r="C260" s="8" t="str">
        <x:v>TST-F027-ROAD-SAFETY</x:v>
      </x:c>
      <x:c r="D260" s="8" t="str">
        <x:v>TAX-F027</x:v>
      </x:c>
      <x:c r="E260" s="8" t="str">
        <x:v>ROAD-SAFETY</x:v>
      </x:c>
      <x:c r="F260" s="8" t="str">
        <x:v>DNSH</x:v>
      </x:c>
      <x:c r="G260" s="8" t="str">
        <x:v>Applicable</x:v>
      </x:c>
      <x:c r="H260" s="8" t="str">
        <x:v>Pass</x:v>
      </x:c>
      <x:c r="I260" s="8" t="str">
        <x:v>SYN-TEST-F027-ROAD-SAFETY</x:v>
      </x:c>
      <x:c r="J260" s="8" t="str"/>
      <x:c r="K260" s="8" t="str">
        <x:v>Taxonomy analyst 3</x:v>
      </x:c>
      <x:c r="L260" s="8" t="str">
        <x:v>Taxonomy reviewer 1</x:v>
      </x:c>
      <x:c r="M260" s="10" t="n">
        <x:v>46266</x:v>
      </x:c>
      <x:c r="N260" s="10" t="n">
        <x:v>46631</x:v>
      </x:c>
      <x:c r="O260" s="8"/>
      <x:c r="P260" s="9" t="str">
        <x:f>IF(C260="","",IF(AND(G260="Applicable",H260="Fail"),"Fail",IF(R260&lt;&gt;"Valid","Pending",IF(OR(I260="",K260="",L260="",K260=L260,NOT(ISNUMBER(M260)),NOT(ISNUMBER(N260)),M260&gt;Settings!$F$8,N260&lt;Settings!$F$8,N260&lt;M260),"Pending",IF(AND(G260="Applicable",H260="Pass"),"Pass",IF(AND(G260="N/A",H260="N/A",J260&lt;&gt;"",OR(E260="CEM-FUELS",E260="CEM-CCS",AND(E260="CEM-PLAN",IFERROR(INDEX('Taxonomy'!$M$9:$M$108,MATCH(D260,'Taxonomy'!$C$9:$C$108,0)),"")&lt;&gt;"Amber"),E260="BLD-TIMBER",AND(U260="Building equipment",OR(E260="BLD-WATER",E260="BLD-WASTE",E260="BLD-LAND")),AND(U260="Building renovation",E260="BLD-LAND"))),"N/A","Pending"))))))</x:f>
        <x:v>Pass</x:v>
      </x:c>
      <x:c r="Q260" s="3" t="str">
        <x:f>IF(C260="","",IF(AND(R260="Valid",OR(P260="Pass",P260="N/A")),"Complete","Unresolved"))</x:f>
        <x:v>Complete</x:v>
      </x:c>
      <x:c r="R260" s="9" t="str">
        <x:f>IF(C260="","",IF(OR(COUNTIF($C$9:$C$2008,C260)&lt;&gt;1,COUNTIFS($D$9:$D$2008,D260,$E$9:$E$2008,E260)&lt;&gt;1),"Duplicate test",IF(COUNTIF('Taxonomy'!$C$9:$C$108,D260)&lt;&gt;1,"Assessment key",IF(OR(COUNTIF('Taxonomy Rules'!$C$42:$C$68,E260)&lt;&gt;1,F260&lt;&gt;IFERROR(INDEX('Taxonomy Rules'!$D$42:$D$68,MATCH(E260,'Taxonomy Rules'!$C$42:$C$68,0)),""),NOT(OR(IFERROR(INDEX('Taxonomy Rules'!$G$42:$G$68,MATCH(E260,'Taxonomy Rules'!$C$42:$C$68,0)),"")="All supported routes",IFERROR(INDEX('Taxonomy Rules'!$G$42:$G$68,MATCH(E260,'Taxonomy Rules'!$C$42:$C$68,0)),"")=U260,AND(IFERROR(INDEX('Taxonomy Rules'!$G$42:$G$68,MATCH(E260,'Taxonomy Rules'!$C$42:$C$68,0)),"")="Building routes",OR(U260="Building renovation",U260="New building",U260="Building equipment"))))),"Unexpected test","Valid"))))</x:f>
        <x:v>Valid</x:v>
      </x:c>
      <x:c r="S260" s="9" t="str">
        <x:f>IF(C260="","",IFERROR(INDEX('Taxonomy Rules'!$E$42:$E$68,MATCH(E260,'Taxonomy Rules'!$C$42:$C$68,0)),""))</x:f>
        <x:v>Applicable vehicle standards, exterior noise, tyres and battery-safety standards met.</x:v>
      </x:c>
      <x:c r="T260" s="9" t="str">
        <x:f>IF(C260="","",IFERROR(INDEX('Taxonomy Rules'!$F$42:$F$68,MATCH(E260,'Taxonomy Rules'!$C$42:$C$68,0)),""))</x:f>
        <x:v>S10 p118</x:v>
      </x:c>
      <x:c r="U260" s="9" t="str">
        <x:f>IF(C260="","",IFERROR(INDEX('Taxonomy'!$G$9:$G$108,MATCH(D260,'Taxonomy'!$C$9:$C$108,0)),""))</x:f>
        <x:v>Road freight</x:v>
      </x:c>
    </x:row>
    <x:row r="261" ht="44" customHeight="1">
      <x:c r="A261" s="1"/>
      <x:c r="B261" s="1"/>
      <x:c r="C261" s="8" t="str">
        <x:v>TST-F027-ROAD-WASTE</x:v>
      </x:c>
      <x:c r="D261" s="8" t="str">
        <x:v>TAX-F027</x:v>
      </x:c>
      <x:c r="E261" s="8" t="str">
        <x:v>ROAD-WASTE</x:v>
      </x:c>
      <x:c r="F261" s="8" t="str">
        <x:v>DNSH</x:v>
      </x:c>
      <x:c r="G261" s="8" t="str">
        <x:v>Applicable</x:v>
      </x:c>
      <x:c r="H261" s="8" t="str">
        <x:v>Pass</x:v>
      </x:c>
      <x:c r="I261" s="8" t="str">
        <x:v>SYN-TEST-F027-ROAD-WASTE</x:v>
      </x:c>
      <x:c r="J261" s="8" t="str"/>
      <x:c r="K261" s="8" t="str">
        <x:v>Taxonomy analyst 3</x:v>
      </x:c>
      <x:c r="L261" s="8" t="str">
        <x:v>Taxonomy reviewer 1</x:v>
      </x:c>
      <x:c r="M261" s="10" t="n">
        <x:v>46266</x:v>
      </x:c>
      <x:c r="N261" s="10" t="n">
        <x:v>46631</x:v>
      </x:c>
      <x:c r="O261" s="8"/>
      <x:c r="P261" s="9" t="str">
        <x:f>IF(C261="","",IF(AND(G261="Applicable",H261="Fail"),"Fail",IF(R261&lt;&gt;"Valid","Pending",IF(OR(I261="",K261="",L261="",K261=L261,NOT(ISNUMBER(M261)),NOT(ISNUMBER(N261)),M261&gt;Settings!$F$8,N261&lt;Settings!$F$8,N261&lt;M261),"Pending",IF(AND(G261="Applicable",H261="Pass"),"Pass",IF(AND(G261="N/A",H261="N/A",J261&lt;&gt;"",OR(E261="CEM-FUELS",E261="CEM-CCS",AND(E261="CEM-PLAN",IFERROR(INDEX('Taxonomy'!$M$9:$M$108,MATCH(D261,'Taxonomy'!$C$9:$C$108,0)),"")&lt;&gt;"Amber"),E261="BLD-TIMBER",AND(U261="Building equipment",OR(E261="BLD-WATER",E261="BLD-WASTE",E261="BLD-LAND")),AND(U261="Building renovation",E261="BLD-LAND"))),"N/A","Pending"))))))</x:f>
        <x:v>Pass</x:v>
      </x:c>
      <x:c r="Q261" s="3" t="str">
        <x:f>IF(C261="","",IF(AND(R261="Valid",OR(P261="Pass",P261="N/A")),"Complete","Unresolved"))</x:f>
        <x:v>Complete</x:v>
      </x:c>
      <x:c r="R261" s="9" t="str">
        <x:f>IF(C261="","",IF(OR(COUNTIF($C$9:$C$2008,C261)&lt;&gt;1,COUNTIFS($D$9:$D$2008,D261,$E$9:$E$2008,E261)&lt;&gt;1),"Duplicate test",IF(COUNTIF('Taxonomy'!$C$9:$C$108,D261)&lt;&gt;1,"Assessment key",IF(OR(COUNTIF('Taxonomy Rules'!$C$42:$C$68,E261)&lt;&gt;1,F261&lt;&gt;IFERROR(INDEX('Taxonomy Rules'!$D$42:$D$68,MATCH(E261,'Taxonomy Rules'!$C$42:$C$68,0)),""),NOT(OR(IFERROR(INDEX('Taxonomy Rules'!$G$42:$G$68,MATCH(E261,'Taxonomy Rules'!$C$42:$C$68,0)),"")="All supported routes",IFERROR(INDEX('Taxonomy Rules'!$G$42:$G$68,MATCH(E261,'Taxonomy Rules'!$C$42:$C$68,0)),"")=U261,AND(IFERROR(INDEX('Taxonomy Rules'!$G$42:$G$68,MATCH(E261,'Taxonomy Rules'!$C$42:$C$68,0)),"")="Building routes",OR(U261="Building renovation",U261="New building",U261="Building equipment"))))),"Unexpected test","Valid"))))</x:f>
        <x:v>Valid</x:v>
      </x:c>
      <x:c r="S261" s="9" t="str">
        <x:f>IF(C261="","",IFERROR(INDEX('Taxonomy Rules'!$E$42:$E$68,MATCH(E261,'Taxonomy Rules'!$C$42:$C$68,0)),""))</x:f>
        <x:v>Lubricants, chemicals, batteries and vehicle life-cycle waste safely handled; reuse / recycling provided.</x:v>
      </x:c>
      <x:c r="T261" s="9" t="str">
        <x:f>IF(C261="","",IFERROR(INDEX('Taxonomy Rules'!$F$42:$F$68,MATCH(E261,'Taxonomy Rules'!$C$42:$C$68,0)),""))</x:f>
        <x:v>S10 p118</x:v>
      </x:c>
      <x:c r="U261" s="9" t="str">
        <x:f>IF(C261="","",IFERROR(INDEX('Taxonomy'!$G$9:$G$108,MATCH(D261,'Taxonomy'!$C$9:$C$108,0)),""))</x:f>
        <x:v>Road freight</x:v>
      </x:c>
    </x:row>
    <x:row r="262" ht="44" customHeight="1">
      <x:c r="A262" s="1"/>
      <x:c r="B262" s="1"/>
      <x:c r="C262" s="8" t="str">
        <x:v>TST-F029-SC-EVIDENCE</x:v>
      </x:c>
      <x:c r="D262" s="8" t="str">
        <x:v>TAX-F029</x:v>
      </x:c>
      <x:c r="E262" s="8" t="str">
        <x:v>SC-EVIDENCE</x:v>
      </x:c>
      <x:c r="F262" s="8" t="str">
        <x:v>Technical</x:v>
      </x:c>
      <x:c r="G262" s="8" t="str">
        <x:v>Applicable</x:v>
      </x:c>
      <x:c r="H262" s="8" t="str">
        <x:v>Pass</x:v>
      </x:c>
      <x:c r="I262" s="8" t="str">
        <x:v>SYN-TEST-F029-SC-EVIDENCE</x:v>
      </x:c>
      <x:c r="J262" s="8" t="str"/>
      <x:c r="K262" s="8" t="str">
        <x:v>Taxonomy analyst 2</x:v>
      </x:c>
      <x:c r="L262" s="8" t="str">
        <x:v>Taxonomy reviewer 1</x:v>
      </x:c>
      <x:c r="M262" s="10" t="n">
        <x:v>46266</x:v>
      </x:c>
      <x:c r="N262" s="10" t="n">
        <x:v>46631</x:v>
      </x:c>
      <x:c r="O262" s="8"/>
      <x:c r="P262" s="9" t="str">
        <x:f>IF(C262="","",IF(AND(G262="Applicable",H262="Fail"),"Fail",IF(R262&lt;&gt;"Valid","Pending",IF(OR(I262="",K262="",L262="",K262=L262,NOT(ISNUMBER(M262)),NOT(ISNUMBER(N262)),M262&gt;Settings!$F$8,N262&lt;Settings!$F$8,N262&lt;M262),"Pending",IF(AND(G262="Applicable",H262="Pass"),"Pass",IF(AND(G262="N/A",H262="N/A",J262&lt;&gt;"",OR(E262="CEM-FUELS",E262="CEM-CCS",AND(E262="CEM-PLAN",IFERROR(INDEX('Taxonomy'!$M$9:$M$108,MATCH(D262,'Taxonomy'!$C$9:$C$108,0)),"")&lt;&gt;"Amber"),E262="BLD-TIMBER",AND(U262="Building equipment",OR(E262="BLD-WATER",E262="BLD-WASTE",E262="BLD-LAND")),AND(U262="Building renovation",E262="BLD-LAND"))),"N/A","Pending"))))))</x:f>
        <x:v>Pass</x:v>
      </x:c>
      <x:c r="Q262" s="3" t="str">
        <x:f>IF(C262="","",IF(AND(R262="Valid",OR(P262="Pass",P262="N/A")),"Complete","Unresolved"))</x:f>
        <x:v>Complete</x:v>
      </x:c>
      <x:c r="R262" s="9" t="str">
        <x:f>IF(C262="","",IF(OR(COUNTIF($C$9:$C$2008,C262)&lt;&gt;1,COUNTIFS($D$9:$D$2008,D262,$E$9:$E$2008,E262)&lt;&gt;1),"Duplicate test",IF(COUNTIF('Taxonomy'!$C$9:$C$108,D262)&lt;&gt;1,"Assessment key",IF(OR(COUNTIF('Taxonomy Rules'!$C$42:$C$68,E262)&lt;&gt;1,F262&lt;&gt;IFERROR(INDEX('Taxonomy Rules'!$D$42:$D$68,MATCH(E262,'Taxonomy Rules'!$C$42:$C$68,0)),""),NOT(OR(IFERROR(INDEX('Taxonomy Rules'!$G$42:$G$68,MATCH(E262,'Taxonomy Rules'!$C$42:$C$68,0)),"")="All supported routes",IFERROR(INDEX('Taxonomy Rules'!$G$42:$G$68,MATCH(E262,'Taxonomy Rules'!$C$42:$C$68,0)),"")=U262,AND(IFERROR(INDEX('Taxonomy Rules'!$G$42:$G$68,MATCH(E262,'Taxonomy Rules'!$C$42:$C$68,0)),"")="Building routes",OR(U262="Building renovation",U262="New building",U262="Building equipment"))))),"Unexpected test","Valid"))))</x:f>
        <x:v>Valid</x:v>
      </x:c>
      <x:c r="S262" s="9" t="str">
        <x:f>IF(C262="","",IFERROR(INDEX('Taxonomy Rules'!$E$42:$E$68,MATCH(E262,'Taxonomy Rules'!$C$42:$C$68,0)),""))</x:f>
        <x:v>Boundary and chosen route are evidenced; observations match the activity card.</x:v>
      </x:c>
      <x:c r="T262" s="9" t="str">
        <x:f>IF(C262="","",IFERROR(INDEX('Taxonomy Rules'!$F$42:$F$68,MATCH(E262,'Taxonomy Rules'!$C$42:$C$68,0)),""))</x:f>
        <x:v>S10 activity card</x:v>
      </x:c>
      <x:c r="U262" s="9" t="str">
        <x:f>IF(C262="","",IFERROR(INDEX('Taxonomy'!$G$9:$G$108,MATCH(D262,'Taxonomy'!$C$9:$C$108,0)),""))</x:f>
        <x:v>Building renovation</x:v>
      </x:c>
    </x:row>
    <x:row r="263" ht="44" customHeight="1">
      <x:c r="A263" s="1"/>
      <x:c r="B263" s="1"/>
      <x:c r="C263" s="8" t="str">
        <x:v>TST-F029-DNSH-MIT</x:v>
      </x:c>
      <x:c r="D263" s="8" t="str">
        <x:v>TAX-F029</x:v>
      </x:c>
      <x:c r="E263" s="8" t="str">
        <x:v>DNSH-MIT</x:v>
      </x:c>
      <x:c r="F263" s="8" t="str">
        <x:v>DNSH</x:v>
      </x:c>
      <x:c r="G263" s="8" t="str">
        <x:v>Applicable</x:v>
      </x:c>
      <x:c r="H263" s="8" t="str">
        <x:v>Pass</x:v>
      </x:c>
      <x:c r="I263" s="8" t="str">
        <x:v>SYN-TEST-F029-DNSH-MIT</x:v>
      </x:c>
      <x:c r="J263" s="8" t="str"/>
      <x:c r="K263" s="8" t="str">
        <x:v>Taxonomy analyst 2</x:v>
      </x:c>
      <x:c r="L263" s="8" t="str">
        <x:v>Taxonomy reviewer 1</x:v>
      </x:c>
      <x:c r="M263" s="10" t="n">
        <x:v>46266</x:v>
      </x:c>
      <x:c r="N263" s="10" t="n">
        <x:v>46631</x:v>
      </x:c>
      <x:c r="O263" s="8"/>
      <x:c r="P263" s="9" t="str">
        <x:f>IF(C263="","",IF(AND(G263="Applicable",H263="Fail"),"Fail",IF(R263&lt;&gt;"Valid","Pending",IF(OR(I263="",K263="",L263="",K263=L263,NOT(ISNUMBER(M263)),NOT(ISNUMBER(N263)),M263&gt;Settings!$F$8,N263&lt;Settings!$F$8,N263&lt;M263),"Pending",IF(AND(G263="Applicable",H263="Pass"),"Pass",IF(AND(G263="N/A",H263="N/A",J263&lt;&gt;"",OR(E263="CEM-FUELS",E263="CEM-CCS",AND(E263="CEM-PLAN",IFERROR(INDEX('Taxonomy'!$M$9:$M$108,MATCH(D263,'Taxonomy'!$C$9:$C$108,0)),"")&lt;&gt;"Amber"),E263="BLD-TIMBER",AND(U263="Building equipment",OR(E263="BLD-WATER",E263="BLD-WASTE",E263="BLD-LAND")),AND(U263="Building renovation",E263="BLD-LAND"))),"N/A","Pending"))))))</x:f>
        <x:v>Pass</x:v>
      </x:c>
      <x:c r="Q263" s="3" t="str">
        <x:f>IF(C263="","",IF(AND(R263="Valid",OR(P263="Pass",P263="N/A")),"Complete","Unresolved"))</x:f>
        <x:v>Complete</x:v>
      </x:c>
      <x:c r="R263" s="9" t="str">
        <x:f>IF(C263="","",IF(OR(COUNTIF($C$9:$C$2008,C263)&lt;&gt;1,COUNTIFS($D$9:$D$2008,D263,$E$9:$E$2008,E263)&lt;&gt;1),"Duplicate test",IF(COUNTIF('Taxonomy'!$C$9:$C$108,D263)&lt;&gt;1,"Assessment key",IF(OR(COUNTIF('Taxonomy Rules'!$C$42:$C$68,E263)&lt;&gt;1,F263&lt;&gt;IFERROR(INDEX('Taxonomy Rules'!$D$42:$D$68,MATCH(E263,'Taxonomy Rules'!$C$42:$C$68,0)),""),NOT(OR(IFERROR(INDEX('Taxonomy Rules'!$G$42:$G$68,MATCH(E263,'Taxonomy Rules'!$C$42:$C$68,0)),"")="All supported routes",IFERROR(INDEX('Taxonomy Rules'!$G$42:$G$68,MATCH(E263,'Taxonomy Rules'!$C$42:$C$68,0)),"")=U263,AND(IFERROR(INDEX('Taxonomy Rules'!$G$42:$G$68,MATCH(E263,'Taxonomy Rules'!$C$42:$C$68,0)),"")="Building routes",OR(U263="Building renovation",U263="New building",U263="Building equipment"))))),"Unexpected test","Valid"))))</x:f>
        <x:v>Valid</x:v>
      </x:c>
      <x:c r="S263" s="9" t="str">
        <x:f>IF(C263="","",IFERROR(INDEX('Taxonomy Rules'!$E$42:$E$68,MATCH(E263,'Taxonomy Rules'!$C$42:$C$68,0)),""))</x:f>
        <x:v>No avoidable fossil lock-in; material lifecycle effects assessed.</x:v>
      </x:c>
      <x:c r="T263" s="9" t="str">
        <x:f>IF(C263="","",IFERROR(INDEX('Taxonomy Rules'!$F$42:$F$68,MATCH(E263,'Taxonomy Rules'!$C$42:$C$68,0)),""))</x:f>
        <x:v>S10 p30</x:v>
      </x:c>
      <x:c r="U263" s="9" t="str">
        <x:f>IF(C263="","",IFERROR(INDEX('Taxonomy'!$G$9:$G$108,MATCH(D263,'Taxonomy'!$C$9:$C$108,0)),""))</x:f>
        <x:v>Building renovation</x:v>
      </x:c>
    </x:row>
    <x:row r="264" ht="44" customHeight="1">
      <x:c r="A264" s="1"/>
      <x:c r="B264" s="1"/>
      <x:c r="C264" s="8" t="str">
        <x:v>TST-F029-DNSH-ADAPT</x:v>
      </x:c>
      <x:c r="D264" s="8" t="str">
        <x:v>TAX-F029</x:v>
      </x:c>
      <x:c r="E264" s="8" t="str">
        <x:v>DNSH-ADAPT</x:v>
      </x:c>
      <x:c r="F264" s="8" t="str">
        <x:v>DNSH</x:v>
      </x:c>
      <x:c r="G264" s="8" t="str">
        <x:v>Applicable</x:v>
      </x:c>
      <x:c r="H264" s="8" t="str">
        <x:v>Pass</x:v>
      </x:c>
      <x:c r="I264" s="8" t="str">
        <x:v>SYN-TEST-F029-DNSH-ADAPT</x:v>
      </x:c>
      <x:c r="J264" s="8" t="str"/>
      <x:c r="K264" s="8" t="str">
        <x:v>Taxonomy analyst 2</x:v>
      </x:c>
      <x:c r="L264" s="8" t="str">
        <x:v>Taxonomy reviewer 1</x:v>
      </x:c>
      <x:c r="M264" s="10" t="n">
        <x:v>46266</x:v>
      </x:c>
      <x:c r="N264" s="10" t="n">
        <x:v>46631</x:v>
      </x:c>
      <x:c r="O264" s="8"/>
      <x:c r="P264" s="9" t="str">
        <x:f>IF(C264="","",IF(AND(G264="Applicable",H264="Fail"),"Fail",IF(R264&lt;&gt;"Valid","Pending",IF(OR(I264="",K264="",L264="",K264=L264,NOT(ISNUMBER(M264)),NOT(ISNUMBER(N264)),M264&gt;Settings!$F$8,N264&lt;Settings!$F$8,N264&lt;M264),"Pending",IF(AND(G264="Applicable",H264="Pass"),"Pass",IF(AND(G264="N/A",H264="N/A",J264&lt;&gt;"",OR(E264="CEM-FUELS",E264="CEM-CCS",AND(E264="CEM-PLAN",IFERROR(INDEX('Taxonomy'!$M$9:$M$108,MATCH(D264,'Taxonomy'!$C$9:$C$108,0)),"")&lt;&gt;"Amber"),E264="BLD-TIMBER",AND(U264="Building equipment",OR(E264="BLD-WATER",E264="BLD-WASTE",E264="BLD-LAND")),AND(U264="Building renovation",E264="BLD-LAND"))),"N/A","Pending"))))))</x:f>
        <x:v>Pass</x:v>
      </x:c>
      <x:c r="Q264" s="3" t="str">
        <x:f>IF(C264="","",IF(AND(R264="Valid",OR(P264="Pass",P264="N/A")),"Complete","Unresolved"))</x:f>
        <x:v>Complete</x:v>
      </x:c>
      <x:c r="R264" s="9" t="str">
        <x:f>IF(C264="","",IF(OR(COUNTIF($C$9:$C$2008,C264)&lt;&gt;1,COUNTIFS($D$9:$D$2008,D264,$E$9:$E$2008,E264)&lt;&gt;1),"Duplicate test",IF(COUNTIF('Taxonomy'!$C$9:$C$108,D264)&lt;&gt;1,"Assessment key",IF(OR(COUNTIF('Taxonomy Rules'!$C$42:$C$68,E264)&lt;&gt;1,F264&lt;&gt;IFERROR(INDEX('Taxonomy Rules'!$D$42:$D$68,MATCH(E264,'Taxonomy Rules'!$C$42:$C$68,0)),""),NOT(OR(IFERROR(INDEX('Taxonomy Rules'!$G$42:$G$68,MATCH(E264,'Taxonomy Rules'!$C$42:$C$68,0)),"")="All supported routes",IFERROR(INDEX('Taxonomy Rules'!$G$42:$G$68,MATCH(E264,'Taxonomy Rules'!$C$42:$C$68,0)),"")=U264,AND(IFERROR(INDEX('Taxonomy Rules'!$G$42:$G$68,MATCH(E264,'Taxonomy Rules'!$C$42:$C$68,0)),"")="Building routes",OR(U264="Building renovation",U264="New building",U264="Building equipment"))))),"Unexpected test","Valid"))))</x:f>
        <x:v>Valid</x:v>
      </x:c>
      <x:c r="S264" s="9" t="str">
        <x:f>IF(C264="","",IFERROR(INDEX('Taxonomy Rules'!$E$42:$E$68,MATCH(E264,'Taxonomy Rules'!$C$42:$C$68,0)),""))</x:f>
        <x:v>Lifetime hazard screen, material risk assessment and implemented adaptation; no harm to others.</x:v>
      </x:c>
      <x:c r="T264" s="9" t="str">
        <x:f>IF(C264="","",IFERROR(INDEX('Taxonomy Rules'!$F$42:$F$68,MATCH(E264,'Taxonomy Rules'!$C$42:$C$68,0)),""))</x:f>
        <x:v>S10 pp30–31</x:v>
      </x:c>
      <x:c r="U264" s="9" t="str">
        <x:f>IF(C264="","",IFERROR(INDEX('Taxonomy'!$G$9:$G$108,MATCH(D264,'Taxonomy'!$C$9:$C$108,0)),""))</x:f>
        <x:v>Building renovation</x:v>
      </x:c>
    </x:row>
    <x:row r="265" ht="44" customHeight="1">
      <x:c r="A265" s="1"/>
      <x:c r="B265" s="1"/>
      <x:c r="C265" s="8" t="str">
        <x:v>TST-F029-DNSH-WATER</x:v>
      </x:c>
      <x:c r="D265" s="8" t="str">
        <x:v>TAX-F029</x:v>
      </x:c>
      <x:c r="E265" s="8" t="str">
        <x:v>DNSH-WATER</x:v>
      </x:c>
      <x:c r="F265" s="8" t="str">
        <x:v>DNSH</x:v>
      </x:c>
      <x:c r="G265" s="8" t="str">
        <x:v>Applicable</x:v>
      </x:c>
      <x:c r="H265" s="8" t="str">
        <x:v>Pass</x:v>
      </x:c>
      <x:c r="I265" s="8" t="str">
        <x:v>SYN-TEST-F029-DNSH-WATER</x:v>
      </x:c>
      <x:c r="J265" s="8" t="str"/>
      <x:c r="K265" s="8" t="str">
        <x:v>Taxonomy analyst 2</x:v>
      </x:c>
      <x:c r="L265" s="8" t="str">
        <x:v>Taxonomy reviewer 1</x:v>
      </x:c>
      <x:c r="M265" s="10" t="n">
        <x:v>46266</x:v>
      </x:c>
      <x:c r="N265" s="10" t="n">
        <x:v>46631</x:v>
      </x:c>
      <x:c r="O265" s="8"/>
      <x:c r="P265" s="9" t="str">
        <x:f>IF(C265="","",IF(AND(G265="Applicable",H265="Fail"),"Fail",IF(R265&lt;&gt;"Valid","Pending",IF(OR(I265="",K265="",L265="",K265=L265,NOT(ISNUMBER(M265)),NOT(ISNUMBER(N265)),M265&gt;Settings!$F$8,N265&lt;Settings!$F$8,N265&lt;M265),"Pending",IF(AND(G265="Applicable",H265="Pass"),"Pass",IF(AND(G265="N/A",H265="N/A",J265&lt;&gt;"",OR(E265="CEM-FUELS",E265="CEM-CCS",AND(E265="CEM-PLAN",IFERROR(INDEX('Taxonomy'!$M$9:$M$108,MATCH(D265,'Taxonomy'!$C$9:$C$108,0)),"")&lt;&gt;"Amber"),E265="BLD-TIMBER",AND(U265="Building equipment",OR(E265="BLD-WATER",E265="BLD-WASTE",E265="BLD-LAND")),AND(U265="Building renovation",E265="BLD-LAND"))),"N/A","Pending"))))))</x:f>
        <x:v>Pass</x:v>
      </x:c>
      <x:c r="Q265" s="3" t="str">
        <x:f>IF(C265="","",IF(AND(R265="Valid",OR(P265="Pass",P265="N/A")),"Complete","Unresolved"))</x:f>
        <x:v>Complete</x:v>
      </x:c>
      <x:c r="R265" s="9" t="str">
        <x:f>IF(C265="","",IF(OR(COUNTIF($C$9:$C$2008,C265)&lt;&gt;1,COUNTIFS($D$9:$D$2008,D265,$E$9:$E$2008,E265)&lt;&gt;1),"Duplicate test",IF(COUNTIF('Taxonomy'!$C$9:$C$108,D265)&lt;&gt;1,"Assessment key",IF(OR(COUNTIF('Taxonomy Rules'!$C$42:$C$68,E265)&lt;&gt;1,F265&lt;&gt;IFERROR(INDEX('Taxonomy Rules'!$D$42:$D$68,MATCH(E265,'Taxonomy Rules'!$C$42:$C$68,0)),""),NOT(OR(IFERROR(INDEX('Taxonomy Rules'!$G$42:$G$68,MATCH(E265,'Taxonomy Rules'!$C$42:$C$68,0)),"")="All supported routes",IFERROR(INDEX('Taxonomy Rules'!$G$42:$G$68,MATCH(E265,'Taxonomy Rules'!$C$42:$C$68,0)),"")=U265,AND(IFERROR(INDEX('Taxonomy Rules'!$G$42:$G$68,MATCH(E265,'Taxonomy Rules'!$C$42:$C$68,0)),"")="Building routes",OR(U265="Building renovation",U265="New building",U265="Building equipment"))))),"Unexpected test","Valid"))))</x:f>
        <x:v>Valid</x:v>
      </x:c>
      <x:c r="S265" s="9" t="str">
        <x:f>IF(C265="","",IFERROR(INDEX('Taxonomy Rules'!$E$42:$E$68,MATCH(E265,'Taxonomy Rules'!$C$42:$C$68,0)),""))</x:f>
        <x:v>Water permits, abstraction/discharge limits, required assessments and management measures.</x:v>
      </x:c>
      <x:c r="T265" s="9" t="str">
        <x:f>IF(C265="","",IFERROR(INDEX('Taxonomy Rules'!$F$42:$F$68,MATCH(E265,'Taxonomy Rules'!$C$42:$C$68,0)),""))</x:f>
        <x:v>S10 p31</x:v>
      </x:c>
      <x:c r="U265" s="9" t="str">
        <x:f>IF(C265="","",IFERROR(INDEX('Taxonomy'!$G$9:$G$108,MATCH(D265,'Taxonomy'!$C$9:$C$108,0)),""))</x:f>
        <x:v>Building renovation</x:v>
      </x:c>
    </x:row>
    <x:row r="266" ht="44" customHeight="1">
      <x:c r="A266" s="1"/>
      <x:c r="B266" s="1"/>
      <x:c r="C266" s="8" t="str">
        <x:v>TST-F029-DNSH-POLL</x:v>
      </x:c>
      <x:c r="D266" s="8" t="str">
        <x:v>TAX-F029</x:v>
      </x:c>
      <x:c r="E266" s="8" t="str">
        <x:v>DNSH-POLL</x:v>
      </x:c>
      <x:c r="F266" s="8" t="str">
        <x:v>DNSH</x:v>
      </x:c>
      <x:c r="G266" s="8" t="str">
        <x:v>Applicable</x:v>
      </x:c>
      <x:c r="H266" s="8" t="str">
        <x:v>Pass</x:v>
      </x:c>
      <x:c r="I266" s="8" t="str">
        <x:v>SYN-TEST-F029-DNSH-POLL</x:v>
      </x:c>
      <x:c r="J266" s="8" t="str"/>
      <x:c r="K266" s="8" t="str">
        <x:v>Taxonomy analyst 2</x:v>
      </x:c>
      <x:c r="L266" s="8" t="str">
        <x:v>Taxonomy reviewer 1</x:v>
      </x:c>
      <x:c r="M266" s="10" t="n">
        <x:v>46266</x:v>
      </x:c>
      <x:c r="N266" s="10" t="n">
        <x:v>46631</x:v>
      </x:c>
      <x:c r="O266" s="8"/>
      <x:c r="P266" s="9" t="str">
        <x:f>IF(C266="","",IF(AND(G266="Applicable",H266="Fail"),"Fail",IF(R266&lt;&gt;"Valid","Pending",IF(OR(I266="",K266="",L266="",K266=L266,NOT(ISNUMBER(M266)),NOT(ISNUMBER(N266)),M266&gt;Settings!$F$8,N266&lt;Settings!$F$8,N266&lt;M266),"Pending",IF(AND(G266="Applicable",H266="Pass"),"Pass",IF(AND(G266="N/A",H266="N/A",J266&lt;&gt;"",OR(E266="CEM-FUELS",E266="CEM-CCS",AND(E266="CEM-PLAN",IFERROR(INDEX('Taxonomy'!$M$9:$M$108,MATCH(D266,'Taxonomy'!$C$9:$C$108,0)),"")&lt;&gt;"Amber"),E266="BLD-TIMBER",AND(U266="Building equipment",OR(E266="BLD-WATER",E266="BLD-WASTE",E266="BLD-LAND")),AND(U266="Building renovation",E266="BLD-LAND"))),"N/A","Pending"))))))</x:f>
        <x:v>Pass</x:v>
      </x:c>
      <x:c r="Q266" s="3" t="str">
        <x:f>IF(C266="","",IF(AND(R266="Valid",OR(P266="Pass",P266="N/A")),"Complete","Unresolved"))</x:f>
        <x:v>Complete</x:v>
      </x:c>
      <x:c r="R266" s="9" t="str">
        <x:f>IF(C266="","",IF(OR(COUNTIF($C$9:$C$2008,C266)&lt;&gt;1,COUNTIFS($D$9:$D$2008,D266,$E$9:$E$2008,E266)&lt;&gt;1),"Duplicate test",IF(COUNTIF('Taxonomy'!$C$9:$C$108,D266)&lt;&gt;1,"Assessment key",IF(OR(COUNTIF('Taxonomy Rules'!$C$42:$C$68,E266)&lt;&gt;1,F266&lt;&gt;IFERROR(INDEX('Taxonomy Rules'!$D$42:$D$68,MATCH(E266,'Taxonomy Rules'!$C$42:$C$68,0)),""),NOT(OR(IFERROR(INDEX('Taxonomy Rules'!$G$42:$G$68,MATCH(E266,'Taxonomy Rules'!$C$42:$C$68,0)),"")="All supported routes",IFERROR(INDEX('Taxonomy Rules'!$G$42:$G$68,MATCH(E266,'Taxonomy Rules'!$C$42:$C$68,0)),"")=U266,AND(IFERROR(INDEX('Taxonomy Rules'!$G$42:$G$68,MATCH(E266,'Taxonomy Rules'!$C$42:$C$68,0)),"")="Building routes",OR(U266="Building renovation",U266="New building",U266="Building equipment"))))),"Unexpected test","Valid"))))</x:f>
        <x:v>Valid</x:v>
      </x:c>
      <x:c r="S266" s="9" t="str">
        <x:f>IF(C266="","",IFERROR(INDEX('Taxonomy Rules'!$E$42:$E$68,MATCH(E266,'Taxonomy Rules'!$C$42:$C$68,0)),""))</x:f>
        <x:v>National pollution and prohibited-substance requirements; activity-specific limits.</x:v>
      </x:c>
      <x:c r="T266" s="9" t="str">
        <x:f>IF(C266="","",IFERROR(INDEX('Taxonomy Rules'!$F$42:$F$68,MATCH(E266,'Taxonomy Rules'!$C$42:$C$68,0)),""))</x:f>
        <x:v>S10 p31</x:v>
      </x:c>
      <x:c r="U266" s="9" t="str">
        <x:f>IF(C266="","",IFERROR(INDEX('Taxonomy'!$G$9:$G$108,MATCH(D266,'Taxonomy'!$C$9:$C$108,0)),""))</x:f>
        <x:v>Building renovation</x:v>
      </x:c>
    </x:row>
    <x:row r="267" ht="44" customHeight="1">
      <x:c r="A267" s="1"/>
      <x:c r="B267" s="1"/>
      <x:c r="C267" s="8" t="str">
        <x:v>TST-F029-DNSH-CIRC</x:v>
      </x:c>
      <x:c r="D267" s="8" t="str">
        <x:v>TAX-F029</x:v>
      </x:c>
      <x:c r="E267" s="8" t="str">
        <x:v>DNSH-CIRC</x:v>
      </x:c>
      <x:c r="F267" s="8" t="str">
        <x:v>DNSH</x:v>
      </x:c>
      <x:c r="G267" s="8" t="str">
        <x:v>Applicable</x:v>
      </x:c>
      <x:c r="H267" s="8" t="str">
        <x:v>Pass</x:v>
      </x:c>
      <x:c r="I267" s="8" t="str">
        <x:v>SYN-TEST-F029-DNSH-CIRC</x:v>
      </x:c>
      <x:c r="J267" s="8" t="str"/>
      <x:c r="K267" s="8" t="str">
        <x:v>Taxonomy analyst 2</x:v>
      </x:c>
      <x:c r="L267" s="8" t="str">
        <x:v>Taxonomy reviewer 1</x:v>
      </x:c>
      <x:c r="M267" s="10" t="n">
        <x:v>46266</x:v>
      </x:c>
      <x:c r="N267" s="10" t="n">
        <x:v>46631</x:v>
      </x:c>
      <x:c r="O267" s="8"/>
      <x:c r="P267" s="9" t="str">
        <x:f>IF(C267="","",IF(AND(G267="Applicable",H267="Fail"),"Fail",IF(R267&lt;&gt;"Valid","Pending",IF(OR(I267="",K267="",L267="",K267=L267,NOT(ISNUMBER(M267)),NOT(ISNUMBER(N267)),M267&gt;Settings!$F$8,N267&lt;Settings!$F$8,N267&lt;M267),"Pending",IF(AND(G267="Applicable",H267="Pass"),"Pass",IF(AND(G267="N/A",H267="N/A",J267&lt;&gt;"",OR(E267="CEM-FUELS",E267="CEM-CCS",AND(E267="CEM-PLAN",IFERROR(INDEX('Taxonomy'!$M$9:$M$108,MATCH(D267,'Taxonomy'!$C$9:$C$108,0)),"")&lt;&gt;"Amber"),E267="BLD-TIMBER",AND(U267="Building equipment",OR(E267="BLD-WATER",E267="BLD-WASTE",E267="BLD-LAND")),AND(U267="Building renovation",E267="BLD-LAND"))),"N/A","Pending"))))))</x:f>
        <x:v>Pass</x:v>
      </x:c>
      <x:c r="Q267" s="3" t="str">
        <x:f>IF(C267="","",IF(AND(R267="Valid",OR(P267="Pass",P267="N/A")),"Complete","Unresolved"))</x:f>
        <x:v>Complete</x:v>
      </x:c>
      <x:c r="R267" s="9" t="str">
        <x:f>IF(C267="","",IF(OR(COUNTIF($C$9:$C$2008,C267)&lt;&gt;1,COUNTIFS($D$9:$D$2008,D267,$E$9:$E$2008,E267)&lt;&gt;1),"Duplicate test",IF(COUNTIF('Taxonomy'!$C$9:$C$108,D267)&lt;&gt;1,"Assessment key",IF(OR(COUNTIF('Taxonomy Rules'!$C$42:$C$68,E267)&lt;&gt;1,F267&lt;&gt;IFERROR(INDEX('Taxonomy Rules'!$D$42:$D$68,MATCH(E267,'Taxonomy Rules'!$C$42:$C$68,0)),""),NOT(OR(IFERROR(INDEX('Taxonomy Rules'!$G$42:$G$68,MATCH(E267,'Taxonomy Rules'!$C$42:$C$68,0)),"")="All supported routes",IFERROR(INDEX('Taxonomy Rules'!$G$42:$G$68,MATCH(E267,'Taxonomy Rules'!$C$42:$C$68,0)),"")=U267,AND(IFERROR(INDEX('Taxonomy Rules'!$G$42:$G$68,MATCH(E267,'Taxonomy Rules'!$C$42:$C$68,0)),"")="Building routes",OR(U267="Building renovation",U267="New building",U267="Building equipment"))))),"Unexpected test","Valid"))))</x:f>
        <x:v>Valid</x:v>
      </x:c>
      <x:c r="S267" s="9" t="str">
        <x:f>IF(C267="","",IFERROR(INDEX('Taxonomy Rules'!$E$42:$E$68,MATCH(E267,'Taxonomy Rules'!$C$42:$C$68,0)),""))</x:f>
        <x:v>Waste hierarchy, resource efficiency, hazardous-waste traceability and end-of-life arrangements.</x:v>
      </x:c>
      <x:c r="T267" s="9" t="str">
        <x:f>IF(C267="","",IFERROR(INDEX('Taxonomy Rules'!$F$42:$F$68,MATCH(E267,'Taxonomy Rules'!$C$42:$C$68,0)),""))</x:f>
        <x:v>S10 p32</x:v>
      </x:c>
      <x:c r="U267" s="9" t="str">
        <x:f>IF(C267="","",IFERROR(INDEX('Taxonomy'!$G$9:$G$108,MATCH(D267,'Taxonomy'!$C$9:$C$108,0)),""))</x:f>
        <x:v>Building renovation</x:v>
      </x:c>
    </x:row>
    <x:row r="268" ht="44" customHeight="1">
      <x:c r="A268" s="1"/>
      <x:c r="B268" s="1"/>
      <x:c r="C268" s="8" t="str">
        <x:v>TST-F029-DNSH-BIO</x:v>
      </x:c>
      <x:c r="D268" s="8" t="str">
        <x:v>TAX-F029</x:v>
      </x:c>
      <x:c r="E268" s="8" t="str">
        <x:v>DNSH-BIO</x:v>
      </x:c>
      <x:c r="F268" s="8" t="str">
        <x:v>DNSH</x:v>
      </x:c>
      <x:c r="G268" s="8" t="str">
        <x:v>Applicable</x:v>
      </x:c>
      <x:c r="H268" s="8" t="str">
        <x:v>Pass</x:v>
      </x:c>
      <x:c r="I268" s="8" t="str">
        <x:v>SYN-TEST-F029-DNSH-BIO</x:v>
      </x:c>
      <x:c r="J268" s="8" t="str"/>
      <x:c r="K268" s="8" t="str">
        <x:v>Taxonomy analyst 2</x:v>
      </x:c>
      <x:c r="L268" s="8" t="str">
        <x:v>Taxonomy reviewer 1</x:v>
      </x:c>
      <x:c r="M268" s="10" t="n">
        <x:v>46266</x:v>
      </x:c>
      <x:c r="N268" s="10" t="n">
        <x:v>46631</x:v>
      </x:c>
      <x:c r="O268" s="8"/>
      <x:c r="P268" s="9" t="str">
        <x:f>IF(C268="","",IF(AND(G268="Applicable",H268="Fail"),"Fail",IF(R268&lt;&gt;"Valid","Pending",IF(OR(I268="",K268="",L268="",K268=L268,NOT(ISNUMBER(M268)),NOT(ISNUMBER(N268)),M268&gt;Settings!$F$8,N268&lt;Settings!$F$8,N268&lt;M268),"Pending",IF(AND(G268="Applicable",H268="Pass"),"Pass",IF(AND(G268="N/A",H268="N/A",J268&lt;&gt;"",OR(E268="CEM-FUELS",E268="CEM-CCS",AND(E268="CEM-PLAN",IFERROR(INDEX('Taxonomy'!$M$9:$M$108,MATCH(D268,'Taxonomy'!$C$9:$C$108,0)),"")&lt;&gt;"Amber"),E268="BLD-TIMBER",AND(U268="Building equipment",OR(E268="BLD-WATER",E268="BLD-WASTE",E268="BLD-LAND")),AND(U268="Building renovation",E268="BLD-LAND"))),"N/A","Pending"))))))</x:f>
        <x:v>Pass</x:v>
      </x:c>
      <x:c r="Q268" s="3" t="str">
        <x:f>IF(C268="","",IF(AND(R268="Valid",OR(P268="Pass",P268="N/A")),"Complete","Unresolved"))</x:f>
        <x:v>Complete</x:v>
      </x:c>
      <x:c r="R268" s="9" t="str">
        <x:f>IF(C268="","",IF(OR(COUNTIF($C$9:$C$2008,C268)&lt;&gt;1,COUNTIFS($D$9:$D$2008,D268,$E$9:$E$2008,E268)&lt;&gt;1),"Duplicate test",IF(COUNTIF('Taxonomy'!$C$9:$C$108,D268)&lt;&gt;1,"Assessment key",IF(OR(COUNTIF('Taxonomy Rules'!$C$42:$C$68,E268)&lt;&gt;1,F268&lt;&gt;IFERROR(INDEX('Taxonomy Rules'!$D$42:$D$68,MATCH(E268,'Taxonomy Rules'!$C$42:$C$68,0)),""),NOT(OR(IFERROR(INDEX('Taxonomy Rules'!$G$42:$G$68,MATCH(E268,'Taxonomy Rules'!$C$42:$C$68,0)),"")="All supported routes",IFERROR(INDEX('Taxonomy Rules'!$G$42:$G$68,MATCH(E268,'Taxonomy Rules'!$C$42:$C$68,0)),"")=U268,AND(IFERROR(INDEX('Taxonomy Rules'!$G$42:$G$68,MATCH(E268,'Taxonomy Rules'!$C$42:$C$68,0)),"")="Building routes",OR(U268="Building renovation",U268="New building",U268="Building equipment"))))),"Unexpected test","Valid"))))</x:f>
        <x:v>Valid</x:v>
      </x:c>
      <x:c r="S268" s="9" t="str">
        <x:f>IF(C268="","",IFERROR(INDEX('Taxonomy Rules'!$E$42:$E$68,MATCH(E268,'Taxonomy Rules'!$C$42:$C$68,0)),""))</x:f>
        <x:v>Required EIA, habitat screening and implemented mitigation.</x:v>
      </x:c>
      <x:c r="T268" s="9" t="str">
        <x:f>IF(C268="","",IFERROR(INDEX('Taxonomy Rules'!$F$42:$F$68,MATCH(E268,'Taxonomy Rules'!$C$42:$C$68,0)),""))</x:f>
        <x:v>S10 p32</x:v>
      </x:c>
      <x:c r="U268" s="9" t="str">
        <x:f>IF(C268="","",IFERROR(INDEX('Taxonomy'!$G$9:$G$108,MATCH(D268,'Taxonomy'!$C$9:$C$108,0)),""))</x:f>
        <x:v>Building renovation</x:v>
      </x:c>
    </x:row>
    <x:row r="269" ht="44" customHeight="1">
      <x:c r="A269" s="1"/>
      <x:c r="B269" s="1"/>
      <x:c r="C269" s="8" t="str">
        <x:v>TST-F029-MSS-LABOUR</x:v>
      </x:c>
      <x:c r="D269" s="8" t="str">
        <x:v>TAX-F029</x:v>
      </x:c>
      <x:c r="E269" s="8" t="str">
        <x:v>MSS-LABOUR</x:v>
      </x:c>
      <x:c r="F269" s="8" t="str">
        <x:v>MSS</x:v>
      </x:c>
      <x:c r="G269" s="8" t="str">
        <x:v>Applicable</x:v>
      </x:c>
      <x:c r="H269" s="8" t="str">
        <x:v>Pass</x:v>
      </x:c>
      <x:c r="I269" s="8" t="str">
        <x:v>SYN-TEST-F029-MSS-LABOUR</x:v>
      </x:c>
      <x:c r="J269" s="8" t="str"/>
      <x:c r="K269" s="8" t="str">
        <x:v>Taxonomy analyst 2</x:v>
      </x:c>
      <x:c r="L269" s="8" t="str">
        <x:v>Taxonomy reviewer 1</x:v>
      </x:c>
      <x:c r="M269" s="10" t="n">
        <x:v>46266</x:v>
      </x:c>
      <x:c r="N269" s="10" t="n">
        <x:v>46631</x:v>
      </x:c>
      <x:c r="O269" s="8"/>
      <x:c r="P269" s="9" t="str">
        <x:f>IF(C269="","",IF(AND(G269="Applicable",H269="Fail"),"Fail",IF(R269&lt;&gt;"Valid","Pending",IF(OR(I269="",K269="",L269="",K269=L269,NOT(ISNUMBER(M269)),NOT(ISNUMBER(N269)),M269&gt;Settings!$F$8,N269&lt;Settings!$F$8,N269&lt;M269),"Pending",IF(AND(G269="Applicable",H269="Pass"),"Pass",IF(AND(G269="N/A",H269="N/A",J269&lt;&gt;"",OR(E269="CEM-FUELS",E269="CEM-CCS",AND(E269="CEM-PLAN",IFERROR(INDEX('Taxonomy'!$M$9:$M$108,MATCH(D269,'Taxonomy'!$C$9:$C$108,0)),"")&lt;&gt;"Amber"),E269="BLD-TIMBER",AND(U269="Building equipment",OR(E269="BLD-WATER",E269="BLD-WASTE",E269="BLD-LAND")),AND(U269="Building renovation",E269="BLD-LAND"))),"N/A","Pending"))))))</x:f>
        <x:v>Pass</x:v>
      </x:c>
      <x:c r="Q269" s="3" t="str">
        <x:f>IF(C269="","",IF(AND(R269="Valid",OR(P269="Pass",P269="N/A")),"Complete","Unresolved"))</x:f>
        <x:v>Complete</x:v>
      </x:c>
      <x:c r="R269" s="9" t="str">
        <x:f>IF(C269="","",IF(OR(COUNTIF($C$9:$C$2008,C269)&lt;&gt;1,COUNTIFS($D$9:$D$2008,D269,$E$9:$E$2008,E269)&lt;&gt;1),"Duplicate test",IF(COUNTIF('Taxonomy'!$C$9:$C$108,D269)&lt;&gt;1,"Assessment key",IF(OR(COUNTIF('Taxonomy Rules'!$C$42:$C$68,E269)&lt;&gt;1,F269&lt;&gt;IFERROR(INDEX('Taxonomy Rules'!$D$42:$D$68,MATCH(E269,'Taxonomy Rules'!$C$42:$C$68,0)),""),NOT(OR(IFERROR(INDEX('Taxonomy Rules'!$G$42:$G$68,MATCH(E269,'Taxonomy Rules'!$C$42:$C$68,0)),"")="All supported routes",IFERROR(INDEX('Taxonomy Rules'!$G$42:$G$68,MATCH(E269,'Taxonomy Rules'!$C$42:$C$68,0)),"")=U269,AND(IFERROR(INDEX('Taxonomy Rules'!$G$42:$G$68,MATCH(E269,'Taxonomy Rules'!$C$42:$C$68,0)),"")="Building routes",OR(U269="Building renovation",U269="New building",U269="Building equipment"))))),"Unexpected test","Valid"))))</x:f>
        <x:v>Valid</x:v>
      </x:c>
      <x:c r="S269" s="9" t="str">
        <x:f>IF(C269="","",IFERROR(INDEX('Taxonomy Rules'!$E$42:$E$68,MATCH(E269,'Taxonomy Rules'!$C$42:$C$68,0)),""))</x:f>
        <x:v>Labour rights, minimum age, no child/forced labour, equality and worker representation.</x:v>
      </x:c>
      <x:c r="T269" s="9" t="str">
        <x:f>IF(C269="","",IFERROR(INDEX('Taxonomy Rules'!$F$42:$F$68,MATCH(E269,'Taxonomy Rules'!$C$42:$C$68,0)),""))</x:f>
        <x:v>S10 p29</x:v>
      </x:c>
      <x:c r="U269" s="9" t="str">
        <x:f>IF(C269="","",IFERROR(INDEX('Taxonomy'!$G$9:$G$108,MATCH(D269,'Taxonomy'!$C$9:$C$108,0)),""))</x:f>
        <x:v>Building renovation</x:v>
      </x:c>
    </x:row>
    <x:row r="270" ht="44" customHeight="1">
      <x:c r="A270" s="1"/>
      <x:c r="B270" s="1"/>
      <x:c r="C270" s="8" t="str">
        <x:v>TST-F029-MSS-OSH</x:v>
      </x:c>
      <x:c r="D270" s="8" t="str">
        <x:v>TAX-F029</x:v>
      </x:c>
      <x:c r="E270" s="8" t="str">
        <x:v>MSS-OSH</x:v>
      </x:c>
      <x:c r="F270" s="8" t="str">
        <x:v>MSS</x:v>
      </x:c>
      <x:c r="G270" s="8" t="str">
        <x:v>Applicable</x:v>
      </x:c>
      <x:c r="H270" s="8" t="str">
        <x:v>Pass</x:v>
      </x:c>
      <x:c r="I270" s="8" t="str">
        <x:v>SYN-TEST-F029-MSS-OSH</x:v>
      </x:c>
      <x:c r="J270" s="8" t="str"/>
      <x:c r="K270" s="8" t="str">
        <x:v>Taxonomy analyst 2</x:v>
      </x:c>
      <x:c r="L270" s="8" t="str">
        <x:v>Taxonomy reviewer 1</x:v>
      </x:c>
      <x:c r="M270" s="10" t="n">
        <x:v>46266</x:v>
      </x:c>
      <x:c r="N270" s="10" t="n">
        <x:v>46631</x:v>
      </x:c>
      <x:c r="O270" s="8"/>
      <x:c r="P270" s="9" t="str">
        <x:f>IF(C270="","",IF(AND(G270="Applicable",H270="Fail"),"Fail",IF(R270&lt;&gt;"Valid","Pending",IF(OR(I270="",K270="",L270="",K270=L270,NOT(ISNUMBER(M270)),NOT(ISNUMBER(N270)),M270&gt;Settings!$F$8,N270&lt;Settings!$F$8,N270&lt;M270),"Pending",IF(AND(G270="Applicable",H270="Pass"),"Pass",IF(AND(G270="N/A",H270="N/A",J270&lt;&gt;"",OR(E270="CEM-FUELS",E270="CEM-CCS",AND(E270="CEM-PLAN",IFERROR(INDEX('Taxonomy'!$M$9:$M$108,MATCH(D270,'Taxonomy'!$C$9:$C$108,0)),"")&lt;&gt;"Amber"),E270="BLD-TIMBER",AND(U270="Building equipment",OR(E270="BLD-WATER",E270="BLD-WASTE",E270="BLD-LAND")),AND(U270="Building renovation",E270="BLD-LAND"))),"N/A","Pending"))))))</x:f>
        <x:v>Pass</x:v>
      </x:c>
      <x:c r="Q270" s="3" t="str">
        <x:f>IF(C270="","",IF(AND(R270="Valid",OR(P270="Pass",P270="N/A")),"Complete","Unresolved"))</x:f>
        <x:v>Complete</x:v>
      </x:c>
      <x:c r="R270" s="9" t="str">
        <x:f>IF(C270="","",IF(OR(COUNTIF($C$9:$C$2008,C270)&lt;&gt;1,COUNTIFS($D$9:$D$2008,D270,$E$9:$E$2008,E270)&lt;&gt;1),"Duplicate test",IF(COUNTIF('Taxonomy'!$C$9:$C$108,D270)&lt;&gt;1,"Assessment key",IF(OR(COUNTIF('Taxonomy Rules'!$C$42:$C$68,E270)&lt;&gt;1,F270&lt;&gt;IFERROR(INDEX('Taxonomy Rules'!$D$42:$D$68,MATCH(E270,'Taxonomy Rules'!$C$42:$C$68,0)),""),NOT(OR(IFERROR(INDEX('Taxonomy Rules'!$G$42:$G$68,MATCH(E270,'Taxonomy Rules'!$C$42:$C$68,0)),"")="All supported routes",IFERROR(INDEX('Taxonomy Rules'!$G$42:$G$68,MATCH(E270,'Taxonomy Rules'!$C$42:$C$68,0)),"")=U270,AND(IFERROR(INDEX('Taxonomy Rules'!$G$42:$G$68,MATCH(E270,'Taxonomy Rules'!$C$42:$C$68,0)),"")="Building routes",OR(U270="Building renovation",U270="New building",U270="Building equipment"))))),"Unexpected test","Valid"))))</x:f>
        <x:v>Valid</x:v>
      </x:c>
      <x:c r="S270" s="9" t="str">
        <x:f>IF(C270="","",IFERROR(INDEX('Taxonomy Rules'!$E$42:$E$68,MATCH(E270,'Taxonomy Rules'!$C$42:$C$68,0)),""))</x:f>
        <x:v>Applicable occupational safety, hazard prevention and emergency readiness.</x:v>
      </x:c>
      <x:c r="T270" s="9" t="str">
        <x:f>IF(C270="","",IFERROR(INDEX('Taxonomy Rules'!$F$42:$F$68,MATCH(E270,'Taxonomy Rules'!$C$42:$C$68,0)),""))</x:f>
        <x:v>S10 p29</x:v>
      </x:c>
      <x:c r="U270" s="9" t="str">
        <x:f>IF(C270="","",IFERROR(INDEX('Taxonomy'!$G$9:$G$108,MATCH(D270,'Taxonomy'!$C$9:$C$108,0)),""))</x:f>
        <x:v>Building renovation</x:v>
      </x:c>
    </x:row>
    <x:row r="271" ht="44" customHeight="1">
      <x:c r="A271" s="1"/>
      <x:c r="B271" s="1"/>
      <x:c r="C271" s="8" t="str">
        <x:v>TST-F029-MSS-RIGHTS</x:v>
      </x:c>
      <x:c r="D271" s="8" t="str">
        <x:v>TAX-F029</x:v>
      </x:c>
      <x:c r="E271" s="8" t="str">
        <x:v>MSS-RIGHTS</x:v>
      </x:c>
      <x:c r="F271" s="8" t="str">
        <x:v>MSS</x:v>
      </x:c>
      <x:c r="G271" s="8" t="str">
        <x:v>Applicable</x:v>
      </x:c>
      <x:c r="H271" s="8" t="str">
        <x:v>Pass</x:v>
      </x:c>
      <x:c r="I271" s="8" t="str">
        <x:v>SYN-TEST-F029-MSS-RIGHTS</x:v>
      </x:c>
      <x:c r="J271" s="8" t="str"/>
      <x:c r="K271" s="8" t="str">
        <x:v>Taxonomy analyst 2</x:v>
      </x:c>
      <x:c r="L271" s="8" t="str">
        <x:v>Taxonomy reviewer 1</x:v>
      </x:c>
      <x:c r="M271" s="10" t="n">
        <x:v>46266</x:v>
      </x:c>
      <x:c r="N271" s="10" t="n">
        <x:v>46631</x:v>
      </x:c>
      <x:c r="O271" s="8"/>
      <x:c r="P271" s="9" t="str">
        <x:f>IF(C271="","",IF(AND(G271="Applicable",H271="Fail"),"Fail",IF(R271&lt;&gt;"Valid","Pending",IF(OR(I271="",K271="",L271="",K271=L271,NOT(ISNUMBER(M271)),NOT(ISNUMBER(N271)),M271&gt;Settings!$F$8,N271&lt;Settings!$F$8,N271&lt;M271),"Pending",IF(AND(G271="Applicable",H271="Pass"),"Pass",IF(AND(G271="N/A",H271="N/A",J271&lt;&gt;"",OR(E271="CEM-FUELS",E271="CEM-CCS",AND(E271="CEM-PLAN",IFERROR(INDEX('Taxonomy'!$M$9:$M$108,MATCH(D271,'Taxonomy'!$C$9:$C$108,0)),"")&lt;&gt;"Amber"),E271="BLD-TIMBER",AND(U271="Building equipment",OR(E271="BLD-WATER",E271="BLD-WASTE",E271="BLD-LAND")),AND(U271="Building renovation",E271="BLD-LAND"))),"N/A","Pending"))))))</x:f>
        <x:v>Pass</x:v>
      </x:c>
      <x:c r="Q271" s="3" t="str">
        <x:f>IF(C271="","",IF(AND(R271="Valid",OR(P271="Pass",P271="N/A")),"Complete","Unresolved"))</x:f>
        <x:v>Complete</x:v>
      </x:c>
      <x:c r="R271" s="9" t="str">
        <x:f>IF(C271="","",IF(OR(COUNTIF($C$9:$C$2008,C271)&lt;&gt;1,COUNTIFS($D$9:$D$2008,D271,$E$9:$E$2008,E271)&lt;&gt;1),"Duplicate test",IF(COUNTIF('Taxonomy'!$C$9:$C$108,D271)&lt;&gt;1,"Assessment key",IF(OR(COUNTIF('Taxonomy Rules'!$C$42:$C$68,E271)&lt;&gt;1,F271&lt;&gt;IFERROR(INDEX('Taxonomy Rules'!$D$42:$D$68,MATCH(E271,'Taxonomy Rules'!$C$42:$C$68,0)),""),NOT(OR(IFERROR(INDEX('Taxonomy Rules'!$G$42:$G$68,MATCH(E271,'Taxonomy Rules'!$C$42:$C$68,0)),"")="All supported routes",IFERROR(INDEX('Taxonomy Rules'!$G$42:$G$68,MATCH(E271,'Taxonomy Rules'!$C$42:$C$68,0)),"")=U271,AND(IFERROR(INDEX('Taxonomy Rules'!$G$42:$G$68,MATCH(E271,'Taxonomy Rules'!$C$42:$C$68,0)),"")="Building routes",OR(U271="Building renovation",U271="New building",U271="Building equipment"))))),"Unexpected test","Valid"))))</x:f>
        <x:v>Valid</x:v>
      </x:c>
      <x:c r="S271" s="9" t="str">
        <x:f>IF(C271="","",IFERROR(INDEX('Taxonomy Rules'!$E$42:$E$68,MATCH(E271,'Taxonomy Rules'!$C$42:$C$68,0)),""))</x:f>
        <x:v>Proportionate human-rights diligence, stakeholder/social-impact process and grievance mechanism.</x:v>
      </x:c>
      <x:c r="T271" s="9" t="str">
        <x:f>IF(C271="","",IFERROR(INDEX('Taxonomy Rules'!$F$42:$F$68,MATCH(E271,'Taxonomy Rules'!$C$42:$C$68,0)),""))</x:f>
        <x:v>S10 p29</x:v>
      </x:c>
      <x:c r="U271" s="9" t="str">
        <x:f>IF(C271="","",IFERROR(INDEX('Taxonomy'!$G$9:$G$108,MATCH(D271,'Taxonomy'!$C$9:$C$108,0)),""))</x:f>
        <x:v>Building renovation</x:v>
      </x:c>
    </x:row>
    <x:row r="272" ht="44" customHeight="1">
      <x:c r="A272" s="1"/>
      <x:c r="B272" s="1"/>
      <x:c r="C272" s="8" t="str">
        <x:v>TST-F029-REN-METHOD</x:v>
      </x:c>
      <x:c r="D272" s="8" t="str">
        <x:v>TAX-F029</x:v>
      </x:c>
      <x:c r="E272" s="8" t="str">
        <x:v>REN-METHOD</x:v>
      </x:c>
      <x:c r="F272" s="8" t="str">
        <x:v>Technical</x:v>
      </x:c>
      <x:c r="G272" s="8" t="str">
        <x:v>Applicable</x:v>
      </x:c>
      <x:c r="H272" s="8" t="str">
        <x:v>Pass</x:v>
      </x:c>
      <x:c r="I272" s="8" t="str">
        <x:v>SYN-TEST-F029-REN-METHOD</x:v>
      </x:c>
      <x:c r="J272" s="8" t="str"/>
      <x:c r="K272" s="8" t="str">
        <x:v>Taxonomy analyst 2</x:v>
      </x:c>
      <x:c r="L272" s="8" t="str">
        <x:v>Taxonomy reviewer 1</x:v>
      </x:c>
      <x:c r="M272" s="10" t="n">
        <x:v>46266</x:v>
      </x:c>
      <x:c r="N272" s="10" t="n">
        <x:v>46631</x:v>
      </x:c>
      <x:c r="O272" s="8"/>
      <x:c r="P272" s="9" t="str">
        <x:f>IF(C272="","",IF(AND(G272="Applicable",H272="Fail"),"Fail",IF(R272&lt;&gt;"Valid","Pending",IF(OR(I272="",K272="",L272="",K272=L272,NOT(ISNUMBER(M272)),NOT(ISNUMBER(N272)),M272&gt;Settings!$F$8,N272&lt;Settings!$F$8,N272&lt;M272),"Pending",IF(AND(G272="Applicable",H272="Pass"),"Pass",IF(AND(G272="N/A",H272="N/A",J272&lt;&gt;"",OR(E272="CEM-FUELS",E272="CEM-CCS",AND(E272="CEM-PLAN",IFERROR(INDEX('Taxonomy'!$M$9:$M$108,MATCH(D272,'Taxonomy'!$C$9:$C$108,0)),"")&lt;&gt;"Amber"),E272="BLD-TIMBER",AND(U272="Building equipment",OR(E272="BLD-WATER",E272="BLD-WASTE",E272="BLD-LAND")),AND(U272="Building renovation",E272="BLD-LAND"))),"N/A","Pending"))))))</x:f>
        <x:v>Pass</x:v>
      </x:c>
      <x:c r="Q272" s="3" t="str">
        <x:f>IF(C272="","",IF(AND(R272="Valid",OR(P272="Pass",P272="N/A")),"Complete","Unresolved"))</x:f>
        <x:v>Complete</x:v>
      </x:c>
      <x:c r="R272" s="9" t="str">
        <x:f>IF(C272="","",IF(OR(COUNTIF($C$9:$C$2008,C272)&lt;&gt;1,COUNTIFS($D$9:$D$2008,D272,$E$9:$E$2008,E272)&lt;&gt;1),"Duplicate test",IF(COUNTIF('Taxonomy'!$C$9:$C$108,D272)&lt;&gt;1,"Assessment key",IF(OR(COUNTIF('Taxonomy Rules'!$C$42:$C$68,E272)&lt;&gt;1,F272&lt;&gt;IFERROR(INDEX('Taxonomy Rules'!$D$42:$D$68,MATCH(E272,'Taxonomy Rules'!$C$42:$C$68,0)),""),NOT(OR(IFERROR(INDEX('Taxonomy Rules'!$G$42:$G$68,MATCH(E272,'Taxonomy Rules'!$C$42:$C$68,0)),"")="All supported routes",IFERROR(INDEX('Taxonomy Rules'!$G$42:$G$68,MATCH(E272,'Taxonomy Rules'!$C$42:$C$68,0)),"")=U272,AND(IFERROR(INDEX('Taxonomy Rules'!$G$42:$G$68,MATCH(E272,'Taxonomy Rules'!$C$42:$C$68,0)),"")="Building routes",OR(U272="Building renovation",U272="New building",U272="Building equipment"))))),"Unexpected test","Valid"))))</x:f>
        <x:v>Valid</x:v>
      </x:c>
      <x:c r="S272" s="9" t="str">
        <x:f>IF(C272="","",IFERROR(INDEX('Taxonomy Rules'!$E$42:$E$68,MATCH(E272,'Taxonomy Rules'!$C$42:$C$68,0)),""))</x:f>
        <x:v>Whole-building baseline adjusted for occupancy/weather; recognised method for floor area at least 1,000 m².</x:v>
      </x:c>
      <x:c r="T272" s="9" t="str">
        <x:f>IF(C272="","",IFERROR(INDEX('Taxonomy Rules'!$F$42:$F$68,MATCH(E272,'Taxonomy Rules'!$C$42:$C$68,0)),""))</x:f>
        <x:v>S10 p136</x:v>
      </x:c>
      <x:c r="U272" s="9" t="str">
        <x:f>IF(C272="","",IFERROR(INDEX('Taxonomy'!$G$9:$G$108,MATCH(D272,'Taxonomy'!$C$9:$C$108,0)),""))</x:f>
        <x:v>Building renovation</x:v>
      </x:c>
    </x:row>
    <x:row r="273" ht="44" customHeight="1">
      <x:c r="A273" s="1"/>
      <x:c r="B273" s="1"/>
      <x:c r="C273" s="8" t="str">
        <x:v>TST-F029-REN-ROUTE</x:v>
      </x:c>
      <x:c r="D273" s="8" t="str">
        <x:v>TAX-F029</x:v>
      </x:c>
      <x:c r="E273" s="8" t="str">
        <x:v>REN-ROUTE</x:v>
      </x:c>
      <x:c r="F273" s="8" t="str">
        <x:v>Technical</x:v>
      </x:c>
      <x:c r="G273" s="8" t="str">
        <x:v>Applicable</x:v>
      </x:c>
      <x:c r="H273" s="8" t="str">
        <x:v>Pass</x:v>
      </x:c>
      <x:c r="I273" s="8" t="str">
        <x:v>SYN-TEST-F029-REN-ROUTE</x:v>
      </x:c>
      <x:c r="J273" s="8" t="str"/>
      <x:c r="K273" s="8" t="str">
        <x:v>Taxonomy analyst 2</x:v>
      </x:c>
      <x:c r="L273" s="8" t="str">
        <x:v>Taxonomy reviewer 1</x:v>
      </x:c>
      <x:c r="M273" s="10" t="n">
        <x:v>46266</x:v>
      </x:c>
      <x:c r="N273" s="10" t="n">
        <x:v>46631</x:v>
      </x:c>
      <x:c r="O273" s="8"/>
      <x:c r="P273" s="9" t="str">
        <x:f>IF(C273="","",IF(AND(G273="Applicable",H273="Fail"),"Fail",IF(R273&lt;&gt;"Valid","Pending",IF(OR(I273="",K273="",L273="",K273=L273,NOT(ISNUMBER(M273)),NOT(ISNUMBER(N273)),M273&gt;Settings!$F$8,N273&lt;Settings!$F$8,N273&lt;M273),"Pending",IF(AND(G273="Applicable",H273="Pass"),"Pass",IF(AND(G273="N/A",H273="N/A",J273&lt;&gt;"",OR(E273="CEM-FUELS",E273="CEM-CCS",AND(E273="CEM-PLAN",IFERROR(INDEX('Taxonomy'!$M$9:$M$108,MATCH(D273,'Taxonomy'!$C$9:$C$108,0)),"")&lt;&gt;"Amber"),E273="BLD-TIMBER",AND(U273="Building equipment",OR(E273="BLD-WATER",E273="BLD-WASTE",E273="BLD-LAND")),AND(U273="Building renovation",E273="BLD-LAND"))),"N/A","Pending"))))))</x:f>
        <x:v>Pass</x:v>
      </x:c>
      <x:c r="Q273" s="3" t="str">
        <x:f>IF(C273="","",IF(AND(R273="Valid",OR(P273="Pass",P273="N/A")),"Complete","Unresolved"))</x:f>
        <x:v>Complete</x:v>
      </x:c>
      <x:c r="R273" s="9" t="str">
        <x:f>IF(C273="","",IF(OR(COUNTIF($C$9:$C$2008,C273)&lt;&gt;1,COUNTIFS($D$9:$D$2008,D273,$E$9:$E$2008,E273)&lt;&gt;1),"Duplicate test",IF(COUNTIF('Taxonomy'!$C$9:$C$108,D273)&lt;&gt;1,"Assessment key",IF(OR(COUNTIF('Taxonomy Rules'!$C$42:$C$68,E273)&lt;&gt;1,F273&lt;&gt;IFERROR(INDEX('Taxonomy Rules'!$D$42:$D$68,MATCH(E273,'Taxonomy Rules'!$C$42:$C$68,0)),""),NOT(OR(IFERROR(INDEX('Taxonomy Rules'!$G$42:$G$68,MATCH(E273,'Taxonomy Rules'!$C$42:$C$68,0)),"")="All supported routes",IFERROR(INDEX('Taxonomy Rules'!$G$42:$G$68,MATCH(E273,'Taxonomy Rules'!$C$42:$C$68,0)),"")=U273,AND(IFERROR(INDEX('Taxonomy Rules'!$G$42:$G$68,MATCH(E273,'Taxonomy Rules'!$C$42:$C$68,0)),"")="Building routes",OR(U273="Building renovation",U273="New building",U273="Building equipment"))))),"Unexpected test","Valid"))))</x:f>
        <x:v>Valid</x:v>
      </x:c>
      <x:c r="S273" s="9" t="str">
        <x:f>IF(C273="","",IFERROR(INDEX('Taxonomy Rules'!$E$42:$E$68,MATCH(E273,'Taxonomy Rules'!$C$42:$C$68,0)),""))</x:f>
        <x:v>Whole-building Green requires new-building criteria; Amber improvement route is separate. Certification not required solely for Amber.</x:v>
      </x:c>
      <x:c r="T273" s="9" t="str">
        <x:f>IF(C273="","",IFERROR(INDEX('Taxonomy Rules'!$F$42:$F$68,MATCH(E273,'Taxonomy Rules'!$C$42:$C$68,0)),""))</x:f>
        <x:v>S10 pp131,136</x:v>
      </x:c>
      <x:c r="U273" s="9" t="str">
        <x:f>IF(C273="","",IFERROR(INDEX('Taxonomy'!$G$9:$G$108,MATCH(D273,'Taxonomy'!$C$9:$C$108,0)),""))</x:f>
        <x:v>Building renovation</x:v>
      </x:c>
    </x:row>
    <x:row r="274" ht="44" customHeight="1">
      <x:c r="A274" s="1"/>
      <x:c r="B274" s="1"/>
      <x:c r="C274" s="8" t="str">
        <x:v>TST-F029-BLD-WATER</x:v>
      </x:c>
      <x:c r="D274" s="8" t="str">
        <x:v>TAX-F029</x:v>
      </x:c>
      <x:c r="E274" s="8" t="str">
        <x:v>BLD-WATER</x:v>
      </x:c>
      <x:c r="F274" s="8" t="str">
        <x:v>DNSH</x:v>
      </x:c>
      <x:c r="G274" s="8" t="str">
        <x:v>Applicable</x:v>
      </x:c>
      <x:c r="H274" s="8" t="str">
        <x:v>Pass</x:v>
      </x:c>
      <x:c r="I274" s="8" t="str">
        <x:v>SYN-TEST-F029-BLD-WATER</x:v>
      </x:c>
      <x:c r="J274" s="8" t="str"/>
      <x:c r="K274" s="8" t="str">
        <x:v>Taxonomy analyst 2</x:v>
      </x:c>
      <x:c r="L274" s="8" t="str">
        <x:v>Taxonomy reviewer 1</x:v>
      </x:c>
      <x:c r="M274" s="10" t="n">
        <x:v>46266</x:v>
      </x:c>
      <x:c r="N274" s="10" t="n">
        <x:v>46631</x:v>
      </x:c>
      <x:c r="O274" s="8"/>
      <x:c r="P274" s="9" t="str">
        <x:f>IF(C274="","",IF(AND(G274="Applicable",H274="Fail"),"Fail",IF(R274&lt;&gt;"Valid","Pending",IF(OR(I274="",K274="",L274="",K274=L274,NOT(ISNUMBER(M274)),NOT(ISNUMBER(N274)),M274&gt;Settings!$F$8,N274&lt;Settings!$F$8,N274&lt;M274),"Pending",IF(AND(G274="Applicable",H274="Pass"),"Pass",IF(AND(G274="N/A",H274="N/A",J274&lt;&gt;"",OR(E274="CEM-FUELS",E274="CEM-CCS",AND(E274="CEM-PLAN",IFERROR(INDEX('Taxonomy'!$M$9:$M$108,MATCH(D274,'Taxonomy'!$C$9:$C$108,0)),"")&lt;&gt;"Amber"),E274="BLD-TIMBER",AND(U274="Building equipment",OR(E274="BLD-WATER",E274="BLD-WASTE",E274="BLD-LAND")),AND(U274="Building renovation",E274="BLD-LAND"))),"N/A","Pending"))))))</x:f>
        <x:v>Pass</x:v>
      </x:c>
      <x:c r="Q274" s="3" t="str">
        <x:f>IF(C274="","",IF(AND(R274="Valid",OR(P274="Pass",P274="N/A")),"Complete","Unresolved"))</x:f>
        <x:v>Complete</x:v>
      </x:c>
      <x:c r="R274" s="9" t="str">
        <x:f>IF(C274="","",IF(OR(COUNTIF($C$9:$C$2008,C274)&lt;&gt;1,COUNTIFS($D$9:$D$2008,D274,$E$9:$E$2008,E274)&lt;&gt;1),"Duplicate test",IF(COUNTIF('Taxonomy'!$C$9:$C$108,D274)&lt;&gt;1,"Assessment key",IF(OR(COUNTIF('Taxonomy Rules'!$C$42:$C$68,E274)&lt;&gt;1,F274&lt;&gt;IFERROR(INDEX('Taxonomy Rules'!$D$42:$D$68,MATCH(E274,'Taxonomy Rules'!$C$42:$C$68,0)),""),NOT(OR(IFERROR(INDEX('Taxonomy Rules'!$G$42:$G$68,MATCH(E274,'Taxonomy Rules'!$C$42:$C$68,0)),"")="All supported routes",IFERROR(INDEX('Taxonomy Rules'!$G$42:$G$68,MATCH(E274,'Taxonomy Rules'!$C$42:$C$68,0)),"")=U274,AND(IFERROR(INDEX('Taxonomy Rules'!$G$42:$G$68,MATCH(E274,'Taxonomy Rules'!$C$42:$C$68,0)),"")="Building routes",OR(U274="Building renovation",U274="New building",U274="Building equipment"))))),"Unexpected test","Valid"))))</x:f>
        <x:v>Valid</x:v>
      </x:c>
      <x:c r="S274" s="9" t="str">
        <x:f>IF(C274="","",IFERROR(INDEX('Taxonomy Rules'!$E$42:$E$68,MATCH(E274,'Taxonomy Rules'!$C$42:$C$68,0)),""))</x:f>
        <x:v>Compliant water fittings under JSMO / recognised water-efficiency standards.</x:v>
      </x:c>
      <x:c r="T274" s="9" t="str">
        <x:f>IF(C274="","",IFERROR(INDEX('Taxonomy Rules'!$F$42:$F$68,MATCH(E274,'Taxonomy Rules'!$C$42:$C$68,0)),""))</x:f>
        <x:v>S10 p132</x:v>
      </x:c>
      <x:c r="U274" s="9" t="str">
        <x:f>IF(C274="","",IFERROR(INDEX('Taxonomy'!$G$9:$G$108,MATCH(D274,'Taxonomy'!$C$9:$C$108,0)),""))</x:f>
        <x:v>Building renovation</x:v>
      </x:c>
    </x:row>
    <x:row r="275" ht="44" customHeight="1">
      <x:c r="A275" s="1"/>
      <x:c r="B275" s="1"/>
      <x:c r="C275" s="8" t="str">
        <x:v>TST-F029-BLD-MATERIALS</x:v>
      </x:c>
      <x:c r="D275" s="8" t="str">
        <x:v>TAX-F029</x:v>
      </x:c>
      <x:c r="E275" s="8" t="str">
        <x:v>BLD-MATERIALS</x:v>
      </x:c>
      <x:c r="F275" s="8" t="str">
        <x:v>DNSH</x:v>
      </x:c>
      <x:c r="G275" s="8" t="str">
        <x:v>Applicable</x:v>
      </x:c>
      <x:c r="H275" s="8" t="str">
        <x:v>Pass</x:v>
      </x:c>
      <x:c r="I275" s="8" t="str">
        <x:v>SYN-TEST-F029-BLD-MATERIALS</x:v>
      </x:c>
      <x:c r="J275" s="8" t="str"/>
      <x:c r="K275" s="8" t="str">
        <x:v>Taxonomy analyst 2</x:v>
      </x:c>
      <x:c r="L275" s="8" t="str">
        <x:v>Taxonomy reviewer 1</x:v>
      </x:c>
      <x:c r="M275" s="10" t="n">
        <x:v>46266</x:v>
      </x:c>
      <x:c r="N275" s="10" t="n">
        <x:v>46631</x:v>
      </x:c>
      <x:c r="O275" s="8"/>
      <x:c r="P275" s="9" t="str">
        <x:f>IF(C275="","",IF(AND(G275="Applicable",H275="Fail"),"Fail",IF(R275&lt;&gt;"Valid","Pending",IF(OR(I275="",K275="",L275="",K275=L275,NOT(ISNUMBER(M275)),NOT(ISNUMBER(N275)),M275&gt;Settings!$F$8,N275&lt;Settings!$F$8,N275&lt;M275),"Pending",IF(AND(G275="Applicable",H275="Pass"),"Pass",IF(AND(G275="N/A",H275="N/A",J275&lt;&gt;"",OR(E275="CEM-FUELS",E275="CEM-CCS",AND(E275="CEM-PLAN",IFERROR(INDEX('Taxonomy'!$M$9:$M$108,MATCH(D275,'Taxonomy'!$C$9:$C$108,0)),"")&lt;&gt;"Amber"),E275="BLD-TIMBER",AND(U275="Building equipment",OR(E275="BLD-WATER",E275="BLD-WASTE",E275="BLD-LAND")),AND(U275="Building renovation",E275="BLD-LAND"))),"N/A","Pending"))))))</x:f>
        <x:v>Pass</x:v>
      </x:c>
      <x:c r="Q275" s="3" t="str">
        <x:f>IF(C275="","",IF(AND(R275="Valid",OR(P275="Pass",P275="N/A")),"Complete","Unresolved"))</x:f>
        <x:v>Complete</x:v>
      </x:c>
      <x:c r="R275" s="9" t="str">
        <x:f>IF(C275="","",IF(OR(COUNTIF($C$9:$C$2008,C275)&lt;&gt;1,COUNTIFS($D$9:$D$2008,D275,$E$9:$E$2008,E275)&lt;&gt;1),"Duplicate test",IF(COUNTIF('Taxonomy'!$C$9:$C$108,D275)&lt;&gt;1,"Assessment key",IF(OR(COUNTIF('Taxonomy Rules'!$C$42:$C$68,E275)&lt;&gt;1,F275&lt;&gt;IFERROR(INDEX('Taxonomy Rules'!$D$42:$D$68,MATCH(E275,'Taxonomy Rules'!$C$42:$C$68,0)),""),NOT(OR(IFERROR(INDEX('Taxonomy Rules'!$G$42:$G$68,MATCH(E275,'Taxonomy Rules'!$C$42:$C$68,0)),"")="All supported routes",IFERROR(INDEX('Taxonomy Rules'!$G$42:$G$68,MATCH(E275,'Taxonomy Rules'!$C$42:$C$68,0)),"")=U275,AND(IFERROR(INDEX('Taxonomy Rules'!$G$42:$G$68,MATCH(E275,'Taxonomy Rules'!$C$42:$C$68,0)),"")="Building routes",OR(U275="Building renovation",U275="New building",U275="Building equipment"))))),"Unexpected test","Valid"))))</x:f>
        <x:v>Valid</x:v>
      </x:c>
      <x:c r="S275" s="9" t="str">
        <x:f>IF(C275="","",IFERROR(INDEX('Taxonomy Rules'!$E$42:$E$68,MATCH(E275,'Taxonomy Rules'!$C$42:$C$68,0)),""))</x:f>
        <x:v>No asbestos; controlled hazardous substances; contamination and indoor-air checks as applicable.</x:v>
      </x:c>
      <x:c r="T275" s="9" t="str">
        <x:f>IF(C275="","",IFERROR(INDEX('Taxonomy Rules'!$F$42:$F$68,MATCH(E275,'Taxonomy Rules'!$C$42:$C$68,0)),""))</x:f>
        <x:v>S10 pp132–133</x:v>
      </x:c>
      <x:c r="U275" s="9" t="str">
        <x:f>IF(C275="","",IFERROR(INDEX('Taxonomy'!$G$9:$G$108,MATCH(D275,'Taxonomy'!$C$9:$C$108,0)),""))</x:f>
        <x:v>Building renovation</x:v>
      </x:c>
    </x:row>
    <x:row r="276" ht="44" customHeight="1">
      <x:c r="A276" s="1"/>
      <x:c r="B276" s="1"/>
      <x:c r="C276" s="8" t="str">
        <x:v>TST-F029-BLD-WASTE</x:v>
      </x:c>
      <x:c r="D276" s="8" t="str">
        <x:v>TAX-F029</x:v>
      </x:c>
      <x:c r="E276" s="8" t="str">
        <x:v>BLD-WASTE</x:v>
      </x:c>
      <x:c r="F276" s="8" t="str">
        <x:v>DNSH</x:v>
      </x:c>
      <x:c r="G276" s="8" t="str">
        <x:v>Applicable</x:v>
      </x:c>
      <x:c r="H276" s="8" t="str">
        <x:v>Pass</x:v>
      </x:c>
      <x:c r="I276" s="8" t="str">
        <x:v>SYN-TEST-F029-BLD-WASTE</x:v>
      </x:c>
      <x:c r="J276" s="8" t="str"/>
      <x:c r="K276" s="8" t="str">
        <x:v>Taxonomy analyst 2</x:v>
      </x:c>
      <x:c r="L276" s="8" t="str">
        <x:v>Taxonomy reviewer 1</x:v>
      </x:c>
      <x:c r="M276" s="10" t="n">
        <x:v>46266</x:v>
      </x:c>
      <x:c r="N276" s="10" t="n">
        <x:v>46631</x:v>
      </x:c>
      <x:c r="O276" s="8"/>
      <x:c r="P276" s="9" t="str">
        <x:f>IF(C276="","",IF(AND(G276="Applicable",H276="Fail"),"Fail",IF(R276&lt;&gt;"Valid","Pending",IF(OR(I276="",K276="",L276="",K276=L276,NOT(ISNUMBER(M276)),NOT(ISNUMBER(N276)),M276&gt;Settings!$F$8,N276&lt;Settings!$F$8,N276&lt;M276),"Pending",IF(AND(G276="Applicable",H276="Pass"),"Pass",IF(AND(G276="N/A",H276="N/A",J276&lt;&gt;"",OR(E276="CEM-FUELS",E276="CEM-CCS",AND(E276="CEM-PLAN",IFERROR(INDEX('Taxonomy'!$M$9:$M$108,MATCH(D276,'Taxonomy'!$C$9:$C$108,0)),"")&lt;&gt;"Amber"),E276="BLD-TIMBER",AND(U276="Building equipment",OR(E276="BLD-WATER",E276="BLD-WASTE",E276="BLD-LAND")),AND(U276="Building renovation",E276="BLD-LAND"))),"N/A","Pending"))))))</x:f>
        <x:v>Pass</x:v>
      </x:c>
      <x:c r="Q276" s="3" t="str">
        <x:f>IF(C276="","",IF(AND(R276="Valid",OR(P276="Pass",P276="N/A")),"Complete","Unresolved"))</x:f>
        <x:v>Complete</x:v>
      </x:c>
      <x:c r="R276" s="9" t="str">
        <x:f>IF(C276="","",IF(OR(COUNTIF($C$9:$C$2008,C276)&lt;&gt;1,COUNTIFS($D$9:$D$2008,D276,$E$9:$E$2008,E276)&lt;&gt;1),"Duplicate test",IF(COUNTIF('Taxonomy'!$C$9:$C$108,D276)&lt;&gt;1,"Assessment key",IF(OR(COUNTIF('Taxonomy Rules'!$C$42:$C$68,E276)&lt;&gt;1,F276&lt;&gt;IFERROR(INDEX('Taxonomy Rules'!$D$42:$D$68,MATCH(E276,'Taxonomy Rules'!$C$42:$C$68,0)),""),NOT(OR(IFERROR(INDEX('Taxonomy Rules'!$G$42:$G$68,MATCH(E276,'Taxonomy Rules'!$C$42:$C$68,0)),"")="All supported routes",IFERROR(INDEX('Taxonomy Rules'!$G$42:$G$68,MATCH(E276,'Taxonomy Rules'!$C$42:$C$68,0)),"")=U276,AND(IFERROR(INDEX('Taxonomy Rules'!$G$42:$G$68,MATCH(E276,'Taxonomy Rules'!$C$42:$C$68,0)),"")="Building routes",OR(U276="Building renovation",U276="New building",U276="Building equipment"))))),"Unexpected test","Valid"))))</x:f>
        <x:v>Valid</x:v>
      </x:c>
      <x:c r="S276" s="9" t="str">
        <x:f>IF(C276="","",IFERROR(INDEX('Taxonomy Rules'!$E$42:$E$68,MATCH(E276,'Taxonomy Rules'!$C$42:$C$68,0)),""))</x:f>
        <x:v>At least 40% by weight nonhazardous construction/demolition waste recovered; soil/stone excluded.</x:v>
      </x:c>
      <x:c r="T276" s="9" t="str">
        <x:f>IF(C276="","",IFERROR(INDEX('Taxonomy Rules'!$F$42:$F$68,MATCH(E276,'Taxonomy Rules'!$C$42:$C$68,0)),""))</x:f>
        <x:v>S10 p133</x:v>
      </x:c>
      <x:c r="U276" s="9" t="str">
        <x:f>IF(C276="","",IFERROR(INDEX('Taxonomy'!$G$9:$G$108,MATCH(D276,'Taxonomy'!$C$9:$C$108,0)),""))</x:f>
        <x:v>Building renovation</x:v>
      </x:c>
    </x:row>
    <x:row r="277" ht="44" customHeight="1">
      <x:c r="A277" s="1"/>
      <x:c r="B277" s="1"/>
      <x:c r="C277" s="8" t="str">
        <x:v>TST-F029-BLD-TIMBER</x:v>
      </x:c>
      <x:c r="D277" s="8" t="str">
        <x:v>TAX-F029</x:v>
      </x:c>
      <x:c r="E277" s="8" t="str">
        <x:v>BLD-TIMBER</x:v>
      </x:c>
      <x:c r="F277" s="8" t="str">
        <x:v>DNSH</x:v>
      </x:c>
      <x:c r="G277" s="8" t="str">
        <x:v>Applicable</x:v>
      </x:c>
      <x:c r="H277" s="8" t="str">
        <x:v>Pass</x:v>
      </x:c>
      <x:c r="I277" s="8" t="str">
        <x:v>SYN-TEST-F029-BLD-TIMBER</x:v>
      </x:c>
      <x:c r="J277" s="8" t="str"/>
      <x:c r="K277" s="8" t="str">
        <x:v>Taxonomy analyst 2</x:v>
      </x:c>
      <x:c r="L277" s="8" t="str">
        <x:v>Taxonomy reviewer 1</x:v>
      </x:c>
      <x:c r="M277" s="10" t="n">
        <x:v>46266</x:v>
      </x:c>
      <x:c r="N277" s="10" t="n">
        <x:v>46631</x:v>
      </x:c>
      <x:c r="O277" s="8"/>
      <x:c r="P277" s="9" t="str">
        <x:f>IF(C277="","",IF(AND(G277="Applicable",H277="Fail"),"Fail",IF(R277&lt;&gt;"Valid","Pending",IF(OR(I277="",K277="",L277="",K277=L277,NOT(ISNUMBER(M277)),NOT(ISNUMBER(N277)),M277&gt;Settings!$F$8,N277&lt;Settings!$F$8,N277&lt;M277),"Pending",IF(AND(G277="Applicable",H277="Pass"),"Pass",IF(AND(G277="N/A",H277="N/A",J277&lt;&gt;"",OR(E277="CEM-FUELS",E277="CEM-CCS",AND(E277="CEM-PLAN",IFERROR(INDEX('Taxonomy'!$M$9:$M$108,MATCH(D277,'Taxonomy'!$C$9:$C$108,0)),"")&lt;&gt;"Amber"),E277="BLD-TIMBER",AND(U277="Building equipment",OR(E277="BLD-WATER",E277="BLD-WASTE",E277="BLD-LAND")),AND(U277="Building renovation",E277="BLD-LAND"))),"N/A","Pending"))))))</x:f>
        <x:v>Pass</x:v>
      </x:c>
      <x:c r="Q277" s="3" t="str">
        <x:f>IF(C277="","",IF(AND(R277="Valid",OR(P277="Pass",P277="N/A")),"Complete","Unresolved"))</x:f>
        <x:v>Complete</x:v>
      </x:c>
      <x:c r="R277" s="9" t="str">
        <x:f>IF(C277="","",IF(OR(COUNTIF($C$9:$C$2008,C277)&lt;&gt;1,COUNTIFS($D$9:$D$2008,D277,$E$9:$E$2008,E277)&lt;&gt;1),"Duplicate test",IF(COUNTIF('Taxonomy'!$C$9:$C$108,D277)&lt;&gt;1,"Assessment key",IF(OR(COUNTIF('Taxonomy Rules'!$C$42:$C$68,E277)&lt;&gt;1,F277&lt;&gt;IFERROR(INDEX('Taxonomy Rules'!$D$42:$D$68,MATCH(E277,'Taxonomy Rules'!$C$42:$C$68,0)),""),NOT(OR(IFERROR(INDEX('Taxonomy Rules'!$G$42:$G$68,MATCH(E277,'Taxonomy Rules'!$C$42:$C$68,0)),"")="All supported routes",IFERROR(INDEX('Taxonomy Rules'!$G$42:$G$68,MATCH(E277,'Taxonomy Rules'!$C$42:$C$68,0)),"")=U277,AND(IFERROR(INDEX('Taxonomy Rules'!$G$42:$G$68,MATCH(E277,'Taxonomy Rules'!$C$42:$C$68,0)),"")="Building routes",OR(U277="Building renovation",U277="New building",U277="Building equipment"))))),"Unexpected test","Valid"))))</x:f>
        <x:v>Valid</x:v>
      </x:c>
      <x:c r="S277" s="9" t="str">
        <x:f>IF(C277="","",IFERROR(INDEX('Taxonomy Rules'!$E$42:$E$68,MATCH(E277,'Taxonomy Rules'!$C$42:$C$68,0)),""))</x:f>
        <x:v>At least 70% timber recycled/reused or certified sustainably sourced; justified N/A if no timber.</x:v>
      </x:c>
      <x:c r="T277" s="9" t="str">
        <x:f>IF(C277="","",IFERROR(INDEX('Taxonomy Rules'!$F$42:$F$68,MATCH(E277,'Taxonomy Rules'!$C$42:$C$68,0)),""))</x:f>
        <x:v>S10 p133</x:v>
      </x:c>
      <x:c r="U277" s="9" t="str">
        <x:f>IF(C277="","",IFERROR(INDEX('Taxonomy'!$G$9:$G$108,MATCH(D277,'Taxonomy'!$C$9:$C$108,0)),""))</x:f>
        <x:v>Building renovation</x:v>
      </x:c>
    </x:row>
    <x:row r="278" ht="44" customHeight="1">
      <x:c r="A278" s="1"/>
      <x:c r="B278" s="1"/>
      <x:c r="C278" s="8" t="str">
        <x:v>TST-F029-BLD-LAND</x:v>
      </x:c>
      <x:c r="D278" s="8" t="str">
        <x:v>TAX-F029</x:v>
      </x:c>
      <x:c r="E278" s="8" t="str">
        <x:v>BLD-LAND</x:v>
      </x:c>
      <x:c r="F278" s="8" t="str">
        <x:v>DNSH</x:v>
      </x:c>
      <x:c r="G278" s="8" t="str">
        <x:v>Applicable</x:v>
      </x:c>
      <x:c r="H278" s="8" t="str">
        <x:v>Pass</x:v>
      </x:c>
      <x:c r="I278" s="8" t="str">
        <x:v>SYN-TEST-F029-BLD-LAND</x:v>
      </x:c>
      <x:c r="J278" s="8" t="str"/>
      <x:c r="K278" s="8" t="str">
        <x:v>Taxonomy analyst 2</x:v>
      </x:c>
      <x:c r="L278" s="8" t="str">
        <x:v>Taxonomy reviewer 1</x:v>
      </x:c>
      <x:c r="M278" s="10" t="n">
        <x:v>46266</x:v>
      </x:c>
      <x:c r="N278" s="10" t="n">
        <x:v>46631</x:v>
      </x:c>
      <x:c r="O278" s="8"/>
      <x:c r="P278" s="9" t="str">
        <x:f>IF(C278="","",IF(AND(G278="Applicable",H278="Fail"),"Fail",IF(R278&lt;&gt;"Valid","Pending",IF(OR(I278="",K278="",L278="",K278=L278,NOT(ISNUMBER(M278)),NOT(ISNUMBER(N278)),M278&gt;Settings!$F$8,N278&lt;Settings!$F$8,N278&lt;M278),"Pending",IF(AND(G278="Applicable",H278="Pass"),"Pass",IF(AND(G278="N/A",H278="N/A",J278&lt;&gt;"",OR(E278="CEM-FUELS",E278="CEM-CCS",AND(E278="CEM-PLAN",IFERROR(INDEX('Taxonomy'!$M$9:$M$108,MATCH(D278,'Taxonomy'!$C$9:$C$108,0)),"")&lt;&gt;"Amber"),E278="BLD-TIMBER",AND(U278="Building equipment",OR(E278="BLD-WATER",E278="BLD-WASTE",E278="BLD-LAND")),AND(U278="Building renovation",E278="BLD-LAND"))),"N/A","Pending"))))))</x:f>
        <x:v>Pass</x:v>
      </x:c>
      <x:c r="Q278" s="3" t="str">
        <x:f>IF(C278="","",IF(AND(R278="Valid",OR(P278="Pass",P278="N/A")),"Complete","Unresolved"))</x:f>
        <x:v>Complete</x:v>
      </x:c>
      <x:c r="R278" s="9" t="str">
        <x:f>IF(C278="","",IF(OR(COUNTIF($C$9:$C$2008,C278)&lt;&gt;1,COUNTIFS($D$9:$D$2008,D278,$E$9:$E$2008,E278)&lt;&gt;1),"Duplicate test",IF(COUNTIF('Taxonomy'!$C$9:$C$108,D278)&lt;&gt;1,"Assessment key",IF(OR(COUNTIF('Taxonomy Rules'!$C$42:$C$68,E278)&lt;&gt;1,F278&lt;&gt;IFERROR(INDEX('Taxonomy Rules'!$D$42:$D$68,MATCH(E278,'Taxonomy Rules'!$C$42:$C$68,0)),""),NOT(OR(IFERROR(INDEX('Taxonomy Rules'!$G$42:$G$68,MATCH(E278,'Taxonomy Rules'!$C$42:$C$68,0)),"")="All supported routes",IFERROR(INDEX('Taxonomy Rules'!$G$42:$G$68,MATCH(E278,'Taxonomy Rules'!$C$42:$C$68,0)),"")=U278,AND(IFERROR(INDEX('Taxonomy Rules'!$G$42:$G$68,MATCH(E278,'Taxonomy Rules'!$C$42:$C$68,0)),"")="Building routes",OR(U278="Building renovation",U278="New building",U278="Building equipment"))))),"Unexpected test","Valid"))))</x:f>
        <x:v>Valid</x:v>
      </x:c>
      <x:c r="S278" s="9" t="str">
        <x:f>IF(C278="","",IFERROR(INDEX('Taxonomy Rules'!$E$42:$E$68,MATCH(E278,'Taxonomy Rules'!$C$42:$C$68,0)),""))</x:f>
        <x:v>Protected habitats, endangered species and forest conversion exclusions assessed.</x:v>
      </x:c>
      <x:c r="T278" s="9" t="str">
        <x:f>IF(C278="","",IFERROR(INDEX('Taxonomy Rules'!$F$42:$F$68,MATCH(E278,'Taxonomy Rules'!$C$42:$C$68,0)),""))</x:f>
        <x:v>S10 p133</x:v>
      </x:c>
      <x:c r="U278" s="9" t="str">
        <x:f>IF(C278="","",IFERROR(INDEX('Taxonomy'!$G$9:$G$108,MATCH(D278,'Taxonomy'!$C$9:$C$108,0)),""))</x:f>
        <x:v>Building renovation</x:v>
      </x:c>
    </x:row>
    <x:row r="279" ht="44" customHeight="1">
      <x:c r="A279" s="1"/>
      <x:c r="B279" s="1"/>
      <x:c r="C279" s="8"/>
      <x:c r="D279" s="8"/>
      <x:c r="E279" s="8"/>
      <x:c r="F279" s="8"/>
      <x:c r="G279" s="8"/>
      <x:c r="H279" s="8"/>
      <x:c r="I279" s="8"/>
      <x:c r="J279" s="8"/>
      <x:c r="K279" s="8"/>
      <x:c r="L279" s="8"/>
      <x:c r="M279" s="10"/>
      <x:c r="N279" s="10"/>
      <x:c r="O279" s="8"/>
      <x:c r="P279" s="9" t="str">
        <x:f>IF(C279="","",IF(AND(G279="Applicable",H279="Fail"),"Fail",IF(R279&lt;&gt;"Valid","Pending",IF(OR(I279="",K279="",L279="",K279=L279,NOT(ISNUMBER(M279)),NOT(ISNUMBER(N279)),M279&gt;Settings!$F$8,N279&lt;Settings!$F$8,N279&lt;M279),"Pending",IF(AND(G279="Applicable",H279="Pass"),"Pass",IF(AND(G279="N/A",H279="N/A",J279&lt;&gt;"",OR(E279="CEM-FUELS",E279="CEM-CCS",AND(E279="CEM-PLAN",IFERROR(INDEX('Taxonomy'!$M$9:$M$108,MATCH(D279,'Taxonomy'!$C$9:$C$108,0)),"")&lt;&gt;"Amber"),E279="BLD-TIMBER",AND(U279="Building equipment",OR(E279="BLD-WATER",E279="BLD-WASTE",E279="BLD-LAND")),AND(U279="Building renovation",E279="BLD-LAND"))),"N/A","Pending"))))))</x:f>
      </x:c>
      <x:c r="Q279" s="3" t="str">
        <x:f>IF(C279="","",IF(AND(R279="Valid",OR(P279="Pass",P279="N/A")),"Complete","Unresolved"))</x:f>
      </x:c>
      <x:c r="R279" s="9" t="str">
        <x:f>IF(C279="","",IF(OR(COUNTIF($C$9:$C$2008,C279)&lt;&gt;1,COUNTIFS($D$9:$D$2008,D279,$E$9:$E$2008,E279)&lt;&gt;1),"Duplicate test",IF(COUNTIF('Taxonomy'!$C$9:$C$108,D279)&lt;&gt;1,"Assessment key",IF(OR(COUNTIF('Taxonomy Rules'!$C$42:$C$68,E279)&lt;&gt;1,F279&lt;&gt;IFERROR(INDEX('Taxonomy Rules'!$D$42:$D$68,MATCH(E279,'Taxonomy Rules'!$C$42:$C$68,0)),""),NOT(OR(IFERROR(INDEX('Taxonomy Rules'!$G$42:$G$68,MATCH(E279,'Taxonomy Rules'!$C$42:$C$68,0)),"")="All supported routes",IFERROR(INDEX('Taxonomy Rules'!$G$42:$G$68,MATCH(E279,'Taxonomy Rules'!$C$42:$C$68,0)),"")=U279,AND(IFERROR(INDEX('Taxonomy Rules'!$G$42:$G$68,MATCH(E279,'Taxonomy Rules'!$C$42:$C$68,0)),"")="Building routes",OR(U279="Building renovation",U279="New building",U279="Building equipment"))))),"Unexpected test","Valid"))))</x:f>
      </x:c>
      <x:c r="S279" s="9" t="str">
        <x:f>IF(C279="","",IFERROR(INDEX('Taxonomy Rules'!$E$42:$E$68,MATCH(E279,'Taxonomy Rules'!$C$42:$C$68,0)),""))</x:f>
      </x:c>
      <x:c r="T279" s="9" t="str">
        <x:f>IF(C279="","",IFERROR(INDEX('Taxonomy Rules'!$F$42:$F$68,MATCH(E279,'Taxonomy Rules'!$C$42:$C$68,0)),""))</x:f>
      </x:c>
      <x:c r="U279" s="9" t="str">
        <x:f>IF(C279="","",IFERROR(INDEX('Taxonomy'!$G$9:$G$108,MATCH(D279,'Taxonomy'!$C$9:$C$108,0)),""))</x:f>
      </x:c>
    </x:row>
    <x:row r="280" ht="44" customHeight="1">
      <x:c r="A280" s="1"/>
      <x:c r="B280" s="1"/>
      <x:c r="C280" s="8"/>
      <x:c r="D280" s="8"/>
      <x:c r="E280" s="8"/>
      <x:c r="F280" s="8"/>
      <x:c r="G280" s="8"/>
      <x:c r="H280" s="8"/>
      <x:c r="I280" s="8"/>
      <x:c r="J280" s="8"/>
      <x:c r="K280" s="8"/>
      <x:c r="L280" s="8"/>
      <x:c r="M280" s="10"/>
      <x:c r="N280" s="10"/>
      <x:c r="O280" s="8"/>
      <x:c r="P280" s="9" t="str">
        <x:f>IF(C280="","",IF(AND(G280="Applicable",H280="Fail"),"Fail",IF(R280&lt;&gt;"Valid","Pending",IF(OR(I280="",K280="",L280="",K280=L280,NOT(ISNUMBER(M280)),NOT(ISNUMBER(N280)),M280&gt;Settings!$F$8,N280&lt;Settings!$F$8,N280&lt;M280),"Pending",IF(AND(G280="Applicable",H280="Pass"),"Pass",IF(AND(G280="N/A",H280="N/A",J280&lt;&gt;"",OR(E280="CEM-FUELS",E280="CEM-CCS",AND(E280="CEM-PLAN",IFERROR(INDEX('Taxonomy'!$M$9:$M$108,MATCH(D280,'Taxonomy'!$C$9:$C$108,0)),"")&lt;&gt;"Amber"),E280="BLD-TIMBER",AND(U280="Building equipment",OR(E280="BLD-WATER",E280="BLD-WASTE",E280="BLD-LAND")),AND(U280="Building renovation",E280="BLD-LAND"))),"N/A","Pending"))))))</x:f>
      </x:c>
      <x:c r="Q280" s="3" t="str">
        <x:f>IF(C280="","",IF(AND(R280="Valid",OR(P280="Pass",P280="N/A")),"Complete","Unresolved"))</x:f>
      </x:c>
      <x:c r="R280" s="9" t="str">
        <x:f>IF(C280="","",IF(OR(COUNTIF($C$9:$C$2008,C280)&lt;&gt;1,COUNTIFS($D$9:$D$2008,D280,$E$9:$E$2008,E280)&lt;&gt;1),"Duplicate test",IF(COUNTIF('Taxonomy'!$C$9:$C$108,D280)&lt;&gt;1,"Assessment key",IF(OR(COUNTIF('Taxonomy Rules'!$C$42:$C$68,E280)&lt;&gt;1,F280&lt;&gt;IFERROR(INDEX('Taxonomy Rules'!$D$42:$D$68,MATCH(E280,'Taxonomy Rules'!$C$42:$C$68,0)),""),NOT(OR(IFERROR(INDEX('Taxonomy Rules'!$G$42:$G$68,MATCH(E280,'Taxonomy Rules'!$C$42:$C$68,0)),"")="All supported routes",IFERROR(INDEX('Taxonomy Rules'!$G$42:$G$68,MATCH(E280,'Taxonomy Rules'!$C$42:$C$68,0)),"")=U280,AND(IFERROR(INDEX('Taxonomy Rules'!$G$42:$G$68,MATCH(E280,'Taxonomy Rules'!$C$42:$C$68,0)),"")="Building routes",OR(U280="Building renovation",U280="New building",U280="Building equipment"))))),"Unexpected test","Valid"))))</x:f>
      </x:c>
      <x:c r="S280" s="9" t="str">
        <x:f>IF(C280="","",IFERROR(INDEX('Taxonomy Rules'!$E$42:$E$68,MATCH(E280,'Taxonomy Rules'!$C$42:$C$68,0)),""))</x:f>
      </x:c>
      <x:c r="T280" s="9" t="str">
        <x:f>IF(C280="","",IFERROR(INDEX('Taxonomy Rules'!$F$42:$F$68,MATCH(E280,'Taxonomy Rules'!$C$42:$C$68,0)),""))</x:f>
      </x:c>
      <x:c r="U280" s="9" t="str">
        <x:f>IF(C280="","",IFERROR(INDEX('Taxonomy'!$G$9:$G$108,MATCH(D280,'Taxonomy'!$C$9:$C$108,0)),""))</x:f>
      </x:c>
    </x:row>
    <x:row r="281" ht="44" customHeight="1">
      <x:c r="A281" s="1"/>
      <x:c r="B281" s="1"/>
      <x:c r="C281" s="8"/>
      <x:c r="D281" s="8"/>
      <x:c r="E281" s="8"/>
      <x:c r="F281" s="8"/>
      <x:c r="G281" s="8"/>
      <x:c r="H281" s="8"/>
      <x:c r="I281" s="8"/>
      <x:c r="J281" s="8"/>
      <x:c r="K281" s="8"/>
      <x:c r="L281" s="8"/>
      <x:c r="M281" s="10"/>
      <x:c r="N281" s="10"/>
      <x:c r="O281" s="8"/>
      <x:c r="P281" s="9" t="str">
        <x:f>IF(C281="","",IF(AND(G281="Applicable",H281="Fail"),"Fail",IF(R281&lt;&gt;"Valid","Pending",IF(OR(I281="",K281="",L281="",K281=L281,NOT(ISNUMBER(M281)),NOT(ISNUMBER(N281)),M281&gt;Settings!$F$8,N281&lt;Settings!$F$8,N281&lt;M281),"Pending",IF(AND(G281="Applicable",H281="Pass"),"Pass",IF(AND(G281="N/A",H281="N/A",J281&lt;&gt;"",OR(E281="CEM-FUELS",E281="CEM-CCS",AND(E281="CEM-PLAN",IFERROR(INDEX('Taxonomy'!$M$9:$M$108,MATCH(D281,'Taxonomy'!$C$9:$C$108,0)),"")&lt;&gt;"Amber"),E281="BLD-TIMBER",AND(U281="Building equipment",OR(E281="BLD-WATER",E281="BLD-WASTE",E281="BLD-LAND")),AND(U281="Building renovation",E281="BLD-LAND"))),"N/A","Pending"))))))</x:f>
      </x:c>
      <x:c r="Q281" s="3" t="str">
        <x:f>IF(C281="","",IF(AND(R281="Valid",OR(P281="Pass",P281="N/A")),"Complete","Unresolved"))</x:f>
      </x:c>
      <x:c r="R281" s="9" t="str">
        <x:f>IF(C281="","",IF(OR(COUNTIF($C$9:$C$2008,C281)&lt;&gt;1,COUNTIFS($D$9:$D$2008,D281,$E$9:$E$2008,E281)&lt;&gt;1),"Duplicate test",IF(COUNTIF('Taxonomy'!$C$9:$C$108,D281)&lt;&gt;1,"Assessment key",IF(OR(COUNTIF('Taxonomy Rules'!$C$42:$C$68,E281)&lt;&gt;1,F281&lt;&gt;IFERROR(INDEX('Taxonomy Rules'!$D$42:$D$68,MATCH(E281,'Taxonomy Rules'!$C$42:$C$68,0)),""),NOT(OR(IFERROR(INDEX('Taxonomy Rules'!$G$42:$G$68,MATCH(E281,'Taxonomy Rules'!$C$42:$C$68,0)),"")="All supported routes",IFERROR(INDEX('Taxonomy Rules'!$G$42:$G$68,MATCH(E281,'Taxonomy Rules'!$C$42:$C$68,0)),"")=U281,AND(IFERROR(INDEX('Taxonomy Rules'!$G$42:$G$68,MATCH(E281,'Taxonomy Rules'!$C$42:$C$68,0)),"")="Building routes",OR(U281="Building renovation",U281="New building",U281="Building equipment"))))),"Unexpected test","Valid"))))</x:f>
      </x:c>
      <x:c r="S281" s="9" t="str">
        <x:f>IF(C281="","",IFERROR(INDEX('Taxonomy Rules'!$E$42:$E$68,MATCH(E281,'Taxonomy Rules'!$C$42:$C$68,0)),""))</x:f>
      </x:c>
      <x:c r="T281" s="9" t="str">
        <x:f>IF(C281="","",IFERROR(INDEX('Taxonomy Rules'!$F$42:$F$68,MATCH(E281,'Taxonomy Rules'!$C$42:$C$68,0)),""))</x:f>
      </x:c>
      <x:c r="U281" s="9" t="str">
        <x:f>IF(C281="","",IFERROR(INDEX('Taxonomy'!$G$9:$G$108,MATCH(D281,'Taxonomy'!$C$9:$C$108,0)),""))</x:f>
      </x:c>
    </x:row>
    <x:row r="282" ht="44" customHeight="1">
      <x:c r="A282" s="1"/>
      <x:c r="B282" s="1"/>
      <x:c r="C282" s="8"/>
      <x:c r="D282" s="8"/>
      <x:c r="E282" s="8"/>
      <x:c r="F282" s="8"/>
      <x:c r="G282" s="8"/>
      <x:c r="H282" s="8"/>
      <x:c r="I282" s="8"/>
      <x:c r="J282" s="8"/>
      <x:c r="K282" s="8"/>
      <x:c r="L282" s="8"/>
      <x:c r="M282" s="10"/>
      <x:c r="N282" s="10"/>
      <x:c r="O282" s="8"/>
      <x:c r="P282" s="9" t="str">
        <x:f>IF(C282="","",IF(AND(G282="Applicable",H282="Fail"),"Fail",IF(R282&lt;&gt;"Valid","Pending",IF(OR(I282="",K282="",L282="",K282=L282,NOT(ISNUMBER(M282)),NOT(ISNUMBER(N282)),M282&gt;Settings!$F$8,N282&lt;Settings!$F$8,N282&lt;M282),"Pending",IF(AND(G282="Applicable",H282="Pass"),"Pass",IF(AND(G282="N/A",H282="N/A",J282&lt;&gt;"",OR(E282="CEM-FUELS",E282="CEM-CCS",AND(E282="CEM-PLAN",IFERROR(INDEX('Taxonomy'!$M$9:$M$108,MATCH(D282,'Taxonomy'!$C$9:$C$108,0)),"")&lt;&gt;"Amber"),E282="BLD-TIMBER",AND(U282="Building equipment",OR(E282="BLD-WATER",E282="BLD-WASTE",E282="BLD-LAND")),AND(U282="Building renovation",E282="BLD-LAND"))),"N/A","Pending"))))))</x:f>
      </x:c>
      <x:c r="Q282" s="3" t="str">
        <x:f>IF(C282="","",IF(AND(R282="Valid",OR(P282="Pass",P282="N/A")),"Complete","Unresolved"))</x:f>
      </x:c>
      <x:c r="R282" s="9" t="str">
        <x:f>IF(C282="","",IF(OR(COUNTIF($C$9:$C$2008,C282)&lt;&gt;1,COUNTIFS($D$9:$D$2008,D282,$E$9:$E$2008,E282)&lt;&gt;1),"Duplicate test",IF(COUNTIF('Taxonomy'!$C$9:$C$108,D282)&lt;&gt;1,"Assessment key",IF(OR(COUNTIF('Taxonomy Rules'!$C$42:$C$68,E282)&lt;&gt;1,F282&lt;&gt;IFERROR(INDEX('Taxonomy Rules'!$D$42:$D$68,MATCH(E282,'Taxonomy Rules'!$C$42:$C$68,0)),""),NOT(OR(IFERROR(INDEX('Taxonomy Rules'!$G$42:$G$68,MATCH(E282,'Taxonomy Rules'!$C$42:$C$68,0)),"")="All supported routes",IFERROR(INDEX('Taxonomy Rules'!$G$42:$G$68,MATCH(E282,'Taxonomy Rules'!$C$42:$C$68,0)),"")=U282,AND(IFERROR(INDEX('Taxonomy Rules'!$G$42:$G$68,MATCH(E282,'Taxonomy Rules'!$C$42:$C$68,0)),"")="Building routes",OR(U282="Building renovation",U282="New building",U282="Building equipment"))))),"Unexpected test","Valid"))))</x:f>
      </x:c>
      <x:c r="S282" s="9" t="str">
        <x:f>IF(C282="","",IFERROR(INDEX('Taxonomy Rules'!$E$42:$E$68,MATCH(E282,'Taxonomy Rules'!$C$42:$C$68,0)),""))</x:f>
      </x:c>
      <x:c r="T282" s="9" t="str">
        <x:f>IF(C282="","",IFERROR(INDEX('Taxonomy Rules'!$F$42:$F$68,MATCH(E282,'Taxonomy Rules'!$C$42:$C$68,0)),""))</x:f>
      </x:c>
      <x:c r="U282" s="9" t="str">
        <x:f>IF(C282="","",IFERROR(INDEX('Taxonomy'!$G$9:$G$108,MATCH(D282,'Taxonomy'!$C$9:$C$108,0)),""))</x:f>
      </x:c>
    </x:row>
    <x:row r="283" ht="44" customHeight="1">
      <x:c r="A283" s="1"/>
      <x:c r="B283" s="1"/>
      <x:c r="C283" s="8"/>
      <x:c r="D283" s="8"/>
      <x:c r="E283" s="8"/>
      <x:c r="F283" s="8"/>
      <x:c r="G283" s="8"/>
      <x:c r="H283" s="8"/>
      <x:c r="I283" s="8"/>
      <x:c r="J283" s="8"/>
      <x:c r="K283" s="8"/>
      <x:c r="L283" s="8"/>
      <x:c r="M283" s="10"/>
      <x:c r="N283" s="10"/>
      <x:c r="O283" s="8"/>
      <x:c r="P283" s="9" t="str">
        <x:f>IF(C283="","",IF(AND(G283="Applicable",H283="Fail"),"Fail",IF(R283&lt;&gt;"Valid","Pending",IF(OR(I283="",K283="",L283="",K283=L283,NOT(ISNUMBER(M283)),NOT(ISNUMBER(N283)),M283&gt;Settings!$F$8,N283&lt;Settings!$F$8,N283&lt;M283),"Pending",IF(AND(G283="Applicable",H283="Pass"),"Pass",IF(AND(G283="N/A",H283="N/A",J283&lt;&gt;"",OR(E283="CEM-FUELS",E283="CEM-CCS",AND(E283="CEM-PLAN",IFERROR(INDEX('Taxonomy'!$M$9:$M$108,MATCH(D283,'Taxonomy'!$C$9:$C$108,0)),"")&lt;&gt;"Amber"),E283="BLD-TIMBER",AND(U283="Building equipment",OR(E283="BLD-WATER",E283="BLD-WASTE",E283="BLD-LAND")),AND(U283="Building renovation",E283="BLD-LAND"))),"N/A","Pending"))))))</x:f>
      </x:c>
      <x:c r="Q283" s="3" t="str">
        <x:f>IF(C283="","",IF(AND(R283="Valid",OR(P283="Pass",P283="N/A")),"Complete","Unresolved"))</x:f>
      </x:c>
      <x:c r="R283" s="9" t="str">
        <x:f>IF(C283="","",IF(OR(COUNTIF($C$9:$C$2008,C283)&lt;&gt;1,COUNTIFS($D$9:$D$2008,D283,$E$9:$E$2008,E283)&lt;&gt;1),"Duplicate test",IF(COUNTIF('Taxonomy'!$C$9:$C$108,D283)&lt;&gt;1,"Assessment key",IF(OR(COUNTIF('Taxonomy Rules'!$C$42:$C$68,E283)&lt;&gt;1,F283&lt;&gt;IFERROR(INDEX('Taxonomy Rules'!$D$42:$D$68,MATCH(E283,'Taxonomy Rules'!$C$42:$C$68,0)),""),NOT(OR(IFERROR(INDEX('Taxonomy Rules'!$G$42:$G$68,MATCH(E283,'Taxonomy Rules'!$C$42:$C$68,0)),"")="All supported routes",IFERROR(INDEX('Taxonomy Rules'!$G$42:$G$68,MATCH(E283,'Taxonomy Rules'!$C$42:$C$68,0)),"")=U283,AND(IFERROR(INDEX('Taxonomy Rules'!$G$42:$G$68,MATCH(E283,'Taxonomy Rules'!$C$42:$C$68,0)),"")="Building routes",OR(U283="Building renovation",U283="New building",U283="Building equipment"))))),"Unexpected test","Valid"))))</x:f>
      </x:c>
      <x:c r="S283" s="9" t="str">
        <x:f>IF(C283="","",IFERROR(INDEX('Taxonomy Rules'!$E$42:$E$68,MATCH(E283,'Taxonomy Rules'!$C$42:$C$68,0)),""))</x:f>
      </x:c>
      <x:c r="T283" s="9" t="str">
        <x:f>IF(C283="","",IFERROR(INDEX('Taxonomy Rules'!$F$42:$F$68,MATCH(E283,'Taxonomy Rules'!$C$42:$C$68,0)),""))</x:f>
      </x:c>
      <x:c r="U283" s="9" t="str">
        <x:f>IF(C283="","",IFERROR(INDEX('Taxonomy'!$G$9:$G$108,MATCH(D283,'Taxonomy'!$C$9:$C$108,0)),""))</x:f>
      </x:c>
    </x:row>
    <x:row r="284" ht="44" customHeight="1">
      <x:c r="A284" s="1"/>
      <x:c r="B284" s="1"/>
      <x:c r="C284" s="8"/>
      <x:c r="D284" s="8"/>
      <x:c r="E284" s="8"/>
      <x:c r="F284" s="8"/>
      <x:c r="G284" s="8"/>
      <x:c r="H284" s="8"/>
      <x:c r="I284" s="8"/>
      <x:c r="J284" s="8"/>
      <x:c r="K284" s="8"/>
      <x:c r="L284" s="8"/>
      <x:c r="M284" s="10"/>
      <x:c r="N284" s="10"/>
      <x:c r="O284" s="8"/>
      <x:c r="P284" s="9" t="str">
        <x:f>IF(C284="","",IF(AND(G284="Applicable",H284="Fail"),"Fail",IF(R284&lt;&gt;"Valid","Pending",IF(OR(I284="",K284="",L284="",K284=L284,NOT(ISNUMBER(M284)),NOT(ISNUMBER(N284)),M284&gt;Settings!$F$8,N284&lt;Settings!$F$8,N284&lt;M284),"Pending",IF(AND(G284="Applicable",H284="Pass"),"Pass",IF(AND(G284="N/A",H284="N/A",J284&lt;&gt;"",OR(E284="CEM-FUELS",E284="CEM-CCS",AND(E284="CEM-PLAN",IFERROR(INDEX('Taxonomy'!$M$9:$M$108,MATCH(D284,'Taxonomy'!$C$9:$C$108,0)),"")&lt;&gt;"Amber"),E284="BLD-TIMBER",AND(U284="Building equipment",OR(E284="BLD-WATER",E284="BLD-WASTE",E284="BLD-LAND")),AND(U284="Building renovation",E284="BLD-LAND"))),"N/A","Pending"))))))</x:f>
      </x:c>
      <x:c r="Q284" s="3" t="str">
        <x:f>IF(C284="","",IF(AND(R284="Valid",OR(P284="Pass",P284="N/A")),"Complete","Unresolved"))</x:f>
      </x:c>
      <x:c r="R284" s="9" t="str">
        <x:f>IF(C284="","",IF(OR(COUNTIF($C$9:$C$2008,C284)&lt;&gt;1,COUNTIFS($D$9:$D$2008,D284,$E$9:$E$2008,E284)&lt;&gt;1),"Duplicate test",IF(COUNTIF('Taxonomy'!$C$9:$C$108,D284)&lt;&gt;1,"Assessment key",IF(OR(COUNTIF('Taxonomy Rules'!$C$42:$C$68,E284)&lt;&gt;1,F284&lt;&gt;IFERROR(INDEX('Taxonomy Rules'!$D$42:$D$68,MATCH(E284,'Taxonomy Rules'!$C$42:$C$68,0)),""),NOT(OR(IFERROR(INDEX('Taxonomy Rules'!$G$42:$G$68,MATCH(E284,'Taxonomy Rules'!$C$42:$C$68,0)),"")="All supported routes",IFERROR(INDEX('Taxonomy Rules'!$G$42:$G$68,MATCH(E284,'Taxonomy Rules'!$C$42:$C$68,0)),"")=U284,AND(IFERROR(INDEX('Taxonomy Rules'!$G$42:$G$68,MATCH(E284,'Taxonomy Rules'!$C$42:$C$68,0)),"")="Building routes",OR(U284="Building renovation",U284="New building",U284="Building equipment"))))),"Unexpected test","Valid"))))</x:f>
      </x:c>
      <x:c r="S284" s="9" t="str">
        <x:f>IF(C284="","",IFERROR(INDEX('Taxonomy Rules'!$E$42:$E$68,MATCH(E284,'Taxonomy Rules'!$C$42:$C$68,0)),""))</x:f>
      </x:c>
      <x:c r="T284" s="9" t="str">
        <x:f>IF(C284="","",IFERROR(INDEX('Taxonomy Rules'!$F$42:$F$68,MATCH(E284,'Taxonomy Rules'!$C$42:$C$68,0)),""))</x:f>
      </x:c>
      <x:c r="U284" s="9" t="str">
        <x:f>IF(C284="","",IFERROR(INDEX('Taxonomy'!$G$9:$G$108,MATCH(D284,'Taxonomy'!$C$9:$C$108,0)),""))</x:f>
      </x:c>
    </x:row>
    <x:row r="285" ht="44" customHeight="1">
      <x:c r="A285" s="1"/>
      <x:c r="B285" s="1"/>
      <x:c r="C285" s="8"/>
      <x:c r="D285" s="8"/>
      <x:c r="E285" s="8"/>
      <x:c r="F285" s="8"/>
      <x:c r="G285" s="8"/>
      <x:c r="H285" s="8"/>
      <x:c r="I285" s="8"/>
      <x:c r="J285" s="8"/>
      <x:c r="K285" s="8"/>
      <x:c r="L285" s="8"/>
      <x:c r="M285" s="10"/>
      <x:c r="N285" s="10"/>
      <x:c r="O285" s="8"/>
      <x:c r="P285" s="9" t="str">
        <x:f>IF(C285="","",IF(AND(G285="Applicable",H285="Fail"),"Fail",IF(R285&lt;&gt;"Valid","Pending",IF(OR(I285="",K285="",L285="",K285=L285,NOT(ISNUMBER(M285)),NOT(ISNUMBER(N285)),M285&gt;Settings!$F$8,N285&lt;Settings!$F$8,N285&lt;M285),"Pending",IF(AND(G285="Applicable",H285="Pass"),"Pass",IF(AND(G285="N/A",H285="N/A",J285&lt;&gt;"",OR(E285="CEM-FUELS",E285="CEM-CCS",AND(E285="CEM-PLAN",IFERROR(INDEX('Taxonomy'!$M$9:$M$108,MATCH(D285,'Taxonomy'!$C$9:$C$108,0)),"")&lt;&gt;"Amber"),E285="BLD-TIMBER",AND(U285="Building equipment",OR(E285="BLD-WATER",E285="BLD-WASTE",E285="BLD-LAND")),AND(U285="Building renovation",E285="BLD-LAND"))),"N/A","Pending"))))))</x:f>
      </x:c>
      <x:c r="Q285" s="3" t="str">
        <x:f>IF(C285="","",IF(AND(R285="Valid",OR(P285="Pass",P285="N/A")),"Complete","Unresolved"))</x:f>
      </x:c>
      <x:c r="R285" s="9" t="str">
        <x:f>IF(C285="","",IF(OR(COUNTIF($C$9:$C$2008,C285)&lt;&gt;1,COUNTIFS($D$9:$D$2008,D285,$E$9:$E$2008,E285)&lt;&gt;1),"Duplicate test",IF(COUNTIF('Taxonomy'!$C$9:$C$108,D285)&lt;&gt;1,"Assessment key",IF(OR(COUNTIF('Taxonomy Rules'!$C$42:$C$68,E285)&lt;&gt;1,F285&lt;&gt;IFERROR(INDEX('Taxonomy Rules'!$D$42:$D$68,MATCH(E285,'Taxonomy Rules'!$C$42:$C$68,0)),""),NOT(OR(IFERROR(INDEX('Taxonomy Rules'!$G$42:$G$68,MATCH(E285,'Taxonomy Rules'!$C$42:$C$68,0)),"")="All supported routes",IFERROR(INDEX('Taxonomy Rules'!$G$42:$G$68,MATCH(E285,'Taxonomy Rules'!$C$42:$C$68,0)),"")=U285,AND(IFERROR(INDEX('Taxonomy Rules'!$G$42:$G$68,MATCH(E285,'Taxonomy Rules'!$C$42:$C$68,0)),"")="Building routes",OR(U285="Building renovation",U285="New building",U285="Building equipment"))))),"Unexpected test","Valid"))))</x:f>
      </x:c>
      <x:c r="S285" s="9" t="str">
        <x:f>IF(C285="","",IFERROR(INDEX('Taxonomy Rules'!$E$42:$E$68,MATCH(E285,'Taxonomy Rules'!$C$42:$C$68,0)),""))</x:f>
      </x:c>
      <x:c r="T285" s="9" t="str">
        <x:f>IF(C285="","",IFERROR(INDEX('Taxonomy Rules'!$F$42:$F$68,MATCH(E285,'Taxonomy Rules'!$C$42:$C$68,0)),""))</x:f>
      </x:c>
      <x:c r="U285" s="9" t="str">
        <x:f>IF(C285="","",IFERROR(INDEX('Taxonomy'!$G$9:$G$108,MATCH(D285,'Taxonomy'!$C$9:$C$108,0)),""))</x:f>
      </x:c>
    </x:row>
    <x:row r="286" ht="44" customHeight="1">
      <x:c r="A286" s="1"/>
      <x:c r="B286" s="1"/>
      <x:c r="C286" s="8"/>
      <x:c r="D286" s="8"/>
      <x:c r="E286" s="8"/>
      <x:c r="F286" s="8"/>
      <x:c r="G286" s="8"/>
      <x:c r="H286" s="8"/>
      <x:c r="I286" s="8"/>
      <x:c r="J286" s="8"/>
      <x:c r="K286" s="8"/>
      <x:c r="L286" s="8"/>
      <x:c r="M286" s="10"/>
      <x:c r="N286" s="10"/>
      <x:c r="O286" s="8"/>
      <x:c r="P286" s="9" t="str">
        <x:f>IF(C286="","",IF(AND(G286="Applicable",H286="Fail"),"Fail",IF(R286&lt;&gt;"Valid","Pending",IF(OR(I286="",K286="",L286="",K286=L286,NOT(ISNUMBER(M286)),NOT(ISNUMBER(N286)),M286&gt;Settings!$F$8,N286&lt;Settings!$F$8,N286&lt;M286),"Pending",IF(AND(G286="Applicable",H286="Pass"),"Pass",IF(AND(G286="N/A",H286="N/A",J286&lt;&gt;"",OR(E286="CEM-FUELS",E286="CEM-CCS",AND(E286="CEM-PLAN",IFERROR(INDEX('Taxonomy'!$M$9:$M$108,MATCH(D286,'Taxonomy'!$C$9:$C$108,0)),"")&lt;&gt;"Amber"),E286="BLD-TIMBER",AND(U286="Building equipment",OR(E286="BLD-WATER",E286="BLD-WASTE",E286="BLD-LAND")),AND(U286="Building renovation",E286="BLD-LAND"))),"N/A","Pending"))))))</x:f>
      </x:c>
      <x:c r="Q286" s="3" t="str">
        <x:f>IF(C286="","",IF(AND(R286="Valid",OR(P286="Pass",P286="N/A")),"Complete","Unresolved"))</x:f>
      </x:c>
      <x:c r="R286" s="9" t="str">
        <x:f>IF(C286="","",IF(OR(COUNTIF($C$9:$C$2008,C286)&lt;&gt;1,COUNTIFS($D$9:$D$2008,D286,$E$9:$E$2008,E286)&lt;&gt;1),"Duplicate test",IF(COUNTIF('Taxonomy'!$C$9:$C$108,D286)&lt;&gt;1,"Assessment key",IF(OR(COUNTIF('Taxonomy Rules'!$C$42:$C$68,E286)&lt;&gt;1,F286&lt;&gt;IFERROR(INDEX('Taxonomy Rules'!$D$42:$D$68,MATCH(E286,'Taxonomy Rules'!$C$42:$C$68,0)),""),NOT(OR(IFERROR(INDEX('Taxonomy Rules'!$G$42:$G$68,MATCH(E286,'Taxonomy Rules'!$C$42:$C$68,0)),"")="All supported routes",IFERROR(INDEX('Taxonomy Rules'!$G$42:$G$68,MATCH(E286,'Taxonomy Rules'!$C$42:$C$68,0)),"")=U286,AND(IFERROR(INDEX('Taxonomy Rules'!$G$42:$G$68,MATCH(E286,'Taxonomy Rules'!$C$42:$C$68,0)),"")="Building routes",OR(U286="Building renovation",U286="New building",U286="Building equipment"))))),"Unexpected test","Valid"))))</x:f>
      </x:c>
      <x:c r="S286" s="9" t="str">
        <x:f>IF(C286="","",IFERROR(INDEX('Taxonomy Rules'!$E$42:$E$68,MATCH(E286,'Taxonomy Rules'!$C$42:$C$68,0)),""))</x:f>
      </x:c>
      <x:c r="T286" s="9" t="str">
        <x:f>IF(C286="","",IFERROR(INDEX('Taxonomy Rules'!$F$42:$F$68,MATCH(E286,'Taxonomy Rules'!$C$42:$C$68,0)),""))</x:f>
      </x:c>
      <x:c r="U286" s="9" t="str">
        <x:f>IF(C286="","",IFERROR(INDEX('Taxonomy'!$G$9:$G$108,MATCH(D286,'Taxonomy'!$C$9:$C$108,0)),""))</x:f>
      </x:c>
    </x:row>
    <x:row r="287" ht="44" customHeight="1">
      <x:c r="A287" s="1"/>
      <x:c r="B287" s="1"/>
      <x:c r="C287" s="8"/>
      <x:c r="D287" s="8"/>
      <x:c r="E287" s="8"/>
      <x:c r="F287" s="8"/>
      <x:c r="G287" s="8"/>
      <x:c r="H287" s="8"/>
      <x:c r="I287" s="8"/>
      <x:c r="J287" s="8"/>
      <x:c r="K287" s="8"/>
      <x:c r="L287" s="8"/>
      <x:c r="M287" s="10"/>
      <x:c r="N287" s="10"/>
      <x:c r="O287" s="8"/>
      <x:c r="P287" s="9" t="str">
        <x:f>IF(C287="","",IF(AND(G287="Applicable",H287="Fail"),"Fail",IF(R287&lt;&gt;"Valid","Pending",IF(OR(I287="",K287="",L287="",K287=L287,NOT(ISNUMBER(M287)),NOT(ISNUMBER(N287)),M287&gt;Settings!$F$8,N287&lt;Settings!$F$8,N287&lt;M287),"Pending",IF(AND(G287="Applicable",H287="Pass"),"Pass",IF(AND(G287="N/A",H287="N/A",J287&lt;&gt;"",OR(E287="CEM-FUELS",E287="CEM-CCS",AND(E287="CEM-PLAN",IFERROR(INDEX('Taxonomy'!$M$9:$M$108,MATCH(D287,'Taxonomy'!$C$9:$C$108,0)),"")&lt;&gt;"Amber"),E287="BLD-TIMBER",AND(U287="Building equipment",OR(E287="BLD-WATER",E287="BLD-WASTE",E287="BLD-LAND")),AND(U287="Building renovation",E287="BLD-LAND"))),"N/A","Pending"))))))</x:f>
      </x:c>
      <x:c r="Q287" s="3" t="str">
        <x:f>IF(C287="","",IF(AND(R287="Valid",OR(P287="Pass",P287="N/A")),"Complete","Unresolved"))</x:f>
      </x:c>
      <x:c r="R287" s="9" t="str">
        <x:f>IF(C287="","",IF(OR(COUNTIF($C$9:$C$2008,C287)&lt;&gt;1,COUNTIFS($D$9:$D$2008,D287,$E$9:$E$2008,E287)&lt;&gt;1),"Duplicate test",IF(COUNTIF('Taxonomy'!$C$9:$C$108,D287)&lt;&gt;1,"Assessment key",IF(OR(COUNTIF('Taxonomy Rules'!$C$42:$C$68,E287)&lt;&gt;1,F287&lt;&gt;IFERROR(INDEX('Taxonomy Rules'!$D$42:$D$68,MATCH(E287,'Taxonomy Rules'!$C$42:$C$68,0)),""),NOT(OR(IFERROR(INDEX('Taxonomy Rules'!$G$42:$G$68,MATCH(E287,'Taxonomy Rules'!$C$42:$C$68,0)),"")="All supported routes",IFERROR(INDEX('Taxonomy Rules'!$G$42:$G$68,MATCH(E287,'Taxonomy Rules'!$C$42:$C$68,0)),"")=U287,AND(IFERROR(INDEX('Taxonomy Rules'!$G$42:$G$68,MATCH(E287,'Taxonomy Rules'!$C$42:$C$68,0)),"")="Building routes",OR(U287="Building renovation",U287="New building",U287="Building equipment"))))),"Unexpected test","Valid"))))</x:f>
      </x:c>
      <x:c r="S287" s="9" t="str">
        <x:f>IF(C287="","",IFERROR(INDEX('Taxonomy Rules'!$E$42:$E$68,MATCH(E287,'Taxonomy Rules'!$C$42:$C$68,0)),""))</x:f>
      </x:c>
      <x:c r="T287" s="9" t="str">
        <x:f>IF(C287="","",IFERROR(INDEX('Taxonomy Rules'!$F$42:$F$68,MATCH(E287,'Taxonomy Rules'!$C$42:$C$68,0)),""))</x:f>
      </x:c>
      <x:c r="U287" s="9" t="str">
        <x:f>IF(C287="","",IFERROR(INDEX('Taxonomy'!$G$9:$G$108,MATCH(D287,'Taxonomy'!$C$9:$C$108,0)),""))</x:f>
      </x:c>
    </x:row>
    <x:row r="288" ht="44" customHeight="1">
      <x:c r="A288" s="1"/>
      <x:c r="B288" s="1"/>
      <x:c r="C288" s="8"/>
      <x:c r="D288" s="8"/>
      <x:c r="E288" s="8"/>
      <x:c r="F288" s="8"/>
      <x:c r="G288" s="8"/>
      <x:c r="H288" s="8"/>
      <x:c r="I288" s="8"/>
      <x:c r="J288" s="8"/>
      <x:c r="K288" s="8"/>
      <x:c r="L288" s="8"/>
      <x:c r="M288" s="10"/>
      <x:c r="N288" s="10"/>
      <x:c r="O288" s="8"/>
      <x:c r="P288" s="9" t="str">
        <x:f>IF(C288="","",IF(AND(G288="Applicable",H288="Fail"),"Fail",IF(R288&lt;&gt;"Valid","Pending",IF(OR(I288="",K288="",L288="",K288=L288,NOT(ISNUMBER(M288)),NOT(ISNUMBER(N288)),M288&gt;Settings!$F$8,N288&lt;Settings!$F$8,N288&lt;M288),"Pending",IF(AND(G288="Applicable",H288="Pass"),"Pass",IF(AND(G288="N/A",H288="N/A",J288&lt;&gt;"",OR(E288="CEM-FUELS",E288="CEM-CCS",AND(E288="CEM-PLAN",IFERROR(INDEX('Taxonomy'!$M$9:$M$108,MATCH(D288,'Taxonomy'!$C$9:$C$108,0)),"")&lt;&gt;"Amber"),E288="BLD-TIMBER",AND(U288="Building equipment",OR(E288="BLD-WATER",E288="BLD-WASTE",E288="BLD-LAND")),AND(U288="Building renovation",E288="BLD-LAND"))),"N/A","Pending"))))))</x:f>
      </x:c>
      <x:c r="Q288" s="3" t="str">
        <x:f>IF(C288="","",IF(AND(R288="Valid",OR(P288="Pass",P288="N/A")),"Complete","Unresolved"))</x:f>
      </x:c>
      <x:c r="R288" s="9" t="str">
        <x:f>IF(C288="","",IF(OR(COUNTIF($C$9:$C$2008,C288)&lt;&gt;1,COUNTIFS($D$9:$D$2008,D288,$E$9:$E$2008,E288)&lt;&gt;1),"Duplicate test",IF(COUNTIF('Taxonomy'!$C$9:$C$108,D288)&lt;&gt;1,"Assessment key",IF(OR(COUNTIF('Taxonomy Rules'!$C$42:$C$68,E288)&lt;&gt;1,F288&lt;&gt;IFERROR(INDEX('Taxonomy Rules'!$D$42:$D$68,MATCH(E288,'Taxonomy Rules'!$C$42:$C$68,0)),""),NOT(OR(IFERROR(INDEX('Taxonomy Rules'!$G$42:$G$68,MATCH(E288,'Taxonomy Rules'!$C$42:$C$68,0)),"")="All supported routes",IFERROR(INDEX('Taxonomy Rules'!$G$42:$G$68,MATCH(E288,'Taxonomy Rules'!$C$42:$C$68,0)),"")=U288,AND(IFERROR(INDEX('Taxonomy Rules'!$G$42:$G$68,MATCH(E288,'Taxonomy Rules'!$C$42:$C$68,0)),"")="Building routes",OR(U288="Building renovation",U288="New building",U288="Building equipment"))))),"Unexpected test","Valid"))))</x:f>
      </x:c>
      <x:c r="S288" s="9" t="str">
        <x:f>IF(C288="","",IFERROR(INDEX('Taxonomy Rules'!$E$42:$E$68,MATCH(E288,'Taxonomy Rules'!$C$42:$C$68,0)),""))</x:f>
      </x:c>
      <x:c r="T288" s="9" t="str">
        <x:f>IF(C288="","",IFERROR(INDEX('Taxonomy Rules'!$F$42:$F$68,MATCH(E288,'Taxonomy Rules'!$C$42:$C$68,0)),""))</x:f>
      </x:c>
      <x:c r="U288" s="9" t="str">
        <x:f>IF(C288="","",IFERROR(INDEX('Taxonomy'!$G$9:$G$108,MATCH(D288,'Taxonomy'!$C$9:$C$108,0)),""))</x:f>
      </x:c>
    </x:row>
    <x:row r="289" ht="44" customHeight="1">
      <x:c r="A289" s="1"/>
      <x:c r="B289" s="1"/>
      <x:c r="C289" s="8"/>
      <x:c r="D289" s="8"/>
      <x:c r="E289" s="8"/>
      <x:c r="F289" s="8"/>
      <x:c r="G289" s="8"/>
      <x:c r="H289" s="8"/>
      <x:c r="I289" s="8"/>
      <x:c r="J289" s="8"/>
      <x:c r="K289" s="8"/>
      <x:c r="L289" s="8"/>
      <x:c r="M289" s="10"/>
      <x:c r="N289" s="10"/>
      <x:c r="O289" s="8"/>
      <x:c r="P289" s="9" t="str">
        <x:f>IF(C289="","",IF(AND(G289="Applicable",H289="Fail"),"Fail",IF(R289&lt;&gt;"Valid","Pending",IF(OR(I289="",K289="",L289="",K289=L289,NOT(ISNUMBER(M289)),NOT(ISNUMBER(N289)),M289&gt;Settings!$F$8,N289&lt;Settings!$F$8,N289&lt;M289),"Pending",IF(AND(G289="Applicable",H289="Pass"),"Pass",IF(AND(G289="N/A",H289="N/A",J289&lt;&gt;"",OR(E289="CEM-FUELS",E289="CEM-CCS",AND(E289="CEM-PLAN",IFERROR(INDEX('Taxonomy'!$M$9:$M$108,MATCH(D289,'Taxonomy'!$C$9:$C$108,0)),"")&lt;&gt;"Amber"),E289="BLD-TIMBER",AND(U289="Building equipment",OR(E289="BLD-WATER",E289="BLD-WASTE",E289="BLD-LAND")),AND(U289="Building renovation",E289="BLD-LAND"))),"N/A","Pending"))))))</x:f>
      </x:c>
      <x:c r="Q289" s="3" t="str">
        <x:f>IF(C289="","",IF(AND(R289="Valid",OR(P289="Pass",P289="N/A")),"Complete","Unresolved"))</x:f>
      </x:c>
      <x:c r="R289" s="9" t="str">
        <x:f>IF(C289="","",IF(OR(COUNTIF($C$9:$C$2008,C289)&lt;&gt;1,COUNTIFS($D$9:$D$2008,D289,$E$9:$E$2008,E289)&lt;&gt;1),"Duplicate test",IF(COUNTIF('Taxonomy'!$C$9:$C$108,D289)&lt;&gt;1,"Assessment key",IF(OR(COUNTIF('Taxonomy Rules'!$C$42:$C$68,E289)&lt;&gt;1,F289&lt;&gt;IFERROR(INDEX('Taxonomy Rules'!$D$42:$D$68,MATCH(E289,'Taxonomy Rules'!$C$42:$C$68,0)),""),NOT(OR(IFERROR(INDEX('Taxonomy Rules'!$G$42:$G$68,MATCH(E289,'Taxonomy Rules'!$C$42:$C$68,0)),"")="All supported routes",IFERROR(INDEX('Taxonomy Rules'!$G$42:$G$68,MATCH(E289,'Taxonomy Rules'!$C$42:$C$68,0)),"")=U289,AND(IFERROR(INDEX('Taxonomy Rules'!$G$42:$G$68,MATCH(E289,'Taxonomy Rules'!$C$42:$C$68,0)),"")="Building routes",OR(U289="Building renovation",U289="New building",U289="Building equipment"))))),"Unexpected test","Valid"))))</x:f>
      </x:c>
      <x:c r="S289" s="9" t="str">
        <x:f>IF(C289="","",IFERROR(INDEX('Taxonomy Rules'!$E$42:$E$68,MATCH(E289,'Taxonomy Rules'!$C$42:$C$68,0)),""))</x:f>
      </x:c>
      <x:c r="T289" s="9" t="str">
        <x:f>IF(C289="","",IFERROR(INDEX('Taxonomy Rules'!$F$42:$F$68,MATCH(E289,'Taxonomy Rules'!$C$42:$C$68,0)),""))</x:f>
      </x:c>
      <x:c r="U289" s="9" t="str">
        <x:f>IF(C289="","",IFERROR(INDEX('Taxonomy'!$G$9:$G$108,MATCH(D289,'Taxonomy'!$C$9:$C$108,0)),""))</x:f>
      </x:c>
    </x:row>
    <x:row r="290" ht="44" customHeight="1">
      <x:c r="A290" s="1"/>
      <x:c r="B290" s="1"/>
      <x:c r="C290" s="8"/>
      <x:c r="D290" s="8"/>
      <x:c r="E290" s="8"/>
      <x:c r="F290" s="8"/>
      <x:c r="G290" s="8"/>
      <x:c r="H290" s="8"/>
      <x:c r="I290" s="8"/>
      <x:c r="J290" s="8"/>
      <x:c r="K290" s="8"/>
      <x:c r="L290" s="8"/>
      <x:c r="M290" s="10"/>
      <x:c r="N290" s="10"/>
      <x:c r="O290" s="8"/>
      <x:c r="P290" s="9" t="str">
        <x:f>IF(C290="","",IF(AND(G290="Applicable",H290="Fail"),"Fail",IF(R290&lt;&gt;"Valid","Pending",IF(OR(I290="",K290="",L290="",K290=L290,NOT(ISNUMBER(M290)),NOT(ISNUMBER(N290)),M290&gt;Settings!$F$8,N290&lt;Settings!$F$8,N290&lt;M290),"Pending",IF(AND(G290="Applicable",H290="Pass"),"Pass",IF(AND(G290="N/A",H290="N/A",J290&lt;&gt;"",OR(E290="CEM-FUELS",E290="CEM-CCS",AND(E290="CEM-PLAN",IFERROR(INDEX('Taxonomy'!$M$9:$M$108,MATCH(D290,'Taxonomy'!$C$9:$C$108,0)),"")&lt;&gt;"Amber"),E290="BLD-TIMBER",AND(U290="Building equipment",OR(E290="BLD-WATER",E290="BLD-WASTE",E290="BLD-LAND")),AND(U290="Building renovation",E290="BLD-LAND"))),"N/A","Pending"))))))</x:f>
      </x:c>
      <x:c r="Q290" s="3" t="str">
        <x:f>IF(C290="","",IF(AND(R290="Valid",OR(P290="Pass",P290="N/A")),"Complete","Unresolved"))</x:f>
      </x:c>
      <x:c r="R290" s="9" t="str">
        <x:f>IF(C290="","",IF(OR(COUNTIF($C$9:$C$2008,C290)&lt;&gt;1,COUNTIFS($D$9:$D$2008,D290,$E$9:$E$2008,E290)&lt;&gt;1),"Duplicate test",IF(COUNTIF('Taxonomy'!$C$9:$C$108,D290)&lt;&gt;1,"Assessment key",IF(OR(COUNTIF('Taxonomy Rules'!$C$42:$C$68,E290)&lt;&gt;1,F290&lt;&gt;IFERROR(INDEX('Taxonomy Rules'!$D$42:$D$68,MATCH(E290,'Taxonomy Rules'!$C$42:$C$68,0)),""),NOT(OR(IFERROR(INDEX('Taxonomy Rules'!$G$42:$G$68,MATCH(E290,'Taxonomy Rules'!$C$42:$C$68,0)),"")="All supported routes",IFERROR(INDEX('Taxonomy Rules'!$G$42:$G$68,MATCH(E290,'Taxonomy Rules'!$C$42:$C$68,0)),"")=U290,AND(IFERROR(INDEX('Taxonomy Rules'!$G$42:$G$68,MATCH(E290,'Taxonomy Rules'!$C$42:$C$68,0)),"")="Building routes",OR(U290="Building renovation",U290="New building",U290="Building equipment"))))),"Unexpected test","Valid"))))</x:f>
      </x:c>
      <x:c r="S290" s="9" t="str">
        <x:f>IF(C290="","",IFERROR(INDEX('Taxonomy Rules'!$E$42:$E$68,MATCH(E290,'Taxonomy Rules'!$C$42:$C$68,0)),""))</x:f>
      </x:c>
      <x:c r="T290" s="9" t="str">
        <x:f>IF(C290="","",IFERROR(INDEX('Taxonomy Rules'!$F$42:$F$68,MATCH(E290,'Taxonomy Rules'!$C$42:$C$68,0)),""))</x:f>
      </x:c>
      <x:c r="U290" s="9" t="str">
        <x:f>IF(C290="","",IFERROR(INDEX('Taxonomy'!$G$9:$G$108,MATCH(D290,'Taxonomy'!$C$9:$C$108,0)),""))</x:f>
      </x:c>
    </x:row>
    <x:row r="291" ht="44" customHeight="1">
      <x:c r="A291" s="1"/>
      <x:c r="B291" s="1"/>
      <x:c r="C291" s="8"/>
      <x:c r="D291" s="8"/>
      <x:c r="E291" s="8"/>
      <x:c r="F291" s="8"/>
      <x:c r="G291" s="8"/>
      <x:c r="H291" s="8"/>
      <x:c r="I291" s="8"/>
      <x:c r="J291" s="8"/>
      <x:c r="K291" s="8"/>
      <x:c r="L291" s="8"/>
      <x:c r="M291" s="10"/>
      <x:c r="N291" s="10"/>
      <x:c r="O291" s="8"/>
      <x:c r="P291" s="9" t="str">
        <x:f>IF(C291="","",IF(AND(G291="Applicable",H291="Fail"),"Fail",IF(R291&lt;&gt;"Valid","Pending",IF(OR(I291="",K291="",L291="",K291=L291,NOT(ISNUMBER(M291)),NOT(ISNUMBER(N291)),M291&gt;Settings!$F$8,N291&lt;Settings!$F$8,N291&lt;M291),"Pending",IF(AND(G291="Applicable",H291="Pass"),"Pass",IF(AND(G291="N/A",H291="N/A",J291&lt;&gt;"",OR(E291="CEM-FUELS",E291="CEM-CCS",AND(E291="CEM-PLAN",IFERROR(INDEX('Taxonomy'!$M$9:$M$108,MATCH(D291,'Taxonomy'!$C$9:$C$108,0)),"")&lt;&gt;"Amber"),E291="BLD-TIMBER",AND(U291="Building equipment",OR(E291="BLD-WATER",E291="BLD-WASTE",E291="BLD-LAND")),AND(U291="Building renovation",E291="BLD-LAND"))),"N/A","Pending"))))))</x:f>
      </x:c>
      <x:c r="Q291" s="3" t="str">
        <x:f>IF(C291="","",IF(AND(R291="Valid",OR(P291="Pass",P291="N/A")),"Complete","Unresolved"))</x:f>
      </x:c>
      <x:c r="R291" s="9" t="str">
        <x:f>IF(C291="","",IF(OR(COUNTIF($C$9:$C$2008,C291)&lt;&gt;1,COUNTIFS($D$9:$D$2008,D291,$E$9:$E$2008,E291)&lt;&gt;1),"Duplicate test",IF(COUNTIF('Taxonomy'!$C$9:$C$108,D291)&lt;&gt;1,"Assessment key",IF(OR(COUNTIF('Taxonomy Rules'!$C$42:$C$68,E291)&lt;&gt;1,F291&lt;&gt;IFERROR(INDEX('Taxonomy Rules'!$D$42:$D$68,MATCH(E291,'Taxonomy Rules'!$C$42:$C$68,0)),""),NOT(OR(IFERROR(INDEX('Taxonomy Rules'!$G$42:$G$68,MATCH(E291,'Taxonomy Rules'!$C$42:$C$68,0)),"")="All supported routes",IFERROR(INDEX('Taxonomy Rules'!$G$42:$G$68,MATCH(E291,'Taxonomy Rules'!$C$42:$C$68,0)),"")=U291,AND(IFERROR(INDEX('Taxonomy Rules'!$G$42:$G$68,MATCH(E291,'Taxonomy Rules'!$C$42:$C$68,0)),"")="Building routes",OR(U291="Building renovation",U291="New building",U291="Building equipment"))))),"Unexpected test","Valid"))))</x:f>
      </x:c>
      <x:c r="S291" s="9" t="str">
        <x:f>IF(C291="","",IFERROR(INDEX('Taxonomy Rules'!$E$42:$E$68,MATCH(E291,'Taxonomy Rules'!$C$42:$C$68,0)),""))</x:f>
      </x:c>
      <x:c r="T291" s="9" t="str">
        <x:f>IF(C291="","",IFERROR(INDEX('Taxonomy Rules'!$F$42:$F$68,MATCH(E291,'Taxonomy Rules'!$C$42:$C$68,0)),""))</x:f>
      </x:c>
      <x:c r="U291" s="9" t="str">
        <x:f>IF(C291="","",IFERROR(INDEX('Taxonomy'!$G$9:$G$108,MATCH(D291,'Taxonomy'!$C$9:$C$108,0)),""))</x:f>
      </x:c>
    </x:row>
    <x:row r="292" ht="44" customHeight="1">
      <x:c r="A292" s="1"/>
      <x:c r="B292" s="1"/>
      <x:c r="C292" s="8"/>
      <x:c r="D292" s="8"/>
      <x:c r="E292" s="8"/>
      <x:c r="F292" s="8"/>
      <x:c r="G292" s="8"/>
      <x:c r="H292" s="8"/>
      <x:c r="I292" s="8"/>
      <x:c r="J292" s="8"/>
      <x:c r="K292" s="8"/>
      <x:c r="L292" s="8"/>
      <x:c r="M292" s="10"/>
      <x:c r="N292" s="10"/>
      <x:c r="O292" s="8"/>
      <x:c r="P292" s="9" t="str">
        <x:f>IF(C292="","",IF(AND(G292="Applicable",H292="Fail"),"Fail",IF(R292&lt;&gt;"Valid","Pending",IF(OR(I292="",K292="",L292="",K292=L292,NOT(ISNUMBER(M292)),NOT(ISNUMBER(N292)),M292&gt;Settings!$F$8,N292&lt;Settings!$F$8,N292&lt;M292),"Pending",IF(AND(G292="Applicable",H292="Pass"),"Pass",IF(AND(G292="N/A",H292="N/A",J292&lt;&gt;"",OR(E292="CEM-FUELS",E292="CEM-CCS",AND(E292="CEM-PLAN",IFERROR(INDEX('Taxonomy'!$M$9:$M$108,MATCH(D292,'Taxonomy'!$C$9:$C$108,0)),"")&lt;&gt;"Amber"),E292="BLD-TIMBER",AND(U292="Building equipment",OR(E292="BLD-WATER",E292="BLD-WASTE",E292="BLD-LAND")),AND(U292="Building renovation",E292="BLD-LAND"))),"N/A","Pending"))))))</x:f>
      </x:c>
      <x:c r="Q292" s="3" t="str">
        <x:f>IF(C292="","",IF(AND(R292="Valid",OR(P292="Pass",P292="N/A")),"Complete","Unresolved"))</x:f>
      </x:c>
      <x:c r="R292" s="9" t="str">
        <x:f>IF(C292="","",IF(OR(COUNTIF($C$9:$C$2008,C292)&lt;&gt;1,COUNTIFS($D$9:$D$2008,D292,$E$9:$E$2008,E292)&lt;&gt;1),"Duplicate test",IF(COUNTIF('Taxonomy'!$C$9:$C$108,D292)&lt;&gt;1,"Assessment key",IF(OR(COUNTIF('Taxonomy Rules'!$C$42:$C$68,E292)&lt;&gt;1,F292&lt;&gt;IFERROR(INDEX('Taxonomy Rules'!$D$42:$D$68,MATCH(E292,'Taxonomy Rules'!$C$42:$C$68,0)),""),NOT(OR(IFERROR(INDEX('Taxonomy Rules'!$G$42:$G$68,MATCH(E292,'Taxonomy Rules'!$C$42:$C$68,0)),"")="All supported routes",IFERROR(INDEX('Taxonomy Rules'!$G$42:$G$68,MATCH(E292,'Taxonomy Rules'!$C$42:$C$68,0)),"")=U292,AND(IFERROR(INDEX('Taxonomy Rules'!$G$42:$G$68,MATCH(E292,'Taxonomy Rules'!$C$42:$C$68,0)),"")="Building routes",OR(U292="Building renovation",U292="New building",U292="Building equipment"))))),"Unexpected test","Valid"))))</x:f>
      </x:c>
      <x:c r="S292" s="9" t="str">
        <x:f>IF(C292="","",IFERROR(INDEX('Taxonomy Rules'!$E$42:$E$68,MATCH(E292,'Taxonomy Rules'!$C$42:$C$68,0)),""))</x:f>
      </x:c>
      <x:c r="T292" s="9" t="str">
        <x:f>IF(C292="","",IFERROR(INDEX('Taxonomy Rules'!$F$42:$F$68,MATCH(E292,'Taxonomy Rules'!$C$42:$C$68,0)),""))</x:f>
      </x:c>
      <x:c r="U292" s="9" t="str">
        <x:f>IF(C292="","",IFERROR(INDEX('Taxonomy'!$G$9:$G$108,MATCH(D292,'Taxonomy'!$C$9:$C$108,0)),""))</x:f>
      </x:c>
    </x:row>
    <x:row r="293" ht="44" customHeight="1">
      <x:c r="A293" s="1"/>
      <x:c r="B293" s="1"/>
      <x:c r="C293" s="8"/>
      <x:c r="D293" s="8"/>
      <x:c r="E293" s="8"/>
      <x:c r="F293" s="8"/>
      <x:c r="G293" s="8"/>
      <x:c r="H293" s="8"/>
      <x:c r="I293" s="8"/>
      <x:c r="J293" s="8"/>
      <x:c r="K293" s="8"/>
      <x:c r="L293" s="8"/>
      <x:c r="M293" s="10"/>
      <x:c r="N293" s="10"/>
      <x:c r="O293" s="8"/>
      <x:c r="P293" s="9" t="str">
        <x:f>IF(C293="","",IF(AND(G293="Applicable",H293="Fail"),"Fail",IF(R293&lt;&gt;"Valid","Pending",IF(OR(I293="",K293="",L293="",K293=L293,NOT(ISNUMBER(M293)),NOT(ISNUMBER(N293)),M293&gt;Settings!$F$8,N293&lt;Settings!$F$8,N293&lt;M293),"Pending",IF(AND(G293="Applicable",H293="Pass"),"Pass",IF(AND(G293="N/A",H293="N/A",J293&lt;&gt;"",OR(E293="CEM-FUELS",E293="CEM-CCS",AND(E293="CEM-PLAN",IFERROR(INDEX('Taxonomy'!$M$9:$M$108,MATCH(D293,'Taxonomy'!$C$9:$C$108,0)),"")&lt;&gt;"Amber"),E293="BLD-TIMBER",AND(U293="Building equipment",OR(E293="BLD-WATER",E293="BLD-WASTE",E293="BLD-LAND")),AND(U293="Building renovation",E293="BLD-LAND"))),"N/A","Pending"))))))</x:f>
      </x:c>
      <x:c r="Q293" s="3" t="str">
        <x:f>IF(C293="","",IF(AND(R293="Valid",OR(P293="Pass",P293="N/A")),"Complete","Unresolved"))</x:f>
      </x:c>
      <x:c r="R293" s="9" t="str">
        <x:f>IF(C293="","",IF(OR(COUNTIF($C$9:$C$2008,C293)&lt;&gt;1,COUNTIFS($D$9:$D$2008,D293,$E$9:$E$2008,E293)&lt;&gt;1),"Duplicate test",IF(COUNTIF('Taxonomy'!$C$9:$C$108,D293)&lt;&gt;1,"Assessment key",IF(OR(COUNTIF('Taxonomy Rules'!$C$42:$C$68,E293)&lt;&gt;1,F293&lt;&gt;IFERROR(INDEX('Taxonomy Rules'!$D$42:$D$68,MATCH(E293,'Taxonomy Rules'!$C$42:$C$68,0)),""),NOT(OR(IFERROR(INDEX('Taxonomy Rules'!$G$42:$G$68,MATCH(E293,'Taxonomy Rules'!$C$42:$C$68,0)),"")="All supported routes",IFERROR(INDEX('Taxonomy Rules'!$G$42:$G$68,MATCH(E293,'Taxonomy Rules'!$C$42:$C$68,0)),"")=U293,AND(IFERROR(INDEX('Taxonomy Rules'!$G$42:$G$68,MATCH(E293,'Taxonomy Rules'!$C$42:$C$68,0)),"")="Building routes",OR(U293="Building renovation",U293="New building",U293="Building equipment"))))),"Unexpected test","Valid"))))</x:f>
      </x:c>
      <x:c r="S293" s="9" t="str">
        <x:f>IF(C293="","",IFERROR(INDEX('Taxonomy Rules'!$E$42:$E$68,MATCH(E293,'Taxonomy Rules'!$C$42:$C$68,0)),""))</x:f>
      </x:c>
      <x:c r="T293" s="9" t="str">
        <x:f>IF(C293="","",IFERROR(INDEX('Taxonomy Rules'!$F$42:$F$68,MATCH(E293,'Taxonomy Rules'!$C$42:$C$68,0)),""))</x:f>
      </x:c>
      <x:c r="U293" s="9" t="str">
        <x:f>IF(C293="","",IFERROR(INDEX('Taxonomy'!$G$9:$G$108,MATCH(D293,'Taxonomy'!$C$9:$C$108,0)),""))</x:f>
      </x:c>
    </x:row>
    <x:row r="294" ht="44" customHeight="1">
      <x:c r="A294" s="1"/>
      <x:c r="B294" s="1"/>
      <x:c r="C294" s="8"/>
      <x:c r="D294" s="8"/>
      <x:c r="E294" s="8"/>
      <x:c r="F294" s="8"/>
      <x:c r="G294" s="8"/>
      <x:c r="H294" s="8"/>
      <x:c r="I294" s="8"/>
      <x:c r="J294" s="8"/>
      <x:c r="K294" s="8"/>
      <x:c r="L294" s="8"/>
      <x:c r="M294" s="10"/>
      <x:c r="N294" s="10"/>
      <x:c r="O294" s="8"/>
      <x:c r="P294" s="9" t="str">
        <x:f>IF(C294="","",IF(AND(G294="Applicable",H294="Fail"),"Fail",IF(R294&lt;&gt;"Valid","Pending",IF(OR(I294="",K294="",L294="",K294=L294,NOT(ISNUMBER(M294)),NOT(ISNUMBER(N294)),M294&gt;Settings!$F$8,N294&lt;Settings!$F$8,N294&lt;M294),"Pending",IF(AND(G294="Applicable",H294="Pass"),"Pass",IF(AND(G294="N/A",H294="N/A",J294&lt;&gt;"",OR(E294="CEM-FUELS",E294="CEM-CCS",AND(E294="CEM-PLAN",IFERROR(INDEX('Taxonomy'!$M$9:$M$108,MATCH(D294,'Taxonomy'!$C$9:$C$108,0)),"")&lt;&gt;"Amber"),E294="BLD-TIMBER",AND(U294="Building equipment",OR(E294="BLD-WATER",E294="BLD-WASTE",E294="BLD-LAND")),AND(U294="Building renovation",E294="BLD-LAND"))),"N/A","Pending"))))))</x:f>
      </x:c>
      <x:c r="Q294" s="3" t="str">
        <x:f>IF(C294="","",IF(AND(R294="Valid",OR(P294="Pass",P294="N/A")),"Complete","Unresolved"))</x:f>
      </x:c>
      <x:c r="R294" s="9" t="str">
        <x:f>IF(C294="","",IF(OR(COUNTIF($C$9:$C$2008,C294)&lt;&gt;1,COUNTIFS($D$9:$D$2008,D294,$E$9:$E$2008,E294)&lt;&gt;1),"Duplicate test",IF(COUNTIF('Taxonomy'!$C$9:$C$108,D294)&lt;&gt;1,"Assessment key",IF(OR(COUNTIF('Taxonomy Rules'!$C$42:$C$68,E294)&lt;&gt;1,F294&lt;&gt;IFERROR(INDEX('Taxonomy Rules'!$D$42:$D$68,MATCH(E294,'Taxonomy Rules'!$C$42:$C$68,0)),""),NOT(OR(IFERROR(INDEX('Taxonomy Rules'!$G$42:$G$68,MATCH(E294,'Taxonomy Rules'!$C$42:$C$68,0)),"")="All supported routes",IFERROR(INDEX('Taxonomy Rules'!$G$42:$G$68,MATCH(E294,'Taxonomy Rules'!$C$42:$C$68,0)),"")=U294,AND(IFERROR(INDEX('Taxonomy Rules'!$G$42:$G$68,MATCH(E294,'Taxonomy Rules'!$C$42:$C$68,0)),"")="Building routes",OR(U294="Building renovation",U294="New building",U294="Building equipment"))))),"Unexpected test","Valid"))))</x:f>
      </x:c>
      <x:c r="S294" s="9" t="str">
        <x:f>IF(C294="","",IFERROR(INDEX('Taxonomy Rules'!$E$42:$E$68,MATCH(E294,'Taxonomy Rules'!$C$42:$C$68,0)),""))</x:f>
      </x:c>
      <x:c r="T294" s="9" t="str">
        <x:f>IF(C294="","",IFERROR(INDEX('Taxonomy Rules'!$F$42:$F$68,MATCH(E294,'Taxonomy Rules'!$C$42:$C$68,0)),""))</x:f>
      </x:c>
      <x:c r="U294" s="9" t="str">
        <x:f>IF(C294="","",IFERROR(INDEX('Taxonomy'!$G$9:$G$108,MATCH(D294,'Taxonomy'!$C$9:$C$108,0)),""))</x:f>
      </x:c>
    </x:row>
    <x:row r="295" ht="44" customHeight="1">
      <x:c r="A295" s="1"/>
      <x:c r="B295" s="1"/>
      <x:c r="C295" s="8"/>
      <x:c r="D295" s="8"/>
      <x:c r="E295" s="8"/>
      <x:c r="F295" s="8"/>
      <x:c r="G295" s="8"/>
      <x:c r="H295" s="8"/>
      <x:c r="I295" s="8"/>
      <x:c r="J295" s="8"/>
      <x:c r="K295" s="8"/>
      <x:c r="L295" s="8"/>
      <x:c r="M295" s="10"/>
      <x:c r="N295" s="10"/>
      <x:c r="O295" s="8"/>
      <x:c r="P295" s="9" t="str">
        <x:f>IF(C295="","",IF(AND(G295="Applicable",H295="Fail"),"Fail",IF(R295&lt;&gt;"Valid","Pending",IF(OR(I295="",K295="",L295="",K295=L295,NOT(ISNUMBER(M295)),NOT(ISNUMBER(N295)),M295&gt;Settings!$F$8,N295&lt;Settings!$F$8,N295&lt;M295),"Pending",IF(AND(G295="Applicable",H295="Pass"),"Pass",IF(AND(G295="N/A",H295="N/A",J295&lt;&gt;"",OR(E295="CEM-FUELS",E295="CEM-CCS",AND(E295="CEM-PLAN",IFERROR(INDEX('Taxonomy'!$M$9:$M$108,MATCH(D295,'Taxonomy'!$C$9:$C$108,0)),"")&lt;&gt;"Amber"),E295="BLD-TIMBER",AND(U295="Building equipment",OR(E295="BLD-WATER",E295="BLD-WASTE",E295="BLD-LAND")),AND(U295="Building renovation",E295="BLD-LAND"))),"N/A","Pending"))))))</x:f>
      </x:c>
      <x:c r="Q295" s="3" t="str">
        <x:f>IF(C295="","",IF(AND(R295="Valid",OR(P295="Pass",P295="N/A")),"Complete","Unresolved"))</x:f>
      </x:c>
      <x:c r="R295" s="9" t="str">
        <x:f>IF(C295="","",IF(OR(COUNTIF($C$9:$C$2008,C295)&lt;&gt;1,COUNTIFS($D$9:$D$2008,D295,$E$9:$E$2008,E295)&lt;&gt;1),"Duplicate test",IF(COUNTIF('Taxonomy'!$C$9:$C$108,D295)&lt;&gt;1,"Assessment key",IF(OR(COUNTIF('Taxonomy Rules'!$C$42:$C$68,E295)&lt;&gt;1,F295&lt;&gt;IFERROR(INDEX('Taxonomy Rules'!$D$42:$D$68,MATCH(E295,'Taxonomy Rules'!$C$42:$C$68,0)),""),NOT(OR(IFERROR(INDEX('Taxonomy Rules'!$G$42:$G$68,MATCH(E295,'Taxonomy Rules'!$C$42:$C$68,0)),"")="All supported routes",IFERROR(INDEX('Taxonomy Rules'!$G$42:$G$68,MATCH(E295,'Taxonomy Rules'!$C$42:$C$68,0)),"")=U295,AND(IFERROR(INDEX('Taxonomy Rules'!$G$42:$G$68,MATCH(E295,'Taxonomy Rules'!$C$42:$C$68,0)),"")="Building routes",OR(U295="Building renovation",U295="New building",U295="Building equipment"))))),"Unexpected test","Valid"))))</x:f>
      </x:c>
      <x:c r="S295" s="9" t="str">
        <x:f>IF(C295="","",IFERROR(INDEX('Taxonomy Rules'!$E$42:$E$68,MATCH(E295,'Taxonomy Rules'!$C$42:$C$68,0)),""))</x:f>
      </x:c>
      <x:c r="T295" s="9" t="str">
        <x:f>IF(C295="","",IFERROR(INDEX('Taxonomy Rules'!$F$42:$F$68,MATCH(E295,'Taxonomy Rules'!$C$42:$C$68,0)),""))</x:f>
      </x:c>
      <x:c r="U295" s="9" t="str">
        <x:f>IF(C295="","",IFERROR(INDEX('Taxonomy'!$G$9:$G$108,MATCH(D295,'Taxonomy'!$C$9:$C$108,0)),""))</x:f>
      </x:c>
    </x:row>
    <x:row r="296" ht="44" customHeight="1">
      <x:c r="A296" s="1"/>
      <x:c r="B296" s="1"/>
      <x:c r="C296" s="8"/>
      <x:c r="D296" s="8"/>
      <x:c r="E296" s="8"/>
      <x:c r="F296" s="8"/>
      <x:c r="G296" s="8"/>
      <x:c r="H296" s="8"/>
      <x:c r="I296" s="8"/>
      <x:c r="J296" s="8"/>
      <x:c r="K296" s="8"/>
      <x:c r="L296" s="8"/>
      <x:c r="M296" s="10"/>
      <x:c r="N296" s="10"/>
      <x:c r="O296" s="8"/>
      <x:c r="P296" s="9" t="str">
        <x:f>IF(C296="","",IF(AND(G296="Applicable",H296="Fail"),"Fail",IF(R296&lt;&gt;"Valid","Pending",IF(OR(I296="",K296="",L296="",K296=L296,NOT(ISNUMBER(M296)),NOT(ISNUMBER(N296)),M296&gt;Settings!$F$8,N296&lt;Settings!$F$8,N296&lt;M296),"Pending",IF(AND(G296="Applicable",H296="Pass"),"Pass",IF(AND(G296="N/A",H296="N/A",J296&lt;&gt;"",OR(E296="CEM-FUELS",E296="CEM-CCS",AND(E296="CEM-PLAN",IFERROR(INDEX('Taxonomy'!$M$9:$M$108,MATCH(D296,'Taxonomy'!$C$9:$C$108,0)),"")&lt;&gt;"Amber"),E296="BLD-TIMBER",AND(U296="Building equipment",OR(E296="BLD-WATER",E296="BLD-WASTE",E296="BLD-LAND")),AND(U296="Building renovation",E296="BLD-LAND"))),"N/A","Pending"))))))</x:f>
      </x:c>
      <x:c r="Q296" s="3" t="str">
        <x:f>IF(C296="","",IF(AND(R296="Valid",OR(P296="Pass",P296="N/A")),"Complete","Unresolved"))</x:f>
      </x:c>
      <x:c r="R296" s="9" t="str">
        <x:f>IF(C296="","",IF(OR(COUNTIF($C$9:$C$2008,C296)&lt;&gt;1,COUNTIFS($D$9:$D$2008,D296,$E$9:$E$2008,E296)&lt;&gt;1),"Duplicate test",IF(COUNTIF('Taxonomy'!$C$9:$C$108,D296)&lt;&gt;1,"Assessment key",IF(OR(COUNTIF('Taxonomy Rules'!$C$42:$C$68,E296)&lt;&gt;1,F296&lt;&gt;IFERROR(INDEX('Taxonomy Rules'!$D$42:$D$68,MATCH(E296,'Taxonomy Rules'!$C$42:$C$68,0)),""),NOT(OR(IFERROR(INDEX('Taxonomy Rules'!$G$42:$G$68,MATCH(E296,'Taxonomy Rules'!$C$42:$C$68,0)),"")="All supported routes",IFERROR(INDEX('Taxonomy Rules'!$G$42:$G$68,MATCH(E296,'Taxonomy Rules'!$C$42:$C$68,0)),"")=U296,AND(IFERROR(INDEX('Taxonomy Rules'!$G$42:$G$68,MATCH(E296,'Taxonomy Rules'!$C$42:$C$68,0)),"")="Building routes",OR(U296="Building renovation",U296="New building",U296="Building equipment"))))),"Unexpected test","Valid"))))</x:f>
      </x:c>
      <x:c r="S296" s="9" t="str">
        <x:f>IF(C296="","",IFERROR(INDEX('Taxonomy Rules'!$E$42:$E$68,MATCH(E296,'Taxonomy Rules'!$C$42:$C$68,0)),""))</x:f>
      </x:c>
      <x:c r="T296" s="9" t="str">
        <x:f>IF(C296="","",IFERROR(INDEX('Taxonomy Rules'!$F$42:$F$68,MATCH(E296,'Taxonomy Rules'!$C$42:$C$68,0)),""))</x:f>
      </x:c>
      <x:c r="U296" s="9" t="str">
        <x:f>IF(C296="","",IFERROR(INDEX('Taxonomy'!$G$9:$G$108,MATCH(D296,'Taxonomy'!$C$9:$C$108,0)),""))</x:f>
      </x:c>
    </x:row>
    <x:row r="297" ht="44" customHeight="1">
      <x:c r="A297" s="1"/>
      <x:c r="B297" s="1"/>
      <x:c r="C297" s="8"/>
      <x:c r="D297" s="8"/>
      <x:c r="E297" s="8"/>
      <x:c r="F297" s="8"/>
      <x:c r="G297" s="8"/>
      <x:c r="H297" s="8"/>
      <x:c r="I297" s="8"/>
      <x:c r="J297" s="8"/>
      <x:c r="K297" s="8"/>
      <x:c r="L297" s="8"/>
      <x:c r="M297" s="10"/>
      <x:c r="N297" s="10"/>
      <x:c r="O297" s="8"/>
      <x:c r="P297" s="9" t="str">
        <x:f>IF(C297="","",IF(AND(G297="Applicable",H297="Fail"),"Fail",IF(R297&lt;&gt;"Valid","Pending",IF(OR(I297="",K297="",L297="",K297=L297,NOT(ISNUMBER(M297)),NOT(ISNUMBER(N297)),M297&gt;Settings!$F$8,N297&lt;Settings!$F$8,N297&lt;M297),"Pending",IF(AND(G297="Applicable",H297="Pass"),"Pass",IF(AND(G297="N/A",H297="N/A",J297&lt;&gt;"",OR(E297="CEM-FUELS",E297="CEM-CCS",AND(E297="CEM-PLAN",IFERROR(INDEX('Taxonomy'!$M$9:$M$108,MATCH(D297,'Taxonomy'!$C$9:$C$108,0)),"")&lt;&gt;"Amber"),E297="BLD-TIMBER",AND(U297="Building equipment",OR(E297="BLD-WATER",E297="BLD-WASTE",E297="BLD-LAND")),AND(U297="Building renovation",E297="BLD-LAND"))),"N/A","Pending"))))))</x:f>
      </x:c>
      <x:c r="Q297" s="3" t="str">
        <x:f>IF(C297="","",IF(AND(R297="Valid",OR(P297="Pass",P297="N/A")),"Complete","Unresolved"))</x:f>
      </x:c>
      <x:c r="R297" s="9" t="str">
        <x:f>IF(C297="","",IF(OR(COUNTIF($C$9:$C$2008,C297)&lt;&gt;1,COUNTIFS($D$9:$D$2008,D297,$E$9:$E$2008,E297)&lt;&gt;1),"Duplicate test",IF(COUNTIF('Taxonomy'!$C$9:$C$108,D297)&lt;&gt;1,"Assessment key",IF(OR(COUNTIF('Taxonomy Rules'!$C$42:$C$68,E297)&lt;&gt;1,F297&lt;&gt;IFERROR(INDEX('Taxonomy Rules'!$D$42:$D$68,MATCH(E297,'Taxonomy Rules'!$C$42:$C$68,0)),""),NOT(OR(IFERROR(INDEX('Taxonomy Rules'!$G$42:$G$68,MATCH(E297,'Taxonomy Rules'!$C$42:$C$68,0)),"")="All supported routes",IFERROR(INDEX('Taxonomy Rules'!$G$42:$G$68,MATCH(E297,'Taxonomy Rules'!$C$42:$C$68,0)),"")=U297,AND(IFERROR(INDEX('Taxonomy Rules'!$G$42:$G$68,MATCH(E297,'Taxonomy Rules'!$C$42:$C$68,0)),"")="Building routes",OR(U297="Building renovation",U297="New building",U297="Building equipment"))))),"Unexpected test","Valid"))))</x:f>
      </x:c>
      <x:c r="S297" s="9" t="str">
        <x:f>IF(C297="","",IFERROR(INDEX('Taxonomy Rules'!$E$42:$E$68,MATCH(E297,'Taxonomy Rules'!$C$42:$C$68,0)),""))</x:f>
      </x:c>
      <x:c r="T297" s="9" t="str">
        <x:f>IF(C297="","",IFERROR(INDEX('Taxonomy Rules'!$F$42:$F$68,MATCH(E297,'Taxonomy Rules'!$C$42:$C$68,0)),""))</x:f>
      </x:c>
      <x:c r="U297" s="9" t="str">
        <x:f>IF(C297="","",IFERROR(INDEX('Taxonomy'!$G$9:$G$108,MATCH(D297,'Taxonomy'!$C$9:$C$108,0)),""))</x:f>
      </x:c>
    </x:row>
    <x:row r="298" ht="44" customHeight="1">
      <x:c r="A298" s="1"/>
      <x:c r="B298" s="1"/>
      <x:c r="C298" s="8"/>
      <x:c r="D298" s="8"/>
      <x:c r="E298" s="8"/>
      <x:c r="F298" s="8"/>
      <x:c r="G298" s="8"/>
      <x:c r="H298" s="8"/>
      <x:c r="I298" s="8"/>
      <x:c r="J298" s="8"/>
      <x:c r="K298" s="8"/>
      <x:c r="L298" s="8"/>
      <x:c r="M298" s="10"/>
      <x:c r="N298" s="10"/>
      <x:c r="O298" s="8"/>
      <x:c r="P298" s="9" t="str">
        <x:f>IF(C298="","",IF(AND(G298="Applicable",H298="Fail"),"Fail",IF(R298&lt;&gt;"Valid","Pending",IF(OR(I298="",K298="",L298="",K298=L298,NOT(ISNUMBER(M298)),NOT(ISNUMBER(N298)),M298&gt;Settings!$F$8,N298&lt;Settings!$F$8,N298&lt;M298),"Pending",IF(AND(G298="Applicable",H298="Pass"),"Pass",IF(AND(G298="N/A",H298="N/A",J298&lt;&gt;"",OR(E298="CEM-FUELS",E298="CEM-CCS",AND(E298="CEM-PLAN",IFERROR(INDEX('Taxonomy'!$M$9:$M$108,MATCH(D298,'Taxonomy'!$C$9:$C$108,0)),"")&lt;&gt;"Amber"),E298="BLD-TIMBER",AND(U298="Building equipment",OR(E298="BLD-WATER",E298="BLD-WASTE",E298="BLD-LAND")),AND(U298="Building renovation",E298="BLD-LAND"))),"N/A","Pending"))))))</x:f>
      </x:c>
      <x:c r="Q298" s="3" t="str">
        <x:f>IF(C298="","",IF(AND(R298="Valid",OR(P298="Pass",P298="N/A")),"Complete","Unresolved"))</x:f>
      </x:c>
      <x:c r="R298" s="9" t="str">
        <x:f>IF(C298="","",IF(OR(COUNTIF($C$9:$C$2008,C298)&lt;&gt;1,COUNTIFS($D$9:$D$2008,D298,$E$9:$E$2008,E298)&lt;&gt;1),"Duplicate test",IF(COUNTIF('Taxonomy'!$C$9:$C$108,D298)&lt;&gt;1,"Assessment key",IF(OR(COUNTIF('Taxonomy Rules'!$C$42:$C$68,E298)&lt;&gt;1,F298&lt;&gt;IFERROR(INDEX('Taxonomy Rules'!$D$42:$D$68,MATCH(E298,'Taxonomy Rules'!$C$42:$C$68,0)),""),NOT(OR(IFERROR(INDEX('Taxonomy Rules'!$G$42:$G$68,MATCH(E298,'Taxonomy Rules'!$C$42:$C$68,0)),"")="All supported routes",IFERROR(INDEX('Taxonomy Rules'!$G$42:$G$68,MATCH(E298,'Taxonomy Rules'!$C$42:$C$68,0)),"")=U298,AND(IFERROR(INDEX('Taxonomy Rules'!$G$42:$G$68,MATCH(E298,'Taxonomy Rules'!$C$42:$C$68,0)),"")="Building routes",OR(U298="Building renovation",U298="New building",U298="Building equipment"))))),"Unexpected test","Valid"))))</x:f>
      </x:c>
      <x:c r="S298" s="9" t="str">
        <x:f>IF(C298="","",IFERROR(INDEX('Taxonomy Rules'!$E$42:$E$68,MATCH(E298,'Taxonomy Rules'!$C$42:$C$68,0)),""))</x:f>
      </x:c>
      <x:c r="T298" s="9" t="str">
        <x:f>IF(C298="","",IFERROR(INDEX('Taxonomy Rules'!$F$42:$F$68,MATCH(E298,'Taxonomy Rules'!$C$42:$C$68,0)),""))</x:f>
      </x:c>
      <x:c r="U298" s="9" t="str">
        <x:f>IF(C298="","",IFERROR(INDEX('Taxonomy'!$G$9:$G$108,MATCH(D298,'Taxonomy'!$C$9:$C$108,0)),""))</x:f>
      </x:c>
    </x:row>
    <x:row r="299" ht="44" customHeight="1">
      <x:c r="A299" s="1"/>
      <x:c r="B299" s="1"/>
      <x:c r="C299" s="8"/>
      <x:c r="D299" s="8"/>
      <x:c r="E299" s="8"/>
      <x:c r="F299" s="8"/>
      <x:c r="G299" s="8"/>
      <x:c r="H299" s="8"/>
      <x:c r="I299" s="8"/>
      <x:c r="J299" s="8"/>
      <x:c r="K299" s="8"/>
      <x:c r="L299" s="8"/>
      <x:c r="M299" s="10"/>
      <x:c r="N299" s="10"/>
      <x:c r="O299" s="8"/>
      <x:c r="P299" s="9" t="str">
        <x:f>IF(C299="","",IF(AND(G299="Applicable",H299="Fail"),"Fail",IF(R299&lt;&gt;"Valid","Pending",IF(OR(I299="",K299="",L299="",K299=L299,NOT(ISNUMBER(M299)),NOT(ISNUMBER(N299)),M299&gt;Settings!$F$8,N299&lt;Settings!$F$8,N299&lt;M299),"Pending",IF(AND(G299="Applicable",H299="Pass"),"Pass",IF(AND(G299="N/A",H299="N/A",J299&lt;&gt;"",OR(E299="CEM-FUELS",E299="CEM-CCS",AND(E299="CEM-PLAN",IFERROR(INDEX('Taxonomy'!$M$9:$M$108,MATCH(D299,'Taxonomy'!$C$9:$C$108,0)),"")&lt;&gt;"Amber"),E299="BLD-TIMBER",AND(U299="Building equipment",OR(E299="BLD-WATER",E299="BLD-WASTE",E299="BLD-LAND")),AND(U299="Building renovation",E299="BLD-LAND"))),"N/A","Pending"))))))</x:f>
      </x:c>
      <x:c r="Q299" s="3" t="str">
        <x:f>IF(C299="","",IF(AND(R299="Valid",OR(P299="Pass",P299="N/A")),"Complete","Unresolved"))</x:f>
      </x:c>
      <x:c r="R299" s="9" t="str">
        <x:f>IF(C299="","",IF(OR(COUNTIF($C$9:$C$2008,C299)&lt;&gt;1,COUNTIFS($D$9:$D$2008,D299,$E$9:$E$2008,E299)&lt;&gt;1),"Duplicate test",IF(COUNTIF('Taxonomy'!$C$9:$C$108,D299)&lt;&gt;1,"Assessment key",IF(OR(COUNTIF('Taxonomy Rules'!$C$42:$C$68,E299)&lt;&gt;1,F299&lt;&gt;IFERROR(INDEX('Taxonomy Rules'!$D$42:$D$68,MATCH(E299,'Taxonomy Rules'!$C$42:$C$68,0)),""),NOT(OR(IFERROR(INDEX('Taxonomy Rules'!$G$42:$G$68,MATCH(E299,'Taxonomy Rules'!$C$42:$C$68,0)),"")="All supported routes",IFERROR(INDEX('Taxonomy Rules'!$G$42:$G$68,MATCH(E299,'Taxonomy Rules'!$C$42:$C$68,0)),"")=U299,AND(IFERROR(INDEX('Taxonomy Rules'!$G$42:$G$68,MATCH(E299,'Taxonomy Rules'!$C$42:$C$68,0)),"")="Building routes",OR(U299="Building renovation",U299="New building",U299="Building equipment"))))),"Unexpected test","Valid"))))</x:f>
      </x:c>
      <x:c r="S299" s="9" t="str">
        <x:f>IF(C299="","",IFERROR(INDEX('Taxonomy Rules'!$E$42:$E$68,MATCH(E299,'Taxonomy Rules'!$C$42:$C$68,0)),""))</x:f>
      </x:c>
      <x:c r="T299" s="9" t="str">
        <x:f>IF(C299="","",IFERROR(INDEX('Taxonomy Rules'!$F$42:$F$68,MATCH(E299,'Taxonomy Rules'!$C$42:$C$68,0)),""))</x:f>
      </x:c>
      <x:c r="U299" s="9" t="str">
        <x:f>IF(C299="","",IFERROR(INDEX('Taxonomy'!$G$9:$G$108,MATCH(D299,'Taxonomy'!$C$9:$C$108,0)),""))</x:f>
      </x:c>
    </x:row>
    <x:row r="300" ht="44" customHeight="1">
      <x:c r="A300" s="1"/>
      <x:c r="B300" s="1"/>
      <x:c r="C300" s="8"/>
      <x:c r="D300" s="8"/>
      <x:c r="E300" s="8"/>
      <x:c r="F300" s="8"/>
      <x:c r="G300" s="8"/>
      <x:c r="H300" s="8"/>
      <x:c r="I300" s="8"/>
      <x:c r="J300" s="8"/>
      <x:c r="K300" s="8"/>
      <x:c r="L300" s="8"/>
      <x:c r="M300" s="10"/>
      <x:c r="N300" s="10"/>
      <x:c r="O300" s="8"/>
      <x:c r="P300" s="9" t="str">
        <x:f>IF(C300="","",IF(AND(G300="Applicable",H300="Fail"),"Fail",IF(R300&lt;&gt;"Valid","Pending",IF(OR(I300="",K300="",L300="",K300=L300,NOT(ISNUMBER(M300)),NOT(ISNUMBER(N300)),M300&gt;Settings!$F$8,N300&lt;Settings!$F$8,N300&lt;M300),"Pending",IF(AND(G300="Applicable",H300="Pass"),"Pass",IF(AND(G300="N/A",H300="N/A",J300&lt;&gt;"",OR(E300="CEM-FUELS",E300="CEM-CCS",AND(E300="CEM-PLAN",IFERROR(INDEX('Taxonomy'!$M$9:$M$108,MATCH(D300,'Taxonomy'!$C$9:$C$108,0)),"")&lt;&gt;"Amber"),E300="BLD-TIMBER",AND(U300="Building equipment",OR(E300="BLD-WATER",E300="BLD-WASTE",E300="BLD-LAND")),AND(U300="Building renovation",E300="BLD-LAND"))),"N/A","Pending"))))))</x:f>
      </x:c>
      <x:c r="Q300" s="3" t="str">
        <x:f>IF(C300="","",IF(AND(R300="Valid",OR(P300="Pass",P300="N/A")),"Complete","Unresolved"))</x:f>
      </x:c>
      <x:c r="R300" s="9" t="str">
        <x:f>IF(C300="","",IF(OR(COUNTIF($C$9:$C$2008,C300)&lt;&gt;1,COUNTIFS($D$9:$D$2008,D300,$E$9:$E$2008,E300)&lt;&gt;1),"Duplicate test",IF(COUNTIF('Taxonomy'!$C$9:$C$108,D300)&lt;&gt;1,"Assessment key",IF(OR(COUNTIF('Taxonomy Rules'!$C$42:$C$68,E300)&lt;&gt;1,F300&lt;&gt;IFERROR(INDEX('Taxonomy Rules'!$D$42:$D$68,MATCH(E300,'Taxonomy Rules'!$C$42:$C$68,0)),""),NOT(OR(IFERROR(INDEX('Taxonomy Rules'!$G$42:$G$68,MATCH(E300,'Taxonomy Rules'!$C$42:$C$68,0)),"")="All supported routes",IFERROR(INDEX('Taxonomy Rules'!$G$42:$G$68,MATCH(E300,'Taxonomy Rules'!$C$42:$C$68,0)),"")=U300,AND(IFERROR(INDEX('Taxonomy Rules'!$G$42:$G$68,MATCH(E300,'Taxonomy Rules'!$C$42:$C$68,0)),"")="Building routes",OR(U300="Building renovation",U300="New building",U300="Building equipment"))))),"Unexpected test","Valid"))))</x:f>
      </x:c>
      <x:c r="S300" s="9" t="str">
        <x:f>IF(C300="","",IFERROR(INDEX('Taxonomy Rules'!$E$42:$E$68,MATCH(E300,'Taxonomy Rules'!$C$42:$C$68,0)),""))</x:f>
      </x:c>
      <x:c r="T300" s="9" t="str">
        <x:f>IF(C300="","",IFERROR(INDEX('Taxonomy Rules'!$F$42:$F$68,MATCH(E300,'Taxonomy Rules'!$C$42:$C$68,0)),""))</x:f>
      </x:c>
      <x:c r="U300" s="9" t="str">
        <x:f>IF(C300="","",IFERROR(INDEX('Taxonomy'!$G$9:$G$108,MATCH(D300,'Taxonomy'!$C$9:$C$108,0)),""))</x:f>
      </x:c>
    </x:row>
    <x:row r="301" ht="44" customHeight="1">
      <x:c r="A301" s="1"/>
      <x:c r="B301" s="1"/>
      <x:c r="C301" s="8"/>
      <x:c r="D301" s="8"/>
      <x:c r="E301" s="8"/>
      <x:c r="F301" s="8"/>
      <x:c r="G301" s="8"/>
      <x:c r="H301" s="8"/>
      <x:c r="I301" s="8"/>
      <x:c r="J301" s="8"/>
      <x:c r="K301" s="8"/>
      <x:c r="L301" s="8"/>
      <x:c r="M301" s="10"/>
      <x:c r="N301" s="10"/>
      <x:c r="O301" s="8"/>
      <x:c r="P301" s="9" t="str">
        <x:f>IF(C301="","",IF(AND(G301="Applicable",H301="Fail"),"Fail",IF(R301&lt;&gt;"Valid","Pending",IF(OR(I301="",K301="",L301="",K301=L301,NOT(ISNUMBER(M301)),NOT(ISNUMBER(N301)),M301&gt;Settings!$F$8,N301&lt;Settings!$F$8,N301&lt;M301),"Pending",IF(AND(G301="Applicable",H301="Pass"),"Pass",IF(AND(G301="N/A",H301="N/A",J301&lt;&gt;"",OR(E301="CEM-FUELS",E301="CEM-CCS",AND(E301="CEM-PLAN",IFERROR(INDEX('Taxonomy'!$M$9:$M$108,MATCH(D301,'Taxonomy'!$C$9:$C$108,0)),"")&lt;&gt;"Amber"),E301="BLD-TIMBER",AND(U301="Building equipment",OR(E301="BLD-WATER",E301="BLD-WASTE",E301="BLD-LAND")),AND(U301="Building renovation",E301="BLD-LAND"))),"N/A","Pending"))))))</x:f>
      </x:c>
      <x:c r="Q301" s="3" t="str">
        <x:f>IF(C301="","",IF(AND(R301="Valid",OR(P301="Pass",P301="N/A")),"Complete","Unresolved"))</x:f>
      </x:c>
      <x:c r="R301" s="9" t="str">
        <x:f>IF(C301="","",IF(OR(COUNTIF($C$9:$C$2008,C301)&lt;&gt;1,COUNTIFS($D$9:$D$2008,D301,$E$9:$E$2008,E301)&lt;&gt;1),"Duplicate test",IF(COUNTIF('Taxonomy'!$C$9:$C$108,D301)&lt;&gt;1,"Assessment key",IF(OR(COUNTIF('Taxonomy Rules'!$C$42:$C$68,E301)&lt;&gt;1,F301&lt;&gt;IFERROR(INDEX('Taxonomy Rules'!$D$42:$D$68,MATCH(E301,'Taxonomy Rules'!$C$42:$C$68,0)),""),NOT(OR(IFERROR(INDEX('Taxonomy Rules'!$G$42:$G$68,MATCH(E301,'Taxonomy Rules'!$C$42:$C$68,0)),"")="All supported routes",IFERROR(INDEX('Taxonomy Rules'!$G$42:$G$68,MATCH(E301,'Taxonomy Rules'!$C$42:$C$68,0)),"")=U301,AND(IFERROR(INDEX('Taxonomy Rules'!$G$42:$G$68,MATCH(E301,'Taxonomy Rules'!$C$42:$C$68,0)),"")="Building routes",OR(U301="Building renovation",U301="New building",U301="Building equipment"))))),"Unexpected test","Valid"))))</x:f>
      </x:c>
      <x:c r="S301" s="9" t="str">
        <x:f>IF(C301="","",IFERROR(INDEX('Taxonomy Rules'!$E$42:$E$68,MATCH(E301,'Taxonomy Rules'!$C$42:$C$68,0)),""))</x:f>
      </x:c>
      <x:c r="T301" s="9" t="str">
        <x:f>IF(C301="","",IFERROR(INDEX('Taxonomy Rules'!$F$42:$F$68,MATCH(E301,'Taxonomy Rules'!$C$42:$C$68,0)),""))</x:f>
      </x:c>
      <x:c r="U301" s="9" t="str">
        <x:f>IF(C301="","",IFERROR(INDEX('Taxonomy'!$G$9:$G$108,MATCH(D301,'Taxonomy'!$C$9:$C$108,0)),""))</x:f>
      </x:c>
    </x:row>
    <x:row r="302" ht="44" customHeight="1">
      <x:c r="A302" s="1"/>
      <x:c r="B302" s="1"/>
      <x:c r="C302" s="8"/>
      <x:c r="D302" s="8"/>
      <x:c r="E302" s="8"/>
      <x:c r="F302" s="8"/>
      <x:c r="G302" s="8"/>
      <x:c r="H302" s="8"/>
      <x:c r="I302" s="8"/>
      <x:c r="J302" s="8"/>
      <x:c r="K302" s="8"/>
      <x:c r="L302" s="8"/>
      <x:c r="M302" s="10"/>
      <x:c r="N302" s="10"/>
      <x:c r="O302" s="8"/>
      <x:c r="P302" s="9" t="str">
        <x:f>IF(C302="","",IF(AND(G302="Applicable",H302="Fail"),"Fail",IF(R302&lt;&gt;"Valid","Pending",IF(OR(I302="",K302="",L302="",K302=L302,NOT(ISNUMBER(M302)),NOT(ISNUMBER(N302)),M302&gt;Settings!$F$8,N302&lt;Settings!$F$8,N302&lt;M302),"Pending",IF(AND(G302="Applicable",H302="Pass"),"Pass",IF(AND(G302="N/A",H302="N/A",J302&lt;&gt;"",OR(E302="CEM-FUELS",E302="CEM-CCS",AND(E302="CEM-PLAN",IFERROR(INDEX('Taxonomy'!$M$9:$M$108,MATCH(D302,'Taxonomy'!$C$9:$C$108,0)),"")&lt;&gt;"Amber"),E302="BLD-TIMBER",AND(U302="Building equipment",OR(E302="BLD-WATER",E302="BLD-WASTE",E302="BLD-LAND")),AND(U302="Building renovation",E302="BLD-LAND"))),"N/A","Pending"))))))</x:f>
      </x:c>
      <x:c r="Q302" s="3" t="str">
        <x:f>IF(C302="","",IF(AND(R302="Valid",OR(P302="Pass",P302="N/A")),"Complete","Unresolved"))</x:f>
      </x:c>
      <x:c r="R302" s="9" t="str">
        <x:f>IF(C302="","",IF(OR(COUNTIF($C$9:$C$2008,C302)&lt;&gt;1,COUNTIFS($D$9:$D$2008,D302,$E$9:$E$2008,E302)&lt;&gt;1),"Duplicate test",IF(COUNTIF('Taxonomy'!$C$9:$C$108,D302)&lt;&gt;1,"Assessment key",IF(OR(COUNTIF('Taxonomy Rules'!$C$42:$C$68,E302)&lt;&gt;1,F302&lt;&gt;IFERROR(INDEX('Taxonomy Rules'!$D$42:$D$68,MATCH(E302,'Taxonomy Rules'!$C$42:$C$68,0)),""),NOT(OR(IFERROR(INDEX('Taxonomy Rules'!$G$42:$G$68,MATCH(E302,'Taxonomy Rules'!$C$42:$C$68,0)),"")="All supported routes",IFERROR(INDEX('Taxonomy Rules'!$G$42:$G$68,MATCH(E302,'Taxonomy Rules'!$C$42:$C$68,0)),"")=U302,AND(IFERROR(INDEX('Taxonomy Rules'!$G$42:$G$68,MATCH(E302,'Taxonomy Rules'!$C$42:$C$68,0)),"")="Building routes",OR(U302="Building renovation",U302="New building",U302="Building equipment"))))),"Unexpected test","Valid"))))</x:f>
      </x:c>
      <x:c r="S302" s="9" t="str">
        <x:f>IF(C302="","",IFERROR(INDEX('Taxonomy Rules'!$E$42:$E$68,MATCH(E302,'Taxonomy Rules'!$C$42:$C$68,0)),""))</x:f>
      </x:c>
      <x:c r="T302" s="9" t="str">
        <x:f>IF(C302="","",IFERROR(INDEX('Taxonomy Rules'!$F$42:$F$68,MATCH(E302,'Taxonomy Rules'!$C$42:$C$68,0)),""))</x:f>
      </x:c>
      <x:c r="U302" s="9" t="str">
        <x:f>IF(C302="","",IFERROR(INDEX('Taxonomy'!$G$9:$G$108,MATCH(D302,'Taxonomy'!$C$9:$C$108,0)),""))</x:f>
      </x:c>
    </x:row>
    <x:row r="303" ht="44" customHeight="1">
      <x:c r="A303" s="1"/>
      <x:c r="B303" s="1"/>
      <x:c r="C303" s="8"/>
      <x:c r="D303" s="8"/>
      <x:c r="E303" s="8"/>
      <x:c r="F303" s="8"/>
      <x:c r="G303" s="8"/>
      <x:c r="H303" s="8"/>
      <x:c r="I303" s="8"/>
      <x:c r="J303" s="8"/>
      <x:c r="K303" s="8"/>
      <x:c r="L303" s="8"/>
      <x:c r="M303" s="10"/>
      <x:c r="N303" s="10"/>
      <x:c r="O303" s="8"/>
      <x:c r="P303" s="9" t="str">
        <x:f>IF(C303="","",IF(AND(G303="Applicable",H303="Fail"),"Fail",IF(R303&lt;&gt;"Valid","Pending",IF(OR(I303="",K303="",L303="",K303=L303,NOT(ISNUMBER(M303)),NOT(ISNUMBER(N303)),M303&gt;Settings!$F$8,N303&lt;Settings!$F$8,N303&lt;M303),"Pending",IF(AND(G303="Applicable",H303="Pass"),"Pass",IF(AND(G303="N/A",H303="N/A",J303&lt;&gt;"",OR(E303="CEM-FUELS",E303="CEM-CCS",AND(E303="CEM-PLAN",IFERROR(INDEX('Taxonomy'!$M$9:$M$108,MATCH(D303,'Taxonomy'!$C$9:$C$108,0)),"")&lt;&gt;"Amber"),E303="BLD-TIMBER",AND(U303="Building equipment",OR(E303="BLD-WATER",E303="BLD-WASTE",E303="BLD-LAND")),AND(U303="Building renovation",E303="BLD-LAND"))),"N/A","Pending"))))))</x:f>
      </x:c>
      <x:c r="Q303" s="3" t="str">
        <x:f>IF(C303="","",IF(AND(R303="Valid",OR(P303="Pass",P303="N/A")),"Complete","Unresolved"))</x:f>
      </x:c>
      <x:c r="R303" s="9" t="str">
        <x:f>IF(C303="","",IF(OR(COUNTIF($C$9:$C$2008,C303)&lt;&gt;1,COUNTIFS($D$9:$D$2008,D303,$E$9:$E$2008,E303)&lt;&gt;1),"Duplicate test",IF(COUNTIF('Taxonomy'!$C$9:$C$108,D303)&lt;&gt;1,"Assessment key",IF(OR(COUNTIF('Taxonomy Rules'!$C$42:$C$68,E303)&lt;&gt;1,F303&lt;&gt;IFERROR(INDEX('Taxonomy Rules'!$D$42:$D$68,MATCH(E303,'Taxonomy Rules'!$C$42:$C$68,0)),""),NOT(OR(IFERROR(INDEX('Taxonomy Rules'!$G$42:$G$68,MATCH(E303,'Taxonomy Rules'!$C$42:$C$68,0)),"")="All supported routes",IFERROR(INDEX('Taxonomy Rules'!$G$42:$G$68,MATCH(E303,'Taxonomy Rules'!$C$42:$C$68,0)),"")=U303,AND(IFERROR(INDEX('Taxonomy Rules'!$G$42:$G$68,MATCH(E303,'Taxonomy Rules'!$C$42:$C$68,0)),"")="Building routes",OR(U303="Building renovation",U303="New building",U303="Building equipment"))))),"Unexpected test","Valid"))))</x:f>
      </x:c>
      <x:c r="S303" s="9" t="str">
        <x:f>IF(C303="","",IFERROR(INDEX('Taxonomy Rules'!$E$42:$E$68,MATCH(E303,'Taxonomy Rules'!$C$42:$C$68,0)),""))</x:f>
      </x:c>
      <x:c r="T303" s="9" t="str">
        <x:f>IF(C303="","",IFERROR(INDEX('Taxonomy Rules'!$F$42:$F$68,MATCH(E303,'Taxonomy Rules'!$C$42:$C$68,0)),""))</x:f>
      </x:c>
      <x:c r="U303" s="9" t="str">
        <x:f>IF(C303="","",IFERROR(INDEX('Taxonomy'!$G$9:$G$108,MATCH(D303,'Taxonomy'!$C$9:$C$108,0)),""))</x:f>
      </x:c>
    </x:row>
    <x:row r="304" ht="44" customHeight="1">
      <x:c r="A304" s="1"/>
      <x:c r="B304" s="1"/>
      <x:c r="C304" s="8"/>
      <x:c r="D304" s="8"/>
      <x:c r="E304" s="8"/>
      <x:c r="F304" s="8"/>
      <x:c r="G304" s="8"/>
      <x:c r="H304" s="8"/>
      <x:c r="I304" s="8"/>
      <x:c r="J304" s="8"/>
      <x:c r="K304" s="8"/>
      <x:c r="L304" s="8"/>
      <x:c r="M304" s="10"/>
      <x:c r="N304" s="10"/>
      <x:c r="O304" s="8"/>
      <x:c r="P304" s="9" t="str">
        <x:f>IF(C304="","",IF(AND(G304="Applicable",H304="Fail"),"Fail",IF(R304&lt;&gt;"Valid","Pending",IF(OR(I304="",K304="",L304="",K304=L304,NOT(ISNUMBER(M304)),NOT(ISNUMBER(N304)),M304&gt;Settings!$F$8,N304&lt;Settings!$F$8,N304&lt;M304),"Pending",IF(AND(G304="Applicable",H304="Pass"),"Pass",IF(AND(G304="N/A",H304="N/A",J304&lt;&gt;"",OR(E304="CEM-FUELS",E304="CEM-CCS",AND(E304="CEM-PLAN",IFERROR(INDEX('Taxonomy'!$M$9:$M$108,MATCH(D304,'Taxonomy'!$C$9:$C$108,0)),"")&lt;&gt;"Amber"),E304="BLD-TIMBER",AND(U304="Building equipment",OR(E304="BLD-WATER",E304="BLD-WASTE",E304="BLD-LAND")),AND(U304="Building renovation",E304="BLD-LAND"))),"N/A","Pending"))))))</x:f>
      </x:c>
      <x:c r="Q304" s="3" t="str">
        <x:f>IF(C304="","",IF(AND(R304="Valid",OR(P304="Pass",P304="N/A")),"Complete","Unresolved"))</x:f>
      </x:c>
      <x:c r="R304" s="9" t="str">
        <x:f>IF(C304="","",IF(OR(COUNTIF($C$9:$C$2008,C304)&lt;&gt;1,COUNTIFS($D$9:$D$2008,D304,$E$9:$E$2008,E304)&lt;&gt;1),"Duplicate test",IF(COUNTIF('Taxonomy'!$C$9:$C$108,D304)&lt;&gt;1,"Assessment key",IF(OR(COUNTIF('Taxonomy Rules'!$C$42:$C$68,E304)&lt;&gt;1,F304&lt;&gt;IFERROR(INDEX('Taxonomy Rules'!$D$42:$D$68,MATCH(E304,'Taxonomy Rules'!$C$42:$C$68,0)),""),NOT(OR(IFERROR(INDEX('Taxonomy Rules'!$G$42:$G$68,MATCH(E304,'Taxonomy Rules'!$C$42:$C$68,0)),"")="All supported routes",IFERROR(INDEX('Taxonomy Rules'!$G$42:$G$68,MATCH(E304,'Taxonomy Rules'!$C$42:$C$68,0)),"")=U304,AND(IFERROR(INDEX('Taxonomy Rules'!$G$42:$G$68,MATCH(E304,'Taxonomy Rules'!$C$42:$C$68,0)),"")="Building routes",OR(U304="Building renovation",U304="New building",U304="Building equipment"))))),"Unexpected test","Valid"))))</x:f>
      </x:c>
      <x:c r="S304" s="9" t="str">
        <x:f>IF(C304="","",IFERROR(INDEX('Taxonomy Rules'!$E$42:$E$68,MATCH(E304,'Taxonomy Rules'!$C$42:$C$68,0)),""))</x:f>
      </x:c>
      <x:c r="T304" s="9" t="str">
        <x:f>IF(C304="","",IFERROR(INDEX('Taxonomy Rules'!$F$42:$F$68,MATCH(E304,'Taxonomy Rules'!$C$42:$C$68,0)),""))</x:f>
      </x:c>
      <x:c r="U304" s="9" t="str">
        <x:f>IF(C304="","",IFERROR(INDEX('Taxonomy'!$G$9:$G$108,MATCH(D304,'Taxonomy'!$C$9:$C$108,0)),""))</x:f>
      </x:c>
    </x:row>
    <x:row r="305" ht="44" customHeight="1">
      <x:c r="A305" s="1"/>
      <x:c r="B305" s="1"/>
      <x:c r="C305" s="8"/>
      <x:c r="D305" s="8"/>
      <x:c r="E305" s="8"/>
      <x:c r="F305" s="8"/>
      <x:c r="G305" s="8"/>
      <x:c r="H305" s="8"/>
      <x:c r="I305" s="8"/>
      <x:c r="J305" s="8"/>
      <x:c r="K305" s="8"/>
      <x:c r="L305" s="8"/>
      <x:c r="M305" s="10"/>
      <x:c r="N305" s="10"/>
      <x:c r="O305" s="8"/>
      <x:c r="P305" s="9" t="str">
        <x:f>IF(C305="","",IF(AND(G305="Applicable",H305="Fail"),"Fail",IF(R305&lt;&gt;"Valid","Pending",IF(OR(I305="",K305="",L305="",K305=L305,NOT(ISNUMBER(M305)),NOT(ISNUMBER(N305)),M305&gt;Settings!$F$8,N305&lt;Settings!$F$8,N305&lt;M305),"Pending",IF(AND(G305="Applicable",H305="Pass"),"Pass",IF(AND(G305="N/A",H305="N/A",J305&lt;&gt;"",OR(E305="CEM-FUELS",E305="CEM-CCS",AND(E305="CEM-PLAN",IFERROR(INDEX('Taxonomy'!$M$9:$M$108,MATCH(D305,'Taxonomy'!$C$9:$C$108,0)),"")&lt;&gt;"Amber"),E305="BLD-TIMBER",AND(U305="Building equipment",OR(E305="BLD-WATER",E305="BLD-WASTE",E305="BLD-LAND")),AND(U305="Building renovation",E305="BLD-LAND"))),"N/A","Pending"))))))</x:f>
      </x:c>
      <x:c r="Q305" s="3" t="str">
        <x:f>IF(C305="","",IF(AND(R305="Valid",OR(P305="Pass",P305="N/A")),"Complete","Unresolved"))</x:f>
      </x:c>
      <x:c r="R305" s="9" t="str">
        <x:f>IF(C305="","",IF(OR(COUNTIF($C$9:$C$2008,C305)&lt;&gt;1,COUNTIFS($D$9:$D$2008,D305,$E$9:$E$2008,E305)&lt;&gt;1),"Duplicate test",IF(COUNTIF('Taxonomy'!$C$9:$C$108,D305)&lt;&gt;1,"Assessment key",IF(OR(COUNTIF('Taxonomy Rules'!$C$42:$C$68,E305)&lt;&gt;1,F305&lt;&gt;IFERROR(INDEX('Taxonomy Rules'!$D$42:$D$68,MATCH(E305,'Taxonomy Rules'!$C$42:$C$68,0)),""),NOT(OR(IFERROR(INDEX('Taxonomy Rules'!$G$42:$G$68,MATCH(E305,'Taxonomy Rules'!$C$42:$C$68,0)),"")="All supported routes",IFERROR(INDEX('Taxonomy Rules'!$G$42:$G$68,MATCH(E305,'Taxonomy Rules'!$C$42:$C$68,0)),"")=U305,AND(IFERROR(INDEX('Taxonomy Rules'!$G$42:$G$68,MATCH(E305,'Taxonomy Rules'!$C$42:$C$68,0)),"")="Building routes",OR(U305="Building renovation",U305="New building",U305="Building equipment"))))),"Unexpected test","Valid"))))</x:f>
      </x:c>
      <x:c r="S305" s="9" t="str">
        <x:f>IF(C305="","",IFERROR(INDEX('Taxonomy Rules'!$E$42:$E$68,MATCH(E305,'Taxonomy Rules'!$C$42:$C$68,0)),""))</x:f>
      </x:c>
      <x:c r="T305" s="9" t="str">
        <x:f>IF(C305="","",IFERROR(INDEX('Taxonomy Rules'!$F$42:$F$68,MATCH(E305,'Taxonomy Rules'!$C$42:$C$68,0)),""))</x:f>
      </x:c>
      <x:c r="U305" s="9" t="str">
        <x:f>IF(C305="","",IFERROR(INDEX('Taxonomy'!$G$9:$G$108,MATCH(D305,'Taxonomy'!$C$9:$C$108,0)),""))</x:f>
      </x:c>
    </x:row>
    <x:row r="306" ht="44" customHeight="1">
      <x:c r="A306" s="1"/>
      <x:c r="B306" s="1"/>
      <x:c r="C306" s="8"/>
      <x:c r="D306" s="8"/>
      <x:c r="E306" s="8"/>
      <x:c r="F306" s="8"/>
      <x:c r="G306" s="8"/>
      <x:c r="H306" s="8"/>
      <x:c r="I306" s="8"/>
      <x:c r="J306" s="8"/>
      <x:c r="K306" s="8"/>
      <x:c r="L306" s="8"/>
      <x:c r="M306" s="10"/>
      <x:c r="N306" s="10"/>
      <x:c r="O306" s="8"/>
      <x:c r="P306" s="9" t="str">
        <x:f>IF(C306="","",IF(AND(G306="Applicable",H306="Fail"),"Fail",IF(R306&lt;&gt;"Valid","Pending",IF(OR(I306="",K306="",L306="",K306=L306,NOT(ISNUMBER(M306)),NOT(ISNUMBER(N306)),M306&gt;Settings!$F$8,N306&lt;Settings!$F$8,N306&lt;M306),"Pending",IF(AND(G306="Applicable",H306="Pass"),"Pass",IF(AND(G306="N/A",H306="N/A",J306&lt;&gt;"",OR(E306="CEM-FUELS",E306="CEM-CCS",AND(E306="CEM-PLAN",IFERROR(INDEX('Taxonomy'!$M$9:$M$108,MATCH(D306,'Taxonomy'!$C$9:$C$108,0)),"")&lt;&gt;"Amber"),E306="BLD-TIMBER",AND(U306="Building equipment",OR(E306="BLD-WATER",E306="BLD-WASTE",E306="BLD-LAND")),AND(U306="Building renovation",E306="BLD-LAND"))),"N/A","Pending"))))))</x:f>
      </x:c>
      <x:c r="Q306" s="3" t="str">
        <x:f>IF(C306="","",IF(AND(R306="Valid",OR(P306="Pass",P306="N/A")),"Complete","Unresolved"))</x:f>
      </x:c>
      <x:c r="R306" s="9" t="str">
        <x:f>IF(C306="","",IF(OR(COUNTIF($C$9:$C$2008,C306)&lt;&gt;1,COUNTIFS($D$9:$D$2008,D306,$E$9:$E$2008,E306)&lt;&gt;1),"Duplicate test",IF(COUNTIF('Taxonomy'!$C$9:$C$108,D306)&lt;&gt;1,"Assessment key",IF(OR(COUNTIF('Taxonomy Rules'!$C$42:$C$68,E306)&lt;&gt;1,F306&lt;&gt;IFERROR(INDEX('Taxonomy Rules'!$D$42:$D$68,MATCH(E306,'Taxonomy Rules'!$C$42:$C$68,0)),""),NOT(OR(IFERROR(INDEX('Taxonomy Rules'!$G$42:$G$68,MATCH(E306,'Taxonomy Rules'!$C$42:$C$68,0)),"")="All supported routes",IFERROR(INDEX('Taxonomy Rules'!$G$42:$G$68,MATCH(E306,'Taxonomy Rules'!$C$42:$C$68,0)),"")=U306,AND(IFERROR(INDEX('Taxonomy Rules'!$G$42:$G$68,MATCH(E306,'Taxonomy Rules'!$C$42:$C$68,0)),"")="Building routes",OR(U306="Building renovation",U306="New building",U306="Building equipment"))))),"Unexpected test","Valid"))))</x:f>
      </x:c>
      <x:c r="S306" s="9" t="str">
        <x:f>IF(C306="","",IFERROR(INDEX('Taxonomy Rules'!$E$42:$E$68,MATCH(E306,'Taxonomy Rules'!$C$42:$C$68,0)),""))</x:f>
      </x:c>
      <x:c r="T306" s="9" t="str">
        <x:f>IF(C306="","",IFERROR(INDEX('Taxonomy Rules'!$F$42:$F$68,MATCH(E306,'Taxonomy Rules'!$C$42:$C$68,0)),""))</x:f>
      </x:c>
      <x:c r="U306" s="9" t="str">
        <x:f>IF(C306="","",IFERROR(INDEX('Taxonomy'!$G$9:$G$108,MATCH(D306,'Taxonomy'!$C$9:$C$108,0)),""))</x:f>
      </x:c>
    </x:row>
    <x:row r="307" ht="44" customHeight="1">
      <x:c r="A307" s="1"/>
      <x:c r="B307" s="1"/>
      <x:c r="C307" s="8"/>
      <x:c r="D307" s="8"/>
      <x:c r="E307" s="8"/>
      <x:c r="F307" s="8"/>
      <x:c r="G307" s="8"/>
      <x:c r="H307" s="8"/>
      <x:c r="I307" s="8"/>
      <x:c r="J307" s="8"/>
      <x:c r="K307" s="8"/>
      <x:c r="L307" s="8"/>
      <x:c r="M307" s="10"/>
      <x:c r="N307" s="10"/>
      <x:c r="O307" s="8"/>
      <x:c r="P307" s="9" t="str">
        <x:f>IF(C307="","",IF(AND(G307="Applicable",H307="Fail"),"Fail",IF(R307&lt;&gt;"Valid","Pending",IF(OR(I307="",K307="",L307="",K307=L307,NOT(ISNUMBER(M307)),NOT(ISNUMBER(N307)),M307&gt;Settings!$F$8,N307&lt;Settings!$F$8,N307&lt;M307),"Pending",IF(AND(G307="Applicable",H307="Pass"),"Pass",IF(AND(G307="N/A",H307="N/A",J307&lt;&gt;"",OR(E307="CEM-FUELS",E307="CEM-CCS",AND(E307="CEM-PLAN",IFERROR(INDEX('Taxonomy'!$M$9:$M$108,MATCH(D307,'Taxonomy'!$C$9:$C$108,0)),"")&lt;&gt;"Amber"),E307="BLD-TIMBER",AND(U307="Building equipment",OR(E307="BLD-WATER",E307="BLD-WASTE",E307="BLD-LAND")),AND(U307="Building renovation",E307="BLD-LAND"))),"N/A","Pending"))))))</x:f>
      </x:c>
      <x:c r="Q307" s="3" t="str">
        <x:f>IF(C307="","",IF(AND(R307="Valid",OR(P307="Pass",P307="N/A")),"Complete","Unresolved"))</x:f>
      </x:c>
      <x:c r="R307" s="9" t="str">
        <x:f>IF(C307="","",IF(OR(COUNTIF($C$9:$C$2008,C307)&lt;&gt;1,COUNTIFS($D$9:$D$2008,D307,$E$9:$E$2008,E307)&lt;&gt;1),"Duplicate test",IF(COUNTIF('Taxonomy'!$C$9:$C$108,D307)&lt;&gt;1,"Assessment key",IF(OR(COUNTIF('Taxonomy Rules'!$C$42:$C$68,E307)&lt;&gt;1,F307&lt;&gt;IFERROR(INDEX('Taxonomy Rules'!$D$42:$D$68,MATCH(E307,'Taxonomy Rules'!$C$42:$C$68,0)),""),NOT(OR(IFERROR(INDEX('Taxonomy Rules'!$G$42:$G$68,MATCH(E307,'Taxonomy Rules'!$C$42:$C$68,0)),"")="All supported routes",IFERROR(INDEX('Taxonomy Rules'!$G$42:$G$68,MATCH(E307,'Taxonomy Rules'!$C$42:$C$68,0)),"")=U307,AND(IFERROR(INDEX('Taxonomy Rules'!$G$42:$G$68,MATCH(E307,'Taxonomy Rules'!$C$42:$C$68,0)),"")="Building routes",OR(U307="Building renovation",U307="New building",U307="Building equipment"))))),"Unexpected test","Valid"))))</x:f>
      </x:c>
      <x:c r="S307" s="9" t="str">
        <x:f>IF(C307="","",IFERROR(INDEX('Taxonomy Rules'!$E$42:$E$68,MATCH(E307,'Taxonomy Rules'!$C$42:$C$68,0)),""))</x:f>
      </x:c>
      <x:c r="T307" s="9" t="str">
        <x:f>IF(C307="","",IFERROR(INDEX('Taxonomy Rules'!$F$42:$F$68,MATCH(E307,'Taxonomy Rules'!$C$42:$C$68,0)),""))</x:f>
      </x:c>
      <x:c r="U307" s="9" t="str">
        <x:f>IF(C307="","",IFERROR(INDEX('Taxonomy'!$G$9:$G$108,MATCH(D307,'Taxonomy'!$C$9:$C$108,0)),""))</x:f>
      </x:c>
    </x:row>
    <x:row r="308" ht="44" customHeight="1">
      <x:c r="A308" s="1"/>
      <x:c r="B308" s="1"/>
      <x:c r="C308" s="8"/>
      <x:c r="D308" s="8"/>
      <x:c r="E308" s="8"/>
      <x:c r="F308" s="8"/>
      <x:c r="G308" s="8"/>
      <x:c r="H308" s="8"/>
      <x:c r="I308" s="8"/>
      <x:c r="J308" s="8"/>
      <x:c r="K308" s="8"/>
      <x:c r="L308" s="8"/>
      <x:c r="M308" s="10"/>
      <x:c r="N308" s="10"/>
      <x:c r="O308" s="8"/>
      <x:c r="P308" s="9" t="str">
        <x:f>IF(C308="","",IF(AND(G308="Applicable",H308="Fail"),"Fail",IF(R308&lt;&gt;"Valid","Pending",IF(OR(I308="",K308="",L308="",K308=L308,NOT(ISNUMBER(M308)),NOT(ISNUMBER(N308)),M308&gt;Settings!$F$8,N308&lt;Settings!$F$8,N308&lt;M308),"Pending",IF(AND(G308="Applicable",H308="Pass"),"Pass",IF(AND(G308="N/A",H308="N/A",J308&lt;&gt;"",OR(E308="CEM-FUELS",E308="CEM-CCS",AND(E308="CEM-PLAN",IFERROR(INDEX('Taxonomy'!$M$9:$M$108,MATCH(D308,'Taxonomy'!$C$9:$C$108,0)),"")&lt;&gt;"Amber"),E308="BLD-TIMBER",AND(U308="Building equipment",OR(E308="BLD-WATER",E308="BLD-WASTE",E308="BLD-LAND")),AND(U308="Building renovation",E308="BLD-LAND"))),"N/A","Pending"))))))</x:f>
      </x:c>
      <x:c r="Q308" s="3" t="str">
        <x:f>IF(C308="","",IF(AND(R308="Valid",OR(P308="Pass",P308="N/A")),"Complete","Unresolved"))</x:f>
      </x:c>
      <x:c r="R308" s="9" t="str">
        <x:f>IF(C308="","",IF(OR(COUNTIF($C$9:$C$2008,C308)&lt;&gt;1,COUNTIFS($D$9:$D$2008,D308,$E$9:$E$2008,E308)&lt;&gt;1),"Duplicate test",IF(COUNTIF('Taxonomy'!$C$9:$C$108,D308)&lt;&gt;1,"Assessment key",IF(OR(COUNTIF('Taxonomy Rules'!$C$42:$C$68,E308)&lt;&gt;1,F308&lt;&gt;IFERROR(INDEX('Taxonomy Rules'!$D$42:$D$68,MATCH(E308,'Taxonomy Rules'!$C$42:$C$68,0)),""),NOT(OR(IFERROR(INDEX('Taxonomy Rules'!$G$42:$G$68,MATCH(E308,'Taxonomy Rules'!$C$42:$C$68,0)),"")="All supported routes",IFERROR(INDEX('Taxonomy Rules'!$G$42:$G$68,MATCH(E308,'Taxonomy Rules'!$C$42:$C$68,0)),"")=U308,AND(IFERROR(INDEX('Taxonomy Rules'!$G$42:$G$68,MATCH(E308,'Taxonomy Rules'!$C$42:$C$68,0)),"")="Building routes",OR(U308="Building renovation",U308="New building",U308="Building equipment"))))),"Unexpected test","Valid"))))</x:f>
      </x:c>
      <x:c r="S308" s="9" t="str">
        <x:f>IF(C308="","",IFERROR(INDEX('Taxonomy Rules'!$E$42:$E$68,MATCH(E308,'Taxonomy Rules'!$C$42:$C$68,0)),""))</x:f>
      </x:c>
      <x:c r="T308" s="9" t="str">
        <x:f>IF(C308="","",IFERROR(INDEX('Taxonomy Rules'!$F$42:$F$68,MATCH(E308,'Taxonomy Rules'!$C$42:$C$68,0)),""))</x:f>
      </x:c>
      <x:c r="U308" s="9" t="str">
        <x:f>IF(C308="","",IFERROR(INDEX('Taxonomy'!$G$9:$G$108,MATCH(D308,'Taxonomy'!$C$9:$C$108,0)),""))</x:f>
      </x:c>
    </x:row>
    <x:row r="309" ht="44" customHeight="1">
      <x:c r="A309" s="1"/>
      <x:c r="B309" s="1"/>
      <x:c r="C309" s="8"/>
      <x:c r="D309" s="8"/>
      <x:c r="E309" s="8"/>
      <x:c r="F309" s="8"/>
      <x:c r="G309" s="8"/>
      <x:c r="H309" s="8"/>
      <x:c r="I309" s="8"/>
      <x:c r="J309" s="8"/>
      <x:c r="K309" s="8"/>
      <x:c r="L309" s="8"/>
      <x:c r="M309" s="10"/>
      <x:c r="N309" s="10"/>
      <x:c r="O309" s="8"/>
      <x:c r="P309" s="9" t="str">
        <x:f>IF(C309="","",IF(AND(G309="Applicable",H309="Fail"),"Fail",IF(R309&lt;&gt;"Valid","Pending",IF(OR(I309="",K309="",L309="",K309=L309,NOT(ISNUMBER(M309)),NOT(ISNUMBER(N309)),M309&gt;Settings!$F$8,N309&lt;Settings!$F$8,N309&lt;M309),"Pending",IF(AND(G309="Applicable",H309="Pass"),"Pass",IF(AND(G309="N/A",H309="N/A",J309&lt;&gt;"",OR(E309="CEM-FUELS",E309="CEM-CCS",AND(E309="CEM-PLAN",IFERROR(INDEX('Taxonomy'!$M$9:$M$108,MATCH(D309,'Taxonomy'!$C$9:$C$108,0)),"")&lt;&gt;"Amber"),E309="BLD-TIMBER",AND(U309="Building equipment",OR(E309="BLD-WATER",E309="BLD-WASTE",E309="BLD-LAND")),AND(U309="Building renovation",E309="BLD-LAND"))),"N/A","Pending"))))))</x:f>
      </x:c>
      <x:c r="Q309" s="3" t="str">
        <x:f>IF(C309="","",IF(AND(R309="Valid",OR(P309="Pass",P309="N/A")),"Complete","Unresolved"))</x:f>
      </x:c>
      <x:c r="R309" s="9" t="str">
        <x:f>IF(C309="","",IF(OR(COUNTIF($C$9:$C$2008,C309)&lt;&gt;1,COUNTIFS($D$9:$D$2008,D309,$E$9:$E$2008,E309)&lt;&gt;1),"Duplicate test",IF(COUNTIF('Taxonomy'!$C$9:$C$108,D309)&lt;&gt;1,"Assessment key",IF(OR(COUNTIF('Taxonomy Rules'!$C$42:$C$68,E309)&lt;&gt;1,F309&lt;&gt;IFERROR(INDEX('Taxonomy Rules'!$D$42:$D$68,MATCH(E309,'Taxonomy Rules'!$C$42:$C$68,0)),""),NOT(OR(IFERROR(INDEX('Taxonomy Rules'!$G$42:$G$68,MATCH(E309,'Taxonomy Rules'!$C$42:$C$68,0)),"")="All supported routes",IFERROR(INDEX('Taxonomy Rules'!$G$42:$G$68,MATCH(E309,'Taxonomy Rules'!$C$42:$C$68,0)),"")=U309,AND(IFERROR(INDEX('Taxonomy Rules'!$G$42:$G$68,MATCH(E309,'Taxonomy Rules'!$C$42:$C$68,0)),"")="Building routes",OR(U309="Building renovation",U309="New building",U309="Building equipment"))))),"Unexpected test","Valid"))))</x:f>
      </x:c>
      <x:c r="S309" s="9" t="str">
        <x:f>IF(C309="","",IFERROR(INDEX('Taxonomy Rules'!$E$42:$E$68,MATCH(E309,'Taxonomy Rules'!$C$42:$C$68,0)),""))</x:f>
      </x:c>
      <x:c r="T309" s="9" t="str">
        <x:f>IF(C309="","",IFERROR(INDEX('Taxonomy Rules'!$F$42:$F$68,MATCH(E309,'Taxonomy Rules'!$C$42:$C$68,0)),""))</x:f>
      </x:c>
      <x:c r="U309" s="9" t="str">
        <x:f>IF(C309="","",IFERROR(INDEX('Taxonomy'!$G$9:$G$108,MATCH(D309,'Taxonomy'!$C$9:$C$108,0)),""))</x:f>
      </x:c>
    </x:row>
    <x:row r="310" ht="44" customHeight="1">
      <x:c r="A310" s="1"/>
      <x:c r="B310" s="1"/>
      <x:c r="C310" s="8"/>
      <x:c r="D310" s="8"/>
      <x:c r="E310" s="8"/>
      <x:c r="F310" s="8"/>
      <x:c r="G310" s="8"/>
      <x:c r="H310" s="8"/>
      <x:c r="I310" s="8"/>
      <x:c r="J310" s="8"/>
      <x:c r="K310" s="8"/>
      <x:c r="L310" s="8"/>
      <x:c r="M310" s="10"/>
      <x:c r="N310" s="10"/>
      <x:c r="O310" s="8"/>
      <x:c r="P310" s="9" t="str">
        <x:f>IF(C310="","",IF(AND(G310="Applicable",H310="Fail"),"Fail",IF(R310&lt;&gt;"Valid","Pending",IF(OR(I310="",K310="",L310="",K310=L310,NOT(ISNUMBER(M310)),NOT(ISNUMBER(N310)),M310&gt;Settings!$F$8,N310&lt;Settings!$F$8,N310&lt;M310),"Pending",IF(AND(G310="Applicable",H310="Pass"),"Pass",IF(AND(G310="N/A",H310="N/A",J310&lt;&gt;"",OR(E310="CEM-FUELS",E310="CEM-CCS",AND(E310="CEM-PLAN",IFERROR(INDEX('Taxonomy'!$M$9:$M$108,MATCH(D310,'Taxonomy'!$C$9:$C$108,0)),"")&lt;&gt;"Amber"),E310="BLD-TIMBER",AND(U310="Building equipment",OR(E310="BLD-WATER",E310="BLD-WASTE",E310="BLD-LAND")),AND(U310="Building renovation",E310="BLD-LAND"))),"N/A","Pending"))))))</x:f>
      </x:c>
      <x:c r="Q310" s="3" t="str">
        <x:f>IF(C310="","",IF(AND(R310="Valid",OR(P310="Pass",P310="N/A")),"Complete","Unresolved"))</x:f>
      </x:c>
      <x:c r="R310" s="9" t="str">
        <x:f>IF(C310="","",IF(OR(COUNTIF($C$9:$C$2008,C310)&lt;&gt;1,COUNTIFS($D$9:$D$2008,D310,$E$9:$E$2008,E310)&lt;&gt;1),"Duplicate test",IF(COUNTIF('Taxonomy'!$C$9:$C$108,D310)&lt;&gt;1,"Assessment key",IF(OR(COUNTIF('Taxonomy Rules'!$C$42:$C$68,E310)&lt;&gt;1,F310&lt;&gt;IFERROR(INDEX('Taxonomy Rules'!$D$42:$D$68,MATCH(E310,'Taxonomy Rules'!$C$42:$C$68,0)),""),NOT(OR(IFERROR(INDEX('Taxonomy Rules'!$G$42:$G$68,MATCH(E310,'Taxonomy Rules'!$C$42:$C$68,0)),"")="All supported routes",IFERROR(INDEX('Taxonomy Rules'!$G$42:$G$68,MATCH(E310,'Taxonomy Rules'!$C$42:$C$68,0)),"")=U310,AND(IFERROR(INDEX('Taxonomy Rules'!$G$42:$G$68,MATCH(E310,'Taxonomy Rules'!$C$42:$C$68,0)),"")="Building routes",OR(U310="Building renovation",U310="New building",U310="Building equipment"))))),"Unexpected test","Valid"))))</x:f>
      </x:c>
      <x:c r="S310" s="9" t="str">
        <x:f>IF(C310="","",IFERROR(INDEX('Taxonomy Rules'!$E$42:$E$68,MATCH(E310,'Taxonomy Rules'!$C$42:$C$68,0)),""))</x:f>
      </x:c>
      <x:c r="T310" s="9" t="str">
        <x:f>IF(C310="","",IFERROR(INDEX('Taxonomy Rules'!$F$42:$F$68,MATCH(E310,'Taxonomy Rules'!$C$42:$C$68,0)),""))</x:f>
      </x:c>
      <x:c r="U310" s="9" t="str">
        <x:f>IF(C310="","",IFERROR(INDEX('Taxonomy'!$G$9:$G$108,MATCH(D310,'Taxonomy'!$C$9:$C$108,0)),""))</x:f>
      </x:c>
    </x:row>
    <x:row r="311" ht="44" customHeight="1">
      <x:c r="A311" s="1"/>
      <x:c r="B311" s="1"/>
      <x:c r="C311" s="8"/>
      <x:c r="D311" s="8"/>
      <x:c r="E311" s="8"/>
      <x:c r="F311" s="8"/>
      <x:c r="G311" s="8"/>
      <x:c r="H311" s="8"/>
      <x:c r="I311" s="8"/>
      <x:c r="J311" s="8"/>
      <x:c r="K311" s="8"/>
      <x:c r="L311" s="8"/>
      <x:c r="M311" s="10"/>
      <x:c r="N311" s="10"/>
      <x:c r="O311" s="8"/>
      <x:c r="P311" s="9" t="str">
        <x:f>IF(C311="","",IF(AND(G311="Applicable",H311="Fail"),"Fail",IF(R311&lt;&gt;"Valid","Pending",IF(OR(I311="",K311="",L311="",K311=L311,NOT(ISNUMBER(M311)),NOT(ISNUMBER(N311)),M311&gt;Settings!$F$8,N311&lt;Settings!$F$8,N311&lt;M311),"Pending",IF(AND(G311="Applicable",H311="Pass"),"Pass",IF(AND(G311="N/A",H311="N/A",J311&lt;&gt;"",OR(E311="CEM-FUELS",E311="CEM-CCS",AND(E311="CEM-PLAN",IFERROR(INDEX('Taxonomy'!$M$9:$M$108,MATCH(D311,'Taxonomy'!$C$9:$C$108,0)),"")&lt;&gt;"Amber"),E311="BLD-TIMBER",AND(U311="Building equipment",OR(E311="BLD-WATER",E311="BLD-WASTE",E311="BLD-LAND")),AND(U311="Building renovation",E311="BLD-LAND"))),"N/A","Pending"))))))</x:f>
      </x:c>
      <x:c r="Q311" s="3" t="str">
        <x:f>IF(C311="","",IF(AND(R311="Valid",OR(P311="Pass",P311="N/A")),"Complete","Unresolved"))</x:f>
      </x:c>
      <x:c r="R311" s="9" t="str">
        <x:f>IF(C311="","",IF(OR(COUNTIF($C$9:$C$2008,C311)&lt;&gt;1,COUNTIFS($D$9:$D$2008,D311,$E$9:$E$2008,E311)&lt;&gt;1),"Duplicate test",IF(COUNTIF('Taxonomy'!$C$9:$C$108,D311)&lt;&gt;1,"Assessment key",IF(OR(COUNTIF('Taxonomy Rules'!$C$42:$C$68,E311)&lt;&gt;1,F311&lt;&gt;IFERROR(INDEX('Taxonomy Rules'!$D$42:$D$68,MATCH(E311,'Taxonomy Rules'!$C$42:$C$68,0)),""),NOT(OR(IFERROR(INDEX('Taxonomy Rules'!$G$42:$G$68,MATCH(E311,'Taxonomy Rules'!$C$42:$C$68,0)),"")="All supported routes",IFERROR(INDEX('Taxonomy Rules'!$G$42:$G$68,MATCH(E311,'Taxonomy Rules'!$C$42:$C$68,0)),"")=U311,AND(IFERROR(INDEX('Taxonomy Rules'!$G$42:$G$68,MATCH(E311,'Taxonomy Rules'!$C$42:$C$68,0)),"")="Building routes",OR(U311="Building renovation",U311="New building",U311="Building equipment"))))),"Unexpected test","Valid"))))</x:f>
      </x:c>
      <x:c r="S311" s="9" t="str">
        <x:f>IF(C311="","",IFERROR(INDEX('Taxonomy Rules'!$E$42:$E$68,MATCH(E311,'Taxonomy Rules'!$C$42:$C$68,0)),""))</x:f>
      </x:c>
      <x:c r="T311" s="9" t="str">
        <x:f>IF(C311="","",IFERROR(INDEX('Taxonomy Rules'!$F$42:$F$68,MATCH(E311,'Taxonomy Rules'!$C$42:$C$68,0)),""))</x:f>
      </x:c>
      <x:c r="U311" s="9" t="str">
        <x:f>IF(C311="","",IFERROR(INDEX('Taxonomy'!$G$9:$G$108,MATCH(D311,'Taxonomy'!$C$9:$C$108,0)),""))</x:f>
      </x:c>
    </x:row>
    <x:row r="312" ht="44" customHeight="1">
      <x:c r="A312" s="1"/>
      <x:c r="B312" s="1"/>
      <x:c r="C312" s="8"/>
      <x:c r="D312" s="8"/>
      <x:c r="E312" s="8"/>
      <x:c r="F312" s="8"/>
      <x:c r="G312" s="8"/>
      <x:c r="H312" s="8"/>
      <x:c r="I312" s="8"/>
      <x:c r="J312" s="8"/>
      <x:c r="K312" s="8"/>
      <x:c r="L312" s="8"/>
      <x:c r="M312" s="10"/>
      <x:c r="N312" s="10"/>
      <x:c r="O312" s="8"/>
      <x:c r="P312" s="9" t="str">
        <x:f>IF(C312="","",IF(AND(G312="Applicable",H312="Fail"),"Fail",IF(R312&lt;&gt;"Valid","Pending",IF(OR(I312="",K312="",L312="",K312=L312,NOT(ISNUMBER(M312)),NOT(ISNUMBER(N312)),M312&gt;Settings!$F$8,N312&lt;Settings!$F$8,N312&lt;M312),"Pending",IF(AND(G312="Applicable",H312="Pass"),"Pass",IF(AND(G312="N/A",H312="N/A",J312&lt;&gt;"",OR(E312="CEM-FUELS",E312="CEM-CCS",AND(E312="CEM-PLAN",IFERROR(INDEX('Taxonomy'!$M$9:$M$108,MATCH(D312,'Taxonomy'!$C$9:$C$108,0)),"")&lt;&gt;"Amber"),E312="BLD-TIMBER",AND(U312="Building equipment",OR(E312="BLD-WATER",E312="BLD-WASTE",E312="BLD-LAND")),AND(U312="Building renovation",E312="BLD-LAND"))),"N/A","Pending"))))))</x:f>
      </x:c>
      <x:c r="Q312" s="3" t="str">
        <x:f>IF(C312="","",IF(AND(R312="Valid",OR(P312="Pass",P312="N/A")),"Complete","Unresolved"))</x:f>
      </x:c>
      <x:c r="R312" s="9" t="str">
        <x:f>IF(C312="","",IF(OR(COUNTIF($C$9:$C$2008,C312)&lt;&gt;1,COUNTIFS($D$9:$D$2008,D312,$E$9:$E$2008,E312)&lt;&gt;1),"Duplicate test",IF(COUNTIF('Taxonomy'!$C$9:$C$108,D312)&lt;&gt;1,"Assessment key",IF(OR(COUNTIF('Taxonomy Rules'!$C$42:$C$68,E312)&lt;&gt;1,F312&lt;&gt;IFERROR(INDEX('Taxonomy Rules'!$D$42:$D$68,MATCH(E312,'Taxonomy Rules'!$C$42:$C$68,0)),""),NOT(OR(IFERROR(INDEX('Taxonomy Rules'!$G$42:$G$68,MATCH(E312,'Taxonomy Rules'!$C$42:$C$68,0)),"")="All supported routes",IFERROR(INDEX('Taxonomy Rules'!$G$42:$G$68,MATCH(E312,'Taxonomy Rules'!$C$42:$C$68,0)),"")=U312,AND(IFERROR(INDEX('Taxonomy Rules'!$G$42:$G$68,MATCH(E312,'Taxonomy Rules'!$C$42:$C$68,0)),"")="Building routes",OR(U312="Building renovation",U312="New building",U312="Building equipment"))))),"Unexpected test","Valid"))))</x:f>
      </x:c>
      <x:c r="S312" s="9" t="str">
        <x:f>IF(C312="","",IFERROR(INDEX('Taxonomy Rules'!$E$42:$E$68,MATCH(E312,'Taxonomy Rules'!$C$42:$C$68,0)),""))</x:f>
      </x:c>
      <x:c r="T312" s="9" t="str">
        <x:f>IF(C312="","",IFERROR(INDEX('Taxonomy Rules'!$F$42:$F$68,MATCH(E312,'Taxonomy Rules'!$C$42:$C$68,0)),""))</x:f>
      </x:c>
      <x:c r="U312" s="9" t="str">
        <x:f>IF(C312="","",IFERROR(INDEX('Taxonomy'!$G$9:$G$108,MATCH(D312,'Taxonomy'!$C$9:$C$108,0)),""))</x:f>
      </x:c>
    </x:row>
    <x:row r="313" ht="44" customHeight="1">
      <x:c r="A313" s="1"/>
      <x:c r="B313" s="1"/>
      <x:c r="C313" s="8"/>
      <x:c r="D313" s="8"/>
      <x:c r="E313" s="8"/>
      <x:c r="F313" s="8"/>
      <x:c r="G313" s="8"/>
      <x:c r="H313" s="8"/>
      <x:c r="I313" s="8"/>
      <x:c r="J313" s="8"/>
      <x:c r="K313" s="8"/>
      <x:c r="L313" s="8"/>
      <x:c r="M313" s="10"/>
      <x:c r="N313" s="10"/>
      <x:c r="O313" s="8"/>
      <x:c r="P313" s="9" t="str">
        <x:f>IF(C313="","",IF(AND(G313="Applicable",H313="Fail"),"Fail",IF(R313&lt;&gt;"Valid","Pending",IF(OR(I313="",K313="",L313="",K313=L313,NOT(ISNUMBER(M313)),NOT(ISNUMBER(N313)),M313&gt;Settings!$F$8,N313&lt;Settings!$F$8,N313&lt;M313),"Pending",IF(AND(G313="Applicable",H313="Pass"),"Pass",IF(AND(G313="N/A",H313="N/A",J313&lt;&gt;"",OR(E313="CEM-FUELS",E313="CEM-CCS",AND(E313="CEM-PLAN",IFERROR(INDEX('Taxonomy'!$M$9:$M$108,MATCH(D313,'Taxonomy'!$C$9:$C$108,0)),"")&lt;&gt;"Amber"),E313="BLD-TIMBER",AND(U313="Building equipment",OR(E313="BLD-WATER",E313="BLD-WASTE",E313="BLD-LAND")),AND(U313="Building renovation",E313="BLD-LAND"))),"N/A","Pending"))))))</x:f>
      </x:c>
      <x:c r="Q313" s="3" t="str">
        <x:f>IF(C313="","",IF(AND(R313="Valid",OR(P313="Pass",P313="N/A")),"Complete","Unresolved"))</x:f>
      </x:c>
      <x:c r="R313" s="9" t="str">
        <x:f>IF(C313="","",IF(OR(COUNTIF($C$9:$C$2008,C313)&lt;&gt;1,COUNTIFS($D$9:$D$2008,D313,$E$9:$E$2008,E313)&lt;&gt;1),"Duplicate test",IF(COUNTIF('Taxonomy'!$C$9:$C$108,D313)&lt;&gt;1,"Assessment key",IF(OR(COUNTIF('Taxonomy Rules'!$C$42:$C$68,E313)&lt;&gt;1,F313&lt;&gt;IFERROR(INDEX('Taxonomy Rules'!$D$42:$D$68,MATCH(E313,'Taxonomy Rules'!$C$42:$C$68,0)),""),NOT(OR(IFERROR(INDEX('Taxonomy Rules'!$G$42:$G$68,MATCH(E313,'Taxonomy Rules'!$C$42:$C$68,0)),"")="All supported routes",IFERROR(INDEX('Taxonomy Rules'!$G$42:$G$68,MATCH(E313,'Taxonomy Rules'!$C$42:$C$68,0)),"")=U313,AND(IFERROR(INDEX('Taxonomy Rules'!$G$42:$G$68,MATCH(E313,'Taxonomy Rules'!$C$42:$C$68,0)),"")="Building routes",OR(U313="Building renovation",U313="New building",U313="Building equipment"))))),"Unexpected test","Valid"))))</x:f>
      </x:c>
      <x:c r="S313" s="9" t="str">
        <x:f>IF(C313="","",IFERROR(INDEX('Taxonomy Rules'!$E$42:$E$68,MATCH(E313,'Taxonomy Rules'!$C$42:$C$68,0)),""))</x:f>
      </x:c>
      <x:c r="T313" s="9" t="str">
        <x:f>IF(C313="","",IFERROR(INDEX('Taxonomy Rules'!$F$42:$F$68,MATCH(E313,'Taxonomy Rules'!$C$42:$C$68,0)),""))</x:f>
      </x:c>
      <x:c r="U313" s="9" t="str">
        <x:f>IF(C313="","",IFERROR(INDEX('Taxonomy'!$G$9:$G$108,MATCH(D313,'Taxonomy'!$C$9:$C$108,0)),""))</x:f>
      </x:c>
    </x:row>
    <x:row r="314" ht="44" customHeight="1">
      <x:c r="A314" s="1"/>
      <x:c r="B314" s="1"/>
      <x:c r="C314" s="8"/>
      <x:c r="D314" s="8"/>
      <x:c r="E314" s="8"/>
      <x:c r="F314" s="8"/>
      <x:c r="G314" s="8"/>
      <x:c r="H314" s="8"/>
      <x:c r="I314" s="8"/>
      <x:c r="J314" s="8"/>
      <x:c r="K314" s="8"/>
      <x:c r="L314" s="8"/>
      <x:c r="M314" s="10"/>
      <x:c r="N314" s="10"/>
      <x:c r="O314" s="8"/>
      <x:c r="P314" s="9" t="str">
        <x:f>IF(C314="","",IF(AND(G314="Applicable",H314="Fail"),"Fail",IF(R314&lt;&gt;"Valid","Pending",IF(OR(I314="",K314="",L314="",K314=L314,NOT(ISNUMBER(M314)),NOT(ISNUMBER(N314)),M314&gt;Settings!$F$8,N314&lt;Settings!$F$8,N314&lt;M314),"Pending",IF(AND(G314="Applicable",H314="Pass"),"Pass",IF(AND(G314="N/A",H314="N/A",J314&lt;&gt;"",OR(E314="CEM-FUELS",E314="CEM-CCS",AND(E314="CEM-PLAN",IFERROR(INDEX('Taxonomy'!$M$9:$M$108,MATCH(D314,'Taxonomy'!$C$9:$C$108,0)),"")&lt;&gt;"Amber"),E314="BLD-TIMBER",AND(U314="Building equipment",OR(E314="BLD-WATER",E314="BLD-WASTE",E314="BLD-LAND")),AND(U314="Building renovation",E314="BLD-LAND"))),"N/A","Pending"))))))</x:f>
      </x:c>
      <x:c r="Q314" s="3" t="str">
        <x:f>IF(C314="","",IF(AND(R314="Valid",OR(P314="Pass",P314="N/A")),"Complete","Unresolved"))</x:f>
      </x:c>
      <x:c r="R314" s="9" t="str">
        <x:f>IF(C314="","",IF(OR(COUNTIF($C$9:$C$2008,C314)&lt;&gt;1,COUNTIFS($D$9:$D$2008,D314,$E$9:$E$2008,E314)&lt;&gt;1),"Duplicate test",IF(COUNTIF('Taxonomy'!$C$9:$C$108,D314)&lt;&gt;1,"Assessment key",IF(OR(COUNTIF('Taxonomy Rules'!$C$42:$C$68,E314)&lt;&gt;1,F314&lt;&gt;IFERROR(INDEX('Taxonomy Rules'!$D$42:$D$68,MATCH(E314,'Taxonomy Rules'!$C$42:$C$68,0)),""),NOT(OR(IFERROR(INDEX('Taxonomy Rules'!$G$42:$G$68,MATCH(E314,'Taxonomy Rules'!$C$42:$C$68,0)),"")="All supported routes",IFERROR(INDEX('Taxonomy Rules'!$G$42:$G$68,MATCH(E314,'Taxonomy Rules'!$C$42:$C$68,0)),"")=U314,AND(IFERROR(INDEX('Taxonomy Rules'!$G$42:$G$68,MATCH(E314,'Taxonomy Rules'!$C$42:$C$68,0)),"")="Building routes",OR(U314="Building renovation",U314="New building",U314="Building equipment"))))),"Unexpected test","Valid"))))</x:f>
      </x:c>
      <x:c r="S314" s="9" t="str">
        <x:f>IF(C314="","",IFERROR(INDEX('Taxonomy Rules'!$E$42:$E$68,MATCH(E314,'Taxonomy Rules'!$C$42:$C$68,0)),""))</x:f>
      </x:c>
      <x:c r="T314" s="9" t="str">
        <x:f>IF(C314="","",IFERROR(INDEX('Taxonomy Rules'!$F$42:$F$68,MATCH(E314,'Taxonomy Rules'!$C$42:$C$68,0)),""))</x:f>
      </x:c>
      <x:c r="U314" s="9" t="str">
        <x:f>IF(C314="","",IFERROR(INDEX('Taxonomy'!$G$9:$G$108,MATCH(D314,'Taxonomy'!$C$9:$C$108,0)),""))</x:f>
      </x:c>
    </x:row>
    <x:row r="315" ht="44" customHeight="1">
      <x:c r="A315" s="1"/>
      <x:c r="B315" s="1"/>
      <x:c r="C315" s="8"/>
      <x:c r="D315" s="8"/>
      <x:c r="E315" s="8"/>
      <x:c r="F315" s="8"/>
      <x:c r="G315" s="8"/>
      <x:c r="H315" s="8"/>
      <x:c r="I315" s="8"/>
      <x:c r="J315" s="8"/>
      <x:c r="K315" s="8"/>
      <x:c r="L315" s="8"/>
      <x:c r="M315" s="10"/>
      <x:c r="N315" s="10"/>
      <x:c r="O315" s="8"/>
      <x:c r="P315" s="9" t="str">
        <x:f>IF(C315="","",IF(AND(G315="Applicable",H315="Fail"),"Fail",IF(R315&lt;&gt;"Valid","Pending",IF(OR(I315="",K315="",L315="",K315=L315,NOT(ISNUMBER(M315)),NOT(ISNUMBER(N315)),M315&gt;Settings!$F$8,N315&lt;Settings!$F$8,N315&lt;M315),"Pending",IF(AND(G315="Applicable",H315="Pass"),"Pass",IF(AND(G315="N/A",H315="N/A",J315&lt;&gt;"",OR(E315="CEM-FUELS",E315="CEM-CCS",AND(E315="CEM-PLAN",IFERROR(INDEX('Taxonomy'!$M$9:$M$108,MATCH(D315,'Taxonomy'!$C$9:$C$108,0)),"")&lt;&gt;"Amber"),E315="BLD-TIMBER",AND(U315="Building equipment",OR(E315="BLD-WATER",E315="BLD-WASTE",E315="BLD-LAND")),AND(U315="Building renovation",E315="BLD-LAND"))),"N/A","Pending"))))))</x:f>
      </x:c>
      <x:c r="Q315" s="3" t="str">
        <x:f>IF(C315="","",IF(AND(R315="Valid",OR(P315="Pass",P315="N/A")),"Complete","Unresolved"))</x:f>
      </x:c>
      <x:c r="R315" s="9" t="str">
        <x:f>IF(C315="","",IF(OR(COUNTIF($C$9:$C$2008,C315)&lt;&gt;1,COUNTIFS($D$9:$D$2008,D315,$E$9:$E$2008,E315)&lt;&gt;1),"Duplicate test",IF(COUNTIF('Taxonomy'!$C$9:$C$108,D315)&lt;&gt;1,"Assessment key",IF(OR(COUNTIF('Taxonomy Rules'!$C$42:$C$68,E315)&lt;&gt;1,F315&lt;&gt;IFERROR(INDEX('Taxonomy Rules'!$D$42:$D$68,MATCH(E315,'Taxonomy Rules'!$C$42:$C$68,0)),""),NOT(OR(IFERROR(INDEX('Taxonomy Rules'!$G$42:$G$68,MATCH(E315,'Taxonomy Rules'!$C$42:$C$68,0)),"")="All supported routes",IFERROR(INDEX('Taxonomy Rules'!$G$42:$G$68,MATCH(E315,'Taxonomy Rules'!$C$42:$C$68,0)),"")=U315,AND(IFERROR(INDEX('Taxonomy Rules'!$G$42:$G$68,MATCH(E315,'Taxonomy Rules'!$C$42:$C$68,0)),"")="Building routes",OR(U315="Building renovation",U315="New building",U315="Building equipment"))))),"Unexpected test","Valid"))))</x:f>
      </x:c>
      <x:c r="S315" s="9" t="str">
        <x:f>IF(C315="","",IFERROR(INDEX('Taxonomy Rules'!$E$42:$E$68,MATCH(E315,'Taxonomy Rules'!$C$42:$C$68,0)),""))</x:f>
      </x:c>
      <x:c r="T315" s="9" t="str">
        <x:f>IF(C315="","",IFERROR(INDEX('Taxonomy Rules'!$F$42:$F$68,MATCH(E315,'Taxonomy Rules'!$C$42:$C$68,0)),""))</x:f>
      </x:c>
      <x:c r="U315" s="9" t="str">
        <x:f>IF(C315="","",IFERROR(INDEX('Taxonomy'!$G$9:$G$108,MATCH(D315,'Taxonomy'!$C$9:$C$108,0)),""))</x:f>
      </x:c>
    </x:row>
    <x:row r="316" ht="44" customHeight="1">
      <x:c r="A316" s="1"/>
      <x:c r="B316" s="1"/>
      <x:c r="C316" s="8"/>
      <x:c r="D316" s="8"/>
      <x:c r="E316" s="8"/>
      <x:c r="F316" s="8"/>
      <x:c r="G316" s="8"/>
      <x:c r="H316" s="8"/>
      <x:c r="I316" s="8"/>
      <x:c r="J316" s="8"/>
      <x:c r="K316" s="8"/>
      <x:c r="L316" s="8"/>
      <x:c r="M316" s="10"/>
      <x:c r="N316" s="10"/>
      <x:c r="O316" s="8"/>
      <x:c r="P316" s="9" t="str">
        <x:f>IF(C316="","",IF(AND(G316="Applicable",H316="Fail"),"Fail",IF(R316&lt;&gt;"Valid","Pending",IF(OR(I316="",K316="",L316="",K316=L316,NOT(ISNUMBER(M316)),NOT(ISNUMBER(N316)),M316&gt;Settings!$F$8,N316&lt;Settings!$F$8,N316&lt;M316),"Pending",IF(AND(G316="Applicable",H316="Pass"),"Pass",IF(AND(G316="N/A",H316="N/A",J316&lt;&gt;"",OR(E316="CEM-FUELS",E316="CEM-CCS",AND(E316="CEM-PLAN",IFERROR(INDEX('Taxonomy'!$M$9:$M$108,MATCH(D316,'Taxonomy'!$C$9:$C$108,0)),"")&lt;&gt;"Amber"),E316="BLD-TIMBER",AND(U316="Building equipment",OR(E316="BLD-WATER",E316="BLD-WASTE",E316="BLD-LAND")),AND(U316="Building renovation",E316="BLD-LAND"))),"N/A","Pending"))))))</x:f>
      </x:c>
      <x:c r="Q316" s="3" t="str">
        <x:f>IF(C316="","",IF(AND(R316="Valid",OR(P316="Pass",P316="N/A")),"Complete","Unresolved"))</x:f>
      </x:c>
      <x:c r="R316" s="9" t="str">
        <x:f>IF(C316="","",IF(OR(COUNTIF($C$9:$C$2008,C316)&lt;&gt;1,COUNTIFS($D$9:$D$2008,D316,$E$9:$E$2008,E316)&lt;&gt;1),"Duplicate test",IF(COUNTIF('Taxonomy'!$C$9:$C$108,D316)&lt;&gt;1,"Assessment key",IF(OR(COUNTIF('Taxonomy Rules'!$C$42:$C$68,E316)&lt;&gt;1,F316&lt;&gt;IFERROR(INDEX('Taxonomy Rules'!$D$42:$D$68,MATCH(E316,'Taxonomy Rules'!$C$42:$C$68,0)),""),NOT(OR(IFERROR(INDEX('Taxonomy Rules'!$G$42:$G$68,MATCH(E316,'Taxonomy Rules'!$C$42:$C$68,0)),"")="All supported routes",IFERROR(INDEX('Taxonomy Rules'!$G$42:$G$68,MATCH(E316,'Taxonomy Rules'!$C$42:$C$68,0)),"")=U316,AND(IFERROR(INDEX('Taxonomy Rules'!$G$42:$G$68,MATCH(E316,'Taxonomy Rules'!$C$42:$C$68,0)),"")="Building routes",OR(U316="Building renovation",U316="New building",U316="Building equipment"))))),"Unexpected test","Valid"))))</x:f>
      </x:c>
      <x:c r="S316" s="9" t="str">
        <x:f>IF(C316="","",IFERROR(INDEX('Taxonomy Rules'!$E$42:$E$68,MATCH(E316,'Taxonomy Rules'!$C$42:$C$68,0)),""))</x:f>
      </x:c>
      <x:c r="T316" s="9" t="str">
        <x:f>IF(C316="","",IFERROR(INDEX('Taxonomy Rules'!$F$42:$F$68,MATCH(E316,'Taxonomy Rules'!$C$42:$C$68,0)),""))</x:f>
      </x:c>
      <x:c r="U316" s="9" t="str">
        <x:f>IF(C316="","",IFERROR(INDEX('Taxonomy'!$G$9:$G$108,MATCH(D316,'Taxonomy'!$C$9:$C$108,0)),""))</x:f>
      </x:c>
    </x:row>
    <x:row r="317" ht="44" customHeight="1">
      <x:c r="A317" s="1"/>
      <x:c r="B317" s="1"/>
      <x:c r="C317" s="8"/>
      <x:c r="D317" s="8"/>
      <x:c r="E317" s="8"/>
      <x:c r="F317" s="8"/>
      <x:c r="G317" s="8"/>
      <x:c r="H317" s="8"/>
      <x:c r="I317" s="8"/>
      <x:c r="J317" s="8"/>
      <x:c r="K317" s="8"/>
      <x:c r="L317" s="8"/>
      <x:c r="M317" s="10"/>
      <x:c r="N317" s="10"/>
      <x:c r="O317" s="8"/>
      <x:c r="P317" s="9" t="str">
        <x:f>IF(C317="","",IF(AND(G317="Applicable",H317="Fail"),"Fail",IF(R317&lt;&gt;"Valid","Pending",IF(OR(I317="",K317="",L317="",K317=L317,NOT(ISNUMBER(M317)),NOT(ISNUMBER(N317)),M317&gt;Settings!$F$8,N317&lt;Settings!$F$8,N317&lt;M317),"Pending",IF(AND(G317="Applicable",H317="Pass"),"Pass",IF(AND(G317="N/A",H317="N/A",J317&lt;&gt;"",OR(E317="CEM-FUELS",E317="CEM-CCS",AND(E317="CEM-PLAN",IFERROR(INDEX('Taxonomy'!$M$9:$M$108,MATCH(D317,'Taxonomy'!$C$9:$C$108,0)),"")&lt;&gt;"Amber"),E317="BLD-TIMBER",AND(U317="Building equipment",OR(E317="BLD-WATER",E317="BLD-WASTE",E317="BLD-LAND")),AND(U317="Building renovation",E317="BLD-LAND"))),"N/A","Pending"))))))</x:f>
      </x:c>
      <x:c r="Q317" s="3" t="str">
        <x:f>IF(C317="","",IF(AND(R317="Valid",OR(P317="Pass",P317="N/A")),"Complete","Unresolved"))</x:f>
      </x:c>
      <x:c r="R317" s="9" t="str">
        <x:f>IF(C317="","",IF(OR(COUNTIF($C$9:$C$2008,C317)&lt;&gt;1,COUNTIFS($D$9:$D$2008,D317,$E$9:$E$2008,E317)&lt;&gt;1),"Duplicate test",IF(COUNTIF('Taxonomy'!$C$9:$C$108,D317)&lt;&gt;1,"Assessment key",IF(OR(COUNTIF('Taxonomy Rules'!$C$42:$C$68,E317)&lt;&gt;1,F317&lt;&gt;IFERROR(INDEX('Taxonomy Rules'!$D$42:$D$68,MATCH(E317,'Taxonomy Rules'!$C$42:$C$68,0)),""),NOT(OR(IFERROR(INDEX('Taxonomy Rules'!$G$42:$G$68,MATCH(E317,'Taxonomy Rules'!$C$42:$C$68,0)),"")="All supported routes",IFERROR(INDEX('Taxonomy Rules'!$G$42:$G$68,MATCH(E317,'Taxonomy Rules'!$C$42:$C$68,0)),"")=U317,AND(IFERROR(INDEX('Taxonomy Rules'!$G$42:$G$68,MATCH(E317,'Taxonomy Rules'!$C$42:$C$68,0)),"")="Building routes",OR(U317="Building renovation",U317="New building",U317="Building equipment"))))),"Unexpected test","Valid"))))</x:f>
      </x:c>
      <x:c r="S317" s="9" t="str">
        <x:f>IF(C317="","",IFERROR(INDEX('Taxonomy Rules'!$E$42:$E$68,MATCH(E317,'Taxonomy Rules'!$C$42:$C$68,0)),""))</x:f>
      </x:c>
      <x:c r="T317" s="9" t="str">
        <x:f>IF(C317="","",IFERROR(INDEX('Taxonomy Rules'!$F$42:$F$68,MATCH(E317,'Taxonomy Rules'!$C$42:$C$68,0)),""))</x:f>
      </x:c>
      <x:c r="U317" s="9" t="str">
        <x:f>IF(C317="","",IFERROR(INDEX('Taxonomy'!$G$9:$G$108,MATCH(D317,'Taxonomy'!$C$9:$C$108,0)),""))</x:f>
      </x:c>
    </x:row>
    <x:row r="318" ht="44" customHeight="1">
      <x:c r="A318" s="1"/>
      <x:c r="B318" s="1"/>
      <x:c r="C318" s="8"/>
      <x:c r="D318" s="8"/>
      <x:c r="E318" s="8"/>
      <x:c r="F318" s="8"/>
      <x:c r="G318" s="8"/>
      <x:c r="H318" s="8"/>
      <x:c r="I318" s="8"/>
      <x:c r="J318" s="8"/>
      <x:c r="K318" s="8"/>
      <x:c r="L318" s="8"/>
      <x:c r="M318" s="10"/>
      <x:c r="N318" s="10"/>
      <x:c r="O318" s="8"/>
      <x:c r="P318" s="9" t="str">
        <x:f>IF(C318="","",IF(AND(G318="Applicable",H318="Fail"),"Fail",IF(R318&lt;&gt;"Valid","Pending",IF(OR(I318="",K318="",L318="",K318=L318,NOT(ISNUMBER(M318)),NOT(ISNUMBER(N318)),M318&gt;Settings!$F$8,N318&lt;Settings!$F$8,N318&lt;M318),"Pending",IF(AND(G318="Applicable",H318="Pass"),"Pass",IF(AND(G318="N/A",H318="N/A",J318&lt;&gt;"",OR(E318="CEM-FUELS",E318="CEM-CCS",AND(E318="CEM-PLAN",IFERROR(INDEX('Taxonomy'!$M$9:$M$108,MATCH(D318,'Taxonomy'!$C$9:$C$108,0)),"")&lt;&gt;"Amber"),E318="BLD-TIMBER",AND(U318="Building equipment",OR(E318="BLD-WATER",E318="BLD-WASTE",E318="BLD-LAND")),AND(U318="Building renovation",E318="BLD-LAND"))),"N/A","Pending"))))))</x:f>
      </x:c>
      <x:c r="Q318" s="3" t="str">
        <x:f>IF(C318="","",IF(AND(R318="Valid",OR(P318="Pass",P318="N/A")),"Complete","Unresolved"))</x:f>
      </x:c>
      <x:c r="R318" s="9" t="str">
        <x:f>IF(C318="","",IF(OR(COUNTIF($C$9:$C$2008,C318)&lt;&gt;1,COUNTIFS($D$9:$D$2008,D318,$E$9:$E$2008,E318)&lt;&gt;1),"Duplicate test",IF(COUNTIF('Taxonomy'!$C$9:$C$108,D318)&lt;&gt;1,"Assessment key",IF(OR(COUNTIF('Taxonomy Rules'!$C$42:$C$68,E318)&lt;&gt;1,F318&lt;&gt;IFERROR(INDEX('Taxonomy Rules'!$D$42:$D$68,MATCH(E318,'Taxonomy Rules'!$C$42:$C$68,0)),""),NOT(OR(IFERROR(INDEX('Taxonomy Rules'!$G$42:$G$68,MATCH(E318,'Taxonomy Rules'!$C$42:$C$68,0)),"")="All supported routes",IFERROR(INDEX('Taxonomy Rules'!$G$42:$G$68,MATCH(E318,'Taxonomy Rules'!$C$42:$C$68,0)),"")=U318,AND(IFERROR(INDEX('Taxonomy Rules'!$G$42:$G$68,MATCH(E318,'Taxonomy Rules'!$C$42:$C$68,0)),"")="Building routes",OR(U318="Building renovation",U318="New building",U318="Building equipment"))))),"Unexpected test","Valid"))))</x:f>
      </x:c>
      <x:c r="S318" s="9" t="str">
        <x:f>IF(C318="","",IFERROR(INDEX('Taxonomy Rules'!$E$42:$E$68,MATCH(E318,'Taxonomy Rules'!$C$42:$C$68,0)),""))</x:f>
      </x:c>
      <x:c r="T318" s="9" t="str">
        <x:f>IF(C318="","",IFERROR(INDEX('Taxonomy Rules'!$F$42:$F$68,MATCH(E318,'Taxonomy Rules'!$C$42:$C$68,0)),""))</x:f>
      </x:c>
      <x:c r="U318" s="9" t="str">
        <x:f>IF(C318="","",IFERROR(INDEX('Taxonomy'!$G$9:$G$108,MATCH(D318,'Taxonomy'!$C$9:$C$108,0)),""))</x:f>
      </x:c>
    </x:row>
    <x:row r="319" ht="44" customHeight="1">
      <x:c r="A319" s="1"/>
      <x:c r="B319" s="1"/>
      <x:c r="C319" s="8"/>
      <x:c r="D319" s="8"/>
      <x:c r="E319" s="8"/>
      <x:c r="F319" s="8"/>
      <x:c r="G319" s="8"/>
      <x:c r="H319" s="8"/>
      <x:c r="I319" s="8"/>
      <x:c r="J319" s="8"/>
      <x:c r="K319" s="8"/>
      <x:c r="L319" s="8"/>
      <x:c r="M319" s="10"/>
      <x:c r="N319" s="10"/>
      <x:c r="O319" s="8"/>
      <x:c r="P319" s="9" t="str">
        <x:f>IF(C319="","",IF(AND(G319="Applicable",H319="Fail"),"Fail",IF(R319&lt;&gt;"Valid","Pending",IF(OR(I319="",K319="",L319="",K319=L319,NOT(ISNUMBER(M319)),NOT(ISNUMBER(N319)),M319&gt;Settings!$F$8,N319&lt;Settings!$F$8,N319&lt;M319),"Pending",IF(AND(G319="Applicable",H319="Pass"),"Pass",IF(AND(G319="N/A",H319="N/A",J319&lt;&gt;"",OR(E319="CEM-FUELS",E319="CEM-CCS",AND(E319="CEM-PLAN",IFERROR(INDEX('Taxonomy'!$M$9:$M$108,MATCH(D319,'Taxonomy'!$C$9:$C$108,0)),"")&lt;&gt;"Amber"),E319="BLD-TIMBER",AND(U319="Building equipment",OR(E319="BLD-WATER",E319="BLD-WASTE",E319="BLD-LAND")),AND(U319="Building renovation",E319="BLD-LAND"))),"N/A","Pending"))))))</x:f>
      </x:c>
      <x:c r="Q319" s="3" t="str">
        <x:f>IF(C319="","",IF(AND(R319="Valid",OR(P319="Pass",P319="N/A")),"Complete","Unresolved"))</x:f>
      </x:c>
      <x:c r="R319" s="9" t="str">
        <x:f>IF(C319="","",IF(OR(COUNTIF($C$9:$C$2008,C319)&lt;&gt;1,COUNTIFS($D$9:$D$2008,D319,$E$9:$E$2008,E319)&lt;&gt;1),"Duplicate test",IF(COUNTIF('Taxonomy'!$C$9:$C$108,D319)&lt;&gt;1,"Assessment key",IF(OR(COUNTIF('Taxonomy Rules'!$C$42:$C$68,E319)&lt;&gt;1,F319&lt;&gt;IFERROR(INDEX('Taxonomy Rules'!$D$42:$D$68,MATCH(E319,'Taxonomy Rules'!$C$42:$C$68,0)),""),NOT(OR(IFERROR(INDEX('Taxonomy Rules'!$G$42:$G$68,MATCH(E319,'Taxonomy Rules'!$C$42:$C$68,0)),"")="All supported routes",IFERROR(INDEX('Taxonomy Rules'!$G$42:$G$68,MATCH(E319,'Taxonomy Rules'!$C$42:$C$68,0)),"")=U319,AND(IFERROR(INDEX('Taxonomy Rules'!$G$42:$G$68,MATCH(E319,'Taxonomy Rules'!$C$42:$C$68,0)),"")="Building routes",OR(U319="Building renovation",U319="New building",U319="Building equipment"))))),"Unexpected test","Valid"))))</x:f>
      </x:c>
      <x:c r="S319" s="9" t="str">
        <x:f>IF(C319="","",IFERROR(INDEX('Taxonomy Rules'!$E$42:$E$68,MATCH(E319,'Taxonomy Rules'!$C$42:$C$68,0)),""))</x:f>
      </x:c>
      <x:c r="T319" s="9" t="str">
        <x:f>IF(C319="","",IFERROR(INDEX('Taxonomy Rules'!$F$42:$F$68,MATCH(E319,'Taxonomy Rules'!$C$42:$C$68,0)),""))</x:f>
      </x:c>
      <x:c r="U319" s="9" t="str">
        <x:f>IF(C319="","",IFERROR(INDEX('Taxonomy'!$G$9:$G$108,MATCH(D319,'Taxonomy'!$C$9:$C$108,0)),""))</x:f>
      </x:c>
    </x:row>
    <x:row r="320" ht="44" customHeight="1">
      <x:c r="A320" s="1"/>
      <x:c r="B320" s="1"/>
      <x:c r="C320" s="8"/>
      <x:c r="D320" s="8"/>
      <x:c r="E320" s="8"/>
      <x:c r="F320" s="8"/>
      <x:c r="G320" s="8"/>
      <x:c r="H320" s="8"/>
      <x:c r="I320" s="8"/>
      <x:c r="J320" s="8"/>
      <x:c r="K320" s="8"/>
      <x:c r="L320" s="8"/>
      <x:c r="M320" s="10"/>
      <x:c r="N320" s="10"/>
      <x:c r="O320" s="8"/>
      <x:c r="P320" s="9" t="str">
        <x:f>IF(C320="","",IF(AND(G320="Applicable",H320="Fail"),"Fail",IF(R320&lt;&gt;"Valid","Pending",IF(OR(I320="",K320="",L320="",K320=L320,NOT(ISNUMBER(M320)),NOT(ISNUMBER(N320)),M320&gt;Settings!$F$8,N320&lt;Settings!$F$8,N320&lt;M320),"Pending",IF(AND(G320="Applicable",H320="Pass"),"Pass",IF(AND(G320="N/A",H320="N/A",J320&lt;&gt;"",OR(E320="CEM-FUELS",E320="CEM-CCS",AND(E320="CEM-PLAN",IFERROR(INDEX('Taxonomy'!$M$9:$M$108,MATCH(D320,'Taxonomy'!$C$9:$C$108,0)),"")&lt;&gt;"Amber"),E320="BLD-TIMBER",AND(U320="Building equipment",OR(E320="BLD-WATER",E320="BLD-WASTE",E320="BLD-LAND")),AND(U320="Building renovation",E320="BLD-LAND"))),"N/A","Pending"))))))</x:f>
      </x:c>
      <x:c r="Q320" s="3" t="str">
        <x:f>IF(C320="","",IF(AND(R320="Valid",OR(P320="Pass",P320="N/A")),"Complete","Unresolved"))</x:f>
      </x:c>
      <x:c r="R320" s="9" t="str">
        <x:f>IF(C320="","",IF(OR(COUNTIF($C$9:$C$2008,C320)&lt;&gt;1,COUNTIFS($D$9:$D$2008,D320,$E$9:$E$2008,E320)&lt;&gt;1),"Duplicate test",IF(COUNTIF('Taxonomy'!$C$9:$C$108,D320)&lt;&gt;1,"Assessment key",IF(OR(COUNTIF('Taxonomy Rules'!$C$42:$C$68,E320)&lt;&gt;1,F320&lt;&gt;IFERROR(INDEX('Taxonomy Rules'!$D$42:$D$68,MATCH(E320,'Taxonomy Rules'!$C$42:$C$68,0)),""),NOT(OR(IFERROR(INDEX('Taxonomy Rules'!$G$42:$G$68,MATCH(E320,'Taxonomy Rules'!$C$42:$C$68,0)),"")="All supported routes",IFERROR(INDEX('Taxonomy Rules'!$G$42:$G$68,MATCH(E320,'Taxonomy Rules'!$C$42:$C$68,0)),"")=U320,AND(IFERROR(INDEX('Taxonomy Rules'!$G$42:$G$68,MATCH(E320,'Taxonomy Rules'!$C$42:$C$68,0)),"")="Building routes",OR(U320="Building renovation",U320="New building",U320="Building equipment"))))),"Unexpected test","Valid"))))</x:f>
      </x:c>
      <x:c r="S320" s="9" t="str">
        <x:f>IF(C320="","",IFERROR(INDEX('Taxonomy Rules'!$E$42:$E$68,MATCH(E320,'Taxonomy Rules'!$C$42:$C$68,0)),""))</x:f>
      </x:c>
      <x:c r="T320" s="9" t="str">
        <x:f>IF(C320="","",IFERROR(INDEX('Taxonomy Rules'!$F$42:$F$68,MATCH(E320,'Taxonomy Rules'!$C$42:$C$68,0)),""))</x:f>
      </x:c>
      <x:c r="U320" s="9" t="str">
        <x:f>IF(C320="","",IFERROR(INDEX('Taxonomy'!$G$9:$G$108,MATCH(D320,'Taxonomy'!$C$9:$C$108,0)),""))</x:f>
      </x:c>
    </x:row>
    <x:row r="321" ht="44" customHeight="1">
      <x:c r="A321" s="1"/>
      <x:c r="B321" s="1"/>
      <x:c r="C321" s="8"/>
      <x:c r="D321" s="8"/>
      <x:c r="E321" s="8"/>
      <x:c r="F321" s="8"/>
      <x:c r="G321" s="8"/>
      <x:c r="H321" s="8"/>
      <x:c r="I321" s="8"/>
      <x:c r="J321" s="8"/>
      <x:c r="K321" s="8"/>
      <x:c r="L321" s="8"/>
      <x:c r="M321" s="10"/>
      <x:c r="N321" s="10"/>
      <x:c r="O321" s="8"/>
      <x:c r="P321" s="9" t="str">
        <x:f>IF(C321="","",IF(AND(G321="Applicable",H321="Fail"),"Fail",IF(R321&lt;&gt;"Valid","Pending",IF(OR(I321="",K321="",L321="",K321=L321,NOT(ISNUMBER(M321)),NOT(ISNUMBER(N321)),M321&gt;Settings!$F$8,N321&lt;Settings!$F$8,N321&lt;M321),"Pending",IF(AND(G321="Applicable",H321="Pass"),"Pass",IF(AND(G321="N/A",H321="N/A",J321&lt;&gt;"",OR(E321="CEM-FUELS",E321="CEM-CCS",AND(E321="CEM-PLAN",IFERROR(INDEX('Taxonomy'!$M$9:$M$108,MATCH(D321,'Taxonomy'!$C$9:$C$108,0)),"")&lt;&gt;"Amber"),E321="BLD-TIMBER",AND(U321="Building equipment",OR(E321="BLD-WATER",E321="BLD-WASTE",E321="BLD-LAND")),AND(U321="Building renovation",E321="BLD-LAND"))),"N/A","Pending"))))))</x:f>
      </x:c>
      <x:c r="Q321" s="3" t="str">
        <x:f>IF(C321="","",IF(AND(R321="Valid",OR(P321="Pass",P321="N/A")),"Complete","Unresolved"))</x:f>
      </x:c>
      <x:c r="R321" s="9" t="str">
        <x:f>IF(C321="","",IF(OR(COUNTIF($C$9:$C$2008,C321)&lt;&gt;1,COUNTIFS($D$9:$D$2008,D321,$E$9:$E$2008,E321)&lt;&gt;1),"Duplicate test",IF(COUNTIF('Taxonomy'!$C$9:$C$108,D321)&lt;&gt;1,"Assessment key",IF(OR(COUNTIF('Taxonomy Rules'!$C$42:$C$68,E321)&lt;&gt;1,F321&lt;&gt;IFERROR(INDEX('Taxonomy Rules'!$D$42:$D$68,MATCH(E321,'Taxonomy Rules'!$C$42:$C$68,0)),""),NOT(OR(IFERROR(INDEX('Taxonomy Rules'!$G$42:$G$68,MATCH(E321,'Taxonomy Rules'!$C$42:$C$68,0)),"")="All supported routes",IFERROR(INDEX('Taxonomy Rules'!$G$42:$G$68,MATCH(E321,'Taxonomy Rules'!$C$42:$C$68,0)),"")=U321,AND(IFERROR(INDEX('Taxonomy Rules'!$G$42:$G$68,MATCH(E321,'Taxonomy Rules'!$C$42:$C$68,0)),"")="Building routes",OR(U321="Building renovation",U321="New building",U321="Building equipment"))))),"Unexpected test","Valid"))))</x:f>
      </x:c>
      <x:c r="S321" s="9" t="str">
        <x:f>IF(C321="","",IFERROR(INDEX('Taxonomy Rules'!$E$42:$E$68,MATCH(E321,'Taxonomy Rules'!$C$42:$C$68,0)),""))</x:f>
      </x:c>
      <x:c r="T321" s="9" t="str">
        <x:f>IF(C321="","",IFERROR(INDEX('Taxonomy Rules'!$F$42:$F$68,MATCH(E321,'Taxonomy Rules'!$C$42:$C$68,0)),""))</x:f>
      </x:c>
      <x:c r="U321" s="9" t="str">
        <x:f>IF(C321="","",IFERROR(INDEX('Taxonomy'!$G$9:$G$108,MATCH(D321,'Taxonomy'!$C$9:$C$108,0)),""))</x:f>
      </x:c>
    </x:row>
    <x:row r="322" ht="44" customHeight="1">
      <x:c r="A322" s="1"/>
      <x:c r="B322" s="1"/>
      <x:c r="C322" s="8"/>
      <x:c r="D322" s="8"/>
      <x:c r="E322" s="8"/>
      <x:c r="F322" s="8"/>
      <x:c r="G322" s="8"/>
      <x:c r="H322" s="8"/>
      <x:c r="I322" s="8"/>
      <x:c r="J322" s="8"/>
      <x:c r="K322" s="8"/>
      <x:c r="L322" s="8"/>
      <x:c r="M322" s="10"/>
      <x:c r="N322" s="10"/>
      <x:c r="O322" s="8"/>
      <x:c r="P322" s="9" t="str">
        <x:f>IF(C322="","",IF(AND(G322="Applicable",H322="Fail"),"Fail",IF(R322&lt;&gt;"Valid","Pending",IF(OR(I322="",K322="",L322="",K322=L322,NOT(ISNUMBER(M322)),NOT(ISNUMBER(N322)),M322&gt;Settings!$F$8,N322&lt;Settings!$F$8,N322&lt;M322),"Pending",IF(AND(G322="Applicable",H322="Pass"),"Pass",IF(AND(G322="N/A",H322="N/A",J322&lt;&gt;"",OR(E322="CEM-FUELS",E322="CEM-CCS",AND(E322="CEM-PLAN",IFERROR(INDEX('Taxonomy'!$M$9:$M$108,MATCH(D322,'Taxonomy'!$C$9:$C$108,0)),"")&lt;&gt;"Amber"),E322="BLD-TIMBER",AND(U322="Building equipment",OR(E322="BLD-WATER",E322="BLD-WASTE",E322="BLD-LAND")),AND(U322="Building renovation",E322="BLD-LAND"))),"N/A","Pending"))))))</x:f>
      </x:c>
      <x:c r="Q322" s="3" t="str">
        <x:f>IF(C322="","",IF(AND(R322="Valid",OR(P322="Pass",P322="N/A")),"Complete","Unresolved"))</x:f>
      </x:c>
      <x:c r="R322" s="9" t="str">
        <x:f>IF(C322="","",IF(OR(COUNTIF($C$9:$C$2008,C322)&lt;&gt;1,COUNTIFS($D$9:$D$2008,D322,$E$9:$E$2008,E322)&lt;&gt;1),"Duplicate test",IF(COUNTIF('Taxonomy'!$C$9:$C$108,D322)&lt;&gt;1,"Assessment key",IF(OR(COUNTIF('Taxonomy Rules'!$C$42:$C$68,E322)&lt;&gt;1,F322&lt;&gt;IFERROR(INDEX('Taxonomy Rules'!$D$42:$D$68,MATCH(E322,'Taxonomy Rules'!$C$42:$C$68,0)),""),NOT(OR(IFERROR(INDEX('Taxonomy Rules'!$G$42:$G$68,MATCH(E322,'Taxonomy Rules'!$C$42:$C$68,0)),"")="All supported routes",IFERROR(INDEX('Taxonomy Rules'!$G$42:$G$68,MATCH(E322,'Taxonomy Rules'!$C$42:$C$68,0)),"")=U322,AND(IFERROR(INDEX('Taxonomy Rules'!$G$42:$G$68,MATCH(E322,'Taxonomy Rules'!$C$42:$C$68,0)),"")="Building routes",OR(U322="Building renovation",U322="New building",U322="Building equipment"))))),"Unexpected test","Valid"))))</x:f>
      </x:c>
      <x:c r="S322" s="9" t="str">
        <x:f>IF(C322="","",IFERROR(INDEX('Taxonomy Rules'!$E$42:$E$68,MATCH(E322,'Taxonomy Rules'!$C$42:$C$68,0)),""))</x:f>
      </x:c>
      <x:c r="T322" s="9" t="str">
        <x:f>IF(C322="","",IFERROR(INDEX('Taxonomy Rules'!$F$42:$F$68,MATCH(E322,'Taxonomy Rules'!$C$42:$C$68,0)),""))</x:f>
      </x:c>
      <x:c r="U322" s="9" t="str">
        <x:f>IF(C322="","",IFERROR(INDEX('Taxonomy'!$G$9:$G$108,MATCH(D322,'Taxonomy'!$C$9:$C$108,0)),""))</x:f>
      </x:c>
    </x:row>
    <x:row r="323" ht="44" customHeight="1">
      <x:c r="A323" s="1"/>
      <x:c r="B323" s="1"/>
      <x:c r="C323" s="8"/>
      <x:c r="D323" s="8"/>
      <x:c r="E323" s="8"/>
      <x:c r="F323" s="8"/>
      <x:c r="G323" s="8"/>
      <x:c r="H323" s="8"/>
      <x:c r="I323" s="8"/>
      <x:c r="J323" s="8"/>
      <x:c r="K323" s="8"/>
      <x:c r="L323" s="8"/>
      <x:c r="M323" s="10"/>
      <x:c r="N323" s="10"/>
      <x:c r="O323" s="8"/>
      <x:c r="P323" s="9" t="str">
        <x:f>IF(C323="","",IF(AND(G323="Applicable",H323="Fail"),"Fail",IF(R323&lt;&gt;"Valid","Pending",IF(OR(I323="",K323="",L323="",K323=L323,NOT(ISNUMBER(M323)),NOT(ISNUMBER(N323)),M323&gt;Settings!$F$8,N323&lt;Settings!$F$8,N323&lt;M323),"Pending",IF(AND(G323="Applicable",H323="Pass"),"Pass",IF(AND(G323="N/A",H323="N/A",J323&lt;&gt;"",OR(E323="CEM-FUELS",E323="CEM-CCS",AND(E323="CEM-PLAN",IFERROR(INDEX('Taxonomy'!$M$9:$M$108,MATCH(D323,'Taxonomy'!$C$9:$C$108,0)),"")&lt;&gt;"Amber"),E323="BLD-TIMBER",AND(U323="Building equipment",OR(E323="BLD-WATER",E323="BLD-WASTE",E323="BLD-LAND")),AND(U323="Building renovation",E323="BLD-LAND"))),"N/A","Pending"))))))</x:f>
      </x:c>
      <x:c r="Q323" s="3" t="str">
        <x:f>IF(C323="","",IF(AND(R323="Valid",OR(P323="Pass",P323="N/A")),"Complete","Unresolved"))</x:f>
      </x:c>
      <x:c r="R323" s="9" t="str">
        <x:f>IF(C323="","",IF(OR(COUNTIF($C$9:$C$2008,C323)&lt;&gt;1,COUNTIFS($D$9:$D$2008,D323,$E$9:$E$2008,E323)&lt;&gt;1),"Duplicate test",IF(COUNTIF('Taxonomy'!$C$9:$C$108,D323)&lt;&gt;1,"Assessment key",IF(OR(COUNTIF('Taxonomy Rules'!$C$42:$C$68,E323)&lt;&gt;1,F323&lt;&gt;IFERROR(INDEX('Taxonomy Rules'!$D$42:$D$68,MATCH(E323,'Taxonomy Rules'!$C$42:$C$68,0)),""),NOT(OR(IFERROR(INDEX('Taxonomy Rules'!$G$42:$G$68,MATCH(E323,'Taxonomy Rules'!$C$42:$C$68,0)),"")="All supported routes",IFERROR(INDEX('Taxonomy Rules'!$G$42:$G$68,MATCH(E323,'Taxonomy Rules'!$C$42:$C$68,0)),"")=U323,AND(IFERROR(INDEX('Taxonomy Rules'!$G$42:$G$68,MATCH(E323,'Taxonomy Rules'!$C$42:$C$68,0)),"")="Building routes",OR(U323="Building renovation",U323="New building",U323="Building equipment"))))),"Unexpected test","Valid"))))</x:f>
      </x:c>
      <x:c r="S323" s="9" t="str">
        <x:f>IF(C323="","",IFERROR(INDEX('Taxonomy Rules'!$E$42:$E$68,MATCH(E323,'Taxonomy Rules'!$C$42:$C$68,0)),""))</x:f>
      </x:c>
      <x:c r="T323" s="9" t="str">
        <x:f>IF(C323="","",IFERROR(INDEX('Taxonomy Rules'!$F$42:$F$68,MATCH(E323,'Taxonomy Rules'!$C$42:$C$68,0)),""))</x:f>
      </x:c>
      <x:c r="U323" s="9" t="str">
        <x:f>IF(C323="","",IFERROR(INDEX('Taxonomy'!$G$9:$G$108,MATCH(D323,'Taxonomy'!$C$9:$C$108,0)),""))</x:f>
      </x:c>
    </x:row>
    <x:row r="324" ht="44" customHeight="1">
      <x:c r="A324" s="1"/>
      <x:c r="B324" s="1"/>
      <x:c r="C324" s="8"/>
      <x:c r="D324" s="8"/>
      <x:c r="E324" s="8"/>
      <x:c r="F324" s="8"/>
      <x:c r="G324" s="8"/>
      <x:c r="H324" s="8"/>
      <x:c r="I324" s="8"/>
      <x:c r="J324" s="8"/>
      <x:c r="K324" s="8"/>
      <x:c r="L324" s="8"/>
      <x:c r="M324" s="10"/>
      <x:c r="N324" s="10"/>
      <x:c r="O324" s="8"/>
      <x:c r="P324" s="9" t="str">
        <x:f>IF(C324="","",IF(AND(G324="Applicable",H324="Fail"),"Fail",IF(R324&lt;&gt;"Valid","Pending",IF(OR(I324="",K324="",L324="",K324=L324,NOT(ISNUMBER(M324)),NOT(ISNUMBER(N324)),M324&gt;Settings!$F$8,N324&lt;Settings!$F$8,N324&lt;M324),"Pending",IF(AND(G324="Applicable",H324="Pass"),"Pass",IF(AND(G324="N/A",H324="N/A",J324&lt;&gt;"",OR(E324="CEM-FUELS",E324="CEM-CCS",AND(E324="CEM-PLAN",IFERROR(INDEX('Taxonomy'!$M$9:$M$108,MATCH(D324,'Taxonomy'!$C$9:$C$108,0)),"")&lt;&gt;"Amber"),E324="BLD-TIMBER",AND(U324="Building equipment",OR(E324="BLD-WATER",E324="BLD-WASTE",E324="BLD-LAND")),AND(U324="Building renovation",E324="BLD-LAND"))),"N/A","Pending"))))))</x:f>
      </x:c>
      <x:c r="Q324" s="3" t="str">
        <x:f>IF(C324="","",IF(AND(R324="Valid",OR(P324="Pass",P324="N/A")),"Complete","Unresolved"))</x:f>
      </x:c>
      <x:c r="R324" s="9" t="str">
        <x:f>IF(C324="","",IF(OR(COUNTIF($C$9:$C$2008,C324)&lt;&gt;1,COUNTIFS($D$9:$D$2008,D324,$E$9:$E$2008,E324)&lt;&gt;1),"Duplicate test",IF(COUNTIF('Taxonomy'!$C$9:$C$108,D324)&lt;&gt;1,"Assessment key",IF(OR(COUNTIF('Taxonomy Rules'!$C$42:$C$68,E324)&lt;&gt;1,F324&lt;&gt;IFERROR(INDEX('Taxonomy Rules'!$D$42:$D$68,MATCH(E324,'Taxonomy Rules'!$C$42:$C$68,0)),""),NOT(OR(IFERROR(INDEX('Taxonomy Rules'!$G$42:$G$68,MATCH(E324,'Taxonomy Rules'!$C$42:$C$68,0)),"")="All supported routes",IFERROR(INDEX('Taxonomy Rules'!$G$42:$G$68,MATCH(E324,'Taxonomy Rules'!$C$42:$C$68,0)),"")=U324,AND(IFERROR(INDEX('Taxonomy Rules'!$G$42:$G$68,MATCH(E324,'Taxonomy Rules'!$C$42:$C$68,0)),"")="Building routes",OR(U324="Building renovation",U324="New building",U324="Building equipment"))))),"Unexpected test","Valid"))))</x:f>
      </x:c>
      <x:c r="S324" s="9" t="str">
        <x:f>IF(C324="","",IFERROR(INDEX('Taxonomy Rules'!$E$42:$E$68,MATCH(E324,'Taxonomy Rules'!$C$42:$C$68,0)),""))</x:f>
      </x:c>
      <x:c r="T324" s="9" t="str">
        <x:f>IF(C324="","",IFERROR(INDEX('Taxonomy Rules'!$F$42:$F$68,MATCH(E324,'Taxonomy Rules'!$C$42:$C$68,0)),""))</x:f>
      </x:c>
      <x:c r="U324" s="9" t="str">
        <x:f>IF(C324="","",IFERROR(INDEX('Taxonomy'!$G$9:$G$108,MATCH(D324,'Taxonomy'!$C$9:$C$108,0)),""))</x:f>
      </x:c>
    </x:row>
    <x:row r="325" ht="44" customHeight="1">
      <x:c r="A325" s="1"/>
      <x:c r="B325" s="1"/>
      <x:c r="C325" s="8"/>
      <x:c r="D325" s="8"/>
      <x:c r="E325" s="8"/>
      <x:c r="F325" s="8"/>
      <x:c r="G325" s="8"/>
      <x:c r="H325" s="8"/>
      <x:c r="I325" s="8"/>
      <x:c r="J325" s="8"/>
      <x:c r="K325" s="8"/>
      <x:c r="L325" s="8"/>
      <x:c r="M325" s="10"/>
      <x:c r="N325" s="10"/>
      <x:c r="O325" s="8"/>
      <x:c r="P325" s="9" t="str">
        <x:f>IF(C325="","",IF(AND(G325="Applicable",H325="Fail"),"Fail",IF(R325&lt;&gt;"Valid","Pending",IF(OR(I325="",K325="",L325="",K325=L325,NOT(ISNUMBER(M325)),NOT(ISNUMBER(N325)),M325&gt;Settings!$F$8,N325&lt;Settings!$F$8,N325&lt;M325),"Pending",IF(AND(G325="Applicable",H325="Pass"),"Pass",IF(AND(G325="N/A",H325="N/A",J325&lt;&gt;"",OR(E325="CEM-FUELS",E325="CEM-CCS",AND(E325="CEM-PLAN",IFERROR(INDEX('Taxonomy'!$M$9:$M$108,MATCH(D325,'Taxonomy'!$C$9:$C$108,0)),"")&lt;&gt;"Amber"),E325="BLD-TIMBER",AND(U325="Building equipment",OR(E325="BLD-WATER",E325="BLD-WASTE",E325="BLD-LAND")),AND(U325="Building renovation",E325="BLD-LAND"))),"N/A","Pending"))))))</x:f>
      </x:c>
      <x:c r="Q325" s="3" t="str">
        <x:f>IF(C325="","",IF(AND(R325="Valid",OR(P325="Pass",P325="N/A")),"Complete","Unresolved"))</x:f>
      </x:c>
      <x:c r="R325" s="9" t="str">
        <x:f>IF(C325="","",IF(OR(COUNTIF($C$9:$C$2008,C325)&lt;&gt;1,COUNTIFS($D$9:$D$2008,D325,$E$9:$E$2008,E325)&lt;&gt;1),"Duplicate test",IF(COUNTIF('Taxonomy'!$C$9:$C$108,D325)&lt;&gt;1,"Assessment key",IF(OR(COUNTIF('Taxonomy Rules'!$C$42:$C$68,E325)&lt;&gt;1,F325&lt;&gt;IFERROR(INDEX('Taxonomy Rules'!$D$42:$D$68,MATCH(E325,'Taxonomy Rules'!$C$42:$C$68,0)),""),NOT(OR(IFERROR(INDEX('Taxonomy Rules'!$G$42:$G$68,MATCH(E325,'Taxonomy Rules'!$C$42:$C$68,0)),"")="All supported routes",IFERROR(INDEX('Taxonomy Rules'!$G$42:$G$68,MATCH(E325,'Taxonomy Rules'!$C$42:$C$68,0)),"")=U325,AND(IFERROR(INDEX('Taxonomy Rules'!$G$42:$G$68,MATCH(E325,'Taxonomy Rules'!$C$42:$C$68,0)),"")="Building routes",OR(U325="Building renovation",U325="New building",U325="Building equipment"))))),"Unexpected test","Valid"))))</x:f>
      </x:c>
      <x:c r="S325" s="9" t="str">
        <x:f>IF(C325="","",IFERROR(INDEX('Taxonomy Rules'!$E$42:$E$68,MATCH(E325,'Taxonomy Rules'!$C$42:$C$68,0)),""))</x:f>
      </x:c>
      <x:c r="T325" s="9" t="str">
        <x:f>IF(C325="","",IFERROR(INDEX('Taxonomy Rules'!$F$42:$F$68,MATCH(E325,'Taxonomy Rules'!$C$42:$C$68,0)),""))</x:f>
      </x:c>
      <x:c r="U325" s="9" t="str">
        <x:f>IF(C325="","",IFERROR(INDEX('Taxonomy'!$G$9:$G$108,MATCH(D325,'Taxonomy'!$C$9:$C$108,0)),""))</x:f>
      </x:c>
    </x:row>
    <x:row r="326" ht="44" customHeight="1">
      <x:c r="A326" s="1"/>
      <x:c r="B326" s="1"/>
      <x:c r="C326" s="8"/>
      <x:c r="D326" s="8"/>
      <x:c r="E326" s="8"/>
      <x:c r="F326" s="8"/>
      <x:c r="G326" s="8"/>
      <x:c r="H326" s="8"/>
      <x:c r="I326" s="8"/>
      <x:c r="J326" s="8"/>
      <x:c r="K326" s="8"/>
      <x:c r="L326" s="8"/>
      <x:c r="M326" s="10"/>
      <x:c r="N326" s="10"/>
      <x:c r="O326" s="8"/>
      <x:c r="P326" s="9" t="str">
        <x:f>IF(C326="","",IF(AND(G326="Applicable",H326="Fail"),"Fail",IF(R326&lt;&gt;"Valid","Pending",IF(OR(I326="",K326="",L326="",K326=L326,NOT(ISNUMBER(M326)),NOT(ISNUMBER(N326)),M326&gt;Settings!$F$8,N326&lt;Settings!$F$8,N326&lt;M326),"Pending",IF(AND(G326="Applicable",H326="Pass"),"Pass",IF(AND(G326="N/A",H326="N/A",J326&lt;&gt;"",OR(E326="CEM-FUELS",E326="CEM-CCS",AND(E326="CEM-PLAN",IFERROR(INDEX('Taxonomy'!$M$9:$M$108,MATCH(D326,'Taxonomy'!$C$9:$C$108,0)),"")&lt;&gt;"Amber"),E326="BLD-TIMBER",AND(U326="Building equipment",OR(E326="BLD-WATER",E326="BLD-WASTE",E326="BLD-LAND")),AND(U326="Building renovation",E326="BLD-LAND"))),"N/A","Pending"))))))</x:f>
      </x:c>
      <x:c r="Q326" s="3" t="str">
        <x:f>IF(C326="","",IF(AND(R326="Valid",OR(P326="Pass",P326="N/A")),"Complete","Unresolved"))</x:f>
      </x:c>
      <x:c r="R326" s="9" t="str">
        <x:f>IF(C326="","",IF(OR(COUNTIF($C$9:$C$2008,C326)&lt;&gt;1,COUNTIFS($D$9:$D$2008,D326,$E$9:$E$2008,E326)&lt;&gt;1),"Duplicate test",IF(COUNTIF('Taxonomy'!$C$9:$C$108,D326)&lt;&gt;1,"Assessment key",IF(OR(COUNTIF('Taxonomy Rules'!$C$42:$C$68,E326)&lt;&gt;1,F326&lt;&gt;IFERROR(INDEX('Taxonomy Rules'!$D$42:$D$68,MATCH(E326,'Taxonomy Rules'!$C$42:$C$68,0)),""),NOT(OR(IFERROR(INDEX('Taxonomy Rules'!$G$42:$G$68,MATCH(E326,'Taxonomy Rules'!$C$42:$C$68,0)),"")="All supported routes",IFERROR(INDEX('Taxonomy Rules'!$G$42:$G$68,MATCH(E326,'Taxonomy Rules'!$C$42:$C$68,0)),"")=U326,AND(IFERROR(INDEX('Taxonomy Rules'!$G$42:$G$68,MATCH(E326,'Taxonomy Rules'!$C$42:$C$68,0)),"")="Building routes",OR(U326="Building renovation",U326="New building",U326="Building equipment"))))),"Unexpected test","Valid"))))</x:f>
      </x:c>
      <x:c r="S326" s="9" t="str">
        <x:f>IF(C326="","",IFERROR(INDEX('Taxonomy Rules'!$E$42:$E$68,MATCH(E326,'Taxonomy Rules'!$C$42:$C$68,0)),""))</x:f>
      </x:c>
      <x:c r="T326" s="9" t="str">
        <x:f>IF(C326="","",IFERROR(INDEX('Taxonomy Rules'!$F$42:$F$68,MATCH(E326,'Taxonomy Rules'!$C$42:$C$68,0)),""))</x:f>
      </x:c>
      <x:c r="U326" s="9" t="str">
        <x:f>IF(C326="","",IFERROR(INDEX('Taxonomy'!$G$9:$G$108,MATCH(D326,'Taxonomy'!$C$9:$C$108,0)),""))</x:f>
      </x:c>
    </x:row>
    <x:row r="327" ht="44" customHeight="1">
      <x:c r="A327" s="1"/>
      <x:c r="B327" s="1"/>
      <x:c r="C327" s="8"/>
      <x:c r="D327" s="8"/>
      <x:c r="E327" s="8"/>
      <x:c r="F327" s="8"/>
      <x:c r="G327" s="8"/>
      <x:c r="H327" s="8"/>
      <x:c r="I327" s="8"/>
      <x:c r="J327" s="8"/>
      <x:c r="K327" s="8"/>
      <x:c r="L327" s="8"/>
      <x:c r="M327" s="10"/>
      <x:c r="N327" s="10"/>
      <x:c r="O327" s="8"/>
      <x:c r="P327" s="9" t="str">
        <x:f>IF(C327="","",IF(AND(G327="Applicable",H327="Fail"),"Fail",IF(R327&lt;&gt;"Valid","Pending",IF(OR(I327="",K327="",L327="",K327=L327,NOT(ISNUMBER(M327)),NOT(ISNUMBER(N327)),M327&gt;Settings!$F$8,N327&lt;Settings!$F$8,N327&lt;M327),"Pending",IF(AND(G327="Applicable",H327="Pass"),"Pass",IF(AND(G327="N/A",H327="N/A",J327&lt;&gt;"",OR(E327="CEM-FUELS",E327="CEM-CCS",AND(E327="CEM-PLAN",IFERROR(INDEX('Taxonomy'!$M$9:$M$108,MATCH(D327,'Taxonomy'!$C$9:$C$108,0)),"")&lt;&gt;"Amber"),E327="BLD-TIMBER",AND(U327="Building equipment",OR(E327="BLD-WATER",E327="BLD-WASTE",E327="BLD-LAND")),AND(U327="Building renovation",E327="BLD-LAND"))),"N/A","Pending"))))))</x:f>
      </x:c>
      <x:c r="Q327" s="3" t="str">
        <x:f>IF(C327="","",IF(AND(R327="Valid",OR(P327="Pass",P327="N/A")),"Complete","Unresolved"))</x:f>
      </x:c>
      <x:c r="R327" s="9" t="str">
        <x:f>IF(C327="","",IF(OR(COUNTIF($C$9:$C$2008,C327)&lt;&gt;1,COUNTIFS($D$9:$D$2008,D327,$E$9:$E$2008,E327)&lt;&gt;1),"Duplicate test",IF(COUNTIF('Taxonomy'!$C$9:$C$108,D327)&lt;&gt;1,"Assessment key",IF(OR(COUNTIF('Taxonomy Rules'!$C$42:$C$68,E327)&lt;&gt;1,F327&lt;&gt;IFERROR(INDEX('Taxonomy Rules'!$D$42:$D$68,MATCH(E327,'Taxonomy Rules'!$C$42:$C$68,0)),""),NOT(OR(IFERROR(INDEX('Taxonomy Rules'!$G$42:$G$68,MATCH(E327,'Taxonomy Rules'!$C$42:$C$68,0)),"")="All supported routes",IFERROR(INDEX('Taxonomy Rules'!$G$42:$G$68,MATCH(E327,'Taxonomy Rules'!$C$42:$C$68,0)),"")=U327,AND(IFERROR(INDEX('Taxonomy Rules'!$G$42:$G$68,MATCH(E327,'Taxonomy Rules'!$C$42:$C$68,0)),"")="Building routes",OR(U327="Building renovation",U327="New building",U327="Building equipment"))))),"Unexpected test","Valid"))))</x:f>
      </x:c>
      <x:c r="S327" s="9" t="str">
        <x:f>IF(C327="","",IFERROR(INDEX('Taxonomy Rules'!$E$42:$E$68,MATCH(E327,'Taxonomy Rules'!$C$42:$C$68,0)),""))</x:f>
      </x:c>
      <x:c r="T327" s="9" t="str">
        <x:f>IF(C327="","",IFERROR(INDEX('Taxonomy Rules'!$F$42:$F$68,MATCH(E327,'Taxonomy Rules'!$C$42:$C$68,0)),""))</x:f>
      </x:c>
      <x:c r="U327" s="9" t="str">
        <x:f>IF(C327="","",IFERROR(INDEX('Taxonomy'!$G$9:$G$108,MATCH(D327,'Taxonomy'!$C$9:$C$108,0)),""))</x:f>
      </x:c>
    </x:row>
    <x:row r="328" ht="44" customHeight="1">
      <x:c r="A328" s="1"/>
      <x:c r="B328" s="1"/>
      <x:c r="C328" s="8"/>
      <x:c r="D328" s="8"/>
      <x:c r="E328" s="8"/>
      <x:c r="F328" s="8"/>
      <x:c r="G328" s="8"/>
      <x:c r="H328" s="8"/>
      <x:c r="I328" s="8"/>
      <x:c r="J328" s="8"/>
      <x:c r="K328" s="8"/>
      <x:c r="L328" s="8"/>
      <x:c r="M328" s="10"/>
      <x:c r="N328" s="10"/>
      <x:c r="O328" s="8"/>
      <x:c r="P328" s="9" t="str">
        <x:f>IF(C328="","",IF(AND(G328="Applicable",H328="Fail"),"Fail",IF(R328&lt;&gt;"Valid","Pending",IF(OR(I328="",K328="",L328="",K328=L328,NOT(ISNUMBER(M328)),NOT(ISNUMBER(N328)),M328&gt;Settings!$F$8,N328&lt;Settings!$F$8,N328&lt;M328),"Pending",IF(AND(G328="Applicable",H328="Pass"),"Pass",IF(AND(G328="N/A",H328="N/A",J328&lt;&gt;"",OR(E328="CEM-FUELS",E328="CEM-CCS",AND(E328="CEM-PLAN",IFERROR(INDEX('Taxonomy'!$M$9:$M$108,MATCH(D328,'Taxonomy'!$C$9:$C$108,0)),"")&lt;&gt;"Amber"),E328="BLD-TIMBER",AND(U328="Building equipment",OR(E328="BLD-WATER",E328="BLD-WASTE",E328="BLD-LAND")),AND(U328="Building renovation",E328="BLD-LAND"))),"N/A","Pending"))))))</x:f>
      </x:c>
      <x:c r="Q328" s="3" t="str">
        <x:f>IF(C328="","",IF(AND(R328="Valid",OR(P328="Pass",P328="N/A")),"Complete","Unresolved"))</x:f>
      </x:c>
      <x:c r="R328" s="9" t="str">
        <x:f>IF(C328="","",IF(OR(COUNTIF($C$9:$C$2008,C328)&lt;&gt;1,COUNTIFS($D$9:$D$2008,D328,$E$9:$E$2008,E328)&lt;&gt;1),"Duplicate test",IF(COUNTIF('Taxonomy'!$C$9:$C$108,D328)&lt;&gt;1,"Assessment key",IF(OR(COUNTIF('Taxonomy Rules'!$C$42:$C$68,E328)&lt;&gt;1,F328&lt;&gt;IFERROR(INDEX('Taxonomy Rules'!$D$42:$D$68,MATCH(E328,'Taxonomy Rules'!$C$42:$C$68,0)),""),NOT(OR(IFERROR(INDEX('Taxonomy Rules'!$G$42:$G$68,MATCH(E328,'Taxonomy Rules'!$C$42:$C$68,0)),"")="All supported routes",IFERROR(INDEX('Taxonomy Rules'!$G$42:$G$68,MATCH(E328,'Taxonomy Rules'!$C$42:$C$68,0)),"")=U328,AND(IFERROR(INDEX('Taxonomy Rules'!$G$42:$G$68,MATCH(E328,'Taxonomy Rules'!$C$42:$C$68,0)),"")="Building routes",OR(U328="Building renovation",U328="New building",U328="Building equipment"))))),"Unexpected test","Valid"))))</x:f>
      </x:c>
      <x:c r="S328" s="9" t="str">
        <x:f>IF(C328="","",IFERROR(INDEX('Taxonomy Rules'!$E$42:$E$68,MATCH(E328,'Taxonomy Rules'!$C$42:$C$68,0)),""))</x:f>
      </x:c>
      <x:c r="T328" s="9" t="str">
        <x:f>IF(C328="","",IFERROR(INDEX('Taxonomy Rules'!$F$42:$F$68,MATCH(E328,'Taxonomy Rules'!$C$42:$C$68,0)),""))</x:f>
      </x:c>
      <x:c r="U328" s="9" t="str">
        <x:f>IF(C328="","",IFERROR(INDEX('Taxonomy'!$G$9:$G$108,MATCH(D328,'Taxonomy'!$C$9:$C$108,0)),""))</x:f>
      </x:c>
    </x:row>
    <x:row r="329" ht="44" customHeight="1">
      <x:c r="A329" s="1"/>
      <x:c r="B329" s="1"/>
      <x:c r="C329" s="8"/>
      <x:c r="D329" s="8"/>
      <x:c r="E329" s="8"/>
      <x:c r="F329" s="8"/>
      <x:c r="G329" s="8"/>
      <x:c r="H329" s="8"/>
      <x:c r="I329" s="8"/>
      <x:c r="J329" s="8"/>
      <x:c r="K329" s="8"/>
      <x:c r="L329" s="8"/>
      <x:c r="M329" s="10"/>
      <x:c r="N329" s="10"/>
      <x:c r="O329" s="8"/>
      <x:c r="P329" s="9" t="str">
        <x:f>IF(C329="","",IF(AND(G329="Applicable",H329="Fail"),"Fail",IF(R329&lt;&gt;"Valid","Pending",IF(OR(I329="",K329="",L329="",K329=L329,NOT(ISNUMBER(M329)),NOT(ISNUMBER(N329)),M329&gt;Settings!$F$8,N329&lt;Settings!$F$8,N329&lt;M329),"Pending",IF(AND(G329="Applicable",H329="Pass"),"Pass",IF(AND(G329="N/A",H329="N/A",J329&lt;&gt;"",OR(E329="CEM-FUELS",E329="CEM-CCS",AND(E329="CEM-PLAN",IFERROR(INDEX('Taxonomy'!$M$9:$M$108,MATCH(D329,'Taxonomy'!$C$9:$C$108,0)),"")&lt;&gt;"Amber"),E329="BLD-TIMBER",AND(U329="Building equipment",OR(E329="BLD-WATER",E329="BLD-WASTE",E329="BLD-LAND")),AND(U329="Building renovation",E329="BLD-LAND"))),"N/A","Pending"))))))</x:f>
      </x:c>
      <x:c r="Q329" s="3" t="str">
        <x:f>IF(C329="","",IF(AND(R329="Valid",OR(P329="Pass",P329="N/A")),"Complete","Unresolved"))</x:f>
      </x:c>
      <x:c r="R329" s="9" t="str">
        <x:f>IF(C329="","",IF(OR(COUNTIF($C$9:$C$2008,C329)&lt;&gt;1,COUNTIFS($D$9:$D$2008,D329,$E$9:$E$2008,E329)&lt;&gt;1),"Duplicate test",IF(COUNTIF('Taxonomy'!$C$9:$C$108,D329)&lt;&gt;1,"Assessment key",IF(OR(COUNTIF('Taxonomy Rules'!$C$42:$C$68,E329)&lt;&gt;1,F329&lt;&gt;IFERROR(INDEX('Taxonomy Rules'!$D$42:$D$68,MATCH(E329,'Taxonomy Rules'!$C$42:$C$68,0)),""),NOT(OR(IFERROR(INDEX('Taxonomy Rules'!$G$42:$G$68,MATCH(E329,'Taxonomy Rules'!$C$42:$C$68,0)),"")="All supported routes",IFERROR(INDEX('Taxonomy Rules'!$G$42:$G$68,MATCH(E329,'Taxonomy Rules'!$C$42:$C$68,0)),"")=U329,AND(IFERROR(INDEX('Taxonomy Rules'!$G$42:$G$68,MATCH(E329,'Taxonomy Rules'!$C$42:$C$68,0)),"")="Building routes",OR(U329="Building renovation",U329="New building",U329="Building equipment"))))),"Unexpected test","Valid"))))</x:f>
      </x:c>
      <x:c r="S329" s="9" t="str">
        <x:f>IF(C329="","",IFERROR(INDEX('Taxonomy Rules'!$E$42:$E$68,MATCH(E329,'Taxonomy Rules'!$C$42:$C$68,0)),""))</x:f>
      </x:c>
      <x:c r="T329" s="9" t="str">
        <x:f>IF(C329="","",IFERROR(INDEX('Taxonomy Rules'!$F$42:$F$68,MATCH(E329,'Taxonomy Rules'!$C$42:$C$68,0)),""))</x:f>
      </x:c>
      <x:c r="U329" s="9" t="str">
        <x:f>IF(C329="","",IFERROR(INDEX('Taxonomy'!$G$9:$G$108,MATCH(D329,'Taxonomy'!$C$9:$C$108,0)),""))</x:f>
      </x:c>
    </x:row>
    <x:row r="330" ht="44" customHeight="1">
      <x:c r="A330" s="1"/>
      <x:c r="B330" s="1"/>
      <x:c r="C330" s="8"/>
      <x:c r="D330" s="8"/>
      <x:c r="E330" s="8"/>
      <x:c r="F330" s="8"/>
      <x:c r="G330" s="8"/>
      <x:c r="H330" s="8"/>
      <x:c r="I330" s="8"/>
      <x:c r="J330" s="8"/>
      <x:c r="K330" s="8"/>
      <x:c r="L330" s="8"/>
      <x:c r="M330" s="10"/>
      <x:c r="N330" s="10"/>
      <x:c r="O330" s="8"/>
      <x:c r="P330" s="9" t="str">
        <x:f>IF(C330="","",IF(AND(G330="Applicable",H330="Fail"),"Fail",IF(R330&lt;&gt;"Valid","Pending",IF(OR(I330="",K330="",L330="",K330=L330,NOT(ISNUMBER(M330)),NOT(ISNUMBER(N330)),M330&gt;Settings!$F$8,N330&lt;Settings!$F$8,N330&lt;M330),"Pending",IF(AND(G330="Applicable",H330="Pass"),"Pass",IF(AND(G330="N/A",H330="N/A",J330&lt;&gt;"",OR(E330="CEM-FUELS",E330="CEM-CCS",AND(E330="CEM-PLAN",IFERROR(INDEX('Taxonomy'!$M$9:$M$108,MATCH(D330,'Taxonomy'!$C$9:$C$108,0)),"")&lt;&gt;"Amber"),E330="BLD-TIMBER",AND(U330="Building equipment",OR(E330="BLD-WATER",E330="BLD-WASTE",E330="BLD-LAND")),AND(U330="Building renovation",E330="BLD-LAND"))),"N/A","Pending"))))))</x:f>
      </x:c>
      <x:c r="Q330" s="3" t="str">
        <x:f>IF(C330="","",IF(AND(R330="Valid",OR(P330="Pass",P330="N/A")),"Complete","Unresolved"))</x:f>
      </x:c>
      <x:c r="R330" s="9" t="str">
        <x:f>IF(C330="","",IF(OR(COUNTIF($C$9:$C$2008,C330)&lt;&gt;1,COUNTIFS($D$9:$D$2008,D330,$E$9:$E$2008,E330)&lt;&gt;1),"Duplicate test",IF(COUNTIF('Taxonomy'!$C$9:$C$108,D330)&lt;&gt;1,"Assessment key",IF(OR(COUNTIF('Taxonomy Rules'!$C$42:$C$68,E330)&lt;&gt;1,F330&lt;&gt;IFERROR(INDEX('Taxonomy Rules'!$D$42:$D$68,MATCH(E330,'Taxonomy Rules'!$C$42:$C$68,0)),""),NOT(OR(IFERROR(INDEX('Taxonomy Rules'!$G$42:$G$68,MATCH(E330,'Taxonomy Rules'!$C$42:$C$68,0)),"")="All supported routes",IFERROR(INDEX('Taxonomy Rules'!$G$42:$G$68,MATCH(E330,'Taxonomy Rules'!$C$42:$C$68,0)),"")=U330,AND(IFERROR(INDEX('Taxonomy Rules'!$G$42:$G$68,MATCH(E330,'Taxonomy Rules'!$C$42:$C$68,0)),"")="Building routes",OR(U330="Building renovation",U330="New building",U330="Building equipment"))))),"Unexpected test","Valid"))))</x:f>
      </x:c>
      <x:c r="S330" s="9" t="str">
        <x:f>IF(C330="","",IFERROR(INDEX('Taxonomy Rules'!$E$42:$E$68,MATCH(E330,'Taxonomy Rules'!$C$42:$C$68,0)),""))</x:f>
      </x:c>
      <x:c r="T330" s="9" t="str">
        <x:f>IF(C330="","",IFERROR(INDEX('Taxonomy Rules'!$F$42:$F$68,MATCH(E330,'Taxonomy Rules'!$C$42:$C$68,0)),""))</x:f>
      </x:c>
      <x:c r="U330" s="9" t="str">
        <x:f>IF(C330="","",IFERROR(INDEX('Taxonomy'!$G$9:$G$108,MATCH(D330,'Taxonomy'!$C$9:$C$108,0)),""))</x:f>
      </x:c>
    </x:row>
    <x:row r="331" ht="44" customHeight="1">
      <x:c r="A331" s="1"/>
      <x:c r="B331" s="1"/>
      <x:c r="C331" s="8"/>
      <x:c r="D331" s="8"/>
      <x:c r="E331" s="8"/>
      <x:c r="F331" s="8"/>
      <x:c r="G331" s="8"/>
      <x:c r="H331" s="8"/>
      <x:c r="I331" s="8"/>
      <x:c r="J331" s="8"/>
      <x:c r="K331" s="8"/>
      <x:c r="L331" s="8"/>
      <x:c r="M331" s="10"/>
      <x:c r="N331" s="10"/>
      <x:c r="O331" s="8"/>
      <x:c r="P331" s="9" t="str">
        <x:f>IF(C331="","",IF(AND(G331="Applicable",H331="Fail"),"Fail",IF(R331&lt;&gt;"Valid","Pending",IF(OR(I331="",K331="",L331="",K331=L331,NOT(ISNUMBER(M331)),NOT(ISNUMBER(N331)),M331&gt;Settings!$F$8,N331&lt;Settings!$F$8,N331&lt;M331),"Pending",IF(AND(G331="Applicable",H331="Pass"),"Pass",IF(AND(G331="N/A",H331="N/A",J331&lt;&gt;"",OR(E331="CEM-FUELS",E331="CEM-CCS",AND(E331="CEM-PLAN",IFERROR(INDEX('Taxonomy'!$M$9:$M$108,MATCH(D331,'Taxonomy'!$C$9:$C$108,0)),"")&lt;&gt;"Amber"),E331="BLD-TIMBER",AND(U331="Building equipment",OR(E331="BLD-WATER",E331="BLD-WASTE",E331="BLD-LAND")),AND(U331="Building renovation",E331="BLD-LAND"))),"N/A","Pending"))))))</x:f>
      </x:c>
      <x:c r="Q331" s="3" t="str">
        <x:f>IF(C331="","",IF(AND(R331="Valid",OR(P331="Pass",P331="N/A")),"Complete","Unresolved"))</x:f>
      </x:c>
      <x:c r="R331" s="9" t="str">
        <x:f>IF(C331="","",IF(OR(COUNTIF($C$9:$C$2008,C331)&lt;&gt;1,COUNTIFS($D$9:$D$2008,D331,$E$9:$E$2008,E331)&lt;&gt;1),"Duplicate test",IF(COUNTIF('Taxonomy'!$C$9:$C$108,D331)&lt;&gt;1,"Assessment key",IF(OR(COUNTIF('Taxonomy Rules'!$C$42:$C$68,E331)&lt;&gt;1,F331&lt;&gt;IFERROR(INDEX('Taxonomy Rules'!$D$42:$D$68,MATCH(E331,'Taxonomy Rules'!$C$42:$C$68,0)),""),NOT(OR(IFERROR(INDEX('Taxonomy Rules'!$G$42:$G$68,MATCH(E331,'Taxonomy Rules'!$C$42:$C$68,0)),"")="All supported routes",IFERROR(INDEX('Taxonomy Rules'!$G$42:$G$68,MATCH(E331,'Taxonomy Rules'!$C$42:$C$68,0)),"")=U331,AND(IFERROR(INDEX('Taxonomy Rules'!$G$42:$G$68,MATCH(E331,'Taxonomy Rules'!$C$42:$C$68,0)),"")="Building routes",OR(U331="Building renovation",U331="New building",U331="Building equipment"))))),"Unexpected test","Valid"))))</x:f>
      </x:c>
      <x:c r="S331" s="9" t="str">
        <x:f>IF(C331="","",IFERROR(INDEX('Taxonomy Rules'!$E$42:$E$68,MATCH(E331,'Taxonomy Rules'!$C$42:$C$68,0)),""))</x:f>
      </x:c>
      <x:c r="T331" s="9" t="str">
        <x:f>IF(C331="","",IFERROR(INDEX('Taxonomy Rules'!$F$42:$F$68,MATCH(E331,'Taxonomy Rules'!$C$42:$C$68,0)),""))</x:f>
      </x:c>
      <x:c r="U331" s="9" t="str">
        <x:f>IF(C331="","",IFERROR(INDEX('Taxonomy'!$G$9:$G$108,MATCH(D331,'Taxonomy'!$C$9:$C$108,0)),""))</x:f>
      </x:c>
    </x:row>
    <x:row r="332" ht="44" customHeight="1">
      <x:c r="A332" s="1"/>
      <x:c r="B332" s="1"/>
      <x:c r="C332" s="8"/>
      <x:c r="D332" s="8"/>
      <x:c r="E332" s="8"/>
      <x:c r="F332" s="8"/>
      <x:c r="G332" s="8"/>
      <x:c r="H332" s="8"/>
      <x:c r="I332" s="8"/>
      <x:c r="J332" s="8"/>
      <x:c r="K332" s="8"/>
      <x:c r="L332" s="8"/>
      <x:c r="M332" s="10"/>
      <x:c r="N332" s="10"/>
      <x:c r="O332" s="8"/>
      <x:c r="P332" s="9" t="str">
        <x:f>IF(C332="","",IF(AND(G332="Applicable",H332="Fail"),"Fail",IF(R332&lt;&gt;"Valid","Pending",IF(OR(I332="",K332="",L332="",K332=L332,NOT(ISNUMBER(M332)),NOT(ISNUMBER(N332)),M332&gt;Settings!$F$8,N332&lt;Settings!$F$8,N332&lt;M332),"Pending",IF(AND(G332="Applicable",H332="Pass"),"Pass",IF(AND(G332="N/A",H332="N/A",J332&lt;&gt;"",OR(E332="CEM-FUELS",E332="CEM-CCS",AND(E332="CEM-PLAN",IFERROR(INDEX('Taxonomy'!$M$9:$M$108,MATCH(D332,'Taxonomy'!$C$9:$C$108,0)),"")&lt;&gt;"Amber"),E332="BLD-TIMBER",AND(U332="Building equipment",OR(E332="BLD-WATER",E332="BLD-WASTE",E332="BLD-LAND")),AND(U332="Building renovation",E332="BLD-LAND"))),"N/A","Pending"))))))</x:f>
      </x:c>
      <x:c r="Q332" s="3" t="str">
        <x:f>IF(C332="","",IF(AND(R332="Valid",OR(P332="Pass",P332="N/A")),"Complete","Unresolved"))</x:f>
      </x:c>
      <x:c r="R332" s="9" t="str">
        <x:f>IF(C332="","",IF(OR(COUNTIF($C$9:$C$2008,C332)&lt;&gt;1,COUNTIFS($D$9:$D$2008,D332,$E$9:$E$2008,E332)&lt;&gt;1),"Duplicate test",IF(COUNTIF('Taxonomy'!$C$9:$C$108,D332)&lt;&gt;1,"Assessment key",IF(OR(COUNTIF('Taxonomy Rules'!$C$42:$C$68,E332)&lt;&gt;1,F332&lt;&gt;IFERROR(INDEX('Taxonomy Rules'!$D$42:$D$68,MATCH(E332,'Taxonomy Rules'!$C$42:$C$68,0)),""),NOT(OR(IFERROR(INDEX('Taxonomy Rules'!$G$42:$G$68,MATCH(E332,'Taxonomy Rules'!$C$42:$C$68,0)),"")="All supported routes",IFERROR(INDEX('Taxonomy Rules'!$G$42:$G$68,MATCH(E332,'Taxonomy Rules'!$C$42:$C$68,0)),"")=U332,AND(IFERROR(INDEX('Taxonomy Rules'!$G$42:$G$68,MATCH(E332,'Taxonomy Rules'!$C$42:$C$68,0)),"")="Building routes",OR(U332="Building renovation",U332="New building",U332="Building equipment"))))),"Unexpected test","Valid"))))</x:f>
      </x:c>
      <x:c r="S332" s="9" t="str">
        <x:f>IF(C332="","",IFERROR(INDEX('Taxonomy Rules'!$E$42:$E$68,MATCH(E332,'Taxonomy Rules'!$C$42:$C$68,0)),""))</x:f>
      </x:c>
      <x:c r="T332" s="9" t="str">
        <x:f>IF(C332="","",IFERROR(INDEX('Taxonomy Rules'!$F$42:$F$68,MATCH(E332,'Taxonomy Rules'!$C$42:$C$68,0)),""))</x:f>
      </x:c>
      <x:c r="U332" s="9" t="str">
        <x:f>IF(C332="","",IFERROR(INDEX('Taxonomy'!$G$9:$G$108,MATCH(D332,'Taxonomy'!$C$9:$C$108,0)),""))</x:f>
      </x:c>
    </x:row>
    <x:row r="333" ht="44" customHeight="1">
      <x:c r="A333" s="1"/>
      <x:c r="B333" s="1"/>
      <x:c r="C333" s="8"/>
      <x:c r="D333" s="8"/>
      <x:c r="E333" s="8"/>
      <x:c r="F333" s="8"/>
      <x:c r="G333" s="8"/>
      <x:c r="H333" s="8"/>
      <x:c r="I333" s="8"/>
      <x:c r="J333" s="8"/>
      <x:c r="K333" s="8"/>
      <x:c r="L333" s="8"/>
      <x:c r="M333" s="10"/>
      <x:c r="N333" s="10"/>
      <x:c r="O333" s="8"/>
      <x:c r="P333" s="9" t="str">
        <x:f>IF(C333="","",IF(AND(G333="Applicable",H333="Fail"),"Fail",IF(R333&lt;&gt;"Valid","Pending",IF(OR(I333="",K333="",L333="",K333=L333,NOT(ISNUMBER(M333)),NOT(ISNUMBER(N333)),M333&gt;Settings!$F$8,N333&lt;Settings!$F$8,N333&lt;M333),"Pending",IF(AND(G333="Applicable",H333="Pass"),"Pass",IF(AND(G333="N/A",H333="N/A",J333&lt;&gt;"",OR(E333="CEM-FUELS",E333="CEM-CCS",AND(E333="CEM-PLAN",IFERROR(INDEX('Taxonomy'!$M$9:$M$108,MATCH(D333,'Taxonomy'!$C$9:$C$108,0)),"")&lt;&gt;"Amber"),E333="BLD-TIMBER",AND(U333="Building equipment",OR(E333="BLD-WATER",E333="BLD-WASTE",E333="BLD-LAND")),AND(U333="Building renovation",E333="BLD-LAND"))),"N/A","Pending"))))))</x:f>
      </x:c>
      <x:c r="Q333" s="3" t="str">
        <x:f>IF(C333="","",IF(AND(R333="Valid",OR(P333="Pass",P333="N/A")),"Complete","Unresolved"))</x:f>
      </x:c>
      <x:c r="R333" s="9" t="str">
        <x:f>IF(C333="","",IF(OR(COUNTIF($C$9:$C$2008,C333)&lt;&gt;1,COUNTIFS($D$9:$D$2008,D333,$E$9:$E$2008,E333)&lt;&gt;1),"Duplicate test",IF(COUNTIF('Taxonomy'!$C$9:$C$108,D333)&lt;&gt;1,"Assessment key",IF(OR(COUNTIF('Taxonomy Rules'!$C$42:$C$68,E333)&lt;&gt;1,F333&lt;&gt;IFERROR(INDEX('Taxonomy Rules'!$D$42:$D$68,MATCH(E333,'Taxonomy Rules'!$C$42:$C$68,0)),""),NOT(OR(IFERROR(INDEX('Taxonomy Rules'!$G$42:$G$68,MATCH(E333,'Taxonomy Rules'!$C$42:$C$68,0)),"")="All supported routes",IFERROR(INDEX('Taxonomy Rules'!$G$42:$G$68,MATCH(E333,'Taxonomy Rules'!$C$42:$C$68,0)),"")=U333,AND(IFERROR(INDEX('Taxonomy Rules'!$G$42:$G$68,MATCH(E333,'Taxonomy Rules'!$C$42:$C$68,0)),"")="Building routes",OR(U333="Building renovation",U333="New building",U333="Building equipment"))))),"Unexpected test","Valid"))))</x:f>
      </x:c>
      <x:c r="S333" s="9" t="str">
        <x:f>IF(C333="","",IFERROR(INDEX('Taxonomy Rules'!$E$42:$E$68,MATCH(E333,'Taxonomy Rules'!$C$42:$C$68,0)),""))</x:f>
      </x:c>
      <x:c r="T333" s="9" t="str">
        <x:f>IF(C333="","",IFERROR(INDEX('Taxonomy Rules'!$F$42:$F$68,MATCH(E333,'Taxonomy Rules'!$C$42:$C$68,0)),""))</x:f>
      </x:c>
      <x:c r="U333" s="9" t="str">
        <x:f>IF(C333="","",IFERROR(INDEX('Taxonomy'!$G$9:$G$108,MATCH(D333,'Taxonomy'!$C$9:$C$108,0)),""))</x:f>
      </x:c>
    </x:row>
    <x:row r="334" ht="44" customHeight="1">
      <x:c r="A334" s="1"/>
      <x:c r="B334" s="1"/>
      <x:c r="C334" s="8"/>
      <x:c r="D334" s="8"/>
      <x:c r="E334" s="8"/>
      <x:c r="F334" s="8"/>
      <x:c r="G334" s="8"/>
      <x:c r="H334" s="8"/>
      <x:c r="I334" s="8"/>
      <x:c r="J334" s="8"/>
      <x:c r="K334" s="8"/>
      <x:c r="L334" s="8"/>
      <x:c r="M334" s="10"/>
      <x:c r="N334" s="10"/>
      <x:c r="O334" s="8"/>
      <x:c r="P334" s="9" t="str">
        <x:f>IF(C334="","",IF(AND(G334="Applicable",H334="Fail"),"Fail",IF(R334&lt;&gt;"Valid","Pending",IF(OR(I334="",K334="",L334="",K334=L334,NOT(ISNUMBER(M334)),NOT(ISNUMBER(N334)),M334&gt;Settings!$F$8,N334&lt;Settings!$F$8,N334&lt;M334),"Pending",IF(AND(G334="Applicable",H334="Pass"),"Pass",IF(AND(G334="N/A",H334="N/A",J334&lt;&gt;"",OR(E334="CEM-FUELS",E334="CEM-CCS",AND(E334="CEM-PLAN",IFERROR(INDEX('Taxonomy'!$M$9:$M$108,MATCH(D334,'Taxonomy'!$C$9:$C$108,0)),"")&lt;&gt;"Amber"),E334="BLD-TIMBER",AND(U334="Building equipment",OR(E334="BLD-WATER",E334="BLD-WASTE",E334="BLD-LAND")),AND(U334="Building renovation",E334="BLD-LAND"))),"N/A","Pending"))))))</x:f>
      </x:c>
      <x:c r="Q334" s="3" t="str">
        <x:f>IF(C334="","",IF(AND(R334="Valid",OR(P334="Pass",P334="N/A")),"Complete","Unresolved"))</x:f>
      </x:c>
      <x:c r="R334" s="9" t="str">
        <x:f>IF(C334="","",IF(OR(COUNTIF($C$9:$C$2008,C334)&lt;&gt;1,COUNTIFS($D$9:$D$2008,D334,$E$9:$E$2008,E334)&lt;&gt;1),"Duplicate test",IF(COUNTIF('Taxonomy'!$C$9:$C$108,D334)&lt;&gt;1,"Assessment key",IF(OR(COUNTIF('Taxonomy Rules'!$C$42:$C$68,E334)&lt;&gt;1,F334&lt;&gt;IFERROR(INDEX('Taxonomy Rules'!$D$42:$D$68,MATCH(E334,'Taxonomy Rules'!$C$42:$C$68,0)),""),NOT(OR(IFERROR(INDEX('Taxonomy Rules'!$G$42:$G$68,MATCH(E334,'Taxonomy Rules'!$C$42:$C$68,0)),"")="All supported routes",IFERROR(INDEX('Taxonomy Rules'!$G$42:$G$68,MATCH(E334,'Taxonomy Rules'!$C$42:$C$68,0)),"")=U334,AND(IFERROR(INDEX('Taxonomy Rules'!$G$42:$G$68,MATCH(E334,'Taxonomy Rules'!$C$42:$C$68,0)),"")="Building routes",OR(U334="Building renovation",U334="New building",U334="Building equipment"))))),"Unexpected test","Valid"))))</x:f>
      </x:c>
      <x:c r="S334" s="9" t="str">
        <x:f>IF(C334="","",IFERROR(INDEX('Taxonomy Rules'!$E$42:$E$68,MATCH(E334,'Taxonomy Rules'!$C$42:$C$68,0)),""))</x:f>
      </x:c>
      <x:c r="T334" s="9" t="str">
        <x:f>IF(C334="","",IFERROR(INDEX('Taxonomy Rules'!$F$42:$F$68,MATCH(E334,'Taxonomy Rules'!$C$42:$C$68,0)),""))</x:f>
      </x:c>
      <x:c r="U334" s="9" t="str">
        <x:f>IF(C334="","",IFERROR(INDEX('Taxonomy'!$G$9:$G$108,MATCH(D334,'Taxonomy'!$C$9:$C$108,0)),""))</x:f>
      </x:c>
    </x:row>
    <x:row r="335" ht="44" customHeight="1">
      <x:c r="A335" s="1"/>
      <x:c r="B335" s="1"/>
      <x:c r="C335" s="8"/>
      <x:c r="D335" s="8"/>
      <x:c r="E335" s="8"/>
      <x:c r="F335" s="8"/>
      <x:c r="G335" s="8"/>
      <x:c r="H335" s="8"/>
      <x:c r="I335" s="8"/>
      <x:c r="J335" s="8"/>
      <x:c r="K335" s="8"/>
      <x:c r="L335" s="8"/>
      <x:c r="M335" s="10"/>
      <x:c r="N335" s="10"/>
      <x:c r="O335" s="8"/>
      <x:c r="P335" s="9" t="str">
        <x:f>IF(C335="","",IF(AND(G335="Applicable",H335="Fail"),"Fail",IF(R335&lt;&gt;"Valid","Pending",IF(OR(I335="",K335="",L335="",K335=L335,NOT(ISNUMBER(M335)),NOT(ISNUMBER(N335)),M335&gt;Settings!$F$8,N335&lt;Settings!$F$8,N335&lt;M335),"Pending",IF(AND(G335="Applicable",H335="Pass"),"Pass",IF(AND(G335="N/A",H335="N/A",J335&lt;&gt;"",OR(E335="CEM-FUELS",E335="CEM-CCS",AND(E335="CEM-PLAN",IFERROR(INDEX('Taxonomy'!$M$9:$M$108,MATCH(D335,'Taxonomy'!$C$9:$C$108,0)),"")&lt;&gt;"Amber"),E335="BLD-TIMBER",AND(U335="Building equipment",OR(E335="BLD-WATER",E335="BLD-WASTE",E335="BLD-LAND")),AND(U335="Building renovation",E335="BLD-LAND"))),"N/A","Pending"))))))</x:f>
      </x:c>
      <x:c r="Q335" s="3" t="str">
        <x:f>IF(C335="","",IF(AND(R335="Valid",OR(P335="Pass",P335="N/A")),"Complete","Unresolved"))</x:f>
      </x:c>
      <x:c r="R335" s="9" t="str">
        <x:f>IF(C335="","",IF(OR(COUNTIF($C$9:$C$2008,C335)&lt;&gt;1,COUNTIFS($D$9:$D$2008,D335,$E$9:$E$2008,E335)&lt;&gt;1),"Duplicate test",IF(COUNTIF('Taxonomy'!$C$9:$C$108,D335)&lt;&gt;1,"Assessment key",IF(OR(COUNTIF('Taxonomy Rules'!$C$42:$C$68,E335)&lt;&gt;1,F335&lt;&gt;IFERROR(INDEX('Taxonomy Rules'!$D$42:$D$68,MATCH(E335,'Taxonomy Rules'!$C$42:$C$68,0)),""),NOT(OR(IFERROR(INDEX('Taxonomy Rules'!$G$42:$G$68,MATCH(E335,'Taxonomy Rules'!$C$42:$C$68,0)),"")="All supported routes",IFERROR(INDEX('Taxonomy Rules'!$G$42:$G$68,MATCH(E335,'Taxonomy Rules'!$C$42:$C$68,0)),"")=U335,AND(IFERROR(INDEX('Taxonomy Rules'!$G$42:$G$68,MATCH(E335,'Taxonomy Rules'!$C$42:$C$68,0)),"")="Building routes",OR(U335="Building renovation",U335="New building",U335="Building equipment"))))),"Unexpected test","Valid"))))</x:f>
      </x:c>
      <x:c r="S335" s="9" t="str">
        <x:f>IF(C335="","",IFERROR(INDEX('Taxonomy Rules'!$E$42:$E$68,MATCH(E335,'Taxonomy Rules'!$C$42:$C$68,0)),""))</x:f>
      </x:c>
      <x:c r="T335" s="9" t="str">
        <x:f>IF(C335="","",IFERROR(INDEX('Taxonomy Rules'!$F$42:$F$68,MATCH(E335,'Taxonomy Rules'!$C$42:$C$68,0)),""))</x:f>
      </x:c>
      <x:c r="U335" s="9" t="str">
        <x:f>IF(C335="","",IFERROR(INDEX('Taxonomy'!$G$9:$G$108,MATCH(D335,'Taxonomy'!$C$9:$C$108,0)),""))</x:f>
      </x:c>
    </x:row>
    <x:row r="336" ht="44" customHeight="1">
      <x:c r="A336" s="1"/>
      <x:c r="B336" s="1"/>
      <x:c r="C336" s="8"/>
      <x:c r="D336" s="8"/>
      <x:c r="E336" s="8"/>
      <x:c r="F336" s="8"/>
      <x:c r="G336" s="8"/>
      <x:c r="H336" s="8"/>
      <x:c r="I336" s="8"/>
      <x:c r="J336" s="8"/>
      <x:c r="K336" s="8"/>
      <x:c r="L336" s="8"/>
      <x:c r="M336" s="10"/>
      <x:c r="N336" s="10"/>
      <x:c r="O336" s="8"/>
      <x:c r="P336" s="9" t="str">
        <x:f>IF(C336="","",IF(AND(G336="Applicable",H336="Fail"),"Fail",IF(R336&lt;&gt;"Valid","Pending",IF(OR(I336="",K336="",L336="",K336=L336,NOT(ISNUMBER(M336)),NOT(ISNUMBER(N336)),M336&gt;Settings!$F$8,N336&lt;Settings!$F$8,N336&lt;M336),"Pending",IF(AND(G336="Applicable",H336="Pass"),"Pass",IF(AND(G336="N/A",H336="N/A",J336&lt;&gt;"",OR(E336="CEM-FUELS",E336="CEM-CCS",AND(E336="CEM-PLAN",IFERROR(INDEX('Taxonomy'!$M$9:$M$108,MATCH(D336,'Taxonomy'!$C$9:$C$108,0)),"")&lt;&gt;"Amber"),E336="BLD-TIMBER",AND(U336="Building equipment",OR(E336="BLD-WATER",E336="BLD-WASTE",E336="BLD-LAND")),AND(U336="Building renovation",E336="BLD-LAND"))),"N/A","Pending"))))))</x:f>
      </x:c>
      <x:c r="Q336" s="3" t="str">
        <x:f>IF(C336="","",IF(AND(R336="Valid",OR(P336="Pass",P336="N/A")),"Complete","Unresolved"))</x:f>
      </x:c>
      <x:c r="R336" s="9" t="str">
        <x:f>IF(C336="","",IF(OR(COUNTIF($C$9:$C$2008,C336)&lt;&gt;1,COUNTIFS($D$9:$D$2008,D336,$E$9:$E$2008,E336)&lt;&gt;1),"Duplicate test",IF(COUNTIF('Taxonomy'!$C$9:$C$108,D336)&lt;&gt;1,"Assessment key",IF(OR(COUNTIF('Taxonomy Rules'!$C$42:$C$68,E336)&lt;&gt;1,F336&lt;&gt;IFERROR(INDEX('Taxonomy Rules'!$D$42:$D$68,MATCH(E336,'Taxonomy Rules'!$C$42:$C$68,0)),""),NOT(OR(IFERROR(INDEX('Taxonomy Rules'!$G$42:$G$68,MATCH(E336,'Taxonomy Rules'!$C$42:$C$68,0)),"")="All supported routes",IFERROR(INDEX('Taxonomy Rules'!$G$42:$G$68,MATCH(E336,'Taxonomy Rules'!$C$42:$C$68,0)),"")=U336,AND(IFERROR(INDEX('Taxonomy Rules'!$G$42:$G$68,MATCH(E336,'Taxonomy Rules'!$C$42:$C$68,0)),"")="Building routes",OR(U336="Building renovation",U336="New building",U336="Building equipment"))))),"Unexpected test","Valid"))))</x:f>
      </x:c>
      <x:c r="S336" s="9" t="str">
        <x:f>IF(C336="","",IFERROR(INDEX('Taxonomy Rules'!$E$42:$E$68,MATCH(E336,'Taxonomy Rules'!$C$42:$C$68,0)),""))</x:f>
      </x:c>
      <x:c r="T336" s="9" t="str">
        <x:f>IF(C336="","",IFERROR(INDEX('Taxonomy Rules'!$F$42:$F$68,MATCH(E336,'Taxonomy Rules'!$C$42:$C$68,0)),""))</x:f>
      </x:c>
      <x:c r="U336" s="9" t="str">
        <x:f>IF(C336="","",IFERROR(INDEX('Taxonomy'!$G$9:$G$108,MATCH(D336,'Taxonomy'!$C$9:$C$108,0)),""))</x:f>
      </x:c>
    </x:row>
    <x:row r="337" ht="44" customHeight="1">
      <x:c r="A337" s="1"/>
      <x:c r="B337" s="1"/>
      <x:c r="C337" s="8"/>
      <x:c r="D337" s="8"/>
      <x:c r="E337" s="8"/>
      <x:c r="F337" s="8"/>
      <x:c r="G337" s="8"/>
      <x:c r="H337" s="8"/>
      <x:c r="I337" s="8"/>
      <x:c r="J337" s="8"/>
      <x:c r="K337" s="8"/>
      <x:c r="L337" s="8"/>
      <x:c r="M337" s="10"/>
      <x:c r="N337" s="10"/>
      <x:c r="O337" s="8"/>
      <x:c r="P337" s="9" t="str">
        <x:f>IF(C337="","",IF(AND(G337="Applicable",H337="Fail"),"Fail",IF(R337&lt;&gt;"Valid","Pending",IF(OR(I337="",K337="",L337="",K337=L337,NOT(ISNUMBER(M337)),NOT(ISNUMBER(N337)),M337&gt;Settings!$F$8,N337&lt;Settings!$F$8,N337&lt;M337),"Pending",IF(AND(G337="Applicable",H337="Pass"),"Pass",IF(AND(G337="N/A",H337="N/A",J337&lt;&gt;"",OR(E337="CEM-FUELS",E337="CEM-CCS",AND(E337="CEM-PLAN",IFERROR(INDEX('Taxonomy'!$M$9:$M$108,MATCH(D337,'Taxonomy'!$C$9:$C$108,0)),"")&lt;&gt;"Amber"),E337="BLD-TIMBER",AND(U337="Building equipment",OR(E337="BLD-WATER",E337="BLD-WASTE",E337="BLD-LAND")),AND(U337="Building renovation",E337="BLD-LAND"))),"N/A","Pending"))))))</x:f>
      </x:c>
      <x:c r="Q337" s="3" t="str">
        <x:f>IF(C337="","",IF(AND(R337="Valid",OR(P337="Pass",P337="N/A")),"Complete","Unresolved"))</x:f>
      </x:c>
      <x:c r="R337" s="9" t="str">
        <x:f>IF(C337="","",IF(OR(COUNTIF($C$9:$C$2008,C337)&lt;&gt;1,COUNTIFS($D$9:$D$2008,D337,$E$9:$E$2008,E337)&lt;&gt;1),"Duplicate test",IF(COUNTIF('Taxonomy'!$C$9:$C$108,D337)&lt;&gt;1,"Assessment key",IF(OR(COUNTIF('Taxonomy Rules'!$C$42:$C$68,E337)&lt;&gt;1,F337&lt;&gt;IFERROR(INDEX('Taxonomy Rules'!$D$42:$D$68,MATCH(E337,'Taxonomy Rules'!$C$42:$C$68,0)),""),NOT(OR(IFERROR(INDEX('Taxonomy Rules'!$G$42:$G$68,MATCH(E337,'Taxonomy Rules'!$C$42:$C$68,0)),"")="All supported routes",IFERROR(INDEX('Taxonomy Rules'!$G$42:$G$68,MATCH(E337,'Taxonomy Rules'!$C$42:$C$68,0)),"")=U337,AND(IFERROR(INDEX('Taxonomy Rules'!$G$42:$G$68,MATCH(E337,'Taxonomy Rules'!$C$42:$C$68,0)),"")="Building routes",OR(U337="Building renovation",U337="New building",U337="Building equipment"))))),"Unexpected test","Valid"))))</x:f>
      </x:c>
      <x:c r="S337" s="9" t="str">
        <x:f>IF(C337="","",IFERROR(INDEX('Taxonomy Rules'!$E$42:$E$68,MATCH(E337,'Taxonomy Rules'!$C$42:$C$68,0)),""))</x:f>
      </x:c>
      <x:c r="T337" s="9" t="str">
        <x:f>IF(C337="","",IFERROR(INDEX('Taxonomy Rules'!$F$42:$F$68,MATCH(E337,'Taxonomy Rules'!$C$42:$C$68,0)),""))</x:f>
      </x:c>
      <x:c r="U337" s="9" t="str">
        <x:f>IF(C337="","",IFERROR(INDEX('Taxonomy'!$G$9:$G$108,MATCH(D337,'Taxonomy'!$C$9:$C$108,0)),""))</x:f>
      </x:c>
    </x:row>
    <x:row r="338" ht="44" customHeight="1">
      <x:c r="A338" s="1"/>
      <x:c r="B338" s="1"/>
      <x:c r="C338" s="8"/>
      <x:c r="D338" s="8"/>
      <x:c r="E338" s="8"/>
      <x:c r="F338" s="8"/>
      <x:c r="G338" s="8"/>
      <x:c r="H338" s="8"/>
      <x:c r="I338" s="8"/>
      <x:c r="J338" s="8"/>
      <x:c r="K338" s="8"/>
      <x:c r="L338" s="8"/>
      <x:c r="M338" s="10"/>
      <x:c r="N338" s="10"/>
      <x:c r="O338" s="8"/>
      <x:c r="P338" s="9" t="str">
        <x:f>IF(C338="","",IF(AND(G338="Applicable",H338="Fail"),"Fail",IF(R338&lt;&gt;"Valid","Pending",IF(OR(I338="",K338="",L338="",K338=L338,NOT(ISNUMBER(M338)),NOT(ISNUMBER(N338)),M338&gt;Settings!$F$8,N338&lt;Settings!$F$8,N338&lt;M338),"Pending",IF(AND(G338="Applicable",H338="Pass"),"Pass",IF(AND(G338="N/A",H338="N/A",J338&lt;&gt;"",OR(E338="CEM-FUELS",E338="CEM-CCS",AND(E338="CEM-PLAN",IFERROR(INDEX('Taxonomy'!$M$9:$M$108,MATCH(D338,'Taxonomy'!$C$9:$C$108,0)),"")&lt;&gt;"Amber"),E338="BLD-TIMBER",AND(U338="Building equipment",OR(E338="BLD-WATER",E338="BLD-WASTE",E338="BLD-LAND")),AND(U338="Building renovation",E338="BLD-LAND"))),"N/A","Pending"))))))</x:f>
      </x:c>
      <x:c r="Q338" s="3" t="str">
        <x:f>IF(C338="","",IF(AND(R338="Valid",OR(P338="Pass",P338="N/A")),"Complete","Unresolved"))</x:f>
      </x:c>
      <x:c r="R338" s="9" t="str">
        <x:f>IF(C338="","",IF(OR(COUNTIF($C$9:$C$2008,C338)&lt;&gt;1,COUNTIFS($D$9:$D$2008,D338,$E$9:$E$2008,E338)&lt;&gt;1),"Duplicate test",IF(COUNTIF('Taxonomy'!$C$9:$C$108,D338)&lt;&gt;1,"Assessment key",IF(OR(COUNTIF('Taxonomy Rules'!$C$42:$C$68,E338)&lt;&gt;1,F338&lt;&gt;IFERROR(INDEX('Taxonomy Rules'!$D$42:$D$68,MATCH(E338,'Taxonomy Rules'!$C$42:$C$68,0)),""),NOT(OR(IFERROR(INDEX('Taxonomy Rules'!$G$42:$G$68,MATCH(E338,'Taxonomy Rules'!$C$42:$C$68,0)),"")="All supported routes",IFERROR(INDEX('Taxonomy Rules'!$G$42:$G$68,MATCH(E338,'Taxonomy Rules'!$C$42:$C$68,0)),"")=U338,AND(IFERROR(INDEX('Taxonomy Rules'!$G$42:$G$68,MATCH(E338,'Taxonomy Rules'!$C$42:$C$68,0)),"")="Building routes",OR(U338="Building renovation",U338="New building",U338="Building equipment"))))),"Unexpected test","Valid"))))</x:f>
      </x:c>
      <x:c r="S338" s="9" t="str">
        <x:f>IF(C338="","",IFERROR(INDEX('Taxonomy Rules'!$E$42:$E$68,MATCH(E338,'Taxonomy Rules'!$C$42:$C$68,0)),""))</x:f>
      </x:c>
      <x:c r="T338" s="9" t="str">
        <x:f>IF(C338="","",IFERROR(INDEX('Taxonomy Rules'!$F$42:$F$68,MATCH(E338,'Taxonomy Rules'!$C$42:$C$68,0)),""))</x:f>
      </x:c>
      <x:c r="U338" s="9" t="str">
        <x:f>IF(C338="","",IFERROR(INDEX('Taxonomy'!$G$9:$G$108,MATCH(D338,'Taxonomy'!$C$9:$C$108,0)),""))</x:f>
      </x:c>
    </x:row>
    <x:row r="339" ht="44" customHeight="1">
      <x:c r="A339" s="1"/>
      <x:c r="B339" s="1"/>
      <x:c r="C339" s="8"/>
      <x:c r="D339" s="8"/>
      <x:c r="E339" s="8"/>
      <x:c r="F339" s="8"/>
      <x:c r="G339" s="8"/>
      <x:c r="H339" s="8"/>
      <x:c r="I339" s="8"/>
      <x:c r="J339" s="8"/>
      <x:c r="K339" s="8"/>
      <x:c r="L339" s="8"/>
      <x:c r="M339" s="10"/>
      <x:c r="N339" s="10"/>
      <x:c r="O339" s="8"/>
      <x:c r="P339" s="9" t="str">
        <x:f>IF(C339="","",IF(AND(G339="Applicable",H339="Fail"),"Fail",IF(R339&lt;&gt;"Valid","Pending",IF(OR(I339="",K339="",L339="",K339=L339,NOT(ISNUMBER(M339)),NOT(ISNUMBER(N339)),M339&gt;Settings!$F$8,N339&lt;Settings!$F$8,N339&lt;M339),"Pending",IF(AND(G339="Applicable",H339="Pass"),"Pass",IF(AND(G339="N/A",H339="N/A",J339&lt;&gt;"",OR(E339="CEM-FUELS",E339="CEM-CCS",AND(E339="CEM-PLAN",IFERROR(INDEX('Taxonomy'!$M$9:$M$108,MATCH(D339,'Taxonomy'!$C$9:$C$108,0)),"")&lt;&gt;"Amber"),E339="BLD-TIMBER",AND(U339="Building equipment",OR(E339="BLD-WATER",E339="BLD-WASTE",E339="BLD-LAND")),AND(U339="Building renovation",E339="BLD-LAND"))),"N/A","Pending"))))))</x:f>
      </x:c>
      <x:c r="Q339" s="3" t="str">
        <x:f>IF(C339="","",IF(AND(R339="Valid",OR(P339="Pass",P339="N/A")),"Complete","Unresolved"))</x:f>
      </x:c>
      <x:c r="R339" s="9" t="str">
        <x:f>IF(C339="","",IF(OR(COUNTIF($C$9:$C$2008,C339)&lt;&gt;1,COUNTIFS($D$9:$D$2008,D339,$E$9:$E$2008,E339)&lt;&gt;1),"Duplicate test",IF(COUNTIF('Taxonomy'!$C$9:$C$108,D339)&lt;&gt;1,"Assessment key",IF(OR(COUNTIF('Taxonomy Rules'!$C$42:$C$68,E339)&lt;&gt;1,F339&lt;&gt;IFERROR(INDEX('Taxonomy Rules'!$D$42:$D$68,MATCH(E339,'Taxonomy Rules'!$C$42:$C$68,0)),""),NOT(OR(IFERROR(INDEX('Taxonomy Rules'!$G$42:$G$68,MATCH(E339,'Taxonomy Rules'!$C$42:$C$68,0)),"")="All supported routes",IFERROR(INDEX('Taxonomy Rules'!$G$42:$G$68,MATCH(E339,'Taxonomy Rules'!$C$42:$C$68,0)),"")=U339,AND(IFERROR(INDEX('Taxonomy Rules'!$G$42:$G$68,MATCH(E339,'Taxonomy Rules'!$C$42:$C$68,0)),"")="Building routes",OR(U339="Building renovation",U339="New building",U339="Building equipment"))))),"Unexpected test","Valid"))))</x:f>
      </x:c>
      <x:c r="S339" s="9" t="str">
        <x:f>IF(C339="","",IFERROR(INDEX('Taxonomy Rules'!$E$42:$E$68,MATCH(E339,'Taxonomy Rules'!$C$42:$C$68,0)),""))</x:f>
      </x:c>
      <x:c r="T339" s="9" t="str">
        <x:f>IF(C339="","",IFERROR(INDEX('Taxonomy Rules'!$F$42:$F$68,MATCH(E339,'Taxonomy Rules'!$C$42:$C$68,0)),""))</x:f>
      </x:c>
      <x:c r="U339" s="9" t="str">
        <x:f>IF(C339="","",IFERROR(INDEX('Taxonomy'!$G$9:$G$108,MATCH(D339,'Taxonomy'!$C$9:$C$108,0)),""))</x:f>
      </x:c>
    </x:row>
    <x:row r="340" ht="44" customHeight="1">
      <x:c r="A340" s="1"/>
      <x:c r="B340" s="1"/>
      <x:c r="C340" s="8"/>
      <x:c r="D340" s="8"/>
      <x:c r="E340" s="8"/>
      <x:c r="F340" s="8"/>
      <x:c r="G340" s="8"/>
      <x:c r="H340" s="8"/>
      <x:c r="I340" s="8"/>
      <x:c r="J340" s="8"/>
      <x:c r="K340" s="8"/>
      <x:c r="L340" s="8"/>
      <x:c r="M340" s="10"/>
      <x:c r="N340" s="10"/>
      <x:c r="O340" s="8"/>
      <x:c r="P340" s="9" t="str">
        <x:f>IF(C340="","",IF(AND(G340="Applicable",H340="Fail"),"Fail",IF(R340&lt;&gt;"Valid","Pending",IF(OR(I340="",K340="",L340="",K340=L340,NOT(ISNUMBER(M340)),NOT(ISNUMBER(N340)),M340&gt;Settings!$F$8,N340&lt;Settings!$F$8,N340&lt;M340),"Pending",IF(AND(G340="Applicable",H340="Pass"),"Pass",IF(AND(G340="N/A",H340="N/A",J340&lt;&gt;"",OR(E340="CEM-FUELS",E340="CEM-CCS",AND(E340="CEM-PLAN",IFERROR(INDEX('Taxonomy'!$M$9:$M$108,MATCH(D340,'Taxonomy'!$C$9:$C$108,0)),"")&lt;&gt;"Amber"),E340="BLD-TIMBER",AND(U340="Building equipment",OR(E340="BLD-WATER",E340="BLD-WASTE",E340="BLD-LAND")),AND(U340="Building renovation",E340="BLD-LAND"))),"N/A","Pending"))))))</x:f>
      </x:c>
      <x:c r="Q340" s="3" t="str">
        <x:f>IF(C340="","",IF(AND(R340="Valid",OR(P340="Pass",P340="N/A")),"Complete","Unresolved"))</x:f>
      </x:c>
      <x:c r="R340" s="9" t="str">
        <x:f>IF(C340="","",IF(OR(COUNTIF($C$9:$C$2008,C340)&lt;&gt;1,COUNTIFS($D$9:$D$2008,D340,$E$9:$E$2008,E340)&lt;&gt;1),"Duplicate test",IF(COUNTIF('Taxonomy'!$C$9:$C$108,D340)&lt;&gt;1,"Assessment key",IF(OR(COUNTIF('Taxonomy Rules'!$C$42:$C$68,E340)&lt;&gt;1,F340&lt;&gt;IFERROR(INDEX('Taxonomy Rules'!$D$42:$D$68,MATCH(E340,'Taxonomy Rules'!$C$42:$C$68,0)),""),NOT(OR(IFERROR(INDEX('Taxonomy Rules'!$G$42:$G$68,MATCH(E340,'Taxonomy Rules'!$C$42:$C$68,0)),"")="All supported routes",IFERROR(INDEX('Taxonomy Rules'!$G$42:$G$68,MATCH(E340,'Taxonomy Rules'!$C$42:$C$68,0)),"")=U340,AND(IFERROR(INDEX('Taxonomy Rules'!$G$42:$G$68,MATCH(E340,'Taxonomy Rules'!$C$42:$C$68,0)),"")="Building routes",OR(U340="Building renovation",U340="New building",U340="Building equipment"))))),"Unexpected test","Valid"))))</x:f>
      </x:c>
      <x:c r="S340" s="9" t="str">
        <x:f>IF(C340="","",IFERROR(INDEX('Taxonomy Rules'!$E$42:$E$68,MATCH(E340,'Taxonomy Rules'!$C$42:$C$68,0)),""))</x:f>
      </x:c>
      <x:c r="T340" s="9" t="str">
        <x:f>IF(C340="","",IFERROR(INDEX('Taxonomy Rules'!$F$42:$F$68,MATCH(E340,'Taxonomy Rules'!$C$42:$C$68,0)),""))</x:f>
      </x:c>
      <x:c r="U340" s="9" t="str">
        <x:f>IF(C340="","",IFERROR(INDEX('Taxonomy'!$G$9:$G$108,MATCH(D340,'Taxonomy'!$C$9:$C$108,0)),""))</x:f>
      </x:c>
    </x:row>
    <x:row r="341" ht="44" customHeight="1">
      <x:c r="A341" s="1"/>
      <x:c r="B341" s="1"/>
      <x:c r="C341" s="8"/>
      <x:c r="D341" s="8"/>
      <x:c r="E341" s="8"/>
      <x:c r="F341" s="8"/>
      <x:c r="G341" s="8"/>
      <x:c r="H341" s="8"/>
      <x:c r="I341" s="8"/>
      <x:c r="J341" s="8"/>
      <x:c r="K341" s="8"/>
      <x:c r="L341" s="8"/>
      <x:c r="M341" s="10"/>
      <x:c r="N341" s="10"/>
      <x:c r="O341" s="8"/>
      <x:c r="P341" s="9" t="str">
        <x:f>IF(C341="","",IF(AND(G341="Applicable",H341="Fail"),"Fail",IF(R341&lt;&gt;"Valid","Pending",IF(OR(I341="",K341="",L341="",K341=L341,NOT(ISNUMBER(M341)),NOT(ISNUMBER(N341)),M341&gt;Settings!$F$8,N341&lt;Settings!$F$8,N341&lt;M341),"Pending",IF(AND(G341="Applicable",H341="Pass"),"Pass",IF(AND(G341="N/A",H341="N/A",J341&lt;&gt;"",OR(E341="CEM-FUELS",E341="CEM-CCS",AND(E341="CEM-PLAN",IFERROR(INDEX('Taxonomy'!$M$9:$M$108,MATCH(D341,'Taxonomy'!$C$9:$C$108,0)),"")&lt;&gt;"Amber"),E341="BLD-TIMBER",AND(U341="Building equipment",OR(E341="BLD-WATER",E341="BLD-WASTE",E341="BLD-LAND")),AND(U341="Building renovation",E341="BLD-LAND"))),"N/A","Pending"))))))</x:f>
      </x:c>
      <x:c r="Q341" s="3" t="str">
        <x:f>IF(C341="","",IF(AND(R341="Valid",OR(P341="Pass",P341="N/A")),"Complete","Unresolved"))</x:f>
      </x:c>
      <x:c r="R341" s="9" t="str">
        <x:f>IF(C341="","",IF(OR(COUNTIF($C$9:$C$2008,C341)&lt;&gt;1,COUNTIFS($D$9:$D$2008,D341,$E$9:$E$2008,E341)&lt;&gt;1),"Duplicate test",IF(COUNTIF('Taxonomy'!$C$9:$C$108,D341)&lt;&gt;1,"Assessment key",IF(OR(COUNTIF('Taxonomy Rules'!$C$42:$C$68,E341)&lt;&gt;1,F341&lt;&gt;IFERROR(INDEX('Taxonomy Rules'!$D$42:$D$68,MATCH(E341,'Taxonomy Rules'!$C$42:$C$68,0)),""),NOT(OR(IFERROR(INDEX('Taxonomy Rules'!$G$42:$G$68,MATCH(E341,'Taxonomy Rules'!$C$42:$C$68,0)),"")="All supported routes",IFERROR(INDEX('Taxonomy Rules'!$G$42:$G$68,MATCH(E341,'Taxonomy Rules'!$C$42:$C$68,0)),"")=U341,AND(IFERROR(INDEX('Taxonomy Rules'!$G$42:$G$68,MATCH(E341,'Taxonomy Rules'!$C$42:$C$68,0)),"")="Building routes",OR(U341="Building renovation",U341="New building",U341="Building equipment"))))),"Unexpected test","Valid"))))</x:f>
      </x:c>
      <x:c r="S341" s="9" t="str">
        <x:f>IF(C341="","",IFERROR(INDEX('Taxonomy Rules'!$E$42:$E$68,MATCH(E341,'Taxonomy Rules'!$C$42:$C$68,0)),""))</x:f>
      </x:c>
      <x:c r="T341" s="9" t="str">
        <x:f>IF(C341="","",IFERROR(INDEX('Taxonomy Rules'!$F$42:$F$68,MATCH(E341,'Taxonomy Rules'!$C$42:$C$68,0)),""))</x:f>
      </x:c>
      <x:c r="U341" s="9" t="str">
        <x:f>IF(C341="","",IFERROR(INDEX('Taxonomy'!$G$9:$G$108,MATCH(D341,'Taxonomy'!$C$9:$C$108,0)),""))</x:f>
      </x:c>
    </x:row>
    <x:row r="342" ht="44" customHeight="1">
      <x:c r="A342" s="1"/>
      <x:c r="B342" s="1"/>
      <x:c r="C342" s="8"/>
      <x:c r="D342" s="8"/>
      <x:c r="E342" s="8"/>
      <x:c r="F342" s="8"/>
      <x:c r="G342" s="8"/>
      <x:c r="H342" s="8"/>
      <x:c r="I342" s="8"/>
      <x:c r="J342" s="8"/>
      <x:c r="K342" s="8"/>
      <x:c r="L342" s="8"/>
      <x:c r="M342" s="10"/>
      <x:c r="N342" s="10"/>
      <x:c r="O342" s="8"/>
      <x:c r="P342" s="9" t="str">
        <x:f>IF(C342="","",IF(AND(G342="Applicable",H342="Fail"),"Fail",IF(R342&lt;&gt;"Valid","Pending",IF(OR(I342="",K342="",L342="",K342=L342,NOT(ISNUMBER(M342)),NOT(ISNUMBER(N342)),M342&gt;Settings!$F$8,N342&lt;Settings!$F$8,N342&lt;M342),"Pending",IF(AND(G342="Applicable",H342="Pass"),"Pass",IF(AND(G342="N/A",H342="N/A",J342&lt;&gt;"",OR(E342="CEM-FUELS",E342="CEM-CCS",AND(E342="CEM-PLAN",IFERROR(INDEX('Taxonomy'!$M$9:$M$108,MATCH(D342,'Taxonomy'!$C$9:$C$108,0)),"")&lt;&gt;"Amber"),E342="BLD-TIMBER",AND(U342="Building equipment",OR(E342="BLD-WATER",E342="BLD-WASTE",E342="BLD-LAND")),AND(U342="Building renovation",E342="BLD-LAND"))),"N/A","Pending"))))))</x:f>
      </x:c>
      <x:c r="Q342" s="3" t="str">
        <x:f>IF(C342="","",IF(AND(R342="Valid",OR(P342="Pass",P342="N/A")),"Complete","Unresolved"))</x:f>
      </x:c>
      <x:c r="R342" s="9" t="str">
        <x:f>IF(C342="","",IF(OR(COUNTIF($C$9:$C$2008,C342)&lt;&gt;1,COUNTIFS($D$9:$D$2008,D342,$E$9:$E$2008,E342)&lt;&gt;1),"Duplicate test",IF(COUNTIF('Taxonomy'!$C$9:$C$108,D342)&lt;&gt;1,"Assessment key",IF(OR(COUNTIF('Taxonomy Rules'!$C$42:$C$68,E342)&lt;&gt;1,F342&lt;&gt;IFERROR(INDEX('Taxonomy Rules'!$D$42:$D$68,MATCH(E342,'Taxonomy Rules'!$C$42:$C$68,0)),""),NOT(OR(IFERROR(INDEX('Taxonomy Rules'!$G$42:$G$68,MATCH(E342,'Taxonomy Rules'!$C$42:$C$68,0)),"")="All supported routes",IFERROR(INDEX('Taxonomy Rules'!$G$42:$G$68,MATCH(E342,'Taxonomy Rules'!$C$42:$C$68,0)),"")=U342,AND(IFERROR(INDEX('Taxonomy Rules'!$G$42:$G$68,MATCH(E342,'Taxonomy Rules'!$C$42:$C$68,0)),"")="Building routes",OR(U342="Building renovation",U342="New building",U342="Building equipment"))))),"Unexpected test","Valid"))))</x:f>
      </x:c>
      <x:c r="S342" s="9" t="str">
        <x:f>IF(C342="","",IFERROR(INDEX('Taxonomy Rules'!$E$42:$E$68,MATCH(E342,'Taxonomy Rules'!$C$42:$C$68,0)),""))</x:f>
      </x:c>
      <x:c r="T342" s="9" t="str">
        <x:f>IF(C342="","",IFERROR(INDEX('Taxonomy Rules'!$F$42:$F$68,MATCH(E342,'Taxonomy Rules'!$C$42:$C$68,0)),""))</x:f>
      </x:c>
      <x:c r="U342" s="9" t="str">
        <x:f>IF(C342="","",IFERROR(INDEX('Taxonomy'!$G$9:$G$108,MATCH(D342,'Taxonomy'!$C$9:$C$108,0)),""))</x:f>
      </x:c>
    </x:row>
    <x:row r="343" ht="44" customHeight="1">
      <x:c r="A343" s="1"/>
      <x:c r="B343" s="1"/>
      <x:c r="C343" s="8"/>
      <x:c r="D343" s="8"/>
      <x:c r="E343" s="8"/>
      <x:c r="F343" s="8"/>
      <x:c r="G343" s="8"/>
      <x:c r="H343" s="8"/>
      <x:c r="I343" s="8"/>
      <x:c r="J343" s="8"/>
      <x:c r="K343" s="8"/>
      <x:c r="L343" s="8"/>
      <x:c r="M343" s="10"/>
      <x:c r="N343" s="10"/>
      <x:c r="O343" s="8"/>
      <x:c r="P343" s="9" t="str">
        <x:f>IF(C343="","",IF(AND(G343="Applicable",H343="Fail"),"Fail",IF(R343&lt;&gt;"Valid","Pending",IF(OR(I343="",K343="",L343="",K343=L343,NOT(ISNUMBER(M343)),NOT(ISNUMBER(N343)),M343&gt;Settings!$F$8,N343&lt;Settings!$F$8,N343&lt;M343),"Pending",IF(AND(G343="Applicable",H343="Pass"),"Pass",IF(AND(G343="N/A",H343="N/A",J343&lt;&gt;"",OR(E343="CEM-FUELS",E343="CEM-CCS",AND(E343="CEM-PLAN",IFERROR(INDEX('Taxonomy'!$M$9:$M$108,MATCH(D343,'Taxonomy'!$C$9:$C$108,0)),"")&lt;&gt;"Amber"),E343="BLD-TIMBER",AND(U343="Building equipment",OR(E343="BLD-WATER",E343="BLD-WASTE",E343="BLD-LAND")),AND(U343="Building renovation",E343="BLD-LAND"))),"N/A","Pending"))))))</x:f>
      </x:c>
      <x:c r="Q343" s="3" t="str">
        <x:f>IF(C343="","",IF(AND(R343="Valid",OR(P343="Pass",P343="N/A")),"Complete","Unresolved"))</x:f>
      </x:c>
      <x:c r="R343" s="9" t="str">
        <x:f>IF(C343="","",IF(OR(COUNTIF($C$9:$C$2008,C343)&lt;&gt;1,COUNTIFS($D$9:$D$2008,D343,$E$9:$E$2008,E343)&lt;&gt;1),"Duplicate test",IF(COUNTIF('Taxonomy'!$C$9:$C$108,D343)&lt;&gt;1,"Assessment key",IF(OR(COUNTIF('Taxonomy Rules'!$C$42:$C$68,E343)&lt;&gt;1,F343&lt;&gt;IFERROR(INDEX('Taxonomy Rules'!$D$42:$D$68,MATCH(E343,'Taxonomy Rules'!$C$42:$C$68,0)),""),NOT(OR(IFERROR(INDEX('Taxonomy Rules'!$G$42:$G$68,MATCH(E343,'Taxonomy Rules'!$C$42:$C$68,0)),"")="All supported routes",IFERROR(INDEX('Taxonomy Rules'!$G$42:$G$68,MATCH(E343,'Taxonomy Rules'!$C$42:$C$68,0)),"")=U343,AND(IFERROR(INDEX('Taxonomy Rules'!$G$42:$G$68,MATCH(E343,'Taxonomy Rules'!$C$42:$C$68,0)),"")="Building routes",OR(U343="Building renovation",U343="New building",U343="Building equipment"))))),"Unexpected test","Valid"))))</x:f>
      </x:c>
      <x:c r="S343" s="9" t="str">
        <x:f>IF(C343="","",IFERROR(INDEX('Taxonomy Rules'!$E$42:$E$68,MATCH(E343,'Taxonomy Rules'!$C$42:$C$68,0)),""))</x:f>
      </x:c>
      <x:c r="T343" s="9" t="str">
        <x:f>IF(C343="","",IFERROR(INDEX('Taxonomy Rules'!$F$42:$F$68,MATCH(E343,'Taxonomy Rules'!$C$42:$C$68,0)),""))</x:f>
      </x:c>
      <x:c r="U343" s="9" t="str">
        <x:f>IF(C343="","",IFERROR(INDEX('Taxonomy'!$G$9:$G$108,MATCH(D343,'Taxonomy'!$C$9:$C$108,0)),""))</x:f>
      </x:c>
    </x:row>
    <x:row r="344" ht="44" customHeight="1">
      <x:c r="A344" s="1"/>
      <x:c r="B344" s="1"/>
      <x:c r="C344" s="8"/>
      <x:c r="D344" s="8"/>
      <x:c r="E344" s="8"/>
      <x:c r="F344" s="8"/>
      <x:c r="G344" s="8"/>
      <x:c r="H344" s="8"/>
      <x:c r="I344" s="8"/>
      <x:c r="J344" s="8"/>
      <x:c r="K344" s="8"/>
      <x:c r="L344" s="8"/>
      <x:c r="M344" s="10"/>
      <x:c r="N344" s="10"/>
      <x:c r="O344" s="8"/>
      <x:c r="P344" s="9" t="str">
        <x:f>IF(C344="","",IF(AND(G344="Applicable",H344="Fail"),"Fail",IF(R344&lt;&gt;"Valid","Pending",IF(OR(I344="",K344="",L344="",K344=L344,NOT(ISNUMBER(M344)),NOT(ISNUMBER(N344)),M344&gt;Settings!$F$8,N344&lt;Settings!$F$8,N344&lt;M344),"Pending",IF(AND(G344="Applicable",H344="Pass"),"Pass",IF(AND(G344="N/A",H344="N/A",J344&lt;&gt;"",OR(E344="CEM-FUELS",E344="CEM-CCS",AND(E344="CEM-PLAN",IFERROR(INDEX('Taxonomy'!$M$9:$M$108,MATCH(D344,'Taxonomy'!$C$9:$C$108,0)),"")&lt;&gt;"Amber"),E344="BLD-TIMBER",AND(U344="Building equipment",OR(E344="BLD-WATER",E344="BLD-WASTE",E344="BLD-LAND")),AND(U344="Building renovation",E344="BLD-LAND"))),"N/A","Pending"))))))</x:f>
      </x:c>
      <x:c r="Q344" s="3" t="str">
        <x:f>IF(C344="","",IF(AND(R344="Valid",OR(P344="Pass",P344="N/A")),"Complete","Unresolved"))</x:f>
      </x:c>
      <x:c r="R344" s="9" t="str">
        <x:f>IF(C344="","",IF(OR(COUNTIF($C$9:$C$2008,C344)&lt;&gt;1,COUNTIFS($D$9:$D$2008,D344,$E$9:$E$2008,E344)&lt;&gt;1),"Duplicate test",IF(COUNTIF('Taxonomy'!$C$9:$C$108,D344)&lt;&gt;1,"Assessment key",IF(OR(COUNTIF('Taxonomy Rules'!$C$42:$C$68,E344)&lt;&gt;1,F344&lt;&gt;IFERROR(INDEX('Taxonomy Rules'!$D$42:$D$68,MATCH(E344,'Taxonomy Rules'!$C$42:$C$68,0)),""),NOT(OR(IFERROR(INDEX('Taxonomy Rules'!$G$42:$G$68,MATCH(E344,'Taxonomy Rules'!$C$42:$C$68,0)),"")="All supported routes",IFERROR(INDEX('Taxonomy Rules'!$G$42:$G$68,MATCH(E344,'Taxonomy Rules'!$C$42:$C$68,0)),"")=U344,AND(IFERROR(INDEX('Taxonomy Rules'!$G$42:$G$68,MATCH(E344,'Taxonomy Rules'!$C$42:$C$68,0)),"")="Building routes",OR(U344="Building renovation",U344="New building",U344="Building equipment"))))),"Unexpected test","Valid"))))</x:f>
      </x:c>
      <x:c r="S344" s="9" t="str">
        <x:f>IF(C344="","",IFERROR(INDEX('Taxonomy Rules'!$E$42:$E$68,MATCH(E344,'Taxonomy Rules'!$C$42:$C$68,0)),""))</x:f>
      </x:c>
      <x:c r="T344" s="9" t="str">
        <x:f>IF(C344="","",IFERROR(INDEX('Taxonomy Rules'!$F$42:$F$68,MATCH(E344,'Taxonomy Rules'!$C$42:$C$68,0)),""))</x:f>
      </x:c>
      <x:c r="U344" s="9" t="str">
        <x:f>IF(C344="","",IFERROR(INDEX('Taxonomy'!$G$9:$G$108,MATCH(D344,'Taxonomy'!$C$9:$C$108,0)),""))</x:f>
      </x:c>
    </x:row>
    <x:row r="345" ht="44" customHeight="1">
      <x:c r="A345" s="1"/>
      <x:c r="B345" s="1"/>
      <x:c r="C345" s="8"/>
      <x:c r="D345" s="8"/>
      <x:c r="E345" s="8"/>
      <x:c r="F345" s="8"/>
      <x:c r="G345" s="8"/>
      <x:c r="H345" s="8"/>
      <x:c r="I345" s="8"/>
      <x:c r="J345" s="8"/>
      <x:c r="K345" s="8"/>
      <x:c r="L345" s="8"/>
      <x:c r="M345" s="10"/>
      <x:c r="N345" s="10"/>
      <x:c r="O345" s="8"/>
      <x:c r="P345" s="9" t="str">
        <x:f>IF(C345="","",IF(AND(G345="Applicable",H345="Fail"),"Fail",IF(R345&lt;&gt;"Valid","Pending",IF(OR(I345="",K345="",L345="",K345=L345,NOT(ISNUMBER(M345)),NOT(ISNUMBER(N345)),M345&gt;Settings!$F$8,N345&lt;Settings!$F$8,N345&lt;M345),"Pending",IF(AND(G345="Applicable",H345="Pass"),"Pass",IF(AND(G345="N/A",H345="N/A",J345&lt;&gt;"",OR(E345="CEM-FUELS",E345="CEM-CCS",AND(E345="CEM-PLAN",IFERROR(INDEX('Taxonomy'!$M$9:$M$108,MATCH(D345,'Taxonomy'!$C$9:$C$108,0)),"")&lt;&gt;"Amber"),E345="BLD-TIMBER",AND(U345="Building equipment",OR(E345="BLD-WATER",E345="BLD-WASTE",E345="BLD-LAND")),AND(U345="Building renovation",E345="BLD-LAND"))),"N/A","Pending"))))))</x:f>
      </x:c>
      <x:c r="Q345" s="3" t="str">
        <x:f>IF(C345="","",IF(AND(R345="Valid",OR(P345="Pass",P345="N/A")),"Complete","Unresolved"))</x:f>
      </x:c>
      <x:c r="R345" s="9" t="str">
        <x:f>IF(C345="","",IF(OR(COUNTIF($C$9:$C$2008,C345)&lt;&gt;1,COUNTIFS($D$9:$D$2008,D345,$E$9:$E$2008,E345)&lt;&gt;1),"Duplicate test",IF(COUNTIF('Taxonomy'!$C$9:$C$108,D345)&lt;&gt;1,"Assessment key",IF(OR(COUNTIF('Taxonomy Rules'!$C$42:$C$68,E345)&lt;&gt;1,F345&lt;&gt;IFERROR(INDEX('Taxonomy Rules'!$D$42:$D$68,MATCH(E345,'Taxonomy Rules'!$C$42:$C$68,0)),""),NOT(OR(IFERROR(INDEX('Taxonomy Rules'!$G$42:$G$68,MATCH(E345,'Taxonomy Rules'!$C$42:$C$68,0)),"")="All supported routes",IFERROR(INDEX('Taxonomy Rules'!$G$42:$G$68,MATCH(E345,'Taxonomy Rules'!$C$42:$C$68,0)),"")=U345,AND(IFERROR(INDEX('Taxonomy Rules'!$G$42:$G$68,MATCH(E345,'Taxonomy Rules'!$C$42:$C$68,0)),"")="Building routes",OR(U345="Building renovation",U345="New building",U345="Building equipment"))))),"Unexpected test","Valid"))))</x:f>
      </x:c>
      <x:c r="S345" s="9" t="str">
        <x:f>IF(C345="","",IFERROR(INDEX('Taxonomy Rules'!$E$42:$E$68,MATCH(E345,'Taxonomy Rules'!$C$42:$C$68,0)),""))</x:f>
      </x:c>
      <x:c r="T345" s="9" t="str">
        <x:f>IF(C345="","",IFERROR(INDEX('Taxonomy Rules'!$F$42:$F$68,MATCH(E345,'Taxonomy Rules'!$C$42:$C$68,0)),""))</x:f>
      </x:c>
      <x:c r="U345" s="9" t="str">
        <x:f>IF(C345="","",IFERROR(INDEX('Taxonomy'!$G$9:$G$108,MATCH(D345,'Taxonomy'!$C$9:$C$108,0)),""))</x:f>
      </x:c>
    </x:row>
    <x:row r="346" ht="44" customHeight="1">
      <x:c r="A346" s="1"/>
      <x:c r="B346" s="1"/>
      <x:c r="C346" s="8"/>
      <x:c r="D346" s="8"/>
      <x:c r="E346" s="8"/>
      <x:c r="F346" s="8"/>
      <x:c r="G346" s="8"/>
      <x:c r="H346" s="8"/>
      <x:c r="I346" s="8"/>
      <x:c r="J346" s="8"/>
      <x:c r="K346" s="8"/>
      <x:c r="L346" s="8"/>
      <x:c r="M346" s="10"/>
      <x:c r="N346" s="10"/>
      <x:c r="O346" s="8"/>
      <x:c r="P346" s="9" t="str">
        <x:f>IF(C346="","",IF(AND(G346="Applicable",H346="Fail"),"Fail",IF(R346&lt;&gt;"Valid","Pending",IF(OR(I346="",K346="",L346="",K346=L346,NOT(ISNUMBER(M346)),NOT(ISNUMBER(N346)),M346&gt;Settings!$F$8,N346&lt;Settings!$F$8,N346&lt;M346),"Pending",IF(AND(G346="Applicable",H346="Pass"),"Pass",IF(AND(G346="N/A",H346="N/A",J346&lt;&gt;"",OR(E346="CEM-FUELS",E346="CEM-CCS",AND(E346="CEM-PLAN",IFERROR(INDEX('Taxonomy'!$M$9:$M$108,MATCH(D346,'Taxonomy'!$C$9:$C$108,0)),"")&lt;&gt;"Amber"),E346="BLD-TIMBER",AND(U346="Building equipment",OR(E346="BLD-WATER",E346="BLD-WASTE",E346="BLD-LAND")),AND(U346="Building renovation",E346="BLD-LAND"))),"N/A","Pending"))))))</x:f>
      </x:c>
      <x:c r="Q346" s="3" t="str">
        <x:f>IF(C346="","",IF(AND(R346="Valid",OR(P346="Pass",P346="N/A")),"Complete","Unresolved"))</x:f>
      </x:c>
      <x:c r="R346" s="9" t="str">
        <x:f>IF(C346="","",IF(OR(COUNTIF($C$9:$C$2008,C346)&lt;&gt;1,COUNTIFS($D$9:$D$2008,D346,$E$9:$E$2008,E346)&lt;&gt;1),"Duplicate test",IF(COUNTIF('Taxonomy'!$C$9:$C$108,D346)&lt;&gt;1,"Assessment key",IF(OR(COUNTIF('Taxonomy Rules'!$C$42:$C$68,E346)&lt;&gt;1,F346&lt;&gt;IFERROR(INDEX('Taxonomy Rules'!$D$42:$D$68,MATCH(E346,'Taxonomy Rules'!$C$42:$C$68,0)),""),NOT(OR(IFERROR(INDEX('Taxonomy Rules'!$G$42:$G$68,MATCH(E346,'Taxonomy Rules'!$C$42:$C$68,0)),"")="All supported routes",IFERROR(INDEX('Taxonomy Rules'!$G$42:$G$68,MATCH(E346,'Taxonomy Rules'!$C$42:$C$68,0)),"")=U346,AND(IFERROR(INDEX('Taxonomy Rules'!$G$42:$G$68,MATCH(E346,'Taxonomy Rules'!$C$42:$C$68,0)),"")="Building routes",OR(U346="Building renovation",U346="New building",U346="Building equipment"))))),"Unexpected test","Valid"))))</x:f>
      </x:c>
      <x:c r="S346" s="9" t="str">
        <x:f>IF(C346="","",IFERROR(INDEX('Taxonomy Rules'!$E$42:$E$68,MATCH(E346,'Taxonomy Rules'!$C$42:$C$68,0)),""))</x:f>
      </x:c>
      <x:c r="T346" s="9" t="str">
        <x:f>IF(C346="","",IFERROR(INDEX('Taxonomy Rules'!$F$42:$F$68,MATCH(E346,'Taxonomy Rules'!$C$42:$C$68,0)),""))</x:f>
      </x:c>
      <x:c r="U346" s="9" t="str">
        <x:f>IF(C346="","",IFERROR(INDEX('Taxonomy'!$G$9:$G$108,MATCH(D346,'Taxonomy'!$C$9:$C$108,0)),""))</x:f>
      </x:c>
    </x:row>
    <x:row r="347" ht="44" customHeight="1">
      <x:c r="A347" s="1"/>
      <x:c r="B347" s="1"/>
      <x:c r="C347" s="8"/>
      <x:c r="D347" s="8"/>
      <x:c r="E347" s="8"/>
      <x:c r="F347" s="8"/>
      <x:c r="G347" s="8"/>
      <x:c r="H347" s="8"/>
      <x:c r="I347" s="8"/>
      <x:c r="J347" s="8"/>
      <x:c r="K347" s="8"/>
      <x:c r="L347" s="8"/>
      <x:c r="M347" s="10"/>
      <x:c r="N347" s="10"/>
      <x:c r="O347" s="8"/>
      <x:c r="P347" s="9" t="str">
        <x:f>IF(C347="","",IF(AND(G347="Applicable",H347="Fail"),"Fail",IF(R347&lt;&gt;"Valid","Pending",IF(OR(I347="",K347="",L347="",K347=L347,NOT(ISNUMBER(M347)),NOT(ISNUMBER(N347)),M347&gt;Settings!$F$8,N347&lt;Settings!$F$8,N347&lt;M347),"Pending",IF(AND(G347="Applicable",H347="Pass"),"Pass",IF(AND(G347="N/A",H347="N/A",J347&lt;&gt;"",OR(E347="CEM-FUELS",E347="CEM-CCS",AND(E347="CEM-PLAN",IFERROR(INDEX('Taxonomy'!$M$9:$M$108,MATCH(D347,'Taxonomy'!$C$9:$C$108,0)),"")&lt;&gt;"Amber"),E347="BLD-TIMBER",AND(U347="Building equipment",OR(E347="BLD-WATER",E347="BLD-WASTE",E347="BLD-LAND")),AND(U347="Building renovation",E347="BLD-LAND"))),"N/A","Pending"))))))</x:f>
      </x:c>
      <x:c r="Q347" s="3" t="str">
        <x:f>IF(C347="","",IF(AND(R347="Valid",OR(P347="Pass",P347="N/A")),"Complete","Unresolved"))</x:f>
      </x:c>
      <x:c r="R347" s="9" t="str">
        <x:f>IF(C347="","",IF(OR(COUNTIF($C$9:$C$2008,C347)&lt;&gt;1,COUNTIFS($D$9:$D$2008,D347,$E$9:$E$2008,E347)&lt;&gt;1),"Duplicate test",IF(COUNTIF('Taxonomy'!$C$9:$C$108,D347)&lt;&gt;1,"Assessment key",IF(OR(COUNTIF('Taxonomy Rules'!$C$42:$C$68,E347)&lt;&gt;1,F347&lt;&gt;IFERROR(INDEX('Taxonomy Rules'!$D$42:$D$68,MATCH(E347,'Taxonomy Rules'!$C$42:$C$68,0)),""),NOT(OR(IFERROR(INDEX('Taxonomy Rules'!$G$42:$G$68,MATCH(E347,'Taxonomy Rules'!$C$42:$C$68,0)),"")="All supported routes",IFERROR(INDEX('Taxonomy Rules'!$G$42:$G$68,MATCH(E347,'Taxonomy Rules'!$C$42:$C$68,0)),"")=U347,AND(IFERROR(INDEX('Taxonomy Rules'!$G$42:$G$68,MATCH(E347,'Taxonomy Rules'!$C$42:$C$68,0)),"")="Building routes",OR(U347="Building renovation",U347="New building",U347="Building equipment"))))),"Unexpected test","Valid"))))</x:f>
      </x:c>
      <x:c r="S347" s="9" t="str">
        <x:f>IF(C347="","",IFERROR(INDEX('Taxonomy Rules'!$E$42:$E$68,MATCH(E347,'Taxonomy Rules'!$C$42:$C$68,0)),""))</x:f>
      </x:c>
      <x:c r="T347" s="9" t="str">
        <x:f>IF(C347="","",IFERROR(INDEX('Taxonomy Rules'!$F$42:$F$68,MATCH(E347,'Taxonomy Rules'!$C$42:$C$68,0)),""))</x:f>
      </x:c>
      <x:c r="U347" s="9" t="str">
        <x:f>IF(C347="","",IFERROR(INDEX('Taxonomy'!$G$9:$G$108,MATCH(D347,'Taxonomy'!$C$9:$C$108,0)),""))</x:f>
      </x:c>
    </x:row>
    <x:row r="348" ht="44" customHeight="1">
      <x:c r="A348" s="1"/>
      <x:c r="B348" s="1"/>
      <x:c r="C348" s="8"/>
      <x:c r="D348" s="8"/>
      <x:c r="E348" s="8"/>
      <x:c r="F348" s="8"/>
      <x:c r="G348" s="8"/>
      <x:c r="H348" s="8"/>
      <x:c r="I348" s="8"/>
      <x:c r="J348" s="8"/>
      <x:c r="K348" s="8"/>
      <x:c r="L348" s="8"/>
      <x:c r="M348" s="10"/>
      <x:c r="N348" s="10"/>
      <x:c r="O348" s="8"/>
      <x:c r="P348" s="9" t="str">
        <x:f>IF(C348="","",IF(AND(G348="Applicable",H348="Fail"),"Fail",IF(R348&lt;&gt;"Valid","Pending",IF(OR(I348="",K348="",L348="",K348=L348,NOT(ISNUMBER(M348)),NOT(ISNUMBER(N348)),M348&gt;Settings!$F$8,N348&lt;Settings!$F$8,N348&lt;M348),"Pending",IF(AND(G348="Applicable",H348="Pass"),"Pass",IF(AND(G348="N/A",H348="N/A",J348&lt;&gt;"",OR(E348="CEM-FUELS",E348="CEM-CCS",AND(E348="CEM-PLAN",IFERROR(INDEX('Taxonomy'!$M$9:$M$108,MATCH(D348,'Taxonomy'!$C$9:$C$108,0)),"")&lt;&gt;"Amber"),E348="BLD-TIMBER",AND(U348="Building equipment",OR(E348="BLD-WATER",E348="BLD-WASTE",E348="BLD-LAND")),AND(U348="Building renovation",E348="BLD-LAND"))),"N/A","Pending"))))))</x:f>
      </x:c>
      <x:c r="Q348" s="3" t="str">
        <x:f>IF(C348="","",IF(AND(R348="Valid",OR(P348="Pass",P348="N/A")),"Complete","Unresolved"))</x:f>
      </x:c>
      <x:c r="R348" s="9" t="str">
        <x:f>IF(C348="","",IF(OR(COUNTIF($C$9:$C$2008,C348)&lt;&gt;1,COUNTIFS($D$9:$D$2008,D348,$E$9:$E$2008,E348)&lt;&gt;1),"Duplicate test",IF(COUNTIF('Taxonomy'!$C$9:$C$108,D348)&lt;&gt;1,"Assessment key",IF(OR(COUNTIF('Taxonomy Rules'!$C$42:$C$68,E348)&lt;&gt;1,F348&lt;&gt;IFERROR(INDEX('Taxonomy Rules'!$D$42:$D$68,MATCH(E348,'Taxonomy Rules'!$C$42:$C$68,0)),""),NOT(OR(IFERROR(INDEX('Taxonomy Rules'!$G$42:$G$68,MATCH(E348,'Taxonomy Rules'!$C$42:$C$68,0)),"")="All supported routes",IFERROR(INDEX('Taxonomy Rules'!$G$42:$G$68,MATCH(E348,'Taxonomy Rules'!$C$42:$C$68,0)),"")=U348,AND(IFERROR(INDEX('Taxonomy Rules'!$G$42:$G$68,MATCH(E348,'Taxonomy Rules'!$C$42:$C$68,0)),"")="Building routes",OR(U348="Building renovation",U348="New building",U348="Building equipment"))))),"Unexpected test","Valid"))))</x:f>
      </x:c>
      <x:c r="S348" s="9" t="str">
        <x:f>IF(C348="","",IFERROR(INDEX('Taxonomy Rules'!$E$42:$E$68,MATCH(E348,'Taxonomy Rules'!$C$42:$C$68,0)),""))</x:f>
      </x:c>
      <x:c r="T348" s="9" t="str">
        <x:f>IF(C348="","",IFERROR(INDEX('Taxonomy Rules'!$F$42:$F$68,MATCH(E348,'Taxonomy Rules'!$C$42:$C$68,0)),""))</x:f>
      </x:c>
      <x:c r="U348" s="9" t="str">
        <x:f>IF(C348="","",IFERROR(INDEX('Taxonomy'!$G$9:$G$108,MATCH(D348,'Taxonomy'!$C$9:$C$108,0)),""))</x:f>
      </x:c>
    </x:row>
    <x:row r="349" ht="44" customHeight="1">
      <x:c r="A349" s="1"/>
      <x:c r="B349" s="1"/>
      <x:c r="C349" s="8"/>
      <x:c r="D349" s="8"/>
      <x:c r="E349" s="8"/>
      <x:c r="F349" s="8"/>
      <x:c r="G349" s="8"/>
      <x:c r="H349" s="8"/>
      <x:c r="I349" s="8"/>
      <x:c r="J349" s="8"/>
      <x:c r="K349" s="8"/>
      <x:c r="L349" s="8"/>
      <x:c r="M349" s="10"/>
      <x:c r="N349" s="10"/>
      <x:c r="O349" s="8"/>
      <x:c r="P349" s="9" t="str">
        <x:f>IF(C349="","",IF(AND(G349="Applicable",H349="Fail"),"Fail",IF(R349&lt;&gt;"Valid","Pending",IF(OR(I349="",K349="",L349="",K349=L349,NOT(ISNUMBER(M349)),NOT(ISNUMBER(N349)),M349&gt;Settings!$F$8,N349&lt;Settings!$F$8,N349&lt;M349),"Pending",IF(AND(G349="Applicable",H349="Pass"),"Pass",IF(AND(G349="N/A",H349="N/A",J349&lt;&gt;"",OR(E349="CEM-FUELS",E349="CEM-CCS",AND(E349="CEM-PLAN",IFERROR(INDEX('Taxonomy'!$M$9:$M$108,MATCH(D349,'Taxonomy'!$C$9:$C$108,0)),"")&lt;&gt;"Amber"),E349="BLD-TIMBER",AND(U349="Building equipment",OR(E349="BLD-WATER",E349="BLD-WASTE",E349="BLD-LAND")),AND(U349="Building renovation",E349="BLD-LAND"))),"N/A","Pending"))))))</x:f>
      </x:c>
      <x:c r="Q349" s="3" t="str">
        <x:f>IF(C349="","",IF(AND(R349="Valid",OR(P349="Pass",P349="N/A")),"Complete","Unresolved"))</x:f>
      </x:c>
      <x:c r="R349" s="9" t="str">
        <x:f>IF(C349="","",IF(OR(COUNTIF($C$9:$C$2008,C349)&lt;&gt;1,COUNTIFS($D$9:$D$2008,D349,$E$9:$E$2008,E349)&lt;&gt;1),"Duplicate test",IF(COUNTIF('Taxonomy'!$C$9:$C$108,D349)&lt;&gt;1,"Assessment key",IF(OR(COUNTIF('Taxonomy Rules'!$C$42:$C$68,E349)&lt;&gt;1,F349&lt;&gt;IFERROR(INDEX('Taxonomy Rules'!$D$42:$D$68,MATCH(E349,'Taxonomy Rules'!$C$42:$C$68,0)),""),NOT(OR(IFERROR(INDEX('Taxonomy Rules'!$G$42:$G$68,MATCH(E349,'Taxonomy Rules'!$C$42:$C$68,0)),"")="All supported routes",IFERROR(INDEX('Taxonomy Rules'!$G$42:$G$68,MATCH(E349,'Taxonomy Rules'!$C$42:$C$68,0)),"")=U349,AND(IFERROR(INDEX('Taxonomy Rules'!$G$42:$G$68,MATCH(E349,'Taxonomy Rules'!$C$42:$C$68,0)),"")="Building routes",OR(U349="Building renovation",U349="New building",U349="Building equipment"))))),"Unexpected test","Valid"))))</x:f>
      </x:c>
      <x:c r="S349" s="9" t="str">
        <x:f>IF(C349="","",IFERROR(INDEX('Taxonomy Rules'!$E$42:$E$68,MATCH(E349,'Taxonomy Rules'!$C$42:$C$68,0)),""))</x:f>
      </x:c>
      <x:c r="T349" s="9" t="str">
        <x:f>IF(C349="","",IFERROR(INDEX('Taxonomy Rules'!$F$42:$F$68,MATCH(E349,'Taxonomy Rules'!$C$42:$C$68,0)),""))</x:f>
      </x:c>
      <x:c r="U349" s="9" t="str">
        <x:f>IF(C349="","",IFERROR(INDEX('Taxonomy'!$G$9:$G$108,MATCH(D349,'Taxonomy'!$C$9:$C$108,0)),""))</x:f>
      </x:c>
    </x:row>
    <x:row r="350" ht="44" customHeight="1">
      <x:c r="A350" s="1"/>
      <x:c r="B350" s="1"/>
      <x:c r="C350" s="8"/>
      <x:c r="D350" s="8"/>
      <x:c r="E350" s="8"/>
      <x:c r="F350" s="8"/>
      <x:c r="G350" s="8"/>
      <x:c r="H350" s="8"/>
      <x:c r="I350" s="8"/>
      <x:c r="J350" s="8"/>
      <x:c r="K350" s="8"/>
      <x:c r="L350" s="8"/>
      <x:c r="M350" s="10"/>
      <x:c r="N350" s="10"/>
      <x:c r="O350" s="8"/>
      <x:c r="P350" s="9" t="str">
        <x:f>IF(C350="","",IF(AND(G350="Applicable",H350="Fail"),"Fail",IF(R350&lt;&gt;"Valid","Pending",IF(OR(I350="",K350="",L350="",K350=L350,NOT(ISNUMBER(M350)),NOT(ISNUMBER(N350)),M350&gt;Settings!$F$8,N350&lt;Settings!$F$8,N350&lt;M350),"Pending",IF(AND(G350="Applicable",H350="Pass"),"Pass",IF(AND(G350="N/A",H350="N/A",J350&lt;&gt;"",OR(E350="CEM-FUELS",E350="CEM-CCS",AND(E350="CEM-PLAN",IFERROR(INDEX('Taxonomy'!$M$9:$M$108,MATCH(D350,'Taxonomy'!$C$9:$C$108,0)),"")&lt;&gt;"Amber"),E350="BLD-TIMBER",AND(U350="Building equipment",OR(E350="BLD-WATER",E350="BLD-WASTE",E350="BLD-LAND")),AND(U350="Building renovation",E350="BLD-LAND"))),"N/A","Pending"))))))</x:f>
      </x:c>
      <x:c r="Q350" s="3" t="str">
        <x:f>IF(C350="","",IF(AND(R350="Valid",OR(P350="Pass",P350="N/A")),"Complete","Unresolved"))</x:f>
      </x:c>
      <x:c r="R350" s="9" t="str">
        <x:f>IF(C350="","",IF(OR(COUNTIF($C$9:$C$2008,C350)&lt;&gt;1,COUNTIFS($D$9:$D$2008,D350,$E$9:$E$2008,E350)&lt;&gt;1),"Duplicate test",IF(COUNTIF('Taxonomy'!$C$9:$C$108,D350)&lt;&gt;1,"Assessment key",IF(OR(COUNTIF('Taxonomy Rules'!$C$42:$C$68,E350)&lt;&gt;1,F350&lt;&gt;IFERROR(INDEX('Taxonomy Rules'!$D$42:$D$68,MATCH(E350,'Taxonomy Rules'!$C$42:$C$68,0)),""),NOT(OR(IFERROR(INDEX('Taxonomy Rules'!$G$42:$G$68,MATCH(E350,'Taxonomy Rules'!$C$42:$C$68,0)),"")="All supported routes",IFERROR(INDEX('Taxonomy Rules'!$G$42:$G$68,MATCH(E350,'Taxonomy Rules'!$C$42:$C$68,0)),"")=U350,AND(IFERROR(INDEX('Taxonomy Rules'!$G$42:$G$68,MATCH(E350,'Taxonomy Rules'!$C$42:$C$68,0)),"")="Building routes",OR(U350="Building renovation",U350="New building",U350="Building equipment"))))),"Unexpected test","Valid"))))</x:f>
      </x:c>
      <x:c r="S350" s="9" t="str">
        <x:f>IF(C350="","",IFERROR(INDEX('Taxonomy Rules'!$E$42:$E$68,MATCH(E350,'Taxonomy Rules'!$C$42:$C$68,0)),""))</x:f>
      </x:c>
      <x:c r="T350" s="9" t="str">
        <x:f>IF(C350="","",IFERROR(INDEX('Taxonomy Rules'!$F$42:$F$68,MATCH(E350,'Taxonomy Rules'!$C$42:$C$68,0)),""))</x:f>
      </x:c>
      <x:c r="U350" s="9" t="str">
        <x:f>IF(C350="","",IFERROR(INDEX('Taxonomy'!$G$9:$G$108,MATCH(D350,'Taxonomy'!$C$9:$C$108,0)),""))</x:f>
      </x:c>
    </x:row>
    <x:row r="351" ht="44" customHeight="1">
      <x:c r="A351" s="1"/>
      <x:c r="B351" s="1"/>
      <x:c r="C351" s="8"/>
      <x:c r="D351" s="8"/>
      <x:c r="E351" s="8"/>
      <x:c r="F351" s="8"/>
      <x:c r="G351" s="8"/>
      <x:c r="H351" s="8"/>
      <x:c r="I351" s="8"/>
      <x:c r="J351" s="8"/>
      <x:c r="K351" s="8"/>
      <x:c r="L351" s="8"/>
      <x:c r="M351" s="10"/>
      <x:c r="N351" s="10"/>
      <x:c r="O351" s="8"/>
      <x:c r="P351" s="9" t="str">
        <x:f>IF(C351="","",IF(AND(G351="Applicable",H351="Fail"),"Fail",IF(R351&lt;&gt;"Valid","Pending",IF(OR(I351="",K351="",L351="",K351=L351,NOT(ISNUMBER(M351)),NOT(ISNUMBER(N351)),M351&gt;Settings!$F$8,N351&lt;Settings!$F$8,N351&lt;M351),"Pending",IF(AND(G351="Applicable",H351="Pass"),"Pass",IF(AND(G351="N/A",H351="N/A",J351&lt;&gt;"",OR(E351="CEM-FUELS",E351="CEM-CCS",AND(E351="CEM-PLAN",IFERROR(INDEX('Taxonomy'!$M$9:$M$108,MATCH(D351,'Taxonomy'!$C$9:$C$108,0)),"")&lt;&gt;"Amber"),E351="BLD-TIMBER",AND(U351="Building equipment",OR(E351="BLD-WATER",E351="BLD-WASTE",E351="BLD-LAND")),AND(U351="Building renovation",E351="BLD-LAND"))),"N/A","Pending"))))))</x:f>
      </x:c>
      <x:c r="Q351" s="3" t="str">
        <x:f>IF(C351="","",IF(AND(R351="Valid",OR(P351="Pass",P351="N/A")),"Complete","Unresolved"))</x:f>
      </x:c>
      <x:c r="R351" s="9" t="str">
        <x:f>IF(C351="","",IF(OR(COUNTIF($C$9:$C$2008,C351)&lt;&gt;1,COUNTIFS($D$9:$D$2008,D351,$E$9:$E$2008,E351)&lt;&gt;1),"Duplicate test",IF(COUNTIF('Taxonomy'!$C$9:$C$108,D351)&lt;&gt;1,"Assessment key",IF(OR(COUNTIF('Taxonomy Rules'!$C$42:$C$68,E351)&lt;&gt;1,F351&lt;&gt;IFERROR(INDEX('Taxonomy Rules'!$D$42:$D$68,MATCH(E351,'Taxonomy Rules'!$C$42:$C$68,0)),""),NOT(OR(IFERROR(INDEX('Taxonomy Rules'!$G$42:$G$68,MATCH(E351,'Taxonomy Rules'!$C$42:$C$68,0)),"")="All supported routes",IFERROR(INDEX('Taxonomy Rules'!$G$42:$G$68,MATCH(E351,'Taxonomy Rules'!$C$42:$C$68,0)),"")=U351,AND(IFERROR(INDEX('Taxonomy Rules'!$G$42:$G$68,MATCH(E351,'Taxonomy Rules'!$C$42:$C$68,0)),"")="Building routes",OR(U351="Building renovation",U351="New building",U351="Building equipment"))))),"Unexpected test","Valid"))))</x:f>
      </x:c>
      <x:c r="S351" s="9" t="str">
        <x:f>IF(C351="","",IFERROR(INDEX('Taxonomy Rules'!$E$42:$E$68,MATCH(E351,'Taxonomy Rules'!$C$42:$C$68,0)),""))</x:f>
      </x:c>
      <x:c r="T351" s="9" t="str">
        <x:f>IF(C351="","",IFERROR(INDEX('Taxonomy Rules'!$F$42:$F$68,MATCH(E351,'Taxonomy Rules'!$C$42:$C$68,0)),""))</x:f>
      </x:c>
      <x:c r="U351" s="9" t="str">
        <x:f>IF(C351="","",IFERROR(INDEX('Taxonomy'!$G$9:$G$108,MATCH(D351,'Taxonomy'!$C$9:$C$108,0)),""))</x:f>
      </x:c>
    </x:row>
    <x:row r="352" ht="44" customHeight="1">
      <x:c r="A352" s="1"/>
      <x:c r="B352" s="1"/>
      <x:c r="C352" s="8"/>
      <x:c r="D352" s="8"/>
      <x:c r="E352" s="8"/>
      <x:c r="F352" s="8"/>
      <x:c r="G352" s="8"/>
      <x:c r="H352" s="8"/>
      <x:c r="I352" s="8"/>
      <x:c r="J352" s="8"/>
      <x:c r="K352" s="8"/>
      <x:c r="L352" s="8"/>
      <x:c r="M352" s="10"/>
      <x:c r="N352" s="10"/>
      <x:c r="O352" s="8"/>
      <x:c r="P352" s="9" t="str">
        <x:f>IF(C352="","",IF(AND(G352="Applicable",H352="Fail"),"Fail",IF(R352&lt;&gt;"Valid","Pending",IF(OR(I352="",K352="",L352="",K352=L352,NOT(ISNUMBER(M352)),NOT(ISNUMBER(N352)),M352&gt;Settings!$F$8,N352&lt;Settings!$F$8,N352&lt;M352),"Pending",IF(AND(G352="Applicable",H352="Pass"),"Pass",IF(AND(G352="N/A",H352="N/A",J352&lt;&gt;"",OR(E352="CEM-FUELS",E352="CEM-CCS",AND(E352="CEM-PLAN",IFERROR(INDEX('Taxonomy'!$M$9:$M$108,MATCH(D352,'Taxonomy'!$C$9:$C$108,0)),"")&lt;&gt;"Amber"),E352="BLD-TIMBER",AND(U352="Building equipment",OR(E352="BLD-WATER",E352="BLD-WASTE",E352="BLD-LAND")),AND(U352="Building renovation",E352="BLD-LAND"))),"N/A","Pending"))))))</x:f>
      </x:c>
      <x:c r="Q352" s="3" t="str">
        <x:f>IF(C352="","",IF(AND(R352="Valid",OR(P352="Pass",P352="N/A")),"Complete","Unresolved"))</x:f>
      </x:c>
      <x:c r="R352" s="9" t="str">
        <x:f>IF(C352="","",IF(OR(COUNTIF($C$9:$C$2008,C352)&lt;&gt;1,COUNTIFS($D$9:$D$2008,D352,$E$9:$E$2008,E352)&lt;&gt;1),"Duplicate test",IF(COUNTIF('Taxonomy'!$C$9:$C$108,D352)&lt;&gt;1,"Assessment key",IF(OR(COUNTIF('Taxonomy Rules'!$C$42:$C$68,E352)&lt;&gt;1,F352&lt;&gt;IFERROR(INDEX('Taxonomy Rules'!$D$42:$D$68,MATCH(E352,'Taxonomy Rules'!$C$42:$C$68,0)),""),NOT(OR(IFERROR(INDEX('Taxonomy Rules'!$G$42:$G$68,MATCH(E352,'Taxonomy Rules'!$C$42:$C$68,0)),"")="All supported routes",IFERROR(INDEX('Taxonomy Rules'!$G$42:$G$68,MATCH(E352,'Taxonomy Rules'!$C$42:$C$68,0)),"")=U352,AND(IFERROR(INDEX('Taxonomy Rules'!$G$42:$G$68,MATCH(E352,'Taxonomy Rules'!$C$42:$C$68,0)),"")="Building routes",OR(U352="Building renovation",U352="New building",U352="Building equipment"))))),"Unexpected test","Valid"))))</x:f>
      </x:c>
      <x:c r="S352" s="9" t="str">
        <x:f>IF(C352="","",IFERROR(INDEX('Taxonomy Rules'!$E$42:$E$68,MATCH(E352,'Taxonomy Rules'!$C$42:$C$68,0)),""))</x:f>
      </x:c>
      <x:c r="T352" s="9" t="str">
        <x:f>IF(C352="","",IFERROR(INDEX('Taxonomy Rules'!$F$42:$F$68,MATCH(E352,'Taxonomy Rules'!$C$42:$C$68,0)),""))</x:f>
      </x:c>
      <x:c r="U352" s="9" t="str">
        <x:f>IF(C352="","",IFERROR(INDEX('Taxonomy'!$G$9:$G$108,MATCH(D352,'Taxonomy'!$C$9:$C$108,0)),""))</x:f>
      </x:c>
    </x:row>
    <x:row r="353" ht="44" customHeight="1">
      <x:c r="A353" s="1"/>
      <x:c r="B353" s="1"/>
      <x:c r="C353" s="8"/>
      <x:c r="D353" s="8"/>
      <x:c r="E353" s="8"/>
      <x:c r="F353" s="8"/>
      <x:c r="G353" s="8"/>
      <x:c r="H353" s="8"/>
      <x:c r="I353" s="8"/>
      <x:c r="J353" s="8"/>
      <x:c r="K353" s="8"/>
      <x:c r="L353" s="8"/>
      <x:c r="M353" s="10"/>
      <x:c r="N353" s="10"/>
      <x:c r="O353" s="8"/>
      <x:c r="P353" s="9" t="str">
        <x:f>IF(C353="","",IF(AND(G353="Applicable",H353="Fail"),"Fail",IF(R353&lt;&gt;"Valid","Pending",IF(OR(I353="",K353="",L353="",K353=L353,NOT(ISNUMBER(M353)),NOT(ISNUMBER(N353)),M353&gt;Settings!$F$8,N353&lt;Settings!$F$8,N353&lt;M353),"Pending",IF(AND(G353="Applicable",H353="Pass"),"Pass",IF(AND(G353="N/A",H353="N/A",J353&lt;&gt;"",OR(E353="CEM-FUELS",E353="CEM-CCS",AND(E353="CEM-PLAN",IFERROR(INDEX('Taxonomy'!$M$9:$M$108,MATCH(D353,'Taxonomy'!$C$9:$C$108,0)),"")&lt;&gt;"Amber"),E353="BLD-TIMBER",AND(U353="Building equipment",OR(E353="BLD-WATER",E353="BLD-WASTE",E353="BLD-LAND")),AND(U353="Building renovation",E353="BLD-LAND"))),"N/A","Pending"))))))</x:f>
      </x:c>
      <x:c r="Q353" s="3" t="str">
        <x:f>IF(C353="","",IF(AND(R353="Valid",OR(P353="Pass",P353="N/A")),"Complete","Unresolved"))</x:f>
      </x:c>
      <x:c r="R353" s="9" t="str">
        <x:f>IF(C353="","",IF(OR(COUNTIF($C$9:$C$2008,C353)&lt;&gt;1,COUNTIFS($D$9:$D$2008,D353,$E$9:$E$2008,E353)&lt;&gt;1),"Duplicate test",IF(COUNTIF('Taxonomy'!$C$9:$C$108,D353)&lt;&gt;1,"Assessment key",IF(OR(COUNTIF('Taxonomy Rules'!$C$42:$C$68,E353)&lt;&gt;1,F353&lt;&gt;IFERROR(INDEX('Taxonomy Rules'!$D$42:$D$68,MATCH(E353,'Taxonomy Rules'!$C$42:$C$68,0)),""),NOT(OR(IFERROR(INDEX('Taxonomy Rules'!$G$42:$G$68,MATCH(E353,'Taxonomy Rules'!$C$42:$C$68,0)),"")="All supported routes",IFERROR(INDEX('Taxonomy Rules'!$G$42:$G$68,MATCH(E353,'Taxonomy Rules'!$C$42:$C$68,0)),"")=U353,AND(IFERROR(INDEX('Taxonomy Rules'!$G$42:$G$68,MATCH(E353,'Taxonomy Rules'!$C$42:$C$68,0)),"")="Building routes",OR(U353="Building renovation",U353="New building",U353="Building equipment"))))),"Unexpected test","Valid"))))</x:f>
      </x:c>
      <x:c r="S353" s="9" t="str">
        <x:f>IF(C353="","",IFERROR(INDEX('Taxonomy Rules'!$E$42:$E$68,MATCH(E353,'Taxonomy Rules'!$C$42:$C$68,0)),""))</x:f>
      </x:c>
      <x:c r="T353" s="9" t="str">
        <x:f>IF(C353="","",IFERROR(INDEX('Taxonomy Rules'!$F$42:$F$68,MATCH(E353,'Taxonomy Rules'!$C$42:$C$68,0)),""))</x:f>
      </x:c>
      <x:c r="U353" s="9" t="str">
        <x:f>IF(C353="","",IFERROR(INDEX('Taxonomy'!$G$9:$G$108,MATCH(D353,'Taxonomy'!$C$9:$C$108,0)),""))</x:f>
      </x:c>
    </x:row>
    <x:row r="354" ht="44" customHeight="1">
      <x:c r="A354" s="1"/>
      <x:c r="B354" s="1"/>
      <x:c r="C354" s="8"/>
      <x:c r="D354" s="8"/>
      <x:c r="E354" s="8"/>
      <x:c r="F354" s="8"/>
      <x:c r="G354" s="8"/>
      <x:c r="H354" s="8"/>
      <x:c r="I354" s="8"/>
      <x:c r="J354" s="8"/>
      <x:c r="K354" s="8"/>
      <x:c r="L354" s="8"/>
      <x:c r="M354" s="10"/>
      <x:c r="N354" s="10"/>
      <x:c r="O354" s="8"/>
      <x:c r="P354" s="9" t="str">
        <x:f>IF(C354="","",IF(AND(G354="Applicable",H354="Fail"),"Fail",IF(R354&lt;&gt;"Valid","Pending",IF(OR(I354="",K354="",L354="",K354=L354,NOT(ISNUMBER(M354)),NOT(ISNUMBER(N354)),M354&gt;Settings!$F$8,N354&lt;Settings!$F$8,N354&lt;M354),"Pending",IF(AND(G354="Applicable",H354="Pass"),"Pass",IF(AND(G354="N/A",H354="N/A",J354&lt;&gt;"",OR(E354="CEM-FUELS",E354="CEM-CCS",AND(E354="CEM-PLAN",IFERROR(INDEX('Taxonomy'!$M$9:$M$108,MATCH(D354,'Taxonomy'!$C$9:$C$108,0)),"")&lt;&gt;"Amber"),E354="BLD-TIMBER",AND(U354="Building equipment",OR(E354="BLD-WATER",E354="BLD-WASTE",E354="BLD-LAND")),AND(U354="Building renovation",E354="BLD-LAND"))),"N/A","Pending"))))))</x:f>
      </x:c>
      <x:c r="Q354" s="3" t="str">
        <x:f>IF(C354="","",IF(AND(R354="Valid",OR(P354="Pass",P354="N/A")),"Complete","Unresolved"))</x:f>
      </x:c>
      <x:c r="R354" s="9" t="str">
        <x:f>IF(C354="","",IF(OR(COUNTIF($C$9:$C$2008,C354)&lt;&gt;1,COUNTIFS($D$9:$D$2008,D354,$E$9:$E$2008,E354)&lt;&gt;1),"Duplicate test",IF(COUNTIF('Taxonomy'!$C$9:$C$108,D354)&lt;&gt;1,"Assessment key",IF(OR(COUNTIF('Taxonomy Rules'!$C$42:$C$68,E354)&lt;&gt;1,F354&lt;&gt;IFERROR(INDEX('Taxonomy Rules'!$D$42:$D$68,MATCH(E354,'Taxonomy Rules'!$C$42:$C$68,0)),""),NOT(OR(IFERROR(INDEX('Taxonomy Rules'!$G$42:$G$68,MATCH(E354,'Taxonomy Rules'!$C$42:$C$68,0)),"")="All supported routes",IFERROR(INDEX('Taxonomy Rules'!$G$42:$G$68,MATCH(E354,'Taxonomy Rules'!$C$42:$C$68,0)),"")=U354,AND(IFERROR(INDEX('Taxonomy Rules'!$G$42:$G$68,MATCH(E354,'Taxonomy Rules'!$C$42:$C$68,0)),"")="Building routes",OR(U354="Building renovation",U354="New building",U354="Building equipment"))))),"Unexpected test","Valid"))))</x:f>
      </x:c>
      <x:c r="S354" s="9" t="str">
        <x:f>IF(C354="","",IFERROR(INDEX('Taxonomy Rules'!$E$42:$E$68,MATCH(E354,'Taxonomy Rules'!$C$42:$C$68,0)),""))</x:f>
      </x:c>
      <x:c r="T354" s="9" t="str">
        <x:f>IF(C354="","",IFERROR(INDEX('Taxonomy Rules'!$F$42:$F$68,MATCH(E354,'Taxonomy Rules'!$C$42:$C$68,0)),""))</x:f>
      </x:c>
      <x:c r="U354" s="9" t="str">
        <x:f>IF(C354="","",IFERROR(INDEX('Taxonomy'!$G$9:$G$108,MATCH(D354,'Taxonomy'!$C$9:$C$108,0)),""))</x:f>
      </x:c>
    </x:row>
    <x:row r="355" ht="44" customHeight="1">
      <x:c r="A355" s="1"/>
      <x:c r="B355" s="1"/>
      <x:c r="C355" s="8"/>
      <x:c r="D355" s="8"/>
      <x:c r="E355" s="8"/>
      <x:c r="F355" s="8"/>
      <x:c r="G355" s="8"/>
      <x:c r="H355" s="8"/>
      <x:c r="I355" s="8"/>
      <x:c r="J355" s="8"/>
      <x:c r="K355" s="8"/>
      <x:c r="L355" s="8"/>
      <x:c r="M355" s="10"/>
      <x:c r="N355" s="10"/>
      <x:c r="O355" s="8"/>
      <x:c r="P355" s="9" t="str">
        <x:f>IF(C355="","",IF(AND(G355="Applicable",H355="Fail"),"Fail",IF(R355&lt;&gt;"Valid","Pending",IF(OR(I355="",K355="",L355="",K355=L355,NOT(ISNUMBER(M355)),NOT(ISNUMBER(N355)),M355&gt;Settings!$F$8,N355&lt;Settings!$F$8,N355&lt;M355),"Pending",IF(AND(G355="Applicable",H355="Pass"),"Pass",IF(AND(G355="N/A",H355="N/A",J355&lt;&gt;"",OR(E355="CEM-FUELS",E355="CEM-CCS",AND(E355="CEM-PLAN",IFERROR(INDEX('Taxonomy'!$M$9:$M$108,MATCH(D355,'Taxonomy'!$C$9:$C$108,0)),"")&lt;&gt;"Amber"),E355="BLD-TIMBER",AND(U355="Building equipment",OR(E355="BLD-WATER",E355="BLD-WASTE",E355="BLD-LAND")),AND(U355="Building renovation",E355="BLD-LAND"))),"N/A","Pending"))))))</x:f>
      </x:c>
      <x:c r="Q355" s="3" t="str">
        <x:f>IF(C355="","",IF(AND(R355="Valid",OR(P355="Pass",P355="N/A")),"Complete","Unresolved"))</x:f>
      </x:c>
      <x:c r="R355" s="9" t="str">
        <x:f>IF(C355="","",IF(OR(COUNTIF($C$9:$C$2008,C355)&lt;&gt;1,COUNTIFS($D$9:$D$2008,D355,$E$9:$E$2008,E355)&lt;&gt;1),"Duplicate test",IF(COUNTIF('Taxonomy'!$C$9:$C$108,D355)&lt;&gt;1,"Assessment key",IF(OR(COUNTIF('Taxonomy Rules'!$C$42:$C$68,E355)&lt;&gt;1,F355&lt;&gt;IFERROR(INDEX('Taxonomy Rules'!$D$42:$D$68,MATCH(E355,'Taxonomy Rules'!$C$42:$C$68,0)),""),NOT(OR(IFERROR(INDEX('Taxonomy Rules'!$G$42:$G$68,MATCH(E355,'Taxonomy Rules'!$C$42:$C$68,0)),"")="All supported routes",IFERROR(INDEX('Taxonomy Rules'!$G$42:$G$68,MATCH(E355,'Taxonomy Rules'!$C$42:$C$68,0)),"")=U355,AND(IFERROR(INDEX('Taxonomy Rules'!$G$42:$G$68,MATCH(E355,'Taxonomy Rules'!$C$42:$C$68,0)),"")="Building routes",OR(U355="Building renovation",U355="New building",U355="Building equipment"))))),"Unexpected test","Valid"))))</x:f>
      </x:c>
      <x:c r="S355" s="9" t="str">
        <x:f>IF(C355="","",IFERROR(INDEX('Taxonomy Rules'!$E$42:$E$68,MATCH(E355,'Taxonomy Rules'!$C$42:$C$68,0)),""))</x:f>
      </x:c>
      <x:c r="T355" s="9" t="str">
        <x:f>IF(C355="","",IFERROR(INDEX('Taxonomy Rules'!$F$42:$F$68,MATCH(E355,'Taxonomy Rules'!$C$42:$C$68,0)),""))</x:f>
      </x:c>
      <x:c r="U355" s="9" t="str">
        <x:f>IF(C355="","",IFERROR(INDEX('Taxonomy'!$G$9:$G$108,MATCH(D355,'Taxonomy'!$C$9:$C$108,0)),""))</x:f>
      </x:c>
    </x:row>
    <x:row r="356" ht="44" customHeight="1">
      <x:c r="A356" s="1"/>
      <x:c r="B356" s="1"/>
      <x:c r="C356" s="8"/>
      <x:c r="D356" s="8"/>
      <x:c r="E356" s="8"/>
      <x:c r="F356" s="8"/>
      <x:c r="G356" s="8"/>
      <x:c r="H356" s="8"/>
      <x:c r="I356" s="8"/>
      <x:c r="J356" s="8"/>
      <x:c r="K356" s="8"/>
      <x:c r="L356" s="8"/>
      <x:c r="M356" s="10"/>
      <x:c r="N356" s="10"/>
      <x:c r="O356" s="8"/>
      <x:c r="P356" s="9" t="str">
        <x:f>IF(C356="","",IF(AND(G356="Applicable",H356="Fail"),"Fail",IF(R356&lt;&gt;"Valid","Pending",IF(OR(I356="",K356="",L356="",K356=L356,NOT(ISNUMBER(M356)),NOT(ISNUMBER(N356)),M356&gt;Settings!$F$8,N356&lt;Settings!$F$8,N356&lt;M356),"Pending",IF(AND(G356="Applicable",H356="Pass"),"Pass",IF(AND(G356="N/A",H356="N/A",J356&lt;&gt;"",OR(E356="CEM-FUELS",E356="CEM-CCS",AND(E356="CEM-PLAN",IFERROR(INDEX('Taxonomy'!$M$9:$M$108,MATCH(D356,'Taxonomy'!$C$9:$C$108,0)),"")&lt;&gt;"Amber"),E356="BLD-TIMBER",AND(U356="Building equipment",OR(E356="BLD-WATER",E356="BLD-WASTE",E356="BLD-LAND")),AND(U356="Building renovation",E356="BLD-LAND"))),"N/A","Pending"))))))</x:f>
      </x:c>
      <x:c r="Q356" s="3" t="str">
        <x:f>IF(C356="","",IF(AND(R356="Valid",OR(P356="Pass",P356="N/A")),"Complete","Unresolved"))</x:f>
      </x:c>
      <x:c r="R356" s="9" t="str">
        <x:f>IF(C356="","",IF(OR(COUNTIF($C$9:$C$2008,C356)&lt;&gt;1,COUNTIFS($D$9:$D$2008,D356,$E$9:$E$2008,E356)&lt;&gt;1),"Duplicate test",IF(COUNTIF('Taxonomy'!$C$9:$C$108,D356)&lt;&gt;1,"Assessment key",IF(OR(COUNTIF('Taxonomy Rules'!$C$42:$C$68,E356)&lt;&gt;1,F356&lt;&gt;IFERROR(INDEX('Taxonomy Rules'!$D$42:$D$68,MATCH(E356,'Taxonomy Rules'!$C$42:$C$68,0)),""),NOT(OR(IFERROR(INDEX('Taxonomy Rules'!$G$42:$G$68,MATCH(E356,'Taxonomy Rules'!$C$42:$C$68,0)),"")="All supported routes",IFERROR(INDEX('Taxonomy Rules'!$G$42:$G$68,MATCH(E356,'Taxonomy Rules'!$C$42:$C$68,0)),"")=U356,AND(IFERROR(INDEX('Taxonomy Rules'!$G$42:$G$68,MATCH(E356,'Taxonomy Rules'!$C$42:$C$68,0)),"")="Building routes",OR(U356="Building renovation",U356="New building",U356="Building equipment"))))),"Unexpected test","Valid"))))</x:f>
      </x:c>
      <x:c r="S356" s="9" t="str">
        <x:f>IF(C356="","",IFERROR(INDEX('Taxonomy Rules'!$E$42:$E$68,MATCH(E356,'Taxonomy Rules'!$C$42:$C$68,0)),""))</x:f>
      </x:c>
      <x:c r="T356" s="9" t="str">
        <x:f>IF(C356="","",IFERROR(INDEX('Taxonomy Rules'!$F$42:$F$68,MATCH(E356,'Taxonomy Rules'!$C$42:$C$68,0)),""))</x:f>
      </x:c>
      <x:c r="U356" s="9" t="str">
        <x:f>IF(C356="","",IFERROR(INDEX('Taxonomy'!$G$9:$G$108,MATCH(D356,'Taxonomy'!$C$9:$C$108,0)),""))</x:f>
      </x:c>
    </x:row>
    <x:row r="357" ht="44" customHeight="1">
      <x:c r="A357" s="1"/>
      <x:c r="B357" s="1"/>
      <x:c r="C357" s="8"/>
      <x:c r="D357" s="8"/>
      <x:c r="E357" s="8"/>
      <x:c r="F357" s="8"/>
      <x:c r="G357" s="8"/>
      <x:c r="H357" s="8"/>
      <x:c r="I357" s="8"/>
      <x:c r="J357" s="8"/>
      <x:c r="K357" s="8"/>
      <x:c r="L357" s="8"/>
      <x:c r="M357" s="10"/>
      <x:c r="N357" s="10"/>
      <x:c r="O357" s="8"/>
      <x:c r="P357" s="9" t="str">
        <x:f>IF(C357="","",IF(AND(G357="Applicable",H357="Fail"),"Fail",IF(R357&lt;&gt;"Valid","Pending",IF(OR(I357="",K357="",L357="",K357=L357,NOT(ISNUMBER(M357)),NOT(ISNUMBER(N357)),M357&gt;Settings!$F$8,N357&lt;Settings!$F$8,N357&lt;M357),"Pending",IF(AND(G357="Applicable",H357="Pass"),"Pass",IF(AND(G357="N/A",H357="N/A",J357&lt;&gt;"",OR(E357="CEM-FUELS",E357="CEM-CCS",AND(E357="CEM-PLAN",IFERROR(INDEX('Taxonomy'!$M$9:$M$108,MATCH(D357,'Taxonomy'!$C$9:$C$108,0)),"")&lt;&gt;"Amber"),E357="BLD-TIMBER",AND(U357="Building equipment",OR(E357="BLD-WATER",E357="BLD-WASTE",E357="BLD-LAND")),AND(U357="Building renovation",E357="BLD-LAND"))),"N/A","Pending"))))))</x:f>
      </x:c>
      <x:c r="Q357" s="3" t="str">
        <x:f>IF(C357="","",IF(AND(R357="Valid",OR(P357="Pass",P357="N/A")),"Complete","Unresolved"))</x:f>
      </x:c>
      <x:c r="R357" s="9" t="str">
        <x:f>IF(C357="","",IF(OR(COUNTIF($C$9:$C$2008,C357)&lt;&gt;1,COUNTIFS($D$9:$D$2008,D357,$E$9:$E$2008,E357)&lt;&gt;1),"Duplicate test",IF(COUNTIF('Taxonomy'!$C$9:$C$108,D357)&lt;&gt;1,"Assessment key",IF(OR(COUNTIF('Taxonomy Rules'!$C$42:$C$68,E357)&lt;&gt;1,F357&lt;&gt;IFERROR(INDEX('Taxonomy Rules'!$D$42:$D$68,MATCH(E357,'Taxonomy Rules'!$C$42:$C$68,0)),""),NOT(OR(IFERROR(INDEX('Taxonomy Rules'!$G$42:$G$68,MATCH(E357,'Taxonomy Rules'!$C$42:$C$68,0)),"")="All supported routes",IFERROR(INDEX('Taxonomy Rules'!$G$42:$G$68,MATCH(E357,'Taxonomy Rules'!$C$42:$C$68,0)),"")=U357,AND(IFERROR(INDEX('Taxonomy Rules'!$G$42:$G$68,MATCH(E357,'Taxonomy Rules'!$C$42:$C$68,0)),"")="Building routes",OR(U357="Building renovation",U357="New building",U357="Building equipment"))))),"Unexpected test","Valid"))))</x:f>
      </x:c>
      <x:c r="S357" s="9" t="str">
        <x:f>IF(C357="","",IFERROR(INDEX('Taxonomy Rules'!$E$42:$E$68,MATCH(E357,'Taxonomy Rules'!$C$42:$C$68,0)),""))</x:f>
      </x:c>
      <x:c r="T357" s="9" t="str">
        <x:f>IF(C357="","",IFERROR(INDEX('Taxonomy Rules'!$F$42:$F$68,MATCH(E357,'Taxonomy Rules'!$C$42:$C$68,0)),""))</x:f>
      </x:c>
      <x:c r="U357" s="9" t="str">
        <x:f>IF(C357="","",IFERROR(INDEX('Taxonomy'!$G$9:$G$108,MATCH(D357,'Taxonomy'!$C$9:$C$108,0)),""))</x:f>
      </x:c>
    </x:row>
    <x:row r="358" ht="44" customHeight="1">
      <x:c r="A358" s="1"/>
      <x:c r="B358" s="1"/>
      <x:c r="C358" s="8"/>
      <x:c r="D358" s="8"/>
      <x:c r="E358" s="8"/>
      <x:c r="F358" s="8"/>
      <x:c r="G358" s="8"/>
      <x:c r="H358" s="8"/>
      <x:c r="I358" s="8"/>
      <x:c r="J358" s="8"/>
      <x:c r="K358" s="8"/>
      <x:c r="L358" s="8"/>
      <x:c r="M358" s="10"/>
      <x:c r="N358" s="10"/>
      <x:c r="O358" s="8"/>
      <x:c r="P358" s="9" t="str">
        <x:f>IF(C358="","",IF(AND(G358="Applicable",H358="Fail"),"Fail",IF(R358&lt;&gt;"Valid","Pending",IF(OR(I358="",K358="",L358="",K358=L358,NOT(ISNUMBER(M358)),NOT(ISNUMBER(N358)),M358&gt;Settings!$F$8,N358&lt;Settings!$F$8,N358&lt;M358),"Pending",IF(AND(G358="Applicable",H358="Pass"),"Pass",IF(AND(G358="N/A",H358="N/A",J358&lt;&gt;"",OR(E358="CEM-FUELS",E358="CEM-CCS",AND(E358="CEM-PLAN",IFERROR(INDEX('Taxonomy'!$M$9:$M$108,MATCH(D358,'Taxonomy'!$C$9:$C$108,0)),"")&lt;&gt;"Amber"),E358="BLD-TIMBER",AND(U358="Building equipment",OR(E358="BLD-WATER",E358="BLD-WASTE",E358="BLD-LAND")),AND(U358="Building renovation",E358="BLD-LAND"))),"N/A","Pending"))))))</x:f>
      </x:c>
      <x:c r="Q358" s="3" t="str">
        <x:f>IF(C358="","",IF(AND(R358="Valid",OR(P358="Pass",P358="N/A")),"Complete","Unresolved"))</x:f>
      </x:c>
      <x:c r="R358" s="9" t="str">
        <x:f>IF(C358="","",IF(OR(COUNTIF($C$9:$C$2008,C358)&lt;&gt;1,COUNTIFS($D$9:$D$2008,D358,$E$9:$E$2008,E358)&lt;&gt;1),"Duplicate test",IF(COUNTIF('Taxonomy'!$C$9:$C$108,D358)&lt;&gt;1,"Assessment key",IF(OR(COUNTIF('Taxonomy Rules'!$C$42:$C$68,E358)&lt;&gt;1,F358&lt;&gt;IFERROR(INDEX('Taxonomy Rules'!$D$42:$D$68,MATCH(E358,'Taxonomy Rules'!$C$42:$C$68,0)),""),NOT(OR(IFERROR(INDEX('Taxonomy Rules'!$G$42:$G$68,MATCH(E358,'Taxonomy Rules'!$C$42:$C$68,0)),"")="All supported routes",IFERROR(INDEX('Taxonomy Rules'!$G$42:$G$68,MATCH(E358,'Taxonomy Rules'!$C$42:$C$68,0)),"")=U358,AND(IFERROR(INDEX('Taxonomy Rules'!$G$42:$G$68,MATCH(E358,'Taxonomy Rules'!$C$42:$C$68,0)),"")="Building routes",OR(U358="Building renovation",U358="New building",U358="Building equipment"))))),"Unexpected test","Valid"))))</x:f>
      </x:c>
      <x:c r="S358" s="9" t="str">
        <x:f>IF(C358="","",IFERROR(INDEX('Taxonomy Rules'!$E$42:$E$68,MATCH(E358,'Taxonomy Rules'!$C$42:$C$68,0)),""))</x:f>
      </x:c>
      <x:c r="T358" s="9" t="str">
        <x:f>IF(C358="","",IFERROR(INDEX('Taxonomy Rules'!$F$42:$F$68,MATCH(E358,'Taxonomy Rules'!$C$42:$C$68,0)),""))</x:f>
      </x:c>
      <x:c r="U358" s="9" t="str">
        <x:f>IF(C358="","",IFERROR(INDEX('Taxonomy'!$G$9:$G$108,MATCH(D358,'Taxonomy'!$C$9:$C$108,0)),""))</x:f>
      </x:c>
    </x:row>
    <x:row r="359" ht="44" customHeight="1">
      <x:c r="A359" s="1"/>
      <x:c r="B359" s="1"/>
      <x:c r="C359" s="8"/>
      <x:c r="D359" s="8"/>
      <x:c r="E359" s="8"/>
      <x:c r="F359" s="8"/>
      <x:c r="G359" s="8"/>
      <x:c r="H359" s="8"/>
      <x:c r="I359" s="8"/>
      <x:c r="J359" s="8"/>
      <x:c r="K359" s="8"/>
      <x:c r="L359" s="8"/>
      <x:c r="M359" s="10"/>
      <x:c r="N359" s="10"/>
      <x:c r="O359" s="8"/>
      <x:c r="P359" s="9" t="str">
        <x:f>IF(C359="","",IF(AND(G359="Applicable",H359="Fail"),"Fail",IF(R359&lt;&gt;"Valid","Pending",IF(OR(I359="",K359="",L359="",K359=L359,NOT(ISNUMBER(M359)),NOT(ISNUMBER(N359)),M359&gt;Settings!$F$8,N359&lt;Settings!$F$8,N359&lt;M359),"Pending",IF(AND(G359="Applicable",H359="Pass"),"Pass",IF(AND(G359="N/A",H359="N/A",J359&lt;&gt;"",OR(E359="CEM-FUELS",E359="CEM-CCS",AND(E359="CEM-PLAN",IFERROR(INDEX('Taxonomy'!$M$9:$M$108,MATCH(D359,'Taxonomy'!$C$9:$C$108,0)),"")&lt;&gt;"Amber"),E359="BLD-TIMBER",AND(U359="Building equipment",OR(E359="BLD-WATER",E359="BLD-WASTE",E359="BLD-LAND")),AND(U359="Building renovation",E359="BLD-LAND"))),"N/A","Pending"))))))</x:f>
      </x:c>
      <x:c r="Q359" s="3" t="str">
        <x:f>IF(C359="","",IF(AND(R359="Valid",OR(P359="Pass",P359="N/A")),"Complete","Unresolved"))</x:f>
      </x:c>
      <x:c r="R359" s="9" t="str">
        <x:f>IF(C359="","",IF(OR(COUNTIF($C$9:$C$2008,C359)&lt;&gt;1,COUNTIFS($D$9:$D$2008,D359,$E$9:$E$2008,E359)&lt;&gt;1),"Duplicate test",IF(COUNTIF('Taxonomy'!$C$9:$C$108,D359)&lt;&gt;1,"Assessment key",IF(OR(COUNTIF('Taxonomy Rules'!$C$42:$C$68,E359)&lt;&gt;1,F359&lt;&gt;IFERROR(INDEX('Taxonomy Rules'!$D$42:$D$68,MATCH(E359,'Taxonomy Rules'!$C$42:$C$68,0)),""),NOT(OR(IFERROR(INDEX('Taxonomy Rules'!$G$42:$G$68,MATCH(E359,'Taxonomy Rules'!$C$42:$C$68,0)),"")="All supported routes",IFERROR(INDEX('Taxonomy Rules'!$G$42:$G$68,MATCH(E359,'Taxonomy Rules'!$C$42:$C$68,0)),"")=U359,AND(IFERROR(INDEX('Taxonomy Rules'!$G$42:$G$68,MATCH(E359,'Taxonomy Rules'!$C$42:$C$68,0)),"")="Building routes",OR(U359="Building renovation",U359="New building",U359="Building equipment"))))),"Unexpected test","Valid"))))</x:f>
      </x:c>
      <x:c r="S359" s="9" t="str">
        <x:f>IF(C359="","",IFERROR(INDEX('Taxonomy Rules'!$E$42:$E$68,MATCH(E359,'Taxonomy Rules'!$C$42:$C$68,0)),""))</x:f>
      </x:c>
      <x:c r="T359" s="9" t="str">
        <x:f>IF(C359="","",IFERROR(INDEX('Taxonomy Rules'!$F$42:$F$68,MATCH(E359,'Taxonomy Rules'!$C$42:$C$68,0)),""))</x:f>
      </x:c>
      <x:c r="U359" s="9" t="str">
        <x:f>IF(C359="","",IFERROR(INDEX('Taxonomy'!$G$9:$G$108,MATCH(D359,'Taxonomy'!$C$9:$C$108,0)),""))</x:f>
      </x:c>
    </x:row>
    <x:row r="360" ht="44" customHeight="1">
      <x:c r="A360" s="1"/>
      <x:c r="B360" s="1"/>
      <x:c r="C360" s="8"/>
      <x:c r="D360" s="8"/>
      <x:c r="E360" s="8"/>
      <x:c r="F360" s="8"/>
      <x:c r="G360" s="8"/>
      <x:c r="H360" s="8"/>
      <x:c r="I360" s="8"/>
      <x:c r="J360" s="8"/>
      <x:c r="K360" s="8"/>
      <x:c r="L360" s="8"/>
      <x:c r="M360" s="10"/>
      <x:c r="N360" s="10"/>
      <x:c r="O360" s="8"/>
      <x:c r="P360" s="9" t="str">
        <x:f>IF(C360="","",IF(AND(G360="Applicable",H360="Fail"),"Fail",IF(R360&lt;&gt;"Valid","Pending",IF(OR(I360="",K360="",L360="",K360=L360,NOT(ISNUMBER(M360)),NOT(ISNUMBER(N360)),M360&gt;Settings!$F$8,N360&lt;Settings!$F$8,N360&lt;M360),"Pending",IF(AND(G360="Applicable",H360="Pass"),"Pass",IF(AND(G360="N/A",H360="N/A",J360&lt;&gt;"",OR(E360="CEM-FUELS",E360="CEM-CCS",AND(E360="CEM-PLAN",IFERROR(INDEX('Taxonomy'!$M$9:$M$108,MATCH(D360,'Taxonomy'!$C$9:$C$108,0)),"")&lt;&gt;"Amber"),E360="BLD-TIMBER",AND(U360="Building equipment",OR(E360="BLD-WATER",E360="BLD-WASTE",E360="BLD-LAND")),AND(U360="Building renovation",E360="BLD-LAND"))),"N/A","Pending"))))))</x:f>
      </x:c>
      <x:c r="Q360" s="3" t="str">
        <x:f>IF(C360="","",IF(AND(R360="Valid",OR(P360="Pass",P360="N/A")),"Complete","Unresolved"))</x:f>
      </x:c>
      <x:c r="R360" s="9" t="str">
        <x:f>IF(C360="","",IF(OR(COUNTIF($C$9:$C$2008,C360)&lt;&gt;1,COUNTIFS($D$9:$D$2008,D360,$E$9:$E$2008,E360)&lt;&gt;1),"Duplicate test",IF(COUNTIF('Taxonomy'!$C$9:$C$108,D360)&lt;&gt;1,"Assessment key",IF(OR(COUNTIF('Taxonomy Rules'!$C$42:$C$68,E360)&lt;&gt;1,F360&lt;&gt;IFERROR(INDEX('Taxonomy Rules'!$D$42:$D$68,MATCH(E360,'Taxonomy Rules'!$C$42:$C$68,0)),""),NOT(OR(IFERROR(INDEX('Taxonomy Rules'!$G$42:$G$68,MATCH(E360,'Taxonomy Rules'!$C$42:$C$68,0)),"")="All supported routes",IFERROR(INDEX('Taxonomy Rules'!$G$42:$G$68,MATCH(E360,'Taxonomy Rules'!$C$42:$C$68,0)),"")=U360,AND(IFERROR(INDEX('Taxonomy Rules'!$G$42:$G$68,MATCH(E360,'Taxonomy Rules'!$C$42:$C$68,0)),"")="Building routes",OR(U360="Building renovation",U360="New building",U360="Building equipment"))))),"Unexpected test","Valid"))))</x:f>
      </x:c>
      <x:c r="S360" s="9" t="str">
        <x:f>IF(C360="","",IFERROR(INDEX('Taxonomy Rules'!$E$42:$E$68,MATCH(E360,'Taxonomy Rules'!$C$42:$C$68,0)),""))</x:f>
      </x:c>
      <x:c r="T360" s="9" t="str">
        <x:f>IF(C360="","",IFERROR(INDEX('Taxonomy Rules'!$F$42:$F$68,MATCH(E360,'Taxonomy Rules'!$C$42:$C$68,0)),""))</x:f>
      </x:c>
      <x:c r="U360" s="9" t="str">
        <x:f>IF(C360="","",IFERROR(INDEX('Taxonomy'!$G$9:$G$108,MATCH(D360,'Taxonomy'!$C$9:$C$108,0)),""))</x:f>
      </x:c>
    </x:row>
    <x:row r="361" ht="44" customHeight="1">
      <x:c r="A361" s="1"/>
      <x:c r="B361" s="1"/>
      <x:c r="C361" s="8"/>
      <x:c r="D361" s="8"/>
      <x:c r="E361" s="8"/>
      <x:c r="F361" s="8"/>
      <x:c r="G361" s="8"/>
      <x:c r="H361" s="8"/>
      <x:c r="I361" s="8"/>
      <x:c r="J361" s="8"/>
      <x:c r="K361" s="8"/>
      <x:c r="L361" s="8"/>
      <x:c r="M361" s="10"/>
      <x:c r="N361" s="10"/>
      <x:c r="O361" s="8"/>
      <x:c r="P361" s="9" t="str">
        <x:f>IF(C361="","",IF(AND(G361="Applicable",H361="Fail"),"Fail",IF(R361&lt;&gt;"Valid","Pending",IF(OR(I361="",K361="",L361="",K361=L361,NOT(ISNUMBER(M361)),NOT(ISNUMBER(N361)),M361&gt;Settings!$F$8,N361&lt;Settings!$F$8,N361&lt;M361),"Pending",IF(AND(G361="Applicable",H361="Pass"),"Pass",IF(AND(G361="N/A",H361="N/A",J361&lt;&gt;"",OR(E361="CEM-FUELS",E361="CEM-CCS",AND(E361="CEM-PLAN",IFERROR(INDEX('Taxonomy'!$M$9:$M$108,MATCH(D361,'Taxonomy'!$C$9:$C$108,0)),"")&lt;&gt;"Amber"),E361="BLD-TIMBER",AND(U361="Building equipment",OR(E361="BLD-WATER",E361="BLD-WASTE",E361="BLD-LAND")),AND(U361="Building renovation",E361="BLD-LAND"))),"N/A","Pending"))))))</x:f>
      </x:c>
      <x:c r="Q361" s="3" t="str">
        <x:f>IF(C361="","",IF(AND(R361="Valid",OR(P361="Pass",P361="N/A")),"Complete","Unresolved"))</x:f>
      </x:c>
      <x:c r="R361" s="9" t="str">
        <x:f>IF(C361="","",IF(OR(COUNTIF($C$9:$C$2008,C361)&lt;&gt;1,COUNTIFS($D$9:$D$2008,D361,$E$9:$E$2008,E361)&lt;&gt;1),"Duplicate test",IF(COUNTIF('Taxonomy'!$C$9:$C$108,D361)&lt;&gt;1,"Assessment key",IF(OR(COUNTIF('Taxonomy Rules'!$C$42:$C$68,E361)&lt;&gt;1,F361&lt;&gt;IFERROR(INDEX('Taxonomy Rules'!$D$42:$D$68,MATCH(E361,'Taxonomy Rules'!$C$42:$C$68,0)),""),NOT(OR(IFERROR(INDEX('Taxonomy Rules'!$G$42:$G$68,MATCH(E361,'Taxonomy Rules'!$C$42:$C$68,0)),"")="All supported routes",IFERROR(INDEX('Taxonomy Rules'!$G$42:$G$68,MATCH(E361,'Taxonomy Rules'!$C$42:$C$68,0)),"")=U361,AND(IFERROR(INDEX('Taxonomy Rules'!$G$42:$G$68,MATCH(E361,'Taxonomy Rules'!$C$42:$C$68,0)),"")="Building routes",OR(U361="Building renovation",U361="New building",U361="Building equipment"))))),"Unexpected test","Valid"))))</x:f>
      </x:c>
      <x:c r="S361" s="9" t="str">
        <x:f>IF(C361="","",IFERROR(INDEX('Taxonomy Rules'!$E$42:$E$68,MATCH(E361,'Taxonomy Rules'!$C$42:$C$68,0)),""))</x:f>
      </x:c>
      <x:c r="T361" s="9" t="str">
        <x:f>IF(C361="","",IFERROR(INDEX('Taxonomy Rules'!$F$42:$F$68,MATCH(E361,'Taxonomy Rules'!$C$42:$C$68,0)),""))</x:f>
      </x:c>
      <x:c r="U361" s="9" t="str">
        <x:f>IF(C361="","",IFERROR(INDEX('Taxonomy'!$G$9:$G$108,MATCH(D361,'Taxonomy'!$C$9:$C$108,0)),""))</x:f>
      </x:c>
    </x:row>
    <x:row r="362" ht="44" customHeight="1">
      <x:c r="A362" s="1"/>
      <x:c r="B362" s="1"/>
      <x:c r="C362" s="8"/>
      <x:c r="D362" s="8"/>
      <x:c r="E362" s="8"/>
      <x:c r="F362" s="8"/>
      <x:c r="G362" s="8"/>
      <x:c r="H362" s="8"/>
      <x:c r="I362" s="8"/>
      <x:c r="J362" s="8"/>
      <x:c r="K362" s="8"/>
      <x:c r="L362" s="8"/>
      <x:c r="M362" s="10"/>
      <x:c r="N362" s="10"/>
      <x:c r="O362" s="8"/>
      <x:c r="P362" s="9" t="str">
        <x:f>IF(C362="","",IF(AND(G362="Applicable",H362="Fail"),"Fail",IF(R362&lt;&gt;"Valid","Pending",IF(OR(I362="",K362="",L362="",K362=L362,NOT(ISNUMBER(M362)),NOT(ISNUMBER(N362)),M362&gt;Settings!$F$8,N362&lt;Settings!$F$8,N362&lt;M362),"Pending",IF(AND(G362="Applicable",H362="Pass"),"Pass",IF(AND(G362="N/A",H362="N/A",J362&lt;&gt;"",OR(E362="CEM-FUELS",E362="CEM-CCS",AND(E362="CEM-PLAN",IFERROR(INDEX('Taxonomy'!$M$9:$M$108,MATCH(D362,'Taxonomy'!$C$9:$C$108,0)),"")&lt;&gt;"Amber"),E362="BLD-TIMBER",AND(U362="Building equipment",OR(E362="BLD-WATER",E362="BLD-WASTE",E362="BLD-LAND")),AND(U362="Building renovation",E362="BLD-LAND"))),"N/A","Pending"))))))</x:f>
      </x:c>
      <x:c r="Q362" s="3" t="str">
        <x:f>IF(C362="","",IF(AND(R362="Valid",OR(P362="Pass",P362="N/A")),"Complete","Unresolved"))</x:f>
      </x:c>
      <x:c r="R362" s="9" t="str">
        <x:f>IF(C362="","",IF(OR(COUNTIF($C$9:$C$2008,C362)&lt;&gt;1,COUNTIFS($D$9:$D$2008,D362,$E$9:$E$2008,E362)&lt;&gt;1),"Duplicate test",IF(COUNTIF('Taxonomy'!$C$9:$C$108,D362)&lt;&gt;1,"Assessment key",IF(OR(COUNTIF('Taxonomy Rules'!$C$42:$C$68,E362)&lt;&gt;1,F362&lt;&gt;IFERROR(INDEX('Taxonomy Rules'!$D$42:$D$68,MATCH(E362,'Taxonomy Rules'!$C$42:$C$68,0)),""),NOT(OR(IFERROR(INDEX('Taxonomy Rules'!$G$42:$G$68,MATCH(E362,'Taxonomy Rules'!$C$42:$C$68,0)),"")="All supported routes",IFERROR(INDEX('Taxonomy Rules'!$G$42:$G$68,MATCH(E362,'Taxonomy Rules'!$C$42:$C$68,0)),"")=U362,AND(IFERROR(INDEX('Taxonomy Rules'!$G$42:$G$68,MATCH(E362,'Taxonomy Rules'!$C$42:$C$68,0)),"")="Building routes",OR(U362="Building renovation",U362="New building",U362="Building equipment"))))),"Unexpected test","Valid"))))</x:f>
      </x:c>
      <x:c r="S362" s="9" t="str">
        <x:f>IF(C362="","",IFERROR(INDEX('Taxonomy Rules'!$E$42:$E$68,MATCH(E362,'Taxonomy Rules'!$C$42:$C$68,0)),""))</x:f>
      </x:c>
      <x:c r="T362" s="9" t="str">
        <x:f>IF(C362="","",IFERROR(INDEX('Taxonomy Rules'!$F$42:$F$68,MATCH(E362,'Taxonomy Rules'!$C$42:$C$68,0)),""))</x:f>
      </x:c>
      <x:c r="U362" s="9" t="str">
        <x:f>IF(C362="","",IFERROR(INDEX('Taxonomy'!$G$9:$G$108,MATCH(D362,'Taxonomy'!$C$9:$C$108,0)),""))</x:f>
      </x:c>
    </x:row>
    <x:row r="363" ht="44" customHeight="1">
      <x:c r="A363" s="1"/>
      <x:c r="B363" s="1"/>
      <x:c r="C363" s="8"/>
      <x:c r="D363" s="8"/>
      <x:c r="E363" s="8"/>
      <x:c r="F363" s="8"/>
      <x:c r="G363" s="8"/>
      <x:c r="H363" s="8"/>
      <x:c r="I363" s="8"/>
      <x:c r="J363" s="8"/>
      <x:c r="K363" s="8"/>
      <x:c r="L363" s="8"/>
      <x:c r="M363" s="10"/>
      <x:c r="N363" s="10"/>
      <x:c r="O363" s="8"/>
      <x:c r="P363" s="9" t="str">
        <x:f>IF(C363="","",IF(AND(G363="Applicable",H363="Fail"),"Fail",IF(R363&lt;&gt;"Valid","Pending",IF(OR(I363="",K363="",L363="",K363=L363,NOT(ISNUMBER(M363)),NOT(ISNUMBER(N363)),M363&gt;Settings!$F$8,N363&lt;Settings!$F$8,N363&lt;M363),"Pending",IF(AND(G363="Applicable",H363="Pass"),"Pass",IF(AND(G363="N/A",H363="N/A",J363&lt;&gt;"",OR(E363="CEM-FUELS",E363="CEM-CCS",AND(E363="CEM-PLAN",IFERROR(INDEX('Taxonomy'!$M$9:$M$108,MATCH(D363,'Taxonomy'!$C$9:$C$108,0)),"")&lt;&gt;"Amber"),E363="BLD-TIMBER",AND(U363="Building equipment",OR(E363="BLD-WATER",E363="BLD-WASTE",E363="BLD-LAND")),AND(U363="Building renovation",E363="BLD-LAND"))),"N/A","Pending"))))))</x:f>
      </x:c>
      <x:c r="Q363" s="3" t="str">
        <x:f>IF(C363="","",IF(AND(R363="Valid",OR(P363="Pass",P363="N/A")),"Complete","Unresolved"))</x:f>
      </x:c>
      <x:c r="R363" s="9" t="str">
        <x:f>IF(C363="","",IF(OR(COUNTIF($C$9:$C$2008,C363)&lt;&gt;1,COUNTIFS($D$9:$D$2008,D363,$E$9:$E$2008,E363)&lt;&gt;1),"Duplicate test",IF(COUNTIF('Taxonomy'!$C$9:$C$108,D363)&lt;&gt;1,"Assessment key",IF(OR(COUNTIF('Taxonomy Rules'!$C$42:$C$68,E363)&lt;&gt;1,F363&lt;&gt;IFERROR(INDEX('Taxonomy Rules'!$D$42:$D$68,MATCH(E363,'Taxonomy Rules'!$C$42:$C$68,0)),""),NOT(OR(IFERROR(INDEX('Taxonomy Rules'!$G$42:$G$68,MATCH(E363,'Taxonomy Rules'!$C$42:$C$68,0)),"")="All supported routes",IFERROR(INDEX('Taxonomy Rules'!$G$42:$G$68,MATCH(E363,'Taxonomy Rules'!$C$42:$C$68,0)),"")=U363,AND(IFERROR(INDEX('Taxonomy Rules'!$G$42:$G$68,MATCH(E363,'Taxonomy Rules'!$C$42:$C$68,0)),"")="Building routes",OR(U363="Building renovation",U363="New building",U363="Building equipment"))))),"Unexpected test","Valid"))))</x:f>
      </x:c>
      <x:c r="S363" s="9" t="str">
        <x:f>IF(C363="","",IFERROR(INDEX('Taxonomy Rules'!$E$42:$E$68,MATCH(E363,'Taxonomy Rules'!$C$42:$C$68,0)),""))</x:f>
      </x:c>
      <x:c r="T363" s="9" t="str">
        <x:f>IF(C363="","",IFERROR(INDEX('Taxonomy Rules'!$F$42:$F$68,MATCH(E363,'Taxonomy Rules'!$C$42:$C$68,0)),""))</x:f>
      </x:c>
      <x:c r="U363" s="9" t="str">
        <x:f>IF(C363="","",IFERROR(INDEX('Taxonomy'!$G$9:$G$108,MATCH(D363,'Taxonomy'!$C$9:$C$108,0)),""))</x:f>
      </x:c>
    </x:row>
    <x:row r="364" ht="44" customHeight="1">
      <x:c r="A364" s="1"/>
      <x:c r="B364" s="1"/>
      <x:c r="C364" s="8"/>
      <x:c r="D364" s="8"/>
      <x:c r="E364" s="8"/>
      <x:c r="F364" s="8"/>
      <x:c r="G364" s="8"/>
      <x:c r="H364" s="8"/>
      <x:c r="I364" s="8"/>
      <x:c r="J364" s="8"/>
      <x:c r="K364" s="8"/>
      <x:c r="L364" s="8"/>
      <x:c r="M364" s="10"/>
      <x:c r="N364" s="10"/>
      <x:c r="O364" s="8"/>
      <x:c r="P364" s="9" t="str">
        <x:f>IF(C364="","",IF(AND(G364="Applicable",H364="Fail"),"Fail",IF(R364&lt;&gt;"Valid","Pending",IF(OR(I364="",K364="",L364="",K364=L364,NOT(ISNUMBER(M364)),NOT(ISNUMBER(N364)),M364&gt;Settings!$F$8,N364&lt;Settings!$F$8,N364&lt;M364),"Pending",IF(AND(G364="Applicable",H364="Pass"),"Pass",IF(AND(G364="N/A",H364="N/A",J364&lt;&gt;"",OR(E364="CEM-FUELS",E364="CEM-CCS",AND(E364="CEM-PLAN",IFERROR(INDEX('Taxonomy'!$M$9:$M$108,MATCH(D364,'Taxonomy'!$C$9:$C$108,0)),"")&lt;&gt;"Amber"),E364="BLD-TIMBER",AND(U364="Building equipment",OR(E364="BLD-WATER",E364="BLD-WASTE",E364="BLD-LAND")),AND(U364="Building renovation",E364="BLD-LAND"))),"N/A","Pending"))))))</x:f>
      </x:c>
      <x:c r="Q364" s="3" t="str">
        <x:f>IF(C364="","",IF(AND(R364="Valid",OR(P364="Pass",P364="N/A")),"Complete","Unresolved"))</x:f>
      </x:c>
      <x:c r="R364" s="9" t="str">
        <x:f>IF(C364="","",IF(OR(COUNTIF($C$9:$C$2008,C364)&lt;&gt;1,COUNTIFS($D$9:$D$2008,D364,$E$9:$E$2008,E364)&lt;&gt;1),"Duplicate test",IF(COUNTIF('Taxonomy'!$C$9:$C$108,D364)&lt;&gt;1,"Assessment key",IF(OR(COUNTIF('Taxonomy Rules'!$C$42:$C$68,E364)&lt;&gt;1,F364&lt;&gt;IFERROR(INDEX('Taxonomy Rules'!$D$42:$D$68,MATCH(E364,'Taxonomy Rules'!$C$42:$C$68,0)),""),NOT(OR(IFERROR(INDEX('Taxonomy Rules'!$G$42:$G$68,MATCH(E364,'Taxonomy Rules'!$C$42:$C$68,0)),"")="All supported routes",IFERROR(INDEX('Taxonomy Rules'!$G$42:$G$68,MATCH(E364,'Taxonomy Rules'!$C$42:$C$68,0)),"")=U364,AND(IFERROR(INDEX('Taxonomy Rules'!$G$42:$G$68,MATCH(E364,'Taxonomy Rules'!$C$42:$C$68,0)),"")="Building routes",OR(U364="Building renovation",U364="New building",U364="Building equipment"))))),"Unexpected test","Valid"))))</x:f>
      </x:c>
      <x:c r="S364" s="9" t="str">
        <x:f>IF(C364="","",IFERROR(INDEX('Taxonomy Rules'!$E$42:$E$68,MATCH(E364,'Taxonomy Rules'!$C$42:$C$68,0)),""))</x:f>
      </x:c>
      <x:c r="T364" s="9" t="str">
        <x:f>IF(C364="","",IFERROR(INDEX('Taxonomy Rules'!$F$42:$F$68,MATCH(E364,'Taxonomy Rules'!$C$42:$C$68,0)),""))</x:f>
      </x:c>
      <x:c r="U364" s="9" t="str">
        <x:f>IF(C364="","",IFERROR(INDEX('Taxonomy'!$G$9:$G$108,MATCH(D364,'Taxonomy'!$C$9:$C$108,0)),""))</x:f>
      </x:c>
    </x:row>
    <x:row r="365" ht="44" customHeight="1">
      <x:c r="A365" s="1"/>
      <x:c r="B365" s="1"/>
      <x:c r="C365" s="8"/>
      <x:c r="D365" s="8"/>
      <x:c r="E365" s="8"/>
      <x:c r="F365" s="8"/>
      <x:c r="G365" s="8"/>
      <x:c r="H365" s="8"/>
      <x:c r="I365" s="8"/>
      <x:c r="J365" s="8"/>
      <x:c r="K365" s="8"/>
      <x:c r="L365" s="8"/>
      <x:c r="M365" s="10"/>
      <x:c r="N365" s="10"/>
      <x:c r="O365" s="8"/>
      <x:c r="P365" s="9" t="str">
        <x:f>IF(C365="","",IF(AND(G365="Applicable",H365="Fail"),"Fail",IF(R365&lt;&gt;"Valid","Pending",IF(OR(I365="",K365="",L365="",K365=L365,NOT(ISNUMBER(M365)),NOT(ISNUMBER(N365)),M365&gt;Settings!$F$8,N365&lt;Settings!$F$8,N365&lt;M365),"Pending",IF(AND(G365="Applicable",H365="Pass"),"Pass",IF(AND(G365="N/A",H365="N/A",J365&lt;&gt;"",OR(E365="CEM-FUELS",E365="CEM-CCS",AND(E365="CEM-PLAN",IFERROR(INDEX('Taxonomy'!$M$9:$M$108,MATCH(D365,'Taxonomy'!$C$9:$C$108,0)),"")&lt;&gt;"Amber"),E365="BLD-TIMBER",AND(U365="Building equipment",OR(E365="BLD-WATER",E365="BLD-WASTE",E365="BLD-LAND")),AND(U365="Building renovation",E365="BLD-LAND"))),"N/A","Pending"))))))</x:f>
      </x:c>
      <x:c r="Q365" s="3" t="str">
        <x:f>IF(C365="","",IF(AND(R365="Valid",OR(P365="Pass",P365="N/A")),"Complete","Unresolved"))</x:f>
      </x:c>
      <x:c r="R365" s="9" t="str">
        <x:f>IF(C365="","",IF(OR(COUNTIF($C$9:$C$2008,C365)&lt;&gt;1,COUNTIFS($D$9:$D$2008,D365,$E$9:$E$2008,E365)&lt;&gt;1),"Duplicate test",IF(COUNTIF('Taxonomy'!$C$9:$C$108,D365)&lt;&gt;1,"Assessment key",IF(OR(COUNTIF('Taxonomy Rules'!$C$42:$C$68,E365)&lt;&gt;1,F365&lt;&gt;IFERROR(INDEX('Taxonomy Rules'!$D$42:$D$68,MATCH(E365,'Taxonomy Rules'!$C$42:$C$68,0)),""),NOT(OR(IFERROR(INDEX('Taxonomy Rules'!$G$42:$G$68,MATCH(E365,'Taxonomy Rules'!$C$42:$C$68,0)),"")="All supported routes",IFERROR(INDEX('Taxonomy Rules'!$G$42:$G$68,MATCH(E365,'Taxonomy Rules'!$C$42:$C$68,0)),"")=U365,AND(IFERROR(INDEX('Taxonomy Rules'!$G$42:$G$68,MATCH(E365,'Taxonomy Rules'!$C$42:$C$68,0)),"")="Building routes",OR(U365="Building renovation",U365="New building",U365="Building equipment"))))),"Unexpected test","Valid"))))</x:f>
      </x:c>
      <x:c r="S365" s="9" t="str">
        <x:f>IF(C365="","",IFERROR(INDEX('Taxonomy Rules'!$E$42:$E$68,MATCH(E365,'Taxonomy Rules'!$C$42:$C$68,0)),""))</x:f>
      </x:c>
      <x:c r="T365" s="9" t="str">
        <x:f>IF(C365="","",IFERROR(INDEX('Taxonomy Rules'!$F$42:$F$68,MATCH(E365,'Taxonomy Rules'!$C$42:$C$68,0)),""))</x:f>
      </x:c>
      <x:c r="U365" s="9" t="str">
        <x:f>IF(C365="","",IFERROR(INDEX('Taxonomy'!$G$9:$G$108,MATCH(D365,'Taxonomy'!$C$9:$C$108,0)),""))</x:f>
      </x:c>
    </x:row>
    <x:row r="366" ht="44" customHeight="1">
      <x:c r="A366" s="1"/>
      <x:c r="B366" s="1"/>
      <x:c r="C366" s="8"/>
      <x:c r="D366" s="8"/>
      <x:c r="E366" s="8"/>
      <x:c r="F366" s="8"/>
      <x:c r="G366" s="8"/>
      <x:c r="H366" s="8"/>
      <x:c r="I366" s="8"/>
      <x:c r="J366" s="8"/>
      <x:c r="K366" s="8"/>
      <x:c r="L366" s="8"/>
      <x:c r="M366" s="10"/>
      <x:c r="N366" s="10"/>
      <x:c r="O366" s="8"/>
      <x:c r="P366" s="9" t="str">
        <x:f>IF(C366="","",IF(AND(G366="Applicable",H366="Fail"),"Fail",IF(R366&lt;&gt;"Valid","Pending",IF(OR(I366="",K366="",L366="",K366=L366,NOT(ISNUMBER(M366)),NOT(ISNUMBER(N366)),M366&gt;Settings!$F$8,N366&lt;Settings!$F$8,N366&lt;M366),"Pending",IF(AND(G366="Applicable",H366="Pass"),"Pass",IF(AND(G366="N/A",H366="N/A",J366&lt;&gt;"",OR(E366="CEM-FUELS",E366="CEM-CCS",AND(E366="CEM-PLAN",IFERROR(INDEX('Taxonomy'!$M$9:$M$108,MATCH(D366,'Taxonomy'!$C$9:$C$108,0)),"")&lt;&gt;"Amber"),E366="BLD-TIMBER",AND(U366="Building equipment",OR(E366="BLD-WATER",E366="BLD-WASTE",E366="BLD-LAND")),AND(U366="Building renovation",E366="BLD-LAND"))),"N/A","Pending"))))))</x:f>
      </x:c>
      <x:c r="Q366" s="3" t="str">
        <x:f>IF(C366="","",IF(AND(R366="Valid",OR(P366="Pass",P366="N/A")),"Complete","Unresolved"))</x:f>
      </x:c>
      <x:c r="R366" s="9" t="str">
        <x:f>IF(C366="","",IF(OR(COUNTIF($C$9:$C$2008,C366)&lt;&gt;1,COUNTIFS($D$9:$D$2008,D366,$E$9:$E$2008,E366)&lt;&gt;1),"Duplicate test",IF(COUNTIF('Taxonomy'!$C$9:$C$108,D366)&lt;&gt;1,"Assessment key",IF(OR(COUNTIF('Taxonomy Rules'!$C$42:$C$68,E366)&lt;&gt;1,F366&lt;&gt;IFERROR(INDEX('Taxonomy Rules'!$D$42:$D$68,MATCH(E366,'Taxonomy Rules'!$C$42:$C$68,0)),""),NOT(OR(IFERROR(INDEX('Taxonomy Rules'!$G$42:$G$68,MATCH(E366,'Taxonomy Rules'!$C$42:$C$68,0)),"")="All supported routes",IFERROR(INDEX('Taxonomy Rules'!$G$42:$G$68,MATCH(E366,'Taxonomy Rules'!$C$42:$C$68,0)),"")=U366,AND(IFERROR(INDEX('Taxonomy Rules'!$G$42:$G$68,MATCH(E366,'Taxonomy Rules'!$C$42:$C$68,0)),"")="Building routes",OR(U366="Building renovation",U366="New building",U366="Building equipment"))))),"Unexpected test","Valid"))))</x:f>
      </x:c>
      <x:c r="S366" s="9" t="str">
        <x:f>IF(C366="","",IFERROR(INDEX('Taxonomy Rules'!$E$42:$E$68,MATCH(E366,'Taxonomy Rules'!$C$42:$C$68,0)),""))</x:f>
      </x:c>
      <x:c r="T366" s="9" t="str">
        <x:f>IF(C366="","",IFERROR(INDEX('Taxonomy Rules'!$F$42:$F$68,MATCH(E366,'Taxonomy Rules'!$C$42:$C$68,0)),""))</x:f>
      </x:c>
      <x:c r="U366" s="9" t="str">
        <x:f>IF(C366="","",IFERROR(INDEX('Taxonomy'!$G$9:$G$108,MATCH(D366,'Taxonomy'!$C$9:$C$108,0)),""))</x:f>
      </x:c>
    </x:row>
    <x:row r="367" ht="44" customHeight="1">
      <x:c r="A367" s="1"/>
      <x:c r="B367" s="1"/>
      <x:c r="C367" s="8"/>
      <x:c r="D367" s="8"/>
      <x:c r="E367" s="8"/>
      <x:c r="F367" s="8"/>
      <x:c r="G367" s="8"/>
      <x:c r="H367" s="8"/>
      <x:c r="I367" s="8"/>
      <x:c r="J367" s="8"/>
      <x:c r="K367" s="8"/>
      <x:c r="L367" s="8"/>
      <x:c r="M367" s="10"/>
      <x:c r="N367" s="10"/>
      <x:c r="O367" s="8"/>
      <x:c r="P367" s="9" t="str">
        <x:f>IF(C367="","",IF(AND(G367="Applicable",H367="Fail"),"Fail",IF(R367&lt;&gt;"Valid","Pending",IF(OR(I367="",K367="",L367="",K367=L367,NOT(ISNUMBER(M367)),NOT(ISNUMBER(N367)),M367&gt;Settings!$F$8,N367&lt;Settings!$F$8,N367&lt;M367),"Pending",IF(AND(G367="Applicable",H367="Pass"),"Pass",IF(AND(G367="N/A",H367="N/A",J367&lt;&gt;"",OR(E367="CEM-FUELS",E367="CEM-CCS",AND(E367="CEM-PLAN",IFERROR(INDEX('Taxonomy'!$M$9:$M$108,MATCH(D367,'Taxonomy'!$C$9:$C$108,0)),"")&lt;&gt;"Amber"),E367="BLD-TIMBER",AND(U367="Building equipment",OR(E367="BLD-WATER",E367="BLD-WASTE",E367="BLD-LAND")),AND(U367="Building renovation",E367="BLD-LAND"))),"N/A","Pending"))))))</x:f>
      </x:c>
      <x:c r="Q367" s="3" t="str">
        <x:f>IF(C367="","",IF(AND(R367="Valid",OR(P367="Pass",P367="N/A")),"Complete","Unresolved"))</x:f>
      </x:c>
      <x:c r="R367" s="9" t="str">
        <x:f>IF(C367="","",IF(OR(COUNTIF($C$9:$C$2008,C367)&lt;&gt;1,COUNTIFS($D$9:$D$2008,D367,$E$9:$E$2008,E367)&lt;&gt;1),"Duplicate test",IF(COUNTIF('Taxonomy'!$C$9:$C$108,D367)&lt;&gt;1,"Assessment key",IF(OR(COUNTIF('Taxonomy Rules'!$C$42:$C$68,E367)&lt;&gt;1,F367&lt;&gt;IFERROR(INDEX('Taxonomy Rules'!$D$42:$D$68,MATCH(E367,'Taxonomy Rules'!$C$42:$C$68,0)),""),NOT(OR(IFERROR(INDEX('Taxonomy Rules'!$G$42:$G$68,MATCH(E367,'Taxonomy Rules'!$C$42:$C$68,0)),"")="All supported routes",IFERROR(INDEX('Taxonomy Rules'!$G$42:$G$68,MATCH(E367,'Taxonomy Rules'!$C$42:$C$68,0)),"")=U367,AND(IFERROR(INDEX('Taxonomy Rules'!$G$42:$G$68,MATCH(E367,'Taxonomy Rules'!$C$42:$C$68,0)),"")="Building routes",OR(U367="Building renovation",U367="New building",U367="Building equipment"))))),"Unexpected test","Valid"))))</x:f>
      </x:c>
      <x:c r="S367" s="9" t="str">
        <x:f>IF(C367="","",IFERROR(INDEX('Taxonomy Rules'!$E$42:$E$68,MATCH(E367,'Taxonomy Rules'!$C$42:$C$68,0)),""))</x:f>
      </x:c>
      <x:c r="T367" s="9" t="str">
        <x:f>IF(C367="","",IFERROR(INDEX('Taxonomy Rules'!$F$42:$F$68,MATCH(E367,'Taxonomy Rules'!$C$42:$C$68,0)),""))</x:f>
      </x:c>
      <x:c r="U367" s="9" t="str">
        <x:f>IF(C367="","",IFERROR(INDEX('Taxonomy'!$G$9:$G$108,MATCH(D367,'Taxonomy'!$C$9:$C$108,0)),""))</x:f>
      </x:c>
    </x:row>
    <x:row r="368" ht="44" customHeight="1">
      <x:c r="A368" s="1"/>
      <x:c r="B368" s="1"/>
      <x:c r="C368" s="8"/>
      <x:c r="D368" s="8"/>
      <x:c r="E368" s="8"/>
      <x:c r="F368" s="8"/>
      <x:c r="G368" s="8"/>
      <x:c r="H368" s="8"/>
      <x:c r="I368" s="8"/>
      <x:c r="J368" s="8"/>
      <x:c r="K368" s="8"/>
      <x:c r="L368" s="8"/>
      <x:c r="M368" s="10"/>
      <x:c r="N368" s="10"/>
      <x:c r="O368" s="8"/>
      <x:c r="P368" s="9" t="str">
        <x:f>IF(C368="","",IF(AND(G368="Applicable",H368="Fail"),"Fail",IF(R368&lt;&gt;"Valid","Pending",IF(OR(I368="",K368="",L368="",K368=L368,NOT(ISNUMBER(M368)),NOT(ISNUMBER(N368)),M368&gt;Settings!$F$8,N368&lt;Settings!$F$8,N368&lt;M368),"Pending",IF(AND(G368="Applicable",H368="Pass"),"Pass",IF(AND(G368="N/A",H368="N/A",J368&lt;&gt;"",OR(E368="CEM-FUELS",E368="CEM-CCS",AND(E368="CEM-PLAN",IFERROR(INDEX('Taxonomy'!$M$9:$M$108,MATCH(D368,'Taxonomy'!$C$9:$C$108,0)),"")&lt;&gt;"Amber"),E368="BLD-TIMBER",AND(U368="Building equipment",OR(E368="BLD-WATER",E368="BLD-WASTE",E368="BLD-LAND")),AND(U368="Building renovation",E368="BLD-LAND"))),"N/A","Pending"))))))</x:f>
      </x:c>
      <x:c r="Q368" s="3" t="str">
        <x:f>IF(C368="","",IF(AND(R368="Valid",OR(P368="Pass",P368="N/A")),"Complete","Unresolved"))</x:f>
      </x:c>
      <x:c r="R368" s="9" t="str">
        <x:f>IF(C368="","",IF(OR(COUNTIF($C$9:$C$2008,C368)&lt;&gt;1,COUNTIFS($D$9:$D$2008,D368,$E$9:$E$2008,E368)&lt;&gt;1),"Duplicate test",IF(COUNTIF('Taxonomy'!$C$9:$C$108,D368)&lt;&gt;1,"Assessment key",IF(OR(COUNTIF('Taxonomy Rules'!$C$42:$C$68,E368)&lt;&gt;1,F368&lt;&gt;IFERROR(INDEX('Taxonomy Rules'!$D$42:$D$68,MATCH(E368,'Taxonomy Rules'!$C$42:$C$68,0)),""),NOT(OR(IFERROR(INDEX('Taxonomy Rules'!$G$42:$G$68,MATCH(E368,'Taxonomy Rules'!$C$42:$C$68,0)),"")="All supported routes",IFERROR(INDEX('Taxonomy Rules'!$G$42:$G$68,MATCH(E368,'Taxonomy Rules'!$C$42:$C$68,0)),"")=U368,AND(IFERROR(INDEX('Taxonomy Rules'!$G$42:$G$68,MATCH(E368,'Taxonomy Rules'!$C$42:$C$68,0)),"")="Building routes",OR(U368="Building renovation",U368="New building",U368="Building equipment"))))),"Unexpected test","Valid"))))</x:f>
      </x:c>
      <x:c r="S368" s="9" t="str">
        <x:f>IF(C368="","",IFERROR(INDEX('Taxonomy Rules'!$E$42:$E$68,MATCH(E368,'Taxonomy Rules'!$C$42:$C$68,0)),""))</x:f>
      </x:c>
      <x:c r="T368" s="9" t="str">
        <x:f>IF(C368="","",IFERROR(INDEX('Taxonomy Rules'!$F$42:$F$68,MATCH(E368,'Taxonomy Rules'!$C$42:$C$68,0)),""))</x:f>
      </x:c>
      <x:c r="U368" s="9" t="str">
        <x:f>IF(C368="","",IFERROR(INDEX('Taxonomy'!$G$9:$G$108,MATCH(D368,'Taxonomy'!$C$9:$C$108,0)),""))</x:f>
      </x:c>
    </x:row>
    <x:row r="369" ht="44" customHeight="1">
      <x:c r="A369" s="1"/>
      <x:c r="B369" s="1"/>
      <x:c r="C369" s="8"/>
      <x:c r="D369" s="8"/>
      <x:c r="E369" s="8"/>
      <x:c r="F369" s="8"/>
      <x:c r="G369" s="8"/>
      <x:c r="H369" s="8"/>
      <x:c r="I369" s="8"/>
      <x:c r="J369" s="8"/>
      <x:c r="K369" s="8"/>
      <x:c r="L369" s="8"/>
      <x:c r="M369" s="10"/>
      <x:c r="N369" s="10"/>
      <x:c r="O369" s="8"/>
      <x:c r="P369" s="9" t="str">
        <x:f>IF(C369="","",IF(AND(G369="Applicable",H369="Fail"),"Fail",IF(R369&lt;&gt;"Valid","Pending",IF(OR(I369="",K369="",L369="",K369=L369,NOT(ISNUMBER(M369)),NOT(ISNUMBER(N369)),M369&gt;Settings!$F$8,N369&lt;Settings!$F$8,N369&lt;M369),"Pending",IF(AND(G369="Applicable",H369="Pass"),"Pass",IF(AND(G369="N/A",H369="N/A",J369&lt;&gt;"",OR(E369="CEM-FUELS",E369="CEM-CCS",AND(E369="CEM-PLAN",IFERROR(INDEX('Taxonomy'!$M$9:$M$108,MATCH(D369,'Taxonomy'!$C$9:$C$108,0)),"")&lt;&gt;"Amber"),E369="BLD-TIMBER",AND(U369="Building equipment",OR(E369="BLD-WATER",E369="BLD-WASTE",E369="BLD-LAND")),AND(U369="Building renovation",E369="BLD-LAND"))),"N/A","Pending"))))))</x:f>
      </x:c>
      <x:c r="Q369" s="3" t="str">
        <x:f>IF(C369="","",IF(AND(R369="Valid",OR(P369="Pass",P369="N/A")),"Complete","Unresolved"))</x:f>
      </x:c>
      <x:c r="R369" s="9" t="str">
        <x:f>IF(C369="","",IF(OR(COUNTIF($C$9:$C$2008,C369)&lt;&gt;1,COUNTIFS($D$9:$D$2008,D369,$E$9:$E$2008,E369)&lt;&gt;1),"Duplicate test",IF(COUNTIF('Taxonomy'!$C$9:$C$108,D369)&lt;&gt;1,"Assessment key",IF(OR(COUNTIF('Taxonomy Rules'!$C$42:$C$68,E369)&lt;&gt;1,F369&lt;&gt;IFERROR(INDEX('Taxonomy Rules'!$D$42:$D$68,MATCH(E369,'Taxonomy Rules'!$C$42:$C$68,0)),""),NOT(OR(IFERROR(INDEX('Taxonomy Rules'!$G$42:$G$68,MATCH(E369,'Taxonomy Rules'!$C$42:$C$68,0)),"")="All supported routes",IFERROR(INDEX('Taxonomy Rules'!$G$42:$G$68,MATCH(E369,'Taxonomy Rules'!$C$42:$C$68,0)),"")=U369,AND(IFERROR(INDEX('Taxonomy Rules'!$G$42:$G$68,MATCH(E369,'Taxonomy Rules'!$C$42:$C$68,0)),"")="Building routes",OR(U369="Building renovation",U369="New building",U369="Building equipment"))))),"Unexpected test","Valid"))))</x:f>
      </x:c>
      <x:c r="S369" s="9" t="str">
        <x:f>IF(C369="","",IFERROR(INDEX('Taxonomy Rules'!$E$42:$E$68,MATCH(E369,'Taxonomy Rules'!$C$42:$C$68,0)),""))</x:f>
      </x:c>
      <x:c r="T369" s="9" t="str">
        <x:f>IF(C369="","",IFERROR(INDEX('Taxonomy Rules'!$F$42:$F$68,MATCH(E369,'Taxonomy Rules'!$C$42:$C$68,0)),""))</x:f>
      </x:c>
      <x:c r="U369" s="9" t="str">
        <x:f>IF(C369="","",IFERROR(INDEX('Taxonomy'!$G$9:$G$108,MATCH(D369,'Taxonomy'!$C$9:$C$108,0)),""))</x:f>
      </x:c>
    </x:row>
    <x:row r="370" ht="44" customHeight="1">
      <x:c r="A370" s="1"/>
      <x:c r="B370" s="1"/>
      <x:c r="C370" s="8"/>
      <x:c r="D370" s="8"/>
      <x:c r="E370" s="8"/>
      <x:c r="F370" s="8"/>
      <x:c r="G370" s="8"/>
      <x:c r="H370" s="8"/>
      <x:c r="I370" s="8"/>
      <x:c r="J370" s="8"/>
      <x:c r="K370" s="8"/>
      <x:c r="L370" s="8"/>
      <x:c r="M370" s="10"/>
      <x:c r="N370" s="10"/>
      <x:c r="O370" s="8"/>
      <x:c r="P370" s="9" t="str">
        <x:f>IF(C370="","",IF(AND(G370="Applicable",H370="Fail"),"Fail",IF(R370&lt;&gt;"Valid","Pending",IF(OR(I370="",K370="",L370="",K370=L370,NOT(ISNUMBER(M370)),NOT(ISNUMBER(N370)),M370&gt;Settings!$F$8,N370&lt;Settings!$F$8,N370&lt;M370),"Pending",IF(AND(G370="Applicable",H370="Pass"),"Pass",IF(AND(G370="N/A",H370="N/A",J370&lt;&gt;"",OR(E370="CEM-FUELS",E370="CEM-CCS",AND(E370="CEM-PLAN",IFERROR(INDEX('Taxonomy'!$M$9:$M$108,MATCH(D370,'Taxonomy'!$C$9:$C$108,0)),"")&lt;&gt;"Amber"),E370="BLD-TIMBER",AND(U370="Building equipment",OR(E370="BLD-WATER",E370="BLD-WASTE",E370="BLD-LAND")),AND(U370="Building renovation",E370="BLD-LAND"))),"N/A","Pending"))))))</x:f>
      </x:c>
      <x:c r="Q370" s="3" t="str">
        <x:f>IF(C370="","",IF(AND(R370="Valid",OR(P370="Pass",P370="N/A")),"Complete","Unresolved"))</x:f>
      </x:c>
      <x:c r="R370" s="9" t="str">
        <x:f>IF(C370="","",IF(OR(COUNTIF($C$9:$C$2008,C370)&lt;&gt;1,COUNTIFS($D$9:$D$2008,D370,$E$9:$E$2008,E370)&lt;&gt;1),"Duplicate test",IF(COUNTIF('Taxonomy'!$C$9:$C$108,D370)&lt;&gt;1,"Assessment key",IF(OR(COUNTIF('Taxonomy Rules'!$C$42:$C$68,E370)&lt;&gt;1,F370&lt;&gt;IFERROR(INDEX('Taxonomy Rules'!$D$42:$D$68,MATCH(E370,'Taxonomy Rules'!$C$42:$C$68,0)),""),NOT(OR(IFERROR(INDEX('Taxonomy Rules'!$G$42:$G$68,MATCH(E370,'Taxonomy Rules'!$C$42:$C$68,0)),"")="All supported routes",IFERROR(INDEX('Taxonomy Rules'!$G$42:$G$68,MATCH(E370,'Taxonomy Rules'!$C$42:$C$68,0)),"")=U370,AND(IFERROR(INDEX('Taxonomy Rules'!$G$42:$G$68,MATCH(E370,'Taxonomy Rules'!$C$42:$C$68,0)),"")="Building routes",OR(U370="Building renovation",U370="New building",U370="Building equipment"))))),"Unexpected test","Valid"))))</x:f>
      </x:c>
      <x:c r="S370" s="9" t="str">
        <x:f>IF(C370="","",IFERROR(INDEX('Taxonomy Rules'!$E$42:$E$68,MATCH(E370,'Taxonomy Rules'!$C$42:$C$68,0)),""))</x:f>
      </x:c>
      <x:c r="T370" s="9" t="str">
        <x:f>IF(C370="","",IFERROR(INDEX('Taxonomy Rules'!$F$42:$F$68,MATCH(E370,'Taxonomy Rules'!$C$42:$C$68,0)),""))</x:f>
      </x:c>
      <x:c r="U370" s="9" t="str">
        <x:f>IF(C370="","",IFERROR(INDEX('Taxonomy'!$G$9:$G$108,MATCH(D370,'Taxonomy'!$C$9:$C$108,0)),""))</x:f>
      </x:c>
    </x:row>
    <x:row r="371" ht="44" customHeight="1">
      <x:c r="A371" s="1"/>
      <x:c r="B371" s="1"/>
      <x:c r="C371" s="8"/>
      <x:c r="D371" s="8"/>
      <x:c r="E371" s="8"/>
      <x:c r="F371" s="8"/>
      <x:c r="G371" s="8"/>
      <x:c r="H371" s="8"/>
      <x:c r="I371" s="8"/>
      <x:c r="J371" s="8"/>
      <x:c r="K371" s="8"/>
      <x:c r="L371" s="8"/>
      <x:c r="M371" s="10"/>
      <x:c r="N371" s="10"/>
      <x:c r="O371" s="8"/>
      <x:c r="P371" s="9" t="str">
        <x:f>IF(C371="","",IF(AND(G371="Applicable",H371="Fail"),"Fail",IF(R371&lt;&gt;"Valid","Pending",IF(OR(I371="",K371="",L371="",K371=L371,NOT(ISNUMBER(M371)),NOT(ISNUMBER(N371)),M371&gt;Settings!$F$8,N371&lt;Settings!$F$8,N371&lt;M371),"Pending",IF(AND(G371="Applicable",H371="Pass"),"Pass",IF(AND(G371="N/A",H371="N/A",J371&lt;&gt;"",OR(E371="CEM-FUELS",E371="CEM-CCS",AND(E371="CEM-PLAN",IFERROR(INDEX('Taxonomy'!$M$9:$M$108,MATCH(D371,'Taxonomy'!$C$9:$C$108,0)),"")&lt;&gt;"Amber"),E371="BLD-TIMBER",AND(U371="Building equipment",OR(E371="BLD-WATER",E371="BLD-WASTE",E371="BLD-LAND")),AND(U371="Building renovation",E371="BLD-LAND"))),"N/A","Pending"))))))</x:f>
      </x:c>
      <x:c r="Q371" s="3" t="str">
        <x:f>IF(C371="","",IF(AND(R371="Valid",OR(P371="Pass",P371="N/A")),"Complete","Unresolved"))</x:f>
      </x:c>
      <x:c r="R371" s="9" t="str">
        <x:f>IF(C371="","",IF(OR(COUNTIF($C$9:$C$2008,C371)&lt;&gt;1,COUNTIFS($D$9:$D$2008,D371,$E$9:$E$2008,E371)&lt;&gt;1),"Duplicate test",IF(COUNTIF('Taxonomy'!$C$9:$C$108,D371)&lt;&gt;1,"Assessment key",IF(OR(COUNTIF('Taxonomy Rules'!$C$42:$C$68,E371)&lt;&gt;1,F371&lt;&gt;IFERROR(INDEX('Taxonomy Rules'!$D$42:$D$68,MATCH(E371,'Taxonomy Rules'!$C$42:$C$68,0)),""),NOT(OR(IFERROR(INDEX('Taxonomy Rules'!$G$42:$G$68,MATCH(E371,'Taxonomy Rules'!$C$42:$C$68,0)),"")="All supported routes",IFERROR(INDEX('Taxonomy Rules'!$G$42:$G$68,MATCH(E371,'Taxonomy Rules'!$C$42:$C$68,0)),"")=U371,AND(IFERROR(INDEX('Taxonomy Rules'!$G$42:$G$68,MATCH(E371,'Taxonomy Rules'!$C$42:$C$68,0)),"")="Building routes",OR(U371="Building renovation",U371="New building",U371="Building equipment"))))),"Unexpected test","Valid"))))</x:f>
      </x:c>
      <x:c r="S371" s="9" t="str">
        <x:f>IF(C371="","",IFERROR(INDEX('Taxonomy Rules'!$E$42:$E$68,MATCH(E371,'Taxonomy Rules'!$C$42:$C$68,0)),""))</x:f>
      </x:c>
      <x:c r="T371" s="9" t="str">
        <x:f>IF(C371="","",IFERROR(INDEX('Taxonomy Rules'!$F$42:$F$68,MATCH(E371,'Taxonomy Rules'!$C$42:$C$68,0)),""))</x:f>
      </x:c>
      <x:c r="U371" s="9" t="str">
        <x:f>IF(C371="","",IFERROR(INDEX('Taxonomy'!$G$9:$G$108,MATCH(D371,'Taxonomy'!$C$9:$C$108,0)),""))</x:f>
      </x:c>
    </x:row>
    <x:row r="372" ht="44" customHeight="1">
      <x:c r="A372" s="1"/>
      <x:c r="B372" s="1"/>
      <x:c r="C372" s="8"/>
      <x:c r="D372" s="8"/>
      <x:c r="E372" s="8"/>
      <x:c r="F372" s="8"/>
      <x:c r="G372" s="8"/>
      <x:c r="H372" s="8"/>
      <x:c r="I372" s="8"/>
      <x:c r="J372" s="8"/>
      <x:c r="K372" s="8"/>
      <x:c r="L372" s="8"/>
      <x:c r="M372" s="10"/>
      <x:c r="N372" s="10"/>
      <x:c r="O372" s="8"/>
      <x:c r="P372" s="9" t="str">
        <x:f>IF(C372="","",IF(AND(G372="Applicable",H372="Fail"),"Fail",IF(R372&lt;&gt;"Valid","Pending",IF(OR(I372="",K372="",L372="",K372=L372,NOT(ISNUMBER(M372)),NOT(ISNUMBER(N372)),M372&gt;Settings!$F$8,N372&lt;Settings!$F$8,N372&lt;M372),"Pending",IF(AND(G372="Applicable",H372="Pass"),"Pass",IF(AND(G372="N/A",H372="N/A",J372&lt;&gt;"",OR(E372="CEM-FUELS",E372="CEM-CCS",AND(E372="CEM-PLAN",IFERROR(INDEX('Taxonomy'!$M$9:$M$108,MATCH(D372,'Taxonomy'!$C$9:$C$108,0)),"")&lt;&gt;"Amber"),E372="BLD-TIMBER",AND(U372="Building equipment",OR(E372="BLD-WATER",E372="BLD-WASTE",E372="BLD-LAND")),AND(U372="Building renovation",E372="BLD-LAND"))),"N/A","Pending"))))))</x:f>
      </x:c>
      <x:c r="Q372" s="3" t="str">
        <x:f>IF(C372="","",IF(AND(R372="Valid",OR(P372="Pass",P372="N/A")),"Complete","Unresolved"))</x:f>
      </x:c>
      <x:c r="R372" s="9" t="str">
        <x:f>IF(C372="","",IF(OR(COUNTIF($C$9:$C$2008,C372)&lt;&gt;1,COUNTIFS($D$9:$D$2008,D372,$E$9:$E$2008,E372)&lt;&gt;1),"Duplicate test",IF(COUNTIF('Taxonomy'!$C$9:$C$108,D372)&lt;&gt;1,"Assessment key",IF(OR(COUNTIF('Taxonomy Rules'!$C$42:$C$68,E372)&lt;&gt;1,F372&lt;&gt;IFERROR(INDEX('Taxonomy Rules'!$D$42:$D$68,MATCH(E372,'Taxonomy Rules'!$C$42:$C$68,0)),""),NOT(OR(IFERROR(INDEX('Taxonomy Rules'!$G$42:$G$68,MATCH(E372,'Taxonomy Rules'!$C$42:$C$68,0)),"")="All supported routes",IFERROR(INDEX('Taxonomy Rules'!$G$42:$G$68,MATCH(E372,'Taxonomy Rules'!$C$42:$C$68,0)),"")=U372,AND(IFERROR(INDEX('Taxonomy Rules'!$G$42:$G$68,MATCH(E372,'Taxonomy Rules'!$C$42:$C$68,0)),"")="Building routes",OR(U372="Building renovation",U372="New building",U372="Building equipment"))))),"Unexpected test","Valid"))))</x:f>
      </x:c>
      <x:c r="S372" s="9" t="str">
        <x:f>IF(C372="","",IFERROR(INDEX('Taxonomy Rules'!$E$42:$E$68,MATCH(E372,'Taxonomy Rules'!$C$42:$C$68,0)),""))</x:f>
      </x:c>
      <x:c r="T372" s="9" t="str">
        <x:f>IF(C372="","",IFERROR(INDEX('Taxonomy Rules'!$F$42:$F$68,MATCH(E372,'Taxonomy Rules'!$C$42:$C$68,0)),""))</x:f>
      </x:c>
      <x:c r="U372" s="9" t="str">
        <x:f>IF(C372="","",IFERROR(INDEX('Taxonomy'!$G$9:$G$108,MATCH(D372,'Taxonomy'!$C$9:$C$108,0)),""))</x:f>
      </x:c>
    </x:row>
    <x:row r="373" ht="44" customHeight="1">
      <x:c r="A373" s="1"/>
      <x:c r="B373" s="1"/>
      <x:c r="C373" s="8"/>
      <x:c r="D373" s="8"/>
      <x:c r="E373" s="8"/>
      <x:c r="F373" s="8"/>
      <x:c r="G373" s="8"/>
      <x:c r="H373" s="8"/>
      <x:c r="I373" s="8"/>
      <x:c r="J373" s="8"/>
      <x:c r="K373" s="8"/>
      <x:c r="L373" s="8"/>
      <x:c r="M373" s="10"/>
      <x:c r="N373" s="10"/>
      <x:c r="O373" s="8"/>
      <x:c r="P373" s="9" t="str">
        <x:f>IF(C373="","",IF(AND(G373="Applicable",H373="Fail"),"Fail",IF(R373&lt;&gt;"Valid","Pending",IF(OR(I373="",K373="",L373="",K373=L373,NOT(ISNUMBER(M373)),NOT(ISNUMBER(N373)),M373&gt;Settings!$F$8,N373&lt;Settings!$F$8,N373&lt;M373),"Pending",IF(AND(G373="Applicable",H373="Pass"),"Pass",IF(AND(G373="N/A",H373="N/A",J373&lt;&gt;"",OR(E373="CEM-FUELS",E373="CEM-CCS",AND(E373="CEM-PLAN",IFERROR(INDEX('Taxonomy'!$M$9:$M$108,MATCH(D373,'Taxonomy'!$C$9:$C$108,0)),"")&lt;&gt;"Amber"),E373="BLD-TIMBER",AND(U373="Building equipment",OR(E373="BLD-WATER",E373="BLD-WASTE",E373="BLD-LAND")),AND(U373="Building renovation",E373="BLD-LAND"))),"N/A","Pending"))))))</x:f>
      </x:c>
      <x:c r="Q373" s="3" t="str">
        <x:f>IF(C373="","",IF(AND(R373="Valid",OR(P373="Pass",P373="N/A")),"Complete","Unresolved"))</x:f>
      </x:c>
      <x:c r="R373" s="9" t="str">
        <x:f>IF(C373="","",IF(OR(COUNTIF($C$9:$C$2008,C373)&lt;&gt;1,COUNTIFS($D$9:$D$2008,D373,$E$9:$E$2008,E373)&lt;&gt;1),"Duplicate test",IF(COUNTIF('Taxonomy'!$C$9:$C$108,D373)&lt;&gt;1,"Assessment key",IF(OR(COUNTIF('Taxonomy Rules'!$C$42:$C$68,E373)&lt;&gt;1,F373&lt;&gt;IFERROR(INDEX('Taxonomy Rules'!$D$42:$D$68,MATCH(E373,'Taxonomy Rules'!$C$42:$C$68,0)),""),NOT(OR(IFERROR(INDEX('Taxonomy Rules'!$G$42:$G$68,MATCH(E373,'Taxonomy Rules'!$C$42:$C$68,0)),"")="All supported routes",IFERROR(INDEX('Taxonomy Rules'!$G$42:$G$68,MATCH(E373,'Taxonomy Rules'!$C$42:$C$68,0)),"")=U373,AND(IFERROR(INDEX('Taxonomy Rules'!$G$42:$G$68,MATCH(E373,'Taxonomy Rules'!$C$42:$C$68,0)),"")="Building routes",OR(U373="Building renovation",U373="New building",U373="Building equipment"))))),"Unexpected test","Valid"))))</x:f>
      </x:c>
      <x:c r="S373" s="9" t="str">
        <x:f>IF(C373="","",IFERROR(INDEX('Taxonomy Rules'!$E$42:$E$68,MATCH(E373,'Taxonomy Rules'!$C$42:$C$68,0)),""))</x:f>
      </x:c>
      <x:c r="T373" s="9" t="str">
        <x:f>IF(C373="","",IFERROR(INDEX('Taxonomy Rules'!$F$42:$F$68,MATCH(E373,'Taxonomy Rules'!$C$42:$C$68,0)),""))</x:f>
      </x:c>
      <x:c r="U373" s="9" t="str">
        <x:f>IF(C373="","",IFERROR(INDEX('Taxonomy'!$G$9:$G$108,MATCH(D373,'Taxonomy'!$C$9:$C$108,0)),""))</x:f>
      </x:c>
    </x:row>
    <x:row r="374" ht="44" customHeight="1">
      <x:c r="A374" s="1"/>
      <x:c r="B374" s="1"/>
      <x:c r="C374" s="8"/>
      <x:c r="D374" s="8"/>
      <x:c r="E374" s="8"/>
      <x:c r="F374" s="8"/>
      <x:c r="G374" s="8"/>
      <x:c r="H374" s="8"/>
      <x:c r="I374" s="8"/>
      <x:c r="J374" s="8"/>
      <x:c r="K374" s="8"/>
      <x:c r="L374" s="8"/>
      <x:c r="M374" s="10"/>
      <x:c r="N374" s="10"/>
      <x:c r="O374" s="8"/>
      <x:c r="P374" s="9" t="str">
        <x:f>IF(C374="","",IF(AND(G374="Applicable",H374="Fail"),"Fail",IF(R374&lt;&gt;"Valid","Pending",IF(OR(I374="",K374="",L374="",K374=L374,NOT(ISNUMBER(M374)),NOT(ISNUMBER(N374)),M374&gt;Settings!$F$8,N374&lt;Settings!$F$8,N374&lt;M374),"Pending",IF(AND(G374="Applicable",H374="Pass"),"Pass",IF(AND(G374="N/A",H374="N/A",J374&lt;&gt;"",OR(E374="CEM-FUELS",E374="CEM-CCS",AND(E374="CEM-PLAN",IFERROR(INDEX('Taxonomy'!$M$9:$M$108,MATCH(D374,'Taxonomy'!$C$9:$C$108,0)),"")&lt;&gt;"Amber"),E374="BLD-TIMBER",AND(U374="Building equipment",OR(E374="BLD-WATER",E374="BLD-WASTE",E374="BLD-LAND")),AND(U374="Building renovation",E374="BLD-LAND"))),"N/A","Pending"))))))</x:f>
      </x:c>
      <x:c r="Q374" s="3" t="str">
        <x:f>IF(C374="","",IF(AND(R374="Valid",OR(P374="Pass",P374="N/A")),"Complete","Unresolved"))</x:f>
      </x:c>
      <x:c r="R374" s="9" t="str">
        <x:f>IF(C374="","",IF(OR(COUNTIF($C$9:$C$2008,C374)&lt;&gt;1,COUNTIFS($D$9:$D$2008,D374,$E$9:$E$2008,E374)&lt;&gt;1),"Duplicate test",IF(COUNTIF('Taxonomy'!$C$9:$C$108,D374)&lt;&gt;1,"Assessment key",IF(OR(COUNTIF('Taxonomy Rules'!$C$42:$C$68,E374)&lt;&gt;1,F374&lt;&gt;IFERROR(INDEX('Taxonomy Rules'!$D$42:$D$68,MATCH(E374,'Taxonomy Rules'!$C$42:$C$68,0)),""),NOT(OR(IFERROR(INDEX('Taxonomy Rules'!$G$42:$G$68,MATCH(E374,'Taxonomy Rules'!$C$42:$C$68,0)),"")="All supported routes",IFERROR(INDEX('Taxonomy Rules'!$G$42:$G$68,MATCH(E374,'Taxonomy Rules'!$C$42:$C$68,0)),"")=U374,AND(IFERROR(INDEX('Taxonomy Rules'!$G$42:$G$68,MATCH(E374,'Taxonomy Rules'!$C$42:$C$68,0)),"")="Building routes",OR(U374="Building renovation",U374="New building",U374="Building equipment"))))),"Unexpected test","Valid"))))</x:f>
      </x:c>
      <x:c r="S374" s="9" t="str">
        <x:f>IF(C374="","",IFERROR(INDEX('Taxonomy Rules'!$E$42:$E$68,MATCH(E374,'Taxonomy Rules'!$C$42:$C$68,0)),""))</x:f>
      </x:c>
      <x:c r="T374" s="9" t="str">
        <x:f>IF(C374="","",IFERROR(INDEX('Taxonomy Rules'!$F$42:$F$68,MATCH(E374,'Taxonomy Rules'!$C$42:$C$68,0)),""))</x:f>
      </x:c>
      <x:c r="U374" s="9" t="str">
        <x:f>IF(C374="","",IFERROR(INDEX('Taxonomy'!$G$9:$G$108,MATCH(D374,'Taxonomy'!$C$9:$C$108,0)),""))</x:f>
      </x:c>
    </x:row>
    <x:row r="375" ht="44" customHeight="1">
      <x:c r="A375" s="1"/>
      <x:c r="B375" s="1"/>
      <x:c r="C375" s="8"/>
      <x:c r="D375" s="8"/>
      <x:c r="E375" s="8"/>
      <x:c r="F375" s="8"/>
      <x:c r="G375" s="8"/>
      <x:c r="H375" s="8"/>
      <x:c r="I375" s="8"/>
      <x:c r="J375" s="8"/>
      <x:c r="K375" s="8"/>
      <x:c r="L375" s="8"/>
      <x:c r="M375" s="10"/>
      <x:c r="N375" s="10"/>
      <x:c r="O375" s="8"/>
      <x:c r="P375" s="9" t="str">
        <x:f>IF(C375="","",IF(AND(G375="Applicable",H375="Fail"),"Fail",IF(R375&lt;&gt;"Valid","Pending",IF(OR(I375="",K375="",L375="",K375=L375,NOT(ISNUMBER(M375)),NOT(ISNUMBER(N375)),M375&gt;Settings!$F$8,N375&lt;Settings!$F$8,N375&lt;M375),"Pending",IF(AND(G375="Applicable",H375="Pass"),"Pass",IF(AND(G375="N/A",H375="N/A",J375&lt;&gt;"",OR(E375="CEM-FUELS",E375="CEM-CCS",AND(E375="CEM-PLAN",IFERROR(INDEX('Taxonomy'!$M$9:$M$108,MATCH(D375,'Taxonomy'!$C$9:$C$108,0)),"")&lt;&gt;"Amber"),E375="BLD-TIMBER",AND(U375="Building equipment",OR(E375="BLD-WATER",E375="BLD-WASTE",E375="BLD-LAND")),AND(U375="Building renovation",E375="BLD-LAND"))),"N/A","Pending"))))))</x:f>
      </x:c>
      <x:c r="Q375" s="3" t="str">
        <x:f>IF(C375="","",IF(AND(R375="Valid",OR(P375="Pass",P375="N/A")),"Complete","Unresolved"))</x:f>
      </x:c>
      <x:c r="R375" s="9" t="str">
        <x:f>IF(C375="","",IF(OR(COUNTIF($C$9:$C$2008,C375)&lt;&gt;1,COUNTIFS($D$9:$D$2008,D375,$E$9:$E$2008,E375)&lt;&gt;1),"Duplicate test",IF(COUNTIF('Taxonomy'!$C$9:$C$108,D375)&lt;&gt;1,"Assessment key",IF(OR(COUNTIF('Taxonomy Rules'!$C$42:$C$68,E375)&lt;&gt;1,F375&lt;&gt;IFERROR(INDEX('Taxonomy Rules'!$D$42:$D$68,MATCH(E375,'Taxonomy Rules'!$C$42:$C$68,0)),""),NOT(OR(IFERROR(INDEX('Taxonomy Rules'!$G$42:$G$68,MATCH(E375,'Taxonomy Rules'!$C$42:$C$68,0)),"")="All supported routes",IFERROR(INDEX('Taxonomy Rules'!$G$42:$G$68,MATCH(E375,'Taxonomy Rules'!$C$42:$C$68,0)),"")=U375,AND(IFERROR(INDEX('Taxonomy Rules'!$G$42:$G$68,MATCH(E375,'Taxonomy Rules'!$C$42:$C$68,0)),"")="Building routes",OR(U375="Building renovation",U375="New building",U375="Building equipment"))))),"Unexpected test","Valid"))))</x:f>
      </x:c>
      <x:c r="S375" s="9" t="str">
        <x:f>IF(C375="","",IFERROR(INDEX('Taxonomy Rules'!$E$42:$E$68,MATCH(E375,'Taxonomy Rules'!$C$42:$C$68,0)),""))</x:f>
      </x:c>
      <x:c r="T375" s="9" t="str">
        <x:f>IF(C375="","",IFERROR(INDEX('Taxonomy Rules'!$F$42:$F$68,MATCH(E375,'Taxonomy Rules'!$C$42:$C$68,0)),""))</x:f>
      </x:c>
      <x:c r="U375" s="9" t="str">
        <x:f>IF(C375="","",IFERROR(INDEX('Taxonomy'!$G$9:$G$108,MATCH(D375,'Taxonomy'!$C$9:$C$108,0)),""))</x:f>
      </x:c>
    </x:row>
    <x:row r="376" ht="44" customHeight="1">
      <x:c r="A376" s="1"/>
      <x:c r="B376" s="1"/>
      <x:c r="C376" s="8"/>
      <x:c r="D376" s="8"/>
      <x:c r="E376" s="8"/>
      <x:c r="F376" s="8"/>
      <x:c r="G376" s="8"/>
      <x:c r="H376" s="8"/>
      <x:c r="I376" s="8"/>
      <x:c r="J376" s="8"/>
      <x:c r="K376" s="8"/>
      <x:c r="L376" s="8"/>
      <x:c r="M376" s="10"/>
      <x:c r="N376" s="10"/>
      <x:c r="O376" s="8"/>
      <x:c r="P376" s="9" t="str">
        <x:f>IF(C376="","",IF(AND(G376="Applicable",H376="Fail"),"Fail",IF(R376&lt;&gt;"Valid","Pending",IF(OR(I376="",K376="",L376="",K376=L376,NOT(ISNUMBER(M376)),NOT(ISNUMBER(N376)),M376&gt;Settings!$F$8,N376&lt;Settings!$F$8,N376&lt;M376),"Pending",IF(AND(G376="Applicable",H376="Pass"),"Pass",IF(AND(G376="N/A",H376="N/A",J376&lt;&gt;"",OR(E376="CEM-FUELS",E376="CEM-CCS",AND(E376="CEM-PLAN",IFERROR(INDEX('Taxonomy'!$M$9:$M$108,MATCH(D376,'Taxonomy'!$C$9:$C$108,0)),"")&lt;&gt;"Amber"),E376="BLD-TIMBER",AND(U376="Building equipment",OR(E376="BLD-WATER",E376="BLD-WASTE",E376="BLD-LAND")),AND(U376="Building renovation",E376="BLD-LAND"))),"N/A","Pending"))))))</x:f>
      </x:c>
      <x:c r="Q376" s="3" t="str">
        <x:f>IF(C376="","",IF(AND(R376="Valid",OR(P376="Pass",P376="N/A")),"Complete","Unresolved"))</x:f>
      </x:c>
      <x:c r="R376" s="9" t="str">
        <x:f>IF(C376="","",IF(OR(COUNTIF($C$9:$C$2008,C376)&lt;&gt;1,COUNTIFS($D$9:$D$2008,D376,$E$9:$E$2008,E376)&lt;&gt;1),"Duplicate test",IF(COUNTIF('Taxonomy'!$C$9:$C$108,D376)&lt;&gt;1,"Assessment key",IF(OR(COUNTIF('Taxonomy Rules'!$C$42:$C$68,E376)&lt;&gt;1,F376&lt;&gt;IFERROR(INDEX('Taxonomy Rules'!$D$42:$D$68,MATCH(E376,'Taxonomy Rules'!$C$42:$C$68,0)),""),NOT(OR(IFERROR(INDEX('Taxonomy Rules'!$G$42:$G$68,MATCH(E376,'Taxonomy Rules'!$C$42:$C$68,0)),"")="All supported routes",IFERROR(INDEX('Taxonomy Rules'!$G$42:$G$68,MATCH(E376,'Taxonomy Rules'!$C$42:$C$68,0)),"")=U376,AND(IFERROR(INDEX('Taxonomy Rules'!$G$42:$G$68,MATCH(E376,'Taxonomy Rules'!$C$42:$C$68,0)),"")="Building routes",OR(U376="Building renovation",U376="New building",U376="Building equipment"))))),"Unexpected test","Valid"))))</x:f>
      </x:c>
      <x:c r="S376" s="9" t="str">
        <x:f>IF(C376="","",IFERROR(INDEX('Taxonomy Rules'!$E$42:$E$68,MATCH(E376,'Taxonomy Rules'!$C$42:$C$68,0)),""))</x:f>
      </x:c>
      <x:c r="T376" s="9" t="str">
        <x:f>IF(C376="","",IFERROR(INDEX('Taxonomy Rules'!$F$42:$F$68,MATCH(E376,'Taxonomy Rules'!$C$42:$C$68,0)),""))</x:f>
      </x:c>
      <x:c r="U376" s="9" t="str">
        <x:f>IF(C376="","",IFERROR(INDEX('Taxonomy'!$G$9:$G$108,MATCH(D376,'Taxonomy'!$C$9:$C$108,0)),""))</x:f>
      </x:c>
    </x:row>
    <x:row r="377" ht="44" customHeight="1">
      <x:c r="A377" s="1"/>
      <x:c r="B377" s="1"/>
      <x:c r="C377" s="8"/>
      <x:c r="D377" s="8"/>
      <x:c r="E377" s="8"/>
      <x:c r="F377" s="8"/>
      <x:c r="G377" s="8"/>
      <x:c r="H377" s="8"/>
      <x:c r="I377" s="8"/>
      <x:c r="J377" s="8"/>
      <x:c r="K377" s="8"/>
      <x:c r="L377" s="8"/>
      <x:c r="M377" s="10"/>
      <x:c r="N377" s="10"/>
      <x:c r="O377" s="8"/>
      <x:c r="P377" s="9" t="str">
        <x:f>IF(C377="","",IF(AND(G377="Applicable",H377="Fail"),"Fail",IF(R377&lt;&gt;"Valid","Pending",IF(OR(I377="",K377="",L377="",K377=L377,NOT(ISNUMBER(M377)),NOT(ISNUMBER(N377)),M377&gt;Settings!$F$8,N377&lt;Settings!$F$8,N377&lt;M377),"Pending",IF(AND(G377="Applicable",H377="Pass"),"Pass",IF(AND(G377="N/A",H377="N/A",J377&lt;&gt;"",OR(E377="CEM-FUELS",E377="CEM-CCS",AND(E377="CEM-PLAN",IFERROR(INDEX('Taxonomy'!$M$9:$M$108,MATCH(D377,'Taxonomy'!$C$9:$C$108,0)),"")&lt;&gt;"Amber"),E377="BLD-TIMBER",AND(U377="Building equipment",OR(E377="BLD-WATER",E377="BLD-WASTE",E377="BLD-LAND")),AND(U377="Building renovation",E377="BLD-LAND"))),"N/A","Pending"))))))</x:f>
      </x:c>
      <x:c r="Q377" s="3" t="str">
        <x:f>IF(C377="","",IF(AND(R377="Valid",OR(P377="Pass",P377="N/A")),"Complete","Unresolved"))</x:f>
      </x:c>
      <x:c r="R377" s="9" t="str">
        <x:f>IF(C377="","",IF(OR(COUNTIF($C$9:$C$2008,C377)&lt;&gt;1,COUNTIFS($D$9:$D$2008,D377,$E$9:$E$2008,E377)&lt;&gt;1),"Duplicate test",IF(COUNTIF('Taxonomy'!$C$9:$C$108,D377)&lt;&gt;1,"Assessment key",IF(OR(COUNTIF('Taxonomy Rules'!$C$42:$C$68,E377)&lt;&gt;1,F377&lt;&gt;IFERROR(INDEX('Taxonomy Rules'!$D$42:$D$68,MATCH(E377,'Taxonomy Rules'!$C$42:$C$68,0)),""),NOT(OR(IFERROR(INDEX('Taxonomy Rules'!$G$42:$G$68,MATCH(E377,'Taxonomy Rules'!$C$42:$C$68,0)),"")="All supported routes",IFERROR(INDEX('Taxonomy Rules'!$G$42:$G$68,MATCH(E377,'Taxonomy Rules'!$C$42:$C$68,0)),"")=U377,AND(IFERROR(INDEX('Taxonomy Rules'!$G$42:$G$68,MATCH(E377,'Taxonomy Rules'!$C$42:$C$68,0)),"")="Building routes",OR(U377="Building renovation",U377="New building",U377="Building equipment"))))),"Unexpected test","Valid"))))</x:f>
      </x:c>
      <x:c r="S377" s="9" t="str">
        <x:f>IF(C377="","",IFERROR(INDEX('Taxonomy Rules'!$E$42:$E$68,MATCH(E377,'Taxonomy Rules'!$C$42:$C$68,0)),""))</x:f>
      </x:c>
      <x:c r="T377" s="9" t="str">
        <x:f>IF(C377="","",IFERROR(INDEX('Taxonomy Rules'!$F$42:$F$68,MATCH(E377,'Taxonomy Rules'!$C$42:$C$68,0)),""))</x:f>
      </x:c>
      <x:c r="U377" s="9" t="str">
        <x:f>IF(C377="","",IFERROR(INDEX('Taxonomy'!$G$9:$G$108,MATCH(D377,'Taxonomy'!$C$9:$C$108,0)),""))</x:f>
      </x:c>
    </x:row>
    <x:row r="378" ht="44" customHeight="1">
      <x:c r="A378" s="1"/>
      <x:c r="B378" s="1"/>
      <x:c r="C378" s="8"/>
      <x:c r="D378" s="8"/>
      <x:c r="E378" s="8"/>
      <x:c r="F378" s="8"/>
      <x:c r="G378" s="8"/>
      <x:c r="H378" s="8"/>
      <x:c r="I378" s="8"/>
      <x:c r="J378" s="8"/>
      <x:c r="K378" s="8"/>
      <x:c r="L378" s="8"/>
      <x:c r="M378" s="10"/>
      <x:c r="N378" s="10"/>
      <x:c r="O378" s="8"/>
      <x:c r="P378" s="9" t="str">
        <x:f>IF(C378="","",IF(AND(G378="Applicable",H378="Fail"),"Fail",IF(R378&lt;&gt;"Valid","Pending",IF(OR(I378="",K378="",L378="",K378=L378,NOT(ISNUMBER(M378)),NOT(ISNUMBER(N378)),M378&gt;Settings!$F$8,N378&lt;Settings!$F$8,N378&lt;M378),"Pending",IF(AND(G378="Applicable",H378="Pass"),"Pass",IF(AND(G378="N/A",H378="N/A",J378&lt;&gt;"",OR(E378="CEM-FUELS",E378="CEM-CCS",AND(E378="CEM-PLAN",IFERROR(INDEX('Taxonomy'!$M$9:$M$108,MATCH(D378,'Taxonomy'!$C$9:$C$108,0)),"")&lt;&gt;"Amber"),E378="BLD-TIMBER",AND(U378="Building equipment",OR(E378="BLD-WATER",E378="BLD-WASTE",E378="BLD-LAND")),AND(U378="Building renovation",E378="BLD-LAND"))),"N/A","Pending"))))))</x:f>
      </x:c>
      <x:c r="Q378" s="3" t="str">
        <x:f>IF(C378="","",IF(AND(R378="Valid",OR(P378="Pass",P378="N/A")),"Complete","Unresolved"))</x:f>
      </x:c>
      <x:c r="R378" s="9" t="str">
        <x:f>IF(C378="","",IF(OR(COUNTIF($C$9:$C$2008,C378)&lt;&gt;1,COUNTIFS($D$9:$D$2008,D378,$E$9:$E$2008,E378)&lt;&gt;1),"Duplicate test",IF(COUNTIF('Taxonomy'!$C$9:$C$108,D378)&lt;&gt;1,"Assessment key",IF(OR(COUNTIF('Taxonomy Rules'!$C$42:$C$68,E378)&lt;&gt;1,F378&lt;&gt;IFERROR(INDEX('Taxonomy Rules'!$D$42:$D$68,MATCH(E378,'Taxonomy Rules'!$C$42:$C$68,0)),""),NOT(OR(IFERROR(INDEX('Taxonomy Rules'!$G$42:$G$68,MATCH(E378,'Taxonomy Rules'!$C$42:$C$68,0)),"")="All supported routes",IFERROR(INDEX('Taxonomy Rules'!$G$42:$G$68,MATCH(E378,'Taxonomy Rules'!$C$42:$C$68,0)),"")=U378,AND(IFERROR(INDEX('Taxonomy Rules'!$G$42:$G$68,MATCH(E378,'Taxonomy Rules'!$C$42:$C$68,0)),"")="Building routes",OR(U378="Building renovation",U378="New building",U378="Building equipment"))))),"Unexpected test","Valid"))))</x:f>
      </x:c>
      <x:c r="S378" s="9" t="str">
        <x:f>IF(C378="","",IFERROR(INDEX('Taxonomy Rules'!$E$42:$E$68,MATCH(E378,'Taxonomy Rules'!$C$42:$C$68,0)),""))</x:f>
      </x:c>
      <x:c r="T378" s="9" t="str">
        <x:f>IF(C378="","",IFERROR(INDEX('Taxonomy Rules'!$F$42:$F$68,MATCH(E378,'Taxonomy Rules'!$C$42:$C$68,0)),""))</x:f>
      </x:c>
      <x:c r="U378" s="9" t="str">
        <x:f>IF(C378="","",IFERROR(INDEX('Taxonomy'!$G$9:$G$108,MATCH(D378,'Taxonomy'!$C$9:$C$108,0)),""))</x:f>
      </x:c>
    </x:row>
    <x:row r="379" ht="44" customHeight="1">
      <x:c r="A379" s="1"/>
      <x:c r="B379" s="1"/>
      <x:c r="C379" s="8"/>
      <x:c r="D379" s="8"/>
      <x:c r="E379" s="8"/>
      <x:c r="F379" s="8"/>
      <x:c r="G379" s="8"/>
      <x:c r="H379" s="8"/>
      <x:c r="I379" s="8"/>
      <x:c r="J379" s="8"/>
      <x:c r="K379" s="8"/>
      <x:c r="L379" s="8"/>
      <x:c r="M379" s="10"/>
      <x:c r="N379" s="10"/>
      <x:c r="O379" s="8"/>
      <x:c r="P379" s="9" t="str">
        <x:f>IF(C379="","",IF(AND(G379="Applicable",H379="Fail"),"Fail",IF(R379&lt;&gt;"Valid","Pending",IF(OR(I379="",K379="",L379="",K379=L379,NOT(ISNUMBER(M379)),NOT(ISNUMBER(N379)),M379&gt;Settings!$F$8,N379&lt;Settings!$F$8,N379&lt;M379),"Pending",IF(AND(G379="Applicable",H379="Pass"),"Pass",IF(AND(G379="N/A",H379="N/A",J379&lt;&gt;"",OR(E379="CEM-FUELS",E379="CEM-CCS",AND(E379="CEM-PLAN",IFERROR(INDEX('Taxonomy'!$M$9:$M$108,MATCH(D379,'Taxonomy'!$C$9:$C$108,0)),"")&lt;&gt;"Amber"),E379="BLD-TIMBER",AND(U379="Building equipment",OR(E379="BLD-WATER",E379="BLD-WASTE",E379="BLD-LAND")),AND(U379="Building renovation",E379="BLD-LAND"))),"N/A","Pending"))))))</x:f>
      </x:c>
      <x:c r="Q379" s="3" t="str">
        <x:f>IF(C379="","",IF(AND(R379="Valid",OR(P379="Pass",P379="N/A")),"Complete","Unresolved"))</x:f>
      </x:c>
      <x:c r="R379" s="9" t="str">
        <x:f>IF(C379="","",IF(OR(COUNTIF($C$9:$C$2008,C379)&lt;&gt;1,COUNTIFS($D$9:$D$2008,D379,$E$9:$E$2008,E379)&lt;&gt;1),"Duplicate test",IF(COUNTIF('Taxonomy'!$C$9:$C$108,D379)&lt;&gt;1,"Assessment key",IF(OR(COUNTIF('Taxonomy Rules'!$C$42:$C$68,E379)&lt;&gt;1,F379&lt;&gt;IFERROR(INDEX('Taxonomy Rules'!$D$42:$D$68,MATCH(E379,'Taxonomy Rules'!$C$42:$C$68,0)),""),NOT(OR(IFERROR(INDEX('Taxonomy Rules'!$G$42:$G$68,MATCH(E379,'Taxonomy Rules'!$C$42:$C$68,0)),"")="All supported routes",IFERROR(INDEX('Taxonomy Rules'!$G$42:$G$68,MATCH(E379,'Taxonomy Rules'!$C$42:$C$68,0)),"")=U379,AND(IFERROR(INDEX('Taxonomy Rules'!$G$42:$G$68,MATCH(E379,'Taxonomy Rules'!$C$42:$C$68,0)),"")="Building routes",OR(U379="Building renovation",U379="New building",U379="Building equipment"))))),"Unexpected test","Valid"))))</x:f>
      </x:c>
      <x:c r="S379" s="9" t="str">
        <x:f>IF(C379="","",IFERROR(INDEX('Taxonomy Rules'!$E$42:$E$68,MATCH(E379,'Taxonomy Rules'!$C$42:$C$68,0)),""))</x:f>
      </x:c>
      <x:c r="T379" s="9" t="str">
        <x:f>IF(C379="","",IFERROR(INDEX('Taxonomy Rules'!$F$42:$F$68,MATCH(E379,'Taxonomy Rules'!$C$42:$C$68,0)),""))</x:f>
      </x:c>
      <x:c r="U379" s="9" t="str">
        <x:f>IF(C379="","",IFERROR(INDEX('Taxonomy'!$G$9:$G$108,MATCH(D379,'Taxonomy'!$C$9:$C$108,0)),""))</x:f>
      </x:c>
    </x:row>
    <x:row r="380" ht="44" customHeight="1">
      <x:c r="A380" s="1"/>
      <x:c r="B380" s="1"/>
      <x:c r="C380" s="8"/>
      <x:c r="D380" s="8"/>
      <x:c r="E380" s="8"/>
      <x:c r="F380" s="8"/>
      <x:c r="G380" s="8"/>
      <x:c r="H380" s="8"/>
      <x:c r="I380" s="8"/>
      <x:c r="J380" s="8"/>
      <x:c r="K380" s="8"/>
      <x:c r="L380" s="8"/>
      <x:c r="M380" s="10"/>
      <x:c r="N380" s="10"/>
      <x:c r="O380" s="8"/>
      <x:c r="P380" s="9" t="str">
        <x:f>IF(C380="","",IF(AND(G380="Applicable",H380="Fail"),"Fail",IF(R380&lt;&gt;"Valid","Pending",IF(OR(I380="",K380="",L380="",K380=L380,NOT(ISNUMBER(M380)),NOT(ISNUMBER(N380)),M380&gt;Settings!$F$8,N380&lt;Settings!$F$8,N380&lt;M380),"Pending",IF(AND(G380="Applicable",H380="Pass"),"Pass",IF(AND(G380="N/A",H380="N/A",J380&lt;&gt;"",OR(E380="CEM-FUELS",E380="CEM-CCS",AND(E380="CEM-PLAN",IFERROR(INDEX('Taxonomy'!$M$9:$M$108,MATCH(D380,'Taxonomy'!$C$9:$C$108,0)),"")&lt;&gt;"Amber"),E380="BLD-TIMBER",AND(U380="Building equipment",OR(E380="BLD-WATER",E380="BLD-WASTE",E380="BLD-LAND")),AND(U380="Building renovation",E380="BLD-LAND"))),"N/A","Pending"))))))</x:f>
      </x:c>
      <x:c r="Q380" s="3" t="str">
        <x:f>IF(C380="","",IF(AND(R380="Valid",OR(P380="Pass",P380="N/A")),"Complete","Unresolved"))</x:f>
      </x:c>
      <x:c r="R380" s="9" t="str">
        <x:f>IF(C380="","",IF(OR(COUNTIF($C$9:$C$2008,C380)&lt;&gt;1,COUNTIFS($D$9:$D$2008,D380,$E$9:$E$2008,E380)&lt;&gt;1),"Duplicate test",IF(COUNTIF('Taxonomy'!$C$9:$C$108,D380)&lt;&gt;1,"Assessment key",IF(OR(COUNTIF('Taxonomy Rules'!$C$42:$C$68,E380)&lt;&gt;1,F380&lt;&gt;IFERROR(INDEX('Taxonomy Rules'!$D$42:$D$68,MATCH(E380,'Taxonomy Rules'!$C$42:$C$68,0)),""),NOT(OR(IFERROR(INDEX('Taxonomy Rules'!$G$42:$G$68,MATCH(E380,'Taxonomy Rules'!$C$42:$C$68,0)),"")="All supported routes",IFERROR(INDEX('Taxonomy Rules'!$G$42:$G$68,MATCH(E380,'Taxonomy Rules'!$C$42:$C$68,0)),"")=U380,AND(IFERROR(INDEX('Taxonomy Rules'!$G$42:$G$68,MATCH(E380,'Taxonomy Rules'!$C$42:$C$68,0)),"")="Building routes",OR(U380="Building renovation",U380="New building",U380="Building equipment"))))),"Unexpected test","Valid"))))</x:f>
      </x:c>
      <x:c r="S380" s="9" t="str">
        <x:f>IF(C380="","",IFERROR(INDEX('Taxonomy Rules'!$E$42:$E$68,MATCH(E380,'Taxonomy Rules'!$C$42:$C$68,0)),""))</x:f>
      </x:c>
      <x:c r="T380" s="9" t="str">
        <x:f>IF(C380="","",IFERROR(INDEX('Taxonomy Rules'!$F$42:$F$68,MATCH(E380,'Taxonomy Rules'!$C$42:$C$68,0)),""))</x:f>
      </x:c>
      <x:c r="U380" s="9" t="str">
        <x:f>IF(C380="","",IFERROR(INDEX('Taxonomy'!$G$9:$G$108,MATCH(D380,'Taxonomy'!$C$9:$C$108,0)),""))</x:f>
      </x:c>
    </x:row>
    <x:row r="381" ht="44" customHeight="1">
      <x:c r="A381" s="1"/>
      <x:c r="B381" s="1"/>
      <x:c r="C381" s="8"/>
      <x:c r="D381" s="8"/>
      <x:c r="E381" s="8"/>
      <x:c r="F381" s="8"/>
      <x:c r="G381" s="8"/>
      <x:c r="H381" s="8"/>
      <x:c r="I381" s="8"/>
      <x:c r="J381" s="8"/>
      <x:c r="K381" s="8"/>
      <x:c r="L381" s="8"/>
      <x:c r="M381" s="10"/>
      <x:c r="N381" s="10"/>
      <x:c r="O381" s="8"/>
      <x:c r="P381" s="9" t="str">
        <x:f>IF(C381="","",IF(AND(G381="Applicable",H381="Fail"),"Fail",IF(R381&lt;&gt;"Valid","Pending",IF(OR(I381="",K381="",L381="",K381=L381,NOT(ISNUMBER(M381)),NOT(ISNUMBER(N381)),M381&gt;Settings!$F$8,N381&lt;Settings!$F$8,N381&lt;M381),"Pending",IF(AND(G381="Applicable",H381="Pass"),"Pass",IF(AND(G381="N/A",H381="N/A",J381&lt;&gt;"",OR(E381="CEM-FUELS",E381="CEM-CCS",AND(E381="CEM-PLAN",IFERROR(INDEX('Taxonomy'!$M$9:$M$108,MATCH(D381,'Taxonomy'!$C$9:$C$108,0)),"")&lt;&gt;"Amber"),E381="BLD-TIMBER",AND(U381="Building equipment",OR(E381="BLD-WATER",E381="BLD-WASTE",E381="BLD-LAND")),AND(U381="Building renovation",E381="BLD-LAND"))),"N/A","Pending"))))))</x:f>
      </x:c>
      <x:c r="Q381" s="3" t="str">
        <x:f>IF(C381="","",IF(AND(R381="Valid",OR(P381="Pass",P381="N/A")),"Complete","Unresolved"))</x:f>
      </x:c>
      <x:c r="R381" s="9" t="str">
        <x:f>IF(C381="","",IF(OR(COUNTIF($C$9:$C$2008,C381)&lt;&gt;1,COUNTIFS($D$9:$D$2008,D381,$E$9:$E$2008,E381)&lt;&gt;1),"Duplicate test",IF(COUNTIF('Taxonomy'!$C$9:$C$108,D381)&lt;&gt;1,"Assessment key",IF(OR(COUNTIF('Taxonomy Rules'!$C$42:$C$68,E381)&lt;&gt;1,F381&lt;&gt;IFERROR(INDEX('Taxonomy Rules'!$D$42:$D$68,MATCH(E381,'Taxonomy Rules'!$C$42:$C$68,0)),""),NOT(OR(IFERROR(INDEX('Taxonomy Rules'!$G$42:$G$68,MATCH(E381,'Taxonomy Rules'!$C$42:$C$68,0)),"")="All supported routes",IFERROR(INDEX('Taxonomy Rules'!$G$42:$G$68,MATCH(E381,'Taxonomy Rules'!$C$42:$C$68,0)),"")=U381,AND(IFERROR(INDEX('Taxonomy Rules'!$G$42:$G$68,MATCH(E381,'Taxonomy Rules'!$C$42:$C$68,0)),"")="Building routes",OR(U381="Building renovation",U381="New building",U381="Building equipment"))))),"Unexpected test","Valid"))))</x:f>
      </x:c>
      <x:c r="S381" s="9" t="str">
        <x:f>IF(C381="","",IFERROR(INDEX('Taxonomy Rules'!$E$42:$E$68,MATCH(E381,'Taxonomy Rules'!$C$42:$C$68,0)),""))</x:f>
      </x:c>
      <x:c r="T381" s="9" t="str">
        <x:f>IF(C381="","",IFERROR(INDEX('Taxonomy Rules'!$F$42:$F$68,MATCH(E381,'Taxonomy Rules'!$C$42:$C$68,0)),""))</x:f>
      </x:c>
      <x:c r="U381" s="9" t="str">
        <x:f>IF(C381="","",IFERROR(INDEX('Taxonomy'!$G$9:$G$108,MATCH(D381,'Taxonomy'!$C$9:$C$108,0)),""))</x:f>
      </x:c>
    </x:row>
    <x:row r="382" ht="44" customHeight="1">
      <x:c r="A382" s="1"/>
      <x:c r="B382" s="1"/>
      <x:c r="C382" s="8"/>
      <x:c r="D382" s="8"/>
      <x:c r="E382" s="8"/>
      <x:c r="F382" s="8"/>
      <x:c r="G382" s="8"/>
      <x:c r="H382" s="8"/>
      <x:c r="I382" s="8"/>
      <x:c r="J382" s="8"/>
      <x:c r="K382" s="8"/>
      <x:c r="L382" s="8"/>
      <x:c r="M382" s="10"/>
      <x:c r="N382" s="10"/>
      <x:c r="O382" s="8"/>
      <x:c r="P382" s="9" t="str">
        <x:f>IF(C382="","",IF(AND(G382="Applicable",H382="Fail"),"Fail",IF(R382&lt;&gt;"Valid","Pending",IF(OR(I382="",K382="",L382="",K382=L382,NOT(ISNUMBER(M382)),NOT(ISNUMBER(N382)),M382&gt;Settings!$F$8,N382&lt;Settings!$F$8,N382&lt;M382),"Pending",IF(AND(G382="Applicable",H382="Pass"),"Pass",IF(AND(G382="N/A",H382="N/A",J382&lt;&gt;"",OR(E382="CEM-FUELS",E382="CEM-CCS",AND(E382="CEM-PLAN",IFERROR(INDEX('Taxonomy'!$M$9:$M$108,MATCH(D382,'Taxonomy'!$C$9:$C$108,0)),"")&lt;&gt;"Amber"),E382="BLD-TIMBER",AND(U382="Building equipment",OR(E382="BLD-WATER",E382="BLD-WASTE",E382="BLD-LAND")),AND(U382="Building renovation",E382="BLD-LAND"))),"N/A","Pending"))))))</x:f>
      </x:c>
      <x:c r="Q382" s="3" t="str">
        <x:f>IF(C382="","",IF(AND(R382="Valid",OR(P382="Pass",P382="N/A")),"Complete","Unresolved"))</x:f>
      </x:c>
      <x:c r="R382" s="9" t="str">
        <x:f>IF(C382="","",IF(OR(COUNTIF($C$9:$C$2008,C382)&lt;&gt;1,COUNTIFS($D$9:$D$2008,D382,$E$9:$E$2008,E382)&lt;&gt;1),"Duplicate test",IF(COUNTIF('Taxonomy'!$C$9:$C$108,D382)&lt;&gt;1,"Assessment key",IF(OR(COUNTIF('Taxonomy Rules'!$C$42:$C$68,E382)&lt;&gt;1,F382&lt;&gt;IFERROR(INDEX('Taxonomy Rules'!$D$42:$D$68,MATCH(E382,'Taxonomy Rules'!$C$42:$C$68,0)),""),NOT(OR(IFERROR(INDEX('Taxonomy Rules'!$G$42:$G$68,MATCH(E382,'Taxonomy Rules'!$C$42:$C$68,0)),"")="All supported routes",IFERROR(INDEX('Taxonomy Rules'!$G$42:$G$68,MATCH(E382,'Taxonomy Rules'!$C$42:$C$68,0)),"")=U382,AND(IFERROR(INDEX('Taxonomy Rules'!$G$42:$G$68,MATCH(E382,'Taxonomy Rules'!$C$42:$C$68,0)),"")="Building routes",OR(U382="Building renovation",U382="New building",U382="Building equipment"))))),"Unexpected test","Valid"))))</x:f>
      </x:c>
      <x:c r="S382" s="9" t="str">
        <x:f>IF(C382="","",IFERROR(INDEX('Taxonomy Rules'!$E$42:$E$68,MATCH(E382,'Taxonomy Rules'!$C$42:$C$68,0)),""))</x:f>
      </x:c>
      <x:c r="T382" s="9" t="str">
        <x:f>IF(C382="","",IFERROR(INDEX('Taxonomy Rules'!$F$42:$F$68,MATCH(E382,'Taxonomy Rules'!$C$42:$C$68,0)),""))</x:f>
      </x:c>
      <x:c r="U382" s="9" t="str">
        <x:f>IF(C382="","",IFERROR(INDEX('Taxonomy'!$G$9:$G$108,MATCH(D382,'Taxonomy'!$C$9:$C$108,0)),""))</x:f>
      </x:c>
    </x:row>
    <x:row r="383" ht="44" customHeight="1">
      <x:c r="A383" s="1"/>
      <x:c r="B383" s="1"/>
      <x:c r="C383" s="8"/>
      <x:c r="D383" s="8"/>
      <x:c r="E383" s="8"/>
      <x:c r="F383" s="8"/>
      <x:c r="G383" s="8"/>
      <x:c r="H383" s="8"/>
      <x:c r="I383" s="8"/>
      <x:c r="J383" s="8"/>
      <x:c r="K383" s="8"/>
      <x:c r="L383" s="8"/>
      <x:c r="M383" s="10"/>
      <x:c r="N383" s="10"/>
      <x:c r="O383" s="8"/>
      <x:c r="P383" s="9" t="str">
        <x:f>IF(C383="","",IF(AND(G383="Applicable",H383="Fail"),"Fail",IF(R383&lt;&gt;"Valid","Pending",IF(OR(I383="",K383="",L383="",K383=L383,NOT(ISNUMBER(M383)),NOT(ISNUMBER(N383)),M383&gt;Settings!$F$8,N383&lt;Settings!$F$8,N383&lt;M383),"Pending",IF(AND(G383="Applicable",H383="Pass"),"Pass",IF(AND(G383="N/A",H383="N/A",J383&lt;&gt;"",OR(E383="CEM-FUELS",E383="CEM-CCS",AND(E383="CEM-PLAN",IFERROR(INDEX('Taxonomy'!$M$9:$M$108,MATCH(D383,'Taxonomy'!$C$9:$C$108,0)),"")&lt;&gt;"Amber"),E383="BLD-TIMBER",AND(U383="Building equipment",OR(E383="BLD-WATER",E383="BLD-WASTE",E383="BLD-LAND")),AND(U383="Building renovation",E383="BLD-LAND"))),"N/A","Pending"))))))</x:f>
      </x:c>
      <x:c r="Q383" s="3" t="str">
        <x:f>IF(C383="","",IF(AND(R383="Valid",OR(P383="Pass",P383="N/A")),"Complete","Unresolved"))</x:f>
      </x:c>
      <x:c r="R383" s="9" t="str">
        <x:f>IF(C383="","",IF(OR(COUNTIF($C$9:$C$2008,C383)&lt;&gt;1,COUNTIFS($D$9:$D$2008,D383,$E$9:$E$2008,E383)&lt;&gt;1),"Duplicate test",IF(COUNTIF('Taxonomy'!$C$9:$C$108,D383)&lt;&gt;1,"Assessment key",IF(OR(COUNTIF('Taxonomy Rules'!$C$42:$C$68,E383)&lt;&gt;1,F383&lt;&gt;IFERROR(INDEX('Taxonomy Rules'!$D$42:$D$68,MATCH(E383,'Taxonomy Rules'!$C$42:$C$68,0)),""),NOT(OR(IFERROR(INDEX('Taxonomy Rules'!$G$42:$G$68,MATCH(E383,'Taxonomy Rules'!$C$42:$C$68,0)),"")="All supported routes",IFERROR(INDEX('Taxonomy Rules'!$G$42:$G$68,MATCH(E383,'Taxonomy Rules'!$C$42:$C$68,0)),"")=U383,AND(IFERROR(INDEX('Taxonomy Rules'!$G$42:$G$68,MATCH(E383,'Taxonomy Rules'!$C$42:$C$68,0)),"")="Building routes",OR(U383="Building renovation",U383="New building",U383="Building equipment"))))),"Unexpected test","Valid"))))</x:f>
      </x:c>
      <x:c r="S383" s="9" t="str">
        <x:f>IF(C383="","",IFERROR(INDEX('Taxonomy Rules'!$E$42:$E$68,MATCH(E383,'Taxonomy Rules'!$C$42:$C$68,0)),""))</x:f>
      </x:c>
      <x:c r="T383" s="9" t="str">
        <x:f>IF(C383="","",IFERROR(INDEX('Taxonomy Rules'!$F$42:$F$68,MATCH(E383,'Taxonomy Rules'!$C$42:$C$68,0)),""))</x:f>
      </x:c>
      <x:c r="U383" s="9" t="str">
        <x:f>IF(C383="","",IFERROR(INDEX('Taxonomy'!$G$9:$G$108,MATCH(D383,'Taxonomy'!$C$9:$C$108,0)),""))</x:f>
      </x:c>
    </x:row>
    <x:row r="384" ht="44" customHeight="1">
      <x:c r="A384" s="1"/>
      <x:c r="B384" s="1"/>
      <x:c r="C384" s="8"/>
      <x:c r="D384" s="8"/>
      <x:c r="E384" s="8"/>
      <x:c r="F384" s="8"/>
      <x:c r="G384" s="8"/>
      <x:c r="H384" s="8"/>
      <x:c r="I384" s="8"/>
      <x:c r="J384" s="8"/>
      <x:c r="K384" s="8"/>
      <x:c r="L384" s="8"/>
      <x:c r="M384" s="10"/>
      <x:c r="N384" s="10"/>
      <x:c r="O384" s="8"/>
      <x:c r="P384" s="9" t="str">
        <x:f>IF(C384="","",IF(AND(G384="Applicable",H384="Fail"),"Fail",IF(R384&lt;&gt;"Valid","Pending",IF(OR(I384="",K384="",L384="",K384=L384,NOT(ISNUMBER(M384)),NOT(ISNUMBER(N384)),M384&gt;Settings!$F$8,N384&lt;Settings!$F$8,N384&lt;M384),"Pending",IF(AND(G384="Applicable",H384="Pass"),"Pass",IF(AND(G384="N/A",H384="N/A",J384&lt;&gt;"",OR(E384="CEM-FUELS",E384="CEM-CCS",AND(E384="CEM-PLAN",IFERROR(INDEX('Taxonomy'!$M$9:$M$108,MATCH(D384,'Taxonomy'!$C$9:$C$108,0)),"")&lt;&gt;"Amber"),E384="BLD-TIMBER",AND(U384="Building equipment",OR(E384="BLD-WATER",E384="BLD-WASTE",E384="BLD-LAND")),AND(U384="Building renovation",E384="BLD-LAND"))),"N/A","Pending"))))))</x:f>
      </x:c>
      <x:c r="Q384" s="3" t="str">
        <x:f>IF(C384="","",IF(AND(R384="Valid",OR(P384="Pass",P384="N/A")),"Complete","Unresolved"))</x:f>
      </x:c>
      <x:c r="R384" s="9" t="str">
        <x:f>IF(C384="","",IF(OR(COUNTIF($C$9:$C$2008,C384)&lt;&gt;1,COUNTIFS($D$9:$D$2008,D384,$E$9:$E$2008,E384)&lt;&gt;1),"Duplicate test",IF(COUNTIF('Taxonomy'!$C$9:$C$108,D384)&lt;&gt;1,"Assessment key",IF(OR(COUNTIF('Taxonomy Rules'!$C$42:$C$68,E384)&lt;&gt;1,F384&lt;&gt;IFERROR(INDEX('Taxonomy Rules'!$D$42:$D$68,MATCH(E384,'Taxonomy Rules'!$C$42:$C$68,0)),""),NOT(OR(IFERROR(INDEX('Taxonomy Rules'!$G$42:$G$68,MATCH(E384,'Taxonomy Rules'!$C$42:$C$68,0)),"")="All supported routes",IFERROR(INDEX('Taxonomy Rules'!$G$42:$G$68,MATCH(E384,'Taxonomy Rules'!$C$42:$C$68,0)),"")=U384,AND(IFERROR(INDEX('Taxonomy Rules'!$G$42:$G$68,MATCH(E384,'Taxonomy Rules'!$C$42:$C$68,0)),"")="Building routes",OR(U384="Building renovation",U384="New building",U384="Building equipment"))))),"Unexpected test","Valid"))))</x:f>
      </x:c>
      <x:c r="S384" s="9" t="str">
        <x:f>IF(C384="","",IFERROR(INDEX('Taxonomy Rules'!$E$42:$E$68,MATCH(E384,'Taxonomy Rules'!$C$42:$C$68,0)),""))</x:f>
      </x:c>
      <x:c r="T384" s="9" t="str">
        <x:f>IF(C384="","",IFERROR(INDEX('Taxonomy Rules'!$F$42:$F$68,MATCH(E384,'Taxonomy Rules'!$C$42:$C$68,0)),""))</x:f>
      </x:c>
      <x:c r="U384" s="9" t="str">
        <x:f>IF(C384="","",IFERROR(INDEX('Taxonomy'!$G$9:$G$108,MATCH(D384,'Taxonomy'!$C$9:$C$108,0)),""))</x:f>
      </x:c>
    </x:row>
    <x:row r="385" ht="44" customHeight="1">
      <x:c r="A385" s="1"/>
      <x:c r="B385" s="1"/>
      <x:c r="C385" s="8"/>
      <x:c r="D385" s="8"/>
      <x:c r="E385" s="8"/>
      <x:c r="F385" s="8"/>
      <x:c r="G385" s="8"/>
      <x:c r="H385" s="8"/>
      <x:c r="I385" s="8"/>
      <x:c r="J385" s="8"/>
      <x:c r="K385" s="8"/>
      <x:c r="L385" s="8"/>
      <x:c r="M385" s="10"/>
      <x:c r="N385" s="10"/>
      <x:c r="O385" s="8"/>
      <x:c r="P385" s="9" t="str">
        <x:f>IF(C385="","",IF(AND(G385="Applicable",H385="Fail"),"Fail",IF(R385&lt;&gt;"Valid","Pending",IF(OR(I385="",K385="",L385="",K385=L385,NOT(ISNUMBER(M385)),NOT(ISNUMBER(N385)),M385&gt;Settings!$F$8,N385&lt;Settings!$F$8,N385&lt;M385),"Pending",IF(AND(G385="Applicable",H385="Pass"),"Pass",IF(AND(G385="N/A",H385="N/A",J385&lt;&gt;"",OR(E385="CEM-FUELS",E385="CEM-CCS",AND(E385="CEM-PLAN",IFERROR(INDEX('Taxonomy'!$M$9:$M$108,MATCH(D385,'Taxonomy'!$C$9:$C$108,0)),"")&lt;&gt;"Amber"),E385="BLD-TIMBER",AND(U385="Building equipment",OR(E385="BLD-WATER",E385="BLD-WASTE",E385="BLD-LAND")),AND(U385="Building renovation",E385="BLD-LAND"))),"N/A","Pending"))))))</x:f>
      </x:c>
      <x:c r="Q385" s="3" t="str">
        <x:f>IF(C385="","",IF(AND(R385="Valid",OR(P385="Pass",P385="N/A")),"Complete","Unresolved"))</x:f>
      </x:c>
      <x:c r="R385" s="9" t="str">
        <x:f>IF(C385="","",IF(OR(COUNTIF($C$9:$C$2008,C385)&lt;&gt;1,COUNTIFS($D$9:$D$2008,D385,$E$9:$E$2008,E385)&lt;&gt;1),"Duplicate test",IF(COUNTIF('Taxonomy'!$C$9:$C$108,D385)&lt;&gt;1,"Assessment key",IF(OR(COUNTIF('Taxonomy Rules'!$C$42:$C$68,E385)&lt;&gt;1,F385&lt;&gt;IFERROR(INDEX('Taxonomy Rules'!$D$42:$D$68,MATCH(E385,'Taxonomy Rules'!$C$42:$C$68,0)),""),NOT(OR(IFERROR(INDEX('Taxonomy Rules'!$G$42:$G$68,MATCH(E385,'Taxonomy Rules'!$C$42:$C$68,0)),"")="All supported routes",IFERROR(INDEX('Taxonomy Rules'!$G$42:$G$68,MATCH(E385,'Taxonomy Rules'!$C$42:$C$68,0)),"")=U385,AND(IFERROR(INDEX('Taxonomy Rules'!$G$42:$G$68,MATCH(E385,'Taxonomy Rules'!$C$42:$C$68,0)),"")="Building routes",OR(U385="Building renovation",U385="New building",U385="Building equipment"))))),"Unexpected test","Valid"))))</x:f>
      </x:c>
      <x:c r="S385" s="9" t="str">
        <x:f>IF(C385="","",IFERROR(INDEX('Taxonomy Rules'!$E$42:$E$68,MATCH(E385,'Taxonomy Rules'!$C$42:$C$68,0)),""))</x:f>
      </x:c>
      <x:c r="T385" s="9" t="str">
        <x:f>IF(C385="","",IFERROR(INDEX('Taxonomy Rules'!$F$42:$F$68,MATCH(E385,'Taxonomy Rules'!$C$42:$C$68,0)),""))</x:f>
      </x:c>
      <x:c r="U385" s="9" t="str">
        <x:f>IF(C385="","",IFERROR(INDEX('Taxonomy'!$G$9:$G$108,MATCH(D385,'Taxonomy'!$C$9:$C$108,0)),""))</x:f>
      </x:c>
    </x:row>
    <x:row r="386" ht="44" customHeight="1">
      <x:c r="A386" s="1"/>
      <x:c r="B386" s="1"/>
      <x:c r="C386" s="8"/>
      <x:c r="D386" s="8"/>
      <x:c r="E386" s="8"/>
      <x:c r="F386" s="8"/>
      <x:c r="G386" s="8"/>
      <x:c r="H386" s="8"/>
      <x:c r="I386" s="8"/>
      <x:c r="J386" s="8"/>
      <x:c r="K386" s="8"/>
      <x:c r="L386" s="8"/>
      <x:c r="M386" s="10"/>
      <x:c r="N386" s="10"/>
      <x:c r="O386" s="8"/>
      <x:c r="P386" s="9" t="str">
        <x:f>IF(C386="","",IF(AND(G386="Applicable",H386="Fail"),"Fail",IF(R386&lt;&gt;"Valid","Pending",IF(OR(I386="",K386="",L386="",K386=L386,NOT(ISNUMBER(M386)),NOT(ISNUMBER(N386)),M386&gt;Settings!$F$8,N386&lt;Settings!$F$8,N386&lt;M386),"Pending",IF(AND(G386="Applicable",H386="Pass"),"Pass",IF(AND(G386="N/A",H386="N/A",J386&lt;&gt;"",OR(E386="CEM-FUELS",E386="CEM-CCS",AND(E386="CEM-PLAN",IFERROR(INDEX('Taxonomy'!$M$9:$M$108,MATCH(D386,'Taxonomy'!$C$9:$C$108,0)),"")&lt;&gt;"Amber"),E386="BLD-TIMBER",AND(U386="Building equipment",OR(E386="BLD-WATER",E386="BLD-WASTE",E386="BLD-LAND")),AND(U386="Building renovation",E386="BLD-LAND"))),"N/A","Pending"))))))</x:f>
      </x:c>
      <x:c r="Q386" s="3" t="str">
        <x:f>IF(C386="","",IF(AND(R386="Valid",OR(P386="Pass",P386="N/A")),"Complete","Unresolved"))</x:f>
      </x:c>
      <x:c r="R386" s="9" t="str">
        <x:f>IF(C386="","",IF(OR(COUNTIF($C$9:$C$2008,C386)&lt;&gt;1,COUNTIFS($D$9:$D$2008,D386,$E$9:$E$2008,E386)&lt;&gt;1),"Duplicate test",IF(COUNTIF('Taxonomy'!$C$9:$C$108,D386)&lt;&gt;1,"Assessment key",IF(OR(COUNTIF('Taxonomy Rules'!$C$42:$C$68,E386)&lt;&gt;1,F386&lt;&gt;IFERROR(INDEX('Taxonomy Rules'!$D$42:$D$68,MATCH(E386,'Taxonomy Rules'!$C$42:$C$68,0)),""),NOT(OR(IFERROR(INDEX('Taxonomy Rules'!$G$42:$G$68,MATCH(E386,'Taxonomy Rules'!$C$42:$C$68,0)),"")="All supported routes",IFERROR(INDEX('Taxonomy Rules'!$G$42:$G$68,MATCH(E386,'Taxonomy Rules'!$C$42:$C$68,0)),"")=U386,AND(IFERROR(INDEX('Taxonomy Rules'!$G$42:$G$68,MATCH(E386,'Taxonomy Rules'!$C$42:$C$68,0)),"")="Building routes",OR(U386="Building renovation",U386="New building",U386="Building equipment"))))),"Unexpected test","Valid"))))</x:f>
      </x:c>
      <x:c r="S386" s="9" t="str">
        <x:f>IF(C386="","",IFERROR(INDEX('Taxonomy Rules'!$E$42:$E$68,MATCH(E386,'Taxonomy Rules'!$C$42:$C$68,0)),""))</x:f>
      </x:c>
      <x:c r="T386" s="9" t="str">
        <x:f>IF(C386="","",IFERROR(INDEX('Taxonomy Rules'!$F$42:$F$68,MATCH(E386,'Taxonomy Rules'!$C$42:$C$68,0)),""))</x:f>
      </x:c>
      <x:c r="U386" s="9" t="str">
        <x:f>IF(C386="","",IFERROR(INDEX('Taxonomy'!$G$9:$G$108,MATCH(D386,'Taxonomy'!$C$9:$C$108,0)),""))</x:f>
      </x:c>
    </x:row>
    <x:row r="387" ht="44" customHeight="1">
      <x:c r="A387" s="1"/>
      <x:c r="B387" s="1"/>
      <x:c r="C387" s="8"/>
      <x:c r="D387" s="8"/>
      <x:c r="E387" s="8"/>
      <x:c r="F387" s="8"/>
      <x:c r="G387" s="8"/>
      <x:c r="H387" s="8"/>
      <x:c r="I387" s="8"/>
      <x:c r="J387" s="8"/>
      <x:c r="K387" s="8"/>
      <x:c r="L387" s="8"/>
      <x:c r="M387" s="10"/>
      <x:c r="N387" s="10"/>
      <x:c r="O387" s="8"/>
      <x:c r="P387" s="9" t="str">
        <x:f>IF(C387="","",IF(AND(G387="Applicable",H387="Fail"),"Fail",IF(R387&lt;&gt;"Valid","Pending",IF(OR(I387="",K387="",L387="",K387=L387,NOT(ISNUMBER(M387)),NOT(ISNUMBER(N387)),M387&gt;Settings!$F$8,N387&lt;Settings!$F$8,N387&lt;M387),"Pending",IF(AND(G387="Applicable",H387="Pass"),"Pass",IF(AND(G387="N/A",H387="N/A",J387&lt;&gt;"",OR(E387="CEM-FUELS",E387="CEM-CCS",AND(E387="CEM-PLAN",IFERROR(INDEX('Taxonomy'!$M$9:$M$108,MATCH(D387,'Taxonomy'!$C$9:$C$108,0)),"")&lt;&gt;"Amber"),E387="BLD-TIMBER",AND(U387="Building equipment",OR(E387="BLD-WATER",E387="BLD-WASTE",E387="BLD-LAND")),AND(U387="Building renovation",E387="BLD-LAND"))),"N/A","Pending"))))))</x:f>
      </x:c>
      <x:c r="Q387" s="3" t="str">
        <x:f>IF(C387="","",IF(AND(R387="Valid",OR(P387="Pass",P387="N/A")),"Complete","Unresolved"))</x:f>
      </x:c>
      <x:c r="R387" s="9" t="str">
        <x:f>IF(C387="","",IF(OR(COUNTIF($C$9:$C$2008,C387)&lt;&gt;1,COUNTIFS($D$9:$D$2008,D387,$E$9:$E$2008,E387)&lt;&gt;1),"Duplicate test",IF(COUNTIF('Taxonomy'!$C$9:$C$108,D387)&lt;&gt;1,"Assessment key",IF(OR(COUNTIF('Taxonomy Rules'!$C$42:$C$68,E387)&lt;&gt;1,F387&lt;&gt;IFERROR(INDEX('Taxonomy Rules'!$D$42:$D$68,MATCH(E387,'Taxonomy Rules'!$C$42:$C$68,0)),""),NOT(OR(IFERROR(INDEX('Taxonomy Rules'!$G$42:$G$68,MATCH(E387,'Taxonomy Rules'!$C$42:$C$68,0)),"")="All supported routes",IFERROR(INDEX('Taxonomy Rules'!$G$42:$G$68,MATCH(E387,'Taxonomy Rules'!$C$42:$C$68,0)),"")=U387,AND(IFERROR(INDEX('Taxonomy Rules'!$G$42:$G$68,MATCH(E387,'Taxonomy Rules'!$C$42:$C$68,0)),"")="Building routes",OR(U387="Building renovation",U387="New building",U387="Building equipment"))))),"Unexpected test","Valid"))))</x:f>
      </x:c>
      <x:c r="S387" s="9" t="str">
        <x:f>IF(C387="","",IFERROR(INDEX('Taxonomy Rules'!$E$42:$E$68,MATCH(E387,'Taxonomy Rules'!$C$42:$C$68,0)),""))</x:f>
      </x:c>
      <x:c r="T387" s="9" t="str">
        <x:f>IF(C387="","",IFERROR(INDEX('Taxonomy Rules'!$F$42:$F$68,MATCH(E387,'Taxonomy Rules'!$C$42:$C$68,0)),""))</x:f>
      </x:c>
      <x:c r="U387" s="9" t="str">
        <x:f>IF(C387="","",IFERROR(INDEX('Taxonomy'!$G$9:$G$108,MATCH(D387,'Taxonomy'!$C$9:$C$108,0)),""))</x:f>
      </x:c>
    </x:row>
    <x:row r="388" ht="44" customHeight="1">
      <x:c r="A388" s="1"/>
      <x:c r="B388" s="1"/>
      <x:c r="C388" s="8"/>
      <x:c r="D388" s="8"/>
      <x:c r="E388" s="8"/>
      <x:c r="F388" s="8"/>
      <x:c r="G388" s="8"/>
      <x:c r="H388" s="8"/>
      <x:c r="I388" s="8"/>
      <x:c r="J388" s="8"/>
      <x:c r="K388" s="8"/>
      <x:c r="L388" s="8"/>
      <x:c r="M388" s="10"/>
      <x:c r="N388" s="10"/>
      <x:c r="O388" s="8"/>
      <x:c r="P388" s="9" t="str">
        <x:f>IF(C388="","",IF(AND(G388="Applicable",H388="Fail"),"Fail",IF(R388&lt;&gt;"Valid","Pending",IF(OR(I388="",K388="",L388="",K388=L388,NOT(ISNUMBER(M388)),NOT(ISNUMBER(N388)),M388&gt;Settings!$F$8,N388&lt;Settings!$F$8,N388&lt;M388),"Pending",IF(AND(G388="Applicable",H388="Pass"),"Pass",IF(AND(G388="N/A",H388="N/A",J388&lt;&gt;"",OR(E388="CEM-FUELS",E388="CEM-CCS",AND(E388="CEM-PLAN",IFERROR(INDEX('Taxonomy'!$M$9:$M$108,MATCH(D388,'Taxonomy'!$C$9:$C$108,0)),"")&lt;&gt;"Amber"),E388="BLD-TIMBER",AND(U388="Building equipment",OR(E388="BLD-WATER",E388="BLD-WASTE",E388="BLD-LAND")),AND(U388="Building renovation",E388="BLD-LAND"))),"N/A","Pending"))))))</x:f>
      </x:c>
      <x:c r="Q388" s="3" t="str">
        <x:f>IF(C388="","",IF(AND(R388="Valid",OR(P388="Pass",P388="N/A")),"Complete","Unresolved"))</x:f>
      </x:c>
      <x:c r="R388" s="9" t="str">
        <x:f>IF(C388="","",IF(OR(COUNTIF($C$9:$C$2008,C388)&lt;&gt;1,COUNTIFS($D$9:$D$2008,D388,$E$9:$E$2008,E388)&lt;&gt;1),"Duplicate test",IF(COUNTIF('Taxonomy'!$C$9:$C$108,D388)&lt;&gt;1,"Assessment key",IF(OR(COUNTIF('Taxonomy Rules'!$C$42:$C$68,E388)&lt;&gt;1,F388&lt;&gt;IFERROR(INDEX('Taxonomy Rules'!$D$42:$D$68,MATCH(E388,'Taxonomy Rules'!$C$42:$C$68,0)),""),NOT(OR(IFERROR(INDEX('Taxonomy Rules'!$G$42:$G$68,MATCH(E388,'Taxonomy Rules'!$C$42:$C$68,0)),"")="All supported routes",IFERROR(INDEX('Taxonomy Rules'!$G$42:$G$68,MATCH(E388,'Taxonomy Rules'!$C$42:$C$68,0)),"")=U388,AND(IFERROR(INDEX('Taxonomy Rules'!$G$42:$G$68,MATCH(E388,'Taxonomy Rules'!$C$42:$C$68,0)),"")="Building routes",OR(U388="Building renovation",U388="New building",U388="Building equipment"))))),"Unexpected test","Valid"))))</x:f>
      </x:c>
      <x:c r="S388" s="9" t="str">
        <x:f>IF(C388="","",IFERROR(INDEX('Taxonomy Rules'!$E$42:$E$68,MATCH(E388,'Taxonomy Rules'!$C$42:$C$68,0)),""))</x:f>
      </x:c>
      <x:c r="T388" s="9" t="str">
        <x:f>IF(C388="","",IFERROR(INDEX('Taxonomy Rules'!$F$42:$F$68,MATCH(E388,'Taxonomy Rules'!$C$42:$C$68,0)),""))</x:f>
      </x:c>
      <x:c r="U388" s="9" t="str">
        <x:f>IF(C388="","",IFERROR(INDEX('Taxonomy'!$G$9:$G$108,MATCH(D388,'Taxonomy'!$C$9:$C$108,0)),""))</x:f>
      </x:c>
    </x:row>
    <x:row r="389" ht="44" customHeight="1">
      <x:c r="A389" s="1"/>
      <x:c r="B389" s="1"/>
      <x:c r="C389" s="8"/>
      <x:c r="D389" s="8"/>
      <x:c r="E389" s="8"/>
      <x:c r="F389" s="8"/>
      <x:c r="G389" s="8"/>
      <x:c r="H389" s="8"/>
      <x:c r="I389" s="8"/>
      <x:c r="J389" s="8"/>
      <x:c r="K389" s="8"/>
      <x:c r="L389" s="8"/>
      <x:c r="M389" s="10"/>
      <x:c r="N389" s="10"/>
      <x:c r="O389" s="8"/>
      <x:c r="P389" s="9" t="str">
        <x:f>IF(C389="","",IF(AND(G389="Applicable",H389="Fail"),"Fail",IF(R389&lt;&gt;"Valid","Pending",IF(OR(I389="",K389="",L389="",K389=L389,NOT(ISNUMBER(M389)),NOT(ISNUMBER(N389)),M389&gt;Settings!$F$8,N389&lt;Settings!$F$8,N389&lt;M389),"Pending",IF(AND(G389="Applicable",H389="Pass"),"Pass",IF(AND(G389="N/A",H389="N/A",J389&lt;&gt;"",OR(E389="CEM-FUELS",E389="CEM-CCS",AND(E389="CEM-PLAN",IFERROR(INDEX('Taxonomy'!$M$9:$M$108,MATCH(D389,'Taxonomy'!$C$9:$C$108,0)),"")&lt;&gt;"Amber"),E389="BLD-TIMBER",AND(U389="Building equipment",OR(E389="BLD-WATER",E389="BLD-WASTE",E389="BLD-LAND")),AND(U389="Building renovation",E389="BLD-LAND"))),"N/A","Pending"))))))</x:f>
      </x:c>
      <x:c r="Q389" s="3" t="str">
        <x:f>IF(C389="","",IF(AND(R389="Valid",OR(P389="Pass",P389="N/A")),"Complete","Unresolved"))</x:f>
      </x:c>
      <x:c r="R389" s="9" t="str">
        <x:f>IF(C389="","",IF(OR(COUNTIF($C$9:$C$2008,C389)&lt;&gt;1,COUNTIFS($D$9:$D$2008,D389,$E$9:$E$2008,E389)&lt;&gt;1),"Duplicate test",IF(COUNTIF('Taxonomy'!$C$9:$C$108,D389)&lt;&gt;1,"Assessment key",IF(OR(COUNTIF('Taxonomy Rules'!$C$42:$C$68,E389)&lt;&gt;1,F389&lt;&gt;IFERROR(INDEX('Taxonomy Rules'!$D$42:$D$68,MATCH(E389,'Taxonomy Rules'!$C$42:$C$68,0)),""),NOT(OR(IFERROR(INDEX('Taxonomy Rules'!$G$42:$G$68,MATCH(E389,'Taxonomy Rules'!$C$42:$C$68,0)),"")="All supported routes",IFERROR(INDEX('Taxonomy Rules'!$G$42:$G$68,MATCH(E389,'Taxonomy Rules'!$C$42:$C$68,0)),"")=U389,AND(IFERROR(INDEX('Taxonomy Rules'!$G$42:$G$68,MATCH(E389,'Taxonomy Rules'!$C$42:$C$68,0)),"")="Building routes",OR(U389="Building renovation",U389="New building",U389="Building equipment"))))),"Unexpected test","Valid"))))</x:f>
      </x:c>
      <x:c r="S389" s="9" t="str">
        <x:f>IF(C389="","",IFERROR(INDEX('Taxonomy Rules'!$E$42:$E$68,MATCH(E389,'Taxonomy Rules'!$C$42:$C$68,0)),""))</x:f>
      </x:c>
      <x:c r="T389" s="9" t="str">
        <x:f>IF(C389="","",IFERROR(INDEX('Taxonomy Rules'!$F$42:$F$68,MATCH(E389,'Taxonomy Rules'!$C$42:$C$68,0)),""))</x:f>
      </x:c>
      <x:c r="U389" s="9" t="str">
        <x:f>IF(C389="","",IFERROR(INDEX('Taxonomy'!$G$9:$G$108,MATCH(D389,'Taxonomy'!$C$9:$C$108,0)),""))</x:f>
      </x:c>
    </x:row>
    <x:row r="390" ht="44" customHeight="1">
      <x:c r="A390" s="1"/>
      <x:c r="B390" s="1"/>
      <x:c r="C390" s="8"/>
      <x:c r="D390" s="8"/>
      <x:c r="E390" s="8"/>
      <x:c r="F390" s="8"/>
      <x:c r="G390" s="8"/>
      <x:c r="H390" s="8"/>
      <x:c r="I390" s="8"/>
      <x:c r="J390" s="8"/>
      <x:c r="K390" s="8"/>
      <x:c r="L390" s="8"/>
      <x:c r="M390" s="10"/>
      <x:c r="N390" s="10"/>
      <x:c r="O390" s="8"/>
      <x:c r="P390" s="9" t="str">
        <x:f>IF(C390="","",IF(AND(G390="Applicable",H390="Fail"),"Fail",IF(R390&lt;&gt;"Valid","Pending",IF(OR(I390="",K390="",L390="",K390=L390,NOT(ISNUMBER(M390)),NOT(ISNUMBER(N390)),M390&gt;Settings!$F$8,N390&lt;Settings!$F$8,N390&lt;M390),"Pending",IF(AND(G390="Applicable",H390="Pass"),"Pass",IF(AND(G390="N/A",H390="N/A",J390&lt;&gt;"",OR(E390="CEM-FUELS",E390="CEM-CCS",AND(E390="CEM-PLAN",IFERROR(INDEX('Taxonomy'!$M$9:$M$108,MATCH(D390,'Taxonomy'!$C$9:$C$108,0)),"")&lt;&gt;"Amber"),E390="BLD-TIMBER",AND(U390="Building equipment",OR(E390="BLD-WATER",E390="BLD-WASTE",E390="BLD-LAND")),AND(U390="Building renovation",E390="BLD-LAND"))),"N/A","Pending"))))))</x:f>
      </x:c>
      <x:c r="Q390" s="3" t="str">
        <x:f>IF(C390="","",IF(AND(R390="Valid",OR(P390="Pass",P390="N/A")),"Complete","Unresolved"))</x:f>
      </x:c>
      <x:c r="R390" s="9" t="str">
        <x:f>IF(C390="","",IF(OR(COUNTIF($C$9:$C$2008,C390)&lt;&gt;1,COUNTIFS($D$9:$D$2008,D390,$E$9:$E$2008,E390)&lt;&gt;1),"Duplicate test",IF(COUNTIF('Taxonomy'!$C$9:$C$108,D390)&lt;&gt;1,"Assessment key",IF(OR(COUNTIF('Taxonomy Rules'!$C$42:$C$68,E390)&lt;&gt;1,F390&lt;&gt;IFERROR(INDEX('Taxonomy Rules'!$D$42:$D$68,MATCH(E390,'Taxonomy Rules'!$C$42:$C$68,0)),""),NOT(OR(IFERROR(INDEX('Taxonomy Rules'!$G$42:$G$68,MATCH(E390,'Taxonomy Rules'!$C$42:$C$68,0)),"")="All supported routes",IFERROR(INDEX('Taxonomy Rules'!$G$42:$G$68,MATCH(E390,'Taxonomy Rules'!$C$42:$C$68,0)),"")=U390,AND(IFERROR(INDEX('Taxonomy Rules'!$G$42:$G$68,MATCH(E390,'Taxonomy Rules'!$C$42:$C$68,0)),"")="Building routes",OR(U390="Building renovation",U390="New building",U390="Building equipment"))))),"Unexpected test","Valid"))))</x:f>
      </x:c>
      <x:c r="S390" s="9" t="str">
        <x:f>IF(C390="","",IFERROR(INDEX('Taxonomy Rules'!$E$42:$E$68,MATCH(E390,'Taxonomy Rules'!$C$42:$C$68,0)),""))</x:f>
      </x:c>
      <x:c r="T390" s="9" t="str">
        <x:f>IF(C390="","",IFERROR(INDEX('Taxonomy Rules'!$F$42:$F$68,MATCH(E390,'Taxonomy Rules'!$C$42:$C$68,0)),""))</x:f>
      </x:c>
      <x:c r="U390" s="9" t="str">
        <x:f>IF(C390="","",IFERROR(INDEX('Taxonomy'!$G$9:$G$108,MATCH(D390,'Taxonomy'!$C$9:$C$108,0)),""))</x:f>
      </x:c>
    </x:row>
    <x:row r="391" ht="44" customHeight="1">
      <x:c r="A391" s="1"/>
      <x:c r="B391" s="1"/>
      <x:c r="C391" s="8"/>
      <x:c r="D391" s="8"/>
      <x:c r="E391" s="8"/>
      <x:c r="F391" s="8"/>
      <x:c r="G391" s="8"/>
      <x:c r="H391" s="8"/>
      <x:c r="I391" s="8"/>
      <x:c r="J391" s="8"/>
      <x:c r="K391" s="8"/>
      <x:c r="L391" s="8"/>
      <x:c r="M391" s="10"/>
      <x:c r="N391" s="10"/>
      <x:c r="O391" s="8"/>
      <x:c r="P391" s="9" t="str">
        <x:f>IF(C391="","",IF(AND(G391="Applicable",H391="Fail"),"Fail",IF(R391&lt;&gt;"Valid","Pending",IF(OR(I391="",K391="",L391="",K391=L391,NOT(ISNUMBER(M391)),NOT(ISNUMBER(N391)),M391&gt;Settings!$F$8,N391&lt;Settings!$F$8,N391&lt;M391),"Pending",IF(AND(G391="Applicable",H391="Pass"),"Pass",IF(AND(G391="N/A",H391="N/A",J391&lt;&gt;"",OR(E391="CEM-FUELS",E391="CEM-CCS",AND(E391="CEM-PLAN",IFERROR(INDEX('Taxonomy'!$M$9:$M$108,MATCH(D391,'Taxonomy'!$C$9:$C$108,0)),"")&lt;&gt;"Amber"),E391="BLD-TIMBER",AND(U391="Building equipment",OR(E391="BLD-WATER",E391="BLD-WASTE",E391="BLD-LAND")),AND(U391="Building renovation",E391="BLD-LAND"))),"N/A","Pending"))))))</x:f>
      </x:c>
      <x:c r="Q391" s="3" t="str">
        <x:f>IF(C391="","",IF(AND(R391="Valid",OR(P391="Pass",P391="N/A")),"Complete","Unresolved"))</x:f>
      </x:c>
      <x:c r="R391" s="9" t="str">
        <x:f>IF(C391="","",IF(OR(COUNTIF($C$9:$C$2008,C391)&lt;&gt;1,COUNTIFS($D$9:$D$2008,D391,$E$9:$E$2008,E391)&lt;&gt;1),"Duplicate test",IF(COUNTIF('Taxonomy'!$C$9:$C$108,D391)&lt;&gt;1,"Assessment key",IF(OR(COUNTIF('Taxonomy Rules'!$C$42:$C$68,E391)&lt;&gt;1,F391&lt;&gt;IFERROR(INDEX('Taxonomy Rules'!$D$42:$D$68,MATCH(E391,'Taxonomy Rules'!$C$42:$C$68,0)),""),NOT(OR(IFERROR(INDEX('Taxonomy Rules'!$G$42:$G$68,MATCH(E391,'Taxonomy Rules'!$C$42:$C$68,0)),"")="All supported routes",IFERROR(INDEX('Taxonomy Rules'!$G$42:$G$68,MATCH(E391,'Taxonomy Rules'!$C$42:$C$68,0)),"")=U391,AND(IFERROR(INDEX('Taxonomy Rules'!$G$42:$G$68,MATCH(E391,'Taxonomy Rules'!$C$42:$C$68,0)),"")="Building routes",OR(U391="Building renovation",U391="New building",U391="Building equipment"))))),"Unexpected test","Valid"))))</x:f>
      </x:c>
      <x:c r="S391" s="9" t="str">
        <x:f>IF(C391="","",IFERROR(INDEX('Taxonomy Rules'!$E$42:$E$68,MATCH(E391,'Taxonomy Rules'!$C$42:$C$68,0)),""))</x:f>
      </x:c>
      <x:c r="T391" s="9" t="str">
        <x:f>IF(C391="","",IFERROR(INDEX('Taxonomy Rules'!$F$42:$F$68,MATCH(E391,'Taxonomy Rules'!$C$42:$C$68,0)),""))</x:f>
      </x:c>
      <x:c r="U391" s="9" t="str">
        <x:f>IF(C391="","",IFERROR(INDEX('Taxonomy'!$G$9:$G$108,MATCH(D391,'Taxonomy'!$C$9:$C$108,0)),""))</x:f>
      </x:c>
    </x:row>
    <x:row r="392" ht="44" customHeight="1">
      <x:c r="A392" s="1"/>
      <x:c r="B392" s="1"/>
      <x:c r="C392" s="8"/>
      <x:c r="D392" s="8"/>
      <x:c r="E392" s="8"/>
      <x:c r="F392" s="8"/>
      <x:c r="G392" s="8"/>
      <x:c r="H392" s="8"/>
      <x:c r="I392" s="8"/>
      <x:c r="J392" s="8"/>
      <x:c r="K392" s="8"/>
      <x:c r="L392" s="8"/>
      <x:c r="M392" s="10"/>
      <x:c r="N392" s="10"/>
      <x:c r="O392" s="8"/>
      <x:c r="P392" s="9" t="str">
        <x:f>IF(C392="","",IF(AND(G392="Applicable",H392="Fail"),"Fail",IF(R392&lt;&gt;"Valid","Pending",IF(OR(I392="",K392="",L392="",K392=L392,NOT(ISNUMBER(M392)),NOT(ISNUMBER(N392)),M392&gt;Settings!$F$8,N392&lt;Settings!$F$8,N392&lt;M392),"Pending",IF(AND(G392="Applicable",H392="Pass"),"Pass",IF(AND(G392="N/A",H392="N/A",J392&lt;&gt;"",OR(E392="CEM-FUELS",E392="CEM-CCS",AND(E392="CEM-PLAN",IFERROR(INDEX('Taxonomy'!$M$9:$M$108,MATCH(D392,'Taxonomy'!$C$9:$C$108,0)),"")&lt;&gt;"Amber"),E392="BLD-TIMBER",AND(U392="Building equipment",OR(E392="BLD-WATER",E392="BLD-WASTE",E392="BLD-LAND")),AND(U392="Building renovation",E392="BLD-LAND"))),"N/A","Pending"))))))</x:f>
      </x:c>
      <x:c r="Q392" s="3" t="str">
        <x:f>IF(C392="","",IF(AND(R392="Valid",OR(P392="Pass",P392="N/A")),"Complete","Unresolved"))</x:f>
      </x:c>
      <x:c r="R392" s="9" t="str">
        <x:f>IF(C392="","",IF(OR(COUNTIF($C$9:$C$2008,C392)&lt;&gt;1,COUNTIFS($D$9:$D$2008,D392,$E$9:$E$2008,E392)&lt;&gt;1),"Duplicate test",IF(COUNTIF('Taxonomy'!$C$9:$C$108,D392)&lt;&gt;1,"Assessment key",IF(OR(COUNTIF('Taxonomy Rules'!$C$42:$C$68,E392)&lt;&gt;1,F392&lt;&gt;IFERROR(INDEX('Taxonomy Rules'!$D$42:$D$68,MATCH(E392,'Taxonomy Rules'!$C$42:$C$68,0)),""),NOT(OR(IFERROR(INDEX('Taxonomy Rules'!$G$42:$G$68,MATCH(E392,'Taxonomy Rules'!$C$42:$C$68,0)),"")="All supported routes",IFERROR(INDEX('Taxonomy Rules'!$G$42:$G$68,MATCH(E392,'Taxonomy Rules'!$C$42:$C$68,0)),"")=U392,AND(IFERROR(INDEX('Taxonomy Rules'!$G$42:$G$68,MATCH(E392,'Taxonomy Rules'!$C$42:$C$68,0)),"")="Building routes",OR(U392="Building renovation",U392="New building",U392="Building equipment"))))),"Unexpected test","Valid"))))</x:f>
      </x:c>
      <x:c r="S392" s="9" t="str">
        <x:f>IF(C392="","",IFERROR(INDEX('Taxonomy Rules'!$E$42:$E$68,MATCH(E392,'Taxonomy Rules'!$C$42:$C$68,0)),""))</x:f>
      </x:c>
      <x:c r="T392" s="9" t="str">
        <x:f>IF(C392="","",IFERROR(INDEX('Taxonomy Rules'!$F$42:$F$68,MATCH(E392,'Taxonomy Rules'!$C$42:$C$68,0)),""))</x:f>
      </x:c>
      <x:c r="U392" s="9" t="str">
        <x:f>IF(C392="","",IFERROR(INDEX('Taxonomy'!$G$9:$G$108,MATCH(D392,'Taxonomy'!$C$9:$C$108,0)),""))</x:f>
      </x:c>
    </x:row>
    <x:row r="393" ht="44" customHeight="1">
      <x:c r="A393" s="1"/>
      <x:c r="B393" s="1"/>
      <x:c r="C393" s="8"/>
      <x:c r="D393" s="8"/>
      <x:c r="E393" s="8"/>
      <x:c r="F393" s="8"/>
      <x:c r="G393" s="8"/>
      <x:c r="H393" s="8"/>
      <x:c r="I393" s="8"/>
      <x:c r="J393" s="8"/>
      <x:c r="K393" s="8"/>
      <x:c r="L393" s="8"/>
      <x:c r="M393" s="10"/>
      <x:c r="N393" s="10"/>
      <x:c r="O393" s="8"/>
      <x:c r="P393" s="9" t="str">
        <x:f>IF(C393="","",IF(AND(G393="Applicable",H393="Fail"),"Fail",IF(R393&lt;&gt;"Valid","Pending",IF(OR(I393="",K393="",L393="",K393=L393,NOT(ISNUMBER(M393)),NOT(ISNUMBER(N393)),M393&gt;Settings!$F$8,N393&lt;Settings!$F$8,N393&lt;M393),"Pending",IF(AND(G393="Applicable",H393="Pass"),"Pass",IF(AND(G393="N/A",H393="N/A",J393&lt;&gt;"",OR(E393="CEM-FUELS",E393="CEM-CCS",AND(E393="CEM-PLAN",IFERROR(INDEX('Taxonomy'!$M$9:$M$108,MATCH(D393,'Taxonomy'!$C$9:$C$108,0)),"")&lt;&gt;"Amber"),E393="BLD-TIMBER",AND(U393="Building equipment",OR(E393="BLD-WATER",E393="BLD-WASTE",E393="BLD-LAND")),AND(U393="Building renovation",E393="BLD-LAND"))),"N/A","Pending"))))))</x:f>
      </x:c>
      <x:c r="Q393" s="3" t="str">
        <x:f>IF(C393="","",IF(AND(R393="Valid",OR(P393="Pass",P393="N/A")),"Complete","Unresolved"))</x:f>
      </x:c>
      <x:c r="R393" s="9" t="str">
        <x:f>IF(C393="","",IF(OR(COUNTIF($C$9:$C$2008,C393)&lt;&gt;1,COUNTIFS($D$9:$D$2008,D393,$E$9:$E$2008,E393)&lt;&gt;1),"Duplicate test",IF(COUNTIF('Taxonomy'!$C$9:$C$108,D393)&lt;&gt;1,"Assessment key",IF(OR(COUNTIF('Taxonomy Rules'!$C$42:$C$68,E393)&lt;&gt;1,F393&lt;&gt;IFERROR(INDEX('Taxonomy Rules'!$D$42:$D$68,MATCH(E393,'Taxonomy Rules'!$C$42:$C$68,0)),""),NOT(OR(IFERROR(INDEX('Taxonomy Rules'!$G$42:$G$68,MATCH(E393,'Taxonomy Rules'!$C$42:$C$68,0)),"")="All supported routes",IFERROR(INDEX('Taxonomy Rules'!$G$42:$G$68,MATCH(E393,'Taxonomy Rules'!$C$42:$C$68,0)),"")=U393,AND(IFERROR(INDEX('Taxonomy Rules'!$G$42:$G$68,MATCH(E393,'Taxonomy Rules'!$C$42:$C$68,0)),"")="Building routes",OR(U393="Building renovation",U393="New building",U393="Building equipment"))))),"Unexpected test","Valid"))))</x:f>
      </x:c>
      <x:c r="S393" s="9" t="str">
        <x:f>IF(C393="","",IFERROR(INDEX('Taxonomy Rules'!$E$42:$E$68,MATCH(E393,'Taxonomy Rules'!$C$42:$C$68,0)),""))</x:f>
      </x:c>
      <x:c r="T393" s="9" t="str">
        <x:f>IF(C393="","",IFERROR(INDEX('Taxonomy Rules'!$F$42:$F$68,MATCH(E393,'Taxonomy Rules'!$C$42:$C$68,0)),""))</x:f>
      </x:c>
      <x:c r="U393" s="9" t="str">
        <x:f>IF(C393="","",IFERROR(INDEX('Taxonomy'!$G$9:$G$108,MATCH(D393,'Taxonomy'!$C$9:$C$108,0)),""))</x:f>
      </x:c>
    </x:row>
    <x:row r="394" ht="44" customHeight="1">
      <x:c r="A394" s="1"/>
      <x:c r="B394" s="1"/>
      <x:c r="C394" s="8"/>
      <x:c r="D394" s="8"/>
      <x:c r="E394" s="8"/>
      <x:c r="F394" s="8"/>
      <x:c r="G394" s="8"/>
      <x:c r="H394" s="8"/>
      <x:c r="I394" s="8"/>
      <x:c r="J394" s="8"/>
      <x:c r="K394" s="8"/>
      <x:c r="L394" s="8"/>
      <x:c r="M394" s="10"/>
      <x:c r="N394" s="10"/>
      <x:c r="O394" s="8"/>
      <x:c r="P394" s="9" t="str">
        <x:f>IF(C394="","",IF(AND(G394="Applicable",H394="Fail"),"Fail",IF(R394&lt;&gt;"Valid","Pending",IF(OR(I394="",K394="",L394="",K394=L394,NOT(ISNUMBER(M394)),NOT(ISNUMBER(N394)),M394&gt;Settings!$F$8,N394&lt;Settings!$F$8,N394&lt;M394),"Pending",IF(AND(G394="Applicable",H394="Pass"),"Pass",IF(AND(G394="N/A",H394="N/A",J394&lt;&gt;"",OR(E394="CEM-FUELS",E394="CEM-CCS",AND(E394="CEM-PLAN",IFERROR(INDEX('Taxonomy'!$M$9:$M$108,MATCH(D394,'Taxonomy'!$C$9:$C$108,0)),"")&lt;&gt;"Amber"),E394="BLD-TIMBER",AND(U394="Building equipment",OR(E394="BLD-WATER",E394="BLD-WASTE",E394="BLD-LAND")),AND(U394="Building renovation",E394="BLD-LAND"))),"N/A","Pending"))))))</x:f>
      </x:c>
      <x:c r="Q394" s="3" t="str">
        <x:f>IF(C394="","",IF(AND(R394="Valid",OR(P394="Pass",P394="N/A")),"Complete","Unresolved"))</x:f>
      </x:c>
      <x:c r="R394" s="9" t="str">
        <x:f>IF(C394="","",IF(OR(COUNTIF($C$9:$C$2008,C394)&lt;&gt;1,COUNTIFS($D$9:$D$2008,D394,$E$9:$E$2008,E394)&lt;&gt;1),"Duplicate test",IF(COUNTIF('Taxonomy'!$C$9:$C$108,D394)&lt;&gt;1,"Assessment key",IF(OR(COUNTIF('Taxonomy Rules'!$C$42:$C$68,E394)&lt;&gt;1,F394&lt;&gt;IFERROR(INDEX('Taxonomy Rules'!$D$42:$D$68,MATCH(E394,'Taxonomy Rules'!$C$42:$C$68,0)),""),NOT(OR(IFERROR(INDEX('Taxonomy Rules'!$G$42:$G$68,MATCH(E394,'Taxonomy Rules'!$C$42:$C$68,0)),"")="All supported routes",IFERROR(INDEX('Taxonomy Rules'!$G$42:$G$68,MATCH(E394,'Taxonomy Rules'!$C$42:$C$68,0)),"")=U394,AND(IFERROR(INDEX('Taxonomy Rules'!$G$42:$G$68,MATCH(E394,'Taxonomy Rules'!$C$42:$C$68,0)),"")="Building routes",OR(U394="Building renovation",U394="New building",U394="Building equipment"))))),"Unexpected test","Valid"))))</x:f>
      </x:c>
      <x:c r="S394" s="9" t="str">
        <x:f>IF(C394="","",IFERROR(INDEX('Taxonomy Rules'!$E$42:$E$68,MATCH(E394,'Taxonomy Rules'!$C$42:$C$68,0)),""))</x:f>
      </x:c>
      <x:c r="T394" s="9" t="str">
        <x:f>IF(C394="","",IFERROR(INDEX('Taxonomy Rules'!$F$42:$F$68,MATCH(E394,'Taxonomy Rules'!$C$42:$C$68,0)),""))</x:f>
      </x:c>
      <x:c r="U394" s="9" t="str">
        <x:f>IF(C394="","",IFERROR(INDEX('Taxonomy'!$G$9:$G$108,MATCH(D394,'Taxonomy'!$C$9:$C$108,0)),""))</x:f>
      </x:c>
    </x:row>
    <x:row r="395" ht="44" customHeight="1">
      <x:c r="A395" s="1"/>
      <x:c r="B395" s="1"/>
      <x:c r="C395" s="8"/>
      <x:c r="D395" s="8"/>
      <x:c r="E395" s="8"/>
      <x:c r="F395" s="8"/>
      <x:c r="G395" s="8"/>
      <x:c r="H395" s="8"/>
      <x:c r="I395" s="8"/>
      <x:c r="J395" s="8"/>
      <x:c r="K395" s="8"/>
      <x:c r="L395" s="8"/>
      <x:c r="M395" s="10"/>
      <x:c r="N395" s="10"/>
      <x:c r="O395" s="8"/>
      <x:c r="P395" s="9" t="str">
        <x:f>IF(C395="","",IF(AND(G395="Applicable",H395="Fail"),"Fail",IF(R395&lt;&gt;"Valid","Pending",IF(OR(I395="",K395="",L395="",K395=L395,NOT(ISNUMBER(M395)),NOT(ISNUMBER(N395)),M395&gt;Settings!$F$8,N395&lt;Settings!$F$8,N395&lt;M395),"Pending",IF(AND(G395="Applicable",H395="Pass"),"Pass",IF(AND(G395="N/A",H395="N/A",J395&lt;&gt;"",OR(E395="CEM-FUELS",E395="CEM-CCS",AND(E395="CEM-PLAN",IFERROR(INDEX('Taxonomy'!$M$9:$M$108,MATCH(D395,'Taxonomy'!$C$9:$C$108,0)),"")&lt;&gt;"Amber"),E395="BLD-TIMBER",AND(U395="Building equipment",OR(E395="BLD-WATER",E395="BLD-WASTE",E395="BLD-LAND")),AND(U395="Building renovation",E395="BLD-LAND"))),"N/A","Pending"))))))</x:f>
      </x:c>
      <x:c r="Q395" s="3" t="str">
        <x:f>IF(C395="","",IF(AND(R395="Valid",OR(P395="Pass",P395="N/A")),"Complete","Unresolved"))</x:f>
      </x:c>
      <x:c r="R395" s="9" t="str">
        <x:f>IF(C395="","",IF(OR(COUNTIF($C$9:$C$2008,C395)&lt;&gt;1,COUNTIFS($D$9:$D$2008,D395,$E$9:$E$2008,E395)&lt;&gt;1),"Duplicate test",IF(COUNTIF('Taxonomy'!$C$9:$C$108,D395)&lt;&gt;1,"Assessment key",IF(OR(COUNTIF('Taxonomy Rules'!$C$42:$C$68,E395)&lt;&gt;1,F395&lt;&gt;IFERROR(INDEX('Taxonomy Rules'!$D$42:$D$68,MATCH(E395,'Taxonomy Rules'!$C$42:$C$68,0)),""),NOT(OR(IFERROR(INDEX('Taxonomy Rules'!$G$42:$G$68,MATCH(E395,'Taxonomy Rules'!$C$42:$C$68,0)),"")="All supported routes",IFERROR(INDEX('Taxonomy Rules'!$G$42:$G$68,MATCH(E395,'Taxonomy Rules'!$C$42:$C$68,0)),"")=U395,AND(IFERROR(INDEX('Taxonomy Rules'!$G$42:$G$68,MATCH(E395,'Taxonomy Rules'!$C$42:$C$68,0)),"")="Building routes",OR(U395="Building renovation",U395="New building",U395="Building equipment"))))),"Unexpected test","Valid"))))</x:f>
      </x:c>
      <x:c r="S395" s="9" t="str">
        <x:f>IF(C395="","",IFERROR(INDEX('Taxonomy Rules'!$E$42:$E$68,MATCH(E395,'Taxonomy Rules'!$C$42:$C$68,0)),""))</x:f>
      </x:c>
      <x:c r="T395" s="9" t="str">
        <x:f>IF(C395="","",IFERROR(INDEX('Taxonomy Rules'!$F$42:$F$68,MATCH(E395,'Taxonomy Rules'!$C$42:$C$68,0)),""))</x:f>
      </x:c>
      <x:c r="U395" s="9" t="str">
        <x:f>IF(C395="","",IFERROR(INDEX('Taxonomy'!$G$9:$G$108,MATCH(D395,'Taxonomy'!$C$9:$C$108,0)),""))</x:f>
      </x:c>
    </x:row>
    <x:row r="396" ht="44" customHeight="1">
      <x:c r="A396" s="1"/>
      <x:c r="B396" s="1"/>
      <x:c r="C396" s="8"/>
      <x:c r="D396" s="8"/>
      <x:c r="E396" s="8"/>
      <x:c r="F396" s="8"/>
      <x:c r="G396" s="8"/>
      <x:c r="H396" s="8"/>
      <x:c r="I396" s="8"/>
      <x:c r="J396" s="8"/>
      <x:c r="K396" s="8"/>
      <x:c r="L396" s="8"/>
      <x:c r="M396" s="10"/>
      <x:c r="N396" s="10"/>
      <x:c r="O396" s="8"/>
      <x:c r="P396" s="9" t="str">
        <x:f>IF(C396="","",IF(AND(G396="Applicable",H396="Fail"),"Fail",IF(R396&lt;&gt;"Valid","Pending",IF(OR(I396="",K396="",L396="",K396=L396,NOT(ISNUMBER(M396)),NOT(ISNUMBER(N396)),M396&gt;Settings!$F$8,N396&lt;Settings!$F$8,N396&lt;M396),"Pending",IF(AND(G396="Applicable",H396="Pass"),"Pass",IF(AND(G396="N/A",H396="N/A",J396&lt;&gt;"",OR(E396="CEM-FUELS",E396="CEM-CCS",AND(E396="CEM-PLAN",IFERROR(INDEX('Taxonomy'!$M$9:$M$108,MATCH(D396,'Taxonomy'!$C$9:$C$108,0)),"")&lt;&gt;"Amber"),E396="BLD-TIMBER",AND(U396="Building equipment",OR(E396="BLD-WATER",E396="BLD-WASTE",E396="BLD-LAND")),AND(U396="Building renovation",E396="BLD-LAND"))),"N/A","Pending"))))))</x:f>
      </x:c>
      <x:c r="Q396" s="3" t="str">
        <x:f>IF(C396="","",IF(AND(R396="Valid",OR(P396="Pass",P396="N/A")),"Complete","Unresolved"))</x:f>
      </x:c>
      <x:c r="R396" s="9" t="str">
        <x:f>IF(C396="","",IF(OR(COUNTIF($C$9:$C$2008,C396)&lt;&gt;1,COUNTIFS($D$9:$D$2008,D396,$E$9:$E$2008,E396)&lt;&gt;1),"Duplicate test",IF(COUNTIF('Taxonomy'!$C$9:$C$108,D396)&lt;&gt;1,"Assessment key",IF(OR(COUNTIF('Taxonomy Rules'!$C$42:$C$68,E396)&lt;&gt;1,F396&lt;&gt;IFERROR(INDEX('Taxonomy Rules'!$D$42:$D$68,MATCH(E396,'Taxonomy Rules'!$C$42:$C$68,0)),""),NOT(OR(IFERROR(INDEX('Taxonomy Rules'!$G$42:$G$68,MATCH(E396,'Taxonomy Rules'!$C$42:$C$68,0)),"")="All supported routes",IFERROR(INDEX('Taxonomy Rules'!$G$42:$G$68,MATCH(E396,'Taxonomy Rules'!$C$42:$C$68,0)),"")=U396,AND(IFERROR(INDEX('Taxonomy Rules'!$G$42:$G$68,MATCH(E396,'Taxonomy Rules'!$C$42:$C$68,0)),"")="Building routes",OR(U396="Building renovation",U396="New building",U396="Building equipment"))))),"Unexpected test","Valid"))))</x:f>
      </x:c>
      <x:c r="S396" s="9" t="str">
        <x:f>IF(C396="","",IFERROR(INDEX('Taxonomy Rules'!$E$42:$E$68,MATCH(E396,'Taxonomy Rules'!$C$42:$C$68,0)),""))</x:f>
      </x:c>
      <x:c r="T396" s="9" t="str">
        <x:f>IF(C396="","",IFERROR(INDEX('Taxonomy Rules'!$F$42:$F$68,MATCH(E396,'Taxonomy Rules'!$C$42:$C$68,0)),""))</x:f>
      </x:c>
      <x:c r="U396" s="9" t="str">
        <x:f>IF(C396="","",IFERROR(INDEX('Taxonomy'!$G$9:$G$108,MATCH(D396,'Taxonomy'!$C$9:$C$108,0)),""))</x:f>
      </x:c>
    </x:row>
    <x:row r="397" ht="44" customHeight="1">
      <x:c r="A397" s="1"/>
      <x:c r="B397" s="1"/>
      <x:c r="C397" s="8"/>
      <x:c r="D397" s="8"/>
      <x:c r="E397" s="8"/>
      <x:c r="F397" s="8"/>
      <x:c r="G397" s="8"/>
      <x:c r="H397" s="8"/>
      <x:c r="I397" s="8"/>
      <x:c r="J397" s="8"/>
      <x:c r="K397" s="8"/>
      <x:c r="L397" s="8"/>
      <x:c r="M397" s="10"/>
      <x:c r="N397" s="10"/>
      <x:c r="O397" s="8"/>
      <x:c r="P397" s="9" t="str">
        <x:f>IF(C397="","",IF(AND(G397="Applicable",H397="Fail"),"Fail",IF(R397&lt;&gt;"Valid","Pending",IF(OR(I397="",K397="",L397="",K397=L397,NOT(ISNUMBER(M397)),NOT(ISNUMBER(N397)),M397&gt;Settings!$F$8,N397&lt;Settings!$F$8,N397&lt;M397),"Pending",IF(AND(G397="Applicable",H397="Pass"),"Pass",IF(AND(G397="N/A",H397="N/A",J397&lt;&gt;"",OR(E397="CEM-FUELS",E397="CEM-CCS",AND(E397="CEM-PLAN",IFERROR(INDEX('Taxonomy'!$M$9:$M$108,MATCH(D397,'Taxonomy'!$C$9:$C$108,0)),"")&lt;&gt;"Amber"),E397="BLD-TIMBER",AND(U397="Building equipment",OR(E397="BLD-WATER",E397="BLD-WASTE",E397="BLD-LAND")),AND(U397="Building renovation",E397="BLD-LAND"))),"N/A","Pending"))))))</x:f>
      </x:c>
      <x:c r="Q397" s="3" t="str">
        <x:f>IF(C397="","",IF(AND(R397="Valid",OR(P397="Pass",P397="N/A")),"Complete","Unresolved"))</x:f>
      </x:c>
      <x:c r="R397" s="9" t="str">
        <x:f>IF(C397="","",IF(OR(COUNTIF($C$9:$C$2008,C397)&lt;&gt;1,COUNTIFS($D$9:$D$2008,D397,$E$9:$E$2008,E397)&lt;&gt;1),"Duplicate test",IF(COUNTIF('Taxonomy'!$C$9:$C$108,D397)&lt;&gt;1,"Assessment key",IF(OR(COUNTIF('Taxonomy Rules'!$C$42:$C$68,E397)&lt;&gt;1,F397&lt;&gt;IFERROR(INDEX('Taxonomy Rules'!$D$42:$D$68,MATCH(E397,'Taxonomy Rules'!$C$42:$C$68,0)),""),NOT(OR(IFERROR(INDEX('Taxonomy Rules'!$G$42:$G$68,MATCH(E397,'Taxonomy Rules'!$C$42:$C$68,0)),"")="All supported routes",IFERROR(INDEX('Taxonomy Rules'!$G$42:$G$68,MATCH(E397,'Taxonomy Rules'!$C$42:$C$68,0)),"")=U397,AND(IFERROR(INDEX('Taxonomy Rules'!$G$42:$G$68,MATCH(E397,'Taxonomy Rules'!$C$42:$C$68,0)),"")="Building routes",OR(U397="Building renovation",U397="New building",U397="Building equipment"))))),"Unexpected test","Valid"))))</x:f>
      </x:c>
      <x:c r="S397" s="9" t="str">
        <x:f>IF(C397="","",IFERROR(INDEX('Taxonomy Rules'!$E$42:$E$68,MATCH(E397,'Taxonomy Rules'!$C$42:$C$68,0)),""))</x:f>
      </x:c>
      <x:c r="T397" s="9" t="str">
        <x:f>IF(C397="","",IFERROR(INDEX('Taxonomy Rules'!$F$42:$F$68,MATCH(E397,'Taxonomy Rules'!$C$42:$C$68,0)),""))</x:f>
      </x:c>
      <x:c r="U397" s="9" t="str">
        <x:f>IF(C397="","",IFERROR(INDEX('Taxonomy'!$G$9:$G$108,MATCH(D397,'Taxonomy'!$C$9:$C$108,0)),""))</x:f>
      </x:c>
    </x:row>
    <x:row r="398" ht="44" customHeight="1">
      <x:c r="A398" s="1"/>
      <x:c r="B398" s="1"/>
      <x:c r="C398" s="8"/>
      <x:c r="D398" s="8"/>
      <x:c r="E398" s="8"/>
      <x:c r="F398" s="8"/>
      <x:c r="G398" s="8"/>
      <x:c r="H398" s="8"/>
      <x:c r="I398" s="8"/>
      <x:c r="J398" s="8"/>
      <x:c r="K398" s="8"/>
      <x:c r="L398" s="8"/>
      <x:c r="M398" s="10"/>
      <x:c r="N398" s="10"/>
      <x:c r="O398" s="8"/>
      <x:c r="P398" s="9" t="str">
        <x:f>IF(C398="","",IF(AND(G398="Applicable",H398="Fail"),"Fail",IF(R398&lt;&gt;"Valid","Pending",IF(OR(I398="",K398="",L398="",K398=L398,NOT(ISNUMBER(M398)),NOT(ISNUMBER(N398)),M398&gt;Settings!$F$8,N398&lt;Settings!$F$8,N398&lt;M398),"Pending",IF(AND(G398="Applicable",H398="Pass"),"Pass",IF(AND(G398="N/A",H398="N/A",J398&lt;&gt;"",OR(E398="CEM-FUELS",E398="CEM-CCS",AND(E398="CEM-PLAN",IFERROR(INDEX('Taxonomy'!$M$9:$M$108,MATCH(D398,'Taxonomy'!$C$9:$C$108,0)),"")&lt;&gt;"Amber"),E398="BLD-TIMBER",AND(U398="Building equipment",OR(E398="BLD-WATER",E398="BLD-WASTE",E398="BLD-LAND")),AND(U398="Building renovation",E398="BLD-LAND"))),"N/A","Pending"))))))</x:f>
      </x:c>
      <x:c r="Q398" s="3" t="str">
        <x:f>IF(C398="","",IF(AND(R398="Valid",OR(P398="Pass",P398="N/A")),"Complete","Unresolved"))</x:f>
      </x:c>
      <x:c r="R398" s="9" t="str">
        <x:f>IF(C398="","",IF(OR(COUNTIF($C$9:$C$2008,C398)&lt;&gt;1,COUNTIFS($D$9:$D$2008,D398,$E$9:$E$2008,E398)&lt;&gt;1),"Duplicate test",IF(COUNTIF('Taxonomy'!$C$9:$C$108,D398)&lt;&gt;1,"Assessment key",IF(OR(COUNTIF('Taxonomy Rules'!$C$42:$C$68,E398)&lt;&gt;1,F398&lt;&gt;IFERROR(INDEX('Taxonomy Rules'!$D$42:$D$68,MATCH(E398,'Taxonomy Rules'!$C$42:$C$68,0)),""),NOT(OR(IFERROR(INDEX('Taxonomy Rules'!$G$42:$G$68,MATCH(E398,'Taxonomy Rules'!$C$42:$C$68,0)),"")="All supported routes",IFERROR(INDEX('Taxonomy Rules'!$G$42:$G$68,MATCH(E398,'Taxonomy Rules'!$C$42:$C$68,0)),"")=U398,AND(IFERROR(INDEX('Taxonomy Rules'!$G$42:$G$68,MATCH(E398,'Taxonomy Rules'!$C$42:$C$68,0)),"")="Building routes",OR(U398="Building renovation",U398="New building",U398="Building equipment"))))),"Unexpected test","Valid"))))</x:f>
      </x:c>
      <x:c r="S398" s="9" t="str">
        <x:f>IF(C398="","",IFERROR(INDEX('Taxonomy Rules'!$E$42:$E$68,MATCH(E398,'Taxonomy Rules'!$C$42:$C$68,0)),""))</x:f>
      </x:c>
      <x:c r="T398" s="9" t="str">
        <x:f>IF(C398="","",IFERROR(INDEX('Taxonomy Rules'!$F$42:$F$68,MATCH(E398,'Taxonomy Rules'!$C$42:$C$68,0)),""))</x:f>
      </x:c>
      <x:c r="U398" s="9" t="str">
        <x:f>IF(C398="","",IFERROR(INDEX('Taxonomy'!$G$9:$G$108,MATCH(D398,'Taxonomy'!$C$9:$C$108,0)),""))</x:f>
      </x:c>
    </x:row>
    <x:row r="399" ht="44" customHeight="1">
      <x:c r="A399" s="1"/>
      <x:c r="B399" s="1"/>
      <x:c r="C399" s="8"/>
      <x:c r="D399" s="8"/>
      <x:c r="E399" s="8"/>
      <x:c r="F399" s="8"/>
      <x:c r="G399" s="8"/>
      <x:c r="H399" s="8"/>
      <x:c r="I399" s="8"/>
      <x:c r="J399" s="8"/>
      <x:c r="K399" s="8"/>
      <x:c r="L399" s="8"/>
      <x:c r="M399" s="10"/>
      <x:c r="N399" s="10"/>
      <x:c r="O399" s="8"/>
      <x:c r="P399" s="9" t="str">
        <x:f>IF(C399="","",IF(AND(G399="Applicable",H399="Fail"),"Fail",IF(R399&lt;&gt;"Valid","Pending",IF(OR(I399="",K399="",L399="",K399=L399,NOT(ISNUMBER(M399)),NOT(ISNUMBER(N399)),M399&gt;Settings!$F$8,N399&lt;Settings!$F$8,N399&lt;M399),"Pending",IF(AND(G399="Applicable",H399="Pass"),"Pass",IF(AND(G399="N/A",H399="N/A",J399&lt;&gt;"",OR(E399="CEM-FUELS",E399="CEM-CCS",AND(E399="CEM-PLAN",IFERROR(INDEX('Taxonomy'!$M$9:$M$108,MATCH(D399,'Taxonomy'!$C$9:$C$108,0)),"")&lt;&gt;"Amber"),E399="BLD-TIMBER",AND(U399="Building equipment",OR(E399="BLD-WATER",E399="BLD-WASTE",E399="BLD-LAND")),AND(U399="Building renovation",E399="BLD-LAND"))),"N/A","Pending"))))))</x:f>
      </x:c>
      <x:c r="Q399" s="3" t="str">
        <x:f>IF(C399="","",IF(AND(R399="Valid",OR(P399="Pass",P399="N/A")),"Complete","Unresolved"))</x:f>
      </x:c>
      <x:c r="R399" s="9" t="str">
        <x:f>IF(C399="","",IF(OR(COUNTIF($C$9:$C$2008,C399)&lt;&gt;1,COUNTIFS($D$9:$D$2008,D399,$E$9:$E$2008,E399)&lt;&gt;1),"Duplicate test",IF(COUNTIF('Taxonomy'!$C$9:$C$108,D399)&lt;&gt;1,"Assessment key",IF(OR(COUNTIF('Taxonomy Rules'!$C$42:$C$68,E399)&lt;&gt;1,F399&lt;&gt;IFERROR(INDEX('Taxonomy Rules'!$D$42:$D$68,MATCH(E399,'Taxonomy Rules'!$C$42:$C$68,0)),""),NOT(OR(IFERROR(INDEX('Taxonomy Rules'!$G$42:$G$68,MATCH(E399,'Taxonomy Rules'!$C$42:$C$68,0)),"")="All supported routes",IFERROR(INDEX('Taxonomy Rules'!$G$42:$G$68,MATCH(E399,'Taxonomy Rules'!$C$42:$C$68,0)),"")=U399,AND(IFERROR(INDEX('Taxonomy Rules'!$G$42:$G$68,MATCH(E399,'Taxonomy Rules'!$C$42:$C$68,0)),"")="Building routes",OR(U399="Building renovation",U399="New building",U399="Building equipment"))))),"Unexpected test","Valid"))))</x:f>
      </x:c>
      <x:c r="S399" s="9" t="str">
        <x:f>IF(C399="","",IFERROR(INDEX('Taxonomy Rules'!$E$42:$E$68,MATCH(E399,'Taxonomy Rules'!$C$42:$C$68,0)),""))</x:f>
      </x:c>
      <x:c r="T399" s="9" t="str">
        <x:f>IF(C399="","",IFERROR(INDEX('Taxonomy Rules'!$F$42:$F$68,MATCH(E399,'Taxonomy Rules'!$C$42:$C$68,0)),""))</x:f>
      </x:c>
      <x:c r="U399" s="9" t="str">
        <x:f>IF(C399="","",IFERROR(INDEX('Taxonomy'!$G$9:$G$108,MATCH(D399,'Taxonomy'!$C$9:$C$108,0)),""))</x:f>
      </x:c>
    </x:row>
    <x:row r="400" ht="44" customHeight="1">
      <x:c r="A400" s="1"/>
      <x:c r="B400" s="1"/>
      <x:c r="C400" s="8"/>
      <x:c r="D400" s="8"/>
      <x:c r="E400" s="8"/>
      <x:c r="F400" s="8"/>
      <x:c r="G400" s="8"/>
      <x:c r="H400" s="8"/>
      <x:c r="I400" s="8"/>
      <x:c r="J400" s="8"/>
      <x:c r="K400" s="8"/>
      <x:c r="L400" s="8"/>
      <x:c r="M400" s="10"/>
      <x:c r="N400" s="10"/>
      <x:c r="O400" s="8"/>
      <x:c r="P400" s="9" t="str">
        <x:f>IF(C400="","",IF(AND(G400="Applicable",H400="Fail"),"Fail",IF(R400&lt;&gt;"Valid","Pending",IF(OR(I400="",K400="",L400="",K400=L400,NOT(ISNUMBER(M400)),NOT(ISNUMBER(N400)),M400&gt;Settings!$F$8,N400&lt;Settings!$F$8,N400&lt;M400),"Pending",IF(AND(G400="Applicable",H400="Pass"),"Pass",IF(AND(G400="N/A",H400="N/A",J400&lt;&gt;"",OR(E400="CEM-FUELS",E400="CEM-CCS",AND(E400="CEM-PLAN",IFERROR(INDEX('Taxonomy'!$M$9:$M$108,MATCH(D400,'Taxonomy'!$C$9:$C$108,0)),"")&lt;&gt;"Amber"),E400="BLD-TIMBER",AND(U400="Building equipment",OR(E400="BLD-WATER",E400="BLD-WASTE",E400="BLD-LAND")),AND(U400="Building renovation",E400="BLD-LAND"))),"N/A","Pending"))))))</x:f>
      </x:c>
      <x:c r="Q400" s="3" t="str">
        <x:f>IF(C400="","",IF(AND(R400="Valid",OR(P400="Pass",P400="N/A")),"Complete","Unresolved"))</x:f>
      </x:c>
      <x:c r="R400" s="9" t="str">
        <x:f>IF(C400="","",IF(OR(COUNTIF($C$9:$C$2008,C400)&lt;&gt;1,COUNTIFS($D$9:$D$2008,D400,$E$9:$E$2008,E400)&lt;&gt;1),"Duplicate test",IF(COUNTIF('Taxonomy'!$C$9:$C$108,D400)&lt;&gt;1,"Assessment key",IF(OR(COUNTIF('Taxonomy Rules'!$C$42:$C$68,E400)&lt;&gt;1,F400&lt;&gt;IFERROR(INDEX('Taxonomy Rules'!$D$42:$D$68,MATCH(E400,'Taxonomy Rules'!$C$42:$C$68,0)),""),NOT(OR(IFERROR(INDEX('Taxonomy Rules'!$G$42:$G$68,MATCH(E400,'Taxonomy Rules'!$C$42:$C$68,0)),"")="All supported routes",IFERROR(INDEX('Taxonomy Rules'!$G$42:$G$68,MATCH(E400,'Taxonomy Rules'!$C$42:$C$68,0)),"")=U400,AND(IFERROR(INDEX('Taxonomy Rules'!$G$42:$G$68,MATCH(E400,'Taxonomy Rules'!$C$42:$C$68,0)),"")="Building routes",OR(U400="Building renovation",U400="New building",U400="Building equipment"))))),"Unexpected test","Valid"))))</x:f>
      </x:c>
      <x:c r="S400" s="9" t="str">
        <x:f>IF(C400="","",IFERROR(INDEX('Taxonomy Rules'!$E$42:$E$68,MATCH(E400,'Taxonomy Rules'!$C$42:$C$68,0)),""))</x:f>
      </x:c>
      <x:c r="T400" s="9" t="str">
        <x:f>IF(C400="","",IFERROR(INDEX('Taxonomy Rules'!$F$42:$F$68,MATCH(E400,'Taxonomy Rules'!$C$42:$C$68,0)),""))</x:f>
      </x:c>
      <x:c r="U400" s="9" t="str">
        <x:f>IF(C400="","",IFERROR(INDEX('Taxonomy'!$G$9:$G$108,MATCH(D400,'Taxonomy'!$C$9:$C$108,0)),""))</x:f>
      </x:c>
    </x:row>
    <x:row r="401" ht="44" customHeight="1">
      <x:c r="A401" s="1"/>
      <x:c r="B401" s="1"/>
      <x:c r="C401" s="8"/>
      <x:c r="D401" s="8"/>
      <x:c r="E401" s="8"/>
      <x:c r="F401" s="8"/>
      <x:c r="G401" s="8"/>
      <x:c r="H401" s="8"/>
      <x:c r="I401" s="8"/>
      <x:c r="J401" s="8"/>
      <x:c r="K401" s="8"/>
      <x:c r="L401" s="8"/>
      <x:c r="M401" s="10"/>
      <x:c r="N401" s="10"/>
      <x:c r="O401" s="8"/>
      <x:c r="P401" s="9" t="str">
        <x:f>IF(C401="","",IF(AND(G401="Applicable",H401="Fail"),"Fail",IF(R401&lt;&gt;"Valid","Pending",IF(OR(I401="",K401="",L401="",K401=L401,NOT(ISNUMBER(M401)),NOT(ISNUMBER(N401)),M401&gt;Settings!$F$8,N401&lt;Settings!$F$8,N401&lt;M401),"Pending",IF(AND(G401="Applicable",H401="Pass"),"Pass",IF(AND(G401="N/A",H401="N/A",J401&lt;&gt;"",OR(E401="CEM-FUELS",E401="CEM-CCS",AND(E401="CEM-PLAN",IFERROR(INDEX('Taxonomy'!$M$9:$M$108,MATCH(D401,'Taxonomy'!$C$9:$C$108,0)),"")&lt;&gt;"Amber"),E401="BLD-TIMBER",AND(U401="Building equipment",OR(E401="BLD-WATER",E401="BLD-WASTE",E401="BLD-LAND")),AND(U401="Building renovation",E401="BLD-LAND"))),"N/A","Pending"))))))</x:f>
      </x:c>
      <x:c r="Q401" s="3" t="str">
        <x:f>IF(C401="","",IF(AND(R401="Valid",OR(P401="Pass",P401="N/A")),"Complete","Unresolved"))</x:f>
      </x:c>
      <x:c r="R401" s="9" t="str">
        <x:f>IF(C401="","",IF(OR(COUNTIF($C$9:$C$2008,C401)&lt;&gt;1,COUNTIFS($D$9:$D$2008,D401,$E$9:$E$2008,E401)&lt;&gt;1),"Duplicate test",IF(COUNTIF('Taxonomy'!$C$9:$C$108,D401)&lt;&gt;1,"Assessment key",IF(OR(COUNTIF('Taxonomy Rules'!$C$42:$C$68,E401)&lt;&gt;1,F401&lt;&gt;IFERROR(INDEX('Taxonomy Rules'!$D$42:$D$68,MATCH(E401,'Taxonomy Rules'!$C$42:$C$68,0)),""),NOT(OR(IFERROR(INDEX('Taxonomy Rules'!$G$42:$G$68,MATCH(E401,'Taxonomy Rules'!$C$42:$C$68,0)),"")="All supported routes",IFERROR(INDEX('Taxonomy Rules'!$G$42:$G$68,MATCH(E401,'Taxonomy Rules'!$C$42:$C$68,0)),"")=U401,AND(IFERROR(INDEX('Taxonomy Rules'!$G$42:$G$68,MATCH(E401,'Taxonomy Rules'!$C$42:$C$68,0)),"")="Building routes",OR(U401="Building renovation",U401="New building",U401="Building equipment"))))),"Unexpected test","Valid"))))</x:f>
      </x:c>
      <x:c r="S401" s="9" t="str">
        <x:f>IF(C401="","",IFERROR(INDEX('Taxonomy Rules'!$E$42:$E$68,MATCH(E401,'Taxonomy Rules'!$C$42:$C$68,0)),""))</x:f>
      </x:c>
      <x:c r="T401" s="9" t="str">
        <x:f>IF(C401="","",IFERROR(INDEX('Taxonomy Rules'!$F$42:$F$68,MATCH(E401,'Taxonomy Rules'!$C$42:$C$68,0)),""))</x:f>
      </x:c>
      <x:c r="U401" s="9" t="str">
        <x:f>IF(C401="","",IFERROR(INDEX('Taxonomy'!$G$9:$G$108,MATCH(D401,'Taxonomy'!$C$9:$C$108,0)),""))</x:f>
      </x:c>
    </x:row>
    <x:row r="402" ht="44" customHeight="1">
      <x:c r="A402" s="1"/>
      <x:c r="B402" s="1"/>
      <x:c r="C402" s="8"/>
      <x:c r="D402" s="8"/>
      <x:c r="E402" s="8"/>
      <x:c r="F402" s="8"/>
      <x:c r="G402" s="8"/>
      <x:c r="H402" s="8"/>
      <x:c r="I402" s="8"/>
      <x:c r="J402" s="8"/>
      <x:c r="K402" s="8"/>
      <x:c r="L402" s="8"/>
      <x:c r="M402" s="10"/>
      <x:c r="N402" s="10"/>
      <x:c r="O402" s="8"/>
      <x:c r="P402" s="9" t="str">
        <x:f>IF(C402="","",IF(AND(G402="Applicable",H402="Fail"),"Fail",IF(R402&lt;&gt;"Valid","Pending",IF(OR(I402="",K402="",L402="",K402=L402,NOT(ISNUMBER(M402)),NOT(ISNUMBER(N402)),M402&gt;Settings!$F$8,N402&lt;Settings!$F$8,N402&lt;M402),"Pending",IF(AND(G402="Applicable",H402="Pass"),"Pass",IF(AND(G402="N/A",H402="N/A",J402&lt;&gt;"",OR(E402="CEM-FUELS",E402="CEM-CCS",AND(E402="CEM-PLAN",IFERROR(INDEX('Taxonomy'!$M$9:$M$108,MATCH(D402,'Taxonomy'!$C$9:$C$108,0)),"")&lt;&gt;"Amber"),E402="BLD-TIMBER",AND(U402="Building equipment",OR(E402="BLD-WATER",E402="BLD-WASTE",E402="BLD-LAND")),AND(U402="Building renovation",E402="BLD-LAND"))),"N/A","Pending"))))))</x:f>
      </x:c>
      <x:c r="Q402" s="3" t="str">
        <x:f>IF(C402="","",IF(AND(R402="Valid",OR(P402="Pass",P402="N/A")),"Complete","Unresolved"))</x:f>
      </x:c>
      <x:c r="R402" s="9" t="str">
        <x:f>IF(C402="","",IF(OR(COUNTIF($C$9:$C$2008,C402)&lt;&gt;1,COUNTIFS($D$9:$D$2008,D402,$E$9:$E$2008,E402)&lt;&gt;1),"Duplicate test",IF(COUNTIF('Taxonomy'!$C$9:$C$108,D402)&lt;&gt;1,"Assessment key",IF(OR(COUNTIF('Taxonomy Rules'!$C$42:$C$68,E402)&lt;&gt;1,F402&lt;&gt;IFERROR(INDEX('Taxonomy Rules'!$D$42:$D$68,MATCH(E402,'Taxonomy Rules'!$C$42:$C$68,0)),""),NOT(OR(IFERROR(INDEX('Taxonomy Rules'!$G$42:$G$68,MATCH(E402,'Taxonomy Rules'!$C$42:$C$68,0)),"")="All supported routes",IFERROR(INDEX('Taxonomy Rules'!$G$42:$G$68,MATCH(E402,'Taxonomy Rules'!$C$42:$C$68,0)),"")=U402,AND(IFERROR(INDEX('Taxonomy Rules'!$G$42:$G$68,MATCH(E402,'Taxonomy Rules'!$C$42:$C$68,0)),"")="Building routes",OR(U402="Building renovation",U402="New building",U402="Building equipment"))))),"Unexpected test","Valid"))))</x:f>
      </x:c>
      <x:c r="S402" s="9" t="str">
        <x:f>IF(C402="","",IFERROR(INDEX('Taxonomy Rules'!$E$42:$E$68,MATCH(E402,'Taxonomy Rules'!$C$42:$C$68,0)),""))</x:f>
      </x:c>
      <x:c r="T402" s="9" t="str">
        <x:f>IF(C402="","",IFERROR(INDEX('Taxonomy Rules'!$F$42:$F$68,MATCH(E402,'Taxonomy Rules'!$C$42:$C$68,0)),""))</x:f>
      </x:c>
      <x:c r="U402" s="9" t="str">
        <x:f>IF(C402="","",IFERROR(INDEX('Taxonomy'!$G$9:$G$108,MATCH(D402,'Taxonomy'!$C$9:$C$108,0)),""))</x:f>
      </x:c>
    </x:row>
    <x:row r="403" ht="44" customHeight="1">
      <x:c r="A403" s="1"/>
      <x:c r="B403" s="1"/>
      <x:c r="C403" s="8"/>
      <x:c r="D403" s="8"/>
      <x:c r="E403" s="8"/>
      <x:c r="F403" s="8"/>
      <x:c r="G403" s="8"/>
      <x:c r="H403" s="8"/>
      <x:c r="I403" s="8"/>
      <x:c r="J403" s="8"/>
      <x:c r="K403" s="8"/>
      <x:c r="L403" s="8"/>
      <x:c r="M403" s="10"/>
      <x:c r="N403" s="10"/>
      <x:c r="O403" s="8"/>
      <x:c r="P403" s="9" t="str">
        <x:f>IF(C403="","",IF(AND(G403="Applicable",H403="Fail"),"Fail",IF(R403&lt;&gt;"Valid","Pending",IF(OR(I403="",K403="",L403="",K403=L403,NOT(ISNUMBER(M403)),NOT(ISNUMBER(N403)),M403&gt;Settings!$F$8,N403&lt;Settings!$F$8,N403&lt;M403),"Pending",IF(AND(G403="Applicable",H403="Pass"),"Pass",IF(AND(G403="N/A",H403="N/A",J403&lt;&gt;"",OR(E403="CEM-FUELS",E403="CEM-CCS",AND(E403="CEM-PLAN",IFERROR(INDEX('Taxonomy'!$M$9:$M$108,MATCH(D403,'Taxonomy'!$C$9:$C$108,0)),"")&lt;&gt;"Amber"),E403="BLD-TIMBER",AND(U403="Building equipment",OR(E403="BLD-WATER",E403="BLD-WASTE",E403="BLD-LAND")),AND(U403="Building renovation",E403="BLD-LAND"))),"N/A","Pending"))))))</x:f>
      </x:c>
      <x:c r="Q403" s="3" t="str">
        <x:f>IF(C403="","",IF(AND(R403="Valid",OR(P403="Pass",P403="N/A")),"Complete","Unresolved"))</x:f>
      </x:c>
      <x:c r="R403" s="9" t="str">
        <x:f>IF(C403="","",IF(OR(COUNTIF($C$9:$C$2008,C403)&lt;&gt;1,COUNTIFS($D$9:$D$2008,D403,$E$9:$E$2008,E403)&lt;&gt;1),"Duplicate test",IF(COUNTIF('Taxonomy'!$C$9:$C$108,D403)&lt;&gt;1,"Assessment key",IF(OR(COUNTIF('Taxonomy Rules'!$C$42:$C$68,E403)&lt;&gt;1,F403&lt;&gt;IFERROR(INDEX('Taxonomy Rules'!$D$42:$D$68,MATCH(E403,'Taxonomy Rules'!$C$42:$C$68,0)),""),NOT(OR(IFERROR(INDEX('Taxonomy Rules'!$G$42:$G$68,MATCH(E403,'Taxonomy Rules'!$C$42:$C$68,0)),"")="All supported routes",IFERROR(INDEX('Taxonomy Rules'!$G$42:$G$68,MATCH(E403,'Taxonomy Rules'!$C$42:$C$68,0)),"")=U403,AND(IFERROR(INDEX('Taxonomy Rules'!$G$42:$G$68,MATCH(E403,'Taxonomy Rules'!$C$42:$C$68,0)),"")="Building routes",OR(U403="Building renovation",U403="New building",U403="Building equipment"))))),"Unexpected test","Valid"))))</x:f>
      </x:c>
      <x:c r="S403" s="9" t="str">
        <x:f>IF(C403="","",IFERROR(INDEX('Taxonomy Rules'!$E$42:$E$68,MATCH(E403,'Taxonomy Rules'!$C$42:$C$68,0)),""))</x:f>
      </x:c>
      <x:c r="T403" s="9" t="str">
        <x:f>IF(C403="","",IFERROR(INDEX('Taxonomy Rules'!$F$42:$F$68,MATCH(E403,'Taxonomy Rules'!$C$42:$C$68,0)),""))</x:f>
      </x:c>
      <x:c r="U403" s="9" t="str">
        <x:f>IF(C403="","",IFERROR(INDEX('Taxonomy'!$G$9:$G$108,MATCH(D403,'Taxonomy'!$C$9:$C$108,0)),""))</x:f>
      </x:c>
    </x:row>
    <x:row r="404" ht="44" customHeight="1">
      <x:c r="A404" s="1"/>
      <x:c r="B404" s="1"/>
      <x:c r="C404" s="8"/>
      <x:c r="D404" s="8"/>
      <x:c r="E404" s="8"/>
      <x:c r="F404" s="8"/>
      <x:c r="G404" s="8"/>
      <x:c r="H404" s="8"/>
      <x:c r="I404" s="8"/>
      <x:c r="J404" s="8"/>
      <x:c r="K404" s="8"/>
      <x:c r="L404" s="8"/>
      <x:c r="M404" s="10"/>
      <x:c r="N404" s="10"/>
      <x:c r="O404" s="8"/>
      <x:c r="P404" s="9" t="str">
        <x:f>IF(C404="","",IF(AND(G404="Applicable",H404="Fail"),"Fail",IF(R404&lt;&gt;"Valid","Pending",IF(OR(I404="",K404="",L404="",K404=L404,NOT(ISNUMBER(M404)),NOT(ISNUMBER(N404)),M404&gt;Settings!$F$8,N404&lt;Settings!$F$8,N404&lt;M404),"Pending",IF(AND(G404="Applicable",H404="Pass"),"Pass",IF(AND(G404="N/A",H404="N/A",J404&lt;&gt;"",OR(E404="CEM-FUELS",E404="CEM-CCS",AND(E404="CEM-PLAN",IFERROR(INDEX('Taxonomy'!$M$9:$M$108,MATCH(D404,'Taxonomy'!$C$9:$C$108,0)),"")&lt;&gt;"Amber"),E404="BLD-TIMBER",AND(U404="Building equipment",OR(E404="BLD-WATER",E404="BLD-WASTE",E404="BLD-LAND")),AND(U404="Building renovation",E404="BLD-LAND"))),"N/A","Pending"))))))</x:f>
      </x:c>
      <x:c r="Q404" s="3" t="str">
        <x:f>IF(C404="","",IF(AND(R404="Valid",OR(P404="Pass",P404="N/A")),"Complete","Unresolved"))</x:f>
      </x:c>
      <x:c r="R404" s="9" t="str">
        <x:f>IF(C404="","",IF(OR(COUNTIF($C$9:$C$2008,C404)&lt;&gt;1,COUNTIFS($D$9:$D$2008,D404,$E$9:$E$2008,E404)&lt;&gt;1),"Duplicate test",IF(COUNTIF('Taxonomy'!$C$9:$C$108,D404)&lt;&gt;1,"Assessment key",IF(OR(COUNTIF('Taxonomy Rules'!$C$42:$C$68,E404)&lt;&gt;1,F404&lt;&gt;IFERROR(INDEX('Taxonomy Rules'!$D$42:$D$68,MATCH(E404,'Taxonomy Rules'!$C$42:$C$68,0)),""),NOT(OR(IFERROR(INDEX('Taxonomy Rules'!$G$42:$G$68,MATCH(E404,'Taxonomy Rules'!$C$42:$C$68,0)),"")="All supported routes",IFERROR(INDEX('Taxonomy Rules'!$G$42:$G$68,MATCH(E404,'Taxonomy Rules'!$C$42:$C$68,0)),"")=U404,AND(IFERROR(INDEX('Taxonomy Rules'!$G$42:$G$68,MATCH(E404,'Taxonomy Rules'!$C$42:$C$68,0)),"")="Building routes",OR(U404="Building renovation",U404="New building",U404="Building equipment"))))),"Unexpected test","Valid"))))</x:f>
      </x:c>
      <x:c r="S404" s="9" t="str">
        <x:f>IF(C404="","",IFERROR(INDEX('Taxonomy Rules'!$E$42:$E$68,MATCH(E404,'Taxonomy Rules'!$C$42:$C$68,0)),""))</x:f>
      </x:c>
      <x:c r="T404" s="9" t="str">
        <x:f>IF(C404="","",IFERROR(INDEX('Taxonomy Rules'!$F$42:$F$68,MATCH(E404,'Taxonomy Rules'!$C$42:$C$68,0)),""))</x:f>
      </x:c>
      <x:c r="U404" s="9" t="str">
        <x:f>IF(C404="","",IFERROR(INDEX('Taxonomy'!$G$9:$G$108,MATCH(D404,'Taxonomy'!$C$9:$C$108,0)),""))</x:f>
      </x:c>
    </x:row>
    <x:row r="405" ht="44" customHeight="1">
      <x:c r="A405" s="1"/>
      <x:c r="B405" s="1"/>
      <x:c r="C405" s="8"/>
      <x:c r="D405" s="8"/>
      <x:c r="E405" s="8"/>
      <x:c r="F405" s="8"/>
      <x:c r="G405" s="8"/>
      <x:c r="H405" s="8"/>
      <x:c r="I405" s="8"/>
      <x:c r="J405" s="8"/>
      <x:c r="K405" s="8"/>
      <x:c r="L405" s="8"/>
      <x:c r="M405" s="10"/>
      <x:c r="N405" s="10"/>
      <x:c r="O405" s="8"/>
      <x:c r="P405" s="9" t="str">
        <x:f>IF(C405="","",IF(AND(G405="Applicable",H405="Fail"),"Fail",IF(R405&lt;&gt;"Valid","Pending",IF(OR(I405="",K405="",L405="",K405=L405,NOT(ISNUMBER(M405)),NOT(ISNUMBER(N405)),M405&gt;Settings!$F$8,N405&lt;Settings!$F$8,N405&lt;M405),"Pending",IF(AND(G405="Applicable",H405="Pass"),"Pass",IF(AND(G405="N/A",H405="N/A",J405&lt;&gt;"",OR(E405="CEM-FUELS",E405="CEM-CCS",AND(E405="CEM-PLAN",IFERROR(INDEX('Taxonomy'!$M$9:$M$108,MATCH(D405,'Taxonomy'!$C$9:$C$108,0)),"")&lt;&gt;"Amber"),E405="BLD-TIMBER",AND(U405="Building equipment",OR(E405="BLD-WATER",E405="BLD-WASTE",E405="BLD-LAND")),AND(U405="Building renovation",E405="BLD-LAND"))),"N/A","Pending"))))))</x:f>
      </x:c>
      <x:c r="Q405" s="3" t="str">
        <x:f>IF(C405="","",IF(AND(R405="Valid",OR(P405="Pass",P405="N/A")),"Complete","Unresolved"))</x:f>
      </x:c>
      <x:c r="R405" s="9" t="str">
        <x:f>IF(C405="","",IF(OR(COUNTIF($C$9:$C$2008,C405)&lt;&gt;1,COUNTIFS($D$9:$D$2008,D405,$E$9:$E$2008,E405)&lt;&gt;1),"Duplicate test",IF(COUNTIF('Taxonomy'!$C$9:$C$108,D405)&lt;&gt;1,"Assessment key",IF(OR(COUNTIF('Taxonomy Rules'!$C$42:$C$68,E405)&lt;&gt;1,F405&lt;&gt;IFERROR(INDEX('Taxonomy Rules'!$D$42:$D$68,MATCH(E405,'Taxonomy Rules'!$C$42:$C$68,0)),""),NOT(OR(IFERROR(INDEX('Taxonomy Rules'!$G$42:$G$68,MATCH(E405,'Taxonomy Rules'!$C$42:$C$68,0)),"")="All supported routes",IFERROR(INDEX('Taxonomy Rules'!$G$42:$G$68,MATCH(E405,'Taxonomy Rules'!$C$42:$C$68,0)),"")=U405,AND(IFERROR(INDEX('Taxonomy Rules'!$G$42:$G$68,MATCH(E405,'Taxonomy Rules'!$C$42:$C$68,0)),"")="Building routes",OR(U405="Building renovation",U405="New building",U405="Building equipment"))))),"Unexpected test","Valid"))))</x:f>
      </x:c>
      <x:c r="S405" s="9" t="str">
        <x:f>IF(C405="","",IFERROR(INDEX('Taxonomy Rules'!$E$42:$E$68,MATCH(E405,'Taxonomy Rules'!$C$42:$C$68,0)),""))</x:f>
      </x:c>
      <x:c r="T405" s="9" t="str">
        <x:f>IF(C405="","",IFERROR(INDEX('Taxonomy Rules'!$F$42:$F$68,MATCH(E405,'Taxonomy Rules'!$C$42:$C$68,0)),""))</x:f>
      </x:c>
      <x:c r="U405" s="9" t="str">
        <x:f>IF(C405="","",IFERROR(INDEX('Taxonomy'!$G$9:$G$108,MATCH(D405,'Taxonomy'!$C$9:$C$108,0)),""))</x:f>
      </x:c>
    </x:row>
    <x:row r="406" ht="44" customHeight="1">
      <x:c r="A406" s="1"/>
      <x:c r="B406" s="1"/>
      <x:c r="C406" s="8"/>
      <x:c r="D406" s="8"/>
      <x:c r="E406" s="8"/>
      <x:c r="F406" s="8"/>
      <x:c r="G406" s="8"/>
      <x:c r="H406" s="8"/>
      <x:c r="I406" s="8"/>
      <x:c r="J406" s="8"/>
      <x:c r="K406" s="8"/>
      <x:c r="L406" s="8"/>
      <x:c r="M406" s="10"/>
      <x:c r="N406" s="10"/>
      <x:c r="O406" s="8"/>
      <x:c r="P406" s="9" t="str">
        <x:f>IF(C406="","",IF(AND(G406="Applicable",H406="Fail"),"Fail",IF(R406&lt;&gt;"Valid","Pending",IF(OR(I406="",K406="",L406="",K406=L406,NOT(ISNUMBER(M406)),NOT(ISNUMBER(N406)),M406&gt;Settings!$F$8,N406&lt;Settings!$F$8,N406&lt;M406),"Pending",IF(AND(G406="Applicable",H406="Pass"),"Pass",IF(AND(G406="N/A",H406="N/A",J406&lt;&gt;"",OR(E406="CEM-FUELS",E406="CEM-CCS",AND(E406="CEM-PLAN",IFERROR(INDEX('Taxonomy'!$M$9:$M$108,MATCH(D406,'Taxonomy'!$C$9:$C$108,0)),"")&lt;&gt;"Amber"),E406="BLD-TIMBER",AND(U406="Building equipment",OR(E406="BLD-WATER",E406="BLD-WASTE",E406="BLD-LAND")),AND(U406="Building renovation",E406="BLD-LAND"))),"N/A","Pending"))))))</x:f>
      </x:c>
      <x:c r="Q406" s="3" t="str">
        <x:f>IF(C406="","",IF(AND(R406="Valid",OR(P406="Pass",P406="N/A")),"Complete","Unresolved"))</x:f>
      </x:c>
      <x:c r="R406" s="9" t="str">
        <x:f>IF(C406="","",IF(OR(COUNTIF($C$9:$C$2008,C406)&lt;&gt;1,COUNTIFS($D$9:$D$2008,D406,$E$9:$E$2008,E406)&lt;&gt;1),"Duplicate test",IF(COUNTIF('Taxonomy'!$C$9:$C$108,D406)&lt;&gt;1,"Assessment key",IF(OR(COUNTIF('Taxonomy Rules'!$C$42:$C$68,E406)&lt;&gt;1,F406&lt;&gt;IFERROR(INDEX('Taxonomy Rules'!$D$42:$D$68,MATCH(E406,'Taxonomy Rules'!$C$42:$C$68,0)),""),NOT(OR(IFERROR(INDEX('Taxonomy Rules'!$G$42:$G$68,MATCH(E406,'Taxonomy Rules'!$C$42:$C$68,0)),"")="All supported routes",IFERROR(INDEX('Taxonomy Rules'!$G$42:$G$68,MATCH(E406,'Taxonomy Rules'!$C$42:$C$68,0)),"")=U406,AND(IFERROR(INDEX('Taxonomy Rules'!$G$42:$G$68,MATCH(E406,'Taxonomy Rules'!$C$42:$C$68,0)),"")="Building routes",OR(U406="Building renovation",U406="New building",U406="Building equipment"))))),"Unexpected test","Valid"))))</x:f>
      </x:c>
      <x:c r="S406" s="9" t="str">
        <x:f>IF(C406="","",IFERROR(INDEX('Taxonomy Rules'!$E$42:$E$68,MATCH(E406,'Taxonomy Rules'!$C$42:$C$68,0)),""))</x:f>
      </x:c>
      <x:c r="T406" s="9" t="str">
        <x:f>IF(C406="","",IFERROR(INDEX('Taxonomy Rules'!$F$42:$F$68,MATCH(E406,'Taxonomy Rules'!$C$42:$C$68,0)),""))</x:f>
      </x:c>
      <x:c r="U406" s="9" t="str">
        <x:f>IF(C406="","",IFERROR(INDEX('Taxonomy'!$G$9:$G$108,MATCH(D406,'Taxonomy'!$C$9:$C$108,0)),""))</x:f>
      </x:c>
    </x:row>
    <x:row r="407" ht="44" customHeight="1">
      <x:c r="A407" s="1"/>
      <x:c r="B407" s="1"/>
      <x:c r="C407" s="8"/>
      <x:c r="D407" s="8"/>
      <x:c r="E407" s="8"/>
      <x:c r="F407" s="8"/>
      <x:c r="G407" s="8"/>
      <x:c r="H407" s="8"/>
      <x:c r="I407" s="8"/>
      <x:c r="J407" s="8"/>
      <x:c r="K407" s="8"/>
      <x:c r="L407" s="8"/>
      <x:c r="M407" s="10"/>
      <x:c r="N407" s="10"/>
      <x:c r="O407" s="8"/>
      <x:c r="P407" s="9" t="str">
        <x:f>IF(C407="","",IF(AND(G407="Applicable",H407="Fail"),"Fail",IF(R407&lt;&gt;"Valid","Pending",IF(OR(I407="",K407="",L407="",K407=L407,NOT(ISNUMBER(M407)),NOT(ISNUMBER(N407)),M407&gt;Settings!$F$8,N407&lt;Settings!$F$8,N407&lt;M407),"Pending",IF(AND(G407="Applicable",H407="Pass"),"Pass",IF(AND(G407="N/A",H407="N/A",J407&lt;&gt;"",OR(E407="CEM-FUELS",E407="CEM-CCS",AND(E407="CEM-PLAN",IFERROR(INDEX('Taxonomy'!$M$9:$M$108,MATCH(D407,'Taxonomy'!$C$9:$C$108,0)),"")&lt;&gt;"Amber"),E407="BLD-TIMBER",AND(U407="Building equipment",OR(E407="BLD-WATER",E407="BLD-WASTE",E407="BLD-LAND")),AND(U407="Building renovation",E407="BLD-LAND"))),"N/A","Pending"))))))</x:f>
      </x:c>
      <x:c r="Q407" s="3" t="str">
        <x:f>IF(C407="","",IF(AND(R407="Valid",OR(P407="Pass",P407="N/A")),"Complete","Unresolved"))</x:f>
      </x:c>
      <x:c r="R407" s="9" t="str">
        <x:f>IF(C407="","",IF(OR(COUNTIF($C$9:$C$2008,C407)&lt;&gt;1,COUNTIFS($D$9:$D$2008,D407,$E$9:$E$2008,E407)&lt;&gt;1),"Duplicate test",IF(COUNTIF('Taxonomy'!$C$9:$C$108,D407)&lt;&gt;1,"Assessment key",IF(OR(COUNTIF('Taxonomy Rules'!$C$42:$C$68,E407)&lt;&gt;1,F407&lt;&gt;IFERROR(INDEX('Taxonomy Rules'!$D$42:$D$68,MATCH(E407,'Taxonomy Rules'!$C$42:$C$68,0)),""),NOT(OR(IFERROR(INDEX('Taxonomy Rules'!$G$42:$G$68,MATCH(E407,'Taxonomy Rules'!$C$42:$C$68,0)),"")="All supported routes",IFERROR(INDEX('Taxonomy Rules'!$G$42:$G$68,MATCH(E407,'Taxonomy Rules'!$C$42:$C$68,0)),"")=U407,AND(IFERROR(INDEX('Taxonomy Rules'!$G$42:$G$68,MATCH(E407,'Taxonomy Rules'!$C$42:$C$68,0)),"")="Building routes",OR(U407="Building renovation",U407="New building",U407="Building equipment"))))),"Unexpected test","Valid"))))</x:f>
      </x:c>
      <x:c r="S407" s="9" t="str">
        <x:f>IF(C407="","",IFERROR(INDEX('Taxonomy Rules'!$E$42:$E$68,MATCH(E407,'Taxonomy Rules'!$C$42:$C$68,0)),""))</x:f>
      </x:c>
      <x:c r="T407" s="9" t="str">
        <x:f>IF(C407="","",IFERROR(INDEX('Taxonomy Rules'!$F$42:$F$68,MATCH(E407,'Taxonomy Rules'!$C$42:$C$68,0)),""))</x:f>
      </x:c>
      <x:c r="U407" s="9" t="str">
        <x:f>IF(C407="","",IFERROR(INDEX('Taxonomy'!$G$9:$G$108,MATCH(D407,'Taxonomy'!$C$9:$C$108,0)),""))</x:f>
      </x:c>
    </x:row>
    <x:row r="408" ht="44" customHeight="1">
      <x:c r="A408" s="1"/>
      <x:c r="B408" s="1"/>
      <x:c r="C408" s="8"/>
      <x:c r="D408" s="8"/>
      <x:c r="E408" s="8"/>
      <x:c r="F408" s="8"/>
      <x:c r="G408" s="8"/>
      <x:c r="H408" s="8"/>
      <x:c r="I408" s="8"/>
      <x:c r="J408" s="8"/>
      <x:c r="K408" s="8"/>
      <x:c r="L408" s="8"/>
      <x:c r="M408" s="10"/>
      <x:c r="N408" s="10"/>
      <x:c r="O408" s="8"/>
      <x:c r="P408" s="9" t="str">
        <x:f>IF(C408="","",IF(AND(G408="Applicable",H408="Fail"),"Fail",IF(R408&lt;&gt;"Valid","Pending",IF(OR(I408="",K408="",L408="",K408=L408,NOT(ISNUMBER(M408)),NOT(ISNUMBER(N408)),M408&gt;Settings!$F$8,N408&lt;Settings!$F$8,N408&lt;M408),"Pending",IF(AND(G408="Applicable",H408="Pass"),"Pass",IF(AND(G408="N/A",H408="N/A",J408&lt;&gt;"",OR(E408="CEM-FUELS",E408="CEM-CCS",AND(E408="CEM-PLAN",IFERROR(INDEX('Taxonomy'!$M$9:$M$108,MATCH(D408,'Taxonomy'!$C$9:$C$108,0)),"")&lt;&gt;"Amber"),E408="BLD-TIMBER",AND(U408="Building equipment",OR(E408="BLD-WATER",E408="BLD-WASTE",E408="BLD-LAND")),AND(U408="Building renovation",E408="BLD-LAND"))),"N/A","Pending"))))))</x:f>
      </x:c>
      <x:c r="Q408" s="3" t="str">
        <x:f>IF(C408="","",IF(AND(R408="Valid",OR(P408="Pass",P408="N/A")),"Complete","Unresolved"))</x:f>
      </x:c>
      <x:c r="R408" s="9" t="str">
        <x:f>IF(C408="","",IF(OR(COUNTIF($C$9:$C$2008,C408)&lt;&gt;1,COUNTIFS($D$9:$D$2008,D408,$E$9:$E$2008,E408)&lt;&gt;1),"Duplicate test",IF(COUNTIF('Taxonomy'!$C$9:$C$108,D408)&lt;&gt;1,"Assessment key",IF(OR(COUNTIF('Taxonomy Rules'!$C$42:$C$68,E408)&lt;&gt;1,F408&lt;&gt;IFERROR(INDEX('Taxonomy Rules'!$D$42:$D$68,MATCH(E408,'Taxonomy Rules'!$C$42:$C$68,0)),""),NOT(OR(IFERROR(INDEX('Taxonomy Rules'!$G$42:$G$68,MATCH(E408,'Taxonomy Rules'!$C$42:$C$68,0)),"")="All supported routes",IFERROR(INDEX('Taxonomy Rules'!$G$42:$G$68,MATCH(E408,'Taxonomy Rules'!$C$42:$C$68,0)),"")=U408,AND(IFERROR(INDEX('Taxonomy Rules'!$G$42:$G$68,MATCH(E408,'Taxonomy Rules'!$C$42:$C$68,0)),"")="Building routes",OR(U408="Building renovation",U408="New building",U408="Building equipment"))))),"Unexpected test","Valid"))))</x:f>
      </x:c>
      <x:c r="S408" s="9" t="str">
        <x:f>IF(C408="","",IFERROR(INDEX('Taxonomy Rules'!$E$42:$E$68,MATCH(E408,'Taxonomy Rules'!$C$42:$C$68,0)),""))</x:f>
      </x:c>
      <x:c r="T408" s="9" t="str">
        <x:f>IF(C408="","",IFERROR(INDEX('Taxonomy Rules'!$F$42:$F$68,MATCH(E408,'Taxonomy Rules'!$C$42:$C$68,0)),""))</x:f>
      </x:c>
      <x:c r="U408" s="9" t="str">
        <x:f>IF(C408="","",IFERROR(INDEX('Taxonomy'!$G$9:$G$108,MATCH(D408,'Taxonomy'!$C$9:$C$108,0)),""))</x:f>
      </x:c>
    </x:row>
    <x:row r="409" ht="44" customHeight="1">
      <x:c r="A409" s="1"/>
      <x:c r="B409" s="1"/>
      <x:c r="C409" s="8"/>
      <x:c r="D409" s="8"/>
      <x:c r="E409" s="8"/>
      <x:c r="F409" s="8"/>
      <x:c r="G409" s="8"/>
      <x:c r="H409" s="8"/>
      <x:c r="I409" s="8"/>
      <x:c r="J409" s="8"/>
      <x:c r="K409" s="8"/>
      <x:c r="L409" s="8"/>
      <x:c r="M409" s="10"/>
      <x:c r="N409" s="10"/>
      <x:c r="O409" s="8"/>
      <x:c r="P409" s="9" t="str">
        <x:f>IF(C409="","",IF(AND(G409="Applicable",H409="Fail"),"Fail",IF(R409&lt;&gt;"Valid","Pending",IF(OR(I409="",K409="",L409="",K409=L409,NOT(ISNUMBER(M409)),NOT(ISNUMBER(N409)),M409&gt;Settings!$F$8,N409&lt;Settings!$F$8,N409&lt;M409),"Pending",IF(AND(G409="Applicable",H409="Pass"),"Pass",IF(AND(G409="N/A",H409="N/A",J409&lt;&gt;"",OR(E409="CEM-FUELS",E409="CEM-CCS",AND(E409="CEM-PLAN",IFERROR(INDEX('Taxonomy'!$M$9:$M$108,MATCH(D409,'Taxonomy'!$C$9:$C$108,0)),"")&lt;&gt;"Amber"),E409="BLD-TIMBER",AND(U409="Building equipment",OR(E409="BLD-WATER",E409="BLD-WASTE",E409="BLD-LAND")),AND(U409="Building renovation",E409="BLD-LAND"))),"N/A","Pending"))))))</x:f>
      </x:c>
      <x:c r="Q409" s="3" t="str">
        <x:f>IF(C409="","",IF(AND(R409="Valid",OR(P409="Pass",P409="N/A")),"Complete","Unresolved"))</x:f>
      </x:c>
      <x:c r="R409" s="9" t="str">
        <x:f>IF(C409="","",IF(OR(COUNTIF($C$9:$C$2008,C409)&lt;&gt;1,COUNTIFS($D$9:$D$2008,D409,$E$9:$E$2008,E409)&lt;&gt;1),"Duplicate test",IF(COUNTIF('Taxonomy'!$C$9:$C$108,D409)&lt;&gt;1,"Assessment key",IF(OR(COUNTIF('Taxonomy Rules'!$C$42:$C$68,E409)&lt;&gt;1,F409&lt;&gt;IFERROR(INDEX('Taxonomy Rules'!$D$42:$D$68,MATCH(E409,'Taxonomy Rules'!$C$42:$C$68,0)),""),NOT(OR(IFERROR(INDEX('Taxonomy Rules'!$G$42:$G$68,MATCH(E409,'Taxonomy Rules'!$C$42:$C$68,0)),"")="All supported routes",IFERROR(INDEX('Taxonomy Rules'!$G$42:$G$68,MATCH(E409,'Taxonomy Rules'!$C$42:$C$68,0)),"")=U409,AND(IFERROR(INDEX('Taxonomy Rules'!$G$42:$G$68,MATCH(E409,'Taxonomy Rules'!$C$42:$C$68,0)),"")="Building routes",OR(U409="Building renovation",U409="New building",U409="Building equipment"))))),"Unexpected test","Valid"))))</x:f>
      </x:c>
      <x:c r="S409" s="9" t="str">
        <x:f>IF(C409="","",IFERROR(INDEX('Taxonomy Rules'!$E$42:$E$68,MATCH(E409,'Taxonomy Rules'!$C$42:$C$68,0)),""))</x:f>
      </x:c>
      <x:c r="T409" s="9" t="str">
        <x:f>IF(C409="","",IFERROR(INDEX('Taxonomy Rules'!$F$42:$F$68,MATCH(E409,'Taxonomy Rules'!$C$42:$C$68,0)),""))</x:f>
      </x:c>
      <x:c r="U409" s="9" t="str">
        <x:f>IF(C409="","",IFERROR(INDEX('Taxonomy'!$G$9:$G$108,MATCH(D409,'Taxonomy'!$C$9:$C$108,0)),""))</x:f>
      </x:c>
    </x:row>
    <x:row r="410" ht="44" customHeight="1">
      <x:c r="A410" s="1"/>
      <x:c r="B410" s="1"/>
      <x:c r="C410" s="8"/>
      <x:c r="D410" s="8"/>
      <x:c r="E410" s="8"/>
      <x:c r="F410" s="8"/>
      <x:c r="G410" s="8"/>
      <x:c r="H410" s="8"/>
      <x:c r="I410" s="8"/>
      <x:c r="J410" s="8"/>
      <x:c r="K410" s="8"/>
      <x:c r="L410" s="8"/>
      <x:c r="M410" s="10"/>
      <x:c r="N410" s="10"/>
      <x:c r="O410" s="8"/>
      <x:c r="P410" s="9" t="str">
        <x:f>IF(C410="","",IF(AND(G410="Applicable",H410="Fail"),"Fail",IF(R410&lt;&gt;"Valid","Pending",IF(OR(I410="",K410="",L410="",K410=L410,NOT(ISNUMBER(M410)),NOT(ISNUMBER(N410)),M410&gt;Settings!$F$8,N410&lt;Settings!$F$8,N410&lt;M410),"Pending",IF(AND(G410="Applicable",H410="Pass"),"Pass",IF(AND(G410="N/A",H410="N/A",J410&lt;&gt;"",OR(E410="CEM-FUELS",E410="CEM-CCS",AND(E410="CEM-PLAN",IFERROR(INDEX('Taxonomy'!$M$9:$M$108,MATCH(D410,'Taxonomy'!$C$9:$C$108,0)),"")&lt;&gt;"Amber"),E410="BLD-TIMBER",AND(U410="Building equipment",OR(E410="BLD-WATER",E410="BLD-WASTE",E410="BLD-LAND")),AND(U410="Building renovation",E410="BLD-LAND"))),"N/A","Pending"))))))</x:f>
      </x:c>
      <x:c r="Q410" s="3" t="str">
        <x:f>IF(C410="","",IF(AND(R410="Valid",OR(P410="Pass",P410="N/A")),"Complete","Unresolved"))</x:f>
      </x:c>
      <x:c r="R410" s="9" t="str">
        <x:f>IF(C410="","",IF(OR(COUNTIF($C$9:$C$2008,C410)&lt;&gt;1,COUNTIFS($D$9:$D$2008,D410,$E$9:$E$2008,E410)&lt;&gt;1),"Duplicate test",IF(COUNTIF('Taxonomy'!$C$9:$C$108,D410)&lt;&gt;1,"Assessment key",IF(OR(COUNTIF('Taxonomy Rules'!$C$42:$C$68,E410)&lt;&gt;1,F410&lt;&gt;IFERROR(INDEX('Taxonomy Rules'!$D$42:$D$68,MATCH(E410,'Taxonomy Rules'!$C$42:$C$68,0)),""),NOT(OR(IFERROR(INDEX('Taxonomy Rules'!$G$42:$G$68,MATCH(E410,'Taxonomy Rules'!$C$42:$C$68,0)),"")="All supported routes",IFERROR(INDEX('Taxonomy Rules'!$G$42:$G$68,MATCH(E410,'Taxonomy Rules'!$C$42:$C$68,0)),"")=U410,AND(IFERROR(INDEX('Taxonomy Rules'!$G$42:$G$68,MATCH(E410,'Taxonomy Rules'!$C$42:$C$68,0)),"")="Building routes",OR(U410="Building renovation",U410="New building",U410="Building equipment"))))),"Unexpected test","Valid"))))</x:f>
      </x:c>
      <x:c r="S410" s="9" t="str">
        <x:f>IF(C410="","",IFERROR(INDEX('Taxonomy Rules'!$E$42:$E$68,MATCH(E410,'Taxonomy Rules'!$C$42:$C$68,0)),""))</x:f>
      </x:c>
      <x:c r="T410" s="9" t="str">
        <x:f>IF(C410="","",IFERROR(INDEX('Taxonomy Rules'!$F$42:$F$68,MATCH(E410,'Taxonomy Rules'!$C$42:$C$68,0)),""))</x:f>
      </x:c>
      <x:c r="U410" s="9" t="str">
        <x:f>IF(C410="","",IFERROR(INDEX('Taxonomy'!$G$9:$G$108,MATCH(D410,'Taxonomy'!$C$9:$C$108,0)),""))</x:f>
      </x:c>
    </x:row>
    <x:row r="411" ht="44" customHeight="1">
      <x:c r="A411" s="1"/>
      <x:c r="B411" s="1"/>
      <x:c r="C411" s="8"/>
      <x:c r="D411" s="8"/>
      <x:c r="E411" s="8"/>
      <x:c r="F411" s="8"/>
      <x:c r="G411" s="8"/>
      <x:c r="H411" s="8"/>
      <x:c r="I411" s="8"/>
      <x:c r="J411" s="8"/>
      <x:c r="K411" s="8"/>
      <x:c r="L411" s="8"/>
      <x:c r="M411" s="10"/>
      <x:c r="N411" s="10"/>
      <x:c r="O411" s="8"/>
      <x:c r="P411" s="9" t="str">
        <x:f>IF(C411="","",IF(AND(G411="Applicable",H411="Fail"),"Fail",IF(R411&lt;&gt;"Valid","Pending",IF(OR(I411="",K411="",L411="",K411=L411,NOT(ISNUMBER(M411)),NOT(ISNUMBER(N411)),M411&gt;Settings!$F$8,N411&lt;Settings!$F$8,N411&lt;M411),"Pending",IF(AND(G411="Applicable",H411="Pass"),"Pass",IF(AND(G411="N/A",H411="N/A",J411&lt;&gt;"",OR(E411="CEM-FUELS",E411="CEM-CCS",AND(E411="CEM-PLAN",IFERROR(INDEX('Taxonomy'!$M$9:$M$108,MATCH(D411,'Taxonomy'!$C$9:$C$108,0)),"")&lt;&gt;"Amber"),E411="BLD-TIMBER",AND(U411="Building equipment",OR(E411="BLD-WATER",E411="BLD-WASTE",E411="BLD-LAND")),AND(U411="Building renovation",E411="BLD-LAND"))),"N/A","Pending"))))))</x:f>
      </x:c>
      <x:c r="Q411" s="3" t="str">
        <x:f>IF(C411="","",IF(AND(R411="Valid",OR(P411="Pass",P411="N/A")),"Complete","Unresolved"))</x:f>
      </x:c>
      <x:c r="R411" s="9" t="str">
        <x:f>IF(C411="","",IF(OR(COUNTIF($C$9:$C$2008,C411)&lt;&gt;1,COUNTIFS($D$9:$D$2008,D411,$E$9:$E$2008,E411)&lt;&gt;1),"Duplicate test",IF(COUNTIF('Taxonomy'!$C$9:$C$108,D411)&lt;&gt;1,"Assessment key",IF(OR(COUNTIF('Taxonomy Rules'!$C$42:$C$68,E411)&lt;&gt;1,F411&lt;&gt;IFERROR(INDEX('Taxonomy Rules'!$D$42:$D$68,MATCH(E411,'Taxonomy Rules'!$C$42:$C$68,0)),""),NOT(OR(IFERROR(INDEX('Taxonomy Rules'!$G$42:$G$68,MATCH(E411,'Taxonomy Rules'!$C$42:$C$68,0)),"")="All supported routes",IFERROR(INDEX('Taxonomy Rules'!$G$42:$G$68,MATCH(E411,'Taxonomy Rules'!$C$42:$C$68,0)),"")=U411,AND(IFERROR(INDEX('Taxonomy Rules'!$G$42:$G$68,MATCH(E411,'Taxonomy Rules'!$C$42:$C$68,0)),"")="Building routes",OR(U411="Building renovation",U411="New building",U411="Building equipment"))))),"Unexpected test","Valid"))))</x:f>
      </x:c>
      <x:c r="S411" s="9" t="str">
        <x:f>IF(C411="","",IFERROR(INDEX('Taxonomy Rules'!$E$42:$E$68,MATCH(E411,'Taxonomy Rules'!$C$42:$C$68,0)),""))</x:f>
      </x:c>
      <x:c r="T411" s="9" t="str">
        <x:f>IF(C411="","",IFERROR(INDEX('Taxonomy Rules'!$F$42:$F$68,MATCH(E411,'Taxonomy Rules'!$C$42:$C$68,0)),""))</x:f>
      </x:c>
      <x:c r="U411" s="9" t="str">
        <x:f>IF(C411="","",IFERROR(INDEX('Taxonomy'!$G$9:$G$108,MATCH(D411,'Taxonomy'!$C$9:$C$108,0)),""))</x:f>
      </x:c>
    </x:row>
    <x:row r="412" ht="44" customHeight="1">
      <x:c r="A412" s="1"/>
      <x:c r="B412" s="1"/>
      <x:c r="C412" s="8"/>
      <x:c r="D412" s="8"/>
      <x:c r="E412" s="8"/>
      <x:c r="F412" s="8"/>
      <x:c r="G412" s="8"/>
      <x:c r="H412" s="8"/>
      <x:c r="I412" s="8"/>
      <x:c r="J412" s="8"/>
      <x:c r="K412" s="8"/>
      <x:c r="L412" s="8"/>
      <x:c r="M412" s="10"/>
      <x:c r="N412" s="10"/>
      <x:c r="O412" s="8"/>
      <x:c r="P412" s="9" t="str">
        <x:f>IF(C412="","",IF(AND(G412="Applicable",H412="Fail"),"Fail",IF(R412&lt;&gt;"Valid","Pending",IF(OR(I412="",K412="",L412="",K412=L412,NOT(ISNUMBER(M412)),NOT(ISNUMBER(N412)),M412&gt;Settings!$F$8,N412&lt;Settings!$F$8,N412&lt;M412),"Pending",IF(AND(G412="Applicable",H412="Pass"),"Pass",IF(AND(G412="N/A",H412="N/A",J412&lt;&gt;"",OR(E412="CEM-FUELS",E412="CEM-CCS",AND(E412="CEM-PLAN",IFERROR(INDEX('Taxonomy'!$M$9:$M$108,MATCH(D412,'Taxonomy'!$C$9:$C$108,0)),"")&lt;&gt;"Amber"),E412="BLD-TIMBER",AND(U412="Building equipment",OR(E412="BLD-WATER",E412="BLD-WASTE",E412="BLD-LAND")),AND(U412="Building renovation",E412="BLD-LAND"))),"N/A","Pending"))))))</x:f>
      </x:c>
      <x:c r="Q412" s="3" t="str">
        <x:f>IF(C412="","",IF(AND(R412="Valid",OR(P412="Pass",P412="N/A")),"Complete","Unresolved"))</x:f>
      </x:c>
      <x:c r="R412" s="9" t="str">
        <x:f>IF(C412="","",IF(OR(COUNTIF($C$9:$C$2008,C412)&lt;&gt;1,COUNTIFS($D$9:$D$2008,D412,$E$9:$E$2008,E412)&lt;&gt;1),"Duplicate test",IF(COUNTIF('Taxonomy'!$C$9:$C$108,D412)&lt;&gt;1,"Assessment key",IF(OR(COUNTIF('Taxonomy Rules'!$C$42:$C$68,E412)&lt;&gt;1,F412&lt;&gt;IFERROR(INDEX('Taxonomy Rules'!$D$42:$D$68,MATCH(E412,'Taxonomy Rules'!$C$42:$C$68,0)),""),NOT(OR(IFERROR(INDEX('Taxonomy Rules'!$G$42:$G$68,MATCH(E412,'Taxonomy Rules'!$C$42:$C$68,0)),"")="All supported routes",IFERROR(INDEX('Taxonomy Rules'!$G$42:$G$68,MATCH(E412,'Taxonomy Rules'!$C$42:$C$68,0)),"")=U412,AND(IFERROR(INDEX('Taxonomy Rules'!$G$42:$G$68,MATCH(E412,'Taxonomy Rules'!$C$42:$C$68,0)),"")="Building routes",OR(U412="Building renovation",U412="New building",U412="Building equipment"))))),"Unexpected test","Valid"))))</x:f>
      </x:c>
      <x:c r="S412" s="9" t="str">
        <x:f>IF(C412="","",IFERROR(INDEX('Taxonomy Rules'!$E$42:$E$68,MATCH(E412,'Taxonomy Rules'!$C$42:$C$68,0)),""))</x:f>
      </x:c>
      <x:c r="T412" s="9" t="str">
        <x:f>IF(C412="","",IFERROR(INDEX('Taxonomy Rules'!$F$42:$F$68,MATCH(E412,'Taxonomy Rules'!$C$42:$C$68,0)),""))</x:f>
      </x:c>
      <x:c r="U412" s="9" t="str">
        <x:f>IF(C412="","",IFERROR(INDEX('Taxonomy'!$G$9:$G$108,MATCH(D412,'Taxonomy'!$C$9:$C$108,0)),""))</x:f>
      </x:c>
    </x:row>
    <x:row r="413" ht="44" customHeight="1">
      <x:c r="A413" s="1"/>
      <x:c r="B413" s="1"/>
      <x:c r="C413" s="8"/>
      <x:c r="D413" s="8"/>
      <x:c r="E413" s="8"/>
      <x:c r="F413" s="8"/>
      <x:c r="G413" s="8"/>
      <x:c r="H413" s="8"/>
      <x:c r="I413" s="8"/>
      <x:c r="J413" s="8"/>
      <x:c r="K413" s="8"/>
      <x:c r="L413" s="8"/>
      <x:c r="M413" s="10"/>
      <x:c r="N413" s="10"/>
      <x:c r="O413" s="8"/>
      <x:c r="P413" s="9" t="str">
        <x:f>IF(C413="","",IF(AND(G413="Applicable",H413="Fail"),"Fail",IF(R413&lt;&gt;"Valid","Pending",IF(OR(I413="",K413="",L413="",K413=L413,NOT(ISNUMBER(M413)),NOT(ISNUMBER(N413)),M413&gt;Settings!$F$8,N413&lt;Settings!$F$8,N413&lt;M413),"Pending",IF(AND(G413="Applicable",H413="Pass"),"Pass",IF(AND(G413="N/A",H413="N/A",J413&lt;&gt;"",OR(E413="CEM-FUELS",E413="CEM-CCS",AND(E413="CEM-PLAN",IFERROR(INDEX('Taxonomy'!$M$9:$M$108,MATCH(D413,'Taxonomy'!$C$9:$C$108,0)),"")&lt;&gt;"Amber"),E413="BLD-TIMBER",AND(U413="Building equipment",OR(E413="BLD-WATER",E413="BLD-WASTE",E413="BLD-LAND")),AND(U413="Building renovation",E413="BLD-LAND"))),"N/A","Pending"))))))</x:f>
      </x:c>
      <x:c r="Q413" s="3" t="str">
        <x:f>IF(C413="","",IF(AND(R413="Valid",OR(P413="Pass",P413="N/A")),"Complete","Unresolved"))</x:f>
      </x:c>
      <x:c r="R413" s="9" t="str">
        <x:f>IF(C413="","",IF(OR(COUNTIF($C$9:$C$2008,C413)&lt;&gt;1,COUNTIFS($D$9:$D$2008,D413,$E$9:$E$2008,E413)&lt;&gt;1),"Duplicate test",IF(COUNTIF('Taxonomy'!$C$9:$C$108,D413)&lt;&gt;1,"Assessment key",IF(OR(COUNTIF('Taxonomy Rules'!$C$42:$C$68,E413)&lt;&gt;1,F413&lt;&gt;IFERROR(INDEX('Taxonomy Rules'!$D$42:$D$68,MATCH(E413,'Taxonomy Rules'!$C$42:$C$68,0)),""),NOT(OR(IFERROR(INDEX('Taxonomy Rules'!$G$42:$G$68,MATCH(E413,'Taxonomy Rules'!$C$42:$C$68,0)),"")="All supported routes",IFERROR(INDEX('Taxonomy Rules'!$G$42:$G$68,MATCH(E413,'Taxonomy Rules'!$C$42:$C$68,0)),"")=U413,AND(IFERROR(INDEX('Taxonomy Rules'!$G$42:$G$68,MATCH(E413,'Taxonomy Rules'!$C$42:$C$68,0)),"")="Building routes",OR(U413="Building renovation",U413="New building",U413="Building equipment"))))),"Unexpected test","Valid"))))</x:f>
      </x:c>
      <x:c r="S413" s="9" t="str">
        <x:f>IF(C413="","",IFERROR(INDEX('Taxonomy Rules'!$E$42:$E$68,MATCH(E413,'Taxonomy Rules'!$C$42:$C$68,0)),""))</x:f>
      </x:c>
      <x:c r="T413" s="9" t="str">
        <x:f>IF(C413="","",IFERROR(INDEX('Taxonomy Rules'!$F$42:$F$68,MATCH(E413,'Taxonomy Rules'!$C$42:$C$68,0)),""))</x:f>
      </x:c>
      <x:c r="U413" s="9" t="str">
        <x:f>IF(C413="","",IFERROR(INDEX('Taxonomy'!$G$9:$G$108,MATCH(D413,'Taxonomy'!$C$9:$C$108,0)),""))</x:f>
      </x:c>
    </x:row>
    <x:row r="414" ht="44" customHeight="1">
      <x:c r="A414" s="1"/>
      <x:c r="B414" s="1"/>
      <x:c r="C414" s="8"/>
      <x:c r="D414" s="8"/>
      <x:c r="E414" s="8"/>
      <x:c r="F414" s="8"/>
      <x:c r="G414" s="8"/>
      <x:c r="H414" s="8"/>
      <x:c r="I414" s="8"/>
      <x:c r="J414" s="8"/>
      <x:c r="K414" s="8"/>
      <x:c r="L414" s="8"/>
      <x:c r="M414" s="10"/>
      <x:c r="N414" s="10"/>
      <x:c r="O414" s="8"/>
      <x:c r="P414" s="9" t="str">
        <x:f>IF(C414="","",IF(AND(G414="Applicable",H414="Fail"),"Fail",IF(R414&lt;&gt;"Valid","Pending",IF(OR(I414="",K414="",L414="",K414=L414,NOT(ISNUMBER(M414)),NOT(ISNUMBER(N414)),M414&gt;Settings!$F$8,N414&lt;Settings!$F$8,N414&lt;M414),"Pending",IF(AND(G414="Applicable",H414="Pass"),"Pass",IF(AND(G414="N/A",H414="N/A",J414&lt;&gt;"",OR(E414="CEM-FUELS",E414="CEM-CCS",AND(E414="CEM-PLAN",IFERROR(INDEX('Taxonomy'!$M$9:$M$108,MATCH(D414,'Taxonomy'!$C$9:$C$108,0)),"")&lt;&gt;"Amber"),E414="BLD-TIMBER",AND(U414="Building equipment",OR(E414="BLD-WATER",E414="BLD-WASTE",E414="BLD-LAND")),AND(U414="Building renovation",E414="BLD-LAND"))),"N/A","Pending"))))))</x:f>
      </x:c>
      <x:c r="Q414" s="3" t="str">
        <x:f>IF(C414="","",IF(AND(R414="Valid",OR(P414="Pass",P414="N/A")),"Complete","Unresolved"))</x:f>
      </x:c>
      <x:c r="R414" s="9" t="str">
        <x:f>IF(C414="","",IF(OR(COUNTIF($C$9:$C$2008,C414)&lt;&gt;1,COUNTIFS($D$9:$D$2008,D414,$E$9:$E$2008,E414)&lt;&gt;1),"Duplicate test",IF(COUNTIF('Taxonomy'!$C$9:$C$108,D414)&lt;&gt;1,"Assessment key",IF(OR(COUNTIF('Taxonomy Rules'!$C$42:$C$68,E414)&lt;&gt;1,F414&lt;&gt;IFERROR(INDEX('Taxonomy Rules'!$D$42:$D$68,MATCH(E414,'Taxonomy Rules'!$C$42:$C$68,0)),""),NOT(OR(IFERROR(INDEX('Taxonomy Rules'!$G$42:$G$68,MATCH(E414,'Taxonomy Rules'!$C$42:$C$68,0)),"")="All supported routes",IFERROR(INDEX('Taxonomy Rules'!$G$42:$G$68,MATCH(E414,'Taxonomy Rules'!$C$42:$C$68,0)),"")=U414,AND(IFERROR(INDEX('Taxonomy Rules'!$G$42:$G$68,MATCH(E414,'Taxonomy Rules'!$C$42:$C$68,0)),"")="Building routes",OR(U414="Building renovation",U414="New building",U414="Building equipment"))))),"Unexpected test","Valid"))))</x:f>
      </x:c>
      <x:c r="S414" s="9" t="str">
        <x:f>IF(C414="","",IFERROR(INDEX('Taxonomy Rules'!$E$42:$E$68,MATCH(E414,'Taxonomy Rules'!$C$42:$C$68,0)),""))</x:f>
      </x:c>
      <x:c r="T414" s="9" t="str">
        <x:f>IF(C414="","",IFERROR(INDEX('Taxonomy Rules'!$F$42:$F$68,MATCH(E414,'Taxonomy Rules'!$C$42:$C$68,0)),""))</x:f>
      </x:c>
      <x:c r="U414" s="9" t="str">
        <x:f>IF(C414="","",IFERROR(INDEX('Taxonomy'!$G$9:$G$108,MATCH(D414,'Taxonomy'!$C$9:$C$108,0)),""))</x:f>
      </x:c>
    </x:row>
    <x:row r="415" ht="44" customHeight="1">
      <x:c r="A415" s="1"/>
      <x:c r="B415" s="1"/>
      <x:c r="C415" s="8"/>
      <x:c r="D415" s="8"/>
      <x:c r="E415" s="8"/>
      <x:c r="F415" s="8"/>
      <x:c r="G415" s="8"/>
      <x:c r="H415" s="8"/>
      <x:c r="I415" s="8"/>
      <x:c r="J415" s="8"/>
      <x:c r="K415" s="8"/>
      <x:c r="L415" s="8"/>
      <x:c r="M415" s="10"/>
      <x:c r="N415" s="10"/>
      <x:c r="O415" s="8"/>
      <x:c r="P415" s="9" t="str">
        <x:f>IF(C415="","",IF(AND(G415="Applicable",H415="Fail"),"Fail",IF(R415&lt;&gt;"Valid","Pending",IF(OR(I415="",K415="",L415="",K415=L415,NOT(ISNUMBER(M415)),NOT(ISNUMBER(N415)),M415&gt;Settings!$F$8,N415&lt;Settings!$F$8,N415&lt;M415),"Pending",IF(AND(G415="Applicable",H415="Pass"),"Pass",IF(AND(G415="N/A",H415="N/A",J415&lt;&gt;"",OR(E415="CEM-FUELS",E415="CEM-CCS",AND(E415="CEM-PLAN",IFERROR(INDEX('Taxonomy'!$M$9:$M$108,MATCH(D415,'Taxonomy'!$C$9:$C$108,0)),"")&lt;&gt;"Amber"),E415="BLD-TIMBER",AND(U415="Building equipment",OR(E415="BLD-WATER",E415="BLD-WASTE",E415="BLD-LAND")),AND(U415="Building renovation",E415="BLD-LAND"))),"N/A","Pending"))))))</x:f>
      </x:c>
      <x:c r="Q415" s="3" t="str">
        <x:f>IF(C415="","",IF(AND(R415="Valid",OR(P415="Pass",P415="N/A")),"Complete","Unresolved"))</x:f>
      </x:c>
      <x:c r="R415" s="9" t="str">
        <x:f>IF(C415="","",IF(OR(COUNTIF($C$9:$C$2008,C415)&lt;&gt;1,COUNTIFS($D$9:$D$2008,D415,$E$9:$E$2008,E415)&lt;&gt;1),"Duplicate test",IF(COUNTIF('Taxonomy'!$C$9:$C$108,D415)&lt;&gt;1,"Assessment key",IF(OR(COUNTIF('Taxonomy Rules'!$C$42:$C$68,E415)&lt;&gt;1,F415&lt;&gt;IFERROR(INDEX('Taxonomy Rules'!$D$42:$D$68,MATCH(E415,'Taxonomy Rules'!$C$42:$C$68,0)),""),NOT(OR(IFERROR(INDEX('Taxonomy Rules'!$G$42:$G$68,MATCH(E415,'Taxonomy Rules'!$C$42:$C$68,0)),"")="All supported routes",IFERROR(INDEX('Taxonomy Rules'!$G$42:$G$68,MATCH(E415,'Taxonomy Rules'!$C$42:$C$68,0)),"")=U415,AND(IFERROR(INDEX('Taxonomy Rules'!$G$42:$G$68,MATCH(E415,'Taxonomy Rules'!$C$42:$C$68,0)),"")="Building routes",OR(U415="Building renovation",U415="New building",U415="Building equipment"))))),"Unexpected test","Valid"))))</x:f>
      </x:c>
      <x:c r="S415" s="9" t="str">
        <x:f>IF(C415="","",IFERROR(INDEX('Taxonomy Rules'!$E$42:$E$68,MATCH(E415,'Taxonomy Rules'!$C$42:$C$68,0)),""))</x:f>
      </x:c>
      <x:c r="T415" s="9" t="str">
        <x:f>IF(C415="","",IFERROR(INDEX('Taxonomy Rules'!$F$42:$F$68,MATCH(E415,'Taxonomy Rules'!$C$42:$C$68,0)),""))</x:f>
      </x:c>
      <x:c r="U415" s="9" t="str">
        <x:f>IF(C415="","",IFERROR(INDEX('Taxonomy'!$G$9:$G$108,MATCH(D415,'Taxonomy'!$C$9:$C$108,0)),""))</x:f>
      </x:c>
    </x:row>
    <x:row r="416" ht="44" customHeight="1">
      <x:c r="A416" s="1"/>
      <x:c r="B416" s="1"/>
      <x:c r="C416" s="8"/>
      <x:c r="D416" s="8"/>
      <x:c r="E416" s="8"/>
      <x:c r="F416" s="8"/>
      <x:c r="G416" s="8"/>
      <x:c r="H416" s="8"/>
      <x:c r="I416" s="8"/>
      <x:c r="J416" s="8"/>
      <x:c r="K416" s="8"/>
      <x:c r="L416" s="8"/>
      <x:c r="M416" s="10"/>
      <x:c r="N416" s="10"/>
      <x:c r="O416" s="8"/>
      <x:c r="P416" s="9" t="str">
        <x:f>IF(C416="","",IF(AND(G416="Applicable",H416="Fail"),"Fail",IF(R416&lt;&gt;"Valid","Pending",IF(OR(I416="",K416="",L416="",K416=L416,NOT(ISNUMBER(M416)),NOT(ISNUMBER(N416)),M416&gt;Settings!$F$8,N416&lt;Settings!$F$8,N416&lt;M416),"Pending",IF(AND(G416="Applicable",H416="Pass"),"Pass",IF(AND(G416="N/A",H416="N/A",J416&lt;&gt;"",OR(E416="CEM-FUELS",E416="CEM-CCS",AND(E416="CEM-PLAN",IFERROR(INDEX('Taxonomy'!$M$9:$M$108,MATCH(D416,'Taxonomy'!$C$9:$C$108,0)),"")&lt;&gt;"Amber"),E416="BLD-TIMBER",AND(U416="Building equipment",OR(E416="BLD-WATER",E416="BLD-WASTE",E416="BLD-LAND")),AND(U416="Building renovation",E416="BLD-LAND"))),"N/A","Pending"))))))</x:f>
      </x:c>
      <x:c r="Q416" s="3" t="str">
        <x:f>IF(C416="","",IF(AND(R416="Valid",OR(P416="Pass",P416="N/A")),"Complete","Unresolved"))</x:f>
      </x:c>
      <x:c r="R416" s="9" t="str">
        <x:f>IF(C416="","",IF(OR(COUNTIF($C$9:$C$2008,C416)&lt;&gt;1,COUNTIFS($D$9:$D$2008,D416,$E$9:$E$2008,E416)&lt;&gt;1),"Duplicate test",IF(COUNTIF('Taxonomy'!$C$9:$C$108,D416)&lt;&gt;1,"Assessment key",IF(OR(COUNTIF('Taxonomy Rules'!$C$42:$C$68,E416)&lt;&gt;1,F416&lt;&gt;IFERROR(INDEX('Taxonomy Rules'!$D$42:$D$68,MATCH(E416,'Taxonomy Rules'!$C$42:$C$68,0)),""),NOT(OR(IFERROR(INDEX('Taxonomy Rules'!$G$42:$G$68,MATCH(E416,'Taxonomy Rules'!$C$42:$C$68,0)),"")="All supported routes",IFERROR(INDEX('Taxonomy Rules'!$G$42:$G$68,MATCH(E416,'Taxonomy Rules'!$C$42:$C$68,0)),"")=U416,AND(IFERROR(INDEX('Taxonomy Rules'!$G$42:$G$68,MATCH(E416,'Taxonomy Rules'!$C$42:$C$68,0)),"")="Building routes",OR(U416="Building renovation",U416="New building",U416="Building equipment"))))),"Unexpected test","Valid"))))</x:f>
      </x:c>
      <x:c r="S416" s="9" t="str">
        <x:f>IF(C416="","",IFERROR(INDEX('Taxonomy Rules'!$E$42:$E$68,MATCH(E416,'Taxonomy Rules'!$C$42:$C$68,0)),""))</x:f>
      </x:c>
      <x:c r="T416" s="9" t="str">
        <x:f>IF(C416="","",IFERROR(INDEX('Taxonomy Rules'!$F$42:$F$68,MATCH(E416,'Taxonomy Rules'!$C$42:$C$68,0)),""))</x:f>
      </x:c>
      <x:c r="U416" s="9" t="str">
        <x:f>IF(C416="","",IFERROR(INDEX('Taxonomy'!$G$9:$G$108,MATCH(D416,'Taxonomy'!$C$9:$C$108,0)),""))</x:f>
      </x:c>
    </x:row>
    <x:row r="417" ht="44" customHeight="1">
      <x:c r="A417" s="1"/>
      <x:c r="B417" s="1"/>
      <x:c r="C417" s="8"/>
      <x:c r="D417" s="8"/>
      <x:c r="E417" s="8"/>
      <x:c r="F417" s="8"/>
      <x:c r="G417" s="8"/>
      <x:c r="H417" s="8"/>
      <x:c r="I417" s="8"/>
      <x:c r="J417" s="8"/>
      <x:c r="K417" s="8"/>
      <x:c r="L417" s="8"/>
      <x:c r="M417" s="10"/>
      <x:c r="N417" s="10"/>
      <x:c r="O417" s="8"/>
      <x:c r="P417" s="9" t="str">
        <x:f>IF(C417="","",IF(AND(G417="Applicable",H417="Fail"),"Fail",IF(R417&lt;&gt;"Valid","Pending",IF(OR(I417="",K417="",L417="",K417=L417,NOT(ISNUMBER(M417)),NOT(ISNUMBER(N417)),M417&gt;Settings!$F$8,N417&lt;Settings!$F$8,N417&lt;M417),"Pending",IF(AND(G417="Applicable",H417="Pass"),"Pass",IF(AND(G417="N/A",H417="N/A",J417&lt;&gt;"",OR(E417="CEM-FUELS",E417="CEM-CCS",AND(E417="CEM-PLAN",IFERROR(INDEX('Taxonomy'!$M$9:$M$108,MATCH(D417,'Taxonomy'!$C$9:$C$108,0)),"")&lt;&gt;"Amber"),E417="BLD-TIMBER",AND(U417="Building equipment",OR(E417="BLD-WATER",E417="BLD-WASTE",E417="BLD-LAND")),AND(U417="Building renovation",E417="BLD-LAND"))),"N/A","Pending"))))))</x:f>
      </x:c>
      <x:c r="Q417" s="3" t="str">
        <x:f>IF(C417="","",IF(AND(R417="Valid",OR(P417="Pass",P417="N/A")),"Complete","Unresolved"))</x:f>
      </x:c>
      <x:c r="R417" s="9" t="str">
        <x:f>IF(C417="","",IF(OR(COUNTIF($C$9:$C$2008,C417)&lt;&gt;1,COUNTIFS($D$9:$D$2008,D417,$E$9:$E$2008,E417)&lt;&gt;1),"Duplicate test",IF(COUNTIF('Taxonomy'!$C$9:$C$108,D417)&lt;&gt;1,"Assessment key",IF(OR(COUNTIF('Taxonomy Rules'!$C$42:$C$68,E417)&lt;&gt;1,F417&lt;&gt;IFERROR(INDEX('Taxonomy Rules'!$D$42:$D$68,MATCH(E417,'Taxonomy Rules'!$C$42:$C$68,0)),""),NOT(OR(IFERROR(INDEX('Taxonomy Rules'!$G$42:$G$68,MATCH(E417,'Taxonomy Rules'!$C$42:$C$68,0)),"")="All supported routes",IFERROR(INDEX('Taxonomy Rules'!$G$42:$G$68,MATCH(E417,'Taxonomy Rules'!$C$42:$C$68,0)),"")=U417,AND(IFERROR(INDEX('Taxonomy Rules'!$G$42:$G$68,MATCH(E417,'Taxonomy Rules'!$C$42:$C$68,0)),"")="Building routes",OR(U417="Building renovation",U417="New building",U417="Building equipment"))))),"Unexpected test","Valid"))))</x:f>
      </x:c>
      <x:c r="S417" s="9" t="str">
        <x:f>IF(C417="","",IFERROR(INDEX('Taxonomy Rules'!$E$42:$E$68,MATCH(E417,'Taxonomy Rules'!$C$42:$C$68,0)),""))</x:f>
      </x:c>
      <x:c r="T417" s="9" t="str">
        <x:f>IF(C417="","",IFERROR(INDEX('Taxonomy Rules'!$F$42:$F$68,MATCH(E417,'Taxonomy Rules'!$C$42:$C$68,0)),""))</x:f>
      </x:c>
      <x:c r="U417" s="9" t="str">
        <x:f>IF(C417="","",IFERROR(INDEX('Taxonomy'!$G$9:$G$108,MATCH(D417,'Taxonomy'!$C$9:$C$108,0)),""))</x:f>
      </x:c>
    </x:row>
    <x:row r="418" ht="44" customHeight="1">
      <x:c r="A418" s="1"/>
      <x:c r="B418" s="1"/>
      <x:c r="C418" s="8"/>
      <x:c r="D418" s="8"/>
      <x:c r="E418" s="8"/>
      <x:c r="F418" s="8"/>
      <x:c r="G418" s="8"/>
      <x:c r="H418" s="8"/>
      <x:c r="I418" s="8"/>
      <x:c r="J418" s="8"/>
      <x:c r="K418" s="8"/>
      <x:c r="L418" s="8"/>
      <x:c r="M418" s="10"/>
      <x:c r="N418" s="10"/>
      <x:c r="O418" s="8"/>
      <x:c r="P418" s="9" t="str">
        <x:f>IF(C418="","",IF(AND(G418="Applicable",H418="Fail"),"Fail",IF(R418&lt;&gt;"Valid","Pending",IF(OR(I418="",K418="",L418="",K418=L418,NOT(ISNUMBER(M418)),NOT(ISNUMBER(N418)),M418&gt;Settings!$F$8,N418&lt;Settings!$F$8,N418&lt;M418),"Pending",IF(AND(G418="Applicable",H418="Pass"),"Pass",IF(AND(G418="N/A",H418="N/A",J418&lt;&gt;"",OR(E418="CEM-FUELS",E418="CEM-CCS",AND(E418="CEM-PLAN",IFERROR(INDEX('Taxonomy'!$M$9:$M$108,MATCH(D418,'Taxonomy'!$C$9:$C$108,0)),"")&lt;&gt;"Amber"),E418="BLD-TIMBER",AND(U418="Building equipment",OR(E418="BLD-WATER",E418="BLD-WASTE",E418="BLD-LAND")),AND(U418="Building renovation",E418="BLD-LAND"))),"N/A","Pending"))))))</x:f>
      </x:c>
      <x:c r="Q418" s="3" t="str">
        <x:f>IF(C418="","",IF(AND(R418="Valid",OR(P418="Pass",P418="N/A")),"Complete","Unresolved"))</x:f>
      </x:c>
      <x:c r="R418" s="9" t="str">
        <x:f>IF(C418="","",IF(OR(COUNTIF($C$9:$C$2008,C418)&lt;&gt;1,COUNTIFS($D$9:$D$2008,D418,$E$9:$E$2008,E418)&lt;&gt;1),"Duplicate test",IF(COUNTIF('Taxonomy'!$C$9:$C$108,D418)&lt;&gt;1,"Assessment key",IF(OR(COUNTIF('Taxonomy Rules'!$C$42:$C$68,E418)&lt;&gt;1,F418&lt;&gt;IFERROR(INDEX('Taxonomy Rules'!$D$42:$D$68,MATCH(E418,'Taxonomy Rules'!$C$42:$C$68,0)),""),NOT(OR(IFERROR(INDEX('Taxonomy Rules'!$G$42:$G$68,MATCH(E418,'Taxonomy Rules'!$C$42:$C$68,0)),"")="All supported routes",IFERROR(INDEX('Taxonomy Rules'!$G$42:$G$68,MATCH(E418,'Taxonomy Rules'!$C$42:$C$68,0)),"")=U418,AND(IFERROR(INDEX('Taxonomy Rules'!$G$42:$G$68,MATCH(E418,'Taxonomy Rules'!$C$42:$C$68,0)),"")="Building routes",OR(U418="Building renovation",U418="New building",U418="Building equipment"))))),"Unexpected test","Valid"))))</x:f>
      </x:c>
      <x:c r="S418" s="9" t="str">
        <x:f>IF(C418="","",IFERROR(INDEX('Taxonomy Rules'!$E$42:$E$68,MATCH(E418,'Taxonomy Rules'!$C$42:$C$68,0)),""))</x:f>
      </x:c>
      <x:c r="T418" s="9" t="str">
        <x:f>IF(C418="","",IFERROR(INDEX('Taxonomy Rules'!$F$42:$F$68,MATCH(E418,'Taxonomy Rules'!$C$42:$C$68,0)),""))</x:f>
      </x:c>
      <x:c r="U418" s="9" t="str">
        <x:f>IF(C418="","",IFERROR(INDEX('Taxonomy'!$G$9:$G$108,MATCH(D418,'Taxonomy'!$C$9:$C$108,0)),""))</x:f>
      </x:c>
    </x:row>
    <x:row r="419" ht="44" customHeight="1">
      <x:c r="A419" s="1"/>
      <x:c r="B419" s="1"/>
      <x:c r="C419" s="8"/>
      <x:c r="D419" s="8"/>
      <x:c r="E419" s="8"/>
      <x:c r="F419" s="8"/>
      <x:c r="G419" s="8"/>
      <x:c r="H419" s="8"/>
      <x:c r="I419" s="8"/>
      <x:c r="J419" s="8"/>
      <x:c r="K419" s="8"/>
      <x:c r="L419" s="8"/>
      <x:c r="M419" s="10"/>
      <x:c r="N419" s="10"/>
      <x:c r="O419" s="8"/>
      <x:c r="P419" s="9" t="str">
        <x:f>IF(C419="","",IF(AND(G419="Applicable",H419="Fail"),"Fail",IF(R419&lt;&gt;"Valid","Pending",IF(OR(I419="",K419="",L419="",K419=L419,NOT(ISNUMBER(M419)),NOT(ISNUMBER(N419)),M419&gt;Settings!$F$8,N419&lt;Settings!$F$8,N419&lt;M419),"Pending",IF(AND(G419="Applicable",H419="Pass"),"Pass",IF(AND(G419="N/A",H419="N/A",J419&lt;&gt;"",OR(E419="CEM-FUELS",E419="CEM-CCS",AND(E419="CEM-PLAN",IFERROR(INDEX('Taxonomy'!$M$9:$M$108,MATCH(D419,'Taxonomy'!$C$9:$C$108,0)),"")&lt;&gt;"Amber"),E419="BLD-TIMBER",AND(U419="Building equipment",OR(E419="BLD-WATER",E419="BLD-WASTE",E419="BLD-LAND")),AND(U419="Building renovation",E419="BLD-LAND"))),"N/A","Pending"))))))</x:f>
      </x:c>
      <x:c r="Q419" s="3" t="str">
        <x:f>IF(C419="","",IF(AND(R419="Valid",OR(P419="Pass",P419="N/A")),"Complete","Unresolved"))</x:f>
      </x:c>
      <x:c r="R419" s="9" t="str">
        <x:f>IF(C419="","",IF(OR(COUNTIF($C$9:$C$2008,C419)&lt;&gt;1,COUNTIFS($D$9:$D$2008,D419,$E$9:$E$2008,E419)&lt;&gt;1),"Duplicate test",IF(COUNTIF('Taxonomy'!$C$9:$C$108,D419)&lt;&gt;1,"Assessment key",IF(OR(COUNTIF('Taxonomy Rules'!$C$42:$C$68,E419)&lt;&gt;1,F419&lt;&gt;IFERROR(INDEX('Taxonomy Rules'!$D$42:$D$68,MATCH(E419,'Taxonomy Rules'!$C$42:$C$68,0)),""),NOT(OR(IFERROR(INDEX('Taxonomy Rules'!$G$42:$G$68,MATCH(E419,'Taxonomy Rules'!$C$42:$C$68,0)),"")="All supported routes",IFERROR(INDEX('Taxonomy Rules'!$G$42:$G$68,MATCH(E419,'Taxonomy Rules'!$C$42:$C$68,0)),"")=U419,AND(IFERROR(INDEX('Taxonomy Rules'!$G$42:$G$68,MATCH(E419,'Taxonomy Rules'!$C$42:$C$68,0)),"")="Building routes",OR(U419="Building renovation",U419="New building",U419="Building equipment"))))),"Unexpected test","Valid"))))</x:f>
      </x:c>
      <x:c r="S419" s="9" t="str">
        <x:f>IF(C419="","",IFERROR(INDEX('Taxonomy Rules'!$E$42:$E$68,MATCH(E419,'Taxonomy Rules'!$C$42:$C$68,0)),""))</x:f>
      </x:c>
      <x:c r="T419" s="9" t="str">
        <x:f>IF(C419="","",IFERROR(INDEX('Taxonomy Rules'!$F$42:$F$68,MATCH(E419,'Taxonomy Rules'!$C$42:$C$68,0)),""))</x:f>
      </x:c>
      <x:c r="U419" s="9" t="str">
        <x:f>IF(C419="","",IFERROR(INDEX('Taxonomy'!$G$9:$G$108,MATCH(D419,'Taxonomy'!$C$9:$C$108,0)),""))</x:f>
      </x:c>
    </x:row>
    <x:row r="420" ht="44" customHeight="1">
      <x:c r="A420" s="1"/>
      <x:c r="B420" s="1"/>
      <x:c r="C420" s="8"/>
      <x:c r="D420" s="8"/>
      <x:c r="E420" s="8"/>
      <x:c r="F420" s="8"/>
      <x:c r="G420" s="8"/>
      <x:c r="H420" s="8"/>
      <x:c r="I420" s="8"/>
      <x:c r="J420" s="8"/>
      <x:c r="K420" s="8"/>
      <x:c r="L420" s="8"/>
      <x:c r="M420" s="10"/>
      <x:c r="N420" s="10"/>
      <x:c r="O420" s="8"/>
      <x:c r="P420" s="9" t="str">
        <x:f>IF(C420="","",IF(AND(G420="Applicable",H420="Fail"),"Fail",IF(R420&lt;&gt;"Valid","Pending",IF(OR(I420="",K420="",L420="",K420=L420,NOT(ISNUMBER(M420)),NOT(ISNUMBER(N420)),M420&gt;Settings!$F$8,N420&lt;Settings!$F$8,N420&lt;M420),"Pending",IF(AND(G420="Applicable",H420="Pass"),"Pass",IF(AND(G420="N/A",H420="N/A",J420&lt;&gt;"",OR(E420="CEM-FUELS",E420="CEM-CCS",AND(E420="CEM-PLAN",IFERROR(INDEX('Taxonomy'!$M$9:$M$108,MATCH(D420,'Taxonomy'!$C$9:$C$108,0)),"")&lt;&gt;"Amber"),E420="BLD-TIMBER",AND(U420="Building equipment",OR(E420="BLD-WATER",E420="BLD-WASTE",E420="BLD-LAND")),AND(U420="Building renovation",E420="BLD-LAND"))),"N/A","Pending"))))))</x:f>
      </x:c>
      <x:c r="Q420" s="3" t="str">
        <x:f>IF(C420="","",IF(AND(R420="Valid",OR(P420="Pass",P420="N/A")),"Complete","Unresolved"))</x:f>
      </x:c>
      <x:c r="R420" s="9" t="str">
        <x:f>IF(C420="","",IF(OR(COUNTIF($C$9:$C$2008,C420)&lt;&gt;1,COUNTIFS($D$9:$D$2008,D420,$E$9:$E$2008,E420)&lt;&gt;1),"Duplicate test",IF(COUNTIF('Taxonomy'!$C$9:$C$108,D420)&lt;&gt;1,"Assessment key",IF(OR(COUNTIF('Taxonomy Rules'!$C$42:$C$68,E420)&lt;&gt;1,F420&lt;&gt;IFERROR(INDEX('Taxonomy Rules'!$D$42:$D$68,MATCH(E420,'Taxonomy Rules'!$C$42:$C$68,0)),""),NOT(OR(IFERROR(INDEX('Taxonomy Rules'!$G$42:$G$68,MATCH(E420,'Taxonomy Rules'!$C$42:$C$68,0)),"")="All supported routes",IFERROR(INDEX('Taxonomy Rules'!$G$42:$G$68,MATCH(E420,'Taxonomy Rules'!$C$42:$C$68,0)),"")=U420,AND(IFERROR(INDEX('Taxonomy Rules'!$G$42:$G$68,MATCH(E420,'Taxonomy Rules'!$C$42:$C$68,0)),"")="Building routes",OR(U420="Building renovation",U420="New building",U420="Building equipment"))))),"Unexpected test","Valid"))))</x:f>
      </x:c>
      <x:c r="S420" s="9" t="str">
        <x:f>IF(C420="","",IFERROR(INDEX('Taxonomy Rules'!$E$42:$E$68,MATCH(E420,'Taxonomy Rules'!$C$42:$C$68,0)),""))</x:f>
      </x:c>
      <x:c r="T420" s="9" t="str">
        <x:f>IF(C420="","",IFERROR(INDEX('Taxonomy Rules'!$F$42:$F$68,MATCH(E420,'Taxonomy Rules'!$C$42:$C$68,0)),""))</x:f>
      </x:c>
      <x:c r="U420" s="9" t="str">
        <x:f>IF(C420="","",IFERROR(INDEX('Taxonomy'!$G$9:$G$108,MATCH(D420,'Taxonomy'!$C$9:$C$108,0)),""))</x:f>
      </x:c>
    </x:row>
    <x:row r="421" ht="44" customHeight="1">
      <x:c r="A421" s="1"/>
      <x:c r="B421" s="1"/>
      <x:c r="C421" s="8"/>
      <x:c r="D421" s="8"/>
      <x:c r="E421" s="8"/>
      <x:c r="F421" s="8"/>
      <x:c r="G421" s="8"/>
      <x:c r="H421" s="8"/>
      <x:c r="I421" s="8"/>
      <x:c r="J421" s="8"/>
      <x:c r="K421" s="8"/>
      <x:c r="L421" s="8"/>
      <x:c r="M421" s="10"/>
      <x:c r="N421" s="10"/>
      <x:c r="O421" s="8"/>
      <x:c r="P421" s="9" t="str">
        <x:f>IF(C421="","",IF(AND(G421="Applicable",H421="Fail"),"Fail",IF(R421&lt;&gt;"Valid","Pending",IF(OR(I421="",K421="",L421="",K421=L421,NOT(ISNUMBER(M421)),NOT(ISNUMBER(N421)),M421&gt;Settings!$F$8,N421&lt;Settings!$F$8,N421&lt;M421),"Pending",IF(AND(G421="Applicable",H421="Pass"),"Pass",IF(AND(G421="N/A",H421="N/A",J421&lt;&gt;"",OR(E421="CEM-FUELS",E421="CEM-CCS",AND(E421="CEM-PLAN",IFERROR(INDEX('Taxonomy'!$M$9:$M$108,MATCH(D421,'Taxonomy'!$C$9:$C$108,0)),"")&lt;&gt;"Amber"),E421="BLD-TIMBER",AND(U421="Building equipment",OR(E421="BLD-WATER",E421="BLD-WASTE",E421="BLD-LAND")),AND(U421="Building renovation",E421="BLD-LAND"))),"N/A","Pending"))))))</x:f>
      </x:c>
      <x:c r="Q421" s="3" t="str">
        <x:f>IF(C421="","",IF(AND(R421="Valid",OR(P421="Pass",P421="N/A")),"Complete","Unresolved"))</x:f>
      </x:c>
      <x:c r="R421" s="9" t="str">
        <x:f>IF(C421="","",IF(OR(COUNTIF($C$9:$C$2008,C421)&lt;&gt;1,COUNTIFS($D$9:$D$2008,D421,$E$9:$E$2008,E421)&lt;&gt;1),"Duplicate test",IF(COUNTIF('Taxonomy'!$C$9:$C$108,D421)&lt;&gt;1,"Assessment key",IF(OR(COUNTIF('Taxonomy Rules'!$C$42:$C$68,E421)&lt;&gt;1,F421&lt;&gt;IFERROR(INDEX('Taxonomy Rules'!$D$42:$D$68,MATCH(E421,'Taxonomy Rules'!$C$42:$C$68,0)),""),NOT(OR(IFERROR(INDEX('Taxonomy Rules'!$G$42:$G$68,MATCH(E421,'Taxonomy Rules'!$C$42:$C$68,0)),"")="All supported routes",IFERROR(INDEX('Taxonomy Rules'!$G$42:$G$68,MATCH(E421,'Taxonomy Rules'!$C$42:$C$68,0)),"")=U421,AND(IFERROR(INDEX('Taxonomy Rules'!$G$42:$G$68,MATCH(E421,'Taxonomy Rules'!$C$42:$C$68,0)),"")="Building routes",OR(U421="Building renovation",U421="New building",U421="Building equipment"))))),"Unexpected test","Valid"))))</x:f>
      </x:c>
      <x:c r="S421" s="9" t="str">
        <x:f>IF(C421="","",IFERROR(INDEX('Taxonomy Rules'!$E$42:$E$68,MATCH(E421,'Taxonomy Rules'!$C$42:$C$68,0)),""))</x:f>
      </x:c>
      <x:c r="T421" s="9" t="str">
        <x:f>IF(C421="","",IFERROR(INDEX('Taxonomy Rules'!$F$42:$F$68,MATCH(E421,'Taxonomy Rules'!$C$42:$C$68,0)),""))</x:f>
      </x:c>
      <x:c r="U421" s="9" t="str">
        <x:f>IF(C421="","",IFERROR(INDEX('Taxonomy'!$G$9:$G$108,MATCH(D421,'Taxonomy'!$C$9:$C$108,0)),""))</x:f>
      </x:c>
    </x:row>
    <x:row r="422" ht="44" customHeight="1">
      <x:c r="A422" s="1"/>
      <x:c r="B422" s="1"/>
      <x:c r="C422" s="8"/>
      <x:c r="D422" s="8"/>
      <x:c r="E422" s="8"/>
      <x:c r="F422" s="8"/>
      <x:c r="G422" s="8"/>
      <x:c r="H422" s="8"/>
      <x:c r="I422" s="8"/>
      <x:c r="J422" s="8"/>
      <x:c r="K422" s="8"/>
      <x:c r="L422" s="8"/>
      <x:c r="M422" s="10"/>
      <x:c r="N422" s="10"/>
      <x:c r="O422" s="8"/>
      <x:c r="P422" s="9" t="str">
        <x:f>IF(C422="","",IF(AND(G422="Applicable",H422="Fail"),"Fail",IF(R422&lt;&gt;"Valid","Pending",IF(OR(I422="",K422="",L422="",K422=L422,NOT(ISNUMBER(M422)),NOT(ISNUMBER(N422)),M422&gt;Settings!$F$8,N422&lt;Settings!$F$8,N422&lt;M422),"Pending",IF(AND(G422="Applicable",H422="Pass"),"Pass",IF(AND(G422="N/A",H422="N/A",J422&lt;&gt;"",OR(E422="CEM-FUELS",E422="CEM-CCS",AND(E422="CEM-PLAN",IFERROR(INDEX('Taxonomy'!$M$9:$M$108,MATCH(D422,'Taxonomy'!$C$9:$C$108,0)),"")&lt;&gt;"Amber"),E422="BLD-TIMBER",AND(U422="Building equipment",OR(E422="BLD-WATER",E422="BLD-WASTE",E422="BLD-LAND")),AND(U422="Building renovation",E422="BLD-LAND"))),"N/A","Pending"))))))</x:f>
      </x:c>
      <x:c r="Q422" s="3" t="str">
        <x:f>IF(C422="","",IF(AND(R422="Valid",OR(P422="Pass",P422="N/A")),"Complete","Unresolved"))</x:f>
      </x:c>
      <x:c r="R422" s="9" t="str">
        <x:f>IF(C422="","",IF(OR(COUNTIF($C$9:$C$2008,C422)&lt;&gt;1,COUNTIFS($D$9:$D$2008,D422,$E$9:$E$2008,E422)&lt;&gt;1),"Duplicate test",IF(COUNTIF('Taxonomy'!$C$9:$C$108,D422)&lt;&gt;1,"Assessment key",IF(OR(COUNTIF('Taxonomy Rules'!$C$42:$C$68,E422)&lt;&gt;1,F422&lt;&gt;IFERROR(INDEX('Taxonomy Rules'!$D$42:$D$68,MATCH(E422,'Taxonomy Rules'!$C$42:$C$68,0)),""),NOT(OR(IFERROR(INDEX('Taxonomy Rules'!$G$42:$G$68,MATCH(E422,'Taxonomy Rules'!$C$42:$C$68,0)),"")="All supported routes",IFERROR(INDEX('Taxonomy Rules'!$G$42:$G$68,MATCH(E422,'Taxonomy Rules'!$C$42:$C$68,0)),"")=U422,AND(IFERROR(INDEX('Taxonomy Rules'!$G$42:$G$68,MATCH(E422,'Taxonomy Rules'!$C$42:$C$68,0)),"")="Building routes",OR(U422="Building renovation",U422="New building",U422="Building equipment"))))),"Unexpected test","Valid"))))</x:f>
      </x:c>
      <x:c r="S422" s="9" t="str">
        <x:f>IF(C422="","",IFERROR(INDEX('Taxonomy Rules'!$E$42:$E$68,MATCH(E422,'Taxonomy Rules'!$C$42:$C$68,0)),""))</x:f>
      </x:c>
      <x:c r="T422" s="9" t="str">
        <x:f>IF(C422="","",IFERROR(INDEX('Taxonomy Rules'!$F$42:$F$68,MATCH(E422,'Taxonomy Rules'!$C$42:$C$68,0)),""))</x:f>
      </x:c>
      <x:c r="U422" s="9" t="str">
        <x:f>IF(C422="","",IFERROR(INDEX('Taxonomy'!$G$9:$G$108,MATCH(D422,'Taxonomy'!$C$9:$C$108,0)),""))</x:f>
      </x:c>
    </x:row>
    <x:row r="423" ht="44" customHeight="1">
      <x:c r="A423" s="1"/>
      <x:c r="B423" s="1"/>
      <x:c r="C423" s="8"/>
      <x:c r="D423" s="8"/>
      <x:c r="E423" s="8"/>
      <x:c r="F423" s="8"/>
      <x:c r="G423" s="8"/>
      <x:c r="H423" s="8"/>
      <x:c r="I423" s="8"/>
      <x:c r="J423" s="8"/>
      <x:c r="K423" s="8"/>
      <x:c r="L423" s="8"/>
      <x:c r="M423" s="10"/>
      <x:c r="N423" s="10"/>
      <x:c r="O423" s="8"/>
      <x:c r="P423" s="9" t="str">
        <x:f>IF(C423="","",IF(AND(G423="Applicable",H423="Fail"),"Fail",IF(R423&lt;&gt;"Valid","Pending",IF(OR(I423="",K423="",L423="",K423=L423,NOT(ISNUMBER(M423)),NOT(ISNUMBER(N423)),M423&gt;Settings!$F$8,N423&lt;Settings!$F$8,N423&lt;M423),"Pending",IF(AND(G423="Applicable",H423="Pass"),"Pass",IF(AND(G423="N/A",H423="N/A",J423&lt;&gt;"",OR(E423="CEM-FUELS",E423="CEM-CCS",AND(E423="CEM-PLAN",IFERROR(INDEX('Taxonomy'!$M$9:$M$108,MATCH(D423,'Taxonomy'!$C$9:$C$108,0)),"")&lt;&gt;"Amber"),E423="BLD-TIMBER",AND(U423="Building equipment",OR(E423="BLD-WATER",E423="BLD-WASTE",E423="BLD-LAND")),AND(U423="Building renovation",E423="BLD-LAND"))),"N/A","Pending"))))))</x:f>
      </x:c>
      <x:c r="Q423" s="3" t="str">
        <x:f>IF(C423="","",IF(AND(R423="Valid",OR(P423="Pass",P423="N/A")),"Complete","Unresolved"))</x:f>
      </x:c>
      <x:c r="R423" s="9" t="str">
        <x:f>IF(C423="","",IF(OR(COUNTIF($C$9:$C$2008,C423)&lt;&gt;1,COUNTIFS($D$9:$D$2008,D423,$E$9:$E$2008,E423)&lt;&gt;1),"Duplicate test",IF(COUNTIF('Taxonomy'!$C$9:$C$108,D423)&lt;&gt;1,"Assessment key",IF(OR(COUNTIF('Taxonomy Rules'!$C$42:$C$68,E423)&lt;&gt;1,F423&lt;&gt;IFERROR(INDEX('Taxonomy Rules'!$D$42:$D$68,MATCH(E423,'Taxonomy Rules'!$C$42:$C$68,0)),""),NOT(OR(IFERROR(INDEX('Taxonomy Rules'!$G$42:$G$68,MATCH(E423,'Taxonomy Rules'!$C$42:$C$68,0)),"")="All supported routes",IFERROR(INDEX('Taxonomy Rules'!$G$42:$G$68,MATCH(E423,'Taxonomy Rules'!$C$42:$C$68,0)),"")=U423,AND(IFERROR(INDEX('Taxonomy Rules'!$G$42:$G$68,MATCH(E423,'Taxonomy Rules'!$C$42:$C$68,0)),"")="Building routes",OR(U423="Building renovation",U423="New building",U423="Building equipment"))))),"Unexpected test","Valid"))))</x:f>
      </x:c>
      <x:c r="S423" s="9" t="str">
        <x:f>IF(C423="","",IFERROR(INDEX('Taxonomy Rules'!$E$42:$E$68,MATCH(E423,'Taxonomy Rules'!$C$42:$C$68,0)),""))</x:f>
      </x:c>
      <x:c r="T423" s="9" t="str">
        <x:f>IF(C423="","",IFERROR(INDEX('Taxonomy Rules'!$F$42:$F$68,MATCH(E423,'Taxonomy Rules'!$C$42:$C$68,0)),""))</x:f>
      </x:c>
      <x:c r="U423" s="9" t="str">
        <x:f>IF(C423="","",IFERROR(INDEX('Taxonomy'!$G$9:$G$108,MATCH(D423,'Taxonomy'!$C$9:$C$108,0)),""))</x:f>
      </x:c>
    </x:row>
    <x:row r="424" ht="44" customHeight="1">
      <x:c r="A424" s="1"/>
      <x:c r="B424" s="1"/>
      <x:c r="C424" s="8"/>
      <x:c r="D424" s="8"/>
      <x:c r="E424" s="8"/>
      <x:c r="F424" s="8"/>
      <x:c r="G424" s="8"/>
      <x:c r="H424" s="8"/>
      <x:c r="I424" s="8"/>
      <x:c r="J424" s="8"/>
      <x:c r="K424" s="8"/>
      <x:c r="L424" s="8"/>
      <x:c r="M424" s="10"/>
      <x:c r="N424" s="10"/>
      <x:c r="O424" s="8"/>
      <x:c r="P424" s="9" t="str">
        <x:f>IF(C424="","",IF(AND(G424="Applicable",H424="Fail"),"Fail",IF(R424&lt;&gt;"Valid","Pending",IF(OR(I424="",K424="",L424="",K424=L424,NOT(ISNUMBER(M424)),NOT(ISNUMBER(N424)),M424&gt;Settings!$F$8,N424&lt;Settings!$F$8,N424&lt;M424),"Pending",IF(AND(G424="Applicable",H424="Pass"),"Pass",IF(AND(G424="N/A",H424="N/A",J424&lt;&gt;"",OR(E424="CEM-FUELS",E424="CEM-CCS",AND(E424="CEM-PLAN",IFERROR(INDEX('Taxonomy'!$M$9:$M$108,MATCH(D424,'Taxonomy'!$C$9:$C$108,0)),"")&lt;&gt;"Amber"),E424="BLD-TIMBER",AND(U424="Building equipment",OR(E424="BLD-WATER",E424="BLD-WASTE",E424="BLD-LAND")),AND(U424="Building renovation",E424="BLD-LAND"))),"N/A","Pending"))))))</x:f>
      </x:c>
      <x:c r="Q424" s="3" t="str">
        <x:f>IF(C424="","",IF(AND(R424="Valid",OR(P424="Pass",P424="N/A")),"Complete","Unresolved"))</x:f>
      </x:c>
      <x:c r="R424" s="9" t="str">
        <x:f>IF(C424="","",IF(OR(COUNTIF($C$9:$C$2008,C424)&lt;&gt;1,COUNTIFS($D$9:$D$2008,D424,$E$9:$E$2008,E424)&lt;&gt;1),"Duplicate test",IF(COUNTIF('Taxonomy'!$C$9:$C$108,D424)&lt;&gt;1,"Assessment key",IF(OR(COUNTIF('Taxonomy Rules'!$C$42:$C$68,E424)&lt;&gt;1,F424&lt;&gt;IFERROR(INDEX('Taxonomy Rules'!$D$42:$D$68,MATCH(E424,'Taxonomy Rules'!$C$42:$C$68,0)),""),NOT(OR(IFERROR(INDEX('Taxonomy Rules'!$G$42:$G$68,MATCH(E424,'Taxonomy Rules'!$C$42:$C$68,0)),"")="All supported routes",IFERROR(INDEX('Taxonomy Rules'!$G$42:$G$68,MATCH(E424,'Taxonomy Rules'!$C$42:$C$68,0)),"")=U424,AND(IFERROR(INDEX('Taxonomy Rules'!$G$42:$G$68,MATCH(E424,'Taxonomy Rules'!$C$42:$C$68,0)),"")="Building routes",OR(U424="Building renovation",U424="New building",U424="Building equipment"))))),"Unexpected test","Valid"))))</x:f>
      </x:c>
      <x:c r="S424" s="9" t="str">
        <x:f>IF(C424="","",IFERROR(INDEX('Taxonomy Rules'!$E$42:$E$68,MATCH(E424,'Taxonomy Rules'!$C$42:$C$68,0)),""))</x:f>
      </x:c>
      <x:c r="T424" s="9" t="str">
        <x:f>IF(C424="","",IFERROR(INDEX('Taxonomy Rules'!$F$42:$F$68,MATCH(E424,'Taxonomy Rules'!$C$42:$C$68,0)),""))</x:f>
      </x:c>
      <x:c r="U424" s="9" t="str">
        <x:f>IF(C424="","",IFERROR(INDEX('Taxonomy'!$G$9:$G$108,MATCH(D424,'Taxonomy'!$C$9:$C$108,0)),""))</x:f>
      </x:c>
    </x:row>
    <x:row r="425" ht="44" customHeight="1">
      <x:c r="A425" s="1"/>
      <x:c r="B425" s="1"/>
      <x:c r="C425" s="8"/>
      <x:c r="D425" s="8"/>
      <x:c r="E425" s="8"/>
      <x:c r="F425" s="8"/>
      <x:c r="G425" s="8"/>
      <x:c r="H425" s="8"/>
      <x:c r="I425" s="8"/>
      <x:c r="J425" s="8"/>
      <x:c r="K425" s="8"/>
      <x:c r="L425" s="8"/>
      <x:c r="M425" s="10"/>
      <x:c r="N425" s="10"/>
      <x:c r="O425" s="8"/>
      <x:c r="P425" s="9" t="str">
        <x:f>IF(C425="","",IF(AND(G425="Applicable",H425="Fail"),"Fail",IF(R425&lt;&gt;"Valid","Pending",IF(OR(I425="",K425="",L425="",K425=L425,NOT(ISNUMBER(M425)),NOT(ISNUMBER(N425)),M425&gt;Settings!$F$8,N425&lt;Settings!$F$8,N425&lt;M425),"Pending",IF(AND(G425="Applicable",H425="Pass"),"Pass",IF(AND(G425="N/A",H425="N/A",J425&lt;&gt;"",OR(E425="CEM-FUELS",E425="CEM-CCS",AND(E425="CEM-PLAN",IFERROR(INDEX('Taxonomy'!$M$9:$M$108,MATCH(D425,'Taxonomy'!$C$9:$C$108,0)),"")&lt;&gt;"Amber"),E425="BLD-TIMBER",AND(U425="Building equipment",OR(E425="BLD-WATER",E425="BLD-WASTE",E425="BLD-LAND")),AND(U425="Building renovation",E425="BLD-LAND"))),"N/A","Pending"))))))</x:f>
      </x:c>
      <x:c r="Q425" s="3" t="str">
        <x:f>IF(C425="","",IF(AND(R425="Valid",OR(P425="Pass",P425="N/A")),"Complete","Unresolved"))</x:f>
      </x:c>
      <x:c r="R425" s="9" t="str">
        <x:f>IF(C425="","",IF(OR(COUNTIF($C$9:$C$2008,C425)&lt;&gt;1,COUNTIFS($D$9:$D$2008,D425,$E$9:$E$2008,E425)&lt;&gt;1),"Duplicate test",IF(COUNTIF('Taxonomy'!$C$9:$C$108,D425)&lt;&gt;1,"Assessment key",IF(OR(COUNTIF('Taxonomy Rules'!$C$42:$C$68,E425)&lt;&gt;1,F425&lt;&gt;IFERROR(INDEX('Taxonomy Rules'!$D$42:$D$68,MATCH(E425,'Taxonomy Rules'!$C$42:$C$68,0)),""),NOT(OR(IFERROR(INDEX('Taxonomy Rules'!$G$42:$G$68,MATCH(E425,'Taxonomy Rules'!$C$42:$C$68,0)),"")="All supported routes",IFERROR(INDEX('Taxonomy Rules'!$G$42:$G$68,MATCH(E425,'Taxonomy Rules'!$C$42:$C$68,0)),"")=U425,AND(IFERROR(INDEX('Taxonomy Rules'!$G$42:$G$68,MATCH(E425,'Taxonomy Rules'!$C$42:$C$68,0)),"")="Building routes",OR(U425="Building renovation",U425="New building",U425="Building equipment"))))),"Unexpected test","Valid"))))</x:f>
      </x:c>
      <x:c r="S425" s="9" t="str">
        <x:f>IF(C425="","",IFERROR(INDEX('Taxonomy Rules'!$E$42:$E$68,MATCH(E425,'Taxonomy Rules'!$C$42:$C$68,0)),""))</x:f>
      </x:c>
      <x:c r="T425" s="9" t="str">
        <x:f>IF(C425="","",IFERROR(INDEX('Taxonomy Rules'!$F$42:$F$68,MATCH(E425,'Taxonomy Rules'!$C$42:$C$68,0)),""))</x:f>
      </x:c>
      <x:c r="U425" s="9" t="str">
        <x:f>IF(C425="","",IFERROR(INDEX('Taxonomy'!$G$9:$G$108,MATCH(D425,'Taxonomy'!$C$9:$C$108,0)),""))</x:f>
      </x:c>
    </x:row>
    <x:row r="426" ht="44" customHeight="1">
      <x:c r="A426" s="1"/>
      <x:c r="B426" s="1"/>
      <x:c r="C426" s="8"/>
      <x:c r="D426" s="8"/>
      <x:c r="E426" s="8"/>
      <x:c r="F426" s="8"/>
      <x:c r="G426" s="8"/>
      <x:c r="H426" s="8"/>
      <x:c r="I426" s="8"/>
      <x:c r="J426" s="8"/>
      <x:c r="K426" s="8"/>
      <x:c r="L426" s="8"/>
      <x:c r="M426" s="10"/>
      <x:c r="N426" s="10"/>
      <x:c r="O426" s="8"/>
      <x:c r="P426" s="9" t="str">
        <x:f>IF(C426="","",IF(AND(G426="Applicable",H426="Fail"),"Fail",IF(R426&lt;&gt;"Valid","Pending",IF(OR(I426="",K426="",L426="",K426=L426,NOT(ISNUMBER(M426)),NOT(ISNUMBER(N426)),M426&gt;Settings!$F$8,N426&lt;Settings!$F$8,N426&lt;M426),"Pending",IF(AND(G426="Applicable",H426="Pass"),"Pass",IF(AND(G426="N/A",H426="N/A",J426&lt;&gt;"",OR(E426="CEM-FUELS",E426="CEM-CCS",AND(E426="CEM-PLAN",IFERROR(INDEX('Taxonomy'!$M$9:$M$108,MATCH(D426,'Taxonomy'!$C$9:$C$108,0)),"")&lt;&gt;"Amber"),E426="BLD-TIMBER",AND(U426="Building equipment",OR(E426="BLD-WATER",E426="BLD-WASTE",E426="BLD-LAND")),AND(U426="Building renovation",E426="BLD-LAND"))),"N/A","Pending"))))))</x:f>
      </x:c>
      <x:c r="Q426" s="3" t="str">
        <x:f>IF(C426="","",IF(AND(R426="Valid",OR(P426="Pass",P426="N/A")),"Complete","Unresolved"))</x:f>
      </x:c>
      <x:c r="R426" s="9" t="str">
        <x:f>IF(C426="","",IF(OR(COUNTIF($C$9:$C$2008,C426)&lt;&gt;1,COUNTIFS($D$9:$D$2008,D426,$E$9:$E$2008,E426)&lt;&gt;1),"Duplicate test",IF(COUNTIF('Taxonomy'!$C$9:$C$108,D426)&lt;&gt;1,"Assessment key",IF(OR(COUNTIF('Taxonomy Rules'!$C$42:$C$68,E426)&lt;&gt;1,F426&lt;&gt;IFERROR(INDEX('Taxonomy Rules'!$D$42:$D$68,MATCH(E426,'Taxonomy Rules'!$C$42:$C$68,0)),""),NOT(OR(IFERROR(INDEX('Taxonomy Rules'!$G$42:$G$68,MATCH(E426,'Taxonomy Rules'!$C$42:$C$68,0)),"")="All supported routes",IFERROR(INDEX('Taxonomy Rules'!$G$42:$G$68,MATCH(E426,'Taxonomy Rules'!$C$42:$C$68,0)),"")=U426,AND(IFERROR(INDEX('Taxonomy Rules'!$G$42:$G$68,MATCH(E426,'Taxonomy Rules'!$C$42:$C$68,0)),"")="Building routes",OR(U426="Building renovation",U426="New building",U426="Building equipment"))))),"Unexpected test","Valid"))))</x:f>
      </x:c>
      <x:c r="S426" s="9" t="str">
        <x:f>IF(C426="","",IFERROR(INDEX('Taxonomy Rules'!$E$42:$E$68,MATCH(E426,'Taxonomy Rules'!$C$42:$C$68,0)),""))</x:f>
      </x:c>
      <x:c r="T426" s="9" t="str">
        <x:f>IF(C426="","",IFERROR(INDEX('Taxonomy Rules'!$F$42:$F$68,MATCH(E426,'Taxonomy Rules'!$C$42:$C$68,0)),""))</x:f>
      </x:c>
      <x:c r="U426" s="9" t="str">
        <x:f>IF(C426="","",IFERROR(INDEX('Taxonomy'!$G$9:$G$108,MATCH(D426,'Taxonomy'!$C$9:$C$108,0)),""))</x:f>
      </x:c>
    </x:row>
    <x:row r="427" ht="44" customHeight="1">
      <x:c r="A427" s="1"/>
      <x:c r="B427" s="1"/>
      <x:c r="C427" s="8"/>
      <x:c r="D427" s="8"/>
      <x:c r="E427" s="8"/>
      <x:c r="F427" s="8"/>
      <x:c r="G427" s="8"/>
      <x:c r="H427" s="8"/>
      <x:c r="I427" s="8"/>
      <x:c r="J427" s="8"/>
      <x:c r="K427" s="8"/>
      <x:c r="L427" s="8"/>
      <x:c r="M427" s="10"/>
      <x:c r="N427" s="10"/>
      <x:c r="O427" s="8"/>
      <x:c r="P427" s="9" t="str">
        <x:f>IF(C427="","",IF(AND(G427="Applicable",H427="Fail"),"Fail",IF(R427&lt;&gt;"Valid","Pending",IF(OR(I427="",K427="",L427="",K427=L427,NOT(ISNUMBER(M427)),NOT(ISNUMBER(N427)),M427&gt;Settings!$F$8,N427&lt;Settings!$F$8,N427&lt;M427),"Pending",IF(AND(G427="Applicable",H427="Pass"),"Pass",IF(AND(G427="N/A",H427="N/A",J427&lt;&gt;"",OR(E427="CEM-FUELS",E427="CEM-CCS",AND(E427="CEM-PLAN",IFERROR(INDEX('Taxonomy'!$M$9:$M$108,MATCH(D427,'Taxonomy'!$C$9:$C$108,0)),"")&lt;&gt;"Amber"),E427="BLD-TIMBER",AND(U427="Building equipment",OR(E427="BLD-WATER",E427="BLD-WASTE",E427="BLD-LAND")),AND(U427="Building renovation",E427="BLD-LAND"))),"N/A","Pending"))))))</x:f>
      </x:c>
      <x:c r="Q427" s="3" t="str">
        <x:f>IF(C427="","",IF(AND(R427="Valid",OR(P427="Pass",P427="N/A")),"Complete","Unresolved"))</x:f>
      </x:c>
      <x:c r="R427" s="9" t="str">
        <x:f>IF(C427="","",IF(OR(COUNTIF($C$9:$C$2008,C427)&lt;&gt;1,COUNTIFS($D$9:$D$2008,D427,$E$9:$E$2008,E427)&lt;&gt;1),"Duplicate test",IF(COUNTIF('Taxonomy'!$C$9:$C$108,D427)&lt;&gt;1,"Assessment key",IF(OR(COUNTIF('Taxonomy Rules'!$C$42:$C$68,E427)&lt;&gt;1,F427&lt;&gt;IFERROR(INDEX('Taxonomy Rules'!$D$42:$D$68,MATCH(E427,'Taxonomy Rules'!$C$42:$C$68,0)),""),NOT(OR(IFERROR(INDEX('Taxonomy Rules'!$G$42:$G$68,MATCH(E427,'Taxonomy Rules'!$C$42:$C$68,0)),"")="All supported routes",IFERROR(INDEX('Taxonomy Rules'!$G$42:$G$68,MATCH(E427,'Taxonomy Rules'!$C$42:$C$68,0)),"")=U427,AND(IFERROR(INDEX('Taxonomy Rules'!$G$42:$G$68,MATCH(E427,'Taxonomy Rules'!$C$42:$C$68,0)),"")="Building routes",OR(U427="Building renovation",U427="New building",U427="Building equipment"))))),"Unexpected test","Valid"))))</x:f>
      </x:c>
      <x:c r="S427" s="9" t="str">
        <x:f>IF(C427="","",IFERROR(INDEX('Taxonomy Rules'!$E$42:$E$68,MATCH(E427,'Taxonomy Rules'!$C$42:$C$68,0)),""))</x:f>
      </x:c>
      <x:c r="T427" s="9" t="str">
        <x:f>IF(C427="","",IFERROR(INDEX('Taxonomy Rules'!$F$42:$F$68,MATCH(E427,'Taxonomy Rules'!$C$42:$C$68,0)),""))</x:f>
      </x:c>
      <x:c r="U427" s="9" t="str">
        <x:f>IF(C427="","",IFERROR(INDEX('Taxonomy'!$G$9:$G$108,MATCH(D427,'Taxonomy'!$C$9:$C$108,0)),""))</x:f>
      </x:c>
    </x:row>
    <x:row r="428" ht="44" customHeight="1">
      <x:c r="A428" s="1"/>
      <x:c r="B428" s="1"/>
      <x:c r="C428" s="8"/>
      <x:c r="D428" s="8"/>
      <x:c r="E428" s="8"/>
      <x:c r="F428" s="8"/>
      <x:c r="G428" s="8"/>
      <x:c r="H428" s="8"/>
      <x:c r="I428" s="8"/>
      <x:c r="J428" s="8"/>
      <x:c r="K428" s="8"/>
      <x:c r="L428" s="8"/>
      <x:c r="M428" s="10"/>
      <x:c r="N428" s="10"/>
      <x:c r="O428" s="8"/>
      <x:c r="P428" s="9" t="str">
        <x:f>IF(C428="","",IF(AND(G428="Applicable",H428="Fail"),"Fail",IF(R428&lt;&gt;"Valid","Pending",IF(OR(I428="",K428="",L428="",K428=L428,NOT(ISNUMBER(M428)),NOT(ISNUMBER(N428)),M428&gt;Settings!$F$8,N428&lt;Settings!$F$8,N428&lt;M428),"Pending",IF(AND(G428="Applicable",H428="Pass"),"Pass",IF(AND(G428="N/A",H428="N/A",J428&lt;&gt;"",OR(E428="CEM-FUELS",E428="CEM-CCS",AND(E428="CEM-PLAN",IFERROR(INDEX('Taxonomy'!$M$9:$M$108,MATCH(D428,'Taxonomy'!$C$9:$C$108,0)),"")&lt;&gt;"Amber"),E428="BLD-TIMBER",AND(U428="Building equipment",OR(E428="BLD-WATER",E428="BLD-WASTE",E428="BLD-LAND")),AND(U428="Building renovation",E428="BLD-LAND"))),"N/A","Pending"))))))</x:f>
      </x:c>
      <x:c r="Q428" s="3" t="str">
        <x:f>IF(C428="","",IF(AND(R428="Valid",OR(P428="Pass",P428="N/A")),"Complete","Unresolved"))</x:f>
      </x:c>
      <x:c r="R428" s="9" t="str">
        <x:f>IF(C428="","",IF(OR(COUNTIF($C$9:$C$2008,C428)&lt;&gt;1,COUNTIFS($D$9:$D$2008,D428,$E$9:$E$2008,E428)&lt;&gt;1),"Duplicate test",IF(COUNTIF('Taxonomy'!$C$9:$C$108,D428)&lt;&gt;1,"Assessment key",IF(OR(COUNTIF('Taxonomy Rules'!$C$42:$C$68,E428)&lt;&gt;1,F428&lt;&gt;IFERROR(INDEX('Taxonomy Rules'!$D$42:$D$68,MATCH(E428,'Taxonomy Rules'!$C$42:$C$68,0)),""),NOT(OR(IFERROR(INDEX('Taxonomy Rules'!$G$42:$G$68,MATCH(E428,'Taxonomy Rules'!$C$42:$C$68,0)),"")="All supported routes",IFERROR(INDEX('Taxonomy Rules'!$G$42:$G$68,MATCH(E428,'Taxonomy Rules'!$C$42:$C$68,0)),"")=U428,AND(IFERROR(INDEX('Taxonomy Rules'!$G$42:$G$68,MATCH(E428,'Taxonomy Rules'!$C$42:$C$68,0)),"")="Building routes",OR(U428="Building renovation",U428="New building",U428="Building equipment"))))),"Unexpected test","Valid"))))</x:f>
      </x:c>
      <x:c r="S428" s="9" t="str">
        <x:f>IF(C428="","",IFERROR(INDEX('Taxonomy Rules'!$E$42:$E$68,MATCH(E428,'Taxonomy Rules'!$C$42:$C$68,0)),""))</x:f>
      </x:c>
      <x:c r="T428" s="9" t="str">
        <x:f>IF(C428="","",IFERROR(INDEX('Taxonomy Rules'!$F$42:$F$68,MATCH(E428,'Taxonomy Rules'!$C$42:$C$68,0)),""))</x:f>
      </x:c>
      <x:c r="U428" s="9" t="str">
        <x:f>IF(C428="","",IFERROR(INDEX('Taxonomy'!$G$9:$G$108,MATCH(D428,'Taxonomy'!$C$9:$C$108,0)),""))</x:f>
      </x:c>
    </x:row>
    <x:row r="429" ht="44" customHeight="1">
      <x:c r="A429" s="1"/>
      <x:c r="B429" s="1"/>
      <x:c r="C429" s="8"/>
      <x:c r="D429" s="8"/>
      <x:c r="E429" s="8"/>
      <x:c r="F429" s="8"/>
      <x:c r="G429" s="8"/>
      <x:c r="H429" s="8"/>
      <x:c r="I429" s="8"/>
      <x:c r="J429" s="8"/>
      <x:c r="K429" s="8"/>
      <x:c r="L429" s="8"/>
      <x:c r="M429" s="10"/>
      <x:c r="N429" s="10"/>
      <x:c r="O429" s="8"/>
      <x:c r="P429" s="9" t="str">
        <x:f>IF(C429="","",IF(AND(G429="Applicable",H429="Fail"),"Fail",IF(R429&lt;&gt;"Valid","Pending",IF(OR(I429="",K429="",L429="",K429=L429,NOT(ISNUMBER(M429)),NOT(ISNUMBER(N429)),M429&gt;Settings!$F$8,N429&lt;Settings!$F$8,N429&lt;M429),"Pending",IF(AND(G429="Applicable",H429="Pass"),"Pass",IF(AND(G429="N/A",H429="N/A",J429&lt;&gt;"",OR(E429="CEM-FUELS",E429="CEM-CCS",AND(E429="CEM-PLAN",IFERROR(INDEX('Taxonomy'!$M$9:$M$108,MATCH(D429,'Taxonomy'!$C$9:$C$108,0)),"")&lt;&gt;"Amber"),E429="BLD-TIMBER",AND(U429="Building equipment",OR(E429="BLD-WATER",E429="BLD-WASTE",E429="BLD-LAND")),AND(U429="Building renovation",E429="BLD-LAND"))),"N/A","Pending"))))))</x:f>
      </x:c>
      <x:c r="Q429" s="3" t="str">
        <x:f>IF(C429="","",IF(AND(R429="Valid",OR(P429="Pass",P429="N/A")),"Complete","Unresolved"))</x:f>
      </x:c>
      <x:c r="R429" s="9" t="str">
        <x:f>IF(C429="","",IF(OR(COUNTIF($C$9:$C$2008,C429)&lt;&gt;1,COUNTIFS($D$9:$D$2008,D429,$E$9:$E$2008,E429)&lt;&gt;1),"Duplicate test",IF(COUNTIF('Taxonomy'!$C$9:$C$108,D429)&lt;&gt;1,"Assessment key",IF(OR(COUNTIF('Taxonomy Rules'!$C$42:$C$68,E429)&lt;&gt;1,F429&lt;&gt;IFERROR(INDEX('Taxonomy Rules'!$D$42:$D$68,MATCH(E429,'Taxonomy Rules'!$C$42:$C$68,0)),""),NOT(OR(IFERROR(INDEX('Taxonomy Rules'!$G$42:$G$68,MATCH(E429,'Taxonomy Rules'!$C$42:$C$68,0)),"")="All supported routes",IFERROR(INDEX('Taxonomy Rules'!$G$42:$G$68,MATCH(E429,'Taxonomy Rules'!$C$42:$C$68,0)),"")=U429,AND(IFERROR(INDEX('Taxonomy Rules'!$G$42:$G$68,MATCH(E429,'Taxonomy Rules'!$C$42:$C$68,0)),"")="Building routes",OR(U429="Building renovation",U429="New building",U429="Building equipment"))))),"Unexpected test","Valid"))))</x:f>
      </x:c>
      <x:c r="S429" s="9" t="str">
        <x:f>IF(C429="","",IFERROR(INDEX('Taxonomy Rules'!$E$42:$E$68,MATCH(E429,'Taxonomy Rules'!$C$42:$C$68,0)),""))</x:f>
      </x:c>
      <x:c r="T429" s="9" t="str">
        <x:f>IF(C429="","",IFERROR(INDEX('Taxonomy Rules'!$F$42:$F$68,MATCH(E429,'Taxonomy Rules'!$C$42:$C$68,0)),""))</x:f>
      </x:c>
      <x:c r="U429" s="9" t="str">
        <x:f>IF(C429="","",IFERROR(INDEX('Taxonomy'!$G$9:$G$108,MATCH(D429,'Taxonomy'!$C$9:$C$108,0)),""))</x:f>
      </x:c>
    </x:row>
    <x:row r="430" ht="44" customHeight="1">
      <x:c r="A430" s="1"/>
      <x:c r="B430" s="1"/>
      <x:c r="C430" s="8"/>
      <x:c r="D430" s="8"/>
      <x:c r="E430" s="8"/>
      <x:c r="F430" s="8"/>
      <x:c r="G430" s="8"/>
      <x:c r="H430" s="8"/>
      <x:c r="I430" s="8"/>
      <x:c r="J430" s="8"/>
      <x:c r="K430" s="8"/>
      <x:c r="L430" s="8"/>
      <x:c r="M430" s="10"/>
      <x:c r="N430" s="10"/>
      <x:c r="O430" s="8"/>
      <x:c r="P430" s="9" t="str">
        <x:f>IF(C430="","",IF(AND(G430="Applicable",H430="Fail"),"Fail",IF(R430&lt;&gt;"Valid","Pending",IF(OR(I430="",K430="",L430="",K430=L430,NOT(ISNUMBER(M430)),NOT(ISNUMBER(N430)),M430&gt;Settings!$F$8,N430&lt;Settings!$F$8,N430&lt;M430),"Pending",IF(AND(G430="Applicable",H430="Pass"),"Pass",IF(AND(G430="N/A",H430="N/A",J430&lt;&gt;"",OR(E430="CEM-FUELS",E430="CEM-CCS",AND(E430="CEM-PLAN",IFERROR(INDEX('Taxonomy'!$M$9:$M$108,MATCH(D430,'Taxonomy'!$C$9:$C$108,0)),"")&lt;&gt;"Amber"),E430="BLD-TIMBER",AND(U430="Building equipment",OR(E430="BLD-WATER",E430="BLD-WASTE",E430="BLD-LAND")),AND(U430="Building renovation",E430="BLD-LAND"))),"N/A","Pending"))))))</x:f>
      </x:c>
      <x:c r="Q430" s="3" t="str">
        <x:f>IF(C430="","",IF(AND(R430="Valid",OR(P430="Pass",P430="N/A")),"Complete","Unresolved"))</x:f>
      </x:c>
      <x:c r="R430" s="9" t="str">
        <x:f>IF(C430="","",IF(OR(COUNTIF($C$9:$C$2008,C430)&lt;&gt;1,COUNTIFS($D$9:$D$2008,D430,$E$9:$E$2008,E430)&lt;&gt;1),"Duplicate test",IF(COUNTIF('Taxonomy'!$C$9:$C$108,D430)&lt;&gt;1,"Assessment key",IF(OR(COUNTIF('Taxonomy Rules'!$C$42:$C$68,E430)&lt;&gt;1,F430&lt;&gt;IFERROR(INDEX('Taxonomy Rules'!$D$42:$D$68,MATCH(E430,'Taxonomy Rules'!$C$42:$C$68,0)),""),NOT(OR(IFERROR(INDEX('Taxonomy Rules'!$G$42:$G$68,MATCH(E430,'Taxonomy Rules'!$C$42:$C$68,0)),"")="All supported routes",IFERROR(INDEX('Taxonomy Rules'!$G$42:$G$68,MATCH(E430,'Taxonomy Rules'!$C$42:$C$68,0)),"")=U430,AND(IFERROR(INDEX('Taxonomy Rules'!$G$42:$G$68,MATCH(E430,'Taxonomy Rules'!$C$42:$C$68,0)),"")="Building routes",OR(U430="Building renovation",U430="New building",U430="Building equipment"))))),"Unexpected test","Valid"))))</x:f>
      </x:c>
      <x:c r="S430" s="9" t="str">
        <x:f>IF(C430="","",IFERROR(INDEX('Taxonomy Rules'!$E$42:$E$68,MATCH(E430,'Taxonomy Rules'!$C$42:$C$68,0)),""))</x:f>
      </x:c>
      <x:c r="T430" s="9" t="str">
        <x:f>IF(C430="","",IFERROR(INDEX('Taxonomy Rules'!$F$42:$F$68,MATCH(E430,'Taxonomy Rules'!$C$42:$C$68,0)),""))</x:f>
      </x:c>
      <x:c r="U430" s="9" t="str">
        <x:f>IF(C430="","",IFERROR(INDEX('Taxonomy'!$G$9:$G$108,MATCH(D430,'Taxonomy'!$C$9:$C$108,0)),""))</x:f>
      </x:c>
    </x:row>
    <x:row r="431" ht="44" customHeight="1">
      <x:c r="A431" s="1"/>
      <x:c r="B431" s="1"/>
      <x:c r="C431" s="8"/>
      <x:c r="D431" s="8"/>
      <x:c r="E431" s="8"/>
      <x:c r="F431" s="8"/>
      <x:c r="G431" s="8"/>
      <x:c r="H431" s="8"/>
      <x:c r="I431" s="8"/>
      <x:c r="J431" s="8"/>
      <x:c r="K431" s="8"/>
      <x:c r="L431" s="8"/>
      <x:c r="M431" s="10"/>
      <x:c r="N431" s="10"/>
      <x:c r="O431" s="8"/>
      <x:c r="P431" s="9" t="str">
        <x:f>IF(C431="","",IF(AND(G431="Applicable",H431="Fail"),"Fail",IF(R431&lt;&gt;"Valid","Pending",IF(OR(I431="",K431="",L431="",K431=L431,NOT(ISNUMBER(M431)),NOT(ISNUMBER(N431)),M431&gt;Settings!$F$8,N431&lt;Settings!$F$8,N431&lt;M431),"Pending",IF(AND(G431="Applicable",H431="Pass"),"Pass",IF(AND(G431="N/A",H431="N/A",J431&lt;&gt;"",OR(E431="CEM-FUELS",E431="CEM-CCS",AND(E431="CEM-PLAN",IFERROR(INDEX('Taxonomy'!$M$9:$M$108,MATCH(D431,'Taxonomy'!$C$9:$C$108,0)),"")&lt;&gt;"Amber"),E431="BLD-TIMBER",AND(U431="Building equipment",OR(E431="BLD-WATER",E431="BLD-WASTE",E431="BLD-LAND")),AND(U431="Building renovation",E431="BLD-LAND"))),"N/A","Pending"))))))</x:f>
      </x:c>
      <x:c r="Q431" s="3" t="str">
        <x:f>IF(C431="","",IF(AND(R431="Valid",OR(P431="Pass",P431="N/A")),"Complete","Unresolved"))</x:f>
      </x:c>
      <x:c r="R431" s="9" t="str">
        <x:f>IF(C431="","",IF(OR(COUNTIF($C$9:$C$2008,C431)&lt;&gt;1,COUNTIFS($D$9:$D$2008,D431,$E$9:$E$2008,E431)&lt;&gt;1),"Duplicate test",IF(COUNTIF('Taxonomy'!$C$9:$C$108,D431)&lt;&gt;1,"Assessment key",IF(OR(COUNTIF('Taxonomy Rules'!$C$42:$C$68,E431)&lt;&gt;1,F431&lt;&gt;IFERROR(INDEX('Taxonomy Rules'!$D$42:$D$68,MATCH(E431,'Taxonomy Rules'!$C$42:$C$68,0)),""),NOT(OR(IFERROR(INDEX('Taxonomy Rules'!$G$42:$G$68,MATCH(E431,'Taxonomy Rules'!$C$42:$C$68,0)),"")="All supported routes",IFERROR(INDEX('Taxonomy Rules'!$G$42:$G$68,MATCH(E431,'Taxonomy Rules'!$C$42:$C$68,0)),"")=U431,AND(IFERROR(INDEX('Taxonomy Rules'!$G$42:$G$68,MATCH(E431,'Taxonomy Rules'!$C$42:$C$68,0)),"")="Building routes",OR(U431="Building renovation",U431="New building",U431="Building equipment"))))),"Unexpected test","Valid"))))</x:f>
      </x:c>
      <x:c r="S431" s="9" t="str">
        <x:f>IF(C431="","",IFERROR(INDEX('Taxonomy Rules'!$E$42:$E$68,MATCH(E431,'Taxonomy Rules'!$C$42:$C$68,0)),""))</x:f>
      </x:c>
      <x:c r="T431" s="9" t="str">
        <x:f>IF(C431="","",IFERROR(INDEX('Taxonomy Rules'!$F$42:$F$68,MATCH(E431,'Taxonomy Rules'!$C$42:$C$68,0)),""))</x:f>
      </x:c>
      <x:c r="U431" s="9" t="str">
        <x:f>IF(C431="","",IFERROR(INDEX('Taxonomy'!$G$9:$G$108,MATCH(D431,'Taxonomy'!$C$9:$C$108,0)),""))</x:f>
      </x:c>
    </x:row>
    <x:row r="432" ht="44" customHeight="1">
      <x:c r="A432" s="1"/>
      <x:c r="B432" s="1"/>
      <x:c r="C432" s="8"/>
      <x:c r="D432" s="8"/>
      <x:c r="E432" s="8"/>
      <x:c r="F432" s="8"/>
      <x:c r="G432" s="8"/>
      <x:c r="H432" s="8"/>
      <x:c r="I432" s="8"/>
      <x:c r="J432" s="8"/>
      <x:c r="K432" s="8"/>
      <x:c r="L432" s="8"/>
      <x:c r="M432" s="10"/>
      <x:c r="N432" s="10"/>
      <x:c r="O432" s="8"/>
      <x:c r="P432" s="9" t="str">
        <x:f>IF(C432="","",IF(AND(G432="Applicable",H432="Fail"),"Fail",IF(R432&lt;&gt;"Valid","Pending",IF(OR(I432="",K432="",L432="",K432=L432,NOT(ISNUMBER(M432)),NOT(ISNUMBER(N432)),M432&gt;Settings!$F$8,N432&lt;Settings!$F$8,N432&lt;M432),"Pending",IF(AND(G432="Applicable",H432="Pass"),"Pass",IF(AND(G432="N/A",H432="N/A",J432&lt;&gt;"",OR(E432="CEM-FUELS",E432="CEM-CCS",AND(E432="CEM-PLAN",IFERROR(INDEX('Taxonomy'!$M$9:$M$108,MATCH(D432,'Taxonomy'!$C$9:$C$108,0)),"")&lt;&gt;"Amber"),E432="BLD-TIMBER",AND(U432="Building equipment",OR(E432="BLD-WATER",E432="BLD-WASTE",E432="BLD-LAND")),AND(U432="Building renovation",E432="BLD-LAND"))),"N/A","Pending"))))))</x:f>
      </x:c>
      <x:c r="Q432" s="3" t="str">
        <x:f>IF(C432="","",IF(AND(R432="Valid",OR(P432="Pass",P432="N/A")),"Complete","Unresolved"))</x:f>
      </x:c>
      <x:c r="R432" s="9" t="str">
        <x:f>IF(C432="","",IF(OR(COUNTIF($C$9:$C$2008,C432)&lt;&gt;1,COUNTIFS($D$9:$D$2008,D432,$E$9:$E$2008,E432)&lt;&gt;1),"Duplicate test",IF(COUNTIF('Taxonomy'!$C$9:$C$108,D432)&lt;&gt;1,"Assessment key",IF(OR(COUNTIF('Taxonomy Rules'!$C$42:$C$68,E432)&lt;&gt;1,F432&lt;&gt;IFERROR(INDEX('Taxonomy Rules'!$D$42:$D$68,MATCH(E432,'Taxonomy Rules'!$C$42:$C$68,0)),""),NOT(OR(IFERROR(INDEX('Taxonomy Rules'!$G$42:$G$68,MATCH(E432,'Taxonomy Rules'!$C$42:$C$68,0)),"")="All supported routes",IFERROR(INDEX('Taxonomy Rules'!$G$42:$G$68,MATCH(E432,'Taxonomy Rules'!$C$42:$C$68,0)),"")=U432,AND(IFERROR(INDEX('Taxonomy Rules'!$G$42:$G$68,MATCH(E432,'Taxonomy Rules'!$C$42:$C$68,0)),"")="Building routes",OR(U432="Building renovation",U432="New building",U432="Building equipment"))))),"Unexpected test","Valid"))))</x:f>
      </x:c>
      <x:c r="S432" s="9" t="str">
        <x:f>IF(C432="","",IFERROR(INDEX('Taxonomy Rules'!$E$42:$E$68,MATCH(E432,'Taxonomy Rules'!$C$42:$C$68,0)),""))</x:f>
      </x:c>
      <x:c r="T432" s="9" t="str">
        <x:f>IF(C432="","",IFERROR(INDEX('Taxonomy Rules'!$F$42:$F$68,MATCH(E432,'Taxonomy Rules'!$C$42:$C$68,0)),""))</x:f>
      </x:c>
      <x:c r="U432" s="9" t="str">
        <x:f>IF(C432="","",IFERROR(INDEX('Taxonomy'!$G$9:$G$108,MATCH(D432,'Taxonomy'!$C$9:$C$108,0)),""))</x:f>
      </x:c>
    </x:row>
    <x:row r="433" ht="44" customHeight="1">
      <x:c r="A433" s="1"/>
      <x:c r="B433" s="1"/>
      <x:c r="C433" s="8"/>
      <x:c r="D433" s="8"/>
      <x:c r="E433" s="8"/>
      <x:c r="F433" s="8"/>
      <x:c r="G433" s="8"/>
      <x:c r="H433" s="8"/>
      <x:c r="I433" s="8"/>
      <x:c r="J433" s="8"/>
      <x:c r="K433" s="8"/>
      <x:c r="L433" s="8"/>
      <x:c r="M433" s="10"/>
      <x:c r="N433" s="10"/>
      <x:c r="O433" s="8"/>
      <x:c r="P433" s="9" t="str">
        <x:f>IF(C433="","",IF(AND(G433="Applicable",H433="Fail"),"Fail",IF(R433&lt;&gt;"Valid","Pending",IF(OR(I433="",K433="",L433="",K433=L433,NOT(ISNUMBER(M433)),NOT(ISNUMBER(N433)),M433&gt;Settings!$F$8,N433&lt;Settings!$F$8,N433&lt;M433),"Pending",IF(AND(G433="Applicable",H433="Pass"),"Pass",IF(AND(G433="N/A",H433="N/A",J433&lt;&gt;"",OR(E433="CEM-FUELS",E433="CEM-CCS",AND(E433="CEM-PLAN",IFERROR(INDEX('Taxonomy'!$M$9:$M$108,MATCH(D433,'Taxonomy'!$C$9:$C$108,0)),"")&lt;&gt;"Amber"),E433="BLD-TIMBER",AND(U433="Building equipment",OR(E433="BLD-WATER",E433="BLD-WASTE",E433="BLD-LAND")),AND(U433="Building renovation",E433="BLD-LAND"))),"N/A","Pending"))))))</x:f>
      </x:c>
      <x:c r="Q433" s="3" t="str">
        <x:f>IF(C433="","",IF(AND(R433="Valid",OR(P433="Pass",P433="N/A")),"Complete","Unresolved"))</x:f>
      </x:c>
      <x:c r="R433" s="9" t="str">
        <x:f>IF(C433="","",IF(OR(COUNTIF($C$9:$C$2008,C433)&lt;&gt;1,COUNTIFS($D$9:$D$2008,D433,$E$9:$E$2008,E433)&lt;&gt;1),"Duplicate test",IF(COUNTIF('Taxonomy'!$C$9:$C$108,D433)&lt;&gt;1,"Assessment key",IF(OR(COUNTIF('Taxonomy Rules'!$C$42:$C$68,E433)&lt;&gt;1,F433&lt;&gt;IFERROR(INDEX('Taxonomy Rules'!$D$42:$D$68,MATCH(E433,'Taxonomy Rules'!$C$42:$C$68,0)),""),NOT(OR(IFERROR(INDEX('Taxonomy Rules'!$G$42:$G$68,MATCH(E433,'Taxonomy Rules'!$C$42:$C$68,0)),"")="All supported routes",IFERROR(INDEX('Taxonomy Rules'!$G$42:$G$68,MATCH(E433,'Taxonomy Rules'!$C$42:$C$68,0)),"")=U433,AND(IFERROR(INDEX('Taxonomy Rules'!$G$42:$G$68,MATCH(E433,'Taxonomy Rules'!$C$42:$C$68,0)),"")="Building routes",OR(U433="Building renovation",U433="New building",U433="Building equipment"))))),"Unexpected test","Valid"))))</x:f>
      </x:c>
      <x:c r="S433" s="9" t="str">
        <x:f>IF(C433="","",IFERROR(INDEX('Taxonomy Rules'!$E$42:$E$68,MATCH(E433,'Taxonomy Rules'!$C$42:$C$68,0)),""))</x:f>
      </x:c>
      <x:c r="T433" s="9" t="str">
        <x:f>IF(C433="","",IFERROR(INDEX('Taxonomy Rules'!$F$42:$F$68,MATCH(E433,'Taxonomy Rules'!$C$42:$C$68,0)),""))</x:f>
      </x:c>
      <x:c r="U433" s="9" t="str">
        <x:f>IF(C433="","",IFERROR(INDEX('Taxonomy'!$G$9:$G$108,MATCH(D433,'Taxonomy'!$C$9:$C$108,0)),""))</x:f>
      </x:c>
    </x:row>
    <x:row r="434" ht="44" customHeight="1">
      <x:c r="A434" s="1"/>
      <x:c r="B434" s="1"/>
      <x:c r="C434" s="8"/>
      <x:c r="D434" s="8"/>
      <x:c r="E434" s="8"/>
      <x:c r="F434" s="8"/>
      <x:c r="G434" s="8"/>
      <x:c r="H434" s="8"/>
      <x:c r="I434" s="8"/>
      <x:c r="J434" s="8"/>
      <x:c r="K434" s="8"/>
      <x:c r="L434" s="8"/>
      <x:c r="M434" s="10"/>
      <x:c r="N434" s="10"/>
      <x:c r="O434" s="8"/>
      <x:c r="P434" s="9" t="str">
        <x:f>IF(C434="","",IF(AND(G434="Applicable",H434="Fail"),"Fail",IF(R434&lt;&gt;"Valid","Pending",IF(OR(I434="",K434="",L434="",K434=L434,NOT(ISNUMBER(M434)),NOT(ISNUMBER(N434)),M434&gt;Settings!$F$8,N434&lt;Settings!$F$8,N434&lt;M434),"Pending",IF(AND(G434="Applicable",H434="Pass"),"Pass",IF(AND(G434="N/A",H434="N/A",J434&lt;&gt;"",OR(E434="CEM-FUELS",E434="CEM-CCS",AND(E434="CEM-PLAN",IFERROR(INDEX('Taxonomy'!$M$9:$M$108,MATCH(D434,'Taxonomy'!$C$9:$C$108,0)),"")&lt;&gt;"Amber"),E434="BLD-TIMBER",AND(U434="Building equipment",OR(E434="BLD-WATER",E434="BLD-WASTE",E434="BLD-LAND")),AND(U434="Building renovation",E434="BLD-LAND"))),"N/A","Pending"))))))</x:f>
      </x:c>
      <x:c r="Q434" s="3" t="str">
        <x:f>IF(C434="","",IF(AND(R434="Valid",OR(P434="Pass",P434="N/A")),"Complete","Unresolved"))</x:f>
      </x:c>
      <x:c r="R434" s="9" t="str">
        <x:f>IF(C434="","",IF(OR(COUNTIF($C$9:$C$2008,C434)&lt;&gt;1,COUNTIFS($D$9:$D$2008,D434,$E$9:$E$2008,E434)&lt;&gt;1),"Duplicate test",IF(COUNTIF('Taxonomy'!$C$9:$C$108,D434)&lt;&gt;1,"Assessment key",IF(OR(COUNTIF('Taxonomy Rules'!$C$42:$C$68,E434)&lt;&gt;1,F434&lt;&gt;IFERROR(INDEX('Taxonomy Rules'!$D$42:$D$68,MATCH(E434,'Taxonomy Rules'!$C$42:$C$68,0)),""),NOT(OR(IFERROR(INDEX('Taxonomy Rules'!$G$42:$G$68,MATCH(E434,'Taxonomy Rules'!$C$42:$C$68,0)),"")="All supported routes",IFERROR(INDEX('Taxonomy Rules'!$G$42:$G$68,MATCH(E434,'Taxonomy Rules'!$C$42:$C$68,0)),"")=U434,AND(IFERROR(INDEX('Taxonomy Rules'!$G$42:$G$68,MATCH(E434,'Taxonomy Rules'!$C$42:$C$68,0)),"")="Building routes",OR(U434="Building renovation",U434="New building",U434="Building equipment"))))),"Unexpected test","Valid"))))</x:f>
      </x:c>
      <x:c r="S434" s="9" t="str">
        <x:f>IF(C434="","",IFERROR(INDEX('Taxonomy Rules'!$E$42:$E$68,MATCH(E434,'Taxonomy Rules'!$C$42:$C$68,0)),""))</x:f>
      </x:c>
      <x:c r="T434" s="9" t="str">
        <x:f>IF(C434="","",IFERROR(INDEX('Taxonomy Rules'!$F$42:$F$68,MATCH(E434,'Taxonomy Rules'!$C$42:$C$68,0)),""))</x:f>
      </x:c>
      <x:c r="U434" s="9" t="str">
        <x:f>IF(C434="","",IFERROR(INDEX('Taxonomy'!$G$9:$G$108,MATCH(D434,'Taxonomy'!$C$9:$C$108,0)),""))</x:f>
      </x:c>
    </x:row>
    <x:row r="435" ht="44" customHeight="1">
      <x:c r="A435" s="1"/>
      <x:c r="B435" s="1"/>
      <x:c r="C435" s="8"/>
      <x:c r="D435" s="8"/>
      <x:c r="E435" s="8"/>
      <x:c r="F435" s="8"/>
      <x:c r="G435" s="8"/>
      <x:c r="H435" s="8"/>
      <x:c r="I435" s="8"/>
      <x:c r="J435" s="8"/>
      <x:c r="K435" s="8"/>
      <x:c r="L435" s="8"/>
      <x:c r="M435" s="10"/>
      <x:c r="N435" s="10"/>
      <x:c r="O435" s="8"/>
      <x:c r="P435" s="9" t="str">
        <x:f>IF(C435="","",IF(AND(G435="Applicable",H435="Fail"),"Fail",IF(R435&lt;&gt;"Valid","Pending",IF(OR(I435="",K435="",L435="",K435=L435,NOT(ISNUMBER(M435)),NOT(ISNUMBER(N435)),M435&gt;Settings!$F$8,N435&lt;Settings!$F$8,N435&lt;M435),"Pending",IF(AND(G435="Applicable",H435="Pass"),"Pass",IF(AND(G435="N/A",H435="N/A",J435&lt;&gt;"",OR(E435="CEM-FUELS",E435="CEM-CCS",AND(E435="CEM-PLAN",IFERROR(INDEX('Taxonomy'!$M$9:$M$108,MATCH(D435,'Taxonomy'!$C$9:$C$108,0)),"")&lt;&gt;"Amber"),E435="BLD-TIMBER",AND(U435="Building equipment",OR(E435="BLD-WATER",E435="BLD-WASTE",E435="BLD-LAND")),AND(U435="Building renovation",E435="BLD-LAND"))),"N/A","Pending"))))))</x:f>
      </x:c>
      <x:c r="Q435" s="3" t="str">
        <x:f>IF(C435="","",IF(AND(R435="Valid",OR(P435="Pass",P435="N/A")),"Complete","Unresolved"))</x:f>
      </x:c>
      <x:c r="R435" s="9" t="str">
        <x:f>IF(C435="","",IF(OR(COUNTIF($C$9:$C$2008,C435)&lt;&gt;1,COUNTIFS($D$9:$D$2008,D435,$E$9:$E$2008,E435)&lt;&gt;1),"Duplicate test",IF(COUNTIF('Taxonomy'!$C$9:$C$108,D435)&lt;&gt;1,"Assessment key",IF(OR(COUNTIF('Taxonomy Rules'!$C$42:$C$68,E435)&lt;&gt;1,F435&lt;&gt;IFERROR(INDEX('Taxonomy Rules'!$D$42:$D$68,MATCH(E435,'Taxonomy Rules'!$C$42:$C$68,0)),""),NOT(OR(IFERROR(INDEX('Taxonomy Rules'!$G$42:$G$68,MATCH(E435,'Taxonomy Rules'!$C$42:$C$68,0)),"")="All supported routes",IFERROR(INDEX('Taxonomy Rules'!$G$42:$G$68,MATCH(E435,'Taxonomy Rules'!$C$42:$C$68,0)),"")=U435,AND(IFERROR(INDEX('Taxonomy Rules'!$G$42:$G$68,MATCH(E435,'Taxonomy Rules'!$C$42:$C$68,0)),"")="Building routes",OR(U435="Building renovation",U435="New building",U435="Building equipment"))))),"Unexpected test","Valid"))))</x:f>
      </x:c>
      <x:c r="S435" s="9" t="str">
        <x:f>IF(C435="","",IFERROR(INDEX('Taxonomy Rules'!$E$42:$E$68,MATCH(E435,'Taxonomy Rules'!$C$42:$C$68,0)),""))</x:f>
      </x:c>
      <x:c r="T435" s="9" t="str">
        <x:f>IF(C435="","",IFERROR(INDEX('Taxonomy Rules'!$F$42:$F$68,MATCH(E435,'Taxonomy Rules'!$C$42:$C$68,0)),""))</x:f>
      </x:c>
      <x:c r="U435" s="9" t="str">
        <x:f>IF(C435="","",IFERROR(INDEX('Taxonomy'!$G$9:$G$108,MATCH(D435,'Taxonomy'!$C$9:$C$108,0)),""))</x:f>
      </x:c>
    </x:row>
    <x:row r="436" ht="44" customHeight="1">
      <x:c r="A436" s="1"/>
      <x:c r="B436" s="1"/>
      <x:c r="C436" s="8"/>
      <x:c r="D436" s="8"/>
      <x:c r="E436" s="8"/>
      <x:c r="F436" s="8"/>
      <x:c r="G436" s="8"/>
      <x:c r="H436" s="8"/>
      <x:c r="I436" s="8"/>
      <x:c r="J436" s="8"/>
      <x:c r="K436" s="8"/>
      <x:c r="L436" s="8"/>
      <x:c r="M436" s="10"/>
      <x:c r="N436" s="10"/>
      <x:c r="O436" s="8"/>
      <x:c r="P436" s="9" t="str">
        <x:f>IF(C436="","",IF(AND(G436="Applicable",H436="Fail"),"Fail",IF(R436&lt;&gt;"Valid","Pending",IF(OR(I436="",K436="",L436="",K436=L436,NOT(ISNUMBER(M436)),NOT(ISNUMBER(N436)),M436&gt;Settings!$F$8,N436&lt;Settings!$F$8,N436&lt;M436),"Pending",IF(AND(G436="Applicable",H436="Pass"),"Pass",IF(AND(G436="N/A",H436="N/A",J436&lt;&gt;"",OR(E436="CEM-FUELS",E436="CEM-CCS",AND(E436="CEM-PLAN",IFERROR(INDEX('Taxonomy'!$M$9:$M$108,MATCH(D436,'Taxonomy'!$C$9:$C$108,0)),"")&lt;&gt;"Amber"),E436="BLD-TIMBER",AND(U436="Building equipment",OR(E436="BLD-WATER",E436="BLD-WASTE",E436="BLD-LAND")),AND(U436="Building renovation",E436="BLD-LAND"))),"N/A","Pending"))))))</x:f>
      </x:c>
      <x:c r="Q436" s="3" t="str">
        <x:f>IF(C436="","",IF(AND(R436="Valid",OR(P436="Pass",P436="N/A")),"Complete","Unresolved"))</x:f>
      </x:c>
      <x:c r="R436" s="9" t="str">
        <x:f>IF(C436="","",IF(OR(COUNTIF($C$9:$C$2008,C436)&lt;&gt;1,COUNTIFS($D$9:$D$2008,D436,$E$9:$E$2008,E436)&lt;&gt;1),"Duplicate test",IF(COUNTIF('Taxonomy'!$C$9:$C$108,D436)&lt;&gt;1,"Assessment key",IF(OR(COUNTIF('Taxonomy Rules'!$C$42:$C$68,E436)&lt;&gt;1,F436&lt;&gt;IFERROR(INDEX('Taxonomy Rules'!$D$42:$D$68,MATCH(E436,'Taxonomy Rules'!$C$42:$C$68,0)),""),NOT(OR(IFERROR(INDEX('Taxonomy Rules'!$G$42:$G$68,MATCH(E436,'Taxonomy Rules'!$C$42:$C$68,0)),"")="All supported routes",IFERROR(INDEX('Taxonomy Rules'!$G$42:$G$68,MATCH(E436,'Taxonomy Rules'!$C$42:$C$68,0)),"")=U436,AND(IFERROR(INDEX('Taxonomy Rules'!$G$42:$G$68,MATCH(E436,'Taxonomy Rules'!$C$42:$C$68,0)),"")="Building routes",OR(U436="Building renovation",U436="New building",U436="Building equipment"))))),"Unexpected test","Valid"))))</x:f>
      </x:c>
      <x:c r="S436" s="9" t="str">
        <x:f>IF(C436="","",IFERROR(INDEX('Taxonomy Rules'!$E$42:$E$68,MATCH(E436,'Taxonomy Rules'!$C$42:$C$68,0)),""))</x:f>
      </x:c>
      <x:c r="T436" s="9" t="str">
        <x:f>IF(C436="","",IFERROR(INDEX('Taxonomy Rules'!$F$42:$F$68,MATCH(E436,'Taxonomy Rules'!$C$42:$C$68,0)),""))</x:f>
      </x:c>
      <x:c r="U436" s="9" t="str">
        <x:f>IF(C436="","",IFERROR(INDEX('Taxonomy'!$G$9:$G$108,MATCH(D436,'Taxonomy'!$C$9:$C$108,0)),""))</x:f>
      </x:c>
    </x:row>
    <x:row r="437" ht="44" customHeight="1">
      <x:c r="A437" s="1"/>
      <x:c r="B437" s="1"/>
      <x:c r="C437" s="8"/>
      <x:c r="D437" s="8"/>
      <x:c r="E437" s="8"/>
      <x:c r="F437" s="8"/>
      <x:c r="G437" s="8"/>
      <x:c r="H437" s="8"/>
      <x:c r="I437" s="8"/>
      <x:c r="J437" s="8"/>
      <x:c r="K437" s="8"/>
      <x:c r="L437" s="8"/>
      <x:c r="M437" s="10"/>
      <x:c r="N437" s="10"/>
      <x:c r="O437" s="8"/>
      <x:c r="P437" s="9" t="str">
        <x:f>IF(C437="","",IF(AND(G437="Applicable",H437="Fail"),"Fail",IF(R437&lt;&gt;"Valid","Pending",IF(OR(I437="",K437="",L437="",K437=L437,NOT(ISNUMBER(M437)),NOT(ISNUMBER(N437)),M437&gt;Settings!$F$8,N437&lt;Settings!$F$8,N437&lt;M437),"Pending",IF(AND(G437="Applicable",H437="Pass"),"Pass",IF(AND(G437="N/A",H437="N/A",J437&lt;&gt;"",OR(E437="CEM-FUELS",E437="CEM-CCS",AND(E437="CEM-PLAN",IFERROR(INDEX('Taxonomy'!$M$9:$M$108,MATCH(D437,'Taxonomy'!$C$9:$C$108,0)),"")&lt;&gt;"Amber"),E437="BLD-TIMBER",AND(U437="Building equipment",OR(E437="BLD-WATER",E437="BLD-WASTE",E437="BLD-LAND")),AND(U437="Building renovation",E437="BLD-LAND"))),"N/A","Pending"))))))</x:f>
      </x:c>
      <x:c r="Q437" s="3" t="str">
        <x:f>IF(C437="","",IF(AND(R437="Valid",OR(P437="Pass",P437="N/A")),"Complete","Unresolved"))</x:f>
      </x:c>
      <x:c r="R437" s="9" t="str">
        <x:f>IF(C437="","",IF(OR(COUNTIF($C$9:$C$2008,C437)&lt;&gt;1,COUNTIFS($D$9:$D$2008,D437,$E$9:$E$2008,E437)&lt;&gt;1),"Duplicate test",IF(COUNTIF('Taxonomy'!$C$9:$C$108,D437)&lt;&gt;1,"Assessment key",IF(OR(COUNTIF('Taxonomy Rules'!$C$42:$C$68,E437)&lt;&gt;1,F437&lt;&gt;IFERROR(INDEX('Taxonomy Rules'!$D$42:$D$68,MATCH(E437,'Taxonomy Rules'!$C$42:$C$68,0)),""),NOT(OR(IFERROR(INDEX('Taxonomy Rules'!$G$42:$G$68,MATCH(E437,'Taxonomy Rules'!$C$42:$C$68,0)),"")="All supported routes",IFERROR(INDEX('Taxonomy Rules'!$G$42:$G$68,MATCH(E437,'Taxonomy Rules'!$C$42:$C$68,0)),"")=U437,AND(IFERROR(INDEX('Taxonomy Rules'!$G$42:$G$68,MATCH(E437,'Taxonomy Rules'!$C$42:$C$68,0)),"")="Building routes",OR(U437="Building renovation",U437="New building",U437="Building equipment"))))),"Unexpected test","Valid"))))</x:f>
      </x:c>
      <x:c r="S437" s="9" t="str">
        <x:f>IF(C437="","",IFERROR(INDEX('Taxonomy Rules'!$E$42:$E$68,MATCH(E437,'Taxonomy Rules'!$C$42:$C$68,0)),""))</x:f>
      </x:c>
      <x:c r="T437" s="9" t="str">
        <x:f>IF(C437="","",IFERROR(INDEX('Taxonomy Rules'!$F$42:$F$68,MATCH(E437,'Taxonomy Rules'!$C$42:$C$68,0)),""))</x:f>
      </x:c>
      <x:c r="U437" s="9" t="str">
        <x:f>IF(C437="","",IFERROR(INDEX('Taxonomy'!$G$9:$G$108,MATCH(D437,'Taxonomy'!$C$9:$C$108,0)),""))</x:f>
      </x:c>
    </x:row>
    <x:row r="438" ht="44" customHeight="1">
      <x:c r="A438" s="1"/>
      <x:c r="B438" s="1"/>
      <x:c r="C438" s="8"/>
      <x:c r="D438" s="8"/>
      <x:c r="E438" s="8"/>
      <x:c r="F438" s="8"/>
      <x:c r="G438" s="8"/>
      <x:c r="H438" s="8"/>
      <x:c r="I438" s="8"/>
      <x:c r="J438" s="8"/>
      <x:c r="K438" s="8"/>
      <x:c r="L438" s="8"/>
      <x:c r="M438" s="10"/>
      <x:c r="N438" s="10"/>
      <x:c r="O438" s="8"/>
      <x:c r="P438" s="9" t="str">
        <x:f>IF(C438="","",IF(AND(G438="Applicable",H438="Fail"),"Fail",IF(R438&lt;&gt;"Valid","Pending",IF(OR(I438="",K438="",L438="",K438=L438,NOT(ISNUMBER(M438)),NOT(ISNUMBER(N438)),M438&gt;Settings!$F$8,N438&lt;Settings!$F$8,N438&lt;M438),"Pending",IF(AND(G438="Applicable",H438="Pass"),"Pass",IF(AND(G438="N/A",H438="N/A",J438&lt;&gt;"",OR(E438="CEM-FUELS",E438="CEM-CCS",AND(E438="CEM-PLAN",IFERROR(INDEX('Taxonomy'!$M$9:$M$108,MATCH(D438,'Taxonomy'!$C$9:$C$108,0)),"")&lt;&gt;"Amber"),E438="BLD-TIMBER",AND(U438="Building equipment",OR(E438="BLD-WATER",E438="BLD-WASTE",E438="BLD-LAND")),AND(U438="Building renovation",E438="BLD-LAND"))),"N/A","Pending"))))))</x:f>
      </x:c>
      <x:c r="Q438" s="3" t="str">
        <x:f>IF(C438="","",IF(AND(R438="Valid",OR(P438="Pass",P438="N/A")),"Complete","Unresolved"))</x:f>
      </x:c>
      <x:c r="R438" s="9" t="str">
        <x:f>IF(C438="","",IF(OR(COUNTIF($C$9:$C$2008,C438)&lt;&gt;1,COUNTIFS($D$9:$D$2008,D438,$E$9:$E$2008,E438)&lt;&gt;1),"Duplicate test",IF(COUNTIF('Taxonomy'!$C$9:$C$108,D438)&lt;&gt;1,"Assessment key",IF(OR(COUNTIF('Taxonomy Rules'!$C$42:$C$68,E438)&lt;&gt;1,F438&lt;&gt;IFERROR(INDEX('Taxonomy Rules'!$D$42:$D$68,MATCH(E438,'Taxonomy Rules'!$C$42:$C$68,0)),""),NOT(OR(IFERROR(INDEX('Taxonomy Rules'!$G$42:$G$68,MATCH(E438,'Taxonomy Rules'!$C$42:$C$68,0)),"")="All supported routes",IFERROR(INDEX('Taxonomy Rules'!$G$42:$G$68,MATCH(E438,'Taxonomy Rules'!$C$42:$C$68,0)),"")=U438,AND(IFERROR(INDEX('Taxonomy Rules'!$G$42:$G$68,MATCH(E438,'Taxonomy Rules'!$C$42:$C$68,0)),"")="Building routes",OR(U438="Building renovation",U438="New building",U438="Building equipment"))))),"Unexpected test","Valid"))))</x:f>
      </x:c>
      <x:c r="S438" s="9" t="str">
        <x:f>IF(C438="","",IFERROR(INDEX('Taxonomy Rules'!$E$42:$E$68,MATCH(E438,'Taxonomy Rules'!$C$42:$C$68,0)),""))</x:f>
      </x:c>
      <x:c r="T438" s="9" t="str">
        <x:f>IF(C438="","",IFERROR(INDEX('Taxonomy Rules'!$F$42:$F$68,MATCH(E438,'Taxonomy Rules'!$C$42:$C$68,0)),""))</x:f>
      </x:c>
      <x:c r="U438" s="9" t="str">
        <x:f>IF(C438="","",IFERROR(INDEX('Taxonomy'!$G$9:$G$108,MATCH(D438,'Taxonomy'!$C$9:$C$108,0)),""))</x:f>
      </x:c>
    </x:row>
    <x:row r="439" ht="44" customHeight="1">
      <x:c r="A439" s="1"/>
      <x:c r="B439" s="1"/>
      <x:c r="C439" s="8"/>
      <x:c r="D439" s="8"/>
      <x:c r="E439" s="8"/>
      <x:c r="F439" s="8"/>
      <x:c r="G439" s="8"/>
      <x:c r="H439" s="8"/>
      <x:c r="I439" s="8"/>
      <x:c r="J439" s="8"/>
      <x:c r="K439" s="8"/>
      <x:c r="L439" s="8"/>
      <x:c r="M439" s="10"/>
      <x:c r="N439" s="10"/>
      <x:c r="O439" s="8"/>
      <x:c r="P439" s="9" t="str">
        <x:f>IF(C439="","",IF(AND(G439="Applicable",H439="Fail"),"Fail",IF(R439&lt;&gt;"Valid","Pending",IF(OR(I439="",K439="",L439="",K439=L439,NOT(ISNUMBER(M439)),NOT(ISNUMBER(N439)),M439&gt;Settings!$F$8,N439&lt;Settings!$F$8,N439&lt;M439),"Pending",IF(AND(G439="Applicable",H439="Pass"),"Pass",IF(AND(G439="N/A",H439="N/A",J439&lt;&gt;"",OR(E439="CEM-FUELS",E439="CEM-CCS",AND(E439="CEM-PLAN",IFERROR(INDEX('Taxonomy'!$M$9:$M$108,MATCH(D439,'Taxonomy'!$C$9:$C$108,0)),"")&lt;&gt;"Amber"),E439="BLD-TIMBER",AND(U439="Building equipment",OR(E439="BLD-WATER",E439="BLD-WASTE",E439="BLD-LAND")),AND(U439="Building renovation",E439="BLD-LAND"))),"N/A","Pending"))))))</x:f>
      </x:c>
      <x:c r="Q439" s="3" t="str">
        <x:f>IF(C439="","",IF(AND(R439="Valid",OR(P439="Pass",P439="N/A")),"Complete","Unresolved"))</x:f>
      </x:c>
      <x:c r="R439" s="9" t="str">
        <x:f>IF(C439="","",IF(OR(COUNTIF($C$9:$C$2008,C439)&lt;&gt;1,COUNTIFS($D$9:$D$2008,D439,$E$9:$E$2008,E439)&lt;&gt;1),"Duplicate test",IF(COUNTIF('Taxonomy'!$C$9:$C$108,D439)&lt;&gt;1,"Assessment key",IF(OR(COUNTIF('Taxonomy Rules'!$C$42:$C$68,E439)&lt;&gt;1,F439&lt;&gt;IFERROR(INDEX('Taxonomy Rules'!$D$42:$D$68,MATCH(E439,'Taxonomy Rules'!$C$42:$C$68,0)),""),NOT(OR(IFERROR(INDEX('Taxonomy Rules'!$G$42:$G$68,MATCH(E439,'Taxonomy Rules'!$C$42:$C$68,0)),"")="All supported routes",IFERROR(INDEX('Taxonomy Rules'!$G$42:$G$68,MATCH(E439,'Taxonomy Rules'!$C$42:$C$68,0)),"")=U439,AND(IFERROR(INDEX('Taxonomy Rules'!$G$42:$G$68,MATCH(E439,'Taxonomy Rules'!$C$42:$C$68,0)),"")="Building routes",OR(U439="Building renovation",U439="New building",U439="Building equipment"))))),"Unexpected test","Valid"))))</x:f>
      </x:c>
      <x:c r="S439" s="9" t="str">
        <x:f>IF(C439="","",IFERROR(INDEX('Taxonomy Rules'!$E$42:$E$68,MATCH(E439,'Taxonomy Rules'!$C$42:$C$68,0)),""))</x:f>
      </x:c>
      <x:c r="T439" s="9" t="str">
        <x:f>IF(C439="","",IFERROR(INDEX('Taxonomy Rules'!$F$42:$F$68,MATCH(E439,'Taxonomy Rules'!$C$42:$C$68,0)),""))</x:f>
      </x:c>
      <x:c r="U439" s="9" t="str">
        <x:f>IF(C439="","",IFERROR(INDEX('Taxonomy'!$G$9:$G$108,MATCH(D439,'Taxonomy'!$C$9:$C$108,0)),""))</x:f>
      </x:c>
    </x:row>
    <x:row r="440" ht="44" customHeight="1">
      <x:c r="A440" s="1"/>
      <x:c r="B440" s="1"/>
      <x:c r="C440" s="8"/>
      <x:c r="D440" s="8"/>
      <x:c r="E440" s="8"/>
      <x:c r="F440" s="8"/>
      <x:c r="G440" s="8"/>
      <x:c r="H440" s="8"/>
      <x:c r="I440" s="8"/>
      <x:c r="J440" s="8"/>
      <x:c r="K440" s="8"/>
      <x:c r="L440" s="8"/>
      <x:c r="M440" s="10"/>
      <x:c r="N440" s="10"/>
      <x:c r="O440" s="8"/>
      <x:c r="P440" s="9" t="str">
        <x:f>IF(C440="","",IF(AND(G440="Applicable",H440="Fail"),"Fail",IF(R440&lt;&gt;"Valid","Pending",IF(OR(I440="",K440="",L440="",K440=L440,NOT(ISNUMBER(M440)),NOT(ISNUMBER(N440)),M440&gt;Settings!$F$8,N440&lt;Settings!$F$8,N440&lt;M440),"Pending",IF(AND(G440="Applicable",H440="Pass"),"Pass",IF(AND(G440="N/A",H440="N/A",J440&lt;&gt;"",OR(E440="CEM-FUELS",E440="CEM-CCS",AND(E440="CEM-PLAN",IFERROR(INDEX('Taxonomy'!$M$9:$M$108,MATCH(D440,'Taxonomy'!$C$9:$C$108,0)),"")&lt;&gt;"Amber"),E440="BLD-TIMBER",AND(U440="Building equipment",OR(E440="BLD-WATER",E440="BLD-WASTE",E440="BLD-LAND")),AND(U440="Building renovation",E440="BLD-LAND"))),"N/A","Pending"))))))</x:f>
      </x:c>
      <x:c r="Q440" s="3" t="str">
        <x:f>IF(C440="","",IF(AND(R440="Valid",OR(P440="Pass",P440="N/A")),"Complete","Unresolved"))</x:f>
      </x:c>
      <x:c r="R440" s="9" t="str">
        <x:f>IF(C440="","",IF(OR(COUNTIF($C$9:$C$2008,C440)&lt;&gt;1,COUNTIFS($D$9:$D$2008,D440,$E$9:$E$2008,E440)&lt;&gt;1),"Duplicate test",IF(COUNTIF('Taxonomy'!$C$9:$C$108,D440)&lt;&gt;1,"Assessment key",IF(OR(COUNTIF('Taxonomy Rules'!$C$42:$C$68,E440)&lt;&gt;1,F440&lt;&gt;IFERROR(INDEX('Taxonomy Rules'!$D$42:$D$68,MATCH(E440,'Taxonomy Rules'!$C$42:$C$68,0)),""),NOT(OR(IFERROR(INDEX('Taxonomy Rules'!$G$42:$G$68,MATCH(E440,'Taxonomy Rules'!$C$42:$C$68,0)),"")="All supported routes",IFERROR(INDEX('Taxonomy Rules'!$G$42:$G$68,MATCH(E440,'Taxonomy Rules'!$C$42:$C$68,0)),"")=U440,AND(IFERROR(INDEX('Taxonomy Rules'!$G$42:$G$68,MATCH(E440,'Taxonomy Rules'!$C$42:$C$68,0)),"")="Building routes",OR(U440="Building renovation",U440="New building",U440="Building equipment"))))),"Unexpected test","Valid"))))</x:f>
      </x:c>
      <x:c r="S440" s="9" t="str">
        <x:f>IF(C440="","",IFERROR(INDEX('Taxonomy Rules'!$E$42:$E$68,MATCH(E440,'Taxonomy Rules'!$C$42:$C$68,0)),""))</x:f>
      </x:c>
      <x:c r="T440" s="9" t="str">
        <x:f>IF(C440="","",IFERROR(INDEX('Taxonomy Rules'!$F$42:$F$68,MATCH(E440,'Taxonomy Rules'!$C$42:$C$68,0)),""))</x:f>
      </x:c>
      <x:c r="U440" s="9" t="str">
        <x:f>IF(C440="","",IFERROR(INDEX('Taxonomy'!$G$9:$G$108,MATCH(D440,'Taxonomy'!$C$9:$C$108,0)),""))</x:f>
      </x:c>
    </x:row>
    <x:row r="441" ht="44" customHeight="1">
      <x:c r="A441" s="1"/>
      <x:c r="B441" s="1"/>
      <x:c r="C441" s="8"/>
      <x:c r="D441" s="8"/>
      <x:c r="E441" s="8"/>
      <x:c r="F441" s="8"/>
      <x:c r="G441" s="8"/>
      <x:c r="H441" s="8"/>
      <x:c r="I441" s="8"/>
      <x:c r="J441" s="8"/>
      <x:c r="K441" s="8"/>
      <x:c r="L441" s="8"/>
      <x:c r="M441" s="10"/>
      <x:c r="N441" s="10"/>
      <x:c r="O441" s="8"/>
      <x:c r="P441" s="9" t="str">
        <x:f>IF(C441="","",IF(AND(G441="Applicable",H441="Fail"),"Fail",IF(R441&lt;&gt;"Valid","Pending",IF(OR(I441="",K441="",L441="",K441=L441,NOT(ISNUMBER(M441)),NOT(ISNUMBER(N441)),M441&gt;Settings!$F$8,N441&lt;Settings!$F$8,N441&lt;M441),"Pending",IF(AND(G441="Applicable",H441="Pass"),"Pass",IF(AND(G441="N/A",H441="N/A",J441&lt;&gt;"",OR(E441="CEM-FUELS",E441="CEM-CCS",AND(E441="CEM-PLAN",IFERROR(INDEX('Taxonomy'!$M$9:$M$108,MATCH(D441,'Taxonomy'!$C$9:$C$108,0)),"")&lt;&gt;"Amber"),E441="BLD-TIMBER",AND(U441="Building equipment",OR(E441="BLD-WATER",E441="BLD-WASTE",E441="BLD-LAND")),AND(U441="Building renovation",E441="BLD-LAND"))),"N/A","Pending"))))))</x:f>
      </x:c>
      <x:c r="Q441" s="3" t="str">
        <x:f>IF(C441="","",IF(AND(R441="Valid",OR(P441="Pass",P441="N/A")),"Complete","Unresolved"))</x:f>
      </x:c>
      <x:c r="R441" s="9" t="str">
        <x:f>IF(C441="","",IF(OR(COUNTIF($C$9:$C$2008,C441)&lt;&gt;1,COUNTIFS($D$9:$D$2008,D441,$E$9:$E$2008,E441)&lt;&gt;1),"Duplicate test",IF(COUNTIF('Taxonomy'!$C$9:$C$108,D441)&lt;&gt;1,"Assessment key",IF(OR(COUNTIF('Taxonomy Rules'!$C$42:$C$68,E441)&lt;&gt;1,F441&lt;&gt;IFERROR(INDEX('Taxonomy Rules'!$D$42:$D$68,MATCH(E441,'Taxonomy Rules'!$C$42:$C$68,0)),""),NOT(OR(IFERROR(INDEX('Taxonomy Rules'!$G$42:$G$68,MATCH(E441,'Taxonomy Rules'!$C$42:$C$68,0)),"")="All supported routes",IFERROR(INDEX('Taxonomy Rules'!$G$42:$G$68,MATCH(E441,'Taxonomy Rules'!$C$42:$C$68,0)),"")=U441,AND(IFERROR(INDEX('Taxonomy Rules'!$G$42:$G$68,MATCH(E441,'Taxonomy Rules'!$C$42:$C$68,0)),"")="Building routes",OR(U441="Building renovation",U441="New building",U441="Building equipment"))))),"Unexpected test","Valid"))))</x:f>
      </x:c>
      <x:c r="S441" s="9" t="str">
        <x:f>IF(C441="","",IFERROR(INDEX('Taxonomy Rules'!$E$42:$E$68,MATCH(E441,'Taxonomy Rules'!$C$42:$C$68,0)),""))</x:f>
      </x:c>
      <x:c r="T441" s="9" t="str">
        <x:f>IF(C441="","",IFERROR(INDEX('Taxonomy Rules'!$F$42:$F$68,MATCH(E441,'Taxonomy Rules'!$C$42:$C$68,0)),""))</x:f>
      </x:c>
      <x:c r="U441" s="9" t="str">
        <x:f>IF(C441="","",IFERROR(INDEX('Taxonomy'!$G$9:$G$108,MATCH(D441,'Taxonomy'!$C$9:$C$108,0)),""))</x:f>
      </x:c>
    </x:row>
    <x:row r="442" ht="44" customHeight="1">
      <x:c r="A442" s="1"/>
      <x:c r="B442" s="1"/>
      <x:c r="C442" s="8"/>
      <x:c r="D442" s="8"/>
      <x:c r="E442" s="8"/>
      <x:c r="F442" s="8"/>
      <x:c r="G442" s="8"/>
      <x:c r="H442" s="8"/>
      <x:c r="I442" s="8"/>
      <x:c r="J442" s="8"/>
      <x:c r="K442" s="8"/>
      <x:c r="L442" s="8"/>
      <x:c r="M442" s="10"/>
      <x:c r="N442" s="10"/>
      <x:c r="O442" s="8"/>
      <x:c r="P442" s="9" t="str">
        <x:f>IF(C442="","",IF(AND(G442="Applicable",H442="Fail"),"Fail",IF(R442&lt;&gt;"Valid","Pending",IF(OR(I442="",K442="",L442="",K442=L442,NOT(ISNUMBER(M442)),NOT(ISNUMBER(N442)),M442&gt;Settings!$F$8,N442&lt;Settings!$F$8,N442&lt;M442),"Pending",IF(AND(G442="Applicable",H442="Pass"),"Pass",IF(AND(G442="N/A",H442="N/A",J442&lt;&gt;"",OR(E442="CEM-FUELS",E442="CEM-CCS",AND(E442="CEM-PLAN",IFERROR(INDEX('Taxonomy'!$M$9:$M$108,MATCH(D442,'Taxonomy'!$C$9:$C$108,0)),"")&lt;&gt;"Amber"),E442="BLD-TIMBER",AND(U442="Building equipment",OR(E442="BLD-WATER",E442="BLD-WASTE",E442="BLD-LAND")),AND(U442="Building renovation",E442="BLD-LAND"))),"N/A","Pending"))))))</x:f>
      </x:c>
      <x:c r="Q442" s="3" t="str">
        <x:f>IF(C442="","",IF(AND(R442="Valid",OR(P442="Pass",P442="N/A")),"Complete","Unresolved"))</x:f>
      </x:c>
      <x:c r="R442" s="9" t="str">
        <x:f>IF(C442="","",IF(OR(COUNTIF($C$9:$C$2008,C442)&lt;&gt;1,COUNTIFS($D$9:$D$2008,D442,$E$9:$E$2008,E442)&lt;&gt;1),"Duplicate test",IF(COUNTIF('Taxonomy'!$C$9:$C$108,D442)&lt;&gt;1,"Assessment key",IF(OR(COUNTIF('Taxonomy Rules'!$C$42:$C$68,E442)&lt;&gt;1,F442&lt;&gt;IFERROR(INDEX('Taxonomy Rules'!$D$42:$D$68,MATCH(E442,'Taxonomy Rules'!$C$42:$C$68,0)),""),NOT(OR(IFERROR(INDEX('Taxonomy Rules'!$G$42:$G$68,MATCH(E442,'Taxonomy Rules'!$C$42:$C$68,0)),"")="All supported routes",IFERROR(INDEX('Taxonomy Rules'!$G$42:$G$68,MATCH(E442,'Taxonomy Rules'!$C$42:$C$68,0)),"")=U442,AND(IFERROR(INDEX('Taxonomy Rules'!$G$42:$G$68,MATCH(E442,'Taxonomy Rules'!$C$42:$C$68,0)),"")="Building routes",OR(U442="Building renovation",U442="New building",U442="Building equipment"))))),"Unexpected test","Valid"))))</x:f>
      </x:c>
      <x:c r="S442" s="9" t="str">
        <x:f>IF(C442="","",IFERROR(INDEX('Taxonomy Rules'!$E$42:$E$68,MATCH(E442,'Taxonomy Rules'!$C$42:$C$68,0)),""))</x:f>
      </x:c>
      <x:c r="T442" s="9" t="str">
        <x:f>IF(C442="","",IFERROR(INDEX('Taxonomy Rules'!$F$42:$F$68,MATCH(E442,'Taxonomy Rules'!$C$42:$C$68,0)),""))</x:f>
      </x:c>
      <x:c r="U442" s="9" t="str">
        <x:f>IF(C442="","",IFERROR(INDEX('Taxonomy'!$G$9:$G$108,MATCH(D442,'Taxonomy'!$C$9:$C$108,0)),""))</x:f>
      </x:c>
    </x:row>
    <x:row r="443" ht="44" customHeight="1">
      <x:c r="A443" s="1"/>
      <x:c r="B443" s="1"/>
      <x:c r="C443" s="8"/>
      <x:c r="D443" s="8"/>
      <x:c r="E443" s="8"/>
      <x:c r="F443" s="8"/>
      <x:c r="G443" s="8"/>
      <x:c r="H443" s="8"/>
      <x:c r="I443" s="8"/>
      <x:c r="J443" s="8"/>
      <x:c r="K443" s="8"/>
      <x:c r="L443" s="8"/>
      <x:c r="M443" s="10"/>
      <x:c r="N443" s="10"/>
      <x:c r="O443" s="8"/>
      <x:c r="P443" s="9" t="str">
        <x:f>IF(C443="","",IF(AND(G443="Applicable",H443="Fail"),"Fail",IF(R443&lt;&gt;"Valid","Pending",IF(OR(I443="",K443="",L443="",K443=L443,NOT(ISNUMBER(M443)),NOT(ISNUMBER(N443)),M443&gt;Settings!$F$8,N443&lt;Settings!$F$8,N443&lt;M443),"Pending",IF(AND(G443="Applicable",H443="Pass"),"Pass",IF(AND(G443="N/A",H443="N/A",J443&lt;&gt;"",OR(E443="CEM-FUELS",E443="CEM-CCS",AND(E443="CEM-PLAN",IFERROR(INDEX('Taxonomy'!$M$9:$M$108,MATCH(D443,'Taxonomy'!$C$9:$C$108,0)),"")&lt;&gt;"Amber"),E443="BLD-TIMBER",AND(U443="Building equipment",OR(E443="BLD-WATER",E443="BLD-WASTE",E443="BLD-LAND")),AND(U443="Building renovation",E443="BLD-LAND"))),"N/A","Pending"))))))</x:f>
      </x:c>
      <x:c r="Q443" s="3" t="str">
        <x:f>IF(C443="","",IF(AND(R443="Valid",OR(P443="Pass",P443="N/A")),"Complete","Unresolved"))</x:f>
      </x:c>
      <x:c r="R443" s="9" t="str">
        <x:f>IF(C443="","",IF(OR(COUNTIF($C$9:$C$2008,C443)&lt;&gt;1,COUNTIFS($D$9:$D$2008,D443,$E$9:$E$2008,E443)&lt;&gt;1),"Duplicate test",IF(COUNTIF('Taxonomy'!$C$9:$C$108,D443)&lt;&gt;1,"Assessment key",IF(OR(COUNTIF('Taxonomy Rules'!$C$42:$C$68,E443)&lt;&gt;1,F443&lt;&gt;IFERROR(INDEX('Taxonomy Rules'!$D$42:$D$68,MATCH(E443,'Taxonomy Rules'!$C$42:$C$68,0)),""),NOT(OR(IFERROR(INDEX('Taxonomy Rules'!$G$42:$G$68,MATCH(E443,'Taxonomy Rules'!$C$42:$C$68,0)),"")="All supported routes",IFERROR(INDEX('Taxonomy Rules'!$G$42:$G$68,MATCH(E443,'Taxonomy Rules'!$C$42:$C$68,0)),"")=U443,AND(IFERROR(INDEX('Taxonomy Rules'!$G$42:$G$68,MATCH(E443,'Taxonomy Rules'!$C$42:$C$68,0)),"")="Building routes",OR(U443="Building renovation",U443="New building",U443="Building equipment"))))),"Unexpected test","Valid"))))</x:f>
      </x:c>
      <x:c r="S443" s="9" t="str">
        <x:f>IF(C443="","",IFERROR(INDEX('Taxonomy Rules'!$E$42:$E$68,MATCH(E443,'Taxonomy Rules'!$C$42:$C$68,0)),""))</x:f>
      </x:c>
      <x:c r="T443" s="9" t="str">
        <x:f>IF(C443="","",IFERROR(INDEX('Taxonomy Rules'!$F$42:$F$68,MATCH(E443,'Taxonomy Rules'!$C$42:$C$68,0)),""))</x:f>
      </x:c>
      <x:c r="U443" s="9" t="str">
        <x:f>IF(C443="","",IFERROR(INDEX('Taxonomy'!$G$9:$G$108,MATCH(D443,'Taxonomy'!$C$9:$C$108,0)),""))</x:f>
      </x:c>
    </x:row>
    <x:row r="444" ht="44" customHeight="1">
      <x:c r="A444" s="1"/>
      <x:c r="B444" s="1"/>
      <x:c r="C444" s="8"/>
      <x:c r="D444" s="8"/>
      <x:c r="E444" s="8"/>
      <x:c r="F444" s="8"/>
      <x:c r="G444" s="8"/>
      <x:c r="H444" s="8"/>
      <x:c r="I444" s="8"/>
      <x:c r="J444" s="8"/>
      <x:c r="K444" s="8"/>
      <x:c r="L444" s="8"/>
      <x:c r="M444" s="10"/>
      <x:c r="N444" s="10"/>
      <x:c r="O444" s="8"/>
      <x:c r="P444" s="9" t="str">
        <x:f>IF(C444="","",IF(AND(G444="Applicable",H444="Fail"),"Fail",IF(R444&lt;&gt;"Valid","Pending",IF(OR(I444="",K444="",L444="",K444=L444,NOT(ISNUMBER(M444)),NOT(ISNUMBER(N444)),M444&gt;Settings!$F$8,N444&lt;Settings!$F$8,N444&lt;M444),"Pending",IF(AND(G444="Applicable",H444="Pass"),"Pass",IF(AND(G444="N/A",H444="N/A",J444&lt;&gt;"",OR(E444="CEM-FUELS",E444="CEM-CCS",AND(E444="CEM-PLAN",IFERROR(INDEX('Taxonomy'!$M$9:$M$108,MATCH(D444,'Taxonomy'!$C$9:$C$108,0)),"")&lt;&gt;"Amber"),E444="BLD-TIMBER",AND(U444="Building equipment",OR(E444="BLD-WATER",E444="BLD-WASTE",E444="BLD-LAND")),AND(U444="Building renovation",E444="BLD-LAND"))),"N/A","Pending"))))))</x:f>
      </x:c>
      <x:c r="Q444" s="3" t="str">
        <x:f>IF(C444="","",IF(AND(R444="Valid",OR(P444="Pass",P444="N/A")),"Complete","Unresolved"))</x:f>
      </x:c>
      <x:c r="R444" s="9" t="str">
        <x:f>IF(C444="","",IF(OR(COUNTIF($C$9:$C$2008,C444)&lt;&gt;1,COUNTIFS($D$9:$D$2008,D444,$E$9:$E$2008,E444)&lt;&gt;1),"Duplicate test",IF(COUNTIF('Taxonomy'!$C$9:$C$108,D444)&lt;&gt;1,"Assessment key",IF(OR(COUNTIF('Taxonomy Rules'!$C$42:$C$68,E444)&lt;&gt;1,F444&lt;&gt;IFERROR(INDEX('Taxonomy Rules'!$D$42:$D$68,MATCH(E444,'Taxonomy Rules'!$C$42:$C$68,0)),""),NOT(OR(IFERROR(INDEX('Taxonomy Rules'!$G$42:$G$68,MATCH(E444,'Taxonomy Rules'!$C$42:$C$68,0)),"")="All supported routes",IFERROR(INDEX('Taxonomy Rules'!$G$42:$G$68,MATCH(E444,'Taxonomy Rules'!$C$42:$C$68,0)),"")=U444,AND(IFERROR(INDEX('Taxonomy Rules'!$G$42:$G$68,MATCH(E444,'Taxonomy Rules'!$C$42:$C$68,0)),"")="Building routes",OR(U444="Building renovation",U444="New building",U444="Building equipment"))))),"Unexpected test","Valid"))))</x:f>
      </x:c>
      <x:c r="S444" s="9" t="str">
        <x:f>IF(C444="","",IFERROR(INDEX('Taxonomy Rules'!$E$42:$E$68,MATCH(E444,'Taxonomy Rules'!$C$42:$C$68,0)),""))</x:f>
      </x:c>
      <x:c r="T444" s="9" t="str">
        <x:f>IF(C444="","",IFERROR(INDEX('Taxonomy Rules'!$F$42:$F$68,MATCH(E444,'Taxonomy Rules'!$C$42:$C$68,0)),""))</x:f>
      </x:c>
      <x:c r="U444" s="9" t="str">
        <x:f>IF(C444="","",IFERROR(INDEX('Taxonomy'!$G$9:$G$108,MATCH(D444,'Taxonomy'!$C$9:$C$108,0)),""))</x:f>
      </x:c>
    </x:row>
    <x:row r="445" ht="44" customHeight="1">
      <x:c r="A445" s="1"/>
      <x:c r="B445" s="1"/>
      <x:c r="C445" s="8"/>
      <x:c r="D445" s="8"/>
      <x:c r="E445" s="8"/>
      <x:c r="F445" s="8"/>
      <x:c r="G445" s="8"/>
      <x:c r="H445" s="8"/>
      <x:c r="I445" s="8"/>
      <x:c r="J445" s="8"/>
      <x:c r="K445" s="8"/>
      <x:c r="L445" s="8"/>
      <x:c r="M445" s="10"/>
      <x:c r="N445" s="10"/>
      <x:c r="O445" s="8"/>
      <x:c r="P445" s="9" t="str">
        <x:f>IF(C445="","",IF(AND(G445="Applicable",H445="Fail"),"Fail",IF(R445&lt;&gt;"Valid","Pending",IF(OR(I445="",K445="",L445="",K445=L445,NOT(ISNUMBER(M445)),NOT(ISNUMBER(N445)),M445&gt;Settings!$F$8,N445&lt;Settings!$F$8,N445&lt;M445),"Pending",IF(AND(G445="Applicable",H445="Pass"),"Pass",IF(AND(G445="N/A",H445="N/A",J445&lt;&gt;"",OR(E445="CEM-FUELS",E445="CEM-CCS",AND(E445="CEM-PLAN",IFERROR(INDEX('Taxonomy'!$M$9:$M$108,MATCH(D445,'Taxonomy'!$C$9:$C$108,0)),"")&lt;&gt;"Amber"),E445="BLD-TIMBER",AND(U445="Building equipment",OR(E445="BLD-WATER",E445="BLD-WASTE",E445="BLD-LAND")),AND(U445="Building renovation",E445="BLD-LAND"))),"N/A","Pending"))))))</x:f>
      </x:c>
      <x:c r="Q445" s="3" t="str">
        <x:f>IF(C445="","",IF(AND(R445="Valid",OR(P445="Pass",P445="N/A")),"Complete","Unresolved"))</x:f>
      </x:c>
      <x:c r="R445" s="9" t="str">
        <x:f>IF(C445="","",IF(OR(COUNTIF($C$9:$C$2008,C445)&lt;&gt;1,COUNTIFS($D$9:$D$2008,D445,$E$9:$E$2008,E445)&lt;&gt;1),"Duplicate test",IF(COUNTIF('Taxonomy'!$C$9:$C$108,D445)&lt;&gt;1,"Assessment key",IF(OR(COUNTIF('Taxonomy Rules'!$C$42:$C$68,E445)&lt;&gt;1,F445&lt;&gt;IFERROR(INDEX('Taxonomy Rules'!$D$42:$D$68,MATCH(E445,'Taxonomy Rules'!$C$42:$C$68,0)),""),NOT(OR(IFERROR(INDEX('Taxonomy Rules'!$G$42:$G$68,MATCH(E445,'Taxonomy Rules'!$C$42:$C$68,0)),"")="All supported routes",IFERROR(INDEX('Taxonomy Rules'!$G$42:$G$68,MATCH(E445,'Taxonomy Rules'!$C$42:$C$68,0)),"")=U445,AND(IFERROR(INDEX('Taxonomy Rules'!$G$42:$G$68,MATCH(E445,'Taxonomy Rules'!$C$42:$C$68,0)),"")="Building routes",OR(U445="Building renovation",U445="New building",U445="Building equipment"))))),"Unexpected test","Valid"))))</x:f>
      </x:c>
      <x:c r="S445" s="9" t="str">
        <x:f>IF(C445="","",IFERROR(INDEX('Taxonomy Rules'!$E$42:$E$68,MATCH(E445,'Taxonomy Rules'!$C$42:$C$68,0)),""))</x:f>
      </x:c>
      <x:c r="T445" s="9" t="str">
        <x:f>IF(C445="","",IFERROR(INDEX('Taxonomy Rules'!$F$42:$F$68,MATCH(E445,'Taxonomy Rules'!$C$42:$C$68,0)),""))</x:f>
      </x:c>
      <x:c r="U445" s="9" t="str">
        <x:f>IF(C445="","",IFERROR(INDEX('Taxonomy'!$G$9:$G$108,MATCH(D445,'Taxonomy'!$C$9:$C$108,0)),""))</x:f>
      </x:c>
    </x:row>
    <x:row r="446" ht="44" customHeight="1">
      <x:c r="A446" s="1"/>
      <x:c r="B446" s="1"/>
      <x:c r="C446" s="8"/>
      <x:c r="D446" s="8"/>
      <x:c r="E446" s="8"/>
      <x:c r="F446" s="8"/>
      <x:c r="G446" s="8"/>
      <x:c r="H446" s="8"/>
      <x:c r="I446" s="8"/>
      <x:c r="J446" s="8"/>
      <x:c r="K446" s="8"/>
      <x:c r="L446" s="8"/>
      <x:c r="M446" s="10"/>
      <x:c r="N446" s="10"/>
      <x:c r="O446" s="8"/>
      <x:c r="P446" s="9" t="str">
        <x:f>IF(C446="","",IF(AND(G446="Applicable",H446="Fail"),"Fail",IF(R446&lt;&gt;"Valid","Pending",IF(OR(I446="",K446="",L446="",K446=L446,NOT(ISNUMBER(M446)),NOT(ISNUMBER(N446)),M446&gt;Settings!$F$8,N446&lt;Settings!$F$8,N446&lt;M446),"Pending",IF(AND(G446="Applicable",H446="Pass"),"Pass",IF(AND(G446="N/A",H446="N/A",J446&lt;&gt;"",OR(E446="CEM-FUELS",E446="CEM-CCS",AND(E446="CEM-PLAN",IFERROR(INDEX('Taxonomy'!$M$9:$M$108,MATCH(D446,'Taxonomy'!$C$9:$C$108,0)),"")&lt;&gt;"Amber"),E446="BLD-TIMBER",AND(U446="Building equipment",OR(E446="BLD-WATER",E446="BLD-WASTE",E446="BLD-LAND")),AND(U446="Building renovation",E446="BLD-LAND"))),"N/A","Pending"))))))</x:f>
      </x:c>
      <x:c r="Q446" s="3" t="str">
        <x:f>IF(C446="","",IF(AND(R446="Valid",OR(P446="Pass",P446="N/A")),"Complete","Unresolved"))</x:f>
      </x:c>
      <x:c r="R446" s="9" t="str">
        <x:f>IF(C446="","",IF(OR(COUNTIF($C$9:$C$2008,C446)&lt;&gt;1,COUNTIFS($D$9:$D$2008,D446,$E$9:$E$2008,E446)&lt;&gt;1),"Duplicate test",IF(COUNTIF('Taxonomy'!$C$9:$C$108,D446)&lt;&gt;1,"Assessment key",IF(OR(COUNTIF('Taxonomy Rules'!$C$42:$C$68,E446)&lt;&gt;1,F446&lt;&gt;IFERROR(INDEX('Taxonomy Rules'!$D$42:$D$68,MATCH(E446,'Taxonomy Rules'!$C$42:$C$68,0)),""),NOT(OR(IFERROR(INDEX('Taxonomy Rules'!$G$42:$G$68,MATCH(E446,'Taxonomy Rules'!$C$42:$C$68,0)),"")="All supported routes",IFERROR(INDEX('Taxonomy Rules'!$G$42:$G$68,MATCH(E446,'Taxonomy Rules'!$C$42:$C$68,0)),"")=U446,AND(IFERROR(INDEX('Taxonomy Rules'!$G$42:$G$68,MATCH(E446,'Taxonomy Rules'!$C$42:$C$68,0)),"")="Building routes",OR(U446="Building renovation",U446="New building",U446="Building equipment"))))),"Unexpected test","Valid"))))</x:f>
      </x:c>
      <x:c r="S446" s="9" t="str">
        <x:f>IF(C446="","",IFERROR(INDEX('Taxonomy Rules'!$E$42:$E$68,MATCH(E446,'Taxonomy Rules'!$C$42:$C$68,0)),""))</x:f>
      </x:c>
      <x:c r="T446" s="9" t="str">
        <x:f>IF(C446="","",IFERROR(INDEX('Taxonomy Rules'!$F$42:$F$68,MATCH(E446,'Taxonomy Rules'!$C$42:$C$68,0)),""))</x:f>
      </x:c>
      <x:c r="U446" s="9" t="str">
        <x:f>IF(C446="","",IFERROR(INDEX('Taxonomy'!$G$9:$G$108,MATCH(D446,'Taxonomy'!$C$9:$C$108,0)),""))</x:f>
      </x:c>
    </x:row>
    <x:row r="447" ht="44" customHeight="1">
      <x:c r="A447" s="1"/>
      <x:c r="B447" s="1"/>
      <x:c r="C447" s="8"/>
      <x:c r="D447" s="8"/>
      <x:c r="E447" s="8"/>
      <x:c r="F447" s="8"/>
      <x:c r="G447" s="8"/>
      <x:c r="H447" s="8"/>
      <x:c r="I447" s="8"/>
      <x:c r="J447" s="8"/>
      <x:c r="K447" s="8"/>
      <x:c r="L447" s="8"/>
      <x:c r="M447" s="10"/>
      <x:c r="N447" s="10"/>
      <x:c r="O447" s="8"/>
      <x:c r="P447" s="9" t="str">
        <x:f>IF(C447="","",IF(AND(G447="Applicable",H447="Fail"),"Fail",IF(R447&lt;&gt;"Valid","Pending",IF(OR(I447="",K447="",L447="",K447=L447,NOT(ISNUMBER(M447)),NOT(ISNUMBER(N447)),M447&gt;Settings!$F$8,N447&lt;Settings!$F$8,N447&lt;M447),"Pending",IF(AND(G447="Applicable",H447="Pass"),"Pass",IF(AND(G447="N/A",H447="N/A",J447&lt;&gt;"",OR(E447="CEM-FUELS",E447="CEM-CCS",AND(E447="CEM-PLAN",IFERROR(INDEX('Taxonomy'!$M$9:$M$108,MATCH(D447,'Taxonomy'!$C$9:$C$108,0)),"")&lt;&gt;"Amber"),E447="BLD-TIMBER",AND(U447="Building equipment",OR(E447="BLD-WATER",E447="BLD-WASTE",E447="BLD-LAND")),AND(U447="Building renovation",E447="BLD-LAND"))),"N/A","Pending"))))))</x:f>
      </x:c>
      <x:c r="Q447" s="3" t="str">
        <x:f>IF(C447="","",IF(AND(R447="Valid",OR(P447="Pass",P447="N/A")),"Complete","Unresolved"))</x:f>
      </x:c>
      <x:c r="R447" s="9" t="str">
        <x:f>IF(C447="","",IF(OR(COUNTIF($C$9:$C$2008,C447)&lt;&gt;1,COUNTIFS($D$9:$D$2008,D447,$E$9:$E$2008,E447)&lt;&gt;1),"Duplicate test",IF(COUNTIF('Taxonomy'!$C$9:$C$108,D447)&lt;&gt;1,"Assessment key",IF(OR(COUNTIF('Taxonomy Rules'!$C$42:$C$68,E447)&lt;&gt;1,F447&lt;&gt;IFERROR(INDEX('Taxonomy Rules'!$D$42:$D$68,MATCH(E447,'Taxonomy Rules'!$C$42:$C$68,0)),""),NOT(OR(IFERROR(INDEX('Taxonomy Rules'!$G$42:$G$68,MATCH(E447,'Taxonomy Rules'!$C$42:$C$68,0)),"")="All supported routes",IFERROR(INDEX('Taxonomy Rules'!$G$42:$G$68,MATCH(E447,'Taxonomy Rules'!$C$42:$C$68,0)),"")=U447,AND(IFERROR(INDEX('Taxonomy Rules'!$G$42:$G$68,MATCH(E447,'Taxonomy Rules'!$C$42:$C$68,0)),"")="Building routes",OR(U447="Building renovation",U447="New building",U447="Building equipment"))))),"Unexpected test","Valid"))))</x:f>
      </x:c>
      <x:c r="S447" s="9" t="str">
        <x:f>IF(C447="","",IFERROR(INDEX('Taxonomy Rules'!$E$42:$E$68,MATCH(E447,'Taxonomy Rules'!$C$42:$C$68,0)),""))</x:f>
      </x:c>
      <x:c r="T447" s="9" t="str">
        <x:f>IF(C447="","",IFERROR(INDEX('Taxonomy Rules'!$F$42:$F$68,MATCH(E447,'Taxonomy Rules'!$C$42:$C$68,0)),""))</x:f>
      </x:c>
      <x:c r="U447" s="9" t="str">
        <x:f>IF(C447="","",IFERROR(INDEX('Taxonomy'!$G$9:$G$108,MATCH(D447,'Taxonomy'!$C$9:$C$108,0)),""))</x:f>
      </x:c>
    </x:row>
    <x:row r="448" ht="44" customHeight="1">
      <x:c r="A448" s="1"/>
      <x:c r="B448" s="1"/>
      <x:c r="C448" s="8"/>
      <x:c r="D448" s="8"/>
      <x:c r="E448" s="8"/>
      <x:c r="F448" s="8"/>
      <x:c r="G448" s="8"/>
      <x:c r="H448" s="8"/>
      <x:c r="I448" s="8"/>
      <x:c r="J448" s="8"/>
      <x:c r="K448" s="8"/>
      <x:c r="L448" s="8"/>
      <x:c r="M448" s="10"/>
      <x:c r="N448" s="10"/>
      <x:c r="O448" s="8"/>
      <x:c r="P448" s="9" t="str">
        <x:f>IF(C448="","",IF(AND(G448="Applicable",H448="Fail"),"Fail",IF(R448&lt;&gt;"Valid","Pending",IF(OR(I448="",K448="",L448="",K448=L448,NOT(ISNUMBER(M448)),NOT(ISNUMBER(N448)),M448&gt;Settings!$F$8,N448&lt;Settings!$F$8,N448&lt;M448),"Pending",IF(AND(G448="Applicable",H448="Pass"),"Pass",IF(AND(G448="N/A",H448="N/A",J448&lt;&gt;"",OR(E448="CEM-FUELS",E448="CEM-CCS",AND(E448="CEM-PLAN",IFERROR(INDEX('Taxonomy'!$M$9:$M$108,MATCH(D448,'Taxonomy'!$C$9:$C$108,0)),"")&lt;&gt;"Amber"),E448="BLD-TIMBER",AND(U448="Building equipment",OR(E448="BLD-WATER",E448="BLD-WASTE",E448="BLD-LAND")),AND(U448="Building renovation",E448="BLD-LAND"))),"N/A","Pending"))))))</x:f>
      </x:c>
      <x:c r="Q448" s="3" t="str">
        <x:f>IF(C448="","",IF(AND(R448="Valid",OR(P448="Pass",P448="N/A")),"Complete","Unresolved"))</x:f>
      </x:c>
      <x:c r="R448" s="9" t="str">
        <x:f>IF(C448="","",IF(OR(COUNTIF($C$9:$C$2008,C448)&lt;&gt;1,COUNTIFS($D$9:$D$2008,D448,$E$9:$E$2008,E448)&lt;&gt;1),"Duplicate test",IF(COUNTIF('Taxonomy'!$C$9:$C$108,D448)&lt;&gt;1,"Assessment key",IF(OR(COUNTIF('Taxonomy Rules'!$C$42:$C$68,E448)&lt;&gt;1,F448&lt;&gt;IFERROR(INDEX('Taxonomy Rules'!$D$42:$D$68,MATCH(E448,'Taxonomy Rules'!$C$42:$C$68,0)),""),NOT(OR(IFERROR(INDEX('Taxonomy Rules'!$G$42:$G$68,MATCH(E448,'Taxonomy Rules'!$C$42:$C$68,0)),"")="All supported routes",IFERROR(INDEX('Taxonomy Rules'!$G$42:$G$68,MATCH(E448,'Taxonomy Rules'!$C$42:$C$68,0)),"")=U448,AND(IFERROR(INDEX('Taxonomy Rules'!$G$42:$G$68,MATCH(E448,'Taxonomy Rules'!$C$42:$C$68,0)),"")="Building routes",OR(U448="Building renovation",U448="New building",U448="Building equipment"))))),"Unexpected test","Valid"))))</x:f>
      </x:c>
      <x:c r="S448" s="9" t="str">
        <x:f>IF(C448="","",IFERROR(INDEX('Taxonomy Rules'!$E$42:$E$68,MATCH(E448,'Taxonomy Rules'!$C$42:$C$68,0)),""))</x:f>
      </x:c>
      <x:c r="T448" s="9" t="str">
        <x:f>IF(C448="","",IFERROR(INDEX('Taxonomy Rules'!$F$42:$F$68,MATCH(E448,'Taxonomy Rules'!$C$42:$C$68,0)),""))</x:f>
      </x:c>
      <x:c r="U448" s="9" t="str">
        <x:f>IF(C448="","",IFERROR(INDEX('Taxonomy'!$G$9:$G$108,MATCH(D448,'Taxonomy'!$C$9:$C$108,0)),""))</x:f>
      </x:c>
    </x:row>
    <x:row r="449" ht="44" customHeight="1">
      <x:c r="A449" s="1"/>
      <x:c r="B449" s="1"/>
      <x:c r="C449" s="8"/>
      <x:c r="D449" s="8"/>
      <x:c r="E449" s="8"/>
      <x:c r="F449" s="8"/>
      <x:c r="G449" s="8"/>
      <x:c r="H449" s="8"/>
      <x:c r="I449" s="8"/>
      <x:c r="J449" s="8"/>
      <x:c r="K449" s="8"/>
      <x:c r="L449" s="8"/>
      <x:c r="M449" s="10"/>
      <x:c r="N449" s="10"/>
      <x:c r="O449" s="8"/>
      <x:c r="P449" s="9" t="str">
        <x:f>IF(C449="","",IF(AND(G449="Applicable",H449="Fail"),"Fail",IF(R449&lt;&gt;"Valid","Pending",IF(OR(I449="",K449="",L449="",K449=L449,NOT(ISNUMBER(M449)),NOT(ISNUMBER(N449)),M449&gt;Settings!$F$8,N449&lt;Settings!$F$8,N449&lt;M449),"Pending",IF(AND(G449="Applicable",H449="Pass"),"Pass",IF(AND(G449="N/A",H449="N/A",J449&lt;&gt;"",OR(E449="CEM-FUELS",E449="CEM-CCS",AND(E449="CEM-PLAN",IFERROR(INDEX('Taxonomy'!$M$9:$M$108,MATCH(D449,'Taxonomy'!$C$9:$C$108,0)),"")&lt;&gt;"Amber"),E449="BLD-TIMBER",AND(U449="Building equipment",OR(E449="BLD-WATER",E449="BLD-WASTE",E449="BLD-LAND")),AND(U449="Building renovation",E449="BLD-LAND"))),"N/A","Pending"))))))</x:f>
      </x:c>
      <x:c r="Q449" s="3" t="str">
        <x:f>IF(C449="","",IF(AND(R449="Valid",OR(P449="Pass",P449="N/A")),"Complete","Unresolved"))</x:f>
      </x:c>
      <x:c r="R449" s="9" t="str">
        <x:f>IF(C449="","",IF(OR(COUNTIF($C$9:$C$2008,C449)&lt;&gt;1,COUNTIFS($D$9:$D$2008,D449,$E$9:$E$2008,E449)&lt;&gt;1),"Duplicate test",IF(COUNTIF('Taxonomy'!$C$9:$C$108,D449)&lt;&gt;1,"Assessment key",IF(OR(COUNTIF('Taxonomy Rules'!$C$42:$C$68,E449)&lt;&gt;1,F449&lt;&gt;IFERROR(INDEX('Taxonomy Rules'!$D$42:$D$68,MATCH(E449,'Taxonomy Rules'!$C$42:$C$68,0)),""),NOT(OR(IFERROR(INDEX('Taxonomy Rules'!$G$42:$G$68,MATCH(E449,'Taxonomy Rules'!$C$42:$C$68,0)),"")="All supported routes",IFERROR(INDEX('Taxonomy Rules'!$G$42:$G$68,MATCH(E449,'Taxonomy Rules'!$C$42:$C$68,0)),"")=U449,AND(IFERROR(INDEX('Taxonomy Rules'!$G$42:$G$68,MATCH(E449,'Taxonomy Rules'!$C$42:$C$68,0)),"")="Building routes",OR(U449="Building renovation",U449="New building",U449="Building equipment"))))),"Unexpected test","Valid"))))</x:f>
      </x:c>
      <x:c r="S449" s="9" t="str">
        <x:f>IF(C449="","",IFERROR(INDEX('Taxonomy Rules'!$E$42:$E$68,MATCH(E449,'Taxonomy Rules'!$C$42:$C$68,0)),""))</x:f>
      </x:c>
      <x:c r="T449" s="9" t="str">
        <x:f>IF(C449="","",IFERROR(INDEX('Taxonomy Rules'!$F$42:$F$68,MATCH(E449,'Taxonomy Rules'!$C$42:$C$68,0)),""))</x:f>
      </x:c>
      <x:c r="U449" s="9" t="str">
        <x:f>IF(C449="","",IFERROR(INDEX('Taxonomy'!$G$9:$G$108,MATCH(D449,'Taxonomy'!$C$9:$C$108,0)),""))</x:f>
      </x:c>
    </x:row>
    <x:row r="450" ht="44" customHeight="1">
      <x:c r="A450" s="1"/>
      <x:c r="B450" s="1"/>
      <x:c r="C450" s="8"/>
      <x:c r="D450" s="8"/>
      <x:c r="E450" s="8"/>
      <x:c r="F450" s="8"/>
      <x:c r="G450" s="8"/>
      <x:c r="H450" s="8"/>
      <x:c r="I450" s="8"/>
      <x:c r="J450" s="8"/>
      <x:c r="K450" s="8"/>
      <x:c r="L450" s="8"/>
      <x:c r="M450" s="10"/>
      <x:c r="N450" s="10"/>
      <x:c r="O450" s="8"/>
      <x:c r="P450" s="9" t="str">
        <x:f>IF(C450="","",IF(AND(G450="Applicable",H450="Fail"),"Fail",IF(R450&lt;&gt;"Valid","Pending",IF(OR(I450="",K450="",L450="",K450=L450,NOT(ISNUMBER(M450)),NOT(ISNUMBER(N450)),M450&gt;Settings!$F$8,N450&lt;Settings!$F$8,N450&lt;M450),"Pending",IF(AND(G450="Applicable",H450="Pass"),"Pass",IF(AND(G450="N/A",H450="N/A",J450&lt;&gt;"",OR(E450="CEM-FUELS",E450="CEM-CCS",AND(E450="CEM-PLAN",IFERROR(INDEX('Taxonomy'!$M$9:$M$108,MATCH(D450,'Taxonomy'!$C$9:$C$108,0)),"")&lt;&gt;"Amber"),E450="BLD-TIMBER",AND(U450="Building equipment",OR(E450="BLD-WATER",E450="BLD-WASTE",E450="BLD-LAND")),AND(U450="Building renovation",E450="BLD-LAND"))),"N/A","Pending"))))))</x:f>
      </x:c>
      <x:c r="Q450" s="3" t="str">
        <x:f>IF(C450="","",IF(AND(R450="Valid",OR(P450="Pass",P450="N/A")),"Complete","Unresolved"))</x:f>
      </x:c>
      <x:c r="R450" s="9" t="str">
        <x:f>IF(C450="","",IF(OR(COUNTIF($C$9:$C$2008,C450)&lt;&gt;1,COUNTIFS($D$9:$D$2008,D450,$E$9:$E$2008,E450)&lt;&gt;1),"Duplicate test",IF(COUNTIF('Taxonomy'!$C$9:$C$108,D450)&lt;&gt;1,"Assessment key",IF(OR(COUNTIF('Taxonomy Rules'!$C$42:$C$68,E450)&lt;&gt;1,F450&lt;&gt;IFERROR(INDEX('Taxonomy Rules'!$D$42:$D$68,MATCH(E450,'Taxonomy Rules'!$C$42:$C$68,0)),""),NOT(OR(IFERROR(INDEX('Taxonomy Rules'!$G$42:$G$68,MATCH(E450,'Taxonomy Rules'!$C$42:$C$68,0)),"")="All supported routes",IFERROR(INDEX('Taxonomy Rules'!$G$42:$G$68,MATCH(E450,'Taxonomy Rules'!$C$42:$C$68,0)),"")=U450,AND(IFERROR(INDEX('Taxonomy Rules'!$G$42:$G$68,MATCH(E450,'Taxonomy Rules'!$C$42:$C$68,0)),"")="Building routes",OR(U450="Building renovation",U450="New building",U450="Building equipment"))))),"Unexpected test","Valid"))))</x:f>
      </x:c>
      <x:c r="S450" s="9" t="str">
        <x:f>IF(C450="","",IFERROR(INDEX('Taxonomy Rules'!$E$42:$E$68,MATCH(E450,'Taxonomy Rules'!$C$42:$C$68,0)),""))</x:f>
      </x:c>
      <x:c r="T450" s="9" t="str">
        <x:f>IF(C450="","",IFERROR(INDEX('Taxonomy Rules'!$F$42:$F$68,MATCH(E450,'Taxonomy Rules'!$C$42:$C$68,0)),""))</x:f>
      </x:c>
      <x:c r="U450" s="9" t="str">
        <x:f>IF(C450="","",IFERROR(INDEX('Taxonomy'!$G$9:$G$108,MATCH(D450,'Taxonomy'!$C$9:$C$108,0)),""))</x:f>
      </x:c>
    </x:row>
    <x:row r="451" ht="44" customHeight="1">
      <x:c r="A451" s="1"/>
      <x:c r="B451" s="1"/>
      <x:c r="C451" s="8"/>
      <x:c r="D451" s="8"/>
      <x:c r="E451" s="8"/>
      <x:c r="F451" s="8"/>
      <x:c r="G451" s="8"/>
      <x:c r="H451" s="8"/>
      <x:c r="I451" s="8"/>
      <x:c r="J451" s="8"/>
      <x:c r="K451" s="8"/>
      <x:c r="L451" s="8"/>
      <x:c r="M451" s="10"/>
      <x:c r="N451" s="10"/>
      <x:c r="O451" s="8"/>
      <x:c r="P451" s="9" t="str">
        <x:f>IF(C451="","",IF(AND(G451="Applicable",H451="Fail"),"Fail",IF(R451&lt;&gt;"Valid","Pending",IF(OR(I451="",K451="",L451="",K451=L451,NOT(ISNUMBER(M451)),NOT(ISNUMBER(N451)),M451&gt;Settings!$F$8,N451&lt;Settings!$F$8,N451&lt;M451),"Pending",IF(AND(G451="Applicable",H451="Pass"),"Pass",IF(AND(G451="N/A",H451="N/A",J451&lt;&gt;"",OR(E451="CEM-FUELS",E451="CEM-CCS",AND(E451="CEM-PLAN",IFERROR(INDEX('Taxonomy'!$M$9:$M$108,MATCH(D451,'Taxonomy'!$C$9:$C$108,0)),"")&lt;&gt;"Amber"),E451="BLD-TIMBER",AND(U451="Building equipment",OR(E451="BLD-WATER",E451="BLD-WASTE",E451="BLD-LAND")),AND(U451="Building renovation",E451="BLD-LAND"))),"N/A","Pending"))))))</x:f>
      </x:c>
      <x:c r="Q451" s="3" t="str">
        <x:f>IF(C451="","",IF(AND(R451="Valid",OR(P451="Pass",P451="N/A")),"Complete","Unresolved"))</x:f>
      </x:c>
      <x:c r="R451" s="9" t="str">
        <x:f>IF(C451="","",IF(OR(COUNTIF($C$9:$C$2008,C451)&lt;&gt;1,COUNTIFS($D$9:$D$2008,D451,$E$9:$E$2008,E451)&lt;&gt;1),"Duplicate test",IF(COUNTIF('Taxonomy'!$C$9:$C$108,D451)&lt;&gt;1,"Assessment key",IF(OR(COUNTIF('Taxonomy Rules'!$C$42:$C$68,E451)&lt;&gt;1,F451&lt;&gt;IFERROR(INDEX('Taxonomy Rules'!$D$42:$D$68,MATCH(E451,'Taxonomy Rules'!$C$42:$C$68,0)),""),NOT(OR(IFERROR(INDEX('Taxonomy Rules'!$G$42:$G$68,MATCH(E451,'Taxonomy Rules'!$C$42:$C$68,0)),"")="All supported routes",IFERROR(INDEX('Taxonomy Rules'!$G$42:$G$68,MATCH(E451,'Taxonomy Rules'!$C$42:$C$68,0)),"")=U451,AND(IFERROR(INDEX('Taxonomy Rules'!$G$42:$G$68,MATCH(E451,'Taxonomy Rules'!$C$42:$C$68,0)),"")="Building routes",OR(U451="Building renovation",U451="New building",U451="Building equipment"))))),"Unexpected test","Valid"))))</x:f>
      </x:c>
      <x:c r="S451" s="9" t="str">
        <x:f>IF(C451="","",IFERROR(INDEX('Taxonomy Rules'!$E$42:$E$68,MATCH(E451,'Taxonomy Rules'!$C$42:$C$68,0)),""))</x:f>
      </x:c>
      <x:c r="T451" s="9" t="str">
        <x:f>IF(C451="","",IFERROR(INDEX('Taxonomy Rules'!$F$42:$F$68,MATCH(E451,'Taxonomy Rules'!$C$42:$C$68,0)),""))</x:f>
      </x:c>
      <x:c r="U451" s="9" t="str">
        <x:f>IF(C451="","",IFERROR(INDEX('Taxonomy'!$G$9:$G$108,MATCH(D451,'Taxonomy'!$C$9:$C$108,0)),""))</x:f>
      </x:c>
    </x:row>
    <x:row r="452" ht="44" customHeight="1">
      <x:c r="A452" s="1"/>
      <x:c r="B452" s="1"/>
      <x:c r="C452" s="8"/>
      <x:c r="D452" s="8"/>
      <x:c r="E452" s="8"/>
      <x:c r="F452" s="8"/>
      <x:c r="G452" s="8"/>
      <x:c r="H452" s="8"/>
      <x:c r="I452" s="8"/>
      <x:c r="J452" s="8"/>
      <x:c r="K452" s="8"/>
      <x:c r="L452" s="8"/>
      <x:c r="M452" s="10"/>
      <x:c r="N452" s="10"/>
      <x:c r="O452" s="8"/>
      <x:c r="P452" s="9" t="str">
        <x:f>IF(C452="","",IF(AND(G452="Applicable",H452="Fail"),"Fail",IF(R452&lt;&gt;"Valid","Pending",IF(OR(I452="",K452="",L452="",K452=L452,NOT(ISNUMBER(M452)),NOT(ISNUMBER(N452)),M452&gt;Settings!$F$8,N452&lt;Settings!$F$8,N452&lt;M452),"Pending",IF(AND(G452="Applicable",H452="Pass"),"Pass",IF(AND(G452="N/A",H452="N/A",J452&lt;&gt;"",OR(E452="CEM-FUELS",E452="CEM-CCS",AND(E452="CEM-PLAN",IFERROR(INDEX('Taxonomy'!$M$9:$M$108,MATCH(D452,'Taxonomy'!$C$9:$C$108,0)),"")&lt;&gt;"Amber"),E452="BLD-TIMBER",AND(U452="Building equipment",OR(E452="BLD-WATER",E452="BLD-WASTE",E452="BLD-LAND")),AND(U452="Building renovation",E452="BLD-LAND"))),"N/A","Pending"))))))</x:f>
      </x:c>
      <x:c r="Q452" s="3" t="str">
        <x:f>IF(C452="","",IF(AND(R452="Valid",OR(P452="Pass",P452="N/A")),"Complete","Unresolved"))</x:f>
      </x:c>
      <x:c r="R452" s="9" t="str">
        <x:f>IF(C452="","",IF(OR(COUNTIF($C$9:$C$2008,C452)&lt;&gt;1,COUNTIFS($D$9:$D$2008,D452,$E$9:$E$2008,E452)&lt;&gt;1),"Duplicate test",IF(COUNTIF('Taxonomy'!$C$9:$C$108,D452)&lt;&gt;1,"Assessment key",IF(OR(COUNTIF('Taxonomy Rules'!$C$42:$C$68,E452)&lt;&gt;1,F452&lt;&gt;IFERROR(INDEX('Taxonomy Rules'!$D$42:$D$68,MATCH(E452,'Taxonomy Rules'!$C$42:$C$68,0)),""),NOT(OR(IFERROR(INDEX('Taxonomy Rules'!$G$42:$G$68,MATCH(E452,'Taxonomy Rules'!$C$42:$C$68,0)),"")="All supported routes",IFERROR(INDEX('Taxonomy Rules'!$G$42:$G$68,MATCH(E452,'Taxonomy Rules'!$C$42:$C$68,0)),"")=U452,AND(IFERROR(INDEX('Taxonomy Rules'!$G$42:$G$68,MATCH(E452,'Taxonomy Rules'!$C$42:$C$68,0)),"")="Building routes",OR(U452="Building renovation",U452="New building",U452="Building equipment"))))),"Unexpected test","Valid"))))</x:f>
      </x:c>
      <x:c r="S452" s="9" t="str">
        <x:f>IF(C452="","",IFERROR(INDEX('Taxonomy Rules'!$E$42:$E$68,MATCH(E452,'Taxonomy Rules'!$C$42:$C$68,0)),""))</x:f>
      </x:c>
      <x:c r="T452" s="9" t="str">
        <x:f>IF(C452="","",IFERROR(INDEX('Taxonomy Rules'!$F$42:$F$68,MATCH(E452,'Taxonomy Rules'!$C$42:$C$68,0)),""))</x:f>
      </x:c>
      <x:c r="U452" s="9" t="str">
        <x:f>IF(C452="","",IFERROR(INDEX('Taxonomy'!$G$9:$G$108,MATCH(D452,'Taxonomy'!$C$9:$C$108,0)),""))</x:f>
      </x:c>
    </x:row>
    <x:row r="453" ht="44" customHeight="1">
      <x:c r="A453" s="1"/>
      <x:c r="B453" s="1"/>
      <x:c r="C453" s="8"/>
      <x:c r="D453" s="8"/>
      <x:c r="E453" s="8"/>
      <x:c r="F453" s="8"/>
      <x:c r="G453" s="8"/>
      <x:c r="H453" s="8"/>
      <x:c r="I453" s="8"/>
      <x:c r="J453" s="8"/>
      <x:c r="K453" s="8"/>
      <x:c r="L453" s="8"/>
      <x:c r="M453" s="10"/>
      <x:c r="N453" s="10"/>
      <x:c r="O453" s="8"/>
      <x:c r="P453" s="9" t="str">
        <x:f>IF(C453="","",IF(AND(G453="Applicable",H453="Fail"),"Fail",IF(R453&lt;&gt;"Valid","Pending",IF(OR(I453="",K453="",L453="",K453=L453,NOT(ISNUMBER(M453)),NOT(ISNUMBER(N453)),M453&gt;Settings!$F$8,N453&lt;Settings!$F$8,N453&lt;M453),"Pending",IF(AND(G453="Applicable",H453="Pass"),"Pass",IF(AND(G453="N/A",H453="N/A",J453&lt;&gt;"",OR(E453="CEM-FUELS",E453="CEM-CCS",AND(E453="CEM-PLAN",IFERROR(INDEX('Taxonomy'!$M$9:$M$108,MATCH(D453,'Taxonomy'!$C$9:$C$108,0)),"")&lt;&gt;"Amber"),E453="BLD-TIMBER",AND(U453="Building equipment",OR(E453="BLD-WATER",E453="BLD-WASTE",E453="BLD-LAND")),AND(U453="Building renovation",E453="BLD-LAND"))),"N/A","Pending"))))))</x:f>
      </x:c>
      <x:c r="Q453" s="3" t="str">
        <x:f>IF(C453="","",IF(AND(R453="Valid",OR(P453="Pass",P453="N/A")),"Complete","Unresolved"))</x:f>
      </x:c>
      <x:c r="R453" s="9" t="str">
        <x:f>IF(C453="","",IF(OR(COUNTIF($C$9:$C$2008,C453)&lt;&gt;1,COUNTIFS($D$9:$D$2008,D453,$E$9:$E$2008,E453)&lt;&gt;1),"Duplicate test",IF(COUNTIF('Taxonomy'!$C$9:$C$108,D453)&lt;&gt;1,"Assessment key",IF(OR(COUNTIF('Taxonomy Rules'!$C$42:$C$68,E453)&lt;&gt;1,F453&lt;&gt;IFERROR(INDEX('Taxonomy Rules'!$D$42:$D$68,MATCH(E453,'Taxonomy Rules'!$C$42:$C$68,0)),""),NOT(OR(IFERROR(INDEX('Taxonomy Rules'!$G$42:$G$68,MATCH(E453,'Taxonomy Rules'!$C$42:$C$68,0)),"")="All supported routes",IFERROR(INDEX('Taxonomy Rules'!$G$42:$G$68,MATCH(E453,'Taxonomy Rules'!$C$42:$C$68,0)),"")=U453,AND(IFERROR(INDEX('Taxonomy Rules'!$G$42:$G$68,MATCH(E453,'Taxonomy Rules'!$C$42:$C$68,0)),"")="Building routes",OR(U453="Building renovation",U453="New building",U453="Building equipment"))))),"Unexpected test","Valid"))))</x:f>
      </x:c>
      <x:c r="S453" s="9" t="str">
        <x:f>IF(C453="","",IFERROR(INDEX('Taxonomy Rules'!$E$42:$E$68,MATCH(E453,'Taxonomy Rules'!$C$42:$C$68,0)),""))</x:f>
      </x:c>
      <x:c r="T453" s="9" t="str">
        <x:f>IF(C453="","",IFERROR(INDEX('Taxonomy Rules'!$F$42:$F$68,MATCH(E453,'Taxonomy Rules'!$C$42:$C$68,0)),""))</x:f>
      </x:c>
      <x:c r="U453" s="9" t="str">
        <x:f>IF(C453="","",IFERROR(INDEX('Taxonomy'!$G$9:$G$108,MATCH(D453,'Taxonomy'!$C$9:$C$108,0)),""))</x:f>
      </x:c>
    </x:row>
    <x:row r="454" ht="44" customHeight="1">
      <x:c r="A454" s="1"/>
      <x:c r="B454" s="1"/>
      <x:c r="C454" s="8"/>
      <x:c r="D454" s="8"/>
      <x:c r="E454" s="8"/>
      <x:c r="F454" s="8"/>
      <x:c r="G454" s="8"/>
      <x:c r="H454" s="8"/>
      <x:c r="I454" s="8"/>
      <x:c r="J454" s="8"/>
      <x:c r="K454" s="8"/>
      <x:c r="L454" s="8"/>
      <x:c r="M454" s="10"/>
      <x:c r="N454" s="10"/>
      <x:c r="O454" s="8"/>
      <x:c r="P454" s="9" t="str">
        <x:f>IF(C454="","",IF(AND(G454="Applicable",H454="Fail"),"Fail",IF(R454&lt;&gt;"Valid","Pending",IF(OR(I454="",K454="",L454="",K454=L454,NOT(ISNUMBER(M454)),NOT(ISNUMBER(N454)),M454&gt;Settings!$F$8,N454&lt;Settings!$F$8,N454&lt;M454),"Pending",IF(AND(G454="Applicable",H454="Pass"),"Pass",IF(AND(G454="N/A",H454="N/A",J454&lt;&gt;"",OR(E454="CEM-FUELS",E454="CEM-CCS",AND(E454="CEM-PLAN",IFERROR(INDEX('Taxonomy'!$M$9:$M$108,MATCH(D454,'Taxonomy'!$C$9:$C$108,0)),"")&lt;&gt;"Amber"),E454="BLD-TIMBER",AND(U454="Building equipment",OR(E454="BLD-WATER",E454="BLD-WASTE",E454="BLD-LAND")),AND(U454="Building renovation",E454="BLD-LAND"))),"N/A","Pending"))))))</x:f>
      </x:c>
      <x:c r="Q454" s="3" t="str">
        <x:f>IF(C454="","",IF(AND(R454="Valid",OR(P454="Pass",P454="N/A")),"Complete","Unresolved"))</x:f>
      </x:c>
      <x:c r="R454" s="9" t="str">
        <x:f>IF(C454="","",IF(OR(COUNTIF($C$9:$C$2008,C454)&lt;&gt;1,COUNTIFS($D$9:$D$2008,D454,$E$9:$E$2008,E454)&lt;&gt;1),"Duplicate test",IF(COUNTIF('Taxonomy'!$C$9:$C$108,D454)&lt;&gt;1,"Assessment key",IF(OR(COUNTIF('Taxonomy Rules'!$C$42:$C$68,E454)&lt;&gt;1,F454&lt;&gt;IFERROR(INDEX('Taxonomy Rules'!$D$42:$D$68,MATCH(E454,'Taxonomy Rules'!$C$42:$C$68,0)),""),NOT(OR(IFERROR(INDEX('Taxonomy Rules'!$G$42:$G$68,MATCH(E454,'Taxonomy Rules'!$C$42:$C$68,0)),"")="All supported routes",IFERROR(INDEX('Taxonomy Rules'!$G$42:$G$68,MATCH(E454,'Taxonomy Rules'!$C$42:$C$68,0)),"")=U454,AND(IFERROR(INDEX('Taxonomy Rules'!$G$42:$G$68,MATCH(E454,'Taxonomy Rules'!$C$42:$C$68,0)),"")="Building routes",OR(U454="Building renovation",U454="New building",U454="Building equipment"))))),"Unexpected test","Valid"))))</x:f>
      </x:c>
      <x:c r="S454" s="9" t="str">
        <x:f>IF(C454="","",IFERROR(INDEX('Taxonomy Rules'!$E$42:$E$68,MATCH(E454,'Taxonomy Rules'!$C$42:$C$68,0)),""))</x:f>
      </x:c>
      <x:c r="T454" s="9" t="str">
        <x:f>IF(C454="","",IFERROR(INDEX('Taxonomy Rules'!$F$42:$F$68,MATCH(E454,'Taxonomy Rules'!$C$42:$C$68,0)),""))</x:f>
      </x:c>
      <x:c r="U454" s="9" t="str">
        <x:f>IF(C454="","",IFERROR(INDEX('Taxonomy'!$G$9:$G$108,MATCH(D454,'Taxonomy'!$C$9:$C$108,0)),""))</x:f>
      </x:c>
    </x:row>
    <x:row r="455" ht="44" customHeight="1">
      <x:c r="A455" s="1"/>
      <x:c r="B455" s="1"/>
      <x:c r="C455" s="8"/>
      <x:c r="D455" s="8"/>
      <x:c r="E455" s="8"/>
      <x:c r="F455" s="8"/>
      <x:c r="G455" s="8"/>
      <x:c r="H455" s="8"/>
      <x:c r="I455" s="8"/>
      <x:c r="J455" s="8"/>
      <x:c r="K455" s="8"/>
      <x:c r="L455" s="8"/>
      <x:c r="M455" s="10"/>
      <x:c r="N455" s="10"/>
      <x:c r="O455" s="8"/>
      <x:c r="P455" s="9" t="str">
        <x:f>IF(C455="","",IF(AND(G455="Applicable",H455="Fail"),"Fail",IF(R455&lt;&gt;"Valid","Pending",IF(OR(I455="",K455="",L455="",K455=L455,NOT(ISNUMBER(M455)),NOT(ISNUMBER(N455)),M455&gt;Settings!$F$8,N455&lt;Settings!$F$8,N455&lt;M455),"Pending",IF(AND(G455="Applicable",H455="Pass"),"Pass",IF(AND(G455="N/A",H455="N/A",J455&lt;&gt;"",OR(E455="CEM-FUELS",E455="CEM-CCS",AND(E455="CEM-PLAN",IFERROR(INDEX('Taxonomy'!$M$9:$M$108,MATCH(D455,'Taxonomy'!$C$9:$C$108,0)),"")&lt;&gt;"Amber"),E455="BLD-TIMBER",AND(U455="Building equipment",OR(E455="BLD-WATER",E455="BLD-WASTE",E455="BLD-LAND")),AND(U455="Building renovation",E455="BLD-LAND"))),"N/A","Pending"))))))</x:f>
      </x:c>
      <x:c r="Q455" s="3" t="str">
        <x:f>IF(C455="","",IF(AND(R455="Valid",OR(P455="Pass",P455="N/A")),"Complete","Unresolved"))</x:f>
      </x:c>
      <x:c r="R455" s="9" t="str">
        <x:f>IF(C455="","",IF(OR(COUNTIF($C$9:$C$2008,C455)&lt;&gt;1,COUNTIFS($D$9:$D$2008,D455,$E$9:$E$2008,E455)&lt;&gt;1),"Duplicate test",IF(COUNTIF('Taxonomy'!$C$9:$C$108,D455)&lt;&gt;1,"Assessment key",IF(OR(COUNTIF('Taxonomy Rules'!$C$42:$C$68,E455)&lt;&gt;1,F455&lt;&gt;IFERROR(INDEX('Taxonomy Rules'!$D$42:$D$68,MATCH(E455,'Taxonomy Rules'!$C$42:$C$68,0)),""),NOT(OR(IFERROR(INDEX('Taxonomy Rules'!$G$42:$G$68,MATCH(E455,'Taxonomy Rules'!$C$42:$C$68,0)),"")="All supported routes",IFERROR(INDEX('Taxonomy Rules'!$G$42:$G$68,MATCH(E455,'Taxonomy Rules'!$C$42:$C$68,0)),"")=U455,AND(IFERROR(INDEX('Taxonomy Rules'!$G$42:$G$68,MATCH(E455,'Taxonomy Rules'!$C$42:$C$68,0)),"")="Building routes",OR(U455="Building renovation",U455="New building",U455="Building equipment"))))),"Unexpected test","Valid"))))</x:f>
      </x:c>
      <x:c r="S455" s="9" t="str">
        <x:f>IF(C455="","",IFERROR(INDEX('Taxonomy Rules'!$E$42:$E$68,MATCH(E455,'Taxonomy Rules'!$C$42:$C$68,0)),""))</x:f>
      </x:c>
      <x:c r="T455" s="9" t="str">
        <x:f>IF(C455="","",IFERROR(INDEX('Taxonomy Rules'!$F$42:$F$68,MATCH(E455,'Taxonomy Rules'!$C$42:$C$68,0)),""))</x:f>
      </x:c>
      <x:c r="U455" s="9" t="str">
        <x:f>IF(C455="","",IFERROR(INDEX('Taxonomy'!$G$9:$G$108,MATCH(D455,'Taxonomy'!$C$9:$C$108,0)),""))</x:f>
      </x:c>
    </x:row>
    <x:row r="456" ht="44" customHeight="1">
      <x:c r="A456" s="1"/>
      <x:c r="B456" s="1"/>
      <x:c r="C456" s="8"/>
      <x:c r="D456" s="8"/>
      <x:c r="E456" s="8"/>
      <x:c r="F456" s="8"/>
      <x:c r="G456" s="8"/>
      <x:c r="H456" s="8"/>
      <x:c r="I456" s="8"/>
      <x:c r="J456" s="8"/>
      <x:c r="K456" s="8"/>
      <x:c r="L456" s="8"/>
      <x:c r="M456" s="10"/>
      <x:c r="N456" s="10"/>
      <x:c r="O456" s="8"/>
      <x:c r="P456" s="9" t="str">
        <x:f>IF(C456="","",IF(AND(G456="Applicable",H456="Fail"),"Fail",IF(R456&lt;&gt;"Valid","Pending",IF(OR(I456="",K456="",L456="",K456=L456,NOT(ISNUMBER(M456)),NOT(ISNUMBER(N456)),M456&gt;Settings!$F$8,N456&lt;Settings!$F$8,N456&lt;M456),"Pending",IF(AND(G456="Applicable",H456="Pass"),"Pass",IF(AND(G456="N/A",H456="N/A",J456&lt;&gt;"",OR(E456="CEM-FUELS",E456="CEM-CCS",AND(E456="CEM-PLAN",IFERROR(INDEX('Taxonomy'!$M$9:$M$108,MATCH(D456,'Taxonomy'!$C$9:$C$108,0)),"")&lt;&gt;"Amber"),E456="BLD-TIMBER",AND(U456="Building equipment",OR(E456="BLD-WATER",E456="BLD-WASTE",E456="BLD-LAND")),AND(U456="Building renovation",E456="BLD-LAND"))),"N/A","Pending"))))))</x:f>
      </x:c>
      <x:c r="Q456" s="3" t="str">
        <x:f>IF(C456="","",IF(AND(R456="Valid",OR(P456="Pass",P456="N/A")),"Complete","Unresolved"))</x:f>
      </x:c>
      <x:c r="R456" s="9" t="str">
        <x:f>IF(C456="","",IF(OR(COUNTIF($C$9:$C$2008,C456)&lt;&gt;1,COUNTIFS($D$9:$D$2008,D456,$E$9:$E$2008,E456)&lt;&gt;1),"Duplicate test",IF(COUNTIF('Taxonomy'!$C$9:$C$108,D456)&lt;&gt;1,"Assessment key",IF(OR(COUNTIF('Taxonomy Rules'!$C$42:$C$68,E456)&lt;&gt;1,F456&lt;&gt;IFERROR(INDEX('Taxonomy Rules'!$D$42:$D$68,MATCH(E456,'Taxonomy Rules'!$C$42:$C$68,0)),""),NOT(OR(IFERROR(INDEX('Taxonomy Rules'!$G$42:$G$68,MATCH(E456,'Taxonomy Rules'!$C$42:$C$68,0)),"")="All supported routes",IFERROR(INDEX('Taxonomy Rules'!$G$42:$G$68,MATCH(E456,'Taxonomy Rules'!$C$42:$C$68,0)),"")=U456,AND(IFERROR(INDEX('Taxonomy Rules'!$G$42:$G$68,MATCH(E456,'Taxonomy Rules'!$C$42:$C$68,0)),"")="Building routes",OR(U456="Building renovation",U456="New building",U456="Building equipment"))))),"Unexpected test","Valid"))))</x:f>
      </x:c>
      <x:c r="S456" s="9" t="str">
        <x:f>IF(C456="","",IFERROR(INDEX('Taxonomy Rules'!$E$42:$E$68,MATCH(E456,'Taxonomy Rules'!$C$42:$C$68,0)),""))</x:f>
      </x:c>
      <x:c r="T456" s="9" t="str">
        <x:f>IF(C456="","",IFERROR(INDEX('Taxonomy Rules'!$F$42:$F$68,MATCH(E456,'Taxonomy Rules'!$C$42:$C$68,0)),""))</x:f>
      </x:c>
      <x:c r="U456" s="9" t="str">
        <x:f>IF(C456="","",IFERROR(INDEX('Taxonomy'!$G$9:$G$108,MATCH(D456,'Taxonomy'!$C$9:$C$108,0)),""))</x:f>
      </x:c>
    </x:row>
    <x:row r="457" ht="44" customHeight="1">
      <x:c r="A457" s="1"/>
      <x:c r="B457" s="1"/>
      <x:c r="C457" s="8"/>
      <x:c r="D457" s="8"/>
      <x:c r="E457" s="8"/>
      <x:c r="F457" s="8"/>
      <x:c r="G457" s="8"/>
      <x:c r="H457" s="8"/>
      <x:c r="I457" s="8"/>
      <x:c r="J457" s="8"/>
      <x:c r="K457" s="8"/>
      <x:c r="L457" s="8"/>
      <x:c r="M457" s="10"/>
      <x:c r="N457" s="10"/>
      <x:c r="O457" s="8"/>
      <x:c r="P457" s="9" t="str">
        <x:f>IF(C457="","",IF(AND(G457="Applicable",H457="Fail"),"Fail",IF(R457&lt;&gt;"Valid","Pending",IF(OR(I457="",K457="",L457="",K457=L457,NOT(ISNUMBER(M457)),NOT(ISNUMBER(N457)),M457&gt;Settings!$F$8,N457&lt;Settings!$F$8,N457&lt;M457),"Pending",IF(AND(G457="Applicable",H457="Pass"),"Pass",IF(AND(G457="N/A",H457="N/A",J457&lt;&gt;"",OR(E457="CEM-FUELS",E457="CEM-CCS",AND(E457="CEM-PLAN",IFERROR(INDEX('Taxonomy'!$M$9:$M$108,MATCH(D457,'Taxonomy'!$C$9:$C$108,0)),"")&lt;&gt;"Amber"),E457="BLD-TIMBER",AND(U457="Building equipment",OR(E457="BLD-WATER",E457="BLD-WASTE",E457="BLD-LAND")),AND(U457="Building renovation",E457="BLD-LAND"))),"N/A","Pending"))))))</x:f>
      </x:c>
      <x:c r="Q457" s="3" t="str">
        <x:f>IF(C457="","",IF(AND(R457="Valid",OR(P457="Pass",P457="N/A")),"Complete","Unresolved"))</x:f>
      </x:c>
      <x:c r="R457" s="9" t="str">
        <x:f>IF(C457="","",IF(OR(COUNTIF($C$9:$C$2008,C457)&lt;&gt;1,COUNTIFS($D$9:$D$2008,D457,$E$9:$E$2008,E457)&lt;&gt;1),"Duplicate test",IF(COUNTIF('Taxonomy'!$C$9:$C$108,D457)&lt;&gt;1,"Assessment key",IF(OR(COUNTIF('Taxonomy Rules'!$C$42:$C$68,E457)&lt;&gt;1,F457&lt;&gt;IFERROR(INDEX('Taxonomy Rules'!$D$42:$D$68,MATCH(E457,'Taxonomy Rules'!$C$42:$C$68,0)),""),NOT(OR(IFERROR(INDEX('Taxonomy Rules'!$G$42:$G$68,MATCH(E457,'Taxonomy Rules'!$C$42:$C$68,0)),"")="All supported routes",IFERROR(INDEX('Taxonomy Rules'!$G$42:$G$68,MATCH(E457,'Taxonomy Rules'!$C$42:$C$68,0)),"")=U457,AND(IFERROR(INDEX('Taxonomy Rules'!$G$42:$G$68,MATCH(E457,'Taxonomy Rules'!$C$42:$C$68,0)),"")="Building routes",OR(U457="Building renovation",U457="New building",U457="Building equipment"))))),"Unexpected test","Valid"))))</x:f>
      </x:c>
      <x:c r="S457" s="9" t="str">
        <x:f>IF(C457="","",IFERROR(INDEX('Taxonomy Rules'!$E$42:$E$68,MATCH(E457,'Taxonomy Rules'!$C$42:$C$68,0)),""))</x:f>
      </x:c>
      <x:c r="T457" s="9" t="str">
        <x:f>IF(C457="","",IFERROR(INDEX('Taxonomy Rules'!$F$42:$F$68,MATCH(E457,'Taxonomy Rules'!$C$42:$C$68,0)),""))</x:f>
      </x:c>
      <x:c r="U457" s="9" t="str">
        <x:f>IF(C457="","",IFERROR(INDEX('Taxonomy'!$G$9:$G$108,MATCH(D457,'Taxonomy'!$C$9:$C$108,0)),""))</x:f>
      </x:c>
    </x:row>
    <x:row r="458" ht="44" customHeight="1">
      <x:c r="A458" s="1"/>
      <x:c r="B458" s="1"/>
      <x:c r="C458" s="8"/>
      <x:c r="D458" s="8"/>
      <x:c r="E458" s="8"/>
      <x:c r="F458" s="8"/>
      <x:c r="G458" s="8"/>
      <x:c r="H458" s="8"/>
      <x:c r="I458" s="8"/>
      <x:c r="J458" s="8"/>
      <x:c r="K458" s="8"/>
      <x:c r="L458" s="8"/>
      <x:c r="M458" s="10"/>
      <x:c r="N458" s="10"/>
      <x:c r="O458" s="8"/>
      <x:c r="P458" s="9" t="str">
        <x:f>IF(C458="","",IF(AND(G458="Applicable",H458="Fail"),"Fail",IF(R458&lt;&gt;"Valid","Pending",IF(OR(I458="",K458="",L458="",K458=L458,NOT(ISNUMBER(M458)),NOT(ISNUMBER(N458)),M458&gt;Settings!$F$8,N458&lt;Settings!$F$8,N458&lt;M458),"Pending",IF(AND(G458="Applicable",H458="Pass"),"Pass",IF(AND(G458="N/A",H458="N/A",J458&lt;&gt;"",OR(E458="CEM-FUELS",E458="CEM-CCS",AND(E458="CEM-PLAN",IFERROR(INDEX('Taxonomy'!$M$9:$M$108,MATCH(D458,'Taxonomy'!$C$9:$C$108,0)),"")&lt;&gt;"Amber"),E458="BLD-TIMBER",AND(U458="Building equipment",OR(E458="BLD-WATER",E458="BLD-WASTE",E458="BLD-LAND")),AND(U458="Building renovation",E458="BLD-LAND"))),"N/A","Pending"))))))</x:f>
      </x:c>
      <x:c r="Q458" s="3" t="str">
        <x:f>IF(C458="","",IF(AND(R458="Valid",OR(P458="Pass",P458="N/A")),"Complete","Unresolved"))</x:f>
      </x:c>
      <x:c r="R458" s="9" t="str">
        <x:f>IF(C458="","",IF(OR(COUNTIF($C$9:$C$2008,C458)&lt;&gt;1,COUNTIFS($D$9:$D$2008,D458,$E$9:$E$2008,E458)&lt;&gt;1),"Duplicate test",IF(COUNTIF('Taxonomy'!$C$9:$C$108,D458)&lt;&gt;1,"Assessment key",IF(OR(COUNTIF('Taxonomy Rules'!$C$42:$C$68,E458)&lt;&gt;1,F458&lt;&gt;IFERROR(INDEX('Taxonomy Rules'!$D$42:$D$68,MATCH(E458,'Taxonomy Rules'!$C$42:$C$68,0)),""),NOT(OR(IFERROR(INDEX('Taxonomy Rules'!$G$42:$G$68,MATCH(E458,'Taxonomy Rules'!$C$42:$C$68,0)),"")="All supported routes",IFERROR(INDEX('Taxonomy Rules'!$G$42:$G$68,MATCH(E458,'Taxonomy Rules'!$C$42:$C$68,0)),"")=U458,AND(IFERROR(INDEX('Taxonomy Rules'!$G$42:$G$68,MATCH(E458,'Taxonomy Rules'!$C$42:$C$68,0)),"")="Building routes",OR(U458="Building renovation",U458="New building",U458="Building equipment"))))),"Unexpected test","Valid"))))</x:f>
      </x:c>
      <x:c r="S458" s="9" t="str">
        <x:f>IF(C458="","",IFERROR(INDEX('Taxonomy Rules'!$E$42:$E$68,MATCH(E458,'Taxonomy Rules'!$C$42:$C$68,0)),""))</x:f>
      </x:c>
      <x:c r="T458" s="9" t="str">
        <x:f>IF(C458="","",IFERROR(INDEX('Taxonomy Rules'!$F$42:$F$68,MATCH(E458,'Taxonomy Rules'!$C$42:$C$68,0)),""))</x:f>
      </x:c>
      <x:c r="U458" s="9" t="str">
        <x:f>IF(C458="","",IFERROR(INDEX('Taxonomy'!$G$9:$G$108,MATCH(D458,'Taxonomy'!$C$9:$C$108,0)),""))</x:f>
      </x:c>
    </x:row>
    <x:row r="459" ht="44" customHeight="1">
      <x:c r="A459" s="1"/>
      <x:c r="B459" s="1"/>
      <x:c r="C459" s="8"/>
      <x:c r="D459" s="8"/>
      <x:c r="E459" s="8"/>
      <x:c r="F459" s="8"/>
      <x:c r="G459" s="8"/>
      <x:c r="H459" s="8"/>
      <x:c r="I459" s="8"/>
      <x:c r="J459" s="8"/>
      <x:c r="K459" s="8"/>
      <x:c r="L459" s="8"/>
      <x:c r="M459" s="10"/>
      <x:c r="N459" s="10"/>
      <x:c r="O459" s="8"/>
      <x:c r="P459" s="9" t="str">
        <x:f>IF(C459="","",IF(AND(G459="Applicable",H459="Fail"),"Fail",IF(R459&lt;&gt;"Valid","Pending",IF(OR(I459="",K459="",L459="",K459=L459,NOT(ISNUMBER(M459)),NOT(ISNUMBER(N459)),M459&gt;Settings!$F$8,N459&lt;Settings!$F$8,N459&lt;M459),"Pending",IF(AND(G459="Applicable",H459="Pass"),"Pass",IF(AND(G459="N/A",H459="N/A",J459&lt;&gt;"",OR(E459="CEM-FUELS",E459="CEM-CCS",AND(E459="CEM-PLAN",IFERROR(INDEX('Taxonomy'!$M$9:$M$108,MATCH(D459,'Taxonomy'!$C$9:$C$108,0)),"")&lt;&gt;"Amber"),E459="BLD-TIMBER",AND(U459="Building equipment",OR(E459="BLD-WATER",E459="BLD-WASTE",E459="BLD-LAND")),AND(U459="Building renovation",E459="BLD-LAND"))),"N/A","Pending"))))))</x:f>
      </x:c>
      <x:c r="Q459" s="3" t="str">
        <x:f>IF(C459="","",IF(AND(R459="Valid",OR(P459="Pass",P459="N/A")),"Complete","Unresolved"))</x:f>
      </x:c>
      <x:c r="R459" s="9" t="str">
        <x:f>IF(C459="","",IF(OR(COUNTIF($C$9:$C$2008,C459)&lt;&gt;1,COUNTIFS($D$9:$D$2008,D459,$E$9:$E$2008,E459)&lt;&gt;1),"Duplicate test",IF(COUNTIF('Taxonomy'!$C$9:$C$108,D459)&lt;&gt;1,"Assessment key",IF(OR(COUNTIF('Taxonomy Rules'!$C$42:$C$68,E459)&lt;&gt;1,F459&lt;&gt;IFERROR(INDEX('Taxonomy Rules'!$D$42:$D$68,MATCH(E459,'Taxonomy Rules'!$C$42:$C$68,0)),""),NOT(OR(IFERROR(INDEX('Taxonomy Rules'!$G$42:$G$68,MATCH(E459,'Taxonomy Rules'!$C$42:$C$68,0)),"")="All supported routes",IFERROR(INDEX('Taxonomy Rules'!$G$42:$G$68,MATCH(E459,'Taxonomy Rules'!$C$42:$C$68,0)),"")=U459,AND(IFERROR(INDEX('Taxonomy Rules'!$G$42:$G$68,MATCH(E459,'Taxonomy Rules'!$C$42:$C$68,0)),"")="Building routes",OR(U459="Building renovation",U459="New building",U459="Building equipment"))))),"Unexpected test","Valid"))))</x:f>
      </x:c>
      <x:c r="S459" s="9" t="str">
        <x:f>IF(C459="","",IFERROR(INDEX('Taxonomy Rules'!$E$42:$E$68,MATCH(E459,'Taxonomy Rules'!$C$42:$C$68,0)),""))</x:f>
      </x:c>
      <x:c r="T459" s="9" t="str">
        <x:f>IF(C459="","",IFERROR(INDEX('Taxonomy Rules'!$F$42:$F$68,MATCH(E459,'Taxonomy Rules'!$C$42:$C$68,0)),""))</x:f>
      </x:c>
      <x:c r="U459" s="9" t="str">
        <x:f>IF(C459="","",IFERROR(INDEX('Taxonomy'!$G$9:$G$108,MATCH(D459,'Taxonomy'!$C$9:$C$108,0)),""))</x:f>
      </x:c>
    </x:row>
    <x:row r="460" ht="44" customHeight="1">
      <x:c r="A460" s="1"/>
      <x:c r="B460" s="1"/>
      <x:c r="C460" s="8"/>
      <x:c r="D460" s="8"/>
      <x:c r="E460" s="8"/>
      <x:c r="F460" s="8"/>
      <x:c r="G460" s="8"/>
      <x:c r="H460" s="8"/>
      <x:c r="I460" s="8"/>
      <x:c r="J460" s="8"/>
      <x:c r="K460" s="8"/>
      <x:c r="L460" s="8"/>
      <x:c r="M460" s="10"/>
      <x:c r="N460" s="10"/>
      <x:c r="O460" s="8"/>
      <x:c r="P460" s="9" t="str">
        <x:f>IF(C460="","",IF(AND(G460="Applicable",H460="Fail"),"Fail",IF(R460&lt;&gt;"Valid","Pending",IF(OR(I460="",K460="",L460="",K460=L460,NOT(ISNUMBER(M460)),NOT(ISNUMBER(N460)),M460&gt;Settings!$F$8,N460&lt;Settings!$F$8,N460&lt;M460),"Pending",IF(AND(G460="Applicable",H460="Pass"),"Pass",IF(AND(G460="N/A",H460="N/A",J460&lt;&gt;"",OR(E460="CEM-FUELS",E460="CEM-CCS",AND(E460="CEM-PLAN",IFERROR(INDEX('Taxonomy'!$M$9:$M$108,MATCH(D460,'Taxonomy'!$C$9:$C$108,0)),"")&lt;&gt;"Amber"),E460="BLD-TIMBER",AND(U460="Building equipment",OR(E460="BLD-WATER",E460="BLD-WASTE",E460="BLD-LAND")),AND(U460="Building renovation",E460="BLD-LAND"))),"N/A","Pending"))))))</x:f>
      </x:c>
      <x:c r="Q460" s="3" t="str">
        <x:f>IF(C460="","",IF(AND(R460="Valid",OR(P460="Pass",P460="N/A")),"Complete","Unresolved"))</x:f>
      </x:c>
      <x:c r="R460" s="9" t="str">
        <x:f>IF(C460="","",IF(OR(COUNTIF($C$9:$C$2008,C460)&lt;&gt;1,COUNTIFS($D$9:$D$2008,D460,$E$9:$E$2008,E460)&lt;&gt;1),"Duplicate test",IF(COUNTIF('Taxonomy'!$C$9:$C$108,D460)&lt;&gt;1,"Assessment key",IF(OR(COUNTIF('Taxonomy Rules'!$C$42:$C$68,E460)&lt;&gt;1,F460&lt;&gt;IFERROR(INDEX('Taxonomy Rules'!$D$42:$D$68,MATCH(E460,'Taxonomy Rules'!$C$42:$C$68,0)),""),NOT(OR(IFERROR(INDEX('Taxonomy Rules'!$G$42:$G$68,MATCH(E460,'Taxonomy Rules'!$C$42:$C$68,0)),"")="All supported routes",IFERROR(INDEX('Taxonomy Rules'!$G$42:$G$68,MATCH(E460,'Taxonomy Rules'!$C$42:$C$68,0)),"")=U460,AND(IFERROR(INDEX('Taxonomy Rules'!$G$42:$G$68,MATCH(E460,'Taxonomy Rules'!$C$42:$C$68,0)),"")="Building routes",OR(U460="Building renovation",U460="New building",U460="Building equipment"))))),"Unexpected test","Valid"))))</x:f>
      </x:c>
      <x:c r="S460" s="9" t="str">
        <x:f>IF(C460="","",IFERROR(INDEX('Taxonomy Rules'!$E$42:$E$68,MATCH(E460,'Taxonomy Rules'!$C$42:$C$68,0)),""))</x:f>
      </x:c>
      <x:c r="T460" s="9" t="str">
        <x:f>IF(C460="","",IFERROR(INDEX('Taxonomy Rules'!$F$42:$F$68,MATCH(E460,'Taxonomy Rules'!$C$42:$C$68,0)),""))</x:f>
      </x:c>
      <x:c r="U460" s="9" t="str">
        <x:f>IF(C460="","",IFERROR(INDEX('Taxonomy'!$G$9:$G$108,MATCH(D460,'Taxonomy'!$C$9:$C$108,0)),""))</x:f>
      </x:c>
    </x:row>
    <x:row r="461" ht="44" customHeight="1">
      <x:c r="A461" s="1"/>
      <x:c r="B461" s="1"/>
      <x:c r="C461" s="8"/>
      <x:c r="D461" s="8"/>
      <x:c r="E461" s="8"/>
      <x:c r="F461" s="8"/>
      <x:c r="G461" s="8"/>
      <x:c r="H461" s="8"/>
      <x:c r="I461" s="8"/>
      <x:c r="J461" s="8"/>
      <x:c r="K461" s="8"/>
      <x:c r="L461" s="8"/>
      <x:c r="M461" s="10"/>
      <x:c r="N461" s="10"/>
      <x:c r="O461" s="8"/>
      <x:c r="P461" s="9" t="str">
        <x:f>IF(C461="","",IF(AND(G461="Applicable",H461="Fail"),"Fail",IF(R461&lt;&gt;"Valid","Pending",IF(OR(I461="",K461="",L461="",K461=L461,NOT(ISNUMBER(M461)),NOT(ISNUMBER(N461)),M461&gt;Settings!$F$8,N461&lt;Settings!$F$8,N461&lt;M461),"Pending",IF(AND(G461="Applicable",H461="Pass"),"Pass",IF(AND(G461="N/A",H461="N/A",J461&lt;&gt;"",OR(E461="CEM-FUELS",E461="CEM-CCS",AND(E461="CEM-PLAN",IFERROR(INDEX('Taxonomy'!$M$9:$M$108,MATCH(D461,'Taxonomy'!$C$9:$C$108,0)),"")&lt;&gt;"Amber"),E461="BLD-TIMBER",AND(U461="Building equipment",OR(E461="BLD-WATER",E461="BLD-WASTE",E461="BLD-LAND")),AND(U461="Building renovation",E461="BLD-LAND"))),"N/A","Pending"))))))</x:f>
      </x:c>
      <x:c r="Q461" s="3" t="str">
        <x:f>IF(C461="","",IF(AND(R461="Valid",OR(P461="Pass",P461="N/A")),"Complete","Unresolved"))</x:f>
      </x:c>
      <x:c r="R461" s="9" t="str">
        <x:f>IF(C461="","",IF(OR(COUNTIF($C$9:$C$2008,C461)&lt;&gt;1,COUNTIFS($D$9:$D$2008,D461,$E$9:$E$2008,E461)&lt;&gt;1),"Duplicate test",IF(COUNTIF('Taxonomy'!$C$9:$C$108,D461)&lt;&gt;1,"Assessment key",IF(OR(COUNTIF('Taxonomy Rules'!$C$42:$C$68,E461)&lt;&gt;1,F461&lt;&gt;IFERROR(INDEX('Taxonomy Rules'!$D$42:$D$68,MATCH(E461,'Taxonomy Rules'!$C$42:$C$68,0)),""),NOT(OR(IFERROR(INDEX('Taxonomy Rules'!$G$42:$G$68,MATCH(E461,'Taxonomy Rules'!$C$42:$C$68,0)),"")="All supported routes",IFERROR(INDEX('Taxonomy Rules'!$G$42:$G$68,MATCH(E461,'Taxonomy Rules'!$C$42:$C$68,0)),"")=U461,AND(IFERROR(INDEX('Taxonomy Rules'!$G$42:$G$68,MATCH(E461,'Taxonomy Rules'!$C$42:$C$68,0)),"")="Building routes",OR(U461="Building renovation",U461="New building",U461="Building equipment"))))),"Unexpected test","Valid"))))</x:f>
      </x:c>
      <x:c r="S461" s="9" t="str">
        <x:f>IF(C461="","",IFERROR(INDEX('Taxonomy Rules'!$E$42:$E$68,MATCH(E461,'Taxonomy Rules'!$C$42:$C$68,0)),""))</x:f>
      </x:c>
      <x:c r="T461" s="9" t="str">
        <x:f>IF(C461="","",IFERROR(INDEX('Taxonomy Rules'!$F$42:$F$68,MATCH(E461,'Taxonomy Rules'!$C$42:$C$68,0)),""))</x:f>
      </x:c>
      <x:c r="U461" s="9" t="str">
        <x:f>IF(C461="","",IFERROR(INDEX('Taxonomy'!$G$9:$G$108,MATCH(D461,'Taxonomy'!$C$9:$C$108,0)),""))</x:f>
      </x:c>
    </x:row>
    <x:row r="462" ht="44" customHeight="1">
      <x:c r="A462" s="1"/>
      <x:c r="B462" s="1"/>
      <x:c r="C462" s="8"/>
      <x:c r="D462" s="8"/>
      <x:c r="E462" s="8"/>
      <x:c r="F462" s="8"/>
      <x:c r="G462" s="8"/>
      <x:c r="H462" s="8"/>
      <x:c r="I462" s="8"/>
      <x:c r="J462" s="8"/>
      <x:c r="K462" s="8"/>
      <x:c r="L462" s="8"/>
      <x:c r="M462" s="10"/>
      <x:c r="N462" s="10"/>
      <x:c r="O462" s="8"/>
      <x:c r="P462" s="9" t="str">
        <x:f>IF(C462="","",IF(AND(G462="Applicable",H462="Fail"),"Fail",IF(R462&lt;&gt;"Valid","Pending",IF(OR(I462="",K462="",L462="",K462=L462,NOT(ISNUMBER(M462)),NOT(ISNUMBER(N462)),M462&gt;Settings!$F$8,N462&lt;Settings!$F$8,N462&lt;M462),"Pending",IF(AND(G462="Applicable",H462="Pass"),"Pass",IF(AND(G462="N/A",H462="N/A",J462&lt;&gt;"",OR(E462="CEM-FUELS",E462="CEM-CCS",AND(E462="CEM-PLAN",IFERROR(INDEX('Taxonomy'!$M$9:$M$108,MATCH(D462,'Taxonomy'!$C$9:$C$108,0)),"")&lt;&gt;"Amber"),E462="BLD-TIMBER",AND(U462="Building equipment",OR(E462="BLD-WATER",E462="BLD-WASTE",E462="BLD-LAND")),AND(U462="Building renovation",E462="BLD-LAND"))),"N/A","Pending"))))))</x:f>
      </x:c>
      <x:c r="Q462" s="3" t="str">
        <x:f>IF(C462="","",IF(AND(R462="Valid",OR(P462="Pass",P462="N/A")),"Complete","Unresolved"))</x:f>
      </x:c>
      <x:c r="R462" s="9" t="str">
        <x:f>IF(C462="","",IF(OR(COUNTIF($C$9:$C$2008,C462)&lt;&gt;1,COUNTIFS($D$9:$D$2008,D462,$E$9:$E$2008,E462)&lt;&gt;1),"Duplicate test",IF(COUNTIF('Taxonomy'!$C$9:$C$108,D462)&lt;&gt;1,"Assessment key",IF(OR(COUNTIF('Taxonomy Rules'!$C$42:$C$68,E462)&lt;&gt;1,F462&lt;&gt;IFERROR(INDEX('Taxonomy Rules'!$D$42:$D$68,MATCH(E462,'Taxonomy Rules'!$C$42:$C$68,0)),""),NOT(OR(IFERROR(INDEX('Taxonomy Rules'!$G$42:$G$68,MATCH(E462,'Taxonomy Rules'!$C$42:$C$68,0)),"")="All supported routes",IFERROR(INDEX('Taxonomy Rules'!$G$42:$G$68,MATCH(E462,'Taxonomy Rules'!$C$42:$C$68,0)),"")=U462,AND(IFERROR(INDEX('Taxonomy Rules'!$G$42:$G$68,MATCH(E462,'Taxonomy Rules'!$C$42:$C$68,0)),"")="Building routes",OR(U462="Building renovation",U462="New building",U462="Building equipment"))))),"Unexpected test","Valid"))))</x:f>
      </x:c>
      <x:c r="S462" s="9" t="str">
        <x:f>IF(C462="","",IFERROR(INDEX('Taxonomy Rules'!$E$42:$E$68,MATCH(E462,'Taxonomy Rules'!$C$42:$C$68,0)),""))</x:f>
      </x:c>
      <x:c r="T462" s="9" t="str">
        <x:f>IF(C462="","",IFERROR(INDEX('Taxonomy Rules'!$F$42:$F$68,MATCH(E462,'Taxonomy Rules'!$C$42:$C$68,0)),""))</x:f>
      </x:c>
      <x:c r="U462" s="9" t="str">
        <x:f>IF(C462="","",IFERROR(INDEX('Taxonomy'!$G$9:$G$108,MATCH(D462,'Taxonomy'!$C$9:$C$108,0)),""))</x:f>
      </x:c>
    </x:row>
    <x:row r="463" ht="44" customHeight="1">
      <x:c r="A463" s="1"/>
      <x:c r="B463" s="1"/>
      <x:c r="C463" s="8"/>
      <x:c r="D463" s="8"/>
      <x:c r="E463" s="8"/>
      <x:c r="F463" s="8"/>
      <x:c r="G463" s="8"/>
      <x:c r="H463" s="8"/>
      <x:c r="I463" s="8"/>
      <x:c r="J463" s="8"/>
      <x:c r="K463" s="8"/>
      <x:c r="L463" s="8"/>
      <x:c r="M463" s="10"/>
      <x:c r="N463" s="10"/>
      <x:c r="O463" s="8"/>
      <x:c r="P463" s="9" t="str">
        <x:f>IF(C463="","",IF(AND(G463="Applicable",H463="Fail"),"Fail",IF(R463&lt;&gt;"Valid","Pending",IF(OR(I463="",K463="",L463="",K463=L463,NOT(ISNUMBER(M463)),NOT(ISNUMBER(N463)),M463&gt;Settings!$F$8,N463&lt;Settings!$F$8,N463&lt;M463),"Pending",IF(AND(G463="Applicable",H463="Pass"),"Pass",IF(AND(G463="N/A",H463="N/A",J463&lt;&gt;"",OR(E463="CEM-FUELS",E463="CEM-CCS",AND(E463="CEM-PLAN",IFERROR(INDEX('Taxonomy'!$M$9:$M$108,MATCH(D463,'Taxonomy'!$C$9:$C$108,0)),"")&lt;&gt;"Amber"),E463="BLD-TIMBER",AND(U463="Building equipment",OR(E463="BLD-WATER",E463="BLD-WASTE",E463="BLD-LAND")),AND(U463="Building renovation",E463="BLD-LAND"))),"N/A","Pending"))))))</x:f>
      </x:c>
      <x:c r="Q463" s="3" t="str">
        <x:f>IF(C463="","",IF(AND(R463="Valid",OR(P463="Pass",P463="N/A")),"Complete","Unresolved"))</x:f>
      </x:c>
      <x:c r="R463" s="9" t="str">
        <x:f>IF(C463="","",IF(OR(COUNTIF($C$9:$C$2008,C463)&lt;&gt;1,COUNTIFS($D$9:$D$2008,D463,$E$9:$E$2008,E463)&lt;&gt;1),"Duplicate test",IF(COUNTIF('Taxonomy'!$C$9:$C$108,D463)&lt;&gt;1,"Assessment key",IF(OR(COUNTIF('Taxonomy Rules'!$C$42:$C$68,E463)&lt;&gt;1,F463&lt;&gt;IFERROR(INDEX('Taxonomy Rules'!$D$42:$D$68,MATCH(E463,'Taxonomy Rules'!$C$42:$C$68,0)),""),NOT(OR(IFERROR(INDEX('Taxonomy Rules'!$G$42:$G$68,MATCH(E463,'Taxonomy Rules'!$C$42:$C$68,0)),"")="All supported routes",IFERROR(INDEX('Taxonomy Rules'!$G$42:$G$68,MATCH(E463,'Taxonomy Rules'!$C$42:$C$68,0)),"")=U463,AND(IFERROR(INDEX('Taxonomy Rules'!$G$42:$G$68,MATCH(E463,'Taxonomy Rules'!$C$42:$C$68,0)),"")="Building routes",OR(U463="Building renovation",U463="New building",U463="Building equipment"))))),"Unexpected test","Valid"))))</x:f>
      </x:c>
      <x:c r="S463" s="9" t="str">
        <x:f>IF(C463="","",IFERROR(INDEX('Taxonomy Rules'!$E$42:$E$68,MATCH(E463,'Taxonomy Rules'!$C$42:$C$68,0)),""))</x:f>
      </x:c>
      <x:c r="T463" s="9" t="str">
        <x:f>IF(C463="","",IFERROR(INDEX('Taxonomy Rules'!$F$42:$F$68,MATCH(E463,'Taxonomy Rules'!$C$42:$C$68,0)),""))</x:f>
      </x:c>
      <x:c r="U463" s="9" t="str">
        <x:f>IF(C463="","",IFERROR(INDEX('Taxonomy'!$G$9:$G$108,MATCH(D463,'Taxonomy'!$C$9:$C$108,0)),""))</x:f>
      </x:c>
    </x:row>
    <x:row r="464" ht="44" customHeight="1">
      <x:c r="A464" s="1"/>
      <x:c r="B464" s="1"/>
      <x:c r="C464" s="8"/>
      <x:c r="D464" s="8"/>
      <x:c r="E464" s="8"/>
      <x:c r="F464" s="8"/>
      <x:c r="G464" s="8"/>
      <x:c r="H464" s="8"/>
      <x:c r="I464" s="8"/>
      <x:c r="J464" s="8"/>
      <x:c r="K464" s="8"/>
      <x:c r="L464" s="8"/>
      <x:c r="M464" s="10"/>
      <x:c r="N464" s="10"/>
      <x:c r="O464" s="8"/>
      <x:c r="P464" s="9" t="str">
        <x:f>IF(C464="","",IF(AND(G464="Applicable",H464="Fail"),"Fail",IF(R464&lt;&gt;"Valid","Pending",IF(OR(I464="",K464="",L464="",K464=L464,NOT(ISNUMBER(M464)),NOT(ISNUMBER(N464)),M464&gt;Settings!$F$8,N464&lt;Settings!$F$8,N464&lt;M464),"Pending",IF(AND(G464="Applicable",H464="Pass"),"Pass",IF(AND(G464="N/A",H464="N/A",J464&lt;&gt;"",OR(E464="CEM-FUELS",E464="CEM-CCS",AND(E464="CEM-PLAN",IFERROR(INDEX('Taxonomy'!$M$9:$M$108,MATCH(D464,'Taxonomy'!$C$9:$C$108,0)),"")&lt;&gt;"Amber"),E464="BLD-TIMBER",AND(U464="Building equipment",OR(E464="BLD-WATER",E464="BLD-WASTE",E464="BLD-LAND")),AND(U464="Building renovation",E464="BLD-LAND"))),"N/A","Pending"))))))</x:f>
      </x:c>
      <x:c r="Q464" s="3" t="str">
        <x:f>IF(C464="","",IF(AND(R464="Valid",OR(P464="Pass",P464="N/A")),"Complete","Unresolved"))</x:f>
      </x:c>
      <x:c r="R464" s="9" t="str">
        <x:f>IF(C464="","",IF(OR(COUNTIF($C$9:$C$2008,C464)&lt;&gt;1,COUNTIFS($D$9:$D$2008,D464,$E$9:$E$2008,E464)&lt;&gt;1),"Duplicate test",IF(COUNTIF('Taxonomy'!$C$9:$C$108,D464)&lt;&gt;1,"Assessment key",IF(OR(COUNTIF('Taxonomy Rules'!$C$42:$C$68,E464)&lt;&gt;1,F464&lt;&gt;IFERROR(INDEX('Taxonomy Rules'!$D$42:$D$68,MATCH(E464,'Taxonomy Rules'!$C$42:$C$68,0)),""),NOT(OR(IFERROR(INDEX('Taxonomy Rules'!$G$42:$G$68,MATCH(E464,'Taxonomy Rules'!$C$42:$C$68,0)),"")="All supported routes",IFERROR(INDEX('Taxonomy Rules'!$G$42:$G$68,MATCH(E464,'Taxonomy Rules'!$C$42:$C$68,0)),"")=U464,AND(IFERROR(INDEX('Taxonomy Rules'!$G$42:$G$68,MATCH(E464,'Taxonomy Rules'!$C$42:$C$68,0)),"")="Building routes",OR(U464="Building renovation",U464="New building",U464="Building equipment"))))),"Unexpected test","Valid"))))</x:f>
      </x:c>
      <x:c r="S464" s="9" t="str">
        <x:f>IF(C464="","",IFERROR(INDEX('Taxonomy Rules'!$E$42:$E$68,MATCH(E464,'Taxonomy Rules'!$C$42:$C$68,0)),""))</x:f>
      </x:c>
      <x:c r="T464" s="9" t="str">
        <x:f>IF(C464="","",IFERROR(INDEX('Taxonomy Rules'!$F$42:$F$68,MATCH(E464,'Taxonomy Rules'!$C$42:$C$68,0)),""))</x:f>
      </x:c>
      <x:c r="U464" s="9" t="str">
        <x:f>IF(C464="","",IFERROR(INDEX('Taxonomy'!$G$9:$G$108,MATCH(D464,'Taxonomy'!$C$9:$C$108,0)),""))</x:f>
      </x:c>
    </x:row>
    <x:row r="465" ht="44" customHeight="1">
      <x:c r="A465" s="1"/>
      <x:c r="B465" s="1"/>
      <x:c r="C465" s="8"/>
      <x:c r="D465" s="8"/>
      <x:c r="E465" s="8"/>
      <x:c r="F465" s="8"/>
      <x:c r="G465" s="8"/>
      <x:c r="H465" s="8"/>
      <x:c r="I465" s="8"/>
      <x:c r="J465" s="8"/>
      <x:c r="K465" s="8"/>
      <x:c r="L465" s="8"/>
      <x:c r="M465" s="10"/>
      <x:c r="N465" s="10"/>
      <x:c r="O465" s="8"/>
      <x:c r="P465" s="9" t="str">
        <x:f>IF(C465="","",IF(AND(G465="Applicable",H465="Fail"),"Fail",IF(R465&lt;&gt;"Valid","Pending",IF(OR(I465="",K465="",L465="",K465=L465,NOT(ISNUMBER(M465)),NOT(ISNUMBER(N465)),M465&gt;Settings!$F$8,N465&lt;Settings!$F$8,N465&lt;M465),"Pending",IF(AND(G465="Applicable",H465="Pass"),"Pass",IF(AND(G465="N/A",H465="N/A",J465&lt;&gt;"",OR(E465="CEM-FUELS",E465="CEM-CCS",AND(E465="CEM-PLAN",IFERROR(INDEX('Taxonomy'!$M$9:$M$108,MATCH(D465,'Taxonomy'!$C$9:$C$108,0)),"")&lt;&gt;"Amber"),E465="BLD-TIMBER",AND(U465="Building equipment",OR(E465="BLD-WATER",E465="BLD-WASTE",E465="BLD-LAND")),AND(U465="Building renovation",E465="BLD-LAND"))),"N/A","Pending"))))))</x:f>
      </x:c>
      <x:c r="Q465" s="3" t="str">
        <x:f>IF(C465="","",IF(AND(R465="Valid",OR(P465="Pass",P465="N/A")),"Complete","Unresolved"))</x:f>
      </x:c>
      <x:c r="R465" s="9" t="str">
        <x:f>IF(C465="","",IF(OR(COUNTIF($C$9:$C$2008,C465)&lt;&gt;1,COUNTIFS($D$9:$D$2008,D465,$E$9:$E$2008,E465)&lt;&gt;1),"Duplicate test",IF(COUNTIF('Taxonomy'!$C$9:$C$108,D465)&lt;&gt;1,"Assessment key",IF(OR(COUNTIF('Taxonomy Rules'!$C$42:$C$68,E465)&lt;&gt;1,F465&lt;&gt;IFERROR(INDEX('Taxonomy Rules'!$D$42:$D$68,MATCH(E465,'Taxonomy Rules'!$C$42:$C$68,0)),""),NOT(OR(IFERROR(INDEX('Taxonomy Rules'!$G$42:$G$68,MATCH(E465,'Taxonomy Rules'!$C$42:$C$68,0)),"")="All supported routes",IFERROR(INDEX('Taxonomy Rules'!$G$42:$G$68,MATCH(E465,'Taxonomy Rules'!$C$42:$C$68,0)),"")=U465,AND(IFERROR(INDEX('Taxonomy Rules'!$G$42:$G$68,MATCH(E465,'Taxonomy Rules'!$C$42:$C$68,0)),"")="Building routes",OR(U465="Building renovation",U465="New building",U465="Building equipment"))))),"Unexpected test","Valid"))))</x:f>
      </x:c>
      <x:c r="S465" s="9" t="str">
        <x:f>IF(C465="","",IFERROR(INDEX('Taxonomy Rules'!$E$42:$E$68,MATCH(E465,'Taxonomy Rules'!$C$42:$C$68,0)),""))</x:f>
      </x:c>
      <x:c r="T465" s="9" t="str">
        <x:f>IF(C465="","",IFERROR(INDEX('Taxonomy Rules'!$F$42:$F$68,MATCH(E465,'Taxonomy Rules'!$C$42:$C$68,0)),""))</x:f>
      </x:c>
      <x:c r="U465" s="9" t="str">
        <x:f>IF(C465="","",IFERROR(INDEX('Taxonomy'!$G$9:$G$108,MATCH(D465,'Taxonomy'!$C$9:$C$108,0)),""))</x:f>
      </x:c>
    </x:row>
    <x:row r="466" ht="44" customHeight="1">
      <x:c r="A466" s="1"/>
      <x:c r="B466" s="1"/>
      <x:c r="C466" s="8"/>
      <x:c r="D466" s="8"/>
      <x:c r="E466" s="8"/>
      <x:c r="F466" s="8"/>
      <x:c r="G466" s="8"/>
      <x:c r="H466" s="8"/>
      <x:c r="I466" s="8"/>
      <x:c r="J466" s="8"/>
      <x:c r="K466" s="8"/>
      <x:c r="L466" s="8"/>
      <x:c r="M466" s="10"/>
      <x:c r="N466" s="10"/>
      <x:c r="O466" s="8"/>
      <x:c r="P466" s="9" t="str">
        <x:f>IF(C466="","",IF(AND(G466="Applicable",H466="Fail"),"Fail",IF(R466&lt;&gt;"Valid","Pending",IF(OR(I466="",K466="",L466="",K466=L466,NOT(ISNUMBER(M466)),NOT(ISNUMBER(N466)),M466&gt;Settings!$F$8,N466&lt;Settings!$F$8,N466&lt;M466),"Pending",IF(AND(G466="Applicable",H466="Pass"),"Pass",IF(AND(G466="N/A",H466="N/A",J466&lt;&gt;"",OR(E466="CEM-FUELS",E466="CEM-CCS",AND(E466="CEM-PLAN",IFERROR(INDEX('Taxonomy'!$M$9:$M$108,MATCH(D466,'Taxonomy'!$C$9:$C$108,0)),"")&lt;&gt;"Amber"),E466="BLD-TIMBER",AND(U466="Building equipment",OR(E466="BLD-WATER",E466="BLD-WASTE",E466="BLD-LAND")),AND(U466="Building renovation",E466="BLD-LAND"))),"N/A","Pending"))))))</x:f>
      </x:c>
      <x:c r="Q466" s="3" t="str">
        <x:f>IF(C466="","",IF(AND(R466="Valid",OR(P466="Pass",P466="N/A")),"Complete","Unresolved"))</x:f>
      </x:c>
      <x:c r="R466" s="9" t="str">
        <x:f>IF(C466="","",IF(OR(COUNTIF($C$9:$C$2008,C466)&lt;&gt;1,COUNTIFS($D$9:$D$2008,D466,$E$9:$E$2008,E466)&lt;&gt;1),"Duplicate test",IF(COUNTIF('Taxonomy'!$C$9:$C$108,D466)&lt;&gt;1,"Assessment key",IF(OR(COUNTIF('Taxonomy Rules'!$C$42:$C$68,E466)&lt;&gt;1,F466&lt;&gt;IFERROR(INDEX('Taxonomy Rules'!$D$42:$D$68,MATCH(E466,'Taxonomy Rules'!$C$42:$C$68,0)),""),NOT(OR(IFERROR(INDEX('Taxonomy Rules'!$G$42:$G$68,MATCH(E466,'Taxonomy Rules'!$C$42:$C$68,0)),"")="All supported routes",IFERROR(INDEX('Taxonomy Rules'!$G$42:$G$68,MATCH(E466,'Taxonomy Rules'!$C$42:$C$68,0)),"")=U466,AND(IFERROR(INDEX('Taxonomy Rules'!$G$42:$G$68,MATCH(E466,'Taxonomy Rules'!$C$42:$C$68,0)),"")="Building routes",OR(U466="Building renovation",U466="New building",U466="Building equipment"))))),"Unexpected test","Valid"))))</x:f>
      </x:c>
      <x:c r="S466" s="9" t="str">
        <x:f>IF(C466="","",IFERROR(INDEX('Taxonomy Rules'!$E$42:$E$68,MATCH(E466,'Taxonomy Rules'!$C$42:$C$68,0)),""))</x:f>
      </x:c>
      <x:c r="T466" s="9" t="str">
        <x:f>IF(C466="","",IFERROR(INDEX('Taxonomy Rules'!$F$42:$F$68,MATCH(E466,'Taxonomy Rules'!$C$42:$C$68,0)),""))</x:f>
      </x:c>
      <x:c r="U466" s="9" t="str">
        <x:f>IF(C466="","",IFERROR(INDEX('Taxonomy'!$G$9:$G$108,MATCH(D466,'Taxonomy'!$C$9:$C$108,0)),""))</x:f>
      </x:c>
    </x:row>
    <x:row r="467" ht="44" customHeight="1">
      <x:c r="A467" s="1"/>
      <x:c r="B467" s="1"/>
      <x:c r="C467" s="8"/>
      <x:c r="D467" s="8"/>
      <x:c r="E467" s="8"/>
      <x:c r="F467" s="8"/>
      <x:c r="G467" s="8"/>
      <x:c r="H467" s="8"/>
      <x:c r="I467" s="8"/>
      <x:c r="J467" s="8"/>
      <x:c r="K467" s="8"/>
      <x:c r="L467" s="8"/>
      <x:c r="M467" s="10"/>
      <x:c r="N467" s="10"/>
      <x:c r="O467" s="8"/>
      <x:c r="P467" s="9" t="str">
        <x:f>IF(C467="","",IF(AND(G467="Applicable",H467="Fail"),"Fail",IF(R467&lt;&gt;"Valid","Pending",IF(OR(I467="",K467="",L467="",K467=L467,NOT(ISNUMBER(M467)),NOT(ISNUMBER(N467)),M467&gt;Settings!$F$8,N467&lt;Settings!$F$8,N467&lt;M467),"Pending",IF(AND(G467="Applicable",H467="Pass"),"Pass",IF(AND(G467="N/A",H467="N/A",J467&lt;&gt;"",OR(E467="CEM-FUELS",E467="CEM-CCS",AND(E467="CEM-PLAN",IFERROR(INDEX('Taxonomy'!$M$9:$M$108,MATCH(D467,'Taxonomy'!$C$9:$C$108,0)),"")&lt;&gt;"Amber"),E467="BLD-TIMBER",AND(U467="Building equipment",OR(E467="BLD-WATER",E467="BLD-WASTE",E467="BLD-LAND")),AND(U467="Building renovation",E467="BLD-LAND"))),"N/A","Pending"))))))</x:f>
      </x:c>
      <x:c r="Q467" s="3" t="str">
        <x:f>IF(C467="","",IF(AND(R467="Valid",OR(P467="Pass",P467="N/A")),"Complete","Unresolved"))</x:f>
      </x:c>
      <x:c r="R467" s="9" t="str">
        <x:f>IF(C467="","",IF(OR(COUNTIF($C$9:$C$2008,C467)&lt;&gt;1,COUNTIFS($D$9:$D$2008,D467,$E$9:$E$2008,E467)&lt;&gt;1),"Duplicate test",IF(COUNTIF('Taxonomy'!$C$9:$C$108,D467)&lt;&gt;1,"Assessment key",IF(OR(COUNTIF('Taxonomy Rules'!$C$42:$C$68,E467)&lt;&gt;1,F467&lt;&gt;IFERROR(INDEX('Taxonomy Rules'!$D$42:$D$68,MATCH(E467,'Taxonomy Rules'!$C$42:$C$68,0)),""),NOT(OR(IFERROR(INDEX('Taxonomy Rules'!$G$42:$G$68,MATCH(E467,'Taxonomy Rules'!$C$42:$C$68,0)),"")="All supported routes",IFERROR(INDEX('Taxonomy Rules'!$G$42:$G$68,MATCH(E467,'Taxonomy Rules'!$C$42:$C$68,0)),"")=U467,AND(IFERROR(INDEX('Taxonomy Rules'!$G$42:$G$68,MATCH(E467,'Taxonomy Rules'!$C$42:$C$68,0)),"")="Building routes",OR(U467="Building renovation",U467="New building",U467="Building equipment"))))),"Unexpected test","Valid"))))</x:f>
      </x:c>
      <x:c r="S467" s="9" t="str">
        <x:f>IF(C467="","",IFERROR(INDEX('Taxonomy Rules'!$E$42:$E$68,MATCH(E467,'Taxonomy Rules'!$C$42:$C$68,0)),""))</x:f>
      </x:c>
      <x:c r="T467" s="9" t="str">
        <x:f>IF(C467="","",IFERROR(INDEX('Taxonomy Rules'!$F$42:$F$68,MATCH(E467,'Taxonomy Rules'!$C$42:$C$68,0)),""))</x:f>
      </x:c>
      <x:c r="U467" s="9" t="str">
        <x:f>IF(C467="","",IFERROR(INDEX('Taxonomy'!$G$9:$G$108,MATCH(D467,'Taxonomy'!$C$9:$C$108,0)),""))</x:f>
      </x:c>
    </x:row>
    <x:row r="468" ht="44" customHeight="1">
      <x:c r="A468" s="1"/>
      <x:c r="B468" s="1"/>
      <x:c r="C468" s="8"/>
      <x:c r="D468" s="8"/>
      <x:c r="E468" s="8"/>
      <x:c r="F468" s="8"/>
      <x:c r="G468" s="8"/>
      <x:c r="H468" s="8"/>
      <x:c r="I468" s="8"/>
      <x:c r="J468" s="8"/>
      <x:c r="K468" s="8"/>
      <x:c r="L468" s="8"/>
      <x:c r="M468" s="10"/>
      <x:c r="N468" s="10"/>
      <x:c r="O468" s="8"/>
      <x:c r="P468" s="9" t="str">
        <x:f>IF(C468="","",IF(AND(G468="Applicable",H468="Fail"),"Fail",IF(R468&lt;&gt;"Valid","Pending",IF(OR(I468="",K468="",L468="",K468=L468,NOT(ISNUMBER(M468)),NOT(ISNUMBER(N468)),M468&gt;Settings!$F$8,N468&lt;Settings!$F$8,N468&lt;M468),"Pending",IF(AND(G468="Applicable",H468="Pass"),"Pass",IF(AND(G468="N/A",H468="N/A",J468&lt;&gt;"",OR(E468="CEM-FUELS",E468="CEM-CCS",AND(E468="CEM-PLAN",IFERROR(INDEX('Taxonomy'!$M$9:$M$108,MATCH(D468,'Taxonomy'!$C$9:$C$108,0)),"")&lt;&gt;"Amber"),E468="BLD-TIMBER",AND(U468="Building equipment",OR(E468="BLD-WATER",E468="BLD-WASTE",E468="BLD-LAND")),AND(U468="Building renovation",E468="BLD-LAND"))),"N/A","Pending"))))))</x:f>
      </x:c>
      <x:c r="Q468" s="3" t="str">
        <x:f>IF(C468="","",IF(AND(R468="Valid",OR(P468="Pass",P468="N/A")),"Complete","Unresolved"))</x:f>
      </x:c>
      <x:c r="R468" s="9" t="str">
        <x:f>IF(C468="","",IF(OR(COUNTIF($C$9:$C$2008,C468)&lt;&gt;1,COUNTIFS($D$9:$D$2008,D468,$E$9:$E$2008,E468)&lt;&gt;1),"Duplicate test",IF(COUNTIF('Taxonomy'!$C$9:$C$108,D468)&lt;&gt;1,"Assessment key",IF(OR(COUNTIF('Taxonomy Rules'!$C$42:$C$68,E468)&lt;&gt;1,F468&lt;&gt;IFERROR(INDEX('Taxonomy Rules'!$D$42:$D$68,MATCH(E468,'Taxonomy Rules'!$C$42:$C$68,0)),""),NOT(OR(IFERROR(INDEX('Taxonomy Rules'!$G$42:$G$68,MATCH(E468,'Taxonomy Rules'!$C$42:$C$68,0)),"")="All supported routes",IFERROR(INDEX('Taxonomy Rules'!$G$42:$G$68,MATCH(E468,'Taxonomy Rules'!$C$42:$C$68,0)),"")=U468,AND(IFERROR(INDEX('Taxonomy Rules'!$G$42:$G$68,MATCH(E468,'Taxonomy Rules'!$C$42:$C$68,0)),"")="Building routes",OR(U468="Building renovation",U468="New building",U468="Building equipment"))))),"Unexpected test","Valid"))))</x:f>
      </x:c>
      <x:c r="S468" s="9" t="str">
        <x:f>IF(C468="","",IFERROR(INDEX('Taxonomy Rules'!$E$42:$E$68,MATCH(E468,'Taxonomy Rules'!$C$42:$C$68,0)),""))</x:f>
      </x:c>
      <x:c r="T468" s="9" t="str">
        <x:f>IF(C468="","",IFERROR(INDEX('Taxonomy Rules'!$F$42:$F$68,MATCH(E468,'Taxonomy Rules'!$C$42:$C$68,0)),""))</x:f>
      </x:c>
      <x:c r="U468" s="9" t="str">
        <x:f>IF(C468="","",IFERROR(INDEX('Taxonomy'!$G$9:$G$108,MATCH(D468,'Taxonomy'!$C$9:$C$108,0)),""))</x:f>
      </x:c>
    </x:row>
    <x:row r="469" ht="44" customHeight="1">
      <x:c r="A469" s="1"/>
      <x:c r="B469" s="1"/>
      <x:c r="C469" s="8"/>
      <x:c r="D469" s="8"/>
      <x:c r="E469" s="8"/>
      <x:c r="F469" s="8"/>
      <x:c r="G469" s="8"/>
      <x:c r="H469" s="8"/>
      <x:c r="I469" s="8"/>
      <x:c r="J469" s="8"/>
      <x:c r="K469" s="8"/>
      <x:c r="L469" s="8"/>
      <x:c r="M469" s="10"/>
      <x:c r="N469" s="10"/>
      <x:c r="O469" s="8"/>
      <x:c r="P469" s="9" t="str">
        <x:f>IF(C469="","",IF(AND(G469="Applicable",H469="Fail"),"Fail",IF(R469&lt;&gt;"Valid","Pending",IF(OR(I469="",K469="",L469="",K469=L469,NOT(ISNUMBER(M469)),NOT(ISNUMBER(N469)),M469&gt;Settings!$F$8,N469&lt;Settings!$F$8,N469&lt;M469),"Pending",IF(AND(G469="Applicable",H469="Pass"),"Pass",IF(AND(G469="N/A",H469="N/A",J469&lt;&gt;"",OR(E469="CEM-FUELS",E469="CEM-CCS",AND(E469="CEM-PLAN",IFERROR(INDEX('Taxonomy'!$M$9:$M$108,MATCH(D469,'Taxonomy'!$C$9:$C$108,0)),"")&lt;&gt;"Amber"),E469="BLD-TIMBER",AND(U469="Building equipment",OR(E469="BLD-WATER",E469="BLD-WASTE",E469="BLD-LAND")),AND(U469="Building renovation",E469="BLD-LAND"))),"N/A","Pending"))))))</x:f>
      </x:c>
      <x:c r="Q469" s="3" t="str">
        <x:f>IF(C469="","",IF(AND(R469="Valid",OR(P469="Pass",P469="N/A")),"Complete","Unresolved"))</x:f>
      </x:c>
      <x:c r="R469" s="9" t="str">
        <x:f>IF(C469="","",IF(OR(COUNTIF($C$9:$C$2008,C469)&lt;&gt;1,COUNTIFS($D$9:$D$2008,D469,$E$9:$E$2008,E469)&lt;&gt;1),"Duplicate test",IF(COUNTIF('Taxonomy'!$C$9:$C$108,D469)&lt;&gt;1,"Assessment key",IF(OR(COUNTIF('Taxonomy Rules'!$C$42:$C$68,E469)&lt;&gt;1,F469&lt;&gt;IFERROR(INDEX('Taxonomy Rules'!$D$42:$D$68,MATCH(E469,'Taxonomy Rules'!$C$42:$C$68,0)),""),NOT(OR(IFERROR(INDEX('Taxonomy Rules'!$G$42:$G$68,MATCH(E469,'Taxonomy Rules'!$C$42:$C$68,0)),"")="All supported routes",IFERROR(INDEX('Taxonomy Rules'!$G$42:$G$68,MATCH(E469,'Taxonomy Rules'!$C$42:$C$68,0)),"")=U469,AND(IFERROR(INDEX('Taxonomy Rules'!$G$42:$G$68,MATCH(E469,'Taxonomy Rules'!$C$42:$C$68,0)),"")="Building routes",OR(U469="Building renovation",U469="New building",U469="Building equipment"))))),"Unexpected test","Valid"))))</x:f>
      </x:c>
      <x:c r="S469" s="9" t="str">
        <x:f>IF(C469="","",IFERROR(INDEX('Taxonomy Rules'!$E$42:$E$68,MATCH(E469,'Taxonomy Rules'!$C$42:$C$68,0)),""))</x:f>
      </x:c>
      <x:c r="T469" s="9" t="str">
        <x:f>IF(C469="","",IFERROR(INDEX('Taxonomy Rules'!$F$42:$F$68,MATCH(E469,'Taxonomy Rules'!$C$42:$C$68,0)),""))</x:f>
      </x:c>
      <x:c r="U469" s="9" t="str">
        <x:f>IF(C469="","",IFERROR(INDEX('Taxonomy'!$G$9:$G$108,MATCH(D469,'Taxonomy'!$C$9:$C$108,0)),""))</x:f>
      </x:c>
    </x:row>
    <x:row r="470" ht="44" customHeight="1">
      <x:c r="A470" s="1"/>
      <x:c r="B470" s="1"/>
      <x:c r="C470" s="8"/>
      <x:c r="D470" s="8"/>
      <x:c r="E470" s="8"/>
      <x:c r="F470" s="8"/>
      <x:c r="G470" s="8"/>
      <x:c r="H470" s="8"/>
      <x:c r="I470" s="8"/>
      <x:c r="J470" s="8"/>
      <x:c r="K470" s="8"/>
      <x:c r="L470" s="8"/>
      <x:c r="M470" s="10"/>
      <x:c r="N470" s="10"/>
      <x:c r="O470" s="8"/>
      <x:c r="P470" s="9" t="str">
        <x:f>IF(C470="","",IF(AND(G470="Applicable",H470="Fail"),"Fail",IF(R470&lt;&gt;"Valid","Pending",IF(OR(I470="",K470="",L470="",K470=L470,NOT(ISNUMBER(M470)),NOT(ISNUMBER(N470)),M470&gt;Settings!$F$8,N470&lt;Settings!$F$8,N470&lt;M470),"Pending",IF(AND(G470="Applicable",H470="Pass"),"Pass",IF(AND(G470="N/A",H470="N/A",J470&lt;&gt;"",OR(E470="CEM-FUELS",E470="CEM-CCS",AND(E470="CEM-PLAN",IFERROR(INDEX('Taxonomy'!$M$9:$M$108,MATCH(D470,'Taxonomy'!$C$9:$C$108,0)),"")&lt;&gt;"Amber"),E470="BLD-TIMBER",AND(U470="Building equipment",OR(E470="BLD-WATER",E470="BLD-WASTE",E470="BLD-LAND")),AND(U470="Building renovation",E470="BLD-LAND"))),"N/A","Pending"))))))</x:f>
      </x:c>
      <x:c r="Q470" s="3" t="str">
        <x:f>IF(C470="","",IF(AND(R470="Valid",OR(P470="Pass",P470="N/A")),"Complete","Unresolved"))</x:f>
      </x:c>
      <x:c r="R470" s="9" t="str">
        <x:f>IF(C470="","",IF(OR(COUNTIF($C$9:$C$2008,C470)&lt;&gt;1,COUNTIFS($D$9:$D$2008,D470,$E$9:$E$2008,E470)&lt;&gt;1),"Duplicate test",IF(COUNTIF('Taxonomy'!$C$9:$C$108,D470)&lt;&gt;1,"Assessment key",IF(OR(COUNTIF('Taxonomy Rules'!$C$42:$C$68,E470)&lt;&gt;1,F470&lt;&gt;IFERROR(INDEX('Taxonomy Rules'!$D$42:$D$68,MATCH(E470,'Taxonomy Rules'!$C$42:$C$68,0)),""),NOT(OR(IFERROR(INDEX('Taxonomy Rules'!$G$42:$G$68,MATCH(E470,'Taxonomy Rules'!$C$42:$C$68,0)),"")="All supported routes",IFERROR(INDEX('Taxonomy Rules'!$G$42:$G$68,MATCH(E470,'Taxonomy Rules'!$C$42:$C$68,0)),"")=U470,AND(IFERROR(INDEX('Taxonomy Rules'!$G$42:$G$68,MATCH(E470,'Taxonomy Rules'!$C$42:$C$68,0)),"")="Building routes",OR(U470="Building renovation",U470="New building",U470="Building equipment"))))),"Unexpected test","Valid"))))</x:f>
      </x:c>
      <x:c r="S470" s="9" t="str">
        <x:f>IF(C470="","",IFERROR(INDEX('Taxonomy Rules'!$E$42:$E$68,MATCH(E470,'Taxonomy Rules'!$C$42:$C$68,0)),""))</x:f>
      </x:c>
      <x:c r="T470" s="9" t="str">
        <x:f>IF(C470="","",IFERROR(INDEX('Taxonomy Rules'!$F$42:$F$68,MATCH(E470,'Taxonomy Rules'!$C$42:$C$68,0)),""))</x:f>
      </x:c>
      <x:c r="U470" s="9" t="str">
        <x:f>IF(C470="","",IFERROR(INDEX('Taxonomy'!$G$9:$G$108,MATCH(D470,'Taxonomy'!$C$9:$C$108,0)),""))</x:f>
      </x:c>
    </x:row>
    <x:row r="471" ht="44" customHeight="1">
      <x:c r="A471" s="1"/>
      <x:c r="B471" s="1"/>
      <x:c r="C471" s="8"/>
      <x:c r="D471" s="8"/>
      <x:c r="E471" s="8"/>
      <x:c r="F471" s="8"/>
      <x:c r="G471" s="8"/>
      <x:c r="H471" s="8"/>
      <x:c r="I471" s="8"/>
      <x:c r="J471" s="8"/>
      <x:c r="K471" s="8"/>
      <x:c r="L471" s="8"/>
      <x:c r="M471" s="10"/>
      <x:c r="N471" s="10"/>
      <x:c r="O471" s="8"/>
      <x:c r="P471" s="9" t="str">
        <x:f>IF(C471="","",IF(AND(G471="Applicable",H471="Fail"),"Fail",IF(R471&lt;&gt;"Valid","Pending",IF(OR(I471="",K471="",L471="",K471=L471,NOT(ISNUMBER(M471)),NOT(ISNUMBER(N471)),M471&gt;Settings!$F$8,N471&lt;Settings!$F$8,N471&lt;M471),"Pending",IF(AND(G471="Applicable",H471="Pass"),"Pass",IF(AND(G471="N/A",H471="N/A",J471&lt;&gt;"",OR(E471="CEM-FUELS",E471="CEM-CCS",AND(E471="CEM-PLAN",IFERROR(INDEX('Taxonomy'!$M$9:$M$108,MATCH(D471,'Taxonomy'!$C$9:$C$108,0)),"")&lt;&gt;"Amber"),E471="BLD-TIMBER",AND(U471="Building equipment",OR(E471="BLD-WATER",E471="BLD-WASTE",E471="BLD-LAND")),AND(U471="Building renovation",E471="BLD-LAND"))),"N/A","Pending"))))))</x:f>
      </x:c>
      <x:c r="Q471" s="3" t="str">
        <x:f>IF(C471="","",IF(AND(R471="Valid",OR(P471="Pass",P471="N/A")),"Complete","Unresolved"))</x:f>
      </x:c>
      <x:c r="R471" s="9" t="str">
        <x:f>IF(C471="","",IF(OR(COUNTIF($C$9:$C$2008,C471)&lt;&gt;1,COUNTIFS($D$9:$D$2008,D471,$E$9:$E$2008,E471)&lt;&gt;1),"Duplicate test",IF(COUNTIF('Taxonomy'!$C$9:$C$108,D471)&lt;&gt;1,"Assessment key",IF(OR(COUNTIF('Taxonomy Rules'!$C$42:$C$68,E471)&lt;&gt;1,F471&lt;&gt;IFERROR(INDEX('Taxonomy Rules'!$D$42:$D$68,MATCH(E471,'Taxonomy Rules'!$C$42:$C$68,0)),""),NOT(OR(IFERROR(INDEX('Taxonomy Rules'!$G$42:$G$68,MATCH(E471,'Taxonomy Rules'!$C$42:$C$68,0)),"")="All supported routes",IFERROR(INDEX('Taxonomy Rules'!$G$42:$G$68,MATCH(E471,'Taxonomy Rules'!$C$42:$C$68,0)),"")=U471,AND(IFERROR(INDEX('Taxonomy Rules'!$G$42:$G$68,MATCH(E471,'Taxonomy Rules'!$C$42:$C$68,0)),"")="Building routes",OR(U471="Building renovation",U471="New building",U471="Building equipment"))))),"Unexpected test","Valid"))))</x:f>
      </x:c>
      <x:c r="S471" s="9" t="str">
        <x:f>IF(C471="","",IFERROR(INDEX('Taxonomy Rules'!$E$42:$E$68,MATCH(E471,'Taxonomy Rules'!$C$42:$C$68,0)),""))</x:f>
      </x:c>
      <x:c r="T471" s="9" t="str">
        <x:f>IF(C471="","",IFERROR(INDEX('Taxonomy Rules'!$F$42:$F$68,MATCH(E471,'Taxonomy Rules'!$C$42:$C$68,0)),""))</x:f>
      </x:c>
      <x:c r="U471" s="9" t="str">
        <x:f>IF(C471="","",IFERROR(INDEX('Taxonomy'!$G$9:$G$108,MATCH(D471,'Taxonomy'!$C$9:$C$108,0)),""))</x:f>
      </x:c>
    </x:row>
    <x:row r="472" ht="44" customHeight="1">
      <x:c r="A472" s="1"/>
      <x:c r="B472" s="1"/>
      <x:c r="C472" s="8"/>
      <x:c r="D472" s="8"/>
      <x:c r="E472" s="8"/>
      <x:c r="F472" s="8"/>
      <x:c r="G472" s="8"/>
      <x:c r="H472" s="8"/>
      <x:c r="I472" s="8"/>
      <x:c r="J472" s="8"/>
      <x:c r="K472" s="8"/>
      <x:c r="L472" s="8"/>
      <x:c r="M472" s="10"/>
      <x:c r="N472" s="10"/>
      <x:c r="O472" s="8"/>
      <x:c r="P472" s="9" t="str">
        <x:f>IF(C472="","",IF(AND(G472="Applicable",H472="Fail"),"Fail",IF(R472&lt;&gt;"Valid","Pending",IF(OR(I472="",K472="",L472="",K472=L472,NOT(ISNUMBER(M472)),NOT(ISNUMBER(N472)),M472&gt;Settings!$F$8,N472&lt;Settings!$F$8,N472&lt;M472),"Pending",IF(AND(G472="Applicable",H472="Pass"),"Pass",IF(AND(G472="N/A",H472="N/A",J472&lt;&gt;"",OR(E472="CEM-FUELS",E472="CEM-CCS",AND(E472="CEM-PLAN",IFERROR(INDEX('Taxonomy'!$M$9:$M$108,MATCH(D472,'Taxonomy'!$C$9:$C$108,0)),"")&lt;&gt;"Amber"),E472="BLD-TIMBER",AND(U472="Building equipment",OR(E472="BLD-WATER",E472="BLD-WASTE",E472="BLD-LAND")),AND(U472="Building renovation",E472="BLD-LAND"))),"N/A","Pending"))))))</x:f>
      </x:c>
      <x:c r="Q472" s="3" t="str">
        <x:f>IF(C472="","",IF(AND(R472="Valid",OR(P472="Pass",P472="N/A")),"Complete","Unresolved"))</x:f>
      </x:c>
      <x:c r="R472" s="9" t="str">
        <x:f>IF(C472="","",IF(OR(COUNTIF($C$9:$C$2008,C472)&lt;&gt;1,COUNTIFS($D$9:$D$2008,D472,$E$9:$E$2008,E472)&lt;&gt;1),"Duplicate test",IF(COUNTIF('Taxonomy'!$C$9:$C$108,D472)&lt;&gt;1,"Assessment key",IF(OR(COUNTIF('Taxonomy Rules'!$C$42:$C$68,E472)&lt;&gt;1,F472&lt;&gt;IFERROR(INDEX('Taxonomy Rules'!$D$42:$D$68,MATCH(E472,'Taxonomy Rules'!$C$42:$C$68,0)),""),NOT(OR(IFERROR(INDEX('Taxonomy Rules'!$G$42:$G$68,MATCH(E472,'Taxonomy Rules'!$C$42:$C$68,0)),"")="All supported routes",IFERROR(INDEX('Taxonomy Rules'!$G$42:$G$68,MATCH(E472,'Taxonomy Rules'!$C$42:$C$68,0)),"")=U472,AND(IFERROR(INDEX('Taxonomy Rules'!$G$42:$G$68,MATCH(E472,'Taxonomy Rules'!$C$42:$C$68,0)),"")="Building routes",OR(U472="Building renovation",U472="New building",U472="Building equipment"))))),"Unexpected test","Valid"))))</x:f>
      </x:c>
      <x:c r="S472" s="9" t="str">
        <x:f>IF(C472="","",IFERROR(INDEX('Taxonomy Rules'!$E$42:$E$68,MATCH(E472,'Taxonomy Rules'!$C$42:$C$68,0)),""))</x:f>
      </x:c>
      <x:c r="T472" s="9" t="str">
        <x:f>IF(C472="","",IFERROR(INDEX('Taxonomy Rules'!$F$42:$F$68,MATCH(E472,'Taxonomy Rules'!$C$42:$C$68,0)),""))</x:f>
      </x:c>
      <x:c r="U472" s="9" t="str">
        <x:f>IF(C472="","",IFERROR(INDEX('Taxonomy'!$G$9:$G$108,MATCH(D472,'Taxonomy'!$C$9:$C$108,0)),""))</x:f>
      </x:c>
    </x:row>
    <x:row r="473" ht="44" customHeight="1">
      <x:c r="A473" s="1"/>
      <x:c r="B473" s="1"/>
      <x:c r="C473" s="8"/>
      <x:c r="D473" s="8"/>
      <x:c r="E473" s="8"/>
      <x:c r="F473" s="8"/>
      <x:c r="G473" s="8"/>
      <x:c r="H473" s="8"/>
      <x:c r="I473" s="8"/>
      <x:c r="J473" s="8"/>
      <x:c r="K473" s="8"/>
      <x:c r="L473" s="8"/>
      <x:c r="M473" s="10"/>
      <x:c r="N473" s="10"/>
      <x:c r="O473" s="8"/>
      <x:c r="P473" s="9" t="str">
        <x:f>IF(C473="","",IF(AND(G473="Applicable",H473="Fail"),"Fail",IF(R473&lt;&gt;"Valid","Pending",IF(OR(I473="",K473="",L473="",K473=L473,NOT(ISNUMBER(M473)),NOT(ISNUMBER(N473)),M473&gt;Settings!$F$8,N473&lt;Settings!$F$8,N473&lt;M473),"Pending",IF(AND(G473="Applicable",H473="Pass"),"Pass",IF(AND(G473="N/A",H473="N/A",J473&lt;&gt;"",OR(E473="CEM-FUELS",E473="CEM-CCS",AND(E473="CEM-PLAN",IFERROR(INDEX('Taxonomy'!$M$9:$M$108,MATCH(D473,'Taxonomy'!$C$9:$C$108,0)),"")&lt;&gt;"Amber"),E473="BLD-TIMBER",AND(U473="Building equipment",OR(E473="BLD-WATER",E473="BLD-WASTE",E473="BLD-LAND")),AND(U473="Building renovation",E473="BLD-LAND"))),"N/A","Pending"))))))</x:f>
      </x:c>
      <x:c r="Q473" s="3" t="str">
        <x:f>IF(C473="","",IF(AND(R473="Valid",OR(P473="Pass",P473="N/A")),"Complete","Unresolved"))</x:f>
      </x:c>
      <x:c r="R473" s="9" t="str">
        <x:f>IF(C473="","",IF(OR(COUNTIF($C$9:$C$2008,C473)&lt;&gt;1,COUNTIFS($D$9:$D$2008,D473,$E$9:$E$2008,E473)&lt;&gt;1),"Duplicate test",IF(COUNTIF('Taxonomy'!$C$9:$C$108,D473)&lt;&gt;1,"Assessment key",IF(OR(COUNTIF('Taxonomy Rules'!$C$42:$C$68,E473)&lt;&gt;1,F473&lt;&gt;IFERROR(INDEX('Taxonomy Rules'!$D$42:$D$68,MATCH(E473,'Taxonomy Rules'!$C$42:$C$68,0)),""),NOT(OR(IFERROR(INDEX('Taxonomy Rules'!$G$42:$G$68,MATCH(E473,'Taxonomy Rules'!$C$42:$C$68,0)),"")="All supported routes",IFERROR(INDEX('Taxonomy Rules'!$G$42:$G$68,MATCH(E473,'Taxonomy Rules'!$C$42:$C$68,0)),"")=U473,AND(IFERROR(INDEX('Taxonomy Rules'!$G$42:$G$68,MATCH(E473,'Taxonomy Rules'!$C$42:$C$68,0)),"")="Building routes",OR(U473="Building renovation",U473="New building",U473="Building equipment"))))),"Unexpected test","Valid"))))</x:f>
      </x:c>
      <x:c r="S473" s="9" t="str">
        <x:f>IF(C473="","",IFERROR(INDEX('Taxonomy Rules'!$E$42:$E$68,MATCH(E473,'Taxonomy Rules'!$C$42:$C$68,0)),""))</x:f>
      </x:c>
      <x:c r="T473" s="9" t="str">
        <x:f>IF(C473="","",IFERROR(INDEX('Taxonomy Rules'!$F$42:$F$68,MATCH(E473,'Taxonomy Rules'!$C$42:$C$68,0)),""))</x:f>
      </x:c>
      <x:c r="U473" s="9" t="str">
        <x:f>IF(C473="","",IFERROR(INDEX('Taxonomy'!$G$9:$G$108,MATCH(D473,'Taxonomy'!$C$9:$C$108,0)),""))</x:f>
      </x:c>
    </x:row>
    <x:row r="474" ht="44" customHeight="1">
      <x:c r="A474" s="1"/>
      <x:c r="B474" s="1"/>
      <x:c r="C474" s="8"/>
      <x:c r="D474" s="8"/>
      <x:c r="E474" s="8"/>
      <x:c r="F474" s="8"/>
      <x:c r="G474" s="8"/>
      <x:c r="H474" s="8"/>
      <x:c r="I474" s="8"/>
      <x:c r="J474" s="8"/>
      <x:c r="K474" s="8"/>
      <x:c r="L474" s="8"/>
      <x:c r="M474" s="10"/>
      <x:c r="N474" s="10"/>
      <x:c r="O474" s="8"/>
      <x:c r="P474" s="9" t="str">
        <x:f>IF(C474="","",IF(AND(G474="Applicable",H474="Fail"),"Fail",IF(R474&lt;&gt;"Valid","Pending",IF(OR(I474="",K474="",L474="",K474=L474,NOT(ISNUMBER(M474)),NOT(ISNUMBER(N474)),M474&gt;Settings!$F$8,N474&lt;Settings!$F$8,N474&lt;M474),"Pending",IF(AND(G474="Applicable",H474="Pass"),"Pass",IF(AND(G474="N/A",H474="N/A",J474&lt;&gt;"",OR(E474="CEM-FUELS",E474="CEM-CCS",AND(E474="CEM-PLAN",IFERROR(INDEX('Taxonomy'!$M$9:$M$108,MATCH(D474,'Taxonomy'!$C$9:$C$108,0)),"")&lt;&gt;"Amber"),E474="BLD-TIMBER",AND(U474="Building equipment",OR(E474="BLD-WATER",E474="BLD-WASTE",E474="BLD-LAND")),AND(U474="Building renovation",E474="BLD-LAND"))),"N/A","Pending"))))))</x:f>
      </x:c>
      <x:c r="Q474" s="3" t="str">
        <x:f>IF(C474="","",IF(AND(R474="Valid",OR(P474="Pass",P474="N/A")),"Complete","Unresolved"))</x:f>
      </x:c>
      <x:c r="R474" s="9" t="str">
        <x:f>IF(C474="","",IF(OR(COUNTIF($C$9:$C$2008,C474)&lt;&gt;1,COUNTIFS($D$9:$D$2008,D474,$E$9:$E$2008,E474)&lt;&gt;1),"Duplicate test",IF(COUNTIF('Taxonomy'!$C$9:$C$108,D474)&lt;&gt;1,"Assessment key",IF(OR(COUNTIF('Taxonomy Rules'!$C$42:$C$68,E474)&lt;&gt;1,F474&lt;&gt;IFERROR(INDEX('Taxonomy Rules'!$D$42:$D$68,MATCH(E474,'Taxonomy Rules'!$C$42:$C$68,0)),""),NOT(OR(IFERROR(INDEX('Taxonomy Rules'!$G$42:$G$68,MATCH(E474,'Taxonomy Rules'!$C$42:$C$68,0)),"")="All supported routes",IFERROR(INDEX('Taxonomy Rules'!$G$42:$G$68,MATCH(E474,'Taxonomy Rules'!$C$42:$C$68,0)),"")=U474,AND(IFERROR(INDEX('Taxonomy Rules'!$G$42:$G$68,MATCH(E474,'Taxonomy Rules'!$C$42:$C$68,0)),"")="Building routes",OR(U474="Building renovation",U474="New building",U474="Building equipment"))))),"Unexpected test","Valid"))))</x:f>
      </x:c>
      <x:c r="S474" s="9" t="str">
        <x:f>IF(C474="","",IFERROR(INDEX('Taxonomy Rules'!$E$42:$E$68,MATCH(E474,'Taxonomy Rules'!$C$42:$C$68,0)),""))</x:f>
      </x:c>
      <x:c r="T474" s="9" t="str">
        <x:f>IF(C474="","",IFERROR(INDEX('Taxonomy Rules'!$F$42:$F$68,MATCH(E474,'Taxonomy Rules'!$C$42:$C$68,0)),""))</x:f>
      </x:c>
      <x:c r="U474" s="9" t="str">
        <x:f>IF(C474="","",IFERROR(INDEX('Taxonomy'!$G$9:$G$108,MATCH(D474,'Taxonomy'!$C$9:$C$108,0)),""))</x:f>
      </x:c>
    </x:row>
    <x:row r="475" ht="44" customHeight="1">
      <x:c r="A475" s="1"/>
      <x:c r="B475" s="1"/>
      <x:c r="C475" s="8"/>
      <x:c r="D475" s="8"/>
      <x:c r="E475" s="8"/>
      <x:c r="F475" s="8"/>
      <x:c r="G475" s="8"/>
      <x:c r="H475" s="8"/>
      <x:c r="I475" s="8"/>
      <x:c r="J475" s="8"/>
      <x:c r="K475" s="8"/>
      <x:c r="L475" s="8"/>
      <x:c r="M475" s="10"/>
      <x:c r="N475" s="10"/>
      <x:c r="O475" s="8"/>
      <x:c r="P475" s="9" t="str">
        <x:f>IF(C475="","",IF(AND(G475="Applicable",H475="Fail"),"Fail",IF(R475&lt;&gt;"Valid","Pending",IF(OR(I475="",K475="",L475="",K475=L475,NOT(ISNUMBER(M475)),NOT(ISNUMBER(N475)),M475&gt;Settings!$F$8,N475&lt;Settings!$F$8,N475&lt;M475),"Pending",IF(AND(G475="Applicable",H475="Pass"),"Pass",IF(AND(G475="N/A",H475="N/A",J475&lt;&gt;"",OR(E475="CEM-FUELS",E475="CEM-CCS",AND(E475="CEM-PLAN",IFERROR(INDEX('Taxonomy'!$M$9:$M$108,MATCH(D475,'Taxonomy'!$C$9:$C$108,0)),"")&lt;&gt;"Amber"),E475="BLD-TIMBER",AND(U475="Building equipment",OR(E475="BLD-WATER",E475="BLD-WASTE",E475="BLD-LAND")),AND(U475="Building renovation",E475="BLD-LAND"))),"N/A","Pending"))))))</x:f>
      </x:c>
      <x:c r="Q475" s="3" t="str">
        <x:f>IF(C475="","",IF(AND(R475="Valid",OR(P475="Pass",P475="N/A")),"Complete","Unresolved"))</x:f>
      </x:c>
      <x:c r="R475" s="9" t="str">
        <x:f>IF(C475="","",IF(OR(COUNTIF($C$9:$C$2008,C475)&lt;&gt;1,COUNTIFS($D$9:$D$2008,D475,$E$9:$E$2008,E475)&lt;&gt;1),"Duplicate test",IF(COUNTIF('Taxonomy'!$C$9:$C$108,D475)&lt;&gt;1,"Assessment key",IF(OR(COUNTIF('Taxonomy Rules'!$C$42:$C$68,E475)&lt;&gt;1,F475&lt;&gt;IFERROR(INDEX('Taxonomy Rules'!$D$42:$D$68,MATCH(E475,'Taxonomy Rules'!$C$42:$C$68,0)),""),NOT(OR(IFERROR(INDEX('Taxonomy Rules'!$G$42:$G$68,MATCH(E475,'Taxonomy Rules'!$C$42:$C$68,0)),"")="All supported routes",IFERROR(INDEX('Taxonomy Rules'!$G$42:$G$68,MATCH(E475,'Taxonomy Rules'!$C$42:$C$68,0)),"")=U475,AND(IFERROR(INDEX('Taxonomy Rules'!$G$42:$G$68,MATCH(E475,'Taxonomy Rules'!$C$42:$C$68,0)),"")="Building routes",OR(U475="Building renovation",U475="New building",U475="Building equipment"))))),"Unexpected test","Valid"))))</x:f>
      </x:c>
      <x:c r="S475" s="9" t="str">
        <x:f>IF(C475="","",IFERROR(INDEX('Taxonomy Rules'!$E$42:$E$68,MATCH(E475,'Taxonomy Rules'!$C$42:$C$68,0)),""))</x:f>
      </x:c>
      <x:c r="T475" s="9" t="str">
        <x:f>IF(C475="","",IFERROR(INDEX('Taxonomy Rules'!$F$42:$F$68,MATCH(E475,'Taxonomy Rules'!$C$42:$C$68,0)),""))</x:f>
      </x:c>
      <x:c r="U475" s="9" t="str">
        <x:f>IF(C475="","",IFERROR(INDEX('Taxonomy'!$G$9:$G$108,MATCH(D475,'Taxonomy'!$C$9:$C$108,0)),""))</x:f>
      </x:c>
    </x:row>
    <x:row r="476" ht="44" customHeight="1">
      <x:c r="A476" s="1"/>
      <x:c r="B476" s="1"/>
      <x:c r="C476" s="8"/>
      <x:c r="D476" s="8"/>
      <x:c r="E476" s="8"/>
      <x:c r="F476" s="8"/>
      <x:c r="G476" s="8"/>
      <x:c r="H476" s="8"/>
      <x:c r="I476" s="8"/>
      <x:c r="J476" s="8"/>
      <x:c r="K476" s="8"/>
      <x:c r="L476" s="8"/>
      <x:c r="M476" s="10"/>
      <x:c r="N476" s="10"/>
      <x:c r="O476" s="8"/>
      <x:c r="P476" s="9" t="str">
        <x:f>IF(C476="","",IF(AND(G476="Applicable",H476="Fail"),"Fail",IF(R476&lt;&gt;"Valid","Pending",IF(OR(I476="",K476="",L476="",K476=L476,NOT(ISNUMBER(M476)),NOT(ISNUMBER(N476)),M476&gt;Settings!$F$8,N476&lt;Settings!$F$8,N476&lt;M476),"Pending",IF(AND(G476="Applicable",H476="Pass"),"Pass",IF(AND(G476="N/A",H476="N/A",J476&lt;&gt;"",OR(E476="CEM-FUELS",E476="CEM-CCS",AND(E476="CEM-PLAN",IFERROR(INDEX('Taxonomy'!$M$9:$M$108,MATCH(D476,'Taxonomy'!$C$9:$C$108,0)),"")&lt;&gt;"Amber"),E476="BLD-TIMBER",AND(U476="Building equipment",OR(E476="BLD-WATER",E476="BLD-WASTE",E476="BLD-LAND")),AND(U476="Building renovation",E476="BLD-LAND"))),"N/A","Pending"))))))</x:f>
      </x:c>
      <x:c r="Q476" s="3" t="str">
        <x:f>IF(C476="","",IF(AND(R476="Valid",OR(P476="Pass",P476="N/A")),"Complete","Unresolved"))</x:f>
      </x:c>
      <x:c r="R476" s="9" t="str">
        <x:f>IF(C476="","",IF(OR(COUNTIF($C$9:$C$2008,C476)&lt;&gt;1,COUNTIFS($D$9:$D$2008,D476,$E$9:$E$2008,E476)&lt;&gt;1),"Duplicate test",IF(COUNTIF('Taxonomy'!$C$9:$C$108,D476)&lt;&gt;1,"Assessment key",IF(OR(COUNTIF('Taxonomy Rules'!$C$42:$C$68,E476)&lt;&gt;1,F476&lt;&gt;IFERROR(INDEX('Taxonomy Rules'!$D$42:$D$68,MATCH(E476,'Taxonomy Rules'!$C$42:$C$68,0)),""),NOT(OR(IFERROR(INDEX('Taxonomy Rules'!$G$42:$G$68,MATCH(E476,'Taxonomy Rules'!$C$42:$C$68,0)),"")="All supported routes",IFERROR(INDEX('Taxonomy Rules'!$G$42:$G$68,MATCH(E476,'Taxonomy Rules'!$C$42:$C$68,0)),"")=U476,AND(IFERROR(INDEX('Taxonomy Rules'!$G$42:$G$68,MATCH(E476,'Taxonomy Rules'!$C$42:$C$68,0)),"")="Building routes",OR(U476="Building renovation",U476="New building",U476="Building equipment"))))),"Unexpected test","Valid"))))</x:f>
      </x:c>
      <x:c r="S476" s="9" t="str">
        <x:f>IF(C476="","",IFERROR(INDEX('Taxonomy Rules'!$E$42:$E$68,MATCH(E476,'Taxonomy Rules'!$C$42:$C$68,0)),""))</x:f>
      </x:c>
      <x:c r="T476" s="9" t="str">
        <x:f>IF(C476="","",IFERROR(INDEX('Taxonomy Rules'!$F$42:$F$68,MATCH(E476,'Taxonomy Rules'!$C$42:$C$68,0)),""))</x:f>
      </x:c>
      <x:c r="U476" s="9" t="str">
        <x:f>IF(C476="","",IFERROR(INDEX('Taxonomy'!$G$9:$G$108,MATCH(D476,'Taxonomy'!$C$9:$C$108,0)),""))</x:f>
      </x:c>
    </x:row>
    <x:row r="477" ht="44" customHeight="1">
      <x:c r="A477" s="1"/>
      <x:c r="B477" s="1"/>
      <x:c r="C477" s="8"/>
      <x:c r="D477" s="8"/>
      <x:c r="E477" s="8"/>
      <x:c r="F477" s="8"/>
      <x:c r="G477" s="8"/>
      <x:c r="H477" s="8"/>
      <x:c r="I477" s="8"/>
      <x:c r="J477" s="8"/>
      <x:c r="K477" s="8"/>
      <x:c r="L477" s="8"/>
      <x:c r="M477" s="10"/>
      <x:c r="N477" s="10"/>
      <x:c r="O477" s="8"/>
      <x:c r="P477" s="9" t="str">
        <x:f>IF(C477="","",IF(AND(G477="Applicable",H477="Fail"),"Fail",IF(R477&lt;&gt;"Valid","Pending",IF(OR(I477="",K477="",L477="",K477=L477,NOT(ISNUMBER(M477)),NOT(ISNUMBER(N477)),M477&gt;Settings!$F$8,N477&lt;Settings!$F$8,N477&lt;M477),"Pending",IF(AND(G477="Applicable",H477="Pass"),"Pass",IF(AND(G477="N/A",H477="N/A",J477&lt;&gt;"",OR(E477="CEM-FUELS",E477="CEM-CCS",AND(E477="CEM-PLAN",IFERROR(INDEX('Taxonomy'!$M$9:$M$108,MATCH(D477,'Taxonomy'!$C$9:$C$108,0)),"")&lt;&gt;"Amber"),E477="BLD-TIMBER",AND(U477="Building equipment",OR(E477="BLD-WATER",E477="BLD-WASTE",E477="BLD-LAND")),AND(U477="Building renovation",E477="BLD-LAND"))),"N/A","Pending"))))))</x:f>
      </x:c>
      <x:c r="Q477" s="3" t="str">
        <x:f>IF(C477="","",IF(AND(R477="Valid",OR(P477="Pass",P477="N/A")),"Complete","Unresolved"))</x:f>
      </x:c>
      <x:c r="R477" s="9" t="str">
        <x:f>IF(C477="","",IF(OR(COUNTIF($C$9:$C$2008,C477)&lt;&gt;1,COUNTIFS($D$9:$D$2008,D477,$E$9:$E$2008,E477)&lt;&gt;1),"Duplicate test",IF(COUNTIF('Taxonomy'!$C$9:$C$108,D477)&lt;&gt;1,"Assessment key",IF(OR(COUNTIF('Taxonomy Rules'!$C$42:$C$68,E477)&lt;&gt;1,F477&lt;&gt;IFERROR(INDEX('Taxonomy Rules'!$D$42:$D$68,MATCH(E477,'Taxonomy Rules'!$C$42:$C$68,0)),""),NOT(OR(IFERROR(INDEX('Taxonomy Rules'!$G$42:$G$68,MATCH(E477,'Taxonomy Rules'!$C$42:$C$68,0)),"")="All supported routes",IFERROR(INDEX('Taxonomy Rules'!$G$42:$G$68,MATCH(E477,'Taxonomy Rules'!$C$42:$C$68,0)),"")=U477,AND(IFERROR(INDEX('Taxonomy Rules'!$G$42:$G$68,MATCH(E477,'Taxonomy Rules'!$C$42:$C$68,0)),"")="Building routes",OR(U477="Building renovation",U477="New building",U477="Building equipment"))))),"Unexpected test","Valid"))))</x:f>
      </x:c>
      <x:c r="S477" s="9" t="str">
        <x:f>IF(C477="","",IFERROR(INDEX('Taxonomy Rules'!$E$42:$E$68,MATCH(E477,'Taxonomy Rules'!$C$42:$C$68,0)),""))</x:f>
      </x:c>
      <x:c r="T477" s="9" t="str">
        <x:f>IF(C477="","",IFERROR(INDEX('Taxonomy Rules'!$F$42:$F$68,MATCH(E477,'Taxonomy Rules'!$C$42:$C$68,0)),""))</x:f>
      </x:c>
      <x:c r="U477" s="9" t="str">
        <x:f>IF(C477="","",IFERROR(INDEX('Taxonomy'!$G$9:$G$108,MATCH(D477,'Taxonomy'!$C$9:$C$108,0)),""))</x:f>
      </x:c>
    </x:row>
    <x:row r="478" ht="44" customHeight="1">
      <x:c r="A478" s="1"/>
      <x:c r="B478" s="1"/>
      <x:c r="C478" s="8"/>
      <x:c r="D478" s="8"/>
      <x:c r="E478" s="8"/>
      <x:c r="F478" s="8"/>
      <x:c r="G478" s="8"/>
      <x:c r="H478" s="8"/>
      <x:c r="I478" s="8"/>
      <x:c r="J478" s="8"/>
      <x:c r="K478" s="8"/>
      <x:c r="L478" s="8"/>
      <x:c r="M478" s="10"/>
      <x:c r="N478" s="10"/>
      <x:c r="O478" s="8"/>
      <x:c r="P478" s="9" t="str">
        <x:f>IF(C478="","",IF(AND(G478="Applicable",H478="Fail"),"Fail",IF(R478&lt;&gt;"Valid","Pending",IF(OR(I478="",K478="",L478="",K478=L478,NOT(ISNUMBER(M478)),NOT(ISNUMBER(N478)),M478&gt;Settings!$F$8,N478&lt;Settings!$F$8,N478&lt;M478),"Pending",IF(AND(G478="Applicable",H478="Pass"),"Pass",IF(AND(G478="N/A",H478="N/A",J478&lt;&gt;"",OR(E478="CEM-FUELS",E478="CEM-CCS",AND(E478="CEM-PLAN",IFERROR(INDEX('Taxonomy'!$M$9:$M$108,MATCH(D478,'Taxonomy'!$C$9:$C$108,0)),"")&lt;&gt;"Amber"),E478="BLD-TIMBER",AND(U478="Building equipment",OR(E478="BLD-WATER",E478="BLD-WASTE",E478="BLD-LAND")),AND(U478="Building renovation",E478="BLD-LAND"))),"N/A","Pending"))))))</x:f>
      </x:c>
      <x:c r="Q478" s="3" t="str">
        <x:f>IF(C478="","",IF(AND(R478="Valid",OR(P478="Pass",P478="N/A")),"Complete","Unresolved"))</x:f>
      </x:c>
      <x:c r="R478" s="9" t="str">
        <x:f>IF(C478="","",IF(OR(COUNTIF($C$9:$C$2008,C478)&lt;&gt;1,COUNTIFS($D$9:$D$2008,D478,$E$9:$E$2008,E478)&lt;&gt;1),"Duplicate test",IF(COUNTIF('Taxonomy'!$C$9:$C$108,D478)&lt;&gt;1,"Assessment key",IF(OR(COUNTIF('Taxonomy Rules'!$C$42:$C$68,E478)&lt;&gt;1,F478&lt;&gt;IFERROR(INDEX('Taxonomy Rules'!$D$42:$D$68,MATCH(E478,'Taxonomy Rules'!$C$42:$C$68,0)),""),NOT(OR(IFERROR(INDEX('Taxonomy Rules'!$G$42:$G$68,MATCH(E478,'Taxonomy Rules'!$C$42:$C$68,0)),"")="All supported routes",IFERROR(INDEX('Taxonomy Rules'!$G$42:$G$68,MATCH(E478,'Taxonomy Rules'!$C$42:$C$68,0)),"")=U478,AND(IFERROR(INDEX('Taxonomy Rules'!$G$42:$G$68,MATCH(E478,'Taxonomy Rules'!$C$42:$C$68,0)),"")="Building routes",OR(U478="Building renovation",U478="New building",U478="Building equipment"))))),"Unexpected test","Valid"))))</x:f>
      </x:c>
      <x:c r="S478" s="9" t="str">
        <x:f>IF(C478="","",IFERROR(INDEX('Taxonomy Rules'!$E$42:$E$68,MATCH(E478,'Taxonomy Rules'!$C$42:$C$68,0)),""))</x:f>
      </x:c>
      <x:c r="T478" s="9" t="str">
        <x:f>IF(C478="","",IFERROR(INDEX('Taxonomy Rules'!$F$42:$F$68,MATCH(E478,'Taxonomy Rules'!$C$42:$C$68,0)),""))</x:f>
      </x:c>
      <x:c r="U478" s="9" t="str">
        <x:f>IF(C478="","",IFERROR(INDEX('Taxonomy'!$G$9:$G$108,MATCH(D478,'Taxonomy'!$C$9:$C$108,0)),""))</x:f>
      </x:c>
    </x:row>
    <x:row r="479" ht="44" customHeight="1">
      <x:c r="A479" s="1"/>
      <x:c r="B479" s="1"/>
      <x:c r="C479" s="8"/>
      <x:c r="D479" s="8"/>
      <x:c r="E479" s="8"/>
      <x:c r="F479" s="8"/>
      <x:c r="G479" s="8"/>
      <x:c r="H479" s="8"/>
      <x:c r="I479" s="8"/>
      <x:c r="J479" s="8"/>
      <x:c r="K479" s="8"/>
      <x:c r="L479" s="8"/>
      <x:c r="M479" s="10"/>
      <x:c r="N479" s="10"/>
      <x:c r="O479" s="8"/>
      <x:c r="P479" s="9" t="str">
        <x:f>IF(C479="","",IF(AND(G479="Applicable",H479="Fail"),"Fail",IF(R479&lt;&gt;"Valid","Pending",IF(OR(I479="",K479="",L479="",K479=L479,NOT(ISNUMBER(M479)),NOT(ISNUMBER(N479)),M479&gt;Settings!$F$8,N479&lt;Settings!$F$8,N479&lt;M479),"Pending",IF(AND(G479="Applicable",H479="Pass"),"Pass",IF(AND(G479="N/A",H479="N/A",J479&lt;&gt;"",OR(E479="CEM-FUELS",E479="CEM-CCS",AND(E479="CEM-PLAN",IFERROR(INDEX('Taxonomy'!$M$9:$M$108,MATCH(D479,'Taxonomy'!$C$9:$C$108,0)),"")&lt;&gt;"Amber"),E479="BLD-TIMBER",AND(U479="Building equipment",OR(E479="BLD-WATER",E479="BLD-WASTE",E479="BLD-LAND")),AND(U479="Building renovation",E479="BLD-LAND"))),"N/A","Pending"))))))</x:f>
      </x:c>
      <x:c r="Q479" s="3" t="str">
        <x:f>IF(C479="","",IF(AND(R479="Valid",OR(P479="Pass",P479="N/A")),"Complete","Unresolved"))</x:f>
      </x:c>
      <x:c r="R479" s="9" t="str">
        <x:f>IF(C479="","",IF(OR(COUNTIF($C$9:$C$2008,C479)&lt;&gt;1,COUNTIFS($D$9:$D$2008,D479,$E$9:$E$2008,E479)&lt;&gt;1),"Duplicate test",IF(COUNTIF('Taxonomy'!$C$9:$C$108,D479)&lt;&gt;1,"Assessment key",IF(OR(COUNTIF('Taxonomy Rules'!$C$42:$C$68,E479)&lt;&gt;1,F479&lt;&gt;IFERROR(INDEX('Taxonomy Rules'!$D$42:$D$68,MATCH(E479,'Taxonomy Rules'!$C$42:$C$68,0)),""),NOT(OR(IFERROR(INDEX('Taxonomy Rules'!$G$42:$G$68,MATCH(E479,'Taxonomy Rules'!$C$42:$C$68,0)),"")="All supported routes",IFERROR(INDEX('Taxonomy Rules'!$G$42:$G$68,MATCH(E479,'Taxonomy Rules'!$C$42:$C$68,0)),"")=U479,AND(IFERROR(INDEX('Taxonomy Rules'!$G$42:$G$68,MATCH(E479,'Taxonomy Rules'!$C$42:$C$68,0)),"")="Building routes",OR(U479="Building renovation",U479="New building",U479="Building equipment"))))),"Unexpected test","Valid"))))</x:f>
      </x:c>
      <x:c r="S479" s="9" t="str">
        <x:f>IF(C479="","",IFERROR(INDEX('Taxonomy Rules'!$E$42:$E$68,MATCH(E479,'Taxonomy Rules'!$C$42:$C$68,0)),""))</x:f>
      </x:c>
      <x:c r="T479" s="9" t="str">
        <x:f>IF(C479="","",IFERROR(INDEX('Taxonomy Rules'!$F$42:$F$68,MATCH(E479,'Taxonomy Rules'!$C$42:$C$68,0)),""))</x:f>
      </x:c>
      <x:c r="U479" s="9" t="str">
        <x:f>IF(C479="","",IFERROR(INDEX('Taxonomy'!$G$9:$G$108,MATCH(D479,'Taxonomy'!$C$9:$C$108,0)),""))</x:f>
      </x:c>
    </x:row>
    <x:row r="480" ht="44" customHeight="1">
      <x:c r="A480" s="1"/>
      <x:c r="B480" s="1"/>
      <x:c r="C480" s="8"/>
      <x:c r="D480" s="8"/>
      <x:c r="E480" s="8"/>
      <x:c r="F480" s="8"/>
      <x:c r="G480" s="8"/>
      <x:c r="H480" s="8"/>
      <x:c r="I480" s="8"/>
      <x:c r="J480" s="8"/>
      <x:c r="K480" s="8"/>
      <x:c r="L480" s="8"/>
      <x:c r="M480" s="10"/>
      <x:c r="N480" s="10"/>
      <x:c r="O480" s="8"/>
      <x:c r="P480" s="9" t="str">
        <x:f>IF(C480="","",IF(AND(G480="Applicable",H480="Fail"),"Fail",IF(R480&lt;&gt;"Valid","Pending",IF(OR(I480="",K480="",L480="",K480=L480,NOT(ISNUMBER(M480)),NOT(ISNUMBER(N480)),M480&gt;Settings!$F$8,N480&lt;Settings!$F$8,N480&lt;M480),"Pending",IF(AND(G480="Applicable",H480="Pass"),"Pass",IF(AND(G480="N/A",H480="N/A",J480&lt;&gt;"",OR(E480="CEM-FUELS",E480="CEM-CCS",AND(E480="CEM-PLAN",IFERROR(INDEX('Taxonomy'!$M$9:$M$108,MATCH(D480,'Taxonomy'!$C$9:$C$108,0)),"")&lt;&gt;"Amber"),E480="BLD-TIMBER",AND(U480="Building equipment",OR(E480="BLD-WATER",E480="BLD-WASTE",E480="BLD-LAND")),AND(U480="Building renovation",E480="BLD-LAND"))),"N/A","Pending"))))))</x:f>
      </x:c>
      <x:c r="Q480" s="3" t="str">
        <x:f>IF(C480="","",IF(AND(R480="Valid",OR(P480="Pass",P480="N/A")),"Complete","Unresolved"))</x:f>
      </x:c>
      <x:c r="R480" s="9" t="str">
        <x:f>IF(C480="","",IF(OR(COUNTIF($C$9:$C$2008,C480)&lt;&gt;1,COUNTIFS($D$9:$D$2008,D480,$E$9:$E$2008,E480)&lt;&gt;1),"Duplicate test",IF(COUNTIF('Taxonomy'!$C$9:$C$108,D480)&lt;&gt;1,"Assessment key",IF(OR(COUNTIF('Taxonomy Rules'!$C$42:$C$68,E480)&lt;&gt;1,F480&lt;&gt;IFERROR(INDEX('Taxonomy Rules'!$D$42:$D$68,MATCH(E480,'Taxonomy Rules'!$C$42:$C$68,0)),""),NOT(OR(IFERROR(INDEX('Taxonomy Rules'!$G$42:$G$68,MATCH(E480,'Taxonomy Rules'!$C$42:$C$68,0)),"")="All supported routes",IFERROR(INDEX('Taxonomy Rules'!$G$42:$G$68,MATCH(E480,'Taxonomy Rules'!$C$42:$C$68,0)),"")=U480,AND(IFERROR(INDEX('Taxonomy Rules'!$G$42:$G$68,MATCH(E480,'Taxonomy Rules'!$C$42:$C$68,0)),"")="Building routes",OR(U480="Building renovation",U480="New building",U480="Building equipment"))))),"Unexpected test","Valid"))))</x:f>
      </x:c>
      <x:c r="S480" s="9" t="str">
        <x:f>IF(C480="","",IFERROR(INDEX('Taxonomy Rules'!$E$42:$E$68,MATCH(E480,'Taxonomy Rules'!$C$42:$C$68,0)),""))</x:f>
      </x:c>
      <x:c r="T480" s="9" t="str">
        <x:f>IF(C480="","",IFERROR(INDEX('Taxonomy Rules'!$F$42:$F$68,MATCH(E480,'Taxonomy Rules'!$C$42:$C$68,0)),""))</x:f>
      </x:c>
      <x:c r="U480" s="9" t="str">
        <x:f>IF(C480="","",IFERROR(INDEX('Taxonomy'!$G$9:$G$108,MATCH(D480,'Taxonomy'!$C$9:$C$108,0)),""))</x:f>
      </x:c>
    </x:row>
    <x:row r="481" ht="44" customHeight="1">
      <x:c r="A481" s="1"/>
      <x:c r="B481" s="1"/>
      <x:c r="C481" s="8"/>
      <x:c r="D481" s="8"/>
      <x:c r="E481" s="8"/>
      <x:c r="F481" s="8"/>
      <x:c r="G481" s="8"/>
      <x:c r="H481" s="8"/>
      <x:c r="I481" s="8"/>
      <x:c r="J481" s="8"/>
      <x:c r="K481" s="8"/>
      <x:c r="L481" s="8"/>
      <x:c r="M481" s="10"/>
      <x:c r="N481" s="10"/>
      <x:c r="O481" s="8"/>
      <x:c r="P481" s="9" t="str">
        <x:f>IF(C481="","",IF(AND(G481="Applicable",H481="Fail"),"Fail",IF(R481&lt;&gt;"Valid","Pending",IF(OR(I481="",K481="",L481="",K481=L481,NOT(ISNUMBER(M481)),NOT(ISNUMBER(N481)),M481&gt;Settings!$F$8,N481&lt;Settings!$F$8,N481&lt;M481),"Pending",IF(AND(G481="Applicable",H481="Pass"),"Pass",IF(AND(G481="N/A",H481="N/A",J481&lt;&gt;"",OR(E481="CEM-FUELS",E481="CEM-CCS",AND(E481="CEM-PLAN",IFERROR(INDEX('Taxonomy'!$M$9:$M$108,MATCH(D481,'Taxonomy'!$C$9:$C$108,0)),"")&lt;&gt;"Amber"),E481="BLD-TIMBER",AND(U481="Building equipment",OR(E481="BLD-WATER",E481="BLD-WASTE",E481="BLD-LAND")),AND(U481="Building renovation",E481="BLD-LAND"))),"N/A","Pending"))))))</x:f>
      </x:c>
      <x:c r="Q481" s="3" t="str">
        <x:f>IF(C481="","",IF(AND(R481="Valid",OR(P481="Pass",P481="N/A")),"Complete","Unresolved"))</x:f>
      </x:c>
      <x:c r="R481" s="9" t="str">
        <x:f>IF(C481="","",IF(OR(COUNTIF($C$9:$C$2008,C481)&lt;&gt;1,COUNTIFS($D$9:$D$2008,D481,$E$9:$E$2008,E481)&lt;&gt;1),"Duplicate test",IF(COUNTIF('Taxonomy'!$C$9:$C$108,D481)&lt;&gt;1,"Assessment key",IF(OR(COUNTIF('Taxonomy Rules'!$C$42:$C$68,E481)&lt;&gt;1,F481&lt;&gt;IFERROR(INDEX('Taxonomy Rules'!$D$42:$D$68,MATCH(E481,'Taxonomy Rules'!$C$42:$C$68,0)),""),NOT(OR(IFERROR(INDEX('Taxonomy Rules'!$G$42:$G$68,MATCH(E481,'Taxonomy Rules'!$C$42:$C$68,0)),"")="All supported routes",IFERROR(INDEX('Taxonomy Rules'!$G$42:$G$68,MATCH(E481,'Taxonomy Rules'!$C$42:$C$68,0)),"")=U481,AND(IFERROR(INDEX('Taxonomy Rules'!$G$42:$G$68,MATCH(E481,'Taxonomy Rules'!$C$42:$C$68,0)),"")="Building routes",OR(U481="Building renovation",U481="New building",U481="Building equipment"))))),"Unexpected test","Valid"))))</x:f>
      </x:c>
      <x:c r="S481" s="9" t="str">
        <x:f>IF(C481="","",IFERROR(INDEX('Taxonomy Rules'!$E$42:$E$68,MATCH(E481,'Taxonomy Rules'!$C$42:$C$68,0)),""))</x:f>
      </x:c>
      <x:c r="T481" s="9" t="str">
        <x:f>IF(C481="","",IFERROR(INDEX('Taxonomy Rules'!$F$42:$F$68,MATCH(E481,'Taxonomy Rules'!$C$42:$C$68,0)),""))</x:f>
      </x:c>
      <x:c r="U481" s="9" t="str">
        <x:f>IF(C481="","",IFERROR(INDEX('Taxonomy'!$G$9:$G$108,MATCH(D481,'Taxonomy'!$C$9:$C$108,0)),""))</x:f>
      </x:c>
    </x:row>
    <x:row r="482" ht="44" customHeight="1">
      <x:c r="A482" s="1"/>
      <x:c r="B482" s="1"/>
      <x:c r="C482" s="8"/>
      <x:c r="D482" s="8"/>
      <x:c r="E482" s="8"/>
      <x:c r="F482" s="8"/>
      <x:c r="G482" s="8"/>
      <x:c r="H482" s="8"/>
      <x:c r="I482" s="8"/>
      <x:c r="J482" s="8"/>
      <x:c r="K482" s="8"/>
      <x:c r="L482" s="8"/>
      <x:c r="M482" s="10"/>
      <x:c r="N482" s="10"/>
      <x:c r="O482" s="8"/>
      <x:c r="P482" s="9" t="str">
        <x:f>IF(C482="","",IF(AND(G482="Applicable",H482="Fail"),"Fail",IF(R482&lt;&gt;"Valid","Pending",IF(OR(I482="",K482="",L482="",K482=L482,NOT(ISNUMBER(M482)),NOT(ISNUMBER(N482)),M482&gt;Settings!$F$8,N482&lt;Settings!$F$8,N482&lt;M482),"Pending",IF(AND(G482="Applicable",H482="Pass"),"Pass",IF(AND(G482="N/A",H482="N/A",J482&lt;&gt;"",OR(E482="CEM-FUELS",E482="CEM-CCS",AND(E482="CEM-PLAN",IFERROR(INDEX('Taxonomy'!$M$9:$M$108,MATCH(D482,'Taxonomy'!$C$9:$C$108,0)),"")&lt;&gt;"Amber"),E482="BLD-TIMBER",AND(U482="Building equipment",OR(E482="BLD-WATER",E482="BLD-WASTE",E482="BLD-LAND")),AND(U482="Building renovation",E482="BLD-LAND"))),"N/A","Pending"))))))</x:f>
      </x:c>
      <x:c r="Q482" s="3" t="str">
        <x:f>IF(C482="","",IF(AND(R482="Valid",OR(P482="Pass",P482="N/A")),"Complete","Unresolved"))</x:f>
      </x:c>
      <x:c r="R482" s="9" t="str">
        <x:f>IF(C482="","",IF(OR(COUNTIF($C$9:$C$2008,C482)&lt;&gt;1,COUNTIFS($D$9:$D$2008,D482,$E$9:$E$2008,E482)&lt;&gt;1),"Duplicate test",IF(COUNTIF('Taxonomy'!$C$9:$C$108,D482)&lt;&gt;1,"Assessment key",IF(OR(COUNTIF('Taxonomy Rules'!$C$42:$C$68,E482)&lt;&gt;1,F482&lt;&gt;IFERROR(INDEX('Taxonomy Rules'!$D$42:$D$68,MATCH(E482,'Taxonomy Rules'!$C$42:$C$68,0)),""),NOT(OR(IFERROR(INDEX('Taxonomy Rules'!$G$42:$G$68,MATCH(E482,'Taxonomy Rules'!$C$42:$C$68,0)),"")="All supported routes",IFERROR(INDEX('Taxonomy Rules'!$G$42:$G$68,MATCH(E482,'Taxonomy Rules'!$C$42:$C$68,0)),"")=U482,AND(IFERROR(INDEX('Taxonomy Rules'!$G$42:$G$68,MATCH(E482,'Taxonomy Rules'!$C$42:$C$68,0)),"")="Building routes",OR(U482="Building renovation",U482="New building",U482="Building equipment"))))),"Unexpected test","Valid"))))</x:f>
      </x:c>
      <x:c r="S482" s="9" t="str">
        <x:f>IF(C482="","",IFERROR(INDEX('Taxonomy Rules'!$E$42:$E$68,MATCH(E482,'Taxonomy Rules'!$C$42:$C$68,0)),""))</x:f>
      </x:c>
      <x:c r="T482" s="9" t="str">
        <x:f>IF(C482="","",IFERROR(INDEX('Taxonomy Rules'!$F$42:$F$68,MATCH(E482,'Taxonomy Rules'!$C$42:$C$68,0)),""))</x:f>
      </x:c>
      <x:c r="U482" s="9" t="str">
        <x:f>IF(C482="","",IFERROR(INDEX('Taxonomy'!$G$9:$G$108,MATCH(D482,'Taxonomy'!$C$9:$C$108,0)),""))</x:f>
      </x:c>
    </x:row>
    <x:row r="483" ht="44" customHeight="1">
      <x:c r="A483" s="1"/>
      <x:c r="B483" s="1"/>
      <x:c r="C483" s="8"/>
      <x:c r="D483" s="8"/>
      <x:c r="E483" s="8"/>
      <x:c r="F483" s="8"/>
      <x:c r="G483" s="8"/>
      <x:c r="H483" s="8"/>
      <x:c r="I483" s="8"/>
      <x:c r="J483" s="8"/>
      <x:c r="K483" s="8"/>
      <x:c r="L483" s="8"/>
      <x:c r="M483" s="10"/>
      <x:c r="N483" s="10"/>
      <x:c r="O483" s="8"/>
      <x:c r="P483" s="9" t="str">
        <x:f>IF(C483="","",IF(AND(G483="Applicable",H483="Fail"),"Fail",IF(R483&lt;&gt;"Valid","Pending",IF(OR(I483="",K483="",L483="",K483=L483,NOT(ISNUMBER(M483)),NOT(ISNUMBER(N483)),M483&gt;Settings!$F$8,N483&lt;Settings!$F$8,N483&lt;M483),"Pending",IF(AND(G483="Applicable",H483="Pass"),"Pass",IF(AND(G483="N/A",H483="N/A",J483&lt;&gt;"",OR(E483="CEM-FUELS",E483="CEM-CCS",AND(E483="CEM-PLAN",IFERROR(INDEX('Taxonomy'!$M$9:$M$108,MATCH(D483,'Taxonomy'!$C$9:$C$108,0)),"")&lt;&gt;"Amber"),E483="BLD-TIMBER",AND(U483="Building equipment",OR(E483="BLD-WATER",E483="BLD-WASTE",E483="BLD-LAND")),AND(U483="Building renovation",E483="BLD-LAND"))),"N/A","Pending"))))))</x:f>
      </x:c>
      <x:c r="Q483" s="3" t="str">
        <x:f>IF(C483="","",IF(AND(R483="Valid",OR(P483="Pass",P483="N/A")),"Complete","Unresolved"))</x:f>
      </x:c>
      <x:c r="R483" s="9" t="str">
        <x:f>IF(C483="","",IF(OR(COUNTIF($C$9:$C$2008,C483)&lt;&gt;1,COUNTIFS($D$9:$D$2008,D483,$E$9:$E$2008,E483)&lt;&gt;1),"Duplicate test",IF(COUNTIF('Taxonomy'!$C$9:$C$108,D483)&lt;&gt;1,"Assessment key",IF(OR(COUNTIF('Taxonomy Rules'!$C$42:$C$68,E483)&lt;&gt;1,F483&lt;&gt;IFERROR(INDEX('Taxonomy Rules'!$D$42:$D$68,MATCH(E483,'Taxonomy Rules'!$C$42:$C$68,0)),""),NOT(OR(IFERROR(INDEX('Taxonomy Rules'!$G$42:$G$68,MATCH(E483,'Taxonomy Rules'!$C$42:$C$68,0)),"")="All supported routes",IFERROR(INDEX('Taxonomy Rules'!$G$42:$G$68,MATCH(E483,'Taxonomy Rules'!$C$42:$C$68,0)),"")=U483,AND(IFERROR(INDEX('Taxonomy Rules'!$G$42:$G$68,MATCH(E483,'Taxonomy Rules'!$C$42:$C$68,0)),"")="Building routes",OR(U483="Building renovation",U483="New building",U483="Building equipment"))))),"Unexpected test","Valid"))))</x:f>
      </x:c>
      <x:c r="S483" s="9" t="str">
        <x:f>IF(C483="","",IFERROR(INDEX('Taxonomy Rules'!$E$42:$E$68,MATCH(E483,'Taxonomy Rules'!$C$42:$C$68,0)),""))</x:f>
      </x:c>
      <x:c r="T483" s="9" t="str">
        <x:f>IF(C483="","",IFERROR(INDEX('Taxonomy Rules'!$F$42:$F$68,MATCH(E483,'Taxonomy Rules'!$C$42:$C$68,0)),""))</x:f>
      </x:c>
      <x:c r="U483" s="9" t="str">
        <x:f>IF(C483="","",IFERROR(INDEX('Taxonomy'!$G$9:$G$108,MATCH(D483,'Taxonomy'!$C$9:$C$108,0)),""))</x:f>
      </x:c>
    </x:row>
    <x:row r="484" ht="44" customHeight="1">
      <x:c r="A484" s="1"/>
      <x:c r="B484" s="1"/>
      <x:c r="C484" s="8"/>
      <x:c r="D484" s="8"/>
      <x:c r="E484" s="8"/>
      <x:c r="F484" s="8"/>
      <x:c r="G484" s="8"/>
      <x:c r="H484" s="8"/>
      <x:c r="I484" s="8"/>
      <x:c r="J484" s="8"/>
      <x:c r="K484" s="8"/>
      <x:c r="L484" s="8"/>
      <x:c r="M484" s="10"/>
      <x:c r="N484" s="10"/>
      <x:c r="O484" s="8"/>
      <x:c r="P484" s="9" t="str">
        <x:f>IF(C484="","",IF(AND(G484="Applicable",H484="Fail"),"Fail",IF(R484&lt;&gt;"Valid","Pending",IF(OR(I484="",K484="",L484="",K484=L484,NOT(ISNUMBER(M484)),NOT(ISNUMBER(N484)),M484&gt;Settings!$F$8,N484&lt;Settings!$F$8,N484&lt;M484),"Pending",IF(AND(G484="Applicable",H484="Pass"),"Pass",IF(AND(G484="N/A",H484="N/A",J484&lt;&gt;"",OR(E484="CEM-FUELS",E484="CEM-CCS",AND(E484="CEM-PLAN",IFERROR(INDEX('Taxonomy'!$M$9:$M$108,MATCH(D484,'Taxonomy'!$C$9:$C$108,0)),"")&lt;&gt;"Amber"),E484="BLD-TIMBER",AND(U484="Building equipment",OR(E484="BLD-WATER",E484="BLD-WASTE",E484="BLD-LAND")),AND(U484="Building renovation",E484="BLD-LAND"))),"N/A","Pending"))))))</x:f>
      </x:c>
      <x:c r="Q484" s="3" t="str">
        <x:f>IF(C484="","",IF(AND(R484="Valid",OR(P484="Pass",P484="N/A")),"Complete","Unresolved"))</x:f>
      </x:c>
      <x:c r="R484" s="9" t="str">
        <x:f>IF(C484="","",IF(OR(COUNTIF($C$9:$C$2008,C484)&lt;&gt;1,COUNTIFS($D$9:$D$2008,D484,$E$9:$E$2008,E484)&lt;&gt;1),"Duplicate test",IF(COUNTIF('Taxonomy'!$C$9:$C$108,D484)&lt;&gt;1,"Assessment key",IF(OR(COUNTIF('Taxonomy Rules'!$C$42:$C$68,E484)&lt;&gt;1,F484&lt;&gt;IFERROR(INDEX('Taxonomy Rules'!$D$42:$D$68,MATCH(E484,'Taxonomy Rules'!$C$42:$C$68,0)),""),NOT(OR(IFERROR(INDEX('Taxonomy Rules'!$G$42:$G$68,MATCH(E484,'Taxonomy Rules'!$C$42:$C$68,0)),"")="All supported routes",IFERROR(INDEX('Taxonomy Rules'!$G$42:$G$68,MATCH(E484,'Taxonomy Rules'!$C$42:$C$68,0)),"")=U484,AND(IFERROR(INDEX('Taxonomy Rules'!$G$42:$G$68,MATCH(E484,'Taxonomy Rules'!$C$42:$C$68,0)),"")="Building routes",OR(U484="Building renovation",U484="New building",U484="Building equipment"))))),"Unexpected test","Valid"))))</x:f>
      </x:c>
      <x:c r="S484" s="9" t="str">
        <x:f>IF(C484="","",IFERROR(INDEX('Taxonomy Rules'!$E$42:$E$68,MATCH(E484,'Taxonomy Rules'!$C$42:$C$68,0)),""))</x:f>
      </x:c>
      <x:c r="T484" s="9" t="str">
        <x:f>IF(C484="","",IFERROR(INDEX('Taxonomy Rules'!$F$42:$F$68,MATCH(E484,'Taxonomy Rules'!$C$42:$C$68,0)),""))</x:f>
      </x:c>
      <x:c r="U484" s="9" t="str">
        <x:f>IF(C484="","",IFERROR(INDEX('Taxonomy'!$G$9:$G$108,MATCH(D484,'Taxonomy'!$C$9:$C$108,0)),""))</x:f>
      </x:c>
    </x:row>
    <x:row r="485" ht="44" customHeight="1">
      <x:c r="A485" s="1"/>
      <x:c r="B485" s="1"/>
      <x:c r="C485" s="8"/>
      <x:c r="D485" s="8"/>
      <x:c r="E485" s="8"/>
      <x:c r="F485" s="8"/>
      <x:c r="G485" s="8"/>
      <x:c r="H485" s="8"/>
      <x:c r="I485" s="8"/>
      <x:c r="J485" s="8"/>
      <x:c r="K485" s="8"/>
      <x:c r="L485" s="8"/>
      <x:c r="M485" s="10"/>
      <x:c r="N485" s="10"/>
      <x:c r="O485" s="8"/>
      <x:c r="P485" s="9" t="str">
        <x:f>IF(C485="","",IF(AND(G485="Applicable",H485="Fail"),"Fail",IF(R485&lt;&gt;"Valid","Pending",IF(OR(I485="",K485="",L485="",K485=L485,NOT(ISNUMBER(M485)),NOT(ISNUMBER(N485)),M485&gt;Settings!$F$8,N485&lt;Settings!$F$8,N485&lt;M485),"Pending",IF(AND(G485="Applicable",H485="Pass"),"Pass",IF(AND(G485="N/A",H485="N/A",J485&lt;&gt;"",OR(E485="CEM-FUELS",E485="CEM-CCS",AND(E485="CEM-PLAN",IFERROR(INDEX('Taxonomy'!$M$9:$M$108,MATCH(D485,'Taxonomy'!$C$9:$C$108,0)),"")&lt;&gt;"Amber"),E485="BLD-TIMBER",AND(U485="Building equipment",OR(E485="BLD-WATER",E485="BLD-WASTE",E485="BLD-LAND")),AND(U485="Building renovation",E485="BLD-LAND"))),"N/A","Pending"))))))</x:f>
      </x:c>
      <x:c r="Q485" s="3" t="str">
        <x:f>IF(C485="","",IF(AND(R485="Valid",OR(P485="Pass",P485="N/A")),"Complete","Unresolved"))</x:f>
      </x:c>
      <x:c r="R485" s="9" t="str">
        <x:f>IF(C485="","",IF(OR(COUNTIF($C$9:$C$2008,C485)&lt;&gt;1,COUNTIFS($D$9:$D$2008,D485,$E$9:$E$2008,E485)&lt;&gt;1),"Duplicate test",IF(COUNTIF('Taxonomy'!$C$9:$C$108,D485)&lt;&gt;1,"Assessment key",IF(OR(COUNTIF('Taxonomy Rules'!$C$42:$C$68,E485)&lt;&gt;1,F485&lt;&gt;IFERROR(INDEX('Taxonomy Rules'!$D$42:$D$68,MATCH(E485,'Taxonomy Rules'!$C$42:$C$68,0)),""),NOT(OR(IFERROR(INDEX('Taxonomy Rules'!$G$42:$G$68,MATCH(E485,'Taxonomy Rules'!$C$42:$C$68,0)),"")="All supported routes",IFERROR(INDEX('Taxonomy Rules'!$G$42:$G$68,MATCH(E485,'Taxonomy Rules'!$C$42:$C$68,0)),"")=U485,AND(IFERROR(INDEX('Taxonomy Rules'!$G$42:$G$68,MATCH(E485,'Taxonomy Rules'!$C$42:$C$68,0)),"")="Building routes",OR(U485="Building renovation",U485="New building",U485="Building equipment"))))),"Unexpected test","Valid"))))</x:f>
      </x:c>
      <x:c r="S485" s="9" t="str">
        <x:f>IF(C485="","",IFERROR(INDEX('Taxonomy Rules'!$E$42:$E$68,MATCH(E485,'Taxonomy Rules'!$C$42:$C$68,0)),""))</x:f>
      </x:c>
      <x:c r="T485" s="9" t="str">
        <x:f>IF(C485="","",IFERROR(INDEX('Taxonomy Rules'!$F$42:$F$68,MATCH(E485,'Taxonomy Rules'!$C$42:$C$68,0)),""))</x:f>
      </x:c>
      <x:c r="U485" s="9" t="str">
        <x:f>IF(C485="","",IFERROR(INDEX('Taxonomy'!$G$9:$G$108,MATCH(D485,'Taxonomy'!$C$9:$C$108,0)),""))</x:f>
      </x:c>
    </x:row>
    <x:row r="486" ht="44" customHeight="1">
      <x:c r="A486" s="1"/>
      <x:c r="B486" s="1"/>
      <x:c r="C486" s="8"/>
      <x:c r="D486" s="8"/>
      <x:c r="E486" s="8"/>
      <x:c r="F486" s="8"/>
      <x:c r="G486" s="8"/>
      <x:c r="H486" s="8"/>
      <x:c r="I486" s="8"/>
      <x:c r="J486" s="8"/>
      <x:c r="K486" s="8"/>
      <x:c r="L486" s="8"/>
      <x:c r="M486" s="10"/>
      <x:c r="N486" s="10"/>
      <x:c r="O486" s="8"/>
      <x:c r="P486" s="9" t="str">
        <x:f>IF(C486="","",IF(AND(G486="Applicable",H486="Fail"),"Fail",IF(R486&lt;&gt;"Valid","Pending",IF(OR(I486="",K486="",L486="",K486=L486,NOT(ISNUMBER(M486)),NOT(ISNUMBER(N486)),M486&gt;Settings!$F$8,N486&lt;Settings!$F$8,N486&lt;M486),"Pending",IF(AND(G486="Applicable",H486="Pass"),"Pass",IF(AND(G486="N/A",H486="N/A",J486&lt;&gt;"",OR(E486="CEM-FUELS",E486="CEM-CCS",AND(E486="CEM-PLAN",IFERROR(INDEX('Taxonomy'!$M$9:$M$108,MATCH(D486,'Taxonomy'!$C$9:$C$108,0)),"")&lt;&gt;"Amber"),E486="BLD-TIMBER",AND(U486="Building equipment",OR(E486="BLD-WATER",E486="BLD-WASTE",E486="BLD-LAND")),AND(U486="Building renovation",E486="BLD-LAND"))),"N/A","Pending"))))))</x:f>
      </x:c>
      <x:c r="Q486" s="3" t="str">
        <x:f>IF(C486="","",IF(AND(R486="Valid",OR(P486="Pass",P486="N/A")),"Complete","Unresolved"))</x:f>
      </x:c>
      <x:c r="R486" s="9" t="str">
        <x:f>IF(C486="","",IF(OR(COUNTIF($C$9:$C$2008,C486)&lt;&gt;1,COUNTIFS($D$9:$D$2008,D486,$E$9:$E$2008,E486)&lt;&gt;1),"Duplicate test",IF(COUNTIF('Taxonomy'!$C$9:$C$108,D486)&lt;&gt;1,"Assessment key",IF(OR(COUNTIF('Taxonomy Rules'!$C$42:$C$68,E486)&lt;&gt;1,F486&lt;&gt;IFERROR(INDEX('Taxonomy Rules'!$D$42:$D$68,MATCH(E486,'Taxonomy Rules'!$C$42:$C$68,0)),""),NOT(OR(IFERROR(INDEX('Taxonomy Rules'!$G$42:$G$68,MATCH(E486,'Taxonomy Rules'!$C$42:$C$68,0)),"")="All supported routes",IFERROR(INDEX('Taxonomy Rules'!$G$42:$G$68,MATCH(E486,'Taxonomy Rules'!$C$42:$C$68,0)),"")=U486,AND(IFERROR(INDEX('Taxonomy Rules'!$G$42:$G$68,MATCH(E486,'Taxonomy Rules'!$C$42:$C$68,0)),"")="Building routes",OR(U486="Building renovation",U486="New building",U486="Building equipment"))))),"Unexpected test","Valid"))))</x:f>
      </x:c>
      <x:c r="S486" s="9" t="str">
        <x:f>IF(C486="","",IFERROR(INDEX('Taxonomy Rules'!$E$42:$E$68,MATCH(E486,'Taxonomy Rules'!$C$42:$C$68,0)),""))</x:f>
      </x:c>
      <x:c r="T486" s="9" t="str">
        <x:f>IF(C486="","",IFERROR(INDEX('Taxonomy Rules'!$F$42:$F$68,MATCH(E486,'Taxonomy Rules'!$C$42:$C$68,0)),""))</x:f>
      </x:c>
      <x:c r="U486" s="9" t="str">
        <x:f>IF(C486="","",IFERROR(INDEX('Taxonomy'!$G$9:$G$108,MATCH(D486,'Taxonomy'!$C$9:$C$108,0)),""))</x:f>
      </x:c>
    </x:row>
    <x:row r="487" ht="44" customHeight="1">
      <x:c r="A487" s="1"/>
      <x:c r="B487" s="1"/>
      <x:c r="C487" s="8"/>
      <x:c r="D487" s="8"/>
      <x:c r="E487" s="8"/>
      <x:c r="F487" s="8"/>
      <x:c r="G487" s="8"/>
      <x:c r="H487" s="8"/>
      <x:c r="I487" s="8"/>
      <x:c r="J487" s="8"/>
      <x:c r="K487" s="8"/>
      <x:c r="L487" s="8"/>
      <x:c r="M487" s="10"/>
      <x:c r="N487" s="10"/>
      <x:c r="O487" s="8"/>
      <x:c r="P487" s="9" t="str">
        <x:f>IF(C487="","",IF(AND(G487="Applicable",H487="Fail"),"Fail",IF(R487&lt;&gt;"Valid","Pending",IF(OR(I487="",K487="",L487="",K487=L487,NOT(ISNUMBER(M487)),NOT(ISNUMBER(N487)),M487&gt;Settings!$F$8,N487&lt;Settings!$F$8,N487&lt;M487),"Pending",IF(AND(G487="Applicable",H487="Pass"),"Pass",IF(AND(G487="N/A",H487="N/A",J487&lt;&gt;"",OR(E487="CEM-FUELS",E487="CEM-CCS",AND(E487="CEM-PLAN",IFERROR(INDEX('Taxonomy'!$M$9:$M$108,MATCH(D487,'Taxonomy'!$C$9:$C$108,0)),"")&lt;&gt;"Amber"),E487="BLD-TIMBER",AND(U487="Building equipment",OR(E487="BLD-WATER",E487="BLD-WASTE",E487="BLD-LAND")),AND(U487="Building renovation",E487="BLD-LAND"))),"N/A","Pending"))))))</x:f>
      </x:c>
      <x:c r="Q487" s="3" t="str">
        <x:f>IF(C487="","",IF(AND(R487="Valid",OR(P487="Pass",P487="N/A")),"Complete","Unresolved"))</x:f>
      </x:c>
      <x:c r="R487" s="9" t="str">
        <x:f>IF(C487="","",IF(OR(COUNTIF($C$9:$C$2008,C487)&lt;&gt;1,COUNTIFS($D$9:$D$2008,D487,$E$9:$E$2008,E487)&lt;&gt;1),"Duplicate test",IF(COUNTIF('Taxonomy'!$C$9:$C$108,D487)&lt;&gt;1,"Assessment key",IF(OR(COUNTIF('Taxonomy Rules'!$C$42:$C$68,E487)&lt;&gt;1,F487&lt;&gt;IFERROR(INDEX('Taxonomy Rules'!$D$42:$D$68,MATCH(E487,'Taxonomy Rules'!$C$42:$C$68,0)),""),NOT(OR(IFERROR(INDEX('Taxonomy Rules'!$G$42:$G$68,MATCH(E487,'Taxonomy Rules'!$C$42:$C$68,0)),"")="All supported routes",IFERROR(INDEX('Taxonomy Rules'!$G$42:$G$68,MATCH(E487,'Taxonomy Rules'!$C$42:$C$68,0)),"")=U487,AND(IFERROR(INDEX('Taxonomy Rules'!$G$42:$G$68,MATCH(E487,'Taxonomy Rules'!$C$42:$C$68,0)),"")="Building routes",OR(U487="Building renovation",U487="New building",U487="Building equipment"))))),"Unexpected test","Valid"))))</x:f>
      </x:c>
      <x:c r="S487" s="9" t="str">
        <x:f>IF(C487="","",IFERROR(INDEX('Taxonomy Rules'!$E$42:$E$68,MATCH(E487,'Taxonomy Rules'!$C$42:$C$68,0)),""))</x:f>
      </x:c>
      <x:c r="T487" s="9" t="str">
        <x:f>IF(C487="","",IFERROR(INDEX('Taxonomy Rules'!$F$42:$F$68,MATCH(E487,'Taxonomy Rules'!$C$42:$C$68,0)),""))</x:f>
      </x:c>
      <x:c r="U487" s="9" t="str">
        <x:f>IF(C487="","",IFERROR(INDEX('Taxonomy'!$G$9:$G$108,MATCH(D487,'Taxonomy'!$C$9:$C$108,0)),""))</x:f>
      </x:c>
    </x:row>
    <x:row r="488" ht="44" customHeight="1">
      <x:c r="A488" s="1"/>
      <x:c r="B488" s="1"/>
      <x:c r="C488" s="8"/>
      <x:c r="D488" s="8"/>
      <x:c r="E488" s="8"/>
      <x:c r="F488" s="8"/>
      <x:c r="G488" s="8"/>
      <x:c r="H488" s="8"/>
      <x:c r="I488" s="8"/>
      <x:c r="J488" s="8"/>
      <x:c r="K488" s="8"/>
      <x:c r="L488" s="8"/>
      <x:c r="M488" s="10"/>
      <x:c r="N488" s="10"/>
      <x:c r="O488" s="8"/>
      <x:c r="P488" s="9" t="str">
        <x:f>IF(C488="","",IF(AND(G488="Applicable",H488="Fail"),"Fail",IF(R488&lt;&gt;"Valid","Pending",IF(OR(I488="",K488="",L488="",K488=L488,NOT(ISNUMBER(M488)),NOT(ISNUMBER(N488)),M488&gt;Settings!$F$8,N488&lt;Settings!$F$8,N488&lt;M488),"Pending",IF(AND(G488="Applicable",H488="Pass"),"Pass",IF(AND(G488="N/A",H488="N/A",J488&lt;&gt;"",OR(E488="CEM-FUELS",E488="CEM-CCS",AND(E488="CEM-PLAN",IFERROR(INDEX('Taxonomy'!$M$9:$M$108,MATCH(D488,'Taxonomy'!$C$9:$C$108,0)),"")&lt;&gt;"Amber"),E488="BLD-TIMBER",AND(U488="Building equipment",OR(E488="BLD-WATER",E488="BLD-WASTE",E488="BLD-LAND")),AND(U488="Building renovation",E488="BLD-LAND"))),"N/A","Pending"))))))</x:f>
      </x:c>
      <x:c r="Q488" s="3" t="str">
        <x:f>IF(C488="","",IF(AND(R488="Valid",OR(P488="Pass",P488="N/A")),"Complete","Unresolved"))</x:f>
      </x:c>
      <x:c r="R488" s="9" t="str">
        <x:f>IF(C488="","",IF(OR(COUNTIF($C$9:$C$2008,C488)&lt;&gt;1,COUNTIFS($D$9:$D$2008,D488,$E$9:$E$2008,E488)&lt;&gt;1),"Duplicate test",IF(COUNTIF('Taxonomy'!$C$9:$C$108,D488)&lt;&gt;1,"Assessment key",IF(OR(COUNTIF('Taxonomy Rules'!$C$42:$C$68,E488)&lt;&gt;1,F488&lt;&gt;IFERROR(INDEX('Taxonomy Rules'!$D$42:$D$68,MATCH(E488,'Taxonomy Rules'!$C$42:$C$68,0)),""),NOT(OR(IFERROR(INDEX('Taxonomy Rules'!$G$42:$G$68,MATCH(E488,'Taxonomy Rules'!$C$42:$C$68,0)),"")="All supported routes",IFERROR(INDEX('Taxonomy Rules'!$G$42:$G$68,MATCH(E488,'Taxonomy Rules'!$C$42:$C$68,0)),"")=U488,AND(IFERROR(INDEX('Taxonomy Rules'!$G$42:$G$68,MATCH(E488,'Taxonomy Rules'!$C$42:$C$68,0)),"")="Building routes",OR(U488="Building renovation",U488="New building",U488="Building equipment"))))),"Unexpected test","Valid"))))</x:f>
      </x:c>
      <x:c r="S488" s="9" t="str">
        <x:f>IF(C488="","",IFERROR(INDEX('Taxonomy Rules'!$E$42:$E$68,MATCH(E488,'Taxonomy Rules'!$C$42:$C$68,0)),""))</x:f>
      </x:c>
      <x:c r="T488" s="9" t="str">
        <x:f>IF(C488="","",IFERROR(INDEX('Taxonomy Rules'!$F$42:$F$68,MATCH(E488,'Taxonomy Rules'!$C$42:$C$68,0)),""))</x:f>
      </x:c>
      <x:c r="U488" s="9" t="str">
        <x:f>IF(C488="","",IFERROR(INDEX('Taxonomy'!$G$9:$G$108,MATCH(D488,'Taxonomy'!$C$9:$C$108,0)),""))</x:f>
      </x:c>
    </x:row>
    <x:row r="489" ht="44" customHeight="1">
      <x:c r="A489" s="1"/>
      <x:c r="B489" s="1"/>
      <x:c r="C489" s="8"/>
      <x:c r="D489" s="8"/>
      <x:c r="E489" s="8"/>
      <x:c r="F489" s="8"/>
      <x:c r="G489" s="8"/>
      <x:c r="H489" s="8"/>
      <x:c r="I489" s="8"/>
      <x:c r="J489" s="8"/>
      <x:c r="K489" s="8"/>
      <x:c r="L489" s="8"/>
      <x:c r="M489" s="10"/>
      <x:c r="N489" s="10"/>
      <x:c r="O489" s="8"/>
      <x:c r="P489" s="9" t="str">
        <x:f>IF(C489="","",IF(AND(G489="Applicable",H489="Fail"),"Fail",IF(R489&lt;&gt;"Valid","Pending",IF(OR(I489="",K489="",L489="",K489=L489,NOT(ISNUMBER(M489)),NOT(ISNUMBER(N489)),M489&gt;Settings!$F$8,N489&lt;Settings!$F$8,N489&lt;M489),"Pending",IF(AND(G489="Applicable",H489="Pass"),"Pass",IF(AND(G489="N/A",H489="N/A",J489&lt;&gt;"",OR(E489="CEM-FUELS",E489="CEM-CCS",AND(E489="CEM-PLAN",IFERROR(INDEX('Taxonomy'!$M$9:$M$108,MATCH(D489,'Taxonomy'!$C$9:$C$108,0)),"")&lt;&gt;"Amber"),E489="BLD-TIMBER",AND(U489="Building equipment",OR(E489="BLD-WATER",E489="BLD-WASTE",E489="BLD-LAND")),AND(U489="Building renovation",E489="BLD-LAND"))),"N/A","Pending"))))))</x:f>
      </x:c>
      <x:c r="Q489" s="3" t="str">
        <x:f>IF(C489="","",IF(AND(R489="Valid",OR(P489="Pass",P489="N/A")),"Complete","Unresolved"))</x:f>
      </x:c>
      <x:c r="R489" s="9" t="str">
        <x:f>IF(C489="","",IF(OR(COUNTIF($C$9:$C$2008,C489)&lt;&gt;1,COUNTIFS($D$9:$D$2008,D489,$E$9:$E$2008,E489)&lt;&gt;1),"Duplicate test",IF(COUNTIF('Taxonomy'!$C$9:$C$108,D489)&lt;&gt;1,"Assessment key",IF(OR(COUNTIF('Taxonomy Rules'!$C$42:$C$68,E489)&lt;&gt;1,F489&lt;&gt;IFERROR(INDEX('Taxonomy Rules'!$D$42:$D$68,MATCH(E489,'Taxonomy Rules'!$C$42:$C$68,0)),""),NOT(OR(IFERROR(INDEX('Taxonomy Rules'!$G$42:$G$68,MATCH(E489,'Taxonomy Rules'!$C$42:$C$68,0)),"")="All supported routes",IFERROR(INDEX('Taxonomy Rules'!$G$42:$G$68,MATCH(E489,'Taxonomy Rules'!$C$42:$C$68,0)),"")=U489,AND(IFERROR(INDEX('Taxonomy Rules'!$G$42:$G$68,MATCH(E489,'Taxonomy Rules'!$C$42:$C$68,0)),"")="Building routes",OR(U489="Building renovation",U489="New building",U489="Building equipment"))))),"Unexpected test","Valid"))))</x:f>
      </x:c>
      <x:c r="S489" s="9" t="str">
        <x:f>IF(C489="","",IFERROR(INDEX('Taxonomy Rules'!$E$42:$E$68,MATCH(E489,'Taxonomy Rules'!$C$42:$C$68,0)),""))</x:f>
      </x:c>
      <x:c r="T489" s="9" t="str">
        <x:f>IF(C489="","",IFERROR(INDEX('Taxonomy Rules'!$F$42:$F$68,MATCH(E489,'Taxonomy Rules'!$C$42:$C$68,0)),""))</x:f>
      </x:c>
      <x:c r="U489" s="9" t="str">
        <x:f>IF(C489="","",IFERROR(INDEX('Taxonomy'!$G$9:$G$108,MATCH(D489,'Taxonomy'!$C$9:$C$108,0)),""))</x:f>
      </x:c>
    </x:row>
    <x:row r="490" ht="44" customHeight="1">
      <x:c r="A490" s="1"/>
      <x:c r="B490" s="1"/>
      <x:c r="C490" s="8"/>
      <x:c r="D490" s="8"/>
      <x:c r="E490" s="8"/>
      <x:c r="F490" s="8"/>
      <x:c r="G490" s="8"/>
      <x:c r="H490" s="8"/>
      <x:c r="I490" s="8"/>
      <x:c r="J490" s="8"/>
      <x:c r="K490" s="8"/>
      <x:c r="L490" s="8"/>
      <x:c r="M490" s="10"/>
      <x:c r="N490" s="10"/>
      <x:c r="O490" s="8"/>
      <x:c r="P490" s="9" t="str">
        <x:f>IF(C490="","",IF(AND(G490="Applicable",H490="Fail"),"Fail",IF(R490&lt;&gt;"Valid","Pending",IF(OR(I490="",K490="",L490="",K490=L490,NOT(ISNUMBER(M490)),NOT(ISNUMBER(N490)),M490&gt;Settings!$F$8,N490&lt;Settings!$F$8,N490&lt;M490),"Pending",IF(AND(G490="Applicable",H490="Pass"),"Pass",IF(AND(G490="N/A",H490="N/A",J490&lt;&gt;"",OR(E490="CEM-FUELS",E490="CEM-CCS",AND(E490="CEM-PLAN",IFERROR(INDEX('Taxonomy'!$M$9:$M$108,MATCH(D490,'Taxonomy'!$C$9:$C$108,0)),"")&lt;&gt;"Amber"),E490="BLD-TIMBER",AND(U490="Building equipment",OR(E490="BLD-WATER",E490="BLD-WASTE",E490="BLD-LAND")),AND(U490="Building renovation",E490="BLD-LAND"))),"N/A","Pending"))))))</x:f>
      </x:c>
      <x:c r="Q490" s="3" t="str">
        <x:f>IF(C490="","",IF(AND(R490="Valid",OR(P490="Pass",P490="N/A")),"Complete","Unresolved"))</x:f>
      </x:c>
      <x:c r="R490" s="9" t="str">
        <x:f>IF(C490="","",IF(OR(COUNTIF($C$9:$C$2008,C490)&lt;&gt;1,COUNTIFS($D$9:$D$2008,D490,$E$9:$E$2008,E490)&lt;&gt;1),"Duplicate test",IF(COUNTIF('Taxonomy'!$C$9:$C$108,D490)&lt;&gt;1,"Assessment key",IF(OR(COUNTIF('Taxonomy Rules'!$C$42:$C$68,E490)&lt;&gt;1,F490&lt;&gt;IFERROR(INDEX('Taxonomy Rules'!$D$42:$D$68,MATCH(E490,'Taxonomy Rules'!$C$42:$C$68,0)),""),NOT(OR(IFERROR(INDEX('Taxonomy Rules'!$G$42:$G$68,MATCH(E490,'Taxonomy Rules'!$C$42:$C$68,0)),"")="All supported routes",IFERROR(INDEX('Taxonomy Rules'!$G$42:$G$68,MATCH(E490,'Taxonomy Rules'!$C$42:$C$68,0)),"")=U490,AND(IFERROR(INDEX('Taxonomy Rules'!$G$42:$G$68,MATCH(E490,'Taxonomy Rules'!$C$42:$C$68,0)),"")="Building routes",OR(U490="Building renovation",U490="New building",U490="Building equipment"))))),"Unexpected test","Valid"))))</x:f>
      </x:c>
      <x:c r="S490" s="9" t="str">
        <x:f>IF(C490="","",IFERROR(INDEX('Taxonomy Rules'!$E$42:$E$68,MATCH(E490,'Taxonomy Rules'!$C$42:$C$68,0)),""))</x:f>
      </x:c>
      <x:c r="T490" s="9" t="str">
        <x:f>IF(C490="","",IFERROR(INDEX('Taxonomy Rules'!$F$42:$F$68,MATCH(E490,'Taxonomy Rules'!$C$42:$C$68,0)),""))</x:f>
      </x:c>
      <x:c r="U490" s="9" t="str">
        <x:f>IF(C490="","",IFERROR(INDEX('Taxonomy'!$G$9:$G$108,MATCH(D490,'Taxonomy'!$C$9:$C$108,0)),""))</x:f>
      </x:c>
    </x:row>
    <x:row r="491" ht="44" customHeight="1">
      <x:c r="A491" s="1"/>
      <x:c r="B491" s="1"/>
      <x:c r="C491" s="8"/>
      <x:c r="D491" s="8"/>
      <x:c r="E491" s="8"/>
      <x:c r="F491" s="8"/>
      <x:c r="G491" s="8"/>
      <x:c r="H491" s="8"/>
      <x:c r="I491" s="8"/>
      <x:c r="J491" s="8"/>
      <x:c r="K491" s="8"/>
      <x:c r="L491" s="8"/>
      <x:c r="M491" s="10"/>
      <x:c r="N491" s="10"/>
      <x:c r="O491" s="8"/>
      <x:c r="P491" s="9" t="str">
        <x:f>IF(C491="","",IF(AND(G491="Applicable",H491="Fail"),"Fail",IF(R491&lt;&gt;"Valid","Pending",IF(OR(I491="",K491="",L491="",K491=L491,NOT(ISNUMBER(M491)),NOT(ISNUMBER(N491)),M491&gt;Settings!$F$8,N491&lt;Settings!$F$8,N491&lt;M491),"Pending",IF(AND(G491="Applicable",H491="Pass"),"Pass",IF(AND(G491="N/A",H491="N/A",J491&lt;&gt;"",OR(E491="CEM-FUELS",E491="CEM-CCS",AND(E491="CEM-PLAN",IFERROR(INDEX('Taxonomy'!$M$9:$M$108,MATCH(D491,'Taxonomy'!$C$9:$C$108,0)),"")&lt;&gt;"Amber"),E491="BLD-TIMBER",AND(U491="Building equipment",OR(E491="BLD-WATER",E491="BLD-WASTE",E491="BLD-LAND")),AND(U491="Building renovation",E491="BLD-LAND"))),"N/A","Pending"))))))</x:f>
      </x:c>
      <x:c r="Q491" s="3" t="str">
        <x:f>IF(C491="","",IF(AND(R491="Valid",OR(P491="Pass",P491="N/A")),"Complete","Unresolved"))</x:f>
      </x:c>
      <x:c r="R491" s="9" t="str">
        <x:f>IF(C491="","",IF(OR(COUNTIF($C$9:$C$2008,C491)&lt;&gt;1,COUNTIFS($D$9:$D$2008,D491,$E$9:$E$2008,E491)&lt;&gt;1),"Duplicate test",IF(COUNTIF('Taxonomy'!$C$9:$C$108,D491)&lt;&gt;1,"Assessment key",IF(OR(COUNTIF('Taxonomy Rules'!$C$42:$C$68,E491)&lt;&gt;1,F491&lt;&gt;IFERROR(INDEX('Taxonomy Rules'!$D$42:$D$68,MATCH(E491,'Taxonomy Rules'!$C$42:$C$68,0)),""),NOT(OR(IFERROR(INDEX('Taxonomy Rules'!$G$42:$G$68,MATCH(E491,'Taxonomy Rules'!$C$42:$C$68,0)),"")="All supported routes",IFERROR(INDEX('Taxonomy Rules'!$G$42:$G$68,MATCH(E491,'Taxonomy Rules'!$C$42:$C$68,0)),"")=U491,AND(IFERROR(INDEX('Taxonomy Rules'!$G$42:$G$68,MATCH(E491,'Taxonomy Rules'!$C$42:$C$68,0)),"")="Building routes",OR(U491="Building renovation",U491="New building",U491="Building equipment"))))),"Unexpected test","Valid"))))</x:f>
      </x:c>
      <x:c r="S491" s="9" t="str">
        <x:f>IF(C491="","",IFERROR(INDEX('Taxonomy Rules'!$E$42:$E$68,MATCH(E491,'Taxonomy Rules'!$C$42:$C$68,0)),""))</x:f>
      </x:c>
      <x:c r="T491" s="9" t="str">
        <x:f>IF(C491="","",IFERROR(INDEX('Taxonomy Rules'!$F$42:$F$68,MATCH(E491,'Taxonomy Rules'!$C$42:$C$68,0)),""))</x:f>
      </x:c>
      <x:c r="U491" s="9" t="str">
        <x:f>IF(C491="","",IFERROR(INDEX('Taxonomy'!$G$9:$G$108,MATCH(D491,'Taxonomy'!$C$9:$C$108,0)),""))</x:f>
      </x:c>
    </x:row>
    <x:row r="492" ht="44" customHeight="1">
      <x:c r="A492" s="1"/>
      <x:c r="B492" s="1"/>
      <x:c r="C492" s="8"/>
      <x:c r="D492" s="8"/>
      <x:c r="E492" s="8"/>
      <x:c r="F492" s="8"/>
      <x:c r="G492" s="8"/>
      <x:c r="H492" s="8"/>
      <x:c r="I492" s="8"/>
      <x:c r="J492" s="8"/>
      <x:c r="K492" s="8"/>
      <x:c r="L492" s="8"/>
      <x:c r="M492" s="10"/>
      <x:c r="N492" s="10"/>
      <x:c r="O492" s="8"/>
      <x:c r="P492" s="9" t="str">
        <x:f>IF(C492="","",IF(AND(G492="Applicable",H492="Fail"),"Fail",IF(R492&lt;&gt;"Valid","Pending",IF(OR(I492="",K492="",L492="",K492=L492,NOT(ISNUMBER(M492)),NOT(ISNUMBER(N492)),M492&gt;Settings!$F$8,N492&lt;Settings!$F$8,N492&lt;M492),"Pending",IF(AND(G492="Applicable",H492="Pass"),"Pass",IF(AND(G492="N/A",H492="N/A",J492&lt;&gt;"",OR(E492="CEM-FUELS",E492="CEM-CCS",AND(E492="CEM-PLAN",IFERROR(INDEX('Taxonomy'!$M$9:$M$108,MATCH(D492,'Taxonomy'!$C$9:$C$108,0)),"")&lt;&gt;"Amber"),E492="BLD-TIMBER",AND(U492="Building equipment",OR(E492="BLD-WATER",E492="BLD-WASTE",E492="BLD-LAND")),AND(U492="Building renovation",E492="BLD-LAND"))),"N/A","Pending"))))))</x:f>
      </x:c>
      <x:c r="Q492" s="3" t="str">
        <x:f>IF(C492="","",IF(AND(R492="Valid",OR(P492="Pass",P492="N/A")),"Complete","Unresolved"))</x:f>
      </x:c>
      <x:c r="R492" s="9" t="str">
        <x:f>IF(C492="","",IF(OR(COUNTIF($C$9:$C$2008,C492)&lt;&gt;1,COUNTIFS($D$9:$D$2008,D492,$E$9:$E$2008,E492)&lt;&gt;1),"Duplicate test",IF(COUNTIF('Taxonomy'!$C$9:$C$108,D492)&lt;&gt;1,"Assessment key",IF(OR(COUNTIF('Taxonomy Rules'!$C$42:$C$68,E492)&lt;&gt;1,F492&lt;&gt;IFERROR(INDEX('Taxonomy Rules'!$D$42:$D$68,MATCH(E492,'Taxonomy Rules'!$C$42:$C$68,0)),""),NOT(OR(IFERROR(INDEX('Taxonomy Rules'!$G$42:$G$68,MATCH(E492,'Taxonomy Rules'!$C$42:$C$68,0)),"")="All supported routes",IFERROR(INDEX('Taxonomy Rules'!$G$42:$G$68,MATCH(E492,'Taxonomy Rules'!$C$42:$C$68,0)),"")=U492,AND(IFERROR(INDEX('Taxonomy Rules'!$G$42:$G$68,MATCH(E492,'Taxonomy Rules'!$C$42:$C$68,0)),"")="Building routes",OR(U492="Building renovation",U492="New building",U492="Building equipment"))))),"Unexpected test","Valid"))))</x:f>
      </x:c>
      <x:c r="S492" s="9" t="str">
        <x:f>IF(C492="","",IFERROR(INDEX('Taxonomy Rules'!$E$42:$E$68,MATCH(E492,'Taxonomy Rules'!$C$42:$C$68,0)),""))</x:f>
      </x:c>
      <x:c r="T492" s="9" t="str">
        <x:f>IF(C492="","",IFERROR(INDEX('Taxonomy Rules'!$F$42:$F$68,MATCH(E492,'Taxonomy Rules'!$C$42:$C$68,0)),""))</x:f>
      </x:c>
      <x:c r="U492" s="9" t="str">
        <x:f>IF(C492="","",IFERROR(INDEX('Taxonomy'!$G$9:$G$108,MATCH(D492,'Taxonomy'!$C$9:$C$108,0)),""))</x:f>
      </x:c>
    </x:row>
    <x:row r="493" ht="44" customHeight="1">
      <x:c r="A493" s="1"/>
      <x:c r="B493" s="1"/>
      <x:c r="C493" s="8"/>
      <x:c r="D493" s="8"/>
      <x:c r="E493" s="8"/>
      <x:c r="F493" s="8"/>
      <x:c r="G493" s="8"/>
      <x:c r="H493" s="8"/>
      <x:c r="I493" s="8"/>
      <x:c r="J493" s="8"/>
      <x:c r="K493" s="8"/>
      <x:c r="L493" s="8"/>
      <x:c r="M493" s="10"/>
      <x:c r="N493" s="10"/>
      <x:c r="O493" s="8"/>
      <x:c r="P493" s="9" t="str">
        <x:f>IF(C493="","",IF(AND(G493="Applicable",H493="Fail"),"Fail",IF(R493&lt;&gt;"Valid","Pending",IF(OR(I493="",K493="",L493="",K493=L493,NOT(ISNUMBER(M493)),NOT(ISNUMBER(N493)),M493&gt;Settings!$F$8,N493&lt;Settings!$F$8,N493&lt;M493),"Pending",IF(AND(G493="Applicable",H493="Pass"),"Pass",IF(AND(G493="N/A",H493="N/A",J493&lt;&gt;"",OR(E493="CEM-FUELS",E493="CEM-CCS",AND(E493="CEM-PLAN",IFERROR(INDEX('Taxonomy'!$M$9:$M$108,MATCH(D493,'Taxonomy'!$C$9:$C$108,0)),"")&lt;&gt;"Amber"),E493="BLD-TIMBER",AND(U493="Building equipment",OR(E493="BLD-WATER",E493="BLD-WASTE",E493="BLD-LAND")),AND(U493="Building renovation",E493="BLD-LAND"))),"N/A","Pending"))))))</x:f>
      </x:c>
      <x:c r="Q493" s="3" t="str">
        <x:f>IF(C493="","",IF(AND(R493="Valid",OR(P493="Pass",P493="N/A")),"Complete","Unresolved"))</x:f>
      </x:c>
      <x:c r="R493" s="9" t="str">
        <x:f>IF(C493="","",IF(OR(COUNTIF($C$9:$C$2008,C493)&lt;&gt;1,COUNTIFS($D$9:$D$2008,D493,$E$9:$E$2008,E493)&lt;&gt;1),"Duplicate test",IF(COUNTIF('Taxonomy'!$C$9:$C$108,D493)&lt;&gt;1,"Assessment key",IF(OR(COUNTIF('Taxonomy Rules'!$C$42:$C$68,E493)&lt;&gt;1,F493&lt;&gt;IFERROR(INDEX('Taxonomy Rules'!$D$42:$D$68,MATCH(E493,'Taxonomy Rules'!$C$42:$C$68,0)),""),NOT(OR(IFERROR(INDEX('Taxonomy Rules'!$G$42:$G$68,MATCH(E493,'Taxonomy Rules'!$C$42:$C$68,0)),"")="All supported routes",IFERROR(INDEX('Taxonomy Rules'!$G$42:$G$68,MATCH(E493,'Taxonomy Rules'!$C$42:$C$68,0)),"")=U493,AND(IFERROR(INDEX('Taxonomy Rules'!$G$42:$G$68,MATCH(E493,'Taxonomy Rules'!$C$42:$C$68,0)),"")="Building routes",OR(U493="Building renovation",U493="New building",U493="Building equipment"))))),"Unexpected test","Valid"))))</x:f>
      </x:c>
      <x:c r="S493" s="9" t="str">
        <x:f>IF(C493="","",IFERROR(INDEX('Taxonomy Rules'!$E$42:$E$68,MATCH(E493,'Taxonomy Rules'!$C$42:$C$68,0)),""))</x:f>
      </x:c>
      <x:c r="T493" s="9" t="str">
        <x:f>IF(C493="","",IFERROR(INDEX('Taxonomy Rules'!$F$42:$F$68,MATCH(E493,'Taxonomy Rules'!$C$42:$C$68,0)),""))</x:f>
      </x:c>
      <x:c r="U493" s="9" t="str">
        <x:f>IF(C493="","",IFERROR(INDEX('Taxonomy'!$G$9:$G$108,MATCH(D493,'Taxonomy'!$C$9:$C$108,0)),""))</x:f>
      </x:c>
    </x:row>
    <x:row r="494" ht="44" customHeight="1">
      <x:c r="A494" s="1"/>
      <x:c r="B494" s="1"/>
      <x:c r="C494" s="8"/>
      <x:c r="D494" s="8"/>
      <x:c r="E494" s="8"/>
      <x:c r="F494" s="8"/>
      <x:c r="G494" s="8"/>
      <x:c r="H494" s="8"/>
      <x:c r="I494" s="8"/>
      <x:c r="J494" s="8"/>
      <x:c r="K494" s="8"/>
      <x:c r="L494" s="8"/>
      <x:c r="M494" s="10"/>
      <x:c r="N494" s="10"/>
      <x:c r="O494" s="8"/>
      <x:c r="P494" s="9" t="str">
        <x:f>IF(C494="","",IF(AND(G494="Applicable",H494="Fail"),"Fail",IF(R494&lt;&gt;"Valid","Pending",IF(OR(I494="",K494="",L494="",K494=L494,NOT(ISNUMBER(M494)),NOT(ISNUMBER(N494)),M494&gt;Settings!$F$8,N494&lt;Settings!$F$8,N494&lt;M494),"Pending",IF(AND(G494="Applicable",H494="Pass"),"Pass",IF(AND(G494="N/A",H494="N/A",J494&lt;&gt;"",OR(E494="CEM-FUELS",E494="CEM-CCS",AND(E494="CEM-PLAN",IFERROR(INDEX('Taxonomy'!$M$9:$M$108,MATCH(D494,'Taxonomy'!$C$9:$C$108,0)),"")&lt;&gt;"Amber"),E494="BLD-TIMBER",AND(U494="Building equipment",OR(E494="BLD-WATER",E494="BLD-WASTE",E494="BLD-LAND")),AND(U494="Building renovation",E494="BLD-LAND"))),"N/A","Pending"))))))</x:f>
      </x:c>
      <x:c r="Q494" s="3" t="str">
        <x:f>IF(C494="","",IF(AND(R494="Valid",OR(P494="Pass",P494="N/A")),"Complete","Unresolved"))</x:f>
      </x:c>
      <x:c r="R494" s="9" t="str">
        <x:f>IF(C494="","",IF(OR(COUNTIF($C$9:$C$2008,C494)&lt;&gt;1,COUNTIFS($D$9:$D$2008,D494,$E$9:$E$2008,E494)&lt;&gt;1),"Duplicate test",IF(COUNTIF('Taxonomy'!$C$9:$C$108,D494)&lt;&gt;1,"Assessment key",IF(OR(COUNTIF('Taxonomy Rules'!$C$42:$C$68,E494)&lt;&gt;1,F494&lt;&gt;IFERROR(INDEX('Taxonomy Rules'!$D$42:$D$68,MATCH(E494,'Taxonomy Rules'!$C$42:$C$68,0)),""),NOT(OR(IFERROR(INDEX('Taxonomy Rules'!$G$42:$G$68,MATCH(E494,'Taxonomy Rules'!$C$42:$C$68,0)),"")="All supported routes",IFERROR(INDEX('Taxonomy Rules'!$G$42:$G$68,MATCH(E494,'Taxonomy Rules'!$C$42:$C$68,0)),"")=U494,AND(IFERROR(INDEX('Taxonomy Rules'!$G$42:$G$68,MATCH(E494,'Taxonomy Rules'!$C$42:$C$68,0)),"")="Building routes",OR(U494="Building renovation",U494="New building",U494="Building equipment"))))),"Unexpected test","Valid"))))</x:f>
      </x:c>
      <x:c r="S494" s="9" t="str">
        <x:f>IF(C494="","",IFERROR(INDEX('Taxonomy Rules'!$E$42:$E$68,MATCH(E494,'Taxonomy Rules'!$C$42:$C$68,0)),""))</x:f>
      </x:c>
      <x:c r="T494" s="9" t="str">
        <x:f>IF(C494="","",IFERROR(INDEX('Taxonomy Rules'!$F$42:$F$68,MATCH(E494,'Taxonomy Rules'!$C$42:$C$68,0)),""))</x:f>
      </x:c>
      <x:c r="U494" s="9" t="str">
        <x:f>IF(C494="","",IFERROR(INDEX('Taxonomy'!$G$9:$G$108,MATCH(D494,'Taxonomy'!$C$9:$C$108,0)),""))</x:f>
      </x:c>
    </x:row>
    <x:row r="495" ht="44" customHeight="1">
      <x:c r="A495" s="1"/>
      <x:c r="B495" s="1"/>
      <x:c r="C495" s="8"/>
      <x:c r="D495" s="8"/>
      <x:c r="E495" s="8"/>
      <x:c r="F495" s="8"/>
      <x:c r="G495" s="8"/>
      <x:c r="H495" s="8"/>
      <x:c r="I495" s="8"/>
      <x:c r="J495" s="8"/>
      <x:c r="K495" s="8"/>
      <x:c r="L495" s="8"/>
      <x:c r="M495" s="10"/>
      <x:c r="N495" s="10"/>
      <x:c r="O495" s="8"/>
      <x:c r="P495" s="9" t="str">
        <x:f>IF(C495="","",IF(AND(G495="Applicable",H495="Fail"),"Fail",IF(R495&lt;&gt;"Valid","Pending",IF(OR(I495="",K495="",L495="",K495=L495,NOT(ISNUMBER(M495)),NOT(ISNUMBER(N495)),M495&gt;Settings!$F$8,N495&lt;Settings!$F$8,N495&lt;M495),"Pending",IF(AND(G495="Applicable",H495="Pass"),"Pass",IF(AND(G495="N/A",H495="N/A",J495&lt;&gt;"",OR(E495="CEM-FUELS",E495="CEM-CCS",AND(E495="CEM-PLAN",IFERROR(INDEX('Taxonomy'!$M$9:$M$108,MATCH(D495,'Taxonomy'!$C$9:$C$108,0)),"")&lt;&gt;"Amber"),E495="BLD-TIMBER",AND(U495="Building equipment",OR(E495="BLD-WATER",E495="BLD-WASTE",E495="BLD-LAND")),AND(U495="Building renovation",E495="BLD-LAND"))),"N/A","Pending"))))))</x:f>
      </x:c>
      <x:c r="Q495" s="3" t="str">
        <x:f>IF(C495="","",IF(AND(R495="Valid",OR(P495="Pass",P495="N/A")),"Complete","Unresolved"))</x:f>
      </x:c>
      <x:c r="R495" s="9" t="str">
        <x:f>IF(C495="","",IF(OR(COUNTIF($C$9:$C$2008,C495)&lt;&gt;1,COUNTIFS($D$9:$D$2008,D495,$E$9:$E$2008,E495)&lt;&gt;1),"Duplicate test",IF(COUNTIF('Taxonomy'!$C$9:$C$108,D495)&lt;&gt;1,"Assessment key",IF(OR(COUNTIF('Taxonomy Rules'!$C$42:$C$68,E495)&lt;&gt;1,F495&lt;&gt;IFERROR(INDEX('Taxonomy Rules'!$D$42:$D$68,MATCH(E495,'Taxonomy Rules'!$C$42:$C$68,0)),""),NOT(OR(IFERROR(INDEX('Taxonomy Rules'!$G$42:$G$68,MATCH(E495,'Taxonomy Rules'!$C$42:$C$68,0)),"")="All supported routes",IFERROR(INDEX('Taxonomy Rules'!$G$42:$G$68,MATCH(E495,'Taxonomy Rules'!$C$42:$C$68,0)),"")=U495,AND(IFERROR(INDEX('Taxonomy Rules'!$G$42:$G$68,MATCH(E495,'Taxonomy Rules'!$C$42:$C$68,0)),"")="Building routes",OR(U495="Building renovation",U495="New building",U495="Building equipment"))))),"Unexpected test","Valid"))))</x:f>
      </x:c>
      <x:c r="S495" s="9" t="str">
        <x:f>IF(C495="","",IFERROR(INDEX('Taxonomy Rules'!$E$42:$E$68,MATCH(E495,'Taxonomy Rules'!$C$42:$C$68,0)),""))</x:f>
      </x:c>
      <x:c r="T495" s="9" t="str">
        <x:f>IF(C495="","",IFERROR(INDEX('Taxonomy Rules'!$F$42:$F$68,MATCH(E495,'Taxonomy Rules'!$C$42:$C$68,0)),""))</x:f>
      </x:c>
      <x:c r="U495" s="9" t="str">
        <x:f>IF(C495="","",IFERROR(INDEX('Taxonomy'!$G$9:$G$108,MATCH(D495,'Taxonomy'!$C$9:$C$108,0)),""))</x:f>
      </x:c>
    </x:row>
    <x:row r="496" ht="44" customHeight="1">
      <x:c r="A496" s="1"/>
      <x:c r="B496" s="1"/>
      <x:c r="C496" s="8"/>
      <x:c r="D496" s="8"/>
      <x:c r="E496" s="8"/>
      <x:c r="F496" s="8"/>
      <x:c r="G496" s="8"/>
      <x:c r="H496" s="8"/>
      <x:c r="I496" s="8"/>
      <x:c r="J496" s="8"/>
      <x:c r="K496" s="8"/>
      <x:c r="L496" s="8"/>
      <x:c r="M496" s="10"/>
      <x:c r="N496" s="10"/>
      <x:c r="O496" s="8"/>
      <x:c r="P496" s="9" t="str">
        <x:f>IF(C496="","",IF(AND(G496="Applicable",H496="Fail"),"Fail",IF(R496&lt;&gt;"Valid","Pending",IF(OR(I496="",K496="",L496="",K496=L496,NOT(ISNUMBER(M496)),NOT(ISNUMBER(N496)),M496&gt;Settings!$F$8,N496&lt;Settings!$F$8,N496&lt;M496),"Pending",IF(AND(G496="Applicable",H496="Pass"),"Pass",IF(AND(G496="N/A",H496="N/A",J496&lt;&gt;"",OR(E496="CEM-FUELS",E496="CEM-CCS",AND(E496="CEM-PLAN",IFERROR(INDEX('Taxonomy'!$M$9:$M$108,MATCH(D496,'Taxonomy'!$C$9:$C$108,0)),"")&lt;&gt;"Amber"),E496="BLD-TIMBER",AND(U496="Building equipment",OR(E496="BLD-WATER",E496="BLD-WASTE",E496="BLD-LAND")),AND(U496="Building renovation",E496="BLD-LAND"))),"N/A","Pending"))))))</x:f>
      </x:c>
      <x:c r="Q496" s="3" t="str">
        <x:f>IF(C496="","",IF(AND(R496="Valid",OR(P496="Pass",P496="N/A")),"Complete","Unresolved"))</x:f>
      </x:c>
      <x:c r="R496" s="9" t="str">
        <x:f>IF(C496="","",IF(OR(COUNTIF($C$9:$C$2008,C496)&lt;&gt;1,COUNTIFS($D$9:$D$2008,D496,$E$9:$E$2008,E496)&lt;&gt;1),"Duplicate test",IF(COUNTIF('Taxonomy'!$C$9:$C$108,D496)&lt;&gt;1,"Assessment key",IF(OR(COUNTIF('Taxonomy Rules'!$C$42:$C$68,E496)&lt;&gt;1,F496&lt;&gt;IFERROR(INDEX('Taxonomy Rules'!$D$42:$D$68,MATCH(E496,'Taxonomy Rules'!$C$42:$C$68,0)),""),NOT(OR(IFERROR(INDEX('Taxonomy Rules'!$G$42:$G$68,MATCH(E496,'Taxonomy Rules'!$C$42:$C$68,0)),"")="All supported routes",IFERROR(INDEX('Taxonomy Rules'!$G$42:$G$68,MATCH(E496,'Taxonomy Rules'!$C$42:$C$68,0)),"")=U496,AND(IFERROR(INDEX('Taxonomy Rules'!$G$42:$G$68,MATCH(E496,'Taxonomy Rules'!$C$42:$C$68,0)),"")="Building routes",OR(U496="Building renovation",U496="New building",U496="Building equipment"))))),"Unexpected test","Valid"))))</x:f>
      </x:c>
      <x:c r="S496" s="9" t="str">
        <x:f>IF(C496="","",IFERROR(INDEX('Taxonomy Rules'!$E$42:$E$68,MATCH(E496,'Taxonomy Rules'!$C$42:$C$68,0)),""))</x:f>
      </x:c>
      <x:c r="T496" s="9" t="str">
        <x:f>IF(C496="","",IFERROR(INDEX('Taxonomy Rules'!$F$42:$F$68,MATCH(E496,'Taxonomy Rules'!$C$42:$C$68,0)),""))</x:f>
      </x:c>
      <x:c r="U496" s="9" t="str">
        <x:f>IF(C496="","",IFERROR(INDEX('Taxonomy'!$G$9:$G$108,MATCH(D496,'Taxonomy'!$C$9:$C$108,0)),""))</x:f>
      </x:c>
    </x:row>
    <x:row r="497" ht="44" customHeight="1">
      <x:c r="A497" s="1"/>
      <x:c r="B497" s="1"/>
      <x:c r="C497" s="8"/>
      <x:c r="D497" s="8"/>
      <x:c r="E497" s="8"/>
      <x:c r="F497" s="8"/>
      <x:c r="G497" s="8"/>
      <x:c r="H497" s="8"/>
      <x:c r="I497" s="8"/>
      <x:c r="J497" s="8"/>
      <x:c r="K497" s="8"/>
      <x:c r="L497" s="8"/>
      <x:c r="M497" s="10"/>
      <x:c r="N497" s="10"/>
      <x:c r="O497" s="8"/>
      <x:c r="P497" s="9" t="str">
        <x:f>IF(C497="","",IF(AND(G497="Applicable",H497="Fail"),"Fail",IF(R497&lt;&gt;"Valid","Pending",IF(OR(I497="",K497="",L497="",K497=L497,NOT(ISNUMBER(M497)),NOT(ISNUMBER(N497)),M497&gt;Settings!$F$8,N497&lt;Settings!$F$8,N497&lt;M497),"Pending",IF(AND(G497="Applicable",H497="Pass"),"Pass",IF(AND(G497="N/A",H497="N/A",J497&lt;&gt;"",OR(E497="CEM-FUELS",E497="CEM-CCS",AND(E497="CEM-PLAN",IFERROR(INDEX('Taxonomy'!$M$9:$M$108,MATCH(D497,'Taxonomy'!$C$9:$C$108,0)),"")&lt;&gt;"Amber"),E497="BLD-TIMBER",AND(U497="Building equipment",OR(E497="BLD-WATER",E497="BLD-WASTE",E497="BLD-LAND")),AND(U497="Building renovation",E497="BLD-LAND"))),"N/A","Pending"))))))</x:f>
      </x:c>
      <x:c r="Q497" s="3" t="str">
        <x:f>IF(C497="","",IF(AND(R497="Valid",OR(P497="Pass",P497="N/A")),"Complete","Unresolved"))</x:f>
      </x:c>
      <x:c r="R497" s="9" t="str">
        <x:f>IF(C497="","",IF(OR(COUNTIF($C$9:$C$2008,C497)&lt;&gt;1,COUNTIFS($D$9:$D$2008,D497,$E$9:$E$2008,E497)&lt;&gt;1),"Duplicate test",IF(COUNTIF('Taxonomy'!$C$9:$C$108,D497)&lt;&gt;1,"Assessment key",IF(OR(COUNTIF('Taxonomy Rules'!$C$42:$C$68,E497)&lt;&gt;1,F497&lt;&gt;IFERROR(INDEX('Taxonomy Rules'!$D$42:$D$68,MATCH(E497,'Taxonomy Rules'!$C$42:$C$68,0)),""),NOT(OR(IFERROR(INDEX('Taxonomy Rules'!$G$42:$G$68,MATCH(E497,'Taxonomy Rules'!$C$42:$C$68,0)),"")="All supported routes",IFERROR(INDEX('Taxonomy Rules'!$G$42:$G$68,MATCH(E497,'Taxonomy Rules'!$C$42:$C$68,0)),"")=U497,AND(IFERROR(INDEX('Taxonomy Rules'!$G$42:$G$68,MATCH(E497,'Taxonomy Rules'!$C$42:$C$68,0)),"")="Building routes",OR(U497="Building renovation",U497="New building",U497="Building equipment"))))),"Unexpected test","Valid"))))</x:f>
      </x:c>
      <x:c r="S497" s="9" t="str">
        <x:f>IF(C497="","",IFERROR(INDEX('Taxonomy Rules'!$E$42:$E$68,MATCH(E497,'Taxonomy Rules'!$C$42:$C$68,0)),""))</x:f>
      </x:c>
      <x:c r="T497" s="9" t="str">
        <x:f>IF(C497="","",IFERROR(INDEX('Taxonomy Rules'!$F$42:$F$68,MATCH(E497,'Taxonomy Rules'!$C$42:$C$68,0)),""))</x:f>
      </x:c>
      <x:c r="U497" s="9" t="str">
        <x:f>IF(C497="","",IFERROR(INDEX('Taxonomy'!$G$9:$G$108,MATCH(D497,'Taxonomy'!$C$9:$C$108,0)),""))</x:f>
      </x:c>
    </x:row>
    <x:row r="498" ht="44" customHeight="1">
      <x:c r="A498" s="1"/>
      <x:c r="B498" s="1"/>
      <x:c r="C498" s="8"/>
      <x:c r="D498" s="8"/>
      <x:c r="E498" s="8"/>
      <x:c r="F498" s="8"/>
      <x:c r="G498" s="8"/>
      <x:c r="H498" s="8"/>
      <x:c r="I498" s="8"/>
      <x:c r="J498" s="8"/>
      <x:c r="K498" s="8"/>
      <x:c r="L498" s="8"/>
      <x:c r="M498" s="10"/>
      <x:c r="N498" s="10"/>
      <x:c r="O498" s="8"/>
      <x:c r="P498" s="9" t="str">
        <x:f>IF(C498="","",IF(AND(G498="Applicable",H498="Fail"),"Fail",IF(R498&lt;&gt;"Valid","Pending",IF(OR(I498="",K498="",L498="",K498=L498,NOT(ISNUMBER(M498)),NOT(ISNUMBER(N498)),M498&gt;Settings!$F$8,N498&lt;Settings!$F$8,N498&lt;M498),"Pending",IF(AND(G498="Applicable",H498="Pass"),"Pass",IF(AND(G498="N/A",H498="N/A",J498&lt;&gt;"",OR(E498="CEM-FUELS",E498="CEM-CCS",AND(E498="CEM-PLAN",IFERROR(INDEX('Taxonomy'!$M$9:$M$108,MATCH(D498,'Taxonomy'!$C$9:$C$108,0)),"")&lt;&gt;"Amber"),E498="BLD-TIMBER",AND(U498="Building equipment",OR(E498="BLD-WATER",E498="BLD-WASTE",E498="BLD-LAND")),AND(U498="Building renovation",E498="BLD-LAND"))),"N/A","Pending"))))))</x:f>
      </x:c>
      <x:c r="Q498" s="3" t="str">
        <x:f>IF(C498="","",IF(AND(R498="Valid",OR(P498="Pass",P498="N/A")),"Complete","Unresolved"))</x:f>
      </x:c>
      <x:c r="R498" s="9" t="str">
        <x:f>IF(C498="","",IF(OR(COUNTIF($C$9:$C$2008,C498)&lt;&gt;1,COUNTIFS($D$9:$D$2008,D498,$E$9:$E$2008,E498)&lt;&gt;1),"Duplicate test",IF(COUNTIF('Taxonomy'!$C$9:$C$108,D498)&lt;&gt;1,"Assessment key",IF(OR(COUNTIF('Taxonomy Rules'!$C$42:$C$68,E498)&lt;&gt;1,F498&lt;&gt;IFERROR(INDEX('Taxonomy Rules'!$D$42:$D$68,MATCH(E498,'Taxonomy Rules'!$C$42:$C$68,0)),""),NOT(OR(IFERROR(INDEX('Taxonomy Rules'!$G$42:$G$68,MATCH(E498,'Taxonomy Rules'!$C$42:$C$68,0)),"")="All supported routes",IFERROR(INDEX('Taxonomy Rules'!$G$42:$G$68,MATCH(E498,'Taxonomy Rules'!$C$42:$C$68,0)),"")=U498,AND(IFERROR(INDEX('Taxonomy Rules'!$G$42:$G$68,MATCH(E498,'Taxonomy Rules'!$C$42:$C$68,0)),"")="Building routes",OR(U498="Building renovation",U498="New building",U498="Building equipment"))))),"Unexpected test","Valid"))))</x:f>
      </x:c>
      <x:c r="S498" s="9" t="str">
        <x:f>IF(C498="","",IFERROR(INDEX('Taxonomy Rules'!$E$42:$E$68,MATCH(E498,'Taxonomy Rules'!$C$42:$C$68,0)),""))</x:f>
      </x:c>
      <x:c r="T498" s="9" t="str">
        <x:f>IF(C498="","",IFERROR(INDEX('Taxonomy Rules'!$F$42:$F$68,MATCH(E498,'Taxonomy Rules'!$C$42:$C$68,0)),""))</x:f>
      </x:c>
      <x:c r="U498" s="9" t="str">
        <x:f>IF(C498="","",IFERROR(INDEX('Taxonomy'!$G$9:$G$108,MATCH(D498,'Taxonomy'!$C$9:$C$108,0)),""))</x:f>
      </x:c>
    </x:row>
    <x:row r="499" ht="44" customHeight="1">
      <x:c r="A499" s="1"/>
      <x:c r="B499" s="1"/>
      <x:c r="C499" s="8"/>
      <x:c r="D499" s="8"/>
      <x:c r="E499" s="8"/>
      <x:c r="F499" s="8"/>
      <x:c r="G499" s="8"/>
      <x:c r="H499" s="8"/>
      <x:c r="I499" s="8"/>
      <x:c r="J499" s="8"/>
      <x:c r="K499" s="8"/>
      <x:c r="L499" s="8"/>
      <x:c r="M499" s="10"/>
      <x:c r="N499" s="10"/>
      <x:c r="O499" s="8"/>
      <x:c r="P499" s="9" t="str">
        <x:f>IF(C499="","",IF(AND(G499="Applicable",H499="Fail"),"Fail",IF(R499&lt;&gt;"Valid","Pending",IF(OR(I499="",K499="",L499="",K499=L499,NOT(ISNUMBER(M499)),NOT(ISNUMBER(N499)),M499&gt;Settings!$F$8,N499&lt;Settings!$F$8,N499&lt;M499),"Pending",IF(AND(G499="Applicable",H499="Pass"),"Pass",IF(AND(G499="N/A",H499="N/A",J499&lt;&gt;"",OR(E499="CEM-FUELS",E499="CEM-CCS",AND(E499="CEM-PLAN",IFERROR(INDEX('Taxonomy'!$M$9:$M$108,MATCH(D499,'Taxonomy'!$C$9:$C$108,0)),"")&lt;&gt;"Amber"),E499="BLD-TIMBER",AND(U499="Building equipment",OR(E499="BLD-WATER",E499="BLD-WASTE",E499="BLD-LAND")),AND(U499="Building renovation",E499="BLD-LAND"))),"N/A","Pending"))))))</x:f>
      </x:c>
      <x:c r="Q499" s="3" t="str">
        <x:f>IF(C499="","",IF(AND(R499="Valid",OR(P499="Pass",P499="N/A")),"Complete","Unresolved"))</x:f>
      </x:c>
      <x:c r="R499" s="9" t="str">
        <x:f>IF(C499="","",IF(OR(COUNTIF($C$9:$C$2008,C499)&lt;&gt;1,COUNTIFS($D$9:$D$2008,D499,$E$9:$E$2008,E499)&lt;&gt;1),"Duplicate test",IF(COUNTIF('Taxonomy'!$C$9:$C$108,D499)&lt;&gt;1,"Assessment key",IF(OR(COUNTIF('Taxonomy Rules'!$C$42:$C$68,E499)&lt;&gt;1,F499&lt;&gt;IFERROR(INDEX('Taxonomy Rules'!$D$42:$D$68,MATCH(E499,'Taxonomy Rules'!$C$42:$C$68,0)),""),NOT(OR(IFERROR(INDEX('Taxonomy Rules'!$G$42:$G$68,MATCH(E499,'Taxonomy Rules'!$C$42:$C$68,0)),"")="All supported routes",IFERROR(INDEX('Taxonomy Rules'!$G$42:$G$68,MATCH(E499,'Taxonomy Rules'!$C$42:$C$68,0)),"")=U499,AND(IFERROR(INDEX('Taxonomy Rules'!$G$42:$G$68,MATCH(E499,'Taxonomy Rules'!$C$42:$C$68,0)),"")="Building routes",OR(U499="Building renovation",U499="New building",U499="Building equipment"))))),"Unexpected test","Valid"))))</x:f>
      </x:c>
      <x:c r="S499" s="9" t="str">
        <x:f>IF(C499="","",IFERROR(INDEX('Taxonomy Rules'!$E$42:$E$68,MATCH(E499,'Taxonomy Rules'!$C$42:$C$68,0)),""))</x:f>
      </x:c>
      <x:c r="T499" s="9" t="str">
        <x:f>IF(C499="","",IFERROR(INDEX('Taxonomy Rules'!$F$42:$F$68,MATCH(E499,'Taxonomy Rules'!$C$42:$C$68,0)),""))</x:f>
      </x:c>
      <x:c r="U499" s="9" t="str">
        <x:f>IF(C499="","",IFERROR(INDEX('Taxonomy'!$G$9:$G$108,MATCH(D499,'Taxonomy'!$C$9:$C$108,0)),""))</x:f>
      </x:c>
    </x:row>
    <x:row r="500" ht="44" customHeight="1">
      <x:c r="A500" s="1"/>
      <x:c r="B500" s="1"/>
      <x:c r="C500" s="8"/>
      <x:c r="D500" s="8"/>
      <x:c r="E500" s="8"/>
      <x:c r="F500" s="8"/>
      <x:c r="G500" s="8"/>
      <x:c r="H500" s="8"/>
      <x:c r="I500" s="8"/>
      <x:c r="J500" s="8"/>
      <x:c r="K500" s="8"/>
      <x:c r="L500" s="8"/>
      <x:c r="M500" s="10"/>
      <x:c r="N500" s="10"/>
      <x:c r="O500" s="8"/>
      <x:c r="P500" s="9" t="str">
        <x:f>IF(C500="","",IF(AND(G500="Applicable",H500="Fail"),"Fail",IF(R500&lt;&gt;"Valid","Pending",IF(OR(I500="",K500="",L500="",K500=L500,NOT(ISNUMBER(M500)),NOT(ISNUMBER(N500)),M500&gt;Settings!$F$8,N500&lt;Settings!$F$8,N500&lt;M500),"Pending",IF(AND(G500="Applicable",H500="Pass"),"Pass",IF(AND(G500="N/A",H500="N/A",J500&lt;&gt;"",OR(E500="CEM-FUELS",E500="CEM-CCS",AND(E500="CEM-PLAN",IFERROR(INDEX('Taxonomy'!$M$9:$M$108,MATCH(D500,'Taxonomy'!$C$9:$C$108,0)),"")&lt;&gt;"Amber"),E500="BLD-TIMBER",AND(U500="Building equipment",OR(E500="BLD-WATER",E500="BLD-WASTE",E500="BLD-LAND")),AND(U500="Building renovation",E500="BLD-LAND"))),"N/A","Pending"))))))</x:f>
      </x:c>
      <x:c r="Q500" s="3" t="str">
        <x:f>IF(C500="","",IF(AND(R500="Valid",OR(P500="Pass",P500="N/A")),"Complete","Unresolved"))</x:f>
      </x:c>
      <x:c r="R500" s="9" t="str">
        <x:f>IF(C500="","",IF(OR(COUNTIF($C$9:$C$2008,C500)&lt;&gt;1,COUNTIFS($D$9:$D$2008,D500,$E$9:$E$2008,E500)&lt;&gt;1),"Duplicate test",IF(COUNTIF('Taxonomy'!$C$9:$C$108,D500)&lt;&gt;1,"Assessment key",IF(OR(COUNTIF('Taxonomy Rules'!$C$42:$C$68,E500)&lt;&gt;1,F500&lt;&gt;IFERROR(INDEX('Taxonomy Rules'!$D$42:$D$68,MATCH(E500,'Taxonomy Rules'!$C$42:$C$68,0)),""),NOT(OR(IFERROR(INDEX('Taxonomy Rules'!$G$42:$G$68,MATCH(E500,'Taxonomy Rules'!$C$42:$C$68,0)),"")="All supported routes",IFERROR(INDEX('Taxonomy Rules'!$G$42:$G$68,MATCH(E500,'Taxonomy Rules'!$C$42:$C$68,0)),"")=U500,AND(IFERROR(INDEX('Taxonomy Rules'!$G$42:$G$68,MATCH(E500,'Taxonomy Rules'!$C$42:$C$68,0)),"")="Building routes",OR(U500="Building renovation",U500="New building",U500="Building equipment"))))),"Unexpected test","Valid"))))</x:f>
      </x:c>
      <x:c r="S500" s="9" t="str">
        <x:f>IF(C500="","",IFERROR(INDEX('Taxonomy Rules'!$E$42:$E$68,MATCH(E500,'Taxonomy Rules'!$C$42:$C$68,0)),""))</x:f>
      </x:c>
      <x:c r="T500" s="9" t="str">
        <x:f>IF(C500="","",IFERROR(INDEX('Taxonomy Rules'!$F$42:$F$68,MATCH(E500,'Taxonomy Rules'!$C$42:$C$68,0)),""))</x:f>
      </x:c>
      <x:c r="U500" s="9" t="str">
        <x:f>IF(C500="","",IFERROR(INDEX('Taxonomy'!$G$9:$G$108,MATCH(D500,'Taxonomy'!$C$9:$C$108,0)),""))</x:f>
      </x:c>
    </x:row>
    <x:row r="501" ht="44" customHeight="1">
      <x:c r="A501" s="1"/>
      <x:c r="B501" s="1"/>
      <x:c r="C501" s="8"/>
      <x:c r="D501" s="8"/>
      <x:c r="E501" s="8"/>
      <x:c r="F501" s="8"/>
      <x:c r="G501" s="8"/>
      <x:c r="H501" s="8"/>
      <x:c r="I501" s="8"/>
      <x:c r="J501" s="8"/>
      <x:c r="K501" s="8"/>
      <x:c r="L501" s="8"/>
      <x:c r="M501" s="10"/>
      <x:c r="N501" s="10"/>
      <x:c r="O501" s="8"/>
      <x:c r="P501" s="9" t="str">
        <x:f>IF(C501="","",IF(AND(G501="Applicable",H501="Fail"),"Fail",IF(R501&lt;&gt;"Valid","Pending",IF(OR(I501="",K501="",L501="",K501=L501,NOT(ISNUMBER(M501)),NOT(ISNUMBER(N501)),M501&gt;Settings!$F$8,N501&lt;Settings!$F$8,N501&lt;M501),"Pending",IF(AND(G501="Applicable",H501="Pass"),"Pass",IF(AND(G501="N/A",H501="N/A",J501&lt;&gt;"",OR(E501="CEM-FUELS",E501="CEM-CCS",AND(E501="CEM-PLAN",IFERROR(INDEX('Taxonomy'!$M$9:$M$108,MATCH(D501,'Taxonomy'!$C$9:$C$108,0)),"")&lt;&gt;"Amber"),E501="BLD-TIMBER",AND(U501="Building equipment",OR(E501="BLD-WATER",E501="BLD-WASTE",E501="BLD-LAND")),AND(U501="Building renovation",E501="BLD-LAND"))),"N/A","Pending"))))))</x:f>
      </x:c>
      <x:c r="Q501" s="3" t="str">
        <x:f>IF(C501="","",IF(AND(R501="Valid",OR(P501="Pass",P501="N/A")),"Complete","Unresolved"))</x:f>
      </x:c>
      <x:c r="R501" s="9" t="str">
        <x:f>IF(C501="","",IF(OR(COUNTIF($C$9:$C$2008,C501)&lt;&gt;1,COUNTIFS($D$9:$D$2008,D501,$E$9:$E$2008,E501)&lt;&gt;1),"Duplicate test",IF(COUNTIF('Taxonomy'!$C$9:$C$108,D501)&lt;&gt;1,"Assessment key",IF(OR(COUNTIF('Taxonomy Rules'!$C$42:$C$68,E501)&lt;&gt;1,F501&lt;&gt;IFERROR(INDEX('Taxonomy Rules'!$D$42:$D$68,MATCH(E501,'Taxonomy Rules'!$C$42:$C$68,0)),""),NOT(OR(IFERROR(INDEX('Taxonomy Rules'!$G$42:$G$68,MATCH(E501,'Taxonomy Rules'!$C$42:$C$68,0)),"")="All supported routes",IFERROR(INDEX('Taxonomy Rules'!$G$42:$G$68,MATCH(E501,'Taxonomy Rules'!$C$42:$C$68,0)),"")=U501,AND(IFERROR(INDEX('Taxonomy Rules'!$G$42:$G$68,MATCH(E501,'Taxonomy Rules'!$C$42:$C$68,0)),"")="Building routes",OR(U501="Building renovation",U501="New building",U501="Building equipment"))))),"Unexpected test","Valid"))))</x:f>
      </x:c>
      <x:c r="S501" s="9" t="str">
        <x:f>IF(C501="","",IFERROR(INDEX('Taxonomy Rules'!$E$42:$E$68,MATCH(E501,'Taxonomy Rules'!$C$42:$C$68,0)),""))</x:f>
      </x:c>
      <x:c r="T501" s="9" t="str">
        <x:f>IF(C501="","",IFERROR(INDEX('Taxonomy Rules'!$F$42:$F$68,MATCH(E501,'Taxonomy Rules'!$C$42:$C$68,0)),""))</x:f>
      </x:c>
      <x:c r="U501" s="9" t="str">
        <x:f>IF(C501="","",IFERROR(INDEX('Taxonomy'!$G$9:$G$108,MATCH(D501,'Taxonomy'!$C$9:$C$108,0)),""))</x:f>
      </x:c>
    </x:row>
    <x:row r="502" ht="44" customHeight="1">
      <x:c r="A502" s="1"/>
      <x:c r="B502" s="1"/>
      <x:c r="C502" s="8"/>
      <x:c r="D502" s="8"/>
      <x:c r="E502" s="8"/>
      <x:c r="F502" s="8"/>
      <x:c r="G502" s="8"/>
      <x:c r="H502" s="8"/>
      <x:c r="I502" s="8"/>
      <x:c r="J502" s="8"/>
      <x:c r="K502" s="8"/>
      <x:c r="L502" s="8"/>
      <x:c r="M502" s="10"/>
      <x:c r="N502" s="10"/>
      <x:c r="O502" s="8"/>
      <x:c r="P502" s="9" t="str">
        <x:f>IF(C502="","",IF(AND(G502="Applicable",H502="Fail"),"Fail",IF(R502&lt;&gt;"Valid","Pending",IF(OR(I502="",K502="",L502="",K502=L502,NOT(ISNUMBER(M502)),NOT(ISNUMBER(N502)),M502&gt;Settings!$F$8,N502&lt;Settings!$F$8,N502&lt;M502),"Pending",IF(AND(G502="Applicable",H502="Pass"),"Pass",IF(AND(G502="N/A",H502="N/A",J502&lt;&gt;"",OR(E502="CEM-FUELS",E502="CEM-CCS",AND(E502="CEM-PLAN",IFERROR(INDEX('Taxonomy'!$M$9:$M$108,MATCH(D502,'Taxonomy'!$C$9:$C$108,0)),"")&lt;&gt;"Amber"),E502="BLD-TIMBER",AND(U502="Building equipment",OR(E502="BLD-WATER",E502="BLD-WASTE",E502="BLD-LAND")),AND(U502="Building renovation",E502="BLD-LAND"))),"N/A","Pending"))))))</x:f>
      </x:c>
      <x:c r="Q502" s="3" t="str">
        <x:f>IF(C502="","",IF(AND(R502="Valid",OR(P502="Pass",P502="N/A")),"Complete","Unresolved"))</x:f>
      </x:c>
      <x:c r="R502" s="9" t="str">
        <x:f>IF(C502="","",IF(OR(COUNTIF($C$9:$C$2008,C502)&lt;&gt;1,COUNTIFS($D$9:$D$2008,D502,$E$9:$E$2008,E502)&lt;&gt;1),"Duplicate test",IF(COUNTIF('Taxonomy'!$C$9:$C$108,D502)&lt;&gt;1,"Assessment key",IF(OR(COUNTIF('Taxonomy Rules'!$C$42:$C$68,E502)&lt;&gt;1,F502&lt;&gt;IFERROR(INDEX('Taxonomy Rules'!$D$42:$D$68,MATCH(E502,'Taxonomy Rules'!$C$42:$C$68,0)),""),NOT(OR(IFERROR(INDEX('Taxonomy Rules'!$G$42:$G$68,MATCH(E502,'Taxonomy Rules'!$C$42:$C$68,0)),"")="All supported routes",IFERROR(INDEX('Taxonomy Rules'!$G$42:$G$68,MATCH(E502,'Taxonomy Rules'!$C$42:$C$68,0)),"")=U502,AND(IFERROR(INDEX('Taxonomy Rules'!$G$42:$G$68,MATCH(E502,'Taxonomy Rules'!$C$42:$C$68,0)),"")="Building routes",OR(U502="Building renovation",U502="New building",U502="Building equipment"))))),"Unexpected test","Valid"))))</x:f>
      </x:c>
      <x:c r="S502" s="9" t="str">
        <x:f>IF(C502="","",IFERROR(INDEX('Taxonomy Rules'!$E$42:$E$68,MATCH(E502,'Taxonomy Rules'!$C$42:$C$68,0)),""))</x:f>
      </x:c>
      <x:c r="T502" s="9" t="str">
        <x:f>IF(C502="","",IFERROR(INDEX('Taxonomy Rules'!$F$42:$F$68,MATCH(E502,'Taxonomy Rules'!$C$42:$C$68,0)),""))</x:f>
      </x:c>
      <x:c r="U502" s="9" t="str">
        <x:f>IF(C502="","",IFERROR(INDEX('Taxonomy'!$G$9:$G$108,MATCH(D502,'Taxonomy'!$C$9:$C$108,0)),""))</x:f>
      </x:c>
    </x:row>
    <x:row r="503" ht="44" customHeight="1">
      <x:c r="A503" s="1"/>
      <x:c r="B503" s="1"/>
      <x:c r="C503" s="8"/>
      <x:c r="D503" s="8"/>
      <x:c r="E503" s="8"/>
      <x:c r="F503" s="8"/>
      <x:c r="G503" s="8"/>
      <x:c r="H503" s="8"/>
      <x:c r="I503" s="8"/>
      <x:c r="J503" s="8"/>
      <x:c r="K503" s="8"/>
      <x:c r="L503" s="8"/>
      <x:c r="M503" s="10"/>
      <x:c r="N503" s="10"/>
      <x:c r="O503" s="8"/>
      <x:c r="P503" s="9" t="str">
        <x:f>IF(C503="","",IF(AND(G503="Applicable",H503="Fail"),"Fail",IF(R503&lt;&gt;"Valid","Pending",IF(OR(I503="",K503="",L503="",K503=L503,NOT(ISNUMBER(M503)),NOT(ISNUMBER(N503)),M503&gt;Settings!$F$8,N503&lt;Settings!$F$8,N503&lt;M503),"Pending",IF(AND(G503="Applicable",H503="Pass"),"Pass",IF(AND(G503="N/A",H503="N/A",J503&lt;&gt;"",OR(E503="CEM-FUELS",E503="CEM-CCS",AND(E503="CEM-PLAN",IFERROR(INDEX('Taxonomy'!$M$9:$M$108,MATCH(D503,'Taxonomy'!$C$9:$C$108,0)),"")&lt;&gt;"Amber"),E503="BLD-TIMBER",AND(U503="Building equipment",OR(E503="BLD-WATER",E503="BLD-WASTE",E503="BLD-LAND")),AND(U503="Building renovation",E503="BLD-LAND"))),"N/A","Pending"))))))</x:f>
      </x:c>
      <x:c r="Q503" s="3" t="str">
        <x:f>IF(C503="","",IF(AND(R503="Valid",OR(P503="Pass",P503="N/A")),"Complete","Unresolved"))</x:f>
      </x:c>
      <x:c r="R503" s="9" t="str">
        <x:f>IF(C503="","",IF(OR(COUNTIF($C$9:$C$2008,C503)&lt;&gt;1,COUNTIFS($D$9:$D$2008,D503,$E$9:$E$2008,E503)&lt;&gt;1),"Duplicate test",IF(COUNTIF('Taxonomy'!$C$9:$C$108,D503)&lt;&gt;1,"Assessment key",IF(OR(COUNTIF('Taxonomy Rules'!$C$42:$C$68,E503)&lt;&gt;1,F503&lt;&gt;IFERROR(INDEX('Taxonomy Rules'!$D$42:$D$68,MATCH(E503,'Taxonomy Rules'!$C$42:$C$68,0)),""),NOT(OR(IFERROR(INDEX('Taxonomy Rules'!$G$42:$G$68,MATCH(E503,'Taxonomy Rules'!$C$42:$C$68,0)),"")="All supported routes",IFERROR(INDEX('Taxonomy Rules'!$G$42:$G$68,MATCH(E503,'Taxonomy Rules'!$C$42:$C$68,0)),"")=U503,AND(IFERROR(INDEX('Taxonomy Rules'!$G$42:$G$68,MATCH(E503,'Taxonomy Rules'!$C$42:$C$68,0)),"")="Building routes",OR(U503="Building renovation",U503="New building",U503="Building equipment"))))),"Unexpected test","Valid"))))</x:f>
      </x:c>
      <x:c r="S503" s="9" t="str">
        <x:f>IF(C503="","",IFERROR(INDEX('Taxonomy Rules'!$E$42:$E$68,MATCH(E503,'Taxonomy Rules'!$C$42:$C$68,0)),""))</x:f>
      </x:c>
      <x:c r="T503" s="9" t="str">
        <x:f>IF(C503="","",IFERROR(INDEX('Taxonomy Rules'!$F$42:$F$68,MATCH(E503,'Taxonomy Rules'!$C$42:$C$68,0)),""))</x:f>
      </x:c>
      <x:c r="U503" s="9" t="str">
        <x:f>IF(C503="","",IFERROR(INDEX('Taxonomy'!$G$9:$G$108,MATCH(D503,'Taxonomy'!$C$9:$C$108,0)),""))</x:f>
      </x:c>
    </x:row>
    <x:row r="504" ht="44" customHeight="1">
      <x:c r="A504" s="1"/>
      <x:c r="B504" s="1"/>
      <x:c r="C504" s="8"/>
      <x:c r="D504" s="8"/>
      <x:c r="E504" s="8"/>
      <x:c r="F504" s="8"/>
      <x:c r="G504" s="8"/>
      <x:c r="H504" s="8"/>
      <x:c r="I504" s="8"/>
      <x:c r="J504" s="8"/>
      <x:c r="K504" s="8"/>
      <x:c r="L504" s="8"/>
      <x:c r="M504" s="10"/>
      <x:c r="N504" s="10"/>
      <x:c r="O504" s="8"/>
      <x:c r="P504" s="9" t="str">
        <x:f>IF(C504="","",IF(AND(G504="Applicable",H504="Fail"),"Fail",IF(R504&lt;&gt;"Valid","Pending",IF(OR(I504="",K504="",L504="",K504=L504,NOT(ISNUMBER(M504)),NOT(ISNUMBER(N504)),M504&gt;Settings!$F$8,N504&lt;Settings!$F$8,N504&lt;M504),"Pending",IF(AND(G504="Applicable",H504="Pass"),"Pass",IF(AND(G504="N/A",H504="N/A",J504&lt;&gt;"",OR(E504="CEM-FUELS",E504="CEM-CCS",AND(E504="CEM-PLAN",IFERROR(INDEX('Taxonomy'!$M$9:$M$108,MATCH(D504,'Taxonomy'!$C$9:$C$108,0)),"")&lt;&gt;"Amber"),E504="BLD-TIMBER",AND(U504="Building equipment",OR(E504="BLD-WATER",E504="BLD-WASTE",E504="BLD-LAND")),AND(U504="Building renovation",E504="BLD-LAND"))),"N/A","Pending"))))))</x:f>
      </x:c>
      <x:c r="Q504" s="3" t="str">
        <x:f>IF(C504="","",IF(AND(R504="Valid",OR(P504="Pass",P504="N/A")),"Complete","Unresolved"))</x:f>
      </x:c>
      <x:c r="R504" s="9" t="str">
        <x:f>IF(C504="","",IF(OR(COUNTIF($C$9:$C$2008,C504)&lt;&gt;1,COUNTIFS($D$9:$D$2008,D504,$E$9:$E$2008,E504)&lt;&gt;1),"Duplicate test",IF(COUNTIF('Taxonomy'!$C$9:$C$108,D504)&lt;&gt;1,"Assessment key",IF(OR(COUNTIF('Taxonomy Rules'!$C$42:$C$68,E504)&lt;&gt;1,F504&lt;&gt;IFERROR(INDEX('Taxonomy Rules'!$D$42:$D$68,MATCH(E504,'Taxonomy Rules'!$C$42:$C$68,0)),""),NOT(OR(IFERROR(INDEX('Taxonomy Rules'!$G$42:$G$68,MATCH(E504,'Taxonomy Rules'!$C$42:$C$68,0)),"")="All supported routes",IFERROR(INDEX('Taxonomy Rules'!$G$42:$G$68,MATCH(E504,'Taxonomy Rules'!$C$42:$C$68,0)),"")=U504,AND(IFERROR(INDEX('Taxonomy Rules'!$G$42:$G$68,MATCH(E504,'Taxonomy Rules'!$C$42:$C$68,0)),"")="Building routes",OR(U504="Building renovation",U504="New building",U504="Building equipment"))))),"Unexpected test","Valid"))))</x:f>
      </x:c>
      <x:c r="S504" s="9" t="str">
        <x:f>IF(C504="","",IFERROR(INDEX('Taxonomy Rules'!$E$42:$E$68,MATCH(E504,'Taxonomy Rules'!$C$42:$C$68,0)),""))</x:f>
      </x:c>
      <x:c r="T504" s="9" t="str">
        <x:f>IF(C504="","",IFERROR(INDEX('Taxonomy Rules'!$F$42:$F$68,MATCH(E504,'Taxonomy Rules'!$C$42:$C$68,0)),""))</x:f>
      </x:c>
      <x:c r="U504" s="9" t="str">
        <x:f>IF(C504="","",IFERROR(INDEX('Taxonomy'!$G$9:$G$108,MATCH(D504,'Taxonomy'!$C$9:$C$108,0)),""))</x:f>
      </x:c>
    </x:row>
    <x:row r="505" ht="44" customHeight="1">
      <x:c r="A505" s="1"/>
      <x:c r="B505" s="1"/>
      <x:c r="C505" s="8"/>
      <x:c r="D505" s="8"/>
      <x:c r="E505" s="8"/>
      <x:c r="F505" s="8"/>
      <x:c r="G505" s="8"/>
      <x:c r="H505" s="8"/>
      <x:c r="I505" s="8"/>
      <x:c r="J505" s="8"/>
      <x:c r="K505" s="8"/>
      <x:c r="L505" s="8"/>
      <x:c r="M505" s="10"/>
      <x:c r="N505" s="10"/>
      <x:c r="O505" s="8"/>
      <x:c r="P505" s="9" t="str">
        <x:f>IF(C505="","",IF(AND(G505="Applicable",H505="Fail"),"Fail",IF(R505&lt;&gt;"Valid","Pending",IF(OR(I505="",K505="",L505="",K505=L505,NOT(ISNUMBER(M505)),NOT(ISNUMBER(N505)),M505&gt;Settings!$F$8,N505&lt;Settings!$F$8,N505&lt;M505),"Pending",IF(AND(G505="Applicable",H505="Pass"),"Pass",IF(AND(G505="N/A",H505="N/A",J505&lt;&gt;"",OR(E505="CEM-FUELS",E505="CEM-CCS",AND(E505="CEM-PLAN",IFERROR(INDEX('Taxonomy'!$M$9:$M$108,MATCH(D505,'Taxonomy'!$C$9:$C$108,0)),"")&lt;&gt;"Amber"),E505="BLD-TIMBER",AND(U505="Building equipment",OR(E505="BLD-WATER",E505="BLD-WASTE",E505="BLD-LAND")),AND(U505="Building renovation",E505="BLD-LAND"))),"N/A","Pending"))))))</x:f>
      </x:c>
      <x:c r="Q505" s="3" t="str">
        <x:f>IF(C505="","",IF(AND(R505="Valid",OR(P505="Pass",P505="N/A")),"Complete","Unresolved"))</x:f>
      </x:c>
      <x:c r="R505" s="9" t="str">
        <x:f>IF(C505="","",IF(OR(COUNTIF($C$9:$C$2008,C505)&lt;&gt;1,COUNTIFS($D$9:$D$2008,D505,$E$9:$E$2008,E505)&lt;&gt;1),"Duplicate test",IF(COUNTIF('Taxonomy'!$C$9:$C$108,D505)&lt;&gt;1,"Assessment key",IF(OR(COUNTIF('Taxonomy Rules'!$C$42:$C$68,E505)&lt;&gt;1,F505&lt;&gt;IFERROR(INDEX('Taxonomy Rules'!$D$42:$D$68,MATCH(E505,'Taxonomy Rules'!$C$42:$C$68,0)),""),NOT(OR(IFERROR(INDEX('Taxonomy Rules'!$G$42:$G$68,MATCH(E505,'Taxonomy Rules'!$C$42:$C$68,0)),"")="All supported routes",IFERROR(INDEX('Taxonomy Rules'!$G$42:$G$68,MATCH(E505,'Taxonomy Rules'!$C$42:$C$68,0)),"")=U505,AND(IFERROR(INDEX('Taxonomy Rules'!$G$42:$G$68,MATCH(E505,'Taxonomy Rules'!$C$42:$C$68,0)),"")="Building routes",OR(U505="Building renovation",U505="New building",U505="Building equipment"))))),"Unexpected test","Valid"))))</x:f>
      </x:c>
      <x:c r="S505" s="9" t="str">
        <x:f>IF(C505="","",IFERROR(INDEX('Taxonomy Rules'!$E$42:$E$68,MATCH(E505,'Taxonomy Rules'!$C$42:$C$68,0)),""))</x:f>
      </x:c>
      <x:c r="T505" s="9" t="str">
        <x:f>IF(C505="","",IFERROR(INDEX('Taxonomy Rules'!$F$42:$F$68,MATCH(E505,'Taxonomy Rules'!$C$42:$C$68,0)),""))</x:f>
      </x:c>
      <x:c r="U505" s="9" t="str">
        <x:f>IF(C505="","",IFERROR(INDEX('Taxonomy'!$G$9:$G$108,MATCH(D505,'Taxonomy'!$C$9:$C$108,0)),""))</x:f>
      </x:c>
    </x:row>
    <x:row r="506" ht="44" customHeight="1">
      <x:c r="A506" s="1"/>
      <x:c r="B506" s="1"/>
      <x:c r="C506" s="8"/>
      <x:c r="D506" s="8"/>
      <x:c r="E506" s="8"/>
      <x:c r="F506" s="8"/>
      <x:c r="G506" s="8"/>
      <x:c r="H506" s="8"/>
      <x:c r="I506" s="8"/>
      <x:c r="J506" s="8"/>
      <x:c r="K506" s="8"/>
      <x:c r="L506" s="8"/>
      <x:c r="M506" s="10"/>
      <x:c r="N506" s="10"/>
      <x:c r="O506" s="8"/>
      <x:c r="P506" s="9" t="str">
        <x:f>IF(C506="","",IF(AND(G506="Applicable",H506="Fail"),"Fail",IF(R506&lt;&gt;"Valid","Pending",IF(OR(I506="",K506="",L506="",K506=L506,NOT(ISNUMBER(M506)),NOT(ISNUMBER(N506)),M506&gt;Settings!$F$8,N506&lt;Settings!$F$8,N506&lt;M506),"Pending",IF(AND(G506="Applicable",H506="Pass"),"Pass",IF(AND(G506="N/A",H506="N/A",J506&lt;&gt;"",OR(E506="CEM-FUELS",E506="CEM-CCS",AND(E506="CEM-PLAN",IFERROR(INDEX('Taxonomy'!$M$9:$M$108,MATCH(D506,'Taxonomy'!$C$9:$C$108,0)),"")&lt;&gt;"Amber"),E506="BLD-TIMBER",AND(U506="Building equipment",OR(E506="BLD-WATER",E506="BLD-WASTE",E506="BLD-LAND")),AND(U506="Building renovation",E506="BLD-LAND"))),"N/A","Pending"))))))</x:f>
      </x:c>
      <x:c r="Q506" s="3" t="str">
        <x:f>IF(C506="","",IF(AND(R506="Valid",OR(P506="Pass",P506="N/A")),"Complete","Unresolved"))</x:f>
      </x:c>
      <x:c r="R506" s="9" t="str">
        <x:f>IF(C506="","",IF(OR(COUNTIF($C$9:$C$2008,C506)&lt;&gt;1,COUNTIFS($D$9:$D$2008,D506,$E$9:$E$2008,E506)&lt;&gt;1),"Duplicate test",IF(COUNTIF('Taxonomy'!$C$9:$C$108,D506)&lt;&gt;1,"Assessment key",IF(OR(COUNTIF('Taxonomy Rules'!$C$42:$C$68,E506)&lt;&gt;1,F506&lt;&gt;IFERROR(INDEX('Taxonomy Rules'!$D$42:$D$68,MATCH(E506,'Taxonomy Rules'!$C$42:$C$68,0)),""),NOT(OR(IFERROR(INDEX('Taxonomy Rules'!$G$42:$G$68,MATCH(E506,'Taxonomy Rules'!$C$42:$C$68,0)),"")="All supported routes",IFERROR(INDEX('Taxonomy Rules'!$G$42:$G$68,MATCH(E506,'Taxonomy Rules'!$C$42:$C$68,0)),"")=U506,AND(IFERROR(INDEX('Taxonomy Rules'!$G$42:$G$68,MATCH(E506,'Taxonomy Rules'!$C$42:$C$68,0)),"")="Building routes",OR(U506="Building renovation",U506="New building",U506="Building equipment"))))),"Unexpected test","Valid"))))</x:f>
      </x:c>
      <x:c r="S506" s="9" t="str">
        <x:f>IF(C506="","",IFERROR(INDEX('Taxonomy Rules'!$E$42:$E$68,MATCH(E506,'Taxonomy Rules'!$C$42:$C$68,0)),""))</x:f>
      </x:c>
      <x:c r="T506" s="9" t="str">
        <x:f>IF(C506="","",IFERROR(INDEX('Taxonomy Rules'!$F$42:$F$68,MATCH(E506,'Taxonomy Rules'!$C$42:$C$68,0)),""))</x:f>
      </x:c>
      <x:c r="U506" s="9" t="str">
        <x:f>IF(C506="","",IFERROR(INDEX('Taxonomy'!$G$9:$G$108,MATCH(D506,'Taxonomy'!$C$9:$C$108,0)),""))</x:f>
      </x:c>
    </x:row>
    <x:row r="507" ht="44" customHeight="1">
      <x:c r="A507" s="1"/>
      <x:c r="B507" s="1"/>
      <x:c r="C507" s="8"/>
      <x:c r="D507" s="8"/>
      <x:c r="E507" s="8"/>
      <x:c r="F507" s="8"/>
      <x:c r="G507" s="8"/>
      <x:c r="H507" s="8"/>
      <x:c r="I507" s="8"/>
      <x:c r="J507" s="8"/>
      <x:c r="K507" s="8"/>
      <x:c r="L507" s="8"/>
      <x:c r="M507" s="10"/>
      <x:c r="N507" s="10"/>
      <x:c r="O507" s="8"/>
      <x:c r="P507" s="9" t="str">
        <x:f>IF(C507="","",IF(AND(G507="Applicable",H507="Fail"),"Fail",IF(R507&lt;&gt;"Valid","Pending",IF(OR(I507="",K507="",L507="",K507=L507,NOT(ISNUMBER(M507)),NOT(ISNUMBER(N507)),M507&gt;Settings!$F$8,N507&lt;Settings!$F$8,N507&lt;M507),"Pending",IF(AND(G507="Applicable",H507="Pass"),"Pass",IF(AND(G507="N/A",H507="N/A",J507&lt;&gt;"",OR(E507="CEM-FUELS",E507="CEM-CCS",AND(E507="CEM-PLAN",IFERROR(INDEX('Taxonomy'!$M$9:$M$108,MATCH(D507,'Taxonomy'!$C$9:$C$108,0)),"")&lt;&gt;"Amber"),E507="BLD-TIMBER",AND(U507="Building equipment",OR(E507="BLD-WATER",E507="BLD-WASTE",E507="BLD-LAND")),AND(U507="Building renovation",E507="BLD-LAND"))),"N/A","Pending"))))))</x:f>
      </x:c>
      <x:c r="Q507" s="3" t="str">
        <x:f>IF(C507="","",IF(AND(R507="Valid",OR(P507="Pass",P507="N/A")),"Complete","Unresolved"))</x:f>
      </x:c>
      <x:c r="R507" s="9" t="str">
        <x:f>IF(C507="","",IF(OR(COUNTIF($C$9:$C$2008,C507)&lt;&gt;1,COUNTIFS($D$9:$D$2008,D507,$E$9:$E$2008,E507)&lt;&gt;1),"Duplicate test",IF(COUNTIF('Taxonomy'!$C$9:$C$108,D507)&lt;&gt;1,"Assessment key",IF(OR(COUNTIF('Taxonomy Rules'!$C$42:$C$68,E507)&lt;&gt;1,F507&lt;&gt;IFERROR(INDEX('Taxonomy Rules'!$D$42:$D$68,MATCH(E507,'Taxonomy Rules'!$C$42:$C$68,0)),""),NOT(OR(IFERROR(INDEX('Taxonomy Rules'!$G$42:$G$68,MATCH(E507,'Taxonomy Rules'!$C$42:$C$68,0)),"")="All supported routes",IFERROR(INDEX('Taxonomy Rules'!$G$42:$G$68,MATCH(E507,'Taxonomy Rules'!$C$42:$C$68,0)),"")=U507,AND(IFERROR(INDEX('Taxonomy Rules'!$G$42:$G$68,MATCH(E507,'Taxonomy Rules'!$C$42:$C$68,0)),"")="Building routes",OR(U507="Building renovation",U507="New building",U507="Building equipment"))))),"Unexpected test","Valid"))))</x:f>
      </x:c>
      <x:c r="S507" s="9" t="str">
        <x:f>IF(C507="","",IFERROR(INDEX('Taxonomy Rules'!$E$42:$E$68,MATCH(E507,'Taxonomy Rules'!$C$42:$C$68,0)),""))</x:f>
      </x:c>
      <x:c r="T507" s="9" t="str">
        <x:f>IF(C507="","",IFERROR(INDEX('Taxonomy Rules'!$F$42:$F$68,MATCH(E507,'Taxonomy Rules'!$C$42:$C$68,0)),""))</x:f>
      </x:c>
      <x:c r="U507" s="9" t="str">
        <x:f>IF(C507="","",IFERROR(INDEX('Taxonomy'!$G$9:$G$108,MATCH(D507,'Taxonomy'!$C$9:$C$108,0)),""))</x:f>
      </x:c>
    </x:row>
    <x:row r="508" ht="44" customHeight="1">
      <x:c r="A508" s="1"/>
      <x:c r="B508" s="1"/>
      <x:c r="C508" s="8"/>
      <x:c r="D508" s="8"/>
      <x:c r="E508" s="8"/>
      <x:c r="F508" s="8"/>
      <x:c r="G508" s="8"/>
      <x:c r="H508" s="8"/>
      <x:c r="I508" s="8"/>
      <x:c r="J508" s="8"/>
      <x:c r="K508" s="8"/>
      <x:c r="L508" s="8"/>
      <x:c r="M508" s="10"/>
      <x:c r="N508" s="10"/>
      <x:c r="O508" s="8"/>
      <x:c r="P508" s="9" t="str">
        <x:f>IF(C508="","",IF(AND(G508="Applicable",H508="Fail"),"Fail",IF(R508&lt;&gt;"Valid","Pending",IF(OR(I508="",K508="",L508="",K508=L508,NOT(ISNUMBER(M508)),NOT(ISNUMBER(N508)),M508&gt;Settings!$F$8,N508&lt;Settings!$F$8,N508&lt;M508),"Pending",IF(AND(G508="Applicable",H508="Pass"),"Pass",IF(AND(G508="N/A",H508="N/A",J508&lt;&gt;"",OR(E508="CEM-FUELS",E508="CEM-CCS",AND(E508="CEM-PLAN",IFERROR(INDEX('Taxonomy'!$M$9:$M$108,MATCH(D508,'Taxonomy'!$C$9:$C$108,0)),"")&lt;&gt;"Amber"),E508="BLD-TIMBER",AND(U508="Building equipment",OR(E508="BLD-WATER",E508="BLD-WASTE",E508="BLD-LAND")),AND(U508="Building renovation",E508="BLD-LAND"))),"N/A","Pending"))))))</x:f>
      </x:c>
      <x:c r="Q508" s="3" t="str">
        <x:f>IF(C508="","",IF(AND(R508="Valid",OR(P508="Pass",P508="N/A")),"Complete","Unresolved"))</x:f>
      </x:c>
      <x:c r="R508" s="9" t="str">
        <x:f>IF(C508="","",IF(OR(COUNTIF($C$9:$C$2008,C508)&lt;&gt;1,COUNTIFS($D$9:$D$2008,D508,$E$9:$E$2008,E508)&lt;&gt;1),"Duplicate test",IF(COUNTIF('Taxonomy'!$C$9:$C$108,D508)&lt;&gt;1,"Assessment key",IF(OR(COUNTIF('Taxonomy Rules'!$C$42:$C$68,E508)&lt;&gt;1,F508&lt;&gt;IFERROR(INDEX('Taxonomy Rules'!$D$42:$D$68,MATCH(E508,'Taxonomy Rules'!$C$42:$C$68,0)),""),NOT(OR(IFERROR(INDEX('Taxonomy Rules'!$G$42:$G$68,MATCH(E508,'Taxonomy Rules'!$C$42:$C$68,0)),"")="All supported routes",IFERROR(INDEX('Taxonomy Rules'!$G$42:$G$68,MATCH(E508,'Taxonomy Rules'!$C$42:$C$68,0)),"")=U508,AND(IFERROR(INDEX('Taxonomy Rules'!$G$42:$G$68,MATCH(E508,'Taxonomy Rules'!$C$42:$C$68,0)),"")="Building routes",OR(U508="Building renovation",U508="New building",U508="Building equipment"))))),"Unexpected test","Valid"))))</x:f>
      </x:c>
      <x:c r="S508" s="9" t="str">
        <x:f>IF(C508="","",IFERROR(INDEX('Taxonomy Rules'!$E$42:$E$68,MATCH(E508,'Taxonomy Rules'!$C$42:$C$68,0)),""))</x:f>
      </x:c>
      <x:c r="T508" s="9" t="str">
        <x:f>IF(C508="","",IFERROR(INDEX('Taxonomy Rules'!$F$42:$F$68,MATCH(E508,'Taxonomy Rules'!$C$42:$C$68,0)),""))</x:f>
      </x:c>
      <x:c r="U508" s="9" t="str">
        <x:f>IF(C508="","",IFERROR(INDEX('Taxonomy'!$G$9:$G$108,MATCH(D508,'Taxonomy'!$C$9:$C$108,0)),""))</x:f>
      </x:c>
    </x:row>
    <x:row r="509" ht="44" customHeight="1">
      <x:c r="A509" s="1"/>
      <x:c r="B509" s="1"/>
      <x:c r="C509" s="8"/>
      <x:c r="D509" s="8"/>
      <x:c r="E509" s="8"/>
      <x:c r="F509" s="8"/>
      <x:c r="G509" s="8"/>
      <x:c r="H509" s="8"/>
      <x:c r="I509" s="8"/>
      <x:c r="J509" s="8"/>
      <x:c r="K509" s="8"/>
      <x:c r="L509" s="8"/>
      <x:c r="M509" s="10"/>
      <x:c r="N509" s="10"/>
      <x:c r="O509" s="8"/>
      <x:c r="P509" s="9" t="str">
        <x:f>IF(C509="","",IF(AND(G509="Applicable",H509="Fail"),"Fail",IF(R509&lt;&gt;"Valid","Pending",IF(OR(I509="",K509="",L509="",K509=L509,NOT(ISNUMBER(M509)),NOT(ISNUMBER(N509)),M509&gt;Settings!$F$8,N509&lt;Settings!$F$8,N509&lt;M509),"Pending",IF(AND(G509="Applicable",H509="Pass"),"Pass",IF(AND(G509="N/A",H509="N/A",J509&lt;&gt;"",OR(E509="CEM-FUELS",E509="CEM-CCS",AND(E509="CEM-PLAN",IFERROR(INDEX('Taxonomy'!$M$9:$M$108,MATCH(D509,'Taxonomy'!$C$9:$C$108,0)),"")&lt;&gt;"Amber"),E509="BLD-TIMBER",AND(U509="Building equipment",OR(E509="BLD-WATER",E509="BLD-WASTE",E509="BLD-LAND")),AND(U509="Building renovation",E509="BLD-LAND"))),"N/A","Pending"))))))</x:f>
      </x:c>
      <x:c r="Q509" s="3" t="str">
        <x:f>IF(C509="","",IF(AND(R509="Valid",OR(P509="Pass",P509="N/A")),"Complete","Unresolved"))</x:f>
      </x:c>
      <x:c r="R509" s="9" t="str">
        <x:f>IF(C509="","",IF(OR(COUNTIF($C$9:$C$2008,C509)&lt;&gt;1,COUNTIFS($D$9:$D$2008,D509,$E$9:$E$2008,E509)&lt;&gt;1),"Duplicate test",IF(COUNTIF('Taxonomy'!$C$9:$C$108,D509)&lt;&gt;1,"Assessment key",IF(OR(COUNTIF('Taxonomy Rules'!$C$42:$C$68,E509)&lt;&gt;1,F509&lt;&gt;IFERROR(INDEX('Taxonomy Rules'!$D$42:$D$68,MATCH(E509,'Taxonomy Rules'!$C$42:$C$68,0)),""),NOT(OR(IFERROR(INDEX('Taxonomy Rules'!$G$42:$G$68,MATCH(E509,'Taxonomy Rules'!$C$42:$C$68,0)),"")="All supported routes",IFERROR(INDEX('Taxonomy Rules'!$G$42:$G$68,MATCH(E509,'Taxonomy Rules'!$C$42:$C$68,0)),"")=U509,AND(IFERROR(INDEX('Taxonomy Rules'!$G$42:$G$68,MATCH(E509,'Taxonomy Rules'!$C$42:$C$68,0)),"")="Building routes",OR(U509="Building renovation",U509="New building",U509="Building equipment"))))),"Unexpected test","Valid"))))</x:f>
      </x:c>
      <x:c r="S509" s="9" t="str">
        <x:f>IF(C509="","",IFERROR(INDEX('Taxonomy Rules'!$E$42:$E$68,MATCH(E509,'Taxonomy Rules'!$C$42:$C$68,0)),""))</x:f>
      </x:c>
      <x:c r="T509" s="9" t="str">
        <x:f>IF(C509="","",IFERROR(INDEX('Taxonomy Rules'!$F$42:$F$68,MATCH(E509,'Taxonomy Rules'!$C$42:$C$68,0)),""))</x:f>
      </x:c>
      <x:c r="U509" s="9" t="str">
        <x:f>IF(C509="","",IFERROR(INDEX('Taxonomy'!$G$9:$G$108,MATCH(D509,'Taxonomy'!$C$9:$C$108,0)),""))</x:f>
      </x:c>
    </x:row>
    <x:row r="510" ht="44" customHeight="1">
      <x:c r="A510" s="1"/>
      <x:c r="B510" s="1"/>
      <x:c r="C510" s="8"/>
      <x:c r="D510" s="8"/>
      <x:c r="E510" s="8"/>
      <x:c r="F510" s="8"/>
      <x:c r="G510" s="8"/>
      <x:c r="H510" s="8"/>
      <x:c r="I510" s="8"/>
      <x:c r="J510" s="8"/>
      <x:c r="K510" s="8"/>
      <x:c r="L510" s="8"/>
      <x:c r="M510" s="10"/>
      <x:c r="N510" s="10"/>
      <x:c r="O510" s="8"/>
      <x:c r="P510" s="9" t="str">
        <x:f>IF(C510="","",IF(AND(G510="Applicable",H510="Fail"),"Fail",IF(R510&lt;&gt;"Valid","Pending",IF(OR(I510="",K510="",L510="",K510=L510,NOT(ISNUMBER(M510)),NOT(ISNUMBER(N510)),M510&gt;Settings!$F$8,N510&lt;Settings!$F$8,N510&lt;M510),"Pending",IF(AND(G510="Applicable",H510="Pass"),"Pass",IF(AND(G510="N/A",H510="N/A",J510&lt;&gt;"",OR(E510="CEM-FUELS",E510="CEM-CCS",AND(E510="CEM-PLAN",IFERROR(INDEX('Taxonomy'!$M$9:$M$108,MATCH(D510,'Taxonomy'!$C$9:$C$108,0)),"")&lt;&gt;"Amber"),E510="BLD-TIMBER",AND(U510="Building equipment",OR(E510="BLD-WATER",E510="BLD-WASTE",E510="BLD-LAND")),AND(U510="Building renovation",E510="BLD-LAND"))),"N/A","Pending"))))))</x:f>
      </x:c>
      <x:c r="Q510" s="3" t="str">
        <x:f>IF(C510="","",IF(AND(R510="Valid",OR(P510="Pass",P510="N/A")),"Complete","Unresolved"))</x:f>
      </x:c>
      <x:c r="R510" s="9" t="str">
        <x:f>IF(C510="","",IF(OR(COUNTIF($C$9:$C$2008,C510)&lt;&gt;1,COUNTIFS($D$9:$D$2008,D510,$E$9:$E$2008,E510)&lt;&gt;1),"Duplicate test",IF(COUNTIF('Taxonomy'!$C$9:$C$108,D510)&lt;&gt;1,"Assessment key",IF(OR(COUNTIF('Taxonomy Rules'!$C$42:$C$68,E510)&lt;&gt;1,F510&lt;&gt;IFERROR(INDEX('Taxonomy Rules'!$D$42:$D$68,MATCH(E510,'Taxonomy Rules'!$C$42:$C$68,0)),""),NOT(OR(IFERROR(INDEX('Taxonomy Rules'!$G$42:$G$68,MATCH(E510,'Taxonomy Rules'!$C$42:$C$68,0)),"")="All supported routes",IFERROR(INDEX('Taxonomy Rules'!$G$42:$G$68,MATCH(E510,'Taxonomy Rules'!$C$42:$C$68,0)),"")=U510,AND(IFERROR(INDEX('Taxonomy Rules'!$G$42:$G$68,MATCH(E510,'Taxonomy Rules'!$C$42:$C$68,0)),"")="Building routes",OR(U510="Building renovation",U510="New building",U510="Building equipment"))))),"Unexpected test","Valid"))))</x:f>
      </x:c>
      <x:c r="S510" s="9" t="str">
        <x:f>IF(C510="","",IFERROR(INDEX('Taxonomy Rules'!$E$42:$E$68,MATCH(E510,'Taxonomy Rules'!$C$42:$C$68,0)),""))</x:f>
      </x:c>
      <x:c r="T510" s="9" t="str">
        <x:f>IF(C510="","",IFERROR(INDEX('Taxonomy Rules'!$F$42:$F$68,MATCH(E510,'Taxonomy Rules'!$C$42:$C$68,0)),""))</x:f>
      </x:c>
      <x:c r="U510" s="9" t="str">
        <x:f>IF(C510="","",IFERROR(INDEX('Taxonomy'!$G$9:$G$108,MATCH(D510,'Taxonomy'!$C$9:$C$108,0)),""))</x:f>
      </x:c>
    </x:row>
    <x:row r="511" ht="44" customHeight="1">
      <x:c r="A511" s="1"/>
      <x:c r="B511" s="1"/>
      <x:c r="C511" s="8"/>
      <x:c r="D511" s="8"/>
      <x:c r="E511" s="8"/>
      <x:c r="F511" s="8"/>
      <x:c r="G511" s="8"/>
      <x:c r="H511" s="8"/>
      <x:c r="I511" s="8"/>
      <x:c r="J511" s="8"/>
      <x:c r="K511" s="8"/>
      <x:c r="L511" s="8"/>
      <x:c r="M511" s="10"/>
      <x:c r="N511" s="10"/>
      <x:c r="O511" s="8"/>
      <x:c r="P511" s="9" t="str">
        <x:f>IF(C511="","",IF(AND(G511="Applicable",H511="Fail"),"Fail",IF(R511&lt;&gt;"Valid","Pending",IF(OR(I511="",K511="",L511="",K511=L511,NOT(ISNUMBER(M511)),NOT(ISNUMBER(N511)),M511&gt;Settings!$F$8,N511&lt;Settings!$F$8,N511&lt;M511),"Pending",IF(AND(G511="Applicable",H511="Pass"),"Pass",IF(AND(G511="N/A",H511="N/A",J511&lt;&gt;"",OR(E511="CEM-FUELS",E511="CEM-CCS",AND(E511="CEM-PLAN",IFERROR(INDEX('Taxonomy'!$M$9:$M$108,MATCH(D511,'Taxonomy'!$C$9:$C$108,0)),"")&lt;&gt;"Amber"),E511="BLD-TIMBER",AND(U511="Building equipment",OR(E511="BLD-WATER",E511="BLD-WASTE",E511="BLD-LAND")),AND(U511="Building renovation",E511="BLD-LAND"))),"N/A","Pending"))))))</x:f>
      </x:c>
      <x:c r="Q511" s="3" t="str">
        <x:f>IF(C511="","",IF(AND(R511="Valid",OR(P511="Pass",P511="N/A")),"Complete","Unresolved"))</x:f>
      </x:c>
      <x:c r="R511" s="9" t="str">
        <x:f>IF(C511="","",IF(OR(COUNTIF($C$9:$C$2008,C511)&lt;&gt;1,COUNTIFS($D$9:$D$2008,D511,$E$9:$E$2008,E511)&lt;&gt;1),"Duplicate test",IF(COUNTIF('Taxonomy'!$C$9:$C$108,D511)&lt;&gt;1,"Assessment key",IF(OR(COUNTIF('Taxonomy Rules'!$C$42:$C$68,E511)&lt;&gt;1,F511&lt;&gt;IFERROR(INDEX('Taxonomy Rules'!$D$42:$D$68,MATCH(E511,'Taxonomy Rules'!$C$42:$C$68,0)),""),NOT(OR(IFERROR(INDEX('Taxonomy Rules'!$G$42:$G$68,MATCH(E511,'Taxonomy Rules'!$C$42:$C$68,0)),"")="All supported routes",IFERROR(INDEX('Taxonomy Rules'!$G$42:$G$68,MATCH(E511,'Taxonomy Rules'!$C$42:$C$68,0)),"")=U511,AND(IFERROR(INDEX('Taxonomy Rules'!$G$42:$G$68,MATCH(E511,'Taxonomy Rules'!$C$42:$C$68,0)),"")="Building routes",OR(U511="Building renovation",U511="New building",U511="Building equipment"))))),"Unexpected test","Valid"))))</x:f>
      </x:c>
      <x:c r="S511" s="9" t="str">
        <x:f>IF(C511="","",IFERROR(INDEX('Taxonomy Rules'!$E$42:$E$68,MATCH(E511,'Taxonomy Rules'!$C$42:$C$68,0)),""))</x:f>
      </x:c>
      <x:c r="T511" s="9" t="str">
        <x:f>IF(C511="","",IFERROR(INDEX('Taxonomy Rules'!$F$42:$F$68,MATCH(E511,'Taxonomy Rules'!$C$42:$C$68,0)),""))</x:f>
      </x:c>
      <x:c r="U511" s="9" t="str">
        <x:f>IF(C511="","",IFERROR(INDEX('Taxonomy'!$G$9:$G$108,MATCH(D511,'Taxonomy'!$C$9:$C$108,0)),""))</x:f>
      </x:c>
    </x:row>
    <x:row r="512" ht="44" customHeight="1">
      <x:c r="A512" s="1"/>
      <x:c r="B512" s="1"/>
      <x:c r="C512" s="8"/>
      <x:c r="D512" s="8"/>
      <x:c r="E512" s="8"/>
      <x:c r="F512" s="8"/>
      <x:c r="G512" s="8"/>
      <x:c r="H512" s="8"/>
      <x:c r="I512" s="8"/>
      <x:c r="J512" s="8"/>
      <x:c r="K512" s="8"/>
      <x:c r="L512" s="8"/>
      <x:c r="M512" s="10"/>
      <x:c r="N512" s="10"/>
      <x:c r="O512" s="8"/>
      <x:c r="P512" s="9" t="str">
        <x:f>IF(C512="","",IF(AND(G512="Applicable",H512="Fail"),"Fail",IF(R512&lt;&gt;"Valid","Pending",IF(OR(I512="",K512="",L512="",K512=L512,NOT(ISNUMBER(M512)),NOT(ISNUMBER(N512)),M512&gt;Settings!$F$8,N512&lt;Settings!$F$8,N512&lt;M512),"Pending",IF(AND(G512="Applicable",H512="Pass"),"Pass",IF(AND(G512="N/A",H512="N/A",J512&lt;&gt;"",OR(E512="CEM-FUELS",E512="CEM-CCS",AND(E512="CEM-PLAN",IFERROR(INDEX('Taxonomy'!$M$9:$M$108,MATCH(D512,'Taxonomy'!$C$9:$C$108,0)),"")&lt;&gt;"Amber"),E512="BLD-TIMBER",AND(U512="Building equipment",OR(E512="BLD-WATER",E512="BLD-WASTE",E512="BLD-LAND")),AND(U512="Building renovation",E512="BLD-LAND"))),"N/A","Pending"))))))</x:f>
      </x:c>
      <x:c r="Q512" s="3" t="str">
        <x:f>IF(C512="","",IF(AND(R512="Valid",OR(P512="Pass",P512="N/A")),"Complete","Unresolved"))</x:f>
      </x:c>
      <x:c r="R512" s="9" t="str">
        <x:f>IF(C512="","",IF(OR(COUNTIF($C$9:$C$2008,C512)&lt;&gt;1,COUNTIFS($D$9:$D$2008,D512,$E$9:$E$2008,E512)&lt;&gt;1),"Duplicate test",IF(COUNTIF('Taxonomy'!$C$9:$C$108,D512)&lt;&gt;1,"Assessment key",IF(OR(COUNTIF('Taxonomy Rules'!$C$42:$C$68,E512)&lt;&gt;1,F512&lt;&gt;IFERROR(INDEX('Taxonomy Rules'!$D$42:$D$68,MATCH(E512,'Taxonomy Rules'!$C$42:$C$68,0)),""),NOT(OR(IFERROR(INDEX('Taxonomy Rules'!$G$42:$G$68,MATCH(E512,'Taxonomy Rules'!$C$42:$C$68,0)),"")="All supported routes",IFERROR(INDEX('Taxonomy Rules'!$G$42:$G$68,MATCH(E512,'Taxonomy Rules'!$C$42:$C$68,0)),"")=U512,AND(IFERROR(INDEX('Taxonomy Rules'!$G$42:$G$68,MATCH(E512,'Taxonomy Rules'!$C$42:$C$68,0)),"")="Building routes",OR(U512="Building renovation",U512="New building",U512="Building equipment"))))),"Unexpected test","Valid"))))</x:f>
      </x:c>
      <x:c r="S512" s="9" t="str">
        <x:f>IF(C512="","",IFERROR(INDEX('Taxonomy Rules'!$E$42:$E$68,MATCH(E512,'Taxonomy Rules'!$C$42:$C$68,0)),""))</x:f>
      </x:c>
      <x:c r="T512" s="9" t="str">
        <x:f>IF(C512="","",IFERROR(INDEX('Taxonomy Rules'!$F$42:$F$68,MATCH(E512,'Taxonomy Rules'!$C$42:$C$68,0)),""))</x:f>
      </x:c>
      <x:c r="U512" s="9" t="str">
        <x:f>IF(C512="","",IFERROR(INDEX('Taxonomy'!$G$9:$G$108,MATCH(D512,'Taxonomy'!$C$9:$C$108,0)),""))</x:f>
      </x:c>
    </x:row>
    <x:row r="513" ht="44" customHeight="1">
      <x:c r="A513" s="1"/>
      <x:c r="B513" s="1"/>
      <x:c r="C513" s="8"/>
      <x:c r="D513" s="8"/>
      <x:c r="E513" s="8"/>
      <x:c r="F513" s="8"/>
      <x:c r="G513" s="8"/>
      <x:c r="H513" s="8"/>
      <x:c r="I513" s="8"/>
      <x:c r="J513" s="8"/>
      <x:c r="K513" s="8"/>
      <x:c r="L513" s="8"/>
      <x:c r="M513" s="10"/>
      <x:c r="N513" s="10"/>
      <x:c r="O513" s="8"/>
      <x:c r="P513" s="9" t="str">
        <x:f>IF(C513="","",IF(AND(G513="Applicable",H513="Fail"),"Fail",IF(R513&lt;&gt;"Valid","Pending",IF(OR(I513="",K513="",L513="",K513=L513,NOT(ISNUMBER(M513)),NOT(ISNUMBER(N513)),M513&gt;Settings!$F$8,N513&lt;Settings!$F$8,N513&lt;M513),"Pending",IF(AND(G513="Applicable",H513="Pass"),"Pass",IF(AND(G513="N/A",H513="N/A",J513&lt;&gt;"",OR(E513="CEM-FUELS",E513="CEM-CCS",AND(E513="CEM-PLAN",IFERROR(INDEX('Taxonomy'!$M$9:$M$108,MATCH(D513,'Taxonomy'!$C$9:$C$108,0)),"")&lt;&gt;"Amber"),E513="BLD-TIMBER",AND(U513="Building equipment",OR(E513="BLD-WATER",E513="BLD-WASTE",E513="BLD-LAND")),AND(U513="Building renovation",E513="BLD-LAND"))),"N/A","Pending"))))))</x:f>
      </x:c>
      <x:c r="Q513" s="3" t="str">
        <x:f>IF(C513="","",IF(AND(R513="Valid",OR(P513="Pass",P513="N/A")),"Complete","Unresolved"))</x:f>
      </x:c>
      <x:c r="R513" s="9" t="str">
        <x:f>IF(C513="","",IF(OR(COUNTIF($C$9:$C$2008,C513)&lt;&gt;1,COUNTIFS($D$9:$D$2008,D513,$E$9:$E$2008,E513)&lt;&gt;1),"Duplicate test",IF(COUNTIF('Taxonomy'!$C$9:$C$108,D513)&lt;&gt;1,"Assessment key",IF(OR(COUNTIF('Taxonomy Rules'!$C$42:$C$68,E513)&lt;&gt;1,F513&lt;&gt;IFERROR(INDEX('Taxonomy Rules'!$D$42:$D$68,MATCH(E513,'Taxonomy Rules'!$C$42:$C$68,0)),""),NOT(OR(IFERROR(INDEX('Taxonomy Rules'!$G$42:$G$68,MATCH(E513,'Taxonomy Rules'!$C$42:$C$68,0)),"")="All supported routes",IFERROR(INDEX('Taxonomy Rules'!$G$42:$G$68,MATCH(E513,'Taxonomy Rules'!$C$42:$C$68,0)),"")=U513,AND(IFERROR(INDEX('Taxonomy Rules'!$G$42:$G$68,MATCH(E513,'Taxonomy Rules'!$C$42:$C$68,0)),"")="Building routes",OR(U513="Building renovation",U513="New building",U513="Building equipment"))))),"Unexpected test","Valid"))))</x:f>
      </x:c>
      <x:c r="S513" s="9" t="str">
        <x:f>IF(C513="","",IFERROR(INDEX('Taxonomy Rules'!$E$42:$E$68,MATCH(E513,'Taxonomy Rules'!$C$42:$C$68,0)),""))</x:f>
      </x:c>
      <x:c r="T513" s="9" t="str">
        <x:f>IF(C513="","",IFERROR(INDEX('Taxonomy Rules'!$F$42:$F$68,MATCH(E513,'Taxonomy Rules'!$C$42:$C$68,0)),""))</x:f>
      </x:c>
      <x:c r="U513" s="9" t="str">
        <x:f>IF(C513="","",IFERROR(INDEX('Taxonomy'!$G$9:$G$108,MATCH(D513,'Taxonomy'!$C$9:$C$108,0)),""))</x:f>
      </x:c>
    </x:row>
    <x:row r="514" ht="44" customHeight="1">
      <x:c r="A514" s="1"/>
      <x:c r="B514" s="1"/>
      <x:c r="C514" s="8"/>
      <x:c r="D514" s="8"/>
      <x:c r="E514" s="8"/>
      <x:c r="F514" s="8"/>
      <x:c r="G514" s="8"/>
      <x:c r="H514" s="8"/>
      <x:c r="I514" s="8"/>
      <x:c r="J514" s="8"/>
      <x:c r="K514" s="8"/>
      <x:c r="L514" s="8"/>
      <x:c r="M514" s="10"/>
      <x:c r="N514" s="10"/>
      <x:c r="O514" s="8"/>
      <x:c r="P514" s="9" t="str">
        <x:f>IF(C514="","",IF(AND(G514="Applicable",H514="Fail"),"Fail",IF(R514&lt;&gt;"Valid","Pending",IF(OR(I514="",K514="",L514="",K514=L514,NOT(ISNUMBER(M514)),NOT(ISNUMBER(N514)),M514&gt;Settings!$F$8,N514&lt;Settings!$F$8,N514&lt;M514),"Pending",IF(AND(G514="Applicable",H514="Pass"),"Pass",IF(AND(G514="N/A",H514="N/A",J514&lt;&gt;"",OR(E514="CEM-FUELS",E514="CEM-CCS",AND(E514="CEM-PLAN",IFERROR(INDEX('Taxonomy'!$M$9:$M$108,MATCH(D514,'Taxonomy'!$C$9:$C$108,0)),"")&lt;&gt;"Amber"),E514="BLD-TIMBER",AND(U514="Building equipment",OR(E514="BLD-WATER",E514="BLD-WASTE",E514="BLD-LAND")),AND(U514="Building renovation",E514="BLD-LAND"))),"N/A","Pending"))))))</x:f>
      </x:c>
      <x:c r="Q514" s="3" t="str">
        <x:f>IF(C514="","",IF(AND(R514="Valid",OR(P514="Pass",P514="N/A")),"Complete","Unresolved"))</x:f>
      </x:c>
      <x:c r="R514" s="9" t="str">
        <x:f>IF(C514="","",IF(OR(COUNTIF($C$9:$C$2008,C514)&lt;&gt;1,COUNTIFS($D$9:$D$2008,D514,$E$9:$E$2008,E514)&lt;&gt;1),"Duplicate test",IF(COUNTIF('Taxonomy'!$C$9:$C$108,D514)&lt;&gt;1,"Assessment key",IF(OR(COUNTIF('Taxonomy Rules'!$C$42:$C$68,E514)&lt;&gt;1,F514&lt;&gt;IFERROR(INDEX('Taxonomy Rules'!$D$42:$D$68,MATCH(E514,'Taxonomy Rules'!$C$42:$C$68,0)),""),NOT(OR(IFERROR(INDEX('Taxonomy Rules'!$G$42:$G$68,MATCH(E514,'Taxonomy Rules'!$C$42:$C$68,0)),"")="All supported routes",IFERROR(INDEX('Taxonomy Rules'!$G$42:$G$68,MATCH(E514,'Taxonomy Rules'!$C$42:$C$68,0)),"")=U514,AND(IFERROR(INDEX('Taxonomy Rules'!$G$42:$G$68,MATCH(E514,'Taxonomy Rules'!$C$42:$C$68,0)),"")="Building routes",OR(U514="Building renovation",U514="New building",U514="Building equipment"))))),"Unexpected test","Valid"))))</x:f>
      </x:c>
      <x:c r="S514" s="9" t="str">
        <x:f>IF(C514="","",IFERROR(INDEX('Taxonomy Rules'!$E$42:$E$68,MATCH(E514,'Taxonomy Rules'!$C$42:$C$68,0)),""))</x:f>
      </x:c>
      <x:c r="T514" s="9" t="str">
        <x:f>IF(C514="","",IFERROR(INDEX('Taxonomy Rules'!$F$42:$F$68,MATCH(E514,'Taxonomy Rules'!$C$42:$C$68,0)),""))</x:f>
      </x:c>
      <x:c r="U514" s="9" t="str">
        <x:f>IF(C514="","",IFERROR(INDEX('Taxonomy'!$G$9:$G$108,MATCH(D514,'Taxonomy'!$C$9:$C$108,0)),""))</x:f>
      </x:c>
    </x:row>
    <x:row r="515" ht="44" customHeight="1">
      <x:c r="A515" s="1"/>
      <x:c r="B515" s="1"/>
      <x:c r="C515" s="8"/>
      <x:c r="D515" s="8"/>
      <x:c r="E515" s="8"/>
      <x:c r="F515" s="8"/>
      <x:c r="G515" s="8"/>
      <x:c r="H515" s="8"/>
      <x:c r="I515" s="8"/>
      <x:c r="J515" s="8"/>
      <x:c r="K515" s="8"/>
      <x:c r="L515" s="8"/>
      <x:c r="M515" s="10"/>
      <x:c r="N515" s="10"/>
      <x:c r="O515" s="8"/>
      <x:c r="P515" s="9" t="str">
        <x:f>IF(C515="","",IF(AND(G515="Applicable",H515="Fail"),"Fail",IF(R515&lt;&gt;"Valid","Pending",IF(OR(I515="",K515="",L515="",K515=L515,NOT(ISNUMBER(M515)),NOT(ISNUMBER(N515)),M515&gt;Settings!$F$8,N515&lt;Settings!$F$8,N515&lt;M515),"Pending",IF(AND(G515="Applicable",H515="Pass"),"Pass",IF(AND(G515="N/A",H515="N/A",J515&lt;&gt;"",OR(E515="CEM-FUELS",E515="CEM-CCS",AND(E515="CEM-PLAN",IFERROR(INDEX('Taxonomy'!$M$9:$M$108,MATCH(D515,'Taxonomy'!$C$9:$C$108,0)),"")&lt;&gt;"Amber"),E515="BLD-TIMBER",AND(U515="Building equipment",OR(E515="BLD-WATER",E515="BLD-WASTE",E515="BLD-LAND")),AND(U515="Building renovation",E515="BLD-LAND"))),"N/A","Pending"))))))</x:f>
      </x:c>
      <x:c r="Q515" s="3" t="str">
        <x:f>IF(C515="","",IF(AND(R515="Valid",OR(P515="Pass",P515="N/A")),"Complete","Unresolved"))</x:f>
      </x:c>
      <x:c r="R515" s="9" t="str">
        <x:f>IF(C515="","",IF(OR(COUNTIF($C$9:$C$2008,C515)&lt;&gt;1,COUNTIFS($D$9:$D$2008,D515,$E$9:$E$2008,E515)&lt;&gt;1),"Duplicate test",IF(COUNTIF('Taxonomy'!$C$9:$C$108,D515)&lt;&gt;1,"Assessment key",IF(OR(COUNTIF('Taxonomy Rules'!$C$42:$C$68,E515)&lt;&gt;1,F515&lt;&gt;IFERROR(INDEX('Taxonomy Rules'!$D$42:$D$68,MATCH(E515,'Taxonomy Rules'!$C$42:$C$68,0)),""),NOT(OR(IFERROR(INDEX('Taxonomy Rules'!$G$42:$G$68,MATCH(E515,'Taxonomy Rules'!$C$42:$C$68,0)),"")="All supported routes",IFERROR(INDEX('Taxonomy Rules'!$G$42:$G$68,MATCH(E515,'Taxonomy Rules'!$C$42:$C$68,0)),"")=U515,AND(IFERROR(INDEX('Taxonomy Rules'!$G$42:$G$68,MATCH(E515,'Taxonomy Rules'!$C$42:$C$68,0)),"")="Building routes",OR(U515="Building renovation",U515="New building",U515="Building equipment"))))),"Unexpected test","Valid"))))</x:f>
      </x:c>
      <x:c r="S515" s="9" t="str">
        <x:f>IF(C515="","",IFERROR(INDEX('Taxonomy Rules'!$E$42:$E$68,MATCH(E515,'Taxonomy Rules'!$C$42:$C$68,0)),""))</x:f>
      </x:c>
      <x:c r="T515" s="9" t="str">
        <x:f>IF(C515="","",IFERROR(INDEX('Taxonomy Rules'!$F$42:$F$68,MATCH(E515,'Taxonomy Rules'!$C$42:$C$68,0)),""))</x:f>
      </x:c>
      <x:c r="U515" s="9" t="str">
        <x:f>IF(C515="","",IFERROR(INDEX('Taxonomy'!$G$9:$G$108,MATCH(D515,'Taxonomy'!$C$9:$C$108,0)),""))</x:f>
      </x:c>
    </x:row>
    <x:row r="516" ht="44" customHeight="1">
      <x:c r="A516" s="1"/>
      <x:c r="B516" s="1"/>
      <x:c r="C516" s="8"/>
      <x:c r="D516" s="8"/>
      <x:c r="E516" s="8"/>
      <x:c r="F516" s="8"/>
      <x:c r="G516" s="8"/>
      <x:c r="H516" s="8"/>
      <x:c r="I516" s="8"/>
      <x:c r="J516" s="8"/>
      <x:c r="K516" s="8"/>
      <x:c r="L516" s="8"/>
      <x:c r="M516" s="10"/>
      <x:c r="N516" s="10"/>
      <x:c r="O516" s="8"/>
      <x:c r="P516" s="9" t="str">
        <x:f>IF(C516="","",IF(AND(G516="Applicable",H516="Fail"),"Fail",IF(R516&lt;&gt;"Valid","Pending",IF(OR(I516="",K516="",L516="",K516=L516,NOT(ISNUMBER(M516)),NOT(ISNUMBER(N516)),M516&gt;Settings!$F$8,N516&lt;Settings!$F$8,N516&lt;M516),"Pending",IF(AND(G516="Applicable",H516="Pass"),"Pass",IF(AND(G516="N/A",H516="N/A",J516&lt;&gt;"",OR(E516="CEM-FUELS",E516="CEM-CCS",AND(E516="CEM-PLAN",IFERROR(INDEX('Taxonomy'!$M$9:$M$108,MATCH(D516,'Taxonomy'!$C$9:$C$108,0)),"")&lt;&gt;"Amber"),E516="BLD-TIMBER",AND(U516="Building equipment",OR(E516="BLD-WATER",E516="BLD-WASTE",E516="BLD-LAND")),AND(U516="Building renovation",E516="BLD-LAND"))),"N/A","Pending"))))))</x:f>
      </x:c>
      <x:c r="Q516" s="3" t="str">
        <x:f>IF(C516="","",IF(AND(R516="Valid",OR(P516="Pass",P516="N/A")),"Complete","Unresolved"))</x:f>
      </x:c>
      <x:c r="R516" s="9" t="str">
        <x:f>IF(C516="","",IF(OR(COUNTIF($C$9:$C$2008,C516)&lt;&gt;1,COUNTIFS($D$9:$D$2008,D516,$E$9:$E$2008,E516)&lt;&gt;1),"Duplicate test",IF(COUNTIF('Taxonomy'!$C$9:$C$108,D516)&lt;&gt;1,"Assessment key",IF(OR(COUNTIF('Taxonomy Rules'!$C$42:$C$68,E516)&lt;&gt;1,F516&lt;&gt;IFERROR(INDEX('Taxonomy Rules'!$D$42:$D$68,MATCH(E516,'Taxonomy Rules'!$C$42:$C$68,0)),""),NOT(OR(IFERROR(INDEX('Taxonomy Rules'!$G$42:$G$68,MATCH(E516,'Taxonomy Rules'!$C$42:$C$68,0)),"")="All supported routes",IFERROR(INDEX('Taxonomy Rules'!$G$42:$G$68,MATCH(E516,'Taxonomy Rules'!$C$42:$C$68,0)),"")=U516,AND(IFERROR(INDEX('Taxonomy Rules'!$G$42:$G$68,MATCH(E516,'Taxonomy Rules'!$C$42:$C$68,0)),"")="Building routes",OR(U516="Building renovation",U516="New building",U516="Building equipment"))))),"Unexpected test","Valid"))))</x:f>
      </x:c>
      <x:c r="S516" s="9" t="str">
        <x:f>IF(C516="","",IFERROR(INDEX('Taxonomy Rules'!$E$42:$E$68,MATCH(E516,'Taxonomy Rules'!$C$42:$C$68,0)),""))</x:f>
      </x:c>
      <x:c r="T516" s="9" t="str">
        <x:f>IF(C516="","",IFERROR(INDEX('Taxonomy Rules'!$F$42:$F$68,MATCH(E516,'Taxonomy Rules'!$C$42:$C$68,0)),""))</x:f>
      </x:c>
      <x:c r="U516" s="9" t="str">
        <x:f>IF(C516="","",IFERROR(INDEX('Taxonomy'!$G$9:$G$108,MATCH(D516,'Taxonomy'!$C$9:$C$108,0)),""))</x:f>
      </x:c>
    </x:row>
    <x:row r="517" ht="44" customHeight="1">
      <x:c r="A517" s="1"/>
      <x:c r="B517" s="1"/>
      <x:c r="C517" s="8"/>
      <x:c r="D517" s="8"/>
      <x:c r="E517" s="8"/>
      <x:c r="F517" s="8"/>
      <x:c r="G517" s="8"/>
      <x:c r="H517" s="8"/>
      <x:c r="I517" s="8"/>
      <x:c r="J517" s="8"/>
      <x:c r="K517" s="8"/>
      <x:c r="L517" s="8"/>
      <x:c r="M517" s="10"/>
      <x:c r="N517" s="10"/>
      <x:c r="O517" s="8"/>
      <x:c r="P517" s="9" t="str">
        <x:f>IF(C517="","",IF(AND(G517="Applicable",H517="Fail"),"Fail",IF(R517&lt;&gt;"Valid","Pending",IF(OR(I517="",K517="",L517="",K517=L517,NOT(ISNUMBER(M517)),NOT(ISNUMBER(N517)),M517&gt;Settings!$F$8,N517&lt;Settings!$F$8,N517&lt;M517),"Pending",IF(AND(G517="Applicable",H517="Pass"),"Pass",IF(AND(G517="N/A",H517="N/A",J517&lt;&gt;"",OR(E517="CEM-FUELS",E517="CEM-CCS",AND(E517="CEM-PLAN",IFERROR(INDEX('Taxonomy'!$M$9:$M$108,MATCH(D517,'Taxonomy'!$C$9:$C$108,0)),"")&lt;&gt;"Amber"),E517="BLD-TIMBER",AND(U517="Building equipment",OR(E517="BLD-WATER",E517="BLD-WASTE",E517="BLD-LAND")),AND(U517="Building renovation",E517="BLD-LAND"))),"N/A","Pending"))))))</x:f>
      </x:c>
      <x:c r="Q517" s="3" t="str">
        <x:f>IF(C517="","",IF(AND(R517="Valid",OR(P517="Pass",P517="N/A")),"Complete","Unresolved"))</x:f>
      </x:c>
      <x:c r="R517" s="9" t="str">
        <x:f>IF(C517="","",IF(OR(COUNTIF($C$9:$C$2008,C517)&lt;&gt;1,COUNTIFS($D$9:$D$2008,D517,$E$9:$E$2008,E517)&lt;&gt;1),"Duplicate test",IF(COUNTIF('Taxonomy'!$C$9:$C$108,D517)&lt;&gt;1,"Assessment key",IF(OR(COUNTIF('Taxonomy Rules'!$C$42:$C$68,E517)&lt;&gt;1,F517&lt;&gt;IFERROR(INDEX('Taxonomy Rules'!$D$42:$D$68,MATCH(E517,'Taxonomy Rules'!$C$42:$C$68,0)),""),NOT(OR(IFERROR(INDEX('Taxonomy Rules'!$G$42:$G$68,MATCH(E517,'Taxonomy Rules'!$C$42:$C$68,0)),"")="All supported routes",IFERROR(INDEX('Taxonomy Rules'!$G$42:$G$68,MATCH(E517,'Taxonomy Rules'!$C$42:$C$68,0)),"")=U517,AND(IFERROR(INDEX('Taxonomy Rules'!$G$42:$G$68,MATCH(E517,'Taxonomy Rules'!$C$42:$C$68,0)),"")="Building routes",OR(U517="Building renovation",U517="New building",U517="Building equipment"))))),"Unexpected test","Valid"))))</x:f>
      </x:c>
      <x:c r="S517" s="9" t="str">
        <x:f>IF(C517="","",IFERROR(INDEX('Taxonomy Rules'!$E$42:$E$68,MATCH(E517,'Taxonomy Rules'!$C$42:$C$68,0)),""))</x:f>
      </x:c>
      <x:c r="T517" s="9" t="str">
        <x:f>IF(C517="","",IFERROR(INDEX('Taxonomy Rules'!$F$42:$F$68,MATCH(E517,'Taxonomy Rules'!$C$42:$C$68,0)),""))</x:f>
      </x:c>
      <x:c r="U517" s="9" t="str">
        <x:f>IF(C517="","",IFERROR(INDEX('Taxonomy'!$G$9:$G$108,MATCH(D517,'Taxonomy'!$C$9:$C$108,0)),""))</x:f>
      </x:c>
    </x:row>
    <x:row r="518" ht="44" customHeight="1">
      <x:c r="A518" s="1"/>
      <x:c r="B518" s="1"/>
      <x:c r="C518" s="8"/>
      <x:c r="D518" s="8"/>
      <x:c r="E518" s="8"/>
      <x:c r="F518" s="8"/>
      <x:c r="G518" s="8"/>
      <x:c r="H518" s="8"/>
      <x:c r="I518" s="8"/>
      <x:c r="J518" s="8"/>
      <x:c r="K518" s="8"/>
      <x:c r="L518" s="8"/>
      <x:c r="M518" s="10"/>
      <x:c r="N518" s="10"/>
      <x:c r="O518" s="8"/>
      <x:c r="P518" s="9" t="str">
        <x:f>IF(C518="","",IF(AND(G518="Applicable",H518="Fail"),"Fail",IF(R518&lt;&gt;"Valid","Pending",IF(OR(I518="",K518="",L518="",K518=L518,NOT(ISNUMBER(M518)),NOT(ISNUMBER(N518)),M518&gt;Settings!$F$8,N518&lt;Settings!$F$8,N518&lt;M518),"Pending",IF(AND(G518="Applicable",H518="Pass"),"Pass",IF(AND(G518="N/A",H518="N/A",J518&lt;&gt;"",OR(E518="CEM-FUELS",E518="CEM-CCS",AND(E518="CEM-PLAN",IFERROR(INDEX('Taxonomy'!$M$9:$M$108,MATCH(D518,'Taxonomy'!$C$9:$C$108,0)),"")&lt;&gt;"Amber"),E518="BLD-TIMBER",AND(U518="Building equipment",OR(E518="BLD-WATER",E518="BLD-WASTE",E518="BLD-LAND")),AND(U518="Building renovation",E518="BLD-LAND"))),"N/A","Pending"))))))</x:f>
      </x:c>
      <x:c r="Q518" s="3" t="str">
        <x:f>IF(C518="","",IF(AND(R518="Valid",OR(P518="Pass",P518="N/A")),"Complete","Unresolved"))</x:f>
      </x:c>
      <x:c r="R518" s="9" t="str">
        <x:f>IF(C518="","",IF(OR(COUNTIF($C$9:$C$2008,C518)&lt;&gt;1,COUNTIFS($D$9:$D$2008,D518,$E$9:$E$2008,E518)&lt;&gt;1),"Duplicate test",IF(COUNTIF('Taxonomy'!$C$9:$C$108,D518)&lt;&gt;1,"Assessment key",IF(OR(COUNTIF('Taxonomy Rules'!$C$42:$C$68,E518)&lt;&gt;1,F518&lt;&gt;IFERROR(INDEX('Taxonomy Rules'!$D$42:$D$68,MATCH(E518,'Taxonomy Rules'!$C$42:$C$68,0)),""),NOT(OR(IFERROR(INDEX('Taxonomy Rules'!$G$42:$G$68,MATCH(E518,'Taxonomy Rules'!$C$42:$C$68,0)),"")="All supported routes",IFERROR(INDEX('Taxonomy Rules'!$G$42:$G$68,MATCH(E518,'Taxonomy Rules'!$C$42:$C$68,0)),"")=U518,AND(IFERROR(INDEX('Taxonomy Rules'!$G$42:$G$68,MATCH(E518,'Taxonomy Rules'!$C$42:$C$68,0)),"")="Building routes",OR(U518="Building renovation",U518="New building",U518="Building equipment"))))),"Unexpected test","Valid"))))</x:f>
      </x:c>
      <x:c r="S518" s="9" t="str">
        <x:f>IF(C518="","",IFERROR(INDEX('Taxonomy Rules'!$E$42:$E$68,MATCH(E518,'Taxonomy Rules'!$C$42:$C$68,0)),""))</x:f>
      </x:c>
      <x:c r="T518" s="9" t="str">
        <x:f>IF(C518="","",IFERROR(INDEX('Taxonomy Rules'!$F$42:$F$68,MATCH(E518,'Taxonomy Rules'!$C$42:$C$68,0)),""))</x:f>
      </x:c>
      <x:c r="U518" s="9" t="str">
        <x:f>IF(C518="","",IFERROR(INDEX('Taxonomy'!$G$9:$G$108,MATCH(D518,'Taxonomy'!$C$9:$C$108,0)),""))</x:f>
      </x:c>
    </x:row>
    <x:row r="519" ht="44" customHeight="1">
      <x:c r="A519" s="1"/>
      <x:c r="B519" s="1"/>
      <x:c r="C519" s="8"/>
      <x:c r="D519" s="8"/>
      <x:c r="E519" s="8"/>
      <x:c r="F519" s="8"/>
      <x:c r="G519" s="8"/>
      <x:c r="H519" s="8"/>
      <x:c r="I519" s="8"/>
      <x:c r="J519" s="8"/>
      <x:c r="K519" s="8"/>
      <x:c r="L519" s="8"/>
      <x:c r="M519" s="10"/>
      <x:c r="N519" s="10"/>
      <x:c r="O519" s="8"/>
      <x:c r="P519" s="9" t="str">
        <x:f>IF(C519="","",IF(AND(G519="Applicable",H519="Fail"),"Fail",IF(R519&lt;&gt;"Valid","Pending",IF(OR(I519="",K519="",L519="",K519=L519,NOT(ISNUMBER(M519)),NOT(ISNUMBER(N519)),M519&gt;Settings!$F$8,N519&lt;Settings!$F$8,N519&lt;M519),"Pending",IF(AND(G519="Applicable",H519="Pass"),"Pass",IF(AND(G519="N/A",H519="N/A",J519&lt;&gt;"",OR(E519="CEM-FUELS",E519="CEM-CCS",AND(E519="CEM-PLAN",IFERROR(INDEX('Taxonomy'!$M$9:$M$108,MATCH(D519,'Taxonomy'!$C$9:$C$108,0)),"")&lt;&gt;"Amber"),E519="BLD-TIMBER",AND(U519="Building equipment",OR(E519="BLD-WATER",E519="BLD-WASTE",E519="BLD-LAND")),AND(U519="Building renovation",E519="BLD-LAND"))),"N/A","Pending"))))))</x:f>
      </x:c>
      <x:c r="Q519" s="3" t="str">
        <x:f>IF(C519="","",IF(AND(R519="Valid",OR(P519="Pass",P519="N/A")),"Complete","Unresolved"))</x:f>
      </x:c>
      <x:c r="R519" s="9" t="str">
        <x:f>IF(C519="","",IF(OR(COUNTIF($C$9:$C$2008,C519)&lt;&gt;1,COUNTIFS($D$9:$D$2008,D519,$E$9:$E$2008,E519)&lt;&gt;1),"Duplicate test",IF(COUNTIF('Taxonomy'!$C$9:$C$108,D519)&lt;&gt;1,"Assessment key",IF(OR(COUNTIF('Taxonomy Rules'!$C$42:$C$68,E519)&lt;&gt;1,F519&lt;&gt;IFERROR(INDEX('Taxonomy Rules'!$D$42:$D$68,MATCH(E519,'Taxonomy Rules'!$C$42:$C$68,0)),""),NOT(OR(IFERROR(INDEX('Taxonomy Rules'!$G$42:$G$68,MATCH(E519,'Taxonomy Rules'!$C$42:$C$68,0)),"")="All supported routes",IFERROR(INDEX('Taxonomy Rules'!$G$42:$G$68,MATCH(E519,'Taxonomy Rules'!$C$42:$C$68,0)),"")=U519,AND(IFERROR(INDEX('Taxonomy Rules'!$G$42:$G$68,MATCH(E519,'Taxonomy Rules'!$C$42:$C$68,0)),"")="Building routes",OR(U519="Building renovation",U519="New building",U519="Building equipment"))))),"Unexpected test","Valid"))))</x:f>
      </x:c>
      <x:c r="S519" s="9" t="str">
        <x:f>IF(C519="","",IFERROR(INDEX('Taxonomy Rules'!$E$42:$E$68,MATCH(E519,'Taxonomy Rules'!$C$42:$C$68,0)),""))</x:f>
      </x:c>
      <x:c r="T519" s="9" t="str">
        <x:f>IF(C519="","",IFERROR(INDEX('Taxonomy Rules'!$F$42:$F$68,MATCH(E519,'Taxonomy Rules'!$C$42:$C$68,0)),""))</x:f>
      </x:c>
      <x:c r="U519" s="9" t="str">
        <x:f>IF(C519="","",IFERROR(INDEX('Taxonomy'!$G$9:$G$108,MATCH(D519,'Taxonomy'!$C$9:$C$108,0)),""))</x:f>
      </x:c>
    </x:row>
    <x:row r="520" ht="44" customHeight="1">
      <x:c r="A520" s="1"/>
      <x:c r="B520" s="1"/>
      <x:c r="C520" s="8"/>
      <x:c r="D520" s="8"/>
      <x:c r="E520" s="8"/>
      <x:c r="F520" s="8"/>
      <x:c r="G520" s="8"/>
      <x:c r="H520" s="8"/>
      <x:c r="I520" s="8"/>
      <x:c r="J520" s="8"/>
      <x:c r="K520" s="8"/>
      <x:c r="L520" s="8"/>
      <x:c r="M520" s="10"/>
      <x:c r="N520" s="10"/>
      <x:c r="O520" s="8"/>
      <x:c r="P520" s="9" t="str">
        <x:f>IF(C520="","",IF(AND(G520="Applicable",H520="Fail"),"Fail",IF(R520&lt;&gt;"Valid","Pending",IF(OR(I520="",K520="",L520="",K520=L520,NOT(ISNUMBER(M520)),NOT(ISNUMBER(N520)),M520&gt;Settings!$F$8,N520&lt;Settings!$F$8,N520&lt;M520),"Pending",IF(AND(G520="Applicable",H520="Pass"),"Pass",IF(AND(G520="N/A",H520="N/A",J520&lt;&gt;"",OR(E520="CEM-FUELS",E520="CEM-CCS",AND(E520="CEM-PLAN",IFERROR(INDEX('Taxonomy'!$M$9:$M$108,MATCH(D520,'Taxonomy'!$C$9:$C$108,0)),"")&lt;&gt;"Amber"),E520="BLD-TIMBER",AND(U520="Building equipment",OR(E520="BLD-WATER",E520="BLD-WASTE",E520="BLD-LAND")),AND(U520="Building renovation",E520="BLD-LAND"))),"N/A","Pending"))))))</x:f>
      </x:c>
      <x:c r="Q520" s="3" t="str">
        <x:f>IF(C520="","",IF(AND(R520="Valid",OR(P520="Pass",P520="N/A")),"Complete","Unresolved"))</x:f>
      </x:c>
      <x:c r="R520" s="9" t="str">
        <x:f>IF(C520="","",IF(OR(COUNTIF($C$9:$C$2008,C520)&lt;&gt;1,COUNTIFS($D$9:$D$2008,D520,$E$9:$E$2008,E520)&lt;&gt;1),"Duplicate test",IF(COUNTIF('Taxonomy'!$C$9:$C$108,D520)&lt;&gt;1,"Assessment key",IF(OR(COUNTIF('Taxonomy Rules'!$C$42:$C$68,E520)&lt;&gt;1,F520&lt;&gt;IFERROR(INDEX('Taxonomy Rules'!$D$42:$D$68,MATCH(E520,'Taxonomy Rules'!$C$42:$C$68,0)),""),NOT(OR(IFERROR(INDEX('Taxonomy Rules'!$G$42:$G$68,MATCH(E520,'Taxonomy Rules'!$C$42:$C$68,0)),"")="All supported routes",IFERROR(INDEX('Taxonomy Rules'!$G$42:$G$68,MATCH(E520,'Taxonomy Rules'!$C$42:$C$68,0)),"")=U520,AND(IFERROR(INDEX('Taxonomy Rules'!$G$42:$G$68,MATCH(E520,'Taxonomy Rules'!$C$42:$C$68,0)),"")="Building routes",OR(U520="Building renovation",U520="New building",U520="Building equipment"))))),"Unexpected test","Valid"))))</x:f>
      </x:c>
      <x:c r="S520" s="9" t="str">
        <x:f>IF(C520="","",IFERROR(INDEX('Taxonomy Rules'!$E$42:$E$68,MATCH(E520,'Taxonomy Rules'!$C$42:$C$68,0)),""))</x:f>
      </x:c>
      <x:c r="T520" s="9" t="str">
        <x:f>IF(C520="","",IFERROR(INDEX('Taxonomy Rules'!$F$42:$F$68,MATCH(E520,'Taxonomy Rules'!$C$42:$C$68,0)),""))</x:f>
      </x:c>
      <x:c r="U520" s="9" t="str">
        <x:f>IF(C520="","",IFERROR(INDEX('Taxonomy'!$G$9:$G$108,MATCH(D520,'Taxonomy'!$C$9:$C$108,0)),""))</x:f>
      </x:c>
    </x:row>
    <x:row r="521" ht="44" customHeight="1">
      <x:c r="A521" s="1"/>
      <x:c r="B521" s="1"/>
      <x:c r="C521" s="8"/>
      <x:c r="D521" s="8"/>
      <x:c r="E521" s="8"/>
      <x:c r="F521" s="8"/>
      <x:c r="G521" s="8"/>
      <x:c r="H521" s="8"/>
      <x:c r="I521" s="8"/>
      <x:c r="J521" s="8"/>
      <x:c r="K521" s="8"/>
      <x:c r="L521" s="8"/>
      <x:c r="M521" s="10"/>
      <x:c r="N521" s="10"/>
      <x:c r="O521" s="8"/>
      <x:c r="P521" s="9" t="str">
        <x:f>IF(C521="","",IF(AND(G521="Applicable",H521="Fail"),"Fail",IF(R521&lt;&gt;"Valid","Pending",IF(OR(I521="",K521="",L521="",K521=L521,NOT(ISNUMBER(M521)),NOT(ISNUMBER(N521)),M521&gt;Settings!$F$8,N521&lt;Settings!$F$8,N521&lt;M521),"Pending",IF(AND(G521="Applicable",H521="Pass"),"Pass",IF(AND(G521="N/A",H521="N/A",J521&lt;&gt;"",OR(E521="CEM-FUELS",E521="CEM-CCS",AND(E521="CEM-PLAN",IFERROR(INDEX('Taxonomy'!$M$9:$M$108,MATCH(D521,'Taxonomy'!$C$9:$C$108,0)),"")&lt;&gt;"Amber"),E521="BLD-TIMBER",AND(U521="Building equipment",OR(E521="BLD-WATER",E521="BLD-WASTE",E521="BLD-LAND")),AND(U521="Building renovation",E521="BLD-LAND"))),"N/A","Pending"))))))</x:f>
      </x:c>
      <x:c r="Q521" s="3" t="str">
        <x:f>IF(C521="","",IF(AND(R521="Valid",OR(P521="Pass",P521="N/A")),"Complete","Unresolved"))</x:f>
      </x:c>
      <x:c r="R521" s="9" t="str">
        <x:f>IF(C521="","",IF(OR(COUNTIF($C$9:$C$2008,C521)&lt;&gt;1,COUNTIFS($D$9:$D$2008,D521,$E$9:$E$2008,E521)&lt;&gt;1),"Duplicate test",IF(COUNTIF('Taxonomy'!$C$9:$C$108,D521)&lt;&gt;1,"Assessment key",IF(OR(COUNTIF('Taxonomy Rules'!$C$42:$C$68,E521)&lt;&gt;1,F521&lt;&gt;IFERROR(INDEX('Taxonomy Rules'!$D$42:$D$68,MATCH(E521,'Taxonomy Rules'!$C$42:$C$68,0)),""),NOT(OR(IFERROR(INDEX('Taxonomy Rules'!$G$42:$G$68,MATCH(E521,'Taxonomy Rules'!$C$42:$C$68,0)),"")="All supported routes",IFERROR(INDEX('Taxonomy Rules'!$G$42:$G$68,MATCH(E521,'Taxonomy Rules'!$C$42:$C$68,0)),"")=U521,AND(IFERROR(INDEX('Taxonomy Rules'!$G$42:$G$68,MATCH(E521,'Taxonomy Rules'!$C$42:$C$68,0)),"")="Building routes",OR(U521="Building renovation",U521="New building",U521="Building equipment"))))),"Unexpected test","Valid"))))</x:f>
      </x:c>
      <x:c r="S521" s="9" t="str">
        <x:f>IF(C521="","",IFERROR(INDEX('Taxonomy Rules'!$E$42:$E$68,MATCH(E521,'Taxonomy Rules'!$C$42:$C$68,0)),""))</x:f>
      </x:c>
      <x:c r="T521" s="9" t="str">
        <x:f>IF(C521="","",IFERROR(INDEX('Taxonomy Rules'!$F$42:$F$68,MATCH(E521,'Taxonomy Rules'!$C$42:$C$68,0)),""))</x:f>
      </x:c>
      <x:c r="U521" s="9" t="str">
        <x:f>IF(C521="","",IFERROR(INDEX('Taxonomy'!$G$9:$G$108,MATCH(D521,'Taxonomy'!$C$9:$C$108,0)),""))</x:f>
      </x:c>
    </x:row>
    <x:row r="522" ht="44" customHeight="1">
      <x:c r="A522" s="1"/>
      <x:c r="B522" s="1"/>
      <x:c r="C522" s="8"/>
      <x:c r="D522" s="8"/>
      <x:c r="E522" s="8"/>
      <x:c r="F522" s="8"/>
      <x:c r="G522" s="8"/>
      <x:c r="H522" s="8"/>
      <x:c r="I522" s="8"/>
      <x:c r="J522" s="8"/>
      <x:c r="K522" s="8"/>
      <x:c r="L522" s="8"/>
      <x:c r="M522" s="10"/>
      <x:c r="N522" s="10"/>
      <x:c r="O522" s="8"/>
      <x:c r="P522" s="9" t="str">
        <x:f>IF(C522="","",IF(AND(G522="Applicable",H522="Fail"),"Fail",IF(R522&lt;&gt;"Valid","Pending",IF(OR(I522="",K522="",L522="",K522=L522,NOT(ISNUMBER(M522)),NOT(ISNUMBER(N522)),M522&gt;Settings!$F$8,N522&lt;Settings!$F$8,N522&lt;M522),"Pending",IF(AND(G522="Applicable",H522="Pass"),"Pass",IF(AND(G522="N/A",H522="N/A",J522&lt;&gt;"",OR(E522="CEM-FUELS",E522="CEM-CCS",AND(E522="CEM-PLAN",IFERROR(INDEX('Taxonomy'!$M$9:$M$108,MATCH(D522,'Taxonomy'!$C$9:$C$108,0)),"")&lt;&gt;"Amber"),E522="BLD-TIMBER",AND(U522="Building equipment",OR(E522="BLD-WATER",E522="BLD-WASTE",E522="BLD-LAND")),AND(U522="Building renovation",E522="BLD-LAND"))),"N/A","Pending"))))))</x:f>
      </x:c>
      <x:c r="Q522" s="3" t="str">
        <x:f>IF(C522="","",IF(AND(R522="Valid",OR(P522="Pass",P522="N/A")),"Complete","Unresolved"))</x:f>
      </x:c>
      <x:c r="R522" s="9" t="str">
        <x:f>IF(C522="","",IF(OR(COUNTIF($C$9:$C$2008,C522)&lt;&gt;1,COUNTIFS($D$9:$D$2008,D522,$E$9:$E$2008,E522)&lt;&gt;1),"Duplicate test",IF(COUNTIF('Taxonomy'!$C$9:$C$108,D522)&lt;&gt;1,"Assessment key",IF(OR(COUNTIF('Taxonomy Rules'!$C$42:$C$68,E522)&lt;&gt;1,F522&lt;&gt;IFERROR(INDEX('Taxonomy Rules'!$D$42:$D$68,MATCH(E522,'Taxonomy Rules'!$C$42:$C$68,0)),""),NOT(OR(IFERROR(INDEX('Taxonomy Rules'!$G$42:$G$68,MATCH(E522,'Taxonomy Rules'!$C$42:$C$68,0)),"")="All supported routes",IFERROR(INDEX('Taxonomy Rules'!$G$42:$G$68,MATCH(E522,'Taxonomy Rules'!$C$42:$C$68,0)),"")=U522,AND(IFERROR(INDEX('Taxonomy Rules'!$G$42:$G$68,MATCH(E522,'Taxonomy Rules'!$C$42:$C$68,0)),"")="Building routes",OR(U522="Building renovation",U522="New building",U522="Building equipment"))))),"Unexpected test","Valid"))))</x:f>
      </x:c>
      <x:c r="S522" s="9" t="str">
        <x:f>IF(C522="","",IFERROR(INDEX('Taxonomy Rules'!$E$42:$E$68,MATCH(E522,'Taxonomy Rules'!$C$42:$C$68,0)),""))</x:f>
      </x:c>
      <x:c r="T522" s="9" t="str">
        <x:f>IF(C522="","",IFERROR(INDEX('Taxonomy Rules'!$F$42:$F$68,MATCH(E522,'Taxonomy Rules'!$C$42:$C$68,0)),""))</x:f>
      </x:c>
      <x:c r="U522" s="9" t="str">
        <x:f>IF(C522="","",IFERROR(INDEX('Taxonomy'!$G$9:$G$108,MATCH(D522,'Taxonomy'!$C$9:$C$108,0)),""))</x:f>
      </x:c>
    </x:row>
    <x:row r="523" ht="44" customHeight="1">
      <x:c r="A523" s="1"/>
      <x:c r="B523" s="1"/>
      <x:c r="C523" s="8"/>
      <x:c r="D523" s="8"/>
      <x:c r="E523" s="8"/>
      <x:c r="F523" s="8"/>
      <x:c r="G523" s="8"/>
      <x:c r="H523" s="8"/>
      <x:c r="I523" s="8"/>
      <x:c r="J523" s="8"/>
      <x:c r="K523" s="8"/>
      <x:c r="L523" s="8"/>
      <x:c r="M523" s="10"/>
      <x:c r="N523" s="10"/>
      <x:c r="O523" s="8"/>
      <x:c r="P523" s="9" t="str">
        <x:f>IF(C523="","",IF(AND(G523="Applicable",H523="Fail"),"Fail",IF(R523&lt;&gt;"Valid","Pending",IF(OR(I523="",K523="",L523="",K523=L523,NOT(ISNUMBER(M523)),NOT(ISNUMBER(N523)),M523&gt;Settings!$F$8,N523&lt;Settings!$F$8,N523&lt;M523),"Pending",IF(AND(G523="Applicable",H523="Pass"),"Pass",IF(AND(G523="N/A",H523="N/A",J523&lt;&gt;"",OR(E523="CEM-FUELS",E523="CEM-CCS",AND(E523="CEM-PLAN",IFERROR(INDEX('Taxonomy'!$M$9:$M$108,MATCH(D523,'Taxonomy'!$C$9:$C$108,0)),"")&lt;&gt;"Amber"),E523="BLD-TIMBER",AND(U523="Building equipment",OR(E523="BLD-WATER",E523="BLD-WASTE",E523="BLD-LAND")),AND(U523="Building renovation",E523="BLD-LAND"))),"N/A","Pending"))))))</x:f>
      </x:c>
      <x:c r="Q523" s="3" t="str">
        <x:f>IF(C523="","",IF(AND(R523="Valid",OR(P523="Pass",P523="N/A")),"Complete","Unresolved"))</x:f>
      </x:c>
      <x:c r="R523" s="9" t="str">
        <x:f>IF(C523="","",IF(OR(COUNTIF($C$9:$C$2008,C523)&lt;&gt;1,COUNTIFS($D$9:$D$2008,D523,$E$9:$E$2008,E523)&lt;&gt;1),"Duplicate test",IF(COUNTIF('Taxonomy'!$C$9:$C$108,D523)&lt;&gt;1,"Assessment key",IF(OR(COUNTIF('Taxonomy Rules'!$C$42:$C$68,E523)&lt;&gt;1,F523&lt;&gt;IFERROR(INDEX('Taxonomy Rules'!$D$42:$D$68,MATCH(E523,'Taxonomy Rules'!$C$42:$C$68,0)),""),NOT(OR(IFERROR(INDEX('Taxonomy Rules'!$G$42:$G$68,MATCH(E523,'Taxonomy Rules'!$C$42:$C$68,0)),"")="All supported routes",IFERROR(INDEX('Taxonomy Rules'!$G$42:$G$68,MATCH(E523,'Taxonomy Rules'!$C$42:$C$68,0)),"")=U523,AND(IFERROR(INDEX('Taxonomy Rules'!$G$42:$G$68,MATCH(E523,'Taxonomy Rules'!$C$42:$C$68,0)),"")="Building routes",OR(U523="Building renovation",U523="New building",U523="Building equipment"))))),"Unexpected test","Valid"))))</x:f>
      </x:c>
      <x:c r="S523" s="9" t="str">
        <x:f>IF(C523="","",IFERROR(INDEX('Taxonomy Rules'!$E$42:$E$68,MATCH(E523,'Taxonomy Rules'!$C$42:$C$68,0)),""))</x:f>
      </x:c>
      <x:c r="T523" s="9" t="str">
        <x:f>IF(C523="","",IFERROR(INDEX('Taxonomy Rules'!$F$42:$F$68,MATCH(E523,'Taxonomy Rules'!$C$42:$C$68,0)),""))</x:f>
      </x:c>
      <x:c r="U523" s="9" t="str">
        <x:f>IF(C523="","",IFERROR(INDEX('Taxonomy'!$G$9:$G$108,MATCH(D523,'Taxonomy'!$C$9:$C$108,0)),""))</x:f>
      </x:c>
    </x:row>
    <x:row r="524" ht="44" customHeight="1">
      <x:c r="A524" s="1"/>
      <x:c r="B524" s="1"/>
      <x:c r="C524" s="8"/>
      <x:c r="D524" s="8"/>
      <x:c r="E524" s="8"/>
      <x:c r="F524" s="8"/>
      <x:c r="G524" s="8"/>
      <x:c r="H524" s="8"/>
      <x:c r="I524" s="8"/>
      <x:c r="J524" s="8"/>
      <x:c r="K524" s="8"/>
      <x:c r="L524" s="8"/>
      <x:c r="M524" s="10"/>
      <x:c r="N524" s="10"/>
      <x:c r="O524" s="8"/>
      <x:c r="P524" s="9" t="str">
        <x:f>IF(C524="","",IF(AND(G524="Applicable",H524="Fail"),"Fail",IF(R524&lt;&gt;"Valid","Pending",IF(OR(I524="",K524="",L524="",K524=L524,NOT(ISNUMBER(M524)),NOT(ISNUMBER(N524)),M524&gt;Settings!$F$8,N524&lt;Settings!$F$8,N524&lt;M524),"Pending",IF(AND(G524="Applicable",H524="Pass"),"Pass",IF(AND(G524="N/A",H524="N/A",J524&lt;&gt;"",OR(E524="CEM-FUELS",E524="CEM-CCS",AND(E524="CEM-PLAN",IFERROR(INDEX('Taxonomy'!$M$9:$M$108,MATCH(D524,'Taxonomy'!$C$9:$C$108,0)),"")&lt;&gt;"Amber"),E524="BLD-TIMBER",AND(U524="Building equipment",OR(E524="BLD-WATER",E524="BLD-WASTE",E524="BLD-LAND")),AND(U524="Building renovation",E524="BLD-LAND"))),"N/A","Pending"))))))</x:f>
      </x:c>
      <x:c r="Q524" s="3" t="str">
        <x:f>IF(C524="","",IF(AND(R524="Valid",OR(P524="Pass",P524="N/A")),"Complete","Unresolved"))</x:f>
      </x:c>
      <x:c r="R524" s="9" t="str">
        <x:f>IF(C524="","",IF(OR(COUNTIF($C$9:$C$2008,C524)&lt;&gt;1,COUNTIFS($D$9:$D$2008,D524,$E$9:$E$2008,E524)&lt;&gt;1),"Duplicate test",IF(COUNTIF('Taxonomy'!$C$9:$C$108,D524)&lt;&gt;1,"Assessment key",IF(OR(COUNTIF('Taxonomy Rules'!$C$42:$C$68,E524)&lt;&gt;1,F524&lt;&gt;IFERROR(INDEX('Taxonomy Rules'!$D$42:$D$68,MATCH(E524,'Taxonomy Rules'!$C$42:$C$68,0)),""),NOT(OR(IFERROR(INDEX('Taxonomy Rules'!$G$42:$G$68,MATCH(E524,'Taxonomy Rules'!$C$42:$C$68,0)),"")="All supported routes",IFERROR(INDEX('Taxonomy Rules'!$G$42:$G$68,MATCH(E524,'Taxonomy Rules'!$C$42:$C$68,0)),"")=U524,AND(IFERROR(INDEX('Taxonomy Rules'!$G$42:$G$68,MATCH(E524,'Taxonomy Rules'!$C$42:$C$68,0)),"")="Building routes",OR(U524="Building renovation",U524="New building",U524="Building equipment"))))),"Unexpected test","Valid"))))</x:f>
      </x:c>
      <x:c r="S524" s="9" t="str">
        <x:f>IF(C524="","",IFERROR(INDEX('Taxonomy Rules'!$E$42:$E$68,MATCH(E524,'Taxonomy Rules'!$C$42:$C$68,0)),""))</x:f>
      </x:c>
      <x:c r="T524" s="9" t="str">
        <x:f>IF(C524="","",IFERROR(INDEX('Taxonomy Rules'!$F$42:$F$68,MATCH(E524,'Taxonomy Rules'!$C$42:$C$68,0)),""))</x:f>
      </x:c>
      <x:c r="U524" s="9" t="str">
        <x:f>IF(C524="","",IFERROR(INDEX('Taxonomy'!$G$9:$G$108,MATCH(D524,'Taxonomy'!$C$9:$C$108,0)),""))</x:f>
      </x:c>
    </x:row>
    <x:row r="525" ht="44" customHeight="1">
      <x:c r="A525" s="1"/>
      <x:c r="B525" s="1"/>
      <x:c r="C525" s="8"/>
      <x:c r="D525" s="8"/>
      <x:c r="E525" s="8"/>
      <x:c r="F525" s="8"/>
      <x:c r="G525" s="8"/>
      <x:c r="H525" s="8"/>
      <x:c r="I525" s="8"/>
      <x:c r="J525" s="8"/>
      <x:c r="K525" s="8"/>
      <x:c r="L525" s="8"/>
      <x:c r="M525" s="10"/>
      <x:c r="N525" s="10"/>
      <x:c r="O525" s="8"/>
      <x:c r="P525" s="9" t="str">
        <x:f>IF(C525="","",IF(AND(G525="Applicable",H525="Fail"),"Fail",IF(R525&lt;&gt;"Valid","Pending",IF(OR(I525="",K525="",L525="",K525=L525,NOT(ISNUMBER(M525)),NOT(ISNUMBER(N525)),M525&gt;Settings!$F$8,N525&lt;Settings!$F$8,N525&lt;M525),"Pending",IF(AND(G525="Applicable",H525="Pass"),"Pass",IF(AND(G525="N/A",H525="N/A",J525&lt;&gt;"",OR(E525="CEM-FUELS",E525="CEM-CCS",AND(E525="CEM-PLAN",IFERROR(INDEX('Taxonomy'!$M$9:$M$108,MATCH(D525,'Taxonomy'!$C$9:$C$108,0)),"")&lt;&gt;"Amber"),E525="BLD-TIMBER",AND(U525="Building equipment",OR(E525="BLD-WATER",E525="BLD-WASTE",E525="BLD-LAND")),AND(U525="Building renovation",E525="BLD-LAND"))),"N/A","Pending"))))))</x:f>
      </x:c>
      <x:c r="Q525" s="3" t="str">
        <x:f>IF(C525="","",IF(AND(R525="Valid",OR(P525="Pass",P525="N/A")),"Complete","Unresolved"))</x:f>
      </x:c>
      <x:c r="R525" s="9" t="str">
        <x:f>IF(C525="","",IF(OR(COUNTIF($C$9:$C$2008,C525)&lt;&gt;1,COUNTIFS($D$9:$D$2008,D525,$E$9:$E$2008,E525)&lt;&gt;1),"Duplicate test",IF(COUNTIF('Taxonomy'!$C$9:$C$108,D525)&lt;&gt;1,"Assessment key",IF(OR(COUNTIF('Taxonomy Rules'!$C$42:$C$68,E525)&lt;&gt;1,F525&lt;&gt;IFERROR(INDEX('Taxonomy Rules'!$D$42:$D$68,MATCH(E525,'Taxonomy Rules'!$C$42:$C$68,0)),""),NOT(OR(IFERROR(INDEX('Taxonomy Rules'!$G$42:$G$68,MATCH(E525,'Taxonomy Rules'!$C$42:$C$68,0)),"")="All supported routes",IFERROR(INDEX('Taxonomy Rules'!$G$42:$G$68,MATCH(E525,'Taxonomy Rules'!$C$42:$C$68,0)),"")=U525,AND(IFERROR(INDEX('Taxonomy Rules'!$G$42:$G$68,MATCH(E525,'Taxonomy Rules'!$C$42:$C$68,0)),"")="Building routes",OR(U525="Building renovation",U525="New building",U525="Building equipment"))))),"Unexpected test","Valid"))))</x:f>
      </x:c>
      <x:c r="S525" s="9" t="str">
        <x:f>IF(C525="","",IFERROR(INDEX('Taxonomy Rules'!$E$42:$E$68,MATCH(E525,'Taxonomy Rules'!$C$42:$C$68,0)),""))</x:f>
      </x:c>
      <x:c r="T525" s="9" t="str">
        <x:f>IF(C525="","",IFERROR(INDEX('Taxonomy Rules'!$F$42:$F$68,MATCH(E525,'Taxonomy Rules'!$C$42:$C$68,0)),""))</x:f>
      </x:c>
      <x:c r="U525" s="9" t="str">
        <x:f>IF(C525="","",IFERROR(INDEX('Taxonomy'!$G$9:$G$108,MATCH(D525,'Taxonomy'!$C$9:$C$108,0)),""))</x:f>
      </x:c>
    </x:row>
    <x:row r="526" ht="44" customHeight="1">
      <x:c r="A526" s="1"/>
      <x:c r="B526" s="1"/>
      <x:c r="C526" s="8"/>
      <x:c r="D526" s="8"/>
      <x:c r="E526" s="8"/>
      <x:c r="F526" s="8"/>
      <x:c r="G526" s="8"/>
      <x:c r="H526" s="8"/>
      <x:c r="I526" s="8"/>
      <x:c r="J526" s="8"/>
      <x:c r="K526" s="8"/>
      <x:c r="L526" s="8"/>
      <x:c r="M526" s="10"/>
      <x:c r="N526" s="10"/>
      <x:c r="O526" s="8"/>
      <x:c r="P526" s="9" t="str">
        <x:f>IF(C526="","",IF(AND(G526="Applicable",H526="Fail"),"Fail",IF(R526&lt;&gt;"Valid","Pending",IF(OR(I526="",K526="",L526="",K526=L526,NOT(ISNUMBER(M526)),NOT(ISNUMBER(N526)),M526&gt;Settings!$F$8,N526&lt;Settings!$F$8,N526&lt;M526),"Pending",IF(AND(G526="Applicable",H526="Pass"),"Pass",IF(AND(G526="N/A",H526="N/A",J526&lt;&gt;"",OR(E526="CEM-FUELS",E526="CEM-CCS",AND(E526="CEM-PLAN",IFERROR(INDEX('Taxonomy'!$M$9:$M$108,MATCH(D526,'Taxonomy'!$C$9:$C$108,0)),"")&lt;&gt;"Amber"),E526="BLD-TIMBER",AND(U526="Building equipment",OR(E526="BLD-WATER",E526="BLD-WASTE",E526="BLD-LAND")),AND(U526="Building renovation",E526="BLD-LAND"))),"N/A","Pending"))))))</x:f>
      </x:c>
      <x:c r="Q526" s="3" t="str">
        <x:f>IF(C526="","",IF(AND(R526="Valid",OR(P526="Pass",P526="N/A")),"Complete","Unresolved"))</x:f>
      </x:c>
      <x:c r="R526" s="9" t="str">
        <x:f>IF(C526="","",IF(OR(COUNTIF($C$9:$C$2008,C526)&lt;&gt;1,COUNTIFS($D$9:$D$2008,D526,$E$9:$E$2008,E526)&lt;&gt;1),"Duplicate test",IF(COUNTIF('Taxonomy'!$C$9:$C$108,D526)&lt;&gt;1,"Assessment key",IF(OR(COUNTIF('Taxonomy Rules'!$C$42:$C$68,E526)&lt;&gt;1,F526&lt;&gt;IFERROR(INDEX('Taxonomy Rules'!$D$42:$D$68,MATCH(E526,'Taxonomy Rules'!$C$42:$C$68,0)),""),NOT(OR(IFERROR(INDEX('Taxonomy Rules'!$G$42:$G$68,MATCH(E526,'Taxonomy Rules'!$C$42:$C$68,0)),"")="All supported routes",IFERROR(INDEX('Taxonomy Rules'!$G$42:$G$68,MATCH(E526,'Taxonomy Rules'!$C$42:$C$68,0)),"")=U526,AND(IFERROR(INDEX('Taxonomy Rules'!$G$42:$G$68,MATCH(E526,'Taxonomy Rules'!$C$42:$C$68,0)),"")="Building routes",OR(U526="Building renovation",U526="New building",U526="Building equipment"))))),"Unexpected test","Valid"))))</x:f>
      </x:c>
      <x:c r="S526" s="9" t="str">
        <x:f>IF(C526="","",IFERROR(INDEX('Taxonomy Rules'!$E$42:$E$68,MATCH(E526,'Taxonomy Rules'!$C$42:$C$68,0)),""))</x:f>
      </x:c>
      <x:c r="T526" s="9" t="str">
        <x:f>IF(C526="","",IFERROR(INDEX('Taxonomy Rules'!$F$42:$F$68,MATCH(E526,'Taxonomy Rules'!$C$42:$C$68,0)),""))</x:f>
      </x:c>
      <x:c r="U526" s="9" t="str">
        <x:f>IF(C526="","",IFERROR(INDEX('Taxonomy'!$G$9:$G$108,MATCH(D526,'Taxonomy'!$C$9:$C$108,0)),""))</x:f>
      </x:c>
    </x:row>
    <x:row r="527" ht="44" customHeight="1">
      <x:c r="A527" s="1"/>
      <x:c r="B527" s="1"/>
      <x:c r="C527" s="8"/>
      <x:c r="D527" s="8"/>
      <x:c r="E527" s="8"/>
      <x:c r="F527" s="8"/>
      <x:c r="G527" s="8"/>
      <x:c r="H527" s="8"/>
      <x:c r="I527" s="8"/>
      <x:c r="J527" s="8"/>
      <x:c r="K527" s="8"/>
      <x:c r="L527" s="8"/>
      <x:c r="M527" s="10"/>
      <x:c r="N527" s="10"/>
      <x:c r="O527" s="8"/>
      <x:c r="P527" s="9" t="str">
        <x:f>IF(C527="","",IF(AND(G527="Applicable",H527="Fail"),"Fail",IF(R527&lt;&gt;"Valid","Pending",IF(OR(I527="",K527="",L527="",K527=L527,NOT(ISNUMBER(M527)),NOT(ISNUMBER(N527)),M527&gt;Settings!$F$8,N527&lt;Settings!$F$8,N527&lt;M527),"Pending",IF(AND(G527="Applicable",H527="Pass"),"Pass",IF(AND(G527="N/A",H527="N/A",J527&lt;&gt;"",OR(E527="CEM-FUELS",E527="CEM-CCS",AND(E527="CEM-PLAN",IFERROR(INDEX('Taxonomy'!$M$9:$M$108,MATCH(D527,'Taxonomy'!$C$9:$C$108,0)),"")&lt;&gt;"Amber"),E527="BLD-TIMBER",AND(U527="Building equipment",OR(E527="BLD-WATER",E527="BLD-WASTE",E527="BLD-LAND")),AND(U527="Building renovation",E527="BLD-LAND"))),"N/A","Pending"))))))</x:f>
      </x:c>
      <x:c r="Q527" s="3" t="str">
        <x:f>IF(C527="","",IF(AND(R527="Valid",OR(P527="Pass",P527="N/A")),"Complete","Unresolved"))</x:f>
      </x:c>
      <x:c r="R527" s="9" t="str">
        <x:f>IF(C527="","",IF(OR(COUNTIF($C$9:$C$2008,C527)&lt;&gt;1,COUNTIFS($D$9:$D$2008,D527,$E$9:$E$2008,E527)&lt;&gt;1),"Duplicate test",IF(COUNTIF('Taxonomy'!$C$9:$C$108,D527)&lt;&gt;1,"Assessment key",IF(OR(COUNTIF('Taxonomy Rules'!$C$42:$C$68,E527)&lt;&gt;1,F527&lt;&gt;IFERROR(INDEX('Taxonomy Rules'!$D$42:$D$68,MATCH(E527,'Taxonomy Rules'!$C$42:$C$68,0)),""),NOT(OR(IFERROR(INDEX('Taxonomy Rules'!$G$42:$G$68,MATCH(E527,'Taxonomy Rules'!$C$42:$C$68,0)),"")="All supported routes",IFERROR(INDEX('Taxonomy Rules'!$G$42:$G$68,MATCH(E527,'Taxonomy Rules'!$C$42:$C$68,0)),"")=U527,AND(IFERROR(INDEX('Taxonomy Rules'!$G$42:$G$68,MATCH(E527,'Taxonomy Rules'!$C$42:$C$68,0)),"")="Building routes",OR(U527="Building renovation",U527="New building",U527="Building equipment"))))),"Unexpected test","Valid"))))</x:f>
      </x:c>
      <x:c r="S527" s="9" t="str">
        <x:f>IF(C527="","",IFERROR(INDEX('Taxonomy Rules'!$E$42:$E$68,MATCH(E527,'Taxonomy Rules'!$C$42:$C$68,0)),""))</x:f>
      </x:c>
      <x:c r="T527" s="9" t="str">
        <x:f>IF(C527="","",IFERROR(INDEX('Taxonomy Rules'!$F$42:$F$68,MATCH(E527,'Taxonomy Rules'!$C$42:$C$68,0)),""))</x:f>
      </x:c>
      <x:c r="U527" s="9" t="str">
        <x:f>IF(C527="","",IFERROR(INDEX('Taxonomy'!$G$9:$G$108,MATCH(D527,'Taxonomy'!$C$9:$C$108,0)),""))</x:f>
      </x:c>
    </x:row>
    <x:row r="528" ht="44" customHeight="1">
      <x:c r="A528" s="1"/>
      <x:c r="B528" s="1"/>
      <x:c r="C528" s="8"/>
      <x:c r="D528" s="8"/>
      <x:c r="E528" s="8"/>
      <x:c r="F528" s="8"/>
      <x:c r="G528" s="8"/>
      <x:c r="H528" s="8"/>
      <x:c r="I528" s="8"/>
      <x:c r="J528" s="8"/>
      <x:c r="K528" s="8"/>
      <x:c r="L528" s="8"/>
      <x:c r="M528" s="10"/>
      <x:c r="N528" s="10"/>
      <x:c r="O528" s="8"/>
      <x:c r="P528" s="9" t="str">
        <x:f>IF(C528="","",IF(AND(G528="Applicable",H528="Fail"),"Fail",IF(R528&lt;&gt;"Valid","Pending",IF(OR(I528="",K528="",L528="",K528=L528,NOT(ISNUMBER(M528)),NOT(ISNUMBER(N528)),M528&gt;Settings!$F$8,N528&lt;Settings!$F$8,N528&lt;M528),"Pending",IF(AND(G528="Applicable",H528="Pass"),"Pass",IF(AND(G528="N/A",H528="N/A",J528&lt;&gt;"",OR(E528="CEM-FUELS",E528="CEM-CCS",AND(E528="CEM-PLAN",IFERROR(INDEX('Taxonomy'!$M$9:$M$108,MATCH(D528,'Taxonomy'!$C$9:$C$108,0)),"")&lt;&gt;"Amber"),E528="BLD-TIMBER",AND(U528="Building equipment",OR(E528="BLD-WATER",E528="BLD-WASTE",E528="BLD-LAND")),AND(U528="Building renovation",E528="BLD-LAND"))),"N/A","Pending"))))))</x:f>
      </x:c>
      <x:c r="Q528" s="3" t="str">
        <x:f>IF(C528="","",IF(AND(R528="Valid",OR(P528="Pass",P528="N/A")),"Complete","Unresolved"))</x:f>
      </x:c>
      <x:c r="R528" s="9" t="str">
        <x:f>IF(C528="","",IF(OR(COUNTIF($C$9:$C$2008,C528)&lt;&gt;1,COUNTIFS($D$9:$D$2008,D528,$E$9:$E$2008,E528)&lt;&gt;1),"Duplicate test",IF(COUNTIF('Taxonomy'!$C$9:$C$108,D528)&lt;&gt;1,"Assessment key",IF(OR(COUNTIF('Taxonomy Rules'!$C$42:$C$68,E528)&lt;&gt;1,F528&lt;&gt;IFERROR(INDEX('Taxonomy Rules'!$D$42:$D$68,MATCH(E528,'Taxonomy Rules'!$C$42:$C$68,0)),""),NOT(OR(IFERROR(INDEX('Taxonomy Rules'!$G$42:$G$68,MATCH(E528,'Taxonomy Rules'!$C$42:$C$68,0)),"")="All supported routes",IFERROR(INDEX('Taxonomy Rules'!$G$42:$G$68,MATCH(E528,'Taxonomy Rules'!$C$42:$C$68,0)),"")=U528,AND(IFERROR(INDEX('Taxonomy Rules'!$G$42:$G$68,MATCH(E528,'Taxonomy Rules'!$C$42:$C$68,0)),"")="Building routes",OR(U528="Building renovation",U528="New building",U528="Building equipment"))))),"Unexpected test","Valid"))))</x:f>
      </x:c>
      <x:c r="S528" s="9" t="str">
        <x:f>IF(C528="","",IFERROR(INDEX('Taxonomy Rules'!$E$42:$E$68,MATCH(E528,'Taxonomy Rules'!$C$42:$C$68,0)),""))</x:f>
      </x:c>
      <x:c r="T528" s="9" t="str">
        <x:f>IF(C528="","",IFERROR(INDEX('Taxonomy Rules'!$F$42:$F$68,MATCH(E528,'Taxonomy Rules'!$C$42:$C$68,0)),""))</x:f>
      </x:c>
      <x:c r="U528" s="9" t="str">
        <x:f>IF(C528="","",IFERROR(INDEX('Taxonomy'!$G$9:$G$108,MATCH(D528,'Taxonomy'!$C$9:$C$108,0)),""))</x:f>
      </x:c>
    </x:row>
    <x:row r="529" ht="44" customHeight="1">
      <x:c r="A529" s="1"/>
      <x:c r="B529" s="1"/>
      <x:c r="C529" s="8"/>
      <x:c r="D529" s="8"/>
      <x:c r="E529" s="8"/>
      <x:c r="F529" s="8"/>
      <x:c r="G529" s="8"/>
      <x:c r="H529" s="8"/>
      <x:c r="I529" s="8"/>
      <x:c r="J529" s="8"/>
      <x:c r="K529" s="8"/>
      <x:c r="L529" s="8"/>
      <x:c r="M529" s="10"/>
      <x:c r="N529" s="10"/>
      <x:c r="O529" s="8"/>
      <x:c r="P529" s="9" t="str">
        <x:f>IF(C529="","",IF(AND(G529="Applicable",H529="Fail"),"Fail",IF(R529&lt;&gt;"Valid","Pending",IF(OR(I529="",K529="",L529="",K529=L529,NOT(ISNUMBER(M529)),NOT(ISNUMBER(N529)),M529&gt;Settings!$F$8,N529&lt;Settings!$F$8,N529&lt;M529),"Pending",IF(AND(G529="Applicable",H529="Pass"),"Pass",IF(AND(G529="N/A",H529="N/A",J529&lt;&gt;"",OR(E529="CEM-FUELS",E529="CEM-CCS",AND(E529="CEM-PLAN",IFERROR(INDEX('Taxonomy'!$M$9:$M$108,MATCH(D529,'Taxonomy'!$C$9:$C$108,0)),"")&lt;&gt;"Amber"),E529="BLD-TIMBER",AND(U529="Building equipment",OR(E529="BLD-WATER",E529="BLD-WASTE",E529="BLD-LAND")),AND(U529="Building renovation",E529="BLD-LAND"))),"N/A","Pending"))))))</x:f>
      </x:c>
      <x:c r="Q529" s="3" t="str">
        <x:f>IF(C529="","",IF(AND(R529="Valid",OR(P529="Pass",P529="N/A")),"Complete","Unresolved"))</x:f>
      </x:c>
      <x:c r="R529" s="9" t="str">
        <x:f>IF(C529="","",IF(OR(COUNTIF($C$9:$C$2008,C529)&lt;&gt;1,COUNTIFS($D$9:$D$2008,D529,$E$9:$E$2008,E529)&lt;&gt;1),"Duplicate test",IF(COUNTIF('Taxonomy'!$C$9:$C$108,D529)&lt;&gt;1,"Assessment key",IF(OR(COUNTIF('Taxonomy Rules'!$C$42:$C$68,E529)&lt;&gt;1,F529&lt;&gt;IFERROR(INDEX('Taxonomy Rules'!$D$42:$D$68,MATCH(E529,'Taxonomy Rules'!$C$42:$C$68,0)),""),NOT(OR(IFERROR(INDEX('Taxonomy Rules'!$G$42:$G$68,MATCH(E529,'Taxonomy Rules'!$C$42:$C$68,0)),"")="All supported routes",IFERROR(INDEX('Taxonomy Rules'!$G$42:$G$68,MATCH(E529,'Taxonomy Rules'!$C$42:$C$68,0)),"")=U529,AND(IFERROR(INDEX('Taxonomy Rules'!$G$42:$G$68,MATCH(E529,'Taxonomy Rules'!$C$42:$C$68,0)),"")="Building routes",OR(U529="Building renovation",U529="New building",U529="Building equipment"))))),"Unexpected test","Valid"))))</x:f>
      </x:c>
      <x:c r="S529" s="9" t="str">
        <x:f>IF(C529="","",IFERROR(INDEX('Taxonomy Rules'!$E$42:$E$68,MATCH(E529,'Taxonomy Rules'!$C$42:$C$68,0)),""))</x:f>
      </x:c>
      <x:c r="T529" s="9" t="str">
        <x:f>IF(C529="","",IFERROR(INDEX('Taxonomy Rules'!$F$42:$F$68,MATCH(E529,'Taxonomy Rules'!$C$42:$C$68,0)),""))</x:f>
      </x:c>
      <x:c r="U529" s="9" t="str">
        <x:f>IF(C529="","",IFERROR(INDEX('Taxonomy'!$G$9:$G$108,MATCH(D529,'Taxonomy'!$C$9:$C$108,0)),""))</x:f>
      </x:c>
    </x:row>
    <x:row r="530" ht="44" customHeight="1">
      <x:c r="A530" s="1"/>
      <x:c r="B530" s="1"/>
      <x:c r="C530" s="8"/>
      <x:c r="D530" s="8"/>
      <x:c r="E530" s="8"/>
      <x:c r="F530" s="8"/>
      <x:c r="G530" s="8"/>
      <x:c r="H530" s="8"/>
      <x:c r="I530" s="8"/>
      <x:c r="J530" s="8"/>
      <x:c r="K530" s="8"/>
      <x:c r="L530" s="8"/>
      <x:c r="M530" s="10"/>
      <x:c r="N530" s="10"/>
      <x:c r="O530" s="8"/>
      <x:c r="P530" s="9" t="str">
        <x:f>IF(C530="","",IF(AND(G530="Applicable",H530="Fail"),"Fail",IF(R530&lt;&gt;"Valid","Pending",IF(OR(I530="",K530="",L530="",K530=L530,NOT(ISNUMBER(M530)),NOT(ISNUMBER(N530)),M530&gt;Settings!$F$8,N530&lt;Settings!$F$8,N530&lt;M530),"Pending",IF(AND(G530="Applicable",H530="Pass"),"Pass",IF(AND(G530="N/A",H530="N/A",J530&lt;&gt;"",OR(E530="CEM-FUELS",E530="CEM-CCS",AND(E530="CEM-PLAN",IFERROR(INDEX('Taxonomy'!$M$9:$M$108,MATCH(D530,'Taxonomy'!$C$9:$C$108,0)),"")&lt;&gt;"Amber"),E530="BLD-TIMBER",AND(U530="Building equipment",OR(E530="BLD-WATER",E530="BLD-WASTE",E530="BLD-LAND")),AND(U530="Building renovation",E530="BLD-LAND"))),"N/A","Pending"))))))</x:f>
      </x:c>
      <x:c r="Q530" s="3" t="str">
        <x:f>IF(C530="","",IF(AND(R530="Valid",OR(P530="Pass",P530="N/A")),"Complete","Unresolved"))</x:f>
      </x:c>
      <x:c r="R530" s="9" t="str">
        <x:f>IF(C530="","",IF(OR(COUNTIF($C$9:$C$2008,C530)&lt;&gt;1,COUNTIFS($D$9:$D$2008,D530,$E$9:$E$2008,E530)&lt;&gt;1),"Duplicate test",IF(COUNTIF('Taxonomy'!$C$9:$C$108,D530)&lt;&gt;1,"Assessment key",IF(OR(COUNTIF('Taxonomy Rules'!$C$42:$C$68,E530)&lt;&gt;1,F530&lt;&gt;IFERROR(INDEX('Taxonomy Rules'!$D$42:$D$68,MATCH(E530,'Taxonomy Rules'!$C$42:$C$68,0)),""),NOT(OR(IFERROR(INDEX('Taxonomy Rules'!$G$42:$G$68,MATCH(E530,'Taxonomy Rules'!$C$42:$C$68,0)),"")="All supported routes",IFERROR(INDEX('Taxonomy Rules'!$G$42:$G$68,MATCH(E530,'Taxonomy Rules'!$C$42:$C$68,0)),"")=U530,AND(IFERROR(INDEX('Taxonomy Rules'!$G$42:$G$68,MATCH(E530,'Taxonomy Rules'!$C$42:$C$68,0)),"")="Building routes",OR(U530="Building renovation",U530="New building",U530="Building equipment"))))),"Unexpected test","Valid"))))</x:f>
      </x:c>
      <x:c r="S530" s="9" t="str">
        <x:f>IF(C530="","",IFERROR(INDEX('Taxonomy Rules'!$E$42:$E$68,MATCH(E530,'Taxonomy Rules'!$C$42:$C$68,0)),""))</x:f>
      </x:c>
      <x:c r="T530" s="9" t="str">
        <x:f>IF(C530="","",IFERROR(INDEX('Taxonomy Rules'!$F$42:$F$68,MATCH(E530,'Taxonomy Rules'!$C$42:$C$68,0)),""))</x:f>
      </x:c>
      <x:c r="U530" s="9" t="str">
        <x:f>IF(C530="","",IFERROR(INDEX('Taxonomy'!$G$9:$G$108,MATCH(D530,'Taxonomy'!$C$9:$C$108,0)),""))</x:f>
      </x:c>
    </x:row>
    <x:row r="531" ht="44" customHeight="1">
      <x:c r="A531" s="1"/>
      <x:c r="B531" s="1"/>
      <x:c r="C531" s="8"/>
      <x:c r="D531" s="8"/>
      <x:c r="E531" s="8"/>
      <x:c r="F531" s="8"/>
      <x:c r="G531" s="8"/>
      <x:c r="H531" s="8"/>
      <x:c r="I531" s="8"/>
      <x:c r="J531" s="8"/>
      <x:c r="K531" s="8"/>
      <x:c r="L531" s="8"/>
      <x:c r="M531" s="10"/>
      <x:c r="N531" s="10"/>
      <x:c r="O531" s="8"/>
      <x:c r="P531" s="9" t="str">
        <x:f>IF(C531="","",IF(AND(G531="Applicable",H531="Fail"),"Fail",IF(R531&lt;&gt;"Valid","Pending",IF(OR(I531="",K531="",L531="",K531=L531,NOT(ISNUMBER(M531)),NOT(ISNUMBER(N531)),M531&gt;Settings!$F$8,N531&lt;Settings!$F$8,N531&lt;M531),"Pending",IF(AND(G531="Applicable",H531="Pass"),"Pass",IF(AND(G531="N/A",H531="N/A",J531&lt;&gt;"",OR(E531="CEM-FUELS",E531="CEM-CCS",AND(E531="CEM-PLAN",IFERROR(INDEX('Taxonomy'!$M$9:$M$108,MATCH(D531,'Taxonomy'!$C$9:$C$108,0)),"")&lt;&gt;"Amber"),E531="BLD-TIMBER",AND(U531="Building equipment",OR(E531="BLD-WATER",E531="BLD-WASTE",E531="BLD-LAND")),AND(U531="Building renovation",E531="BLD-LAND"))),"N/A","Pending"))))))</x:f>
      </x:c>
      <x:c r="Q531" s="3" t="str">
        <x:f>IF(C531="","",IF(AND(R531="Valid",OR(P531="Pass",P531="N/A")),"Complete","Unresolved"))</x:f>
      </x:c>
      <x:c r="R531" s="9" t="str">
        <x:f>IF(C531="","",IF(OR(COUNTIF($C$9:$C$2008,C531)&lt;&gt;1,COUNTIFS($D$9:$D$2008,D531,$E$9:$E$2008,E531)&lt;&gt;1),"Duplicate test",IF(COUNTIF('Taxonomy'!$C$9:$C$108,D531)&lt;&gt;1,"Assessment key",IF(OR(COUNTIF('Taxonomy Rules'!$C$42:$C$68,E531)&lt;&gt;1,F531&lt;&gt;IFERROR(INDEX('Taxonomy Rules'!$D$42:$D$68,MATCH(E531,'Taxonomy Rules'!$C$42:$C$68,0)),""),NOT(OR(IFERROR(INDEX('Taxonomy Rules'!$G$42:$G$68,MATCH(E531,'Taxonomy Rules'!$C$42:$C$68,0)),"")="All supported routes",IFERROR(INDEX('Taxonomy Rules'!$G$42:$G$68,MATCH(E531,'Taxonomy Rules'!$C$42:$C$68,0)),"")=U531,AND(IFERROR(INDEX('Taxonomy Rules'!$G$42:$G$68,MATCH(E531,'Taxonomy Rules'!$C$42:$C$68,0)),"")="Building routes",OR(U531="Building renovation",U531="New building",U531="Building equipment"))))),"Unexpected test","Valid"))))</x:f>
      </x:c>
      <x:c r="S531" s="9" t="str">
        <x:f>IF(C531="","",IFERROR(INDEX('Taxonomy Rules'!$E$42:$E$68,MATCH(E531,'Taxonomy Rules'!$C$42:$C$68,0)),""))</x:f>
      </x:c>
      <x:c r="T531" s="9" t="str">
        <x:f>IF(C531="","",IFERROR(INDEX('Taxonomy Rules'!$F$42:$F$68,MATCH(E531,'Taxonomy Rules'!$C$42:$C$68,0)),""))</x:f>
      </x:c>
      <x:c r="U531" s="9" t="str">
        <x:f>IF(C531="","",IFERROR(INDEX('Taxonomy'!$G$9:$G$108,MATCH(D531,'Taxonomy'!$C$9:$C$108,0)),""))</x:f>
      </x:c>
    </x:row>
    <x:row r="532" ht="44" customHeight="1">
      <x:c r="A532" s="1"/>
      <x:c r="B532" s="1"/>
      <x:c r="C532" s="8"/>
      <x:c r="D532" s="8"/>
      <x:c r="E532" s="8"/>
      <x:c r="F532" s="8"/>
      <x:c r="G532" s="8"/>
      <x:c r="H532" s="8"/>
      <x:c r="I532" s="8"/>
      <x:c r="J532" s="8"/>
      <x:c r="K532" s="8"/>
      <x:c r="L532" s="8"/>
      <x:c r="M532" s="10"/>
      <x:c r="N532" s="10"/>
      <x:c r="O532" s="8"/>
      <x:c r="P532" s="9" t="str">
        <x:f>IF(C532="","",IF(AND(G532="Applicable",H532="Fail"),"Fail",IF(R532&lt;&gt;"Valid","Pending",IF(OR(I532="",K532="",L532="",K532=L532,NOT(ISNUMBER(M532)),NOT(ISNUMBER(N532)),M532&gt;Settings!$F$8,N532&lt;Settings!$F$8,N532&lt;M532),"Pending",IF(AND(G532="Applicable",H532="Pass"),"Pass",IF(AND(G532="N/A",H532="N/A",J532&lt;&gt;"",OR(E532="CEM-FUELS",E532="CEM-CCS",AND(E532="CEM-PLAN",IFERROR(INDEX('Taxonomy'!$M$9:$M$108,MATCH(D532,'Taxonomy'!$C$9:$C$108,0)),"")&lt;&gt;"Amber"),E532="BLD-TIMBER",AND(U532="Building equipment",OR(E532="BLD-WATER",E532="BLD-WASTE",E532="BLD-LAND")),AND(U532="Building renovation",E532="BLD-LAND"))),"N/A","Pending"))))))</x:f>
      </x:c>
      <x:c r="Q532" s="3" t="str">
        <x:f>IF(C532="","",IF(AND(R532="Valid",OR(P532="Pass",P532="N/A")),"Complete","Unresolved"))</x:f>
      </x:c>
      <x:c r="R532" s="9" t="str">
        <x:f>IF(C532="","",IF(OR(COUNTIF($C$9:$C$2008,C532)&lt;&gt;1,COUNTIFS($D$9:$D$2008,D532,$E$9:$E$2008,E532)&lt;&gt;1),"Duplicate test",IF(COUNTIF('Taxonomy'!$C$9:$C$108,D532)&lt;&gt;1,"Assessment key",IF(OR(COUNTIF('Taxonomy Rules'!$C$42:$C$68,E532)&lt;&gt;1,F532&lt;&gt;IFERROR(INDEX('Taxonomy Rules'!$D$42:$D$68,MATCH(E532,'Taxonomy Rules'!$C$42:$C$68,0)),""),NOT(OR(IFERROR(INDEX('Taxonomy Rules'!$G$42:$G$68,MATCH(E532,'Taxonomy Rules'!$C$42:$C$68,0)),"")="All supported routes",IFERROR(INDEX('Taxonomy Rules'!$G$42:$G$68,MATCH(E532,'Taxonomy Rules'!$C$42:$C$68,0)),"")=U532,AND(IFERROR(INDEX('Taxonomy Rules'!$G$42:$G$68,MATCH(E532,'Taxonomy Rules'!$C$42:$C$68,0)),"")="Building routes",OR(U532="Building renovation",U532="New building",U532="Building equipment"))))),"Unexpected test","Valid"))))</x:f>
      </x:c>
      <x:c r="S532" s="9" t="str">
        <x:f>IF(C532="","",IFERROR(INDEX('Taxonomy Rules'!$E$42:$E$68,MATCH(E532,'Taxonomy Rules'!$C$42:$C$68,0)),""))</x:f>
      </x:c>
      <x:c r="T532" s="9" t="str">
        <x:f>IF(C532="","",IFERROR(INDEX('Taxonomy Rules'!$F$42:$F$68,MATCH(E532,'Taxonomy Rules'!$C$42:$C$68,0)),""))</x:f>
      </x:c>
      <x:c r="U532" s="9" t="str">
        <x:f>IF(C532="","",IFERROR(INDEX('Taxonomy'!$G$9:$G$108,MATCH(D532,'Taxonomy'!$C$9:$C$108,0)),""))</x:f>
      </x:c>
    </x:row>
    <x:row r="533" ht="44" customHeight="1">
      <x:c r="A533" s="1"/>
      <x:c r="B533" s="1"/>
      <x:c r="C533" s="8"/>
      <x:c r="D533" s="8"/>
      <x:c r="E533" s="8"/>
      <x:c r="F533" s="8"/>
      <x:c r="G533" s="8"/>
      <x:c r="H533" s="8"/>
      <x:c r="I533" s="8"/>
      <x:c r="J533" s="8"/>
      <x:c r="K533" s="8"/>
      <x:c r="L533" s="8"/>
      <x:c r="M533" s="10"/>
      <x:c r="N533" s="10"/>
      <x:c r="O533" s="8"/>
      <x:c r="P533" s="9" t="str">
        <x:f>IF(C533="","",IF(AND(G533="Applicable",H533="Fail"),"Fail",IF(R533&lt;&gt;"Valid","Pending",IF(OR(I533="",K533="",L533="",K533=L533,NOT(ISNUMBER(M533)),NOT(ISNUMBER(N533)),M533&gt;Settings!$F$8,N533&lt;Settings!$F$8,N533&lt;M533),"Pending",IF(AND(G533="Applicable",H533="Pass"),"Pass",IF(AND(G533="N/A",H533="N/A",J533&lt;&gt;"",OR(E533="CEM-FUELS",E533="CEM-CCS",AND(E533="CEM-PLAN",IFERROR(INDEX('Taxonomy'!$M$9:$M$108,MATCH(D533,'Taxonomy'!$C$9:$C$108,0)),"")&lt;&gt;"Amber"),E533="BLD-TIMBER",AND(U533="Building equipment",OR(E533="BLD-WATER",E533="BLD-WASTE",E533="BLD-LAND")),AND(U533="Building renovation",E533="BLD-LAND"))),"N/A","Pending"))))))</x:f>
      </x:c>
      <x:c r="Q533" s="3" t="str">
        <x:f>IF(C533="","",IF(AND(R533="Valid",OR(P533="Pass",P533="N/A")),"Complete","Unresolved"))</x:f>
      </x:c>
      <x:c r="R533" s="9" t="str">
        <x:f>IF(C533="","",IF(OR(COUNTIF($C$9:$C$2008,C533)&lt;&gt;1,COUNTIFS($D$9:$D$2008,D533,$E$9:$E$2008,E533)&lt;&gt;1),"Duplicate test",IF(COUNTIF('Taxonomy'!$C$9:$C$108,D533)&lt;&gt;1,"Assessment key",IF(OR(COUNTIF('Taxonomy Rules'!$C$42:$C$68,E533)&lt;&gt;1,F533&lt;&gt;IFERROR(INDEX('Taxonomy Rules'!$D$42:$D$68,MATCH(E533,'Taxonomy Rules'!$C$42:$C$68,0)),""),NOT(OR(IFERROR(INDEX('Taxonomy Rules'!$G$42:$G$68,MATCH(E533,'Taxonomy Rules'!$C$42:$C$68,0)),"")="All supported routes",IFERROR(INDEX('Taxonomy Rules'!$G$42:$G$68,MATCH(E533,'Taxonomy Rules'!$C$42:$C$68,0)),"")=U533,AND(IFERROR(INDEX('Taxonomy Rules'!$G$42:$G$68,MATCH(E533,'Taxonomy Rules'!$C$42:$C$68,0)),"")="Building routes",OR(U533="Building renovation",U533="New building",U533="Building equipment"))))),"Unexpected test","Valid"))))</x:f>
      </x:c>
      <x:c r="S533" s="9" t="str">
        <x:f>IF(C533="","",IFERROR(INDEX('Taxonomy Rules'!$E$42:$E$68,MATCH(E533,'Taxonomy Rules'!$C$42:$C$68,0)),""))</x:f>
      </x:c>
      <x:c r="T533" s="9" t="str">
        <x:f>IF(C533="","",IFERROR(INDEX('Taxonomy Rules'!$F$42:$F$68,MATCH(E533,'Taxonomy Rules'!$C$42:$C$68,0)),""))</x:f>
      </x:c>
      <x:c r="U533" s="9" t="str">
        <x:f>IF(C533="","",IFERROR(INDEX('Taxonomy'!$G$9:$G$108,MATCH(D533,'Taxonomy'!$C$9:$C$108,0)),""))</x:f>
      </x:c>
    </x:row>
    <x:row r="534" ht="44" customHeight="1">
      <x:c r="A534" s="1"/>
      <x:c r="B534" s="1"/>
      <x:c r="C534" s="8"/>
      <x:c r="D534" s="8"/>
      <x:c r="E534" s="8"/>
      <x:c r="F534" s="8"/>
      <x:c r="G534" s="8"/>
      <x:c r="H534" s="8"/>
      <x:c r="I534" s="8"/>
      <x:c r="J534" s="8"/>
      <x:c r="K534" s="8"/>
      <x:c r="L534" s="8"/>
      <x:c r="M534" s="10"/>
      <x:c r="N534" s="10"/>
      <x:c r="O534" s="8"/>
      <x:c r="P534" s="9" t="str">
        <x:f>IF(C534="","",IF(AND(G534="Applicable",H534="Fail"),"Fail",IF(R534&lt;&gt;"Valid","Pending",IF(OR(I534="",K534="",L534="",K534=L534,NOT(ISNUMBER(M534)),NOT(ISNUMBER(N534)),M534&gt;Settings!$F$8,N534&lt;Settings!$F$8,N534&lt;M534),"Pending",IF(AND(G534="Applicable",H534="Pass"),"Pass",IF(AND(G534="N/A",H534="N/A",J534&lt;&gt;"",OR(E534="CEM-FUELS",E534="CEM-CCS",AND(E534="CEM-PLAN",IFERROR(INDEX('Taxonomy'!$M$9:$M$108,MATCH(D534,'Taxonomy'!$C$9:$C$108,0)),"")&lt;&gt;"Amber"),E534="BLD-TIMBER",AND(U534="Building equipment",OR(E534="BLD-WATER",E534="BLD-WASTE",E534="BLD-LAND")),AND(U534="Building renovation",E534="BLD-LAND"))),"N/A","Pending"))))))</x:f>
      </x:c>
      <x:c r="Q534" s="3" t="str">
        <x:f>IF(C534="","",IF(AND(R534="Valid",OR(P534="Pass",P534="N/A")),"Complete","Unresolved"))</x:f>
      </x:c>
      <x:c r="R534" s="9" t="str">
        <x:f>IF(C534="","",IF(OR(COUNTIF($C$9:$C$2008,C534)&lt;&gt;1,COUNTIFS($D$9:$D$2008,D534,$E$9:$E$2008,E534)&lt;&gt;1),"Duplicate test",IF(COUNTIF('Taxonomy'!$C$9:$C$108,D534)&lt;&gt;1,"Assessment key",IF(OR(COUNTIF('Taxonomy Rules'!$C$42:$C$68,E534)&lt;&gt;1,F534&lt;&gt;IFERROR(INDEX('Taxonomy Rules'!$D$42:$D$68,MATCH(E534,'Taxonomy Rules'!$C$42:$C$68,0)),""),NOT(OR(IFERROR(INDEX('Taxonomy Rules'!$G$42:$G$68,MATCH(E534,'Taxonomy Rules'!$C$42:$C$68,0)),"")="All supported routes",IFERROR(INDEX('Taxonomy Rules'!$G$42:$G$68,MATCH(E534,'Taxonomy Rules'!$C$42:$C$68,0)),"")=U534,AND(IFERROR(INDEX('Taxonomy Rules'!$G$42:$G$68,MATCH(E534,'Taxonomy Rules'!$C$42:$C$68,0)),"")="Building routes",OR(U534="Building renovation",U534="New building",U534="Building equipment"))))),"Unexpected test","Valid"))))</x:f>
      </x:c>
      <x:c r="S534" s="9" t="str">
        <x:f>IF(C534="","",IFERROR(INDEX('Taxonomy Rules'!$E$42:$E$68,MATCH(E534,'Taxonomy Rules'!$C$42:$C$68,0)),""))</x:f>
      </x:c>
      <x:c r="T534" s="9" t="str">
        <x:f>IF(C534="","",IFERROR(INDEX('Taxonomy Rules'!$F$42:$F$68,MATCH(E534,'Taxonomy Rules'!$C$42:$C$68,0)),""))</x:f>
      </x:c>
      <x:c r="U534" s="9" t="str">
        <x:f>IF(C534="","",IFERROR(INDEX('Taxonomy'!$G$9:$G$108,MATCH(D534,'Taxonomy'!$C$9:$C$108,0)),""))</x:f>
      </x:c>
    </x:row>
    <x:row r="535" ht="44" customHeight="1">
      <x:c r="A535" s="1"/>
      <x:c r="B535" s="1"/>
      <x:c r="C535" s="8"/>
      <x:c r="D535" s="8"/>
      <x:c r="E535" s="8"/>
      <x:c r="F535" s="8"/>
      <x:c r="G535" s="8"/>
      <x:c r="H535" s="8"/>
      <x:c r="I535" s="8"/>
      <x:c r="J535" s="8"/>
      <x:c r="K535" s="8"/>
      <x:c r="L535" s="8"/>
      <x:c r="M535" s="10"/>
      <x:c r="N535" s="10"/>
      <x:c r="O535" s="8"/>
      <x:c r="P535" s="9" t="str">
        <x:f>IF(C535="","",IF(AND(G535="Applicable",H535="Fail"),"Fail",IF(R535&lt;&gt;"Valid","Pending",IF(OR(I535="",K535="",L535="",K535=L535,NOT(ISNUMBER(M535)),NOT(ISNUMBER(N535)),M535&gt;Settings!$F$8,N535&lt;Settings!$F$8,N535&lt;M535),"Pending",IF(AND(G535="Applicable",H535="Pass"),"Pass",IF(AND(G535="N/A",H535="N/A",J535&lt;&gt;"",OR(E535="CEM-FUELS",E535="CEM-CCS",AND(E535="CEM-PLAN",IFERROR(INDEX('Taxonomy'!$M$9:$M$108,MATCH(D535,'Taxonomy'!$C$9:$C$108,0)),"")&lt;&gt;"Amber"),E535="BLD-TIMBER",AND(U535="Building equipment",OR(E535="BLD-WATER",E535="BLD-WASTE",E535="BLD-LAND")),AND(U535="Building renovation",E535="BLD-LAND"))),"N/A","Pending"))))))</x:f>
      </x:c>
      <x:c r="Q535" s="3" t="str">
        <x:f>IF(C535="","",IF(AND(R535="Valid",OR(P535="Pass",P535="N/A")),"Complete","Unresolved"))</x:f>
      </x:c>
      <x:c r="R535" s="9" t="str">
        <x:f>IF(C535="","",IF(OR(COUNTIF($C$9:$C$2008,C535)&lt;&gt;1,COUNTIFS($D$9:$D$2008,D535,$E$9:$E$2008,E535)&lt;&gt;1),"Duplicate test",IF(COUNTIF('Taxonomy'!$C$9:$C$108,D535)&lt;&gt;1,"Assessment key",IF(OR(COUNTIF('Taxonomy Rules'!$C$42:$C$68,E535)&lt;&gt;1,F535&lt;&gt;IFERROR(INDEX('Taxonomy Rules'!$D$42:$D$68,MATCH(E535,'Taxonomy Rules'!$C$42:$C$68,0)),""),NOT(OR(IFERROR(INDEX('Taxonomy Rules'!$G$42:$G$68,MATCH(E535,'Taxonomy Rules'!$C$42:$C$68,0)),"")="All supported routes",IFERROR(INDEX('Taxonomy Rules'!$G$42:$G$68,MATCH(E535,'Taxonomy Rules'!$C$42:$C$68,0)),"")=U535,AND(IFERROR(INDEX('Taxonomy Rules'!$G$42:$G$68,MATCH(E535,'Taxonomy Rules'!$C$42:$C$68,0)),"")="Building routes",OR(U535="Building renovation",U535="New building",U535="Building equipment"))))),"Unexpected test","Valid"))))</x:f>
      </x:c>
      <x:c r="S535" s="9" t="str">
        <x:f>IF(C535="","",IFERROR(INDEX('Taxonomy Rules'!$E$42:$E$68,MATCH(E535,'Taxonomy Rules'!$C$42:$C$68,0)),""))</x:f>
      </x:c>
      <x:c r="T535" s="9" t="str">
        <x:f>IF(C535="","",IFERROR(INDEX('Taxonomy Rules'!$F$42:$F$68,MATCH(E535,'Taxonomy Rules'!$C$42:$C$68,0)),""))</x:f>
      </x:c>
      <x:c r="U535" s="9" t="str">
        <x:f>IF(C535="","",IFERROR(INDEX('Taxonomy'!$G$9:$G$108,MATCH(D535,'Taxonomy'!$C$9:$C$108,0)),""))</x:f>
      </x:c>
    </x:row>
    <x:row r="536" ht="44" customHeight="1">
      <x:c r="A536" s="1"/>
      <x:c r="B536" s="1"/>
      <x:c r="C536" s="8"/>
      <x:c r="D536" s="8"/>
      <x:c r="E536" s="8"/>
      <x:c r="F536" s="8"/>
      <x:c r="G536" s="8"/>
      <x:c r="H536" s="8"/>
      <x:c r="I536" s="8"/>
      <x:c r="J536" s="8"/>
      <x:c r="K536" s="8"/>
      <x:c r="L536" s="8"/>
      <x:c r="M536" s="10"/>
      <x:c r="N536" s="10"/>
      <x:c r="O536" s="8"/>
      <x:c r="P536" s="9" t="str">
        <x:f>IF(C536="","",IF(AND(G536="Applicable",H536="Fail"),"Fail",IF(R536&lt;&gt;"Valid","Pending",IF(OR(I536="",K536="",L536="",K536=L536,NOT(ISNUMBER(M536)),NOT(ISNUMBER(N536)),M536&gt;Settings!$F$8,N536&lt;Settings!$F$8,N536&lt;M536),"Pending",IF(AND(G536="Applicable",H536="Pass"),"Pass",IF(AND(G536="N/A",H536="N/A",J536&lt;&gt;"",OR(E536="CEM-FUELS",E536="CEM-CCS",AND(E536="CEM-PLAN",IFERROR(INDEX('Taxonomy'!$M$9:$M$108,MATCH(D536,'Taxonomy'!$C$9:$C$108,0)),"")&lt;&gt;"Amber"),E536="BLD-TIMBER",AND(U536="Building equipment",OR(E536="BLD-WATER",E536="BLD-WASTE",E536="BLD-LAND")),AND(U536="Building renovation",E536="BLD-LAND"))),"N/A","Pending"))))))</x:f>
      </x:c>
      <x:c r="Q536" s="3" t="str">
        <x:f>IF(C536="","",IF(AND(R536="Valid",OR(P536="Pass",P536="N/A")),"Complete","Unresolved"))</x:f>
      </x:c>
      <x:c r="R536" s="9" t="str">
        <x:f>IF(C536="","",IF(OR(COUNTIF($C$9:$C$2008,C536)&lt;&gt;1,COUNTIFS($D$9:$D$2008,D536,$E$9:$E$2008,E536)&lt;&gt;1),"Duplicate test",IF(COUNTIF('Taxonomy'!$C$9:$C$108,D536)&lt;&gt;1,"Assessment key",IF(OR(COUNTIF('Taxonomy Rules'!$C$42:$C$68,E536)&lt;&gt;1,F536&lt;&gt;IFERROR(INDEX('Taxonomy Rules'!$D$42:$D$68,MATCH(E536,'Taxonomy Rules'!$C$42:$C$68,0)),""),NOT(OR(IFERROR(INDEX('Taxonomy Rules'!$G$42:$G$68,MATCH(E536,'Taxonomy Rules'!$C$42:$C$68,0)),"")="All supported routes",IFERROR(INDEX('Taxonomy Rules'!$G$42:$G$68,MATCH(E536,'Taxonomy Rules'!$C$42:$C$68,0)),"")=U536,AND(IFERROR(INDEX('Taxonomy Rules'!$G$42:$G$68,MATCH(E536,'Taxonomy Rules'!$C$42:$C$68,0)),"")="Building routes",OR(U536="Building renovation",U536="New building",U536="Building equipment"))))),"Unexpected test","Valid"))))</x:f>
      </x:c>
      <x:c r="S536" s="9" t="str">
        <x:f>IF(C536="","",IFERROR(INDEX('Taxonomy Rules'!$E$42:$E$68,MATCH(E536,'Taxonomy Rules'!$C$42:$C$68,0)),""))</x:f>
      </x:c>
      <x:c r="T536" s="9" t="str">
        <x:f>IF(C536="","",IFERROR(INDEX('Taxonomy Rules'!$F$42:$F$68,MATCH(E536,'Taxonomy Rules'!$C$42:$C$68,0)),""))</x:f>
      </x:c>
      <x:c r="U536" s="9" t="str">
        <x:f>IF(C536="","",IFERROR(INDEX('Taxonomy'!$G$9:$G$108,MATCH(D536,'Taxonomy'!$C$9:$C$108,0)),""))</x:f>
      </x:c>
    </x:row>
    <x:row r="537" ht="44" customHeight="1">
      <x:c r="A537" s="1"/>
      <x:c r="B537" s="1"/>
      <x:c r="C537" s="8"/>
      <x:c r="D537" s="8"/>
      <x:c r="E537" s="8"/>
      <x:c r="F537" s="8"/>
      <x:c r="G537" s="8"/>
      <x:c r="H537" s="8"/>
      <x:c r="I537" s="8"/>
      <x:c r="J537" s="8"/>
      <x:c r="K537" s="8"/>
      <x:c r="L537" s="8"/>
      <x:c r="M537" s="10"/>
      <x:c r="N537" s="10"/>
      <x:c r="O537" s="8"/>
      <x:c r="P537" s="9" t="str">
        <x:f>IF(C537="","",IF(AND(G537="Applicable",H537="Fail"),"Fail",IF(R537&lt;&gt;"Valid","Pending",IF(OR(I537="",K537="",L537="",K537=L537,NOT(ISNUMBER(M537)),NOT(ISNUMBER(N537)),M537&gt;Settings!$F$8,N537&lt;Settings!$F$8,N537&lt;M537),"Pending",IF(AND(G537="Applicable",H537="Pass"),"Pass",IF(AND(G537="N/A",H537="N/A",J537&lt;&gt;"",OR(E537="CEM-FUELS",E537="CEM-CCS",AND(E537="CEM-PLAN",IFERROR(INDEX('Taxonomy'!$M$9:$M$108,MATCH(D537,'Taxonomy'!$C$9:$C$108,0)),"")&lt;&gt;"Amber"),E537="BLD-TIMBER",AND(U537="Building equipment",OR(E537="BLD-WATER",E537="BLD-WASTE",E537="BLD-LAND")),AND(U537="Building renovation",E537="BLD-LAND"))),"N/A","Pending"))))))</x:f>
      </x:c>
      <x:c r="Q537" s="3" t="str">
        <x:f>IF(C537="","",IF(AND(R537="Valid",OR(P537="Pass",P537="N/A")),"Complete","Unresolved"))</x:f>
      </x:c>
      <x:c r="R537" s="9" t="str">
        <x:f>IF(C537="","",IF(OR(COUNTIF($C$9:$C$2008,C537)&lt;&gt;1,COUNTIFS($D$9:$D$2008,D537,$E$9:$E$2008,E537)&lt;&gt;1),"Duplicate test",IF(COUNTIF('Taxonomy'!$C$9:$C$108,D537)&lt;&gt;1,"Assessment key",IF(OR(COUNTIF('Taxonomy Rules'!$C$42:$C$68,E537)&lt;&gt;1,F537&lt;&gt;IFERROR(INDEX('Taxonomy Rules'!$D$42:$D$68,MATCH(E537,'Taxonomy Rules'!$C$42:$C$68,0)),""),NOT(OR(IFERROR(INDEX('Taxonomy Rules'!$G$42:$G$68,MATCH(E537,'Taxonomy Rules'!$C$42:$C$68,0)),"")="All supported routes",IFERROR(INDEX('Taxonomy Rules'!$G$42:$G$68,MATCH(E537,'Taxonomy Rules'!$C$42:$C$68,0)),"")=U537,AND(IFERROR(INDEX('Taxonomy Rules'!$G$42:$G$68,MATCH(E537,'Taxonomy Rules'!$C$42:$C$68,0)),"")="Building routes",OR(U537="Building renovation",U537="New building",U537="Building equipment"))))),"Unexpected test","Valid"))))</x:f>
      </x:c>
      <x:c r="S537" s="9" t="str">
        <x:f>IF(C537="","",IFERROR(INDEX('Taxonomy Rules'!$E$42:$E$68,MATCH(E537,'Taxonomy Rules'!$C$42:$C$68,0)),""))</x:f>
      </x:c>
      <x:c r="T537" s="9" t="str">
        <x:f>IF(C537="","",IFERROR(INDEX('Taxonomy Rules'!$F$42:$F$68,MATCH(E537,'Taxonomy Rules'!$C$42:$C$68,0)),""))</x:f>
      </x:c>
      <x:c r="U537" s="9" t="str">
        <x:f>IF(C537="","",IFERROR(INDEX('Taxonomy'!$G$9:$G$108,MATCH(D537,'Taxonomy'!$C$9:$C$108,0)),""))</x:f>
      </x:c>
    </x:row>
    <x:row r="538" ht="44" customHeight="1">
      <x:c r="A538" s="1"/>
      <x:c r="B538" s="1"/>
      <x:c r="C538" s="8"/>
      <x:c r="D538" s="8"/>
      <x:c r="E538" s="8"/>
      <x:c r="F538" s="8"/>
      <x:c r="G538" s="8"/>
      <x:c r="H538" s="8"/>
      <x:c r="I538" s="8"/>
      <x:c r="J538" s="8"/>
      <x:c r="K538" s="8"/>
      <x:c r="L538" s="8"/>
      <x:c r="M538" s="10"/>
      <x:c r="N538" s="10"/>
      <x:c r="O538" s="8"/>
      <x:c r="P538" s="9" t="str">
        <x:f>IF(C538="","",IF(AND(G538="Applicable",H538="Fail"),"Fail",IF(R538&lt;&gt;"Valid","Pending",IF(OR(I538="",K538="",L538="",K538=L538,NOT(ISNUMBER(M538)),NOT(ISNUMBER(N538)),M538&gt;Settings!$F$8,N538&lt;Settings!$F$8,N538&lt;M538),"Pending",IF(AND(G538="Applicable",H538="Pass"),"Pass",IF(AND(G538="N/A",H538="N/A",J538&lt;&gt;"",OR(E538="CEM-FUELS",E538="CEM-CCS",AND(E538="CEM-PLAN",IFERROR(INDEX('Taxonomy'!$M$9:$M$108,MATCH(D538,'Taxonomy'!$C$9:$C$108,0)),"")&lt;&gt;"Amber"),E538="BLD-TIMBER",AND(U538="Building equipment",OR(E538="BLD-WATER",E538="BLD-WASTE",E538="BLD-LAND")),AND(U538="Building renovation",E538="BLD-LAND"))),"N/A","Pending"))))))</x:f>
      </x:c>
      <x:c r="Q538" s="3" t="str">
        <x:f>IF(C538="","",IF(AND(R538="Valid",OR(P538="Pass",P538="N/A")),"Complete","Unresolved"))</x:f>
      </x:c>
      <x:c r="R538" s="9" t="str">
        <x:f>IF(C538="","",IF(OR(COUNTIF($C$9:$C$2008,C538)&lt;&gt;1,COUNTIFS($D$9:$D$2008,D538,$E$9:$E$2008,E538)&lt;&gt;1),"Duplicate test",IF(COUNTIF('Taxonomy'!$C$9:$C$108,D538)&lt;&gt;1,"Assessment key",IF(OR(COUNTIF('Taxonomy Rules'!$C$42:$C$68,E538)&lt;&gt;1,F538&lt;&gt;IFERROR(INDEX('Taxonomy Rules'!$D$42:$D$68,MATCH(E538,'Taxonomy Rules'!$C$42:$C$68,0)),""),NOT(OR(IFERROR(INDEX('Taxonomy Rules'!$G$42:$G$68,MATCH(E538,'Taxonomy Rules'!$C$42:$C$68,0)),"")="All supported routes",IFERROR(INDEX('Taxonomy Rules'!$G$42:$G$68,MATCH(E538,'Taxonomy Rules'!$C$42:$C$68,0)),"")=U538,AND(IFERROR(INDEX('Taxonomy Rules'!$G$42:$G$68,MATCH(E538,'Taxonomy Rules'!$C$42:$C$68,0)),"")="Building routes",OR(U538="Building renovation",U538="New building",U538="Building equipment"))))),"Unexpected test","Valid"))))</x:f>
      </x:c>
      <x:c r="S538" s="9" t="str">
        <x:f>IF(C538="","",IFERROR(INDEX('Taxonomy Rules'!$E$42:$E$68,MATCH(E538,'Taxonomy Rules'!$C$42:$C$68,0)),""))</x:f>
      </x:c>
      <x:c r="T538" s="9" t="str">
        <x:f>IF(C538="","",IFERROR(INDEX('Taxonomy Rules'!$F$42:$F$68,MATCH(E538,'Taxonomy Rules'!$C$42:$C$68,0)),""))</x:f>
      </x:c>
      <x:c r="U538" s="9" t="str">
        <x:f>IF(C538="","",IFERROR(INDEX('Taxonomy'!$G$9:$G$108,MATCH(D538,'Taxonomy'!$C$9:$C$108,0)),""))</x:f>
      </x:c>
    </x:row>
    <x:row r="539" ht="44" customHeight="1">
      <x:c r="A539" s="1"/>
      <x:c r="B539" s="1"/>
      <x:c r="C539" s="8"/>
      <x:c r="D539" s="8"/>
      <x:c r="E539" s="8"/>
      <x:c r="F539" s="8"/>
      <x:c r="G539" s="8"/>
      <x:c r="H539" s="8"/>
      <x:c r="I539" s="8"/>
      <x:c r="J539" s="8"/>
      <x:c r="K539" s="8"/>
      <x:c r="L539" s="8"/>
      <x:c r="M539" s="10"/>
      <x:c r="N539" s="10"/>
      <x:c r="O539" s="8"/>
      <x:c r="P539" s="9" t="str">
        <x:f>IF(C539="","",IF(AND(G539="Applicable",H539="Fail"),"Fail",IF(R539&lt;&gt;"Valid","Pending",IF(OR(I539="",K539="",L539="",K539=L539,NOT(ISNUMBER(M539)),NOT(ISNUMBER(N539)),M539&gt;Settings!$F$8,N539&lt;Settings!$F$8,N539&lt;M539),"Pending",IF(AND(G539="Applicable",H539="Pass"),"Pass",IF(AND(G539="N/A",H539="N/A",J539&lt;&gt;"",OR(E539="CEM-FUELS",E539="CEM-CCS",AND(E539="CEM-PLAN",IFERROR(INDEX('Taxonomy'!$M$9:$M$108,MATCH(D539,'Taxonomy'!$C$9:$C$108,0)),"")&lt;&gt;"Amber"),E539="BLD-TIMBER",AND(U539="Building equipment",OR(E539="BLD-WATER",E539="BLD-WASTE",E539="BLD-LAND")),AND(U539="Building renovation",E539="BLD-LAND"))),"N/A","Pending"))))))</x:f>
      </x:c>
      <x:c r="Q539" s="3" t="str">
        <x:f>IF(C539="","",IF(AND(R539="Valid",OR(P539="Pass",P539="N/A")),"Complete","Unresolved"))</x:f>
      </x:c>
      <x:c r="R539" s="9" t="str">
        <x:f>IF(C539="","",IF(OR(COUNTIF($C$9:$C$2008,C539)&lt;&gt;1,COUNTIFS($D$9:$D$2008,D539,$E$9:$E$2008,E539)&lt;&gt;1),"Duplicate test",IF(COUNTIF('Taxonomy'!$C$9:$C$108,D539)&lt;&gt;1,"Assessment key",IF(OR(COUNTIF('Taxonomy Rules'!$C$42:$C$68,E539)&lt;&gt;1,F539&lt;&gt;IFERROR(INDEX('Taxonomy Rules'!$D$42:$D$68,MATCH(E539,'Taxonomy Rules'!$C$42:$C$68,0)),""),NOT(OR(IFERROR(INDEX('Taxonomy Rules'!$G$42:$G$68,MATCH(E539,'Taxonomy Rules'!$C$42:$C$68,0)),"")="All supported routes",IFERROR(INDEX('Taxonomy Rules'!$G$42:$G$68,MATCH(E539,'Taxonomy Rules'!$C$42:$C$68,0)),"")=U539,AND(IFERROR(INDEX('Taxonomy Rules'!$G$42:$G$68,MATCH(E539,'Taxonomy Rules'!$C$42:$C$68,0)),"")="Building routes",OR(U539="Building renovation",U539="New building",U539="Building equipment"))))),"Unexpected test","Valid"))))</x:f>
      </x:c>
      <x:c r="S539" s="9" t="str">
        <x:f>IF(C539="","",IFERROR(INDEX('Taxonomy Rules'!$E$42:$E$68,MATCH(E539,'Taxonomy Rules'!$C$42:$C$68,0)),""))</x:f>
      </x:c>
      <x:c r="T539" s="9" t="str">
        <x:f>IF(C539="","",IFERROR(INDEX('Taxonomy Rules'!$F$42:$F$68,MATCH(E539,'Taxonomy Rules'!$C$42:$C$68,0)),""))</x:f>
      </x:c>
      <x:c r="U539" s="9" t="str">
        <x:f>IF(C539="","",IFERROR(INDEX('Taxonomy'!$G$9:$G$108,MATCH(D539,'Taxonomy'!$C$9:$C$108,0)),""))</x:f>
      </x:c>
    </x:row>
    <x:row r="540" ht="44" customHeight="1">
      <x:c r="A540" s="1"/>
      <x:c r="B540" s="1"/>
      <x:c r="C540" s="8"/>
      <x:c r="D540" s="8"/>
      <x:c r="E540" s="8"/>
      <x:c r="F540" s="8"/>
      <x:c r="G540" s="8"/>
      <x:c r="H540" s="8"/>
      <x:c r="I540" s="8"/>
      <x:c r="J540" s="8"/>
      <x:c r="K540" s="8"/>
      <x:c r="L540" s="8"/>
      <x:c r="M540" s="10"/>
      <x:c r="N540" s="10"/>
      <x:c r="O540" s="8"/>
      <x:c r="P540" s="9" t="str">
        <x:f>IF(C540="","",IF(AND(G540="Applicable",H540="Fail"),"Fail",IF(R540&lt;&gt;"Valid","Pending",IF(OR(I540="",K540="",L540="",K540=L540,NOT(ISNUMBER(M540)),NOT(ISNUMBER(N540)),M540&gt;Settings!$F$8,N540&lt;Settings!$F$8,N540&lt;M540),"Pending",IF(AND(G540="Applicable",H540="Pass"),"Pass",IF(AND(G540="N/A",H540="N/A",J540&lt;&gt;"",OR(E540="CEM-FUELS",E540="CEM-CCS",AND(E540="CEM-PLAN",IFERROR(INDEX('Taxonomy'!$M$9:$M$108,MATCH(D540,'Taxonomy'!$C$9:$C$108,0)),"")&lt;&gt;"Amber"),E540="BLD-TIMBER",AND(U540="Building equipment",OR(E540="BLD-WATER",E540="BLD-WASTE",E540="BLD-LAND")),AND(U540="Building renovation",E540="BLD-LAND"))),"N/A","Pending"))))))</x:f>
      </x:c>
      <x:c r="Q540" s="3" t="str">
        <x:f>IF(C540="","",IF(AND(R540="Valid",OR(P540="Pass",P540="N/A")),"Complete","Unresolved"))</x:f>
      </x:c>
      <x:c r="R540" s="9" t="str">
        <x:f>IF(C540="","",IF(OR(COUNTIF($C$9:$C$2008,C540)&lt;&gt;1,COUNTIFS($D$9:$D$2008,D540,$E$9:$E$2008,E540)&lt;&gt;1),"Duplicate test",IF(COUNTIF('Taxonomy'!$C$9:$C$108,D540)&lt;&gt;1,"Assessment key",IF(OR(COUNTIF('Taxonomy Rules'!$C$42:$C$68,E540)&lt;&gt;1,F540&lt;&gt;IFERROR(INDEX('Taxonomy Rules'!$D$42:$D$68,MATCH(E540,'Taxonomy Rules'!$C$42:$C$68,0)),""),NOT(OR(IFERROR(INDEX('Taxonomy Rules'!$G$42:$G$68,MATCH(E540,'Taxonomy Rules'!$C$42:$C$68,0)),"")="All supported routes",IFERROR(INDEX('Taxonomy Rules'!$G$42:$G$68,MATCH(E540,'Taxonomy Rules'!$C$42:$C$68,0)),"")=U540,AND(IFERROR(INDEX('Taxonomy Rules'!$G$42:$G$68,MATCH(E540,'Taxonomy Rules'!$C$42:$C$68,0)),"")="Building routes",OR(U540="Building renovation",U540="New building",U540="Building equipment"))))),"Unexpected test","Valid"))))</x:f>
      </x:c>
      <x:c r="S540" s="9" t="str">
        <x:f>IF(C540="","",IFERROR(INDEX('Taxonomy Rules'!$E$42:$E$68,MATCH(E540,'Taxonomy Rules'!$C$42:$C$68,0)),""))</x:f>
      </x:c>
      <x:c r="T540" s="9" t="str">
        <x:f>IF(C540="","",IFERROR(INDEX('Taxonomy Rules'!$F$42:$F$68,MATCH(E540,'Taxonomy Rules'!$C$42:$C$68,0)),""))</x:f>
      </x:c>
      <x:c r="U540" s="9" t="str">
        <x:f>IF(C540="","",IFERROR(INDEX('Taxonomy'!$G$9:$G$108,MATCH(D540,'Taxonomy'!$C$9:$C$108,0)),""))</x:f>
      </x:c>
    </x:row>
    <x:row r="541" ht="44" customHeight="1">
      <x:c r="A541" s="1"/>
      <x:c r="B541" s="1"/>
      <x:c r="C541" s="8"/>
      <x:c r="D541" s="8"/>
      <x:c r="E541" s="8"/>
      <x:c r="F541" s="8"/>
      <x:c r="G541" s="8"/>
      <x:c r="H541" s="8"/>
      <x:c r="I541" s="8"/>
      <x:c r="J541" s="8"/>
      <x:c r="K541" s="8"/>
      <x:c r="L541" s="8"/>
      <x:c r="M541" s="10"/>
      <x:c r="N541" s="10"/>
      <x:c r="O541" s="8"/>
      <x:c r="P541" s="9" t="str">
        <x:f>IF(C541="","",IF(AND(G541="Applicable",H541="Fail"),"Fail",IF(R541&lt;&gt;"Valid","Pending",IF(OR(I541="",K541="",L541="",K541=L541,NOT(ISNUMBER(M541)),NOT(ISNUMBER(N541)),M541&gt;Settings!$F$8,N541&lt;Settings!$F$8,N541&lt;M541),"Pending",IF(AND(G541="Applicable",H541="Pass"),"Pass",IF(AND(G541="N/A",H541="N/A",J541&lt;&gt;"",OR(E541="CEM-FUELS",E541="CEM-CCS",AND(E541="CEM-PLAN",IFERROR(INDEX('Taxonomy'!$M$9:$M$108,MATCH(D541,'Taxonomy'!$C$9:$C$108,0)),"")&lt;&gt;"Amber"),E541="BLD-TIMBER",AND(U541="Building equipment",OR(E541="BLD-WATER",E541="BLD-WASTE",E541="BLD-LAND")),AND(U541="Building renovation",E541="BLD-LAND"))),"N/A","Pending"))))))</x:f>
      </x:c>
      <x:c r="Q541" s="3" t="str">
        <x:f>IF(C541="","",IF(AND(R541="Valid",OR(P541="Pass",P541="N/A")),"Complete","Unresolved"))</x:f>
      </x:c>
      <x:c r="R541" s="9" t="str">
        <x:f>IF(C541="","",IF(OR(COUNTIF($C$9:$C$2008,C541)&lt;&gt;1,COUNTIFS($D$9:$D$2008,D541,$E$9:$E$2008,E541)&lt;&gt;1),"Duplicate test",IF(COUNTIF('Taxonomy'!$C$9:$C$108,D541)&lt;&gt;1,"Assessment key",IF(OR(COUNTIF('Taxonomy Rules'!$C$42:$C$68,E541)&lt;&gt;1,F541&lt;&gt;IFERROR(INDEX('Taxonomy Rules'!$D$42:$D$68,MATCH(E541,'Taxonomy Rules'!$C$42:$C$68,0)),""),NOT(OR(IFERROR(INDEX('Taxonomy Rules'!$G$42:$G$68,MATCH(E541,'Taxonomy Rules'!$C$42:$C$68,0)),"")="All supported routes",IFERROR(INDEX('Taxonomy Rules'!$G$42:$G$68,MATCH(E541,'Taxonomy Rules'!$C$42:$C$68,0)),"")=U541,AND(IFERROR(INDEX('Taxonomy Rules'!$G$42:$G$68,MATCH(E541,'Taxonomy Rules'!$C$42:$C$68,0)),"")="Building routes",OR(U541="Building renovation",U541="New building",U541="Building equipment"))))),"Unexpected test","Valid"))))</x:f>
      </x:c>
      <x:c r="S541" s="9" t="str">
        <x:f>IF(C541="","",IFERROR(INDEX('Taxonomy Rules'!$E$42:$E$68,MATCH(E541,'Taxonomy Rules'!$C$42:$C$68,0)),""))</x:f>
      </x:c>
      <x:c r="T541" s="9" t="str">
        <x:f>IF(C541="","",IFERROR(INDEX('Taxonomy Rules'!$F$42:$F$68,MATCH(E541,'Taxonomy Rules'!$C$42:$C$68,0)),""))</x:f>
      </x:c>
      <x:c r="U541" s="9" t="str">
        <x:f>IF(C541="","",IFERROR(INDEX('Taxonomy'!$G$9:$G$108,MATCH(D541,'Taxonomy'!$C$9:$C$108,0)),""))</x:f>
      </x:c>
    </x:row>
    <x:row r="542" ht="44" customHeight="1">
      <x:c r="A542" s="1"/>
      <x:c r="B542" s="1"/>
      <x:c r="C542" s="8"/>
      <x:c r="D542" s="8"/>
      <x:c r="E542" s="8"/>
      <x:c r="F542" s="8"/>
      <x:c r="G542" s="8"/>
      <x:c r="H542" s="8"/>
      <x:c r="I542" s="8"/>
      <x:c r="J542" s="8"/>
      <x:c r="K542" s="8"/>
      <x:c r="L542" s="8"/>
      <x:c r="M542" s="10"/>
      <x:c r="N542" s="10"/>
      <x:c r="O542" s="8"/>
      <x:c r="P542" s="9" t="str">
        <x:f>IF(C542="","",IF(AND(G542="Applicable",H542="Fail"),"Fail",IF(R542&lt;&gt;"Valid","Pending",IF(OR(I542="",K542="",L542="",K542=L542,NOT(ISNUMBER(M542)),NOT(ISNUMBER(N542)),M542&gt;Settings!$F$8,N542&lt;Settings!$F$8,N542&lt;M542),"Pending",IF(AND(G542="Applicable",H542="Pass"),"Pass",IF(AND(G542="N/A",H542="N/A",J542&lt;&gt;"",OR(E542="CEM-FUELS",E542="CEM-CCS",AND(E542="CEM-PLAN",IFERROR(INDEX('Taxonomy'!$M$9:$M$108,MATCH(D542,'Taxonomy'!$C$9:$C$108,0)),"")&lt;&gt;"Amber"),E542="BLD-TIMBER",AND(U542="Building equipment",OR(E542="BLD-WATER",E542="BLD-WASTE",E542="BLD-LAND")),AND(U542="Building renovation",E542="BLD-LAND"))),"N/A","Pending"))))))</x:f>
      </x:c>
      <x:c r="Q542" s="3" t="str">
        <x:f>IF(C542="","",IF(AND(R542="Valid",OR(P542="Pass",P542="N/A")),"Complete","Unresolved"))</x:f>
      </x:c>
      <x:c r="R542" s="9" t="str">
        <x:f>IF(C542="","",IF(OR(COUNTIF($C$9:$C$2008,C542)&lt;&gt;1,COUNTIFS($D$9:$D$2008,D542,$E$9:$E$2008,E542)&lt;&gt;1),"Duplicate test",IF(COUNTIF('Taxonomy'!$C$9:$C$108,D542)&lt;&gt;1,"Assessment key",IF(OR(COUNTIF('Taxonomy Rules'!$C$42:$C$68,E542)&lt;&gt;1,F542&lt;&gt;IFERROR(INDEX('Taxonomy Rules'!$D$42:$D$68,MATCH(E542,'Taxonomy Rules'!$C$42:$C$68,0)),""),NOT(OR(IFERROR(INDEX('Taxonomy Rules'!$G$42:$G$68,MATCH(E542,'Taxonomy Rules'!$C$42:$C$68,0)),"")="All supported routes",IFERROR(INDEX('Taxonomy Rules'!$G$42:$G$68,MATCH(E542,'Taxonomy Rules'!$C$42:$C$68,0)),"")=U542,AND(IFERROR(INDEX('Taxonomy Rules'!$G$42:$G$68,MATCH(E542,'Taxonomy Rules'!$C$42:$C$68,0)),"")="Building routes",OR(U542="Building renovation",U542="New building",U542="Building equipment"))))),"Unexpected test","Valid"))))</x:f>
      </x:c>
      <x:c r="S542" s="9" t="str">
        <x:f>IF(C542="","",IFERROR(INDEX('Taxonomy Rules'!$E$42:$E$68,MATCH(E542,'Taxonomy Rules'!$C$42:$C$68,0)),""))</x:f>
      </x:c>
      <x:c r="T542" s="9" t="str">
        <x:f>IF(C542="","",IFERROR(INDEX('Taxonomy Rules'!$F$42:$F$68,MATCH(E542,'Taxonomy Rules'!$C$42:$C$68,0)),""))</x:f>
      </x:c>
      <x:c r="U542" s="9" t="str">
        <x:f>IF(C542="","",IFERROR(INDEX('Taxonomy'!$G$9:$G$108,MATCH(D542,'Taxonomy'!$C$9:$C$108,0)),""))</x:f>
      </x:c>
    </x:row>
    <x:row r="543" ht="44" customHeight="1">
      <x:c r="A543" s="1"/>
      <x:c r="B543" s="1"/>
      <x:c r="C543" s="8"/>
      <x:c r="D543" s="8"/>
      <x:c r="E543" s="8"/>
      <x:c r="F543" s="8"/>
      <x:c r="G543" s="8"/>
      <x:c r="H543" s="8"/>
      <x:c r="I543" s="8"/>
      <x:c r="J543" s="8"/>
      <x:c r="K543" s="8"/>
      <x:c r="L543" s="8"/>
      <x:c r="M543" s="10"/>
      <x:c r="N543" s="10"/>
      <x:c r="O543" s="8"/>
      <x:c r="P543" s="9" t="str">
        <x:f>IF(C543="","",IF(AND(G543="Applicable",H543="Fail"),"Fail",IF(R543&lt;&gt;"Valid","Pending",IF(OR(I543="",K543="",L543="",K543=L543,NOT(ISNUMBER(M543)),NOT(ISNUMBER(N543)),M543&gt;Settings!$F$8,N543&lt;Settings!$F$8,N543&lt;M543),"Pending",IF(AND(G543="Applicable",H543="Pass"),"Pass",IF(AND(G543="N/A",H543="N/A",J543&lt;&gt;"",OR(E543="CEM-FUELS",E543="CEM-CCS",AND(E543="CEM-PLAN",IFERROR(INDEX('Taxonomy'!$M$9:$M$108,MATCH(D543,'Taxonomy'!$C$9:$C$108,0)),"")&lt;&gt;"Amber"),E543="BLD-TIMBER",AND(U543="Building equipment",OR(E543="BLD-WATER",E543="BLD-WASTE",E543="BLD-LAND")),AND(U543="Building renovation",E543="BLD-LAND"))),"N/A","Pending"))))))</x:f>
      </x:c>
      <x:c r="Q543" s="3" t="str">
        <x:f>IF(C543="","",IF(AND(R543="Valid",OR(P543="Pass",P543="N/A")),"Complete","Unresolved"))</x:f>
      </x:c>
      <x:c r="R543" s="9" t="str">
        <x:f>IF(C543="","",IF(OR(COUNTIF($C$9:$C$2008,C543)&lt;&gt;1,COUNTIFS($D$9:$D$2008,D543,$E$9:$E$2008,E543)&lt;&gt;1),"Duplicate test",IF(COUNTIF('Taxonomy'!$C$9:$C$108,D543)&lt;&gt;1,"Assessment key",IF(OR(COUNTIF('Taxonomy Rules'!$C$42:$C$68,E543)&lt;&gt;1,F543&lt;&gt;IFERROR(INDEX('Taxonomy Rules'!$D$42:$D$68,MATCH(E543,'Taxonomy Rules'!$C$42:$C$68,0)),""),NOT(OR(IFERROR(INDEX('Taxonomy Rules'!$G$42:$G$68,MATCH(E543,'Taxonomy Rules'!$C$42:$C$68,0)),"")="All supported routes",IFERROR(INDEX('Taxonomy Rules'!$G$42:$G$68,MATCH(E543,'Taxonomy Rules'!$C$42:$C$68,0)),"")=U543,AND(IFERROR(INDEX('Taxonomy Rules'!$G$42:$G$68,MATCH(E543,'Taxonomy Rules'!$C$42:$C$68,0)),"")="Building routes",OR(U543="Building renovation",U543="New building",U543="Building equipment"))))),"Unexpected test","Valid"))))</x:f>
      </x:c>
      <x:c r="S543" s="9" t="str">
        <x:f>IF(C543="","",IFERROR(INDEX('Taxonomy Rules'!$E$42:$E$68,MATCH(E543,'Taxonomy Rules'!$C$42:$C$68,0)),""))</x:f>
      </x:c>
      <x:c r="T543" s="9" t="str">
        <x:f>IF(C543="","",IFERROR(INDEX('Taxonomy Rules'!$F$42:$F$68,MATCH(E543,'Taxonomy Rules'!$C$42:$C$68,0)),""))</x:f>
      </x:c>
      <x:c r="U543" s="9" t="str">
        <x:f>IF(C543="","",IFERROR(INDEX('Taxonomy'!$G$9:$G$108,MATCH(D543,'Taxonomy'!$C$9:$C$108,0)),""))</x:f>
      </x:c>
    </x:row>
    <x:row r="544" ht="44" customHeight="1">
      <x:c r="A544" s="1"/>
      <x:c r="B544" s="1"/>
      <x:c r="C544" s="8"/>
      <x:c r="D544" s="8"/>
      <x:c r="E544" s="8"/>
      <x:c r="F544" s="8"/>
      <x:c r="G544" s="8"/>
      <x:c r="H544" s="8"/>
      <x:c r="I544" s="8"/>
      <x:c r="J544" s="8"/>
      <x:c r="K544" s="8"/>
      <x:c r="L544" s="8"/>
      <x:c r="M544" s="10"/>
      <x:c r="N544" s="10"/>
      <x:c r="O544" s="8"/>
      <x:c r="P544" s="9" t="str">
        <x:f>IF(C544="","",IF(AND(G544="Applicable",H544="Fail"),"Fail",IF(R544&lt;&gt;"Valid","Pending",IF(OR(I544="",K544="",L544="",K544=L544,NOT(ISNUMBER(M544)),NOT(ISNUMBER(N544)),M544&gt;Settings!$F$8,N544&lt;Settings!$F$8,N544&lt;M544),"Pending",IF(AND(G544="Applicable",H544="Pass"),"Pass",IF(AND(G544="N/A",H544="N/A",J544&lt;&gt;"",OR(E544="CEM-FUELS",E544="CEM-CCS",AND(E544="CEM-PLAN",IFERROR(INDEX('Taxonomy'!$M$9:$M$108,MATCH(D544,'Taxonomy'!$C$9:$C$108,0)),"")&lt;&gt;"Amber"),E544="BLD-TIMBER",AND(U544="Building equipment",OR(E544="BLD-WATER",E544="BLD-WASTE",E544="BLD-LAND")),AND(U544="Building renovation",E544="BLD-LAND"))),"N/A","Pending"))))))</x:f>
      </x:c>
      <x:c r="Q544" s="3" t="str">
        <x:f>IF(C544="","",IF(AND(R544="Valid",OR(P544="Pass",P544="N/A")),"Complete","Unresolved"))</x:f>
      </x:c>
      <x:c r="R544" s="9" t="str">
        <x:f>IF(C544="","",IF(OR(COUNTIF($C$9:$C$2008,C544)&lt;&gt;1,COUNTIFS($D$9:$D$2008,D544,$E$9:$E$2008,E544)&lt;&gt;1),"Duplicate test",IF(COUNTIF('Taxonomy'!$C$9:$C$108,D544)&lt;&gt;1,"Assessment key",IF(OR(COUNTIF('Taxonomy Rules'!$C$42:$C$68,E544)&lt;&gt;1,F544&lt;&gt;IFERROR(INDEX('Taxonomy Rules'!$D$42:$D$68,MATCH(E544,'Taxonomy Rules'!$C$42:$C$68,0)),""),NOT(OR(IFERROR(INDEX('Taxonomy Rules'!$G$42:$G$68,MATCH(E544,'Taxonomy Rules'!$C$42:$C$68,0)),"")="All supported routes",IFERROR(INDEX('Taxonomy Rules'!$G$42:$G$68,MATCH(E544,'Taxonomy Rules'!$C$42:$C$68,0)),"")=U544,AND(IFERROR(INDEX('Taxonomy Rules'!$G$42:$G$68,MATCH(E544,'Taxonomy Rules'!$C$42:$C$68,0)),"")="Building routes",OR(U544="Building renovation",U544="New building",U544="Building equipment"))))),"Unexpected test","Valid"))))</x:f>
      </x:c>
      <x:c r="S544" s="9" t="str">
        <x:f>IF(C544="","",IFERROR(INDEX('Taxonomy Rules'!$E$42:$E$68,MATCH(E544,'Taxonomy Rules'!$C$42:$C$68,0)),""))</x:f>
      </x:c>
      <x:c r="T544" s="9" t="str">
        <x:f>IF(C544="","",IFERROR(INDEX('Taxonomy Rules'!$F$42:$F$68,MATCH(E544,'Taxonomy Rules'!$C$42:$C$68,0)),""))</x:f>
      </x:c>
      <x:c r="U544" s="9" t="str">
        <x:f>IF(C544="","",IFERROR(INDEX('Taxonomy'!$G$9:$G$108,MATCH(D544,'Taxonomy'!$C$9:$C$108,0)),""))</x:f>
      </x:c>
    </x:row>
    <x:row r="545" ht="44" customHeight="1">
      <x:c r="A545" s="1"/>
      <x:c r="B545" s="1"/>
      <x:c r="C545" s="8"/>
      <x:c r="D545" s="8"/>
      <x:c r="E545" s="8"/>
      <x:c r="F545" s="8"/>
      <x:c r="G545" s="8"/>
      <x:c r="H545" s="8"/>
      <x:c r="I545" s="8"/>
      <x:c r="J545" s="8"/>
      <x:c r="K545" s="8"/>
      <x:c r="L545" s="8"/>
      <x:c r="M545" s="10"/>
      <x:c r="N545" s="10"/>
      <x:c r="O545" s="8"/>
      <x:c r="P545" s="9" t="str">
        <x:f>IF(C545="","",IF(AND(G545="Applicable",H545="Fail"),"Fail",IF(R545&lt;&gt;"Valid","Pending",IF(OR(I545="",K545="",L545="",K545=L545,NOT(ISNUMBER(M545)),NOT(ISNUMBER(N545)),M545&gt;Settings!$F$8,N545&lt;Settings!$F$8,N545&lt;M545),"Pending",IF(AND(G545="Applicable",H545="Pass"),"Pass",IF(AND(G545="N/A",H545="N/A",J545&lt;&gt;"",OR(E545="CEM-FUELS",E545="CEM-CCS",AND(E545="CEM-PLAN",IFERROR(INDEX('Taxonomy'!$M$9:$M$108,MATCH(D545,'Taxonomy'!$C$9:$C$108,0)),"")&lt;&gt;"Amber"),E545="BLD-TIMBER",AND(U545="Building equipment",OR(E545="BLD-WATER",E545="BLD-WASTE",E545="BLD-LAND")),AND(U545="Building renovation",E545="BLD-LAND"))),"N/A","Pending"))))))</x:f>
      </x:c>
      <x:c r="Q545" s="3" t="str">
        <x:f>IF(C545="","",IF(AND(R545="Valid",OR(P545="Pass",P545="N/A")),"Complete","Unresolved"))</x:f>
      </x:c>
      <x:c r="R545" s="9" t="str">
        <x:f>IF(C545="","",IF(OR(COUNTIF($C$9:$C$2008,C545)&lt;&gt;1,COUNTIFS($D$9:$D$2008,D545,$E$9:$E$2008,E545)&lt;&gt;1),"Duplicate test",IF(COUNTIF('Taxonomy'!$C$9:$C$108,D545)&lt;&gt;1,"Assessment key",IF(OR(COUNTIF('Taxonomy Rules'!$C$42:$C$68,E545)&lt;&gt;1,F545&lt;&gt;IFERROR(INDEX('Taxonomy Rules'!$D$42:$D$68,MATCH(E545,'Taxonomy Rules'!$C$42:$C$68,0)),""),NOT(OR(IFERROR(INDEX('Taxonomy Rules'!$G$42:$G$68,MATCH(E545,'Taxonomy Rules'!$C$42:$C$68,0)),"")="All supported routes",IFERROR(INDEX('Taxonomy Rules'!$G$42:$G$68,MATCH(E545,'Taxonomy Rules'!$C$42:$C$68,0)),"")=U545,AND(IFERROR(INDEX('Taxonomy Rules'!$G$42:$G$68,MATCH(E545,'Taxonomy Rules'!$C$42:$C$68,0)),"")="Building routes",OR(U545="Building renovation",U545="New building",U545="Building equipment"))))),"Unexpected test","Valid"))))</x:f>
      </x:c>
      <x:c r="S545" s="9" t="str">
        <x:f>IF(C545="","",IFERROR(INDEX('Taxonomy Rules'!$E$42:$E$68,MATCH(E545,'Taxonomy Rules'!$C$42:$C$68,0)),""))</x:f>
      </x:c>
      <x:c r="T545" s="9" t="str">
        <x:f>IF(C545="","",IFERROR(INDEX('Taxonomy Rules'!$F$42:$F$68,MATCH(E545,'Taxonomy Rules'!$C$42:$C$68,0)),""))</x:f>
      </x:c>
      <x:c r="U545" s="9" t="str">
        <x:f>IF(C545="","",IFERROR(INDEX('Taxonomy'!$G$9:$G$108,MATCH(D545,'Taxonomy'!$C$9:$C$108,0)),""))</x:f>
      </x:c>
    </x:row>
    <x:row r="546" ht="44" customHeight="1">
      <x:c r="A546" s="1"/>
      <x:c r="B546" s="1"/>
      <x:c r="C546" s="8"/>
      <x:c r="D546" s="8"/>
      <x:c r="E546" s="8"/>
      <x:c r="F546" s="8"/>
      <x:c r="G546" s="8"/>
      <x:c r="H546" s="8"/>
      <x:c r="I546" s="8"/>
      <x:c r="J546" s="8"/>
      <x:c r="K546" s="8"/>
      <x:c r="L546" s="8"/>
      <x:c r="M546" s="10"/>
      <x:c r="N546" s="10"/>
      <x:c r="O546" s="8"/>
      <x:c r="P546" s="9" t="str">
        <x:f>IF(C546="","",IF(AND(G546="Applicable",H546="Fail"),"Fail",IF(R546&lt;&gt;"Valid","Pending",IF(OR(I546="",K546="",L546="",K546=L546,NOT(ISNUMBER(M546)),NOT(ISNUMBER(N546)),M546&gt;Settings!$F$8,N546&lt;Settings!$F$8,N546&lt;M546),"Pending",IF(AND(G546="Applicable",H546="Pass"),"Pass",IF(AND(G546="N/A",H546="N/A",J546&lt;&gt;"",OR(E546="CEM-FUELS",E546="CEM-CCS",AND(E546="CEM-PLAN",IFERROR(INDEX('Taxonomy'!$M$9:$M$108,MATCH(D546,'Taxonomy'!$C$9:$C$108,0)),"")&lt;&gt;"Amber"),E546="BLD-TIMBER",AND(U546="Building equipment",OR(E546="BLD-WATER",E546="BLD-WASTE",E546="BLD-LAND")),AND(U546="Building renovation",E546="BLD-LAND"))),"N/A","Pending"))))))</x:f>
      </x:c>
      <x:c r="Q546" s="3" t="str">
        <x:f>IF(C546="","",IF(AND(R546="Valid",OR(P546="Pass",P546="N/A")),"Complete","Unresolved"))</x:f>
      </x:c>
      <x:c r="R546" s="9" t="str">
        <x:f>IF(C546="","",IF(OR(COUNTIF($C$9:$C$2008,C546)&lt;&gt;1,COUNTIFS($D$9:$D$2008,D546,$E$9:$E$2008,E546)&lt;&gt;1),"Duplicate test",IF(COUNTIF('Taxonomy'!$C$9:$C$108,D546)&lt;&gt;1,"Assessment key",IF(OR(COUNTIF('Taxonomy Rules'!$C$42:$C$68,E546)&lt;&gt;1,F546&lt;&gt;IFERROR(INDEX('Taxonomy Rules'!$D$42:$D$68,MATCH(E546,'Taxonomy Rules'!$C$42:$C$68,0)),""),NOT(OR(IFERROR(INDEX('Taxonomy Rules'!$G$42:$G$68,MATCH(E546,'Taxonomy Rules'!$C$42:$C$68,0)),"")="All supported routes",IFERROR(INDEX('Taxonomy Rules'!$G$42:$G$68,MATCH(E546,'Taxonomy Rules'!$C$42:$C$68,0)),"")=U546,AND(IFERROR(INDEX('Taxonomy Rules'!$G$42:$G$68,MATCH(E546,'Taxonomy Rules'!$C$42:$C$68,0)),"")="Building routes",OR(U546="Building renovation",U546="New building",U546="Building equipment"))))),"Unexpected test","Valid"))))</x:f>
      </x:c>
      <x:c r="S546" s="9" t="str">
        <x:f>IF(C546="","",IFERROR(INDEX('Taxonomy Rules'!$E$42:$E$68,MATCH(E546,'Taxonomy Rules'!$C$42:$C$68,0)),""))</x:f>
      </x:c>
      <x:c r="T546" s="9" t="str">
        <x:f>IF(C546="","",IFERROR(INDEX('Taxonomy Rules'!$F$42:$F$68,MATCH(E546,'Taxonomy Rules'!$C$42:$C$68,0)),""))</x:f>
      </x:c>
      <x:c r="U546" s="9" t="str">
        <x:f>IF(C546="","",IFERROR(INDEX('Taxonomy'!$G$9:$G$108,MATCH(D546,'Taxonomy'!$C$9:$C$108,0)),""))</x:f>
      </x:c>
    </x:row>
    <x:row r="547" ht="44" customHeight="1">
      <x:c r="A547" s="1"/>
      <x:c r="B547" s="1"/>
      <x:c r="C547" s="8"/>
      <x:c r="D547" s="8"/>
      <x:c r="E547" s="8"/>
      <x:c r="F547" s="8"/>
      <x:c r="G547" s="8"/>
      <x:c r="H547" s="8"/>
      <x:c r="I547" s="8"/>
      <x:c r="J547" s="8"/>
      <x:c r="K547" s="8"/>
      <x:c r="L547" s="8"/>
      <x:c r="M547" s="10"/>
      <x:c r="N547" s="10"/>
      <x:c r="O547" s="8"/>
      <x:c r="P547" s="9" t="str">
        <x:f>IF(C547="","",IF(AND(G547="Applicable",H547="Fail"),"Fail",IF(R547&lt;&gt;"Valid","Pending",IF(OR(I547="",K547="",L547="",K547=L547,NOT(ISNUMBER(M547)),NOT(ISNUMBER(N547)),M547&gt;Settings!$F$8,N547&lt;Settings!$F$8,N547&lt;M547),"Pending",IF(AND(G547="Applicable",H547="Pass"),"Pass",IF(AND(G547="N/A",H547="N/A",J547&lt;&gt;"",OR(E547="CEM-FUELS",E547="CEM-CCS",AND(E547="CEM-PLAN",IFERROR(INDEX('Taxonomy'!$M$9:$M$108,MATCH(D547,'Taxonomy'!$C$9:$C$108,0)),"")&lt;&gt;"Amber"),E547="BLD-TIMBER",AND(U547="Building equipment",OR(E547="BLD-WATER",E547="BLD-WASTE",E547="BLD-LAND")),AND(U547="Building renovation",E547="BLD-LAND"))),"N/A","Pending"))))))</x:f>
      </x:c>
      <x:c r="Q547" s="3" t="str">
        <x:f>IF(C547="","",IF(AND(R547="Valid",OR(P547="Pass",P547="N/A")),"Complete","Unresolved"))</x:f>
      </x:c>
      <x:c r="R547" s="9" t="str">
        <x:f>IF(C547="","",IF(OR(COUNTIF($C$9:$C$2008,C547)&lt;&gt;1,COUNTIFS($D$9:$D$2008,D547,$E$9:$E$2008,E547)&lt;&gt;1),"Duplicate test",IF(COUNTIF('Taxonomy'!$C$9:$C$108,D547)&lt;&gt;1,"Assessment key",IF(OR(COUNTIF('Taxonomy Rules'!$C$42:$C$68,E547)&lt;&gt;1,F547&lt;&gt;IFERROR(INDEX('Taxonomy Rules'!$D$42:$D$68,MATCH(E547,'Taxonomy Rules'!$C$42:$C$68,0)),""),NOT(OR(IFERROR(INDEX('Taxonomy Rules'!$G$42:$G$68,MATCH(E547,'Taxonomy Rules'!$C$42:$C$68,0)),"")="All supported routes",IFERROR(INDEX('Taxonomy Rules'!$G$42:$G$68,MATCH(E547,'Taxonomy Rules'!$C$42:$C$68,0)),"")=U547,AND(IFERROR(INDEX('Taxonomy Rules'!$G$42:$G$68,MATCH(E547,'Taxonomy Rules'!$C$42:$C$68,0)),"")="Building routes",OR(U547="Building renovation",U547="New building",U547="Building equipment"))))),"Unexpected test","Valid"))))</x:f>
      </x:c>
      <x:c r="S547" s="9" t="str">
        <x:f>IF(C547="","",IFERROR(INDEX('Taxonomy Rules'!$E$42:$E$68,MATCH(E547,'Taxonomy Rules'!$C$42:$C$68,0)),""))</x:f>
      </x:c>
      <x:c r="T547" s="9" t="str">
        <x:f>IF(C547="","",IFERROR(INDEX('Taxonomy Rules'!$F$42:$F$68,MATCH(E547,'Taxonomy Rules'!$C$42:$C$68,0)),""))</x:f>
      </x:c>
      <x:c r="U547" s="9" t="str">
        <x:f>IF(C547="","",IFERROR(INDEX('Taxonomy'!$G$9:$G$108,MATCH(D547,'Taxonomy'!$C$9:$C$108,0)),""))</x:f>
      </x:c>
    </x:row>
    <x:row r="548" ht="44" customHeight="1">
      <x:c r="A548" s="1"/>
      <x:c r="B548" s="1"/>
      <x:c r="C548" s="8"/>
      <x:c r="D548" s="8"/>
      <x:c r="E548" s="8"/>
      <x:c r="F548" s="8"/>
      <x:c r="G548" s="8"/>
      <x:c r="H548" s="8"/>
      <x:c r="I548" s="8"/>
      <x:c r="J548" s="8"/>
      <x:c r="K548" s="8"/>
      <x:c r="L548" s="8"/>
      <x:c r="M548" s="10"/>
      <x:c r="N548" s="10"/>
      <x:c r="O548" s="8"/>
      <x:c r="P548" s="9" t="str">
        <x:f>IF(C548="","",IF(AND(G548="Applicable",H548="Fail"),"Fail",IF(R548&lt;&gt;"Valid","Pending",IF(OR(I548="",K548="",L548="",K548=L548,NOT(ISNUMBER(M548)),NOT(ISNUMBER(N548)),M548&gt;Settings!$F$8,N548&lt;Settings!$F$8,N548&lt;M548),"Pending",IF(AND(G548="Applicable",H548="Pass"),"Pass",IF(AND(G548="N/A",H548="N/A",J548&lt;&gt;"",OR(E548="CEM-FUELS",E548="CEM-CCS",AND(E548="CEM-PLAN",IFERROR(INDEX('Taxonomy'!$M$9:$M$108,MATCH(D548,'Taxonomy'!$C$9:$C$108,0)),"")&lt;&gt;"Amber"),E548="BLD-TIMBER",AND(U548="Building equipment",OR(E548="BLD-WATER",E548="BLD-WASTE",E548="BLD-LAND")),AND(U548="Building renovation",E548="BLD-LAND"))),"N/A","Pending"))))))</x:f>
      </x:c>
      <x:c r="Q548" s="3" t="str">
        <x:f>IF(C548="","",IF(AND(R548="Valid",OR(P548="Pass",P548="N/A")),"Complete","Unresolved"))</x:f>
      </x:c>
      <x:c r="R548" s="9" t="str">
        <x:f>IF(C548="","",IF(OR(COUNTIF($C$9:$C$2008,C548)&lt;&gt;1,COUNTIFS($D$9:$D$2008,D548,$E$9:$E$2008,E548)&lt;&gt;1),"Duplicate test",IF(COUNTIF('Taxonomy'!$C$9:$C$108,D548)&lt;&gt;1,"Assessment key",IF(OR(COUNTIF('Taxonomy Rules'!$C$42:$C$68,E548)&lt;&gt;1,F548&lt;&gt;IFERROR(INDEX('Taxonomy Rules'!$D$42:$D$68,MATCH(E548,'Taxonomy Rules'!$C$42:$C$68,0)),""),NOT(OR(IFERROR(INDEX('Taxonomy Rules'!$G$42:$G$68,MATCH(E548,'Taxonomy Rules'!$C$42:$C$68,0)),"")="All supported routes",IFERROR(INDEX('Taxonomy Rules'!$G$42:$G$68,MATCH(E548,'Taxonomy Rules'!$C$42:$C$68,0)),"")=U548,AND(IFERROR(INDEX('Taxonomy Rules'!$G$42:$G$68,MATCH(E548,'Taxonomy Rules'!$C$42:$C$68,0)),"")="Building routes",OR(U548="Building renovation",U548="New building",U548="Building equipment"))))),"Unexpected test","Valid"))))</x:f>
      </x:c>
      <x:c r="S548" s="9" t="str">
        <x:f>IF(C548="","",IFERROR(INDEX('Taxonomy Rules'!$E$42:$E$68,MATCH(E548,'Taxonomy Rules'!$C$42:$C$68,0)),""))</x:f>
      </x:c>
      <x:c r="T548" s="9" t="str">
        <x:f>IF(C548="","",IFERROR(INDEX('Taxonomy Rules'!$F$42:$F$68,MATCH(E548,'Taxonomy Rules'!$C$42:$C$68,0)),""))</x:f>
      </x:c>
      <x:c r="U548" s="9" t="str">
        <x:f>IF(C548="","",IFERROR(INDEX('Taxonomy'!$G$9:$G$108,MATCH(D548,'Taxonomy'!$C$9:$C$108,0)),""))</x:f>
      </x:c>
    </x:row>
    <x:row r="549" ht="44" customHeight="1">
      <x:c r="A549" s="1"/>
      <x:c r="B549" s="1"/>
      <x:c r="C549" s="8"/>
      <x:c r="D549" s="8"/>
      <x:c r="E549" s="8"/>
      <x:c r="F549" s="8"/>
      <x:c r="G549" s="8"/>
      <x:c r="H549" s="8"/>
      <x:c r="I549" s="8"/>
      <x:c r="J549" s="8"/>
      <x:c r="K549" s="8"/>
      <x:c r="L549" s="8"/>
      <x:c r="M549" s="10"/>
      <x:c r="N549" s="10"/>
      <x:c r="O549" s="8"/>
      <x:c r="P549" s="9" t="str">
        <x:f>IF(C549="","",IF(AND(G549="Applicable",H549="Fail"),"Fail",IF(R549&lt;&gt;"Valid","Pending",IF(OR(I549="",K549="",L549="",K549=L549,NOT(ISNUMBER(M549)),NOT(ISNUMBER(N549)),M549&gt;Settings!$F$8,N549&lt;Settings!$F$8,N549&lt;M549),"Pending",IF(AND(G549="Applicable",H549="Pass"),"Pass",IF(AND(G549="N/A",H549="N/A",J549&lt;&gt;"",OR(E549="CEM-FUELS",E549="CEM-CCS",AND(E549="CEM-PLAN",IFERROR(INDEX('Taxonomy'!$M$9:$M$108,MATCH(D549,'Taxonomy'!$C$9:$C$108,0)),"")&lt;&gt;"Amber"),E549="BLD-TIMBER",AND(U549="Building equipment",OR(E549="BLD-WATER",E549="BLD-WASTE",E549="BLD-LAND")),AND(U549="Building renovation",E549="BLD-LAND"))),"N/A","Pending"))))))</x:f>
      </x:c>
      <x:c r="Q549" s="3" t="str">
        <x:f>IF(C549="","",IF(AND(R549="Valid",OR(P549="Pass",P549="N/A")),"Complete","Unresolved"))</x:f>
      </x:c>
      <x:c r="R549" s="9" t="str">
        <x:f>IF(C549="","",IF(OR(COUNTIF($C$9:$C$2008,C549)&lt;&gt;1,COUNTIFS($D$9:$D$2008,D549,$E$9:$E$2008,E549)&lt;&gt;1),"Duplicate test",IF(COUNTIF('Taxonomy'!$C$9:$C$108,D549)&lt;&gt;1,"Assessment key",IF(OR(COUNTIF('Taxonomy Rules'!$C$42:$C$68,E549)&lt;&gt;1,F549&lt;&gt;IFERROR(INDEX('Taxonomy Rules'!$D$42:$D$68,MATCH(E549,'Taxonomy Rules'!$C$42:$C$68,0)),""),NOT(OR(IFERROR(INDEX('Taxonomy Rules'!$G$42:$G$68,MATCH(E549,'Taxonomy Rules'!$C$42:$C$68,0)),"")="All supported routes",IFERROR(INDEX('Taxonomy Rules'!$G$42:$G$68,MATCH(E549,'Taxonomy Rules'!$C$42:$C$68,0)),"")=U549,AND(IFERROR(INDEX('Taxonomy Rules'!$G$42:$G$68,MATCH(E549,'Taxonomy Rules'!$C$42:$C$68,0)),"")="Building routes",OR(U549="Building renovation",U549="New building",U549="Building equipment"))))),"Unexpected test","Valid"))))</x:f>
      </x:c>
      <x:c r="S549" s="9" t="str">
        <x:f>IF(C549="","",IFERROR(INDEX('Taxonomy Rules'!$E$42:$E$68,MATCH(E549,'Taxonomy Rules'!$C$42:$C$68,0)),""))</x:f>
      </x:c>
      <x:c r="T549" s="9" t="str">
        <x:f>IF(C549="","",IFERROR(INDEX('Taxonomy Rules'!$F$42:$F$68,MATCH(E549,'Taxonomy Rules'!$C$42:$C$68,0)),""))</x:f>
      </x:c>
      <x:c r="U549" s="9" t="str">
        <x:f>IF(C549="","",IFERROR(INDEX('Taxonomy'!$G$9:$G$108,MATCH(D549,'Taxonomy'!$C$9:$C$108,0)),""))</x:f>
      </x:c>
    </x:row>
    <x:row r="550" ht="44" customHeight="1">
      <x:c r="A550" s="1"/>
      <x:c r="B550" s="1"/>
      <x:c r="C550" s="8"/>
      <x:c r="D550" s="8"/>
      <x:c r="E550" s="8"/>
      <x:c r="F550" s="8"/>
      <x:c r="G550" s="8"/>
      <x:c r="H550" s="8"/>
      <x:c r="I550" s="8"/>
      <x:c r="J550" s="8"/>
      <x:c r="K550" s="8"/>
      <x:c r="L550" s="8"/>
      <x:c r="M550" s="10"/>
      <x:c r="N550" s="10"/>
      <x:c r="O550" s="8"/>
      <x:c r="P550" s="9" t="str">
        <x:f>IF(C550="","",IF(AND(G550="Applicable",H550="Fail"),"Fail",IF(R550&lt;&gt;"Valid","Pending",IF(OR(I550="",K550="",L550="",K550=L550,NOT(ISNUMBER(M550)),NOT(ISNUMBER(N550)),M550&gt;Settings!$F$8,N550&lt;Settings!$F$8,N550&lt;M550),"Pending",IF(AND(G550="Applicable",H550="Pass"),"Pass",IF(AND(G550="N/A",H550="N/A",J550&lt;&gt;"",OR(E550="CEM-FUELS",E550="CEM-CCS",AND(E550="CEM-PLAN",IFERROR(INDEX('Taxonomy'!$M$9:$M$108,MATCH(D550,'Taxonomy'!$C$9:$C$108,0)),"")&lt;&gt;"Amber"),E550="BLD-TIMBER",AND(U550="Building equipment",OR(E550="BLD-WATER",E550="BLD-WASTE",E550="BLD-LAND")),AND(U550="Building renovation",E550="BLD-LAND"))),"N/A","Pending"))))))</x:f>
      </x:c>
      <x:c r="Q550" s="3" t="str">
        <x:f>IF(C550="","",IF(AND(R550="Valid",OR(P550="Pass",P550="N/A")),"Complete","Unresolved"))</x:f>
      </x:c>
      <x:c r="R550" s="9" t="str">
        <x:f>IF(C550="","",IF(OR(COUNTIF($C$9:$C$2008,C550)&lt;&gt;1,COUNTIFS($D$9:$D$2008,D550,$E$9:$E$2008,E550)&lt;&gt;1),"Duplicate test",IF(COUNTIF('Taxonomy'!$C$9:$C$108,D550)&lt;&gt;1,"Assessment key",IF(OR(COUNTIF('Taxonomy Rules'!$C$42:$C$68,E550)&lt;&gt;1,F550&lt;&gt;IFERROR(INDEX('Taxonomy Rules'!$D$42:$D$68,MATCH(E550,'Taxonomy Rules'!$C$42:$C$68,0)),""),NOT(OR(IFERROR(INDEX('Taxonomy Rules'!$G$42:$G$68,MATCH(E550,'Taxonomy Rules'!$C$42:$C$68,0)),"")="All supported routes",IFERROR(INDEX('Taxonomy Rules'!$G$42:$G$68,MATCH(E550,'Taxonomy Rules'!$C$42:$C$68,0)),"")=U550,AND(IFERROR(INDEX('Taxonomy Rules'!$G$42:$G$68,MATCH(E550,'Taxonomy Rules'!$C$42:$C$68,0)),"")="Building routes",OR(U550="Building renovation",U550="New building",U550="Building equipment"))))),"Unexpected test","Valid"))))</x:f>
      </x:c>
      <x:c r="S550" s="9" t="str">
        <x:f>IF(C550="","",IFERROR(INDEX('Taxonomy Rules'!$E$42:$E$68,MATCH(E550,'Taxonomy Rules'!$C$42:$C$68,0)),""))</x:f>
      </x:c>
      <x:c r="T550" s="9" t="str">
        <x:f>IF(C550="","",IFERROR(INDEX('Taxonomy Rules'!$F$42:$F$68,MATCH(E550,'Taxonomy Rules'!$C$42:$C$68,0)),""))</x:f>
      </x:c>
      <x:c r="U550" s="9" t="str">
        <x:f>IF(C550="","",IFERROR(INDEX('Taxonomy'!$G$9:$G$108,MATCH(D550,'Taxonomy'!$C$9:$C$108,0)),""))</x:f>
      </x:c>
    </x:row>
    <x:row r="551" ht="44" customHeight="1">
      <x:c r="A551" s="1"/>
      <x:c r="B551" s="1"/>
      <x:c r="C551" s="8"/>
      <x:c r="D551" s="8"/>
      <x:c r="E551" s="8"/>
      <x:c r="F551" s="8"/>
      <x:c r="G551" s="8"/>
      <x:c r="H551" s="8"/>
      <x:c r="I551" s="8"/>
      <x:c r="J551" s="8"/>
      <x:c r="K551" s="8"/>
      <x:c r="L551" s="8"/>
      <x:c r="M551" s="10"/>
      <x:c r="N551" s="10"/>
      <x:c r="O551" s="8"/>
      <x:c r="P551" s="9" t="str">
        <x:f>IF(C551="","",IF(AND(G551="Applicable",H551="Fail"),"Fail",IF(R551&lt;&gt;"Valid","Pending",IF(OR(I551="",K551="",L551="",K551=L551,NOT(ISNUMBER(M551)),NOT(ISNUMBER(N551)),M551&gt;Settings!$F$8,N551&lt;Settings!$F$8,N551&lt;M551),"Pending",IF(AND(G551="Applicable",H551="Pass"),"Pass",IF(AND(G551="N/A",H551="N/A",J551&lt;&gt;"",OR(E551="CEM-FUELS",E551="CEM-CCS",AND(E551="CEM-PLAN",IFERROR(INDEX('Taxonomy'!$M$9:$M$108,MATCH(D551,'Taxonomy'!$C$9:$C$108,0)),"")&lt;&gt;"Amber"),E551="BLD-TIMBER",AND(U551="Building equipment",OR(E551="BLD-WATER",E551="BLD-WASTE",E551="BLD-LAND")),AND(U551="Building renovation",E551="BLD-LAND"))),"N/A","Pending"))))))</x:f>
      </x:c>
      <x:c r="Q551" s="3" t="str">
        <x:f>IF(C551="","",IF(AND(R551="Valid",OR(P551="Pass",P551="N/A")),"Complete","Unresolved"))</x:f>
      </x:c>
      <x:c r="R551" s="9" t="str">
        <x:f>IF(C551="","",IF(OR(COUNTIF($C$9:$C$2008,C551)&lt;&gt;1,COUNTIFS($D$9:$D$2008,D551,$E$9:$E$2008,E551)&lt;&gt;1),"Duplicate test",IF(COUNTIF('Taxonomy'!$C$9:$C$108,D551)&lt;&gt;1,"Assessment key",IF(OR(COUNTIF('Taxonomy Rules'!$C$42:$C$68,E551)&lt;&gt;1,F551&lt;&gt;IFERROR(INDEX('Taxonomy Rules'!$D$42:$D$68,MATCH(E551,'Taxonomy Rules'!$C$42:$C$68,0)),""),NOT(OR(IFERROR(INDEX('Taxonomy Rules'!$G$42:$G$68,MATCH(E551,'Taxonomy Rules'!$C$42:$C$68,0)),"")="All supported routes",IFERROR(INDEX('Taxonomy Rules'!$G$42:$G$68,MATCH(E551,'Taxonomy Rules'!$C$42:$C$68,0)),"")=U551,AND(IFERROR(INDEX('Taxonomy Rules'!$G$42:$G$68,MATCH(E551,'Taxonomy Rules'!$C$42:$C$68,0)),"")="Building routes",OR(U551="Building renovation",U551="New building",U551="Building equipment"))))),"Unexpected test","Valid"))))</x:f>
      </x:c>
      <x:c r="S551" s="9" t="str">
        <x:f>IF(C551="","",IFERROR(INDEX('Taxonomy Rules'!$E$42:$E$68,MATCH(E551,'Taxonomy Rules'!$C$42:$C$68,0)),""))</x:f>
      </x:c>
      <x:c r="T551" s="9" t="str">
        <x:f>IF(C551="","",IFERROR(INDEX('Taxonomy Rules'!$F$42:$F$68,MATCH(E551,'Taxonomy Rules'!$C$42:$C$68,0)),""))</x:f>
      </x:c>
      <x:c r="U551" s="9" t="str">
        <x:f>IF(C551="","",IFERROR(INDEX('Taxonomy'!$G$9:$G$108,MATCH(D551,'Taxonomy'!$C$9:$C$108,0)),""))</x:f>
      </x:c>
    </x:row>
    <x:row r="552" ht="44" customHeight="1">
      <x:c r="A552" s="1"/>
      <x:c r="B552" s="1"/>
      <x:c r="C552" s="8"/>
      <x:c r="D552" s="8"/>
      <x:c r="E552" s="8"/>
      <x:c r="F552" s="8"/>
      <x:c r="G552" s="8"/>
      <x:c r="H552" s="8"/>
      <x:c r="I552" s="8"/>
      <x:c r="J552" s="8"/>
      <x:c r="K552" s="8"/>
      <x:c r="L552" s="8"/>
      <x:c r="M552" s="10"/>
      <x:c r="N552" s="10"/>
      <x:c r="O552" s="8"/>
      <x:c r="P552" s="9" t="str">
        <x:f>IF(C552="","",IF(AND(G552="Applicable",H552="Fail"),"Fail",IF(R552&lt;&gt;"Valid","Pending",IF(OR(I552="",K552="",L552="",K552=L552,NOT(ISNUMBER(M552)),NOT(ISNUMBER(N552)),M552&gt;Settings!$F$8,N552&lt;Settings!$F$8,N552&lt;M552),"Pending",IF(AND(G552="Applicable",H552="Pass"),"Pass",IF(AND(G552="N/A",H552="N/A",J552&lt;&gt;"",OR(E552="CEM-FUELS",E552="CEM-CCS",AND(E552="CEM-PLAN",IFERROR(INDEX('Taxonomy'!$M$9:$M$108,MATCH(D552,'Taxonomy'!$C$9:$C$108,0)),"")&lt;&gt;"Amber"),E552="BLD-TIMBER",AND(U552="Building equipment",OR(E552="BLD-WATER",E552="BLD-WASTE",E552="BLD-LAND")),AND(U552="Building renovation",E552="BLD-LAND"))),"N/A","Pending"))))))</x:f>
      </x:c>
      <x:c r="Q552" s="3" t="str">
        <x:f>IF(C552="","",IF(AND(R552="Valid",OR(P552="Pass",P552="N/A")),"Complete","Unresolved"))</x:f>
      </x:c>
      <x:c r="R552" s="9" t="str">
        <x:f>IF(C552="","",IF(OR(COUNTIF($C$9:$C$2008,C552)&lt;&gt;1,COUNTIFS($D$9:$D$2008,D552,$E$9:$E$2008,E552)&lt;&gt;1),"Duplicate test",IF(COUNTIF('Taxonomy'!$C$9:$C$108,D552)&lt;&gt;1,"Assessment key",IF(OR(COUNTIF('Taxonomy Rules'!$C$42:$C$68,E552)&lt;&gt;1,F552&lt;&gt;IFERROR(INDEX('Taxonomy Rules'!$D$42:$D$68,MATCH(E552,'Taxonomy Rules'!$C$42:$C$68,0)),""),NOT(OR(IFERROR(INDEX('Taxonomy Rules'!$G$42:$G$68,MATCH(E552,'Taxonomy Rules'!$C$42:$C$68,0)),"")="All supported routes",IFERROR(INDEX('Taxonomy Rules'!$G$42:$G$68,MATCH(E552,'Taxonomy Rules'!$C$42:$C$68,0)),"")=U552,AND(IFERROR(INDEX('Taxonomy Rules'!$G$42:$G$68,MATCH(E552,'Taxonomy Rules'!$C$42:$C$68,0)),"")="Building routes",OR(U552="Building renovation",U552="New building",U552="Building equipment"))))),"Unexpected test","Valid"))))</x:f>
      </x:c>
      <x:c r="S552" s="9" t="str">
        <x:f>IF(C552="","",IFERROR(INDEX('Taxonomy Rules'!$E$42:$E$68,MATCH(E552,'Taxonomy Rules'!$C$42:$C$68,0)),""))</x:f>
      </x:c>
      <x:c r="T552" s="9" t="str">
        <x:f>IF(C552="","",IFERROR(INDEX('Taxonomy Rules'!$F$42:$F$68,MATCH(E552,'Taxonomy Rules'!$C$42:$C$68,0)),""))</x:f>
      </x:c>
      <x:c r="U552" s="9" t="str">
        <x:f>IF(C552="","",IFERROR(INDEX('Taxonomy'!$G$9:$G$108,MATCH(D552,'Taxonomy'!$C$9:$C$108,0)),""))</x:f>
      </x:c>
    </x:row>
    <x:row r="553" ht="44" customHeight="1">
      <x:c r="A553" s="1"/>
      <x:c r="B553" s="1"/>
      <x:c r="C553" s="8"/>
      <x:c r="D553" s="8"/>
      <x:c r="E553" s="8"/>
      <x:c r="F553" s="8"/>
      <x:c r="G553" s="8"/>
      <x:c r="H553" s="8"/>
      <x:c r="I553" s="8"/>
      <x:c r="J553" s="8"/>
      <x:c r="K553" s="8"/>
      <x:c r="L553" s="8"/>
      <x:c r="M553" s="10"/>
      <x:c r="N553" s="10"/>
      <x:c r="O553" s="8"/>
      <x:c r="P553" s="9" t="str">
        <x:f>IF(C553="","",IF(AND(G553="Applicable",H553="Fail"),"Fail",IF(R553&lt;&gt;"Valid","Pending",IF(OR(I553="",K553="",L553="",K553=L553,NOT(ISNUMBER(M553)),NOT(ISNUMBER(N553)),M553&gt;Settings!$F$8,N553&lt;Settings!$F$8,N553&lt;M553),"Pending",IF(AND(G553="Applicable",H553="Pass"),"Pass",IF(AND(G553="N/A",H553="N/A",J553&lt;&gt;"",OR(E553="CEM-FUELS",E553="CEM-CCS",AND(E553="CEM-PLAN",IFERROR(INDEX('Taxonomy'!$M$9:$M$108,MATCH(D553,'Taxonomy'!$C$9:$C$108,0)),"")&lt;&gt;"Amber"),E553="BLD-TIMBER",AND(U553="Building equipment",OR(E553="BLD-WATER",E553="BLD-WASTE",E553="BLD-LAND")),AND(U553="Building renovation",E553="BLD-LAND"))),"N/A","Pending"))))))</x:f>
      </x:c>
      <x:c r="Q553" s="3" t="str">
        <x:f>IF(C553="","",IF(AND(R553="Valid",OR(P553="Pass",P553="N/A")),"Complete","Unresolved"))</x:f>
      </x:c>
      <x:c r="R553" s="9" t="str">
        <x:f>IF(C553="","",IF(OR(COUNTIF($C$9:$C$2008,C553)&lt;&gt;1,COUNTIFS($D$9:$D$2008,D553,$E$9:$E$2008,E553)&lt;&gt;1),"Duplicate test",IF(COUNTIF('Taxonomy'!$C$9:$C$108,D553)&lt;&gt;1,"Assessment key",IF(OR(COUNTIF('Taxonomy Rules'!$C$42:$C$68,E553)&lt;&gt;1,F553&lt;&gt;IFERROR(INDEX('Taxonomy Rules'!$D$42:$D$68,MATCH(E553,'Taxonomy Rules'!$C$42:$C$68,0)),""),NOT(OR(IFERROR(INDEX('Taxonomy Rules'!$G$42:$G$68,MATCH(E553,'Taxonomy Rules'!$C$42:$C$68,0)),"")="All supported routes",IFERROR(INDEX('Taxonomy Rules'!$G$42:$G$68,MATCH(E553,'Taxonomy Rules'!$C$42:$C$68,0)),"")=U553,AND(IFERROR(INDEX('Taxonomy Rules'!$G$42:$G$68,MATCH(E553,'Taxonomy Rules'!$C$42:$C$68,0)),"")="Building routes",OR(U553="Building renovation",U553="New building",U553="Building equipment"))))),"Unexpected test","Valid"))))</x:f>
      </x:c>
      <x:c r="S553" s="9" t="str">
        <x:f>IF(C553="","",IFERROR(INDEX('Taxonomy Rules'!$E$42:$E$68,MATCH(E553,'Taxonomy Rules'!$C$42:$C$68,0)),""))</x:f>
      </x:c>
      <x:c r="T553" s="9" t="str">
        <x:f>IF(C553="","",IFERROR(INDEX('Taxonomy Rules'!$F$42:$F$68,MATCH(E553,'Taxonomy Rules'!$C$42:$C$68,0)),""))</x:f>
      </x:c>
      <x:c r="U553" s="9" t="str">
        <x:f>IF(C553="","",IFERROR(INDEX('Taxonomy'!$G$9:$G$108,MATCH(D553,'Taxonomy'!$C$9:$C$108,0)),""))</x:f>
      </x:c>
    </x:row>
    <x:row r="554" ht="44" customHeight="1">
      <x:c r="A554" s="1"/>
      <x:c r="B554" s="1"/>
      <x:c r="C554" s="8"/>
      <x:c r="D554" s="8"/>
      <x:c r="E554" s="8"/>
      <x:c r="F554" s="8"/>
      <x:c r="G554" s="8"/>
      <x:c r="H554" s="8"/>
      <x:c r="I554" s="8"/>
      <x:c r="J554" s="8"/>
      <x:c r="K554" s="8"/>
      <x:c r="L554" s="8"/>
      <x:c r="M554" s="10"/>
      <x:c r="N554" s="10"/>
      <x:c r="O554" s="8"/>
      <x:c r="P554" s="9" t="str">
        <x:f>IF(C554="","",IF(AND(G554="Applicable",H554="Fail"),"Fail",IF(R554&lt;&gt;"Valid","Pending",IF(OR(I554="",K554="",L554="",K554=L554,NOT(ISNUMBER(M554)),NOT(ISNUMBER(N554)),M554&gt;Settings!$F$8,N554&lt;Settings!$F$8,N554&lt;M554),"Pending",IF(AND(G554="Applicable",H554="Pass"),"Pass",IF(AND(G554="N/A",H554="N/A",J554&lt;&gt;"",OR(E554="CEM-FUELS",E554="CEM-CCS",AND(E554="CEM-PLAN",IFERROR(INDEX('Taxonomy'!$M$9:$M$108,MATCH(D554,'Taxonomy'!$C$9:$C$108,0)),"")&lt;&gt;"Amber"),E554="BLD-TIMBER",AND(U554="Building equipment",OR(E554="BLD-WATER",E554="BLD-WASTE",E554="BLD-LAND")),AND(U554="Building renovation",E554="BLD-LAND"))),"N/A","Pending"))))))</x:f>
      </x:c>
      <x:c r="Q554" s="3" t="str">
        <x:f>IF(C554="","",IF(AND(R554="Valid",OR(P554="Pass",P554="N/A")),"Complete","Unresolved"))</x:f>
      </x:c>
      <x:c r="R554" s="9" t="str">
        <x:f>IF(C554="","",IF(OR(COUNTIF($C$9:$C$2008,C554)&lt;&gt;1,COUNTIFS($D$9:$D$2008,D554,$E$9:$E$2008,E554)&lt;&gt;1),"Duplicate test",IF(COUNTIF('Taxonomy'!$C$9:$C$108,D554)&lt;&gt;1,"Assessment key",IF(OR(COUNTIF('Taxonomy Rules'!$C$42:$C$68,E554)&lt;&gt;1,F554&lt;&gt;IFERROR(INDEX('Taxonomy Rules'!$D$42:$D$68,MATCH(E554,'Taxonomy Rules'!$C$42:$C$68,0)),""),NOT(OR(IFERROR(INDEX('Taxonomy Rules'!$G$42:$G$68,MATCH(E554,'Taxonomy Rules'!$C$42:$C$68,0)),"")="All supported routes",IFERROR(INDEX('Taxonomy Rules'!$G$42:$G$68,MATCH(E554,'Taxonomy Rules'!$C$42:$C$68,0)),"")=U554,AND(IFERROR(INDEX('Taxonomy Rules'!$G$42:$G$68,MATCH(E554,'Taxonomy Rules'!$C$42:$C$68,0)),"")="Building routes",OR(U554="Building renovation",U554="New building",U554="Building equipment"))))),"Unexpected test","Valid"))))</x:f>
      </x:c>
      <x:c r="S554" s="9" t="str">
        <x:f>IF(C554="","",IFERROR(INDEX('Taxonomy Rules'!$E$42:$E$68,MATCH(E554,'Taxonomy Rules'!$C$42:$C$68,0)),""))</x:f>
      </x:c>
      <x:c r="T554" s="9" t="str">
        <x:f>IF(C554="","",IFERROR(INDEX('Taxonomy Rules'!$F$42:$F$68,MATCH(E554,'Taxonomy Rules'!$C$42:$C$68,0)),""))</x:f>
      </x:c>
      <x:c r="U554" s="9" t="str">
        <x:f>IF(C554="","",IFERROR(INDEX('Taxonomy'!$G$9:$G$108,MATCH(D554,'Taxonomy'!$C$9:$C$108,0)),""))</x:f>
      </x:c>
    </x:row>
    <x:row r="555" ht="44" customHeight="1">
      <x:c r="A555" s="1"/>
      <x:c r="B555" s="1"/>
      <x:c r="C555" s="8"/>
      <x:c r="D555" s="8"/>
      <x:c r="E555" s="8"/>
      <x:c r="F555" s="8"/>
      <x:c r="G555" s="8"/>
      <x:c r="H555" s="8"/>
      <x:c r="I555" s="8"/>
      <x:c r="J555" s="8"/>
      <x:c r="K555" s="8"/>
      <x:c r="L555" s="8"/>
      <x:c r="M555" s="10"/>
      <x:c r="N555" s="10"/>
      <x:c r="O555" s="8"/>
      <x:c r="P555" s="9" t="str">
        <x:f>IF(C555="","",IF(AND(G555="Applicable",H555="Fail"),"Fail",IF(R555&lt;&gt;"Valid","Pending",IF(OR(I555="",K555="",L555="",K555=L555,NOT(ISNUMBER(M555)),NOT(ISNUMBER(N555)),M555&gt;Settings!$F$8,N555&lt;Settings!$F$8,N555&lt;M555),"Pending",IF(AND(G555="Applicable",H555="Pass"),"Pass",IF(AND(G555="N/A",H555="N/A",J555&lt;&gt;"",OR(E555="CEM-FUELS",E555="CEM-CCS",AND(E555="CEM-PLAN",IFERROR(INDEX('Taxonomy'!$M$9:$M$108,MATCH(D555,'Taxonomy'!$C$9:$C$108,0)),"")&lt;&gt;"Amber"),E555="BLD-TIMBER",AND(U555="Building equipment",OR(E555="BLD-WATER",E555="BLD-WASTE",E555="BLD-LAND")),AND(U555="Building renovation",E555="BLD-LAND"))),"N/A","Pending"))))))</x:f>
      </x:c>
      <x:c r="Q555" s="3" t="str">
        <x:f>IF(C555="","",IF(AND(R555="Valid",OR(P555="Pass",P555="N/A")),"Complete","Unresolved"))</x:f>
      </x:c>
      <x:c r="R555" s="9" t="str">
        <x:f>IF(C555="","",IF(OR(COUNTIF($C$9:$C$2008,C555)&lt;&gt;1,COUNTIFS($D$9:$D$2008,D555,$E$9:$E$2008,E555)&lt;&gt;1),"Duplicate test",IF(COUNTIF('Taxonomy'!$C$9:$C$108,D555)&lt;&gt;1,"Assessment key",IF(OR(COUNTIF('Taxonomy Rules'!$C$42:$C$68,E555)&lt;&gt;1,F555&lt;&gt;IFERROR(INDEX('Taxonomy Rules'!$D$42:$D$68,MATCH(E555,'Taxonomy Rules'!$C$42:$C$68,0)),""),NOT(OR(IFERROR(INDEX('Taxonomy Rules'!$G$42:$G$68,MATCH(E555,'Taxonomy Rules'!$C$42:$C$68,0)),"")="All supported routes",IFERROR(INDEX('Taxonomy Rules'!$G$42:$G$68,MATCH(E555,'Taxonomy Rules'!$C$42:$C$68,0)),"")=U555,AND(IFERROR(INDEX('Taxonomy Rules'!$G$42:$G$68,MATCH(E555,'Taxonomy Rules'!$C$42:$C$68,0)),"")="Building routes",OR(U555="Building renovation",U555="New building",U555="Building equipment"))))),"Unexpected test","Valid"))))</x:f>
      </x:c>
      <x:c r="S555" s="9" t="str">
        <x:f>IF(C555="","",IFERROR(INDEX('Taxonomy Rules'!$E$42:$E$68,MATCH(E555,'Taxonomy Rules'!$C$42:$C$68,0)),""))</x:f>
      </x:c>
      <x:c r="T555" s="9" t="str">
        <x:f>IF(C555="","",IFERROR(INDEX('Taxonomy Rules'!$F$42:$F$68,MATCH(E555,'Taxonomy Rules'!$C$42:$C$68,0)),""))</x:f>
      </x:c>
      <x:c r="U555" s="9" t="str">
        <x:f>IF(C555="","",IFERROR(INDEX('Taxonomy'!$G$9:$G$108,MATCH(D555,'Taxonomy'!$C$9:$C$108,0)),""))</x:f>
      </x:c>
    </x:row>
    <x:row r="556" ht="44" customHeight="1">
      <x:c r="A556" s="1"/>
      <x:c r="B556" s="1"/>
      <x:c r="C556" s="8"/>
      <x:c r="D556" s="8"/>
      <x:c r="E556" s="8"/>
      <x:c r="F556" s="8"/>
      <x:c r="G556" s="8"/>
      <x:c r="H556" s="8"/>
      <x:c r="I556" s="8"/>
      <x:c r="J556" s="8"/>
      <x:c r="K556" s="8"/>
      <x:c r="L556" s="8"/>
      <x:c r="M556" s="10"/>
      <x:c r="N556" s="10"/>
      <x:c r="O556" s="8"/>
      <x:c r="P556" s="9" t="str">
        <x:f>IF(C556="","",IF(AND(G556="Applicable",H556="Fail"),"Fail",IF(R556&lt;&gt;"Valid","Pending",IF(OR(I556="",K556="",L556="",K556=L556,NOT(ISNUMBER(M556)),NOT(ISNUMBER(N556)),M556&gt;Settings!$F$8,N556&lt;Settings!$F$8,N556&lt;M556),"Pending",IF(AND(G556="Applicable",H556="Pass"),"Pass",IF(AND(G556="N/A",H556="N/A",J556&lt;&gt;"",OR(E556="CEM-FUELS",E556="CEM-CCS",AND(E556="CEM-PLAN",IFERROR(INDEX('Taxonomy'!$M$9:$M$108,MATCH(D556,'Taxonomy'!$C$9:$C$108,0)),"")&lt;&gt;"Amber"),E556="BLD-TIMBER",AND(U556="Building equipment",OR(E556="BLD-WATER",E556="BLD-WASTE",E556="BLD-LAND")),AND(U556="Building renovation",E556="BLD-LAND"))),"N/A","Pending"))))))</x:f>
      </x:c>
      <x:c r="Q556" s="3" t="str">
        <x:f>IF(C556="","",IF(AND(R556="Valid",OR(P556="Pass",P556="N/A")),"Complete","Unresolved"))</x:f>
      </x:c>
      <x:c r="R556" s="9" t="str">
        <x:f>IF(C556="","",IF(OR(COUNTIF($C$9:$C$2008,C556)&lt;&gt;1,COUNTIFS($D$9:$D$2008,D556,$E$9:$E$2008,E556)&lt;&gt;1),"Duplicate test",IF(COUNTIF('Taxonomy'!$C$9:$C$108,D556)&lt;&gt;1,"Assessment key",IF(OR(COUNTIF('Taxonomy Rules'!$C$42:$C$68,E556)&lt;&gt;1,F556&lt;&gt;IFERROR(INDEX('Taxonomy Rules'!$D$42:$D$68,MATCH(E556,'Taxonomy Rules'!$C$42:$C$68,0)),""),NOT(OR(IFERROR(INDEX('Taxonomy Rules'!$G$42:$G$68,MATCH(E556,'Taxonomy Rules'!$C$42:$C$68,0)),"")="All supported routes",IFERROR(INDEX('Taxonomy Rules'!$G$42:$G$68,MATCH(E556,'Taxonomy Rules'!$C$42:$C$68,0)),"")=U556,AND(IFERROR(INDEX('Taxonomy Rules'!$G$42:$G$68,MATCH(E556,'Taxonomy Rules'!$C$42:$C$68,0)),"")="Building routes",OR(U556="Building renovation",U556="New building",U556="Building equipment"))))),"Unexpected test","Valid"))))</x:f>
      </x:c>
      <x:c r="S556" s="9" t="str">
        <x:f>IF(C556="","",IFERROR(INDEX('Taxonomy Rules'!$E$42:$E$68,MATCH(E556,'Taxonomy Rules'!$C$42:$C$68,0)),""))</x:f>
      </x:c>
      <x:c r="T556" s="9" t="str">
        <x:f>IF(C556="","",IFERROR(INDEX('Taxonomy Rules'!$F$42:$F$68,MATCH(E556,'Taxonomy Rules'!$C$42:$C$68,0)),""))</x:f>
      </x:c>
      <x:c r="U556" s="9" t="str">
        <x:f>IF(C556="","",IFERROR(INDEX('Taxonomy'!$G$9:$G$108,MATCH(D556,'Taxonomy'!$C$9:$C$108,0)),""))</x:f>
      </x:c>
    </x:row>
    <x:row r="557" ht="44" customHeight="1">
      <x:c r="A557" s="1"/>
      <x:c r="B557" s="1"/>
      <x:c r="C557" s="8"/>
      <x:c r="D557" s="8"/>
      <x:c r="E557" s="8"/>
      <x:c r="F557" s="8"/>
      <x:c r="G557" s="8"/>
      <x:c r="H557" s="8"/>
      <x:c r="I557" s="8"/>
      <x:c r="J557" s="8"/>
      <x:c r="K557" s="8"/>
      <x:c r="L557" s="8"/>
      <x:c r="M557" s="10"/>
      <x:c r="N557" s="10"/>
      <x:c r="O557" s="8"/>
      <x:c r="P557" s="9" t="str">
        <x:f>IF(C557="","",IF(AND(G557="Applicable",H557="Fail"),"Fail",IF(R557&lt;&gt;"Valid","Pending",IF(OR(I557="",K557="",L557="",K557=L557,NOT(ISNUMBER(M557)),NOT(ISNUMBER(N557)),M557&gt;Settings!$F$8,N557&lt;Settings!$F$8,N557&lt;M557),"Pending",IF(AND(G557="Applicable",H557="Pass"),"Pass",IF(AND(G557="N/A",H557="N/A",J557&lt;&gt;"",OR(E557="CEM-FUELS",E557="CEM-CCS",AND(E557="CEM-PLAN",IFERROR(INDEX('Taxonomy'!$M$9:$M$108,MATCH(D557,'Taxonomy'!$C$9:$C$108,0)),"")&lt;&gt;"Amber"),E557="BLD-TIMBER",AND(U557="Building equipment",OR(E557="BLD-WATER",E557="BLD-WASTE",E557="BLD-LAND")),AND(U557="Building renovation",E557="BLD-LAND"))),"N/A","Pending"))))))</x:f>
      </x:c>
      <x:c r="Q557" s="3" t="str">
        <x:f>IF(C557="","",IF(AND(R557="Valid",OR(P557="Pass",P557="N/A")),"Complete","Unresolved"))</x:f>
      </x:c>
      <x:c r="R557" s="9" t="str">
        <x:f>IF(C557="","",IF(OR(COUNTIF($C$9:$C$2008,C557)&lt;&gt;1,COUNTIFS($D$9:$D$2008,D557,$E$9:$E$2008,E557)&lt;&gt;1),"Duplicate test",IF(COUNTIF('Taxonomy'!$C$9:$C$108,D557)&lt;&gt;1,"Assessment key",IF(OR(COUNTIF('Taxonomy Rules'!$C$42:$C$68,E557)&lt;&gt;1,F557&lt;&gt;IFERROR(INDEX('Taxonomy Rules'!$D$42:$D$68,MATCH(E557,'Taxonomy Rules'!$C$42:$C$68,0)),""),NOT(OR(IFERROR(INDEX('Taxonomy Rules'!$G$42:$G$68,MATCH(E557,'Taxonomy Rules'!$C$42:$C$68,0)),"")="All supported routes",IFERROR(INDEX('Taxonomy Rules'!$G$42:$G$68,MATCH(E557,'Taxonomy Rules'!$C$42:$C$68,0)),"")=U557,AND(IFERROR(INDEX('Taxonomy Rules'!$G$42:$G$68,MATCH(E557,'Taxonomy Rules'!$C$42:$C$68,0)),"")="Building routes",OR(U557="Building renovation",U557="New building",U557="Building equipment"))))),"Unexpected test","Valid"))))</x:f>
      </x:c>
      <x:c r="S557" s="9" t="str">
        <x:f>IF(C557="","",IFERROR(INDEX('Taxonomy Rules'!$E$42:$E$68,MATCH(E557,'Taxonomy Rules'!$C$42:$C$68,0)),""))</x:f>
      </x:c>
      <x:c r="T557" s="9" t="str">
        <x:f>IF(C557="","",IFERROR(INDEX('Taxonomy Rules'!$F$42:$F$68,MATCH(E557,'Taxonomy Rules'!$C$42:$C$68,0)),""))</x:f>
      </x:c>
      <x:c r="U557" s="9" t="str">
        <x:f>IF(C557="","",IFERROR(INDEX('Taxonomy'!$G$9:$G$108,MATCH(D557,'Taxonomy'!$C$9:$C$108,0)),""))</x:f>
      </x:c>
    </x:row>
    <x:row r="558" ht="44" customHeight="1">
      <x:c r="A558" s="1"/>
      <x:c r="B558" s="1"/>
      <x:c r="C558" s="8"/>
      <x:c r="D558" s="8"/>
      <x:c r="E558" s="8"/>
      <x:c r="F558" s="8"/>
      <x:c r="G558" s="8"/>
      <x:c r="H558" s="8"/>
      <x:c r="I558" s="8"/>
      <x:c r="J558" s="8"/>
      <x:c r="K558" s="8"/>
      <x:c r="L558" s="8"/>
      <x:c r="M558" s="10"/>
      <x:c r="N558" s="10"/>
      <x:c r="O558" s="8"/>
      <x:c r="P558" s="9" t="str">
        <x:f>IF(C558="","",IF(AND(G558="Applicable",H558="Fail"),"Fail",IF(R558&lt;&gt;"Valid","Pending",IF(OR(I558="",K558="",L558="",K558=L558,NOT(ISNUMBER(M558)),NOT(ISNUMBER(N558)),M558&gt;Settings!$F$8,N558&lt;Settings!$F$8,N558&lt;M558),"Pending",IF(AND(G558="Applicable",H558="Pass"),"Pass",IF(AND(G558="N/A",H558="N/A",J558&lt;&gt;"",OR(E558="CEM-FUELS",E558="CEM-CCS",AND(E558="CEM-PLAN",IFERROR(INDEX('Taxonomy'!$M$9:$M$108,MATCH(D558,'Taxonomy'!$C$9:$C$108,0)),"")&lt;&gt;"Amber"),E558="BLD-TIMBER",AND(U558="Building equipment",OR(E558="BLD-WATER",E558="BLD-WASTE",E558="BLD-LAND")),AND(U558="Building renovation",E558="BLD-LAND"))),"N/A","Pending"))))))</x:f>
      </x:c>
      <x:c r="Q558" s="3" t="str">
        <x:f>IF(C558="","",IF(AND(R558="Valid",OR(P558="Pass",P558="N/A")),"Complete","Unresolved"))</x:f>
      </x:c>
      <x:c r="R558" s="9" t="str">
        <x:f>IF(C558="","",IF(OR(COUNTIF($C$9:$C$2008,C558)&lt;&gt;1,COUNTIFS($D$9:$D$2008,D558,$E$9:$E$2008,E558)&lt;&gt;1),"Duplicate test",IF(COUNTIF('Taxonomy'!$C$9:$C$108,D558)&lt;&gt;1,"Assessment key",IF(OR(COUNTIF('Taxonomy Rules'!$C$42:$C$68,E558)&lt;&gt;1,F558&lt;&gt;IFERROR(INDEX('Taxonomy Rules'!$D$42:$D$68,MATCH(E558,'Taxonomy Rules'!$C$42:$C$68,0)),""),NOT(OR(IFERROR(INDEX('Taxonomy Rules'!$G$42:$G$68,MATCH(E558,'Taxonomy Rules'!$C$42:$C$68,0)),"")="All supported routes",IFERROR(INDEX('Taxonomy Rules'!$G$42:$G$68,MATCH(E558,'Taxonomy Rules'!$C$42:$C$68,0)),"")=U558,AND(IFERROR(INDEX('Taxonomy Rules'!$G$42:$G$68,MATCH(E558,'Taxonomy Rules'!$C$42:$C$68,0)),"")="Building routes",OR(U558="Building renovation",U558="New building",U558="Building equipment"))))),"Unexpected test","Valid"))))</x:f>
      </x:c>
      <x:c r="S558" s="9" t="str">
        <x:f>IF(C558="","",IFERROR(INDEX('Taxonomy Rules'!$E$42:$E$68,MATCH(E558,'Taxonomy Rules'!$C$42:$C$68,0)),""))</x:f>
      </x:c>
      <x:c r="T558" s="9" t="str">
        <x:f>IF(C558="","",IFERROR(INDEX('Taxonomy Rules'!$F$42:$F$68,MATCH(E558,'Taxonomy Rules'!$C$42:$C$68,0)),""))</x:f>
      </x:c>
      <x:c r="U558" s="9" t="str">
        <x:f>IF(C558="","",IFERROR(INDEX('Taxonomy'!$G$9:$G$108,MATCH(D558,'Taxonomy'!$C$9:$C$108,0)),""))</x:f>
      </x:c>
    </x:row>
    <x:row r="559" ht="44" customHeight="1">
      <x:c r="A559" s="1"/>
      <x:c r="B559" s="1"/>
      <x:c r="C559" s="8"/>
      <x:c r="D559" s="8"/>
      <x:c r="E559" s="8"/>
      <x:c r="F559" s="8"/>
      <x:c r="G559" s="8"/>
      <x:c r="H559" s="8"/>
      <x:c r="I559" s="8"/>
      <x:c r="J559" s="8"/>
      <x:c r="K559" s="8"/>
      <x:c r="L559" s="8"/>
      <x:c r="M559" s="10"/>
      <x:c r="N559" s="10"/>
      <x:c r="O559" s="8"/>
      <x:c r="P559" s="9" t="str">
        <x:f>IF(C559="","",IF(AND(G559="Applicable",H559="Fail"),"Fail",IF(R559&lt;&gt;"Valid","Pending",IF(OR(I559="",K559="",L559="",K559=L559,NOT(ISNUMBER(M559)),NOT(ISNUMBER(N559)),M559&gt;Settings!$F$8,N559&lt;Settings!$F$8,N559&lt;M559),"Pending",IF(AND(G559="Applicable",H559="Pass"),"Pass",IF(AND(G559="N/A",H559="N/A",J559&lt;&gt;"",OR(E559="CEM-FUELS",E559="CEM-CCS",AND(E559="CEM-PLAN",IFERROR(INDEX('Taxonomy'!$M$9:$M$108,MATCH(D559,'Taxonomy'!$C$9:$C$108,0)),"")&lt;&gt;"Amber"),E559="BLD-TIMBER",AND(U559="Building equipment",OR(E559="BLD-WATER",E559="BLD-WASTE",E559="BLD-LAND")),AND(U559="Building renovation",E559="BLD-LAND"))),"N/A","Pending"))))))</x:f>
      </x:c>
      <x:c r="Q559" s="3" t="str">
        <x:f>IF(C559="","",IF(AND(R559="Valid",OR(P559="Pass",P559="N/A")),"Complete","Unresolved"))</x:f>
      </x:c>
      <x:c r="R559" s="9" t="str">
        <x:f>IF(C559="","",IF(OR(COUNTIF($C$9:$C$2008,C559)&lt;&gt;1,COUNTIFS($D$9:$D$2008,D559,$E$9:$E$2008,E559)&lt;&gt;1),"Duplicate test",IF(COUNTIF('Taxonomy'!$C$9:$C$108,D559)&lt;&gt;1,"Assessment key",IF(OR(COUNTIF('Taxonomy Rules'!$C$42:$C$68,E559)&lt;&gt;1,F559&lt;&gt;IFERROR(INDEX('Taxonomy Rules'!$D$42:$D$68,MATCH(E559,'Taxonomy Rules'!$C$42:$C$68,0)),""),NOT(OR(IFERROR(INDEX('Taxonomy Rules'!$G$42:$G$68,MATCH(E559,'Taxonomy Rules'!$C$42:$C$68,0)),"")="All supported routes",IFERROR(INDEX('Taxonomy Rules'!$G$42:$G$68,MATCH(E559,'Taxonomy Rules'!$C$42:$C$68,0)),"")=U559,AND(IFERROR(INDEX('Taxonomy Rules'!$G$42:$G$68,MATCH(E559,'Taxonomy Rules'!$C$42:$C$68,0)),"")="Building routes",OR(U559="Building renovation",U559="New building",U559="Building equipment"))))),"Unexpected test","Valid"))))</x:f>
      </x:c>
      <x:c r="S559" s="9" t="str">
        <x:f>IF(C559="","",IFERROR(INDEX('Taxonomy Rules'!$E$42:$E$68,MATCH(E559,'Taxonomy Rules'!$C$42:$C$68,0)),""))</x:f>
      </x:c>
      <x:c r="T559" s="9" t="str">
        <x:f>IF(C559="","",IFERROR(INDEX('Taxonomy Rules'!$F$42:$F$68,MATCH(E559,'Taxonomy Rules'!$C$42:$C$68,0)),""))</x:f>
      </x:c>
      <x:c r="U559" s="9" t="str">
        <x:f>IF(C559="","",IFERROR(INDEX('Taxonomy'!$G$9:$G$108,MATCH(D559,'Taxonomy'!$C$9:$C$108,0)),""))</x:f>
      </x:c>
    </x:row>
    <x:row r="560" ht="44" customHeight="1">
      <x:c r="A560" s="1"/>
      <x:c r="B560" s="1"/>
      <x:c r="C560" s="8"/>
      <x:c r="D560" s="8"/>
      <x:c r="E560" s="8"/>
      <x:c r="F560" s="8"/>
      <x:c r="G560" s="8"/>
      <x:c r="H560" s="8"/>
      <x:c r="I560" s="8"/>
      <x:c r="J560" s="8"/>
      <x:c r="K560" s="8"/>
      <x:c r="L560" s="8"/>
      <x:c r="M560" s="10"/>
      <x:c r="N560" s="10"/>
      <x:c r="O560" s="8"/>
      <x:c r="P560" s="9" t="str">
        <x:f>IF(C560="","",IF(AND(G560="Applicable",H560="Fail"),"Fail",IF(R560&lt;&gt;"Valid","Pending",IF(OR(I560="",K560="",L560="",K560=L560,NOT(ISNUMBER(M560)),NOT(ISNUMBER(N560)),M560&gt;Settings!$F$8,N560&lt;Settings!$F$8,N560&lt;M560),"Pending",IF(AND(G560="Applicable",H560="Pass"),"Pass",IF(AND(G560="N/A",H560="N/A",J560&lt;&gt;"",OR(E560="CEM-FUELS",E560="CEM-CCS",AND(E560="CEM-PLAN",IFERROR(INDEX('Taxonomy'!$M$9:$M$108,MATCH(D560,'Taxonomy'!$C$9:$C$108,0)),"")&lt;&gt;"Amber"),E560="BLD-TIMBER",AND(U560="Building equipment",OR(E560="BLD-WATER",E560="BLD-WASTE",E560="BLD-LAND")),AND(U560="Building renovation",E560="BLD-LAND"))),"N/A","Pending"))))))</x:f>
      </x:c>
      <x:c r="Q560" s="3" t="str">
        <x:f>IF(C560="","",IF(AND(R560="Valid",OR(P560="Pass",P560="N/A")),"Complete","Unresolved"))</x:f>
      </x:c>
      <x:c r="R560" s="9" t="str">
        <x:f>IF(C560="","",IF(OR(COUNTIF($C$9:$C$2008,C560)&lt;&gt;1,COUNTIFS($D$9:$D$2008,D560,$E$9:$E$2008,E560)&lt;&gt;1),"Duplicate test",IF(COUNTIF('Taxonomy'!$C$9:$C$108,D560)&lt;&gt;1,"Assessment key",IF(OR(COUNTIF('Taxonomy Rules'!$C$42:$C$68,E560)&lt;&gt;1,F560&lt;&gt;IFERROR(INDEX('Taxonomy Rules'!$D$42:$D$68,MATCH(E560,'Taxonomy Rules'!$C$42:$C$68,0)),""),NOT(OR(IFERROR(INDEX('Taxonomy Rules'!$G$42:$G$68,MATCH(E560,'Taxonomy Rules'!$C$42:$C$68,0)),"")="All supported routes",IFERROR(INDEX('Taxonomy Rules'!$G$42:$G$68,MATCH(E560,'Taxonomy Rules'!$C$42:$C$68,0)),"")=U560,AND(IFERROR(INDEX('Taxonomy Rules'!$G$42:$G$68,MATCH(E560,'Taxonomy Rules'!$C$42:$C$68,0)),"")="Building routes",OR(U560="Building renovation",U560="New building",U560="Building equipment"))))),"Unexpected test","Valid"))))</x:f>
      </x:c>
      <x:c r="S560" s="9" t="str">
        <x:f>IF(C560="","",IFERROR(INDEX('Taxonomy Rules'!$E$42:$E$68,MATCH(E560,'Taxonomy Rules'!$C$42:$C$68,0)),""))</x:f>
      </x:c>
      <x:c r="T560" s="9" t="str">
        <x:f>IF(C560="","",IFERROR(INDEX('Taxonomy Rules'!$F$42:$F$68,MATCH(E560,'Taxonomy Rules'!$C$42:$C$68,0)),""))</x:f>
      </x:c>
      <x:c r="U560" s="9" t="str">
        <x:f>IF(C560="","",IFERROR(INDEX('Taxonomy'!$G$9:$G$108,MATCH(D560,'Taxonomy'!$C$9:$C$108,0)),""))</x:f>
      </x:c>
    </x:row>
    <x:row r="561" ht="44" customHeight="1">
      <x:c r="A561" s="1"/>
      <x:c r="B561" s="1"/>
      <x:c r="C561" s="8"/>
      <x:c r="D561" s="8"/>
      <x:c r="E561" s="8"/>
      <x:c r="F561" s="8"/>
      <x:c r="G561" s="8"/>
      <x:c r="H561" s="8"/>
      <x:c r="I561" s="8"/>
      <x:c r="J561" s="8"/>
      <x:c r="K561" s="8"/>
      <x:c r="L561" s="8"/>
      <x:c r="M561" s="10"/>
      <x:c r="N561" s="10"/>
      <x:c r="O561" s="8"/>
      <x:c r="P561" s="9" t="str">
        <x:f>IF(C561="","",IF(AND(G561="Applicable",H561="Fail"),"Fail",IF(R561&lt;&gt;"Valid","Pending",IF(OR(I561="",K561="",L561="",K561=L561,NOT(ISNUMBER(M561)),NOT(ISNUMBER(N561)),M561&gt;Settings!$F$8,N561&lt;Settings!$F$8,N561&lt;M561),"Pending",IF(AND(G561="Applicable",H561="Pass"),"Pass",IF(AND(G561="N/A",H561="N/A",J561&lt;&gt;"",OR(E561="CEM-FUELS",E561="CEM-CCS",AND(E561="CEM-PLAN",IFERROR(INDEX('Taxonomy'!$M$9:$M$108,MATCH(D561,'Taxonomy'!$C$9:$C$108,0)),"")&lt;&gt;"Amber"),E561="BLD-TIMBER",AND(U561="Building equipment",OR(E561="BLD-WATER",E561="BLD-WASTE",E561="BLD-LAND")),AND(U561="Building renovation",E561="BLD-LAND"))),"N/A","Pending"))))))</x:f>
      </x:c>
      <x:c r="Q561" s="3" t="str">
        <x:f>IF(C561="","",IF(AND(R561="Valid",OR(P561="Pass",P561="N/A")),"Complete","Unresolved"))</x:f>
      </x:c>
      <x:c r="R561" s="9" t="str">
        <x:f>IF(C561="","",IF(OR(COUNTIF($C$9:$C$2008,C561)&lt;&gt;1,COUNTIFS($D$9:$D$2008,D561,$E$9:$E$2008,E561)&lt;&gt;1),"Duplicate test",IF(COUNTIF('Taxonomy'!$C$9:$C$108,D561)&lt;&gt;1,"Assessment key",IF(OR(COUNTIF('Taxonomy Rules'!$C$42:$C$68,E561)&lt;&gt;1,F561&lt;&gt;IFERROR(INDEX('Taxonomy Rules'!$D$42:$D$68,MATCH(E561,'Taxonomy Rules'!$C$42:$C$68,0)),""),NOT(OR(IFERROR(INDEX('Taxonomy Rules'!$G$42:$G$68,MATCH(E561,'Taxonomy Rules'!$C$42:$C$68,0)),"")="All supported routes",IFERROR(INDEX('Taxonomy Rules'!$G$42:$G$68,MATCH(E561,'Taxonomy Rules'!$C$42:$C$68,0)),"")=U561,AND(IFERROR(INDEX('Taxonomy Rules'!$G$42:$G$68,MATCH(E561,'Taxonomy Rules'!$C$42:$C$68,0)),"")="Building routes",OR(U561="Building renovation",U561="New building",U561="Building equipment"))))),"Unexpected test","Valid"))))</x:f>
      </x:c>
      <x:c r="S561" s="9" t="str">
        <x:f>IF(C561="","",IFERROR(INDEX('Taxonomy Rules'!$E$42:$E$68,MATCH(E561,'Taxonomy Rules'!$C$42:$C$68,0)),""))</x:f>
      </x:c>
      <x:c r="T561" s="9" t="str">
        <x:f>IF(C561="","",IFERROR(INDEX('Taxonomy Rules'!$F$42:$F$68,MATCH(E561,'Taxonomy Rules'!$C$42:$C$68,0)),""))</x:f>
      </x:c>
      <x:c r="U561" s="9" t="str">
        <x:f>IF(C561="","",IFERROR(INDEX('Taxonomy'!$G$9:$G$108,MATCH(D561,'Taxonomy'!$C$9:$C$108,0)),""))</x:f>
      </x:c>
    </x:row>
    <x:row r="562" ht="44" customHeight="1">
      <x:c r="A562" s="1"/>
      <x:c r="B562" s="1"/>
      <x:c r="C562" s="8"/>
      <x:c r="D562" s="8"/>
      <x:c r="E562" s="8"/>
      <x:c r="F562" s="8"/>
      <x:c r="G562" s="8"/>
      <x:c r="H562" s="8"/>
      <x:c r="I562" s="8"/>
      <x:c r="J562" s="8"/>
      <x:c r="K562" s="8"/>
      <x:c r="L562" s="8"/>
      <x:c r="M562" s="10"/>
      <x:c r="N562" s="10"/>
      <x:c r="O562" s="8"/>
      <x:c r="P562" s="9" t="str">
        <x:f>IF(C562="","",IF(AND(G562="Applicable",H562="Fail"),"Fail",IF(R562&lt;&gt;"Valid","Pending",IF(OR(I562="",K562="",L562="",K562=L562,NOT(ISNUMBER(M562)),NOT(ISNUMBER(N562)),M562&gt;Settings!$F$8,N562&lt;Settings!$F$8,N562&lt;M562),"Pending",IF(AND(G562="Applicable",H562="Pass"),"Pass",IF(AND(G562="N/A",H562="N/A",J562&lt;&gt;"",OR(E562="CEM-FUELS",E562="CEM-CCS",AND(E562="CEM-PLAN",IFERROR(INDEX('Taxonomy'!$M$9:$M$108,MATCH(D562,'Taxonomy'!$C$9:$C$108,0)),"")&lt;&gt;"Amber"),E562="BLD-TIMBER",AND(U562="Building equipment",OR(E562="BLD-WATER",E562="BLD-WASTE",E562="BLD-LAND")),AND(U562="Building renovation",E562="BLD-LAND"))),"N/A","Pending"))))))</x:f>
      </x:c>
      <x:c r="Q562" s="3" t="str">
        <x:f>IF(C562="","",IF(AND(R562="Valid",OR(P562="Pass",P562="N/A")),"Complete","Unresolved"))</x:f>
      </x:c>
      <x:c r="R562" s="9" t="str">
        <x:f>IF(C562="","",IF(OR(COUNTIF($C$9:$C$2008,C562)&lt;&gt;1,COUNTIFS($D$9:$D$2008,D562,$E$9:$E$2008,E562)&lt;&gt;1),"Duplicate test",IF(COUNTIF('Taxonomy'!$C$9:$C$108,D562)&lt;&gt;1,"Assessment key",IF(OR(COUNTIF('Taxonomy Rules'!$C$42:$C$68,E562)&lt;&gt;1,F562&lt;&gt;IFERROR(INDEX('Taxonomy Rules'!$D$42:$D$68,MATCH(E562,'Taxonomy Rules'!$C$42:$C$68,0)),""),NOT(OR(IFERROR(INDEX('Taxonomy Rules'!$G$42:$G$68,MATCH(E562,'Taxonomy Rules'!$C$42:$C$68,0)),"")="All supported routes",IFERROR(INDEX('Taxonomy Rules'!$G$42:$G$68,MATCH(E562,'Taxonomy Rules'!$C$42:$C$68,0)),"")=U562,AND(IFERROR(INDEX('Taxonomy Rules'!$G$42:$G$68,MATCH(E562,'Taxonomy Rules'!$C$42:$C$68,0)),"")="Building routes",OR(U562="Building renovation",U562="New building",U562="Building equipment"))))),"Unexpected test","Valid"))))</x:f>
      </x:c>
      <x:c r="S562" s="9" t="str">
        <x:f>IF(C562="","",IFERROR(INDEX('Taxonomy Rules'!$E$42:$E$68,MATCH(E562,'Taxonomy Rules'!$C$42:$C$68,0)),""))</x:f>
      </x:c>
      <x:c r="T562" s="9" t="str">
        <x:f>IF(C562="","",IFERROR(INDEX('Taxonomy Rules'!$F$42:$F$68,MATCH(E562,'Taxonomy Rules'!$C$42:$C$68,0)),""))</x:f>
      </x:c>
      <x:c r="U562" s="9" t="str">
        <x:f>IF(C562="","",IFERROR(INDEX('Taxonomy'!$G$9:$G$108,MATCH(D562,'Taxonomy'!$C$9:$C$108,0)),""))</x:f>
      </x:c>
    </x:row>
    <x:row r="563" ht="44" customHeight="1">
      <x:c r="A563" s="1"/>
      <x:c r="B563" s="1"/>
      <x:c r="C563" s="8"/>
      <x:c r="D563" s="8"/>
      <x:c r="E563" s="8"/>
      <x:c r="F563" s="8"/>
      <x:c r="G563" s="8"/>
      <x:c r="H563" s="8"/>
      <x:c r="I563" s="8"/>
      <x:c r="J563" s="8"/>
      <x:c r="K563" s="8"/>
      <x:c r="L563" s="8"/>
      <x:c r="M563" s="10"/>
      <x:c r="N563" s="10"/>
      <x:c r="O563" s="8"/>
      <x:c r="P563" s="9" t="str">
        <x:f>IF(C563="","",IF(AND(G563="Applicable",H563="Fail"),"Fail",IF(R563&lt;&gt;"Valid","Pending",IF(OR(I563="",K563="",L563="",K563=L563,NOT(ISNUMBER(M563)),NOT(ISNUMBER(N563)),M563&gt;Settings!$F$8,N563&lt;Settings!$F$8,N563&lt;M563),"Pending",IF(AND(G563="Applicable",H563="Pass"),"Pass",IF(AND(G563="N/A",H563="N/A",J563&lt;&gt;"",OR(E563="CEM-FUELS",E563="CEM-CCS",AND(E563="CEM-PLAN",IFERROR(INDEX('Taxonomy'!$M$9:$M$108,MATCH(D563,'Taxonomy'!$C$9:$C$108,0)),"")&lt;&gt;"Amber"),E563="BLD-TIMBER",AND(U563="Building equipment",OR(E563="BLD-WATER",E563="BLD-WASTE",E563="BLD-LAND")),AND(U563="Building renovation",E563="BLD-LAND"))),"N/A","Pending"))))))</x:f>
      </x:c>
      <x:c r="Q563" s="3" t="str">
        <x:f>IF(C563="","",IF(AND(R563="Valid",OR(P563="Pass",P563="N/A")),"Complete","Unresolved"))</x:f>
      </x:c>
      <x:c r="R563" s="9" t="str">
        <x:f>IF(C563="","",IF(OR(COUNTIF($C$9:$C$2008,C563)&lt;&gt;1,COUNTIFS($D$9:$D$2008,D563,$E$9:$E$2008,E563)&lt;&gt;1),"Duplicate test",IF(COUNTIF('Taxonomy'!$C$9:$C$108,D563)&lt;&gt;1,"Assessment key",IF(OR(COUNTIF('Taxonomy Rules'!$C$42:$C$68,E563)&lt;&gt;1,F563&lt;&gt;IFERROR(INDEX('Taxonomy Rules'!$D$42:$D$68,MATCH(E563,'Taxonomy Rules'!$C$42:$C$68,0)),""),NOT(OR(IFERROR(INDEX('Taxonomy Rules'!$G$42:$G$68,MATCH(E563,'Taxonomy Rules'!$C$42:$C$68,0)),"")="All supported routes",IFERROR(INDEX('Taxonomy Rules'!$G$42:$G$68,MATCH(E563,'Taxonomy Rules'!$C$42:$C$68,0)),"")=U563,AND(IFERROR(INDEX('Taxonomy Rules'!$G$42:$G$68,MATCH(E563,'Taxonomy Rules'!$C$42:$C$68,0)),"")="Building routes",OR(U563="Building renovation",U563="New building",U563="Building equipment"))))),"Unexpected test","Valid"))))</x:f>
      </x:c>
      <x:c r="S563" s="9" t="str">
        <x:f>IF(C563="","",IFERROR(INDEX('Taxonomy Rules'!$E$42:$E$68,MATCH(E563,'Taxonomy Rules'!$C$42:$C$68,0)),""))</x:f>
      </x:c>
      <x:c r="T563" s="9" t="str">
        <x:f>IF(C563="","",IFERROR(INDEX('Taxonomy Rules'!$F$42:$F$68,MATCH(E563,'Taxonomy Rules'!$C$42:$C$68,0)),""))</x:f>
      </x:c>
      <x:c r="U563" s="9" t="str">
        <x:f>IF(C563="","",IFERROR(INDEX('Taxonomy'!$G$9:$G$108,MATCH(D563,'Taxonomy'!$C$9:$C$108,0)),""))</x:f>
      </x:c>
    </x:row>
    <x:row r="564" ht="44" customHeight="1">
      <x:c r="A564" s="1"/>
      <x:c r="B564" s="1"/>
      <x:c r="C564" s="8"/>
      <x:c r="D564" s="8"/>
      <x:c r="E564" s="8"/>
      <x:c r="F564" s="8"/>
      <x:c r="G564" s="8"/>
      <x:c r="H564" s="8"/>
      <x:c r="I564" s="8"/>
      <x:c r="J564" s="8"/>
      <x:c r="K564" s="8"/>
      <x:c r="L564" s="8"/>
      <x:c r="M564" s="10"/>
      <x:c r="N564" s="10"/>
      <x:c r="O564" s="8"/>
      <x:c r="P564" s="9" t="str">
        <x:f>IF(C564="","",IF(AND(G564="Applicable",H564="Fail"),"Fail",IF(R564&lt;&gt;"Valid","Pending",IF(OR(I564="",K564="",L564="",K564=L564,NOT(ISNUMBER(M564)),NOT(ISNUMBER(N564)),M564&gt;Settings!$F$8,N564&lt;Settings!$F$8,N564&lt;M564),"Pending",IF(AND(G564="Applicable",H564="Pass"),"Pass",IF(AND(G564="N/A",H564="N/A",J564&lt;&gt;"",OR(E564="CEM-FUELS",E564="CEM-CCS",AND(E564="CEM-PLAN",IFERROR(INDEX('Taxonomy'!$M$9:$M$108,MATCH(D564,'Taxonomy'!$C$9:$C$108,0)),"")&lt;&gt;"Amber"),E564="BLD-TIMBER",AND(U564="Building equipment",OR(E564="BLD-WATER",E564="BLD-WASTE",E564="BLD-LAND")),AND(U564="Building renovation",E564="BLD-LAND"))),"N/A","Pending"))))))</x:f>
      </x:c>
      <x:c r="Q564" s="3" t="str">
        <x:f>IF(C564="","",IF(AND(R564="Valid",OR(P564="Pass",P564="N/A")),"Complete","Unresolved"))</x:f>
      </x:c>
      <x:c r="R564" s="9" t="str">
        <x:f>IF(C564="","",IF(OR(COUNTIF($C$9:$C$2008,C564)&lt;&gt;1,COUNTIFS($D$9:$D$2008,D564,$E$9:$E$2008,E564)&lt;&gt;1),"Duplicate test",IF(COUNTIF('Taxonomy'!$C$9:$C$108,D564)&lt;&gt;1,"Assessment key",IF(OR(COUNTIF('Taxonomy Rules'!$C$42:$C$68,E564)&lt;&gt;1,F564&lt;&gt;IFERROR(INDEX('Taxonomy Rules'!$D$42:$D$68,MATCH(E564,'Taxonomy Rules'!$C$42:$C$68,0)),""),NOT(OR(IFERROR(INDEX('Taxonomy Rules'!$G$42:$G$68,MATCH(E564,'Taxonomy Rules'!$C$42:$C$68,0)),"")="All supported routes",IFERROR(INDEX('Taxonomy Rules'!$G$42:$G$68,MATCH(E564,'Taxonomy Rules'!$C$42:$C$68,0)),"")=U564,AND(IFERROR(INDEX('Taxonomy Rules'!$G$42:$G$68,MATCH(E564,'Taxonomy Rules'!$C$42:$C$68,0)),"")="Building routes",OR(U564="Building renovation",U564="New building",U564="Building equipment"))))),"Unexpected test","Valid"))))</x:f>
      </x:c>
      <x:c r="S564" s="9" t="str">
        <x:f>IF(C564="","",IFERROR(INDEX('Taxonomy Rules'!$E$42:$E$68,MATCH(E564,'Taxonomy Rules'!$C$42:$C$68,0)),""))</x:f>
      </x:c>
      <x:c r="T564" s="9" t="str">
        <x:f>IF(C564="","",IFERROR(INDEX('Taxonomy Rules'!$F$42:$F$68,MATCH(E564,'Taxonomy Rules'!$C$42:$C$68,0)),""))</x:f>
      </x:c>
      <x:c r="U564" s="9" t="str">
        <x:f>IF(C564="","",IFERROR(INDEX('Taxonomy'!$G$9:$G$108,MATCH(D564,'Taxonomy'!$C$9:$C$108,0)),""))</x:f>
      </x:c>
    </x:row>
    <x:row r="565" ht="44" customHeight="1">
      <x:c r="A565" s="1"/>
      <x:c r="B565" s="1"/>
      <x:c r="C565" s="8"/>
      <x:c r="D565" s="8"/>
      <x:c r="E565" s="8"/>
      <x:c r="F565" s="8"/>
      <x:c r="G565" s="8"/>
      <x:c r="H565" s="8"/>
      <x:c r="I565" s="8"/>
      <x:c r="J565" s="8"/>
      <x:c r="K565" s="8"/>
      <x:c r="L565" s="8"/>
      <x:c r="M565" s="10"/>
      <x:c r="N565" s="10"/>
      <x:c r="O565" s="8"/>
      <x:c r="P565" s="9" t="str">
        <x:f>IF(C565="","",IF(AND(G565="Applicable",H565="Fail"),"Fail",IF(R565&lt;&gt;"Valid","Pending",IF(OR(I565="",K565="",L565="",K565=L565,NOT(ISNUMBER(M565)),NOT(ISNUMBER(N565)),M565&gt;Settings!$F$8,N565&lt;Settings!$F$8,N565&lt;M565),"Pending",IF(AND(G565="Applicable",H565="Pass"),"Pass",IF(AND(G565="N/A",H565="N/A",J565&lt;&gt;"",OR(E565="CEM-FUELS",E565="CEM-CCS",AND(E565="CEM-PLAN",IFERROR(INDEX('Taxonomy'!$M$9:$M$108,MATCH(D565,'Taxonomy'!$C$9:$C$108,0)),"")&lt;&gt;"Amber"),E565="BLD-TIMBER",AND(U565="Building equipment",OR(E565="BLD-WATER",E565="BLD-WASTE",E565="BLD-LAND")),AND(U565="Building renovation",E565="BLD-LAND"))),"N/A","Pending"))))))</x:f>
      </x:c>
      <x:c r="Q565" s="3" t="str">
        <x:f>IF(C565="","",IF(AND(R565="Valid",OR(P565="Pass",P565="N/A")),"Complete","Unresolved"))</x:f>
      </x:c>
      <x:c r="R565" s="9" t="str">
        <x:f>IF(C565="","",IF(OR(COUNTIF($C$9:$C$2008,C565)&lt;&gt;1,COUNTIFS($D$9:$D$2008,D565,$E$9:$E$2008,E565)&lt;&gt;1),"Duplicate test",IF(COUNTIF('Taxonomy'!$C$9:$C$108,D565)&lt;&gt;1,"Assessment key",IF(OR(COUNTIF('Taxonomy Rules'!$C$42:$C$68,E565)&lt;&gt;1,F565&lt;&gt;IFERROR(INDEX('Taxonomy Rules'!$D$42:$D$68,MATCH(E565,'Taxonomy Rules'!$C$42:$C$68,0)),""),NOT(OR(IFERROR(INDEX('Taxonomy Rules'!$G$42:$G$68,MATCH(E565,'Taxonomy Rules'!$C$42:$C$68,0)),"")="All supported routes",IFERROR(INDEX('Taxonomy Rules'!$G$42:$G$68,MATCH(E565,'Taxonomy Rules'!$C$42:$C$68,0)),"")=U565,AND(IFERROR(INDEX('Taxonomy Rules'!$G$42:$G$68,MATCH(E565,'Taxonomy Rules'!$C$42:$C$68,0)),"")="Building routes",OR(U565="Building renovation",U565="New building",U565="Building equipment"))))),"Unexpected test","Valid"))))</x:f>
      </x:c>
      <x:c r="S565" s="9" t="str">
        <x:f>IF(C565="","",IFERROR(INDEX('Taxonomy Rules'!$E$42:$E$68,MATCH(E565,'Taxonomy Rules'!$C$42:$C$68,0)),""))</x:f>
      </x:c>
      <x:c r="T565" s="9" t="str">
        <x:f>IF(C565="","",IFERROR(INDEX('Taxonomy Rules'!$F$42:$F$68,MATCH(E565,'Taxonomy Rules'!$C$42:$C$68,0)),""))</x:f>
      </x:c>
      <x:c r="U565" s="9" t="str">
        <x:f>IF(C565="","",IFERROR(INDEX('Taxonomy'!$G$9:$G$108,MATCH(D565,'Taxonomy'!$C$9:$C$108,0)),""))</x:f>
      </x:c>
    </x:row>
    <x:row r="566" ht="44" customHeight="1">
      <x:c r="A566" s="1"/>
      <x:c r="B566" s="1"/>
      <x:c r="C566" s="8"/>
      <x:c r="D566" s="8"/>
      <x:c r="E566" s="8"/>
      <x:c r="F566" s="8"/>
      <x:c r="G566" s="8"/>
      <x:c r="H566" s="8"/>
      <x:c r="I566" s="8"/>
      <x:c r="J566" s="8"/>
      <x:c r="K566" s="8"/>
      <x:c r="L566" s="8"/>
      <x:c r="M566" s="10"/>
      <x:c r="N566" s="10"/>
      <x:c r="O566" s="8"/>
      <x:c r="P566" s="9" t="str">
        <x:f>IF(C566="","",IF(AND(G566="Applicable",H566="Fail"),"Fail",IF(R566&lt;&gt;"Valid","Pending",IF(OR(I566="",K566="",L566="",K566=L566,NOT(ISNUMBER(M566)),NOT(ISNUMBER(N566)),M566&gt;Settings!$F$8,N566&lt;Settings!$F$8,N566&lt;M566),"Pending",IF(AND(G566="Applicable",H566="Pass"),"Pass",IF(AND(G566="N/A",H566="N/A",J566&lt;&gt;"",OR(E566="CEM-FUELS",E566="CEM-CCS",AND(E566="CEM-PLAN",IFERROR(INDEX('Taxonomy'!$M$9:$M$108,MATCH(D566,'Taxonomy'!$C$9:$C$108,0)),"")&lt;&gt;"Amber"),E566="BLD-TIMBER",AND(U566="Building equipment",OR(E566="BLD-WATER",E566="BLD-WASTE",E566="BLD-LAND")),AND(U566="Building renovation",E566="BLD-LAND"))),"N/A","Pending"))))))</x:f>
      </x:c>
      <x:c r="Q566" s="3" t="str">
        <x:f>IF(C566="","",IF(AND(R566="Valid",OR(P566="Pass",P566="N/A")),"Complete","Unresolved"))</x:f>
      </x:c>
      <x:c r="R566" s="9" t="str">
        <x:f>IF(C566="","",IF(OR(COUNTIF($C$9:$C$2008,C566)&lt;&gt;1,COUNTIFS($D$9:$D$2008,D566,$E$9:$E$2008,E566)&lt;&gt;1),"Duplicate test",IF(COUNTIF('Taxonomy'!$C$9:$C$108,D566)&lt;&gt;1,"Assessment key",IF(OR(COUNTIF('Taxonomy Rules'!$C$42:$C$68,E566)&lt;&gt;1,F566&lt;&gt;IFERROR(INDEX('Taxonomy Rules'!$D$42:$D$68,MATCH(E566,'Taxonomy Rules'!$C$42:$C$68,0)),""),NOT(OR(IFERROR(INDEX('Taxonomy Rules'!$G$42:$G$68,MATCH(E566,'Taxonomy Rules'!$C$42:$C$68,0)),"")="All supported routes",IFERROR(INDEX('Taxonomy Rules'!$G$42:$G$68,MATCH(E566,'Taxonomy Rules'!$C$42:$C$68,0)),"")=U566,AND(IFERROR(INDEX('Taxonomy Rules'!$G$42:$G$68,MATCH(E566,'Taxonomy Rules'!$C$42:$C$68,0)),"")="Building routes",OR(U566="Building renovation",U566="New building",U566="Building equipment"))))),"Unexpected test","Valid"))))</x:f>
      </x:c>
      <x:c r="S566" s="9" t="str">
        <x:f>IF(C566="","",IFERROR(INDEX('Taxonomy Rules'!$E$42:$E$68,MATCH(E566,'Taxonomy Rules'!$C$42:$C$68,0)),""))</x:f>
      </x:c>
      <x:c r="T566" s="9" t="str">
        <x:f>IF(C566="","",IFERROR(INDEX('Taxonomy Rules'!$F$42:$F$68,MATCH(E566,'Taxonomy Rules'!$C$42:$C$68,0)),""))</x:f>
      </x:c>
      <x:c r="U566" s="9" t="str">
        <x:f>IF(C566="","",IFERROR(INDEX('Taxonomy'!$G$9:$G$108,MATCH(D566,'Taxonomy'!$C$9:$C$108,0)),""))</x:f>
      </x:c>
    </x:row>
    <x:row r="567" ht="44" customHeight="1">
      <x:c r="A567" s="1"/>
      <x:c r="B567" s="1"/>
      <x:c r="C567" s="8"/>
      <x:c r="D567" s="8"/>
      <x:c r="E567" s="8"/>
      <x:c r="F567" s="8"/>
      <x:c r="G567" s="8"/>
      <x:c r="H567" s="8"/>
      <x:c r="I567" s="8"/>
      <x:c r="J567" s="8"/>
      <x:c r="K567" s="8"/>
      <x:c r="L567" s="8"/>
      <x:c r="M567" s="10"/>
      <x:c r="N567" s="10"/>
      <x:c r="O567" s="8"/>
      <x:c r="P567" s="9" t="str">
        <x:f>IF(C567="","",IF(AND(G567="Applicable",H567="Fail"),"Fail",IF(R567&lt;&gt;"Valid","Pending",IF(OR(I567="",K567="",L567="",K567=L567,NOT(ISNUMBER(M567)),NOT(ISNUMBER(N567)),M567&gt;Settings!$F$8,N567&lt;Settings!$F$8,N567&lt;M567),"Pending",IF(AND(G567="Applicable",H567="Pass"),"Pass",IF(AND(G567="N/A",H567="N/A",J567&lt;&gt;"",OR(E567="CEM-FUELS",E567="CEM-CCS",AND(E567="CEM-PLAN",IFERROR(INDEX('Taxonomy'!$M$9:$M$108,MATCH(D567,'Taxonomy'!$C$9:$C$108,0)),"")&lt;&gt;"Amber"),E567="BLD-TIMBER",AND(U567="Building equipment",OR(E567="BLD-WATER",E567="BLD-WASTE",E567="BLD-LAND")),AND(U567="Building renovation",E567="BLD-LAND"))),"N/A","Pending"))))))</x:f>
      </x:c>
      <x:c r="Q567" s="3" t="str">
        <x:f>IF(C567="","",IF(AND(R567="Valid",OR(P567="Pass",P567="N/A")),"Complete","Unresolved"))</x:f>
      </x:c>
      <x:c r="R567" s="9" t="str">
        <x:f>IF(C567="","",IF(OR(COUNTIF($C$9:$C$2008,C567)&lt;&gt;1,COUNTIFS($D$9:$D$2008,D567,$E$9:$E$2008,E567)&lt;&gt;1),"Duplicate test",IF(COUNTIF('Taxonomy'!$C$9:$C$108,D567)&lt;&gt;1,"Assessment key",IF(OR(COUNTIF('Taxonomy Rules'!$C$42:$C$68,E567)&lt;&gt;1,F567&lt;&gt;IFERROR(INDEX('Taxonomy Rules'!$D$42:$D$68,MATCH(E567,'Taxonomy Rules'!$C$42:$C$68,0)),""),NOT(OR(IFERROR(INDEX('Taxonomy Rules'!$G$42:$G$68,MATCH(E567,'Taxonomy Rules'!$C$42:$C$68,0)),"")="All supported routes",IFERROR(INDEX('Taxonomy Rules'!$G$42:$G$68,MATCH(E567,'Taxonomy Rules'!$C$42:$C$68,0)),"")=U567,AND(IFERROR(INDEX('Taxonomy Rules'!$G$42:$G$68,MATCH(E567,'Taxonomy Rules'!$C$42:$C$68,0)),"")="Building routes",OR(U567="Building renovation",U567="New building",U567="Building equipment"))))),"Unexpected test","Valid"))))</x:f>
      </x:c>
      <x:c r="S567" s="9" t="str">
        <x:f>IF(C567="","",IFERROR(INDEX('Taxonomy Rules'!$E$42:$E$68,MATCH(E567,'Taxonomy Rules'!$C$42:$C$68,0)),""))</x:f>
      </x:c>
      <x:c r="T567" s="9" t="str">
        <x:f>IF(C567="","",IFERROR(INDEX('Taxonomy Rules'!$F$42:$F$68,MATCH(E567,'Taxonomy Rules'!$C$42:$C$68,0)),""))</x:f>
      </x:c>
      <x:c r="U567" s="9" t="str">
        <x:f>IF(C567="","",IFERROR(INDEX('Taxonomy'!$G$9:$G$108,MATCH(D567,'Taxonomy'!$C$9:$C$108,0)),""))</x:f>
      </x:c>
    </x:row>
    <x:row r="568" ht="44" customHeight="1">
      <x:c r="A568" s="1"/>
      <x:c r="B568" s="1"/>
      <x:c r="C568" s="8"/>
      <x:c r="D568" s="8"/>
      <x:c r="E568" s="8"/>
      <x:c r="F568" s="8"/>
      <x:c r="G568" s="8"/>
      <x:c r="H568" s="8"/>
      <x:c r="I568" s="8"/>
      <x:c r="J568" s="8"/>
      <x:c r="K568" s="8"/>
      <x:c r="L568" s="8"/>
      <x:c r="M568" s="10"/>
      <x:c r="N568" s="10"/>
      <x:c r="O568" s="8"/>
      <x:c r="P568" s="9" t="str">
        <x:f>IF(C568="","",IF(AND(G568="Applicable",H568="Fail"),"Fail",IF(R568&lt;&gt;"Valid","Pending",IF(OR(I568="",K568="",L568="",K568=L568,NOT(ISNUMBER(M568)),NOT(ISNUMBER(N568)),M568&gt;Settings!$F$8,N568&lt;Settings!$F$8,N568&lt;M568),"Pending",IF(AND(G568="Applicable",H568="Pass"),"Pass",IF(AND(G568="N/A",H568="N/A",J568&lt;&gt;"",OR(E568="CEM-FUELS",E568="CEM-CCS",AND(E568="CEM-PLAN",IFERROR(INDEX('Taxonomy'!$M$9:$M$108,MATCH(D568,'Taxonomy'!$C$9:$C$108,0)),"")&lt;&gt;"Amber"),E568="BLD-TIMBER",AND(U568="Building equipment",OR(E568="BLD-WATER",E568="BLD-WASTE",E568="BLD-LAND")),AND(U568="Building renovation",E568="BLD-LAND"))),"N/A","Pending"))))))</x:f>
      </x:c>
      <x:c r="Q568" s="3" t="str">
        <x:f>IF(C568="","",IF(AND(R568="Valid",OR(P568="Pass",P568="N/A")),"Complete","Unresolved"))</x:f>
      </x:c>
      <x:c r="R568" s="9" t="str">
        <x:f>IF(C568="","",IF(OR(COUNTIF($C$9:$C$2008,C568)&lt;&gt;1,COUNTIFS($D$9:$D$2008,D568,$E$9:$E$2008,E568)&lt;&gt;1),"Duplicate test",IF(COUNTIF('Taxonomy'!$C$9:$C$108,D568)&lt;&gt;1,"Assessment key",IF(OR(COUNTIF('Taxonomy Rules'!$C$42:$C$68,E568)&lt;&gt;1,F568&lt;&gt;IFERROR(INDEX('Taxonomy Rules'!$D$42:$D$68,MATCH(E568,'Taxonomy Rules'!$C$42:$C$68,0)),""),NOT(OR(IFERROR(INDEX('Taxonomy Rules'!$G$42:$G$68,MATCH(E568,'Taxonomy Rules'!$C$42:$C$68,0)),"")="All supported routes",IFERROR(INDEX('Taxonomy Rules'!$G$42:$G$68,MATCH(E568,'Taxonomy Rules'!$C$42:$C$68,0)),"")=U568,AND(IFERROR(INDEX('Taxonomy Rules'!$G$42:$G$68,MATCH(E568,'Taxonomy Rules'!$C$42:$C$68,0)),"")="Building routes",OR(U568="Building renovation",U568="New building",U568="Building equipment"))))),"Unexpected test","Valid"))))</x:f>
      </x:c>
      <x:c r="S568" s="9" t="str">
        <x:f>IF(C568="","",IFERROR(INDEX('Taxonomy Rules'!$E$42:$E$68,MATCH(E568,'Taxonomy Rules'!$C$42:$C$68,0)),""))</x:f>
      </x:c>
      <x:c r="T568" s="9" t="str">
        <x:f>IF(C568="","",IFERROR(INDEX('Taxonomy Rules'!$F$42:$F$68,MATCH(E568,'Taxonomy Rules'!$C$42:$C$68,0)),""))</x:f>
      </x:c>
      <x:c r="U568" s="9" t="str">
        <x:f>IF(C568="","",IFERROR(INDEX('Taxonomy'!$G$9:$G$108,MATCH(D568,'Taxonomy'!$C$9:$C$108,0)),""))</x:f>
      </x:c>
    </x:row>
    <x:row r="569" ht="44" customHeight="1">
      <x:c r="A569" s="1"/>
      <x:c r="B569" s="1"/>
      <x:c r="C569" s="8"/>
      <x:c r="D569" s="8"/>
      <x:c r="E569" s="8"/>
      <x:c r="F569" s="8"/>
      <x:c r="G569" s="8"/>
      <x:c r="H569" s="8"/>
      <x:c r="I569" s="8"/>
      <x:c r="J569" s="8"/>
      <x:c r="K569" s="8"/>
      <x:c r="L569" s="8"/>
      <x:c r="M569" s="10"/>
      <x:c r="N569" s="10"/>
      <x:c r="O569" s="8"/>
      <x:c r="P569" s="9" t="str">
        <x:f>IF(C569="","",IF(AND(G569="Applicable",H569="Fail"),"Fail",IF(R569&lt;&gt;"Valid","Pending",IF(OR(I569="",K569="",L569="",K569=L569,NOT(ISNUMBER(M569)),NOT(ISNUMBER(N569)),M569&gt;Settings!$F$8,N569&lt;Settings!$F$8,N569&lt;M569),"Pending",IF(AND(G569="Applicable",H569="Pass"),"Pass",IF(AND(G569="N/A",H569="N/A",J569&lt;&gt;"",OR(E569="CEM-FUELS",E569="CEM-CCS",AND(E569="CEM-PLAN",IFERROR(INDEX('Taxonomy'!$M$9:$M$108,MATCH(D569,'Taxonomy'!$C$9:$C$108,0)),"")&lt;&gt;"Amber"),E569="BLD-TIMBER",AND(U569="Building equipment",OR(E569="BLD-WATER",E569="BLD-WASTE",E569="BLD-LAND")),AND(U569="Building renovation",E569="BLD-LAND"))),"N/A","Pending"))))))</x:f>
      </x:c>
      <x:c r="Q569" s="3" t="str">
        <x:f>IF(C569="","",IF(AND(R569="Valid",OR(P569="Pass",P569="N/A")),"Complete","Unresolved"))</x:f>
      </x:c>
      <x:c r="R569" s="9" t="str">
        <x:f>IF(C569="","",IF(OR(COUNTIF($C$9:$C$2008,C569)&lt;&gt;1,COUNTIFS($D$9:$D$2008,D569,$E$9:$E$2008,E569)&lt;&gt;1),"Duplicate test",IF(COUNTIF('Taxonomy'!$C$9:$C$108,D569)&lt;&gt;1,"Assessment key",IF(OR(COUNTIF('Taxonomy Rules'!$C$42:$C$68,E569)&lt;&gt;1,F569&lt;&gt;IFERROR(INDEX('Taxonomy Rules'!$D$42:$D$68,MATCH(E569,'Taxonomy Rules'!$C$42:$C$68,0)),""),NOT(OR(IFERROR(INDEX('Taxonomy Rules'!$G$42:$G$68,MATCH(E569,'Taxonomy Rules'!$C$42:$C$68,0)),"")="All supported routes",IFERROR(INDEX('Taxonomy Rules'!$G$42:$G$68,MATCH(E569,'Taxonomy Rules'!$C$42:$C$68,0)),"")=U569,AND(IFERROR(INDEX('Taxonomy Rules'!$G$42:$G$68,MATCH(E569,'Taxonomy Rules'!$C$42:$C$68,0)),"")="Building routes",OR(U569="Building renovation",U569="New building",U569="Building equipment"))))),"Unexpected test","Valid"))))</x:f>
      </x:c>
      <x:c r="S569" s="9" t="str">
        <x:f>IF(C569="","",IFERROR(INDEX('Taxonomy Rules'!$E$42:$E$68,MATCH(E569,'Taxonomy Rules'!$C$42:$C$68,0)),""))</x:f>
      </x:c>
      <x:c r="T569" s="9" t="str">
        <x:f>IF(C569="","",IFERROR(INDEX('Taxonomy Rules'!$F$42:$F$68,MATCH(E569,'Taxonomy Rules'!$C$42:$C$68,0)),""))</x:f>
      </x:c>
      <x:c r="U569" s="9" t="str">
        <x:f>IF(C569="","",IFERROR(INDEX('Taxonomy'!$G$9:$G$108,MATCH(D569,'Taxonomy'!$C$9:$C$108,0)),""))</x:f>
      </x:c>
    </x:row>
    <x:row r="570" ht="44" customHeight="1">
      <x:c r="A570" s="1"/>
      <x:c r="B570" s="1"/>
      <x:c r="C570" s="8"/>
      <x:c r="D570" s="8"/>
      <x:c r="E570" s="8"/>
      <x:c r="F570" s="8"/>
      <x:c r="G570" s="8"/>
      <x:c r="H570" s="8"/>
      <x:c r="I570" s="8"/>
      <x:c r="J570" s="8"/>
      <x:c r="K570" s="8"/>
      <x:c r="L570" s="8"/>
      <x:c r="M570" s="10"/>
      <x:c r="N570" s="10"/>
      <x:c r="O570" s="8"/>
      <x:c r="P570" s="9" t="str">
        <x:f>IF(C570="","",IF(AND(G570="Applicable",H570="Fail"),"Fail",IF(R570&lt;&gt;"Valid","Pending",IF(OR(I570="",K570="",L570="",K570=L570,NOT(ISNUMBER(M570)),NOT(ISNUMBER(N570)),M570&gt;Settings!$F$8,N570&lt;Settings!$F$8,N570&lt;M570),"Pending",IF(AND(G570="Applicable",H570="Pass"),"Pass",IF(AND(G570="N/A",H570="N/A",J570&lt;&gt;"",OR(E570="CEM-FUELS",E570="CEM-CCS",AND(E570="CEM-PLAN",IFERROR(INDEX('Taxonomy'!$M$9:$M$108,MATCH(D570,'Taxonomy'!$C$9:$C$108,0)),"")&lt;&gt;"Amber"),E570="BLD-TIMBER",AND(U570="Building equipment",OR(E570="BLD-WATER",E570="BLD-WASTE",E570="BLD-LAND")),AND(U570="Building renovation",E570="BLD-LAND"))),"N/A","Pending"))))))</x:f>
      </x:c>
      <x:c r="Q570" s="3" t="str">
        <x:f>IF(C570="","",IF(AND(R570="Valid",OR(P570="Pass",P570="N/A")),"Complete","Unresolved"))</x:f>
      </x:c>
      <x:c r="R570" s="9" t="str">
        <x:f>IF(C570="","",IF(OR(COUNTIF($C$9:$C$2008,C570)&lt;&gt;1,COUNTIFS($D$9:$D$2008,D570,$E$9:$E$2008,E570)&lt;&gt;1),"Duplicate test",IF(COUNTIF('Taxonomy'!$C$9:$C$108,D570)&lt;&gt;1,"Assessment key",IF(OR(COUNTIF('Taxonomy Rules'!$C$42:$C$68,E570)&lt;&gt;1,F570&lt;&gt;IFERROR(INDEX('Taxonomy Rules'!$D$42:$D$68,MATCH(E570,'Taxonomy Rules'!$C$42:$C$68,0)),""),NOT(OR(IFERROR(INDEX('Taxonomy Rules'!$G$42:$G$68,MATCH(E570,'Taxonomy Rules'!$C$42:$C$68,0)),"")="All supported routes",IFERROR(INDEX('Taxonomy Rules'!$G$42:$G$68,MATCH(E570,'Taxonomy Rules'!$C$42:$C$68,0)),"")=U570,AND(IFERROR(INDEX('Taxonomy Rules'!$G$42:$G$68,MATCH(E570,'Taxonomy Rules'!$C$42:$C$68,0)),"")="Building routes",OR(U570="Building renovation",U570="New building",U570="Building equipment"))))),"Unexpected test","Valid"))))</x:f>
      </x:c>
      <x:c r="S570" s="9" t="str">
        <x:f>IF(C570="","",IFERROR(INDEX('Taxonomy Rules'!$E$42:$E$68,MATCH(E570,'Taxonomy Rules'!$C$42:$C$68,0)),""))</x:f>
      </x:c>
      <x:c r="T570" s="9" t="str">
        <x:f>IF(C570="","",IFERROR(INDEX('Taxonomy Rules'!$F$42:$F$68,MATCH(E570,'Taxonomy Rules'!$C$42:$C$68,0)),""))</x:f>
      </x:c>
      <x:c r="U570" s="9" t="str">
        <x:f>IF(C570="","",IFERROR(INDEX('Taxonomy'!$G$9:$G$108,MATCH(D570,'Taxonomy'!$C$9:$C$108,0)),""))</x:f>
      </x:c>
    </x:row>
    <x:row r="571" ht="44" customHeight="1">
      <x:c r="A571" s="1"/>
      <x:c r="B571" s="1"/>
      <x:c r="C571" s="8"/>
      <x:c r="D571" s="8"/>
      <x:c r="E571" s="8"/>
      <x:c r="F571" s="8"/>
      <x:c r="G571" s="8"/>
      <x:c r="H571" s="8"/>
      <x:c r="I571" s="8"/>
      <x:c r="J571" s="8"/>
      <x:c r="K571" s="8"/>
      <x:c r="L571" s="8"/>
      <x:c r="M571" s="10"/>
      <x:c r="N571" s="10"/>
      <x:c r="O571" s="8"/>
      <x:c r="P571" s="9" t="str">
        <x:f>IF(C571="","",IF(AND(G571="Applicable",H571="Fail"),"Fail",IF(R571&lt;&gt;"Valid","Pending",IF(OR(I571="",K571="",L571="",K571=L571,NOT(ISNUMBER(M571)),NOT(ISNUMBER(N571)),M571&gt;Settings!$F$8,N571&lt;Settings!$F$8,N571&lt;M571),"Pending",IF(AND(G571="Applicable",H571="Pass"),"Pass",IF(AND(G571="N/A",H571="N/A",J571&lt;&gt;"",OR(E571="CEM-FUELS",E571="CEM-CCS",AND(E571="CEM-PLAN",IFERROR(INDEX('Taxonomy'!$M$9:$M$108,MATCH(D571,'Taxonomy'!$C$9:$C$108,0)),"")&lt;&gt;"Amber"),E571="BLD-TIMBER",AND(U571="Building equipment",OR(E571="BLD-WATER",E571="BLD-WASTE",E571="BLD-LAND")),AND(U571="Building renovation",E571="BLD-LAND"))),"N/A","Pending"))))))</x:f>
      </x:c>
      <x:c r="Q571" s="3" t="str">
        <x:f>IF(C571="","",IF(AND(R571="Valid",OR(P571="Pass",P571="N/A")),"Complete","Unresolved"))</x:f>
      </x:c>
      <x:c r="R571" s="9" t="str">
        <x:f>IF(C571="","",IF(OR(COUNTIF($C$9:$C$2008,C571)&lt;&gt;1,COUNTIFS($D$9:$D$2008,D571,$E$9:$E$2008,E571)&lt;&gt;1),"Duplicate test",IF(COUNTIF('Taxonomy'!$C$9:$C$108,D571)&lt;&gt;1,"Assessment key",IF(OR(COUNTIF('Taxonomy Rules'!$C$42:$C$68,E571)&lt;&gt;1,F571&lt;&gt;IFERROR(INDEX('Taxonomy Rules'!$D$42:$D$68,MATCH(E571,'Taxonomy Rules'!$C$42:$C$68,0)),""),NOT(OR(IFERROR(INDEX('Taxonomy Rules'!$G$42:$G$68,MATCH(E571,'Taxonomy Rules'!$C$42:$C$68,0)),"")="All supported routes",IFERROR(INDEX('Taxonomy Rules'!$G$42:$G$68,MATCH(E571,'Taxonomy Rules'!$C$42:$C$68,0)),"")=U571,AND(IFERROR(INDEX('Taxonomy Rules'!$G$42:$G$68,MATCH(E571,'Taxonomy Rules'!$C$42:$C$68,0)),"")="Building routes",OR(U571="Building renovation",U571="New building",U571="Building equipment"))))),"Unexpected test","Valid"))))</x:f>
      </x:c>
      <x:c r="S571" s="9" t="str">
        <x:f>IF(C571="","",IFERROR(INDEX('Taxonomy Rules'!$E$42:$E$68,MATCH(E571,'Taxonomy Rules'!$C$42:$C$68,0)),""))</x:f>
      </x:c>
      <x:c r="T571" s="9" t="str">
        <x:f>IF(C571="","",IFERROR(INDEX('Taxonomy Rules'!$F$42:$F$68,MATCH(E571,'Taxonomy Rules'!$C$42:$C$68,0)),""))</x:f>
      </x:c>
      <x:c r="U571" s="9" t="str">
        <x:f>IF(C571="","",IFERROR(INDEX('Taxonomy'!$G$9:$G$108,MATCH(D571,'Taxonomy'!$C$9:$C$108,0)),""))</x:f>
      </x:c>
    </x:row>
    <x:row r="572" ht="44" customHeight="1">
      <x:c r="A572" s="1"/>
      <x:c r="B572" s="1"/>
      <x:c r="C572" s="8"/>
      <x:c r="D572" s="8"/>
      <x:c r="E572" s="8"/>
      <x:c r="F572" s="8"/>
      <x:c r="G572" s="8"/>
      <x:c r="H572" s="8"/>
      <x:c r="I572" s="8"/>
      <x:c r="J572" s="8"/>
      <x:c r="K572" s="8"/>
      <x:c r="L572" s="8"/>
      <x:c r="M572" s="10"/>
      <x:c r="N572" s="10"/>
      <x:c r="O572" s="8"/>
      <x:c r="P572" s="9" t="str">
        <x:f>IF(C572="","",IF(AND(G572="Applicable",H572="Fail"),"Fail",IF(R572&lt;&gt;"Valid","Pending",IF(OR(I572="",K572="",L572="",K572=L572,NOT(ISNUMBER(M572)),NOT(ISNUMBER(N572)),M572&gt;Settings!$F$8,N572&lt;Settings!$F$8,N572&lt;M572),"Pending",IF(AND(G572="Applicable",H572="Pass"),"Pass",IF(AND(G572="N/A",H572="N/A",J572&lt;&gt;"",OR(E572="CEM-FUELS",E572="CEM-CCS",AND(E572="CEM-PLAN",IFERROR(INDEX('Taxonomy'!$M$9:$M$108,MATCH(D572,'Taxonomy'!$C$9:$C$108,0)),"")&lt;&gt;"Amber"),E572="BLD-TIMBER",AND(U572="Building equipment",OR(E572="BLD-WATER",E572="BLD-WASTE",E572="BLD-LAND")),AND(U572="Building renovation",E572="BLD-LAND"))),"N/A","Pending"))))))</x:f>
      </x:c>
      <x:c r="Q572" s="3" t="str">
        <x:f>IF(C572="","",IF(AND(R572="Valid",OR(P572="Pass",P572="N/A")),"Complete","Unresolved"))</x:f>
      </x:c>
      <x:c r="R572" s="9" t="str">
        <x:f>IF(C572="","",IF(OR(COUNTIF($C$9:$C$2008,C572)&lt;&gt;1,COUNTIFS($D$9:$D$2008,D572,$E$9:$E$2008,E572)&lt;&gt;1),"Duplicate test",IF(COUNTIF('Taxonomy'!$C$9:$C$108,D572)&lt;&gt;1,"Assessment key",IF(OR(COUNTIF('Taxonomy Rules'!$C$42:$C$68,E572)&lt;&gt;1,F572&lt;&gt;IFERROR(INDEX('Taxonomy Rules'!$D$42:$D$68,MATCH(E572,'Taxonomy Rules'!$C$42:$C$68,0)),""),NOT(OR(IFERROR(INDEX('Taxonomy Rules'!$G$42:$G$68,MATCH(E572,'Taxonomy Rules'!$C$42:$C$68,0)),"")="All supported routes",IFERROR(INDEX('Taxonomy Rules'!$G$42:$G$68,MATCH(E572,'Taxonomy Rules'!$C$42:$C$68,0)),"")=U572,AND(IFERROR(INDEX('Taxonomy Rules'!$G$42:$G$68,MATCH(E572,'Taxonomy Rules'!$C$42:$C$68,0)),"")="Building routes",OR(U572="Building renovation",U572="New building",U572="Building equipment"))))),"Unexpected test","Valid"))))</x:f>
      </x:c>
      <x:c r="S572" s="9" t="str">
        <x:f>IF(C572="","",IFERROR(INDEX('Taxonomy Rules'!$E$42:$E$68,MATCH(E572,'Taxonomy Rules'!$C$42:$C$68,0)),""))</x:f>
      </x:c>
      <x:c r="T572" s="9" t="str">
        <x:f>IF(C572="","",IFERROR(INDEX('Taxonomy Rules'!$F$42:$F$68,MATCH(E572,'Taxonomy Rules'!$C$42:$C$68,0)),""))</x:f>
      </x:c>
      <x:c r="U572" s="9" t="str">
        <x:f>IF(C572="","",IFERROR(INDEX('Taxonomy'!$G$9:$G$108,MATCH(D572,'Taxonomy'!$C$9:$C$108,0)),""))</x:f>
      </x:c>
    </x:row>
    <x:row r="573" ht="44" customHeight="1">
      <x:c r="A573" s="1"/>
      <x:c r="B573" s="1"/>
      <x:c r="C573" s="8"/>
      <x:c r="D573" s="8"/>
      <x:c r="E573" s="8"/>
      <x:c r="F573" s="8"/>
      <x:c r="G573" s="8"/>
      <x:c r="H573" s="8"/>
      <x:c r="I573" s="8"/>
      <x:c r="J573" s="8"/>
      <x:c r="K573" s="8"/>
      <x:c r="L573" s="8"/>
      <x:c r="M573" s="10"/>
      <x:c r="N573" s="10"/>
      <x:c r="O573" s="8"/>
      <x:c r="P573" s="9" t="str">
        <x:f>IF(C573="","",IF(AND(G573="Applicable",H573="Fail"),"Fail",IF(R573&lt;&gt;"Valid","Pending",IF(OR(I573="",K573="",L573="",K573=L573,NOT(ISNUMBER(M573)),NOT(ISNUMBER(N573)),M573&gt;Settings!$F$8,N573&lt;Settings!$F$8,N573&lt;M573),"Pending",IF(AND(G573="Applicable",H573="Pass"),"Pass",IF(AND(G573="N/A",H573="N/A",J573&lt;&gt;"",OR(E573="CEM-FUELS",E573="CEM-CCS",AND(E573="CEM-PLAN",IFERROR(INDEX('Taxonomy'!$M$9:$M$108,MATCH(D573,'Taxonomy'!$C$9:$C$108,0)),"")&lt;&gt;"Amber"),E573="BLD-TIMBER",AND(U573="Building equipment",OR(E573="BLD-WATER",E573="BLD-WASTE",E573="BLD-LAND")),AND(U573="Building renovation",E573="BLD-LAND"))),"N/A","Pending"))))))</x:f>
      </x:c>
      <x:c r="Q573" s="3" t="str">
        <x:f>IF(C573="","",IF(AND(R573="Valid",OR(P573="Pass",P573="N/A")),"Complete","Unresolved"))</x:f>
      </x:c>
      <x:c r="R573" s="9" t="str">
        <x:f>IF(C573="","",IF(OR(COUNTIF($C$9:$C$2008,C573)&lt;&gt;1,COUNTIFS($D$9:$D$2008,D573,$E$9:$E$2008,E573)&lt;&gt;1),"Duplicate test",IF(COUNTIF('Taxonomy'!$C$9:$C$108,D573)&lt;&gt;1,"Assessment key",IF(OR(COUNTIF('Taxonomy Rules'!$C$42:$C$68,E573)&lt;&gt;1,F573&lt;&gt;IFERROR(INDEX('Taxonomy Rules'!$D$42:$D$68,MATCH(E573,'Taxonomy Rules'!$C$42:$C$68,0)),""),NOT(OR(IFERROR(INDEX('Taxonomy Rules'!$G$42:$G$68,MATCH(E573,'Taxonomy Rules'!$C$42:$C$68,0)),"")="All supported routes",IFERROR(INDEX('Taxonomy Rules'!$G$42:$G$68,MATCH(E573,'Taxonomy Rules'!$C$42:$C$68,0)),"")=U573,AND(IFERROR(INDEX('Taxonomy Rules'!$G$42:$G$68,MATCH(E573,'Taxonomy Rules'!$C$42:$C$68,0)),"")="Building routes",OR(U573="Building renovation",U573="New building",U573="Building equipment"))))),"Unexpected test","Valid"))))</x:f>
      </x:c>
      <x:c r="S573" s="9" t="str">
        <x:f>IF(C573="","",IFERROR(INDEX('Taxonomy Rules'!$E$42:$E$68,MATCH(E573,'Taxonomy Rules'!$C$42:$C$68,0)),""))</x:f>
      </x:c>
      <x:c r="T573" s="9" t="str">
        <x:f>IF(C573="","",IFERROR(INDEX('Taxonomy Rules'!$F$42:$F$68,MATCH(E573,'Taxonomy Rules'!$C$42:$C$68,0)),""))</x:f>
      </x:c>
      <x:c r="U573" s="9" t="str">
        <x:f>IF(C573="","",IFERROR(INDEX('Taxonomy'!$G$9:$G$108,MATCH(D573,'Taxonomy'!$C$9:$C$108,0)),""))</x:f>
      </x:c>
    </x:row>
    <x:row r="574" ht="44" customHeight="1">
      <x:c r="A574" s="1"/>
      <x:c r="B574" s="1"/>
      <x:c r="C574" s="8"/>
      <x:c r="D574" s="8"/>
      <x:c r="E574" s="8"/>
      <x:c r="F574" s="8"/>
      <x:c r="G574" s="8"/>
      <x:c r="H574" s="8"/>
      <x:c r="I574" s="8"/>
      <x:c r="J574" s="8"/>
      <x:c r="K574" s="8"/>
      <x:c r="L574" s="8"/>
      <x:c r="M574" s="10"/>
      <x:c r="N574" s="10"/>
      <x:c r="O574" s="8"/>
      <x:c r="P574" s="9" t="str">
        <x:f>IF(C574="","",IF(AND(G574="Applicable",H574="Fail"),"Fail",IF(R574&lt;&gt;"Valid","Pending",IF(OR(I574="",K574="",L574="",K574=L574,NOT(ISNUMBER(M574)),NOT(ISNUMBER(N574)),M574&gt;Settings!$F$8,N574&lt;Settings!$F$8,N574&lt;M574),"Pending",IF(AND(G574="Applicable",H574="Pass"),"Pass",IF(AND(G574="N/A",H574="N/A",J574&lt;&gt;"",OR(E574="CEM-FUELS",E574="CEM-CCS",AND(E574="CEM-PLAN",IFERROR(INDEX('Taxonomy'!$M$9:$M$108,MATCH(D574,'Taxonomy'!$C$9:$C$108,0)),"")&lt;&gt;"Amber"),E574="BLD-TIMBER",AND(U574="Building equipment",OR(E574="BLD-WATER",E574="BLD-WASTE",E574="BLD-LAND")),AND(U574="Building renovation",E574="BLD-LAND"))),"N/A","Pending"))))))</x:f>
      </x:c>
      <x:c r="Q574" s="3" t="str">
        <x:f>IF(C574="","",IF(AND(R574="Valid",OR(P574="Pass",P574="N/A")),"Complete","Unresolved"))</x:f>
      </x:c>
      <x:c r="R574" s="9" t="str">
        <x:f>IF(C574="","",IF(OR(COUNTIF($C$9:$C$2008,C574)&lt;&gt;1,COUNTIFS($D$9:$D$2008,D574,$E$9:$E$2008,E574)&lt;&gt;1),"Duplicate test",IF(COUNTIF('Taxonomy'!$C$9:$C$108,D574)&lt;&gt;1,"Assessment key",IF(OR(COUNTIF('Taxonomy Rules'!$C$42:$C$68,E574)&lt;&gt;1,F574&lt;&gt;IFERROR(INDEX('Taxonomy Rules'!$D$42:$D$68,MATCH(E574,'Taxonomy Rules'!$C$42:$C$68,0)),""),NOT(OR(IFERROR(INDEX('Taxonomy Rules'!$G$42:$G$68,MATCH(E574,'Taxonomy Rules'!$C$42:$C$68,0)),"")="All supported routes",IFERROR(INDEX('Taxonomy Rules'!$G$42:$G$68,MATCH(E574,'Taxonomy Rules'!$C$42:$C$68,0)),"")=U574,AND(IFERROR(INDEX('Taxonomy Rules'!$G$42:$G$68,MATCH(E574,'Taxonomy Rules'!$C$42:$C$68,0)),"")="Building routes",OR(U574="Building renovation",U574="New building",U574="Building equipment"))))),"Unexpected test","Valid"))))</x:f>
      </x:c>
      <x:c r="S574" s="9" t="str">
        <x:f>IF(C574="","",IFERROR(INDEX('Taxonomy Rules'!$E$42:$E$68,MATCH(E574,'Taxonomy Rules'!$C$42:$C$68,0)),""))</x:f>
      </x:c>
      <x:c r="T574" s="9" t="str">
        <x:f>IF(C574="","",IFERROR(INDEX('Taxonomy Rules'!$F$42:$F$68,MATCH(E574,'Taxonomy Rules'!$C$42:$C$68,0)),""))</x:f>
      </x:c>
      <x:c r="U574" s="9" t="str">
        <x:f>IF(C574="","",IFERROR(INDEX('Taxonomy'!$G$9:$G$108,MATCH(D574,'Taxonomy'!$C$9:$C$108,0)),""))</x:f>
      </x:c>
    </x:row>
    <x:row r="575" ht="44" customHeight="1">
      <x:c r="A575" s="1"/>
      <x:c r="B575" s="1"/>
      <x:c r="C575" s="8"/>
      <x:c r="D575" s="8"/>
      <x:c r="E575" s="8"/>
      <x:c r="F575" s="8"/>
      <x:c r="G575" s="8"/>
      <x:c r="H575" s="8"/>
      <x:c r="I575" s="8"/>
      <x:c r="J575" s="8"/>
      <x:c r="K575" s="8"/>
      <x:c r="L575" s="8"/>
      <x:c r="M575" s="10"/>
      <x:c r="N575" s="10"/>
      <x:c r="O575" s="8"/>
      <x:c r="P575" s="9" t="str">
        <x:f>IF(C575="","",IF(AND(G575="Applicable",H575="Fail"),"Fail",IF(R575&lt;&gt;"Valid","Pending",IF(OR(I575="",K575="",L575="",K575=L575,NOT(ISNUMBER(M575)),NOT(ISNUMBER(N575)),M575&gt;Settings!$F$8,N575&lt;Settings!$F$8,N575&lt;M575),"Pending",IF(AND(G575="Applicable",H575="Pass"),"Pass",IF(AND(G575="N/A",H575="N/A",J575&lt;&gt;"",OR(E575="CEM-FUELS",E575="CEM-CCS",AND(E575="CEM-PLAN",IFERROR(INDEX('Taxonomy'!$M$9:$M$108,MATCH(D575,'Taxonomy'!$C$9:$C$108,0)),"")&lt;&gt;"Amber"),E575="BLD-TIMBER",AND(U575="Building equipment",OR(E575="BLD-WATER",E575="BLD-WASTE",E575="BLD-LAND")),AND(U575="Building renovation",E575="BLD-LAND"))),"N/A","Pending"))))))</x:f>
      </x:c>
      <x:c r="Q575" s="3" t="str">
        <x:f>IF(C575="","",IF(AND(R575="Valid",OR(P575="Pass",P575="N/A")),"Complete","Unresolved"))</x:f>
      </x:c>
      <x:c r="R575" s="9" t="str">
        <x:f>IF(C575="","",IF(OR(COUNTIF($C$9:$C$2008,C575)&lt;&gt;1,COUNTIFS($D$9:$D$2008,D575,$E$9:$E$2008,E575)&lt;&gt;1),"Duplicate test",IF(COUNTIF('Taxonomy'!$C$9:$C$108,D575)&lt;&gt;1,"Assessment key",IF(OR(COUNTIF('Taxonomy Rules'!$C$42:$C$68,E575)&lt;&gt;1,F575&lt;&gt;IFERROR(INDEX('Taxonomy Rules'!$D$42:$D$68,MATCH(E575,'Taxonomy Rules'!$C$42:$C$68,0)),""),NOT(OR(IFERROR(INDEX('Taxonomy Rules'!$G$42:$G$68,MATCH(E575,'Taxonomy Rules'!$C$42:$C$68,0)),"")="All supported routes",IFERROR(INDEX('Taxonomy Rules'!$G$42:$G$68,MATCH(E575,'Taxonomy Rules'!$C$42:$C$68,0)),"")=U575,AND(IFERROR(INDEX('Taxonomy Rules'!$G$42:$G$68,MATCH(E575,'Taxonomy Rules'!$C$42:$C$68,0)),"")="Building routes",OR(U575="Building renovation",U575="New building",U575="Building equipment"))))),"Unexpected test","Valid"))))</x:f>
      </x:c>
      <x:c r="S575" s="9" t="str">
        <x:f>IF(C575="","",IFERROR(INDEX('Taxonomy Rules'!$E$42:$E$68,MATCH(E575,'Taxonomy Rules'!$C$42:$C$68,0)),""))</x:f>
      </x:c>
      <x:c r="T575" s="9" t="str">
        <x:f>IF(C575="","",IFERROR(INDEX('Taxonomy Rules'!$F$42:$F$68,MATCH(E575,'Taxonomy Rules'!$C$42:$C$68,0)),""))</x:f>
      </x:c>
      <x:c r="U575" s="9" t="str">
        <x:f>IF(C575="","",IFERROR(INDEX('Taxonomy'!$G$9:$G$108,MATCH(D575,'Taxonomy'!$C$9:$C$108,0)),""))</x:f>
      </x:c>
    </x:row>
    <x:row r="576" ht="44" customHeight="1">
      <x:c r="A576" s="1"/>
      <x:c r="B576" s="1"/>
      <x:c r="C576" s="8"/>
      <x:c r="D576" s="8"/>
      <x:c r="E576" s="8"/>
      <x:c r="F576" s="8"/>
      <x:c r="G576" s="8"/>
      <x:c r="H576" s="8"/>
      <x:c r="I576" s="8"/>
      <x:c r="J576" s="8"/>
      <x:c r="K576" s="8"/>
      <x:c r="L576" s="8"/>
      <x:c r="M576" s="10"/>
      <x:c r="N576" s="10"/>
      <x:c r="O576" s="8"/>
      <x:c r="P576" s="9" t="str">
        <x:f>IF(C576="","",IF(AND(G576="Applicable",H576="Fail"),"Fail",IF(R576&lt;&gt;"Valid","Pending",IF(OR(I576="",K576="",L576="",K576=L576,NOT(ISNUMBER(M576)),NOT(ISNUMBER(N576)),M576&gt;Settings!$F$8,N576&lt;Settings!$F$8,N576&lt;M576),"Pending",IF(AND(G576="Applicable",H576="Pass"),"Pass",IF(AND(G576="N/A",H576="N/A",J576&lt;&gt;"",OR(E576="CEM-FUELS",E576="CEM-CCS",AND(E576="CEM-PLAN",IFERROR(INDEX('Taxonomy'!$M$9:$M$108,MATCH(D576,'Taxonomy'!$C$9:$C$108,0)),"")&lt;&gt;"Amber"),E576="BLD-TIMBER",AND(U576="Building equipment",OR(E576="BLD-WATER",E576="BLD-WASTE",E576="BLD-LAND")),AND(U576="Building renovation",E576="BLD-LAND"))),"N/A","Pending"))))))</x:f>
      </x:c>
      <x:c r="Q576" s="3" t="str">
        <x:f>IF(C576="","",IF(AND(R576="Valid",OR(P576="Pass",P576="N/A")),"Complete","Unresolved"))</x:f>
      </x:c>
      <x:c r="R576" s="9" t="str">
        <x:f>IF(C576="","",IF(OR(COUNTIF($C$9:$C$2008,C576)&lt;&gt;1,COUNTIFS($D$9:$D$2008,D576,$E$9:$E$2008,E576)&lt;&gt;1),"Duplicate test",IF(COUNTIF('Taxonomy'!$C$9:$C$108,D576)&lt;&gt;1,"Assessment key",IF(OR(COUNTIF('Taxonomy Rules'!$C$42:$C$68,E576)&lt;&gt;1,F576&lt;&gt;IFERROR(INDEX('Taxonomy Rules'!$D$42:$D$68,MATCH(E576,'Taxonomy Rules'!$C$42:$C$68,0)),""),NOT(OR(IFERROR(INDEX('Taxonomy Rules'!$G$42:$G$68,MATCH(E576,'Taxonomy Rules'!$C$42:$C$68,0)),"")="All supported routes",IFERROR(INDEX('Taxonomy Rules'!$G$42:$G$68,MATCH(E576,'Taxonomy Rules'!$C$42:$C$68,0)),"")=U576,AND(IFERROR(INDEX('Taxonomy Rules'!$G$42:$G$68,MATCH(E576,'Taxonomy Rules'!$C$42:$C$68,0)),"")="Building routes",OR(U576="Building renovation",U576="New building",U576="Building equipment"))))),"Unexpected test","Valid"))))</x:f>
      </x:c>
      <x:c r="S576" s="9" t="str">
        <x:f>IF(C576="","",IFERROR(INDEX('Taxonomy Rules'!$E$42:$E$68,MATCH(E576,'Taxonomy Rules'!$C$42:$C$68,0)),""))</x:f>
      </x:c>
      <x:c r="T576" s="9" t="str">
        <x:f>IF(C576="","",IFERROR(INDEX('Taxonomy Rules'!$F$42:$F$68,MATCH(E576,'Taxonomy Rules'!$C$42:$C$68,0)),""))</x:f>
      </x:c>
      <x:c r="U576" s="9" t="str">
        <x:f>IF(C576="","",IFERROR(INDEX('Taxonomy'!$G$9:$G$108,MATCH(D576,'Taxonomy'!$C$9:$C$108,0)),""))</x:f>
      </x:c>
    </x:row>
    <x:row r="577" ht="44" customHeight="1">
      <x:c r="A577" s="1"/>
      <x:c r="B577" s="1"/>
      <x:c r="C577" s="8"/>
      <x:c r="D577" s="8"/>
      <x:c r="E577" s="8"/>
      <x:c r="F577" s="8"/>
      <x:c r="G577" s="8"/>
      <x:c r="H577" s="8"/>
      <x:c r="I577" s="8"/>
      <x:c r="J577" s="8"/>
      <x:c r="K577" s="8"/>
      <x:c r="L577" s="8"/>
      <x:c r="M577" s="10"/>
      <x:c r="N577" s="10"/>
      <x:c r="O577" s="8"/>
      <x:c r="P577" s="9" t="str">
        <x:f>IF(C577="","",IF(AND(G577="Applicable",H577="Fail"),"Fail",IF(R577&lt;&gt;"Valid","Pending",IF(OR(I577="",K577="",L577="",K577=L577,NOT(ISNUMBER(M577)),NOT(ISNUMBER(N577)),M577&gt;Settings!$F$8,N577&lt;Settings!$F$8,N577&lt;M577),"Pending",IF(AND(G577="Applicable",H577="Pass"),"Pass",IF(AND(G577="N/A",H577="N/A",J577&lt;&gt;"",OR(E577="CEM-FUELS",E577="CEM-CCS",AND(E577="CEM-PLAN",IFERROR(INDEX('Taxonomy'!$M$9:$M$108,MATCH(D577,'Taxonomy'!$C$9:$C$108,0)),"")&lt;&gt;"Amber"),E577="BLD-TIMBER",AND(U577="Building equipment",OR(E577="BLD-WATER",E577="BLD-WASTE",E577="BLD-LAND")),AND(U577="Building renovation",E577="BLD-LAND"))),"N/A","Pending"))))))</x:f>
      </x:c>
      <x:c r="Q577" s="3" t="str">
        <x:f>IF(C577="","",IF(AND(R577="Valid",OR(P577="Pass",P577="N/A")),"Complete","Unresolved"))</x:f>
      </x:c>
      <x:c r="R577" s="9" t="str">
        <x:f>IF(C577="","",IF(OR(COUNTIF($C$9:$C$2008,C577)&lt;&gt;1,COUNTIFS($D$9:$D$2008,D577,$E$9:$E$2008,E577)&lt;&gt;1),"Duplicate test",IF(COUNTIF('Taxonomy'!$C$9:$C$108,D577)&lt;&gt;1,"Assessment key",IF(OR(COUNTIF('Taxonomy Rules'!$C$42:$C$68,E577)&lt;&gt;1,F577&lt;&gt;IFERROR(INDEX('Taxonomy Rules'!$D$42:$D$68,MATCH(E577,'Taxonomy Rules'!$C$42:$C$68,0)),""),NOT(OR(IFERROR(INDEX('Taxonomy Rules'!$G$42:$G$68,MATCH(E577,'Taxonomy Rules'!$C$42:$C$68,0)),"")="All supported routes",IFERROR(INDEX('Taxonomy Rules'!$G$42:$G$68,MATCH(E577,'Taxonomy Rules'!$C$42:$C$68,0)),"")=U577,AND(IFERROR(INDEX('Taxonomy Rules'!$G$42:$G$68,MATCH(E577,'Taxonomy Rules'!$C$42:$C$68,0)),"")="Building routes",OR(U577="Building renovation",U577="New building",U577="Building equipment"))))),"Unexpected test","Valid"))))</x:f>
      </x:c>
      <x:c r="S577" s="9" t="str">
        <x:f>IF(C577="","",IFERROR(INDEX('Taxonomy Rules'!$E$42:$E$68,MATCH(E577,'Taxonomy Rules'!$C$42:$C$68,0)),""))</x:f>
      </x:c>
      <x:c r="T577" s="9" t="str">
        <x:f>IF(C577="","",IFERROR(INDEX('Taxonomy Rules'!$F$42:$F$68,MATCH(E577,'Taxonomy Rules'!$C$42:$C$68,0)),""))</x:f>
      </x:c>
      <x:c r="U577" s="9" t="str">
        <x:f>IF(C577="","",IFERROR(INDEX('Taxonomy'!$G$9:$G$108,MATCH(D577,'Taxonomy'!$C$9:$C$108,0)),""))</x:f>
      </x:c>
    </x:row>
    <x:row r="578" ht="44" customHeight="1">
      <x:c r="A578" s="1"/>
      <x:c r="B578" s="1"/>
      <x:c r="C578" s="8"/>
      <x:c r="D578" s="8"/>
      <x:c r="E578" s="8"/>
      <x:c r="F578" s="8"/>
      <x:c r="G578" s="8"/>
      <x:c r="H578" s="8"/>
      <x:c r="I578" s="8"/>
      <x:c r="J578" s="8"/>
      <x:c r="K578" s="8"/>
      <x:c r="L578" s="8"/>
      <x:c r="M578" s="10"/>
      <x:c r="N578" s="10"/>
      <x:c r="O578" s="8"/>
      <x:c r="P578" s="9" t="str">
        <x:f>IF(C578="","",IF(AND(G578="Applicable",H578="Fail"),"Fail",IF(R578&lt;&gt;"Valid","Pending",IF(OR(I578="",K578="",L578="",K578=L578,NOT(ISNUMBER(M578)),NOT(ISNUMBER(N578)),M578&gt;Settings!$F$8,N578&lt;Settings!$F$8,N578&lt;M578),"Pending",IF(AND(G578="Applicable",H578="Pass"),"Pass",IF(AND(G578="N/A",H578="N/A",J578&lt;&gt;"",OR(E578="CEM-FUELS",E578="CEM-CCS",AND(E578="CEM-PLAN",IFERROR(INDEX('Taxonomy'!$M$9:$M$108,MATCH(D578,'Taxonomy'!$C$9:$C$108,0)),"")&lt;&gt;"Amber"),E578="BLD-TIMBER",AND(U578="Building equipment",OR(E578="BLD-WATER",E578="BLD-WASTE",E578="BLD-LAND")),AND(U578="Building renovation",E578="BLD-LAND"))),"N/A","Pending"))))))</x:f>
      </x:c>
      <x:c r="Q578" s="3" t="str">
        <x:f>IF(C578="","",IF(AND(R578="Valid",OR(P578="Pass",P578="N/A")),"Complete","Unresolved"))</x:f>
      </x:c>
      <x:c r="R578" s="9" t="str">
        <x:f>IF(C578="","",IF(OR(COUNTIF($C$9:$C$2008,C578)&lt;&gt;1,COUNTIFS($D$9:$D$2008,D578,$E$9:$E$2008,E578)&lt;&gt;1),"Duplicate test",IF(COUNTIF('Taxonomy'!$C$9:$C$108,D578)&lt;&gt;1,"Assessment key",IF(OR(COUNTIF('Taxonomy Rules'!$C$42:$C$68,E578)&lt;&gt;1,F578&lt;&gt;IFERROR(INDEX('Taxonomy Rules'!$D$42:$D$68,MATCH(E578,'Taxonomy Rules'!$C$42:$C$68,0)),""),NOT(OR(IFERROR(INDEX('Taxonomy Rules'!$G$42:$G$68,MATCH(E578,'Taxonomy Rules'!$C$42:$C$68,0)),"")="All supported routes",IFERROR(INDEX('Taxonomy Rules'!$G$42:$G$68,MATCH(E578,'Taxonomy Rules'!$C$42:$C$68,0)),"")=U578,AND(IFERROR(INDEX('Taxonomy Rules'!$G$42:$G$68,MATCH(E578,'Taxonomy Rules'!$C$42:$C$68,0)),"")="Building routes",OR(U578="Building renovation",U578="New building",U578="Building equipment"))))),"Unexpected test","Valid"))))</x:f>
      </x:c>
      <x:c r="S578" s="9" t="str">
        <x:f>IF(C578="","",IFERROR(INDEX('Taxonomy Rules'!$E$42:$E$68,MATCH(E578,'Taxonomy Rules'!$C$42:$C$68,0)),""))</x:f>
      </x:c>
      <x:c r="T578" s="9" t="str">
        <x:f>IF(C578="","",IFERROR(INDEX('Taxonomy Rules'!$F$42:$F$68,MATCH(E578,'Taxonomy Rules'!$C$42:$C$68,0)),""))</x:f>
      </x:c>
      <x:c r="U578" s="9" t="str">
        <x:f>IF(C578="","",IFERROR(INDEX('Taxonomy'!$G$9:$G$108,MATCH(D578,'Taxonomy'!$C$9:$C$108,0)),""))</x:f>
      </x:c>
    </x:row>
    <x:row r="579" ht="44" customHeight="1">
      <x:c r="A579" s="1"/>
      <x:c r="B579" s="1"/>
      <x:c r="C579" s="8"/>
      <x:c r="D579" s="8"/>
      <x:c r="E579" s="8"/>
      <x:c r="F579" s="8"/>
      <x:c r="G579" s="8"/>
      <x:c r="H579" s="8"/>
      <x:c r="I579" s="8"/>
      <x:c r="J579" s="8"/>
      <x:c r="K579" s="8"/>
      <x:c r="L579" s="8"/>
      <x:c r="M579" s="10"/>
      <x:c r="N579" s="10"/>
      <x:c r="O579" s="8"/>
      <x:c r="P579" s="9" t="str">
        <x:f>IF(C579="","",IF(AND(G579="Applicable",H579="Fail"),"Fail",IF(R579&lt;&gt;"Valid","Pending",IF(OR(I579="",K579="",L579="",K579=L579,NOT(ISNUMBER(M579)),NOT(ISNUMBER(N579)),M579&gt;Settings!$F$8,N579&lt;Settings!$F$8,N579&lt;M579),"Pending",IF(AND(G579="Applicable",H579="Pass"),"Pass",IF(AND(G579="N/A",H579="N/A",J579&lt;&gt;"",OR(E579="CEM-FUELS",E579="CEM-CCS",AND(E579="CEM-PLAN",IFERROR(INDEX('Taxonomy'!$M$9:$M$108,MATCH(D579,'Taxonomy'!$C$9:$C$108,0)),"")&lt;&gt;"Amber"),E579="BLD-TIMBER",AND(U579="Building equipment",OR(E579="BLD-WATER",E579="BLD-WASTE",E579="BLD-LAND")),AND(U579="Building renovation",E579="BLD-LAND"))),"N/A","Pending"))))))</x:f>
      </x:c>
      <x:c r="Q579" s="3" t="str">
        <x:f>IF(C579="","",IF(AND(R579="Valid",OR(P579="Pass",P579="N/A")),"Complete","Unresolved"))</x:f>
      </x:c>
      <x:c r="R579" s="9" t="str">
        <x:f>IF(C579="","",IF(OR(COUNTIF($C$9:$C$2008,C579)&lt;&gt;1,COUNTIFS($D$9:$D$2008,D579,$E$9:$E$2008,E579)&lt;&gt;1),"Duplicate test",IF(COUNTIF('Taxonomy'!$C$9:$C$108,D579)&lt;&gt;1,"Assessment key",IF(OR(COUNTIF('Taxonomy Rules'!$C$42:$C$68,E579)&lt;&gt;1,F579&lt;&gt;IFERROR(INDEX('Taxonomy Rules'!$D$42:$D$68,MATCH(E579,'Taxonomy Rules'!$C$42:$C$68,0)),""),NOT(OR(IFERROR(INDEX('Taxonomy Rules'!$G$42:$G$68,MATCH(E579,'Taxonomy Rules'!$C$42:$C$68,0)),"")="All supported routes",IFERROR(INDEX('Taxonomy Rules'!$G$42:$G$68,MATCH(E579,'Taxonomy Rules'!$C$42:$C$68,0)),"")=U579,AND(IFERROR(INDEX('Taxonomy Rules'!$G$42:$G$68,MATCH(E579,'Taxonomy Rules'!$C$42:$C$68,0)),"")="Building routes",OR(U579="Building renovation",U579="New building",U579="Building equipment"))))),"Unexpected test","Valid"))))</x:f>
      </x:c>
      <x:c r="S579" s="9" t="str">
        <x:f>IF(C579="","",IFERROR(INDEX('Taxonomy Rules'!$E$42:$E$68,MATCH(E579,'Taxonomy Rules'!$C$42:$C$68,0)),""))</x:f>
      </x:c>
      <x:c r="T579" s="9" t="str">
        <x:f>IF(C579="","",IFERROR(INDEX('Taxonomy Rules'!$F$42:$F$68,MATCH(E579,'Taxonomy Rules'!$C$42:$C$68,0)),""))</x:f>
      </x:c>
      <x:c r="U579" s="9" t="str">
        <x:f>IF(C579="","",IFERROR(INDEX('Taxonomy'!$G$9:$G$108,MATCH(D579,'Taxonomy'!$C$9:$C$108,0)),""))</x:f>
      </x:c>
    </x:row>
    <x:row r="580" ht="44" customHeight="1">
      <x:c r="A580" s="1"/>
      <x:c r="B580" s="1"/>
      <x:c r="C580" s="8"/>
      <x:c r="D580" s="8"/>
      <x:c r="E580" s="8"/>
      <x:c r="F580" s="8"/>
      <x:c r="G580" s="8"/>
      <x:c r="H580" s="8"/>
      <x:c r="I580" s="8"/>
      <x:c r="J580" s="8"/>
      <x:c r="K580" s="8"/>
      <x:c r="L580" s="8"/>
      <x:c r="M580" s="10"/>
      <x:c r="N580" s="10"/>
      <x:c r="O580" s="8"/>
      <x:c r="P580" s="9" t="str">
        <x:f>IF(C580="","",IF(AND(G580="Applicable",H580="Fail"),"Fail",IF(R580&lt;&gt;"Valid","Pending",IF(OR(I580="",K580="",L580="",K580=L580,NOT(ISNUMBER(M580)),NOT(ISNUMBER(N580)),M580&gt;Settings!$F$8,N580&lt;Settings!$F$8,N580&lt;M580),"Pending",IF(AND(G580="Applicable",H580="Pass"),"Pass",IF(AND(G580="N/A",H580="N/A",J580&lt;&gt;"",OR(E580="CEM-FUELS",E580="CEM-CCS",AND(E580="CEM-PLAN",IFERROR(INDEX('Taxonomy'!$M$9:$M$108,MATCH(D580,'Taxonomy'!$C$9:$C$108,0)),"")&lt;&gt;"Amber"),E580="BLD-TIMBER",AND(U580="Building equipment",OR(E580="BLD-WATER",E580="BLD-WASTE",E580="BLD-LAND")),AND(U580="Building renovation",E580="BLD-LAND"))),"N/A","Pending"))))))</x:f>
      </x:c>
      <x:c r="Q580" s="3" t="str">
        <x:f>IF(C580="","",IF(AND(R580="Valid",OR(P580="Pass",P580="N/A")),"Complete","Unresolved"))</x:f>
      </x:c>
      <x:c r="R580" s="9" t="str">
        <x:f>IF(C580="","",IF(OR(COUNTIF($C$9:$C$2008,C580)&lt;&gt;1,COUNTIFS($D$9:$D$2008,D580,$E$9:$E$2008,E580)&lt;&gt;1),"Duplicate test",IF(COUNTIF('Taxonomy'!$C$9:$C$108,D580)&lt;&gt;1,"Assessment key",IF(OR(COUNTIF('Taxonomy Rules'!$C$42:$C$68,E580)&lt;&gt;1,F580&lt;&gt;IFERROR(INDEX('Taxonomy Rules'!$D$42:$D$68,MATCH(E580,'Taxonomy Rules'!$C$42:$C$68,0)),""),NOT(OR(IFERROR(INDEX('Taxonomy Rules'!$G$42:$G$68,MATCH(E580,'Taxonomy Rules'!$C$42:$C$68,0)),"")="All supported routes",IFERROR(INDEX('Taxonomy Rules'!$G$42:$G$68,MATCH(E580,'Taxonomy Rules'!$C$42:$C$68,0)),"")=U580,AND(IFERROR(INDEX('Taxonomy Rules'!$G$42:$G$68,MATCH(E580,'Taxonomy Rules'!$C$42:$C$68,0)),"")="Building routes",OR(U580="Building renovation",U580="New building",U580="Building equipment"))))),"Unexpected test","Valid"))))</x:f>
      </x:c>
      <x:c r="S580" s="9" t="str">
        <x:f>IF(C580="","",IFERROR(INDEX('Taxonomy Rules'!$E$42:$E$68,MATCH(E580,'Taxonomy Rules'!$C$42:$C$68,0)),""))</x:f>
      </x:c>
      <x:c r="T580" s="9" t="str">
        <x:f>IF(C580="","",IFERROR(INDEX('Taxonomy Rules'!$F$42:$F$68,MATCH(E580,'Taxonomy Rules'!$C$42:$C$68,0)),""))</x:f>
      </x:c>
      <x:c r="U580" s="9" t="str">
        <x:f>IF(C580="","",IFERROR(INDEX('Taxonomy'!$G$9:$G$108,MATCH(D580,'Taxonomy'!$C$9:$C$108,0)),""))</x:f>
      </x:c>
    </x:row>
    <x:row r="581" ht="44" customHeight="1">
      <x:c r="A581" s="1"/>
      <x:c r="B581" s="1"/>
      <x:c r="C581" s="8"/>
      <x:c r="D581" s="8"/>
      <x:c r="E581" s="8"/>
      <x:c r="F581" s="8"/>
      <x:c r="G581" s="8"/>
      <x:c r="H581" s="8"/>
      <x:c r="I581" s="8"/>
      <x:c r="J581" s="8"/>
      <x:c r="K581" s="8"/>
      <x:c r="L581" s="8"/>
      <x:c r="M581" s="10"/>
      <x:c r="N581" s="10"/>
      <x:c r="O581" s="8"/>
      <x:c r="P581" s="9" t="str">
        <x:f>IF(C581="","",IF(AND(G581="Applicable",H581="Fail"),"Fail",IF(R581&lt;&gt;"Valid","Pending",IF(OR(I581="",K581="",L581="",K581=L581,NOT(ISNUMBER(M581)),NOT(ISNUMBER(N581)),M581&gt;Settings!$F$8,N581&lt;Settings!$F$8,N581&lt;M581),"Pending",IF(AND(G581="Applicable",H581="Pass"),"Pass",IF(AND(G581="N/A",H581="N/A",J581&lt;&gt;"",OR(E581="CEM-FUELS",E581="CEM-CCS",AND(E581="CEM-PLAN",IFERROR(INDEX('Taxonomy'!$M$9:$M$108,MATCH(D581,'Taxonomy'!$C$9:$C$108,0)),"")&lt;&gt;"Amber"),E581="BLD-TIMBER",AND(U581="Building equipment",OR(E581="BLD-WATER",E581="BLD-WASTE",E581="BLD-LAND")),AND(U581="Building renovation",E581="BLD-LAND"))),"N/A","Pending"))))))</x:f>
      </x:c>
      <x:c r="Q581" s="3" t="str">
        <x:f>IF(C581="","",IF(AND(R581="Valid",OR(P581="Pass",P581="N/A")),"Complete","Unresolved"))</x:f>
      </x:c>
      <x:c r="R581" s="9" t="str">
        <x:f>IF(C581="","",IF(OR(COUNTIF($C$9:$C$2008,C581)&lt;&gt;1,COUNTIFS($D$9:$D$2008,D581,$E$9:$E$2008,E581)&lt;&gt;1),"Duplicate test",IF(COUNTIF('Taxonomy'!$C$9:$C$108,D581)&lt;&gt;1,"Assessment key",IF(OR(COUNTIF('Taxonomy Rules'!$C$42:$C$68,E581)&lt;&gt;1,F581&lt;&gt;IFERROR(INDEX('Taxonomy Rules'!$D$42:$D$68,MATCH(E581,'Taxonomy Rules'!$C$42:$C$68,0)),""),NOT(OR(IFERROR(INDEX('Taxonomy Rules'!$G$42:$G$68,MATCH(E581,'Taxonomy Rules'!$C$42:$C$68,0)),"")="All supported routes",IFERROR(INDEX('Taxonomy Rules'!$G$42:$G$68,MATCH(E581,'Taxonomy Rules'!$C$42:$C$68,0)),"")=U581,AND(IFERROR(INDEX('Taxonomy Rules'!$G$42:$G$68,MATCH(E581,'Taxonomy Rules'!$C$42:$C$68,0)),"")="Building routes",OR(U581="Building renovation",U581="New building",U581="Building equipment"))))),"Unexpected test","Valid"))))</x:f>
      </x:c>
      <x:c r="S581" s="9" t="str">
        <x:f>IF(C581="","",IFERROR(INDEX('Taxonomy Rules'!$E$42:$E$68,MATCH(E581,'Taxonomy Rules'!$C$42:$C$68,0)),""))</x:f>
      </x:c>
      <x:c r="T581" s="9" t="str">
        <x:f>IF(C581="","",IFERROR(INDEX('Taxonomy Rules'!$F$42:$F$68,MATCH(E581,'Taxonomy Rules'!$C$42:$C$68,0)),""))</x:f>
      </x:c>
      <x:c r="U581" s="9" t="str">
        <x:f>IF(C581="","",IFERROR(INDEX('Taxonomy'!$G$9:$G$108,MATCH(D581,'Taxonomy'!$C$9:$C$108,0)),""))</x:f>
      </x:c>
    </x:row>
    <x:row r="582" ht="44" customHeight="1">
      <x:c r="A582" s="1"/>
      <x:c r="B582" s="1"/>
      <x:c r="C582" s="8"/>
      <x:c r="D582" s="8"/>
      <x:c r="E582" s="8"/>
      <x:c r="F582" s="8"/>
      <x:c r="G582" s="8"/>
      <x:c r="H582" s="8"/>
      <x:c r="I582" s="8"/>
      <x:c r="J582" s="8"/>
      <x:c r="K582" s="8"/>
      <x:c r="L582" s="8"/>
      <x:c r="M582" s="10"/>
      <x:c r="N582" s="10"/>
      <x:c r="O582" s="8"/>
      <x:c r="P582" s="9" t="str">
        <x:f>IF(C582="","",IF(AND(G582="Applicable",H582="Fail"),"Fail",IF(R582&lt;&gt;"Valid","Pending",IF(OR(I582="",K582="",L582="",K582=L582,NOT(ISNUMBER(M582)),NOT(ISNUMBER(N582)),M582&gt;Settings!$F$8,N582&lt;Settings!$F$8,N582&lt;M582),"Pending",IF(AND(G582="Applicable",H582="Pass"),"Pass",IF(AND(G582="N/A",H582="N/A",J582&lt;&gt;"",OR(E582="CEM-FUELS",E582="CEM-CCS",AND(E582="CEM-PLAN",IFERROR(INDEX('Taxonomy'!$M$9:$M$108,MATCH(D582,'Taxonomy'!$C$9:$C$108,0)),"")&lt;&gt;"Amber"),E582="BLD-TIMBER",AND(U582="Building equipment",OR(E582="BLD-WATER",E582="BLD-WASTE",E582="BLD-LAND")),AND(U582="Building renovation",E582="BLD-LAND"))),"N/A","Pending"))))))</x:f>
      </x:c>
      <x:c r="Q582" s="3" t="str">
        <x:f>IF(C582="","",IF(AND(R582="Valid",OR(P582="Pass",P582="N/A")),"Complete","Unresolved"))</x:f>
      </x:c>
      <x:c r="R582" s="9" t="str">
        <x:f>IF(C582="","",IF(OR(COUNTIF($C$9:$C$2008,C582)&lt;&gt;1,COUNTIFS($D$9:$D$2008,D582,$E$9:$E$2008,E582)&lt;&gt;1),"Duplicate test",IF(COUNTIF('Taxonomy'!$C$9:$C$108,D582)&lt;&gt;1,"Assessment key",IF(OR(COUNTIF('Taxonomy Rules'!$C$42:$C$68,E582)&lt;&gt;1,F582&lt;&gt;IFERROR(INDEX('Taxonomy Rules'!$D$42:$D$68,MATCH(E582,'Taxonomy Rules'!$C$42:$C$68,0)),""),NOT(OR(IFERROR(INDEX('Taxonomy Rules'!$G$42:$G$68,MATCH(E582,'Taxonomy Rules'!$C$42:$C$68,0)),"")="All supported routes",IFERROR(INDEX('Taxonomy Rules'!$G$42:$G$68,MATCH(E582,'Taxonomy Rules'!$C$42:$C$68,0)),"")=U582,AND(IFERROR(INDEX('Taxonomy Rules'!$G$42:$G$68,MATCH(E582,'Taxonomy Rules'!$C$42:$C$68,0)),"")="Building routes",OR(U582="Building renovation",U582="New building",U582="Building equipment"))))),"Unexpected test","Valid"))))</x:f>
      </x:c>
      <x:c r="S582" s="9" t="str">
        <x:f>IF(C582="","",IFERROR(INDEX('Taxonomy Rules'!$E$42:$E$68,MATCH(E582,'Taxonomy Rules'!$C$42:$C$68,0)),""))</x:f>
      </x:c>
      <x:c r="T582" s="9" t="str">
        <x:f>IF(C582="","",IFERROR(INDEX('Taxonomy Rules'!$F$42:$F$68,MATCH(E582,'Taxonomy Rules'!$C$42:$C$68,0)),""))</x:f>
      </x:c>
      <x:c r="U582" s="9" t="str">
        <x:f>IF(C582="","",IFERROR(INDEX('Taxonomy'!$G$9:$G$108,MATCH(D582,'Taxonomy'!$C$9:$C$108,0)),""))</x:f>
      </x:c>
    </x:row>
    <x:row r="583" ht="44" customHeight="1">
      <x:c r="A583" s="1"/>
      <x:c r="B583" s="1"/>
      <x:c r="C583" s="8"/>
      <x:c r="D583" s="8"/>
      <x:c r="E583" s="8"/>
      <x:c r="F583" s="8"/>
      <x:c r="G583" s="8"/>
      <x:c r="H583" s="8"/>
      <x:c r="I583" s="8"/>
      <x:c r="J583" s="8"/>
      <x:c r="K583" s="8"/>
      <x:c r="L583" s="8"/>
      <x:c r="M583" s="10"/>
      <x:c r="N583" s="10"/>
      <x:c r="O583" s="8"/>
      <x:c r="P583" s="9" t="str">
        <x:f>IF(C583="","",IF(AND(G583="Applicable",H583="Fail"),"Fail",IF(R583&lt;&gt;"Valid","Pending",IF(OR(I583="",K583="",L583="",K583=L583,NOT(ISNUMBER(M583)),NOT(ISNUMBER(N583)),M583&gt;Settings!$F$8,N583&lt;Settings!$F$8,N583&lt;M583),"Pending",IF(AND(G583="Applicable",H583="Pass"),"Pass",IF(AND(G583="N/A",H583="N/A",J583&lt;&gt;"",OR(E583="CEM-FUELS",E583="CEM-CCS",AND(E583="CEM-PLAN",IFERROR(INDEX('Taxonomy'!$M$9:$M$108,MATCH(D583,'Taxonomy'!$C$9:$C$108,0)),"")&lt;&gt;"Amber"),E583="BLD-TIMBER",AND(U583="Building equipment",OR(E583="BLD-WATER",E583="BLD-WASTE",E583="BLD-LAND")),AND(U583="Building renovation",E583="BLD-LAND"))),"N/A","Pending"))))))</x:f>
      </x:c>
      <x:c r="Q583" s="3" t="str">
        <x:f>IF(C583="","",IF(AND(R583="Valid",OR(P583="Pass",P583="N/A")),"Complete","Unresolved"))</x:f>
      </x:c>
      <x:c r="R583" s="9" t="str">
        <x:f>IF(C583="","",IF(OR(COUNTIF($C$9:$C$2008,C583)&lt;&gt;1,COUNTIFS($D$9:$D$2008,D583,$E$9:$E$2008,E583)&lt;&gt;1),"Duplicate test",IF(COUNTIF('Taxonomy'!$C$9:$C$108,D583)&lt;&gt;1,"Assessment key",IF(OR(COUNTIF('Taxonomy Rules'!$C$42:$C$68,E583)&lt;&gt;1,F583&lt;&gt;IFERROR(INDEX('Taxonomy Rules'!$D$42:$D$68,MATCH(E583,'Taxonomy Rules'!$C$42:$C$68,0)),""),NOT(OR(IFERROR(INDEX('Taxonomy Rules'!$G$42:$G$68,MATCH(E583,'Taxonomy Rules'!$C$42:$C$68,0)),"")="All supported routes",IFERROR(INDEX('Taxonomy Rules'!$G$42:$G$68,MATCH(E583,'Taxonomy Rules'!$C$42:$C$68,0)),"")=U583,AND(IFERROR(INDEX('Taxonomy Rules'!$G$42:$G$68,MATCH(E583,'Taxonomy Rules'!$C$42:$C$68,0)),"")="Building routes",OR(U583="Building renovation",U583="New building",U583="Building equipment"))))),"Unexpected test","Valid"))))</x:f>
      </x:c>
      <x:c r="S583" s="9" t="str">
        <x:f>IF(C583="","",IFERROR(INDEX('Taxonomy Rules'!$E$42:$E$68,MATCH(E583,'Taxonomy Rules'!$C$42:$C$68,0)),""))</x:f>
      </x:c>
      <x:c r="T583" s="9" t="str">
        <x:f>IF(C583="","",IFERROR(INDEX('Taxonomy Rules'!$F$42:$F$68,MATCH(E583,'Taxonomy Rules'!$C$42:$C$68,0)),""))</x:f>
      </x:c>
      <x:c r="U583" s="9" t="str">
        <x:f>IF(C583="","",IFERROR(INDEX('Taxonomy'!$G$9:$G$108,MATCH(D583,'Taxonomy'!$C$9:$C$108,0)),""))</x:f>
      </x:c>
    </x:row>
    <x:row r="584" ht="44" customHeight="1">
      <x:c r="A584" s="1"/>
      <x:c r="B584" s="1"/>
      <x:c r="C584" s="8"/>
      <x:c r="D584" s="8"/>
      <x:c r="E584" s="8"/>
      <x:c r="F584" s="8"/>
      <x:c r="G584" s="8"/>
      <x:c r="H584" s="8"/>
      <x:c r="I584" s="8"/>
      <x:c r="J584" s="8"/>
      <x:c r="K584" s="8"/>
      <x:c r="L584" s="8"/>
      <x:c r="M584" s="10"/>
      <x:c r="N584" s="10"/>
      <x:c r="O584" s="8"/>
      <x:c r="P584" s="9" t="str">
        <x:f>IF(C584="","",IF(AND(G584="Applicable",H584="Fail"),"Fail",IF(R584&lt;&gt;"Valid","Pending",IF(OR(I584="",K584="",L584="",K584=L584,NOT(ISNUMBER(M584)),NOT(ISNUMBER(N584)),M584&gt;Settings!$F$8,N584&lt;Settings!$F$8,N584&lt;M584),"Pending",IF(AND(G584="Applicable",H584="Pass"),"Pass",IF(AND(G584="N/A",H584="N/A",J584&lt;&gt;"",OR(E584="CEM-FUELS",E584="CEM-CCS",AND(E584="CEM-PLAN",IFERROR(INDEX('Taxonomy'!$M$9:$M$108,MATCH(D584,'Taxonomy'!$C$9:$C$108,0)),"")&lt;&gt;"Amber"),E584="BLD-TIMBER",AND(U584="Building equipment",OR(E584="BLD-WATER",E584="BLD-WASTE",E584="BLD-LAND")),AND(U584="Building renovation",E584="BLD-LAND"))),"N/A","Pending"))))))</x:f>
      </x:c>
      <x:c r="Q584" s="3" t="str">
        <x:f>IF(C584="","",IF(AND(R584="Valid",OR(P584="Pass",P584="N/A")),"Complete","Unresolved"))</x:f>
      </x:c>
      <x:c r="R584" s="9" t="str">
        <x:f>IF(C584="","",IF(OR(COUNTIF($C$9:$C$2008,C584)&lt;&gt;1,COUNTIFS($D$9:$D$2008,D584,$E$9:$E$2008,E584)&lt;&gt;1),"Duplicate test",IF(COUNTIF('Taxonomy'!$C$9:$C$108,D584)&lt;&gt;1,"Assessment key",IF(OR(COUNTIF('Taxonomy Rules'!$C$42:$C$68,E584)&lt;&gt;1,F584&lt;&gt;IFERROR(INDEX('Taxonomy Rules'!$D$42:$D$68,MATCH(E584,'Taxonomy Rules'!$C$42:$C$68,0)),""),NOT(OR(IFERROR(INDEX('Taxonomy Rules'!$G$42:$G$68,MATCH(E584,'Taxonomy Rules'!$C$42:$C$68,0)),"")="All supported routes",IFERROR(INDEX('Taxonomy Rules'!$G$42:$G$68,MATCH(E584,'Taxonomy Rules'!$C$42:$C$68,0)),"")=U584,AND(IFERROR(INDEX('Taxonomy Rules'!$G$42:$G$68,MATCH(E584,'Taxonomy Rules'!$C$42:$C$68,0)),"")="Building routes",OR(U584="Building renovation",U584="New building",U584="Building equipment"))))),"Unexpected test","Valid"))))</x:f>
      </x:c>
      <x:c r="S584" s="9" t="str">
        <x:f>IF(C584="","",IFERROR(INDEX('Taxonomy Rules'!$E$42:$E$68,MATCH(E584,'Taxonomy Rules'!$C$42:$C$68,0)),""))</x:f>
      </x:c>
      <x:c r="T584" s="9" t="str">
        <x:f>IF(C584="","",IFERROR(INDEX('Taxonomy Rules'!$F$42:$F$68,MATCH(E584,'Taxonomy Rules'!$C$42:$C$68,0)),""))</x:f>
      </x:c>
      <x:c r="U584" s="9" t="str">
        <x:f>IF(C584="","",IFERROR(INDEX('Taxonomy'!$G$9:$G$108,MATCH(D584,'Taxonomy'!$C$9:$C$108,0)),""))</x:f>
      </x:c>
    </x:row>
    <x:row r="585" ht="44" customHeight="1">
      <x:c r="A585" s="1"/>
      <x:c r="B585" s="1"/>
      <x:c r="C585" s="8"/>
      <x:c r="D585" s="8"/>
      <x:c r="E585" s="8"/>
      <x:c r="F585" s="8"/>
      <x:c r="G585" s="8"/>
      <x:c r="H585" s="8"/>
      <x:c r="I585" s="8"/>
      <x:c r="J585" s="8"/>
      <x:c r="K585" s="8"/>
      <x:c r="L585" s="8"/>
      <x:c r="M585" s="10"/>
      <x:c r="N585" s="10"/>
      <x:c r="O585" s="8"/>
      <x:c r="P585" s="9" t="str">
        <x:f>IF(C585="","",IF(AND(G585="Applicable",H585="Fail"),"Fail",IF(R585&lt;&gt;"Valid","Pending",IF(OR(I585="",K585="",L585="",K585=L585,NOT(ISNUMBER(M585)),NOT(ISNUMBER(N585)),M585&gt;Settings!$F$8,N585&lt;Settings!$F$8,N585&lt;M585),"Pending",IF(AND(G585="Applicable",H585="Pass"),"Pass",IF(AND(G585="N/A",H585="N/A",J585&lt;&gt;"",OR(E585="CEM-FUELS",E585="CEM-CCS",AND(E585="CEM-PLAN",IFERROR(INDEX('Taxonomy'!$M$9:$M$108,MATCH(D585,'Taxonomy'!$C$9:$C$108,0)),"")&lt;&gt;"Amber"),E585="BLD-TIMBER",AND(U585="Building equipment",OR(E585="BLD-WATER",E585="BLD-WASTE",E585="BLD-LAND")),AND(U585="Building renovation",E585="BLD-LAND"))),"N/A","Pending"))))))</x:f>
      </x:c>
      <x:c r="Q585" s="3" t="str">
        <x:f>IF(C585="","",IF(AND(R585="Valid",OR(P585="Pass",P585="N/A")),"Complete","Unresolved"))</x:f>
      </x:c>
      <x:c r="R585" s="9" t="str">
        <x:f>IF(C585="","",IF(OR(COUNTIF($C$9:$C$2008,C585)&lt;&gt;1,COUNTIFS($D$9:$D$2008,D585,$E$9:$E$2008,E585)&lt;&gt;1),"Duplicate test",IF(COUNTIF('Taxonomy'!$C$9:$C$108,D585)&lt;&gt;1,"Assessment key",IF(OR(COUNTIF('Taxonomy Rules'!$C$42:$C$68,E585)&lt;&gt;1,F585&lt;&gt;IFERROR(INDEX('Taxonomy Rules'!$D$42:$D$68,MATCH(E585,'Taxonomy Rules'!$C$42:$C$68,0)),""),NOT(OR(IFERROR(INDEX('Taxonomy Rules'!$G$42:$G$68,MATCH(E585,'Taxonomy Rules'!$C$42:$C$68,0)),"")="All supported routes",IFERROR(INDEX('Taxonomy Rules'!$G$42:$G$68,MATCH(E585,'Taxonomy Rules'!$C$42:$C$68,0)),"")=U585,AND(IFERROR(INDEX('Taxonomy Rules'!$G$42:$G$68,MATCH(E585,'Taxonomy Rules'!$C$42:$C$68,0)),"")="Building routes",OR(U585="Building renovation",U585="New building",U585="Building equipment"))))),"Unexpected test","Valid"))))</x:f>
      </x:c>
      <x:c r="S585" s="9" t="str">
        <x:f>IF(C585="","",IFERROR(INDEX('Taxonomy Rules'!$E$42:$E$68,MATCH(E585,'Taxonomy Rules'!$C$42:$C$68,0)),""))</x:f>
      </x:c>
      <x:c r="T585" s="9" t="str">
        <x:f>IF(C585="","",IFERROR(INDEX('Taxonomy Rules'!$F$42:$F$68,MATCH(E585,'Taxonomy Rules'!$C$42:$C$68,0)),""))</x:f>
      </x:c>
      <x:c r="U585" s="9" t="str">
        <x:f>IF(C585="","",IFERROR(INDEX('Taxonomy'!$G$9:$G$108,MATCH(D585,'Taxonomy'!$C$9:$C$108,0)),""))</x:f>
      </x:c>
    </x:row>
    <x:row r="586" ht="44" customHeight="1">
      <x:c r="A586" s="1"/>
      <x:c r="B586" s="1"/>
      <x:c r="C586" s="8"/>
      <x:c r="D586" s="8"/>
      <x:c r="E586" s="8"/>
      <x:c r="F586" s="8"/>
      <x:c r="G586" s="8"/>
      <x:c r="H586" s="8"/>
      <x:c r="I586" s="8"/>
      <x:c r="J586" s="8"/>
      <x:c r="K586" s="8"/>
      <x:c r="L586" s="8"/>
      <x:c r="M586" s="10"/>
      <x:c r="N586" s="10"/>
      <x:c r="O586" s="8"/>
      <x:c r="P586" s="9" t="str">
        <x:f>IF(C586="","",IF(AND(G586="Applicable",H586="Fail"),"Fail",IF(R586&lt;&gt;"Valid","Pending",IF(OR(I586="",K586="",L586="",K586=L586,NOT(ISNUMBER(M586)),NOT(ISNUMBER(N586)),M586&gt;Settings!$F$8,N586&lt;Settings!$F$8,N586&lt;M586),"Pending",IF(AND(G586="Applicable",H586="Pass"),"Pass",IF(AND(G586="N/A",H586="N/A",J586&lt;&gt;"",OR(E586="CEM-FUELS",E586="CEM-CCS",AND(E586="CEM-PLAN",IFERROR(INDEX('Taxonomy'!$M$9:$M$108,MATCH(D586,'Taxonomy'!$C$9:$C$108,0)),"")&lt;&gt;"Amber"),E586="BLD-TIMBER",AND(U586="Building equipment",OR(E586="BLD-WATER",E586="BLD-WASTE",E586="BLD-LAND")),AND(U586="Building renovation",E586="BLD-LAND"))),"N/A","Pending"))))))</x:f>
      </x:c>
      <x:c r="Q586" s="3" t="str">
        <x:f>IF(C586="","",IF(AND(R586="Valid",OR(P586="Pass",P586="N/A")),"Complete","Unresolved"))</x:f>
      </x:c>
      <x:c r="R586" s="9" t="str">
        <x:f>IF(C586="","",IF(OR(COUNTIF($C$9:$C$2008,C586)&lt;&gt;1,COUNTIFS($D$9:$D$2008,D586,$E$9:$E$2008,E586)&lt;&gt;1),"Duplicate test",IF(COUNTIF('Taxonomy'!$C$9:$C$108,D586)&lt;&gt;1,"Assessment key",IF(OR(COUNTIF('Taxonomy Rules'!$C$42:$C$68,E586)&lt;&gt;1,F586&lt;&gt;IFERROR(INDEX('Taxonomy Rules'!$D$42:$D$68,MATCH(E586,'Taxonomy Rules'!$C$42:$C$68,0)),""),NOT(OR(IFERROR(INDEX('Taxonomy Rules'!$G$42:$G$68,MATCH(E586,'Taxonomy Rules'!$C$42:$C$68,0)),"")="All supported routes",IFERROR(INDEX('Taxonomy Rules'!$G$42:$G$68,MATCH(E586,'Taxonomy Rules'!$C$42:$C$68,0)),"")=U586,AND(IFERROR(INDEX('Taxonomy Rules'!$G$42:$G$68,MATCH(E586,'Taxonomy Rules'!$C$42:$C$68,0)),"")="Building routes",OR(U586="Building renovation",U586="New building",U586="Building equipment"))))),"Unexpected test","Valid"))))</x:f>
      </x:c>
      <x:c r="S586" s="9" t="str">
        <x:f>IF(C586="","",IFERROR(INDEX('Taxonomy Rules'!$E$42:$E$68,MATCH(E586,'Taxonomy Rules'!$C$42:$C$68,0)),""))</x:f>
      </x:c>
      <x:c r="T586" s="9" t="str">
        <x:f>IF(C586="","",IFERROR(INDEX('Taxonomy Rules'!$F$42:$F$68,MATCH(E586,'Taxonomy Rules'!$C$42:$C$68,0)),""))</x:f>
      </x:c>
      <x:c r="U586" s="9" t="str">
        <x:f>IF(C586="","",IFERROR(INDEX('Taxonomy'!$G$9:$G$108,MATCH(D586,'Taxonomy'!$C$9:$C$108,0)),""))</x:f>
      </x:c>
    </x:row>
    <x:row r="587" ht="44" customHeight="1">
      <x:c r="A587" s="1"/>
      <x:c r="B587" s="1"/>
      <x:c r="C587" s="8"/>
      <x:c r="D587" s="8"/>
      <x:c r="E587" s="8"/>
      <x:c r="F587" s="8"/>
      <x:c r="G587" s="8"/>
      <x:c r="H587" s="8"/>
      <x:c r="I587" s="8"/>
      <x:c r="J587" s="8"/>
      <x:c r="K587" s="8"/>
      <x:c r="L587" s="8"/>
      <x:c r="M587" s="10"/>
      <x:c r="N587" s="10"/>
      <x:c r="O587" s="8"/>
      <x:c r="P587" s="9" t="str">
        <x:f>IF(C587="","",IF(AND(G587="Applicable",H587="Fail"),"Fail",IF(R587&lt;&gt;"Valid","Pending",IF(OR(I587="",K587="",L587="",K587=L587,NOT(ISNUMBER(M587)),NOT(ISNUMBER(N587)),M587&gt;Settings!$F$8,N587&lt;Settings!$F$8,N587&lt;M587),"Pending",IF(AND(G587="Applicable",H587="Pass"),"Pass",IF(AND(G587="N/A",H587="N/A",J587&lt;&gt;"",OR(E587="CEM-FUELS",E587="CEM-CCS",AND(E587="CEM-PLAN",IFERROR(INDEX('Taxonomy'!$M$9:$M$108,MATCH(D587,'Taxonomy'!$C$9:$C$108,0)),"")&lt;&gt;"Amber"),E587="BLD-TIMBER",AND(U587="Building equipment",OR(E587="BLD-WATER",E587="BLD-WASTE",E587="BLD-LAND")),AND(U587="Building renovation",E587="BLD-LAND"))),"N/A","Pending"))))))</x:f>
      </x:c>
      <x:c r="Q587" s="3" t="str">
        <x:f>IF(C587="","",IF(AND(R587="Valid",OR(P587="Pass",P587="N/A")),"Complete","Unresolved"))</x:f>
      </x:c>
      <x:c r="R587" s="9" t="str">
        <x:f>IF(C587="","",IF(OR(COUNTIF($C$9:$C$2008,C587)&lt;&gt;1,COUNTIFS($D$9:$D$2008,D587,$E$9:$E$2008,E587)&lt;&gt;1),"Duplicate test",IF(COUNTIF('Taxonomy'!$C$9:$C$108,D587)&lt;&gt;1,"Assessment key",IF(OR(COUNTIF('Taxonomy Rules'!$C$42:$C$68,E587)&lt;&gt;1,F587&lt;&gt;IFERROR(INDEX('Taxonomy Rules'!$D$42:$D$68,MATCH(E587,'Taxonomy Rules'!$C$42:$C$68,0)),""),NOT(OR(IFERROR(INDEX('Taxonomy Rules'!$G$42:$G$68,MATCH(E587,'Taxonomy Rules'!$C$42:$C$68,0)),"")="All supported routes",IFERROR(INDEX('Taxonomy Rules'!$G$42:$G$68,MATCH(E587,'Taxonomy Rules'!$C$42:$C$68,0)),"")=U587,AND(IFERROR(INDEX('Taxonomy Rules'!$G$42:$G$68,MATCH(E587,'Taxonomy Rules'!$C$42:$C$68,0)),"")="Building routes",OR(U587="Building renovation",U587="New building",U587="Building equipment"))))),"Unexpected test","Valid"))))</x:f>
      </x:c>
      <x:c r="S587" s="9" t="str">
        <x:f>IF(C587="","",IFERROR(INDEX('Taxonomy Rules'!$E$42:$E$68,MATCH(E587,'Taxonomy Rules'!$C$42:$C$68,0)),""))</x:f>
      </x:c>
      <x:c r="T587" s="9" t="str">
        <x:f>IF(C587="","",IFERROR(INDEX('Taxonomy Rules'!$F$42:$F$68,MATCH(E587,'Taxonomy Rules'!$C$42:$C$68,0)),""))</x:f>
      </x:c>
      <x:c r="U587" s="9" t="str">
        <x:f>IF(C587="","",IFERROR(INDEX('Taxonomy'!$G$9:$G$108,MATCH(D587,'Taxonomy'!$C$9:$C$108,0)),""))</x:f>
      </x:c>
    </x:row>
    <x:row r="588" ht="44" customHeight="1">
      <x:c r="A588" s="1"/>
      <x:c r="B588" s="1"/>
      <x:c r="C588" s="8"/>
      <x:c r="D588" s="8"/>
      <x:c r="E588" s="8"/>
      <x:c r="F588" s="8"/>
      <x:c r="G588" s="8"/>
      <x:c r="H588" s="8"/>
      <x:c r="I588" s="8"/>
      <x:c r="J588" s="8"/>
      <x:c r="K588" s="8"/>
      <x:c r="L588" s="8"/>
      <x:c r="M588" s="10"/>
      <x:c r="N588" s="10"/>
      <x:c r="O588" s="8"/>
      <x:c r="P588" s="9" t="str">
        <x:f>IF(C588="","",IF(AND(G588="Applicable",H588="Fail"),"Fail",IF(R588&lt;&gt;"Valid","Pending",IF(OR(I588="",K588="",L588="",K588=L588,NOT(ISNUMBER(M588)),NOT(ISNUMBER(N588)),M588&gt;Settings!$F$8,N588&lt;Settings!$F$8,N588&lt;M588),"Pending",IF(AND(G588="Applicable",H588="Pass"),"Pass",IF(AND(G588="N/A",H588="N/A",J588&lt;&gt;"",OR(E588="CEM-FUELS",E588="CEM-CCS",AND(E588="CEM-PLAN",IFERROR(INDEX('Taxonomy'!$M$9:$M$108,MATCH(D588,'Taxonomy'!$C$9:$C$108,0)),"")&lt;&gt;"Amber"),E588="BLD-TIMBER",AND(U588="Building equipment",OR(E588="BLD-WATER",E588="BLD-WASTE",E588="BLD-LAND")),AND(U588="Building renovation",E588="BLD-LAND"))),"N/A","Pending"))))))</x:f>
      </x:c>
      <x:c r="Q588" s="3" t="str">
        <x:f>IF(C588="","",IF(AND(R588="Valid",OR(P588="Pass",P588="N/A")),"Complete","Unresolved"))</x:f>
      </x:c>
      <x:c r="R588" s="9" t="str">
        <x:f>IF(C588="","",IF(OR(COUNTIF($C$9:$C$2008,C588)&lt;&gt;1,COUNTIFS($D$9:$D$2008,D588,$E$9:$E$2008,E588)&lt;&gt;1),"Duplicate test",IF(COUNTIF('Taxonomy'!$C$9:$C$108,D588)&lt;&gt;1,"Assessment key",IF(OR(COUNTIF('Taxonomy Rules'!$C$42:$C$68,E588)&lt;&gt;1,F588&lt;&gt;IFERROR(INDEX('Taxonomy Rules'!$D$42:$D$68,MATCH(E588,'Taxonomy Rules'!$C$42:$C$68,0)),""),NOT(OR(IFERROR(INDEX('Taxonomy Rules'!$G$42:$G$68,MATCH(E588,'Taxonomy Rules'!$C$42:$C$68,0)),"")="All supported routes",IFERROR(INDEX('Taxonomy Rules'!$G$42:$G$68,MATCH(E588,'Taxonomy Rules'!$C$42:$C$68,0)),"")=U588,AND(IFERROR(INDEX('Taxonomy Rules'!$G$42:$G$68,MATCH(E588,'Taxonomy Rules'!$C$42:$C$68,0)),"")="Building routes",OR(U588="Building renovation",U588="New building",U588="Building equipment"))))),"Unexpected test","Valid"))))</x:f>
      </x:c>
      <x:c r="S588" s="9" t="str">
        <x:f>IF(C588="","",IFERROR(INDEX('Taxonomy Rules'!$E$42:$E$68,MATCH(E588,'Taxonomy Rules'!$C$42:$C$68,0)),""))</x:f>
      </x:c>
      <x:c r="T588" s="9" t="str">
        <x:f>IF(C588="","",IFERROR(INDEX('Taxonomy Rules'!$F$42:$F$68,MATCH(E588,'Taxonomy Rules'!$C$42:$C$68,0)),""))</x:f>
      </x:c>
      <x:c r="U588" s="9" t="str">
        <x:f>IF(C588="","",IFERROR(INDEX('Taxonomy'!$G$9:$G$108,MATCH(D588,'Taxonomy'!$C$9:$C$108,0)),""))</x:f>
      </x:c>
    </x:row>
    <x:row r="589" ht="44" customHeight="1">
      <x:c r="A589" s="1"/>
      <x:c r="B589" s="1"/>
      <x:c r="C589" s="8"/>
      <x:c r="D589" s="8"/>
      <x:c r="E589" s="8"/>
      <x:c r="F589" s="8"/>
      <x:c r="G589" s="8"/>
      <x:c r="H589" s="8"/>
      <x:c r="I589" s="8"/>
      <x:c r="J589" s="8"/>
      <x:c r="K589" s="8"/>
      <x:c r="L589" s="8"/>
      <x:c r="M589" s="10"/>
      <x:c r="N589" s="10"/>
      <x:c r="O589" s="8"/>
      <x:c r="P589" s="9" t="str">
        <x:f>IF(C589="","",IF(AND(G589="Applicable",H589="Fail"),"Fail",IF(R589&lt;&gt;"Valid","Pending",IF(OR(I589="",K589="",L589="",K589=L589,NOT(ISNUMBER(M589)),NOT(ISNUMBER(N589)),M589&gt;Settings!$F$8,N589&lt;Settings!$F$8,N589&lt;M589),"Pending",IF(AND(G589="Applicable",H589="Pass"),"Pass",IF(AND(G589="N/A",H589="N/A",J589&lt;&gt;"",OR(E589="CEM-FUELS",E589="CEM-CCS",AND(E589="CEM-PLAN",IFERROR(INDEX('Taxonomy'!$M$9:$M$108,MATCH(D589,'Taxonomy'!$C$9:$C$108,0)),"")&lt;&gt;"Amber"),E589="BLD-TIMBER",AND(U589="Building equipment",OR(E589="BLD-WATER",E589="BLD-WASTE",E589="BLD-LAND")),AND(U589="Building renovation",E589="BLD-LAND"))),"N/A","Pending"))))))</x:f>
      </x:c>
      <x:c r="Q589" s="3" t="str">
        <x:f>IF(C589="","",IF(AND(R589="Valid",OR(P589="Pass",P589="N/A")),"Complete","Unresolved"))</x:f>
      </x:c>
      <x:c r="R589" s="9" t="str">
        <x:f>IF(C589="","",IF(OR(COUNTIF($C$9:$C$2008,C589)&lt;&gt;1,COUNTIFS($D$9:$D$2008,D589,$E$9:$E$2008,E589)&lt;&gt;1),"Duplicate test",IF(COUNTIF('Taxonomy'!$C$9:$C$108,D589)&lt;&gt;1,"Assessment key",IF(OR(COUNTIF('Taxonomy Rules'!$C$42:$C$68,E589)&lt;&gt;1,F589&lt;&gt;IFERROR(INDEX('Taxonomy Rules'!$D$42:$D$68,MATCH(E589,'Taxonomy Rules'!$C$42:$C$68,0)),""),NOT(OR(IFERROR(INDEX('Taxonomy Rules'!$G$42:$G$68,MATCH(E589,'Taxonomy Rules'!$C$42:$C$68,0)),"")="All supported routes",IFERROR(INDEX('Taxonomy Rules'!$G$42:$G$68,MATCH(E589,'Taxonomy Rules'!$C$42:$C$68,0)),"")=U589,AND(IFERROR(INDEX('Taxonomy Rules'!$G$42:$G$68,MATCH(E589,'Taxonomy Rules'!$C$42:$C$68,0)),"")="Building routes",OR(U589="Building renovation",U589="New building",U589="Building equipment"))))),"Unexpected test","Valid"))))</x:f>
      </x:c>
      <x:c r="S589" s="9" t="str">
        <x:f>IF(C589="","",IFERROR(INDEX('Taxonomy Rules'!$E$42:$E$68,MATCH(E589,'Taxonomy Rules'!$C$42:$C$68,0)),""))</x:f>
      </x:c>
      <x:c r="T589" s="9" t="str">
        <x:f>IF(C589="","",IFERROR(INDEX('Taxonomy Rules'!$F$42:$F$68,MATCH(E589,'Taxonomy Rules'!$C$42:$C$68,0)),""))</x:f>
      </x:c>
      <x:c r="U589" s="9" t="str">
        <x:f>IF(C589="","",IFERROR(INDEX('Taxonomy'!$G$9:$G$108,MATCH(D589,'Taxonomy'!$C$9:$C$108,0)),""))</x:f>
      </x:c>
    </x:row>
    <x:row r="590" ht="44" customHeight="1">
      <x:c r="A590" s="1"/>
      <x:c r="B590" s="1"/>
      <x:c r="C590" s="8"/>
      <x:c r="D590" s="8"/>
      <x:c r="E590" s="8"/>
      <x:c r="F590" s="8"/>
      <x:c r="G590" s="8"/>
      <x:c r="H590" s="8"/>
      <x:c r="I590" s="8"/>
      <x:c r="J590" s="8"/>
      <x:c r="K590" s="8"/>
      <x:c r="L590" s="8"/>
      <x:c r="M590" s="10"/>
      <x:c r="N590" s="10"/>
      <x:c r="O590" s="8"/>
      <x:c r="P590" s="9" t="str">
        <x:f>IF(C590="","",IF(AND(G590="Applicable",H590="Fail"),"Fail",IF(R590&lt;&gt;"Valid","Pending",IF(OR(I590="",K590="",L590="",K590=L590,NOT(ISNUMBER(M590)),NOT(ISNUMBER(N590)),M590&gt;Settings!$F$8,N590&lt;Settings!$F$8,N590&lt;M590),"Pending",IF(AND(G590="Applicable",H590="Pass"),"Pass",IF(AND(G590="N/A",H590="N/A",J590&lt;&gt;"",OR(E590="CEM-FUELS",E590="CEM-CCS",AND(E590="CEM-PLAN",IFERROR(INDEX('Taxonomy'!$M$9:$M$108,MATCH(D590,'Taxonomy'!$C$9:$C$108,0)),"")&lt;&gt;"Amber"),E590="BLD-TIMBER",AND(U590="Building equipment",OR(E590="BLD-WATER",E590="BLD-WASTE",E590="BLD-LAND")),AND(U590="Building renovation",E590="BLD-LAND"))),"N/A","Pending"))))))</x:f>
      </x:c>
      <x:c r="Q590" s="3" t="str">
        <x:f>IF(C590="","",IF(AND(R590="Valid",OR(P590="Pass",P590="N/A")),"Complete","Unresolved"))</x:f>
      </x:c>
      <x:c r="R590" s="9" t="str">
        <x:f>IF(C590="","",IF(OR(COUNTIF($C$9:$C$2008,C590)&lt;&gt;1,COUNTIFS($D$9:$D$2008,D590,$E$9:$E$2008,E590)&lt;&gt;1),"Duplicate test",IF(COUNTIF('Taxonomy'!$C$9:$C$108,D590)&lt;&gt;1,"Assessment key",IF(OR(COUNTIF('Taxonomy Rules'!$C$42:$C$68,E590)&lt;&gt;1,F590&lt;&gt;IFERROR(INDEX('Taxonomy Rules'!$D$42:$D$68,MATCH(E590,'Taxonomy Rules'!$C$42:$C$68,0)),""),NOT(OR(IFERROR(INDEX('Taxonomy Rules'!$G$42:$G$68,MATCH(E590,'Taxonomy Rules'!$C$42:$C$68,0)),"")="All supported routes",IFERROR(INDEX('Taxonomy Rules'!$G$42:$G$68,MATCH(E590,'Taxonomy Rules'!$C$42:$C$68,0)),"")=U590,AND(IFERROR(INDEX('Taxonomy Rules'!$G$42:$G$68,MATCH(E590,'Taxonomy Rules'!$C$42:$C$68,0)),"")="Building routes",OR(U590="Building renovation",U590="New building",U590="Building equipment"))))),"Unexpected test","Valid"))))</x:f>
      </x:c>
      <x:c r="S590" s="9" t="str">
        <x:f>IF(C590="","",IFERROR(INDEX('Taxonomy Rules'!$E$42:$E$68,MATCH(E590,'Taxonomy Rules'!$C$42:$C$68,0)),""))</x:f>
      </x:c>
      <x:c r="T590" s="9" t="str">
        <x:f>IF(C590="","",IFERROR(INDEX('Taxonomy Rules'!$F$42:$F$68,MATCH(E590,'Taxonomy Rules'!$C$42:$C$68,0)),""))</x:f>
      </x:c>
      <x:c r="U590" s="9" t="str">
        <x:f>IF(C590="","",IFERROR(INDEX('Taxonomy'!$G$9:$G$108,MATCH(D590,'Taxonomy'!$C$9:$C$108,0)),""))</x:f>
      </x:c>
    </x:row>
    <x:row r="591" ht="44" customHeight="1">
      <x:c r="A591" s="1"/>
      <x:c r="B591" s="1"/>
      <x:c r="C591" s="8"/>
      <x:c r="D591" s="8"/>
      <x:c r="E591" s="8"/>
      <x:c r="F591" s="8"/>
      <x:c r="G591" s="8"/>
      <x:c r="H591" s="8"/>
      <x:c r="I591" s="8"/>
      <x:c r="J591" s="8"/>
      <x:c r="K591" s="8"/>
      <x:c r="L591" s="8"/>
      <x:c r="M591" s="10"/>
      <x:c r="N591" s="10"/>
      <x:c r="O591" s="8"/>
      <x:c r="P591" s="9" t="str">
        <x:f>IF(C591="","",IF(AND(G591="Applicable",H591="Fail"),"Fail",IF(R591&lt;&gt;"Valid","Pending",IF(OR(I591="",K591="",L591="",K591=L591,NOT(ISNUMBER(M591)),NOT(ISNUMBER(N591)),M591&gt;Settings!$F$8,N591&lt;Settings!$F$8,N591&lt;M591),"Pending",IF(AND(G591="Applicable",H591="Pass"),"Pass",IF(AND(G591="N/A",H591="N/A",J591&lt;&gt;"",OR(E591="CEM-FUELS",E591="CEM-CCS",AND(E591="CEM-PLAN",IFERROR(INDEX('Taxonomy'!$M$9:$M$108,MATCH(D591,'Taxonomy'!$C$9:$C$108,0)),"")&lt;&gt;"Amber"),E591="BLD-TIMBER",AND(U591="Building equipment",OR(E591="BLD-WATER",E591="BLD-WASTE",E591="BLD-LAND")),AND(U591="Building renovation",E591="BLD-LAND"))),"N/A","Pending"))))))</x:f>
      </x:c>
      <x:c r="Q591" s="3" t="str">
        <x:f>IF(C591="","",IF(AND(R591="Valid",OR(P591="Pass",P591="N/A")),"Complete","Unresolved"))</x:f>
      </x:c>
      <x:c r="R591" s="9" t="str">
        <x:f>IF(C591="","",IF(OR(COUNTIF($C$9:$C$2008,C591)&lt;&gt;1,COUNTIFS($D$9:$D$2008,D591,$E$9:$E$2008,E591)&lt;&gt;1),"Duplicate test",IF(COUNTIF('Taxonomy'!$C$9:$C$108,D591)&lt;&gt;1,"Assessment key",IF(OR(COUNTIF('Taxonomy Rules'!$C$42:$C$68,E591)&lt;&gt;1,F591&lt;&gt;IFERROR(INDEX('Taxonomy Rules'!$D$42:$D$68,MATCH(E591,'Taxonomy Rules'!$C$42:$C$68,0)),""),NOT(OR(IFERROR(INDEX('Taxonomy Rules'!$G$42:$G$68,MATCH(E591,'Taxonomy Rules'!$C$42:$C$68,0)),"")="All supported routes",IFERROR(INDEX('Taxonomy Rules'!$G$42:$G$68,MATCH(E591,'Taxonomy Rules'!$C$42:$C$68,0)),"")=U591,AND(IFERROR(INDEX('Taxonomy Rules'!$G$42:$G$68,MATCH(E591,'Taxonomy Rules'!$C$42:$C$68,0)),"")="Building routes",OR(U591="Building renovation",U591="New building",U591="Building equipment"))))),"Unexpected test","Valid"))))</x:f>
      </x:c>
      <x:c r="S591" s="9" t="str">
        <x:f>IF(C591="","",IFERROR(INDEX('Taxonomy Rules'!$E$42:$E$68,MATCH(E591,'Taxonomy Rules'!$C$42:$C$68,0)),""))</x:f>
      </x:c>
      <x:c r="T591" s="9" t="str">
        <x:f>IF(C591="","",IFERROR(INDEX('Taxonomy Rules'!$F$42:$F$68,MATCH(E591,'Taxonomy Rules'!$C$42:$C$68,0)),""))</x:f>
      </x:c>
      <x:c r="U591" s="9" t="str">
        <x:f>IF(C591="","",IFERROR(INDEX('Taxonomy'!$G$9:$G$108,MATCH(D591,'Taxonomy'!$C$9:$C$108,0)),""))</x:f>
      </x:c>
    </x:row>
    <x:row r="592" ht="44" customHeight="1">
      <x:c r="A592" s="1"/>
      <x:c r="B592" s="1"/>
      <x:c r="C592" s="8"/>
      <x:c r="D592" s="8"/>
      <x:c r="E592" s="8"/>
      <x:c r="F592" s="8"/>
      <x:c r="G592" s="8"/>
      <x:c r="H592" s="8"/>
      <x:c r="I592" s="8"/>
      <x:c r="J592" s="8"/>
      <x:c r="K592" s="8"/>
      <x:c r="L592" s="8"/>
      <x:c r="M592" s="10"/>
      <x:c r="N592" s="10"/>
      <x:c r="O592" s="8"/>
      <x:c r="P592" s="9" t="str">
        <x:f>IF(C592="","",IF(AND(G592="Applicable",H592="Fail"),"Fail",IF(R592&lt;&gt;"Valid","Pending",IF(OR(I592="",K592="",L592="",K592=L592,NOT(ISNUMBER(M592)),NOT(ISNUMBER(N592)),M592&gt;Settings!$F$8,N592&lt;Settings!$F$8,N592&lt;M592),"Pending",IF(AND(G592="Applicable",H592="Pass"),"Pass",IF(AND(G592="N/A",H592="N/A",J592&lt;&gt;"",OR(E592="CEM-FUELS",E592="CEM-CCS",AND(E592="CEM-PLAN",IFERROR(INDEX('Taxonomy'!$M$9:$M$108,MATCH(D592,'Taxonomy'!$C$9:$C$108,0)),"")&lt;&gt;"Amber"),E592="BLD-TIMBER",AND(U592="Building equipment",OR(E592="BLD-WATER",E592="BLD-WASTE",E592="BLD-LAND")),AND(U592="Building renovation",E592="BLD-LAND"))),"N/A","Pending"))))))</x:f>
      </x:c>
      <x:c r="Q592" s="3" t="str">
        <x:f>IF(C592="","",IF(AND(R592="Valid",OR(P592="Pass",P592="N/A")),"Complete","Unresolved"))</x:f>
      </x:c>
      <x:c r="R592" s="9" t="str">
        <x:f>IF(C592="","",IF(OR(COUNTIF($C$9:$C$2008,C592)&lt;&gt;1,COUNTIFS($D$9:$D$2008,D592,$E$9:$E$2008,E592)&lt;&gt;1),"Duplicate test",IF(COUNTIF('Taxonomy'!$C$9:$C$108,D592)&lt;&gt;1,"Assessment key",IF(OR(COUNTIF('Taxonomy Rules'!$C$42:$C$68,E592)&lt;&gt;1,F592&lt;&gt;IFERROR(INDEX('Taxonomy Rules'!$D$42:$D$68,MATCH(E592,'Taxonomy Rules'!$C$42:$C$68,0)),""),NOT(OR(IFERROR(INDEX('Taxonomy Rules'!$G$42:$G$68,MATCH(E592,'Taxonomy Rules'!$C$42:$C$68,0)),"")="All supported routes",IFERROR(INDEX('Taxonomy Rules'!$G$42:$G$68,MATCH(E592,'Taxonomy Rules'!$C$42:$C$68,0)),"")=U592,AND(IFERROR(INDEX('Taxonomy Rules'!$G$42:$G$68,MATCH(E592,'Taxonomy Rules'!$C$42:$C$68,0)),"")="Building routes",OR(U592="Building renovation",U592="New building",U592="Building equipment"))))),"Unexpected test","Valid"))))</x:f>
      </x:c>
      <x:c r="S592" s="9" t="str">
        <x:f>IF(C592="","",IFERROR(INDEX('Taxonomy Rules'!$E$42:$E$68,MATCH(E592,'Taxonomy Rules'!$C$42:$C$68,0)),""))</x:f>
      </x:c>
      <x:c r="T592" s="9" t="str">
        <x:f>IF(C592="","",IFERROR(INDEX('Taxonomy Rules'!$F$42:$F$68,MATCH(E592,'Taxonomy Rules'!$C$42:$C$68,0)),""))</x:f>
      </x:c>
      <x:c r="U592" s="9" t="str">
        <x:f>IF(C592="","",IFERROR(INDEX('Taxonomy'!$G$9:$G$108,MATCH(D592,'Taxonomy'!$C$9:$C$108,0)),""))</x:f>
      </x:c>
    </x:row>
    <x:row r="593" ht="44" customHeight="1">
      <x:c r="A593" s="1"/>
      <x:c r="B593" s="1"/>
      <x:c r="C593" s="8"/>
      <x:c r="D593" s="8"/>
      <x:c r="E593" s="8"/>
      <x:c r="F593" s="8"/>
      <x:c r="G593" s="8"/>
      <x:c r="H593" s="8"/>
      <x:c r="I593" s="8"/>
      <x:c r="J593" s="8"/>
      <x:c r="K593" s="8"/>
      <x:c r="L593" s="8"/>
      <x:c r="M593" s="10"/>
      <x:c r="N593" s="10"/>
      <x:c r="O593" s="8"/>
      <x:c r="P593" s="9" t="str">
        <x:f>IF(C593="","",IF(AND(G593="Applicable",H593="Fail"),"Fail",IF(R593&lt;&gt;"Valid","Pending",IF(OR(I593="",K593="",L593="",K593=L593,NOT(ISNUMBER(M593)),NOT(ISNUMBER(N593)),M593&gt;Settings!$F$8,N593&lt;Settings!$F$8,N593&lt;M593),"Pending",IF(AND(G593="Applicable",H593="Pass"),"Pass",IF(AND(G593="N/A",H593="N/A",J593&lt;&gt;"",OR(E593="CEM-FUELS",E593="CEM-CCS",AND(E593="CEM-PLAN",IFERROR(INDEX('Taxonomy'!$M$9:$M$108,MATCH(D593,'Taxonomy'!$C$9:$C$108,0)),"")&lt;&gt;"Amber"),E593="BLD-TIMBER",AND(U593="Building equipment",OR(E593="BLD-WATER",E593="BLD-WASTE",E593="BLD-LAND")),AND(U593="Building renovation",E593="BLD-LAND"))),"N/A","Pending"))))))</x:f>
      </x:c>
      <x:c r="Q593" s="3" t="str">
        <x:f>IF(C593="","",IF(AND(R593="Valid",OR(P593="Pass",P593="N/A")),"Complete","Unresolved"))</x:f>
      </x:c>
      <x:c r="R593" s="9" t="str">
        <x:f>IF(C593="","",IF(OR(COUNTIF($C$9:$C$2008,C593)&lt;&gt;1,COUNTIFS($D$9:$D$2008,D593,$E$9:$E$2008,E593)&lt;&gt;1),"Duplicate test",IF(COUNTIF('Taxonomy'!$C$9:$C$108,D593)&lt;&gt;1,"Assessment key",IF(OR(COUNTIF('Taxonomy Rules'!$C$42:$C$68,E593)&lt;&gt;1,F593&lt;&gt;IFERROR(INDEX('Taxonomy Rules'!$D$42:$D$68,MATCH(E593,'Taxonomy Rules'!$C$42:$C$68,0)),""),NOT(OR(IFERROR(INDEX('Taxonomy Rules'!$G$42:$G$68,MATCH(E593,'Taxonomy Rules'!$C$42:$C$68,0)),"")="All supported routes",IFERROR(INDEX('Taxonomy Rules'!$G$42:$G$68,MATCH(E593,'Taxonomy Rules'!$C$42:$C$68,0)),"")=U593,AND(IFERROR(INDEX('Taxonomy Rules'!$G$42:$G$68,MATCH(E593,'Taxonomy Rules'!$C$42:$C$68,0)),"")="Building routes",OR(U593="Building renovation",U593="New building",U593="Building equipment"))))),"Unexpected test","Valid"))))</x:f>
      </x:c>
      <x:c r="S593" s="9" t="str">
        <x:f>IF(C593="","",IFERROR(INDEX('Taxonomy Rules'!$E$42:$E$68,MATCH(E593,'Taxonomy Rules'!$C$42:$C$68,0)),""))</x:f>
      </x:c>
      <x:c r="T593" s="9" t="str">
        <x:f>IF(C593="","",IFERROR(INDEX('Taxonomy Rules'!$F$42:$F$68,MATCH(E593,'Taxonomy Rules'!$C$42:$C$68,0)),""))</x:f>
      </x:c>
      <x:c r="U593" s="9" t="str">
        <x:f>IF(C593="","",IFERROR(INDEX('Taxonomy'!$G$9:$G$108,MATCH(D593,'Taxonomy'!$C$9:$C$108,0)),""))</x:f>
      </x:c>
    </x:row>
    <x:row r="594" ht="44" customHeight="1">
      <x:c r="A594" s="1"/>
      <x:c r="B594" s="1"/>
      <x:c r="C594" s="8"/>
      <x:c r="D594" s="8"/>
      <x:c r="E594" s="8"/>
      <x:c r="F594" s="8"/>
      <x:c r="G594" s="8"/>
      <x:c r="H594" s="8"/>
      <x:c r="I594" s="8"/>
      <x:c r="J594" s="8"/>
      <x:c r="K594" s="8"/>
      <x:c r="L594" s="8"/>
      <x:c r="M594" s="10"/>
      <x:c r="N594" s="10"/>
      <x:c r="O594" s="8"/>
      <x:c r="P594" s="9" t="str">
        <x:f>IF(C594="","",IF(AND(G594="Applicable",H594="Fail"),"Fail",IF(R594&lt;&gt;"Valid","Pending",IF(OR(I594="",K594="",L594="",K594=L594,NOT(ISNUMBER(M594)),NOT(ISNUMBER(N594)),M594&gt;Settings!$F$8,N594&lt;Settings!$F$8,N594&lt;M594),"Pending",IF(AND(G594="Applicable",H594="Pass"),"Pass",IF(AND(G594="N/A",H594="N/A",J594&lt;&gt;"",OR(E594="CEM-FUELS",E594="CEM-CCS",AND(E594="CEM-PLAN",IFERROR(INDEX('Taxonomy'!$M$9:$M$108,MATCH(D594,'Taxonomy'!$C$9:$C$108,0)),"")&lt;&gt;"Amber"),E594="BLD-TIMBER",AND(U594="Building equipment",OR(E594="BLD-WATER",E594="BLD-WASTE",E594="BLD-LAND")),AND(U594="Building renovation",E594="BLD-LAND"))),"N/A","Pending"))))))</x:f>
      </x:c>
      <x:c r="Q594" s="3" t="str">
        <x:f>IF(C594="","",IF(AND(R594="Valid",OR(P594="Pass",P594="N/A")),"Complete","Unresolved"))</x:f>
      </x:c>
      <x:c r="R594" s="9" t="str">
        <x:f>IF(C594="","",IF(OR(COUNTIF($C$9:$C$2008,C594)&lt;&gt;1,COUNTIFS($D$9:$D$2008,D594,$E$9:$E$2008,E594)&lt;&gt;1),"Duplicate test",IF(COUNTIF('Taxonomy'!$C$9:$C$108,D594)&lt;&gt;1,"Assessment key",IF(OR(COUNTIF('Taxonomy Rules'!$C$42:$C$68,E594)&lt;&gt;1,F594&lt;&gt;IFERROR(INDEX('Taxonomy Rules'!$D$42:$D$68,MATCH(E594,'Taxonomy Rules'!$C$42:$C$68,0)),""),NOT(OR(IFERROR(INDEX('Taxonomy Rules'!$G$42:$G$68,MATCH(E594,'Taxonomy Rules'!$C$42:$C$68,0)),"")="All supported routes",IFERROR(INDEX('Taxonomy Rules'!$G$42:$G$68,MATCH(E594,'Taxonomy Rules'!$C$42:$C$68,0)),"")=U594,AND(IFERROR(INDEX('Taxonomy Rules'!$G$42:$G$68,MATCH(E594,'Taxonomy Rules'!$C$42:$C$68,0)),"")="Building routes",OR(U594="Building renovation",U594="New building",U594="Building equipment"))))),"Unexpected test","Valid"))))</x:f>
      </x:c>
      <x:c r="S594" s="9" t="str">
        <x:f>IF(C594="","",IFERROR(INDEX('Taxonomy Rules'!$E$42:$E$68,MATCH(E594,'Taxonomy Rules'!$C$42:$C$68,0)),""))</x:f>
      </x:c>
      <x:c r="T594" s="9" t="str">
        <x:f>IF(C594="","",IFERROR(INDEX('Taxonomy Rules'!$F$42:$F$68,MATCH(E594,'Taxonomy Rules'!$C$42:$C$68,0)),""))</x:f>
      </x:c>
      <x:c r="U594" s="9" t="str">
        <x:f>IF(C594="","",IFERROR(INDEX('Taxonomy'!$G$9:$G$108,MATCH(D594,'Taxonomy'!$C$9:$C$108,0)),""))</x:f>
      </x:c>
    </x:row>
    <x:row r="595" ht="44" customHeight="1">
      <x:c r="A595" s="1"/>
      <x:c r="B595" s="1"/>
      <x:c r="C595" s="8"/>
      <x:c r="D595" s="8"/>
      <x:c r="E595" s="8"/>
      <x:c r="F595" s="8"/>
      <x:c r="G595" s="8"/>
      <x:c r="H595" s="8"/>
      <x:c r="I595" s="8"/>
      <x:c r="J595" s="8"/>
      <x:c r="K595" s="8"/>
      <x:c r="L595" s="8"/>
      <x:c r="M595" s="10"/>
      <x:c r="N595" s="10"/>
      <x:c r="O595" s="8"/>
      <x:c r="P595" s="9" t="str">
        <x:f>IF(C595="","",IF(AND(G595="Applicable",H595="Fail"),"Fail",IF(R595&lt;&gt;"Valid","Pending",IF(OR(I595="",K595="",L595="",K595=L595,NOT(ISNUMBER(M595)),NOT(ISNUMBER(N595)),M595&gt;Settings!$F$8,N595&lt;Settings!$F$8,N595&lt;M595),"Pending",IF(AND(G595="Applicable",H595="Pass"),"Pass",IF(AND(G595="N/A",H595="N/A",J595&lt;&gt;"",OR(E595="CEM-FUELS",E595="CEM-CCS",AND(E595="CEM-PLAN",IFERROR(INDEX('Taxonomy'!$M$9:$M$108,MATCH(D595,'Taxonomy'!$C$9:$C$108,0)),"")&lt;&gt;"Amber"),E595="BLD-TIMBER",AND(U595="Building equipment",OR(E595="BLD-WATER",E595="BLD-WASTE",E595="BLD-LAND")),AND(U595="Building renovation",E595="BLD-LAND"))),"N/A","Pending"))))))</x:f>
      </x:c>
      <x:c r="Q595" s="3" t="str">
        <x:f>IF(C595="","",IF(AND(R595="Valid",OR(P595="Pass",P595="N/A")),"Complete","Unresolved"))</x:f>
      </x:c>
      <x:c r="R595" s="9" t="str">
        <x:f>IF(C595="","",IF(OR(COUNTIF($C$9:$C$2008,C595)&lt;&gt;1,COUNTIFS($D$9:$D$2008,D595,$E$9:$E$2008,E595)&lt;&gt;1),"Duplicate test",IF(COUNTIF('Taxonomy'!$C$9:$C$108,D595)&lt;&gt;1,"Assessment key",IF(OR(COUNTIF('Taxonomy Rules'!$C$42:$C$68,E595)&lt;&gt;1,F595&lt;&gt;IFERROR(INDEX('Taxonomy Rules'!$D$42:$D$68,MATCH(E595,'Taxonomy Rules'!$C$42:$C$68,0)),""),NOT(OR(IFERROR(INDEX('Taxonomy Rules'!$G$42:$G$68,MATCH(E595,'Taxonomy Rules'!$C$42:$C$68,0)),"")="All supported routes",IFERROR(INDEX('Taxonomy Rules'!$G$42:$G$68,MATCH(E595,'Taxonomy Rules'!$C$42:$C$68,0)),"")=U595,AND(IFERROR(INDEX('Taxonomy Rules'!$G$42:$G$68,MATCH(E595,'Taxonomy Rules'!$C$42:$C$68,0)),"")="Building routes",OR(U595="Building renovation",U595="New building",U595="Building equipment"))))),"Unexpected test","Valid"))))</x:f>
      </x:c>
      <x:c r="S595" s="9" t="str">
        <x:f>IF(C595="","",IFERROR(INDEX('Taxonomy Rules'!$E$42:$E$68,MATCH(E595,'Taxonomy Rules'!$C$42:$C$68,0)),""))</x:f>
      </x:c>
      <x:c r="T595" s="9" t="str">
        <x:f>IF(C595="","",IFERROR(INDEX('Taxonomy Rules'!$F$42:$F$68,MATCH(E595,'Taxonomy Rules'!$C$42:$C$68,0)),""))</x:f>
      </x:c>
      <x:c r="U595" s="9" t="str">
        <x:f>IF(C595="","",IFERROR(INDEX('Taxonomy'!$G$9:$G$108,MATCH(D595,'Taxonomy'!$C$9:$C$108,0)),""))</x:f>
      </x:c>
    </x:row>
    <x:row r="596" ht="44" customHeight="1">
      <x:c r="A596" s="1"/>
      <x:c r="B596" s="1"/>
      <x:c r="C596" s="8"/>
      <x:c r="D596" s="8"/>
      <x:c r="E596" s="8"/>
      <x:c r="F596" s="8"/>
      <x:c r="G596" s="8"/>
      <x:c r="H596" s="8"/>
      <x:c r="I596" s="8"/>
      <x:c r="J596" s="8"/>
      <x:c r="K596" s="8"/>
      <x:c r="L596" s="8"/>
      <x:c r="M596" s="10"/>
      <x:c r="N596" s="10"/>
      <x:c r="O596" s="8"/>
      <x:c r="P596" s="9" t="str">
        <x:f>IF(C596="","",IF(AND(G596="Applicable",H596="Fail"),"Fail",IF(R596&lt;&gt;"Valid","Pending",IF(OR(I596="",K596="",L596="",K596=L596,NOT(ISNUMBER(M596)),NOT(ISNUMBER(N596)),M596&gt;Settings!$F$8,N596&lt;Settings!$F$8,N596&lt;M596),"Pending",IF(AND(G596="Applicable",H596="Pass"),"Pass",IF(AND(G596="N/A",H596="N/A",J596&lt;&gt;"",OR(E596="CEM-FUELS",E596="CEM-CCS",AND(E596="CEM-PLAN",IFERROR(INDEX('Taxonomy'!$M$9:$M$108,MATCH(D596,'Taxonomy'!$C$9:$C$108,0)),"")&lt;&gt;"Amber"),E596="BLD-TIMBER",AND(U596="Building equipment",OR(E596="BLD-WATER",E596="BLD-WASTE",E596="BLD-LAND")),AND(U596="Building renovation",E596="BLD-LAND"))),"N/A","Pending"))))))</x:f>
      </x:c>
      <x:c r="Q596" s="3" t="str">
        <x:f>IF(C596="","",IF(AND(R596="Valid",OR(P596="Pass",P596="N/A")),"Complete","Unresolved"))</x:f>
      </x:c>
      <x:c r="R596" s="9" t="str">
        <x:f>IF(C596="","",IF(OR(COUNTIF($C$9:$C$2008,C596)&lt;&gt;1,COUNTIFS($D$9:$D$2008,D596,$E$9:$E$2008,E596)&lt;&gt;1),"Duplicate test",IF(COUNTIF('Taxonomy'!$C$9:$C$108,D596)&lt;&gt;1,"Assessment key",IF(OR(COUNTIF('Taxonomy Rules'!$C$42:$C$68,E596)&lt;&gt;1,F596&lt;&gt;IFERROR(INDEX('Taxonomy Rules'!$D$42:$D$68,MATCH(E596,'Taxonomy Rules'!$C$42:$C$68,0)),""),NOT(OR(IFERROR(INDEX('Taxonomy Rules'!$G$42:$G$68,MATCH(E596,'Taxonomy Rules'!$C$42:$C$68,0)),"")="All supported routes",IFERROR(INDEX('Taxonomy Rules'!$G$42:$G$68,MATCH(E596,'Taxonomy Rules'!$C$42:$C$68,0)),"")=U596,AND(IFERROR(INDEX('Taxonomy Rules'!$G$42:$G$68,MATCH(E596,'Taxonomy Rules'!$C$42:$C$68,0)),"")="Building routes",OR(U596="Building renovation",U596="New building",U596="Building equipment"))))),"Unexpected test","Valid"))))</x:f>
      </x:c>
      <x:c r="S596" s="9" t="str">
        <x:f>IF(C596="","",IFERROR(INDEX('Taxonomy Rules'!$E$42:$E$68,MATCH(E596,'Taxonomy Rules'!$C$42:$C$68,0)),""))</x:f>
      </x:c>
      <x:c r="T596" s="9" t="str">
        <x:f>IF(C596="","",IFERROR(INDEX('Taxonomy Rules'!$F$42:$F$68,MATCH(E596,'Taxonomy Rules'!$C$42:$C$68,0)),""))</x:f>
      </x:c>
      <x:c r="U596" s="9" t="str">
        <x:f>IF(C596="","",IFERROR(INDEX('Taxonomy'!$G$9:$G$108,MATCH(D596,'Taxonomy'!$C$9:$C$108,0)),""))</x:f>
      </x:c>
    </x:row>
    <x:row r="597" ht="44" customHeight="1">
      <x:c r="A597" s="1"/>
      <x:c r="B597" s="1"/>
      <x:c r="C597" s="8"/>
      <x:c r="D597" s="8"/>
      <x:c r="E597" s="8"/>
      <x:c r="F597" s="8"/>
      <x:c r="G597" s="8"/>
      <x:c r="H597" s="8"/>
      <x:c r="I597" s="8"/>
      <x:c r="J597" s="8"/>
      <x:c r="K597" s="8"/>
      <x:c r="L597" s="8"/>
      <x:c r="M597" s="10"/>
      <x:c r="N597" s="10"/>
      <x:c r="O597" s="8"/>
      <x:c r="P597" s="9" t="str">
        <x:f>IF(C597="","",IF(AND(G597="Applicable",H597="Fail"),"Fail",IF(R597&lt;&gt;"Valid","Pending",IF(OR(I597="",K597="",L597="",K597=L597,NOT(ISNUMBER(M597)),NOT(ISNUMBER(N597)),M597&gt;Settings!$F$8,N597&lt;Settings!$F$8,N597&lt;M597),"Pending",IF(AND(G597="Applicable",H597="Pass"),"Pass",IF(AND(G597="N/A",H597="N/A",J597&lt;&gt;"",OR(E597="CEM-FUELS",E597="CEM-CCS",AND(E597="CEM-PLAN",IFERROR(INDEX('Taxonomy'!$M$9:$M$108,MATCH(D597,'Taxonomy'!$C$9:$C$108,0)),"")&lt;&gt;"Amber"),E597="BLD-TIMBER",AND(U597="Building equipment",OR(E597="BLD-WATER",E597="BLD-WASTE",E597="BLD-LAND")),AND(U597="Building renovation",E597="BLD-LAND"))),"N/A","Pending"))))))</x:f>
      </x:c>
      <x:c r="Q597" s="3" t="str">
        <x:f>IF(C597="","",IF(AND(R597="Valid",OR(P597="Pass",P597="N/A")),"Complete","Unresolved"))</x:f>
      </x:c>
      <x:c r="R597" s="9" t="str">
        <x:f>IF(C597="","",IF(OR(COUNTIF($C$9:$C$2008,C597)&lt;&gt;1,COUNTIFS($D$9:$D$2008,D597,$E$9:$E$2008,E597)&lt;&gt;1),"Duplicate test",IF(COUNTIF('Taxonomy'!$C$9:$C$108,D597)&lt;&gt;1,"Assessment key",IF(OR(COUNTIF('Taxonomy Rules'!$C$42:$C$68,E597)&lt;&gt;1,F597&lt;&gt;IFERROR(INDEX('Taxonomy Rules'!$D$42:$D$68,MATCH(E597,'Taxonomy Rules'!$C$42:$C$68,0)),""),NOT(OR(IFERROR(INDEX('Taxonomy Rules'!$G$42:$G$68,MATCH(E597,'Taxonomy Rules'!$C$42:$C$68,0)),"")="All supported routes",IFERROR(INDEX('Taxonomy Rules'!$G$42:$G$68,MATCH(E597,'Taxonomy Rules'!$C$42:$C$68,0)),"")=U597,AND(IFERROR(INDEX('Taxonomy Rules'!$G$42:$G$68,MATCH(E597,'Taxonomy Rules'!$C$42:$C$68,0)),"")="Building routes",OR(U597="Building renovation",U597="New building",U597="Building equipment"))))),"Unexpected test","Valid"))))</x:f>
      </x:c>
      <x:c r="S597" s="9" t="str">
        <x:f>IF(C597="","",IFERROR(INDEX('Taxonomy Rules'!$E$42:$E$68,MATCH(E597,'Taxonomy Rules'!$C$42:$C$68,0)),""))</x:f>
      </x:c>
      <x:c r="T597" s="9" t="str">
        <x:f>IF(C597="","",IFERROR(INDEX('Taxonomy Rules'!$F$42:$F$68,MATCH(E597,'Taxonomy Rules'!$C$42:$C$68,0)),""))</x:f>
      </x:c>
      <x:c r="U597" s="9" t="str">
        <x:f>IF(C597="","",IFERROR(INDEX('Taxonomy'!$G$9:$G$108,MATCH(D597,'Taxonomy'!$C$9:$C$108,0)),""))</x:f>
      </x:c>
    </x:row>
    <x:row r="598" ht="44" customHeight="1">
      <x:c r="A598" s="1"/>
      <x:c r="B598" s="1"/>
      <x:c r="C598" s="8"/>
      <x:c r="D598" s="8"/>
      <x:c r="E598" s="8"/>
      <x:c r="F598" s="8"/>
      <x:c r="G598" s="8"/>
      <x:c r="H598" s="8"/>
      <x:c r="I598" s="8"/>
      <x:c r="J598" s="8"/>
      <x:c r="K598" s="8"/>
      <x:c r="L598" s="8"/>
      <x:c r="M598" s="10"/>
      <x:c r="N598" s="10"/>
      <x:c r="O598" s="8"/>
      <x:c r="P598" s="9" t="str">
        <x:f>IF(C598="","",IF(AND(G598="Applicable",H598="Fail"),"Fail",IF(R598&lt;&gt;"Valid","Pending",IF(OR(I598="",K598="",L598="",K598=L598,NOT(ISNUMBER(M598)),NOT(ISNUMBER(N598)),M598&gt;Settings!$F$8,N598&lt;Settings!$F$8,N598&lt;M598),"Pending",IF(AND(G598="Applicable",H598="Pass"),"Pass",IF(AND(G598="N/A",H598="N/A",J598&lt;&gt;"",OR(E598="CEM-FUELS",E598="CEM-CCS",AND(E598="CEM-PLAN",IFERROR(INDEX('Taxonomy'!$M$9:$M$108,MATCH(D598,'Taxonomy'!$C$9:$C$108,0)),"")&lt;&gt;"Amber"),E598="BLD-TIMBER",AND(U598="Building equipment",OR(E598="BLD-WATER",E598="BLD-WASTE",E598="BLD-LAND")),AND(U598="Building renovation",E598="BLD-LAND"))),"N/A","Pending"))))))</x:f>
      </x:c>
      <x:c r="Q598" s="3" t="str">
        <x:f>IF(C598="","",IF(AND(R598="Valid",OR(P598="Pass",P598="N/A")),"Complete","Unresolved"))</x:f>
      </x:c>
      <x:c r="R598" s="9" t="str">
        <x:f>IF(C598="","",IF(OR(COUNTIF($C$9:$C$2008,C598)&lt;&gt;1,COUNTIFS($D$9:$D$2008,D598,$E$9:$E$2008,E598)&lt;&gt;1),"Duplicate test",IF(COUNTIF('Taxonomy'!$C$9:$C$108,D598)&lt;&gt;1,"Assessment key",IF(OR(COUNTIF('Taxonomy Rules'!$C$42:$C$68,E598)&lt;&gt;1,F598&lt;&gt;IFERROR(INDEX('Taxonomy Rules'!$D$42:$D$68,MATCH(E598,'Taxonomy Rules'!$C$42:$C$68,0)),""),NOT(OR(IFERROR(INDEX('Taxonomy Rules'!$G$42:$G$68,MATCH(E598,'Taxonomy Rules'!$C$42:$C$68,0)),"")="All supported routes",IFERROR(INDEX('Taxonomy Rules'!$G$42:$G$68,MATCH(E598,'Taxonomy Rules'!$C$42:$C$68,0)),"")=U598,AND(IFERROR(INDEX('Taxonomy Rules'!$G$42:$G$68,MATCH(E598,'Taxonomy Rules'!$C$42:$C$68,0)),"")="Building routes",OR(U598="Building renovation",U598="New building",U598="Building equipment"))))),"Unexpected test","Valid"))))</x:f>
      </x:c>
      <x:c r="S598" s="9" t="str">
        <x:f>IF(C598="","",IFERROR(INDEX('Taxonomy Rules'!$E$42:$E$68,MATCH(E598,'Taxonomy Rules'!$C$42:$C$68,0)),""))</x:f>
      </x:c>
      <x:c r="T598" s="9" t="str">
        <x:f>IF(C598="","",IFERROR(INDEX('Taxonomy Rules'!$F$42:$F$68,MATCH(E598,'Taxonomy Rules'!$C$42:$C$68,0)),""))</x:f>
      </x:c>
      <x:c r="U598" s="9" t="str">
        <x:f>IF(C598="","",IFERROR(INDEX('Taxonomy'!$G$9:$G$108,MATCH(D598,'Taxonomy'!$C$9:$C$108,0)),""))</x:f>
      </x:c>
    </x:row>
    <x:row r="599" ht="44" customHeight="1">
      <x:c r="A599" s="1"/>
      <x:c r="B599" s="1"/>
      <x:c r="C599" s="8"/>
      <x:c r="D599" s="8"/>
      <x:c r="E599" s="8"/>
      <x:c r="F599" s="8"/>
      <x:c r="G599" s="8"/>
      <x:c r="H599" s="8"/>
      <x:c r="I599" s="8"/>
      <x:c r="J599" s="8"/>
      <x:c r="K599" s="8"/>
      <x:c r="L599" s="8"/>
      <x:c r="M599" s="10"/>
      <x:c r="N599" s="10"/>
      <x:c r="O599" s="8"/>
      <x:c r="P599" s="9" t="str">
        <x:f>IF(C599="","",IF(AND(G599="Applicable",H599="Fail"),"Fail",IF(R599&lt;&gt;"Valid","Pending",IF(OR(I599="",K599="",L599="",K599=L599,NOT(ISNUMBER(M599)),NOT(ISNUMBER(N599)),M599&gt;Settings!$F$8,N599&lt;Settings!$F$8,N599&lt;M599),"Pending",IF(AND(G599="Applicable",H599="Pass"),"Pass",IF(AND(G599="N/A",H599="N/A",J599&lt;&gt;"",OR(E599="CEM-FUELS",E599="CEM-CCS",AND(E599="CEM-PLAN",IFERROR(INDEX('Taxonomy'!$M$9:$M$108,MATCH(D599,'Taxonomy'!$C$9:$C$108,0)),"")&lt;&gt;"Amber"),E599="BLD-TIMBER",AND(U599="Building equipment",OR(E599="BLD-WATER",E599="BLD-WASTE",E599="BLD-LAND")),AND(U599="Building renovation",E599="BLD-LAND"))),"N/A","Pending"))))))</x:f>
      </x:c>
      <x:c r="Q599" s="3" t="str">
        <x:f>IF(C599="","",IF(AND(R599="Valid",OR(P599="Pass",P599="N/A")),"Complete","Unresolved"))</x:f>
      </x:c>
      <x:c r="R599" s="9" t="str">
        <x:f>IF(C599="","",IF(OR(COUNTIF($C$9:$C$2008,C599)&lt;&gt;1,COUNTIFS($D$9:$D$2008,D599,$E$9:$E$2008,E599)&lt;&gt;1),"Duplicate test",IF(COUNTIF('Taxonomy'!$C$9:$C$108,D599)&lt;&gt;1,"Assessment key",IF(OR(COUNTIF('Taxonomy Rules'!$C$42:$C$68,E599)&lt;&gt;1,F599&lt;&gt;IFERROR(INDEX('Taxonomy Rules'!$D$42:$D$68,MATCH(E599,'Taxonomy Rules'!$C$42:$C$68,0)),""),NOT(OR(IFERROR(INDEX('Taxonomy Rules'!$G$42:$G$68,MATCH(E599,'Taxonomy Rules'!$C$42:$C$68,0)),"")="All supported routes",IFERROR(INDEX('Taxonomy Rules'!$G$42:$G$68,MATCH(E599,'Taxonomy Rules'!$C$42:$C$68,0)),"")=U599,AND(IFERROR(INDEX('Taxonomy Rules'!$G$42:$G$68,MATCH(E599,'Taxonomy Rules'!$C$42:$C$68,0)),"")="Building routes",OR(U599="Building renovation",U599="New building",U599="Building equipment"))))),"Unexpected test","Valid"))))</x:f>
      </x:c>
      <x:c r="S599" s="9" t="str">
        <x:f>IF(C599="","",IFERROR(INDEX('Taxonomy Rules'!$E$42:$E$68,MATCH(E599,'Taxonomy Rules'!$C$42:$C$68,0)),""))</x:f>
      </x:c>
      <x:c r="T599" s="9" t="str">
        <x:f>IF(C599="","",IFERROR(INDEX('Taxonomy Rules'!$F$42:$F$68,MATCH(E599,'Taxonomy Rules'!$C$42:$C$68,0)),""))</x:f>
      </x:c>
      <x:c r="U599" s="9" t="str">
        <x:f>IF(C599="","",IFERROR(INDEX('Taxonomy'!$G$9:$G$108,MATCH(D599,'Taxonomy'!$C$9:$C$108,0)),""))</x:f>
      </x:c>
    </x:row>
    <x:row r="600" ht="44" customHeight="1">
      <x:c r="A600" s="1"/>
      <x:c r="B600" s="1"/>
      <x:c r="C600" s="8"/>
      <x:c r="D600" s="8"/>
      <x:c r="E600" s="8"/>
      <x:c r="F600" s="8"/>
      <x:c r="G600" s="8"/>
      <x:c r="H600" s="8"/>
      <x:c r="I600" s="8"/>
      <x:c r="J600" s="8"/>
      <x:c r="K600" s="8"/>
      <x:c r="L600" s="8"/>
      <x:c r="M600" s="10"/>
      <x:c r="N600" s="10"/>
      <x:c r="O600" s="8"/>
      <x:c r="P600" s="9" t="str">
        <x:f>IF(C600="","",IF(AND(G600="Applicable",H600="Fail"),"Fail",IF(R600&lt;&gt;"Valid","Pending",IF(OR(I600="",K600="",L600="",K600=L600,NOT(ISNUMBER(M600)),NOT(ISNUMBER(N600)),M600&gt;Settings!$F$8,N600&lt;Settings!$F$8,N600&lt;M600),"Pending",IF(AND(G600="Applicable",H600="Pass"),"Pass",IF(AND(G600="N/A",H600="N/A",J600&lt;&gt;"",OR(E600="CEM-FUELS",E600="CEM-CCS",AND(E600="CEM-PLAN",IFERROR(INDEX('Taxonomy'!$M$9:$M$108,MATCH(D600,'Taxonomy'!$C$9:$C$108,0)),"")&lt;&gt;"Amber"),E600="BLD-TIMBER",AND(U600="Building equipment",OR(E600="BLD-WATER",E600="BLD-WASTE",E600="BLD-LAND")),AND(U600="Building renovation",E600="BLD-LAND"))),"N/A","Pending"))))))</x:f>
      </x:c>
      <x:c r="Q600" s="3" t="str">
        <x:f>IF(C600="","",IF(AND(R600="Valid",OR(P600="Pass",P600="N/A")),"Complete","Unresolved"))</x:f>
      </x:c>
      <x:c r="R600" s="9" t="str">
        <x:f>IF(C600="","",IF(OR(COUNTIF($C$9:$C$2008,C600)&lt;&gt;1,COUNTIFS($D$9:$D$2008,D600,$E$9:$E$2008,E600)&lt;&gt;1),"Duplicate test",IF(COUNTIF('Taxonomy'!$C$9:$C$108,D600)&lt;&gt;1,"Assessment key",IF(OR(COUNTIF('Taxonomy Rules'!$C$42:$C$68,E600)&lt;&gt;1,F600&lt;&gt;IFERROR(INDEX('Taxonomy Rules'!$D$42:$D$68,MATCH(E600,'Taxonomy Rules'!$C$42:$C$68,0)),""),NOT(OR(IFERROR(INDEX('Taxonomy Rules'!$G$42:$G$68,MATCH(E600,'Taxonomy Rules'!$C$42:$C$68,0)),"")="All supported routes",IFERROR(INDEX('Taxonomy Rules'!$G$42:$G$68,MATCH(E600,'Taxonomy Rules'!$C$42:$C$68,0)),"")=U600,AND(IFERROR(INDEX('Taxonomy Rules'!$G$42:$G$68,MATCH(E600,'Taxonomy Rules'!$C$42:$C$68,0)),"")="Building routes",OR(U600="Building renovation",U600="New building",U600="Building equipment"))))),"Unexpected test","Valid"))))</x:f>
      </x:c>
      <x:c r="S600" s="9" t="str">
        <x:f>IF(C600="","",IFERROR(INDEX('Taxonomy Rules'!$E$42:$E$68,MATCH(E600,'Taxonomy Rules'!$C$42:$C$68,0)),""))</x:f>
      </x:c>
      <x:c r="T600" s="9" t="str">
        <x:f>IF(C600="","",IFERROR(INDEX('Taxonomy Rules'!$F$42:$F$68,MATCH(E600,'Taxonomy Rules'!$C$42:$C$68,0)),""))</x:f>
      </x:c>
      <x:c r="U600" s="9" t="str">
        <x:f>IF(C600="","",IFERROR(INDEX('Taxonomy'!$G$9:$G$108,MATCH(D600,'Taxonomy'!$C$9:$C$108,0)),""))</x:f>
      </x:c>
    </x:row>
    <x:row r="601" ht="44" customHeight="1">
      <x:c r="A601" s="1"/>
      <x:c r="B601" s="1"/>
      <x:c r="C601" s="8"/>
      <x:c r="D601" s="8"/>
      <x:c r="E601" s="8"/>
      <x:c r="F601" s="8"/>
      <x:c r="G601" s="8"/>
      <x:c r="H601" s="8"/>
      <x:c r="I601" s="8"/>
      <x:c r="J601" s="8"/>
      <x:c r="K601" s="8"/>
      <x:c r="L601" s="8"/>
      <x:c r="M601" s="10"/>
      <x:c r="N601" s="10"/>
      <x:c r="O601" s="8"/>
      <x:c r="P601" s="9" t="str">
        <x:f>IF(C601="","",IF(AND(G601="Applicable",H601="Fail"),"Fail",IF(R601&lt;&gt;"Valid","Pending",IF(OR(I601="",K601="",L601="",K601=L601,NOT(ISNUMBER(M601)),NOT(ISNUMBER(N601)),M601&gt;Settings!$F$8,N601&lt;Settings!$F$8,N601&lt;M601),"Pending",IF(AND(G601="Applicable",H601="Pass"),"Pass",IF(AND(G601="N/A",H601="N/A",J601&lt;&gt;"",OR(E601="CEM-FUELS",E601="CEM-CCS",AND(E601="CEM-PLAN",IFERROR(INDEX('Taxonomy'!$M$9:$M$108,MATCH(D601,'Taxonomy'!$C$9:$C$108,0)),"")&lt;&gt;"Amber"),E601="BLD-TIMBER",AND(U601="Building equipment",OR(E601="BLD-WATER",E601="BLD-WASTE",E601="BLD-LAND")),AND(U601="Building renovation",E601="BLD-LAND"))),"N/A","Pending"))))))</x:f>
      </x:c>
      <x:c r="Q601" s="3" t="str">
        <x:f>IF(C601="","",IF(AND(R601="Valid",OR(P601="Pass",P601="N/A")),"Complete","Unresolved"))</x:f>
      </x:c>
      <x:c r="R601" s="9" t="str">
        <x:f>IF(C601="","",IF(OR(COUNTIF($C$9:$C$2008,C601)&lt;&gt;1,COUNTIFS($D$9:$D$2008,D601,$E$9:$E$2008,E601)&lt;&gt;1),"Duplicate test",IF(COUNTIF('Taxonomy'!$C$9:$C$108,D601)&lt;&gt;1,"Assessment key",IF(OR(COUNTIF('Taxonomy Rules'!$C$42:$C$68,E601)&lt;&gt;1,F601&lt;&gt;IFERROR(INDEX('Taxonomy Rules'!$D$42:$D$68,MATCH(E601,'Taxonomy Rules'!$C$42:$C$68,0)),""),NOT(OR(IFERROR(INDEX('Taxonomy Rules'!$G$42:$G$68,MATCH(E601,'Taxonomy Rules'!$C$42:$C$68,0)),"")="All supported routes",IFERROR(INDEX('Taxonomy Rules'!$G$42:$G$68,MATCH(E601,'Taxonomy Rules'!$C$42:$C$68,0)),"")=U601,AND(IFERROR(INDEX('Taxonomy Rules'!$G$42:$G$68,MATCH(E601,'Taxonomy Rules'!$C$42:$C$68,0)),"")="Building routes",OR(U601="Building renovation",U601="New building",U601="Building equipment"))))),"Unexpected test","Valid"))))</x:f>
      </x:c>
      <x:c r="S601" s="9" t="str">
        <x:f>IF(C601="","",IFERROR(INDEX('Taxonomy Rules'!$E$42:$E$68,MATCH(E601,'Taxonomy Rules'!$C$42:$C$68,0)),""))</x:f>
      </x:c>
      <x:c r="T601" s="9" t="str">
        <x:f>IF(C601="","",IFERROR(INDEX('Taxonomy Rules'!$F$42:$F$68,MATCH(E601,'Taxonomy Rules'!$C$42:$C$68,0)),""))</x:f>
      </x:c>
      <x:c r="U601" s="9" t="str">
        <x:f>IF(C601="","",IFERROR(INDEX('Taxonomy'!$G$9:$G$108,MATCH(D601,'Taxonomy'!$C$9:$C$108,0)),""))</x:f>
      </x:c>
    </x:row>
    <x:row r="602" ht="44" customHeight="1">
      <x:c r="A602" s="1"/>
      <x:c r="B602" s="1"/>
      <x:c r="C602" s="8"/>
      <x:c r="D602" s="8"/>
      <x:c r="E602" s="8"/>
      <x:c r="F602" s="8"/>
      <x:c r="G602" s="8"/>
      <x:c r="H602" s="8"/>
      <x:c r="I602" s="8"/>
      <x:c r="J602" s="8"/>
      <x:c r="K602" s="8"/>
      <x:c r="L602" s="8"/>
      <x:c r="M602" s="10"/>
      <x:c r="N602" s="10"/>
      <x:c r="O602" s="8"/>
      <x:c r="P602" s="9" t="str">
        <x:f>IF(C602="","",IF(AND(G602="Applicable",H602="Fail"),"Fail",IF(R602&lt;&gt;"Valid","Pending",IF(OR(I602="",K602="",L602="",K602=L602,NOT(ISNUMBER(M602)),NOT(ISNUMBER(N602)),M602&gt;Settings!$F$8,N602&lt;Settings!$F$8,N602&lt;M602),"Pending",IF(AND(G602="Applicable",H602="Pass"),"Pass",IF(AND(G602="N/A",H602="N/A",J602&lt;&gt;"",OR(E602="CEM-FUELS",E602="CEM-CCS",AND(E602="CEM-PLAN",IFERROR(INDEX('Taxonomy'!$M$9:$M$108,MATCH(D602,'Taxonomy'!$C$9:$C$108,0)),"")&lt;&gt;"Amber"),E602="BLD-TIMBER",AND(U602="Building equipment",OR(E602="BLD-WATER",E602="BLD-WASTE",E602="BLD-LAND")),AND(U602="Building renovation",E602="BLD-LAND"))),"N/A","Pending"))))))</x:f>
      </x:c>
      <x:c r="Q602" s="3" t="str">
        <x:f>IF(C602="","",IF(AND(R602="Valid",OR(P602="Pass",P602="N/A")),"Complete","Unresolved"))</x:f>
      </x:c>
      <x:c r="R602" s="9" t="str">
        <x:f>IF(C602="","",IF(OR(COUNTIF($C$9:$C$2008,C602)&lt;&gt;1,COUNTIFS($D$9:$D$2008,D602,$E$9:$E$2008,E602)&lt;&gt;1),"Duplicate test",IF(COUNTIF('Taxonomy'!$C$9:$C$108,D602)&lt;&gt;1,"Assessment key",IF(OR(COUNTIF('Taxonomy Rules'!$C$42:$C$68,E602)&lt;&gt;1,F602&lt;&gt;IFERROR(INDEX('Taxonomy Rules'!$D$42:$D$68,MATCH(E602,'Taxonomy Rules'!$C$42:$C$68,0)),""),NOT(OR(IFERROR(INDEX('Taxonomy Rules'!$G$42:$G$68,MATCH(E602,'Taxonomy Rules'!$C$42:$C$68,0)),"")="All supported routes",IFERROR(INDEX('Taxonomy Rules'!$G$42:$G$68,MATCH(E602,'Taxonomy Rules'!$C$42:$C$68,0)),"")=U602,AND(IFERROR(INDEX('Taxonomy Rules'!$G$42:$G$68,MATCH(E602,'Taxonomy Rules'!$C$42:$C$68,0)),"")="Building routes",OR(U602="Building renovation",U602="New building",U602="Building equipment"))))),"Unexpected test","Valid"))))</x:f>
      </x:c>
      <x:c r="S602" s="9" t="str">
        <x:f>IF(C602="","",IFERROR(INDEX('Taxonomy Rules'!$E$42:$E$68,MATCH(E602,'Taxonomy Rules'!$C$42:$C$68,0)),""))</x:f>
      </x:c>
      <x:c r="T602" s="9" t="str">
        <x:f>IF(C602="","",IFERROR(INDEX('Taxonomy Rules'!$F$42:$F$68,MATCH(E602,'Taxonomy Rules'!$C$42:$C$68,0)),""))</x:f>
      </x:c>
      <x:c r="U602" s="9" t="str">
        <x:f>IF(C602="","",IFERROR(INDEX('Taxonomy'!$G$9:$G$108,MATCH(D602,'Taxonomy'!$C$9:$C$108,0)),""))</x:f>
      </x:c>
    </x:row>
    <x:row r="603" ht="44" customHeight="1">
      <x:c r="A603" s="1"/>
      <x:c r="B603" s="1"/>
      <x:c r="C603" s="8"/>
      <x:c r="D603" s="8"/>
      <x:c r="E603" s="8"/>
      <x:c r="F603" s="8"/>
      <x:c r="G603" s="8"/>
      <x:c r="H603" s="8"/>
      <x:c r="I603" s="8"/>
      <x:c r="J603" s="8"/>
      <x:c r="K603" s="8"/>
      <x:c r="L603" s="8"/>
      <x:c r="M603" s="10"/>
      <x:c r="N603" s="10"/>
      <x:c r="O603" s="8"/>
      <x:c r="P603" s="9" t="str">
        <x:f>IF(C603="","",IF(AND(G603="Applicable",H603="Fail"),"Fail",IF(R603&lt;&gt;"Valid","Pending",IF(OR(I603="",K603="",L603="",K603=L603,NOT(ISNUMBER(M603)),NOT(ISNUMBER(N603)),M603&gt;Settings!$F$8,N603&lt;Settings!$F$8,N603&lt;M603),"Pending",IF(AND(G603="Applicable",H603="Pass"),"Pass",IF(AND(G603="N/A",H603="N/A",J603&lt;&gt;"",OR(E603="CEM-FUELS",E603="CEM-CCS",AND(E603="CEM-PLAN",IFERROR(INDEX('Taxonomy'!$M$9:$M$108,MATCH(D603,'Taxonomy'!$C$9:$C$108,0)),"")&lt;&gt;"Amber"),E603="BLD-TIMBER",AND(U603="Building equipment",OR(E603="BLD-WATER",E603="BLD-WASTE",E603="BLD-LAND")),AND(U603="Building renovation",E603="BLD-LAND"))),"N/A","Pending"))))))</x:f>
      </x:c>
      <x:c r="Q603" s="3" t="str">
        <x:f>IF(C603="","",IF(AND(R603="Valid",OR(P603="Pass",P603="N/A")),"Complete","Unresolved"))</x:f>
      </x:c>
      <x:c r="R603" s="9" t="str">
        <x:f>IF(C603="","",IF(OR(COUNTIF($C$9:$C$2008,C603)&lt;&gt;1,COUNTIFS($D$9:$D$2008,D603,$E$9:$E$2008,E603)&lt;&gt;1),"Duplicate test",IF(COUNTIF('Taxonomy'!$C$9:$C$108,D603)&lt;&gt;1,"Assessment key",IF(OR(COUNTIF('Taxonomy Rules'!$C$42:$C$68,E603)&lt;&gt;1,F603&lt;&gt;IFERROR(INDEX('Taxonomy Rules'!$D$42:$D$68,MATCH(E603,'Taxonomy Rules'!$C$42:$C$68,0)),""),NOT(OR(IFERROR(INDEX('Taxonomy Rules'!$G$42:$G$68,MATCH(E603,'Taxonomy Rules'!$C$42:$C$68,0)),"")="All supported routes",IFERROR(INDEX('Taxonomy Rules'!$G$42:$G$68,MATCH(E603,'Taxonomy Rules'!$C$42:$C$68,0)),"")=U603,AND(IFERROR(INDEX('Taxonomy Rules'!$G$42:$G$68,MATCH(E603,'Taxonomy Rules'!$C$42:$C$68,0)),"")="Building routes",OR(U603="Building renovation",U603="New building",U603="Building equipment"))))),"Unexpected test","Valid"))))</x:f>
      </x:c>
      <x:c r="S603" s="9" t="str">
        <x:f>IF(C603="","",IFERROR(INDEX('Taxonomy Rules'!$E$42:$E$68,MATCH(E603,'Taxonomy Rules'!$C$42:$C$68,0)),""))</x:f>
      </x:c>
      <x:c r="T603" s="9" t="str">
        <x:f>IF(C603="","",IFERROR(INDEX('Taxonomy Rules'!$F$42:$F$68,MATCH(E603,'Taxonomy Rules'!$C$42:$C$68,0)),""))</x:f>
      </x:c>
      <x:c r="U603" s="9" t="str">
        <x:f>IF(C603="","",IFERROR(INDEX('Taxonomy'!$G$9:$G$108,MATCH(D603,'Taxonomy'!$C$9:$C$108,0)),""))</x:f>
      </x:c>
    </x:row>
    <x:row r="604" ht="44" customHeight="1">
      <x:c r="A604" s="1"/>
      <x:c r="B604" s="1"/>
      <x:c r="C604" s="8"/>
      <x:c r="D604" s="8"/>
      <x:c r="E604" s="8"/>
      <x:c r="F604" s="8"/>
      <x:c r="G604" s="8"/>
      <x:c r="H604" s="8"/>
      <x:c r="I604" s="8"/>
      <x:c r="J604" s="8"/>
      <x:c r="K604" s="8"/>
      <x:c r="L604" s="8"/>
      <x:c r="M604" s="10"/>
      <x:c r="N604" s="10"/>
      <x:c r="O604" s="8"/>
      <x:c r="P604" s="9" t="str">
        <x:f>IF(C604="","",IF(AND(G604="Applicable",H604="Fail"),"Fail",IF(R604&lt;&gt;"Valid","Pending",IF(OR(I604="",K604="",L604="",K604=L604,NOT(ISNUMBER(M604)),NOT(ISNUMBER(N604)),M604&gt;Settings!$F$8,N604&lt;Settings!$F$8,N604&lt;M604),"Pending",IF(AND(G604="Applicable",H604="Pass"),"Pass",IF(AND(G604="N/A",H604="N/A",J604&lt;&gt;"",OR(E604="CEM-FUELS",E604="CEM-CCS",AND(E604="CEM-PLAN",IFERROR(INDEX('Taxonomy'!$M$9:$M$108,MATCH(D604,'Taxonomy'!$C$9:$C$108,0)),"")&lt;&gt;"Amber"),E604="BLD-TIMBER",AND(U604="Building equipment",OR(E604="BLD-WATER",E604="BLD-WASTE",E604="BLD-LAND")),AND(U604="Building renovation",E604="BLD-LAND"))),"N/A","Pending"))))))</x:f>
      </x:c>
      <x:c r="Q604" s="3" t="str">
        <x:f>IF(C604="","",IF(AND(R604="Valid",OR(P604="Pass",P604="N/A")),"Complete","Unresolved"))</x:f>
      </x:c>
      <x:c r="R604" s="9" t="str">
        <x:f>IF(C604="","",IF(OR(COUNTIF($C$9:$C$2008,C604)&lt;&gt;1,COUNTIFS($D$9:$D$2008,D604,$E$9:$E$2008,E604)&lt;&gt;1),"Duplicate test",IF(COUNTIF('Taxonomy'!$C$9:$C$108,D604)&lt;&gt;1,"Assessment key",IF(OR(COUNTIF('Taxonomy Rules'!$C$42:$C$68,E604)&lt;&gt;1,F604&lt;&gt;IFERROR(INDEX('Taxonomy Rules'!$D$42:$D$68,MATCH(E604,'Taxonomy Rules'!$C$42:$C$68,0)),""),NOT(OR(IFERROR(INDEX('Taxonomy Rules'!$G$42:$G$68,MATCH(E604,'Taxonomy Rules'!$C$42:$C$68,0)),"")="All supported routes",IFERROR(INDEX('Taxonomy Rules'!$G$42:$G$68,MATCH(E604,'Taxonomy Rules'!$C$42:$C$68,0)),"")=U604,AND(IFERROR(INDEX('Taxonomy Rules'!$G$42:$G$68,MATCH(E604,'Taxonomy Rules'!$C$42:$C$68,0)),"")="Building routes",OR(U604="Building renovation",U604="New building",U604="Building equipment"))))),"Unexpected test","Valid"))))</x:f>
      </x:c>
      <x:c r="S604" s="9" t="str">
        <x:f>IF(C604="","",IFERROR(INDEX('Taxonomy Rules'!$E$42:$E$68,MATCH(E604,'Taxonomy Rules'!$C$42:$C$68,0)),""))</x:f>
      </x:c>
      <x:c r="T604" s="9" t="str">
        <x:f>IF(C604="","",IFERROR(INDEX('Taxonomy Rules'!$F$42:$F$68,MATCH(E604,'Taxonomy Rules'!$C$42:$C$68,0)),""))</x:f>
      </x:c>
      <x:c r="U604" s="9" t="str">
        <x:f>IF(C604="","",IFERROR(INDEX('Taxonomy'!$G$9:$G$108,MATCH(D604,'Taxonomy'!$C$9:$C$108,0)),""))</x:f>
      </x:c>
    </x:row>
    <x:row r="605" ht="44" customHeight="1">
      <x:c r="A605" s="1"/>
      <x:c r="B605" s="1"/>
      <x:c r="C605" s="8"/>
      <x:c r="D605" s="8"/>
      <x:c r="E605" s="8"/>
      <x:c r="F605" s="8"/>
      <x:c r="G605" s="8"/>
      <x:c r="H605" s="8"/>
      <x:c r="I605" s="8"/>
      <x:c r="J605" s="8"/>
      <x:c r="K605" s="8"/>
      <x:c r="L605" s="8"/>
      <x:c r="M605" s="10"/>
      <x:c r="N605" s="10"/>
      <x:c r="O605" s="8"/>
      <x:c r="P605" s="9" t="str">
        <x:f>IF(C605="","",IF(AND(G605="Applicable",H605="Fail"),"Fail",IF(R605&lt;&gt;"Valid","Pending",IF(OR(I605="",K605="",L605="",K605=L605,NOT(ISNUMBER(M605)),NOT(ISNUMBER(N605)),M605&gt;Settings!$F$8,N605&lt;Settings!$F$8,N605&lt;M605),"Pending",IF(AND(G605="Applicable",H605="Pass"),"Pass",IF(AND(G605="N/A",H605="N/A",J605&lt;&gt;"",OR(E605="CEM-FUELS",E605="CEM-CCS",AND(E605="CEM-PLAN",IFERROR(INDEX('Taxonomy'!$M$9:$M$108,MATCH(D605,'Taxonomy'!$C$9:$C$108,0)),"")&lt;&gt;"Amber"),E605="BLD-TIMBER",AND(U605="Building equipment",OR(E605="BLD-WATER",E605="BLD-WASTE",E605="BLD-LAND")),AND(U605="Building renovation",E605="BLD-LAND"))),"N/A","Pending"))))))</x:f>
      </x:c>
      <x:c r="Q605" s="3" t="str">
        <x:f>IF(C605="","",IF(AND(R605="Valid",OR(P605="Pass",P605="N/A")),"Complete","Unresolved"))</x:f>
      </x:c>
      <x:c r="R605" s="9" t="str">
        <x:f>IF(C605="","",IF(OR(COUNTIF($C$9:$C$2008,C605)&lt;&gt;1,COUNTIFS($D$9:$D$2008,D605,$E$9:$E$2008,E605)&lt;&gt;1),"Duplicate test",IF(COUNTIF('Taxonomy'!$C$9:$C$108,D605)&lt;&gt;1,"Assessment key",IF(OR(COUNTIF('Taxonomy Rules'!$C$42:$C$68,E605)&lt;&gt;1,F605&lt;&gt;IFERROR(INDEX('Taxonomy Rules'!$D$42:$D$68,MATCH(E605,'Taxonomy Rules'!$C$42:$C$68,0)),""),NOT(OR(IFERROR(INDEX('Taxonomy Rules'!$G$42:$G$68,MATCH(E605,'Taxonomy Rules'!$C$42:$C$68,0)),"")="All supported routes",IFERROR(INDEX('Taxonomy Rules'!$G$42:$G$68,MATCH(E605,'Taxonomy Rules'!$C$42:$C$68,0)),"")=U605,AND(IFERROR(INDEX('Taxonomy Rules'!$G$42:$G$68,MATCH(E605,'Taxonomy Rules'!$C$42:$C$68,0)),"")="Building routes",OR(U605="Building renovation",U605="New building",U605="Building equipment"))))),"Unexpected test","Valid"))))</x:f>
      </x:c>
      <x:c r="S605" s="9" t="str">
        <x:f>IF(C605="","",IFERROR(INDEX('Taxonomy Rules'!$E$42:$E$68,MATCH(E605,'Taxonomy Rules'!$C$42:$C$68,0)),""))</x:f>
      </x:c>
      <x:c r="T605" s="9" t="str">
        <x:f>IF(C605="","",IFERROR(INDEX('Taxonomy Rules'!$F$42:$F$68,MATCH(E605,'Taxonomy Rules'!$C$42:$C$68,0)),""))</x:f>
      </x:c>
      <x:c r="U605" s="9" t="str">
        <x:f>IF(C605="","",IFERROR(INDEX('Taxonomy'!$G$9:$G$108,MATCH(D605,'Taxonomy'!$C$9:$C$108,0)),""))</x:f>
      </x:c>
    </x:row>
    <x:row r="606" ht="44" customHeight="1">
      <x:c r="A606" s="1"/>
      <x:c r="B606" s="1"/>
      <x:c r="C606" s="8"/>
      <x:c r="D606" s="8"/>
      <x:c r="E606" s="8"/>
      <x:c r="F606" s="8"/>
      <x:c r="G606" s="8"/>
      <x:c r="H606" s="8"/>
      <x:c r="I606" s="8"/>
      <x:c r="J606" s="8"/>
      <x:c r="K606" s="8"/>
      <x:c r="L606" s="8"/>
      <x:c r="M606" s="10"/>
      <x:c r="N606" s="10"/>
      <x:c r="O606" s="8"/>
      <x:c r="P606" s="9" t="str">
        <x:f>IF(C606="","",IF(AND(G606="Applicable",H606="Fail"),"Fail",IF(R606&lt;&gt;"Valid","Pending",IF(OR(I606="",K606="",L606="",K606=L606,NOT(ISNUMBER(M606)),NOT(ISNUMBER(N606)),M606&gt;Settings!$F$8,N606&lt;Settings!$F$8,N606&lt;M606),"Pending",IF(AND(G606="Applicable",H606="Pass"),"Pass",IF(AND(G606="N/A",H606="N/A",J606&lt;&gt;"",OR(E606="CEM-FUELS",E606="CEM-CCS",AND(E606="CEM-PLAN",IFERROR(INDEX('Taxonomy'!$M$9:$M$108,MATCH(D606,'Taxonomy'!$C$9:$C$108,0)),"")&lt;&gt;"Amber"),E606="BLD-TIMBER",AND(U606="Building equipment",OR(E606="BLD-WATER",E606="BLD-WASTE",E606="BLD-LAND")),AND(U606="Building renovation",E606="BLD-LAND"))),"N/A","Pending"))))))</x:f>
      </x:c>
      <x:c r="Q606" s="3" t="str">
        <x:f>IF(C606="","",IF(AND(R606="Valid",OR(P606="Pass",P606="N/A")),"Complete","Unresolved"))</x:f>
      </x:c>
      <x:c r="R606" s="9" t="str">
        <x:f>IF(C606="","",IF(OR(COUNTIF($C$9:$C$2008,C606)&lt;&gt;1,COUNTIFS($D$9:$D$2008,D606,$E$9:$E$2008,E606)&lt;&gt;1),"Duplicate test",IF(COUNTIF('Taxonomy'!$C$9:$C$108,D606)&lt;&gt;1,"Assessment key",IF(OR(COUNTIF('Taxonomy Rules'!$C$42:$C$68,E606)&lt;&gt;1,F606&lt;&gt;IFERROR(INDEX('Taxonomy Rules'!$D$42:$D$68,MATCH(E606,'Taxonomy Rules'!$C$42:$C$68,0)),""),NOT(OR(IFERROR(INDEX('Taxonomy Rules'!$G$42:$G$68,MATCH(E606,'Taxonomy Rules'!$C$42:$C$68,0)),"")="All supported routes",IFERROR(INDEX('Taxonomy Rules'!$G$42:$G$68,MATCH(E606,'Taxonomy Rules'!$C$42:$C$68,0)),"")=U606,AND(IFERROR(INDEX('Taxonomy Rules'!$G$42:$G$68,MATCH(E606,'Taxonomy Rules'!$C$42:$C$68,0)),"")="Building routes",OR(U606="Building renovation",U606="New building",U606="Building equipment"))))),"Unexpected test","Valid"))))</x:f>
      </x:c>
      <x:c r="S606" s="9" t="str">
        <x:f>IF(C606="","",IFERROR(INDEX('Taxonomy Rules'!$E$42:$E$68,MATCH(E606,'Taxonomy Rules'!$C$42:$C$68,0)),""))</x:f>
      </x:c>
      <x:c r="T606" s="9" t="str">
        <x:f>IF(C606="","",IFERROR(INDEX('Taxonomy Rules'!$F$42:$F$68,MATCH(E606,'Taxonomy Rules'!$C$42:$C$68,0)),""))</x:f>
      </x:c>
      <x:c r="U606" s="9" t="str">
        <x:f>IF(C606="","",IFERROR(INDEX('Taxonomy'!$G$9:$G$108,MATCH(D606,'Taxonomy'!$C$9:$C$108,0)),""))</x:f>
      </x:c>
    </x:row>
    <x:row r="607" ht="44" customHeight="1">
      <x:c r="A607" s="1"/>
      <x:c r="B607" s="1"/>
      <x:c r="C607" s="8"/>
      <x:c r="D607" s="8"/>
      <x:c r="E607" s="8"/>
      <x:c r="F607" s="8"/>
      <x:c r="G607" s="8"/>
      <x:c r="H607" s="8"/>
      <x:c r="I607" s="8"/>
      <x:c r="J607" s="8"/>
      <x:c r="K607" s="8"/>
      <x:c r="L607" s="8"/>
      <x:c r="M607" s="10"/>
      <x:c r="N607" s="10"/>
      <x:c r="O607" s="8"/>
      <x:c r="P607" s="9" t="str">
        <x:f>IF(C607="","",IF(AND(G607="Applicable",H607="Fail"),"Fail",IF(R607&lt;&gt;"Valid","Pending",IF(OR(I607="",K607="",L607="",K607=L607,NOT(ISNUMBER(M607)),NOT(ISNUMBER(N607)),M607&gt;Settings!$F$8,N607&lt;Settings!$F$8,N607&lt;M607),"Pending",IF(AND(G607="Applicable",H607="Pass"),"Pass",IF(AND(G607="N/A",H607="N/A",J607&lt;&gt;"",OR(E607="CEM-FUELS",E607="CEM-CCS",AND(E607="CEM-PLAN",IFERROR(INDEX('Taxonomy'!$M$9:$M$108,MATCH(D607,'Taxonomy'!$C$9:$C$108,0)),"")&lt;&gt;"Amber"),E607="BLD-TIMBER",AND(U607="Building equipment",OR(E607="BLD-WATER",E607="BLD-WASTE",E607="BLD-LAND")),AND(U607="Building renovation",E607="BLD-LAND"))),"N/A","Pending"))))))</x:f>
      </x:c>
      <x:c r="Q607" s="3" t="str">
        <x:f>IF(C607="","",IF(AND(R607="Valid",OR(P607="Pass",P607="N/A")),"Complete","Unresolved"))</x:f>
      </x:c>
      <x:c r="R607" s="9" t="str">
        <x:f>IF(C607="","",IF(OR(COUNTIF($C$9:$C$2008,C607)&lt;&gt;1,COUNTIFS($D$9:$D$2008,D607,$E$9:$E$2008,E607)&lt;&gt;1),"Duplicate test",IF(COUNTIF('Taxonomy'!$C$9:$C$108,D607)&lt;&gt;1,"Assessment key",IF(OR(COUNTIF('Taxonomy Rules'!$C$42:$C$68,E607)&lt;&gt;1,F607&lt;&gt;IFERROR(INDEX('Taxonomy Rules'!$D$42:$D$68,MATCH(E607,'Taxonomy Rules'!$C$42:$C$68,0)),""),NOT(OR(IFERROR(INDEX('Taxonomy Rules'!$G$42:$G$68,MATCH(E607,'Taxonomy Rules'!$C$42:$C$68,0)),"")="All supported routes",IFERROR(INDEX('Taxonomy Rules'!$G$42:$G$68,MATCH(E607,'Taxonomy Rules'!$C$42:$C$68,0)),"")=U607,AND(IFERROR(INDEX('Taxonomy Rules'!$G$42:$G$68,MATCH(E607,'Taxonomy Rules'!$C$42:$C$68,0)),"")="Building routes",OR(U607="Building renovation",U607="New building",U607="Building equipment"))))),"Unexpected test","Valid"))))</x:f>
      </x:c>
      <x:c r="S607" s="9" t="str">
        <x:f>IF(C607="","",IFERROR(INDEX('Taxonomy Rules'!$E$42:$E$68,MATCH(E607,'Taxonomy Rules'!$C$42:$C$68,0)),""))</x:f>
      </x:c>
      <x:c r="T607" s="9" t="str">
        <x:f>IF(C607="","",IFERROR(INDEX('Taxonomy Rules'!$F$42:$F$68,MATCH(E607,'Taxonomy Rules'!$C$42:$C$68,0)),""))</x:f>
      </x:c>
      <x:c r="U607" s="9" t="str">
        <x:f>IF(C607="","",IFERROR(INDEX('Taxonomy'!$G$9:$G$108,MATCH(D607,'Taxonomy'!$C$9:$C$108,0)),""))</x:f>
      </x:c>
    </x:row>
    <x:row r="608" ht="44" customHeight="1">
      <x:c r="A608" s="1"/>
      <x:c r="B608" s="1"/>
      <x:c r="C608" s="8"/>
      <x:c r="D608" s="8"/>
      <x:c r="E608" s="8"/>
      <x:c r="F608" s="8"/>
      <x:c r="G608" s="8"/>
      <x:c r="H608" s="8"/>
      <x:c r="I608" s="8"/>
      <x:c r="J608" s="8"/>
      <x:c r="K608" s="8"/>
      <x:c r="L608" s="8"/>
      <x:c r="M608" s="10"/>
      <x:c r="N608" s="10"/>
      <x:c r="O608" s="8"/>
      <x:c r="P608" s="9" t="str">
        <x:f>IF(C608="","",IF(AND(G608="Applicable",H608="Fail"),"Fail",IF(R608&lt;&gt;"Valid","Pending",IF(OR(I608="",K608="",L608="",K608=L608,NOT(ISNUMBER(M608)),NOT(ISNUMBER(N608)),M608&gt;Settings!$F$8,N608&lt;Settings!$F$8,N608&lt;M608),"Pending",IF(AND(G608="Applicable",H608="Pass"),"Pass",IF(AND(G608="N/A",H608="N/A",J608&lt;&gt;"",OR(E608="CEM-FUELS",E608="CEM-CCS",AND(E608="CEM-PLAN",IFERROR(INDEX('Taxonomy'!$M$9:$M$108,MATCH(D608,'Taxonomy'!$C$9:$C$108,0)),"")&lt;&gt;"Amber"),E608="BLD-TIMBER",AND(U608="Building equipment",OR(E608="BLD-WATER",E608="BLD-WASTE",E608="BLD-LAND")),AND(U608="Building renovation",E608="BLD-LAND"))),"N/A","Pending"))))))</x:f>
      </x:c>
      <x:c r="Q608" s="3" t="str">
        <x:f>IF(C608="","",IF(AND(R608="Valid",OR(P608="Pass",P608="N/A")),"Complete","Unresolved"))</x:f>
      </x:c>
      <x:c r="R608" s="9" t="str">
        <x:f>IF(C608="","",IF(OR(COUNTIF($C$9:$C$2008,C608)&lt;&gt;1,COUNTIFS($D$9:$D$2008,D608,$E$9:$E$2008,E608)&lt;&gt;1),"Duplicate test",IF(COUNTIF('Taxonomy'!$C$9:$C$108,D608)&lt;&gt;1,"Assessment key",IF(OR(COUNTIF('Taxonomy Rules'!$C$42:$C$68,E608)&lt;&gt;1,F608&lt;&gt;IFERROR(INDEX('Taxonomy Rules'!$D$42:$D$68,MATCH(E608,'Taxonomy Rules'!$C$42:$C$68,0)),""),NOT(OR(IFERROR(INDEX('Taxonomy Rules'!$G$42:$G$68,MATCH(E608,'Taxonomy Rules'!$C$42:$C$68,0)),"")="All supported routes",IFERROR(INDEX('Taxonomy Rules'!$G$42:$G$68,MATCH(E608,'Taxonomy Rules'!$C$42:$C$68,0)),"")=U608,AND(IFERROR(INDEX('Taxonomy Rules'!$G$42:$G$68,MATCH(E608,'Taxonomy Rules'!$C$42:$C$68,0)),"")="Building routes",OR(U608="Building renovation",U608="New building",U608="Building equipment"))))),"Unexpected test","Valid"))))</x:f>
      </x:c>
      <x:c r="S608" s="9" t="str">
        <x:f>IF(C608="","",IFERROR(INDEX('Taxonomy Rules'!$E$42:$E$68,MATCH(E608,'Taxonomy Rules'!$C$42:$C$68,0)),""))</x:f>
      </x:c>
      <x:c r="T608" s="9" t="str">
        <x:f>IF(C608="","",IFERROR(INDEX('Taxonomy Rules'!$F$42:$F$68,MATCH(E608,'Taxonomy Rules'!$C$42:$C$68,0)),""))</x:f>
      </x:c>
      <x:c r="U608" s="9" t="str">
        <x:f>IF(C608="","",IFERROR(INDEX('Taxonomy'!$G$9:$G$108,MATCH(D608,'Taxonomy'!$C$9:$C$108,0)),""))</x:f>
      </x:c>
    </x:row>
    <x:row r="609" ht="44" customHeight="1">
      <x:c r="A609" s="1"/>
      <x:c r="B609" s="1"/>
      <x:c r="C609" s="8"/>
      <x:c r="D609" s="8"/>
      <x:c r="E609" s="8"/>
      <x:c r="F609" s="8"/>
      <x:c r="G609" s="8"/>
      <x:c r="H609" s="8"/>
      <x:c r="I609" s="8"/>
      <x:c r="J609" s="8"/>
      <x:c r="K609" s="8"/>
      <x:c r="L609" s="8"/>
      <x:c r="M609" s="10"/>
      <x:c r="N609" s="10"/>
      <x:c r="O609" s="8"/>
      <x:c r="P609" s="9" t="str">
        <x:f>IF(C609="","",IF(AND(G609="Applicable",H609="Fail"),"Fail",IF(R609&lt;&gt;"Valid","Pending",IF(OR(I609="",K609="",L609="",K609=L609,NOT(ISNUMBER(M609)),NOT(ISNUMBER(N609)),M609&gt;Settings!$F$8,N609&lt;Settings!$F$8,N609&lt;M609),"Pending",IF(AND(G609="Applicable",H609="Pass"),"Pass",IF(AND(G609="N/A",H609="N/A",J609&lt;&gt;"",OR(E609="CEM-FUELS",E609="CEM-CCS",AND(E609="CEM-PLAN",IFERROR(INDEX('Taxonomy'!$M$9:$M$108,MATCH(D609,'Taxonomy'!$C$9:$C$108,0)),"")&lt;&gt;"Amber"),E609="BLD-TIMBER",AND(U609="Building equipment",OR(E609="BLD-WATER",E609="BLD-WASTE",E609="BLD-LAND")),AND(U609="Building renovation",E609="BLD-LAND"))),"N/A","Pending"))))))</x:f>
      </x:c>
      <x:c r="Q609" s="3" t="str">
        <x:f>IF(C609="","",IF(AND(R609="Valid",OR(P609="Pass",P609="N/A")),"Complete","Unresolved"))</x:f>
      </x:c>
      <x:c r="R609" s="9" t="str">
        <x:f>IF(C609="","",IF(OR(COUNTIF($C$9:$C$2008,C609)&lt;&gt;1,COUNTIFS($D$9:$D$2008,D609,$E$9:$E$2008,E609)&lt;&gt;1),"Duplicate test",IF(COUNTIF('Taxonomy'!$C$9:$C$108,D609)&lt;&gt;1,"Assessment key",IF(OR(COUNTIF('Taxonomy Rules'!$C$42:$C$68,E609)&lt;&gt;1,F609&lt;&gt;IFERROR(INDEX('Taxonomy Rules'!$D$42:$D$68,MATCH(E609,'Taxonomy Rules'!$C$42:$C$68,0)),""),NOT(OR(IFERROR(INDEX('Taxonomy Rules'!$G$42:$G$68,MATCH(E609,'Taxonomy Rules'!$C$42:$C$68,0)),"")="All supported routes",IFERROR(INDEX('Taxonomy Rules'!$G$42:$G$68,MATCH(E609,'Taxonomy Rules'!$C$42:$C$68,0)),"")=U609,AND(IFERROR(INDEX('Taxonomy Rules'!$G$42:$G$68,MATCH(E609,'Taxonomy Rules'!$C$42:$C$68,0)),"")="Building routes",OR(U609="Building renovation",U609="New building",U609="Building equipment"))))),"Unexpected test","Valid"))))</x:f>
      </x:c>
      <x:c r="S609" s="9" t="str">
        <x:f>IF(C609="","",IFERROR(INDEX('Taxonomy Rules'!$E$42:$E$68,MATCH(E609,'Taxonomy Rules'!$C$42:$C$68,0)),""))</x:f>
      </x:c>
      <x:c r="T609" s="9" t="str">
        <x:f>IF(C609="","",IFERROR(INDEX('Taxonomy Rules'!$F$42:$F$68,MATCH(E609,'Taxonomy Rules'!$C$42:$C$68,0)),""))</x:f>
      </x:c>
      <x:c r="U609" s="9" t="str">
        <x:f>IF(C609="","",IFERROR(INDEX('Taxonomy'!$G$9:$G$108,MATCH(D609,'Taxonomy'!$C$9:$C$108,0)),""))</x:f>
      </x:c>
    </x:row>
    <x:row r="610" ht="44" customHeight="1">
      <x:c r="A610" s="1"/>
      <x:c r="B610" s="1"/>
      <x:c r="C610" s="8"/>
      <x:c r="D610" s="8"/>
      <x:c r="E610" s="8"/>
      <x:c r="F610" s="8"/>
      <x:c r="G610" s="8"/>
      <x:c r="H610" s="8"/>
      <x:c r="I610" s="8"/>
      <x:c r="J610" s="8"/>
      <x:c r="K610" s="8"/>
      <x:c r="L610" s="8"/>
      <x:c r="M610" s="10"/>
      <x:c r="N610" s="10"/>
      <x:c r="O610" s="8"/>
      <x:c r="P610" s="9" t="str">
        <x:f>IF(C610="","",IF(AND(G610="Applicable",H610="Fail"),"Fail",IF(R610&lt;&gt;"Valid","Pending",IF(OR(I610="",K610="",L610="",K610=L610,NOT(ISNUMBER(M610)),NOT(ISNUMBER(N610)),M610&gt;Settings!$F$8,N610&lt;Settings!$F$8,N610&lt;M610),"Pending",IF(AND(G610="Applicable",H610="Pass"),"Pass",IF(AND(G610="N/A",H610="N/A",J610&lt;&gt;"",OR(E610="CEM-FUELS",E610="CEM-CCS",AND(E610="CEM-PLAN",IFERROR(INDEX('Taxonomy'!$M$9:$M$108,MATCH(D610,'Taxonomy'!$C$9:$C$108,0)),"")&lt;&gt;"Amber"),E610="BLD-TIMBER",AND(U610="Building equipment",OR(E610="BLD-WATER",E610="BLD-WASTE",E610="BLD-LAND")),AND(U610="Building renovation",E610="BLD-LAND"))),"N/A","Pending"))))))</x:f>
      </x:c>
      <x:c r="Q610" s="3" t="str">
        <x:f>IF(C610="","",IF(AND(R610="Valid",OR(P610="Pass",P610="N/A")),"Complete","Unresolved"))</x:f>
      </x:c>
      <x:c r="R610" s="9" t="str">
        <x:f>IF(C610="","",IF(OR(COUNTIF($C$9:$C$2008,C610)&lt;&gt;1,COUNTIFS($D$9:$D$2008,D610,$E$9:$E$2008,E610)&lt;&gt;1),"Duplicate test",IF(COUNTIF('Taxonomy'!$C$9:$C$108,D610)&lt;&gt;1,"Assessment key",IF(OR(COUNTIF('Taxonomy Rules'!$C$42:$C$68,E610)&lt;&gt;1,F610&lt;&gt;IFERROR(INDEX('Taxonomy Rules'!$D$42:$D$68,MATCH(E610,'Taxonomy Rules'!$C$42:$C$68,0)),""),NOT(OR(IFERROR(INDEX('Taxonomy Rules'!$G$42:$G$68,MATCH(E610,'Taxonomy Rules'!$C$42:$C$68,0)),"")="All supported routes",IFERROR(INDEX('Taxonomy Rules'!$G$42:$G$68,MATCH(E610,'Taxonomy Rules'!$C$42:$C$68,0)),"")=U610,AND(IFERROR(INDEX('Taxonomy Rules'!$G$42:$G$68,MATCH(E610,'Taxonomy Rules'!$C$42:$C$68,0)),"")="Building routes",OR(U610="Building renovation",U610="New building",U610="Building equipment"))))),"Unexpected test","Valid"))))</x:f>
      </x:c>
      <x:c r="S610" s="9" t="str">
        <x:f>IF(C610="","",IFERROR(INDEX('Taxonomy Rules'!$E$42:$E$68,MATCH(E610,'Taxonomy Rules'!$C$42:$C$68,0)),""))</x:f>
      </x:c>
      <x:c r="T610" s="9" t="str">
        <x:f>IF(C610="","",IFERROR(INDEX('Taxonomy Rules'!$F$42:$F$68,MATCH(E610,'Taxonomy Rules'!$C$42:$C$68,0)),""))</x:f>
      </x:c>
      <x:c r="U610" s="9" t="str">
        <x:f>IF(C610="","",IFERROR(INDEX('Taxonomy'!$G$9:$G$108,MATCH(D610,'Taxonomy'!$C$9:$C$108,0)),""))</x:f>
      </x:c>
    </x:row>
    <x:row r="611" ht="44" customHeight="1">
      <x:c r="A611" s="1"/>
      <x:c r="B611" s="1"/>
      <x:c r="C611" s="8"/>
      <x:c r="D611" s="8"/>
      <x:c r="E611" s="8"/>
      <x:c r="F611" s="8"/>
      <x:c r="G611" s="8"/>
      <x:c r="H611" s="8"/>
      <x:c r="I611" s="8"/>
      <x:c r="J611" s="8"/>
      <x:c r="K611" s="8"/>
      <x:c r="L611" s="8"/>
      <x:c r="M611" s="10"/>
      <x:c r="N611" s="10"/>
      <x:c r="O611" s="8"/>
      <x:c r="P611" s="9" t="str">
        <x:f>IF(C611="","",IF(AND(G611="Applicable",H611="Fail"),"Fail",IF(R611&lt;&gt;"Valid","Pending",IF(OR(I611="",K611="",L611="",K611=L611,NOT(ISNUMBER(M611)),NOT(ISNUMBER(N611)),M611&gt;Settings!$F$8,N611&lt;Settings!$F$8,N611&lt;M611),"Pending",IF(AND(G611="Applicable",H611="Pass"),"Pass",IF(AND(G611="N/A",H611="N/A",J611&lt;&gt;"",OR(E611="CEM-FUELS",E611="CEM-CCS",AND(E611="CEM-PLAN",IFERROR(INDEX('Taxonomy'!$M$9:$M$108,MATCH(D611,'Taxonomy'!$C$9:$C$108,0)),"")&lt;&gt;"Amber"),E611="BLD-TIMBER",AND(U611="Building equipment",OR(E611="BLD-WATER",E611="BLD-WASTE",E611="BLD-LAND")),AND(U611="Building renovation",E611="BLD-LAND"))),"N/A","Pending"))))))</x:f>
      </x:c>
      <x:c r="Q611" s="3" t="str">
        <x:f>IF(C611="","",IF(AND(R611="Valid",OR(P611="Pass",P611="N/A")),"Complete","Unresolved"))</x:f>
      </x:c>
      <x:c r="R611" s="9" t="str">
        <x:f>IF(C611="","",IF(OR(COUNTIF($C$9:$C$2008,C611)&lt;&gt;1,COUNTIFS($D$9:$D$2008,D611,$E$9:$E$2008,E611)&lt;&gt;1),"Duplicate test",IF(COUNTIF('Taxonomy'!$C$9:$C$108,D611)&lt;&gt;1,"Assessment key",IF(OR(COUNTIF('Taxonomy Rules'!$C$42:$C$68,E611)&lt;&gt;1,F611&lt;&gt;IFERROR(INDEX('Taxonomy Rules'!$D$42:$D$68,MATCH(E611,'Taxonomy Rules'!$C$42:$C$68,0)),""),NOT(OR(IFERROR(INDEX('Taxonomy Rules'!$G$42:$G$68,MATCH(E611,'Taxonomy Rules'!$C$42:$C$68,0)),"")="All supported routes",IFERROR(INDEX('Taxonomy Rules'!$G$42:$G$68,MATCH(E611,'Taxonomy Rules'!$C$42:$C$68,0)),"")=U611,AND(IFERROR(INDEX('Taxonomy Rules'!$G$42:$G$68,MATCH(E611,'Taxonomy Rules'!$C$42:$C$68,0)),"")="Building routes",OR(U611="Building renovation",U611="New building",U611="Building equipment"))))),"Unexpected test","Valid"))))</x:f>
      </x:c>
      <x:c r="S611" s="9" t="str">
        <x:f>IF(C611="","",IFERROR(INDEX('Taxonomy Rules'!$E$42:$E$68,MATCH(E611,'Taxonomy Rules'!$C$42:$C$68,0)),""))</x:f>
      </x:c>
      <x:c r="T611" s="9" t="str">
        <x:f>IF(C611="","",IFERROR(INDEX('Taxonomy Rules'!$F$42:$F$68,MATCH(E611,'Taxonomy Rules'!$C$42:$C$68,0)),""))</x:f>
      </x:c>
      <x:c r="U611" s="9" t="str">
        <x:f>IF(C611="","",IFERROR(INDEX('Taxonomy'!$G$9:$G$108,MATCH(D611,'Taxonomy'!$C$9:$C$108,0)),""))</x:f>
      </x:c>
    </x:row>
    <x:row r="612" ht="44" customHeight="1">
      <x:c r="A612" s="1"/>
      <x:c r="B612" s="1"/>
      <x:c r="C612" s="8"/>
      <x:c r="D612" s="8"/>
      <x:c r="E612" s="8"/>
      <x:c r="F612" s="8"/>
      <x:c r="G612" s="8"/>
      <x:c r="H612" s="8"/>
      <x:c r="I612" s="8"/>
      <x:c r="J612" s="8"/>
      <x:c r="K612" s="8"/>
      <x:c r="L612" s="8"/>
      <x:c r="M612" s="10"/>
      <x:c r="N612" s="10"/>
      <x:c r="O612" s="8"/>
      <x:c r="P612" s="9" t="str">
        <x:f>IF(C612="","",IF(AND(G612="Applicable",H612="Fail"),"Fail",IF(R612&lt;&gt;"Valid","Pending",IF(OR(I612="",K612="",L612="",K612=L612,NOT(ISNUMBER(M612)),NOT(ISNUMBER(N612)),M612&gt;Settings!$F$8,N612&lt;Settings!$F$8,N612&lt;M612),"Pending",IF(AND(G612="Applicable",H612="Pass"),"Pass",IF(AND(G612="N/A",H612="N/A",J612&lt;&gt;"",OR(E612="CEM-FUELS",E612="CEM-CCS",AND(E612="CEM-PLAN",IFERROR(INDEX('Taxonomy'!$M$9:$M$108,MATCH(D612,'Taxonomy'!$C$9:$C$108,0)),"")&lt;&gt;"Amber"),E612="BLD-TIMBER",AND(U612="Building equipment",OR(E612="BLD-WATER",E612="BLD-WASTE",E612="BLD-LAND")),AND(U612="Building renovation",E612="BLD-LAND"))),"N/A","Pending"))))))</x:f>
      </x:c>
      <x:c r="Q612" s="3" t="str">
        <x:f>IF(C612="","",IF(AND(R612="Valid",OR(P612="Pass",P612="N/A")),"Complete","Unresolved"))</x:f>
      </x:c>
      <x:c r="R612" s="9" t="str">
        <x:f>IF(C612="","",IF(OR(COUNTIF($C$9:$C$2008,C612)&lt;&gt;1,COUNTIFS($D$9:$D$2008,D612,$E$9:$E$2008,E612)&lt;&gt;1),"Duplicate test",IF(COUNTIF('Taxonomy'!$C$9:$C$108,D612)&lt;&gt;1,"Assessment key",IF(OR(COUNTIF('Taxonomy Rules'!$C$42:$C$68,E612)&lt;&gt;1,F612&lt;&gt;IFERROR(INDEX('Taxonomy Rules'!$D$42:$D$68,MATCH(E612,'Taxonomy Rules'!$C$42:$C$68,0)),""),NOT(OR(IFERROR(INDEX('Taxonomy Rules'!$G$42:$G$68,MATCH(E612,'Taxonomy Rules'!$C$42:$C$68,0)),"")="All supported routes",IFERROR(INDEX('Taxonomy Rules'!$G$42:$G$68,MATCH(E612,'Taxonomy Rules'!$C$42:$C$68,0)),"")=U612,AND(IFERROR(INDEX('Taxonomy Rules'!$G$42:$G$68,MATCH(E612,'Taxonomy Rules'!$C$42:$C$68,0)),"")="Building routes",OR(U612="Building renovation",U612="New building",U612="Building equipment"))))),"Unexpected test","Valid"))))</x:f>
      </x:c>
      <x:c r="S612" s="9" t="str">
        <x:f>IF(C612="","",IFERROR(INDEX('Taxonomy Rules'!$E$42:$E$68,MATCH(E612,'Taxonomy Rules'!$C$42:$C$68,0)),""))</x:f>
      </x:c>
      <x:c r="T612" s="9" t="str">
        <x:f>IF(C612="","",IFERROR(INDEX('Taxonomy Rules'!$F$42:$F$68,MATCH(E612,'Taxonomy Rules'!$C$42:$C$68,0)),""))</x:f>
      </x:c>
      <x:c r="U612" s="9" t="str">
        <x:f>IF(C612="","",IFERROR(INDEX('Taxonomy'!$G$9:$G$108,MATCH(D612,'Taxonomy'!$C$9:$C$108,0)),""))</x:f>
      </x:c>
    </x:row>
    <x:row r="613" ht="44" customHeight="1">
      <x:c r="A613" s="1"/>
      <x:c r="B613" s="1"/>
      <x:c r="C613" s="8"/>
      <x:c r="D613" s="8"/>
      <x:c r="E613" s="8"/>
      <x:c r="F613" s="8"/>
      <x:c r="G613" s="8"/>
      <x:c r="H613" s="8"/>
      <x:c r="I613" s="8"/>
      <x:c r="J613" s="8"/>
      <x:c r="K613" s="8"/>
      <x:c r="L613" s="8"/>
      <x:c r="M613" s="10"/>
      <x:c r="N613" s="10"/>
      <x:c r="O613" s="8"/>
      <x:c r="P613" s="9" t="str">
        <x:f>IF(C613="","",IF(AND(G613="Applicable",H613="Fail"),"Fail",IF(R613&lt;&gt;"Valid","Pending",IF(OR(I613="",K613="",L613="",K613=L613,NOT(ISNUMBER(M613)),NOT(ISNUMBER(N613)),M613&gt;Settings!$F$8,N613&lt;Settings!$F$8,N613&lt;M613),"Pending",IF(AND(G613="Applicable",H613="Pass"),"Pass",IF(AND(G613="N/A",H613="N/A",J613&lt;&gt;"",OR(E613="CEM-FUELS",E613="CEM-CCS",AND(E613="CEM-PLAN",IFERROR(INDEX('Taxonomy'!$M$9:$M$108,MATCH(D613,'Taxonomy'!$C$9:$C$108,0)),"")&lt;&gt;"Amber"),E613="BLD-TIMBER",AND(U613="Building equipment",OR(E613="BLD-WATER",E613="BLD-WASTE",E613="BLD-LAND")),AND(U613="Building renovation",E613="BLD-LAND"))),"N/A","Pending"))))))</x:f>
      </x:c>
      <x:c r="Q613" s="3" t="str">
        <x:f>IF(C613="","",IF(AND(R613="Valid",OR(P613="Pass",P613="N/A")),"Complete","Unresolved"))</x:f>
      </x:c>
      <x:c r="R613" s="9" t="str">
        <x:f>IF(C613="","",IF(OR(COUNTIF($C$9:$C$2008,C613)&lt;&gt;1,COUNTIFS($D$9:$D$2008,D613,$E$9:$E$2008,E613)&lt;&gt;1),"Duplicate test",IF(COUNTIF('Taxonomy'!$C$9:$C$108,D613)&lt;&gt;1,"Assessment key",IF(OR(COUNTIF('Taxonomy Rules'!$C$42:$C$68,E613)&lt;&gt;1,F613&lt;&gt;IFERROR(INDEX('Taxonomy Rules'!$D$42:$D$68,MATCH(E613,'Taxonomy Rules'!$C$42:$C$68,0)),""),NOT(OR(IFERROR(INDEX('Taxonomy Rules'!$G$42:$G$68,MATCH(E613,'Taxonomy Rules'!$C$42:$C$68,0)),"")="All supported routes",IFERROR(INDEX('Taxonomy Rules'!$G$42:$G$68,MATCH(E613,'Taxonomy Rules'!$C$42:$C$68,0)),"")=U613,AND(IFERROR(INDEX('Taxonomy Rules'!$G$42:$G$68,MATCH(E613,'Taxonomy Rules'!$C$42:$C$68,0)),"")="Building routes",OR(U613="Building renovation",U613="New building",U613="Building equipment"))))),"Unexpected test","Valid"))))</x:f>
      </x:c>
      <x:c r="S613" s="9" t="str">
        <x:f>IF(C613="","",IFERROR(INDEX('Taxonomy Rules'!$E$42:$E$68,MATCH(E613,'Taxonomy Rules'!$C$42:$C$68,0)),""))</x:f>
      </x:c>
      <x:c r="T613" s="9" t="str">
        <x:f>IF(C613="","",IFERROR(INDEX('Taxonomy Rules'!$F$42:$F$68,MATCH(E613,'Taxonomy Rules'!$C$42:$C$68,0)),""))</x:f>
      </x:c>
      <x:c r="U613" s="9" t="str">
        <x:f>IF(C613="","",IFERROR(INDEX('Taxonomy'!$G$9:$G$108,MATCH(D613,'Taxonomy'!$C$9:$C$108,0)),""))</x:f>
      </x:c>
    </x:row>
    <x:row r="614" ht="44" customHeight="1">
      <x:c r="A614" s="1"/>
      <x:c r="B614" s="1"/>
      <x:c r="C614" s="8"/>
      <x:c r="D614" s="8"/>
      <x:c r="E614" s="8"/>
      <x:c r="F614" s="8"/>
      <x:c r="G614" s="8"/>
      <x:c r="H614" s="8"/>
      <x:c r="I614" s="8"/>
      <x:c r="J614" s="8"/>
      <x:c r="K614" s="8"/>
      <x:c r="L614" s="8"/>
      <x:c r="M614" s="10"/>
      <x:c r="N614" s="10"/>
      <x:c r="O614" s="8"/>
      <x:c r="P614" s="9" t="str">
        <x:f>IF(C614="","",IF(AND(G614="Applicable",H614="Fail"),"Fail",IF(R614&lt;&gt;"Valid","Pending",IF(OR(I614="",K614="",L614="",K614=L614,NOT(ISNUMBER(M614)),NOT(ISNUMBER(N614)),M614&gt;Settings!$F$8,N614&lt;Settings!$F$8,N614&lt;M614),"Pending",IF(AND(G614="Applicable",H614="Pass"),"Pass",IF(AND(G614="N/A",H614="N/A",J614&lt;&gt;"",OR(E614="CEM-FUELS",E614="CEM-CCS",AND(E614="CEM-PLAN",IFERROR(INDEX('Taxonomy'!$M$9:$M$108,MATCH(D614,'Taxonomy'!$C$9:$C$108,0)),"")&lt;&gt;"Amber"),E614="BLD-TIMBER",AND(U614="Building equipment",OR(E614="BLD-WATER",E614="BLD-WASTE",E614="BLD-LAND")),AND(U614="Building renovation",E614="BLD-LAND"))),"N/A","Pending"))))))</x:f>
      </x:c>
      <x:c r="Q614" s="3" t="str">
        <x:f>IF(C614="","",IF(AND(R614="Valid",OR(P614="Pass",P614="N/A")),"Complete","Unresolved"))</x:f>
      </x:c>
      <x:c r="R614" s="9" t="str">
        <x:f>IF(C614="","",IF(OR(COUNTIF($C$9:$C$2008,C614)&lt;&gt;1,COUNTIFS($D$9:$D$2008,D614,$E$9:$E$2008,E614)&lt;&gt;1),"Duplicate test",IF(COUNTIF('Taxonomy'!$C$9:$C$108,D614)&lt;&gt;1,"Assessment key",IF(OR(COUNTIF('Taxonomy Rules'!$C$42:$C$68,E614)&lt;&gt;1,F614&lt;&gt;IFERROR(INDEX('Taxonomy Rules'!$D$42:$D$68,MATCH(E614,'Taxonomy Rules'!$C$42:$C$68,0)),""),NOT(OR(IFERROR(INDEX('Taxonomy Rules'!$G$42:$G$68,MATCH(E614,'Taxonomy Rules'!$C$42:$C$68,0)),"")="All supported routes",IFERROR(INDEX('Taxonomy Rules'!$G$42:$G$68,MATCH(E614,'Taxonomy Rules'!$C$42:$C$68,0)),"")=U614,AND(IFERROR(INDEX('Taxonomy Rules'!$G$42:$G$68,MATCH(E614,'Taxonomy Rules'!$C$42:$C$68,0)),"")="Building routes",OR(U614="Building renovation",U614="New building",U614="Building equipment"))))),"Unexpected test","Valid"))))</x:f>
      </x:c>
      <x:c r="S614" s="9" t="str">
        <x:f>IF(C614="","",IFERROR(INDEX('Taxonomy Rules'!$E$42:$E$68,MATCH(E614,'Taxonomy Rules'!$C$42:$C$68,0)),""))</x:f>
      </x:c>
      <x:c r="T614" s="9" t="str">
        <x:f>IF(C614="","",IFERROR(INDEX('Taxonomy Rules'!$F$42:$F$68,MATCH(E614,'Taxonomy Rules'!$C$42:$C$68,0)),""))</x:f>
      </x:c>
      <x:c r="U614" s="9" t="str">
        <x:f>IF(C614="","",IFERROR(INDEX('Taxonomy'!$G$9:$G$108,MATCH(D614,'Taxonomy'!$C$9:$C$108,0)),""))</x:f>
      </x:c>
    </x:row>
    <x:row r="615" ht="44" customHeight="1">
      <x:c r="A615" s="1"/>
      <x:c r="B615" s="1"/>
      <x:c r="C615" s="8"/>
      <x:c r="D615" s="8"/>
      <x:c r="E615" s="8"/>
      <x:c r="F615" s="8"/>
      <x:c r="G615" s="8"/>
      <x:c r="H615" s="8"/>
      <x:c r="I615" s="8"/>
      <x:c r="J615" s="8"/>
      <x:c r="K615" s="8"/>
      <x:c r="L615" s="8"/>
      <x:c r="M615" s="10"/>
      <x:c r="N615" s="10"/>
      <x:c r="O615" s="8"/>
      <x:c r="P615" s="9" t="str">
        <x:f>IF(C615="","",IF(AND(G615="Applicable",H615="Fail"),"Fail",IF(R615&lt;&gt;"Valid","Pending",IF(OR(I615="",K615="",L615="",K615=L615,NOT(ISNUMBER(M615)),NOT(ISNUMBER(N615)),M615&gt;Settings!$F$8,N615&lt;Settings!$F$8,N615&lt;M615),"Pending",IF(AND(G615="Applicable",H615="Pass"),"Pass",IF(AND(G615="N/A",H615="N/A",J615&lt;&gt;"",OR(E615="CEM-FUELS",E615="CEM-CCS",AND(E615="CEM-PLAN",IFERROR(INDEX('Taxonomy'!$M$9:$M$108,MATCH(D615,'Taxonomy'!$C$9:$C$108,0)),"")&lt;&gt;"Amber"),E615="BLD-TIMBER",AND(U615="Building equipment",OR(E615="BLD-WATER",E615="BLD-WASTE",E615="BLD-LAND")),AND(U615="Building renovation",E615="BLD-LAND"))),"N/A","Pending"))))))</x:f>
      </x:c>
      <x:c r="Q615" s="3" t="str">
        <x:f>IF(C615="","",IF(AND(R615="Valid",OR(P615="Pass",P615="N/A")),"Complete","Unresolved"))</x:f>
      </x:c>
      <x:c r="R615" s="9" t="str">
        <x:f>IF(C615="","",IF(OR(COUNTIF($C$9:$C$2008,C615)&lt;&gt;1,COUNTIFS($D$9:$D$2008,D615,$E$9:$E$2008,E615)&lt;&gt;1),"Duplicate test",IF(COUNTIF('Taxonomy'!$C$9:$C$108,D615)&lt;&gt;1,"Assessment key",IF(OR(COUNTIF('Taxonomy Rules'!$C$42:$C$68,E615)&lt;&gt;1,F615&lt;&gt;IFERROR(INDEX('Taxonomy Rules'!$D$42:$D$68,MATCH(E615,'Taxonomy Rules'!$C$42:$C$68,0)),""),NOT(OR(IFERROR(INDEX('Taxonomy Rules'!$G$42:$G$68,MATCH(E615,'Taxonomy Rules'!$C$42:$C$68,0)),"")="All supported routes",IFERROR(INDEX('Taxonomy Rules'!$G$42:$G$68,MATCH(E615,'Taxonomy Rules'!$C$42:$C$68,0)),"")=U615,AND(IFERROR(INDEX('Taxonomy Rules'!$G$42:$G$68,MATCH(E615,'Taxonomy Rules'!$C$42:$C$68,0)),"")="Building routes",OR(U615="Building renovation",U615="New building",U615="Building equipment"))))),"Unexpected test","Valid"))))</x:f>
      </x:c>
      <x:c r="S615" s="9" t="str">
        <x:f>IF(C615="","",IFERROR(INDEX('Taxonomy Rules'!$E$42:$E$68,MATCH(E615,'Taxonomy Rules'!$C$42:$C$68,0)),""))</x:f>
      </x:c>
      <x:c r="T615" s="9" t="str">
        <x:f>IF(C615="","",IFERROR(INDEX('Taxonomy Rules'!$F$42:$F$68,MATCH(E615,'Taxonomy Rules'!$C$42:$C$68,0)),""))</x:f>
      </x:c>
      <x:c r="U615" s="9" t="str">
        <x:f>IF(C615="","",IFERROR(INDEX('Taxonomy'!$G$9:$G$108,MATCH(D615,'Taxonomy'!$C$9:$C$108,0)),""))</x:f>
      </x:c>
    </x:row>
    <x:row r="616" ht="44" customHeight="1">
      <x:c r="A616" s="1"/>
      <x:c r="B616" s="1"/>
      <x:c r="C616" s="8"/>
      <x:c r="D616" s="8"/>
      <x:c r="E616" s="8"/>
      <x:c r="F616" s="8"/>
      <x:c r="G616" s="8"/>
      <x:c r="H616" s="8"/>
      <x:c r="I616" s="8"/>
      <x:c r="J616" s="8"/>
      <x:c r="K616" s="8"/>
      <x:c r="L616" s="8"/>
      <x:c r="M616" s="10"/>
      <x:c r="N616" s="10"/>
      <x:c r="O616" s="8"/>
      <x:c r="P616" s="9" t="str">
        <x:f>IF(C616="","",IF(AND(G616="Applicable",H616="Fail"),"Fail",IF(R616&lt;&gt;"Valid","Pending",IF(OR(I616="",K616="",L616="",K616=L616,NOT(ISNUMBER(M616)),NOT(ISNUMBER(N616)),M616&gt;Settings!$F$8,N616&lt;Settings!$F$8,N616&lt;M616),"Pending",IF(AND(G616="Applicable",H616="Pass"),"Pass",IF(AND(G616="N/A",H616="N/A",J616&lt;&gt;"",OR(E616="CEM-FUELS",E616="CEM-CCS",AND(E616="CEM-PLAN",IFERROR(INDEX('Taxonomy'!$M$9:$M$108,MATCH(D616,'Taxonomy'!$C$9:$C$108,0)),"")&lt;&gt;"Amber"),E616="BLD-TIMBER",AND(U616="Building equipment",OR(E616="BLD-WATER",E616="BLD-WASTE",E616="BLD-LAND")),AND(U616="Building renovation",E616="BLD-LAND"))),"N/A","Pending"))))))</x:f>
      </x:c>
      <x:c r="Q616" s="3" t="str">
        <x:f>IF(C616="","",IF(AND(R616="Valid",OR(P616="Pass",P616="N/A")),"Complete","Unresolved"))</x:f>
      </x:c>
      <x:c r="R616" s="9" t="str">
        <x:f>IF(C616="","",IF(OR(COUNTIF($C$9:$C$2008,C616)&lt;&gt;1,COUNTIFS($D$9:$D$2008,D616,$E$9:$E$2008,E616)&lt;&gt;1),"Duplicate test",IF(COUNTIF('Taxonomy'!$C$9:$C$108,D616)&lt;&gt;1,"Assessment key",IF(OR(COUNTIF('Taxonomy Rules'!$C$42:$C$68,E616)&lt;&gt;1,F616&lt;&gt;IFERROR(INDEX('Taxonomy Rules'!$D$42:$D$68,MATCH(E616,'Taxonomy Rules'!$C$42:$C$68,0)),""),NOT(OR(IFERROR(INDEX('Taxonomy Rules'!$G$42:$G$68,MATCH(E616,'Taxonomy Rules'!$C$42:$C$68,0)),"")="All supported routes",IFERROR(INDEX('Taxonomy Rules'!$G$42:$G$68,MATCH(E616,'Taxonomy Rules'!$C$42:$C$68,0)),"")=U616,AND(IFERROR(INDEX('Taxonomy Rules'!$G$42:$G$68,MATCH(E616,'Taxonomy Rules'!$C$42:$C$68,0)),"")="Building routes",OR(U616="Building renovation",U616="New building",U616="Building equipment"))))),"Unexpected test","Valid"))))</x:f>
      </x:c>
      <x:c r="S616" s="9" t="str">
        <x:f>IF(C616="","",IFERROR(INDEX('Taxonomy Rules'!$E$42:$E$68,MATCH(E616,'Taxonomy Rules'!$C$42:$C$68,0)),""))</x:f>
      </x:c>
      <x:c r="T616" s="9" t="str">
        <x:f>IF(C616="","",IFERROR(INDEX('Taxonomy Rules'!$F$42:$F$68,MATCH(E616,'Taxonomy Rules'!$C$42:$C$68,0)),""))</x:f>
      </x:c>
      <x:c r="U616" s="9" t="str">
        <x:f>IF(C616="","",IFERROR(INDEX('Taxonomy'!$G$9:$G$108,MATCH(D616,'Taxonomy'!$C$9:$C$108,0)),""))</x:f>
      </x:c>
    </x:row>
    <x:row r="617" ht="44" customHeight="1">
      <x:c r="A617" s="1"/>
      <x:c r="B617" s="1"/>
      <x:c r="C617" s="8"/>
      <x:c r="D617" s="8"/>
      <x:c r="E617" s="8"/>
      <x:c r="F617" s="8"/>
      <x:c r="G617" s="8"/>
      <x:c r="H617" s="8"/>
      <x:c r="I617" s="8"/>
      <x:c r="J617" s="8"/>
      <x:c r="K617" s="8"/>
      <x:c r="L617" s="8"/>
      <x:c r="M617" s="10"/>
      <x:c r="N617" s="10"/>
      <x:c r="O617" s="8"/>
      <x:c r="P617" s="9" t="str">
        <x:f>IF(C617="","",IF(AND(G617="Applicable",H617="Fail"),"Fail",IF(R617&lt;&gt;"Valid","Pending",IF(OR(I617="",K617="",L617="",K617=L617,NOT(ISNUMBER(M617)),NOT(ISNUMBER(N617)),M617&gt;Settings!$F$8,N617&lt;Settings!$F$8,N617&lt;M617),"Pending",IF(AND(G617="Applicable",H617="Pass"),"Pass",IF(AND(G617="N/A",H617="N/A",J617&lt;&gt;"",OR(E617="CEM-FUELS",E617="CEM-CCS",AND(E617="CEM-PLAN",IFERROR(INDEX('Taxonomy'!$M$9:$M$108,MATCH(D617,'Taxonomy'!$C$9:$C$108,0)),"")&lt;&gt;"Amber"),E617="BLD-TIMBER",AND(U617="Building equipment",OR(E617="BLD-WATER",E617="BLD-WASTE",E617="BLD-LAND")),AND(U617="Building renovation",E617="BLD-LAND"))),"N/A","Pending"))))))</x:f>
      </x:c>
      <x:c r="Q617" s="3" t="str">
        <x:f>IF(C617="","",IF(AND(R617="Valid",OR(P617="Pass",P617="N/A")),"Complete","Unresolved"))</x:f>
      </x:c>
      <x:c r="R617" s="9" t="str">
        <x:f>IF(C617="","",IF(OR(COUNTIF($C$9:$C$2008,C617)&lt;&gt;1,COUNTIFS($D$9:$D$2008,D617,$E$9:$E$2008,E617)&lt;&gt;1),"Duplicate test",IF(COUNTIF('Taxonomy'!$C$9:$C$108,D617)&lt;&gt;1,"Assessment key",IF(OR(COUNTIF('Taxonomy Rules'!$C$42:$C$68,E617)&lt;&gt;1,F617&lt;&gt;IFERROR(INDEX('Taxonomy Rules'!$D$42:$D$68,MATCH(E617,'Taxonomy Rules'!$C$42:$C$68,0)),""),NOT(OR(IFERROR(INDEX('Taxonomy Rules'!$G$42:$G$68,MATCH(E617,'Taxonomy Rules'!$C$42:$C$68,0)),"")="All supported routes",IFERROR(INDEX('Taxonomy Rules'!$G$42:$G$68,MATCH(E617,'Taxonomy Rules'!$C$42:$C$68,0)),"")=U617,AND(IFERROR(INDEX('Taxonomy Rules'!$G$42:$G$68,MATCH(E617,'Taxonomy Rules'!$C$42:$C$68,0)),"")="Building routes",OR(U617="Building renovation",U617="New building",U617="Building equipment"))))),"Unexpected test","Valid"))))</x:f>
      </x:c>
      <x:c r="S617" s="9" t="str">
        <x:f>IF(C617="","",IFERROR(INDEX('Taxonomy Rules'!$E$42:$E$68,MATCH(E617,'Taxonomy Rules'!$C$42:$C$68,0)),""))</x:f>
      </x:c>
      <x:c r="T617" s="9" t="str">
        <x:f>IF(C617="","",IFERROR(INDEX('Taxonomy Rules'!$F$42:$F$68,MATCH(E617,'Taxonomy Rules'!$C$42:$C$68,0)),""))</x:f>
      </x:c>
      <x:c r="U617" s="9" t="str">
        <x:f>IF(C617="","",IFERROR(INDEX('Taxonomy'!$G$9:$G$108,MATCH(D617,'Taxonomy'!$C$9:$C$108,0)),""))</x:f>
      </x:c>
    </x:row>
    <x:row r="618" ht="44" customHeight="1">
      <x:c r="A618" s="1"/>
      <x:c r="B618" s="1"/>
      <x:c r="C618" s="8"/>
      <x:c r="D618" s="8"/>
      <x:c r="E618" s="8"/>
      <x:c r="F618" s="8"/>
      <x:c r="G618" s="8"/>
      <x:c r="H618" s="8"/>
      <x:c r="I618" s="8"/>
      <x:c r="J618" s="8"/>
      <x:c r="K618" s="8"/>
      <x:c r="L618" s="8"/>
      <x:c r="M618" s="10"/>
      <x:c r="N618" s="10"/>
      <x:c r="O618" s="8"/>
      <x:c r="P618" s="9" t="str">
        <x:f>IF(C618="","",IF(AND(G618="Applicable",H618="Fail"),"Fail",IF(R618&lt;&gt;"Valid","Pending",IF(OR(I618="",K618="",L618="",K618=L618,NOT(ISNUMBER(M618)),NOT(ISNUMBER(N618)),M618&gt;Settings!$F$8,N618&lt;Settings!$F$8,N618&lt;M618),"Pending",IF(AND(G618="Applicable",H618="Pass"),"Pass",IF(AND(G618="N/A",H618="N/A",J618&lt;&gt;"",OR(E618="CEM-FUELS",E618="CEM-CCS",AND(E618="CEM-PLAN",IFERROR(INDEX('Taxonomy'!$M$9:$M$108,MATCH(D618,'Taxonomy'!$C$9:$C$108,0)),"")&lt;&gt;"Amber"),E618="BLD-TIMBER",AND(U618="Building equipment",OR(E618="BLD-WATER",E618="BLD-WASTE",E618="BLD-LAND")),AND(U618="Building renovation",E618="BLD-LAND"))),"N/A","Pending"))))))</x:f>
      </x:c>
      <x:c r="Q618" s="3" t="str">
        <x:f>IF(C618="","",IF(AND(R618="Valid",OR(P618="Pass",P618="N/A")),"Complete","Unresolved"))</x:f>
      </x:c>
      <x:c r="R618" s="9" t="str">
        <x:f>IF(C618="","",IF(OR(COUNTIF($C$9:$C$2008,C618)&lt;&gt;1,COUNTIFS($D$9:$D$2008,D618,$E$9:$E$2008,E618)&lt;&gt;1),"Duplicate test",IF(COUNTIF('Taxonomy'!$C$9:$C$108,D618)&lt;&gt;1,"Assessment key",IF(OR(COUNTIF('Taxonomy Rules'!$C$42:$C$68,E618)&lt;&gt;1,F618&lt;&gt;IFERROR(INDEX('Taxonomy Rules'!$D$42:$D$68,MATCH(E618,'Taxonomy Rules'!$C$42:$C$68,0)),""),NOT(OR(IFERROR(INDEX('Taxonomy Rules'!$G$42:$G$68,MATCH(E618,'Taxonomy Rules'!$C$42:$C$68,0)),"")="All supported routes",IFERROR(INDEX('Taxonomy Rules'!$G$42:$G$68,MATCH(E618,'Taxonomy Rules'!$C$42:$C$68,0)),"")=U618,AND(IFERROR(INDEX('Taxonomy Rules'!$G$42:$G$68,MATCH(E618,'Taxonomy Rules'!$C$42:$C$68,0)),"")="Building routes",OR(U618="Building renovation",U618="New building",U618="Building equipment"))))),"Unexpected test","Valid"))))</x:f>
      </x:c>
      <x:c r="S618" s="9" t="str">
        <x:f>IF(C618="","",IFERROR(INDEX('Taxonomy Rules'!$E$42:$E$68,MATCH(E618,'Taxonomy Rules'!$C$42:$C$68,0)),""))</x:f>
      </x:c>
      <x:c r="T618" s="9" t="str">
        <x:f>IF(C618="","",IFERROR(INDEX('Taxonomy Rules'!$F$42:$F$68,MATCH(E618,'Taxonomy Rules'!$C$42:$C$68,0)),""))</x:f>
      </x:c>
      <x:c r="U618" s="9" t="str">
        <x:f>IF(C618="","",IFERROR(INDEX('Taxonomy'!$G$9:$G$108,MATCH(D618,'Taxonomy'!$C$9:$C$108,0)),""))</x:f>
      </x:c>
    </x:row>
    <x:row r="619" ht="44" customHeight="1">
      <x:c r="A619" s="1"/>
      <x:c r="B619" s="1"/>
      <x:c r="C619" s="8"/>
      <x:c r="D619" s="8"/>
      <x:c r="E619" s="8"/>
      <x:c r="F619" s="8"/>
      <x:c r="G619" s="8"/>
      <x:c r="H619" s="8"/>
      <x:c r="I619" s="8"/>
      <x:c r="J619" s="8"/>
      <x:c r="K619" s="8"/>
      <x:c r="L619" s="8"/>
      <x:c r="M619" s="10"/>
      <x:c r="N619" s="10"/>
      <x:c r="O619" s="8"/>
      <x:c r="P619" s="9" t="str">
        <x:f>IF(C619="","",IF(AND(G619="Applicable",H619="Fail"),"Fail",IF(R619&lt;&gt;"Valid","Pending",IF(OR(I619="",K619="",L619="",K619=L619,NOT(ISNUMBER(M619)),NOT(ISNUMBER(N619)),M619&gt;Settings!$F$8,N619&lt;Settings!$F$8,N619&lt;M619),"Pending",IF(AND(G619="Applicable",H619="Pass"),"Pass",IF(AND(G619="N/A",H619="N/A",J619&lt;&gt;"",OR(E619="CEM-FUELS",E619="CEM-CCS",AND(E619="CEM-PLAN",IFERROR(INDEX('Taxonomy'!$M$9:$M$108,MATCH(D619,'Taxonomy'!$C$9:$C$108,0)),"")&lt;&gt;"Amber"),E619="BLD-TIMBER",AND(U619="Building equipment",OR(E619="BLD-WATER",E619="BLD-WASTE",E619="BLD-LAND")),AND(U619="Building renovation",E619="BLD-LAND"))),"N/A","Pending"))))))</x:f>
      </x:c>
      <x:c r="Q619" s="3" t="str">
        <x:f>IF(C619="","",IF(AND(R619="Valid",OR(P619="Pass",P619="N/A")),"Complete","Unresolved"))</x:f>
      </x:c>
      <x:c r="R619" s="9" t="str">
        <x:f>IF(C619="","",IF(OR(COUNTIF($C$9:$C$2008,C619)&lt;&gt;1,COUNTIFS($D$9:$D$2008,D619,$E$9:$E$2008,E619)&lt;&gt;1),"Duplicate test",IF(COUNTIF('Taxonomy'!$C$9:$C$108,D619)&lt;&gt;1,"Assessment key",IF(OR(COUNTIF('Taxonomy Rules'!$C$42:$C$68,E619)&lt;&gt;1,F619&lt;&gt;IFERROR(INDEX('Taxonomy Rules'!$D$42:$D$68,MATCH(E619,'Taxonomy Rules'!$C$42:$C$68,0)),""),NOT(OR(IFERROR(INDEX('Taxonomy Rules'!$G$42:$G$68,MATCH(E619,'Taxonomy Rules'!$C$42:$C$68,0)),"")="All supported routes",IFERROR(INDEX('Taxonomy Rules'!$G$42:$G$68,MATCH(E619,'Taxonomy Rules'!$C$42:$C$68,0)),"")=U619,AND(IFERROR(INDEX('Taxonomy Rules'!$G$42:$G$68,MATCH(E619,'Taxonomy Rules'!$C$42:$C$68,0)),"")="Building routes",OR(U619="Building renovation",U619="New building",U619="Building equipment"))))),"Unexpected test","Valid"))))</x:f>
      </x:c>
      <x:c r="S619" s="9" t="str">
        <x:f>IF(C619="","",IFERROR(INDEX('Taxonomy Rules'!$E$42:$E$68,MATCH(E619,'Taxonomy Rules'!$C$42:$C$68,0)),""))</x:f>
      </x:c>
      <x:c r="T619" s="9" t="str">
        <x:f>IF(C619="","",IFERROR(INDEX('Taxonomy Rules'!$F$42:$F$68,MATCH(E619,'Taxonomy Rules'!$C$42:$C$68,0)),""))</x:f>
      </x:c>
      <x:c r="U619" s="9" t="str">
        <x:f>IF(C619="","",IFERROR(INDEX('Taxonomy'!$G$9:$G$108,MATCH(D619,'Taxonomy'!$C$9:$C$108,0)),""))</x:f>
      </x:c>
    </x:row>
    <x:row r="620" ht="44" customHeight="1">
      <x:c r="A620" s="1"/>
      <x:c r="B620" s="1"/>
      <x:c r="C620" s="8"/>
      <x:c r="D620" s="8"/>
      <x:c r="E620" s="8"/>
      <x:c r="F620" s="8"/>
      <x:c r="G620" s="8"/>
      <x:c r="H620" s="8"/>
      <x:c r="I620" s="8"/>
      <x:c r="J620" s="8"/>
      <x:c r="K620" s="8"/>
      <x:c r="L620" s="8"/>
      <x:c r="M620" s="10"/>
      <x:c r="N620" s="10"/>
      <x:c r="O620" s="8"/>
      <x:c r="P620" s="9" t="str">
        <x:f>IF(C620="","",IF(AND(G620="Applicable",H620="Fail"),"Fail",IF(R620&lt;&gt;"Valid","Pending",IF(OR(I620="",K620="",L620="",K620=L620,NOT(ISNUMBER(M620)),NOT(ISNUMBER(N620)),M620&gt;Settings!$F$8,N620&lt;Settings!$F$8,N620&lt;M620),"Pending",IF(AND(G620="Applicable",H620="Pass"),"Pass",IF(AND(G620="N/A",H620="N/A",J620&lt;&gt;"",OR(E620="CEM-FUELS",E620="CEM-CCS",AND(E620="CEM-PLAN",IFERROR(INDEX('Taxonomy'!$M$9:$M$108,MATCH(D620,'Taxonomy'!$C$9:$C$108,0)),"")&lt;&gt;"Amber"),E620="BLD-TIMBER",AND(U620="Building equipment",OR(E620="BLD-WATER",E620="BLD-WASTE",E620="BLD-LAND")),AND(U620="Building renovation",E620="BLD-LAND"))),"N/A","Pending"))))))</x:f>
      </x:c>
      <x:c r="Q620" s="3" t="str">
        <x:f>IF(C620="","",IF(AND(R620="Valid",OR(P620="Pass",P620="N/A")),"Complete","Unresolved"))</x:f>
      </x:c>
      <x:c r="R620" s="9" t="str">
        <x:f>IF(C620="","",IF(OR(COUNTIF($C$9:$C$2008,C620)&lt;&gt;1,COUNTIFS($D$9:$D$2008,D620,$E$9:$E$2008,E620)&lt;&gt;1),"Duplicate test",IF(COUNTIF('Taxonomy'!$C$9:$C$108,D620)&lt;&gt;1,"Assessment key",IF(OR(COUNTIF('Taxonomy Rules'!$C$42:$C$68,E620)&lt;&gt;1,F620&lt;&gt;IFERROR(INDEX('Taxonomy Rules'!$D$42:$D$68,MATCH(E620,'Taxonomy Rules'!$C$42:$C$68,0)),""),NOT(OR(IFERROR(INDEX('Taxonomy Rules'!$G$42:$G$68,MATCH(E620,'Taxonomy Rules'!$C$42:$C$68,0)),"")="All supported routes",IFERROR(INDEX('Taxonomy Rules'!$G$42:$G$68,MATCH(E620,'Taxonomy Rules'!$C$42:$C$68,0)),"")=U620,AND(IFERROR(INDEX('Taxonomy Rules'!$G$42:$G$68,MATCH(E620,'Taxonomy Rules'!$C$42:$C$68,0)),"")="Building routes",OR(U620="Building renovation",U620="New building",U620="Building equipment"))))),"Unexpected test","Valid"))))</x:f>
      </x:c>
      <x:c r="S620" s="9" t="str">
        <x:f>IF(C620="","",IFERROR(INDEX('Taxonomy Rules'!$E$42:$E$68,MATCH(E620,'Taxonomy Rules'!$C$42:$C$68,0)),""))</x:f>
      </x:c>
      <x:c r="T620" s="9" t="str">
        <x:f>IF(C620="","",IFERROR(INDEX('Taxonomy Rules'!$F$42:$F$68,MATCH(E620,'Taxonomy Rules'!$C$42:$C$68,0)),""))</x:f>
      </x:c>
      <x:c r="U620" s="9" t="str">
        <x:f>IF(C620="","",IFERROR(INDEX('Taxonomy'!$G$9:$G$108,MATCH(D620,'Taxonomy'!$C$9:$C$108,0)),""))</x:f>
      </x:c>
    </x:row>
    <x:row r="621" ht="44" customHeight="1">
      <x:c r="A621" s="1"/>
      <x:c r="B621" s="1"/>
      <x:c r="C621" s="8"/>
      <x:c r="D621" s="8"/>
      <x:c r="E621" s="8"/>
      <x:c r="F621" s="8"/>
      <x:c r="G621" s="8"/>
      <x:c r="H621" s="8"/>
      <x:c r="I621" s="8"/>
      <x:c r="J621" s="8"/>
      <x:c r="K621" s="8"/>
      <x:c r="L621" s="8"/>
      <x:c r="M621" s="10"/>
      <x:c r="N621" s="10"/>
      <x:c r="O621" s="8"/>
      <x:c r="P621" s="9" t="str">
        <x:f>IF(C621="","",IF(AND(G621="Applicable",H621="Fail"),"Fail",IF(R621&lt;&gt;"Valid","Pending",IF(OR(I621="",K621="",L621="",K621=L621,NOT(ISNUMBER(M621)),NOT(ISNUMBER(N621)),M621&gt;Settings!$F$8,N621&lt;Settings!$F$8,N621&lt;M621),"Pending",IF(AND(G621="Applicable",H621="Pass"),"Pass",IF(AND(G621="N/A",H621="N/A",J621&lt;&gt;"",OR(E621="CEM-FUELS",E621="CEM-CCS",AND(E621="CEM-PLAN",IFERROR(INDEX('Taxonomy'!$M$9:$M$108,MATCH(D621,'Taxonomy'!$C$9:$C$108,0)),"")&lt;&gt;"Amber"),E621="BLD-TIMBER",AND(U621="Building equipment",OR(E621="BLD-WATER",E621="BLD-WASTE",E621="BLD-LAND")),AND(U621="Building renovation",E621="BLD-LAND"))),"N/A","Pending"))))))</x:f>
      </x:c>
      <x:c r="Q621" s="3" t="str">
        <x:f>IF(C621="","",IF(AND(R621="Valid",OR(P621="Pass",P621="N/A")),"Complete","Unresolved"))</x:f>
      </x:c>
      <x:c r="R621" s="9" t="str">
        <x:f>IF(C621="","",IF(OR(COUNTIF($C$9:$C$2008,C621)&lt;&gt;1,COUNTIFS($D$9:$D$2008,D621,$E$9:$E$2008,E621)&lt;&gt;1),"Duplicate test",IF(COUNTIF('Taxonomy'!$C$9:$C$108,D621)&lt;&gt;1,"Assessment key",IF(OR(COUNTIF('Taxonomy Rules'!$C$42:$C$68,E621)&lt;&gt;1,F621&lt;&gt;IFERROR(INDEX('Taxonomy Rules'!$D$42:$D$68,MATCH(E621,'Taxonomy Rules'!$C$42:$C$68,0)),""),NOT(OR(IFERROR(INDEX('Taxonomy Rules'!$G$42:$G$68,MATCH(E621,'Taxonomy Rules'!$C$42:$C$68,0)),"")="All supported routes",IFERROR(INDEX('Taxonomy Rules'!$G$42:$G$68,MATCH(E621,'Taxonomy Rules'!$C$42:$C$68,0)),"")=U621,AND(IFERROR(INDEX('Taxonomy Rules'!$G$42:$G$68,MATCH(E621,'Taxonomy Rules'!$C$42:$C$68,0)),"")="Building routes",OR(U621="Building renovation",U621="New building",U621="Building equipment"))))),"Unexpected test","Valid"))))</x:f>
      </x:c>
      <x:c r="S621" s="9" t="str">
        <x:f>IF(C621="","",IFERROR(INDEX('Taxonomy Rules'!$E$42:$E$68,MATCH(E621,'Taxonomy Rules'!$C$42:$C$68,0)),""))</x:f>
      </x:c>
      <x:c r="T621" s="9" t="str">
        <x:f>IF(C621="","",IFERROR(INDEX('Taxonomy Rules'!$F$42:$F$68,MATCH(E621,'Taxonomy Rules'!$C$42:$C$68,0)),""))</x:f>
      </x:c>
      <x:c r="U621" s="9" t="str">
        <x:f>IF(C621="","",IFERROR(INDEX('Taxonomy'!$G$9:$G$108,MATCH(D621,'Taxonomy'!$C$9:$C$108,0)),""))</x:f>
      </x:c>
    </x:row>
    <x:row r="622" ht="44" customHeight="1">
      <x:c r="A622" s="1"/>
      <x:c r="B622" s="1"/>
      <x:c r="C622" s="8"/>
      <x:c r="D622" s="8"/>
      <x:c r="E622" s="8"/>
      <x:c r="F622" s="8"/>
      <x:c r="G622" s="8"/>
      <x:c r="H622" s="8"/>
      <x:c r="I622" s="8"/>
      <x:c r="J622" s="8"/>
      <x:c r="K622" s="8"/>
      <x:c r="L622" s="8"/>
      <x:c r="M622" s="10"/>
      <x:c r="N622" s="10"/>
      <x:c r="O622" s="8"/>
      <x:c r="P622" s="9" t="str">
        <x:f>IF(C622="","",IF(AND(G622="Applicable",H622="Fail"),"Fail",IF(R622&lt;&gt;"Valid","Pending",IF(OR(I622="",K622="",L622="",K622=L622,NOT(ISNUMBER(M622)),NOT(ISNUMBER(N622)),M622&gt;Settings!$F$8,N622&lt;Settings!$F$8,N622&lt;M622),"Pending",IF(AND(G622="Applicable",H622="Pass"),"Pass",IF(AND(G622="N/A",H622="N/A",J622&lt;&gt;"",OR(E622="CEM-FUELS",E622="CEM-CCS",AND(E622="CEM-PLAN",IFERROR(INDEX('Taxonomy'!$M$9:$M$108,MATCH(D622,'Taxonomy'!$C$9:$C$108,0)),"")&lt;&gt;"Amber"),E622="BLD-TIMBER",AND(U622="Building equipment",OR(E622="BLD-WATER",E622="BLD-WASTE",E622="BLD-LAND")),AND(U622="Building renovation",E622="BLD-LAND"))),"N/A","Pending"))))))</x:f>
      </x:c>
      <x:c r="Q622" s="3" t="str">
        <x:f>IF(C622="","",IF(AND(R622="Valid",OR(P622="Pass",P622="N/A")),"Complete","Unresolved"))</x:f>
      </x:c>
      <x:c r="R622" s="9" t="str">
        <x:f>IF(C622="","",IF(OR(COUNTIF($C$9:$C$2008,C622)&lt;&gt;1,COUNTIFS($D$9:$D$2008,D622,$E$9:$E$2008,E622)&lt;&gt;1),"Duplicate test",IF(COUNTIF('Taxonomy'!$C$9:$C$108,D622)&lt;&gt;1,"Assessment key",IF(OR(COUNTIF('Taxonomy Rules'!$C$42:$C$68,E622)&lt;&gt;1,F622&lt;&gt;IFERROR(INDEX('Taxonomy Rules'!$D$42:$D$68,MATCH(E622,'Taxonomy Rules'!$C$42:$C$68,0)),""),NOT(OR(IFERROR(INDEX('Taxonomy Rules'!$G$42:$G$68,MATCH(E622,'Taxonomy Rules'!$C$42:$C$68,0)),"")="All supported routes",IFERROR(INDEX('Taxonomy Rules'!$G$42:$G$68,MATCH(E622,'Taxonomy Rules'!$C$42:$C$68,0)),"")=U622,AND(IFERROR(INDEX('Taxonomy Rules'!$G$42:$G$68,MATCH(E622,'Taxonomy Rules'!$C$42:$C$68,0)),"")="Building routes",OR(U622="Building renovation",U622="New building",U622="Building equipment"))))),"Unexpected test","Valid"))))</x:f>
      </x:c>
      <x:c r="S622" s="9" t="str">
        <x:f>IF(C622="","",IFERROR(INDEX('Taxonomy Rules'!$E$42:$E$68,MATCH(E622,'Taxonomy Rules'!$C$42:$C$68,0)),""))</x:f>
      </x:c>
      <x:c r="T622" s="9" t="str">
        <x:f>IF(C622="","",IFERROR(INDEX('Taxonomy Rules'!$F$42:$F$68,MATCH(E622,'Taxonomy Rules'!$C$42:$C$68,0)),""))</x:f>
      </x:c>
      <x:c r="U622" s="9" t="str">
        <x:f>IF(C622="","",IFERROR(INDEX('Taxonomy'!$G$9:$G$108,MATCH(D622,'Taxonomy'!$C$9:$C$108,0)),""))</x:f>
      </x:c>
    </x:row>
    <x:row r="623" ht="44" customHeight="1">
      <x:c r="A623" s="1"/>
      <x:c r="B623" s="1"/>
      <x:c r="C623" s="8"/>
      <x:c r="D623" s="8"/>
      <x:c r="E623" s="8"/>
      <x:c r="F623" s="8"/>
      <x:c r="G623" s="8"/>
      <x:c r="H623" s="8"/>
      <x:c r="I623" s="8"/>
      <x:c r="J623" s="8"/>
      <x:c r="K623" s="8"/>
      <x:c r="L623" s="8"/>
      <x:c r="M623" s="10"/>
      <x:c r="N623" s="10"/>
      <x:c r="O623" s="8"/>
      <x:c r="P623" s="9" t="str">
        <x:f>IF(C623="","",IF(AND(G623="Applicable",H623="Fail"),"Fail",IF(R623&lt;&gt;"Valid","Pending",IF(OR(I623="",K623="",L623="",K623=L623,NOT(ISNUMBER(M623)),NOT(ISNUMBER(N623)),M623&gt;Settings!$F$8,N623&lt;Settings!$F$8,N623&lt;M623),"Pending",IF(AND(G623="Applicable",H623="Pass"),"Pass",IF(AND(G623="N/A",H623="N/A",J623&lt;&gt;"",OR(E623="CEM-FUELS",E623="CEM-CCS",AND(E623="CEM-PLAN",IFERROR(INDEX('Taxonomy'!$M$9:$M$108,MATCH(D623,'Taxonomy'!$C$9:$C$108,0)),"")&lt;&gt;"Amber"),E623="BLD-TIMBER",AND(U623="Building equipment",OR(E623="BLD-WATER",E623="BLD-WASTE",E623="BLD-LAND")),AND(U623="Building renovation",E623="BLD-LAND"))),"N/A","Pending"))))))</x:f>
      </x:c>
      <x:c r="Q623" s="3" t="str">
        <x:f>IF(C623="","",IF(AND(R623="Valid",OR(P623="Pass",P623="N/A")),"Complete","Unresolved"))</x:f>
      </x:c>
      <x:c r="R623" s="9" t="str">
        <x:f>IF(C623="","",IF(OR(COUNTIF($C$9:$C$2008,C623)&lt;&gt;1,COUNTIFS($D$9:$D$2008,D623,$E$9:$E$2008,E623)&lt;&gt;1),"Duplicate test",IF(COUNTIF('Taxonomy'!$C$9:$C$108,D623)&lt;&gt;1,"Assessment key",IF(OR(COUNTIF('Taxonomy Rules'!$C$42:$C$68,E623)&lt;&gt;1,F623&lt;&gt;IFERROR(INDEX('Taxonomy Rules'!$D$42:$D$68,MATCH(E623,'Taxonomy Rules'!$C$42:$C$68,0)),""),NOT(OR(IFERROR(INDEX('Taxonomy Rules'!$G$42:$G$68,MATCH(E623,'Taxonomy Rules'!$C$42:$C$68,0)),"")="All supported routes",IFERROR(INDEX('Taxonomy Rules'!$G$42:$G$68,MATCH(E623,'Taxonomy Rules'!$C$42:$C$68,0)),"")=U623,AND(IFERROR(INDEX('Taxonomy Rules'!$G$42:$G$68,MATCH(E623,'Taxonomy Rules'!$C$42:$C$68,0)),"")="Building routes",OR(U623="Building renovation",U623="New building",U623="Building equipment"))))),"Unexpected test","Valid"))))</x:f>
      </x:c>
      <x:c r="S623" s="9" t="str">
        <x:f>IF(C623="","",IFERROR(INDEX('Taxonomy Rules'!$E$42:$E$68,MATCH(E623,'Taxonomy Rules'!$C$42:$C$68,0)),""))</x:f>
      </x:c>
      <x:c r="T623" s="9" t="str">
        <x:f>IF(C623="","",IFERROR(INDEX('Taxonomy Rules'!$F$42:$F$68,MATCH(E623,'Taxonomy Rules'!$C$42:$C$68,0)),""))</x:f>
      </x:c>
      <x:c r="U623" s="9" t="str">
        <x:f>IF(C623="","",IFERROR(INDEX('Taxonomy'!$G$9:$G$108,MATCH(D623,'Taxonomy'!$C$9:$C$108,0)),""))</x:f>
      </x:c>
    </x:row>
    <x:row r="624" ht="44" customHeight="1">
      <x:c r="A624" s="1"/>
      <x:c r="B624" s="1"/>
      <x:c r="C624" s="8"/>
      <x:c r="D624" s="8"/>
      <x:c r="E624" s="8"/>
      <x:c r="F624" s="8"/>
      <x:c r="G624" s="8"/>
      <x:c r="H624" s="8"/>
      <x:c r="I624" s="8"/>
      <x:c r="J624" s="8"/>
      <x:c r="K624" s="8"/>
      <x:c r="L624" s="8"/>
      <x:c r="M624" s="10"/>
      <x:c r="N624" s="10"/>
      <x:c r="O624" s="8"/>
      <x:c r="P624" s="9" t="str">
        <x:f>IF(C624="","",IF(AND(G624="Applicable",H624="Fail"),"Fail",IF(R624&lt;&gt;"Valid","Pending",IF(OR(I624="",K624="",L624="",K624=L624,NOT(ISNUMBER(M624)),NOT(ISNUMBER(N624)),M624&gt;Settings!$F$8,N624&lt;Settings!$F$8,N624&lt;M624),"Pending",IF(AND(G624="Applicable",H624="Pass"),"Pass",IF(AND(G624="N/A",H624="N/A",J624&lt;&gt;"",OR(E624="CEM-FUELS",E624="CEM-CCS",AND(E624="CEM-PLAN",IFERROR(INDEX('Taxonomy'!$M$9:$M$108,MATCH(D624,'Taxonomy'!$C$9:$C$108,0)),"")&lt;&gt;"Amber"),E624="BLD-TIMBER",AND(U624="Building equipment",OR(E624="BLD-WATER",E624="BLD-WASTE",E624="BLD-LAND")),AND(U624="Building renovation",E624="BLD-LAND"))),"N/A","Pending"))))))</x:f>
      </x:c>
      <x:c r="Q624" s="3" t="str">
        <x:f>IF(C624="","",IF(AND(R624="Valid",OR(P624="Pass",P624="N/A")),"Complete","Unresolved"))</x:f>
      </x:c>
      <x:c r="R624" s="9" t="str">
        <x:f>IF(C624="","",IF(OR(COUNTIF($C$9:$C$2008,C624)&lt;&gt;1,COUNTIFS($D$9:$D$2008,D624,$E$9:$E$2008,E624)&lt;&gt;1),"Duplicate test",IF(COUNTIF('Taxonomy'!$C$9:$C$108,D624)&lt;&gt;1,"Assessment key",IF(OR(COUNTIF('Taxonomy Rules'!$C$42:$C$68,E624)&lt;&gt;1,F624&lt;&gt;IFERROR(INDEX('Taxonomy Rules'!$D$42:$D$68,MATCH(E624,'Taxonomy Rules'!$C$42:$C$68,0)),""),NOT(OR(IFERROR(INDEX('Taxonomy Rules'!$G$42:$G$68,MATCH(E624,'Taxonomy Rules'!$C$42:$C$68,0)),"")="All supported routes",IFERROR(INDEX('Taxonomy Rules'!$G$42:$G$68,MATCH(E624,'Taxonomy Rules'!$C$42:$C$68,0)),"")=U624,AND(IFERROR(INDEX('Taxonomy Rules'!$G$42:$G$68,MATCH(E624,'Taxonomy Rules'!$C$42:$C$68,0)),"")="Building routes",OR(U624="Building renovation",U624="New building",U624="Building equipment"))))),"Unexpected test","Valid"))))</x:f>
      </x:c>
      <x:c r="S624" s="9" t="str">
        <x:f>IF(C624="","",IFERROR(INDEX('Taxonomy Rules'!$E$42:$E$68,MATCH(E624,'Taxonomy Rules'!$C$42:$C$68,0)),""))</x:f>
      </x:c>
      <x:c r="T624" s="9" t="str">
        <x:f>IF(C624="","",IFERROR(INDEX('Taxonomy Rules'!$F$42:$F$68,MATCH(E624,'Taxonomy Rules'!$C$42:$C$68,0)),""))</x:f>
      </x:c>
      <x:c r="U624" s="9" t="str">
        <x:f>IF(C624="","",IFERROR(INDEX('Taxonomy'!$G$9:$G$108,MATCH(D624,'Taxonomy'!$C$9:$C$108,0)),""))</x:f>
      </x:c>
    </x:row>
    <x:row r="625" ht="44" customHeight="1">
      <x:c r="A625" s="1"/>
      <x:c r="B625" s="1"/>
      <x:c r="C625" s="8"/>
      <x:c r="D625" s="8"/>
      <x:c r="E625" s="8"/>
      <x:c r="F625" s="8"/>
      <x:c r="G625" s="8"/>
      <x:c r="H625" s="8"/>
      <x:c r="I625" s="8"/>
      <x:c r="J625" s="8"/>
      <x:c r="K625" s="8"/>
      <x:c r="L625" s="8"/>
      <x:c r="M625" s="10"/>
      <x:c r="N625" s="10"/>
      <x:c r="O625" s="8"/>
      <x:c r="P625" s="9" t="str">
        <x:f>IF(C625="","",IF(AND(G625="Applicable",H625="Fail"),"Fail",IF(R625&lt;&gt;"Valid","Pending",IF(OR(I625="",K625="",L625="",K625=L625,NOT(ISNUMBER(M625)),NOT(ISNUMBER(N625)),M625&gt;Settings!$F$8,N625&lt;Settings!$F$8,N625&lt;M625),"Pending",IF(AND(G625="Applicable",H625="Pass"),"Pass",IF(AND(G625="N/A",H625="N/A",J625&lt;&gt;"",OR(E625="CEM-FUELS",E625="CEM-CCS",AND(E625="CEM-PLAN",IFERROR(INDEX('Taxonomy'!$M$9:$M$108,MATCH(D625,'Taxonomy'!$C$9:$C$108,0)),"")&lt;&gt;"Amber"),E625="BLD-TIMBER",AND(U625="Building equipment",OR(E625="BLD-WATER",E625="BLD-WASTE",E625="BLD-LAND")),AND(U625="Building renovation",E625="BLD-LAND"))),"N/A","Pending"))))))</x:f>
      </x:c>
      <x:c r="Q625" s="3" t="str">
        <x:f>IF(C625="","",IF(AND(R625="Valid",OR(P625="Pass",P625="N/A")),"Complete","Unresolved"))</x:f>
      </x:c>
      <x:c r="R625" s="9" t="str">
        <x:f>IF(C625="","",IF(OR(COUNTIF($C$9:$C$2008,C625)&lt;&gt;1,COUNTIFS($D$9:$D$2008,D625,$E$9:$E$2008,E625)&lt;&gt;1),"Duplicate test",IF(COUNTIF('Taxonomy'!$C$9:$C$108,D625)&lt;&gt;1,"Assessment key",IF(OR(COUNTIF('Taxonomy Rules'!$C$42:$C$68,E625)&lt;&gt;1,F625&lt;&gt;IFERROR(INDEX('Taxonomy Rules'!$D$42:$D$68,MATCH(E625,'Taxonomy Rules'!$C$42:$C$68,0)),""),NOT(OR(IFERROR(INDEX('Taxonomy Rules'!$G$42:$G$68,MATCH(E625,'Taxonomy Rules'!$C$42:$C$68,0)),"")="All supported routes",IFERROR(INDEX('Taxonomy Rules'!$G$42:$G$68,MATCH(E625,'Taxonomy Rules'!$C$42:$C$68,0)),"")=U625,AND(IFERROR(INDEX('Taxonomy Rules'!$G$42:$G$68,MATCH(E625,'Taxonomy Rules'!$C$42:$C$68,0)),"")="Building routes",OR(U625="Building renovation",U625="New building",U625="Building equipment"))))),"Unexpected test","Valid"))))</x:f>
      </x:c>
      <x:c r="S625" s="9" t="str">
        <x:f>IF(C625="","",IFERROR(INDEX('Taxonomy Rules'!$E$42:$E$68,MATCH(E625,'Taxonomy Rules'!$C$42:$C$68,0)),""))</x:f>
      </x:c>
      <x:c r="T625" s="9" t="str">
        <x:f>IF(C625="","",IFERROR(INDEX('Taxonomy Rules'!$F$42:$F$68,MATCH(E625,'Taxonomy Rules'!$C$42:$C$68,0)),""))</x:f>
      </x:c>
      <x:c r="U625" s="9" t="str">
        <x:f>IF(C625="","",IFERROR(INDEX('Taxonomy'!$G$9:$G$108,MATCH(D625,'Taxonomy'!$C$9:$C$108,0)),""))</x:f>
      </x:c>
    </x:row>
    <x:row r="626" ht="44" customHeight="1">
      <x:c r="A626" s="1"/>
      <x:c r="B626" s="1"/>
      <x:c r="C626" s="8"/>
      <x:c r="D626" s="8"/>
      <x:c r="E626" s="8"/>
      <x:c r="F626" s="8"/>
      <x:c r="G626" s="8"/>
      <x:c r="H626" s="8"/>
      <x:c r="I626" s="8"/>
      <x:c r="J626" s="8"/>
      <x:c r="K626" s="8"/>
      <x:c r="L626" s="8"/>
      <x:c r="M626" s="10"/>
      <x:c r="N626" s="10"/>
      <x:c r="O626" s="8"/>
      <x:c r="P626" s="9" t="str">
        <x:f>IF(C626="","",IF(AND(G626="Applicable",H626="Fail"),"Fail",IF(R626&lt;&gt;"Valid","Pending",IF(OR(I626="",K626="",L626="",K626=L626,NOT(ISNUMBER(M626)),NOT(ISNUMBER(N626)),M626&gt;Settings!$F$8,N626&lt;Settings!$F$8,N626&lt;M626),"Pending",IF(AND(G626="Applicable",H626="Pass"),"Pass",IF(AND(G626="N/A",H626="N/A",J626&lt;&gt;"",OR(E626="CEM-FUELS",E626="CEM-CCS",AND(E626="CEM-PLAN",IFERROR(INDEX('Taxonomy'!$M$9:$M$108,MATCH(D626,'Taxonomy'!$C$9:$C$108,0)),"")&lt;&gt;"Amber"),E626="BLD-TIMBER",AND(U626="Building equipment",OR(E626="BLD-WATER",E626="BLD-WASTE",E626="BLD-LAND")),AND(U626="Building renovation",E626="BLD-LAND"))),"N/A","Pending"))))))</x:f>
      </x:c>
      <x:c r="Q626" s="3" t="str">
        <x:f>IF(C626="","",IF(AND(R626="Valid",OR(P626="Pass",P626="N/A")),"Complete","Unresolved"))</x:f>
      </x:c>
      <x:c r="R626" s="9" t="str">
        <x:f>IF(C626="","",IF(OR(COUNTIF($C$9:$C$2008,C626)&lt;&gt;1,COUNTIFS($D$9:$D$2008,D626,$E$9:$E$2008,E626)&lt;&gt;1),"Duplicate test",IF(COUNTIF('Taxonomy'!$C$9:$C$108,D626)&lt;&gt;1,"Assessment key",IF(OR(COUNTIF('Taxonomy Rules'!$C$42:$C$68,E626)&lt;&gt;1,F626&lt;&gt;IFERROR(INDEX('Taxonomy Rules'!$D$42:$D$68,MATCH(E626,'Taxonomy Rules'!$C$42:$C$68,0)),""),NOT(OR(IFERROR(INDEX('Taxonomy Rules'!$G$42:$G$68,MATCH(E626,'Taxonomy Rules'!$C$42:$C$68,0)),"")="All supported routes",IFERROR(INDEX('Taxonomy Rules'!$G$42:$G$68,MATCH(E626,'Taxonomy Rules'!$C$42:$C$68,0)),"")=U626,AND(IFERROR(INDEX('Taxonomy Rules'!$G$42:$G$68,MATCH(E626,'Taxonomy Rules'!$C$42:$C$68,0)),"")="Building routes",OR(U626="Building renovation",U626="New building",U626="Building equipment"))))),"Unexpected test","Valid"))))</x:f>
      </x:c>
      <x:c r="S626" s="9" t="str">
        <x:f>IF(C626="","",IFERROR(INDEX('Taxonomy Rules'!$E$42:$E$68,MATCH(E626,'Taxonomy Rules'!$C$42:$C$68,0)),""))</x:f>
      </x:c>
      <x:c r="T626" s="9" t="str">
        <x:f>IF(C626="","",IFERROR(INDEX('Taxonomy Rules'!$F$42:$F$68,MATCH(E626,'Taxonomy Rules'!$C$42:$C$68,0)),""))</x:f>
      </x:c>
      <x:c r="U626" s="9" t="str">
        <x:f>IF(C626="","",IFERROR(INDEX('Taxonomy'!$G$9:$G$108,MATCH(D626,'Taxonomy'!$C$9:$C$108,0)),""))</x:f>
      </x:c>
    </x:row>
    <x:row r="627" ht="44" customHeight="1">
      <x:c r="A627" s="1"/>
      <x:c r="B627" s="1"/>
      <x:c r="C627" s="8"/>
      <x:c r="D627" s="8"/>
      <x:c r="E627" s="8"/>
      <x:c r="F627" s="8"/>
      <x:c r="G627" s="8"/>
      <x:c r="H627" s="8"/>
      <x:c r="I627" s="8"/>
      <x:c r="J627" s="8"/>
      <x:c r="K627" s="8"/>
      <x:c r="L627" s="8"/>
      <x:c r="M627" s="10"/>
      <x:c r="N627" s="10"/>
      <x:c r="O627" s="8"/>
      <x:c r="P627" s="9" t="str">
        <x:f>IF(C627="","",IF(AND(G627="Applicable",H627="Fail"),"Fail",IF(R627&lt;&gt;"Valid","Pending",IF(OR(I627="",K627="",L627="",K627=L627,NOT(ISNUMBER(M627)),NOT(ISNUMBER(N627)),M627&gt;Settings!$F$8,N627&lt;Settings!$F$8,N627&lt;M627),"Pending",IF(AND(G627="Applicable",H627="Pass"),"Pass",IF(AND(G627="N/A",H627="N/A",J627&lt;&gt;"",OR(E627="CEM-FUELS",E627="CEM-CCS",AND(E627="CEM-PLAN",IFERROR(INDEX('Taxonomy'!$M$9:$M$108,MATCH(D627,'Taxonomy'!$C$9:$C$108,0)),"")&lt;&gt;"Amber"),E627="BLD-TIMBER",AND(U627="Building equipment",OR(E627="BLD-WATER",E627="BLD-WASTE",E627="BLD-LAND")),AND(U627="Building renovation",E627="BLD-LAND"))),"N/A","Pending"))))))</x:f>
      </x:c>
      <x:c r="Q627" s="3" t="str">
        <x:f>IF(C627="","",IF(AND(R627="Valid",OR(P627="Pass",P627="N/A")),"Complete","Unresolved"))</x:f>
      </x:c>
      <x:c r="R627" s="9" t="str">
        <x:f>IF(C627="","",IF(OR(COUNTIF($C$9:$C$2008,C627)&lt;&gt;1,COUNTIFS($D$9:$D$2008,D627,$E$9:$E$2008,E627)&lt;&gt;1),"Duplicate test",IF(COUNTIF('Taxonomy'!$C$9:$C$108,D627)&lt;&gt;1,"Assessment key",IF(OR(COUNTIF('Taxonomy Rules'!$C$42:$C$68,E627)&lt;&gt;1,F627&lt;&gt;IFERROR(INDEX('Taxonomy Rules'!$D$42:$D$68,MATCH(E627,'Taxonomy Rules'!$C$42:$C$68,0)),""),NOT(OR(IFERROR(INDEX('Taxonomy Rules'!$G$42:$G$68,MATCH(E627,'Taxonomy Rules'!$C$42:$C$68,0)),"")="All supported routes",IFERROR(INDEX('Taxonomy Rules'!$G$42:$G$68,MATCH(E627,'Taxonomy Rules'!$C$42:$C$68,0)),"")=U627,AND(IFERROR(INDEX('Taxonomy Rules'!$G$42:$G$68,MATCH(E627,'Taxonomy Rules'!$C$42:$C$68,0)),"")="Building routes",OR(U627="Building renovation",U627="New building",U627="Building equipment"))))),"Unexpected test","Valid"))))</x:f>
      </x:c>
      <x:c r="S627" s="9" t="str">
        <x:f>IF(C627="","",IFERROR(INDEX('Taxonomy Rules'!$E$42:$E$68,MATCH(E627,'Taxonomy Rules'!$C$42:$C$68,0)),""))</x:f>
      </x:c>
      <x:c r="T627" s="9" t="str">
        <x:f>IF(C627="","",IFERROR(INDEX('Taxonomy Rules'!$F$42:$F$68,MATCH(E627,'Taxonomy Rules'!$C$42:$C$68,0)),""))</x:f>
      </x:c>
      <x:c r="U627" s="9" t="str">
        <x:f>IF(C627="","",IFERROR(INDEX('Taxonomy'!$G$9:$G$108,MATCH(D627,'Taxonomy'!$C$9:$C$108,0)),""))</x:f>
      </x:c>
    </x:row>
    <x:row r="628" ht="44" customHeight="1">
      <x:c r="A628" s="1"/>
      <x:c r="B628" s="1"/>
      <x:c r="C628" s="8"/>
      <x:c r="D628" s="8"/>
      <x:c r="E628" s="8"/>
      <x:c r="F628" s="8"/>
      <x:c r="G628" s="8"/>
      <x:c r="H628" s="8"/>
      <x:c r="I628" s="8"/>
      <x:c r="J628" s="8"/>
      <x:c r="K628" s="8"/>
      <x:c r="L628" s="8"/>
      <x:c r="M628" s="10"/>
      <x:c r="N628" s="10"/>
      <x:c r="O628" s="8"/>
      <x:c r="P628" s="9" t="str">
        <x:f>IF(C628="","",IF(AND(G628="Applicable",H628="Fail"),"Fail",IF(R628&lt;&gt;"Valid","Pending",IF(OR(I628="",K628="",L628="",K628=L628,NOT(ISNUMBER(M628)),NOT(ISNUMBER(N628)),M628&gt;Settings!$F$8,N628&lt;Settings!$F$8,N628&lt;M628),"Pending",IF(AND(G628="Applicable",H628="Pass"),"Pass",IF(AND(G628="N/A",H628="N/A",J628&lt;&gt;"",OR(E628="CEM-FUELS",E628="CEM-CCS",AND(E628="CEM-PLAN",IFERROR(INDEX('Taxonomy'!$M$9:$M$108,MATCH(D628,'Taxonomy'!$C$9:$C$108,0)),"")&lt;&gt;"Amber"),E628="BLD-TIMBER",AND(U628="Building equipment",OR(E628="BLD-WATER",E628="BLD-WASTE",E628="BLD-LAND")),AND(U628="Building renovation",E628="BLD-LAND"))),"N/A","Pending"))))))</x:f>
      </x:c>
      <x:c r="Q628" s="3" t="str">
        <x:f>IF(C628="","",IF(AND(R628="Valid",OR(P628="Pass",P628="N/A")),"Complete","Unresolved"))</x:f>
      </x:c>
      <x:c r="R628" s="9" t="str">
        <x:f>IF(C628="","",IF(OR(COUNTIF($C$9:$C$2008,C628)&lt;&gt;1,COUNTIFS($D$9:$D$2008,D628,$E$9:$E$2008,E628)&lt;&gt;1),"Duplicate test",IF(COUNTIF('Taxonomy'!$C$9:$C$108,D628)&lt;&gt;1,"Assessment key",IF(OR(COUNTIF('Taxonomy Rules'!$C$42:$C$68,E628)&lt;&gt;1,F628&lt;&gt;IFERROR(INDEX('Taxonomy Rules'!$D$42:$D$68,MATCH(E628,'Taxonomy Rules'!$C$42:$C$68,0)),""),NOT(OR(IFERROR(INDEX('Taxonomy Rules'!$G$42:$G$68,MATCH(E628,'Taxonomy Rules'!$C$42:$C$68,0)),"")="All supported routes",IFERROR(INDEX('Taxonomy Rules'!$G$42:$G$68,MATCH(E628,'Taxonomy Rules'!$C$42:$C$68,0)),"")=U628,AND(IFERROR(INDEX('Taxonomy Rules'!$G$42:$G$68,MATCH(E628,'Taxonomy Rules'!$C$42:$C$68,0)),"")="Building routes",OR(U628="Building renovation",U628="New building",U628="Building equipment"))))),"Unexpected test","Valid"))))</x:f>
      </x:c>
      <x:c r="S628" s="9" t="str">
        <x:f>IF(C628="","",IFERROR(INDEX('Taxonomy Rules'!$E$42:$E$68,MATCH(E628,'Taxonomy Rules'!$C$42:$C$68,0)),""))</x:f>
      </x:c>
      <x:c r="T628" s="9" t="str">
        <x:f>IF(C628="","",IFERROR(INDEX('Taxonomy Rules'!$F$42:$F$68,MATCH(E628,'Taxonomy Rules'!$C$42:$C$68,0)),""))</x:f>
      </x:c>
      <x:c r="U628" s="9" t="str">
        <x:f>IF(C628="","",IFERROR(INDEX('Taxonomy'!$G$9:$G$108,MATCH(D628,'Taxonomy'!$C$9:$C$108,0)),""))</x:f>
      </x:c>
    </x:row>
    <x:row r="629" ht="44" customHeight="1">
      <x:c r="A629" s="1"/>
      <x:c r="B629" s="1"/>
      <x:c r="C629" s="8"/>
      <x:c r="D629" s="8"/>
      <x:c r="E629" s="8"/>
      <x:c r="F629" s="8"/>
      <x:c r="G629" s="8"/>
      <x:c r="H629" s="8"/>
      <x:c r="I629" s="8"/>
      <x:c r="J629" s="8"/>
      <x:c r="K629" s="8"/>
      <x:c r="L629" s="8"/>
      <x:c r="M629" s="10"/>
      <x:c r="N629" s="10"/>
      <x:c r="O629" s="8"/>
      <x:c r="P629" s="9" t="str">
        <x:f>IF(C629="","",IF(AND(G629="Applicable",H629="Fail"),"Fail",IF(R629&lt;&gt;"Valid","Pending",IF(OR(I629="",K629="",L629="",K629=L629,NOT(ISNUMBER(M629)),NOT(ISNUMBER(N629)),M629&gt;Settings!$F$8,N629&lt;Settings!$F$8,N629&lt;M629),"Pending",IF(AND(G629="Applicable",H629="Pass"),"Pass",IF(AND(G629="N/A",H629="N/A",J629&lt;&gt;"",OR(E629="CEM-FUELS",E629="CEM-CCS",AND(E629="CEM-PLAN",IFERROR(INDEX('Taxonomy'!$M$9:$M$108,MATCH(D629,'Taxonomy'!$C$9:$C$108,0)),"")&lt;&gt;"Amber"),E629="BLD-TIMBER",AND(U629="Building equipment",OR(E629="BLD-WATER",E629="BLD-WASTE",E629="BLD-LAND")),AND(U629="Building renovation",E629="BLD-LAND"))),"N/A","Pending"))))))</x:f>
      </x:c>
      <x:c r="Q629" s="3" t="str">
        <x:f>IF(C629="","",IF(AND(R629="Valid",OR(P629="Pass",P629="N/A")),"Complete","Unresolved"))</x:f>
      </x:c>
      <x:c r="R629" s="9" t="str">
        <x:f>IF(C629="","",IF(OR(COUNTIF($C$9:$C$2008,C629)&lt;&gt;1,COUNTIFS($D$9:$D$2008,D629,$E$9:$E$2008,E629)&lt;&gt;1),"Duplicate test",IF(COUNTIF('Taxonomy'!$C$9:$C$108,D629)&lt;&gt;1,"Assessment key",IF(OR(COUNTIF('Taxonomy Rules'!$C$42:$C$68,E629)&lt;&gt;1,F629&lt;&gt;IFERROR(INDEX('Taxonomy Rules'!$D$42:$D$68,MATCH(E629,'Taxonomy Rules'!$C$42:$C$68,0)),""),NOT(OR(IFERROR(INDEX('Taxonomy Rules'!$G$42:$G$68,MATCH(E629,'Taxonomy Rules'!$C$42:$C$68,0)),"")="All supported routes",IFERROR(INDEX('Taxonomy Rules'!$G$42:$G$68,MATCH(E629,'Taxonomy Rules'!$C$42:$C$68,0)),"")=U629,AND(IFERROR(INDEX('Taxonomy Rules'!$G$42:$G$68,MATCH(E629,'Taxonomy Rules'!$C$42:$C$68,0)),"")="Building routes",OR(U629="Building renovation",U629="New building",U629="Building equipment"))))),"Unexpected test","Valid"))))</x:f>
      </x:c>
      <x:c r="S629" s="9" t="str">
        <x:f>IF(C629="","",IFERROR(INDEX('Taxonomy Rules'!$E$42:$E$68,MATCH(E629,'Taxonomy Rules'!$C$42:$C$68,0)),""))</x:f>
      </x:c>
      <x:c r="T629" s="9" t="str">
        <x:f>IF(C629="","",IFERROR(INDEX('Taxonomy Rules'!$F$42:$F$68,MATCH(E629,'Taxonomy Rules'!$C$42:$C$68,0)),""))</x:f>
      </x:c>
      <x:c r="U629" s="9" t="str">
        <x:f>IF(C629="","",IFERROR(INDEX('Taxonomy'!$G$9:$G$108,MATCH(D629,'Taxonomy'!$C$9:$C$108,0)),""))</x:f>
      </x:c>
    </x:row>
    <x:row r="630" ht="44" customHeight="1">
      <x:c r="A630" s="1"/>
      <x:c r="B630" s="1"/>
      <x:c r="C630" s="8"/>
      <x:c r="D630" s="8"/>
      <x:c r="E630" s="8"/>
      <x:c r="F630" s="8"/>
      <x:c r="G630" s="8"/>
      <x:c r="H630" s="8"/>
      <x:c r="I630" s="8"/>
      <x:c r="J630" s="8"/>
      <x:c r="K630" s="8"/>
      <x:c r="L630" s="8"/>
      <x:c r="M630" s="10"/>
      <x:c r="N630" s="10"/>
      <x:c r="O630" s="8"/>
      <x:c r="P630" s="9" t="str">
        <x:f>IF(C630="","",IF(AND(G630="Applicable",H630="Fail"),"Fail",IF(R630&lt;&gt;"Valid","Pending",IF(OR(I630="",K630="",L630="",K630=L630,NOT(ISNUMBER(M630)),NOT(ISNUMBER(N630)),M630&gt;Settings!$F$8,N630&lt;Settings!$F$8,N630&lt;M630),"Pending",IF(AND(G630="Applicable",H630="Pass"),"Pass",IF(AND(G630="N/A",H630="N/A",J630&lt;&gt;"",OR(E630="CEM-FUELS",E630="CEM-CCS",AND(E630="CEM-PLAN",IFERROR(INDEX('Taxonomy'!$M$9:$M$108,MATCH(D630,'Taxonomy'!$C$9:$C$108,0)),"")&lt;&gt;"Amber"),E630="BLD-TIMBER",AND(U630="Building equipment",OR(E630="BLD-WATER",E630="BLD-WASTE",E630="BLD-LAND")),AND(U630="Building renovation",E630="BLD-LAND"))),"N/A","Pending"))))))</x:f>
      </x:c>
      <x:c r="Q630" s="3" t="str">
        <x:f>IF(C630="","",IF(AND(R630="Valid",OR(P630="Pass",P630="N/A")),"Complete","Unresolved"))</x:f>
      </x:c>
      <x:c r="R630" s="9" t="str">
        <x:f>IF(C630="","",IF(OR(COUNTIF($C$9:$C$2008,C630)&lt;&gt;1,COUNTIFS($D$9:$D$2008,D630,$E$9:$E$2008,E630)&lt;&gt;1),"Duplicate test",IF(COUNTIF('Taxonomy'!$C$9:$C$108,D630)&lt;&gt;1,"Assessment key",IF(OR(COUNTIF('Taxonomy Rules'!$C$42:$C$68,E630)&lt;&gt;1,F630&lt;&gt;IFERROR(INDEX('Taxonomy Rules'!$D$42:$D$68,MATCH(E630,'Taxonomy Rules'!$C$42:$C$68,0)),""),NOT(OR(IFERROR(INDEX('Taxonomy Rules'!$G$42:$G$68,MATCH(E630,'Taxonomy Rules'!$C$42:$C$68,0)),"")="All supported routes",IFERROR(INDEX('Taxonomy Rules'!$G$42:$G$68,MATCH(E630,'Taxonomy Rules'!$C$42:$C$68,0)),"")=U630,AND(IFERROR(INDEX('Taxonomy Rules'!$G$42:$G$68,MATCH(E630,'Taxonomy Rules'!$C$42:$C$68,0)),"")="Building routes",OR(U630="Building renovation",U630="New building",U630="Building equipment"))))),"Unexpected test","Valid"))))</x:f>
      </x:c>
      <x:c r="S630" s="9" t="str">
        <x:f>IF(C630="","",IFERROR(INDEX('Taxonomy Rules'!$E$42:$E$68,MATCH(E630,'Taxonomy Rules'!$C$42:$C$68,0)),""))</x:f>
      </x:c>
      <x:c r="T630" s="9" t="str">
        <x:f>IF(C630="","",IFERROR(INDEX('Taxonomy Rules'!$F$42:$F$68,MATCH(E630,'Taxonomy Rules'!$C$42:$C$68,0)),""))</x:f>
      </x:c>
      <x:c r="U630" s="9" t="str">
        <x:f>IF(C630="","",IFERROR(INDEX('Taxonomy'!$G$9:$G$108,MATCH(D630,'Taxonomy'!$C$9:$C$108,0)),""))</x:f>
      </x:c>
    </x:row>
    <x:row r="631" ht="44" customHeight="1">
      <x:c r="A631" s="1"/>
      <x:c r="B631" s="1"/>
      <x:c r="C631" s="8"/>
      <x:c r="D631" s="8"/>
      <x:c r="E631" s="8"/>
      <x:c r="F631" s="8"/>
      <x:c r="G631" s="8"/>
      <x:c r="H631" s="8"/>
      <x:c r="I631" s="8"/>
      <x:c r="J631" s="8"/>
      <x:c r="K631" s="8"/>
      <x:c r="L631" s="8"/>
      <x:c r="M631" s="10"/>
      <x:c r="N631" s="10"/>
      <x:c r="O631" s="8"/>
      <x:c r="P631" s="9" t="str">
        <x:f>IF(C631="","",IF(AND(G631="Applicable",H631="Fail"),"Fail",IF(R631&lt;&gt;"Valid","Pending",IF(OR(I631="",K631="",L631="",K631=L631,NOT(ISNUMBER(M631)),NOT(ISNUMBER(N631)),M631&gt;Settings!$F$8,N631&lt;Settings!$F$8,N631&lt;M631),"Pending",IF(AND(G631="Applicable",H631="Pass"),"Pass",IF(AND(G631="N/A",H631="N/A",J631&lt;&gt;"",OR(E631="CEM-FUELS",E631="CEM-CCS",AND(E631="CEM-PLAN",IFERROR(INDEX('Taxonomy'!$M$9:$M$108,MATCH(D631,'Taxonomy'!$C$9:$C$108,0)),"")&lt;&gt;"Amber"),E631="BLD-TIMBER",AND(U631="Building equipment",OR(E631="BLD-WATER",E631="BLD-WASTE",E631="BLD-LAND")),AND(U631="Building renovation",E631="BLD-LAND"))),"N/A","Pending"))))))</x:f>
      </x:c>
      <x:c r="Q631" s="3" t="str">
        <x:f>IF(C631="","",IF(AND(R631="Valid",OR(P631="Pass",P631="N/A")),"Complete","Unresolved"))</x:f>
      </x:c>
      <x:c r="R631" s="9" t="str">
        <x:f>IF(C631="","",IF(OR(COUNTIF($C$9:$C$2008,C631)&lt;&gt;1,COUNTIFS($D$9:$D$2008,D631,$E$9:$E$2008,E631)&lt;&gt;1),"Duplicate test",IF(COUNTIF('Taxonomy'!$C$9:$C$108,D631)&lt;&gt;1,"Assessment key",IF(OR(COUNTIF('Taxonomy Rules'!$C$42:$C$68,E631)&lt;&gt;1,F631&lt;&gt;IFERROR(INDEX('Taxonomy Rules'!$D$42:$D$68,MATCH(E631,'Taxonomy Rules'!$C$42:$C$68,0)),""),NOT(OR(IFERROR(INDEX('Taxonomy Rules'!$G$42:$G$68,MATCH(E631,'Taxonomy Rules'!$C$42:$C$68,0)),"")="All supported routes",IFERROR(INDEX('Taxonomy Rules'!$G$42:$G$68,MATCH(E631,'Taxonomy Rules'!$C$42:$C$68,0)),"")=U631,AND(IFERROR(INDEX('Taxonomy Rules'!$G$42:$G$68,MATCH(E631,'Taxonomy Rules'!$C$42:$C$68,0)),"")="Building routes",OR(U631="Building renovation",U631="New building",U631="Building equipment"))))),"Unexpected test","Valid"))))</x:f>
      </x:c>
      <x:c r="S631" s="9" t="str">
        <x:f>IF(C631="","",IFERROR(INDEX('Taxonomy Rules'!$E$42:$E$68,MATCH(E631,'Taxonomy Rules'!$C$42:$C$68,0)),""))</x:f>
      </x:c>
      <x:c r="T631" s="9" t="str">
        <x:f>IF(C631="","",IFERROR(INDEX('Taxonomy Rules'!$F$42:$F$68,MATCH(E631,'Taxonomy Rules'!$C$42:$C$68,0)),""))</x:f>
      </x:c>
      <x:c r="U631" s="9" t="str">
        <x:f>IF(C631="","",IFERROR(INDEX('Taxonomy'!$G$9:$G$108,MATCH(D631,'Taxonomy'!$C$9:$C$108,0)),""))</x:f>
      </x:c>
    </x:row>
    <x:row r="632" ht="44" customHeight="1">
      <x:c r="A632" s="1"/>
      <x:c r="B632" s="1"/>
      <x:c r="C632" s="8"/>
      <x:c r="D632" s="8"/>
      <x:c r="E632" s="8"/>
      <x:c r="F632" s="8"/>
      <x:c r="G632" s="8"/>
      <x:c r="H632" s="8"/>
      <x:c r="I632" s="8"/>
      <x:c r="J632" s="8"/>
      <x:c r="K632" s="8"/>
      <x:c r="L632" s="8"/>
      <x:c r="M632" s="10"/>
      <x:c r="N632" s="10"/>
      <x:c r="O632" s="8"/>
      <x:c r="P632" s="9" t="str">
        <x:f>IF(C632="","",IF(AND(G632="Applicable",H632="Fail"),"Fail",IF(R632&lt;&gt;"Valid","Pending",IF(OR(I632="",K632="",L632="",K632=L632,NOT(ISNUMBER(M632)),NOT(ISNUMBER(N632)),M632&gt;Settings!$F$8,N632&lt;Settings!$F$8,N632&lt;M632),"Pending",IF(AND(G632="Applicable",H632="Pass"),"Pass",IF(AND(G632="N/A",H632="N/A",J632&lt;&gt;"",OR(E632="CEM-FUELS",E632="CEM-CCS",AND(E632="CEM-PLAN",IFERROR(INDEX('Taxonomy'!$M$9:$M$108,MATCH(D632,'Taxonomy'!$C$9:$C$108,0)),"")&lt;&gt;"Amber"),E632="BLD-TIMBER",AND(U632="Building equipment",OR(E632="BLD-WATER",E632="BLD-WASTE",E632="BLD-LAND")),AND(U632="Building renovation",E632="BLD-LAND"))),"N/A","Pending"))))))</x:f>
      </x:c>
      <x:c r="Q632" s="3" t="str">
        <x:f>IF(C632="","",IF(AND(R632="Valid",OR(P632="Pass",P632="N/A")),"Complete","Unresolved"))</x:f>
      </x:c>
      <x:c r="R632" s="9" t="str">
        <x:f>IF(C632="","",IF(OR(COUNTIF($C$9:$C$2008,C632)&lt;&gt;1,COUNTIFS($D$9:$D$2008,D632,$E$9:$E$2008,E632)&lt;&gt;1),"Duplicate test",IF(COUNTIF('Taxonomy'!$C$9:$C$108,D632)&lt;&gt;1,"Assessment key",IF(OR(COUNTIF('Taxonomy Rules'!$C$42:$C$68,E632)&lt;&gt;1,F632&lt;&gt;IFERROR(INDEX('Taxonomy Rules'!$D$42:$D$68,MATCH(E632,'Taxonomy Rules'!$C$42:$C$68,0)),""),NOT(OR(IFERROR(INDEX('Taxonomy Rules'!$G$42:$G$68,MATCH(E632,'Taxonomy Rules'!$C$42:$C$68,0)),"")="All supported routes",IFERROR(INDEX('Taxonomy Rules'!$G$42:$G$68,MATCH(E632,'Taxonomy Rules'!$C$42:$C$68,0)),"")=U632,AND(IFERROR(INDEX('Taxonomy Rules'!$G$42:$G$68,MATCH(E632,'Taxonomy Rules'!$C$42:$C$68,0)),"")="Building routes",OR(U632="Building renovation",U632="New building",U632="Building equipment"))))),"Unexpected test","Valid"))))</x:f>
      </x:c>
      <x:c r="S632" s="9" t="str">
        <x:f>IF(C632="","",IFERROR(INDEX('Taxonomy Rules'!$E$42:$E$68,MATCH(E632,'Taxonomy Rules'!$C$42:$C$68,0)),""))</x:f>
      </x:c>
      <x:c r="T632" s="9" t="str">
        <x:f>IF(C632="","",IFERROR(INDEX('Taxonomy Rules'!$F$42:$F$68,MATCH(E632,'Taxonomy Rules'!$C$42:$C$68,0)),""))</x:f>
      </x:c>
      <x:c r="U632" s="9" t="str">
        <x:f>IF(C632="","",IFERROR(INDEX('Taxonomy'!$G$9:$G$108,MATCH(D632,'Taxonomy'!$C$9:$C$108,0)),""))</x:f>
      </x:c>
    </x:row>
    <x:row r="633" ht="44" customHeight="1">
      <x:c r="A633" s="1"/>
      <x:c r="B633" s="1"/>
      <x:c r="C633" s="8"/>
      <x:c r="D633" s="8"/>
      <x:c r="E633" s="8"/>
      <x:c r="F633" s="8"/>
      <x:c r="G633" s="8"/>
      <x:c r="H633" s="8"/>
      <x:c r="I633" s="8"/>
      <x:c r="J633" s="8"/>
      <x:c r="K633" s="8"/>
      <x:c r="L633" s="8"/>
      <x:c r="M633" s="10"/>
      <x:c r="N633" s="10"/>
      <x:c r="O633" s="8"/>
      <x:c r="P633" s="9" t="str">
        <x:f>IF(C633="","",IF(AND(G633="Applicable",H633="Fail"),"Fail",IF(R633&lt;&gt;"Valid","Pending",IF(OR(I633="",K633="",L633="",K633=L633,NOT(ISNUMBER(M633)),NOT(ISNUMBER(N633)),M633&gt;Settings!$F$8,N633&lt;Settings!$F$8,N633&lt;M633),"Pending",IF(AND(G633="Applicable",H633="Pass"),"Pass",IF(AND(G633="N/A",H633="N/A",J633&lt;&gt;"",OR(E633="CEM-FUELS",E633="CEM-CCS",AND(E633="CEM-PLAN",IFERROR(INDEX('Taxonomy'!$M$9:$M$108,MATCH(D633,'Taxonomy'!$C$9:$C$108,0)),"")&lt;&gt;"Amber"),E633="BLD-TIMBER",AND(U633="Building equipment",OR(E633="BLD-WATER",E633="BLD-WASTE",E633="BLD-LAND")),AND(U633="Building renovation",E633="BLD-LAND"))),"N/A","Pending"))))))</x:f>
      </x:c>
      <x:c r="Q633" s="3" t="str">
        <x:f>IF(C633="","",IF(AND(R633="Valid",OR(P633="Pass",P633="N/A")),"Complete","Unresolved"))</x:f>
      </x:c>
      <x:c r="R633" s="9" t="str">
        <x:f>IF(C633="","",IF(OR(COUNTIF($C$9:$C$2008,C633)&lt;&gt;1,COUNTIFS($D$9:$D$2008,D633,$E$9:$E$2008,E633)&lt;&gt;1),"Duplicate test",IF(COUNTIF('Taxonomy'!$C$9:$C$108,D633)&lt;&gt;1,"Assessment key",IF(OR(COUNTIF('Taxonomy Rules'!$C$42:$C$68,E633)&lt;&gt;1,F633&lt;&gt;IFERROR(INDEX('Taxonomy Rules'!$D$42:$D$68,MATCH(E633,'Taxonomy Rules'!$C$42:$C$68,0)),""),NOT(OR(IFERROR(INDEX('Taxonomy Rules'!$G$42:$G$68,MATCH(E633,'Taxonomy Rules'!$C$42:$C$68,0)),"")="All supported routes",IFERROR(INDEX('Taxonomy Rules'!$G$42:$G$68,MATCH(E633,'Taxonomy Rules'!$C$42:$C$68,0)),"")=U633,AND(IFERROR(INDEX('Taxonomy Rules'!$G$42:$G$68,MATCH(E633,'Taxonomy Rules'!$C$42:$C$68,0)),"")="Building routes",OR(U633="Building renovation",U633="New building",U633="Building equipment"))))),"Unexpected test","Valid"))))</x:f>
      </x:c>
      <x:c r="S633" s="9" t="str">
        <x:f>IF(C633="","",IFERROR(INDEX('Taxonomy Rules'!$E$42:$E$68,MATCH(E633,'Taxonomy Rules'!$C$42:$C$68,0)),""))</x:f>
      </x:c>
      <x:c r="T633" s="9" t="str">
        <x:f>IF(C633="","",IFERROR(INDEX('Taxonomy Rules'!$F$42:$F$68,MATCH(E633,'Taxonomy Rules'!$C$42:$C$68,0)),""))</x:f>
      </x:c>
      <x:c r="U633" s="9" t="str">
        <x:f>IF(C633="","",IFERROR(INDEX('Taxonomy'!$G$9:$G$108,MATCH(D633,'Taxonomy'!$C$9:$C$108,0)),""))</x:f>
      </x:c>
    </x:row>
    <x:row r="634" ht="44" customHeight="1">
      <x:c r="A634" s="1"/>
      <x:c r="B634" s="1"/>
      <x:c r="C634" s="8"/>
      <x:c r="D634" s="8"/>
      <x:c r="E634" s="8"/>
      <x:c r="F634" s="8"/>
      <x:c r="G634" s="8"/>
      <x:c r="H634" s="8"/>
      <x:c r="I634" s="8"/>
      <x:c r="J634" s="8"/>
      <x:c r="K634" s="8"/>
      <x:c r="L634" s="8"/>
      <x:c r="M634" s="10"/>
      <x:c r="N634" s="10"/>
      <x:c r="O634" s="8"/>
      <x:c r="P634" s="9" t="str">
        <x:f>IF(C634="","",IF(AND(G634="Applicable",H634="Fail"),"Fail",IF(R634&lt;&gt;"Valid","Pending",IF(OR(I634="",K634="",L634="",K634=L634,NOT(ISNUMBER(M634)),NOT(ISNUMBER(N634)),M634&gt;Settings!$F$8,N634&lt;Settings!$F$8,N634&lt;M634),"Pending",IF(AND(G634="Applicable",H634="Pass"),"Pass",IF(AND(G634="N/A",H634="N/A",J634&lt;&gt;"",OR(E634="CEM-FUELS",E634="CEM-CCS",AND(E634="CEM-PLAN",IFERROR(INDEX('Taxonomy'!$M$9:$M$108,MATCH(D634,'Taxonomy'!$C$9:$C$108,0)),"")&lt;&gt;"Amber"),E634="BLD-TIMBER",AND(U634="Building equipment",OR(E634="BLD-WATER",E634="BLD-WASTE",E634="BLD-LAND")),AND(U634="Building renovation",E634="BLD-LAND"))),"N/A","Pending"))))))</x:f>
      </x:c>
      <x:c r="Q634" s="3" t="str">
        <x:f>IF(C634="","",IF(AND(R634="Valid",OR(P634="Pass",P634="N/A")),"Complete","Unresolved"))</x:f>
      </x:c>
      <x:c r="R634" s="9" t="str">
        <x:f>IF(C634="","",IF(OR(COUNTIF($C$9:$C$2008,C634)&lt;&gt;1,COUNTIFS($D$9:$D$2008,D634,$E$9:$E$2008,E634)&lt;&gt;1),"Duplicate test",IF(COUNTIF('Taxonomy'!$C$9:$C$108,D634)&lt;&gt;1,"Assessment key",IF(OR(COUNTIF('Taxonomy Rules'!$C$42:$C$68,E634)&lt;&gt;1,F634&lt;&gt;IFERROR(INDEX('Taxonomy Rules'!$D$42:$D$68,MATCH(E634,'Taxonomy Rules'!$C$42:$C$68,0)),""),NOT(OR(IFERROR(INDEX('Taxonomy Rules'!$G$42:$G$68,MATCH(E634,'Taxonomy Rules'!$C$42:$C$68,0)),"")="All supported routes",IFERROR(INDEX('Taxonomy Rules'!$G$42:$G$68,MATCH(E634,'Taxonomy Rules'!$C$42:$C$68,0)),"")=U634,AND(IFERROR(INDEX('Taxonomy Rules'!$G$42:$G$68,MATCH(E634,'Taxonomy Rules'!$C$42:$C$68,0)),"")="Building routes",OR(U634="Building renovation",U634="New building",U634="Building equipment"))))),"Unexpected test","Valid"))))</x:f>
      </x:c>
      <x:c r="S634" s="9" t="str">
        <x:f>IF(C634="","",IFERROR(INDEX('Taxonomy Rules'!$E$42:$E$68,MATCH(E634,'Taxonomy Rules'!$C$42:$C$68,0)),""))</x:f>
      </x:c>
      <x:c r="T634" s="9" t="str">
        <x:f>IF(C634="","",IFERROR(INDEX('Taxonomy Rules'!$F$42:$F$68,MATCH(E634,'Taxonomy Rules'!$C$42:$C$68,0)),""))</x:f>
      </x:c>
      <x:c r="U634" s="9" t="str">
        <x:f>IF(C634="","",IFERROR(INDEX('Taxonomy'!$G$9:$G$108,MATCH(D634,'Taxonomy'!$C$9:$C$108,0)),""))</x:f>
      </x:c>
    </x:row>
    <x:row r="635" ht="44" customHeight="1">
      <x:c r="A635" s="1"/>
      <x:c r="B635" s="1"/>
      <x:c r="C635" s="8"/>
      <x:c r="D635" s="8"/>
      <x:c r="E635" s="8"/>
      <x:c r="F635" s="8"/>
      <x:c r="G635" s="8"/>
      <x:c r="H635" s="8"/>
      <x:c r="I635" s="8"/>
      <x:c r="J635" s="8"/>
      <x:c r="K635" s="8"/>
      <x:c r="L635" s="8"/>
      <x:c r="M635" s="10"/>
      <x:c r="N635" s="10"/>
      <x:c r="O635" s="8"/>
      <x:c r="P635" s="9" t="str">
        <x:f>IF(C635="","",IF(AND(G635="Applicable",H635="Fail"),"Fail",IF(R635&lt;&gt;"Valid","Pending",IF(OR(I635="",K635="",L635="",K635=L635,NOT(ISNUMBER(M635)),NOT(ISNUMBER(N635)),M635&gt;Settings!$F$8,N635&lt;Settings!$F$8,N635&lt;M635),"Pending",IF(AND(G635="Applicable",H635="Pass"),"Pass",IF(AND(G635="N/A",H635="N/A",J635&lt;&gt;"",OR(E635="CEM-FUELS",E635="CEM-CCS",AND(E635="CEM-PLAN",IFERROR(INDEX('Taxonomy'!$M$9:$M$108,MATCH(D635,'Taxonomy'!$C$9:$C$108,0)),"")&lt;&gt;"Amber"),E635="BLD-TIMBER",AND(U635="Building equipment",OR(E635="BLD-WATER",E635="BLD-WASTE",E635="BLD-LAND")),AND(U635="Building renovation",E635="BLD-LAND"))),"N/A","Pending"))))))</x:f>
      </x:c>
      <x:c r="Q635" s="3" t="str">
        <x:f>IF(C635="","",IF(AND(R635="Valid",OR(P635="Pass",P635="N/A")),"Complete","Unresolved"))</x:f>
      </x:c>
      <x:c r="R635" s="9" t="str">
        <x:f>IF(C635="","",IF(OR(COUNTIF($C$9:$C$2008,C635)&lt;&gt;1,COUNTIFS($D$9:$D$2008,D635,$E$9:$E$2008,E635)&lt;&gt;1),"Duplicate test",IF(COUNTIF('Taxonomy'!$C$9:$C$108,D635)&lt;&gt;1,"Assessment key",IF(OR(COUNTIF('Taxonomy Rules'!$C$42:$C$68,E635)&lt;&gt;1,F635&lt;&gt;IFERROR(INDEX('Taxonomy Rules'!$D$42:$D$68,MATCH(E635,'Taxonomy Rules'!$C$42:$C$68,0)),""),NOT(OR(IFERROR(INDEX('Taxonomy Rules'!$G$42:$G$68,MATCH(E635,'Taxonomy Rules'!$C$42:$C$68,0)),"")="All supported routes",IFERROR(INDEX('Taxonomy Rules'!$G$42:$G$68,MATCH(E635,'Taxonomy Rules'!$C$42:$C$68,0)),"")=U635,AND(IFERROR(INDEX('Taxonomy Rules'!$G$42:$G$68,MATCH(E635,'Taxonomy Rules'!$C$42:$C$68,0)),"")="Building routes",OR(U635="Building renovation",U635="New building",U635="Building equipment"))))),"Unexpected test","Valid"))))</x:f>
      </x:c>
      <x:c r="S635" s="9" t="str">
        <x:f>IF(C635="","",IFERROR(INDEX('Taxonomy Rules'!$E$42:$E$68,MATCH(E635,'Taxonomy Rules'!$C$42:$C$68,0)),""))</x:f>
      </x:c>
      <x:c r="T635" s="9" t="str">
        <x:f>IF(C635="","",IFERROR(INDEX('Taxonomy Rules'!$F$42:$F$68,MATCH(E635,'Taxonomy Rules'!$C$42:$C$68,0)),""))</x:f>
      </x:c>
      <x:c r="U635" s="9" t="str">
        <x:f>IF(C635="","",IFERROR(INDEX('Taxonomy'!$G$9:$G$108,MATCH(D635,'Taxonomy'!$C$9:$C$108,0)),""))</x:f>
      </x:c>
    </x:row>
    <x:row r="636" ht="44" customHeight="1">
      <x:c r="A636" s="1"/>
      <x:c r="B636" s="1"/>
      <x:c r="C636" s="8"/>
      <x:c r="D636" s="8"/>
      <x:c r="E636" s="8"/>
      <x:c r="F636" s="8"/>
      <x:c r="G636" s="8"/>
      <x:c r="H636" s="8"/>
      <x:c r="I636" s="8"/>
      <x:c r="J636" s="8"/>
      <x:c r="K636" s="8"/>
      <x:c r="L636" s="8"/>
      <x:c r="M636" s="10"/>
      <x:c r="N636" s="10"/>
      <x:c r="O636" s="8"/>
      <x:c r="P636" s="9" t="str">
        <x:f>IF(C636="","",IF(AND(G636="Applicable",H636="Fail"),"Fail",IF(R636&lt;&gt;"Valid","Pending",IF(OR(I636="",K636="",L636="",K636=L636,NOT(ISNUMBER(M636)),NOT(ISNUMBER(N636)),M636&gt;Settings!$F$8,N636&lt;Settings!$F$8,N636&lt;M636),"Pending",IF(AND(G636="Applicable",H636="Pass"),"Pass",IF(AND(G636="N/A",H636="N/A",J636&lt;&gt;"",OR(E636="CEM-FUELS",E636="CEM-CCS",AND(E636="CEM-PLAN",IFERROR(INDEX('Taxonomy'!$M$9:$M$108,MATCH(D636,'Taxonomy'!$C$9:$C$108,0)),"")&lt;&gt;"Amber"),E636="BLD-TIMBER",AND(U636="Building equipment",OR(E636="BLD-WATER",E636="BLD-WASTE",E636="BLD-LAND")),AND(U636="Building renovation",E636="BLD-LAND"))),"N/A","Pending"))))))</x:f>
      </x:c>
      <x:c r="Q636" s="3" t="str">
        <x:f>IF(C636="","",IF(AND(R636="Valid",OR(P636="Pass",P636="N/A")),"Complete","Unresolved"))</x:f>
      </x:c>
      <x:c r="R636" s="9" t="str">
        <x:f>IF(C636="","",IF(OR(COUNTIF($C$9:$C$2008,C636)&lt;&gt;1,COUNTIFS($D$9:$D$2008,D636,$E$9:$E$2008,E636)&lt;&gt;1),"Duplicate test",IF(COUNTIF('Taxonomy'!$C$9:$C$108,D636)&lt;&gt;1,"Assessment key",IF(OR(COUNTIF('Taxonomy Rules'!$C$42:$C$68,E636)&lt;&gt;1,F636&lt;&gt;IFERROR(INDEX('Taxonomy Rules'!$D$42:$D$68,MATCH(E636,'Taxonomy Rules'!$C$42:$C$68,0)),""),NOT(OR(IFERROR(INDEX('Taxonomy Rules'!$G$42:$G$68,MATCH(E636,'Taxonomy Rules'!$C$42:$C$68,0)),"")="All supported routes",IFERROR(INDEX('Taxonomy Rules'!$G$42:$G$68,MATCH(E636,'Taxonomy Rules'!$C$42:$C$68,0)),"")=U636,AND(IFERROR(INDEX('Taxonomy Rules'!$G$42:$G$68,MATCH(E636,'Taxonomy Rules'!$C$42:$C$68,0)),"")="Building routes",OR(U636="Building renovation",U636="New building",U636="Building equipment"))))),"Unexpected test","Valid"))))</x:f>
      </x:c>
      <x:c r="S636" s="9" t="str">
        <x:f>IF(C636="","",IFERROR(INDEX('Taxonomy Rules'!$E$42:$E$68,MATCH(E636,'Taxonomy Rules'!$C$42:$C$68,0)),""))</x:f>
      </x:c>
      <x:c r="T636" s="9" t="str">
        <x:f>IF(C636="","",IFERROR(INDEX('Taxonomy Rules'!$F$42:$F$68,MATCH(E636,'Taxonomy Rules'!$C$42:$C$68,0)),""))</x:f>
      </x:c>
      <x:c r="U636" s="9" t="str">
        <x:f>IF(C636="","",IFERROR(INDEX('Taxonomy'!$G$9:$G$108,MATCH(D636,'Taxonomy'!$C$9:$C$108,0)),""))</x:f>
      </x:c>
    </x:row>
    <x:row r="637" ht="44" customHeight="1">
      <x:c r="A637" s="1"/>
      <x:c r="B637" s="1"/>
      <x:c r="C637" s="8"/>
      <x:c r="D637" s="8"/>
      <x:c r="E637" s="8"/>
      <x:c r="F637" s="8"/>
      <x:c r="G637" s="8"/>
      <x:c r="H637" s="8"/>
      <x:c r="I637" s="8"/>
      <x:c r="J637" s="8"/>
      <x:c r="K637" s="8"/>
      <x:c r="L637" s="8"/>
      <x:c r="M637" s="10"/>
      <x:c r="N637" s="10"/>
      <x:c r="O637" s="8"/>
      <x:c r="P637" s="9" t="str">
        <x:f>IF(C637="","",IF(AND(G637="Applicable",H637="Fail"),"Fail",IF(R637&lt;&gt;"Valid","Pending",IF(OR(I637="",K637="",L637="",K637=L637,NOT(ISNUMBER(M637)),NOT(ISNUMBER(N637)),M637&gt;Settings!$F$8,N637&lt;Settings!$F$8,N637&lt;M637),"Pending",IF(AND(G637="Applicable",H637="Pass"),"Pass",IF(AND(G637="N/A",H637="N/A",J637&lt;&gt;"",OR(E637="CEM-FUELS",E637="CEM-CCS",AND(E637="CEM-PLAN",IFERROR(INDEX('Taxonomy'!$M$9:$M$108,MATCH(D637,'Taxonomy'!$C$9:$C$108,0)),"")&lt;&gt;"Amber"),E637="BLD-TIMBER",AND(U637="Building equipment",OR(E637="BLD-WATER",E637="BLD-WASTE",E637="BLD-LAND")),AND(U637="Building renovation",E637="BLD-LAND"))),"N/A","Pending"))))))</x:f>
      </x:c>
      <x:c r="Q637" s="3" t="str">
        <x:f>IF(C637="","",IF(AND(R637="Valid",OR(P637="Pass",P637="N/A")),"Complete","Unresolved"))</x:f>
      </x:c>
      <x:c r="R637" s="9" t="str">
        <x:f>IF(C637="","",IF(OR(COUNTIF($C$9:$C$2008,C637)&lt;&gt;1,COUNTIFS($D$9:$D$2008,D637,$E$9:$E$2008,E637)&lt;&gt;1),"Duplicate test",IF(COUNTIF('Taxonomy'!$C$9:$C$108,D637)&lt;&gt;1,"Assessment key",IF(OR(COUNTIF('Taxonomy Rules'!$C$42:$C$68,E637)&lt;&gt;1,F637&lt;&gt;IFERROR(INDEX('Taxonomy Rules'!$D$42:$D$68,MATCH(E637,'Taxonomy Rules'!$C$42:$C$68,0)),""),NOT(OR(IFERROR(INDEX('Taxonomy Rules'!$G$42:$G$68,MATCH(E637,'Taxonomy Rules'!$C$42:$C$68,0)),"")="All supported routes",IFERROR(INDEX('Taxonomy Rules'!$G$42:$G$68,MATCH(E637,'Taxonomy Rules'!$C$42:$C$68,0)),"")=U637,AND(IFERROR(INDEX('Taxonomy Rules'!$G$42:$G$68,MATCH(E637,'Taxonomy Rules'!$C$42:$C$68,0)),"")="Building routes",OR(U637="Building renovation",U637="New building",U637="Building equipment"))))),"Unexpected test","Valid"))))</x:f>
      </x:c>
      <x:c r="S637" s="9" t="str">
        <x:f>IF(C637="","",IFERROR(INDEX('Taxonomy Rules'!$E$42:$E$68,MATCH(E637,'Taxonomy Rules'!$C$42:$C$68,0)),""))</x:f>
      </x:c>
      <x:c r="T637" s="9" t="str">
        <x:f>IF(C637="","",IFERROR(INDEX('Taxonomy Rules'!$F$42:$F$68,MATCH(E637,'Taxonomy Rules'!$C$42:$C$68,0)),""))</x:f>
      </x:c>
      <x:c r="U637" s="9" t="str">
        <x:f>IF(C637="","",IFERROR(INDEX('Taxonomy'!$G$9:$G$108,MATCH(D637,'Taxonomy'!$C$9:$C$108,0)),""))</x:f>
      </x:c>
    </x:row>
    <x:row r="638" ht="44" customHeight="1">
      <x:c r="A638" s="1"/>
      <x:c r="B638" s="1"/>
      <x:c r="C638" s="8"/>
      <x:c r="D638" s="8"/>
      <x:c r="E638" s="8"/>
      <x:c r="F638" s="8"/>
      <x:c r="G638" s="8"/>
      <x:c r="H638" s="8"/>
      <x:c r="I638" s="8"/>
      <x:c r="J638" s="8"/>
      <x:c r="K638" s="8"/>
      <x:c r="L638" s="8"/>
      <x:c r="M638" s="10"/>
      <x:c r="N638" s="10"/>
      <x:c r="O638" s="8"/>
      <x:c r="P638" s="9" t="str">
        <x:f>IF(C638="","",IF(AND(G638="Applicable",H638="Fail"),"Fail",IF(R638&lt;&gt;"Valid","Pending",IF(OR(I638="",K638="",L638="",K638=L638,NOT(ISNUMBER(M638)),NOT(ISNUMBER(N638)),M638&gt;Settings!$F$8,N638&lt;Settings!$F$8,N638&lt;M638),"Pending",IF(AND(G638="Applicable",H638="Pass"),"Pass",IF(AND(G638="N/A",H638="N/A",J638&lt;&gt;"",OR(E638="CEM-FUELS",E638="CEM-CCS",AND(E638="CEM-PLAN",IFERROR(INDEX('Taxonomy'!$M$9:$M$108,MATCH(D638,'Taxonomy'!$C$9:$C$108,0)),"")&lt;&gt;"Amber"),E638="BLD-TIMBER",AND(U638="Building equipment",OR(E638="BLD-WATER",E638="BLD-WASTE",E638="BLD-LAND")),AND(U638="Building renovation",E638="BLD-LAND"))),"N/A","Pending"))))))</x:f>
      </x:c>
      <x:c r="Q638" s="3" t="str">
        <x:f>IF(C638="","",IF(AND(R638="Valid",OR(P638="Pass",P638="N/A")),"Complete","Unresolved"))</x:f>
      </x:c>
      <x:c r="R638" s="9" t="str">
        <x:f>IF(C638="","",IF(OR(COUNTIF($C$9:$C$2008,C638)&lt;&gt;1,COUNTIFS($D$9:$D$2008,D638,$E$9:$E$2008,E638)&lt;&gt;1),"Duplicate test",IF(COUNTIF('Taxonomy'!$C$9:$C$108,D638)&lt;&gt;1,"Assessment key",IF(OR(COUNTIF('Taxonomy Rules'!$C$42:$C$68,E638)&lt;&gt;1,F638&lt;&gt;IFERROR(INDEX('Taxonomy Rules'!$D$42:$D$68,MATCH(E638,'Taxonomy Rules'!$C$42:$C$68,0)),""),NOT(OR(IFERROR(INDEX('Taxonomy Rules'!$G$42:$G$68,MATCH(E638,'Taxonomy Rules'!$C$42:$C$68,0)),"")="All supported routes",IFERROR(INDEX('Taxonomy Rules'!$G$42:$G$68,MATCH(E638,'Taxonomy Rules'!$C$42:$C$68,0)),"")=U638,AND(IFERROR(INDEX('Taxonomy Rules'!$G$42:$G$68,MATCH(E638,'Taxonomy Rules'!$C$42:$C$68,0)),"")="Building routes",OR(U638="Building renovation",U638="New building",U638="Building equipment"))))),"Unexpected test","Valid"))))</x:f>
      </x:c>
      <x:c r="S638" s="9" t="str">
        <x:f>IF(C638="","",IFERROR(INDEX('Taxonomy Rules'!$E$42:$E$68,MATCH(E638,'Taxonomy Rules'!$C$42:$C$68,0)),""))</x:f>
      </x:c>
      <x:c r="T638" s="9" t="str">
        <x:f>IF(C638="","",IFERROR(INDEX('Taxonomy Rules'!$F$42:$F$68,MATCH(E638,'Taxonomy Rules'!$C$42:$C$68,0)),""))</x:f>
      </x:c>
      <x:c r="U638" s="9" t="str">
        <x:f>IF(C638="","",IFERROR(INDEX('Taxonomy'!$G$9:$G$108,MATCH(D638,'Taxonomy'!$C$9:$C$108,0)),""))</x:f>
      </x:c>
    </x:row>
    <x:row r="639" ht="44" customHeight="1">
      <x:c r="A639" s="1"/>
      <x:c r="B639" s="1"/>
      <x:c r="C639" s="8"/>
      <x:c r="D639" s="8"/>
      <x:c r="E639" s="8"/>
      <x:c r="F639" s="8"/>
      <x:c r="G639" s="8"/>
      <x:c r="H639" s="8"/>
      <x:c r="I639" s="8"/>
      <x:c r="J639" s="8"/>
      <x:c r="K639" s="8"/>
      <x:c r="L639" s="8"/>
      <x:c r="M639" s="10"/>
      <x:c r="N639" s="10"/>
      <x:c r="O639" s="8"/>
      <x:c r="P639" s="9" t="str">
        <x:f>IF(C639="","",IF(AND(G639="Applicable",H639="Fail"),"Fail",IF(R639&lt;&gt;"Valid","Pending",IF(OR(I639="",K639="",L639="",K639=L639,NOT(ISNUMBER(M639)),NOT(ISNUMBER(N639)),M639&gt;Settings!$F$8,N639&lt;Settings!$F$8,N639&lt;M639),"Pending",IF(AND(G639="Applicable",H639="Pass"),"Pass",IF(AND(G639="N/A",H639="N/A",J639&lt;&gt;"",OR(E639="CEM-FUELS",E639="CEM-CCS",AND(E639="CEM-PLAN",IFERROR(INDEX('Taxonomy'!$M$9:$M$108,MATCH(D639,'Taxonomy'!$C$9:$C$108,0)),"")&lt;&gt;"Amber"),E639="BLD-TIMBER",AND(U639="Building equipment",OR(E639="BLD-WATER",E639="BLD-WASTE",E639="BLD-LAND")),AND(U639="Building renovation",E639="BLD-LAND"))),"N/A","Pending"))))))</x:f>
      </x:c>
      <x:c r="Q639" s="3" t="str">
        <x:f>IF(C639="","",IF(AND(R639="Valid",OR(P639="Pass",P639="N/A")),"Complete","Unresolved"))</x:f>
      </x:c>
      <x:c r="R639" s="9" t="str">
        <x:f>IF(C639="","",IF(OR(COUNTIF($C$9:$C$2008,C639)&lt;&gt;1,COUNTIFS($D$9:$D$2008,D639,$E$9:$E$2008,E639)&lt;&gt;1),"Duplicate test",IF(COUNTIF('Taxonomy'!$C$9:$C$108,D639)&lt;&gt;1,"Assessment key",IF(OR(COUNTIF('Taxonomy Rules'!$C$42:$C$68,E639)&lt;&gt;1,F639&lt;&gt;IFERROR(INDEX('Taxonomy Rules'!$D$42:$D$68,MATCH(E639,'Taxonomy Rules'!$C$42:$C$68,0)),""),NOT(OR(IFERROR(INDEX('Taxonomy Rules'!$G$42:$G$68,MATCH(E639,'Taxonomy Rules'!$C$42:$C$68,0)),"")="All supported routes",IFERROR(INDEX('Taxonomy Rules'!$G$42:$G$68,MATCH(E639,'Taxonomy Rules'!$C$42:$C$68,0)),"")=U639,AND(IFERROR(INDEX('Taxonomy Rules'!$G$42:$G$68,MATCH(E639,'Taxonomy Rules'!$C$42:$C$68,0)),"")="Building routes",OR(U639="Building renovation",U639="New building",U639="Building equipment"))))),"Unexpected test","Valid"))))</x:f>
      </x:c>
      <x:c r="S639" s="9" t="str">
        <x:f>IF(C639="","",IFERROR(INDEX('Taxonomy Rules'!$E$42:$E$68,MATCH(E639,'Taxonomy Rules'!$C$42:$C$68,0)),""))</x:f>
      </x:c>
      <x:c r="T639" s="9" t="str">
        <x:f>IF(C639="","",IFERROR(INDEX('Taxonomy Rules'!$F$42:$F$68,MATCH(E639,'Taxonomy Rules'!$C$42:$C$68,0)),""))</x:f>
      </x:c>
      <x:c r="U639" s="9" t="str">
        <x:f>IF(C639="","",IFERROR(INDEX('Taxonomy'!$G$9:$G$108,MATCH(D639,'Taxonomy'!$C$9:$C$108,0)),""))</x:f>
      </x:c>
    </x:row>
    <x:row r="640" ht="44" customHeight="1">
      <x:c r="A640" s="1"/>
      <x:c r="B640" s="1"/>
      <x:c r="C640" s="8"/>
      <x:c r="D640" s="8"/>
      <x:c r="E640" s="8"/>
      <x:c r="F640" s="8"/>
      <x:c r="G640" s="8"/>
      <x:c r="H640" s="8"/>
      <x:c r="I640" s="8"/>
      <x:c r="J640" s="8"/>
      <x:c r="K640" s="8"/>
      <x:c r="L640" s="8"/>
      <x:c r="M640" s="10"/>
      <x:c r="N640" s="10"/>
      <x:c r="O640" s="8"/>
      <x:c r="P640" s="9" t="str">
        <x:f>IF(C640="","",IF(AND(G640="Applicable",H640="Fail"),"Fail",IF(R640&lt;&gt;"Valid","Pending",IF(OR(I640="",K640="",L640="",K640=L640,NOT(ISNUMBER(M640)),NOT(ISNUMBER(N640)),M640&gt;Settings!$F$8,N640&lt;Settings!$F$8,N640&lt;M640),"Pending",IF(AND(G640="Applicable",H640="Pass"),"Pass",IF(AND(G640="N/A",H640="N/A",J640&lt;&gt;"",OR(E640="CEM-FUELS",E640="CEM-CCS",AND(E640="CEM-PLAN",IFERROR(INDEX('Taxonomy'!$M$9:$M$108,MATCH(D640,'Taxonomy'!$C$9:$C$108,0)),"")&lt;&gt;"Amber"),E640="BLD-TIMBER",AND(U640="Building equipment",OR(E640="BLD-WATER",E640="BLD-WASTE",E640="BLD-LAND")),AND(U640="Building renovation",E640="BLD-LAND"))),"N/A","Pending"))))))</x:f>
      </x:c>
      <x:c r="Q640" s="3" t="str">
        <x:f>IF(C640="","",IF(AND(R640="Valid",OR(P640="Pass",P640="N/A")),"Complete","Unresolved"))</x:f>
      </x:c>
      <x:c r="R640" s="9" t="str">
        <x:f>IF(C640="","",IF(OR(COUNTIF($C$9:$C$2008,C640)&lt;&gt;1,COUNTIFS($D$9:$D$2008,D640,$E$9:$E$2008,E640)&lt;&gt;1),"Duplicate test",IF(COUNTIF('Taxonomy'!$C$9:$C$108,D640)&lt;&gt;1,"Assessment key",IF(OR(COUNTIF('Taxonomy Rules'!$C$42:$C$68,E640)&lt;&gt;1,F640&lt;&gt;IFERROR(INDEX('Taxonomy Rules'!$D$42:$D$68,MATCH(E640,'Taxonomy Rules'!$C$42:$C$68,0)),""),NOT(OR(IFERROR(INDEX('Taxonomy Rules'!$G$42:$G$68,MATCH(E640,'Taxonomy Rules'!$C$42:$C$68,0)),"")="All supported routes",IFERROR(INDEX('Taxonomy Rules'!$G$42:$G$68,MATCH(E640,'Taxonomy Rules'!$C$42:$C$68,0)),"")=U640,AND(IFERROR(INDEX('Taxonomy Rules'!$G$42:$G$68,MATCH(E640,'Taxonomy Rules'!$C$42:$C$68,0)),"")="Building routes",OR(U640="Building renovation",U640="New building",U640="Building equipment"))))),"Unexpected test","Valid"))))</x:f>
      </x:c>
      <x:c r="S640" s="9" t="str">
        <x:f>IF(C640="","",IFERROR(INDEX('Taxonomy Rules'!$E$42:$E$68,MATCH(E640,'Taxonomy Rules'!$C$42:$C$68,0)),""))</x:f>
      </x:c>
      <x:c r="T640" s="9" t="str">
        <x:f>IF(C640="","",IFERROR(INDEX('Taxonomy Rules'!$F$42:$F$68,MATCH(E640,'Taxonomy Rules'!$C$42:$C$68,0)),""))</x:f>
      </x:c>
      <x:c r="U640" s="9" t="str">
        <x:f>IF(C640="","",IFERROR(INDEX('Taxonomy'!$G$9:$G$108,MATCH(D640,'Taxonomy'!$C$9:$C$108,0)),""))</x:f>
      </x:c>
    </x:row>
    <x:row r="641" ht="44" customHeight="1">
      <x:c r="A641" s="1"/>
      <x:c r="B641" s="1"/>
      <x:c r="C641" s="8"/>
      <x:c r="D641" s="8"/>
      <x:c r="E641" s="8"/>
      <x:c r="F641" s="8"/>
      <x:c r="G641" s="8"/>
      <x:c r="H641" s="8"/>
      <x:c r="I641" s="8"/>
      <x:c r="J641" s="8"/>
      <x:c r="K641" s="8"/>
      <x:c r="L641" s="8"/>
      <x:c r="M641" s="10"/>
      <x:c r="N641" s="10"/>
      <x:c r="O641" s="8"/>
      <x:c r="P641" s="9" t="str">
        <x:f>IF(C641="","",IF(AND(G641="Applicable",H641="Fail"),"Fail",IF(R641&lt;&gt;"Valid","Pending",IF(OR(I641="",K641="",L641="",K641=L641,NOT(ISNUMBER(M641)),NOT(ISNUMBER(N641)),M641&gt;Settings!$F$8,N641&lt;Settings!$F$8,N641&lt;M641),"Pending",IF(AND(G641="Applicable",H641="Pass"),"Pass",IF(AND(G641="N/A",H641="N/A",J641&lt;&gt;"",OR(E641="CEM-FUELS",E641="CEM-CCS",AND(E641="CEM-PLAN",IFERROR(INDEX('Taxonomy'!$M$9:$M$108,MATCH(D641,'Taxonomy'!$C$9:$C$108,0)),"")&lt;&gt;"Amber"),E641="BLD-TIMBER",AND(U641="Building equipment",OR(E641="BLD-WATER",E641="BLD-WASTE",E641="BLD-LAND")),AND(U641="Building renovation",E641="BLD-LAND"))),"N/A","Pending"))))))</x:f>
      </x:c>
      <x:c r="Q641" s="3" t="str">
        <x:f>IF(C641="","",IF(AND(R641="Valid",OR(P641="Pass",P641="N/A")),"Complete","Unresolved"))</x:f>
      </x:c>
      <x:c r="R641" s="9" t="str">
        <x:f>IF(C641="","",IF(OR(COUNTIF($C$9:$C$2008,C641)&lt;&gt;1,COUNTIFS($D$9:$D$2008,D641,$E$9:$E$2008,E641)&lt;&gt;1),"Duplicate test",IF(COUNTIF('Taxonomy'!$C$9:$C$108,D641)&lt;&gt;1,"Assessment key",IF(OR(COUNTIF('Taxonomy Rules'!$C$42:$C$68,E641)&lt;&gt;1,F641&lt;&gt;IFERROR(INDEX('Taxonomy Rules'!$D$42:$D$68,MATCH(E641,'Taxonomy Rules'!$C$42:$C$68,0)),""),NOT(OR(IFERROR(INDEX('Taxonomy Rules'!$G$42:$G$68,MATCH(E641,'Taxonomy Rules'!$C$42:$C$68,0)),"")="All supported routes",IFERROR(INDEX('Taxonomy Rules'!$G$42:$G$68,MATCH(E641,'Taxonomy Rules'!$C$42:$C$68,0)),"")=U641,AND(IFERROR(INDEX('Taxonomy Rules'!$G$42:$G$68,MATCH(E641,'Taxonomy Rules'!$C$42:$C$68,0)),"")="Building routes",OR(U641="Building renovation",U641="New building",U641="Building equipment"))))),"Unexpected test","Valid"))))</x:f>
      </x:c>
      <x:c r="S641" s="9" t="str">
        <x:f>IF(C641="","",IFERROR(INDEX('Taxonomy Rules'!$E$42:$E$68,MATCH(E641,'Taxonomy Rules'!$C$42:$C$68,0)),""))</x:f>
      </x:c>
      <x:c r="T641" s="9" t="str">
        <x:f>IF(C641="","",IFERROR(INDEX('Taxonomy Rules'!$F$42:$F$68,MATCH(E641,'Taxonomy Rules'!$C$42:$C$68,0)),""))</x:f>
      </x:c>
      <x:c r="U641" s="9" t="str">
        <x:f>IF(C641="","",IFERROR(INDEX('Taxonomy'!$G$9:$G$108,MATCH(D641,'Taxonomy'!$C$9:$C$108,0)),""))</x:f>
      </x:c>
    </x:row>
    <x:row r="642" ht="44" customHeight="1">
      <x:c r="A642" s="1"/>
      <x:c r="B642" s="1"/>
      <x:c r="C642" s="8"/>
      <x:c r="D642" s="8"/>
      <x:c r="E642" s="8"/>
      <x:c r="F642" s="8"/>
      <x:c r="G642" s="8"/>
      <x:c r="H642" s="8"/>
      <x:c r="I642" s="8"/>
      <x:c r="J642" s="8"/>
      <x:c r="K642" s="8"/>
      <x:c r="L642" s="8"/>
      <x:c r="M642" s="10"/>
      <x:c r="N642" s="10"/>
      <x:c r="O642" s="8"/>
      <x:c r="P642" s="9" t="str">
        <x:f>IF(C642="","",IF(AND(G642="Applicable",H642="Fail"),"Fail",IF(R642&lt;&gt;"Valid","Pending",IF(OR(I642="",K642="",L642="",K642=L642,NOT(ISNUMBER(M642)),NOT(ISNUMBER(N642)),M642&gt;Settings!$F$8,N642&lt;Settings!$F$8,N642&lt;M642),"Pending",IF(AND(G642="Applicable",H642="Pass"),"Pass",IF(AND(G642="N/A",H642="N/A",J642&lt;&gt;"",OR(E642="CEM-FUELS",E642="CEM-CCS",AND(E642="CEM-PLAN",IFERROR(INDEX('Taxonomy'!$M$9:$M$108,MATCH(D642,'Taxonomy'!$C$9:$C$108,0)),"")&lt;&gt;"Amber"),E642="BLD-TIMBER",AND(U642="Building equipment",OR(E642="BLD-WATER",E642="BLD-WASTE",E642="BLD-LAND")),AND(U642="Building renovation",E642="BLD-LAND"))),"N/A","Pending"))))))</x:f>
      </x:c>
      <x:c r="Q642" s="3" t="str">
        <x:f>IF(C642="","",IF(AND(R642="Valid",OR(P642="Pass",P642="N/A")),"Complete","Unresolved"))</x:f>
      </x:c>
      <x:c r="R642" s="9" t="str">
        <x:f>IF(C642="","",IF(OR(COUNTIF($C$9:$C$2008,C642)&lt;&gt;1,COUNTIFS($D$9:$D$2008,D642,$E$9:$E$2008,E642)&lt;&gt;1),"Duplicate test",IF(COUNTIF('Taxonomy'!$C$9:$C$108,D642)&lt;&gt;1,"Assessment key",IF(OR(COUNTIF('Taxonomy Rules'!$C$42:$C$68,E642)&lt;&gt;1,F642&lt;&gt;IFERROR(INDEX('Taxonomy Rules'!$D$42:$D$68,MATCH(E642,'Taxonomy Rules'!$C$42:$C$68,0)),""),NOT(OR(IFERROR(INDEX('Taxonomy Rules'!$G$42:$G$68,MATCH(E642,'Taxonomy Rules'!$C$42:$C$68,0)),"")="All supported routes",IFERROR(INDEX('Taxonomy Rules'!$G$42:$G$68,MATCH(E642,'Taxonomy Rules'!$C$42:$C$68,0)),"")=U642,AND(IFERROR(INDEX('Taxonomy Rules'!$G$42:$G$68,MATCH(E642,'Taxonomy Rules'!$C$42:$C$68,0)),"")="Building routes",OR(U642="Building renovation",U642="New building",U642="Building equipment"))))),"Unexpected test","Valid"))))</x:f>
      </x:c>
      <x:c r="S642" s="9" t="str">
        <x:f>IF(C642="","",IFERROR(INDEX('Taxonomy Rules'!$E$42:$E$68,MATCH(E642,'Taxonomy Rules'!$C$42:$C$68,0)),""))</x:f>
      </x:c>
      <x:c r="T642" s="9" t="str">
        <x:f>IF(C642="","",IFERROR(INDEX('Taxonomy Rules'!$F$42:$F$68,MATCH(E642,'Taxonomy Rules'!$C$42:$C$68,0)),""))</x:f>
      </x:c>
      <x:c r="U642" s="9" t="str">
        <x:f>IF(C642="","",IFERROR(INDEX('Taxonomy'!$G$9:$G$108,MATCH(D642,'Taxonomy'!$C$9:$C$108,0)),""))</x:f>
      </x:c>
    </x:row>
    <x:row r="643" ht="44" customHeight="1">
      <x:c r="A643" s="1"/>
      <x:c r="B643" s="1"/>
      <x:c r="C643" s="8"/>
      <x:c r="D643" s="8"/>
      <x:c r="E643" s="8"/>
      <x:c r="F643" s="8"/>
      <x:c r="G643" s="8"/>
      <x:c r="H643" s="8"/>
      <x:c r="I643" s="8"/>
      <x:c r="J643" s="8"/>
      <x:c r="K643" s="8"/>
      <x:c r="L643" s="8"/>
      <x:c r="M643" s="10"/>
      <x:c r="N643" s="10"/>
      <x:c r="O643" s="8"/>
      <x:c r="P643" s="9" t="str">
        <x:f>IF(C643="","",IF(AND(G643="Applicable",H643="Fail"),"Fail",IF(R643&lt;&gt;"Valid","Pending",IF(OR(I643="",K643="",L643="",K643=L643,NOT(ISNUMBER(M643)),NOT(ISNUMBER(N643)),M643&gt;Settings!$F$8,N643&lt;Settings!$F$8,N643&lt;M643),"Pending",IF(AND(G643="Applicable",H643="Pass"),"Pass",IF(AND(G643="N/A",H643="N/A",J643&lt;&gt;"",OR(E643="CEM-FUELS",E643="CEM-CCS",AND(E643="CEM-PLAN",IFERROR(INDEX('Taxonomy'!$M$9:$M$108,MATCH(D643,'Taxonomy'!$C$9:$C$108,0)),"")&lt;&gt;"Amber"),E643="BLD-TIMBER",AND(U643="Building equipment",OR(E643="BLD-WATER",E643="BLD-WASTE",E643="BLD-LAND")),AND(U643="Building renovation",E643="BLD-LAND"))),"N/A","Pending"))))))</x:f>
      </x:c>
      <x:c r="Q643" s="3" t="str">
        <x:f>IF(C643="","",IF(AND(R643="Valid",OR(P643="Pass",P643="N/A")),"Complete","Unresolved"))</x:f>
      </x:c>
      <x:c r="R643" s="9" t="str">
        <x:f>IF(C643="","",IF(OR(COUNTIF($C$9:$C$2008,C643)&lt;&gt;1,COUNTIFS($D$9:$D$2008,D643,$E$9:$E$2008,E643)&lt;&gt;1),"Duplicate test",IF(COUNTIF('Taxonomy'!$C$9:$C$108,D643)&lt;&gt;1,"Assessment key",IF(OR(COUNTIF('Taxonomy Rules'!$C$42:$C$68,E643)&lt;&gt;1,F643&lt;&gt;IFERROR(INDEX('Taxonomy Rules'!$D$42:$D$68,MATCH(E643,'Taxonomy Rules'!$C$42:$C$68,0)),""),NOT(OR(IFERROR(INDEX('Taxonomy Rules'!$G$42:$G$68,MATCH(E643,'Taxonomy Rules'!$C$42:$C$68,0)),"")="All supported routes",IFERROR(INDEX('Taxonomy Rules'!$G$42:$G$68,MATCH(E643,'Taxonomy Rules'!$C$42:$C$68,0)),"")=U643,AND(IFERROR(INDEX('Taxonomy Rules'!$G$42:$G$68,MATCH(E643,'Taxonomy Rules'!$C$42:$C$68,0)),"")="Building routes",OR(U643="Building renovation",U643="New building",U643="Building equipment"))))),"Unexpected test","Valid"))))</x:f>
      </x:c>
      <x:c r="S643" s="9" t="str">
        <x:f>IF(C643="","",IFERROR(INDEX('Taxonomy Rules'!$E$42:$E$68,MATCH(E643,'Taxonomy Rules'!$C$42:$C$68,0)),""))</x:f>
      </x:c>
      <x:c r="T643" s="9" t="str">
        <x:f>IF(C643="","",IFERROR(INDEX('Taxonomy Rules'!$F$42:$F$68,MATCH(E643,'Taxonomy Rules'!$C$42:$C$68,0)),""))</x:f>
      </x:c>
      <x:c r="U643" s="9" t="str">
        <x:f>IF(C643="","",IFERROR(INDEX('Taxonomy'!$G$9:$G$108,MATCH(D643,'Taxonomy'!$C$9:$C$108,0)),""))</x:f>
      </x:c>
    </x:row>
    <x:row r="644" ht="44" customHeight="1">
      <x:c r="A644" s="1"/>
      <x:c r="B644" s="1"/>
      <x:c r="C644" s="8"/>
      <x:c r="D644" s="8"/>
      <x:c r="E644" s="8"/>
      <x:c r="F644" s="8"/>
      <x:c r="G644" s="8"/>
      <x:c r="H644" s="8"/>
      <x:c r="I644" s="8"/>
      <x:c r="J644" s="8"/>
      <x:c r="K644" s="8"/>
      <x:c r="L644" s="8"/>
      <x:c r="M644" s="10"/>
      <x:c r="N644" s="10"/>
      <x:c r="O644" s="8"/>
      <x:c r="P644" s="9" t="str">
        <x:f>IF(C644="","",IF(AND(G644="Applicable",H644="Fail"),"Fail",IF(R644&lt;&gt;"Valid","Pending",IF(OR(I644="",K644="",L644="",K644=L644,NOT(ISNUMBER(M644)),NOT(ISNUMBER(N644)),M644&gt;Settings!$F$8,N644&lt;Settings!$F$8,N644&lt;M644),"Pending",IF(AND(G644="Applicable",H644="Pass"),"Pass",IF(AND(G644="N/A",H644="N/A",J644&lt;&gt;"",OR(E644="CEM-FUELS",E644="CEM-CCS",AND(E644="CEM-PLAN",IFERROR(INDEX('Taxonomy'!$M$9:$M$108,MATCH(D644,'Taxonomy'!$C$9:$C$108,0)),"")&lt;&gt;"Amber"),E644="BLD-TIMBER",AND(U644="Building equipment",OR(E644="BLD-WATER",E644="BLD-WASTE",E644="BLD-LAND")),AND(U644="Building renovation",E644="BLD-LAND"))),"N/A","Pending"))))))</x:f>
      </x:c>
      <x:c r="Q644" s="3" t="str">
        <x:f>IF(C644="","",IF(AND(R644="Valid",OR(P644="Pass",P644="N/A")),"Complete","Unresolved"))</x:f>
      </x:c>
      <x:c r="R644" s="9" t="str">
        <x:f>IF(C644="","",IF(OR(COUNTIF($C$9:$C$2008,C644)&lt;&gt;1,COUNTIFS($D$9:$D$2008,D644,$E$9:$E$2008,E644)&lt;&gt;1),"Duplicate test",IF(COUNTIF('Taxonomy'!$C$9:$C$108,D644)&lt;&gt;1,"Assessment key",IF(OR(COUNTIF('Taxonomy Rules'!$C$42:$C$68,E644)&lt;&gt;1,F644&lt;&gt;IFERROR(INDEX('Taxonomy Rules'!$D$42:$D$68,MATCH(E644,'Taxonomy Rules'!$C$42:$C$68,0)),""),NOT(OR(IFERROR(INDEX('Taxonomy Rules'!$G$42:$G$68,MATCH(E644,'Taxonomy Rules'!$C$42:$C$68,0)),"")="All supported routes",IFERROR(INDEX('Taxonomy Rules'!$G$42:$G$68,MATCH(E644,'Taxonomy Rules'!$C$42:$C$68,0)),"")=U644,AND(IFERROR(INDEX('Taxonomy Rules'!$G$42:$G$68,MATCH(E644,'Taxonomy Rules'!$C$42:$C$68,0)),"")="Building routes",OR(U644="Building renovation",U644="New building",U644="Building equipment"))))),"Unexpected test","Valid"))))</x:f>
      </x:c>
      <x:c r="S644" s="9" t="str">
        <x:f>IF(C644="","",IFERROR(INDEX('Taxonomy Rules'!$E$42:$E$68,MATCH(E644,'Taxonomy Rules'!$C$42:$C$68,0)),""))</x:f>
      </x:c>
      <x:c r="T644" s="9" t="str">
        <x:f>IF(C644="","",IFERROR(INDEX('Taxonomy Rules'!$F$42:$F$68,MATCH(E644,'Taxonomy Rules'!$C$42:$C$68,0)),""))</x:f>
      </x:c>
      <x:c r="U644" s="9" t="str">
        <x:f>IF(C644="","",IFERROR(INDEX('Taxonomy'!$G$9:$G$108,MATCH(D644,'Taxonomy'!$C$9:$C$108,0)),""))</x:f>
      </x:c>
    </x:row>
    <x:row r="645" ht="44" customHeight="1">
      <x:c r="A645" s="1"/>
      <x:c r="B645" s="1"/>
      <x:c r="C645" s="8"/>
      <x:c r="D645" s="8"/>
      <x:c r="E645" s="8"/>
      <x:c r="F645" s="8"/>
      <x:c r="G645" s="8"/>
      <x:c r="H645" s="8"/>
      <x:c r="I645" s="8"/>
      <x:c r="J645" s="8"/>
      <x:c r="K645" s="8"/>
      <x:c r="L645" s="8"/>
      <x:c r="M645" s="10"/>
      <x:c r="N645" s="10"/>
      <x:c r="O645" s="8"/>
      <x:c r="P645" s="9" t="str">
        <x:f>IF(C645="","",IF(AND(G645="Applicable",H645="Fail"),"Fail",IF(R645&lt;&gt;"Valid","Pending",IF(OR(I645="",K645="",L645="",K645=L645,NOT(ISNUMBER(M645)),NOT(ISNUMBER(N645)),M645&gt;Settings!$F$8,N645&lt;Settings!$F$8,N645&lt;M645),"Pending",IF(AND(G645="Applicable",H645="Pass"),"Pass",IF(AND(G645="N/A",H645="N/A",J645&lt;&gt;"",OR(E645="CEM-FUELS",E645="CEM-CCS",AND(E645="CEM-PLAN",IFERROR(INDEX('Taxonomy'!$M$9:$M$108,MATCH(D645,'Taxonomy'!$C$9:$C$108,0)),"")&lt;&gt;"Amber"),E645="BLD-TIMBER",AND(U645="Building equipment",OR(E645="BLD-WATER",E645="BLD-WASTE",E645="BLD-LAND")),AND(U645="Building renovation",E645="BLD-LAND"))),"N/A","Pending"))))))</x:f>
      </x:c>
      <x:c r="Q645" s="3" t="str">
        <x:f>IF(C645="","",IF(AND(R645="Valid",OR(P645="Pass",P645="N/A")),"Complete","Unresolved"))</x:f>
      </x:c>
      <x:c r="R645" s="9" t="str">
        <x:f>IF(C645="","",IF(OR(COUNTIF($C$9:$C$2008,C645)&lt;&gt;1,COUNTIFS($D$9:$D$2008,D645,$E$9:$E$2008,E645)&lt;&gt;1),"Duplicate test",IF(COUNTIF('Taxonomy'!$C$9:$C$108,D645)&lt;&gt;1,"Assessment key",IF(OR(COUNTIF('Taxonomy Rules'!$C$42:$C$68,E645)&lt;&gt;1,F645&lt;&gt;IFERROR(INDEX('Taxonomy Rules'!$D$42:$D$68,MATCH(E645,'Taxonomy Rules'!$C$42:$C$68,0)),""),NOT(OR(IFERROR(INDEX('Taxonomy Rules'!$G$42:$G$68,MATCH(E645,'Taxonomy Rules'!$C$42:$C$68,0)),"")="All supported routes",IFERROR(INDEX('Taxonomy Rules'!$G$42:$G$68,MATCH(E645,'Taxonomy Rules'!$C$42:$C$68,0)),"")=U645,AND(IFERROR(INDEX('Taxonomy Rules'!$G$42:$G$68,MATCH(E645,'Taxonomy Rules'!$C$42:$C$68,0)),"")="Building routes",OR(U645="Building renovation",U645="New building",U645="Building equipment"))))),"Unexpected test","Valid"))))</x:f>
      </x:c>
      <x:c r="S645" s="9" t="str">
        <x:f>IF(C645="","",IFERROR(INDEX('Taxonomy Rules'!$E$42:$E$68,MATCH(E645,'Taxonomy Rules'!$C$42:$C$68,0)),""))</x:f>
      </x:c>
      <x:c r="T645" s="9" t="str">
        <x:f>IF(C645="","",IFERROR(INDEX('Taxonomy Rules'!$F$42:$F$68,MATCH(E645,'Taxonomy Rules'!$C$42:$C$68,0)),""))</x:f>
      </x:c>
      <x:c r="U645" s="9" t="str">
        <x:f>IF(C645="","",IFERROR(INDEX('Taxonomy'!$G$9:$G$108,MATCH(D645,'Taxonomy'!$C$9:$C$108,0)),""))</x:f>
      </x:c>
    </x:row>
    <x:row r="646" ht="44" customHeight="1">
      <x:c r="A646" s="1"/>
      <x:c r="B646" s="1"/>
      <x:c r="C646" s="8"/>
      <x:c r="D646" s="8"/>
      <x:c r="E646" s="8"/>
      <x:c r="F646" s="8"/>
      <x:c r="G646" s="8"/>
      <x:c r="H646" s="8"/>
      <x:c r="I646" s="8"/>
      <x:c r="J646" s="8"/>
      <x:c r="K646" s="8"/>
      <x:c r="L646" s="8"/>
      <x:c r="M646" s="10"/>
      <x:c r="N646" s="10"/>
      <x:c r="O646" s="8"/>
      <x:c r="P646" s="9" t="str">
        <x:f>IF(C646="","",IF(AND(G646="Applicable",H646="Fail"),"Fail",IF(R646&lt;&gt;"Valid","Pending",IF(OR(I646="",K646="",L646="",K646=L646,NOT(ISNUMBER(M646)),NOT(ISNUMBER(N646)),M646&gt;Settings!$F$8,N646&lt;Settings!$F$8,N646&lt;M646),"Pending",IF(AND(G646="Applicable",H646="Pass"),"Pass",IF(AND(G646="N/A",H646="N/A",J646&lt;&gt;"",OR(E646="CEM-FUELS",E646="CEM-CCS",AND(E646="CEM-PLAN",IFERROR(INDEX('Taxonomy'!$M$9:$M$108,MATCH(D646,'Taxonomy'!$C$9:$C$108,0)),"")&lt;&gt;"Amber"),E646="BLD-TIMBER",AND(U646="Building equipment",OR(E646="BLD-WATER",E646="BLD-WASTE",E646="BLD-LAND")),AND(U646="Building renovation",E646="BLD-LAND"))),"N/A","Pending"))))))</x:f>
      </x:c>
      <x:c r="Q646" s="3" t="str">
        <x:f>IF(C646="","",IF(AND(R646="Valid",OR(P646="Pass",P646="N/A")),"Complete","Unresolved"))</x:f>
      </x:c>
      <x:c r="R646" s="9" t="str">
        <x:f>IF(C646="","",IF(OR(COUNTIF($C$9:$C$2008,C646)&lt;&gt;1,COUNTIFS($D$9:$D$2008,D646,$E$9:$E$2008,E646)&lt;&gt;1),"Duplicate test",IF(COUNTIF('Taxonomy'!$C$9:$C$108,D646)&lt;&gt;1,"Assessment key",IF(OR(COUNTIF('Taxonomy Rules'!$C$42:$C$68,E646)&lt;&gt;1,F646&lt;&gt;IFERROR(INDEX('Taxonomy Rules'!$D$42:$D$68,MATCH(E646,'Taxonomy Rules'!$C$42:$C$68,0)),""),NOT(OR(IFERROR(INDEX('Taxonomy Rules'!$G$42:$G$68,MATCH(E646,'Taxonomy Rules'!$C$42:$C$68,0)),"")="All supported routes",IFERROR(INDEX('Taxonomy Rules'!$G$42:$G$68,MATCH(E646,'Taxonomy Rules'!$C$42:$C$68,0)),"")=U646,AND(IFERROR(INDEX('Taxonomy Rules'!$G$42:$G$68,MATCH(E646,'Taxonomy Rules'!$C$42:$C$68,0)),"")="Building routes",OR(U646="Building renovation",U646="New building",U646="Building equipment"))))),"Unexpected test","Valid"))))</x:f>
      </x:c>
      <x:c r="S646" s="9" t="str">
        <x:f>IF(C646="","",IFERROR(INDEX('Taxonomy Rules'!$E$42:$E$68,MATCH(E646,'Taxonomy Rules'!$C$42:$C$68,0)),""))</x:f>
      </x:c>
      <x:c r="T646" s="9" t="str">
        <x:f>IF(C646="","",IFERROR(INDEX('Taxonomy Rules'!$F$42:$F$68,MATCH(E646,'Taxonomy Rules'!$C$42:$C$68,0)),""))</x:f>
      </x:c>
      <x:c r="U646" s="9" t="str">
        <x:f>IF(C646="","",IFERROR(INDEX('Taxonomy'!$G$9:$G$108,MATCH(D646,'Taxonomy'!$C$9:$C$108,0)),""))</x:f>
      </x:c>
    </x:row>
    <x:row r="647" ht="44" customHeight="1">
      <x:c r="A647" s="1"/>
      <x:c r="B647" s="1"/>
      <x:c r="C647" s="8"/>
      <x:c r="D647" s="8"/>
      <x:c r="E647" s="8"/>
      <x:c r="F647" s="8"/>
      <x:c r="G647" s="8"/>
      <x:c r="H647" s="8"/>
      <x:c r="I647" s="8"/>
      <x:c r="J647" s="8"/>
      <x:c r="K647" s="8"/>
      <x:c r="L647" s="8"/>
      <x:c r="M647" s="10"/>
      <x:c r="N647" s="10"/>
      <x:c r="O647" s="8"/>
      <x:c r="P647" s="9" t="str">
        <x:f>IF(C647="","",IF(AND(G647="Applicable",H647="Fail"),"Fail",IF(R647&lt;&gt;"Valid","Pending",IF(OR(I647="",K647="",L647="",K647=L647,NOT(ISNUMBER(M647)),NOT(ISNUMBER(N647)),M647&gt;Settings!$F$8,N647&lt;Settings!$F$8,N647&lt;M647),"Pending",IF(AND(G647="Applicable",H647="Pass"),"Pass",IF(AND(G647="N/A",H647="N/A",J647&lt;&gt;"",OR(E647="CEM-FUELS",E647="CEM-CCS",AND(E647="CEM-PLAN",IFERROR(INDEX('Taxonomy'!$M$9:$M$108,MATCH(D647,'Taxonomy'!$C$9:$C$108,0)),"")&lt;&gt;"Amber"),E647="BLD-TIMBER",AND(U647="Building equipment",OR(E647="BLD-WATER",E647="BLD-WASTE",E647="BLD-LAND")),AND(U647="Building renovation",E647="BLD-LAND"))),"N/A","Pending"))))))</x:f>
      </x:c>
      <x:c r="Q647" s="3" t="str">
        <x:f>IF(C647="","",IF(AND(R647="Valid",OR(P647="Pass",P647="N/A")),"Complete","Unresolved"))</x:f>
      </x:c>
      <x:c r="R647" s="9" t="str">
        <x:f>IF(C647="","",IF(OR(COUNTIF($C$9:$C$2008,C647)&lt;&gt;1,COUNTIFS($D$9:$D$2008,D647,$E$9:$E$2008,E647)&lt;&gt;1),"Duplicate test",IF(COUNTIF('Taxonomy'!$C$9:$C$108,D647)&lt;&gt;1,"Assessment key",IF(OR(COUNTIF('Taxonomy Rules'!$C$42:$C$68,E647)&lt;&gt;1,F647&lt;&gt;IFERROR(INDEX('Taxonomy Rules'!$D$42:$D$68,MATCH(E647,'Taxonomy Rules'!$C$42:$C$68,0)),""),NOT(OR(IFERROR(INDEX('Taxonomy Rules'!$G$42:$G$68,MATCH(E647,'Taxonomy Rules'!$C$42:$C$68,0)),"")="All supported routes",IFERROR(INDEX('Taxonomy Rules'!$G$42:$G$68,MATCH(E647,'Taxonomy Rules'!$C$42:$C$68,0)),"")=U647,AND(IFERROR(INDEX('Taxonomy Rules'!$G$42:$G$68,MATCH(E647,'Taxonomy Rules'!$C$42:$C$68,0)),"")="Building routes",OR(U647="Building renovation",U647="New building",U647="Building equipment"))))),"Unexpected test","Valid"))))</x:f>
      </x:c>
      <x:c r="S647" s="9" t="str">
        <x:f>IF(C647="","",IFERROR(INDEX('Taxonomy Rules'!$E$42:$E$68,MATCH(E647,'Taxonomy Rules'!$C$42:$C$68,0)),""))</x:f>
      </x:c>
      <x:c r="T647" s="9" t="str">
        <x:f>IF(C647="","",IFERROR(INDEX('Taxonomy Rules'!$F$42:$F$68,MATCH(E647,'Taxonomy Rules'!$C$42:$C$68,0)),""))</x:f>
      </x:c>
      <x:c r="U647" s="9" t="str">
        <x:f>IF(C647="","",IFERROR(INDEX('Taxonomy'!$G$9:$G$108,MATCH(D647,'Taxonomy'!$C$9:$C$108,0)),""))</x:f>
      </x:c>
    </x:row>
    <x:row r="648" ht="44" customHeight="1">
      <x:c r="A648" s="1"/>
      <x:c r="B648" s="1"/>
      <x:c r="C648" s="8"/>
      <x:c r="D648" s="8"/>
      <x:c r="E648" s="8"/>
      <x:c r="F648" s="8"/>
      <x:c r="G648" s="8"/>
      <x:c r="H648" s="8"/>
      <x:c r="I648" s="8"/>
      <x:c r="J648" s="8"/>
      <x:c r="K648" s="8"/>
      <x:c r="L648" s="8"/>
      <x:c r="M648" s="10"/>
      <x:c r="N648" s="10"/>
      <x:c r="O648" s="8"/>
      <x:c r="P648" s="9" t="str">
        <x:f>IF(C648="","",IF(AND(G648="Applicable",H648="Fail"),"Fail",IF(R648&lt;&gt;"Valid","Pending",IF(OR(I648="",K648="",L648="",K648=L648,NOT(ISNUMBER(M648)),NOT(ISNUMBER(N648)),M648&gt;Settings!$F$8,N648&lt;Settings!$F$8,N648&lt;M648),"Pending",IF(AND(G648="Applicable",H648="Pass"),"Pass",IF(AND(G648="N/A",H648="N/A",J648&lt;&gt;"",OR(E648="CEM-FUELS",E648="CEM-CCS",AND(E648="CEM-PLAN",IFERROR(INDEX('Taxonomy'!$M$9:$M$108,MATCH(D648,'Taxonomy'!$C$9:$C$108,0)),"")&lt;&gt;"Amber"),E648="BLD-TIMBER",AND(U648="Building equipment",OR(E648="BLD-WATER",E648="BLD-WASTE",E648="BLD-LAND")),AND(U648="Building renovation",E648="BLD-LAND"))),"N/A","Pending"))))))</x:f>
      </x:c>
      <x:c r="Q648" s="3" t="str">
        <x:f>IF(C648="","",IF(AND(R648="Valid",OR(P648="Pass",P648="N/A")),"Complete","Unresolved"))</x:f>
      </x:c>
      <x:c r="R648" s="9" t="str">
        <x:f>IF(C648="","",IF(OR(COUNTIF($C$9:$C$2008,C648)&lt;&gt;1,COUNTIFS($D$9:$D$2008,D648,$E$9:$E$2008,E648)&lt;&gt;1),"Duplicate test",IF(COUNTIF('Taxonomy'!$C$9:$C$108,D648)&lt;&gt;1,"Assessment key",IF(OR(COUNTIF('Taxonomy Rules'!$C$42:$C$68,E648)&lt;&gt;1,F648&lt;&gt;IFERROR(INDEX('Taxonomy Rules'!$D$42:$D$68,MATCH(E648,'Taxonomy Rules'!$C$42:$C$68,0)),""),NOT(OR(IFERROR(INDEX('Taxonomy Rules'!$G$42:$G$68,MATCH(E648,'Taxonomy Rules'!$C$42:$C$68,0)),"")="All supported routes",IFERROR(INDEX('Taxonomy Rules'!$G$42:$G$68,MATCH(E648,'Taxonomy Rules'!$C$42:$C$68,0)),"")=U648,AND(IFERROR(INDEX('Taxonomy Rules'!$G$42:$G$68,MATCH(E648,'Taxonomy Rules'!$C$42:$C$68,0)),"")="Building routes",OR(U648="Building renovation",U648="New building",U648="Building equipment"))))),"Unexpected test","Valid"))))</x:f>
      </x:c>
      <x:c r="S648" s="9" t="str">
        <x:f>IF(C648="","",IFERROR(INDEX('Taxonomy Rules'!$E$42:$E$68,MATCH(E648,'Taxonomy Rules'!$C$42:$C$68,0)),""))</x:f>
      </x:c>
      <x:c r="T648" s="9" t="str">
        <x:f>IF(C648="","",IFERROR(INDEX('Taxonomy Rules'!$F$42:$F$68,MATCH(E648,'Taxonomy Rules'!$C$42:$C$68,0)),""))</x:f>
      </x:c>
      <x:c r="U648" s="9" t="str">
        <x:f>IF(C648="","",IFERROR(INDEX('Taxonomy'!$G$9:$G$108,MATCH(D648,'Taxonomy'!$C$9:$C$108,0)),""))</x:f>
      </x:c>
    </x:row>
    <x:row r="649" ht="44" customHeight="1">
      <x:c r="A649" s="1"/>
      <x:c r="B649" s="1"/>
      <x:c r="C649" s="8"/>
      <x:c r="D649" s="8"/>
      <x:c r="E649" s="8"/>
      <x:c r="F649" s="8"/>
      <x:c r="G649" s="8"/>
      <x:c r="H649" s="8"/>
      <x:c r="I649" s="8"/>
      <x:c r="J649" s="8"/>
      <x:c r="K649" s="8"/>
      <x:c r="L649" s="8"/>
      <x:c r="M649" s="10"/>
      <x:c r="N649" s="10"/>
      <x:c r="O649" s="8"/>
      <x:c r="P649" s="9" t="str">
        <x:f>IF(C649="","",IF(AND(G649="Applicable",H649="Fail"),"Fail",IF(R649&lt;&gt;"Valid","Pending",IF(OR(I649="",K649="",L649="",K649=L649,NOT(ISNUMBER(M649)),NOT(ISNUMBER(N649)),M649&gt;Settings!$F$8,N649&lt;Settings!$F$8,N649&lt;M649),"Pending",IF(AND(G649="Applicable",H649="Pass"),"Pass",IF(AND(G649="N/A",H649="N/A",J649&lt;&gt;"",OR(E649="CEM-FUELS",E649="CEM-CCS",AND(E649="CEM-PLAN",IFERROR(INDEX('Taxonomy'!$M$9:$M$108,MATCH(D649,'Taxonomy'!$C$9:$C$108,0)),"")&lt;&gt;"Amber"),E649="BLD-TIMBER",AND(U649="Building equipment",OR(E649="BLD-WATER",E649="BLD-WASTE",E649="BLD-LAND")),AND(U649="Building renovation",E649="BLD-LAND"))),"N/A","Pending"))))))</x:f>
      </x:c>
      <x:c r="Q649" s="3" t="str">
        <x:f>IF(C649="","",IF(AND(R649="Valid",OR(P649="Pass",P649="N/A")),"Complete","Unresolved"))</x:f>
      </x:c>
      <x:c r="R649" s="9" t="str">
        <x:f>IF(C649="","",IF(OR(COUNTIF($C$9:$C$2008,C649)&lt;&gt;1,COUNTIFS($D$9:$D$2008,D649,$E$9:$E$2008,E649)&lt;&gt;1),"Duplicate test",IF(COUNTIF('Taxonomy'!$C$9:$C$108,D649)&lt;&gt;1,"Assessment key",IF(OR(COUNTIF('Taxonomy Rules'!$C$42:$C$68,E649)&lt;&gt;1,F649&lt;&gt;IFERROR(INDEX('Taxonomy Rules'!$D$42:$D$68,MATCH(E649,'Taxonomy Rules'!$C$42:$C$68,0)),""),NOT(OR(IFERROR(INDEX('Taxonomy Rules'!$G$42:$G$68,MATCH(E649,'Taxonomy Rules'!$C$42:$C$68,0)),"")="All supported routes",IFERROR(INDEX('Taxonomy Rules'!$G$42:$G$68,MATCH(E649,'Taxonomy Rules'!$C$42:$C$68,0)),"")=U649,AND(IFERROR(INDEX('Taxonomy Rules'!$G$42:$G$68,MATCH(E649,'Taxonomy Rules'!$C$42:$C$68,0)),"")="Building routes",OR(U649="Building renovation",U649="New building",U649="Building equipment"))))),"Unexpected test","Valid"))))</x:f>
      </x:c>
      <x:c r="S649" s="9" t="str">
        <x:f>IF(C649="","",IFERROR(INDEX('Taxonomy Rules'!$E$42:$E$68,MATCH(E649,'Taxonomy Rules'!$C$42:$C$68,0)),""))</x:f>
      </x:c>
      <x:c r="T649" s="9" t="str">
        <x:f>IF(C649="","",IFERROR(INDEX('Taxonomy Rules'!$F$42:$F$68,MATCH(E649,'Taxonomy Rules'!$C$42:$C$68,0)),""))</x:f>
      </x:c>
      <x:c r="U649" s="9" t="str">
        <x:f>IF(C649="","",IFERROR(INDEX('Taxonomy'!$G$9:$G$108,MATCH(D649,'Taxonomy'!$C$9:$C$108,0)),""))</x:f>
      </x:c>
    </x:row>
    <x:row r="650" ht="44" customHeight="1">
      <x:c r="A650" s="1"/>
      <x:c r="B650" s="1"/>
      <x:c r="C650" s="8"/>
      <x:c r="D650" s="8"/>
      <x:c r="E650" s="8"/>
      <x:c r="F650" s="8"/>
      <x:c r="G650" s="8"/>
      <x:c r="H650" s="8"/>
      <x:c r="I650" s="8"/>
      <x:c r="J650" s="8"/>
      <x:c r="K650" s="8"/>
      <x:c r="L650" s="8"/>
      <x:c r="M650" s="10"/>
      <x:c r="N650" s="10"/>
      <x:c r="O650" s="8"/>
      <x:c r="P650" s="9" t="str">
        <x:f>IF(C650="","",IF(AND(G650="Applicable",H650="Fail"),"Fail",IF(R650&lt;&gt;"Valid","Pending",IF(OR(I650="",K650="",L650="",K650=L650,NOT(ISNUMBER(M650)),NOT(ISNUMBER(N650)),M650&gt;Settings!$F$8,N650&lt;Settings!$F$8,N650&lt;M650),"Pending",IF(AND(G650="Applicable",H650="Pass"),"Pass",IF(AND(G650="N/A",H650="N/A",J650&lt;&gt;"",OR(E650="CEM-FUELS",E650="CEM-CCS",AND(E650="CEM-PLAN",IFERROR(INDEX('Taxonomy'!$M$9:$M$108,MATCH(D650,'Taxonomy'!$C$9:$C$108,0)),"")&lt;&gt;"Amber"),E650="BLD-TIMBER",AND(U650="Building equipment",OR(E650="BLD-WATER",E650="BLD-WASTE",E650="BLD-LAND")),AND(U650="Building renovation",E650="BLD-LAND"))),"N/A","Pending"))))))</x:f>
      </x:c>
      <x:c r="Q650" s="3" t="str">
        <x:f>IF(C650="","",IF(AND(R650="Valid",OR(P650="Pass",P650="N/A")),"Complete","Unresolved"))</x:f>
      </x:c>
      <x:c r="R650" s="9" t="str">
        <x:f>IF(C650="","",IF(OR(COUNTIF($C$9:$C$2008,C650)&lt;&gt;1,COUNTIFS($D$9:$D$2008,D650,$E$9:$E$2008,E650)&lt;&gt;1),"Duplicate test",IF(COUNTIF('Taxonomy'!$C$9:$C$108,D650)&lt;&gt;1,"Assessment key",IF(OR(COUNTIF('Taxonomy Rules'!$C$42:$C$68,E650)&lt;&gt;1,F650&lt;&gt;IFERROR(INDEX('Taxonomy Rules'!$D$42:$D$68,MATCH(E650,'Taxonomy Rules'!$C$42:$C$68,0)),""),NOT(OR(IFERROR(INDEX('Taxonomy Rules'!$G$42:$G$68,MATCH(E650,'Taxonomy Rules'!$C$42:$C$68,0)),"")="All supported routes",IFERROR(INDEX('Taxonomy Rules'!$G$42:$G$68,MATCH(E650,'Taxonomy Rules'!$C$42:$C$68,0)),"")=U650,AND(IFERROR(INDEX('Taxonomy Rules'!$G$42:$G$68,MATCH(E650,'Taxonomy Rules'!$C$42:$C$68,0)),"")="Building routes",OR(U650="Building renovation",U650="New building",U650="Building equipment"))))),"Unexpected test","Valid"))))</x:f>
      </x:c>
      <x:c r="S650" s="9" t="str">
        <x:f>IF(C650="","",IFERROR(INDEX('Taxonomy Rules'!$E$42:$E$68,MATCH(E650,'Taxonomy Rules'!$C$42:$C$68,0)),""))</x:f>
      </x:c>
      <x:c r="T650" s="9" t="str">
        <x:f>IF(C650="","",IFERROR(INDEX('Taxonomy Rules'!$F$42:$F$68,MATCH(E650,'Taxonomy Rules'!$C$42:$C$68,0)),""))</x:f>
      </x:c>
      <x:c r="U650" s="9" t="str">
        <x:f>IF(C650="","",IFERROR(INDEX('Taxonomy'!$G$9:$G$108,MATCH(D650,'Taxonomy'!$C$9:$C$108,0)),""))</x:f>
      </x:c>
    </x:row>
    <x:row r="651" ht="44" customHeight="1">
      <x:c r="A651" s="1"/>
      <x:c r="B651" s="1"/>
      <x:c r="C651" s="8"/>
      <x:c r="D651" s="8"/>
      <x:c r="E651" s="8"/>
      <x:c r="F651" s="8"/>
      <x:c r="G651" s="8"/>
      <x:c r="H651" s="8"/>
      <x:c r="I651" s="8"/>
      <x:c r="J651" s="8"/>
      <x:c r="K651" s="8"/>
      <x:c r="L651" s="8"/>
      <x:c r="M651" s="10"/>
      <x:c r="N651" s="10"/>
      <x:c r="O651" s="8"/>
      <x:c r="P651" s="9" t="str">
        <x:f>IF(C651="","",IF(AND(G651="Applicable",H651="Fail"),"Fail",IF(R651&lt;&gt;"Valid","Pending",IF(OR(I651="",K651="",L651="",K651=L651,NOT(ISNUMBER(M651)),NOT(ISNUMBER(N651)),M651&gt;Settings!$F$8,N651&lt;Settings!$F$8,N651&lt;M651),"Pending",IF(AND(G651="Applicable",H651="Pass"),"Pass",IF(AND(G651="N/A",H651="N/A",J651&lt;&gt;"",OR(E651="CEM-FUELS",E651="CEM-CCS",AND(E651="CEM-PLAN",IFERROR(INDEX('Taxonomy'!$M$9:$M$108,MATCH(D651,'Taxonomy'!$C$9:$C$108,0)),"")&lt;&gt;"Amber"),E651="BLD-TIMBER",AND(U651="Building equipment",OR(E651="BLD-WATER",E651="BLD-WASTE",E651="BLD-LAND")),AND(U651="Building renovation",E651="BLD-LAND"))),"N/A","Pending"))))))</x:f>
      </x:c>
      <x:c r="Q651" s="3" t="str">
        <x:f>IF(C651="","",IF(AND(R651="Valid",OR(P651="Pass",P651="N/A")),"Complete","Unresolved"))</x:f>
      </x:c>
      <x:c r="R651" s="9" t="str">
        <x:f>IF(C651="","",IF(OR(COUNTIF($C$9:$C$2008,C651)&lt;&gt;1,COUNTIFS($D$9:$D$2008,D651,$E$9:$E$2008,E651)&lt;&gt;1),"Duplicate test",IF(COUNTIF('Taxonomy'!$C$9:$C$108,D651)&lt;&gt;1,"Assessment key",IF(OR(COUNTIF('Taxonomy Rules'!$C$42:$C$68,E651)&lt;&gt;1,F651&lt;&gt;IFERROR(INDEX('Taxonomy Rules'!$D$42:$D$68,MATCH(E651,'Taxonomy Rules'!$C$42:$C$68,0)),""),NOT(OR(IFERROR(INDEX('Taxonomy Rules'!$G$42:$G$68,MATCH(E651,'Taxonomy Rules'!$C$42:$C$68,0)),"")="All supported routes",IFERROR(INDEX('Taxonomy Rules'!$G$42:$G$68,MATCH(E651,'Taxonomy Rules'!$C$42:$C$68,0)),"")=U651,AND(IFERROR(INDEX('Taxonomy Rules'!$G$42:$G$68,MATCH(E651,'Taxonomy Rules'!$C$42:$C$68,0)),"")="Building routes",OR(U651="Building renovation",U651="New building",U651="Building equipment"))))),"Unexpected test","Valid"))))</x:f>
      </x:c>
      <x:c r="S651" s="9" t="str">
        <x:f>IF(C651="","",IFERROR(INDEX('Taxonomy Rules'!$E$42:$E$68,MATCH(E651,'Taxonomy Rules'!$C$42:$C$68,0)),""))</x:f>
      </x:c>
      <x:c r="T651" s="9" t="str">
        <x:f>IF(C651="","",IFERROR(INDEX('Taxonomy Rules'!$F$42:$F$68,MATCH(E651,'Taxonomy Rules'!$C$42:$C$68,0)),""))</x:f>
      </x:c>
      <x:c r="U651" s="9" t="str">
        <x:f>IF(C651="","",IFERROR(INDEX('Taxonomy'!$G$9:$G$108,MATCH(D651,'Taxonomy'!$C$9:$C$108,0)),""))</x:f>
      </x:c>
    </x:row>
    <x:row r="652" ht="44" customHeight="1">
      <x:c r="A652" s="1"/>
      <x:c r="B652" s="1"/>
      <x:c r="C652" s="8"/>
      <x:c r="D652" s="8"/>
      <x:c r="E652" s="8"/>
      <x:c r="F652" s="8"/>
      <x:c r="G652" s="8"/>
      <x:c r="H652" s="8"/>
      <x:c r="I652" s="8"/>
      <x:c r="J652" s="8"/>
      <x:c r="K652" s="8"/>
      <x:c r="L652" s="8"/>
      <x:c r="M652" s="10"/>
      <x:c r="N652" s="10"/>
      <x:c r="O652" s="8"/>
      <x:c r="P652" s="9" t="str">
        <x:f>IF(C652="","",IF(AND(G652="Applicable",H652="Fail"),"Fail",IF(R652&lt;&gt;"Valid","Pending",IF(OR(I652="",K652="",L652="",K652=L652,NOT(ISNUMBER(M652)),NOT(ISNUMBER(N652)),M652&gt;Settings!$F$8,N652&lt;Settings!$F$8,N652&lt;M652),"Pending",IF(AND(G652="Applicable",H652="Pass"),"Pass",IF(AND(G652="N/A",H652="N/A",J652&lt;&gt;"",OR(E652="CEM-FUELS",E652="CEM-CCS",AND(E652="CEM-PLAN",IFERROR(INDEX('Taxonomy'!$M$9:$M$108,MATCH(D652,'Taxonomy'!$C$9:$C$108,0)),"")&lt;&gt;"Amber"),E652="BLD-TIMBER",AND(U652="Building equipment",OR(E652="BLD-WATER",E652="BLD-WASTE",E652="BLD-LAND")),AND(U652="Building renovation",E652="BLD-LAND"))),"N/A","Pending"))))))</x:f>
      </x:c>
      <x:c r="Q652" s="3" t="str">
        <x:f>IF(C652="","",IF(AND(R652="Valid",OR(P652="Pass",P652="N/A")),"Complete","Unresolved"))</x:f>
      </x:c>
      <x:c r="R652" s="9" t="str">
        <x:f>IF(C652="","",IF(OR(COUNTIF($C$9:$C$2008,C652)&lt;&gt;1,COUNTIFS($D$9:$D$2008,D652,$E$9:$E$2008,E652)&lt;&gt;1),"Duplicate test",IF(COUNTIF('Taxonomy'!$C$9:$C$108,D652)&lt;&gt;1,"Assessment key",IF(OR(COUNTIF('Taxonomy Rules'!$C$42:$C$68,E652)&lt;&gt;1,F652&lt;&gt;IFERROR(INDEX('Taxonomy Rules'!$D$42:$D$68,MATCH(E652,'Taxonomy Rules'!$C$42:$C$68,0)),""),NOT(OR(IFERROR(INDEX('Taxonomy Rules'!$G$42:$G$68,MATCH(E652,'Taxonomy Rules'!$C$42:$C$68,0)),"")="All supported routes",IFERROR(INDEX('Taxonomy Rules'!$G$42:$G$68,MATCH(E652,'Taxonomy Rules'!$C$42:$C$68,0)),"")=U652,AND(IFERROR(INDEX('Taxonomy Rules'!$G$42:$G$68,MATCH(E652,'Taxonomy Rules'!$C$42:$C$68,0)),"")="Building routes",OR(U652="Building renovation",U652="New building",U652="Building equipment"))))),"Unexpected test","Valid"))))</x:f>
      </x:c>
      <x:c r="S652" s="9" t="str">
        <x:f>IF(C652="","",IFERROR(INDEX('Taxonomy Rules'!$E$42:$E$68,MATCH(E652,'Taxonomy Rules'!$C$42:$C$68,0)),""))</x:f>
      </x:c>
      <x:c r="T652" s="9" t="str">
        <x:f>IF(C652="","",IFERROR(INDEX('Taxonomy Rules'!$F$42:$F$68,MATCH(E652,'Taxonomy Rules'!$C$42:$C$68,0)),""))</x:f>
      </x:c>
      <x:c r="U652" s="9" t="str">
        <x:f>IF(C652="","",IFERROR(INDEX('Taxonomy'!$G$9:$G$108,MATCH(D652,'Taxonomy'!$C$9:$C$108,0)),""))</x:f>
      </x:c>
    </x:row>
    <x:row r="653" ht="44" customHeight="1">
      <x:c r="A653" s="1"/>
      <x:c r="B653" s="1"/>
      <x:c r="C653" s="8"/>
      <x:c r="D653" s="8"/>
      <x:c r="E653" s="8"/>
      <x:c r="F653" s="8"/>
      <x:c r="G653" s="8"/>
      <x:c r="H653" s="8"/>
      <x:c r="I653" s="8"/>
      <x:c r="J653" s="8"/>
      <x:c r="K653" s="8"/>
      <x:c r="L653" s="8"/>
      <x:c r="M653" s="10"/>
      <x:c r="N653" s="10"/>
      <x:c r="O653" s="8"/>
      <x:c r="P653" s="9" t="str">
        <x:f>IF(C653="","",IF(AND(G653="Applicable",H653="Fail"),"Fail",IF(R653&lt;&gt;"Valid","Pending",IF(OR(I653="",K653="",L653="",K653=L653,NOT(ISNUMBER(M653)),NOT(ISNUMBER(N653)),M653&gt;Settings!$F$8,N653&lt;Settings!$F$8,N653&lt;M653),"Pending",IF(AND(G653="Applicable",H653="Pass"),"Pass",IF(AND(G653="N/A",H653="N/A",J653&lt;&gt;"",OR(E653="CEM-FUELS",E653="CEM-CCS",AND(E653="CEM-PLAN",IFERROR(INDEX('Taxonomy'!$M$9:$M$108,MATCH(D653,'Taxonomy'!$C$9:$C$108,0)),"")&lt;&gt;"Amber"),E653="BLD-TIMBER",AND(U653="Building equipment",OR(E653="BLD-WATER",E653="BLD-WASTE",E653="BLD-LAND")),AND(U653="Building renovation",E653="BLD-LAND"))),"N/A","Pending"))))))</x:f>
      </x:c>
      <x:c r="Q653" s="3" t="str">
        <x:f>IF(C653="","",IF(AND(R653="Valid",OR(P653="Pass",P653="N/A")),"Complete","Unresolved"))</x:f>
      </x:c>
      <x:c r="R653" s="9" t="str">
        <x:f>IF(C653="","",IF(OR(COUNTIF($C$9:$C$2008,C653)&lt;&gt;1,COUNTIFS($D$9:$D$2008,D653,$E$9:$E$2008,E653)&lt;&gt;1),"Duplicate test",IF(COUNTIF('Taxonomy'!$C$9:$C$108,D653)&lt;&gt;1,"Assessment key",IF(OR(COUNTIF('Taxonomy Rules'!$C$42:$C$68,E653)&lt;&gt;1,F653&lt;&gt;IFERROR(INDEX('Taxonomy Rules'!$D$42:$D$68,MATCH(E653,'Taxonomy Rules'!$C$42:$C$68,0)),""),NOT(OR(IFERROR(INDEX('Taxonomy Rules'!$G$42:$G$68,MATCH(E653,'Taxonomy Rules'!$C$42:$C$68,0)),"")="All supported routes",IFERROR(INDEX('Taxonomy Rules'!$G$42:$G$68,MATCH(E653,'Taxonomy Rules'!$C$42:$C$68,0)),"")=U653,AND(IFERROR(INDEX('Taxonomy Rules'!$G$42:$G$68,MATCH(E653,'Taxonomy Rules'!$C$42:$C$68,0)),"")="Building routes",OR(U653="Building renovation",U653="New building",U653="Building equipment"))))),"Unexpected test","Valid"))))</x:f>
      </x:c>
      <x:c r="S653" s="9" t="str">
        <x:f>IF(C653="","",IFERROR(INDEX('Taxonomy Rules'!$E$42:$E$68,MATCH(E653,'Taxonomy Rules'!$C$42:$C$68,0)),""))</x:f>
      </x:c>
      <x:c r="T653" s="9" t="str">
        <x:f>IF(C653="","",IFERROR(INDEX('Taxonomy Rules'!$F$42:$F$68,MATCH(E653,'Taxonomy Rules'!$C$42:$C$68,0)),""))</x:f>
      </x:c>
      <x:c r="U653" s="9" t="str">
        <x:f>IF(C653="","",IFERROR(INDEX('Taxonomy'!$G$9:$G$108,MATCH(D653,'Taxonomy'!$C$9:$C$108,0)),""))</x:f>
      </x:c>
    </x:row>
    <x:row r="654" ht="44" customHeight="1">
      <x:c r="A654" s="1"/>
      <x:c r="B654" s="1"/>
      <x:c r="C654" s="8"/>
      <x:c r="D654" s="8"/>
      <x:c r="E654" s="8"/>
      <x:c r="F654" s="8"/>
      <x:c r="G654" s="8"/>
      <x:c r="H654" s="8"/>
      <x:c r="I654" s="8"/>
      <x:c r="J654" s="8"/>
      <x:c r="K654" s="8"/>
      <x:c r="L654" s="8"/>
      <x:c r="M654" s="10"/>
      <x:c r="N654" s="10"/>
      <x:c r="O654" s="8"/>
      <x:c r="P654" s="9" t="str">
        <x:f>IF(C654="","",IF(AND(G654="Applicable",H654="Fail"),"Fail",IF(R654&lt;&gt;"Valid","Pending",IF(OR(I654="",K654="",L654="",K654=L654,NOT(ISNUMBER(M654)),NOT(ISNUMBER(N654)),M654&gt;Settings!$F$8,N654&lt;Settings!$F$8,N654&lt;M654),"Pending",IF(AND(G654="Applicable",H654="Pass"),"Pass",IF(AND(G654="N/A",H654="N/A",J654&lt;&gt;"",OR(E654="CEM-FUELS",E654="CEM-CCS",AND(E654="CEM-PLAN",IFERROR(INDEX('Taxonomy'!$M$9:$M$108,MATCH(D654,'Taxonomy'!$C$9:$C$108,0)),"")&lt;&gt;"Amber"),E654="BLD-TIMBER",AND(U654="Building equipment",OR(E654="BLD-WATER",E654="BLD-WASTE",E654="BLD-LAND")),AND(U654="Building renovation",E654="BLD-LAND"))),"N/A","Pending"))))))</x:f>
      </x:c>
      <x:c r="Q654" s="3" t="str">
        <x:f>IF(C654="","",IF(AND(R654="Valid",OR(P654="Pass",P654="N/A")),"Complete","Unresolved"))</x:f>
      </x:c>
      <x:c r="R654" s="9" t="str">
        <x:f>IF(C654="","",IF(OR(COUNTIF($C$9:$C$2008,C654)&lt;&gt;1,COUNTIFS($D$9:$D$2008,D654,$E$9:$E$2008,E654)&lt;&gt;1),"Duplicate test",IF(COUNTIF('Taxonomy'!$C$9:$C$108,D654)&lt;&gt;1,"Assessment key",IF(OR(COUNTIF('Taxonomy Rules'!$C$42:$C$68,E654)&lt;&gt;1,F654&lt;&gt;IFERROR(INDEX('Taxonomy Rules'!$D$42:$D$68,MATCH(E654,'Taxonomy Rules'!$C$42:$C$68,0)),""),NOT(OR(IFERROR(INDEX('Taxonomy Rules'!$G$42:$G$68,MATCH(E654,'Taxonomy Rules'!$C$42:$C$68,0)),"")="All supported routes",IFERROR(INDEX('Taxonomy Rules'!$G$42:$G$68,MATCH(E654,'Taxonomy Rules'!$C$42:$C$68,0)),"")=U654,AND(IFERROR(INDEX('Taxonomy Rules'!$G$42:$G$68,MATCH(E654,'Taxonomy Rules'!$C$42:$C$68,0)),"")="Building routes",OR(U654="Building renovation",U654="New building",U654="Building equipment"))))),"Unexpected test","Valid"))))</x:f>
      </x:c>
      <x:c r="S654" s="9" t="str">
        <x:f>IF(C654="","",IFERROR(INDEX('Taxonomy Rules'!$E$42:$E$68,MATCH(E654,'Taxonomy Rules'!$C$42:$C$68,0)),""))</x:f>
      </x:c>
      <x:c r="T654" s="9" t="str">
        <x:f>IF(C654="","",IFERROR(INDEX('Taxonomy Rules'!$F$42:$F$68,MATCH(E654,'Taxonomy Rules'!$C$42:$C$68,0)),""))</x:f>
      </x:c>
      <x:c r="U654" s="9" t="str">
        <x:f>IF(C654="","",IFERROR(INDEX('Taxonomy'!$G$9:$G$108,MATCH(D654,'Taxonomy'!$C$9:$C$108,0)),""))</x:f>
      </x:c>
    </x:row>
    <x:row r="655" ht="44" customHeight="1">
      <x:c r="A655" s="1"/>
      <x:c r="B655" s="1"/>
      <x:c r="C655" s="8"/>
      <x:c r="D655" s="8"/>
      <x:c r="E655" s="8"/>
      <x:c r="F655" s="8"/>
      <x:c r="G655" s="8"/>
      <x:c r="H655" s="8"/>
      <x:c r="I655" s="8"/>
      <x:c r="J655" s="8"/>
      <x:c r="K655" s="8"/>
      <x:c r="L655" s="8"/>
      <x:c r="M655" s="10"/>
      <x:c r="N655" s="10"/>
      <x:c r="O655" s="8"/>
      <x:c r="P655" s="9" t="str">
        <x:f>IF(C655="","",IF(AND(G655="Applicable",H655="Fail"),"Fail",IF(R655&lt;&gt;"Valid","Pending",IF(OR(I655="",K655="",L655="",K655=L655,NOT(ISNUMBER(M655)),NOT(ISNUMBER(N655)),M655&gt;Settings!$F$8,N655&lt;Settings!$F$8,N655&lt;M655),"Pending",IF(AND(G655="Applicable",H655="Pass"),"Pass",IF(AND(G655="N/A",H655="N/A",J655&lt;&gt;"",OR(E655="CEM-FUELS",E655="CEM-CCS",AND(E655="CEM-PLAN",IFERROR(INDEX('Taxonomy'!$M$9:$M$108,MATCH(D655,'Taxonomy'!$C$9:$C$108,0)),"")&lt;&gt;"Amber"),E655="BLD-TIMBER",AND(U655="Building equipment",OR(E655="BLD-WATER",E655="BLD-WASTE",E655="BLD-LAND")),AND(U655="Building renovation",E655="BLD-LAND"))),"N/A","Pending"))))))</x:f>
      </x:c>
      <x:c r="Q655" s="3" t="str">
        <x:f>IF(C655="","",IF(AND(R655="Valid",OR(P655="Pass",P655="N/A")),"Complete","Unresolved"))</x:f>
      </x:c>
      <x:c r="R655" s="9" t="str">
        <x:f>IF(C655="","",IF(OR(COUNTIF($C$9:$C$2008,C655)&lt;&gt;1,COUNTIFS($D$9:$D$2008,D655,$E$9:$E$2008,E655)&lt;&gt;1),"Duplicate test",IF(COUNTIF('Taxonomy'!$C$9:$C$108,D655)&lt;&gt;1,"Assessment key",IF(OR(COUNTIF('Taxonomy Rules'!$C$42:$C$68,E655)&lt;&gt;1,F655&lt;&gt;IFERROR(INDEX('Taxonomy Rules'!$D$42:$D$68,MATCH(E655,'Taxonomy Rules'!$C$42:$C$68,0)),""),NOT(OR(IFERROR(INDEX('Taxonomy Rules'!$G$42:$G$68,MATCH(E655,'Taxonomy Rules'!$C$42:$C$68,0)),"")="All supported routes",IFERROR(INDEX('Taxonomy Rules'!$G$42:$G$68,MATCH(E655,'Taxonomy Rules'!$C$42:$C$68,0)),"")=U655,AND(IFERROR(INDEX('Taxonomy Rules'!$G$42:$G$68,MATCH(E655,'Taxonomy Rules'!$C$42:$C$68,0)),"")="Building routes",OR(U655="Building renovation",U655="New building",U655="Building equipment"))))),"Unexpected test","Valid"))))</x:f>
      </x:c>
      <x:c r="S655" s="9" t="str">
        <x:f>IF(C655="","",IFERROR(INDEX('Taxonomy Rules'!$E$42:$E$68,MATCH(E655,'Taxonomy Rules'!$C$42:$C$68,0)),""))</x:f>
      </x:c>
      <x:c r="T655" s="9" t="str">
        <x:f>IF(C655="","",IFERROR(INDEX('Taxonomy Rules'!$F$42:$F$68,MATCH(E655,'Taxonomy Rules'!$C$42:$C$68,0)),""))</x:f>
      </x:c>
      <x:c r="U655" s="9" t="str">
        <x:f>IF(C655="","",IFERROR(INDEX('Taxonomy'!$G$9:$G$108,MATCH(D655,'Taxonomy'!$C$9:$C$108,0)),""))</x:f>
      </x:c>
    </x:row>
    <x:row r="656" ht="44" customHeight="1">
      <x:c r="A656" s="1"/>
      <x:c r="B656" s="1"/>
      <x:c r="C656" s="8"/>
      <x:c r="D656" s="8"/>
      <x:c r="E656" s="8"/>
      <x:c r="F656" s="8"/>
      <x:c r="G656" s="8"/>
      <x:c r="H656" s="8"/>
      <x:c r="I656" s="8"/>
      <x:c r="J656" s="8"/>
      <x:c r="K656" s="8"/>
      <x:c r="L656" s="8"/>
      <x:c r="M656" s="10"/>
      <x:c r="N656" s="10"/>
      <x:c r="O656" s="8"/>
      <x:c r="P656" s="9" t="str">
        <x:f>IF(C656="","",IF(AND(G656="Applicable",H656="Fail"),"Fail",IF(R656&lt;&gt;"Valid","Pending",IF(OR(I656="",K656="",L656="",K656=L656,NOT(ISNUMBER(M656)),NOT(ISNUMBER(N656)),M656&gt;Settings!$F$8,N656&lt;Settings!$F$8,N656&lt;M656),"Pending",IF(AND(G656="Applicable",H656="Pass"),"Pass",IF(AND(G656="N/A",H656="N/A",J656&lt;&gt;"",OR(E656="CEM-FUELS",E656="CEM-CCS",AND(E656="CEM-PLAN",IFERROR(INDEX('Taxonomy'!$M$9:$M$108,MATCH(D656,'Taxonomy'!$C$9:$C$108,0)),"")&lt;&gt;"Amber"),E656="BLD-TIMBER",AND(U656="Building equipment",OR(E656="BLD-WATER",E656="BLD-WASTE",E656="BLD-LAND")),AND(U656="Building renovation",E656="BLD-LAND"))),"N/A","Pending"))))))</x:f>
      </x:c>
      <x:c r="Q656" s="3" t="str">
        <x:f>IF(C656="","",IF(AND(R656="Valid",OR(P656="Pass",P656="N/A")),"Complete","Unresolved"))</x:f>
      </x:c>
      <x:c r="R656" s="9" t="str">
        <x:f>IF(C656="","",IF(OR(COUNTIF($C$9:$C$2008,C656)&lt;&gt;1,COUNTIFS($D$9:$D$2008,D656,$E$9:$E$2008,E656)&lt;&gt;1),"Duplicate test",IF(COUNTIF('Taxonomy'!$C$9:$C$108,D656)&lt;&gt;1,"Assessment key",IF(OR(COUNTIF('Taxonomy Rules'!$C$42:$C$68,E656)&lt;&gt;1,F656&lt;&gt;IFERROR(INDEX('Taxonomy Rules'!$D$42:$D$68,MATCH(E656,'Taxonomy Rules'!$C$42:$C$68,0)),""),NOT(OR(IFERROR(INDEX('Taxonomy Rules'!$G$42:$G$68,MATCH(E656,'Taxonomy Rules'!$C$42:$C$68,0)),"")="All supported routes",IFERROR(INDEX('Taxonomy Rules'!$G$42:$G$68,MATCH(E656,'Taxonomy Rules'!$C$42:$C$68,0)),"")=U656,AND(IFERROR(INDEX('Taxonomy Rules'!$G$42:$G$68,MATCH(E656,'Taxonomy Rules'!$C$42:$C$68,0)),"")="Building routes",OR(U656="Building renovation",U656="New building",U656="Building equipment"))))),"Unexpected test","Valid"))))</x:f>
      </x:c>
      <x:c r="S656" s="9" t="str">
        <x:f>IF(C656="","",IFERROR(INDEX('Taxonomy Rules'!$E$42:$E$68,MATCH(E656,'Taxonomy Rules'!$C$42:$C$68,0)),""))</x:f>
      </x:c>
      <x:c r="T656" s="9" t="str">
        <x:f>IF(C656="","",IFERROR(INDEX('Taxonomy Rules'!$F$42:$F$68,MATCH(E656,'Taxonomy Rules'!$C$42:$C$68,0)),""))</x:f>
      </x:c>
      <x:c r="U656" s="9" t="str">
        <x:f>IF(C656="","",IFERROR(INDEX('Taxonomy'!$G$9:$G$108,MATCH(D656,'Taxonomy'!$C$9:$C$108,0)),""))</x:f>
      </x:c>
    </x:row>
    <x:row r="657" ht="44" customHeight="1">
      <x:c r="A657" s="1"/>
      <x:c r="B657" s="1"/>
      <x:c r="C657" s="8"/>
      <x:c r="D657" s="8"/>
      <x:c r="E657" s="8"/>
      <x:c r="F657" s="8"/>
      <x:c r="G657" s="8"/>
      <x:c r="H657" s="8"/>
      <x:c r="I657" s="8"/>
      <x:c r="J657" s="8"/>
      <x:c r="K657" s="8"/>
      <x:c r="L657" s="8"/>
      <x:c r="M657" s="10"/>
      <x:c r="N657" s="10"/>
      <x:c r="O657" s="8"/>
      <x:c r="P657" s="9" t="str">
        <x:f>IF(C657="","",IF(AND(G657="Applicable",H657="Fail"),"Fail",IF(R657&lt;&gt;"Valid","Pending",IF(OR(I657="",K657="",L657="",K657=L657,NOT(ISNUMBER(M657)),NOT(ISNUMBER(N657)),M657&gt;Settings!$F$8,N657&lt;Settings!$F$8,N657&lt;M657),"Pending",IF(AND(G657="Applicable",H657="Pass"),"Pass",IF(AND(G657="N/A",H657="N/A",J657&lt;&gt;"",OR(E657="CEM-FUELS",E657="CEM-CCS",AND(E657="CEM-PLAN",IFERROR(INDEX('Taxonomy'!$M$9:$M$108,MATCH(D657,'Taxonomy'!$C$9:$C$108,0)),"")&lt;&gt;"Amber"),E657="BLD-TIMBER",AND(U657="Building equipment",OR(E657="BLD-WATER",E657="BLD-WASTE",E657="BLD-LAND")),AND(U657="Building renovation",E657="BLD-LAND"))),"N/A","Pending"))))))</x:f>
      </x:c>
      <x:c r="Q657" s="3" t="str">
        <x:f>IF(C657="","",IF(AND(R657="Valid",OR(P657="Pass",P657="N/A")),"Complete","Unresolved"))</x:f>
      </x:c>
      <x:c r="R657" s="9" t="str">
        <x:f>IF(C657="","",IF(OR(COUNTIF($C$9:$C$2008,C657)&lt;&gt;1,COUNTIFS($D$9:$D$2008,D657,$E$9:$E$2008,E657)&lt;&gt;1),"Duplicate test",IF(COUNTIF('Taxonomy'!$C$9:$C$108,D657)&lt;&gt;1,"Assessment key",IF(OR(COUNTIF('Taxonomy Rules'!$C$42:$C$68,E657)&lt;&gt;1,F657&lt;&gt;IFERROR(INDEX('Taxonomy Rules'!$D$42:$D$68,MATCH(E657,'Taxonomy Rules'!$C$42:$C$68,0)),""),NOT(OR(IFERROR(INDEX('Taxonomy Rules'!$G$42:$G$68,MATCH(E657,'Taxonomy Rules'!$C$42:$C$68,0)),"")="All supported routes",IFERROR(INDEX('Taxonomy Rules'!$G$42:$G$68,MATCH(E657,'Taxonomy Rules'!$C$42:$C$68,0)),"")=U657,AND(IFERROR(INDEX('Taxonomy Rules'!$G$42:$G$68,MATCH(E657,'Taxonomy Rules'!$C$42:$C$68,0)),"")="Building routes",OR(U657="Building renovation",U657="New building",U657="Building equipment"))))),"Unexpected test","Valid"))))</x:f>
      </x:c>
      <x:c r="S657" s="9" t="str">
        <x:f>IF(C657="","",IFERROR(INDEX('Taxonomy Rules'!$E$42:$E$68,MATCH(E657,'Taxonomy Rules'!$C$42:$C$68,0)),""))</x:f>
      </x:c>
      <x:c r="T657" s="9" t="str">
        <x:f>IF(C657="","",IFERROR(INDEX('Taxonomy Rules'!$F$42:$F$68,MATCH(E657,'Taxonomy Rules'!$C$42:$C$68,0)),""))</x:f>
      </x:c>
      <x:c r="U657" s="9" t="str">
        <x:f>IF(C657="","",IFERROR(INDEX('Taxonomy'!$G$9:$G$108,MATCH(D657,'Taxonomy'!$C$9:$C$108,0)),""))</x:f>
      </x:c>
    </x:row>
    <x:row r="658" ht="44" customHeight="1">
      <x:c r="A658" s="1"/>
      <x:c r="B658" s="1"/>
      <x:c r="C658" s="8"/>
      <x:c r="D658" s="8"/>
      <x:c r="E658" s="8"/>
      <x:c r="F658" s="8"/>
      <x:c r="G658" s="8"/>
      <x:c r="H658" s="8"/>
      <x:c r="I658" s="8"/>
      <x:c r="J658" s="8"/>
      <x:c r="K658" s="8"/>
      <x:c r="L658" s="8"/>
      <x:c r="M658" s="10"/>
      <x:c r="N658" s="10"/>
      <x:c r="O658" s="8"/>
      <x:c r="P658" s="9" t="str">
        <x:f>IF(C658="","",IF(AND(G658="Applicable",H658="Fail"),"Fail",IF(R658&lt;&gt;"Valid","Pending",IF(OR(I658="",K658="",L658="",K658=L658,NOT(ISNUMBER(M658)),NOT(ISNUMBER(N658)),M658&gt;Settings!$F$8,N658&lt;Settings!$F$8,N658&lt;M658),"Pending",IF(AND(G658="Applicable",H658="Pass"),"Pass",IF(AND(G658="N/A",H658="N/A",J658&lt;&gt;"",OR(E658="CEM-FUELS",E658="CEM-CCS",AND(E658="CEM-PLAN",IFERROR(INDEX('Taxonomy'!$M$9:$M$108,MATCH(D658,'Taxonomy'!$C$9:$C$108,0)),"")&lt;&gt;"Amber"),E658="BLD-TIMBER",AND(U658="Building equipment",OR(E658="BLD-WATER",E658="BLD-WASTE",E658="BLD-LAND")),AND(U658="Building renovation",E658="BLD-LAND"))),"N/A","Pending"))))))</x:f>
      </x:c>
      <x:c r="Q658" s="3" t="str">
        <x:f>IF(C658="","",IF(AND(R658="Valid",OR(P658="Pass",P658="N/A")),"Complete","Unresolved"))</x:f>
      </x:c>
      <x:c r="R658" s="9" t="str">
        <x:f>IF(C658="","",IF(OR(COUNTIF($C$9:$C$2008,C658)&lt;&gt;1,COUNTIFS($D$9:$D$2008,D658,$E$9:$E$2008,E658)&lt;&gt;1),"Duplicate test",IF(COUNTIF('Taxonomy'!$C$9:$C$108,D658)&lt;&gt;1,"Assessment key",IF(OR(COUNTIF('Taxonomy Rules'!$C$42:$C$68,E658)&lt;&gt;1,F658&lt;&gt;IFERROR(INDEX('Taxonomy Rules'!$D$42:$D$68,MATCH(E658,'Taxonomy Rules'!$C$42:$C$68,0)),""),NOT(OR(IFERROR(INDEX('Taxonomy Rules'!$G$42:$G$68,MATCH(E658,'Taxonomy Rules'!$C$42:$C$68,0)),"")="All supported routes",IFERROR(INDEX('Taxonomy Rules'!$G$42:$G$68,MATCH(E658,'Taxonomy Rules'!$C$42:$C$68,0)),"")=U658,AND(IFERROR(INDEX('Taxonomy Rules'!$G$42:$G$68,MATCH(E658,'Taxonomy Rules'!$C$42:$C$68,0)),"")="Building routes",OR(U658="Building renovation",U658="New building",U658="Building equipment"))))),"Unexpected test","Valid"))))</x:f>
      </x:c>
      <x:c r="S658" s="9" t="str">
        <x:f>IF(C658="","",IFERROR(INDEX('Taxonomy Rules'!$E$42:$E$68,MATCH(E658,'Taxonomy Rules'!$C$42:$C$68,0)),""))</x:f>
      </x:c>
      <x:c r="T658" s="9" t="str">
        <x:f>IF(C658="","",IFERROR(INDEX('Taxonomy Rules'!$F$42:$F$68,MATCH(E658,'Taxonomy Rules'!$C$42:$C$68,0)),""))</x:f>
      </x:c>
      <x:c r="U658" s="9" t="str">
        <x:f>IF(C658="","",IFERROR(INDEX('Taxonomy'!$G$9:$G$108,MATCH(D658,'Taxonomy'!$C$9:$C$108,0)),""))</x:f>
      </x:c>
    </x:row>
    <x:row r="659" ht="44" customHeight="1">
      <x:c r="A659" s="1"/>
      <x:c r="B659" s="1"/>
      <x:c r="C659" s="8"/>
      <x:c r="D659" s="8"/>
      <x:c r="E659" s="8"/>
      <x:c r="F659" s="8"/>
      <x:c r="G659" s="8"/>
      <x:c r="H659" s="8"/>
      <x:c r="I659" s="8"/>
      <x:c r="J659" s="8"/>
      <x:c r="K659" s="8"/>
      <x:c r="L659" s="8"/>
      <x:c r="M659" s="10"/>
      <x:c r="N659" s="10"/>
      <x:c r="O659" s="8"/>
      <x:c r="P659" s="9" t="str">
        <x:f>IF(C659="","",IF(AND(G659="Applicable",H659="Fail"),"Fail",IF(R659&lt;&gt;"Valid","Pending",IF(OR(I659="",K659="",L659="",K659=L659,NOT(ISNUMBER(M659)),NOT(ISNUMBER(N659)),M659&gt;Settings!$F$8,N659&lt;Settings!$F$8,N659&lt;M659),"Pending",IF(AND(G659="Applicable",H659="Pass"),"Pass",IF(AND(G659="N/A",H659="N/A",J659&lt;&gt;"",OR(E659="CEM-FUELS",E659="CEM-CCS",AND(E659="CEM-PLAN",IFERROR(INDEX('Taxonomy'!$M$9:$M$108,MATCH(D659,'Taxonomy'!$C$9:$C$108,0)),"")&lt;&gt;"Amber"),E659="BLD-TIMBER",AND(U659="Building equipment",OR(E659="BLD-WATER",E659="BLD-WASTE",E659="BLD-LAND")),AND(U659="Building renovation",E659="BLD-LAND"))),"N/A","Pending"))))))</x:f>
      </x:c>
      <x:c r="Q659" s="3" t="str">
        <x:f>IF(C659="","",IF(AND(R659="Valid",OR(P659="Pass",P659="N/A")),"Complete","Unresolved"))</x:f>
      </x:c>
      <x:c r="R659" s="9" t="str">
        <x:f>IF(C659="","",IF(OR(COUNTIF($C$9:$C$2008,C659)&lt;&gt;1,COUNTIFS($D$9:$D$2008,D659,$E$9:$E$2008,E659)&lt;&gt;1),"Duplicate test",IF(COUNTIF('Taxonomy'!$C$9:$C$108,D659)&lt;&gt;1,"Assessment key",IF(OR(COUNTIF('Taxonomy Rules'!$C$42:$C$68,E659)&lt;&gt;1,F659&lt;&gt;IFERROR(INDEX('Taxonomy Rules'!$D$42:$D$68,MATCH(E659,'Taxonomy Rules'!$C$42:$C$68,0)),""),NOT(OR(IFERROR(INDEX('Taxonomy Rules'!$G$42:$G$68,MATCH(E659,'Taxonomy Rules'!$C$42:$C$68,0)),"")="All supported routes",IFERROR(INDEX('Taxonomy Rules'!$G$42:$G$68,MATCH(E659,'Taxonomy Rules'!$C$42:$C$68,0)),"")=U659,AND(IFERROR(INDEX('Taxonomy Rules'!$G$42:$G$68,MATCH(E659,'Taxonomy Rules'!$C$42:$C$68,0)),"")="Building routes",OR(U659="Building renovation",U659="New building",U659="Building equipment"))))),"Unexpected test","Valid"))))</x:f>
      </x:c>
      <x:c r="S659" s="9" t="str">
        <x:f>IF(C659="","",IFERROR(INDEX('Taxonomy Rules'!$E$42:$E$68,MATCH(E659,'Taxonomy Rules'!$C$42:$C$68,0)),""))</x:f>
      </x:c>
      <x:c r="T659" s="9" t="str">
        <x:f>IF(C659="","",IFERROR(INDEX('Taxonomy Rules'!$F$42:$F$68,MATCH(E659,'Taxonomy Rules'!$C$42:$C$68,0)),""))</x:f>
      </x:c>
      <x:c r="U659" s="9" t="str">
        <x:f>IF(C659="","",IFERROR(INDEX('Taxonomy'!$G$9:$G$108,MATCH(D659,'Taxonomy'!$C$9:$C$108,0)),""))</x:f>
      </x:c>
    </x:row>
    <x:row r="660" ht="44" customHeight="1">
      <x:c r="A660" s="1"/>
      <x:c r="B660" s="1"/>
      <x:c r="C660" s="8"/>
      <x:c r="D660" s="8"/>
      <x:c r="E660" s="8"/>
      <x:c r="F660" s="8"/>
      <x:c r="G660" s="8"/>
      <x:c r="H660" s="8"/>
      <x:c r="I660" s="8"/>
      <x:c r="J660" s="8"/>
      <x:c r="K660" s="8"/>
      <x:c r="L660" s="8"/>
      <x:c r="M660" s="10"/>
      <x:c r="N660" s="10"/>
      <x:c r="O660" s="8"/>
      <x:c r="P660" s="9" t="str">
        <x:f>IF(C660="","",IF(AND(G660="Applicable",H660="Fail"),"Fail",IF(R660&lt;&gt;"Valid","Pending",IF(OR(I660="",K660="",L660="",K660=L660,NOT(ISNUMBER(M660)),NOT(ISNUMBER(N660)),M660&gt;Settings!$F$8,N660&lt;Settings!$F$8,N660&lt;M660),"Pending",IF(AND(G660="Applicable",H660="Pass"),"Pass",IF(AND(G660="N/A",H660="N/A",J660&lt;&gt;"",OR(E660="CEM-FUELS",E660="CEM-CCS",AND(E660="CEM-PLAN",IFERROR(INDEX('Taxonomy'!$M$9:$M$108,MATCH(D660,'Taxonomy'!$C$9:$C$108,0)),"")&lt;&gt;"Amber"),E660="BLD-TIMBER",AND(U660="Building equipment",OR(E660="BLD-WATER",E660="BLD-WASTE",E660="BLD-LAND")),AND(U660="Building renovation",E660="BLD-LAND"))),"N/A","Pending"))))))</x:f>
      </x:c>
      <x:c r="Q660" s="3" t="str">
        <x:f>IF(C660="","",IF(AND(R660="Valid",OR(P660="Pass",P660="N/A")),"Complete","Unresolved"))</x:f>
      </x:c>
      <x:c r="R660" s="9" t="str">
        <x:f>IF(C660="","",IF(OR(COUNTIF($C$9:$C$2008,C660)&lt;&gt;1,COUNTIFS($D$9:$D$2008,D660,$E$9:$E$2008,E660)&lt;&gt;1),"Duplicate test",IF(COUNTIF('Taxonomy'!$C$9:$C$108,D660)&lt;&gt;1,"Assessment key",IF(OR(COUNTIF('Taxonomy Rules'!$C$42:$C$68,E660)&lt;&gt;1,F660&lt;&gt;IFERROR(INDEX('Taxonomy Rules'!$D$42:$D$68,MATCH(E660,'Taxonomy Rules'!$C$42:$C$68,0)),""),NOT(OR(IFERROR(INDEX('Taxonomy Rules'!$G$42:$G$68,MATCH(E660,'Taxonomy Rules'!$C$42:$C$68,0)),"")="All supported routes",IFERROR(INDEX('Taxonomy Rules'!$G$42:$G$68,MATCH(E660,'Taxonomy Rules'!$C$42:$C$68,0)),"")=U660,AND(IFERROR(INDEX('Taxonomy Rules'!$G$42:$G$68,MATCH(E660,'Taxonomy Rules'!$C$42:$C$68,0)),"")="Building routes",OR(U660="Building renovation",U660="New building",U660="Building equipment"))))),"Unexpected test","Valid"))))</x:f>
      </x:c>
      <x:c r="S660" s="9" t="str">
        <x:f>IF(C660="","",IFERROR(INDEX('Taxonomy Rules'!$E$42:$E$68,MATCH(E660,'Taxonomy Rules'!$C$42:$C$68,0)),""))</x:f>
      </x:c>
      <x:c r="T660" s="9" t="str">
        <x:f>IF(C660="","",IFERROR(INDEX('Taxonomy Rules'!$F$42:$F$68,MATCH(E660,'Taxonomy Rules'!$C$42:$C$68,0)),""))</x:f>
      </x:c>
      <x:c r="U660" s="9" t="str">
        <x:f>IF(C660="","",IFERROR(INDEX('Taxonomy'!$G$9:$G$108,MATCH(D660,'Taxonomy'!$C$9:$C$108,0)),""))</x:f>
      </x:c>
    </x:row>
    <x:row r="661" ht="44" customHeight="1">
      <x:c r="A661" s="1"/>
      <x:c r="B661" s="1"/>
      <x:c r="C661" s="8"/>
      <x:c r="D661" s="8"/>
      <x:c r="E661" s="8"/>
      <x:c r="F661" s="8"/>
      <x:c r="G661" s="8"/>
      <x:c r="H661" s="8"/>
      <x:c r="I661" s="8"/>
      <x:c r="J661" s="8"/>
      <x:c r="K661" s="8"/>
      <x:c r="L661" s="8"/>
      <x:c r="M661" s="10"/>
      <x:c r="N661" s="10"/>
      <x:c r="O661" s="8"/>
      <x:c r="P661" s="9" t="str">
        <x:f>IF(C661="","",IF(AND(G661="Applicable",H661="Fail"),"Fail",IF(R661&lt;&gt;"Valid","Pending",IF(OR(I661="",K661="",L661="",K661=L661,NOT(ISNUMBER(M661)),NOT(ISNUMBER(N661)),M661&gt;Settings!$F$8,N661&lt;Settings!$F$8,N661&lt;M661),"Pending",IF(AND(G661="Applicable",H661="Pass"),"Pass",IF(AND(G661="N/A",H661="N/A",J661&lt;&gt;"",OR(E661="CEM-FUELS",E661="CEM-CCS",AND(E661="CEM-PLAN",IFERROR(INDEX('Taxonomy'!$M$9:$M$108,MATCH(D661,'Taxonomy'!$C$9:$C$108,0)),"")&lt;&gt;"Amber"),E661="BLD-TIMBER",AND(U661="Building equipment",OR(E661="BLD-WATER",E661="BLD-WASTE",E661="BLD-LAND")),AND(U661="Building renovation",E661="BLD-LAND"))),"N/A","Pending"))))))</x:f>
      </x:c>
      <x:c r="Q661" s="3" t="str">
        <x:f>IF(C661="","",IF(AND(R661="Valid",OR(P661="Pass",P661="N/A")),"Complete","Unresolved"))</x:f>
      </x:c>
      <x:c r="R661" s="9" t="str">
        <x:f>IF(C661="","",IF(OR(COUNTIF($C$9:$C$2008,C661)&lt;&gt;1,COUNTIFS($D$9:$D$2008,D661,$E$9:$E$2008,E661)&lt;&gt;1),"Duplicate test",IF(COUNTIF('Taxonomy'!$C$9:$C$108,D661)&lt;&gt;1,"Assessment key",IF(OR(COUNTIF('Taxonomy Rules'!$C$42:$C$68,E661)&lt;&gt;1,F661&lt;&gt;IFERROR(INDEX('Taxonomy Rules'!$D$42:$D$68,MATCH(E661,'Taxonomy Rules'!$C$42:$C$68,0)),""),NOT(OR(IFERROR(INDEX('Taxonomy Rules'!$G$42:$G$68,MATCH(E661,'Taxonomy Rules'!$C$42:$C$68,0)),"")="All supported routes",IFERROR(INDEX('Taxonomy Rules'!$G$42:$G$68,MATCH(E661,'Taxonomy Rules'!$C$42:$C$68,0)),"")=U661,AND(IFERROR(INDEX('Taxonomy Rules'!$G$42:$G$68,MATCH(E661,'Taxonomy Rules'!$C$42:$C$68,0)),"")="Building routes",OR(U661="Building renovation",U661="New building",U661="Building equipment"))))),"Unexpected test","Valid"))))</x:f>
      </x:c>
      <x:c r="S661" s="9" t="str">
        <x:f>IF(C661="","",IFERROR(INDEX('Taxonomy Rules'!$E$42:$E$68,MATCH(E661,'Taxonomy Rules'!$C$42:$C$68,0)),""))</x:f>
      </x:c>
      <x:c r="T661" s="9" t="str">
        <x:f>IF(C661="","",IFERROR(INDEX('Taxonomy Rules'!$F$42:$F$68,MATCH(E661,'Taxonomy Rules'!$C$42:$C$68,0)),""))</x:f>
      </x:c>
      <x:c r="U661" s="9" t="str">
        <x:f>IF(C661="","",IFERROR(INDEX('Taxonomy'!$G$9:$G$108,MATCH(D661,'Taxonomy'!$C$9:$C$108,0)),""))</x:f>
      </x:c>
    </x:row>
    <x:row r="662" ht="44" customHeight="1">
      <x:c r="A662" s="1"/>
      <x:c r="B662" s="1"/>
      <x:c r="C662" s="8"/>
      <x:c r="D662" s="8"/>
      <x:c r="E662" s="8"/>
      <x:c r="F662" s="8"/>
      <x:c r="G662" s="8"/>
      <x:c r="H662" s="8"/>
      <x:c r="I662" s="8"/>
      <x:c r="J662" s="8"/>
      <x:c r="K662" s="8"/>
      <x:c r="L662" s="8"/>
      <x:c r="M662" s="10"/>
      <x:c r="N662" s="10"/>
      <x:c r="O662" s="8"/>
      <x:c r="P662" s="9" t="str">
        <x:f>IF(C662="","",IF(AND(G662="Applicable",H662="Fail"),"Fail",IF(R662&lt;&gt;"Valid","Pending",IF(OR(I662="",K662="",L662="",K662=L662,NOT(ISNUMBER(M662)),NOT(ISNUMBER(N662)),M662&gt;Settings!$F$8,N662&lt;Settings!$F$8,N662&lt;M662),"Pending",IF(AND(G662="Applicable",H662="Pass"),"Pass",IF(AND(G662="N/A",H662="N/A",J662&lt;&gt;"",OR(E662="CEM-FUELS",E662="CEM-CCS",AND(E662="CEM-PLAN",IFERROR(INDEX('Taxonomy'!$M$9:$M$108,MATCH(D662,'Taxonomy'!$C$9:$C$108,0)),"")&lt;&gt;"Amber"),E662="BLD-TIMBER",AND(U662="Building equipment",OR(E662="BLD-WATER",E662="BLD-WASTE",E662="BLD-LAND")),AND(U662="Building renovation",E662="BLD-LAND"))),"N/A","Pending"))))))</x:f>
      </x:c>
      <x:c r="Q662" s="3" t="str">
        <x:f>IF(C662="","",IF(AND(R662="Valid",OR(P662="Pass",P662="N/A")),"Complete","Unresolved"))</x:f>
      </x:c>
      <x:c r="R662" s="9" t="str">
        <x:f>IF(C662="","",IF(OR(COUNTIF($C$9:$C$2008,C662)&lt;&gt;1,COUNTIFS($D$9:$D$2008,D662,$E$9:$E$2008,E662)&lt;&gt;1),"Duplicate test",IF(COUNTIF('Taxonomy'!$C$9:$C$108,D662)&lt;&gt;1,"Assessment key",IF(OR(COUNTIF('Taxonomy Rules'!$C$42:$C$68,E662)&lt;&gt;1,F662&lt;&gt;IFERROR(INDEX('Taxonomy Rules'!$D$42:$D$68,MATCH(E662,'Taxonomy Rules'!$C$42:$C$68,0)),""),NOT(OR(IFERROR(INDEX('Taxonomy Rules'!$G$42:$G$68,MATCH(E662,'Taxonomy Rules'!$C$42:$C$68,0)),"")="All supported routes",IFERROR(INDEX('Taxonomy Rules'!$G$42:$G$68,MATCH(E662,'Taxonomy Rules'!$C$42:$C$68,0)),"")=U662,AND(IFERROR(INDEX('Taxonomy Rules'!$G$42:$G$68,MATCH(E662,'Taxonomy Rules'!$C$42:$C$68,0)),"")="Building routes",OR(U662="Building renovation",U662="New building",U662="Building equipment"))))),"Unexpected test","Valid"))))</x:f>
      </x:c>
      <x:c r="S662" s="9" t="str">
        <x:f>IF(C662="","",IFERROR(INDEX('Taxonomy Rules'!$E$42:$E$68,MATCH(E662,'Taxonomy Rules'!$C$42:$C$68,0)),""))</x:f>
      </x:c>
      <x:c r="T662" s="9" t="str">
        <x:f>IF(C662="","",IFERROR(INDEX('Taxonomy Rules'!$F$42:$F$68,MATCH(E662,'Taxonomy Rules'!$C$42:$C$68,0)),""))</x:f>
      </x:c>
      <x:c r="U662" s="9" t="str">
        <x:f>IF(C662="","",IFERROR(INDEX('Taxonomy'!$G$9:$G$108,MATCH(D662,'Taxonomy'!$C$9:$C$108,0)),""))</x:f>
      </x:c>
    </x:row>
    <x:row r="663" ht="44" customHeight="1">
      <x:c r="A663" s="1"/>
      <x:c r="B663" s="1"/>
      <x:c r="C663" s="8"/>
      <x:c r="D663" s="8"/>
      <x:c r="E663" s="8"/>
      <x:c r="F663" s="8"/>
      <x:c r="G663" s="8"/>
      <x:c r="H663" s="8"/>
      <x:c r="I663" s="8"/>
      <x:c r="J663" s="8"/>
      <x:c r="K663" s="8"/>
      <x:c r="L663" s="8"/>
      <x:c r="M663" s="10"/>
      <x:c r="N663" s="10"/>
      <x:c r="O663" s="8"/>
      <x:c r="P663" s="9" t="str">
        <x:f>IF(C663="","",IF(AND(G663="Applicable",H663="Fail"),"Fail",IF(R663&lt;&gt;"Valid","Pending",IF(OR(I663="",K663="",L663="",K663=L663,NOT(ISNUMBER(M663)),NOT(ISNUMBER(N663)),M663&gt;Settings!$F$8,N663&lt;Settings!$F$8,N663&lt;M663),"Pending",IF(AND(G663="Applicable",H663="Pass"),"Pass",IF(AND(G663="N/A",H663="N/A",J663&lt;&gt;"",OR(E663="CEM-FUELS",E663="CEM-CCS",AND(E663="CEM-PLAN",IFERROR(INDEX('Taxonomy'!$M$9:$M$108,MATCH(D663,'Taxonomy'!$C$9:$C$108,0)),"")&lt;&gt;"Amber"),E663="BLD-TIMBER",AND(U663="Building equipment",OR(E663="BLD-WATER",E663="BLD-WASTE",E663="BLD-LAND")),AND(U663="Building renovation",E663="BLD-LAND"))),"N/A","Pending"))))))</x:f>
      </x:c>
      <x:c r="Q663" s="3" t="str">
        <x:f>IF(C663="","",IF(AND(R663="Valid",OR(P663="Pass",P663="N/A")),"Complete","Unresolved"))</x:f>
      </x:c>
      <x:c r="R663" s="9" t="str">
        <x:f>IF(C663="","",IF(OR(COUNTIF($C$9:$C$2008,C663)&lt;&gt;1,COUNTIFS($D$9:$D$2008,D663,$E$9:$E$2008,E663)&lt;&gt;1),"Duplicate test",IF(COUNTIF('Taxonomy'!$C$9:$C$108,D663)&lt;&gt;1,"Assessment key",IF(OR(COUNTIF('Taxonomy Rules'!$C$42:$C$68,E663)&lt;&gt;1,F663&lt;&gt;IFERROR(INDEX('Taxonomy Rules'!$D$42:$D$68,MATCH(E663,'Taxonomy Rules'!$C$42:$C$68,0)),""),NOT(OR(IFERROR(INDEX('Taxonomy Rules'!$G$42:$G$68,MATCH(E663,'Taxonomy Rules'!$C$42:$C$68,0)),"")="All supported routes",IFERROR(INDEX('Taxonomy Rules'!$G$42:$G$68,MATCH(E663,'Taxonomy Rules'!$C$42:$C$68,0)),"")=U663,AND(IFERROR(INDEX('Taxonomy Rules'!$G$42:$G$68,MATCH(E663,'Taxonomy Rules'!$C$42:$C$68,0)),"")="Building routes",OR(U663="Building renovation",U663="New building",U663="Building equipment"))))),"Unexpected test","Valid"))))</x:f>
      </x:c>
      <x:c r="S663" s="9" t="str">
        <x:f>IF(C663="","",IFERROR(INDEX('Taxonomy Rules'!$E$42:$E$68,MATCH(E663,'Taxonomy Rules'!$C$42:$C$68,0)),""))</x:f>
      </x:c>
      <x:c r="T663" s="9" t="str">
        <x:f>IF(C663="","",IFERROR(INDEX('Taxonomy Rules'!$F$42:$F$68,MATCH(E663,'Taxonomy Rules'!$C$42:$C$68,0)),""))</x:f>
      </x:c>
      <x:c r="U663" s="9" t="str">
        <x:f>IF(C663="","",IFERROR(INDEX('Taxonomy'!$G$9:$G$108,MATCH(D663,'Taxonomy'!$C$9:$C$108,0)),""))</x:f>
      </x:c>
    </x:row>
    <x:row r="664" ht="44" customHeight="1">
      <x:c r="A664" s="1"/>
      <x:c r="B664" s="1"/>
      <x:c r="C664" s="8"/>
      <x:c r="D664" s="8"/>
      <x:c r="E664" s="8"/>
      <x:c r="F664" s="8"/>
      <x:c r="G664" s="8"/>
      <x:c r="H664" s="8"/>
      <x:c r="I664" s="8"/>
      <x:c r="J664" s="8"/>
      <x:c r="K664" s="8"/>
      <x:c r="L664" s="8"/>
      <x:c r="M664" s="10"/>
      <x:c r="N664" s="10"/>
      <x:c r="O664" s="8"/>
      <x:c r="P664" s="9" t="str">
        <x:f>IF(C664="","",IF(AND(G664="Applicable",H664="Fail"),"Fail",IF(R664&lt;&gt;"Valid","Pending",IF(OR(I664="",K664="",L664="",K664=L664,NOT(ISNUMBER(M664)),NOT(ISNUMBER(N664)),M664&gt;Settings!$F$8,N664&lt;Settings!$F$8,N664&lt;M664),"Pending",IF(AND(G664="Applicable",H664="Pass"),"Pass",IF(AND(G664="N/A",H664="N/A",J664&lt;&gt;"",OR(E664="CEM-FUELS",E664="CEM-CCS",AND(E664="CEM-PLAN",IFERROR(INDEX('Taxonomy'!$M$9:$M$108,MATCH(D664,'Taxonomy'!$C$9:$C$108,0)),"")&lt;&gt;"Amber"),E664="BLD-TIMBER",AND(U664="Building equipment",OR(E664="BLD-WATER",E664="BLD-WASTE",E664="BLD-LAND")),AND(U664="Building renovation",E664="BLD-LAND"))),"N/A","Pending"))))))</x:f>
      </x:c>
      <x:c r="Q664" s="3" t="str">
        <x:f>IF(C664="","",IF(AND(R664="Valid",OR(P664="Pass",P664="N/A")),"Complete","Unresolved"))</x:f>
      </x:c>
      <x:c r="R664" s="9" t="str">
        <x:f>IF(C664="","",IF(OR(COUNTIF($C$9:$C$2008,C664)&lt;&gt;1,COUNTIFS($D$9:$D$2008,D664,$E$9:$E$2008,E664)&lt;&gt;1),"Duplicate test",IF(COUNTIF('Taxonomy'!$C$9:$C$108,D664)&lt;&gt;1,"Assessment key",IF(OR(COUNTIF('Taxonomy Rules'!$C$42:$C$68,E664)&lt;&gt;1,F664&lt;&gt;IFERROR(INDEX('Taxonomy Rules'!$D$42:$D$68,MATCH(E664,'Taxonomy Rules'!$C$42:$C$68,0)),""),NOT(OR(IFERROR(INDEX('Taxonomy Rules'!$G$42:$G$68,MATCH(E664,'Taxonomy Rules'!$C$42:$C$68,0)),"")="All supported routes",IFERROR(INDEX('Taxonomy Rules'!$G$42:$G$68,MATCH(E664,'Taxonomy Rules'!$C$42:$C$68,0)),"")=U664,AND(IFERROR(INDEX('Taxonomy Rules'!$G$42:$G$68,MATCH(E664,'Taxonomy Rules'!$C$42:$C$68,0)),"")="Building routes",OR(U664="Building renovation",U664="New building",U664="Building equipment"))))),"Unexpected test","Valid"))))</x:f>
      </x:c>
      <x:c r="S664" s="9" t="str">
        <x:f>IF(C664="","",IFERROR(INDEX('Taxonomy Rules'!$E$42:$E$68,MATCH(E664,'Taxonomy Rules'!$C$42:$C$68,0)),""))</x:f>
      </x:c>
      <x:c r="T664" s="9" t="str">
        <x:f>IF(C664="","",IFERROR(INDEX('Taxonomy Rules'!$F$42:$F$68,MATCH(E664,'Taxonomy Rules'!$C$42:$C$68,0)),""))</x:f>
      </x:c>
      <x:c r="U664" s="9" t="str">
        <x:f>IF(C664="","",IFERROR(INDEX('Taxonomy'!$G$9:$G$108,MATCH(D664,'Taxonomy'!$C$9:$C$108,0)),""))</x:f>
      </x:c>
    </x:row>
    <x:row r="665" ht="44" customHeight="1">
      <x:c r="A665" s="1"/>
      <x:c r="B665" s="1"/>
      <x:c r="C665" s="8"/>
      <x:c r="D665" s="8"/>
      <x:c r="E665" s="8"/>
      <x:c r="F665" s="8"/>
      <x:c r="G665" s="8"/>
      <x:c r="H665" s="8"/>
      <x:c r="I665" s="8"/>
      <x:c r="J665" s="8"/>
      <x:c r="K665" s="8"/>
      <x:c r="L665" s="8"/>
      <x:c r="M665" s="10"/>
      <x:c r="N665" s="10"/>
      <x:c r="O665" s="8"/>
      <x:c r="P665" s="9" t="str">
        <x:f>IF(C665="","",IF(AND(G665="Applicable",H665="Fail"),"Fail",IF(R665&lt;&gt;"Valid","Pending",IF(OR(I665="",K665="",L665="",K665=L665,NOT(ISNUMBER(M665)),NOT(ISNUMBER(N665)),M665&gt;Settings!$F$8,N665&lt;Settings!$F$8,N665&lt;M665),"Pending",IF(AND(G665="Applicable",H665="Pass"),"Pass",IF(AND(G665="N/A",H665="N/A",J665&lt;&gt;"",OR(E665="CEM-FUELS",E665="CEM-CCS",AND(E665="CEM-PLAN",IFERROR(INDEX('Taxonomy'!$M$9:$M$108,MATCH(D665,'Taxonomy'!$C$9:$C$108,0)),"")&lt;&gt;"Amber"),E665="BLD-TIMBER",AND(U665="Building equipment",OR(E665="BLD-WATER",E665="BLD-WASTE",E665="BLD-LAND")),AND(U665="Building renovation",E665="BLD-LAND"))),"N/A","Pending"))))))</x:f>
      </x:c>
      <x:c r="Q665" s="3" t="str">
        <x:f>IF(C665="","",IF(AND(R665="Valid",OR(P665="Pass",P665="N/A")),"Complete","Unresolved"))</x:f>
      </x:c>
      <x:c r="R665" s="9" t="str">
        <x:f>IF(C665="","",IF(OR(COUNTIF($C$9:$C$2008,C665)&lt;&gt;1,COUNTIFS($D$9:$D$2008,D665,$E$9:$E$2008,E665)&lt;&gt;1),"Duplicate test",IF(COUNTIF('Taxonomy'!$C$9:$C$108,D665)&lt;&gt;1,"Assessment key",IF(OR(COUNTIF('Taxonomy Rules'!$C$42:$C$68,E665)&lt;&gt;1,F665&lt;&gt;IFERROR(INDEX('Taxonomy Rules'!$D$42:$D$68,MATCH(E665,'Taxonomy Rules'!$C$42:$C$68,0)),""),NOT(OR(IFERROR(INDEX('Taxonomy Rules'!$G$42:$G$68,MATCH(E665,'Taxonomy Rules'!$C$42:$C$68,0)),"")="All supported routes",IFERROR(INDEX('Taxonomy Rules'!$G$42:$G$68,MATCH(E665,'Taxonomy Rules'!$C$42:$C$68,0)),"")=U665,AND(IFERROR(INDEX('Taxonomy Rules'!$G$42:$G$68,MATCH(E665,'Taxonomy Rules'!$C$42:$C$68,0)),"")="Building routes",OR(U665="Building renovation",U665="New building",U665="Building equipment"))))),"Unexpected test","Valid"))))</x:f>
      </x:c>
      <x:c r="S665" s="9" t="str">
        <x:f>IF(C665="","",IFERROR(INDEX('Taxonomy Rules'!$E$42:$E$68,MATCH(E665,'Taxonomy Rules'!$C$42:$C$68,0)),""))</x:f>
      </x:c>
      <x:c r="T665" s="9" t="str">
        <x:f>IF(C665="","",IFERROR(INDEX('Taxonomy Rules'!$F$42:$F$68,MATCH(E665,'Taxonomy Rules'!$C$42:$C$68,0)),""))</x:f>
      </x:c>
      <x:c r="U665" s="9" t="str">
        <x:f>IF(C665="","",IFERROR(INDEX('Taxonomy'!$G$9:$G$108,MATCH(D665,'Taxonomy'!$C$9:$C$108,0)),""))</x:f>
      </x:c>
    </x:row>
    <x:row r="666" ht="44" customHeight="1">
      <x:c r="A666" s="1"/>
      <x:c r="B666" s="1"/>
      <x:c r="C666" s="8"/>
      <x:c r="D666" s="8"/>
      <x:c r="E666" s="8"/>
      <x:c r="F666" s="8"/>
      <x:c r="G666" s="8"/>
      <x:c r="H666" s="8"/>
      <x:c r="I666" s="8"/>
      <x:c r="J666" s="8"/>
      <x:c r="K666" s="8"/>
      <x:c r="L666" s="8"/>
      <x:c r="M666" s="10"/>
      <x:c r="N666" s="10"/>
      <x:c r="O666" s="8"/>
      <x:c r="P666" s="9" t="str">
        <x:f>IF(C666="","",IF(AND(G666="Applicable",H666="Fail"),"Fail",IF(R666&lt;&gt;"Valid","Pending",IF(OR(I666="",K666="",L666="",K666=L666,NOT(ISNUMBER(M666)),NOT(ISNUMBER(N666)),M666&gt;Settings!$F$8,N666&lt;Settings!$F$8,N666&lt;M666),"Pending",IF(AND(G666="Applicable",H666="Pass"),"Pass",IF(AND(G666="N/A",H666="N/A",J666&lt;&gt;"",OR(E666="CEM-FUELS",E666="CEM-CCS",AND(E666="CEM-PLAN",IFERROR(INDEX('Taxonomy'!$M$9:$M$108,MATCH(D666,'Taxonomy'!$C$9:$C$108,0)),"")&lt;&gt;"Amber"),E666="BLD-TIMBER",AND(U666="Building equipment",OR(E666="BLD-WATER",E666="BLD-WASTE",E666="BLD-LAND")),AND(U666="Building renovation",E666="BLD-LAND"))),"N/A","Pending"))))))</x:f>
      </x:c>
      <x:c r="Q666" s="3" t="str">
        <x:f>IF(C666="","",IF(AND(R666="Valid",OR(P666="Pass",P666="N/A")),"Complete","Unresolved"))</x:f>
      </x:c>
      <x:c r="R666" s="9" t="str">
        <x:f>IF(C666="","",IF(OR(COUNTIF($C$9:$C$2008,C666)&lt;&gt;1,COUNTIFS($D$9:$D$2008,D666,$E$9:$E$2008,E666)&lt;&gt;1),"Duplicate test",IF(COUNTIF('Taxonomy'!$C$9:$C$108,D666)&lt;&gt;1,"Assessment key",IF(OR(COUNTIF('Taxonomy Rules'!$C$42:$C$68,E666)&lt;&gt;1,F666&lt;&gt;IFERROR(INDEX('Taxonomy Rules'!$D$42:$D$68,MATCH(E666,'Taxonomy Rules'!$C$42:$C$68,0)),""),NOT(OR(IFERROR(INDEX('Taxonomy Rules'!$G$42:$G$68,MATCH(E666,'Taxonomy Rules'!$C$42:$C$68,0)),"")="All supported routes",IFERROR(INDEX('Taxonomy Rules'!$G$42:$G$68,MATCH(E666,'Taxonomy Rules'!$C$42:$C$68,0)),"")=U666,AND(IFERROR(INDEX('Taxonomy Rules'!$G$42:$G$68,MATCH(E666,'Taxonomy Rules'!$C$42:$C$68,0)),"")="Building routes",OR(U666="Building renovation",U666="New building",U666="Building equipment"))))),"Unexpected test","Valid"))))</x:f>
      </x:c>
      <x:c r="S666" s="9" t="str">
        <x:f>IF(C666="","",IFERROR(INDEX('Taxonomy Rules'!$E$42:$E$68,MATCH(E666,'Taxonomy Rules'!$C$42:$C$68,0)),""))</x:f>
      </x:c>
      <x:c r="T666" s="9" t="str">
        <x:f>IF(C666="","",IFERROR(INDEX('Taxonomy Rules'!$F$42:$F$68,MATCH(E666,'Taxonomy Rules'!$C$42:$C$68,0)),""))</x:f>
      </x:c>
      <x:c r="U666" s="9" t="str">
        <x:f>IF(C666="","",IFERROR(INDEX('Taxonomy'!$G$9:$G$108,MATCH(D666,'Taxonomy'!$C$9:$C$108,0)),""))</x:f>
      </x:c>
    </x:row>
    <x:row r="667" ht="44" customHeight="1">
      <x:c r="A667" s="1"/>
      <x:c r="B667" s="1"/>
      <x:c r="C667" s="8"/>
      <x:c r="D667" s="8"/>
      <x:c r="E667" s="8"/>
      <x:c r="F667" s="8"/>
      <x:c r="G667" s="8"/>
      <x:c r="H667" s="8"/>
      <x:c r="I667" s="8"/>
      <x:c r="J667" s="8"/>
      <x:c r="K667" s="8"/>
      <x:c r="L667" s="8"/>
      <x:c r="M667" s="10"/>
      <x:c r="N667" s="10"/>
      <x:c r="O667" s="8"/>
      <x:c r="P667" s="9" t="str">
        <x:f>IF(C667="","",IF(AND(G667="Applicable",H667="Fail"),"Fail",IF(R667&lt;&gt;"Valid","Pending",IF(OR(I667="",K667="",L667="",K667=L667,NOT(ISNUMBER(M667)),NOT(ISNUMBER(N667)),M667&gt;Settings!$F$8,N667&lt;Settings!$F$8,N667&lt;M667),"Pending",IF(AND(G667="Applicable",H667="Pass"),"Pass",IF(AND(G667="N/A",H667="N/A",J667&lt;&gt;"",OR(E667="CEM-FUELS",E667="CEM-CCS",AND(E667="CEM-PLAN",IFERROR(INDEX('Taxonomy'!$M$9:$M$108,MATCH(D667,'Taxonomy'!$C$9:$C$108,0)),"")&lt;&gt;"Amber"),E667="BLD-TIMBER",AND(U667="Building equipment",OR(E667="BLD-WATER",E667="BLD-WASTE",E667="BLD-LAND")),AND(U667="Building renovation",E667="BLD-LAND"))),"N/A","Pending"))))))</x:f>
      </x:c>
      <x:c r="Q667" s="3" t="str">
        <x:f>IF(C667="","",IF(AND(R667="Valid",OR(P667="Pass",P667="N/A")),"Complete","Unresolved"))</x:f>
      </x:c>
      <x:c r="R667" s="9" t="str">
        <x:f>IF(C667="","",IF(OR(COUNTIF($C$9:$C$2008,C667)&lt;&gt;1,COUNTIFS($D$9:$D$2008,D667,$E$9:$E$2008,E667)&lt;&gt;1),"Duplicate test",IF(COUNTIF('Taxonomy'!$C$9:$C$108,D667)&lt;&gt;1,"Assessment key",IF(OR(COUNTIF('Taxonomy Rules'!$C$42:$C$68,E667)&lt;&gt;1,F667&lt;&gt;IFERROR(INDEX('Taxonomy Rules'!$D$42:$D$68,MATCH(E667,'Taxonomy Rules'!$C$42:$C$68,0)),""),NOT(OR(IFERROR(INDEX('Taxonomy Rules'!$G$42:$G$68,MATCH(E667,'Taxonomy Rules'!$C$42:$C$68,0)),"")="All supported routes",IFERROR(INDEX('Taxonomy Rules'!$G$42:$G$68,MATCH(E667,'Taxonomy Rules'!$C$42:$C$68,0)),"")=U667,AND(IFERROR(INDEX('Taxonomy Rules'!$G$42:$G$68,MATCH(E667,'Taxonomy Rules'!$C$42:$C$68,0)),"")="Building routes",OR(U667="Building renovation",U667="New building",U667="Building equipment"))))),"Unexpected test","Valid"))))</x:f>
      </x:c>
      <x:c r="S667" s="9" t="str">
        <x:f>IF(C667="","",IFERROR(INDEX('Taxonomy Rules'!$E$42:$E$68,MATCH(E667,'Taxonomy Rules'!$C$42:$C$68,0)),""))</x:f>
      </x:c>
      <x:c r="T667" s="9" t="str">
        <x:f>IF(C667="","",IFERROR(INDEX('Taxonomy Rules'!$F$42:$F$68,MATCH(E667,'Taxonomy Rules'!$C$42:$C$68,0)),""))</x:f>
      </x:c>
      <x:c r="U667" s="9" t="str">
        <x:f>IF(C667="","",IFERROR(INDEX('Taxonomy'!$G$9:$G$108,MATCH(D667,'Taxonomy'!$C$9:$C$108,0)),""))</x:f>
      </x:c>
    </x:row>
    <x:row r="668" ht="44" customHeight="1">
      <x:c r="A668" s="1"/>
      <x:c r="B668" s="1"/>
      <x:c r="C668" s="8"/>
      <x:c r="D668" s="8"/>
      <x:c r="E668" s="8"/>
      <x:c r="F668" s="8"/>
      <x:c r="G668" s="8"/>
      <x:c r="H668" s="8"/>
      <x:c r="I668" s="8"/>
      <x:c r="J668" s="8"/>
      <x:c r="K668" s="8"/>
      <x:c r="L668" s="8"/>
      <x:c r="M668" s="10"/>
      <x:c r="N668" s="10"/>
      <x:c r="O668" s="8"/>
      <x:c r="P668" s="9" t="str">
        <x:f>IF(C668="","",IF(AND(G668="Applicable",H668="Fail"),"Fail",IF(R668&lt;&gt;"Valid","Pending",IF(OR(I668="",K668="",L668="",K668=L668,NOT(ISNUMBER(M668)),NOT(ISNUMBER(N668)),M668&gt;Settings!$F$8,N668&lt;Settings!$F$8,N668&lt;M668),"Pending",IF(AND(G668="Applicable",H668="Pass"),"Pass",IF(AND(G668="N/A",H668="N/A",J668&lt;&gt;"",OR(E668="CEM-FUELS",E668="CEM-CCS",AND(E668="CEM-PLAN",IFERROR(INDEX('Taxonomy'!$M$9:$M$108,MATCH(D668,'Taxonomy'!$C$9:$C$108,0)),"")&lt;&gt;"Amber"),E668="BLD-TIMBER",AND(U668="Building equipment",OR(E668="BLD-WATER",E668="BLD-WASTE",E668="BLD-LAND")),AND(U668="Building renovation",E668="BLD-LAND"))),"N/A","Pending"))))))</x:f>
      </x:c>
      <x:c r="Q668" s="3" t="str">
        <x:f>IF(C668="","",IF(AND(R668="Valid",OR(P668="Pass",P668="N/A")),"Complete","Unresolved"))</x:f>
      </x:c>
      <x:c r="R668" s="9" t="str">
        <x:f>IF(C668="","",IF(OR(COUNTIF($C$9:$C$2008,C668)&lt;&gt;1,COUNTIFS($D$9:$D$2008,D668,$E$9:$E$2008,E668)&lt;&gt;1),"Duplicate test",IF(COUNTIF('Taxonomy'!$C$9:$C$108,D668)&lt;&gt;1,"Assessment key",IF(OR(COUNTIF('Taxonomy Rules'!$C$42:$C$68,E668)&lt;&gt;1,F668&lt;&gt;IFERROR(INDEX('Taxonomy Rules'!$D$42:$D$68,MATCH(E668,'Taxonomy Rules'!$C$42:$C$68,0)),""),NOT(OR(IFERROR(INDEX('Taxonomy Rules'!$G$42:$G$68,MATCH(E668,'Taxonomy Rules'!$C$42:$C$68,0)),"")="All supported routes",IFERROR(INDEX('Taxonomy Rules'!$G$42:$G$68,MATCH(E668,'Taxonomy Rules'!$C$42:$C$68,0)),"")=U668,AND(IFERROR(INDEX('Taxonomy Rules'!$G$42:$G$68,MATCH(E668,'Taxonomy Rules'!$C$42:$C$68,0)),"")="Building routes",OR(U668="Building renovation",U668="New building",U668="Building equipment"))))),"Unexpected test","Valid"))))</x:f>
      </x:c>
      <x:c r="S668" s="9" t="str">
        <x:f>IF(C668="","",IFERROR(INDEX('Taxonomy Rules'!$E$42:$E$68,MATCH(E668,'Taxonomy Rules'!$C$42:$C$68,0)),""))</x:f>
      </x:c>
      <x:c r="T668" s="9" t="str">
        <x:f>IF(C668="","",IFERROR(INDEX('Taxonomy Rules'!$F$42:$F$68,MATCH(E668,'Taxonomy Rules'!$C$42:$C$68,0)),""))</x:f>
      </x:c>
      <x:c r="U668" s="9" t="str">
        <x:f>IF(C668="","",IFERROR(INDEX('Taxonomy'!$G$9:$G$108,MATCH(D668,'Taxonomy'!$C$9:$C$108,0)),""))</x:f>
      </x:c>
    </x:row>
    <x:row r="669" ht="44" customHeight="1">
      <x:c r="A669" s="1"/>
      <x:c r="B669" s="1"/>
      <x:c r="C669" s="8"/>
      <x:c r="D669" s="8"/>
      <x:c r="E669" s="8"/>
      <x:c r="F669" s="8"/>
      <x:c r="G669" s="8"/>
      <x:c r="H669" s="8"/>
      <x:c r="I669" s="8"/>
      <x:c r="J669" s="8"/>
      <x:c r="K669" s="8"/>
      <x:c r="L669" s="8"/>
      <x:c r="M669" s="10"/>
      <x:c r="N669" s="10"/>
      <x:c r="O669" s="8"/>
      <x:c r="P669" s="9" t="str">
        <x:f>IF(C669="","",IF(AND(G669="Applicable",H669="Fail"),"Fail",IF(R669&lt;&gt;"Valid","Pending",IF(OR(I669="",K669="",L669="",K669=L669,NOT(ISNUMBER(M669)),NOT(ISNUMBER(N669)),M669&gt;Settings!$F$8,N669&lt;Settings!$F$8,N669&lt;M669),"Pending",IF(AND(G669="Applicable",H669="Pass"),"Pass",IF(AND(G669="N/A",H669="N/A",J669&lt;&gt;"",OR(E669="CEM-FUELS",E669="CEM-CCS",AND(E669="CEM-PLAN",IFERROR(INDEX('Taxonomy'!$M$9:$M$108,MATCH(D669,'Taxonomy'!$C$9:$C$108,0)),"")&lt;&gt;"Amber"),E669="BLD-TIMBER",AND(U669="Building equipment",OR(E669="BLD-WATER",E669="BLD-WASTE",E669="BLD-LAND")),AND(U669="Building renovation",E669="BLD-LAND"))),"N/A","Pending"))))))</x:f>
      </x:c>
      <x:c r="Q669" s="3" t="str">
        <x:f>IF(C669="","",IF(AND(R669="Valid",OR(P669="Pass",P669="N/A")),"Complete","Unresolved"))</x:f>
      </x:c>
      <x:c r="R669" s="9" t="str">
        <x:f>IF(C669="","",IF(OR(COUNTIF($C$9:$C$2008,C669)&lt;&gt;1,COUNTIFS($D$9:$D$2008,D669,$E$9:$E$2008,E669)&lt;&gt;1),"Duplicate test",IF(COUNTIF('Taxonomy'!$C$9:$C$108,D669)&lt;&gt;1,"Assessment key",IF(OR(COUNTIF('Taxonomy Rules'!$C$42:$C$68,E669)&lt;&gt;1,F669&lt;&gt;IFERROR(INDEX('Taxonomy Rules'!$D$42:$D$68,MATCH(E669,'Taxonomy Rules'!$C$42:$C$68,0)),""),NOT(OR(IFERROR(INDEX('Taxonomy Rules'!$G$42:$G$68,MATCH(E669,'Taxonomy Rules'!$C$42:$C$68,0)),"")="All supported routes",IFERROR(INDEX('Taxonomy Rules'!$G$42:$G$68,MATCH(E669,'Taxonomy Rules'!$C$42:$C$68,0)),"")=U669,AND(IFERROR(INDEX('Taxonomy Rules'!$G$42:$G$68,MATCH(E669,'Taxonomy Rules'!$C$42:$C$68,0)),"")="Building routes",OR(U669="Building renovation",U669="New building",U669="Building equipment"))))),"Unexpected test","Valid"))))</x:f>
      </x:c>
      <x:c r="S669" s="9" t="str">
        <x:f>IF(C669="","",IFERROR(INDEX('Taxonomy Rules'!$E$42:$E$68,MATCH(E669,'Taxonomy Rules'!$C$42:$C$68,0)),""))</x:f>
      </x:c>
      <x:c r="T669" s="9" t="str">
        <x:f>IF(C669="","",IFERROR(INDEX('Taxonomy Rules'!$F$42:$F$68,MATCH(E669,'Taxonomy Rules'!$C$42:$C$68,0)),""))</x:f>
      </x:c>
      <x:c r="U669" s="9" t="str">
        <x:f>IF(C669="","",IFERROR(INDEX('Taxonomy'!$G$9:$G$108,MATCH(D669,'Taxonomy'!$C$9:$C$108,0)),""))</x:f>
      </x:c>
    </x:row>
    <x:row r="670" ht="44" customHeight="1">
      <x:c r="A670" s="1"/>
      <x:c r="B670" s="1"/>
      <x:c r="C670" s="8"/>
      <x:c r="D670" s="8"/>
      <x:c r="E670" s="8"/>
      <x:c r="F670" s="8"/>
      <x:c r="G670" s="8"/>
      <x:c r="H670" s="8"/>
      <x:c r="I670" s="8"/>
      <x:c r="J670" s="8"/>
      <x:c r="K670" s="8"/>
      <x:c r="L670" s="8"/>
      <x:c r="M670" s="10"/>
      <x:c r="N670" s="10"/>
      <x:c r="O670" s="8"/>
      <x:c r="P670" s="9" t="str">
        <x:f>IF(C670="","",IF(AND(G670="Applicable",H670="Fail"),"Fail",IF(R670&lt;&gt;"Valid","Pending",IF(OR(I670="",K670="",L670="",K670=L670,NOT(ISNUMBER(M670)),NOT(ISNUMBER(N670)),M670&gt;Settings!$F$8,N670&lt;Settings!$F$8,N670&lt;M670),"Pending",IF(AND(G670="Applicable",H670="Pass"),"Pass",IF(AND(G670="N/A",H670="N/A",J670&lt;&gt;"",OR(E670="CEM-FUELS",E670="CEM-CCS",AND(E670="CEM-PLAN",IFERROR(INDEX('Taxonomy'!$M$9:$M$108,MATCH(D670,'Taxonomy'!$C$9:$C$108,0)),"")&lt;&gt;"Amber"),E670="BLD-TIMBER",AND(U670="Building equipment",OR(E670="BLD-WATER",E670="BLD-WASTE",E670="BLD-LAND")),AND(U670="Building renovation",E670="BLD-LAND"))),"N/A","Pending"))))))</x:f>
      </x:c>
      <x:c r="Q670" s="3" t="str">
        <x:f>IF(C670="","",IF(AND(R670="Valid",OR(P670="Pass",P670="N/A")),"Complete","Unresolved"))</x:f>
      </x:c>
      <x:c r="R670" s="9" t="str">
        <x:f>IF(C670="","",IF(OR(COUNTIF($C$9:$C$2008,C670)&lt;&gt;1,COUNTIFS($D$9:$D$2008,D670,$E$9:$E$2008,E670)&lt;&gt;1),"Duplicate test",IF(COUNTIF('Taxonomy'!$C$9:$C$108,D670)&lt;&gt;1,"Assessment key",IF(OR(COUNTIF('Taxonomy Rules'!$C$42:$C$68,E670)&lt;&gt;1,F670&lt;&gt;IFERROR(INDEX('Taxonomy Rules'!$D$42:$D$68,MATCH(E670,'Taxonomy Rules'!$C$42:$C$68,0)),""),NOT(OR(IFERROR(INDEX('Taxonomy Rules'!$G$42:$G$68,MATCH(E670,'Taxonomy Rules'!$C$42:$C$68,0)),"")="All supported routes",IFERROR(INDEX('Taxonomy Rules'!$G$42:$G$68,MATCH(E670,'Taxonomy Rules'!$C$42:$C$68,0)),"")=U670,AND(IFERROR(INDEX('Taxonomy Rules'!$G$42:$G$68,MATCH(E670,'Taxonomy Rules'!$C$42:$C$68,0)),"")="Building routes",OR(U670="Building renovation",U670="New building",U670="Building equipment"))))),"Unexpected test","Valid"))))</x:f>
      </x:c>
      <x:c r="S670" s="9" t="str">
        <x:f>IF(C670="","",IFERROR(INDEX('Taxonomy Rules'!$E$42:$E$68,MATCH(E670,'Taxonomy Rules'!$C$42:$C$68,0)),""))</x:f>
      </x:c>
      <x:c r="T670" s="9" t="str">
        <x:f>IF(C670="","",IFERROR(INDEX('Taxonomy Rules'!$F$42:$F$68,MATCH(E670,'Taxonomy Rules'!$C$42:$C$68,0)),""))</x:f>
      </x:c>
      <x:c r="U670" s="9" t="str">
        <x:f>IF(C670="","",IFERROR(INDEX('Taxonomy'!$G$9:$G$108,MATCH(D670,'Taxonomy'!$C$9:$C$108,0)),""))</x:f>
      </x:c>
    </x:row>
    <x:row r="671" ht="44" customHeight="1">
      <x:c r="A671" s="1"/>
      <x:c r="B671" s="1"/>
      <x:c r="C671" s="8"/>
      <x:c r="D671" s="8"/>
      <x:c r="E671" s="8"/>
      <x:c r="F671" s="8"/>
      <x:c r="G671" s="8"/>
      <x:c r="H671" s="8"/>
      <x:c r="I671" s="8"/>
      <x:c r="J671" s="8"/>
      <x:c r="K671" s="8"/>
      <x:c r="L671" s="8"/>
      <x:c r="M671" s="10"/>
      <x:c r="N671" s="10"/>
      <x:c r="O671" s="8"/>
      <x:c r="P671" s="9" t="str">
        <x:f>IF(C671="","",IF(AND(G671="Applicable",H671="Fail"),"Fail",IF(R671&lt;&gt;"Valid","Pending",IF(OR(I671="",K671="",L671="",K671=L671,NOT(ISNUMBER(M671)),NOT(ISNUMBER(N671)),M671&gt;Settings!$F$8,N671&lt;Settings!$F$8,N671&lt;M671),"Pending",IF(AND(G671="Applicable",H671="Pass"),"Pass",IF(AND(G671="N/A",H671="N/A",J671&lt;&gt;"",OR(E671="CEM-FUELS",E671="CEM-CCS",AND(E671="CEM-PLAN",IFERROR(INDEX('Taxonomy'!$M$9:$M$108,MATCH(D671,'Taxonomy'!$C$9:$C$108,0)),"")&lt;&gt;"Amber"),E671="BLD-TIMBER",AND(U671="Building equipment",OR(E671="BLD-WATER",E671="BLD-WASTE",E671="BLD-LAND")),AND(U671="Building renovation",E671="BLD-LAND"))),"N/A","Pending"))))))</x:f>
      </x:c>
      <x:c r="Q671" s="3" t="str">
        <x:f>IF(C671="","",IF(AND(R671="Valid",OR(P671="Pass",P671="N/A")),"Complete","Unresolved"))</x:f>
      </x:c>
      <x:c r="R671" s="9" t="str">
        <x:f>IF(C671="","",IF(OR(COUNTIF($C$9:$C$2008,C671)&lt;&gt;1,COUNTIFS($D$9:$D$2008,D671,$E$9:$E$2008,E671)&lt;&gt;1),"Duplicate test",IF(COUNTIF('Taxonomy'!$C$9:$C$108,D671)&lt;&gt;1,"Assessment key",IF(OR(COUNTIF('Taxonomy Rules'!$C$42:$C$68,E671)&lt;&gt;1,F671&lt;&gt;IFERROR(INDEX('Taxonomy Rules'!$D$42:$D$68,MATCH(E671,'Taxonomy Rules'!$C$42:$C$68,0)),""),NOT(OR(IFERROR(INDEX('Taxonomy Rules'!$G$42:$G$68,MATCH(E671,'Taxonomy Rules'!$C$42:$C$68,0)),"")="All supported routes",IFERROR(INDEX('Taxonomy Rules'!$G$42:$G$68,MATCH(E671,'Taxonomy Rules'!$C$42:$C$68,0)),"")=U671,AND(IFERROR(INDEX('Taxonomy Rules'!$G$42:$G$68,MATCH(E671,'Taxonomy Rules'!$C$42:$C$68,0)),"")="Building routes",OR(U671="Building renovation",U671="New building",U671="Building equipment"))))),"Unexpected test","Valid"))))</x:f>
      </x:c>
      <x:c r="S671" s="9" t="str">
        <x:f>IF(C671="","",IFERROR(INDEX('Taxonomy Rules'!$E$42:$E$68,MATCH(E671,'Taxonomy Rules'!$C$42:$C$68,0)),""))</x:f>
      </x:c>
      <x:c r="T671" s="9" t="str">
        <x:f>IF(C671="","",IFERROR(INDEX('Taxonomy Rules'!$F$42:$F$68,MATCH(E671,'Taxonomy Rules'!$C$42:$C$68,0)),""))</x:f>
      </x:c>
      <x:c r="U671" s="9" t="str">
        <x:f>IF(C671="","",IFERROR(INDEX('Taxonomy'!$G$9:$G$108,MATCH(D671,'Taxonomy'!$C$9:$C$108,0)),""))</x:f>
      </x:c>
    </x:row>
    <x:row r="672" ht="44" customHeight="1">
      <x:c r="A672" s="1"/>
      <x:c r="B672" s="1"/>
      <x:c r="C672" s="8"/>
      <x:c r="D672" s="8"/>
      <x:c r="E672" s="8"/>
      <x:c r="F672" s="8"/>
      <x:c r="G672" s="8"/>
      <x:c r="H672" s="8"/>
      <x:c r="I672" s="8"/>
      <x:c r="J672" s="8"/>
      <x:c r="K672" s="8"/>
      <x:c r="L672" s="8"/>
      <x:c r="M672" s="10"/>
      <x:c r="N672" s="10"/>
      <x:c r="O672" s="8"/>
      <x:c r="P672" s="9" t="str">
        <x:f>IF(C672="","",IF(AND(G672="Applicable",H672="Fail"),"Fail",IF(R672&lt;&gt;"Valid","Pending",IF(OR(I672="",K672="",L672="",K672=L672,NOT(ISNUMBER(M672)),NOT(ISNUMBER(N672)),M672&gt;Settings!$F$8,N672&lt;Settings!$F$8,N672&lt;M672),"Pending",IF(AND(G672="Applicable",H672="Pass"),"Pass",IF(AND(G672="N/A",H672="N/A",J672&lt;&gt;"",OR(E672="CEM-FUELS",E672="CEM-CCS",AND(E672="CEM-PLAN",IFERROR(INDEX('Taxonomy'!$M$9:$M$108,MATCH(D672,'Taxonomy'!$C$9:$C$108,0)),"")&lt;&gt;"Amber"),E672="BLD-TIMBER",AND(U672="Building equipment",OR(E672="BLD-WATER",E672="BLD-WASTE",E672="BLD-LAND")),AND(U672="Building renovation",E672="BLD-LAND"))),"N/A","Pending"))))))</x:f>
      </x:c>
      <x:c r="Q672" s="3" t="str">
        <x:f>IF(C672="","",IF(AND(R672="Valid",OR(P672="Pass",P672="N/A")),"Complete","Unresolved"))</x:f>
      </x:c>
      <x:c r="R672" s="9" t="str">
        <x:f>IF(C672="","",IF(OR(COUNTIF($C$9:$C$2008,C672)&lt;&gt;1,COUNTIFS($D$9:$D$2008,D672,$E$9:$E$2008,E672)&lt;&gt;1),"Duplicate test",IF(COUNTIF('Taxonomy'!$C$9:$C$108,D672)&lt;&gt;1,"Assessment key",IF(OR(COUNTIF('Taxonomy Rules'!$C$42:$C$68,E672)&lt;&gt;1,F672&lt;&gt;IFERROR(INDEX('Taxonomy Rules'!$D$42:$D$68,MATCH(E672,'Taxonomy Rules'!$C$42:$C$68,0)),""),NOT(OR(IFERROR(INDEX('Taxonomy Rules'!$G$42:$G$68,MATCH(E672,'Taxonomy Rules'!$C$42:$C$68,0)),"")="All supported routes",IFERROR(INDEX('Taxonomy Rules'!$G$42:$G$68,MATCH(E672,'Taxonomy Rules'!$C$42:$C$68,0)),"")=U672,AND(IFERROR(INDEX('Taxonomy Rules'!$G$42:$G$68,MATCH(E672,'Taxonomy Rules'!$C$42:$C$68,0)),"")="Building routes",OR(U672="Building renovation",U672="New building",U672="Building equipment"))))),"Unexpected test","Valid"))))</x:f>
      </x:c>
      <x:c r="S672" s="9" t="str">
        <x:f>IF(C672="","",IFERROR(INDEX('Taxonomy Rules'!$E$42:$E$68,MATCH(E672,'Taxonomy Rules'!$C$42:$C$68,0)),""))</x:f>
      </x:c>
      <x:c r="T672" s="9" t="str">
        <x:f>IF(C672="","",IFERROR(INDEX('Taxonomy Rules'!$F$42:$F$68,MATCH(E672,'Taxonomy Rules'!$C$42:$C$68,0)),""))</x:f>
      </x:c>
      <x:c r="U672" s="9" t="str">
        <x:f>IF(C672="","",IFERROR(INDEX('Taxonomy'!$G$9:$G$108,MATCH(D672,'Taxonomy'!$C$9:$C$108,0)),""))</x:f>
      </x:c>
    </x:row>
    <x:row r="673" ht="44" customHeight="1">
      <x:c r="A673" s="1"/>
      <x:c r="B673" s="1"/>
      <x:c r="C673" s="8"/>
      <x:c r="D673" s="8"/>
      <x:c r="E673" s="8"/>
      <x:c r="F673" s="8"/>
      <x:c r="G673" s="8"/>
      <x:c r="H673" s="8"/>
      <x:c r="I673" s="8"/>
      <x:c r="J673" s="8"/>
      <x:c r="K673" s="8"/>
      <x:c r="L673" s="8"/>
      <x:c r="M673" s="10"/>
      <x:c r="N673" s="10"/>
      <x:c r="O673" s="8"/>
      <x:c r="P673" s="9" t="str">
        <x:f>IF(C673="","",IF(AND(G673="Applicable",H673="Fail"),"Fail",IF(R673&lt;&gt;"Valid","Pending",IF(OR(I673="",K673="",L673="",K673=L673,NOT(ISNUMBER(M673)),NOT(ISNUMBER(N673)),M673&gt;Settings!$F$8,N673&lt;Settings!$F$8,N673&lt;M673),"Pending",IF(AND(G673="Applicable",H673="Pass"),"Pass",IF(AND(G673="N/A",H673="N/A",J673&lt;&gt;"",OR(E673="CEM-FUELS",E673="CEM-CCS",AND(E673="CEM-PLAN",IFERROR(INDEX('Taxonomy'!$M$9:$M$108,MATCH(D673,'Taxonomy'!$C$9:$C$108,0)),"")&lt;&gt;"Amber"),E673="BLD-TIMBER",AND(U673="Building equipment",OR(E673="BLD-WATER",E673="BLD-WASTE",E673="BLD-LAND")),AND(U673="Building renovation",E673="BLD-LAND"))),"N/A","Pending"))))))</x:f>
      </x:c>
      <x:c r="Q673" s="3" t="str">
        <x:f>IF(C673="","",IF(AND(R673="Valid",OR(P673="Pass",P673="N/A")),"Complete","Unresolved"))</x:f>
      </x:c>
      <x:c r="R673" s="9" t="str">
        <x:f>IF(C673="","",IF(OR(COUNTIF($C$9:$C$2008,C673)&lt;&gt;1,COUNTIFS($D$9:$D$2008,D673,$E$9:$E$2008,E673)&lt;&gt;1),"Duplicate test",IF(COUNTIF('Taxonomy'!$C$9:$C$108,D673)&lt;&gt;1,"Assessment key",IF(OR(COUNTIF('Taxonomy Rules'!$C$42:$C$68,E673)&lt;&gt;1,F673&lt;&gt;IFERROR(INDEX('Taxonomy Rules'!$D$42:$D$68,MATCH(E673,'Taxonomy Rules'!$C$42:$C$68,0)),""),NOT(OR(IFERROR(INDEX('Taxonomy Rules'!$G$42:$G$68,MATCH(E673,'Taxonomy Rules'!$C$42:$C$68,0)),"")="All supported routes",IFERROR(INDEX('Taxonomy Rules'!$G$42:$G$68,MATCH(E673,'Taxonomy Rules'!$C$42:$C$68,0)),"")=U673,AND(IFERROR(INDEX('Taxonomy Rules'!$G$42:$G$68,MATCH(E673,'Taxonomy Rules'!$C$42:$C$68,0)),"")="Building routes",OR(U673="Building renovation",U673="New building",U673="Building equipment"))))),"Unexpected test","Valid"))))</x:f>
      </x:c>
      <x:c r="S673" s="9" t="str">
        <x:f>IF(C673="","",IFERROR(INDEX('Taxonomy Rules'!$E$42:$E$68,MATCH(E673,'Taxonomy Rules'!$C$42:$C$68,0)),""))</x:f>
      </x:c>
      <x:c r="T673" s="9" t="str">
        <x:f>IF(C673="","",IFERROR(INDEX('Taxonomy Rules'!$F$42:$F$68,MATCH(E673,'Taxonomy Rules'!$C$42:$C$68,0)),""))</x:f>
      </x:c>
      <x:c r="U673" s="9" t="str">
        <x:f>IF(C673="","",IFERROR(INDEX('Taxonomy'!$G$9:$G$108,MATCH(D673,'Taxonomy'!$C$9:$C$108,0)),""))</x:f>
      </x:c>
    </x:row>
    <x:row r="674" ht="44" customHeight="1">
      <x:c r="A674" s="1"/>
      <x:c r="B674" s="1"/>
      <x:c r="C674" s="8"/>
      <x:c r="D674" s="8"/>
      <x:c r="E674" s="8"/>
      <x:c r="F674" s="8"/>
      <x:c r="G674" s="8"/>
      <x:c r="H674" s="8"/>
      <x:c r="I674" s="8"/>
      <x:c r="J674" s="8"/>
      <x:c r="K674" s="8"/>
      <x:c r="L674" s="8"/>
      <x:c r="M674" s="10"/>
      <x:c r="N674" s="10"/>
      <x:c r="O674" s="8"/>
      <x:c r="P674" s="9" t="str">
        <x:f>IF(C674="","",IF(AND(G674="Applicable",H674="Fail"),"Fail",IF(R674&lt;&gt;"Valid","Pending",IF(OR(I674="",K674="",L674="",K674=L674,NOT(ISNUMBER(M674)),NOT(ISNUMBER(N674)),M674&gt;Settings!$F$8,N674&lt;Settings!$F$8,N674&lt;M674),"Pending",IF(AND(G674="Applicable",H674="Pass"),"Pass",IF(AND(G674="N/A",H674="N/A",J674&lt;&gt;"",OR(E674="CEM-FUELS",E674="CEM-CCS",AND(E674="CEM-PLAN",IFERROR(INDEX('Taxonomy'!$M$9:$M$108,MATCH(D674,'Taxonomy'!$C$9:$C$108,0)),"")&lt;&gt;"Amber"),E674="BLD-TIMBER",AND(U674="Building equipment",OR(E674="BLD-WATER",E674="BLD-WASTE",E674="BLD-LAND")),AND(U674="Building renovation",E674="BLD-LAND"))),"N/A","Pending"))))))</x:f>
      </x:c>
      <x:c r="Q674" s="3" t="str">
        <x:f>IF(C674="","",IF(AND(R674="Valid",OR(P674="Pass",P674="N/A")),"Complete","Unresolved"))</x:f>
      </x:c>
      <x:c r="R674" s="9" t="str">
        <x:f>IF(C674="","",IF(OR(COUNTIF($C$9:$C$2008,C674)&lt;&gt;1,COUNTIFS($D$9:$D$2008,D674,$E$9:$E$2008,E674)&lt;&gt;1),"Duplicate test",IF(COUNTIF('Taxonomy'!$C$9:$C$108,D674)&lt;&gt;1,"Assessment key",IF(OR(COUNTIF('Taxonomy Rules'!$C$42:$C$68,E674)&lt;&gt;1,F674&lt;&gt;IFERROR(INDEX('Taxonomy Rules'!$D$42:$D$68,MATCH(E674,'Taxonomy Rules'!$C$42:$C$68,0)),""),NOT(OR(IFERROR(INDEX('Taxonomy Rules'!$G$42:$G$68,MATCH(E674,'Taxonomy Rules'!$C$42:$C$68,0)),"")="All supported routes",IFERROR(INDEX('Taxonomy Rules'!$G$42:$G$68,MATCH(E674,'Taxonomy Rules'!$C$42:$C$68,0)),"")=U674,AND(IFERROR(INDEX('Taxonomy Rules'!$G$42:$G$68,MATCH(E674,'Taxonomy Rules'!$C$42:$C$68,0)),"")="Building routes",OR(U674="Building renovation",U674="New building",U674="Building equipment"))))),"Unexpected test","Valid"))))</x:f>
      </x:c>
      <x:c r="S674" s="9" t="str">
        <x:f>IF(C674="","",IFERROR(INDEX('Taxonomy Rules'!$E$42:$E$68,MATCH(E674,'Taxonomy Rules'!$C$42:$C$68,0)),""))</x:f>
      </x:c>
      <x:c r="T674" s="9" t="str">
        <x:f>IF(C674="","",IFERROR(INDEX('Taxonomy Rules'!$F$42:$F$68,MATCH(E674,'Taxonomy Rules'!$C$42:$C$68,0)),""))</x:f>
      </x:c>
      <x:c r="U674" s="9" t="str">
        <x:f>IF(C674="","",IFERROR(INDEX('Taxonomy'!$G$9:$G$108,MATCH(D674,'Taxonomy'!$C$9:$C$108,0)),""))</x:f>
      </x:c>
    </x:row>
    <x:row r="675" ht="44" customHeight="1">
      <x:c r="A675" s="1"/>
      <x:c r="B675" s="1"/>
      <x:c r="C675" s="8"/>
      <x:c r="D675" s="8"/>
      <x:c r="E675" s="8"/>
      <x:c r="F675" s="8"/>
      <x:c r="G675" s="8"/>
      <x:c r="H675" s="8"/>
      <x:c r="I675" s="8"/>
      <x:c r="J675" s="8"/>
      <x:c r="K675" s="8"/>
      <x:c r="L675" s="8"/>
      <x:c r="M675" s="10"/>
      <x:c r="N675" s="10"/>
      <x:c r="O675" s="8"/>
      <x:c r="P675" s="9" t="str">
        <x:f>IF(C675="","",IF(AND(G675="Applicable",H675="Fail"),"Fail",IF(R675&lt;&gt;"Valid","Pending",IF(OR(I675="",K675="",L675="",K675=L675,NOT(ISNUMBER(M675)),NOT(ISNUMBER(N675)),M675&gt;Settings!$F$8,N675&lt;Settings!$F$8,N675&lt;M675),"Pending",IF(AND(G675="Applicable",H675="Pass"),"Pass",IF(AND(G675="N/A",H675="N/A",J675&lt;&gt;"",OR(E675="CEM-FUELS",E675="CEM-CCS",AND(E675="CEM-PLAN",IFERROR(INDEX('Taxonomy'!$M$9:$M$108,MATCH(D675,'Taxonomy'!$C$9:$C$108,0)),"")&lt;&gt;"Amber"),E675="BLD-TIMBER",AND(U675="Building equipment",OR(E675="BLD-WATER",E675="BLD-WASTE",E675="BLD-LAND")),AND(U675="Building renovation",E675="BLD-LAND"))),"N/A","Pending"))))))</x:f>
      </x:c>
      <x:c r="Q675" s="3" t="str">
        <x:f>IF(C675="","",IF(AND(R675="Valid",OR(P675="Pass",P675="N/A")),"Complete","Unresolved"))</x:f>
      </x:c>
      <x:c r="R675" s="9" t="str">
        <x:f>IF(C675="","",IF(OR(COUNTIF($C$9:$C$2008,C675)&lt;&gt;1,COUNTIFS($D$9:$D$2008,D675,$E$9:$E$2008,E675)&lt;&gt;1),"Duplicate test",IF(COUNTIF('Taxonomy'!$C$9:$C$108,D675)&lt;&gt;1,"Assessment key",IF(OR(COUNTIF('Taxonomy Rules'!$C$42:$C$68,E675)&lt;&gt;1,F675&lt;&gt;IFERROR(INDEX('Taxonomy Rules'!$D$42:$D$68,MATCH(E675,'Taxonomy Rules'!$C$42:$C$68,0)),""),NOT(OR(IFERROR(INDEX('Taxonomy Rules'!$G$42:$G$68,MATCH(E675,'Taxonomy Rules'!$C$42:$C$68,0)),"")="All supported routes",IFERROR(INDEX('Taxonomy Rules'!$G$42:$G$68,MATCH(E675,'Taxonomy Rules'!$C$42:$C$68,0)),"")=U675,AND(IFERROR(INDEX('Taxonomy Rules'!$G$42:$G$68,MATCH(E675,'Taxonomy Rules'!$C$42:$C$68,0)),"")="Building routes",OR(U675="Building renovation",U675="New building",U675="Building equipment"))))),"Unexpected test","Valid"))))</x:f>
      </x:c>
      <x:c r="S675" s="9" t="str">
        <x:f>IF(C675="","",IFERROR(INDEX('Taxonomy Rules'!$E$42:$E$68,MATCH(E675,'Taxonomy Rules'!$C$42:$C$68,0)),""))</x:f>
      </x:c>
      <x:c r="T675" s="9" t="str">
        <x:f>IF(C675="","",IFERROR(INDEX('Taxonomy Rules'!$F$42:$F$68,MATCH(E675,'Taxonomy Rules'!$C$42:$C$68,0)),""))</x:f>
      </x:c>
      <x:c r="U675" s="9" t="str">
        <x:f>IF(C675="","",IFERROR(INDEX('Taxonomy'!$G$9:$G$108,MATCH(D675,'Taxonomy'!$C$9:$C$108,0)),""))</x:f>
      </x:c>
    </x:row>
    <x:row r="676" ht="44" customHeight="1">
      <x:c r="A676" s="1"/>
      <x:c r="B676" s="1"/>
      <x:c r="C676" s="8"/>
      <x:c r="D676" s="8"/>
      <x:c r="E676" s="8"/>
      <x:c r="F676" s="8"/>
      <x:c r="G676" s="8"/>
      <x:c r="H676" s="8"/>
      <x:c r="I676" s="8"/>
      <x:c r="J676" s="8"/>
      <x:c r="K676" s="8"/>
      <x:c r="L676" s="8"/>
      <x:c r="M676" s="10"/>
      <x:c r="N676" s="10"/>
      <x:c r="O676" s="8"/>
      <x:c r="P676" s="9" t="str">
        <x:f>IF(C676="","",IF(AND(G676="Applicable",H676="Fail"),"Fail",IF(R676&lt;&gt;"Valid","Pending",IF(OR(I676="",K676="",L676="",K676=L676,NOT(ISNUMBER(M676)),NOT(ISNUMBER(N676)),M676&gt;Settings!$F$8,N676&lt;Settings!$F$8,N676&lt;M676),"Pending",IF(AND(G676="Applicable",H676="Pass"),"Pass",IF(AND(G676="N/A",H676="N/A",J676&lt;&gt;"",OR(E676="CEM-FUELS",E676="CEM-CCS",AND(E676="CEM-PLAN",IFERROR(INDEX('Taxonomy'!$M$9:$M$108,MATCH(D676,'Taxonomy'!$C$9:$C$108,0)),"")&lt;&gt;"Amber"),E676="BLD-TIMBER",AND(U676="Building equipment",OR(E676="BLD-WATER",E676="BLD-WASTE",E676="BLD-LAND")),AND(U676="Building renovation",E676="BLD-LAND"))),"N/A","Pending"))))))</x:f>
      </x:c>
      <x:c r="Q676" s="3" t="str">
        <x:f>IF(C676="","",IF(AND(R676="Valid",OR(P676="Pass",P676="N/A")),"Complete","Unresolved"))</x:f>
      </x:c>
      <x:c r="R676" s="9" t="str">
        <x:f>IF(C676="","",IF(OR(COUNTIF($C$9:$C$2008,C676)&lt;&gt;1,COUNTIFS($D$9:$D$2008,D676,$E$9:$E$2008,E676)&lt;&gt;1),"Duplicate test",IF(COUNTIF('Taxonomy'!$C$9:$C$108,D676)&lt;&gt;1,"Assessment key",IF(OR(COUNTIF('Taxonomy Rules'!$C$42:$C$68,E676)&lt;&gt;1,F676&lt;&gt;IFERROR(INDEX('Taxonomy Rules'!$D$42:$D$68,MATCH(E676,'Taxonomy Rules'!$C$42:$C$68,0)),""),NOT(OR(IFERROR(INDEX('Taxonomy Rules'!$G$42:$G$68,MATCH(E676,'Taxonomy Rules'!$C$42:$C$68,0)),"")="All supported routes",IFERROR(INDEX('Taxonomy Rules'!$G$42:$G$68,MATCH(E676,'Taxonomy Rules'!$C$42:$C$68,0)),"")=U676,AND(IFERROR(INDEX('Taxonomy Rules'!$G$42:$G$68,MATCH(E676,'Taxonomy Rules'!$C$42:$C$68,0)),"")="Building routes",OR(U676="Building renovation",U676="New building",U676="Building equipment"))))),"Unexpected test","Valid"))))</x:f>
      </x:c>
      <x:c r="S676" s="9" t="str">
        <x:f>IF(C676="","",IFERROR(INDEX('Taxonomy Rules'!$E$42:$E$68,MATCH(E676,'Taxonomy Rules'!$C$42:$C$68,0)),""))</x:f>
      </x:c>
      <x:c r="T676" s="9" t="str">
        <x:f>IF(C676="","",IFERROR(INDEX('Taxonomy Rules'!$F$42:$F$68,MATCH(E676,'Taxonomy Rules'!$C$42:$C$68,0)),""))</x:f>
      </x:c>
      <x:c r="U676" s="9" t="str">
        <x:f>IF(C676="","",IFERROR(INDEX('Taxonomy'!$G$9:$G$108,MATCH(D676,'Taxonomy'!$C$9:$C$108,0)),""))</x:f>
      </x:c>
    </x:row>
    <x:row r="677" ht="44" customHeight="1">
      <x:c r="A677" s="1"/>
      <x:c r="B677" s="1"/>
      <x:c r="C677" s="8"/>
      <x:c r="D677" s="8"/>
      <x:c r="E677" s="8"/>
      <x:c r="F677" s="8"/>
      <x:c r="G677" s="8"/>
      <x:c r="H677" s="8"/>
      <x:c r="I677" s="8"/>
      <x:c r="J677" s="8"/>
      <x:c r="K677" s="8"/>
      <x:c r="L677" s="8"/>
      <x:c r="M677" s="10"/>
      <x:c r="N677" s="10"/>
      <x:c r="O677" s="8"/>
      <x:c r="P677" s="9" t="str">
        <x:f>IF(C677="","",IF(AND(G677="Applicable",H677="Fail"),"Fail",IF(R677&lt;&gt;"Valid","Pending",IF(OR(I677="",K677="",L677="",K677=L677,NOT(ISNUMBER(M677)),NOT(ISNUMBER(N677)),M677&gt;Settings!$F$8,N677&lt;Settings!$F$8,N677&lt;M677),"Pending",IF(AND(G677="Applicable",H677="Pass"),"Pass",IF(AND(G677="N/A",H677="N/A",J677&lt;&gt;"",OR(E677="CEM-FUELS",E677="CEM-CCS",AND(E677="CEM-PLAN",IFERROR(INDEX('Taxonomy'!$M$9:$M$108,MATCH(D677,'Taxonomy'!$C$9:$C$108,0)),"")&lt;&gt;"Amber"),E677="BLD-TIMBER",AND(U677="Building equipment",OR(E677="BLD-WATER",E677="BLD-WASTE",E677="BLD-LAND")),AND(U677="Building renovation",E677="BLD-LAND"))),"N/A","Pending"))))))</x:f>
      </x:c>
      <x:c r="Q677" s="3" t="str">
        <x:f>IF(C677="","",IF(AND(R677="Valid",OR(P677="Pass",P677="N/A")),"Complete","Unresolved"))</x:f>
      </x:c>
      <x:c r="R677" s="9" t="str">
        <x:f>IF(C677="","",IF(OR(COUNTIF($C$9:$C$2008,C677)&lt;&gt;1,COUNTIFS($D$9:$D$2008,D677,$E$9:$E$2008,E677)&lt;&gt;1),"Duplicate test",IF(COUNTIF('Taxonomy'!$C$9:$C$108,D677)&lt;&gt;1,"Assessment key",IF(OR(COUNTIF('Taxonomy Rules'!$C$42:$C$68,E677)&lt;&gt;1,F677&lt;&gt;IFERROR(INDEX('Taxonomy Rules'!$D$42:$D$68,MATCH(E677,'Taxonomy Rules'!$C$42:$C$68,0)),""),NOT(OR(IFERROR(INDEX('Taxonomy Rules'!$G$42:$G$68,MATCH(E677,'Taxonomy Rules'!$C$42:$C$68,0)),"")="All supported routes",IFERROR(INDEX('Taxonomy Rules'!$G$42:$G$68,MATCH(E677,'Taxonomy Rules'!$C$42:$C$68,0)),"")=U677,AND(IFERROR(INDEX('Taxonomy Rules'!$G$42:$G$68,MATCH(E677,'Taxonomy Rules'!$C$42:$C$68,0)),"")="Building routes",OR(U677="Building renovation",U677="New building",U677="Building equipment"))))),"Unexpected test","Valid"))))</x:f>
      </x:c>
      <x:c r="S677" s="9" t="str">
        <x:f>IF(C677="","",IFERROR(INDEX('Taxonomy Rules'!$E$42:$E$68,MATCH(E677,'Taxonomy Rules'!$C$42:$C$68,0)),""))</x:f>
      </x:c>
      <x:c r="T677" s="9" t="str">
        <x:f>IF(C677="","",IFERROR(INDEX('Taxonomy Rules'!$F$42:$F$68,MATCH(E677,'Taxonomy Rules'!$C$42:$C$68,0)),""))</x:f>
      </x:c>
      <x:c r="U677" s="9" t="str">
        <x:f>IF(C677="","",IFERROR(INDEX('Taxonomy'!$G$9:$G$108,MATCH(D677,'Taxonomy'!$C$9:$C$108,0)),""))</x:f>
      </x:c>
    </x:row>
    <x:row r="678" ht="44" customHeight="1">
      <x:c r="A678" s="1"/>
      <x:c r="B678" s="1"/>
      <x:c r="C678" s="8"/>
      <x:c r="D678" s="8"/>
      <x:c r="E678" s="8"/>
      <x:c r="F678" s="8"/>
      <x:c r="G678" s="8"/>
      <x:c r="H678" s="8"/>
      <x:c r="I678" s="8"/>
      <x:c r="J678" s="8"/>
      <x:c r="K678" s="8"/>
      <x:c r="L678" s="8"/>
      <x:c r="M678" s="10"/>
      <x:c r="N678" s="10"/>
      <x:c r="O678" s="8"/>
      <x:c r="P678" s="9" t="str">
        <x:f>IF(C678="","",IF(AND(G678="Applicable",H678="Fail"),"Fail",IF(R678&lt;&gt;"Valid","Pending",IF(OR(I678="",K678="",L678="",K678=L678,NOT(ISNUMBER(M678)),NOT(ISNUMBER(N678)),M678&gt;Settings!$F$8,N678&lt;Settings!$F$8,N678&lt;M678),"Pending",IF(AND(G678="Applicable",H678="Pass"),"Pass",IF(AND(G678="N/A",H678="N/A",J678&lt;&gt;"",OR(E678="CEM-FUELS",E678="CEM-CCS",AND(E678="CEM-PLAN",IFERROR(INDEX('Taxonomy'!$M$9:$M$108,MATCH(D678,'Taxonomy'!$C$9:$C$108,0)),"")&lt;&gt;"Amber"),E678="BLD-TIMBER",AND(U678="Building equipment",OR(E678="BLD-WATER",E678="BLD-WASTE",E678="BLD-LAND")),AND(U678="Building renovation",E678="BLD-LAND"))),"N/A","Pending"))))))</x:f>
      </x:c>
      <x:c r="Q678" s="3" t="str">
        <x:f>IF(C678="","",IF(AND(R678="Valid",OR(P678="Pass",P678="N/A")),"Complete","Unresolved"))</x:f>
      </x:c>
      <x:c r="R678" s="9" t="str">
        <x:f>IF(C678="","",IF(OR(COUNTIF($C$9:$C$2008,C678)&lt;&gt;1,COUNTIFS($D$9:$D$2008,D678,$E$9:$E$2008,E678)&lt;&gt;1),"Duplicate test",IF(COUNTIF('Taxonomy'!$C$9:$C$108,D678)&lt;&gt;1,"Assessment key",IF(OR(COUNTIF('Taxonomy Rules'!$C$42:$C$68,E678)&lt;&gt;1,F678&lt;&gt;IFERROR(INDEX('Taxonomy Rules'!$D$42:$D$68,MATCH(E678,'Taxonomy Rules'!$C$42:$C$68,0)),""),NOT(OR(IFERROR(INDEX('Taxonomy Rules'!$G$42:$G$68,MATCH(E678,'Taxonomy Rules'!$C$42:$C$68,0)),"")="All supported routes",IFERROR(INDEX('Taxonomy Rules'!$G$42:$G$68,MATCH(E678,'Taxonomy Rules'!$C$42:$C$68,0)),"")=U678,AND(IFERROR(INDEX('Taxonomy Rules'!$G$42:$G$68,MATCH(E678,'Taxonomy Rules'!$C$42:$C$68,0)),"")="Building routes",OR(U678="Building renovation",U678="New building",U678="Building equipment"))))),"Unexpected test","Valid"))))</x:f>
      </x:c>
      <x:c r="S678" s="9" t="str">
        <x:f>IF(C678="","",IFERROR(INDEX('Taxonomy Rules'!$E$42:$E$68,MATCH(E678,'Taxonomy Rules'!$C$42:$C$68,0)),""))</x:f>
      </x:c>
      <x:c r="T678" s="9" t="str">
        <x:f>IF(C678="","",IFERROR(INDEX('Taxonomy Rules'!$F$42:$F$68,MATCH(E678,'Taxonomy Rules'!$C$42:$C$68,0)),""))</x:f>
      </x:c>
      <x:c r="U678" s="9" t="str">
        <x:f>IF(C678="","",IFERROR(INDEX('Taxonomy'!$G$9:$G$108,MATCH(D678,'Taxonomy'!$C$9:$C$108,0)),""))</x:f>
      </x:c>
    </x:row>
    <x:row r="679" ht="44" customHeight="1">
      <x:c r="A679" s="1"/>
      <x:c r="B679" s="1"/>
      <x:c r="C679" s="8"/>
      <x:c r="D679" s="8"/>
      <x:c r="E679" s="8"/>
      <x:c r="F679" s="8"/>
      <x:c r="G679" s="8"/>
      <x:c r="H679" s="8"/>
      <x:c r="I679" s="8"/>
      <x:c r="J679" s="8"/>
      <x:c r="K679" s="8"/>
      <x:c r="L679" s="8"/>
      <x:c r="M679" s="10"/>
      <x:c r="N679" s="10"/>
      <x:c r="O679" s="8"/>
      <x:c r="P679" s="9" t="str">
        <x:f>IF(C679="","",IF(AND(G679="Applicable",H679="Fail"),"Fail",IF(R679&lt;&gt;"Valid","Pending",IF(OR(I679="",K679="",L679="",K679=L679,NOT(ISNUMBER(M679)),NOT(ISNUMBER(N679)),M679&gt;Settings!$F$8,N679&lt;Settings!$F$8,N679&lt;M679),"Pending",IF(AND(G679="Applicable",H679="Pass"),"Pass",IF(AND(G679="N/A",H679="N/A",J679&lt;&gt;"",OR(E679="CEM-FUELS",E679="CEM-CCS",AND(E679="CEM-PLAN",IFERROR(INDEX('Taxonomy'!$M$9:$M$108,MATCH(D679,'Taxonomy'!$C$9:$C$108,0)),"")&lt;&gt;"Amber"),E679="BLD-TIMBER",AND(U679="Building equipment",OR(E679="BLD-WATER",E679="BLD-WASTE",E679="BLD-LAND")),AND(U679="Building renovation",E679="BLD-LAND"))),"N/A","Pending"))))))</x:f>
      </x:c>
      <x:c r="Q679" s="3" t="str">
        <x:f>IF(C679="","",IF(AND(R679="Valid",OR(P679="Pass",P679="N/A")),"Complete","Unresolved"))</x:f>
      </x:c>
      <x:c r="R679" s="9" t="str">
        <x:f>IF(C679="","",IF(OR(COUNTIF($C$9:$C$2008,C679)&lt;&gt;1,COUNTIFS($D$9:$D$2008,D679,$E$9:$E$2008,E679)&lt;&gt;1),"Duplicate test",IF(COUNTIF('Taxonomy'!$C$9:$C$108,D679)&lt;&gt;1,"Assessment key",IF(OR(COUNTIF('Taxonomy Rules'!$C$42:$C$68,E679)&lt;&gt;1,F679&lt;&gt;IFERROR(INDEX('Taxonomy Rules'!$D$42:$D$68,MATCH(E679,'Taxonomy Rules'!$C$42:$C$68,0)),""),NOT(OR(IFERROR(INDEX('Taxonomy Rules'!$G$42:$G$68,MATCH(E679,'Taxonomy Rules'!$C$42:$C$68,0)),"")="All supported routes",IFERROR(INDEX('Taxonomy Rules'!$G$42:$G$68,MATCH(E679,'Taxonomy Rules'!$C$42:$C$68,0)),"")=U679,AND(IFERROR(INDEX('Taxonomy Rules'!$G$42:$G$68,MATCH(E679,'Taxonomy Rules'!$C$42:$C$68,0)),"")="Building routes",OR(U679="Building renovation",U679="New building",U679="Building equipment"))))),"Unexpected test","Valid"))))</x:f>
      </x:c>
      <x:c r="S679" s="9" t="str">
        <x:f>IF(C679="","",IFERROR(INDEX('Taxonomy Rules'!$E$42:$E$68,MATCH(E679,'Taxonomy Rules'!$C$42:$C$68,0)),""))</x:f>
      </x:c>
      <x:c r="T679" s="9" t="str">
        <x:f>IF(C679="","",IFERROR(INDEX('Taxonomy Rules'!$F$42:$F$68,MATCH(E679,'Taxonomy Rules'!$C$42:$C$68,0)),""))</x:f>
      </x:c>
      <x:c r="U679" s="9" t="str">
        <x:f>IF(C679="","",IFERROR(INDEX('Taxonomy'!$G$9:$G$108,MATCH(D679,'Taxonomy'!$C$9:$C$108,0)),""))</x:f>
      </x:c>
    </x:row>
    <x:row r="680" ht="44" customHeight="1">
      <x:c r="A680" s="1"/>
      <x:c r="B680" s="1"/>
      <x:c r="C680" s="8"/>
      <x:c r="D680" s="8"/>
      <x:c r="E680" s="8"/>
      <x:c r="F680" s="8"/>
      <x:c r="G680" s="8"/>
      <x:c r="H680" s="8"/>
      <x:c r="I680" s="8"/>
      <x:c r="J680" s="8"/>
      <x:c r="K680" s="8"/>
      <x:c r="L680" s="8"/>
      <x:c r="M680" s="10"/>
      <x:c r="N680" s="10"/>
      <x:c r="O680" s="8"/>
      <x:c r="P680" s="9" t="str">
        <x:f>IF(C680="","",IF(AND(G680="Applicable",H680="Fail"),"Fail",IF(R680&lt;&gt;"Valid","Pending",IF(OR(I680="",K680="",L680="",K680=L680,NOT(ISNUMBER(M680)),NOT(ISNUMBER(N680)),M680&gt;Settings!$F$8,N680&lt;Settings!$F$8,N680&lt;M680),"Pending",IF(AND(G680="Applicable",H680="Pass"),"Pass",IF(AND(G680="N/A",H680="N/A",J680&lt;&gt;"",OR(E680="CEM-FUELS",E680="CEM-CCS",AND(E680="CEM-PLAN",IFERROR(INDEX('Taxonomy'!$M$9:$M$108,MATCH(D680,'Taxonomy'!$C$9:$C$108,0)),"")&lt;&gt;"Amber"),E680="BLD-TIMBER",AND(U680="Building equipment",OR(E680="BLD-WATER",E680="BLD-WASTE",E680="BLD-LAND")),AND(U680="Building renovation",E680="BLD-LAND"))),"N/A","Pending"))))))</x:f>
      </x:c>
      <x:c r="Q680" s="3" t="str">
        <x:f>IF(C680="","",IF(AND(R680="Valid",OR(P680="Pass",P680="N/A")),"Complete","Unresolved"))</x:f>
      </x:c>
      <x:c r="R680" s="9" t="str">
        <x:f>IF(C680="","",IF(OR(COUNTIF($C$9:$C$2008,C680)&lt;&gt;1,COUNTIFS($D$9:$D$2008,D680,$E$9:$E$2008,E680)&lt;&gt;1),"Duplicate test",IF(COUNTIF('Taxonomy'!$C$9:$C$108,D680)&lt;&gt;1,"Assessment key",IF(OR(COUNTIF('Taxonomy Rules'!$C$42:$C$68,E680)&lt;&gt;1,F680&lt;&gt;IFERROR(INDEX('Taxonomy Rules'!$D$42:$D$68,MATCH(E680,'Taxonomy Rules'!$C$42:$C$68,0)),""),NOT(OR(IFERROR(INDEX('Taxonomy Rules'!$G$42:$G$68,MATCH(E680,'Taxonomy Rules'!$C$42:$C$68,0)),"")="All supported routes",IFERROR(INDEX('Taxonomy Rules'!$G$42:$G$68,MATCH(E680,'Taxonomy Rules'!$C$42:$C$68,0)),"")=U680,AND(IFERROR(INDEX('Taxonomy Rules'!$G$42:$G$68,MATCH(E680,'Taxonomy Rules'!$C$42:$C$68,0)),"")="Building routes",OR(U680="Building renovation",U680="New building",U680="Building equipment"))))),"Unexpected test","Valid"))))</x:f>
      </x:c>
      <x:c r="S680" s="9" t="str">
        <x:f>IF(C680="","",IFERROR(INDEX('Taxonomy Rules'!$E$42:$E$68,MATCH(E680,'Taxonomy Rules'!$C$42:$C$68,0)),""))</x:f>
      </x:c>
      <x:c r="T680" s="9" t="str">
        <x:f>IF(C680="","",IFERROR(INDEX('Taxonomy Rules'!$F$42:$F$68,MATCH(E680,'Taxonomy Rules'!$C$42:$C$68,0)),""))</x:f>
      </x:c>
      <x:c r="U680" s="9" t="str">
        <x:f>IF(C680="","",IFERROR(INDEX('Taxonomy'!$G$9:$G$108,MATCH(D680,'Taxonomy'!$C$9:$C$108,0)),""))</x:f>
      </x:c>
    </x:row>
    <x:row r="681" ht="44" customHeight="1">
      <x:c r="A681" s="1"/>
      <x:c r="B681" s="1"/>
      <x:c r="C681" s="8"/>
      <x:c r="D681" s="8"/>
      <x:c r="E681" s="8"/>
      <x:c r="F681" s="8"/>
      <x:c r="G681" s="8"/>
      <x:c r="H681" s="8"/>
      <x:c r="I681" s="8"/>
      <x:c r="J681" s="8"/>
      <x:c r="K681" s="8"/>
      <x:c r="L681" s="8"/>
      <x:c r="M681" s="10"/>
      <x:c r="N681" s="10"/>
      <x:c r="O681" s="8"/>
      <x:c r="P681" s="9" t="str">
        <x:f>IF(C681="","",IF(AND(G681="Applicable",H681="Fail"),"Fail",IF(R681&lt;&gt;"Valid","Pending",IF(OR(I681="",K681="",L681="",K681=L681,NOT(ISNUMBER(M681)),NOT(ISNUMBER(N681)),M681&gt;Settings!$F$8,N681&lt;Settings!$F$8,N681&lt;M681),"Pending",IF(AND(G681="Applicable",H681="Pass"),"Pass",IF(AND(G681="N/A",H681="N/A",J681&lt;&gt;"",OR(E681="CEM-FUELS",E681="CEM-CCS",AND(E681="CEM-PLAN",IFERROR(INDEX('Taxonomy'!$M$9:$M$108,MATCH(D681,'Taxonomy'!$C$9:$C$108,0)),"")&lt;&gt;"Amber"),E681="BLD-TIMBER",AND(U681="Building equipment",OR(E681="BLD-WATER",E681="BLD-WASTE",E681="BLD-LAND")),AND(U681="Building renovation",E681="BLD-LAND"))),"N/A","Pending"))))))</x:f>
      </x:c>
      <x:c r="Q681" s="3" t="str">
        <x:f>IF(C681="","",IF(AND(R681="Valid",OR(P681="Pass",P681="N/A")),"Complete","Unresolved"))</x:f>
      </x:c>
      <x:c r="R681" s="9" t="str">
        <x:f>IF(C681="","",IF(OR(COUNTIF($C$9:$C$2008,C681)&lt;&gt;1,COUNTIFS($D$9:$D$2008,D681,$E$9:$E$2008,E681)&lt;&gt;1),"Duplicate test",IF(COUNTIF('Taxonomy'!$C$9:$C$108,D681)&lt;&gt;1,"Assessment key",IF(OR(COUNTIF('Taxonomy Rules'!$C$42:$C$68,E681)&lt;&gt;1,F681&lt;&gt;IFERROR(INDEX('Taxonomy Rules'!$D$42:$D$68,MATCH(E681,'Taxonomy Rules'!$C$42:$C$68,0)),""),NOT(OR(IFERROR(INDEX('Taxonomy Rules'!$G$42:$G$68,MATCH(E681,'Taxonomy Rules'!$C$42:$C$68,0)),"")="All supported routes",IFERROR(INDEX('Taxonomy Rules'!$G$42:$G$68,MATCH(E681,'Taxonomy Rules'!$C$42:$C$68,0)),"")=U681,AND(IFERROR(INDEX('Taxonomy Rules'!$G$42:$G$68,MATCH(E681,'Taxonomy Rules'!$C$42:$C$68,0)),"")="Building routes",OR(U681="Building renovation",U681="New building",U681="Building equipment"))))),"Unexpected test","Valid"))))</x:f>
      </x:c>
      <x:c r="S681" s="9" t="str">
        <x:f>IF(C681="","",IFERROR(INDEX('Taxonomy Rules'!$E$42:$E$68,MATCH(E681,'Taxonomy Rules'!$C$42:$C$68,0)),""))</x:f>
      </x:c>
      <x:c r="T681" s="9" t="str">
        <x:f>IF(C681="","",IFERROR(INDEX('Taxonomy Rules'!$F$42:$F$68,MATCH(E681,'Taxonomy Rules'!$C$42:$C$68,0)),""))</x:f>
      </x:c>
      <x:c r="U681" s="9" t="str">
        <x:f>IF(C681="","",IFERROR(INDEX('Taxonomy'!$G$9:$G$108,MATCH(D681,'Taxonomy'!$C$9:$C$108,0)),""))</x:f>
      </x:c>
    </x:row>
    <x:row r="682" ht="44" customHeight="1">
      <x:c r="A682" s="1"/>
      <x:c r="B682" s="1"/>
      <x:c r="C682" s="8"/>
      <x:c r="D682" s="8"/>
      <x:c r="E682" s="8"/>
      <x:c r="F682" s="8"/>
      <x:c r="G682" s="8"/>
      <x:c r="H682" s="8"/>
      <x:c r="I682" s="8"/>
      <x:c r="J682" s="8"/>
      <x:c r="K682" s="8"/>
      <x:c r="L682" s="8"/>
      <x:c r="M682" s="10"/>
      <x:c r="N682" s="10"/>
      <x:c r="O682" s="8"/>
      <x:c r="P682" s="9" t="str">
        <x:f>IF(C682="","",IF(AND(G682="Applicable",H682="Fail"),"Fail",IF(R682&lt;&gt;"Valid","Pending",IF(OR(I682="",K682="",L682="",K682=L682,NOT(ISNUMBER(M682)),NOT(ISNUMBER(N682)),M682&gt;Settings!$F$8,N682&lt;Settings!$F$8,N682&lt;M682),"Pending",IF(AND(G682="Applicable",H682="Pass"),"Pass",IF(AND(G682="N/A",H682="N/A",J682&lt;&gt;"",OR(E682="CEM-FUELS",E682="CEM-CCS",AND(E682="CEM-PLAN",IFERROR(INDEX('Taxonomy'!$M$9:$M$108,MATCH(D682,'Taxonomy'!$C$9:$C$108,0)),"")&lt;&gt;"Amber"),E682="BLD-TIMBER",AND(U682="Building equipment",OR(E682="BLD-WATER",E682="BLD-WASTE",E682="BLD-LAND")),AND(U682="Building renovation",E682="BLD-LAND"))),"N/A","Pending"))))))</x:f>
      </x:c>
      <x:c r="Q682" s="3" t="str">
        <x:f>IF(C682="","",IF(AND(R682="Valid",OR(P682="Pass",P682="N/A")),"Complete","Unresolved"))</x:f>
      </x:c>
      <x:c r="R682" s="9" t="str">
        <x:f>IF(C682="","",IF(OR(COUNTIF($C$9:$C$2008,C682)&lt;&gt;1,COUNTIFS($D$9:$D$2008,D682,$E$9:$E$2008,E682)&lt;&gt;1),"Duplicate test",IF(COUNTIF('Taxonomy'!$C$9:$C$108,D682)&lt;&gt;1,"Assessment key",IF(OR(COUNTIF('Taxonomy Rules'!$C$42:$C$68,E682)&lt;&gt;1,F682&lt;&gt;IFERROR(INDEX('Taxonomy Rules'!$D$42:$D$68,MATCH(E682,'Taxonomy Rules'!$C$42:$C$68,0)),""),NOT(OR(IFERROR(INDEX('Taxonomy Rules'!$G$42:$G$68,MATCH(E682,'Taxonomy Rules'!$C$42:$C$68,0)),"")="All supported routes",IFERROR(INDEX('Taxonomy Rules'!$G$42:$G$68,MATCH(E682,'Taxonomy Rules'!$C$42:$C$68,0)),"")=U682,AND(IFERROR(INDEX('Taxonomy Rules'!$G$42:$G$68,MATCH(E682,'Taxonomy Rules'!$C$42:$C$68,0)),"")="Building routes",OR(U682="Building renovation",U682="New building",U682="Building equipment"))))),"Unexpected test","Valid"))))</x:f>
      </x:c>
      <x:c r="S682" s="9" t="str">
        <x:f>IF(C682="","",IFERROR(INDEX('Taxonomy Rules'!$E$42:$E$68,MATCH(E682,'Taxonomy Rules'!$C$42:$C$68,0)),""))</x:f>
      </x:c>
      <x:c r="T682" s="9" t="str">
        <x:f>IF(C682="","",IFERROR(INDEX('Taxonomy Rules'!$F$42:$F$68,MATCH(E682,'Taxonomy Rules'!$C$42:$C$68,0)),""))</x:f>
      </x:c>
      <x:c r="U682" s="9" t="str">
        <x:f>IF(C682="","",IFERROR(INDEX('Taxonomy'!$G$9:$G$108,MATCH(D682,'Taxonomy'!$C$9:$C$108,0)),""))</x:f>
      </x:c>
    </x:row>
    <x:row r="683" ht="44" customHeight="1">
      <x:c r="A683" s="1"/>
      <x:c r="B683" s="1"/>
      <x:c r="C683" s="8"/>
      <x:c r="D683" s="8"/>
      <x:c r="E683" s="8"/>
      <x:c r="F683" s="8"/>
      <x:c r="G683" s="8"/>
      <x:c r="H683" s="8"/>
      <x:c r="I683" s="8"/>
      <x:c r="J683" s="8"/>
      <x:c r="K683" s="8"/>
      <x:c r="L683" s="8"/>
      <x:c r="M683" s="10"/>
      <x:c r="N683" s="10"/>
      <x:c r="O683" s="8"/>
      <x:c r="P683" s="9" t="str">
        <x:f>IF(C683="","",IF(AND(G683="Applicable",H683="Fail"),"Fail",IF(R683&lt;&gt;"Valid","Pending",IF(OR(I683="",K683="",L683="",K683=L683,NOT(ISNUMBER(M683)),NOT(ISNUMBER(N683)),M683&gt;Settings!$F$8,N683&lt;Settings!$F$8,N683&lt;M683),"Pending",IF(AND(G683="Applicable",H683="Pass"),"Pass",IF(AND(G683="N/A",H683="N/A",J683&lt;&gt;"",OR(E683="CEM-FUELS",E683="CEM-CCS",AND(E683="CEM-PLAN",IFERROR(INDEX('Taxonomy'!$M$9:$M$108,MATCH(D683,'Taxonomy'!$C$9:$C$108,0)),"")&lt;&gt;"Amber"),E683="BLD-TIMBER",AND(U683="Building equipment",OR(E683="BLD-WATER",E683="BLD-WASTE",E683="BLD-LAND")),AND(U683="Building renovation",E683="BLD-LAND"))),"N/A","Pending"))))))</x:f>
      </x:c>
      <x:c r="Q683" s="3" t="str">
        <x:f>IF(C683="","",IF(AND(R683="Valid",OR(P683="Pass",P683="N/A")),"Complete","Unresolved"))</x:f>
      </x:c>
      <x:c r="R683" s="9" t="str">
        <x:f>IF(C683="","",IF(OR(COUNTIF($C$9:$C$2008,C683)&lt;&gt;1,COUNTIFS($D$9:$D$2008,D683,$E$9:$E$2008,E683)&lt;&gt;1),"Duplicate test",IF(COUNTIF('Taxonomy'!$C$9:$C$108,D683)&lt;&gt;1,"Assessment key",IF(OR(COUNTIF('Taxonomy Rules'!$C$42:$C$68,E683)&lt;&gt;1,F683&lt;&gt;IFERROR(INDEX('Taxonomy Rules'!$D$42:$D$68,MATCH(E683,'Taxonomy Rules'!$C$42:$C$68,0)),""),NOT(OR(IFERROR(INDEX('Taxonomy Rules'!$G$42:$G$68,MATCH(E683,'Taxonomy Rules'!$C$42:$C$68,0)),"")="All supported routes",IFERROR(INDEX('Taxonomy Rules'!$G$42:$G$68,MATCH(E683,'Taxonomy Rules'!$C$42:$C$68,0)),"")=U683,AND(IFERROR(INDEX('Taxonomy Rules'!$G$42:$G$68,MATCH(E683,'Taxonomy Rules'!$C$42:$C$68,0)),"")="Building routes",OR(U683="Building renovation",U683="New building",U683="Building equipment"))))),"Unexpected test","Valid"))))</x:f>
      </x:c>
      <x:c r="S683" s="9" t="str">
        <x:f>IF(C683="","",IFERROR(INDEX('Taxonomy Rules'!$E$42:$E$68,MATCH(E683,'Taxonomy Rules'!$C$42:$C$68,0)),""))</x:f>
      </x:c>
      <x:c r="T683" s="9" t="str">
        <x:f>IF(C683="","",IFERROR(INDEX('Taxonomy Rules'!$F$42:$F$68,MATCH(E683,'Taxonomy Rules'!$C$42:$C$68,0)),""))</x:f>
      </x:c>
      <x:c r="U683" s="9" t="str">
        <x:f>IF(C683="","",IFERROR(INDEX('Taxonomy'!$G$9:$G$108,MATCH(D683,'Taxonomy'!$C$9:$C$108,0)),""))</x:f>
      </x:c>
    </x:row>
    <x:row r="684" ht="44" customHeight="1">
      <x:c r="A684" s="1"/>
      <x:c r="B684" s="1"/>
      <x:c r="C684" s="8"/>
      <x:c r="D684" s="8"/>
      <x:c r="E684" s="8"/>
      <x:c r="F684" s="8"/>
      <x:c r="G684" s="8"/>
      <x:c r="H684" s="8"/>
      <x:c r="I684" s="8"/>
      <x:c r="J684" s="8"/>
      <x:c r="K684" s="8"/>
      <x:c r="L684" s="8"/>
      <x:c r="M684" s="10"/>
      <x:c r="N684" s="10"/>
      <x:c r="O684" s="8"/>
      <x:c r="P684" s="9" t="str">
        <x:f>IF(C684="","",IF(AND(G684="Applicable",H684="Fail"),"Fail",IF(R684&lt;&gt;"Valid","Pending",IF(OR(I684="",K684="",L684="",K684=L684,NOT(ISNUMBER(M684)),NOT(ISNUMBER(N684)),M684&gt;Settings!$F$8,N684&lt;Settings!$F$8,N684&lt;M684),"Pending",IF(AND(G684="Applicable",H684="Pass"),"Pass",IF(AND(G684="N/A",H684="N/A",J684&lt;&gt;"",OR(E684="CEM-FUELS",E684="CEM-CCS",AND(E684="CEM-PLAN",IFERROR(INDEX('Taxonomy'!$M$9:$M$108,MATCH(D684,'Taxonomy'!$C$9:$C$108,0)),"")&lt;&gt;"Amber"),E684="BLD-TIMBER",AND(U684="Building equipment",OR(E684="BLD-WATER",E684="BLD-WASTE",E684="BLD-LAND")),AND(U684="Building renovation",E684="BLD-LAND"))),"N/A","Pending"))))))</x:f>
      </x:c>
      <x:c r="Q684" s="3" t="str">
        <x:f>IF(C684="","",IF(AND(R684="Valid",OR(P684="Pass",P684="N/A")),"Complete","Unresolved"))</x:f>
      </x:c>
      <x:c r="R684" s="9" t="str">
        <x:f>IF(C684="","",IF(OR(COUNTIF($C$9:$C$2008,C684)&lt;&gt;1,COUNTIFS($D$9:$D$2008,D684,$E$9:$E$2008,E684)&lt;&gt;1),"Duplicate test",IF(COUNTIF('Taxonomy'!$C$9:$C$108,D684)&lt;&gt;1,"Assessment key",IF(OR(COUNTIF('Taxonomy Rules'!$C$42:$C$68,E684)&lt;&gt;1,F684&lt;&gt;IFERROR(INDEX('Taxonomy Rules'!$D$42:$D$68,MATCH(E684,'Taxonomy Rules'!$C$42:$C$68,0)),""),NOT(OR(IFERROR(INDEX('Taxonomy Rules'!$G$42:$G$68,MATCH(E684,'Taxonomy Rules'!$C$42:$C$68,0)),"")="All supported routes",IFERROR(INDEX('Taxonomy Rules'!$G$42:$G$68,MATCH(E684,'Taxonomy Rules'!$C$42:$C$68,0)),"")=U684,AND(IFERROR(INDEX('Taxonomy Rules'!$G$42:$G$68,MATCH(E684,'Taxonomy Rules'!$C$42:$C$68,0)),"")="Building routes",OR(U684="Building renovation",U684="New building",U684="Building equipment"))))),"Unexpected test","Valid"))))</x:f>
      </x:c>
      <x:c r="S684" s="9" t="str">
        <x:f>IF(C684="","",IFERROR(INDEX('Taxonomy Rules'!$E$42:$E$68,MATCH(E684,'Taxonomy Rules'!$C$42:$C$68,0)),""))</x:f>
      </x:c>
      <x:c r="T684" s="9" t="str">
        <x:f>IF(C684="","",IFERROR(INDEX('Taxonomy Rules'!$F$42:$F$68,MATCH(E684,'Taxonomy Rules'!$C$42:$C$68,0)),""))</x:f>
      </x:c>
      <x:c r="U684" s="9" t="str">
        <x:f>IF(C684="","",IFERROR(INDEX('Taxonomy'!$G$9:$G$108,MATCH(D684,'Taxonomy'!$C$9:$C$108,0)),""))</x:f>
      </x:c>
    </x:row>
    <x:row r="685" ht="44" customHeight="1">
      <x:c r="A685" s="1"/>
      <x:c r="B685" s="1"/>
      <x:c r="C685" s="8"/>
      <x:c r="D685" s="8"/>
      <x:c r="E685" s="8"/>
      <x:c r="F685" s="8"/>
      <x:c r="G685" s="8"/>
      <x:c r="H685" s="8"/>
      <x:c r="I685" s="8"/>
      <x:c r="J685" s="8"/>
      <x:c r="K685" s="8"/>
      <x:c r="L685" s="8"/>
      <x:c r="M685" s="10"/>
      <x:c r="N685" s="10"/>
      <x:c r="O685" s="8"/>
      <x:c r="P685" s="9" t="str">
        <x:f>IF(C685="","",IF(AND(G685="Applicable",H685="Fail"),"Fail",IF(R685&lt;&gt;"Valid","Pending",IF(OR(I685="",K685="",L685="",K685=L685,NOT(ISNUMBER(M685)),NOT(ISNUMBER(N685)),M685&gt;Settings!$F$8,N685&lt;Settings!$F$8,N685&lt;M685),"Pending",IF(AND(G685="Applicable",H685="Pass"),"Pass",IF(AND(G685="N/A",H685="N/A",J685&lt;&gt;"",OR(E685="CEM-FUELS",E685="CEM-CCS",AND(E685="CEM-PLAN",IFERROR(INDEX('Taxonomy'!$M$9:$M$108,MATCH(D685,'Taxonomy'!$C$9:$C$108,0)),"")&lt;&gt;"Amber"),E685="BLD-TIMBER",AND(U685="Building equipment",OR(E685="BLD-WATER",E685="BLD-WASTE",E685="BLD-LAND")),AND(U685="Building renovation",E685="BLD-LAND"))),"N/A","Pending"))))))</x:f>
      </x:c>
      <x:c r="Q685" s="3" t="str">
        <x:f>IF(C685="","",IF(AND(R685="Valid",OR(P685="Pass",P685="N/A")),"Complete","Unresolved"))</x:f>
      </x:c>
      <x:c r="R685" s="9" t="str">
        <x:f>IF(C685="","",IF(OR(COUNTIF($C$9:$C$2008,C685)&lt;&gt;1,COUNTIFS($D$9:$D$2008,D685,$E$9:$E$2008,E685)&lt;&gt;1),"Duplicate test",IF(COUNTIF('Taxonomy'!$C$9:$C$108,D685)&lt;&gt;1,"Assessment key",IF(OR(COUNTIF('Taxonomy Rules'!$C$42:$C$68,E685)&lt;&gt;1,F685&lt;&gt;IFERROR(INDEX('Taxonomy Rules'!$D$42:$D$68,MATCH(E685,'Taxonomy Rules'!$C$42:$C$68,0)),""),NOT(OR(IFERROR(INDEX('Taxonomy Rules'!$G$42:$G$68,MATCH(E685,'Taxonomy Rules'!$C$42:$C$68,0)),"")="All supported routes",IFERROR(INDEX('Taxonomy Rules'!$G$42:$G$68,MATCH(E685,'Taxonomy Rules'!$C$42:$C$68,0)),"")=U685,AND(IFERROR(INDEX('Taxonomy Rules'!$G$42:$G$68,MATCH(E685,'Taxonomy Rules'!$C$42:$C$68,0)),"")="Building routes",OR(U685="Building renovation",U685="New building",U685="Building equipment"))))),"Unexpected test","Valid"))))</x:f>
      </x:c>
      <x:c r="S685" s="9" t="str">
        <x:f>IF(C685="","",IFERROR(INDEX('Taxonomy Rules'!$E$42:$E$68,MATCH(E685,'Taxonomy Rules'!$C$42:$C$68,0)),""))</x:f>
      </x:c>
      <x:c r="T685" s="9" t="str">
        <x:f>IF(C685="","",IFERROR(INDEX('Taxonomy Rules'!$F$42:$F$68,MATCH(E685,'Taxonomy Rules'!$C$42:$C$68,0)),""))</x:f>
      </x:c>
      <x:c r="U685" s="9" t="str">
        <x:f>IF(C685="","",IFERROR(INDEX('Taxonomy'!$G$9:$G$108,MATCH(D685,'Taxonomy'!$C$9:$C$108,0)),""))</x:f>
      </x:c>
    </x:row>
    <x:row r="686" ht="44" customHeight="1">
      <x:c r="A686" s="1"/>
      <x:c r="B686" s="1"/>
      <x:c r="C686" s="8"/>
      <x:c r="D686" s="8"/>
      <x:c r="E686" s="8"/>
      <x:c r="F686" s="8"/>
      <x:c r="G686" s="8"/>
      <x:c r="H686" s="8"/>
      <x:c r="I686" s="8"/>
      <x:c r="J686" s="8"/>
      <x:c r="K686" s="8"/>
      <x:c r="L686" s="8"/>
      <x:c r="M686" s="10"/>
      <x:c r="N686" s="10"/>
      <x:c r="O686" s="8"/>
      <x:c r="P686" s="9" t="str">
        <x:f>IF(C686="","",IF(AND(G686="Applicable",H686="Fail"),"Fail",IF(R686&lt;&gt;"Valid","Pending",IF(OR(I686="",K686="",L686="",K686=L686,NOT(ISNUMBER(M686)),NOT(ISNUMBER(N686)),M686&gt;Settings!$F$8,N686&lt;Settings!$F$8,N686&lt;M686),"Pending",IF(AND(G686="Applicable",H686="Pass"),"Pass",IF(AND(G686="N/A",H686="N/A",J686&lt;&gt;"",OR(E686="CEM-FUELS",E686="CEM-CCS",AND(E686="CEM-PLAN",IFERROR(INDEX('Taxonomy'!$M$9:$M$108,MATCH(D686,'Taxonomy'!$C$9:$C$108,0)),"")&lt;&gt;"Amber"),E686="BLD-TIMBER",AND(U686="Building equipment",OR(E686="BLD-WATER",E686="BLD-WASTE",E686="BLD-LAND")),AND(U686="Building renovation",E686="BLD-LAND"))),"N/A","Pending"))))))</x:f>
      </x:c>
      <x:c r="Q686" s="3" t="str">
        <x:f>IF(C686="","",IF(AND(R686="Valid",OR(P686="Pass",P686="N/A")),"Complete","Unresolved"))</x:f>
      </x:c>
      <x:c r="R686" s="9" t="str">
        <x:f>IF(C686="","",IF(OR(COUNTIF($C$9:$C$2008,C686)&lt;&gt;1,COUNTIFS($D$9:$D$2008,D686,$E$9:$E$2008,E686)&lt;&gt;1),"Duplicate test",IF(COUNTIF('Taxonomy'!$C$9:$C$108,D686)&lt;&gt;1,"Assessment key",IF(OR(COUNTIF('Taxonomy Rules'!$C$42:$C$68,E686)&lt;&gt;1,F686&lt;&gt;IFERROR(INDEX('Taxonomy Rules'!$D$42:$D$68,MATCH(E686,'Taxonomy Rules'!$C$42:$C$68,0)),""),NOT(OR(IFERROR(INDEX('Taxonomy Rules'!$G$42:$G$68,MATCH(E686,'Taxonomy Rules'!$C$42:$C$68,0)),"")="All supported routes",IFERROR(INDEX('Taxonomy Rules'!$G$42:$G$68,MATCH(E686,'Taxonomy Rules'!$C$42:$C$68,0)),"")=U686,AND(IFERROR(INDEX('Taxonomy Rules'!$G$42:$G$68,MATCH(E686,'Taxonomy Rules'!$C$42:$C$68,0)),"")="Building routes",OR(U686="Building renovation",U686="New building",U686="Building equipment"))))),"Unexpected test","Valid"))))</x:f>
      </x:c>
      <x:c r="S686" s="9" t="str">
        <x:f>IF(C686="","",IFERROR(INDEX('Taxonomy Rules'!$E$42:$E$68,MATCH(E686,'Taxonomy Rules'!$C$42:$C$68,0)),""))</x:f>
      </x:c>
      <x:c r="T686" s="9" t="str">
        <x:f>IF(C686="","",IFERROR(INDEX('Taxonomy Rules'!$F$42:$F$68,MATCH(E686,'Taxonomy Rules'!$C$42:$C$68,0)),""))</x:f>
      </x:c>
      <x:c r="U686" s="9" t="str">
        <x:f>IF(C686="","",IFERROR(INDEX('Taxonomy'!$G$9:$G$108,MATCH(D686,'Taxonomy'!$C$9:$C$108,0)),""))</x:f>
      </x:c>
    </x:row>
    <x:row r="687" ht="44" customHeight="1">
      <x:c r="A687" s="1"/>
      <x:c r="B687" s="1"/>
      <x:c r="C687" s="8"/>
      <x:c r="D687" s="8"/>
      <x:c r="E687" s="8"/>
      <x:c r="F687" s="8"/>
      <x:c r="G687" s="8"/>
      <x:c r="H687" s="8"/>
      <x:c r="I687" s="8"/>
      <x:c r="J687" s="8"/>
      <x:c r="K687" s="8"/>
      <x:c r="L687" s="8"/>
      <x:c r="M687" s="10"/>
      <x:c r="N687" s="10"/>
      <x:c r="O687" s="8"/>
      <x:c r="P687" s="9" t="str">
        <x:f>IF(C687="","",IF(AND(G687="Applicable",H687="Fail"),"Fail",IF(R687&lt;&gt;"Valid","Pending",IF(OR(I687="",K687="",L687="",K687=L687,NOT(ISNUMBER(M687)),NOT(ISNUMBER(N687)),M687&gt;Settings!$F$8,N687&lt;Settings!$F$8,N687&lt;M687),"Pending",IF(AND(G687="Applicable",H687="Pass"),"Pass",IF(AND(G687="N/A",H687="N/A",J687&lt;&gt;"",OR(E687="CEM-FUELS",E687="CEM-CCS",AND(E687="CEM-PLAN",IFERROR(INDEX('Taxonomy'!$M$9:$M$108,MATCH(D687,'Taxonomy'!$C$9:$C$108,0)),"")&lt;&gt;"Amber"),E687="BLD-TIMBER",AND(U687="Building equipment",OR(E687="BLD-WATER",E687="BLD-WASTE",E687="BLD-LAND")),AND(U687="Building renovation",E687="BLD-LAND"))),"N/A","Pending"))))))</x:f>
      </x:c>
      <x:c r="Q687" s="3" t="str">
        <x:f>IF(C687="","",IF(AND(R687="Valid",OR(P687="Pass",P687="N/A")),"Complete","Unresolved"))</x:f>
      </x:c>
      <x:c r="R687" s="9" t="str">
        <x:f>IF(C687="","",IF(OR(COUNTIF($C$9:$C$2008,C687)&lt;&gt;1,COUNTIFS($D$9:$D$2008,D687,$E$9:$E$2008,E687)&lt;&gt;1),"Duplicate test",IF(COUNTIF('Taxonomy'!$C$9:$C$108,D687)&lt;&gt;1,"Assessment key",IF(OR(COUNTIF('Taxonomy Rules'!$C$42:$C$68,E687)&lt;&gt;1,F687&lt;&gt;IFERROR(INDEX('Taxonomy Rules'!$D$42:$D$68,MATCH(E687,'Taxonomy Rules'!$C$42:$C$68,0)),""),NOT(OR(IFERROR(INDEX('Taxonomy Rules'!$G$42:$G$68,MATCH(E687,'Taxonomy Rules'!$C$42:$C$68,0)),"")="All supported routes",IFERROR(INDEX('Taxonomy Rules'!$G$42:$G$68,MATCH(E687,'Taxonomy Rules'!$C$42:$C$68,0)),"")=U687,AND(IFERROR(INDEX('Taxonomy Rules'!$G$42:$G$68,MATCH(E687,'Taxonomy Rules'!$C$42:$C$68,0)),"")="Building routes",OR(U687="Building renovation",U687="New building",U687="Building equipment"))))),"Unexpected test","Valid"))))</x:f>
      </x:c>
      <x:c r="S687" s="9" t="str">
        <x:f>IF(C687="","",IFERROR(INDEX('Taxonomy Rules'!$E$42:$E$68,MATCH(E687,'Taxonomy Rules'!$C$42:$C$68,0)),""))</x:f>
      </x:c>
      <x:c r="T687" s="9" t="str">
        <x:f>IF(C687="","",IFERROR(INDEX('Taxonomy Rules'!$F$42:$F$68,MATCH(E687,'Taxonomy Rules'!$C$42:$C$68,0)),""))</x:f>
      </x:c>
      <x:c r="U687" s="9" t="str">
        <x:f>IF(C687="","",IFERROR(INDEX('Taxonomy'!$G$9:$G$108,MATCH(D687,'Taxonomy'!$C$9:$C$108,0)),""))</x:f>
      </x:c>
    </x:row>
    <x:row r="688" ht="44" customHeight="1">
      <x:c r="A688" s="1"/>
      <x:c r="B688" s="1"/>
      <x:c r="C688" s="8"/>
      <x:c r="D688" s="8"/>
      <x:c r="E688" s="8"/>
      <x:c r="F688" s="8"/>
      <x:c r="G688" s="8"/>
      <x:c r="H688" s="8"/>
      <x:c r="I688" s="8"/>
      <x:c r="J688" s="8"/>
      <x:c r="K688" s="8"/>
      <x:c r="L688" s="8"/>
      <x:c r="M688" s="10"/>
      <x:c r="N688" s="10"/>
      <x:c r="O688" s="8"/>
      <x:c r="P688" s="9" t="str">
        <x:f>IF(C688="","",IF(AND(G688="Applicable",H688="Fail"),"Fail",IF(R688&lt;&gt;"Valid","Pending",IF(OR(I688="",K688="",L688="",K688=L688,NOT(ISNUMBER(M688)),NOT(ISNUMBER(N688)),M688&gt;Settings!$F$8,N688&lt;Settings!$F$8,N688&lt;M688),"Pending",IF(AND(G688="Applicable",H688="Pass"),"Pass",IF(AND(G688="N/A",H688="N/A",J688&lt;&gt;"",OR(E688="CEM-FUELS",E688="CEM-CCS",AND(E688="CEM-PLAN",IFERROR(INDEX('Taxonomy'!$M$9:$M$108,MATCH(D688,'Taxonomy'!$C$9:$C$108,0)),"")&lt;&gt;"Amber"),E688="BLD-TIMBER",AND(U688="Building equipment",OR(E688="BLD-WATER",E688="BLD-WASTE",E688="BLD-LAND")),AND(U688="Building renovation",E688="BLD-LAND"))),"N/A","Pending"))))))</x:f>
      </x:c>
      <x:c r="Q688" s="3" t="str">
        <x:f>IF(C688="","",IF(AND(R688="Valid",OR(P688="Pass",P688="N/A")),"Complete","Unresolved"))</x:f>
      </x:c>
      <x:c r="R688" s="9" t="str">
        <x:f>IF(C688="","",IF(OR(COUNTIF($C$9:$C$2008,C688)&lt;&gt;1,COUNTIFS($D$9:$D$2008,D688,$E$9:$E$2008,E688)&lt;&gt;1),"Duplicate test",IF(COUNTIF('Taxonomy'!$C$9:$C$108,D688)&lt;&gt;1,"Assessment key",IF(OR(COUNTIF('Taxonomy Rules'!$C$42:$C$68,E688)&lt;&gt;1,F688&lt;&gt;IFERROR(INDEX('Taxonomy Rules'!$D$42:$D$68,MATCH(E688,'Taxonomy Rules'!$C$42:$C$68,0)),""),NOT(OR(IFERROR(INDEX('Taxonomy Rules'!$G$42:$G$68,MATCH(E688,'Taxonomy Rules'!$C$42:$C$68,0)),"")="All supported routes",IFERROR(INDEX('Taxonomy Rules'!$G$42:$G$68,MATCH(E688,'Taxonomy Rules'!$C$42:$C$68,0)),"")=U688,AND(IFERROR(INDEX('Taxonomy Rules'!$G$42:$G$68,MATCH(E688,'Taxonomy Rules'!$C$42:$C$68,0)),"")="Building routes",OR(U688="Building renovation",U688="New building",U688="Building equipment"))))),"Unexpected test","Valid"))))</x:f>
      </x:c>
      <x:c r="S688" s="9" t="str">
        <x:f>IF(C688="","",IFERROR(INDEX('Taxonomy Rules'!$E$42:$E$68,MATCH(E688,'Taxonomy Rules'!$C$42:$C$68,0)),""))</x:f>
      </x:c>
      <x:c r="T688" s="9" t="str">
        <x:f>IF(C688="","",IFERROR(INDEX('Taxonomy Rules'!$F$42:$F$68,MATCH(E688,'Taxonomy Rules'!$C$42:$C$68,0)),""))</x:f>
      </x:c>
      <x:c r="U688" s="9" t="str">
        <x:f>IF(C688="","",IFERROR(INDEX('Taxonomy'!$G$9:$G$108,MATCH(D688,'Taxonomy'!$C$9:$C$108,0)),""))</x:f>
      </x:c>
    </x:row>
    <x:row r="689" ht="44" customHeight="1">
      <x:c r="A689" s="1"/>
      <x:c r="B689" s="1"/>
      <x:c r="C689" s="8"/>
      <x:c r="D689" s="8"/>
      <x:c r="E689" s="8"/>
      <x:c r="F689" s="8"/>
      <x:c r="G689" s="8"/>
      <x:c r="H689" s="8"/>
      <x:c r="I689" s="8"/>
      <x:c r="J689" s="8"/>
      <x:c r="K689" s="8"/>
      <x:c r="L689" s="8"/>
      <x:c r="M689" s="10"/>
      <x:c r="N689" s="10"/>
      <x:c r="O689" s="8"/>
      <x:c r="P689" s="9" t="str">
        <x:f>IF(C689="","",IF(AND(G689="Applicable",H689="Fail"),"Fail",IF(R689&lt;&gt;"Valid","Pending",IF(OR(I689="",K689="",L689="",K689=L689,NOT(ISNUMBER(M689)),NOT(ISNUMBER(N689)),M689&gt;Settings!$F$8,N689&lt;Settings!$F$8,N689&lt;M689),"Pending",IF(AND(G689="Applicable",H689="Pass"),"Pass",IF(AND(G689="N/A",H689="N/A",J689&lt;&gt;"",OR(E689="CEM-FUELS",E689="CEM-CCS",AND(E689="CEM-PLAN",IFERROR(INDEX('Taxonomy'!$M$9:$M$108,MATCH(D689,'Taxonomy'!$C$9:$C$108,0)),"")&lt;&gt;"Amber"),E689="BLD-TIMBER",AND(U689="Building equipment",OR(E689="BLD-WATER",E689="BLD-WASTE",E689="BLD-LAND")),AND(U689="Building renovation",E689="BLD-LAND"))),"N/A","Pending"))))))</x:f>
      </x:c>
      <x:c r="Q689" s="3" t="str">
        <x:f>IF(C689="","",IF(AND(R689="Valid",OR(P689="Pass",P689="N/A")),"Complete","Unresolved"))</x:f>
      </x:c>
      <x:c r="R689" s="9" t="str">
        <x:f>IF(C689="","",IF(OR(COUNTIF($C$9:$C$2008,C689)&lt;&gt;1,COUNTIFS($D$9:$D$2008,D689,$E$9:$E$2008,E689)&lt;&gt;1),"Duplicate test",IF(COUNTIF('Taxonomy'!$C$9:$C$108,D689)&lt;&gt;1,"Assessment key",IF(OR(COUNTIF('Taxonomy Rules'!$C$42:$C$68,E689)&lt;&gt;1,F689&lt;&gt;IFERROR(INDEX('Taxonomy Rules'!$D$42:$D$68,MATCH(E689,'Taxonomy Rules'!$C$42:$C$68,0)),""),NOT(OR(IFERROR(INDEX('Taxonomy Rules'!$G$42:$G$68,MATCH(E689,'Taxonomy Rules'!$C$42:$C$68,0)),"")="All supported routes",IFERROR(INDEX('Taxonomy Rules'!$G$42:$G$68,MATCH(E689,'Taxonomy Rules'!$C$42:$C$68,0)),"")=U689,AND(IFERROR(INDEX('Taxonomy Rules'!$G$42:$G$68,MATCH(E689,'Taxonomy Rules'!$C$42:$C$68,0)),"")="Building routes",OR(U689="Building renovation",U689="New building",U689="Building equipment"))))),"Unexpected test","Valid"))))</x:f>
      </x:c>
      <x:c r="S689" s="9" t="str">
        <x:f>IF(C689="","",IFERROR(INDEX('Taxonomy Rules'!$E$42:$E$68,MATCH(E689,'Taxonomy Rules'!$C$42:$C$68,0)),""))</x:f>
      </x:c>
      <x:c r="T689" s="9" t="str">
        <x:f>IF(C689="","",IFERROR(INDEX('Taxonomy Rules'!$F$42:$F$68,MATCH(E689,'Taxonomy Rules'!$C$42:$C$68,0)),""))</x:f>
      </x:c>
      <x:c r="U689" s="9" t="str">
        <x:f>IF(C689="","",IFERROR(INDEX('Taxonomy'!$G$9:$G$108,MATCH(D689,'Taxonomy'!$C$9:$C$108,0)),""))</x:f>
      </x:c>
    </x:row>
    <x:row r="690" ht="44" customHeight="1">
      <x:c r="A690" s="1"/>
      <x:c r="B690" s="1"/>
      <x:c r="C690" s="8"/>
      <x:c r="D690" s="8"/>
      <x:c r="E690" s="8"/>
      <x:c r="F690" s="8"/>
      <x:c r="G690" s="8"/>
      <x:c r="H690" s="8"/>
      <x:c r="I690" s="8"/>
      <x:c r="J690" s="8"/>
      <x:c r="K690" s="8"/>
      <x:c r="L690" s="8"/>
      <x:c r="M690" s="10"/>
      <x:c r="N690" s="10"/>
      <x:c r="O690" s="8"/>
      <x:c r="P690" s="9" t="str">
        <x:f>IF(C690="","",IF(AND(G690="Applicable",H690="Fail"),"Fail",IF(R690&lt;&gt;"Valid","Pending",IF(OR(I690="",K690="",L690="",K690=L690,NOT(ISNUMBER(M690)),NOT(ISNUMBER(N690)),M690&gt;Settings!$F$8,N690&lt;Settings!$F$8,N690&lt;M690),"Pending",IF(AND(G690="Applicable",H690="Pass"),"Pass",IF(AND(G690="N/A",H690="N/A",J690&lt;&gt;"",OR(E690="CEM-FUELS",E690="CEM-CCS",AND(E690="CEM-PLAN",IFERROR(INDEX('Taxonomy'!$M$9:$M$108,MATCH(D690,'Taxonomy'!$C$9:$C$108,0)),"")&lt;&gt;"Amber"),E690="BLD-TIMBER",AND(U690="Building equipment",OR(E690="BLD-WATER",E690="BLD-WASTE",E690="BLD-LAND")),AND(U690="Building renovation",E690="BLD-LAND"))),"N/A","Pending"))))))</x:f>
      </x:c>
      <x:c r="Q690" s="3" t="str">
        <x:f>IF(C690="","",IF(AND(R690="Valid",OR(P690="Pass",P690="N/A")),"Complete","Unresolved"))</x:f>
      </x:c>
      <x:c r="R690" s="9" t="str">
        <x:f>IF(C690="","",IF(OR(COUNTIF($C$9:$C$2008,C690)&lt;&gt;1,COUNTIFS($D$9:$D$2008,D690,$E$9:$E$2008,E690)&lt;&gt;1),"Duplicate test",IF(COUNTIF('Taxonomy'!$C$9:$C$108,D690)&lt;&gt;1,"Assessment key",IF(OR(COUNTIF('Taxonomy Rules'!$C$42:$C$68,E690)&lt;&gt;1,F690&lt;&gt;IFERROR(INDEX('Taxonomy Rules'!$D$42:$D$68,MATCH(E690,'Taxonomy Rules'!$C$42:$C$68,0)),""),NOT(OR(IFERROR(INDEX('Taxonomy Rules'!$G$42:$G$68,MATCH(E690,'Taxonomy Rules'!$C$42:$C$68,0)),"")="All supported routes",IFERROR(INDEX('Taxonomy Rules'!$G$42:$G$68,MATCH(E690,'Taxonomy Rules'!$C$42:$C$68,0)),"")=U690,AND(IFERROR(INDEX('Taxonomy Rules'!$G$42:$G$68,MATCH(E690,'Taxonomy Rules'!$C$42:$C$68,0)),"")="Building routes",OR(U690="Building renovation",U690="New building",U690="Building equipment"))))),"Unexpected test","Valid"))))</x:f>
      </x:c>
      <x:c r="S690" s="9" t="str">
        <x:f>IF(C690="","",IFERROR(INDEX('Taxonomy Rules'!$E$42:$E$68,MATCH(E690,'Taxonomy Rules'!$C$42:$C$68,0)),""))</x:f>
      </x:c>
      <x:c r="T690" s="9" t="str">
        <x:f>IF(C690="","",IFERROR(INDEX('Taxonomy Rules'!$F$42:$F$68,MATCH(E690,'Taxonomy Rules'!$C$42:$C$68,0)),""))</x:f>
      </x:c>
      <x:c r="U690" s="9" t="str">
        <x:f>IF(C690="","",IFERROR(INDEX('Taxonomy'!$G$9:$G$108,MATCH(D690,'Taxonomy'!$C$9:$C$108,0)),""))</x:f>
      </x:c>
    </x:row>
    <x:row r="691" ht="44" customHeight="1">
      <x:c r="A691" s="1"/>
      <x:c r="B691" s="1"/>
      <x:c r="C691" s="8"/>
      <x:c r="D691" s="8"/>
      <x:c r="E691" s="8"/>
      <x:c r="F691" s="8"/>
      <x:c r="G691" s="8"/>
      <x:c r="H691" s="8"/>
      <x:c r="I691" s="8"/>
      <x:c r="J691" s="8"/>
      <x:c r="K691" s="8"/>
      <x:c r="L691" s="8"/>
      <x:c r="M691" s="10"/>
      <x:c r="N691" s="10"/>
      <x:c r="O691" s="8"/>
      <x:c r="P691" s="9" t="str">
        <x:f>IF(C691="","",IF(AND(G691="Applicable",H691="Fail"),"Fail",IF(R691&lt;&gt;"Valid","Pending",IF(OR(I691="",K691="",L691="",K691=L691,NOT(ISNUMBER(M691)),NOT(ISNUMBER(N691)),M691&gt;Settings!$F$8,N691&lt;Settings!$F$8,N691&lt;M691),"Pending",IF(AND(G691="Applicable",H691="Pass"),"Pass",IF(AND(G691="N/A",H691="N/A",J691&lt;&gt;"",OR(E691="CEM-FUELS",E691="CEM-CCS",AND(E691="CEM-PLAN",IFERROR(INDEX('Taxonomy'!$M$9:$M$108,MATCH(D691,'Taxonomy'!$C$9:$C$108,0)),"")&lt;&gt;"Amber"),E691="BLD-TIMBER",AND(U691="Building equipment",OR(E691="BLD-WATER",E691="BLD-WASTE",E691="BLD-LAND")),AND(U691="Building renovation",E691="BLD-LAND"))),"N/A","Pending"))))))</x:f>
      </x:c>
      <x:c r="Q691" s="3" t="str">
        <x:f>IF(C691="","",IF(AND(R691="Valid",OR(P691="Pass",P691="N/A")),"Complete","Unresolved"))</x:f>
      </x:c>
      <x:c r="R691" s="9" t="str">
        <x:f>IF(C691="","",IF(OR(COUNTIF($C$9:$C$2008,C691)&lt;&gt;1,COUNTIFS($D$9:$D$2008,D691,$E$9:$E$2008,E691)&lt;&gt;1),"Duplicate test",IF(COUNTIF('Taxonomy'!$C$9:$C$108,D691)&lt;&gt;1,"Assessment key",IF(OR(COUNTIF('Taxonomy Rules'!$C$42:$C$68,E691)&lt;&gt;1,F691&lt;&gt;IFERROR(INDEX('Taxonomy Rules'!$D$42:$D$68,MATCH(E691,'Taxonomy Rules'!$C$42:$C$68,0)),""),NOT(OR(IFERROR(INDEX('Taxonomy Rules'!$G$42:$G$68,MATCH(E691,'Taxonomy Rules'!$C$42:$C$68,0)),"")="All supported routes",IFERROR(INDEX('Taxonomy Rules'!$G$42:$G$68,MATCH(E691,'Taxonomy Rules'!$C$42:$C$68,0)),"")=U691,AND(IFERROR(INDEX('Taxonomy Rules'!$G$42:$G$68,MATCH(E691,'Taxonomy Rules'!$C$42:$C$68,0)),"")="Building routes",OR(U691="Building renovation",U691="New building",U691="Building equipment"))))),"Unexpected test","Valid"))))</x:f>
      </x:c>
      <x:c r="S691" s="9" t="str">
        <x:f>IF(C691="","",IFERROR(INDEX('Taxonomy Rules'!$E$42:$E$68,MATCH(E691,'Taxonomy Rules'!$C$42:$C$68,0)),""))</x:f>
      </x:c>
      <x:c r="T691" s="9" t="str">
        <x:f>IF(C691="","",IFERROR(INDEX('Taxonomy Rules'!$F$42:$F$68,MATCH(E691,'Taxonomy Rules'!$C$42:$C$68,0)),""))</x:f>
      </x:c>
      <x:c r="U691" s="9" t="str">
        <x:f>IF(C691="","",IFERROR(INDEX('Taxonomy'!$G$9:$G$108,MATCH(D691,'Taxonomy'!$C$9:$C$108,0)),""))</x:f>
      </x:c>
    </x:row>
    <x:row r="692" ht="44" customHeight="1">
      <x:c r="A692" s="1"/>
      <x:c r="B692" s="1"/>
      <x:c r="C692" s="8"/>
      <x:c r="D692" s="8"/>
      <x:c r="E692" s="8"/>
      <x:c r="F692" s="8"/>
      <x:c r="G692" s="8"/>
      <x:c r="H692" s="8"/>
      <x:c r="I692" s="8"/>
      <x:c r="J692" s="8"/>
      <x:c r="K692" s="8"/>
      <x:c r="L692" s="8"/>
      <x:c r="M692" s="10"/>
      <x:c r="N692" s="10"/>
      <x:c r="O692" s="8"/>
      <x:c r="P692" s="9" t="str">
        <x:f>IF(C692="","",IF(AND(G692="Applicable",H692="Fail"),"Fail",IF(R692&lt;&gt;"Valid","Pending",IF(OR(I692="",K692="",L692="",K692=L692,NOT(ISNUMBER(M692)),NOT(ISNUMBER(N692)),M692&gt;Settings!$F$8,N692&lt;Settings!$F$8,N692&lt;M692),"Pending",IF(AND(G692="Applicable",H692="Pass"),"Pass",IF(AND(G692="N/A",H692="N/A",J692&lt;&gt;"",OR(E692="CEM-FUELS",E692="CEM-CCS",AND(E692="CEM-PLAN",IFERROR(INDEX('Taxonomy'!$M$9:$M$108,MATCH(D692,'Taxonomy'!$C$9:$C$108,0)),"")&lt;&gt;"Amber"),E692="BLD-TIMBER",AND(U692="Building equipment",OR(E692="BLD-WATER",E692="BLD-WASTE",E692="BLD-LAND")),AND(U692="Building renovation",E692="BLD-LAND"))),"N/A","Pending"))))))</x:f>
      </x:c>
      <x:c r="Q692" s="3" t="str">
        <x:f>IF(C692="","",IF(AND(R692="Valid",OR(P692="Pass",P692="N/A")),"Complete","Unresolved"))</x:f>
      </x:c>
      <x:c r="R692" s="9" t="str">
        <x:f>IF(C692="","",IF(OR(COUNTIF($C$9:$C$2008,C692)&lt;&gt;1,COUNTIFS($D$9:$D$2008,D692,$E$9:$E$2008,E692)&lt;&gt;1),"Duplicate test",IF(COUNTIF('Taxonomy'!$C$9:$C$108,D692)&lt;&gt;1,"Assessment key",IF(OR(COUNTIF('Taxonomy Rules'!$C$42:$C$68,E692)&lt;&gt;1,F692&lt;&gt;IFERROR(INDEX('Taxonomy Rules'!$D$42:$D$68,MATCH(E692,'Taxonomy Rules'!$C$42:$C$68,0)),""),NOT(OR(IFERROR(INDEX('Taxonomy Rules'!$G$42:$G$68,MATCH(E692,'Taxonomy Rules'!$C$42:$C$68,0)),"")="All supported routes",IFERROR(INDEX('Taxonomy Rules'!$G$42:$G$68,MATCH(E692,'Taxonomy Rules'!$C$42:$C$68,0)),"")=U692,AND(IFERROR(INDEX('Taxonomy Rules'!$G$42:$G$68,MATCH(E692,'Taxonomy Rules'!$C$42:$C$68,0)),"")="Building routes",OR(U692="Building renovation",U692="New building",U692="Building equipment"))))),"Unexpected test","Valid"))))</x:f>
      </x:c>
      <x:c r="S692" s="9" t="str">
        <x:f>IF(C692="","",IFERROR(INDEX('Taxonomy Rules'!$E$42:$E$68,MATCH(E692,'Taxonomy Rules'!$C$42:$C$68,0)),""))</x:f>
      </x:c>
      <x:c r="T692" s="9" t="str">
        <x:f>IF(C692="","",IFERROR(INDEX('Taxonomy Rules'!$F$42:$F$68,MATCH(E692,'Taxonomy Rules'!$C$42:$C$68,0)),""))</x:f>
      </x:c>
      <x:c r="U692" s="9" t="str">
        <x:f>IF(C692="","",IFERROR(INDEX('Taxonomy'!$G$9:$G$108,MATCH(D692,'Taxonomy'!$C$9:$C$108,0)),""))</x:f>
      </x:c>
    </x:row>
    <x:row r="693" ht="44" customHeight="1">
      <x:c r="A693" s="1"/>
      <x:c r="B693" s="1"/>
      <x:c r="C693" s="8"/>
      <x:c r="D693" s="8"/>
      <x:c r="E693" s="8"/>
      <x:c r="F693" s="8"/>
      <x:c r="G693" s="8"/>
      <x:c r="H693" s="8"/>
      <x:c r="I693" s="8"/>
      <x:c r="J693" s="8"/>
      <x:c r="K693" s="8"/>
      <x:c r="L693" s="8"/>
      <x:c r="M693" s="10"/>
      <x:c r="N693" s="10"/>
      <x:c r="O693" s="8"/>
      <x:c r="P693" s="9" t="str">
        <x:f>IF(C693="","",IF(AND(G693="Applicable",H693="Fail"),"Fail",IF(R693&lt;&gt;"Valid","Pending",IF(OR(I693="",K693="",L693="",K693=L693,NOT(ISNUMBER(M693)),NOT(ISNUMBER(N693)),M693&gt;Settings!$F$8,N693&lt;Settings!$F$8,N693&lt;M693),"Pending",IF(AND(G693="Applicable",H693="Pass"),"Pass",IF(AND(G693="N/A",H693="N/A",J693&lt;&gt;"",OR(E693="CEM-FUELS",E693="CEM-CCS",AND(E693="CEM-PLAN",IFERROR(INDEX('Taxonomy'!$M$9:$M$108,MATCH(D693,'Taxonomy'!$C$9:$C$108,0)),"")&lt;&gt;"Amber"),E693="BLD-TIMBER",AND(U693="Building equipment",OR(E693="BLD-WATER",E693="BLD-WASTE",E693="BLD-LAND")),AND(U693="Building renovation",E693="BLD-LAND"))),"N/A","Pending"))))))</x:f>
      </x:c>
      <x:c r="Q693" s="3" t="str">
        <x:f>IF(C693="","",IF(AND(R693="Valid",OR(P693="Pass",P693="N/A")),"Complete","Unresolved"))</x:f>
      </x:c>
      <x:c r="R693" s="9" t="str">
        <x:f>IF(C693="","",IF(OR(COUNTIF($C$9:$C$2008,C693)&lt;&gt;1,COUNTIFS($D$9:$D$2008,D693,$E$9:$E$2008,E693)&lt;&gt;1),"Duplicate test",IF(COUNTIF('Taxonomy'!$C$9:$C$108,D693)&lt;&gt;1,"Assessment key",IF(OR(COUNTIF('Taxonomy Rules'!$C$42:$C$68,E693)&lt;&gt;1,F693&lt;&gt;IFERROR(INDEX('Taxonomy Rules'!$D$42:$D$68,MATCH(E693,'Taxonomy Rules'!$C$42:$C$68,0)),""),NOT(OR(IFERROR(INDEX('Taxonomy Rules'!$G$42:$G$68,MATCH(E693,'Taxonomy Rules'!$C$42:$C$68,0)),"")="All supported routes",IFERROR(INDEX('Taxonomy Rules'!$G$42:$G$68,MATCH(E693,'Taxonomy Rules'!$C$42:$C$68,0)),"")=U693,AND(IFERROR(INDEX('Taxonomy Rules'!$G$42:$G$68,MATCH(E693,'Taxonomy Rules'!$C$42:$C$68,0)),"")="Building routes",OR(U693="Building renovation",U693="New building",U693="Building equipment"))))),"Unexpected test","Valid"))))</x:f>
      </x:c>
      <x:c r="S693" s="9" t="str">
        <x:f>IF(C693="","",IFERROR(INDEX('Taxonomy Rules'!$E$42:$E$68,MATCH(E693,'Taxonomy Rules'!$C$42:$C$68,0)),""))</x:f>
      </x:c>
      <x:c r="T693" s="9" t="str">
        <x:f>IF(C693="","",IFERROR(INDEX('Taxonomy Rules'!$F$42:$F$68,MATCH(E693,'Taxonomy Rules'!$C$42:$C$68,0)),""))</x:f>
      </x:c>
      <x:c r="U693" s="9" t="str">
        <x:f>IF(C693="","",IFERROR(INDEX('Taxonomy'!$G$9:$G$108,MATCH(D693,'Taxonomy'!$C$9:$C$108,0)),""))</x:f>
      </x:c>
    </x:row>
    <x:row r="694" ht="44" customHeight="1">
      <x:c r="A694" s="1"/>
      <x:c r="B694" s="1"/>
      <x:c r="C694" s="8"/>
      <x:c r="D694" s="8"/>
      <x:c r="E694" s="8"/>
      <x:c r="F694" s="8"/>
      <x:c r="G694" s="8"/>
      <x:c r="H694" s="8"/>
      <x:c r="I694" s="8"/>
      <x:c r="J694" s="8"/>
      <x:c r="K694" s="8"/>
      <x:c r="L694" s="8"/>
      <x:c r="M694" s="10"/>
      <x:c r="N694" s="10"/>
      <x:c r="O694" s="8"/>
      <x:c r="P694" s="9" t="str">
        <x:f>IF(C694="","",IF(AND(G694="Applicable",H694="Fail"),"Fail",IF(R694&lt;&gt;"Valid","Pending",IF(OR(I694="",K694="",L694="",K694=L694,NOT(ISNUMBER(M694)),NOT(ISNUMBER(N694)),M694&gt;Settings!$F$8,N694&lt;Settings!$F$8,N694&lt;M694),"Pending",IF(AND(G694="Applicable",H694="Pass"),"Pass",IF(AND(G694="N/A",H694="N/A",J694&lt;&gt;"",OR(E694="CEM-FUELS",E694="CEM-CCS",AND(E694="CEM-PLAN",IFERROR(INDEX('Taxonomy'!$M$9:$M$108,MATCH(D694,'Taxonomy'!$C$9:$C$108,0)),"")&lt;&gt;"Amber"),E694="BLD-TIMBER",AND(U694="Building equipment",OR(E694="BLD-WATER",E694="BLD-WASTE",E694="BLD-LAND")),AND(U694="Building renovation",E694="BLD-LAND"))),"N/A","Pending"))))))</x:f>
      </x:c>
      <x:c r="Q694" s="3" t="str">
        <x:f>IF(C694="","",IF(AND(R694="Valid",OR(P694="Pass",P694="N/A")),"Complete","Unresolved"))</x:f>
      </x:c>
      <x:c r="R694" s="9" t="str">
        <x:f>IF(C694="","",IF(OR(COUNTIF($C$9:$C$2008,C694)&lt;&gt;1,COUNTIFS($D$9:$D$2008,D694,$E$9:$E$2008,E694)&lt;&gt;1),"Duplicate test",IF(COUNTIF('Taxonomy'!$C$9:$C$108,D694)&lt;&gt;1,"Assessment key",IF(OR(COUNTIF('Taxonomy Rules'!$C$42:$C$68,E694)&lt;&gt;1,F694&lt;&gt;IFERROR(INDEX('Taxonomy Rules'!$D$42:$D$68,MATCH(E694,'Taxonomy Rules'!$C$42:$C$68,0)),""),NOT(OR(IFERROR(INDEX('Taxonomy Rules'!$G$42:$G$68,MATCH(E694,'Taxonomy Rules'!$C$42:$C$68,0)),"")="All supported routes",IFERROR(INDEX('Taxonomy Rules'!$G$42:$G$68,MATCH(E694,'Taxonomy Rules'!$C$42:$C$68,0)),"")=U694,AND(IFERROR(INDEX('Taxonomy Rules'!$G$42:$G$68,MATCH(E694,'Taxonomy Rules'!$C$42:$C$68,0)),"")="Building routes",OR(U694="Building renovation",U694="New building",U694="Building equipment"))))),"Unexpected test","Valid"))))</x:f>
      </x:c>
      <x:c r="S694" s="9" t="str">
        <x:f>IF(C694="","",IFERROR(INDEX('Taxonomy Rules'!$E$42:$E$68,MATCH(E694,'Taxonomy Rules'!$C$42:$C$68,0)),""))</x:f>
      </x:c>
      <x:c r="T694" s="9" t="str">
        <x:f>IF(C694="","",IFERROR(INDEX('Taxonomy Rules'!$F$42:$F$68,MATCH(E694,'Taxonomy Rules'!$C$42:$C$68,0)),""))</x:f>
      </x:c>
      <x:c r="U694" s="9" t="str">
        <x:f>IF(C694="","",IFERROR(INDEX('Taxonomy'!$G$9:$G$108,MATCH(D694,'Taxonomy'!$C$9:$C$108,0)),""))</x:f>
      </x:c>
    </x:row>
    <x:row r="695" ht="44" customHeight="1">
      <x:c r="A695" s="1"/>
      <x:c r="B695" s="1"/>
      <x:c r="C695" s="8"/>
      <x:c r="D695" s="8"/>
      <x:c r="E695" s="8"/>
      <x:c r="F695" s="8"/>
      <x:c r="G695" s="8"/>
      <x:c r="H695" s="8"/>
      <x:c r="I695" s="8"/>
      <x:c r="J695" s="8"/>
      <x:c r="K695" s="8"/>
      <x:c r="L695" s="8"/>
      <x:c r="M695" s="10"/>
      <x:c r="N695" s="10"/>
      <x:c r="O695" s="8"/>
      <x:c r="P695" s="9" t="str">
        <x:f>IF(C695="","",IF(AND(G695="Applicable",H695="Fail"),"Fail",IF(R695&lt;&gt;"Valid","Pending",IF(OR(I695="",K695="",L695="",K695=L695,NOT(ISNUMBER(M695)),NOT(ISNUMBER(N695)),M695&gt;Settings!$F$8,N695&lt;Settings!$F$8,N695&lt;M695),"Pending",IF(AND(G695="Applicable",H695="Pass"),"Pass",IF(AND(G695="N/A",H695="N/A",J695&lt;&gt;"",OR(E695="CEM-FUELS",E695="CEM-CCS",AND(E695="CEM-PLAN",IFERROR(INDEX('Taxonomy'!$M$9:$M$108,MATCH(D695,'Taxonomy'!$C$9:$C$108,0)),"")&lt;&gt;"Amber"),E695="BLD-TIMBER",AND(U695="Building equipment",OR(E695="BLD-WATER",E695="BLD-WASTE",E695="BLD-LAND")),AND(U695="Building renovation",E695="BLD-LAND"))),"N/A","Pending"))))))</x:f>
      </x:c>
      <x:c r="Q695" s="3" t="str">
        <x:f>IF(C695="","",IF(AND(R695="Valid",OR(P695="Pass",P695="N/A")),"Complete","Unresolved"))</x:f>
      </x:c>
      <x:c r="R695" s="9" t="str">
        <x:f>IF(C695="","",IF(OR(COUNTIF($C$9:$C$2008,C695)&lt;&gt;1,COUNTIFS($D$9:$D$2008,D695,$E$9:$E$2008,E695)&lt;&gt;1),"Duplicate test",IF(COUNTIF('Taxonomy'!$C$9:$C$108,D695)&lt;&gt;1,"Assessment key",IF(OR(COUNTIF('Taxonomy Rules'!$C$42:$C$68,E695)&lt;&gt;1,F695&lt;&gt;IFERROR(INDEX('Taxonomy Rules'!$D$42:$D$68,MATCH(E695,'Taxonomy Rules'!$C$42:$C$68,0)),""),NOT(OR(IFERROR(INDEX('Taxonomy Rules'!$G$42:$G$68,MATCH(E695,'Taxonomy Rules'!$C$42:$C$68,0)),"")="All supported routes",IFERROR(INDEX('Taxonomy Rules'!$G$42:$G$68,MATCH(E695,'Taxonomy Rules'!$C$42:$C$68,0)),"")=U695,AND(IFERROR(INDEX('Taxonomy Rules'!$G$42:$G$68,MATCH(E695,'Taxonomy Rules'!$C$42:$C$68,0)),"")="Building routes",OR(U695="Building renovation",U695="New building",U695="Building equipment"))))),"Unexpected test","Valid"))))</x:f>
      </x:c>
      <x:c r="S695" s="9" t="str">
        <x:f>IF(C695="","",IFERROR(INDEX('Taxonomy Rules'!$E$42:$E$68,MATCH(E695,'Taxonomy Rules'!$C$42:$C$68,0)),""))</x:f>
      </x:c>
      <x:c r="T695" s="9" t="str">
        <x:f>IF(C695="","",IFERROR(INDEX('Taxonomy Rules'!$F$42:$F$68,MATCH(E695,'Taxonomy Rules'!$C$42:$C$68,0)),""))</x:f>
      </x:c>
      <x:c r="U695" s="9" t="str">
        <x:f>IF(C695="","",IFERROR(INDEX('Taxonomy'!$G$9:$G$108,MATCH(D695,'Taxonomy'!$C$9:$C$108,0)),""))</x:f>
      </x:c>
    </x:row>
    <x:row r="696" ht="44" customHeight="1">
      <x:c r="A696" s="1"/>
      <x:c r="B696" s="1"/>
      <x:c r="C696" s="8"/>
      <x:c r="D696" s="8"/>
      <x:c r="E696" s="8"/>
      <x:c r="F696" s="8"/>
      <x:c r="G696" s="8"/>
      <x:c r="H696" s="8"/>
      <x:c r="I696" s="8"/>
      <x:c r="J696" s="8"/>
      <x:c r="K696" s="8"/>
      <x:c r="L696" s="8"/>
      <x:c r="M696" s="10"/>
      <x:c r="N696" s="10"/>
      <x:c r="O696" s="8"/>
      <x:c r="P696" s="9" t="str">
        <x:f>IF(C696="","",IF(AND(G696="Applicable",H696="Fail"),"Fail",IF(R696&lt;&gt;"Valid","Pending",IF(OR(I696="",K696="",L696="",K696=L696,NOT(ISNUMBER(M696)),NOT(ISNUMBER(N696)),M696&gt;Settings!$F$8,N696&lt;Settings!$F$8,N696&lt;M696),"Pending",IF(AND(G696="Applicable",H696="Pass"),"Pass",IF(AND(G696="N/A",H696="N/A",J696&lt;&gt;"",OR(E696="CEM-FUELS",E696="CEM-CCS",AND(E696="CEM-PLAN",IFERROR(INDEX('Taxonomy'!$M$9:$M$108,MATCH(D696,'Taxonomy'!$C$9:$C$108,0)),"")&lt;&gt;"Amber"),E696="BLD-TIMBER",AND(U696="Building equipment",OR(E696="BLD-WATER",E696="BLD-WASTE",E696="BLD-LAND")),AND(U696="Building renovation",E696="BLD-LAND"))),"N/A","Pending"))))))</x:f>
      </x:c>
      <x:c r="Q696" s="3" t="str">
        <x:f>IF(C696="","",IF(AND(R696="Valid",OR(P696="Pass",P696="N/A")),"Complete","Unresolved"))</x:f>
      </x:c>
      <x:c r="R696" s="9" t="str">
        <x:f>IF(C696="","",IF(OR(COUNTIF($C$9:$C$2008,C696)&lt;&gt;1,COUNTIFS($D$9:$D$2008,D696,$E$9:$E$2008,E696)&lt;&gt;1),"Duplicate test",IF(COUNTIF('Taxonomy'!$C$9:$C$108,D696)&lt;&gt;1,"Assessment key",IF(OR(COUNTIF('Taxonomy Rules'!$C$42:$C$68,E696)&lt;&gt;1,F696&lt;&gt;IFERROR(INDEX('Taxonomy Rules'!$D$42:$D$68,MATCH(E696,'Taxonomy Rules'!$C$42:$C$68,0)),""),NOT(OR(IFERROR(INDEX('Taxonomy Rules'!$G$42:$G$68,MATCH(E696,'Taxonomy Rules'!$C$42:$C$68,0)),"")="All supported routes",IFERROR(INDEX('Taxonomy Rules'!$G$42:$G$68,MATCH(E696,'Taxonomy Rules'!$C$42:$C$68,0)),"")=U696,AND(IFERROR(INDEX('Taxonomy Rules'!$G$42:$G$68,MATCH(E696,'Taxonomy Rules'!$C$42:$C$68,0)),"")="Building routes",OR(U696="Building renovation",U696="New building",U696="Building equipment"))))),"Unexpected test","Valid"))))</x:f>
      </x:c>
      <x:c r="S696" s="9" t="str">
        <x:f>IF(C696="","",IFERROR(INDEX('Taxonomy Rules'!$E$42:$E$68,MATCH(E696,'Taxonomy Rules'!$C$42:$C$68,0)),""))</x:f>
      </x:c>
      <x:c r="T696" s="9" t="str">
        <x:f>IF(C696="","",IFERROR(INDEX('Taxonomy Rules'!$F$42:$F$68,MATCH(E696,'Taxonomy Rules'!$C$42:$C$68,0)),""))</x:f>
      </x:c>
      <x:c r="U696" s="9" t="str">
        <x:f>IF(C696="","",IFERROR(INDEX('Taxonomy'!$G$9:$G$108,MATCH(D696,'Taxonomy'!$C$9:$C$108,0)),""))</x:f>
      </x:c>
    </x:row>
    <x:row r="697" ht="44" customHeight="1">
      <x:c r="A697" s="1"/>
      <x:c r="B697" s="1"/>
      <x:c r="C697" s="8"/>
      <x:c r="D697" s="8"/>
      <x:c r="E697" s="8"/>
      <x:c r="F697" s="8"/>
      <x:c r="G697" s="8"/>
      <x:c r="H697" s="8"/>
      <x:c r="I697" s="8"/>
      <x:c r="J697" s="8"/>
      <x:c r="K697" s="8"/>
      <x:c r="L697" s="8"/>
      <x:c r="M697" s="10"/>
      <x:c r="N697" s="10"/>
      <x:c r="O697" s="8"/>
      <x:c r="P697" s="9" t="str">
        <x:f>IF(C697="","",IF(AND(G697="Applicable",H697="Fail"),"Fail",IF(R697&lt;&gt;"Valid","Pending",IF(OR(I697="",K697="",L697="",K697=L697,NOT(ISNUMBER(M697)),NOT(ISNUMBER(N697)),M697&gt;Settings!$F$8,N697&lt;Settings!$F$8,N697&lt;M697),"Pending",IF(AND(G697="Applicable",H697="Pass"),"Pass",IF(AND(G697="N/A",H697="N/A",J697&lt;&gt;"",OR(E697="CEM-FUELS",E697="CEM-CCS",AND(E697="CEM-PLAN",IFERROR(INDEX('Taxonomy'!$M$9:$M$108,MATCH(D697,'Taxonomy'!$C$9:$C$108,0)),"")&lt;&gt;"Amber"),E697="BLD-TIMBER",AND(U697="Building equipment",OR(E697="BLD-WATER",E697="BLD-WASTE",E697="BLD-LAND")),AND(U697="Building renovation",E697="BLD-LAND"))),"N/A","Pending"))))))</x:f>
      </x:c>
      <x:c r="Q697" s="3" t="str">
        <x:f>IF(C697="","",IF(AND(R697="Valid",OR(P697="Pass",P697="N/A")),"Complete","Unresolved"))</x:f>
      </x:c>
      <x:c r="R697" s="9" t="str">
        <x:f>IF(C697="","",IF(OR(COUNTIF($C$9:$C$2008,C697)&lt;&gt;1,COUNTIFS($D$9:$D$2008,D697,$E$9:$E$2008,E697)&lt;&gt;1),"Duplicate test",IF(COUNTIF('Taxonomy'!$C$9:$C$108,D697)&lt;&gt;1,"Assessment key",IF(OR(COUNTIF('Taxonomy Rules'!$C$42:$C$68,E697)&lt;&gt;1,F697&lt;&gt;IFERROR(INDEX('Taxonomy Rules'!$D$42:$D$68,MATCH(E697,'Taxonomy Rules'!$C$42:$C$68,0)),""),NOT(OR(IFERROR(INDEX('Taxonomy Rules'!$G$42:$G$68,MATCH(E697,'Taxonomy Rules'!$C$42:$C$68,0)),"")="All supported routes",IFERROR(INDEX('Taxonomy Rules'!$G$42:$G$68,MATCH(E697,'Taxonomy Rules'!$C$42:$C$68,0)),"")=U697,AND(IFERROR(INDEX('Taxonomy Rules'!$G$42:$G$68,MATCH(E697,'Taxonomy Rules'!$C$42:$C$68,0)),"")="Building routes",OR(U697="Building renovation",U697="New building",U697="Building equipment"))))),"Unexpected test","Valid"))))</x:f>
      </x:c>
      <x:c r="S697" s="9" t="str">
        <x:f>IF(C697="","",IFERROR(INDEX('Taxonomy Rules'!$E$42:$E$68,MATCH(E697,'Taxonomy Rules'!$C$42:$C$68,0)),""))</x:f>
      </x:c>
      <x:c r="T697" s="9" t="str">
        <x:f>IF(C697="","",IFERROR(INDEX('Taxonomy Rules'!$F$42:$F$68,MATCH(E697,'Taxonomy Rules'!$C$42:$C$68,0)),""))</x:f>
      </x:c>
      <x:c r="U697" s="9" t="str">
        <x:f>IF(C697="","",IFERROR(INDEX('Taxonomy'!$G$9:$G$108,MATCH(D697,'Taxonomy'!$C$9:$C$108,0)),""))</x:f>
      </x:c>
    </x:row>
    <x:row r="698" ht="44" customHeight="1">
      <x:c r="A698" s="1"/>
      <x:c r="B698" s="1"/>
      <x:c r="C698" s="8"/>
      <x:c r="D698" s="8"/>
      <x:c r="E698" s="8"/>
      <x:c r="F698" s="8"/>
      <x:c r="G698" s="8"/>
      <x:c r="H698" s="8"/>
      <x:c r="I698" s="8"/>
      <x:c r="J698" s="8"/>
      <x:c r="K698" s="8"/>
      <x:c r="L698" s="8"/>
      <x:c r="M698" s="10"/>
      <x:c r="N698" s="10"/>
      <x:c r="O698" s="8"/>
      <x:c r="P698" s="9" t="str">
        <x:f>IF(C698="","",IF(AND(G698="Applicable",H698="Fail"),"Fail",IF(R698&lt;&gt;"Valid","Pending",IF(OR(I698="",K698="",L698="",K698=L698,NOT(ISNUMBER(M698)),NOT(ISNUMBER(N698)),M698&gt;Settings!$F$8,N698&lt;Settings!$F$8,N698&lt;M698),"Pending",IF(AND(G698="Applicable",H698="Pass"),"Pass",IF(AND(G698="N/A",H698="N/A",J698&lt;&gt;"",OR(E698="CEM-FUELS",E698="CEM-CCS",AND(E698="CEM-PLAN",IFERROR(INDEX('Taxonomy'!$M$9:$M$108,MATCH(D698,'Taxonomy'!$C$9:$C$108,0)),"")&lt;&gt;"Amber"),E698="BLD-TIMBER",AND(U698="Building equipment",OR(E698="BLD-WATER",E698="BLD-WASTE",E698="BLD-LAND")),AND(U698="Building renovation",E698="BLD-LAND"))),"N/A","Pending"))))))</x:f>
      </x:c>
      <x:c r="Q698" s="3" t="str">
        <x:f>IF(C698="","",IF(AND(R698="Valid",OR(P698="Pass",P698="N/A")),"Complete","Unresolved"))</x:f>
      </x:c>
      <x:c r="R698" s="9" t="str">
        <x:f>IF(C698="","",IF(OR(COUNTIF($C$9:$C$2008,C698)&lt;&gt;1,COUNTIFS($D$9:$D$2008,D698,$E$9:$E$2008,E698)&lt;&gt;1),"Duplicate test",IF(COUNTIF('Taxonomy'!$C$9:$C$108,D698)&lt;&gt;1,"Assessment key",IF(OR(COUNTIF('Taxonomy Rules'!$C$42:$C$68,E698)&lt;&gt;1,F698&lt;&gt;IFERROR(INDEX('Taxonomy Rules'!$D$42:$D$68,MATCH(E698,'Taxonomy Rules'!$C$42:$C$68,0)),""),NOT(OR(IFERROR(INDEX('Taxonomy Rules'!$G$42:$G$68,MATCH(E698,'Taxonomy Rules'!$C$42:$C$68,0)),"")="All supported routes",IFERROR(INDEX('Taxonomy Rules'!$G$42:$G$68,MATCH(E698,'Taxonomy Rules'!$C$42:$C$68,0)),"")=U698,AND(IFERROR(INDEX('Taxonomy Rules'!$G$42:$G$68,MATCH(E698,'Taxonomy Rules'!$C$42:$C$68,0)),"")="Building routes",OR(U698="Building renovation",U698="New building",U698="Building equipment"))))),"Unexpected test","Valid"))))</x:f>
      </x:c>
      <x:c r="S698" s="9" t="str">
        <x:f>IF(C698="","",IFERROR(INDEX('Taxonomy Rules'!$E$42:$E$68,MATCH(E698,'Taxonomy Rules'!$C$42:$C$68,0)),""))</x:f>
      </x:c>
      <x:c r="T698" s="9" t="str">
        <x:f>IF(C698="","",IFERROR(INDEX('Taxonomy Rules'!$F$42:$F$68,MATCH(E698,'Taxonomy Rules'!$C$42:$C$68,0)),""))</x:f>
      </x:c>
      <x:c r="U698" s="9" t="str">
        <x:f>IF(C698="","",IFERROR(INDEX('Taxonomy'!$G$9:$G$108,MATCH(D698,'Taxonomy'!$C$9:$C$108,0)),""))</x:f>
      </x:c>
    </x:row>
    <x:row r="699" ht="44" customHeight="1">
      <x:c r="A699" s="1"/>
      <x:c r="B699" s="1"/>
      <x:c r="C699" s="8"/>
      <x:c r="D699" s="8"/>
      <x:c r="E699" s="8"/>
      <x:c r="F699" s="8"/>
      <x:c r="G699" s="8"/>
      <x:c r="H699" s="8"/>
      <x:c r="I699" s="8"/>
      <x:c r="J699" s="8"/>
      <x:c r="K699" s="8"/>
      <x:c r="L699" s="8"/>
      <x:c r="M699" s="10"/>
      <x:c r="N699" s="10"/>
      <x:c r="O699" s="8"/>
      <x:c r="P699" s="9" t="str">
        <x:f>IF(C699="","",IF(AND(G699="Applicable",H699="Fail"),"Fail",IF(R699&lt;&gt;"Valid","Pending",IF(OR(I699="",K699="",L699="",K699=L699,NOT(ISNUMBER(M699)),NOT(ISNUMBER(N699)),M699&gt;Settings!$F$8,N699&lt;Settings!$F$8,N699&lt;M699),"Pending",IF(AND(G699="Applicable",H699="Pass"),"Pass",IF(AND(G699="N/A",H699="N/A",J699&lt;&gt;"",OR(E699="CEM-FUELS",E699="CEM-CCS",AND(E699="CEM-PLAN",IFERROR(INDEX('Taxonomy'!$M$9:$M$108,MATCH(D699,'Taxonomy'!$C$9:$C$108,0)),"")&lt;&gt;"Amber"),E699="BLD-TIMBER",AND(U699="Building equipment",OR(E699="BLD-WATER",E699="BLD-WASTE",E699="BLD-LAND")),AND(U699="Building renovation",E699="BLD-LAND"))),"N/A","Pending"))))))</x:f>
      </x:c>
      <x:c r="Q699" s="3" t="str">
        <x:f>IF(C699="","",IF(AND(R699="Valid",OR(P699="Pass",P699="N/A")),"Complete","Unresolved"))</x:f>
      </x:c>
      <x:c r="R699" s="9" t="str">
        <x:f>IF(C699="","",IF(OR(COUNTIF($C$9:$C$2008,C699)&lt;&gt;1,COUNTIFS($D$9:$D$2008,D699,$E$9:$E$2008,E699)&lt;&gt;1),"Duplicate test",IF(COUNTIF('Taxonomy'!$C$9:$C$108,D699)&lt;&gt;1,"Assessment key",IF(OR(COUNTIF('Taxonomy Rules'!$C$42:$C$68,E699)&lt;&gt;1,F699&lt;&gt;IFERROR(INDEX('Taxonomy Rules'!$D$42:$D$68,MATCH(E699,'Taxonomy Rules'!$C$42:$C$68,0)),""),NOT(OR(IFERROR(INDEX('Taxonomy Rules'!$G$42:$G$68,MATCH(E699,'Taxonomy Rules'!$C$42:$C$68,0)),"")="All supported routes",IFERROR(INDEX('Taxonomy Rules'!$G$42:$G$68,MATCH(E699,'Taxonomy Rules'!$C$42:$C$68,0)),"")=U699,AND(IFERROR(INDEX('Taxonomy Rules'!$G$42:$G$68,MATCH(E699,'Taxonomy Rules'!$C$42:$C$68,0)),"")="Building routes",OR(U699="Building renovation",U699="New building",U699="Building equipment"))))),"Unexpected test","Valid"))))</x:f>
      </x:c>
      <x:c r="S699" s="9" t="str">
        <x:f>IF(C699="","",IFERROR(INDEX('Taxonomy Rules'!$E$42:$E$68,MATCH(E699,'Taxonomy Rules'!$C$42:$C$68,0)),""))</x:f>
      </x:c>
      <x:c r="T699" s="9" t="str">
        <x:f>IF(C699="","",IFERROR(INDEX('Taxonomy Rules'!$F$42:$F$68,MATCH(E699,'Taxonomy Rules'!$C$42:$C$68,0)),""))</x:f>
      </x:c>
      <x:c r="U699" s="9" t="str">
        <x:f>IF(C699="","",IFERROR(INDEX('Taxonomy'!$G$9:$G$108,MATCH(D699,'Taxonomy'!$C$9:$C$108,0)),""))</x:f>
      </x:c>
    </x:row>
    <x:row r="700" ht="44" customHeight="1">
      <x:c r="A700" s="1"/>
      <x:c r="B700" s="1"/>
      <x:c r="C700" s="8"/>
      <x:c r="D700" s="8"/>
      <x:c r="E700" s="8"/>
      <x:c r="F700" s="8"/>
      <x:c r="G700" s="8"/>
      <x:c r="H700" s="8"/>
      <x:c r="I700" s="8"/>
      <x:c r="J700" s="8"/>
      <x:c r="K700" s="8"/>
      <x:c r="L700" s="8"/>
      <x:c r="M700" s="10"/>
      <x:c r="N700" s="10"/>
      <x:c r="O700" s="8"/>
      <x:c r="P700" s="9" t="str">
        <x:f>IF(C700="","",IF(AND(G700="Applicable",H700="Fail"),"Fail",IF(R700&lt;&gt;"Valid","Pending",IF(OR(I700="",K700="",L700="",K700=L700,NOT(ISNUMBER(M700)),NOT(ISNUMBER(N700)),M700&gt;Settings!$F$8,N700&lt;Settings!$F$8,N700&lt;M700),"Pending",IF(AND(G700="Applicable",H700="Pass"),"Pass",IF(AND(G700="N/A",H700="N/A",J700&lt;&gt;"",OR(E700="CEM-FUELS",E700="CEM-CCS",AND(E700="CEM-PLAN",IFERROR(INDEX('Taxonomy'!$M$9:$M$108,MATCH(D700,'Taxonomy'!$C$9:$C$108,0)),"")&lt;&gt;"Amber"),E700="BLD-TIMBER",AND(U700="Building equipment",OR(E700="BLD-WATER",E700="BLD-WASTE",E700="BLD-LAND")),AND(U700="Building renovation",E700="BLD-LAND"))),"N/A","Pending"))))))</x:f>
      </x:c>
      <x:c r="Q700" s="3" t="str">
        <x:f>IF(C700="","",IF(AND(R700="Valid",OR(P700="Pass",P700="N/A")),"Complete","Unresolved"))</x:f>
      </x:c>
      <x:c r="R700" s="9" t="str">
        <x:f>IF(C700="","",IF(OR(COUNTIF($C$9:$C$2008,C700)&lt;&gt;1,COUNTIFS($D$9:$D$2008,D700,$E$9:$E$2008,E700)&lt;&gt;1),"Duplicate test",IF(COUNTIF('Taxonomy'!$C$9:$C$108,D700)&lt;&gt;1,"Assessment key",IF(OR(COUNTIF('Taxonomy Rules'!$C$42:$C$68,E700)&lt;&gt;1,F700&lt;&gt;IFERROR(INDEX('Taxonomy Rules'!$D$42:$D$68,MATCH(E700,'Taxonomy Rules'!$C$42:$C$68,0)),""),NOT(OR(IFERROR(INDEX('Taxonomy Rules'!$G$42:$G$68,MATCH(E700,'Taxonomy Rules'!$C$42:$C$68,0)),"")="All supported routes",IFERROR(INDEX('Taxonomy Rules'!$G$42:$G$68,MATCH(E700,'Taxonomy Rules'!$C$42:$C$68,0)),"")=U700,AND(IFERROR(INDEX('Taxonomy Rules'!$G$42:$G$68,MATCH(E700,'Taxonomy Rules'!$C$42:$C$68,0)),"")="Building routes",OR(U700="Building renovation",U700="New building",U700="Building equipment"))))),"Unexpected test","Valid"))))</x:f>
      </x:c>
      <x:c r="S700" s="9" t="str">
        <x:f>IF(C700="","",IFERROR(INDEX('Taxonomy Rules'!$E$42:$E$68,MATCH(E700,'Taxonomy Rules'!$C$42:$C$68,0)),""))</x:f>
      </x:c>
      <x:c r="T700" s="9" t="str">
        <x:f>IF(C700="","",IFERROR(INDEX('Taxonomy Rules'!$F$42:$F$68,MATCH(E700,'Taxonomy Rules'!$C$42:$C$68,0)),""))</x:f>
      </x:c>
      <x:c r="U700" s="9" t="str">
        <x:f>IF(C700="","",IFERROR(INDEX('Taxonomy'!$G$9:$G$108,MATCH(D700,'Taxonomy'!$C$9:$C$108,0)),""))</x:f>
      </x:c>
    </x:row>
    <x:row r="701" ht="44" customHeight="1">
      <x:c r="A701" s="1"/>
      <x:c r="B701" s="1"/>
      <x:c r="C701" s="8"/>
      <x:c r="D701" s="8"/>
      <x:c r="E701" s="8"/>
      <x:c r="F701" s="8"/>
      <x:c r="G701" s="8"/>
      <x:c r="H701" s="8"/>
      <x:c r="I701" s="8"/>
      <x:c r="J701" s="8"/>
      <x:c r="K701" s="8"/>
      <x:c r="L701" s="8"/>
      <x:c r="M701" s="10"/>
      <x:c r="N701" s="10"/>
      <x:c r="O701" s="8"/>
      <x:c r="P701" s="9" t="str">
        <x:f>IF(C701="","",IF(AND(G701="Applicable",H701="Fail"),"Fail",IF(R701&lt;&gt;"Valid","Pending",IF(OR(I701="",K701="",L701="",K701=L701,NOT(ISNUMBER(M701)),NOT(ISNUMBER(N701)),M701&gt;Settings!$F$8,N701&lt;Settings!$F$8,N701&lt;M701),"Pending",IF(AND(G701="Applicable",H701="Pass"),"Pass",IF(AND(G701="N/A",H701="N/A",J701&lt;&gt;"",OR(E701="CEM-FUELS",E701="CEM-CCS",AND(E701="CEM-PLAN",IFERROR(INDEX('Taxonomy'!$M$9:$M$108,MATCH(D701,'Taxonomy'!$C$9:$C$108,0)),"")&lt;&gt;"Amber"),E701="BLD-TIMBER",AND(U701="Building equipment",OR(E701="BLD-WATER",E701="BLD-WASTE",E701="BLD-LAND")),AND(U701="Building renovation",E701="BLD-LAND"))),"N/A","Pending"))))))</x:f>
      </x:c>
      <x:c r="Q701" s="3" t="str">
        <x:f>IF(C701="","",IF(AND(R701="Valid",OR(P701="Pass",P701="N/A")),"Complete","Unresolved"))</x:f>
      </x:c>
      <x:c r="R701" s="9" t="str">
        <x:f>IF(C701="","",IF(OR(COUNTIF($C$9:$C$2008,C701)&lt;&gt;1,COUNTIFS($D$9:$D$2008,D701,$E$9:$E$2008,E701)&lt;&gt;1),"Duplicate test",IF(COUNTIF('Taxonomy'!$C$9:$C$108,D701)&lt;&gt;1,"Assessment key",IF(OR(COUNTIF('Taxonomy Rules'!$C$42:$C$68,E701)&lt;&gt;1,F701&lt;&gt;IFERROR(INDEX('Taxonomy Rules'!$D$42:$D$68,MATCH(E701,'Taxonomy Rules'!$C$42:$C$68,0)),""),NOT(OR(IFERROR(INDEX('Taxonomy Rules'!$G$42:$G$68,MATCH(E701,'Taxonomy Rules'!$C$42:$C$68,0)),"")="All supported routes",IFERROR(INDEX('Taxonomy Rules'!$G$42:$G$68,MATCH(E701,'Taxonomy Rules'!$C$42:$C$68,0)),"")=U701,AND(IFERROR(INDEX('Taxonomy Rules'!$G$42:$G$68,MATCH(E701,'Taxonomy Rules'!$C$42:$C$68,0)),"")="Building routes",OR(U701="Building renovation",U701="New building",U701="Building equipment"))))),"Unexpected test","Valid"))))</x:f>
      </x:c>
      <x:c r="S701" s="9" t="str">
        <x:f>IF(C701="","",IFERROR(INDEX('Taxonomy Rules'!$E$42:$E$68,MATCH(E701,'Taxonomy Rules'!$C$42:$C$68,0)),""))</x:f>
      </x:c>
      <x:c r="T701" s="9" t="str">
        <x:f>IF(C701="","",IFERROR(INDEX('Taxonomy Rules'!$F$42:$F$68,MATCH(E701,'Taxonomy Rules'!$C$42:$C$68,0)),""))</x:f>
      </x:c>
      <x:c r="U701" s="9" t="str">
        <x:f>IF(C701="","",IFERROR(INDEX('Taxonomy'!$G$9:$G$108,MATCH(D701,'Taxonomy'!$C$9:$C$108,0)),""))</x:f>
      </x:c>
    </x:row>
    <x:row r="702" ht="44" customHeight="1">
      <x:c r="A702" s="1"/>
      <x:c r="B702" s="1"/>
      <x:c r="C702" s="8"/>
      <x:c r="D702" s="8"/>
      <x:c r="E702" s="8"/>
      <x:c r="F702" s="8"/>
      <x:c r="G702" s="8"/>
      <x:c r="H702" s="8"/>
      <x:c r="I702" s="8"/>
      <x:c r="J702" s="8"/>
      <x:c r="K702" s="8"/>
      <x:c r="L702" s="8"/>
      <x:c r="M702" s="10"/>
      <x:c r="N702" s="10"/>
      <x:c r="O702" s="8"/>
      <x:c r="P702" s="9" t="str">
        <x:f>IF(C702="","",IF(AND(G702="Applicable",H702="Fail"),"Fail",IF(R702&lt;&gt;"Valid","Pending",IF(OR(I702="",K702="",L702="",K702=L702,NOT(ISNUMBER(M702)),NOT(ISNUMBER(N702)),M702&gt;Settings!$F$8,N702&lt;Settings!$F$8,N702&lt;M702),"Pending",IF(AND(G702="Applicable",H702="Pass"),"Pass",IF(AND(G702="N/A",H702="N/A",J702&lt;&gt;"",OR(E702="CEM-FUELS",E702="CEM-CCS",AND(E702="CEM-PLAN",IFERROR(INDEX('Taxonomy'!$M$9:$M$108,MATCH(D702,'Taxonomy'!$C$9:$C$108,0)),"")&lt;&gt;"Amber"),E702="BLD-TIMBER",AND(U702="Building equipment",OR(E702="BLD-WATER",E702="BLD-WASTE",E702="BLD-LAND")),AND(U702="Building renovation",E702="BLD-LAND"))),"N/A","Pending"))))))</x:f>
      </x:c>
      <x:c r="Q702" s="3" t="str">
        <x:f>IF(C702="","",IF(AND(R702="Valid",OR(P702="Pass",P702="N/A")),"Complete","Unresolved"))</x:f>
      </x:c>
      <x:c r="R702" s="9" t="str">
        <x:f>IF(C702="","",IF(OR(COUNTIF($C$9:$C$2008,C702)&lt;&gt;1,COUNTIFS($D$9:$D$2008,D702,$E$9:$E$2008,E702)&lt;&gt;1),"Duplicate test",IF(COUNTIF('Taxonomy'!$C$9:$C$108,D702)&lt;&gt;1,"Assessment key",IF(OR(COUNTIF('Taxonomy Rules'!$C$42:$C$68,E702)&lt;&gt;1,F702&lt;&gt;IFERROR(INDEX('Taxonomy Rules'!$D$42:$D$68,MATCH(E702,'Taxonomy Rules'!$C$42:$C$68,0)),""),NOT(OR(IFERROR(INDEX('Taxonomy Rules'!$G$42:$G$68,MATCH(E702,'Taxonomy Rules'!$C$42:$C$68,0)),"")="All supported routes",IFERROR(INDEX('Taxonomy Rules'!$G$42:$G$68,MATCH(E702,'Taxonomy Rules'!$C$42:$C$68,0)),"")=U702,AND(IFERROR(INDEX('Taxonomy Rules'!$G$42:$G$68,MATCH(E702,'Taxonomy Rules'!$C$42:$C$68,0)),"")="Building routes",OR(U702="Building renovation",U702="New building",U702="Building equipment"))))),"Unexpected test","Valid"))))</x:f>
      </x:c>
      <x:c r="S702" s="9" t="str">
        <x:f>IF(C702="","",IFERROR(INDEX('Taxonomy Rules'!$E$42:$E$68,MATCH(E702,'Taxonomy Rules'!$C$42:$C$68,0)),""))</x:f>
      </x:c>
      <x:c r="T702" s="9" t="str">
        <x:f>IF(C702="","",IFERROR(INDEX('Taxonomy Rules'!$F$42:$F$68,MATCH(E702,'Taxonomy Rules'!$C$42:$C$68,0)),""))</x:f>
      </x:c>
      <x:c r="U702" s="9" t="str">
        <x:f>IF(C702="","",IFERROR(INDEX('Taxonomy'!$G$9:$G$108,MATCH(D702,'Taxonomy'!$C$9:$C$108,0)),""))</x:f>
      </x:c>
    </x:row>
    <x:row r="703" ht="44" customHeight="1">
      <x:c r="A703" s="1"/>
      <x:c r="B703" s="1"/>
      <x:c r="C703" s="8"/>
      <x:c r="D703" s="8"/>
      <x:c r="E703" s="8"/>
      <x:c r="F703" s="8"/>
      <x:c r="G703" s="8"/>
      <x:c r="H703" s="8"/>
      <x:c r="I703" s="8"/>
      <x:c r="J703" s="8"/>
      <x:c r="K703" s="8"/>
      <x:c r="L703" s="8"/>
      <x:c r="M703" s="10"/>
      <x:c r="N703" s="10"/>
      <x:c r="O703" s="8"/>
      <x:c r="P703" s="9" t="str">
        <x:f>IF(C703="","",IF(AND(G703="Applicable",H703="Fail"),"Fail",IF(R703&lt;&gt;"Valid","Pending",IF(OR(I703="",K703="",L703="",K703=L703,NOT(ISNUMBER(M703)),NOT(ISNUMBER(N703)),M703&gt;Settings!$F$8,N703&lt;Settings!$F$8,N703&lt;M703),"Pending",IF(AND(G703="Applicable",H703="Pass"),"Pass",IF(AND(G703="N/A",H703="N/A",J703&lt;&gt;"",OR(E703="CEM-FUELS",E703="CEM-CCS",AND(E703="CEM-PLAN",IFERROR(INDEX('Taxonomy'!$M$9:$M$108,MATCH(D703,'Taxonomy'!$C$9:$C$108,0)),"")&lt;&gt;"Amber"),E703="BLD-TIMBER",AND(U703="Building equipment",OR(E703="BLD-WATER",E703="BLD-WASTE",E703="BLD-LAND")),AND(U703="Building renovation",E703="BLD-LAND"))),"N/A","Pending"))))))</x:f>
      </x:c>
      <x:c r="Q703" s="3" t="str">
        <x:f>IF(C703="","",IF(AND(R703="Valid",OR(P703="Pass",P703="N/A")),"Complete","Unresolved"))</x:f>
      </x:c>
      <x:c r="R703" s="9" t="str">
        <x:f>IF(C703="","",IF(OR(COUNTIF($C$9:$C$2008,C703)&lt;&gt;1,COUNTIFS($D$9:$D$2008,D703,$E$9:$E$2008,E703)&lt;&gt;1),"Duplicate test",IF(COUNTIF('Taxonomy'!$C$9:$C$108,D703)&lt;&gt;1,"Assessment key",IF(OR(COUNTIF('Taxonomy Rules'!$C$42:$C$68,E703)&lt;&gt;1,F703&lt;&gt;IFERROR(INDEX('Taxonomy Rules'!$D$42:$D$68,MATCH(E703,'Taxonomy Rules'!$C$42:$C$68,0)),""),NOT(OR(IFERROR(INDEX('Taxonomy Rules'!$G$42:$G$68,MATCH(E703,'Taxonomy Rules'!$C$42:$C$68,0)),"")="All supported routes",IFERROR(INDEX('Taxonomy Rules'!$G$42:$G$68,MATCH(E703,'Taxonomy Rules'!$C$42:$C$68,0)),"")=U703,AND(IFERROR(INDEX('Taxonomy Rules'!$G$42:$G$68,MATCH(E703,'Taxonomy Rules'!$C$42:$C$68,0)),"")="Building routes",OR(U703="Building renovation",U703="New building",U703="Building equipment"))))),"Unexpected test","Valid"))))</x:f>
      </x:c>
      <x:c r="S703" s="9" t="str">
        <x:f>IF(C703="","",IFERROR(INDEX('Taxonomy Rules'!$E$42:$E$68,MATCH(E703,'Taxonomy Rules'!$C$42:$C$68,0)),""))</x:f>
      </x:c>
      <x:c r="T703" s="9" t="str">
        <x:f>IF(C703="","",IFERROR(INDEX('Taxonomy Rules'!$F$42:$F$68,MATCH(E703,'Taxonomy Rules'!$C$42:$C$68,0)),""))</x:f>
      </x:c>
      <x:c r="U703" s="9" t="str">
        <x:f>IF(C703="","",IFERROR(INDEX('Taxonomy'!$G$9:$G$108,MATCH(D703,'Taxonomy'!$C$9:$C$108,0)),""))</x:f>
      </x:c>
    </x:row>
    <x:row r="704" ht="44" customHeight="1">
      <x:c r="A704" s="1"/>
      <x:c r="B704" s="1"/>
      <x:c r="C704" s="8"/>
      <x:c r="D704" s="8"/>
      <x:c r="E704" s="8"/>
      <x:c r="F704" s="8"/>
      <x:c r="G704" s="8"/>
      <x:c r="H704" s="8"/>
      <x:c r="I704" s="8"/>
      <x:c r="J704" s="8"/>
      <x:c r="K704" s="8"/>
      <x:c r="L704" s="8"/>
      <x:c r="M704" s="10"/>
      <x:c r="N704" s="10"/>
      <x:c r="O704" s="8"/>
      <x:c r="P704" s="9" t="str">
        <x:f>IF(C704="","",IF(AND(G704="Applicable",H704="Fail"),"Fail",IF(R704&lt;&gt;"Valid","Pending",IF(OR(I704="",K704="",L704="",K704=L704,NOT(ISNUMBER(M704)),NOT(ISNUMBER(N704)),M704&gt;Settings!$F$8,N704&lt;Settings!$F$8,N704&lt;M704),"Pending",IF(AND(G704="Applicable",H704="Pass"),"Pass",IF(AND(G704="N/A",H704="N/A",J704&lt;&gt;"",OR(E704="CEM-FUELS",E704="CEM-CCS",AND(E704="CEM-PLAN",IFERROR(INDEX('Taxonomy'!$M$9:$M$108,MATCH(D704,'Taxonomy'!$C$9:$C$108,0)),"")&lt;&gt;"Amber"),E704="BLD-TIMBER",AND(U704="Building equipment",OR(E704="BLD-WATER",E704="BLD-WASTE",E704="BLD-LAND")),AND(U704="Building renovation",E704="BLD-LAND"))),"N/A","Pending"))))))</x:f>
      </x:c>
      <x:c r="Q704" s="3" t="str">
        <x:f>IF(C704="","",IF(AND(R704="Valid",OR(P704="Pass",P704="N/A")),"Complete","Unresolved"))</x:f>
      </x:c>
      <x:c r="R704" s="9" t="str">
        <x:f>IF(C704="","",IF(OR(COUNTIF($C$9:$C$2008,C704)&lt;&gt;1,COUNTIFS($D$9:$D$2008,D704,$E$9:$E$2008,E704)&lt;&gt;1),"Duplicate test",IF(COUNTIF('Taxonomy'!$C$9:$C$108,D704)&lt;&gt;1,"Assessment key",IF(OR(COUNTIF('Taxonomy Rules'!$C$42:$C$68,E704)&lt;&gt;1,F704&lt;&gt;IFERROR(INDEX('Taxonomy Rules'!$D$42:$D$68,MATCH(E704,'Taxonomy Rules'!$C$42:$C$68,0)),""),NOT(OR(IFERROR(INDEX('Taxonomy Rules'!$G$42:$G$68,MATCH(E704,'Taxonomy Rules'!$C$42:$C$68,0)),"")="All supported routes",IFERROR(INDEX('Taxonomy Rules'!$G$42:$G$68,MATCH(E704,'Taxonomy Rules'!$C$42:$C$68,0)),"")=U704,AND(IFERROR(INDEX('Taxonomy Rules'!$G$42:$G$68,MATCH(E704,'Taxonomy Rules'!$C$42:$C$68,0)),"")="Building routes",OR(U704="Building renovation",U704="New building",U704="Building equipment"))))),"Unexpected test","Valid"))))</x:f>
      </x:c>
      <x:c r="S704" s="9" t="str">
        <x:f>IF(C704="","",IFERROR(INDEX('Taxonomy Rules'!$E$42:$E$68,MATCH(E704,'Taxonomy Rules'!$C$42:$C$68,0)),""))</x:f>
      </x:c>
      <x:c r="T704" s="9" t="str">
        <x:f>IF(C704="","",IFERROR(INDEX('Taxonomy Rules'!$F$42:$F$68,MATCH(E704,'Taxonomy Rules'!$C$42:$C$68,0)),""))</x:f>
      </x:c>
      <x:c r="U704" s="9" t="str">
        <x:f>IF(C704="","",IFERROR(INDEX('Taxonomy'!$G$9:$G$108,MATCH(D704,'Taxonomy'!$C$9:$C$108,0)),""))</x:f>
      </x:c>
    </x:row>
    <x:row r="705" ht="44" customHeight="1">
      <x:c r="A705" s="1"/>
      <x:c r="B705" s="1"/>
      <x:c r="C705" s="8"/>
      <x:c r="D705" s="8"/>
      <x:c r="E705" s="8"/>
      <x:c r="F705" s="8"/>
      <x:c r="G705" s="8"/>
      <x:c r="H705" s="8"/>
      <x:c r="I705" s="8"/>
      <x:c r="J705" s="8"/>
      <x:c r="K705" s="8"/>
      <x:c r="L705" s="8"/>
      <x:c r="M705" s="10"/>
      <x:c r="N705" s="10"/>
      <x:c r="O705" s="8"/>
      <x:c r="P705" s="9" t="str">
        <x:f>IF(C705="","",IF(AND(G705="Applicable",H705="Fail"),"Fail",IF(R705&lt;&gt;"Valid","Pending",IF(OR(I705="",K705="",L705="",K705=L705,NOT(ISNUMBER(M705)),NOT(ISNUMBER(N705)),M705&gt;Settings!$F$8,N705&lt;Settings!$F$8,N705&lt;M705),"Pending",IF(AND(G705="Applicable",H705="Pass"),"Pass",IF(AND(G705="N/A",H705="N/A",J705&lt;&gt;"",OR(E705="CEM-FUELS",E705="CEM-CCS",AND(E705="CEM-PLAN",IFERROR(INDEX('Taxonomy'!$M$9:$M$108,MATCH(D705,'Taxonomy'!$C$9:$C$108,0)),"")&lt;&gt;"Amber"),E705="BLD-TIMBER",AND(U705="Building equipment",OR(E705="BLD-WATER",E705="BLD-WASTE",E705="BLD-LAND")),AND(U705="Building renovation",E705="BLD-LAND"))),"N/A","Pending"))))))</x:f>
      </x:c>
      <x:c r="Q705" s="3" t="str">
        <x:f>IF(C705="","",IF(AND(R705="Valid",OR(P705="Pass",P705="N/A")),"Complete","Unresolved"))</x:f>
      </x:c>
      <x:c r="R705" s="9" t="str">
        <x:f>IF(C705="","",IF(OR(COUNTIF($C$9:$C$2008,C705)&lt;&gt;1,COUNTIFS($D$9:$D$2008,D705,$E$9:$E$2008,E705)&lt;&gt;1),"Duplicate test",IF(COUNTIF('Taxonomy'!$C$9:$C$108,D705)&lt;&gt;1,"Assessment key",IF(OR(COUNTIF('Taxonomy Rules'!$C$42:$C$68,E705)&lt;&gt;1,F705&lt;&gt;IFERROR(INDEX('Taxonomy Rules'!$D$42:$D$68,MATCH(E705,'Taxonomy Rules'!$C$42:$C$68,0)),""),NOT(OR(IFERROR(INDEX('Taxonomy Rules'!$G$42:$G$68,MATCH(E705,'Taxonomy Rules'!$C$42:$C$68,0)),"")="All supported routes",IFERROR(INDEX('Taxonomy Rules'!$G$42:$G$68,MATCH(E705,'Taxonomy Rules'!$C$42:$C$68,0)),"")=U705,AND(IFERROR(INDEX('Taxonomy Rules'!$G$42:$G$68,MATCH(E705,'Taxonomy Rules'!$C$42:$C$68,0)),"")="Building routes",OR(U705="Building renovation",U705="New building",U705="Building equipment"))))),"Unexpected test","Valid"))))</x:f>
      </x:c>
      <x:c r="S705" s="9" t="str">
        <x:f>IF(C705="","",IFERROR(INDEX('Taxonomy Rules'!$E$42:$E$68,MATCH(E705,'Taxonomy Rules'!$C$42:$C$68,0)),""))</x:f>
      </x:c>
      <x:c r="T705" s="9" t="str">
        <x:f>IF(C705="","",IFERROR(INDEX('Taxonomy Rules'!$F$42:$F$68,MATCH(E705,'Taxonomy Rules'!$C$42:$C$68,0)),""))</x:f>
      </x:c>
      <x:c r="U705" s="9" t="str">
        <x:f>IF(C705="","",IFERROR(INDEX('Taxonomy'!$G$9:$G$108,MATCH(D705,'Taxonomy'!$C$9:$C$108,0)),""))</x:f>
      </x:c>
    </x:row>
    <x:row r="706" ht="44" customHeight="1">
      <x:c r="A706" s="1"/>
      <x:c r="B706" s="1"/>
      <x:c r="C706" s="8"/>
      <x:c r="D706" s="8"/>
      <x:c r="E706" s="8"/>
      <x:c r="F706" s="8"/>
      <x:c r="G706" s="8"/>
      <x:c r="H706" s="8"/>
      <x:c r="I706" s="8"/>
      <x:c r="J706" s="8"/>
      <x:c r="K706" s="8"/>
      <x:c r="L706" s="8"/>
      <x:c r="M706" s="10"/>
      <x:c r="N706" s="10"/>
      <x:c r="O706" s="8"/>
      <x:c r="P706" s="9" t="str">
        <x:f>IF(C706="","",IF(AND(G706="Applicable",H706="Fail"),"Fail",IF(R706&lt;&gt;"Valid","Pending",IF(OR(I706="",K706="",L706="",K706=L706,NOT(ISNUMBER(M706)),NOT(ISNUMBER(N706)),M706&gt;Settings!$F$8,N706&lt;Settings!$F$8,N706&lt;M706),"Pending",IF(AND(G706="Applicable",H706="Pass"),"Pass",IF(AND(G706="N/A",H706="N/A",J706&lt;&gt;"",OR(E706="CEM-FUELS",E706="CEM-CCS",AND(E706="CEM-PLAN",IFERROR(INDEX('Taxonomy'!$M$9:$M$108,MATCH(D706,'Taxonomy'!$C$9:$C$108,0)),"")&lt;&gt;"Amber"),E706="BLD-TIMBER",AND(U706="Building equipment",OR(E706="BLD-WATER",E706="BLD-WASTE",E706="BLD-LAND")),AND(U706="Building renovation",E706="BLD-LAND"))),"N/A","Pending"))))))</x:f>
      </x:c>
      <x:c r="Q706" s="3" t="str">
        <x:f>IF(C706="","",IF(AND(R706="Valid",OR(P706="Pass",P706="N/A")),"Complete","Unresolved"))</x:f>
      </x:c>
      <x:c r="R706" s="9" t="str">
        <x:f>IF(C706="","",IF(OR(COUNTIF($C$9:$C$2008,C706)&lt;&gt;1,COUNTIFS($D$9:$D$2008,D706,$E$9:$E$2008,E706)&lt;&gt;1),"Duplicate test",IF(COUNTIF('Taxonomy'!$C$9:$C$108,D706)&lt;&gt;1,"Assessment key",IF(OR(COUNTIF('Taxonomy Rules'!$C$42:$C$68,E706)&lt;&gt;1,F706&lt;&gt;IFERROR(INDEX('Taxonomy Rules'!$D$42:$D$68,MATCH(E706,'Taxonomy Rules'!$C$42:$C$68,0)),""),NOT(OR(IFERROR(INDEX('Taxonomy Rules'!$G$42:$G$68,MATCH(E706,'Taxonomy Rules'!$C$42:$C$68,0)),"")="All supported routes",IFERROR(INDEX('Taxonomy Rules'!$G$42:$G$68,MATCH(E706,'Taxonomy Rules'!$C$42:$C$68,0)),"")=U706,AND(IFERROR(INDEX('Taxonomy Rules'!$G$42:$G$68,MATCH(E706,'Taxonomy Rules'!$C$42:$C$68,0)),"")="Building routes",OR(U706="Building renovation",U706="New building",U706="Building equipment"))))),"Unexpected test","Valid"))))</x:f>
      </x:c>
      <x:c r="S706" s="9" t="str">
        <x:f>IF(C706="","",IFERROR(INDEX('Taxonomy Rules'!$E$42:$E$68,MATCH(E706,'Taxonomy Rules'!$C$42:$C$68,0)),""))</x:f>
      </x:c>
      <x:c r="T706" s="9" t="str">
        <x:f>IF(C706="","",IFERROR(INDEX('Taxonomy Rules'!$F$42:$F$68,MATCH(E706,'Taxonomy Rules'!$C$42:$C$68,0)),""))</x:f>
      </x:c>
      <x:c r="U706" s="9" t="str">
        <x:f>IF(C706="","",IFERROR(INDEX('Taxonomy'!$G$9:$G$108,MATCH(D706,'Taxonomy'!$C$9:$C$108,0)),""))</x:f>
      </x:c>
    </x:row>
    <x:row r="707" ht="44" customHeight="1">
      <x:c r="A707" s="1"/>
      <x:c r="B707" s="1"/>
      <x:c r="C707" s="8"/>
      <x:c r="D707" s="8"/>
      <x:c r="E707" s="8"/>
      <x:c r="F707" s="8"/>
      <x:c r="G707" s="8"/>
      <x:c r="H707" s="8"/>
      <x:c r="I707" s="8"/>
      <x:c r="J707" s="8"/>
      <x:c r="K707" s="8"/>
      <x:c r="L707" s="8"/>
      <x:c r="M707" s="10"/>
      <x:c r="N707" s="10"/>
      <x:c r="O707" s="8"/>
      <x:c r="P707" s="9" t="str">
        <x:f>IF(C707="","",IF(AND(G707="Applicable",H707="Fail"),"Fail",IF(R707&lt;&gt;"Valid","Pending",IF(OR(I707="",K707="",L707="",K707=L707,NOT(ISNUMBER(M707)),NOT(ISNUMBER(N707)),M707&gt;Settings!$F$8,N707&lt;Settings!$F$8,N707&lt;M707),"Pending",IF(AND(G707="Applicable",H707="Pass"),"Pass",IF(AND(G707="N/A",H707="N/A",J707&lt;&gt;"",OR(E707="CEM-FUELS",E707="CEM-CCS",AND(E707="CEM-PLAN",IFERROR(INDEX('Taxonomy'!$M$9:$M$108,MATCH(D707,'Taxonomy'!$C$9:$C$108,0)),"")&lt;&gt;"Amber"),E707="BLD-TIMBER",AND(U707="Building equipment",OR(E707="BLD-WATER",E707="BLD-WASTE",E707="BLD-LAND")),AND(U707="Building renovation",E707="BLD-LAND"))),"N/A","Pending"))))))</x:f>
      </x:c>
      <x:c r="Q707" s="3" t="str">
        <x:f>IF(C707="","",IF(AND(R707="Valid",OR(P707="Pass",P707="N/A")),"Complete","Unresolved"))</x:f>
      </x:c>
      <x:c r="R707" s="9" t="str">
        <x:f>IF(C707="","",IF(OR(COUNTIF($C$9:$C$2008,C707)&lt;&gt;1,COUNTIFS($D$9:$D$2008,D707,$E$9:$E$2008,E707)&lt;&gt;1),"Duplicate test",IF(COUNTIF('Taxonomy'!$C$9:$C$108,D707)&lt;&gt;1,"Assessment key",IF(OR(COUNTIF('Taxonomy Rules'!$C$42:$C$68,E707)&lt;&gt;1,F707&lt;&gt;IFERROR(INDEX('Taxonomy Rules'!$D$42:$D$68,MATCH(E707,'Taxonomy Rules'!$C$42:$C$68,0)),""),NOT(OR(IFERROR(INDEX('Taxonomy Rules'!$G$42:$G$68,MATCH(E707,'Taxonomy Rules'!$C$42:$C$68,0)),"")="All supported routes",IFERROR(INDEX('Taxonomy Rules'!$G$42:$G$68,MATCH(E707,'Taxonomy Rules'!$C$42:$C$68,0)),"")=U707,AND(IFERROR(INDEX('Taxonomy Rules'!$G$42:$G$68,MATCH(E707,'Taxonomy Rules'!$C$42:$C$68,0)),"")="Building routes",OR(U707="Building renovation",U707="New building",U707="Building equipment"))))),"Unexpected test","Valid"))))</x:f>
      </x:c>
      <x:c r="S707" s="9" t="str">
        <x:f>IF(C707="","",IFERROR(INDEX('Taxonomy Rules'!$E$42:$E$68,MATCH(E707,'Taxonomy Rules'!$C$42:$C$68,0)),""))</x:f>
      </x:c>
      <x:c r="T707" s="9" t="str">
        <x:f>IF(C707="","",IFERROR(INDEX('Taxonomy Rules'!$F$42:$F$68,MATCH(E707,'Taxonomy Rules'!$C$42:$C$68,0)),""))</x:f>
      </x:c>
      <x:c r="U707" s="9" t="str">
        <x:f>IF(C707="","",IFERROR(INDEX('Taxonomy'!$G$9:$G$108,MATCH(D707,'Taxonomy'!$C$9:$C$108,0)),""))</x:f>
      </x:c>
    </x:row>
    <x:row r="708" ht="44" customHeight="1">
      <x:c r="A708" s="1"/>
      <x:c r="B708" s="1"/>
      <x:c r="C708" s="8"/>
      <x:c r="D708" s="8"/>
      <x:c r="E708" s="8"/>
      <x:c r="F708" s="8"/>
      <x:c r="G708" s="8"/>
      <x:c r="H708" s="8"/>
      <x:c r="I708" s="8"/>
      <x:c r="J708" s="8"/>
      <x:c r="K708" s="8"/>
      <x:c r="L708" s="8"/>
      <x:c r="M708" s="10"/>
      <x:c r="N708" s="10"/>
      <x:c r="O708" s="8"/>
      <x:c r="P708" s="9" t="str">
        <x:f>IF(C708="","",IF(AND(G708="Applicable",H708="Fail"),"Fail",IF(R708&lt;&gt;"Valid","Pending",IF(OR(I708="",K708="",L708="",K708=L708,NOT(ISNUMBER(M708)),NOT(ISNUMBER(N708)),M708&gt;Settings!$F$8,N708&lt;Settings!$F$8,N708&lt;M708),"Pending",IF(AND(G708="Applicable",H708="Pass"),"Pass",IF(AND(G708="N/A",H708="N/A",J708&lt;&gt;"",OR(E708="CEM-FUELS",E708="CEM-CCS",AND(E708="CEM-PLAN",IFERROR(INDEX('Taxonomy'!$M$9:$M$108,MATCH(D708,'Taxonomy'!$C$9:$C$108,0)),"")&lt;&gt;"Amber"),E708="BLD-TIMBER",AND(U708="Building equipment",OR(E708="BLD-WATER",E708="BLD-WASTE",E708="BLD-LAND")),AND(U708="Building renovation",E708="BLD-LAND"))),"N/A","Pending"))))))</x:f>
      </x:c>
      <x:c r="Q708" s="3" t="str">
        <x:f>IF(C708="","",IF(AND(R708="Valid",OR(P708="Pass",P708="N/A")),"Complete","Unresolved"))</x:f>
      </x:c>
      <x:c r="R708" s="9" t="str">
        <x:f>IF(C708="","",IF(OR(COUNTIF($C$9:$C$2008,C708)&lt;&gt;1,COUNTIFS($D$9:$D$2008,D708,$E$9:$E$2008,E708)&lt;&gt;1),"Duplicate test",IF(COUNTIF('Taxonomy'!$C$9:$C$108,D708)&lt;&gt;1,"Assessment key",IF(OR(COUNTIF('Taxonomy Rules'!$C$42:$C$68,E708)&lt;&gt;1,F708&lt;&gt;IFERROR(INDEX('Taxonomy Rules'!$D$42:$D$68,MATCH(E708,'Taxonomy Rules'!$C$42:$C$68,0)),""),NOT(OR(IFERROR(INDEX('Taxonomy Rules'!$G$42:$G$68,MATCH(E708,'Taxonomy Rules'!$C$42:$C$68,0)),"")="All supported routes",IFERROR(INDEX('Taxonomy Rules'!$G$42:$G$68,MATCH(E708,'Taxonomy Rules'!$C$42:$C$68,0)),"")=U708,AND(IFERROR(INDEX('Taxonomy Rules'!$G$42:$G$68,MATCH(E708,'Taxonomy Rules'!$C$42:$C$68,0)),"")="Building routes",OR(U708="Building renovation",U708="New building",U708="Building equipment"))))),"Unexpected test","Valid"))))</x:f>
      </x:c>
      <x:c r="S708" s="9" t="str">
        <x:f>IF(C708="","",IFERROR(INDEX('Taxonomy Rules'!$E$42:$E$68,MATCH(E708,'Taxonomy Rules'!$C$42:$C$68,0)),""))</x:f>
      </x:c>
      <x:c r="T708" s="9" t="str">
        <x:f>IF(C708="","",IFERROR(INDEX('Taxonomy Rules'!$F$42:$F$68,MATCH(E708,'Taxonomy Rules'!$C$42:$C$68,0)),""))</x:f>
      </x:c>
      <x:c r="U708" s="9" t="str">
        <x:f>IF(C708="","",IFERROR(INDEX('Taxonomy'!$G$9:$G$108,MATCH(D708,'Taxonomy'!$C$9:$C$108,0)),""))</x:f>
      </x:c>
    </x:row>
    <x:row r="709" ht="44" customHeight="1">
      <x:c r="A709" s="1"/>
      <x:c r="B709" s="1"/>
      <x:c r="C709" s="8"/>
      <x:c r="D709" s="8"/>
      <x:c r="E709" s="8"/>
      <x:c r="F709" s="8"/>
      <x:c r="G709" s="8"/>
      <x:c r="H709" s="8"/>
      <x:c r="I709" s="8"/>
      <x:c r="J709" s="8"/>
      <x:c r="K709" s="8"/>
      <x:c r="L709" s="8"/>
      <x:c r="M709" s="10"/>
      <x:c r="N709" s="10"/>
      <x:c r="O709" s="8"/>
      <x:c r="P709" s="9" t="str">
        <x:f>IF(C709="","",IF(AND(G709="Applicable",H709="Fail"),"Fail",IF(R709&lt;&gt;"Valid","Pending",IF(OR(I709="",K709="",L709="",K709=L709,NOT(ISNUMBER(M709)),NOT(ISNUMBER(N709)),M709&gt;Settings!$F$8,N709&lt;Settings!$F$8,N709&lt;M709),"Pending",IF(AND(G709="Applicable",H709="Pass"),"Pass",IF(AND(G709="N/A",H709="N/A",J709&lt;&gt;"",OR(E709="CEM-FUELS",E709="CEM-CCS",AND(E709="CEM-PLAN",IFERROR(INDEX('Taxonomy'!$M$9:$M$108,MATCH(D709,'Taxonomy'!$C$9:$C$108,0)),"")&lt;&gt;"Amber"),E709="BLD-TIMBER",AND(U709="Building equipment",OR(E709="BLD-WATER",E709="BLD-WASTE",E709="BLD-LAND")),AND(U709="Building renovation",E709="BLD-LAND"))),"N/A","Pending"))))))</x:f>
      </x:c>
      <x:c r="Q709" s="3" t="str">
        <x:f>IF(C709="","",IF(AND(R709="Valid",OR(P709="Pass",P709="N/A")),"Complete","Unresolved"))</x:f>
      </x:c>
      <x:c r="R709" s="9" t="str">
        <x:f>IF(C709="","",IF(OR(COUNTIF($C$9:$C$2008,C709)&lt;&gt;1,COUNTIFS($D$9:$D$2008,D709,$E$9:$E$2008,E709)&lt;&gt;1),"Duplicate test",IF(COUNTIF('Taxonomy'!$C$9:$C$108,D709)&lt;&gt;1,"Assessment key",IF(OR(COUNTIF('Taxonomy Rules'!$C$42:$C$68,E709)&lt;&gt;1,F709&lt;&gt;IFERROR(INDEX('Taxonomy Rules'!$D$42:$D$68,MATCH(E709,'Taxonomy Rules'!$C$42:$C$68,0)),""),NOT(OR(IFERROR(INDEX('Taxonomy Rules'!$G$42:$G$68,MATCH(E709,'Taxonomy Rules'!$C$42:$C$68,0)),"")="All supported routes",IFERROR(INDEX('Taxonomy Rules'!$G$42:$G$68,MATCH(E709,'Taxonomy Rules'!$C$42:$C$68,0)),"")=U709,AND(IFERROR(INDEX('Taxonomy Rules'!$G$42:$G$68,MATCH(E709,'Taxonomy Rules'!$C$42:$C$68,0)),"")="Building routes",OR(U709="Building renovation",U709="New building",U709="Building equipment"))))),"Unexpected test","Valid"))))</x:f>
      </x:c>
      <x:c r="S709" s="9" t="str">
        <x:f>IF(C709="","",IFERROR(INDEX('Taxonomy Rules'!$E$42:$E$68,MATCH(E709,'Taxonomy Rules'!$C$42:$C$68,0)),""))</x:f>
      </x:c>
      <x:c r="T709" s="9" t="str">
        <x:f>IF(C709="","",IFERROR(INDEX('Taxonomy Rules'!$F$42:$F$68,MATCH(E709,'Taxonomy Rules'!$C$42:$C$68,0)),""))</x:f>
      </x:c>
      <x:c r="U709" s="9" t="str">
        <x:f>IF(C709="","",IFERROR(INDEX('Taxonomy'!$G$9:$G$108,MATCH(D709,'Taxonomy'!$C$9:$C$108,0)),""))</x:f>
      </x:c>
    </x:row>
    <x:row r="710" ht="44" customHeight="1">
      <x:c r="A710" s="1"/>
      <x:c r="B710" s="1"/>
      <x:c r="C710" s="8"/>
      <x:c r="D710" s="8"/>
      <x:c r="E710" s="8"/>
      <x:c r="F710" s="8"/>
      <x:c r="G710" s="8"/>
      <x:c r="H710" s="8"/>
      <x:c r="I710" s="8"/>
      <x:c r="J710" s="8"/>
      <x:c r="K710" s="8"/>
      <x:c r="L710" s="8"/>
      <x:c r="M710" s="10"/>
      <x:c r="N710" s="10"/>
      <x:c r="O710" s="8"/>
      <x:c r="P710" s="9" t="str">
        <x:f>IF(C710="","",IF(AND(G710="Applicable",H710="Fail"),"Fail",IF(R710&lt;&gt;"Valid","Pending",IF(OR(I710="",K710="",L710="",K710=L710,NOT(ISNUMBER(M710)),NOT(ISNUMBER(N710)),M710&gt;Settings!$F$8,N710&lt;Settings!$F$8,N710&lt;M710),"Pending",IF(AND(G710="Applicable",H710="Pass"),"Pass",IF(AND(G710="N/A",H710="N/A",J710&lt;&gt;"",OR(E710="CEM-FUELS",E710="CEM-CCS",AND(E710="CEM-PLAN",IFERROR(INDEX('Taxonomy'!$M$9:$M$108,MATCH(D710,'Taxonomy'!$C$9:$C$108,0)),"")&lt;&gt;"Amber"),E710="BLD-TIMBER",AND(U710="Building equipment",OR(E710="BLD-WATER",E710="BLD-WASTE",E710="BLD-LAND")),AND(U710="Building renovation",E710="BLD-LAND"))),"N/A","Pending"))))))</x:f>
      </x:c>
      <x:c r="Q710" s="3" t="str">
        <x:f>IF(C710="","",IF(AND(R710="Valid",OR(P710="Pass",P710="N/A")),"Complete","Unresolved"))</x:f>
      </x:c>
      <x:c r="R710" s="9" t="str">
        <x:f>IF(C710="","",IF(OR(COUNTIF($C$9:$C$2008,C710)&lt;&gt;1,COUNTIFS($D$9:$D$2008,D710,$E$9:$E$2008,E710)&lt;&gt;1),"Duplicate test",IF(COUNTIF('Taxonomy'!$C$9:$C$108,D710)&lt;&gt;1,"Assessment key",IF(OR(COUNTIF('Taxonomy Rules'!$C$42:$C$68,E710)&lt;&gt;1,F710&lt;&gt;IFERROR(INDEX('Taxonomy Rules'!$D$42:$D$68,MATCH(E710,'Taxonomy Rules'!$C$42:$C$68,0)),""),NOT(OR(IFERROR(INDEX('Taxonomy Rules'!$G$42:$G$68,MATCH(E710,'Taxonomy Rules'!$C$42:$C$68,0)),"")="All supported routes",IFERROR(INDEX('Taxonomy Rules'!$G$42:$G$68,MATCH(E710,'Taxonomy Rules'!$C$42:$C$68,0)),"")=U710,AND(IFERROR(INDEX('Taxonomy Rules'!$G$42:$G$68,MATCH(E710,'Taxonomy Rules'!$C$42:$C$68,0)),"")="Building routes",OR(U710="Building renovation",U710="New building",U710="Building equipment"))))),"Unexpected test","Valid"))))</x:f>
      </x:c>
      <x:c r="S710" s="9" t="str">
        <x:f>IF(C710="","",IFERROR(INDEX('Taxonomy Rules'!$E$42:$E$68,MATCH(E710,'Taxonomy Rules'!$C$42:$C$68,0)),""))</x:f>
      </x:c>
      <x:c r="T710" s="9" t="str">
        <x:f>IF(C710="","",IFERROR(INDEX('Taxonomy Rules'!$F$42:$F$68,MATCH(E710,'Taxonomy Rules'!$C$42:$C$68,0)),""))</x:f>
      </x:c>
      <x:c r="U710" s="9" t="str">
        <x:f>IF(C710="","",IFERROR(INDEX('Taxonomy'!$G$9:$G$108,MATCH(D710,'Taxonomy'!$C$9:$C$108,0)),""))</x:f>
      </x:c>
    </x:row>
    <x:row r="711" ht="44" customHeight="1">
      <x:c r="A711" s="1"/>
      <x:c r="B711" s="1"/>
      <x:c r="C711" s="8"/>
      <x:c r="D711" s="8"/>
      <x:c r="E711" s="8"/>
      <x:c r="F711" s="8"/>
      <x:c r="G711" s="8"/>
      <x:c r="H711" s="8"/>
      <x:c r="I711" s="8"/>
      <x:c r="J711" s="8"/>
      <x:c r="K711" s="8"/>
      <x:c r="L711" s="8"/>
      <x:c r="M711" s="10"/>
      <x:c r="N711" s="10"/>
      <x:c r="O711" s="8"/>
      <x:c r="P711" s="9" t="str">
        <x:f>IF(C711="","",IF(AND(G711="Applicable",H711="Fail"),"Fail",IF(R711&lt;&gt;"Valid","Pending",IF(OR(I711="",K711="",L711="",K711=L711,NOT(ISNUMBER(M711)),NOT(ISNUMBER(N711)),M711&gt;Settings!$F$8,N711&lt;Settings!$F$8,N711&lt;M711),"Pending",IF(AND(G711="Applicable",H711="Pass"),"Pass",IF(AND(G711="N/A",H711="N/A",J711&lt;&gt;"",OR(E711="CEM-FUELS",E711="CEM-CCS",AND(E711="CEM-PLAN",IFERROR(INDEX('Taxonomy'!$M$9:$M$108,MATCH(D711,'Taxonomy'!$C$9:$C$108,0)),"")&lt;&gt;"Amber"),E711="BLD-TIMBER",AND(U711="Building equipment",OR(E711="BLD-WATER",E711="BLD-WASTE",E711="BLD-LAND")),AND(U711="Building renovation",E711="BLD-LAND"))),"N/A","Pending"))))))</x:f>
      </x:c>
      <x:c r="Q711" s="3" t="str">
        <x:f>IF(C711="","",IF(AND(R711="Valid",OR(P711="Pass",P711="N/A")),"Complete","Unresolved"))</x:f>
      </x:c>
      <x:c r="R711" s="9" t="str">
        <x:f>IF(C711="","",IF(OR(COUNTIF($C$9:$C$2008,C711)&lt;&gt;1,COUNTIFS($D$9:$D$2008,D711,$E$9:$E$2008,E711)&lt;&gt;1),"Duplicate test",IF(COUNTIF('Taxonomy'!$C$9:$C$108,D711)&lt;&gt;1,"Assessment key",IF(OR(COUNTIF('Taxonomy Rules'!$C$42:$C$68,E711)&lt;&gt;1,F711&lt;&gt;IFERROR(INDEX('Taxonomy Rules'!$D$42:$D$68,MATCH(E711,'Taxonomy Rules'!$C$42:$C$68,0)),""),NOT(OR(IFERROR(INDEX('Taxonomy Rules'!$G$42:$G$68,MATCH(E711,'Taxonomy Rules'!$C$42:$C$68,0)),"")="All supported routes",IFERROR(INDEX('Taxonomy Rules'!$G$42:$G$68,MATCH(E711,'Taxonomy Rules'!$C$42:$C$68,0)),"")=U711,AND(IFERROR(INDEX('Taxonomy Rules'!$G$42:$G$68,MATCH(E711,'Taxonomy Rules'!$C$42:$C$68,0)),"")="Building routes",OR(U711="Building renovation",U711="New building",U711="Building equipment"))))),"Unexpected test","Valid"))))</x:f>
      </x:c>
      <x:c r="S711" s="9" t="str">
        <x:f>IF(C711="","",IFERROR(INDEX('Taxonomy Rules'!$E$42:$E$68,MATCH(E711,'Taxonomy Rules'!$C$42:$C$68,0)),""))</x:f>
      </x:c>
      <x:c r="T711" s="9" t="str">
        <x:f>IF(C711="","",IFERROR(INDEX('Taxonomy Rules'!$F$42:$F$68,MATCH(E711,'Taxonomy Rules'!$C$42:$C$68,0)),""))</x:f>
      </x:c>
      <x:c r="U711" s="9" t="str">
        <x:f>IF(C711="","",IFERROR(INDEX('Taxonomy'!$G$9:$G$108,MATCH(D711,'Taxonomy'!$C$9:$C$108,0)),""))</x:f>
      </x:c>
    </x:row>
    <x:row r="712" ht="44" customHeight="1">
      <x:c r="A712" s="1"/>
      <x:c r="B712" s="1"/>
      <x:c r="C712" s="8"/>
      <x:c r="D712" s="8"/>
      <x:c r="E712" s="8"/>
      <x:c r="F712" s="8"/>
      <x:c r="G712" s="8"/>
      <x:c r="H712" s="8"/>
      <x:c r="I712" s="8"/>
      <x:c r="J712" s="8"/>
      <x:c r="K712" s="8"/>
      <x:c r="L712" s="8"/>
      <x:c r="M712" s="10"/>
      <x:c r="N712" s="10"/>
      <x:c r="O712" s="8"/>
      <x:c r="P712" s="9" t="str">
        <x:f>IF(C712="","",IF(AND(G712="Applicable",H712="Fail"),"Fail",IF(R712&lt;&gt;"Valid","Pending",IF(OR(I712="",K712="",L712="",K712=L712,NOT(ISNUMBER(M712)),NOT(ISNUMBER(N712)),M712&gt;Settings!$F$8,N712&lt;Settings!$F$8,N712&lt;M712),"Pending",IF(AND(G712="Applicable",H712="Pass"),"Pass",IF(AND(G712="N/A",H712="N/A",J712&lt;&gt;"",OR(E712="CEM-FUELS",E712="CEM-CCS",AND(E712="CEM-PLAN",IFERROR(INDEX('Taxonomy'!$M$9:$M$108,MATCH(D712,'Taxonomy'!$C$9:$C$108,0)),"")&lt;&gt;"Amber"),E712="BLD-TIMBER",AND(U712="Building equipment",OR(E712="BLD-WATER",E712="BLD-WASTE",E712="BLD-LAND")),AND(U712="Building renovation",E712="BLD-LAND"))),"N/A","Pending"))))))</x:f>
      </x:c>
      <x:c r="Q712" s="3" t="str">
        <x:f>IF(C712="","",IF(AND(R712="Valid",OR(P712="Pass",P712="N/A")),"Complete","Unresolved"))</x:f>
      </x:c>
      <x:c r="R712" s="9" t="str">
        <x:f>IF(C712="","",IF(OR(COUNTIF($C$9:$C$2008,C712)&lt;&gt;1,COUNTIFS($D$9:$D$2008,D712,$E$9:$E$2008,E712)&lt;&gt;1),"Duplicate test",IF(COUNTIF('Taxonomy'!$C$9:$C$108,D712)&lt;&gt;1,"Assessment key",IF(OR(COUNTIF('Taxonomy Rules'!$C$42:$C$68,E712)&lt;&gt;1,F712&lt;&gt;IFERROR(INDEX('Taxonomy Rules'!$D$42:$D$68,MATCH(E712,'Taxonomy Rules'!$C$42:$C$68,0)),""),NOT(OR(IFERROR(INDEX('Taxonomy Rules'!$G$42:$G$68,MATCH(E712,'Taxonomy Rules'!$C$42:$C$68,0)),"")="All supported routes",IFERROR(INDEX('Taxonomy Rules'!$G$42:$G$68,MATCH(E712,'Taxonomy Rules'!$C$42:$C$68,0)),"")=U712,AND(IFERROR(INDEX('Taxonomy Rules'!$G$42:$G$68,MATCH(E712,'Taxonomy Rules'!$C$42:$C$68,0)),"")="Building routes",OR(U712="Building renovation",U712="New building",U712="Building equipment"))))),"Unexpected test","Valid"))))</x:f>
      </x:c>
      <x:c r="S712" s="9" t="str">
        <x:f>IF(C712="","",IFERROR(INDEX('Taxonomy Rules'!$E$42:$E$68,MATCH(E712,'Taxonomy Rules'!$C$42:$C$68,0)),""))</x:f>
      </x:c>
      <x:c r="T712" s="9" t="str">
        <x:f>IF(C712="","",IFERROR(INDEX('Taxonomy Rules'!$F$42:$F$68,MATCH(E712,'Taxonomy Rules'!$C$42:$C$68,0)),""))</x:f>
      </x:c>
      <x:c r="U712" s="9" t="str">
        <x:f>IF(C712="","",IFERROR(INDEX('Taxonomy'!$G$9:$G$108,MATCH(D712,'Taxonomy'!$C$9:$C$108,0)),""))</x:f>
      </x:c>
    </x:row>
    <x:row r="713" ht="44" customHeight="1">
      <x:c r="A713" s="1"/>
      <x:c r="B713" s="1"/>
      <x:c r="C713" s="8"/>
      <x:c r="D713" s="8"/>
      <x:c r="E713" s="8"/>
      <x:c r="F713" s="8"/>
      <x:c r="G713" s="8"/>
      <x:c r="H713" s="8"/>
      <x:c r="I713" s="8"/>
      <x:c r="J713" s="8"/>
      <x:c r="K713" s="8"/>
      <x:c r="L713" s="8"/>
      <x:c r="M713" s="10"/>
      <x:c r="N713" s="10"/>
      <x:c r="O713" s="8"/>
      <x:c r="P713" s="9" t="str">
        <x:f>IF(C713="","",IF(AND(G713="Applicable",H713="Fail"),"Fail",IF(R713&lt;&gt;"Valid","Pending",IF(OR(I713="",K713="",L713="",K713=L713,NOT(ISNUMBER(M713)),NOT(ISNUMBER(N713)),M713&gt;Settings!$F$8,N713&lt;Settings!$F$8,N713&lt;M713),"Pending",IF(AND(G713="Applicable",H713="Pass"),"Pass",IF(AND(G713="N/A",H713="N/A",J713&lt;&gt;"",OR(E713="CEM-FUELS",E713="CEM-CCS",AND(E713="CEM-PLAN",IFERROR(INDEX('Taxonomy'!$M$9:$M$108,MATCH(D713,'Taxonomy'!$C$9:$C$108,0)),"")&lt;&gt;"Amber"),E713="BLD-TIMBER",AND(U713="Building equipment",OR(E713="BLD-WATER",E713="BLD-WASTE",E713="BLD-LAND")),AND(U713="Building renovation",E713="BLD-LAND"))),"N/A","Pending"))))))</x:f>
      </x:c>
      <x:c r="Q713" s="3" t="str">
        <x:f>IF(C713="","",IF(AND(R713="Valid",OR(P713="Pass",P713="N/A")),"Complete","Unresolved"))</x:f>
      </x:c>
      <x:c r="R713" s="9" t="str">
        <x:f>IF(C713="","",IF(OR(COUNTIF($C$9:$C$2008,C713)&lt;&gt;1,COUNTIFS($D$9:$D$2008,D713,$E$9:$E$2008,E713)&lt;&gt;1),"Duplicate test",IF(COUNTIF('Taxonomy'!$C$9:$C$108,D713)&lt;&gt;1,"Assessment key",IF(OR(COUNTIF('Taxonomy Rules'!$C$42:$C$68,E713)&lt;&gt;1,F713&lt;&gt;IFERROR(INDEX('Taxonomy Rules'!$D$42:$D$68,MATCH(E713,'Taxonomy Rules'!$C$42:$C$68,0)),""),NOT(OR(IFERROR(INDEX('Taxonomy Rules'!$G$42:$G$68,MATCH(E713,'Taxonomy Rules'!$C$42:$C$68,0)),"")="All supported routes",IFERROR(INDEX('Taxonomy Rules'!$G$42:$G$68,MATCH(E713,'Taxonomy Rules'!$C$42:$C$68,0)),"")=U713,AND(IFERROR(INDEX('Taxonomy Rules'!$G$42:$G$68,MATCH(E713,'Taxonomy Rules'!$C$42:$C$68,0)),"")="Building routes",OR(U713="Building renovation",U713="New building",U713="Building equipment"))))),"Unexpected test","Valid"))))</x:f>
      </x:c>
      <x:c r="S713" s="9" t="str">
        <x:f>IF(C713="","",IFERROR(INDEX('Taxonomy Rules'!$E$42:$E$68,MATCH(E713,'Taxonomy Rules'!$C$42:$C$68,0)),""))</x:f>
      </x:c>
      <x:c r="T713" s="9" t="str">
        <x:f>IF(C713="","",IFERROR(INDEX('Taxonomy Rules'!$F$42:$F$68,MATCH(E713,'Taxonomy Rules'!$C$42:$C$68,0)),""))</x:f>
      </x:c>
      <x:c r="U713" s="9" t="str">
        <x:f>IF(C713="","",IFERROR(INDEX('Taxonomy'!$G$9:$G$108,MATCH(D713,'Taxonomy'!$C$9:$C$108,0)),""))</x:f>
      </x:c>
    </x:row>
    <x:row r="714" ht="44" customHeight="1">
      <x:c r="A714" s="1"/>
      <x:c r="B714" s="1"/>
      <x:c r="C714" s="8"/>
      <x:c r="D714" s="8"/>
      <x:c r="E714" s="8"/>
      <x:c r="F714" s="8"/>
      <x:c r="G714" s="8"/>
      <x:c r="H714" s="8"/>
      <x:c r="I714" s="8"/>
      <x:c r="J714" s="8"/>
      <x:c r="K714" s="8"/>
      <x:c r="L714" s="8"/>
      <x:c r="M714" s="10"/>
      <x:c r="N714" s="10"/>
      <x:c r="O714" s="8"/>
      <x:c r="P714" s="9" t="str">
        <x:f>IF(C714="","",IF(AND(G714="Applicable",H714="Fail"),"Fail",IF(R714&lt;&gt;"Valid","Pending",IF(OR(I714="",K714="",L714="",K714=L714,NOT(ISNUMBER(M714)),NOT(ISNUMBER(N714)),M714&gt;Settings!$F$8,N714&lt;Settings!$F$8,N714&lt;M714),"Pending",IF(AND(G714="Applicable",H714="Pass"),"Pass",IF(AND(G714="N/A",H714="N/A",J714&lt;&gt;"",OR(E714="CEM-FUELS",E714="CEM-CCS",AND(E714="CEM-PLAN",IFERROR(INDEX('Taxonomy'!$M$9:$M$108,MATCH(D714,'Taxonomy'!$C$9:$C$108,0)),"")&lt;&gt;"Amber"),E714="BLD-TIMBER",AND(U714="Building equipment",OR(E714="BLD-WATER",E714="BLD-WASTE",E714="BLD-LAND")),AND(U714="Building renovation",E714="BLD-LAND"))),"N/A","Pending"))))))</x:f>
      </x:c>
      <x:c r="Q714" s="3" t="str">
        <x:f>IF(C714="","",IF(AND(R714="Valid",OR(P714="Pass",P714="N/A")),"Complete","Unresolved"))</x:f>
      </x:c>
      <x:c r="R714" s="9" t="str">
        <x:f>IF(C714="","",IF(OR(COUNTIF($C$9:$C$2008,C714)&lt;&gt;1,COUNTIFS($D$9:$D$2008,D714,$E$9:$E$2008,E714)&lt;&gt;1),"Duplicate test",IF(COUNTIF('Taxonomy'!$C$9:$C$108,D714)&lt;&gt;1,"Assessment key",IF(OR(COUNTIF('Taxonomy Rules'!$C$42:$C$68,E714)&lt;&gt;1,F714&lt;&gt;IFERROR(INDEX('Taxonomy Rules'!$D$42:$D$68,MATCH(E714,'Taxonomy Rules'!$C$42:$C$68,0)),""),NOT(OR(IFERROR(INDEX('Taxonomy Rules'!$G$42:$G$68,MATCH(E714,'Taxonomy Rules'!$C$42:$C$68,0)),"")="All supported routes",IFERROR(INDEX('Taxonomy Rules'!$G$42:$G$68,MATCH(E714,'Taxonomy Rules'!$C$42:$C$68,0)),"")=U714,AND(IFERROR(INDEX('Taxonomy Rules'!$G$42:$G$68,MATCH(E714,'Taxonomy Rules'!$C$42:$C$68,0)),"")="Building routes",OR(U714="Building renovation",U714="New building",U714="Building equipment"))))),"Unexpected test","Valid"))))</x:f>
      </x:c>
      <x:c r="S714" s="9" t="str">
        <x:f>IF(C714="","",IFERROR(INDEX('Taxonomy Rules'!$E$42:$E$68,MATCH(E714,'Taxonomy Rules'!$C$42:$C$68,0)),""))</x:f>
      </x:c>
      <x:c r="T714" s="9" t="str">
        <x:f>IF(C714="","",IFERROR(INDEX('Taxonomy Rules'!$F$42:$F$68,MATCH(E714,'Taxonomy Rules'!$C$42:$C$68,0)),""))</x:f>
      </x:c>
      <x:c r="U714" s="9" t="str">
        <x:f>IF(C714="","",IFERROR(INDEX('Taxonomy'!$G$9:$G$108,MATCH(D714,'Taxonomy'!$C$9:$C$108,0)),""))</x:f>
      </x:c>
    </x:row>
    <x:row r="715" ht="44" customHeight="1">
      <x:c r="A715" s="1"/>
      <x:c r="B715" s="1"/>
      <x:c r="C715" s="8"/>
      <x:c r="D715" s="8"/>
      <x:c r="E715" s="8"/>
      <x:c r="F715" s="8"/>
      <x:c r="G715" s="8"/>
      <x:c r="H715" s="8"/>
      <x:c r="I715" s="8"/>
      <x:c r="J715" s="8"/>
      <x:c r="K715" s="8"/>
      <x:c r="L715" s="8"/>
      <x:c r="M715" s="10"/>
      <x:c r="N715" s="10"/>
      <x:c r="O715" s="8"/>
      <x:c r="P715" s="9" t="str">
        <x:f>IF(C715="","",IF(AND(G715="Applicable",H715="Fail"),"Fail",IF(R715&lt;&gt;"Valid","Pending",IF(OR(I715="",K715="",L715="",K715=L715,NOT(ISNUMBER(M715)),NOT(ISNUMBER(N715)),M715&gt;Settings!$F$8,N715&lt;Settings!$F$8,N715&lt;M715),"Pending",IF(AND(G715="Applicable",H715="Pass"),"Pass",IF(AND(G715="N/A",H715="N/A",J715&lt;&gt;"",OR(E715="CEM-FUELS",E715="CEM-CCS",AND(E715="CEM-PLAN",IFERROR(INDEX('Taxonomy'!$M$9:$M$108,MATCH(D715,'Taxonomy'!$C$9:$C$108,0)),"")&lt;&gt;"Amber"),E715="BLD-TIMBER",AND(U715="Building equipment",OR(E715="BLD-WATER",E715="BLD-WASTE",E715="BLD-LAND")),AND(U715="Building renovation",E715="BLD-LAND"))),"N/A","Pending"))))))</x:f>
      </x:c>
      <x:c r="Q715" s="3" t="str">
        <x:f>IF(C715="","",IF(AND(R715="Valid",OR(P715="Pass",P715="N/A")),"Complete","Unresolved"))</x:f>
      </x:c>
      <x:c r="R715" s="9" t="str">
        <x:f>IF(C715="","",IF(OR(COUNTIF($C$9:$C$2008,C715)&lt;&gt;1,COUNTIFS($D$9:$D$2008,D715,$E$9:$E$2008,E715)&lt;&gt;1),"Duplicate test",IF(COUNTIF('Taxonomy'!$C$9:$C$108,D715)&lt;&gt;1,"Assessment key",IF(OR(COUNTIF('Taxonomy Rules'!$C$42:$C$68,E715)&lt;&gt;1,F715&lt;&gt;IFERROR(INDEX('Taxonomy Rules'!$D$42:$D$68,MATCH(E715,'Taxonomy Rules'!$C$42:$C$68,0)),""),NOT(OR(IFERROR(INDEX('Taxonomy Rules'!$G$42:$G$68,MATCH(E715,'Taxonomy Rules'!$C$42:$C$68,0)),"")="All supported routes",IFERROR(INDEX('Taxonomy Rules'!$G$42:$G$68,MATCH(E715,'Taxonomy Rules'!$C$42:$C$68,0)),"")=U715,AND(IFERROR(INDEX('Taxonomy Rules'!$G$42:$G$68,MATCH(E715,'Taxonomy Rules'!$C$42:$C$68,0)),"")="Building routes",OR(U715="Building renovation",U715="New building",U715="Building equipment"))))),"Unexpected test","Valid"))))</x:f>
      </x:c>
      <x:c r="S715" s="9" t="str">
        <x:f>IF(C715="","",IFERROR(INDEX('Taxonomy Rules'!$E$42:$E$68,MATCH(E715,'Taxonomy Rules'!$C$42:$C$68,0)),""))</x:f>
      </x:c>
      <x:c r="T715" s="9" t="str">
        <x:f>IF(C715="","",IFERROR(INDEX('Taxonomy Rules'!$F$42:$F$68,MATCH(E715,'Taxonomy Rules'!$C$42:$C$68,0)),""))</x:f>
      </x:c>
      <x:c r="U715" s="9" t="str">
        <x:f>IF(C715="","",IFERROR(INDEX('Taxonomy'!$G$9:$G$108,MATCH(D715,'Taxonomy'!$C$9:$C$108,0)),""))</x:f>
      </x:c>
    </x:row>
    <x:row r="716" ht="44" customHeight="1">
      <x:c r="A716" s="1"/>
      <x:c r="B716" s="1"/>
      <x:c r="C716" s="8"/>
      <x:c r="D716" s="8"/>
      <x:c r="E716" s="8"/>
      <x:c r="F716" s="8"/>
      <x:c r="G716" s="8"/>
      <x:c r="H716" s="8"/>
      <x:c r="I716" s="8"/>
      <x:c r="J716" s="8"/>
      <x:c r="K716" s="8"/>
      <x:c r="L716" s="8"/>
      <x:c r="M716" s="10"/>
      <x:c r="N716" s="10"/>
      <x:c r="O716" s="8"/>
      <x:c r="P716" s="9" t="str">
        <x:f>IF(C716="","",IF(AND(G716="Applicable",H716="Fail"),"Fail",IF(R716&lt;&gt;"Valid","Pending",IF(OR(I716="",K716="",L716="",K716=L716,NOT(ISNUMBER(M716)),NOT(ISNUMBER(N716)),M716&gt;Settings!$F$8,N716&lt;Settings!$F$8,N716&lt;M716),"Pending",IF(AND(G716="Applicable",H716="Pass"),"Pass",IF(AND(G716="N/A",H716="N/A",J716&lt;&gt;"",OR(E716="CEM-FUELS",E716="CEM-CCS",AND(E716="CEM-PLAN",IFERROR(INDEX('Taxonomy'!$M$9:$M$108,MATCH(D716,'Taxonomy'!$C$9:$C$108,0)),"")&lt;&gt;"Amber"),E716="BLD-TIMBER",AND(U716="Building equipment",OR(E716="BLD-WATER",E716="BLD-WASTE",E716="BLD-LAND")),AND(U716="Building renovation",E716="BLD-LAND"))),"N/A","Pending"))))))</x:f>
      </x:c>
      <x:c r="Q716" s="3" t="str">
        <x:f>IF(C716="","",IF(AND(R716="Valid",OR(P716="Pass",P716="N/A")),"Complete","Unresolved"))</x:f>
      </x:c>
      <x:c r="R716" s="9" t="str">
        <x:f>IF(C716="","",IF(OR(COUNTIF($C$9:$C$2008,C716)&lt;&gt;1,COUNTIFS($D$9:$D$2008,D716,$E$9:$E$2008,E716)&lt;&gt;1),"Duplicate test",IF(COUNTIF('Taxonomy'!$C$9:$C$108,D716)&lt;&gt;1,"Assessment key",IF(OR(COUNTIF('Taxonomy Rules'!$C$42:$C$68,E716)&lt;&gt;1,F716&lt;&gt;IFERROR(INDEX('Taxonomy Rules'!$D$42:$D$68,MATCH(E716,'Taxonomy Rules'!$C$42:$C$68,0)),""),NOT(OR(IFERROR(INDEX('Taxonomy Rules'!$G$42:$G$68,MATCH(E716,'Taxonomy Rules'!$C$42:$C$68,0)),"")="All supported routes",IFERROR(INDEX('Taxonomy Rules'!$G$42:$G$68,MATCH(E716,'Taxonomy Rules'!$C$42:$C$68,0)),"")=U716,AND(IFERROR(INDEX('Taxonomy Rules'!$G$42:$G$68,MATCH(E716,'Taxonomy Rules'!$C$42:$C$68,0)),"")="Building routes",OR(U716="Building renovation",U716="New building",U716="Building equipment"))))),"Unexpected test","Valid"))))</x:f>
      </x:c>
      <x:c r="S716" s="9" t="str">
        <x:f>IF(C716="","",IFERROR(INDEX('Taxonomy Rules'!$E$42:$E$68,MATCH(E716,'Taxonomy Rules'!$C$42:$C$68,0)),""))</x:f>
      </x:c>
      <x:c r="T716" s="9" t="str">
        <x:f>IF(C716="","",IFERROR(INDEX('Taxonomy Rules'!$F$42:$F$68,MATCH(E716,'Taxonomy Rules'!$C$42:$C$68,0)),""))</x:f>
      </x:c>
      <x:c r="U716" s="9" t="str">
        <x:f>IF(C716="","",IFERROR(INDEX('Taxonomy'!$G$9:$G$108,MATCH(D716,'Taxonomy'!$C$9:$C$108,0)),""))</x:f>
      </x:c>
    </x:row>
    <x:row r="717" ht="44" customHeight="1">
      <x:c r="A717" s="1"/>
      <x:c r="B717" s="1"/>
      <x:c r="C717" s="8"/>
      <x:c r="D717" s="8"/>
      <x:c r="E717" s="8"/>
      <x:c r="F717" s="8"/>
      <x:c r="G717" s="8"/>
      <x:c r="H717" s="8"/>
      <x:c r="I717" s="8"/>
      <x:c r="J717" s="8"/>
      <x:c r="K717" s="8"/>
      <x:c r="L717" s="8"/>
      <x:c r="M717" s="10"/>
      <x:c r="N717" s="10"/>
      <x:c r="O717" s="8"/>
      <x:c r="P717" s="9" t="str">
        <x:f>IF(C717="","",IF(AND(G717="Applicable",H717="Fail"),"Fail",IF(R717&lt;&gt;"Valid","Pending",IF(OR(I717="",K717="",L717="",K717=L717,NOT(ISNUMBER(M717)),NOT(ISNUMBER(N717)),M717&gt;Settings!$F$8,N717&lt;Settings!$F$8,N717&lt;M717),"Pending",IF(AND(G717="Applicable",H717="Pass"),"Pass",IF(AND(G717="N/A",H717="N/A",J717&lt;&gt;"",OR(E717="CEM-FUELS",E717="CEM-CCS",AND(E717="CEM-PLAN",IFERROR(INDEX('Taxonomy'!$M$9:$M$108,MATCH(D717,'Taxonomy'!$C$9:$C$108,0)),"")&lt;&gt;"Amber"),E717="BLD-TIMBER",AND(U717="Building equipment",OR(E717="BLD-WATER",E717="BLD-WASTE",E717="BLD-LAND")),AND(U717="Building renovation",E717="BLD-LAND"))),"N/A","Pending"))))))</x:f>
      </x:c>
      <x:c r="Q717" s="3" t="str">
        <x:f>IF(C717="","",IF(AND(R717="Valid",OR(P717="Pass",P717="N/A")),"Complete","Unresolved"))</x:f>
      </x:c>
      <x:c r="R717" s="9" t="str">
        <x:f>IF(C717="","",IF(OR(COUNTIF($C$9:$C$2008,C717)&lt;&gt;1,COUNTIFS($D$9:$D$2008,D717,$E$9:$E$2008,E717)&lt;&gt;1),"Duplicate test",IF(COUNTIF('Taxonomy'!$C$9:$C$108,D717)&lt;&gt;1,"Assessment key",IF(OR(COUNTIF('Taxonomy Rules'!$C$42:$C$68,E717)&lt;&gt;1,F717&lt;&gt;IFERROR(INDEX('Taxonomy Rules'!$D$42:$D$68,MATCH(E717,'Taxonomy Rules'!$C$42:$C$68,0)),""),NOT(OR(IFERROR(INDEX('Taxonomy Rules'!$G$42:$G$68,MATCH(E717,'Taxonomy Rules'!$C$42:$C$68,0)),"")="All supported routes",IFERROR(INDEX('Taxonomy Rules'!$G$42:$G$68,MATCH(E717,'Taxonomy Rules'!$C$42:$C$68,0)),"")=U717,AND(IFERROR(INDEX('Taxonomy Rules'!$G$42:$G$68,MATCH(E717,'Taxonomy Rules'!$C$42:$C$68,0)),"")="Building routes",OR(U717="Building renovation",U717="New building",U717="Building equipment"))))),"Unexpected test","Valid"))))</x:f>
      </x:c>
      <x:c r="S717" s="9" t="str">
        <x:f>IF(C717="","",IFERROR(INDEX('Taxonomy Rules'!$E$42:$E$68,MATCH(E717,'Taxonomy Rules'!$C$42:$C$68,0)),""))</x:f>
      </x:c>
      <x:c r="T717" s="9" t="str">
        <x:f>IF(C717="","",IFERROR(INDEX('Taxonomy Rules'!$F$42:$F$68,MATCH(E717,'Taxonomy Rules'!$C$42:$C$68,0)),""))</x:f>
      </x:c>
      <x:c r="U717" s="9" t="str">
        <x:f>IF(C717="","",IFERROR(INDEX('Taxonomy'!$G$9:$G$108,MATCH(D717,'Taxonomy'!$C$9:$C$108,0)),""))</x:f>
      </x:c>
    </x:row>
    <x:row r="718" ht="44" customHeight="1">
      <x:c r="A718" s="1"/>
      <x:c r="B718" s="1"/>
      <x:c r="C718" s="8"/>
      <x:c r="D718" s="8"/>
      <x:c r="E718" s="8"/>
      <x:c r="F718" s="8"/>
      <x:c r="G718" s="8"/>
      <x:c r="H718" s="8"/>
      <x:c r="I718" s="8"/>
      <x:c r="J718" s="8"/>
      <x:c r="K718" s="8"/>
      <x:c r="L718" s="8"/>
      <x:c r="M718" s="10"/>
      <x:c r="N718" s="10"/>
      <x:c r="O718" s="8"/>
      <x:c r="P718" s="9" t="str">
        <x:f>IF(C718="","",IF(AND(G718="Applicable",H718="Fail"),"Fail",IF(R718&lt;&gt;"Valid","Pending",IF(OR(I718="",K718="",L718="",K718=L718,NOT(ISNUMBER(M718)),NOT(ISNUMBER(N718)),M718&gt;Settings!$F$8,N718&lt;Settings!$F$8,N718&lt;M718),"Pending",IF(AND(G718="Applicable",H718="Pass"),"Pass",IF(AND(G718="N/A",H718="N/A",J718&lt;&gt;"",OR(E718="CEM-FUELS",E718="CEM-CCS",AND(E718="CEM-PLAN",IFERROR(INDEX('Taxonomy'!$M$9:$M$108,MATCH(D718,'Taxonomy'!$C$9:$C$108,0)),"")&lt;&gt;"Amber"),E718="BLD-TIMBER",AND(U718="Building equipment",OR(E718="BLD-WATER",E718="BLD-WASTE",E718="BLD-LAND")),AND(U718="Building renovation",E718="BLD-LAND"))),"N/A","Pending"))))))</x:f>
      </x:c>
      <x:c r="Q718" s="3" t="str">
        <x:f>IF(C718="","",IF(AND(R718="Valid",OR(P718="Pass",P718="N/A")),"Complete","Unresolved"))</x:f>
      </x:c>
      <x:c r="R718" s="9" t="str">
        <x:f>IF(C718="","",IF(OR(COUNTIF($C$9:$C$2008,C718)&lt;&gt;1,COUNTIFS($D$9:$D$2008,D718,$E$9:$E$2008,E718)&lt;&gt;1),"Duplicate test",IF(COUNTIF('Taxonomy'!$C$9:$C$108,D718)&lt;&gt;1,"Assessment key",IF(OR(COUNTIF('Taxonomy Rules'!$C$42:$C$68,E718)&lt;&gt;1,F718&lt;&gt;IFERROR(INDEX('Taxonomy Rules'!$D$42:$D$68,MATCH(E718,'Taxonomy Rules'!$C$42:$C$68,0)),""),NOT(OR(IFERROR(INDEX('Taxonomy Rules'!$G$42:$G$68,MATCH(E718,'Taxonomy Rules'!$C$42:$C$68,0)),"")="All supported routes",IFERROR(INDEX('Taxonomy Rules'!$G$42:$G$68,MATCH(E718,'Taxonomy Rules'!$C$42:$C$68,0)),"")=U718,AND(IFERROR(INDEX('Taxonomy Rules'!$G$42:$G$68,MATCH(E718,'Taxonomy Rules'!$C$42:$C$68,0)),"")="Building routes",OR(U718="Building renovation",U718="New building",U718="Building equipment"))))),"Unexpected test","Valid"))))</x:f>
      </x:c>
      <x:c r="S718" s="9" t="str">
        <x:f>IF(C718="","",IFERROR(INDEX('Taxonomy Rules'!$E$42:$E$68,MATCH(E718,'Taxonomy Rules'!$C$42:$C$68,0)),""))</x:f>
      </x:c>
      <x:c r="T718" s="9" t="str">
        <x:f>IF(C718="","",IFERROR(INDEX('Taxonomy Rules'!$F$42:$F$68,MATCH(E718,'Taxonomy Rules'!$C$42:$C$68,0)),""))</x:f>
      </x:c>
      <x:c r="U718" s="9" t="str">
        <x:f>IF(C718="","",IFERROR(INDEX('Taxonomy'!$G$9:$G$108,MATCH(D718,'Taxonomy'!$C$9:$C$108,0)),""))</x:f>
      </x:c>
    </x:row>
    <x:row r="719" ht="44" customHeight="1">
      <x:c r="A719" s="1"/>
      <x:c r="B719" s="1"/>
      <x:c r="C719" s="8"/>
      <x:c r="D719" s="8"/>
      <x:c r="E719" s="8"/>
      <x:c r="F719" s="8"/>
      <x:c r="G719" s="8"/>
      <x:c r="H719" s="8"/>
      <x:c r="I719" s="8"/>
      <x:c r="J719" s="8"/>
      <x:c r="K719" s="8"/>
      <x:c r="L719" s="8"/>
      <x:c r="M719" s="10"/>
      <x:c r="N719" s="10"/>
      <x:c r="O719" s="8"/>
      <x:c r="P719" s="9" t="str">
        <x:f>IF(C719="","",IF(AND(G719="Applicable",H719="Fail"),"Fail",IF(R719&lt;&gt;"Valid","Pending",IF(OR(I719="",K719="",L719="",K719=L719,NOT(ISNUMBER(M719)),NOT(ISNUMBER(N719)),M719&gt;Settings!$F$8,N719&lt;Settings!$F$8,N719&lt;M719),"Pending",IF(AND(G719="Applicable",H719="Pass"),"Pass",IF(AND(G719="N/A",H719="N/A",J719&lt;&gt;"",OR(E719="CEM-FUELS",E719="CEM-CCS",AND(E719="CEM-PLAN",IFERROR(INDEX('Taxonomy'!$M$9:$M$108,MATCH(D719,'Taxonomy'!$C$9:$C$108,0)),"")&lt;&gt;"Amber"),E719="BLD-TIMBER",AND(U719="Building equipment",OR(E719="BLD-WATER",E719="BLD-WASTE",E719="BLD-LAND")),AND(U719="Building renovation",E719="BLD-LAND"))),"N/A","Pending"))))))</x:f>
      </x:c>
      <x:c r="Q719" s="3" t="str">
        <x:f>IF(C719="","",IF(AND(R719="Valid",OR(P719="Pass",P719="N/A")),"Complete","Unresolved"))</x:f>
      </x:c>
      <x:c r="R719" s="9" t="str">
        <x:f>IF(C719="","",IF(OR(COUNTIF($C$9:$C$2008,C719)&lt;&gt;1,COUNTIFS($D$9:$D$2008,D719,$E$9:$E$2008,E719)&lt;&gt;1),"Duplicate test",IF(COUNTIF('Taxonomy'!$C$9:$C$108,D719)&lt;&gt;1,"Assessment key",IF(OR(COUNTIF('Taxonomy Rules'!$C$42:$C$68,E719)&lt;&gt;1,F719&lt;&gt;IFERROR(INDEX('Taxonomy Rules'!$D$42:$D$68,MATCH(E719,'Taxonomy Rules'!$C$42:$C$68,0)),""),NOT(OR(IFERROR(INDEX('Taxonomy Rules'!$G$42:$G$68,MATCH(E719,'Taxonomy Rules'!$C$42:$C$68,0)),"")="All supported routes",IFERROR(INDEX('Taxonomy Rules'!$G$42:$G$68,MATCH(E719,'Taxonomy Rules'!$C$42:$C$68,0)),"")=U719,AND(IFERROR(INDEX('Taxonomy Rules'!$G$42:$G$68,MATCH(E719,'Taxonomy Rules'!$C$42:$C$68,0)),"")="Building routes",OR(U719="Building renovation",U719="New building",U719="Building equipment"))))),"Unexpected test","Valid"))))</x:f>
      </x:c>
      <x:c r="S719" s="9" t="str">
        <x:f>IF(C719="","",IFERROR(INDEX('Taxonomy Rules'!$E$42:$E$68,MATCH(E719,'Taxonomy Rules'!$C$42:$C$68,0)),""))</x:f>
      </x:c>
      <x:c r="T719" s="9" t="str">
        <x:f>IF(C719="","",IFERROR(INDEX('Taxonomy Rules'!$F$42:$F$68,MATCH(E719,'Taxonomy Rules'!$C$42:$C$68,0)),""))</x:f>
      </x:c>
      <x:c r="U719" s="9" t="str">
        <x:f>IF(C719="","",IFERROR(INDEX('Taxonomy'!$G$9:$G$108,MATCH(D719,'Taxonomy'!$C$9:$C$108,0)),""))</x:f>
      </x:c>
    </x:row>
    <x:row r="720" ht="44" customHeight="1">
      <x:c r="A720" s="1"/>
      <x:c r="B720" s="1"/>
      <x:c r="C720" s="8"/>
      <x:c r="D720" s="8"/>
      <x:c r="E720" s="8"/>
      <x:c r="F720" s="8"/>
      <x:c r="G720" s="8"/>
      <x:c r="H720" s="8"/>
      <x:c r="I720" s="8"/>
      <x:c r="J720" s="8"/>
      <x:c r="K720" s="8"/>
      <x:c r="L720" s="8"/>
      <x:c r="M720" s="10"/>
      <x:c r="N720" s="10"/>
      <x:c r="O720" s="8"/>
      <x:c r="P720" s="9" t="str">
        <x:f>IF(C720="","",IF(AND(G720="Applicable",H720="Fail"),"Fail",IF(R720&lt;&gt;"Valid","Pending",IF(OR(I720="",K720="",L720="",K720=L720,NOT(ISNUMBER(M720)),NOT(ISNUMBER(N720)),M720&gt;Settings!$F$8,N720&lt;Settings!$F$8,N720&lt;M720),"Pending",IF(AND(G720="Applicable",H720="Pass"),"Pass",IF(AND(G720="N/A",H720="N/A",J720&lt;&gt;"",OR(E720="CEM-FUELS",E720="CEM-CCS",AND(E720="CEM-PLAN",IFERROR(INDEX('Taxonomy'!$M$9:$M$108,MATCH(D720,'Taxonomy'!$C$9:$C$108,0)),"")&lt;&gt;"Amber"),E720="BLD-TIMBER",AND(U720="Building equipment",OR(E720="BLD-WATER",E720="BLD-WASTE",E720="BLD-LAND")),AND(U720="Building renovation",E720="BLD-LAND"))),"N/A","Pending"))))))</x:f>
      </x:c>
      <x:c r="Q720" s="3" t="str">
        <x:f>IF(C720="","",IF(AND(R720="Valid",OR(P720="Pass",P720="N/A")),"Complete","Unresolved"))</x:f>
      </x:c>
      <x:c r="R720" s="9" t="str">
        <x:f>IF(C720="","",IF(OR(COUNTIF($C$9:$C$2008,C720)&lt;&gt;1,COUNTIFS($D$9:$D$2008,D720,$E$9:$E$2008,E720)&lt;&gt;1),"Duplicate test",IF(COUNTIF('Taxonomy'!$C$9:$C$108,D720)&lt;&gt;1,"Assessment key",IF(OR(COUNTIF('Taxonomy Rules'!$C$42:$C$68,E720)&lt;&gt;1,F720&lt;&gt;IFERROR(INDEX('Taxonomy Rules'!$D$42:$D$68,MATCH(E720,'Taxonomy Rules'!$C$42:$C$68,0)),""),NOT(OR(IFERROR(INDEX('Taxonomy Rules'!$G$42:$G$68,MATCH(E720,'Taxonomy Rules'!$C$42:$C$68,0)),"")="All supported routes",IFERROR(INDEX('Taxonomy Rules'!$G$42:$G$68,MATCH(E720,'Taxonomy Rules'!$C$42:$C$68,0)),"")=U720,AND(IFERROR(INDEX('Taxonomy Rules'!$G$42:$G$68,MATCH(E720,'Taxonomy Rules'!$C$42:$C$68,0)),"")="Building routes",OR(U720="Building renovation",U720="New building",U720="Building equipment"))))),"Unexpected test","Valid"))))</x:f>
      </x:c>
      <x:c r="S720" s="9" t="str">
        <x:f>IF(C720="","",IFERROR(INDEX('Taxonomy Rules'!$E$42:$E$68,MATCH(E720,'Taxonomy Rules'!$C$42:$C$68,0)),""))</x:f>
      </x:c>
      <x:c r="T720" s="9" t="str">
        <x:f>IF(C720="","",IFERROR(INDEX('Taxonomy Rules'!$F$42:$F$68,MATCH(E720,'Taxonomy Rules'!$C$42:$C$68,0)),""))</x:f>
      </x:c>
      <x:c r="U720" s="9" t="str">
        <x:f>IF(C720="","",IFERROR(INDEX('Taxonomy'!$G$9:$G$108,MATCH(D720,'Taxonomy'!$C$9:$C$108,0)),""))</x:f>
      </x:c>
    </x:row>
    <x:row r="721" ht="44" customHeight="1">
      <x:c r="A721" s="1"/>
      <x:c r="B721" s="1"/>
      <x:c r="C721" s="8"/>
      <x:c r="D721" s="8"/>
      <x:c r="E721" s="8"/>
      <x:c r="F721" s="8"/>
      <x:c r="G721" s="8"/>
      <x:c r="H721" s="8"/>
      <x:c r="I721" s="8"/>
      <x:c r="J721" s="8"/>
      <x:c r="K721" s="8"/>
      <x:c r="L721" s="8"/>
      <x:c r="M721" s="10"/>
      <x:c r="N721" s="10"/>
      <x:c r="O721" s="8"/>
      <x:c r="P721" s="9" t="str">
        <x:f>IF(C721="","",IF(AND(G721="Applicable",H721="Fail"),"Fail",IF(R721&lt;&gt;"Valid","Pending",IF(OR(I721="",K721="",L721="",K721=L721,NOT(ISNUMBER(M721)),NOT(ISNUMBER(N721)),M721&gt;Settings!$F$8,N721&lt;Settings!$F$8,N721&lt;M721),"Pending",IF(AND(G721="Applicable",H721="Pass"),"Pass",IF(AND(G721="N/A",H721="N/A",J721&lt;&gt;"",OR(E721="CEM-FUELS",E721="CEM-CCS",AND(E721="CEM-PLAN",IFERROR(INDEX('Taxonomy'!$M$9:$M$108,MATCH(D721,'Taxonomy'!$C$9:$C$108,0)),"")&lt;&gt;"Amber"),E721="BLD-TIMBER",AND(U721="Building equipment",OR(E721="BLD-WATER",E721="BLD-WASTE",E721="BLD-LAND")),AND(U721="Building renovation",E721="BLD-LAND"))),"N/A","Pending"))))))</x:f>
      </x:c>
      <x:c r="Q721" s="3" t="str">
        <x:f>IF(C721="","",IF(AND(R721="Valid",OR(P721="Pass",P721="N/A")),"Complete","Unresolved"))</x:f>
      </x:c>
      <x:c r="R721" s="9" t="str">
        <x:f>IF(C721="","",IF(OR(COUNTIF($C$9:$C$2008,C721)&lt;&gt;1,COUNTIFS($D$9:$D$2008,D721,$E$9:$E$2008,E721)&lt;&gt;1),"Duplicate test",IF(COUNTIF('Taxonomy'!$C$9:$C$108,D721)&lt;&gt;1,"Assessment key",IF(OR(COUNTIF('Taxonomy Rules'!$C$42:$C$68,E721)&lt;&gt;1,F721&lt;&gt;IFERROR(INDEX('Taxonomy Rules'!$D$42:$D$68,MATCH(E721,'Taxonomy Rules'!$C$42:$C$68,0)),""),NOT(OR(IFERROR(INDEX('Taxonomy Rules'!$G$42:$G$68,MATCH(E721,'Taxonomy Rules'!$C$42:$C$68,0)),"")="All supported routes",IFERROR(INDEX('Taxonomy Rules'!$G$42:$G$68,MATCH(E721,'Taxonomy Rules'!$C$42:$C$68,0)),"")=U721,AND(IFERROR(INDEX('Taxonomy Rules'!$G$42:$G$68,MATCH(E721,'Taxonomy Rules'!$C$42:$C$68,0)),"")="Building routes",OR(U721="Building renovation",U721="New building",U721="Building equipment"))))),"Unexpected test","Valid"))))</x:f>
      </x:c>
      <x:c r="S721" s="9" t="str">
        <x:f>IF(C721="","",IFERROR(INDEX('Taxonomy Rules'!$E$42:$E$68,MATCH(E721,'Taxonomy Rules'!$C$42:$C$68,0)),""))</x:f>
      </x:c>
      <x:c r="T721" s="9" t="str">
        <x:f>IF(C721="","",IFERROR(INDEX('Taxonomy Rules'!$F$42:$F$68,MATCH(E721,'Taxonomy Rules'!$C$42:$C$68,0)),""))</x:f>
      </x:c>
      <x:c r="U721" s="9" t="str">
        <x:f>IF(C721="","",IFERROR(INDEX('Taxonomy'!$G$9:$G$108,MATCH(D721,'Taxonomy'!$C$9:$C$108,0)),""))</x:f>
      </x:c>
    </x:row>
    <x:row r="722" ht="44" customHeight="1">
      <x:c r="A722" s="1"/>
      <x:c r="B722" s="1"/>
      <x:c r="C722" s="8"/>
      <x:c r="D722" s="8"/>
      <x:c r="E722" s="8"/>
      <x:c r="F722" s="8"/>
      <x:c r="G722" s="8"/>
      <x:c r="H722" s="8"/>
      <x:c r="I722" s="8"/>
      <x:c r="J722" s="8"/>
      <x:c r="K722" s="8"/>
      <x:c r="L722" s="8"/>
      <x:c r="M722" s="10"/>
      <x:c r="N722" s="10"/>
      <x:c r="O722" s="8"/>
      <x:c r="P722" s="9" t="str">
        <x:f>IF(C722="","",IF(AND(G722="Applicable",H722="Fail"),"Fail",IF(R722&lt;&gt;"Valid","Pending",IF(OR(I722="",K722="",L722="",K722=L722,NOT(ISNUMBER(M722)),NOT(ISNUMBER(N722)),M722&gt;Settings!$F$8,N722&lt;Settings!$F$8,N722&lt;M722),"Pending",IF(AND(G722="Applicable",H722="Pass"),"Pass",IF(AND(G722="N/A",H722="N/A",J722&lt;&gt;"",OR(E722="CEM-FUELS",E722="CEM-CCS",AND(E722="CEM-PLAN",IFERROR(INDEX('Taxonomy'!$M$9:$M$108,MATCH(D722,'Taxonomy'!$C$9:$C$108,0)),"")&lt;&gt;"Amber"),E722="BLD-TIMBER",AND(U722="Building equipment",OR(E722="BLD-WATER",E722="BLD-WASTE",E722="BLD-LAND")),AND(U722="Building renovation",E722="BLD-LAND"))),"N/A","Pending"))))))</x:f>
      </x:c>
      <x:c r="Q722" s="3" t="str">
        <x:f>IF(C722="","",IF(AND(R722="Valid",OR(P722="Pass",P722="N/A")),"Complete","Unresolved"))</x:f>
      </x:c>
      <x:c r="R722" s="9" t="str">
        <x:f>IF(C722="","",IF(OR(COUNTIF($C$9:$C$2008,C722)&lt;&gt;1,COUNTIFS($D$9:$D$2008,D722,$E$9:$E$2008,E722)&lt;&gt;1),"Duplicate test",IF(COUNTIF('Taxonomy'!$C$9:$C$108,D722)&lt;&gt;1,"Assessment key",IF(OR(COUNTIF('Taxonomy Rules'!$C$42:$C$68,E722)&lt;&gt;1,F722&lt;&gt;IFERROR(INDEX('Taxonomy Rules'!$D$42:$D$68,MATCH(E722,'Taxonomy Rules'!$C$42:$C$68,0)),""),NOT(OR(IFERROR(INDEX('Taxonomy Rules'!$G$42:$G$68,MATCH(E722,'Taxonomy Rules'!$C$42:$C$68,0)),"")="All supported routes",IFERROR(INDEX('Taxonomy Rules'!$G$42:$G$68,MATCH(E722,'Taxonomy Rules'!$C$42:$C$68,0)),"")=U722,AND(IFERROR(INDEX('Taxonomy Rules'!$G$42:$G$68,MATCH(E722,'Taxonomy Rules'!$C$42:$C$68,0)),"")="Building routes",OR(U722="Building renovation",U722="New building",U722="Building equipment"))))),"Unexpected test","Valid"))))</x:f>
      </x:c>
      <x:c r="S722" s="9" t="str">
        <x:f>IF(C722="","",IFERROR(INDEX('Taxonomy Rules'!$E$42:$E$68,MATCH(E722,'Taxonomy Rules'!$C$42:$C$68,0)),""))</x:f>
      </x:c>
      <x:c r="T722" s="9" t="str">
        <x:f>IF(C722="","",IFERROR(INDEX('Taxonomy Rules'!$F$42:$F$68,MATCH(E722,'Taxonomy Rules'!$C$42:$C$68,0)),""))</x:f>
      </x:c>
      <x:c r="U722" s="9" t="str">
        <x:f>IF(C722="","",IFERROR(INDEX('Taxonomy'!$G$9:$G$108,MATCH(D722,'Taxonomy'!$C$9:$C$108,0)),""))</x:f>
      </x:c>
    </x:row>
    <x:row r="723" ht="44" customHeight="1">
      <x:c r="A723" s="1"/>
      <x:c r="B723" s="1"/>
      <x:c r="C723" s="8"/>
      <x:c r="D723" s="8"/>
      <x:c r="E723" s="8"/>
      <x:c r="F723" s="8"/>
      <x:c r="G723" s="8"/>
      <x:c r="H723" s="8"/>
      <x:c r="I723" s="8"/>
      <x:c r="J723" s="8"/>
      <x:c r="K723" s="8"/>
      <x:c r="L723" s="8"/>
      <x:c r="M723" s="10"/>
      <x:c r="N723" s="10"/>
      <x:c r="O723" s="8"/>
      <x:c r="P723" s="9" t="str">
        <x:f>IF(C723="","",IF(AND(G723="Applicable",H723="Fail"),"Fail",IF(R723&lt;&gt;"Valid","Pending",IF(OR(I723="",K723="",L723="",K723=L723,NOT(ISNUMBER(M723)),NOT(ISNUMBER(N723)),M723&gt;Settings!$F$8,N723&lt;Settings!$F$8,N723&lt;M723),"Pending",IF(AND(G723="Applicable",H723="Pass"),"Pass",IF(AND(G723="N/A",H723="N/A",J723&lt;&gt;"",OR(E723="CEM-FUELS",E723="CEM-CCS",AND(E723="CEM-PLAN",IFERROR(INDEX('Taxonomy'!$M$9:$M$108,MATCH(D723,'Taxonomy'!$C$9:$C$108,0)),"")&lt;&gt;"Amber"),E723="BLD-TIMBER",AND(U723="Building equipment",OR(E723="BLD-WATER",E723="BLD-WASTE",E723="BLD-LAND")),AND(U723="Building renovation",E723="BLD-LAND"))),"N/A","Pending"))))))</x:f>
      </x:c>
      <x:c r="Q723" s="3" t="str">
        <x:f>IF(C723="","",IF(AND(R723="Valid",OR(P723="Pass",P723="N/A")),"Complete","Unresolved"))</x:f>
      </x:c>
      <x:c r="R723" s="9" t="str">
        <x:f>IF(C723="","",IF(OR(COUNTIF($C$9:$C$2008,C723)&lt;&gt;1,COUNTIFS($D$9:$D$2008,D723,$E$9:$E$2008,E723)&lt;&gt;1),"Duplicate test",IF(COUNTIF('Taxonomy'!$C$9:$C$108,D723)&lt;&gt;1,"Assessment key",IF(OR(COUNTIF('Taxonomy Rules'!$C$42:$C$68,E723)&lt;&gt;1,F723&lt;&gt;IFERROR(INDEX('Taxonomy Rules'!$D$42:$D$68,MATCH(E723,'Taxonomy Rules'!$C$42:$C$68,0)),""),NOT(OR(IFERROR(INDEX('Taxonomy Rules'!$G$42:$G$68,MATCH(E723,'Taxonomy Rules'!$C$42:$C$68,0)),"")="All supported routes",IFERROR(INDEX('Taxonomy Rules'!$G$42:$G$68,MATCH(E723,'Taxonomy Rules'!$C$42:$C$68,0)),"")=U723,AND(IFERROR(INDEX('Taxonomy Rules'!$G$42:$G$68,MATCH(E723,'Taxonomy Rules'!$C$42:$C$68,0)),"")="Building routes",OR(U723="Building renovation",U723="New building",U723="Building equipment"))))),"Unexpected test","Valid"))))</x:f>
      </x:c>
      <x:c r="S723" s="9" t="str">
        <x:f>IF(C723="","",IFERROR(INDEX('Taxonomy Rules'!$E$42:$E$68,MATCH(E723,'Taxonomy Rules'!$C$42:$C$68,0)),""))</x:f>
      </x:c>
      <x:c r="T723" s="9" t="str">
        <x:f>IF(C723="","",IFERROR(INDEX('Taxonomy Rules'!$F$42:$F$68,MATCH(E723,'Taxonomy Rules'!$C$42:$C$68,0)),""))</x:f>
      </x:c>
      <x:c r="U723" s="9" t="str">
        <x:f>IF(C723="","",IFERROR(INDEX('Taxonomy'!$G$9:$G$108,MATCH(D723,'Taxonomy'!$C$9:$C$108,0)),""))</x:f>
      </x:c>
    </x:row>
    <x:row r="724" ht="44" customHeight="1">
      <x:c r="A724" s="1"/>
      <x:c r="B724" s="1"/>
      <x:c r="C724" s="8"/>
      <x:c r="D724" s="8"/>
      <x:c r="E724" s="8"/>
      <x:c r="F724" s="8"/>
      <x:c r="G724" s="8"/>
      <x:c r="H724" s="8"/>
      <x:c r="I724" s="8"/>
      <x:c r="J724" s="8"/>
      <x:c r="K724" s="8"/>
      <x:c r="L724" s="8"/>
      <x:c r="M724" s="10"/>
      <x:c r="N724" s="10"/>
      <x:c r="O724" s="8"/>
      <x:c r="P724" s="9" t="str">
        <x:f>IF(C724="","",IF(AND(G724="Applicable",H724="Fail"),"Fail",IF(R724&lt;&gt;"Valid","Pending",IF(OR(I724="",K724="",L724="",K724=L724,NOT(ISNUMBER(M724)),NOT(ISNUMBER(N724)),M724&gt;Settings!$F$8,N724&lt;Settings!$F$8,N724&lt;M724),"Pending",IF(AND(G724="Applicable",H724="Pass"),"Pass",IF(AND(G724="N/A",H724="N/A",J724&lt;&gt;"",OR(E724="CEM-FUELS",E724="CEM-CCS",AND(E724="CEM-PLAN",IFERROR(INDEX('Taxonomy'!$M$9:$M$108,MATCH(D724,'Taxonomy'!$C$9:$C$108,0)),"")&lt;&gt;"Amber"),E724="BLD-TIMBER",AND(U724="Building equipment",OR(E724="BLD-WATER",E724="BLD-WASTE",E724="BLD-LAND")),AND(U724="Building renovation",E724="BLD-LAND"))),"N/A","Pending"))))))</x:f>
      </x:c>
      <x:c r="Q724" s="3" t="str">
        <x:f>IF(C724="","",IF(AND(R724="Valid",OR(P724="Pass",P724="N/A")),"Complete","Unresolved"))</x:f>
      </x:c>
      <x:c r="R724" s="9" t="str">
        <x:f>IF(C724="","",IF(OR(COUNTIF($C$9:$C$2008,C724)&lt;&gt;1,COUNTIFS($D$9:$D$2008,D724,$E$9:$E$2008,E724)&lt;&gt;1),"Duplicate test",IF(COUNTIF('Taxonomy'!$C$9:$C$108,D724)&lt;&gt;1,"Assessment key",IF(OR(COUNTIF('Taxonomy Rules'!$C$42:$C$68,E724)&lt;&gt;1,F724&lt;&gt;IFERROR(INDEX('Taxonomy Rules'!$D$42:$D$68,MATCH(E724,'Taxonomy Rules'!$C$42:$C$68,0)),""),NOT(OR(IFERROR(INDEX('Taxonomy Rules'!$G$42:$G$68,MATCH(E724,'Taxonomy Rules'!$C$42:$C$68,0)),"")="All supported routes",IFERROR(INDEX('Taxonomy Rules'!$G$42:$G$68,MATCH(E724,'Taxonomy Rules'!$C$42:$C$68,0)),"")=U724,AND(IFERROR(INDEX('Taxonomy Rules'!$G$42:$G$68,MATCH(E724,'Taxonomy Rules'!$C$42:$C$68,0)),"")="Building routes",OR(U724="Building renovation",U724="New building",U724="Building equipment"))))),"Unexpected test","Valid"))))</x:f>
      </x:c>
      <x:c r="S724" s="9" t="str">
        <x:f>IF(C724="","",IFERROR(INDEX('Taxonomy Rules'!$E$42:$E$68,MATCH(E724,'Taxonomy Rules'!$C$42:$C$68,0)),""))</x:f>
      </x:c>
      <x:c r="T724" s="9" t="str">
        <x:f>IF(C724="","",IFERROR(INDEX('Taxonomy Rules'!$F$42:$F$68,MATCH(E724,'Taxonomy Rules'!$C$42:$C$68,0)),""))</x:f>
      </x:c>
      <x:c r="U724" s="9" t="str">
        <x:f>IF(C724="","",IFERROR(INDEX('Taxonomy'!$G$9:$G$108,MATCH(D724,'Taxonomy'!$C$9:$C$108,0)),""))</x:f>
      </x:c>
    </x:row>
    <x:row r="725" ht="44" customHeight="1">
      <x:c r="A725" s="1"/>
      <x:c r="B725" s="1"/>
      <x:c r="C725" s="8"/>
      <x:c r="D725" s="8"/>
      <x:c r="E725" s="8"/>
      <x:c r="F725" s="8"/>
      <x:c r="G725" s="8"/>
      <x:c r="H725" s="8"/>
      <x:c r="I725" s="8"/>
      <x:c r="J725" s="8"/>
      <x:c r="K725" s="8"/>
      <x:c r="L725" s="8"/>
      <x:c r="M725" s="10"/>
      <x:c r="N725" s="10"/>
      <x:c r="O725" s="8"/>
      <x:c r="P725" s="9" t="str">
        <x:f>IF(C725="","",IF(AND(G725="Applicable",H725="Fail"),"Fail",IF(R725&lt;&gt;"Valid","Pending",IF(OR(I725="",K725="",L725="",K725=L725,NOT(ISNUMBER(M725)),NOT(ISNUMBER(N725)),M725&gt;Settings!$F$8,N725&lt;Settings!$F$8,N725&lt;M725),"Pending",IF(AND(G725="Applicable",H725="Pass"),"Pass",IF(AND(G725="N/A",H725="N/A",J725&lt;&gt;"",OR(E725="CEM-FUELS",E725="CEM-CCS",AND(E725="CEM-PLAN",IFERROR(INDEX('Taxonomy'!$M$9:$M$108,MATCH(D725,'Taxonomy'!$C$9:$C$108,0)),"")&lt;&gt;"Amber"),E725="BLD-TIMBER",AND(U725="Building equipment",OR(E725="BLD-WATER",E725="BLD-WASTE",E725="BLD-LAND")),AND(U725="Building renovation",E725="BLD-LAND"))),"N/A","Pending"))))))</x:f>
      </x:c>
      <x:c r="Q725" s="3" t="str">
        <x:f>IF(C725="","",IF(AND(R725="Valid",OR(P725="Pass",P725="N/A")),"Complete","Unresolved"))</x:f>
      </x:c>
      <x:c r="R725" s="9" t="str">
        <x:f>IF(C725="","",IF(OR(COUNTIF($C$9:$C$2008,C725)&lt;&gt;1,COUNTIFS($D$9:$D$2008,D725,$E$9:$E$2008,E725)&lt;&gt;1),"Duplicate test",IF(COUNTIF('Taxonomy'!$C$9:$C$108,D725)&lt;&gt;1,"Assessment key",IF(OR(COUNTIF('Taxonomy Rules'!$C$42:$C$68,E725)&lt;&gt;1,F725&lt;&gt;IFERROR(INDEX('Taxonomy Rules'!$D$42:$D$68,MATCH(E725,'Taxonomy Rules'!$C$42:$C$68,0)),""),NOT(OR(IFERROR(INDEX('Taxonomy Rules'!$G$42:$G$68,MATCH(E725,'Taxonomy Rules'!$C$42:$C$68,0)),"")="All supported routes",IFERROR(INDEX('Taxonomy Rules'!$G$42:$G$68,MATCH(E725,'Taxonomy Rules'!$C$42:$C$68,0)),"")=U725,AND(IFERROR(INDEX('Taxonomy Rules'!$G$42:$G$68,MATCH(E725,'Taxonomy Rules'!$C$42:$C$68,0)),"")="Building routes",OR(U725="Building renovation",U725="New building",U725="Building equipment"))))),"Unexpected test","Valid"))))</x:f>
      </x:c>
      <x:c r="S725" s="9" t="str">
        <x:f>IF(C725="","",IFERROR(INDEX('Taxonomy Rules'!$E$42:$E$68,MATCH(E725,'Taxonomy Rules'!$C$42:$C$68,0)),""))</x:f>
      </x:c>
      <x:c r="T725" s="9" t="str">
        <x:f>IF(C725="","",IFERROR(INDEX('Taxonomy Rules'!$F$42:$F$68,MATCH(E725,'Taxonomy Rules'!$C$42:$C$68,0)),""))</x:f>
      </x:c>
      <x:c r="U725" s="9" t="str">
        <x:f>IF(C725="","",IFERROR(INDEX('Taxonomy'!$G$9:$G$108,MATCH(D725,'Taxonomy'!$C$9:$C$108,0)),""))</x:f>
      </x:c>
    </x:row>
    <x:row r="726" ht="44" customHeight="1">
      <x:c r="A726" s="1"/>
      <x:c r="B726" s="1"/>
      <x:c r="C726" s="8"/>
      <x:c r="D726" s="8"/>
      <x:c r="E726" s="8"/>
      <x:c r="F726" s="8"/>
      <x:c r="G726" s="8"/>
      <x:c r="H726" s="8"/>
      <x:c r="I726" s="8"/>
      <x:c r="J726" s="8"/>
      <x:c r="K726" s="8"/>
      <x:c r="L726" s="8"/>
      <x:c r="M726" s="10"/>
      <x:c r="N726" s="10"/>
      <x:c r="O726" s="8"/>
      <x:c r="P726" s="9" t="str">
        <x:f>IF(C726="","",IF(AND(G726="Applicable",H726="Fail"),"Fail",IF(R726&lt;&gt;"Valid","Pending",IF(OR(I726="",K726="",L726="",K726=L726,NOT(ISNUMBER(M726)),NOT(ISNUMBER(N726)),M726&gt;Settings!$F$8,N726&lt;Settings!$F$8,N726&lt;M726),"Pending",IF(AND(G726="Applicable",H726="Pass"),"Pass",IF(AND(G726="N/A",H726="N/A",J726&lt;&gt;"",OR(E726="CEM-FUELS",E726="CEM-CCS",AND(E726="CEM-PLAN",IFERROR(INDEX('Taxonomy'!$M$9:$M$108,MATCH(D726,'Taxonomy'!$C$9:$C$108,0)),"")&lt;&gt;"Amber"),E726="BLD-TIMBER",AND(U726="Building equipment",OR(E726="BLD-WATER",E726="BLD-WASTE",E726="BLD-LAND")),AND(U726="Building renovation",E726="BLD-LAND"))),"N/A","Pending"))))))</x:f>
      </x:c>
      <x:c r="Q726" s="3" t="str">
        <x:f>IF(C726="","",IF(AND(R726="Valid",OR(P726="Pass",P726="N/A")),"Complete","Unresolved"))</x:f>
      </x:c>
      <x:c r="R726" s="9" t="str">
        <x:f>IF(C726="","",IF(OR(COUNTIF($C$9:$C$2008,C726)&lt;&gt;1,COUNTIFS($D$9:$D$2008,D726,$E$9:$E$2008,E726)&lt;&gt;1),"Duplicate test",IF(COUNTIF('Taxonomy'!$C$9:$C$108,D726)&lt;&gt;1,"Assessment key",IF(OR(COUNTIF('Taxonomy Rules'!$C$42:$C$68,E726)&lt;&gt;1,F726&lt;&gt;IFERROR(INDEX('Taxonomy Rules'!$D$42:$D$68,MATCH(E726,'Taxonomy Rules'!$C$42:$C$68,0)),""),NOT(OR(IFERROR(INDEX('Taxonomy Rules'!$G$42:$G$68,MATCH(E726,'Taxonomy Rules'!$C$42:$C$68,0)),"")="All supported routes",IFERROR(INDEX('Taxonomy Rules'!$G$42:$G$68,MATCH(E726,'Taxonomy Rules'!$C$42:$C$68,0)),"")=U726,AND(IFERROR(INDEX('Taxonomy Rules'!$G$42:$G$68,MATCH(E726,'Taxonomy Rules'!$C$42:$C$68,0)),"")="Building routes",OR(U726="Building renovation",U726="New building",U726="Building equipment"))))),"Unexpected test","Valid"))))</x:f>
      </x:c>
      <x:c r="S726" s="9" t="str">
        <x:f>IF(C726="","",IFERROR(INDEX('Taxonomy Rules'!$E$42:$E$68,MATCH(E726,'Taxonomy Rules'!$C$42:$C$68,0)),""))</x:f>
      </x:c>
      <x:c r="T726" s="9" t="str">
        <x:f>IF(C726="","",IFERROR(INDEX('Taxonomy Rules'!$F$42:$F$68,MATCH(E726,'Taxonomy Rules'!$C$42:$C$68,0)),""))</x:f>
      </x:c>
      <x:c r="U726" s="9" t="str">
        <x:f>IF(C726="","",IFERROR(INDEX('Taxonomy'!$G$9:$G$108,MATCH(D726,'Taxonomy'!$C$9:$C$108,0)),""))</x:f>
      </x:c>
    </x:row>
    <x:row r="727" ht="44" customHeight="1">
      <x:c r="A727" s="1"/>
      <x:c r="B727" s="1"/>
      <x:c r="C727" s="8"/>
      <x:c r="D727" s="8"/>
      <x:c r="E727" s="8"/>
      <x:c r="F727" s="8"/>
      <x:c r="G727" s="8"/>
      <x:c r="H727" s="8"/>
      <x:c r="I727" s="8"/>
      <x:c r="J727" s="8"/>
      <x:c r="K727" s="8"/>
      <x:c r="L727" s="8"/>
      <x:c r="M727" s="10"/>
      <x:c r="N727" s="10"/>
      <x:c r="O727" s="8"/>
      <x:c r="P727" s="9" t="str">
        <x:f>IF(C727="","",IF(AND(G727="Applicable",H727="Fail"),"Fail",IF(R727&lt;&gt;"Valid","Pending",IF(OR(I727="",K727="",L727="",K727=L727,NOT(ISNUMBER(M727)),NOT(ISNUMBER(N727)),M727&gt;Settings!$F$8,N727&lt;Settings!$F$8,N727&lt;M727),"Pending",IF(AND(G727="Applicable",H727="Pass"),"Pass",IF(AND(G727="N/A",H727="N/A",J727&lt;&gt;"",OR(E727="CEM-FUELS",E727="CEM-CCS",AND(E727="CEM-PLAN",IFERROR(INDEX('Taxonomy'!$M$9:$M$108,MATCH(D727,'Taxonomy'!$C$9:$C$108,0)),"")&lt;&gt;"Amber"),E727="BLD-TIMBER",AND(U727="Building equipment",OR(E727="BLD-WATER",E727="BLD-WASTE",E727="BLD-LAND")),AND(U727="Building renovation",E727="BLD-LAND"))),"N/A","Pending"))))))</x:f>
      </x:c>
      <x:c r="Q727" s="3" t="str">
        <x:f>IF(C727="","",IF(AND(R727="Valid",OR(P727="Pass",P727="N/A")),"Complete","Unresolved"))</x:f>
      </x:c>
      <x:c r="R727" s="9" t="str">
        <x:f>IF(C727="","",IF(OR(COUNTIF($C$9:$C$2008,C727)&lt;&gt;1,COUNTIFS($D$9:$D$2008,D727,$E$9:$E$2008,E727)&lt;&gt;1),"Duplicate test",IF(COUNTIF('Taxonomy'!$C$9:$C$108,D727)&lt;&gt;1,"Assessment key",IF(OR(COUNTIF('Taxonomy Rules'!$C$42:$C$68,E727)&lt;&gt;1,F727&lt;&gt;IFERROR(INDEX('Taxonomy Rules'!$D$42:$D$68,MATCH(E727,'Taxonomy Rules'!$C$42:$C$68,0)),""),NOT(OR(IFERROR(INDEX('Taxonomy Rules'!$G$42:$G$68,MATCH(E727,'Taxonomy Rules'!$C$42:$C$68,0)),"")="All supported routes",IFERROR(INDEX('Taxonomy Rules'!$G$42:$G$68,MATCH(E727,'Taxonomy Rules'!$C$42:$C$68,0)),"")=U727,AND(IFERROR(INDEX('Taxonomy Rules'!$G$42:$G$68,MATCH(E727,'Taxonomy Rules'!$C$42:$C$68,0)),"")="Building routes",OR(U727="Building renovation",U727="New building",U727="Building equipment"))))),"Unexpected test","Valid"))))</x:f>
      </x:c>
      <x:c r="S727" s="9" t="str">
        <x:f>IF(C727="","",IFERROR(INDEX('Taxonomy Rules'!$E$42:$E$68,MATCH(E727,'Taxonomy Rules'!$C$42:$C$68,0)),""))</x:f>
      </x:c>
      <x:c r="T727" s="9" t="str">
        <x:f>IF(C727="","",IFERROR(INDEX('Taxonomy Rules'!$F$42:$F$68,MATCH(E727,'Taxonomy Rules'!$C$42:$C$68,0)),""))</x:f>
      </x:c>
      <x:c r="U727" s="9" t="str">
        <x:f>IF(C727="","",IFERROR(INDEX('Taxonomy'!$G$9:$G$108,MATCH(D727,'Taxonomy'!$C$9:$C$108,0)),""))</x:f>
      </x:c>
    </x:row>
    <x:row r="728" ht="44" customHeight="1">
      <x:c r="A728" s="1"/>
      <x:c r="B728" s="1"/>
      <x:c r="C728" s="8"/>
      <x:c r="D728" s="8"/>
      <x:c r="E728" s="8"/>
      <x:c r="F728" s="8"/>
      <x:c r="G728" s="8"/>
      <x:c r="H728" s="8"/>
      <x:c r="I728" s="8"/>
      <x:c r="J728" s="8"/>
      <x:c r="K728" s="8"/>
      <x:c r="L728" s="8"/>
      <x:c r="M728" s="10"/>
      <x:c r="N728" s="10"/>
      <x:c r="O728" s="8"/>
      <x:c r="P728" s="9" t="str">
        <x:f>IF(C728="","",IF(AND(G728="Applicable",H728="Fail"),"Fail",IF(R728&lt;&gt;"Valid","Pending",IF(OR(I728="",K728="",L728="",K728=L728,NOT(ISNUMBER(M728)),NOT(ISNUMBER(N728)),M728&gt;Settings!$F$8,N728&lt;Settings!$F$8,N728&lt;M728),"Pending",IF(AND(G728="Applicable",H728="Pass"),"Pass",IF(AND(G728="N/A",H728="N/A",J728&lt;&gt;"",OR(E728="CEM-FUELS",E728="CEM-CCS",AND(E728="CEM-PLAN",IFERROR(INDEX('Taxonomy'!$M$9:$M$108,MATCH(D728,'Taxonomy'!$C$9:$C$108,0)),"")&lt;&gt;"Amber"),E728="BLD-TIMBER",AND(U728="Building equipment",OR(E728="BLD-WATER",E728="BLD-WASTE",E728="BLD-LAND")),AND(U728="Building renovation",E728="BLD-LAND"))),"N/A","Pending"))))))</x:f>
      </x:c>
      <x:c r="Q728" s="3" t="str">
        <x:f>IF(C728="","",IF(AND(R728="Valid",OR(P728="Pass",P728="N/A")),"Complete","Unresolved"))</x:f>
      </x:c>
      <x:c r="R728" s="9" t="str">
        <x:f>IF(C728="","",IF(OR(COUNTIF($C$9:$C$2008,C728)&lt;&gt;1,COUNTIFS($D$9:$D$2008,D728,$E$9:$E$2008,E728)&lt;&gt;1),"Duplicate test",IF(COUNTIF('Taxonomy'!$C$9:$C$108,D728)&lt;&gt;1,"Assessment key",IF(OR(COUNTIF('Taxonomy Rules'!$C$42:$C$68,E728)&lt;&gt;1,F728&lt;&gt;IFERROR(INDEX('Taxonomy Rules'!$D$42:$D$68,MATCH(E728,'Taxonomy Rules'!$C$42:$C$68,0)),""),NOT(OR(IFERROR(INDEX('Taxonomy Rules'!$G$42:$G$68,MATCH(E728,'Taxonomy Rules'!$C$42:$C$68,0)),"")="All supported routes",IFERROR(INDEX('Taxonomy Rules'!$G$42:$G$68,MATCH(E728,'Taxonomy Rules'!$C$42:$C$68,0)),"")=U728,AND(IFERROR(INDEX('Taxonomy Rules'!$G$42:$G$68,MATCH(E728,'Taxonomy Rules'!$C$42:$C$68,0)),"")="Building routes",OR(U728="Building renovation",U728="New building",U728="Building equipment"))))),"Unexpected test","Valid"))))</x:f>
      </x:c>
      <x:c r="S728" s="9" t="str">
        <x:f>IF(C728="","",IFERROR(INDEX('Taxonomy Rules'!$E$42:$E$68,MATCH(E728,'Taxonomy Rules'!$C$42:$C$68,0)),""))</x:f>
      </x:c>
      <x:c r="T728" s="9" t="str">
        <x:f>IF(C728="","",IFERROR(INDEX('Taxonomy Rules'!$F$42:$F$68,MATCH(E728,'Taxonomy Rules'!$C$42:$C$68,0)),""))</x:f>
      </x:c>
      <x:c r="U728" s="9" t="str">
        <x:f>IF(C728="","",IFERROR(INDEX('Taxonomy'!$G$9:$G$108,MATCH(D728,'Taxonomy'!$C$9:$C$108,0)),""))</x:f>
      </x:c>
    </x:row>
    <x:row r="729" ht="44" customHeight="1">
      <x:c r="A729" s="1"/>
      <x:c r="B729" s="1"/>
      <x:c r="C729" s="8"/>
      <x:c r="D729" s="8"/>
      <x:c r="E729" s="8"/>
      <x:c r="F729" s="8"/>
      <x:c r="G729" s="8"/>
      <x:c r="H729" s="8"/>
      <x:c r="I729" s="8"/>
      <x:c r="J729" s="8"/>
      <x:c r="K729" s="8"/>
      <x:c r="L729" s="8"/>
      <x:c r="M729" s="10"/>
      <x:c r="N729" s="10"/>
      <x:c r="O729" s="8"/>
      <x:c r="P729" s="9" t="str">
        <x:f>IF(C729="","",IF(AND(G729="Applicable",H729="Fail"),"Fail",IF(R729&lt;&gt;"Valid","Pending",IF(OR(I729="",K729="",L729="",K729=L729,NOT(ISNUMBER(M729)),NOT(ISNUMBER(N729)),M729&gt;Settings!$F$8,N729&lt;Settings!$F$8,N729&lt;M729),"Pending",IF(AND(G729="Applicable",H729="Pass"),"Pass",IF(AND(G729="N/A",H729="N/A",J729&lt;&gt;"",OR(E729="CEM-FUELS",E729="CEM-CCS",AND(E729="CEM-PLAN",IFERROR(INDEX('Taxonomy'!$M$9:$M$108,MATCH(D729,'Taxonomy'!$C$9:$C$108,0)),"")&lt;&gt;"Amber"),E729="BLD-TIMBER",AND(U729="Building equipment",OR(E729="BLD-WATER",E729="BLD-WASTE",E729="BLD-LAND")),AND(U729="Building renovation",E729="BLD-LAND"))),"N/A","Pending"))))))</x:f>
      </x:c>
      <x:c r="Q729" s="3" t="str">
        <x:f>IF(C729="","",IF(AND(R729="Valid",OR(P729="Pass",P729="N/A")),"Complete","Unresolved"))</x:f>
      </x:c>
      <x:c r="R729" s="9" t="str">
        <x:f>IF(C729="","",IF(OR(COUNTIF($C$9:$C$2008,C729)&lt;&gt;1,COUNTIFS($D$9:$D$2008,D729,$E$9:$E$2008,E729)&lt;&gt;1),"Duplicate test",IF(COUNTIF('Taxonomy'!$C$9:$C$108,D729)&lt;&gt;1,"Assessment key",IF(OR(COUNTIF('Taxonomy Rules'!$C$42:$C$68,E729)&lt;&gt;1,F729&lt;&gt;IFERROR(INDEX('Taxonomy Rules'!$D$42:$D$68,MATCH(E729,'Taxonomy Rules'!$C$42:$C$68,0)),""),NOT(OR(IFERROR(INDEX('Taxonomy Rules'!$G$42:$G$68,MATCH(E729,'Taxonomy Rules'!$C$42:$C$68,0)),"")="All supported routes",IFERROR(INDEX('Taxonomy Rules'!$G$42:$G$68,MATCH(E729,'Taxonomy Rules'!$C$42:$C$68,0)),"")=U729,AND(IFERROR(INDEX('Taxonomy Rules'!$G$42:$G$68,MATCH(E729,'Taxonomy Rules'!$C$42:$C$68,0)),"")="Building routes",OR(U729="Building renovation",U729="New building",U729="Building equipment"))))),"Unexpected test","Valid"))))</x:f>
      </x:c>
      <x:c r="S729" s="9" t="str">
        <x:f>IF(C729="","",IFERROR(INDEX('Taxonomy Rules'!$E$42:$E$68,MATCH(E729,'Taxonomy Rules'!$C$42:$C$68,0)),""))</x:f>
      </x:c>
      <x:c r="T729" s="9" t="str">
        <x:f>IF(C729="","",IFERROR(INDEX('Taxonomy Rules'!$F$42:$F$68,MATCH(E729,'Taxonomy Rules'!$C$42:$C$68,0)),""))</x:f>
      </x:c>
      <x:c r="U729" s="9" t="str">
        <x:f>IF(C729="","",IFERROR(INDEX('Taxonomy'!$G$9:$G$108,MATCH(D729,'Taxonomy'!$C$9:$C$108,0)),""))</x:f>
      </x:c>
    </x:row>
    <x:row r="730" ht="44" customHeight="1">
      <x:c r="A730" s="1"/>
      <x:c r="B730" s="1"/>
      <x:c r="C730" s="8"/>
      <x:c r="D730" s="8"/>
      <x:c r="E730" s="8"/>
      <x:c r="F730" s="8"/>
      <x:c r="G730" s="8"/>
      <x:c r="H730" s="8"/>
      <x:c r="I730" s="8"/>
      <x:c r="J730" s="8"/>
      <x:c r="K730" s="8"/>
      <x:c r="L730" s="8"/>
      <x:c r="M730" s="10"/>
      <x:c r="N730" s="10"/>
      <x:c r="O730" s="8"/>
      <x:c r="P730" s="9" t="str">
        <x:f>IF(C730="","",IF(AND(G730="Applicable",H730="Fail"),"Fail",IF(R730&lt;&gt;"Valid","Pending",IF(OR(I730="",K730="",L730="",K730=L730,NOT(ISNUMBER(M730)),NOT(ISNUMBER(N730)),M730&gt;Settings!$F$8,N730&lt;Settings!$F$8,N730&lt;M730),"Pending",IF(AND(G730="Applicable",H730="Pass"),"Pass",IF(AND(G730="N/A",H730="N/A",J730&lt;&gt;"",OR(E730="CEM-FUELS",E730="CEM-CCS",AND(E730="CEM-PLAN",IFERROR(INDEX('Taxonomy'!$M$9:$M$108,MATCH(D730,'Taxonomy'!$C$9:$C$108,0)),"")&lt;&gt;"Amber"),E730="BLD-TIMBER",AND(U730="Building equipment",OR(E730="BLD-WATER",E730="BLD-WASTE",E730="BLD-LAND")),AND(U730="Building renovation",E730="BLD-LAND"))),"N/A","Pending"))))))</x:f>
      </x:c>
      <x:c r="Q730" s="3" t="str">
        <x:f>IF(C730="","",IF(AND(R730="Valid",OR(P730="Pass",P730="N/A")),"Complete","Unresolved"))</x:f>
      </x:c>
      <x:c r="R730" s="9" t="str">
        <x:f>IF(C730="","",IF(OR(COUNTIF($C$9:$C$2008,C730)&lt;&gt;1,COUNTIFS($D$9:$D$2008,D730,$E$9:$E$2008,E730)&lt;&gt;1),"Duplicate test",IF(COUNTIF('Taxonomy'!$C$9:$C$108,D730)&lt;&gt;1,"Assessment key",IF(OR(COUNTIF('Taxonomy Rules'!$C$42:$C$68,E730)&lt;&gt;1,F730&lt;&gt;IFERROR(INDEX('Taxonomy Rules'!$D$42:$D$68,MATCH(E730,'Taxonomy Rules'!$C$42:$C$68,0)),""),NOT(OR(IFERROR(INDEX('Taxonomy Rules'!$G$42:$G$68,MATCH(E730,'Taxonomy Rules'!$C$42:$C$68,0)),"")="All supported routes",IFERROR(INDEX('Taxonomy Rules'!$G$42:$G$68,MATCH(E730,'Taxonomy Rules'!$C$42:$C$68,0)),"")=U730,AND(IFERROR(INDEX('Taxonomy Rules'!$G$42:$G$68,MATCH(E730,'Taxonomy Rules'!$C$42:$C$68,0)),"")="Building routes",OR(U730="Building renovation",U730="New building",U730="Building equipment"))))),"Unexpected test","Valid"))))</x:f>
      </x:c>
      <x:c r="S730" s="9" t="str">
        <x:f>IF(C730="","",IFERROR(INDEX('Taxonomy Rules'!$E$42:$E$68,MATCH(E730,'Taxonomy Rules'!$C$42:$C$68,0)),""))</x:f>
      </x:c>
      <x:c r="T730" s="9" t="str">
        <x:f>IF(C730="","",IFERROR(INDEX('Taxonomy Rules'!$F$42:$F$68,MATCH(E730,'Taxonomy Rules'!$C$42:$C$68,0)),""))</x:f>
      </x:c>
      <x:c r="U730" s="9" t="str">
        <x:f>IF(C730="","",IFERROR(INDEX('Taxonomy'!$G$9:$G$108,MATCH(D730,'Taxonomy'!$C$9:$C$108,0)),""))</x:f>
      </x:c>
    </x:row>
    <x:row r="731" ht="44" customHeight="1">
      <x:c r="A731" s="1"/>
      <x:c r="B731" s="1"/>
      <x:c r="C731" s="8"/>
      <x:c r="D731" s="8"/>
      <x:c r="E731" s="8"/>
      <x:c r="F731" s="8"/>
      <x:c r="G731" s="8"/>
      <x:c r="H731" s="8"/>
      <x:c r="I731" s="8"/>
      <x:c r="J731" s="8"/>
      <x:c r="K731" s="8"/>
      <x:c r="L731" s="8"/>
      <x:c r="M731" s="10"/>
      <x:c r="N731" s="10"/>
      <x:c r="O731" s="8"/>
      <x:c r="P731" s="9" t="str">
        <x:f>IF(C731="","",IF(AND(G731="Applicable",H731="Fail"),"Fail",IF(R731&lt;&gt;"Valid","Pending",IF(OR(I731="",K731="",L731="",K731=L731,NOT(ISNUMBER(M731)),NOT(ISNUMBER(N731)),M731&gt;Settings!$F$8,N731&lt;Settings!$F$8,N731&lt;M731),"Pending",IF(AND(G731="Applicable",H731="Pass"),"Pass",IF(AND(G731="N/A",H731="N/A",J731&lt;&gt;"",OR(E731="CEM-FUELS",E731="CEM-CCS",AND(E731="CEM-PLAN",IFERROR(INDEX('Taxonomy'!$M$9:$M$108,MATCH(D731,'Taxonomy'!$C$9:$C$108,0)),"")&lt;&gt;"Amber"),E731="BLD-TIMBER",AND(U731="Building equipment",OR(E731="BLD-WATER",E731="BLD-WASTE",E731="BLD-LAND")),AND(U731="Building renovation",E731="BLD-LAND"))),"N/A","Pending"))))))</x:f>
      </x:c>
      <x:c r="Q731" s="3" t="str">
        <x:f>IF(C731="","",IF(AND(R731="Valid",OR(P731="Pass",P731="N/A")),"Complete","Unresolved"))</x:f>
      </x:c>
      <x:c r="R731" s="9" t="str">
        <x:f>IF(C731="","",IF(OR(COUNTIF($C$9:$C$2008,C731)&lt;&gt;1,COUNTIFS($D$9:$D$2008,D731,$E$9:$E$2008,E731)&lt;&gt;1),"Duplicate test",IF(COUNTIF('Taxonomy'!$C$9:$C$108,D731)&lt;&gt;1,"Assessment key",IF(OR(COUNTIF('Taxonomy Rules'!$C$42:$C$68,E731)&lt;&gt;1,F731&lt;&gt;IFERROR(INDEX('Taxonomy Rules'!$D$42:$D$68,MATCH(E731,'Taxonomy Rules'!$C$42:$C$68,0)),""),NOT(OR(IFERROR(INDEX('Taxonomy Rules'!$G$42:$G$68,MATCH(E731,'Taxonomy Rules'!$C$42:$C$68,0)),"")="All supported routes",IFERROR(INDEX('Taxonomy Rules'!$G$42:$G$68,MATCH(E731,'Taxonomy Rules'!$C$42:$C$68,0)),"")=U731,AND(IFERROR(INDEX('Taxonomy Rules'!$G$42:$G$68,MATCH(E731,'Taxonomy Rules'!$C$42:$C$68,0)),"")="Building routes",OR(U731="Building renovation",U731="New building",U731="Building equipment"))))),"Unexpected test","Valid"))))</x:f>
      </x:c>
      <x:c r="S731" s="9" t="str">
        <x:f>IF(C731="","",IFERROR(INDEX('Taxonomy Rules'!$E$42:$E$68,MATCH(E731,'Taxonomy Rules'!$C$42:$C$68,0)),""))</x:f>
      </x:c>
      <x:c r="T731" s="9" t="str">
        <x:f>IF(C731="","",IFERROR(INDEX('Taxonomy Rules'!$F$42:$F$68,MATCH(E731,'Taxonomy Rules'!$C$42:$C$68,0)),""))</x:f>
      </x:c>
      <x:c r="U731" s="9" t="str">
        <x:f>IF(C731="","",IFERROR(INDEX('Taxonomy'!$G$9:$G$108,MATCH(D731,'Taxonomy'!$C$9:$C$108,0)),""))</x:f>
      </x:c>
    </x:row>
    <x:row r="732" ht="44" customHeight="1">
      <x:c r="A732" s="1"/>
      <x:c r="B732" s="1"/>
      <x:c r="C732" s="8"/>
      <x:c r="D732" s="8"/>
      <x:c r="E732" s="8"/>
      <x:c r="F732" s="8"/>
      <x:c r="G732" s="8"/>
      <x:c r="H732" s="8"/>
      <x:c r="I732" s="8"/>
      <x:c r="J732" s="8"/>
      <x:c r="K732" s="8"/>
      <x:c r="L732" s="8"/>
      <x:c r="M732" s="10"/>
      <x:c r="N732" s="10"/>
      <x:c r="O732" s="8"/>
      <x:c r="P732" s="9" t="str">
        <x:f>IF(C732="","",IF(AND(G732="Applicable",H732="Fail"),"Fail",IF(R732&lt;&gt;"Valid","Pending",IF(OR(I732="",K732="",L732="",K732=L732,NOT(ISNUMBER(M732)),NOT(ISNUMBER(N732)),M732&gt;Settings!$F$8,N732&lt;Settings!$F$8,N732&lt;M732),"Pending",IF(AND(G732="Applicable",H732="Pass"),"Pass",IF(AND(G732="N/A",H732="N/A",J732&lt;&gt;"",OR(E732="CEM-FUELS",E732="CEM-CCS",AND(E732="CEM-PLAN",IFERROR(INDEX('Taxonomy'!$M$9:$M$108,MATCH(D732,'Taxonomy'!$C$9:$C$108,0)),"")&lt;&gt;"Amber"),E732="BLD-TIMBER",AND(U732="Building equipment",OR(E732="BLD-WATER",E732="BLD-WASTE",E732="BLD-LAND")),AND(U732="Building renovation",E732="BLD-LAND"))),"N/A","Pending"))))))</x:f>
      </x:c>
      <x:c r="Q732" s="3" t="str">
        <x:f>IF(C732="","",IF(AND(R732="Valid",OR(P732="Pass",P732="N/A")),"Complete","Unresolved"))</x:f>
      </x:c>
      <x:c r="R732" s="9" t="str">
        <x:f>IF(C732="","",IF(OR(COUNTIF($C$9:$C$2008,C732)&lt;&gt;1,COUNTIFS($D$9:$D$2008,D732,$E$9:$E$2008,E732)&lt;&gt;1),"Duplicate test",IF(COUNTIF('Taxonomy'!$C$9:$C$108,D732)&lt;&gt;1,"Assessment key",IF(OR(COUNTIF('Taxonomy Rules'!$C$42:$C$68,E732)&lt;&gt;1,F732&lt;&gt;IFERROR(INDEX('Taxonomy Rules'!$D$42:$D$68,MATCH(E732,'Taxonomy Rules'!$C$42:$C$68,0)),""),NOT(OR(IFERROR(INDEX('Taxonomy Rules'!$G$42:$G$68,MATCH(E732,'Taxonomy Rules'!$C$42:$C$68,0)),"")="All supported routes",IFERROR(INDEX('Taxonomy Rules'!$G$42:$G$68,MATCH(E732,'Taxonomy Rules'!$C$42:$C$68,0)),"")=U732,AND(IFERROR(INDEX('Taxonomy Rules'!$G$42:$G$68,MATCH(E732,'Taxonomy Rules'!$C$42:$C$68,0)),"")="Building routes",OR(U732="Building renovation",U732="New building",U732="Building equipment"))))),"Unexpected test","Valid"))))</x:f>
      </x:c>
      <x:c r="S732" s="9" t="str">
        <x:f>IF(C732="","",IFERROR(INDEX('Taxonomy Rules'!$E$42:$E$68,MATCH(E732,'Taxonomy Rules'!$C$42:$C$68,0)),""))</x:f>
      </x:c>
      <x:c r="T732" s="9" t="str">
        <x:f>IF(C732="","",IFERROR(INDEX('Taxonomy Rules'!$F$42:$F$68,MATCH(E732,'Taxonomy Rules'!$C$42:$C$68,0)),""))</x:f>
      </x:c>
      <x:c r="U732" s="9" t="str">
        <x:f>IF(C732="","",IFERROR(INDEX('Taxonomy'!$G$9:$G$108,MATCH(D732,'Taxonomy'!$C$9:$C$108,0)),""))</x:f>
      </x:c>
    </x:row>
    <x:row r="733" ht="44" customHeight="1">
      <x:c r="A733" s="1"/>
      <x:c r="B733" s="1"/>
      <x:c r="C733" s="8"/>
      <x:c r="D733" s="8"/>
      <x:c r="E733" s="8"/>
      <x:c r="F733" s="8"/>
      <x:c r="G733" s="8"/>
      <x:c r="H733" s="8"/>
      <x:c r="I733" s="8"/>
      <x:c r="J733" s="8"/>
      <x:c r="K733" s="8"/>
      <x:c r="L733" s="8"/>
      <x:c r="M733" s="10"/>
      <x:c r="N733" s="10"/>
      <x:c r="O733" s="8"/>
      <x:c r="P733" s="9" t="str">
        <x:f>IF(C733="","",IF(AND(G733="Applicable",H733="Fail"),"Fail",IF(R733&lt;&gt;"Valid","Pending",IF(OR(I733="",K733="",L733="",K733=L733,NOT(ISNUMBER(M733)),NOT(ISNUMBER(N733)),M733&gt;Settings!$F$8,N733&lt;Settings!$F$8,N733&lt;M733),"Pending",IF(AND(G733="Applicable",H733="Pass"),"Pass",IF(AND(G733="N/A",H733="N/A",J733&lt;&gt;"",OR(E733="CEM-FUELS",E733="CEM-CCS",AND(E733="CEM-PLAN",IFERROR(INDEX('Taxonomy'!$M$9:$M$108,MATCH(D733,'Taxonomy'!$C$9:$C$108,0)),"")&lt;&gt;"Amber"),E733="BLD-TIMBER",AND(U733="Building equipment",OR(E733="BLD-WATER",E733="BLD-WASTE",E733="BLD-LAND")),AND(U733="Building renovation",E733="BLD-LAND"))),"N/A","Pending"))))))</x:f>
      </x:c>
      <x:c r="Q733" s="3" t="str">
        <x:f>IF(C733="","",IF(AND(R733="Valid",OR(P733="Pass",P733="N/A")),"Complete","Unresolved"))</x:f>
      </x:c>
      <x:c r="R733" s="9" t="str">
        <x:f>IF(C733="","",IF(OR(COUNTIF($C$9:$C$2008,C733)&lt;&gt;1,COUNTIFS($D$9:$D$2008,D733,$E$9:$E$2008,E733)&lt;&gt;1),"Duplicate test",IF(COUNTIF('Taxonomy'!$C$9:$C$108,D733)&lt;&gt;1,"Assessment key",IF(OR(COUNTIF('Taxonomy Rules'!$C$42:$C$68,E733)&lt;&gt;1,F733&lt;&gt;IFERROR(INDEX('Taxonomy Rules'!$D$42:$D$68,MATCH(E733,'Taxonomy Rules'!$C$42:$C$68,0)),""),NOT(OR(IFERROR(INDEX('Taxonomy Rules'!$G$42:$G$68,MATCH(E733,'Taxonomy Rules'!$C$42:$C$68,0)),"")="All supported routes",IFERROR(INDEX('Taxonomy Rules'!$G$42:$G$68,MATCH(E733,'Taxonomy Rules'!$C$42:$C$68,0)),"")=U733,AND(IFERROR(INDEX('Taxonomy Rules'!$G$42:$G$68,MATCH(E733,'Taxonomy Rules'!$C$42:$C$68,0)),"")="Building routes",OR(U733="Building renovation",U733="New building",U733="Building equipment"))))),"Unexpected test","Valid"))))</x:f>
      </x:c>
      <x:c r="S733" s="9" t="str">
        <x:f>IF(C733="","",IFERROR(INDEX('Taxonomy Rules'!$E$42:$E$68,MATCH(E733,'Taxonomy Rules'!$C$42:$C$68,0)),""))</x:f>
      </x:c>
      <x:c r="T733" s="9" t="str">
        <x:f>IF(C733="","",IFERROR(INDEX('Taxonomy Rules'!$F$42:$F$68,MATCH(E733,'Taxonomy Rules'!$C$42:$C$68,0)),""))</x:f>
      </x:c>
      <x:c r="U733" s="9" t="str">
        <x:f>IF(C733="","",IFERROR(INDEX('Taxonomy'!$G$9:$G$108,MATCH(D733,'Taxonomy'!$C$9:$C$108,0)),""))</x:f>
      </x:c>
    </x:row>
    <x:row r="734" ht="44" customHeight="1">
      <x:c r="A734" s="1"/>
      <x:c r="B734" s="1"/>
      <x:c r="C734" s="8"/>
      <x:c r="D734" s="8"/>
      <x:c r="E734" s="8"/>
      <x:c r="F734" s="8"/>
      <x:c r="G734" s="8"/>
      <x:c r="H734" s="8"/>
      <x:c r="I734" s="8"/>
      <x:c r="J734" s="8"/>
      <x:c r="K734" s="8"/>
      <x:c r="L734" s="8"/>
      <x:c r="M734" s="10"/>
      <x:c r="N734" s="10"/>
      <x:c r="O734" s="8"/>
      <x:c r="P734" s="9" t="str">
        <x:f>IF(C734="","",IF(AND(G734="Applicable",H734="Fail"),"Fail",IF(R734&lt;&gt;"Valid","Pending",IF(OR(I734="",K734="",L734="",K734=L734,NOT(ISNUMBER(M734)),NOT(ISNUMBER(N734)),M734&gt;Settings!$F$8,N734&lt;Settings!$F$8,N734&lt;M734),"Pending",IF(AND(G734="Applicable",H734="Pass"),"Pass",IF(AND(G734="N/A",H734="N/A",J734&lt;&gt;"",OR(E734="CEM-FUELS",E734="CEM-CCS",AND(E734="CEM-PLAN",IFERROR(INDEX('Taxonomy'!$M$9:$M$108,MATCH(D734,'Taxonomy'!$C$9:$C$108,0)),"")&lt;&gt;"Amber"),E734="BLD-TIMBER",AND(U734="Building equipment",OR(E734="BLD-WATER",E734="BLD-WASTE",E734="BLD-LAND")),AND(U734="Building renovation",E734="BLD-LAND"))),"N/A","Pending"))))))</x:f>
      </x:c>
      <x:c r="Q734" s="3" t="str">
        <x:f>IF(C734="","",IF(AND(R734="Valid",OR(P734="Pass",P734="N/A")),"Complete","Unresolved"))</x:f>
      </x:c>
      <x:c r="R734" s="9" t="str">
        <x:f>IF(C734="","",IF(OR(COUNTIF($C$9:$C$2008,C734)&lt;&gt;1,COUNTIFS($D$9:$D$2008,D734,$E$9:$E$2008,E734)&lt;&gt;1),"Duplicate test",IF(COUNTIF('Taxonomy'!$C$9:$C$108,D734)&lt;&gt;1,"Assessment key",IF(OR(COUNTIF('Taxonomy Rules'!$C$42:$C$68,E734)&lt;&gt;1,F734&lt;&gt;IFERROR(INDEX('Taxonomy Rules'!$D$42:$D$68,MATCH(E734,'Taxonomy Rules'!$C$42:$C$68,0)),""),NOT(OR(IFERROR(INDEX('Taxonomy Rules'!$G$42:$G$68,MATCH(E734,'Taxonomy Rules'!$C$42:$C$68,0)),"")="All supported routes",IFERROR(INDEX('Taxonomy Rules'!$G$42:$G$68,MATCH(E734,'Taxonomy Rules'!$C$42:$C$68,0)),"")=U734,AND(IFERROR(INDEX('Taxonomy Rules'!$G$42:$G$68,MATCH(E734,'Taxonomy Rules'!$C$42:$C$68,0)),"")="Building routes",OR(U734="Building renovation",U734="New building",U734="Building equipment"))))),"Unexpected test","Valid"))))</x:f>
      </x:c>
      <x:c r="S734" s="9" t="str">
        <x:f>IF(C734="","",IFERROR(INDEX('Taxonomy Rules'!$E$42:$E$68,MATCH(E734,'Taxonomy Rules'!$C$42:$C$68,0)),""))</x:f>
      </x:c>
      <x:c r="T734" s="9" t="str">
        <x:f>IF(C734="","",IFERROR(INDEX('Taxonomy Rules'!$F$42:$F$68,MATCH(E734,'Taxonomy Rules'!$C$42:$C$68,0)),""))</x:f>
      </x:c>
      <x:c r="U734" s="9" t="str">
        <x:f>IF(C734="","",IFERROR(INDEX('Taxonomy'!$G$9:$G$108,MATCH(D734,'Taxonomy'!$C$9:$C$108,0)),""))</x:f>
      </x:c>
    </x:row>
    <x:row r="735" ht="44" customHeight="1">
      <x:c r="A735" s="1"/>
      <x:c r="B735" s="1"/>
      <x:c r="C735" s="8"/>
      <x:c r="D735" s="8"/>
      <x:c r="E735" s="8"/>
      <x:c r="F735" s="8"/>
      <x:c r="G735" s="8"/>
      <x:c r="H735" s="8"/>
      <x:c r="I735" s="8"/>
      <x:c r="J735" s="8"/>
      <x:c r="K735" s="8"/>
      <x:c r="L735" s="8"/>
      <x:c r="M735" s="10"/>
      <x:c r="N735" s="10"/>
      <x:c r="O735" s="8"/>
      <x:c r="P735" s="9" t="str">
        <x:f>IF(C735="","",IF(AND(G735="Applicable",H735="Fail"),"Fail",IF(R735&lt;&gt;"Valid","Pending",IF(OR(I735="",K735="",L735="",K735=L735,NOT(ISNUMBER(M735)),NOT(ISNUMBER(N735)),M735&gt;Settings!$F$8,N735&lt;Settings!$F$8,N735&lt;M735),"Pending",IF(AND(G735="Applicable",H735="Pass"),"Pass",IF(AND(G735="N/A",H735="N/A",J735&lt;&gt;"",OR(E735="CEM-FUELS",E735="CEM-CCS",AND(E735="CEM-PLAN",IFERROR(INDEX('Taxonomy'!$M$9:$M$108,MATCH(D735,'Taxonomy'!$C$9:$C$108,0)),"")&lt;&gt;"Amber"),E735="BLD-TIMBER",AND(U735="Building equipment",OR(E735="BLD-WATER",E735="BLD-WASTE",E735="BLD-LAND")),AND(U735="Building renovation",E735="BLD-LAND"))),"N/A","Pending"))))))</x:f>
      </x:c>
      <x:c r="Q735" s="3" t="str">
        <x:f>IF(C735="","",IF(AND(R735="Valid",OR(P735="Pass",P735="N/A")),"Complete","Unresolved"))</x:f>
      </x:c>
      <x:c r="R735" s="9" t="str">
        <x:f>IF(C735="","",IF(OR(COUNTIF($C$9:$C$2008,C735)&lt;&gt;1,COUNTIFS($D$9:$D$2008,D735,$E$9:$E$2008,E735)&lt;&gt;1),"Duplicate test",IF(COUNTIF('Taxonomy'!$C$9:$C$108,D735)&lt;&gt;1,"Assessment key",IF(OR(COUNTIF('Taxonomy Rules'!$C$42:$C$68,E735)&lt;&gt;1,F735&lt;&gt;IFERROR(INDEX('Taxonomy Rules'!$D$42:$D$68,MATCH(E735,'Taxonomy Rules'!$C$42:$C$68,0)),""),NOT(OR(IFERROR(INDEX('Taxonomy Rules'!$G$42:$G$68,MATCH(E735,'Taxonomy Rules'!$C$42:$C$68,0)),"")="All supported routes",IFERROR(INDEX('Taxonomy Rules'!$G$42:$G$68,MATCH(E735,'Taxonomy Rules'!$C$42:$C$68,0)),"")=U735,AND(IFERROR(INDEX('Taxonomy Rules'!$G$42:$G$68,MATCH(E735,'Taxonomy Rules'!$C$42:$C$68,0)),"")="Building routes",OR(U735="Building renovation",U735="New building",U735="Building equipment"))))),"Unexpected test","Valid"))))</x:f>
      </x:c>
      <x:c r="S735" s="9" t="str">
        <x:f>IF(C735="","",IFERROR(INDEX('Taxonomy Rules'!$E$42:$E$68,MATCH(E735,'Taxonomy Rules'!$C$42:$C$68,0)),""))</x:f>
      </x:c>
      <x:c r="T735" s="9" t="str">
        <x:f>IF(C735="","",IFERROR(INDEX('Taxonomy Rules'!$F$42:$F$68,MATCH(E735,'Taxonomy Rules'!$C$42:$C$68,0)),""))</x:f>
      </x:c>
      <x:c r="U735" s="9" t="str">
        <x:f>IF(C735="","",IFERROR(INDEX('Taxonomy'!$G$9:$G$108,MATCH(D735,'Taxonomy'!$C$9:$C$108,0)),""))</x:f>
      </x:c>
    </x:row>
    <x:row r="736" ht="44" customHeight="1">
      <x:c r="A736" s="1"/>
      <x:c r="B736" s="1"/>
      <x:c r="C736" s="8"/>
      <x:c r="D736" s="8"/>
      <x:c r="E736" s="8"/>
      <x:c r="F736" s="8"/>
      <x:c r="G736" s="8"/>
      <x:c r="H736" s="8"/>
      <x:c r="I736" s="8"/>
      <x:c r="J736" s="8"/>
      <x:c r="K736" s="8"/>
      <x:c r="L736" s="8"/>
      <x:c r="M736" s="10"/>
      <x:c r="N736" s="10"/>
      <x:c r="O736" s="8"/>
      <x:c r="P736" s="9" t="str">
        <x:f>IF(C736="","",IF(AND(G736="Applicable",H736="Fail"),"Fail",IF(R736&lt;&gt;"Valid","Pending",IF(OR(I736="",K736="",L736="",K736=L736,NOT(ISNUMBER(M736)),NOT(ISNUMBER(N736)),M736&gt;Settings!$F$8,N736&lt;Settings!$F$8,N736&lt;M736),"Pending",IF(AND(G736="Applicable",H736="Pass"),"Pass",IF(AND(G736="N/A",H736="N/A",J736&lt;&gt;"",OR(E736="CEM-FUELS",E736="CEM-CCS",AND(E736="CEM-PLAN",IFERROR(INDEX('Taxonomy'!$M$9:$M$108,MATCH(D736,'Taxonomy'!$C$9:$C$108,0)),"")&lt;&gt;"Amber"),E736="BLD-TIMBER",AND(U736="Building equipment",OR(E736="BLD-WATER",E736="BLD-WASTE",E736="BLD-LAND")),AND(U736="Building renovation",E736="BLD-LAND"))),"N/A","Pending"))))))</x:f>
      </x:c>
      <x:c r="Q736" s="3" t="str">
        <x:f>IF(C736="","",IF(AND(R736="Valid",OR(P736="Pass",P736="N/A")),"Complete","Unresolved"))</x:f>
      </x:c>
      <x:c r="R736" s="9" t="str">
        <x:f>IF(C736="","",IF(OR(COUNTIF($C$9:$C$2008,C736)&lt;&gt;1,COUNTIFS($D$9:$D$2008,D736,$E$9:$E$2008,E736)&lt;&gt;1),"Duplicate test",IF(COUNTIF('Taxonomy'!$C$9:$C$108,D736)&lt;&gt;1,"Assessment key",IF(OR(COUNTIF('Taxonomy Rules'!$C$42:$C$68,E736)&lt;&gt;1,F736&lt;&gt;IFERROR(INDEX('Taxonomy Rules'!$D$42:$D$68,MATCH(E736,'Taxonomy Rules'!$C$42:$C$68,0)),""),NOT(OR(IFERROR(INDEX('Taxonomy Rules'!$G$42:$G$68,MATCH(E736,'Taxonomy Rules'!$C$42:$C$68,0)),"")="All supported routes",IFERROR(INDEX('Taxonomy Rules'!$G$42:$G$68,MATCH(E736,'Taxonomy Rules'!$C$42:$C$68,0)),"")=U736,AND(IFERROR(INDEX('Taxonomy Rules'!$G$42:$G$68,MATCH(E736,'Taxonomy Rules'!$C$42:$C$68,0)),"")="Building routes",OR(U736="Building renovation",U736="New building",U736="Building equipment"))))),"Unexpected test","Valid"))))</x:f>
      </x:c>
      <x:c r="S736" s="9" t="str">
        <x:f>IF(C736="","",IFERROR(INDEX('Taxonomy Rules'!$E$42:$E$68,MATCH(E736,'Taxonomy Rules'!$C$42:$C$68,0)),""))</x:f>
      </x:c>
      <x:c r="T736" s="9" t="str">
        <x:f>IF(C736="","",IFERROR(INDEX('Taxonomy Rules'!$F$42:$F$68,MATCH(E736,'Taxonomy Rules'!$C$42:$C$68,0)),""))</x:f>
      </x:c>
      <x:c r="U736" s="9" t="str">
        <x:f>IF(C736="","",IFERROR(INDEX('Taxonomy'!$G$9:$G$108,MATCH(D736,'Taxonomy'!$C$9:$C$108,0)),""))</x:f>
      </x:c>
    </x:row>
    <x:row r="737" ht="44" customHeight="1">
      <x:c r="A737" s="1"/>
      <x:c r="B737" s="1"/>
      <x:c r="C737" s="8"/>
      <x:c r="D737" s="8"/>
      <x:c r="E737" s="8"/>
      <x:c r="F737" s="8"/>
      <x:c r="G737" s="8"/>
      <x:c r="H737" s="8"/>
      <x:c r="I737" s="8"/>
      <x:c r="J737" s="8"/>
      <x:c r="K737" s="8"/>
      <x:c r="L737" s="8"/>
      <x:c r="M737" s="10"/>
      <x:c r="N737" s="10"/>
      <x:c r="O737" s="8"/>
      <x:c r="P737" s="9" t="str">
        <x:f>IF(C737="","",IF(AND(G737="Applicable",H737="Fail"),"Fail",IF(R737&lt;&gt;"Valid","Pending",IF(OR(I737="",K737="",L737="",K737=L737,NOT(ISNUMBER(M737)),NOT(ISNUMBER(N737)),M737&gt;Settings!$F$8,N737&lt;Settings!$F$8,N737&lt;M737),"Pending",IF(AND(G737="Applicable",H737="Pass"),"Pass",IF(AND(G737="N/A",H737="N/A",J737&lt;&gt;"",OR(E737="CEM-FUELS",E737="CEM-CCS",AND(E737="CEM-PLAN",IFERROR(INDEX('Taxonomy'!$M$9:$M$108,MATCH(D737,'Taxonomy'!$C$9:$C$108,0)),"")&lt;&gt;"Amber"),E737="BLD-TIMBER",AND(U737="Building equipment",OR(E737="BLD-WATER",E737="BLD-WASTE",E737="BLD-LAND")),AND(U737="Building renovation",E737="BLD-LAND"))),"N/A","Pending"))))))</x:f>
      </x:c>
      <x:c r="Q737" s="3" t="str">
        <x:f>IF(C737="","",IF(AND(R737="Valid",OR(P737="Pass",P737="N/A")),"Complete","Unresolved"))</x:f>
      </x:c>
      <x:c r="R737" s="9" t="str">
        <x:f>IF(C737="","",IF(OR(COUNTIF($C$9:$C$2008,C737)&lt;&gt;1,COUNTIFS($D$9:$D$2008,D737,$E$9:$E$2008,E737)&lt;&gt;1),"Duplicate test",IF(COUNTIF('Taxonomy'!$C$9:$C$108,D737)&lt;&gt;1,"Assessment key",IF(OR(COUNTIF('Taxonomy Rules'!$C$42:$C$68,E737)&lt;&gt;1,F737&lt;&gt;IFERROR(INDEX('Taxonomy Rules'!$D$42:$D$68,MATCH(E737,'Taxonomy Rules'!$C$42:$C$68,0)),""),NOT(OR(IFERROR(INDEX('Taxonomy Rules'!$G$42:$G$68,MATCH(E737,'Taxonomy Rules'!$C$42:$C$68,0)),"")="All supported routes",IFERROR(INDEX('Taxonomy Rules'!$G$42:$G$68,MATCH(E737,'Taxonomy Rules'!$C$42:$C$68,0)),"")=U737,AND(IFERROR(INDEX('Taxonomy Rules'!$G$42:$G$68,MATCH(E737,'Taxonomy Rules'!$C$42:$C$68,0)),"")="Building routes",OR(U737="Building renovation",U737="New building",U737="Building equipment"))))),"Unexpected test","Valid"))))</x:f>
      </x:c>
      <x:c r="S737" s="9" t="str">
        <x:f>IF(C737="","",IFERROR(INDEX('Taxonomy Rules'!$E$42:$E$68,MATCH(E737,'Taxonomy Rules'!$C$42:$C$68,0)),""))</x:f>
      </x:c>
      <x:c r="T737" s="9" t="str">
        <x:f>IF(C737="","",IFERROR(INDEX('Taxonomy Rules'!$F$42:$F$68,MATCH(E737,'Taxonomy Rules'!$C$42:$C$68,0)),""))</x:f>
      </x:c>
      <x:c r="U737" s="9" t="str">
        <x:f>IF(C737="","",IFERROR(INDEX('Taxonomy'!$G$9:$G$108,MATCH(D737,'Taxonomy'!$C$9:$C$108,0)),""))</x:f>
      </x:c>
    </x:row>
    <x:row r="738" ht="44" customHeight="1">
      <x:c r="A738" s="1"/>
      <x:c r="B738" s="1"/>
      <x:c r="C738" s="8"/>
      <x:c r="D738" s="8"/>
      <x:c r="E738" s="8"/>
      <x:c r="F738" s="8"/>
      <x:c r="G738" s="8"/>
      <x:c r="H738" s="8"/>
      <x:c r="I738" s="8"/>
      <x:c r="J738" s="8"/>
      <x:c r="K738" s="8"/>
      <x:c r="L738" s="8"/>
      <x:c r="M738" s="10"/>
      <x:c r="N738" s="10"/>
      <x:c r="O738" s="8"/>
      <x:c r="P738" s="9" t="str">
        <x:f>IF(C738="","",IF(AND(G738="Applicable",H738="Fail"),"Fail",IF(R738&lt;&gt;"Valid","Pending",IF(OR(I738="",K738="",L738="",K738=L738,NOT(ISNUMBER(M738)),NOT(ISNUMBER(N738)),M738&gt;Settings!$F$8,N738&lt;Settings!$F$8,N738&lt;M738),"Pending",IF(AND(G738="Applicable",H738="Pass"),"Pass",IF(AND(G738="N/A",H738="N/A",J738&lt;&gt;"",OR(E738="CEM-FUELS",E738="CEM-CCS",AND(E738="CEM-PLAN",IFERROR(INDEX('Taxonomy'!$M$9:$M$108,MATCH(D738,'Taxonomy'!$C$9:$C$108,0)),"")&lt;&gt;"Amber"),E738="BLD-TIMBER",AND(U738="Building equipment",OR(E738="BLD-WATER",E738="BLD-WASTE",E738="BLD-LAND")),AND(U738="Building renovation",E738="BLD-LAND"))),"N/A","Pending"))))))</x:f>
      </x:c>
      <x:c r="Q738" s="3" t="str">
        <x:f>IF(C738="","",IF(AND(R738="Valid",OR(P738="Pass",P738="N/A")),"Complete","Unresolved"))</x:f>
      </x:c>
      <x:c r="R738" s="9" t="str">
        <x:f>IF(C738="","",IF(OR(COUNTIF($C$9:$C$2008,C738)&lt;&gt;1,COUNTIFS($D$9:$D$2008,D738,$E$9:$E$2008,E738)&lt;&gt;1),"Duplicate test",IF(COUNTIF('Taxonomy'!$C$9:$C$108,D738)&lt;&gt;1,"Assessment key",IF(OR(COUNTIF('Taxonomy Rules'!$C$42:$C$68,E738)&lt;&gt;1,F738&lt;&gt;IFERROR(INDEX('Taxonomy Rules'!$D$42:$D$68,MATCH(E738,'Taxonomy Rules'!$C$42:$C$68,0)),""),NOT(OR(IFERROR(INDEX('Taxonomy Rules'!$G$42:$G$68,MATCH(E738,'Taxonomy Rules'!$C$42:$C$68,0)),"")="All supported routes",IFERROR(INDEX('Taxonomy Rules'!$G$42:$G$68,MATCH(E738,'Taxonomy Rules'!$C$42:$C$68,0)),"")=U738,AND(IFERROR(INDEX('Taxonomy Rules'!$G$42:$G$68,MATCH(E738,'Taxonomy Rules'!$C$42:$C$68,0)),"")="Building routes",OR(U738="Building renovation",U738="New building",U738="Building equipment"))))),"Unexpected test","Valid"))))</x:f>
      </x:c>
      <x:c r="S738" s="9" t="str">
        <x:f>IF(C738="","",IFERROR(INDEX('Taxonomy Rules'!$E$42:$E$68,MATCH(E738,'Taxonomy Rules'!$C$42:$C$68,0)),""))</x:f>
      </x:c>
      <x:c r="T738" s="9" t="str">
        <x:f>IF(C738="","",IFERROR(INDEX('Taxonomy Rules'!$F$42:$F$68,MATCH(E738,'Taxonomy Rules'!$C$42:$C$68,0)),""))</x:f>
      </x:c>
      <x:c r="U738" s="9" t="str">
        <x:f>IF(C738="","",IFERROR(INDEX('Taxonomy'!$G$9:$G$108,MATCH(D738,'Taxonomy'!$C$9:$C$108,0)),""))</x:f>
      </x:c>
    </x:row>
    <x:row r="739" ht="44" customHeight="1">
      <x:c r="A739" s="1"/>
      <x:c r="B739" s="1"/>
      <x:c r="C739" s="8"/>
      <x:c r="D739" s="8"/>
      <x:c r="E739" s="8"/>
      <x:c r="F739" s="8"/>
      <x:c r="G739" s="8"/>
      <x:c r="H739" s="8"/>
      <x:c r="I739" s="8"/>
      <x:c r="J739" s="8"/>
      <x:c r="K739" s="8"/>
      <x:c r="L739" s="8"/>
      <x:c r="M739" s="10"/>
      <x:c r="N739" s="10"/>
      <x:c r="O739" s="8"/>
      <x:c r="P739" s="9" t="str">
        <x:f>IF(C739="","",IF(AND(G739="Applicable",H739="Fail"),"Fail",IF(R739&lt;&gt;"Valid","Pending",IF(OR(I739="",K739="",L739="",K739=L739,NOT(ISNUMBER(M739)),NOT(ISNUMBER(N739)),M739&gt;Settings!$F$8,N739&lt;Settings!$F$8,N739&lt;M739),"Pending",IF(AND(G739="Applicable",H739="Pass"),"Pass",IF(AND(G739="N/A",H739="N/A",J739&lt;&gt;"",OR(E739="CEM-FUELS",E739="CEM-CCS",AND(E739="CEM-PLAN",IFERROR(INDEX('Taxonomy'!$M$9:$M$108,MATCH(D739,'Taxonomy'!$C$9:$C$108,0)),"")&lt;&gt;"Amber"),E739="BLD-TIMBER",AND(U739="Building equipment",OR(E739="BLD-WATER",E739="BLD-WASTE",E739="BLD-LAND")),AND(U739="Building renovation",E739="BLD-LAND"))),"N/A","Pending"))))))</x:f>
      </x:c>
      <x:c r="Q739" s="3" t="str">
        <x:f>IF(C739="","",IF(AND(R739="Valid",OR(P739="Pass",P739="N/A")),"Complete","Unresolved"))</x:f>
      </x:c>
      <x:c r="R739" s="9" t="str">
        <x:f>IF(C739="","",IF(OR(COUNTIF($C$9:$C$2008,C739)&lt;&gt;1,COUNTIFS($D$9:$D$2008,D739,$E$9:$E$2008,E739)&lt;&gt;1),"Duplicate test",IF(COUNTIF('Taxonomy'!$C$9:$C$108,D739)&lt;&gt;1,"Assessment key",IF(OR(COUNTIF('Taxonomy Rules'!$C$42:$C$68,E739)&lt;&gt;1,F739&lt;&gt;IFERROR(INDEX('Taxonomy Rules'!$D$42:$D$68,MATCH(E739,'Taxonomy Rules'!$C$42:$C$68,0)),""),NOT(OR(IFERROR(INDEX('Taxonomy Rules'!$G$42:$G$68,MATCH(E739,'Taxonomy Rules'!$C$42:$C$68,0)),"")="All supported routes",IFERROR(INDEX('Taxonomy Rules'!$G$42:$G$68,MATCH(E739,'Taxonomy Rules'!$C$42:$C$68,0)),"")=U739,AND(IFERROR(INDEX('Taxonomy Rules'!$G$42:$G$68,MATCH(E739,'Taxonomy Rules'!$C$42:$C$68,0)),"")="Building routes",OR(U739="Building renovation",U739="New building",U739="Building equipment"))))),"Unexpected test","Valid"))))</x:f>
      </x:c>
      <x:c r="S739" s="9" t="str">
        <x:f>IF(C739="","",IFERROR(INDEX('Taxonomy Rules'!$E$42:$E$68,MATCH(E739,'Taxonomy Rules'!$C$42:$C$68,0)),""))</x:f>
      </x:c>
      <x:c r="T739" s="9" t="str">
        <x:f>IF(C739="","",IFERROR(INDEX('Taxonomy Rules'!$F$42:$F$68,MATCH(E739,'Taxonomy Rules'!$C$42:$C$68,0)),""))</x:f>
      </x:c>
      <x:c r="U739" s="9" t="str">
        <x:f>IF(C739="","",IFERROR(INDEX('Taxonomy'!$G$9:$G$108,MATCH(D739,'Taxonomy'!$C$9:$C$108,0)),""))</x:f>
      </x:c>
    </x:row>
    <x:row r="740" ht="44" customHeight="1">
      <x:c r="A740" s="1"/>
      <x:c r="B740" s="1"/>
      <x:c r="C740" s="8"/>
      <x:c r="D740" s="8"/>
      <x:c r="E740" s="8"/>
      <x:c r="F740" s="8"/>
      <x:c r="G740" s="8"/>
      <x:c r="H740" s="8"/>
      <x:c r="I740" s="8"/>
      <x:c r="J740" s="8"/>
      <x:c r="K740" s="8"/>
      <x:c r="L740" s="8"/>
      <x:c r="M740" s="10"/>
      <x:c r="N740" s="10"/>
      <x:c r="O740" s="8"/>
      <x:c r="P740" s="9" t="str">
        <x:f>IF(C740="","",IF(AND(G740="Applicable",H740="Fail"),"Fail",IF(R740&lt;&gt;"Valid","Pending",IF(OR(I740="",K740="",L740="",K740=L740,NOT(ISNUMBER(M740)),NOT(ISNUMBER(N740)),M740&gt;Settings!$F$8,N740&lt;Settings!$F$8,N740&lt;M740),"Pending",IF(AND(G740="Applicable",H740="Pass"),"Pass",IF(AND(G740="N/A",H740="N/A",J740&lt;&gt;"",OR(E740="CEM-FUELS",E740="CEM-CCS",AND(E740="CEM-PLAN",IFERROR(INDEX('Taxonomy'!$M$9:$M$108,MATCH(D740,'Taxonomy'!$C$9:$C$108,0)),"")&lt;&gt;"Amber"),E740="BLD-TIMBER",AND(U740="Building equipment",OR(E740="BLD-WATER",E740="BLD-WASTE",E740="BLD-LAND")),AND(U740="Building renovation",E740="BLD-LAND"))),"N/A","Pending"))))))</x:f>
      </x:c>
      <x:c r="Q740" s="3" t="str">
        <x:f>IF(C740="","",IF(AND(R740="Valid",OR(P740="Pass",P740="N/A")),"Complete","Unresolved"))</x:f>
      </x:c>
      <x:c r="R740" s="9" t="str">
        <x:f>IF(C740="","",IF(OR(COUNTIF($C$9:$C$2008,C740)&lt;&gt;1,COUNTIFS($D$9:$D$2008,D740,$E$9:$E$2008,E740)&lt;&gt;1),"Duplicate test",IF(COUNTIF('Taxonomy'!$C$9:$C$108,D740)&lt;&gt;1,"Assessment key",IF(OR(COUNTIF('Taxonomy Rules'!$C$42:$C$68,E740)&lt;&gt;1,F740&lt;&gt;IFERROR(INDEX('Taxonomy Rules'!$D$42:$D$68,MATCH(E740,'Taxonomy Rules'!$C$42:$C$68,0)),""),NOT(OR(IFERROR(INDEX('Taxonomy Rules'!$G$42:$G$68,MATCH(E740,'Taxonomy Rules'!$C$42:$C$68,0)),"")="All supported routes",IFERROR(INDEX('Taxonomy Rules'!$G$42:$G$68,MATCH(E740,'Taxonomy Rules'!$C$42:$C$68,0)),"")=U740,AND(IFERROR(INDEX('Taxonomy Rules'!$G$42:$G$68,MATCH(E740,'Taxonomy Rules'!$C$42:$C$68,0)),"")="Building routes",OR(U740="Building renovation",U740="New building",U740="Building equipment"))))),"Unexpected test","Valid"))))</x:f>
      </x:c>
      <x:c r="S740" s="9" t="str">
        <x:f>IF(C740="","",IFERROR(INDEX('Taxonomy Rules'!$E$42:$E$68,MATCH(E740,'Taxonomy Rules'!$C$42:$C$68,0)),""))</x:f>
      </x:c>
      <x:c r="T740" s="9" t="str">
        <x:f>IF(C740="","",IFERROR(INDEX('Taxonomy Rules'!$F$42:$F$68,MATCH(E740,'Taxonomy Rules'!$C$42:$C$68,0)),""))</x:f>
      </x:c>
      <x:c r="U740" s="9" t="str">
        <x:f>IF(C740="","",IFERROR(INDEX('Taxonomy'!$G$9:$G$108,MATCH(D740,'Taxonomy'!$C$9:$C$108,0)),""))</x:f>
      </x:c>
    </x:row>
    <x:row r="741" ht="44" customHeight="1">
      <x:c r="A741" s="1"/>
      <x:c r="B741" s="1"/>
      <x:c r="C741" s="8"/>
      <x:c r="D741" s="8"/>
      <x:c r="E741" s="8"/>
      <x:c r="F741" s="8"/>
      <x:c r="G741" s="8"/>
      <x:c r="H741" s="8"/>
      <x:c r="I741" s="8"/>
      <x:c r="J741" s="8"/>
      <x:c r="K741" s="8"/>
      <x:c r="L741" s="8"/>
      <x:c r="M741" s="10"/>
      <x:c r="N741" s="10"/>
      <x:c r="O741" s="8"/>
      <x:c r="P741" s="9" t="str">
        <x:f>IF(C741="","",IF(AND(G741="Applicable",H741="Fail"),"Fail",IF(R741&lt;&gt;"Valid","Pending",IF(OR(I741="",K741="",L741="",K741=L741,NOT(ISNUMBER(M741)),NOT(ISNUMBER(N741)),M741&gt;Settings!$F$8,N741&lt;Settings!$F$8,N741&lt;M741),"Pending",IF(AND(G741="Applicable",H741="Pass"),"Pass",IF(AND(G741="N/A",H741="N/A",J741&lt;&gt;"",OR(E741="CEM-FUELS",E741="CEM-CCS",AND(E741="CEM-PLAN",IFERROR(INDEX('Taxonomy'!$M$9:$M$108,MATCH(D741,'Taxonomy'!$C$9:$C$108,0)),"")&lt;&gt;"Amber"),E741="BLD-TIMBER",AND(U741="Building equipment",OR(E741="BLD-WATER",E741="BLD-WASTE",E741="BLD-LAND")),AND(U741="Building renovation",E741="BLD-LAND"))),"N/A","Pending"))))))</x:f>
      </x:c>
      <x:c r="Q741" s="3" t="str">
        <x:f>IF(C741="","",IF(AND(R741="Valid",OR(P741="Pass",P741="N/A")),"Complete","Unresolved"))</x:f>
      </x:c>
      <x:c r="R741" s="9" t="str">
        <x:f>IF(C741="","",IF(OR(COUNTIF($C$9:$C$2008,C741)&lt;&gt;1,COUNTIFS($D$9:$D$2008,D741,$E$9:$E$2008,E741)&lt;&gt;1),"Duplicate test",IF(COUNTIF('Taxonomy'!$C$9:$C$108,D741)&lt;&gt;1,"Assessment key",IF(OR(COUNTIF('Taxonomy Rules'!$C$42:$C$68,E741)&lt;&gt;1,F741&lt;&gt;IFERROR(INDEX('Taxonomy Rules'!$D$42:$D$68,MATCH(E741,'Taxonomy Rules'!$C$42:$C$68,0)),""),NOT(OR(IFERROR(INDEX('Taxonomy Rules'!$G$42:$G$68,MATCH(E741,'Taxonomy Rules'!$C$42:$C$68,0)),"")="All supported routes",IFERROR(INDEX('Taxonomy Rules'!$G$42:$G$68,MATCH(E741,'Taxonomy Rules'!$C$42:$C$68,0)),"")=U741,AND(IFERROR(INDEX('Taxonomy Rules'!$G$42:$G$68,MATCH(E741,'Taxonomy Rules'!$C$42:$C$68,0)),"")="Building routes",OR(U741="Building renovation",U741="New building",U741="Building equipment"))))),"Unexpected test","Valid"))))</x:f>
      </x:c>
      <x:c r="S741" s="9" t="str">
        <x:f>IF(C741="","",IFERROR(INDEX('Taxonomy Rules'!$E$42:$E$68,MATCH(E741,'Taxonomy Rules'!$C$42:$C$68,0)),""))</x:f>
      </x:c>
      <x:c r="T741" s="9" t="str">
        <x:f>IF(C741="","",IFERROR(INDEX('Taxonomy Rules'!$F$42:$F$68,MATCH(E741,'Taxonomy Rules'!$C$42:$C$68,0)),""))</x:f>
      </x:c>
      <x:c r="U741" s="9" t="str">
        <x:f>IF(C741="","",IFERROR(INDEX('Taxonomy'!$G$9:$G$108,MATCH(D741,'Taxonomy'!$C$9:$C$108,0)),""))</x:f>
      </x:c>
    </x:row>
    <x:row r="742" ht="44" customHeight="1">
      <x:c r="A742" s="1"/>
      <x:c r="B742" s="1"/>
      <x:c r="C742" s="8"/>
      <x:c r="D742" s="8"/>
      <x:c r="E742" s="8"/>
      <x:c r="F742" s="8"/>
      <x:c r="G742" s="8"/>
      <x:c r="H742" s="8"/>
      <x:c r="I742" s="8"/>
      <x:c r="J742" s="8"/>
      <x:c r="K742" s="8"/>
      <x:c r="L742" s="8"/>
      <x:c r="M742" s="10"/>
      <x:c r="N742" s="10"/>
      <x:c r="O742" s="8"/>
      <x:c r="P742" s="9" t="str">
        <x:f>IF(C742="","",IF(AND(G742="Applicable",H742="Fail"),"Fail",IF(R742&lt;&gt;"Valid","Pending",IF(OR(I742="",K742="",L742="",K742=L742,NOT(ISNUMBER(M742)),NOT(ISNUMBER(N742)),M742&gt;Settings!$F$8,N742&lt;Settings!$F$8,N742&lt;M742),"Pending",IF(AND(G742="Applicable",H742="Pass"),"Pass",IF(AND(G742="N/A",H742="N/A",J742&lt;&gt;"",OR(E742="CEM-FUELS",E742="CEM-CCS",AND(E742="CEM-PLAN",IFERROR(INDEX('Taxonomy'!$M$9:$M$108,MATCH(D742,'Taxonomy'!$C$9:$C$108,0)),"")&lt;&gt;"Amber"),E742="BLD-TIMBER",AND(U742="Building equipment",OR(E742="BLD-WATER",E742="BLD-WASTE",E742="BLD-LAND")),AND(U742="Building renovation",E742="BLD-LAND"))),"N/A","Pending"))))))</x:f>
      </x:c>
      <x:c r="Q742" s="3" t="str">
        <x:f>IF(C742="","",IF(AND(R742="Valid",OR(P742="Pass",P742="N/A")),"Complete","Unresolved"))</x:f>
      </x:c>
      <x:c r="R742" s="9" t="str">
        <x:f>IF(C742="","",IF(OR(COUNTIF($C$9:$C$2008,C742)&lt;&gt;1,COUNTIFS($D$9:$D$2008,D742,$E$9:$E$2008,E742)&lt;&gt;1),"Duplicate test",IF(COUNTIF('Taxonomy'!$C$9:$C$108,D742)&lt;&gt;1,"Assessment key",IF(OR(COUNTIF('Taxonomy Rules'!$C$42:$C$68,E742)&lt;&gt;1,F742&lt;&gt;IFERROR(INDEX('Taxonomy Rules'!$D$42:$D$68,MATCH(E742,'Taxonomy Rules'!$C$42:$C$68,0)),""),NOT(OR(IFERROR(INDEX('Taxonomy Rules'!$G$42:$G$68,MATCH(E742,'Taxonomy Rules'!$C$42:$C$68,0)),"")="All supported routes",IFERROR(INDEX('Taxonomy Rules'!$G$42:$G$68,MATCH(E742,'Taxonomy Rules'!$C$42:$C$68,0)),"")=U742,AND(IFERROR(INDEX('Taxonomy Rules'!$G$42:$G$68,MATCH(E742,'Taxonomy Rules'!$C$42:$C$68,0)),"")="Building routes",OR(U742="Building renovation",U742="New building",U742="Building equipment"))))),"Unexpected test","Valid"))))</x:f>
      </x:c>
      <x:c r="S742" s="9" t="str">
        <x:f>IF(C742="","",IFERROR(INDEX('Taxonomy Rules'!$E$42:$E$68,MATCH(E742,'Taxonomy Rules'!$C$42:$C$68,0)),""))</x:f>
      </x:c>
      <x:c r="T742" s="9" t="str">
        <x:f>IF(C742="","",IFERROR(INDEX('Taxonomy Rules'!$F$42:$F$68,MATCH(E742,'Taxonomy Rules'!$C$42:$C$68,0)),""))</x:f>
      </x:c>
      <x:c r="U742" s="9" t="str">
        <x:f>IF(C742="","",IFERROR(INDEX('Taxonomy'!$G$9:$G$108,MATCH(D742,'Taxonomy'!$C$9:$C$108,0)),""))</x:f>
      </x:c>
    </x:row>
    <x:row r="743" ht="44" customHeight="1">
      <x:c r="A743" s="1"/>
      <x:c r="B743" s="1"/>
      <x:c r="C743" s="8"/>
      <x:c r="D743" s="8"/>
      <x:c r="E743" s="8"/>
      <x:c r="F743" s="8"/>
      <x:c r="G743" s="8"/>
      <x:c r="H743" s="8"/>
      <x:c r="I743" s="8"/>
      <x:c r="J743" s="8"/>
      <x:c r="K743" s="8"/>
      <x:c r="L743" s="8"/>
      <x:c r="M743" s="10"/>
      <x:c r="N743" s="10"/>
      <x:c r="O743" s="8"/>
      <x:c r="P743" s="9" t="str">
        <x:f>IF(C743="","",IF(AND(G743="Applicable",H743="Fail"),"Fail",IF(R743&lt;&gt;"Valid","Pending",IF(OR(I743="",K743="",L743="",K743=L743,NOT(ISNUMBER(M743)),NOT(ISNUMBER(N743)),M743&gt;Settings!$F$8,N743&lt;Settings!$F$8,N743&lt;M743),"Pending",IF(AND(G743="Applicable",H743="Pass"),"Pass",IF(AND(G743="N/A",H743="N/A",J743&lt;&gt;"",OR(E743="CEM-FUELS",E743="CEM-CCS",AND(E743="CEM-PLAN",IFERROR(INDEX('Taxonomy'!$M$9:$M$108,MATCH(D743,'Taxonomy'!$C$9:$C$108,0)),"")&lt;&gt;"Amber"),E743="BLD-TIMBER",AND(U743="Building equipment",OR(E743="BLD-WATER",E743="BLD-WASTE",E743="BLD-LAND")),AND(U743="Building renovation",E743="BLD-LAND"))),"N/A","Pending"))))))</x:f>
      </x:c>
      <x:c r="Q743" s="3" t="str">
        <x:f>IF(C743="","",IF(AND(R743="Valid",OR(P743="Pass",P743="N/A")),"Complete","Unresolved"))</x:f>
      </x:c>
      <x:c r="R743" s="9" t="str">
        <x:f>IF(C743="","",IF(OR(COUNTIF($C$9:$C$2008,C743)&lt;&gt;1,COUNTIFS($D$9:$D$2008,D743,$E$9:$E$2008,E743)&lt;&gt;1),"Duplicate test",IF(COUNTIF('Taxonomy'!$C$9:$C$108,D743)&lt;&gt;1,"Assessment key",IF(OR(COUNTIF('Taxonomy Rules'!$C$42:$C$68,E743)&lt;&gt;1,F743&lt;&gt;IFERROR(INDEX('Taxonomy Rules'!$D$42:$D$68,MATCH(E743,'Taxonomy Rules'!$C$42:$C$68,0)),""),NOT(OR(IFERROR(INDEX('Taxonomy Rules'!$G$42:$G$68,MATCH(E743,'Taxonomy Rules'!$C$42:$C$68,0)),"")="All supported routes",IFERROR(INDEX('Taxonomy Rules'!$G$42:$G$68,MATCH(E743,'Taxonomy Rules'!$C$42:$C$68,0)),"")=U743,AND(IFERROR(INDEX('Taxonomy Rules'!$G$42:$G$68,MATCH(E743,'Taxonomy Rules'!$C$42:$C$68,0)),"")="Building routes",OR(U743="Building renovation",U743="New building",U743="Building equipment"))))),"Unexpected test","Valid"))))</x:f>
      </x:c>
      <x:c r="S743" s="9" t="str">
        <x:f>IF(C743="","",IFERROR(INDEX('Taxonomy Rules'!$E$42:$E$68,MATCH(E743,'Taxonomy Rules'!$C$42:$C$68,0)),""))</x:f>
      </x:c>
      <x:c r="T743" s="9" t="str">
        <x:f>IF(C743="","",IFERROR(INDEX('Taxonomy Rules'!$F$42:$F$68,MATCH(E743,'Taxonomy Rules'!$C$42:$C$68,0)),""))</x:f>
      </x:c>
      <x:c r="U743" s="9" t="str">
        <x:f>IF(C743="","",IFERROR(INDEX('Taxonomy'!$G$9:$G$108,MATCH(D743,'Taxonomy'!$C$9:$C$108,0)),""))</x:f>
      </x:c>
    </x:row>
    <x:row r="744" ht="44" customHeight="1">
      <x:c r="A744" s="1"/>
      <x:c r="B744" s="1"/>
      <x:c r="C744" s="8"/>
      <x:c r="D744" s="8"/>
      <x:c r="E744" s="8"/>
      <x:c r="F744" s="8"/>
      <x:c r="G744" s="8"/>
      <x:c r="H744" s="8"/>
      <x:c r="I744" s="8"/>
      <x:c r="J744" s="8"/>
      <x:c r="K744" s="8"/>
      <x:c r="L744" s="8"/>
      <x:c r="M744" s="10"/>
      <x:c r="N744" s="10"/>
      <x:c r="O744" s="8"/>
      <x:c r="P744" s="9" t="str">
        <x:f>IF(C744="","",IF(AND(G744="Applicable",H744="Fail"),"Fail",IF(R744&lt;&gt;"Valid","Pending",IF(OR(I744="",K744="",L744="",K744=L744,NOT(ISNUMBER(M744)),NOT(ISNUMBER(N744)),M744&gt;Settings!$F$8,N744&lt;Settings!$F$8,N744&lt;M744),"Pending",IF(AND(G744="Applicable",H744="Pass"),"Pass",IF(AND(G744="N/A",H744="N/A",J744&lt;&gt;"",OR(E744="CEM-FUELS",E744="CEM-CCS",AND(E744="CEM-PLAN",IFERROR(INDEX('Taxonomy'!$M$9:$M$108,MATCH(D744,'Taxonomy'!$C$9:$C$108,0)),"")&lt;&gt;"Amber"),E744="BLD-TIMBER",AND(U744="Building equipment",OR(E744="BLD-WATER",E744="BLD-WASTE",E744="BLD-LAND")),AND(U744="Building renovation",E744="BLD-LAND"))),"N/A","Pending"))))))</x:f>
      </x:c>
      <x:c r="Q744" s="3" t="str">
        <x:f>IF(C744="","",IF(AND(R744="Valid",OR(P744="Pass",P744="N/A")),"Complete","Unresolved"))</x:f>
      </x:c>
      <x:c r="R744" s="9" t="str">
        <x:f>IF(C744="","",IF(OR(COUNTIF($C$9:$C$2008,C744)&lt;&gt;1,COUNTIFS($D$9:$D$2008,D744,$E$9:$E$2008,E744)&lt;&gt;1),"Duplicate test",IF(COUNTIF('Taxonomy'!$C$9:$C$108,D744)&lt;&gt;1,"Assessment key",IF(OR(COUNTIF('Taxonomy Rules'!$C$42:$C$68,E744)&lt;&gt;1,F744&lt;&gt;IFERROR(INDEX('Taxonomy Rules'!$D$42:$D$68,MATCH(E744,'Taxonomy Rules'!$C$42:$C$68,0)),""),NOT(OR(IFERROR(INDEX('Taxonomy Rules'!$G$42:$G$68,MATCH(E744,'Taxonomy Rules'!$C$42:$C$68,0)),"")="All supported routes",IFERROR(INDEX('Taxonomy Rules'!$G$42:$G$68,MATCH(E744,'Taxonomy Rules'!$C$42:$C$68,0)),"")=U744,AND(IFERROR(INDEX('Taxonomy Rules'!$G$42:$G$68,MATCH(E744,'Taxonomy Rules'!$C$42:$C$68,0)),"")="Building routes",OR(U744="Building renovation",U744="New building",U744="Building equipment"))))),"Unexpected test","Valid"))))</x:f>
      </x:c>
      <x:c r="S744" s="9" t="str">
        <x:f>IF(C744="","",IFERROR(INDEX('Taxonomy Rules'!$E$42:$E$68,MATCH(E744,'Taxonomy Rules'!$C$42:$C$68,0)),""))</x:f>
      </x:c>
      <x:c r="T744" s="9" t="str">
        <x:f>IF(C744="","",IFERROR(INDEX('Taxonomy Rules'!$F$42:$F$68,MATCH(E744,'Taxonomy Rules'!$C$42:$C$68,0)),""))</x:f>
      </x:c>
      <x:c r="U744" s="9" t="str">
        <x:f>IF(C744="","",IFERROR(INDEX('Taxonomy'!$G$9:$G$108,MATCH(D744,'Taxonomy'!$C$9:$C$108,0)),""))</x:f>
      </x:c>
    </x:row>
    <x:row r="745" ht="44" customHeight="1">
      <x:c r="A745" s="1"/>
      <x:c r="B745" s="1"/>
      <x:c r="C745" s="8"/>
      <x:c r="D745" s="8"/>
      <x:c r="E745" s="8"/>
      <x:c r="F745" s="8"/>
      <x:c r="G745" s="8"/>
      <x:c r="H745" s="8"/>
      <x:c r="I745" s="8"/>
      <x:c r="J745" s="8"/>
      <x:c r="K745" s="8"/>
      <x:c r="L745" s="8"/>
      <x:c r="M745" s="10"/>
      <x:c r="N745" s="10"/>
      <x:c r="O745" s="8"/>
      <x:c r="P745" s="9" t="str">
        <x:f>IF(C745="","",IF(AND(G745="Applicable",H745="Fail"),"Fail",IF(R745&lt;&gt;"Valid","Pending",IF(OR(I745="",K745="",L745="",K745=L745,NOT(ISNUMBER(M745)),NOT(ISNUMBER(N745)),M745&gt;Settings!$F$8,N745&lt;Settings!$F$8,N745&lt;M745),"Pending",IF(AND(G745="Applicable",H745="Pass"),"Pass",IF(AND(G745="N/A",H745="N/A",J745&lt;&gt;"",OR(E745="CEM-FUELS",E745="CEM-CCS",AND(E745="CEM-PLAN",IFERROR(INDEX('Taxonomy'!$M$9:$M$108,MATCH(D745,'Taxonomy'!$C$9:$C$108,0)),"")&lt;&gt;"Amber"),E745="BLD-TIMBER",AND(U745="Building equipment",OR(E745="BLD-WATER",E745="BLD-WASTE",E745="BLD-LAND")),AND(U745="Building renovation",E745="BLD-LAND"))),"N/A","Pending"))))))</x:f>
      </x:c>
      <x:c r="Q745" s="3" t="str">
        <x:f>IF(C745="","",IF(AND(R745="Valid",OR(P745="Pass",P745="N/A")),"Complete","Unresolved"))</x:f>
      </x:c>
      <x:c r="R745" s="9" t="str">
        <x:f>IF(C745="","",IF(OR(COUNTIF($C$9:$C$2008,C745)&lt;&gt;1,COUNTIFS($D$9:$D$2008,D745,$E$9:$E$2008,E745)&lt;&gt;1),"Duplicate test",IF(COUNTIF('Taxonomy'!$C$9:$C$108,D745)&lt;&gt;1,"Assessment key",IF(OR(COUNTIF('Taxonomy Rules'!$C$42:$C$68,E745)&lt;&gt;1,F745&lt;&gt;IFERROR(INDEX('Taxonomy Rules'!$D$42:$D$68,MATCH(E745,'Taxonomy Rules'!$C$42:$C$68,0)),""),NOT(OR(IFERROR(INDEX('Taxonomy Rules'!$G$42:$G$68,MATCH(E745,'Taxonomy Rules'!$C$42:$C$68,0)),"")="All supported routes",IFERROR(INDEX('Taxonomy Rules'!$G$42:$G$68,MATCH(E745,'Taxonomy Rules'!$C$42:$C$68,0)),"")=U745,AND(IFERROR(INDEX('Taxonomy Rules'!$G$42:$G$68,MATCH(E745,'Taxonomy Rules'!$C$42:$C$68,0)),"")="Building routes",OR(U745="Building renovation",U745="New building",U745="Building equipment"))))),"Unexpected test","Valid"))))</x:f>
      </x:c>
      <x:c r="S745" s="9" t="str">
        <x:f>IF(C745="","",IFERROR(INDEX('Taxonomy Rules'!$E$42:$E$68,MATCH(E745,'Taxonomy Rules'!$C$42:$C$68,0)),""))</x:f>
      </x:c>
      <x:c r="T745" s="9" t="str">
        <x:f>IF(C745="","",IFERROR(INDEX('Taxonomy Rules'!$F$42:$F$68,MATCH(E745,'Taxonomy Rules'!$C$42:$C$68,0)),""))</x:f>
      </x:c>
      <x:c r="U745" s="9" t="str">
        <x:f>IF(C745="","",IFERROR(INDEX('Taxonomy'!$G$9:$G$108,MATCH(D745,'Taxonomy'!$C$9:$C$108,0)),""))</x:f>
      </x:c>
    </x:row>
    <x:row r="746" ht="44" customHeight="1">
      <x:c r="A746" s="1"/>
      <x:c r="B746" s="1"/>
      <x:c r="C746" s="8"/>
      <x:c r="D746" s="8"/>
      <x:c r="E746" s="8"/>
      <x:c r="F746" s="8"/>
      <x:c r="G746" s="8"/>
      <x:c r="H746" s="8"/>
      <x:c r="I746" s="8"/>
      <x:c r="J746" s="8"/>
      <x:c r="K746" s="8"/>
      <x:c r="L746" s="8"/>
      <x:c r="M746" s="10"/>
      <x:c r="N746" s="10"/>
      <x:c r="O746" s="8"/>
      <x:c r="P746" s="9" t="str">
        <x:f>IF(C746="","",IF(AND(G746="Applicable",H746="Fail"),"Fail",IF(R746&lt;&gt;"Valid","Pending",IF(OR(I746="",K746="",L746="",K746=L746,NOT(ISNUMBER(M746)),NOT(ISNUMBER(N746)),M746&gt;Settings!$F$8,N746&lt;Settings!$F$8,N746&lt;M746),"Pending",IF(AND(G746="Applicable",H746="Pass"),"Pass",IF(AND(G746="N/A",H746="N/A",J746&lt;&gt;"",OR(E746="CEM-FUELS",E746="CEM-CCS",AND(E746="CEM-PLAN",IFERROR(INDEX('Taxonomy'!$M$9:$M$108,MATCH(D746,'Taxonomy'!$C$9:$C$108,0)),"")&lt;&gt;"Amber"),E746="BLD-TIMBER",AND(U746="Building equipment",OR(E746="BLD-WATER",E746="BLD-WASTE",E746="BLD-LAND")),AND(U746="Building renovation",E746="BLD-LAND"))),"N/A","Pending"))))))</x:f>
      </x:c>
      <x:c r="Q746" s="3" t="str">
        <x:f>IF(C746="","",IF(AND(R746="Valid",OR(P746="Pass",P746="N/A")),"Complete","Unresolved"))</x:f>
      </x:c>
      <x:c r="R746" s="9" t="str">
        <x:f>IF(C746="","",IF(OR(COUNTIF($C$9:$C$2008,C746)&lt;&gt;1,COUNTIFS($D$9:$D$2008,D746,$E$9:$E$2008,E746)&lt;&gt;1),"Duplicate test",IF(COUNTIF('Taxonomy'!$C$9:$C$108,D746)&lt;&gt;1,"Assessment key",IF(OR(COUNTIF('Taxonomy Rules'!$C$42:$C$68,E746)&lt;&gt;1,F746&lt;&gt;IFERROR(INDEX('Taxonomy Rules'!$D$42:$D$68,MATCH(E746,'Taxonomy Rules'!$C$42:$C$68,0)),""),NOT(OR(IFERROR(INDEX('Taxonomy Rules'!$G$42:$G$68,MATCH(E746,'Taxonomy Rules'!$C$42:$C$68,0)),"")="All supported routes",IFERROR(INDEX('Taxonomy Rules'!$G$42:$G$68,MATCH(E746,'Taxonomy Rules'!$C$42:$C$68,0)),"")=U746,AND(IFERROR(INDEX('Taxonomy Rules'!$G$42:$G$68,MATCH(E746,'Taxonomy Rules'!$C$42:$C$68,0)),"")="Building routes",OR(U746="Building renovation",U746="New building",U746="Building equipment"))))),"Unexpected test","Valid"))))</x:f>
      </x:c>
      <x:c r="S746" s="9" t="str">
        <x:f>IF(C746="","",IFERROR(INDEX('Taxonomy Rules'!$E$42:$E$68,MATCH(E746,'Taxonomy Rules'!$C$42:$C$68,0)),""))</x:f>
      </x:c>
      <x:c r="T746" s="9" t="str">
        <x:f>IF(C746="","",IFERROR(INDEX('Taxonomy Rules'!$F$42:$F$68,MATCH(E746,'Taxonomy Rules'!$C$42:$C$68,0)),""))</x:f>
      </x:c>
      <x:c r="U746" s="9" t="str">
        <x:f>IF(C746="","",IFERROR(INDEX('Taxonomy'!$G$9:$G$108,MATCH(D746,'Taxonomy'!$C$9:$C$108,0)),""))</x:f>
      </x:c>
    </x:row>
    <x:row r="747" ht="44" customHeight="1">
      <x:c r="A747" s="1"/>
      <x:c r="B747" s="1"/>
      <x:c r="C747" s="8"/>
      <x:c r="D747" s="8"/>
      <x:c r="E747" s="8"/>
      <x:c r="F747" s="8"/>
      <x:c r="G747" s="8"/>
      <x:c r="H747" s="8"/>
      <x:c r="I747" s="8"/>
      <x:c r="J747" s="8"/>
      <x:c r="K747" s="8"/>
      <x:c r="L747" s="8"/>
      <x:c r="M747" s="10"/>
      <x:c r="N747" s="10"/>
      <x:c r="O747" s="8"/>
      <x:c r="P747" s="9" t="str">
        <x:f>IF(C747="","",IF(AND(G747="Applicable",H747="Fail"),"Fail",IF(R747&lt;&gt;"Valid","Pending",IF(OR(I747="",K747="",L747="",K747=L747,NOT(ISNUMBER(M747)),NOT(ISNUMBER(N747)),M747&gt;Settings!$F$8,N747&lt;Settings!$F$8,N747&lt;M747),"Pending",IF(AND(G747="Applicable",H747="Pass"),"Pass",IF(AND(G747="N/A",H747="N/A",J747&lt;&gt;"",OR(E747="CEM-FUELS",E747="CEM-CCS",AND(E747="CEM-PLAN",IFERROR(INDEX('Taxonomy'!$M$9:$M$108,MATCH(D747,'Taxonomy'!$C$9:$C$108,0)),"")&lt;&gt;"Amber"),E747="BLD-TIMBER",AND(U747="Building equipment",OR(E747="BLD-WATER",E747="BLD-WASTE",E747="BLD-LAND")),AND(U747="Building renovation",E747="BLD-LAND"))),"N/A","Pending"))))))</x:f>
      </x:c>
      <x:c r="Q747" s="3" t="str">
        <x:f>IF(C747="","",IF(AND(R747="Valid",OR(P747="Pass",P747="N/A")),"Complete","Unresolved"))</x:f>
      </x:c>
      <x:c r="R747" s="9" t="str">
        <x:f>IF(C747="","",IF(OR(COUNTIF($C$9:$C$2008,C747)&lt;&gt;1,COUNTIFS($D$9:$D$2008,D747,$E$9:$E$2008,E747)&lt;&gt;1),"Duplicate test",IF(COUNTIF('Taxonomy'!$C$9:$C$108,D747)&lt;&gt;1,"Assessment key",IF(OR(COUNTIF('Taxonomy Rules'!$C$42:$C$68,E747)&lt;&gt;1,F747&lt;&gt;IFERROR(INDEX('Taxonomy Rules'!$D$42:$D$68,MATCH(E747,'Taxonomy Rules'!$C$42:$C$68,0)),""),NOT(OR(IFERROR(INDEX('Taxonomy Rules'!$G$42:$G$68,MATCH(E747,'Taxonomy Rules'!$C$42:$C$68,0)),"")="All supported routes",IFERROR(INDEX('Taxonomy Rules'!$G$42:$G$68,MATCH(E747,'Taxonomy Rules'!$C$42:$C$68,0)),"")=U747,AND(IFERROR(INDEX('Taxonomy Rules'!$G$42:$G$68,MATCH(E747,'Taxonomy Rules'!$C$42:$C$68,0)),"")="Building routes",OR(U747="Building renovation",U747="New building",U747="Building equipment"))))),"Unexpected test","Valid"))))</x:f>
      </x:c>
      <x:c r="S747" s="9" t="str">
        <x:f>IF(C747="","",IFERROR(INDEX('Taxonomy Rules'!$E$42:$E$68,MATCH(E747,'Taxonomy Rules'!$C$42:$C$68,0)),""))</x:f>
      </x:c>
      <x:c r="T747" s="9" t="str">
        <x:f>IF(C747="","",IFERROR(INDEX('Taxonomy Rules'!$F$42:$F$68,MATCH(E747,'Taxonomy Rules'!$C$42:$C$68,0)),""))</x:f>
      </x:c>
      <x:c r="U747" s="9" t="str">
        <x:f>IF(C747="","",IFERROR(INDEX('Taxonomy'!$G$9:$G$108,MATCH(D747,'Taxonomy'!$C$9:$C$108,0)),""))</x:f>
      </x:c>
    </x:row>
    <x:row r="748" ht="44" customHeight="1">
      <x:c r="A748" s="1"/>
      <x:c r="B748" s="1"/>
      <x:c r="C748" s="8"/>
      <x:c r="D748" s="8"/>
      <x:c r="E748" s="8"/>
      <x:c r="F748" s="8"/>
      <x:c r="G748" s="8"/>
      <x:c r="H748" s="8"/>
      <x:c r="I748" s="8"/>
      <x:c r="J748" s="8"/>
      <x:c r="K748" s="8"/>
      <x:c r="L748" s="8"/>
      <x:c r="M748" s="10"/>
      <x:c r="N748" s="10"/>
      <x:c r="O748" s="8"/>
      <x:c r="P748" s="9" t="str">
        <x:f>IF(C748="","",IF(AND(G748="Applicable",H748="Fail"),"Fail",IF(R748&lt;&gt;"Valid","Pending",IF(OR(I748="",K748="",L748="",K748=L748,NOT(ISNUMBER(M748)),NOT(ISNUMBER(N748)),M748&gt;Settings!$F$8,N748&lt;Settings!$F$8,N748&lt;M748),"Pending",IF(AND(G748="Applicable",H748="Pass"),"Pass",IF(AND(G748="N/A",H748="N/A",J748&lt;&gt;"",OR(E748="CEM-FUELS",E748="CEM-CCS",AND(E748="CEM-PLAN",IFERROR(INDEX('Taxonomy'!$M$9:$M$108,MATCH(D748,'Taxonomy'!$C$9:$C$108,0)),"")&lt;&gt;"Amber"),E748="BLD-TIMBER",AND(U748="Building equipment",OR(E748="BLD-WATER",E748="BLD-WASTE",E748="BLD-LAND")),AND(U748="Building renovation",E748="BLD-LAND"))),"N/A","Pending"))))))</x:f>
      </x:c>
      <x:c r="Q748" s="3" t="str">
        <x:f>IF(C748="","",IF(AND(R748="Valid",OR(P748="Pass",P748="N/A")),"Complete","Unresolved"))</x:f>
      </x:c>
      <x:c r="R748" s="9" t="str">
        <x:f>IF(C748="","",IF(OR(COUNTIF($C$9:$C$2008,C748)&lt;&gt;1,COUNTIFS($D$9:$D$2008,D748,$E$9:$E$2008,E748)&lt;&gt;1),"Duplicate test",IF(COUNTIF('Taxonomy'!$C$9:$C$108,D748)&lt;&gt;1,"Assessment key",IF(OR(COUNTIF('Taxonomy Rules'!$C$42:$C$68,E748)&lt;&gt;1,F748&lt;&gt;IFERROR(INDEX('Taxonomy Rules'!$D$42:$D$68,MATCH(E748,'Taxonomy Rules'!$C$42:$C$68,0)),""),NOT(OR(IFERROR(INDEX('Taxonomy Rules'!$G$42:$G$68,MATCH(E748,'Taxonomy Rules'!$C$42:$C$68,0)),"")="All supported routes",IFERROR(INDEX('Taxonomy Rules'!$G$42:$G$68,MATCH(E748,'Taxonomy Rules'!$C$42:$C$68,0)),"")=U748,AND(IFERROR(INDEX('Taxonomy Rules'!$G$42:$G$68,MATCH(E748,'Taxonomy Rules'!$C$42:$C$68,0)),"")="Building routes",OR(U748="Building renovation",U748="New building",U748="Building equipment"))))),"Unexpected test","Valid"))))</x:f>
      </x:c>
      <x:c r="S748" s="9" t="str">
        <x:f>IF(C748="","",IFERROR(INDEX('Taxonomy Rules'!$E$42:$E$68,MATCH(E748,'Taxonomy Rules'!$C$42:$C$68,0)),""))</x:f>
      </x:c>
      <x:c r="T748" s="9" t="str">
        <x:f>IF(C748="","",IFERROR(INDEX('Taxonomy Rules'!$F$42:$F$68,MATCH(E748,'Taxonomy Rules'!$C$42:$C$68,0)),""))</x:f>
      </x:c>
      <x:c r="U748" s="9" t="str">
        <x:f>IF(C748="","",IFERROR(INDEX('Taxonomy'!$G$9:$G$108,MATCH(D748,'Taxonomy'!$C$9:$C$108,0)),""))</x:f>
      </x:c>
    </x:row>
    <x:row r="749" ht="44" customHeight="1">
      <x:c r="A749" s="1"/>
      <x:c r="B749" s="1"/>
      <x:c r="C749" s="8"/>
      <x:c r="D749" s="8"/>
      <x:c r="E749" s="8"/>
      <x:c r="F749" s="8"/>
      <x:c r="G749" s="8"/>
      <x:c r="H749" s="8"/>
      <x:c r="I749" s="8"/>
      <x:c r="J749" s="8"/>
      <x:c r="K749" s="8"/>
      <x:c r="L749" s="8"/>
      <x:c r="M749" s="10"/>
      <x:c r="N749" s="10"/>
      <x:c r="O749" s="8"/>
      <x:c r="P749" s="9" t="str">
        <x:f>IF(C749="","",IF(AND(G749="Applicable",H749="Fail"),"Fail",IF(R749&lt;&gt;"Valid","Pending",IF(OR(I749="",K749="",L749="",K749=L749,NOT(ISNUMBER(M749)),NOT(ISNUMBER(N749)),M749&gt;Settings!$F$8,N749&lt;Settings!$F$8,N749&lt;M749),"Pending",IF(AND(G749="Applicable",H749="Pass"),"Pass",IF(AND(G749="N/A",H749="N/A",J749&lt;&gt;"",OR(E749="CEM-FUELS",E749="CEM-CCS",AND(E749="CEM-PLAN",IFERROR(INDEX('Taxonomy'!$M$9:$M$108,MATCH(D749,'Taxonomy'!$C$9:$C$108,0)),"")&lt;&gt;"Amber"),E749="BLD-TIMBER",AND(U749="Building equipment",OR(E749="BLD-WATER",E749="BLD-WASTE",E749="BLD-LAND")),AND(U749="Building renovation",E749="BLD-LAND"))),"N/A","Pending"))))))</x:f>
      </x:c>
      <x:c r="Q749" s="3" t="str">
        <x:f>IF(C749="","",IF(AND(R749="Valid",OR(P749="Pass",P749="N/A")),"Complete","Unresolved"))</x:f>
      </x:c>
      <x:c r="R749" s="9" t="str">
        <x:f>IF(C749="","",IF(OR(COUNTIF($C$9:$C$2008,C749)&lt;&gt;1,COUNTIFS($D$9:$D$2008,D749,$E$9:$E$2008,E749)&lt;&gt;1),"Duplicate test",IF(COUNTIF('Taxonomy'!$C$9:$C$108,D749)&lt;&gt;1,"Assessment key",IF(OR(COUNTIF('Taxonomy Rules'!$C$42:$C$68,E749)&lt;&gt;1,F749&lt;&gt;IFERROR(INDEX('Taxonomy Rules'!$D$42:$D$68,MATCH(E749,'Taxonomy Rules'!$C$42:$C$68,0)),""),NOT(OR(IFERROR(INDEX('Taxonomy Rules'!$G$42:$G$68,MATCH(E749,'Taxonomy Rules'!$C$42:$C$68,0)),"")="All supported routes",IFERROR(INDEX('Taxonomy Rules'!$G$42:$G$68,MATCH(E749,'Taxonomy Rules'!$C$42:$C$68,0)),"")=U749,AND(IFERROR(INDEX('Taxonomy Rules'!$G$42:$G$68,MATCH(E749,'Taxonomy Rules'!$C$42:$C$68,0)),"")="Building routes",OR(U749="Building renovation",U749="New building",U749="Building equipment"))))),"Unexpected test","Valid"))))</x:f>
      </x:c>
      <x:c r="S749" s="9" t="str">
        <x:f>IF(C749="","",IFERROR(INDEX('Taxonomy Rules'!$E$42:$E$68,MATCH(E749,'Taxonomy Rules'!$C$42:$C$68,0)),""))</x:f>
      </x:c>
      <x:c r="T749" s="9" t="str">
        <x:f>IF(C749="","",IFERROR(INDEX('Taxonomy Rules'!$F$42:$F$68,MATCH(E749,'Taxonomy Rules'!$C$42:$C$68,0)),""))</x:f>
      </x:c>
      <x:c r="U749" s="9" t="str">
        <x:f>IF(C749="","",IFERROR(INDEX('Taxonomy'!$G$9:$G$108,MATCH(D749,'Taxonomy'!$C$9:$C$108,0)),""))</x:f>
      </x:c>
    </x:row>
    <x:row r="750" ht="44" customHeight="1">
      <x:c r="A750" s="1"/>
      <x:c r="B750" s="1"/>
      <x:c r="C750" s="8"/>
      <x:c r="D750" s="8"/>
      <x:c r="E750" s="8"/>
      <x:c r="F750" s="8"/>
      <x:c r="G750" s="8"/>
      <x:c r="H750" s="8"/>
      <x:c r="I750" s="8"/>
      <x:c r="J750" s="8"/>
      <x:c r="K750" s="8"/>
      <x:c r="L750" s="8"/>
      <x:c r="M750" s="10"/>
      <x:c r="N750" s="10"/>
      <x:c r="O750" s="8"/>
      <x:c r="P750" s="9" t="str">
        <x:f>IF(C750="","",IF(AND(G750="Applicable",H750="Fail"),"Fail",IF(R750&lt;&gt;"Valid","Pending",IF(OR(I750="",K750="",L750="",K750=L750,NOT(ISNUMBER(M750)),NOT(ISNUMBER(N750)),M750&gt;Settings!$F$8,N750&lt;Settings!$F$8,N750&lt;M750),"Pending",IF(AND(G750="Applicable",H750="Pass"),"Pass",IF(AND(G750="N/A",H750="N/A",J750&lt;&gt;"",OR(E750="CEM-FUELS",E750="CEM-CCS",AND(E750="CEM-PLAN",IFERROR(INDEX('Taxonomy'!$M$9:$M$108,MATCH(D750,'Taxonomy'!$C$9:$C$108,0)),"")&lt;&gt;"Amber"),E750="BLD-TIMBER",AND(U750="Building equipment",OR(E750="BLD-WATER",E750="BLD-WASTE",E750="BLD-LAND")),AND(U750="Building renovation",E750="BLD-LAND"))),"N/A","Pending"))))))</x:f>
      </x:c>
      <x:c r="Q750" s="3" t="str">
        <x:f>IF(C750="","",IF(AND(R750="Valid",OR(P750="Pass",P750="N/A")),"Complete","Unresolved"))</x:f>
      </x:c>
      <x:c r="R750" s="9" t="str">
        <x:f>IF(C750="","",IF(OR(COUNTIF($C$9:$C$2008,C750)&lt;&gt;1,COUNTIFS($D$9:$D$2008,D750,$E$9:$E$2008,E750)&lt;&gt;1),"Duplicate test",IF(COUNTIF('Taxonomy'!$C$9:$C$108,D750)&lt;&gt;1,"Assessment key",IF(OR(COUNTIF('Taxonomy Rules'!$C$42:$C$68,E750)&lt;&gt;1,F750&lt;&gt;IFERROR(INDEX('Taxonomy Rules'!$D$42:$D$68,MATCH(E750,'Taxonomy Rules'!$C$42:$C$68,0)),""),NOT(OR(IFERROR(INDEX('Taxonomy Rules'!$G$42:$G$68,MATCH(E750,'Taxonomy Rules'!$C$42:$C$68,0)),"")="All supported routes",IFERROR(INDEX('Taxonomy Rules'!$G$42:$G$68,MATCH(E750,'Taxonomy Rules'!$C$42:$C$68,0)),"")=U750,AND(IFERROR(INDEX('Taxonomy Rules'!$G$42:$G$68,MATCH(E750,'Taxonomy Rules'!$C$42:$C$68,0)),"")="Building routes",OR(U750="Building renovation",U750="New building",U750="Building equipment"))))),"Unexpected test","Valid"))))</x:f>
      </x:c>
      <x:c r="S750" s="9" t="str">
        <x:f>IF(C750="","",IFERROR(INDEX('Taxonomy Rules'!$E$42:$E$68,MATCH(E750,'Taxonomy Rules'!$C$42:$C$68,0)),""))</x:f>
      </x:c>
      <x:c r="T750" s="9" t="str">
        <x:f>IF(C750="","",IFERROR(INDEX('Taxonomy Rules'!$F$42:$F$68,MATCH(E750,'Taxonomy Rules'!$C$42:$C$68,0)),""))</x:f>
      </x:c>
      <x:c r="U750" s="9" t="str">
        <x:f>IF(C750="","",IFERROR(INDEX('Taxonomy'!$G$9:$G$108,MATCH(D750,'Taxonomy'!$C$9:$C$108,0)),""))</x:f>
      </x:c>
    </x:row>
    <x:row r="751" ht="44" customHeight="1">
      <x:c r="A751" s="1"/>
      <x:c r="B751" s="1"/>
      <x:c r="C751" s="8"/>
      <x:c r="D751" s="8"/>
      <x:c r="E751" s="8"/>
      <x:c r="F751" s="8"/>
      <x:c r="G751" s="8"/>
      <x:c r="H751" s="8"/>
      <x:c r="I751" s="8"/>
      <x:c r="J751" s="8"/>
      <x:c r="K751" s="8"/>
      <x:c r="L751" s="8"/>
      <x:c r="M751" s="10"/>
      <x:c r="N751" s="10"/>
      <x:c r="O751" s="8"/>
      <x:c r="P751" s="9" t="str">
        <x:f>IF(C751="","",IF(AND(G751="Applicable",H751="Fail"),"Fail",IF(R751&lt;&gt;"Valid","Pending",IF(OR(I751="",K751="",L751="",K751=L751,NOT(ISNUMBER(M751)),NOT(ISNUMBER(N751)),M751&gt;Settings!$F$8,N751&lt;Settings!$F$8,N751&lt;M751),"Pending",IF(AND(G751="Applicable",H751="Pass"),"Pass",IF(AND(G751="N/A",H751="N/A",J751&lt;&gt;"",OR(E751="CEM-FUELS",E751="CEM-CCS",AND(E751="CEM-PLAN",IFERROR(INDEX('Taxonomy'!$M$9:$M$108,MATCH(D751,'Taxonomy'!$C$9:$C$108,0)),"")&lt;&gt;"Amber"),E751="BLD-TIMBER",AND(U751="Building equipment",OR(E751="BLD-WATER",E751="BLD-WASTE",E751="BLD-LAND")),AND(U751="Building renovation",E751="BLD-LAND"))),"N/A","Pending"))))))</x:f>
      </x:c>
      <x:c r="Q751" s="3" t="str">
        <x:f>IF(C751="","",IF(AND(R751="Valid",OR(P751="Pass",P751="N/A")),"Complete","Unresolved"))</x:f>
      </x:c>
      <x:c r="R751" s="9" t="str">
        <x:f>IF(C751="","",IF(OR(COUNTIF($C$9:$C$2008,C751)&lt;&gt;1,COUNTIFS($D$9:$D$2008,D751,$E$9:$E$2008,E751)&lt;&gt;1),"Duplicate test",IF(COUNTIF('Taxonomy'!$C$9:$C$108,D751)&lt;&gt;1,"Assessment key",IF(OR(COUNTIF('Taxonomy Rules'!$C$42:$C$68,E751)&lt;&gt;1,F751&lt;&gt;IFERROR(INDEX('Taxonomy Rules'!$D$42:$D$68,MATCH(E751,'Taxonomy Rules'!$C$42:$C$68,0)),""),NOT(OR(IFERROR(INDEX('Taxonomy Rules'!$G$42:$G$68,MATCH(E751,'Taxonomy Rules'!$C$42:$C$68,0)),"")="All supported routes",IFERROR(INDEX('Taxonomy Rules'!$G$42:$G$68,MATCH(E751,'Taxonomy Rules'!$C$42:$C$68,0)),"")=U751,AND(IFERROR(INDEX('Taxonomy Rules'!$G$42:$G$68,MATCH(E751,'Taxonomy Rules'!$C$42:$C$68,0)),"")="Building routes",OR(U751="Building renovation",U751="New building",U751="Building equipment"))))),"Unexpected test","Valid"))))</x:f>
      </x:c>
      <x:c r="S751" s="9" t="str">
        <x:f>IF(C751="","",IFERROR(INDEX('Taxonomy Rules'!$E$42:$E$68,MATCH(E751,'Taxonomy Rules'!$C$42:$C$68,0)),""))</x:f>
      </x:c>
      <x:c r="T751" s="9" t="str">
        <x:f>IF(C751="","",IFERROR(INDEX('Taxonomy Rules'!$F$42:$F$68,MATCH(E751,'Taxonomy Rules'!$C$42:$C$68,0)),""))</x:f>
      </x:c>
      <x:c r="U751" s="9" t="str">
        <x:f>IF(C751="","",IFERROR(INDEX('Taxonomy'!$G$9:$G$108,MATCH(D751,'Taxonomy'!$C$9:$C$108,0)),""))</x:f>
      </x:c>
    </x:row>
    <x:row r="752" ht="44" customHeight="1">
      <x:c r="A752" s="1"/>
      <x:c r="B752" s="1"/>
      <x:c r="C752" s="8"/>
      <x:c r="D752" s="8"/>
      <x:c r="E752" s="8"/>
      <x:c r="F752" s="8"/>
      <x:c r="G752" s="8"/>
      <x:c r="H752" s="8"/>
      <x:c r="I752" s="8"/>
      <x:c r="J752" s="8"/>
      <x:c r="K752" s="8"/>
      <x:c r="L752" s="8"/>
      <x:c r="M752" s="10"/>
      <x:c r="N752" s="10"/>
      <x:c r="O752" s="8"/>
      <x:c r="P752" s="9" t="str">
        <x:f>IF(C752="","",IF(AND(G752="Applicable",H752="Fail"),"Fail",IF(R752&lt;&gt;"Valid","Pending",IF(OR(I752="",K752="",L752="",K752=L752,NOT(ISNUMBER(M752)),NOT(ISNUMBER(N752)),M752&gt;Settings!$F$8,N752&lt;Settings!$F$8,N752&lt;M752),"Pending",IF(AND(G752="Applicable",H752="Pass"),"Pass",IF(AND(G752="N/A",H752="N/A",J752&lt;&gt;"",OR(E752="CEM-FUELS",E752="CEM-CCS",AND(E752="CEM-PLAN",IFERROR(INDEX('Taxonomy'!$M$9:$M$108,MATCH(D752,'Taxonomy'!$C$9:$C$108,0)),"")&lt;&gt;"Amber"),E752="BLD-TIMBER",AND(U752="Building equipment",OR(E752="BLD-WATER",E752="BLD-WASTE",E752="BLD-LAND")),AND(U752="Building renovation",E752="BLD-LAND"))),"N/A","Pending"))))))</x:f>
      </x:c>
      <x:c r="Q752" s="3" t="str">
        <x:f>IF(C752="","",IF(AND(R752="Valid",OR(P752="Pass",P752="N/A")),"Complete","Unresolved"))</x:f>
      </x:c>
      <x:c r="R752" s="9" t="str">
        <x:f>IF(C752="","",IF(OR(COUNTIF($C$9:$C$2008,C752)&lt;&gt;1,COUNTIFS($D$9:$D$2008,D752,$E$9:$E$2008,E752)&lt;&gt;1),"Duplicate test",IF(COUNTIF('Taxonomy'!$C$9:$C$108,D752)&lt;&gt;1,"Assessment key",IF(OR(COUNTIF('Taxonomy Rules'!$C$42:$C$68,E752)&lt;&gt;1,F752&lt;&gt;IFERROR(INDEX('Taxonomy Rules'!$D$42:$D$68,MATCH(E752,'Taxonomy Rules'!$C$42:$C$68,0)),""),NOT(OR(IFERROR(INDEX('Taxonomy Rules'!$G$42:$G$68,MATCH(E752,'Taxonomy Rules'!$C$42:$C$68,0)),"")="All supported routes",IFERROR(INDEX('Taxonomy Rules'!$G$42:$G$68,MATCH(E752,'Taxonomy Rules'!$C$42:$C$68,0)),"")=U752,AND(IFERROR(INDEX('Taxonomy Rules'!$G$42:$G$68,MATCH(E752,'Taxonomy Rules'!$C$42:$C$68,0)),"")="Building routes",OR(U752="Building renovation",U752="New building",U752="Building equipment"))))),"Unexpected test","Valid"))))</x:f>
      </x:c>
      <x:c r="S752" s="9" t="str">
        <x:f>IF(C752="","",IFERROR(INDEX('Taxonomy Rules'!$E$42:$E$68,MATCH(E752,'Taxonomy Rules'!$C$42:$C$68,0)),""))</x:f>
      </x:c>
      <x:c r="T752" s="9" t="str">
        <x:f>IF(C752="","",IFERROR(INDEX('Taxonomy Rules'!$F$42:$F$68,MATCH(E752,'Taxonomy Rules'!$C$42:$C$68,0)),""))</x:f>
      </x:c>
      <x:c r="U752" s="9" t="str">
        <x:f>IF(C752="","",IFERROR(INDEX('Taxonomy'!$G$9:$G$108,MATCH(D752,'Taxonomy'!$C$9:$C$108,0)),""))</x:f>
      </x:c>
    </x:row>
    <x:row r="753" ht="44" customHeight="1">
      <x:c r="A753" s="1"/>
      <x:c r="B753" s="1"/>
      <x:c r="C753" s="8"/>
      <x:c r="D753" s="8"/>
      <x:c r="E753" s="8"/>
      <x:c r="F753" s="8"/>
      <x:c r="G753" s="8"/>
      <x:c r="H753" s="8"/>
      <x:c r="I753" s="8"/>
      <x:c r="J753" s="8"/>
      <x:c r="K753" s="8"/>
      <x:c r="L753" s="8"/>
      <x:c r="M753" s="10"/>
      <x:c r="N753" s="10"/>
      <x:c r="O753" s="8"/>
      <x:c r="P753" s="9" t="str">
        <x:f>IF(C753="","",IF(AND(G753="Applicable",H753="Fail"),"Fail",IF(R753&lt;&gt;"Valid","Pending",IF(OR(I753="",K753="",L753="",K753=L753,NOT(ISNUMBER(M753)),NOT(ISNUMBER(N753)),M753&gt;Settings!$F$8,N753&lt;Settings!$F$8,N753&lt;M753),"Pending",IF(AND(G753="Applicable",H753="Pass"),"Pass",IF(AND(G753="N/A",H753="N/A",J753&lt;&gt;"",OR(E753="CEM-FUELS",E753="CEM-CCS",AND(E753="CEM-PLAN",IFERROR(INDEX('Taxonomy'!$M$9:$M$108,MATCH(D753,'Taxonomy'!$C$9:$C$108,0)),"")&lt;&gt;"Amber"),E753="BLD-TIMBER",AND(U753="Building equipment",OR(E753="BLD-WATER",E753="BLD-WASTE",E753="BLD-LAND")),AND(U753="Building renovation",E753="BLD-LAND"))),"N/A","Pending"))))))</x:f>
      </x:c>
      <x:c r="Q753" s="3" t="str">
        <x:f>IF(C753="","",IF(AND(R753="Valid",OR(P753="Pass",P753="N/A")),"Complete","Unresolved"))</x:f>
      </x:c>
      <x:c r="R753" s="9" t="str">
        <x:f>IF(C753="","",IF(OR(COUNTIF($C$9:$C$2008,C753)&lt;&gt;1,COUNTIFS($D$9:$D$2008,D753,$E$9:$E$2008,E753)&lt;&gt;1),"Duplicate test",IF(COUNTIF('Taxonomy'!$C$9:$C$108,D753)&lt;&gt;1,"Assessment key",IF(OR(COUNTIF('Taxonomy Rules'!$C$42:$C$68,E753)&lt;&gt;1,F753&lt;&gt;IFERROR(INDEX('Taxonomy Rules'!$D$42:$D$68,MATCH(E753,'Taxonomy Rules'!$C$42:$C$68,0)),""),NOT(OR(IFERROR(INDEX('Taxonomy Rules'!$G$42:$G$68,MATCH(E753,'Taxonomy Rules'!$C$42:$C$68,0)),"")="All supported routes",IFERROR(INDEX('Taxonomy Rules'!$G$42:$G$68,MATCH(E753,'Taxonomy Rules'!$C$42:$C$68,0)),"")=U753,AND(IFERROR(INDEX('Taxonomy Rules'!$G$42:$G$68,MATCH(E753,'Taxonomy Rules'!$C$42:$C$68,0)),"")="Building routes",OR(U753="Building renovation",U753="New building",U753="Building equipment"))))),"Unexpected test","Valid"))))</x:f>
      </x:c>
      <x:c r="S753" s="9" t="str">
        <x:f>IF(C753="","",IFERROR(INDEX('Taxonomy Rules'!$E$42:$E$68,MATCH(E753,'Taxonomy Rules'!$C$42:$C$68,0)),""))</x:f>
      </x:c>
      <x:c r="T753" s="9" t="str">
        <x:f>IF(C753="","",IFERROR(INDEX('Taxonomy Rules'!$F$42:$F$68,MATCH(E753,'Taxonomy Rules'!$C$42:$C$68,0)),""))</x:f>
      </x:c>
      <x:c r="U753" s="9" t="str">
        <x:f>IF(C753="","",IFERROR(INDEX('Taxonomy'!$G$9:$G$108,MATCH(D753,'Taxonomy'!$C$9:$C$108,0)),""))</x:f>
      </x:c>
    </x:row>
    <x:row r="754" ht="44" customHeight="1">
      <x:c r="A754" s="1"/>
      <x:c r="B754" s="1"/>
      <x:c r="C754" s="8"/>
      <x:c r="D754" s="8"/>
      <x:c r="E754" s="8"/>
      <x:c r="F754" s="8"/>
      <x:c r="G754" s="8"/>
      <x:c r="H754" s="8"/>
      <x:c r="I754" s="8"/>
      <x:c r="J754" s="8"/>
      <x:c r="K754" s="8"/>
      <x:c r="L754" s="8"/>
      <x:c r="M754" s="10"/>
      <x:c r="N754" s="10"/>
      <x:c r="O754" s="8"/>
      <x:c r="P754" s="9" t="str">
        <x:f>IF(C754="","",IF(AND(G754="Applicable",H754="Fail"),"Fail",IF(R754&lt;&gt;"Valid","Pending",IF(OR(I754="",K754="",L754="",K754=L754,NOT(ISNUMBER(M754)),NOT(ISNUMBER(N754)),M754&gt;Settings!$F$8,N754&lt;Settings!$F$8,N754&lt;M754),"Pending",IF(AND(G754="Applicable",H754="Pass"),"Pass",IF(AND(G754="N/A",H754="N/A",J754&lt;&gt;"",OR(E754="CEM-FUELS",E754="CEM-CCS",AND(E754="CEM-PLAN",IFERROR(INDEX('Taxonomy'!$M$9:$M$108,MATCH(D754,'Taxonomy'!$C$9:$C$108,0)),"")&lt;&gt;"Amber"),E754="BLD-TIMBER",AND(U754="Building equipment",OR(E754="BLD-WATER",E754="BLD-WASTE",E754="BLD-LAND")),AND(U754="Building renovation",E754="BLD-LAND"))),"N/A","Pending"))))))</x:f>
      </x:c>
      <x:c r="Q754" s="3" t="str">
        <x:f>IF(C754="","",IF(AND(R754="Valid",OR(P754="Pass",P754="N/A")),"Complete","Unresolved"))</x:f>
      </x:c>
      <x:c r="R754" s="9" t="str">
        <x:f>IF(C754="","",IF(OR(COUNTIF($C$9:$C$2008,C754)&lt;&gt;1,COUNTIFS($D$9:$D$2008,D754,$E$9:$E$2008,E754)&lt;&gt;1),"Duplicate test",IF(COUNTIF('Taxonomy'!$C$9:$C$108,D754)&lt;&gt;1,"Assessment key",IF(OR(COUNTIF('Taxonomy Rules'!$C$42:$C$68,E754)&lt;&gt;1,F754&lt;&gt;IFERROR(INDEX('Taxonomy Rules'!$D$42:$D$68,MATCH(E754,'Taxonomy Rules'!$C$42:$C$68,0)),""),NOT(OR(IFERROR(INDEX('Taxonomy Rules'!$G$42:$G$68,MATCH(E754,'Taxonomy Rules'!$C$42:$C$68,0)),"")="All supported routes",IFERROR(INDEX('Taxonomy Rules'!$G$42:$G$68,MATCH(E754,'Taxonomy Rules'!$C$42:$C$68,0)),"")=U754,AND(IFERROR(INDEX('Taxonomy Rules'!$G$42:$G$68,MATCH(E754,'Taxonomy Rules'!$C$42:$C$68,0)),"")="Building routes",OR(U754="Building renovation",U754="New building",U754="Building equipment"))))),"Unexpected test","Valid"))))</x:f>
      </x:c>
      <x:c r="S754" s="9" t="str">
        <x:f>IF(C754="","",IFERROR(INDEX('Taxonomy Rules'!$E$42:$E$68,MATCH(E754,'Taxonomy Rules'!$C$42:$C$68,0)),""))</x:f>
      </x:c>
      <x:c r="T754" s="9" t="str">
        <x:f>IF(C754="","",IFERROR(INDEX('Taxonomy Rules'!$F$42:$F$68,MATCH(E754,'Taxonomy Rules'!$C$42:$C$68,0)),""))</x:f>
      </x:c>
      <x:c r="U754" s="9" t="str">
        <x:f>IF(C754="","",IFERROR(INDEX('Taxonomy'!$G$9:$G$108,MATCH(D754,'Taxonomy'!$C$9:$C$108,0)),""))</x:f>
      </x:c>
    </x:row>
    <x:row r="755" ht="44" customHeight="1">
      <x:c r="A755" s="1"/>
      <x:c r="B755" s="1"/>
      <x:c r="C755" s="8"/>
      <x:c r="D755" s="8"/>
      <x:c r="E755" s="8"/>
      <x:c r="F755" s="8"/>
      <x:c r="G755" s="8"/>
      <x:c r="H755" s="8"/>
      <x:c r="I755" s="8"/>
      <x:c r="J755" s="8"/>
      <x:c r="K755" s="8"/>
      <x:c r="L755" s="8"/>
      <x:c r="M755" s="10"/>
      <x:c r="N755" s="10"/>
      <x:c r="O755" s="8"/>
      <x:c r="P755" s="9" t="str">
        <x:f>IF(C755="","",IF(AND(G755="Applicable",H755="Fail"),"Fail",IF(R755&lt;&gt;"Valid","Pending",IF(OR(I755="",K755="",L755="",K755=L755,NOT(ISNUMBER(M755)),NOT(ISNUMBER(N755)),M755&gt;Settings!$F$8,N755&lt;Settings!$F$8,N755&lt;M755),"Pending",IF(AND(G755="Applicable",H755="Pass"),"Pass",IF(AND(G755="N/A",H755="N/A",J755&lt;&gt;"",OR(E755="CEM-FUELS",E755="CEM-CCS",AND(E755="CEM-PLAN",IFERROR(INDEX('Taxonomy'!$M$9:$M$108,MATCH(D755,'Taxonomy'!$C$9:$C$108,0)),"")&lt;&gt;"Amber"),E755="BLD-TIMBER",AND(U755="Building equipment",OR(E755="BLD-WATER",E755="BLD-WASTE",E755="BLD-LAND")),AND(U755="Building renovation",E755="BLD-LAND"))),"N/A","Pending"))))))</x:f>
      </x:c>
      <x:c r="Q755" s="3" t="str">
        <x:f>IF(C755="","",IF(AND(R755="Valid",OR(P755="Pass",P755="N/A")),"Complete","Unresolved"))</x:f>
      </x:c>
      <x:c r="R755" s="9" t="str">
        <x:f>IF(C755="","",IF(OR(COUNTIF($C$9:$C$2008,C755)&lt;&gt;1,COUNTIFS($D$9:$D$2008,D755,$E$9:$E$2008,E755)&lt;&gt;1),"Duplicate test",IF(COUNTIF('Taxonomy'!$C$9:$C$108,D755)&lt;&gt;1,"Assessment key",IF(OR(COUNTIF('Taxonomy Rules'!$C$42:$C$68,E755)&lt;&gt;1,F755&lt;&gt;IFERROR(INDEX('Taxonomy Rules'!$D$42:$D$68,MATCH(E755,'Taxonomy Rules'!$C$42:$C$68,0)),""),NOT(OR(IFERROR(INDEX('Taxonomy Rules'!$G$42:$G$68,MATCH(E755,'Taxonomy Rules'!$C$42:$C$68,0)),"")="All supported routes",IFERROR(INDEX('Taxonomy Rules'!$G$42:$G$68,MATCH(E755,'Taxonomy Rules'!$C$42:$C$68,0)),"")=U755,AND(IFERROR(INDEX('Taxonomy Rules'!$G$42:$G$68,MATCH(E755,'Taxonomy Rules'!$C$42:$C$68,0)),"")="Building routes",OR(U755="Building renovation",U755="New building",U755="Building equipment"))))),"Unexpected test","Valid"))))</x:f>
      </x:c>
      <x:c r="S755" s="9" t="str">
        <x:f>IF(C755="","",IFERROR(INDEX('Taxonomy Rules'!$E$42:$E$68,MATCH(E755,'Taxonomy Rules'!$C$42:$C$68,0)),""))</x:f>
      </x:c>
      <x:c r="T755" s="9" t="str">
        <x:f>IF(C755="","",IFERROR(INDEX('Taxonomy Rules'!$F$42:$F$68,MATCH(E755,'Taxonomy Rules'!$C$42:$C$68,0)),""))</x:f>
      </x:c>
      <x:c r="U755" s="9" t="str">
        <x:f>IF(C755="","",IFERROR(INDEX('Taxonomy'!$G$9:$G$108,MATCH(D755,'Taxonomy'!$C$9:$C$108,0)),""))</x:f>
      </x:c>
    </x:row>
    <x:row r="756" ht="44" customHeight="1">
      <x:c r="A756" s="1"/>
      <x:c r="B756" s="1"/>
      <x:c r="C756" s="8"/>
      <x:c r="D756" s="8"/>
      <x:c r="E756" s="8"/>
      <x:c r="F756" s="8"/>
      <x:c r="G756" s="8"/>
      <x:c r="H756" s="8"/>
      <x:c r="I756" s="8"/>
      <x:c r="J756" s="8"/>
      <x:c r="K756" s="8"/>
      <x:c r="L756" s="8"/>
      <x:c r="M756" s="10"/>
      <x:c r="N756" s="10"/>
      <x:c r="O756" s="8"/>
      <x:c r="P756" s="9" t="str">
        <x:f>IF(C756="","",IF(AND(G756="Applicable",H756="Fail"),"Fail",IF(R756&lt;&gt;"Valid","Pending",IF(OR(I756="",K756="",L756="",K756=L756,NOT(ISNUMBER(M756)),NOT(ISNUMBER(N756)),M756&gt;Settings!$F$8,N756&lt;Settings!$F$8,N756&lt;M756),"Pending",IF(AND(G756="Applicable",H756="Pass"),"Pass",IF(AND(G756="N/A",H756="N/A",J756&lt;&gt;"",OR(E756="CEM-FUELS",E756="CEM-CCS",AND(E756="CEM-PLAN",IFERROR(INDEX('Taxonomy'!$M$9:$M$108,MATCH(D756,'Taxonomy'!$C$9:$C$108,0)),"")&lt;&gt;"Amber"),E756="BLD-TIMBER",AND(U756="Building equipment",OR(E756="BLD-WATER",E756="BLD-WASTE",E756="BLD-LAND")),AND(U756="Building renovation",E756="BLD-LAND"))),"N/A","Pending"))))))</x:f>
      </x:c>
      <x:c r="Q756" s="3" t="str">
        <x:f>IF(C756="","",IF(AND(R756="Valid",OR(P756="Pass",P756="N/A")),"Complete","Unresolved"))</x:f>
      </x:c>
      <x:c r="R756" s="9" t="str">
        <x:f>IF(C756="","",IF(OR(COUNTIF($C$9:$C$2008,C756)&lt;&gt;1,COUNTIFS($D$9:$D$2008,D756,$E$9:$E$2008,E756)&lt;&gt;1),"Duplicate test",IF(COUNTIF('Taxonomy'!$C$9:$C$108,D756)&lt;&gt;1,"Assessment key",IF(OR(COUNTIF('Taxonomy Rules'!$C$42:$C$68,E756)&lt;&gt;1,F756&lt;&gt;IFERROR(INDEX('Taxonomy Rules'!$D$42:$D$68,MATCH(E756,'Taxonomy Rules'!$C$42:$C$68,0)),""),NOT(OR(IFERROR(INDEX('Taxonomy Rules'!$G$42:$G$68,MATCH(E756,'Taxonomy Rules'!$C$42:$C$68,0)),"")="All supported routes",IFERROR(INDEX('Taxonomy Rules'!$G$42:$G$68,MATCH(E756,'Taxonomy Rules'!$C$42:$C$68,0)),"")=U756,AND(IFERROR(INDEX('Taxonomy Rules'!$G$42:$G$68,MATCH(E756,'Taxonomy Rules'!$C$42:$C$68,0)),"")="Building routes",OR(U756="Building renovation",U756="New building",U756="Building equipment"))))),"Unexpected test","Valid"))))</x:f>
      </x:c>
      <x:c r="S756" s="9" t="str">
        <x:f>IF(C756="","",IFERROR(INDEX('Taxonomy Rules'!$E$42:$E$68,MATCH(E756,'Taxonomy Rules'!$C$42:$C$68,0)),""))</x:f>
      </x:c>
      <x:c r="T756" s="9" t="str">
        <x:f>IF(C756="","",IFERROR(INDEX('Taxonomy Rules'!$F$42:$F$68,MATCH(E756,'Taxonomy Rules'!$C$42:$C$68,0)),""))</x:f>
      </x:c>
      <x:c r="U756" s="9" t="str">
        <x:f>IF(C756="","",IFERROR(INDEX('Taxonomy'!$G$9:$G$108,MATCH(D756,'Taxonomy'!$C$9:$C$108,0)),""))</x:f>
      </x:c>
    </x:row>
    <x:row r="757" ht="44" customHeight="1">
      <x:c r="A757" s="1"/>
      <x:c r="B757" s="1"/>
      <x:c r="C757" s="8"/>
      <x:c r="D757" s="8"/>
      <x:c r="E757" s="8"/>
      <x:c r="F757" s="8"/>
      <x:c r="G757" s="8"/>
      <x:c r="H757" s="8"/>
      <x:c r="I757" s="8"/>
      <x:c r="J757" s="8"/>
      <x:c r="K757" s="8"/>
      <x:c r="L757" s="8"/>
      <x:c r="M757" s="10"/>
      <x:c r="N757" s="10"/>
      <x:c r="O757" s="8"/>
      <x:c r="P757" s="9" t="str">
        <x:f>IF(C757="","",IF(AND(G757="Applicable",H757="Fail"),"Fail",IF(R757&lt;&gt;"Valid","Pending",IF(OR(I757="",K757="",L757="",K757=L757,NOT(ISNUMBER(M757)),NOT(ISNUMBER(N757)),M757&gt;Settings!$F$8,N757&lt;Settings!$F$8,N757&lt;M757),"Pending",IF(AND(G757="Applicable",H757="Pass"),"Pass",IF(AND(G757="N/A",H757="N/A",J757&lt;&gt;"",OR(E757="CEM-FUELS",E757="CEM-CCS",AND(E757="CEM-PLAN",IFERROR(INDEX('Taxonomy'!$M$9:$M$108,MATCH(D757,'Taxonomy'!$C$9:$C$108,0)),"")&lt;&gt;"Amber"),E757="BLD-TIMBER",AND(U757="Building equipment",OR(E757="BLD-WATER",E757="BLD-WASTE",E757="BLD-LAND")),AND(U757="Building renovation",E757="BLD-LAND"))),"N/A","Pending"))))))</x:f>
      </x:c>
      <x:c r="Q757" s="3" t="str">
        <x:f>IF(C757="","",IF(AND(R757="Valid",OR(P757="Pass",P757="N/A")),"Complete","Unresolved"))</x:f>
      </x:c>
      <x:c r="R757" s="9" t="str">
        <x:f>IF(C757="","",IF(OR(COUNTIF($C$9:$C$2008,C757)&lt;&gt;1,COUNTIFS($D$9:$D$2008,D757,$E$9:$E$2008,E757)&lt;&gt;1),"Duplicate test",IF(COUNTIF('Taxonomy'!$C$9:$C$108,D757)&lt;&gt;1,"Assessment key",IF(OR(COUNTIF('Taxonomy Rules'!$C$42:$C$68,E757)&lt;&gt;1,F757&lt;&gt;IFERROR(INDEX('Taxonomy Rules'!$D$42:$D$68,MATCH(E757,'Taxonomy Rules'!$C$42:$C$68,0)),""),NOT(OR(IFERROR(INDEX('Taxonomy Rules'!$G$42:$G$68,MATCH(E757,'Taxonomy Rules'!$C$42:$C$68,0)),"")="All supported routes",IFERROR(INDEX('Taxonomy Rules'!$G$42:$G$68,MATCH(E757,'Taxonomy Rules'!$C$42:$C$68,0)),"")=U757,AND(IFERROR(INDEX('Taxonomy Rules'!$G$42:$G$68,MATCH(E757,'Taxonomy Rules'!$C$42:$C$68,0)),"")="Building routes",OR(U757="Building renovation",U757="New building",U757="Building equipment"))))),"Unexpected test","Valid"))))</x:f>
      </x:c>
      <x:c r="S757" s="9" t="str">
        <x:f>IF(C757="","",IFERROR(INDEX('Taxonomy Rules'!$E$42:$E$68,MATCH(E757,'Taxonomy Rules'!$C$42:$C$68,0)),""))</x:f>
      </x:c>
      <x:c r="T757" s="9" t="str">
        <x:f>IF(C757="","",IFERROR(INDEX('Taxonomy Rules'!$F$42:$F$68,MATCH(E757,'Taxonomy Rules'!$C$42:$C$68,0)),""))</x:f>
      </x:c>
      <x:c r="U757" s="9" t="str">
        <x:f>IF(C757="","",IFERROR(INDEX('Taxonomy'!$G$9:$G$108,MATCH(D757,'Taxonomy'!$C$9:$C$108,0)),""))</x:f>
      </x:c>
    </x:row>
    <x:row r="758" ht="44" customHeight="1">
      <x:c r="A758" s="1"/>
      <x:c r="B758" s="1"/>
      <x:c r="C758" s="8"/>
      <x:c r="D758" s="8"/>
      <x:c r="E758" s="8"/>
      <x:c r="F758" s="8"/>
      <x:c r="G758" s="8"/>
      <x:c r="H758" s="8"/>
      <x:c r="I758" s="8"/>
      <x:c r="J758" s="8"/>
      <x:c r="K758" s="8"/>
      <x:c r="L758" s="8"/>
      <x:c r="M758" s="10"/>
      <x:c r="N758" s="10"/>
      <x:c r="O758" s="8"/>
      <x:c r="P758" s="9" t="str">
        <x:f>IF(C758="","",IF(AND(G758="Applicable",H758="Fail"),"Fail",IF(R758&lt;&gt;"Valid","Pending",IF(OR(I758="",K758="",L758="",K758=L758,NOT(ISNUMBER(M758)),NOT(ISNUMBER(N758)),M758&gt;Settings!$F$8,N758&lt;Settings!$F$8,N758&lt;M758),"Pending",IF(AND(G758="Applicable",H758="Pass"),"Pass",IF(AND(G758="N/A",H758="N/A",J758&lt;&gt;"",OR(E758="CEM-FUELS",E758="CEM-CCS",AND(E758="CEM-PLAN",IFERROR(INDEX('Taxonomy'!$M$9:$M$108,MATCH(D758,'Taxonomy'!$C$9:$C$108,0)),"")&lt;&gt;"Amber"),E758="BLD-TIMBER",AND(U758="Building equipment",OR(E758="BLD-WATER",E758="BLD-WASTE",E758="BLD-LAND")),AND(U758="Building renovation",E758="BLD-LAND"))),"N/A","Pending"))))))</x:f>
      </x:c>
      <x:c r="Q758" s="3" t="str">
        <x:f>IF(C758="","",IF(AND(R758="Valid",OR(P758="Pass",P758="N/A")),"Complete","Unresolved"))</x:f>
      </x:c>
      <x:c r="R758" s="9" t="str">
        <x:f>IF(C758="","",IF(OR(COUNTIF($C$9:$C$2008,C758)&lt;&gt;1,COUNTIFS($D$9:$D$2008,D758,$E$9:$E$2008,E758)&lt;&gt;1),"Duplicate test",IF(COUNTIF('Taxonomy'!$C$9:$C$108,D758)&lt;&gt;1,"Assessment key",IF(OR(COUNTIF('Taxonomy Rules'!$C$42:$C$68,E758)&lt;&gt;1,F758&lt;&gt;IFERROR(INDEX('Taxonomy Rules'!$D$42:$D$68,MATCH(E758,'Taxonomy Rules'!$C$42:$C$68,0)),""),NOT(OR(IFERROR(INDEX('Taxonomy Rules'!$G$42:$G$68,MATCH(E758,'Taxonomy Rules'!$C$42:$C$68,0)),"")="All supported routes",IFERROR(INDEX('Taxonomy Rules'!$G$42:$G$68,MATCH(E758,'Taxonomy Rules'!$C$42:$C$68,0)),"")=U758,AND(IFERROR(INDEX('Taxonomy Rules'!$G$42:$G$68,MATCH(E758,'Taxonomy Rules'!$C$42:$C$68,0)),"")="Building routes",OR(U758="Building renovation",U758="New building",U758="Building equipment"))))),"Unexpected test","Valid"))))</x:f>
      </x:c>
      <x:c r="S758" s="9" t="str">
        <x:f>IF(C758="","",IFERROR(INDEX('Taxonomy Rules'!$E$42:$E$68,MATCH(E758,'Taxonomy Rules'!$C$42:$C$68,0)),""))</x:f>
      </x:c>
      <x:c r="T758" s="9" t="str">
        <x:f>IF(C758="","",IFERROR(INDEX('Taxonomy Rules'!$F$42:$F$68,MATCH(E758,'Taxonomy Rules'!$C$42:$C$68,0)),""))</x:f>
      </x:c>
      <x:c r="U758" s="9" t="str">
        <x:f>IF(C758="","",IFERROR(INDEX('Taxonomy'!$G$9:$G$108,MATCH(D758,'Taxonomy'!$C$9:$C$108,0)),""))</x:f>
      </x:c>
    </x:row>
    <x:row r="759" ht="44" customHeight="1">
      <x:c r="A759" s="1"/>
      <x:c r="B759" s="1"/>
      <x:c r="C759" s="8"/>
      <x:c r="D759" s="8"/>
      <x:c r="E759" s="8"/>
      <x:c r="F759" s="8"/>
      <x:c r="G759" s="8"/>
      <x:c r="H759" s="8"/>
      <x:c r="I759" s="8"/>
      <x:c r="J759" s="8"/>
      <x:c r="K759" s="8"/>
      <x:c r="L759" s="8"/>
      <x:c r="M759" s="10"/>
      <x:c r="N759" s="10"/>
      <x:c r="O759" s="8"/>
      <x:c r="P759" s="9" t="str">
        <x:f>IF(C759="","",IF(AND(G759="Applicable",H759="Fail"),"Fail",IF(R759&lt;&gt;"Valid","Pending",IF(OR(I759="",K759="",L759="",K759=L759,NOT(ISNUMBER(M759)),NOT(ISNUMBER(N759)),M759&gt;Settings!$F$8,N759&lt;Settings!$F$8,N759&lt;M759),"Pending",IF(AND(G759="Applicable",H759="Pass"),"Pass",IF(AND(G759="N/A",H759="N/A",J759&lt;&gt;"",OR(E759="CEM-FUELS",E759="CEM-CCS",AND(E759="CEM-PLAN",IFERROR(INDEX('Taxonomy'!$M$9:$M$108,MATCH(D759,'Taxonomy'!$C$9:$C$108,0)),"")&lt;&gt;"Amber"),E759="BLD-TIMBER",AND(U759="Building equipment",OR(E759="BLD-WATER",E759="BLD-WASTE",E759="BLD-LAND")),AND(U759="Building renovation",E759="BLD-LAND"))),"N/A","Pending"))))))</x:f>
      </x:c>
      <x:c r="Q759" s="3" t="str">
        <x:f>IF(C759="","",IF(AND(R759="Valid",OR(P759="Pass",P759="N/A")),"Complete","Unresolved"))</x:f>
      </x:c>
      <x:c r="R759" s="9" t="str">
        <x:f>IF(C759="","",IF(OR(COUNTIF($C$9:$C$2008,C759)&lt;&gt;1,COUNTIFS($D$9:$D$2008,D759,$E$9:$E$2008,E759)&lt;&gt;1),"Duplicate test",IF(COUNTIF('Taxonomy'!$C$9:$C$108,D759)&lt;&gt;1,"Assessment key",IF(OR(COUNTIF('Taxonomy Rules'!$C$42:$C$68,E759)&lt;&gt;1,F759&lt;&gt;IFERROR(INDEX('Taxonomy Rules'!$D$42:$D$68,MATCH(E759,'Taxonomy Rules'!$C$42:$C$68,0)),""),NOT(OR(IFERROR(INDEX('Taxonomy Rules'!$G$42:$G$68,MATCH(E759,'Taxonomy Rules'!$C$42:$C$68,0)),"")="All supported routes",IFERROR(INDEX('Taxonomy Rules'!$G$42:$G$68,MATCH(E759,'Taxonomy Rules'!$C$42:$C$68,0)),"")=U759,AND(IFERROR(INDEX('Taxonomy Rules'!$G$42:$G$68,MATCH(E759,'Taxonomy Rules'!$C$42:$C$68,0)),"")="Building routes",OR(U759="Building renovation",U759="New building",U759="Building equipment"))))),"Unexpected test","Valid"))))</x:f>
      </x:c>
      <x:c r="S759" s="9" t="str">
        <x:f>IF(C759="","",IFERROR(INDEX('Taxonomy Rules'!$E$42:$E$68,MATCH(E759,'Taxonomy Rules'!$C$42:$C$68,0)),""))</x:f>
      </x:c>
      <x:c r="T759" s="9" t="str">
        <x:f>IF(C759="","",IFERROR(INDEX('Taxonomy Rules'!$F$42:$F$68,MATCH(E759,'Taxonomy Rules'!$C$42:$C$68,0)),""))</x:f>
      </x:c>
      <x:c r="U759" s="9" t="str">
        <x:f>IF(C759="","",IFERROR(INDEX('Taxonomy'!$G$9:$G$108,MATCH(D759,'Taxonomy'!$C$9:$C$108,0)),""))</x:f>
      </x:c>
    </x:row>
    <x:row r="760" ht="44" customHeight="1">
      <x:c r="A760" s="1"/>
      <x:c r="B760" s="1"/>
      <x:c r="C760" s="8"/>
      <x:c r="D760" s="8"/>
      <x:c r="E760" s="8"/>
      <x:c r="F760" s="8"/>
      <x:c r="G760" s="8"/>
      <x:c r="H760" s="8"/>
      <x:c r="I760" s="8"/>
      <x:c r="J760" s="8"/>
      <x:c r="K760" s="8"/>
      <x:c r="L760" s="8"/>
      <x:c r="M760" s="10"/>
      <x:c r="N760" s="10"/>
      <x:c r="O760" s="8"/>
      <x:c r="P760" s="9" t="str">
        <x:f>IF(C760="","",IF(AND(G760="Applicable",H760="Fail"),"Fail",IF(R760&lt;&gt;"Valid","Pending",IF(OR(I760="",K760="",L760="",K760=L760,NOT(ISNUMBER(M760)),NOT(ISNUMBER(N760)),M760&gt;Settings!$F$8,N760&lt;Settings!$F$8,N760&lt;M760),"Pending",IF(AND(G760="Applicable",H760="Pass"),"Pass",IF(AND(G760="N/A",H760="N/A",J760&lt;&gt;"",OR(E760="CEM-FUELS",E760="CEM-CCS",AND(E760="CEM-PLAN",IFERROR(INDEX('Taxonomy'!$M$9:$M$108,MATCH(D760,'Taxonomy'!$C$9:$C$108,0)),"")&lt;&gt;"Amber"),E760="BLD-TIMBER",AND(U760="Building equipment",OR(E760="BLD-WATER",E760="BLD-WASTE",E760="BLD-LAND")),AND(U760="Building renovation",E760="BLD-LAND"))),"N/A","Pending"))))))</x:f>
      </x:c>
      <x:c r="Q760" s="3" t="str">
        <x:f>IF(C760="","",IF(AND(R760="Valid",OR(P760="Pass",P760="N/A")),"Complete","Unresolved"))</x:f>
      </x:c>
      <x:c r="R760" s="9" t="str">
        <x:f>IF(C760="","",IF(OR(COUNTIF($C$9:$C$2008,C760)&lt;&gt;1,COUNTIFS($D$9:$D$2008,D760,$E$9:$E$2008,E760)&lt;&gt;1),"Duplicate test",IF(COUNTIF('Taxonomy'!$C$9:$C$108,D760)&lt;&gt;1,"Assessment key",IF(OR(COUNTIF('Taxonomy Rules'!$C$42:$C$68,E760)&lt;&gt;1,F760&lt;&gt;IFERROR(INDEX('Taxonomy Rules'!$D$42:$D$68,MATCH(E760,'Taxonomy Rules'!$C$42:$C$68,0)),""),NOT(OR(IFERROR(INDEX('Taxonomy Rules'!$G$42:$G$68,MATCH(E760,'Taxonomy Rules'!$C$42:$C$68,0)),"")="All supported routes",IFERROR(INDEX('Taxonomy Rules'!$G$42:$G$68,MATCH(E760,'Taxonomy Rules'!$C$42:$C$68,0)),"")=U760,AND(IFERROR(INDEX('Taxonomy Rules'!$G$42:$G$68,MATCH(E760,'Taxonomy Rules'!$C$42:$C$68,0)),"")="Building routes",OR(U760="Building renovation",U760="New building",U760="Building equipment"))))),"Unexpected test","Valid"))))</x:f>
      </x:c>
      <x:c r="S760" s="9" t="str">
        <x:f>IF(C760="","",IFERROR(INDEX('Taxonomy Rules'!$E$42:$E$68,MATCH(E760,'Taxonomy Rules'!$C$42:$C$68,0)),""))</x:f>
      </x:c>
      <x:c r="T760" s="9" t="str">
        <x:f>IF(C760="","",IFERROR(INDEX('Taxonomy Rules'!$F$42:$F$68,MATCH(E760,'Taxonomy Rules'!$C$42:$C$68,0)),""))</x:f>
      </x:c>
      <x:c r="U760" s="9" t="str">
        <x:f>IF(C760="","",IFERROR(INDEX('Taxonomy'!$G$9:$G$108,MATCH(D760,'Taxonomy'!$C$9:$C$108,0)),""))</x:f>
      </x:c>
    </x:row>
    <x:row r="761" ht="44" customHeight="1">
      <x:c r="A761" s="1"/>
      <x:c r="B761" s="1"/>
      <x:c r="C761" s="8"/>
      <x:c r="D761" s="8"/>
      <x:c r="E761" s="8"/>
      <x:c r="F761" s="8"/>
      <x:c r="G761" s="8"/>
      <x:c r="H761" s="8"/>
      <x:c r="I761" s="8"/>
      <x:c r="J761" s="8"/>
      <x:c r="K761" s="8"/>
      <x:c r="L761" s="8"/>
      <x:c r="M761" s="10"/>
      <x:c r="N761" s="10"/>
      <x:c r="O761" s="8"/>
      <x:c r="P761" s="9" t="str">
        <x:f>IF(C761="","",IF(AND(G761="Applicable",H761="Fail"),"Fail",IF(R761&lt;&gt;"Valid","Pending",IF(OR(I761="",K761="",L761="",K761=L761,NOT(ISNUMBER(M761)),NOT(ISNUMBER(N761)),M761&gt;Settings!$F$8,N761&lt;Settings!$F$8,N761&lt;M761),"Pending",IF(AND(G761="Applicable",H761="Pass"),"Pass",IF(AND(G761="N/A",H761="N/A",J761&lt;&gt;"",OR(E761="CEM-FUELS",E761="CEM-CCS",AND(E761="CEM-PLAN",IFERROR(INDEX('Taxonomy'!$M$9:$M$108,MATCH(D761,'Taxonomy'!$C$9:$C$108,0)),"")&lt;&gt;"Amber"),E761="BLD-TIMBER",AND(U761="Building equipment",OR(E761="BLD-WATER",E761="BLD-WASTE",E761="BLD-LAND")),AND(U761="Building renovation",E761="BLD-LAND"))),"N/A","Pending"))))))</x:f>
      </x:c>
      <x:c r="Q761" s="3" t="str">
        <x:f>IF(C761="","",IF(AND(R761="Valid",OR(P761="Pass",P761="N/A")),"Complete","Unresolved"))</x:f>
      </x:c>
      <x:c r="R761" s="9" t="str">
        <x:f>IF(C761="","",IF(OR(COUNTIF($C$9:$C$2008,C761)&lt;&gt;1,COUNTIFS($D$9:$D$2008,D761,$E$9:$E$2008,E761)&lt;&gt;1),"Duplicate test",IF(COUNTIF('Taxonomy'!$C$9:$C$108,D761)&lt;&gt;1,"Assessment key",IF(OR(COUNTIF('Taxonomy Rules'!$C$42:$C$68,E761)&lt;&gt;1,F761&lt;&gt;IFERROR(INDEX('Taxonomy Rules'!$D$42:$D$68,MATCH(E761,'Taxonomy Rules'!$C$42:$C$68,0)),""),NOT(OR(IFERROR(INDEX('Taxonomy Rules'!$G$42:$G$68,MATCH(E761,'Taxonomy Rules'!$C$42:$C$68,0)),"")="All supported routes",IFERROR(INDEX('Taxonomy Rules'!$G$42:$G$68,MATCH(E761,'Taxonomy Rules'!$C$42:$C$68,0)),"")=U761,AND(IFERROR(INDEX('Taxonomy Rules'!$G$42:$G$68,MATCH(E761,'Taxonomy Rules'!$C$42:$C$68,0)),"")="Building routes",OR(U761="Building renovation",U761="New building",U761="Building equipment"))))),"Unexpected test","Valid"))))</x:f>
      </x:c>
      <x:c r="S761" s="9" t="str">
        <x:f>IF(C761="","",IFERROR(INDEX('Taxonomy Rules'!$E$42:$E$68,MATCH(E761,'Taxonomy Rules'!$C$42:$C$68,0)),""))</x:f>
      </x:c>
      <x:c r="T761" s="9" t="str">
        <x:f>IF(C761="","",IFERROR(INDEX('Taxonomy Rules'!$F$42:$F$68,MATCH(E761,'Taxonomy Rules'!$C$42:$C$68,0)),""))</x:f>
      </x:c>
      <x:c r="U761" s="9" t="str">
        <x:f>IF(C761="","",IFERROR(INDEX('Taxonomy'!$G$9:$G$108,MATCH(D761,'Taxonomy'!$C$9:$C$108,0)),""))</x:f>
      </x:c>
    </x:row>
    <x:row r="762" ht="44" customHeight="1">
      <x:c r="A762" s="1"/>
      <x:c r="B762" s="1"/>
      <x:c r="C762" s="8"/>
      <x:c r="D762" s="8"/>
      <x:c r="E762" s="8"/>
      <x:c r="F762" s="8"/>
      <x:c r="G762" s="8"/>
      <x:c r="H762" s="8"/>
      <x:c r="I762" s="8"/>
      <x:c r="J762" s="8"/>
      <x:c r="K762" s="8"/>
      <x:c r="L762" s="8"/>
      <x:c r="M762" s="10"/>
      <x:c r="N762" s="10"/>
      <x:c r="O762" s="8"/>
      <x:c r="P762" s="9" t="str">
        <x:f>IF(C762="","",IF(AND(G762="Applicable",H762="Fail"),"Fail",IF(R762&lt;&gt;"Valid","Pending",IF(OR(I762="",K762="",L762="",K762=L762,NOT(ISNUMBER(M762)),NOT(ISNUMBER(N762)),M762&gt;Settings!$F$8,N762&lt;Settings!$F$8,N762&lt;M762),"Pending",IF(AND(G762="Applicable",H762="Pass"),"Pass",IF(AND(G762="N/A",H762="N/A",J762&lt;&gt;"",OR(E762="CEM-FUELS",E762="CEM-CCS",AND(E762="CEM-PLAN",IFERROR(INDEX('Taxonomy'!$M$9:$M$108,MATCH(D762,'Taxonomy'!$C$9:$C$108,0)),"")&lt;&gt;"Amber"),E762="BLD-TIMBER",AND(U762="Building equipment",OR(E762="BLD-WATER",E762="BLD-WASTE",E762="BLD-LAND")),AND(U762="Building renovation",E762="BLD-LAND"))),"N/A","Pending"))))))</x:f>
      </x:c>
      <x:c r="Q762" s="3" t="str">
        <x:f>IF(C762="","",IF(AND(R762="Valid",OR(P762="Pass",P762="N/A")),"Complete","Unresolved"))</x:f>
      </x:c>
      <x:c r="R762" s="9" t="str">
        <x:f>IF(C762="","",IF(OR(COUNTIF($C$9:$C$2008,C762)&lt;&gt;1,COUNTIFS($D$9:$D$2008,D762,$E$9:$E$2008,E762)&lt;&gt;1),"Duplicate test",IF(COUNTIF('Taxonomy'!$C$9:$C$108,D762)&lt;&gt;1,"Assessment key",IF(OR(COUNTIF('Taxonomy Rules'!$C$42:$C$68,E762)&lt;&gt;1,F762&lt;&gt;IFERROR(INDEX('Taxonomy Rules'!$D$42:$D$68,MATCH(E762,'Taxonomy Rules'!$C$42:$C$68,0)),""),NOT(OR(IFERROR(INDEX('Taxonomy Rules'!$G$42:$G$68,MATCH(E762,'Taxonomy Rules'!$C$42:$C$68,0)),"")="All supported routes",IFERROR(INDEX('Taxonomy Rules'!$G$42:$G$68,MATCH(E762,'Taxonomy Rules'!$C$42:$C$68,0)),"")=U762,AND(IFERROR(INDEX('Taxonomy Rules'!$G$42:$G$68,MATCH(E762,'Taxonomy Rules'!$C$42:$C$68,0)),"")="Building routes",OR(U762="Building renovation",U762="New building",U762="Building equipment"))))),"Unexpected test","Valid"))))</x:f>
      </x:c>
      <x:c r="S762" s="9" t="str">
        <x:f>IF(C762="","",IFERROR(INDEX('Taxonomy Rules'!$E$42:$E$68,MATCH(E762,'Taxonomy Rules'!$C$42:$C$68,0)),""))</x:f>
      </x:c>
      <x:c r="T762" s="9" t="str">
        <x:f>IF(C762="","",IFERROR(INDEX('Taxonomy Rules'!$F$42:$F$68,MATCH(E762,'Taxonomy Rules'!$C$42:$C$68,0)),""))</x:f>
      </x:c>
      <x:c r="U762" s="9" t="str">
        <x:f>IF(C762="","",IFERROR(INDEX('Taxonomy'!$G$9:$G$108,MATCH(D762,'Taxonomy'!$C$9:$C$108,0)),""))</x:f>
      </x:c>
    </x:row>
    <x:row r="763" ht="44" customHeight="1">
      <x:c r="A763" s="1"/>
      <x:c r="B763" s="1"/>
      <x:c r="C763" s="8"/>
      <x:c r="D763" s="8"/>
      <x:c r="E763" s="8"/>
      <x:c r="F763" s="8"/>
      <x:c r="G763" s="8"/>
      <x:c r="H763" s="8"/>
      <x:c r="I763" s="8"/>
      <x:c r="J763" s="8"/>
      <x:c r="K763" s="8"/>
      <x:c r="L763" s="8"/>
      <x:c r="M763" s="10"/>
      <x:c r="N763" s="10"/>
      <x:c r="O763" s="8"/>
      <x:c r="P763" s="9" t="str">
        <x:f>IF(C763="","",IF(AND(G763="Applicable",H763="Fail"),"Fail",IF(R763&lt;&gt;"Valid","Pending",IF(OR(I763="",K763="",L763="",K763=L763,NOT(ISNUMBER(M763)),NOT(ISNUMBER(N763)),M763&gt;Settings!$F$8,N763&lt;Settings!$F$8,N763&lt;M763),"Pending",IF(AND(G763="Applicable",H763="Pass"),"Pass",IF(AND(G763="N/A",H763="N/A",J763&lt;&gt;"",OR(E763="CEM-FUELS",E763="CEM-CCS",AND(E763="CEM-PLAN",IFERROR(INDEX('Taxonomy'!$M$9:$M$108,MATCH(D763,'Taxonomy'!$C$9:$C$108,0)),"")&lt;&gt;"Amber"),E763="BLD-TIMBER",AND(U763="Building equipment",OR(E763="BLD-WATER",E763="BLD-WASTE",E763="BLD-LAND")),AND(U763="Building renovation",E763="BLD-LAND"))),"N/A","Pending"))))))</x:f>
      </x:c>
      <x:c r="Q763" s="3" t="str">
        <x:f>IF(C763="","",IF(AND(R763="Valid",OR(P763="Pass",P763="N/A")),"Complete","Unresolved"))</x:f>
      </x:c>
      <x:c r="R763" s="9" t="str">
        <x:f>IF(C763="","",IF(OR(COUNTIF($C$9:$C$2008,C763)&lt;&gt;1,COUNTIFS($D$9:$D$2008,D763,$E$9:$E$2008,E763)&lt;&gt;1),"Duplicate test",IF(COUNTIF('Taxonomy'!$C$9:$C$108,D763)&lt;&gt;1,"Assessment key",IF(OR(COUNTIF('Taxonomy Rules'!$C$42:$C$68,E763)&lt;&gt;1,F763&lt;&gt;IFERROR(INDEX('Taxonomy Rules'!$D$42:$D$68,MATCH(E763,'Taxonomy Rules'!$C$42:$C$68,0)),""),NOT(OR(IFERROR(INDEX('Taxonomy Rules'!$G$42:$G$68,MATCH(E763,'Taxonomy Rules'!$C$42:$C$68,0)),"")="All supported routes",IFERROR(INDEX('Taxonomy Rules'!$G$42:$G$68,MATCH(E763,'Taxonomy Rules'!$C$42:$C$68,0)),"")=U763,AND(IFERROR(INDEX('Taxonomy Rules'!$G$42:$G$68,MATCH(E763,'Taxonomy Rules'!$C$42:$C$68,0)),"")="Building routes",OR(U763="Building renovation",U763="New building",U763="Building equipment"))))),"Unexpected test","Valid"))))</x:f>
      </x:c>
      <x:c r="S763" s="9" t="str">
        <x:f>IF(C763="","",IFERROR(INDEX('Taxonomy Rules'!$E$42:$E$68,MATCH(E763,'Taxonomy Rules'!$C$42:$C$68,0)),""))</x:f>
      </x:c>
      <x:c r="T763" s="9" t="str">
        <x:f>IF(C763="","",IFERROR(INDEX('Taxonomy Rules'!$F$42:$F$68,MATCH(E763,'Taxonomy Rules'!$C$42:$C$68,0)),""))</x:f>
      </x:c>
      <x:c r="U763" s="9" t="str">
        <x:f>IF(C763="","",IFERROR(INDEX('Taxonomy'!$G$9:$G$108,MATCH(D763,'Taxonomy'!$C$9:$C$108,0)),""))</x:f>
      </x:c>
    </x:row>
    <x:row r="764" ht="44" customHeight="1">
      <x:c r="A764" s="1"/>
      <x:c r="B764" s="1"/>
      <x:c r="C764" s="8"/>
      <x:c r="D764" s="8"/>
      <x:c r="E764" s="8"/>
      <x:c r="F764" s="8"/>
      <x:c r="G764" s="8"/>
      <x:c r="H764" s="8"/>
      <x:c r="I764" s="8"/>
      <x:c r="J764" s="8"/>
      <x:c r="K764" s="8"/>
      <x:c r="L764" s="8"/>
      <x:c r="M764" s="10"/>
      <x:c r="N764" s="10"/>
      <x:c r="O764" s="8"/>
      <x:c r="P764" s="9" t="str">
        <x:f>IF(C764="","",IF(AND(G764="Applicable",H764="Fail"),"Fail",IF(R764&lt;&gt;"Valid","Pending",IF(OR(I764="",K764="",L764="",K764=L764,NOT(ISNUMBER(M764)),NOT(ISNUMBER(N764)),M764&gt;Settings!$F$8,N764&lt;Settings!$F$8,N764&lt;M764),"Pending",IF(AND(G764="Applicable",H764="Pass"),"Pass",IF(AND(G764="N/A",H764="N/A",J764&lt;&gt;"",OR(E764="CEM-FUELS",E764="CEM-CCS",AND(E764="CEM-PLAN",IFERROR(INDEX('Taxonomy'!$M$9:$M$108,MATCH(D764,'Taxonomy'!$C$9:$C$108,0)),"")&lt;&gt;"Amber"),E764="BLD-TIMBER",AND(U764="Building equipment",OR(E764="BLD-WATER",E764="BLD-WASTE",E764="BLD-LAND")),AND(U764="Building renovation",E764="BLD-LAND"))),"N/A","Pending"))))))</x:f>
      </x:c>
      <x:c r="Q764" s="3" t="str">
        <x:f>IF(C764="","",IF(AND(R764="Valid",OR(P764="Pass",P764="N/A")),"Complete","Unresolved"))</x:f>
      </x:c>
      <x:c r="R764" s="9" t="str">
        <x:f>IF(C764="","",IF(OR(COUNTIF($C$9:$C$2008,C764)&lt;&gt;1,COUNTIFS($D$9:$D$2008,D764,$E$9:$E$2008,E764)&lt;&gt;1),"Duplicate test",IF(COUNTIF('Taxonomy'!$C$9:$C$108,D764)&lt;&gt;1,"Assessment key",IF(OR(COUNTIF('Taxonomy Rules'!$C$42:$C$68,E764)&lt;&gt;1,F764&lt;&gt;IFERROR(INDEX('Taxonomy Rules'!$D$42:$D$68,MATCH(E764,'Taxonomy Rules'!$C$42:$C$68,0)),""),NOT(OR(IFERROR(INDEX('Taxonomy Rules'!$G$42:$G$68,MATCH(E764,'Taxonomy Rules'!$C$42:$C$68,0)),"")="All supported routes",IFERROR(INDEX('Taxonomy Rules'!$G$42:$G$68,MATCH(E764,'Taxonomy Rules'!$C$42:$C$68,0)),"")=U764,AND(IFERROR(INDEX('Taxonomy Rules'!$G$42:$G$68,MATCH(E764,'Taxonomy Rules'!$C$42:$C$68,0)),"")="Building routes",OR(U764="Building renovation",U764="New building",U764="Building equipment"))))),"Unexpected test","Valid"))))</x:f>
      </x:c>
      <x:c r="S764" s="9" t="str">
        <x:f>IF(C764="","",IFERROR(INDEX('Taxonomy Rules'!$E$42:$E$68,MATCH(E764,'Taxonomy Rules'!$C$42:$C$68,0)),""))</x:f>
      </x:c>
      <x:c r="T764" s="9" t="str">
        <x:f>IF(C764="","",IFERROR(INDEX('Taxonomy Rules'!$F$42:$F$68,MATCH(E764,'Taxonomy Rules'!$C$42:$C$68,0)),""))</x:f>
      </x:c>
      <x:c r="U764" s="9" t="str">
        <x:f>IF(C764="","",IFERROR(INDEX('Taxonomy'!$G$9:$G$108,MATCH(D764,'Taxonomy'!$C$9:$C$108,0)),""))</x:f>
      </x:c>
    </x:row>
    <x:row r="765" ht="44" customHeight="1">
      <x:c r="A765" s="1"/>
      <x:c r="B765" s="1"/>
      <x:c r="C765" s="8"/>
      <x:c r="D765" s="8"/>
      <x:c r="E765" s="8"/>
      <x:c r="F765" s="8"/>
      <x:c r="G765" s="8"/>
      <x:c r="H765" s="8"/>
      <x:c r="I765" s="8"/>
      <x:c r="J765" s="8"/>
      <x:c r="K765" s="8"/>
      <x:c r="L765" s="8"/>
      <x:c r="M765" s="10"/>
      <x:c r="N765" s="10"/>
      <x:c r="O765" s="8"/>
      <x:c r="P765" s="9" t="str">
        <x:f>IF(C765="","",IF(AND(G765="Applicable",H765="Fail"),"Fail",IF(R765&lt;&gt;"Valid","Pending",IF(OR(I765="",K765="",L765="",K765=L765,NOT(ISNUMBER(M765)),NOT(ISNUMBER(N765)),M765&gt;Settings!$F$8,N765&lt;Settings!$F$8,N765&lt;M765),"Pending",IF(AND(G765="Applicable",H765="Pass"),"Pass",IF(AND(G765="N/A",H765="N/A",J765&lt;&gt;"",OR(E765="CEM-FUELS",E765="CEM-CCS",AND(E765="CEM-PLAN",IFERROR(INDEX('Taxonomy'!$M$9:$M$108,MATCH(D765,'Taxonomy'!$C$9:$C$108,0)),"")&lt;&gt;"Amber"),E765="BLD-TIMBER",AND(U765="Building equipment",OR(E765="BLD-WATER",E765="BLD-WASTE",E765="BLD-LAND")),AND(U765="Building renovation",E765="BLD-LAND"))),"N/A","Pending"))))))</x:f>
      </x:c>
      <x:c r="Q765" s="3" t="str">
        <x:f>IF(C765="","",IF(AND(R765="Valid",OR(P765="Pass",P765="N/A")),"Complete","Unresolved"))</x:f>
      </x:c>
      <x:c r="R765" s="9" t="str">
        <x:f>IF(C765="","",IF(OR(COUNTIF($C$9:$C$2008,C765)&lt;&gt;1,COUNTIFS($D$9:$D$2008,D765,$E$9:$E$2008,E765)&lt;&gt;1),"Duplicate test",IF(COUNTIF('Taxonomy'!$C$9:$C$108,D765)&lt;&gt;1,"Assessment key",IF(OR(COUNTIF('Taxonomy Rules'!$C$42:$C$68,E765)&lt;&gt;1,F765&lt;&gt;IFERROR(INDEX('Taxonomy Rules'!$D$42:$D$68,MATCH(E765,'Taxonomy Rules'!$C$42:$C$68,0)),""),NOT(OR(IFERROR(INDEX('Taxonomy Rules'!$G$42:$G$68,MATCH(E765,'Taxonomy Rules'!$C$42:$C$68,0)),"")="All supported routes",IFERROR(INDEX('Taxonomy Rules'!$G$42:$G$68,MATCH(E765,'Taxonomy Rules'!$C$42:$C$68,0)),"")=U765,AND(IFERROR(INDEX('Taxonomy Rules'!$G$42:$G$68,MATCH(E765,'Taxonomy Rules'!$C$42:$C$68,0)),"")="Building routes",OR(U765="Building renovation",U765="New building",U765="Building equipment"))))),"Unexpected test","Valid"))))</x:f>
      </x:c>
      <x:c r="S765" s="9" t="str">
        <x:f>IF(C765="","",IFERROR(INDEX('Taxonomy Rules'!$E$42:$E$68,MATCH(E765,'Taxonomy Rules'!$C$42:$C$68,0)),""))</x:f>
      </x:c>
      <x:c r="T765" s="9" t="str">
        <x:f>IF(C765="","",IFERROR(INDEX('Taxonomy Rules'!$F$42:$F$68,MATCH(E765,'Taxonomy Rules'!$C$42:$C$68,0)),""))</x:f>
      </x:c>
      <x:c r="U765" s="9" t="str">
        <x:f>IF(C765="","",IFERROR(INDEX('Taxonomy'!$G$9:$G$108,MATCH(D765,'Taxonomy'!$C$9:$C$108,0)),""))</x:f>
      </x:c>
    </x:row>
    <x:row r="766" ht="44" customHeight="1">
      <x:c r="A766" s="1"/>
      <x:c r="B766" s="1"/>
      <x:c r="C766" s="8"/>
      <x:c r="D766" s="8"/>
      <x:c r="E766" s="8"/>
      <x:c r="F766" s="8"/>
      <x:c r="G766" s="8"/>
      <x:c r="H766" s="8"/>
      <x:c r="I766" s="8"/>
      <x:c r="J766" s="8"/>
      <x:c r="K766" s="8"/>
      <x:c r="L766" s="8"/>
      <x:c r="M766" s="10"/>
      <x:c r="N766" s="10"/>
      <x:c r="O766" s="8"/>
      <x:c r="P766" s="9" t="str">
        <x:f>IF(C766="","",IF(AND(G766="Applicable",H766="Fail"),"Fail",IF(R766&lt;&gt;"Valid","Pending",IF(OR(I766="",K766="",L766="",K766=L766,NOT(ISNUMBER(M766)),NOT(ISNUMBER(N766)),M766&gt;Settings!$F$8,N766&lt;Settings!$F$8,N766&lt;M766),"Pending",IF(AND(G766="Applicable",H766="Pass"),"Pass",IF(AND(G766="N/A",H766="N/A",J766&lt;&gt;"",OR(E766="CEM-FUELS",E766="CEM-CCS",AND(E766="CEM-PLAN",IFERROR(INDEX('Taxonomy'!$M$9:$M$108,MATCH(D766,'Taxonomy'!$C$9:$C$108,0)),"")&lt;&gt;"Amber"),E766="BLD-TIMBER",AND(U766="Building equipment",OR(E766="BLD-WATER",E766="BLD-WASTE",E766="BLD-LAND")),AND(U766="Building renovation",E766="BLD-LAND"))),"N/A","Pending"))))))</x:f>
      </x:c>
      <x:c r="Q766" s="3" t="str">
        <x:f>IF(C766="","",IF(AND(R766="Valid",OR(P766="Pass",P766="N/A")),"Complete","Unresolved"))</x:f>
      </x:c>
      <x:c r="R766" s="9" t="str">
        <x:f>IF(C766="","",IF(OR(COUNTIF($C$9:$C$2008,C766)&lt;&gt;1,COUNTIFS($D$9:$D$2008,D766,$E$9:$E$2008,E766)&lt;&gt;1),"Duplicate test",IF(COUNTIF('Taxonomy'!$C$9:$C$108,D766)&lt;&gt;1,"Assessment key",IF(OR(COUNTIF('Taxonomy Rules'!$C$42:$C$68,E766)&lt;&gt;1,F766&lt;&gt;IFERROR(INDEX('Taxonomy Rules'!$D$42:$D$68,MATCH(E766,'Taxonomy Rules'!$C$42:$C$68,0)),""),NOT(OR(IFERROR(INDEX('Taxonomy Rules'!$G$42:$G$68,MATCH(E766,'Taxonomy Rules'!$C$42:$C$68,0)),"")="All supported routes",IFERROR(INDEX('Taxonomy Rules'!$G$42:$G$68,MATCH(E766,'Taxonomy Rules'!$C$42:$C$68,0)),"")=U766,AND(IFERROR(INDEX('Taxonomy Rules'!$G$42:$G$68,MATCH(E766,'Taxonomy Rules'!$C$42:$C$68,0)),"")="Building routes",OR(U766="Building renovation",U766="New building",U766="Building equipment"))))),"Unexpected test","Valid"))))</x:f>
      </x:c>
      <x:c r="S766" s="9" t="str">
        <x:f>IF(C766="","",IFERROR(INDEX('Taxonomy Rules'!$E$42:$E$68,MATCH(E766,'Taxonomy Rules'!$C$42:$C$68,0)),""))</x:f>
      </x:c>
      <x:c r="T766" s="9" t="str">
        <x:f>IF(C766="","",IFERROR(INDEX('Taxonomy Rules'!$F$42:$F$68,MATCH(E766,'Taxonomy Rules'!$C$42:$C$68,0)),""))</x:f>
      </x:c>
      <x:c r="U766" s="9" t="str">
        <x:f>IF(C766="","",IFERROR(INDEX('Taxonomy'!$G$9:$G$108,MATCH(D766,'Taxonomy'!$C$9:$C$108,0)),""))</x:f>
      </x:c>
    </x:row>
    <x:row r="767" ht="44" customHeight="1">
      <x:c r="A767" s="1"/>
      <x:c r="B767" s="1"/>
      <x:c r="C767" s="8"/>
      <x:c r="D767" s="8"/>
      <x:c r="E767" s="8"/>
      <x:c r="F767" s="8"/>
      <x:c r="G767" s="8"/>
      <x:c r="H767" s="8"/>
      <x:c r="I767" s="8"/>
      <x:c r="J767" s="8"/>
      <x:c r="K767" s="8"/>
      <x:c r="L767" s="8"/>
      <x:c r="M767" s="10"/>
      <x:c r="N767" s="10"/>
      <x:c r="O767" s="8"/>
      <x:c r="P767" s="9" t="str">
        <x:f>IF(C767="","",IF(AND(G767="Applicable",H767="Fail"),"Fail",IF(R767&lt;&gt;"Valid","Pending",IF(OR(I767="",K767="",L767="",K767=L767,NOT(ISNUMBER(M767)),NOT(ISNUMBER(N767)),M767&gt;Settings!$F$8,N767&lt;Settings!$F$8,N767&lt;M767),"Pending",IF(AND(G767="Applicable",H767="Pass"),"Pass",IF(AND(G767="N/A",H767="N/A",J767&lt;&gt;"",OR(E767="CEM-FUELS",E767="CEM-CCS",AND(E767="CEM-PLAN",IFERROR(INDEX('Taxonomy'!$M$9:$M$108,MATCH(D767,'Taxonomy'!$C$9:$C$108,0)),"")&lt;&gt;"Amber"),E767="BLD-TIMBER",AND(U767="Building equipment",OR(E767="BLD-WATER",E767="BLD-WASTE",E767="BLD-LAND")),AND(U767="Building renovation",E767="BLD-LAND"))),"N/A","Pending"))))))</x:f>
      </x:c>
      <x:c r="Q767" s="3" t="str">
        <x:f>IF(C767="","",IF(AND(R767="Valid",OR(P767="Pass",P767="N/A")),"Complete","Unresolved"))</x:f>
      </x:c>
      <x:c r="R767" s="9" t="str">
        <x:f>IF(C767="","",IF(OR(COUNTIF($C$9:$C$2008,C767)&lt;&gt;1,COUNTIFS($D$9:$D$2008,D767,$E$9:$E$2008,E767)&lt;&gt;1),"Duplicate test",IF(COUNTIF('Taxonomy'!$C$9:$C$108,D767)&lt;&gt;1,"Assessment key",IF(OR(COUNTIF('Taxonomy Rules'!$C$42:$C$68,E767)&lt;&gt;1,F767&lt;&gt;IFERROR(INDEX('Taxonomy Rules'!$D$42:$D$68,MATCH(E767,'Taxonomy Rules'!$C$42:$C$68,0)),""),NOT(OR(IFERROR(INDEX('Taxonomy Rules'!$G$42:$G$68,MATCH(E767,'Taxonomy Rules'!$C$42:$C$68,0)),"")="All supported routes",IFERROR(INDEX('Taxonomy Rules'!$G$42:$G$68,MATCH(E767,'Taxonomy Rules'!$C$42:$C$68,0)),"")=U767,AND(IFERROR(INDEX('Taxonomy Rules'!$G$42:$G$68,MATCH(E767,'Taxonomy Rules'!$C$42:$C$68,0)),"")="Building routes",OR(U767="Building renovation",U767="New building",U767="Building equipment"))))),"Unexpected test","Valid"))))</x:f>
      </x:c>
      <x:c r="S767" s="9" t="str">
        <x:f>IF(C767="","",IFERROR(INDEX('Taxonomy Rules'!$E$42:$E$68,MATCH(E767,'Taxonomy Rules'!$C$42:$C$68,0)),""))</x:f>
      </x:c>
      <x:c r="T767" s="9" t="str">
        <x:f>IF(C767="","",IFERROR(INDEX('Taxonomy Rules'!$F$42:$F$68,MATCH(E767,'Taxonomy Rules'!$C$42:$C$68,0)),""))</x:f>
      </x:c>
      <x:c r="U767" s="9" t="str">
        <x:f>IF(C767="","",IFERROR(INDEX('Taxonomy'!$G$9:$G$108,MATCH(D767,'Taxonomy'!$C$9:$C$108,0)),""))</x:f>
      </x:c>
    </x:row>
    <x:row r="768" ht="44" customHeight="1">
      <x:c r="A768" s="1"/>
      <x:c r="B768" s="1"/>
      <x:c r="C768" s="8"/>
      <x:c r="D768" s="8"/>
      <x:c r="E768" s="8"/>
      <x:c r="F768" s="8"/>
      <x:c r="G768" s="8"/>
      <x:c r="H768" s="8"/>
      <x:c r="I768" s="8"/>
      <x:c r="J768" s="8"/>
      <x:c r="K768" s="8"/>
      <x:c r="L768" s="8"/>
      <x:c r="M768" s="10"/>
      <x:c r="N768" s="10"/>
      <x:c r="O768" s="8"/>
      <x:c r="P768" s="9" t="str">
        <x:f>IF(C768="","",IF(AND(G768="Applicable",H768="Fail"),"Fail",IF(R768&lt;&gt;"Valid","Pending",IF(OR(I768="",K768="",L768="",K768=L768,NOT(ISNUMBER(M768)),NOT(ISNUMBER(N768)),M768&gt;Settings!$F$8,N768&lt;Settings!$F$8,N768&lt;M768),"Pending",IF(AND(G768="Applicable",H768="Pass"),"Pass",IF(AND(G768="N/A",H768="N/A",J768&lt;&gt;"",OR(E768="CEM-FUELS",E768="CEM-CCS",AND(E768="CEM-PLAN",IFERROR(INDEX('Taxonomy'!$M$9:$M$108,MATCH(D768,'Taxonomy'!$C$9:$C$108,0)),"")&lt;&gt;"Amber"),E768="BLD-TIMBER",AND(U768="Building equipment",OR(E768="BLD-WATER",E768="BLD-WASTE",E768="BLD-LAND")),AND(U768="Building renovation",E768="BLD-LAND"))),"N/A","Pending"))))))</x:f>
      </x:c>
      <x:c r="Q768" s="3" t="str">
        <x:f>IF(C768="","",IF(AND(R768="Valid",OR(P768="Pass",P768="N/A")),"Complete","Unresolved"))</x:f>
      </x:c>
      <x:c r="R768" s="9" t="str">
        <x:f>IF(C768="","",IF(OR(COUNTIF($C$9:$C$2008,C768)&lt;&gt;1,COUNTIFS($D$9:$D$2008,D768,$E$9:$E$2008,E768)&lt;&gt;1),"Duplicate test",IF(COUNTIF('Taxonomy'!$C$9:$C$108,D768)&lt;&gt;1,"Assessment key",IF(OR(COUNTIF('Taxonomy Rules'!$C$42:$C$68,E768)&lt;&gt;1,F768&lt;&gt;IFERROR(INDEX('Taxonomy Rules'!$D$42:$D$68,MATCH(E768,'Taxonomy Rules'!$C$42:$C$68,0)),""),NOT(OR(IFERROR(INDEX('Taxonomy Rules'!$G$42:$G$68,MATCH(E768,'Taxonomy Rules'!$C$42:$C$68,0)),"")="All supported routes",IFERROR(INDEX('Taxonomy Rules'!$G$42:$G$68,MATCH(E768,'Taxonomy Rules'!$C$42:$C$68,0)),"")=U768,AND(IFERROR(INDEX('Taxonomy Rules'!$G$42:$G$68,MATCH(E768,'Taxonomy Rules'!$C$42:$C$68,0)),"")="Building routes",OR(U768="Building renovation",U768="New building",U768="Building equipment"))))),"Unexpected test","Valid"))))</x:f>
      </x:c>
      <x:c r="S768" s="9" t="str">
        <x:f>IF(C768="","",IFERROR(INDEX('Taxonomy Rules'!$E$42:$E$68,MATCH(E768,'Taxonomy Rules'!$C$42:$C$68,0)),""))</x:f>
      </x:c>
      <x:c r="T768" s="9" t="str">
        <x:f>IF(C768="","",IFERROR(INDEX('Taxonomy Rules'!$F$42:$F$68,MATCH(E768,'Taxonomy Rules'!$C$42:$C$68,0)),""))</x:f>
      </x:c>
      <x:c r="U768" s="9" t="str">
        <x:f>IF(C768="","",IFERROR(INDEX('Taxonomy'!$G$9:$G$108,MATCH(D768,'Taxonomy'!$C$9:$C$108,0)),""))</x:f>
      </x:c>
    </x:row>
    <x:row r="769" ht="44" customHeight="1">
      <x:c r="A769" s="1"/>
      <x:c r="B769" s="1"/>
      <x:c r="C769" s="8"/>
      <x:c r="D769" s="8"/>
      <x:c r="E769" s="8"/>
      <x:c r="F769" s="8"/>
      <x:c r="G769" s="8"/>
      <x:c r="H769" s="8"/>
      <x:c r="I769" s="8"/>
      <x:c r="J769" s="8"/>
      <x:c r="K769" s="8"/>
      <x:c r="L769" s="8"/>
      <x:c r="M769" s="10"/>
      <x:c r="N769" s="10"/>
      <x:c r="O769" s="8"/>
      <x:c r="P769" s="9" t="str">
        <x:f>IF(C769="","",IF(AND(G769="Applicable",H769="Fail"),"Fail",IF(R769&lt;&gt;"Valid","Pending",IF(OR(I769="",K769="",L769="",K769=L769,NOT(ISNUMBER(M769)),NOT(ISNUMBER(N769)),M769&gt;Settings!$F$8,N769&lt;Settings!$F$8,N769&lt;M769),"Pending",IF(AND(G769="Applicable",H769="Pass"),"Pass",IF(AND(G769="N/A",H769="N/A",J769&lt;&gt;"",OR(E769="CEM-FUELS",E769="CEM-CCS",AND(E769="CEM-PLAN",IFERROR(INDEX('Taxonomy'!$M$9:$M$108,MATCH(D769,'Taxonomy'!$C$9:$C$108,0)),"")&lt;&gt;"Amber"),E769="BLD-TIMBER",AND(U769="Building equipment",OR(E769="BLD-WATER",E769="BLD-WASTE",E769="BLD-LAND")),AND(U769="Building renovation",E769="BLD-LAND"))),"N/A","Pending"))))))</x:f>
      </x:c>
      <x:c r="Q769" s="3" t="str">
        <x:f>IF(C769="","",IF(AND(R769="Valid",OR(P769="Pass",P769="N/A")),"Complete","Unresolved"))</x:f>
      </x:c>
      <x:c r="R769" s="9" t="str">
        <x:f>IF(C769="","",IF(OR(COUNTIF($C$9:$C$2008,C769)&lt;&gt;1,COUNTIFS($D$9:$D$2008,D769,$E$9:$E$2008,E769)&lt;&gt;1),"Duplicate test",IF(COUNTIF('Taxonomy'!$C$9:$C$108,D769)&lt;&gt;1,"Assessment key",IF(OR(COUNTIF('Taxonomy Rules'!$C$42:$C$68,E769)&lt;&gt;1,F769&lt;&gt;IFERROR(INDEX('Taxonomy Rules'!$D$42:$D$68,MATCH(E769,'Taxonomy Rules'!$C$42:$C$68,0)),""),NOT(OR(IFERROR(INDEX('Taxonomy Rules'!$G$42:$G$68,MATCH(E769,'Taxonomy Rules'!$C$42:$C$68,0)),"")="All supported routes",IFERROR(INDEX('Taxonomy Rules'!$G$42:$G$68,MATCH(E769,'Taxonomy Rules'!$C$42:$C$68,0)),"")=U769,AND(IFERROR(INDEX('Taxonomy Rules'!$G$42:$G$68,MATCH(E769,'Taxonomy Rules'!$C$42:$C$68,0)),"")="Building routes",OR(U769="Building renovation",U769="New building",U769="Building equipment"))))),"Unexpected test","Valid"))))</x:f>
      </x:c>
      <x:c r="S769" s="9" t="str">
        <x:f>IF(C769="","",IFERROR(INDEX('Taxonomy Rules'!$E$42:$E$68,MATCH(E769,'Taxonomy Rules'!$C$42:$C$68,0)),""))</x:f>
      </x:c>
      <x:c r="T769" s="9" t="str">
        <x:f>IF(C769="","",IFERROR(INDEX('Taxonomy Rules'!$F$42:$F$68,MATCH(E769,'Taxonomy Rules'!$C$42:$C$68,0)),""))</x:f>
      </x:c>
      <x:c r="U769" s="9" t="str">
        <x:f>IF(C769="","",IFERROR(INDEX('Taxonomy'!$G$9:$G$108,MATCH(D769,'Taxonomy'!$C$9:$C$108,0)),""))</x:f>
      </x:c>
    </x:row>
    <x:row r="770" ht="44" customHeight="1">
      <x:c r="A770" s="1"/>
      <x:c r="B770" s="1"/>
      <x:c r="C770" s="8"/>
      <x:c r="D770" s="8"/>
      <x:c r="E770" s="8"/>
      <x:c r="F770" s="8"/>
      <x:c r="G770" s="8"/>
      <x:c r="H770" s="8"/>
      <x:c r="I770" s="8"/>
      <x:c r="J770" s="8"/>
      <x:c r="K770" s="8"/>
      <x:c r="L770" s="8"/>
      <x:c r="M770" s="10"/>
      <x:c r="N770" s="10"/>
      <x:c r="O770" s="8"/>
      <x:c r="P770" s="9" t="str">
        <x:f>IF(C770="","",IF(AND(G770="Applicable",H770="Fail"),"Fail",IF(R770&lt;&gt;"Valid","Pending",IF(OR(I770="",K770="",L770="",K770=L770,NOT(ISNUMBER(M770)),NOT(ISNUMBER(N770)),M770&gt;Settings!$F$8,N770&lt;Settings!$F$8,N770&lt;M770),"Pending",IF(AND(G770="Applicable",H770="Pass"),"Pass",IF(AND(G770="N/A",H770="N/A",J770&lt;&gt;"",OR(E770="CEM-FUELS",E770="CEM-CCS",AND(E770="CEM-PLAN",IFERROR(INDEX('Taxonomy'!$M$9:$M$108,MATCH(D770,'Taxonomy'!$C$9:$C$108,0)),"")&lt;&gt;"Amber"),E770="BLD-TIMBER",AND(U770="Building equipment",OR(E770="BLD-WATER",E770="BLD-WASTE",E770="BLD-LAND")),AND(U770="Building renovation",E770="BLD-LAND"))),"N/A","Pending"))))))</x:f>
      </x:c>
      <x:c r="Q770" s="3" t="str">
        <x:f>IF(C770="","",IF(AND(R770="Valid",OR(P770="Pass",P770="N/A")),"Complete","Unresolved"))</x:f>
      </x:c>
      <x:c r="R770" s="9" t="str">
        <x:f>IF(C770="","",IF(OR(COUNTIF($C$9:$C$2008,C770)&lt;&gt;1,COUNTIFS($D$9:$D$2008,D770,$E$9:$E$2008,E770)&lt;&gt;1),"Duplicate test",IF(COUNTIF('Taxonomy'!$C$9:$C$108,D770)&lt;&gt;1,"Assessment key",IF(OR(COUNTIF('Taxonomy Rules'!$C$42:$C$68,E770)&lt;&gt;1,F770&lt;&gt;IFERROR(INDEX('Taxonomy Rules'!$D$42:$D$68,MATCH(E770,'Taxonomy Rules'!$C$42:$C$68,0)),""),NOT(OR(IFERROR(INDEX('Taxonomy Rules'!$G$42:$G$68,MATCH(E770,'Taxonomy Rules'!$C$42:$C$68,0)),"")="All supported routes",IFERROR(INDEX('Taxonomy Rules'!$G$42:$G$68,MATCH(E770,'Taxonomy Rules'!$C$42:$C$68,0)),"")=U770,AND(IFERROR(INDEX('Taxonomy Rules'!$G$42:$G$68,MATCH(E770,'Taxonomy Rules'!$C$42:$C$68,0)),"")="Building routes",OR(U770="Building renovation",U770="New building",U770="Building equipment"))))),"Unexpected test","Valid"))))</x:f>
      </x:c>
      <x:c r="S770" s="9" t="str">
        <x:f>IF(C770="","",IFERROR(INDEX('Taxonomy Rules'!$E$42:$E$68,MATCH(E770,'Taxonomy Rules'!$C$42:$C$68,0)),""))</x:f>
      </x:c>
      <x:c r="T770" s="9" t="str">
        <x:f>IF(C770="","",IFERROR(INDEX('Taxonomy Rules'!$F$42:$F$68,MATCH(E770,'Taxonomy Rules'!$C$42:$C$68,0)),""))</x:f>
      </x:c>
      <x:c r="U770" s="9" t="str">
        <x:f>IF(C770="","",IFERROR(INDEX('Taxonomy'!$G$9:$G$108,MATCH(D770,'Taxonomy'!$C$9:$C$108,0)),""))</x:f>
      </x:c>
    </x:row>
    <x:row r="771" ht="44" customHeight="1">
      <x:c r="A771" s="1"/>
      <x:c r="B771" s="1"/>
      <x:c r="C771" s="8"/>
      <x:c r="D771" s="8"/>
      <x:c r="E771" s="8"/>
      <x:c r="F771" s="8"/>
      <x:c r="G771" s="8"/>
      <x:c r="H771" s="8"/>
      <x:c r="I771" s="8"/>
      <x:c r="J771" s="8"/>
      <x:c r="K771" s="8"/>
      <x:c r="L771" s="8"/>
      <x:c r="M771" s="10"/>
      <x:c r="N771" s="10"/>
      <x:c r="O771" s="8"/>
      <x:c r="P771" s="9" t="str">
        <x:f>IF(C771="","",IF(AND(G771="Applicable",H771="Fail"),"Fail",IF(R771&lt;&gt;"Valid","Pending",IF(OR(I771="",K771="",L771="",K771=L771,NOT(ISNUMBER(M771)),NOT(ISNUMBER(N771)),M771&gt;Settings!$F$8,N771&lt;Settings!$F$8,N771&lt;M771),"Pending",IF(AND(G771="Applicable",H771="Pass"),"Pass",IF(AND(G771="N/A",H771="N/A",J771&lt;&gt;"",OR(E771="CEM-FUELS",E771="CEM-CCS",AND(E771="CEM-PLAN",IFERROR(INDEX('Taxonomy'!$M$9:$M$108,MATCH(D771,'Taxonomy'!$C$9:$C$108,0)),"")&lt;&gt;"Amber"),E771="BLD-TIMBER",AND(U771="Building equipment",OR(E771="BLD-WATER",E771="BLD-WASTE",E771="BLD-LAND")),AND(U771="Building renovation",E771="BLD-LAND"))),"N/A","Pending"))))))</x:f>
      </x:c>
      <x:c r="Q771" s="3" t="str">
        <x:f>IF(C771="","",IF(AND(R771="Valid",OR(P771="Pass",P771="N/A")),"Complete","Unresolved"))</x:f>
      </x:c>
      <x:c r="R771" s="9" t="str">
        <x:f>IF(C771="","",IF(OR(COUNTIF($C$9:$C$2008,C771)&lt;&gt;1,COUNTIFS($D$9:$D$2008,D771,$E$9:$E$2008,E771)&lt;&gt;1),"Duplicate test",IF(COUNTIF('Taxonomy'!$C$9:$C$108,D771)&lt;&gt;1,"Assessment key",IF(OR(COUNTIF('Taxonomy Rules'!$C$42:$C$68,E771)&lt;&gt;1,F771&lt;&gt;IFERROR(INDEX('Taxonomy Rules'!$D$42:$D$68,MATCH(E771,'Taxonomy Rules'!$C$42:$C$68,0)),""),NOT(OR(IFERROR(INDEX('Taxonomy Rules'!$G$42:$G$68,MATCH(E771,'Taxonomy Rules'!$C$42:$C$68,0)),"")="All supported routes",IFERROR(INDEX('Taxonomy Rules'!$G$42:$G$68,MATCH(E771,'Taxonomy Rules'!$C$42:$C$68,0)),"")=U771,AND(IFERROR(INDEX('Taxonomy Rules'!$G$42:$G$68,MATCH(E771,'Taxonomy Rules'!$C$42:$C$68,0)),"")="Building routes",OR(U771="Building renovation",U771="New building",U771="Building equipment"))))),"Unexpected test","Valid"))))</x:f>
      </x:c>
      <x:c r="S771" s="9" t="str">
        <x:f>IF(C771="","",IFERROR(INDEX('Taxonomy Rules'!$E$42:$E$68,MATCH(E771,'Taxonomy Rules'!$C$42:$C$68,0)),""))</x:f>
      </x:c>
      <x:c r="T771" s="9" t="str">
        <x:f>IF(C771="","",IFERROR(INDEX('Taxonomy Rules'!$F$42:$F$68,MATCH(E771,'Taxonomy Rules'!$C$42:$C$68,0)),""))</x:f>
      </x:c>
      <x:c r="U771" s="9" t="str">
        <x:f>IF(C771="","",IFERROR(INDEX('Taxonomy'!$G$9:$G$108,MATCH(D771,'Taxonomy'!$C$9:$C$108,0)),""))</x:f>
      </x:c>
    </x:row>
    <x:row r="772" ht="44" customHeight="1">
      <x:c r="A772" s="1"/>
      <x:c r="B772" s="1"/>
      <x:c r="C772" s="8"/>
      <x:c r="D772" s="8"/>
      <x:c r="E772" s="8"/>
      <x:c r="F772" s="8"/>
      <x:c r="G772" s="8"/>
      <x:c r="H772" s="8"/>
      <x:c r="I772" s="8"/>
      <x:c r="J772" s="8"/>
      <x:c r="K772" s="8"/>
      <x:c r="L772" s="8"/>
      <x:c r="M772" s="10"/>
      <x:c r="N772" s="10"/>
      <x:c r="O772" s="8"/>
      <x:c r="P772" s="9" t="str">
        <x:f>IF(C772="","",IF(AND(G772="Applicable",H772="Fail"),"Fail",IF(R772&lt;&gt;"Valid","Pending",IF(OR(I772="",K772="",L772="",K772=L772,NOT(ISNUMBER(M772)),NOT(ISNUMBER(N772)),M772&gt;Settings!$F$8,N772&lt;Settings!$F$8,N772&lt;M772),"Pending",IF(AND(G772="Applicable",H772="Pass"),"Pass",IF(AND(G772="N/A",H772="N/A",J772&lt;&gt;"",OR(E772="CEM-FUELS",E772="CEM-CCS",AND(E772="CEM-PLAN",IFERROR(INDEX('Taxonomy'!$M$9:$M$108,MATCH(D772,'Taxonomy'!$C$9:$C$108,0)),"")&lt;&gt;"Amber"),E772="BLD-TIMBER",AND(U772="Building equipment",OR(E772="BLD-WATER",E772="BLD-WASTE",E772="BLD-LAND")),AND(U772="Building renovation",E772="BLD-LAND"))),"N/A","Pending"))))))</x:f>
      </x:c>
      <x:c r="Q772" s="3" t="str">
        <x:f>IF(C772="","",IF(AND(R772="Valid",OR(P772="Pass",P772="N/A")),"Complete","Unresolved"))</x:f>
      </x:c>
      <x:c r="R772" s="9" t="str">
        <x:f>IF(C772="","",IF(OR(COUNTIF($C$9:$C$2008,C772)&lt;&gt;1,COUNTIFS($D$9:$D$2008,D772,$E$9:$E$2008,E772)&lt;&gt;1),"Duplicate test",IF(COUNTIF('Taxonomy'!$C$9:$C$108,D772)&lt;&gt;1,"Assessment key",IF(OR(COUNTIF('Taxonomy Rules'!$C$42:$C$68,E772)&lt;&gt;1,F772&lt;&gt;IFERROR(INDEX('Taxonomy Rules'!$D$42:$D$68,MATCH(E772,'Taxonomy Rules'!$C$42:$C$68,0)),""),NOT(OR(IFERROR(INDEX('Taxonomy Rules'!$G$42:$G$68,MATCH(E772,'Taxonomy Rules'!$C$42:$C$68,0)),"")="All supported routes",IFERROR(INDEX('Taxonomy Rules'!$G$42:$G$68,MATCH(E772,'Taxonomy Rules'!$C$42:$C$68,0)),"")=U772,AND(IFERROR(INDEX('Taxonomy Rules'!$G$42:$G$68,MATCH(E772,'Taxonomy Rules'!$C$42:$C$68,0)),"")="Building routes",OR(U772="Building renovation",U772="New building",U772="Building equipment"))))),"Unexpected test","Valid"))))</x:f>
      </x:c>
      <x:c r="S772" s="9" t="str">
        <x:f>IF(C772="","",IFERROR(INDEX('Taxonomy Rules'!$E$42:$E$68,MATCH(E772,'Taxonomy Rules'!$C$42:$C$68,0)),""))</x:f>
      </x:c>
      <x:c r="T772" s="9" t="str">
        <x:f>IF(C772="","",IFERROR(INDEX('Taxonomy Rules'!$F$42:$F$68,MATCH(E772,'Taxonomy Rules'!$C$42:$C$68,0)),""))</x:f>
      </x:c>
      <x:c r="U772" s="9" t="str">
        <x:f>IF(C772="","",IFERROR(INDEX('Taxonomy'!$G$9:$G$108,MATCH(D772,'Taxonomy'!$C$9:$C$108,0)),""))</x:f>
      </x:c>
    </x:row>
    <x:row r="773" ht="44" customHeight="1">
      <x:c r="A773" s="1"/>
      <x:c r="B773" s="1"/>
      <x:c r="C773" s="8"/>
      <x:c r="D773" s="8"/>
      <x:c r="E773" s="8"/>
      <x:c r="F773" s="8"/>
      <x:c r="G773" s="8"/>
      <x:c r="H773" s="8"/>
      <x:c r="I773" s="8"/>
      <x:c r="J773" s="8"/>
      <x:c r="K773" s="8"/>
      <x:c r="L773" s="8"/>
      <x:c r="M773" s="10"/>
      <x:c r="N773" s="10"/>
      <x:c r="O773" s="8"/>
      <x:c r="P773" s="9" t="str">
        <x:f>IF(C773="","",IF(AND(G773="Applicable",H773="Fail"),"Fail",IF(R773&lt;&gt;"Valid","Pending",IF(OR(I773="",K773="",L773="",K773=L773,NOT(ISNUMBER(M773)),NOT(ISNUMBER(N773)),M773&gt;Settings!$F$8,N773&lt;Settings!$F$8,N773&lt;M773),"Pending",IF(AND(G773="Applicable",H773="Pass"),"Pass",IF(AND(G773="N/A",H773="N/A",J773&lt;&gt;"",OR(E773="CEM-FUELS",E773="CEM-CCS",AND(E773="CEM-PLAN",IFERROR(INDEX('Taxonomy'!$M$9:$M$108,MATCH(D773,'Taxonomy'!$C$9:$C$108,0)),"")&lt;&gt;"Amber"),E773="BLD-TIMBER",AND(U773="Building equipment",OR(E773="BLD-WATER",E773="BLD-WASTE",E773="BLD-LAND")),AND(U773="Building renovation",E773="BLD-LAND"))),"N/A","Pending"))))))</x:f>
      </x:c>
      <x:c r="Q773" s="3" t="str">
        <x:f>IF(C773="","",IF(AND(R773="Valid",OR(P773="Pass",P773="N/A")),"Complete","Unresolved"))</x:f>
      </x:c>
      <x:c r="R773" s="9" t="str">
        <x:f>IF(C773="","",IF(OR(COUNTIF($C$9:$C$2008,C773)&lt;&gt;1,COUNTIFS($D$9:$D$2008,D773,$E$9:$E$2008,E773)&lt;&gt;1),"Duplicate test",IF(COUNTIF('Taxonomy'!$C$9:$C$108,D773)&lt;&gt;1,"Assessment key",IF(OR(COUNTIF('Taxonomy Rules'!$C$42:$C$68,E773)&lt;&gt;1,F773&lt;&gt;IFERROR(INDEX('Taxonomy Rules'!$D$42:$D$68,MATCH(E773,'Taxonomy Rules'!$C$42:$C$68,0)),""),NOT(OR(IFERROR(INDEX('Taxonomy Rules'!$G$42:$G$68,MATCH(E773,'Taxonomy Rules'!$C$42:$C$68,0)),"")="All supported routes",IFERROR(INDEX('Taxonomy Rules'!$G$42:$G$68,MATCH(E773,'Taxonomy Rules'!$C$42:$C$68,0)),"")=U773,AND(IFERROR(INDEX('Taxonomy Rules'!$G$42:$G$68,MATCH(E773,'Taxonomy Rules'!$C$42:$C$68,0)),"")="Building routes",OR(U773="Building renovation",U773="New building",U773="Building equipment"))))),"Unexpected test","Valid"))))</x:f>
      </x:c>
      <x:c r="S773" s="9" t="str">
        <x:f>IF(C773="","",IFERROR(INDEX('Taxonomy Rules'!$E$42:$E$68,MATCH(E773,'Taxonomy Rules'!$C$42:$C$68,0)),""))</x:f>
      </x:c>
      <x:c r="T773" s="9" t="str">
        <x:f>IF(C773="","",IFERROR(INDEX('Taxonomy Rules'!$F$42:$F$68,MATCH(E773,'Taxonomy Rules'!$C$42:$C$68,0)),""))</x:f>
      </x:c>
      <x:c r="U773" s="9" t="str">
        <x:f>IF(C773="","",IFERROR(INDEX('Taxonomy'!$G$9:$G$108,MATCH(D773,'Taxonomy'!$C$9:$C$108,0)),""))</x:f>
      </x:c>
    </x:row>
    <x:row r="774" ht="44" customHeight="1">
      <x:c r="A774" s="1"/>
      <x:c r="B774" s="1"/>
      <x:c r="C774" s="8"/>
      <x:c r="D774" s="8"/>
      <x:c r="E774" s="8"/>
      <x:c r="F774" s="8"/>
      <x:c r="G774" s="8"/>
      <x:c r="H774" s="8"/>
      <x:c r="I774" s="8"/>
      <x:c r="J774" s="8"/>
      <x:c r="K774" s="8"/>
      <x:c r="L774" s="8"/>
      <x:c r="M774" s="10"/>
      <x:c r="N774" s="10"/>
      <x:c r="O774" s="8"/>
      <x:c r="P774" s="9" t="str">
        <x:f>IF(C774="","",IF(AND(G774="Applicable",H774="Fail"),"Fail",IF(R774&lt;&gt;"Valid","Pending",IF(OR(I774="",K774="",L774="",K774=L774,NOT(ISNUMBER(M774)),NOT(ISNUMBER(N774)),M774&gt;Settings!$F$8,N774&lt;Settings!$F$8,N774&lt;M774),"Pending",IF(AND(G774="Applicable",H774="Pass"),"Pass",IF(AND(G774="N/A",H774="N/A",J774&lt;&gt;"",OR(E774="CEM-FUELS",E774="CEM-CCS",AND(E774="CEM-PLAN",IFERROR(INDEX('Taxonomy'!$M$9:$M$108,MATCH(D774,'Taxonomy'!$C$9:$C$108,0)),"")&lt;&gt;"Amber"),E774="BLD-TIMBER",AND(U774="Building equipment",OR(E774="BLD-WATER",E774="BLD-WASTE",E774="BLD-LAND")),AND(U774="Building renovation",E774="BLD-LAND"))),"N/A","Pending"))))))</x:f>
      </x:c>
      <x:c r="Q774" s="3" t="str">
        <x:f>IF(C774="","",IF(AND(R774="Valid",OR(P774="Pass",P774="N/A")),"Complete","Unresolved"))</x:f>
      </x:c>
      <x:c r="R774" s="9" t="str">
        <x:f>IF(C774="","",IF(OR(COUNTIF($C$9:$C$2008,C774)&lt;&gt;1,COUNTIFS($D$9:$D$2008,D774,$E$9:$E$2008,E774)&lt;&gt;1),"Duplicate test",IF(COUNTIF('Taxonomy'!$C$9:$C$108,D774)&lt;&gt;1,"Assessment key",IF(OR(COUNTIF('Taxonomy Rules'!$C$42:$C$68,E774)&lt;&gt;1,F774&lt;&gt;IFERROR(INDEX('Taxonomy Rules'!$D$42:$D$68,MATCH(E774,'Taxonomy Rules'!$C$42:$C$68,0)),""),NOT(OR(IFERROR(INDEX('Taxonomy Rules'!$G$42:$G$68,MATCH(E774,'Taxonomy Rules'!$C$42:$C$68,0)),"")="All supported routes",IFERROR(INDEX('Taxonomy Rules'!$G$42:$G$68,MATCH(E774,'Taxonomy Rules'!$C$42:$C$68,0)),"")=U774,AND(IFERROR(INDEX('Taxonomy Rules'!$G$42:$G$68,MATCH(E774,'Taxonomy Rules'!$C$42:$C$68,0)),"")="Building routes",OR(U774="Building renovation",U774="New building",U774="Building equipment"))))),"Unexpected test","Valid"))))</x:f>
      </x:c>
      <x:c r="S774" s="9" t="str">
        <x:f>IF(C774="","",IFERROR(INDEX('Taxonomy Rules'!$E$42:$E$68,MATCH(E774,'Taxonomy Rules'!$C$42:$C$68,0)),""))</x:f>
      </x:c>
      <x:c r="T774" s="9" t="str">
        <x:f>IF(C774="","",IFERROR(INDEX('Taxonomy Rules'!$F$42:$F$68,MATCH(E774,'Taxonomy Rules'!$C$42:$C$68,0)),""))</x:f>
      </x:c>
      <x:c r="U774" s="9" t="str">
        <x:f>IF(C774="","",IFERROR(INDEX('Taxonomy'!$G$9:$G$108,MATCH(D774,'Taxonomy'!$C$9:$C$108,0)),""))</x:f>
      </x:c>
    </x:row>
    <x:row r="775" ht="44" customHeight="1">
      <x:c r="A775" s="1"/>
      <x:c r="B775" s="1"/>
      <x:c r="C775" s="8"/>
      <x:c r="D775" s="8"/>
      <x:c r="E775" s="8"/>
      <x:c r="F775" s="8"/>
      <x:c r="G775" s="8"/>
      <x:c r="H775" s="8"/>
      <x:c r="I775" s="8"/>
      <x:c r="J775" s="8"/>
      <x:c r="K775" s="8"/>
      <x:c r="L775" s="8"/>
      <x:c r="M775" s="10"/>
      <x:c r="N775" s="10"/>
      <x:c r="O775" s="8"/>
      <x:c r="P775" s="9" t="str">
        <x:f>IF(C775="","",IF(AND(G775="Applicable",H775="Fail"),"Fail",IF(R775&lt;&gt;"Valid","Pending",IF(OR(I775="",K775="",L775="",K775=L775,NOT(ISNUMBER(M775)),NOT(ISNUMBER(N775)),M775&gt;Settings!$F$8,N775&lt;Settings!$F$8,N775&lt;M775),"Pending",IF(AND(G775="Applicable",H775="Pass"),"Pass",IF(AND(G775="N/A",H775="N/A",J775&lt;&gt;"",OR(E775="CEM-FUELS",E775="CEM-CCS",AND(E775="CEM-PLAN",IFERROR(INDEX('Taxonomy'!$M$9:$M$108,MATCH(D775,'Taxonomy'!$C$9:$C$108,0)),"")&lt;&gt;"Amber"),E775="BLD-TIMBER",AND(U775="Building equipment",OR(E775="BLD-WATER",E775="BLD-WASTE",E775="BLD-LAND")),AND(U775="Building renovation",E775="BLD-LAND"))),"N/A","Pending"))))))</x:f>
      </x:c>
      <x:c r="Q775" s="3" t="str">
        <x:f>IF(C775="","",IF(AND(R775="Valid",OR(P775="Pass",P775="N/A")),"Complete","Unresolved"))</x:f>
      </x:c>
      <x:c r="R775" s="9" t="str">
        <x:f>IF(C775="","",IF(OR(COUNTIF($C$9:$C$2008,C775)&lt;&gt;1,COUNTIFS($D$9:$D$2008,D775,$E$9:$E$2008,E775)&lt;&gt;1),"Duplicate test",IF(COUNTIF('Taxonomy'!$C$9:$C$108,D775)&lt;&gt;1,"Assessment key",IF(OR(COUNTIF('Taxonomy Rules'!$C$42:$C$68,E775)&lt;&gt;1,F775&lt;&gt;IFERROR(INDEX('Taxonomy Rules'!$D$42:$D$68,MATCH(E775,'Taxonomy Rules'!$C$42:$C$68,0)),""),NOT(OR(IFERROR(INDEX('Taxonomy Rules'!$G$42:$G$68,MATCH(E775,'Taxonomy Rules'!$C$42:$C$68,0)),"")="All supported routes",IFERROR(INDEX('Taxonomy Rules'!$G$42:$G$68,MATCH(E775,'Taxonomy Rules'!$C$42:$C$68,0)),"")=U775,AND(IFERROR(INDEX('Taxonomy Rules'!$G$42:$G$68,MATCH(E775,'Taxonomy Rules'!$C$42:$C$68,0)),"")="Building routes",OR(U775="Building renovation",U775="New building",U775="Building equipment"))))),"Unexpected test","Valid"))))</x:f>
      </x:c>
      <x:c r="S775" s="9" t="str">
        <x:f>IF(C775="","",IFERROR(INDEX('Taxonomy Rules'!$E$42:$E$68,MATCH(E775,'Taxonomy Rules'!$C$42:$C$68,0)),""))</x:f>
      </x:c>
      <x:c r="T775" s="9" t="str">
        <x:f>IF(C775="","",IFERROR(INDEX('Taxonomy Rules'!$F$42:$F$68,MATCH(E775,'Taxonomy Rules'!$C$42:$C$68,0)),""))</x:f>
      </x:c>
      <x:c r="U775" s="9" t="str">
        <x:f>IF(C775="","",IFERROR(INDEX('Taxonomy'!$G$9:$G$108,MATCH(D775,'Taxonomy'!$C$9:$C$108,0)),""))</x:f>
      </x:c>
    </x:row>
    <x:row r="776" ht="44" customHeight="1">
      <x:c r="A776" s="1"/>
      <x:c r="B776" s="1"/>
      <x:c r="C776" s="8"/>
      <x:c r="D776" s="8"/>
      <x:c r="E776" s="8"/>
      <x:c r="F776" s="8"/>
      <x:c r="G776" s="8"/>
      <x:c r="H776" s="8"/>
      <x:c r="I776" s="8"/>
      <x:c r="J776" s="8"/>
      <x:c r="K776" s="8"/>
      <x:c r="L776" s="8"/>
      <x:c r="M776" s="10"/>
      <x:c r="N776" s="10"/>
      <x:c r="O776" s="8"/>
      <x:c r="P776" s="9" t="str">
        <x:f>IF(C776="","",IF(AND(G776="Applicable",H776="Fail"),"Fail",IF(R776&lt;&gt;"Valid","Pending",IF(OR(I776="",K776="",L776="",K776=L776,NOT(ISNUMBER(M776)),NOT(ISNUMBER(N776)),M776&gt;Settings!$F$8,N776&lt;Settings!$F$8,N776&lt;M776),"Pending",IF(AND(G776="Applicable",H776="Pass"),"Pass",IF(AND(G776="N/A",H776="N/A",J776&lt;&gt;"",OR(E776="CEM-FUELS",E776="CEM-CCS",AND(E776="CEM-PLAN",IFERROR(INDEX('Taxonomy'!$M$9:$M$108,MATCH(D776,'Taxonomy'!$C$9:$C$108,0)),"")&lt;&gt;"Amber"),E776="BLD-TIMBER",AND(U776="Building equipment",OR(E776="BLD-WATER",E776="BLD-WASTE",E776="BLD-LAND")),AND(U776="Building renovation",E776="BLD-LAND"))),"N/A","Pending"))))))</x:f>
      </x:c>
      <x:c r="Q776" s="3" t="str">
        <x:f>IF(C776="","",IF(AND(R776="Valid",OR(P776="Pass",P776="N/A")),"Complete","Unresolved"))</x:f>
      </x:c>
      <x:c r="R776" s="9" t="str">
        <x:f>IF(C776="","",IF(OR(COUNTIF($C$9:$C$2008,C776)&lt;&gt;1,COUNTIFS($D$9:$D$2008,D776,$E$9:$E$2008,E776)&lt;&gt;1),"Duplicate test",IF(COUNTIF('Taxonomy'!$C$9:$C$108,D776)&lt;&gt;1,"Assessment key",IF(OR(COUNTIF('Taxonomy Rules'!$C$42:$C$68,E776)&lt;&gt;1,F776&lt;&gt;IFERROR(INDEX('Taxonomy Rules'!$D$42:$D$68,MATCH(E776,'Taxonomy Rules'!$C$42:$C$68,0)),""),NOT(OR(IFERROR(INDEX('Taxonomy Rules'!$G$42:$G$68,MATCH(E776,'Taxonomy Rules'!$C$42:$C$68,0)),"")="All supported routes",IFERROR(INDEX('Taxonomy Rules'!$G$42:$G$68,MATCH(E776,'Taxonomy Rules'!$C$42:$C$68,0)),"")=U776,AND(IFERROR(INDEX('Taxonomy Rules'!$G$42:$G$68,MATCH(E776,'Taxonomy Rules'!$C$42:$C$68,0)),"")="Building routes",OR(U776="Building renovation",U776="New building",U776="Building equipment"))))),"Unexpected test","Valid"))))</x:f>
      </x:c>
      <x:c r="S776" s="9" t="str">
        <x:f>IF(C776="","",IFERROR(INDEX('Taxonomy Rules'!$E$42:$E$68,MATCH(E776,'Taxonomy Rules'!$C$42:$C$68,0)),""))</x:f>
      </x:c>
      <x:c r="T776" s="9" t="str">
        <x:f>IF(C776="","",IFERROR(INDEX('Taxonomy Rules'!$F$42:$F$68,MATCH(E776,'Taxonomy Rules'!$C$42:$C$68,0)),""))</x:f>
      </x:c>
      <x:c r="U776" s="9" t="str">
        <x:f>IF(C776="","",IFERROR(INDEX('Taxonomy'!$G$9:$G$108,MATCH(D776,'Taxonomy'!$C$9:$C$108,0)),""))</x:f>
      </x:c>
    </x:row>
    <x:row r="777" ht="44" customHeight="1">
      <x:c r="A777" s="1"/>
      <x:c r="B777" s="1"/>
      <x:c r="C777" s="8"/>
      <x:c r="D777" s="8"/>
      <x:c r="E777" s="8"/>
      <x:c r="F777" s="8"/>
      <x:c r="G777" s="8"/>
      <x:c r="H777" s="8"/>
      <x:c r="I777" s="8"/>
      <x:c r="J777" s="8"/>
      <x:c r="K777" s="8"/>
      <x:c r="L777" s="8"/>
      <x:c r="M777" s="10"/>
      <x:c r="N777" s="10"/>
      <x:c r="O777" s="8"/>
      <x:c r="P777" s="9" t="str">
        <x:f>IF(C777="","",IF(AND(G777="Applicable",H777="Fail"),"Fail",IF(R777&lt;&gt;"Valid","Pending",IF(OR(I777="",K777="",L777="",K777=L777,NOT(ISNUMBER(M777)),NOT(ISNUMBER(N777)),M777&gt;Settings!$F$8,N777&lt;Settings!$F$8,N777&lt;M777),"Pending",IF(AND(G777="Applicable",H777="Pass"),"Pass",IF(AND(G777="N/A",H777="N/A",J777&lt;&gt;"",OR(E777="CEM-FUELS",E777="CEM-CCS",AND(E777="CEM-PLAN",IFERROR(INDEX('Taxonomy'!$M$9:$M$108,MATCH(D777,'Taxonomy'!$C$9:$C$108,0)),"")&lt;&gt;"Amber"),E777="BLD-TIMBER",AND(U777="Building equipment",OR(E777="BLD-WATER",E777="BLD-WASTE",E777="BLD-LAND")),AND(U777="Building renovation",E777="BLD-LAND"))),"N/A","Pending"))))))</x:f>
      </x:c>
      <x:c r="Q777" s="3" t="str">
        <x:f>IF(C777="","",IF(AND(R777="Valid",OR(P777="Pass",P777="N/A")),"Complete","Unresolved"))</x:f>
      </x:c>
      <x:c r="R777" s="9" t="str">
        <x:f>IF(C777="","",IF(OR(COUNTIF($C$9:$C$2008,C777)&lt;&gt;1,COUNTIFS($D$9:$D$2008,D777,$E$9:$E$2008,E777)&lt;&gt;1),"Duplicate test",IF(COUNTIF('Taxonomy'!$C$9:$C$108,D777)&lt;&gt;1,"Assessment key",IF(OR(COUNTIF('Taxonomy Rules'!$C$42:$C$68,E777)&lt;&gt;1,F777&lt;&gt;IFERROR(INDEX('Taxonomy Rules'!$D$42:$D$68,MATCH(E777,'Taxonomy Rules'!$C$42:$C$68,0)),""),NOT(OR(IFERROR(INDEX('Taxonomy Rules'!$G$42:$G$68,MATCH(E777,'Taxonomy Rules'!$C$42:$C$68,0)),"")="All supported routes",IFERROR(INDEX('Taxonomy Rules'!$G$42:$G$68,MATCH(E777,'Taxonomy Rules'!$C$42:$C$68,0)),"")=U777,AND(IFERROR(INDEX('Taxonomy Rules'!$G$42:$G$68,MATCH(E777,'Taxonomy Rules'!$C$42:$C$68,0)),"")="Building routes",OR(U777="Building renovation",U777="New building",U777="Building equipment"))))),"Unexpected test","Valid"))))</x:f>
      </x:c>
      <x:c r="S777" s="9" t="str">
        <x:f>IF(C777="","",IFERROR(INDEX('Taxonomy Rules'!$E$42:$E$68,MATCH(E777,'Taxonomy Rules'!$C$42:$C$68,0)),""))</x:f>
      </x:c>
      <x:c r="T777" s="9" t="str">
        <x:f>IF(C777="","",IFERROR(INDEX('Taxonomy Rules'!$F$42:$F$68,MATCH(E777,'Taxonomy Rules'!$C$42:$C$68,0)),""))</x:f>
      </x:c>
      <x:c r="U777" s="9" t="str">
        <x:f>IF(C777="","",IFERROR(INDEX('Taxonomy'!$G$9:$G$108,MATCH(D777,'Taxonomy'!$C$9:$C$108,0)),""))</x:f>
      </x:c>
    </x:row>
    <x:row r="778" ht="44" customHeight="1">
      <x:c r="A778" s="1"/>
      <x:c r="B778" s="1"/>
      <x:c r="C778" s="8"/>
      <x:c r="D778" s="8"/>
      <x:c r="E778" s="8"/>
      <x:c r="F778" s="8"/>
      <x:c r="G778" s="8"/>
      <x:c r="H778" s="8"/>
      <x:c r="I778" s="8"/>
      <x:c r="J778" s="8"/>
      <x:c r="K778" s="8"/>
      <x:c r="L778" s="8"/>
      <x:c r="M778" s="10"/>
      <x:c r="N778" s="10"/>
      <x:c r="O778" s="8"/>
      <x:c r="P778" s="9" t="str">
        <x:f>IF(C778="","",IF(AND(G778="Applicable",H778="Fail"),"Fail",IF(R778&lt;&gt;"Valid","Pending",IF(OR(I778="",K778="",L778="",K778=L778,NOT(ISNUMBER(M778)),NOT(ISNUMBER(N778)),M778&gt;Settings!$F$8,N778&lt;Settings!$F$8,N778&lt;M778),"Pending",IF(AND(G778="Applicable",H778="Pass"),"Pass",IF(AND(G778="N/A",H778="N/A",J778&lt;&gt;"",OR(E778="CEM-FUELS",E778="CEM-CCS",AND(E778="CEM-PLAN",IFERROR(INDEX('Taxonomy'!$M$9:$M$108,MATCH(D778,'Taxonomy'!$C$9:$C$108,0)),"")&lt;&gt;"Amber"),E778="BLD-TIMBER",AND(U778="Building equipment",OR(E778="BLD-WATER",E778="BLD-WASTE",E778="BLD-LAND")),AND(U778="Building renovation",E778="BLD-LAND"))),"N/A","Pending"))))))</x:f>
      </x:c>
      <x:c r="Q778" s="3" t="str">
        <x:f>IF(C778="","",IF(AND(R778="Valid",OR(P778="Pass",P778="N/A")),"Complete","Unresolved"))</x:f>
      </x:c>
      <x:c r="R778" s="9" t="str">
        <x:f>IF(C778="","",IF(OR(COUNTIF($C$9:$C$2008,C778)&lt;&gt;1,COUNTIFS($D$9:$D$2008,D778,$E$9:$E$2008,E778)&lt;&gt;1),"Duplicate test",IF(COUNTIF('Taxonomy'!$C$9:$C$108,D778)&lt;&gt;1,"Assessment key",IF(OR(COUNTIF('Taxonomy Rules'!$C$42:$C$68,E778)&lt;&gt;1,F778&lt;&gt;IFERROR(INDEX('Taxonomy Rules'!$D$42:$D$68,MATCH(E778,'Taxonomy Rules'!$C$42:$C$68,0)),""),NOT(OR(IFERROR(INDEX('Taxonomy Rules'!$G$42:$G$68,MATCH(E778,'Taxonomy Rules'!$C$42:$C$68,0)),"")="All supported routes",IFERROR(INDEX('Taxonomy Rules'!$G$42:$G$68,MATCH(E778,'Taxonomy Rules'!$C$42:$C$68,0)),"")=U778,AND(IFERROR(INDEX('Taxonomy Rules'!$G$42:$G$68,MATCH(E778,'Taxonomy Rules'!$C$42:$C$68,0)),"")="Building routes",OR(U778="Building renovation",U778="New building",U778="Building equipment"))))),"Unexpected test","Valid"))))</x:f>
      </x:c>
      <x:c r="S778" s="9" t="str">
        <x:f>IF(C778="","",IFERROR(INDEX('Taxonomy Rules'!$E$42:$E$68,MATCH(E778,'Taxonomy Rules'!$C$42:$C$68,0)),""))</x:f>
      </x:c>
      <x:c r="T778" s="9" t="str">
        <x:f>IF(C778="","",IFERROR(INDEX('Taxonomy Rules'!$F$42:$F$68,MATCH(E778,'Taxonomy Rules'!$C$42:$C$68,0)),""))</x:f>
      </x:c>
      <x:c r="U778" s="9" t="str">
        <x:f>IF(C778="","",IFERROR(INDEX('Taxonomy'!$G$9:$G$108,MATCH(D778,'Taxonomy'!$C$9:$C$108,0)),""))</x:f>
      </x:c>
    </x:row>
    <x:row r="779" ht="44" customHeight="1">
      <x:c r="A779" s="1"/>
      <x:c r="B779" s="1"/>
      <x:c r="C779" s="8"/>
      <x:c r="D779" s="8"/>
      <x:c r="E779" s="8"/>
      <x:c r="F779" s="8"/>
      <x:c r="G779" s="8"/>
      <x:c r="H779" s="8"/>
      <x:c r="I779" s="8"/>
      <x:c r="J779" s="8"/>
      <x:c r="K779" s="8"/>
      <x:c r="L779" s="8"/>
      <x:c r="M779" s="10"/>
      <x:c r="N779" s="10"/>
      <x:c r="O779" s="8"/>
      <x:c r="P779" s="9" t="str">
        <x:f>IF(C779="","",IF(AND(G779="Applicable",H779="Fail"),"Fail",IF(R779&lt;&gt;"Valid","Pending",IF(OR(I779="",K779="",L779="",K779=L779,NOT(ISNUMBER(M779)),NOT(ISNUMBER(N779)),M779&gt;Settings!$F$8,N779&lt;Settings!$F$8,N779&lt;M779),"Pending",IF(AND(G779="Applicable",H779="Pass"),"Pass",IF(AND(G779="N/A",H779="N/A",J779&lt;&gt;"",OR(E779="CEM-FUELS",E779="CEM-CCS",AND(E779="CEM-PLAN",IFERROR(INDEX('Taxonomy'!$M$9:$M$108,MATCH(D779,'Taxonomy'!$C$9:$C$108,0)),"")&lt;&gt;"Amber"),E779="BLD-TIMBER",AND(U779="Building equipment",OR(E779="BLD-WATER",E779="BLD-WASTE",E779="BLD-LAND")),AND(U779="Building renovation",E779="BLD-LAND"))),"N/A","Pending"))))))</x:f>
      </x:c>
      <x:c r="Q779" s="3" t="str">
        <x:f>IF(C779="","",IF(AND(R779="Valid",OR(P779="Pass",P779="N/A")),"Complete","Unresolved"))</x:f>
      </x:c>
      <x:c r="R779" s="9" t="str">
        <x:f>IF(C779="","",IF(OR(COUNTIF($C$9:$C$2008,C779)&lt;&gt;1,COUNTIFS($D$9:$D$2008,D779,$E$9:$E$2008,E779)&lt;&gt;1),"Duplicate test",IF(COUNTIF('Taxonomy'!$C$9:$C$108,D779)&lt;&gt;1,"Assessment key",IF(OR(COUNTIF('Taxonomy Rules'!$C$42:$C$68,E779)&lt;&gt;1,F779&lt;&gt;IFERROR(INDEX('Taxonomy Rules'!$D$42:$D$68,MATCH(E779,'Taxonomy Rules'!$C$42:$C$68,0)),""),NOT(OR(IFERROR(INDEX('Taxonomy Rules'!$G$42:$G$68,MATCH(E779,'Taxonomy Rules'!$C$42:$C$68,0)),"")="All supported routes",IFERROR(INDEX('Taxonomy Rules'!$G$42:$G$68,MATCH(E779,'Taxonomy Rules'!$C$42:$C$68,0)),"")=U779,AND(IFERROR(INDEX('Taxonomy Rules'!$G$42:$G$68,MATCH(E779,'Taxonomy Rules'!$C$42:$C$68,0)),"")="Building routes",OR(U779="Building renovation",U779="New building",U779="Building equipment"))))),"Unexpected test","Valid"))))</x:f>
      </x:c>
      <x:c r="S779" s="9" t="str">
        <x:f>IF(C779="","",IFERROR(INDEX('Taxonomy Rules'!$E$42:$E$68,MATCH(E779,'Taxonomy Rules'!$C$42:$C$68,0)),""))</x:f>
      </x:c>
      <x:c r="T779" s="9" t="str">
        <x:f>IF(C779="","",IFERROR(INDEX('Taxonomy Rules'!$F$42:$F$68,MATCH(E779,'Taxonomy Rules'!$C$42:$C$68,0)),""))</x:f>
      </x:c>
      <x:c r="U779" s="9" t="str">
        <x:f>IF(C779="","",IFERROR(INDEX('Taxonomy'!$G$9:$G$108,MATCH(D779,'Taxonomy'!$C$9:$C$108,0)),""))</x:f>
      </x:c>
    </x:row>
    <x:row r="780" ht="44" customHeight="1">
      <x:c r="A780" s="1"/>
      <x:c r="B780" s="1"/>
      <x:c r="C780" s="8"/>
      <x:c r="D780" s="8"/>
      <x:c r="E780" s="8"/>
      <x:c r="F780" s="8"/>
      <x:c r="G780" s="8"/>
      <x:c r="H780" s="8"/>
      <x:c r="I780" s="8"/>
      <x:c r="J780" s="8"/>
      <x:c r="K780" s="8"/>
      <x:c r="L780" s="8"/>
      <x:c r="M780" s="10"/>
      <x:c r="N780" s="10"/>
      <x:c r="O780" s="8"/>
      <x:c r="P780" s="9" t="str">
        <x:f>IF(C780="","",IF(AND(G780="Applicable",H780="Fail"),"Fail",IF(R780&lt;&gt;"Valid","Pending",IF(OR(I780="",K780="",L780="",K780=L780,NOT(ISNUMBER(M780)),NOT(ISNUMBER(N780)),M780&gt;Settings!$F$8,N780&lt;Settings!$F$8,N780&lt;M780),"Pending",IF(AND(G780="Applicable",H780="Pass"),"Pass",IF(AND(G780="N/A",H780="N/A",J780&lt;&gt;"",OR(E780="CEM-FUELS",E780="CEM-CCS",AND(E780="CEM-PLAN",IFERROR(INDEX('Taxonomy'!$M$9:$M$108,MATCH(D780,'Taxonomy'!$C$9:$C$108,0)),"")&lt;&gt;"Amber"),E780="BLD-TIMBER",AND(U780="Building equipment",OR(E780="BLD-WATER",E780="BLD-WASTE",E780="BLD-LAND")),AND(U780="Building renovation",E780="BLD-LAND"))),"N/A","Pending"))))))</x:f>
      </x:c>
      <x:c r="Q780" s="3" t="str">
        <x:f>IF(C780="","",IF(AND(R780="Valid",OR(P780="Pass",P780="N/A")),"Complete","Unresolved"))</x:f>
      </x:c>
      <x:c r="R780" s="9" t="str">
        <x:f>IF(C780="","",IF(OR(COUNTIF($C$9:$C$2008,C780)&lt;&gt;1,COUNTIFS($D$9:$D$2008,D780,$E$9:$E$2008,E780)&lt;&gt;1),"Duplicate test",IF(COUNTIF('Taxonomy'!$C$9:$C$108,D780)&lt;&gt;1,"Assessment key",IF(OR(COUNTIF('Taxonomy Rules'!$C$42:$C$68,E780)&lt;&gt;1,F780&lt;&gt;IFERROR(INDEX('Taxonomy Rules'!$D$42:$D$68,MATCH(E780,'Taxonomy Rules'!$C$42:$C$68,0)),""),NOT(OR(IFERROR(INDEX('Taxonomy Rules'!$G$42:$G$68,MATCH(E780,'Taxonomy Rules'!$C$42:$C$68,0)),"")="All supported routes",IFERROR(INDEX('Taxonomy Rules'!$G$42:$G$68,MATCH(E780,'Taxonomy Rules'!$C$42:$C$68,0)),"")=U780,AND(IFERROR(INDEX('Taxonomy Rules'!$G$42:$G$68,MATCH(E780,'Taxonomy Rules'!$C$42:$C$68,0)),"")="Building routes",OR(U780="Building renovation",U780="New building",U780="Building equipment"))))),"Unexpected test","Valid"))))</x:f>
      </x:c>
      <x:c r="S780" s="9" t="str">
        <x:f>IF(C780="","",IFERROR(INDEX('Taxonomy Rules'!$E$42:$E$68,MATCH(E780,'Taxonomy Rules'!$C$42:$C$68,0)),""))</x:f>
      </x:c>
      <x:c r="T780" s="9" t="str">
        <x:f>IF(C780="","",IFERROR(INDEX('Taxonomy Rules'!$F$42:$F$68,MATCH(E780,'Taxonomy Rules'!$C$42:$C$68,0)),""))</x:f>
      </x:c>
      <x:c r="U780" s="9" t="str">
        <x:f>IF(C780="","",IFERROR(INDEX('Taxonomy'!$G$9:$G$108,MATCH(D780,'Taxonomy'!$C$9:$C$108,0)),""))</x:f>
      </x:c>
    </x:row>
    <x:row r="781" ht="44" customHeight="1">
      <x:c r="A781" s="1"/>
      <x:c r="B781" s="1"/>
      <x:c r="C781" s="8"/>
      <x:c r="D781" s="8"/>
      <x:c r="E781" s="8"/>
      <x:c r="F781" s="8"/>
      <x:c r="G781" s="8"/>
      <x:c r="H781" s="8"/>
      <x:c r="I781" s="8"/>
      <x:c r="J781" s="8"/>
      <x:c r="K781" s="8"/>
      <x:c r="L781" s="8"/>
      <x:c r="M781" s="10"/>
      <x:c r="N781" s="10"/>
      <x:c r="O781" s="8"/>
      <x:c r="P781" s="9" t="str">
        <x:f>IF(C781="","",IF(AND(G781="Applicable",H781="Fail"),"Fail",IF(R781&lt;&gt;"Valid","Pending",IF(OR(I781="",K781="",L781="",K781=L781,NOT(ISNUMBER(M781)),NOT(ISNUMBER(N781)),M781&gt;Settings!$F$8,N781&lt;Settings!$F$8,N781&lt;M781),"Pending",IF(AND(G781="Applicable",H781="Pass"),"Pass",IF(AND(G781="N/A",H781="N/A",J781&lt;&gt;"",OR(E781="CEM-FUELS",E781="CEM-CCS",AND(E781="CEM-PLAN",IFERROR(INDEX('Taxonomy'!$M$9:$M$108,MATCH(D781,'Taxonomy'!$C$9:$C$108,0)),"")&lt;&gt;"Amber"),E781="BLD-TIMBER",AND(U781="Building equipment",OR(E781="BLD-WATER",E781="BLD-WASTE",E781="BLD-LAND")),AND(U781="Building renovation",E781="BLD-LAND"))),"N/A","Pending"))))))</x:f>
      </x:c>
      <x:c r="Q781" s="3" t="str">
        <x:f>IF(C781="","",IF(AND(R781="Valid",OR(P781="Pass",P781="N/A")),"Complete","Unresolved"))</x:f>
      </x:c>
      <x:c r="R781" s="9" t="str">
        <x:f>IF(C781="","",IF(OR(COUNTIF($C$9:$C$2008,C781)&lt;&gt;1,COUNTIFS($D$9:$D$2008,D781,$E$9:$E$2008,E781)&lt;&gt;1),"Duplicate test",IF(COUNTIF('Taxonomy'!$C$9:$C$108,D781)&lt;&gt;1,"Assessment key",IF(OR(COUNTIF('Taxonomy Rules'!$C$42:$C$68,E781)&lt;&gt;1,F781&lt;&gt;IFERROR(INDEX('Taxonomy Rules'!$D$42:$D$68,MATCH(E781,'Taxonomy Rules'!$C$42:$C$68,0)),""),NOT(OR(IFERROR(INDEX('Taxonomy Rules'!$G$42:$G$68,MATCH(E781,'Taxonomy Rules'!$C$42:$C$68,0)),"")="All supported routes",IFERROR(INDEX('Taxonomy Rules'!$G$42:$G$68,MATCH(E781,'Taxonomy Rules'!$C$42:$C$68,0)),"")=U781,AND(IFERROR(INDEX('Taxonomy Rules'!$G$42:$G$68,MATCH(E781,'Taxonomy Rules'!$C$42:$C$68,0)),"")="Building routes",OR(U781="Building renovation",U781="New building",U781="Building equipment"))))),"Unexpected test","Valid"))))</x:f>
      </x:c>
      <x:c r="S781" s="9" t="str">
        <x:f>IF(C781="","",IFERROR(INDEX('Taxonomy Rules'!$E$42:$E$68,MATCH(E781,'Taxonomy Rules'!$C$42:$C$68,0)),""))</x:f>
      </x:c>
      <x:c r="T781" s="9" t="str">
        <x:f>IF(C781="","",IFERROR(INDEX('Taxonomy Rules'!$F$42:$F$68,MATCH(E781,'Taxonomy Rules'!$C$42:$C$68,0)),""))</x:f>
      </x:c>
      <x:c r="U781" s="9" t="str">
        <x:f>IF(C781="","",IFERROR(INDEX('Taxonomy'!$G$9:$G$108,MATCH(D781,'Taxonomy'!$C$9:$C$108,0)),""))</x:f>
      </x:c>
    </x:row>
    <x:row r="782" ht="44" customHeight="1">
      <x:c r="A782" s="1"/>
      <x:c r="B782" s="1"/>
      <x:c r="C782" s="8"/>
      <x:c r="D782" s="8"/>
      <x:c r="E782" s="8"/>
      <x:c r="F782" s="8"/>
      <x:c r="G782" s="8"/>
      <x:c r="H782" s="8"/>
      <x:c r="I782" s="8"/>
      <x:c r="J782" s="8"/>
      <x:c r="K782" s="8"/>
      <x:c r="L782" s="8"/>
      <x:c r="M782" s="10"/>
      <x:c r="N782" s="10"/>
      <x:c r="O782" s="8"/>
      <x:c r="P782" s="9" t="str">
        <x:f>IF(C782="","",IF(AND(G782="Applicable",H782="Fail"),"Fail",IF(R782&lt;&gt;"Valid","Pending",IF(OR(I782="",K782="",L782="",K782=L782,NOT(ISNUMBER(M782)),NOT(ISNUMBER(N782)),M782&gt;Settings!$F$8,N782&lt;Settings!$F$8,N782&lt;M782),"Pending",IF(AND(G782="Applicable",H782="Pass"),"Pass",IF(AND(G782="N/A",H782="N/A",J782&lt;&gt;"",OR(E782="CEM-FUELS",E782="CEM-CCS",AND(E782="CEM-PLAN",IFERROR(INDEX('Taxonomy'!$M$9:$M$108,MATCH(D782,'Taxonomy'!$C$9:$C$108,0)),"")&lt;&gt;"Amber"),E782="BLD-TIMBER",AND(U782="Building equipment",OR(E782="BLD-WATER",E782="BLD-WASTE",E782="BLD-LAND")),AND(U782="Building renovation",E782="BLD-LAND"))),"N/A","Pending"))))))</x:f>
      </x:c>
      <x:c r="Q782" s="3" t="str">
        <x:f>IF(C782="","",IF(AND(R782="Valid",OR(P782="Pass",P782="N/A")),"Complete","Unresolved"))</x:f>
      </x:c>
      <x:c r="R782" s="9" t="str">
        <x:f>IF(C782="","",IF(OR(COUNTIF($C$9:$C$2008,C782)&lt;&gt;1,COUNTIFS($D$9:$D$2008,D782,$E$9:$E$2008,E782)&lt;&gt;1),"Duplicate test",IF(COUNTIF('Taxonomy'!$C$9:$C$108,D782)&lt;&gt;1,"Assessment key",IF(OR(COUNTIF('Taxonomy Rules'!$C$42:$C$68,E782)&lt;&gt;1,F782&lt;&gt;IFERROR(INDEX('Taxonomy Rules'!$D$42:$D$68,MATCH(E782,'Taxonomy Rules'!$C$42:$C$68,0)),""),NOT(OR(IFERROR(INDEX('Taxonomy Rules'!$G$42:$G$68,MATCH(E782,'Taxonomy Rules'!$C$42:$C$68,0)),"")="All supported routes",IFERROR(INDEX('Taxonomy Rules'!$G$42:$G$68,MATCH(E782,'Taxonomy Rules'!$C$42:$C$68,0)),"")=U782,AND(IFERROR(INDEX('Taxonomy Rules'!$G$42:$G$68,MATCH(E782,'Taxonomy Rules'!$C$42:$C$68,0)),"")="Building routes",OR(U782="Building renovation",U782="New building",U782="Building equipment"))))),"Unexpected test","Valid"))))</x:f>
      </x:c>
      <x:c r="S782" s="9" t="str">
        <x:f>IF(C782="","",IFERROR(INDEX('Taxonomy Rules'!$E$42:$E$68,MATCH(E782,'Taxonomy Rules'!$C$42:$C$68,0)),""))</x:f>
      </x:c>
      <x:c r="T782" s="9" t="str">
        <x:f>IF(C782="","",IFERROR(INDEX('Taxonomy Rules'!$F$42:$F$68,MATCH(E782,'Taxonomy Rules'!$C$42:$C$68,0)),""))</x:f>
      </x:c>
      <x:c r="U782" s="9" t="str">
        <x:f>IF(C782="","",IFERROR(INDEX('Taxonomy'!$G$9:$G$108,MATCH(D782,'Taxonomy'!$C$9:$C$108,0)),""))</x:f>
      </x:c>
    </x:row>
    <x:row r="783" ht="44" customHeight="1">
      <x:c r="A783" s="1"/>
      <x:c r="B783" s="1"/>
      <x:c r="C783" s="8"/>
      <x:c r="D783" s="8"/>
      <x:c r="E783" s="8"/>
      <x:c r="F783" s="8"/>
      <x:c r="G783" s="8"/>
      <x:c r="H783" s="8"/>
      <x:c r="I783" s="8"/>
      <x:c r="J783" s="8"/>
      <x:c r="K783" s="8"/>
      <x:c r="L783" s="8"/>
      <x:c r="M783" s="10"/>
      <x:c r="N783" s="10"/>
      <x:c r="O783" s="8"/>
      <x:c r="P783" s="9" t="str">
        <x:f>IF(C783="","",IF(AND(G783="Applicable",H783="Fail"),"Fail",IF(R783&lt;&gt;"Valid","Pending",IF(OR(I783="",K783="",L783="",K783=L783,NOT(ISNUMBER(M783)),NOT(ISNUMBER(N783)),M783&gt;Settings!$F$8,N783&lt;Settings!$F$8,N783&lt;M783),"Pending",IF(AND(G783="Applicable",H783="Pass"),"Pass",IF(AND(G783="N/A",H783="N/A",J783&lt;&gt;"",OR(E783="CEM-FUELS",E783="CEM-CCS",AND(E783="CEM-PLAN",IFERROR(INDEX('Taxonomy'!$M$9:$M$108,MATCH(D783,'Taxonomy'!$C$9:$C$108,0)),"")&lt;&gt;"Amber"),E783="BLD-TIMBER",AND(U783="Building equipment",OR(E783="BLD-WATER",E783="BLD-WASTE",E783="BLD-LAND")),AND(U783="Building renovation",E783="BLD-LAND"))),"N/A","Pending"))))))</x:f>
      </x:c>
      <x:c r="Q783" s="3" t="str">
        <x:f>IF(C783="","",IF(AND(R783="Valid",OR(P783="Pass",P783="N/A")),"Complete","Unresolved"))</x:f>
      </x:c>
      <x:c r="R783" s="9" t="str">
        <x:f>IF(C783="","",IF(OR(COUNTIF($C$9:$C$2008,C783)&lt;&gt;1,COUNTIFS($D$9:$D$2008,D783,$E$9:$E$2008,E783)&lt;&gt;1),"Duplicate test",IF(COUNTIF('Taxonomy'!$C$9:$C$108,D783)&lt;&gt;1,"Assessment key",IF(OR(COUNTIF('Taxonomy Rules'!$C$42:$C$68,E783)&lt;&gt;1,F783&lt;&gt;IFERROR(INDEX('Taxonomy Rules'!$D$42:$D$68,MATCH(E783,'Taxonomy Rules'!$C$42:$C$68,0)),""),NOT(OR(IFERROR(INDEX('Taxonomy Rules'!$G$42:$G$68,MATCH(E783,'Taxonomy Rules'!$C$42:$C$68,0)),"")="All supported routes",IFERROR(INDEX('Taxonomy Rules'!$G$42:$G$68,MATCH(E783,'Taxonomy Rules'!$C$42:$C$68,0)),"")=U783,AND(IFERROR(INDEX('Taxonomy Rules'!$G$42:$G$68,MATCH(E783,'Taxonomy Rules'!$C$42:$C$68,0)),"")="Building routes",OR(U783="Building renovation",U783="New building",U783="Building equipment"))))),"Unexpected test","Valid"))))</x:f>
      </x:c>
      <x:c r="S783" s="9" t="str">
        <x:f>IF(C783="","",IFERROR(INDEX('Taxonomy Rules'!$E$42:$E$68,MATCH(E783,'Taxonomy Rules'!$C$42:$C$68,0)),""))</x:f>
      </x:c>
      <x:c r="T783" s="9" t="str">
        <x:f>IF(C783="","",IFERROR(INDEX('Taxonomy Rules'!$F$42:$F$68,MATCH(E783,'Taxonomy Rules'!$C$42:$C$68,0)),""))</x:f>
      </x:c>
      <x:c r="U783" s="9" t="str">
        <x:f>IF(C783="","",IFERROR(INDEX('Taxonomy'!$G$9:$G$108,MATCH(D783,'Taxonomy'!$C$9:$C$108,0)),""))</x:f>
      </x:c>
    </x:row>
    <x:row r="784" ht="44" customHeight="1">
      <x:c r="A784" s="1"/>
      <x:c r="B784" s="1"/>
      <x:c r="C784" s="8"/>
      <x:c r="D784" s="8"/>
      <x:c r="E784" s="8"/>
      <x:c r="F784" s="8"/>
      <x:c r="G784" s="8"/>
      <x:c r="H784" s="8"/>
      <x:c r="I784" s="8"/>
      <x:c r="J784" s="8"/>
      <x:c r="K784" s="8"/>
      <x:c r="L784" s="8"/>
      <x:c r="M784" s="10"/>
      <x:c r="N784" s="10"/>
      <x:c r="O784" s="8"/>
      <x:c r="P784" s="9" t="str">
        <x:f>IF(C784="","",IF(AND(G784="Applicable",H784="Fail"),"Fail",IF(R784&lt;&gt;"Valid","Pending",IF(OR(I784="",K784="",L784="",K784=L784,NOT(ISNUMBER(M784)),NOT(ISNUMBER(N784)),M784&gt;Settings!$F$8,N784&lt;Settings!$F$8,N784&lt;M784),"Pending",IF(AND(G784="Applicable",H784="Pass"),"Pass",IF(AND(G784="N/A",H784="N/A",J784&lt;&gt;"",OR(E784="CEM-FUELS",E784="CEM-CCS",AND(E784="CEM-PLAN",IFERROR(INDEX('Taxonomy'!$M$9:$M$108,MATCH(D784,'Taxonomy'!$C$9:$C$108,0)),"")&lt;&gt;"Amber"),E784="BLD-TIMBER",AND(U784="Building equipment",OR(E784="BLD-WATER",E784="BLD-WASTE",E784="BLD-LAND")),AND(U784="Building renovation",E784="BLD-LAND"))),"N/A","Pending"))))))</x:f>
      </x:c>
      <x:c r="Q784" s="3" t="str">
        <x:f>IF(C784="","",IF(AND(R784="Valid",OR(P784="Pass",P784="N/A")),"Complete","Unresolved"))</x:f>
      </x:c>
      <x:c r="R784" s="9" t="str">
        <x:f>IF(C784="","",IF(OR(COUNTIF($C$9:$C$2008,C784)&lt;&gt;1,COUNTIFS($D$9:$D$2008,D784,$E$9:$E$2008,E784)&lt;&gt;1),"Duplicate test",IF(COUNTIF('Taxonomy'!$C$9:$C$108,D784)&lt;&gt;1,"Assessment key",IF(OR(COUNTIF('Taxonomy Rules'!$C$42:$C$68,E784)&lt;&gt;1,F784&lt;&gt;IFERROR(INDEX('Taxonomy Rules'!$D$42:$D$68,MATCH(E784,'Taxonomy Rules'!$C$42:$C$68,0)),""),NOT(OR(IFERROR(INDEX('Taxonomy Rules'!$G$42:$G$68,MATCH(E784,'Taxonomy Rules'!$C$42:$C$68,0)),"")="All supported routes",IFERROR(INDEX('Taxonomy Rules'!$G$42:$G$68,MATCH(E784,'Taxonomy Rules'!$C$42:$C$68,0)),"")=U784,AND(IFERROR(INDEX('Taxonomy Rules'!$G$42:$G$68,MATCH(E784,'Taxonomy Rules'!$C$42:$C$68,0)),"")="Building routes",OR(U784="Building renovation",U784="New building",U784="Building equipment"))))),"Unexpected test","Valid"))))</x:f>
      </x:c>
      <x:c r="S784" s="9" t="str">
        <x:f>IF(C784="","",IFERROR(INDEX('Taxonomy Rules'!$E$42:$E$68,MATCH(E784,'Taxonomy Rules'!$C$42:$C$68,0)),""))</x:f>
      </x:c>
      <x:c r="T784" s="9" t="str">
        <x:f>IF(C784="","",IFERROR(INDEX('Taxonomy Rules'!$F$42:$F$68,MATCH(E784,'Taxonomy Rules'!$C$42:$C$68,0)),""))</x:f>
      </x:c>
      <x:c r="U784" s="9" t="str">
        <x:f>IF(C784="","",IFERROR(INDEX('Taxonomy'!$G$9:$G$108,MATCH(D784,'Taxonomy'!$C$9:$C$108,0)),""))</x:f>
      </x:c>
    </x:row>
    <x:row r="785" ht="44" customHeight="1">
      <x:c r="A785" s="1"/>
      <x:c r="B785" s="1"/>
      <x:c r="C785" s="8"/>
      <x:c r="D785" s="8"/>
      <x:c r="E785" s="8"/>
      <x:c r="F785" s="8"/>
      <x:c r="G785" s="8"/>
      <x:c r="H785" s="8"/>
      <x:c r="I785" s="8"/>
      <x:c r="J785" s="8"/>
      <x:c r="K785" s="8"/>
      <x:c r="L785" s="8"/>
      <x:c r="M785" s="10"/>
      <x:c r="N785" s="10"/>
      <x:c r="O785" s="8"/>
      <x:c r="P785" s="9" t="str">
        <x:f>IF(C785="","",IF(AND(G785="Applicable",H785="Fail"),"Fail",IF(R785&lt;&gt;"Valid","Pending",IF(OR(I785="",K785="",L785="",K785=L785,NOT(ISNUMBER(M785)),NOT(ISNUMBER(N785)),M785&gt;Settings!$F$8,N785&lt;Settings!$F$8,N785&lt;M785),"Pending",IF(AND(G785="Applicable",H785="Pass"),"Pass",IF(AND(G785="N/A",H785="N/A",J785&lt;&gt;"",OR(E785="CEM-FUELS",E785="CEM-CCS",AND(E785="CEM-PLAN",IFERROR(INDEX('Taxonomy'!$M$9:$M$108,MATCH(D785,'Taxonomy'!$C$9:$C$108,0)),"")&lt;&gt;"Amber"),E785="BLD-TIMBER",AND(U785="Building equipment",OR(E785="BLD-WATER",E785="BLD-WASTE",E785="BLD-LAND")),AND(U785="Building renovation",E785="BLD-LAND"))),"N/A","Pending"))))))</x:f>
      </x:c>
      <x:c r="Q785" s="3" t="str">
        <x:f>IF(C785="","",IF(AND(R785="Valid",OR(P785="Pass",P785="N/A")),"Complete","Unresolved"))</x:f>
      </x:c>
      <x:c r="R785" s="9" t="str">
        <x:f>IF(C785="","",IF(OR(COUNTIF($C$9:$C$2008,C785)&lt;&gt;1,COUNTIFS($D$9:$D$2008,D785,$E$9:$E$2008,E785)&lt;&gt;1),"Duplicate test",IF(COUNTIF('Taxonomy'!$C$9:$C$108,D785)&lt;&gt;1,"Assessment key",IF(OR(COUNTIF('Taxonomy Rules'!$C$42:$C$68,E785)&lt;&gt;1,F785&lt;&gt;IFERROR(INDEX('Taxonomy Rules'!$D$42:$D$68,MATCH(E785,'Taxonomy Rules'!$C$42:$C$68,0)),""),NOT(OR(IFERROR(INDEX('Taxonomy Rules'!$G$42:$G$68,MATCH(E785,'Taxonomy Rules'!$C$42:$C$68,0)),"")="All supported routes",IFERROR(INDEX('Taxonomy Rules'!$G$42:$G$68,MATCH(E785,'Taxonomy Rules'!$C$42:$C$68,0)),"")=U785,AND(IFERROR(INDEX('Taxonomy Rules'!$G$42:$G$68,MATCH(E785,'Taxonomy Rules'!$C$42:$C$68,0)),"")="Building routes",OR(U785="Building renovation",U785="New building",U785="Building equipment"))))),"Unexpected test","Valid"))))</x:f>
      </x:c>
      <x:c r="S785" s="9" t="str">
        <x:f>IF(C785="","",IFERROR(INDEX('Taxonomy Rules'!$E$42:$E$68,MATCH(E785,'Taxonomy Rules'!$C$42:$C$68,0)),""))</x:f>
      </x:c>
      <x:c r="T785" s="9" t="str">
        <x:f>IF(C785="","",IFERROR(INDEX('Taxonomy Rules'!$F$42:$F$68,MATCH(E785,'Taxonomy Rules'!$C$42:$C$68,0)),""))</x:f>
      </x:c>
      <x:c r="U785" s="9" t="str">
        <x:f>IF(C785="","",IFERROR(INDEX('Taxonomy'!$G$9:$G$108,MATCH(D785,'Taxonomy'!$C$9:$C$108,0)),""))</x:f>
      </x:c>
    </x:row>
    <x:row r="786" ht="44" customHeight="1">
      <x:c r="A786" s="1"/>
      <x:c r="B786" s="1"/>
      <x:c r="C786" s="8"/>
      <x:c r="D786" s="8"/>
      <x:c r="E786" s="8"/>
      <x:c r="F786" s="8"/>
      <x:c r="G786" s="8"/>
      <x:c r="H786" s="8"/>
      <x:c r="I786" s="8"/>
      <x:c r="J786" s="8"/>
      <x:c r="K786" s="8"/>
      <x:c r="L786" s="8"/>
      <x:c r="M786" s="10"/>
      <x:c r="N786" s="10"/>
      <x:c r="O786" s="8"/>
      <x:c r="P786" s="9" t="str">
        <x:f>IF(C786="","",IF(AND(G786="Applicable",H786="Fail"),"Fail",IF(R786&lt;&gt;"Valid","Pending",IF(OR(I786="",K786="",L786="",K786=L786,NOT(ISNUMBER(M786)),NOT(ISNUMBER(N786)),M786&gt;Settings!$F$8,N786&lt;Settings!$F$8,N786&lt;M786),"Pending",IF(AND(G786="Applicable",H786="Pass"),"Pass",IF(AND(G786="N/A",H786="N/A",J786&lt;&gt;"",OR(E786="CEM-FUELS",E786="CEM-CCS",AND(E786="CEM-PLAN",IFERROR(INDEX('Taxonomy'!$M$9:$M$108,MATCH(D786,'Taxonomy'!$C$9:$C$108,0)),"")&lt;&gt;"Amber"),E786="BLD-TIMBER",AND(U786="Building equipment",OR(E786="BLD-WATER",E786="BLD-WASTE",E786="BLD-LAND")),AND(U786="Building renovation",E786="BLD-LAND"))),"N/A","Pending"))))))</x:f>
      </x:c>
      <x:c r="Q786" s="3" t="str">
        <x:f>IF(C786="","",IF(AND(R786="Valid",OR(P786="Pass",P786="N/A")),"Complete","Unresolved"))</x:f>
      </x:c>
      <x:c r="R786" s="9" t="str">
        <x:f>IF(C786="","",IF(OR(COUNTIF($C$9:$C$2008,C786)&lt;&gt;1,COUNTIFS($D$9:$D$2008,D786,$E$9:$E$2008,E786)&lt;&gt;1),"Duplicate test",IF(COUNTIF('Taxonomy'!$C$9:$C$108,D786)&lt;&gt;1,"Assessment key",IF(OR(COUNTIF('Taxonomy Rules'!$C$42:$C$68,E786)&lt;&gt;1,F786&lt;&gt;IFERROR(INDEX('Taxonomy Rules'!$D$42:$D$68,MATCH(E786,'Taxonomy Rules'!$C$42:$C$68,0)),""),NOT(OR(IFERROR(INDEX('Taxonomy Rules'!$G$42:$G$68,MATCH(E786,'Taxonomy Rules'!$C$42:$C$68,0)),"")="All supported routes",IFERROR(INDEX('Taxonomy Rules'!$G$42:$G$68,MATCH(E786,'Taxonomy Rules'!$C$42:$C$68,0)),"")=U786,AND(IFERROR(INDEX('Taxonomy Rules'!$G$42:$G$68,MATCH(E786,'Taxonomy Rules'!$C$42:$C$68,0)),"")="Building routes",OR(U786="Building renovation",U786="New building",U786="Building equipment"))))),"Unexpected test","Valid"))))</x:f>
      </x:c>
      <x:c r="S786" s="9" t="str">
        <x:f>IF(C786="","",IFERROR(INDEX('Taxonomy Rules'!$E$42:$E$68,MATCH(E786,'Taxonomy Rules'!$C$42:$C$68,0)),""))</x:f>
      </x:c>
      <x:c r="T786" s="9" t="str">
        <x:f>IF(C786="","",IFERROR(INDEX('Taxonomy Rules'!$F$42:$F$68,MATCH(E786,'Taxonomy Rules'!$C$42:$C$68,0)),""))</x:f>
      </x:c>
      <x:c r="U786" s="9" t="str">
        <x:f>IF(C786="","",IFERROR(INDEX('Taxonomy'!$G$9:$G$108,MATCH(D786,'Taxonomy'!$C$9:$C$108,0)),""))</x:f>
      </x:c>
    </x:row>
    <x:row r="787" ht="44" customHeight="1">
      <x:c r="A787" s="1"/>
      <x:c r="B787" s="1"/>
      <x:c r="C787" s="8"/>
      <x:c r="D787" s="8"/>
      <x:c r="E787" s="8"/>
      <x:c r="F787" s="8"/>
      <x:c r="G787" s="8"/>
      <x:c r="H787" s="8"/>
      <x:c r="I787" s="8"/>
      <x:c r="J787" s="8"/>
      <x:c r="K787" s="8"/>
      <x:c r="L787" s="8"/>
      <x:c r="M787" s="10"/>
      <x:c r="N787" s="10"/>
      <x:c r="O787" s="8"/>
      <x:c r="P787" s="9" t="str">
        <x:f>IF(C787="","",IF(AND(G787="Applicable",H787="Fail"),"Fail",IF(R787&lt;&gt;"Valid","Pending",IF(OR(I787="",K787="",L787="",K787=L787,NOT(ISNUMBER(M787)),NOT(ISNUMBER(N787)),M787&gt;Settings!$F$8,N787&lt;Settings!$F$8,N787&lt;M787),"Pending",IF(AND(G787="Applicable",H787="Pass"),"Pass",IF(AND(G787="N/A",H787="N/A",J787&lt;&gt;"",OR(E787="CEM-FUELS",E787="CEM-CCS",AND(E787="CEM-PLAN",IFERROR(INDEX('Taxonomy'!$M$9:$M$108,MATCH(D787,'Taxonomy'!$C$9:$C$108,0)),"")&lt;&gt;"Amber"),E787="BLD-TIMBER",AND(U787="Building equipment",OR(E787="BLD-WATER",E787="BLD-WASTE",E787="BLD-LAND")),AND(U787="Building renovation",E787="BLD-LAND"))),"N/A","Pending"))))))</x:f>
      </x:c>
      <x:c r="Q787" s="3" t="str">
        <x:f>IF(C787="","",IF(AND(R787="Valid",OR(P787="Pass",P787="N/A")),"Complete","Unresolved"))</x:f>
      </x:c>
      <x:c r="R787" s="9" t="str">
        <x:f>IF(C787="","",IF(OR(COUNTIF($C$9:$C$2008,C787)&lt;&gt;1,COUNTIFS($D$9:$D$2008,D787,$E$9:$E$2008,E787)&lt;&gt;1),"Duplicate test",IF(COUNTIF('Taxonomy'!$C$9:$C$108,D787)&lt;&gt;1,"Assessment key",IF(OR(COUNTIF('Taxonomy Rules'!$C$42:$C$68,E787)&lt;&gt;1,F787&lt;&gt;IFERROR(INDEX('Taxonomy Rules'!$D$42:$D$68,MATCH(E787,'Taxonomy Rules'!$C$42:$C$68,0)),""),NOT(OR(IFERROR(INDEX('Taxonomy Rules'!$G$42:$G$68,MATCH(E787,'Taxonomy Rules'!$C$42:$C$68,0)),"")="All supported routes",IFERROR(INDEX('Taxonomy Rules'!$G$42:$G$68,MATCH(E787,'Taxonomy Rules'!$C$42:$C$68,0)),"")=U787,AND(IFERROR(INDEX('Taxonomy Rules'!$G$42:$G$68,MATCH(E787,'Taxonomy Rules'!$C$42:$C$68,0)),"")="Building routes",OR(U787="Building renovation",U787="New building",U787="Building equipment"))))),"Unexpected test","Valid"))))</x:f>
      </x:c>
      <x:c r="S787" s="9" t="str">
        <x:f>IF(C787="","",IFERROR(INDEX('Taxonomy Rules'!$E$42:$E$68,MATCH(E787,'Taxonomy Rules'!$C$42:$C$68,0)),""))</x:f>
      </x:c>
      <x:c r="T787" s="9" t="str">
        <x:f>IF(C787="","",IFERROR(INDEX('Taxonomy Rules'!$F$42:$F$68,MATCH(E787,'Taxonomy Rules'!$C$42:$C$68,0)),""))</x:f>
      </x:c>
      <x:c r="U787" s="9" t="str">
        <x:f>IF(C787="","",IFERROR(INDEX('Taxonomy'!$G$9:$G$108,MATCH(D787,'Taxonomy'!$C$9:$C$108,0)),""))</x:f>
      </x:c>
    </x:row>
    <x:row r="788" ht="44" customHeight="1">
      <x:c r="A788" s="1"/>
      <x:c r="B788" s="1"/>
      <x:c r="C788" s="8"/>
      <x:c r="D788" s="8"/>
      <x:c r="E788" s="8"/>
      <x:c r="F788" s="8"/>
      <x:c r="G788" s="8"/>
      <x:c r="H788" s="8"/>
      <x:c r="I788" s="8"/>
      <x:c r="J788" s="8"/>
      <x:c r="K788" s="8"/>
      <x:c r="L788" s="8"/>
      <x:c r="M788" s="10"/>
      <x:c r="N788" s="10"/>
      <x:c r="O788" s="8"/>
      <x:c r="P788" s="9" t="str">
        <x:f>IF(C788="","",IF(AND(G788="Applicable",H788="Fail"),"Fail",IF(R788&lt;&gt;"Valid","Pending",IF(OR(I788="",K788="",L788="",K788=L788,NOT(ISNUMBER(M788)),NOT(ISNUMBER(N788)),M788&gt;Settings!$F$8,N788&lt;Settings!$F$8,N788&lt;M788),"Pending",IF(AND(G788="Applicable",H788="Pass"),"Pass",IF(AND(G788="N/A",H788="N/A",J788&lt;&gt;"",OR(E788="CEM-FUELS",E788="CEM-CCS",AND(E788="CEM-PLAN",IFERROR(INDEX('Taxonomy'!$M$9:$M$108,MATCH(D788,'Taxonomy'!$C$9:$C$108,0)),"")&lt;&gt;"Amber"),E788="BLD-TIMBER",AND(U788="Building equipment",OR(E788="BLD-WATER",E788="BLD-WASTE",E788="BLD-LAND")),AND(U788="Building renovation",E788="BLD-LAND"))),"N/A","Pending"))))))</x:f>
      </x:c>
      <x:c r="Q788" s="3" t="str">
        <x:f>IF(C788="","",IF(AND(R788="Valid",OR(P788="Pass",P788="N/A")),"Complete","Unresolved"))</x:f>
      </x:c>
      <x:c r="R788" s="9" t="str">
        <x:f>IF(C788="","",IF(OR(COUNTIF($C$9:$C$2008,C788)&lt;&gt;1,COUNTIFS($D$9:$D$2008,D788,$E$9:$E$2008,E788)&lt;&gt;1),"Duplicate test",IF(COUNTIF('Taxonomy'!$C$9:$C$108,D788)&lt;&gt;1,"Assessment key",IF(OR(COUNTIF('Taxonomy Rules'!$C$42:$C$68,E788)&lt;&gt;1,F788&lt;&gt;IFERROR(INDEX('Taxonomy Rules'!$D$42:$D$68,MATCH(E788,'Taxonomy Rules'!$C$42:$C$68,0)),""),NOT(OR(IFERROR(INDEX('Taxonomy Rules'!$G$42:$G$68,MATCH(E788,'Taxonomy Rules'!$C$42:$C$68,0)),"")="All supported routes",IFERROR(INDEX('Taxonomy Rules'!$G$42:$G$68,MATCH(E788,'Taxonomy Rules'!$C$42:$C$68,0)),"")=U788,AND(IFERROR(INDEX('Taxonomy Rules'!$G$42:$G$68,MATCH(E788,'Taxonomy Rules'!$C$42:$C$68,0)),"")="Building routes",OR(U788="Building renovation",U788="New building",U788="Building equipment"))))),"Unexpected test","Valid"))))</x:f>
      </x:c>
      <x:c r="S788" s="9" t="str">
        <x:f>IF(C788="","",IFERROR(INDEX('Taxonomy Rules'!$E$42:$E$68,MATCH(E788,'Taxonomy Rules'!$C$42:$C$68,0)),""))</x:f>
      </x:c>
      <x:c r="T788" s="9" t="str">
        <x:f>IF(C788="","",IFERROR(INDEX('Taxonomy Rules'!$F$42:$F$68,MATCH(E788,'Taxonomy Rules'!$C$42:$C$68,0)),""))</x:f>
      </x:c>
      <x:c r="U788" s="9" t="str">
        <x:f>IF(C788="","",IFERROR(INDEX('Taxonomy'!$G$9:$G$108,MATCH(D788,'Taxonomy'!$C$9:$C$108,0)),""))</x:f>
      </x:c>
    </x:row>
    <x:row r="789" ht="44" customHeight="1">
      <x:c r="A789" s="1"/>
      <x:c r="B789" s="1"/>
      <x:c r="C789" s="8"/>
      <x:c r="D789" s="8"/>
      <x:c r="E789" s="8"/>
      <x:c r="F789" s="8"/>
      <x:c r="G789" s="8"/>
      <x:c r="H789" s="8"/>
      <x:c r="I789" s="8"/>
      <x:c r="J789" s="8"/>
      <x:c r="K789" s="8"/>
      <x:c r="L789" s="8"/>
      <x:c r="M789" s="10"/>
      <x:c r="N789" s="10"/>
      <x:c r="O789" s="8"/>
      <x:c r="P789" s="9" t="str">
        <x:f>IF(C789="","",IF(AND(G789="Applicable",H789="Fail"),"Fail",IF(R789&lt;&gt;"Valid","Pending",IF(OR(I789="",K789="",L789="",K789=L789,NOT(ISNUMBER(M789)),NOT(ISNUMBER(N789)),M789&gt;Settings!$F$8,N789&lt;Settings!$F$8,N789&lt;M789),"Pending",IF(AND(G789="Applicable",H789="Pass"),"Pass",IF(AND(G789="N/A",H789="N/A",J789&lt;&gt;"",OR(E789="CEM-FUELS",E789="CEM-CCS",AND(E789="CEM-PLAN",IFERROR(INDEX('Taxonomy'!$M$9:$M$108,MATCH(D789,'Taxonomy'!$C$9:$C$108,0)),"")&lt;&gt;"Amber"),E789="BLD-TIMBER",AND(U789="Building equipment",OR(E789="BLD-WATER",E789="BLD-WASTE",E789="BLD-LAND")),AND(U789="Building renovation",E789="BLD-LAND"))),"N/A","Pending"))))))</x:f>
      </x:c>
      <x:c r="Q789" s="3" t="str">
        <x:f>IF(C789="","",IF(AND(R789="Valid",OR(P789="Pass",P789="N/A")),"Complete","Unresolved"))</x:f>
      </x:c>
      <x:c r="R789" s="9" t="str">
        <x:f>IF(C789="","",IF(OR(COUNTIF($C$9:$C$2008,C789)&lt;&gt;1,COUNTIFS($D$9:$D$2008,D789,$E$9:$E$2008,E789)&lt;&gt;1),"Duplicate test",IF(COUNTIF('Taxonomy'!$C$9:$C$108,D789)&lt;&gt;1,"Assessment key",IF(OR(COUNTIF('Taxonomy Rules'!$C$42:$C$68,E789)&lt;&gt;1,F789&lt;&gt;IFERROR(INDEX('Taxonomy Rules'!$D$42:$D$68,MATCH(E789,'Taxonomy Rules'!$C$42:$C$68,0)),""),NOT(OR(IFERROR(INDEX('Taxonomy Rules'!$G$42:$G$68,MATCH(E789,'Taxonomy Rules'!$C$42:$C$68,0)),"")="All supported routes",IFERROR(INDEX('Taxonomy Rules'!$G$42:$G$68,MATCH(E789,'Taxonomy Rules'!$C$42:$C$68,0)),"")=U789,AND(IFERROR(INDEX('Taxonomy Rules'!$G$42:$G$68,MATCH(E789,'Taxonomy Rules'!$C$42:$C$68,0)),"")="Building routes",OR(U789="Building renovation",U789="New building",U789="Building equipment"))))),"Unexpected test","Valid"))))</x:f>
      </x:c>
      <x:c r="S789" s="9" t="str">
        <x:f>IF(C789="","",IFERROR(INDEX('Taxonomy Rules'!$E$42:$E$68,MATCH(E789,'Taxonomy Rules'!$C$42:$C$68,0)),""))</x:f>
      </x:c>
      <x:c r="T789" s="9" t="str">
        <x:f>IF(C789="","",IFERROR(INDEX('Taxonomy Rules'!$F$42:$F$68,MATCH(E789,'Taxonomy Rules'!$C$42:$C$68,0)),""))</x:f>
      </x:c>
      <x:c r="U789" s="9" t="str">
        <x:f>IF(C789="","",IFERROR(INDEX('Taxonomy'!$G$9:$G$108,MATCH(D789,'Taxonomy'!$C$9:$C$108,0)),""))</x:f>
      </x:c>
    </x:row>
    <x:row r="790" ht="44" customHeight="1">
      <x:c r="A790" s="1"/>
      <x:c r="B790" s="1"/>
      <x:c r="C790" s="8"/>
      <x:c r="D790" s="8"/>
      <x:c r="E790" s="8"/>
      <x:c r="F790" s="8"/>
      <x:c r="G790" s="8"/>
      <x:c r="H790" s="8"/>
      <x:c r="I790" s="8"/>
      <x:c r="J790" s="8"/>
      <x:c r="K790" s="8"/>
      <x:c r="L790" s="8"/>
      <x:c r="M790" s="10"/>
      <x:c r="N790" s="10"/>
      <x:c r="O790" s="8"/>
      <x:c r="P790" s="9" t="str">
        <x:f>IF(C790="","",IF(AND(G790="Applicable",H790="Fail"),"Fail",IF(R790&lt;&gt;"Valid","Pending",IF(OR(I790="",K790="",L790="",K790=L790,NOT(ISNUMBER(M790)),NOT(ISNUMBER(N790)),M790&gt;Settings!$F$8,N790&lt;Settings!$F$8,N790&lt;M790),"Pending",IF(AND(G790="Applicable",H790="Pass"),"Pass",IF(AND(G790="N/A",H790="N/A",J790&lt;&gt;"",OR(E790="CEM-FUELS",E790="CEM-CCS",AND(E790="CEM-PLAN",IFERROR(INDEX('Taxonomy'!$M$9:$M$108,MATCH(D790,'Taxonomy'!$C$9:$C$108,0)),"")&lt;&gt;"Amber"),E790="BLD-TIMBER",AND(U790="Building equipment",OR(E790="BLD-WATER",E790="BLD-WASTE",E790="BLD-LAND")),AND(U790="Building renovation",E790="BLD-LAND"))),"N/A","Pending"))))))</x:f>
      </x:c>
      <x:c r="Q790" s="3" t="str">
        <x:f>IF(C790="","",IF(AND(R790="Valid",OR(P790="Pass",P790="N/A")),"Complete","Unresolved"))</x:f>
      </x:c>
      <x:c r="R790" s="9" t="str">
        <x:f>IF(C790="","",IF(OR(COUNTIF($C$9:$C$2008,C790)&lt;&gt;1,COUNTIFS($D$9:$D$2008,D790,$E$9:$E$2008,E790)&lt;&gt;1),"Duplicate test",IF(COUNTIF('Taxonomy'!$C$9:$C$108,D790)&lt;&gt;1,"Assessment key",IF(OR(COUNTIF('Taxonomy Rules'!$C$42:$C$68,E790)&lt;&gt;1,F790&lt;&gt;IFERROR(INDEX('Taxonomy Rules'!$D$42:$D$68,MATCH(E790,'Taxonomy Rules'!$C$42:$C$68,0)),""),NOT(OR(IFERROR(INDEX('Taxonomy Rules'!$G$42:$G$68,MATCH(E790,'Taxonomy Rules'!$C$42:$C$68,0)),"")="All supported routes",IFERROR(INDEX('Taxonomy Rules'!$G$42:$G$68,MATCH(E790,'Taxonomy Rules'!$C$42:$C$68,0)),"")=U790,AND(IFERROR(INDEX('Taxonomy Rules'!$G$42:$G$68,MATCH(E790,'Taxonomy Rules'!$C$42:$C$68,0)),"")="Building routes",OR(U790="Building renovation",U790="New building",U790="Building equipment"))))),"Unexpected test","Valid"))))</x:f>
      </x:c>
      <x:c r="S790" s="9" t="str">
        <x:f>IF(C790="","",IFERROR(INDEX('Taxonomy Rules'!$E$42:$E$68,MATCH(E790,'Taxonomy Rules'!$C$42:$C$68,0)),""))</x:f>
      </x:c>
      <x:c r="T790" s="9" t="str">
        <x:f>IF(C790="","",IFERROR(INDEX('Taxonomy Rules'!$F$42:$F$68,MATCH(E790,'Taxonomy Rules'!$C$42:$C$68,0)),""))</x:f>
      </x:c>
      <x:c r="U790" s="9" t="str">
        <x:f>IF(C790="","",IFERROR(INDEX('Taxonomy'!$G$9:$G$108,MATCH(D790,'Taxonomy'!$C$9:$C$108,0)),""))</x:f>
      </x:c>
    </x:row>
    <x:row r="791" ht="44" customHeight="1">
      <x:c r="A791" s="1"/>
      <x:c r="B791" s="1"/>
      <x:c r="C791" s="8"/>
      <x:c r="D791" s="8"/>
      <x:c r="E791" s="8"/>
      <x:c r="F791" s="8"/>
      <x:c r="G791" s="8"/>
      <x:c r="H791" s="8"/>
      <x:c r="I791" s="8"/>
      <x:c r="J791" s="8"/>
      <x:c r="K791" s="8"/>
      <x:c r="L791" s="8"/>
      <x:c r="M791" s="10"/>
      <x:c r="N791" s="10"/>
      <x:c r="O791" s="8"/>
      <x:c r="P791" s="9" t="str">
        <x:f>IF(C791="","",IF(AND(G791="Applicable",H791="Fail"),"Fail",IF(R791&lt;&gt;"Valid","Pending",IF(OR(I791="",K791="",L791="",K791=L791,NOT(ISNUMBER(M791)),NOT(ISNUMBER(N791)),M791&gt;Settings!$F$8,N791&lt;Settings!$F$8,N791&lt;M791),"Pending",IF(AND(G791="Applicable",H791="Pass"),"Pass",IF(AND(G791="N/A",H791="N/A",J791&lt;&gt;"",OR(E791="CEM-FUELS",E791="CEM-CCS",AND(E791="CEM-PLAN",IFERROR(INDEX('Taxonomy'!$M$9:$M$108,MATCH(D791,'Taxonomy'!$C$9:$C$108,0)),"")&lt;&gt;"Amber"),E791="BLD-TIMBER",AND(U791="Building equipment",OR(E791="BLD-WATER",E791="BLD-WASTE",E791="BLD-LAND")),AND(U791="Building renovation",E791="BLD-LAND"))),"N/A","Pending"))))))</x:f>
      </x:c>
      <x:c r="Q791" s="3" t="str">
        <x:f>IF(C791="","",IF(AND(R791="Valid",OR(P791="Pass",P791="N/A")),"Complete","Unresolved"))</x:f>
      </x:c>
      <x:c r="R791" s="9" t="str">
        <x:f>IF(C791="","",IF(OR(COUNTIF($C$9:$C$2008,C791)&lt;&gt;1,COUNTIFS($D$9:$D$2008,D791,$E$9:$E$2008,E791)&lt;&gt;1),"Duplicate test",IF(COUNTIF('Taxonomy'!$C$9:$C$108,D791)&lt;&gt;1,"Assessment key",IF(OR(COUNTIF('Taxonomy Rules'!$C$42:$C$68,E791)&lt;&gt;1,F791&lt;&gt;IFERROR(INDEX('Taxonomy Rules'!$D$42:$D$68,MATCH(E791,'Taxonomy Rules'!$C$42:$C$68,0)),""),NOT(OR(IFERROR(INDEX('Taxonomy Rules'!$G$42:$G$68,MATCH(E791,'Taxonomy Rules'!$C$42:$C$68,0)),"")="All supported routes",IFERROR(INDEX('Taxonomy Rules'!$G$42:$G$68,MATCH(E791,'Taxonomy Rules'!$C$42:$C$68,0)),"")=U791,AND(IFERROR(INDEX('Taxonomy Rules'!$G$42:$G$68,MATCH(E791,'Taxonomy Rules'!$C$42:$C$68,0)),"")="Building routes",OR(U791="Building renovation",U791="New building",U791="Building equipment"))))),"Unexpected test","Valid"))))</x:f>
      </x:c>
      <x:c r="S791" s="9" t="str">
        <x:f>IF(C791="","",IFERROR(INDEX('Taxonomy Rules'!$E$42:$E$68,MATCH(E791,'Taxonomy Rules'!$C$42:$C$68,0)),""))</x:f>
      </x:c>
      <x:c r="T791" s="9" t="str">
        <x:f>IF(C791="","",IFERROR(INDEX('Taxonomy Rules'!$F$42:$F$68,MATCH(E791,'Taxonomy Rules'!$C$42:$C$68,0)),""))</x:f>
      </x:c>
      <x:c r="U791" s="9" t="str">
        <x:f>IF(C791="","",IFERROR(INDEX('Taxonomy'!$G$9:$G$108,MATCH(D791,'Taxonomy'!$C$9:$C$108,0)),""))</x:f>
      </x:c>
    </x:row>
    <x:row r="792" ht="44" customHeight="1">
      <x:c r="A792" s="1"/>
      <x:c r="B792" s="1"/>
      <x:c r="C792" s="8"/>
      <x:c r="D792" s="8"/>
      <x:c r="E792" s="8"/>
      <x:c r="F792" s="8"/>
      <x:c r="G792" s="8"/>
      <x:c r="H792" s="8"/>
      <x:c r="I792" s="8"/>
      <x:c r="J792" s="8"/>
      <x:c r="K792" s="8"/>
      <x:c r="L792" s="8"/>
      <x:c r="M792" s="10"/>
      <x:c r="N792" s="10"/>
      <x:c r="O792" s="8"/>
      <x:c r="P792" s="9" t="str">
        <x:f>IF(C792="","",IF(AND(G792="Applicable",H792="Fail"),"Fail",IF(R792&lt;&gt;"Valid","Pending",IF(OR(I792="",K792="",L792="",K792=L792,NOT(ISNUMBER(M792)),NOT(ISNUMBER(N792)),M792&gt;Settings!$F$8,N792&lt;Settings!$F$8,N792&lt;M792),"Pending",IF(AND(G792="Applicable",H792="Pass"),"Pass",IF(AND(G792="N/A",H792="N/A",J792&lt;&gt;"",OR(E792="CEM-FUELS",E792="CEM-CCS",AND(E792="CEM-PLAN",IFERROR(INDEX('Taxonomy'!$M$9:$M$108,MATCH(D792,'Taxonomy'!$C$9:$C$108,0)),"")&lt;&gt;"Amber"),E792="BLD-TIMBER",AND(U792="Building equipment",OR(E792="BLD-WATER",E792="BLD-WASTE",E792="BLD-LAND")),AND(U792="Building renovation",E792="BLD-LAND"))),"N/A","Pending"))))))</x:f>
      </x:c>
      <x:c r="Q792" s="3" t="str">
        <x:f>IF(C792="","",IF(AND(R792="Valid",OR(P792="Pass",P792="N/A")),"Complete","Unresolved"))</x:f>
      </x:c>
      <x:c r="R792" s="9" t="str">
        <x:f>IF(C792="","",IF(OR(COUNTIF($C$9:$C$2008,C792)&lt;&gt;1,COUNTIFS($D$9:$D$2008,D792,$E$9:$E$2008,E792)&lt;&gt;1),"Duplicate test",IF(COUNTIF('Taxonomy'!$C$9:$C$108,D792)&lt;&gt;1,"Assessment key",IF(OR(COUNTIF('Taxonomy Rules'!$C$42:$C$68,E792)&lt;&gt;1,F792&lt;&gt;IFERROR(INDEX('Taxonomy Rules'!$D$42:$D$68,MATCH(E792,'Taxonomy Rules'!$C$42:$C$68,0)),""),NOT(OR(IFERROR(INDEX('Taxonomy Rules'!$G$42:$G$68,MATCH(E792,'Taxonomy Rules'!$C$42:$C$68,0)),"")="All supported routes",IFERROR(INDEX('Taxonomy Rules'!$G$42:$G$68,MATCH(E792,'Taxonomy Rules'!$C$42:$C$68,0)),"")=U792,AND(IFERROR(INDEX('Taxonomy Rules'!$G$42:$G$68,MATCH(E792,'Taxonomy Rules'!$C$42:$C$68,0)),"")="Building routes",OR(U792="Building renovation",U792="New building",U792="Building equipment"))))),"Unexpected test","Valid"))))</x:f>
      </x:c>
      <x:c r="S792" s="9" t="str">
        <x:f>IF(C792="","",IFERROR(INDEX('Taxonomy Rules'!$E$42:$E$68,MATCH(E792,'Taxonomy Rules'!$C$42:$C$68,0)),""))</x:f>
      </x:c>
      <x:c r="T792" s="9" t="str">
        <x:f>IF(C792="","",IFERROR(INDEX('Taxonomy Rules'!$F$42:$F$68,MATCH(E792,'Taxonomy Rules'!$C$42:$C$68,0)),""))</x:f>
      </x:c>
      <x:c r="U792" s="9" t="str">
        <x:f>IF(C792="","",IFERROR(INDEX('Taxonomy'!$G$9:$G$108,MATCH(D792,'Taxonomy'!$C$9:$C$108,0)),""))</x:f>
      </x:c>
    </x:row>
    <x:row r="793" ht="44" customHeight="1">
      <x:c r="A793" s="1"/>
      <x:c r="B793" s="1"/>
      <x:c r="C793" s="8"/>
      <x:c r="D793" s="8"/>
      <x:c r="E793" s="8"/>
      <x:c r="F793" s="8"/>
      <x:c r="G793" s="8"/>
      <x:c r="H793" s="8"/>
      <x:c r="I793" s="8"/>
      <x:c r="J793" s="8"/>
      <x:c r="K793" s="8"/>
      <x:c r="L793" s="8"/>
      <x:c r="M793" s="10"/>
      <x:c r="N793" s="10"/>
      <x:c r="O793" s="8"/>
      <x:c r="P793" s="9" t="str">
        <x:f>IF(C793="","",IF(AND(G793="Applicable",H793="Fail"),"Fail",IF(R793&lt;&gt;"Valid","Pending",IF(OR(I793="",K793="",L793="",K793=L793,NOT(ISNUMBER(M793)),NOT(ISNUMBER(N793)),M793&gt;Settings!$F$8,N793&lt;Settings!$F$8,N793&lt;M793),"Pending",IF(AND(G793="Applicable",H793="Pass"),"Pass",IF(AND(G793="N/A",H793="N/A",J793&lt;&gt;"",OR(E793="CEM-FUELS",E793="CEM-CCS",AND(E793="CEM-PLAN",IFERROR(INDEX('Taxonomy'!$M$9:$M$108,MATCH(D793,'Taxonomy'!$C$9:$C$108,0)),"")&lt;&gt;"Amber"),E793="BLD-TIMBER",AND(U793="Building equipment",OR(E793="BLD-WATER",E793="BLD-WASTE",E793="BLD-LAND")),AND(U793="Building renovation",E793="BLD-LAND"))),"N/A","Pending"))))))</x:f>
      </x:c>
      <x:c r="Q793" s="3" t="str">
        <x:f>IF(C793="","",IF(AND(R793="Valid",OR(P793="Pass",P793="N/A")),"Complete","Unresolved"))</x:f>
      </x:c>
      <x:c r="R793" s="9" t="str">
        <x:f>IF(C793="","",IF(OR(COUNTIF($C$9:$C$2008,C793)&lt;&gt;1,COUNTIFS($D$9:$D$2008,D793,$E$9:$E$2008,E793)&lt;&gt;1),"Duplicate test",IF(COUNTIF('Taxonomy'!$C$9:$C$108,D793)&lt;&gt;1,"Assessment key",IF(OR(COUNTIF('Taxonomy Rules'!$C$42:$C$68,E793)&lt;&gt;1,F793&lt;&gt;IFERROR(INDEX('Taxonomy Rules'!$D$42:$D$68,MATCH(E793,'Taxonomy Rules'!$C$42:$C$68,0)),""),NOT(OR(IFERROR(INDEX('Taxonomy Rules'!$G$42:$G$68,MATCH(E793,'Taxonomy Rules'!$C$42:$C$68,0)),"")="All supported routes",IFERROR(INDEX('Taxonomy Rules'!$G$42:$G$68,MATCH(E793,'Taxonomy Rules'!$C$42:$C$68,0)),"")=U793,AND(IFERROR(INDEX('Taxonomy Rules'!$G$42:$G$68,MATCH(E793,'Taxonomy Rules'!$C$42:$C$68,0)),"")="Building routes",OR(U793="Building renovation",U793="New building",U793="Building equipment"))))),"Unexpected test","Valid"))))</x:f>
      </x:c>
      <x:c r="S793" s="9" t="str">
        <x:f>IF(C793="","",IFERROR(INDEX('Taxonomy Rules'!$E$42:$E$68,MATCH(E793,'Taxonomy Rules'!$C$42:$C$68,0)),""))</x:f>
      </x:c>
      <x:c r="T793" s="9" t="str">
        <x:f>IF(C793="","",IFERROR(INDEX('Taxonomy Rules'!$F$42:$F$68,MATCH(E793,'Taxonomy Rules'!$C$42:$C$68,0)),""))</x:f>
      </x:c>
      <x:c r="U793" s="9" t="str">
        <x:f>IF(C793="","",IFERROR(INDEX('Taxonomy'!$G$9:$G$108,MATCH(D793,'Taxonomy'!$C$9:$C$108,0)),""))</x:f>
      </x:c>
    </x:row>
    <x:row r="794" ht="44" customHeight="1">
      <x:c r="A794" s="1"/>
      <x:c r="B794" s="1"/>
      <x:c r="C794" s="8"/>
      <x:c r="D794" s="8"/>
      <x:c r="E794" s="8"/>
      <x:c r="F794" s="8"/>
      <x:c r="G794" s="8"/>
      <x:c r="H794" s="8"/>
      <x:c r="I794" s="8"/>
      <x:c r="J794" s="8"/>
      <x:c r="K794" s="8"/>
      <x:c r="L794" s="8"/>
      <x:c r="M794" s="10"/>
      <x:c r="N794" s="10"/>
      <x:c r="O794" s="8"/>
      <x:c r="P794" s="9" t="str">
        <x:f>IF(C794="","",IF(AND(G794="Applicable",H794="Fail"),"Fail",IF(R794&lt;&gt;"Valid","Pending",IF(OR(I794="",K794="",L794="",K794=L794,NOT(ISNUMBER(M794)),NOT(ISNUMBER(N794)),M794&gt;Settings!$F$8,N794&lt;Settings!$F$8,N794&lt;M794),"Pending",IF(AND(G794="Applicable",H794="Pass"),"Pass",IF(AND(G794="N/A",H794="N/A",J794&lt;&gt;"",OR(E794="CEM-FUELS",E794="CEM-CCS",AND(E794="CEM-PLAN",IFERROR(INDEX('Taxonomy'!$M$9:$M$108,MATCH(D794,'Taxonomy'!$C$9:$C$108,0)),"")&lt;&gt;"Amber"),E794="BLD-TIMBER",AND(U794="Building equipment",OR(E794="BLD-WATER",E794="BLD-WASTE",E794="BLD-LAND")),AND(U794="Building renovation",E794="BLD-LAND"))),"N/A","Pending"))))))</x:f>
      </x:c>
      <x:c r="Q794" s="3" t="str">
        <x:f>IF(C794="","",IF(AND(R794="Valid",OR(P794="Pass",P794="N/A")),"Complete","Unresolved"))</x:f>
      </x:c>
      <x:c r="R794" s="9" t="str">
        <x:f>IF(C794="","",IF(OR(COUNTIF($C$9:$C$2008,C794)&lt;&gt;1,COUNTIFS($D$9:$D$2008,D794,$E$9:$E$2008,E794)&lt;&gt;1),"Duplicate test",IF(COUNTIF('Taxonomy'!$C$9:$C$108,D794)&lt;&gt;1,"Assessment key",IF(OR(COUNTIF('Taxonomy Rules'!$C$42:$C$68,E794)&lt;&gt;1,F794&lt;&gt;IFERROR(INDEX('Taxonomy Rules'!$D$42:$D$68,MATCH(E794,'Taxonomy Rules'!$C$42:$C$68,0)),""),NOT(OR(IFERROR(INDEX('Taxonomy Rules'!$G$42:$G$68,MATCH(E794,'Taxonomy Rules'!$C$42:$C$68,0)),"")="All supported routes",IFERROR(INDEX('Taxonomy Rules'!$G$42:$G$68,MATCH(E794,'Taxonomy Rules'!$C$42:$C$68,0)),"")=U794,AND(IFERROR(INDEX('Taxonomy Rules'!$G$42:$G$68,MATCH(E794,'Taxonomy Rules'!$C$42:$C$68,0)),"")="Building routes",OR(U794="Building renovation",U794="New building",U794="Building equipment"))))),"Unexpected test","Valid"))))</x:f>
      </x:c>
      <x:c r="S794" s="9" t="str">
        <x:f>IF(C794="","",IFERROR(INDEX('Taxonomy Rules'!$E$42:$E$68,MATCH(E794,'Taxonomy Rules'!$C$42:$C$68,0)),""))</x:f>
      </x:c>
      <x:c r="T794" s="9" t="str">
        <x:f>IF(C794="","",IFERROR(INDEX('Taxonomy Rules'!$F$42:$F$68,MATCH(E794,'Taxonomy Rules'!$C$42:$C$68,0)),""))</x:f>
      </x:c>
      <x:c r="U794" s="9" t="str">
        <x:f>IF(C794="","",IFERROR(INDEX('Taxonomy'!$G$9:$G$108,MATCH(D794,'Taxonomy'!$C$9:$C$108,0)),""))</x:f>
      </x:c>
    </x:row>
    <x:row r="795" ht="44" customHeight="1">
      <x:c r="A795" s="1"/>
      <x:c r="B795" s="1"/>
      <x:c r="C795" s="8"/>
      <x:c r="D795" s="8"/>
      <x:c r="E795" s="8"/>
      <x:c r="F795" s="8"/>
      <x:c r="G795" s="8"/>
      <x:c r="H795" s="8"/>
      <x:c r="I795" s="8"/>
      <x:c r="J795" s="8"/>
      <x:c r="K795" s="8"/>
      <x:c r="L795" s="8"/>
      <x:c r="M795" s="10"/>
      <x:c r="N795" s="10"/>
      <x:c r="O795" s="8"/>
      <x:c r="P795" s="9" t="str">
        <x:f>IF(C795="","",IF(AND(G795="Applicable",H795="Fail"),"Fail",IF(R795&lt;&gt;"Valid","Pending",IF(OR(I795="",K795="",L795="",K795=L795,NOT(ISNUMBER(M795)),NOT(ISNUMBER(N795)),M795&gt;Settings!$F$8,N795&lt;Settings!$F$8,N795&lt;M795),"Pending",IF(AND(G795="Applicable",H795="Pass"),"Pass",IF(AND(G795="N/A",H795="N/A",J795&lt;&gt;"",OR(E795="CEM-FUELS",E795="CEM-CCS",AND(E795="CEM-PLAN",IFERROR(INDEX('Taxonomy'!$M$9:$M$108,MATCH(D795,'Taxonomy'!$C$9:$C$108,0)),"")&lt;&gt;"Amber"),E795="BLD-TIMBER",AND(U795="Building equipment",OR(E795="BLD-WATER",E795="BLD-WASTE",E795="BLD-LAND")),AND(U795="Building renovation",E795="BLD-LAND"))),"N/A","Pending"))))))</x:f>
      </x:c>
      <x:c r="Q795" s="3" t="str">
        <x:f>IF(C795="","",IF(AND(R795="Valid",OR(P795="Pass",P795="N/A")),"Complete","Unresolved"))</x:f>
      </x:c>
      <x:c r="R795" s="9" t="str">
        <x:f>IF(C795="","",IF(OR(COUNTIF($C$9:$C$2008,C795)&lt;&gt;1,COUNTIFS($D$9:$D$2008,D795,$E$9:$E$2008,E795)&lt;&gt;1),"Duplicate test",IF(COUNTIF('Taxonomy'!$C$9:$C$108,D795)&lt;&gt;1,"Assessment key",IF(OR(COUNTIF('Taxonomy Rules'!$C$42:$C$68,E795)&lt;&gt;1,F795&lt;&gt;IFERROR(INDEX('Taxonomy Rules'!$D$42:$D$68,MATCH(E795,'Taxonomy Rules'!$C$42:$C$68,0)),""),NOT(OR(IFERROR(INDEX('Taxonomy Rules'!$G$42:$G$68,MATCH(E795,'Taxonomy Rules'!$C$42:$C$68,0)),"")="All supported routes",IFERROR(INDEX('Taxonomy Rules'!$G$42:$G$68,MATCH(E795,'Taxonomy Rules'!$C$42:$C$68,0)),"")=U795,AND(IFERROR(INDEX('Taxonomy Rules'!$G$42:$G$68,MATCH(E795,'Taxonomy Rules'!$C$42:$C$68,0)),"")="Building routes",OR(U795="Building renovation",U795="New building",U795="Building equipment"))))),"Unexpected test","Valid"))))</x:f>
      </x:c>
      <x:c r="S795" s="9" t="str">
        <x:f>IF(C795="","",IFERROR(INDEX('Taxonomy Rules'!$E$42:$E$68,MATCH(E795,'Taxonomy Rules'!$C$42:$C$68,0)),""))</x:f>
      </x:c>
      <x:c r="T795" s="9" t="str">
        <x:f>IF(C795="","",IFERROR(INDEX('Taxonomy Rules'!$F$42:$F$68,MATCH(E795,'Taxonomy Rules'!$C$42:$C$68,0)),""))</x:f>
      </x:c>
      <x:c r="U795" s="9" t="str">
        <x:f>IF(C795="","",IFERROR(INDEX('Taxonomy'!$G$9:$G$108,MATCH(D795,'Taxonomy'!$C$9:$C$108,0)),""))</x:f>
      </x:c>
    </x:row>
    <x:row r="796" ht="44" customHeight="1">
      <x:c r="A796" s="1"/>
      <x:c r="B796" s="1"/>
      <x:c r="C796" s="8"/>
      <x:c r="D796" s="8"/>
      <x:c r="E796" s="8"/>
      <x:c r="F796" s="8"/>
      <x:c r="G796" s="8"/>
      <x:c r="H796" s="8"/>
      <x:c r="I796" s="8"/>
      <x:c r="J796" s="8"/>
      <x:c r="K796" s="8"/>
      <x:c r="L796" s="8"/>
      <x:c r="M796" s="10"/>
      <x:c r="N796" s="10"/>
      <x:c r="O796" s="8"/>
      <x:c r="P796" s="9" t="str">
        <x:f>IF(C796="","",IF(AND(G796="Applicable",H796="Fail"),"Fail",IF(R796&lt;&gt;"Valid","Pending",IF(OR(I796="",K796="",L796="",K796=L796,NOT(ISNUMBER(M796)),NOT(ISNUMBER(N796)),M796&gt;Settings!$F$8,N796&lt;Settings!$F$8,N796&lt;M796),"Pending",IF(AND(G796="Applicable",H796="Pass"),"Pass",IF(AND(G796="N/A",H796="N/A",J796&lt;&gt;"",OR(E796="CEM-FUELS",E796="CEM-CCS",AND(E796="CEM-PLAN",IFERROR(INDEX('Taxonomy'!$M$9:$M$108,MATCH(D796,'Taxonomy'!$C$9:$C$108,0)),"")&lt;&gt;"Amber"),E796="BLD-TIMBER",AND(U796="Building equipment",OR(E796="BLD-WATER",E796="BLD-WASTE",E796="BLD-LAND")),AND(U796="Building renovation",E796="BLD-LAND"))),"N/A","Pending"))))))</x:f>
      </x:c>
      <x:c r="Q796" s="3" t="str">
        <x:f>IF(C796="","",IF(AND(R796="Valid",OR(P796="Pass",P796="N/A")),"Complete","Unresolved"))</x:f>
      </x:c>
      <x:c r="R796" s="9" t="str">
        <x:f>IF(C796="","",IF(OR(COUNTIF($C$9:$C$2008,C796)&lt;&gt;1,COUNTIFS($D$9:$D$2008,D796,$E$9:$E$2008,E796)&lt;&gt;1),"Duplicate test",IF(COUNTIF('Taxonomy'!$C$9:$C$108,D796)&lt;&gt;1,"Assessment key",IF(OR(COUNTIF('Taxonomy Rules'!$C$42:$C$68,E796)&lt;&gt;1,F796&lt;&gt;IFERROR(INDEX('Taxonomy Rules'!$D$42:$D$68,MATCH(E796,'Taxonomy Rules'!$C$42:$C$68,0)),""),NOT(OR(IFERROR(INDEX('Taxonomy Rules'!$G$42:$G$68,MATCH(E796,'Taxonomy Rules'!$C$42:$C$68,0)),"")="All supported routes",IFERROR(INDEX('Taxonomy Rules'!$G$42:$G$68,MATCH(E796,'Taxonomy Rules'!$C$42:$C$68,0)),"")=U796,AND(IFERROR(INDEX('Taxonomy Rules'!$G$42:$G$68,MATCH(E796,'Taxonomy Rules'!$C$42:$C$68,0)),"")="Building routes",OR(U796="Building renovation",U796="New building",U796="Building equipment"))))),"Unexpected test","Valid"))))</x:f>
      </x:c>
      <x:c r="S796" s="9" t="str">
        <x:f>IF(C796="","",IFERROR(INDEX('Taxonomy Rules'!$E$42:$E$68,MATCH(E796,'Taxonomy Rules'!$C$42:$C$68,0)),""))</x:f>
      </x:c>
      <x:c r="T796" s="9" t="str">
        <x:f>IF(C796="","",IFERROR(INDEX('Taxonomy Rules'!$F$42:$F$68,MATCH(E796,'Taxonomy Rules'!$C$42:$C$68,0)),""))</x:f>
      </x:c>
      <x:c r="U796" s="9" t="str">
        <x:f>IF(C796="","",IFERROR(INDEX('Taxonomy'!$G$9:$G$108,MATCH(D796,'Taxonomy'!$C$9:$C$108,0)),""))</x:f>
      </x:c>
    </x:row>
    <x:row r="797" ht="44" customHeight="1">
      <x:c r="A797" s="1"/>
      <x:c r="B797" s="1"/>
      <x:c r="C797" s="8"/>
      <x:c r="D797" s="8"/>
      <x:c r="E797" s="8"/>
      <x:c r="F797" s="8"/>
      <x:c r="G797" s="8"/>
      <x:c r="H797" s="8"/>
      <x:c r="I797" s="8"/>
      <x:c r="J797" s="8"/>
      <x:c r="K797" s="8"/>
      <x:c r="L797" s="8"/>
      <x:c r="M797" s="10"/>
      <x:c r="N797" s="10"/>
      <x:c r="O797" s="8"/>
      <x:c r="P797" s="9" t="str">
        <x:f>IF(C797="","",IF(AND(G797="Applicable",H797="Fail"),"Fail",IF(R797&lt;&gt;"Valid","Pending",IF(OR(I797="",K797="",L797="",K797=L797,NOT(ISNUMBER(M797)),NOT(ISNUMBER(N797)),M797&gt;Settings!$F$8,N797&lt;Settings!$F$8,N797&lt;M797),"Pending",IF(AND(G797="Applicable",H797="Pass"),"Pass",IF(AND(G797="N/A",H797="N/A",J797&lt;&gt;"",OR(E797="CEM-FUELS",E797="CEM-CCS",AND(E797="CEM-PLAN",IFERROR(INDEX('Taxonomy'!$M$9:$M$108,MATCH(D797,'Taxonomy'!$C$9:$C$108,0)),"")&lt;&gt;"Amber"),E797="BLD-TIMBER",AND(U797="Building equipment",OR(E797="BLD-WATER",E797="BLD-WASTE",E797="BLD-LAND")),AND(U797="Building renovation",E797="BLD-LAND"))),"N/A","Pending"))))))</x:f>
      </x:c>
      <x:c r="Q797" s="3" t="str">
        <x:f>IF(C797="","",IF(AND(R797="Valid",OR(P797="Pass",P797="N/A")),"Complete","Unresolved"))</x:f>
      </x:c>
      <x:c r="R797" s="9" t="str">
        <x:f>IF(C797="","",IF(OR(COUNTIF($C$9:$C$2008,C797)&lt;&gt;1,COUNTIFS($D$9:$D$2008,D797,$E$9:$E$2008,E797)&lt;&gt;1),"Duplicate test",IF(COUNTIF('Taxonomy'!$C$9:$C$108,D797)&lt;&gt;1,"Assessment key",IF(OR(COUNTIF('Taxonomy Rules'!$C$42:$C$68,E797)&lt;&gt;1,F797&lt;&gt;IFERROR(INDEX('Taxonomy Rules'!$D$42:$D$68,MATCH(E797,'Taxonomy Rules'!$C$42:$C$68,0)),""),NOT(OR(IFERROR(INDEX('Taxonomy Rules'!$G$42:$G$68,MATCH(E797,'Taxonomy Rules'!$C$42:$C$68,0)),"")="All supported routes",IFERROR(INDEX('Taxonomy Rules'!$G$42:$G$68,MATCH(E797,'Taxonomy Rules'!$C$42:$C$68,0)),"")=U797,AND(IFERROR(INDEX('Taxonomy Rules'!$G$42:$G$68,MATCH(E797,'Taxonomy Rules'!$C$42:$C$68,0)),"")="Building routes",OR(U797="Building renovation",U797="New building",U797="Building equipment"))))),"Unexpected test","Valid"))))</x:f>
      </x:c>
      <x:c r="S797" s="9" t="str">
        <x:f>IF(C797="","",IFERROR(INDEX('Taxonomy Rules'!$E$42:$E$68,MATCH(E797,'Taxonomy Rules'!$C$42:$C$68,0)),""))</x:f>
      </x:c>
      <x:c r="T797" s="9" t="str">
        <x:f>IF(C797="","",IFERROR(INDEX('Taxonomy Rules'!$F$42:$F$68,MATCH(E797,'Taxonomy Rules'!$C$42:$C$68,0)),""))</x:f>
      </x:c>
      <x:c r="U797" s="9" t="str">
        <x:f>IF(C797="","",IFERROR(INDEX('Taxonomy'!$G$9:$G$108,MATCH(D797,'Taxonomy'!$C$9:$C$108,0)),""))</x:f>
      </x:c>
    </x:row>
    <x:row r="798" ht="44" customHeight="1">
      <x:c r="A798" s="1"/>
      <x:c r="B798" s="1"/>
      <x:c r="C798" s="8"/>
      <x:c r="D798" s="8"/>
      <x:c r="E798" s="8"/>
      <x:c r="F798" s="8"/>
      <x:c r="G798" s="8"/>
      <x:c r="H798" s="8"/>
      <x:c r="I798" s="8"/>
      <x:c r="J798" s="8"/>
      <x:c r="K798" s="8"/>
      <x:c r="L798" s="8"/>
      <x:c r="M798" s="10"/>
      <x:c r="N798" s="10"/>
      <x:c r="O798" s="8"/>
      <x:c r="P798" s="9" t="str">
        <x:f>IF(C798="","",IF(AND(G798="Applicable",H798="Fail"),"Fail",IF(R798&lt;&gt;"Valid","Pending",IF(OR(I798="",K798="",L798="",K798=L798,NOT(ISNUMBER(M798)),NOT(ISNUMBER(N798)),M798&gt;Settings!$F$8,N798&lt;Settings!$F$8,N798&lt;M798),"Pending",IF(AND(G798="Applicable",H798="Pass"),"Pass",IF(AND(G798="N/A",H798="N/A",J798&lt;&gt;"",OR(E798="CEM-FUELS",E798="CEM-CCS",AND(E798="CEM-PLAN",IFERROR(INDEX('Taxonomy'!$M$9:$M$108,MATCH(D798,'Taxonomy'!$C$9:$C$108,0)),"")&lt;&gt;"Amber"),E798="BLD-TIMBER",AND(U798="Building equipment",OR(E798="BLD-WATER",E798="BLD-WASTE",E798="BLD-LAND")),AND(U798="Building renovation",E798="BLD-LAND"))),"N/A","Pending"))))))</x:f>
      </x:c>
      <x:c r="Q798" s="3" t="str">
        <x:f>IF(C798="","",IF(AND(R798="Valid",OR(P798="Pass",P798="N/A")),"Complete","Unresolved"))</x:f>
      </x:c>
      <x:c r="R798" s="9" t="str">
        <x:f>IF(C798="","",IF(OR(COUNTIF($C$9:$C$2008,C798)&lt;&gt;1,COUNTIFS($D$9:$D$2008,D798,$E$9:$E$2008,E798)&lt;&gt;1),"Duplicate test",IF(COUNTIF('Taxonomy'!$C$9:$C$108,D798)&lt;&gt;1,"Assessment key",IF(OR(COUNTIF('Taxonomy Rules'!$C$42:$C$68,E798)&lt;&gt;1,F798&lt;&gt;IFERROR(INDEX('Taxonomy Rules'!$D$42:$D$68,MATCH(E798,'Taxonomy Rules'!$C$42:$C$68,0)),""),NOT(OR(IFERROR(INDEX('Taxonomy Rules'!$G$42:$G$68,MATCH(E798,'Taxonomy Rules'!$C$42:$C$68,0)),"")="All supported routes",IFERROR(INDEX('Taxonomy Rules'!$G$42:$G$68,MATCH(E798,'Taxonomy Rules'!$C$42:$C$68,0)),"")=U798,AND(IFERROR(INDEX('Taxonomy Rules'!$G$42:$G$68,MATCH(E798,'Taxonomy Rules'!$C$42:$C$68,0)),"")="Building routes",OR(U798="Building renovation",U798="New building",U798="Building equipment"))))),"Unexpected test","Valid"))))</x:f>
      </x:c>
      <x:c r="S798" s="9" t="str">
        <x:f>IF(C798="","",IFERROR(INDEX('Taxonomy Rules'!$E$42:$E$68,MATCH(E798,'Taxonomy Rules'!$C$42:$C$68,0)),""))</x:f>
      </x:c>
      <x:c r="T798" s="9" t="str">
        <x:f>IF(C798="","",IFERROR(INDEX('Taxonomy Rules'!$F$42:$F$68,MATCH(E798,'Taxonomy Rules'!$C$42:$C$68,0)),""))</x:f>
      </x:c>
      <x:c r="U798" s="9" t="str">
        <x:f>IF(C798="","",IFERROR(INDEX('Taxonomy'!$G$9:$G$108,MATCH(D798,'Taxonomy'!$C$9:$C$108,0)),""))</x:f>
      </x:c>
    </x:row>
    <x:row r="799" ht="44" customHeight="1">
      <x:c r="A799" s="1"/>
      <x:c r="B799" s="1"/>
      <x:c r="C799" s="8"/>
      <x:c r="D799" s="8"/>
      <x:c r="E799" s="8"/>
      <x:c r="F799" s="8"/>
      <x:c r="G799" s="8"/>
      <x:c r="H799" s="8"/>
      <x:c r="I799" s="8"/>
      <x:c r="J799" s="8"/>
      <x:c r="K799" s="8"/>
      <x:c r="L799" s="8"/>
      <x:c r="M799" s="10"/>
      <x:c r="N799" s="10"/>
      <x:c r="O799" s="8"/>
      <x:c r="P799" s="9" t="str">
        <x:f>IF(C799="","",IF(AND(G799="Applicable",H799="Fail"),"Fail",IF(R799&lt;&gt;"Valid","Pending",IF(OR(I799="",K799="",L799="",K799=L799,NOT(ISNUMBER(M799)),NOT(ISNUMBER(N799)),M799&gt;Settings!$F$8,N799&lt;Settings!$F$8,N799&lt;M799),"Pending",IF(AND(G799="Applicable",H799="Pass"),"Pass",IF(AND(G799="N/A",H799="N/A",J799&lt;&gt;"",OR(E799="CEM-FUELS",E799="CEM-CCS",AND(E799="CEM-PLAN",IFERROR(INDEX('Taxonomy'!$M$9:$M$108,MATCH(D799,'Taxonomy'!$C$9:$C$108,0)),"")&lt;&gt;"Amber"),E799="BLD-TIMBER",AND(U799="Building equipment",OR(E799="BLD-WATER",E799="BLD-WASTE",E799="BLD-LAND")),AND(U799="Building renovation",E799="BLD-LAND"))),"N/A","Pending"))))))</x:f>
      </x:c>
      <x:c r="Q799" s="3" t="str">
        <x:f>IF(C799="","",IF(AND(R799="Valid",OR(P799="Pass",P799="N/A")),"Complete","Unresolved"))</x:f>
      </x:c>
      <x:c r="R799" s="9" t="str">
        <x:f>IF(C799="","",IF(OR(COUNTIF($C$9:$C$2008,C799)&lt;&gt;1,COUNTIFS($D$9:$D$2008,D799,$E$9:$E$2008,E799)&lt;&gt;1),"Duplicate test",IF(COUNTIF('Taxonomy'!$C$9:$C$108,D799)&lt;&gt;1,"Assessment key",IF(OR(COUNTIF('Taxonomy Rules'!$C$42:$C$68,E799)&lt;&gt;1,F799&lt;&gt;IFERROR(INDEX('Taxonomy Rules'!$D$42:$D$68,MATCH(E799,'Taxonomy Rules'!$C$42:$C$68,0)),""),NOT(OR(IFERROR(INDEX('Taxonomy Rules'!$G$42:$G$68,MATCH(E799,'Taxonomy Rules'!$C$42:$C$68,0)),"")="All supported routes",IFERROR(INDEX('Taxonomy Rules'!$G$42:$G$68,MATCH(E799,'Taxonomy Rules'!$C$42:$C$68,0)),"")=U799,AND(IFERROR(INDEX('Taxonomy Rules'!$G$42:$G$68,MATCH(E799,'Taxonomy Rules'!$C$42:$C$68,0)),"")="Building routes",OR(U799="Building renovation",U799="New building",U799="Building equipment"))))),"Unexpected test","Valid"))))</x:f>
      </x:c>
      <x:c r="S799" s="9" t="str">
        <x:f>IF(C799="","",IFERROR(INDEX('Taxonomy Rules'!$E$42:$E$68,MATCH(E799,'Taxonomy Rules'!$C$42:$C$68,0)),""))</x:f>
      </x:c>
      <x:c r="T799" s="9" t="str">
        <x:f>IF(C799="","",IFERROR(INDEX('Taxonomy Rules'!$F$42:$F$68,MATCH(E799,'Taxonomy Rules'!$C$42:$C$68,0)),""))</x:f>
      </x:c>
      <x:c r="U799" s="9" t="str">
        <x:f>IF(C799="","",IFERROR(INDEX('Taxonomy'!$G$9:$G$108,MATCH(D799,'Taxonomy'!$C$9:$C$108,0)),""))</x:f>
      </x:c>
    </x:row>
    <x:row r="800" ht="44" customHeight="1">
      <x:c r="A800" s="1"/>
      <x:c r="B800" s="1"/>
      <x:c r="C800" s="8"/>
      <x:c r="D800" s="8"/>
      <x:c r="E800" s="8"/>
      <x:c r="F800" s="8"/>
      <x:c r="G800" s="8"/>
      <x:c r="H800" s="8"/>
      <x:c r="I800" s="8"/>
      <x:c r="J800" s="8"/>
      <x:c r="K800" s="8"/>
      <x:c r="L800" s="8"/>
      <x:c r="M800" s="10"/>
      <x:c r="N800" s="10"/>
      <x:c r="O800" s="8"/>
      <x:c r="P800" s="9" t="str">
        <x:f>IF(C800="","",IF(AND(G800="Applicable",H800="Fail"),"Fail",IF(R800&lt;&gt;"Valid","Pending",IF(OR(I800="",K800="",L800="",K800=L800,NOT(ISNUMBER(M800)),NOT(ISNUMBER(N800)),M800&gt;Settings!$F$8,N800&lt;Settings!$F$8,N800&lt;M800),"Pending",IF(AND(G800="Applicable",H800="Pass"),"Pass",IF(AND(G800="N/A",H800="N/A",J800&lt;&gt;"",OR(E800="CEM-FUELS",E800="CEM-CCS",AND(E800="CEM-PLAN",IFERROR(INDEX('Taxonomy'!$M$9:$M$108,MATCH(D800,'Taxonomy'!$C$9:$C$108,0)),"")&lt;&gt;"Amber"),E800="BLD-TIMBER",AND(U800="Building equipment",OR(E800="BLD-WATER",E800="BLD-WASTE",E800="BLD-LAND")),AND(U800="Building renovation",E800="BLD-LAND"))),"N/A","Pending"))))))</x:f>
      </x:c>
      <x:c r="Q800" s="3" t="str">
        <x:f>IF(C800="","",IF(AND(R800="Valid",OR(P800="Pass",P800="N/A")),"Complete","Unresolved"))</x:f>
      </x:c>
      <x:c r="R800" s="9" t="str">
        <x:f>IF(C800="","",IF(OR(COUNTIF($C$9:$C$2008,C800)&lt;&gt;1,COUNTIFS($D$9:$D$2008,D800,$E$9:$E$2008,E800)&lt;&gt;1),"Duplicate test",IF(COUNTIF('Taxonomy'!$C$9:$C$108,D800)&lt;&gt;1,"Assessment key",IF(OR(COUNTIF('Taxonomy Rules'!$C$42:$C$68,E800)&lt;&gt;1,F800&lt;&gt;IFERROR(INDEX('Taxonomy Rules'!$D$42:$D$68,MATCH(E800,'Taxonomy Rules'!$C$42:$C$68,0)),""),NOT(OR(IFERROR(INDEX('Taxonomy Rules'!$G$42:$G$68,MATCH(E800,'Taxonomy Rules'!$C$42:$C$68,0)),"")="All supported routes",IFERROR(INDEX('Taxonomy Rules'!$G$42:$G$68,MATCH(E800,'Taxonomy Rules'!$C$42:$C$68,0)),"")=U800,AND(IFERROR(INDEX('Taxonomy Rules'!$G$42:$G$68,MATCH(E800,'Taxonomy Rules'!$C$42:$C$68,0)),"")="Building routes",OR(U800="Building renovation",U800="New building",U800="Building equipment"))))),"Unexpected test","Valid"))))</x:f>
      </x:c>
      <x:c r="S800" s="9" t="str">
        <x:f>IF(C800="","",IFERROR(INDEX('Taxonomy Rules'!$E$42:$E$68,MATCH(E800,'Taxonomy Rules'!$C$42:$C$68,0)),""))</x:f>
      </x:c>
      <x:c r="T800" s="9" t="str">
        <x:f>IF(C800="","",IFERROR(INDEX('Taxonomy Rules'!$F$42:$F$68,MATCH(E800,'Taxonomy Rules'!$C$42:$C$68,0)),""))</x:f>
      </x:c>
      <x:c r="U800" s="9" t="str">
        <x:f>IF(C800="","",IFERROR(INDEX('Taxonomy'!$G$9:$G$108,MATCH(D800,'Taxonomy'!$C$9:$C$108,0)),""))</x:f>
      </x:c>
    </x:row>
    <x:row r="801" ht="44" customHeight="1">
      <x:c r="A801" s="1"/>
      <x:c r="B801" s="1"/>
      <x:c r="C801" s="8"/>
      <x:c r="D801" s="8"/>
      <x:c r="E801" s="8"/>
      <x:c r="F801" s="8"/>
      <x:c r="G801" s="8"/>
      <x:c r="H801" s="8"/>
      <x:c r="I801" s="8"/>
      <x:c r="J801" s="8"/>
      <x:c r="K801" s="8"/>
      <x:c r="L801" s="8"/>
      <x:c r="M801" s="10"/>
      <x:c r="N801" s="10"/>
      <x:c r="O801" s="8"/>
      <x:c r="P801" s="9" t="str">
        <x:f>IF(C801="","",IF(AND(G801="Applicable",H801="Fail"),"Fail",IF(R801&lt;&gt;"Valid","Pending",IF(OR(I801="",K801="",L801="",K801=L801,NOT(ISNUMBER(M801)),NOT(ISNUMBER(N801)),M801&gt;Settings!$F$8,N801&lt;Settings!$F$8,N801&lt;M801),"Pending",IF(AND(G801="Applicable",H801="Pass"),"Pass",IF(AND(G801="N/A",H801="N/A",J801&lt;&gt;"",OR(E801="CEM-FUELS",E801="CEM-CCS",AND(E801="CEM-PLAN",IFERROR(INDEX('Taxonomy'!$M$9:$M$108,MATCH(D801,'Taxonomy'!$C$9:$C$108,0)),"")&lt;&gt;"Amber"),E801="BLD-TIMBER",AND(U801="Building equipment",OR(E801="BLD-WATER",E801="BLD-WASTE",E801="BLD-LAND")),AND(U801="Building renovation",E801="BLD-LAND"))),"N/A","Pending"))))))</x:f>
      </x:c>
      <x:c r="Q801" s="3" t="str">
        <x:f>IF(C801="","",IF(AND(R801="Valid",OR(P801="Pass",P801="N/A")),"Complete","Unresolved"))</x:f>
      </x:c>
      <x:c r="R801" s="9" t="str">
        <x:f>IF(C801="","",IF(OR(COUNTIF($C$9:$C$2008,C801)&lt;&gt;1,COUNTIFS($D$9:$D$2008,D801,$E$9:$E$2008,E801)&lt;&gt;1),"Duplicate test",IF(COUNTIF('Taxonomy'!$C$9:$C$108,D801)&lt;&gt;1,"Assessment key",IF(OR(COUNTIF('Taxonomy Rules'!$C$42:$C$68,E801)&lt;&gt;1,F801&lt;&gt;IFERROR(INDEX('Taxonomy Rules'!$D$42:$D$68,MATCH(E801,'Taxonomy Rules'!$C$42:$C$68,0)),""),NOT(OR(IFERROR(INDEX('Taxonomy Rules'!$G$42:$G$68,MATCH(E801,'Taxonomy Rules'!$C$42:$C$68,0)),"")="All supported routes",IFERROR(INDEX('Taxonomy Rules'!$G$42:$G$68,MATCH(E801,'Taxonomy Rules'!$C$42:$C$68,0)),"")=U801,AND(IFERROR(INDEX('Taxonomy Rules'!$G$42:$G$68,MATCH(E801,'Taxonomy Rules'!$C$42:$C$68,0)),"")="Building routes",OR(U801="Building renovation",U801="New building",U801="Building equipment"))))),"Unexpected test","Valid"))))</x:f>
      </x:c>
      <x:c r="S801" s="9" t="str">
        <x:f>IF(C801="","",IFERROR(INDEX('Taxonomy Rules'!$E$42:$E$68,MATCH(E801,'Taxonomy Rules'!$C$42:$C$68,0)),""))</x:f>
      </x:c>
      <x:c r="T801" s="9" t="str">
        <x:f>IF(C801="","",IFERROR(INDEX('Taxonomy Rules'!$F$42:$F$68,MATCH(E801,'Taxonomy Rules'!$C$42:$C$68,0)),""))</x:f>
      </x:c>
      <x:c r="U801" s="9" t="str">
        <x:f>IF(C801="","",IFERROR(INDEX('Taxonomy'!$G$9:$G$108,MATCH(D801,'Taxonomy'!$C$9:$C$108,0)),""))</x:f>
      </x:c>
    </x:row>
    <x:row r="802" ht="44" customHeight="1">
      <x:c r="A802" s="1"/>
      <x:c r="B802" s="1"/>
      <x:c r="C802" s="8"/>
      <x:c r="D802" s="8"/>
      <x:c r="E802" s="8"/>
      <x:c r="F802" s="8"/>
      <x:c r="G802" s="8"/>
      <x:c r="H802" s="8"/>
      <x:c r="I802" s="8"/>
      <x:c r="J802" s="8"/>
      <x:c r="K802" s="8"/>
      <x:c r="L802" s="8"/>
      <x:c r="M802" s="10"/>
      <x:c r="N802" s="10"/>
      <x:c r="O802" s="8"/>
      <x:c r="P802" s="9" t="str">
        <x:f>IF(C802="","",IF(AND(G802="Applicable",H802="Fail"),"Fail",IF(R802&lt;&gt;"Valid","Pending",IF(OR(I802="",K802="",L802="",K802=L802,NOT(ISNUMBER(M802)),NOT(ISNUMBER(N802)),M802&gt;Settings!$F$8,N802&lt;Settings!$F$8,N802&lt;M802),"Pending",IF(AND(G802="Applicable",H802="Pass"),"Pass",IF(AND(G802="N/A",H802="N/A",J802&lt;&gt;"",OR(E802="CEM-FUELS",E802="CEM-CCS",AND(E802="CEM-PLAN",IFERROR(INDEX('Taxonomy'!$M$9:$M$108,MATCH(D802,'Taxonomy'!$C$9:$C$108,0)),"")&lt;&gt;"Amber"),E802="BLD-TIMBER",AND(U802="Building equipment",OR(E802="BLD-WATER",E802="BLD-WASTE",E802="BLD-LAND")),AND(U802="Building renovation",E802="BLD-LAND"))),"N/A","Pending"))))))</x:f>
      </x:c>
      <x:c r="Q802" s="3" t="str">
        <x:f>IF(C802="","",IF(AND(R802="Valid",OR(P802="Pass",P802="N/A")),"Complete","Unresolved"))</x:f>
      </x:c>
      <x:c r="R802" s="9" t="str">
        <x:f>IF(C802="","",IF(OR(COUNTIF($C$9:$C$2008,C802)&lt;&gt;1,COUNTIFS($D$9:$D$2008,D802,$E$9:$E$2008,E802)&lt;&gt;1),"Duplicate test",IF(COUNTIF('Taxonomy'!$C$9:$C$108,D802)&lt;&gt;1,"Assessment key",IF(OR(COUNTIF('Taxonomy Rules'!$C$42:$C$68,E802)&lt;&gt;1,F802&lt;&gt;IFERROR(INDEX('Taxonomy Rules'!$D$42:$D$68,MATCH(E802,'Taxonomy Rules'!$C$42:$C$68,0)),""),NOT(OR(IFERROR(INDEX('Taxonomy Rules'!$G$42:$G$68,MATCH(E802,'Taxonomy Rules'!$C$42:$C$68,0)),"")="All supported routes",IFERROR(INDEX('Taxonomy Rules'!$G$42:$G$68,MATCH(E802,'Taxonomy Rules'!$C$42:$C$68,0)),"")=U802,AND(IFERROR(INDEX('Taxonomy Rules'!$G$42:$G$68,MATCH(E802,'Taxonomy Rules'!$C$42:$C$68,0)),"")="Building routes",OR(U802="Building renovation",U802="New building",U802="Building equipment"))))),"Unexpected test","Valid"))))</x:f>
      </x:c>
      <x:c r="S802" s="9" t="str">
        <x:f>IF(C802="","",IFERROR(INDEX('Taxonomy Rules'!$E$42:$E$68,MATCH(E802,'Taxonomy Rules'!$C$42:$C$68,0)),""))</x:f>
      </x:c>
      <x:c r="T802" s="9" t="str">
        <x:f>IF(C802="","",IFERROR(INDEX('Taxonomy Rules'!$F$42:$F$68,MATCH(E802,'Taxonomy Rules'!$C$42:$C$68,0)),""))</x:f>
      </x:c>
      <x:c r="U802" s="9" t="str">
        <x:f>IF(C802="","",IFERROR(INDEX('Taxonomy'!$G$9:$G$108,MATCH(D802,'Taxonomy'!$C$9:$C$108,0)),""))</x:f>
      </x:c>
    </x:row>
    <x:row r="803" ht="44" customHeight="1">
      <x:c r="A803" s="1"/>
      <x:c r="B803" s="1"/>
      <x:c r="C803" s="8"/>
      <x:c r="D803" s="8"/>
      <x:c r="E803" s="8"/>
      <x:c r="F803" s="8"/>
      <x:c r="G803" s="8"/>
      <x:c r="H803" s="8"/>
      <x:c r="I803" s="8"/>
      <x:c r="J803" s="8"/>
      <x:c r="K803" s="8"/>
      <x:c r="L803" s="8"/>
      <x:c r="M803" s="10"/>
      <x:c r="N803" s="10"/>
      <x:c r="O803" s="8"/>
      <x:c r="P803" s="9" t="str">
        <x:f>IF(C803="","",IF(AND(G803="Applicable",H803="Fail"),"Fail",IF(R803&lt;&gt;"Valid","Pending",IF(OR(I803="",K803="",L803="",K803=L803,NOT(ISNUMBER(M803)),NOT(ISNUMBER(N803)),M803&gt;Settings!$F$8,N803&lt;Settings!$F$8,N803&lt;M803),"Pending",IF(AND(G803="Applicable",H803="Pass"),"Pass",IF(AND(G803="N/A",H803="N/A",J803&lt;&gt;"",OR(E803="CEM-FUELS",E803="CEM-CCS",AND(E803="CEM-PLAN",IFERROR(INDEX('Taxonomy'!$M$9:$M$108,MATCH(D803,'Taxonomy'!$C$9:$C$108,0)),"")&lt;&gt;"Amber"),E803="BLD-TIMBER",AND(U803="Building equipment",OR(E803="BLD-WATER",E803="BLD-WASTE",E803="BLD-LAND")),AND(U803="Building renovation",E803="BLD-LAND"))),"N/A","Pending"))))))</x:f>
      </x:c>
      <x:c r="Q803" s="3" t="str">
        <x:f>IF(C803="","",IF(AND(R803="Valid",OR(P803="Pass",P803="N/A")),"Complete","Unresolved"))</x:f>
      </x:c>
      <x:c r="R803" s="9" t="str">
        <x:f>IF(C803="","",IF(OR(COUNTIF($C$9:$C$2008,C803)&lt;&gt;1,COUNTIFS($D$9:$D$2008,D803,$E$9:$E$2008,E803)&lt;&gt;1),"Duplicate test",IF(COUNTIF('Taxonomy'!$C$9:$C$108,D803)&lt;&gt;1,"Assessment key",IF(OR(COUNTIF('Taxonomy Rules'!$C$42:$C$68,E803)&lt;&gt;1,F803&lt;&gt;IFERROR(INDEX('Taxonomy Rules'!$D$42:$D$68,MATCH(E803,'Taxonomy Rules'!$C$42:$C$68,0)),""),NOT(OR(IFERROR(INDEX('Taxonomy Rules'!$G$42:$G$68,MATCH(E803,'Taxonomy Rules'!$C$42:$C$68,0)),"")="All supported routes",IFERROR(INDEX('Taxonomy Rules'!$G$42:$G$68,MATCH(E803,'Taxonomy Rules'!$C$42:$C$68,0)),"")=U803,AND(IFERROR(INDEX('Taxonomy Rules'!$G$42:$G$68,MATCH(E803,'Taxonomy Rules'!$C$42:$C$68,0)),"")="Building routes",OR(U803="Building renovation",U803="New building",U803="Building equipment"))))),"Unexpected test","Valid"))))</x:f>
      </x:c>
      <x:c r="S803" s="9" t="str">
        <x:f>IF(C803="","",IFERROR(INDEX('Taxonomy Rules'!$E$42:$E$68,MATCH(E803,'Taxonomy Rules'!$C$42:$C$68,0)),""))</x:f>
      </x:c>
      <x:c r="T803" s="9" t="str">
        <x:f>IF(C803="","",IFERROR(INDEX('Taxonomy Rules'!$F$42:$F$68,MATCH(E803,'Taxonomy Rules'!$C$42:$C$68,0)),""))</x:f>
      </x:c>
      <x:c r="U803" s="9" t="str">
        <x:f>IF(C803="","",IFERROR(INDEX('Taxonomy'!$G$9:$G$108,MATCH(D803,'Taxonomy'!$C$9:$C$108,0)),""))</x:f>
      </x:c>
    </x:row>
    <x:row r="804" ht="44" customHeight="1">
      <x:c r="A804" s="1"/>
      <x:c r="B804" s="1"/>
      <x:c r="C804" s="8"/>
      <x:c r="D804" s="8"/>
      <x:c r="E804" s="8"/>
      <x:c r="F804" s="8"/>
      <x:c r="G804" s="8"/>
      <x:c r="H804" s="8"/>
      <x:c r="I804" s="8"/>
      <x:c r="J804" s="8"/>
      <x:c r="K804" s="8"/>
      <x:c r="L804" s="8"/>
      <x:c r="M804" s="10"/>
      <x:c r="N804" s="10"/>
      <x:c r="O804" s="8"/>
      <x:c r="P804" s="9" t="str">
        <x:f>IF(C804="","",IF(AND(G804="Applicable",H804="Fail"),"Fail",IF(R804&lt;&gt;"Valid","Pending",IF(OR(I804="",K804="",L804="",K804=L804,NOT(ISNUMBER(M804)),NOT(ISNUMBER(N804)),M804&gt;Settings!$F$8,N804&lt;Settings!$F$8,N804&lt;M804),"Pending",IF(AND(G804="Applicable",H804="Pass"),"Pass",IF(AND(G804="N/A",H804="N/A",J804&lt;&gt;"",OR(E804="CEM-FUELS",E804="CEM-CCS",AND(E804="CEM-PLAN",IFERROR(INDEX('Taxonomy'!$M$9:$M$108,MATCH(D804,'Taxonomy'!$C$9:$C$108,0)),"")&lt;&gt;"Amber"),E804="BLD-TIMBER",AND(U804="Building equipment",OR(E804="BLD-WATER",E804="BLD-WASTE",E804="BLD-LAND")),AND(U804="Building renovation",E804="BLD-LAND"))),"N/A","Pending"))))))</x:f>
      </x:c>
      <x:c r="Q804" s="3" t="str">
        <x:f>IF(C804="","",IF(AND(R804="Valid",OR(P804="Pass",P804="N/A")),"Complete","Unresolved"))</x:f>
      </x:c>
      <x:c r="R804" s="9" t="str">
        <x:f>IF(C804="","",IF(OR(COUNTIF($C$9:$C$2008,C804)&lt;&gt;1,COUNTIFS($D$9:$D$2008,D804,$E$9:$E$2008,E804)&lt;&gt;1),"Duplicate test",IF(COUNTIF('Taxonomy'!$C$9:$C$108,D804)&lt;&gt;1,"Assessment key",IF(OR(COUNTIF('Taxonomy Rules'!$C$42:$C$68,E804)&lt;&gt;1,F804&lt;&gt;IFERROR(INDEX('Taxonomy Rules'!$D$42:$D$68,MATCH(E804,'Taxonomy Rules'!$C$42:$C$68,0)),""),NOT(OR(IFERROR(INDEX('Taxonomy Rules'!$G$42:$G$68,MATCH(E804,'Taxonomy Rules'!$C$42:$C$68,0)),"")="All supported routes",IFERROR(INDEX('Taxonomy Rules'!$G$42:$G$68,MATCH(E804,'Taxonomy Rules'!$C$42:$C$68,0)),"")=U804,AND(IFERROR(INDEX('Taxonomy Rules'!$G$42:$G$68,MATCH(E804,'Taxonomy Rules'!$C$42:$C$68,0)),"")="Building routes",OR(U804="Building renovation",U804="New building",U804="Building equipment"))))),"Unexpected test","Valid"))))</x:f>
      </x:c>
      <x:c r="S804" s="9" t="str">
        <x:f>IF(C804="","",IFERROR(INDEX('Taxonomy Rules'!$E$42:$E$68,MATCH(E804,'Taxonomy Rules'!$C$42:$C$68,0)),""))</x:f>
      </x:c>
      <x:c r="T804" s="9" t="str">
        <x:f>IF(C804="","",IFERROR(INDEX('Taxonomy Rules'!$F$42:$F$68,MATCH(E804,'Taxonomy Rules'!$C$42:$C$68,0)),""))</x:f>
      </x:c>
      <x:c r="U804" s="9" t="str">
        <x:f>IF(C804="","",IFERROR(INDEX('Taxonomy'!$G$9:$G$108,MATCH(D804,'Taxonomy'!$C$9:$C$108,0)),""))</x:f>
      </x:c>
    </x:row>
    <x:row r="805" ht="44" customHeight="1">
      <x:c r="A805" s="1"/>
      <x:c r="B805" s="1"/>
      <x:c r="C805" s="8"/>
      <x:c r="D805" s="8"/>
      <x:c r="E805" s="8"/>
      <x:c r="F805" s="8"/>
      <x:c r="G805" s="8"/>
      <x:c r="H805" s="8"/>
      <x:c r="I805" s="8"/>
      <x:c r="J805" s="8"/>
      <x:c r="K805" s="8"/>
      <x:c r="L805" s="8"/>
      <x:c r="M805" s="10"/>
      <x:c r="N805" s="10"/>
      <x:c r="O805" s="8"/>
      <x:c r="P805" s="9" t="str">
        <x:f>IF(C805="","",IF(AND(G805="Applicable",H805="Fail"),"Fail",IF(R805&lt;&gt;"Valid","Pending",IF(OR(I805="",K805="",L805="",K805=L805,NOT(ISNUMBER(M805)),NOT(ISNUMBER(N805)),M805&gt;Settings!$F$8,N805&lt;Settings!$F$8,N805&lt;M805),"Pending",IF(AND(G805="Applicable",H805="Pass"),"Pass",IF(AND(G805="N/A",H805="N/A",J805&lt;&gt;"",OR(E805="CEM-FUELS",E805="CEM-CCS",AND(E805="CEM-PLAN",IFERROR(INDEX('Taxonomy'!$M$9:$M$108,MATCH(D805,'Taxonomy'!$C$9:$C$108,0)),"")&lt;&gt;"Amber"),E805="BLD-TIMBER",AND(U805="Building equipment",OR(E805="BLD-WATER",E805="BLD-WASTE",E805="BLD-LAND")),AND(U805="Building renovation",E805="BLD-LAND"))),"N/A","Pending"))))))</x:f>
      </x:c>
      <x:c r="Q805" s="3" t="str">
        <x:f>IF(C805="","",IF(AND(R805="Valid",OR(P805="Pass",P805="N/A")),"Complete","Unresolved"))</x:f>
      </x:c>
      <x:c r="R805" s="9" t="str">
        <x:f>IF(C805="","",IF(OR(COUNTIF($C$9:$C$2008,C805)&lt;&gt;1,COUNTIFS($D$9:$D$2008,D805,$E$9:$E$2008,E805)&lt;&gt;1),"Duplicate test",IF(COUNTIF('Taxonomy'!$C$9:$C$108,D805)&lt;&gt;1,"Assessment key",IF(OR(COUNTIF('Taxonomy Rules'!$C$42:$C$68,E805)&lt;&gt;1,F805&lt;&gt;IFERROR(INDEX('Taxonomy Rules'!$D$42:$D$68,MATCH(E805,'Taxonomy Rules'!$C$42:$C$68,0)),""),NOT(OR(IFERROR(INDEX('Taxonomy Rules'!$G$42:$G$68,MATCH(E805,'Taxonomy Rules'!$C$42:$C$68,0)),"")="All supported routes",IFERROR(INDEX('Taxonomy Rules'!$G$42:$G$68,MATCH(E805,'Taxonomy Rules'!$C$42:$C$68,0)),"")=U805,AND(IFERROR(INDEX('Taxonomy Rules'!$G$42:$G$68,MATCH(E805,'Taxonomy Rules'!$C$42:$C$68,0)),"")="Building routes",OR(U805="Building renovation",U805="New building",U805="Building equipment"))))),"Unexpected test","Valid"))))</x:f>
      </x:c>
      <x:c r="S805" s="9" t="str">
        <x:f>IF(C805="","",IFERROR(INDEX('Taxonomy Rules'!$E$42:$E$68,MATCH(E805,'Taxonomy Rules'!$C$42:$C$68,0)),""))</x:f>
      </x:c>
      <x:c r="T805" s="9" t="str">
        <x:f>IF(C805="","",IFERROR(INDEX('Taxonomy Rules'!$F$42:$F$68,MATCH(E805,'Taxonomy Rules'!$C$42:$C$68,0)),""))</x:f>
      </x:c>
      <x:c r="U805" s="9" t="str">
        <x:f>IF(C805="","",IFERROR(INDEX('Taxonomy'!$G$9:$G$108,MATCH(D805,'Taxonomy'!$C$9:$C$108,0)),""))</x:f>
      </x:c>
    </x:row>
    <x:row r="806" ht="44" customHeight="1">
      <x:c r="A806" s="1"/>
      <x:c r="B806" s="1"/>
      <x:c r="C806" s="8"/>
      <x:c r="D806" s="8"/>
      <x:c r="E806" s="8"/>
      <x:c r="F806" s="8"/>
      <x:c r="G806" s="8"/>
      <x:c r="H806" s="8"/>
      <x:c r="I806" s="8"/>
      <x:c r="J806" s="8"/>
      <x:c r="K806" s="8"/>
      <x:c r="L806" s="8"/>
      <x:c r="M806" s="10"/>
      <x:c r="N806" s="10"/>
      <x:c r="O806" s="8"/>
      <x:c r="P806" s="9" t="str">
        <x:f>IF(C806="","",IF(AND(G806="Applicable",H806="Fail"),"Fail",IF(R806&lt;&gt;"Valid","Pending",IF(OR(I806="",K806="",L806="",K806=L806,NOT(ISNUMBER(M806)),NOT(ISNUMBER(N806)),M806&gt;Settings!$F$8,N806&lt;Settings!$F$8,N806&lt;M806),"Pending",IF(AND(G806="Applicable",H806="Pass"),"Pass",IF(AND(G806="N/A",H806="N/A",J806&lt;&gt;"",OR(E806="CEM-FUELS",E806="CEM-CCS",AND(E806="CEM-PLAN",IFERROR(INDEX('Taxonomy'!$M$9:$M$108,MATCH(D806,'Taxonomy'!$C$9:$C$108,0)),"")&lt;&gt;"Amber"),E806="BLD-TIMBER",AND(U806="Building equipment",OR(E806="BLD-WATER",E806="BLD-WASTE",E806="BLD-LAND")),AND(U806="Building renovation",E806="BLD-LAND"))),"N/A","Pending"))))))</x:f>
      </x:c>
      <x:c r="Q806" s="3" t="str">
        <x:f>IF(C806="","",IF(AND(R806="Valid",OR(P806="Pass",P806="N/A")),"Complete","Unresolved"))</x:f>
      </x:c>
      <x:c r="R806" s="9" t="str">
        <x:f>IF(C806="","",IF(OR(COUNTIF($C$9:$C$2008,C806)&lt;&gt;1,COUNTIFS($D$9:$D$2008,D806,$E$9:$E$2008,E806)&lt;&gt;1),"Duplicate test",IF(COUNTIF('Taxonomy'!$C$9:$C$108,D806)&lt;&gt;1,"Assessment key",IF(OR(COUNTIF('Taxonomy Rules'!$C$42:$C$68,E806)&lt;&gt;1,F806&lt;&gt;IFERROR(INDEX('Taxonomy Rules'!$D$42:$D$68,MATCH(E806,'Taxonomy Rules'!$C$42:$C$68,0)),""),NOT(OR(IFERROR(INDEX('Taxonomy Rules'!$G$42:$G$68,MATCH(E806,'Taxonomy Rules'!$C$42:$C$68,0)),"")="All supported routes",IFERROR(INDEX('Taxonomy Rules'!$G$42:$G$68,MATCH(E806,'Taxonomy Rules'!$C$42:$C$68,0)),"")=U806,AND(IFERROR(INDEX('Taxonomy Rules'!$G$42:$G$68,MATCH(E806,'Taxonomy Rules'!$C$42:$C$68,0)),"")="Building routes",OR(U806="Building renovation",U806="New building",U806="Building equipment"))))),"Unexpected test","Valid"))))</x:f>
      </x:c>
      <x:c r="S806" s="9" t="str">
        <x:f>IF(C806="","",IFERROR(INDEX('Taxonomy Rules'!$E$42:$E$68,MATCH(E806,'Taxonomy Rules'!$C$42:$C$68,0)),""))</x:f>
      </x:c>
      <x:c r="T806" s="9" t="str">
        <x:f>IF(C806="","",IFERROR(INDEX('Taxonomy Rules'!$F$42:$F$68,MATCH(E806,'Taxonomy Rules'!$C$42:$C$68,0)),""))</x:f>
      </x:c>
      <x:c r="U806" s="9" t="str">
        <x:f>IF(C806="","",IFERROR(INDEX('Taxonomy'!$G$9:$G$108,MATCH(D806,'Taxonomy'!$C$9:$C$108,0)),""))</x:f>
      </x:c>
    </x:row>
    <x:row r="807" ht="44" customHeight="1">
      <x:c r="A807" s="1"/>
      <x:c r="B807" s="1"/>
      <x:c r="C807" s="8"/>
      <x:c r="D807" s="8"/>
      <x:c r="E807" s="8"/>
      <x:c r="F807" s="8"/>
      <x:c r="G807" s="8"/>
      <x:c r="H807" s="8"/>
      <x:c r="I807" s="8"/>
      <x:c r="J807" s="8"/>
      <x:c r="K807" s="8"/>
      <x:c r="L807" s="8"/>
      <x:c r="M807" s="10"/>
      <x:c r="N807" s="10"/>
      <x:c r="O807" s="8"/>
      <x:c r="P807" s="9" t="str">
        <x:f>IF(C807="","",IF(AND(G807="Applicable",H807="Fail"),"Fail",IF(R807&lt;&gt;"Valid","Pending",IF(OR(I807="",K807="",L807="",K807=L807,NOT(ISNUMBER(M807)),NOT(ISNUMBER(N807)),M807&gt;Settings!$F$8,N807&lt;Settings!$F$8,N807&lt;M807),"Pending",IF(AND(G807="Applicable",H807="Pass"),"Pass",IF(AND(G807="N/A",H807="N/A",J807&lt;&gt;"",OR(E807="CEM-FUELS",E807="CEM-CCS",AND(E807="CEM-PLAN",IFERROR(INDEX('Taxonomy'!$M$9:$M$108,MATCH(D807,'Taxonomy'!$C$9:$C$108,0)),"")&lt;&gt;"Amber"),E807="BLD-TIMBER",AND(U807="Building equipment",OR(E807="BLD-WATER",E807="BLD-WASTE",E807="BLD-LAND")),AND(U807="Building renovation",E807="BLD-LAND"))),"N/A","Pending"))))))</x:f>
      </x:c>
      <x:c r="Q807" s="3" t="str">
        <x:f>IF(C807="","",IF(AND(R807="Valid",OR(P807="Pass",P807="N/A")),"Complete","Unresolved"))</x:f>
      </x:c>
      <x:c r="R807" s="9" t="str">
        <x:f>IF(C807="","",IF(OR(COUNTIF($C$9:$C$2008,C807)&lt;&gt;1,COUNTIFS($D$9:$D$2008,D807,$E$9:$E$2008,E807)&lt;&gt;1),"Duplicate test",IF(COUNTIF('Taxonomy'!$C$9:$C$108,D807)&lt;&gt;1,"Assessment key",IF(OR(COUNTIF('Taxonomy Rules'!$C$42:$C$68,E807)&lt;&gt;1,F807&lt;&gt;IFERROR(INDEX('Taxonomy Rules'!$D$42:$D$68,MATCH(E807,'Taxonomy Rules'!$C$42:$C$68,0)),""),NOT(OR(IFERROR(INDEX('Taxonomy Rules'!$G$42:$G$68,MATCH(E807,'Taxonomy Rules'!$C$42:$C$68,0)),"")="All supported routes",IFERROR(INDEX('Taxonomy Rules'!$G$42:$G$68,MATCH(E807,'Taxonomy Rules'!$C$42:$C$68,0)),"")=U807,AND(IFERROR(INDEX('Taxonomy Rules'!$G$42:$G$68,MATCH(E807,'Taxonomy Rules'!$C$42:$C$68,0)),"")="Building routes",OR(U807="Building renovation",U807="New building",U807="Building equipment"))))),"Unexpected test","Valid"))))</x:f>
      </x:c>
      <x:c r="S807" s="9" t="str">
        <x:f>IF(C807="","",IFERROR(INDEX('Taxonomy Rules'!$E$42:$E$68,MATCH(E807,'Taxonomy Rules'!$C$42:$C$68,0)),""))</x:f>
      </x:c>
      <x:c r="T807" s="9" t="str">
        <x:f>IF(C807="","",IFERROR(INDEX('Taxonomy Rules'!$F$42:$F$68,MATCH(E807,'Taxonomy Rules'!$C$42:$C$68,0)),""))</x:f>
      </x:c>
      <x:c r="U807" s="9" t="str">
        <x:f>IF(C807="","",IFERROR(INDEX('Taxonomy'!$G$9:$G$108,MATCH(D807,'Taxonomy'!$C$9:$C$108,0)),""))</x:f>
      </x:c>
    </x:row>
    <x:row r="808" ht="44" customHeight="1">
      <x:c r="A808" s="1"/>
      <x:c r="B808" s="1"/>
      <x:c r="C808" s="8"/>
      <x:c r="D808" s="8"/>
      <x:c r="E808" s="8"/>
      <x:c r="F808" s="8"/>
      <x:c r="G808" s="8"/>
      <x:c r="H808" s="8"/>
      <x:c r="I808" s="8"/>
      <x:c r="J808" s="8"/>
      <x:c r="K808" s="8"/>
      <x:c r="L808" s="8"/>
      <x:c r="M808" s="10"/>
      <x:c r="N808" s="10"/>
      <x:c r="O808" s="8"/>
      <x:c r="P808" s="9" t="str">
        <x:f>IF(C808="","",IF(AND(G808="Applicable",H808="Fail"),"Fail",IF(R808&lt;&gt;"Valid","Pending",IF(OR(I808="",K808="",L808="",K808=L808,NOT(ISNUMBER(M808)),NOT(ISNUMBER(N808)),M808&gt;Settings!$F$8,N808&lt;Settings!$F$8,N808&lt;M808),"Pending",IF(AND(G808="Applicable",H808="Pass"),"Pass",IF(AND(G808="N/A",H808="N/A",J808&lt;&gt;"",OR(E808="CEM-FUELS",E808="CEM-CCS",AND(E808="CEM-PLAN",IFERROR(INDEX('Taxonomy'!$M$9:$M$108,MATCH(D808,'Taxonomy'!$C$9:$C$108,0)),"")&lt;&gt;"Amber"),E808="BLD-TIMBER",AND(U808="Building equipment",OR(E808="BLD-WATER",E808="BLD-WASTE",E808="BLD-LAND")),AND(U808="Building renovation",E808="BLD-LAND"))),"N/A","Pending"))))))</x:f>
      </x:c>
      <x:c r="Q808" s="3" t="str">
        <x:f>IF(C808="","",IF(AND(R808="Valid",OR(P808="Pass",P808="N/A")),"Complete","Unresolved"))</x:f>
      </x:c>
      <x:c r="R808" s="9" t="str">
        <x:f>IF(C808="","",IF(OR(COUNTIF($C$9:$C$2008,C808)&lt;&gt;1,COUNTIFS($D$9:$D$2008,D808,$E$9:$E$2008,E808)&lt;&gt;1),"Duplicate test",IF(COUNTIF('Taxonomy'!$C$9:$C$108,D808)&lt;&gt;1,"Assessment key",IF(OR(COUNTIF('Taxonomy Rules'!$C$42:$C$68,E808)&lt;&gt;1,F808&lt;&gt;IFERROR(INDEX('Taxonomy Rules'!$D$42:$D$68,MATCH(E808,'Taxonomy Rules'!$C$42:$C$68,0)),""),NOT(OR(IFERROR(INDEX('Taxonomy Rules'!$G$42:$G$68,MATCH(E808,'Taxonomy Rules'!$C$42:$C$68,0)),"")="All supported routes",IFERROR(INDEX('Taxonomy Rules'!$G$42:$G$68,MATCH(E808,'Taxonomy Rules'!$C$42:$C$68,0)),"")=U808,AND(IFERROR(INDEX('Taxonomy Rules'!$G$42:$G$68,MATCH(E808,'Taxonomy Rules'!$C$42:$C$68,0)),"")="Building routes",OR(U808="Building renovation",U808="New building",U808="Building equipment"))))),"Unexpected test","Valid"))))</x:f>
      </x:c>
      <x:c r="S808" s="9" t="str">
        <x:f>IF(C808="","",IFERROR(INDEX('Taxonomy Rules'!$E$42:$E$68,MATCH(E808,'Taxonomy Rules'!$C$42:$C$68,0)),""))</x:f>
      </x:c>
      <x:c r="T808" s="9" t="str">
        <x:f>IF(C808="","",IFERROR(INDEX('Taxonomy Rules'!$F$42:$F$68,MATCH(E808,'Taxonomy Rules'!$C$42:$C$68,0)),""))</x:f>
      </x:c>
      <x:c r="U808" s="9" t="str">
        <x:f>IF(C808="","",IFERROR(INDEX('Taxonomy'!$G$9:$G$108,MATCH(D808,'Taxonomy'!$C$9:$C$108,0)),""))</x:f>
      </x:c>
    </x:row>
    <x:row r="809" ht="44" customHeight="1">
      <x:c r="A809" s="1"/>
      <x:c r="B809" s="1"/>
      <x:c r="C809" s="8"/>
      <x:c r="D809" s="8"/>
      <x:c r="E809" s="8"/>
      <x:c r="F809" s="8"/>
      <x:c r="G809" s="8"/>
      <x:c r="H809" s="8"/>
      <x:c r="I809" s="8"/>
      <x:c r="J809" s="8"/>
      <x:c r="K809" s="8"/>
      <x:c r="L809" s="8"/>
      <x:c r="M809" s="10"/>
      <x:c r="N809" s="10"/>
      <x:c r="O809" s="8"/>
      <x:c r="P809" s="9" t="str">
        <x:f>IF(C809="","",IF(AND(G809="Applicable",H809="Fail"),"Fail",IF(R809&lt;&gt;"Valid","Pending",IF(OR(I809="",K809="",L809="",K809=L809,NOT(ISNUMBER(M809)),NOT(ISNUMBER(N809)),M809&gt;Settings!$F$8,N809&lt;Settings!$F$8,N809&lt;M809),"Pending",IF(AND(G809="Applicable",H809="Pass"),"Pass",IF(AND(G809="N/A",H809="N/A",J809&lt;&gt;"",OR(E809="CEM-FUELS",E809="CEM-CCS",AND(E809="CEM-PLAN",IFERROR(INDEX('Taxonomy'!$M$9:$M$108,MATCH(D809,'Taxonomy'!$C$9:$C$108,0)),"")&lt;&gt;"Amber"),E809="BLD-TIMBER",AND(U809="Building equipment",OR(E809="BLD-WATER",E809="BLD-WASTE",E809="BLD-LAND")),AND(U809="Building renovation",E809="BLD-LAND"))),"N/A","Pending"))))))</x:f>
      </x:c>
      <x:c r="Q809" s="3" t="str">
        <x:f>IF(C809="","",IF(AND(R809="Valid",OR(P809="Pass",P809="N/A")),"Complete","Unresolved"))</x:f>
      </x:c>
      <x:c r="R809" s="9" t="str">
        <x:f>IF(C809="","",IF(OR(COUNTIF($C$9:$C$2008,C809)&lt;&gt;1,COUNTIFS($D$9:$D$2008,D809,$E$9:$E$2008,E809)&lt;&gt;1),"Duplicate test",IF(COUNTIF('Taxonomy'!$C$9:$C$108,D809)&lt;&gt;1,"Assessment key",IF(OR(COUNTIF('Taxonomy Rules'!$C$42:$C$68,E809)&lt;&gt;1,F809&lt;&gt;IFERROR(INDEX('Taxonomy Rules'!$D$42:$D$68,MATCH(E809,'Taxonomy Rules'!$C$42:$C$68,0)),""),NOT(OR(IFERROR(INDEX('Taxonomy Rules'!$G$42:$G$68,MATCH(E809,'Taxonomy Rules'!$C$42:$C$68,0)),"")="All supported routes",IFERROR(INDEX('Taxonomy Rules'!$G$42:$G$68,MATCH(E809,'Taxonomy Rules'!$C$42:$C$68,0)),"")=U809,AND(IFERROR(INDEX('Taxonomy Rules'!$G$42:$G$68,MATCH(E809,'Taxonomy Rules'!$C$42:$C$68,0)),"")="Building routes",OR(U809="Building renovation",U809="New building",U809="Building equipment"))))),"Unexpected test","Valid"))))</x:f>
      </x:c>
      <x:c r="S809" s="9" t="str">
        <x:f>IF(C809="","",IFERROR(INDEX('Taxonomy Rules'!$E$42:$E$68,MATCH(E809,'Taxonomy Rules'!$C$42:$C$68,0)),""))</x:f>
      </x:c>
      <x:c r="T809" s="9" t="str">
        <x:f>IF(C809="","",IFERROR(INDEX('Taxonomy Rules'!$F$42:$F$68,MATCH(E809,'Taxonomy Rules'!$C$42:$C$68,0)),""))</x:f>
      </x:c>
      <x:c r="U809" s="9" t="str">
        <x:f>IF(C809="","",IFERROR(INDEX('Taxonomy'!$G$9:$G$108,MATCH(D809,'Taxonomy'!$C$9:$C$108,0)),""))</x:f>
      </x:c>
    </x:row>
    <x:row r="810" ht="44" customHeight="1">
      <x:c r="A810" s="1"/>
      <x:c r="B810" s="1"/>
      <x:c r="C810" s="8"/>
      <x:c r="D810" s="8"/>
      <x:c r="E810" s="8"/>
      <x:c r="F810" s="8"/>
      <x:c r="G810" s="8"/>
      <x:c r="H810" s="8"/>
      <x:c r="I810" s="8"/>
      <x:c r="J810" s="8"/>
      <x:c r="K810" s="8"/>
      <x:c r="L810" s="8"/>
      <x:c r="M810" s="10"/>
      <x:c r="N810" s="10"/>
      <x:c r="O810" s="8"/>
      <x:c r="P810" s="9" t="str">
        <x:f>IF(C810="","",IF(AND(G810="Applicable",H810="Fail"),"Fail",IF(R810&lt;&gt;"Valid","Pending",IF(OR(I810="",K810="",L810="",K810=L810,NOT(ISNUMBER(M810)),NOT(ISNUMBER(N810)),M810&gt;Settings!$F$8,N810&lt;Settings!$F$8,N810&lt;M810),"Pending",IF(AND(G810="Applicable",H810="Pass"),"Pass",IF(AND(G810="N/A",H810="N/A",J810&lt;&gt;"",OR(E810="CEM-FUELS",E810="CEM-CCS",AND(E810="CEM-PLAN",IFERROR(INDEX('Taxonomy'!$M$9:$M$108,MATCH(D810,'Taxonomy'!$C$9:$C$108,0)),"")&lt;&gt;"Amber"),E810="BLD-TIMBER",AND(U810="Building equipment",OR(E810="BLD-WATER",E810="BLD-WASTE",E810="BLD-LAND")),AND(U810="Building renovation",E810="BLD-LAND"))),"N/A","Pending"))))))</x:f>
      </x:c>
      <x:c r="Q810" s="3" t="str">
        <x:f>IF(C810="","",IF(AND(R810="Valid",OR(P810="Pass",P810="N/A")),"Complete","Unresolved"))</x:f>
      </x:c>
      <x:c r="R810" s="9" t="str">
        <x:f>IF(C810="","",IF(OR(COUNTIF($C$9:$C$2008,C810)&lt;&gt;1,COUNTIFS($D$9:$D$2008,D810,$E$9:$E$2008,E810)&lt;&gt;1),"Duplicate test",IF(COUNTIF('Taxonomy'!$C$9:$C$108,D810)&lt;&gt;1,"Assessment key",IF(OR(COUNTIF('Taxonomy Rules'!$C$42:$C$68,E810)&lt;&gt;1,F810&lt;&gt;IFERROR(INDEX('Taxonomy Rules'!$D$42:$D$68,MATCH(E810,'Taxonomy Rules'!$C$42:$C$68,0)),""),NOT(OR(IFERROR(INDEX('Taxonomy Rules'!$G$42:$G$68,MATCH(E810,'Taxonomy Rules'!$C$42:$C$68,0)),"")="All supported routes",IFERROR(INDEX('Taxonomy Rules'!$G$42:$G$68,MATCH(E810,'Taxonomy Rules'!$C$42:$C$68,0)),"")=U810,AND(IFERROR(INDEX('Taxonomy Rules'!$G$42:$G$68,MATCH(E810,'Taxonomy Rules'!$C$42:$C$68,0)),"")="Building routes",OR(U810="Building renovation",U810="New building",U810="Building equipment"))))),"Unexpected test","Valid"))))</x:f>
      </x:c>
      <x:c r="S810" s="9" t="str">
        <x:f>IF(C810="","",IFERROR(INDEX('Taxonomy Rules'!$E$42:$E$68,MATCH(E810,'Taxonomy Rules'!$C$42:$C$68,0)),""))</x:f>
      </x:c>
      <x:c r="T810" s="9" t="str">
        <x:f>IF(C810="","",IFERROR(INDEX('Taxonomy Rules'!$F$42:$F$68,MATCH(E810,'Taxonomy Rules'!$C$42:$C$68,0)),""))</x:f>
      </x:c>
      <x:c r="U810" s="9" t="str">
        <x:f>IF(C810="","",IFERROR(INDEX('Taxonomy'!$G$9:$G$108,MATCH(D810,'Taxonomy'!$C$9:$C$108,0)),""))</x:f>
      </x:c>
    </x:row>
    <x:row r="811" ht="44" customHeight="1">
      <x:c r="A811" s="1"/>
      <x:c r="B811" s="1"/>
      <x:c r="C811" s="8"/>
      <x:c r="D811" s="8"/>
      <x:c r="E811" s="8"/>
      <x:c r="F811" s="8"/>
      <x:c r="G811" s="8"/>
      <x:c r="H811" s="8"/>
      <x:c r="I811" s="8"/>
      <x:c r="J811" s="8"/>
      <x:c r="K811" s="8"/>
      <x:c r="L811" s="8"/>
      <x:c r="M811" s="10"/>
      <x:c r="N811" s="10"/>
      <x:c r="O811" s="8"/>
      <x:c r="P811" s="9" t="str">
        <x:f>IF(C811="","",IF(AND(G811="Applicable",H811="Fail"),"Fail",IF(R811&lt;&gt;"Valid","Pending",IF(OR(I811="",K811="",L811="",K811=L811,NOT(ISNUMBER(M811)),NOT(ISNUMBER(N811)),M811&gt;Settings!$F$8,N811&lt;Settings!$F$8,N811&lt;M811),"Pending",IF(AND(G811="Applicable",H811="Pass"),"Pass",IF(AND(G811="N/A",H811="N/A",J811&lt;&gt;"",OR(E811="CEM-FUELS",E811="CEM-CCS",AND(E811="CEM-PLAN",IFERROR(INDEX('Taxonomy'!$M$9:$M$108,MATCH(D811,'Taxonomy'!$C$9:$C$108,0)),"")&lt;&gt;"Amber"),E811="BLD-TIMBER",AND(U811="Building equipment",OR(E811="BLD-WATER",E811="BLD-WASTE",E811="BLD-LAND")),AND(U811="Building renovation",E811="BLD-LAND"))),"N/A","Pending"))))))</x:f>
      </x:c>
      <x:c r="Q811" s="3" t="str">
        <x:f>IF(C811="","",IF(AND(R811="Valid",OR(P811="Pass",P811="N/A")),"Complete","Unresolved"))</x:f>
      </x:c>
      <x:c r="R811" s="9" t="str">
        <x:f>IF(C811="","",IF(OR(COUNTIF($C$9:$C$2008,C811)&lt;&gt;1,COUNTIFS($D$9:$D$2008,D811,$E$9:$E$2008,E811)&lt;&gt;1),"Duplicate test",IF(COUNTIF('Taxonomy'!$C$9:$C$108,D811)&lt;&gt;1,"Assessment key",IF(OR(COUNTIF('Taxonomy Rules'!$C$42:$C$68,E811)&lt;&gt;1,F811&lt;&gt;IFERROR(INDEX('Taxonomy Rules'!$D$42:$D$68,MATCH(E811,'Taxonomy Rules'!$C$42:$C$68,0)),""),NOT(OR(IFERROR(INDEX('Taxonomy Rules'!$G$42:$G$68,MATCH(E811,'Taxonomy Rules'!$C$42:$C$68,0)),"")="All supported routes",IFERROR(INDEX('Taxonomy Rules'!$G$42:$G$68,MATCH(E811,'Taxonomy Rules'!$C$42:$C$68,0)),"")=U811,AND(IFERROR(INDEX('Taxonomy Rules'!$G$42:$G$68,MATCH(E811,'Taxonomy Rules'!$C$42:$C$68,0)),"")="Building routes",OR(U811="Building renovation",U811="New building",U811="Building equipment"))))),"Unexpected test","Valid"))))</x:f>
      </x:c>
      <x:c r="S811" s="9" t="str">
        <x:f>IF(C811="","",IFERROR(INDEX('Taxonomy Rules'!$E$42:$E$68,MATCH(E811,'Taxonomy Rules'!$C$42:$C$68,0)),""))</x:f>
      </x:c>
      <x:c r="T811" s="9" t="str">
        <x:f>IF(C811="","",IFERROR(INDEX('Taxonomy Rules'!$F$42:$F$68,MATCH(E811,'Taxonomy Rules'!$C$42:$C$68,0)),""))</x:f>
      </x:c>
      <x:c r="U811" s="9" t="str">
        <x:f>IF(C811="","",IFERROR(INDEX('Taxonomy'!$G$9:$G$108,MATCH(D811,'Taxonomy'!$C$9:$C$108,0)),""))</x:f>
      </x:c>
    </x:row>
    <x:row r="812" ht="44" customHeight="1">
      <x:c r="A812" s="1"/>
      <x:c r="B812" s="1"/>
      <x:c r="C812" s="8"/>
      <x:c r="D812" s="8"/>
      <x:c r="E812" s="8"/>
      <x:c r="F812" s="8"/>
      <x:c r="G812" s="8"/>
      <x:c r="H812" s="8"/>
      <x:c r="I812" s="8"/>
      <x:c r="J812" s="8"/>
      <x:c r="K812" s="8"/>
      <x:c r="L812" s="8"/>
      <x:c r="M812" s="10"/>
      <x:c r="N812" s="10"/>
      <x:c r="O812" s="8"/>
      <x:c r="P812" s="9" t="str">
        <x:f>IF(C812="","",IF(AND(G812="Applicable",H812="Fail"),"Fail",IF(R812&lt;&gt;"Valid","Pending",IF(OR(I812="",K812="",L812="",K812=L812,NOT(ISNUMBER(M812)),NOT(ISNUMBER(N812)),M812&gt;Settings!$F$8,N812&lt;Settings!$F$8,N812&lt;M812),"Pending",IF(AND(G812="Applicable",H812="Pass"),"Pass",IF(AND(G812="N/A",H812="N/A",J812&lt;&gt;"",OR(E812="CEM-FUELS",E812="CEM-CCS",AND(E812="CEM-PLAN",IFERROR(INDEX('Taxonomy'!$M$9:$M$108,MATCH(D812,'Taxonomy'!$C$9:$C$108,0)),"")&lt;&gt;"Amber"),E812="BLD-TIMBER",AND(U812="Building equipment",OR(E812="BLD-WATER",E812="BLD-WASTE",E812="BLD-LAND")),AND(U812="Building renovation",E812="BLD-LAND"))),"N/A","Pending"))))))</x:f>
      </x:c>
      <x:c r="Q812" s="3" t="str">
        <x:f>IF(C812="","",IF(AND(R812="Valid",OR(P812="Pass",P812="N/A")),"Complete","Unresolved"))</x:f>
      </x:c>
      <x:c r="R812" s="9" t="str">
        <x:f>IF(C812="","",IF(OR(COUNTIF($C$9:$C$2008,C812)&lt;&gt;1,COUNTIFS($D$9:$D$2008,D812,$E$9:$E$2008,E812)&lt;&gt;1),"Duplicate test",IF(COUNTIF('Taxonomy'!$C$9:$C$108,D812)&lt;&gt;1,"Assessment key",IF(OR(COUNTIF('Taxonomy Rules'!$C$42:$C$68,E812)&lt;&gt;1,F812&lt;&gt;IFERROR(INDEX('Taxonomy Rules'!$D$42:$D$68,MATCH(E812,'Taxonomy Rules'!$C$42:$C$68,0)),""),NOT(OR(IFERROR(INDEX('Taxonomy Rules'!$G$42:$G$68,MATCH(E812,'Taxonomy Rules'!$C$42:$C$68,0)),"")="All supported routes",IFERROR(INDEX('Taxonomy Rules'!$G$42:$G$68,MATCH(E812,'Taxonomy Rules'!$C$42:$C$68,0)),"")=U812,AND(IFERROR(INDEX('Taxonomy Rules'!$G$42:$G$68,MATCH(E812,'Taxonomy Rules'!$C$42:$C$68,0)),"")="Building routes",OR(U812="Building renovation",U812="New building",U812="Building equipment"))))),"Unexpected test","Valid"))))</x:f>
      </x:c>
      <x:c r="S812" s="9" t="str">
        <x:f>IF(C812="","",IFERROR(INDEX('Taxonomy Rules'!$E$42:$E$68,MATCH(E812,'Taxonomy Rules'!$C$42:$C$68,0)),""))</x:f>
      </x:c>
      <x:c r="T812" s="9" t="str">
        <x:f>IF(C812="","",IFERROR(INDEX('Taxonomy Rules'!$F$42:$F$68,MATCH(E812,'Taxonomy Rules'!$C$42:$C$68,0)),""))</x:f>
      </x:c>
      <x:c r="U812" s="9" t="str">
        <x:f>IF(C812="","",IFERROR(INDEX('Taxonomy'!$G$9:$G$108,MATCH(D812,'Taxonomy'!$C$9:$C$108,0)),""))</x:f>
      </x:c>
    </x:row>
    <x:row r="813" ht="44" customHeight="1">
      <x:c r="A813" s="1"/>
      <x:c r="B813" s="1"/>
      <x:c r="C813" s="8"/>
      <x:c r="D813" s="8"/>
      <x:c r="E813" s="8"/>
      <x:c r="F813" s="8"/>
      <x:c r="G813" s="8"/>
      <x:c r="H813" s="8"/>
      <x:c r="I813" s="8"/>
      <x:c r="J813" s="8"/>
      <x:c r="K813" s="8"/>
      <x:c r="L813" s="8"/>
      <x:c r="M813" s="10"/>
      <x:c r="N813" s="10"/>
      <x:c r="O813" s="8"/>
      <x:c r="P813" s="9" t="str">
        <x:f>IF(C813="","",IF(AND(G813="Applicable",H813="Fail"),"Fail",IF(R813&lt;&gt;"Valid","Pending",IF(OR(I813="",K813="",L813="",K813=L813,NOT(ISNUMBER(M813)),NOT(ISNUMBER(N813)),M813&gt;Settings!$F$8,N813&lt;Settings!$F$8,N813&lt;M813),"Pending",IF(AND(G813="Applicable",H813="Pass"),"Pass",IF(AND(G813="N/A",H813="N/A",J813&lt;&gt;"",OR(E813="CEM-FUELS",E813="CEM-CCS",AND(E813="CEM-PLAN",IFERROR(INDEX('Taxonomy'!$M$9:$M$108,MATCH(D813,'Taxonomy'!$C$9:$C$108,0)),"")&lt;&gt;"Amber"),E813="BLD-TIMBER",AND(U813="Building equipment",OR(E813="BLD-WATER",E813="BLD-WASTE",E813="BLD-LAND")),AND(U813="Building renovation",E813="BLD-LAND"))),"N/A","Pending"))))))</x:f>
      </x:c>
      <x:c r="Q813" s="3" t="str">
        <x:f>IF(C813="","",IF(AND(R813="Valid",OR(P813="Pass",P813="N/A")),"Complete","Unresolved"))</x:f>
      </x:c>
      <x:c r="R813" s="9" t="str">
        <x:f>IF(C813="","",IF(OR(COUNTIF($C$9:$C$2008,C813)&lt;&gt;1,COUNTIFS($D$9:$D$2008,D813,$E$9:$E$2008,E813)&lt;&gt;1),"Duplicate test",IF(COUNTIF('Taxonomy'!$C$9:$C$108,D813)&lt;&gt;1,"Assessment key",IF(OR(COUNTIF('Taxonomy Rules'!$C$42:$C$68,E813)&lt;&gt;1,F813&lt;&gt;IFERROR(INDEX('Taxonomy Rules'!$D$42:$D$68,MATCH(E813,'Taxonomy Rules'!$C$42:$C$68,0)),""),NOT(OR(IFERROR(INDEX('Taxonomy Rules'!$G$42:$G$68,MATCH(E813,'Taxonomy Rules'!$C$42:$C$68,0)),"")="All supported routes",IFERROR(INDEX('Taxonomy Rules'!$G$42:$G$68,MATCH(E813,'Taxonomy Rules'!$C$42:$C$68,0)),"")=U813,AND(IFERROR(INDEX('Taxonomy Rules'!$G$42:$G$68,MATCH(E813,'Taxonomy Rules'!$C$42:$C$68,0)),"")="Building routes",OR(U813="Building renovation",U813="New building",U813="Building equipment"))))),"Unexpected test","Valid"))))</x:f>
      </x:c>
      <x:c r="S813" s="9" t="str">
        <x:f>IF(C813="","",IFERROR(INDEX('Taxonomy Rules'!$E$42:$E$68,MATCH(E813,'Taxonomy Rules'!$C$42:$C$68,0)),""))</x:f>
      </x:c>
      <x:c r="T813" s="9" t="str">
        <x:f>IF(C813="","",IFERROR(INDEX('Taxonomy Rules'!$F$42:$F$68,MATCH(E813,'Taxonomy Rules'!$C$42:$C$68,0)),""))</x:f>
      </x:c>
      <x:c r="U813" s="9" t="str">
        <x:f>IF(C813="","",IFERROR(INDEX('Taxonomy'!$G$9:$G$108,MATCH(D813,'Taxonomy'!$C$9:$C$108,0)),""))</x:f>
      </x:c>
    </x:row>
    <x:row r="814" ht="44" customHeight="1">
      <x:c r="A814" s="1"/>
      <x:c r="B814" s="1"/>
      <x:c r="C814" s="8"/>
      <x:c r="D814" s="8"/>
      <x:c r="E814" s="8"/>
      <x:c r="F814" s="8"/>
      <x:c r="G814" s="8"/>
      <x:c r="H814" s="8"/>
      <x:c r="I814" s="8"/>
      <x:c r="J814" s="8"/>
      <x:c r="K814" s="8"/>
      <x:c r="L814" s="8"/>
      <x:c r="M814" s="10"/>
      <x:c r="N814" s="10"/>
      <x:c r="O814" s="8"/>
      <x:c r="P814" s="9" t="str">
        <x:f>IF(C814="","",IF(AND(G814="Applicable",H814="Fail"),"Fail",IF(R814&lt;&gt;"Valid","Pending",IF(OR(I814="",K814="",L814="",K814=L814,NOT(ISNUMBER(M814)),NOT(ISNUMBER(N814)),M814&gt;Settings!$F$8,N814&lt;Settings!$F$8,N814&lt;M814),"Pending",IF(AND(G814="Applicable",H814="Pass"),"Pass",IF(AND(G814="N/A",H814="N/A",J814&lt;&gt;"",OR(E814="CEM-FUELS",E814="CEM-CCS",AND(E814="CEM-PLAN",IFERROR(INDEX('Taxonomy'!$M$9:$M$108,MATCH(D814,'Taxonomy'!$C$9:$C$108,0)),"")&lt;&gt;"Amber"),E814="BLD-TIMBER",AND(U814="Building equipment",OR(E814="BLD-WATER",E814="BLD-WASTE",E814="BLD-LAND")),AND(U814="Building renovation",E814="BLD-LAND"))),"N/A","Pending"))))))</x:f>
      </x:c>
      <x:c r="Q814" s="3" t="str">
        <x:f>IF(C814="","",IF(AND(R814="Valid",OR(P814="Pass",P814="N/A")),"Complete","Unresolved"))</x:f>
      </x:c>
      <x:c r="R814" s="9" t="str">
        <x:f>IF(C814="","",IF(OR(COUNTIF($C$9:$C$2008,C814)&lt;&gt;1,COUNTIFS($D$9:$D$2008,D814,$E$9:$E$2008,E814)&lt;&gt;1),"Duplicate test",IF(COUNTIF('Taxonomy'!$C$9:$C$108,D814)&lt;&gt;1,"Assessment key",IF(OR(COUNTIF('Taxonomy Rules'!$C$42:$C$68,E814)&lt;&gt;1,F814&lt;&gt;IFERROR(INDEX('Taxonomy Rules'!$D$42:$D$68,MATCH(E814,'Taxonomy Rules'!$C$42:$C$68,0)),""),NOT(OR(IFERROR(INDEX('Taxonomy Rules'!$G$42:$G$68,MATCH(E814,'Taxonomy Rules'!$C$42:$C$68,0)),"")="All supported routes",IFERROR(INDEX('Taxonomy Rules'!$G$42:$G$68,MATCH(E814,'Taxonomy Rules'!$C$42:$C$68,0)),"")=U814,AND(IFERROR(INDEX('Taxonomy Rules'!$G$42:$G$68,MATCH(E814,'Taxonomy Rules'!$C$42:$C$68,0)),"")="Building routes",OR(U814="Building renovation",U814="New building",U814="Building equipment"))))),"Unexpected test","Valid"))))</x:f>
      </x:c>
      <x:c r="S814" s="9" t="str">
        <x:f>IF(C814="","",IFERROR(INDEX('Taxonomy Rules'!$E$42:$E$68,MATCH(E814,'Taxonomy Rules'!$C$42:$C$68,0)),""))</x:f>
      </x:c>
      <x:c r="T814" s="9" t="str">
        <x:f>IF(C814="","",IFERROR(INDEX('Taxonomy Rules'!$F$42:$F$68,MATCH(E814,'Taxonomy Rules'!$C$42:$C$68,0)),""))</x:f>
      </x:c>
      <x:c r="U814" s="9" t="str">
        <x:f>IF(C814="","",IFERROR(INDEX('Taxonomy'!$G$9:$G$108,MATCH(D814,'Taxonomy'!$C$9:$C$108,0)),""))</x:f>
      </x:c>
    </x:row>
    <x:row r="815" ht="44" customHeight="1">
      <x:c r="A815" s="1"/>
      <x:c r="B815" s="1"/>
      <x:c r="C815" s="8"/>
      <x:c r="D815" s="8"/>
      <x:c r="E815" s="8"/>
      <x:c r="F815" s="8"/>
      <x:c r="G815" s="8"/>
      <x:c r="H815" s="8"/>
      <x:c r="I815" s="8"/>
      <x:c r="J815" s="8"/>
      <x:c r="K815" s="8"/>
      <x:c r="L815" s="8"/>
      <x:c r="M815" s="10"/>
      <x:c r="N815" s="10"/>
      <x:c r="O815" s="8"/>
      <x:c r="P815" s="9" t="str">
        <x:f>IF(C815="","",IF(AND(G815="Applicable",H815="Fail"),"Fail",IF(R815&lt;&gt;"Valid","Pending",IF(OR(I815="",K815="",L815="",K815=L815,NOT(ISNUMBER(M815)),NOT(ISNUMBER(N815)),M815&gt;Settings!$F$8,N815&lt;Settings!$F$8,N815&lt;M815),"Pending",IF(AND(G815="Applicable",H815="Pass"),"Pass",IF(AND(G815="N/A",H815="N/A",J815&lt;&gt;"",OR(E815="CEM-FUELS",E815="CEM-CCS",AND(E815="CEM-PLAN",IFERROR(INDEX('Taxonomy'!$M$9:$M$108,MATCH(D815,'Taxonomy'!$C$9:$C$108,0)),"")&lt;&gt;"Amber"),E815="BLD-TIMBER",AND(U815="Building equipment",OR(E815="BLD-WATER",E815="BLD-WASTE",E815="BLD-LAND")),AND(U815="Building renovation",E815="BLD-LAND"))),"N/A","Pending"))))))</x:f>
      </x:c>
      <x:c r="Q815" s="3" t="str">
        <x:f>IF(C815="","",IF(AND(R815="Valid",OR(P815="Pass",P815="N/A")),"Complete","Unresolved"))</x:f>
      </x:c>
      <x:c r="R815" s="9" t="str">
        <x:f>IF(C815="","",IF(OR(COUNTIF($C$9:$C$2008,C815)&lt;&gt;1,COUNTIFS($D$9:$D$2008,D815,$E$9:$E$2008,E815)&lt;&gt;1),"Duplicate test",IF(COUNTIF('Taxonomy'!$C$9:$C$108,D815)&lt;&gt;1,"Assessment key",IF(OR(COUNTIF('Taxonomy Rules'!$C$42:$C$68,E815)&lt;&gt;1,F815&lt;&gt;IFERROR(INDEX('Taxonomy Rules'!$D$42:$D$68,MATCH(E815,'Taxonomy Rules'!$C$42:$C$68,0)),""),NOT(OR(IFERROR(INDEX('Taxonomy Rules'!$G$42:$G$68,MATCH(E815,'Taxonomy Rules'!$C$42:$C$68,0)),"")="All supported routes",IFERROR(INDEX('Taxonomy Rules'!$G$42:$G$68,MATCH(E815,'Taxonomy Rules'!$C$42:$C$68,0)),"")=U815,AND(IFERROR(INDEX('Taxonomy Rules'!$G$42:$G$68,MATCH(E815,'Taxonomy Rules'!$C$42:$C$68,0)),"")="Building routes",OR(U815="Building renovation",U815="New building",U815="Building equipment"))))),"Unexpected test","Valid"))))</x:f>
      </x:c>
      <x:c r="S815" s="9" t="str">
        <x:f>IF(C815="","",IFERROR(INDEX('Taxonomy Rules'!$E$42:$E$68,MATCH(E815,'Taxonomy Rules'!$C$42:$C$68,0)),""))</x:f>
      </x:c>
      <x:c r="T815" s="9" t="str">
        <x:f>IF(C815="","",IFERROR(INDEX('Taxonomy Rules'!$F$42:$F$68,MATCH(E815,'Taxonomy Rules'!$C$42:$C$68,0)),""))</x:f>
      </x:c>
      <x:c r="U815" s="9" t="str">
        <x:f>IF(C815="","",IFERROR(INDEX('Taxonomy'!$G$9:$G$108,MATCH(D815,'Taxonomy'!$C$9:$C$108,0)),""))</x:f>
      </x:c>
    </x:row>
    <x:row r="816" ht="44" customHeight="1">
      <x:c r="A816" s="1"/>
      <x:c r="B816" s="1"/>
      <x:c r="C816" s="8"/>
      <x:c r="D816" s="8"/>
      <x:c r="E816" s="8"/>
      <x:c r="F816" s="8"/>
      <x:c r="G816" s="8"/>
      <x:c r="H816" s="8"/>
      <x:c r="I816" s="8"/>
      <x:c r="J816" s="8"/>
      <x:c r="K816" s="8"/>
      <x:c r="L816" s="8"/>
      <x:c r="M816" s="10"/>
      <x:c r="N816" s="10"/>
      <x:c r="O816" s="8"/>
      <x:c r="P816" s="9" t="str">
        <x:f>IF(C816="","",IF(AND(G816="Applicable",H816="Fail"),"Fail",IF(R816&lt;&gt;"Valid","Pending",IF(OR(I816="",K816="",L816="",K816=L816,NOT(ISNUMBER(M816)),NOT(ISNUMBER(N816)),M816&gt;Settings!$F$8,N816&lt;Settings!$F$8,N816&lt;M816),"Pending",IF(AND(G816="Applicable",H816="Pass"),"Pass",IF(AND(G816="N/A",H816="N/A",J816&lt;&gt;"",OR(E816="CEM-FUELS",E816="CEM-CCS",AND(E816="CEM-PLAN",IFERROR(INDEX('Taxonomy'!$M$9:$M$108,MATCH(D816,'Taxonomy'!$C$9:$C$108,0)),"")&lt;&gt;"Amber"),E816="BLD-TIMBER",AND(U816="Building equipment",OR(E816="BLD-WATER",E816="BLD-WASTE",E816="BLD-LAND")),AND(U816="Building renovation",E816="BLD-LAND"))),"N/A","Pending"))))))</x:f>
      </x:c>
      <x:c r="Q816" s="3" t="str">
        <x:f>IF(C816="","",IF(AND(R816="Valid",OR(P816="Pass",P816="N/A")),"Complete","Unresolved"))</x:f>
      </x:c>
      <x:c r="R816" s="9" t="str">
        <x:f>IF(C816="","",IF(OR(COUNTIF($C$9:$C$2008,C816)&lt;&gt;1,COUNTIFS($D$9:$D$2008,D816,$E$9:$E$2008,E816)&lt;&gt;1),"Duplicate test",IF(COUNTIF('Taxonomy'!$C$9:$C$108,D816)&lt;&gt;1,"Assessment key",IF(OR(COUNTIF('Taxonomy Rules'!$C$42:$C$68,E816)&lt;&gt;1,F816&lt;&gt;IFERROR(INDEX('Taxonomy Rules'!$D$42:$D$68,MATCH(E816,'Taxonomy Rules'!$C$42:$C$68,0)),""),NOT(OR(IFERROR(INDEX('Taxonomy Rules'!$G$42:$G$68,MATCH(E816,'Taxonomy Rules'!$C$42:$C$68,0)),"")="All supported routes",IFERROR(INDEX('Taxonomy Rules'!$G$42:$G$68,MATCH(E816,'Taxonomy Rules'!$C$42:$C$68,0)),"")=U816,AND(IFERROR(INDEX('Taxonomy Rules'!$G$42:$G$68,MATCH(E816,'Taxonomy Rules'!$C$42:$C$68,0)),"")="Building routes",OR(U816="Building renovation",U816="New building",U816="Building equipment"))))),"Unexpected test","Valid"))))</x:f>
      </x:c>
      <x:c r="S816" s="9" t="str">
        <x:f>IF(C816="","",IFERROR(INDEX('Taxonomy Rules'!$E$42:$E$68,MATCH(E816,'Taxonomy Rules'!$C$42:$C$68,0)),""))</x:f>
      </x:c>
      <x:c r="T816" s="9" t="str">
        <x:f>IF(C816="","",IFERROR(INDEX('Taxonomy Rules'!$F$42:$F$68,MATCH(E816,'Taxonomy Rules'!$C$42:$C$68,0)),""))</x:f>
      </x:c>
      <x:c r="U816" s="9" t="str">
        <x:f>IF(C816="","",IFERROR(INDEX('Taxonomy'!$G$9:$G$108,MATCH(D816,'Taxonomy'!$C$9:$C$108,0)),""))</x:f>
      </x:c>
    </x:row>
    <x:row r="817" ht="44" customHeight="1">
      <x:c r="A817" s="1"/>
      <x:c r="B817" s="1"/>
      <x:c r="C817" s="8"/>
      <x:c r="D817" s="8"/>
      <x:c r="E817" s="8"/>
      <x:c r="F817" s="8"/>
      <x:c r="G817" s="8"/>
      <x:c r="H817" s="8"/>
      <x:c r="I817" s="8"/>
      <x:c r="J817" s="8"/>
      <x:c r="K817" s="8"/>
      <x:c r="L817" s="8"/>
      <x:c r="M817" s="10"/>
      <x:c r="N817" s="10"/>
      <x:c r="O817" s="8"/>
      <x:c r="P817" s="9" t="str">
        <x:f>IF(C817="","",IF(AND(G817="Applicable",H817="Fail"),"Fail",IF(R817&lt;&gt;"Valid","Pending",IF(OR(I817="",K817="",L817="",K817=L817,NOT(ISNUMBER(M817)),NOT(ISNUMBER(N817)),M817&gt;Settings!$F$8,N817&lt;Settings!$F$8,N817&lt;M817),"Pending",IF(AND(G817="Applicable",H817="Pass"),"Pass",IF(AND(G817="N/A",H817="N/A",J817&lt;&gt;"",OR(E817="CEM-FUELS",E817="CEM-CCS",AND(E817="CEM-PLAN",IFERROR(INDEX('Taxonomy'!$M$9:$M$108,MATCH(D817,'Taxonomy'!$C$9:$C$108,0)),"")&lt;&gt;"Amber"),E817="BLD-TIMBER",AND(U817="Building equipment",OR(E817="BLD-WATER",E817="BLD-WASTE",E817="BLD-LAND")),AND(U817="Building renovation",E817="BLD-LAND"))),"N/A","Pending"))))))</x:f>
      </x:c>
      <x:c r="Q817" s="3" t="str">
        <x:f>IF(C817="","",IF(AND(R817="Valid",OR(P817="Pass",P817="N/A")),"Complete","Unresolved"))</x:f>
      </x:c>
      <x:c r="R817" s="9" t="str">
        <x:f>IF(C817="","",IF(OR(COUNTIF($C$9:$C$2008,C817)&lt;&gt;1,COUNTIFS($D$9:$D$2008,D817,$E$9:$E$2008,E817)&lt;&gt;1),"Duplicate test",IF(COUNTIF('Taxonomy'!$C$9:$C$108,D817)&lt;&gt;1,"Assessment key",IF(OR(COUNTIF('Taxonomy Rules'!$C$42:$C$68,E817)&lt;&gt;1,F817&lt;&gt;IFERROR(INDEX('Taxonomy Rules'!$D$42:$D$68,MATCH(E817,'Taxonomy Rules'!$C$42:$C$68,0)),""),NOT(OR(IFERROR(INDEX('Taxonomy Rules'!$G$42:$G$68,MATCH(E817,'Taxonomy Rules'!$C$42:$C$68,0)),"")="All supported routes",IFERROR(INDEX('Taxonomy Rules'!$G$42:$G$68,MATCH(E817,'Taxonomy Rules'!$C$42:$C$68,0)),"")=U817,AND(IFERROR(INDEX('Taxonomy Rules'!$G$42:$G$68,MATCH(E817,'Taxonomy Rules'!$C$42:$C$68,0)),"")="Building routes",OR(U817="Building renovation",U817="New building",U817="Building equipment"))))),"Unexpected test","Valid"))))</x:f>
      </x:c>
      <x:c r="S817" s="9" t="str">
        <x:f>IF(C817="","",IFERROR(INDEX('Taxonomy Rules'!$E$42:$E$68,MATCH(E817,'Taxonomy Rules'!$C$42:$C$68,0)),""))</x:f>
      </x:c>
      <x:c r="T817" s="9" t="str">
        <x:f>IF(C817="","",IFERROR(INDEX('Taxonomy Rules'!$F$42:$F$68,MATCH(E817,'Taxonomy Rules'!$C$42:$C$68,0)),""))</x:f>
      </x:c>
      <x:c r="U817" s="9" t="str">
        <x:f>IF(C817="","",IFERROR(INDEX('Taxonomy'!$G$9:$G$108,MATCH(D817,'Taxonomy'!$C$9:$C$108,0)),""))</x:f>
      </x:c>
    </x:row>
    <x:row r="818" ht="44" customHeight="1">
      <x:c r="A818" s="1"/>
      <x:c r="B818" s="1"/>
      <x:c r="C818" s="8"/>
      <x:c r="D818" s="8"/>
      <x:c r="E818" s="8"/>
      <x:c r="F818" s="8"/>
      <x:c r="G818" s="8"/>
      <x:c r="H818" s="8"/>
      <x:c r="I818" s="8"/>
      <x:c r="J818" s="8"/>
      <x:c r="K818" s="8"/>
      <x:c r="L818" s="8"/>
      <x:c r="M818" s="10"/>
      <x:c r="N818" s="10"/>
      <x:c r="O818" s="8"/>
      <x:c r="P818" s="9" t="str">
        <x:f>IF(C818="","",IF(AND(G818="Applicable",H818="Fail"),"Fail",IF(R818&lt;&gt;"Valid","Pending",IF(OR(I818="",K818="",L818="",K818=L818,NOT(ISNUMBER(M818)),NOT(ISNUMBER(N818)),M818&gt;Settings!$F$8,N818&lt;Settings!$F$8,N818&lt;M818),"Pending",IF(AND(G818="Applicable",H818="Pass"),"Pass",IF(AND(G818="N/A",H818="N/A",J818&lt;&gt;"",OR(E818="CEM-FUELS",E818="CEM-CCS",AND(E818="CEM-PLAN",IFERROR(INDEX('Taxonomy'!$M$9:$M$108,MATCH(D818,'Taxonomy'!$C$9:$C$108,0)),"")&lt;&gt;"Amber"),E818="BLD-TIMBER",AND(U818="Building equipment",OR(E818="BLD-WATER",E818="BLD-WASTE",E818="BLD-LAND")),AND(U818="Building renovation",E818="BLD-LAND"))),"N/A","Pending"))))))</x:f>
      </x:c>
      <x:c r="Q818" s="3" t="str">
        <x:f>IF(C818="","",IF(AND(R818="Valid",OR(P818="Pass",P818="N/A")),"Complete","Unresolved"))</x:f>
      </x:c>
      <x:c r="R818" s="9" t="str">
        <x:f>IF(C818="","",IF(OR(COUNTIF($C$9:$C$2008,C818)&lt;&gt;1,COUNTIFS($D$9:$D$2008,D818,$E$9:$E$2008,E818)&lt;&gt;1),"Duplicate test",IF(COUNTIF('Taxonomy'!$C$9:$C$108,D818)&lt;&gt;1,"Assessment key",IF(OR(COUNTIF('Taxonomy Rules'!$C$42:$C$68,E818)&lt;&gt;1,F818&lt;&gt;IFERROR(INDEX('Taxonomy Rules'!$D$42:$D$68,MATCH(E818,'Taxonomy Rules'!$C$42:$C$68,0)),""),NOT(OR(IFERROR(INDEX('Taxonomy Rules'!$G$42:$G$68,MATCH(E818,'Taxonomy Rules'!$C$42:$C$68,0)),"")="All supported routes",IFERROR(INDEX('Taxonomy Rules'!$G$42:$G$68,MATCH(E818,'Taxonomy Rules'!$C$42:$C$68,0)),"")=U818,AND(IFERROR(INDEX('Taxonomy Rules'!$G$42:$G$68,MATCH(E818,'Taxonomy Rules'!$C$42:$C$68,0)),"")="Building routes",OR(U818="Building renovation",U818="New building",U818="Building equipment"))))),"Unexpected test","Valid"))))</x:f>
      </x:c>
      <x:c r="S818" s="9" t="str">
        <x:f>IF(C818="","",IFERROR(INDEX('Taxonomy Rules'!$E$42:$E$68,MATCH(E818,'Taxonomy Rules'!$C$42:$C$68,0)),""))</x:f>
      </x:c>
      <x:c r="T818" s="9" t="str">
        <x:f>IF(C818="","",IFERROR(INDEX('Taxonomy Rules'!$F$42:$F$68,MATCH(E818,'Taxonomy Rules'!$C$42:$C$68,0)),""))</x:f>
      </x:c>
      <x:c r="U818" s="9" t="str">
        <x:f>IF(C818="","",IFERROR(INDEX('Taxonomy'!$G$9:$G$108,MATCH(D818,'Taxonomy'!$C$9:$C$108,0)),""))</x:f>
      </x:c>
    </x:row>
    <x:row r="819" ht="44" customHeight="1">
      <x:c r="A819" s="1"/>
      <x:c r="B819" s="1"/>
      <x:c r="C819" s="8"/>
      <x:c r="D819" s="8"/>
      <x:c r="E819" s="8"/>
      <x:c r="F819" s="8"/>
      <x:c r="G819" s="8"/>
      <x:c r="H819" s="8"/>
      <x:c r="I819" s="8"/>
      <x:c r="J819" s="8"/>
      <x:c r="K819" s="8"/>
      <x:c r="L819" s="8"/>
      <x:c r="M819" s="10"/>
      <x:c r="N819" s="10"/>
      <x:c r="O819" s="8"/>
      <x:c r="P819" s="9" t="str">
        <x:f>IF(C819="","",IF(AND(G819="Applicable",H819="Fail"),"Fail",IF(R819&lt;&gt;"Valid","Pending",IF(OR(I819="",K819="",L819="",K819=L819,NOT(ISNUMBER(M819)),NOT(ISNUMBER(N819)),M819&gt;Settings!$F$8,N819&lt;Settings!$F$8,N819&lt;M819),"Pending",IF(AND(G819="Applicable",H819="Pass"),"Pass",IF(AND(G819="N/A",H819="N/A",J819&lt;&gt;"",OR(E819="CEM-FUELS",E819="CEM-CCS",AND(E819="CEM-PLAN",IFERROR(INDEX('Taxonomy'!$M$9:$M$108,MATCH(D819,'Taxonomy'!$C$9:$C$108,0)),"")&lt;&gt;"Amber"),E819="BLD-TIMBER",AND(U819="Building equipment",OR(E819="BLD-WATER",E819="BLD-WASTE",E819="BLD-LAND")),AND(U819="Building renovation",E819="BLD-LAND"))),"N/A","Pending"))))))</x:f>
      </x:c>
      <x:c r="Q819" s="3" t="str">
        <x:f>IF(C819="","",IF(AND(R819="Valid",OR(P819="Pass",P819="N/A")),"Complete","Unresolved"))</x:f>
      </x:c>
      <x:c r="R819" s="9" t="str">
        <x:f>IF(C819="","",IF(OR(COUNTIF($C$9:$C$2008,C819)&lt;&gt;1,COUNTIFS($D$9:$D$2008,D819,$E$9:$E$2008,E819)&lt;&gt;1),"Duplicate test",IF(COUNTIF('Taxonomy'!$C$9:$C$108,D819)&lt;&gt;1,"Assessment key",IF(OR(COUNTIF('Taxonomy Rules'!$C$42:$C$68,E819)&lt;&gt;1,F819&lt;&gt;IFERROR(INDEX('Taxonomy Rules'!$D$42:$D$68,MATCH(E819,'Taxonomy Rules'!$C$42:$C$68,0)),""),NOT(OR(IFERROR(INDEX('Taxonomy Rules'!$G$42:$G$68,MATCH(E819,'Taxonomy Rules'!$C$42:$C$68,0)),"")="All supported routes",IFERROR(INDEX('Taxonomy Rules'!$G$42:$G$68,MATCH(E819,'Taxonomy Rules'!$C$42:$C$68,0)),"")=U819,AND(IFERROR(INDEX('Taxonomy Rules'!$G$42:$G$68,MATCH(E819,'Taxonomy Rules'!$C$42:$C$68,0)),"")="Building routes",OR(U819="Building renovation",U819="New building",U819="Building equipment"))))),"Unexpected test","Valid"))))</x:f>
      </x:c>
      <x:c r="S819" s="9" t="str">
        <x:f>IF(C819="","",IFERROR(INDEX('Taxonomy Rules'!$E$42:$E$68,MATCH(E819,'Taxonomy Rules'!$C$42:$C$68,0)),""))</x:f>
      </x:c>
      <x:c r="T819" s="9" t="str">
        <x:f>IF(C819="","",IFERROR(INDEX('Taxonomy Rules'!$F$42:$F$68,MATCH(E819,'Taxonomy Rules'!$C$42:$C$68,0)),""))</x:f>
      </x:c>
      <x:c r="U819" s="9" t="str">
        <x:f>IF(C819="","",IFERROR(INDEX('Taxonomy'!$G$9:$G$108,MATCH(D819,'Taxonomy'!$C$9:$C$108,0)),""))</x:f>
      </x:c>
    </x:row>
    <x:row r="820" ht="44" customHeight="1">
      <x:c r="A820" s="1"/>
      <x:c r="B820" s="1"/>
      <x:c r="C820" s="8"/>
      <x:c r="D820" s="8"/>
      <x:c r="E820" s="8"/>
      <x:c r="F820" s="8"/>
      <x:c r="G820" s="8"/>
      <x:c r="H820" s="8"/>
      <x:c r="I820" s="8"/>
      <x:c r="J820" s="8"/>
      <x:c r="K820" s="8"/>
      <x:c r="L820" s="8"/>
      <x:c r="M820" s="10"/>
      <x:c r="N820" s="10"/>
      <x:c r="O820" s="8"/>
      <x:c r="P820" s="9" t="str">
        <x:f>IF(C820="","",IF(AND(G820="Applicable",H820="Fail"),"Fail",IF(R820&lt;&gt;"Valid","Pending",IF(OR(I820="",K820="",L820="",K820=L820,NOT(ISNUMBER(M820)),NOT(ISNUMBER(N820)),M820&gt;Settings!$F$8,N820&lt;Settings!$F$8,N820&lt;M820),"Pending",IF(AND(G820="Applicable",H820="Pass"),"Pass",IF(AND(G820="N/A",H820="N/A",J820&lt;&gt;"",OR(E820="CEM-FUELS",E820="CEM-CCS",AND(E820="CEM-PLAN",IFERROR(INDEX('Taxonomy'!$M$9:$M$108,MATCH(D820,'Taxonomy'!$C$9:$C$108,0)),"")&lt;&gt;"Amber"),E820="BLD-TIMBER",AND(U820="Building equipment",OR(E820="BLD-WATER",E820="BLD-WASTE",E820="BLD-LAND")),AND(U820="Building renovation",E820="BLD-LAND"))),"N/A","Pending"))))))</x:f>
      </x:c>
      <x:c r="Q820" s="3" t="str">
        <x:f>IF(C820="","",IF(AND(R820="Valid",OR(P820="Pass",P820="N/A")),"Complete","Unresolved"))</x:f>
      </x:c>
      <x:c r="R820" s="9" t="str">
        <x:f>IF(C820="","",IF(OR(COUNTIF($C$9:$C$2008,C820)&lt;&gt;1,COUNTIFS($D$9:$D$2008,D820,$E$9:$E$2008,E820)&lt;&gt;1),"Duplicate test",IF(COUNTIF('Taxonomy'!$C$9:$C$108,D820)&lt;&gt;1,"Assessment key",IF(OR(COUNTIF('Taxonomy Rules'!$C$42:$C$68,E820)&lt;&gt;1,F820&lt;&gt;IFERROR(INDEX('Taxonomy Rules'!$D$42:$D$68,MATCH(E820,'Taxonomy Rules'!$C$42:$C$68,0)),""),NOT(OR(IFERROR(INDEX('Taxonomy Rules'!$G$42:$G$68,MATCH(E820,'Taxonomy Rules'!$C$42:$C$68,0)),"")="All supported routes",IFERROR(INDEX('Taxonomy Rules'!$G$42:$G$68,MATCH(E820,'Taxonomy Rules'!$C$42:$C$68,0)),"")=U820,AND(IFERROR(INDEX('Taxonomy Rules'!$G$42:$G$68,MATCH(E820,'Taxonomy Rules'!$C$42:$C$68,0)),"")="Building routes",OR(U820="Building renovation",U820="New building",U820="Building equipment"))))),"Unexpected test","Valid"))))</x:f>
      </x:c>
      <x:c r="S820" s="9" t="str">
        <x:f>IF(C820="","",IFERROR(INDEX('Taxonomy Rules'!$E$42:$E$68,MATCH(E820,'Taxonomy Rules'!$C$42:$C$68,0)),""))</x:f>
      </x:c>
      <x:c r="T820" s="9" t="str">
        <x:f>IF(C820="","",IFERROR(INDEX('Taxonomy Rules'!$F$42:$F$68,MATCH(E820,'Taxonomy Rules'!$C$42:$C$68,0)),""))</x:f>
      </x:c>
      <x:c r="U820" s="9" t="str">
        <x:f>IF(C820="","",IFERROR(INDEX('Taxonomy'!$G$9:$G$108,MATCH(D820,'Taxonomy'!$C$9:$C$108,0)),""))</x:f>
      </x:c>
    </x:row>
    <x:row r="821" ht="44" customHeight="1">
      <x:c r="A821" s="1"/>
      <x:c r="B821" s="1"/>
      <x:c r="C821" s="8"/>
      <x:c r="D821" s="8"/>
      <x:c r="E821" s="8"/>
      <x:c r="F821" s="8"/>
      <x:c r="G821" s="8"/>
      <x:c r="H821" s="8"/>
      <x:c r="I821" s="8"/>
      <x:c r="J821" s="8"/>
      <x:c r="K821" s="8"/>
      <x:c r="L821" s="8"/>
      <x:c r="M821" s="10"/>
      <x:c r="N821" s="10"/>
      <x:c r="O821" s="8"/>
      <x:c r="P821" s="9" t="str">
        <x:f>IF(C821="","",IF(AND(G821="Applicable",H821="Fail"),"Fail",IF(R821&lt;&gt;"Valid","Pending",IF(OR(I821="",K821="",L821="",K821=L821,NOT(ISNUMBER(M821)),NOT(ISNUMBER(N821)),M821&gt;Settings!$F$8,N821&lt;Settings!$F$8,N821&lt;M821),"Pending",IF(AND(G821="Applicable",H821="Pass"),"Pass",IF(AND(G821="N/A",H821="N/A",J821&lt;&gt;"",OR(E821="CEM-FUELS",E821="CEM-CCS",AND(E821="CEM-PLAN",IFERROR(INDEX('Taxonomy'!$M$9:$M$108,MATCH(D821,'Taxonomy'!$C$9:$C$108,0)),"")&lt;&gt;"Amber"),E821="BLD-TIMBER",AND(U821="Building equipment",OR(E821="BLD-WATER",E821="BLD-WASTE",E821="BLD-LAND")),AND(U821="Building renovation",E821="BLD-LAND"))),"N/A","Pending"))))))</x:f>
      </x:c>
      <x:c r="Q821" s="3" t="str">
        <x:f>IF(C821="","",IF(AND(R821="Valid",OR(P821="Pass",P821="N/A")),"Complete","Unresolved"))</x:f>
      </x:c>
      <x:c r="R821" s="9" t="str">
        <x:f>IF(C821="","",IF(OR(COUNTIF($C$9:$C$2008,C821)&lt;&gt;1,COUNTIFS($D$9:$D$2008,D821,$E$9:$E$2008,E821)&lt;&gt;1),"Duplicate test",IF(COUNTIF('Taxonomy'!$C$9:$C$108,D821)&lt;&gt;1,"Assessment key",IF(OR(COUNTIF('Taxonomy Rules'!$C$42:$C$68,E821)&lt;&gt;1,F821&lt;&gt;IFERROR(INDEX('Taxonomy Rules'!$D$42:$D$68,MATCH(E821,'Taxonomy Rules'!$C$42:$C$68,0)),""),NOT(OR(IFERROR(INDEX('Taxonomy Rules'!$G$42:$G$68,MATCH(E821,'Taxonomy Rules'!$C$42:$C$68,0)),"")="All supported routes",IFERROR(INDEX('Taxonomy Rules'!$G$42:$G$68,MATCH(E821,'Taxonomy Rules'!$C$42:$C$68,0)),"")=U821,AND(IFERROR(INDEX('Taxonomy Rules'!$G$42:$G$68,MATCH(E821,'Taxonomy Rules'!$C$42:$C$68,0)),"")="Building routes",OR(U821="Building renovation",U821="New building",U821="Building equipment"))))),"Unexpected test","Valid"))))</x:f>
      </x:c>
      <x:c r="S821" s="9" t="str">
        <x:f>IF(C821="","",IFERROR(INDEX('Taxonomy Rules'!$E$42:$E$68,MATCH(E821,'Taxonomy Rules'!$C$42:$C$68,0)),""))</x:f>
      </x:c>
      <x:c r="T821" s="9" t="str">
        <x:f>IF(C821="","",IFERROR(INDEX('Taxonomy Rules'!$F$42:$F$68,MATCH(E821,'Taxonomy Rules'!$C$42:$C$68,0)),""))</x:f>
      </x:c>
      <x:c r="U821" s="9" t="str">
        <x:f>IF(C821="","",IFERROR(INDEX('Taxonomy'!$G$9:$G$108,MATCH(D821,'Taxonomy'!$C$9:$C$108,0)),""))</x:f>
      </x:c>
    </x:row>
    <x:row r="822" ht="44" customHeight="1">
      <x:c r="A822" s="1"/>
      <x:c r="B822" s="1"/>
      <x:c r="C822" s="8"/>
      <x:c r="D822" s="8"/>
      <x:c r="E822" s="8"/>
      <x:c r="F822" s="8"/>
      <x:c r="G822" s="8"/>
      <x:c r="H822" s="8"/>
      <x:c r="I822" s="8"/>
      <x:c r="J822" s="8"/>
      <x:c r="K822" s="8"/>
      <x:c r="L822" s="8"/>
      <x:c r="M822" s="10"/>
      <x:c r="N822" s="10"/>
      <x:c r="O822" s="8"/>
      <x:c r="P822" s="9" t="str">
        <x:f>IF(C822="","",IF(AND(G822="Applicable",H822="Fail"),"Fail",IF(R822&lt;&gt;"Valid","Pending",IF(OR(I822="",K822="",L822="",K822=L822,NOT(ISNUMBER(M822)),NOT(ISNUMBER(N822)),M822&gt;Settings!$F$8,N822&lt;Settings!$F$8,N822&lt;M822),"Pending",IF(AND(G822="Applicable",H822="Pass"),"Pass",IF(AND(G822="N/A",H822="N/A",J822&lt;&gt;"",OR(E822="CEM-FUELS",E822="CEM-CCS",AND(E822="CEM-PLAN",IFERROR(INDEX('Taxonomy'!$M$9:$M$108,MATCH(D822,'Taxonomy'!$C$9:$C$108,0)),"")&lt;&gt;"Amber"),E822="BLD-TIMBER",AND(U822="Building equipment",OR(E822="BLD-WATER",E822="BLD-WASTE",E822="BLD-LAND")),AND(U822="Building renovation",E822="BLD-LAND"))),"N/A","Pending"))))))</x:f>
      </x:c>
      <x:c r="Q822" s="3" t="str">
        <x:f>IF(C822="","",IF(AND(R822="Valid",OR(P822="Pass",P822="N/A")),"Complete","Unresolved"))</x:f>
      </x:c>
      <x:c r="R822" s="9" t="str">
        <x:f>IF(C822="","",IF(OR(COUNTIF($C$9:$C$2008,C822)&lt;&gt;1,COUNTIFS($D$9:$D$2008,D822,$E$9:$E$2008,E822)&lt;&gt;1),"Duplicate test",IF(COUNTIF('Taxonomy'!$C$9:$C$108,D822)&lt;&gt;1,"Assessment key",IF(OR(COUNTIF('Taxonomy Rules'!$C$42:$C$68,E822)&lt;&gt;1,F822&lt;&gt;IFERROR(INDEX('Taxonomy Rules'!$D$42:$D$68,MATCH(E822,'Taxonomy Rules'!$C$42:$C$68,0)),""),NOT(OR(IFERROR(INDEX('Taxonomy Rules'!$G$42:$G$68,MATCH(E822,'Taxonomy Rules'!$C$42:$C$68,0)),"")="All supported routes",IFERROR(INDEX('Taxonomy Rules'!$G$42:$G$68,MATCH(E822,'Taxonomy Rules'!$C$42:$C$68,0)),"")=U822,AND(IFERROR(INDEX('Taxonomy Rules'!$G$42:$G$68,MATCH(E822,'Taxonomy Rules'!$C$42:$C$68,0)),"")="Building routes",OR(U822="Building renovation",U822="New building",U822="Building equipment"))))),"Unexpected test","Valid"))))</x:f>
      </x:c>
      <x:c r="S822" s="9" t="str">
        <x:f>IF(C822="","",IFERROR(INDEX('Taxonomy Rules'!$E$42:$E$68,MATCH(E822,'Taxonomy Rules'!$C$42:$C$68,0)),""))</x:f>
      </x:c>
      <x:c r="T822" s="9" t="str">
        <x:f>IF(C822="","",IFERROR(INDEX('Taxonomy Rules'!$F$42:$F$68,MATCH(E822,'Taxonomy Rules'!$C$42:$C$68,0)),""))</x:f>
      </x:c>
      <x:c r="U822" s="9" t="str">
        <x:f>IF(C822="","",IFERROR(INDEX('Taxonomy'!$G$9:$G$108,MATCH(D822,'Taxonomy'!$C$9:$C$108,0)),""))</x:f>
      </x:c>
    </x:row>
    <x:row r="823" ht="44" customHeight="1">
      <x:c r="A823" s="1"/>
      <x:c r="B823" s="1"/>
      <x:c r="C823" s="8"/>
      <x:c r="D823" s="8"/>
      <x:c r="E823" s="8"/>
      <x:c r="F823" s="8"/>
      <x:c r="G823" s="8"/>
      <x:c r="H823" s="8"/>
      <x:c r="I823" s="8"/>
      <x:c r="J823" s="8"/>
      <x:c r="K823" s="8"/>
      <x:c r="L823" s="8"/>
      <x:c r="M823" s="10"/>
      <x:c r="N823" s="10"/>
      <x:c r="O823" s="8"/>
      <x:c r="P823" s="9" t="str">
        <x:f>IF(C823="","",IF(AND(G823="Applicable",H823="Fail"),"Fail",IF(R823&lt;&gt;"Valid","Pending",IF(OR(I823="",K823="",L823="",K823=L823,NOT(ISNUMBER(M823)),NOT(ISNUMBER(N823)),M823&gt;Settings!$F$8,N823&lt;Settings!$F$8,N823&lt;M823),"Pending",IF(AND(G823="Applicable",H823="Pass"),"Pass",IF(AND(G823="N/A",H823="N/A",J823&lt;&gt;"",OR(E823="CEM-FUELS",E823="CEM-CCS",AND(E823="CEM-PLAN",IFERROR(INDEX('Taxonomy'!$M$9:$M$108,MATCH(D823,'Taxonomy'!$C$9:$C$108,0)),"")&lt;&gt;"Amber"),E823="BLD-TIMBER",AND(U823="Building equipment",OR(E823="BLD-WATER",E823="BLD-WASTE",E823="BLD-LAND")),AND(U823="Building renovation",E823="BLD-LAND"))),"N/A","Pending"))))))</x:f>
      </x:c>
      <x:c r="Q823" s="3" t="str">
        <x:f>IF(C823="","",IF(AND(R823="Valid",OR(P823="Pass",P823="N/A")),"Complete","Unresolved"))</x:f>
      </x:c>
      <x:c r="R823" s="9" t="str">
        <x:f>IF(C823="","",IF(OR(COUNTIF($C$9:$C$2008,C823)&lt;&gt;1,COUNTIFS($D$9:$D$2008,D823,$E$9:$E$2008,E823)&lt;&gt;1),"Duplicate test",IF(COUNTIF('Taxonomy'!$C$9:$C$108,D823)&lt;&gt;1,"Assessment key",IF(OR(COUNTIF('Taxonomy Rules'!$C$42:$C$68,E823)&lt;&gt;1,F823&lt;&gt;IFERROR(INDEX('Taxonomy Rules'!$D$42:$D$68,MATCH(E823,'Taxonomy Rules'!$C$42:$C$68,0)),""),NOT(OR(IFERROR(INDEX('Taxonomy Rules'!$G$42:$G$68,MATCH(E823,'Taxonomy Rules'!$C$42:$C$68,0)),"")="All supported routes",IFERROR(INDEX('Taxonomy Rules'!$G$42:$G$68,MATCH(E823,'Taxonomy Rules'!$C$42:$C$68,0)),"")=U823,AND(IFERROR(INDEX('Taxonomy Rules'!$G$42:$G$68,MATCH(E823,'Taxonomy Rules'!$C$42:$C$68,0)),"")="Building routes",OR(U823="Building renovation",U823="New building",U823="Building equipment"))))),"Unexpected test","Valid"))))</x:f>
      </x:c>
      <x:c r="S823" s="9" t="str">
        <x:f>IF(C823="","",IFERROR(INDEX('Taxonomy Rules'!$E$42:$E$68,MATCH(E823,'Taxonomy Rules'!$C$42:$C$68,0)),""))</x:f>
      </x:c>
      <x:c r="T823" s="9" t="str">
        <x:f>IF(C823="","",IFERROR(INDEX('Taxonomy Rules'!$F$42:$F$68,MATCH(E823,'Taxonomy Rules'!$C$42:$C$68,0)),""))</x:f>
      </x:c>
      <x:c r="U823" s="9" t="str">
        <x:f>IF(C823="","",IFERROR(INDEX('Taxonomy'!$G$9:$G$108,MATCH(D823,'Taxonomy'!$C$9:$C$108,0)),""))</x:f>
      </x:c>
    </x:row>
    <x:row r="824" ht="44" customHeight="1">
      <x:c r="A824" s="1"/>
      <x:c r="B824" s="1"/>
      <x:c r="C824" s="8"/>
      <x:c r="D824" s="8"/>
      <x:c r="E824" s="8"/>
      <x:c r="F824" s="8"/>
      <x:c r="G824" s="8"/>
      <x:c r="H824" s="8"/>
      <x:c r="I824" s="8"/>
      <x:c r="J824" s="8"/>
      <x:c r="K824" s="8"/>
      <x:c r="L824" s="8"/>
      <x:c r="M824" s="10"/>
      <x:c r="N824" s="10"/>
      <x:c r="O824" s="8"/>
      <x:c r="P824" s="9" t="str">
        <x:f>IF(C824="","",IF(AND(G824="Applicable",H824="Fail"),"Fail",IF(R824&lt;&gt;"Valid","Pending",IF(OR(I824="",K824="",L824="",K824=L824,NOT(ISNUMBER(M824)),NOT(ISNUMBER(N824)),M824&gt;Settings!$F$8,N824&lt;Settings!$F$8,N824&lt;M824),"Pending",IF(AND(G824="Applicable",H824="Pass"),"Pass",IF(AND(G824="N/A",H824="N/A",J824&lt;&gt;"",OR(E824="CEM-FUELS",E824="CEM-CCS",AND(E824="CEM-PLAN",IFERROR(INDEX('Taxonomy'!$M$9:$M$108,MATCH(D824,'Taxonomy'!$C$9:$C$108,0)),"")&lt;&gt;"Amber"),E824="BLD-TIMBER",AND(U824="Building equipment",OR(E824="BLD-WATER",E824="BLD-WASTE",E824="BLD-LAND")),AND(U824="Building renovation",E824="BLD-LAND"))),"N/A","Pending"))))))</x:f>
      </x:c>
      <x:c r="Q824" s="3" t="str">
        <x:f>IF(C824="","",IF(AND(R824="Valid",OR(P824="Pass",P824="N/A")),"Complete","Unresolved"))</x:f>
      </x:c>
      <x:c r="R824" s="9" t="str">
        <x:f>IF(C824="","",IF(OR(COUNTIF($C$9:$C$2008,C824)&lt;&gt;1,COUNTIFS($D$9:$D$2008,D824,$E$9:$E$2008,E824)&lt;&gt;1),"Duplicate test",IF(COUNTIF('Taxonomy'!$C$9:$C$108,D824)&lt;&gt;1,"Assessment key",IF(OR(COUNTIF('Taxonomy Rules'!$C$42:$C$68,E824)&lt;&gt;1,F824&lt;&gt;IFERROR(INDEX('Taxonomy Rules'!$D$42:$D$68,MATCH(E824,'Taxonomy Rules'!$C$42:$C$68,0)),""),NOT(OR(IFERROR(INDEX('Taxonomy Rules'!$G$42:$G$68,MATCH(E824,'Taxonomy Rules'!$C$42:$C$68,0)),"")="All supported routes",IFERROR(INDEX('Taxonomy Rules'!$G$42:$G$68,MATCH(E824,'Taxonomy Rules'!$C$42:$C$68,0)),"")=U824,AND(IFERROR(INDEX('Taxonomy Rules'!$G$42:$G$68,MATCH(E824,'Taxonomy Rules'!$C$42:$C$68,0)),"")="Building routes",OR(U824="Building renovation",U824="New building",U824="Building equipment"))))),"Unexpected test","Valid"))))</x:f>
      </x:c>
      <x:c r="S824" s="9" t="str">
        <x:f>IF(C824="","",IFERROR(INDEX('Taxonomy Rules'!$E$42:$E$68,MATCH(E824,'Taxonomy Rules'!$C$42:$C$68,0)),""))</x:f>
      </x:c>
      <x:c r="T824" s="9" t="str">
        <x:f>IF(C824="","",IFERROR(INDEX('Taxonomy Rules'!$F$42:$F$68,MATCH(E824,'Taxonomy Rules'!$C$42:$C$68,0)),""))</x:f>
      </x:c>
      <x:c r="U824" s="9" t="str">
        <x:f>IF(C824="","",IFERROR(INDEX('Taxonomy'!$G$9:$G$108,MATCH(D824,'Taxonomy'!$C$9:$C$108,0)),""))</x:f>
      </x:c>
    </x:row>
    <x:row r="825" ht="44" customHeight="1">
      <x:c r="A825" s="1"/>
      <x:c r="B825" s="1"/>
      <x:c r="C825" s="8"/>
      <x:c r="D825" s="8"/>
      <x:c r="E825" s="8"/>
      <x:c r="F825" s="8"/>
      <x:c r="G825" s="8"/>
      <x:c r="H825" s="8"/>
      <x:c r="I825" s="8"/>
      <x:c r="J825" s="8"/>
      <x:c r="K825" s="8"/>
      <x:c r="L825" s="8"/>
      <x:c r="M825" s="10"/>
      <x:c r="N825" s="10"/>
      <x:c r="O825" s="8"/>
      <x:c r="P825" s="9" t="str">
        <x:f>IF(C825="","",IF(AND(G825="Applicable",H825="Fail"),"Fail",IF(R825&lt;&gt;"Valid","Pending",IF(OR(I825="",K825="",L825="",K825=L825,NOT(ISNUMBER(M825)),NOT(ISNUMBER(N825)),M825&gt;Settings!$F$8,N825&lt;Settings!$F$8,N825&lt;M825),"Pending",IF(AND(G825="Applicable",H825="Pass"),"Pass",IF(AND(G825="N/A",H825="N/A",J825&lt;&gt;"",OR(E825="CEM-FUELS",E825="CEM-CCS",AND(E825="CEM-PLAN",IFERROR(INDEX('Taxonomy'!$M$9:$M$108,MATCH(D825,'Taxonomy'!$C$9:$C$108,0)),"")&lt;&gt;"Amber"),E825="BLD-TIMBER",AND(U825="Building equipment",OR(E825="BLD-WATER",E825="BLD-WASTE",E825="BLD-LAND")),AND(U825="Building renovation",E825="BLD-LAND"))),"N/A","Pending"))))))</x:f>
      </x:c>
      <x:c r="Q825" s="3" t="str">
        <x:f>IF(C825="","",IF(AND(R825="Valid",OR(P825="Pass",P825="N/A")),"Complete","Unresolved"))</x:f>
      </x:c>
      <x:c r="R825" s="9" t="str">
        <x:f>IF(C825="","",IF(OR(COUNTIF($C$9:$C$2008,C825)&lt;&gt;1,COUNTIFS($D$9:$D$2008,D825,$E$9:$E$2008,E825)&lt;&gt;1),"Duplicate test",IF(COUNTIF('Taxonomy'!$C$9:$C$108,D825)&lt;&gt;1,"Assessment key",IF(OR(COUNTIF('Taxonomy Rules'!$C$42:$C$68,E825)&lt;&gt;1,F825&lt;&gt;IFERROR(INDEX('Taxonomy Rules'!$D$42:$D$68,MATCH(E825,'Taxonomy Rules'!$C$42:$C$68,0)),""),NOT(OR(IFERROR(INDEX('Taxonomy Rules'!$G$42:$G$68,MATCH(E825,'Taxonomy Rules'!$C$42:$C$68,0)),"")="All supported routes",IFERROR(INDEX('Taxonomy Rules'!$G$42:$G$68,MATCH(E825,'Taxonomy Rules'!$C$42:$C$68,0)),"")=U825,AND(IFERROR(INDEX('Taxonomy Rules'!$G$42:$G$68,MATCH(E825,'Taxonomy Rules'!$C$42:$C$68,0)),"")="Building routes",OR(U825="Building renovation",U825="New building",U825="Building equipment"))))),"Unexpected test","Valid"))))</x:f>
      </x:c>
      <x:c r="S825" s="9" t="str">
        <x:f>IF(C825="","",IFERROR(INDEX('Taxonomy Rules'!$E$42:$E$68,MATCH(E825,'Taxonomy Rules'!$C$42:$C$68,0)),""))</x:f>
      </x:c>
      <x:c r="T825" s="9" t="str">
        <x:f>IF(C825="","",IFERROR(INDEX('Taxonomy Rules'!$F$42:$F$68,MATCH(E825,'Taxonomy Rules'!$C$42:$C$68,0)),""))</x:f>
      </x:c>
      <x:c r="U825" s="9" t="str">
        <x:f>IF(C825="","",IFERROR(INDEX('Taxonomy'!$G$9:$G$108,MATCH(D825,'Taxonomy'!$C$9:$C$108,0)),""))</x:f>
      </x:c>
    </x:row>
    <x:row r="826" ht="44" customHeight="1">
      <x:c r="A826" s="1"/>
      <x:c r="B826" s="1"/>
      <x:c r="C826" s="8"/>
      <x:c r="D826" s="8"/>
      <x:c r="E826" s="8"/>
      <x:c r="F826" s="8"/>
      <x:c r="G826" s="8"/>
      <x:c r="H826" s="8"/>
      <x:c r="I826" s="8"/>
      <x:c r="J826" s="8"/>
      <x:c r="K826" s="8"/>
      <x:c r="L826" s="8"/>
      <x:c r="M826" s="10"/>
      <x:c r="N826" s="10"/>
      <x:c r="O826" s="8"/>
      <x:c r="P826" s="9" t="str">
        <x:f>IF(C826="","",IF(AND(G826="Applicable",H826="Fail"),"Fail",IF(R826&lt;&gt;"Valid","Pending",IF(OR(I826="",K826="",L826="",K826=L826,NOT(ISNUMBER(M826)),NOT(ISNUMBER(N826)),M826&gt;Settings!$F$8,N826&lt;Settings!$F$8,N826&lt;M826),"Pending",IF(AND(G826="Applicable",H826="Pass"),"Pass",IF(AND(G826="N/A",H826="N/A",J826&lt;&gt;"",OR(E826="CEM-FUELS",E826="CEM-CCS",AND(E826="CEM-PLAN",IFERROR(INDEX('Taxonomy'!$M$9:$M$108,MATCH(D826,'Taxonomy'!$C$9:$C$108,0)),"")&lt;&gt;"Amber"),E826="BLD-TIMBER",AND(U826="Building equipment",OR(E826="BLD-WATER",E826="BLD-WASTE",E826="BLD-LAND")),AND(U826="Building renovation",E826="BLD-LAND"))),"N/A","Pending"))))))</x:f>
      </x:c>
      <x:c r="Q826" s="3" t="str">
        <x:f>IF(C826="","",IF(AND(R826="Valid",OR(P826="Pass",P826="N/A")),"Complete","Unresolved"))</x:f>
      </x:c>
      <x:c r="R826" s="9" t="str">
        <x:f>IF(C826="","",IF(OR(COUNTIF($C$9:$C$2008,C826)&lt;&gt;1,COUNTIFS($D$9:$D$2008,D826,$E$9:$E$2008,E826)&lt;&gt;1),"Duplicate test",IF(COUNTIF('Taxonomy'!$C$9:$C$108,D826)&lt;&gt;1,"Assessment key",IF(OR(COUNTIF('Taxonomy Rules'!$C$42:$C$68,E826)&lt;&gt;1,F826&lt;&gt;IFERROR(INDEX('Taxonomy Rules'!$D$42:$D$68,MATCH(E826,'Taxonomy Rules'!$C$42:$C$68,0)),""),NOT(OR(IFERROR(INDEX('Taxonomy Rules'!$G$42:$G$68,MATCH(E826,'Taxonomy Rules'!$C$42:$C$68,0)),"")="All supported routes",IFERROR(INDEX('Taxonomy Rules'!$G$42:$G$68,MATCH(E826,'Taxonomy Rules'!$C$42:$C$68,0)),"")=U826,AND(IFERROR(INDEX('Taxonomy Rules'!$G$42:$G$68,MATCH(E826,'Taxonomy Rules'!$C$42:$C$68,0)),"")="Building routes",OR(U826="Building renovation",U826="New building",U826="Building equipment"))))),"Unexpected test","Valid"))))</x:f>
      </x:c>
      <x:c r="S826" s="9" t="str">
        <x:f>IF(C826="","",IFERROR(INDEX('Taxonomy Rules'!$E$42:$E$68,MATCH(E826,'Taxonomy Rules'!$C$42:$C$68,0)),""))</x:f>
      </x:c>
      <x:c r="T826" s="9" t="str">
        <x:f>IF(C826="","",IFERROR(INDEX('Taxonomy Rules'!$F$42:$F$68,MATCH(E826,'Taxonomy Rules'!$C$42:$C$68,0)),""))</x:f>
      </x:c>
      <x:c r="U826" s="9" t="str">
        <x:f>IF(C826="","",IFERROR(INDEX('Taxonomy'!$G$9:$G$108,MATCH(D826,'Taxonomy'!$C$9:$C$108,0)),""))</x:f>
      </x:c>
    </x:row>
    <x:row r="827" ht="44" customHeight="1">
      <x:c r="A827" s="1"/>
      <x:c r="B827" s="1"/>
      <x:c r="C827" s="8"/>
      <x:c r="D827" s="8"/>
      <x:c r="E827" s="8"/>
      <x:c r="F827" s="8"/>
      <x:c r="G827" s="8"/>
      <x:c r="H827" s="8"/>
      <x:c r="I827" s="8"/>
      <x:c r="J827" s="8"/>
      <x:c r="K827" s="8"/>
      <x:c r="L827" s="8"/>
      <x:c r="M827" s="10"/>
      <x:c r="N827" s="10"/>
      <x:c r="O827" s="8"/>
      <x:c r="P827" s="9" t="str">
        <x:f>IF(C827="","",IF(AND(G827="Applicable",H827="Fail"),"Fail",IF(R827&lt;&gt;"Valid","Pending",IF(OR(I827="",K827="",L827="",K827=L827,NOT(ISNUMBER(M827)),NOT(ISNUMBER(N827)),M827&gt;Settings!$F$8,N827&lt;Settings!$F$8,N827&lt;M827),"Pending",IF(AND(G827="Applicable",H827="Pass"),"Pass",IF(AND(G827="N/A",H827="N/A",J827&lt;&gt;"",OR(E827="CEM-FUELS",E827="CEM-CCS",AND(E827="CEM-PLAN",IFERROR(INDEX('Taxonomy'!$M$9:$M$108,MATCH(D827,'Taxonomy'!$C$9:$C$108,0)),"")&lt;&gt;"Amber"),E827="BLD-TIMBER",AND(U827="Building equipment",OR(E827="BLD-WATER",E827="BLD-WASTE",E827="BLD-LAND")),AND(U827="Building renovation",E827="BLD-LAND"))),"N/A","Pending"))))))</x:f>
      </x:c>
      <x:c r="Q827" s="3" t="str">
        <x:f>IF(C827="","",IF(AND(R827="Valid",OR(P827="Pass",P827="N/A")),"Complete","Unresolved"))</x:f>
      </x:c>
      <x:c r="R827" s="9" t="str">
        <x:f>IF(C827="","",IF(OR(COUNTIF($C$9:$C$2008,C827)&lt;&gt;1,COUNTIFS($D$9:$D$2008,D827,$E$9:$E$2008,E827)&lt;&gt;1),"Duplicate test",IF(COUNTIF('Taxonomy'!$C$9:$C$108,D827)&lt;&gt;1,"Assessment key",IF(OR(COUNTIF('Taxonomy Rules'!$C$42:$C$68,E827)&lt;&gt;1,F827&lt;&gt;IFERROR(INDEX('Taxonomy Rules'!$D$42:$D$68,MATCH(E827,'Taxonomy Rules'!$C$42:$C$68,0)),""),NOT(OR(IFERROR(INDEX('Taxonomy Rules'!$G$42:$G$68,MATCH(E827,'Taxonomy Rules'!$C$42:$C$68,0)),"")="All supported routes",IFERROR(INDEX('Taxonomy Rules'!$G$42:$G$68,MATCH(E827,'Taxonomy Rules'!$C$42:$C$68,0)),"")=U827,AND(IFERROR(INDEX('Taxonomy Rules'!$G$42:$G$68,MATCH(E827,'Taxonomy Rules'!$C$42:$C$68,0)),"")="Building routes",OR(U827="Building renovation",U827="New building",U827="Building equipment"))))),"Unexpected test","Valid"))))</x:f>
      </x:c>
      <x:c r="S827" s="9" t="str">
        <x:f>IF(C827="","",IFERROR(INDEX('Taxonomy Rules'!$E$42:$E$68,MATCH(E827,'Taxonomy Rules'!$C$42:$C$68,0)),""))</x:f>
      </x:c>
      <x:c r="T827" s="9" t="str">
        <x:f>IF(C827="","",IFERROR(INDEX('Taxonomy Rules'!$F$42:$F$68,MATCH(E827,'Taxonomy Rules'!$C$42:$C$68,0)),""))</x:f>
      </x:c>
      <x:c r="U827" s="9" t="str">
        <x:f>IF(C827="","",IFERROR(INDEX('Taxonomy'!$G$9:$G$108,MATCH(D827,'Taxonomy'!$C$9:$C$108,0)),""))</x:f>
      </x:c>
    </x:row>
    <x:row r="828" ht="44" customHeight="1">
      <x:c r="A828" s="1"/>
      <x:c r="B828" s="1"/>
      <x:c r="C828" s="8"/>
      <x:c r="D828" s="8"/>
      <x:c r="E828" s="8"/>
      <x:c r="F828" s="8"/>
      <x:c r="G828" s="8"/>
      <x:c r="H828" s="8"/>
      <x:c r="I828" s="8"/>
      <x:c r="J828" s="8"/>
      <x:c r="K828" s="8"/>
      <x:c r="L828" s="8"/>
      <x:c r="M828" s="10"/>
      <x:c r="N828" s="10"/>
      <x:c r="O828" s="8"/>
      <x:c r="P828" s="9" t="str">
        <x:f>IF(C828="","",IF(AND(G828="Applicable",H828="Fail"),"Fail",IF(R828&lt;&gt;"Valid","Pending",IF(OR(I828="",K828="",L828="",K828=L828,NOT(ISNUMBER(M828)),NOT(ISNUMBER(N828)),M828&gt;Settings!$F$8,N828&lt;Settings!$F$8,N828&lt;M828),"Pending",IF(AND(G828="Applicable",H828="Pass"),"Pass",IF(AND(G828="N/A",H828="N/A",J828&lt;&gt;"",OR(E828="CEM-FUELS",E828="CEM-CCS",AND(E828="CEM-PLAN",IFERROR(INDEX('Taxonomy'!$M$9:$M$108,MATCH(D828,'Taxonomy'!$C$9:$C$108,0)),"")&lt;&gt;"Amber"),E828="BLD-TIMBER",AND(U828="Building equipment",OR(E828="BLD-WATER",E828="BLD-WASTE",E828="BLD-LAND")),AND(U828="Building renovation",E828="BLD-LAND"))),"N/A","Pending"))))))</x:f>
      </x:c>
      <x:c r="Q828" s="3" t="str">
        <x:f>IF(C828="","",IF(AND(R828="Valid",OR(P828="Pass",P828="N/A")),"Complete","Unresolved"))</x:f>
      </x:c>
      <x:c r="R828" s="9" t="str">
        <x:f>IF(C828="","",IF(OR(COUNTIF($C$9:$C$2008,C828)&lt;&gt;1,COUNTIFS($D$9:$D$2008,D828,$E$9:$E$2008,E828)&lt;&gt;1),"Duplicate test",IF(COUNTIF('Taxonomy'!$C$9:$C$108,D828)&lt;&gt;1,"Assessment key",IF(OR(COUNTIF('Taxonomy Rules'!$C$42:$C$68,E828)&lt;&gt;1,F828&lt;&gt;IFERROR(INDEX('Taxonomy Rules'!$D$42:$D$68,MATCH(E828,'Taxonomy Rules'!$C$42:$C$68,0)),""),NOT(OR(IFERROR(INDEX('Taxonomy Rules'!$G$42:$G$68,MATCH(E828,'Taxonomy Rules'!$C$42:$C$68,0)),"")="All supported routes",IFERROR(INDEX('Taxonomy Rules'!$G$42:$G$68,MATCH(E828,'Taxonomy Rules'!$C$42:$C$68,0)),"")=U828,AND(IFERROR(INDEX('Taxonomy Rules'!$G$42:$G$68,MATCH(E828,'Taxonomy Rules'!$C$42:$C$68,0)),"")="Building routes",OR(U828="Building renovation",U828="New building",U828="Building equipment"))))),"Unexpected test","Valid"))))</x:f>
      </x:c>
      <x:c r="S828" s="9" t="str">
        <x:f>IF(C828="","",IFERROR(INDEX('Taxonomy Rules'!$E$42:$E$68,MATCH(E828,'Taxonomy Rules'!$C$42:$C$68,0)),""))</x:f>
      </x:c>
      <x:c r="T828" s="9" t="str">
        <x:f>IF(C828="","",IFERROR(INDEX('Taxonomy Rules'!$F$42:$F$68,MATCH(E828,'Taxonomy Rules'!$C$42:$C$68,0)),""))</x:f>
      </x:c>
      <x:c r="U828" s="9" t="str">
        <x:f>IF(C828="","",IFERROR(INDEX('Taxonomy'!$G$9:$G$108,MATCH(D828,'Taxonomy'!$C$9:$C$108,0)),""))</x:f>
      </x:c>
    </x:row>
    <x:row r="829" ht="44" customHeight="1">
      <x:c r="A829" s="1"/>
      <x:c r="B829" s="1"/>
      <x:c r="C829" s="8"/>
      <x:c r="D829" s="8"/>
      <x:c r="E829" s="8"/>
      <x:c r="F829" s="8"/>
      <x:c r="G829" s="8"/>
      <x:c r="H829" s="8"/>
      <x:c r="I829" s="8"/>
      <x:c r="J829" s="8"/>
      <x:c r="K829" s="8"/>
      <x:c r="L829" s="8"/>
      <x:c r="M829" s="10"/>
      <x:c r="N829" s="10"/>
      <x:c r="O829" s="8"/>
      <x:c r="P829" s="9" t="str">
        <x:f>IF(C829="","",IF(AND(G829="Applicable",H829="Fail"),"Fail",IF(R829&lt;&gt;"Valid","Pending",IF(OR(I829="",K829="",L829="",K829=L829,NOT(ISNUMBER(M829)),NOT(ISNUMBER(N829)),M829&gt;Settings!$F$8,N829&lt;Settings!$F$8,N829&lt;M829),"Pending",IF(AND(G829="Applicable",H829="Pass"),"Pass",IF(AND(G829="N/A",H829="N/A",J829&lt;&gt;"",OR(E829="CEM-FUELS",E829="CEM-CCS",AND(E829="CEM-PLAN",IFERROR(INDEX('Taxonomy'!$M$9:$M$108,MATCH(D829,'Taxonomy'!$C$9:$C$108,0)),"")&lt;&gt;"Amber"),E829="BLD-TIMBER",AND(U829="Building equipment",OR(E829="BLD-WATER",E829="BLD-WASTE",E829="BLD-LAND")),AND(U829="Building renovation",E829="BLD-LAND"))),"N/A","Pending"))))))</x:f>
      </x:c>
      <x:c r="Q829" s="3" t="str">
        <x:f>IF(C829="","",IF(AND(R829="Valid",OR(P829="Pass",P829="N/A")),"Complete","Unresolved"))</x:f>
      </x:c>
      <x:c r="R829" s="9" t="str">
        <x:f>IF(C829="","",IF(OR(COUNTIF($C$9:$C$2008,C829)&lt;&gt;1,COUNTIFS($D$9:$D$2008,D829,$E$9:$E$2008,E829)&lt;&gt;1),"Duplicate test",IF(COUNTIF('Taxonomy'!$C$9:$C$108,D829)&lt;&gt;1,"Assessment key",IF(OR(COUNTIF('Taxonomy Rules'!$C$42:$C$68,E829)&lt;&gt;1,F829&lt;&gt;IFERROR(INDEX('Taxonomy Rules'!$D$42:$D$68,MATCH(E829,'Taxonomy Rules'!$C$42:$C$68,0)),""),NOT(OR(IFERROR(INDEX('Taxonomy Rules'!$G$42:$G$68,MATCH(E829,'Taxonomy Rules'!$C$42:$C$68,0)),"")="All supported routes",IFERROR(INDEX('Taxonomy Rules'!$G$42:$G$68,MATCH(E829,'Taxonomy Rules'!$C$42:$C$68,0)),"")=U829,AND(IFERROR(INDEX('Taxonomy Rules'!$G$42:$G$68,MATCH(E829,'Taxonomy Rules'!$C$42:$C$68,0)),"")="Building routes",OR(U829="Building renovation",U829="New building",U829="Building equipment"))))),"Unexpected test","Valid"))))</x:f>
      </x:c>
      <x:c r="S829" s="9" t="str">
        <x:f>IF(C829="","",IFERROR(INDEX('Taxonomy Rules'!$E$42:$E$68,MATCH(E829,'Taxonomy Rules'!$C$42:$C$68,0)),""))</x:f>
      </x:c>
      <x:c r="T829" s="9" t="str">
        <x:f>IF(C829="","",IFERROR(INDEX('Taxonomy Rules'!$F$42:$F$68,MATCH(E829,'Taxonomy Rules'!$C$42:$C$68,0)),""))</x:f>
      </x:c>
      <x:c r="U829" s="9" t="str">
        <x:f>IF(C829="","",IFERROR(INDEX('Taxonomy'!$G$9:$G$108,MATCH(D829,'Taxonomy'!$C$9:$C$108,0)),""))</x:f>
      </x:c>
    </x:row>
    <x:row r="830" ht="44" customHeight="1">
      <x:c r="A830" s="1"/>
      <x:c r="B830" s="1"/>
      <x:c r="C830" s="8"/>
      <x:c r="D830" s="8"/>
      <x:c r="E830" s="8"/>
      <x:c r="F830" s="8"/>
      <x:c r="G830" s="8"/>
      <x:c r="H830" s="8"/>
      <x:c r="I830" s="8"/>
      <x:c r="J830" s="8"/>
      <x:c r="K830" s="8"/>
      <x:c r="L830" s="8"/>
      <x:c r="M830" s="10"/>
      <x:c r="N830" s="10"/>
      <x:c r="O830" s="8"/>
      <x:c r="P830" s="9" t="str">
        <x:f>IF(C830="","",IF(AND(G830="Applicable",H830="Fail"),"Fail",IF(R830&lt;&gt;"Valid","Pending",IF(OR(I830="",K830="",L830="",K830=L830,NOT(ISNUMBER(M830)),NOT(ISNUMBER(N830)),M830&gt;Settings!$F$8,N830&lt;Settings!$F$8,N830&lt;M830),"Pending",IF(AND(G830="Applicable",H830="Pass"),"Pass",IF(AND(G830="N/A",H830="N/A",J830&lt;&gt;"",OR(E830="CEM-FUELS",E830="CEM-CCS",AND(E830="CEM-PLAN",IFERROR(INDEX('Taxonomy'!$M$9:$M$108,MATCH(D830,'Taxonomy'!$C$9:$C$108,0)),"")&lt;&gt;"Amber"),E830="BLD-TIMBER",AND(U830="Building equipment",OR(E830="BLD-WATER",E830="BLD-WASTE",E830="BLD-LAND")),AND(U830="Building renovation",E830="BLD-LAND"))),"N/A","Pending"))))))</x:f>
      </x:c>
      <x:c r="Q830" s="3" t="str">
        <x:f>IF(C830="","",IF(AND(R830="Valid",OR(P830="Pass",P830="N/A")),"Complete","Unresolved"))</x:f>
      </x:c>
      <x:c r="R830" s="9" t="str">
        <x:f>IF(C830="","",IF(OR(COUNTIF($C$9:$C$2008,C830)&lt;&gt;1,COUNTIFS($D$9:$D$2008,D830,$E$9:$E$2008,E830)&lt;&gt;1),"Duplicate test",IF(COUNTIF('Taxonomy'!$C$9:$C$108,D830)&lt;&gt;1,"Assessment key",IF(OR(COUNTIF('Taxonomy Rules'!$C$42:$C$68,E830)&lt;&gt;1,F830&lt;&gt;IFERROR(INDEX('Taxonomy Rules'!$D$42:$D$68,MATCH(E830,'Taxonomy Rules'!$C$42:$C$68,0)),""),NOT(OR(IFERROR(INDEX('Taxonomy Rules'!$G$42:$G$68,MATCH(E830,'Taxonomy Rules'!$C$42:$C$68,0)),"")="All supported routes",IFERROR(INDEX('Taxonomy Rules'!$G$42:$G$68,MATCH(E830,'Taxonomy Rules'!$C$42:$C$68,0)),"")=U830,AND(IFERROR(INDEX('Taxonomy Rules'!$G$42:$G$68,MATCH(E830,'Taxonomy Rules'!$C$42:$C$68,0)),"")="Building routes",OR(U830="Building renovation",U830="New building",U830="Building equipment"))))),"Unexpected test","Valid"))))</x:f>
      </x:c>
      <x:c r="S830" s="9" t="str">
        <x:f>IF(C830="","",IFERROR(INDEX('Taxonomy Rules'!$E$42:$E$68,MATCH(E830,'Taxonomy Rules'!$C$42:$C$68,0)),""))</x:f>
      </x:c>
      <x:c r="T830" s="9" t="str">
        <x:f>IF(C830="","",IFERROR(INDEX('Taxonomy Rules'!$F$42:$F$68,MATCH(E830,'Taxonomy Rules'!$C$42:$C$68,0)),""))</x:f>
      </x:c>
      <x:c r="U830" s="9" t="str">
        <x:f>IF(C830="","",IFERROR(INDEX('Taxonomy'!$G$9:$G$108,MATCH(D830,'Taxonomy'!$C$9:$C$108,0)),""))</x:f>
      </x:c>
    </x:row>
    <x:row r="831" ht="44" customHeight="1">
      <x:c r="A831" s="1"/>
      <x:c r="B831" s="1"/>
      <x:c r="C831" s="8"/>
      <x:c r="D831" s="8"/>
      <x:c r="E831" s="8"/>
      <x:c r="F831" s="8"/>
      <x:c r="G831" s="8"/>
      <x:c r="H831" s="8"/>
      <x:c r="I831" s="8"/>
      <x:c r="J831" s="8"/>
      <x:c r="K831" s="8"/>
      <x:c r="L831" s="8"/>
      <x:c r="M831" s="10"/>
      <x:c r="N831" s="10"/>
      <x:c r="O831" s="8"/>
      <x:c r="P831" s="9" t="str">
        <x:f>IF(C831="","",IF(AND(G831="Applicable",H831="Fail"),"Fail",IF(R831&lt;&gt;"Valid","Pending",IF(OR(I831="",K831="",L831="",K831=L831,NOT(ISNUMBER(M831)),NOT(ISNUMBER(N831)),M831&gt;Settings!$F$8,N831&lt;Settings!$F$8,N831&lt;M831),"Pending",IF(AND(G831="Applicable",H831="Pass"),"Pass",IF(AND(G831="N/A",H831="N/A",J831&lt;&gt;"",OR(E831="CEM-FUELS",E831="CEM-CCS",AND(E831="CEM-PLAN",IFERROR(INDEX('Taxonomy'!$M$9:$M$108,MATCH(D831,'Taxonomy'!$C$9:$C$108,0)),"")&lt;&gt;"Amber"),E831="BLD-TIMBER",AND(U831="Building equipment",OR(E831="BLD-WATER",E831="BLD-WASTE",E831="BLD-LAND")),AND(U831="Building renovation",E831="BLD-LAND"))),"N/A","Pending"))))))</x:f>
      </x:c>
      <x:c r="Q831" s="3" t="str">
        <x:f>IF(C831="","",IF(AND(R831="Valid",OR(P831="Pass",P831="N/A")),"Complete","Unresolved"))</x:f>
      </x:c>
      <x:c r="R831" s="9" t="str">
        <x:f>IF(C831="","",IF(OR(COUNTIF($C$9:$C$2008,C831)&lt;&gt;1,COUNTIFS($D$9:$D$2008,D831,$E$9:$E$2008,E831)&lt;&gt;1),"Duplicate test",IF(COUNTIF('Taxonomy'!$C$9:$C$108,D831)&lt;&gt;1,"Assessment key",IF(OR(COUNTIF('Taxonomy Rules'!$C$42:$C$68,E831)&lt;&gt;1,F831&lt;&gt;IFERROR(INDEX('Taxonomy Rules'!$D$42:$D$68,MATCH(E831,'Taxonomy Rules'!$C$42:$C$68,0)),""),NOT(OR(IFERROR(INDEX('Taxonomy Rules'!$G$42:$G$68,MATCH(E831,'Taxonomy Rules'!$C$42:$C$68,0)),"")="All supported routes",IFERROR(INDEX('Taxonomy Rules'!$G$42:$G$68,MATCH(E831,'Taxonomy Rules'!$C$42:$C$68,0)),"")=U831,AND(IFERROR(INDEX('Taxonomy Rules'!$G$42:$G$68,MATCH(E831,'Taxonomy Rules'!$C$42:$C$68,0)),"")="Building routes",OR(U831="Building renovation",U831="New building",U831="Building equipment"))))),"Unexpected test","Valid"))))</x:f>
      </x:c>
      <x:c r="S831" s="9" t="str">
        <x:f>IF(C831="","",IFERROR(INDEX('Taxonomy Rules'!$E$42:$E$68,MATCH(E831,'Taxonomy Rules'!$C$42:$C$68,0)),""))</x:f>
      </x:c>
      <x:c r="T831" s="9" t="str">
        <x:f>IF(C831="","",IFERROR(INDEX('Taxonomy Rules'!$F$42:$F$68,MATCH(E831,'Taxonomy Rules'!$C$42:$C$68,0)),""))</x:f>
      </x:c>
      <x:c r="U831" s="9" t="str">
        <x:f>IF(C831="","",IFERROR(INDEX('Taxonomy'!$G$9:$G$108,MATCH(D831,'Taxonomy'!$C$9:$C$108,0)),""))</x:f>
      </x:c>
    </x:row>
    <x:row r="832" ht="44" customHeight="1">
      <x:c r="A832" s="1"/>
      <x:c r="B832" s="1"/>
      <x:c r="C832" s="8"/>
      <x:c r="D832" s="8"/>
      <x:c r="E832" s="8"/>
      <x:c r="F832" s="8"/>
      <x:c r="G832" s="8"/>
      <x:c r="H832" s="8"/>
      <x:c r="I832" s="8"/>
      <x:c r="J832" s="8"/>
      <x:c r="K832" s="8"/>
      <x:c r="L832" s="8"/>
      <x:c r="M832" s="10"/>
      <x:c r="N832" s="10"/>
      <x:c r="O832" s="8"/>
      <x:c r="P832" s="9" t="str">
        <x:f>IF(C832="","",IF(AND(G832="Applicable",H832="Fail"),"Fail",IF(R832&lt;&gt;"Valid","Pending",IF(OR(I832="",K832="",L832="",K832=L832,NOT(ISNUMBER(M832)),NOT(ISNUMBER(N832)),M832&gt;Settings!$F$8,N832&lt;Settings!$F$8,N832&lt;M832),"Pending",IF(AND(G832="Applicable",H832="Pass"),"Pass",IF(AND(G832="N/A",H832="N/A",J832&lt;&gt;"",OR(E832="CEM-FUELS",E832="CEM-CCS",AND(E832="CEM-PLAN",IFERROR(INDEX('Taxonomy'!$M$9:$M$108,MATCH(D832,'Taxonomy'!$C$9:$C$108,0)),"")&lt;&gt;"Amber"),E832="BLD-TIMBER",AND(U832="Building equipment",OR(E832="BLD-WATER",E832="BLD-WASTE",E832="BLD-LAND")),AND(U832="Building renovation",E832="BLD-LAND"))),"N/A","Pending"))))))</x:f>
      </x:c>
      <x:c r="Q832" s="3" t="str">
        <x:f>IF(C832="","",IF(AND(R832="Valid",OR(P832="Pass",P832="N/A")),"Complete","Unresolved"))</x:f>
      </x:c>
      <x:c r="R832" s="9" t="str">
        <x:f>IF(C832="","",IF(OR(COUNTIF($C$9:$C$2008,C832)&lt;&gt;1,COUNTIFS($D$9:$D$2008,D832,$E$9:$E$2008,E832)&lt;&gt;1),"Duplicate test",IF(COUNTIF('Taxonomy'!$C$9:$C$108,D832)&lt;&gt;1,"Assessment key",IF(OR(COUNTIF('Taxonomy Rules'!$C$42:$C$68,E832)&lt;&gt;1,F832&lt;&gt;IFERROR(INDEX('Taxonomy Rules'!$D$42:$D$68,MATCH(E832,'Taxonomy Rules'!$C$42:$C$68,0)),""),NOT(OR(IFERROR(INDEX('Taxonomy Rules'!$G$42:$G$68,MATCH(E832,'Taxonomy Rules'!$C$42:$C$68,0)),"")="All supported routes",IFERROR(INDEX('Taxonomy Rules'!$G$42:$G$68,MATCH(E832,'Taxonomy Rules'!$C$42:$C$68,0)),"")=U832,AND(IFERROR(INDEX('Taxonomy Rules'!$G$42:$G$68,MATCH(E832,'Taxonomy Rules'!$C$42:$C$68,0)),"")="Building routes",OR(U832="Building renovation",U832="New building",U832="Building equipment"))))),"Unexpected test","Valid"))))</x:f>
      </x:c>
      <x:c r="S832" s="9" t="str">
        <x:f>IF(C832="","",IFERROR(INDEX('Taxonomy Rules'!$E$42:$E$68,MATCH(E832,'Taxonomy Rules'!$C$42:$C$68,0)),""))</x:f>
      </x:c>
      <x:c r="T832" s="9" t="str">
        <x:f>IF(C832="","",IFERROR(INDEX('Taxonomy Rules'!$F$42:$F$68,MATCH(E832,'Taxonomy Rules'!$C$42:$C$68,0)),""))</x:f>
      </x:c>
      <x:c r="U832" s="9" t="str">
        <x:f>IF(C832="","",IFERROR(INDEX('Taxonomy'!$G$9:$G$108,MATCH(D832,'Taxonomy'!$C$9:$C$108,0)),""))</x:f>
      </x:c>
    </x:row>
    <x:row r="833" ht="44" customHeight="1">
      <x:c r="A833" s="1"/>
      <x:c r="B833" s="1"/>
      <x:c r="C833" s="8"/>
      <x:c r="D833" s="8"/>
      <x:c r="E833" s="8"/>
      <x:c r="F833" s="8"/>
      <x:c r="G833" s="8"/>
      <x:c r="H833" s="8"/>
      <x:c r="I833" s="8"/>
      <x:c r="J833" s="8"/>
      <x:c r="K833" s="8"/>
      <x:c r="L833" s="8"/>
      <x:c r="M833" s="10"/>
      <x:c r="N833" s="10"/>
      <x:c r="O833" s="8"/>
      <x:c r="P833" s="9" t="str">
        <x:f>IF(C833="","",IF(AND(G833="Applicable",H833="Fail"),"Fail",IF(R833&lt;&gt;"Valid","Pending",IF(OR(I833="",K833="",L833="",K833=L833,NOT(ISNUMBER(M833)),NOT(ISNUMBER(N833)),M833&gt;Settings!$F$8,N833&lt;Settings!$F$8,N833&lt;M833),"Pending",IF(AND(G833="Applicable",H833="Pass"),"Pass",IF(AND(G833="N/A",H833="N/A",J833&lt;&gt;"",OR(E833="CEM-FUELS",E833="CEM-CCS",AND(E833="CEM-PLAN",IFERROR(INDEX('Taxonomy'!$M$9:$M$108,MATCH(D833,'Taxonomy'!$C$9:$C$108,0)),"")&lt;&gt;"Amber"),E833="BLD-TIMBER",AND(U833="Building equipment",OR(E833="BLD-WATER",E833="BLD-WASTE",E833="BLD-LAND")),AND(U833="Building renovation",E833="BLD-LAND"))),"N/A","Pending"))))))</x:f>
      </x:c>
      <x:c r="Q833" s="3" t="str">
        <x:f>IF(C833="","",IF(AND(R833="Valid",OR(P833="Pass",P833="N/A")),"Complete","Unresolved"))</x:f>
      </x:c>
      <x:c r="R833" s="9" t="str">
        <x:f>IF(C833="","",IF(OR(COUNTIF($C$9:$C$2008,C833)&lt;&gt;1,COUNTIFS($D$9:$D$2008,D833,$E$9:$E$2008,E833)&lt;&gt;1),"Duplicate test",IF(COUNTIF('Taxonomy'!$C$9:$C$108,D833)&lt;&gt;1,"Assessment key",IF(OR(COUNTIF('Taxonomy Rules'!$C$42:$C$68,E833)&lt;&gt;1,F833&lt;&gt;IFERROR(INDEX('Taxonomy Rules'!$D$42:$D$68,MATCH(E833,'Taxonomy Rules'!$C$42:$C$68,0)),""),NOT(OR(IFERROR(INDEX('Taxonomy Rules'!$G$42:$G$68,MATCH(E833,'Taxonomy Rules'!$C$42:$C$68,0)),"")="All supported routes",IFERROR(INDEX('Taxonomy Rules'!$G$42:$G$68,MATCH(E833,'Taxonomy Rules'!$C$42:$C$68,0)),"")=U833,AND(IFERROR(INDEX('Taxonomy Rules'!$G$42:$G$68,MATCH(E833,'Taxonomy Rules'!$C$42:$C$68,0)),"")="Building routes",OR(U833="Building renovation",U833="New building",U833="Building equipment"))))),"Unexpected test","Valid"))))</x:f>
      </x:c>
      <x:c r="S833" s="9" t="str">
        <x:f>IF(C833="","",IFERROR(INDEX('Taxonomy Rules'!$E$42:$E$68,MATCH(E833,'Taxonomy Rules'!$C$42:$C$68,0)),""))</x:f>
      </x:c>
      <x:c r="T833" s="9" t="str">
        <x:f>IF(C833="","",IFERROR(INDEX('Taxonomy Rules'!$F$42:$F$68,MATCH(E833,'Taxonomy Rules'!$C$42:$C$68,0)),""))</x:f>
      </x:c>
      <x:c r="U833" s="9" t="str">
        <x:f>IF(C833="","",IFERROR(INDEX('Taxonomy'!$G$9:$G$108,MATCH(D833,'Taxonomy'!$C$9:$C$108,0)),""))</x:f>
      </x:c>
    </x:row>
    <x:row r="834" ht="44" customHeight="1">
      <x:c r="A834" s="1"/>
      <x:c r="B834" s="1"/>
      <x:c r="C834" s="8"/>
      <x:c r="D834" s="8"/>
      <x:c r="E834" s="8"/>
      <x:c r="F834" s="8"/>
      <x:c r="G834" s="8"/>
      <x:c r="H834" s="8"/>
      <x:c r="I834" s="8"/>
      <x:c r="J834" s="8"/>
      <x:c r="K834" s="8"/>
      <x:c r="L834" s="8"/>
      <x:c r="M834" s="10"/>
      <x:c r="N834" s="10"/>
      <x:c r="O834" s="8"/>
      <x:c r="P834" s="9" t="str">
        <x:f>IF(C834="","",IF(AND(G834="Applicable",H834="Fail"),"Fail",IF(R834&lt;&gt;"Valid","Pending",IF(OR(I834="",K834="",L834="",K834=L834,NOT(ISNUMBER(M834)),NOT(ISNUMBER(N834)),M834&gt;Settings!$F$8,N834&lt;Settings!$F$8,N834&lt;M834),"Pending",IF(AND(G834="Applicable",H834="Pass"),"Pass",IF(AND(G834="N/A",H834="N/A",J834&lt;&gt;"",OR(E834="CEM-FUELS",E834="CEM-CCS",AND(E834="CEM-PLAN",IFERROR(INDEX('Taxonomy'!$M$9:$M$108,MATCH(D834,'Taxonomy'!$C$9:$C$108,0)),"")&lt;&gt;"Amber"),E834="BLD-TIMBER",AND(U834="Building equipment",OR(E834="BLD-WATER",E834="BLD-WASTE",E834="BLD-LAND")),AND(U834="Building renovation",E834="BLD-LAND"))),"N/A","Pending"))))))</x:f>
      </x:c>
      <x:c r="Q834" s="3" t="str">
        <x:f>IF(C834="","",IF(AND(R834="Valid",OR(P834="Pass",P834="N/A")),"Complete","Unresolved"))</x:f>
      </x:c>
      <x:c r="R834" s="9" t="str">
        <x:f>IF(C834="","",IF(OR(COUNTIF($C$9:$C$2008,C834)&lt;&gt;1,COUNTIFS($D$9:$D$2008,D834,$E$9:$E$2008,E834)&lt;&gt;1),"Duplicate test",IF(COUNTIF('Taxonomy'!$C$9:$C$108,D834)&lt;&gt;1,"Assessment key",IF(OR(COUNTIF('Taxonomy Rules'!$C$42:$C$68,E834)&lt;&gt;1,F834&lt;&gt;IFERROR(INDEX('Taxonomy Rules'!$D$42:$D$68,MATCH(E834,'Taxonomy Rules'!$C$42:$C$68,0)),""),NOT(OR(IFERROR(INDEX('Taxonomy Rules'!$G$42:$G$68,MATCH(E834,'Taxonomy Rules'!$C$42:$C$68,0)),"")="All supported routes",IFERROR(INDEX('Taxonomy Rules'!$G$42:$G$68,MATCH(E834,'Taxonomy Rules'!$C$42:$C$68,0)),"")=U834,AND(IFERROR(INDEX('Taxonomy Rules'!$G$42:$G$68,MATCH(E834,'Taxonomy Rules'!$C$42:$C$68,0)),"")="Building routes",OR(U834="Building renovation",U834="New building",U834="Building equipment"))))),"Unexpected test","Valid"))))</x:f>
      </x:c>
      <x:c r="S834" s="9" t="str">
        <x:f>IF(C834="","",IFERROR(INDEX('Taxonomy Rules'!$E$42:$E$68,MATCH(E834,'Taxonomy Rules'!$C$42:$C$68,0)),""))</x:f>
      </x:c>
      <x:c r="T834" s="9" t="str">
        <x:f>IF(C834="","",IFERROR(INDEX('Taxonomy Rules'!$F$42:$F$68,MATCH(E834,'Taxonomy Rules'!$C$42:$C$68,0)),""))</x:f>
      </x:c>
      <x:c r="U834" s="9" t="str">
        <x:f>IF(C834="","",IFERROR(INDEX('Taxonomy'!$G$9:$G$108,MATCH(D834,'Taxonomy'!$C$9:$C$108,0)),""))</x:f>
      </x:c>
    </x:row>
    <x:row r="835" ht="44" customHeight="1">
      <x:c r="A835" s="1"/>
      <x:c r="B835" s="1"/>
      <x:c r="C835" s="8"/>
      <x:c r="D835" s="8"/>
      <x:c r="E835" s="8"/>
      <x:c r="F835" s="8"/>
      <x:c r="G835" s="8"/>
      <x:c r="H835" s="8"/>
      <x:c r="I835" s="8"/>
      <x:c r="J835" s="8"/>
      <x:c r="K835" s="8"/>
      <x:c r="L835" s="8"/>
      <x:c r="M835" s="10"/>
      <x:c r="N835" s="10"/>
      <x:c r="O835" s="8"/>
      <x:c r="P835" s="9" t="str">
        <x:f>IF(C835="","",IF(AND(G835="Applicable",H835="Fail"),"Fail",IF(R835&lt;&gt;"Valid","Pending",IF(OR(I835="",K835="",L835="",K835=L835,NOT(ISNUMBER(M835)),NOT(ISNUMBER(N835)),M835&gt;Settings!$F$8,N835&lt;Settings!$F$8,N835&lt;M835),"Pending",IF(AND(G835="Applicable",H835="Pass"),"Pass",IF(AND(G835="N/A",H835="N/A",J835&lt;&gt;"",OR(E835="CEM-FUELS",E835="CEM-CCS",AND(E835="CEM-PLAN",IFERROR(INDEX('Taxonomy'!$M$9:$M$108,MATCH(D835,'Taxonomy'!$C$9:$C$108,0)),"")&lt;&gt;"Amber"),E835="BLD-TIMBER",AND(U835="Building equipment",OR(E835="BLD-WATER",E835="BLD-WASTE",E835="BLD-LAND")),AND(U835="Building renovation",E835="BLD-LAND"))),"N/A","Pending"))))))</x:f>
      </x:c>
      <x:c r="Q835" s="3" t="str">
        <x:f>IF(C835="","",IF(AND(R835="Valid",OR(P835="Pass",P835="N/A")),"Complete","Unresolved"))</x:f>
      </x:c>
      <x:c r="R835" s="9" t="str">
        <x:f>IF(C835="","",IF(OR(COUNTIF($C$9:$C$2008,C835)&lt;&gt;1,COUNTIFS($D$9:$D$2008,D835,$E$9:$E$2008,E835)&lt;&gt;1),"Duplicate test",IF(COUNTIF('Taxonomy'!$C$9:$C$108,D835)&lt;&gt;1,"Assessment key",IF(OR(COUNTIF('Taxonomy Rules'!$C$42:$C$68,E835)&lt;&gt;1,F835&lt;&gt;IFERROR(INDEX('Taxonomy Rules'!$D$42:$D$68,MATCH(E835,'Taxonomy Rules'!$C$42:$C$68,0)),""),NOT(OR(IFERROR(INDEX('Taxonomy Rules'!$G$42:$G$68,MATCH(E835,'Taxonomy Rules'!$C$42:$C$68,0)),"")="All supported routes",IFERROR(INDEX('Taxonomy Rules'!$G$42:$G$68,MATCH(E835,'Taxonomy Rules'!$C$42:$C$68,0)),"")=U835,AND(IFERROR(INDEX('Taxonomy Rules'!$G$42:$G$68,MATCH(E835,'Taxonomy Rules'!$C$42:$C$68,0)),"")="Building routes",OR(U835="Building renovation",U835="New building",U835="Building equipment"))))),"Unexpected test","Valid"))))</x:f>
      </x:c>
      <x:c r="S835" s="9" t="str">
        <x:f>IF(C835="","",IFERROR(INDEX('Taxonomy Rules'!$E$42:$E$68,MATCH(E835,'Taxonomy Rules'!$C$42:$C$68,0)),""))</x:f>
      </x:c>
      <x:c r="T835" s="9" t="str">
        <x:f>IF(C835="","",IFERROR(INDEX('Taxonomy Rules'!$F$42:$F$68,MATCH(E835,'Taxonomy Rules'!$C$42:$C$68,0)),""))</x:f>
      </x:c>
      <x:c r="U835" s="9" t="str">
        <x:f>IF(C835="","",IFERROR(INDEX('Taxonomy'!$G$9:$G$108,MATCH(D835,'Taxonomy'!$C$9:$C$108,0)),""))</x:f>
      </x:c>
    </x:row>
    <x:row r="836" ht="44" customHeight="1">
      <x:c r="A836" s="1"/>
      <x:c r="B836" s="1"/>
      <x:c r="C836" s="8"/>
      <x:c r="D836" s="8"/>
      <x:c r="E836" s="8"/>
      <x:c r="F836" s="8"/>
      <x:c r="G836" s="8"/>
      <x:c r="H836" s="8"/>
      <x:c r="I836" s="8"/>
      <x:c r="J836" s="8"/>
      <x:c r="K836" s="8"/>
      <x:c r="L836" s="8"/>
      <x:c r="M836" s="10"/>
      <x:c r="N836" s="10"/>
      <x:c r="O836" s="8"/>
      <x:c r="P836" s="9" t="str">
        <x:f>IF(C836="","",IF(AND(G836="Applicable",H836="Fail"),"Fail",IF(R836&lt;&gt;"Valid","Pending",IF(OR(I836="",K836="",L836="",K836=L836,NOT(ISNUMBER(M836)),NOT(ISNUMBER(N836)),M836&gt;Settings!$F$8,N836&lt;Settings!$F$8,N836&lt;M836),"Pending",IF(AND(G836="Applicable",H836="Pass"),"Pass",IF(AND(G836="N/A",H836="N/A",J836&lt;&gt;"",OR(E836="CEM-FUELS",E836="CEM-CCS",AND(E836="CEM-PLAN",IFERROR(INDEX('Taxonomy'!$M$9:$M$108,MATCH(D836,'Taxonomy'!$C$9:$C$108,0)),"")&lt;&gt;"Amber"),E836="BLD-TIMBER",AND(U836="Building equipment",OR(E836="BLD-WATER",E836="BLD-WASTE",E836="BLD-LAND")),AND(U836="Building renovation",E836="BLD-LAND"))),"N/A","Pending"))))))</x:f>
      </x:c>
      <x:c r="Q836" s="3" t="str">
        <x:f>IF(C836="","",IF(AND(R836="Valid",OR(P836="Pass",P836="N/A")),"Complete","Unresolved"))</x:f>
      </x:c>
      <x:c r="R836" s="9" t="str">
        <x:f>IF(C836="","",IF(OR(COUNTIF($C$9:$C$2008,C836)&lt;&gt;1,COUNTIFS($D$9:$D$2008,D836,$E$9:$E$2008,E836)&lt;&gt;1),"Duplicate test",IF(COUNTIF('Taxonomy'!$C$9:$C$108,D836)&lt;&gt;1,"Assessment key",IF(OR(COUNTIF('Taxonomy Rules'!$C$42:$C$68,E836)&lt;&gt;1,F836&lt;&gt;IFERROR(INDEX('Taxonomy Rules'!$D$42:$D$68,MATCH(E836,'Taxonomy Rules'!$C$42:$C$68,0)),""),NOT(OR(IFERROR(INDEX('Taxonomy Rules'!$G$42:$G$68,MATCH(E836,'Taxonomy Rules'!$C$42:$C$68,0)),"")="All supported routes",IFERROR(INDEX('Taxonomy Rules'!$G$42:$G$68,MATCH(E836,'Taxonomy Rules'!$C$42:$C$68,0)),"")=U836,AND(IFERROR(INDEX('Taxonomy Rules'!$G$42:$G$68,MATCH(E836,'Taxonomy Rules'!$C$42:$C$68,0)),"")="Building routes",OR(U836="Building renovation",U836="New building",U836="Building equipment"))))),"Unexpected test","Valid"))))</x:f>
      </x:c>
      <x:c r="S836" s="9" t="str">
        <x:f>IF(C836="","",IFERROR(INDEX('Taxonomy Rules'!$E$42:$E$68,MATCH(E836,'Taxonomy Rules'!$C$42:$C$68,0)),""))</x:f>
      </x:c>
      <x:c r="T836" s="9" t="str">
        <x:f>IF(C836="","",IFERROR(INDEX('Taxonomy Rules'!$F$42:$F$68,MATCH(E836,'Taxonomy Rules'!$C$42:$C$68,0)),""))</x:f>
      </x:c>
      <x:c r="U836" s="9" t="str">
        <x:f>IF(C836="","",IFERROR(INDEX('Taxonomy'!$G$9:$G$108,MATCH(D836,'Taxonomy'!$C$9:$C$108,0)),""))</x:f>
      </x:c>
    </x:row>
    <x:row r="837" ht="44" customHeight="1">
      <x:c r="A837" s="1"/>
      <x:c r="B837" s="1"/>
      <x:c r="C837" s="8"/>
      <x:c r="D837" s="8"/>
      <x:c r="E837" s="8"/>
      <x:c r="F837" s="8"/>
      <x:c r="G837" s="8"/>
      <x:c r="H837" s="8"/>
      <x:c r="I837" s="8"/>
      <x:c r="J837" s="8"/>
      <x:c r="K837" s="8"/>
      <x:c r="L837" s="8"/>
      <x:c r="M837" s="10"/>
      <x:c r="N837" s="10"/>
      <x:c r="O837" s="8"/>
      <x:c r="P837" s="9" t="str">
        <x:f>IF(C837="","",IF(AND(G837="Applicable",H837="Fail"),"Fail",IF(R837&lt;&gt;"Valid","Pending",IF(OR(I837="",K837="",L837="",K837=L837,NOT(ISNUMBER(M837)),NOT(ISNUMBER(N837)),M837&gt;Settings!$F$8,N837&lt;Settings!$F$8,N837&lt;M837),"Pending",IF(AND(G837="Applicable",H837="Pass"),"Pass",IF(AND(G837="N/A",H837="N/A",J837&lt;&gt;"",OR(E837="CEM-FUELS",E837="CEM-CCS",AND(E837="CEM-PLAN",IFERROR(INDEX('Taxonomy'!$M$9:$M$108,MATCH(D837,'Taxonomy'!$C$9:$C$108,0)),"")&lt;&gt;"Amber"),E837="BLD-TIMBER",AND(U837="Building equipment",OR(E837="BLD-WATER",E837="BLD-WASTE",E837="BLD-LAND")),AND(U837="Building renovation",E837="BLD-LAND"))),"N/A","Pending"))))))</x:f>
      </x:c>
      <x:c r="Q837" s="3" t="str">
        <x:f>IF(C837="","",IF(AND(R837="Valid",OR(P837="Pass",P837="N/A")),"Complete","Unresolved"))</x:f>
      </x:c>
      <x:c r="R837" s="9" t="str">
        <x:f>IF(C837="","",IF(OR(COUNTIF($C$9:$C$2008,C837)&lt;&gt;1,COUNTIFS($D$9:$D$2008,D837,$E$9:$E$2008,E837)&lt;&gt;1),"Duplicate test",IF(COUNTIF('Taxonomy'!$C$9:$C$108,D837)&lt;&gt;1,"Assessment key",IF(OR(COUNTIF('Taxonomy Rules'!$C$42:$C$68,E837)&lt;&gt;1,F837&lt;&gt;IFERROR(INDEX('Taxonomy Rules'!$D$42:$D$68,MATCH(E837,'Taxonomy Rules'!$C$42:$C$68,0)),""),NOT(OR(IFERROR(INDEX('Taxonomy Rules'!$G$42:$G$68,MATCH(E837,'Taxonomy Rules'!$C$42:$C$68,0)),"")="All supported routes",IFERROR(INDEX('Taxonomy Rules'!$G$42:$G$68,MATCH(E837,'Taxonomy Rules'!$C$42:$C$68,0)),"")=U837,AND(IFERROR(INDEX('Taxonomy Rules'!$G$42:$G$68,MATCH(E837,'Taxonomy Rules'!$C$42:$C$68,0)),"")="Building routes",OR(U837="Building renovation",U837="New building",U837="Building equipment"))))),"Unexpected test","Valid"))))</x:f>
      </x:c>
      <x:c r="S837" s="9" t="str">
        <x:f>IF(C837="","",IFERROR(INDEX('Taxonomy Rules'!$E$42:$E$68,MATCH(E837,'Taxonomy Rules'!$C$42:$C$68,0)),""))</x:f>
      </x:c>
      <x:c r="T837" s="9" t="str">
        <x:f>IF(C837="","",IFERROR(INDEX('Taxonomy Rules'!$F$42:$F$68,MATCH(E837,'Taxonomy Rules'!$C$42:$C$68,0)),""))</x:f>
      </x:c>
      <x:c r="U837" s="9" t="str">
        <x:f>IF(C837="","",IFERROR(INDEX('Taxonomy'!$G$9:$G$108,MATCH(D837,'Taxonomy'!$C$9:$C$108,0)),""))</x:f>
      </x:c>
    </x:row>
    <x:row r="838" ht="44" customHeight="1">
      <x:c r="A838" s="1"/>
      <x:c r="B838" s="1"/>
      <x:c r="C838" s="8"/>
      <x:c r="D838" s="8"/>
      <x:c r="E838" s="8"/>
      <x:c r="F838" s="8"/>
      <x:c r="G838" s="8"/>
      <x:c r="H838" s="8"/>
      <x:c r="I838" s="8"/>
      <x:c r="J838" s="8"/>
      <x:c r="K838" s="8"/>
      <x:c r="L838" s="8"/>
      <x:c r="M838" s="10"/>
      <x:c r="N838" s="10"/>
      <x:c r="O838" s="8"/>
      <x:c r="P838" s="9" t="str">
        <x:f>IF(C838="","",IF(AND(G838="Applicable",H838="Fail"),"Fail",IF(R838&lt;&gt;"Valid","Pending",IF(OR(I838="",K838="",L838="",K838=L838,NOT(ISNUMBER(M838)),NOT(ISNUMBER(N838)),M838&gt;Settings!$F$8,N838&lt;Settings!$F$8,N838&lt;M838),"Pending",IF(AND(G838="Applicable",H838="Pass"),"Pass",IF(AND(G838="N/A",H838="N/A",J838&lt;&gt;"",OR(E838="CEM-FUELS",E838="CEM-CCS",AND(E838="CEM-PLAN",IFERROR(INDEX('Taxonomy'!$M$9:$M$108,MATCH(D838,'Taxonomy'!$C$9:$C$108,0)),"")&lt;&gt;"Amber"),E838="BLD-TIMBER",AND(U838="Building equipment",OR(E838="BLD-WATER",E838="BLD-WASTE",E838="BLD-LAND")),AND(U838="Building renovation",E838="BLD-LAND"))),"N/A","Pending"))))))</x:f>
      </x:c>
      <x:c r="Q838" s="3" t="str">
        <x:f>IF(C838="","",IF(AND(R838="Valid",OR(P838="Pass",P838="N/A")),"Complete","Unresolved"))</x:f>
      </x:c>
      <x:c r="R838" s="9" t="str">
        <x:f>IF(C838="","",IF(OR(COUNTIF($C$9:$C$2008,C838)&lt;&gt;1,COUNTIFS($D$9:$D$2008,D838,$E$9:$E$2008,E838)&lt;&gt;1),"Duplicate test",IF(COUNTIF('Taxonomy'!$C$9:$C$108,D838)&lt;&gt;1,"Assessment key",IF(OR(COUNTIF('Taxonomy Rules'!$C$42:$C$68,E838)&lt;&gt;1,F838&lt;&gt;IFERROR(INDEX('Taxonomy Rules'!$D$42:$D$68,MATCH(E838,'Taxonomy Rules'!$C$42:$C$68,0)),""),NOT(OR(IFERROR(INDEX('Taxonomy Rules'!$G$42:$G$68,MATCH(E838,'Taxonomy Rules'!$C$42:$C$68,0)),"")="All supported routes",IFERROR(INDEX('Taxonomy Rules'!$G$42:$G$68,MATCH(E838,'Taxonomy Rules'!$C$42:$C$68,0)),"")=U838,AND(IFERROR(INDEX('Taxonomy Rules'!$G$42:$G$68,MATCH(E838,'Taxonomy Rules'!$C$42:$C$68,0)),"")="Building routes",OR(U838="Building renovation",U838="New building",U838="Building equipment"))))),"Unexpected test","Valid"))))</x:f>
      </x:c>
      <x:c r="S838" s="9" t="str">
        <x:f>IF(C838="","",IFERROR(INDEX('Taxonomy Rules'!$E$42:$E$68,MATCH(E838,'Taxonomy Rules'!$C$42:$C$68,0)),""))</x:f>
      </x:c>
      <x:c r="T838" s="9" t="str">
        <x:f>IF(C838="","",IFERROR(INDEX('Taxonomy Rules'!$F$42:$F$68,MATCH(E838,'Taxonomy Rules'!$C$42:$C$68,0)),""))</x:f>
      </x:c>
      <x:c r="U838" s="9" t="str">
        <x:f>IF(C838="","",IFERROR(INDEX('Taxonomy'!$G$9:$G$108,MATCH(D838,'Taxonomy'!$C$9:$C$108,0)),""))</x:f>
      </x:c>
    </x:row>
    <x:row r="839" ht="44" customHeight="1">
      <x:c r="A839" s="1"/>
      <x:c r="B839" s="1"/>
      <x:c r="C839" s="8"/>
      <x:c r="D839" s="8"/>
      <x:c r="E839" s="8"/>
      <x:c r="F839" s="8"/>
      <x:c r="G839" s="8"/>
      <x:c r="H839" s="8"/>
      <x:c r="I839" s="8"/>
      <x:c r="J839" s="8"/>
      <x:c r="K839" s="8"/>
      <x:c r="L839" s="8"/>
      <x:c r="M839" s="10"/>
      <x:c r="N839" s="10"/>
      <x:c r="O839" s="8"/>
      <x:c r="P839" s="9" t="str">
        <x:f>IF(C839="","",IF(AND(G839="Applicable",H839="Fail"),"Fail",IF(R839&lt;&gt;"Valid","Pending",IF(OR(I839="",K839="",L839="",K839=L839,NOT(ISNUMBER(M839)),NOT(ISNUMBER(N839)),M839&gt;Settings!$F$8,N839&lt;Settings!$F$8,N839&lt;M839),"Pending",IF(AND(G839="Applicable",H839="Pass"),"Pass",IF(AND(G839="N/A",H839="N/A",J839&lt;&gt;"",OR(E839="CEM-FUELS",E839="CEM-CCS",AND(E839="CEM-PLAN",IFERROR(INDEX('Taxonomy'!$M$9:$M$108,MATCH(D839,'Taxonomy'!$C$9:$C$108,0)),"")&lt;&gt;"Amber"),E839="BLD-TIMBER",AND(U839="Building equipment",OR(E839="BLD-WATER",E839="BLD-WASTE",E839="BLD-LAND")),AND(U839="Building renovation",E839="BLD-LAND"))),"N/A","Pending"))))))</x:f>
      </x:c>
      <x:c r="Q839" s="3" t="str">
        <x:f>IF(C839="","",IF(AND(R839="Valid",OR(P839="Pass",P839="N/A")),"Complete","Unresolved"))</x:f>
      </x:c>
      <x:c r="R839" s="9" t="str">
        <x:f>IF(C839="","",IF(OR(COUNTIF($C$9:$C$2008,C839)&lt;&gt;1,COUNTIFS($D$9:$D$2008,D839,$E$9:$E$2008,E839)&lt;&gt;1),"Duplicate test",IF(COUNTIF('Taxonomy'!$C$9:$C$108,D839)&lt;&gt;1,"Assessment key",IF(OR(COUNTIF('Taxonomy Rules'!$C$42:$C$68,E839)&lt;&gt;1,F839&lt;&gt;IFERROR(INDEX('Taxonomy Rules'!$D$42:$D$68,MATCH(E839,'Taxonomy Rules'!$C$42:$C$68,0)),""),NOT(OR(IFERROR(INDEX('Taxonomy Rules'!$G$42:$G$68,MATCH(E839,'Taxonomy Rules'!$C$42:$C$68,0)),"")="All supported routes",IFERROR(INDEX('Taxonomy Rules'!$G$42:$G$68,MATCH(E839,'Taxonomy Rules'!$C$42:$C$68,0)),"")=U839,AND(IFERROR(INDEX('Taxonomy Rules'!$G$42:$G$68,MATCH(E839,'Taxonomy Rules'!$C$42:$C$68,0)),"")="Building routes",OR(U839="Building renovation",U839="New building",U839="Building equipment"))))),"Unexpected test","Valid"))))</x:f>
      </x:c>
      <x:c r="S839" s="9" t="str">
        <x:f>IF(C839="","",IFERROR(INDEX('Taxonomy Rules'!$E$42:$E$68,MATCH(E839,'Taxonomy Rules'!$C$42:$C$68,0)),""))</x:f>
      </x:c>
      <x:c r="T839" s="9" t="str">
        <x:f>IF(C839="","",IFERROR(INDEX('Taxonomy Rules'!$F$42:$F$68,MATCH(E839,'Taxonomy Rules'!$C$42:$C$68,0)),""))</x:f>
      </x:c>
      <x:c r="U839" s="9" t="str">
        <x:f>IF(C839="","",IFERROR(INDEX('Taxonomy'!$G$9:$G$108,MATCH(D839,'Taxonomy'!$C$9:$C$108,0)),""))</x:f>
      </x:c>
    </x:row>
    <x:row r="840" ht="44" customHeight="1">
      <x:c r="A840" s="1"/>
      <x:c r="B840" s="1"/>
      <x:c r="C840" s="8"/>
      <x:c r="D840" s="8"/>
      <x:c r="E840" s="8"/>
      <x:c r="F840" s="8"/>
      <x:c r="G840" s="8"/>
      <x:c r="H840" s="8"/>
      <x:c r="I840" s="8"/>
      <x:c r="J840" s="8"/>
      <x:c r="K840" s="8"/>
      <x:c r="L840" s="8"/>
      <x:c r="M840" s="10"/>
      <x:c r="N840" s="10"/>
      <x:c r="O840" s="8"/>
      <x:c r="P840" s="9" t="str">
        <x:f>IF(C840="","",IF(AND(G840="Applicable",H840="Fail"),"Fail",IF(R840&lt;&gt;"Valid","Pending",IF(OR(I840="",K840="",L840="",K840=L840,NOT(ISNUMBER(M840)),NOT(ISNUMBER(N840)),M840&gt;Settings!$F$8,N840&lt;Settings!$F$8,N840&lt;M840),"Pending",IF(AND(G840="Applicable",H840="Pass"),"Pass",IF(AND(G840="N/A",H840="N/A",J840&lt;&gt;"",OR(E840="CEM-FUELS",E840="CEM-CCS",AND(E840="CEM-PLAN",IFERROR(INDEX('Taxonomy'!$M$9:$M$108,MATCH(D840,'Taxonomy'!$C$9:$C$108,0)),"")&lt;&gt;"Amber"),E840="BLD-TIMBER",AND(U840="Building equipment",OR(E840="BLD-WATER",E840="BLD-WASTE",E840="BLD-LAND")),AND(U840="Building renovation",E840="BLD-LAND"))),"N/A","Pending"))))))</x:f>
      </x:c>
      <x:c r="Q840" s="3" t="str">
        <x:f>IF(C840="","",IF(AND(R840="Valid",OR(P840="Pass",P840="N/A")),"Complete","Unresolved"))</x:f>
      </x:c>
      <x:c r="R840" s="9" t="str">
        <x:f>IF(C840="","",IF(OR(COUNTIF($C$9:$C$2008,C840)&lt;&gt;1,COUNTIFS($D$9:$D$2008,D840,$E$9:$E$2008,E840)&lt;&gt;1),"Duplicate test",IF(COUNTIF('Taxonomy'!$C$9:$C$108,D840)&lt;&gt;1,"Assessment key",IF(OR(COUNTIF('Taxonomy Rules'!$C$42:$C$68,E840)&lt;&gt;1,F840&lt;&gt;IFERROR(INDEX('Taxonomy Rules'!$D$42:$D$68,MATCH(E840,'Taxonomy Rules'!$C$42:$C$68,0)),""),NOT(OR(IFERROR(INDEX('Taxonomy Rules'!$G$42:$G$68,MATCH(E840,'Taxonomy Rules'!$C$42:$C$68,0)),"")="All supported routes",IFERROR(INDEX('Taxonomy Rules'!$G$42:$G$68,MATCH(E840,'Taxonomy Rules'!$C$42:$C$68,0)),"")=U840,AND(IFERROR(INDEX('Taxonomy Rules'!$G$42:$G$68,MATCH(E840,'Taxonomy Rules'!$C$42:$C$68,0)),"")="Building routes",OR(U840="Building renovation",U840="New building",U840="Building equipment"))))),"Unexpected test","Valid"))))</x:f>
      </x:c>
      <x:c r="S840" s="9" t="str">
        <x:f>IF(C840="","",IFERROR(INDEX('Taxonomy Rules'!$E$42:$E$68,MATCH(E840,'Taxonomy Rules'!$C$42:$C$68,0)),""))</x:f>
      </x:c>
      <x:c r="T840" s="9" t="str">
        <x:f>IF(C840="","",IFERROR(INDEX('Taxonomy Rules'!$F$42:$F$68,MATCH(E840,'Taxonomy Rules'!$C$42:$C$68,0)),""))</x:f>
      </x:c>
      <x:c r="U840" s="9" t="str">
        <x:f>IF(C840="","",IFERROR(INDEX('Taxonomy'!$G$9:$G$108,MATCH(D840,'Taxonomy'!$C$9:$C$108,0)),""))</x:f>
      </x:c>
    </x:row>
    <x:row r="841" ht="44" customHeight="1">
      <x:c r="A841" s="1"/>
      <x:c r="B841" s="1"/>
      <x:c r="C841" s="8"/>
      <x:c r="D841" s="8"/>
      <x:c r="E841" s="8"/>
      <x:c r="F841" s="8"/>
      <x:c r="G841" s="8"/>
      <x:c r="H841" s="8"/>
      <x:c r="I841" s="8"/>
      <x:c r="J841" s="8"/>
      <x:c r="K841" s="8"/>
      <x:c r="L841" s="8"/>
      <x:c r="M841" s="10"/>
      <x:c r="N841" s="10"/>
      <x:c r="O841" s="8"/>
      <x:c r="P841" s="9" t="str">
        <x:f>IF(C841="","",IF(AND(G841="Applicable",H841="Fail"),"Fail",IF(R841&lt;&gt;"Valid","Pending",IF(OR(I841="",K841="",L841="",K841=L841,NOT(ISNUMBER(M841)),NOT(ISNUMBER(N841)),M841&gt;Settings!$F$8,N841&lt;Settings!$F$8,N841&lt;M841),"Pending",IF(AND(G841="Applicable",H841="Pass"),"Pass",IF(AND(G841="N/A",H841="N/A",J841&lt;&gt;"",OR(E841="CEM-FUELS",E841="CEM-CCS",AND(E841="CEM-PLAN",IFERROR(INDEX('Taxonomy'!$M$9:$M$108,MATCH(D841,'Taxonomy'!$C$9:$C$108,0)),"")&lt;&gt;"Amber"),E841="BLD-TIMBER",AND(U841="Building equipment",OR(E841="BLD-WATER",E841="BLD-WASTE",E841="BLD-LAND")),AND(U841="Building renovation",E841="BLD-LAND"))),"N/A","Pending"))))))</x:f>
      </x:c>
      <x:c r="Q841" s="3" t="str">
        <x:f>IF(C841="","",IF(AND(R841="Valid",OR(P841="Pass",P841="N/A")),"Complete","Unresolved"))</x:f>
      </x:c>
      <x:c r="R841" s="9" t="str">
        <x:f>IF(C841="","",IF(OR(COUNTIF($C$9:$C$2008,C841)&lt;&gt;1,COUNTIFS($D$9:$D$2008,D841,$E$9:$E$2008,E841)&lt;&gt;1),"Duplicate test",IF(COUNTIF('Taxonomy'!$C$9:$C$108,D841)&lt;&gt;1,"Assessment key",IF(OR(COUNTIF('Taxonomy Rules'!$C$42:$C$68,E841)&lt;&gt;1,F841&lt;&gt;IFERROR(INDEX('Taxonomy Rules'!$D$42:$D$68,MATCH(E841,'Taxonomy Rules'!$C$42:$C$68,0)),""),NOT(OR(IFERROR(INDEX('Taxonomy Rules'!$G$42:$G$68,MATCH(E841,'Taxonomy Rules'!$C$42:$C$68,0)),"")="All supported routes",IFERROR(INDEX('Taxonomy Rules'!$G$42:$G$68,MATCH(E841,'Taxonomy Rules'!$C$42:$C$68,0)),"")=U841,AND(IFERROR(INDEX('Taxonomy Rules'!$G$42:$G$68,MATCH(E841,'Taxonomy Rules'!$C$42:$C$68,0)),"")="Building routes",OR(U841="Building renovation",U841="New building",U841="Building equipment"))))),"Unexpected test","Valid"))))</x:f>
      </x:c>
      <x:c r="S841" s="9" t="str">
        <x:f>IF(C841="","",IFERROR(INDEX('Taxonomy Rules'!$E$42:$E$68,MATCH(E841,'Taxonomy Rules'!$C$42:$C$68,0)),""))</x:f>
      </x:c>
      <x:c r="T841" s="9" t="str">
        <x:f>IF(C841="","",IFERROR(INDEX('Taxonomy Rules'!$F$42:$F$68,MATCH(E841,'Taxonomy Rules'!$C$42:$C$68,0)),""))</x:f>
      </x:c>
      <x:c r="U841" s="9" t="str">
        <x:f>IF(C841="","",IFERROR(INDEX('Taxonomy'!$G$9:$G$108,MATCH(D841,'Taxonomy'!$C$9:$C$108,0)),""))</x:f>
      </x:c>
    </x:row>
    <x:row r="842" ht="44" customHeight="1">
      <x:c r="A842" s="1"/>
      <x:c r="B842" s="1"/>
      <x:c r="C842" s="8"/>
      <x:c r="D842" s="8"/>
      <x:c r="E842" s="8"/>
      <x:c r="F842" s="8"/>
      <x:c r="G842" s="8"/>
      <x:c r="H842" s="8"/>
      <x:c r="I842" s="8"/>
      <x:c r="J842" s="8"/>
      <x:c r="K842" s="8"/>
      <x:c r="L842" s="8"/>
      <x:c r="M842" s="10"/>
      <x:c r="N842" s="10"/>
      <x:c r="O842" s="8"/>
      <x:c r="P842" s="9" t="str">
        <x:f>IF(C842="","",IF(AND(G842="Applicable",H842="Fail"),"Fail",IF(R842&lt;&gt;"Valid","Pending",IF(OR(I842="",K842="",L842="",K842=L842,NOT(ISNUMBER(M842)),NOT(ISNUMBER(N842)),M842&gt;Settings!$F$8,N842&lt;Settings!$F$8,N842&lt;M842),"Pending",IF(AND(G842="Applicable",H842="Pass"),"Pass",IF(AND(G842="N/A",H842="N/A",J842&lt;&gt;"",OR(E842="CEM-FUELS",E842="CEM-CCS",AND(E842="CEM-PLAN",IFERROR(INDEX('Taxonomy'!$M$9:$M$108,MATCH(D842,'Taxonomy'!$C$9:$C$108,0)),"")&lt;&gt;"Amber"),E842="BLD-TIMBER",AND(U842="Building equipment",OR(E842="BLD-WATER",E842="BLD-WASTE",E842="BLD-LAND")),AND(U842="Building renovation",E842="BLD-LAND"))),"N/A","Pending"))))))</x:f>
      </x:c>
      <x:c r="Q842" s="3" t="str">
        <x:f>IF(C842="","",IF(AND(R842="Valid",OR(P842="Pass",P842="N/A")),"Complete","Unresolved"))</x:f>
      </x:c>
      <x:c r="R842" s="9" t="str">
        <x:f>IF(C842="","",IF(OR(COUNTIF($C$9:$C$2008,C842)&lt;&gt;1,COUNTIFS($D$9:$D$2008,D842,$E$9:$E$2008,E842)&lt;&gt;1),"Duplicate test",IF(COUNTIF('Taxonomy'!$C$9:$C$108,D842)&lt;&gt;1,"Assessment key",IF(OR(COUNTIF('Taxonomy Rules'!$C$42:$C$68,E842)&lt;&gt;1,F842&lt;&gt;IFERROR(INDEX('Taxonomy Rules'!$D$42:$D$68,MATCH(E842,'Taxonomy Rules'!$C$42:$C$68,0)),""),NOT(OR(IFERROR(INDEX('Taxonomy Rules'!$G$42:$G$68,MATCH(E842,'Taxonomy Rules'!$C$42:$C$68,0)),"")="All supported routes",IFERROR(INDEX('Taxonomy Rules'!$G$42:$G$68,MATCH(E842,'Taxonomy Rules'!$C$42:$C$68,0)),"")=U842,AND(IFERROR(INDEX('Taxonomy Rules'!$G$42:$G$68,MATCH(E842,'Taxonomy Rules'!$C$42:$C$68,0)),"")="Building routes",OR(U842="Building renovation",U842="New building",U842="Building equipment"))))),"Unexpected test","Valid"))))</x:f>
      </x:c>
      <x:c r="S842" s="9" t="str">
        <x:f>IF(C842="","",IFERROR(INDEX('Taxonomy Rules'!$E$42:$E$68,MATCH(E842,'Taxonomy Rules'!$C$42:$C$68,0)),""))</x:f>
      </x:c>
      <x:c r="T842" s="9" t="str">
        <x:f>IF(C842="","",IFERROR(INDEX('Taxonomy Rules'!$F$42:$F$68,MATCH(E842,'Taxonomy Rules'!$C$42:$C$68,0)),""))</x:f>
      </x:c>
      <x:c r="U842" s="9" t="str">
        <x:f>IF(C842="","",IFERROR(INDEX('Taxonomy'!$G$9:$G$108,MATCH(D842,'Taxonomy'!$C$9:$C$108,0)),""))</x:f>
      </x:c>
    </x:row>
    <x:row r="843" ht="44" customHeight="1">
      <x:c r="A843" s="1"/>
      <x:c r="B843" s="1"/>
      <x:c r="C843" s="8"/>
      <x:c r="D843" s="8"/>
      <x:c r="E843" s="8"/>
      <x:c r="F843" s="8"/>
      <x:c r="G843" s="8"/>
      <x:c r="H843" s="8"/>
      <x:c r="I843" s="8"/>
      <x:c r="J843" s="8"/>
      <x:c r="K843" s="8"/>
      <x:c r="L843" s="8"/>
      <x:c r="M843" s="10"/>
      <x:c r="N843" s="10"/>
      <x:c r="O843" s="8"/>
      <x:c r="P843" s="9" t="str">
        <x:f>IF(C843="","",IF(AND(G843="Applicable",H843="Fail"),"Fail",IF(R843&lt;&gt;"Valid","Pending",IF(OR(I843="",K843="",L843="",K843=L843,NOT(ISNUMBER(M843)),NOT(ISNUMBER(N843)),M843&gt;Settings!$F$8,N843&lt;Settings!$F$8,N843&lt;M843),"Pending",IF(AND(G843="Applicable",H843="Pass"),"Pass",IF(AND(G843="N/A",H843="N/A",J843&lt;&gt;"",OR(E843="CEM-FUELS",E843="CEM-CCS",AND(E843="CEM-PLAN",IFERROR(INDEX('Taxonomy'!$M$9:$M$108,MATCH(D843,'Taxonomy'!$C$9:$C$108,0)),"")&lt;&gt;"Amber"),E843="BLD-TIMBER",AND(U843="Building equipment",OR(E843="BLD-WATER",E843="BLD-WASTE",E843="BLD-LAND")),AND(U843="Building renovation",E843="BLD-LAND"))),"N/A","Pending"))))))</x:f>
      </x:c>
      <x:c r="Q843" s="3" t="str">
        <x:f>IF(C843="","",IF(AND(R843="Valid",OR(P843="Pass",P843="N/A")),"Complete","Unresolved"))</x:f>
      </x:c>
      <x:c r="R843" s="9" t="str">
        <x:f>IF(C843="","",IF(OR(COUNTIF($C$9:$C$2008,C843)&lt;&gt;1,COUNTIFS($D$9:$D$2008,D843,$E$9:$E$2008,E843)&lt;&gt;1),"Duplicate test",IF(COUNTIF('Taxonomy'!$C$9:$C$108,D843)&lt;&gt;1,"Assessment key",IF(OR(COUNTIF('Taxonomy Rules'!$C$42:$C$68,E843)&lt;&gt;1,F843&lt;&gt;IFERROR(INDEX('Taxonomy Rules'!$D$42:$D$68,MATCH(E843,'Taxonomy Rules'!$C$42:$C$68,0)),""),NOT(OR(IFERROR(INDEX('Taxonomy Rules'!$G$42:$G$68,MATCH(E843,'Taxonomy Rules'!$C$42:$C$68,0)),"")="All supported routes",IFERROR(INDEX('Taxonomy Rules'!$G$42:$G$68,MATCH(E843,'Taxonomy Rules'!$C$42:$C$68,0)),"")=U843,AND(IFERROR(INDEX('Taxonomy Rules'!$G$42:$G$68,MATCH(E843,'Taxonomy Rules'!$C$42:$C$68,0)),"")="Building routes",OR(U843="Building renovation",U843="New building",U843="Building equipment"))))),"Unexpected test","Valid"))))</x:f>
      </x:c>
      <x:c r="S843" s="9" t="str">
        <x:f>IF(C843="","",IFERROR(INDEX('Taxonomy Rules'!$E$42:$E$68,MATCH(E843,'Taxonomy Rules'!$C$42:$C$68,0)),""))</x:f>
      </x:c>
      <x:c r="T843" s="9" t="str">
        <x:f>IF(C843="","",IFERROR(INDEX('Taxonomy Rules'!$F$42:$F$68,MATCH(E843,'Taxonomy Rules'!$C$42:$C$68,0)),""))</x:f>
      </x:c>
      <x:c r="U843" s="9" t="str">
        <x:f>IF(C843="","",IFERROR(INDEX('Taxonomy'!$G$9:$G$108,MATCH(D843,'Taxonomy'!$C$9:$C$108,0)),""))</x:f>
      </x:c>
    </x:row>
    <x:row r="844" ht="44" customHeight="1">
      <x:c r="A844" s="1"/>
      <x:c r="B844" s="1"/>
      <x:c r="C844" s="8"/>
      <x:c r="D844" s="8"/>
      <x:c r="E844" s="8"/>
      <x:c r="F844" s="8"/>
      <x:c r="G844" s="8"/>
      <x:c r="H844" s="8"/>
      <x:c r="I844" s="8"/>
      <x:c r="J844" s="8"/>
      <x:c r="K844" s="8"/>
      <x:c r="L844" s="8"/>
      <x:c r="M844" s="10"/>
      <x:c r="N844" s="10"/>
      <x:c r="O844" s="8"/>
      <x:c r="P844" s="9" t="str">
        <x:f>IF(C844="","",IF(AND(G844="Applicable",H844="Fail"),"Fail",IF(R844&lt;&gt;"Valid","Pending",IF(OR(I844="",K844="",L844="",K844=L844,NOT(ISNUMBER(M844)),NOT(ISNUMBER(N844)),M844&gt;Settings!$F$8,N844&lt;Settings!$F$8,N844&lt;M844),"Pending",IF(AND(G844="Applicable",H844="Pass"),"Pass",IF(AND(G844="N/A",H844="N/A",J844&lt;&gt;"",OR(E844="CEM-FUELS",E844="CEM-CCS",AND(E844="CEM-PLAN",IFERROR(INDEX('Taxonomy'!$M$9:$M$108,MATCH(D844,'Taxonomy'!$C$9:$C$108,0)),"")&lt;&gt;"Amber"),E844="BLD-TIMBER",AND(U844="Building equipment",OR(E844="BLD-WATER",E844="BLD-WASTE",E844="BLD-LAND")),AND(U844="Building renovation",E844="BLD-LAND"))),"N/A","Pending"))))))</x:f>
      </x:c>
      <x:c r="Q844" s="3" t="str">
        <x:f>IF(C844="","",IF(AND(R844="Valid",OR(P844="Pass",P844="N/A")),"Complete","Unresolved"))</x:f>
      </x:c>
      <x:c r="R844" s="9" t="str">
        <x:f>IF(C844="","",IF(OR(COUNTIF($C$9:$C$2008,C844)&lt;&gt;1,COUNTIFS($D$9:$D$2008,D844,$E$9:$E$2008,E844)&lt;&gt;1),"Duplicate test",IF(COUNTIF('Taxonomy'!$C$9:$C$108,D844)&lt;&gt;1,"Assessment key",IF(OR(COUNTIF('Taxonomy Rules'!$C$42:$C$68,E844)&lt;&gt;1,F844&lt;&gt;IFERROR(INDEX('Taxonomy Rules'!$D$42:$D$68,MATCH(E844,'Taxonomy Rules'!$C$42:$C$68,0)),""),NOT(OR(IFERROR(INDEX('Taxonomy Rules'!$G$42:$G$68,MATCH(E844,'Taxonomy Rules'!$C$42:$C$68,0)),"")="All supported routes",IFERROR(INDEX('Taxonomy Rules'!$G$42:$G$68,MATCH(E844,'Taxonomy Rules'!$C$42:$C$68,0)),"")=U844,AND(IFERROR(INDEX('Taxonomy Rules'!$G$42:$G$68,MATCH(E844,'Taxonomy Rules'!$C$42:$C$68,0)),"")="Building routes",OR(U844="Building renovation",U844="New building",U844="Building equipment"))))),"Unexpected test","Valid"))))</x:f>
      </x:c>
      <x:c r="S844" s="9" t="str">
        <x:f>IF(C844="","",IFERROR(INDEX('Taxonomy Rules'!$E$42:$E$68,MATCH(E844,'Taxonomy Rules'!$C$42:$C$68,0)),""))</x:f>
      </x:c>
      <x:c r="T844" s="9" t="str">
        <x:f>IF(C844="","",IFERROR(INDEX('Taxonomy Rules'!$F$42:$F$68,MATCH(E844,'Taxonomy Rules'!$C$42:$C$68,0)),""))</x:f>
      </x:c>
      <x:c r="U844" s="9" t="str">
        <x:f>IF(C844="","",IFERROR(INDEX('Taxonomy'!$G$9:$G$108,MATCH(D844,'Taxonomy'!$C$9:$C$108,0)),""))</x:f>
      </x:c>
    </x:row>
    <x:row r="845" ht="44" customHeight="1">
      <x:c r="A845" s="1"/>
      <x:c r="B845" s="1"/>
      <x:c r="C845" s="8"/>
      <x:c r="D845" s="8"/>
      <x:c r="E845" s="8"/>
      <x:c r="F845" s="8"/>
      <x:c r="G845" s="8"/>
      <x:c r="H845" s="8"/>
      <x:c r="I845" s="8"/>
      <x:c r="J845" s="8"/>
      <x:c r="K845" s="8"/>
      <x:c r="L845" s="8"/>
      <x:c r="M845" s="10"/>
      <x:c r="N845" s="10"/>
      <x:c r="O845" s="8"/>
      <x:c r="P845" s="9" t="str">
        <x:f>IF(C845="","",IF(AND(G845="Applicable",H845="Fail"),"Fail",IF(R845&lt;&gt;"Valid","Pending",IF(OR(I845="",K845="",L845="",K845=L845,NOT(ISNUMBER(M845)),NOT(ISNUMBER(N845)),M845&gt;Settings!$F$8,N845&lt;Settings!$F$8,N845&lt;M845),"Pending",IF(AND(G845="Applicable",H845="Pass"),"Pass",IF(AND(G845="N/A",H845="N/A",J845&lt;&gt;"",OR(E845="CEM-FUELS",E845="CEM-CCS",AND(E845="CEM-PLAN",IFERROR(INDEX('Taxonomy'!$M$9:$M$108,MATCH(D845,'Taxonomy'!$C$9:$C$108,0)),"")&lt;&gt;"Amber"),E845="BLD-TIMBER",AND(U845="Building equipment",OR(E845="BLD-WATER",E845="BLD-WASTE",E845="BLD-LAND")),AND(U845="Building renovation",E845="BLD-LAND"))),"N/A","Pending"))))))</x:f>
      </x:c>
      <x:c r="Q845" s="3" t="str">
        <x:f>IF(C845="","",IF(AND(R845="Valid",OR(P845="Pass",P845="N/A")),"Complete","Unresolved"))</x:f>
      </x:c>
      <x:c r="R845" s="9" t="str">
        <x:f>IF(C845="","",IF(OR(COUNTIF($C$9:$C$2008,C845)&lt;&gt;1,COUNTIFS($D$9:$D$2008,D845,$E$9:$E$2008,E845)&lt;&gt;1),"Duplicate test",IF(COUNTIF('Taxonomy'!$C$9:$C$108,D845)&lt;&gt;1,"Assessment key",IF(OR(COUNTIF('Taxonomy Rules'!$C$42:$C$68,E845)&lt;&gt;1,F845&lt;&gt;IFERROR(INDEX('Taxonomy Rules'!$D$42:$D$68,MATCH(E845,'Taxonomy Rules'!$C$42:$C$68,0)),""),NOT(OR(IFERROR(INDEX('Taxonomy Rules'!$G$42:$G$68,MATCH(E845,'Taxonomy Rules'!$C$42:$C$68,0)),"")="All supported routes",IFERROR(INDEX('Taxonomy Rules'!$G$42:$G$68,MATCH(E845,'Taxonomy Rules'!$C$42:$C$68,0)),"")=U845,AND(IFERROR(INDEX('Taxonomy Rules'!$G$42:$G$68,MATCH(E845,'Taxonomy Rules'!$C$42:$C$68,0)),"")="Building routes",OR(U845="Building renovation",U845="New building",U845="Building equipment"))))),"Unexpected test","Valid"))))</x:f>
      </x:c>
      <x:c r="S845" s="9" t="str">
        <x:f>IF(C845="","",IFERROR(INDEX('Taxonomy Rules'!$E$42:$E$68,MATCH(E845,'Taxonomy Rules'!$C$42:$C$68,0)),""))</x:f>
      </x:c>
      <x:c r="T845" s="9" t="str">
        <x:f>IF(C845="","",IFERROR(INDEX('Taxonomy Rules'!$F$42:$F$68,MATCH(E845,'Taxonomy Rules'!$C$42:$C$68,0)),""))</x:f>
      </x:c>
      <x:c r="U845" s="9" t="str">
        <x:f>IF(C845="","",IFERROR(INDEX('Taxonomy'!$G$9:$G$108,MATCH(D845,'Taxonomy'!$C$9:$C$108,0)),""))</x:f>
      </x:c>
    </x:row>
    <x:row r="846" ht="44" customHeight="1">
      <x:c r="A846" s="1"/>
      <x:c r="B846" s="1"/>
      <x:c r="C846" s="8"/>
      <x:c r="D846" s="8"/>
      <x:c r="E846" s="8"/>
      <x:c r="F846" s="8"/>
      <x:c r="G846" s="8"/>
      <x:c r="H846" s="8"/>
      <x:c r="I846" s="8"/>
      <x:c r="J846" s="8"/>
      <x:c r="K846" s="8"/>
      <x:c r="L846" s="8"/>
      <x:c r="M846" s="10"/>
      <x:c r="N846" s="10"/>
      <x:c r="O846" s="8"/>
      <x:c r="P846" s="9" t="str">
        <x:f>IF(C846="","",IF(AND(G846="Applicable",H846="Fail"),"Fail",IF(R846&lt;&gt;"Valid","Pending",IF(OR(I846="",K846="",L846="",K846=L846,NOT(ISNUMBER(M846)),NOT(ISNUMBER(N846)),M846&gt;Settings!$F$8,N846&lt;Settings!$F$8,N846&lt;M846),"Pending",IF(AND(G846="Applicable",H846="Pass"),"Pass",IF(AND(G846="N/A",H846="N/A",J846&lt;&gt;"",OR(E846="CEM-FUELS",E846="CEM-CCS",AND(E846="CEM-PLAN",IFERROR(INDEX('Taxonomy'!$M$9:$M$108,MATCH(D846,'Taxonomy'!$C$9:$C$108,0)),"")&lt;&gt;"Amber"),E846="BLD-TIMBER",AND(U846="Building equipment",OR(E846="BLD-WATER",E846="BLD-WASTE",E846="BLD-LAND")),AND(U846="Building renovation",E846="BLD-LAND"))),"N/A","Pending"))))))</x:f>
      </x:c>
      <x:c r="Q846" s="3" t="str">
        <x:f>IF(C846="","",IF(AND(R846="Valid",OR(P846="Pass",P846="N/A")),"Complete","Unresolved"))</x:f>
      </x:c>
      <x:c r="R846" s="9" t="str">
        <x:f>IF(C846="","",IF(OR(COUNTIF($C$9:$C$2008,C846)&lt;&gt;1,COUNTIFS($D$9:$D$2008,D846,$E$9:$E$2008,E846)&lt;&gt;1),"Duplicate test",IF(COUNTIF('Taxonomy'!$C$9:$C$108,D846)&lt;&gt;1,"Assessment key",IF(OR(COUNTIF('Taxonomy Rules'!$C$42:$C$68,E846)&lt;&gt;1,F846&lt;&gt;IFERROR(INDEX('Taxonomy Rules'!$D$42:$D$68,MATCH(E846,'Taxonomy Rules'!$C$42:$C$68,0)),""),NOT(OR(IFERROR(INDEX('Taxonomy Rules'!$G$42:$G$68,MATCH(E846,'Taxonomy Rules'!$C$42:$C$68,0)),"")="All supported routes",IFERROR(INDEX('Taxonomy Rules'!$G$42:$G$68,MATCH(E846,'Taxonomy Rules'!$C$42:$C$68,0)),"")=U846,AND(IFERROR(INDEX('Taxonomy Rules'!$G$42:$G$68,MATCH(E846,'Taxonomy Rules'!$C$42:$C$68,0)),"")="Building routes",OR(U846="Building renovation",U846="New building",U846="Building equipment"))))),"Unexpected test","Valid"))))</x:f>
      </x:c>
      <x:c r="S846" s="9" t="str">
        <x:f>IF(C846="","",IFERROR(INDEX('Taxonomy Rules'!$E$42:$E$68,MATCH(E846,'Taxonomy Rules'!$C$42:$C$68,0)),""))</x:f>
      </x:c>
      <x:c r="T846" s="9" t="str">
        <x:f>IF(C846="","",IFERROR(INDEX('Taxonomy Rules'!$F$42:$F$68,MATCH(E846,'Taxonomy Rules'!$C$42:$C$68,0)),""))</x:f>
      </x:c>
      <x:c r="U846" s="9" t="str">
        <x:f>IF(C846="","",IFERROR(INDEX('Taxonomy'!$G$9:$G$108,MATCH(D846,'Taxonomy'!$C$9:$C$108,0)),""))</x:f>
      </x:c>
    </x:row>
    <x:row r="847" ht="44" customHeight="1">
      <x:c r="A847" s="1"/>
      <x:c r="B847" s="1"/>
      <x:c r="C847" s="8"/>
      <x:c r="D847" s="8"/>
      <x:c r="E847" s="8"/>
      <x:c r="F847" s="8"/>
      <x:c r="G847" s="8"/>
      <x:c r="H847" s="8"/>
      <x:c r="I847" s="8"/>
      <x:c r="J847" s="8"/>
      <x:c r="K847" s="8"/>
      <x:c r="L847" s="8"/>
      <x:c r="M847" s="10"/>
      <x:c r="N847" s="10"/>
      <x:c r="O847" s="8"/>
      <x:c r="P847" s="9" t="str">
        <x:f>IF(C847="","",IF(AND(G847="Applicable",H847="Fail"),"Fail",IF(R847&lt;&gt;"Valid","Pending",IF(OR(I847="",K847="",L847="",K847=L847,NOT(ISNUMBER(M847)),NOT(ISNUMBER(N847)),M847&gt;Settings!$F$8,N847&lt;Settings!$F$8,N847&lt;M847),"Pending",IF(AND(G847="Applicable",H847="Pass"),"Pass",IF(AND(G847="N/A",H847="N/A",J847&lt;&gt;"",OR(E847="CEM-FUELS",E847="CEM-CCS",AND(E847="CEM-PLAN",IFERROR(INDEX('Taxonomy'!$M$9:$M$108,MATCH(D847,'Taxonomy'!$C$9:$C$108,0)),"")&lt;&gt;"Amber"),E847="BLD-TIMBER",AND(U847="Building equipment",OR(E847="BLD-WATER",E847="BLD-WASTE",E847="BLD-LAND")),AND(U847="Building renovation",E847="BLD-LAND"))),"N/A","Pending"))))))</x:f>
      </x:c>
      <x:c r="Q847" s="3" t="str">
        <x:f>IF(C847="","",IF(AND(R847="Valid",OR(P847="Pass",P847="N/A")),"Complete","Unresolved"))</x:f>
      </x:c>
      <x:c r="R847" s="9" t="str">
        <x:f>IF(C847="","",IF(OR(COUNTIF($C$9:$C$2008,C847)&lt;&gt;1,COUNTIFS($D$9:$D$2008,D847,$E$9:$E$2008,E847)&lt;&gt;1),"Duplicate test",IF(COUNTIF('Taxonomy'!$C$9:$C$108,D847)&lt;&gt;1,"Assessment key",IF(OR(COUNTIF('Taxonomy Rules'!$C$42:$C$68,E847)&lt;&gt;1,F847&lt;&gt;IFERROR(INDEX('Taxonomy Rules'!$D$42:$D$68,MATCH(E847,'Taxonomy Rules'!$C$42:$C$68,0)),""),NOT(OR(IFERROR(INDEX('Taxonomy Rules'!$G$42:$G$68,MATCH(E847,'Taxonomy Rules'!$C$42:$C$68,0)),"")="All supported routes",IFERROR(INDEX('Taxonomy Rules'!$G$42:$G$68,MATCH(E847,'Taxonomy Rules'!$C$42:$C$68,0)),"")=U847,AND(IFERROR(INDEX('Taxonomy Rules'!$G$42:$G$68,MATCH(E847,'Taxonomy Rules'!$C$42:$C$68,0)),"")="Building routes",OR(U847="Building renovation",U847="New building",U847="Building equipment"))))),"Unexpected test","Valid"))))</x:f>
      </x:c>
      <x:c r="S847" s="9" t="str">
        <x:f>IF(C847="","",IFERROR(INDEX('Taxonomy Rules'!$E$42:$E$68,MATCH(E847,'Taxonomy Rules'!$C$42:$C$68,0)),""))</x:f>
      </x:c>
      <x:c r="T847" s="9" t="str">
        <x:f>IF(C847="","",IFERROR(INDEX('Taxonomy Rules'!$F$42:$F$68,MATCH(E847,'Taxonomy Rules'!$C$42:$C$68,0)),""))</x:f>
      </x:c>
      <x:c r="U847" s="9" t="str">
        <x:f>IF(C847="","",IFERROR(INDEX('Taxonomy'!$G$9:$G$108,MATCH(D847,'Taxonomy'!$C$9:$C$108,0)),""))</x:f>
      </x:c>
    </x:row>
    <x:row r="848" ht="44" customHeight="1">
      <x:c r="A848" s="1"/>
      <x:c r="B848" s="1"/>
      <x:c r="C848" s="8"/>
      <x:c r="D848" s="8"/>
      <x:c r="E848" s="8"/>
      <x:c r="F848" s="8"/>
      <x:c r="G848" s="8"/>
      <x:c r="H848" s="8"/>
      <x:c r="I848" s="8"/>
      <x:c r="J848" s="8"/>
      <x:c r="K848" s="8"/>
      <x:c r="L848" s="8"/>
      <x:c r="M848" s="10"/>
      <x:c r="N848" s="10"/>
      <x:c r="O848" s="8"/>
      <x:c r="P848" s="9" t="str">
        <x:f>IF(C848="","",IF(AND(G848="Applicable",H848="Fail"),"Fail",IF(R848&lt;&gt;"Valid","Pending",IF(OR(I848="",K848="",L848="",K848=L848,NOT(ISNUMBER(M848)),NOT(ISNUMBER(N848)),M848&gt;Settings!$F$8,N848&lt;Settings!$F$8,N848&lt;M848),"Pending",IF(AND(G848="Applicable",H848="Pass"),"Pass",IF(AND(G848="N/A",H848="N/A",J848&lt;&gt;"",OR(E848="CEM-FUELS",E848="CEM-CCS",AND(E848="CEM-PLAN",IFERROR(INDEX('Taxonomy'!$M$9:$M$108,MATCH(D848,'Taxonomy'!$C$9:$C$108,0)),"")&lt;&gt;"Amber"),E848="BLD-TIMBER",AND(U848="Building equipment",OR(E848="BLD-WATER",E848="BLD-WASTE",E848="BLD-LAND")),AND(U848="Building renovation",E848="BLD-LAND"))),"N/A","Pending"))))))</x:f>
      </x:c>
      <x:c r="Q848" s="3" t="str">
        <x:f>IF(C848="","",IF(AND(R848="Valid",OR(P848="Pass",P848="N/A")),"Complete","Unresolved"))</x:f>
      </x:c>
      <x:c r="R848" s="9" t="str">
        <x:f>IF(C848="","",IF(OR(COUNTIF($C$9:$C$2008,C848)&lt;&gt;1,COUNTIFS($D$9:$D$2008,D848,$E$9:$E$2008,E848)&lt;&gt;1),"Duplicate test",IF(COUNTIF('Taxonomy'!$C$9:$C$108,D848)&lt;&gt;1,"Assessment key",IF(OR(COUNTIF('Taxonomy Rules'!$C$42:$C$68,E848)&lt;&gt;1,F848&lt;&gt;IFERROR(INDEX('Taxonomy Rules'!$D$42:$D$68,MATCH(E848,'Taxonomy Rules'!$C$42:$C$68,0)),""),NOT(OR(IFERROR(INDEX('Taxonomy Rules'!$G$42:$G$68,MATCH(E848,'Taxonomy Rules'!$C$42:$C$68,0)),"")="All supported routes",IFERROR(INDEX('Taxonomy Rules'!$G$42:$G$68,MATCH(E848,'Taxonomy Rules'!$C$42:$C$68,0)),"")=U848,AND(IFERROR(INDEX('Taxonomy Rules'!$G$42:$G$68,MATCH(E848,'Taxonomy Rules'!$C$42:$C$68,0)),"")="Building routes",OR(U848="Building renovation",U848="New building",U848="Building equipment"))))),"Unexpected test","Valid"))))</x:f>
      </x:c>
      <x:c r="S848" s="9" t="str">
        <x:f>IF(C848="","",IFERROR(INDEX('Taxonomy Rules'!$E$42:$E$68,MATCH(E848,'Taxonomy Rules'!$C$42:$C$68,0)),""))</x:f>
      </x:c>
      <x:c r="T848" s="9" t="str">
        <x:f>IF(C848="","",IFERROR(INDEX('Taxonomy Rules'!$F$42:$F$68,MATCH(E848,'Taxonomy Rules'!$C$42:$C$68,0)),""))</x:f>
      </x:c>
      <x:c r="U848" s="9" t="str">
        <x:f>IF(C848="","",IFERROR(INDEX('Taxonomy'!$G$9:$G$108,MATCH(D848,'Taxonomy'!$C$9:$C$108,0)),""))</x:f>
      </x:c>
    </x:row>
    <x:row r="849" ht="44" customHeight="1">
      <x:c r="A849" s="1"/>
      <x:c r="B849" s="1"/>
      <x:c r="C849" s="8"/>
      <x:c r="D849" s="8"/>
      <x:c r="E849" s="8"/>
      <x:c r="F849" s="8"/>
      <x:c r="G849" s="8"/>
      <x:c r="H849" s="8"/>
      <x:c r="I849" s="8"/>
      <x:c r="J849" s="8"/>
      <x:c r="K849" s="8"/>
      <x:c r="L849" s="8"/>
      <x:c r="M849" s="10"/>
      <x:c r="N849" s="10"/>
      <x:c r="O849" s="8"/>
      <x:c r="P849" s="9" t="str">
        <x:f>IF(C849="","",IF(AND(G849="Applicable",H849="Fail"),"Fail",IF(R849&lt;&gt;"Valid","Pending",IF(OR(I849="",K849="",L849="",K849=L849,NOT(ISNUMBER(M849)),NOT(ISNUMBER(N849)),M849&gt;Settings!$F$8,N849&lt;Settings!$F$8,N849&lt;M849),"Pending",IF(AND(G849="Applicable",H849="Pass"),"Pass",IF(AND(G849="N/A",H849="N/A",J849&lt;&gt;"",OR(E849="CEM-FUELS",E849="CEM-CCS",AND(E849="CEM-PLAN",IFERROR(INDEX('Taxonomy'!$M$9:$M$108,MATCH(D849,'Taxonomy'!$C$9:$C$108,0)),"")&lt;&gt;"Amber"),E849="BLD-TIMBER",AND(U849="Building equipment",OR(E849="BLD-WATER",E849="BLD-WASTE",E849="BLD-LAND")),AND(U849="Building renovation",E849="BLD-LAND"))),"N/A","Pending"))))))</x:f>
      </x:c>
      <x:c r="Q849" s="3" t="str">
        <x:f>IF(C849="","",IF(AND(R849="Valid",OR(P849="Pass",P849="N/A")),"Complete","Unresolved"))</x:f>
      </x:c>
      <x:c r="R849" s="9" t="str">
        <x:f>IF(C849="","",IF(OR(COUNTIF($C$9:$C$2008,C849)&lt;&gt;1,COUNTIFS($D$9:$D$2008,D849,$E$9:$E$2008,E849)&lt;&gt;1),"Duplicate test",IF(COUNTIF('Taxonomy'!$C$9:$C$108,D849)&lt;&gt;1,"Assessment key",IF(OR(COUNTIF('Taxonomy Rules'!$C$42:$C$68,E849)&lt;&gt;1,F849&lt;&gt;IFERROR(INDEX('Taxonomy Rules'!$D$42:$D$68,MATCH(E849,'Taxonomy Rules'!$C$42:$C$68,0)),""),NOT(OR(IFERROR(INDEX('Taxonomy Rules'!$G$42:$G$68,MATCH(E849,'Taxonomy Rules'!$C$42:$C$68,0)),"")="All supported routes",IFERROR(INDEX('Taxonomy Rules'!$G$42:$G$68,MATCH(E849,'Taxonomy Rules'!$C$42:$C$68,0)),"")=U849,AND(IFERROR(INDEX('Taxonomy Rules'!$G$42:$G$68,MATCH(E849,'Taxonomy Rules'!$C$42:$C$68,0)),"")="Building routes",OR(U849="Building renovation",U849="New building",U849="Building equipment"))))),"Unexpected test","Valid"))))</x:f>
      </x:c>
      <x:c r="S849" s="9" t="str">
        <x:f>IF(C849="","",IFERROR(INDEX('Taxonomy Rules'!$E$42:$E$68,MATCH(E849,'Taxonomy Rules'!$C$42:$C$68,0)),""))</x:f>
      </x:c>
      <x:c r="T849" s="9" t="str">
        <x:f>IF(C849="","",IFERROR(INDEX('Taxonomy Rules'!$F$42:$F$68,MATCH(E849,'Taxonomy Rules'!$C$42:$C$68,0)),""))</x:f>
      </x:c>
      <x:c r="U849" s="9" t="str">
        <x:f>IF(C849="","",IFERROR(INDEX('Taxonomy'!$G$9:$G$108,MATCH(D849,'Taxonomy'!$C$9:$C$108,0)),""))</x:f>
      </x:c>
    </x:row>
    <x:row r="850" ht="44" customHeight="1">
      <x:c r="A850" s="1"/>
      <x:c r="B850" s="1"/>
      <x:c r="C850" s="8"/>
      <x:c r="D850" s="8"/>
      <x:c r="E850" s="8"/>
      <x:c r="F850" s="8"/>
      <x:c r="G850" s="8"/>
      <x:c r="H850" s="8"/>
      <x:c r="I850" s="8"/>
      <x:c r="J850" s="8"/>
      <x:c r="K850" s="8"/>
      <x:c r="L850" s="8"/>
      <x:c r="M850" s="10"/>
      <x:c r="N850" s="10"/>
      <x:c r="O850" s="8"/>
      <x:c r="P850" s="9" t="str">
        <x:f>IF(C850="","",IF(AND(G850="Applicable",H850="Fail"),"Fail",IF(R850&lt;&gt;"Valid","Pending",IF(OR(I850="",K850="",L850="",K850=L850,NOT(ISNUMBER(M850)),NOT(ISNUMBER(N850)),M850&gt;Settings!$F$8,N850&lt;Settings!$F$8,N850&lt;M850),"Pending",IF(AND(G850="Applicable",H850="Pass"),"Pass",IF(AND(G850="N/A",H850="N/A",J850&lt;&gt;"",OR(E850="CEM-FUELS",E850="CEM-CCS",AND(E850="CEM-PLAN",IFERROR(INDEX('Taxonomy'!$M$9:$M$108,MATCH(D850,'Taxonomy'!$C$9:$C$108,0)),"")&lt;&gt;"Amber"),E850="BLD-TIMBER",AND(U850="Building equipment",OR(E850="BLD-WATER",E850="BLD-WASTE",E850="BLD-LAND")),AND(U850="Building renovation",E850="BLD-LAND"))),"N/A","Pending"))))))</x:f>
      </x:c>
      <x:c r="Q850" s="3" t="str">
        <x:f>IF(C850="","",IF(AND(R850="Valid",OR(P850="Pass",P850="N/A")),"Complete","Unresolved"))</x:f>
      </x:c>
      <x:c r="R850" s="9" t="str">
        <x:f>IF(C850="","",IF(OR(COUNTIF($C$9:$C$2008,C850)&lt;&gt;1,COUNTIFS($D$9:$D$2008,D850,$E$9:$E$2008,E850)&lt;&gt;1),"Duplicate test",IF(COUNTIF('Taxonomy'!$C$9:$C$108,D850)&lt;&gt;1,"Assessment key",IF(OR(COUNTIF('Taxonomy Rules'!$C$42:$C$68,E850)&lt;&gt;1,F850&lt;&gt;IFERROR(INDEX('Taxonomy Rules'!$D$42:$D$68,MATCH(E850,'Taxonomy Rules'!$C$42:$C$68,0)),""),NOT(OR(IFERROR(INDEX('Taxonomy Rules'!$G$42:$G$68,MATCH(E850,'Taxonomy Rules'!$C$42:$C$68,0)),"")="All supported routes",IFERROR(INDEX('Taxonomy Rules'!$G$42:$G$68,MATCH(E850,'Taxonomy Rules'!$C$42:$C$68,0)),"")=U850,AND(IFERROR(INDEX('Taxonomy Rules'!$G$42:$G$68,MATCH(E850,'Taxonomy Rules'!$C$42:$C$68,0)),"")="Building routes",OR(U850="Building renovation",U850="New building",U850="Building equipment"))))),"Unexpected test","Valid"))))</x:f>
      </x:c>
      <x:c r="S850" s="9" t="str">
        <x:f>IF(C850="","",IFERROR(INDEX('Taxonomy Rules'!$E$42:$E$68,MATCH(E850,'Taxonomy Rules'!$C$42:$C$68,0)),""))</x:f>
      </x:c>
      <x:c r="T850" s="9" t="str">
        <x:f>IF(C850="","",IFERROR(INDEX('Taxonomy Rules'!$F$42:$F$68,MATCH(E850,'Taxonomy Rules'!$C$42:$C$68,0)),""))</x:f>
      </x:c>
      <x:c r="U850" s="9" t="str">
        <x:f>IF(C850="","",IFERROR(INDEX('Taxonomy'!$G$9:$G$108,MATCH(D850,'Taxonomy'!$C$9:$C$108,0)),""))</x:f>
      </x:c>
    </x:row>
    <x:row r="851" ht="44" customHeight="1">
      <x:c r="A851" s="1"/>
      <x:c r="B851" s="1"/>
      <x:c r="C851" s="8"/>
      <x:c r="D851" s="8"/>
      <x:c r="E851" s="8"/>
      <x:c r="F851" s="8"/>
      <x:c r="G851" s="8"/>
      <x:c r="H851" s="8"/>
      <x:c r="I851" s="8"/>
      <x:c r="J851" s="8"/>
      <x:c r="K851" s="8"/>
      <x:c r="L851" s="8"/>
      <x:c r="M851" s="10"/>
      <x:c r="N851" s="10"/>
      <x:c r="O851" s="8"/>
      <x:c r="P851" s="9" t="str">
        <x:f>IF(C851="","",IF(AND(G851="Applicable",H851="Fail"),"Fail",IF(R851&lt;&gt;"Valid","Pending",IF(OR(I851="",K851="",L851="",K851=L851,NOT(ISNUMBER(M851)),NOT(ISNUMBER(N851)),M851&gt;Settings!$F$8,N851&lt;Settings!$F$8,N851&lt;M851),"Pending",IF(AND(G851="Applicable",H851="Pass"),"Pass",IF(AND(G851="N/A",H851="N/A",J851&lt;&gt;"",OR(E851="CEM-FUELS",E851="CEM-CCS",AND(E851="CEM-PLAN",IFERROR(INDEX('Taxonomy'!$M$9:$M$108,MATCH(D851,'Taxonomy'!$C$9:$C$108,0)),"")&lt;&gt;"Amber"),E851="BLD-TIMBER",AND(U851="Building equipment",OR(E851="BLD-WATER",E851="BLD-WASTE",E851="BLD-LAND")),AND(U851="Building renovation",E851="BLD-LAND"))),"N/A","Pending"))))))</x:f>
      </x:c>
      <x:c r="Q851" s="3" t="str">
        <x:f>IF(C851="","",IF(AND(R851="Valid",OR(P851="Pass",P851="N/A")),"Complete","Unresolved"))</x:f>
      </x:c>
      <x:c r="R851" s="9" t="str">
        <x:f>IF(C851="","",IF(OR(COUNTIF($C$9:$C$2008,C851)&lt;&gt;1,COUNTIFS($D$9:$D$2008,D851,$E$9:$E$2008,E851)&lt;&gt;1),"Duplicate test",IF(COUNTIF('Taxonomy'!$C$9:$C$108,D851)&lt;&gt;1,"Assessment key",IF(OR(COUNTIF('Taxonomy Rules'!$C$42:$C$68,E851)&lt;&gt;1,F851&lt;&gt;IFERROR(INDEX('Taxonomy Rules'!$D$42:$D$68,MATCH(E851,'Taxonomy Rules'!$C$42:$C$68,0)),""),NOT(OR(IFERROR(INDEX('Taxonomy Rules'!$G$42:$G$68,MATCH(E851,'Taxonomy Rules'!$C$42:$C$68,0)),"")="All supported routes",IFERROR(INDEX('Taxonomy Rules'!$G$42:$G$68,MATCH(E851,'Taxonomy Rules'!$C$42:$C$68,0)),"")=U851,AND(IFERROR(INDEX('Taxonomy Rules'!$G$42:$G$68,MATCH(E851,'Taxonomy Rules'!$C$42:$C$68,0)),"")="Building routes",OR(U851="Building renovation",U851="New building",U851="Building equipment"))))),"Unexpected test","Valid"))))</x:f>
      </x:c>
      <x:c r="S851" s="9" t="str">
        <x:f>IF(C851="","",IFERROR(INDEX('Taxonomy Rules'!$E$42:$E$68,MATCH(E851,'Taxonomy Rules'!$C$42:$C$68,0)),""))</x:f>
      </x:c>
      <x:c r="T851" s="9" t="str">
        <x:f>IF(C851="","",IFERROR(INDEX('Taxonomy Rules'!$F$42:$F$68,MATCH(E851,'Taxonomy Rules'!$C$42:$C$68,0)),""))</x:f>
      </x:c>
      <x:c r="U851" s="9" t="str">
        <x:f>IF(C851="","",IFERROR(INDEX('Taxonomy'!$G$9:$G$108,MATCH(D851,'Taxonomy'!$C$9:$C$108,0)),""))</x:f>
      </x:c>
    </x:row>
    <x:row r="852" ht="44" customHeight="1">
      <x:c r="A852" s="1"/>
      <x:c r="B852" s="1"/>
      <x:c r="C852" s="8"/>
      <x:c r="D852" s="8"/>
      <x:c r="E852" s="8"/>
      <x:c r="F852" s="8"/>
      <x:c r="G852" s="8"/>
      <x:c r="H852" s="8"/>
      <x:c r="I852" s="8"/>
      <x:c r="J852" s="8"/>
      <x:c r="K852" s="8"/>
      <x:c r="L852" s="8"/>
      <x:c r="M852" s="10"/>
      <x:c r="N852" s="10"/>
      <x:c r="O852" s="8"/>
      <x:c r="P852" s="9" t="str">
        <x:f>IF(C852="","",IF(AND(G852="Applicable",H852="Fail"),"Fail",IF(R852&lt;&gt;"Valid","Pending",IF(OR(I852="",K852="",L852="",K852=L852,NOT(ISNUMBER(M852)),NOT(ISNUMBER(N852)),M852&gt;Settings!$F$8,N852&lt;Settings!$F$8,N852&lt;M852),"Pending",IF(AND(G852="Applicable",H852="Pass"),"Pass",IF(AND(G852="N/A",H852="N/A",J852&lt;&gt;"",OR(E852="CEM-FUELS",E852="CEM-CCS",AND(E852="CEM-PLAN",IFERROR(INDEX('Taxonomy'!$M$9:$M$108,MATCH(D852,'Taxonomy'!$C$9:$C$108,0)),"")&lt;&gt;"Amber"),E852="BLD-TIMBER",AND(U852="Building equipment",OR(E852="BLD-WATER",E852="BLD-WASTE",E852="BLD-LAND")),AND(U852="Building renovation",E852="BLD-LAND"))),"N/A","Pending"))))))</x:f>
      </x:c>
      <x:c r="Q852" s="3" t="str">
        <x:f>IF(C852="","",IF(AND(R852="Valid",OR(P852="Pass",P852="N/A")),"Complete","Unresolved"))</x:f>
      </x:c>
      <x:c r="R852" s="9" t="str">
        <x:f>IF(C852="","",IF(OR(COUNTIF($C$9:$C$2008,C852)&lt;&gt;1,COUNTIFS($D$9:$D$2008,D852,$E$9:$E$2008,E852)&lt;&gt;1),"Duplicate test",IF(COUNTIF('Taxonomy'!$C$9:$C$108,D852)&lt;&gt;1,"Assessment key",IF(OR(COUNTIF('Taxonomy Rules'!$C$42:$C$68,E852)&lt;&gt;1,F852&lt;&gt;IFERROR(INDEX('Taxonomy Rules'!$D$42:$D$68,MATCH(E852,'Taxonomy Rules'!$C$42:$C$68,0)),""),NOT(OR(IFERROR(INDEX('Taxonomy Rules'!$G$42:$G$68,MATCH(E852,'Taxonomy Rules'!$C$42:$C$68,0)),"")="All supported routes",IFERROR(INDEX('Taxonomy Rules'!$G$42:$G$68,MATCH(E852,'Taxonomy Rules'!$C$42:$C$68,0)),"")=U852,AND(IFERROR(INDEX('Taxonomy Rules'!$G$42:$G$68,MATCH(E852,'Taxonomy Rules'!$C$42:$C$68,0)),"")="Building routes",OR(U852="Building renovation",U852="New building",U852="Building equipment"))))),"Unexpected test","Valid"))))</x:f>
      </x:c>
      <x:c r="S852" s="9" t="str">
        <x:f>IF(C852="","",IFERROR(INDEX('Taxonomy Rules'!$E$42:$E$68,MATCH(E852,'Taxonomy Rules'!$C$42:$C$68,0)),""))</x:f>
      </x:c>
      <x:c r="T852" s="9" t="str">
        <x:f>IF(C852="","",IFERROR(INDEX('Taxonomy Rules'!$F$42:$F$68,MATCH(E852,'Taxonomy Rules'!$C$42:$C$68,0)),""))</x:f>
      </x:c>
      <x:c r="U852" s="9" t="str">
        <x:f>IF(C852="","",IFERROR(INDEX('Taxonomy'!$G$9:$G$108,MATCH(D852,'Taxonomy'!$C$9:$C$108,0)),""))</x:f>
      </x:c>
    </x:row>
    <x:row r="853" ht="44" customHeight="1">
      <x:c r="A853" s="1"/>
      <x:c r="B853" s="1"/>
      <x:c r="C853" s="8"/>
      <x:c r="D853" s="8"/>
      <x:c r="E853" s="8"/>
      <x:c r="F853" s="8"/>
      <x:c r="G853" s="8"/>
      <x:c r="H853" s="8"/>
      <x:c r="I853" s="8"/>
      <x:c r="J853" s="8"/>
      <x:c r="K853" s="8"/>
      <x:c r="L853" s="8"/>
      <x:c r="M853" s="10"/>
      <x:c r="N853" s="10"/>
      <x:c r="O853" s="8"/>
      <x:c r="P853" s="9" t="str">
        <x:f>IF(C853="","",IF(AND(G853="Applicable",H853="Fail"),"Fail",IF(R853&lt;&gt;"Valid","Pending",IF(OR(I853="",K853="",L853="",K853=L853,NOT(ISNUMBER(M853)),NOT(ISNUMBER(N853)),M853&gt;Settings!$F$8,N853&lt;Settings!$F$8,N853&lt;M853),"Pending",IF(AND(G853="Applicable",H853="Pass"),"Pass",IF(AND(G853="N/A",H853="N/A",J853&lt;&gt;"",OR(E853="CEM-FUELS",E853="CEM-CCS",AND(E853="CEM-PLAN",IFERROR(INDEX('Taxonomy'!$M$9:$M$108,MATCH(D853,'Taxonomy'!$C$9:$C$108,0)),"")&lt;&gt;"Amber"),E853="BLD-TIMBER",AND(U853="Building equipment",OR(E853="BLD-WATER",E853="BLD-WASTE",E853="BLD-LAND")),AND(U853="Building renovation",E853="BLD-LAND"))),"N/A","Pending"))))))</x:f>
      </x:c>
      <x:c r="Q853" s="3" t="str">
        <x:f>IF(C853="","",IF(AND(R853="Valid",OR(P853="Pass",P853="N/A")),"Complete","Unresolved"))</x:f>
      </x:c>
      <x:c r="R853" s="9" t="str">
        <x:f>IF(C853="","",IF(OR(COUNTIF($C$9:$C$2008,C853)&lt;&gt;1,COUNTIFS($D$9:$D$2008,D853,$E$9:$E$2008,E853)&lt;&gt;1),"Duplicate test",IF(COUNTIF('Taxonomy'!$C$9:$C$108,D853)&lt;&gt;1,"Assessment key",IF(OR(COUNTIF('Taxonomy Rules'!$C$42:$C$68,E853)&lt;&gt;1,F853&lt;&gt;IFERROR(INDEX('Taxonomy Rules'!$D$42:$D$68,MATCH(E853,'Taxonomy Rules'!$C$42:$C$68,0)),""),NOT(OR(IFERROR(INDEX('Taxonomy Rules'!$G$42:$G$68,MATCH(E853,'Taxonomy Rules'!$C$42:$C$68,0)),"")="All supported routes",IFERROR(INDEX('Taxonomy Rules'!$G$42:$G$68,MATCH(E853,'Taxonomy Rules'!$C$42:$C$68,0)),"")=U853,AND(IFERROR(INDEX('Taxonomy Rules'!$G$42:$G$68,MATCH(E853,'Taxonomy Rules'!$C$42:$C$68,0)),"")="Building routes",OR(U853="Building renovation",U853="New building",U853="Building equipment"))))),"Unexpected test","Valid"))))</x:f>
      </x:c>
      <x:c r="S853" s="9" t="str">
        <x:f>IF(C853="","",IFERROR(INDEX('Taxonomy Rules'!$E$42:$E$68,MATCH(E853,'Taxonomy Rules'!$C$42:$C$68,0)),""))</x:f>
      </x:c>
      <x:c r="T853" s="9" t="str">
        <x:f>IF(C853="","",IFERROR(INDEX('Taxonomy Rules'!$F$42:$F$68,MATCH(E853,'Taxonomy Rules'!$C$42:$C$68,0)),""))</x:f>
      </x:c>
      <x:c r="U853" s="9" t="str">
        <x:f>IF(C853="","",IFERROR(INDEX('Taxonomy'!$G$9:$G$108,MATCH(D853,'Taxonomy'!$C$9:$C$108,0)),""))</x:f>
      </x:c>
    </x:row>
    <x:row r="854" ht="44" customHeight="1">
      <x:c r="A854" s="1"/>
      <x:c r="B854" s="1"/>
      <x:c r="C854" s="8"/>
      <x:c r="D854" s="8"/>
      <x:c r="E854" s="8"/>
      <x:c r="F854" s="8"/>
      <x:c r="G854" s="8"/>
      <x:c r="H854" s="8"/>
      <x:c r="I854" s="8"/>
      <x:c r="J854" s="8"/>
      <x:c r="K854" s="8"/>
      <x:c r="L854" s="8"/>
      <x:c r="M854" s="10"/>
      <x:c r="N854" s="10"/>
      <x:c r="O854" s="8"/>
      <x:c r="P854" s="9" t="str">
        <x:f>IF(C854="","",IF(AND(G854="Applicable",H854="Fail"),"Fail",IF(R854&lt;&gt;"Valid","Pending",IF(OR(I854="",K854="",L854="",K854=L854,NOT(ISNUMBER(M854)),NOT(ISNUMBER(N854)),M854&gt;Settings!$F$8,N854&lt;Settings!$F$8,N854&lt;M854),"Pending",IF(AND(G854="Applicable",H854="Pass"),"Pass",IF(AND(G854="N/A",H854="N/A",J854&lt;&gt;"",OR(E854="CEM-FUELS",E854="CEM-CCS",AND(E854="CEM-PLAN",IFERROR(INDEX('Taxonomy'!$M$9:$M$108,MATCH(D854,'Taxonomy'!$C$9:$C$108,0)),"")&lt;&gt;"Amber"),E854="BLD-TIMBER",AND(U854="Building equipment",OR(E854="BLD-WATER",E854="BLD-WASTE",E854="BLD-LAND")),AND(U854="Building renovation",E854="BLD-LAND"))),"N/A","Pending"))))))</x:f>
      </x:c>
      <x:c r="Q854" s="3" t="str">
        <x:f>IF(C854="","",IF(AND(R854="Valid",OR(P854="Pass",P854="N/A")),"Complete","Unresolved"))</x:f>
      </x:c>
      <x:c r="R854" s="9" t="str">
        <x:f>IF(C854="","",IF(OR(COUNTIF($C$9:$C$2008,C854)&lt;&gt;1,COUNTIFS($D$9:$D$2008,D854,$E$9:$E$2008,E854)&lt;&gt;1),"Duplicate test",IF(COUNTIF('Taxonomy'!$C$9:$C$108,D854)&lt;&gt;1,"Assessment key",IF(OR(COUNTIF('Taxonomy Rules'!$C$42:$C$68,E854)&lt;&gt;1,F854&lt;&gt;IFERROR(INDEX('Taxonomy Rules'!$D$42:$D$68,MATCH(E854,'Taxonomy Rules'!$C$42:$C$68,0)),""),NOT(OR(IFERROR(INDEX('Taxonomy Rules'!$G$42:$G$68,MATCH(E854,'Taxonomy Rules'!$C$42:$C$68,0)),"")="All supported routes",IFERROR(INDEX('Taxonomy Rules'!$G$42:$G$68,MATCH(E854,'Taxonomy Rules'!$C$42:$C$68,0)),"")=U854,AND(IFERROR(INDEX('Taxonomy Rules'!$G$42:$G$68,MATCH(E854,'Taxonomy Rules'!$C$42:$C$68,0)),"")="Building routes",OR(U854="Building renovation",U854="New building",U854="Building equipment"))))),"Unexpected test","Valid"))))</x:f>
      </x:c>
      <x:c r="S854" s="9" t="str">
        <x:f>IF(C854="","",IFERROR(INDEX('Taxonomy Rules'!$E$42:$E$68,MATCH(E854,'Taxonomy Rules'!$C$42:$C$68,0)),""))</x:f>
      </x:c>
      <x:c r="T854" s="9" t="str">
        <x:f>IF(C854="","",IFERROR(INDEX('Taxonomy Rules'!$F$42:$F$68,MATCH(E854,'Taxonomy Rules'!$C$42:$C$68,0)),""))</x:f>
      </x:c>
      <x:c r="U854" s="9" t="str">
        <x:f>IF(C854="","",IFERROR(INDEX('Taxonomy'!$G$9:$G$108,MATCH(D854,'Taxonomy'!$C$9:$C$108,0)),""))</x:f>
      </x:c>
    </x:row>
    <x:row r="855" ht="44" customHeight="1">
      <x:c r="A855" s="1"/>
      <x:c r="B855" s="1"/>
      <x:c r="C855" s="8"/>
      <x:c r="D855" s="8"/>
      <x:c r="E855" s="8"/>
      <x:c r="F855" s="8"/>
      <x:c r="G855" s="8"/>
      <x:c r="H855" s="8"/>
      <x:c r="I855" s="8"/>
      <x:c r="J855" s="8"/>
      <x:c r="K855" s="8"/>
      <x:c r="L855" s="8"/>
      <x:c r="M855" s="10"/>
      <x:c r="N855" s="10"/>
      <x:c r="O855" s="8"/>
      <x:c r="P855" s="9" t="str">
        <x:f>IF(C855="","",IF(AND(G855="Applicable",H855="Fail"),"Fail",IF(R855&lt;&gt;"Valid","Pending",IF(OR(I855="",K855="",L855="",K855=L855,NOT(ISNUMBER(M855)),NOT(ISNUMBER(N855)),M855&gt;Settings!$F$8,N855&lt;Settings!$F$8,N855&lt;M855),"Pending",IF(AND(G855="Applicable",H855="Pass"),"Pass",IF(AND(G855="N/A",H855="N/A",J855&lt;&gt;"",OR(E855="CEM-FUELS",E855="CEM-CCS",AND(E855="CEM-PLAN",IFERROR(INDEX('Taxonomy'!$M$9:$M$108,MATCH(D855,'Taxonomy'!$C$9:$C$108,0)),"")&lt;&gt;"Amber"),E855="BLD-TIMBER",AND(U855="Building equipment",OR(E855="BLD-WATER",E855="BLD-WASTE",E855="BLD-LAND")),AND(U855="Building renovation",E855="BLD-LAND"))),"N/A","Pending"))))))</x:f>
      </x:c>
      <x:c r="Q855" s="3" t="str">
        <x:f>IF(C855="","",IF(AND(R855="Valid",OR(P855="Pass",P855="N/A")),"Complete","Unresolved"))</x:f>
      </x:c>
      <x:c r="R855" s="9" t="str">
        <x:f>IF(C855="","",IF(OR(COUNTIF($C$9:$C$2008,C855)&lt;&gt;1,COUNTIFS($D$9:$D$2008,D855,$E$9:$E$2008,E855)&lt;&gt;1),"Duplicate test",IF(COUNTIF('Taxonomy'!$C$9:$C$108,D855)&lt;&gt;1,"Assessment key",IF(OR(COUNTIF('Taxonomy Rules'!$C$42:$C$68,E855)&lt;&gt;1,F855&lt;&gt;IFERROR(INDEX('Taxonomy Rules'!$D$42:$D$68,MATCH(E855,'Taxonomy Rules'!$C$42:$C$68,0)),""),NOT(OR(IFERROR(INDEX('Taxonomy Rules'!$G$42:$G$68,MATCH(E855,'Taxonomy Rules'!$C$42:$C$68,0)),"")="All supported routes",IFERROR(INDEX('Taxonomy Rules'!$G$42:$G$68,MATCH(E855,'Taxonomy Rules'!$C$42:$C$68,0)),"")=U855,AND(IFERROR(INDEX('Taxonomy Rules'!$G$42:$G$68,MATCH(E855,'Taxonomy Rules'!$C$42:$C$68,0)),"")="Building routes",OR(U855="Building renovation",U855="New building",U855="Building equipment"))))),"Unexpected test","Valid"))))</x:f>
      </x:c>
      <x:c r="S855" s="9" t="str">
        <x:f>IF(C855="","",IFERROR(INDEX('Taxonomy Rules'!$E$42:$E$68,MATCH(E855,'Taxonomy Rules'!$C$42:$C$68,0)),""))</x:f>
      </x:c>
      <x:c r="T855" s="9" t="str">
        <x:f>IF(C855="","",IFERROR(INDEX('Taxonomy Rules'!$F$42:$F$68,MATCH(E855,'Taxonomy Rules'!$C$42:$C$68,0)),""))</x:f>
      </x:c>
      <x:c r="U855" s="9" t="str">
        <x:f>IF(C855="","",IFERROR(INDEX('Taxonomy'!$G$9:$G$108,MATCH(D855,'Taxonomy'!$C$9:$C$108,0)),""))</x:f>
      </x:c>
    </x:row>
    <x:row r="856" ht="44" customHeight="1">
      <x:c r="A856" s="1"/>
      <x:c r="B856" s="1"/>
      <x:c r="C856" s="8"/>
      <x:c r="D856" s="8"/>
      <x:c r="E856" s="8"/>
      <x:c r="F856" s="8"/>
      <x:c r="G856" s="8"/>
      <x:c r="H856" s="8"/>
      <x:c r="I856" s="8"/>
      <x:c r="J856" s="8"/>
      <x:c r="K856" s="8"/>
      <x:c r="L856" s="8"/>
      <x:c r="M856" s="10"/>
      <x:c r="N856" s="10"/>
      <x:c r="O856" s="8"/>
      <x:c r="P856" s="9" t="str">
        <x:f>IF(C856="","",IF(AND(G856="Applicable",H856="Fail"),"Fail",IF(R856&lt;&gt;"Valid","Pending",IF(OR(I856="",K856="",L856="",K856=L856,NOT(ISNUMBER(M856)),NOT(ISNUMBER(N856)),M856&gt;Settings!$F$8,N856&lt;Settings!$F$8,N856&lt;M856),"Pending",IF(AND(G856="Applicable",H856="Pass"),"Pass",IF(AND(G856="N/A",H856="N/A",J856&lt;&gt;"",OR(E856="CEM-FUELS",E856="CEM-CCS",AND(E856="CEM-PLAN",IFERROR(INDEX('Taxonomy'!$M$9:$M$108,MATCH(D856,'Taxonomy'!$C$9:$C$108,0)),"")&lt;&gt;"Amber"),E856="BLD-TIMBER",AND(U856="Building equipment",OR(E856="BLD-WATER",E856="BLD-WASTE",E856="BLD-LAND")),AND(U856="Building renovation",E856="BLD-LAND"))),"N/A","Pending"))))))</x:f>
      </x:c>
      <x:c r="Q856" s="3" t="str">
        <x:f>IF(C856="","",IF(AND(R856="Valid",OR(P856="Pass",P856="N/A")),"Complete","Unresolved"))</x:f>
      </x:c>
      <x:c r="R856" s="9" t="str">
        <x:f>IF(C856="","",IF(OR(COUNTIF($C$9:$C$2008,C856)&lt;&gt;1,COUNTIFS($D$9:$D$2008,D856,$E$9:$E$2008,E856)&lt;&gt;1),"Duplicate test",IF(COUNTIF('Taxonomy'!$C$9:$C$108,D856)&lt;&gt;1,"Assessment key",IF(OR(COUNTIF('Taxonomy Rules'!$C$42:$C$68,E856)&lt;&gt;1,F856&lt;&gt;IFERROR(INDEX('Taxonomy Rules'!$D$42:$D$68,MATCH(E856,'Taxonomy Rules'!$C$42:$C$68,0)),""),NOT(OR(IFERROR(INDEX('Taxonomy Rules'!$G$42:$G$68,MATCH(E856,'Taxonomy Rules'!$C$42:$C$68,0)),"")="All supported routes",IFERROR(INDEX('Taxonomy Rules'!$G$42:$G$68,MATCH(E856,'Taxonomy Rules'!$C$42:$C$68,0)),"")=U856,AND(IFERROR(INDEX('Taxonomy Rules'!$G$42:$G$68,MATCH(E856,'Taxonomy Rules'!$C$42:$C$68,0)),"")="Building routes",OR(U856="Building renovation",U856="New building",U856="Building equipment"))))),"Unexpected test","Valid"))))</x:f>
      </x:c>
      <x:c r="S856" s="9" t="str">
        <x:f>IF(C856="","",IFERROR(INDEX('Taxonomy Rules'!$E$42:$E$68,MATCH(E856,'Taxonomy Rules'!$C$42:$C$68,0)),""))</x:f>
      </x:c>
      <x:c r="T856" s="9" t="str">
        <x:f>IF(C856="","",IFERROR(INDEX('Taxonomy Rules'!$F$42:$F$68,MATCH(E856,'Taxonomy Rules'!$C$42:$C$68,0)),""))</x:f>
      </x:c>
      <x:c r="U856" s="9" t="str">
        <x:f>IF(C856="","",IFERROR(INDEX('Taxonomy'!$G$9:$G$108,MATCH(D856,'Taxonomy'!$C$9:$C$108,0)),""))</x:f>
      </x:c>
    </x:row>
    <x:row r="857" ht="44" customHeight="1">
      <x:c r="A857" s="1"/>
      <x:c r="B857" s="1"/>
      <x:c r="C857" s="8"/>
      <x:c r="D857" s="8"/>
      <x:c r="E857" s="8"/>
      <x:c r="F857" s="8"/>
      <x:c r="G857" s="8"/>
      <x:c r="H857" s="8"/>
      <x:c r="I857" s="8"/>
      <x:c r="J857" s="8"/>
      <x:c r="K857" s="8"/>
      <x:c r="L857" s="8"/>
      <x:c r="M857" s="10"/>
      <x:c r="N857" s="10"/>
      <x:c r="O857" s="8"/>
      <x:c r="P857" s="9" t="str">
        <x:f>IF(C857="","",IF(AND(G857="Applicable",H857="Fail"),"Fail",IF(R857&lt;&gt;"Valid","Pending",IF(OR(I857="",K857="",L857="",K857=L857,NOT(ISNUMBER(M857)),NOT(ISNUMBER(N857)),M857&gt;Settings!$F$8,N857&lt;Settings!$F$8,N857&lt;M857),"Pending",IF(AND(G857="Applicable",H857="Pass"),"Pass",IF(AND(G857="N/A",H857="N/A",J857&lt;&gt;"",OR(E857="CEM-FUELS",E857="CEM-CCS",AND(E857="CEM-PLAN",IFERROR(INDEX('Taxonomy'!$M$9:$M$108,MATCH(D857,'Taxonomy'!$C$9:$C$108,0)),"")&lt;&gt;"Amber"),E857="BLD-TIMBER",AND(U857="Building equipment",OR(E857="BLD-WATER",E857="BLD-WASTE",E857="BLD-LAND")),AND(U857="Building renovation",E857="BLD-LAND"))),"N/A","Pending"))))))</x:f>
      </x:c>
      <x:c r="Q857" s="3" t="str">
        <x:f>IF(C857="","",IF(AND(R857="Valid",OR(P857="Pass",P857="N/A")),"Complete","Unresolved"))</x:f>
      </x:c>
      <x:c r="R857" s="9" t="str">
        <x:f>IF(C857="","",IF(OR(COUNTIF($C$9:$C$2008,C857)&lt;&gt;1,COUNTIFS($D$9:$D$2008,D857,$E$9:$E$2008,E857)&lt;&gt;1),"Duplicate test",IF(COUNTIF('Taxonomy'!$C$9:$C$108,D857)&lt;&gt;1,"Assessment key",IF(OR(COUNTIF('Taxonomy Rules'!$C$42:$C$68,E857)&lt;&gt;1,F857&lt;&gt;IFERROR(INDEX('Taxonomy Rules'!$D$42:$D$68,MATCH(E857,'Taxonomy Rules'!$C$42:$C$68,0)),""),NOT(OR(IFERROR(INDEX('Taxonomy Rules'!$G$42:$G$68,MATCH(E857,'Taxonomy Rules'!$C$42:$C$68,0)),"")="All supported routes",IFERROR(INDEX('Taxonomy Rules'!$G$42:$G$68,MATCH(E857,'Taxonomy Rules'!$C$42:$C$68,0)),"")=U857,AND(IFERROR(INDEX('Taxonomy Rules'!$G$42:$G$68,MATCH(E857,'Taxonomy Rules'!$C$42:$C$68,0)),"")="Building routes",OR(U857="Building renovation",U857="New building",U857="Building equipment"))))),"Unexpected test","Valid"))))</x:f>
      </x:c>
      <x:c r="S857" s="9" t="str">
        <x:f>IF(C857="","",IFERROR(INDEX('Taxonomy Rules'!$E$42:$E$68,MATCH(E857,'Taxonomy Rules'!$C$42:$C$68,0)),""))</x:f>
      </x:c>
      <x:c r="T857" s="9" t="str">
        <x:f>IF(C857="","",IFERROR(INDEX('Taxonomy Rules'!$F$42:$F$68,MATCH(E857,'Taxonomy Rules'!$C$42:$C$68,0)),""))</x:f>
      </x:c>
      <x:c r="U857" s="9" t="str">
        <x:f>IF(C857="","",IFERROR(INDEX('Taxonomy'!$G$9:$G$108,MATCH(D857,'Taxonomy'!$C$9:$C$108,0)),""))</x:f>
      </x:c>
    </x:row>
    <x:row r="858" ht="44" customHeight="1">
      <x:c r="A858" s="1"/>
      <x:c r="B858" s="1"/>
      <x:c r="C858" s="8"/>
      <x:c r="D858" s="8"/>
      <x:c r="E858" s="8"/>
      <x:c r="F858" s="8"/>
      <x:c r="G858" s="8"/>
      <x:c r="H858" s="8"/>
      <x:c r="I858" s="8"/>
      <x:c r="J858" s="8"/>
      <x:c r="K858" s="8"/>
      <x:c r="L858" s="8"/>
      <x:c r="M858" s="10"/>
      <x:c r="N858" s="10"/>
      <x:c r="O858" s="8"/>
      <x:c r="P858" s="9" t="str">
        <x:f>IF(C858="","",IF(AND(G858="Applicable",H858="Fail"),"Fail",IF(R858&lt;&gt;"Valid","Pending",IF(OR(I858="",K858="",L858="",K858=L858,NOT(ISNUMBER(M858)),NOT(ISNUMBER(N858)),M858&gt;Settings!$F$8,N858&lt;Settings!$F$8,N858&lt;M858),"Pending",IF(AND(G858="Applicable",H858="Pass"),"Pass",IF(AND(G858="N/A",H858="N/A",J858&lt;&gt;"",OR(E858="CEM-FUELS",E858="CEM-CCS",AND(E858="CEM-PLAN",IFERROR(INDEX('Taxonomy'!$M$9:$M$108,MATCH(D858,'Taxonomy'!$C$9:$C$108,0)),"")&lt;&gt;"Amber"),E858="BLD-TIMBER",AND(U858="Building equipment",OR(E858="BLD-WATER",E858="BLD-WASTE",E858="BLD-LAND")),AND(U858="Building renovation",E858="BLD-LAND"))),"N/A","Pending"))))))</x:f>
      </x:c>
      <x:c r="Q858" s="3" t="str">
        <x:f>IF(C858="","",IF(AND(R858="Valid",OR(P858="Pass",P858="N/A")),"Complete","Unresolved"))</x:f>
      </x:c>
      <x:c r="R858" s="9" t="str">
        <x:f>IF(C858="","",IF(OR(COUNTIF($C$9:$C$2008,C858)&lt;&gt;1,COUNTIFS($D$9:$D$2008,D858,$E$9:$E$2008,E858)&lt;&gt;1),"Duplicate test",IF(COUNTIF('Taxonomy'!$C$9:$C$108,D858)&lt;&gt;1,"Assessment key",IF(OR(COUNTIF('Taxonomy Rules'!$C$42:$C$68,E858)&lt;&gt;1,F858&lt;&gt;IFERROR(INDEX('Taxonomy Rules'!$D$42:$D$68,MATCH(E858,'Taxonomy Rules'!$C$42:$C$68,0)),""),NOT(OR(IFERROR(INDEX('Taxonomy Rules'!$G$42:$G$68,MATCH(E858,'Taxonomy Rules'!$C$42:$C$68,0)),"")="All supported routes",IFERROR(INDEX('Taxonomy Rules'!$G$42:$G$68,MATCH(E858,'Taxonomy Rules'!$C$42:$C$68,0)),"")=U858,AND(IFERROR(INDEX('Taxonomy Rules'!$G$42:$G$68,MATCH(E858,'Taxonomy Rules'!$C$42:$C$68,0)),"")="Building routes",OR(U858="Building renovation",U858="New building",U858="Building equipment"))))),"Unexpected test","Valid"))))</x:f>
      </x:c>
      <x:c r="S858" s="9" t="str">
        <x:f>IF(C858="","",IFERROR(INDEX('Taxonomy Rules'!$E$42:$E$68,MATCH(E858,'Taxonomy Rules'!$C$42:$C$68,0)),""))</x:f>
      </x:c>
      <x:c r="T858" s="9" t="str">
        <x:f>IF(C858="","",IFERROR(INDEX('Taxonomy Rules'!$F$42:$F$68,MATCH(E858,'Taxonomy Rules'!$C$42:$C$68,0)),""))</x:f>
      </x:c>
      <x:c r="U858" s="9" t="str">
        <x:f>IF(C858="","",IFERROR(INDEX('Taxonomy'!$G$9:$G$108,MATCH(D858,'Taxonomy'!$C$9:$C$108,0)),""))</x:f>
      </x:c>
    </x:row>
    <x:row r="859" ht="44" customHeight="1">
      <x:c r="A859" s="1"/>
      <x:c r="B859" s="1"/>
      <x:c r="C859" s="8"/>
      <x:c r="D859" s="8"/>
      <x:c r="E859" s="8"/>
      <x:c r="F859" s="8"/>
      <x:c r="G859" s="8"/>
      <x:c r="H859" s="8"/>
      <x:c r="I859" s="8"/>
      <x:c r="J859" s="8"/>
      <x:c r="K859" s="8"/>
      <x:c r="L859" s="8"/>
      <x:c r="M859" s="10"/>
      <x:c r="N859" s="10"/>
      <x:c r="O859" s="8"/>
      <x:c r="P859" s="9" t="str">
        <x:f>IF(C859="","",IF(AND(G859="Applicable",H859="Fail"),"Fail",IF(R859&lt;&gt;"Valid","Pending",IF(OR(I859="",K859="",L859="",K859=L859,NOT(ISNUMBER(M859)),NOT(ISNUMBER(N859)),M859&gt;Settings!$F$8,N859&lt;Settings!$F$8,N859&lt;M859),"Pending",IF(AND(G859="Applicable",H859="Pass"),"Pass",IF(AND(G859="N/A",H859="N/A",J859&lt;&gt;"",OR(E859="CEM-FUELS",E859="CEM-CCS",AND(E859="CEM-PLAN",IFERROR(INDEX('Taxonomy'!$M$9:$M$108,MATCH(D859,'Taxonomy'!$C$9:$C$108,0)),"")&lt;&gt;"Amber"),E859="BLD-TIMBER",AND(U859="Building equipment",OR(E859="BLD-WATER",E859="BLD-WASTE",E859="BLD-LAND")),AND(U859="Building renovation",E859="BLD-LAND"))),"N/A","Pending"))))))</x:f>
      </x:c>
      <x:c r="Q859" s="3" t="str">
        <x:f>IF(C859="","",IF(AND(R859="Valid",OR(P859="Pass",P859="N/A")),"Complete","Unresolved"))</x:f>
      </x:c>
      <x:c r="R859" s="9" t="str">
        <x:f>IF(C859="","",IF(OR(COUNTIF($C$9:$C$2008,C859)&lt;&gt;1,COUNTIFS($D$9:$D$2008,D859,$E$9:$E$2008,E859)&lt;&gt;1),"Duplicate test",IF(COUNTIF('Taxonomy'!$C$9:$C$108,D859)&lt;&gt;1,"Assessment key",IF(OR(COUNTIF('Taxonomy Rules'!$C$42:$C$68,E859)&lt;&gt;1,F859&lt;&gt;IFERROR(INDEX('Taxonomy Rules'!$D$42:$D$68,MATCH(E859,'Taxonomy Rules'!$C$42:$C$68,0)),""),NOT(OR(IFERROR(INDEX('Taxonomy Rules'!$G$42:$G$68,MATCH(E859,'Taxonomy Rules'!$C$42:$C$68,0)),"")="All supported routes",IFERROR(INDEX('Taxonomy Rules'!$G$42:$G$68,MATCH(E859,'Taxonomy Rules'!$C$42:$C$68,0)),"")=U859,AND(IFERROR(INDEX('Taxonomy Rules'!$G$42:$G$68,MATCH(E859,'Taxonomy Rules'!$C$42:$C$68,0)),"")="Building routes",OR(U859="Building renovation",U859="New building",U859="Building equipment"))))),"Unexpected test","Valid"))))</x:f>
      </x:c>
      <x:c r="S859" s="9" t="str">
        <x:f>IF(C859="","",IFERROR(INDEX('Taxonomy Rules'!$E$42:$E$68,MATCH(E859,'Taxonomy Rules'!$C$42:$C$68,0)),""))</x:f>
      </x:c>
      <x:c r="T859" s="9" t="str">
        <x:f>IF(C859="","",IFERROR(INDEX('Taxonomy Rules'!$F$42:$F$68,MATCH(E859,'Taxonomy Rules'!$C$42:$C$68,0)),""))</x:f>
      </x:c>
      <x:c r="U859" s="9" t="str">
        <x:f>IF(C859="","",IFERROR(INDEX('Taxonomy'!$G$9:$G$108,MATCH(D859,'Taxonomy'!$C$9:$C$108,0)),""))</x:f>
      </x:c>
    </x:row>
    <x:row r="860" ht="44" customHeight="1">
      <x:c r="A860" s="1"/>
      <x:c r="B860" s="1"/>
      <x:c r="C860" s="8"/>
      <x:c r="D860" s="8"/>
      <x:c r="E860" s="8"/>
      <x:c r="F860" s="8"/>
      <x:c r="G860" s="8"/>
      <x:c r="H860" s="8"/>
      <x:c r="I860" s="8"/>
      <x:c r="J860" s="8"/>
      <x:c r="K860" s="8"/>
      <x:c r="L860" s="8"/>
      <x:c r="M860" s="10"/>
      <x:c r="N860" s="10"/>
      <x:c r="O860" s="8"/>
      <x:c r="P860" s="9" t="str">
        <x:f>IF(C860="","",IF(AND(G860="Applicable",H860="Fail"),"Fail",IF(R860&lt;&gt;"Valid","Pending",IF(OR(I860="",K860="",L860="",K860=L860,NOT(ISNUMBER(M860)),NOT(ISNUMBER(N860)),M860&gt;Settings!$F$8,N860&lt;Settings!$F$8,N860&lt;M860),"Pending",IF(AND(G860="Applicable",H860="Pass"),"Pass",IF(AND(G860="N/A",H860="N/A",J860&lt;&gt;"",OR(E860="CEM-FUELS",E860="CEM-CCS",AND(E860="CEM-PLAN",IFERROR(INDEX('Taxonomy'!$M$9:$M$108,MATCH(D860,'Taxonomy'!$C$9:$C$108,0)),"")&lt;&gt;"Amber"),E860="BLD-TIMBER",AND(U860="Building equipment",OR(E860="BLD-WATER",E860="BLD-WASTE",E860="BLD-LAND")),AND(U860="Building renovation",E860="BLD-LAND"))),"N/A","Pending"))))))</x:f>
      </x:c>
      <x:c r="Q860" s="3" t="str">
        <x:f>IF(C860="","",IF(AND(R860="Valid",OR(P860="Pass",P860="N/A")),"Complete","Unresolved"))</x:f>
      </x:c>
      <x:c r="R860" s="9" t="str">
        <x:f>IF(C860="","",IF(OR(COUNTIF($C$9:$C$2008,C860)&lt;&gt;1,COUNTIFS($D$9:$D$2008,D860,$E$9:$E$2008,E860)&lt;&gt;1),"Duplicate test",IF(COUNTIF('Taxonomy'!$C$9:$C$108,D860)&lt;&gt;1,"Assessment key",IF(OR(COUNTIF('Taxonomy Rules'!$C$42:$C$68,E860)&lt;&gt;1,F860&lt;&gt;IFERROR(INDEX('Taxonomy Rules'!$D$42:$D$68,MATCH(E860,'Taxonomy Rules'!$C$42:$C$68,0)),""),NOT(OR(IFERROR(INDEX('Taxonomy Rules'!$G$42:$G$68,MATCH(E860,'Taxonomy Rules'!$C$42:$C$68,0)),"")="All supported routes",IFERROR(INDEX('Taxonomy Rules'!$G$42:$G$68,MATCH(E860,'Taxonomy Rules'!$C$42:$C$68,0)),"")=U860,AND(IFERROR(INDEX('Taxonomy Rules'!$G$42:$G$68,MATCH(E860,'Taxonomy Rules'!$C$42:$C$68,0)),"")="Building routes",OR(U860="Building renovation",U860="New building",U860="Building equipment"))))),"Unexpected test","Valid"))))</x:f>
      </x:c>
      <x:c r="S860" s="9" t="str">
        <x:f>IF(C860="","",IFERROR(INDEX('Taxonomy Rules'!$E$42:$E$68,MATCH(E860,'Taxonomy Rules'!$C$42:$C$68,0)),""))</x:f>
      </x:c>
      <x:c r="T860" s="9" t="str">
        <x:f>IF(C860="","",IFERROR(INDEX('Taxonomy Rules'!$F$42:$F$68,MATCH(E860,'Taxonomy Rules'!$C$42:$C$68,0)),""))</x:f>
      </x:c>
      <x:c r="U860" s="9" t="str">
        <x:f>IF(C860="","",IFERROR(INDEX('Taxonomy'!$G$9:$G$108,MATCH(D860,'Taxonomy'!$C$9:$C$108,0)),""))</x:f>
      </x:c>
    </x:row>
    <x:row r="861" ht="44" customHeight="1">
      <x:c r="A861" s="1"/>
      <x:c r="B861" s="1"/>
      <x:c r="C861" s="8"/>
      <x:c r="D861" s="8"/>
      <x:c r="E861" s="8"/>
      <x:c r="F861" s="8"/>
      <x:c r="G861" s="8"/>
      <x:c r="H861" s="8"/>
      <x:c r="I861" s="8"/>
      <x:c r="J861" s="8"/>
      <x:c r="K861" s="8"/>
      <x:c r="L861" s="8"/>
      <x:c r="M861" s="10"/>
      <x:c r="N861" s="10"/>
      <x:c r="O861" s="8"/>
      <x:c r="P861" s="9" t="str">
        <x:f>IF(C861="","",IF(AND(G861="Applicable",H861="Fail"),"Fail",IF(R861&lt;&gt;"Valid","Pending",IF(OR(I861="",K861="",L861="",K861=L861,NOT(ISNUMBER(M861)),NOT(ISNUMBER(N861)),M861&gt;Settings!$F$8,N861&lt;Settings!$F$8,N861&lt;M861),"Pending",IF(AND(G861="Applicable",H861="Pass"),"Pass",IF(AND(G861="N/A",H861="N/A",J861&lt;&gt;"",OR(E861="CEM-FUELS",E861="CEM-CCS",AND(E861="CEM-PLAN",IFERROR(INDEX('Taxonomy'!$M$9:$M$108,MATCH(D861,'Taxonomy'!$C$9:$C$108,0)),"")&lt;&gt;"Amber"),E861="BLD-TIMBER",AND(U861="Building equipment",OR(E861="BLD-WATER",E861="BLD-WASTE",E861="BLD-LAND")),AND(U861="Building renovation",E861="BLD-LAND"))),"N/A","Pending"))))))</x:f>
      </x:c>
      <x:c r="Q861" s="3" t="str">
        <x:f>IF(C861="","",IF(AND(R861="Valid",OR(P861="Pass",P861="N/A")),"Complete","Unresolved"))</x:f>
      </x:c>
      <x:c r="R861" s="9" t="str">
        <x:f>IF(C861="","",IF(OR(COUNTIF($C$9:$C$2008,C861)&lt;&gt;1,COUNTIFS($D$9:$D$2008,D861,$E$9:$E$2008,E861)&lt;&gt;1),"Duplicate test",IF(COUNTIF('Taxonomy'!$C$9:$C$108,D861)&lt;&gt;1,"Assessment key",IF(OR(COUNTIF('Taxonomy Rules'!$C$42:$C$68,E861)&lt;&gt;1,F861&lt;&gt;IFERROR(INDEX('Taxonomy Rules'!$D$42:$D$68,MATCH(E861,'Taxonomy Rules'!$C$42:$C$68,0)),""),NOT(OR(IFERROR(INDEX('Taxonomy Rules'!$G$42:$G$68,MATCH(E861,'Taxonomy Rules'!$C$42:$C$68,0)),"")="All supported routes",IFERROR(INDEX('Taxonomy Rules'!$G$42:$G$68,MATCH(E861,'Taxonomy Rules'!$C$42:$C$68,0)),"")=U861,AND(IFERROR(INDEX('Taxonomy Rules'!$G$42:$G$68,MATCH(E861,'Taxonomy Rules'!$C$42:$C$68,0)),"")="Building routes",OR(U861="Building renovation",U861="New building",U861="Building equipment"))))),"Unexpected test","Valid"))))</x:f>
      </x:c>
      <x:c r="S861" s="9" t="str">
        <x:f>IF(C861="","",IFERROR(INDEX('Taxonomy Rules'!$E$42:$E$68,MATCH(E861,'Taxonomy Rules'!$C$42:$C$68,0)),""))</x:f>
      </x:c>
      <x:c r="T861" s="9" t="str">
        <x:f>IF(C861="","",IFERROR(INDEX('Taxonomy Rules'!$F$42:$F$68,MATCH(E861,'Taxonomy Rules'!$C$42:$C$68,0)),""))</x:f>
      </x:c>
      <x:c r="U861" s="9" t="str">
        <x:f>IF(C861="","",IFERROR(INDEX('Taxonomy'!$G$9:$G$108,MATCH(D861,'Taxonomy'!$C$9:$C$108,0)),""))</x:f>
      </x:c>
    </x:row>
    <x:row r="862" ht="44" customHeight="1">
      <x:c r="A862" s="1"/>
      <x:c r="B862" s="1"/>
      <x:c r="C862" s="8"/>
      <x:c r="D862" s="8"/>
      <x:c r="E862" s="8"/>
      <x:c r="F862" s="8"/>
      <x:c r="G862" s="8"/>
      <x:c r="H862" s="8"/>
      <x:c r="I862" s="8"/>
      <x:c r="J862" s="8"/>
      <x:c r="K862" s="8"/>
      <x:c r="L862" s="8"/>
      <x:c r="M862" s="10"/>
      <x:c r="N862" s="10"/>
      <x:c r="O862" s="8"/>
      <x:c r="P862" s="9" t="str">
        <x:f>IF(C862="","",IF(AND(G862="Applicable",H862="Fail"),"Fail",IF(R862&lt;&gt;"Valid","Pending",IF(OR(I862="",K862="",L862="",K862=L862,NOT(ISNUMBER(M862)),NOT(ISNUMBER(N862)),M862&gt;Settings!$F$8,N862&lt;Settings!$F$8,N862&lt;M862),"Pending",IF(AND(G862="Applicable",H862="Pass"),"Pass",IF(AND(G862="N/A",H862="N/A",J862&lt;&gt;"",OR(E862="CEM-FUELS",E862="CEM-CCS",AND(E862="CEM-PLAN",IFERROR(INDEX('Taxonomy'!$M$9:$M$108,MATCH(D862,'Taxonomy'!$C$9:$C$108,0)),"")&lt;&gt;"Amber"),E862="BLD-TIMBER",AND(U862="Building equipment",OR(E862="BLD-WATER",E862="BLD-WASTE",E862="BLD-LAND")),AND(U862="Building renovation",E862="BLD-LAND"))),"N/A","Pending"))))))</x:f>
      </x:c>
      <x:c r="Q862" s="3" t="str">
        <x:f>IF(C862="","",IF(AND(R862="Valid",OR(P862="Pass",P862="N/A")),"Complete","Unresolved"))</x:f>
      </x:c>
      <x:c r="R862" s="9" t="str">
        <x:f>IF(C862="","",IF(OR(COUNTIF($C$9:$C$2008,C862)&lt;&gt;1,COUNTIFS($D$9:$D$2008,D862,$E$9:$E$2008,E862)&lt;&gt;1),"Duplicate test",IF(COUNTIF('Taxonomy'!$C$9:$C$108,D862)&lt;&gt;1,"Assessment key",IF(OR(COUNTIF('Taxonomy Rules'!$C$42:$C$68,E862)&lt;&gt;1,F862&lt;&gt;IFERROR(INDEX('Taxonomy Rules'!$D$42:$D$68,MATCH(E862,'Taxonomy Rules'!$C$42:$C$68,0)),""),NOT(OR(IFERROR(INDEX('Taxonomy Rules'!$G$42:$G$68,MATCH(E862,'Taxonomy Rules'!$C$42:$C$68,0)),"")="All supported routes",IFERROR(INDEX('Taxonomy Rules'!$G$42:$G$68,MATCH(E862,'Taxonomy Rules'!$C$42:$C$68,0)),"")=U862,AND(IFERROR(INDEX('Taxonomy Rules'!$G$42:$G$68,MATCH(E862,'Taxonomy Rules'!$C$42:$C$68,0)),"")="Building routes",OR(U862="Building renovation",U862="New building",U862="Building equipment"))))),"Unexpected test","Valid"))))</x:f>
      </x:c>
      <x:c r="S862" s="9" t="str">
        <x:f>IF(C862="","",IFERROR(INDEX('Taxonomy Rules'!$E$42:$E$68,MATCH(E862,'Taxonomy Rules'!$C$42:$C$68,0)),""))</x:f>
      </x:c>
      <x:c r="T862" s="9" t="str">
        <x:f>IF(C862="","",IFERROR(INDEX('Taxonomy Rules'!$F$42:$F$68,MATCH(E862,'Taxonomy Rules'!$C$42:$C$68,0)),""))</x:f>
      </x:c>
      <x:c r="U862" s="9" t="str">
        <x:f>IF(C862="","",IFERROR(INDEX('Taxonomy'!$G$9:$G$108,MATCH(D862,'Taxonomy'!$C$9:$C$108,0)),""))</x:f>
      </x:c>
    </x:row>
    <x:row r="863" ht="44" customHeight="1">
      <x:c r="A863" s="1"/>
      <x:c r="B863" s="1"/>
      <x:c r="C863" s="8"/>
      <x:c r="D863" s="8"/>
      <x:c r="E863" s="8"/>
      <x:c r="F863" s="8"/>
      <x:c r="G863" s="8"/>
      <x:c r="H863" s="8"/>
      <x:c r="I863" s="8"/>
      <x:c r="J863" s="8"/>
      <x:c r="K863" s="8"/>
      <x:c r="L863" s="8"/>
      <x:c r="M863" s="10"/>
      <x:c r="N863" s="10"/>
      <x:c r="O863" s="8"/>
      <x:c r="P863" s="9" t="str">
        <x:f>IF(C863="","",IF(AND(G863="Applicable",H863="Fail"),"Fail",IF(R863&lt;&gt;"Valid","Pending",IF(OR(I863="",K863="",L863="",K863=L863,NOT(ISNUMBER(M863)),NOT(ISNUMBER(N863)),M863&gt;Settings!$F$8,N863&lt;Settings!$F$8,N863&lt;M863),"Pending",IF(AND(G863="Applicable",H863="Pass"),"Pass",IF(AND(G863="N/A",H863="N/A",J863&lt;&gt;"",OR(E863="CEM-FUELS",E863="CEM-CCS",AND(E863="CEM-PLAN",IFERROR(INDEX('Taxonomy'!$M$9:$M$108,MATCH(D863,'Taxonomy'!$C$9:$C$108,0)),"")&lt;&gt;"Amber"),E863="BLD-TIMBER",AND(U863="Building equipment",OR(E863="BLD-WATER",E863="BLD-WASTE",E863="BLD-LAND")),AND(U863="Building renovation",E863="BLD-LAND"))),"N/A","Pending"))))))</x:f>
      </x:c>
      <x:c r="Q863" s="3" t="str">
        <x:f>IF(C863="","",IF(AND(R863="Valid",OR(P863="Pass",P863="N/A")),"Complete","Unresolved"))</x:f>
      </x:c>
      <x:c r="R863" s="9" t="str">
        <x:f>IF(C863="","",IF(OR(COUNTIF($C$9:$C$2008,C863)&lt;&gt;1,COUNTIFS($D$9:$D$2008,D863,$E$9:$E$2008,E863)&lt;&gt;1),"Duplicate test",IF(COUNTIF('Taxonomy'!$C$9:$C$108,D863)&lt;&gt;1,"Assessment key",IF(OR(COUNTIF('Taxonomy Rules'!$C$42:$C$68,E863)&lt;&gt;1,F863&lt;&gt;IFERROR(INDEX('Taxonomy Rules'!$D$42:$D$68,MATCH(E863,'Taxonomy Rules'!$C$42:$C$68,0)),""),NOT(OR(IFERROR(INDEX('Taxonomy Rules'!$G$42:$G$68,MATCH(E863,'Taxonomy Rules'!$C$42:$C$68,0)),"")="All supported routes",IFERROR(INDEX('Taxonomy Rules'!$G$42:$G$68,MATCH(E863,'Taxonomy Rules'!$C$42:$C$68,0)),"")=U863,AND(IFERROR(INDEX('Taxonomy Rules'!$G$42:$G$68,MATCH(E863,'Taxonomy Rules'!$C$42:$C$68,0)),"")="Building routes",OR(U863="Building renovation",U863="New building",U863="Building equipment"))))),"Unexpected test","Valid"))))</x:f>
      </x:c>
      <x:c r="S863" s="9" t="str">
        <x:f>IF(C863="","",IFERROR(INDEX('Taxonomy Rules'!$E$42:$E$68,MATCH(E863,'Taxonomy Rules'!$C$42:$C$68,0)),""))</x:f>
      </x:c>
      <x:c r="T863" s="9" t="str">
        <x:f>IF(C863="","",IFERROR(INDEX('Taxonomy Rules'!$F$42:$F$68,MATCH(E863,'Taxonomy Rules'!$C$42:$C$68,0)),""))</x:f>
      </x:c>
      <x:c r="U863" s="9" t="str">
        <x:f>IF(C863="","",IFERROR(INDEX('Taxonomy'!$G$9:$G$108,MATCH(D863,'Taxonomy'!$C$9:$C$108,0)),""))</x:f>
      </x:c>
    </x:row>
    <x:row r="864" ht="44" customHeight="1">
      <x:c r="A864" s="1"/>
      <x:c r="B864" s="1"/>
      <x:c r="C864" s="8"/>
      <x:c r="D864" s="8"/>
      <x:c r="E864" s="8"/>
      <x:c r="F864" s="8"/>
      <x:c r="G864" s="8"/>
      <x:c r="H864" s="8"/>
      <x:c r="I864" s="8"/>
      <x:c r="J864" s="8"/>
      <x:c r="K864" s="8"/>
      <x:c r="L864" s="8"/>
      <x:c r="M864" s="10"/>
      <x:c r="N864" s="10"/>
      <x:c r="O864" s="8"/>
      <x:c r="P864" s="9" t="str">
        <x:f>IF(C864="","",IF(AND(G864="Applicable",H864="Fail"),"Fail",IF(R864&lt;&gt;"Valid","Pending",IF(OR(I864="",K864="",L864="",K864=L864,NOT(ISNUMBER(M864)),NOT(ISNUMBER(N864)),M864&gt;Settings!$F$8,N864&lt;Settings!$F$8,N864&lt;M864),"Pending",IF(AND(G864="Applicable",H864="Pass"),"Pass",IF(AND(G864="N/A",H864="N/A",J864&lt;&gt;"",OR(E864="CEM-FUELS",E864="CEM-CCS",AND(E864="CEM-PLAN",IFERROR(INDEX('Taxonomy'!$M$9:$M$108,MATCH(D864,'Taxonomy'!$C$9:$C$108,0)),"")&lt;&gt;"Amber"),E864="BLD-TIMBER",AND(U864="Building equipment",OR(E864="BLD-WATER",E864="BLD-WASTE",E864="BLD-LAND")),AND(U864="Building renovation",E864="BLD-LAND"))),"N/A","Pending"))))))</x:f>
      </x:c>
      <x:c r="Q864" s="3" t="str">
        <x:f>IF(C864="","",IF(AND(R864="Valid",OR(P864="Pass",P864="N/A")),"Complete","Unresolved"))</x:f>
      </x:c>
      <x:c r="R864" s="9" t="str">
        <x:f>IF(C864="","",IF(OR(COUNTIF($C$9:$C$2008,C864)&lt;&gt;1,COUNTIFS($D$9:$D$2008,D864,$E$9:$E$2008,E864)&lt;&gt;1),"Duplicate test",IF(COUNTIF('Taxonomy'!$C$9:$C$108,D864)&lt;&gt;1,"Assessment key",IF(OR(COUNTIF('Taxonomy Rules'!$C$42:$C$68,E864)&lt;&gt;1,F864&lt;&gt;IFERROR(INDEX('Taxonomy Rules'!$D$42:$D$68,MATCH(E864,'Taxonomy Rules'!$C$42:$C$68,0)),""),NOT(OR(IFERROR(INDEX('Taxonomy Rules'!$G$42:$G$68,MATCH(E864,'Taxonomy Rules'!$C$42:$C$68,0)),"")="All supported routes",IFERROR(INDEX('Taxonomy Rules'!$G$42:$G$68,MATCH(E864,'Taxonomy Rules'!$C$42:$C$68,0)),"")=U864,AND(IFERROR(INDEX('Taxonomy Rules'!$G$42:$G$68,MATCH(E864,'Taxonomy Rules'!$C$42:$C$68,0)),"")="Building routes",OR(U864="Building renovation",U864="New building",U864="Building equipment"))))),"Unexpected test","Valid"))))</x:f>
      </x:c>
      <x:c r="S864" s="9" t="str">
        <x:f>IF(C864="","",IFERROR(INDEX('Taxonomy Rules'!$E$42:$E$68,MATCH(E864,'Taxonomy Rules'!$C$42:$C$68,0)),""))</x:f>
      </x:c>
      <x:c r="T864" s="9" t="str">
        <x:f>IF(C864="","",IFERROR(INDEX('Taxonomy Rules'!$F$42:$F$68,MATCH(E864,'Taxonomy Rules'!$C$42:$C$68,0)),""))</x:f>
      </x:c>
      <x:c r="U864" s="9" t="str">
        <x:f>IF(C864="","",IFERROR(INDEX('Taxonomy'!$G$9:$G$108,MATCH(D864,'Taxonomy'!$C$9:$C$108,0)),""))</x:f>
      </x:c>
    </x:row>
    <x:row r="865" ht="44" customHeight="1">
      <x:c r="A865" s="1"/>
      <x:c r="B865" s="1"/>
      <x:c r="C865" s="8"/>
      <x:c r="D865" s="8"/>
      <x:c r="E865" s="8"/>
      <x:c r="F865" s="8"/>
      <x:c r="G865" s="8"/>
      <x:c r="H865" s="8"/>
      <x:c r="I865" s="8"/>
      <x:c r="J865" s="8"/>
      <x:c r="K865" s="8"/>
      <x:c r="L865" s="8"/>
      <x:c r="M865" s="10"/>
      <x:c r="N865" s="10"/>
      <x:c r="O865" s="8"/>
      <x:c r="P865" s="9" t="str">
        <x:f>IF(C865="","",IF(AND(G865="Applicable",H865="Fail"),"Fail",IF(R865&lt;&gt;"Valid","Pending",IF(OR(I865="",K865="",L865="",K865=L865,NOT(ISNUMBER(M865)),NOT(ISNUMBER(N865)),M865&gt;Settings!$F$8,N865&lt;Settings!$F$8,N865&lt;M865),"Pending",IF(AND(G865="Applicable",H865="Pass"),"Pass",IF(AND(G865="N/A",H865="N/A",J865&lt;&gt;"",OR(E865="CEM-FUELS",E865="CEM-CCS",AND(E865="CEM-PLAN",IFERROR(INDEX('Taxonomy'!$M$9:$M$108,MATCH(D865,'Taxonomy'!$C$9:$C$108,0)),"")&lt;&gt;"Amber"),E865="BLD-TIMBER",AND(U865="Building equipment",OR(E865="BLD-WATER",E865="BLD-WASTE",E865="BLD-LAND")),AND(U865="Building renovation",E865="BLD-LAND"))),"N/A","Pending"))))))</x:f>
      </x:c>
      <x:c r="Q865" s="3" t="str">
        <x:f>IF(C865="","",IF(AND(R865="Valid",OR(P865="Pass",P865="N/A")),"Complete","Unresolved"))</x:f>
      </x:c>
      <x:c r="R865" s="9" t="str">
        <x:f>IF(C865="","",IF(OR(COUNTIF($C$9:$C$2008,C865)&lt;&gt;1,COUNTIFS($D$9:$D$2008,D865,$E$9:$E$2008,E865)&lt;&gt;1),"Duplicate test",IF(COUNTIF('Taxonomy'!$C$9:$C$108,D865)&lt;&gt;1,"Assessment key",IF(OR(COUNTIF('Taxonomy Rules'!$C$42:$C$68,E865)&lt;&gt;1,F865&lt;&gt;IFERROR(INDEX('Taxonomy Rules'!$D$42:$D$68,MATCH(E865,'Taxonomy Rules'!$C$42:$C$68,0)),""),NOT(OR(IFERROR(INDEX('Taxonomy Rules'!$G$42:$G$68,MATCH(E865,'Taxonomy Rules'!$C$42:$C$68,0)),"")="All supported routes",IFERROR(INDEX('Taxonomy Rules'!$G$42:$G$68,MATCH(E865,'Taxonomy Rules'!$C$42:$C$68,0)),"")=U865,AND(IFERROR(INDEX('Taxonomy Rules'!$G$42:$G$68,MATCH(E865,'Taxonomy Rules'!$C$42:$C$68,0)),"")="Building routes",OR(U865="Building renovation",U865="New building",U865="Building equipment"))))),"Unexpected test","Valid"))))</x:f>
      </x:c>
      <x:c r="S865" s="9" t="str">
        <x:f>IF(C865="","",IFERROR(INDEX('Taxonomy Rules'!$E$42:$E$68,MATCH(E865,'Taxonomy Rules'!$C$42:$C$68,0)),""))</x:f>
      </x:c>
      <x:c r="T865" s="9" t="str">
        <x:f>IF(C865="","",IFERROR(INDEX('Taxonomy Rules'!$F$42:$F$68,MATCH(E865,'Taxonomy Rules'!$C$42:$C$68,0)),""))</x:f>
      </x:c>
      <x:c r="U865" s="9" t="str">
        <x:f>IF(C865="","",IFERROR(INDEX('Taxonomy'!$G$9:$G$108,MATCH(D865,'Taxonomy'!$C$9:$C$108,0)),""))</x:f>
      </x:c>
    </x:row>
    <x:row r="866" ht="44" customHeight="1">
      <x:c r="A866" s="1"/>
      <x:c r="B866" s="1"/>
      <x:c r="C866" s="8"/>
      <x:c r="D866" s="8"/>
      <x:c r="E866" s="8"/>
      <x:c r="F866" s="8"/>
      <x:c r="G866" s="8"/>
      <x:c r="H866" s="8"/>
      <x:c r="I866" s="8"/>
      <x:c r="J866" s="8"/>
      <x:c r="K866" s="8"/>
      <x:c r="L866" s="8"/>
      <x:c r="M866" s="10"/>
      <x:c r="N866" s="10"/>
      <x:c r="O866" s="8"/>
      <x:c r="P866" s="9" t="str">
        <x:f>IF(C866="","",IF(AND(G866="Applicable",H866="Fail"),"Fail",IF(R866&lt;&gt;"Valid","Pending",IF(OR(I866="",K866="",L866="",K866=L866,NOT(ISNUMBER(M866)),NOT(ISNUMBER(N866)),M866&gt;Settings!$F$8,N866&lt;Settings!$F$8,N866&lt;M866),"Pending",IF(AND(G866="Applicable",H866="Pass"),"Pass",IF(AND(G866="N/A",H866="N/A",J866&lt;&gt;"",OR(E866="CEM-FUELS",E866="CEM-CCS",AND(E866="CEM-PLAN",IFERROR(INDEX('Taxonomy'!$M$9:$M$108,MATCH(D866,'Taxonomy'!$C$9:$C$108,0)),"")&lt;&gt;"Amber"),E866="BLD-TIMBER",AND(U866="Building equipment",OR(E866="BLD-WATER",E866="BLD-WASTE",E866="BLD-LAND")),AND(U866="Building renovation",E866="BLD-LAND"))),"N/A","Pending"))))))</x:f>
      </x:c>
      <x:c r="Q866" s="3" t="str">
        <x:f>IF(C866="","",IF(AND(R866="Valid",OR(P866="Pass",P866="N/A")),"Complete","Unresolved"))</x:f>
      </x:c>
      <x:c r="R866" s="9" t="str">
        <x:f>IF(C866="","",IF(OR(COUNTIF($C$9:$C$2008,C866)&lt;&gt;1,COUNTIFS($D$9:$D$2008,D866,$E$9:$E$2008,E866)&lt;&gt;1),"Duplicate test",IF(COUNTIF('Taxonomy'!$C$9:$C$108,D866)&lt;&gt;1,"Assessment key",IF(OR(COUNTIF('Taxonomy Rules'!$C$42:$C$68,E866)&lt;&gt;1,F866&lt;&gt;IFERROR(INDEX('Taxonomy Rules'!$D$42:$D$68,MATCH(E866,'Taxonomy Rules'!$C$42:$C$68,0)),""),NOT(OR(IFERROR(INDEX('Taxonomy Rules'!$G$42:$G$68,MATCH(E866,'Taxonomy Rules'!$C$42:$C$68,0)),"")="All supported routes",IFERROR(INDEX('Taxonomy Rules'!$G$42:$G$68,MATCH(E866,'Taxonomy Rules'!$C$42:$C$68,0)),"")=U866,AND(IFERROR(INDEX('Taxonomy Rules'!$G$42:$G$68,MATCH(E866,'Taxonomy Rules'!$C$42:$C$68,0)),"")="Building routes",OR(U866="Building renovation",U866="New building",U866="Building equipment"))))),"Unexpected test","Valid"))))</x:f>
      </x:c>
      <x:c r="S866" s="9" t="str">
        <x:f>IF(C866="","",IFERROR(INDEX('Taxonomy Rules'!$E$42:$E$68,MATCH(E866,'Taxonomy Rules'!$C$42:$C$68,0)),""))</x:f>
      </x:c>
      <x:c r="T866" s="9" t="str">
        <x:f>IF(C866="","",IFERROR(INDEX('Taxonomy Rules'!$F$42:$F$68,MATCH(E866,'Taxonomy Rules'!$C$42:$C$68,0)),""))</x:f>
      </x:c>
      <x:c r="U866" s="9" t="str">
        <x:f>IF(C866="","",IFERROR(INDEX('Taxonomy'!$G$9:$G$108,MATCH(D866,'Taxonomy'!$C$9:$C$108,0)),""))</x:f>
      </x:c>
    </x:row>
    <x:row r="867" ht="44" customHeight="1">
      <x:c r="A867" s="1"/>
      <x:c r="B867" s="1"/>
      <x:c r="C867" s="8"/>
      <x:c r="D867" s="8"/>
      <x:c r="E867" s="8"/>
      <x:c r="F867" s="8"/>
      <x:c r="G867" s="8"/>
      <x:c r="H867" s="8"/>
      <x:c r="I867" s="8"/>
      <x:c r="J867" s="8"/>
      <x:c r="K867" s="8"/>
      <x:c r="L867" s="8"/>
      <x:c r="M867" s="10"/>
      <x:c r="N867" s="10"/>
      <x:c r="O867" s="8"/>
      <x:c r="P867" s="9" t="str">
        <x:f>IF(C867="","",IF(AND(G867="Applicable",H867="Fail"),"Fail",IF(R867&lt;&gt;"Valid","Pending",IF(OR(I867="",K867="",L867="",K867=L867,NOT(ISNUMBER(M867)),NOT(ISNUMBER(N867)),M867&gt;Settings!$F$8,N867&lt;Settings!$F$8,N867&lt;M867),"Pending",IF(AND(G867="Applicable",H867="Pass"),"Pass",IF(AND(G867="N/A",H867="N/A",J867&lt;&gt;"",OR(E867="CEM-FUELS",E867="CEM-CCS",AND(E867="CEM-PLAN",IFERROR(INDEX('Taxonomy'!$M$9:$M$108,MATCH(D867,'Taxonomy'!$C$9:$C$108,0)),"")&lt;&gt;"Amber"),E867="BLD-TIMBER",AND(U867="Building equipment",OR(E867="BLD-WATER",E867="BLD-WASTE",E867="BLD-LAND")),AND(U867="Building renovation",E867="BLD-LAND"))),"N/A","Pending"))))))</x:f>
      </x:c>
      <x:c r="Q867" s="3" t="str">
        <x:f>IF(C867="","",IF(AND(R867="Valid",OR(P867="Pass",P867="N/A")),"Complete","Unresolved"))</x:f>
      </x:c>
      <x:c r="R867" s="9" t="str">
        <x:f>IF(C867="","",IF(OR(COUNTIF($C$9:$C$2008,C867)&lt;&gt;1,COUNTIFS($D$9:$D$2008,D867,$E$9:$E$2008,E867)&lt;&gt;1),"Duplicate test",IF(COUNTIF('Taxonomy'!$C$9:$C$108,D867)&lt;&gt;1,"Assessment key",IF(OR(COUNTIF('Taxonomy Rules'!$C$42:$C$68,E867)&lt;&gt;1,F867&lt;&gt;IFERROR(INDEX('Taxonomy Rules'!$D$42:$D$68,MATCH(E867,'Taxonomy Rules'!$C$42:$C$68,0)),""),NOT(OR(IFERROR(INDEX('Taxonomy Rules'!$G$42:$G$68,MATCH(E867,'Taxonomy Rules'!$C$42:$C$68,0)),"")="All supported routes",IFERROR(INDEX('Taxonomy Rules'!$G$42:$G$68,MATCH(E867,'Taxonomy Rules'!$C$42:$C$68,0)),"")=U867,AND(IFERROR(INDEX('Taxonomy Rules'!$G$42:$G$68,MATCH(E867,'Taxonomy Rules'!$C$42:$C$68,0)),"")="Building routes",OR(U867="Building renovation",U867="New building",U867="Building equipment"))))),"Unexpected test","Valid"))))</x:f>
      </x:c>
      <x:c r="S867" s="9" t="str">
        <x:f>IF(C867="","",IFERROR(INDEX('Taxonomy Rules'!$E$42:$E$68,MATCH(E867,'Taxonomy Rules'!$C$42:$C$68,0)),""))</x:f>
      </x:c>
      <x:c r="T867" s="9" t="str">
        <x:f>IF(C867="","",IFERROR(INDEX('Taxonomy Rules'!$F$42:$F$68,MATCH(E867,'Taxonomy Rules'!$C$42:$C$68,0)),""))</x:f>
      </x:c>
      <x:c r="U867" s="9" t="str">
        <x:f>IF(C867="","",IFERROR(INDEX('Taxonomy'!$G$9:$G$108,MATCH(D867,'Taxonomy'!$C$9:$C$108,0)),""))</x:f>
      </x:c>
    </x:row>
    <x:row r="868" ht="44" customHeight="1">
      <x:c r="A868" s="1"/>
      <x:c r="B868" s="1"/>
      <x:c r="C868" s="8"/>
      <x:c r="D868" s="8"/>
      <x:c r="E868" s="8"/>
      <x:c r="F868" s="8"/>
      <x:c r="G868" s="8"/>
      <x:c r="H868" s="8"/>
      <x:c r="I868" s="8"/>
      <x:c r="J868" s="8"/>
      <x:c r="K868" s="8"/>
      <x:c r="L868" s="8"/>
      <x:c r="M868" s="10"/>
      <x:c r="N868" s="10"/>
      <x:c r="O868" s="8"/>
      <x:c r="P868" s="9" t="str">
        <x:f>IF(C868="","",IF(AND(G868="Applicable",H868="Fail"),"Fail",IF(R868&lt;&gt;"Valid","Pending",IF(OR(I868="",K868="",L868="",K868=L868,NOT(ISNUMBER(M868)),NOT(ISNUMBER(N868)),M868&gt;Settings!$F$8,N868&lt;Settings!$F$8,N868&lt;M868),"Pending",IF(AND(G868="Applicable",H868="Pass"),"Pass",IF(AND(G868="N/A",H868="N/A",J868&lt;&gt;"",OR(E868="CEM-FUELS",E868="CEM-CCS",AND(E868="CEM-PLAN",IFERROR(INDEX('Taxonomy'!$M$9:$M$108,MATCH(D868,'Taxonomy'!$C$9:$C$108,0)),"")&lt;&gt;"Amber"),E868="BLD-TIMBER",AND(U868="Building equipment",OR(E868="BLD-WATER",E868="BLD-WASTE",E868="BLD-LAND")),AND(U868="Building renovation",E868="BLD-LAND"))),"N/A","Pending"))))))</x:f>
      </x:c>
      <x:c r="Q868" s="3" t="str">
        <x:f>IF(C868="","",IF(AND(R868="Valid",OR(P868="Pass",P868="N/A")),"Complete","Unresolved"))</x:f>
      </x:c>
      <x:c r="R868" s="9" t="str">
        <x:f>IF(C868="","",IF(OR(COUNTIF($C$9:$C$2008,C868)&lt;&gt;1,COUNTIFS($D$9:$D$2008,D868,$E$9:$E$2008,E868)&lt;&gt;1),"Duplicate test",IF(COUNTIF('Taxonomy'!$C$9:$C$108,D868)&lt;&gt;1,"Assessment key",IF(OR(COUNTIF('Taxonomy Rules'!$C$42:$C$68,E868)&lt;&gt;1,F868&lt;&gt;IFERROR(INDEX('Taxonomy Rules'!$D$42:$D$68,MATCH(E868,'Taxonomy Rules'!$C$42:$C$68,0)),""),NOT(OR(IFERROR(INDEX('Taxonomy Rules'!$G$42:$G$68,MATCH(E868,'Taxonomy Rules'!$C$42:$C$68,0)),"")="All supported routes",IFERROR(INDEX('Taxonomy Rules'!$G$42:$G$68,MATCH(E868,'Taxonomy Rules'!$C$42:$C$68,0)),"")=U868,AND(IFERROR(INDEX('Taxonomy Rules'!$G$42:$G$68,MATCH(E868,'Taxonomy Rules'!$C$42:$C$68,0)),"")="Building routes",OR(U868="Building renovation",U868="New building",U868="Building equipment"))))),"Unexpected test","Valid"))))</x:f>
      </x:c>
      <x:c r="S868" s="9" t="str">
        <x:f>IF(C868="","",IFERROR(INDEX('Taxonomy Rules'!$E$42:$E$68,MATCH(E868,'Taxonomy Rules'!$C$42:$C$68,0)),""))</x:f>
      </x:c>
      <x:c r="T868" s="9" t="str">
        <x:f>IF(C868="","",IFERROR(INDEX('Taxonomy Rules'!$F$42:$F$68,MATCH(E868,'Taxonomy Rules'!$C$42:$C$68,0)),""))</x:f>
      </x:c>
      <x:c r="U868" s="9" t="str">
        <x:f>IF(C868="","",IFERROR(INDEX('Taxonomy'!$G$9:$G$108,MATCH(D868,'Taxonomy'!$C$9:$C$108,0)),""))</x:f>
      </x:c>
    </x:row>
    <x:row r="869" ht="44" customHeight="1">
      <x:c r="A869" s="1"/>
      <x:c r="B869" s="1"/>
      <x:c r="C869" s="8"/>
      <x:c r="D869" s="8"/>
      <x:c r="E869" s="8"/>
      <x:c r="F869" s="8"/>
      <x:c r="G869" s="8"/>
      <x:c r="H869" s="8"/>
      <x:c r="I869" s="8"/>
      <x:c r="J869" s="8"/>
      <x:c r="K869" s="8"/>
      <x:c r="L869" s="8"/>
      <x:c r="M869" s="10"/>
      <x:c r="N869" s="10"/>
      <x:c r="O869" s="8"/>
      <x:c r="P869" s="9" t="str">
        <x:f>IF(C869="","",IF(AND(G869="Applicable",H869="Fail"),"Fail",IF(R869&lt;&gt;"Valid","Pending",IF(OR(I869="",K869="",L869="",K869=L869,NOT(ISNUMBER(M869)),NOT(ISNUMBER(N869)),M869&gt;Settings!$F$8,N869&lt;Settings!$F$8,N869&lt;M869),"Pending",IF(AND(G869="Applicable",H869="Pass"),"Pass",IF(AND(G869="N/A",H869="N/A",J869&lt;&gt;"",OR(E869="CEM-FUELS",E869="CEM-CCS",AND(E869="CEM-PLAN",IFERROR(INDEX('Taxonomy'!$M$9:$M$108,MATCH(D869,'Taxonomy'!$C$9:$C$108,0)),"")&lt;&gt;"Amber"),E869="BLD-TIMBER",AND(U869="Building equipment",OR(E869="BLD-WATER",E869="BLD-WASTE",E869="BLD-LAND")),AND(U869="Building renovation",E869="BLD-LAND"))),"N/A","Pending"))))))</x:f>
      </x:c>
      <x:c r="Q869" s="3" t="str">
        <x:f>IF(C869="","",IF(AND(R869="Valid",OR(P869="Pass",P869="N/A")),"Complete","Unresolved"))</x:f>
      </x:c>
      <x:c r="R869" s="9" t="str">
        <x:f>IF(C869="","",IF(OR(COUNTIF($C$9:$C$2008,C869)&lt;&gt;1,COUNTIFS($D$9:$D$2008,D869,$E$9:$E$2008,E869)&lt;&gt;1),"Duplicate test",IF(COUNTIF('Taxonomy'!$C$9:$C$108,D869)&lt;&gt;1,"Assessment key",IF(OR(COUNTIF('Taxonomy Rules'!$C$42:$C$68,E869)&lt;&gt;1,F869&lt;&gt;IFERROR(INDEX('Taxonomy Rules'!$D$42:$D$68,MATCH(E869,'Taxonomy Rules'!$C$42:$C$68,0)),""),NOT(OR(IFERROR(INDEX('Taxonomy Rules'!$G$42:$G$68,MATCH(E869,'Taxonomy Rules'!$C$42:$C$68,0)),"")="All supported routes",IFERROR(INDEX('Taxonomy Rules'!$G$42:$G$68,MATCH(E869,'Taxonomy Rules'!$C$42:$C$68,0)),"")=U869,AND(IFERROR(INDEX('Taxonomy Rules'!$G$42:$G$68,MATCH(E869,'Taxonomy Rules'!$C$42:$C$68,0)),"")="Building routes",OR(U869="Building renovation",U869="New building",U869="Building equipment"))))),"Unexpected test","Valid"))))</x:f>
      </x:c>
      <x:c r="S869" s="9" t="str">
        <x:f>IF(C869="","",IFERROR(INDEX('Taxonomy Rules'!$E$42:$E$68,MATCH(E869,'Taxonomy Rules'!$C$42:$C$68,0)),""))</x:f>
      </x:c>
      <x:c r="T869" s="9" t="str">
        <x:f>IF(C869="","",IFERROR(INDEX('Taxonomy Rules'!$F$42:$F$68,MATCH(E869,'Taxonomy Rules'!$C$42:$C$68,0)),""))</x:f>
      </x:c>
      <x:c r="U869" s="9" t="str">
        <x:f>IF(C869="","",IFERROR(INDEX('Taxonomy'!$G$9:$G$108,MATCH(D869,'Taxonomy'!$C$9:$C$108,0)),""))</x:f>
      </x:c>
    </x:row>
    <x:row r="870" ht="44" customHeight="1">
      <x:c r="A870" s="1"/>
      <x:c r="B870" s="1"/>
      <x:c r="C870" s="8"/>
      <x:c r="D870" s="8"/>
      <x:c r="E870" s="8"/>
      <x:c r="F870" s="8"/>
      <x:c r="G870" s="8"/>
      <x:c r="H870" s="8"/>
      <x:c r="I870" s="8"/>
      <x:c r="J870" s="8"/>
      <x:c r="K870" s="8"/>
      <x:c r="L870" s="8"/>
      <x:c r="M870" s="10"/>
      <x:c r="N870" s="10"/>
      <x:c r="O870" s="8"/>
      <x:c r="P870" s="9" t="str">
        <x:f>IF(C870="","",IF(AND(G870="Applicable",H870="Fail"),"Fail",IF(R870&lt;&gt;"Valid","Pending",IF(OR(I870="",K870="",L870="",K870=L870,NOT(ISNUMBER(M870)),NOT(ISNUMBER(N870)),M870&gt;Settings!$F$8,N870&lt;Settings!$F$8,N870&lt;M870),"Pending",IF(AND(G870="Applicable",H870="Pass"),"Pass",IF(AND(G870="N/A",H870="N/A",J870&lt;&gt;"",OR(E870="CEM-FUELS",E870="CEM-CCS",AND(E870="CEM-PLAN",IFERROR(INDEX('Taxonomy'!$M$9:$M$108,MATCH(D870,'Taxonomy'!$C$9:$C$108,0)),"")&lt;&gt;"Amber"),E870="BLD-TIMBER",AND(U870="Building equipment",OR(E870="BLD-WATER",E870="BLD-WASTE",E870="BLD-LAND")),AND(U870="Building renovation",E870="BLD-LAND"))),"N/A","Pending"))))))</x:f>
      </x:c>
      <x:c r="Q870" s="3" t="str">
        <x:f>IF(C870="","",IF(AND(R870="Valid",OR(P870="Pass",P870="N/A")),"Complete","Unresolved"))</x:f>
      </x:c>
      <x:c r="R870" s="9" t="str">
        <x:f>IF(C870="","",IF(OR(COUNTIF($C$9:$C$2008,C870)&lt;&gt;1,COUNTIFS($D$9:$D$2008,D870,$E$9:$E$2008,E870)&lt;&gt;1),"Duplicate test",IF(COUNTIF('Taxonomy'!$C$9:$C$108,D870)&lt;&gt;1,"Assessment key",IF(OR(COUNTIF('Taxonomy Rules'!$C$42:$C$68,E870)&lt;&gt;1,F870&lt;&gt;IFERROR(INDEX('Taxonomy Rules'!$D$42:$D$68,MATCH(E870,'Taxonomy Rules'!$C$42:$C$68,0)),""),NOT(OR(IFERROR(INDEX('Taxonomy Rules'!$G$42:$G$68,MATCH(E870,'Taxonomy Rules'!$C$42:$C$68,0)),"")="All supported routes",IFERROR(INDEX('Taxonomy Rules'!$G$42:$G$68,MATCH(E870,'Taxonomy Rules'!$C$42:$C$68,0)),"")=U870,AND(IFERROR(INDEX('Taxonomy Rules'!$G$42:$G$68,MATCH(E870,'Taxonomy Rules'!$C$42:$C$68,0)),"")="Building routes",OR(U870="Building renovation",U870="New building",U870="Building equipment"))))),"Unexpected test","Valid"))))</x:f>
      </x:c>
      <x:c r="S870" s="9" t="str">
        <x:f>IF(C870="","",IFERROR(INDEX('Taxonomy Rules'!$E$42:$E$68,MATCH(E870,'Taxonomy Rules'!$C$42:$C$68,0)),""))</x:f>
      </x:c>
      <x:c r="T870" s="9" t="str">
        <x:f>IF(C870="","",IFERROR(INDEX('Taxonomy Rules'!$F$42:$F$68,MATCH(E870,'Taxonomy Rules'!$C$42:$C$68,0)),""))</x:f>
      </x:c>
      <x:c r="U870" s="9" t="str">
        <x:f>IF(C870="","",IFERROR(INDEX('Taxonomy'!$G$9:$G$108,MATCH(D870,'Taxonomy'!$C$9:$C$108,0)),""))</x:f>
      </x:c>
    </x:row>
    <x:row r="871" ht="44" customHeight="1">
      <x:c r="A871" s="1"/>
      <x:c r="B871" s="1"/>
      <x:c r="C871" s="8"/>
      <x:c r="D871" s="8"/>
      <x:c r="E871" s="8"/>
      <x:c r="F871" s="8"/>
      <x:c r="G871" s="8"/>
      <x:c r="H871" s="8"/>
      <x:c r="I871" s="8"/>
      <x:c r="J871" s="8"/>
      <x:c r="K871" s="8"/>
      <x:c r="L871" s="8"/>
      <x:c r="M871" s="10"/>
      <x:c r="N871" s="10"/>
      <x:c r="O871" s="8"/>
      <x:c r="P871" s="9" t="str">
        <x:f>IF(C871="","",IF(AND(G871="Applicable",H871="Fail"),"Fail",IF(R871&lt;&gt;"Valid","Pending",IF(OR(I871="",K871="",L871="",K871=L871,NOT(ISNUMBER(M871)),NOT(ISNUMBER(N871)),M871&gt;Settings!$F$8,N871&lt;Settings!$F$8,N871&lt;M871),"Pending",IF(AND(G871="Applicable",H871="Pass"),"Pass",IF(AND(G871="N/A",H871="N/A",J871&lt;&gt;"",OR(E871="CEM-FUELS",E871="CEM-CCS",AND(E871="CEM-PLAN",IFERROR(INDEX('Taxonomy'!$M$9:$M$108,MATCH(D871,'Taxonomy'!$C$9:$C$108,0)),"")&lt;&gt;"Amber"),E871="BLD-TIMBER",AND(U871="Building equipment",OR(E871="BLD-WATER",E871="BLD-WASTE",E871="BLD-LAND")),AND(U871="Building renovation",E871="BLD-LAND"))),"N/A","Pending"))))))</x:f>
      </x:c>
      <x:c r="Q871" s="3" t="str">
        <x:f>IF(C871="","",IF(AND(R871="Valid",OR(P871="Pass",P871="N/A")),"Complete","Unresolved"))</x:f>
      </x:c>
      <x:c r="R871" s="9" t="str">
        <x:f>IF(C871="","",IF(OR(COUNTIF($C$9:$C$2008,C871)&lt;&gt;1,COUNTIFS($D$9:$D$2008,D871,$E$9:$E$2008,E871)&lt;&gt;1),"Duplicate test",IF(COUNTIF('Taxonomy'!$C$9:$C$108,D871)&lt;&gt;1,"Assessment key",IF(OR(COUNTIF('Taxonomy Rules'!$C$42:$C$68,E871)&lt;&gt;1,F871&lt;&gt;IFERROR(INDEX('Taxonomy Rules'!$D$42:$D$68,MATCH(E871,'Taxonomy Rules'!$C$42:$C$68,0)),""),NOT(OR(IFERROR(INDEX('Taxonomy Rules'!$G$42:$G$68,MATCH(E871,'Taxonomy Rules'!$C$42:$C$68,0)),"")="All supported routes",IFERROR(INDEX('Taxonomy Rules'!$G$42:$G$68,MATCH(E871,'Taxonomy Rules'!$C$42:$C$68,0)),"")=U871,AND(IFERROR(INDEX('Taxonomy Rules'!$G$42:$G$68,MATCH(E871,'Taxonomy Rules'!$C$42:$C$68,0)),"")="Building routes",OR(U871="Building renovation",U871="New building",U871="Building equipment"))))),"Unexpected test","Valid"))))</x:f>
      </x:c>
      <x:c r="S871" s="9" t="str">
        <x:f>IF(C871="","",IFERROR(INDEX('Taxonomy Rules'!$E$42:$E$68,MATCH(E871,'Taxonomy Rules'!$C$42:$C$68,0)),""))</x:f>
      </x:c>
      <x:c r="T871" s="9" t="str">
        <x:f>IF(C871="","",IFERROR(INDEX('Taxonomy Rules'!$F$42:$F$68,MATCH(E871,'Taxonomy Rules'!$C$42:$C$68,0)),""))</x:f>
      </x:c>
      <x:c r="U871" s="9" t="str">
        <x:f>IF(C871="","",IFERROR(INDEX('Taxonomy'!$G$9:$G$108,MATCH(D871,'Taxonomy'!$C$9:$C$108,0)),""))</x:f>
      </x:c>
    </x:row>
    <x:row r="872" ht="44" customHeight="1">
      <x:c r="A872" s="1"/>
      <x:c r="B872" s="1"/>
      <x:c r="C872" s="8"/>
      <x:c r="D872" s="8"/>
      <x:c r="E872" s="8"/>
      <x:c r="F872" s="8"/>
      <x:c r="G872" s="8"/>
      <x:c r="H872" s="8"/>
      <x:c r="I872" s="8"/>
      <x:c r="J872" s="8"/>
      <x:c r="K872" s="8"/>
      <x:c r="L872" s="8"/>
      <x:c r="M872" s="10"/>
      <x:c r="N872" s="10"/>
      <x:c r="O872" s="8"/>
      <x:c r="P872" s="9" t="str">
        <x:f>IF(C872="","",IF(AND(G872="Applicable",H872="Fail"),"Fail",IF(R872&lt;&gt;"Valid","Pending",IF(OR(I872="",K872="",L872="",K872=L872,NOT(ISNUMBER(M872)),NOT(ISNUMBER(N872)),M872&gt;Settings!$F$8,N872&lt;Settings!$F$8,N872&lt;M872),"Pending",IF(AND(G872="Applicable",H872="Pass"),"Pass",IF(AND(G872="N/A",H872="N/A",J872&lt;&gt;"",OR(E872="CEM-FUELS",E872="CEM-CCS",AND(E872="CEM-PLAN",IFERROR(INDEX('Taxonomy'!$M$9:$M$108,MATCH(D872,'Taxonomy'!$C$9:$C$108,0)),"")&lt;&gt;"Amber"),E872="BLD-TIMBER",AND(U872="Building equipment",OR(E872="BLD-WATER",E872="BLD-WASTE",E872="BLD-LAND")),AND(U872="Building renovation",E872="BLD-LAND"))),"N/A","Pending"))))))</x:f>
      </x:c>
      <x:c r="Q872" s="3" t="str">
        <x:f>IF(C872="","",IF(AND(R872="Valid",OR(P872="Pass",P872="N/A")),"Complete","Unresolved"))</x:f>
      </x:c>
      <x:c r="R872" s="9" t="str">
        <x:f>IF(C872="","",IF(OR(COUNTIF($C$9:$C$2008,C872)&lt;&gt;1,COUNTIFS($D$9:$D$2008,D872,$E$9:$E$2008,E872)&lt;&gt;1),"Duplicate test",IF(COUNTIF('Taxonomy'!$C$9:$C$108,D872)&lt;&gt;1,"Assessment key",IF(OR(COUNTIF('Taxonomy Rules'!$C$42:$C$68,E872)&lt;&gt;1,F872&lt;&gt;IFERROR(INDEX('Taxonomy Rules'!$D$42:$D$68,MATCH(E872,'Taxonomy Rules'!$C$42:$C$68,0)),""),NOT(OR(IFERROR(INDEX('Taxonomy Rules'!$G$42:$G$68,MATCH(E872,'Taxonomy Rules'!$C$42:$C$68,0)),"")="All supported routes",IFERROR(INDEX('Taxonomy Rules'!$G$42:$G$68,MATCH(E872,'Taxonomy Rules'!$C$42:$C$68,0)),"")=U872,AND(IFERROR(INDEX('Taxonomy Rules'!$G$42:$G$68,MATCH(E872,'Taxonomy Rules'!$C$42:$C$68,0)),"")="Building routes",OR(U872="Building renovation",U872="New building",U872="Building equipment"))))),"Unexpected test","Valid"))))</x:f>
      </x:c>
      <x:c r="S872" s="9" t="str">
        <x:f>IF(C872="","",IFERROR(INDEX('Taxonomy Rules'!$E$42:$E$68,MATCH(E872,'Taxonomy Rules'!$C$42:$C$68,0)),""))</x:f>
      </x:c>
      <x:c r="T872" s="9" t="str">
        <x:f>IF(C872="","",IFERROR(INDEX('Taxonomy Rules'!$F$42:$F$68,MATCH(E872,'Taxonomy Rules'!$C$42:$C$68,0)),""))</x:f>
      </x:c>
      <x:c r="U872" s="9" t="str">
        <x:f>IF(C872="","",IFERROR(INDEX('Taxonomy'!$G$9:$G$108,MATCH(D872,'Taxonomy'!$C$9:$C$108,0)),""))</x:f>
      </x:c>
    </x:row>
    <x:row r="873" ht="44" customHeight="1">
      <x:c r="A873" s="1"/>
      <x:c r="B873" s="1"/>
      <x:c r="C873" s="8"/>
      <x:c r="D873" s="8"/>
      <x:c r="E873" s="8"/>
      <x:c r="F873" s="8"/>
      <x:c r="G873" s="8"/>
      <x:c r="H873" s="8"/>
      <x:c r="I873" s="8"/>
      <x:c r="J873" s="8"/>
      <x:c r="K873" s="8"/>
      <x:c r="L873" s="8"/>
      <x:c r="M873" s="10"/>
      <x:c r="N873" s="10"/>
      <x:c r="O873" s="8"/>
      <x:c r="P873" s="9" t="str">
        <x:f>IF(C873="","",IF(AND(G873="Applicable",H873="Fail"),"Fail",IF(R873&lt;&gt;"Valid","Pending",IF(OR(I873="",K873="",L873="",K873=L873,NOT(ISNUMBER(M873)),NOT(ISNUMBER(N873)),M873&gt;Settings!$F$8,N873&lt;Settings!$F$8,N873&lt;M873),"Pending",IF(AND(G873="Applicable",H873="Pass"),"Pass",IF(AND(G873="N/A",H873="N/A",J873&lt;&gt;"",OR(E873="CEM-FUELS",E873="CEM-CCS",AND(E873="CEM-PLAN",IFERROR(INDEX('Taxonomy'!$M$9:$M$108,MATCH(D873,'Taxonomy'!$C$9:$C$108,0)),"")&lt;&gt;"Amber"),E873="BLD-TIMBER",AND(U873="Building equipment",OR(E873="BLD-WATER",E873="BLD-WASTE",E873="BLD-LAND")),AND(U873="Building renovation",E873="BLD-LAND"))),"N/A","Pending"))))))</x:f>
      </x:c>
      <x:c r="Q873" s="3" t="str">
        <x:f>IF(C873="","",IF(AND(R873="Valid",OR(P873="Pass",P873="N/A")),"Complete","Unresolved"))</x:f>
      </x:c>
      <x:c r="R873" s="9" t="str">
        <x:f>IF(C873="","",IF(OR(COUNTIF($C$9:$C$2008,C873)&lt;&gt;1,COUNTIFS($D$9:$D$2008,D873,$E$9:$E$2008,E873)&lt;&gt;1),"Duplicate test",IF(COUNTIF('Taxonomy'!$C$9:$C$108,D873)&lt;&gt;1,"Assessment key",IF(OR(COUNTIF('Taxonomy Rules'!$C$42:$C$68,E873)&lt;&gt;1,F873&lt;&gt;IFERROR(INDEX('Taxonomy Rules'!$D$42:$D$68,MATCH(E873,'Taxonomy Rules'!$C$42:$C$68,0)),""),NOT(OR(IFERROR(INDEX('Taxonomy Rules'!$G$42:$G$68,MATCH(E873,'Taxonomy Rules'!$C$42:$C$68,0)),"")="All supported routes",IFERROR(INDEX('Taxonomy Rules'!$G$42:$G$68,MATCH(E873,'Taxonomy Rules'!$C$42:$C$68,0)),"")=U873,AND(IFERROR(INDEX('Taxonomy Rules'!$G$42:$G$68,MATCH(E873,'Taxonomy Rules'!$C$42:$C$68,0)),"")="Building routes",OR(U873="Building renovation",U873="New building",U873="Building equipment"))))),"Unexpected test","Valid"))))</x:f>
      </x:c>
      <x:c r="S873" s="9" t="str">
        <x:f>IF(C873="","",IFERROR(INDEX('Taxonomy Rules'!$E$42:$E$68,MATCH(E873,'Taxonomy Rules'!$C$42:$C$68,0)),""))</x:f>
      </x:c>
      <x:c r="T873" s="9" t="str">
        <x:f>IF(C873="","",IFERROR(INDEX('Taxonomy Rules'!$F$42:$F$68,MATCH(E873,'Taxonomy Rules'!$C$42:$C$68,0)),""))</x:f>
      </x:c>
      <x:c r="U873" s="9" t="str">
        <x:f>IF(C873="","",IFERROR(INDEX('Taxonomy'!$G$9:$G$108,MATCH(D873,'Taxonomy'!$C$9:$C$108,0)),""))</x:f>
      </x:c>
    </x:row>
    <x:row r="874" ht="44" customHeight="1">
      <x:c r="A874" s="1"/>
      <x:c r="B874" s="1"/>
      <x:c r="C874" s="8"/>
      <x:c r="D874" s="8"/>
      <x:c r="E874" s="8"/>
      <x:c r="F874" s="8"/>
      <x:c r="G874" s="8"/>
      <x:c r="H874" s="8"/>
      <x:c r="I874" s="8"/>
      <x:c r="J874" s="8"/>
      <x:c r="K874" s="8"/>
      <x:c r="L874" s="8"/>
      <x:c r="M874" s="10"/>
      <x:c r="N874" s="10"/>
      <x:c r="O874" s="8"/>
      <x:c r="P874" s="9" t="str">
        <x:f>IF(C874="","",IF(AND(G874="Applicable",H874="Fail"),"Fail",IF(R874&lt;&gt;"Valid","Pending",IF(OR(I874="",K874="",L874="",K874=L874,NOT(ISNUMBER(M874)),NOT(ISNUMBER(N874)),M874&gt;Settings!$F$8,N874&lt;Settings!$F$8,N874&lt;M874),"Pending",IF(AND(G874="Applicable",H874="Pass"),"Pass",IF(AND(G874="N/A",H874="N/A",J874&lt;&gt;"",OR(E874="CEM-FUELS",E874="CEM-CCS",AND(E874="CEM-PLAN",IFERROR(INDEX('Taxonomy'!$M$9:$M$108,MATCH(D874,'Taxonomy'!$C$9:$C$108,0)),"")&lt;&gt;"Amber"),E874="BLD-TIMBER",AND(U874="Building equipment",OR(E874="BLD-WATER",E874="BLD-WASTE",E874="BLD-LAND")),AND(U874="Building renovation",E874="BLD-LAND"))),"N/A","Pending"))))))</x:f>
      </x:c>
      <x:c r="Q874" s="3" t="str">
        <x:f>IF(C874="","",IF(AND(R874="Valid",OR(P874="Pass",P874="N/A")),"Complete","Unresolved"))</x:f>
      </x:c>
      <x:c r="R874" s="9" t="str">
        <x:f>IF(C874="","",IF(OR(COUNTIF($C$9:$C$2008,C874)&lt;&gt;1,COUNTIFS($D$9:$D$2008,D874,$E$9:$E$2008,E874)&lt;&gt;1),"Duplicate test",IF(COUNTIF('Taxonomy'!$C$9:$C$108,D874)&lt;&gt;1,"Assessment key",IF(OR(COUNTIF('Taxonomy Rules'!$C$42:$C$68,E874)&lt;&gt;1,F874&lt;&gt;IFERROR(INDEX('Taxonomy Rules'!$D$42:$D$68,MATCH(E874,'Taxonomy Rules'!$C$42:$C$68,0)),""),NOT(OR(IFERROR(INDEX('Taxonomy Rules'!$G$42:$G$68,MATCH(E874,'Taxonomy Rules'!$C$42:$C$68,0)),"")="All supported routes",IFERROR(INDEX('Taxonomy Rules'!$G$42:$G$68,MATCH(E874,'Taxonomy Rules'!$C$42:$C$68,0)),"")=U874,AND(IFERROR(INDEX('Taxonomy Rules'!$G$42:$G$68,MATCH(E874,'Taxonomy Rules'!$C$42:$C$68,0)),"")="Building routes",OR(U874="Building renovation",U874="New building",U874="Building equipment"))))),"Unexpected test","Valid"))))</x:f>
      </x:c>
      <x:c r="S874" s="9" t="str">
        <x:f>IF(C874="","",IFERROR(INDEX('Taxonomy Rules'!$E$42:$E$68,MATCH(E874,'Taxonomy Rules'!$C$42:$C$68,0)),""))</x:f>
      </x:c>
      <x:c r="T874" s="9" t="str">
        <x:f>IF(C874="","",IFERROR(INDEX('Taxonomy Rules'!$F$42:$F$68,MATCH(E874,'Taxonomy Rules'!$C$42:$C$68,0)),""))</x:f>
      </x:c>
      <x:c r="U874" s="9" t="str">
        <x:f>IF(C874="","",IFERROR(INDEX('Taxonomy'!$G$9:$G$108,MATCH(D874,'Taxonomy'!$C$9:$C$108,0)),""))</x:f>
      </x:c>
    </x:row>
    <x:row r="875" ht="44" customHeight="1">
      <x:c r="A875" s="1"/>
      <x:c r="B875" s="1"/>
      <x:c r="C875" s="8"/>
      <x:c r="D875" s="8"/>
      <x:c r="E875" s="8"/>
      <x:c r="F875" s="8"/>
      <x:c r="G875" s="8"/>
      <x:c r="H875" s="8"/>
      <x:c r="I875" s="8"/>
      <x:c r="J875" s="8"/>
      <x:c r="K875" s="8"/>
      <x:c r="L875" s="8"/>
      <x:c r="M875" s="10"/>
      <x:c r="N875" s="10"/>
      <x:c r="O875" s="8"/>
      <x:c r="P875" s="9" t="str">
        <x:f>IF(C875="","",IF(AND(G875="Applicable",H875="Fail"),"Fail",IF(R875&lt;&gt;"Valid","Pending",IF(OR(I875="",K875="",L875="",K875=L875,NOT(ISNUMBER(M875)),NOT(ISNUMBER(N875)),M875&gt;Settings!$F$8,N875&lt;Settings!$F$8,N875&lt;M875),"Pending",IF(AND(G875="Applicable",H875="Pass"),"Pass",IF(AND(G875="N/A",H875="N/A",J875&lt;&gt;"",OR(E875="CEM-FUELS",E875="CEM-CCS",AND(E875="CEM-PLAN",IFERROR(INDEX('Taxonomy'!$M$9:$M$108,MATCH(D875,'Taxonomy'!$C$9:$C$108,0)),"")&lt;&gt;"Amber"),E875="BLD-TIMBER",AND(U875="Building equipment",OR(E875="BLD-WATER",E875="BLD-WASTE",E875="BLD-LAND")),AND(U875="Building renovation",E875="BLD-LAND"))),"N/A","Pending"))))))</x:f>
      </x:c>
      <x:c r="Q875" s="3" t="str">
        <x:f>IF(C875="","",IF(AND(R875="Valid",OR(P875="Pass",P875="N/A")),"Complete","Unresolved"))</x:f>
      </x:c>
      <x:c r="R875" s="9" t="str">
        <x:f>IF(C875="","",IF(OR(COUNTIF($C$9:$C$2008,C875)&lt;&gt;1,COUNTIFS($D$9:$D$2008,D875,$E$9:$E$2008,E875)&lt;&gt;1),"Duplicate test",IF(COUNTIF('Taxonomy'!$C$9:$C$108,D875)&lt;&gt;1,"Assessment key",IF(OR(COUNTIF('Taxonomy Rules'!$C$42:$C$68,E875)&lt;&gt;1,F875&lt;&gt;IFERROR(INDEX('Taxonomy Rules'!$D$42:$D$68,MATCH(E875,'Taxonomy Rules'!$C$42:$C$68,0)),""),NOT(OR(IFERROR(INDEX('Taxonomy Rules'!$G$42:$G$68,MATCH(E875,'Taxonomy Rules'!$C$42:$C$68,0)),"")="All supported routes",IFERROR(INDEX('Taxonomy Rules'!$G$42:$G$68,MATCH(E875,'Taxonomy Rules'!$C$42:$C$68,0)),"")=U875,AND(IFERROR(INDEX('Taxonomy Rules'!$G$42:$G$68,MATCH(E875,'Taxonomy Rules'!$C$42:$C$68,0)),"")="Building routes",OR(U875="Building renovation",U875="New building",U875="Building equipment"))))),"Unexpected test","Valid"))))</x:f>
      </x:c>
      <x:c r="S875" s="9" t="str">
        <x:f>IF(C875="","",IFERROR(INDEX('Taxonomy Rules'!$E$42:$E$68,MATCH(E875,'Taxonomy Rules'!$C$42:$C$68,0)),""))</x:f>
      </x:c>
      <x:c r="T875" s="9" t="str">
        <x:f>IF(C875="","",IFERROR(INDEX('Taxonomy Rules'!$F$42:$F$68,MATCH(E875,'Taxonomy Rules'!$C$42:$C$68,0)),""))</x:f>
      </x:c>
      <x:c r="U875" s="9" t="str">
        <x:f>IF(C875="","",IFERROR(INDEX('Taxonomy'!$G$9:$G$108,MATCH(D875,'Taxonomy'!$C$9:$C$108,0)),""))</x:f>
      </x:c>
    </x:row>
    <x:row r="876" ht="44" customHeight="1">
      <x:c r="A876" s="1"/>
      <x:c r="B876" s="1"/>
      <x:c r="C876" s="8"/>
      <x:c r="D876" s="8"/>
      <x:c r="E876" s="8"/>
      <x:c r="F876" s="8"/>
      <x:c r="G876" s="8"/>
      <x:c r="H876" s="8"/>
      <x:c r="I876" s="8"/>
      <x:c r="J876" s="8"/>
      <x:c r="K876" s="8"/>
      <x:c r="L876" s="8"/>
      <x:c r="M876" s="10"/>
      <x:c r="N876" s="10"/>
      <x:c r="O876" s="8"/>
      <x:c r="P876" s="9" t="str">
        <x:f>IF(C876="","",IF(AND(G876="Applicable",H876="Fail"),"Fail",IF(R876&lt;&gt;"Valid","Pending",IF(OR(I876="",K876="",L876="",K876=L876,NOT(ISNUMBER(M876)),NOT(ISNUMBER(N876)),M876&gt;Settings!$F$8,N876&lt;Settings!$F$8,N876&lt;M876),"Pending",IF(AND(G876="Applicable",H876="Pass"),"Pass",IF(AND(G876="N/A",H876="N/A",J876&lt;&gt;"",OR(E876="CEM-FUELS",E876="CEM-CCS",AND(E876="CEM-PLAN",IFERROR(INDEX('Taxonomy'!$M$9:$M$108,MATCH(D876,'Taxonomy'!$C$9:$C$108,0)),"")&lt;&gt;"Amber"),E876="BLD-TIMBER",AND(U876="Building equipment",OR(E876="BLD-WATER",E876="BLD-WASTE",E876="BLD-LAND")),AND(U876="Building renovation",E876="BLD-LAND"))),"N/A","Pending"))))))</x:f>
      </x:c>
      <x:c r="Q876" s="3" t="str">
        <x:f>IF(C876="","",IF(AND(R876="Valid",OR(P876="Pass",P876="N/A")),"Complete","Unresolved"))</x:f>
      </x:c>
      <x:c r="R876" s="9" t="str">
        <x:f>IF(C876="","",IF(OR(COUNTIF($C$9:$C$2008,C876)&lt;&gt;1,COUNTIFS($D$9:$D$2008,D876,$E$9:$E$2008,E876)&lt;&gt;1),"Duplicate test",IF(COUNTIF('Taxonomy'!$C$9:$C$108,D876)&lt;&gt;1,"Assessment key",IF(OR(COUNTIF('Taxonomy Rules'!$C$42:$C$68,E876)&lt;&gt;1,F876&lt;&gt;IFERROR(INDEX('Taxonomy Rules'!$D$42:$D$68,MATCH(E876,'Taxonomy Rules'!$C$42:$C$68,0)),""),NOT(OR(IFERROR(INDEX('Taxonomy Rules'!$G$42:$G$68,MATCH(E876,'Taxonomy Rules'!$C$42:$C$68,0)),"")="All supported routes",IFERROR(INDEX('Taxonomy Rules'!$G$42:$G$68,MATCH(E876,'Taxonomy Rules'!$C$42:$C$68,0)),"")=U876,AND(IFERROR(INDEX('Taxonomy Rules'!$G$42:$G$68,MATCH(E876,'Taxonomy Rules'!$C$42:$C$68,0)),"")="Building routes",OR(U876="Building renovation",U876="New building",U876="Building equipment"))))),"Unexpected test","Valid"))))</x:f>
      </x:c>
      <x:c r="S876" s="9" t="str">
        <x:f>IF(C876="","",IFERROR(INDEX('Taxonomy Rules'!$E$42:$E$68,MATCH(E876,'Taxonomy Rules'!$C$42:$C$68,0)),""))</x:f>
      </x:c>
      <x:c r="T876" s="9" t="str">
        <x:f>IF(C876="","",IFERROR(INDEX('Taxonomy Rules'!$F$42:$F$68,MATCH(E876,'Taxonomy Rules'!$C$42:$C$68,0)),""))</x:f>
      </x:c>
      <x:c r="U876" s="9" t="str">
        <x:f>IF(C876="","",IFERROR(INDEX('Taxonomy'!$G$9:$G$108,MATCH(D876,'Taxonomy'!$C$9:$C$108,0)),""))</x:f>
      </x:c>
    </x:row>
    <x:row r="877" ht="44" customHeight="1">
      <x:c r="A877" s="1"/>
      <x:c r="B877" s="1"/>
      <x:c r="C877" s="8"/>
      <x:c r="D877" s="8"/>
      <x:c r="E877" s="8"/>
      <x:c r="F877" s="8"/>
      <x:c r="G877" s="8"/>
      <x:c r="H877" s="8"/>
      <x:c r="I877" s="8"/>
      <x:c r="J877" s="8"/>
      <x:c r="K877" s="8"/>
      <x:c r="L877" s="8"/>
      <x:c r="M877" s="10"/>
      <x:c r="N877" s="10"/>
      <x:c r="O877" s="8"/>
      <x:c r="P877" s="9" t="str">
        <x:f>IF(C877="","",IF(AND(G877="Applicable",H877="Fail"),"Fail",IF(R877&lt;&gt;"Valid","Pending",IF(OR(I877="",K877="",L877="",K877=L877,NOT(ISNUMBER(M877)),NOT(ISNUMBER(N877)),M877&gt;Settings!$F$8,N877&lt;Settings!$F$8,N877&lt;M877),"Pending",IF(AND(G877="Applicable",H877="Pass"),"Pass",IF(AND(G877="N/A",H877="N/A",J877&lt;&gt;"",OR(E877="CEM-FUELS",E877="CEM-CCS",AND(E877="CEM-PLAN",IFERROR(INDEX('Taxonomy'!$M$9:$M$108,MATCH(D877,'Taxonomy'!$C$9:$C$108,0)),"")&lt;&gt;"Amber"),E877="BLD-TIMBER",AND(U877="Building equipment",OR(E877="BLD-WATER",E877="BLD-WASTE",E877="BLD-LAND")),AND(U877="Building renovation",E877="BLD-LAND"))),"N/A","Pending"))))))</x:f>
      </x:c>
      <x:c r="Q877" s="3" t="str">
        <x:f>IF(C877="","",IF(AND(R877="Valid",OR(P877="Pass",P877="N/A")),"Complete","Unresolved"))</x:f>
      </x:c>
      <x:c r="R877" s="9" t="str">
        <x:f>IF(C877="","",IF(OR(COUNTIF($C$9:$C$2008,C877)&lt;&gt;1,COUNTIFS($D$9:$D$2008,D877,$E$9:$E$2008,E877)&lt;&gt;1),"Duplicate test",IF(COUNTIF('Taxonomy'!$C$9:$C$108,D877)&lt;&gt;1,"Assessment key",IF(OR(COUNTIF('Taxonomy Rules'!$C$42:$C$68,E877)&lt;&gt;1,F877&lt;&gt;IFERROR(INDEX('Taxonomy Rules'!$D$42:$D$68,MATCH(E877,'Taxonomy Rules'!$C$42:$C$68,0)),""),NOT(OR(IFERROR(INDEX('Taxonomy Rules'!$G$42:$G$68,MATCH(E877,'Taxonomy Rules'!$C$42:$C$68,0)),"")="All supported routes",IFERROR(INDEX('Taxonomy Rules'!$G$42:$G$68,MATCH(E877,'Taxonomy Rules'!$C$42:$C$68,0)),"")=U877,AND(IFERROR(INDEX('Taxonomy Rules'!$G$42:$G$68,MATCH(E877,'Taxonomy Rules'!$C$42:$C$68,0)),"")="Building routes",OR(U877="Building renovation",U877="New building",U877="Building equipment"))))),"Unexpected test","Valid"))))</x:f>
      </x:c>
      <x:c r="S877" s="9" t="str">
        <x:f>IF(C877="","",IFERROR(INDEX('Taxonomy Rules'!$E$42:$E$68,MATCH(E877,'Taxonomy Rules'!$C$42:$C$68,0)),""))</x:f>
      </x:c>
      <x:c r="T877" s="9" t="str">
        <x:f>IF(C877="","",IFERROR(INDEX('Taxonomy Rules'!$F$42:$F$68,MATCH(E877,'Taxonomy Rules'!$C$42:$C$68,0)),""))</x:f>
      </x:c>
      <x:c r="U877" s="9" t="str">
        <x:f>IF(C877="","",IFERROR(INDEX('Taxonomy'!$G$9:$G$108,MATCH(D877,'Taxonomy'!$C$9:$C$108,0)),""))</x:f>
      </x:c>
    </x:row>
    <x:row r="878" ht="44" customHeight="1">
      <x:c r="A878" s="1"/>
      <x:c r="B878" s="1"/>
      <x:c r="C878" s="8"/>
      <x:c r="D878" s="8"/>
      <x:c r="E878" s="8"/>
      <x:c r="F878" s="8"/>
      <x:c r="G878" s="8"/>
      <x:c r="H878" s="8"/>
      <x:c r="I878" s="8"/>
      <x:c r="J878" s="8"/>
      <x:c r="K878" s="8"/>
      <x:c r="L878" s="8"/>
      <x:c r="M878" s="10"/>
      <x:c r="N878" s="10"/>
      <x:c r="O878" s="8"/>
      <x:c r="P878" s="9" t="str">
        <x:f>IF(C878="","",IF(AND(G878="Applicable",H878="Fail"),"Fail",IF(R878&lt;&gt;"Valid","Pending",IF(OR(I878="",K878="",L878="",K878=L878,NOT(ISNUMBER(M878)),NOT(ISNUMBER(N878)),M878&gt;Settings!$F$8,N878&lt;Settings!$F$8,N878&lt;M878),"Pending",IF(AND(G878="Applicable",H878="Pass"),"Pass",IF(AND(G878="N/A",H878="N/A",J878&lt;&gt;"",OR(E878="CEM-FUELS",E878="CEM-CCS",AND(E878="CEM-PLAN",IFERROR(INDEX('Taxonomy'!$M$9:$M$108,MATCH(D878,'Taxonomy'!$C$9:$C$108,0)),"")&lt;&gt;"Amber"),E878="BLD-TIMBER",AND(U878="Building equipment",OR(E878="BLD-WATER",E878="BLD-WASTE",E878="BLD-LAND")),AND(U878="Building renovation",E878="BLD-LAND"))),"N/A","Pending"))))))</x:f>
      </x:c>
      <x:c r="Q878" s="3" t="str">
        <x:f>IF(C878="","",IF(AND(R878="Valid",OR(P878="Pass",P878="N/A")),"Complete","Unresolved"))</x:f>
      </x:c>
      <x:c r="R878" s="9" t="str">
        <x:f>IF(C878="","",IF(OR(COUNTIF($C$9:$C$2008,C878)&lt;&gt;1,COUNTIFS($D$9:$D$2008,D878,$E$9:$E$2008,E878)&lt;&gt;1),"Duplicate test",IF(COUNTIF('Taxonomy'!$C$9:$C$108,D878)&lt;&gt;1,"Assessment key",IF(OR(COUNTIF('Taxonomy Rules'!$C$42:$C$68,E878)&lt;&gt;1,F878&lt;&gt;IFERROR(INDEX('Taxonomy Rules'!$D$42:$D$68,MATCH(E878,'Taxonomy Rules'!$C$42:$C$68,0)),""),NOT(OR(IFERROR(INDEX('Taxonomy Rules'!$G$42:$G$68,MATCH(E878,'Taxonomy Rules'!$C$42:$C$68,0)),"")="All supported routes",IFERROR(INDEX('Taxonomy Rules'!$G$42:$G$68,MATCH(E878,'Taxonomy Rules'!$C$42:$C$68,0)),"")=U878,AND(IFERROR(INDEX('Taxonomy Rules'!$G$42:$G$68,MATCH(E878,'Taxonomy Rules'!$C$42:$C$68,0)),"")="Building routes",OR(U878="Building renovation",U878="New building",U878="Building equipment"))))),"Unexpected test","Valid"))))</x:f>
      </x:c>
      <x:c r="S878" s="9" t="str">
        <x:f>IF(C878="","",IFERROR(INDEX('Taxonomy Rules'!$E$42:$E$68,MATCH(E878,'Taxonomy Rules'!$C$42:$C$68,0)),""))</x:f>
      </x:c>
      <x:c r="T878" s="9" t="str">
        <x:f>IF(C878="","",IFERROR(INDEX('Taxonomy Rules'!$F$42:$F$68,MATCH(E878,'Taxonomy Rules'!$C$42:$C$68,0)),""))</x:f>
      </x:c>
      <x:c r="U878" s="9" t="str">
        <x:f>IF(C878="","",IFERROR(INDEX('Taxonomy'!$G$9:$G$108,MATCH(D878,'Taxonomy'!$C$9:$C$108,0)),""))</x:f>
      </x:c>
    </x:row>
    <x:row r="879" ht="44" customHeight="1">
      <x:c r="A879" s="1"/>
      <x:c r="B879" s="1"/>
      <x:c r="C879" s="8"/>
      <x:c r="D879" s="8"/>
      <x:c r="E879" s="8"/>
      <x:c r="F879" s="8"/>
      <x:c r="G879" s="8"/>
      <x:c r="H879" s="8"/>
      <x:c r="I879" s="8"/>
      <x:c r="J879" s="8"/>
      <x:c r="K879" s="8"/>
      <x:c r="L879" s="8"/>
      <x:c r="M879" s="10"/>
      <x:c r="N879" s="10"/>
      <x:c r="O879" s="8"/>
      <x:c r="P879" s="9" t="str">
        <x:f>IF(C879="","",IF(AND(G879="Applicable",H879="Fail"),"Fail",IF(R879&lt;&gt;"Valid","Pending",IF(OR(I879="",K879="",L879="",K879=L879,NOT(ISNUMBER(M879)),NOT(ISNUMBER(N879)),M879&gt;Settings!$F$8,N879&lt;Settings!$F$8,N879&lt;M879),"Pending",IF(AND(G879="Applicable",H879="Pass"),"Pass",IF(AND(G879="N/A",H879="N/A",J879&lt;&gt;"",OR(E879="CEM-FUELS",E879="CEM-CCS",AND(E879="CEM-PLAN",IFERROR(INDEX('Taxonomy'!$M$9:$M$108,MATCH(D879,'Taxonomy'!$C$9:$C$108,0)),"")&lt;&gt;"Amber"),E879="BLD-TIMBER",AND(U879="Building equipment",OR(E879="BLD-WATER",E879="BLD-WASTE",E879="BLD-LAND")),AND(U879="Building renovation",E879="BLD-LAND"))),"N/A","Pending"))))))</x:f>
      </x:c>
      <x:c r="Q879" s="3" t="str">
        <x:f>IF(C879="","",IF(AND(R879="Valid",OR(P879="Pass",P879="N/A")),"Complete","Unresolved"))</x:f>
      </x:c>
      <x:c r="R879" s="9" t="str">
        <x:f>IF(C879="","",IF(OR(COUNTIF($C$9:$C$2008,C879)&lt;&gt;1,COUNTIFS($D$9:$D$2008,D879,$E$9:$E$2008,E879)&lt;&gt;1),"Duplicate test",IF(COUNTIF('Taxonomy'!$C$9:$C$108,D879)&lt;&gt;1,"Assessment key",IF(OR(COUNTIF('Taxonomy Rules'!$C$42:$C$68,E879)&lt;&gt;1,F879&lt;&gt;IFERROR(INDEX('Taxonomy Rules'!$D$42:$D$68,MATCH(E879,'Taxonomy Rules'!$C$42:$C$68,0)),""),NOT(OR(IFERROR(INDEX('Taxonomy Rules'!$G$42:$G$68,MATCH(E879,'Taxonomy Rules'!$C$42:$C$68,0)),"")="All supported routes",IFERROR(INDEX('Taxonomy Rules'!$G$42:$G$68,MATCH(E879,'Taxonomy Rules'!$C$42:$C$68,0)),"")=U879,AND(IFERROR(INDEX('Taxonomy Rules'!$G$42:$G$68,MATCH(E879,'Taxonomy Rules'!$C$42:$C$68,0)),"")="Building routes",OR(U879="Building renovation",U879="New building",U879="Building equipment"))))),"Unexpected test","Valid"))))</x:f>
      </x:c>
      <x:c r="S879" s="9" t="str">
        <x:f>IF(C879="","",IFERROR(INDEX('Taxonomy Rules'!$E$42:$E$68,MATCH(E879,'Taxonomy Rules'!$C$42:$C$68,0)),""))</x:f>
      </x:c>
      <x:c r="T879" s="9" t="str">
        <x:f>IF(C879="","",IFERROR(INDEX('Taxonomy Rules'!$F$42:$F$68,MATCH(E879,'Taxonomy Rules'!$C$42:$C$68,0)),""))</x:f>
      </x:c>
      <x:c r="U879" s="9" t="str">
        <x:f>IF(C879="","",IFERROR(INDEX('Taxonomy'!$G$9:$G$108,MATCH(D879,'Taxonomy'!$C$9:$C$108,0)),""))</x:f>
      </x:c>
    </x:row>
    <x:row r="880" ht="44" customHeight="1">
      <x:c r="A880" s="1"/>
      <x:c r="B880" s="1"/>
      <x:c r="C880" s="8"/>
      <x:c r="D880" s="8"/>
      <x:c r="E880" s="8"/>
      <x:c r="F880" s="8"/>
      <x:c r="G880" s="8"/>
      <x:c r="H880" s="8"/>
      <x:c r="I880" s="8"/>
      <x:c r="J880" s="8"/>
      <x:c r="K880" s="8"/>
      <x:c r="L880" s="8"/>
      <x:c r="M880" s="10"/>
      <x:c r="N880" s="10"/>
      <x:c r="O880" s="8"/>
      <x:c r="P880" s="9" t="str">
        <x:f>IF(C880="","",IF(AND(G880="Applicable",H880="Fail"),"Fail",IF(R880&lt;&gt;"Valid","Pending",IF(OR(I880="",K880="",L880="",K880=L880,NOT(ISNUMBER(M880)),NOT(ISNUMBER(N880)),M880&gt;Settings!$F$8,N880&lt;Settings!$F$8,N880&lt;M880),"Pending",IF(AND(G880="Applicable",H880="Pass"),"Pass",IF(AND(G880="N/A",H880="N/A",J880&lt;&gt;"",OR(E880="CEM-FUELS",E880="CEM-CCS",AND(E880="CEM-PLAN",IFERROR(INDEX('Taxonomy'!$M$9:$M$108,MATCH(D880,'Taxonomy'!$C$9:$C$108,0)),"")&lt;&gt;"Amber"),E880="BLD-TIMBER",AND(U880="Building equipment",OR(E880="BLD-WATER",E880="BLD-WASTE",E880="BLD-LAND")),AND(U880="Building renovation",E880="BLD-LAND"))),"N/A","Pending"))))))</x:f>
      </x:c>
      <x:c r="Q880" s="3" t="str">
        <x:f>IF(C880="","",IF(AND(R880="Valid",OR(P880="Pass",P880="N/A")),"Complete","Unresolved"))</x:f>
      </x:c>
      <x:c r="R880" s="9" t="str">
        <x:f>IF(C880="","",IF(OR(COUNTIF($C$9:$C$2008,C880)&lt;&gt;1,COUNTIFS($D$9:$D$2008,D880,$E$9:$E$2008,E880)&lt;&gt;1),"Duplicate test",IF(COUNTIF('Taxonomy'!$C$9:$C$108,D880)&lt;&gt;1,"Assessment key",IF(OR(COUNTIF('Taxonomy Rules'!$C$42:$C$68,E880)&lt;&gt;1,F880&lt;&gt;IFERROR(INDEX('Taxonomy Rules'!$D$42:$D$68,MATCH(E880,'Taxonomy Rules'!$C$42:$C$68,0)),""),NOT(OR(IFERROR(INDEX('Taxonomy Rules'!$G$42:$G$68,MATCH(E880,'Taxonomy Rules'!$C$42:$C$68,0)),"")="All supported routes",IFERROR(INDEX('Taxonomy Rules'!$G$42:$G$68,MATCH(E880,'Taxonomy Rules'!$C$42:$C$68,0)),"")=U880,AND(IFERROR(INDEX('Taxonomy Rules'!$G$42:$G$68,MATCH(E880,'Taxonomy Rules'!$C$42:$C$68,0)),"")="Building routes",OR(U880="Building renovation",U880="New building",U880="Building equipment"))))),"Unexpected test","Valid"))))</x:f>
      </x:c>
      <x:c r="S880" s="9" t="str">
        <x:f>IF(C880="","",IFERROR(INDEX('Taxonomy Rules'!$E$42:$E$68,MATCH(E880,'Taxonomy Rules'!$C$42:$C$68,0)),""))</x:f>
      </x:c>
      <x:c r="T880" s="9" t="str">
        <x:f>IF(C880="","",IFERROR(INDEX('Taxonomy Rules'!$F$42:$F$68,MATCH(E880,'Taxonomy Rules'!$C$42:$C$68,0)),""))</x:f>
      </x:c>
      <x:c r="U880" s="9" t="str">
        <x:f>IF(C880="","",IFERROR(INDEX('Taxonomy'!$G$9:$G$108,MATCH(D880,'Taxonomy'!$C$9:$C$108,0)),""))</x:f>
      </x:c>
    </x:row>
    <x:row r="881" ht="44" customHeight="1">
      <x:c r="A881" s="1"/>
      <x:c r="B881" s="1"/>
      <x:c r="C881" s="8"/>
      <x:c r="D881" s="8"/>
      <x:c r="E881" s="8"/>
      <x:c r="F881" s="8"/>
      <x:c r="G881" s="8"/>
      <x:c r="H881" s="8"/>
      <x:c r="I881" s="8"/>
      <x:c r="J881" s="8"/>
      <x:c r="K881" s="8"/>
      <x:c r="L881" s="8"/>
      <x:c r="M881" s="10"/>
      <x:c r="N881" s="10"/>
      <x:c r="O881" s="8"/>
      <x:c r="P881" s="9" t="str">
        <x:f>IF(C881="","",IF(AND(G881="Applicable",H881="Fail"),"Fail",IF(R881&lt;&gt;"Valid","Pending",IF(OR(I881="",K881="",L881="",K881=L881,NOT(ISNUMBER(M881)),NOT(ISNUMBER(N881)),M881&gt;Settings!$F$8,N881&lt;Settings!$F$8,N881&lt;M881),"Pending",IF(AND(G881="Applicable",H881="Pass"),"Pass",IF(AND(G881="N/A",H881="N/A",J881&lt;&gt;"",OR(E881="CEM-FUELS",E881="CEM-CCS",AND(E881="CEM-PLAN",IFERROR(INDEX('Taxonomy'!$M$9:$M$108,MATCH(D881,'Taxonomy'!$C$9:$C$108,0)),"")&lt;&gt;"Amber"),E881="BLD-TIMBER",AND(U881="Building equipment",OR(E881="BLD-WATER",E881="BLD-WASTE",E881="BLD-LAND")),AND(U881="Building renovation",E881="BLD-LAND"))),"N/A","Pending"))))))</x:f>
      </x:c>
      <x:c r="Q881" s="3" t="str">
        <x:f>IF(C881="","",IF(AND(R881="Valid",OR(P881="Pass",P881="N/A")),"Complete","Unresolved"))</x:f>
      </x:c>
      <x:c r="R881" s="9" t="str">
        <x:f>IF(C881="","",IF(OR(COUNTIF($C$9:$C$2008,C881)&lt;&gt;1,COUNTIFS($D$9:$D$2008,D881,$E$9:$E$2008,E881)&lt;&gt;1),"Duplicate test",IF(COUNTIF('Taxonomy'!$C$9:$C$108,D881)&lt;&gt;1,"Assessment key",IF(OR(COUNTIF('Taxonomy Rules'!$C$42:$C$68,E881)&lt;&gt;1,F881&lt;&gt;IFERROR(INDEX('Taxonomy Rules'!$D$42:$D$68,MATCH(E881,'Taxonomy Rules'!$C$42:$C$68,0)),""),NOT(OR(IFERROR(INDEX('Taxonomy Rules'!$G$42:$G$68,MATCH(E881,'Taxonomy Rules'!$C$42:$C$68,0)),"")="All supported routes",IFERROR(INDEX('Taxonomy Rules'!$G$42:$G$68,MATCH(E881,'Taxonomy Rules'!$C$42:$C$68,0)),"")=U881,AND(IFERROR(INDEX('Taxonomy Rules'!$G$42:$G$68,MATCH(E881,'Taxonomy Rules'!$C$42:$C$68,0)),"")="Building routes",OR(U881="Building renovation",U881="New building",U881="Building equipment"))))),"Unexpected test","Valid"))))</x:f>
      </x:c>
      <x:c r="S881" s="9" t="str">
        <x:f>IF(C881="","",IFERROR(INDEX('Taxonomy Rules'!$E$42:$E$68,MATCH(E881,'Taxonomy Rules'!$C$42:$C$68,0)),""))</x:f>
      </x:c>
      <x:c r="T881" s="9" t="str">
        <x:f>IF(C881="","",IFERROR(INDEX('Taxonomy Rules'!$F$42:$F$68,MATCH(E881,'Taxonomy Rules'!$C$42:$C$68,0)),""))</x:f>
      </x:c>
      <x:c r="U881" s="9" t="str">
        <x:f>IF(C881="","",IFERROR(INDEX('Taxonomy'!$G$9:$G$108,MATCH(D881,'Taxonomy'!$C$9:$C$108,0)),""))</x:f>
      </x:c>
    </x:row>
    <x:row r="882" ht="44" customHeight="1">
      <x:c r="A882" s="1"/>
      <x:c r="B882" s="1"/>
      <x:c r="C882" s="8"/>
      <x:c r="D882" s="8"/>
      <x:c r="E882" s="8"/>
      <x:c r="F882" s="8"/>
      <x:c r="G882" s="8"/>
      <x:c r="H882" s="8"/>
      <x:c r="I882" s="8"/>
      <x:c r="J882" s="8"/>
      <x:c r="K882" s="8"/>
      <x:c r="L882" s="8"/>
      <x:c r="M882" s="10"/>
      <x:c r="N882" s="10"/>
      <x:c r="O882" s="8"/>
      <x:c r="P882" s="9" t="str">
        <x:f>IF(C882="","",IF(AND(G882="Applicable",H882="Fail"),"Fail",IF(R882&lt;&gt;"Valid","Pending",IF(OR(I882="",K882="",L882="",K882=L882,NOT(ISNUMBER(M882)),NOT(ISNUMBER(N882)),M882&gt;Settings!$F$8,N882&lt;Settings!$F$8,N882&lt;M882),"Pending",IF(AND(G882="Applicable",H882="Pass"),"Pass",IF(AND(G882="N/A",H882="N/A",J882&lt;&gt;"",OR(E882="CEM-FUELS",E882="CEM-CCS",AND(E882="CEM-PLAN",IFERROR(INDEX('Taxonomy'!$M$9:$M$108,MATCH(D882,'Taxonomy'!$C$9:$C$108,0)),"")&lt;&gt;"Amber"),E882="BLD-TIMBER",AND(U882="Building equipment",OR(E882="BLD-WATER",E882="BLD-WASTE",E882="BLD-LAND")),AND(U882="Building renovation",E882="BLD-LAND"))),"N/A","Pending"))))))</x:f>
      </x:c>
      <x:c r="Q882" s="3" t="str">
        <x:f>IF(C882="","",IF(AND(R882="Valid",OR(P882="Pass",P882="N/A")),"Complete","Unresolved"))</x:f>
      </x:c>
      <x:c r="R882" s="9" t="str">
        <x:f>IF(C882="","",IF(OR(COUNTIF($C$9:$C$2008,C882)&lt;&gt;1,COUNTIFS($D$9:$D$2008,D882,$E$9:$E$2008,E882)&lt;&gt;1),"Duplicate test",IF(COUNTIF('Taxonomy'!$C$9:$C$108,D882)&lt;&gt;1,"Assessment key",IF(OR(COUNTIF('Taxonomy Rules'!$C$42:$C$68,E882)&lt;&gt;1,F882&lt;&gt;IFERROR(INDEX('Taxonomy Rules'!$D$42:$D$68,MATCH(E882,'Taxonomy Rules'!$C$42:$C$68,0)),""),NOT(OR(IFERROR(INDEX('Taxonomy Rules'!$G$42:$G$68,MATCH(E882,'Taxonomy Rules'!$C$42:$C$68,0)),"")="All supported routes",IFERROR(INDEX('Taxonomy Rules'!$G$42:$G$68,MATCH(E882,'Taxonomy Rules'!$C$42:$C$68,0)),"")=U882,AND(IFERROR(INDEX('Taxonomy Rules'!$G$42:$G$68,MATCH(E882,'Taxonomy Rules'!$C$42:$C$68,0)),"")="Building routes",OR(U882="Building renovation",U882="New building",U882="Building equipment"))))),"Unexpected test","Valid"))))</x:f>
      </x:c>
      <x:c r="S882" s="9" t="str">
        <x:f>IF(C882="","",IFERROR(INDEX('Taxonomy Rules'!$E$42:$E$68,MATCH(E882,'Taxonomy Rules'!$C$42:$C$68,0)),""))</x:f>
      </x:c>
      <x:c r="T882" s="9" t="str">
        <x:f>IF(C882="","",IFERROR(INDEX('Taxonomy Rules'!$F$42:$F$68,MATCH(E882,'Taxonomy Rules'!$C$42:$C$68,0)),""))</x:f>
      </x:c>
      <x:c r="U882" s="9" t="str">
        <x:f>IF(C882="","",IFERROR(INDEX('Taxonomy'!$G$9:$G$108,MATCH(D882,'Taxonomy'!$C$9:$C$108,0)),""))</x:f>
      </x:c>
    </x:row>
    <x:row r="883" ht="44" customHeight="1">
      <x:c r="A883" s="1"/>
      <x:c r="B883" s="1"/>
      <x:c r="C883" s="8"/>
      <x:c r="D883" s="8"/>
      <x:c r="E883" s="8"/>
      <x:c r="F883" s="8"/>
      <x:c r="G883" s="8"/>
      <x:c r="H883" s="8"/>
      <x:c r="I883" s="8"/>
      <x:c r="J883" s="8"/>
      <x:c r="K883" s="8"/>
      <x:c r="L883" s="8"/>
      <x:c r="M883" s="10"/>
      <x:c r="N883" s="10"/>
      <x:c r="O883" s="8"/>
      <x:c r="P883" s="9" t="str">
        <x:f>IF(C883="","",IF(AND(G883="Applicable",H883="Fail"),"Fail",IF(R883&lt;&gt;"Valid","Pending",IF(OR(I883="",K883="",L883="",K883=L883,NOT(ISNUMBER(M883)),NOT(ISNUMBER(N883)),M883&gt;Settings!$F$8,N883&lt;Settings!$F$8,N883&lt;M883),"Pending",IF(AND(G883="Applicable",H883="Pass"),"Pass",IF(AND(G883="N/A",H883="N/A",J883&lt;&gt;"",OR(E883="CEM-FUELS",E883="CEM-CCS",AND(E883="CEM-PLAN",IFERROR(INDEX('Taxonomy'!$M$9:$M$108,MATCH(D883,'Taxonomy'!$C$9:$C$108,0)),"")&lt;&gt;"Amber"),E883="BLD-TIMBER",AND(U883="Building equipment",OR(E883="BLD-WATER",E883="BLD-WASTE",E883="BLD-LAND")),AND(U883="Building renovation",E883="BLD-LAND"))),"N/A","Pending"))))))</x:f>
      </x:c>
      <x:c r="Q883" s="3" t="str">
        <x:f>IF(C883="","",IF(AND(R883="Valid",OR(P883="Pass",P883="N/A")),"Complete","Unresolved"))</x:f>
      </x:c>
      <x:c r="R883" s="9" t="str">
        <x:f>IF(C883="","",IF(OR(COUNTIF($C$9:$C$2008,C883)&lt;&gt;1,COUNTIFS($D$9:$D$2008,D883,$E$9:$E$2008,E883)&lt;&gt;1),"Duplicate test",IF(COUNTIF('Taxonomy'!$C$9:$C$108,D883)&lt;&gt;1,"Assessment key",IF(OR(COUNTIF('Taxonomy Rules'!$C$42:$C$68,E883)&lt;&gt;1,F883&lt;&gt;IFERROR(INDEX('Taxonomy Rules'!$D$42:$D$68,MATCH(E883,'Taxonomy Rules'!$C$42:$C$68,0)),""),NOT(OR(IFERROR(INDEX('Taxonomy Rules'!$G$42:$G$68,MATCH(E883,'Taxonomy Rules'!$C$42:$C$68,0)),"")="All supported routes",IFERROR(INDEX('Taxonomy Rules'!$G$42:$G$68,MATCH(E883,'Taxonomy Rules'!$C$42:$C$68,0)),"")=U883,AND(IFERROR(INDEX('Taxonomy Rules'!$G$42:$G$68,MATCH(E883,'Taxonomy Rules'!$C$42:$C$68,0)),"")="Building routes",OR(U883="Building renovation",U883="New building",U883="Building equipment"))))),"Unexpected test","Valid"))))</x:f>
      </x:c>
      <x:c r="S883" s="9" t="str">
        <x:f>IF(C883="","",IFERROR(INDEX('Taxonomy Rules'!$E$42:$E$68,MATCH(E883,'Taxonomy Rules'!$C$42:$C$68,0)),""))</x:f>
      </x:c>
      <x:c r="T883" s="9" t="str">
        <x:f>IF(C883="","",IFERROR(INDEX('Taxonomy Rules'!$F$42:$F$68,MATCH(E883,'Taxonomy Rules'!$C$42:$C$68,0)),""))</x:f>
      </x:c>
      <x:c r="U883" s="9" t="str">
        <x:f>IF(C883="","",IFERROR(INDEX('Taxonomy'!$G$9:$G$108,MATCH(D883,'Taxonomy'!$C$9:$C$108,0)),""))</x:f>
      </x:c>
    </x:row>
    <x:row r="884" ht="44" customHeight="1">
      <x:c r="A884" s="1"/>
      <x:c r="B884" s="1"/>
      <x:c r="C884" s="8"/>
      <x:c r="D884" s="8"/>
      <x:c r="E884" s="8"/>
      <x:c r="F884" s="8"/>
      <x:c r="G884" s="8"/>
      <x:c r="H884" s="8"/>
      <x:c r="I884" s="8"/>
      <x:c r="J884" s="8"/>
      <x:c r="K884" s="8"/>
      <x:c r="L884" s="8"/>
      <x:c r="M884" s="10"/>
      <x:c r="N884" s="10"/>
      <x:c r="O884" s="8"/>
      <x:c r="P884" s="9" t="str">
        <x:f>IF(C884="","",IF(AND(G884="Applicable",H884="Fail"),"Fail",IF(R884&lt;&gt;"Valid","Pending",IF(OR(I884="",K884="",L884="",K884=L884,NOT(ISNUMBER(M884)),NOT(ISNUMBER(N884)),M884&gt;Settings!$F$8,N884&lt;Settings!$F$8,N884&lt;M884),"Pending",IF(AND(G884="Applicable",H884="Pass"),"Pass",IF(AND(G884="N/A",H884="N/A",J884&lt;&gt;"",OR(E884="CEM-FUELS",E884="CEM-CCS",AND(E884="CEM-PLAN",IFERROR(INDEX('Taxonomy'!$M$9:$M$108,MATCH(D884,'Taxonomy'!$C$9:$C$108,0)),"")&lt;&gt;"Amber"),E884="BLD-TIMBER",AND(U884="Building equipment",OR(E884="BLD-WATER",E884="BLD-WASTE",E884="BLD-LAND")),AND(U884="Building renovation",E884="BLD-LAND"))),"N/A","Pending"))))))</x:f>
      </x:c>
      <x:c r="Q884" s="3" t="str">
        <x:f>IF(C884="","",IF(AND(R884="Valid",OR(P884="Pass",P884="N/A")),"Complete","Unresolved"))</x:f>
      </x:c>
      <x:c r="R884" s="9" t="str">
        <x:f>IF(C884="","",IF(OR(COUNTIF($C$9:$C$2008,C884)&lt;&gt;1,COUNTIFS($D$9:$D$2008,D884,$E$9:$E$2008,E884)&lt;&gt;1),"Duplicate test",IF(COUNTIF('Taxonomy'!$C$9:$C$108,D884)&lt;&gt;1,"Assessment key",IF(OR(COUNTIF('Taxonomy Rules'!$C$42:$C$68,E884)&lt;&gt;1,F884&lt;&gt;IFERROR(INDEX('Taxonomy Rules'!$D$42:$D$68,MATCH(E884,'Taxonomy Rules'!$C$42:$C$68,0)),""),NOT(OR(IFERROR(INDEX('Taxonomy Rules'!$G$42:$G$68,MATCH(E884,'Taxonomy Rules'!$C$42:$C$68,0)),"")="All supported routes",IFERROR(INDEX('Taxonomy Rules'!$G$42:$G$68,MATCH(E884,'Taxonomy Rules'!$C$42:$C$68,0)),"")=U884,AND(IFERROR(INDEX('Taxonomy Rules'!$G$42:$G$68,MATCH(E884,'Taxonomy Rules'!$C$42:$C$68,0)),"")="Building routes",OR(U884="Building renovation",U884="New building",U884="Building equipment"))))),"Unexpected test","Valid"))))</x:f>
      </x:c>
      <x:c r="S884" s="9" t="str">
        <x:f>IF(C884="","",IFERROR(INDEX('Taxonomy Rules'!$E$42:$E$68,MATCH(E884,'Taxonomy Rules'!$C$42:$C$68,0)),""))</x:f>
      </x:c>
      <x:c r="T884" s="9" t="str">
        <x:f>IF(C884="","",IFERROR(INDEX('Taxonomy Rules'!$F$42:$F$68,MATCH(E884,'Taxonomy Rules'!$C$42:$C$68,0)),""))</x:f>
      </x:c>
      <x:c r="U884" s="9" t="str">
        <x:f>IF(C884="","",IFERROR(INDEX('Taxonomy'!$G$9:$G$108,MATCH(D884,'Taxonomy'!$C$9:$C$108,0)),""))</x:f>
      </x:c>
    </x:row>
    <x:row r="885" ht="44" customHeight="1">
      <x:c r="A885" s="1"/>
      <x:c r="B885" s="1"/>
      <x:c r="C885" s="8"/>
      <x:c r="D885" s="8"/>
      <x:c r="E885" s="8"/>
      <x:c r="F885" s="8"/>
      <x:c r="G885" s="8"/>
      <x:c r="H885" s="8"/>
      <x:c r="I885" s="8"/>
      <x:c r="J885" s="8"/>
      <x:c r="K885" s="8"/>
      <x:c r="L885" s="8"/>
      <x:c r="M885" s="10"/>
      <x:c r="N885" s="10"/>
      <x:c r="O885" s="8"/>
      <x:c r="P885" s="9" t="str">
        <x:f>IF(C885="","",IF(AND(G885="Applicable",H885="Fail"),"Fail",IF(R885&lt;&gt;"Valid","Pending",IF(OR(I885="",K885="",L885="",K885=L885,NOT(ISNUMBER(M885)),NOT(ISNUMBER(N885)),M885&gt;Settings!$F$8,N885&lt;Settings!$F$8,N885&lt;M885),"Pending",IF(AND(G885="Applicable",H885="Pass"),"Pass",IF(AND(G885="N/A",H885="N/A",J885&lt;&gt;"",OR(E885="CEM-FUELS",E885="CEM-CCS",AND(E885="CEM-PLAN",IFERROR(INDEX('Taxonomy'!$M$9:$M$108,MATCH(D885,'Taxonomy'!$C$9:$C$108,0)),"")&lt;&gt;"Amber"),E885="BLD-TIMBER",AND(U885="Building equipment",OR(E885="BLD-WATER",E885="BLD-WASTE",E885="BLD-LAND")),AND(U885="Building renovation",E885="BLD-LAND"))),"N/A","Pending"))))))</x:f>
      </x:c>
      <x:c r="Q885" s="3" t="str">
        <x:f>IF(C885="","",IF(AND(R885="Valid",OR(P885="Pass",P885="N/A")),"Complete","Unresolved"))</x:f>
      </x:c>
      <x:c r="R885" s="9" t="str">
        <x:f>IF(C885="","",IF(OR(COUNTIF($C$9:$C$2008,C885)&lt;&gt;1,COUNTIFS($D$9:$D$2008,D885,$E$9:$E$2008,E885)&lt;&gt;1),"Duplicate test",IF(COUNTIF('Taxonomy'!$C$9:$C$108,D885)&lt;&gt;1,"Assessment key",IF(OR(COUNTIF('Taxonomy Rules'!$C$42:$C$68,E885)&lt;&gt;1,F885&lt;&gt;IFERROR(INDEX('Taxonomy Rules'!$D$42:$D$68,MATCH(E885,'Taxonomy Rules'!$C$42:$C$68,0)),""),NOT(OR(IFERROR(INDEX('Taxonomy Rules'!$G$42:$G$68,MATCH(E885,'Taxonomy Rules'!$C$42:$C$68,0)),"")="All supported routes",IFERROR(INDEX('Taxonomy Rules'!$G$42:$G$68,MATCH(E885,'Taxonomy Rules'!$C$42:$C$68,0)),"")=U885,AND(IFERROR(INDEX('Taxonomy Rules'!$G$42:$G$68,MATCH(E885,'Taxonomy Rules'!$C$42:$C$68,0)),"")="Building routes",OR(U885="Building renovation",U885="New building",U885="Building equipment"))))),"Unexpected test","Valid"))))</x:f>
      </x:c>
      <x:c r="S885" s="9" t="str">
        <x:f>IF(C885="","",IFERROR(INDEX('Taxonomy Rules'!$E$42:$E$68,MATCH(E885,'Taxonomy Rules'!$C$42:$C$68,0)),""))</x:f>
      </x:c>
      <x:c r="T885" s="9" t="str">
        <x:f>IF(C885="","",IFERROR(INDEX('Taxonomy Rules'!$F$42:$F$68,MATCH(E885,'Taxonomy Rules'!$C$42:$C$68,0)),""))</x:f>
      </x:c>
      <x:c r="U885" s="9" t="str">
        <x:f>IF(C885="","",IFERROR(INDEX('Taxonomy'!$G$9:$G$108,MATCH(D885,'Taxonomy'!$C$9:$C$108,0)),""))</x:f>
      </x:c>
    </x:row>
    <x:row r="886" ht="44" customHeight="1">
      <x:c r="A886" s="1"/>
      <x:c r="B886" s="1"/>
      <x:c r="C886" s="8"/>
      <x:c r="D886" s="8"/>
      <x:c r="E886" s="8"/>
      <x:c r="F886" s="8"/>
      <x:c r="G886" s="8"/>
      <x:c r="H886" s="8"/>
      <x:c r="I886" s="8"/>
      <x:c r="J886" s="8"/>
      <x:c r="K886" s="8"/>
      <x:c r="L886" s="8"/>
      <x:c r="M886" s="10"/>
      <x:c r="N886" s="10"/>
      <x:c r="O886" s="8"/>
      <x:c r="P886" s="9" t="str">
        <x:f>IF(C886="","",IF(AND(G886="Applicable",H886="Fail"),"Fail",IF(R886&lt;&gt;"Valid","Pending",IF(OR(I886="",K886="",L886="",K886=L886,NOT(ISNUMBER(M886)),NOT(ISNUMBER(N886)),M886&gt;Settings!$F$8,N886&lt;Settings!$F$8,N886&lt;M886),"Pending",IF(AND(G886="Applicable",H886="Pass"),"Pass",IF(AND(G886="N/A",H886="N/A",J886&lt;&gt;"",OR(E886="CEM-FUELS",E886="CEM-CCS",AND(E886="CEM-PLAN",IFERROR(INDEX('Taxonomy'!$M$9:$M$108,MATCH(D886,'Taxonomy'!$C$9:$C$108,0)),"")&lt;&gt;"Amber"),E886="BLD-TIMBER",AND(U886="Building equipment",OR(E886="BLD-WATER",E886="BLD-WASTE",E886="BLD-LAND")),AND(U886="Building renovation",E886="BLD-LAND"))),"N/A","Pending"))))))</x:f>
      </x:c>
      <x:c r="Q886" s="3" t="str">
        <x:f>IF(C886="","",IF(AND(R886="Valid",OR(P886="Pass",P886="N/A")),"Complete","Unresolved"))</x:f>
      </x:c>
      <x:c r="R886" s="9" t="str">
        <x:f>IF(C886="","",IF(OR(COUNTIF($C$9:$C$2008,C886)&lt;&gt;1,COUNTIFS($D$9:$D$2008,D886,$E$9:$E$2008,E886)&lt;&gt;1),"Duplicate test",IF(COUNTIF('Taxonomy'!$C$9:$C$108,D886)&lt;&gt;1,"Assessment key",IF(OR(COUNTIF('Taxonomy Rules'!$C$42:$C$68,E886)&lt;&gt;1,F886&lt;&gt;IFERROR(INDEX('Taxonomy Rules'!$D$42:$D$68,MATCH(E886,'Taxonomy Rules'!$C$42:$C$68,0)),""),NOT(OR(IFERROR(INDEX('Taxonomy Rules'!$G$42:$G$68,MATCH(E886,'Taxonomy Rules'!$C$42:$C$68,0)),"")="All supported routes",IFERROR(INDEX('Taxonomy Rules'!$G$42:$G$68,MATCH(E886,'Taxonomy Rules'!$C$42:$C$68,0)),"")=U886,AND(IFERROR(INDEX('Taxonomy Rules'!$G$42:$G$68,MATCH(E886,'Taxonomy Rules'!$C$42:$C$68,0)),"")="Building routes",OR(U886="Building renovation",U886="New building",U886="Building equipment"))))),"Unexpected test","Valid"))))</x:f>
      </x:c>
      <x:c r="S886" s="9" t="str">
        <x:f>IF(C886="","",IFERROR(INDEX('Taxonomy Rules'!$E$42:$E$68,MATCH(E886,'Taxonomy Rules'!$C$42:$C$68,0)),""))</x:f>
      </x:c>
      <x:c r="T886" s="9" t="str">
        <x:f>IF(C886="","",IFERROR(INDEX('Taxonomy Rules'!$F$42:$F$68,MATCH(E886,'Taxonomy Rules'!$C$42:$C$68,0)),""))</x:f>
      </x:c>
      <x:c r="U886" s="9" t="str">
        <x:f>IF(C886="","",IFERROR(INDEX('Taxonomy'!$G$9:$G$108,MATCH(D886,'Taxonomy'!$C$9:$C$108,0)),""))</x:f>
      </x:c>
    </x:row>
    <x:row r="887" ht="44" customHeight="1">
      <x:c r="A887" s="1"/>
      <x:c r="B887" s="1"/>
      <x:c r="C887" s="8"/>
      <x:c r="D887" s="8"/>
      <x:c r="E887" s="8"/>
      <x:c r="F887" s="8"/>
      <x:c r="G887" s="8"/>
      <x:c r="H887" s="8"/>
      <x:c r="I887" s="8"/>
      <x:c r="J887" s="8"/>
      <x:c r="K887" s="8"/>
      <x:c r="L887" s="8"/>
      <x:c r="M887" s="10"/>
      <x:c r="N887" s="10"/>
      <x:c r="O887" s="8"/>
      <x:c r="P887" s="9" t="str">
        <x:f>IF(C887="","",IF(AND(G887="Applicable",H887="Fail"),"Fail",IF(R887&lt;&gt;"Valid","Pending",IF(OR(I887="",K887="",L887="",K887=L887,NOT(ISNUMBER(M887)),NOT(ISNUMBER(N887)),M887&gt;Settings!$F$8,N887&lt;Settings!$F$8,N887&lt;M887),"Pending",IF(AND(G887="Applicable",H887="Pass"),"Pass",IF(AND(G887="N/A",H887="N/A",J887&lt;&gt;"",OR(E887="CEM-FUELS",E887="CEM-CCS",AND(E887="CEM-PLAN",IFERROR(INDEX('Taxonomy'!$M$9:$M$108,MATCH(D887,'Taxonomy'!$C$9:$C$108,0)),"")&lt;&gt;"Amber"),E887="BLD-TIMBER",AND(U887="Building equipment",OR(E887="BLD-WATER",E887="BLD-WASTE",E887="BLD-LAND")),AND(U887="Building renovation",E887="BLD-LAND"))),"N/A","Pending"))))))</x:f>
      </x:c>
      <x:c r="Q887" s="3" t="str">
        <x:f>IF(C887="","",IF(AND(R887="Valid",OR(P887="Pass",P887="N/A")),"Complete","Unresolved"))</x:f>
      </x:c>
      <x:c r="R887" s="9" t="str">
        <x:f>IF(C887="","",IF(OR(COUNTIF($C$9:$C$2008,C887)&lt;&gt;1,COUNTIFS($D$9:$D$2008,D887,$E$9:$E$2008,E887)&lt;&gt;1),"Duplicate test",IF(COUNTIF('Taxonomy'!$C$9:$C$108,D887)&lt;&gt;1,"Assessment key",IF(OR(COUNTIF('Taxonomy Rules'!$C$42:$C$68,E887)&lt;&gt;1,F887&lt;&gt;IFERROR(INDEX('Taxonomy Rules'!$D$42:$D$68,MATCH(E887,'Taxonomy Rules'!$C$42:$C$68,0)),""),NOT(OR(IFERROR(INDEX('Taxonomy Rules'!$G$42:$G$68,MATCH(E887,'Taxonomy Rules'!$C$42:$C$68,0)),"")="All supported routes",IFERROR(INDEX('Taxonomy Rules'!$G$42:$G$68,MATCH(E887,'Taxonomy Rules'!$C$42:$C$68,0)),"")=U887,AND(IFERROR(INDEX('Taxonomy Rules'!$G$42:$G$68,MATCH(E887,'Taxonomy Rules'!$C$42:$C$68,0)),"")="Building routes",OR(U887="Building renovation",U887="New building",U887="Building equipment"))))),"Unexpected test","Valid"))))</x:f>
      </x:c>
      <x:c r="S887" s="9" t="str">
        <x:f>IF(C887="","",IFERROR(INDEX('Taxonomy Rules'!$E$42:$E$68,MATCH(E887,'Taxonomy Rules'!$C$42:$C$68,0)),""))</x:f>
      </x:c>
      <x:c r="T887" s="9" t="str">
        <x:f>IF(C887="","",IFERROR(INDEX('Taxonomy Rules'!$F$42:$F$68,MATCH(E887,'Taxonomy Rules'!$C$42:$C$68,0)),""))</x:f>
      </x:c>
      <x:c r="U887" s="9" t="str">
        <x:f>IF(C887="","",IFERROR(INDEX('Taxonomy'!$G$9:$G$108,MATCH(D887,'Taxonomy'!$C$9:$C$108,0)),""))</x:f>
      </x:c>
    </x:row>
    <x:row r="888" ht="44" customHeight="1">
      <x:c r="A888" s="1"/>
      <x:c r="B888" s="1"/>
      <x:c r="C888" s="8"/>
      <x:c r="D888" s="8"/>
      <x:c r="E888" s="8"/>
      <x:c r="F888" s="8"/>
      <x:c r="G888" s="8"/>
      <x:c r="H888" s="8"/>
      <x:c r="I888" s="8"/>
      <x:c r="J888" s="8"/>
      <x:c r="K888" s="8"/>
      <x:c r="L888" s="8"/>
      <x:c r="M888" s="10"/>
      <x:c r="N888" s="10"/>
      <x:c r="O888" s="8"/>
      <x:c r="P888" s="9" t="str">
        <x:f>IF(C888="","",IF(AND(G888="Applicable",H888="Fail"),"Fail",IF(R888&lt;&gt;"Valid","Pending",IF(OR(I888="",K888="",L888="",K888=L888,NOT(ISNUMBER(M888)),NOT(ISNUMBER(N888)),M888&gt;Settings!$F$8,N888&lt;Settings!$F$8,N888&lt;M888),"Pending",IF(AND(G888="Applicable",H888="Pass"),"Pass",IF(AND(G888="N/A",H888="N/A",J888&lt;&gt;"",OR(E888="CEM-FUELS",E888="CEM-CCS",AND(E888="CEM-PLAN",IFERROR(INDEX('Taxonomy'!$M$9:$M$108,MATCH(D888,'Taxonomy'!$C$9:$C$108,0)),"")&lt;&gt;"Amber"),E888="BLD-TIMBER",AND(U888="Building equipment",OR(E888="BLD-WATER",E888="BLD-WASTE",E888="BLD-LAND")),AND(U888="Building renovation",E888="BLD-LAND"))),"N/A","Pending"))))))</x:f>
      </x:c>
      <x:c r="Q888" s="3" t="str">
        <x:f>IF(C888="","",IF(AND(R888="Valid",OR(P888="Pass",P888="N/A")),"Complete","Unresolved"))</x:f>
      </x:c>
      <x:c r="R888" s="9" t="str">
        <x:f>IF(C888="","",IF(OR(COUNTIF($C$9:$C$2008,C888)&lt;&gt;1,COUNTIFS($D$9:$D$2008,D888,$E$9:$E$2008,E888)&lt;&gt;1),"Duplicate test",IF(COUNTIF('Taxonomy'!$C$9:$C$108,D888)&lt;&gt;1,"Assessment key",IF(OR(COUNTIF('Taxonomy Rules'!$C$42:$C$68,E888)&lt;&gt;1,F888&lt;&gt;IFERROR(INDEX('Taxonomy Rules'!$D$42:$D$68,MATCH(E888,'Taxonomy Rules'!$C$42:$C$68,0)),""),NOT(OR(IFERROR(INDEX('Taxonomy Rules'!$G$42:$G$68,MATCH(E888,'Taxonomy Rules'!$C$42:$C$68,0)),"")="All supported routes",IFERROR(INDEX('Taxonomy Rules'!$G$42:$G$68,MATCH(E888,'Taxonomy Rules'!$C$42:$C$68,0)),"")=U888,AND(IFERROR(INDEX('Taxonomy Rules'!$G$42:$G$68,MATCH(E888,'Taxonomy Rules'!$C$42:$C$68,0)),"")="Building routes",OR(U888="Building renovation",U888="New building",U888="Building equipment"))))),"Unexpected test","Valid"))))</x:f>
      </x:c>
      <x:c r="S888" s="9" t="str">
        <x:f>IF(C888="","",IFERROR(INDEX('Taxonomy Rules'!$E$42:$E$68,MATCH(E888,'Taxonomy Rules'!$C$42:$C$68,0)),""))</x:f>
      </x:c>
      <x:c r="T888" s="9" t="str">
        <x:f>IF(C888="","",IFERROR(INDEX('Taxonomy Rules'!$F$42:$F$68,MATCH(E888,'Taxonomy Rules'!$C$42:$C$68,0)),""))</x:f>
      </x:c>
      <x:c r="U888" s="9" t="str">
        <x:f>IF(C888="","",IFERROR(INDEX('Taxonomy'!$G$9:$G$108,MATCH(D888,'Taxonomy'!$C$9:$C$108,0)),""))</x:f>
      </x:c>
    </x:row>
    <x:row r="889" ht="44" customHeight="1">
      <x:c r="A889" s="1"/>
      <x:c r="B889" s="1"/>
      <x:c r="C889" s="8"/>
      <x:c r="D889" s="8"/>
      <x:c r="E889" s="8"/>
      <x:c r="F889" s="8"/>
      <x:c r="G889" s="8"/>
      <x:c r="H889" s="8"/>
      <x:c r="I889" s="8"/>
      <x:c r="J889" s="8"/>
      <x:c r="K889" s="8"/>
      <x:c r="L889" s="8"/>
      <x:c r="M889" s="10"/>
      <x:c r="N889" s="10"/>
      <x:c r="O889" s="8"/>
      <x:c r="P889" s="9" t="str">
        <x:f>IF(C889="","",IF(AND(G889="Applicable",H889="Fail"),"Fail",IF(R889&lt;&gt;"Valid","Pending",IF(OR(I889="",K889="",L889="",K889=L889,NOT(ISNUMBER(M889)),NOT(ISNUMBER(N889)),M889&gt;Settings!$F$8,N889&lt;Settings!$F$8,N889&lt;M889),"Pending",IF(AND(G889="Applicable",H889="Pass"),"Pass",IF(AND(G889="N/A",H889="N/A",J889&lt;&gt;"",OR(E889="CEM-FUELS",E889="CEM-CCS",AND(E889="CEM-PLAN",IFERROR(INDEX('Taxonomy'!$M$9:$M$108,MATCH(D889,'Taxonomy'!$C$9:$C$108,0)),"")&lt;&gt;"Amber"),E889="BLD-TIMBER",AND(U889="Building equipment",OR(E889="BLD-WATER",E889="BLD-WASTE",E889="BLD-LAND")),AND(U889="Building renovation",E889="BLD-LAND"))),"N/A","Pending"))))))</x:f>
      </x:c>
      <x:c r="Q889" s="3" t="str">
        <x:f>IF(C889="","",IF(AND(R889="Valid",OR(P889="Pass",P889="N/A")),"Complete","Unresolved"))</x:f>
      </x:c>
      <x:c r="R889" s="9" t="str">
        <x:f>IF(C889="","",IF(OR(COUNTIF($C$9:$C$2008,C889)&lt;&gt;1,COUNTIFS($D$9:$D$2008,D889,$E$9:$E$2008,E889)&lt;&gt;1),"Duplicate test",IF(COUNTIF('Taxonomy'!$C$9:$C$108,D889)&lt;&gt;1,"Assessment key",IF(OR(COUNTIF('Taxonomy Rules'!$C$42:$C$68,E889)&lt;&gt;1,F889&lt;&gt;IFERROR(INDEX('Taxonomy Rules'!$D$42:$D$68,MATCH(E889,'Taxonomy Rules'!$C$42:$C$68,0)),""),NOT(OR(IFERROR(INDEX('Taxonomy Rules'!$G$42:$G$68,MATCH(E889,'Taxonomy Rules'!$C$42:$C$68,0)),"")="All supported routes",IFERROR(INDEX('Taxonomy Rules'!$G$42:$G$68,MATCH(E889,'Taxonomy Rules'!$C$42:$C$68,0)),"")=U889,AND(IFERROR(INDEX('Taxonomy Rules'!$G$42:$G$68,MATCH(E889,'Taxonomy Rules'!$C$42:$C$68,0)),"")="Building routes",OR(U889="Building renovation",U889="New building",U889="Building equipment"))))),"Unexpected test","Valid"))))</x:f>
      </x:c>
      <x:c r="S889" s="9" t="str">
        <x:f>IF(C889="","",IFERROR(INDEX('Taxonomy Rules'!$E$42:$E$68,MATCH(E889,'Taxonomy Rules'!$C$42:$C$68,0)),""))</x:f>
      </x:c>
      <x:c r="T889" s="9" t="str">
        <x:f>IF(C889="","",IFERROR(INDEX('Taxonomy Rules'!$F$42:$F$68,MATCH(E889,'Taxonomy Rules'!$C$42:$C$68,0)),""))</x:f>
      </x:c>
      <x:c r="U889" s="9" t="str">
        <x:f>IF(C889="","",IFERROR(INDEX('Taxonomy'!$G$9:$G$108,MATCH(D889,'Taxonomy'!$C$9:$C$108,0)),""))</x:f>
      </x:c>
    </x:row>
    <x:row r="890" ht="44" customHeight="1">
      <x:c r="A890" s="1"/>
      <x:c r="B890" s="1"/>
      <x:c r="C890" s="8"/>
      <x:c r="D890" s="8"/>
      <x:c r="E890" s="8"/>
      <x:c r="F890" s="8"/>
      <x:c r="G890" s="8"/>
      <x:c r="H890" s="8"/>
      <x:c r="I890" s="8"/>
      <x:c r="J890" s="8"/>
      <x:c r="K890" s="8"/>
      <x:c r="L890" s="8"/>
      <x:c r="M890" s="10"/>
      <x:c r="N890" s="10"/>
      <x:c r="O890" s="8"/>
      <x:c r="P890" s="9" t="str">
        <x:f>IF(C890="","",IF(AND(G890="Applicable",H890="Fail"),"Fail",IF(R890&lt;&gt;"Valid","Pending",IF(OR(I890="",K890="",L890="",K890=L890,NOT(ISNUMBER(M890)),NOT(ISNUMBER(N890)),M890&gt;Settings!$F$8,N890&lt;Settings!$F$8,N890&lt;M890),"Pending",IF(AND(G890="Applicable",H890="Pass"),"Pass",IF(AND(G890="N/A",H890="N/A",J890&lt;&gt;"",OR(E890="CEM-FUELS",E890="CEM-CCS",AND(E890="CEM-PLAN",IFERROR(INDEX('Taxonomy'!$M$9:$M$108,MATCH(D890,'Taxonomy'!$C$9:$C$108,0)),"")&lt;&gt;"Amber"),E890="BLD-TIMBER",AND(U890="Building equipment",OR(E890="BLD-WATER",E890="BLD-WASTE",E890="BLD-LAND")),AND(U890="Building renovation",E890="BLD-LAND"))),"N/A","Pending"))))))</x:f>
      </x:c>
      <x:c r="Q890" s="3" t="str">
        <x:f>IF(C890="","",IF(AND(R890="Valid",OR(P890="Pass",P890="N/A")),"Complete","Unresolved"))</x:f>
      </x:c>
      <x:c r="R890" s="9" t="str">
        <x:f>IF(C890="","",IF(OR(COUNTIF($C$9:$C$2008,C890)&lt;&gt;1,COUNTIFS($D$9:$D$2008,D890,$E$9:$E$2008,E890)&lt;&gt;1),"Duplicate test",IF(COUNTIF('Taxonomy'!$C$9:$C$108,D890)&lt;&gt;1,"Assessment key",IF(OR(COUNTIF('Taxonomy Rules'!$C$42:$C$68,E890)&lt;&gt;1,F890&lt;&gt;IFERROR(INDEX('Taxonomy Rules'!$D$42:$D$68,MATCH(E890,'Taxonomy Rules'!$C$42:$C$68,0)),""),NOT(OR(IFERROR(INDEX('Taxonomy Rules'!$G$42:$G$68,MATCH(E890,'Taxonomy Rules'!$C$42:$C$68,0)),"")="All supported routes",IFERROR(INDEX('Taxonomy Rules'!$G$42:$G$68,MATCH(E890,'Taxonomy Rules'!$C$42:$C$68,0)),"")=U890,AND(IFERROR(INDEX('Taxonomy Rules'!$G$42:$G$68,MATCH(E890,'Taxonomy Rules'!$C$42:$C$68,0)),"")="Building routes",OR(U890="Building renovation",U890="New building",U890="Building equipment"))))),"Unexpected test","Valid"))))</x:f>
      </x:c>
      <x:c r="S890" s="9" t="str">
        <x:f>IF(C890="","",IFERROR(INDEX('Taxonomy Rules'!$E$42:$E$68,MATCH(E890,'Taxonomy Rules'!$C$42:$C$68,0)),""))</x:f>
      </x:c>
      <x:c r="T890" s="9" t="str">
        <x:f>IF(C890="","",IFERROR(INDEX('Taxonomy Rules'!$F$42:$F$68,MATCH(E890,'Taxonomy Rules'!$C$42:$C$68,0)),""))</x:f>
      </x:c>
      <x:c r="U890" s="9" t="str">
        <x:f>IF(C890="","",IFERROR(INDEX('Taxonomy'!$G$9:$G$108,MATCH(D890,'Taxonomy'!$C$9:$C$108,0)),""))</x:f>
      </x:c>
    </x:row>
    <x:row r="891" ht="44" customHeight="1">
      <x:c r="A891" s="1"/>
      <x:c r="B891" s="1"/>
      <x:c r="C891" s="8"/>
      <x:c r="D891" s="8"/>
      <x:c r="E891" s="8"/>
      <x:c r="F891" s="8"/>
      <x:c r="G891" s="8"/>
      <x:c r="H891" s="8"/>
      <x:c r="I891" s="8"/>
      <x:c r="J891" s="8"/>
      <x:c r="K891" s="8"/>
      <x:c r="L891" s="8"/>
      <x:c r="M891" s="10"/>
      <x:c r="N891" s="10"/>
      <x:c r="O891" s="8"/>
      <x:c r="P891" s="9" t="str">
        <x:f>IF(C891="","",IF(AND(G891="Applicable",H891="Fail"),"Fail",IF(R891&lt;&gt;"Valid","Pending",IF(OR(I891="",K891="",L891="",K891=L891,NOT(ISNUMBER(M891)),NOT(ISNUMBER(N891)),M891&gt;Settings!$F$8,N891&lt;Settings!$F$8,N891&lt;M891),"Pending",IF(AND(G891="Applicable",H891="Pass"),"Pass",IF(AND(G891="N/A",H891="N/A",J891&lt;&gt;"",OR(E891="CEM-FUELS",E891="CEM-CCS",AND(E891="CEM-PLAN",IFERROR(INDEX('Taxonomy'!$M$9:$M$108,MATCH(D891,'Taxonomy'!$C$9:$C$108,0)),"")&lt;&gt;"Amber"),E891="BLD-TIMBER",AND(U891="Building equipment",OR(E891="BLD-WATER",E891="BLD-WASTE",E891="BLD-LAND")),AND(U891="Building renovation",E891="BLD-LAND"))),"N/A","Pending"))))))</x:f>
      </x:c>
      <x:c r="Q891" s="3" t="str">
        <x:f>IF(C891="","",IF(AND(R891="Valid",OR(P891="Pass",P891="N/A")),"Complete","Unresolved"))</x:f>
      </x:c>
      <x:c r="R891" s="9" t="str">
        <x:f>IF(C891="","",IF(OR(COUNTIF($C$9:$C$2008,C891)&lt;&gt;1,COUNTIFS($D$9:$D$2008,D891,$E$9:$E$2008,E891)&lt;&gt;1),"Duplicate test",IF(COUNTIF('Taxonomy'!$C$9:$C$108,D891)&lt;&gt;1,"Assessment key",IF(OR(COUNTIF('Taxonomy Rules'!$C$42:$C$68,E891)&lt;&gt;1,F891&lt;&gt;IFERROR(INDEX('Taxonomy Rules'!$D$42:$D$68,MATCH(E891,'Taxonomy Rules'!$C$42:$C$68,0)),""),NOT(OR(IFERROR(INDEX('Taxonomy Rules'!$G$42:$G$68,MATCH(E891,'Taxonomy Rules'!$C$42:$C$68,0)),"")="All supported routes",IFERROR(INDEX('Taxonomy Rules'!$G$42:$G$68,MATCH(E891,'Taxonomy Rules'!$C$42:$C$68,0)),"")=U891,AND(IFERROR(INDEX('Taxonomy Rules'!$G$42:$G$68,MATCH(E891,'Taxonomy Rules'!$C$42:$C$68,0)),"")="Building routes",OR(U891="Building renovation",U891="New building",U891="Building equipment"))))),"Unexpected test","Valid"))))</x:f>
      </x:c>
      <x:c r="S891" s="9" t="str">
        <x:f>IF(C891="","",IFERROR(INDEX('Taxonomy Rules'!$E$42:$E$68,MATCH(E891,'Taxonomy Rules'!$C$42:$C$68,0)),""))</x:f>
      </x:c>
      <x:c r="T891" s="9" t="str">
        <x:f>IF(C891="","",IFERROR(INDEX('Taxonomy Rules'!$F$42:$F$68,MATCH(E891,'Taxonomy Rules'!$C$42:$C$68,0)),""))</x:f>
      </x:c>
      <x:c r="U891" s="9" t="str">
        <x:f>IF(C891="","",IFERROR(INDEX('Taxonomy'!$G$9:$G$108,MATCH(D891,'Taxonomy'!$C$9:$C$108,0)),""))</x:f>
      </x:c>
    </x:row>
    <x:row r="892" ht="44" customHeight="1">
      <x:c r="A892" s="1"/>
      <x:c r="B892" s="1"/>
      <x:c r="C892" s="8"/>
      <x:c r="D892" s="8"/>
      <x:c r="E892" s="8"/>
      <x:c r="F892" s="8"/>
      <x:c r="G892" s="8"/>
      <x:c r="H892" s="8"/>
      <x:c r="I892" s="8"/>
      <x:c r="J892" s="8"/>
      <x:c r="K892" s="8"/>
      <x:c r="L892" s="8"/>
      <x:c r="M892" s="10"/>
      <x:c r="N892" s="10"/>
      <x:c r="O892" s="8"/>
      <x:c r="P892" s="9" t="str">
        <x:f>IF(C892="","",IF(AND(G892="Applicable",H892="Fail"),"Fail",IF(R892&lt;&gt;"Valid","Pending",IF(OR(I892="",K892="",L892="",K892=L892,NOT(ISNUMBER(M892)),NOT(ISNUMBER(N892)),M892&gt;Settings!$F$8,N892&lt;Settings!$F$8,N892&lt;M892),"Pending",IF(AND(G892="Applicable",H892="Pass"),"Pass",IF(AND(G892="N/A",H892="N/A",J892&lt;&gt;"",OR(E892="CEM-FUELS",E892="CEM-CCS",AND(E892="CEM-PLAN",IFERROR(INDEX('Taxonomy'!$M$9:$M$108,MATCH(D892,'Taxonomy'!$C$9:$C$108,0)),"")&lt;&gt;"Amber"),E892="BLD-TIMBER",AND(U892="Building equipment",OR(E892="BLD-WATER",E892="BLD-WASTE",E892="BLD-LAND")),AND(U892="Building renovation",E892="BLD-LAND"))),"N/A","Pending"))))))</x:f>
      </x:c>
      <x:c r="Q892" s="3" t="str">
        <x:f>IF(C892="","",IF(AND(R892="Valid",OR(P892="Pass",P892="N/A")),"Complete","Unresolved"))</x:f>
      </x:c>
      <x:c r="R892" s="9" t="str">
        <x:f>IF(C892="","",IF(OR(COUNTIF($C$9:$C$2008,C892)&lt;&gt;1,COUNTIFS($D$9:$D$2008,D892,$E$9:$E$2008,E892)&lt;&gt;1),"Duplicate test",IF(COUNTIF('Taxonomy'!$C$9:$C$108,D892)&lt;&gt;1,"Assessment key",IF(OR(COUNTIF('Taxonomy Rules'!$C$42:$C$68,E892)&lt;&gt;1,F892&lt;&gt;IFERROR(INDEX('Taxonomy Rules'!$D$42:$D$68,MATCH(E892,'Taxonomy Rules'!$C$42:$C$68,0)),""),NOT(OR(IFERROR(INDEX('Taxonomy Rules'!$G$42:$G$68,MATCH(E892,'Taxonomy Rules'!$C$42:$C$68,0)),"")="All supported routes",IFERROR(INDEX('Taxonomy Rules'!$G$42:$G$68,MATCH(E892,'Taxonomy Rules'!$C$42:$C$68,0)),"")=U892,AND(IFERROR(INDEX('Taxonomy Rules'!$G$42:$G$68,MATCH(E892,'Taxonomy Rules'!$C$42:$C$68,0)),"")="Building routes",OR(U892="Building renovation",U892="New building",U892="Building equipment"))))),"Unexpected test","Valid"))))</x:f>
      </x:c>
      <x:c r="S892" s="9" t="str">
        <x:f>IF(C892="","",IFERROR(INDEX('Taxonomy Rules'!$E$42:$E$68,MATCH(E892,'Taxonomy Rules'!$C$42:$C$68,0)),""))</x:f>
      </x:c>
      <x:c r="T892" s="9" t="str">
        <x:f>IF(C892="","",IFERROR(INDEX('Taxonomy Rules'!$F$42:$F$68,MATCH(E892,'Taxonomy Rules'!$C$42:$C$68,0)),""))</x:f>
      </x:c>
      <x:c r="U892" s="9" t="str">
        <x:f>IF(C892="","",IFERROR(INDEX('Taxonomy'!$G$9:$G$108,MATCH(D892,'Taxonomy'!$C$9:$C$108,0)),""))</x:f>
      </x:c>
    </x:row>
    <x:row r="893" ht="44" customHeight="1">
      <x:c r="A893" s="1"/>
      <x:c r="B893" s="1"/>
      <x:c r="C893" s="8"/>
      <x:c r="D893" s="8"/>
      <x:c r="E893" s="8"/>
      <x:c r="F893" s="8"/>
      <x:c r="G893" s="8"/>
      <x:c r="H893" s="8"/>
      <x:c r="I893" s="8"/>
      <x:c r="J893" s="8"/>
      <x:c r="K893" s="8"/>
      <x:c r="L893" s="8"/>
      <x:c r="M893" s="10"/>
      <x:c r="N893" s="10"/>
      <x:c r="O893" s="8"/>
      <x:c r="P893" s="9" t="str">
        <x:f>IF(C893="","",IF(AND(G893="Applicable",H893="Fail"),"Fail",IF(R893&lt;&gt;"Valid","Pending",IF(OR(I893="",K893="",L893="",K893=L893,NOT(ISNUMBER(M893)),NOT(ISNUMBER(N893)),M893&gt;Settings!$F$8,N893&lt;Settings!$F$8,N893&lt;M893),"Pending",IF(AND(G893="Applicable",H893="Pass"),"Pass",IF(AND(G893="N/A",H893="N/A",J893&lt;&gt;"",OR(E893="CEM-FUELS",E893="CEM-CCS",AND(E893="CEM-PLAN",IFERROR(INDEX('Taxonomy'!$M$9:$M$108,MATCH(D893,'Taxonomy'!$C$9:$C$108,0)),"")&lt;&gt;"Amber"),E893="BLD-TIMBER",AND(U893="Building equipment",OR(E893="BLD-WATER",E893="BLD-WASTE",E893="BLD-LAND")),AND(U893="Building renovation",E893="BLD-LAND"))),"N/A","Pending"))))))</x:f>
      </x:c>
      <x:c r="Q893" s="3" t="str">
        <x:f>IF(C893="","",IF(AND(R893="Valid",OR(P893="Pass",P893="N/A")),"Complete","Unresolved"))</x:f>
      </x:c>
      <x:c r="R893" s="9" t="str">
        <x:f>IF(C893="","",IF(OR(COUNTIF($C$9:$C$2008,C893)&lt;&gt;1,COUNTIFS($D$9:$D$2008,D893,$E$9:$E$2008,E893)&lt;&gt;1),"Duplicate test",IF(COUNTIF('Taxonomy'!$C$9:$C$108,D893)&lt;&gt;1,"Assessment key",IF(OR(COUNTIF('Taxonomy Rules'!$C$42:$C$68,E893)&lt;&gt;1,F893&lt;&gt;IFERROR(INDEX('Taxonomy Rules'!$D$42:$D$68,MATCH(E893,'Taxonomy Rules'!$C$42:$C$68,0)),""),NOT(OR(IFERROR(INDEX('Taxonomy Rules'!$G$42:$G$68,MATCH(E893,'Taxonomy Rules'!$C$42:$C$68,0)),"")="All supported routes",IFERROR(INDEX('Taxonomy Rules'!$G$42:$G$68,MATCH(E893,'Taxonomy Rules'!$C$42:$C$68,0)),"")=U893,AND(IFERROR(INDEX('Taxonomy Rules'!$G$42:$G$68,MATCH(E893,'Taxonomy Rules'!$C$42:$C$68,0)),"")="Building routes",OR(U893="Building renovation",U893="New building",U893="Building equipment"))))),"Unexpected test","Valid"))))</x:f>
      </x:c>
      <x:c r="S893" s="9" t="str">
        <x:f>IF(C893="","",IFERROR(INDEX('Taxonomy Rules'!$E$42:$E$68,MATCH(E893,'Taxonomy Rules'!$C$42:$C$68,0)),""))</x:f>
      </x:c>
      <x:c r="T893" s="9" t="str">
        <x:f>IF(C893="","",IFERROR(INDEX('Taxonomy Rules'!$F$42:$F$68,MATCH(E893,'Taxonomy Rules'!$C$42:$C$68,0)),""))</x:f>
      </x:c>
      <x:c r="U893" s="9" t="str">
        <x:f>IF(C893="","",IFERROR(INDEX('Taxonomy'!$G$9:$G$108,MATCH(D893,'Taxonomy'!$C$9:$C$108,0)),""))</x:f>
      </x:c>
    </x:row>
    <x:row r="894" ht="44" customHeight="1">
      <x:c r="A894" s="1"/>
      <x:c r="B894" s="1"/>
      <x:c r="C894" s="8"/>
      <x:c r="D894" s="8"/>
      <x:c r="E894" s="8"/>
      <x:c r="F894" s="8"/>
      <x:c r="G894" s="8"/>
      <x:c r="H894" s="8"/>
      <x:c r="I894" s="8"/>
      <x:c r="J894" s="8"/>
      <x:c r="K894" s="8"/>
      <x:c r="L894" s="8"/>
      <x:c r="M894" s="10"/>
      <x:c r="N894" s="10"/>
      <x:c r="O894" s="8"/>
      <x:c r="P894" s="9" t="str">
        <x:f>IF(C894="","",IF(AND(G894="Applicable",H894="Fail"),"Fail",IF(R894&lt;&gt;"Valid","Pending",IF(OR(I894="",K894="",L894="",K894=L894,NOT(ISNUMBER(M894)),NOT(ISNUMBER(N894)),M894&gt;Settings!$F$8,N894&lt;Settings!$F$8,N894&lt;M894),"Pending",IF(AND(G894="Applicable",H894="Pass"),"Pass",IF(AND(G894="N/A",H894="N/A",J894&lt;&gt;"",OR(E894="CEM-FUELS",E894="CEM-CCS",AND(E894="CEM-PLAN",IFERROR(INDEX('Taxonomy'!$M$9:$M$108,MATCH(D894,'Taxonomy'!$C$9:$C$108,0)),"")&lt;&gt;"Amber"),E894="BLD-TIMBER",AND(U894="Building equipment",OR(E894="BLD-WATER",E894="BLD-WASTE",E894="BLD-LAND")),AND(U894="Building renovation",E894="BLD-LAND"))),"N/A","Pending"))))))</x:f>
      </x:c>
      <x:c r="Q894" s="3" t="str">
        <x:f>IF(C894="","",IF(AND(R894="Valid",OR(P894="Pass",P894="N/A")),"Complete","Unresolved"))</x:f>
      </x:c>
      <x:c r="R894" s="9" t="str">
        <x:f>IF(C894="","",IF(OR(COUNTIF($C$9:$C$2008,C894)&lt;&gt;1,COUNTIFS($D$9:$D$2008,D894,$E$9:$E$2008,E894)&lt;&gt;1),"Duplicate test",IF(COUNTIF('Taxonomy'!$C$9:$C$108,D894)&lt;&gt;1,"Assessment key",IF(OR(COUNTIF('Taxonomy Rules'!$C$42:$C$68,E894)&lt;&gt;1,F894&lt;&gt;IFERROR(INDEX('Taxonomy Rules'!$D$42:$D$68,MATCH(E894,'Taxonomy Rules'!$C$42:$C$68,0)),""),NOT(OR(IFERROR(INDEX('Taxonomy Rules'!$G$42:$G$68,MATCH(E894,'Taxonomy Rules'!$C$42:$C$68,0)),"")="All supported routes",IFERROR(INDEX('Taxonomy Rules'!$G$42:$G$68,MATCH(E894,'Taxonomy Rules'!$C$42:$C$68,0)),"")=U894,AND(IFERROR(INDEX('Taxonomy Rules'!$G$42:$G$68,MATCH(E894,'Taxonomy Rules'!$C$42:$C$68,0)),"")="Building routes",OR(U894="Building renovation",U894="New building",U894="Building equipment"))))),"Unexpected test","Valid"))))</x:f>
      </x:c>
      <x:c r="S894" s="9" t="str">
        <x:f>IF(C894="","",IFERROR(INDEX('Taxonomy Rules'!$E$42:$E$68,MATCH(E894,'Taxonomy Rules'!$C$42:$C$68,0)),""))</x:f>
      </x:c>
      <x:c r="T894" s="9" t="str">
        <x:f>IF(C894="","",IFERROR(INDEX('Taxonomy Rules'!$F$42:$F$68,MATCH(E894,'Taxonomy Rules'!$C$42:$C$68,0)),""))</x:f>
      </x:c>
      <x:c r="U894" s="9" t="str">
        <x:f>IF(C894="","",IFERROR(INDEX('Taxonomy'!$G$9:$G$108,MATCH(D894,'Taxonomy'!$C$9:$C$108,0)),""))</x:f>
      </x:c>
    </x:row>
    <x:row r="895" ht="44" customHeight="1">
      <x:c r="A895" s="1"/>
      <x:c r="B895" s="1"/>
      <x:c r="C895" s="8"/>
      <x:c r="D895" s="8"/>
      <x:c r="E895" s="8"/>
      <x:c r="F895" s="8"/>
      <x:c r="G895" s="8"/>
      <x:c r="H895" s="8"/>
      <x:c r="I895" s="8"/>
      <x:c r="J895" s="8"/>
      <x:c r="K895" s="8"/>
      <x:c r="L895" s="8"/>
      <x:c r="M895" s="10"/>
      <x:c r="N895" s="10"/>
      <x:c r="O895" s="8"/>
      <x:c r="P895" s="9" t="str">
        <x:f>IF(C895="","",IF(AND(G895="Applicable",H895="Fail"),"Fail",IF(R895&lt;&gt;"Valid","Pending",IF(OR(I895="",K895="",L895="",K895=L895,NOT(ISNUMBER(M895)),NOT(ISNUMBER(N895)),M895&gt;Settings!$F$8,N895&lt;Settings!$F$8,N895&lt;M895),"Pending",IF(AND(G895="Applicable",H895="Pass"),"Pass",IF(AND(G895="N/A",H895="N/A",J895&lt;&gt;"",OR(E895="CEM-FUELS",E895="CEM-CCS",AND(E895="CEM-PLAN",IFERROR(INDEX('Taxonomy'!$M$9:$M$108,MATCH(D895,'Taxonomy'!$C$9:$C$108,0)),"")&lt;&gt;"Amber"),E895="BLD-TIMBER",AND(U895="Building equipment",OR(E895="BLD-WATER",E895="BLD-WASTE",E895="BLD-LAND")),AND(U895="Building renovation",E895="BLD-LAND"))),"N/A","Pending"))))))</x:f>
      </x:c>
      <x:c r="Q895" s="3" t="str">
        <x:f>IF(C895="","",IF(AND(R895="Valid",OR(P895="Pass",P895="N/A")),"Complete","Unresolved"))</x:f>
      </x:c>
      <x:c r="R895" s="9" t="str">
        <x:f>IF(C895="","",IF(OR(COUNTIF($C$9:$C$2008,C895)&lt;&gt;1,COUNTIFS($D$9:$D$2008,D895,$E$9:$E$2008,E895)&lt;&gt;1),"Duplicate test",IF(COUNTIF('Taxonomy'!$C$9:$C$108,D895)&lt;&gt;1,"Assessment key",IF(OR(COUNTIF('Taxonomy Rules'!$C$42:$C$68,E895)&lt;&gt;1,F895&lt;&gt;IFERROR(INDEX('Taxonomy Rules'!$D$42:$D$68,MATCH(E895,'Taxonomy Rules'!$C$42:$C$68,0)),""),NOT(OR(IFERROR(INDEX('Taxonomy Rules'!$G$42:$G$68,MATCH(E895,'Taxonomy Rules'!$C$42:$C$68,0)),"")="All supported routes",IFERROR(INDEX('Taxonomy Rules'!$G$42:$G$68,MATCH(E895,'Taxonomy Rules'!$C$42:$C$68,0)),"")=U895,AND(IFERROR(INDEX('Taxonomy Rules'!$G$42:$G$68,MATCH(E895,'Taxonomy Rules'!$C$42:$C$68,0)),"")="Building routes",OR(U895="Building renovation",U895="New building",U895="Building equipment"))))),"Unexpected test","Valid"))))</x:f>
      </x:c>
      <x:c r="S895" s="9" t="str">
        <x:f>IF(C895="","",IFERROR(INDEX('Taxonomy Rules'!$E$42:$E$68,MATCH(E895,'Taxonomy Rules'!$C$42:$C$68,0)),""))</x:f>
      </x:c>
      <x:c r="T895" s="9" t="str">
        <x:f>IF(C895="","",IFERROR(INDEX('Taxonomy Rules'!$F$42:$F$68,MATCH(E895,'Taxonomy Rules'!$C$42:$C$68,0)),""))</x:f>
      </x:c>
      <x:c r="U895" s="9" t="str">
        <x:f>IF(C895="","",IFERROR(INDEX('Taxonomy'!$G$9:$G$108,MATCH(D895,'Taxonomy'!$C$9:$C$108,0)),""))</x:f>
      </x:c>
    </x:row>
    <x:row r="896" ht="44" customHeight="1">
      <x:c r="A896" s="1"/>
      <x:c r="B896" s="1"/>
      <x:c r="C896" s="8"/>
      <x:c r="D896" s="8"/>
      <x:c r="E896" s="8"/>
      <x:c r="F896" s="8"/>
      <x:c r="G896" s="8"/>
      <x:c r="H896" s="8"/>
      <x:c r="I896" s="8"/>
      <x:c r="J896" s="8"/>
      <x:c r="K896" s="8"/>
      <x:c r="L896" s="8"/>
      <x:c r="M896" s="10"/>
      <x:c r="N896" s="10"/>
      <x:c r="O896" s="8"/>
      <x:c r="P896" s="9" t="str">
        <x:f>IF(C896="","",IF(AND(G896="Applicable",H896="Fail"),"Fail",IF(R896&lt;&gt;"Valid","Pending",IF(OR(I896="",K896="",L896="",K896=L896,NOT(ISNUMBER(M896)),NOT(ISNUMBER(N896)),M896&gt;Settings!$F$8,N896&lt;Settings!$F$8,N896&lt;M896),"Pending",IF(AND(G896="Applicable",H896="Pass"),"Pass",IF(AND(G896="N/A",H896="N/A",J896&lt;&gt;"",OR(E896="CEM-FUELS",E896="CEM-CCS",AND(E896="CEM-PLAN",IFERROR(INDEX('Taxonomy'!$M$9:$M$108,MATCH(D896,'Taxonomy'!$C$9:$C$108,0)),"")&lt;&gt;"Amber"),E896="BLD-TIMBER",AND(U896="Building equipment",OR(E896="BLD-WATER",E896="BLD-WASTE",E896="BLD-LAND")),AND(U896="Building renovation",E896="BLD-LAND"))),"N/A","Pending"))))))</x:f>
      </x:c>
      <x:c r="Q896" s="3" t="str">
        <x:f>IF(C896="","",IF(AND(R896="Valid",OR(P896="Pass",P896="N/A")),"Complete","Unresolved"))</x:f>
      </x:c>
      <x:c r="R896" s="9" t="str">
        <x:f>IF(C896="","",IF(OR(COUNTIF($C$9:$C$2008,C896)&lt;&gt;1,COUNTIFS($D$9:$D$2008,D896,$E$9:$E$2008,E896)&lt;&gt;1),"Duplicate test",IF(COUNTIF('Taxonomy'!$C$9:$C$108,D896)&lt;&gt;1,"Assessment key",IF(OR(COUNTIF('Taxonomy Rules'!$C$42:$C$68,E896)&lt;&gt;1,F896&lt;&gt;IFERROR(INDEX('Taxonomy Rules'!$D$42:$D$68,MATCH(E896,'Taxonomy Rules'!$C$42:$C$68,0)),""),NOT(OR(IFERROR(INDEX('Taxonomy Rules'!$G$42:$G$68,MATCH(E896,'Taxonomy Rules'!$C$42:$C$68,0)),"")="All supported routes",IFERROR(INDEX('Taxonomy Rules'!$G$42:$G$68,MATCH(E896,'Taxonomy Rules'!$C$42:$C$68,0)),"")=U896,AND(IFERROR(INDEX('Taxonomy Rules'!$G$42:$G$68,MATCH(E896,'Taxonomy Rules'!$C$42:$C$68,0)),"")="Building routes",OR(U896="Building renovation",U896="New building",U896="Building equipment"))))),"Unexpected test","Valid"))))</x:f>
      </x:c>
      <x:c r="S896" s="9" t="str">
        <x:f>IF(C896="","",IFERROR(INDEX('Taxonomy Rules'!$E$42:$E$68,MATCH(E896,'Taxonomy Rules'!$C$42:$C$68,0)),""))</x:f>
      </x:c>
      <x:c r="T896" s="9" t="str">
        <x:f>IF(C896="","",IFERROR(INDEX('Taxonomy Rules'!$F$42:$F$68,MATCH(E896,'Taxonomy Rules'!$C$42:$C$68,0)),""))</x:f>
      </x:c>
      <x:c r="U896" s="9" t="str">
        <x:f>IF(C896="","",IFERROR(INDEX('Taxonomy'!$G$9:$G$108,MATCH(D896,'Taxonomy'!$C$9:$C$108,0)),""))</x:f>
      </x:c>
    </x:row>
    <x:row r="897" ht="44" customHeight="1">
      <x:c r="A897" s="1"/>
      <x:c r="B897" s="1"/>
      <x:c r="C897" s="8"/>
      <x:c r="D897" s="8"/>
      <x:c r="E897" s="8"/>
      <x:c r="F897" s="8"/>
      <x:c r="G897" s="8"/>
      <x:c r="H897" s="8"/>
      <x:c r="I897" s="8"/>
      <x:c r="J897" s="8"/>
      <x:c r="K897" s="8"/>
      <x:c r="L897" s="8"/>
      <x:c r="M897" s="10"/>
      <x:c r="N897" s="10"/>
      <x:c r="O897" s="8"/>
      <x:c r="P897" s="9" t="str">
        <x:f>IF(C897="","",IF(AND(G897="Applicable",H897="Fail"),"Fail",IF(R897&lt;&gt;"Valid","Pending",IF(OR(I897="",K897="",L897="",K897=L897,NOT(ISNUMBER(M897)),NOT(ISNUMBER(N897)),M897&gt;Settings!$F$8,N897&lt;Settings!$F$8,N897&lt;M897),"Pending",IF(AND(G897="Applicable",H897="Pass"),"Pass",IF(AND(G897="N/A",H897="N/A",J897&lt;&gt;"",OR(E897="CEM-FUELS",E897="CEM-CCS",AND(E897="CEM-PLAN",IFERROR(INDEX('Taxonomy'!$M$9:$M$108,MATCH(D897,'Taxonomy'!$C$9:$C$108,0)),"")&lt;&gt;"Amber"),E897="BLD-TIMBER",AND(U897="Building equipment",OR(E897="BLD-WATER",E897="BLD-WASTE",E897="BLD-LAND")),AND(U897="Building renovation",E897="BLD-LAND"))),"N/A","Pending"))))))</x:f>
      </x:c>
      <x:c r="Q897" s="3" t="str">
        <x:f>IF(C897="","",IF(AND(R897="Valid",OR(P897="Pass",P897="N/A")),"Complete","Unresolved"))</x:f>
      </x:c>
      <x:c r="R897" s="9" t="str">
        <x:f>IF(C897="","",IF(OR(COUNTIF($C$9:$C$2008,C897)&lt;&gt;1,COUNTIFS($D$9:$D$2008,D897,$E$9:$E$2008,E897)&lt;&gt;1),"Duplicate test",IF(COUNTIF('Taxonomy'!$C$9:$C$108,D897)&lt;&gt;1,"Assessment key",IF(OR(COUNTIF('Taxonomy Rules'!$C$42:$C$68,E897)&lt;&gt;1,F897&lt;&gt;IFERROR(INDEX('Taxonomy Rules'!$D$42:$D$68,MATCH(E897,'Taxonomy Rules'!$C$42:$C$68,0)),""),NOT(OR(IFERROR(INDEX('Taxonomy Rules'!$G$42:$G$68,MATCH(E897,'Taxonomy Rules'!$C$42:$C$68,0)),"")="All supported routes",IFERROR(INDEX('Taxonomy Rules'!$G$42:$G$68,MATCH(E897,'Taxonomy Rules'!$C$42:$C$68,0)),"")=U897,AND(IFERROR(INDEX('Taxonomy Rules'!$G$42:$G$68,MATCH(E897,'Taxonomy Rules'!$C$42:$C$68,0)),"")="Building routes",OR(U897="Building renovation",U897="New building",U897="Building equipment"))))),"Unexpected test","Valid"))))</x:f>
      </x:c>
      <x:c r="S897" s="9" t="str">
        <x:f>IF(C897="","",IFERROR(INDEX('Taxonomy Rules'!$E$42:$E$68,MATCH(E897,'Taxonomy Rules'!$C$42:$C$68,0)),""))</x:f>
      </x:c>
      <x:c r="T897" s="9" t="str">
        <x:f>IF(C897="","",IFERROR(INDEX('Taxonomy Rules'!$F$42:$F$68,MATCH(E897,'Taxonomy Rules'!$C$42:$C$68,0)),""))</x:f>
      </x:c>
      <x:c r="U897" s="9" t="str">
        <x:f>IF(C897="","",IFERROR(INDEX('Taxonomy'!$G$9:$G$108,MATCH(D897,'Taxonomy'!$C$9:$C$108,0)),""))</x:f>
      </x:c>
    </x:row>
    <x:row r="898" ht="44" customHeight="1">
      <x:c r="A898" s="1"/>
      <x:c r="B898" s="1"/>
      <x:c r="C898" s="8"/>
      <x:c r="D898" s="8"/>
      <x:c r="E898" s="8"/>
      <x:c r="F898" s="8"/>
      <x:c r="G898" s="8"/>
      <x:c r="H898" s="8"/>
      <x:c r="I898" s="8"/>
      <x:c r="J898" s="8"/>
      <x:c r="K898" s="8"/>
      <x:c r="L898" s="8"/>
      <x:c r="M898" s="10"/>
      <x:c r="N898" s="10"/>
      <x:c r="O898" s="8"/>
      <x:c r="P898" s="9" t="str">
        <x:f>IF(C898="","",IF(AND(G898="Applicable",H898="Fail"),"Fail",IF(R898&lt;&gt;"Valid","Pending",IF(OR(I898="",K898="",L898="",K898=L898,NOT(ISNUMBER(M898)),NOT(ISNUMBER(N898)),M898&gt;Settings!$F$8,N898&lt;Settings!$F$8,N898&lt;M898),"Pending",IF(AND(G898="Applicable",H898="Pass"),"Pass",IF(AND(G898="N/A",H898="N/A",J898&lt;&gt;"",OR(E898="CEM-FUELS",E898="CEM-CCS",AND(E898="CEM-PLAN",IFERROR(INDEX('Taxonomy'!$M$9:$M$108,MATCH(D898,'Taxonomy'!$C$9:$C$108,0)),"")&lt;&gt;"Amber"),E898="BLD-TIMBER",AND(U898="Building equipment",OR(E898="BLD-WATER",E898="BLD-WASTE",E898="BLD-LAND")),AND(U898="Building renovation",E898="BLD-LAND"))),"N/A","Pending"))))))</x:f>
      </x:c>
      <x:c r="Q898" s="3" t="str">
        <x:f>IF(C898="","",IF(AND(R898="Valid",OR(P898="Pass",P898="N/A")),"Complete","Unresolved"))</x:f>
      </x:c>
      <x:c r="R898" s="9" t="str">
        <x:f>IF(C898="","",IF(OR(COUNTIF($C$9:$C$2008,C898)&lt;&gt;1,COUNTIFS($D$9:$D$2008,D898,$E$9:$E$2008,E898)&lt;&gt;1),"Duplicate test",IF(COUNTIF('Taxonomy'!$C$9:$C$108,D898)&lt;&gt;1,"Assessment key",IF(OR(COUNTIF('Taxonomy Rules'!$C$42:$C$68,E898)&lt;&gt;1,F898&lt;&gt;IFERROR(INDEX('Taxonomy Rules'!$D$42:$D$68,MATCH(E898,'Taxonomy Rules'!$C$42:$C$68,0)),""),NOT(OR(IFERROR(INDEX('Taxonomy Rules'!$G$42:$G$68,MATCH(E898,'Taxonomy Rules'!$C$42:$C$68,0)),"")="All supported routes",IFERROR(INDEX('Taxonomy Rules'!$G$42:$G$68,MATCH(E898,'Taxonomy Rules'!$C$42:$C$68,0)),"")=U898,AND(IFERROR(INDEX('Taxonomy Rules'!$G$42:$G$68,MATCH(E898,'Taxonomy Rules'!$C$42:$C$68,0)),"")="Building routes",OR(U898="Building renovation",U898="New building",U898="Building equipment"))))),"Unexpected test","Valid"))))</x:f>
      </x:c>
      <x:c r="S898" s="9" t="str">
        <x:f>IF(C898="","",IFERROR(INDEX('Taxonomy Rules'!$E$42:$E$68,MATCH(E898,'Taxonomy Rules'!$C$42:$C$68,0)),""))</x:f>
      </x:c>
      <x:c r="T898" s="9" t="str">
        <x:f>IF(C898="","",IFERROR(INDEX('Taxonomy Rules'!$F$42:$F$68,MATCH(E898,'Taxonomy Rules'!$C$42:$C$68,0)),""))</x:f>
      </x:c>
      <x:c r="U898" s="9" t="str">
        <x:f>IF(C898="","",IFERROR(INDEX('Taxonomy'!$G$9:$G$108,MATCH(D898,'Taxonomy'!$C$9:$C$108,0)),""))</x:f>
      </x:c>
    </x:row>
    <x:row r="899" ht="44" customHeight="1">
      <x:c r="A899" s="1"/>
      <x:c r="B899" s="1"/>
      <x:c r="C899" s="8"/>
      <x:c r="D899" s="8"/>
      <x:c r="E899" s="8"/>
      <x:c r="F899" s="8"/>
      <x:c r="G899" s="8"/>
      <x:c r="H899" s="8"/>
      <x:c r="I899" s="8"/>
      <x:c r="J899" s="8"/>
      <x:c r="K899" s="8"/>
      <x:c r="L899" s="8"/>
      <x:c r="M899" s="10"/>
      <x:c r="N899" s="10"/>
      <x:c r="O899" s="8"/>
      <x:c r="P899" s="9" t="str">
        <x:f>IF(C899="","",IF(AND(G899="Applicable",H899="Fail"),"Fail",IF(R899&lt;&gt;"Valid","Pending",IF(OR(I899="",K899="",L899="",K899=L899,NOT(ISNUMBER(M899)),NOT(ISNUMBER(N899)),M899&gt;Settings!$F$8,N899&lt;Settings!$F$8,N899&lt;M899),"Pending",IF(AND(G899="Applicable",H899="Pass"),"Pass",IF(AND(G899="N/A",H899="N/A",J899&lt;&gt;"",OR(E899="CEM-FUELS",E899="CEM-CCS",AND(E899="CEM-PLAN",IFERROR(INDEX('Taxonomy'!$M$9:$M$108,MATCH(D899,'Taxonomy'!$C$9:$C$108,0)),"")&lt;&gt;"Amber"),E899="BLD-TIMBER",AND(U899="Building equipment",OR(E899="BLD-WATER",E899="BLD-WASTE",E899="BLD-LAND")),AND(U899="Building renovation",E899="BLD-LAND"))),"N/A","Pending"))))))</x:f>
      </x:c>
      <x:c r="Q899" s="3" t="str">
        <x:f>IF(C899="","",IF(AND(R899="Valid",OR(P899="Pass",P899="N/A")),"Complete","Unresolved"))</x:f>
      </x:c>
      <x:c r="R899" s="9" t="str">
        <x:f>IF(C899="","",IF(OR(COUNTIF($C$9:$C$2008,C899)&lt;&gt;1,COUNTIFS($D$9:$D$2008,D899,$E$9:$E$2008,E899)&lt;&gt;1),"Duplicate test",IF(COUNTIF('Taxonomy'!$C$9:$C$108,D899)&lt;&gt;1,"Assessment key",IF(OR(COUNTIF('Taxonomy Rules'!$C$42:$C$68,E899)&lt;&gt;1,F899&lt;&gt;IFERROR(INDEX('Taxonomy Rules'!$D$42:$D$68,MATCH(E899,'Taxonomy Rules'!$C$42:$C$68,0)),""),NOT(OR(IFERROR(INDEX('Taxonomy Rules'!$G$42:$G$68,MATCH(E899,'Taxonomy Rules'!$C$42:$C$68,0)),"")="All supported routes",IFERROR(INDEX('Taxonomy Rules'!$G$42:$G$68,MATCH(E899,'Taxonomy Rules'!$C$42:$C$68,0)),"")=U899,AND(IFERROR(INDEX('Taxonomy Rules'!$G$42:$G$68,MATCH(E899,'Taxonomy Rules'!$C$42:$C$68,0)),"")="Building routes",OR(U899="Building renovation",U899="New building",U899="Building equipment"))))),"Unexpected test","Valid"))))</x:f>
      </x:c>
      <x:c r="S899" s="9" t="str">
        <x:f>IF(C899="","",IFERROR(INDEX('Taxonomy Rules'!$E$42:$E$68,MATCH(E899,'Taxonomy Rules'!$C$42:$C$68,0)),""))</x:f>
      </x:c>
      <x:c r="T899" s="9" t="str">
        <x:f>IF(C899="","",IFERROR(INDEX('Taxonomy Rules'!$F$42:$F$68,MATCH(E899,'Taxonomy Rules'!$C$42:$C$68,0)),""))</x:f>
      </x:c>
      <x:c r="U899" s="9" t="str">
        <x:f>IF(C899="","",IFERROR(INDEX('Taxonomy'!$G$9:$G$108,MATCH(D899,'Taxonomy'!$C$9:$C$108,0)),""))</x:f>
      </x:c>
    </x:row>
    <x:row r="900" ht="44" customHeight="1">
      <x:c r="A900" s="1"/>
      <x:c r="B900" s="1"/>
      <x:c r="C900" s="8"/>
      <x:c r="D900" s="8"/>
      <x:c r="E900" s="8"/>
      <x:c r="F900" s="8"/>
      <x:c r="G900" s="8"/>
      <x:c r="H900" s="8"/>
      <x:c r="I900" s="8"/>
      <x:c r="J900" s="8"/>
      <x:c r="K900" s="8"/>
      <x:c r="L900" s="8"/>
      <x:c r="M900" s="10"/>
      <x:c r="N900" s="10"/>
      <x:c r="O900" s="8"/>
      <x:c r="P900" s="9" t="str">
        <x:f>IF(C900="","",IF(AND(G900="Applicable",H900="Fail"),"Fail",IF(R900&lt;&gt;"Valid","Pending",IF(OR(I900="",K900="",L900="",K900=L900,NOT(ISNUMBER(M900)),NOT(ISNUMBER(N900)),M900&gt;Settings!$F$8,N900&lt;Settings!$F$8,N900&lt;M900),"Pending",IF(AND(G900="Applicable",H900="Pass"),"Pass",IF(AND(G900="N/A",H900="N/A",J900&lt;&gt;"",OR(E900="CEM-FUELS",E900="CEM-CCS",AND(E900="CEM-PLAN",IFERROR(INDEX('Taxonomy'!$M$9:$M$108,MATCH(D900,'Taxonomy'!$C$9:$C$108,0)),"")&lt;&gt;"Amber"),E900="BLD-TIMBER",AND(U900="Building equipment",OR(E900="BLD-WATER",E900="BLD-WASTE",E900="BLD-LAND")),AND(U900="Building renovation",E900="BLD-LAND"))),"N/A","Pending"))))))</x:f>
      </x:c>
      <x:c r="Q900" s="3" t="str">
        <x:f>IF(C900="","",IF(AND(R900="Valid",OR(P900="Pass",P900="N/A")),"Complete","Unresolved"))</x:f>
      </x:c>
      <x:c r="R900" s="9" t="str">
        <x:f>IF(C900="","",IF(OR(COUNTIF($C$9:$C$2008,C900)&lt;&gt;1,COUNTIFS($D$9:$D$2008,D900,$E$9:$E$2008,E900)&lt;&gt;1),"Duplicate test",IF(COUNTIF('Taxonomy'!$C$9:$C$108,D900)&lt;&gt;1,"Assessment key",IF(OR(COUNTIF('Taxonomy Rules'!$C$42:$C$68,E900)&lt;&gt;1,F900&lt;&gt;IFERROR(INDEX('Taxonomy Rules'!$D$42:$D$68,MATCH(E900,'Taxonomy Rules'!$C$42:$C$68,0)),""),NOT(OR(IFERROR(INDEX('Taxonomy Rules'!$G$42:$G$68,MATCH(E900,'Taxonomy Rules'!$C$42:$C$68,0)),"")="All supported routes",IFERROR(INDEX('Taxonomy Rules'!$G$42:$G$68,MATCH(E900,'Taxonomy Rules'!$C$42:$C$68,0)),"")=U900,AND(IFERROR(INDEX('Taxonomy Rules'!$G$42:$G$68,MATCH(E900,'Taxonomy Rules'!$C$42:$C$68,0)),"")="Building routes",OR(U900="Building renovation",U900="New building",U900="Building equipment"))))),"Unexpected test","Valid"))))</x:f>
      </x:c>
      <x:c r="S900" s="9" t="str">
        <x:f>IF(C900="","",IFERROR(INDEX('Taxonomy Rules'!$E$42:$E$68,MATCH(E900,'Taxonomy Rules'!$C$42:$C$68,0)),""))</x:f>
      </x:c>
      <x:c r="T900" s="9" t="str">
        <x:f>IF(C900="","",IFERROR(INDEX('Taxonomy Rules'!$F$42:$F$68,MATCH(E900,'Taxonomy Rules'!$C$42:$C$68,0)),""))</x:f>
      </x:c>
      <x:c r="U900" s="9" t="str">
        <x:f>IF(C900="","",IFERROR(INDEX('Taxonomy'!$G$9:$G$108,MATCH(D900,'Taxonomy'!$C$9:$C$108,0)),""))</x:f>
      </x:c>
    </x:row>
    <x:row r="901" ht="44" customHeight="1">
      <x:c r="A901" s="1"/>
      <x:c r="B901" s="1"/>
      <x:c r="C901" s="8"/>
      <x:c r="D901" s="8"/>
      <x:c r="E901" s="8"/>
      <x:c r="F901" s="8"/>
      <x:c r="G901" s="8"/>
      <x:c r="H901" s="8"/>
      <x:c r="I901" s="8"/>
      <x:c r="J901" s="8"/>
      <x:c r="K901" s="8"/>
      <x:c r="L901" s="8"/>
      <x:c r="M901" s="10"/>
      <x:c r="N901" s="10"/>
      <x:c r="O901" s="8"/>
      <x:c r="P901" s="9" t="str">
        <x:f>IF(C901="","",IF(AND(G901="Applicable",H901="Fail"),"Fail",IF(R901&lt;&gt;"Valid","Pending",IF(OR(I901="",K901="",L901="",K901=L901,NOT(ISNUMBER(M901)),NOT(ISNUMBER(N901)),M901&gt;Settings!$F$8,N901&lt;Settings!$F$8,N901&lt;M901),"Pending",IF(AND(G901="Applicable",H901="Pass"),"Pass",IF(AND(G901="N/A",H901="N/A",J901&lt;&gt;"",OR(E901="CEM-FUELS",E901="CEM-CCS",AND(E901="CEM-PLAN",IFERROR(INDEX('Taxonomy'!$M$9:$M$108,MATCH(D901,'Taxonomy'!$C$9:$C$108,0)),"")&lt;&gt;"Amber"),E901="BLD-TIMBER",AND(U901="Building equipment",OR(E901="BLD-WATER",E901="BLD-WASTE",E901="BLD-LAND")),AND(U901="Building renovation",E901="BLD-LAND"))),"N/A","Pending"))))))</x:f>
      </x:c>
      <x:c r="Q901" s="3" t="str">
        <x:f>IF(C901="","",IF(AND(R901="Valid",OR(P901="Pass",P901="N/A")),"Complete","Unresolved"))</x:f>
      </x:c>
      <x:c r="R901" s="9" t="str">
        <x:f>IF(C901="","",IF(OR(COUNTIF($C$9:$C$2008,C901)&lt;&gt;1,COUNTIFS($D$9:$D$2008,D901,$E$9:$E$2008,E901)&lt;&gt;1),"Duplicate test",IF(COUNTIF('Taxonomy'!$C$9:$C$108,D901)&lt;&gt;1,"Assessment key",IF(OR(COUNTIF('Taxonomy Rules'!$C$42:$C$68,E901)&lt;&gt;1,F901&lt;&gt;IFERROR(INDEX('Taxonomy Rules'!$D$42:$D$68,MATCH(E901,'Taxonomy Rules'!$C$42:$C$68,0)),""),NOT(OR(IFERROR(INDEX('Taxonomy Rules'!$G$42:$G$68,MATCH(E901,'Taxonomy Rules'!$C$42:$C$68,0)),"")="All supported routes",IFERROR(INDEX('Taxonomy Rules'!$G$42:$G$68,MATCH(E901,'Taxonomy Rules'!$C$42:$C$68,0)),"")=U901,AND(IFERROR(INDEX('Taxonomy Rules'!$G$42:$G$68,MATCH(E901,'Taxonomy Rules'!$C$42:$C$68,0)),"")="Building routes",OR(U901="Building renovation",U901="New building",U901="Building equipment"))))),"Unexpected test","Valid"))))</x:f>
      </x:c>
      <x:c r="S901" s="9" t="str">
        <x:f>IF(C901="","",IFERROR(INDEX('Taxonomy Rules'!$E$42:$E$68,MATCH(E901,'Taxonomy Rules'!$C$42:$C$68,0)),""))</x:f>
      </x:c>
      <x:c r="T901" s="9" t="str">
        <x:f>IF(C901="","",IFERROR(INDEX('Taxonomy Rules'!$F$42:$F$68,MATCH(E901,'Taxonomy Rules'!$C$42:$C$68,0)),""))</x:f>
      </x:c>
      <x:c r="U901" s="9" t="str">
        <x:f>IF(C901="","",IFERROR(INDEX('Taxonomy'!$G$9:$G$108,MATCH(D901,'Taxonomy'!$C$9:$C$108,0)),""))</x:f>
      </x:c>
    </x:row>
    <x:row r="902" ht="44" customHeight="1">
      <x:c r="A902" s="1"/>
      <x:c r="B902" s="1"/>
      <x:c r="C902" s="8"/>
      <x:c r="D902" s="8"/>
      <x:c r="E902" s="8"/>
      <x:c r="F902" s="8"/>
      <x:c r="G902" s="8"/>
      <x:c r="H902" s="8"/>
      <x:c r="I902" s="8"/>
      <x:c r="J902" s="8"/>
      <x:c r="K902" s="8"/>
      <x:c r="L902" s="8"/>
      <x:c r="M902" s="10"/>
      <x:c r="N902" s="10"/>
      <x:c r="O902" s="8"/>
      <x:c r="P902" s="9" t="str">
        <x:f>IF(C902="","",IF(AND(G902="Applicable",H902="Fail"),"Fail",IF(R902&lt;&gt;"Valid","Pending",IF(OR(I902="",K902="",L902="",K902=L902,NOT(ISNUMBER(M902)),NOT(ISNUMBER(N902)),M902&gt;Settings!$F$8,N902&lt;Settings!$F$8,N902&lt;M902),"Pending",IF(AND(G902="Applicable",H902="Pass"),"Pass",IF(AND(G902="N/A",H902="N/A",J902&lt;&gt;"",OR(E902="CEM-FUELS",E902="CEM-CCS",AND(E902="CEM-PLAN",IFERROR(INDEX('Taxonomy'!$M$9:$M$108,MATCH(D902,'Taxonomy'!$C$9:$C$108,0)),"")&lt;&gt;"Amber"),E902="BLD-TIMBER",AND(U902="Building equipment",OR(E902="BLD-WATER",E902="BLD-WASTE",E902="BLD-LAND")),AND(U902="Building renovation",E902="BLD-LAND"))),"N/A","Pending"))))))</x:f>
      </x:c>
      <x:c r="Q902" s="3" t="str">
        <x:f>IF(C902="","",IF(AND(R902="Valid",OR(P902="Pass",P902="N/A")),"Complete","Unresolved"))</x:f>
      </x:c>
      <x:c r="R902" s="9" t="str">
        <x:f>IF(C902="","",IF(OR(COUNTIF($C$9:$C$2008,C902)&lt;&gt;1,COUNTIFS($D$9:$D$2008,D902,$E$9:$E$2008,E902)&lt;&gt;1),"Duplicate test",IF(COUNTIF('Taxonomy'!$C$9:$C$108,D902)&lt;&gt;1,"Assessment key",IF(OR(COUNTIF('Taxonomy Rules'!$C$42:$C$68,E902)&lt;&gt;1,F902&lt;&gt;IFERROR(INDEX('Taxonomy Rules'!$D$42:$D$68,MATCH(E902,'Taxonomy Rules'!$C$42:$C$68,0)),""),NOT(OR(IFERROR(INDEX('Taxonomy Rules'!$G$42:$G$68,MATCH(E902,'Taxonomy Rules'!$C$42:$C$68,0)),"")="All supported routes",IFERROR(INDEX('Taxonomy Rules'!$G$42:$G$68,MATCH(E902,'Taxonomy Rules'!$C$42:$C$68,0)),"")=U902,AND(IFERROR(INDEX('Taxonomy Rules'!$G$42:$G$68,MATCH(E902,'Taxonomy Rules'!$C$42:$C$68,0)),"")="Building routes",OR(U902="Building renovation",U902="New building",U902="Building equipment"))))),"Unexpected test","Valid"))))</x:f>
      </x:c>
      <x:c r="S902" s="9" t="str">
        <x:f>IF(C902="","",IFERROR(INDEX('Taxonomy Rules'!$E$42:$E$68,MATCH(E902,'Taxonomy Rules'!$C$42:$C$68,0)),""))</x:f>
      </x:c>
      <x:c r="T902" s="9" t="str">
        <x:f>IF(C902="","",IFERROR(INDEX('Taxonomy Rules'!$F$42:$F$68,MATCH(E902,'Taxonomy Rules'!$C$42:$C$68,0)),""))</x:f>
      </x:c>
      <x:c r="U902" s="9" t="str">
        <x:f>IF(C902="","",IFERROR(INDEX('Taxonomy'!$G$9:$G$108,MATCH(D902,'Taxonomy'!$C$9:$C$108,0)),""))</x:f>
      </x:c>
    </x:row>
    <x:row r="903" ht="44" customHeight="1">
      <x:c r="A903" s="1"/>
      <x:c r="B903" s="1"/>
      <x:c r="C903" s="8"/>
      <x:c r="D903" s="8"/>
      <x:c r="E903" s="8"/>
      <x:c r="F903" s="8"/>
      <x:c r="G903" s="8"/>
      <x:c r="H903" s="8"/>
      <x:c r="I903" s="8"/>
      <x:c r="J903" s="8"/>
      <x:c r="K903" s="8"/>
      <x:c r="L903" s="8"/>
      <x:c r="M903" s="10"/>
      <x:c r="N903" s="10"/>
      <x:c r="O903" s="8"/>
      <x:c r="P903" s="9" t="str">
        <x:f>IF(C903="","",IF(AND(G903="Applicable",H903="Fail"),"Fail",IF(R903&lt;&gt;"Valid","Pending",IF(OR(I903="",K903="",L903="",K903=L903,NOT(ISNUMBER(M903)),NOT(ISNUMBER(N903)),M903&gt;Settings!$F$8,N903&lt;Settings!$F$8,N903&lt;M903),"Pending",IF(AND(G903="Applicable",H903="Pass"),"Pass",IF(AND(G903="N/A",H903="N/A",J903&lt;&gt;"",OR(E903="CEM-FUELS",E903="CEM-CCS",AND(E903="CEM-PLAN",IFERROR(INDEX('Taxonomy'!$M$9:$M$108,MATCH(D903,'Taxonomy'!$C$9:$C$108,0)),"")&lt;&gt;"Amber"),E903="BLD-TIMBER",AND(U903="Building equipment",OR(E903="BLD-WATER",E903="BLD-WASTE",E903="BLD-LAND")),AND(U903="Building renovation",E903="BLD-LAND"))),"N/A","Pending"))))))</x:f>
      </x:c>
      <x:c r="Q903" s="3" t="str">
        <x:f>IF(C903="","",IF(AND(R903="Valid",OR(P903="Pass",P903="N/A")),"Complete","Unresolved"))</x:f>
      </x:c>
      <x:c r="R903" s="9" t="str">
        <x:f>IF(C903="","",IF(OR(COUNTIF($C$9:$C$2008,C903)&lt;&gt;1,COUNTIFS($D$9:$D$2008,D903,$E$9:$E$2008,E903)&lt;&gt;1),"Duplicate test",IF(COUNTIF('Taxonomy'!$C$9:$C$108,D903)&lt;&gt;1,"Assessment key",IF(OR(COUNTIF('Taxonomy Rules'!$C$42:$C$68,E903)&lt;&gt;1,F903&lt;&gt;IFERROR(INDEX('Taxonomy Rules'!$D$42:$D$68,MATCH(E903,'Taxonomy Rules'!$C$42:$C$68,0)),""),NOT(OR(IFERROR(INDEX('Taxonomy Rules'!$G$42:$G$68,MATCH(E903,'Taxonomy Rules'!$C$42:$C$68,0)),"")="All supported routes",IFERROR(INDEX('Taxonomy Rules'!$G$42:$G$68,MATCH(E903,'Taxonomy Rules'!$C$42:$C$68,0)),"")=U903,AND(IFERROR(INDEX('Taxonomy Rules'!$G$42:$G$68,MATCH(E903,'Taxonomy Rules'!$C$42:$C$68,0)),"")="Building routes",OR(U903="Building renovation",U903="New building",U903="Building equipment"))))),"Unexpected test","Valid"))))</x:f>
      </x:c>
      <x:c r="S903" s="9" t="str">
        <x:f>IF(C903="","",IFERROR(INDEX('Taxonomy Rules'!$E$42:$E$68,MATCH(E903,'Taxonomy Rules'!$C$42:$C$68,0)),""))</x:f>
      </x:c>
      <x:c r="T903" s="9" t="str">
        <x:f>IF(C903="","",IFERROR(INDEX('Taxonomy Rules'!$F$42:$F$68,MATCH(E903,'Taxonomy Rules'!$C$42:$C$68,0)),""))</x:f>
      </x:c>
      <x:c r="U903" s="9" t="str">
        <x:f>IF(C903="","",IFERROR(INDEX('Taxonomy'!$G$9:$G$108,MATCH(D903,'Taxonomy'!$C$9:$C$108,0)),""))</x:f>
      </x:c>
    </x:row>
    <x:row r="904" ht="44" customHeight="1">
      <x:c r="A904" s="1"/>
      <x:c r="B904" s="1"/>
      <x:c r="C904" s="8"/>
      <x:c r="D904" s="8"/>
      <x:c r="E904" s="8"/>
      <x:c r="F904" s="8"/>
      <x:c r="G904" s="8"/>
      <x:c r="H904" s="8"/>
      <x:c r="I904" s="8"/>
      <x:c r="J904" s="8"/>
      <x:c r="K904" s="8"/>
      <x:c r="L904" s="8"/>
      <x:c r="M904" s="10"/>
      <x:c r="N904" s="10"/>
      <x:c r="O904" s="8"/>
      <x:c r="P904" s="9" t="str">
        <x:f>IF(C904="","",IF(AND(G904="Applicable",H904="Fail"),"Fail",IF(R904&lt;&gt;"Valid","Pending",IF(OR(I904="",K904="",L904="",K904=L904,NOT(ISNUMBER(M904)),NOT(ISNUMBER(N904)),M904&gt;Settings!$F$8,N904&lt;Settings!$F$8,N904&lt;M904),"Pending",IF(AND(G904="Applicable",H904="Pass"),"Pass",IF(AND(G904="N/A",H904="N/A",J904&lt;&gt;"",OR(E904="CEM-FUELS",E904="CEM-CCS",AND(E904="CEM-PLAN",IFERROR(INDEX('Taxonomy'!$M$9:$M$108,MATCH(D904,'Taxonomy'!$C$9:$C$108,0)),"")&lt;&gt;"Amber"),E904="BLD-TIMBER",AND(U904="Building equipment",OR(E904="BLD-WATER",E904="BLD-WASTE",E904="BLD-LAND")),AND(U904="Building renovation",E904="BLD-LAND"))),"N/A","Pending"))))))</x:f>
      </x:c>
      <x:c r="Q904" s="3" t="str">
        <x:f>IF(C904="","",IF(AND(R904="Valid",OR(P904="Pass",P904="N/A")),"Complete","Unresolved"))</x:f>
      </x:c>
      <x:c r="R904" s="9" t="str">
        <x:f>IF(C904="","",IF(OR(COUNTIF($C$9:$C$2008,C904)&lt;&gt;1,COUNTIFS($D$9:$D$2008,D904,$E$9:$E$2008,E904)&lt;&gt;1),"Duplicate test",IF(COUNTIF('Taxonomy'!$C$9:$C$108,D904)&lt;&gt;1,"Assessment key",IF(OR(COUNTIF('Taxonomy Rules'!$C$42:$C$68,E904)&lt;&gt;1,F904&lt;&gt;IFERROR(INDEX('Taxonomy Rules'!$D$42:$D$68,MATCH(E904,'Taxonomy Rules'!$C$42:$C$68,0)),""),NOT(OR(IFERROR(INDEX('Taxonomy Rules'!$G$42:$G$68,MATCH(E904,'Taxonomy Rules'!$C$42:$C$68,0)),"")="All supported routes",IFERROR(INDEX('Taxonomy Rules'!$G$42:$G$68,MATCH(E904,'Taxonomy Rules'!$C$42:$C$68,0)),"")=U904,AND(IFERROR(INDEX('Taxonomy Rules'!$G$42:$G$68,MATCH(E904,'Taxonomy Rules'!$C$42:$C$68,0)),"")="Building routes",OR(U904="Building renovation",U904="New building",U904="Building equipment"))))),"Unexpected test","Valid"))))</x:f>
      </x:c>
      <x:c r="S904" s="9" t="str">
        <x:f>IF(C904="","",IFERROR(INDEX('Taxonomy Rules'!$E$42:$E$68,MATCH(E904,'Taxonomy Rules'!$C$42:$C$68,0)),""))</x:f>
      </x:c>
      <x:c r="T904" s="9" t="str">
        <x:f>IF(C904="","",IFERROR(INDEX('Taxonomy Rules'!$F$42:$F$68,MATCH(E904,'Taxonomy Rules'!$C$42:$C$68,0)),""))</x:f>
      </x:c>
      <x:c r="U904" s="9" t="str">
        <x:f>IF(C904="","",IFERROR(INDEX('Taxonomy'!$G$9:$G$108,MATCH(D904,'Taxonomy'!$C$9:$C$108,0)),""))</x:f>
      </x:c>
    </x:row>
    <x:row r="905" ht="44" customHeight="1">
      <x:c r="A905" s="1"/>
      <x:c r="B905" s="1"/>
      <x:c r="C905" s="8"/>
      <x:c r="D905" s="8"/>
      <x:c r="E905" s="8"/>
      <x:c r="F905" s="8"/>
      <x:c r="G905" s="8"/>
      <x:c r="H905" s="8"/>
      <x:c r="I905" s="8"/>
      <x:c r="J905" s="8"/>
      <x:c r="K905" s="8"/>
      <x:c r="L905" s="8"/>
      <x:c r="M905" s="10"/>
      <x:c r="N905" s="10"/>
      <x:c r="O905" s="8"/>
      <x:c r="P905" s="9" t="str">
        <x:f>IF(C905="","",IF(AND(G905="Applicable",H905="Fail"),"Fail",IF(R905&lt;&gt;"Valid","Pending",IF(OR(I905="",K905="",L905="",K905=L905,NOT(ISNUMBER(M905)),NOT(ISNUMBER(N905)),M905&gt;Settings!$F$8,N905&lt;Settings!$F$8,N905&lt;M905),"Pending",IF(AND(G905="Applicable",H905="Pass"),"Pass",IF(AND(G905="N/A",H905="N/A",J905&lt;&gt;"",OR(E905="CEM-FUELS",E905="CEM-CCS",AND(E905="CEM-PLAN",IFERROR(INDEX('Taxonomy'!$M$9:$M$108,MATCH(D905,'Taxonomy'!$C$9:$C$108,0)),"")&lt;&gt;"Amber"),E905="BLD-TIMBER",AND(U905="Building equipment",OR(E905="BLD-WATER",E905="BLD-WASTE",E905="BLD-LAND")),AND(U905="Building renovation",E905="BLD-LAND"))),"N/A","Pending"))))))</x:f>
      </x:c>
      <x:c r="Q905" s="3" t="str">
        <x:f>IF(C905="","",IF(AND(R905="Valid",OR(P905="Pass",P905="N/A")),"Complete","Unresolved"))</x:f>
      </x:c>
      <x:c r="R905" s="9" t="str">
        <x:f>IF(C905="","",IF(OR(COUNTIF($C$9:$C$2008,C905)&lt;&gt;1,COUNTIFS($D$9:$D$2008,D905,$E$9:$E$2008,E905)&lt;&gt;1),"Duplicate test",IF(COUNTIF('Taxonomy'!$C$9:$C$108,D905)&lt;&gt;1,"Assessment key",IF(OR(COUNTIF('Taxonomy Rules'!$C$42:$C$68,E905)&lt;&gt;1,F905&lt;&gt;IFERROR(INDEX('Taxonomy Rules'!$D$42:$D$68,MATCH(E905,'Taxonomy Rules'!$C$42:$C$68,0)),""),NOT(OR(IFERROR(INDEX('Taxonomy Rules'!$G$42:$G$68,MATCH(E905,'Taxonomy Rules'!$C$42:$C$68,0)),"")="All supported routes",IFERROR(INDEX('Taxonomy Rules'!$G$42:$G$68,MATCH(E905,'Taxonomy Rules'!$C$42:$C$68,0)),"")=U905,AND(IFERROR(INDEX('Taxonomy Rules'!$G$42:$G$68,MATCH(E905,'Taxonomy Rules'!$C$42:$C$68,0)),"")="Building routes",OR(U905="Building renovation",U905="New building",U905="Building equipment"))))),"Unexpected test","Valid"))))</x:f>
      </x:c>
      <x:c r="S905" s="9" t="str">
        <x:f>IF(C905="","",IFERROR(INDEX('Taxonomy Rules'!$E$42:$E$68,MATCH(E905,'Taxonomy Rules'!$C$42:$C$68,0)),""))</x:f>
      </x:c>
      <x:c r="T905" s="9" t="str">
        <x:f>IF(C905="","",IFERROR(INDEX('Taxonomy Rules'!$F$42:$F$68,MATCH(E905,'Taxonomy Rules'!$C$42:$C$68,0)),""))</x:f>
      </x:c>
      <x:c r="U905" s="9" t="str">
        <x:f>IF(C905="","",IFERROR(INDEX('Taxonomy'!$G$9:$G$108,MATCH(D905,'Taxonomy'!$C$9:$C$108,0)),""))</x:f>
      </x:c>
    </x:row>
    <x:row r="906" ht="44" customHeight="1">
      <x:c r="A906" s="1"/>
      <x:c r="B906" s="1"/>
      <x:c r="C906" s="8"/>
      <x:c r="D906" s="8"/>
      <x:c r="E906" s="8"/>
      <x:c r="F906" s="8"/>
      <x:c r="G906" s="8"/>
      <x:c r="H906" s="8"/>
      <x:c r="I906" s="8"/>
      <x:c r="J906" s="8"/>
      <x:c r="K906" s="8"/>
      <x:c r="L906" s="8"/>
      <x:c r="M906" s="10"/>
      <x:c r="N906" s="10"/>
      <x:c r="O906" s="8"/>
      <x:c r="P906" s="9" t="str">
        <x:f>IF(C906="","",IF(AND(G906="Applicable",H906="Fail"),"Fail",IF(R906&lt;&gt;"Valid","Pending",IF(OR(I906="",K906="",L906="",K906=L906,NOT(ISNUMBER(M906)),NOT(ISNUMBER(N906)),M906&gt;Settings!$F$8,N906&lt;Settings!$F$8,N906&lt;M906),"Pending",IF(AND(G906="Applicable",H906="Pass"),"Pass",IF(AND(G906="N/A",H906="N/A",J906&lt;&gt;"",OR(E906="CEM-FUELS",E906="CEM-CCS",AND(E906="CEM-PLAN",IFERROR(INDEX('Taxonomy'!$M$9:$M$108,MATCH(D906,'Taxonomy'!$C$9:$C$108,0)),"")&lt;&gt;"Amber"),E906="BLD-TIMBER",AND(U906="Building equipment",OR(E906="BLD-WATER",E906="BLD-WASTE",E906="BLD-LAND")),AND(U906="Building renovation",E906="BLD-LAND"))),"N/A","Pending"))))))</x:f>
      </x:c>
      <x:c r="Q906" s="3" t="str">
        <x:f>IF(C906="","",IF(AND(R906="Valid",OR(P906="Pass",P906="N/A")),"Complete","Unresolved"))</x:f>
      </x:c>
      <x:c r="R906" s="9" t="str">
        <x:f>IF(C906="","",IF(OR(COUNTIF($C$9:$C$2008,C906)&lt;&gt;1,COUNTIFS($D$9:$D$2008,D906,$E$9:$E$2008,E906)&lt;&gt;1),"Duplicate test",IF(COUNTIF('Taxonomy'!$C$9:$C$108,D906)&lt;&gt;1,"Assessment key",IF(OR(COUNTIF('Taxonomy Rules'!$C$42:$C$68,E906)&lt;&gt;1,F906&lt;&gt;IFERROR(INDEX('Taxonomy Rules'!$D$42:$D$68,MATCH(E906,'Taxonomy Rules'!$C$42:$C$68,0)),""),NOT(OR(IFERROR(INDEX('Taxonomy Rules'!$G$42:$G$68,MATCH(E906,'Taxonomy Rules'!$C$42:$C$68,0)),"")="All supported routes",IFERROR(INDEX('Taxonomy Rules'!$G$42:$G$68,MATCH(E906,'Taxonomy Rules'!$C$42:$C$68,0)),"")=U906,AND(IFERROR(INDEX('Taxonomy Rules'!$G$42:$G$68,MATCH(E906,'Taxonomy Rules'!$C$42:$C$68,0)),"")="Building routes",OR(U906="Building renovation",U906="New building",U906="Building equipment"))))),"Unexpected test","Valid"))))</x:f>
      </x:c>
      <x:c r="S906" s="9" t="str">
        <x:f>IF(C906="","",IFERROR(INDEX('Taxonomy Rules'!$E$42:$E$68,MATCH(E906,'Taxonomy Rules'!$C$42:$C$68,0)),""))</x:f>
      </x:c>
      <x:c r="T906" s="9" t="str">
        <x:f>IF(C906="","",IFERROR(INDEX('Taxonomy Rules'!$F$42:$F$68,MATCH(E906,'Taxonomy Rules'!$C$42:$C$68,0)),""))</x:f>
      </x:c>
      <x:c r="U906" s="9" t="str">
        <x:f>IF(C906="","",IFERROR(INDEX('Taxonomy'!$G$9:$G$108,MATCH(D906,'Taxonomy'!$C$9:$C$108,0)),""))</x:f>
      </x:c>
    </x:row>
    <x:row r="907" ht="44" customHeight="1">
      <x:c r="A907" s="1"/>
      <x:c r="B907" s="1"/>
      <x:c r="C907" s="8"/>
      <x:c r="D907" s="8"/>
      <x:c r="E907" s="8"/>
      <x:c r="F907" s="8"/>
      <x:c r="G907" s="8"/>
      <x:c r="H907" s="8"/>
      <x:c r="I907" s="8"/>
      <x:c r="J907" s="8"/>
      <x:c r="K907" s="8"/>
      <x:c r="L907" s="8"/>
      <x:c r="M907" s="10"/>
      <x:c r="N907" s="10"/>
      <x:c r="O907" s="8"/>
      <x:c r="P907" s="9" t="str">
        <x:f>IF(C907="","",IF(AND(G907="Applicable",H907="Fail"),"Fail",IF(R907&lt;&gt;"Valid","Pending",IF(OR(I907="",K907="",L907="",K907=L907,NOT(ISNUMBER(M907)),NOT(ISNUMBER(N907)),M907&gt;Settings!$F$8,N907&lt;Settings!$F$8,N907&lt;M907),"Pending",IF(AND(G907="Applicable",H907="Pass"),"Pass",IF(AND(G907="N/A",H907="N/A",J907&lt;&gt;"",OR(E907="CEM-FUELS",E907="CEM-CCS",AND(E907="CEM-PLAN",IFERROR(INDEX('Taxonomy'!$M$9:$M$108,MATCH(D907,'Taxonomy'!$C$9:$C$108,0)),"")&lt;&gt;"Amber"),E907="BLD-TIMBER",AND(U907="Building equipment",OR(E907="BLD-WATER",E907="BLD-WASTE",E907="BLD-LAND")),AND(U907="Building renovation",E907="BLD-LAND"))),"N/A","Pending"))))))</x:f>
      </x:c>
      <x:c r="Q907" s="3" t="str">
        <x:f>IF(C907="","",IF(AND(R907="Valid",OR(P907="Pass",P907="N/A")),"Complete","Unresolved"))</x:f>
      </x:c>
      <x:c r="R907" s="9" t="str">
        <x:f>IF(C907="","",IF(OR(COUNTIF($C$9:$C$2008,C907)&lt;&gt;1,COUNTIFS($D$9:$D$2008,D907,$E$9:$E$2008,E907)&lt;&gt;1),"Duplicate test",IF(COUNTIF('Taxonomy'!$C$9:$C$108,D907)&lt;&gt;1,"Assessment key",IF(OR(COUNTIF('Taxonomy Rules'!$C$42:$C$68,E907)&lt;&gt;1,F907&lt;&gt;IFERROR(INDEX('Taxonomy Rules'!$D$42:$D$68,MATCH(E907,'Taxonomy Rules'!$C$42:$C$68,0)),""),NOT(OR(IFERROR(INDEX('Taxonomy Rules'!$G$42:$G$68,MATCH(E907,'Taxonomy Rules'!$C$42:$C$68,0)),"")="All supported routes",IFERROR(INDEX('Taxonomy Rules'!$G$42:$G$68,MATCH(E907,'Taxonomy Rules'!$C$42:$C$68,0)),"")=U907,AND(IFERROR(INDEX('Taxonomy Rules'!$G$42:$G$68,MATCH(E907,'Taxonomy Rules'!$C$42:$C$68,0)),"")="Building routes",OR(U907="Building renovation",U907="New building",U907="Building equipment"))))),"Unexpected test","Valid"))))</x:f>
      </x:c>
      <x:c r="S907" s="9" t="str">
        <x:f>IF(C907="","",IFERROR(INDEX('Taxonomy Rules'!$E$42:$E$68,MATCH(E907,'Taxonomy Rules'!$C$42:$C$68,0)),""))</x:f>
      </x:c>
      <x:c r="T907" s="9" t="str">
        <x:f>IF(C907="","",IFERROR(INDEX('Taxonomy Rules'!$F$42:$F$68,MATCH(E907,'Taxonomy Rules'!$C$42:$C$68,0)),""))</x:f>
      </x:c>
      <x:c r="U907" s="9" t="str">
        <x:f>IF(C907="","",IFERROR(INDEX('Taxonomy'!$G$9:$G$108,MATCH(D907,'Taxonomy'!$C$9:$C$108,0)),""))</x:f>
      </x:c>
    </x:row>
    <x:row r="908" ht="44" customHeight="1">
      <x:c r="A908" s="1"/>
      <x:c r="B908" s="1"/>
      <x:c r="C908" s="8"/>
      <x:c r="D908" s="8"/>
      <x:c r="E908" s="8"/>
      <x:c r="F908" s="8"/>
      <x:c r="G908" s="8"/>
      <x:c r="H908" s="8"/>
      <x:c r="I908" s="8"/>
      <x:c r="J908" s="8"/>
      <x:c r="K908" s="8"/>
      <x:c r="L908" s="8"/>
      <x:c r="M908" s="10"/>
      <x:c r="N908" s="10"/>
      <x:c r="O908" s="8"/>
      <x:c r="P908" s="9" t="str">
        <x:f>IF(C908="","",IF(AND(G908="Applicable",H908="Fail"),"Fail",IF(R908&lt;&gt;"Valid","Pending",IF(OR(I908="",K908="",L908="",K908=L908,NOT(ISNUMBER(M908)),NOT(ISNUMBER(N908)),M908&gt;Settings!$F$8,N908&lt;Settings!$F$8,N908&lt;M908),"Pending",IF(AND(G908="Applicable",H908="Pass"),"Pass",IF(AND(G908="N/A",H908="N/A",J908&lt;&gt;"",OR(E908="CEM-FUELS",E908="CEM-CCS",AND(E908="CEM-PLAN",IFERROR(INDEX('Taxonomy'!$M$9:$M$108,MATCH(D908,'Taxonomy'!$C$9:$C$108,0)),"")&lt;&gt;"Amber"),E908="BLD-TIMBER",AND(U908="Building equipment",OR(E908="BLD-WATER",E908="BLD-WASTE",E908="BLD-LAND")),AND(U908="Building renovation",E908="BLD-LAND"))),"N/A","Pending"))))))</x:f>
      </x:c>
      <x:c r="Q908" s="3" t="str">
        <x:f>IF(C908="","",IF(AND(R908="Valid",OR(P908="Pass",P908="N/A")),"Complete","Unresolved"))</x:f>
      </x:c>
      <x:c r="R908" s="9" t="str">
        <x:f>IF(C908="","",IF(OR(COUNTIF($C$9:$C$2008,C908)&lt;&gt;1,COUNTIFS($D$9:$D$2008,D908,$E$9:$E$2008,E908)&lt;&gt;1),"Duplicate test",IF(COUNTIF('Taxonomy'!$C$9:$C$108,D908)&lt;&gt;1,"Assessment key",IF(OR(COUNTIF('Taxonomy Rules'!$C$42:$C$68,E908)&lt;&gt;1,F908&lt;&gt;IFERROR(INDEX('Taxonomy Rules'!$D$42:$D$68,MATCH(E908,'Taxonomy Rules'!$C$42:$C$68,0)),""),NOT(OR(IFERROR(INDEX('Taxonomy Rules'!$G$42:$G$68,MATCH(E908,'Taxonomy Rules'!$C$42:$C$68,0)),"")="All supported routes",IFERROR(INDEX('Taxonomy Rules'!$G$42:$G$68,MATCH(E908,'Taxonomy Rules'!$C$42:$C$68,0)),"")=U908,AND(IFERROR(INDEX('Taxonomy Rules'!$G$42:$G$68,MATCH(E908,'Taxonomy Rules'!$C$42:$C$68,0)),"")="Building routes",OR(U908="Building renovation",U908="New building",U908="Building equipment"))))),"Unexpected test","Valid"))))</x:f>
      </x:c>
      <x:c r="S908" s="9" t="str">
        <x:f>IF(C908="","",IFERROR(INDEX('Taxonomy Rules'!$E$42:$E$68,MATCH(E908,'Taxonomy Rules'!$C$42:$C$68,0)),""))</x:f>
      </x:c>
      <x:c r="T908" s="9" t="str">
        <x:f>IF(C908="","",IFERROR(INDEX('Taxonomy Rules'!$F$42:$F$68,MATCH(E908,'Taxonomy Rules'!$C$42:$C$68,0)),""))</x:f>
      </x:c>
      <x:c r="U908" s="9" t="str">
        <x:f>IF(C908="","",IFERROR(INDEX('Taxonomy'!$G$9:$G$108,MATCH(D908,'Taxonomy'!$C$9:$C$108,0)),""))</x:f>
      </x:c>
    </x:row>
    <x:row r="909" ht="44" customHeight="1">
      <x:c r="A909" s="1"/>
      <x:c r="B909" s="1"/>
      <x:c r="C909" s="8"/>
      <x:c r="D909" s="8"/>
      <x:c r="E909" s="8"/>
      <x:c r="F909" s="8"/>
      <x:c r="G909" s="8"/>
      <x:c r="H909" s="8"/>
      <x:c r="I909" s="8"/>
      <x:c r="J909" s="8"/>
      <x:c r="K909" s="8"/>
      <x:c r="L909" s="8"/>
      <x:c r="M909" s="10"/>
      <x:c r="N909" s="10"/>
      <x:c r="O909" s="8"/>
      <x:c r="P909" s="9" t="str">
        <x:f>IF(C909="","",IF(AND(G909="Applicable",H909="Fail"),"Fail",IF(R909&lt;&gt;"Valid","Pending",IF(OR(I909="",K909="",L909="",K909=L909,NOT(ISNUMBER(M909)),NOT(ISNUMBER(N909)),M909&gt;Settings!$F$8,N909&lt;Settings!$F$8,N909&lt;M909),"Pending",IF(AND(G909="Applicable",H909="Pass"),"Pass",IF(AND(G909="N/A",H909="N/A",J909&lt;&gt;"",OR(E909="CEM-FUELS",E909="CEM-CCS",AND(E909="CEM-PLAN",IFERROR(INDEX('Taxonomy'!$M$9:$M$108,MATCH(D909,'Taxonomy'!$C$9:$C$108,0)),"")&lt;&gt;"Amber"),E909="BLD-TIMBER",AND(U909="Building equipment",OR(E909="BLD-WATER",E909="BLD-WASTE",E909="BLD-LAND")),AND(U909="Building renovation",E909="BLD-LAND"))),"N/A","Pending"))))))</x:f>
      </x:c>
      <x:c r="Q909" s="3" t="str">
        <x:f>IF(C909="","",IF(AND(R909="Valid",OR(P909="Pass",P909="N/A")),"Complete","Unresolved"))</x:f>
      </x:c>
      <x:c r="R909" s="9" t="str">
        <x:f>IF(C909="","",IF(OR(COUNTIF($C$9:$C$2008,C909)&lt;&gt;1,COUNTIFS($D$9:$D$2008,D909,$E$9:$E$2008,E909)&lt;&gt;1),"Duplicate test",IF(COUNTIF('Taxonomy'!$C$9:$C$108,D909)&lt;&gt;1,"Assessment key",IF(OR(COUNTIF('Taxonomy Rules'!$C$42:$C$68,E909)&lt;&gt;1,F909&lt;&gt;IFERROR(INDEX('Taxonomy Rules'!$D$42:$D$68,MATCH(E909,'Taxonomy Rules'!$C$42:$C$68,0)),""),NOT(OR(IFERROR(INDEX('Taxonomy Rules'!$G$42:$G$68,MATCH(E909,'Taxonomy Rules'!$C$42:$C$68,0)),"")="All supported routes",IFERROR(INDEX('Taxonomy Rules'!$G$42:$G$68,MATCH(E909,'Taxonomy Rules'!$C$42:$C$68,0)),"")=U909,AND(IFERROR(INDEX('Taxonomy Rules'!$G$42:$G$68,MATCH(E909,'Taxonomy Rules'!$C$42:$C$68,0)),"")="Building routes",OR(U909="Building renovation",U909="New building",U909="Building equipment"))))),"Unexpected test","Valid"))))</x:f>
      </x:c>
      <x:c r="S909" s="9" t="str">
        <x:f>IF(C909="","",IFERROR(INDEX('Taxonomy Rules'!$E$42:$E$68,MATCH(E909,'Taxonomy Rules'!$C$42:$C$68,0)),""))</x:f>
      </x:c>
      <x:c r="T909" s="9" t="str">
        <x:f>IF(C909="","",IFERROR(INDEX('Taxonomy Rules'!$F$42:$F$68,MATCH(E909,'Taxonomy Rules'!$C$42:$C$68,0)),""))</x:f>
      </x:c>
      <x:c r="U909" s="9" t="str">
        <x:f>IF(C909="","",IFERROR(INDEX('Taxonomy'!$G$9:$G$108,MATCH(D909,'Taxonomy'!$C$9:$C$108,0)),""))</x:f>
      </x:c>
    </x:row>
    <x:row r="910" ht="44" customHeight="1">
      <x:c r="A910" s="1"/>
      <x:c r="B910" s="1"/>
      <x:c r="C910" s="8"/>
      <x:c r="D910" s="8"/>
      <x:c r="E910" s="8"/>
      <x:c r="F910" s="8"/>
      <x:c r="G910" s="8"/>
      <x:c r="H910" s="8"/>
      <x:c r="I910" s="8"/>
      <x:c r="J910" s="8"/>
      <x:c r="K910" s="8"/>
      <x:c r="L910" s="8"/>
      <x:c r="M910" s="10"/>
      <x:c r="N910" s="10"/>
      <x:c r="O910" s="8"/>
      <x:c r="P910" s="9" t="str">
        <x:f>IF(C910="","",IF(AND(G910="Applicable",H910="Fail"),"Fail",IF(R910&lt;&gt;"Valid","Pending",IF(OR(I910="",K910="",L910="",K910=L910,NOT(ISNUMBER(M910)),NOT(ISNUMBER(N910)),M910&gt;Settings!$F$8,N910&lt;Settings!$F$8,N910&lt;M910),"Pending",IF(AND(G910="Applicable",H910="Pass"),"Pass",IF(AND(G910="N/A",H910="N/A",J910&lt;&gt;"",OR(E910="CEM-FUELS",E910="CEM-CCS",AND(E910="CEM-PLAN",IFERROR(INDEX('Taxonomy'!$M$9:$M$108,MATCH(D910,'Taxonomy'!$C$9:$C$108,0)),"")&lt;&gt;"Amber"),E910="BLD-TIMBER",AND(U910="Building equipment",OR(E910="BLD-WATER",E910="BLD-WASTE",E910="BLD-LAND")),AND(U910="Building renovation",E910="BLD-LAND"))),"N/A","Pending"))))))</x:f>
      </x:c>
      <x:c r="Q910" s="3" t="str">
        <x:f>IF(C910="","",IF(AND(R910="Valid",OR(P910="Pass",P910="N/A")),"Complete","Unresolved"))</x:f>
      </x:c>
      <x:c r="R910" s="9" t="str">
        <x:f>IF(C910="","",IF(OR(COUNTIF($C$9:$C$2008,C910)&lt;&gt;1,COUNTIFS($D$9:$D$2008,D910,$E$9:$E$2008,E910)&lt;&gt;1),"Duplicate test",IF(COUNTIF('Taxonomy'!$C$9:$C$108,D910)&lt;&gt;1,"Assessment key",IF(OR(COUNTIF('Taxonomy Rules'!$C$42:$C$68,E910)&lt;&gt;1,F910&lt;&gt;IFERROR(INDEX('Taxonomy Rules'!$D$42:$D$68,MATCH(E910,'Taxonomy Rules'!$C$42:$C$68,0)),""),NOT(OR(IFERROR(INDEX('Taxonomy Rules'!$G$42:$G$68,MATCH(E910,'Taxonomy Rules'!$C$42:$C$68,0)),"")="All supported routes",IFERROR(INDEX('Taxonomy Rules'!$G$42:$G$68,MATCH(E910,'Taxonomy Rules'!$C$42:$C$68,0)),"")=U910,AND(IFERROR(INDEX('Taxonomy Rules'!$G$42:$G$68,MATCH(E910,'Taxonomy Rules'!$C$42:$C$68,0)),"")="Building routes",OR(U910="Building renovation",U910="New building",U910="Building equipment"))))),"Unexpected test","Valid"))))</x:f>
      </x:c>
      <x:c r="S910" s="9" t="str">
        <x:f>IF(C910="","",IFERROR(INDEX('Taxonomy Rules'!$E$42:$E$68,MATCH(E910,'Taxonomy Rules'!$C$42:$C$68,0)),""))</x:f>
      </x:c>
      <x:c r="T910" s="9" t="str">
        <x:f>IF(C910="","",IFERROR(INDEX('Taxonomy Rules'!$F$42:$F$68,MATCH(E910,'Taxonomy Rules'!$C$42:$C$68,0)),""))</x:f>
      </x:c>
      <x:c r="U910" s="9" t="str">
        <x:f>IF(C910="","",IFERROR(INDEX('Taxonomy'!$G$9:$G$108,MATCH(D910,'Taxonomy'!$C$9:$C$108,0)),""))</x:f>
      </x:c>
    </x:row>
    <x:row r="911" ht="44" customHeight="1">
      <x:c r="A911" s="1"/>
      <x:c r="B911" s="1"/>
      <x:c r="C911" s="8"/>
      <x:c r="D911" s="8"/>
      <x:c r="E911" s="8"/>
      <x:c r="F911" s="8"/>
      <x:c r="G911" s="8"/>
      <x:c r="H911" s="8"/>
      <x:c r="I911" s="8"/>
      <x:c r="J911" s="8"/>
      <x:c r="K911" s="8"/>
      <x:c r="L911" s="8"/>
      <x:c r="M911" s="10"/>
      <x:c r="N911" s="10"/>
      <x:c r="O911" s="8"/>
      <x:c r="P911" s="9" t="str">
        <x:f>IF(C911="","",IF(AND(G911="Applicable",H911="Fail"),"Fail",IF(R911&lt;&gt;"Valid","Pending",IF(OR(I911="",K911="",L911="",K911=L911,NOT(ISNUMBER(M911)),NOT(ISNUMBER(N911)),M911&gt;Settings!$F$8,N911&lt;Settings!$F$8,N911&lt;M911),"Pending",IF(AND(G911="Applicable",H911="Pass"),"Pass",IF(AND(G911="N/A",H911="N/A",J911&lt;&gt;"",OR(E911="CEM-FUELS",E911="CEM-CCS",AND(E911="CEM-PLAN",IFERROR(INDEX('Taxonomy'!$M$9:$M$108,MATCH(D911,'Taxonomy'!$C$9:$C$108,0)),"")&lt;&gt;"Amber"),E911="BLD-TIMBER",AND(U911="Building equipment",OR(E911="BLD-WATER",E911="BLD-WASTE",E911="BLD-LAND")),AND(U911="Building renovation",E911="BLD-LAND"))),"N/A","Pending"))))))</x:f>
      </x:c>
      <x:c r="Q911" s="3" t="str">
        <x:f>IF(C911="","",IF(AND(R911="Valid",OR(P911="Pass",P911="N/A")),"Complete","Unresolved"))</x:f>
      </x:c>
      <x:c r="R911" s="9" t="str">
        <x:f>IF(C911="","",IF(OR(COUNTIF($C$9:$C$2008,C911)&lt;&gt;1,COUNTIFS($D$9:$D$2008,D911,$E$9:$E$2008,E911)&lt;&gt;1),"Duplicate test",IF(COUNTIF('Taxonomy'!$C$9:$C$108,D911)&lt;&gt;1,"Assessment key",IF(OR(COUNTIF('Taxonomy Rules'!$C$42:$C$68,E911)&lt;&gt;1,F911&lt;&gt;IFERROR(INDEX('Taxonomy Rules'!$D$42:$D$68,MATCH(E911,'Taxonomy Rules'!$C$42:$C$68,0)),""),NOT(OR(IFERROR(INDEX('Taxonomy Rules'!$G$42:$G$68,MATCH(E911,'Taxonomy Rules'!$C$42:$C$68,0)),"")="All supported routes",IFERROR(INDEX('Taxonomy Rules'!$G$42:$G$68,MATCH(E911,'Taxonomy Rules'!$C$42:$C$68,0)),"")=U911,AND(IFERROR(INDEX('Taxonomy Rules'!$G$42:$G$68,MATCH(E911,'Taxonomy Rules'!$C$42:$C$68,0)),"")="Building routes",OR(U911="Building renovation",U911="New building",U911="Building equipment"))))),"Unexpected test","Valid"))))</x:f>
      </x:c>
      <x:c r="S911" s="9" t="str">
        <x:f>IF(C911="","",IFERROR(INDEX('Taxonomy Rules'!$E$42:$E$68,MATCH(E911,'Taxonomy Rules'!$C$42:$C$68,0)),""))</x:f>
      </x:c>
      <x:c r="T911" s="9" t="str">
        <x:f>IF(C911="","",IFERROR(INDEX('Taxonomy Rules'!$F$42:$F$68,MATCH(E911,'Taxonomy Rules'!$C$42:$C$68,0)),""))</x:f>
      </x:c>
      <x:c r="U911" s="9" t="str">
        <x:f>IF(C911="","",IFERROR(INDEX('Taxonomy'!$G$9:$G$108,MATCH(D911,'Taxonomy'!$C$9:$C$108,0)),""))</x:f>
      </x:c>
    </x:row>
    <x:row r="912" ht="44" customHeight="1">
      <x:c r="A912" s="1"/>
      <x:c r="B912" s="1"/>
      <x:c r="C912" s="8"/>
      <x:c r="D912" s="8"/>
      <x:c r="E912" s="8"/>
      <x:c r="F912" s="8"/>
      <x:c r="G912" s="8"/>
      <x:c r="H912" s="8"/>
      <x:c r="I912" s="8"/>
      <x:c r="J912" s="8"/>
      <x:c r="K912" s="8"/>
      <x:c r="L912" s="8"/>
      <x:c r="M912" s="10"/>
      <x:c r="N912" s="10"/>
      <x:c r="O912" s="8"/>
      <x:c r="P912" s="9" t="str">
        <x:f>IF(C912="","",IF(AND(G912="Applicable",H912="Fail"),"Fail",IF(R912&lt;&gt;"Valid","Pending",IF(OR(I912="",K912="",L912="",K912=L912,NOT(ISNUMBER(M912)),NOT(ISNUMBER(N912)),M912&gt;Settings!$F$8,N912&lt;Settings!$F$8,N912&lt;M912),"Pending",IF(AND(G912="Applicable",H912="Pass"),"Pass",IF(AND(G912="N/A",H912="N/A",J912&lt;&gt;"",OR(E912="CEM-FUELS",E912="CEM-CCS",AND(E912="CEM-PLAN",IFERROR(INDEX('Taxonomy'!$M$9:$M$108,MATCH(D912,'Taxonomy'!$C$9:$C$108,0)),"")&lt;&gt;"Amber"),E912="BLD-TIMBER",AND(U912="Building equipment",OR(E912="BLD-WATER",E912="BLD-WASTE",E912="BLD-LAND")),AND(U912="Building renovation",E912="BLD-LAND"))),"N/A","Pending"))))))</x:f>
      </x:c>
      <x:c r="Q912" s="3" t="str">
        <x:f>IF(C912="","",IF(AND(R912="Valid",OR(P912="Pass",P912="N/A")),"Complete","Unresolved"))</x:f>
      </x:c>
      <x:c r="R912" s="9" t="str">
        <x:f>IF(C912="","",IF(OR(COUNTIF($C$9:$C$2008,C912)&lt;&gt;1,COUNTIFS($D$9:$D$2008,D912,$E$9:$E$2008,E912)&lt;&gt;1),"Duplicate test",IF(COUNTIF('Taxonomy'!$C$9:$C$108,D912)&lt;&gt;1,"Assessment key",IF(OR(COUNTIF('Taxonomy Rules'!$C$42:$C$68,E912)&lt;&gt;1,F912&lt;&gt;IFERROR(INDEX('Taxonomy Rules'!$D$42:$D$68,MATCH(E912,'Taxonomy Rules'!$C$42:$C$68,0)),""),NOT(OR(IFERROR(INDEX('Taxonomy Rules'!$G$42:$G$68,MATCH(E912,'Taxonomy Rules'!$C$42:$C$68,0)),"")="All supported routes",IFERROR(INDEX('Taxonomy Rules'!$G$42:$G$68,MATCH(E912,'Taxonomy Rules'!$C$42:$C$68,0)),"")=U912,AND(IFERROR(INDEX('Taxonomy Rules'!$G$42:$G$68,MATCH(E912,'Taxonomy Rules'!$C$42:$C$68,0)),"")="Building routes",OR(U912="Building renovation",U912="New building",U912="Building equipment"))))),"Unexpected test","Valid"))))</x:f>
      </x:c>
      <x:c r="S912" s="9" t="str">
        <x:f>IF(C912="","",IFERROR(INDEX('Taxonomy Rules'!$E$42:$E$68,MATCH(E912,'Taxonomy Rules'!$C$42:$C$68,0)),""))</x:f>
      </x:c>
      <x:c r="T912" s="9" t="str">
        <x:f>IF(C912="","",IFERROR(INDEX('Taxonomy Rules'!$F$42:$F$68,MATCH(E912,'Taxonomy Rules'!$C$42:$C$68,0)),""))</x:f>
      </x:c>
      <x:c r="U912" s="9" t="str">
        <x:f>IF(C912="","",IFERROR(INDEX('Taxonomy'!$G$9:$G$108,MATCH(D912,'Taxonomy'!$C$9:$C$108,0)),""))</x:f>
      </x:c>
    </x:row>
    <x:row r="913" ht="44" customHeight="1">
      <x:c r="A913" s="1"/>
      <x:c r="B913" s="1"/>
      <x:c r="C913" s="8"/>
      <x:c r="D913" s="8"/>
      <x:c r="E913" s="8"/>
      <x:c r="F913" s="8"/>
      <x:c r="G913" s="8"/>
      <x:c r="H913" s="8"/>
      <x:c r="I913" s="8"/>
      <x:c r="J913" s="8"/>
      <x:c r="K913" s="8"/>
      <x:c r="L913" s="8"/>
      <x:c r="M913" s="10"/>
      <x:c r="N913" s="10"/>
      <x:c r="O913" s="8"/>
      <x:c r="P913" s="9" t="str">
        <x:f>IF(C913="","",IF(AND(G913="Applicable",H913="Fail"),"Fail",IF(R913&lt;&gt;"Valid","Pending",IF(OR(I913="",K913="",L913="",K913=L913,NOT(ISNUMBER(M913)),NOT(ISNUMBER(N913)),M913&gt;Settings!$F$8,N913&lt;Settings!$F$8,N913&lt;M913),"Pending",IF(AND(G913="Applicable",H913="Pass"),"Pass",IF(AND(G913="N/A",H913="N/A",J913&lt;&gt;"",OR(E913="CEM-FUELS",E913="CEM-CCS",AND(E913="CEM-PLAN",IFERROR(INDEX('Taxonomy'!$M$9:$M$108,MATCH(D913,'Taxonomy'!$C$9:$C$108,0)),"")&lt;&gt;"Amber"),E913="BLD-TIMBER",AND(U913="Building equipment",OR(E913="BLD-WATER",E913="BLD-WASTE",E913="BLD-LAND")),AND(U913="Building renovation",E913="BLD-LAND"))),"N/A","Pending"))))))</x:f>
      </x:c>
      <x:c r="Q913" s="3" t="str">
        <x:f>IF(C913="","",IF(AND(R913="Valid",OR(P913="Pass",P913="N/A")),"Complete","Unresolved"))</x:f>
      </x:c>
      <x:c r="R913" s="9" t="str">
        <x:f>IF(C913="","",IF(OR(COUNTIF($C$9:$C$2008,C913)&lt;&gt;1,COUNTIFS($D$9:$D$2008,D913,$E$9:$E$2008,E913)&lt;&gt;1),"Duplicate test",IF(COUNTIF('Taxonomy'!$C$9:$C$108,D913)&lt;&gt;1,"Assessment key",IF(OR(COUNTIF('Taxonomy Rules'!$C$42:$C$68,E913)&lt;&gt;1,F913&lt;&gt;IFERROR(INDEX('Taxonomy Rules'!$D$42:$D$68,MATCH(E913,'Taxonomy Rules'!$C$42:$C$68,0)),""),NOT(OR(IFERROR(INDEX('Taxonomy Rules'!$G$42:$G$68,MATCH(E913,'Taxonomy Rules'!$C$42:$C$68,0)),"")="All supported routes",IFERROR(INDEX('Taxonomy Rules'!$G$42:$G$68,MATCH(E913,'Taxonomy Rules'!$C$42:$C$68,0)),"")=U913,AND(IFERROR(INDEX('Taxonomy Rules'!$G$42:$G$68,MATCH(E913,'Taxonomy Rules'!$C$42:$C$68,0)),"")="Building routes",OR(U913="Building renovation",U913="New building",U913="Building equipment"))))),"Unexpected test","Valid"))))</x:f>
      </x:c>
      <x:c r="S913" s="9" t="str">
        <x:f>IF(C913="","",IFERROR(INDEX('Taxonomy Rules'!$E$42:$E$68,MATCH(E913,'Taxonomy Rules'!$C$42:$C$68,0)),""))</x:f>
      </x:c>
      <x:c r="T913" s="9" t="str">
        <x:f>IF(C913="","",IFERROR(INDEX('Taxonomy Rules'!$F$42:$F$68,MATCH(E913,'Taxonomy Rules'!$C$42:$C$68,0)),""))</x:f>
      </x:c>
      <x:c r="U913" s="9" t="str">
        <x:f>IF(C913="","",IFERROR(INDEX('Taxonomy'!$G$9:$G$108,MATCH(D913,'Taxonomy'!$C$9:$C$108,0)),""))</x:f>
      </x:c>
    </x:row>
    <x:row r="914" ht="44" customHeight="1">
      <x:c r="A914" s="1"/>
      <x:c r="B914" s="1"/>
      <x:c r="C914" s="8"/>
      <x:c r="D914" s="8"/>
      <x:c r="E914" s="8"/>
      <x:c r="F914" s="8"/>
      <x:c r="G914" s="8"/>
      <x:c r="H914" s="8"/>
      <x:c r="I914" s="8"/>
      <x:c r="J914" s="8"/>
      <x:c r="K914" s="8"/>
      <x:c r="L914" s="8"/>
      <x:c r="M914" s="10"/>
      <x:c r="N914" s="10"/>
      <x:c r="O914" s="8"/>
      <x:c r="P914" s="9" t="str">
        <x:f>IF(C914="","",IF(AND(G914="Applicable",H914="Fail"),"Fail",IF(R914&lt;&gt;"Valid","Pending",IF(OR(I914="",K914="",L914="",K914=L914,NOT(ISNUMBER(M914)),NOT(ISNUMBER(N914)),M914&gt;Settings!$F$8,N914&lt;Settings!$F$8,N914&lt;M914),"Pending",IF(AND(G914="Applicable",H914="Pass"),"Pass",IF(AND(G914="N/A",H914="N/A",J914&lt;&gt;"",OR(E914="CEM-FUELS",E914="CEM-CCS",AND(E914="CEM-PLAN",IFERROR(INDEX('Taxonomy'!$M$9:$M$108,MATCH(D914,'Taxonomy'!$C$9:$C$108,0)),"")&lt;&gt;"Amber"),E914="BLD-TIMBER",AND(U914="Building equipment",OR(E914="BLD-WATER",E914="BLD-WASTE",E914="BLD-LAND")),AND(U914="Building renovation",E914="BLD-LAND"))),"N/A","Pending"))))))</x:f>
      </x:c>
      <x:c r="Q914" s="3" t="str">
        <x:f>IF(C914="","",IF(AND(R914="Valid",OR(P914="Pass",P914="N/A")),"Complete","Unresolved"))</x:f>
      </x:c>
      <x:c r="R914" s="9" t="str">
        <x:f>IF(C914="","",IF(OR(COUNTIF($C$9:$C$2008,C914)&lt;&gt;1,COUNTIFS($D$9:$D$2008,D914,$E$9:$E$2008,E914)&lt;&gt;1),"Duplicate test",IF(COUNTIF('Taxonomy'!$C$9:$C$108,D914)&lt;&gt;1,"Assessment key",IF(OR(COUNTIF('Taxonomy Rules'!$C$42:$C$68,E914)&lt;&gt;1,F914&lt;&gt;IFERROR(INDEX('Taxonomy Rules'!$D$42:$D$68,MATCH(E914,'Taxonomy Rules'!$C$42:$C$68,0)),""),NOT(OR(IFERROR(INDEX('Taxonomy Rules'!$G$42:$G$68,MATCH(E914,'Taxonomy Rules'!$C$42:$C$68,0)),"")="All supported routes",IFERROR(INDEX('Taxonomy Rules'!$G$42:$G$68,MATCH(E914,'Taxonomy Rules'!$C$42:$C$68,0)),"")=U914,AND(IFERROR(INDEX('Taxonomy Rules'!$G$42:$G$68,MATCH(E914,'Taxonomy Rules'!$C$42:$C$68,0)),"")="Building routes",OR(U914="Building renovation",U914="New building",U914="Building equipment"))))),"Unexpected test","Valid"))))</x:f>
      </x:c>
      <x:c r="S914" s="9" t="str">
        <x:f>IF(C914="","",IFERROR(INDEX('Taxonomy Rules'!$E$42:$E$68,MATCH(E914,'Taxonomy Rules'!$C$42:$C$68,0)),""))</x:f>
      </x:c>
      <x:c r="T914" s="9" t="str">
        <x:f>IF(C914="","",IFERROR(INDEX('Taxonomy Rules'!$F$42:$F$68,MATCH(E914,'Taxonomy Rules'!$C$42:$C$68,0)),""))</x:f>
      </x:c>
      <x:c r="U914" s="9" t="str">
        <x:f>IF(C914="","",IFERROR(INDEX('Taxonomy'!$G$9:$G$108,MATCH(D914,'Taxonomy'!$C$9:$C$108,0)),""))</x:f>
      </x:c>
    </x:row>
    <x:row r="915" ht="44" customHeight="1">
      <x:c r="A915" s="1"/>
      <x:c r="B915" s="1"/>
      <x:c r="C915" s="8"/>
      <x:c r="D915" s="8"/>
      <x:c r="E915" s="8"/>
      <x:c r="F915" s="8"/>
      <x:c r="G915" s="8"/>
      <x:c r="H915" s="8"/>
      <x:c r="I915" s="8"/>
      <x:c r="J915" s="8"/>
      <x:c r="K915" s="8"/>
      <x:c r="L915" s="8"/>
      <x:c r="M915" s="10"/>
      <x:c r="N915" s="10"/>
      <x:c r="O915" s="8"/>
      <x:c r="P915" s="9" t="str">
        <x:f>IF(C915="","",IF(AND(G915="Applicable",H915="Fail"),"Fail",IF(R915&lt;&gt;"Valid","Pending",IF(OR(I915="",K915="",L915="",K915=L915,NOT(ISNUMBER(M915)),NOT(ISNUMBER(N915)),M915&gt;Settings!$F$8,N915&lt;Settings!$F$8,N915&lt;M915),"Pending",IF(AND(G915="Applicable",H915="Pass"),"Pass",IF(AND(G915="N/A",H915="N/A",J915&lt;&gt;"",OR(E915="CEM-FUELS",E915="CEM-CCS",AND(E915="CEM-PLAN",IFERROR(INDEX('Taxonomy'!$M$9:$M$108,MATCH(D915,'Taxonomy'!$C$9:$C$108,0)),"")&lt;&gt;"Amber"),E915="BLD-TIMBER",AND(U915="Building equipment",OR(E915="BLD-WATER",E915="BLD-WASTE",E915="BLD-LAND")),AND(U915="Building renovation",E915="BLD-LAND"))),"N/A","Pending"))))))</x:f>
      </x:c>
      <x:c r="Q915" s="3" t="str">
        <x:f>IF(C915="","",IF(AND(R915="Valid",OR(P915="Pass",P915="N/A")),"Complete","Unresolved"))</x:f>
      </x:c>
      <x:c r="R915" s="9" t="str">
        <x:f>IF(C915="","",IF(OR(COUNTIF($C$9:$C$2008,C915)&lt;&gt;1,COUNTIFS($D$9:$D$2008,D915,$E$9:$E$2008,E915)&lt;&gt;1),"Duplicate test",IF(COUNTIF('Taxonomy'!$C$9:$C$108,D915)&lt;&gt;1,"Assessment key",IF(OR(COUNTIF('Taxonomy Rules'!$C$42:$C$68,E915)&lt;&gt;1,F915&lt;&gt;IFERROR(INDEX('Taxonomy Rules'!$D$42:$D$68,MATCH(E915,'Taxonomy Rules'!$C$42:$C$68,0)),""),NOT(OR(IFERROR(INDEX('Taxonomy Rules'!$G$42:$G$68,MATCH(E915,'Taxonomy Rules'!$C$42:$C$68,0)),"")="All supported routes",IFERROR(INDEX('Taxonomy Rules'!$G$42:$G$68,MATCH(E915,'Taxonomy Rules'!$C$42:$C$68,0)),"")=U915,AND(IFERROR(INDEX('Taxonomy Rules'!$G$42:$G$68,MATCH(E915,'Taxonomy Rules'!$C$42:$C$68,0)),"")="Building routes",OR(U915="Building renovation",U915="New building",U915="Building equipment"))))),"Unexpected test","Valid"))))</x:f>
      </x:c>
      <x:c r="S915" s="9" t="str">
        <x:f>IF(C915="","",IFERROR(INDEX('Taxonomy Rules'!$E$42:$E$68,MATCH(E915,'Taxonomy Rules'!$C$42:$C$68,0)),""))</x:f>
      </x:c>
      <x:c r="T915" s="9" t="str">
        <x:f>IF(C915="","",IFERROR(INDEX('Taxonomy Rules'!$F$42:$F$68,MATCH(E915,'Taxonomy Rules'!$C$42:$C$68,0)),""))</x:f>
      </x:c>
      <x:c r="U915" s="9" t="str">
        <x:f>IF(C915="","",IFERROR(INDEX('Taxonomy'!$G$9:$G$108,MATCH(D915,'Taxonomy'!$C$9:$C$108,0)),""))</x:f>
      </x:c>
    </x:row>
    <x:row r="916" ht="44" customHeight="1">
      <x:c r="A916" s="1"/>
      <x:c r="B916" s="1"/>
      <x:c r="C916" s="8"/>
      <x:c r="D916" s="8"/>
      <x:c r="E916" s="8"/>
      <x:c r="F916" s="8"/>
      <x:c r="G916" s="8"/>
      <x:c r="H916" s="8"/>
      <x:c r="I916" s="8"/>
      <x:c r="J916" s="8"/>
      <x:c r="K916" s="8"/>
      <x:c r="L916" s="8"/>
      <x:c r="M916" s="10"/>
      <x:c r="N916" s="10"/>
      <x:c r="O916" s="8"/>
      <x:c r="P916" s="9" t="str">
        <x:f>IF(C916="","",IF(AND(G916="Applicable",H916="Fail"),"Fail",IF(R916&lt;&gt;"Valid","Pending",IF(OR(I916="",K916="",L916="",K916=L916,NOT(ISNUMBER(M916)),NOT(ISNUMBER(N916)),M916&gt;Settings!$F$8,N916&lt;Settings!$F$8,N916&lt;M916),"Pending",IF(AND(G916="Applicable",H916="Pass"),"Pass",IF(AND(G916="N/A",H916="N/A",J916&lt;&gt;"",OR(E916="CEM-FUELS",E916="CEM-CCS",AND(E916="CEM-PLAN",IFERROR(INDEX('Taxonomy'!$M$9:$M$108,MATCH(D916,'Taxonomy'!$C$9:$C$108,0)),"")&lt;&gt;"Amber"),E916="BLD-TIMBER",AND(U916="Building equipment",OR(E916="BLD-WATER",E916="BLD-WASTE",E916="BLD-LAND")),AND(U916="Building renovation",E916="BLD-LAND"))),"N/A","Pending"))))))</x:f>
      </x:c>
      <x:c r="Q916" s="3" t="str">
        <x:f>IF(C916="","",IF(AND(R916="Valid",OR(P916="Pass",P916="N/A")),"Complete","Unresolved"))</x:f>
      </x:c>
      <x:c r="R916" s="9" t="str">
        <x:f>IF(C916="","",IF(OR(COUNTIF($C$9:$C$2008,C916)&lt;&gt;1,COUNTIFS($D$9:$D$2008,D916,$E$9:$E$2008,E916)&lt;&gt;1),"Duplicate test",IF(COUNTIF('Taxonomy'!$C$9:$C$108,D916)&lt;&gt;1,"Assessment key",IF(OR(COUNTIF('Taxonomy Rules'!$C$42:$C$68,E916)&lt;&gt;1,F916&lt;&gt;IFERROR(INDEX('Taxonomy Rules'!$D$42:$D$68,MATCH(E916,'Taxonomy Rules'!$C$42:$C$68,0)),""),NOT(OR(IFERROR(INDEX('Taxonomy Rules'!$G$42:$G$68,MATCH(E916,'Taxonomy Rules'!$C$42:$C$68,0)),"")="All supported routes",IFERROR(INDEX('Taxonomy Rules'!$G$42:$G$68,MATCH(E916,'Taxonomy Rules'!$C$42:$C$68,0)),"")=U916,AND(IFERROR(INDEX('Taxonomy Rules'!$G$42:$G$68,MATCH(E916,'Taxonomy Rules'!$C$42:$C$68,0)),"")="Building routes",OR(U916="Building renovation",U916="New building",U916="Building equipment"))))),"Unexpected test","Valid"))))</x:f>
      </x:c>
      <x:c r="S916" s="9" t="str">
        <x:f>IF(C916="","",IFERROR(INDEX('Taxonomy Rules'!$E$42:$E$68,MATCH(E916,'Taxonomy Rules'!$C$42:$C$68,0)),""))</x:f>
      </x:c>
      <x:c r="T916" s="9" t="str">
        <x:f>IF(C916="","",IFERROR(INDEX('Taxonomy Rules'!$F$42:$F$68,MATCH(E916,'Taxonomy Rules'!$C$42:$C$68,0)),""))</x:f>
      </x:c>
      <x:c r="U916" s="9" t="str">
        <x:f>IF(C916="","",IFERROR(INDEX('Taxonomy'!$G$9:$G$108,MATCH(D916,'Taxonomy'!$C$9:$C$108,0)),""))</x:f>
      </x:c>
    </x:row>
    <x:row r="917" ht="44" customHeight="1">
      <x:c r="A917" s="1"/>
      <x:c r="B917" s="1"/>
      <x:c r="C917" s="8"/>
      <x:c r="D917" s="8"/>
      <x:c r="E917" s="8"/>
      <x:c r="F917" s="8"/>
      <x:c r="G917" s="8"/>
      <x:c r="H917" s="8"/>
      <x:c r="I917" s="8"/>
      <x:c r="J917" s="8"/>
      <x:c r="K917" s="8"/>
      <x:c r="L917" s="8"/>
      <x:c r="M917" s="10"/>
      <x:c r="N917" s="10"/>
      <x:c r="O917" s="8"/>
      <x:c r="P917" s="9" t="str">
        <x:f>IF(C917="","",IF(AND(G917="Applicable",H917="Fail"),"Fail",IF(R917&lt;&gt;"Valid","Pending",IF(OR(I917="",K917="",L917="",K917=L917,NOT(ISNUMBER(M917)),NOT(ISNUMBER(N917)),M917&gt;Settings!$F$8,N917&lt;Settings!$F$8,N917&lt;M917),"Pending",IF(AND(G917="Applicable",H917="Pass"),"Pass",IF(AND(G917="N/A",H917="N/A",J917&lt;&gt;"",OR(E917="CEM-FUELS",E917="CEM-CCS",AND(E917="CEM-PLAN",IFERROR(INDEX('Taxonomy'!$M$9:$M$108,MATCH(D917,'Taxonomy'!$C$9:$C$108,0)),"")&lt;&gt;"Amber"),E917="BLD-TIMBER",AND(U917="Building equipment",OR(E917="BLD-WATER",E917="BLD-WASTE",E917="BLD-LAND")),AND(U917="Building renovation",E917="BLD-LAND"))),"N/A","Pending"))))))</x:f>
      </x:c>
      <x:c r="Q917" s="3" t="str">
        <x:f>IF(C917="","",IF(AND(R917="Valid",OR(P917="Pass",P917="N/A")),"Complete","Unresolved"))</x:f>
      </x:c>
      <x:c r="R917" s="9" t="str">
        <x:f>IF(C917="","",IF(OR(COUNTIF($C$9:$C$2008,C917)&lt;&gt;1,COUNTIFS($D$9:$D$2008,D917,$E$9:$E$2008,E917)&lt;&gt;1),"Duplicate test",IF(COUNTIF('Taxonomy'!$C$9:$C$108,D917)&lt;&gt;1,"Assessment key",IF(OR(COUNTIF('Taxonomy Rules'!$C$42:$C$68,E917)&lt;&gt;1,F917&lt;&gt;IFERROR(INDEX('Taxonomy Rules'!$D$42:$D$68,MATCH(E917,'Taxonomy Rules'!$C$42:$C$68,0)),""),NOT(OR(IFERROR(INDEX('Taxonomy Rules'!$G$42:$G$68,MATCH(E917,'Taxonomy Rules'!$C$42:$C$68,0)),"")="All supported routes",IFERROR(INDEX('Taxonomy Rules'!$G$42:$G$68,MATCH(E917,'Taxonomy Rules'!$C$42:$C$68,0)),"")=U917,AND(IFERROR(INDEX('Taxonomy Rules'!$G$42:$G$68,MATCH(E917,'Taxonomy Rules'!$C$42:$C$68,0)),"")="Building routes",OR(U917="Building renovation",U917="New building",U917="Building equipment"))))),"Unexpected test","Valid"))))</x:f>
      </x:c>
      <x:c r="S917" s="9" t="str">
        <x:f>IF(C917="","",IFERROR(INDEX('Taxonomy Rules'!$E$42:$E$68,MATCH(E917,'Taxonomy Rules'!$C$42:$C$68,0)),""))</x:f>
      </x:c>
      <x:c r="T917" s="9" t="str">
        <x:f>IF(C917="","",IFERROR(INDEX('Taxonomy Rules'!$F$42:$F$68,MATCH(E917,'Taxonomy Rules'!$C$42:$C$68,0)),""))</x:f>
      </x:c>
      <x:c r="U917" s="9" t="str">
        <x:f>IF(C917="","",IFERROR(INDEX('Taxonomy'!$G$9:$G$108,MATCH(D917,'Taxonomy'!$C$9:$C$108,0)),""))</x:f>
      </x:c>
    </x:row>
    <x:row r="918" ht="44" customHeight="1">
      <x:c r="A918" s="1"/>
      <x:c r="B918" s="1"/>
      <x:c r="C918" s="8"/>
      <x:c r="D918" s="8"/>
      <x:c r="E918" s="8"/>
      <x:c r="F918" s="8"/>
      <x:c r="G918" s="8"/>
      <x:c r="H918" s="8"/>
      <x:c r="I918" s="8"/>
      <x:c r="J918" s="8"/>
      <x:c r="K918" s="8"/>
      <x:c r="L918" s="8"/>
      <x:c r="M918" s="10"/>
      <x:c r="N918" s="10"/>
      <x:c r="O918" s="8"/>
      <x:c r="P918" s="9" t="str">
        <x:f>IF(C918="","",IF(AND(G918="Applicable",H918="Fail"),"Fail",IF(R918&lt;&gt;"Valid","Pending",IF(OR(I918="",K918="",L918="",K918=L918,NOT(ISNUMBER(M918)),NOT(ISNUMBER(N918)),M918&gt;Settings!$F$8,N918&lt;Settings!$F$8,N918&lt;M918),"Pending",IF(AND(G918="Applicable",H918="Pass"),"Pass",IF(AND(G918="N/A",H918="N/A",J918&lt;&gt;"",OR(E918="CEM-FUELS",E918="CEM-CCS",AND(E918="CEM-PLAN",IFERROR(INDEX('Taxonomy'!$M$9:$M$108,MATCH(D918,'Taxonomy'!$C$9:$C$108,0)),"")&lt;&gt;"Amber"),E918="BLD-TIMBER",AND(U918="Building equipment",OR(E918="BLD-WATER",E918="BLD-WASTE",E918="BLD-LAND")),AND(U918="Building renovation",E918="BLD-LAND"))),"N/A","Pending"))))))</x:f>
      </x:c>
      <x:c r="Q918" s="3" t="str">
        <x:f>IF(C918="","",IF(AND(R918="Valid",OR(P918="Pass",P918="N/A")),"Complete","Unresolved"))</x:f>
      </x:c>
      <x:c r="R918" s="9" t="str">
        <x:f>IF(C918="","",IF(OR(COUNTIF($C$9:$C$2008,C918)&lt;&gt;1,COUNTIFS($D$9:$D$2008,D918,$E$9:$E$2008,E918)&lt;&gt;1),"Duplicate test",IF(COUNTIF('Taxonomy'!$C$9:$C$108,D918)&lt;&gt;1,"Assessment key",IF(OR(COUNTIF('Taxonomy Rules'!$C$42:$C$68,E918)&lt;&gt;1,F918&lt;&gt;IFERROR(INDEX('Taxonomy Rules'!$D$42:$D$68,MATCH(E918,'Taxonomy Rules'!$C$42:$C$68,0)),""),NOT(OR(IFERROR(INDEX('Taxonomy Rules'!$G$42:$G$68,MATCH(E918,'Taxonomy Rules'!$C$42:$C$68,0)),"")="All supported routes",IFERROR(INDEX('Taxonomy Rules'!$G$42:$G$68,MATCH(E918,'Taxonomy Rules'!$C$42:$C$68,0)),"")=U918,AND(IFERROR(INDEX('Taxonomy Rules'!$G$42:$G$68,MATCH(E918,'Taxonomy Rules'!$C$42:$C$68,0)),"")="Building routes",OR(U918="Building renovation",U918="New building",U918="Building equipment"))))),"Unexpected test","Valid"))))</x:f>
      </x:c>
      <x:c r="S918" s="9" t="str">
        <x:f>IF(C918="","",IFERROR(INDEX('Taxonomy Rules'!$E$42:$E$68,MATCH(E918,'Taxonomy Rules'!$C$42:$C$68,0)),""))</x:f>
      </x:c>
      <x:c r="T918" s="9" t="str">
        <x:f>IF(C918="","",IFERROR(INDEX('Taxonomy Rules'!$F$42:$F$68,MATCH(E918,'Taxonomy Rules'!$C$42:$C$68,0)),""))</x:f>
      </x:c>
      <x:c r="U918" s="9" t="str">
        <x:f>IF(C918="","",IFERROR(INDEX('Taxonomy'!$G$9:$G$108,MATCH(D918,'Taxonomy'!$C$9:$C$108,0)),""))</x:f>
      </x:c>
    </x:row>
    <x:row r="919" ht="44" customHeight="1">
      <x:c r="A919" s="1"/>
      <x:c r="B919" s="1"/>
      <x:c r="C919" s="8"/>
      <x:c r="D919" s="8"/>
      <x:c r="E919" s="8"/>
      <x:c r="F919" s="8"/>
      <x:c r="G919" s="8"/>
      <x:c r="H919" s="8"/>
      <x:c r="I919" s="8"/>
      <x:c r="J919" s="8"/>
      <x:c r="K919" s="8"/>
      <x:c r="L919" s="8"/>
      <x:c r="M919" s="10"/>
      <x:c r="N919" s="10"/>
      <x:c r="O919" s="8"/>
      <x:c r="P919" s="9" t="str">
        <x:f>IF(C919="","",IF(AND(G919="Applicable",H919="Fail"),"Fail",IF(R919&lt;&gt;"Valid","Pending",IF(OR(I919="",K919="",L919="",K919=L919,NOT(ISNUMBER(M919)),NOT(ISNUMBER(N919)),M919&gt;Settings!$F$8,N919&lt;Settings!$F$8,N919&lt;M919),"Pending",IF(AND(G919="Applicable",H919="Pass"),"Pass",IF(AND(G919="N/A",H919="N/A",J919&lt;&gt;"",OR(E919="CEM-FUELS",E919="CEM-CCS",AND(E919="CEM-PLAN",IFERROR(INDEX('Taxonomy'!$M$9:$M$108,MATCH(D919,'Taxonomy'!$C$9:$C$108,0)),"")&lt;&gt;"Amber"),E919="BLD-TIMBER",AND(U919="Building equipment",OR(E919="BLD-WATER",E919="BLD-WASTE",E919="BLD-LAND")),AND(U919="Building renovation",E919="BLD-LAND"))),"N/A","Pending"))))))</x:f>
      </x:c>
      <x:c r="Q919" s="3" t="str">
        <x:f>IF(C919="","",IF(AND(R919="Valid",OR(P919="Pass",P919="N/A")),"Complete","Unresolved"))</x:f>
      </x:c>
      <x:c r="R919" s="9" t="str">
        <x:f>IF(C919="","",IF(OR(COUNTIF($C$9:$C$2008,C919)&lt;&gt;1,COUNTIFS($D$9:$D$2008,D919,$E$9:$E$2008,E919)&lt;&gt;1),"Duplicate test",IF(COUNTIF('Taxonomy'!$C$9:$C$108,D919)&lt;&gt;1,"Assessment key",IF(OR(COUNTIF('Taxonomy Rules'!$C$42:$C$68,E919)&lt;&gt;1,F919&lt;&gt;IFERROR(INDEX('Taxonomy Rules'!$D$42:$D$68,MATCH(E919,'Taxonomy Rules'!$C$42:$C$68,0)),""),NOT(OR(IFERROR(INDEX('Taxonomy Rules'!$G$42:$G$68,MATCH(E919,'Taxonomy Rules'!$C$42:$C$68,0)),"")="All supported routes",IFERROR(INDEX('Taxonomy Rules'!$G$42:$G$68,MATCH(E919,'Taxonomy Rules'!$C$42:$C$68,0)),"")=U919,AND(IFERROR(INDEX('Taxonomy Rules'!$G$42:$G$68,MATCH(E919,'Taxonomy Rules'!$C$42:$C$68,0)),"")="Building routes",OR(U919="Building renovation",U919="New building",U919="Building equipment"))))),"Unexpected test","Valid"))))</x:f>
      </x:c>
      <x:c r="S919" s="9" t="str">
        <x:f>IF(C919="","",IFERROR(INDEX('Taxonomy Rules'!$E$42:$E$68,MATCH(E919,'Taxonomy Rules'!$C$42:$C$68,0)),""))</x:f>
      </x:c>
      <x:c r="T919" s="9" t="str">
        <x:f>IF(C919="","",IFERROR(INDEX('Taxonomy Rules'!$F$42:$F$68,MATCH(E919,'Taxonomy Rules'!$C$42:$C$68,0)),""))</x:f>
      </x:c>
      <x:c r="U919" s="9" t="str">
        <x:f>IF(C919="","",IFERROR(INDEX('Taxonomy'!$G$9:$G$108,MATCH(D919,'Taxonomy'!$C$9:$C$108,0)),""))</x:f>
      </x:c>
    </x:row>
    <x:row r="920" ht="44" customHeight="1">
      <x:c r="A920" s="1"/>
      <x:c r="B920" s="1"/>
      <x:c r="C920" s="8"/>
      <x:c r="D920" s="8"/>
      <x:c r="E920" s="8"/>
      <x:c r="F920" s="8"/>
      <x:c r="G920" s="8"/>
      <x:c r="H920" s="8"/>
      <x:c r="I920" s="8"/>
      <x:c r="J920" s="8"/>
      <x:c r="K920" s="8"/>
      <x:c r="L920" s="8"/>
      <x:c r="M920" s="10"/>
      <x:c r="N920" s="10"/>
      <x:c r="O920" s="8"/>
      <x:c r="P920" s="9" t="str">
        <x:f>IF(C920="","",IF(AND(G920="Applicable",H920="Fail"),"Fail",IF(R920&lt;&gt;"Valid","Pending",IF(OR(I920="",K920="",L920="",K920=L920,NOT(ISNUMBER(M920)),NOT(ISNUMBER(N920)),M920&gt;Settings!$F$8,N920&lt;Settings!$F$8,N920&lt;M920),"Pending",IF(AND(G920="Applicable",H920="Pass"),"Pass",IF(AND(G920="N/A",H920="N/A",J920&lt;&gt;"",OR(E920="CEM-FUELS",E920="CEM-CCS",AND(E920="CEM-PLAN",IFERROR(INDEX('Taxonomy'!$M$9:$M$108,MATCH(D920,'Taxonomy'!$C$9:$C$108,0)),"")&lt;&gt;"Amber"),E920="BLD-TIMBER",AND(U920="Building equipment",OR(E920="BLD-WATER",E920="BLD-WASTE",E920="BLD-LAND")),AND(U920="Building renovation",E920="BLD-LAND"))),"N/A","Pending"))))))</x:f>
      </x:c>
      <x:c r="Q920" s="3" t="str">
        <x:f>IF(C920="","",IF(AND(R920="Valid",OR(P920="Pass",P920="N/A")),"Complete","Unresolved"))</x:f>
      </x:c>
      <x:c r="R920" s="9" t="str">
        <x:f>IF(C920="","",IF(OR(COUNTIF($C$9:$C$2008,C920)&lt;&gt;1,COUNTIFS($D$9:$D$2008,D920,$E$9:$E$2008,E920)&lt;&gt;1),"Duplicate test",IF(COUNTIF('Taxonomy'!$C$9:$C$108,D920)&lt;&gt;1,"Assessment key",IF(OR(COUNTIF('Taxonomy Rules'!$C$42:$C$68,E920)&lt;&gt;1,F920&lt;&gt;IFERROR(INDEX('Taxonomy Rules'!$D$42:$D$68,MATCH(E920,'Taxonomy Rules'!$C$42:$C$68,0)),""),NOT(OR(IFERROR(INDEX('Taxonomy Rules'!$G$42:$G$68,MATCH(E920,'Taxonomy Rules'!$C$42:$C$68,0)),"")="All supported routes",IFERROR(INDEX('Taxonomy Rules'!$G$42:$G$68,MATCH(E920,'Taxonomy Rules'!$C$42:$C$68,0)),"")=U920,AND(IFERROR(INDEX('Taxonomy Rules'!$G$42:$G$68,MATCH(E920,'Taxonomy Rules'!$C$42:$C$68,0)),"")="Building routes",OR(U920="Building renovation",U920="New building",U920="Building equipment"))))),"Unexpected test","Valid"))))</x:f>
      </x:c>
      <x:c r="S920" s="9" t="str">
        <x:f>IF(C920="","",IFERROR(INDEX('Taxonomy Rules'!$E$42:$E$68,MATCH(E920,'Taxonomy Rules'!$C$42:$C$68,0)),""))</x:f>
      </x:c>
      <x:c r="T920" s="9" t="str">
        <x:f>IF(C920="","",IFERROR(INDEX('Taxonomy Rules'!$F$42:$F$68,MATCH(E920,'Taxonomy Rules'!$C$42:$C$68,0)),""))</x:f>
      </x:c>
      <x:c r="U920" s="9" t="str">
        <x:f>IF(C920="","",IFERROR(INDEX('Taxonomy'!$G$9:$G$108,MATCH(D920,'Taxonomy'!$C$9:$C$108,0)),""))</x:f>
      </x:c>
    </x:row>
    <x:row r="921" ht="44" customHeight="1">
      <x:c r="A921" s="1"/>
      <x:c r="B921" s="1"/>
      <x:c r="C921" s="8"/>
      <x:c r="D921" s="8"/>
      <x:c r="E921" s="8"/>
      <x:c r="F921" s="8"/>
      <x:c r="G921" s="8"/>
      <x:c r="H921" s="8"/>
      <x:c r="I921" s="8"/>
      <x:c r="J921" s="8"/>
      <x:c r="K921" s="8"/>
      <x:c r="L921" s="8"/>
      <x:c r="M921" s="10"/>
      <x:c r="N921" s="10"/>
      <x:c r="O921" s="8"/>
      <x:c r="P921" s="9" t="str">
        <x:f>IF(C921="","",IF(AND(G921="Applicable",H921="Fail"),"Fail",IF(R921&lt;&gt;"Valid","Pending",IF(OR(I921="",K921="",L921="",K921=L921,NOT(ISNUMBER(M921)),NOT(ISNUMBER(N921)),M921&gt;Settings!$F$8,N921&lt;Settings!$F$8,N921&lt;M921),"Pending",IF(AND(G921="Applicable",H921="Pass"),"Pass",IF(AND(G921="N/A",H921="N/A",J921&lt;&gt;"",OR(E921="CEM-FUELS",E921="CEM-CCS",AND(E921="CEM-PLAN",IFERROR(INDEX('Taxonomy'!$M$9:$M$108,MATCH(D921,'Taxonomy'!$C$9:$C$108,0)),"")&lt;&gt;"Amber"),E921="BLD-TIMBER",AND(U921="Building equipment",OR(E921="BLD-WATER",E921="BLD-WASTE",E921="BLD-LAND")),AND(U921="Building renovation",E921="BLD-LAND"))),"N/A","Pending"))))))</x:f>
      </x:c>
      <x:c r="Q921" s="3" t="str">
        <x:f>IF(C921="","",IF(AND(R921="Valid",OR(P921="Pass",P921="N/A")),"Complete","Unresolved"))</x:f>
      </x:c>
      <x:c r="R921" s="9" t="str">
        <x:f>IF(C921="","",IF(OR(COUNTIF($C$9:$C$2008,C921)&lt;&gt;1,COUNTIFS($D$9:$D$2008,D921,$E$9:$E$2008,E921)&lt;&gt;1),"Duplicate test",IF(COUNTIF('Taxonomy'!$C$9:$C$108,D921)&lt;&gt;1,"Assessment key",IF(OR(COUNTIF('Taxonomy Rules'!$C$42:$C$68,E921)&lt;&gt;1,F921&lt;&gt;IFERROR(INDEX('Taxonomy Rules'!$D$42:$D$68,MATCH(E921,'Taxonomy Rules'!$C$42:$C$68,0)),""),NOT(OR(IFERROR(INDEX('Taxonomy Rules'!$G$42:$G$68,MATCH(E921,'Taxonomy Rules'!$C$42:$C$68,0)),"")="All supported routes",IFERROR(INDEX('Taxonomy Rules'!$G$42:$G$68,MATCH(E921,'Taxonomy Rules'!$C$42:$C$68,0)),"")=U921,AND(IFERROR(INDEX('Taxonomy Rules'!$G$42:$G$68,MATCH(E921,'Taxonomy Rules'!$C$42:$C$68,0)),"")="Building routes",OR(U921="Building renovation",U921="New building",U921="Building equipment"))))),"Unexpected test","Valid"))))</x:f>
      </x:c>
      <x:c r="S921" s="9" t="str">
        <x:f>IF(C921="","",IFERROR(INDEX('Taxonomy Rules'!$E$42:$E$68,MATCH(E921,'Taxonomy Rules'!$C$42:$C$68,0)),""))</x:f>
      </x:c>
      <x:c r="T921" s="9" t="str">
        <x:f>IF(C921="","",IFERROR(INDEX('Taxonomy Rules'!$F$42:$F$68,MATCH(E921,'Taxonomy Rules'!$C$42:$C$68,0)),""))</x:f>
      </x:c>
      <x:c r="U921" s="9" t="str">
        <x:f>IF(C921="","",IFERROR(INDEX('Taxonomy'!$G$9:$G$108,MATCH(D921,'Taxonomy'!$C$9:$C$108,0)),""))</x:f>
      </x:c>
    </x:row>
    <x:row r="922" ht="44" customHeight="1">
      <x:c r="A922" s="1"/>
      <x:c r="B922" s="1"/>
      <x:c r="C922" s="8"/>
      <x:c r="D922" s="8"/>
      <x:c r="E922" s="8"/>
      <x:c r="F922" s="8"/>
      <x:c r="G922" s="8"/>
      <x:c r="H922" s="8"/>
      <x:c r="I922" s="8"/>
      <x:c r="J922" s="8"/>
      <x:c r="K922" s="8"/>
      <x:c r="L922" s="8"/>
      <x:c r="M922" s="10"/>
      <x:c r="N922" s="10"/>
      <x:c r="O922" s="8"/>
      <x:c r="P922" s="9" t="str">
        <x:f>IF(C922="","",IF(AND(G922="Applicable",H922="Fail"),"Fail",IF(R922&lt;&gt;"Valid","Pending",IF(OR(I922="",K922="",L922="",K922=L922,NOT(ISNUMBER(M922)),NOT(ISNUMBER(N922)),M922&gt;Settings!$F$8,N922&lt;Settings!$F$8,N922&lt;M922),"Pending",IF(AND(G922="Applicable",H922="Pass"),"Pass",IF(AND(G922="N/A",H922="N/A",J922&lt;&gt;"",OR(E922="CEM-FUELS",E922="CEM-CCS",AND(E922="CEM-PLAN",IFERROR(INDEX('Taxonomy'!$M$9:$M$108,MATCH(D922,'Taxonomy'!$C$9:$C$108,0)),"")&lt;&gt;"Amber"),E922="BLD-TIMBER",AND(U922="Building equipment",OR(E922="BLD-WATER",E922="BLD-WASTE",E922="BLD-LAND")),AND(U922="Building renovation",E922="BLD-LAND"))),"N/A","Pending"))))))</x:f>
      </x:c>
      <x:c r="Q922" s="3" t="str">
        <x:f>IF(C922="","",IF(AND(R922="Valid",OR(P922="Pass",P922="N/A")),"Complete","Unresolved"))</x:f>
      </x:c>
      <x:c r="R922" s="9" t="str">
        <x:f>IF(C922="","",IF(OR(COUNTIF($C$9:$C$2008,C922)&lt;&gt;1,COUNTIFS($D$9:$D$2008,D922,$E$9:$E$2008,E922)&lt;&gt;1),"Duplicate test",IF(COUNTIF('Taxonomy'!$C$9:$C$108,D922)&lt;&gt;1,"Assessment key",IF(OR(COUNTIF('Taxonomy Rules'!$C$42:$C$68,E922)&lt;&gt;1,F922&lt;&gt;IFERROR(INDEX('Taxonomy Rules'!$D$42:$D$68,MATCH(E922,'Taxonomy Rules'!$C$42:$C$68,0)),""),NOT(OR(IFERROR(INDEX('Taxonomy Rules'!$G$42:$G$68,MATCH(E922,'Taxonomy Rules'!$C$42:$C$68,0)),"")="All supported routes",IFERROR(INDEX('Taxonomy Rules'!$G$42:$G$68,MATCH(E922,'Taxonomy Rules'!$C$42:$C$68,0)),"")=U922,AND(IFERROR(INDEX('Taxonomy Rules'!$G$42:$G$68,MATCH(E922,'Taxonomy Rules'!$C$42:$C$68,0)),"")="Building routes",OR(U922="Building renovation",U922="New building",U922="Building equipment"))))),"Unexpected test","Valid"))))</x:f>
      </x:c>
      <x:c r="S922" s="9" t="str">
        <x:f>IF(C922="","",IFERROR(INDEX('Taxonomy Rules'!$E$42:$E$68,MATCH(E922,'Taxonomy Rules'!$C$42:$C$68,0)),""))</x:f>
      </x:c>
      <x:c r="T922" s="9" t="str">
        <x:f>IF(C922="","",IFERROR(INDEX('Taxonomy Rules'!$F$42:$F$68,MATCH(E922,'Taxonomy Rules'!$C$42:$C$68,0)),""))</x:f>
      </x:c>
      <x:c r="U922" s="9" t="str">
        <x:f>IF(C922="","",IFERROR(INDEX('Taxonomy'!$G$9:$G$108,MATCH(D922,'Taxonomy'!$C$9:$C$108,0)),""))</x:f>
      </x:c>
    </x:row>
    <x:row r="923" ht="44" customHeight="1">
      <x:c r="A923" s="1"/>
      <x:c r="B923" s="1"/>
      <x:c r="C923" s="8"/>
      <x:c r="D923" s="8"/>
      <x:c r="E923" s="8"/>
      <x:c r="F923" s="8"/>
      <x:c r="G923" s="8"/>
      <x:c r="H923" s="8"/>
      <x:c r="I923" s="8"/>
      <x:c r="J923" s="8"/>
      <x:c r="K923" s="8"/>
      <x:c r="L923" s="8"/>
      <x:c r="M923" s="10"/>
      <x:c r="N923" s="10"/>
      <x:c r="O923" s="8"/>
      <x:c r="P923" s="9" t="str">
        <x:f>IF(C923="","",IF(AND(G923="Applicable",H923="Fail"),"Fail",IF(R923&lt;&gt;"Valid","Pending",IF(OR(I923="",K923="",L923="",K923=L923,NOT(ISNUMBER(M923)),NOT(ISNUMBER(N923)),M923&gt;Settings!$F$8,N923&lt;Settings!$F$8,N923&lt;M923),"Pending",IF(AND(G923="Applicable",H923="Pass"),"Pass",IF(AND(G923="N/A",H923="N/A",J923&lt;&gt;"",OR(E923="CEM-FUELS",E923="CEM-CCS",AND(E923="CEM-PLAN",IFERROR(INDEX('Taxonomy'!$M$9:$M$108,MATCH(D923,'Taxonomy'!$C$9:$C$108,0)),"")&lt;&gt;"Amber"),E923="BLD-TIMBER",AND(U923="Building equipment",OR(E923="BLD-WATER",E923="BLD-WASTE",E923="BLD-LAND")),AND(U923="Building renovation",E923="BLD-LAND"))),"N/A","Pending"))))))</x:f>
      </x:c>
      <x:c r="Q923" s="3" t="str">
        <x:f>IF(C923="","",IF(AND(R923="Valid",OR(P923="Pass",P923="N/A")),"Complete","Unresolved"))</x:f>
      </x:c>
      <x:c r="R923" s="9" t="str">
        <x:f>IF(C923="","",IF(OR(COUNTIF($C$9:$C$2008,C923)&lt;&gt;1,COUNTIFS($D$9:$D$2008,D923,$E$9:$E$2008,E923)&lt;&gt;1),"Duplicate test",IF(COUNTIF('Taxonomy'!$C$9:$C$108,D923)&lt;&gt;1,"Assessment key",IF(OR(COUNTIF('Taxonomy Rules'!$C$42:$C$68,E923)&lt;&gt;1,F923&lt;&gt;IFERROR(INDEX('Taxonomy Rules'!$D$42:$D$68,MATCH(E923,'Taxonomy Rules'!$C$42:$C$68,0)),""),NOT(OR(IFERROR(INDEX('Taxonomy Rules'!$G$42:$G$68,MATCH(E923,'Taxonomy Rules'!$C$42:$C$68,0)),"")="All supported routes",IFERROR(INDEX('Taxonomy Rules'!$G$42:$G$68,MATCH(E923,'Taxonomy Rules'!$C$42:$C$68,0)),"")=U923,AND(IFERROR(INDEX('Taxonomy Rules'!$G$42:$G$68,MATCH(E923,'Taxonomy Rules'!$C$42:$C$68,0)),"")="Building routes",OR(U923="Building renovation",U923="New building",U923="Building equipment"))))),"Unexpected test","Valid"))))</x:f>
      </x:c>
      <x:c r="S923" s="9" t="str">
        <x:f>IF(C923="","",IFERROR(INDEX('Taxonomy Rules'!$E$42:$E$68,MATCH(E923,'Taxonomy Rules'!$C$42:$C$68,0)),""))</x:f>
      </x:c>
      <x:c r="T923" s="9" t="str">
        <x:f>IF(C923="","",IFERROR(INDEX('Taxonomy Rules'!$F$42:$F$68,MATCH(E923,'Taxonomy Rules'!$C$42:$C$68,0)),""))</x:f>
      </x:c>
      <x:c r="U923" s="9" t="str">
        <x:f>IF(C923="","",IFERROR(INDEX('Taxonomy'!$G$9:$G$108,MATCH(D923,'Taxonomy'!$C$9:$C$108,0)),""))</x:f>
      </x:c>
    </x:row>
    <x:row r="924" ht="44" customHeight="1">
      <x:c r="A924" s="1"/>
      <x:c r="B924" s="1"/>
      <x:c r="C924" s="8"/>
      <x:c r="D924" s="8"/>
      <x:c r="E924" s="8"/>
      <x:c r="F924" s="8"/>
      <x:c r="G924" s="8"/>
      <x:c r="H924" s="8"/>
      <x:c r="I924" s="8"/>
      <x:c r="J924" s="8"/>
      <x:c r="K924" s="8"/>
      <x:c r="L924" s="8"/>
      <x:c r="M924" s="10"/>
      <x:c r="N924" s="10"/>
      <x:c r="O924" s="8"/>
      <x:c r="P924" s="9" t="str">
        <x:f>IF(C924="","",IF(AND(G924="Applicable",H924="Fail"),"Fail",IF(R924&lt;&gt;"Valid","Pending",IF(OR(I924="",K924="",L924="",K924=L924,NOT(ISNUMBER(M924)),NOT(ISNUMBER(N924)),M924&gt;Settings!$F$8,N924&lt;Settings!$F$8,N924&lt;M924),"Pending",IF(AND(G924="Applicable",H924="Pass"),"Pass",IF(AND(G924="N/A",H924="N/A",J924&lt;&gt;"",OR(E924="CEM-FUELS",E924="CEM-CCS",AND(E924="CEM-PLAN",IFERROR(INDEX('Taxonomy'!$M$9:$M$108,MATCH(D924,'Taxonomy'!$C$9:$C$108,0)),"")&lt;&gt;"Amber"),E924="BLD-TIMBER",AND(U924="Building equipment",OR(E924="BLD-WATER",E924="BLD-WASTE",E924="BLD-LAND")),AND(U924="Building renovation",E924="BLD-LAND"))),"N/A","Pending"))))))</x:f>
      </x:c>
      <x:c r="Q924" s="3" t="str">
        <x:f>IF(C924="","",IF(AND(R924="Valid",OR(P924="Pass",P924="N/A")),"Complete","Unresolved"))</x:f>
      </x:c>
      <x:c r="R924" s="9" t="str">
        <x:f>IF(C924="","",IF(OR(COUNTIF($C$9:$C$2008,C924)&lt;&gt;1,COUNTIFS($D$9:$D$2008,D924,$E$9:$E$2008,E924)&lt;&gt;1),"Duplicate test",IF(COUNTIF('Taxonomy'!$C$9:$C$108,D924)&lt;&gt;1,"Assessment key",IF(OR(COUNTIF('Taxonomy Rules'!$C$42:$C$68,E924)&lt;&gt;1,F924&lt;&gt;IFERROR(INDEX('Taxonomy Rules'!$D$42:$D$68,MATCH(E924,'Taxonomy Rules'!$C$42:$C$68,0)),""),NOT(OR(IFERROR(INDEX('Taxonomy Rules'!$G$42:$G$68,MATCH(E924,'Taxonomy Rules'!$C$42:$C$68,0)),"")="All supported routes",IFERROR(INDEX('Taxonomy Rules'!$G$42:$G$68,MATCH(E924,'Taxonomy Rules'!$C$42:$C$68,0)),"")=U924,AND(IFERROR(INDEX('Taxonomy Rules'!$G$42:$G$68,MATCH(E924,'Taxonomy Rules'!$C$42:$C$68,0)),"")="Building routes",OR(U924="Building renovation",U924="New building",U924="Building equipment"))))),"Unexpected test","Valid"))))</x:f>
      </x:c>
      <x:c r="S924" s="9" t="str">
        <x:f>IF(C924="","",IFERROR(INDEX('Taxonomy Rules'!$E$42:$E$68,MATCH(E924,'Taxonomy Rules'!$C$42:$C$68,0)),""))</x:f>
      </x:c>
      <x:c r="T924" s="9" t="str">
        <x:f>IF(C924="","",IFERROR(INDEX('Taxonomy Rules'!$F$42:$F$68,MATCH(E924,'Taxonomy Rules'!$C$42:$C$68,0)),""))</x:f>
      </x:c>
      <x:c r="U924" s="9" t="str">
        <x:f>IF(C924="","",IFERROR(INDEX('Taxonomy'!$G$9:$G$108,MATCH(D924,'Taxonomy'!$C$9:$C$108,0)),""))</x:f>
      </x:c>
    </x:row>
    <x:row r="925" ht="44" customHeight="1">
      <x:c r="A925" s="1"/>
      <x:c r="B925" s="1"/>
      <x:c r="C925" s="8"/>
      <x:c r="D925" s="8"/>
      <x:c r="E925" s="8"/>
      <x:c r="F925" s="8"/>
      <x:c r="G925" s="8"/>
      <x:c r="H925" s="8"/>
      <x:c r="I925" s="8"/>
      <x:c r="J925" s="8"/>
      <x:c r="K925" s="8"/>
      <x:c r="L925" s="8"/>
      <x:c r="M925" s="10"/>
      <x:c r="N925" s="10"/>
      <x:c r="O925" s="8"/>
      <x:c r="P925" s="9" t="str">
        <x:f>IF(C925="","",IF(AND(G925="Applicable",H925="Fail"),"Fail",IF(R925&lt;&gt;"Valid","Pending",IF(OR(I925="",K925="",L925="",K925=L925,NOT(ISNUMBER(M925)),NOT(ISNUMBER(N925)),M925&gt;Settings!$F$8,N925&lt;Settings!$F$8,N925&lt;M925),"Pending",IF(AND(G925="Applicable",H925="Pass"),"Pass",IF(AND(G925="N/A",H925="N/A",J925&lt;&gt;"",OR(E925="CEM-FUELS",E925="CEM-CCS",AND(E925="CEM-PLAN",IFERROR(INDEX('Taxonomy'!$M$9:$M$108,MATCH(D925,'Taxonomy'!$C$9:$C$108,0)),"")&lt;&gt;"Amber"),E925="BLD-TIMBER",AND(U925="Building equipment",OR(E925="BLD-WATER",E925="BLD-WASTE",E925="BLD-LAND")),AND(U925="Building renovation",E925="BLD-LAND"))),"N/A","Pending"))))))</x:f>
      </x:c>
      <x:c r="Q925" s="3" t="str">
        <x:f>IF(C925="","",IF(AND(R925="Valid",OR(P925="Pass",P925="N/A")),"Complete","Unresolved"))</x:f>
      </x:c>
      <x:c r="R925" s="9" t="str">
        <x:f>IF(C925="","",IF(OR(COUNTIF($C$9:$C$2008,C925)&lt;&gt;1,COUNTIFS($D$9:$D$2008,D925,$E$9:$E$2008,E925)&lt;&gt;1),"Duplicate test",IF(COUNTIF('Taxonomy'!$C$9:$C$108,D925)&lt;&gt;1,"Assessment key",IF(OR(COUNTIF('Taxonomy Rules'!$C$42:$C$68,E925)&lt;&gt;1,F925&lt;&gt;IFERROR(INDEX('Taxonomy Rules'!$D$42:$D$68,MATCH(E925,'Taxonomy Rules'!$C$42:$C$68,0)),""),NOT(OR(IFERROR(INDEX('Taxonomy Rules'!$G$42:$G$68,MATCH(E925,'Taxonomy Rules'!$C$42:$C$68,0)),"")="All supported routes",IFERROR(INDEX('Taxonomy Rules'!$G$42:$G$68,MATCH(E925,'Taxonomy Rules'!$C$42:$C$68,0)),"")=U925,AND(IFERROR(INDEX('Taxonomy Rules'!$G$42:$G$68,MATCH(E925,'Taxonomy Rules'!$C$42:$C$68,0)),"")="Building routes",OR(U925="Building renovation",U925="New building",U925="Building equipment"))))),"Unexpected test","Valid"))))</x:f>
      </x:c>
      <x:c r="S925" s="9" t="str">
        <x:f>IF(C925="","",IFERROR(INDEX('Taxonomy Rules'!$E$42:$E$68,MATCH(E925,'Taxonomy Rules'!$C$42:$C$68,0)),""))</x:f>
      </x:c>
      <x:c r="T925" s="9" t="str">
        <x:f>IF(C925="","",IFERROR(INDEX('Taxonomy Rules'!$F$42:$F$68,MATCH(E925,'Taxonomy Rules'!$C$42:$C$68,0)),""))</x:f>
      </x:c>
      <x:c r="U925" s="9" t="str">
        <x:f>IF(C925="","",IFERROR(INDEX('Taxonomy'!$G$9:$G$108,MATCH(D925,'Taxonomy'!$C$9:$C$108,0)),""))</x:f>
      </x:c>
    </x:row>
    <x:row r="926" ht="44" customHeight="1">
      <x:c r="A926" s="1"/>
      <x:c r="B926" s="1"/>
      <x:c r="C926" s="8"/>
      <x:c r="D926" s="8"/>
      <x:c r="E926" s="8"/>
      <x:c r="F926" s="8"/>
      <x:c r="G926" s="8"/>
      <x:c r="H926" s="8"/>
      <x:c r="I926" s="8"/>
      <x:c r="J926" s="8"/>
      <x:c r="K926" s="8"/>
      <x:c r="L926" s="8"/>
      <x:c r="M926" s="10"/>
      <x:c r="N926" s="10"/>
      <x:c r="O926" s="8"/>
      <x:c r="P926" s="9" t="str">
        <x:f>IF(C926="","",IF(AND(G926="Applicable",H926="Fail"),"Fail",IF(R926&lt;&gt;"Valid","Pending",IF(OR(I926="",K926="",L926="",K926=L926,NOT(ISNUMBER(M926)),NOT(ISNUMBER(N926)),M926&gt;Settings!$F$8,N926&lt;Settings!$F$8,N926&lt;M926),"Pending",IF(AND(G926="Applicable",H926="Pass"),"Pass",IF(AND(G926="N/A",H926="N/A",J926&lt;&gt;"",OR(E926="CEM-FUELS",E926="CEM-CCS",AND(E926="CEM-PLAN",IFERROR(INDEX('Taxonomy'!$M$9:$M$108,MATCH(D926,'Taxonomy'!$C$9:$C$108,0)),"")&lt;&gt;"Amber"),E926="BLD-TIMBER",AND(U926="Building equipment",OR(E926="BLD-WATER",E926="BLD-WASTE",E926="BLD-LAND")),AND(U926="Building renovation",E926="BLD-LAND"))),"N/A","Pending"))))))</x:f>
      </x:c>
      <x:c r="Q926" s="3" t="str">
        <x:f>IF(C926="","",IF(AND(R926="Valid",OR(P926="Pass",P926="N/A")),"Complete","Unresolved"))</x:f>
      </x:c>
      <x:c r="R926" s="9" t="str">
        <x:f>IF(C926="","",IF(OR(COUNTIF($C$9:$C$2008,C926)&lt;&gt;1,COUNTIFS($D$9:$D$2008,D926,$E$9:$E$2008,E926)&lt;&gt;1),"Duplicate test",IF(COUNTIF('Taxonomy'!$C$9:$C$108,D926)&lt;&gt;1,"Assessment key",IF(OR(COUNTIF('Taxonomy Rules'!$C$42:$C$68,E926)&lt;&gt;1,F926&lt;&gt;IFERROR(INDEX('Taxonomy Rules'!$D$42:$D$68,MATCH(E926,'Taxonomy Rules'!$C$42:$C$68,0)),""),NOT(OR(IFERROR(INDEX('Taxonomy Rules'!$G$42:$G$68,MATCH(E926,'Taxonomy Rules'!$C$42:$C$68,0)),"")="All supported routes",IFERROR(INDEX('Taxonomy Rules'!$G$42:$G$68,MATCH(E926,'Taxonomy Rules'!$C$42:$C$68,0)),"")=U926,AND(IFERROR(INDEX('Taxonomy Rules'!$G$42:$G$68,MATCH(E926,'Taxonomy Rules'!$C$42:$C$68,0)),"")="Building routes",OR(U926="Building renovation",U926="New building",U926="Building equipment"))))),"Unexpected test","Valid"))))</x:f>
      </x:c>
      <x:c r="S926" s="9" t="str">
        <x:f>IF(C926="","",IFERROR(INDEX('Taxonomy Rules'!$E$42:$E$68,MATCH(E926,'Taxonomy Rules'!$C$42:$C$68,0)),""))</x:f>
      </x:c>
      <x:c r="T926" s="9" t="str">
        <x:f>IF(C926="","",IFERROR(INDEX('Taxonomy Rules'!$F$42:$F$68,MATCH(E926,'Taxonomy Rules'!$C$42:$C$68,0)),""))</x:f>
      </x:c>
      <x:c r="U926" s="9" t="str">
        <x:f>IF(C926="","",IFERROR(INDEX('Taxonomy'!$G$9:$G$108,MATCH(D926,'Taxonomy'!$C$9:$C$108,0)),""))</x:f>
      </x:c>
    </x:row>
    <x:row r="927" ht="44" customHeight="1">
      <x:c r="A927" s="1"/>
      <x:c r="B927" s="1"/>
      <x:c r="C927" s="8"/>
      <x:c r="D927" s="8"/>
      <x:c r="E927" s="8"/>
      <x:c r="F927" s="8"/>
      <x:c r="G927" s="8"/>
      <x:c r="H927" s="8"/>
      <x:c r="I927" s="8"/>
      <x:c r="J927" s="8"/>
      <x:c r="K927" s="8"/>
      <x:c r="L927" s="8"/>
      <x:c r="M927" s="10"/>
      <x:c r="N927" s="10"/>
      <x:c r="O927" s="8"/>
      <x:c r="P927" s="9" t="str">
        <x:f>IF(C927="","",IF(AND(G927="Applicable",H927="Fail"),"Fail",IF(R927&lt;&gt;"Valid","Pending",IF(OR(I927="",K927="",L927="",K927=L927,NOT(ISNUMBER(M927)),NOT(ISNUMBER(N927)),M927&gt;Settings!$F$8,N927&lt;Settings!$F$8,N927&lt;M927),"Pending",IF(AND(G927="Applicable",H927="Pass"),"Pass",IF(AND(G927="N/A",H927="N/A",J927&lt;&gt;"",OR(E927="CEM-FUELS",E927="CEM-CCS",AND(E927="CEM-PLAN",IFERROR(INDEX('Taxonomy'!$M$9:$M$108,MATCH(D927,'Taxonomy'!$C$9:$C$108,0)),"")&lt;&gt;"Amber"),E927="BLD-TIMBER",AND(U927="Building equipment",OR(E927="BLD-WATER",E927="BLD-WASTE",E927="BLD-LAND")),AND(U927="Building renovation",E927="BLD-LAND"))),"N/A","Pending"))))))</x:f>
      </x:c>
      <x:c r="Q927" s="3" t="str">
        <x:f>IF(C927="","",IF(AND(R927="Valid",OR(P927="Pass",P927="N/A")),"Complete","Unresolved"))</x:f>
      </x:c>
      <x:c r="R927" s="9" t="str">
        <x:f>IF(C927="","",IF(OR(COUNTIF($C$9:$C$2008,C927)&lt;&gt;1,COUNTIFS($D$9:$D$2008,D927,$E$9:$E$2008,E927)&lt;&gt;1),"Duplicate test",IF(COUNTIF('Taxonomy'!$C$9:$C$108,D927)&lt;&gt;1,"Assessment key",IF(OR(COUNTIF('Taxonomy Rules'!$C$42:$C$68,E927)&lt;&gt;1,F927&lt;&gt;IFERROR(INDEX('Taxonomy Rules'!$D$42:$D$68,MATCH(E927,'Taxonomy Rules'!$C$42:$C$68,0)),""),NOT(OR(IFERROR(INDEX('Taxonomy Rules'!$G$42:$G$68,MATCH(E927,'Taxonomy Rules'!$C$42:$C$68,0)),"")="All supported routes",IFERROR(INDEX('Taxonomy Rules'!$G$42:$G$68,MATCH(E927,'Taxonomy Rules'!$C$42:$C$68,0)),"")=U927,AND(IFERROR(INDEX('Taxonomy Rules'!$G$42:$G$68,MATCH(E927,'Taxonomy Rules'!$C$42:$C$68,0)),"")="Building routes",OR(U927="Building renovation",U927="New building",U927="Building equipment"))))),"Unexpected test","Valid"))))</x:f>
      </x:c>
      <x:c r="S927" s="9" t="str">
        <x:f>IF(C927="","",IFERROR(INDEX('Taxonomy Rules'!$E$42:$E$68,MATCH(E927,'Taxonomy Rules'!$C$42:$C$68,0)),""))</x:f>
      </x:c>
      <x:c r="T927" s="9" t="str">
        <x:f>IF(C927="","",IFERROR(INDEX('Taxonomy Rules'!$F$42:$F$68,MATCH(E927,'Taxonomy Rules'!$C$42:$C$68,0)),""))</x:f>
      </x:c>
      <x:c r="U927" s="9" t="str">
        <x:f>IF(C927="","",IFERROR(INDEX('Taxonomy'!$G$9:$G$108,MATCH(D927,'Taxonomy'!$C$9:$C$108,0)),""))</x:f>
      </x:c>
    </x:row>
    <x:row r="928" ht="44" customHeight="1">
      <x:c r="A928" s="1"/>
      <x:c r="B928" s="1"/>
      <x:c r="C928" s="8"/>
      <x:c r="D928" s="8"/>
      <x:c r="E928" s="8"/>
      <x:c r="F928" s="8"/>
      <x:c r="G928" s="8"/>
      <x:c r="H928" s="8"/>
      <x:c r="I928" s="8"/>
      <x:c r="J928" s="8"/>
      <x:c r="K928" s="8"/>
      <x:c r="L928" s="8"/>
      <x:c r="M928" s="10"/>
      <x:c r="N928" s="10"/>
      <x:c r="O928" s="8"/>
      <x:c r="P928" s="9" t="str">
        <x:f>IF(C928="","",IF(AND(G928="Applicable",H928="Fail"),"Fail",IF(R928&lt;&gt;"Valid","Pending",IF(OR(I928="",K928="",L928="",K928=L928,NOT(ISNUMBER(M928)),NOT(ISNUMBER(N928)),M928&gt;Settings!$F$8,N928&lt;Settings!$F$8,N928&lt;M928),"Pending",IF(AND(G928="Applicable",H928="Pass"),"Pass",IF(AND(G928="N/A",H928="N/A",J928&lt;&gt;"",OR(E928="CEM-FUELS",E928="CEM-CCS",AND(E928="CEM-PLAN",IFERROR(INDEX('Taxonomy'!$M$9:$M$108,MATCH(D928,'Taxonomy'!$C$9:$C$108,0)),"")&lt;&gt;"Amber"),E928="BLD-TIMBER",AND(U928="Building equipment",OR(E928="BLD-WATER",E928="BLD-WASTE",E928="BLD-LAND")),AND(U928="Building renovation",E928="BLD-LAND"))),"N/A","Pending"))))))</x:f>
      </x:c>
      <x:c r="Q928" s="3" t="str">
        <x:f>IF(C928="","",IF(AND(R928="Valid",OR(P928="Pass",P928="N/A")),"Complete","Unresolved"))</x:f>
      </x:c>
      <x:c r="R928" s="9" t="str">
        <x:f>IF(C928="","",IF(OR(COUNTIF($C$9:$C$2008,C928)&lt;&gt;1,COUNTIFS($D$9:$D$2008,D928,$E$9:$E$2008,E928)&lt;&gt;1),"Duplicate test",IF(COUNTIF('Taxonomy'!$C$9:$C$108,D928)&lt;&gt;1,"Assessment key",IF(OR(COUNTIF('Taxonomy Rules'!$C$42:$C$68,E928)&lt;&gt;1,F928&lt;&gt;IFERROR(INDEX('Taxonomy Rules'!$D$42:$D$68,MATCH(E928,'Taxonomy Rules'!$C$42:$C$68,0)),""),NOT(OR(IFERROR(INDEX('Taxonomy Rules'!$G$42:$G$68,MATCH(E928,'Taxonomy Rules'!$C$42:$C$68,0)),"")="All supported routes",IFERROR(INDEX('Taxonomy Rules'!$G$42:$G$68,MATCH(E928,'Taxonomy Rules'!$C$42:$C$68,0)),"")=U928,AND(IFERROR(INDEX('Taxonomy Rules'!$G$42:$G$68,MATCH(E928,'Taxonomy Rules'!$C$42:$C$68,0)),"")="Building routes",OR(U928="Building renovation",U928="New building",U928="Building equipment"))))),"Unexpected test","Valid"))))</x:f>
      </x:c>
      <x:c r="S928" s="9" t="str">
        <x:f>IF(C928="","",IFERROR(INDEX('Taxonomy Rules'!$E$42:$E$68,MATCH(E928,'Taxonomy Rules'!$C$42:$C$68,0)),""))</x:f>
      </x:c>
      <x:c r="T928" s="9" t="str">
        <x:f>IF(C928="","",IFERROR(INDEX('Taxonomy Rules'!$F$42:$F$68,MATCH(E928,'Taxonomy Rules'!$C$42:$C$68,0)),""))</x:f>
      </x:c>
      <x:c r="U928" s="9" t="str">
        <x:f>IF(C928="","",IFERROR(INDEX('Taxonomy'!$G$9:$G$108,MATCH(D928,'Taxonomy'!$C$9:$C$108,0)),""))</x:f>
      </x:c>
    </x:row>
    <x:row r="929" ht="44" customHeight="1">
      <x:c r="A929" s="1"/>
      <x:c r="B929" s="1"/>
      <x:c r="C929" s="8"/>
      <x:c r="D929" s="8"/>
      <x:c r="E929" s="8"/>
      <x:c r="F929" s="8"/>
      <x:c r="G929" s="8"/>
      <x:c r="H929" s="8"/>
      <x:c r="I929" s="8"/>
      <x:c r="J929" s="8"/>
      <x:c r="K929" s="8"/>
      <x:c r="L929" s="8"/>
      <x:c r="M929" s="10"/>
      <x:c r="N929" s="10"/>
      <x:c r="O929" s="8"/>
      <x:c r="P929" s="9" t="str">
        <x:f>IF(C929="","",IF(AND(G929="Applicable",H929="Fail"),"Fail",IF(R929&lt;&gt;"Valid","Pending",IF(OR(I929="",K929="",L929="",K929=L929,NOT(ISNUMBER(M929)),NOT(ISNUMBER(N929)),M929&gt;Settings!$F$8,N929&lt;Settings!$F$8,N929&lt;M929),"Pending",IF(AND(G929="Applicable",H929="Pass"),"Pass",IF(AND(G929="N/A",H929="N/A",J929&lt;&gt;"",OR(E929="CEM-FUELS",E929="CEM-CCS",AND(E929="CEM-PLAN",IFERROR(INDEX('Taxonomy'!$M$9:$M$108,MATCH(D929,'Taxonomy'!$C$9:$C$108,0)),"")&lt;&gt;"Amber"),E929="BLD-TIMBER",AND(U929="Building equipment",OR(E929="BLD-WATER",E929="BLD-WASTE",E929="BLD-LAND")),AND(U929="Building renovation",E929="BLD-LAND"))),"N/A","Pending"))))))</x:f>
      </x:c>
      <x:c r="Q929" s="3" t="str">
        <x:f>IF(C929="","",IF(AND(R929="Valid",OR(P929="Pass",P929="N/A")),"Complete","Unresolved"))</x:f>
      </x:c>
      <x:c r="R929" s="9" t="str">
        <x:f>IF(C929="","",IF(OR(COUNTIF($C$9:$C$2008,C929)&lt;&gt;1,COUNTIFS($D$9:$D$2008,D929,$E$9:$E$2008,E929)&lt;&gt;1),"Duplicate test",IF(COUNTIF('Taxonomy'!$C$9:$C$108,D929)&lt;&gt;1,"Assessment key",IF(OR(COUNTIF('Taxonomy Rules'!$C$42:$C$68,E929)&lt;&gt;1,F929&lt;&gt;IFERROR(INDEX('Taxonomy Rules'!$D$42:$D$68,MATCH(E929,'Taxonomy Rules'!$C$42:$C$68,0)),""),NOT(OR(IFERROR(INDEX('Taxonomy Rules'!$G$42:$G$68,MATCH(E929,'Taxonomy Rules'!$C$42:$C$68,0)),"")="All supported routes",IFERROR(INDEX('Taxonomy Rules'!$G$42:$G$68,MATCH(E929,'Taxonomy Rules'!$C$42:$C$68,0)),"")=U929,AND(IFERROR(INDEX('Taxonomy Rules'!$G$42:$G$68,MATCH(E929,'Taxonomy Rules'!$C$42:$C$68,0)),"")="Building routes",OR(U929="Building renovation",U929="New building",U929="Building equipment"))))),"Unexpected test","Valid"))))</x:f>
      </x:c>
      <x:c r="S929" s="9" t="str">
        <x:f>IF(C929="","",IFERROR(INDEX('Taxonomy Rules'!$E$42:$E$68,MATCH(E929,'Taxonomy Rules'!$C$42:$C$68,0)),""))</x:f>
      </x:c>
      <x:c r="T929" s="9" t="str">
        <x:f>IF(C929="","",IFERROR(INDEX('Taxonomy Rules'!$F$42:$F$68,MATCH(E929,'Taxonomy Rules'!$C$42:$C$68,0)),""))</x:f>
      </x:c>
      <x:c r="U929" s="9" t="str">
        <x:f>IF(C929="","",IFERROR(INDEX('Taxonomy'!$G$9:$G$108,MATCH(D929,'Taxonomy'!$C$9:$C$108,0)),""))</x:f>
      </x:c>
    </x:row>
    <x:row r="930" ht="44" customHeight="1">
      <x:c r="A930" s="1"/>
      <x:c r="B930" s="1"/>
      <x:c r="C930" s="8"/>
      <x:c r="D930" s="8"/>
      <x:c r="E930" s="8"/>
      <x:c r="F930" s="8"/>
      <x:c r="G930" s="8"/>
      <x:c r="H930" s="8"/>
      <x:c r="I930" s="8"/>
      <x:c r="J930" s="8"/>
      <x:c r="K930" s="8"/>
      <x:c r="L930" s="8"/>
      <x:c r="M930" s="10"/>
      <x:c r="N930" s="10"/>
      <x:c r="O930" s="8"/>
      <x:c r="P930" s="9" t="str">
        <x:f>IF(C930="","",IF(AND(G930="Applicable",H930="Fail"),"Fail",IF(R930&lt;&gt;"Valid","Pending",IF(OR(I930="",K930="",L930="",K930=L930,NOT(ISNUMBER(M930)),NOT(ISNUMBER(N930)),M930&gt;Settings!$F$8,N930&lt;Settings!$F$8,N930&lt;M930),"Pending",IF(AND(G930="Applicable",H930="Pass"),"Pass",IF(AND(G930="N/A",H930="N/A",J930&lt;&gt;"",OR(E930="CEM-FUELS",E930="CEM-CCS",AND(E930="CEM-PLAN",IFERROR(INDEX('Taxonomy'!$M$9:$M$108,MATCH(D930,'Taxonomy'!$C$9:$C$108,0)),"")&lt;&gt;"Amber"),E930="BLD-TIMBER",AND(U930="Building equipment",OR(E930="BLD-WATER",E930="BLD-WASTE",E930="BLD-LAND")),AND(U930="Building renovation",E930="BLD-LAND"))),"N/A","Pending"))))))</x:f>
      </x:c>
      <x:c r="Q930" s="3" t="str">
        <x:f>IF(C930="","",IF(AND(R930="Valid",OR(P930="Pass",P930="N/A")),"Complete","Unresolved"))</x:f>
      </x:c>
      <x:c r="R930" s="9" t="str">
        <x:f>IF(C930="","",IF(OR(COUNTIF($C$9:$C$2008,C930)&lt;&gt;1,COUNTIFS($D$9:$D$2008,D930,$E$9:$E$2008,E930)&lt;&gt;1),"Duplicate test",IF(COUNTIF('Taxonomy'!$C$9:$C$108,D930)&lt;&gt;1,"Assessment key",IF(OR(COUNTIF('Taxonomy Rules'!$C$42:$C$68,E930)&lt;&gt;1,F930&lt;&gt;IFERROR(INDEX('Taxonomy Rules'!$D$42:$D$68,MATCH(E930,'Taxonomy Rules'!$C$42:$C$68,0)),""),NOT(OR(IFERROR(INDEX('Taxonomy Rules'!$G$42:$G$68,MATCH(E930,'Taxonomy Rules'!$C$42:$C$68,0)),"")="All supported routes",IFERROR(INDEX('Taxonomy Rules'!$G$42:$G$68,MATCH(E930,'Taxonomy Rules'!$C$42:$C$68,0)),"")=U930,AND(IFERROR(INDEX('Taxonomy Rules'!$G$42:$G$68,MATCH(E930,'Taxonomy Rules'!$C$42:$C$68,0)),"")="Building routes",OR(U930="Building renovation",U930="New building",U930="Building equipment"))))),"Unexpected test","Valid"))))</x:f>
      </x:c>
      <x:c r="S930" s="9" t="str">
        <x:f>IF(C930="","",IFERROR(INDEX('Taxonomy Rules'!$E$42:$E$68,MATCH(E930,'Taxonomy Rules'!$C$42:$C$68,0)),""))</x:f>
      </x:c>
      <x:c r="T930" s="9" t="str">
        <x:f>IF(C930="","",IFERROR(INDEX('Taxonomy Rules'!$F$42:$F$68,MATCH(E930,'Taxonomy Rules'!$C$42:$C$68,0)),""))</x:f>
      </x:c>
      <x:c r="U930" s="9" t="str">
        <x:f>IF(C930="","",IFERROR(INDEX('Taxonomy'!$G$9:$G$108,MATCH(D930,'Taxonomy'!$C$9:$C$108,0)),""))</x:f>
      </x:c>
    </x:row>
    <x:row r="931" ht="44" customHeight="1">
      <x:c r="A931" s="1"/>
      <x:c r="B931" s="1"/>
      <x:c r="C931" s="8"/>
      <x:c r="D931" s="8"/>
      <x:c r="E931" s="8"/>
      <x:c r="F931" s="8"/>
      <x:c r="G931" s="8"/>
      <x:c r="H931" s="8"/>
      <x:c r="I931" s="8"/>
      <x:c r="J931" s="8"/>
      <x:c r="K931" s="8"/>
      <x:c r="L931" s="8"/>
      <x:c r="M931" s="10"/>
      <x:c r="N931" s="10"/>
      <x:c r="O931" s="8"/>
      <x:c r="P931" s="9" t="str">
        <x:f>IF(C931="","",IF(AND(G931="Applicable",H931="Fail"),"Fail",IF(R931&lt;&gt;"Valid","Pending",IF(OR(I931="",K931="",L931="",K931=L931,NOT(ISNUMBER(M931)),NOT(ISNUMBER(N931)),M931&gt;Settings!$F$8,N931&lt;Settings!$F$8,N931&lt;M931),"Pending",IF(AND(G931="Applicable",H931="Pass"),"Pass",IF(AND(G931="N/A",H931="N/A",J931&lt;&gt;"",OR(E931="CEM-FUELS",E931="CEM-CCS",AND(E931="CEM-PLAN",IFERROR(INDEX('Taxonomy'!$M$9:$M$108,MATCH(D931,'Taxonomy'!$C$9:$C$108,0)),"")&lt;&gt;"Amber"),E931="BLD-TIMBER",AND(U931="Building equipment",OR(E931="BLD-WATER",E931="BLD-WASTE",E931="BLD-LAND")),AND(U931="Building renovation",E931="BLD-LAND"))),"N/A","Pending"))))))</x:f>
      </x:c>
      <x:c r="Q931" s="3" t="str">
        <x:f>IF(C931="","",IF(AND(R931="Valid",OR(P931="Pass",P931="N/A")),"Complete","Unresolved"))</x:f>
      </x:c>
      <x:c r="R931" s="9" t="str">
        <x:f>IF(C931="","",IF(OR(COUNTIF($C$9:$C$2008,C931)&lt;&gt;1,COUNTIFS($D$9:$D$2008,D931,$E$9:$E$2008,E931)&lt;&gt;1),"Duplicate test",IF(COUNTIF('Taxonomy'!$C$9:$C$108,D931)&lt;&gt;1,"Assessment key",IF(OR(COUNTIF('Taxonomy Rules'!$C$42:$C$68,E931)&lt;&gt;1,F931&lt;&gt;IFERROR(INDEX('Taxonomy Rules'!$D$42:$D$68,MATCH(E931,'Taxonomy Rules'!$C$42:$C$68,0)),""),NOT(OR(IFERROR(INDEX('Taxonomy Rules'!$G$42:$G$68,MATCH(E931,'Taxonomy Rules'!$C$42:$C$68,0)),"")="All supported routes",IFERROR(INDEX('Taxonomy Rules'!$G$42:$G$68,MATCH(E931,'Taxonomy Rules'!$C$42:$C$68,0)),"")=U931,AND(IFERROR(INDEX('Taxonomy Rules'!$G$42:$G$68,MATCH(E931,'Taxonomy Rules'!$C$42:$C$68,0)),"")="Building routes",OR(U931="Building renovation",U931="New building",U931="Building equipment"))))),"Unexpected test","Valid"))))</x:f>
      </x:c>
      <x:c r="S931" s="9" t="str">
        <x:f>IF(C931="","",IFERROR(INDEX('Taxonomy Rules'!$E$42:$E$68,MATCH(E931,'Taxonomy Rules'!$C$42:$C$68,0)),""))</x:f>
      </x:c>
      <x:c r="T931" s="9" t="str">
        <x:f>IF(C931="","",IFERROR(INDEX('Taxonomy Rules'!$F$42:$F$68,MATCH(E931,'Taxonomy Rules'!$C$42:$C$68,0)),""))</x:f>
      </x:c>
      <x:c r="U931" s="9" t="str">
        <x:f>IF(C931="","",IFERROR(INDEX('Taxonomy'!$G$9:$G$108,MATCH(D931,'Taxonomy'!$C$9:$C$108,0)),""))</x:f>
      </x:c>
    </x:row>
    <x:row r="932" ht="44" customHeight="1">
      <x:c r="A932" s="1"/>
      <x:c r="B932" s="1"/>
      <x:c r="C932" s="8"/>
      <x:c r="D932" s="8"/>
      <x:c r="E932" s="8"/>
      <x:c r="F932" s="8"/>
      <x:c r="G932" s="8"/>
      <x:c r="H932" s="8"/>
      <x:c r="I932" s="8"/>
      <x:c r="J932" s="8"/>
      <x:c r="K932" s="8"/>
      <x:c r="L932" s="8"/>
      <x:c r="M932" s="10"/>
      <x:c r="N932" s="10"/>
      <x:c r="O932" s="8"/>
      <x:c r="P932" s="9" t="str">
        <x:f>IF(C932="","",IF(AND(G932="Applicable",H932="Fail"),"Fail",IF(R932&lt;&gt;"Valid","Pending",IF(OR(I932="",K932="",L932="",K932=L932,NOT(ISNUMBER(M932)),NOT(ISNUMBER(N932)),M932&gt;Settings!$F$8,N932&lt;Settings!$F$8,N932&lt;M932),"Pending",IF(AND(G932="Applicable",H932="Pass"),"Pass",IF(AND(G932="N/A",H932="N/A",J932&lt;&gt;"",OR(E932="CEM-FUELS",E932="CEM-CCS",AND(E932="CEM-PLAN",IFERROR(INDEX('Taxonomy'!$M$9:$M$108,MATCH(D932,'Taxonomy'!$C$9:$C$108,0)),"")&lt;&gt;"Amber"),E932="BLD-TIMBER",AND(U932="Building equipment",OR(E932="BLD-WATER",E932="BLD-WASTE",E932="BLD-LAND")),AND(U932="Building renovation",E932="BLD-LAND"))),"N/A","Pending"))))))</x:f>
      </x:c>
      <x:c r="Q932" s="3" t="str">
        <x:f>IF(C932="","",IF(AND(R932="Valid",OR(P932="Pass",P932="N/A")),"Complete","Unresolved"))</x:f>
      </x:c>
      <x:c r="R932" s="9" t="str">
        <x:f>IF(C932="","",IF(OR(COUNTIF($C$9:$C$2008,C932)&lt;&gt;1,COUNTIFS($D$9:$D$2008,D932,$E$9:$E$2008,E932)&lt;&gt;1),"Duplicate test",IF(COUNTIF('Taxonomy'!$C$9:$C$108,D932)&lt;&gt;1,"Assessment key",IF(OR(COUNTIF('Taxonomy Rules'!$C$42:$C$68,E932)&lt;&gt;1,F932&lt;&gt;IFERROR(INDEX('Taxonomy Rules'!$D$42:$D$68,MATCH(E932,'Taxonomy Rules'!$C$42:$C$68,0)),""),NOT(OR(IFERROR(INDEX('Taxonomy Rules'!$G$42:$G$68,MATCH(E932,'Taxonomy Rules'!$C$42:$C$68,0)),"")="All supported routes",IFERROR(INDEX('Taxonomy Rules'!$G$42:$G$68,MATCH(E932,'Taxonomy Rules'!$C$42:$C$68,0)),"")=U932,AND(IFERROR(INDEX('Taxonomy Rules'!$G$42:$G$68,MATCH(E932,'Taxonomy Rules'!$C$42:$C$68,0)),"")="Building routes",OR(U932="Building renovation",U932="New building",U932="Building equipment"))))),"Unexpected test","Valid"))))</x:f>
      </x:c>
      <x:c r="S932" s="9" t="str">
        <x:f>IF(C932="","",IFERROR(INDEX('Taxonomy Rules'!$E$42:$E$68,MATCH(E932,'Taxonomy Rules'!$C$42:$C$68,0)),""))</x:f>
      </x:c>
      <x:c r="T932" s="9" t="str">
        <x:f>IF(C932="","",IFERROR(INDEX('Taxonomy Rules'!$F$42:$F$68,MATCH(E932,'Taxonomy Rules'!$C$42:$C$68,0)),""))</x:f>
      </x:c>
      <x:c r="U932" s="9" t="str">
        <x:f>IF(C932="","",IFERROR(INDEX('Taxonomy'!$G$9:$G$108,MATCH(D932,'Taxonomy'!$C$9:$C$108,0)),""))</x:f>
      </x:c>
    </x:row>
    <x:row r="933" ht="44" customHeight="1">
      <x:c r="A933" s="1"/>
      <x:c r="B933" s="1"/>
      <x:c r="C933" s="8"/>
      <x:c r="D933" s="8"/>
      <x:c r="E933" s="8"/>
      <x:c r="F933" s="8"/>
      <x:c r="G933" s="8"/>
      <x:c r="H933" s="8"/>
      <x:c r="I933" s="8"/>
      <x:c r="J933" s="8"/>
      <x:c r="K933" s="8"/>
      <x:c r="L933" s="8"/>
      <x:c r="M933" s="10"/>
      <x:c r="N933" s="10"/>
      <x:c r="O933" s="8"/>
      <x:c r="P933" s="9" t="str">
        <x:f>IF(C933="","",IF(AND(G933="Applicable",H933="Fail"),"Fail",IF(R933&lt;&gt;"Valid","Pending",IF(OR(I933="",K933="",L933="",K933=L933,NOT(ISNUMBER(M933)),NOT(ISNUMBER(N933)),M933&gt;Settings!$F$8,N933&lt;Settings!$F$8,N933&lt;M933),"Pending",IF(AND(G933="Applicable",H933="Pass"),"Pass",IF(AND(G933="N/A",H933="N/A",J933&lt;&gt;"",OR(E933="CEM-FUELS",E933="CEM-CCS",AND(E933="CEM-PLAN",IFERROR(INDEX('Taxonomy'!$M$9:$M$108,MATCH(D933,'Taxonomy'!$C$9:$C$108,0)),"")&lt;&gt;"Amber"),E933="BLD-TIMBER",AND(U933="Building equipment",OR(E933="BLD-WATER",E933="BLD-WASTE",E933="BLD-LAND")),AND(U933="Building renovation",E933="BLD-LAND"))),"N/A","Pending"))))))</x:f>
      </x:c>
      <x:c r="Q933" s="3" t="str">
        <x:f>IF(C933="","",IF(AND(R933="Valid",OR(P933="Pass",P933="N/A")),"Complete","Unresolved"))</x:f>
      </x:c>
      <x:c r="R933" s="9" t="str">
        <x:f>IF(C933="","",IF(OR(COUNTIF($C$9:$C$2008,C933)&lt;&gt;1,COUNTIFS($D$9:$D$2008,D933,$E$9:$E$2008,E933)&lt;&gt;1),"Duplicate test",IF(COUNTIF('Taxonomy'!$C$9:$C$108,D933)&lt;&gt;1,"Assessment key",IF(OR(COUNTIF('Taxonomy Rules'!$C$42:$C$68,E933)&lt;&gt;1,F933&lt;&gt;IFERROR(INDEX('Taxonomy Rules'!$D$42:$D$68,MATCH(E933,'Taxonomy Rules'!$C$42:$C$68,0)),""),NOT(OR(IFERROR(INDEX('Taxonomy Rules'!$G$42:$G$68,MATCH(E933,'Taxonomy Rules'!$C$42:$C$68,0)),"")="All supported routes",IFERROR(INDEX('Taxonomy Rules'!$G$42:$G$68,MATCH(E933,'Taxonomy Rules'!$C$42:$C$68,0)),"")=U933,AND(IFERROR(INDEX('Taxonomy Rules'!$G$42:$G$68,MATCH(E933,'Taxonomy Rules'!$C$42:$C$68,0)),"")="Building routes",OR(U933="Building renovation",U933="New building",U933="Building equipment"))))),"Unexpected test","Valid"))))</x:f>
      </x:c>
      <x:c r="S933" s="9" t="str">
        <x:f>IF(C933="","",IFERROR(INDEX('Taxonomy Rules'!$E$42:$E$68,MATCH(E933,'Taxonomy Rules'!$C$42:$C$68,0)),""))</x:f>
      </x:c>
      <x:c r="T933" s="9" t="str">
        <x:f>IF(C933="","",IFERROR(INDEX('Taxonomy Rules'!$F$42:$F$68,MATCH(E933,'Taxonomy Rules'!$C$42:$C$68,0)),""))</x:f>
      </x:c>
      <x:c r="U933" s="9" t="str">
        <x:f>IF(C933="","",IFERROR(INDEX('Taxonomy'!$G$9:$G$108,MATCH(D933,'Taxonomy'!$C$9:$C$108,0)),""))</x:f>
      </x:c>
    </x:row>
    <x:row r="934" ht="44" customHeight="1">
      <x:c r="A934" s="1"/>
      <x:c r="B934" s="1"/>
      <x:c r="C934" s="8"/>
      <x:c r="D934" s="8"/>
      <x:c r="E934" s="8"/>
      <x:c r="F934" s="8"/>
      <x:c r="G934" s="8"/>
      <x:c r="H934" s="8"/>
      <x:c r="I934" s="8"/>
      <x:c r="J934" s="8"/>
      <x:c r="K934" s="8"/>
      <x:c r="L934" s="8"/>
      <x:c r="M934" s="10"/>
      <x:c r="N934" s="10"/>
      <x:c r="O934" s="8"/>
      <x:c r="P934" s="9" t="str">
        <x:f>IF(C934="","",IF(AND(G934="Applicable",H934="Fail"),"Fail",IF(R934&lt;&gt;"Valid","Pending",IF(OR(I934="",K934="",L934="",K934=L934,NOT(ISNUMBER(M934)),NOT(ISNUMBER(N934)),M934&gt;Settings!$F$8,N934&lt;Settings!$F$8,N934&lt;M934),"Pending",IF(AND(G934="Applicable",H934="Pass"),"Pass",IF(AND(G934="N/A",H934="N/A",J934&lt;&gt;"",OR(E934="CEM-FUELS",E934="CEM-CCS",AND(E934="CEM-PLAN",IFERROR(INDEX('Taxonomy'!$M$9:$M$108,MATCH(D934,'Taxonomy'!$C$9:$C$108,0)),"")&lt;&gt;"Amber"),E934="BLD-TIMBER",AND(U934="Building equipment",OR(E934="BLD-WATER",E934="BLD-WASTE",E934="BLD-LAND")),AND(U934="Building renovation",E934="BLD-LAND"))),"N/A","Pending"))))))</x:f>
      </x:c>
      <x:c r="Q934" s="3" t="str">
        <x:f>IF(C934="","",IF(AND(R934="Valid",OR(P934="Pass",P934="N/A")),"Complete","Unresolved"))</x:f>
      </x:c>
      <x:c r="R934" s="9" t="str">
        <x:f>IF(C934="","",IF(OR(COUNTIF($C$9:$C$2008,C934)&lt;&gt;1,COUNTIFS($D$9:$D$2008,D934,$E$9:$E$2008,E934)&lt;&gt;1),"Duplicate test",IF(COUNTIF('Taxonomy'!$C$9:$C$108,D934)&lt;&gt;1,"Assessment key",IF(OR(COUNTIF('Taxonomy Rules'!$C$42:$C$68,E934)&lt;&gt;1,F934&lt;&gt;IFERROR(INDEX('Taxonomy Rules'!$D$42:$D$68,MATCH(E934,'Taxonomy Rules'!$C$42:$C$68,0)),""),NOT(OR(IFERROR(INDEX('Taxonomy Rules'!$G$42:$G$68,MATCH(E934,'Taxonomy Rules'!$C$42:$C$68,0)),"")="All supported routes",IFERROR(INDEX('Taxonomy Rules'!$G$42:$G$68,MATCH(E934,'Taxonomy Rules'!$C$42:$C$68,0)),"")=U934,AND(IFERROR(INDEX('Taxonomy Rules'!$G$42:$G$68,MATCH(E934,'Taxonomy Rules'!$C$42:$C$68,0)),"")="Building routes",OR(U934="Building renovation",U934="New building",U934="Building equipment"))))),"Unexpected test","Valid"))))</x:f>
      </x:c>
      <x:c r="S934" s="9" t="str">
        <x:f>IF(C934="","",IFERROR(INDEX('Taxonomy Rules'!$E$42:$E$68,MATCH(E934,'Taxonomy Rules'!$C$42:$C$68,0)),""))</x:f>
      </x:c>
      <x:c r="T934" s="9" t="str">
        <x:f>IF(C934="","",IFERROR(INDEX('Taxonomy Rules'!$F$42:$F$68,MATCH(E934,'Taxonomy Rules'!$C$42:$C$68,0)),""))</x:f>
      </x:c>
      <x:c r="U934" s="9" t="str">
        <x:f>IF(C934="","",IFERROR(INDEX('Taxonomy'!$G$9:$G$108,MATCH(D934,'Taxonomy'!$C$9:$C$108,0)),""))</x:f>
      </x:c>
    </x:row>
    <x:row r="935" ht="44" customHeight="1">
      <x:c r="A935" s="1"/>
      <x:c r="B935" s="1"/>
      <x:c r="C935" s="8"/>
      <x:c r="D935" s="8"/>
      <x:c r="E935" s="8"/>
      <x:c r="F935" s="8"/>
      <x:c r="G935" s="8"/>
      <x:c r="H935" s="8"/>
      <x:c r="I935" s="8"/>
      <x:c r="J935" s="8"/>
      <x:c r="K935" s="8"/>
      <x:c r="L935" s="8"/>
      <x:c r="M935" s="10"/>
      <x:c r="N935" s="10"/>
      <x:c r="O935" s="8"/>
      <x:c r="P935" s="9" t="str">
        <x:f>IF(C935="","",IF(AND(G935="Applicable",H935="Fail"),"Fail",IF(R935&lt;&gt;"Valid","Pending",IF(OR(I935="",K935="",L935="",K935=L935,NOT(ISNUMBER(M935)),NOT(ISNUMBER(N935)),M935&gt;Settings!$F$8,N935&lt;Settings!$F$8,N935&lt;M935),"Pending",IF(AND(G935="Applicable",H935="Pass"),"Pass",IF(AND(G935="N/A",H935="N/A",J935&lt;&gt;"",OR(E935="CEM-FUELS",E935="CEM-CCS",AND(E935="CEM-PLAN",IFERROR(INDEX('Taxonomy'!$M$9:$M$108,MATCH(D935,'Taxonomy'!$C$9:$C$108,0)),"")&lt;&gt;"Amber"),E935="BLD-TIMBER",AND(U935="Building equipment",OR(E935="BLD-WATER",E935="BLD-WASTE",E935="BLD-LAND")),AND(U935="Building renovation",E935="BLD-LAND"))),"N/A","Pending"))))))</x:f>
      </x:c>
      <x:c r="Q935" s="3" t="str">
        <x:f>IF(C935="","",IF(AND(R935="Valid",OR(P935="Pass",P935="N/A")),"Complete","Unresolved"))</x:f>
      </x:c>
      <x:c r="R935" s="9" t="str">
        <x:f>IF(C935="","",IF(OR(COUNTIF($C$9:$C$2008,C935)&lt;&gt;1,COUNTIFS($D$9:$D$2008,D935,$E$9:$E$2008,E935)&lt;&gt;1),"Duplicate test",IF(COUNTIF('Taxonomy'!$C$9:$C$108,D935)&lt;&gt;1,"Assessment key",IF(OR(COUNTIF('Taxonomy Rules'!$C$42:$C$68,E935)&lt;&gt;1,F935&lt;&gt;IFERROR(INDEX('Taxonomy Rules'!$D$42:$D$68,MATCH(E935,'Taxonomy Rules'!$C$42:$C$68,0)),""),NOT(OR(IFERROR(INDEX('Taxonomy Rules'!$G$42:$G$68,MATCH(E935,'Taxonomy Rules'!$C$42:$C$68,0)),"")="All supported routes",IFERROR(INDEX('Taxonomy Rules'!$G$42:$G$68,MATCH(E935,'Taxonomy Rules'!$C$42:$C$68,0)),"")=U935,AND(IFERROR(INDEX('Taxonomy Rules'!$G$42:$G$68,MATCH(E935,'Taxonomy Rules'!$C$42:$C$68,0)),"")="Building routes",OR(U935="Building renovation",U935="New building",U935="Building equipment"))))),"Unexpected test","Valid"))))</x:f>
      </x:c>
      <x:c r="S935" s="9" t="str">
        <x:f>IF(C935="","",IFERROR(INDEX('Taxonomy Rules'!$E$42:$E$68,MATCH(E935,'Taxonomy Rules'!$C$42:$C$68,0)),""))</x:f>
      </x:c>
      <x:c r="T935" s="9" t="str">
        <x:f>IF(C935="","",IFERROR(INDEX('Taxonomy Rules'!$F$42:$F$68,MATCH(E935,'Taxonomy Rules'!$C$42:$C$68,0)),""))</x:f>
      </x:c>
      <x:c r="U935" s="9" t="str">
        <x:f>IF(C935="","",IFERROR(INDEX('Taxonomy'!$G$9:$G$108,MATCH(D935,'Taxonomy'!$C$9:$C$108,0)),""))</x:f>
      </x:c>
    </x:row>
    <x:row r="936" ht="44" customHeight="1">
      <x:c r="A936" s="1"/>
      <x:c r="B936" s="1"/>
      <x:c r="C936" s="8"/>
      <x:c r="D936" s="8"/>
      <x:c r="E936" s="8"/>
      <x:c r="F936" s="8"/>
      <x:c r="G936" s="8"/>
      <x:c r="H936" s="8"/>
      <x:c r="I936" s="8"/>
      <x:c r="J936" s="8"/>
      <x:c r="K936" s="8"/>
      <x:c r="L936" s="8"/>
      <x:c r="M936" s="10"/>
      <x:c r="N936" s="10"/>
      <x:c r="O936" s="8"/>
      <x:c r="P936" s="9" t="str">
        <x:f>IF(C936="","",IF(AND(G936="Applicable",H936="Fail"),"Fail",IF(R936&lt;&gt;"Valid","Pending",IF(OR(I936="",K936="",L936="",K936=L936,NOT(ISNUMBER(M936)),NOT(ISNUMBER(N936)),M936&gt;Settings!$F$8,N936&lt;Settings!$F$8,N936&lt;M936),"Pending",IF(AND(G936="Applicable",H936="Pass"),"Pass",IF(AND(G936="N/A",H936="N/A",J936&lt;&gt;"",OR(E936="CEM-FUELS",E936="CEM-CCS",AND(E936="CEM-PLAN",IFERROR(INDEX('Taxonomy'!$M$9:$M$108,MATCH(D936,'Taxonomy'!$C$9:$C$108,0)),"")&lt;&gt;"Amber"),E936="BLD-TIMBER",AND(U936="Building equipment",OR(E936="BLD-WATER",E936="BLD-WASTE",E936="BLD-LAND")),AND(U936="Building renovation",E936="BLD-LAND"))),"N/A","Pending"))))))</x:f>
      </x:c>
      <x:c r="Q936" s="3" t="str">
        <x:f>IF(C936="","",IF(AND(R936="Valid",OR(P936="Pass",P936="N/A")),"Complete","Unresolved"))</x:f>
      </x:c>
      <x:c r="R936" s="9" t="str">
        <x:f>IF(C936="","",IF(OR(COUNTIF($C$9:$C$2008,C936)&lt;&gt;1,COUNTIFS($D$9:$D$2008,D936,$E$9:$E$2008,E936)&lt;&gt;1),"Duplicate test",IF(COUNTIF('Taxonomy'!$C$9:$C$108,D936)&lt;&gt;1,"Assessment key",IF(OR(COUNTIF('Taxonomy Rules'!$C$42:$C$68,E936)&lt;&gt;1,F936&lt;&gt;IFERROR(INDEX('Taxonomy Rules'!$D$42:$D$68,MATCH(E936,'Taxonomy Rules'!$C$42:$C$68,0)),""),NOT(OR(IFERROR(INDEX('Taxonomy Rules'!$G$42:$G$68,MATCH(E936,'Taxonomy Rules'!$C$42:$C$68,0)),"")="All supported routes",IFERROR(INDEX('Taxonomy Rules'!$G$42:$G$68,MATCH(E936,'Taxonomy Rules'!$C$42:$C$68,0)),"")=U936,AND(IFERROR(INDEX('Taxonomy Rules'!$G$42:$G$68,MATCH(E936,'Taxonomy Rules'!$C$42:$C$68,0)),"")="Building routes",OR(U936="Building renovation",U936="New building",U936="Building equipment"))))),"Unexpected test","Valid"))))</x:f>
      </x:c>
      <x:c r="S936" s="9" t="str">
        <x:f>IF(C936="","",IFERROR(INDEX('Taxonomy Rules'!$E$42:$E$68,MATCH(E936,'Taxonomy Rules'!$C$42:$C$68,0)),""))</x:f>
      </x:c>
      <x:c r="T936" s="9" t="str">
        <x:f>IF(C936="","",IFERROR(INDEX('Taxonomy Rules'!$F$42:$F$68,MATCH(E936,'Taxonomy Rules'!$C$42:$C$68,0)),""))</x:f>
      </x:c>
      <x:c r="U936" s="9" t="str">
        <x:f>IF(C936="","",IFERROR(INDEX('Taxonomy'!$G$9:$G$108,MATCH(D936,'Taxonomy'!$C$9:$C$108,0)),""))</x:f>
      </x:c>
    </x:row>
    <x:row r="937" ht="44" customHeight="1">
      <x:c r="A937" s="1"/>
      <x:c r="B937" s="1"/>
      <x:c r="C937" s="8"/>
      <x:c r="D937" s="8"/>
      <x:c r="E937" s="8"/>
      <x:c r="F937" s="8"/>
      <x:c r="G937" s="8"/>
      <x:c r="H937" s="8"/>
      <x:c r="I937" s="8"/>
      <x:c r="J937" s="8"/>
      <x:c r="K937" s="8"/>
      <x:c r="L937" s="8"/>
      <x:c r="M937" s="10"/>
      <x:c r="N937" s="10"/>
      <x:c r="O937" s="8"/>
      <x:c r="P937" s="9" t="str">
        <x:f>IF(C937="","",IF(AND(G937="Applicable",H937="Fail"),"Fail",IF(R937&lt;&gt;"Valid","Pending",IF(OR(I937="",K937="",L937="",K937=L937,NOT(ISNUMBER(M937)),NOT(ISNUMBER(N937)),M937&gt;Settings!$F$8,N937&lt;Settings!$F$8,N937&lt;M937),"Pending",IF(AND(G937="Applicable",H937="Pass"),"Pass",IF(AND(G937="N/A",H937="N/A",J937&lt;&gt;"",OR(E937="CEM-FUELS",E937="CEM-CCS",AND(E937="CEM-PLAN",IFERROR(INDEX('Taxonomy'!$M$9:$M$108,MATCH(D937,'Taxonomy'!$C$9:$C$108,0)),"")&lt;&gt;"Amber"),E937="BLD-TIMBER",AND(U937="Building equipment",OR(E937="BLD-WATER",E937="BLD-WASTE",E937="BLD-LAND")),AND(U937="Building renovation",E937="BLD-LAND"))),"N/A","Pending"))))))</x:f>
      </x:c>
      <x:c r="Q937" s="3" t="str">
        <x:f>IF(C937="","",IF(AND(R937="Valid",OR(P937="Pass",P937="N/A")),"Complete","Unresolved"))</x:f>
      </x:c>
      <x:c r="R937" s="9" t="str">
        <x:f>IF(C937="","",IF(OR(COUNTIF($C$9:$C$2008,C937)&lt;&gt;1,COUNTIFS($D$9:$D$2008,D937,$E$9:$E$2008,E937)&lt;&gt;1),"Duplicate test",IF(COUNTIF('Taxonomy'!$C$9:$C$108,D937)&lt;&gt;1,"Assessment key",IF(OR(COUNTIF('Taxonomy Rules'!$C$42:$C$68,E937)&lt;&gt;1,F937&lt;&gt;IFERROR(INDEX('Taxonomy Rules'!$D$42:$D$68,MATCH(E937,'Taxonomy Rules'!$C$42:$C$68,0)),""),NOT(OR(IFERROR(INDEX('Taxonomy Rules'!$G$42:$G$68,MATCH(E937,'Taxonomy Rules'!$C$42:$C$68,0)),"")="All supported routes",IFERROR(INDEX('Taxonomy Rules'!$G$42:$G$68,MATCH(E937,'Taxonomy Rules'!$C$42:$C$68,0)),"")=U937,AND(IFERROR(INDEX('Taxonomy Rules'!$G$42:$G$68,MATCH(E937,'Taxonomy Rules'!$C$42:$C$68,0)),"")="Building routes",OR(U937="Building renovation",U937="New building",U937="Building equipment"))))),"Unexpected test","Valid"))))</x:f>
      </x:c>
      <x:c r="S937" s="9" t="str">
        <x:f>IF(C937="","",IFERROR(INDEX('Taxonomy Rules'!$E$42:$E$68,MATCH(E937,'Taxonomy Rules'!$C$42:$C$68,0)),""))</x:f>
      </x:c>
      <x:c r="T937" s="9" t="str">
        <x:f>IF(C937="","",IFERROR(INDEX('Taxonomy Rules'!$F$42:$F$68,MATCH(E937,'Taxonomy Rules'!$C$42:$C$68,0)),""))</x:f>
      </x:c>
      <x:c r="U937" s="9" t="str">
        <x:f>IF(C937="","",IFERROR(INDEX('Taxonomy'!$G$9:$G$108,MATCH(D937,'Taxonomy'!$C$9:$C$108,0)),""))</x:f>
      </x:c>
    </x:row>
    <x:row r="938" ht="44" customHeight="1">
      <x:c r="A938" s="1"/>
      <x:c r="B938" s="1"/>
      <x:c r="C938" s="8"/>
      <x:c r="D938" s="8"/>
      <x:c r="E938" s="8"/>
      <x:c r="F938" s="8"/>
      <x:c r="G938" s="8"/>
      <x:c r="H938" s="8"/>
      <x:c r="I938" s="8"/>
      <x:c r="J938" s="8"/>
      <x:c r="K938" s="8"/>
      <x:c r="L938" s="8"/>
      <x:c r="M938" s="10"/>
      <x:c r="N938" s="10"/>
      <x:c r="O938" s="8"/>
      <x:c r="P938" s="9" t="str">
        <x:f>IF(C938="","",IF(AND(G938="Applicable",H938="Fail"),"Fail",IF(R938&lt;&gt;"Valid","Pending",IF(OR(I938="",K938="",L938="",K938=L938,NOT(ISNUMBER(M938)),NOT(ISNUMBER(N938)),M938&gt;Settings!$F$8,N938&lt;Settings!$F$8,N938&lt;M938),"Pending",IF(AND(G938="Applicable",H938="Pass"),"Pass",IF(AND(G938="N/A",H938="N/A",J938&lt;&gt;"",OR(E938="CEM-FUELS",E938="CEM-CCS",AND(E938="CEM-PLAN",IFERROR(INDEX('Taxonomy'!$M$9:$M$108,MATCH(D938,'Taxonomy'!$C$9:$C$108,0)),"")&lt;&gt;"Amber"),E938="BLD-TIMBER",AND(U938="Building equipment",OR(E938="BLD-WATER",E938="BLD-WASTE",E938="BLD-LAND")),AND(U938="Building renovation",E938="BLD-LAND"))),"N/A","Pending"))))))</x:f>
      </x:c>
      <x:c r="Q938" s="3" t="str">
        <x:f>IF(C938="","",IF(AND(R938="Valid",OR(P938="Pass",P938="N/A")),"Complete","Unresolved"))</x:f>
      </x:c>
      <x:c r="R938" s="9" t="str">
        <x:f>IF(C938="","",IF(OR(COUNTIF($C$9:$C$2008,C938)&lt;&gt;1,COUNTIFS($D$9:$D$2008,D938,$E$9:$E$2008,E938)&lt;&gt;1),"Duplicate test",IF(COUNTIF('Taxonomy'!$C$9:$C$108,D938)&lt;&gt;1,"Assessment key",IF(OR(COUNTIF('Taxonomy Rules'!$C$42:$C$68,E938)&lt;&gt;1,F938&lt;&gt;IFERROR(INDEX('Taxonomy Rules'!$D$42:$D$68,MATCH(E938,'Taxonomy Rules'!$C$42:$C$68,0)),""),NOT(OR(IFERROR(INDEX('Taxonomy Rules'!$G$42:$G$68,MATCH(E938,'Taxonomy Rules'!$C$42:$C$68,0)),"")="All supported routes",IFERROR(INDEX('Taxonomy Rules'!$G$42:$G$68,MATCH(E938,'Taxonomy Rules'!$C$42:$C$68,0)),"")=U938,AND(IFERROR(INDEX('Taxonomy Rules'!$G$42:$G$68,MATCH(E938,'Taxonomy Rules'!$C$42:$C$68,0)),"")="Building routes",OR(U938="Building renovation",U938="New building",U938="Building equipment"))))),"Unexpected test","Valid"))))</x:f>
      </x:c>
      <x:c r="S938" s="9" t="str">
        <x:f>IF(C938="","",IFERROR(INDEX('Taxonomy Rules'!$E$42:$E$68,MATCH(E938,'Taxonomy Rules'!$C$42:$C$68,0)),""))</x:f>
      </x:c>
      <x:c r="T938" s="9" t="str">
        <x:f>IF(C938="","",IFERROR(INDEX('Taxonomy Rules'!$F$42:$F$68,MATCH(E938,'Taxonomy Rules'!$C$42:$C$68,0)),""))</x:f>
      </x:c>
      <x:c r="U938" s="9" t="str">
        <x:f>IF(C938="","",IFERROR(INDEX('Taxonomy'!$G$9:$G$108,MATCH(D938,'Taxonomy'!$C$9:$C$108,0)),""))</x:f>
      </x:c>
    </x:row>
    <x:row r="939" ht="44" customHeight="1">
      <x:c r="A939" s="1"/>
      <x:c r="B939" s="1"/>
      <x:c r="C939" s="8"/>
      <x:c r="D939" s="8"/>
      <x:c r="E939" s="8"/>
      <x:c r="F939" s="8"/>
      <x:c r="G939" s="8"/>
      <x:c r="H939" s="8"/>
      <x:c r="I939" s="8"/>
      <x:c r="J939" s="8"/>
      <x:c r="K939" s="8"/>
      <x:c r="L939" s="8"/>
      <x:c r="M939" s="10"/>
      <x:c r="N939" s="10"/>
      <x:c r="O939" s="8"/>
      <x:c r="P939" s="9" t="str">
        <x:f>IF(C939="","",IF(AND(G939="Applicable",H939="Fail"),"Fail",IF(R939&lt;&gt;"Valid","Pending",IF(OR(I939="",K939="",L939="",K939=L939,NOT(ISNUMBER(M939)),NOT(ISNUMBER(N939)),M939&gt;Settings!$F$8,N939&lt;Settings!$F$8,N939&lt;M939),"Pending",IF(AND(G939="Applicable",H939="Pass"),"Pass",IF(AND(G939="N/A",H939="N/A",J939&lt;&gt;"",OR(E939="CEM-FUELS",E939="CEM-CCS",AND(E939="CEM-PLAN",IFERROR(INDEX('Taxonomy'!$M$9:$M$108,MATCH(D939,'Taxonomy'!$C$9:$C$108,0)),"")&lt;&gt;"Amber"),E939="BLD-TIMBER",AND(U939="Building equipment",OR(E939="BLD-WATER",E939="BLD-WASTE",E939="BLD-LAND")),AND(U939="Building renovation",E939="BLD-LAND"))),"N/A","Pending"))))))</x:f>
      </x:c>
      <x:c r="Q939" s="3" t="str">
        <x:f>IF(C939="","",IF(AND(R939="Valid",OR(P939="Pass",P939="N/A")),"Complete","Unresolved"))</x:f>
      </x:c>
      <x:c r="R939" s="9" t="str">
        <x:f>IF(C939="","",IF(OR(COUNTIF($C$9:$C$2008,C939)&lt;&gt;1,COUNTIFS($D$9:$D$2008,D939,$E$9:$E$2008,E939)&lt;&gt;1),"Duplicate test",IF(COUNTIF('Taxonomy'!$C$9:$C$108,D939)&lt;&gt;1,"Assessment key",IF(OR(COUNTIF('Taxonomy Rules'!$C$42:$C$68,E939)&lt;&gt;1,F939&lt;&gt;IFERROR(INDEX('Taxonomy Rules'!$D$42:$D$68,MATCH(E939,'Taxonomy Rules'!$C$42:$C$68,0)),""),NOT(OR(IFERROR(INDEX('Taxonomy Rules'!$G$42:$G$68,MATCH(E939,'Taxonomy Rules'!$C$42:$C$68,0)),"")="All supported routes",IFERROR(INDEX('Taxonomy Rules'!$G$42:$G$68,MATCH(E939,'Taxonomy Rules'!$C$42:$C$68,0)),"")=U939,AND(IFERROR(INDEX('Taxonomy Rules'!$G$42:$G$68,MATCH(E939,'Taxonomy Rules'!$C$42:$C$68,0)),"")="Building routes",OR(U939="Building renovation",U939="New building",U939="Building equipment"))))),"Unexpected test","Valid"))))</x:f>
      </x:c>
      <x:c r="S939" s="9" t="str">
        <x:f>IF(C939="","",IFERROR(INDEX('Taxonomy Rules'!$E$42:$E$68,MATCH(E939,'Taxonomy Rules'!$C$42:$C$68,0)),""))</x:f>
      </x:c>
      <x:c r="T939" s="9" t="str">
        <x:f>IF(C939="","",IFERROR(INDEX('Taxonomy Rules'!$F$42:$F$68,MATCH(E939,'Taxonomy Rules'!$C$42:$C$68,0)),""))</x:f>
      </x:c>
      <x:c r="U939" s="9" t="str">
        <x:f>IF(C939="","",IFERROR(INDEX('Taxonomy'!$G$9:$G$108,MATCH(D939,'Taxonomy'!$C$9:$C$108,0)),""))</x:f>
      </x:c>
    </x:row>
    <x:row r="940" ht="44" customHeight="1">
      <x:c r="A940" s="1"/>
      <x:c r="B940" s="1"/>
      <x:c r="C940" s="8"/>
      <x:c r="D940" s="8"/>
      <x:c r="E940" s="8"/>
      <x:c r="F940" s="8"/>
      <x:c r="G940" s="8"/>
      <x:c r="H940" s="8"/>
      <x:c r="I940" s="8"/>
      <x:c r="J940" s="8"/>
      <x:c r="K940" s="8"/>
      <x:c r="L940" s="8"/>
      <x:c r="M940" s="10"/>
      <x:c r="N940" s="10"/>
      <x:c r="O940" s="8"/>
      <x:c r="P940" s="9" t="str">
        <x:f>IF(C940="","",IF(AND(G940="Applicable",H940="Fail"),"Fail",IF(R940&lt;&gt;"Valid","Pending",IF(OR(I940="",K940="",L940="",K940=L940,NOT(ISNUMBER(M940)),NOT(ISNUMBER(N940)),M940&gt;Settings!$F$8,N940&lt;Settings!$F$8,N940&lt;M940),"Pending",IF(AND(G940="Applicable",H940="Pass"),"Pass",IF(AND(G940="N/A",H940="N/A",J940&lt;&gt;"",OR(E940="CEM-FUELS",E940="CEM-CCS",AND(E940="CEM-PLAN",IFERROR(INDEX('Taxonomy'!$M$9:$M$108,MATCH(D940,'Taxonomy'!$C$9:$C$108,0)),"")&lt;&gt;"Amber"),E940="BLD-TIMBER",AND(U940="Building equipment",OR(E940="BLD-WATER",E940="BLD-WASTE",E940="BLD-LAND")),AND(U940="Building renovation",E940="BLD-LAND"))),"N/A","Pending"))))))</x:f>
      </x:c>
      <x:c r="Q940" s="3" t="str">
        <x:f>IF(C940="","",IF(AND(R940="Valid",OR(P940="Pass",P940="N/A")),"Complete","Unresolved"))</x:f>
      </x:c>
      <x:c r="R940" s="9" t="str">
        <x:f>IF(C940="","",IF(OR(COUNTIF($C$9:$C$2008,C940)&lt;&gt;1,COUNTIFS($D$9:$D$2008,D940,$E$9:$E$2008,E940)&lt;&gt;1),"Duplicate test",IF(COUNTIF('Taxonomy'!$C$9:$C$108,D940)&lt;&gt;1,"Assessment key",IF(OR(COUNTIF('Taxonomy Rules'!$C$42:$C$68,E940)&lt;&gt;1,F940&lt;&gt;IFERROR(INDEX('Taxonomy Rules'!$D$42:$D$68,MATCH(E940,'Taxonomy Rules'!$C$42:$C$68,0)),""),NOT(OR(IFERROR(INDEX('Taxonomy Rules'!$G$42:$G$68,MATCH(E940,'Taxonomy Rules'!$C$42:$C$68,0)),"")="All supported routes",IFERROR(INDEX('Taxonomy Rules'!$G$42:$G$68,MATCH(E940,'Taxonomy Rules'!$C$42:$C$68,0)),"")=U940,AND(IFERROR(INDEX('Taxonomy Rules'!$G$42:$G$68,MATCH(E940,'Taxonomy Rules'!$C$42:$C$68,0)),"")="Building routes",OR(U940="Building renovation",U940="New building",U940="Building equipment"))))),"Unexpected test","Valid"))))</x:f>
      </x:c>
      <x:c r="S940" s="9" t="str">
        <x:f>IF(C940="","",IFERROR(INDEX('Taxonomy Rules'!$E$42:$E$68,MATCH(E940,'Taxonomy Rules'!$C$42:$C$68,0)),""))</x:f>
      </x:c>
      <x:c r="T940" s="9" t="str">
        <x:f>IF(C940="","",IFERROR(INDEX('Taxonomy Rules'!$F$42:$F$68,MATCH(E940,'Taxonomy Rules'!$C$42:$C$68,0)),""))</x:f>
      </x:c>
      <x:c r="U940" s="9" t="str">
        <x:f>IF(C940="","",IFERROR(INDEX('Taxonomy'!$G$9:$G$108,MATCH(D940,'Taxonomy'!$C$9:$C$108,0)),""))</x:f>
      </x:c>
    </x:row>
    <x:row r="941" ht="44" customHeight="1">
      <x:c r="A941" s="1"/>
      <x:c r="B941" s="1"/>
      <x:c r="C941" s="8"/>
      <x:c r="D941" s="8"/>
      <x:c r="E941" s="8"/>
      <x:c r="F941" s="8"/>
      <x:c r="G941" s="8"/>
      <x:c r="H941" s="8"/>
      <x:c r="I941" s="8"/>
      <x:c r="J941" s="8"/>
      <x:c r="K941" s="8"/>
      <x:c r="L941" s="8"/>
      <x:c r="M941" s="10"/>
      <x:c r="N941" s="10"/>
      <x:c r="O941" s="8"/>
      <x:c r="P941" s="9" t="str">
        <x:f>IF(C941="","",IF(AND(G941="Applicable",H941="Fail"),"Fail",IF(R941&lt;&gt;"Valid","Pending",IF(OR(I941="",K941="",L941="",K941=L941,NOT(ISNUMBER(M941)),NOT(ISNUMBER(N941)),M941&gt;Settings!$F$8,N941&lt;Settings!$F$8,N941&lt;M941),"Pending",IF(AND(G941="Applicable",H941="Pass"),"Pass",IF(AND(G941="N/A",H941="N/A",J941&lt;&gt;"",OR(E941="CEM-FUELS",E941="CEM-CCS",AND(E941="CEM-PLAN",IFERROR(INDEX('Taxonomy'!$M$9:$M$108,MATCH(D941,'Taxonomy'!$C$9:$C$108,0)),"")&lt;&gt;"Amber"),E941="BLD-TIMBER",AND(U941="Building equipment",OR(E941="BLD-WATER",E941="BLD-WASTE",E941="BLD-LAND")),AND(U941="Building renovation",E941="BLD-LAND"))),"N/A","Pending"))))))</x:f>
      </x:c>
      <x:c r="Q941" s="3" t="str">
        <x:f>IF(C941="","",IF(AND(R941="Valid",OR(P941="Pass",P941="N/A")),"Complete","Unresolved"))</x:f>
      </x:c>
      <x:c r="R941" s="9" t="str">
        <x:f>IF(C941="","",IF(OR(COUNTIF($C$9:$C$2008,C941)&lt;&gt;1,COUNTIFS($D$9:$D$2008,D941,$E$9:$E$2008,E941)&lt;&gt;1),"Duplicate test",IF(COUNTIF('Taxonomy'!$C$9:$C$108,D941)&lt;&gt;1,"Assessment key",IF(OR(COUNTIF('Taxonomy Rules'!$C$42:$C$68,E941)&lt;&gt;1,F941&lt;&gt;IFERROR(INDEX('Taxonomy Rules'!$D$42:$D$68,MATCH(E941,'Taxonomy Rules'!$C$42:$C$68,0)),""),NOT(OR(IFERROR(INDEX('Taxonomy Rules'!$G$42:$G$68,MATCH(E941,'Taxonomy Rules'!$C$42:$C$68,0)),"")="All supported routes",IFERROR(INDEX('Taxonomy Rules'!$G$42:$G$68,MATCH(E941,'Taxonomy Rules'!$C$42:$C$68,0)),"")=U941,AND(IFERROR(INDEX('Taxonomy Rules'!$G$42:$G$68,MATCH(E941,'Taxonomy Rules'!$C$42:$C$68,0)),"")="Building routes",OR(U941="Building renovation",U941="New building",U941="Building equipment"))))),"Unexpected test","Valid"))))</x:f>
      </x:c>
      <x:c r="S941" s="9" t="str">
        <x:f>IF(C941="","",IFERROR(INDEX('Taxonomy Rules'!$E$42:$E$68,MATCH(E941,'Taxonomy Rules'!$C$42:$C$68,0)),""))</x:f>
      </x:c>
      <x:c r="T941" s="9" t="str">
        <x:f>IF(C941="","",IFERROR(INDEX('Taxonomy Rules'!$F$42:$F$68,MATCH(E941,'Taxonomy Rules'!$C$42:$C$68,0)),""))</x:f>
      </x:c>
      <x:c r="U941" s="9" t="str">
        <x:f>IF(C941="","",IFERROR(INDEX('Taxonomy'!$G$9:$G$108,MATCH(D941,'Taxonomy'!$C$9:$C$108,0)),""))</x:f>
      </x:c>
    </x:row>
    <x:row r="942" ht="44" customHeight="1">
      <x:c r="A942" s="1"/>
      <x:c r="B942" s="1"/>
      <x:c r="C942" s="8"/>
      <x:c r="D942" s="8"/>
      <x:c r="E942" s="8"/>
      <x:c r="F942" s="8"/>
      <x:c r="G942" s="8"/>
      <x:c r="H942" s="8"/>
      <x:c r="I942" s="8"/>
      <x:c r="J942" s="8"/>
      <x:c r="K942" s="8"/>
      <x:c r="L942" s="8"/>
      <x:c r="M942" s="10"/>
      <x:c r="N942" s="10"/>
      <x:c r="O942" s="8"/>
      <x:c r="P942" s="9" t="str">
        <x:f>IF(C942="","",IF(AND(G942="Applicable",H942="Fail"),"Fail",IF(R942&lt;&gt;"Valid","Pending",IF(OR(I942="",K942="",L942="",K942=L942,NOT(ISNUMBER(M942)),NOT(ISNUMBER(N942)),M942&gt;Settings!$F$8,N942&lt;Settings!$F$8,N942&lt;M942),"Pending",IF(AND(G942="Applicable",H942="Pass"),"Pass",IF(AND(G942="N/A",H942="N/A",J942&lt;&gt;"",OR(E942="CEM-FUELS",E942="CEM-CCS",AND(E942="CEM-PLAN",IFERROR(INDEX('Taxonomy'!$M$9:$M$108,MATCH(D942,'Taxonomy'!$C$9:$C$108,0)),"")&lt;&gt;"Amber"),E942="BLD-TIMBER",AND(U942="Building equipment",OR(E942="BLD-WATER",E942="BLD-WASTE",E942="BLD-LAND")),AND(U942="Building renovation",E942="BLD-LAND"))),"N/A","Pending"))))))</x:f>
      </x:c>
      <x:c r="Q942" s="3" t="str">
        <x:f>IF(C942="","",IF(AND(R942="Valid",OR(P942="Pass",P942="N/A")),"Complete","Unresolved"))</x:f>
      </x:c>
      <x:c r="R942" s="9" t="str">
        <x:f>IF(C942="","",IF(OR(COUNTIF($C$9:$C$2008,C942)&lt;&gt;1,COUNTIFS($D$9:$D$2008,D942,$E$9:$E$2008,E942)&lt;&gt;1),"Duplicate test",IF(COUNTIF('Taxonomy'!$C$9:$C$108,D942)&lt;&gt;1,"Assessment key",IF(OR(COUNTIF('Taxonomy Rules'!$C$42:$C$68,E942)&lt;&gt;1,F942&lt;&gt;IFERROR(INDEX('Taxonomy Rules'!$D$42:$D$68,MATCH(E942,'Taxonomy Rules'!$C$42:$C$68,0)),""),NOT(OR(IFERROR(INDEX('Taxonomy Rules'!$G$42:$G$68,MATCH(E942,'Taxonomy Rules'!$C$42:$C$68,0)),"")="All supported routes",IFERROR(INDEX('Taxonomy Rules'!$G$42:$G$68,MATCH(E942,'Taxonomy Rules'!$C$42:$C$68,0)),"")=U942,AND(IFERROR(INDEX('Taxonomy Rules'!$G$42:$G$68,MATCH(E942,'Taxonomy Rules'!$C$42:$C$68,0)),"")="Building routes",OR(U942="Building renovation",U942="New building",U942="Building equipment"))))),"Unexpected test","Valid"))))</x:f>
      </x:c>
      <x:c r="S942" s="9" t="str">
        <x:f>IF(C942="","",IFERROR(INDEX('Taxonomy Rules'!$E$42:$E$68,MATCH(E942,'Taxonomy Rules'!$C$42:$C$68,0)),""))</x:f>
      </x:c>
      <x:c r="T942" s="9" t="str">
        <x:f>IF(C942="","",IFERROR(INDEX('Taxonomy Rules'!$F$42:$F$68,MATCH(E942,'Taxonomy Rules'!$C$42:$C$68,0)),""))</x:f>
      </x:c>
      <x:c r="U942" s="9" t="str">
        <x:f>IF(C942="","",IFERROR(INDEX('Taxonomy'!$G$9:$G$108,MATCH(D942,'Taxonomy'!$C$9:$C$108,0)),""))</x:f>
      </x:c>
    </x:row>
    <x:row r="943" ht="44" customHeight="1">
      <x:c r="A943" s="1"/>
      <x:c r="B943" s="1"/>
      <x:c r="C943" s="8"/>
      <x:c r="D943" s="8"/>
      <x:c r="E943" s="8"/>
      <x:c r="F943" s="8"/>
      <x:c r="G943" s="8"/>
      <x:c r="H943" s="8"/>
      <x:c r="I943" s="8"/>
      <x:c r="J943" s="8"/>
      <x:c r="K943" s="8"/>
      <x:c r="L943" s="8"/>
      <x:c r="M943" s="10"/>
      <x:c r="N943" s="10"/>
      <x:c r="O943" s="8"/>
      <x:c r="P943" s="9" t="str">
        <x:f>IF(C943="","",IF(AND(G943="Applicable",H943="Fail"),"Fail",IF(R943&lt;&gt;"Valid","Pending",IF(OR(I943="",K943="",L943="",K943=L943,NOT(ISNUMBER(M943)),NOT(ISNUMBER(N943)),M943&gt;Settings!$F$8,N943&lt;Settings!$F$8,N943&lt;M943),"Pending",IF(AND(G943="Applicable",H943="Pass"),"Pass",IF(AND(G943="N/A",H943="N/A",J943&lt;&gt;"",OR(E943="CEM-FUELS",E943="CEM-CCS",AND(E943="CEM-PLAN",IFERROR(INDEX('Taxonomy'!$M$9:$M$108,MATCH(D943,'Taxonomy'!$C$9:$C$108,0)),"")&lt;&gt;"Amber"),E943="BLD-TIMBER",AND(U943="Building equipment",OR(E943="BLD-WATER",E943="BLD-WASTE",E943="BLD-LAND")),AND(U943="Building renovation",E943="BLD-LAND"))),"N/A","Pending"))))))</x:f>
      </x:c>
      <x:c r="Q943" s="3" t="str">
        <x:f>IF(C943="","",IF(AND(R943="Valid",OR(P943="Pass",P943="N/A")),"Complete","Unresolved"))</x:f>
      </x:c>
      <x:c r="R943" s="9" t="str">
        <x:f>IF(C943="","",IF(OR(COUNTIF($C$9:$C$2008,C943)&lt;&gt;1,COUNTIFS($D$9:$D$2008,D943,$E$9:$E$2008,E943)&lt;&gt;1),"Duplicate test",IF(COUNTIF('Taxonomy'!$C$9:$C$108,D943)&lt;&gt;1,"Assessment key",IF(OR(COUNTIF('Taxonomy Rules'!$C$42:$C$68,E943)&lt;&gt;1,F943&lt;&gt;IFERROR(INDEX('Taxonomy Rules'!$D$42:$D$68,MATCH(E943,'Taxonomy Rules'!$C$42:$C$68,0)),""),NOT(OR(IFERROR(INDEX('Taxonomy Rules'!$G$42:$G$68,MATCH(E943,'Taxonomy Rules'!$C$42:$C$68,0)),"")="All supported routes",IFERROR(INDEX('Taxonomy Rules'!$G$42:$G$68,MATCH(E943,'Taxonomy Rules'!$C$42:$C$68,0)),"")=U943,AND(IFERROR(INDEX('Taxonomy Rules'!$G$42:$G$68,MATCH(E943,'Taxonomy Rules'!$C$42:$C$68,0)),"")="Building routes",OR(U943="Building renovation",U943="New building",U943="Building equipment"))))),"Unexpected test","Valid"))))</x:f>
      </x:c>
      <x:c r="S943" s="9" t="str">
        <x:f>IF(C943="","",IFERROR(INDEX('Taxonomy Rules'!$E$42:$E$68,MATCH(E943,'Taxonomy Rules'!$C$42:$C$68,0)),""))</x:f>
      </x:c>
      <x:c r="T943" s="9" t="str">
        <x:f>IF(C943="","",IFERROR(INDEX('Taxonomy Rules'!$F$42:$F$68,MATCH(E943,'Taxonomy Rules'!$C$42:$C$68,0)),""))</x:f>
      </x:c>
      <x:c r="U943" s="9" t="str">
        <x:f>IF(C943="","",IFERROR(INDEX('Taxonomy'!$G$9:$G$108,MATCH(D943,'Taxonomy'!$C$9:$C$108,0)),""))</x:f>
      </x:c>
    </x:row>
    <x:row r="944" ht="44" customHeight="1">
      <x:c r="A944" s="1"/>
      <x:c r="B944" s="1"/>
      <x:c r="C944" s="8"/>
      <x:c r="D944" s="8"/>
      <x:c r="E944" s="8"/>
      <x:c r="F944" s="8"/>
      <x:c r="G944" s="8"/>
      <x:c r="H944" s="8"/>
      <x:c r="I944" s="8"/>
      <x:c r="J944" s="8"/>
      <x:c r="K944" s="8"/>
      <x:c r="L944" s="8"/>
      <x:c r="M944" s="10"/>
      <x:c r="N944" s="10"/>
      <x:c r="O944" s="8"/>
      <x:c r="P944" s="9" t="str">
        <x:f>IF(C944="","",IF(AND(G944="Applicable",H944="Fail"),"Fail",IF(R944&lt;&gt;"Valid","Pending",IF(OR(I944="",K944="",L944="",K944=L944,NOT(ISNUMBER(M944)),NOT(ISNUMBER(N944)),M944&gt;Settings!$F$8,N944&lt;Settings!$F$8,N944&lt;M944),"Pending",IF(AND(G944="Applicable",H944="Pass"),"Pass",IF(AND(G944="N/A",H944="N/A",J944&lt;&gt;"",OR(E944="CEM-FUELS",E944="CEM-CCS",AND(E944="CEM-PLAN",IFERROR(INDEX('Taxonomy'!$M$9:$M$108,MATCH(D944,'Taxonomy'!$C$9:$C$108,0)),"")&lt;&gt;"Amber"),E944="BLD-TIMBER",AND(U944="Building equipment",OR(E944="BLD-WATER",E944="BLD-WASTE",E944="BLD-LAND")),AND(U944="Building renovation",E944="BLD-LAND"))),"N/A","Pending"))))))</x:f>
      </x:c>
      <x:c r="Q944" s="3" t="str">
        <x:f>IF(C944="","",IF(AND(R944="Valid",OR(P944="Pass",P944="N/A")),"Complete","Unresolved"))</x:f>
      </x:c>
      <x:c r="R944" s="9" t="str">
        <x:f>IF(C944="","",IF(OR(COUNTIF($C$9:$C$2008,C944)&lt;&gt;1,COUNTIFS($D$9:$D$2008,D944,$E$9:$E$2008,E944)&lt;&gt;1),"Duplicate test",IF(COUNTIF('Taxonomy'!$C$9:$C$108,D944)&lt;&gt;1,"Assessment key",IF(OR(COUNTIF('Taxonomy Rules'!$C$42:$C$68,E944)&lt;&gt;1,F944&lt;&gt;IFERROR(INDEX('Taxonomy Rules'!$D$42:$D$68,MATCH(E944,'Taxonomy Rules'!$C$42:$C$68,0)),""),NOT(OR(IFERROR(INDEX('Taxonomy Rules'!$G$42:$G$68,MATCH(E944,'Taxonomy Rules'!$C$42:$C$68,0)),"")="All supported routes",IFERROR(INDEX('Taxonomy Rules'!$G$42:$G$68,MATCH(E944,'Taxonomy Rules'!$C$42:$C$68,0)),"")=U944,AND(IFERROR(INDEX('Taxonomy Rules'!$G$42:$G$68,MATCH(E944,'Taxonomy Rules'!$C$42:$C$68,0)),"")="Building routes",OR(U944="Building renovation",U944="New building",U944="Building equipment"))))),"Unexpected test","Valid"))))</x:f>
      </x:c>
      <x:c r="S944" s="9" t="str">
        <x:f>IF(C944="","",IFERROR(INDEX('Taxonomy Rules'!$E$42:$E$68,MATCH(E944,'Taxonomy Rules'!$C$42:$C$68,0)),""))</x:f>
      </x:c>
      <x:c r="T944" s="9" t="str">
        <x:f>IF(C944="","",IFERROR(INDEX('Taxonomy Rules'!$F$42:$F$68,MATCH(E944,'Taxonomy Rules'!$C$42:$C$68,0)),""))</x:f>
      </x:c>
      <x:c r="U944" s="9" t="str">
        <x:f>IF(C944="","",IFERROR(INDEX('Taxonomy'!$G$9:$G$108,MATCH(D944,'Taxonomy'!$C$9:$C$108,0)),""))</x:f>
      </x:c>
    </x:row>
    <x:row r="945" ht="44" customHeight="1">
      <x:c r="A945" s="1"/>
      <x:c r="B945" s="1"/>
      <x:c r="C945" s="8"/>
      <x:c r="D945" s="8"/>
      <x:c r="E945" s="8"/>
      <x:c r="F945" s="8"/>
      <x:c r="G945" s="8"/>
      <x:c r="H945" s="8"/>
      <x:c r="I945" s="8"/>
      <x:c r="J945" s="8"/>
      <x:c r="K945" s="8"/>
      <x:c r="L945" s="8"/>
      <x:c r="M945" s="10"/>
      <x:c r="N945" s="10"/>
      <x:c r="O945" s="8"/>
      <x:c r="P945" s="9" t="str">
        <x:f>IF(C945="","",IF(AND(G945="Applicable",H945="Fail"),"Fail",IF(R945&lt;&gt;"Valid","Pending",IF(OR(I945="",K945="",L945="",K945=L945,NOT(ISNUMBER(M945)),NOT(ISNUMBER(N945)),M945&gt;Settings!$F$8,N945&lt;Settings!$F$8,N945&lt;M945),"Pending",IF(AND(G945="Applicable",H945="Pass"),"Pass",IF(AND(G945="N/A",H945="N/A",J945&lt;&gt;"",OR(E945="CEM-FUELS",E945="CEM-CCS",AND(E945="CEM-PLAN",IFERROR(INDEX('Taxonomy'!$M$9:$M$108,MATCH(D945,'Taxonomy'!$C$9:$C$108,0)),"")&lt;&gt;"Amber"),E945="BLD-TIMBER",AND(U945="Building equipment",OR(E945="BLD-WATER",E945="BLD-WASTE",E945="BLD-LAND")),AND(U945="Building renovation",E945="BLD-LAND"))),"N/A","Pending"))))))</x:f>
      </x:c>
      <x:c r="Q945" s="3" t="str">
        <x:f>IF(C945="","",IF(AND(R945="Valid",OR(P945="Pass",P945="N/A")),"Complete","Unresolved"))</x:f>
      </x:c>
      <x:c r="R945" s="9" t="str">
        <x:f>IF(C945="","",IF(OR(COUNTIF($C$9:$C$2008,C945)&lt;&gt;1,COUNTIFS($D$9:$D$2008,D945,$E$9:$E$2008,E945)&lt;&gt;1),"Duplicate test",IF(COUNTIF('Taxonomy'!$C$9:$C$108,D945)&lt;&gt;1,"Assessment key",IF(OR(COUNTIF('Taxonomy Rules'!$C$42:$C$68,E945)&lt;&gt;1,F945&lt;&gt;IFERROR(INDEX('Taxonomy Rules'!$D$42:$D$68,MATCH(E945,'Taxonomy Rules'!$C$42:$C$68,0)),""),NOT(OR(IFERROR(INDEX('Taxonomy Rules'!$G$42:$G$68,MATCH(E945,'Taxonomy Rules'!$C$42:$C$68,0)),"")="All supported routes",IFERROR(INDEX('Taxonomy Rules'!$G$42:$G$68,MATCH(E945,'Taxonomy Rules'!$C$42:$C$68,0)),"")=U945,AND(IFERROR(INDEX('Taxonomy Rules'!$G$42:$G$68,MATCH(E945,'Taxonomy Rules'!$C$42:$C$68,0)),"")="Building routes",OR(U945="Building renovation",U945="New building",U945="Building equipment"))))),"Unexpected test","Valid"))))</x:f>
      </x:c>
      <x:c r="S945" s="9" t="str">
        <x:f>IF(C945="","",IFERROR(INDEX('Taxonomy Rules'!$E$42:$E$68,MATCH(E945,'Taxonomy Rules'!$C$42:$C$68,0)),""))</x:f>
      </x:c>
      <x:c r="T945" s="9" t="str">
        <x:f>IF(C945="","",IFERROR(INDEX('Taxonomy Rules'!$F$42:$F$68,MATCH(E945,'Taxonomy Rules'!$C$42:$C$68,0)),""))</x:f>
      </x:c>
      <x:c r="U945" s="9" t="str">
        <x:f>IF(C945="","",IFERROR(INDEX('Taxonomy'!$G$9:$G$108,MATCH(D945,'Taxonomy'!$C$9:$C$108,0)),""))</x:f>
      </x:c>
    </x:row>
    <x:row r="946" ht="44" customHeight="1">
      <x:c r="A946" s="1"/>
      <x:c r="B946" s="1"/>
      <x:c r="C946" s="8"/>
      <x:c r="D946" s="8"/>
      <x:c r="E946" s="8"/>
      <x:c r="F946" s="8"/>
      <x:c r="G946" s="8"/>
      <x:c r="H946" s="8"/>
      <x:c r="I946" s="8"/>
      <x:c r="J946" s="8"/>
      <x:c r="K946" s="8"/>
      <x:c r="L946" s="8"/>
      <x:c r="M946" s="10"/>
      <x:c r="N946" s="10"/>
      <x:c r="O946" s="8"/>
      <x:c r="P946" s="9" t="str">
        <x:f>IF(C946="","",IF(AND(G946="Applicable",H946="Fail"),"Fail",IF(R946&lt;&gt;"Valid","Pending",IF(OR(I946="",K946="",L946="",K946=L946,NOT(ISNUMBER(M946)),NOT(ISNUMBER(N946)),M946&gt;Settings!$F$8,N946&lt;Settings!$F$8,N946&lt;M946),"Pending",IF(AND(G946="Applicable",H946="Pass"),"Pass",IF(AND(G946="N/A",H946="N/A",J946&lt;&gt;"",OR(E946="CEM-FUELS",E946="CEM-CCS",AND(E946="CEM-PLAN",IFERROR(INDEX('Taxonomy'!$M$9:$M$108,MATCH(D946,'Taxonomy'!$C$9:$C$108,0)),"")&lt;&gt;"Amber"),E946="BLD-TIMBER",AND(U946="Building equipment",OR(E946="BLD-WATER",E946="BLD-WASTE",E946="BLD-LAND")),AND(U946="Building renovation",E946="BLD-LAND"))),"N/A","Pending"))))))</x:f>
      </x:c>
      <x:c r="Q946" s="3" t="str">
        <x:f>IF(C946="","",IF(AND(R946="Valid",OR(P946="Pass",P946="N/A")),"Complete","Unresolved"))</x:f>
      </x:c>
      <x:c r="R946" s="9" t="str">
        <x:f>IF(C946="","",IF(OR(COUNTIF($C$9:$C$2008,C946)&lt;&gt;1,COUNTIFS($D$9:$D$2008,D946,$E$9:$E$2008,E946)&lt;&gt;1),"Duplicate test",IF(COUNTIF('Taxonomy'!$C$9:$C$108,D946)&lt;&gt;1,"Assessment key",IF(OR(COUNTIF('Taxonomy Rules'!$C$42:$C$68,E946)&lt;&gt;1,F946&lt;&gt;IFERROR(INDEX('Taxonomy Rules'!$D$42:$D$68,MATCH(E946,'Taxonomy Rules'!$C$42:$C$68,0)),""),NOT(OR(IFERROR(INDEX('Taxonomy Rules'!$G$42:$G$68,MATCH(E946,'Taxonomy Rules'!$C$42:$C$68,0)),"")="All supported routes",IFERROR(INDEX('Taxonomy Rules'!$G$42:$G$68,MATCH(E946,'Taxonomy Rules'!$C$42:$C$68,0)),"")=U946,AND(IFERROR(INDEX('Taxonomy Rules'!$G$42:$G$68,MATCH(E946,'Taxonomy Rules'!$C$42:$C$68,0)),"")="Building routes",OR(U946="Building renovation",U946="New building",U946="Building equipment"))))),"Unexpected test","Valid"))))</x:f>
      </x:c>
      <x:c r="S946" s="9" t="str">
        <x:f>IF(C946="","",IFERROR(INDEX('Taxonomy Rules'!$E$42:$E$68,MATCH(E946,'Taxonomy Rules'!$C$42:$C$68,0)),""))</x:f>
      </x:c>
      <x:c r="T946" s="9" t="str">
        <x:f>IF(C946="","",IFERROR(INDEX('Taxonomy Rules'!$F$42:$F$68,MATCH(E946,'Taxonomy Rules'!$C$42:$C$68,0)),""))</x:f>
      </x:c>
      <x:c r="U946" s="9" t="str">
        <x:f>IF(C946="","",IFERROR(INDEX('Taxonomy'!$G$9:$G$108,MATCH(D946,'Taxonomy'!$C$9:$C$108,0)),""))</x:f>
      </x:c>
    </x:row>
    <x:row r="947" ht="44" customHeight="1">
      <x:c r="A947" s="1"/>
      <x:c r="B947" s="1"/>
      <x:c r="C947" s="8"/>
      <x:c r="D947" s="8"/>
      <x:c r="E947" s="8"/>
      <x:c r="F947" s="8"/>
      <x:c r="G947" s="8"/>
      <x:c r="H947" s="8"/>
      <x:c r="I947" s="8"/>
      <x:c r="J947" s="8"/>
      <x:c r="K947" s="8"/>
      <x:c r="L947" s="8"/>
      <x:c r="M947" s="10"/>
      <x:c r="N947" s="10"/>
      <x:c r="O947" s="8"/>
      <x:c r="P947" s="9" t="str">
        <x:f>IF(C947="","",IF(AND(G947="Applicable",H947="Fail"),"Fail",IF(R947&lt;&gt;"Valid","Pending",IF(OR(I947="",K947="",L947="",K947=L947,NOT(ISNUMBER(M947)),NOT(ISNUMBER(N947)),M947&gt;Settings!$F$8,N947&lt;Settings!$F$8,N947&lt;M947),"Pending",IF(AND(G947="Applicable",H947="Pass"),"Pass",IF(AND(G947="N/A",H947="N/A",J947&lt;&gt;"",OR(E947="CEM-FUELS",E947="CEM-CCS",AND(E947="CEM-PLAN",IFERROR(INDEX('Taxonomy'!$M$9:$M$108,MATCH(D947,'Taxonomy'!$C$9:$C$108,0)),"")&lt;&gt;"Amber"),E947="BLD-TIMBER",AND(U947="Building equipment",OR(E947="BLD-WATER",E947="BLD-WASTE",E947="BLD-LAND")),AND(U947="Building renovation",E947="BLD-LAND"))),"N/A","Pending"))))))</x:f>
      </x:c>
      <x:c r="Q947" s="3" t="str">
        <x:f>IF(C947="","",IF(AND(R947="Valid",OR(P947="Pass",P947="N/A")),"Complete","Unresolved"))</x:f>
      </x:c>
      <x:c r="R947" s="9" t="str">
        <x:f>IF(C947="","",IF(OR(COUNTIF($C$9:$C$2008,C947)&lt;&gt;1,COUNTIFS($D$9:$D$2008,D947,$E$9:$E$2008,E947)&lt;&gt;1),"Duplicate test",IF(COUNTIF('Taxonomy'!$C$9:$C$108,D947)&lt;&gt;1,"Assessment key",IF(OR(COUNTIF('Taxonomy Rules'!$C$42:$C$68,E947)&lt;&gt;1,F947&lt;&gt;IFERROR(INDEX('Taxonomy Rules'!$D$42:$D$68,MATCH(E947,'Taxonomy Rules'!$C$42:$C$68,0)),""),NOT(OR(IFERROR(INDEX('Taxonomy Rules'!$G$42:$G$68,MATCH(E947,'Taxonomy Rules'!$C$42:$C$68,0)),"")="All supported routes",IFERROR(INDEX('Taxonomy Rules'!$G$42:$G$68,MATCH(E947,'Taxonomy Rules'!$C$42:$C$68,0)),"")=U947,AND(IFERROR(INDEX('Taxonomy Rules'!$G$42:$G$68,MATCH(E947,'Taxonomy Rules'!$C$42:$C$68,0)),"")="Building routes",OR(U947="Building renovation",U947="New building",U947="Building equipment"))))),"Unexpected test","Valid"))))</x:f>
      </x:c>
      <x:c r="S947" s="9" t="str">
        <x:f>IF(C947="","",IFERROR(INDEX('Taxonomy Rules'!$E$42:$E$68,MATCH(E947,'Taxonomy Rules'!$C$42:$C$68,0)),""))</x:f>
      </x:c>
      <x:c r="T947" s="9" t="str">
        <x:f>IF(C947="","",IFERROR(INDEX('Taxonomy Rules'!$F$42:$F$68,MATCH(E947,'Taxonomy Rules'!$C$42:$C$68,0)),""))</x:f>
      </x:c>
      <x:c r="U947" s="9" t="str">
        <x:f>IF(C947="","",IFERROR(INDEX('Taxonomy'!$G$9:$G$108,MATCH(D947,'Taxonomy'!$C$9:$C$108,0)),""))</x:f>
      </x:c>
    </x:row>
    <x:row r="948" ht="44" customHeight="1">
      <x:c r="A948" s="1"/>
      <x:c r="B948" s="1"/>
      <x:c r="C948" s="8"/>
      <x:c r="D948" s="8"/>
      <x:c r="E948" s="8"/>
      <x:c r="F948" s="8"/>
      <x:c r="G948" s="8"/>
      <x:c r="H948" s="8"/>
      <x:c r="I948" s="8"/>
      <x:c r="J948" s="8"/>
      <x:c r="K948" s="8"/>
      <x:c r="L948" s="8"/>
      <x:c r="M948" s="10"/>
      <x:c r="N948" s="10"/>
      <x:c r="O948" s="8"/>
      <x:c r="P948" s="9" t="str">
        <x:f>IF(C948="","",IF(AND(G948="Applicable",H948="Fail"),"Fail",IF(R948&lt;&gt;"Valid","Pending",IF(OR(I948="",K948="",L948="",K948=L948,NOT(ISNUMBER(M948)),NOT(ISNUMBER(N948)),M948&gt;Settings!$F$8,N948&lt;Settings!$F$8,N948&lt;M948),"Pending",IF(AND(G948="Applicable",H948="Pass"),"Pass",IF(AND(G948="N/A",H948="N/A",J948&lt;&gt;"",OR(E948="CEM-FUELS",E948="CEM-CCS",AND(E948="CEM-PLAN",IFERROR(INDEX('Taxonomy'!$M$9:$M$108,MATCH(D948,'Taxonomy'!$C$9:$C$108,0)),"")&lt;&gt;"Amber"),E948="BLD-TIMBER",AND(U948="Building equipment",OR(E948="BLD-WATER",E948="BLD-WASTE",E948="BLD-LAND")),AND(U948="Building renovation",E948="BLD-LAND"))),"N/A","Pending"))))))</x:f>
      </x:c>
      <x:c r="Q948" s="3" t="str">
        <x:f>IF(C948="","",IF(AND(R948="Valid",OR(P948="Pass",P948="N/A")),"Complete","Unresolved"))</x:f>
      </x:c>
      <x:c r="R948" s="9" t="str">
        <x:f>IF(C948="","",IF(OR(COUNTIF($C$9:$C$2008,C948)&lt;&gt;1,COUNTIFS($D$9:$D$2008,D948,$E$9:$E$2008,E948)&lt;&gt;1),"Duplicate test",IF(COUNTIF('Taxonomy'!$C$9:$C$108,D948)&lt;&gt;1,"Assessment key",IF(OR(COUNTIF('Taxonomy Rules'!$C$42:$C$68,E948)&lt;&gt;1,F948&lt;&gt;IFERROR(INDEX('Taxonomy Rules'!$D$42:$D$68,MATCH(E948,'Taxonomy Rules'!$C$42:$C$68,0)),""),NOT(OR(IFERROR(INDEX('Taxonomy Rules'!$G$42:$G$68,MATCH(E948,'Taxonomy Rules'!$C$42:$C$68,0)),"")="All supported routes",IFERROR(INDEX('Taxonomy Rules'!$G$42:$G$68,MATCH(E948,'Taxonomy Rules'!$C$42:$C$68,0)),"")=U948,AND(IFERROR(INDEX('Taxonomy Rules'!$G$42:$G$68,MATCH(E948,'Taxonomy Rules'!$C$42:$C$68,0)),"")="Building routes",OR(U948="Building renovation",U948="New building",U948="Building equipment"))))),"Unexpected test","Valid"))))</x:f>
      </x:c>
      <x:c r="S948" s="9" t="str">
        <x:f>IF(C948="","",IFERROR(INDEX('Taxonomy Rules'!$E$42:$E$68,MATCH(E948,'Taxonomy Rules'!$C$42:$C$68,0)),""))</x:f>
      </x:c>
      <x:c r="T948" s="9" t="str">
        <x:f>IF(C948="","",IFERROR(INDEX('Taxonomy Rules'!$F$42:$F$68,MATCH(E948,'Taxonomy Rules'!$C$42:$C$68,0)),""))</x:f>
      </x:c>
      <x:c r="U948" s="9" t="str">
        <x:f>IF(C948="","",IFERROR(INDEX('Taxonomy'!$G$9:$G$108,MATCH(D948,'Taxonomy'!$C$9:$C$108,0)),""))</x:f>
      </x:c>
    </x:row>
    <x:row r="949" ht="44" customHeight="1">
      <x:c r="A949" s="1"/>
      <x:c r="B949" s="1"/>
      <x:c r="C949" s="8"/>
      <x:c r="D949" s="8"/>
      <x:c r="E949" s="8"/>
      <x:c r="F949" s="8"/>
      <x:c r="G949" s="8"/>
      <x:c r="H949" s="8"/>
      <x:c r="I949" s="8"/>
      <x:c r="J949" s="8"/>
      <x:c r="K949" s="8"/>
      <x:c r="L949" s="8"/>
      <x:c r="M949" s="10"/>
      <x:c r="N949" s="10"/>
      <x:c r="O949" s="8"/>
      <x:c r="P949" s="9" t="str">
        <x:f>IF(C949="","",IF(AND(G949="Applicable",H949="Fail"),"Fail",IF(R949&lt;&gt;"Valid","Pending",IF(OR(I949="",K949="",L949="",K949=L949,NOT(ISNUMBER(M949)),NOT(ISNUMBER(N949)),M949&gt;Settings!$F$8,N949&lt;Settings!$F$8,N949&lt;M949),"Pending",IF(AND(G949="Applicable",H949="Pass"),"Pass",IF(AND(G949="N/A",H949="N/A",J949&lt;&gt;"",OR(E949="CEM-FUELS",E949="CEM-CCS",AND(E949="CEM-PLAN",IFERROR(INDEX('Taxonomy'!$M$9:$M$108,MATCH(D949,'Taxonomy'!$C$9:$C$108,0)),"")&lt;&gt;"Amber"),E949="BLD-TIMBER",AND(U949="Building equipment",OR(E949="BLD-WATER",E949="BLD-WASTE",E949="BLD-LAND")),AND(U949="Building renovation",E949="BLD-LAND"))),"N/A","Pending"))))))</x:f>
      </x:c>
      <x:c r="Q949" s="3" t="str">
        <x:f>IF(C949="","",IF(AND(R949="Valid",OR(P949="Pass",P949="N/A")),"Complete","Unresolved"))</x:f>
      </x:c>
      <x:c r="R949" s="9" t="str">
        <x:f>IF(C949="","",IF(OR(COUNTIF($C$9:$C$2008,C949)&lt;&gt;1,COUNTIFS($D$9:$D$2008,D949,$E$9:$E$2008,E949)&lt;&gt;1),"Duplicate test",IF(COUNTIF('Taxonomy'!$C$9:$C$108,D949)&lt;&gt;1,"Assessment key",IF(OR(COUNTIF('Taxonomy Rules'!$C$42:$C$68,E949)&lt;&gt;1,F949&lt;&gt;IFERROR(INDEX('Taxonomy Rules'!$D$42:$D$68,MATCH(E949,'Taxonomy Rules'!$C$42:$C$68,0)),""),NOT(OR(IFERROR(INDEX('Taxonomy Rules'!$G$42:$G$68,MATCH(E949,'Taxonomy Rules'!$C$42:$C$68,0)),"")="All supported routes",IFERROR(INDEX('Taxonomy Rules'!$G$42:$G$68,MATCH(E949,'Taxonomy Rules'!$C$42:$C$68,0)),"")=U949,AND(IFERROR(INDEX('Taxonomy Rules'!$G$42:$G$68,MATCH(E949,'Taxonomy Rules'!$C$42:$C$68,0)),"")="Building routes",OR(U949="Building renovation",U949="New building",U949="Building equipment"))))),"Unexpected test","Valid"))))</x:f>
      </x:c>
      <x:c r="S949" s="9" t="str">
        <x:f>IF(C949="","",IFERROR(INDEX('Taxonomy Rules'!$E$42:$E$68,MATCH(E949,'Taxonomy Rules'!$C$42:$C$68,0)),""))</x:f>
      </x:c>
      <x:c r="T949" s="9" t="str">
        <x:f>IF(C949="","",IFERROR(INDEX('Taxonomy Rules'!$F$42:$F$68,MATCH(E949,'Taxonomy Rules'!$C$42:$C$68,0)),""))</x:f>
      </x:c>
      <x:c r="U949" s="9" t="str">
        <x:f>IF(C949="","",IFERROR(INDEX('Taxonomy'!$G$9:$G$108,MATCH(D949,'Taxonomy'!$C$9:$C$108,0)),""))</x:f>
      </x:c>
    </x:row>
    <x:row r="950" ht="44" customHeight="1">
      <x:c r="A950" s="1"/>
      <x:c r="B950" s="1"/>
      <x:c r="C950" s="8"/>
      <x:c r="D950" s="8"/>
      <x:c r="E950" s="8"/>
      <x:c r="F950" s="8"/>
      <x:c r="G950" s="8"/>
      <x:c r="H950" s="8"/>
      <x:c r="I950" s="8"/>
      <x:c r="J950" s="8"/>
      <x:c r="K950" s="8"/>
      <x:c r="L950" s="8"/>
      <x:c r="M950" s="10"/>
      <x:c r="N950" s="10"/>
      <x:c r="O950" s="8"/>
      <x:c r="P950" s="9" t="str">
        <x:f>IF(C950="","",IF(AND(G950="Applicable",H950="Fail"),"Fail",IF(R950&lt;&gt;"Valid","Pending",IF(OR(I950="",K950="",L950="",K950=L950,NOT(ISNUMBER(M950)),NOT(ISNUMBER(N950)),M950&gt;Settings!$F$8,N950&lt;Settings!$F$8,N950&lt;M950),"Pending",IF(AND(G950="Applicable",H950="Pass"),"Pass",IF(AND(G950="N/A",H950="N/A",J950&lt;&gt;"",OR(E950="CEM-FUELS",E950="CEM-CCS",AND(E950="CEM-PLAN",IFERROR(INDEX('Taxonomy'!$M$9:$M$108,MATCH(D950,'Taxonomy'!$C$9:$C$108,0)),"")&lt;&gt;"Amber"),E950="BLD-TIMBER",AND(U950="Building equipment",OR(E950="BLD-WATER",E950="BLD-WASTE",E950="BLD-LAND")),AND(U950="Building renovation",E950="BLD-LAND"))),"N/A","Pending"))))))</x:f>
      </x:c>
      <x:c r="Q950" s="3" t="str">
        <x:f>IF(C950="","",IF(AND(R950="Valid",OR(P950="Pass",P950="N/A")),"Complete","Unresolved"))</x:f>
      </x:c>
      <x:c r="R950" s="9" t="str">
        <x:f>IF(C950="","",IF(OR(COUNTIF($C$9:$C$2008,C950)&lt;&gt;1,COUNTIFS($D$9:$D$2008,D950,$E$9:$E$2008,E950)&lt;&gt;1),"Duplicate test",IF(COUNTIF('Taxonomy'!$C$9:$C$108,D950)&lt;&gt;1,"Assessment key",IF(OR(COUNTIF('Taxonomy Rules'!$C$42:$C$68,E950)&lt;&gt;1,F950&lt;&gt;IFERROR(INDEX('Taxonomy Rules'!$D$42:$D$68,MATCH(E950,'Taxonomy Rules'!$C$42:$C$68,0)),""),NOT(OR(IFERROR(INDEX('Taxonomy Rules'!$G$42:$G$68,MATCH(E950,'Taxonomy Rules'!$C$42:$C$68,0)),"")="All supported routes",IFERROR(INDEX('Taxonomy Rules'!$G$42:$G$68,MATCH(E950,'Taxonomy Rules'!$C$42:$C$68,0)),"")=U950,AND(IFERROR(INDEX('Taxonomy Rules'!$G$42:$G$68,MATCH(E950,'Taxonomy Rules'!$C$42:$C$68,0)),"")="Building routes",OR(U950="Building renovation",U950="New building",U950="Building equipment"))))),"Unexpected test","Valid"))))</x:f>
      </x:c>
      <x:c r="S950" s="9" t="str">
        <x:f>IF(C950="","",IFERROR(INDEX('Taxonomy Rules'!$E$42:$E$68,MATCH(E950,'Taxonomy Rules'!$C$42:$C$68,0)),""))</x:f>
      </x:c>
      <x:c r="T950" s="9" t="str">
        <x:f>IF(C950="","",IFERROR(INDEX('Taxonomy Rules'!$F$42:$F$68,MATCH(E950,'Taxonomy Rules'!$C$42:$C$68,0)),""))</x:f>
      </x:c>
      <x:c r="U950" s="9" t="str">
        <x:f>IF(C950="","",IFERROR(INDEX('Taxonomy'!$G$9:$G$108,MATCH(D950,'Taxonomy'!$C$9:$C$108,0)),""))</x:f>
      </x:c>
    </x:row>
    <x:row r="951" ht="44" customHeight="1">
      <x:c r="A951" s="1"/>
      <x:c r="B951" s="1"/>
      <x:c r="C951" s="8"/>
      <x:c r="D951" s="8"/>
      <x:c r="E951" s="8"/>
      <x:c r="F951" s="8"/>
      <x:c r="G951" s="8"/>
      <x:c r="H951" s="8"/>
      <x:c r="I951" s="8"/>
      <x:c r="J951" s="8"/>
      <x:c r="K951" s="8"/>
      <x:c r="L951" s="8"/>
      <x:c r="M951" s="10"/>
      <x:c r="N951" s="10"/>
      <x:c r="O951" s="8"/>
      <x:c r="P951" s="9" t="str">
        <x:f>IF(C951="","",IF(AND(G951="Applicable",H951="Fail"),"Fail",IF(R951&lt;&gt;"Valid","Pending",IF(OR(I951="",K951="",L951="",K951=L951,NOT(ISNUMBER(M951)),NOT(ISNUMBER(N951)),M951&gt;Settings!$F$8,N951&lt;Settings!$F$8,N951&lt;M951),"Pending",IF(AND(G951="Applicable",H951="Pass"),"Pass",IF(AND(G951="N/A",H951="N/A",J951&lt;&gt;"",OR(E951="CEM-FUELS",E951="CEM-CCS",AND(E951="CEM-PLAN",IFERROR(INDEX('Taxonomy'!$M$9:$M$108,MATCH(D951,'Taxonomy'!$C$9:$C$108,0)),"")&lt;&gt;"Amber"),E951="BLD-TIMBER",AND(U951="Building equipment",OR(E951="BLD-WATER",E951="BLD-WASTE",E951="BLD-LAND")),AND(U951="Building renovation",E951="BLD-LAND"))),"N/A","Pending"))))))</x:f>
      </x:c>
      <x:c r="Q951" s="3" t="str">
        <x:f>IF(C951="","",IF(AND(R951="Valid",OR(P951="Pass",P951="N/A")),"Complete","Unresolved"))</x:f>
      </x:c>
      <x:c r="R951" s="9" t="str">
        <x:f>IF(C951="","",IF(OR(COUNTIF($C$9:$C$2008,C951)&lt;&gt;1,COUNTIFS($D$9:$D$2008,D951,$E$9:$E$2008,E951)&lt;&gt;1),"Duplicate test",IF(COUNTIF('Taxonomy'!$C$9:$C$108,D951)&lt;&gt;1,"Assessment key",IF(OR(COUNTIF('Taxonomy Rules'!$C$42:$C$68,E951)&lt;&gt;1,F951&lt;&gt;IFERROR(INDEX('Taxonomy Rules'!$D$42:$D$68,MATCH(E951,'Taxonomy Rules'!$C$42:$C$68,0)),""),NOT(OR(IFERROR(INDEX('Taxonomy Rules'!$G$42:$G$68,MATCH(E951,'Taxonomy Rules'!$C$42:$C$68,0)),"")="All supported routes",IFERROR(INDEX('Taxonomy Rules'!$G$42:$G$68,MATCH(E951,'Taxonomy Rules'!$C$42:$C$68,0)),"")=U951,AND(IFERROR(INDEX('Taxonomy Rules'!$G$42:$G$68,MATCH(E951,'Taxonomy Rules'!$C$42:$C$68,0)),"")="Building routes",OR(U951="Building renovation",U951="New building",U951="Building equipment"))))),"Unexpected test","Valid"))))</x:f>
      </x:c>
      <x:c r="S951" s="9" t="str">
        <x:f>IF(C951="","",IFERROR(INDEX('Taxonomy Rules'!$E$42:$E$68,MATCH(E951,'Taxonomy Rules'!$C$42:$C$68,0)),""))</x:f>
      </x:c>
      <x:c r="T951" s="9" t="str">
        <x:f>IF(C951="","",IFERROR(INDEX('Taxonomy Rules'!$F$42:$F$68,MATCH(E951,'Taxonomy Rules'!$C$42:$C$68,0)),""))</x:f>
      </x:c>
      <x:c r="U951" s="9" t="str">
        <x:f>IF(C951="","",IFERROR(INDEX('Taxonomy'!$G$9:$G$108,MATCH(D951,'Taxonomy'!$C$9:$C$108,0)),""))</x:f>
      </x:c>
    </x:row>
    <x:row r="952" ht="44" customHeight="1">
      <x:c r="A952" s="1"/>
      <x:c r="B952" s="1"/>
      <x:c r="C952" s="8"/>
      <x:c r="D952" s="8"/>
      <x:c r="E952" s="8"/>
      <x:c r="F952" s="8"/>
      <x:c r="G952" s="8"/>
      <x:c r="H952" s="8"/>
      <x:c r="I952" s="8"/>
      <x:c r="J952" s="8"/>
      <x:c r="K952" s="8"/>
      <x:c r="L952" s="8"/>
      <x:c r="M952" s="10"/>
      <x:c r="N952" s="10"/>
      <x:c r="O952" s="8"/>
      <x:c r="P952" s="9" t="str">
        <x:f>IF(C952="","",IF(AND(G952="Applicable",H952="Fail"),"Fail",IF(R952&lt;&gt;"Valid","Pending",IF(OR(I952="",K952="",L952="",K952=L952,NOT(ISNUMBER(M952)),NOT(ISNUMBER(N952)),M952&gt;Settings!$F$8,N952&lt;Settings!$F$8,N952&lt;M952),"Pending",IF(AND(G952="Applicable",H952="Pass"),"Pass",IF(AND(G952="N/A",H952="N/A",J952&lt;&gt;"",OR(E952="CEM-FUELS",E952="CEM-CCS",AND(E952="CEM-PLAN",IFERROR(INDEX('Taxonomy'!$M$9:$M$108,MATCH(D952,'Taxonomy'!$C$9:$C$108,0)),"")&lt;&gt;"Amber"),E952="BLD-TIMBER",AND(U952="Building equipment",OR(E952="BLD-WATER",E952="BLD-WASTE",E952="BLD-LAND")),AND(U952="Building renovation",E952="BLD-LAND"))),"N/A","Pending"))))))</x:f>
      </x:c>
      <x:c r="Q952" s="3" t="str">
        <x:f>IF(C952="","",IF(AND(R952="Valid",OR(P952="Pass",P952="N/A")),"Complete","Unresolved"))</x:f>
      </x:c>
      <x:c r="R952" s="9" t="str">
        <x:f>IF(C952="","",IF(OR(COUNTIF($C$9:$C$2008,C952)&lt;&gt;1,COUNTIFS($D$9:$D$2008,D952,$E$9:$E$2008,E952)&lt;&gt;1),"Duplicate test",IF(COUNTIF('Taxonomy'!$C$9:$C$108,D952)&lt;&gt;1,"Assessment key",IF(OR(COUNTIF('Taxonomy Rules'!$C$42:$C$68,E952)&lt;&gt;1,F952&lt;&gt;IFERROR(INDEX('Taxonomy Rules'!$D$42:$D$68,MATCH(E952,'Taxonomy Rules'!$C$42:$C$68,0)),""),NOT(OR(IFERROR(INDEX('Taxonomy Rules'!$G$42:$G$68,MATCH(E952,'Taxonomy Rules'!$C$42:$C$68,0)),"")="All supported routes",IFERROR(INDEX('Taxonomy Rules'!$G$42:$G$68,MATCH(E952,'Taxonomy Rules'!$C$42:$C$68,0)),"")=U952,AND(IFERROR(INDEX('Taxonomy Rules'!$G$42:$G$68,MATCH(E952,'Taxonomy Rules'!$C$42:$C$68,0)),"")="Building routes",OR(U952="Building renovation",U952="New building",U952="Building equipment"))))),"Unexpected test","Valid"))))</x:f>
      </x:c>
      <x:c r="S952" s="9" t="str">
        <x:f>IF(C952="","",IFERROR(INDEX('Taxonomy Rules'!$E$42:$E$68,MATCH(E952,'Taxonomy Rules'!$C$42:$C$68,0)),""))</x:f>
      </x:c>
      <x:c r="T952" s="9" t="str">
        <x:f>IF(C952="","",IFERROR(INDEX('Taxonomy Rules'!$F$42:$F$68,MATCH(E952,'Taxonomy Rules'!$C$42:$C$68,0)),""))</x:f>
      </x:c>
      <x:c r="U952" s="9" t="str">
        <x:f>IF(C952="","",IFERROR(INDEX('Taxonomy'!$G$9:$G$108,MATCH(D952,'Taxonomy'!$C$9:$C$108,0)),""))</x:f>
      </x:c>
    </x:row>
    <x:row r="953" ht="44" customHeight="1">
      <x:c r="A953" s="1"/>
      <x:c r="B953" s="1"/>
      <x:c r="C953" s="8"/>
      <x:c r="D953" s="8"/>
      <x:c r="E953" s="8"/>
      <x:c r="F953" s="8"/>
      <x:c r="G953" s="8"/>
      <x:c r="H953" s="8"/>
      <x:c r="I953" s="8"/>
      <x:c r="J953" s="8"/>
      <x:c r="K953" s="8"/>
      <x:c r="L953" s="8"/>
      <x:c r="M953" s="10"/>
      <x:c r="N953" s="10"/>
      <x:c r="O953" s="8"/>
      <x:c r="P953" s="9" t="str">
        <x:f>IF(C953="","",IF(AND(G953="Applicable",H953="Fail"),"Fail",IF(R953&lt;&gt;"Valid","Pending",IF(OR(I953="",K953="",L953="",K953=L953,NOT(ISNUMBER(M953)),NOT(ISNUMBER(N953)),M953&gt;Settings!$F$8,N953&lt;Settings!$F$8,N953&lt;M953),"Pending",IF(AND(G953="Applicable",H953="Pass"),"Pass",IF(AND(G953="N/A",H953="N/A",J953&lt;&gt;"",OR(E953="CEM-FUELS",E953="CEM-CCS",AND(E953="CEM-PLAN",IFERROR(INDEX('Taxonomy'!$M$9:$M$108,MATCH(D953,'Taxonomy'!$C$9:$C$108,0)),"")&lt;&gt;"Amber"),E953="BLD-TIMBER",AND(U953="Building equipment",OR(E953="BLD-WATER",E953="BLD-WASTE",E953="BLD-LAND")),AND(U953="Building renovation",E953="BLD-LAND"))),"N/A","Pending"))))))</x:f>
      </x:c>
      <x:c r="Q953" s="3" t="str">
        <x:f>IF(C953="","",IF(AND(R953="Valid",OR(P953="Pass",P953="N/A")),"Complete","Unresolved"))</x:f>
      </x:c>
      <x:c r="R953" s="9" t="str">
        <x:f>IF(C953="","",IF(OR(COUNTIF($C$9:$C$2008,C953)&lt;&gt;1,COUNTIFS($D$9:$D$2008,D953,$E$9:$E$2008,E953)&lt;&gt;1),"Duplicate test",IF(COUNTIF('Taxonomy'!$C$9:$C$108,D953)&lt;&gt;1,"Assessment key",IF(OR(COUNTIF('Taxonomy Rules'!$C$42:$C$68,E953)&lt;&gt;1,F953&lt;&gt;IFERROR(INDEX('Taxonomy Rules'!$D$42:$D$68,MATCH(E953,'Taxonomy Rules'!$C$42:$C$68,0)),""),NOT(OR(IFERROR(INDEX('Taxonomy Rules'!$G$42:$G$68,MATCH(E953,'Taxonomy Rules'!$C$42:$C$68,0)),"")="All supported routes",IFERROR(INDEX('Taxonomy Rules'!$G$42:$G$68,MATCH(E953,'Taxonomy Rules'!$C$42:$C$68,0)),"")=U953,AND(IFERROR(INDEX('Taxonomy Rules'!$G$42:$G$68,MATCH(E953,'Taxonomy Rules'!$C$42:$C$68,0)),"")="Building routes",OR(U953="Building renovation",U953="New building",U953="Building equipment"))))),"Unexpected test","Valid"))))</x:f>
      </x:c>
      <x:c r="S953" s="9" t="str">
        <x:f>IF(C953="","",IFERROR(INDEX('Taxonomy Rules'!$E$42:$E$68,MATCH(E953,'Taxonomy Rules'!$C$42:$C$68,0)),""))</x:f>
      </x:c>
      <x:c r="T953" s="9" t="str">
        <x:f>IF(C953="","",IFERROR(INDEX('Taxonomy Rules'!$F$42:$F$68,MATCH(E953,'Taxonomy Rules'!$C$42:$C$68,0)),""))</x:f>
      </x:c>
      <x:c r="U953" s="9" t="str">
        <x:f>IF(C953="","",IFERROR(INDEX('Taxonomy'!$G$9:$G$108,MATCH(D953,'Taxonomy'!$C$9:$C$108,0)),""))</x:f>
      </x:c>
    </x:row>
    <x:row r="954" ht="44" customHeight="1">
      <x:c r="A954" s="1"/>
      <x:c r="B954" s="1"/>
      <x:c r="C954" s="8"/>
      <x:c r="D954" s="8"/>
      <x:c r="E954" s="8"/>
      <x:c r="F954" s="8"/>
      <x:c r="G954" s="8"/>
      <x:c r="H954" s="8"/>
      <x:c r="I954" s="8"/>
      <x:c r="J954" s="8"/>
      <x:c r="K954" s="8"/>
      <x:c r="L954" s="8"/>
      <x:c r="M954" s="10"/>
      <x:c r="N954" s="10"/>
      <x:c r="O954" s="8"/>
      <x:c r="P954" s="9" t="str">
        <x:f>IF(C954="","",IF(AND(G954="Applicable",H954="Fail"),"Fail",IF(R954&lt;&gt;"Valid","Pending",IF(OR(I954="",K954="",L954="",K954=L954,NOT(ISNUMBER(M954)),NOT(ISNUMBER(N954)),M954&gt;Settings!$F$8,N954&lt;Settings!$F$8,N954&lt;M954),"Pending",IF(AND(G954="Applicable",H954="Pass"),"Pass",IF(AND(G954="N/A",H954="N/A",J954&lt;&gt;"",OR(E954="CEM-FUELS",E954="CEM-CCS",AND(E954="CEM-PLAN",IFERROR(INDEX('Taxonomy'!$M$9:$M$108,MATCH(D954,'Taxonomy'!$C$9:$C$108,0)),"")&lt;&gt;"Amber"),E954="BLD-TIMBER",AND(U954="Building equipment",OR(E954="BLD-WATER",E954="BLD-WASTE",E954="BLD-LAND")),AND(U954="Building renovation",E954="BLD-LAND"))),"N/A","Pending"))))))</x:f>
      </x:c>
      <x:c r="Q954" s="3" t="str">
        <x:f>IF(C954="","",IF(AND(R954="Valid",OR(P954="Pass",P954="N/A")),"Complete","Unresolved"))</x:f>
      </x:c>
      <x:c r="R954" s="9" t="str">
        <x:f>IF(C954="","",IF(OR(COUNTIF($C$9:$C$2008,C954)&lt;&gt;1,COUNTIFS($D$9:$D$2008,D954,$E$9:$E$2008,E954)&lt;&gt;1),"Duplicate test",IF(COUNTIF('Taxonomy'!$C$9:$C$108,D954)&lt;&gt;1,"Assessment key",IF(OR(COUNTIF('Taxonomy Rules'!$C$42:$C$68,E954)&lt;&gt;1,F954&lt;&gt;IFERROR(INDEX('Taxonomy Rules'!$D$42:$D$68,MATCH(E954,'Taxonomy Rules'!$C$42:$C$68,0)),""),NOT(OR(IFERROR(INDEX('Taxonomy Rules'!$G$42:$G$68,MATCH(E954,'Taxonomy Rules'!$C$42:$C$68,0)),"")="All supported routes",IFERROR(INDEX('Taxonomy Rules'!$G$42:$G$68,MATCH(E954,'Taxonomy Rules'!$C$42:$C$68,0)),"")=U954,AND(IFERROR(INDEX('Taxonomy Rules'!$G$42:$G$68,MATCH(E954,'Taxonomy Rules'!$C$42:$C$68,0)),"")="Building routes",OR(U954="Building renovation",U954="New building",U954="Building equipment"))))),"Unexpected test","Valid"))))</x:f>
      </x:c>
      <x:c r="S954" s="9" t="str">
        <x:f>IF(C954="","",IFERROR(INDEX('Taxonomy Rules'!$E$42:$E$68,MATCH(E954,'Taxonomy Rules'!$C$42:$C$68,0)),""))</x:f>
      </x:c>
      <x:c r="T954" s="9" t="str">
        <x:f>IF(C954="","",IFERROR(INDEX('Taxonomy Rules'!$F$42:$F$68,MATCH(E954,'Taxonomy Rules'!$C$42:$C$68,0)),""))</x:f>
      </x:c>
      <x:c r="U954" s="9" t="str">
        <x:f>IF(C954="","",IFERROR(INDEX('Taxonomy'!$G$9:$G$108,MATCH(D954,'Taxonomy'!$C$9:$C$108,0)),""))</x:f>
      </x:c>
    </x:row>
    <x:row r="955" ht="44" customHeight="1">
      <x:c r="A955" s="1"/>
      <x:c r="B955" s="1"/>
      <x:c r="C955" s="8"/>
      <x:c r="D955" s="8"/>
      <x:c r="E955" s="8"/>
      <x:c r="F955" s="8"/>
      <x:c r="G955" s="8"/>
      <x:c r="H955" s="8"/>
      <x:c r="I955" s="8"/>
      <x:c r="J955" s="8"/>
      <x:c r="K955" s="8"/>
      <x:c r="L955" s="8"/>
      <x:c r="M955" s="10"/>
      <x:c r="N955" s="10"/>
      <x:c r="O955" s="8"/>
      <x:c r="P955" s="9" t="str">
        <x:f>IF(C955="","",IF(AND(G955="Applicable",H955="Fail"),"Fail",IF(R955&lt;&gt;"Valid","Pending",IF(OR(I955="",K955="",L955="",K955=L955,NOT(ISNUMBER(M955)),NOT(ISNUMBER(N955)),M955&gt;Settings!$F$8,N955&lt;Settings!$F$8,N955&lt;M955),"Pending",IF(AND(G955="Applicable",H955="Pass"),"Pass",IF(AND(G955="N/A",H955="N/A",J955&lt;&gt;"",OR(E955="CEM-FUELS",E955="CEM-CCS",AND(E955="CEM-PLAN",IFERROR(INDEX('Taxonomy'!$M$9:$M$108,MATCH(D955,'Taxonomy'!$C$9:$C$108,0)),"")&lt;&gt;"Amber"),E955="BLD-TIMBER",AND(U955="Building equipment",OR(E955="BLD-WATER",E955="BLD-WASTE",E955="BLD-LAND")),AND(U955="Building renovation",E955="BLD-LAND"))),"N/A","Pending"))))))</x:f>
      </x:c>
      <x:c r="Q955" s="3" t="str">
        <x:f>IF(C955="","",IF(AND(R955="Valid",OR(P955="Pass",P955="N/A")),"Complete","Unresolved"))</x:f>
      </x:c>
      <x:c r="R955" s="9" t="str">
        <x:f>IF(C955="","",IF(OR(COUNTIF($C$9:$C$2008,C955)&lt;&gt;1,COUNTIFS($D$9:$D$2008,D955,$E$9:$E$2008,E955)&lt;&gt;1),"Duplicate test",IF(COUNTIF('Taxonomy'!$C$9:$C$108,D955)&lt;&gt;1,"Assessment key",IF(OR(COUNTIF('Taxonomy Rules'!$C$42:$C$68,E955)&lt;&gt;1,F955&lt;&gt;IFERROR(INDEX('Taxonomy Rules'!$D$42:$D$68,MATCH(E955,'Taxonomy Rules'!$C$42:$C$68,0)),""),NOT(OR(IFERROR(INDEX('Taxonomy Rules'!$G$42:$G$68,MATCH(E955,'Taxonomy Rules'!$C$42:$C$68,0)),"")="All supported routes",IFERROR(INDEX('Taxonomy Rules'!$G$42:$G$68,MATCH(E955,'Taxonomy Rules'!$C$42:$C$68,0)),"")=U955,AND(IFERROR(INDEX('Taxonomy Rules'!$G$42:$G$68,MATCH(E955,'Taxonomy Rules'!$C$42:$C$68,0)),"")="Building routes",OR(U955="Building renovation",U955="New building",U955="Building equipment"))))),"Unexpected test","Valid"))))</x:f>
      </x:c>
      <x:c r="S955" s="9" t="str">
        <x:f>IF(C955="","",IFERROR(INDEX('Taxonomy Rules'!$E$42:$E$68,MATCH(E955,'Taxonomy Rules'!$C$42:$C$68,0)),""))</x:f>
      </x:c>
      <x:c r="T955" s="9" t="str">
        <x:f>IF(C955="","",IFERROR(INDEX('Taxonomy Rules'!$F$42:$F$68,MATCH(E955,'Taxonomy Rules'!$C$42:$C$68,0)),""))</x:f>
      </x:c>
      <x:c r="U955" s="9" t="str">
        <x:f>IF(C955="","",IFERROR(INDEX('Taxonomy'!$G$9:$G$108,MATCH(D955,'Taxonomy'!$C$9:$C$108,0)),""))</x:f>
      </x:c>
    </x:row>
    <x:row r="956" ht="44" customHeight="1">
      <x:c r="A956" s="1"/>
      <x:c r="B956" s="1"/>
      <x:c r="C956" s="8"/>
      <x:c r="D956" s="8"/>
      <x:c r="E956" s="8"/>
      <x:c r="F956" s="8"/>
      <x:c r="G956" s="8"/>
      <x:c r="H956" s="8"/>
      <x:c r="I956" s="8"/>
      <x:c r="J956" s="8"/>
      <x:c r="K956" s="8"/>
      <x:c r="L956" s="8"/>
      <x:c r="M956" s="10"/>
      <x:c r="N956" s="10"/>
      <x:c r="O956" s="8"/>
      <x:c r="P956" s="9" t="str">
        <x:f>IF(C956="","",IF(AND(G956="Applicable",H956="Fail"),"Fail",IF(R956&lt;&gt;"Valid","Pending",IF(OR(I956="",K956="",L956="",K956=L956,NOT(ISNUMBER(M956)),NOT(ISNUMBER(N956)),M956&gt;Settings!$F$8,N956&lt;Settings!$F$8,N956&lt;M956),"Pending",IF(AND(G956="Applicable",H956="Pass"),"Pass",IF(AND(G956="N/A",H956="N/A",J956&lt;&gt;"",OR(E956="CEM-FUELS",E956="CEM-CCS",AND(E956="CEM-PLAN",IFERROR(INDEX('Taxonomy'!$M$9:$M$108,MATCH(D956,'Taxonomy'!$C$9:$C$108,0)),"")&lt;&gt;"Amber"),E956="BLD-TIMBER",AND(U956="Building equipment",OR(E956="BLD-WATER",E956="BLD-WASTE",E956="BLD-LAND")),AND(U956="Building renovation",E956="BLD-LAND"))),"N/A","Pending"))))))</x:f>
      </x:c>
      <x:c r="Q956" s="3" t="str">
        <x:f>IF(C956="","",IF(AND(R956="Valid",OR(P956="Pass",P956="N/A")),"Complete","Unresolved"))</x:f>
      </x:c>
      <x:c r="R956" s="9" t="str">
        <x:f>IF(C956="","",IF(OR(COUNTIF($C$9:$C$2008,C956)&lt;&gt;1,COUNTIFS($D$9:$D$2008,D956,$E$9:$E$2008,E956)&lt;&gt;1),"Duplicate test",IF(COUNTIF('Taxonomy'!$C$9:$C$108,D956)&lt;&gt;1,"Assessment key",IF(OR(COUNTIF('Taxonomy Rules'!$C$42:$C$68,E956)&lt;&gt;1,F956&lt;&gt;IFERROR(INDEX('Taxonomy Rules'!$D$42:$D$68,MATCH(E956,'Taxonomy Rules'!$C$42:$C$68,0)),""),NOT(OR(IFERROR(INDEX('Taxonomy Rules'!$G$42:$G$68,MATCH(E956,'Taxonomy Rules'!$C$42:$C$68,0)),"")="All supported routes",IFERROR(INDEX('Taxonomy Rules'!$G$42:$G$68,MATCH(E956,'Taxonomy Rules'!$C$42:$C$68,0)),"")=U956,AND(IFERROR(INDEX('Taxonomy Rules'!$G$42:$G$68,MATCH(E956,'Taxonomy Rules'!$C$42:$C$68,0)),"")="Building routes",OR(U956="Building renovation",U956="New building",U956="Building equipment"))))),"Unexpected test","Valid"))))</x:f>
      </x:c>
      <x:c r="S956" s="9" t="str">
        <x:f>IF(C956="","",IFERROR(INDEX('Taxonomy Rules'!$E$42:$E$68,MATCH(E956,'Taxonomy Rules'!$C$42:$C$68,0)),""))</x:f>
      </x:c>
      <x:c r="T956" s="9" t="str">
        <x:f>IF(C956="","",IFERROR(INDEX('Taxonomy Rules'!$F$42:$F$68,MATCH(E956,'Taxonomy Rules'!$C$42:$C$68,0)),""))</x:f>
      </x:c>
      <x:c r="U956" s="9" t="str">
        <x:f>IF(C956="","",IFERROR(INDEX('Taxonomy'!$G$9:$G$108,MATCH(D956,'Taxonomy'!$C$9:$C$108,0)),""))</x:f>
      </x:c>
    </x:row>
    <x:row r="957" ht="44" customHeight="1">
      <x:c r="A957" s="1"/>
      <x:c r="B957" s="1"/>
      <x:c r="C957" s="8"/>
      <x:c r="D957" s="8"/>
      <x:c r="E957" s="8"/>
      <x:c r="F957" s="8"/>
      <x:c r="G957" s="8"/>
      <x:c r="H957" s="8"/>
      <x:c r="I957" s="8"/>
      <x:c r="J957" s="8"/>
      <x:c r="K957" s="8"/>
      <x:c r="L957" s="8"/>
      <x:c r="M957" s="10"/>
      <x:c r="N957" s="10"/>
      <x:c r="O957" s="8"/>
      <x:c r="P957" s="9" t="str">
        <x:f>IF(C957="","",IF(AND(G957="Applicable",H957="Fail"),"Fail",IF(R957&lt;&gt;"Valid","Pending",IF(OR(I957="",K957="",L957="",K957=L957,NOT(ISNUMBER(M957)),NOT(ISNUMBER(N957)),M957&gt;Settings!$F$8,N957&lt;Settings!$F$8,N957&lt;M957),"Pending",IF(AND(G957="Applicable",H957="Pass"),"Pass",IF(AND(G957="N/A",H957="N/A",J957&lt;&gt;"",OR(E957="CEM-FUELS",E957="CEM-CCS",AND(E957="CEM-PLAN",IFERROR(INDEX('Taxonomy'!$M$9:$M$108,MATCH(D957,'Taxonomy'!$C$9:$C$108,0)),"")&lt;&gt;"Amber"),E957="BLD-TIMBER",AND(U957="Building equipment",OR(E957="BLD-WATER",E957="BLD-WASTE",E957="BLD-LAND")),AND(U957="Building renovation",E957="BLD-LAND"))),"N/A","Pending"))))))</x:f>
      </x:c>
      <x:c r="Q957" s="3" t="str">
        <x:f>IF(C957="","",IF(AND(R957="Valid",OR(P957="Pass",P957="N/A")),"Complete","Unresolved"))</x:f>
      </x:c>
      <x:c r="R957" s="9" t="str">
        <x:f>IF(C957="","",IF(OR(COUNTIF($C$9:$C$2008,C957)&lt;&gt;1,COUNTIFS($D$9:$D$2008,D957,$E$9:$E$2008,E957)&lt;&gt;1),"Duplicate test",IF(COUNTIF('Taxonomy'!$C$9:$C$108,D957)&lt;&gt;1,"Assessment key",IF(OR(COUNTIF('Taxonomy Rules'!$C$42:$C$68,E957)&lt;&gt;1,F957&lt;&gt;IFERROR(INDEX('Taxonomy Rules'!$D$42:$D$68,MATCH(E957,'Taxonomy Rules'!$C$42:$C$68,0)),""),NOT(OR(IFERROR(INDEX('Taxonomy Rules'!$G$42:$G$68,MATCH(E957,'Taxonomy Rules'!$C$42:$C$68,0)),"")="All supported routes",IFERROR(INDEX('Taxonomy Rules'!$G$42:$G$68,MATCH(E957,'Taxonomy Rules'!$C$42:$C$68,0)),"")=U957,AND(IFERROR(INDEX('Taxonomy Rules'!$G$42:$G$68,MATCH(E957,'Taxonomy Rules'!$C$42:$C$68,0)),"")="Building routes",OR(U957="Building renovation",U957="New building",U957="Building equipment"))))),"Unexpected test","Valid"))))</x:f>
      </x:c>
      <x:c r="S957" s="9" t="str">
        <x:f>IF(C957="","",IFERROR(INDEX('Taxonomy Rules'!$E$42:$E$68,MATCH(E957,'Taxonomy Rules'!$C$42:$C$68,0)),""))</x:f>
      </x:c>
      <x:c r="T957" s="9" t="str">
        <x:f>IF(C957="","",IFERROR(INDEX('Taxonomy Rules'!$F$42:$F$68,MATCH(E957,'Taxonomy Rules'!$C$42:$C$68,0)),""))</x:f>
      </x:c>
      <x:c r="U957" s="9" t="str">
        <x:f>IF(C957="","",IFERROR(INDEX('Taxonomy'!$G$9:$G$108,MATCH(D957,'Taxonomy'!$C$9:$C$108,0)),""))</x:f>
      </x:c>
    </x:row>
    <x:row r="958" ht="44" customHeight="1">
      <x:c r="A958" s="1"/>
      <x:c r="B958" s="1"/>
      <x:c r="C958" s="8"/>
      <x:c r="D958" s="8"/>
      <x:c r="E958" s="8"/>
      <x:c r="F958" s="8"/>
      <x:c r="G958" s="8"/>
      <x:c r="H958" s="8"/>
      <x:c r="I958" s="8"/>
      <x:c r="J958" s="8"/>
      <x:c r="K958" s="8"/>
      <x:c r="L958" s="8"/>
      <x:c r="M958" s="10"/>
      <x:c r="N958" s="10"/>
      <x:c r="O958" s="8"/>
      <x:c r="P958" s="9" t="str">
        <x:f>IF(C958="","",IF(AND(G958="Applicable",H958="Fail"),"Fail",IF(R958&lt;&gt;"Valid","Pending",IF(OR(I958="",K958="",L958="",K958=L958,NOT(ISNUMBER(M958)),NOT(ISNUMBER(N958)),M958&gt;Settings!$F$8,N958&lt;Settings!$F$8,N958&lt;M958),"Pending",IF(AND(G958="Applicable",H958="Pass"),"Pass",IF(AND(G958="N/A",H958="N/A",J958&lt;&gt;"",OR(E958="CEM-FUELS",E958="CEM-CCS",AND(E958="CEM-PLAN",IFERROR(INDEX('Taxonomy'!$M$9:$M$108,MATCH(D958,'Taxonomy'!$C$9:$C$108,0)),"")&lt;&gt;"Amber"),E958="BLD-TIMBER",AND(U958="Building equipment",OR(E958="BLD-WATER",E958="BLD-WASTE",E958="BLD-LAND")),AND(U958="Building renovation",E958="BLD-LAND"))),"N/A","Pending"))))))</x:f>
      </x:c>
      <x:c r="Q958" s="3" t="str">
        <x:f>IF(C958="","",IF(AND(R958="Valid",OR(P958="Pass",P958="N/A")),"Complete","Unresolved"))</x:f>
      </x:c>
      <x:c r="R958" s="9" t="str">
        <x:f>IF(C958="","",IF(OR(COUNTIF($C$9:$C$2008,C958)&lt;&gt;1,COUNTIFS($D$9:$D$2008,D958,$E$9:$E$2008,E958)&lt;&gt;1),"Duplicate test",IF(COUNTIF('Taxonomy'!$C$9:$C$108,D958)&lt;&gt;1,"Assessment key",IF(OR(COUNTIF('Taxonomy Rules'!$C$42:$C$68,E958)&lt;&gt;1,F958&lt;&gt;IFERROR(INDEX('Taxonomy Rules'!$D$42:$D$68,MATCH(E958,'Taxonomy Rules'!$C$42:$C$68,0)),""),NOT(OR(IFERROR(INDEX('Taxonomy Rules'!$G$42:$G$68,MATCH(E958,'Taxonomy Rules'!$C$42:$C$68,0)),"")="All supported routes",IFERROR(INDEX('Taxonomy Rules'!$G$42:$G$68,MATCH(E958,'Taxonomy Rules'!$C$42:$C$68,0)),"")=U958,AND(IFERROR(INDEX('Taxonomy Rules'!$G$42:$G$68,MATCH(E958,'Taxonomy Rules'!$C$42:$C$68,0)),"")="Building routes",OR(U958="Building renovation",U958="New building",U958="Building equipment"))))),"Unexpected test","Valid"))))</x:f>
      </x:c>
      <x:c r="S958" s="9" t="str">
        <x:f>IF(C958="","",IFERROR(INDEX('Taxonomy Rules'!$E$42:$E$68,MATCH(E958,'Taxonomy Rules'!$C$42:$C$68,0)),""))</x:f>
      </x:c>
      <x:c r="T958" s="9" t="str">
        <x:f>IF(C958="","",IFERROR(INDEX('Taxonomy Rules'!$F$42:$F$68,MATCH(E958,'Taxonomy Rules'!$C$42:$C$68,0)),""))</x:f>
      </x:c>
      <x:c r="U958" s="9" t="str">
        <x:f>IF(C958="","",IFERROR(INDEX('Taxonomy'!$G$9:$G$108,MATCH(D958,'Taxonomy'!$C$9:$C$108,0)),""))</x:f>
      </x:c>
    </x:row>
    <x:row r="959" ht="44" customHeight="1">
      <x:c r="A959" s="1"/>
      <x:c r="B959" s="1"/>
      <x:c r="C959" s="8"/>
      <x:c r="D959" s="8"/>
      <x:c r="E959" s="8"/>
      <x:c r="F959" s="8"/>
      <x:c r="G959" s="8"/>
      <x:c r="H959" s="8"/>
      <x:c r="I959" s="8"/>
      <x:c r="J959" s="8"/>
      <x:c r="K959" s="8"/>
      <x:c r="L959" s="8"/>
      <x:c r="M959" s="10"/>
      <x:c r="N959" s="10"/>
      <x:c r="O959" s="8"/>
      <x:c r="P959" s="9" t="str">
        <x:f>IF(C959="","",IF(AND(G959="Applicable",H959="Fail"),"Fail",IF(R959&lt;&gt;"Valid","Pending",IF(OR(I959="",K959="",L959="",K959=L959,NOT(ISNUMBER(M959)),NOT(ISNUMBER(N959)),M959&gt;Settings!$F$8,N959&lt;Settings!$F$8,N959&lt;M959),"Pending",IF(AND(G959="Applicable",H959="Pass"),"Pass",IF(AND(G959="N/A",H959="N/A",J959&lt;&gt;"",OR(E959="CEM-FUELS",E959="CEM-CCS",AND(E959="CEM-PLAN",IFERROR(INDEX('Taxonomy'!$M$9:$M$108,MATCH(D959,'Taxonomy'!$C$9:$C$108,0)),"")&lt;&gt;"Amber"),E959="BLD-TIMBER",AND(U959="Building equipment",OR(E959="BLD-WATER",E959="BLD-WASTE",E959="BLD-LAND")),AND(U959="Building renovation",E959="BLD-LAND"))),"N/A","Pending"))))))</x:f>
      </x:c>
      <x:c r="Q959" s="3" t="str">
        <x:f>IF(C959="","",IF(AND(R959="Valid",OR(P959="Pass",P959="N/A")),"Complete","Unresolved"))</x:f>
      </x:c>
      <x:c r="R959" s="9" t="str">
        <x:f>IF(C959="","",IF(OR(COUNTIF($C$9:$C$2008,C959)&lt;&gt;1,COUNTIFS($D$9:$D$2008,D959,$E$9:$E$2008,E959)&lt;&gt;1),"Duplicate test",IF(COUNTIF('Taxonomy'!$C$9:$C$108,D959)&lt;&gt;1,"Assessment key",IF(OR(COUNTIF('Taxonomy Rules'!$C$42:$C$68,E959)&lt;&gt;1,F959&lt;&gt;IFERROR(INDEX('Taxonomy Rules'!$D$42:$D$68,MATCH(E959,'Taxonomy Rules'!$C$42:$C$68,0)),""),NOT(OR(IFERROR(INDEX('Taxonomy Rules'!$G$42:$G$68,MATCH(E959,'Taxonomy Rules'!$C$42:$C$68,0)),"")="All supported routes",IFERROR(INDEX('Taxonomy Rules'!$G$42:$G$68,MATCH(E959,'Taxonomy Rules'!$C$42:$C$68,0)),"")=U959,AND(IFERROR(INDEX('Taxonomy Rules'!$G$42:$G$68,MATCH(E959,'Taxonomy Rules'!$C$42:$C$68,0)),"")="Building routes",OR(U959="Building renovation",U959="New building",U959="Building equipment"))))),"Unexpected test","Valid"))))</x:f>
      </x:c>
      <x:c r="S959" s="9" t="str">
        <x:f>IF(C959="","",IFERROR(INDEX('Taxonomy Rules'!$E$42:$E$68,MATCH(E959,'Taxonomy Rules'!$C$42:$C$68,0)),""))</x:f>
      </x:c>
      <x:c r="T959" s="9" t="str">
        <x:f>IF(C959="","",IFERROR(INDEX('Taxonomy Rules'!$F$42:$F$68,MATCH(E959,'Taxonomy Rules'!$C$42:$C$68,0)),""))</x:f>
      </x:c>
      <x:c r="U959" s="9" t="str">
        <x:f>IF(C959="","",IFERROR(INDEX('Taxonomy'!$G$9:$G$108,MATCH(D959,'Taxonomy'!$C$9:$C$108,0)),""))</x:f>
      </x:c>
    </x:row>
    <x:row r="960" ht="44" customHeight="1">
      <x:c r="A960" s="1"/>
      <x:c r="B960" s="1"/>
      <x:c r="C960" s="8"/>
      <x:c r="D960" s="8"/>
      <x:c r="E960" s="8"/>
      <x:c r="F960" s="8"/>
      <x:c r="G960" s="8"/>
      <x:c r="H960" s="8"/>
      <x:c r="I960" s="8"/>
      <x:c r="J960" s="8"/>
      <x:c r="K960" s="8"/>
      <x:c r="L960" s="8"/>
      <x:c r="M960" s="10"/>
      <x:c r="N960" s="10"/>
      <x:c r="O960" s="8"/>
      <x:c r="P960" s="9" t="str">
        <x:f>IF(C960="","",IF(AND(G960="Applicable",H960="Fail"),"Fail",IF(R960&lt;&gt;"Valid","Pending",IF(OR(I960="",K960="",L960="",K960=L960,NOT(ISNUMBER(M960)),NOT(ISNUMBER(N960)),M960&gt;Settings!$F$8,N960&lt;Settings!$F$8,N960&lt;M960),"Pending",IF(AND(G960="Applicable",H960="Pass"),"Pass",IF(AND(G960="N/A",H960="N/A",J960&lt;&gt;"",OR(E960="CEM-FUELS",E960="CEM-CCS",AND(E960="CEM-PLAN",IFERROR(INDEX('Taxonomy'!$M$9:$M$108,MATCH(D960,'Taxonomy'!$C$9:$C$108,0)),"")&lt;&gt;"Amber"),E960="BLD-TIMBER",AND(U960="Building equipment",OR(E960="BLD-WATER",E960="BLD-WASTE",E960="BLD-LAND")),AND(U960="Building renovation",E960="BLD-LAND"))),"N/A","Pending"))))))</x:f>
      </x:c>
      <x:c r="Q960" s="3" t="str">
        <x:f>IF(C960="","",IF(AND(R960="Valid",OR(P960="Pass",P960="N/A")),"Complete","Unresolved"))</x:f>
      </x:c>
      <x:c r="R960" s="9" t="str">
        <x:f>IF(C960="","",IF(OR(COUNTIF($C$9:$C$2008,C960)&lt;&gt;1,COUNTIFS($D$9:$D$2008,D960,$E$9:$E$2008,E960)&lt;&gt;1),"Duplicate test",IF(COUNTIF('Taxonomy'!$C$9:$C$108,D960)&lt;&gt;1,"Assessment key",IF(OR(COUNTIF('Taxonomy Rules'!$C$42:$C$68,E960)&lt;&gt;1,F960&lt;&gt;IFERROR(INDEX('Taxonomy Rules'!$D$42:$D$68,MATCH(E960,'Taxonomy Rules'!$C$42:$C$68,0)),""),NOT(OR(IFERROR(INDEX('Taxonomy Rules'!$G$42:$G$68,MATCH(E960,'Taxonomy Rules'!$C$42:$C$68,0)),"")="All supported routes",IFERROR(INDEX('Taxonomy Rules'!$G$42:$G$68,MATCH(E960,'Taxonomy Rules'!$C$42:$C$68,0)),"")=U960,AND(IFERROR(INDEX('Taxonomy Rules'!$G$42:$G$68,MATCH(E960,'Taxonomy Rules'!$C$42:$C$68,0)),"")="Building routes",OR(U960="Building renovation",U960="New building",U960="Building equipment"))))),"Unexpected test","Valid"))))</x:f>
      </x:c>
      <x:c r="S960" s="9" t="str">
        <x:f>IF(C960="","",IFERROR(INDEX('Taxonomy Rules'!$E$42:$E$68,MATCH(E960,'Taxonomy Rules'!$C$42:$C$68,0)),""))</x:f>
      </x:c>
      <x:c r="T960" s="9" t="str">
        <x:f>IF(C960="","",IFERROR(INDEX('Taxonomy Rules'!$F$42:$F$68,MATCH(E960,'Taxonomy Rules'!$C$42:$C$68,0)),""))</x:f>
      </x:c>
      <x:c r="U960" s="9" t="str">
        <x:f>IF(C960="","",IFERROR(INDEX('Taxonomy'!$G$9:$G$108,MATCH(D960,'Taxonomy'!$C$9:$C$108,0)),""))</x:f>
      </x:c>
    </x:row>
    <x:row r="961" ht="44" customHeight="1">
      <x:c r="A961" s="1"/>
      <x:c r="B961" s="1"/>
      <x:c r="C961" s="8"/>
      <x:c r="D961" s="8"/>
      <x:c r="E961" s="8"/>
      <x:c r="F961" s="8"/>
      <x:c r="G961" s="8"/>
      <x:c r="H961" s="8"/>
      <x:c r="I961" s="8"/>
      <x:c r="J961" s="8"/>
      <x:c r="K961" s="8"/>
      <x:c r="L961" s="8"/>
      <x:c r="M961" s="10"/>
      <x:c r="N961" s="10"/>
      <x:c r="O961" s="8"/>
      <x:c r="P961" s="9" t="str">
        <x:f>IF(C961="","",IF(AND(G961="Applicable",H961="Fail"),"Fail",IF(R961&lt;&gt;"Valid","Pending",IF(OR(I961="",K961="",L961="",K961=L961,NOT(ISNUMBER(M961)),NOT(ISNUMBER(N961)),M961&gt;Settings!$F$8,N961&lt;Settings!$F$8,N961&lt;M961),"Pending",IF(AND(G961="Applicable",H961="Pass"),"Pass",IF(AND(G961="N/A",H961="N/A",J961&lt;&gt;"",OR(E961="CEM-FUELS",E961="CEM-CCS",AND(E961="CEM-PLAN",IFERROR(INDEX('Taxonomy'!$M$9:$M$108,MATCH(D961,'Taxonomy'!$C$9:$C$108,0)),"")&lt;&gt;"Amber"),E961="BLD-TIMBER",AND(U961="Building equipment",OR(E961="BLD-WATER",E961="BLD-WASTE",E961="BLD-LAND")),AND(U961="Building renovation",E961="BLD-LAND"))),"N/A","Pending"))))))</x:f>
      </x:c>
      <x:c r="Q961" s="3" t="str">
        <x:f>IF(C961="","",IF(AND(R961="Valid",OR(P961="Pass",P961="N/A")),"Complete","Unresolved"))</x:f>
      </x:c>
      <x:c r="R961" s="9" t="str">
        <x:f>IF(C961="","",IF(OR(COUNTIF($C$9:$C$2008,C961)&lt;&gt;1,COUNTIFS($D$9:$D$2008,D961,$E$9:$E$2008,E961)&lt;&gt;1),"Duplicate test",IF(COUNTIF('Taxonomy'!$C$9:$C$108,D961)&lt;&gt;1,"Assessment key",IF(OR(COUNTIF('Taxonomy Rules'!$C$42:$C$68,E961)&lt;&gt;1,F961&lt;&gt;IFERROR(INDEX('Taxonomy Rules'!$D$42:$D$68,MATCH(E961,'Taxonomy Rules'!$C$42:$C$68,0)),""),NOT(OR(IFERROR(INDEX('Taxonomy Rules'!$G$42:$G$68,MATCH(E961,'Taxonomy Rules'!$C$42:$C$68,0)),"")="All supported routes",IFERROR(INDEX('Taxonomy Rules'!$G$42:$G$68,MATCH(E961,'Taxonomy Rules'!$C$42:$C$68,0)),"")=U961,AND(IFERROR(INDEX('Taxonomy Rules'!$G$42:$G$68,MATCH(E961,'Taxonomy Rules'!$C$42:$C$68,0)),"")="Building routes",OR(U961="Building renovation",U961="New building",U961="Building equipment"))))),"Unexpected test","Valid"))))</x:f>
      </x:c>
      <x:c r="S961" s="9" t="str">
        <x:f>IF(C961="","",IFERROR(INDEX('Taxonomy Rules'!$E$42:$E$68,MATCH(E961,'Taxonomy Rules'!$C$42:$C$68,0)),""))</x:f>
      </x:c>
      <x:c r="T961" s="9" t="str">
        <x:f>IF(C961="","",IFERROR(INDEX('Taxonomy Rules'!$F$42:$F$68,MATCH(E961,'Taxonomy Rules'!$C$42:$C$68,0)),""))</x:f>
      </x:c>
      <x:c r="U961" s="9" t="str">
        <x:f>IF(C961="","",IFERROR(INDEX('Taxonomy'!$G$9:$G$108,MATCH(D961,'Taxonomy'!$C$9:$C$108,0)),""))</x:f>
      </x:c>
    </x:row>
    <x:row r="962" ht="44" customHeight="1">
      <x:c r="A962" s="1"/>
      <x:c r="B962" s="1"/>
      <x:c r="C962" s="8"/>
      <x:c r="D962" s="8"/>
      <x:c r="E962" s="8"/>
      <x:c r="F962" s="8"/>
      <x:c r="G962" s="8"/>
      <x:c r="H962" s="8"/>
      <x:c r="I962" s="8"/>
      <x:c r="J962" s="8"/>
      <x:c r="K962" s="8"/>
      <x:c r="L962" s="8"/>
      <x:c r="M962" s="10"/>
      <x:c r="N962" s="10"/>
      <x:c r="O962" s="8"/>
      <x:c r="P962" s="9" t="str">
        <x:f>IF(C962="","",IF(AND(G962="Applicable",H962="Fail"),"Fail",IF(R962&lt;&gt;"Valid","Pending",IF(OR(I962="",K962="",L962="",K962=L962,NOT(ISNUMBER(M962)),NOT(ISNUMBER(N962)),M962&gt;Settings!$F$8,N962&lt;Settings!$F$8,N962&lt;M962),"Pending",IF(AND(G962="Applicable",H962="Pass"),"Pass",IF(AND(G962="N/A",H962="N/A",J962&lt;&gt;"",OR(E962="CEM-FUELS",E962="CEM-CCS",AND(E962="CEM-PLAN",IFERROR(INDEX('Taxonomy'!$M$9:$M$108,MATCH(D962,'Taxonomy'!$C$9:$C$108,0)),"")&lt;&gt;"Amber"),E962="BLD-TIMBER",AND(U962="Building equipment",OR(E962="BLD-WATER",E962="BLD-WASTE",E962="BLD-LAND")),AND(U962="Building renovation",E962="BLD-LAND"))),"N/A","Pending"))))))</x:f>
      </x:c>
      <x:c r="Q962" s="3" t="str">
        <x:f>IF(C962="","",IF(AND(R962="Valid",OR(P962="Pass",P962="N/A")),"Complete","Unresolved"))</x:f>
      </x:c>
      <x:c r="R962" s="9" t="str">
        <x:f>IF(C962="","",IF(OR(COUNTIF($C$9:$C$2008,C962)&lt;&gt;1,COUNTIFS($D$9:$D$2008,D962,$E$9:$E$2008,E962)&lt;&gt;1),"Duplicate test",IF(COUNTIF('Taxonomy'!$C$9:$C$108,D962)&lt;&gt;1,"Assessment key",IF(OR(COUNTIF('Taxonomy Rules'!$C$42:$C$68,E962)&lt;&gt;1,F962&lt;&gt;IFERROR(INDEX('Taxonomy Rules'!$D$42:$D$68,MATCH(E962,'Taxonomy Rules'!$C$42:$C$68,0)),""),NOT(OR(IFERROR(INDEX('Taxonomy Rules'!$G$42:$G$68,MATCH(E962,'Taxonomy Rules'!$C$42:$C$68,0)),"")="All supported routes",IFERROR(INDEX('Taxonomy Rules'!$G$42:$G$68,MATCH(E962,'Taxonomy Rules'!$C$42:$C$68,0)),"")=U962,AND(IFERROR(INDEX('Taxonomy Rules'!$G$42:$G$68,MATCH(E962,'Taxonomy Rules'!$C$42:$C$68,0)),"")="Building routes",OR(U962="Building renovation",U962="New building",U962="Building equipment"))))),"Unexpected test","Valid"))))</x:f>
      </x:c>
      <x:c r="S962" s="9" t="str">
        <x:f>IF(C962="","",IFERROR(INDEX('Taxonomy Rules'!$E$42:$E$68,MATCH(E962,'Taxonomy Rules'!$C$42:$C$68,0)),""))</x:f>
      </x:c>
      <x:c r="T962" s="9" t="str">
        <x:f>IF(C962="","",IFERROR(INDEX('Taxonomy Rules'!$F$42:$F$68,MATCH(E962,'Taxonomy Rules'!$C$42:$C$68,0)),""))</x:f>
      </x:c>
      <x:c r="U962" s="9" t="str">
        <x:f>IF(C962="","",IFERROR(INDEX('Taxonomy'!$G$9:$G$108,MATCH(D962,'Taxonomy'!$C$9:$C$108,0)),""))</x:f>
      </x:c>
    </x:row>
    <x:row r="963" ht="44" customHeight="1">
      <x:c r="A963" s="1"/>
      <x:c r="B963" s="1"/>
      <x:c r="C963" s="8"/>
      <x:c r="D963" s="8"/>
      <x:c r="E963" s="8"/>
      <x:c r="F963" s="8"/>
      <x:c r="G963" s="8"/>
      <x:c r="H963" s="8"/>
      <x:c r="I963" s="8"/>
      <x:c r="J963" s="8"/>
      <x:c r="K963" s="8"/>
      <x:c r="L963" s="8"/>
      <x:c r="M963" s="10"/>
      <x:c r="N963" s="10"/>
      <x:c r="O963" s="8"/>
      <x:c r="P963" s="9" t="str">
        <x:f>IF(C963="","",IF(AND(G963="Applicable",H963="Fail"),"Fail",IF(R963&lt;&gt;"Valid","Pending",IF(OR(I963="",K963="",L963="",K963=L963,NOT(ISNUMBER(M963)),NOT(ISNUMBER(N963)),M963&gt;Settings!$F$8,N963&lt;Settings!$F$8,N963&lt;M963),"Pending",IF(AND(G963="Applicable",H963="Pass"),"Pass",IF(AND(G963="N/A",H963="N/A",J963&lt;&gt;"",OR(E963="CEM-FUELS",E963="CEM-CCS",AND(E963="CEM-PLAN",IFERROR(INDEX('Taxonomy'!$M$9:$M$108,MATCH(D963,'Taxonomy'!$C$9:$C$108,0)),"")&lt;&gt;"Amber"),E963="BLD-TIMBER",AND(U963="Building equipment",OR(E963="BLD-WATER",E963="BLD-WASTE",E963="BLD-LAND")),AND(U963="Building renovation",E963="BLD-LAND"))),"N/A","Pending"))))))</x:f>
      </x:c>
      <x:c r="Q963" s="3" t="str">
        <x:f>IF(C963="","",IF(AND(R963="Valid",OR(P963="Pass",P963="N/A")),"Complete","Unresolved"))</x:f>
      </x:c>
      <x:c r="R963" s="9" t="str">
        <x:f>IF(C963="","",IF(OR(COUNTIF($C$9:$C$2008,C963)&lt;&gt;1,COUNTIFS($D$9:$D$2008,D963,$E$9:$E$2008,E963)&lt;&gt;1),"Duplicate test",IF(COUNTIF('Taxonomy'!$C$9:$C$108,D963)&lt;&gt;1,"Assessment key",IF(OR(COUNTIF('Taxonomy Rules'!$C$42:$C$68,E963)&lt;&gt;1,F963&lt;&gt;IFERROR(INDEX('Taxonomy Rules'!$D$42:$D$68,MATCH(E963,'Taxonomy Rules'!$C$42:$C$68,0)),""),NOT(OR(IFERROR(INDEX('Taxonomy Rules'!$G$42:$G$68,MATCH(E963,'Taxonomy Rules'!$C$42:$C$68,0)),"")="All supported routes",IFERROR(INDEX('Taxonomy Rules'!$G$42:$G$68,MATCH(E963,'Taxonomy Rules'!$C$42:$C$68,0)),"")=U963,AND(IFERROR(INDEX('Taxonomy Rules'!$G$42:$G$68,MATCH(E963,'Taxonomy Rules'!$C$42:$C$68,0)),"")="Building routes",OR(U963="Building renovation",U963="New building",U963="Building equipment"))))),"Unexpected test","Valid"))))</x:f>
      </x:c>
      <x:c r="S963" s="9" t="str">
        <x:f>IF(C963="","",IFERROR(INDEX('Taxonomy Rules'!$E$42:$E$68,MATCH(E963,'Taxonomy Rules'!$C$42:$C$68,0)),""))</x:f>
      </x:c>
      <x:c r="T963" s="9" t="str">
        <x:f>IF(C963="","",IFERROR(INDEX('Taxonomy Rules'!$F$42:$F$68,MATCH(E963,'Taxonomy Rules'!$C$42:$C$68,0)),""))</x:f>
      </x:c>
      <x:c r="U963" s="9" t="str">
        <x:f>IF(C963="","",IFERROR(INDEX('Taxonomy'!$G$9:$G$108,MATCH(D963,'Taxonomy'!$C$9:$C$108,0)),""))</x:f>
      </x:c>
    </x:row>
    <x:row r="964" ht="44" customHeight="1">
      <x:c r="A964" s="1"/>
      <x:c r="B964" s="1"/>
      <x:c r="C964" s="8"/>
      <x:c r="D964" s="8"/>
      <x:c r="E964" s="8"/>
      <x:c r="F964" s="8"/>
      <x:c r="G964" s="8"/>
      <x:c r="H964" s="8"/>
      <x:c r="I964" s="8"/>
      <x:c r="J964" s="8"/>
      <x:c r="K964" s="8"/>
      <x:c r="L964" s="8"/>
      <x:c r="M964" s="10"/>
      <x:c r="N964" s="10"/>
      <x:c r="O964" s="8"/>
      <x:c r="P964" s="9" t="str">
        <x:f>IF(C964="","",IF(AND(G964="Applicable",H964="Fail"),"Fail",IF(R964&lt;&gt;"Valid","Pending",IF(OR(I964="",K964="",L964="",K964=L964,NOT(ISNUMBER(M964)),NOT(ISNUMBER(N964)),M964&gt;Settings!$F$8,N964&lt;Settings!$F$8,N964&lt;M964),"Pending",IF(AND(G964="Applicable",H964="Pass"),"Pass",IF(AND(G964="N/A",H964="N/A",J964&lt;&gt;"",OR(E964="CEM-FUELS",E964="CEM-CCS",AND(E964="CEM-PLAN",IFERROR(INDEX('Taxonomy'!$M$9:$M$108,MATCH(D964,'Taxonomy'!$C$9:$C$108,0)),"")&lt;&gt;"Amber"),E964="BLD-TIMBER",AND(U964="Building equipment",OR(E964="BLD-WATER",E964="BLD-WASTE",E964="BLD-LAND")),AND(U964="Building renovation",E964="BLD-LAND"))),"N/A","Pending"))))))</x:f>
      </x:c>
      <x:c r="Q964" s="3" t="str">
        <x:f>IF(C964="","",IF(AND(R964="Valid",OR(P964="Pass",P964="N/A")),"Complete","Unresolved"))</x:f>
      </x:c>
      <x:c r="R964" s="9" t="str">
        <x:f>IF(C964="","",IF(OR(COUNTIF($C$9:$C$2008,C964)&lt;&gt;1,COUNTIFS($D$9:$D$2008,D964,$E$9:$E$2008,E964)&lt;&gt;1),"Duplicate test",IF(COUNTIF('Taxonomy'!$C$9:$C$108,D964)&lt;&gt;1,"Assessment key",IF(OR(COUNTIF('Taxonomy Rules'!$C$42:$C$68,E964)&lt;&gt;1,F964&lt;&gt;IFERROR(INDEX('Taxonomy Rules'!$D$42:$D$68,MATCH(E964,'Taxonomy Rules'!$C$42:$C$68,0)),""),NOT(OR(IFERROR(INDEX('Taxonomy Rules'!$G$42:$G$68,MATCH(E964,'Taxonomy Rules'!$C$42:$C$68,0)),"")="All supported routes",IFERROR(INDEX('Taxonomy Rules'!$G$42:$G$68,MATCH(E964,'Taxonomy Rules'!$C$42:$C$68,0)),"")=U964,AND(IFERROR(INDEX('Taxonomy Rules'!$G$42:$G$68,MATCH(E964,'Taxonomy Rules'!$C$42:$C$68,0)),"")="Building routes",OR(U964="Building renovation",U964="New building",U964="Building equipment"))))),"Unexpected test","Valid"))))</x:f>
      </x:c>
      <x:c r="S964" s="9" t="str">
        <x:f>IF(C964="","",IFERROR(INDEX('Taxonomy Rules'!$E$42:$E$68,MATCH(E964,'Taxonomy Rules'!$C$42:$C$68,0)),""))</x:f>
      </x:c>
      <x:c r="T964" s="9" t="str">
        <x:f>IF(C964="","",IFERROR(INDEX('Taxonomy Rules'!$F$42:$F$68,MATCH(E964,'Taxonomy Rules'!$C$42:$C$68,0)),""))</x:f>
      </x:c>
      <x:c r="U964" s="9" t="str">
        <x:f>IF(C964="","",IFERROR(INDEX('Taxonomy'!$G$9:$G$108,MATCH(D964,'Taxonomy'!$C$9:$C$108,0)),""))</x:f>
      </x:c>
    </x:row>
    <x:row r="965" ht="44" customHeight="1">
      <x:c r="A965" s="1"/>
      <x:c r="B965" s="1"/>
      <x:c r="C965" s="8"/>
      <x:c r="D965" s="8"/>
      <x:c r="E965" s="8"/>
      <x:c r="F965" s="8"/>
      <x:c r="G965" s="8"/>
      <x:c r="H965" s="8"/>
      <x:c r="I965" s="8"/>
      <x:c r="J965" s="8"/>
      <x:c r="K965" s="8"/>
      <x:c r="L965" s="8"/>
      <x:c r="M965" s="10"/>
      <x:c r="N965" s="10"/>
      <x:c r="O965" s="8"/>
      <x:c r="P965" s="9" t="str">
        <x:f>IF(C965="","",IF(AND(G965="Applicable",H965="Fail"),"Fail",IF(R965&lt;&gt;"Valid","Pending",IF(OR(I965="",K965="",L965="",K965=L965,NOT(ISNUMBER(M965)),NOT(ISNUMBER(N965)),M965&gt;Settings!$F$8,N965&lt;Settings!$F$8,N965&lt;M965),"Pending",IF(AND(G965="Applicable",H965="Pass"),"Pass",IF(AND(G965="N/A",H965="N/A",J965&lt;&gt;"",OR(E965="CEM-FUELS",E965="CEM-CCS",AND(E965="CEM-PLAN",IFERROR(INDEX('Taxonomy'!$M$9:$M$108,MATCH(D965,'Taxonomy'!$C$9:$C$108,0)),"")&lt;&gt;"Amber"),E965="BLD-TIMBER",AND(U965="Building equipment",OR(E965="BLD-WATER",E965="BLD-WASTE",E965="BLD-LAND")),AND(U965="Building renovation",E965="BLD-LAND"))),"N/A","Pending"))))))</x:f>
      </x:c>
      <x:c r="Q965" s="3" t="str">
        <x:f>IF(C965="","",IF(AND(R965="Valid",OR(P965="Pass",P965="N/A")),"Complete","Unresolved"))</x:f>
      </x:c>
      <x:c r="R965" s="9" t="str">
        <x:f>IF(C965="","",IF(OR(COUNTIF($C$9:$C$2008,C965)&lt;&gt;1,COUNTIFS($D$9:$D$2008,D965,$E$9:$E$2008,E965)&lt;&gt;1),"Duplicate test",IF(COUNTIF('Taxonomy'!$C$9:$C$108,D965)&lt;&gt;1,"Assessment key",IF(OR(COUNTIF('Taxonomy Rules'!$C$42:$C$68,E965)&lt;&gt;1,F965&lt;&gt;IFERROR(INDEX('Taxonomy Rules'!$D$42:$D$68,MATCH(E965,'Taxonomy Rules'!$C$42:$C$68,0)),""),NOT(OR(IFERROR(INDEX('Taxonomy Rules'!$G$42:$G$68,MATCH(E965,'Taxonomy Rules'!$C$42:$C$68,0)),"")="All supported routes",IFERROR(INDEX('Taxonomy Rules'!$G$42:$G$68,MATCH(E965,'Taxonomy Rules'!$C$42:$C$68,0)),"")=U965,AND(IFERROR(INDEX('Taxonomy Rules'!$G$42:$G$68,MATCH(E965,'Taxonomy Rules'!$C$42:$C$68,0)),"")="Building routes",OR(U965="Building renovation",U965="New building",U965="Building equipment"))))),"Unexpected test","Valid"))))</x:f>
      </x:c>
      <x:c r="S965" s="9" t="str">
        <x:f>IF(C965="","",IFERROR(INDEX('Taxonomy Rules'!$E$42:$E$68,MATCH(E965,'Taxonomy Rules'!$C$42:$C$68,0)),""))</x:f>
      </x:c>
      <x:c r="T965" s="9" t="str">
        <x:f>IF(C965="","",IFERROR(INDEX('Taxonomy Rules'!$F$42:$F$68,MATCH(E965,'Taxonomy Rules'!$C$42:$C$68,0)),""))</x:f>
      </x:c>
      <x:c r="U965" s="9" t="str">
        <x:f>IF(C965="","",IFERROR(INDEX('Taxonomy'!$G$9:$G$108,MATCH(D965,'Taxonomy'!$C$9:$C$108,0)),""))</x:f>
      </x:c>
    </x:row>
    <x:row r="966" ht="44" customHeight="1">
      <x:c r="A966" s="1"/>
      <x:c r="B966" s="1"/>
      <x:c r="C966" s="8"/>
      <x:c r="D966" s="8"/>
      <x:c r="E966" s="8"/>
      <x:c r="F966" s="8"/>
      <x:c r="G966" s="8"/>
      <x:c r="H966" s="8"/>
      <x:c r="I966" s="8"/>
      <x:c r="J966" s="8"/>
      <x:c r="K966" s="8"/>
      <x:c r="L966" s="8"/>
      <x:c r="M966" s="10"/>
      <x:c r="N966" s="10"/>
      <x:c r="O966" s="8"/>
      <x:c r="P966" s="9" t="str">
        <x:f>IF(C966="","",IF(AND(G966="Applicable",H966="Fail"),"Fail",IF(R966&lt;&gt;"Valid","Pending",IF(OR(I966="",K966="",L966="",K966=L966,NOT(ISNUMBER(M966)),NOT(ISNUMBER(N966)),M966&gt;Settings!$F$8,N966&lt;Settings!$F$8,N966&lt;M966),"Pending",IF(AND(G966="Applicable",H966="Pass"),"Pass",IF(AND(G966="N/A",H966="N/A",J966&lt;&gt;"",OR(E966="CEM-FUELS",E966="CEM-CCS",AND(E966="CEM-PLAN",IFERROR(INDEX('Taxonomy'!$M$9:$M$108,MATCH(D966,'Taxonomy'!$C$9:$C$108,0)),"")&lt;&gt;"Amber"),E966="BLD-TIMBER",AND(U966="Building equipment",OR(E966="BLD-WATER",E966="BLD-WASTE",E966="BLD-LAND")),AND(U966="Building renovation",E966="BLD-LAND"))),"N/A","Pending"))))))</x:f>
      </x:c>
      <x:c r="Q966" s="3" t="str">
        <x:f>IF(C966="","",IF(AND(R966="Valid",OR(P966="Pass",P966="N/A")),"Complete","Unresolved"))</x:f>
      </x:c>
      <x:c r="R966" s="9" t="str">
        <x:f>IF(C966="","",IF(OR(COUNTIF($C$9:$C$2008,C966)&lt;&gt;1,COUNTIFS($D$9:$D$2008,D966,$E$9:$E$2008,E966)&lt;&gt;1),"Duplicate test",IF(COUNTIF('Taxonomy'!$C$9:$C$108,D966)&lt;&gt;1,"Assessment key",IF(OR(COUNTIF('Taxonomy Rules'!$C$42:$C$68,E966)&lt;&gt;1,F966&lt;&gt;IFERROR(INDEX('Taxonomy Rules'!$D$42:$D$68,MATCH(E966,'Taxonomy Rules'!$C$42:$C$68,0)),""),NOT(OR(IFERROR(INDEX('Taxonomy Rules'!$G$42:$G$68,MATCH(E966,'Taxonomy Rules'!$C$42:$C$68,0)),"")="All supported routes",IFERROR(INDEX('Taxonomy Rules'!$G$42:$G$68,MATCH(E966,'Taxonomy Rules'!$C$42:$C$68,0)),"")=U966,AND(IFERROR(INDEX('Taxonomy Rules'!$G$42:$G$68,MATCH(E966,'Taxonomy Rules'!$C$42:$C$68,0)),"")="Building routes",OR(U966="Building renovation",U966="New building",U966="Building equipment"))))),"Unexpected test","Valid"))))</x:f>
      </x:c>
      <x:c r="S966" s="9" t="str">
        <x:f>IF(C966="","",IFERROR(INDEX('Taxonomy Rules'!$E$42:$E$68,MATCH(E966,'Taxonomy Rules'!$C$42:$C$68,0)),""))</x:f>
      </x:c>
      <x:c r="T966" s="9" t="str">
        <x:f>IF(C966="","",IFERROR(INDEX('Taxonomy Rules'!$F$42:$F$68,MATCH(E966,'Taxonomy Rules'!$C$42:$C$68,0)),""))</x:f>
      </x:c>
      <x:c r="U966" s="9" t="str">
        <x:f>IF(C966="","",IFERROR(INDEX('Taxonomy'!$G$9:$G$108,MATCH(D966,'Taxonomy'!$C$9:$C$108,0)),""))</x:f>
      </x:c>
    </x:row>
    <x:row r="967" ht="44" customHeight="1">
      <x:c r="A967" s="1"/>
      <x:c r="B967" s="1"/>
      <x:c r="C967" s="8"/>
      <x:c r="D967" s="8"/>
      <x:c r="E967" s="8"/>
      <x:c r="F967" s="8"/>
      <x:c r="G967" s="8"/>
      <x:c r="H967" s="8"/>
      <x:c r="I967" s="8"/>
      <x:c r="J967" s="8"/>
      <x:c r="K967" s="8"/>
      <x:c r="L967" s="8"/>
      <x:c r="M967" s="10"/>
      <x:c r="N967" s="10"/>
      <x:c r="O967" s="8"/>
      <x:c r="P967" s="9" t="str">
        <x:f>IF(C967="","",IF(AND(G967="Applicable",H967="Fail"),"Fail",IF(R967&lt;&gt;"Valid","Pending",IF(OR(I967="",K967="",L967="",K967=L967,NOT(ISNUMBER(M967)),NOT(ISNUMBER(N967)),M967&gt;Settings!$F$8,N967&lt;Settings!$F$8,N967&lt;M967),"Pending",IF(AND(G967="Applicable",H967="Pass"),"Pass",IF(AND(G967="N/A",H967="N/A",J967&lt;&gt;"",OR(E967="CEM-FUELS",E967="CEM-CCS",AND(E967="CEM-PLAN",IFERROR(INDEX('Taxonomy'!$M$9:$M$108,MATCH(D967,'Taxonomy'!$C$9:$C$108,0)),"")&lt;&gt;"Amber"),E967="BLD-TIMBER",AND(U967="Building equipment",OR(E967="BLD-WATER",E967="BLD-WASTE",E967="BLD-LAND")),AND(U967="Building renovation",E967="BLD-LAND"))),"N/A","Pending"))))))</x:f>
      </x:c>
      <x:c r="Q967" s="3" t="str">
        <x:f>IF(C967="","",IF(AND(R967="Valid",OR(P967="Pass",P967="N/A")),"Complete","Unresolved"))</x:f>
      </x:c>
      <x:c r="R967" s="9" t="str">
        <x:f>IF(C967="","",IF(OR(COUNTIF($C$9:$C$2008,C967)&lt;&gt;1,COUNTIFS($D$9:$D$2008,D967,$E$9:$E$2008,E967)&lt;&gt;1),"Duplicate test",IF(COUNTIF('Taxonomy'!$C$9:$C$108,D967)&lt;&gt;1,"Assessment key",IF(OR(COUNTIF('Taxonomy Rules'!$C$42:$C$68,E967)&lt;&gt;1,F967&lt;&gt;IFERROR(INDEX('Taxonomy Rules'!$D$42:$D$68,MATCH(E967,'Taxonomy Rules'!$C$42:$C$68,0)),""),NOT(OR(IFERROR(INDEX('Taxonomy Rules'!$G$42:$G$68,MATCH(E967,'Taxonomy Rules'!$C$42:$C$68,0)),"")="All supported routes",IFERROR(INDEX('Taxonomy Rules'!$G$42:$G$68,MATCH(E967,'Taxonomy Rules'!$C$42:$C$68,0)),"")=U967,AND(IFERROR(INDEX('Taxonomy Rules'!$G$42:$G$68,MATCH(E967,'Taxonomy Rules'!$C$42:$C$68,0)),"")="Building routes",OR(U967="Building renovation",U967="New building",U967="Building equipment"))))),"Unexpected test","Valid"))))</x:f>
      </x:c>
      <x:c r="S967" s="9" t="str">
        <x:f>IF(C967="","",IFERROR(INDEX('Taxonomy Rules'!$E$42:$E$68,MATCH(E967,'Taxonomy Rules'!$C$42:$C$68,0)),""))</x:f>
      </x:c>
      <x:c r="T967" s="9" t="str">
        <x:f>IF(C967="","",IFERROR(INDEX('Taxonomy Rules'!$F$42:$F$68,MATCH(E967,'Taxonomy Rules'!$C$42:$C$68,0)),""))</x:f>
      </x:c>
      <x:c r="U967" s="9" t="str">
        <x:f>IF(C967="","",IFERROR(INDEX('Taxonomy'!$G$9:$G$108,MATCH(D967,'Taxonomy'!$C$9:$C$108,0)),""))</x:f>
      </x:c>
    </x:row>
    <x:row r="968" ht="44" customHeight="1">
      <x:c r="A968" s="1"/>
      <x:c r="B968" s="1"/>
      <x:c r="C968" s="8"/>
      <x:c r="D968" s="8"/>
      <x:c r="E968" s="8"/>
      <x:c r="F968" s="8"/>
      <x:c r="G968" s="8"/>
      <x:c r="H968" s="8"/>
      <x:c r="I968" s="8"/>
      <x:c r="J968" s="8"/>
      <x:c r="K968" s="8"/>
      <x:c r="L968" s="8"/>
      <x:c r="M968" s="10"/>
      <x:c r="N968" s="10"/>
      <x:c r="O968" s="8"/>
      <x:c r="P968" s="9" t="str">
        <x:f>IF(C968="","",IF(AND(G968="Applicable",H968="Fail"),"Fail",IF(R968&lt;&gt;"Valid","Pending",IF(OR(I968="",K968="",L968="",K968=L968,NOT(ISNUMBER(M968)),NOT(ISNUMBER(N968)),M968&gt;Settings!$F$8,N968&lt;Settings!$F$8,N968&lt;M968),"Pending",IF(AND(G968="Applicable",H968="Pass"),"Pass",IF(AND(G968="N/A",H968="N/A",J968&lt;&gt;"",OR(E968="CEM-FUELS",E968="CEM-CCS",AND(E968="CEM-PLAN",IFERROR(INDEX('Taxonomy'!$M$9:$M$108,MATCH(D968,'Taxonomy'!$C$9:$C$108,0)),"")&lt;&gt;"Amber"),E968="BLD-TIMBER",AND(U968="Building equipment",OR(E968="BLD-WATER",E968="BLD-WASTE",E968="BLD-LAND")),AND(U968="Building renovation",E968="BLD-LAND"))),"N/A","Pending"))))))</x:f>
      </x:c>
      <x:c r="Q968" s="3" t="str">
        <x:f>IF(C968="","",IF(AND(R968="Valid",OR(P968="Pass",P968="N/A")),"Complete","Unresolved"))</x:f>
      </x:c>
      <x:c r="R968" s="9" t="str">
        <x:f>IF(C968="","",IF(OR(COUNTIF($C$9:$C$2008,C968)&lt;&gt;1,COUNTIFS($D$9:$D$2008,D968,$E$9:$E$2008,E968)&lt;&gt;1),"Duplicate test",IF(COUNTIF('Taxonomy'!$C$9:$C$108,D968)&lt;&gt;1,"Assessment key",IF(OR(COUNTIF('Taxonomy Rules'!$C$42:$C$68,E968)&lt;&gt;1,F968&lt;&gt;IFERROR(INDEX('Taxonomy Rules'!$D$42:$D$68,MATCH(E968,'Taxonomy Rules'!$C$42:$C$68,0)),""),NOT(OR(IFERROR(INDEX('Taxonomy Rules'!$G$42:$G$68,MATCH(E968,'Taxonomy Rules'!$C$42:$C$68,0)),"")="All supported routes",IFERROR(INDEX('Taxonomy Rules'!$G$42:$G$68,MATCH(E968,'Taxonomy Rules'!$C$42:$C$68,0)),"")=U968,AND(IFERROR(INDEX('Taxonomy Rules'!$G$42:$G$68,MATCH(E968,'Taxonomy Rules'!$C$42:$C$68,0)),"")="Building routes",OR(U968="Building renovation",U968="New building",U968="Building equipment"))))),"Unexpected test","Valid"))))</x:f>
      </x:c>
      <x:c r="S968" s="9" t="str">
        <x:f>IF(C968="","",IFERROR(INDEX('Taxonomy Rules'!$E$42:$E$68,MATCH(E968,'Taxonomy Rules'!$C$42:$C$68,0)),""))</x:f>
      </x:c>
      <x:c r="T968" s="9" t="str">
        <x:f>IF(C968="","",IFERROR(INDEX('Taxonomy Rules'!$F$42:$F$68,MATCH(E968,'Taxonomy Rules'!$C$42:$C$68,0)),""))</x:f>
      </x:c>
      <x:c r="U968" s="9" t="str">
        <x:f>IF(C968="","",IFERROR(INDEX('Taxonomy'!$G$9:$G$108,MATCH(D968,'Taxonomy'!$C$9:$C$108,0)),""))</x:f>
      </x:c>
    </x:row>
    <x:row r="969" ht="44" customHeight="1">
      <x:c r="A969" s="1"/>
      <x:c r="B969" s="1"/>
      <x:c r="C969" s="8"/>
      <x:c r="D969" s="8"/>
      <x:c r="E969" s="8"/>
      <x:c r="F969" s="8"/>
      <x:c r="G969" s="8"/>
      <x:c r="H969" s="8"/>
      <x:c r="I969" s="8"/>
      <x:c r="J969" s="8"/>
      <x:c r="K969" s="8"/>
      <x:c r="L969" s="8"/>
      <x:c r="M969" s="10"/>
      <x:c r="N969" s="10"/>
      <x:c r="O969" s="8"/>
      <x:c r="P969" s="9" t="str">
        <x:f>IF(C969="","",IF(AND(G969="Applicable",H969="Fail"),"Fail",IF(R969&lt;&gt;"Valid","Pending",IF(OR(I969="",K969="",L969="",K969=L969,NOT(ISNUMBER(M969)),NOT(ISNUMBER(N969)),M969&gt;Settings!$F$8,N969&lt;Settings!$F$8,N969&lt;M969),"Pending",IF(AND(G969="Applicable",H969="Pass"),"Pass",IF(AND(G969="N/A",H969="N/A",J969&lt;&gt;"",OR(E969="CEM-FUELS",E969="CEM-CCS",AND(E969="CEM-PLAN",IFERROR(INDEX('Taxonomy'!$M$9:$M$108,MATCH(D969,'Taxonomy'!$C$9:$C$108,0)),"")&lt;&gt;"Amber"),E969="BLD-TIMBER",AND(U969="Building equipment",OR(E969="BLD-WATER",E969="BLD-WASTE",E969="BLD-LAND")),AND(U969="Building renovation",E969="BLD-LAND"))),"N/A","Pending"))))))</x:f>
      </x:c>
      <x:c r="Q969" s="3" t="str">
        <x:f>IF(C969="","",IF(AND(R969="Valid",OR(P969="Pass",P969="N/A")),"Complete","Unresolved"))</x:f>
      </x:c>
      <x:c r="R969" s="9" t="str">
        <x:f>IF(C969="","",IF(OR(COUNTIF($C$9:$C$2008,C969)&lt;&gt;1,COUNTIFS($D$9:$D$2008,D969,$E$9:$E$2008,E969)&lt;&gt;1),"Duplicate test",IF(COUNTIF('Taxonomy'!$C$9:$C$108,D969)&lt;&gt;1,"Assessment key",IF(OR(COUNTIF('Taxonomy Rules'!$C$42:$C$68,E969)&lt;&gt;1,F969&lt;&gt;IFERROR(INDEX('Taxonomy Rules'!$D$42:$D$68,MATCH(E969,'Taxonomy Rules'!$C$42:$C$68,0)),""),NOT(OR(IFERROR(INDEX('Taxonomy Rules'!$G$42:$G$68,MATCH(E969,'Taxonomy Rules'!$C$42:$C$68,0)),"")="All supported routes",IFERROR(INDEX('Taxonomy Rules'!$G$42:$G$68,MATCH(E969,'Taxonomy Rules'!$C$42:$C$68,0)),"")=U969,AND(IFERROR(INDEX('Taxonomy Rules'!$G$42:$G$68,MATCH(E969,'Taxonomy Rules'!$C$42:$C$68,0)),"")="Building routes",OR(U969="Building renovation",U969="New building",U969="Building equipment"))))),"Unexpected test","Valid"))))</x:f>
      </x:c>
      <x:c r="S969" s="9" t="str">
        <x:f>IF(C969="","",IFERROR(INDEX('Taxonomy Rules'!$E$42:$E$68,MATCH(E969,'Taxonomy Rules'!$C$42:$C$68,0)),""))</x:f>
      </x:c>
      <x:c r="T969" s="9" t="str">
        <x:f>IF(C969="","",IFERROR(INDEX('Taxonomy Rules'!$F$42:$F$68,MATCH(E969,'Taxonomy Rules'!$C$42:$C$68,0)),""))</x:f>
      </x:c>
      <x:c r="U969" s="9" t="str">
        <x:f>IF(C969="","",IFERROR(INDEX('Taxonomy'!$G$9:$G$108,MATCH(D969,'Taxonomy'!$C$9:$C$108,0)),""))</x:f>
      </x:c>
    </x:row>
    <x:row r="970" ht="44" customHeight="1">
      <x:c r="A970" s="1"/>
      <x:c r="B970" s="1"/>
      <x:c r="C970" s="8"/>
      <x:c r="D970" s="8"/>
      <x:c r="E970" s="8"/>
      <x:c r="F970" s="8"/>
      <x:c r="G970" s="8"/>
      <x:c r="H970" s="8"/>
      <x:c r="I970" s="8"/>
      <x:c r="J970" s="8"/>
      <x:c r="K970" s="8"/>
      <x:c r="L970" s="8"/>
      <x:c r="M970" s="10"/>
      <x:c r="N970" s="10"/>
      <x:c r="O970" s="8"/>
      <x:c r="P970" s="9" t="str">
        <x:f>IF(C970="","",IF(AND(G970="Applicable",H970="Fail"),"Fail",IF(R970&lt;&gt;"Valid","Pending",IF(OR(I970="",K970="",L970="",K970=L970,NOT(ISNUMBER(M970)),NOT(ISNUMBER(N970)),M970&gt;Settings!$F$8,N970&lt;Settings!$F$8,N970&lt;M970),"Pending",IF(AND(G970="Applicable",H970="Pass"),"Pass",IF(AND(G970="N/A",H970="N/A",J970&lt;&gt;"",OR(E970="CEM-FUELS",E970="CEM-CCS",AND(E970="CEM-PLAN",IFERROR(INDEX('Taxonomy'!$M$9:$M$108,MATCH(D970,'Taxonomy'!$C$9:$C$108,0)),"")&lt;&gt;"Amber"),E970="BLD-TIMBER",AND(U970="Building equipment",OR(E970="BLD-WATER",E970="BLD-WASTE",E970="BLD-LAND")),AND(U970="Building renovation",E970="BLD-LAND"))),"N/A","Pending"))))))</x:f>
      </x:c>
      <x:c r="Q970" s="3" t="str">
        <x:f>IF(C970="","",IF(AND(R970="Valid",OR(P970="Pass",P970="N/A")),"Complete","Unresolved"))</x:f>
      </x:c>
      <x:c r="R970" s="9" t="str">
        <x:f>IF(C970="","",IF(OR(COUNTIF($C$9:$C$2008,C970)&lt;&gt;1,COUNTIFS($D$9:$D$2008,D970,$E$9:$E$2008,E970)&lt;&gt;1),"Duplicate test",IF(COUNTIF('Taxonomy'!$C$9:$C$108,D970)&lt;&gt;1,"Assessment key",IF(OR(COUNTIF('Taxonomy Rules'!$C$42:$C$68,E970)&lt;&gt;1,F970&lt;&gt;IFERROR(INDEX('Taxonomy Rules'!$D$42:$D$68,MATCH(E970,'Taxonomy Rules'!$C$42:$C$68,0)),""),NOT(OR(IFERROR(INDEX('Taxonomy Rules'!$G$42:$G$68,MATCH(E970,'Taxonomy Rules'!$C$42:$C$68,0)),"")="All supported routes",IFERROR(INDEX('Taxonomy Rules'!$G$42:$G$68,MATCH(E970,'Taxonomy Rules'!$C$42:$C$68,0)),"")=U970,AND(IFERROR(INDEX('Taxonomy Rules'!$G$42:$G$68,MATCH(E970,'Taxonomy Rules'!$C$42:$C$68,0)),"")="Building routes",OR(U970="Building renovation",U970="New building",U970="Building equipment"))))),"Unexpected test","Valid"))))</x:f>
      </x:c>
      <x:c r="S970" s="9" t="str">
        <x:f>IF(C970="","",IFERROR(INDEX('Taxonomy Rules'!$E$42:$E$68,MATCH(E970,'Taxonomy Rules'!$C$42:$C$68,0)),""))</x:f>
      </x:c>
      <x:c r="T970" s="9" t="str">
        <x:f>IF(C970="","",IFERROR(INDEX('Taxonomy Rules'!$F$42:$F$68,MATCH(E970,'Taxonomy Rules'!$C$42:$C$68,0)),""))</x:f>
      </x:c>
      <x:c r="U970" s="9" t="str">
        <x:f>IF(C970="","",IFERROR(INDEX('Taxonomy'!$G$9:$G$108,MATCH(D970,'Taxonomy'!$C$9:$C$108,0)),""))</x:f>
      </x:c>
    </x:row>
    <x:row r="971" ht="44" customHeight="1">
      <x:c r="A971" s="1"/>
      <x:c r="B971" s="1"/>
      <x:c r="C971" s="8"/>
      <x:c r="D971" s="8"/>
      <x:c r="E971" s="8"/>
      <x:c r="F971" s="8"/>
      <x:c r="G971" s="8"/>
      <x:c r="H971" s="8"/>
      <x:c r="I971" s="8"/>
      <x:c r="J971" s="8"/>
      <x:c r="K971" s="8"/>
      <x:c r="L971" s="8"/>
      <x:c r="M971" s="10"/>
      <x:c r="N971" s="10"/>
      <x:c r="O971" s="8"/>
      <x:c r="P971" s="9" t="str">
        <x:f>IF(C971="","",IF(AND(G971="Applicable",H971="Fail"),"Fail",IF(R971&lt;&gt;"Valid","Pending",IF(OR(I971="",K971="",L971="",K971=L971,NOT(ISNUMBER(M971)),NOT(ISNUMBER(N971)),M971&gt;Settings!$F$8,N971&lt;Settings!$F$8,N971&lt;M971),"Pending",IF(AND(G971="Applicable",H971="Pass"),"Pass",IF(AND(G971="N/A",H971="N/A",J971&lt;&gt;"",OR(E971="CEM-FUELS",E971="CEM-CCS",AND(E971="CEM-PLAN",IFERROR(INDEX('Taxonomy'!$M$9:$M$108,MATCH(D971,'Taxonomy'!$C$9:$C$108,0)),"")&lt;&gt;"Amber"),E971="BLD-TIMBER",AND(U971="Building equipment",OR(E971="BLD-WATER",E971="BLD-WASTE",E971="BLD-LAND")),AND(U971="Building renovation",E971="BLD-LAND"))),"N/A","Pending"))))))</x:f>
      </x:c>
      <x:c r="Q971" s="3" t="str">
        <x:f>IF(C971="","",IF(AND(R971="Valid",OR(P971="Pass",P971="N/A")),"Complete","Unresolved"))</x:f>
      </x:c>
      <x:c r="R971" s="9" t="str">
        <x:f>IF(C971="","",IF(OR(COUNTIF($C$9:$C$2008,C971)&lt;&gt;1,COUNTIFS($D$9:$D$2008,D971,$E$9:$E$2008,E971)&lt;&gt;1),"Duplicate test",IF(COUNTIF('Taxonomy'!$C$9:$C$108,D971)&lt;&gt;1,"Assessment key",IF(OR(COUNTIF('Taxonomy Rules'!$C$42:$C$68,E971)&lt;&gt;1,F971&lt;&gt;IFERROR(INDEX('Taxonomy Rules'!$D$42:$D$68,MATCH(E971,'Taxonomy Rules'!$C$42:$C$68,0)),""),NOT(OR(IFERROR(INDEX('Taxonomy Rules'!$G$42:$G$68,MATCH(E971,'Taxonomy Rules'!$C$42:$C$68,0)),"")="All supported routes",IFERROR(INDEX('Taxonomy Rules'!$G$42:$G$68,MATCH(E971,'Taxonomy Rules'!$C$42:$C$68,0)),"")=U971,AND(IFERROR(INDEX('Taxonomy Rules'!$G$42:$G$68,MATCH(E971,'Taxonomy Rules'!$C$42:$C$68,0)),"")="Building routes",OR(U971="Building renovation",U971="New building",U971="Building equipment"))))),"Unexpected test","Valid"))))</x:f>
      </x:c>
      <x:c r="S971" s="9" t="str">
        <x:f>IF(C971="","",IFERROR(INDEX('Taxonomy Rules'!$E$42:$E$68,MATCH(E971,'Taxonomy Rules'!$C$42:$C$68,0)),""))</x:f>
      </x:c>
      <x:c r="T971" s="9" t="str">
        <x:f>IF(C971="","",IFERROR(INDEX('Taxonomy Rules'!$F$42:$F$68,MATCH(E971,'Taxonomy Rules'!$C$42:$C$68,0)),""))</x:f>
      </x:c>
      <x:c r="U971" s="9" t="str">
        <x:f>IF(C971="","",IFERROR(INDEX('Taxonomy'!$G$9:$G$108,MATCH(D971,'Taxonomy'!$C$9:$C$108,0)),""))</x:f>
      </x:c>
    </x:row>
    <x:row r="972" ht="44" customHeight="1">
      <x:c r="A972" s="1"/>
      <x:c r="B972" s="1"/>
      <x:c r="C972" s="8"/>
      <x:c r="D972" s="8"/>
      <x:c r="E972" s="8"/>
      <x:c r="F972" s="8"/>
      <x:c r="G972" s="8"/>
      <x:c r="H972" s="8"/>
      <x:c r="I972" s="8"/>
      <x:c r="J972" s="8"/>
      <x:c r="K972" s="8"/>
      <x:c r="L972" s="8"/>
      <x:c r="M972" s="10"/>
      <x:c r="N972" s="10"/>
      <x:c r="O972" s="8"/>
      <x:c r="P972" s="9" t="str">
        <x:f>IF(C972="","",IF(AND(G972="Applicable",H972="Fail"),"Fail",IF(R972&lt;&gt;"Valid","Pending",IF(OR(I972="",K972="",L972="",K972=L972,NOT(ISNUMBER(M972)),NOT(ISNUMBER(N972)),M972&gt;Settings!$F$8,N972&lt;Settings!$F$8,N972&lt;M972),"Pending",IF(AND(G972="Applicable",H972="Pass"),"Pass",IF(AND(G972="N/A",H972="N/A",J972&lt;&gt;"",OR(E972="CEM-FUELS",E972="CEM-CCS",AND(E972="CEM-PLAN",IFERROR(INDEX('Taxonomy'!$M$9:$M$108,MATCH(D972,'Taxonomy'!$C$9:$C$108,0)),"")&lt;&gt;"Amber"),E972="BLD-TIMBER",AND(U972="Building equipment",OR(E972="BLD-WATER",E972="BLD-WASTE",E972="BLD-LAND")),AND(U972="Building renovation",E972="BLD-LAND"))),"N/A","Pending"))))))</x:f>
      </x:c>
      <x:c r="Q972" s="3" t="str">
        <x:f>IF(C972="","",IF(AND(R972="Valid",OR(P972="Pass",P972="N/A")),"Complete","Unresolved"))</x:f>
      </x:c>
      <x:c r="R972" s="9" t="str">
        <x:f>IF(C972="","",IF(OR(COUNTIF($C$9:$C$2008,C972)&lt;&gt;1,COUNTIFS($D$9:$D$2008,D972,$E$9:$E$2008,E972)&lt;&gt;1),"Duplicate test",IF(COUNTIF('Taxonomy'!$C$9:$C$108,D972)&lt;&gt;1,"Assessment key",IF(OR(COUNTIF('Taxonomy Rules'!$C$42:$C$68,E972)&lt;&gt;1,F972&lt;&gt;IFERROR(INDEX('Taxonomy Rules'!$D$42:$D$68,MATCH(E972,'Taxonomy Rules'!$C$42:$C$68,0)),""),NOT(OR(IFERROR(INDEX('Taxonomy Rules'!$G$42:$G$68,MATCH(E972,'Taxonomy Rules'!$C$42:$C$68,0)),"")="All supported routes",IFERROR(INDEX('Taxonomy Rules'!$G$42:$G$68,MATCH(E972,'Taxonomy Rules'!$C$42:$C$68,0)),"")=U972,AND(IFERROR(INDEX('Taxonomy Rules'!$G$42:$G$68,MATCH(E972,'Taxonomy Rules'!$C$42:$C$68,0)),"")="Building routes",OR(U972="Building renovation",U972="New building",U972="Building equipment"))))),"Unexpected test","Valid"))))</x:f>
      </x:c>
      <x:c r="S972" s="9" t="str">
        <x:f>IF(C972="","",IFERROR(INDEX('Taxonomy Rules'!$E$42:$E$68,MATCH(E972,'Taxonomy Rules'!$C$42:$C$68,0)),""))</x:f>
      </x:c>
      <x:c r="T972" s="9" t="str">
        <x:f>IF(C972="","",IFERROR(INDEX('Taxonomy Rules'!$F$42:$F$68,MATCH(E972,'Taxonomy Rules'!$C$42:$C$68,0)),""))</x:f>
      </x:c>
      <x:c r="U972" s="9" t="str">
        <x:f>IF(C972="","",IFERROR(INDEX('Taxonomy'!$G$9:$G$108,MATCH(D972,'Taxonomy'!$C$9:$C$108,0)),""))</x:f>
      </x:c>
    </x:row>
    <x:row r="973" ht="44" customHeight="1">
      <x:c r="A973" s="1"/>
      <x:c r="B973" s="1"/>
      <x:c r="C973" s="8"/>
      <x:c r="D973" s="8"/>
      <x:c r="E973" s="8"/>
      <x:c r="F973" s="8"/>
      <x:c r="G973" s="8"/>
      <x:c r="H973" s="8"/>
      <x:c r="I973" s="8"/>
      <x:c r="J973" s="8"/>
      <x:c r="K973" s="8"/>
      <x:c r="L973" s="8"/>
      <x:c r="M973" s="10"/>
      <x:c r="N973" s="10"/>
      <x:c r="O973" s="8"/>
      <x:c r="P973" s="9" t="str">
        <x:f>IF(C973="","",IF(AND(G973="Applicable",H973="Fail"),"Fail",IF(R973&lt;&gt;"Valid","Pending",IF(OR(I973="",K973="",L973="",K973=L973,NOT(ISNUMBER(M973)),NOT(ISNUMBER(N973)),M973&gt;Settings!$F$8,N973&lt;Settings!$F$8,N973&lt;M973),"Pending",IF(AND(G973="Applicable",H973="Pass"),"Pass",IF(AND(G973="N/A",H973="N/A",J973&lt;&gt;"",OR(E973="CEM-FUELS",E973="CEM-CCS",AND(E973="CEM-PLAN",IFERROR(INDEX('Taxonomy'!$M$9:$M$108,MATCH(D973,'Taxonomy'!$C$9:$C$108,0)),"")&lt;&gt;"Amber"),E973="BLD-TIMBER",AND(U973="Building equipment",OR(E973="BLD-WATER",E973="BLD-WASTE",E973="BLD-LAND")),AND(U973="Building renovation",E973="BLD-LAND"))),"N/A","Pending"))))))</x:f>
      </x:c>
      <x:c r="Q973" s="3" t="str">
        <x:f>IF(C973="","",IF(AND(R973="Valid",OR(P973="Pass",P973="N/A")),"Complete","Unresolved"))</x:f>
      </x:c>
      <x:c r="R973" s="9" t="str">
        <x:f>IF(C973="","",IF(OR(COUNTIF($C$9:$C$2008,C973)&lt;&gt;1,COUNTIFS($D$9:$D$2008,D973,$E$9:$E$2008,E973)&lt;&gt;1),"Duplicate test",IF(COUNTIF('Taxonomy'!$C$9:$C$108,D973)&lt;&gt;1,"Assessment key",IF(OR(COUNTIF('Taxonomy Rules'!$C$42:$C$68,E973)&lt;&gt;1,F973&lt;&gt;IFERROR(INDEX('Taxonomy Rules'!$D$42:$D$68,MATCH(E973,'Taxonomy Rules'!$C$42:$C$68,0)),""),NOT(OR(IFERROR(INDEX('Taxonomy Rules'!$G$42:$G$68,MATCH(E973,'Taxonomy Rules'!$C$42:$C$68,0)),"")="All supported routes",IFERROR(INDEX('Taxonomy Rules'!$G$42:$G$68,MATCH(E973,'Taxonomy Rules'!$C$42:$C$68,0)),"")=U973,AND(IFERROR(INDEX('Taxonomy Rules'!$G$42:$G$68,MATCH(E973,'Taxonomy Rules'!$C$42:$C$68,0)),"")="Building routes",OR(U973="Building renovation",U973="New building",U973="Building equipment"))))),"Unexpected test","Valid"))))</x:f>
      </x:c>
      <x:c r="S973" s="9" t="str">
        <x:f>IF(C973="","",IFERROR(INDEX('Taxonomy Rules'!$E$42:$E$68,MATCH(E973,'Taxonomy Rules'!$C$42:$C$68,0)),""))</x:f>
      </x:c>
      <x:c r="T973" s="9" t="str">
        <x:f>IF(C973="","",IFERROR(INDEX('Taxonomy Rules'!$F$42:$F$68,MATCH(E973,'Taxonomy Rules'!$C$42:$C$68,0)),""))</x:f>
      </x:c>
      <x:c r="U973" s="9" t="str">
        <x:f>IF(C973="","",IFERROR(INDEX('Taxonomy'!$G$9:$G$108,MATCH(D973,'Taxonomy'!$C$9:$C$108,0)),""))</x:f>
      </x:c>
    </x:row>
    <x:row r="974" ht="44" customHeight="1">
      <x:c r="A974" s="1"/>
      <x:c r="B974" s="1"/>
      <x:c r="C974" s="8"/>
      <x:c r="D974" s="8"/>
      <x:c r="E974" s="8"/>
      <x:c r="F974" s="8"/>
      <x:c r="G974" s="8"/>
      <x:c r="H974" s="8"/>
      <x:c r="I974" s="8"/>
      <x:c r="J974" s="8"/>
      <x:c r="K974" s="8"/>
      <x:c r="L974" s="8"/>
      <x:c r="M974" s="10"/>
      <x:c r="N974" s="10"/>
      <x:c r="O974" s="8"/>
      <x:c r="P974" s="9" t="str">
        <x:f>IF(C974="","",IF(AND(G974="Applicable",H974="Fail"),"Fail",IF(R974&lt;&gt;"Valid","Pending",IF(OR(I974="",K974="",L974="",K974=L974,NOT(ISNUMBER(M974)),NOT(ISNUMBER(N974)),M974&gt;Settings!$F$8,N974&lt;Settings!$F$8,N974&lt;M974),"Pending",IF(AND(G974="Applicable",H974="Pass"),"Pass",IF(AND(G974="N/A",H974="N/A",J974&lt;&gt;"",OR(E974="CEM-FUELS",E974="CEM-CCS",AND(E974="CEM-PLAN",IFERROR(INDEX('Taxonomy'!$M$9:$M$108,MATCH(D974,'Taxonomy'!$C$9:$C$108,0)),"")&lt;&gt;"Amber"),E974="BLD-TIMBER",AND(U974="Building equipment",OR(E974="BLD-WATER",E974="BLD-WASTE",E974="BLD-LAND")),AND(U974="Building renovation",E974="BLD-LAND"))),"N/A","Pending"))))))</x:f>
      </x:c>
      <x:c r="Q974" s="3" t="str">
        <x:f>IF(C974="","",IF(AND(R974="Valid",OR(P974="Pass",P974="N/A")),"Complete","Unresolved"))</x:f>
      </x:c>
      <x:c r="R974" s="9" t="str">
        <x:f>IF(C974="","",IF(OR(COUNTIF($C$9:$C$2008,C974)&lt;&gt;1,COUNTIFS($D$9:$D$2008,D974,$E$9:$E$2008,E974)&lt;&gt;1),"Duplicate test",IF(COUNTIF('Taxonomy'!$C$9:$C$108,D974)&lt;&gt;1,"Assessment key",IF(OR(COUNTIF('Taxonomy Rules'!$C$42:$C$68,E974)&lt;&gt;1,F974&lt;&gt;IFERROR(INDEX('Taxonomy Rules'!$D$42:$D$68,MATCH(E974,'Taxonomy Rules'!$C$42:$C$68,0)),""),NOT(OR(IFERROR(INDEX('Taxonomy Rules'!$G$42:$G$68,MATCH(E974,'Taxonomy Rules'!$C$42:$C$68,0)),"")="All supported routes",IFERROR(INDEX('Taxonomy Rules'!$G$42:$G$68,MATCH(E974,'Taxonomy Rules'!$C$42:$C$68,0)),"")=U974,AND(IFERROR(INDEX('Taxonomy Rules'!$G$42:$G$68,MATCH(E974,'Taxonomy Rules'!$C$42:$C$68,0)),"")="Building routes",OR(U974="Building renovation",U974="New building",U974="Building equipment"))))),"Unexpected test","Valid"))))</x:f>
      </x:c>
      <x:c r="S974" s="9" t="str">
        <x:f>IF(C974="","",IFERROR(INDEX('Taxonomy Rules'!$E$42:$E$68,MATCH(E974,'Taxonomy Rules'!$C$42:$C$68,0)),""))</x:f>
      </x:c>
      <x:c r="T974" s="9" t="str">
        <x:f>IF(C974="","",IFERROR(INDEX('Taxonomy Rules'!$F$42:$F$68,MATCH(E974,'Taxonomy Rules'!$C$42:$C$68,0)),""))</x:f>
      </x:c>
      <x:c r="U974" s="9" t="str">
        <x:f>IF(C974="","",IFERROR(INDEX('Taxonomy'!$G$9:$G$108,MATCH(D974,'Taxonomy'!$C$9:$C$108,0)),""))</x:f>
      </x:c>
    </x:row>
    <x:row r="975" ht="44" customHeight="1">
      <x:c r="A975" s="1"/>
      <x:c r="B975" s="1"/>
      <x:c r="C975" s="8"/>
      <x:c r="D975" s="8"/>
      <x:c r="E975" s="8"/>
      <x:c r="F975" s="8"/>
      <x:c r="G975" s="8"/>
      <x:c r="H975" s="8"/>
      <x:c r="I975" s="8"/>
      <x:c r="J975" s="8"/>
      <x:c r="K975" s="8"/>
      <x:c r="L975" s="8"/>
      <x:c r="M975" s="10"/>
      <x:c r="N975" s="10"/>
      <x:c r="O975" s="8"/>
      <x:c r="P975" s="9" t="str">
        <x:f>IF(C975="","",IF(AND(G975="Applicable",H975="Fail"),"Fail",IF(R975&lt;&gt;"Valid","Pending",IF(OR(I975="",K975="",L975="",K975=L975,NOT(ISNUMBER(M975)),NOT(ISNUMBER(N975)),M975&gt;Settings!$F$8,N975&lt;Settings!$F$8,N975&lt;M975),"Pending",IF(AND(G975="Applicable",H975="Pass"),"Pass",IF(AND(G975="N/A",H975="N/A",J975&lt;&gt;"",OR(E975="CEM-FUELS",E975="CEM-CCS",AND(E975="CEM-PLAN",IFERROR(INDEX('Taxonomy'!$M$9:$M$108,MATCH(D975,'Taxonomy'!$C$9:$C$108,0)),"")&lt;&gt;"Amber"),E975="BLD-TIMBER",AND(U975="Building equipment",OR(E975="BLD-WATER",E975="BLD-WASTE",E975="BLD-LAND")),AND(U975="Building renovation",E975="BLD-LAND"))),"N/A","Pending"))))))</x:f>
      </x:c>
      <x:c r="Q975" s="3" t="str">
        <x:f>IF(C975="","",IF(AND(R975="Valid",OR(P975="Pass",P975="N/A")),"Complete","Unresolved"))</x:f>
      </x:c>
      <x:c r="R975" s="9" t="str">
        <x:f>IF(C975="","",IF(OR(COUNTIF($C$9:$C$2008,C975)&lt;&gt;1,COUNTIFS($D$9:$D$2008,D975,$E$9:$E$2008,E975)&lt;&gt;1),"Duplicate test",IF(COUNTIF('Taxonomy'!$C$9:$C$108,D975)&lt;&gt;1,"Assessment key",IF(OR(COUNTIF('Taxonomy Rules'!$C$42:$C$68,E975)&lt;&gt;1,F975&lt;&gt;IFERROR(INDEX('Taxonomy Rules'!$D$42:$D$68,MATCH(E975,'Taxonomy Rules'!$C$42:$C$68,0)),""),NOT(OR(IFERROR(INDEX('Taxonomy Rules'!$G$42:$G$68,MATCH(E975,'Taxonomy Rules'!$C$42:$C$68,0)),"")="All supported routes",IFERROR(INDEX('Taxonomy Rules'!$G$42:$G$68,MATCH(E975,'Taxonomy Rules'!$C$42:$C$68,0)),"")=U975,AND(IFERROR(INDEX('Taxonomy Rules'!$G$42:$G$68,MATCH(E975,'Taxonomy Rules'!$C$42:$C$68,0)),"")="Building routes",OR(U975="Building renovation",U975="New building",U975="Building equipment"))))),"Unexpected test","Valid"))))</x:f>
      </x:c>
      <x:c r="S975" s="9" t="str">
        <x:f>IF(C975="","",IFERROR(INDEX('Taxonomy Rules'!$E$42:$E$68,MATCH(E975,'Taxonomy Rules'!$C$42:$C$68,0)),""))</x:f>
      </x:c>
      <x:c r="T975" s="9" t="str">
        <x:f>IF(C975="","",IFERROR(INDEX('Taxonomy Rules'!$F$42:$F$68,MATCH(E975,'Taxonomy Rules'!$C$42:$C$68,0)),""))</x:f>
      </x:c>
      <x:c r="U975" s="9" t="str">
        <x:f>IF(C975="","",IFERROR(INDEX('Taxonomy'!$G$9:$G$108,MATCH(D975,'Taxonomy'!$C$9:$C$108,0)),""))</x:f>
      </x:c>
    </x:row>
    <x:row r="976" ht="44" customHeight="1">
      <x:c r="A976" s="1"/>
      <x:c r="B976" s="1"/>
      <x:c r="C976" s="8"/>
      <x:c r="D976" s="8"/>
      <x:c r="E976" s="8"/>
      <x:c r="F976" s="8"/>
      <x:c r="G976" s="8"/>
      <x:c r="H976" s="8"/>
      <x:c r="I976" s="8"/>
      <x:c r="J976" s="8"/>
      <x:c r="K976" s="8"/>
      <x:c r="L976" s="8"/>
      <x:c r="M976" s="10"/>
      <x:c r="N976" s="10"/>
      <x:c r="O976" s="8"/>
      <x:c r="P976" s="9" t="str">
        <x:f>IF(C976="","",IF(AND(G976="Applicable",H976="Fail"),"Fail",IF(R976&lt;&gt;"Valid","Pending",IF(OR(I976="",K976="",L976="",K976=L976,NOT(ISNUMBER(M976)),NOT(ISNUMBER(N976)),M976&gt;Settings!$F$8,N976&lt;Settings!$F$8,N976&lt;M976),"Pending",IF(AND(G976="Applicable",H976="Pass"),"Pass",IF(AND(G976="N/A",H976="N/A",J976&lt;&gt;"",OR(E976="CEM-FUELS",E976="CEM-CCS",AND(E976="CEM-PLAN",IFERROR(INDEX('Taxonomy'!$M$9:$M$108,MATCH(D976,'Taxonomy'!$C$9:$C$108,0)),"")&lt;&gt;"Amber"),E976="BLD-TIMBER",AND(U976="Building equipment",OR(E976="BLD-WATER",E976="BLD-WASTE",E976="BLD-LAND")),AND(U976="Building renovation",E976="BLD-LAND"))),"N/A","Pending"))))))</x:f>
      </x:c>
      <x:c r="Q976" s="3" t="str">
        <x:f>IF(C976="","",IF(AND(R976="Valid",OR(P976="Pass",P976="N/A")),"Complete","Unresolved"))</x:f>
      </x:c>
      <x:c r="R976" s="9" t="str">
        <x:f>IF(C976="","",IF(OR(COUNTIF($C$9:$C$2008,C976)&lt;&gt;1,COUNTIFS($D$9:$D$2008,D976,$E$9:$E$2008,E976)&lt;&gt;1),"Duplicate test",IF(COUNTIF('Taxonomy'!$C$9:$C$108,D976)&lt;&gt;1,"Assessment key",IF(OR(COUNTIF('Taxonomy Rules'!$C$42:$C$68,E976)&lt;&gt;1,F976&lt;&gt;IFERROR(INDEX('Taxonomy Rules'!$D$42:$D$68,MATCH(E976,'Taxonomy Rules'!$C$42:$C$68,0)),""),NOT(OR(IFERROR(INDEX('Taxonomy Rules'!$G$42:$G$68,MATCH(E976,'Taxonomy Rules'!$C$42:$C$68,0)),"")="All supported routes",IFERROR(INDEX('Taxonomy Rules'!$G$42:$G$68,MATCH(E976,'Taxonomy Rules'!$C$42:$C$68,0)),"")=U976,AND(IFERROR(INDEX('Taxonomy Rules'!$G$42:$G$68,MATCH(E976,'Taxonomy Rules'!$C$42:$C$68,0)),"")="Building routes",OR(U976="Building renovation",U976="New building",U976="Building equipment"))))),"Unexpected test","Valid"))))</x:f>
      </x:c>
      <x:c r="S976" s="9" t="str">
        <x:f>IF(C976="","",IFERROR(INDEX('Taxonomy Rules'!$E$42:$E$68,MATCH(E976,'Taxonomy Rules'!$C$42:$C$68,0)),""))</x:f>
      </x:c>
      <x:c r="T976" s="9" t="str">
        <x:f>IF(C976="","",IFERROR(INDEX('Taxonomy Rules'!$F$42:$F$68,MATCH(E976,'Taxonomy Rules'!$C$42:$C$68,0)),""))</x:f>
      </x:c>
      <x:c r="U976" s="9" t="str">
        <x:f>IF(C976="","",IFERROR(INDEX('Taxonomy'!$G$9:$G$108,MATCH(D976,'Taxonomy'!$C$9:$C$108,0)),""))</x:f>
      </x:c>
    </x:row>
    <x:row r="977" ht="44" customHeight="1">
      <x:c r="A977" s="1"/>
      <x:c r="B977" s="1"/>
      <x:c r="C977" s="8"/>
      <x:c r="D977" s="8"/>
      <x:c r="E977" s="8"/>
      <x:c r="F977" s="8"/>
      <x:c r="G977" s="8"/>
      <x:c r="H977" s="8"/>
      <x:c r="I977" s="8"/>
      <x:c r="J977" s="8"/>
      <x:c r="K977" s="8"/>
      <x:c r="L977" s="8"/>
      <x:c r="M977" s="10"/>
      <x:c r="N977" s="10"/>
      <x:c r="O977" s="8"/>
      <x:c r="P977" s="9" t="str">
        <x:f>IF(C977="","",IF(AND(G977="Applicable",H977="Fail"),"Fail",IF(R977&lt;&gt;"Valid","Pending",IF(OR(I977="",K977="",L977="",K977=L977,NOT(ISNUMBER(M977)),NOT(ISNUMBER(N977)),M977&gt;Settings!$F$8,N977&lt;Settings!$F$8,N977&lt;M977),"Pending",IF(AND(G977="Applicable",H977="Pass"),"Pass",IF(AND(G977="N/A",H977="N/A",J977&lt;&gt;"",OR(E977="CEM-FUELS",E977="CEM-CCS",AND(E977="CEM-PLAN",IFERROR(INDEX('Taxonomy'!$M$9:$M$108,MATCH(D977,'Taxonomy'!$C$9:$C$108,0)),"")&lt;&gt;"Amber"),E977="BLD-TIMBER",AND(U977="Building equipment",OR(E977="BLD-WATER",E977="BLD-WASTE",E977="BLD-LAND")),AND(U977="Building renovation",E977="BLD-LAND"))),"N/A","Pending"))))))</x:f>
      </x:c>
      <x:c r="Q977" s="3" t="str">
        <x:f>IF(C977="","",IF(AND(R977="Valid",OR(P977="Pass",P977="N/A")),"Complete","Unresolved"))</x:f>
      </x:c>
      <x:c r="R977" s="9" t="str">
        <x:f>IF(C977="","",IF(OR(COUNTIF($C$9:$C$2008,C977)&lt;&gt;1,COUNTIFS($D$9:$D$2008,D977,$E$9:$E$2008,E977)&lt;&gt;1),"Duplicate test",IF(COUNTIF('Taxonomy'!$C$9:$C$108,D977)&lt;&gt;1,"Assessment key",IF(OR(COUNTIF('Taxonomy Rules'!$C$42:$C$68,E977)&lt;&gt;1,F977&lt;&gt;IFERROR(INDEX('Taxonomy Rules'!$D$42:$D$68,MATCH(E977,'Taxonomy Rules'!$C$42:$C$68,0)),""),NOT(OR(IFERROR(INDEX('Taxonomy Rules'!$G$42:$G$68,MATCH(E977,'Taxonomy Rules'!$C$42:$C$68,0)),"")="All supported routes",IFERROR(INDEX('Taxonomy Rules'!$G$42:$G$68,MATCH(E977,'Taxonomy Rules'!$C$42:$C$68,0)),"")=U977,AND(IFERROR(INDEX('Taxonomy Rules'!$G$42:$G$68,MATCH(E977,'Taxonomy Rules'!$C$42:$C$68,0)),"")="Building routes",OR(U977="Building renovation",U977="New building",U977="Building equipment"))))),"Unexpected test","Valid"))))</x:f>
      </x:c>
      <x:c r="S977" s="9" t="str">
        <x:f>IF(C977="","",IFERROR(INDEX('Taxonomy Rules'!$E$42:$E$68,MATCH(E977,'Taxonomy Rules'!$C$42:$C$68,0)),""))</x:f>
      </x:c>
      <x:c r="T977" s="9" t="str">
        <x:f>IF(C977="","",IFERROR(INDEX('Taxonomy Rules'!$F$42:$F$68,MATCH(E977,'Taxonomy Rules'!$C$42:$C$68,0)),""))</x:f>
      </x:c>
      <x:c r="U977" s="9" t="str">
        <x:f>IF(C977="","",IFERROR(INDEX('Taxonomy'!$G$9:$G$108,MATCH(D977,'Taxonomy'!$C$9:$C$108,0)),""))</x:f>
      </x:c>
    </x:row>
    <x:row r="978" ht="44" customHeight="1">
      <x:c r="A978" s="1"/>
      <x:c r="B978" s="1"/>
      <x:c r="C978" s="8"/>
      <x:c r="D978" s="8"/>
      <x:c r="E978" s="8"/>
      <x:c r="F978" s="8"/>
      <x:c r="G978" s="8"/>
      <x:c r="H978" s="8"/>
      <x:c r="I978" s="8"/>
      <x:c r="J978" s="8"/>
      <x:c r="K978" s="8"/>
      <x:c r="L978" s="8"/>
      <x:c r="M978" s="10"/>
      <x:c r="N978" s="10"/>
      <x:c r="O978" s="8"/>
      <x:c r="P978" s="9" t="str">
        <x:f>IF(C978="","",IF(AND(G978="Applicable",H978="Fail"),"Fail",IF(R978&lt;&gt;"Valid","Pending",IF(OR(I978="",K978="",L978="",K978=L978,NOT(ISNUMBER(M978)),NOT(ISNUMBER(N978)),M978&gt;Settings!$F$8,N978&lt;Settings!$F$8,N978&lt;M978),"Pending",IF(AND(G978="Applicable",H978="Pass"),"Pass",IF(AND(G978="N/A",H978="N/A",J978&lt;&gt;"",OR(E978="CEM-FUELS",E978="CEM-CCS",AND(E978="CEM-PLAN",IFERROR(INDEX('Taxonomy'!$M$9:$M$108,MATCH(D978,'Taxonomy'!$C$9:$C$108,0)),"")&lt;&gt;"Amber"),E978="BLD-TIMBER",AND(U978="Building equipment",OR(E978="BLD-WATER",E978="BLD-WASTE",E978="BLD-LAND")),AND(U978="Building renovation",E978="BLD-LAND"))),"N/A","Pending"))))))</x:f>
      </x:c>
      <x:c r="Q978" s="3" t="str">
        <x:f>IF(C978="","",IF(AND(R978="Valid",OR(P978="Pass",P978="N/A")),"Complete","Unresolved"))</x:f>
      </x:c>
      <x:c r="R978" s="9" t="str">
        <x:f>IF(C978="","",IF(OR(COUNTIF($C$9:$C$2008,C978)&lt;&gt;1,COUNTIFS($D$9:$D$2008,D978,$E$9:$E$2008,E978)&lt;&gt;1),"Duplicate test",IF(COUNTIF('Taxonomy'!$C$9:$C$108,D978)&lt;&gt;1,"Assessment key",IF(OR(COUNTIF('Taxonomy Rules'!$C$42:$C$68,E978)&lt;&gt;1,F978&lt;&gt;IFERROR(INDEX('Taxonomy Rules'!$D$42:$D$68,MATCH(E978,'Taxonomy Rules'!$C$42:$C$68,0)),""),NOT(OR(IFERROR(INDEX('Taxonomy Rules'!$G$42:$G$68,MATCH(E978,'Taxonomy Rules'!$C$42:$C$68,0)),"")="All supported routes",IFERROR(INDEX('Taxonomy Rules'!$G$42:$G$68,MATCH(E978,'Taxonomy Rules'!$C$42:$C$68,0)),"")=U978,AND(IFERROR(INDEX('Taxonomy Rules'!$G$42:$G$68,MATCH(E978,'Taxonomy Rules'!$C$42:$C$68,0)),"")="Building routes",OR(U978="Building renovation",U978="New building",U978="Building equipment"))))),"Unexpected test","Valid"))))</x:f>
      </x:c>
      <x:c r="S978" s="9" t="str">
        <x:f>IF(C978="","",IFERROR(INDEX('Taxonomy Rules'!$E$42:$E$68,MATCH(E978,'Taxonomy Rules'!$C$42:$C$68,0)),""))</x:f>
      </x:c>
      <x:c r="T978" s="9" t="str">
        <x:f>IF(C978="","",IFERROR(INDEX('Taxonomy Rules'!$F$42:$F$68,MATCH(E978,'Taxonomy Rules'!$C$42:$C$68,0)),""))</x:f>
      </x:c>
      <x:c r="U978" s="9" t="str">
        <x:f>IF(C978="","",IFERROR(INDEX('Taxonomy'!$G$9:$G$108,MATCH(D978,'Taxonomy'!$C$9:$C$108,0)),""))</x:f>
      </x:c>
    </x:row>
    <x:row r="979" ht="44" customHeight="1">
      <x:c r="A979" s="1"/>
      <x:c r="B979" s="1"/>
      <x:c r="C979" s="8"/>
      <x:c r="D979" s="8"/>
      <x:c r="E979" s="8"/>
      <x:c r="F979" s="8"/>
      <x:c r="G979" s="8"/>
      <x:c r="H979" s="8"/>
      <x:c r="I979" s="8"/>
      <x:c r="J979" s="8"/>
      <x:c r="K979" s="8"/>
      <x:c r="L979" s="8"/>
      <x:c r="M979" s="10"/>
      <x:c r="N979" s="10"/>
      <x:c r="O979" s="8"/>
      <x:c r="P979" s="9" t="str">
        <x:f>IF(C979="","",IF(AND(G979="Applicable",H979="Fail"),"Fail",IF(R979&lt;&gt;"Valid","Pending",IF(OR(I979="",K979="",L979="",K979=L979,NOT(ISNUMBER(M979)),NOT(ISNUMBER(N979)),M979&gt;Settings!$F$8,N979&lt;Settings!$F$8,N979&lt;M979),"Pending",IF(AND(G979="Applicable",H979="Pass"),"Pass",IF(AND(G979="N/A",H979="N/A",J979&lt;&gt;"",OR(E979="CEM-FUELS",E979="CEM-CCS",AND(E979="CEM-PLAN",IFERROR(INDEX('Taxonomy'!$M$9:$M$108,MATCH(D979,'Taxonomy'!$C$9:$C$108,0)),"")&lt;&gt;"Amber"),E979="BLD-TIMBER",AND(U979="Building equipment",OR(E979="BLD-WATER",E979="BLD-WASTE",E979="BLD-LAND")),AND(U979="Building renovation",E979="BLD-LAND"))),"N/A","Pending"))))))</x:f>
      </x:c>
      <x:c r="Q979" s="3" t="str">
        <x:f>IF(C979="","",IF(AND(R979="Valid",OR(P979="Pass",P979="N/A")),"Complete","Unresolved"))</x:f>
      </x:c>
      <x:c r="R979" s="9" t="str">
        <x:f>IF(C979="","",IF(OR(COUNTIF($C$9:$C$2008,C979)&lt;&gt;1,COUNTIFS($D$9:$D$2008,D979,$E$9:$E$2008,E979)&lt;&gt;1),"Duplicate test",IF(COUNTIF('Taxonomy'!$C$9:$C$108,D979)&lt;&gt;1,"Assessment key",IF(OR(COUNTIF('Taxonomy Rules'!$C$42:$C$68,E979)&lt;&gt;1,F979&lt;&gt;IFERROR(INDEX('Taxonomy Rules'!$D$42:$D$68,MATCH(E979,'Taxonomy Rules'!$C$42:$C$68,0)),""),NOT(OR(IFERROR(INDEX('Taxonomy Rules'!$G$42:$G$68,MATCH(E979,'Taxonomy Rules'!$C$42:$C$68,0)),"")="All supported routes",IFERROR(INDEX('Taxonomy Rules'!$G$42:$G$68,MATCH(E979,'Taxonomy Rules'!$C$42:$C$68,0)),"")=U979,AND(IFERROR(INDEX('Taxonomy Rules'!$G$42:$G$68,MATCH(E979,'Taxonomy Rules'!$C$42:$C$68,0)),"")="Building routes",OR(U979="Building renovation",U979="New building",U979="Building equipment"))))),"Unexpected test","Valid"))))</x:f>
      </x:c>
      <x:c r="S979" s="9" t="str">
        <x:f>IF(C979="","",IFERROR(INDEX('Taxonomy Rules'!$E$42:$E$68,MATCH(E979,'Taxonomy Rules'!$C$42:$C$68,0)),""))</x:f>
      </x:c>
      <x:c r="T979" s="9" t="str">
        <x:f>IF(C979="","",IFERROR(INDEX('Taxonomy Rules'!$F$42:$F$68,MATCH(E979,'Taxonomy Rules'!$C$42:$C$68,0)),""))</x:f>
      </x:c>
      <x:c r="U979" s="9" t="str">
        <x:f>IF(C979="","",IFERROR(INDEX('Taxonomy'!$G$9:$G$108,MATCH(D979,'Taxonomy'!$C$9:$C$108,0)),""))</x:f>
      </x:c>
    </x:row>
    <x:row r="980" ht="44" customHeight="1">
      <x:c r="A980" s="1"/>
      <x:c r="B980" s="1"/>
      <x:c r="C980" s="8"/>
      <x:c r="D980" s="8"/>
      <x:c r="E980" s="8"/>
      <x:c r="F980" s="8"/>
      <x:c r="G980" s="8"/>
      <x:c r="H980" s="8"/>
      <x:c r="I980" s="8"/>
      <x:c r="J980" s="8"/>
      <x:c r="K980" s="8"/>
      <x:c r="L980" s="8"/>
      <x:c r="M980" s="10"/>
      <x:c r="N980" s="10"/>
      <x:c r="O980" s="8"/>
      <x:c r="P980" s="9" t="str">
        <x:f>IF(C980="","",IF(AND(G980="Applicable",H980="Fail"),"Fail",IF(R980&lt;&gt;"Valid","Pending",IF(OR(I980="",K980="",L980="",K980=L980,NOT(ISNUMBER(M980)),NOT(ISNUMBER(N980)),M980&gt;Settings!$F$8,N980&lt;Settings!$F$8,N980&lt;M980),"Pending",IF(AND(G980="Applicable",H980="Pass"),"Pass",IF(AND(G980="N/A",H980="N/A",J980&lt;&gt;"",OR(E980="CEM-FUELS",E980="CEM-CCS",AND(E980="CEM-PLAN",IFERROR(INDEX('Taxonomy'!$M$9:$M$108,MATCH(D980,'Taxonomy'!$C$9:$C$108,0)),"")&lt;&gt;"Amber"),E980="BLD-TIMBER",AND(U980="Building equipment",OR(E980="BLD-WATER",E980="BLD-WASTE",E980="BLD-LAND")),AND(U980="Building renovation",E980="BLD-LAND"))),"N/A","Pending"))))))</x:f>
      </x:c>
      <x:c r="Q980" s="3" t="str">
        <x:f>IF(C980="","",IF(AND(R980="Valid",OR(P980="Pass",P980="N/A")),"Complete","Unresolved"))</x:f>
      </x:c>
      <x:c r="R980" s="9" t="str">
        <x:f>IF(C980="","",IF(OR(COUNTIF($C$9:$C$2008,C980)&lt;&gt;1,COUNTIFS($D$9:$D$2008,D980,$E$9:$E$2008,E980)&lt;&gt;1),"Duplicate test",IF(COUNTIF('Taxonomy'!$C$9:$C$108,D980)&lt;&gt;1,"Assessment key",IF(OR(COUNTIF('Taxonomy Rules'!$C$42:$C$68,E980)&lt;&gt;1,F980&lt;&gt;IFERROR(INDEX('Taxonomy Rules'!$D$42:$D$68,MATCH(E980,'Taxonomy Rules'!$C$42:$C$68,0)),""),NOT(OR(IFERROR(INDEX('Taxonomy Rules'!$G$42:$G$68,MATCH(E980,'Taxonomy Rules'!$C$42:$C$68,0)),"")="All supported routes",IFERROR(INDEX('Taxonomy Rules'!$G$42:$G$68,MATCH(E980,'Taxonomy Rules'!$C$42:$C$68,0)),"")=U980,AND(IFERROR(INDEX('Taxonomy Rules'!$G$42:$G$68,MATCH(E980,'Taxonomy Rules'!$C$42:$C$68,0)),"")="Building routes",OR(U980="Building renovation",U980="New building",U980="Building equipment"))))),"Unexpected test","Valid"))))</x:f>
      </x:c>
      <x:c r="S980" s="9" t="str">
        <x:f>IF(C980="","",IFERROR(INDEX('Taxonomy Rules'!$E$42:$E$68,MATCH(E980,'Taxonomy Rules'!$C$42:$C$68,0)),""))</x:f>
      </x:c>
      <x:c r="T980" s="9" t="str">
        <x:f>IF(C980="","",IFERROR(INDEX('Taxonomy Rules'!$F$42:$F$68,MATCH(E980,'Taxonomy Rules'!$C$42:$C$68,0)),""))</x:f>
      </x:c>
      <x:c r="U980" s="9" t="str">
        <x:f>IF(C980="","",IFERROR(INDEX('Taxonomy'!$G$9:$G$108,MATCH(D980,'Taxonomy'!$C$9:$C$108,0)),""))</x:f>
      </x:c>
    </x:row>
    <x:row r="981" ht="44" customHeight="1">
      <x:c r="A981" s="1"/>
      <x:c r="B981" s="1"/>
      <x:c r="C981" s="8"/>
      <x:c r="D981" s="8"/>
      <x:c r="E981" s="8"/>
      <x:c r="F981" s="8"/>
      <x:c r="G981" s="8"/>
      <x:c r="H981" s="8"/>
      <x:c r="I981" s="8"/>
      <x:c r="J981" s="8"/>
      <x:c r="K981" s="8"/>
      <x:c r="L981" s="8"/>
      <x:c r="M981" s="10"/>
      <x:c r="N981" s="10"/>
      <x:c r="O981" s="8"/>
      <x:c r="P981" s="9" t="str">
        <x:f>IF(C981="","",IF(AND(G981="Applicable",H981="Fail"),"Fail",IF(R981&lt;&gt;"Valid","Pending",IF(OR(I981="",K981="",L981="",K981=L981,NOT(ISNUMBER(M981)),NOT(ISNUMBER(N981)),M981&gt;Settings!$F$8,N981&lt;Settings!$F$8,N981&lt;M981),"Pending",IF(AND(G981="Applicable",H981="Pass"),"Pass",IF(AND(G981="N/A",H981="N/A",J981&lt;&gt;"",OR(E981="CEM-FUELS",E981="CEM-CCS",AND(E981="CEM-PLAN",IFERROR(INDEX('Taxonomy'!$M$9:$M$108,MATCH(D981,'Taxonomy'!$C$9:$C$108,0)),"")&lt;&gt;"Amber"),E981="BLD-TIMBER",AND(U981="Building equipment",OR(E981="BLD-WATER",E981="BLD-WASTE",E981="BLD-LAND")),AND(U981="Building renovation",E981="BLD-LAND"))),"N/A","Pending"))))))</x:f>
      </x:c>
      <x:c r="Q981" s="3" t="str">
        <x:f>IF(C981="","",IF(AND(R981="Valid",OR(P981="Pass",P981="N/A")),"Complete","Unresolved"))</x:f>
      </x:c>
      <x:c r="R981" s="9" t="str">
        <x:f>IF(C981="","",IF(OR(COUNTIF($C$9:$C$2008,C981)&lt;&gt;1,COUNTIFS($D$9:$D$2008,D981,$E$9:$E$2008,E981)&lt;&gt;1),"Duplicate test",IF(COUNTIF('Taxonomy'!$C$9:$C$108,D981)&lt;&gt;1,"Assessment key",IF(OR(COUNTIF('Taxonomy Rules'!$C$42:$C$68,E981)&lt;&gt;1,F981&lt;&gt;IFERROR(INDEX('Taxonomy Rules'!$D$42:$D$68,MATCH(E981,'Taxonomy Rules'!$C$42:$C$68,0)),""),NOT(OR(IFERROR(INDEX('Taxonomy Rules'!$G$42:$G$68,MATCH(E981,'Taxonomy Rules'!$C$42:$C$68,0)),"")="All supported routes",IFERROR(INDEX('Taxonomy Rules'!$G$42:$G$68,MATCH(E981,'Taxonomy Rules'!$C$42:$C$68,0)),"")=U981,AND(IFERROR(INDEX('Taxonomy Rules'!$G$42:$G$68,MATCH(E981,'Taxonomy Rules'!$C$42:$C$68,0)),"")="Building routes",OR(U981="Building renovation",U981="New building",U981="Building equipment"))))),"Unexpected test","Valid"))))</x:f>
      </x:c>
      <x:c r="S981" s="9" t="str">
        <x:f>IF(C981="","",IFERROR(INDEX('Taxonomy Rules'!$E$42:$E$68,MATCH(E981,'Taxonomy Rules'!$C$42:$C$68,0)),""))</x:f>
      </x:c>
      <x:c r="T981" s="9" t="str">
        <x:f>IF(C981="","",IFERROR(INDEX('Taxonomy Rules'!$F$42:$F$68,MATCH(E981,'Taxonomy Rules'!$C$42:$C$68,0)),""))</x:f>
      </x:c>
      <x:c r="U981" s="9" t="str">
        <x:f>IF(C981="","",IFERROR(INDEX('Taxonomy'!$G$9:$G$108,MATCH(D981,'Taxonomy'!$C$9:$C$108,0)),""))</x:f>
      </x:c>
    </x:row>
    <x:row r="982" ht="44" customHeight="1">
      <x:c r="A982" s="1"/>
      <x:c r="B982" s="1"/>
      <x:c r="C982" s="8"/>
      <x:c r="D982" s="8"/>
      <x:c r="E982" s="8"/>
      <x:c r="F982" s="8"/>
      <x:c r="G982" s="8"/>
      <x:c r="H982" s="8"/>
      <x:c r="I982" s="8"/>
      <x:c r="J982" s="8"/>
      <x:c r="K982" s="8"/>
      <x:c r="L982" s="8"/>
      <x:c r="M982" s="10"/>
      <x:c r="N982" s="10"/>
      <x:c r="O982" s="8"/>
      <x:c r="P982" s="9" t="str">
        <x:f>IF(C982="","",IF(AND(G982="Applicable",H982="Fail"),"Fail",IF(R982&lt;&gt;"Valid","Pending",IF(OR(I982="",K982="",L982="",K982=L982,NOT(ISNUMBER(M982)),NOT(ISNUMBER(N982)),M982&gt;Settings!$F$8,N982&lt;Settings!$F$8,N982&lt;M982),"Pending",IF(AND(G982="Applicable",H982="Pass"),"Pass",IF(AND(G982="N/A",H982="N/A",J982&lt;&gt;"",OR(E982="CEM-FUELS",E982="CEM-CCS",AND(E982="CEM-PLAN",IFERROR(INDEX('Taxonomy'!$M$9:$M$108,MATCH(D982,'Taxonomy'!$C$9:$C$108,0)),"")&lt;&gt;"Amber"),E982="BLD-TIMBER",AND(U982="Building equipment",OR(E982="BLD-WATER",E982="BLD-WASTE",E982="BLD-LAND")),AND(U982="Building renovation",E982="BLD-LAND"))),"N/A","Pending"))))))</x:f>
      </x:c>
      <x:c r="Q982" s="3" t="str">
        <x:f>IF(C982="","",IF(AND(R982="Valid",OR(P982="Pass",P982="N/A")),"Complete","Unresolved"))</x:f>
      </x:c>
      <x:c r="R982" s="9" t="str">
        <x:f>IF(C982="","",IF(OR(COUNTIF($C$9:$C$2008,C982)&lt;&gt;1,COUNTIFS($D$9:$D$2008,D982,$E$9:$E$2008,E982)&lt;&gt;1),"Duplicate test",IF(COUNTIF('Taxonomy'!$C$9:$C$108,D982)&lt;&gt;1,"Assessment key",IF(OR(COUNTIF('Taxonomy Rules'!$C$42:$C$68,E982)&lt;&gt;1,F982&lt;&gt;IFERROR(INDEX('Taxonomy Rules'!$D$42:$D$68,MATCH(E982,'Taxonomy Rules'!$C$42:$C$68,0)),""),NOT(OR(IFERROR(INDEX('Taxonomy Rules'!$G$42:$G$68,MATCH(E982,'Taxonomy Rules'!$C$42:$C$68,0)),"")="All supported routes",IFERROR(INDEX('Taxonomy Rules'!$G$42:$G$68,MATCH(E982,'Taxonomy Rules'!$C$42:$C$68,0)),"")=U982,AND(IFERROR(INDEX('Taxonomy Rules'!$G$42:$G$68,MATCH(E982,'Taxonomy Rules'!$C$42:$C$68,0)),"")="Building routes",OR(U982="Building renovation",U982="New building",U982="Building equipment"))))),"Unexpected test","Valid"))))</x:f>
      </x:c>
      <x:c r="S982" s="9" t="str">
        <x:f>IF(C982="","",IFERROR(INDEX('Taxonomy Rules'!$E$42:$E$68,MATCH(E982,'Taxonomy Rules'!$C$42:$C$68,0)),""))</x:f>
      </x:c>
      <x:c r="T982" s="9" t="str">
        <x:f>IF(C982="","",IFERROR(INDEX('Taxonomy Rules'!$F$42:$F$68,MATCH(E982,'Taxonomy Rules'!$C$42:$C$68,0)),""))</x:f>
      </x:c>
      <x:c r="U982" s="9" t="str">
        <x:f>IF(C982="","",IFERROR(INDEX('Taxonomy'!$G$9:$G$108,MATCH(D982,'Taxonomy'!$C$9:$C$108,0)),""))</x:f>
      </x:c>
    </x:row>
    <x:row r="983" ht="44" customHeight="1">
      <x:c r="A983" s="1"/>
      <x:c r="B983" s="1"/>
      <x:c r="C983" s="8"/>
      <x:c r="D983" s="8"/>
      <x:c r="E983" s="8"/>
      <x:c r="F983" s="8"/>
      <x:c r="G983" s="8"/>
      <x:c r="H983" s="8"/>
      <x:c r="I983" s="8"/>
      <x:c r="J983" s="8"/>
      <x:c r="K983" s="8"/>
      <x:c r="L983" s="8"/>
      <x:c r="M983" s="10"/>
      <x:c r="N983" s="10"/>
      <x:c r="O983" s="8"/>
      <x:c r="P983" s="9" t="str">
        <x:f>IF(C983="","",IF(AND(G983="Applicable",H983="Fail"),"Fail",IF(R983&lt;&gt;"Valid","Pending",IF(OR(I983="",K983="",L983="",K983=L983,NOT(ISNUMBER(M983)),NOT(ISNUMBER(N983)),M983&gt;Settings!$F$8,N983&lt;Settings!$F$8,N983&lt;M983),"Pending",IF(AND(G983="Applicable",H983="Pass"),"Pass",IF(AND(G983="N/A",H983="N/A",J983&lt;&gt;"",OR(E983="CEM-FUELS",E983="CEM-CCS",AND(E983="CEM-PLAN",IFERROR(INDEX('Taxonomy'!$M$9:$M$108,MATCH(D983,'Taxonomy'!$C$9:$C$108,0)),"")&lt;&gt;"Amber"),E983="BLD-TIMBER",AND(U983="Building equipment",OR(E983="BLD-WATER",E983="BLD-WASTE",E983="BLD-LAND")),AND(U983="Building renovation",E983="BLD-LAND"))),"N/A","Pending"))))))</x:f>
      </x:c>
      <x:c r="Q983" s="3" t="str">
        <x:f>IF(C983="","",IF(AND(R983="Valid",OR(P983="Pass",P983="N/A")),"Complete","Unresolved"))</x:f>
      </x:c>
      <x:c r="R983" s="9" t="str">
        <x:f>IF(C983="","",IF(OR(COUNTIF($C$9:$C$2008,C983)&lt;&gt;1,COUNTIFS($D$9:$D$2008,D983,$E$9:$E$2008,E983)&lt;&gt;1),"Duplicate test",IF(COUNTIF('Taxonomy'!$C$9:$C$108,D983)&lt;&gt;1,"Assessment key",IF(OR(COUNTIF('Taxonomy Rules'!$C$42:$C$68,E983)&lt;&gt;1,F983&lt;&gt;IFERROR(INDEX('Taxonomy Rules'!$D$42:$D$68,MATCH(E983,'Taxonomy Rules'!$C$42:$C$68,0)),""),NOT(OR(IFERROR(INDEX('Taxonomy Rules'!$G$42:$G$68,MATCH(E983,'Taxonomy Rules'!$C$42:$C$68,0)),"")="All supported routes",IFERROR(INDEX('Taxonomy Rules'!$G$42:$G$68,MATCH(E983,'Taxonomy Rules'!$C$42:$C$68,0)),"")=U983,AND(IFERROR(INDEX('Taxonomy Rules'!$G$42:$G$68,MATCH(E983,'Taxonomy Rules'!$C$42:$C$68,0)),"")="Building routes",OR(U983="Building renovation",U983="New building",U983="Building equipment"))))),"Unexpected test","Valid"))))</x:f>
      </x:c>
      <x:c r="S983" s="9" t="str">
        <x:f>IF(C983="","",IFERROR(INDEX('Taxonomy Rules'!$E$42:$E$68,MATCH(E983,'Taxonomy Rules'!$C$42:$C$68,0)),""))</x:f>
      </x:c>
      <x:c r="T983" s="9" t="str">
        <x:f>IF(C983="","",IFERROR(INDEX('Taxonomy Rules'!$F$42:$F$68,MATCH(E983,'Taxonomy Rules'!$C$42:$C$68,0)),""))</x:f>
      </x:c>
      <x:c r="U983" s="9" t="str">
        <x:f>IF(C983="","",IFERROR(INDEX('Taxonomy'!$G$9:$G$108,MATCH(D983,'Taxonomy'!$C$9:$C$108,0)),""))</x:f>
      </x:c>
    </x:row>
    <x:row r="984" ht="44" customHeight="1">
      <x:c r="A984" s="1"/>
      <x:c r="B984" s="1"/>
      <x:c r="C984" s="8"/>
      <x:c r="D984" s="8"/>
      <x:c r="E984" s="8"/>
      <x:c r="F984" s="8"/>
      <x:c r="G984" s="8"/>
      <x:c r="H984" s="8"/>
      <x:c r="I984" s="8"/>
      <x:c r="J984" s="8"/>
      <x:c r="K984" s="8"/>
      <x:c r="L984" s="8"/>
      <x:c r="M984" s="10"/>
      <x:c r="N984" s="10"/>
      <x:c r="O984" s="8"/>
      <x:c r="P984" s="9" t="str">
        <x:f>IF(C984="","",IF(AND(G984="Applicable",H984="Fail"),"Fail",IF(R984&lt;&gt;"Valid","Pending",IF(OR(I984="",K984="",L984="",K984=L984,NOT(ISNUMBER(M984)),NOT(ISNUMBER(N984)),M984&gt;Settings!$F$8,N984&lt;Settings!$F$8,N984&lt;M984),"Pending",IF(AND(G984="Applicable",H984="Pass"),"Pass",IF(AND(G984="N/A",H984="N/A",J984&lt;&gt;"",OR(E984="CEM-FUELS",E984="CEM-CCS",AND(E984="CEM-PLAN",IFERROR(INDEX('Taxonomy'!$M$9:$M$108,MATCH(D984,'Taxonomy'!$C$9:$C$108,0)),"")&lt;&gt;"Amber"),E984="BLD-TIMBER",AND(U984="Building equipment",OR(E984="BLD-WATER",E984="BLD-WASTE",E984="BLD-LAND")),AND(U984="Building renovation",E984="BLD-LAND"))),"N/A","Pending"))))))</x:f>
      </x:c>
      <x:c r="Q984" s="3" t="str">
        <x:f>IF(C984="","",IF(AND(R984="Valid",OR(P984="Pass",P984="N/A")),"Complete","Unresolved"))</x:f>
      </x:c>
      <x:c r="R984" s="9" t="str">
        <x:f>IF(C984="","",IF(OR(COUNTIF($C$9:$C$2008,C984)&lt;&gt;1,COUNTIFS($D$9:$D$2008,D984,$E$9:$E$2008,E984)&lt;&gt;1),"Duplicate test",IF(COUNTIF('Taxonomy'!$C$9:$C$108,D984)&lt;&gt;1,"Assessment key",IF(OR(COUNTIF('Taxonomy Rules'!$C$42:$C$68,E984)&lt;&gt;1,F984&lt;&gt;IFERROR(INDEX('Taxonomy Rules'!$D$42:$D$68,MATCH(E984,'Taxonomy Rules'!$C$42:$C$68,0)),""),NOT(OR(IFERROR(INDEX('Taxonomy Rules'!$G$42:$G$68,MATCH(E984,'Taxonomy Rules'!$C$42:$C$68,0)),"")="All supported routes",IFERROR(INDEX('Taxonomy Rules'!$G$42:$G$68,MATCH(E984,'Taxonomy Rules'!$C$42:$C$68,0)),"")=U984,AND(IFERROR(INDEX('Taxonomy Rules'!$G$42:$G$68,MATCH(E984,'Taxonomy Rules'!$C$42:$C$68,0)),"")="Building routes",OR(U984="Building renovation",U984="New building",U984="Building equipment"))))),"Unexpected test","Valid"))))</x:f>
      </x:c>
      <x:c r="S984" s="9" t="str">
        <x:f>IF(C984="","",IFERROR(INDEX('Taxonomy Rules'!$E$42:$E$68,MATCH(E984,'Taxonomy Rules'!$C$42:$C$68,0)),""))</x:f>
      </x:c>
      <x:c r="T984" s="9" t="str">
        <x:f>IF(C984="","",IFERROR(INDEX('Taxonomy Rules'!$F$42:$F$68,MATCH(E984,'Taxonomy Rules'!$C$42:$C$68,0)),""))</x:f>
      </x:c>
      <x:c r="U984" s="9" t="str">
        <x:f>IF(C984="","",IFERROR(INDEX('Taxonomy'!$G$9:$G$108,MATCH(D984,'Taxonomy'!$C$9:$C$108,0)),""))</x:f>
      </x:c>
    </x:row>
    <x:row r="985" ht="44" customHeight="1">
      <x:c r="A985" s="1"/>
      <x:c r="B985" s="1"/>
      <x:c r="C985" s="8"/>
      <x:c r="D985" s="8"/>
      <x:c r="E985" s="8"/>
      <x:c r="F985" s="8"/>
      <x:c r="G985" s="8"/>
      <x:c r="H985" s="8"/>
      <x:c r="I985" s="8"/>
      <x:c r="J985" s="8"/>
      <x:c r="K985" s="8"/>
      <x:c r="L985" s="8"/>
      <x:c r="M985" s="10"/>
      <x:c r="N985" s="10"/>
      <x:c r="O985" s="8"/>
      <x:c r="P985" s="9" t="str">
        <x:f>IF(C985="","",IF(AND(G985="Applicable",H985="Fail"),"Fail",IF(R985&lt;&gt;"Valid","Pending",IF(OR(I985="",K985="",L985="",K985=L985,NOT(ISNUMBER(M985)),NOT(ISNUMBER(N985)),M985&gt;Settings!$F$8,N985&lt;Settings!$F$8,N985&lt;M985),"Pending",IF(AND(G985="Applicable",H985="Pass"),"Pass",IF(AND(G985="N/A",H985="N/A",J985&lt;&gt;"",OR(E985="CEM-FUELS",E985="CEM-CCS",AND(E985="CEM-PLAN",IFERROR(INDEX('Taxonomy'!$M$9:$M$108,MATCH(D985,'Taxonomy'!$C$9:$C$108,0)),"")&lt;&gt;"Amber"),E985="BLD-TIMBER",AND(U985="Building equipment",OR(E985="BLD-WATER",E985="BLD-WASTE",E985="BLD-LAND")),AND(U985="Building renovation",E985="BLD-LAND"))),"N/A","Pending"))))))</x:f>
      </x:c>
      <x:c r="Q985" s="3" t="str">
        <x:f>IF(C985="","",IF(AND(R985="Valid",OR(P985="Pass",P985="N/A")),"Complete","Unresolved"))</x:f>
      </x:c>
      <x:c r="R985" s="9" t="str">
        <x:f>IF(C985="","",IF(OR(COUNTIF($C$9:$C$2008,C985)&lt;&gt;1,COUNTIFS($D$9:$D$2008,D985,$E$9:$E$2008,E985)&lt;&gt;1),"Duplicate test",IF(COUNTIF('Taxonomy'!$C$9:$C$108,D985)&lt;&gt;1,"Assessment key",IF(OR(COUNTIF('Taxonomy Rules'!$C$42:$C$68,E985)&lt;&gt;1,F985&lt;&gt;IFERROR(INDEX('Taxonomy Rules'!$D$42:$D$68,MATCH(E985,'Taxonomy Rules'!$C$42:$C$68,0)),""),NOT(OR(IFERROR(INDEX('Taxonomy Rules'!$G$42:$G$68,MATCH(E985,'Taxonomy Rules'!$C$42:$C$68,0)),"")="All supported routes",IFERROR(INDEX('Taxonomy Rules'!$G$42:$G$68,MATCH(E985,'Taxonomy Rules'!$C$42:$C$68,0)),"")=U985,AND(IFERROR(INDEX('Taxonomy Rules'!$G$42:$G$68,MATCH(E985,'Taxonomy Rules'!$C$42:$C$68,0)),"")="Building routes",OR(U985="Building renovation",U985="New building",U985="Building equipment"))))),"Unexpected test","Valid"))))</x:f>
      </x:c>
      <x:c r="S985" s="9" t="str">
        <x:f>IF(C985="","",IFERROR(INDEX('Taxonomy Rules'!$E$42:$E$68,MATCH(E985,'Taxonomy Rules'!$C$42:$C$68,0)),""))</x:f>
      </x:c>
      <x:c r="T985" s="9" t="str">
        <x:f>IF(C985="","",IFERROR(INDEX('Taxonomy Rules'!$F$42:$F$68,MATCH(E985,'Taxonomy Rules'!$C$42:$C$68,0)),""))</x:f>
      </x:c>
      <x:c r="U985" s="9" t="str">
        <x:f>IF(C985="","",IFERROR(INDEX('Taxonomy'!$G$9:$G$108,MATCH(D985,'Taxonomy'!$C$9:$C$108,0)),""))</x:f>
      </x:c>
    </x:row>
    <x:row r="986" ht="44" customHeight="1">
      <x:c r="A986" s="1"/>
      <x:c r="B986" s="1"/>
      <x:c r="C986" s="8"/>
      <x:c r="D986" s="8"/>
      <x:c r="E986" s="8"/>
      <x:c r="F986" s="8"/>
      <x:c r="G986" s="8"/>
      <x:c r="H986" s="8"/>
      <x:c r="I986" s="8"/>
      <x:c r="J986" s="8"/>
      <x:c r="K986" s="8"/>
      <x:c r="L986" s="8"/>
      <x:c r="M986" s="10"/>
      <x:c r="N986" s="10"/>
      <x:c r="O986" s="8"/>
      <x:c r="P986" s="9" t="str">
        <x:f>IF(C986="","",IF(AND(G986="Applicable",H986="Fail"),"Fail",IF(R986&lt;&gt;"Valid","Pending",IF(OR(I986="",K986="",L986="",K986=L986,NOT(ISNUMBER(M986)),NOT(ISNUMBER(N986)),M986&gt;Settings!$F$8,N986&lt;Settings!$F$8,N986&lt;M986),"Pending",IF(AND(G986="Applicable",H986="Pass"),"Pass",IF(AND(G986="N/A",H986="N/A",J986&lt;&gt;"",OR(E986="CEM-FUELS",E986="CEM-CCS",AND(E986="CEM-PLAN",IFERROR(INDEX('Taxonomy'!$M$9:$M$108,MATCH(D986,'Taxonomy'!$C$9:$C$108,0)),"")&lt;&gt;"Amber"),E986="BLD-TIMBER",AND(U986="Building equipment",OR(E986="BLD-WATER",E986="BLD-WASTE",E986="BLD-LAND")),AND(U986="Building renovation",E986="BLD-LAND"))),"N/A","Pending"))))))</x:f>
      </x:c>
      <x:c r="Q986" s="3" t="str">
        <x:f>IF(C986="","",IF(AND(R986="Valid",OR(P986="Pass",P986="N/A")),"Complete","Unresolved"))</x:f>
      </x:c>
      <x:c r="R986" s="9" t="str">
        <x:f>IF(C986="","",IF(OR(COUNTIF($C$9:$C$2008,C986)&lt;&gt;1,COUNTIFS($D$9:$D$2008,D986,$E$9:$E$2008,E986)&lt;&gt;1),"Duplicate test",IF(COUNTIF('Taxonomy'!$C$9:$C$108,D986)&lt;&gt;1,"Assessment key",IF(OR(COUNTIF('Taxonomy Rules'!$C$42:$C$68,E986)&lt;&gt;1,F986&lt;&gt;IFERROR(INDEX('Taxonomy Rules'!$D$42:$D$68,MATCH(E986,'Taxonomy Rules'!$C$42:$C$68,0)),""),NOT(OR(IFERROR(INDEX('Taxonomy Rules'!$G$42:$G$68,MATCH(E986,'Taxonomy Rules'!$C$42:$C$68,0)),"")="All supported routes",IFERROR(INDEX('Taxonomy Rules'!$G$42:$G$68,MATCH(E986,'Taxonomy Rules'!$C$42:$C$68,0)),"")=U986,AND(IFERROR(INDEX('Taxonomy Rules'!$G$42:$G$68,MATCH(E986,'Taxonomy Rules'!$C$42:$C$68,0)),"")="Building routes",OR(U986="Building renovation",U986="New building",U986="Building equipment"))))),"Unexpected test","Valid"))))</x:f>
      </x:c>
      <x:c r="S986" s="9" t="str">
        <x:f>IF(C986="","",IFERROR(INDEX('Taxonomy Rules'!$E$42:$E$68,MATCH(E986,'Taxonomy Rules'!$C$42:$C$68,0)),""))</x:f>
      </x:c>
      <x:c r="T986" s="9" t="str">
        <x:f>IF(C986="","",IFERROR(INDEX('Taxonomy Rules'!$F$42:$F$68,MATCH(E986,'Taxonomy Rules'!$C$42:$C$68,0)),""))</x:f>
      </x:c>
      <x:c r="U986" s="9" t="str">
        <x:f>IF(C986="","",IFERROR(INDEX('Taxonomy'!$G$9:$G$108,MATCH(D986,'Taxonomy'!$C$9:$C$108,0)),""))</x:f>
      </x:c>
    </x:row>
    <x:row r="987" ht="44" customHeight="1">
      <x:c r="A987" s="1"/>
      <x:c r="B987" s="1"/>
      <x:c r="C987" s="8"/>
      <x:c r="D987" s="8"/>
      <x:c r="E987" s="8"/>
      <x:c r="F987" s="8"/>
      <x:c r="G987" s="8"/>
      <x:c r="H987" s="8"/>
      <x:c r="I987" s="8"/>
      <x:c r="J987" s="8"/>
      <x:c r="K987" s="8"/>
      <x:c r="L987" s="8"/>
      <x:c r="M987" s="10"/>
      <x:c r="N987" s="10"/>
      <x:c r="O987" s="8"/>
      <x:c r="P987" s="9" t="str">
        <x:f>IF(C987="","",IF(AND(G987="Applicable",H987="Fail"),"Fail",IF(R987&lt;&gt;"Valid","Pending",IF(OR(I987="",K987="",L987="",K987=L987,NOT(ISNUMBER(M987)),NOT(ISNUMBER(N987)),M987&gt;Settings!$F$8,N987&lt;Settings!$F$8,N987&lt;M987),"Pending",IF(AND(G987="Applicable",H987="Pass"),"Pass",IF(AND(G987="N/A",H987="N/A",J987&lt;&gt;"",OR(E987="CEM-FUELS",E987="CEM-CCS",AND(E987="CEM-PLAN",IFERROR(INDEX('Taxonomy'!$M$9:$M$108,MATCH(D987,'Taxonomy'!$C$9:$C$108,0)),"")&lt;&gt;"Amber"),E987="BLD-TIMBER",AND(U987="Building equipment",OR(E987="BLD-WATER",E987="BLD-WASTE",E987="BLD-LAND")),AND(U987="Building renovation",E987="BLD-LAND"))),"N/A","Pending"))))))</x:f>
      </x:c>
      <x:c r="Q987" s="3" t="str">
        <x:f>IF(C987="","",IF(AND(R987="Valid",OR(P987="Pass",P987="N/A")),"Complete","Unresolved"))</x:f>
      </x:c>
      <x:c r="R987" s="9" t="str">
        <x:f>IF(C987="","",IF(OR(COUNTIF($C$9:$C$2008,C987)&lt;&gt;1,COUNTIFS($D$9:$D$2008,D987,$E$9:$E$2008,E987)&lt;&gt;1),"Duplicate test",IF(COUNTIF('Taxonomy'!$C$9:$C$108,D987)&lt;&gt;1,"Assessment key",IF(OR(COUNTIF('Taxonomy Rules'!$C$42:$C$68,E987)&lt;&gt;1,F987&lt;&gt;IFERROR(INDEX('Taxonomy Rules'!$D$42:$D$68,MATCH(E987,'Taxonomy Rules'!$C$42:$C$68,0)),""),NOT(OR(IFERROR(INDEX('Taxonomy Rules'!$G$42:$G$68,MATCH(E987,'Taxonomy Rules'!$C$42:$C$68,0)),"")="All supported routes",IFERROR(INDEX('Taxonomy Rules'!$G$42:$G$68,MATCH(E987,'Taxonomy Rules'!$C$42:$C$68,0)),"")=U987,AND(IFERROR(INDEX('Taxonomy Rules'!$G$42:$G$68,MATCH(E987,'Taxonomy Rules'!$C$42:$C$68,0)),"")="Building routes",OR(U987="Building renovation",U987="New building",U987="Building equipment"))))),"Unexpected test","Valid"))))</x:f>
      </x:c>
      <x:c r="S987" s="9" t="str">
        <x:f>IF(C987="","",IFERROR(INDEX('Taxonomy Rules'!$E$42:$E$68,MATCH(E987,'Taxonomy Rules'!$C$42:$C$68,0)),""))</x:f>
      </x:c>
      <x:c r="T987" s="9" t="str">
        <x:f>IF(C987="","",IFERROR(INDEX('Taxonomy Rules'!$F$42:$F$68,MATCH(E987,'Taxonomy Rules'!$C$42:$C$68,0)),""))</x:f>
      </x:c>
      <x:c r="U987" s="9" t="str">
        <x:f>IF(C987="","",IFERROR(INDEX('Taxonomy'!$G$9:$G$108,MATCH(D987,'Taxonomy'!$C$9:$C$108,0)),""))</x:f>
      </x:c>
    </x:row>
    <x:row r="988" ht="44" customHeight="1">
      <x:c r="A988" s="1"/>
      <x:c r="B988" s="1"/>
      <x:c r="C988" s="8"/>
      <x:c r="D988" s="8"/>
      <x:c r="E988" s="8"/>
      <x:c r="F988" s="8"/>
      <x:c r="G988" s="8"/>
      <x:c r="H988" s="8"/>
      <x:c r="I988" s="8"/>
      <x:c r="J988" s="8"/>
      <x:c r="K988" s="8"/>
      <x:c r="L988" s="8"/>
      <x:c r="M988" s="10"/>
      <x:c r="N988" s="10"/>
      <x:c r="O988" s="8"/>
      <x:c r="P988" s="9" t="str">
        <x:f>IF(C988="","",IF(AND(G988="Applicable",H988="Fail"),"Fail",IF(R988&lt;&gt;"Valid","Pending",IF(OR(I988="",K988="",L988="",K988=L988,NOT(ISNUMBER(M988)),NOT(ISNUMBER(N988)),M988&gt;Settings!$F$8,N988&lt;Settings!$F$8,N988&lt;M988),"Pending",IF(AND(G988="Applicable",H988="Pass"),"Pass",IF(AND(G988="N/A",H988="N/A",J988&lt;&gt;"",OR(E988="CEM-FUELS",E988="CEM-CCS",AND(E988="CEM-PLAN",IFERROR(INDEX('Taxonomy'!$M$9:$M$108,MATCH(D988,'Taxonomy'!$C$9:$C$108,0)),"")&lt;&gt;"Amber"),E988="BLD-TIMBER",AND(U988="Building equipment",OR(E988="BLD-WATER",E988="BLD-WASTE",E988="BLD-LAND")),AND(U988="Building renovation",E988="BLD-LAND"))),"N/A","Pending"))))))</x:f>
      </x:c>
      <x:c r="Q988" s="3" t="str">
        <x:f>IF(C988="","",IF(AND(R988="Valid",OR(P988="Pass",P988="N/A")),"Complete","Unresolved"))</x:f>
      </x:c>
      <x:c r="R988" s="9" t="str">
        <x:f>IF(C988="","",IF(OR(COUNTIF($C$9:$C$2008,C988)&lt;&gt;1,COUNTIFS($D$9:$D$2008,D988,$E$9:$E$2008,E988)&lt;&gt;1),"Duplicate test",IF(COUNTIF('Taxonomy'!$C$9:$C$108,D988)&lt;&gt;1,"Assessment key",IF(OR(COUNTIF('Taxonomy Rules'!$C$42:$C$68,E988)&lt;&gt;1,F988&lt;&gt;IFERROR(INDEX('Taxonomy Rules'!$D$42:$D$68,MATCH(E988,'Taxonomy Rules'!$C$42:$C$68,0)),""),NOT(OR(IFERROR(INDEX('Taxonomy Rules'!$G$42:$G$68,MATCH(E988,'Taxonomy Rules'!$C$42:$C$68,0)),"")="All supported routes",IFERROR(INDEX('Taxonomy Rules'!$G$42:$G$68,MATCH(E988,'Taxonomy Rules'!$C$42:$C$68,0)),"")=U988,AND(IFERROR(INDEX('Taxonomy Rules'!$G$42:$G$68,MATCH(E988,'Taxonomy Rules'!$C$42:$C$68,0)),"")="Building routes",OR(U988="Building renovation",U988="New building",U988="Building equipment"))))),"Unexpected test","Valid"))))</x:f>
      </x:c>
      <x:c r="S988" s="9" t="str">
        <x:f>IF(C988="","",IFERROR(INDEX('Taxonomy Rules'!$E$42:$E$68,MATCH(E988,'Taxonomy Rules'!$C$42:$C$68,0)),""))</x:f>
      </x:c>
      <x:c r="T988" s="9" t="str">
        <x:f>IF(C988="","",IFERROR(INDEX('Taxonomy Rules'!$F$42:$F$68,MATCH(E988,'Taxonomy Rules'!$C$42:$C$68,0)),""))</x:f>
      </x:c>
      <x:c r="U988" s="9" t="str">
        <x:f>IF(C988="","",IFERROR(INDEX('Taxonomy'!$G$9:$G$108,MATCH(D988,'Taxonomy'!$C$9:$C$108,0)),""))</x:f>
      </x:c>
    </x:row>
    <x:row r="989" ht="44" customHeight="1">
      <x:c r="A989" s="1"/>
      <x:c r="B989" s="1"/>
      <x:c r="C989" s="8"/>
      <x:c r="D989" s="8"/>
      <x:c r="E989" s="8"/>
      <x:c r="F989" s="8"/>
      <x:c r="G989" s="8"/>
      <x:c r="H989" s="8"/>
      <x:c r="I989" s="8"/>
      <x:c r="J989" s="8"/>
      <x:c r="K989" s="8"/>
      <x:c r="L989" s="8"/>
      <x:c r="M989" s="10"/>
      <x:c r="N989" s="10"/>
      <x:c r="O989" s="8"/>
      <x:c r="P989" s="9" t="str">
        <x:f>IF(C989="","",IF(AND(G989="Applicable",H989="Fail"),"Fail",IF(R989&lt;&gt;"Valid","Pending",IF(OR(I989="",K989="",L989="",K989=L989,NOT(ISNUMBER(M989)),NOT(ISNUMBER(N989)),M989&gt;Settings!$F$8,N989&lt;Settings!$F$8,N989&lt;M989),"Pending",IF(AND(G989="Applicable",H989="Pass"),"Pass",IF(AND(G989="N/A",H989="N/A",J989&lt;&gt;"",OR(E989="CEM-FUELS",E989="CEM-CCS",AND(E989="CEM-PLAN",IFERROR(INDEX('Taxonomy'!$M$9:$M$108,MATCH(D989,'Taxonomy'!$C$9:$C$108,0)),"")&lt;&gt;"Amber"),E989="BLD-TIMBER",AND(U989="Building equipment",OR(E989="BLD-WATER",E989="BLD-WASTE",E989="BLD-LAND")),AND(U989="Building renovation",E989="BLD-LAND"))),"N/A","Pending"))))))</x:f>
      </x:c>
      <x:c r="Q989" s="3" t="str">
        <x:f>IF(C989="","",IF(AND(R989="Valid",OR(P989="Pass",P989="N/A")),"Complete","Unresolved"))</x:f>
      </x:c>
      <x:c r="R989" s="9" t="str">
        <x:f>IF(C989="","",IF(OR(COUNTIF($C$9:$C$2008,C989)&lt;&gt;1,COUNTIFS($D$9:$D$2008,D989,$E$9:$E$2008,E989)&lt;&gt;1),"Duplicate test",IF(COUNTIF('Taxonomy'!$C$9:$C$108,D989)&lt;&gt;1,"Assessment key",IF(OR(COUNTIF('Taxonomy Rules'!$C$42:$C$68,E989)&lt;&gt;1,F989&lt;&gt;IFERROR(INDEX('Taxonomy Rules'!$D$42:$D$68,MATCH(E989,'Taxonomy Rules'!$C$42:$C$68,0)),""),NOT(OR(IFERROR(INDEX('Taxonomy Rules'!$G$42:$G$68,MATCH(E989,'Taxonomy Rules'!$C$42:$C$68,0)),"")="All supported routes",IFERROR(INDEX('Taxonomy Rules'!$G$42:$G$68,MATCH(E989,'Taxonomy Rules'!$C$42:$C$68,0)),"")=U989,AND(IFERROR(INDEX('Taxonomy Rules'!$G$42:$G$68,MATCH(E989,'Taxonomy Rules'!$C$42:$C$68,0)),"")="Building routes",OR(U989="Building renovation",U989="New building",U989="Building equipment"))))),"Unexpected test","Valid"))))</x:f>
      </x:c>
      <x:c r="S989" s="9" t="str">
        <x:f>IF(C989="","",IFERROR(INDEX('Taxonomy Rules'!$E$42:$E$68,MATCH(E989,'Taxonomy Rules'!$C$42:$C$68,0)),""))</x:f>
      </x:c>
      <x:c r="T989" s="9" t="str">
        <x:f>IF(C989="","",IFERROR(INDEX('Taxonomy Rules'!$F$42:$F$68,MATCH(E989,'Taxonomy Rules'!$C$42:$C$68,0)),""))</x:f>
      </x:c>
      <x:c r="U989" s="9" t="str">
        <x:f>IF(C989="","",IFERROR(INDEX('Taxonomy'!$G$9:$G$108,MATCH(D989,'Taxonomy'!$C$9:$C$108,0)),""))</x:f>
      </x:c>
    </x:row>
    <x:row r="990" ht="44" customHeight="1">
      <x:c r="A990" s="1"/>
      <x:c r="B990" s="1"/>
      <x:c r="C990" s="8"/>
      <x:c r="D990" s="8"/>
      <x:c r="E990" s="8"/>
      <x:c r="F990" s="8"/>
      <x:c r="G990" s="8"/>
      <x:c r="H990" s="8"/>
      <x:c r="I990" s="8"/>
      <x:c r="J990" s="8"/>
      <x:c r="K990" s="8"/>
      <x:c r="L990" s="8"/>
      <x:c r="M990" s="10"/>
      <x:c r="N990" s="10"/>
      <x:c r="O990" s="8"/>
      <x:c r="P990" s="9" t="str">
        <x:f>IF(C990="","",IF(AND(G990="Applicable",H990="Fail"),"Fail",IF(R990&lt;&gt;"Valid","Pending",IF(OR(I990="",K990="",L990="",K990=L990,NOT(ISNUMBER(M990)),NOT(ISNUMBER(N990)),M990&gt;Settings!$F$8,N990&lt;Settings!$F$8,N990&lt;M990),"Pending",IF(AND(G990="Applicable",H990="Pass"),"Pass",IF(AND(G990="N/A",H990="N/A",J990&lt;&gt;"",OR(E990="CEM-FUELS",E990="CEM-CCS",AND(E990="CEM-PLAN",IFERROR(INDEX('Taxonomy'!$M$9:$M$108,MATCH(D990,'Taxonomy'!$C$9:$C$108,0)),"")&lt;&gt;"Amber"),E990="BLD-TIMBER",AND(U990="Building equipment",OR(E990="BLD-WATER",E990="BLD-WASTE",E990="BLD-LAND")),AND(U990="Building renovation",E990="BLD-LAND"))),"N/A","Pending"))))))</x:f>
      </x:c>
      <x:c r="Q990" s="3" t="str">
        <x:f>IF(C990="","",IF(AND(R990="Valid",OR(P990="Pass",P990="N/A")),"Complete","Unresolved"))</x:f>
      </x:c>
      <x:c r="R990" s="9" t="str">
        <x:f>IF(C990="","",IF(OR(COUNTIF($C$9:$C$2008,C990)&lt;&gt;1,COUNTIFS($D$9:$D$2008,D990,$E$9:$E$2008,E990)&lt;&gt;1),"Duplicate test",IF(COUNTIF('Taxonomy'!$C$9:$C$108,D990)&lt;&gt;1,"Assessment key",IF(OR(COUNTIF('Taxonomy Rules'!$C$42:$C$68,E990)&lt;&gt;1,F990&lt;&gt;IFERROR(INDEX('Taxonomy Rules'!$D$42:$D$68,MATCH(E990,'Taxonomy Rules'!$C$42:$C$68,0)),""),NOT(OR(IFERROR(INDEX('Taxonomy Rules'!$G$42:$G$68,MATCH(E990,'Taxonomy Rules'!$C$42:$C$68,0)),"")="All supported routes",IFERROR(INDEX('Taxonomy Rules'!$G$42:$G$68,MATCH(E990,'Taxonomy Rules'!$C$42:$C$68,0)),"")=U990,AND(IFERROR(INDEX('Taxonomy Rules'!$G$42:$G$68,MATCH(E990,'Taxonomy Rules'!$C$42:$C$68,0)),"")="Building routes",OR(U990="Building renovation",U990="New building",U990="Building equipment"))))),"Unexpected test","Valid"))))</x:f>
      </x:c>
      <x:c r="S990" s="9" t="str">
        <x:f>IF(C990="","",IFERROR(INDEX('Taxonomy Rules'!$E$42:$E$68,MATCH(E990,'Taxonomy Rules'!$C$42:$C$68,0)),""))</x:f>
      </x:c>
      <x:c r="T990" s="9" t="str">
        <x:f>IF(C990="","",IFERROR(INDEX('Taxonomy Rules'!$F$42:$F$68,MATCH(E990,'Taxonomy Rules'!$C$42:$C$68,0)),""))</x:f>
      </x:c>
      <x:c r="U990" s="9" t="str">
        <x:f>IF(C990="","",IFERROR(INDEX('Taxonomy'!$G$9:$G$108,MATCH(D990,'Taxonomy'!$C$9:$C$108,0)),""))</x:f>
      </x:c>
    </x:row>
    <x:row r="991" ht="44" customHeight="1">
      <x:c r="A991" s="1"/>
      <x:c r="B991" s="1"/>
      <x:c r="C991" s="8"/>
      <x:c r="D991" s="8"/>
      <x:c r="E991" s="8"/>
      <x:c r="F991" s="8"/>
      <x:c r="G991" s="8"/>
      <x:c r="H991" s="8"/>
      <x:c r="I991" s="8"/>
      <x:c r="J991" s="8"/>
      <x:c r="K991" s="8"/>
      <x:c r="L991" s="8"/>
      <x:c r="M991" s="10"/>
      <x:c r="N991" s="10"/>
      <x:c r="O991" s="8"/>
      <x:c r="P991" s="9" t="str">
        <x:f>IF(C991="","",IF(AND(G991="Applicable",H991="Fail"),"Fail",IF(R991&lt;&gt;"Valid","Pending",IF(OR(I991="",K991="",L991="",K991=L991,NOT(ISNUMBER(M991)),NOT(ISNUMBER(N991)),M991&gt;Settings!$F$8,N991&lt;Settings!$F$8,N991&lt;M991),"Pending",IF(AND(G991="Applicable",H991="Pass"),"Pass",IF(AND(G991="N/A",H991="N/A",J991&lt;&gt;"",OR(E991="CEM-FUELS",E991="CEM-CCS",AND(E991="CEM-PLAN",IFERROR(INDEX('Taxonomy'!$M$9:$M$108,MATCH(D991,'Taxonomy'!$C$9:$C$108,0)),"")&lt;&gt;"Amber"),E991="BLD-TIMBER",AND(U991="Building equipment",OR(E991="BLD-WATER",E991="BLD-WASTE",E991="BLD-LAND")),AND(U991="Building renovation",E991="BLD-LAND"))),"N/A","Pending"))))))</x:f>
      </x:c>
      <x:c r="Q991" s="3" t="str">
        <x:f>IF(C991="","",IF(AND(R991="Valid",OR(P991="Pass",P991="N/A")),"Complete","Unresolved"))</x:f>
      </x:c>
      <x:c r="R991" s="9" t="str">
        <x:f>IF(C991="","",IF(OR(COUNTIF($C$9:$C$2008,C991)&lt;&gt;1,COUNTIFS($D$9:$D$2008,D991,$E$9:$E$2008,E991)&lt;&gt;1),"Duplicate test",IF(COUNTIF('Taxonomy'!$C$9:$C$108,D991)&lt;&gt;1,"Assessment key",IF(OR(COUNTIF('Taxonomy Rules'!$C$42:$C$68,E991)&lt;&gt;1,F991&lt;&gt;IFERROR(INDEX('Taxonomy Rules'!$D$42:$D$68,MATCH(E991,'Taxonomy Rules'!$C$42:$C$68,0)),""),NOT(OR(IFERROR(INDEX('Taxonomy Rules'!$G$42:$G$68,MATCH(E991,'Taxonomy Rules'!$C$42:$C$68,0)),"")="All supported routes",IFERROR(INDEX('Taxonomy Rules'!$G$42:$G$68,MATCH(E991,'Taxonomy Rules'!$C$42:$C$68,0)),"")=U991,AND(IFERROR(INDEX('Taxonomy Rules'!$G$42:$G$68,MATCH(E991,'Taxonomy Rules'!$C$42:$C$68,0)),"")="Building routes",OR(U991="Building renovation",U991="New building",U991="Building equipment"))))),"Unexpected test","Valid"))))</x:f>
      </x:c>
      <x:c r="S991" s="9" t="str">
        <x:f>IF(C991="","",IFERROR(INDEX('Taxonomy Rules'!$E$42:$E$68,MATCH(E991,'Taxonomy Rules'!$C$42:$C$68,0)),""))</x:f>
      </x:c>
      <x:c r="T991" s="9" t="str">
        <x:f>IF(C991="","",IFERROR(INDEX('Taxonomy Rules'!$F$42:$F$68,MATCH(E991,'Taxonomy Rules'!$C$42:$C$68,0)),""))</x:f>
      </x:c>
      <x:c r="U991" s="9" t="str">
        <x:f>IF(C991="","",IFERROR(INDEX('Taxonomy'!$G$9:$G$108,MATCH(D991,'Taxonomy'!$C$9:$C$108,0)),""))</x:f>
      </x:c>
    </x:row>
    <x:row r="992" ht="44" customHeight="1">
      <x:c r="A992" s="1"/>
      <x:c r="B992" s="1"/>
      <x:c r="C992" s="8"/>
      <x:c r="D992" s="8"/>
      <x:c r="E992" s="8"/>
      <x:c r="F992" s="8"/>
      <x:c r="G992" s="8"/>
      <x:c r="H992" s="8"/>
      <x:c r="I992" s="8"/>
      <x:c r="J992" s="8"/>
      <x:c r="K992" s="8"/>
      <x:c r="L992" s="8"/>
      <x:c r="M992" s="10"/>
      <x:c r="N992" s="10"/>
      <x:c r="O992" s="8"/>
      <x:c r="P992" s="9" t="str">
        <x:f>IF(C992="","",IF(AND(G992="Applicable",H992="Fail"),"Fail",IF(R992&lt;&gt;"Valid","Pending",IF(OR(I992="",K992="",L992="",K992=L992,NOT(ISNUMBER(M992)),NOT(ISNUMBER(N992)),M992&gt;Settings!$F$8,N992&lt;Settings!$F$8,N992&lt;M992),"Pending",IF(AND(G992="Applicable",H992="Pass"),"Pass",IF(AND(G992="N/A",H992="N/A",J992&lt;&gt;"",OR(E992="CEM-FUELS",E992="CEM-CCS",AND(E992="CEM-PLAN",IFERROR(INDEX('Taxonomy'!$M$9:$M$108,MATCH(D992,'Taxonomy'!$C$9:$C$108,0)),"")&lt;&gt;"Amber"),E992="BLD-TIMBER",AND(U992="Building equipment",OR(E992="BLD-WATER",E992="BLD-WASTE",E992="BLD-LAND")),AND(U992="Building renovation",E992="BLD-LAND"))),"N/A","Pending"))))))</x:f>
      </x:c>
      <x:c r="Q992" s="3" t="str">
        <x:f>IF(C992="","",IF(AND(R992="Valid",OR(P992="Pass",P992="N/A")),"Complete","Unresolved"))</x:f>
      </x:c>
      <x:c r="R992" s="9" t="str">
        <x:f>IF(C992="","",IF(OR(COUNTIF($C$9:$C$2008,C992)&lt;&gt;1,COUNTIFS($D$9:$D$2008,D992,$E$9:$E$2008,E992)&lt;&gt;1),"Duplicate test",IF(COUNTIF('Taxonomy'!$C$9:$C$108,D992)&lt;&gt;1,"Assessment key",IF(OR(COUNTIF('Taxonomy Rules'!$C$42:$C$68,E992)&lt;&gt;1,F992&lt;&gt;IFERROR(INDEX('Taxonomy Rules'!$D$42:$D$68,MATCH(E992,'Taxonomy Rules'!$C$42:$C$68,0)),""),NOT(OR(IFERROR(INDEX('Taxonomy Rules'!$G$42:$G$68,MATCH(E992,'Taxonomy Rules'!$C$42:$C$68,0)),"")="All supported routes",IFERROR(INDEX('Taxonomy Rules'!$G$42:$G$68,MATCH(E992,'Taxonomy Rules'!$C$42:$C$68,0)),"")=U992,AND(IFERROR(INDEX('Taxonomy Rules'!$G$42:$G$68,MATCH(E992,'Taxonomy Rules'!$C$42:$C$68,0)),"")="Building routes",OR(U992="Building renovation",U992="New building",U992="Building equipment"))))),"Unexpected test","Valid"))))</x:f>
      </x:c>
      <x:c r="S992" s="9" t="str">
        <x:f>IF(C992="","",IFERROR(INDEX('Taxonomy Rules'!$E$42:$E$68,MATCH(E992,'Taxonomy Rules'!$C$42:$C$68,0)),""))</x:f>
      </x:c>
      <x:c r="T992" s="9" t="str">
        <x:f>IF(C992="","",IFERROR(INDEX('Taxonomy Rules'!$F$42:$F$68,MATCH(E992,'Taxonomy Rules'!$C$42:$C$68,0)),""))</x:f>
      </x:c>
      <x:c r="U992" s="9" t="str">
        <x:f>IF(C992="","",IFERROR(INDEX('Taxonomy'!$G$9:$G$108,MATCH(D992,'Taxonomy'!$C$9:$C$108,0)),""))</x:f>
      </x:c>
    </x:row>
    <x:row r="993" ht="44" customHeight="1">
      <x:c r="A993" s="1"/>
      <x:c r="B993" s="1"/>
      <x:c r="C993" s="8"/>
      <x:c r="D993" s="8"/>
      <x:c r="E993" s="8"/>
      <x:c r="F993" s="8"/>
      <x:c r="G993" s="8"/>
      <x:c r="H993" s="8"/>
      <x:c r="I993" s="8"/>
      <x:c r="J993" s="8"/>
      <x:c r="K993" s="8"/>
      <x:c r="L993" s="8"/>
      <x:c r="M993" s="10"/>
      <x:c r="N993" s="10"/>
      <x:c r="O993" s="8"/>
      <x:c r="P993" s="9" t="str">
        <x:f>IF(C993="","",IF(AND(G993="Applicable",H993="Fail"),"Fail",IF(R993&lt;&gt;"Valid","Pending",IF(OR(I993="",K993="",L993="",K993=L993,NOT(ISNUMBER(M993)),NOT(ISNUMBER(N993)),M993&gt;Settings!$F$8,N993&lt;Settings!$F$8,N993&lt;M993),"Pending",IF(AND(G993="Applicable",H993="Pass"),"Pass",IF(AND(G993="N/A",H993="N/A",J993&lt;&gt;"",OR(E993="CEM-FUELS",E993="CEM-CCS",AND(E993="CEM-PLAN",IFERROR(INDEX('Taxonomy'!$M$9:$M$108,MATCH(D993,'Taxonomy'!$C$9:$C$108,0)),"")&lt;&gt;"Amber"),E993="BLD-TIMBER",AND(U993="Building equipment",OR(E993="BLD-WATER",E993="BLD-WASTE",E993="BLD-LAND")),AND(U993="Building renovation",E993="BLD-LAND"))),"N/A","Pending"))))))</x:f>
      </x:c>
      <x:c r="Q993" s="3" t="str">
        <x:f>IF(C993="","",IF(AND(R993="Valid",OR(P993="Pass",P993="N/A")),"Complete","Unresolved"))</x:f>
      </x:c>
      <x:c r="R993" s="9" t="str">
        <x:f>IF(C993="","",IF(OR(COUNTIF($C$9:$C$2008,C993)&lt;&gt;1,COUNTIFS($D$9:$D$2008,D993,$E$9:$E$2008,E993)&lt;&gt;1),"Duplicate test",IF(COUNTIF('Taxonomy'!$C$9:$C$108,D993)&lt;&gt;1,"Assessment key",IF(OR(COUNTIF('Taxonomy Rules'!$C$42:$C$68,E993)&lt;&gt;1,F993&lt;&gt;IFERROR(INDEX('Taxonomy Rules'!$D$42:$D$68,MATCH(E993,'Taxonomy Rules'!$C$42:$C$68,0)),""),NOT(OR(IFERROR(INDEX('Taxonomy Rules'!$G$42:$G$68,MATCH(E993,'Taxonomy Rules'!$C$42:$C$68,0)),"")="All supported routes",IFERROR(INDEX('Taxonomy Rules'!$G$42:$G$68,MATCH(E993,'Taxonomy Rules'!$C$42:$C$68,0)),"")=U993,AND(IFERROR(INDEX('Taxonomy Rules'!$G$42:$G$68,MATCH(E993,'Taxonomy Rules'!$C$42:$C$68,0)),"")="Building routes",OR(U993="Building renovation",U993="New building",U993="Building equipment"))))),"Unexpected test","Valid"))))</x:f>
      </x:c>
      <x:c r="S993" s="9" t="str">
        <x:f>IF(C993="","",IFERROR(INDEX('Taxonomy Rules'!$E$42:$E$68,MATCH(E993,'Taxonomy Rules'!$C$42:$C$68,0)),""))</x:f>
      </x:c>
      <x:c r="T993" s="9" t="str">
        <x:f>IF(C993="","",IFERROR(INDEX('Taxonomy Rules'!$F$42:$F$68,MATCH(E993,'Taxonomy Rules'!$C$42:$C$68,0)),""))</x:f>
      </x:c>
      <x:c r="U993" s="9" t="str">
        <x:f>IF(C993="","",IFERROR(INDEX('Taxonomy'!$G$9:$G$108,MATCH(D993,'Taxonomy'!$C$9:$C$108,0)),""))</x:f>
      </x:c>
    </x:row>
    <x:row r="994" ht="44" customHeight="1">
      <x:c r="A994" s="1"/>
      <x:c r="B994" s="1"/>
      <x:c r="C994" s="8"/>
      <x:c r="D994" s="8"/>
      <x:c r="E994" s="8"/>
      <x:c r="F994" s="8"/>
      <x:c r="G994" s="8"/>
      <x:c r="H994" s="8"/>
      <x:c r="I994" s="8"/>
      <x:c r="J994" s="8"/>
      <x:c r="K994" s="8"/>
      <x:c r="L994" s="8"/>
      <x:c r="M994" s="10"/>
      <x:c r="N994" s="10"/>
      <x:c r="O994" s="8"/>
      <x:c r="P994" s="9" t="str">
        <x:f>IF(C994="","",IF(AND(G994="Applicable",H994="Fail"),"Fail",IF(R994&lt;&gt;"Valid","Pending",IF(OR(I994="",K994="",L994="",K994=L994,NOT(ISNUMBER(M994)),NOT(ISNUMBER(N994)),M994&gt;Settings!$F$8,N994&lt;Settings!$F$8,N994&lt;M994),"Pending",IF(AND(G994="Applicable",H994="Pass"),"Pass",IF(AND(G994="N/A",H994="N/A",J994&lt;&gt;"",OR(E994="CEM-FUELS",E994="CEM-CCS",AND(E994="CEM-PLAN",IFERROR(INDEX('Taxonomy'!$M$9:$M$108,MATCH(D994,'Taxonomy'!$C$9:$C$108,0)),"")&lt;&gt;"Amber"),E994="BLD-TIMBER",AND(U994="Building equipment",OR(E994="BLD-WATER",E994="BLD-WASTE",E994="BLD-LAND")),AND(U994="Building renovation",E994="BLD-LAND"))),"N/A","Pending"))))))</x:f>
      </x:c>
      <x:c r="Q994" s="3" t="str">
        <x:f>IF(C994="","",IF(AND(R994="Valid",OR(P994="Pass",P994="N/A")),"Complete","Unresolved"))</x:f>
      </x:c>
      <x:c r="R994" s="9" t="str">
        <x:f>IF(C994="","",IF(OR(COUNTIF($C$9:$C$2008,C994)&lt;&gt;1,COUNTIFS($D$9:$D$2008,D994,$E$9:$E$2008,E994)&lt;&gt;1),"Duplicate test",IF(COUNTIF('Taxonomy'!$C$9:$C$108,D994)&lt;&gt;1,"Assessment key",IF(OR(COUNTIF('Taxonomy Rules'!$C$42:$C$68,E994)&lt;&gt;1,F994&lt;&gt;IFERROR(INDEX('Taxonomy Rules'!$D$42:$D$68,MATCH(E994,'Taxonomy Rules'!$C$42:$C$68,0)),""),NOT(OR(IFERROR(INDEX('Taxonomy Rules'!$G$42:$G$68,MATCH(E994,'Taxonomy Rules'!$C$42:$C$68,0)),"")="All supported routes",IFERROR(INDEX('Taxonomy Rules'!$G$42:$G$68,MATCH(E994,'Taxonomy Rules'!$C$42:$C$68,0)),"")=U994,AND(IFERROR(INDEX('Taxonomy Rules'!$G$42:$G$68,MATCH(E994,'Taxonomy Rules'!$C$42:$C$68,0)),"")="Building routes",OR(U994="Building renovation",U994="New building",U994="Building equipment"))))),"Unexpected test","Valid"))))</x:f>
      </x:c>
      <x:c r="S994" s="9" t="str">
        <x:f>IF(C994="","",IFERROR(INDEX('Taxonomy Rules'!$E$42:$E$68,MATCH(E994,'Taxonomy Rules'!$C$42:$C$68,0)),""))</x:f>
      </x:c>
      <x:c r="T994" s="9" t="str">
        <x:f>IF(C994="","",IFERROR(INDEX('Taxonomy Rules'!$F$42:$F$68,MATCH(E994,'Taxonomy Rules'!$C$42:$C$68,0)),""))</x:f>
      </x:c>
      <x:c r="U994" s="9" t="str">
        <x:f>IF(C994="","",IFERROR(INDEX('Taxonomy'!$G$9:$G$108,MATCH(D994,'Taxonomy'!$C$9:$C$108,0)),""))</x:f>
      </x:c>
    </x:row>
    <x:row r="995" ht="44" customHeight="1">
      <x:c r="A995" s="1"/>
      <x:c r="B995" s="1"/>
      <x:c r="C995" s="8"/>
      <x:c r="D995" s="8"/>
      <x:c r="E995" s="8"/>
      <x:c r="F995" s="8"/>
      <x:c r="G995" s="8"/>
      <x:c r="H995" s="8"/>
      <x:c r="I995" s="8"/>
      <x:c r="J995" s="8"/>
      <x:c r="K995" s="8"/>
      <x:c r="L995" s="8"/>
      <x:c r="M995" s="10"/>
      <x:c r="N995" s="10"/>
      <x:c r="O995" s="8"/>
      <x:c r="P995" s="9" t="str">
        <x:f>IF(C995="","",IF(AND(G995="Applicable",H995="Fail"),"Fail",IF(R995&lt;&gt;"Valid","Pending",IF(OR(I995="",K995="",L995="",K995=L995,NOT(ISNUMBER(M995)),NOT(ISNUMBER(N995)),M995&gt;Settings!$F$8,N995&lt;Settings!$F$8,N995&lt;M995),"Pending",IF(AND(G995="Applicable",H995="Pass"),"Pass",IF(AND(G995="N/A",H995="N/A",J995&lt;&gt;"",OR(E995="CEM-FUELS",E995="CEM-CCS",AND(E995="CEM-PLAN",IFERROR(INDEX('Taxonomy'!$M$9:$M$108,MATCH(D995,'Taxonomy'!$C$9:$C$108,0)),"")&lt;&gt;"Amber"),E995="BLD-TIMBER",AND(U995="Building equipment",OR(E995="BLD-WATER",E995="BLD-WASTE",E995="BLD-LAND")),AND(U995="Building renovation",E995="BLD-LAND"))),"N/A","Pending"))))))</x:f>
      </x:c>
      <x:c r="Q995" s="3" t="str">
        <x:f>IF(C995="","",IF(AND(R995="Valid",OR(P995="Pass",P995="N/A")),"Complete","Unresolved"))</x:f>
      </x:c>
      <x:c r="R995" s="9" t="str">
        <x:f>IF(C995="","",IF(OR(COUNTIF($C$9:$C$2008,C995)&lt;&gt;1,COUNTIFS($D$9:$D$2008,D995,$E$9:$E$2008,E995)&lt;&gt;1),"Duplicate test",IF(COUNTIF('Taxonomy'!$C$9:$C$108,D995)&lt;&gt;1,"Assessment key",IF(OR(COUNTIF('Taxonomy Rules'!$C$42:$C$68,E995)&lt;&gt;1,F995&lt;&gt;IFERROR(INDEX('Taxonomy Rules'!$D$42:$D$68,MATCH(E995,'Taxonomy Rules'!$C$42:$C$68,0)),""),NOT(OR(IFERROR(INDEX('Taxonomy Rules'!$G$42:$G$68,MATCH(E995,'Taxonomy Rules'!$C$42:$C$68,0)),"")="All supported routes",IFERROR(INDEX('Taxonomy Rules'!$G$42:$G$68,MATCH(E995,'Taxonomy Rules'!$C$42:$C$68,0)),"")=U995,AND(IFERROR(INDEX('Taxonomy Rules'!$G$42:$G$68,MATCH(E995,'Taxonomy Rules'!$C$42:$C$68,0)),"")="Building routes",OR(U995="Building renovation",U995="New building",U995="Building equipment"))))),"Unexpected test","Valid"))))</x:f>
      </x:c>
      <x:c r="S995" s="9" t="str">
        <x:f>IF(C995="","",IFERROR(INDEX('Taxonomy Rules'!$E$42:$E$68,MATCH(E995,'Taxonomy Rules'!$C$42:$C$68,0)),""))</x:f>
      </x:c>
      <x:c r="T995" s="9" t="str">
        <x:f>IF(C995="","",IFERROR(INDEX('Taxonomy Rules'!$F$42:$F$68,MATCH(E995,'Taxonomy Rules'!$C$42:$C$68,0)),""))</x:f>
      </x:c>
      <x:c r="U995" s="9" t="str">
        <x:f>IF(C995="","",IFERROR(INDEX('Taxonomy'!$G$9:$G$108,MATCH(D995,'Taxonomy'!$C$9:$C$108,0)),""))</x:f>
      </x:c>
    </x:row>
    <x:row r="996" ht="44" customHeight="1">
      <x:c r="A996" s="1"/>
      <x:c r="B996" s="1"/>
      <x:c r="C996" s="8"/>
      <x:c r="D996" s="8"/>
      <x:c r="E996" s="8"/>
      <x:c r="F996" s="8"/>
      <x:c r="G996" s="8"/>
      <x:c r="H996" s="8"/>
      <x:c r="I996" s="8"/>
      <x:c r="J996" s="8"/>
      <x:c r="K996" s="8"/>
      <x:c r="L996" s="8"/>
      <x:c r="M996" s="10"/>
      <x:c r="N996" s="10"/>
      <x:c r="O996" s="8"/>
      <x:c r="P996" s="9" t="str">
        <x:f>IF(C996="","",IF(AND(G996="Applicable",H996="Fail"),"Fail",IF(R996&lt;&gt;"Valid","Pending",IF(OR(I996="",K996="",L996="",K996=L996,NOT(ISNUMBER(M996)),NOT(ISNUMBER(N996)),M996&gt;Settings!$F$8,N996&lt;Settings!$F$8,N996&lt;M996),"Pending",IF(AND(G996="Applicable",H996="Pass"),"Pass",IF(AND(G996="N/A",H996="N/A",J996&lt;&gt;"",OR(E996="CEM-FUELS",E996="CEM-CCS",AND(E996="CEM-PLAN",IFERROR(INDEX('Taxonomy'!$M$9:$M$108,MATCH(D996,'Taxonomy'!$C$9:$C$108,0)),"")&lt;&gt;"Amber"),E996="BLD-TIMBER",AND(U996="Building equipment",OR(E996="BLD-WATER",E996="BLD-WASTE",E996="BLD-LAND")),AND(U996="Building renovation",E996="BLD-LAND"))),"N/A","Pending"))))))</x:f>
      </x:c>
      <x:c r="Q996" s="3" t="str">
        <x:f>IF(C996="","",IF(AND(R996="Valid",OR(P996="Pass",P996="N/A")),"Complete","Unresolved"))</x:f>
      </x:c>
      <x:c r="R996" s="9" t="str">
        <x:f>IF(C996="","",IF(OR(COUNTIF($C$9:$C$2008,C996)&lt;&gt;1,COUNTIFS($D$9:$D$2008,D996,$E$9:$E$2008,E996)&lt;&gt;1),"Duplicate test",IF(COUNTIF('Taxonomy'!$C$9:$C$108,D996)&lt;&gt;1,"Assessment key",IF(OR(COUNTIF('Taxonomy Rules'!$C$42:$C$68,E996)&lt;&gt;1,F996&lt;&gt;IFERROR(INDEX('Taxonomy Rules'!$D$42:$D$68,MATCH(E996,'Taxonomy Rules'!$C$42:$C$68,0)),""),NOT(OR(IFERROR(INDEX('Taxonomy Rules'!$G$42:$G$68,MATCH(E996,'Taxonomy Rules'!$C$42:$C$68,0)),"")="All supported routes",IFERROR(INDEX('Taxonomy Rules'!$G$42:$G$68,MATCH(E996,'Taxonomy Rules'!$C$42:$C$68,0)),"")=U996,AND(IFERROR(INDEX('Taxonomy Rules'!$G$42:$G$68,MATCH(E996,'Taxonomy Rules'!$C$42:$C$68,0)),"")="Building routes",OR(U996="Building renovation",U996="New building",U996="Building equipment"))))),"Unexpected test","Valid"))))</x:f>
      </x:c>
      <x:c r="S996" s="9" t="str">
        <x:f>IF(C996="","",IFERROR(INDEX('Taxonomy Rules'!$E$42:$E$68,MATCH(E996,'Taxonomy Rules'!$C$42:$C$68,0)),""))</x:f>
      </x:c>
      <x:c r="T996" s="9" t="str">
        <x:f>IF(C996="","",IFERROR(INDEX('Taxonomy Rules'!$F$42:$F$68,MATCH(E996,'Taxonomy Rules'!$C$42:$C$68,0)),""))</x:f>
      </x:c>
      <x:c r="U996" s="9" t="str">
        <x:f>IF(C996="","",IFERROR(INDEX('Taxonomy'!$G$9:$G$108,MATCH(D996,'Taxonomy'!$C$9:$C$108,0)),""))</x:f>
      </x:c>
    </x:row>
    <x:row r="997" ht="44" customHeight="1">
      <x:c r="A997" s="1"/>
      <x:c r="B997" s="1"/>
      <x:c r="C997" s="8"/>
      <x:c r="D997" s="8"/>
      <x:c r="E997" s="8"/>
      <x:c r="F997" s="8"/>
      <x:c r="G997" s="8"/>
      <x:c r="H997" s="8"/>
      <x:c r="I997" s="8"/>
      <x:c r="J997" s="8"/>
      <x:c r="K997" s="8"/>
      <x:c r="L997" s="8"/>
      <x:c r="M997" s="10"/>
      <x:c r="N997" s="10"/>
      <x:c r="O997" s="8"/>
      <x:c r="P997" s="9" t="str">
        <x:f>IF(C997="","",IF(AND(G997="Applicable",H997="Fail"),"Fail",IF(R997&lt;&gt;"Valid","Pending",IF(OR(I997="",K997="",L997="",K997=L997,NOT(ISNUMBER(M997)),NOT(ISNUMBER(N997)),M997&gt;Settings!$F$8,N997&lt;Settings!$F$8,N997&lt;M997),"Pending",IF(AND(G997="Applicable",H997="Pass"),"Pass",IF(AND(G997="N/A",H997="N/A",J997&lt;&gt;"",OR(E997="CEM-FUELS",E997="CEM-CCS",AND(E997="CEM-PLAN",IFERROR(INDEX('Taxonomy'!$M$9:$M$108,MATCH(D997,'Taxonomy'!$C$9:$C$108,0)),"")&lt;&gt;"Amber"),E997="BLD-TIMBER",AND(U997="Building equipment",OR(E997="BLD-WATER",E997="BLD-WASTE",E997="BLD-LAND")),AND(U997="Building renovation",E997="BLD-LAND"))),"N/A","Pending"))))))</x:f>
      </x:c>
      <x:c r="Q997" s="3" t="str">
        <x:f>IF(C997="","",IF(AND(R997="Valid",OR(P997="Pass",P997="N/A")),"Complete","Unresolved"))</x:f>
      </x:c>
      <x:c r="R997" s="9" t="str">
        <x:f>IF(C997="","",IF(OR(COUNTIF($C$9:$C$2008,C997)&lt;&gt;1,COUNTIFS($D$9:$D$2008,D997,$E$9:$E$2008,E997)&lt;&gt;1),"Duplicate test",IF(COUNTIF('Taxonomy'!$C$9:$C$108,D997)&lt;&gt;1,"Assessment key",IF(OR(COUNTIF('Taxonomy Rules'!$C$42:$C$68,E997)&lt;&gt;1,F997&lt;&gt;IFERROR(INDEX('Taxonomy Rules'!$D$42:$D$68,MATCH(E997,'Taxonomy Rules'!$C$42:$C$68,0)),""),NOT(OR(IFERROR(INDEX('Taxonomy Rules'!$G$42:$G$68,MATCH(E997,'Taxonomy Rules'!$C$42:$C$68,0)),"")="All supported routes",IFERROR(INDEX('Taxonomy Rules'!$G$42:$G$68,MATCH(E997,'Taxonomy Rules'!$C$42:$C$68,0)),"")=U997,AND(IFERROR(INDEX('Taxonomy Rules'!$G$42:$G$68,MATCH(E997,'Taxonomy Rules'!$C$42:$C$68,0)),"")="Building routes",OR(U997="Building renovation",U997="New building",U997="Building equipment"))))),"Unexpected test","Valid"))))</x:f>
      </x:c>
      <x:c r="S997" s="9" t="str">
        <x:f>IF(C997="","",IFERROR(INDEX('Taxonomy Rules'!$E$42:$E$68,MATCH(E997,'Taxonomy Rules'!$C$42:$C$68,0)),""))</x:f>
      </x:c>
      <x:c r="T997" s="9" t="str">
        <x:f>IF(C997="","",IFERROR(INDEX('Taxonomy Rules'!$F$42:$F$68,MATCH(E997,'Taxonomy Rules'!$C$42:$C$68,0)),""))</x:f>
      </x:c>
      <x:c r="U997" s="9" t="str">
        <x:f>IF(C997="","",IFERROR(INDEX('Taxonomy'!$G$9:$G$108,MATCH(D997,'Taxonomy'!$C$9:$C$108,0)),""))</x:f>
      </x:c>
    </x:row>
    <x:row r="998" ht="44" customHeight="1">
      <x:c r="A998" s="1"/>
      <x:c r="B998" s="1"/>
      <x:c r="C998" s="8"/>
      <x:c r="D998" s="8"/>
      <x:c r="E998" s="8"/>
      <x:c r="F998" s="8"/>
      <x:c r="G998" s="8"/>
      <x:c r="H998" s="8"/>
      <x:c r="I998" s="8"/>
      <x:c r="J998" s="8"/>
      <x:c r="K998" s="8"/>
      <x:c r="L998" s="8"/>
      <x:c r="M998" s="10"/>
      <x:c r="N998" s="10"/>
      <x:c r="O998" s="8"/>
      <x:c r="P998" s="9" t="str">
        <x:f>IF(C998="","",IF(AND(G998="Applicable",H998="Fail"),"Fail",IF(R998&lt;&gt;"Valid","Pending",IF(OR(I998="",K998="",L998="",K998=L998,NOT(ISNUMBER(M998)),NOT(ISNUMBER(N998)),M998&gt;Settings!$F$8,N998&lt;Settings!$F$8,N998&lt;M998),"Pending",IF(AND(G998="Applicable",H998="Pass"),"Pass",IF(AND(G998="N/A",H998="N/A",J998&lt;&gt;"",OR(E998="CEM-FUELS",E998="CEM-CCS",AND(E998="CEM-PLAN",IFERROR(INDEX('Taxonomy'!$M$9:$M$108,MATCH(D998,'Taxonomy'!$C$9:$C$108,0)),"")&lt;&gt;"Amber"),E998="BLD-TIMBER",AND(U998="Building equipment",OR(E998="BLD-WATER",E998="BLD-WASTE",E998="BLD-LAND")),AND(U998="Building renovation",E998="BLD-LAND"))),"N/A","Pending"))))))</x:f>
      </x:c>
      <x:c r="Q998" s="3" t="str">
        <x:f>IF(C998="","",IF(AND(R998="Valid",OR(P998="Pass",P998="N/A")),"Complete","Unresolved"))</x:f>
      </x:c>
      <x:c r="R998" s="9" t="str">
        <x:f>IF(C998="","",IF(OR(COUNTIF($C$9:$C$2008,C998)&lt;&gt;1,COUNTIFS($D$9:$D$2008,D998,$E$9:$E$2008,E998)&lt;&gt;1),"Duplicate test",IF(COUNTIF('Taxonomy'!$C$9:$C$108,D998)&lt;&gt;1,"Assessment key",IF(OR(COUNTIF('Taxonomy Rules'!$C$42:$C$68,E998)&lt;&gt;1,F998&lt;&gt;IFERROR(INDEX('Taxonomy Rules'!$D$42:$D$68,MATCH(E998,'Taxonomy Rules'!$C$42:$C$68,0)),""),NOT(OR(IFERROR(INDEX('Taxonomy Rules'!$G$42:$G$68,MATCH(E998,'Taxonomy Rules'!$C$42:$C$68,0)),"")="All supported routes",IFERROR(INDEX('Taxonomy Rules'!$G$42:$G$68,MATCH(E998,'Taxonomy Rules'!$C$42:$C$68,0)),"")=U998,AND(IFERROR(INDEX('Taxonomy Rules'!$G$42:$G$68,MATCH(E998,'Taxonomy Rules'!$C$42:$C$68,0)),"")="Building routes",OR(U998="Building renovation",U998="New building",U998="Building equipment"))))),"Unexpected test","Valid"))))</x:f>
      </x:c>
      <x:c r="S998" s="9" t="str">
        <x:f>IF(C998="","",IFERROR(INDEX('Taxonomy Rules'!$E$42:$E$68,MATCH(E998,'Taxonomy Rules'!$C$42:$C$68,0)),""))</x:f>
      </x:c>
      <x:c r="T998" s="9" t="str">
        <x:f>IF(C998="","",IFERROR(INDEX('Taxonomy Rules'!$F$42:$F$68,MATCH(E998,'Taxonomy Rules'!$C$42:$C$68,0)),""))</x:f>
      </x:c>
      <x:c r="U998" s="9" t="str">
        <x:f>IF(C998="","",IFERROR(INDEX('Taxonomy'!$G$9:$G$108,MATCH(D998,'Taxonomy'!$C$9:$C$108,0)),""))</x:f>
      </x:c>
    </x:row>
    <x:row r="999" ht="44" customHeight="1">
      <x:c r="A999" s="1"/>
      <x:c r="B999" s="1"/>
      <x:c r="C999" s="8"/>
      <x:c r="D999" s="8"/>
      <x:c r="E999" s="8"/>
      <x:c r="F999" s="8"/>
      <x:c r="G999" s="8"/>
      <x:c r="H999" s="8"/>
      <x:c r="I999" s="8"/>
      <x:c r="J999" s="8"/>
      <x:c r="K999" s="8"/>
      <x:c r="L999" s="8"/>
      <x:c r="M999" s="10"/>
      <x:c r="N999" s="10"/>
      <x:c r="O999" s="8"/>
      <x:c r="P999" s="9" t="str">
        <x:f>IF(C999="","",IF(AND(G999="Applicable",H999="Fail"),"Fail",IF(R999&lt;&gt;"Valid","Pending",IF(OR(I999="",K999="",L999="",K999=L999,NOT(ISNUMBER(M999)),NOT(ISNUMBER(N999)),M999&gt;Settings!$F$8,N999&lt;Settings!$F$8,N999&lt;M999),"Pending",IF(AND(G999="Applicable",H999="Pass"),"Pass",IF(AND(G999="N/A",H999="N/A",J999&lt;&gt;"",OR(E999="CEM-FUELS",E999="CEM-CCS",AND(E999="CEM-PLAN",IFERROR(INDEX('Taxonomy'!$M$9:$M$108,MATCH(D999,'Taxonomy'!$C$9:$C$108,0)),"")&lt;&gt;"Amber"),E999="BLD-TIMBER",AND(U999="Building equipment",OR(E999="BLD-WATER",E999="BLD-WASTE",E999="BLD-LAND")),AND(U999="Building renovation",E999="BLD-LAND"))),"N/A","Pending"))))))</x:f>
      </x:c>
      <x:c r="Q999" s="3" t="str">
        <x:f>IF(C999="","",IF(AND(R999="Valid",OR(P999="Pass",P999="N/A")),"Complete","Unresolved"))</x:f>
      </x:c>
      <x:c r="R999" s="9" t="str">
        <x:f>IF(C999="","",IF(OR(COUNTIF($C$9:$C$2008,C999)&lt;&gt;1,COUNTIFS($D$9:$D$2008,D999,$E$9:$E$2008,E999)&lt;&gt;1),"Duplicate test",IF(COUNTIF('Taxonomy'!$C$9:$C$108,D999)&lt;&gt;1,"Assessment key",IF(OR(COUNTIF('Taxonomy Rules'!$C$42:$C$68,E999)&lt;&gt;1,F999&lt;&gt;IFERROR(INDEX('Taxonomy Rules'!$D$42:$D$68,MATCH(E999,'Taxonomy Rules'!$C$42:$C$68,0)),""),NOT(OR(IFERROR(INDEX('Taxonomy Rules'!$G$42:$G$68,MATCH(E999,'Taxonomy Rules'!$C$42:$C$68,0)),"")="All supported routes",IFERROR(INDEX('Taxonomy Rules'!$G$42:$G$68,MATCH(E999,'Taxonomy Rules'!$C$42:$C$68,0)),"")=U999,AND(IFERROR(INDEX('Taxonomy Rules'!$G$42:$G$68,MATCH(E999,'Taxonomy Rules'!$C$42:$C$68,0)),"")="Building routes",OR(U999="Building renovation",U999="New building",U999="Building equipment"))))),"Unexpected test","Valid"))))</x:f>
      </x:c>
      <x:c r="S999" s="9" t="str">
        <x:f>IF(C999="","",IFERROR(INDEX('Taxonomy Rules'!$E$42:$E$68,MATCH(E999,'Taxonomy Rules'!$C$42:$C$68,0)),""))</x:f>
      </x:c>
      <x:c r="T999" s="9" t="str">
        <x:f>IF(C999="","",IFERROR(INDEX('Taxonomy Rules'!$F$42:$F$68,MATCH(E999,'Taxonomy Rules'!$C$42:$C$68,0)),""))</x:f>
      </x:c>
      <x:c r="U999" s="9" t="str">
        <x:f>IF(C999="","",IFERROR(INDEX('Taxonomy'!$G$9:$G$108,MATCH(D999,'Taxonomy'!$C$9:$C$108,0)),""))</x:f>
      </x:c>
    </x:row>
    <x:row r="1000" ht="44" customHeight="1">
      <x:c r="A1000" s="1"/>
      <x:c r="B1000" s="1"/>
      <x:c r="C1000" s="8"/>
      <x:c r="D1000" s="8"/>
      <x:c r="E1000" s="8"/>
      <x:c r="F1000" s="8"/>
      <x:c r="G1000" s="8"/>
      <x:c r="H1000" s="8"/>
      <x:c r="I1000" s="8"/>
      <x:c r="J1000" s="8"/>
      <x:c r="K1000" s="8"/>
      <x:c r="L1000" s="8"/>
      <x:c r="M1000" s="10"/>
      <x:c r="N1000" s="10"/>
      <x:c r="O1000" s="8"/>
      <x:c r="P1000" s="9" t="str">
        <x:f>IF(C1000="","",IF(AND(G1000="Applicable",H1000="Fail"),"Fail",IF(R1000&lt;&gt;"Valid","Pending",IF(OR(I1000="",K1000="",L1000="",K1000=L1000,NOT(ISNUMBER(M1000)),NOT(ISNUMBER(N1000)),M1000&gt;Settings!$F$8,N1000&lt;Settings!$F$8,N1000&lt;M1000),"Pending",IF(AND(G1000="Applicable",H1000="Pass"),"Pass",IF(AND(G1000="N/A",H1000="N/A",J1000&lt;&gt;"",OR(E1000="CEM-FUELS",E1000="CEM-CCS",AND(E1000="CEM-PLAN",IFERROR(INDEX('Taxonomy'!$M$9:$M$108,MATCH(D1000,'Taxonomy'!$C$9:$C$108,0)),"")&lt;&gt;"Amber"),E1000="BLD-TIMBER",AND(U1000="Building equipment",OR(E1000="BLD-WATER",E1000="BLD-WASTE",E1000="BLD-LAND")),AND(U1000="Building renovation",E1000="BLD-LAND"))),"N/A","Pending"))))))</x:f>
      </x:c>
      <x:c r="Q1000" s="3" t="str">
        <x:f>IF(C1000="","",IF(AND(R1000="Valid",OR(P1000="Pass",P1000="N/A")),"Complete","Unresolved"))</x:f>
      </x:c>
      <x:c r="R1000" s="9" t="str">
        <x:f>IF(C1000="","",IF(OR(COUNTIF($C$9:$C$2008,C1000)&lt;&gt;1,COUNTIFS($D$9:$D$2008,D1000,$E$9:$E$2008,E1000)&lt;&gt;1),"Duplicate test",IF(COUNTIF('Taxonomy'!$C$9:$C$108,D1000)&lt;&gt;1,"Assessment key",IF(OR(COUNTIF('Taxonomy Rules'!$C$42:$C$68,E1000)&lt;&gt;1,F1000&lt;&gt;IFERROR(INDEX('Taxonomy Rules'!$D$42:$D$68,MATCH(E1000,'Taxonomy Rules'!$C$42:$C$68,0)),""),NOT(OR(IFERROR(INDEX('Taxonomy Rules'!$G$42:$G$68,MATCH(E1000,'Taxonomy Rules'!$C$42:$C$68,0)),"")="All supported routes",IFERROR(INDEX('Taxonomy Rules'!$G$42:$G$68,MATCH(E1000,'Taxonomy Rules'!$C$42:$C$68,0)),"")=U1000,AND(IFERROR(INDEX('Taxonomy Rules'!$G$42:$G$68,MATCH(E1000,'Taxonomy Rules'!$C$42:$C$68,0)),"")="Building routes",OR(U1000="Building renovation",U1000="New building",U1000="Building equipment"))))),"Unexpected test","Valid"))))</x:f>
      </x:c>
      <x:c r="S1000" s="9" t="str">
        <x:f>IF(C1000="","",IFERROR(INDEX('Taxonomy Rules'!$E$42:$E$68,MATCH(E1000,'Taxonomy Rules'!$C$42:$C$68,0)),""))</x:f>
      </x:c>
      <x:c r="T1000" s="9" t="str">
        <x:f>IF(C1000="","",IFERROR(INDEX('Taxonomy Rules'!$F$42:$F$68,MATCH(E1000,'Taxonomy Rules'!$C$42:$C$68,0)),""))</x:f>
      </x:c>
      <x:c r="U1000" s="9" t="str">
        <x:f>IF(C1000="","",IFERROR(INDEX('Taxonomy'!$G$9:$G$108,MATCH(D1000,'Taxonomy'!$C$9:$C$108,0)),""))</x:f>
      </x:c>
    </x:row>
    <x:row r="1001" ht="44" customHeight="1">
      <x:c r="A1001" s="1"/>
      <x:c r="B1001" s="1"/>
      <x:c r="C1001" s="8"/>
      <x:c r="D1001" s="8"/>
      <x:c r="E1001" s="8"/>
      <x:c r="F1001" s="8"/>
      <x:c r="G1001" s="8"/>
      <x:c r="H1001" s="8"/>
      <x:c r="I1001" s="8"/>
      <x:c r="J1001" s="8"/>
      <x:c r="K1001" s="8"/>
      <x:c r="L1001" s="8"/>
      <x:c r="M1001" s="10"/>
      <x:c r="N1001" s="10"/>
      <x:c r="O1001" s="8"/>
      <x:c r="P1001" s="9" t="str">
        <x:f>IF(C1001="","",IF(AND(G1001="Applicable",H1001="Fail"),"Fail",IF(R1001&lt;&gt;"Valid","Pending",IF(OR(I1001="",K1001="",L1001="",K1001=L1001,NOT(ISNUMBER(M1001)),NOT(ISNUMBER(N1001)),M1001&gt;Settings!$F$8,N1001&lt;Settings!$F$8,N1001&lt;M1001),"Pending",IF(AND(G1001="Applicable",H1001="Pass"),"Pass",IF(AND(G1001="N/A",H1001="N/A",J1001&lt;&gt;"",OR(E1001="CEM-FUELS",E1001="CEM-CCS",AND(E1001="CEM-PLAN",IFERROR(INDEX('Taxonomy'!$M$9:$M$108,MATCH(D1001,'Taxonomy'!$C$9:$C$108,0)),"")&lt;&gt;"Amber"),E1001="BLD-TIMBER",AND(U1001="Building equipment",OR(E1001="BLD-WATER",E1001="BLD-WASTE",E1001="BLD-LAND")),AND(U1001="Building renovation",E1001="BLD-LAND"))),"N/A","Pending"))))))</x:f>
      </x:c>
      <x:c r="Q1001" s="3" t="str">
        <x:f>IF(C1001="","",IF(AND(R1001="Valid",OR(P1001="Pass",P1001="N/A")),"Complete","Unresolved"))</x:f>
      </x:c>
      <x:c r="R1001" s="9" t="str">
        <x:f>IF(C1001="","",IF(OR(COUNTIF($C$9:$C$2008,C1001)&lt;&gt;1,COUNTIFS($D$9:$D$2008,D1001,$E$9:$E$2008,E1001)&lt;&gt;1),"Duplicate test",IF(COUNTIF('Taxonomy'!$C$9:$C$108,D1001)&lt;&gt;1,"Assessment key",IF(OR(COUNTIF('Taxonomy Rules'!$C$42:$C$68,E1001)&lt;&gt;1,F1001&lt;&gt;IFERROR(INDEX('Taxonomy Rules'!$D$42:$D$68,MATCH(E1001,'Taxonomy Rules'!$C$42:$C$68,0)),""),NOT(OR(IFERROR(INDEX('Taxonomy Rules'!$G$42:$G$68,MATCH(E1001,'Taxonomy Rules'!$C$42:$C$68,0)),"")="All supported routes",IFERROR(INDEX('Taxonomy Rules'!$G$42:$G$68,MATCH(E1001,'Taxonomy Rules'!$C$42:$C$68,0)),"")=U1001,AND(IFERROR(INDEX('Taxonomy Rules'!$G$42:$G$68,MATCH(E1001,'Taxonomy Rules'!$C$42:$C$68,0)),"")="Building routes",OR(U1001="Building renovation",U1001="New building",U1001="Building equipment"))))),"Unexpected test","Valid"))))</x:f>
      </x:c>
      <x:c r="S1001" s="9" t="str">
        <x:f>IF(C1001="","",IFERROR(INDEX('Taxonomy Rules'!$E$42:$E$68,MATCH(E1001,'Taxonomy Rules'!$C$42:$C$68,0)),""))</x:f>
      </x:c>
      <x:c r="T1001" s="9" t="str">
        <x:f>IF(C1001="","",IFERROR(INDEX('Taxonomy Rules'!$F$42:$F$68,MATCH(E1001,'Taxonomy Rules'!$C$42:$C$68,0)),""))</x:f>
      </x:c>
      <x:c r="U1001" s="9" t="str">
        <x:f>IF(C1001="","",IFERROR(INDEX('Taxonomy'!$G$9:$G$108,MATCH(D1001,'Taxonomy'!$C$9:$C$108,0)),""))</x:f>
      </x:c>
    </x:row>
    <x:row r="1002" ht="44" customHeight="1">
      <x:c r="A1002" s="1"/>
      <x:c r="B1002" s="1"/>
      <x:c r="C1002" s="8"/>
      <x:c r="D1002" s="8"/>
      <x:c r="E1002" s="8"/>
      <x:c r="F1002" s="8"/>
      <x:c r="G1002" s="8"/>
      <x:c r="H1002" s="8"/>
      <x:c r="I1002" s="8"/>
      <x:c r="J1002" s="8"/>
      <x:c r="K1002" s="8"/>
      <x:c r="L1002" s="8"/>
      <x:c r="M1002" s="10"/>
      <x:c r="N1002" s="10"/>
      <x:c r="O1002" s="8"/>
      <x:c r="P1002" s="9" t="str">
        <x:f>IF(C1002="","",IF(AND(G1002="Applicable",H1002="Fail"),"Fail",IF(R1002&lt;&gt;"Valid","Pending",IF(OR(I1002="",K1002="",L1002="",K1002=L1002,NOT(ISNUMBER(M1002)),NOT(ISNUMBER(N1002)),M1002&gt;Settings!$F$8,N1002&lt;Settings!$F$8,N1002&lt;M1002),"Pending",IF(AND(G1002="Applicable",H1002="Pass"),"Pass",IF(AND(G1002="N/A",H1002="N/A",J1002&lt;&gt;"",OR(E1002="CEM-FUELS",E1002="CEM-CCS",AND(E1002="CEM-PLAN",IFERROR(INDEX('Taxonomy'!$M$9:$M$108,MATCH(D1002,'Taxonomy'!$C$9:$C$108,0)),"")&lt;&gt;"Amber"),E1002="BLD-TIMBER",AND(U1002="Building equipment",OR(E1002="BLD-WATER",E1002="BLD-WASTE",E1002="BLD-LAND")),AND(U1002="Building renovation",E1002="BLD-LAND"))),"N/A","Pending"))))))</x:f>
      </x:c>
      <x:c r="Q1002" s="3" t="str">
        <x:f>IF(C1002="","",IF(AND(R1002="Valid",OR(P1002="Pass",P1002="N/A")),"Complete","Unresolved"))</x:f>
      </x:c>
      <x:c r="R1002" s="9" t="str">
        <x:f>IF(C1002="","",IF(OR(COUNTIF($C$9:$C$2008,C1002)&lt;&gt;1,COUNTIFS($D$9:$D$2008,D1002,$E$9:$E$2008,E1002)&lt;&gt;1),"Duplicate test",IF(COUNTIF('Taxonomy'!$C$9:$C$108,D1002)&lt;&gt;1,"Assessment key",IF(OR(COUNTIF('Taxonomy Rules'!$C$42:$C$68,E1002)&lt;&gt;1,F1002&lt;&gt;IFERROR(INDEX('Taxonomy Rules'!$D$42:$D$68,MATCH(E1002,'Taxonomy Rules'!$C$42:$C$68,0)),""),NOT(OR(IFERROR(INDEX('Taxonomy Rules'!$G$42:$G$68,MATCH(E1002,'Taxonomy Rules'!$C$42:$C$68,0)),"")="All supported routes",IFERROR(INDEX('Taxonomy Rules'!$G$42:$G$68,MATCH(E1002,'Taxonomy Rules'!$C$42:$C$68,0)),"")=U1002,AND(IFERROR(INDEX('Taxonomy Rules'!$G$42:$G$68,MATCH(E1002,'Taxonomy Rules'!$C$42:$C$68,0)),"")="Building routes",OR(U1002="Building renovation",U1002="New building",U1002="Building equipment"))))),"Unexpected test","Valid"))))</x:f>
      </x:c>
      <x:c r="S1002" s="9" t="str">
        <x:f>IF(C1002="","",IFERROR(INDEX('Taxonomy Rules'!$E$42:$E$68,MATCH(E1002,'Taxonomy Rules'!$C$42:$C$68,0)),""))</x:f>
      </x:c>
      <x:c r="T1002" s="9" t="str">
        <x:f>IF(C1002="","",IFERROR(INDEX('Taxonomy Rules'!$F$42:$F$68,MATCH(E1002,'Taxonomy Rules'!$C$42:$C$68,0)),""))</x:f>
      </x:c>
      <x:c r="U1002" s="9" t="str">
        <x:f>IF(C1002="","",IFERROR(INDEX('Taxonomy'!$G$9:$G$108,MATCH(D1002,'Taxonomy'!$C$9:$C$108,0)),""))</x:f>
      </x:c>
    </x:row>
    <x:row r="1003" ht="44" customHeight="1">
      <x:c r="A1003" s="1"/>
      <x:c r="B1003" s="1"/>
      <x:c r="C1003" s="8"/>
      <x:c r="D1003" s="8"/>
      <x:c r="E1003" s="8"/>
      <x:c r="F1003" s="8"/>
      <x:c r="G1003" s="8"/>
      <x:c r="H1003" s="8"/>
      <x:c r="I1003" s="8"/>
      <x:c r="J1003" s="8"/>
      <x:c r="K1003" s="8"/>
      <x:c r="L1003" s="8"/>
      <x:c r="M1003" s="10"/>
      <x:c r="N1003" s="10"/>
      <x:c r="O1003" s="8"/>
      <x:c r="P1003" s="9" t="str">
        <x:f>IF(C1003="","",IF(AND(G1003="Applicable",H1003="Fail"),"Fail",IF(R1003&lt;&gt;"Valid","Pending",IF(OR(I1003="",K1003="",L1003="",K1003=L1003,NOT(ISNUMBER(M1003)),NOT(ISNUMBER(N1003)),M1003&gt;Settings!$F$8,N1003&lt;Settings!$F$8,N1003&lt;M1003),"Pending",IF(AND(G1003="Applicable",H1003="Pass"),"Pass",IF(AND(G1003="N/A",H1003="N/A",J1003&lt;&gt;"",OR(E1003="CEM-FUELS",E1003="CEM-CCS",AND(E1003="CEM-PLAN",IFERROR(INDEX('Taxonomy'!$M$9:$M$108,MATCH(D1003,'Taxonomy'!$C$9:$C$108,0)),"")&lt;&gt;"Amber"),E1003="BLD-TIMBER",AND(U1003="Building equipment",OR(E1003="BLD-WATER",E1003="BLD-WASTE",E1003="BLD-LAND")),AND(U1003="Building renovation",E1003="BLD-LAND"))),"N/A","Pending"))))))</x:f>
      </x:c>
      <x:c r="Q1003" s="3" t="str">
        <x:f>IF(C1003="","",IF(AND(R1003="Valid",OR(P1003="Pass",P1003="N/A")),"Complete","Unresolved"))</x:f>
      </x:c>
      <x:c r="R1003" s="9" t="str">
        <x:f>IF(C1003="","",IF(OR(COUNTIF($C$9:$C$2008,C1003)&lt;&gt;1,COUNTIFS($D$9:$D$2008,D1003,$E$9:$E$2008,E1003)&lt;&gt;1),"Duplicate test",IF(COUNTIF('Taxonomy'!$C$9:$C$108,D1003)&lt;&gt;1,"Assessment key",IF(OR(COUNTIF('Taxonomy Rules'!$C$42:$C$68,E1003)&lt;&gt;1,F1003&lt;&gt;IFERROR(INDEX('Taxonomy Rules'!$D$42:$D$68,MATCH(E1003,'Taxonomy Rules'!$C$42:$C$68,0)),""),NOT(OR(IFERROR(INDEX('Taxonomy Rules'!$G$42:$G$68,MATCH(E1003,'Taxonomy Rules'!$C$42:$C$68,0)),"")="All supported routes",IFERROR(INDEX('Taxonomy Rules'!$G$42:$G$68,MATCH(E1003,'Taxonomy Rules'!$C$42:$C$68,0)),"")=U1003,AND(IFERROR(INDEX('Taxonomy Rules'!$G$42:$G$68,MATCH(E1003,'Taxonomy Rules'!$C$42:$C$68,0)),"")="Building routes",OR(U1003="Building renovation",U1003="New building",U1003="Building equipment"))))),"Unexpected test","Valid"))))</x:f>
      </x:c>
      <x:c r="S1003" s="9" t="str">
        <x:f>IF(C1003="","",IFERROR(INDEX('Taxonomy Rules'!$E$42:$E$68,MATCH(E1003,'Taxonomy Rules'!$C$42:$C$68,0)),""))</x:f>
      </x:c>
      <x:c r="T1003" s="9" t="str">
        <x:f>IF(C1003="","",IFERROR(INDEX('Taxonomy Rules'!$F$42:$F$68,MATCH(E1003,'Taxonomy Rules'!$C$42:$C$68,0)),""))</x:f>
      </x:c>
      <x:c r="U1003" s="9" t="str">
        <x:f>IF(C1003="","",IFERROR(INDEX('Taxonomy'!$G$9:$G$108,MATCH(D1003,'Taxonomy'!$C$9:$C$108,0)),""))</x:f>
      </x:c>
    </x:row>
    <x:row r="1004" ht="44" customHeight="1">
      <x:c r="A1004" s="1"/>
      <x:c r="B1004" s="1"/>
      <x:c r="C1004" s="8"/>
      <x:c r="D1004" s="8"/>
      <x:c r="E1004" s="8"/>
      <x:c r="F1004" s="8"/>
      <x:c r="G1004" s="8"/>
      <x:c r="H1004" s="8"/>
      <x:c r="I1004" s="8"/>
      <x:c r="J1004" s="8"/>
      <x:c r="K1004" s="8"/>
      <x:c r="L1004" s="8"/>
      <x:c r="M1004" s="10"/>
      <x:c r="N1004" s="10"/>
      <x:c r="O1004" s="8"/>
      <x:c r="P1004" s="9" t="str">
        <x:f>IF(C1004="","",IF(AND(G1004="Applicable",H1004="Fail"),"Fail",IF(R1004&lt;&gt;"Valid","Pending",IF(OR(I1004="",K1004="",L1004="",K1004=L1004,NOT(ISNUMBER(M1004)),NOT(ISNUMBER(N1004)),M1004&gt;Settings!$F$8,N1004&lt;Settings!$F$8,N1004&lt;M1004),"Pending",IF(AND(G1004="Applicable",H1004="Pass"),"Pass",IF(AND(G1004="N/A",H1004="N/A",J1004&lt;&gt;"",OR(E1004="CEM-FUELS",E1004="CEM-CCS",AND(E1004="CEM-PLAN",IFERROR(INDEX('Taxonomy'!$M$9:$M$108,MATCH(D1004,'Taxonomy'!$C$9:$C$108,0)),"")&lt;&gt;"Amber"),E1004="BLD-TIMBER",AND(U1004="Building equipment",OR(E1004="BLD-WATER",E1004="BLD-WASTE",E1004="BLD-LAND")),AND(U1004="Building renovation",E1004="BLD-LAND"))),"N/A","Pending"))))))</x:f>
      </x:c>
      <x:c r="Q1004" s="3" t="str">
        <x:f>IF(C1004="","",IF(AND(R1004="Valid",OR(P1004="Pass",P1004="N/A")),"Complete","Unresolved"))</x:f>
      </x:c>
      <x:c r="R1004" s="9" t="str">
        <x:f>IF(C1004="","",IF(OR(COUNTIF($C$9:$C$2008,C1004)&lt;&gt;1,COUNTIFS($D$9:$D$2008,D1004,$E$9:$E$2008,E1004)&lt;&gt;1),"Duplicate test",IF(COUNTIF('Taxonomy'!$C$9:$C$108,D1004)&lt;&gt;1,"Assessment key",IF(OR(COUNTIF('Taxonomy Rules'!$C$42:$C$68,E1004)&lt;&gt;1,F1004&lt;&gt;IFERROR(INDEX('Taxonomy Rules'!$D$42:$D$68,MATCH(E1004,'Taxonomy Rules'!$C$42:$C$68,0)),""),NOT(OR(IFERROR(INDEX('Taxonomy Rules'!$G$42:$G$68,MATCH(E1004,'Taxonomy Rules'!$C$42:$C$68,0)),"")="All supported routes",IFERROR(INDEX('Taxonomy Rules'!$G$42:$G$68,MATCH(E1004,'Taxonomy Rules'!$C$42:$C$68,0)),"")=U1004,AND(IFERROR(INDEX('Taxonomy Rules'!$G$42:$G$68,MATCH(E1004,'Taxonomy Rules'!$C$42:$C$68,0)),"")="Building routes",OR(U1004="Building renovation",U1004="New building",U1004="Building equipment"))))),"Unexpected test","Valid"))))</x:f>
      </x:c>
      <x:c r="S1004" s="9" t="str">
        <x:f>IF(C1004="","",IFERROR(INDEX('Taxonomy Rules'!$E$42:$E$68,MATCH(E1004,'Taxonomy Rules'!$C$42:$C$68,0)),""))</x:f>
      </x:c>
      <x:c r="T1004" s="9" t="str">
        <x:f>IF(C1004="","",IFERROR(INDEX('Taxonomy Rules'!$F$42:$F$68,MATCH(E1004,'Taxonomy Rules'!$C$42:$C$68,0)),""))</x:f>
      </x:c>
      <x:c r="U1004" s="9" t="str">
        <x:f>IF(C1004="","",IFERROR(INDEX('Taxonomy'!$G$9:$G$108,MATCH(D1004,'Taxonomy'!$C$9:$C$108,0)),""))</x:f>
      </x:c>
    </x:row>
    <x:row r="1005" ht="44" customHeight="1">
      <x:c r="A1005" s="1"/>
      <x:c r="B1005" s="1"/>
      <x:c r="C1005" s="8"/>
      <x:c r="D1005" s="8"/>
      <x:c r="E1005" s="8"/>
      <x:c r="F1005" s="8"/>
      <x:c r="G1005" s="8"/>
      <x:c r="H1005" s="8"/>
      <x:c r="I1005" s="8"/>
      <x:c r="J1005" s="8"/>
      <x:c r="K1005" s="8"/>
      <x:c r="L1005" s="8"/>
      <x:c r="M1005" s="10"/>
      <x:c r="N1005" s="10"/>
      <x:c r="O1005" s="8"/>
      <x:c r="P1005" s="9" t="str">
        <x:f>IF(C1005="","",IF(AND(G1005="Applicable",H1005="Fail"),"Fail",IF(R1005&lt;&gt;"Valid","Pending",IF(OR(I1005="",K1005="",L1005="",K1005=L1005,NOT(ISNUMBER(M1005)),NOT(ISNUMBER(N1005)),M1005&gt;Settings!$F$8,N1005&lt;Settings!$F$8,N1005&lt;M1005),"Pending",IF(AND(G1005="Applicable",H1005="Pass"),"Pass",IF(AND(G1005="N/A",H1005="N/A",J1005&lt;&gt;"",OR(E1005="CEM-FUELS",E1005="CEM-CCS",AND(E1005="CEM-PLAN",IFERROR(INDEX('Taxonomy'!$M$9:$M$108,MATCH(D1005,'Taxonomy'!$C$9:$C$108,0)),"")&lt;&gt;"Amber"),E1005="BLD-TIMBER",AND(U1005="Building equipment",OR(E1005="BLD-WATER",E1005="BLD-WASTE",E1005="BLD-LAND")),AND(U1005="Building renovation",E1005="BLD-LAND"))),"N/A","Pending"))))))</x:f>
      </x:c>
      <x:c r="Q1005" s="3" t="str">
        <x:f>IF(C1005="","",IF(AND(R1005="Valid",OR(P1005="Pass",P1005="N/A")),"Complete","Unresolved"))</x:f>
      </x:c>
      <x:c r="R1005" s="9" t="str">
        <x:f>IF(C1005="","",IF(OR(COUNTIF($C$9:$C$2008,C1005)&lt;&gt;1,COUNTIFS($D$9:$D$2008,D1005,$E$9:$E$2008,E1005)&lt;&gt;1),"Duplicate test",IF(COUNTIF('Taxonomy'!$C$9:$C$108,D1005)&lt;&gt;1,"Assessment key",IF(OR(COUNTIF('Taxonomy Rules'!$C$42:$C$68,E1005)&lt;&gt;1,F1005&lt;&gt;IFERROR(INDEX('Taxonomy Rules'!$D$42:$D$68,MATCH(E1005,'Taxonomy Rules'!$C$42:$C$68,0)),""),NOT(OR(IFERROR(INDEX('Taxonomy Rules'!$G$42:$G$68,MATCH(E1005,'Taxonomy Rules'!$C$42:$C$68,0)),"")="All supported routes",IFERROR(INDEX('Taxonomy Rules'!$G$42:$G$68,MATCH(E1005,'Taxonomy Rules'!$C$42:$C$68,0)),"")=U1005,AND(IFERROR(INDEX('Taxonomy Rules'!$G$42:$G$68,MATCH(E1005,'Taxonomy Rules'!$C$42:$C$68,0)),"")="Building routes",OR(U1005="Building renovation",U1005="New building",U1005="Building equipment"))))),"Unexpected test","Valid"))))</x:f>
      </x:c>
      <x:c r="S1005" s="9" t="str">
        <x:f>IF(C1005="","",IFERROR(INDEX('Taxonomy Rules'!$E$42:$E$68,MATCH(E1005,'Taxonomy Rules'!$C$42:$C$68,0)),""))</x:f>
      </x:c>
      <x:c r="T1005" s="9" t="str">
        <x:f>IF(C1005="","",IFERROR(INDEX('Taxonomy Rules'!$F$42:$F$68,MATCH(E1005,'Taxonomy Rules'!$C$42:$C$68,0)),""))</x:f>
      </x:c>
      <x:c r="U1005" s="9" t="str">
        <x:f>IF(C1005="","",IFERROR(INDEX('Taxonomy'!$G$9:$G$108,MATCH(D1005,'Taxonomy'!$C$9:$C$108,0)),""))</x:f>
      </x:c>
    </x:row>
    <x:row r="1006" ht="44" customHeight="1">
      <x:c r="A1006" s="1"/>
      <x:c r="B1006" s="1"/>
      <x:c r="C1006" s="8"/>
      <x:c r="D1006" s="8"/>
      <x:c r="E1006" s="8"/>
      <x:c r="F1006" s="8"/>
      <x:c r="G1006" s="8"/>
      <x:c r="H1006" s="8"/>
      <x:c r="I1006" s="8"/>
      <x:c r="J1006" s="8"/>
      <x:c r="K1006" s="8"/>
      <x:c r="L1006" s="8"/>
      <x:c r="M1006" s="10"/>
      <x:c r="N1006" s="10"/>
      <x:c r="O1006" s="8"/>
      <x:c r="P1006" s="9" t="str">
        <x:f>IF(C1006="","",IF(AND(G1006="Applicable",H1006="Fail"),"Fail",IF(R1006&lt;&gt;"Valid","Pending",IF(OR(I1006="",K1006="",L1006="",K1006=L1006,NOT(ISNUMBER(M1006)),NOT(ISNUMBER(N1006)),M1006&gt;Settings!$F$8,N1006&lt;Settings!$F$8,N1006&lt;M1006),"Pending",IF(AND(G1006="Applicable",H1006="Pass"),"Pass",IF(AND(G1006="N/A",H1006="N/A",J1006&lt;&gt;"",OR(E1006="CEM-FUELS",E1006="CEM-CCS",AND(E1006="CEM-PLAN",IFERROR(INDEX('Taxonomy'!$M$9:$M$108,MATCH(D1006,'Taxonomy'!$C$9:$C$108,0)),"")&lt;&gt;"Amber"),E1006="BLD-TIMBER",AND(U1006="Building equipment",OR(E1006="BLD-WATER",E1006="BLD-WASTE",E1006="BLD-LAND")),AND(U1006="Building renovation",E1006="BLD-LAND"))),"N/A","Pending"))))))</x:f>
      </x:c>
      <x:c r="Q1006" s="3" t="str">
        <x:f>IF(C1006="","",IF(AND(R1006="Valid",OR(P1006="Pass",P1006="N/A")),"Complete","Unresolved"))</x:f>
      </x:c>
      <x:c r="R1006" s="9" t="str">
        <x:f>IF(C1006="","",IF(OR(COUNTIF($C$9:$C$2008,C1006)&lt;&gt;1,COUNTIFS($D$9:$D$2008,D1006,$E$9:$E$2008,E1006)&lt;&gt;1),"Duplicate test",IF(COUNTIF('Taxonomy'!$C$9:$C$108,D1006)&lt;&gt;1,"Assessment key",IF(OR(COUNTIF('Taxonomy Rules'!$C$42:$C$68,E1006)&lt;&gt;1,F1006&lt;&gt;IFERROR(INDEX('Taxonomy Rules'!$D$42:$D$68,MATCH(E1006,'Taxonomy Rules'!$C$42:$C$68,0)),""),NOT(OR(IFERROR(INDEX('Taxonomy Rules'!$G$42:$G$68,MATCH(E1006,'Taxonomy Rules'!$C$42:$C$68,0)),"")="All supported routes",IFERROR(INDEX('Taxonomy Rules'!$G$42:$G$68,MATCH(E1006,'Taxonomy Rules'!$C$42:$C$68,0)),"")=U1006,AND(IFERROR(INDEX('Taxonomy Rules'!$G$42:$G$68,MATCH(E1006,'Taxonomy Rules'!$C$42:$C$68,0)),"")="Building routes",OR(U1006="Building renovation",U1006="New building",U1006="Building equipment"))))),"Unexpected test","Valid"))))</x:f>
      </x:c>
      <x:c r="S1006" s="9" t="str">
        <x:f>IF(C1006="","",IFERROR(INDEX('Taxonomy Rules'!$E$42:$E$68,MATCH(E1006,'Taxonomy Rules'!$C$42:$C$68,0)),""))</x:f>
      </x:c>
      <x:c r="T1006" s="9" t="str">
        <x:f>IF(C1006="","",IFERROR(INDEX('Taxonomy Rules'!$F$42:$F$68,MATCH(E1006,'Taxonomy Rules'!$C$42:$C$68,0)),""))</x:f>
      </x:c>
      <x:c r="U1006" s="9" t="str">
        <x:f>IF(C1006="","",IFERROR(INDEX('Taxonomy'!$G$9:$G$108,MATCH(D1006,'Taxonomy'!$C$9:$C$108,0)),""))</x:f>
      </x:c>
    </x:row>
    <x:row r="1007" ht="44" customHeight="1">
      <x:c r="A1007" s="1"/>
      <x:c r="B1007" s="1"/>
      <x:c r="C1007" s="8"/>
      <x:c r="D1007" s="8"/>
      <x:c r="E1007" s="8"/>
      <x:c r="F1007" s="8"/>
      <x:c r="G1007" s="8"/>
      <x:c r="H1007" s="8"/>
      <x:c r="I1007" s="8"/>
      <x:c r="J1007" s="8"/>
      <x:c r="K1007" s="8"/>
      <x:c r="L1007" s="8"/>
      <x:c r="M1007" s="10"/>
      <x:c r="N1007" s="10"/>
      <x:c r="O1007" s="8"/>
      <x:c r="P1007" s="9" t="str">
        <x:f>IF(C1007="","",IF(AND(G1007="Applicable",H1007="Fail"),"Fail",IF(R1007&lt;&gt;"Valid","Pending",IF(OR(I1007="",K1007="",L1007="",K1007=L1007,NOT(ISNUMBER(M1007)),NOT(ISNUMBER(N1007)),M1007&gt;Settings!$F$8,N1007&lt;Settings!$F$8,N1007&lt;M1007),"Pending",IF(AND(G1007="Applicable",H1007="Pass"),"Pass",IF(AND(G1007="N/A",H1007="N/A",J1007&lt;&gt;"",OR(E1007="CEM-FUELS",E1007="CEM-CCS",AND(E1007="CEM-PLAN",IFERROR(INDEX('Taxonomy'!$M$9:$M$108,MATCH(D1007,'Taxonomy'!$C$9:$C$108,0)),"")&lt;&gt;"Amber"),E1007="BLD-TIMBER",AND(U1007="Building equipment",OR(E1007="BLD-WATER",E1007="BLD-WASTE",E1007="BLD-LAND")),AND(U1007="Building renovation",E1007="BLD-LAND"))),"N/A","Pending"))))))</x:f>
      </x:c>
      <x:c r="Q1007" s="3" t="str">
        <x:f>IF(C1007="","",IF(AND(R1007="Valid",OR(P1007="Pass",P1007="N/A")),"Complete","Unresolved"))</x:f>
      </x:c>
      <x:c r="R1007" s="9" t="str">
        <x:f>IF(C1007="","",IF(OR(COUNTIF($C$9:$C$2008,C1007)&lt;&gt;1,COUNTIFS($D$9:$D$2008,D1007,$E$9:$E$2008,E1007)&lt;&gt;1),"Duplicate test",IF(COUNTIF('Taxonomy'!$C$9:$C$108,D1007)&lt;&gt;1,"Assessment key",IF(OR(COUNTIF('Taxonomy Rules'!$C$42:$C$68,E1007)&lt;&gt;1,F1007&lt;&gt;IFERROR(INDEX('Taxonomy Rules'!$D$42:$D$68,MATCH(E1007,'Taxonomy Rules'!$C$42:$C$68,0)),""),NOT(OR(IFERROR(INDEX('Taxonomy Rules'!$G$42:$G$68,MATCH(E1007,'Taxonomy Rules'!$C$42:$C$68,0)),"")="All supported routes",IFERROR(INDEX('Taxonomy Rules'!$G$42:$G$68,MATCH(E1007,'Taxonomy Rules'!$C$42:$C$68,0)),"")=U1007,AND(IFERROR(INDEX('Taxonomy Rules'!$G$42:$G$68,MATCH(E1007,'Taxonomy Rules'!$C$42:$C$68,0)),"")="Building routes",OR(U1007="Building renovation",U1007="New building",U1007="Building equipment"))))),"Unexpected test","Valid"))))</x:f>
      </x:c>
      <x:c r="S1007" s="9" t="str">
        <x:f>IF(C1007="","",IFERROR(INDEX('Taxonomy Rules'!$E$42:$E$68,MATCH(E1007,'Taxonomy Rules'!$C$42:$C$68,0)),""))</x:f>
      </x:c>
      <x:c r="T1007" s="9" t="str">
        <x:f>IF(C1007="","",IFERROR(INDEX('Taxonomy Rules'!$F$42:$F$68,MATCH(E1007,'Taxonomy Rules'!$C$42:$C$68,0)),""))</x:f>
      </x:c>
      <x:c r="U1007" s="9" t="str">
        <x:f>IF(C1007="","",IFERROR(INDEX('Taxonomy'!$G$9:$G$108,MATCH(D1007,'Taxonomy'!$C$9:$C$108,0)),""))</x:f>
      </x:c>
    </x:row>
    <x:row r="1008" ht="44" customHeight="1">
      <x:c r="A1008" s="1"/>
      <x:c r="B1008" s="1"/>
      <x:c r="C1008" s="8"/>
      <x:c r="D1008" s="8"/>
      <x:c r="E1008" s="8"/>
      <x:c r="F1008" s="8"/>
      <x:c r="G1008" s="8"/>
      <x:c r="H1008" s="8"/>
      <x:c r="I1008" s="8"/>
      <x:c r="J1008" s="8"/>
      <x:c r="K1008" s="8"/>
      <x:c r="L1008" s="8"/>
      <x:c r="M1008" s="10"/>
      <x:c r="N1008" s="10"/>
      <x:c r="O1008" s="8"/>
      <x:c r="P1008" s="9" t="str">
        <x:f>IF(C1008="","",IF(AND(G1008="Applicable",H1008="Fail"),"Fail",IF(R1008&lt;&gt;"Valid","Pending",IF(OR(I1008="",K1008="",L1008="",K1008=L1008,NOT(ISNUMBER(M1008)),NOT(ISNUMBER(N1008)),M1008&gt;Settings!$F$8,N1008&lt;Settings!$F$8,N1008&lt;M1008),"Pending",IF(AND(G1008="Applicable",H1008="Pass"),"Pass",IF(AND(G1008="N/A",H1008="N/A",J1008&lt;&gt;"",OR(E1008="CEM-FUELS",E1008="CEM-CCS",AND(E1008="CEM-PLAN",IFERROR(INDEX('Taxonomy'!$M$9:$M$108,MATCH(D1008,'Taxonomy'!$C$9:$C$108,0)),"")&lt;&gt;"Amber"),E1008="BLD-TIMBER",AND(U1008="Building equipment",OR(E1008="BLD-WATER",E1008="BLD-WASTE",E1008="BLD-LAND")),AND(U1008="Building renovation",E1008="BLD-LAND"))),"N/A","Pending"))))))</x:f>
      </x:c>
      <x:c r="Q1008" s="3" t="str">
        <x:f>IF(C1008="","",IF(AND(R1008="Valid",OR(P1008="Pass",P1008="N/A")),"Complete","Unresolved"))</x:f>
      </x:c>
      <x:c r="R1008" s="9" t="str">
        <x:f>IF(C1008="","",IF(OR(COUNTIF($C$9:$C$2008,C1008)&lt;&gt;1,COUNTIFS($D$9:$D$2008,D1008,$E$9:$E$2008,E1008)&lt;&gt;1),"Duplicate test",IF(COUNTIF('Taxonomy'!$C$9:$C$108,D1008)&lt;&gt;1,"Assessment key",IF(OR(COUNTIF('Taxonomy Rules'!$C$42:$C$68,E1008)&lt;&gt;1,F1008&lt;&gt;IFERROR(INDEX('Taxonomy Rules'!$D$42:$D$68,MATCH(E1008,'Taxonomy Rules'!$C$42:$C$68,0)),""),NOT(OR(IFERROR(INDEX('Taxonomy Rules'!$G$42:$G$68,MATCH(E1008,'Taxonomy Rules'!$C$42:$C$68,0)),"")="All supported routes",IFERROR(INDEX('Taxonomy Rules'!$G$42:$G$68,MATCH(E1008,'Taxonomy Rules'!$C$42:$C$68,0)),"")=U1008,AND(IFERROR(INDEX('Taxonomy Rules'!$G$42:$G$68,MATCH(E1008,'Taxonomy Rules'!$C$42:$C$68,0)),"")="Building routes",OR(U1008="Building renovation",U1008="New building",U1008="Building equipment"))))),"Unexpected test","Valid"))))</x:f>
      </x:c>
      <x:c r="S1008" s="9" t="str">
        <x:f>IF(C1008="","",IFERROR(INDEX('Taxonomy Rules'!$E$42:$E$68,MATCH(E1008,'Taxonomy Rules'!$C$42:$C$68,0)),""))</x:f>
      </x:c>
      <x:c r="T1008" s="9" t="str">
        <x:f>IF(C1008="","",IFERROR(INDEX('Taxonomy Rules'!$F$42:$F$68,MATCH(E1008,'Taxonomy Rules'!$C$42:$C$68,0)),""))</x:f>
      </x:c>
      <x:c r="U1008" s="9" t="str">
        <x:f>IF(C1008="","",IFERROR(INDEX('Taxonomy'!$G$9:$G$108,MATCH(D1008,'Taxonomy'!$C$9:$C$108,0)),""))</x:f>
      </x:c>
    </x:row>
    <x:row r="1009" ht="44" customHeight="1">
      <x:c r="A1009" s="1"/>
      <x:c r="B1009" s="1"/>
      <x:c r="C1009" s="8"/>
      <x:c r="D1009" s="8"/>
      <x:c r="E1009" s="8"/>
      <x:c r="F1009" s="8"/>
      <x:c r="G1009" s="8"/>
      <x:c r="H1009" s="8"/>
      <x:c r="I1009" s="8"/>
      <x:c r="J1009" s="8"/>
      <x:c r="K1009" s="8"/>
      <x:c r="L1009" s="8"/>
      <x:c r="M1009" s="10"/>
      <x:c r="N1009" s="10"/>
      <x:c r="O1009" s="8"/>
      <x:c r="P1009" s="9" t="str">
        <x:f>IF(C1009="","",IF(AND(G1009="Applicable",H1009="Fail"),"Fail",IF(R1009&lt;&gt;"Valid","Pending",IF(OR(I1009="",K1009="",L1009="",K1009=L1009,NOT(ISNUMBER(M1009)),NOT(ISNUMBER(N1009)),M1009&gt;Settings!$F$8,N1009&lt;Settings!$F$8,N1009&lt;M1009),"Pending",IF(AND(G1009="Applicable",H1009="Pass"),"Pass",IF(AND(G1009="N/A",H1009="N/A",J1009&lt;&gt;"",OR(E1009="CEM-FUELS",E1009="CEM-CCS",AND(E1009="CEM-PLAN",IFERROR(INDEX('Taxonomy'!$M$9:$M$108,MATCH(D1009,'Taxonomy'!$C$9:$C$108,0)),"")&lt;&gt;"Amber"),E1009="BLD-TIMBER",AND(U1009="Building equipment",OR(E1009="BLD-WATER",E1009="BLD-WASTE",E1009="BLD-LAND")),AND(U1009="Building renovation",E1009="BLD-LAND"))),"N/A","Pending"))))))</x:f>
      </x:c>
      <x:c r="Q1009" s="3" t="str">
        <x:f>IF(C1009="","",IF(AND(R1009="Valid",OR(P1009="Pass",P1009="N/A")),"Complete","Unresolved"))</x:f>
      </x:c>
      <x:c r="R1009" s="9" t="str">
        <x:f>IF(C1009="","",IF(OR(COUNTIF($C$9:$C$2008,C1009)&lt;&gt;1,COUNTIFS($D$9:$D$2008,D1009,$E$9:$E$2008,E1009)&lt;&gt;1),"Duplicate test",IF(COUNTIF('Taxonomy'!$C$9:$C$108,D1009)&lt;&gt;1,"Assessment key",IF(OR(COUNTIF('Taxonomy Rules'!$C$42:$C$68,E1009)&lt;&gt;1,F1009&lt;&gt;IFERROR(INDEX('Taxonomy Rules'!$D$42:$D$68,MATCH(E1009,'Taxonomy Rules'!$C$42:$C$68,0)),""),NOT(OR(IFERROR(INDEX('Taxonomy Rules'!$G$42:$G$68,MATCH(E1009,'Taxonomy Rules'!$C$42:$C$68,0)),"")="All supported routes",IFERROR(INDEX('Taxonomy Rules'!$G$42:$G$68,MATCH(E1009,'Taxonomy Rules'!$C$42:$C$68,0)),"")=U1009,AND(IFERROR(INDEX('Taxonomy Rules'!$G$42:$G$68,MATCH(E1009,'Taxonomy Rules'!$C$42:$C$68,0)),"")="Building routes",OR(U1009="Building renovation",U1009="New building",U1009="Building equipment"))))),"Unexpected test","Valid"))))</x:f>
      </x:c>
      <x:c r="S1009" s="9" t="str">
        <x:f>IF(C1009="","",IFERROR(INDEX('Taxonomy Rules'!$E$42:$E$68,MATCH(E1009,'Taxonomy Rules'!$C$42:$C$68,0)),""))</x:f>
      </x:c>
      <x:c r="T1009" s="9" t="str">
        <x:f>IF(C1009="","",IFERROR(INDEX('Taxonomy Rules'!$F$42:$F$68,MATCH(E1009,'Taxonomy Rules'!$C$42:$C$68,0)),""))</x:f>
      </x:c>
      <x:c r="U1009" s="9" t="str">
        <x:f>IF(C1009="","",IFERROR(INDEX('Taxonomy'!$G$9:$G$108,MATCH(D1009,'Taxonomy'!$C$9:$C$108,0)),""))</x:f>
      </x:c>
    </x:row>
    <x:row r="1010" ht="44" customHeight="1">
      <x:c r="A1010" s="1"/>
      <x:c r="B1010" s="1"/>
      <x:c r="C1010" s="8"/>
      <x:c r="D1010" s="8"/>
      <x:c r="E1010" s="8"/>
      <x:c r="F1010" s="8"/>
      <x:c r="G1010" s="8"/>
      <x:c r="H1010" s="8"/>
      <x:c r="I1010" s="8"/>
      <x:c r="J1010" s="8"/>
      <x:c r="K1010" s="8"/>
      <x:c r="L1010" s="8"/>
      <x:c r="M1010" s="10"/>
      <x:c r="N1010" s="10"/>
      <x:c r="O1010" s="8"/>
      <x:c r="P1010" s="9" t="str">
        <x:f>IF(C1010="","",IF(AND(G1010="Applicable",H1010="Fail"),"Fail",IF(R1010&lt;&gt;"Valid","Pending",IF(OR(I1010="",K1010="",L1010="",K1010=L1010,NOT(ISNUMBER(M1010)),NOT(ISNUMBER(N1010)),M1010&gt;Settings!$F$8,N1010&lt;Settings!$F$8,N1010&lt;M1010),"Pending",IF(AND(G1010="Applicable",H1010="Pass"),"Pass",IF(AND(G1010="N/A",H1010="N/A",J1010&lt;&gt;"",OR(E1010="CEM-FUELS",E1010="CEM-CCS",AND(E1010="CEM-PLAN",IFERROR(INDEX('Taxonomy'!$M$9:$M$108,MATCH(D1010,'Taxonomy'!$C$9:$C$108,0)),"")&lt;&gt;"Amber"),E1010="BLD-TIMBER",AND(U1010="Building equipment",OR(E1010="BLD-WATER",E1010="BLD-WASTE",E1010="BLD-LAND")),AND(U1010="Building renovation",E1010="BLD-LAND"))),"N/A","Pending"))))))</x:f>
      </x:c>
      <x:c r="Q1010" s="3" t="str">
        <x:f>IF(C1010="","",IF(AND(R1010="Valid",OR(P1010="Pass",P1010="N/A")),"Complete","Unresolved"))</x:f>
      </x:c>
      <x:c r="R1010" s="9" t="str">
        <x:f>IF(C1010="","",IF(OR(COUNTIF($C$9:$C$2008,C1010)&lt;&gt;1,COUNTIFS($D$9:$D$2008,D1010,$E$9:$E$2008,E1010)&lt;&gt;1),"Duplicate test",IF(COUNTIF('Taxonomy'!$C$9:$C$108,D1010)&lt;&gt;1,"Assessment key",IF(OR(COUNTIF('Taxonomy Rules'!$C$42:$C$68,E1010)&lt;&gt;1,F1010&lt;&gt;IFERROR(INDEX('Taxonomy Rules'!$D$42:$D$68,MATCH(E1010,'Taxonomy Rules'!$C$42:$C$68,0)),""),NOT(OR(IFERROR(INDEX('Taxonomy Rules'!$G$42:$G$68,MATCH(E1010,'Taxonomy Rules'!$C$42:$C$68,0)),"")="All supported routes",IFERROR(INDEX('Taxonomy Rules'!$G$42:$G$68,MATCH(E1010,'Taxonomy Rules'!$C$42:$C$68,0)),"")=U1010,AND(IFERROR(INDEX('Taxonomy Rules'!$G$42:$G$68,MATCH(E1010,'Taxonomy Rules'!$C$42:$C$68,0)),"")="Building routes",OR(U1010="Building renovation",U1010="New building",U1010="Building equipment"))))),"Unexpected test","Valid"))))</x:f>
      </x:c>
      <x:c r="S1010" s="9" t="str">
        <x:f>IF(C1010="","",IFERROR(INDEX('Taxonomy Rules'!$E$42:$E$68,MATCH(E1010,'Taxonomy Rules'!$C$42:$C$68,0)),""))</x:f>
      </x:c>
      <x:c r="T1010" s="9" t="str">
        <x:f>IF(C1010="","",IFERROR(INDEX('Taxonomy Rules'!$F$42:$F$68,MATCH(E1010,'Taxonomy Rules'!$C$42:$C$68,0)),""))</x:f>
      </x:c>
      <x:c r="U1010" s="9" t="str">
        <x:f>IF(C1010="","",IFERROR(INDEX('Taxonomy'!$G$9:$G$108,MATCH(D1010,'Taxonomy'!$C$9:$C$108,0)),""))</x:f>
      </x:c>
    </x:row>
    <x:row r="1011" ht="44" customHeight="1">
      <x:c r="A1011" s="1"/>
      <x:c r="B1011" s="1"/>
      <x:c r="C1011" s="8"/>
      <x:c r="D1011" s="8"/>
      <x:c r="E1011" s="8"/>
      <x:c r="F1011" s="8"/>
      <x:c r="G1011" s="8"/>
      <x:c r="H1011" s="8"/>
      <x:c r="I1011" s="8"/>
      <x:c r="J1011" s="8"/>
      <x:c r="K1011" s="8"/>
      <x:c r="L1011" s="8"/>
      <x:c r="M1011" s="10"/>
      <x:c r="N1011" s="10"/>
      <x:c r="O1011" s="8"/>
      <x:c r="P1011" s="9" t="str">
        <x:f>IF(C1011="","",IF(AND(G1011="Applicable",H1011="Fail"),"Fail",IF(R1011&lt;&gt;"Valid","Pending",IF(OR(I1011="",K1011="",L1011="",K1011=L1011,NOT(ISNUMBER(M1011)),NOT(ISNUMBER(N1011)),M1011&gt;Settings!$F$8,N1011&lt;Settings!$F$8,N1011&lt;M1011),"Pending",IF(AND(G1011="Applicable",H1011="Pass"),"Pass",IF(AND(G1011="N/A",H1011="N/A",J1011&lt;&gt;"",OR(E1011="CEM-FUELS",E1011="CEM-CCS",AND(E1011="CEM-PLAN",IFERROR(INDEX('Taxonomy'!$M$9:$M$108,MATCH(D1011,'Taxonomy'!$C$9:$C$108,0)),"")&lt;&gt;"Amber"),E1011="BLD-TIMBER",AND(U1011="Building equipment",OR(E1011="BLD-WATER",E1011="BLD-WASTE",E1011="BLD-LAND")),AND(U1011="Building renovation",E1011="BLD-LAND"))),"N/A","Pending"))))))</x:f>
      </x:c>
      <x:c r="Q1011" s="3" t="str">
        <x:f>IF(C1011="","",IF(AND(R1011="Valid",OR(P1011="Pass",P1011="N/A")),"Complete","Unresolved"))</x:f>
      </x:c>
      <x:c r="R1011" s="9" t="str">
        <x:f>IF(C1011="","",IF(OR(COUNTIF($C$9:$C$2008,C1011)&lt;&gt;1,COUNTIFS($D$9:$D$2008,D1011,$E$9:$E$2008,E1011)&lt;&gt;1),"Duplicate test",IF(COUNTIF('Taxonomy'!$C$9:$C$108,D1011)&lt;&gt;1,"Assessment key",IF(OR(COUNTIF('Taxonomy Rules'!$C$42:$C$68,E1011)&lt;&gt;1,F1011&lt;&gt;IFERROR(INDEX('Taxonomy Rules'!$D$42:$D$68,MATCH(E1011,'Taxonomy Rules'!$C$42:$C$68,0)),""),NOT(OR(IFERROR(INDEX('Taxonomy Rules'!$G$42:$G$68,MATCH(E1011,'Taxonomy Rules'!$C$42:$C$68,0)),"")="All supported routes",IFERROR(INDEX('Taxonomy Rules'!$G$42:$G$68,MATCH(E1011,'Taxonomy Rules'!$C$42:$C$68,0)),"")=U1011,AND(IFERROR(INDEX('Taxonomy Rules'!$G$42:$G$68,MATCH(E1011,'Taxonomy Rules'!$C$42:$C$68,0)),"")="Building routes",OR(U1011="Building renovation",U1011="New building",U1011="Building equipment"))))),"Unexpected test","Valid"))))</x:f>
      </x:c>
      <x:c r="S1011" s="9" t="str">
        <x:f>IF(C1011="","",IFERROR(INDEX('Taxonomy Rules'!$E$42:$E$68,MATCH(E1011,'Taxonomy Rules'!$C$42:$C$68,0)),""))</x:f>
      </x:c>
      <x:c r="T1011" s="9" t="str">
        <x:f>IF(C1011="","",IFERROR(INDEX('Taxonomy Rules'!$F$42:$F$68,MATCH(E1011,'Taxonomy Rules'!$C$42:$C$68,0)),""))</x:f>
      </x:c>
      <x:c r="U1011" s="9" t="str">
        <x:f>IF(C1011="","",IFERROR(INDEX('Taxonomy'!$G$9:$G$108,MATCH(D1011,'Taxonomy'!$C$9:$C$108,0)),""))</x:f>
      </x:c>
    </x:row>
    <x:row r="1012" ht="44" customHeight="1">
      <x:c r="A1012" s="1"/>
      <x:c r="B1012" s="1"/>
      <x:c r="C1012" s="8"/>
      <x:c r="D1012" s="8"/>
      <x:c r="E1012" s="8"/>
      <x:c r="F1012" s="8"/>
      <x:c r="G1012" s="8"/>
      <x:c r="H1012" s="8"/>
      <x:c r="I1012" s="8"/>
      <x:c r="J1012" s="8"/>
      <x:c r="K1012" s="8"/>
      <x:c r="L1012" s="8"/>
      <x:c r="M1012" s="10"/>
      <x:c r="N1012" s="10"/>
      <x:c r="O1012" s="8"/>
      <x:c r="P1012" s="9" t="str">
        <x:f>IF(C1012="","",IF(AND(G1012="Applicable",H1012="Fail"),"Fail",IF(R1012&lt;&gt;"Valid","Pending",IF(OR(I1012="",K1012="",L1012="",K1012=L1012,NOT(ISNUMBER(M1012)),NOT(ISNUMBER(N1012)),M1012&gt;Settings!$F$8,N1012&lt;Settings!$F$8,N1012&lt;M1012),"Pending",IF(AND(G1012="Applicable",H1012="Pass"),"Pass",IF(AND(G1012="N/A",H1012="N/A",J1012&lt;&gt;"",OR(E1012="CEM-FUELS",E1012="CEM-CCS",AND(E1012="CEM-PLAN",IFERROR(INDEX('Taxonomy'!$M$9:$M$108,MATCH(D1012,'Taxonomy'!$C$9:$C$108,0)),"")&lt;&gt;"Amber"),E1012="BLD-TIMBER",AND(U1012="Building equipment",OR(E1012="BLD-WATER",E1012="BLD-WASTE",E1012="BLD-LAND")),AND(U1012="Building renovation",E1012="BLD-LAND"))),"N/A","Pending"))))))</x:f>
      </x:c>
      <x:c r="Q1012" s="3" t="str">
        <x:f>IF(C1012="","",IF(AND(R1012="Valid",OR(P1012="Pass",P1012="N/A")),"Complete","Unresolved"))</x:f>
      </x:c>
      <x:c r="R1012" s="9" t="str">
        <x:f>IF(C1012="","",IF(OR(COUNTIF($C$9:$C$2008,C1012)&lt;&gt;1,COUNTIFS($D$9:$D$2008,D1012,$E$9:$E$2008,E1012)&lt;&gt;1),"Duplicate test",IF(COUNTIF('Taxonomy'!$C$9:$C$108,D1012)&lt;&gt;1,"Assessment key",IF(OR(COUNTIF('Taxonomy Rules'!$C$42:$C$68,E1012)&lt;&gt;1,F1012&lt;&gt;IFERROR(INDEX('Taxonomy Rules'!$D$42:$D$68,MATCH(E1012,'Taxonomy Rules'!$C$42:$C$68,0)),""),NOT(OR(IFERROR(INDEX('Taxonomy Rules'!$G$42:$G$68,MATCH(E1012,'Taxonomy Rules'!$C$42:$C$68,0)),"")="All supported routes",IFERROR(INDEX('Taxonomy Rules'!$G$42:$G$68,MATCH(E1012,'Taxonomy Rules'!$C$42:$C$68,0)),"")=U1012,AND(IFERROR(INDEX('Taxonomy Rules'!$G$42:$G$68,MATCH(E1012,'Taxonomy Rules'!$C$42:$C$68,0)),"")="Building routes",OR(U1012="Building renovation",U1012="New building",U1012="Building equipment"))))),"Unexpected test","Valid"))))</x:f>
      </x:c>
      <x:c r="S1012" s="9" t="str">
        <x:f>IF(C1012="","",IFERROR(INDEX('Taxonomy Rules'!$E$42:$E$68,MATCH(E1012,'Taxonomy Rules'!$C$42:$C$68,0)),""))</x:f>
      </x:c>
      <x:c r="T1012" s="9" t="str">
        <x:f>IF(C1012="","",IFERROR(INDEX('Taxonomy Rules'!$F$42:$F$68,MATCH(E1012,'Taxonomy Rules'!$C$42:$C$68,0)),""))</x:f>
      </x:c>
      <x:c r="U1012" s="9" t="str">
        <x:f>IF(C1012="","",IFERROR(INDEX('Taxonomy'!$G$9:$G$108,MATCH(D1012,'Taxonomy'!$C$9:$C$108,0)),""))</x:f>
      </x:c>
    </x:row>
    <x:row r="1013" ht="44" customHeight="1">
      <x:c r="A1013" s="1"/>
      <x:c r="B1013" s="1"/>
      <x:c r="C1013" s="8"/>
      <x:c r="D1013" s="8"/>
      <x:c r="E1013" s="8"/>
      <x:c r="F1013" s="8"/>
      <x:c r="G1013" s="8"/>
      <x:c r="H1013" s="8"/>
      <x:c r="I1013" s="8"/>
      <x:c r="J1013" s="8"/>
      <x:c r="K1013" s="8"/>
      <x:c r="L1013" s="8"/>
      <x:c r="M1013" s="10"/>
      <x:c r="N1013" s="10"/>
      <x:c r="O1013" s="8"/>
      <x:c r="P1013" s="9" t="str">
        <x:f>IF(C1013="","",IF(AND(G1013="Applicable",H1013="Fail"),"Fail",IF(R1013&lt;&gt;"Valid","Pending",IF(OR(I1013="",K1013="",L1013="",K1013=L1013,NOT(ISNUMBER(M1013)),NOT(ISNUMBER(N1013)),M1013&gt;Settings!$F$8,N1013&lt;Settings!$F$8,N1013&lt;M1013),"Pending",IF(AND(G1013="Applicable",H1013="Pass"),"Pass",IF(AND(G1013="N/A",H1013="N/A",J1013&lt;&gt;"",OR(E1013="CEM-FUELS",E1013="CEM-CCS",AND(E1013="CEM-PLAN",IFERROR(INDEX('Taxonomy'!$M$9:$M$108,MATCH(D1013,'Taxonomy'!$C$9:$C$108,0)),"")&lt;&gt;"Amber"),E1013="BLD-TIMBER",AND(U1013="Building equipment",OR(E1013="BLD-WATER",E1013="BLD-WASTE",E1013="BLD-LAND")),AND(U1013="Building renovation",E1013="BLD-LAND"))),"N/A","Pending"))))))</x:f>
      </x:c>
      <x:c r="Q1013" s="3" t="str">
        <x:f>IF(C1013="","",IF(AND(R1013="Valid",OR(P1013="Pass",P1013="N/A")),"Complete","Unresolved"))</x:f>
      </x:c>
      <x:c r="R1013" s="9" t="str">
        <x:f>IF(C1013="","",IF(OR(COUNTIF($C$9:$C$2008,C1013)&lt;&gt;1,COUNTIFS($D$9:$D$2008,D1013,$E$9:$E$2008,E1013)&lt;&gt;1),"Duplicate test",IF(COUNTIF('Taxonomy'!$C$9:$C$108,D1013)&lt;&gt;1,"Assessment key",IF(OR(COUNTIF('Taxonomy Rules'!$C$42:$C$68,E1013)&lt;&gt;1,F1013&lt;&gt;IFERROR(INDEX('Taxonomy Rules'!$D$42:$D$68,MATCH(E1013,'Taxonomy Rules'!$C$42:$C$68,0)),""),NOT(OR(IFERROR(INDEX('Taxonomy Rules'!$G$42:$G$68,MATCH(E1013,'Taxonomy Rules'!$C$42:$C$68,0)),"")="All supported routes",IFERROR(INDEX('Taxonomy Rules'!$G$42:$G$68,MATCH(E1013,'Taxonomy Rules'!$C$42:$C$68,0)),"")=U1013,AND(IFERROR(INDEX('Taxonomy Rules'!$G$42:$G$68,MATCH(E1013,'Taxonomy Rules'!$C$42:$C$68,0)),"")="Building routes",OR(U1013="Building renovation",U1013="New building",U1013="Building equipment"))))),"Unexpected test","Valid"))))</x:f>
      </x:c>
      <x:c r="S1013" s="9" t="str">
        <x:f>IF(C1013="","",IFERROR(INDEX('Taxonomy Rules'!$E$42:$E$68,MATCH(E1013,'Taxonomy Rules'!$C$42:$C$68,0)),""))</x:f>
      </x:c>
      <x:c r="T1013" s="9" t="str">
        <x:f>IF(C1013="","",IFERROR(INDEX('Taxonomy Rules'!$F$42:$F$68,MATCH(E1013,'Taxonomy Rules'!$C$42:$C$68,0)),""))</x:f>
      </x:c>
      <x:c r="U1013" s="9" t="str">
        <x:f>IF(C1013="","",IFERROR(INDEX('Taxonomy'!$G$9:$G$108,MATCH(D1013,'Taxonomy'!$C$9:$C$108,0)),""))</x:f>
      </x:c>
    </x:row>
    <x:row r="1014" ht="44" customHeight="1">
      <x:c r="A1014" s="1"/>
      <x:c r="B1014" s="1"/>
      <x:c r="C1014" s="8"/>
      <x:c r="D1014" s="8"/>
      <x:c r="E1014" s="8"/>
      <x:c r="F1014" s="8"/>
      <x:c r="G1014" s="8"/>
      <x:c r="H1014" s="8"/>
      <x:c r="I1014" s="8"/>
      <x:c r="J1014" s="8"/>
      <x:c r="K1014" s="8"/>
      <x:c r="L1014" s="8"/>
      <x:c r="M1014" s="10"/>
      <x:c r="N1014" s="10"/>
      <x:c r="O1014" s="8"/>
      <x:c r="P1014" s="9" t="str">
        <x:f>IF(C1014="","",IF(AND(G1014="Applicable",H1014="Fail"),"Fail",IF(R1014&lt;&gt;"Valid","Pending",IF(OR(I1014="",K1014="",L1014="",K1014=L1014,NOT(ISNUMBER(M1014)),NOT(ISNUMBER(N1014)),M1014&gt;Settings!$F$8,N1014&lt;Settings!$F$8,N1014&lt;M1014),"Pending",IF(AND(G1014="Applicable",H1014="Pass"),"Pass",IF(AND(G1014="N/A",H1014="N/A",J1014&lt;&gt;"",OR(E1014="CEM-FUELS",E1014="CEM-CCS",AND(E1014="CEM-PLAN",IFERROR(INDEX('Taxonomy'!$M$9:$M$108,MATCH(D1014,'Taxonomy'!$C$9:$C$108,0)),"")&lt;&gt;"Amber"),E1014="BLD-TIMBER",AND(U1014="Building equipment",OR(E1014="BLD-WATER",E1014="BLD-WASTE",E1014="BLD-LAND")),AND(U1014="Building renovation",E1014="BLD-LAND"))),"N/A","Pending"))))))</x:f>
      </x:c>
      <x:c r="Q1014" s="3" t="str">
        <x:f>IF(C1014="","",IF(AND(R1014="Valid",OR(P1014="Pass",P1014="N/A")),"Complete","Unresolved"))</x:f>
      </x:c>
      <x:c r="R1014" s="9" t="str">
        <x:f>IF(C1014="","",IF(OR(COUNTIF($C$9:$C$2008,C1014)&lt;&gt;1,COUNTIFS($D$9:$D$2008,D1014,$E$9:$E$2008,E1014)&lt;&gt;1),"Duplicate test",IF(COUNTIF('Taxonomy'!$C$9:$C$108,D1014)&lt;&gt;1,"Assessment key",IF(OR(COUNTIF('Taxonomy Rules'!$C$42:$C$68,E1014)&lt;&gt;1,F1014&lt;&gt;IFERROR(INDEX('Taxonomy Rules'!$D$42:$D$68,MATCH(E1014,'Taxonomy Rules'!$C$42:$C$68,0)),""),NOT(OR(IFERROR(INDEX('Taxonomy Rules'!$G$42:$G$68,MATCH(E1014,'Taxonomy Rules'!$C$42:$C$68,0)),"")="All supported routes",IFERROR(INDEX('Taxonomy Rules'!$G$42:$G$68,MATCH(E1014,'Taxonomy Rules'!$C$42:$C$68,0)),"")=U1014,AND(IFERROR(INDEX('Taxonomy Rules'!$G$42:$G$68,MATCH(E1014,'Taxonomy Rules'!$C$42:$C$68,0)),"")="Building routes",OR(U1014="Building renovation",U1014="New building",U1014="Building equipment"))))),"Unexpected test","Valid"))))</x:f>
      </x:c>
      <x:c r="S1014" s="9" t="str">
        <x:f>IF(C1014="","",IFERROR(INDEX('Taxonomy Rules'!$E$42:$E$68,MATCH(E1014,'Taxonomy Rules'!$C$42:$C$68,0)),""))</x:f>
      </x:c>
      <x:c r="T1014" s="9" t="str">
        <x:f>IF(C1014="","",IFERROR(INDEX('Taxonomy Rules'!$F$42:$F$68,MATCH(E1014,'Taxonomy Rules'!$C$42:$C$68,0)),""))</x:f>
      </x:c>
      <x:c r="U1014" s="9" t="str">
        <x:f>IF(C1014="","",IFERROR(INDEX('Taxonomy'!$G$9:$G$108,MATCH(D1014,'Taxonomy'!$C$9:$C$108,0)),""))</x:f>
      </x:c>
    </x:row>
    <x:row r="1015" ht="44" customHeight="1">
      <x:c r="A1015" s="1"/>
      <x:c r="B1015" s="1"/>
      <x:c r="C1015" s="8"/>
      <x:c r="D1015" s="8"/>
      <x:c r="E1015" s="8"/>
      <x:c r="F1015" s="8"/>
      <x:c r="G1015" s="8"/>
      <x:c r="H1015" s="8"/>
      <x:c r="I1015" s="8"/>
      <x:c r="J1015" s="8"/>
      <x:c r="K1015" s="8"/>
      <x:c r="L1015" s="8"/>
      <x:c r="M1015" s="10"/>
      <x:c r="N1015" s="10"/>
      <x:c r="O1015" s="8"/>
      <x:c r="P1015" s="9" t="str">
        <x:f>IF(C1015="","",IF(AND(G1015="Applicable",H1015="Fail"),"Fail",IF(R1015&lt;&gt;"Valid","Pending",IF(OR(I1015="",K1015="",L1015="",K1015=L1015,NOT(ISNUMBER(M1015)),NOT(ISNUMBER(N1015)),M1015&gt;Settings!$F$8,N1015&lt;Settings!$F$8,N1015&lt;M1015),"Pending",IF(AND(G1015="Applicable",H1015="Pass"),"Pass",IF(AND(G1015="N/A",H1015="N/A",J1015&lt;&gt;"",OR(E1015="CEM-FUELS",E1015="CEM-CCS",AND(E1015="CEM-PLAN",IFERROR(INDEX('Taxonomy'!$M$9:$M$108,MATCH(D1015,'Taxonomy'!$C$9:$C$108,0)),"")&lt;&gt;"Amber"),E1015="BLD-TIMBER",AND(U1015="Building equipment",OR(E1015="BLD-WATER",E1015="BLD-WASTE",E1015="BLD-LAND")),AND(U1015="Building renovation",E1015="BLD-LAND"))),"N/A","Pending"))))))</x:f>
      </x:c>
      <x:c r="Q1015" s="3" t="str">
        <x:f>IF(C1015="","",IF(AND(R1015="Valid",OR(P1015="Pass",P1015="N/A")),"Complete","Unresolved"))</x:f>
      </x:c>
      <x:c r="R1015" s="9" t="str">
        <x:f>IF(C1015="","",IF(OR(COUNTIF($C$9:$C$2008,C1015)&lt;&gt;1,COUNTIFS($D$9:$D$2008,D1015,$E$9:$E$2008,E1015)&lt;&gt;1),"Duplicate test",IF(COUNTIF('Taxonomy'!$C$9:$C$108,D1015)&lt;&gt;1,"Assessment key",IF(OR(COUNTIF('Taxonomy Rules'!$C$42:$C$68,E1015)&lt;&gt;1,F1015&lt;&gt;IFERROR(INDEX('Taxonomy Rules'!$D$42:$D$68,MATCH(E1015,'Taxonomy Rules'!$C$42:$C$68,0)),""),NOT(OR(IFERROR(INDEX('Taxonomy Rules'!$G$42:$G$68,MATCH(E1015,'Taxonomy Rules'!$C$42:$C$68,0)),"")="All supported routes",IFERROR(INDEX('Taxonomy Rules'!$G$42:$G$68,MATCH(E1015,'Taxonomy Rules'!$C$42:$C$68,0)),"")=U1015,AND(IFERROR(INDEX('Taxonomy Rules'!$G$42:$G$68,MATCH(E1015,'Taxonomy Rules'!$C$42:$C$68,0)),"")="Building routes",OR(U1015="Building renovation",U1015="New building",U1015="Building equipment"))))),"Unexpected test","Valid"))))</x:f>
      </x:c>
      <x:c r="S1015" s="9" t="str">
        <x:f>IF(C1015="","",IFERROR(INDEX('Taxonomy Rules'!$E$42:$E$68,MATCH(E1015,'Taxonomy Rules'!$C$42:$C$68,0)),""))</x:f>
      </x:c>
      <x:c r="T1015" s="9" t="str">
        <x:f>IF(C1015="","",IFERROR(INDEX('Taxonomy Rules'!$F$42:$F$68,MATCH(E1015,'Taxonomy Rules'!$C$42:$C$68,0)),""))</x:f>
      </x:c>
      <x:c r="U1015" s="9" t="str">
        <x:f>IF(C1015="","",IFERROR(INDEX('Taxonomy'!$G$9:$G$108,MATCH(D1015,'Taxonomy'!$C$9:$C$108,0)),""))</x:f>
      </x:c>
    </x:row>
    <x:row r="1016" ht="44" customHeight="1">
      <x:c r="A1016" s="1"/>
      <x:c r="B1016" s="1"/>
      <x:c r="C1016" s="8"/>
      <x:c r="D1016" s="8"/>
      <x:c r="E1016" s="8"/>
      <x:c r="F1016" s="8"/>
      <x:c r="G1016" s="8"/>
      <x:c r="H1016" s="8"/>
      <x:c r="I1016" s="8"/>
      <x:c r="J1016" s="8"/>
      <x:c r="K1016" s="8"/>
      <x:c r="L1016" s="8"/>
      <x:c r="M1016" s="10"/>
      <x:c r="N1016" s="10"/>
      <x:c r="O1016" s="8"/>
      <x:c r="P1016" s="9" t="str">
        <x:f>IF(C1016="","",IF(AND(G1016="Applicable",H1016="Fail"),"Fail",IF(R1016&lt;&gt;"Valid","Pending",IF(OR(I1016="",K1016="",L1016="",K1016=L1016,NOT(ISNUMBER(M1016)),NOT(ISNUMBER(N1016)),M1016&gt;Settings!$F$8,N1016&lt;Settings!$F$8,N1016&lt;M1016),"Pending",IF(AND(G1016="Applicable",H1016="Pass"),"Pass",IF(AND(G1016="N/A",H1016="N/A",J1016&lt;&gt;"",OR(E1016="CEM-FUELS",E1016="CEM-CCS",AND(E1016="CEM-PLAN",IFERROR(INDEX('Taxonomy'!$M$9:$M$108,MATCH(D1016,'Taxonomy'!$C$9:$C$108,0)),"")&lt;&gt;"Amber"),E1016="BLD-TIMBER",AND(U1016="Building equipment",OR(E1016="BLD-WATER",E1016="BLD-WASTE",E1016="BLD-LAND")),AND(U1016="Building renovation",E1016="BLD-LAND"))),"N/A","Pending"))))))</x:f>
      </x:c>
      <x:c r="Q1016" s="3" t="str">
        <x:f>IF(C1016="","",IF(AND(R1016="Valid",OR(P1016="Pass",P1016="N/A")),"Complete","Unresolved"))</x:f>
      </x:c>
      <x:c r="R1016" s="9" t="str">
        <x:f>IF(C1016="","",IF(OR(COUNTIF($C$9:$C$2008,C1016)&lt;&gt;1,COUNTIFS($D$9:$D$2008,D1016,$E$9:$E$2008,E1016)&lt;&gt;1),"Duplicate test",IF(COUNTIF('Taxonomy'!$C$9:$C$108,D1016)&lt;&gt;1,"Assessment key",IF(OR(COUNTIF('Taxonomy Rules'!$C$42:$C$68,E1016)&lt;&gt;1,F1016&lt;&gt;IFERROR(INDEX('Taxonomy Rules'!$D$42:$D$68,MATCH(E1016,'Taxonomy Rules'!$C$42:$C$68,0)),""),NOT(OR(IFERROR(INDEX('Taxonomy Rules'!$G$42:$G$68,MATCH(E1016,'Taxonomy Rules'!$C$42:$C$68,0)),"")="All supported routes",IFERROR(INDEX('Taxonomy Rules'!$G$42:$G$68,MATCH(E1016,'Taxonomy Rules'!$C$42:$C$68,0)),"")=U1016,AND(IFERROR(INDEX('Taxonomy Rules'!$G$42:$G$68,MATCH(E1016,'Taxonomy Rules'!$C$42:$C$68,0)),"")="Building routes",OR(U1016="Building renovation",U1016="New building",U1016="Building equipment"))))),"Unexpected test","Valid"))))</x:f>
      </x:c>
      <x:c r="S1016" s="9" t="str">
        <x:f>IF(C1016="","",IFERROR(INDEX('Taxonomy Rules'!$E$42:$E$68,MATCH(E1016,'Taxonomy Rules'!$C$42:$C$68,0)),""))</x:f>
      </x:c>
      <x:c r="T1016" s="9" t="str">
        <x:f>IF(C1016="","",IFERROR(INDEX('Taxonomy Rules'!$F$42:$F$68,MATCH(E1016,'Taxonomy Rules'!$C$42:$C$68,0)),""))</x:f>
      </x:c>
      <x:c r="U1016" s="9" t="str">
        <x:f>IF(C1016="","",IFERROR(INDEX('Taxonomy'!$G$9:$G$108,MATCH(D1016,'Taxonomy'!$C$9:$C$108,0)),""))</x:f>
      </x:c>
    </x:row>
    <x:row r="1017" ht="44" customHeight="1">
      <x:c r="A1017" s="1"/>
      <x:c r="B1017" s="1"/>
      <x:c r="C1017" s="8"/>
      <x:c r="D1017" s="8"/>
      <x:c r="E1017" s="8"/>
      <x:c r="F1017" s="8"/>
      <x:c r="G1017" s="8"/>
      <x:c r="H1017" s="8"/>
      <x:c r="I1017" s="8"/>
      <x:c r="J1017" s="8"/>
      <x:c r="K1017" s="8"/>
      <x:c r="L1017" s="8"/>
      <x:c r="M1017" s="10"/>
      <x:c r="N1017" s="10"/>
      <x:c r="O1017" s="8"/>
      <x:c r="P1017" s="9" t="str">
        <x:f>IF(C1017="","",IF(AND(G1017="Applicable",H1017="Fail"),"Fail",IF(R1017&lt;&gt;"Valid","Pending",IF(OR(I1017="",K1017="",L1017="",K1017=L1017,NOT(ISNUMBER(M1017)),NOT(ISNUMBER(N1017)),M1017&gt;Settings!$F$8,N1017&lt;Settings!$F$8,N1017&lt;M1017),"Pending",IF(AND(G1017="Applicable",H1017="Pass"),"Pass",IF(AND(G1017="N/A",H1017="N/A",J1017&lt;&gt;"",OR(E1017="CEM-FUELS",E1017="CEM-CCS",AND(E1017="CEM-PLAN",IFERROR(INDEX('Taxonomy'!$M$9:$M$108,MATCH(D1017,'Taxonomy'!$C$9:$C$108,0)),"")&lt;&gt;"Amber"),E1017="BLD-TIMBER",AND(U1017="Building equipment",OR(E1017="BLD-WATER",E1017="BLD-WASTE",E1017="BLD-LAND")),AND(U1017="Building renovation",E1017="BLD-LAND"))),"N/A","Pending"))))))</x:f>
      </x:c>
      <x:c r="Q1017" s="3" t="str">
        <x:f>IF(C1017="","",IF(AND(R1017="Valid",OR(P1017="Pass",P1017="N/A")),"Complete","Unresolved"))</x:f>
      </x:c>
      <x:c r="R1017" s="9" t="str">
        <x:f>IF(C1017="","",IF(OR(COUNTIF($C$9:$C$2008,C1017)&lt;&gt;1,COUNTIFS($D$9:$D$2008,D1017,$E$9:$E$2008,E1017)&lt;&gt;1),"Duplicate test",IF(COUNTIF('Taxonomy'!$C$9:$C$108,D1017)&lt;&gt;1,"Assessment key",IF(OR(COUNTIF('Taxonomy Rules'!$C$42:$C$68,E1017)&lt;&gt;1,F1017&lt;&gt;IFERROR(INDEX('Taxonomy Rules'!$D$42:$D$68,MATCH(E1017,'Taxonomy Rules'!$C$42:$C$68,0)),""),NOT(OR(IFERROR(INDEX('Taxonomy Rules'!$G$42:$G$68,MATCH(E1017,'Taxonomy Rules'!$C$42:$C$68,0)),"")="All supported routes",IFERROR(INDEX('Taxonomy Rules'!$G$42:$G$68,MATCH(E1017,'Taxonomy Rules'!$C$42:$C$68,0)),"")=U1017,AND(IFERROR(INDEX('Taxonomy Rules'!$G$42:$G$68,MATCH(E1017,'Taxonomy Rules'!$C$42:$C$68,0)),"")="Building routes",OR(U1017="Building renovation",U1017="New building",U1017="Building equipment"))))),"Unexpected test","Valid"))))</x:f>
      </x:c>
      <x:c r="S1017" s="9" t="str">
        <x:f>IF(C1017="","",IFERROR(INDEX('Taxonomy Rules'!$E$42:$E$68,MATCH(E1017,'Taxonomy Rules'!$C$42:$C$68,0)),""))</x:f>
      </x:c>
      <x:c r="T1017" s="9" t="str">
        <x:f>IF(C1017="","",IFERROR(INDEX('Taxonomy Rules'!$F$42:$F$68,MATCH(E1017,'Taxonomy Rules'!$C$42:$C$68,0)),""))</x:f>
      </x:c>
      <x:c r="U1017" s="9" t="str">
        <x:f>IF(C1017="","",IFERROR(INDEX('Taxonomy'!$G$9:$G$108,MATCH(D1017,'Taxonomy'!$C$9:$C$108,0)),""))</x:f>
      </x:c>
    </x:row>
    <x:row r="1018" ht="44" customHeight="1">
      <x:c r="A1018" s="1"/>
      <x:c r="B1018" s="1"/>
      <x:c r="C1018" s="8"/>
      <x:c r="D1018" s="8"/>
      <x:c r="E1018" s="8"/>
      <x:c r="F1018" s="8"/>
      <x:c r="G1018" s="8"/>
      <x:c r="H1018" s="8"/>
      <x:c r="I1018" s="8"/>
      <x:c r="J1018" s="8"/>
      <x:c r="K1018" s="8"/>
      <x:c r="L1018" s="8"/>
      <x:c r="M1018" s="10"/>
      <x:c r="N1018" s="10"/>
      <x:c r="O1018" s="8"/>
      <x:c r="P1018" s="9" t="str">
        <x:f>IF(C1018="","",IF(AND(G1018="Applicable",H1018="Fail"),"Fail",IF(R1018&lt;&gt;"Valid","Pending",IF(OR(I1018="",K1018="",L1018="",K1018=L1018,NOT(ISNUMBER(M1018)),NOT(ISNUMBER(N1018)),M1018&gt;Settings!$F$8,N1018&lt;Settings!$F$8,N1018&lt;M1018),"Pending",IF(AND(G1018="Applicable",H1018="Pass"),"Pass",IF(AND(G1018="N/A",H1018="N/A",J1018&lt;&gt;"",OR(E1018="CEM-FUELS",E1018="CEM-CCS",AND(E1018="CEM-PLAN",IFERROR(INDEX('Taxonomy'!$M$9:$M$108,MATCH(D1018,'Taxonomy'!$C$9:$C$108,0)),"")&lt;&gt;"Amber"),E1018="BLD-TIMBER",AND(U1018="Building equipment",OR(E1018="BLD-WATER",E1018="BLD-WASTE",E1018="BLD-LAND")),AND(U1018="Building renovation",E1018="BLD-LAND"))),"N/A","Pending"))))))</x:f>
      </x:c>
      <x:c r="Q1018" s="3" t="str">
        <x:f>IF(C1018="","",IF(AND(R1018="Valid",OR(P1018="Pass",P1018="N/A")),"Complete","Unresolved"))</x:f>
      </x:c>
      <x:c r="R1018" s="9" t="str">
        <x:f>IF(C1018="","",IF(OR(COUNTIF($C$9:$C$2008,C1018)&lt;&gt;1,COUNTIFS($D$9:$D$2008,D1018,$E$9:$E$2008,E1018)&lt;&gt;1),"Duplicate test",IF(COUNTIF('Taxonomy'!$C$9:$C$108,D1018)&lt;&gt;1,"Assessment key",IF(OR(COUNTIF('Taxonomy Rules'!$C$42:$C$68,E1018)&lt;&gt;1,F1018&lt;&gt;IFERROR(INDEX('Taxonomy Rules'!$D$42:$D$68,MATCH(E1018,'Taxonomy Rules'!$C$42:$C$68,0)),""),NOT(OR(IFERROR(INDEX('Taxonomy Rules'!$G$42:$G$68,MATCH(E1018,'Taxonomy Rules'!$C$42:$C$68,0)),"")="All supported routes",IFERROR(INDEX('Taxonomy Rules'!$G$42:$G$68,MATCH(E1018,'Taxonomy Rules'!$C$42:$C$68,0)),"")=U1018,AND(IFERROR(INDEX('Taxonomy Rules'!$G$42:$G$68,MATCH(E1018,'Taxonomy Rules'!$C$42:$C$68,0)),"")="Building routes",OR(U1018="Building renovation",U1018="New building",U1018="Building equipment"))))),"Unexpected test","Valid"))))</x:f>
      </x:c>
      <x:c r="S1018" s="9" t="str">
        <x:f>IF(C1018="","",IFERROR(INDEX('Taxonomy Rules'!$E$42:$E$68,MATCH(E1018,'Taxonomy Rules'!$C$42:$C$68,0)),""))</x:f>
      </x:c>
      <x:c r="T1018" s="9" t="str">
        <x:f>IF(C1018="","",IFERROR(INDEX('Taxonomy Rules'!$F$42:$F$68,MATCH(E1018,'Taxonomy Rules'!$C$42:$C$68,0)),""))</x:f>
      </x:c>
      <x:c r="U1018" s="9" t="str">
        <x:f>IF(C1018="","",IFERROR(INDEX('Taxonomy'!$G$9:$G$108,MATCH(D1018,'Taxonomy'!$C$9:$C$108,0)),""))</x:f>
      </x:c>
    </x:row>
    <x:row r="1019" ht="44" customHeight="1">
      <x:c r="A1019" s="1"/>
      <x:c r="B1019" s="1"/>
      <x:c r="C1019" s="8"/>
      <x:c r="D1019" s="8"/>
      <x:c r="E1019" s="8"/>
      <x:c r="F1019" s="8"/>
      <x:c r="G1019" s="8"/>
      <x:c r="H1019" s="8"/>
      <x:c r="I1019" s="8"/>
      <x:c r="J1019" s="8"/>
      <x:c r="K1019" s="8"/>
      <x:c r="L1019" s="8"/>
      <x:c r="M1019" s="10"/>
      <x:c r="N1019" s="10"/>
      <x:c r="O1019" s="8"/>
      <x:c r="P1019" s="9" t="str">
        <x:f>IF(C1019="","",IF(AND(G1019="Applicable",H1019="Fail"),"Fail",IF(R1019&lt;&gt;"Valid","Pending",IF(OR(I1019="",K1019="",L1019="",K1019=L1019,NOT(ISNUMBER(M1019)),NOT(ISNUMBER(N1019)),M1019&gt;Settings!$F$8,N1019&lt;Settings!$F$8,N1019&lt;M1019),"Pending",IF(AND(G1019="Applicable",H1019="Pass"),"Pass",IF(AND(G1019="N/A",H1019="N/A",J1019&lt;&gt;"",OR(E1019="CEM-FUELS",E1019="CEM-CCS",AND(E1019="CEM-PLAN",IFERROR(INDEX('Taxonomy'!$M$9:$M$108,MATCH(D1019,'Taxonomy'!$C$9:$C$108,0)),"")&lt;&gt;"Amber"),E1019="BLD-TIMBER",AND(U1019="Building equipment",OR(E1019="BLD-WATER",E1019="BLD-WASTE",E1019="BLD-LAND")),AND(U1019="Building renovation",E1019="BLD-LAND"))),"N/A","Pending"))))))</x:f>
      </x:c>
      <x:c r="Q1019" s="3" t="str">
        <x:f>IF(C1019="","",IF(AND(R1019="Valid",OR(P1019="Pass",P1019="N/A")),"Complete","Unresolved"))</x:f>
      </x:c>
      <x:c r="R1019" s="9" t="str">
        <x:f>IF(C1019="","",IF(OR(COUNTIF($C$9:$C$2008,C1019)&lt;&gt;1,COUNTIFS($D$9:$D$2008,D1019,$E$9:$E$2008,E1019)&lt;&gt;1),"Duplicate test",IF(COUNTIF('Taxonomy'!$C$9:$C$108,D1019)&lt;&gt;1,"Assessment key",IF(OR(COUNTIF('Taxonomy Rules'!$C$42:$C$68,E1019)&lt;&gt;1,F1019&lt;&gt;IFERROR(INDEX('Taxonomy Rules'!$D$42:$D$68,MATCH(E1019,'Taxonomy Rules'!$C$42:$C$68,0)),""),NOT(OR(IFERROR(INDEX('Taxonomy Rules'!$G$42:$G$68,MATCH(E1019,'Taxonomy Rules'!$C$42:$C$68,0)),"")="All supported routes",IFERROR(INDEX('Taxonomy Rules'!$G$42:$G$68,MATCH(E1019,'Taxonomy Rules'!$C$42:$C$68,0)),"")=U1019,AND(IFERROR(INDEX('Taxonomy Rules'!$G$42:$G$68,MATCH(E1019,'Taxonomy Rules'!$C$42:$C$68,0)),"")="Building routes",OR(U1019="Building renovation",U1019="New building",U1019="Building equipment"))))),"Unexpected test","Valid"))))</x:f>
      </x:c>
      <x:c r="S1019" s="9" t="str">
        <x:f>IF(C1019="","",IFERROR(INDEX('Taxonomy Rules'!$E$42:$E$68,MATCH(E1019,'Taxonomy Rules'!$C$42:$C$68,0)),""))</x:f>
      </x:c>
      <x:c r="T1019" s="9" t="str">
        <x:f>IF(C1019="","",IFERROR(INDEX('Taxonomy Rules'!$F$42:$F$68,MATCH(E1019,'Taxonomy Rules'!$C$42:$C$68,0)),""))</x:f>
      </x:c>
      <x:c r="U1019" s="9" t="str">
        <x:f>IF(C1019="","",IFERROR(INDEX('Taxonomy'!$G$9:$G$108,MATCH(D1019,'Taxonomy'!$C$9:$C$108,0)),""))</x:f>
      </x:c>
    </x:row>
    <x:row r="1020" ht="44" customHeight="1">
      <x:c r="A1020" s="1"/>
      <x:c r="B1020" s="1"/>
      <x:c r="C1020" s="8"/>
      <x:c r="D1020" s="8"/>
      <x:c r="E1020" s="8"/>
      <x:c r="F1020" s="8"/>
      <x:c r="G1020" s="8"/>
      <x:c r="H1020" s="8"/>
      <x:c r="I1020" s="8"/>
      <x:c r="J1020" s="8"/>
      <x:c r="K1020" s="8"/>
      <x:c r="L1020" s="8"/>
      <x:c r="M1020" s="10"/>
      <x:c r="N1020" s="10"/>
      <x:c r="O1020" s="8"/>
      <x:c r="P1020" s="9" t="str">
        <x:f>IF(C1020="","",IF(AND(G1020="Applicable",H1020="Fail"),"Fail",IF(R1020&lt;&gt;"Valid","Pending",IF(OR(I1020="",K1020="",L1020="",K1020=L1020,NOT(ISNUMBER(M1020)),NOT(ISNUMBER(N1020)),M1020&gt;Settings!$F$8,N1020&lt;Settings!$F$8,N1020&lt;M1020),"Pending",IF(AND(G1020="Applicable",H1020="Pass"),"Pass",IF(AND(G1020="N/A",H1020="N/A",J1020&lt;&gt;"",OR(E1020="CEM-FUELS",E1020="CEM-CCS",AND(E1020="CEM-PLAN",IFERROR(INDEX('Taxonomy'!$M$9:$M$108,MATCH(D1020,'Taxonomy'!$C$9:$C$108,0)),"")&lt;&gt;"Amber"),E1020="BLD-TIMBER",AND(U1020="Building equipment",OR(E1020="BLD-WATER",E1020="BLD-WASTE",E1020="BLD-LAND")),AND(U1020="Building renovation",E1020="BLD-LAND"))),"N/A","Pending"))))))</x:f>
      </x:c>
      <x:c r="Q1020" s="3" t="str">
        <x:f>IF(C1020="","",IF(AND(R1020="Valid",OR(P1020="Pass",P1020="N/A")),"Complete","Unresolved"))</x:f>
      </x:c>
      <x:c r="R1020" s="9" t="str">
        <x:f>IF(C1020="","",IF(OR(COUNTIF($C$9:$C$2008,C1020)&lt;&gt;1,COUNTIFS($D$9:$D$2008,D1020,$E$9:$E$2008,E1020)&lt;&gt;1),"Duplicate test",IF(COUNTIF('Taxonomy'!$C$9:$C$108,D1020)&lt;&gt;1,"Assessment key",IF(OR(COUNTIF('Taxonomy Rules'!$C$42:$C$68,E1020)&lt;&gt;1,F1020&lt;&gt;IFERROR(INDEX('Taxonomy Rules'!$D$42:$D$68,MATCH(E1020,'Taxonomy Rules'!$C$42:$C$68,0)),""),NOT(OR(IFERROR(INDEX('Taxonomy Rules'!$G$42:$G$68,MATCH(E1020,'Taxonomy Rules'!$C$42:$C$68,0)),"")="All supported routes",IFERROR(INDEX('Taxonomy Rules'!$G$42:$G$68,MATCH(E1020,'Taxonomy Rules'!$C$42:$C$68,0)),"")=U1020,AND(IFERROR(INDEX('Taxonomy Rules'!$G$42:$G$68,MATCH(E1020,'Taxonomy Rules'!$C$42:$C$68,0)),"")="Building routes",OR(U1020="Building renovation",U1020="New building",U1020="Building equipment"))))),"Unexpected test","Valid"))))</x:f>
      </x:c>
      <x:c r="S1020" s="9" t="str">
        <x:f>IF(C1020="","",IFERROR(INDEX('Taxonomy Rules'!$E$42:$E$68,MATCH(E1020,'Taxonomy Rules'!$C$42:$C$68,0)),""))</x:f>
      </x:c>
      <x:c r="T1020" s="9" t="str">
        <x:f>IF(C1020="","",IFERROR(INDEX('Taxonomy Rules'!$F$42:$F$68,MATCH(E1020,'Taxonomy Rules'!$C$42:$C$68,0)),""))</x:f>
      </x:c>
      <x:c r="U1020" s="9" t="str">
        <x:f>IF(C1020="","",IFERROR(INDEX('Taxonomy'!$G$9:$G$108,MATCH(D1020,'Taxonomy'!$C$9:$C$108,0)),""))</x:f>
      </x:c>
    </x:row>
    <x:row r="1021" ht="44" customHeight="1">
      <x:c r="A1021" s="1"/>
      <x:c r="B1021" s="1"/>
      <x:c r="C1021" s="8"/>
      <x:c r="D1021" s="8"/>
      <x:c r="E1021" s="8"/>
      <x:c r="F1021" s="8"/>
      <x:c r="G1021" s="8"/>
      <x:c r="H1021" s="8"/>
      <x:c r="I1021" s="8"/>
      <x:c r="J1021" s="8"/>
      <x:c r="K1021" s="8"/>
      <x:c r="L1021" s="8"/>
      <x:c r="M1021" s="10"/>
      <x:c r="N1021" s="10"/>
      <x:c r="O1021" s="8"/>
      <x:c r="P1021" s="9" t="str">
        <x:f>IF(C1021="","",IF(AND(G1021="Applicable",H1021="Fail"),"Fail",IF(R1021&lt;&gt;"Valid","Pending",IF(OR(I1021="",K1021="",L1021="",K1021=L1021,NOT(ISNUMBER(M1021)),NOT(ISNUMBER(N1021)),M1021&gt;Settings!$F$8,N1021&lt;Settings!$F$8,N1021&lt;M1021),"Pending",IF(AND(G1021="Applicable",H1021="Pass"),"Pass",IF(AND(G1021="N/A",H1021="N/A",J1021&lt;&gt;"",OR(E1021="CEM-FUELS",E1021="CEM-CCS",AND(E1021="CEM-PLAN",IFERROR(INDEX('Taxonomy'!$M$9:$M$108,MATCH(D1021,'Taxonomy'!$C$9:$C$108,0)),"")&lt;&gt;"Amber"),E1021="BLD-TIMBER",AND(U1021="Building equipment",OR(E1021="BLD-WATER",E1021="BLD-WASTE",E1021="BLD-LAND")),AND(U1021="Building renovation",E1021="BLD-LAND"))),"N/A","Pending"))))))</x:f>
      </x:c>
      <x:c r="Q1021" s="3" t="str">
        <x:f>IF(C1021="","",IF(AND(R1021="Valid",OR(P1021="Pass",P1021="N/A")),"Complete","Unresolved"))</x:f>
      </x:c>
      <x:c r="R1021" s="9" t="str">
        <x:f>IF(C1021="","",IF(OR(COUNTIF($C$9:$C$2008,C1021)&lt;&gt;1,COUNTIFS($D$9:$D$2008,D1021,$E$9:$E$2008,E1021)&lt;&gt;1),"Duplicate test",IF(COUNTIF('Taxonomy'!$C$9:$C$108,D1021)&lt;&gt;1,"Assessment key",IF(OR(COUNTIF('Taxonomy Rules'!$C$42:$C$68,E1021)&lt;&gt;1,F1021&lt;&gt;IFERROR(INDEX('Taxonomy Rules'!$D$42:$D$68,MATCH(E1021,'Taxonomy Rules'!$C$42:$C$68,0)),""),NOT(OR(IFERROR(INDEX('Taxonomy Rules'!$G$42:$G$68,MATCH(E1021,'Taxonomy Rules'!$C$42:$C$68,0)),"")="All supported routes",IFERROR(INDEX('Taxonomy Rules'!$G$42:$G$68,MATCH(E1021,'Taxonomy Rules'!$C$42:$C$68,0)),"")=U1021,AND(IFERROR(INDEX('Taxonomy Rules'!$G$42:$G$68,MATCH(E1021,'Taxonomy Rules'!$C$42:$C$68,0)),"")="Building routes",OR(U1021="Building renovation",U1021="New building",U1021="Building equipment"))))),"Unexpected test","Valid"))))</x:f>
      </x:c>
      <x:c r="S1021" s="9" t="str">
        <x:f>IF(C1021="","",IFERROR(INDEX('Taxonomy Rules'!$E$42:$E$68,MATCH(E1021,'Taxonomy Rules'!$C$42:$C$68,0)),""))</x:f>
      </x:c>
      <x:c r="T1021" s="9" t="str">
        <x:f>IF(C1021="","",IFERROR(INDEX('Taxonomy Rules'!$F$42:$F$68,MATCH(E1021,'Taxonomy Rules'!$C$42:$C$68,0)),""))</x:f>
      </x:c>
      <x:c r="U1021" s="9" t="str">
        <x:f>IF(C1021="","",IFERROR(INDEX('Taxonomy'!$G$9:$G$108,MATCH(D1021,'Taxonomy'!$C$9:$C$108,0)),""))</x:f>
      </x:c>
    </x:row>
    <x:row r="1022" ht="44" customHeight="1">
      <x:c r="A1022" s="1"/>
      <x:c r="B1022" s="1"/>
      <x:c r="C1022" s="8"/>
      <x:c r="D1022" s="8"/>
      <x:c r="E1022" s="8"/>
      <x:c r="F1022" s="8"/>
      <x:c r="G1022" s="8"/>
      <x:c r="H1022" s="8"/>
      <x:c r="I1022" s="8"/>
      <x:c r="J1022" s="8"/>
      <x:c r="K1022" s="8"/>
      <x:c r="L1022" s="8"/>
      <x:c r="M1022" s="10"/>
      <x:c r="N1022" s="10"/>
      <x:c r="O1022" s="8"/>
      <x:c r="P1022" s="9" t="str">
        <x:f>IF(C1022="","",IF(AND(G1022="Applicable",H1022="Fail"),"Fail",IF(R1022&lt;&gt;"Valid","Pending",IF(OR(I1022="",K1022="",L1022="",K1022=L1022,NOT(ISNUMBER(M1022)),NOT(ISNUMBER(N1022)),M1022&gt;Settings!$F$8,N1022&lt;Settings!$F$8,N1022&lt;M1022),"Pending",IF(AND(G1022="Applicable",H1022="Pass"),"Pass",IF(AND(G1022="N/A",H1022="N/A",J1022&lt;&gt;"",OR(E1022="CEM-FUELS",E1022="CEM-CCS",AND(E1022="CEM-PLAN",IFERROR(INDEX('Taxonomy'!$M$9:$M$108,MATCH(D1022,'Taxonomy'!$C$9:$C$108,0)),"")&lt;&gt;"Amber"),E1022="BLD-TIMBER",AND(U1022="Building equipment",OR(E1022="BLD-WATER",E1022="BLD-WASTE",E1022="BLD-LAND")),AND(U1022="Building renovation",E1022="BLD-LAND"))),"N/A","Pending"))))))</x:f>
      </x:c>
      <x:c r="Q1022" s="3" t="str">
        <x:f>IF(C1022="","",IF(AND(R1022="Valid",OR(P1022="Pass",P1022="N/A")),"Complete","Unresolved"))</x:f>
      </x:c>
      <x:c r="R1022" s="9" t="str">
        <x:f>IF(C1022="","",IF(OR(COUNTIF($C$9:$C$2008,C1022)&lt;&gt;1,COUNTIFS($D$9:$D$2008,D1022,$E$9:$E$2008,E1022)&lt;&gt;1),"Duplicate test",IF(COUNTIF('Taxonomy'!$C$9:$C$108,D1022)&lt;&gt;1,"Assessment key",IF(OR(COUNTIF('Taxonomy Rules'!$C$42:$C$68,E1022)&lt;&gt;1,F1022&lt;&gt;IFERROR(INDEX('Taxonomy Rules'!$D$42:$D$68,MATCH(E1022,'Taxonomy Rules'!$C$42:$C$68,0)),""),NOT(OR(IFERROR(INDEX('Taxonomy Rules'!$G$42:$G$68,MATCH(E1022,'Taxonomy Rules'!$C$42:$C$68,0)),"")="All supported routes",IFERROR(INDEX('Taxonomy Rules'!$G$42:$G$68,MATCH(E1022,'Taxonomy Rules'!$C$42:$C$68,0)),"")=U1022,AND(IFERROR(INDEX('Taxonomy Rules'!$G$42:$G$68,MATCH(E1022,'Taxonomy Rules'!$C$42:$C$68,0)),"")="Building routes",OR(U1022="Building renovation",U1022="New building",U1022="Building equipment"))))),"Unexpected test","Valid"))))</x:f>
      </x:c>
      <x:c r="S1022" s="9" t="str">
        <x:f>IF(C1022="","",IFERROR(INDEX('Taxonomy Rules'!$E$42:$E$68,MATCH(E1022,'Taxonomy Rules'!$C$42:$C$68,0)),""))</x:f>
      </x:c>
      <x:c r="T1022" s="9" t="str">
        <x:f>IF(C1022="","",IFERROR(INDEX('Taxonomy Rules'!$F$42:$F$68,MATCH(E1022,'Taxonomy Rules'!$C$42:$C$68,0)),""))</x:f>
      </x:c>
      <x:c r="U1022" s="9" t="str">
        <x:f>IF(C1022="","",IFERROR(INDEX('Taxonomy'!$G$9:$G$108,MATCH(D1022,'Taxonomy'!$C$9:$C$108,0)),""))</x:f>
      </x:c>
    </x:row>
    <x:row r="1023" ht="44" customHeight="1">
      <x:c r="A1023" s="1"/>
      <x:c r="B1023" s="1"/>
      <x:c r="C1023" s="8"/>
      <x:c r="D1023" s="8"/>
      <x:c r="E1023" s="8"/>
      <x:c r="F1023" s="8"/>
      <x:c r="G1023" s="8"/>
      <x:c r="H1023" s="8"/>
      <x:c r="I1023" s="8"/>
      <x:c r="J1023" s="8"/>
      <x:c r="K1023" s="8"/>
      <x:c r="L1023" s="8"/>
      <x:c r="M1023" s="10"/>
      <x:c r="N1023" s="10"/>
      <x:c r="O1023" s="8"/>
      <x:c r="P1023" s="9" t="str">
        <x:f>IF(C1023="","",IF(AND(G1023="Applicable",H1023="Fail"),"Fail",IF(R1023&lt;&gt;"Valid","Pending",IF(OR(I1023="",K1023="",L1023="",K1023=L1023,NOT(ISNUMBER(M1023)),NOT(ISNUMBER(N1023)),M1023&gt;Settings!$F$8,N1023&lt;Settings!$F$8,N1023&lt;M1023),"Pending",IF(AND(G1023="Applicable",H1023="Pass"),"Pass",IF(AND(G1023="N/A",H1023="N/A",J1023&lt;&gt;"",OR(E1023="CEM-FUELS",E1023="CEM-CCS",AND(E1023="CEM-PLAN",IFERROR(INDEX('Taxonomy'!$M$9:$M$108,MATCH(D1023,'Taxonomy'!$C$9:$C$108,0)),"")&lt;&gt;"Amber"),E1023="BLD-TIMBER",AND(U1023="Building equipment",OR(E1023="BLD-WATER",E1023="BLD-WASTE",E1023="BLD-LAND")),AND(U1023="Building renovation",E1023="BLD-LAND"))),"N/A","Pending"))))))</x:f>
      </x:c>
      <x:c r="Q1023" s="3" t="str">
        <x:f>IF(C1023="","",IF(AND(R1023="Valid",OR(P1023="Pass",P1023="N/A")),"Complete","Unresolved"))</x:f>
      </x:c>
      <x:c r="R1023" s="9" t="str">
        <x:f>IF(C1023="","",IF(OR(COUNTIF($C$9:$C$2008,C1023)&lt;&gt;1,COUNTIFS($D$9:$D$2008,D1023,$E$9:$E$2008,E1023)&lt;&gt;1),"Duplicate test",IF(COUNTIF('Taxonomy'!$C$9:$C$108,D1023)&lt;&gt;1,"Assessment key",IF(OR(COUNTIF('Taxonomy Rules'!$C$42:$C$68,E1023)&lt;&gt;1,F1023&lt;&gt;IFERROR(INDEX('Taxonomy Rules'!$D$42:$D$68,MATCH(E1023,'Taxonomy Rules'!$C$42:$C$68,0)),""),NOT(OR(IFERROR(INDEX('Taxonomy Rules'!$G$42:$G$68,MATCH(E1023,'Taxonomy Rules'!$C$42:$C$68,0)),"")="All supported routes",IFERROR(INDEX('Taxonomy Rules'!$G$42:$G$68,MATCH(E1023,'Taxonomy Rules'!$C$42:$C$68,0)),"")=U1023,AND(IFERROR(INDEX('Taxonomy Rules'!$G$42:$G$68,MATCH(E1023,'Taxonomy Rules'!$C$42:$C$68,0)),"")="Building routes",OR(U1023="Building renovation",U1023="New building",U1023="Building equipment"))))),"Unexpected test","Valid"))))</x:f>
      </x:c>
      <x:c r="S1023" s="9" t="str">
        <x:f>IF(C1023="","",IFERROR(INDEX('Taxonomy Rules'!$E$42:$E$68,MATCH(E1023,'Taxonomy Rules'!$C$42:$C$68,0)),""))</x:f>
      </x:c>
      <x:c r="T1023" s="9" t="str">
        <x:f>IF(C1023="","",IFERROR(INDEX('Taxonomy Rules'!$F$42:$F$68,MATCH(E1023,'Taxonomy Rules'!$C$42:$C$68,0)),""))</x:f>
      </x:c>
      <x:c r="U1023" s="9" t="str">
        <x:f>IF(C1023="","",IFERROR(INDEX('Taxonomy'!$G$9:$G$108,MATCH(D1023,'Taxonomy'!$C$9:$C$108,0)),""))</x:f>
      </x:c>
    </x:row>
    <x:row r="1024" ht="44" customHeight="1">
      <x:c r="A1024" s="1"/>
      <x:c r="B1024" s="1"/>
      <x:c r="C1024" s="8"/>
      <x:c r="D1024" s="8"/>
      <x:c r="E1024" s="8"/>
      <x:c r="F1024" s="8"/>
      <x:c r="G1024" s="8"/>
      <x:c r="H1024" s="8"/>
      <x:c r="I1024" s="8"/>
      <x:c r="J1024" s="8"/>
      <x:c r="K1024" s="8"/>
      <x:c r="L1024" s="8"/>
      <x:c r="M1024" s="10"/>
      <x:c r="N1024" s="10"/>
      <x:c r="O1024" s="8"/>
      <x:c r="P1024" s="9" t="str">
        <x:f>IF(C1024="","",IF(AND(G1024="Applicable",H1024="Fail"),"Fail",IF(R1024&lt;&gt;"Valid","Pending",IF(OR(I1024="",K1024="",L1024="",K1024=L1024,NOT(ISNUMBER(M1024)),NOT(ISNUMBER(N1024)),M1024&gt;Settings!$F$8,N1024&lt;Settings!$F$8,N1024&lt;M1024),"Pending",IF(AND(G1024="Applicable",H1024="Pass"),"Pass",IF(AND(G1024="N/A",H1024="N/A",J1024&lt;&gt;"",OR(E1024="CEM-FUELS",E1024="CEM-CCS",AND(E1024="CEM-PLAN",IFERROR(INDEX('Taxonomy'!$M$9:$M$108,MATCH(D1024,'Taxonomy'!$C$9:$C$108,0)),"")&lt;&gt;"Amber"),E1024="BLD-TIMBER",AND(U1024="Building equipment",OR(E1024="BLD-WATER",E1024="BLD-WASTE",E1024="BLD-LAND")),AND(U1024="Building renovation",E1024="BLD-LAND"))),"N/A","Pending"))))))</x:f>
      </x:c>
      <x:c r="Q1024" s="3" t="str">
        <x:f>IF(C1024="","",IF(AND(R1024="Valid",OR(P1024="Pass",P1024="N/A")),"Complete","Unresolved"))</x:f>
      </x:c>
      <x:c r="R1024" s="9" t="str">
        <x:f>IF(C1024="","",IF(OR(COUNTIF($C$9:$C$2008,C1024)&lt;&gt;1,COUNTIFS($D$9:$D$2008,D1024,$E$9:$E$2008,E1024)&lt;&gt;1),"Duplicate test",IF(COUNTIF('Taxonomy'!$C$9:$C$108,D1024)&lt;&gt;1,"Assessment key",IF(OR(COUNTIF('Taxonomy Rules'!$C$42:$C$68,E1024)&lt;&gt;1,F1024&lt;&gt;IFERROR(INDEX('Taxonomy Rules'!$D$42:$D$68,MATCH(E1024,'Taxonomy Rules'!$C$42:$C$68,0)),""),NOT(OR(IFERROR(INDEX('Taxonomy Rules'!$G$42:$G$68,MATCH(E1024,'Taxonomy Rules'!$C$42:$C$68,0)),"")="All supported routes",IFERROR(INDEX('Taxonomy Rules'!$G$42:$G$68,MATCH(E1024,'Taxonomy Rules'!$C$42:$C$68,0)),"")=U1024,AND(IFERROR(INDEX('Taxonomy Rules'!$G$42:$G$68,MATCH(E1024,'Taxonomy Rules'!$C$42:$C$68,0)),"")="Building routes",OR(U1024="Building renovation",U1024="New building",U1024="Building equipment"))))),"Unexpected test","Valid"))))</x:f>
      </x:c>
      <x:c r="S1024" s="9" t="str">
        <x:f>IF(C1024="","",IFERROR(INDEX('Taxonomy Rules'!$E$42:$E$68,MATCH(E1024,'Taxonomy Rules'!$C$42:$C$68,0)),""))</x:f>
      </x:c>
      <x:c r="T1024" s="9" t="str">
        <x:f>IF(C1024="","",IFERROR(INDEX('Taxonomy Rules'!$F$42:$F$68,MATCH(E1024,'Taxonomy Rules'!$C$42:$C$68,0)),""))</x:f>
      </x:c>
      <x:c r="U1024" s="9" t="str">
        <x:f>IF(C1024="","",IFERROR(INDEX('Taxonomy'!$G$9:$G$108,MATCH(D1024,'Taxonomy'!$C$9:$C$108,0)),""))</x:f>
      </x:c>
    </x:row>
    <x:row r="1025" ht="44" customHeight="1">
      <x:c r="A1025" s="1"/>
      <x:c r="B1025" s="1"/>
      <x:c r="C1025" s="8"/>
      <x:c r="D1025" s="8"/>
      <x:c r="E1025" s="8"/>
      <x:c r="F1025" s="8"/>
      <x:c r="G1025" s="8"/>
      <x:c r="H1025" s="8"/>
      <x:c r="I1025" s="8"/>
      <x:c r="J1025" s="8"/>
      <x:c r="K1025" s="8"/>
      <x:c r="L1025" s="8"/>
      <x:c r="M1025" s="10"/>
      <x:c r="N1025" s="10"/>
      <x:c r="O1025" s="8"/>
      <x:c r="P1025" s="9" t="str">
        <x:f>IF(C1025="","",IF(AND(G1025="Applicable",H1025="Fail"),"Fail",IF(R1025&lt;&gt;"Valid","Pending",IF(OR(I1025="",K1025="",L1025="",K1025=L1025,NOT(ISNUMBER(M1025)),NOT(ISNUMBER(N1025)),M1025&gt;Settings!$F$8,N1025&lt;Settings!$F$8,N1025&lt;M1025),"Pending",IF(AND(G1025="Applicable",H1025="Pass"),"Pass",IF(AND(G1025="N/A",H1025="N/A",J1025&lt;&gt;"",OR(E1025="CEM-FUELS",E1025="CEM-CCS",AND(E1025="CEM-PLAN",IFERROR(INDEX('Taxonomy'!$M$9:$M$108,MATCH(D1025,'Taxonomy'!$C$9:$C$108,0)),"")&lt;&gt;"Amber"),E1025="BLD-TIMBER",AND(U1025="Building equipment",OR(E1025="BLD-WATER",E1025="BLD-WASTE",E1025="BLD-LAND")),AND(U1025="Building renovation",E1025="BLD-LAND"))),"N/A","Pending"))))))</x:f>
      </x:c>
      <x:c r="Q1025" s="3" t="str">
        <x:f>IF(C1025="","",IF(AND(R1025="Valid",OR(P1025="Pass",P1025="N/A")),"Complete","Unresolved"))</x:f>
      </x:c>
      <x:c r="R1025" s="9" t="str">
        <x:f>IF(C1025="","",IF(OR(COUNTIF($C$9:$C$2008,C1025)&lt;&gt;1,COUNTIFS($D$9:$D$2008,D1025,$E$9:$E$2008,E1025)&lt;&gt;1),"Duplicate test",IF(COUNTIF('Taxonomy'!$C$9:$C$108,D1025)&lt;&gt;1,"Assessment key",IF(OR(COUNTIF('Taxonomy Rules'!$C$42:$C$68,E1025)&lt;&gt;1,F1025&lt;&gt;IFERROR(INDEX('Taxonomy Rules'!$D$42:$D$68,MATCH(E1025,'Taxonomy Rules'!$C$42:$C$68,0)),""),NOT(OR(IFERROR(INDEX('Taxonomy Rules'!$G$42:$G$68,MATCH(E1025,'Taxonomy Rules'!$C$42:$C$68,0)),"")="All supported routes",IFERROR(INDEX('Taxonomy Rules'!$G$42:$G$68,MATCH(E1025,'Taxonomy Rules'!$C$42:$C$68,0)),"")=U1025,AND(IFERROR(INDEX('Taxonomy Rules'!$G$42:$G$68,MATCH(E1025,'Taxonomy Rules'!$C$42:$C$68,0)),"")="Building routes",OR(U1025="Building renovation",U1025="New building",U1025="Building equipment"))))),"Unexpected test","Valid"))))</x:f>
      </x:c>
      <x:c r="S1025" s="9" t="str">
        <x:f>IF(C1025="","",IFERROR(INDEX('Taxonomy Rules'!$E$42:$E$68,MATCH(E1025,'Taxonomy Rules'!$C$42:$C$68,0)),""))</x:f>
      </x:c>
      <x:c r="T1025" s="9" t="str">
        <x:f>IF(C1025="","",IFERROR(INDEX('Taxonomy Rules'!$F$42:$F$68,MATCH(E1025,'Taxonomy Rules'!$C$42:$C$68,0)),""))</x:f>
      </x:c>
      <x:c r="U1025" s="9" t="str">
        <x:f>IF(C1025="","",IFERROR(INDEX('Taxonomy'!$G$9:$G$108,MATCH(D1025,'Taxonomy'!$C$9:$C$108,0)),""))</x:f>
      </x:c>
    </x:row>
    <x:row r="1026" ht="44" customHeight="1">
      <x:c r="A1026" s="1"/>
      <x:c r="B1026" s="1"/>
      <x:c r="C1026" s="8"/>
      <x:c r="D1026" s="8"/>
      <x:c r="E1026" s="8"/>
      <x:c r="F1026" s="8"/>
      <x:c r="G1026" s="8"/>
      <x:c r="H1026" s="8"/>
      <x:c r="I1026" s="8"/>
      <x:c r="J1026" s="8"/>
      <x:c r="K1026" s="8"/>
      <x:c r="L1026" s="8"/>
      <x:c r="M1026" s="10"/>
      <x:c r="N1026" s="10"/>
      <x:c r="O1026" s="8"/>
      <x:c r="P1026" s="9" t="str">
        <x:f>IF(C1026="","",IF(AND(G1026="Applicable",H1026="Fail"),"Fail",IF(R1026&lt;&gt;"Valid","Pending",IF(OR(I1026="",K1026="",L1026="",K1026=L1026,NOT(ISNUMBER(M1026)),NOT(ISNUMBER(N1026)),M1026&gt;Settings!$F$8,N1026&lt;Settings!$F$8,N1026&lt;M1026),"Pending",IF(AND(G1026="Applicable",H1026="Pass"),"Pass",IF(AND(G1026="N/A",H1026="N/A",J1026&lt;&gt;"",OR(E1026="CEM-FUELS",E1026="CEM-CCS",AND(E1026="CEM-PLAN",IFERROR(INDEX('Taxonomy'!$M$9:$M$108,MATCH(D1026,'Taxonomy'!$C$9:$C$108,0)),"")&lt;&gt;"Amber"),E1026="BLD-TIMBER",AND(U1026="Building equipment",OR(E1026="BLD-WATER",E1026="BLD-WASTE",E1026="BLD-LAND")),AND(U1026="Building renovation",E1026="BLD-LAND"))),"N/A","Pending"))))))</x:f>
      </x:c>
      <x:c r="Q1026" s="3" t="str">
        <x:f>IF(C1026="","",IF(AND(R1026="Valid",OR(P1026="Pass",P1026="N/A")),"Complete","Unresolved"))</x:f>
      </x:c>
      <x:c r="R1026" s="9" t="str">
        <x:f>IF(C1026="","",IF(OR(COUNTIF($C$9:$C$2008,C1026)&lt;&gt;1,COUNTIFS($D$9:$D$2008,D1026,$E$9:$E$2008,E1026)&lt;&gt;1),"Duplicate test",IF(COUNTIF('Taxonomy'!$C$9:$C$108,D1026)&lt;&gt;1,"Assessment key",IF(OR(COUNTIF('Taxonomy Rules'!$C$42:$C$68,E1026)&lt;&gt;1,F1026&lt;&gt;IFERROR(INDEX('Taxonomy Rules'!$D$42:$D$68,MATCH(E1026,'Taxonomy Rules'!$C$42:$C$68,0)),""),NOT(OR(IFERROR(INDEX('Taxonomy Rules'!$G$42:$G$68,MATCH(E1026,'Taxonomy Rules'!$C$42:$C$68,0)),"")="All supported routes",IFERROR(INDEX('Taxonomy Rules'!$G$42:$G$68,MATCH(E1026,'Taxonomy Rules'!$C$42:$C$68,0)),"")=U1026,AND(IFERROR(INDEX('Taxonomy Rules'!$G$42:$G$68,MATCH(E1026,'Taxonomy Rules'!$C$42:$C$68,0)),"")="Building routes",OR(U1026="Building renovation",U1026="New building",U1026="Building equipment"))))),"Unexpected test","Valid"))))</x:f>
      </x:c>
      <x:c r="S1026" s="9" t="str">
        <x:f>IF(C1026="","",IFERROR(INDEX('Taxonomy Rules'!$E$42:$E$68,MATCH(E1026,'Taxonomy Rules'!$C$42:$C$68,0)),""))</x:f>
      </x:c>
      <x:c r="T1026" s="9" t="str">
        <x:f>IF(C1026="","",IFERROR(INDEX('Taxonomy Rules'!$F$42:$F$68,MATCH(E1026,'Taxonomy Rules'!$C$42:$C$68,0)),""))</x:f>
      </x:c>
      <x:c r="U1026" s="9" t="str">
        <x:f>IF(C1026="","",IFERROR(INDEX('Taxonomy'!$G$9:$G$108,MATCH(D1026,'Taxonomy'!$C$9:$C$108,0)),""))</x:f>
      </x:c>
    </x:row>
    <x:row r="1027" ht="44" customHeight="1">
      <x:c r="A1027" s="1"/>
      <x:c r="B1027" s="1"/>
      <x:c r="C1027" s="8"/>
      <x:c r="D1027" s="8"/>
      <x:c r="E1027" s="8"/>
      <x:c r="F1027" s="8"/>
      <x:c r="G1027" s="8"/>
      <x:c r="H1027" s="8"/>
      <x:c r="I1027" s="8"/>
      <x:c r="J1027" s="8"/>
      <x:c r="K1027" s="8"/>
      <x:c r="L1027" s="8"/>
      <x:c r="M1027" s="10"/>
      <x:c r="N1027" s="10"/>
      <x:c r="O1027" s="8"/>
      <x:c r="P1027" s="9" t="str">
        <x:f>IF(C1027="","",IF(AND(G1027="Applicable",H1027="Fail"),"Fail",IF(R1027&lt;&gt;"Valid","Pending",IF(OR(I1027="",K1027="",L1027="",K1027=L1027,NOT(ISNUMBER(M1027)),NOT(ISNUMBER(N1027)),M1027&gt;Settings!$F$8,N1027&lt;Settings!$F$8,N1027&lt;M1027),"Pending",IF(AND(G1027="Applicable",H1027="Pass"),"Pass",IF(AND(G1027="N/A",H1027="N/A",J1027&lt;&gt;"",OR(E1027="CEM-FUELS",E1027="CEM-CCS",AND(E1027="CEM-PLAN",IFERROR(INDEX('Taxonomy'!$M$9:$M$108,MATCH(D1027,'Taxonomy'!$C$9:$C$108,0)),"")&lt;&gt;"Amber"),E1027="BLD-TIMBER",AND(U1027="Building equipment",OR(E1027="BLD-WATER",E1027="BLD-WASTE",E1027="BLD-LAND")),AND(U1027="Building renovation",E1027="BLD-LAND"))),"N/A","Pending"))))))</x:f>
      </x:c>
      <x:c r="Q1027" s="3" t="str">
        <x:f>IF(C1027="","",IF(AND(R1027="Valid",OR(P1027="Pass",P1027="N/A")),"Complete","Unresolved"))</x:f>
      </x:c>
      <x:c r="R1027" s="9" t="str">
        <x:f>IF(C1027="","",IF(OR(COUNTIF($C$9:$C$2008,C1027)&lt;&gt;1,COUNTIFS($D$9:$D$2008,D1027,$E$9:$E$2008,E1027)&lt;&gt;1),"Duplicate test",IF(COUNTIF('Taxonomy'!$C$9:$C$108,D1027)&lt;&gt;1,"Assessment key",IF(OR(COUNTIF('Taxonomy Rules'!$C$42:$C$68,E1027)&lt;&gt;1,F1027&lt;&gt;IFERROR(INDEX('Taxonomy Rules'!$D$42:$D$68,MATCH(E1027,'Taxonomy Rules'!$C$42:$C$68,0)),""),NOT(OR(IFERROR(INDEX('Taxonomy Rules'!$G$42:$G$68,MATCH(E1027,'Taxonomy Rules'!$C$42:$C$68,0)),"")="All supported routes",IFERROR(INDEX('Taxonomy Rules'!$G$42:$G$68,MATCH(E1027,'Taxonomy Rules'!$C$42:$C$68,0)),"")=U1027,AND(IFERROR(INDEX('Taxonomy Rules'!$G$42:$G$68,MATCH(E1027,'Taxonomy Rules'!$C$42:$C$68,0)),"")="Building routes",OR(U1027="Building renovation",U1027="New building",U1027="Building equipment"))))),"Unexpected test","Valid"))))</x:f>
      </x:c>
      <x:c r="S1027" s="9" t="str">
        <x:f>IF(C1027="","",IFERROR(INDEX('Taxonomy Rules'!$E$42:$E$68,MATCH(E1027,'Taxonomy Rules'!$C$42:$C$68,0)),""))</x:f>
      </x:c>
      <x:c r="T1027" s="9" t="str">
        <x:f>IF(C1027="","",IFERROR(INDEX('Taxonomy Rules'!$F$42:$F$68,MATCH(E1027,'Taxonomy Rules'!$C$42:$C$68,0)),""))</x:f>
      </x:c>
      <x:c r="U1027" s="9" t="str">
        <x:f>IF(C1027="","",IFERROR(INDEX('Taxonomy'!$G$9:$G$108,MATCH(D1027,'Taxonomy'!$C$9:$C$108,0)),""))</x:f>
      </x:c>
    </x:row>
    <x:row r="1028" ht="44" customHeight="1">
      <x:c r="A1028" s="1"/>
      <x:c r="B1028" s="1"/>
      <x:c r="C1028" s="8"/>
      <x:c r="D1028" s="8"/>
      <x:c r="E1028" s="8"/>
      <x:c r="F1028" s="8"/>
      <x:c r="G1028" s="8"/>
      <x:c r="H1028" s="8"/>
      <x:c r="I1028" s="8"/>
      <x:c r="J1028" s="8"/>
      <x:c r="K1028" s="8"/>
      <x:c r="L1028" s="8"/>
      <x:c r="M1028" s="10"/>
      <x:c r="N1028" s="10"/>
      <x:c r="O1028" s="8"/>
      <x:c r="P1028" s="9" t="str">
        <x:f>IF(C1028="","",IF(AND(G1028="Applicable",H1028="Fail"),"Fail",IF(R1028&lt;&gt;"Valid","Pending",IF(OR(I1028="",K1028="",L1028="",K1028=L1028,NOT(ISNUMBER(M1028)),NOT(ISNUMBER(N1028)),M1028&gt;Settings!$F$8,N1028&lt;Settings!$F$8,N1028&lt;M1028),"Pending",IF(AND(G1028="Applicable",H1028="Pass"),"Pass",IF(AND(G1028="N/A",H1028="N/A",J1028&lt;&gt;"",OR(E1028="CEM-FUELS",E1028="CEM-CCS",AND(E1028="CEM-PLAN",IFERROR(INDEX('Taxonomy'!$M$9:$M$108,MATCH(D1028,'Taxonomy'!$C$9:$C$108,0)),"")&lt;&gt;"Amber"),E1028="BLD-TIMBER",AND(U1028="Building equipment",OR(E1028="BLD-WATER",E1028="BLD-WASTE",E1028="BLD-LAND")),AND(U1028="Building renovation",E1028="BLD-LAND"))),"N/A","Pending"))))))</x:f>
      </x:c>
      <x:c r="Q1028" s="3" t="str">
        <x:f>IF(C1028="","",IF(AND(R1028="Valid",OR(P1028="Pass",P1028="N/A")),"Complete","Unresolved"))</x:f>
      </x:c>
      <x:c r="R1028" s="9" t="str">
        <x:f>IF(C1028="","",IF(OR(COUNTIF($C$9:$C$2008,C1028)&lt;&gt;1,COUNTIFS($D$9:$D$2008,D1028,$E$9:$E$2008,E1028)&lt;&gt;1),"Duplicate test",IF(COUNTIF('Taxonomy'!$C$9:$C$108,D1028)&lt;&gt;1,"Assessment key",IF(OR(COUNTIF('Taxonomy Rules'!$C$42:$C$68,E1028)&lt;&gt;1,F1028&lt;&gt;IFERROR(INDEX('Taxonomy Rules'!$D$42:$D$68,MATCH(E1028,'Taxonomy Rules'!$C$42:$C$68,0)),""),NOT(OR(IFERROR(INDEX('Taxonomy Rules'!$G$42:$G$68,MATCH(E1028,'Taxonomy Rules'!$C$42:$C$68,0)),"")="All supported routes",IFERROR(INDEX('Taxonomy Rules'!$G$42:$G$68,MATCH(E1028,'Taxonomy Rules'!$C$42:$C$68,0)),"")=U1028,AND(IFERROR(INDEX('Taxonomy Rules'!$G$42:$G$68,MATCH(E1028,'Taxonomy Rules'!$C$42:$C$68,0)),"")="Building routes",OR(U1028="Building renovation",U1028="New building",U1028="Building equipment"))))),"Unexpected test","Valid"))))</x:f>
      </x:c>
      <x:c r="S1028" s="9" t="str">
        <x:f>IF(C1028="","",IFERROR(INDEX('Taxonomy Rules'!$E$42:$E$68,MATCH(E1028,'Taxonomy Rules'!$C$42:$C$68,0)),""))</x:f>
      </x:c>
      <x:c r="T1028" s="9" t="str">
        <x:f>IF(C1028="","",IFERROR(INDEX('Taxonomy Rules'!$F$42:$F$68,MATCH(E1028,'Taxonomy Rules'!$C$42:$C$68,0)),""))</x:f>
      </x:c>
      <x:c r="U1028" s="9" t="str">
        <x:f>IF(C1028="","",IFERROR(INDEX('Taxonomy'!$G$9:$G$108,MATCH(D1028,'Taxonomy'!$C$9:$C$108,0)),""))</x:f>
      </x:c>
    </x:row>
    <x:row r="1029" ht="44" customHeight="1">
      <x:c r="A1029" s="1"/>
      <x:c r="B1029" s="1"/>
      <x:c r="C1029" s="8"/>
      <x:c r="D1029" s="8"/>
      <x:c r="E1029" s="8"/>
      <x:c r="F1029" s="8"/>
      <x:c r="G1029" s="8"/>
      <x:c r="H1029" s="8"/>
      <x:c r="I1029" s="8"/>
      <x:c r="J1029" s="8"/>
      <x:c r="K1029" s="8"/>
      <x:c r="L1029" s="8"/>
      <x:c r="M1029" s="10"/>
      <x:c r="N1029" s="10"/>
      <x:c r="O1029" s="8"/>
      <x:c r="P1029" s="9" t="str">
        <x:f>IF(C1029="","",IF(AND(G1029="Applicable",H1029="Fail"),"Fail",IF(R1029&lt;&gt;"Valid","Pending",IF(OR(I1029="",K1029="",L1029="",K1029=L1029,NOT(ISNUMBER(M1029)),NOT(ISNUMBER(N1029)),M1029&gt;Settings!$F$8,N1029&lt;Settings!$F$8,N1029&lt;M1029),"Pending",IF(AND(G1029="Applicable",H1029="Pass"),"Pass",IF(AND(G1029="N/A",H1029="N/A",J1029&lt;&gt;"",OR(E1029="CEM-FUELS",E1029="CEM-CCS",AND(E1029="CEM-PLAN",IFERROR(INDEX('Taxonomy'!$M$9:$M$108,MATCH(D1029,'Taxonomy'!$C$9:$C$108,0)),"")&lt;&gt;"Amber"),E1029="BLD-TIMBER",AND(U1029="Building equipment",OR(E1029="BLD-WATER",E1029="BLD-WASTE",E1029="BLD-LAND")),AND(U1029="Building renovation",E1029="BLD-LAND"))),"N/A","Pending"))))))</x:f>
      </x:c>
      <x:c r="Q1029" s="3" t="str">
        <x:f>IF(C1029="","",IF(AND(R1029="Valid",OR(P1029="Pass",P1029="N/A")),"Complete","Unresolved"))</x:f>
      </x:c>
      <x:c r="R1029" s="9" t="str">
        <x:f>IF(C1029="","",IF(OR(COUNTIF($C$9:$C$2008,C1029)&lt;&gt;1,COUNTIFS($D$9:$D$2008,D1029,$E$9:$E$2008,E1029)&lt;&gt;1),"Duplicate test",IF(COUNTIF('Taxonomy'!$C$9:$C$108,D1029)&lt;&gt;1,"Assessment key",IF(OR(COUNTIF('Taxonomy Rules'!$C$42:$C$68,E1029)&lt;&gt;1,F1029&lt;&gt;IFERROR(INDEX('Taxonomy Rules'!$D$42:$D$68,MATCH(E1029,'Taxonomy Rules'!$C$42:$C$68,0)),""),NOT(OR(IFERROR(INDEX('Taxonomy Rules'!$G$42:$G$68,MATCH(E1029,'Taxonomy Rules'!$C$42:$C$68,0)),"")="All supported routes",IFERROR(INDEX('Taxonomy Rules'!$G$42:$G$68,MATCH(E1029,'Taxonomy Rules'!$C$42:$C$68,0)),"")=U1029,AND(IFERROR(INDEX('Taxonomy Rules'!$G$42:$G$68,MATCH(E1029,'Taxonomy Rules'!$C$42:$C$68,0)),"")="Building routes",OR(U1029="Building renovation",U1029="New building",U1029="Building equipment"))))),"Unexpected test","Valid"))))</x:f>
      </x:c>
      <x:c r="S1029" s="9" t="str">
        <x:f>IF(C1029="","",IFERROR(INDEX('Taxonomy Rules'!$E$42:$E$68,MATCH(E1029,'Taxonomy Rules'!$C$42:$C$68,0)),""))</x:f>
      </x:c>
      <x:c r="T1029" s="9" t="str">
        <x:f>IF(C1029="","",IFERROR(INDEX('Taxonomy Rules'!$F$42:$F$68,MATCH(E1029,'Taxonomy Rules'!$C$42:$C$68,0)),""))</x:f>
      </x:c>
      <x:c r="U1029" s="9" t="str">
        <x:f>IF(C1029="","",IFERROR(INDEX('Taxonomy'!$G$9:$G$108,MATCH(D1029,'Taxonomy'!$C$9:$C$108,0)),""))</x:f>
      </x:c>
    </x:row>
    <x:row r="1030" ht="44" customHeight="1">
      <x:c r="A1030" s="1"/>
      <x:c r="B1030" s="1"/>
      <x:c r="C1030" s="8"/>
      <x:c r="D1030" s="8"/>
      <x:c r="E1030" s="8"/>
      <x:c r="F1030" s="8"/>
      <x:c r="G1030" s="8"/>
      <x:c r="H1030" s="8"/>
      <x:c r="I1030" s="8"/>
      <x:c r="J1030" s="8"/>
      <x:c r="K1030" s="8"/>
      <x:c r="L1030" s="8"/>
      <x:c r="M1030" s="10"/>
      <x:c r="N1030" s="10"/>
      <x:c r="O1030" s="8"/>
      <x:c r="P1030" s="9" t="str">
        <x:f>IF(C1030="","",IF(AND(G1030="Applicable",H1030="Fail"),"Fail",IF(R1030&lt;&gt;"Valid","Pending",IF(OR(I1030="",K1030="",L1030="",K1030=L1030,NOT(ISNUMBER(M1030)),NOT(ISNUMBER(N1030)),M1030&gt;Settings!$F$8,N1030&lt;Settings!$F$8,N1030&lt;M1030),"Pending",IF(AND(G1030="Applicable",H1030="Pass"),"Pass",IF(AND(G1030="N/A",H1030="N/A",J1030&lt;&gt;"",OR(E1030="CEM-FUELS",E1030="CEM-CCS",AND(E1030="CEM-PLAN",IFERROR(INDEX('Taxonomy'!$M$9:$M$108,MATCH(D1030,'Taxonomy'!$C$9:$C$108,0)),"")&lt;&gt;"Amber"),E1030="BLD-TIMBER",AND(U1030="Building equipment",OR(E1030="BLD-WATER",E1030="BLD-WASTE",E1030="BLD-LAND")),AND(U1030="Building renovation",E1030="BLD-LAND"))),"N/A","Pending"))))))</x:f>
      </x:c>
      <x:c r="Q1030" s="3" t="str">
        <x:f>IF(C1030="","",IF(AND(R1030="Valid",OR(P1030="Pass",P1030="N/A")),"Complete","Unresolved"))</x:f>
      </x:c>
      <x:c r="R1030" s="9" t="str">
        <x:f>IF(C1030="","",IF(OR(COUNTIF($C$9:$C$2008,C1030)&lt;&gt;1,COUNTIFS($D$9:$D$2008,D1030,$E$9:$E$2008,E1030)&lt;&gt;1),"Duplicate test",IF(COUNTIF('Taxonomy'!$C$9:$C$108,D1030)&lt;&gt;1,"Assessment key",IF(OR(COUNTIF('Taxonomy Rules'!$C$42:$C$68,E1030)&lt;&gt;1,F1030&lt;&gt;IFERROR(INDEX('Taxonomy Rules'!$D$42:$D$68,MATCH(E1030,'Taxonomy Rules'!$C$42:$C$68,0)),""),NOT(OR(IFERROR(INDEX('Taxonomy Rules'!$G$42:$G$68,MATCH(E1030,'Taxonomy Rules'!$C$42:$C$68,0)),"")="All supported routes",IFERROR(INDEX('Taxonomy Rules'!$G$42:$G$68,MATCH(E1030,'Taxonomy Rules'!$C$42:$C$68,0)),"")=U1030,AND(IFERROR(INDEX('Taxonomy Rules'!$G$42:$G$68,MATCH(E1030,'Taxonomy Rules'!$C$42:$C$68,0)),"")="Building routes",OR(U1030="Building renovation",U1030="New building",U1030="Building equipment"))))),"Unexpected test","Valid"))))</x:f>
      </x:c>
      <x:c r="S1030" s="9" t="str">
        <x:f>IF(C1030="","",IFERROR(INDEX('Taxonomy Rules'!$E$42:$E$68,MATCH(E1030,'Taxonomy Rules'!$C$42:$C$68,0)),""))</x:f>
      </x:c>
      <x:c r="T1030" s="9" t="str">
        <x:f>IF(C1030="","",IFERROR(INDEX('Taxonomy Rules'!$F$42:$F$68,MATCH(E1030,'Taxonomy Rules'!$C$42:$C$68,0)),""))</x:f>
      </x:c>
      <x:c r="U1030" s="9" t="str">
        <x:f>IF(C1030="","",IFERROR(INDEX('Taxonomy'!$G$9:$G$108,MATCH(D1030,'Taxonomy'!$C$9:$C$108,0)),""))</x:f>
      </x:c>
    </x:row>
    <x:row r="1031" ht="44" customHeight="1">
      <x:c r="A1031" s="1"/>
      <x:c r="B1031" s="1"/>
      <x:c r="C1031" s="8"/>
      <x:c r="D1031" s="8"/>
      <x:c r="E1031" s="8"/>
      <x:c r="F1031" s="8"/>
      <x:c r="G1031" s="8"/>
      <x:c r="H1031" s="8"/>
      <x:c r="I1031" s="8"/>
      <x:c r="J1031" s="8"/>
      <x:c r="K1031" s="8"/>
      <x:c r="L1031" s="8"/>
      <x:c r="M1031" s="10"/>
      <x:c r="N1031" s="10"/>
      <x:c r="O1031" s="8"/>
      <x:c r="P1031" s="9" t="str">
        <x:f>IF(C1031="","",IF(AND(G1031="Applicable",H1031="Fail"),"Fail",IF(R1031&lt;&gt;"Valid","Pending",IF(OR(I1031="",K1031="",L1031="",K1031=L1031,NOT(ISNUMBER(M1031)),NOT(ISNUMBER(N1031)),M1031&gt;Settings!$F$8,N1031&lt;Settings!$F$8,N1031&lt;M1031),"Pending",IF(AND(G1031="Applicable",H1031="Pass"),"Pass",IF(AND(G1031="N/A",H1031="N/A",J1031&lt;&gt;"",OR(E1031="CEM-FUELS",E1031="CEM-CCS",AND(E1031="CEM-PLAN",IFERROR(INDEX('Taxonomy'!$M$9:$M$108,MATCH(D1031,'Taxonomy'!$C$9:$C$108,0)),"")&lt;&gt;"Amber"),E1031="BLD-TIMBER",AND(U1031="Building equipment",OR(E1031="BLD-WATER",E1031="BLD-WASTE",E1031="BLD-LAND")),AND(U1031="Building renovation",E1031="BLD-LAND"))),"N/A","Pending"))))))</x:f>
      </x:c>
      <x:c r="Q1031" s="3" t="str">
        <x:f>IF(C1031="","",IF(AND(R1031="Valid",OR(P1031="Pass",P1031="N/A")),"Complete","Unresolved"))</x:f>
      </x:c>
      <x:c r="R1031" s="9" t="str">
        <x:f>IF(C1031="","",IF(OR(COUNTIF($C$9:$C$2008,C1031)&lt;&gt;1,COUNTIFS($D$9:$D$2008,D1031,$E$9:$E$2008,E1031)&lt;&gt;1),"Duplicate test",IF(COUNTIF('Taxonomy'!$C$9:$C$108,D1031)&lt;&gt;1,"Assessment key",IF(OR(COUNTIF('Taxonomy Rules'!$C$42:$C$68,E1031)&lt;&gt;1,F1031&lt;&gt;IFERROR(INDEX('Taxonomy Rules'!$D$42:$D$68,MATCH(E1031,'Taxonomy Rules'!$C$42:$C$68,0)),""),NOT(OR(IFERROR(INDEX('Taxonomy Rules'!$G$42:$G$68,MATCH(E1031,'Taxonomy Rules'!$C$42:$C$68,0)),"")="All supported routes",IFERROR(INDEX('Taxonomy Rules'!$G$42:$G$68,MATCH(E1031,'Taxonomy Rules'!$C$42:$C$68,0)),"")=U1031,AND(IFERROR(INDEX('Taxonomy Rules'!$G$42:$G$68,MATCH(E1031,'Taxonomy Rules'!$C$42:$C$68,0)),"")="Building routes",OR(U1031="Building renovation",U1031="New building",U1031="Building equipment"))))),"Unexpected test","Valid"))))</x:f>
      </x:c>
      <x:c r="S1031" s="9" t="str">
        <x:f>IF(C1031="","",IFERROR(INDEX('Taxonomy Rules'!$E$42:$E$68,MATCH(E1031,'Taxonomy Rules'!$C$42:$C$68,0)),""))</x:f>
      </x:c>
      <x:c r="T1031" s="9" t="str">
        <x:f>IF(C1031="","",IFERROR(INDEX('Taxonomy Rules'!$F$42:$F$68,MATCH(E1031,'Taxonomy Rules'!$C$42:$C$68,0)),""))</x:f>
      </x:c>
      <x:c r="U1031" s="9" t="str">
        <x:f>IF(C1031="","",IFERROR(INDEX('Taxonomy'!$G$9:$G$108,MATCH(D1031,'Taxonomy'!$C$9:$C$108,0)),""))</x:f>
      </x:c>
    </x:row>
    <x:row r="1032" ht="44" customHeight="1">
      <x:c r="A1032" s="1"/>
      <x:c r="B1032" s="1"/>
      <x:c r="C1032" s="8"/>
      <x:c r="D1032" s="8"/>
      <x:c r="E1032" s="8"/>
      <x:c r="F1032" s="8"/>
      <x:c r="G1032" s="8"/>
      <x:c r="H1032" s="8"/>
      <x:c r="I1032" s="8"/>
      <x:c r="J1032" s="8"/>
      <x:c r="K1032" s="8"/>
      <x:c r="L1032" s="8"/>
      <x:c r="M1032" s="10"/>
      <x:c r="N1032" s="10"/>
      <x:c r="O1032" s="8"/>
      <x:c r="P1032" s="9" t="str">
        <x:f>IF(C1032="","",IF(AND(G1032="Applicable",H1032="Fail"),"Fail",IF(R1032&lt;&gt;"Valid","Pending",IF(OR(I1032="",K1032="",L1032="",K1032=L1032,NOT(ISNUMBER(M1032)),NOT(ISNUMBER(N1032)),M1032&gt;Settings!$F$8,N1032&lt;Settings!$F$8,N1032&lt;M1032),"Pending",IF(AND(G1032="Applicable",H1032="Pass"),"Pass",IF(AND(G1032="N/A",H1032="N/A",J1032&lt;&gt;"",OR(E1032="CEM-FUELS",E1032="CEM-CCS",AND(E1032="CEM-PLAN",IFERROR(INDEX('Taxonomy'!$M$9:$M$108,MATCH(D1032,'Taxonomy'!$C$9:$C$108,0)),"")&lt;&gt;"Amber"),E1032="BLD-TIMBER",AND(U1032="Building equipment",OR(E1032="BLD-WATER",E1032="BLD-WASTE",E1032="BLD-LAND")),AND(U1032="Building renovation",E1032="BLD-LAND"))),"N/A","Pending"))))))</x:f>
      </x:c>
      <x:c r="Q1032" s="3" t="str">
        <x:f>IF(C1032="","",IF(AND(R1032="Valid",OR(P1032="Pass",P1032="N/A")),"Complete","Unresolved"))</x:f>
      </x:c>
      <x:c r="R1032" s="9" t="str">
        <x:f>IF(C1032="","",IF(OR(COUNTIF($C$9:$C$2008,C1032)&lt;&gt;1,COUNTIFS($D$9:$D$2008,D1032,$E$9:$E$2008,E1032)&lt;&gt;1),"Duplicate test",IF(COUNTIF('Taxonomy'!$C$9:$C$108,D1032)&lt;&gt;1,"Assessment key",IF(OR(COUNTIF('Taxonomy Rules'!$C$42:$C$68,E1032)&lt;&gt;1,F1032&lt;&gt;IFERROR(INDEX('Taxonomy Rules'!$D$42:$D$68,MATCH(E1032,'Taxonomy Rules'!$C$42:$C$68,0)),""),NOT(OR(IFERROR(INDEX('Taxonomy Rules'!$G$42:$G$68,MATCH(E1032,'Taxonomy Rules'!$C$42:$C$68,0)),"")="All supported routes",IFERROR(INDEX('Taxonomy Rules'!$G$42:$G$68,MATCH(E1032,'Taxonomy Rules'!$C$42:$C$68,0)),"")=U1032,AND(IFERROR(INDEX('Taxonomy Rules'!$G$42:$G$68,MATCH(E1032,'Taxonomy Rules'!$C$42:$C$68,0)),"")="Building routes",OR(U1032="Building renovation",U1032="New building",U1032="Building equipment"))))),"Unexpected test","Valid"))))</x:f>
      </x:c>
      <x:c r="S1032" s="9" t="str">
        <x:f>IF(C1032="","",IFERROR(INDEX('Taxonomy Rules'!$E$42:$E$68,MATCH(E1032,'Taxonomy Rules'!$C$42:$C$68,0)),""))</x:f>
      </x:c>
      <x:c r="T1032" s="9" t="str">
        <x:f>IF(C1032="","",IFERROR(INDEX('Taxonomy Rules'!$F$42:$F$68,MATCH(E1032,'Taxonomy Rules'!$C$42:$C$68,0)),""))</x:f>
      </x:c>
      <x:c r="U1032" s="9" t="str">
        <x:f>IF(C1032="","",IFERROR(INDEX('Taxonomy'!$G$9:$G$108,MATCH(D1032,'Taxonomy'!$C$9:$C$108,0)),""))</x:f>
      </x:c>
    </x:row>
    <x:row r="1033" ht="44" customHeight="1">
      <x:c r="A1033" s="1"/>
      <x:c r="B1033" s="1"/>
      <x:c r="C1033" s="8"/>
      <x:c r="D1033" s="8"/>
      <x:c r="E1033" s="8"/>
      <x:c r="F1033" s="8"/>
      <x:c r="G1033" s="8"/>
      <x:c r="H1033" s="8"/>
      <x:c r="I1033" s="8"/>
      <x:c r="J1033" s="8"/>
      <x:c r="K1033" s="8"/>
      <x:c r="L1033" s="8"/>
      <x:c r="M1033" s="10"/>
      <x:c r="N1033" s="10"/>
      <x:c r="O1033" s="8"/>
      <x:c r="P1033" s="9" t="str">
        <x:f>IF(C1033="","",IF(AND(G1033="Applicable",H1033="Fail"),"Fail",IF(R1033&lt;&gt;"Valid","Pending",IF(OR(I1033="",K1033="",L1033="",K1033=L1033,NOT(ISNUMBER(M1033)),NOT(ISNUMBER(N1033)),M1033&gt;Settings!$F$8,N1033&lt;Settings!$F$8,N1033&lt;M1033),"Pending",IF(AND(G1033="Applicable",H1033="Pass"),"Pass",IF(AND(G1033="N/A",H1033="N/A",J1033&lt;&gt;"",OR(E1033="CEM-FUELS",E1033="CEM-CCS",AND(E1033="CEM-PLAN",IFERROR(INDEX('Taxonomy'!$M$9:$M$108,MATCH(D1033,'Taxonomy'!$C$9:$C$108,0)),"")&lt;&gt;"Amber"),E1033="BLD-TIMBER",AND(U1033="Building equipment",OR(E1033="BLD-WATER",E1033="BLD-WASTE",E1033="BLD-LAND")),AND(U1033="Building renovation",E1033="BLD-LAND"))),"N/A","Pending"))))))</x:f>
      </x:c>
      <x:c r="Q1033" s="3" t="str">
        <x:f>IF(C1033="","",IF(AND(R1033="Valid",OR(P1033="Pass",P1033="N/A")),"Complete","Unresolved"))</x:f>
      </x:c>
      <x:c r="R1033" s="9" t="str">
        <x:f>IF(C1033="","",IF(OR(COUNTIF($C$9:$C$2008,C1033)&lt;&gt;1,COUNTIFS($D$9:$D$2008,D1033,$E$9:$E$2008,E1033)&lt;&gt;1),"Duplicate test",IF(COUNTIF('Taxonomy'!$C$9:$C$108,D1033)&lt;&gt;1,"Assessment key",IF(OR(COUNTIF('Taxonomy Rules'!$C$42:$C$68,E1033)&lt;&gt;1,F1033&lt;&gt;IFERROR(INDEX('Taxonomy Rules'!$D$42:$D$68,MATCH(E1033,'Taxonomy Rules'!$C$42:$C$68,0)),""),NOT(OR(IFERROR(INDEX('Taxonomy Rules'!$G$42:$G$68,MATCH(E1033,'Taxonomy Rules'!$C$42:$C$68,0)),"")="All supported routes",IFERROR(INDEX('Taxonomy Rules'!$G$42:$G$68,MATCH(E1033,'Taxonomy Rules'!$C$42:$C$68,0)),"")=U1033,AND(IFERROR(INDEX('Taxonomy Rules'!$G$42:$G$68,MATCH(E1033,'Taxonomy Rules'!$C$42:$C$68,0)),"")="Building routes",OR(U1033="Building renovation",U1033="New building",U1033="Building equipment"))))),"Unexpected test","Valid"))))</x:f>
      </x:c>
      <x:c r="S1033" s="9" t="str">
        <x:f>IF(C1033="","",IFERROR(INDEX('Taxonomy Rules'!$E$42:$E$68,MATCH(E1033,'Taxonomy Rules'!$C$42:$C$68,0)),""))</x:f>
      </x:c>
      <x:c r="T1033" s="9" t="str">
        <x:f>IF(C1033="","",IFERROR(INDEX('Taxonomy Rules'!$F$42:$F$68,MATCH(E1033,'Taxonomy Rules'!$C$42:$C$68,0)),""))</x:f>
      </x:c>
      <x:c r="U1033" s="9" t="str">
        <x:f>IF(C1033="","",IFERROR(INDEX('Taxonomy'!$G$9:$G$108,MATCH(D1033,'Taxonomy'!$C$9:$C$108,0)),""))</x:f>
      </x:c>
    </x:row>
    <x:row r="1034" ht="44" customHeight="1">
      <x:c r="A1034" s="1"/>
      <x:c r="B1034" s="1"/>
      <x:c r="C1034" s="8"/>
      <x:c r="D1034" s="8"/>
      <x:c r="E1034" s="8"/>
      <x:c r="F1034" s="8"/>
      <x:c r="G1034" s="8"/>
      <x:c r="H1034" s="8"/>
      <x:c r="I1034" s="8"/>
      <x:c r="J1034" s="8"/>
      <x:c r="K1034" s="8"/>
      <x:c r="L1034" s="8"/>
      <x:c r="M1034" s="10"/>
      <x:c r="N1034" s="10"/>
      <x:c r="O1034" s="8"/>
      <x:c r="P1034" s="9" t="str">
        <x:f>IF(C1034="","",IF(AND(G1034="Applicable",H1034="Fail"),"Fail",IF(R1034&lt;&gt;"Valid","Pending",IF(OR(I1034="",K1034="",L1034="",K1034=L1034,NOT(ISNUMBER(M1034)),NOT(ISNUMBER(N1034)),M1034&gt;Settings!$F$8,N1034&lt;Settings!$F$8,N1034&lt;M1034),"Pending",IF(AND(G1034="Applicable",H1034="Pass"),"Pass",IF(AND(G1034="N/A",H1034="N/A",J1034&lt;&gt;"",OR(E1034="CEM-FUELS",E1034="CEM-CCS",AND(E1034="CEM-PLAN",IFERROR(INDEX('Taxonomy'!$M$9:$M$108,MATCH(D1034,'Taxonomy'!$C$9:$C$108,0)),"")&lt;&gt;"Amber"),E1034="BLD-TIMBER",AND(U1034="Building equipment",OR(E1034="BLD-WATER",E1034="BLD-WASTE",E1034="BLD-LAND")),AND(U1034="Building renovation",E1034="BLD-LAND"))),"N/A","Pending"))))))</x:f>
      </x:c>
      <x:c r="Q1034" s="3" t="str">
        <x:f>IF(C1034="","",IF(AND(R1034="Valid",OR(P1034="Pass",P1034="N/A")),"Complete","Unresolved"))</x:f>
      </x:c>
      <x:c r="R1034" s="9" t="str">
        <x:f>IF(C1034="","",IF(OR(COUNTIF($C$9:$C$2008,C1034)&lt;&gt;1,COUNTIFS($D$9:$D$2008,D1034,$E$9:$E$2008,E1034)&lt;&gt;1),"Duplicate test",IF(COUNTIF('Taxonomy'!$C$9:$C$108,D1034)&lt;&gt;1,"Assessment key",IF(OR(COUNTIF('Taxonomy Rules'!$C$42:$C$68,E1034)&lt;&gt;1,F1034&lt;&gt;IFERROR(INDEX('Taxonomy Rules'!$D$42:$D$68,MATCH(E1034,'Taxonomy Rules'!$C$42:$C$68,0)),""),NOT(OR(IFERROR(INDEX('Taxonomy Rules'!$G$42:$G$68,MATCH(E1034,'Taxonomy Rules'!$C$42:$C$68,0)),"")="All supported routes",IFERROR(INDEX('Taxonomy Rules'!$G$42:$G$68,MATCH(E1034,'Taxonomy Rules'!$C$42:$C$68,0)),"")=U1034,AND(IFERROR(INDEX('Taxonomy Rules'!$G$42:$G$68,MATCH(E1034,'Taxonomy Rules'!$C$42:$C$68,0)),"")="Building routes",OR(U1034="Building renovation",U1034="New building",U1034="Building equipment"))))),"Unexpected test","Valid"))))</x:f>
      </x:c>
      <x:c r="S1034" s="9" t="str">
        <x:f>IF(C1034="","",IFERROR(INDEX('Taxonomy Rules'!$E$42:$E$68,MATCH(E1034,'Taxonomy Rules'!$C$42:$C$68,0)),""))</x:f>
      </x:c>
      <x:c r="T1034" s="9" t="str">
        <x:f>IF(C1034="","",IFERROR(INDEX('Taxonomy Rules'!$F$42:$F$68,MATCH(E1034,'Taxonomy Rules'!$C$42:$C$68,0)),""))</x:f>
      </x:c>
      <x:c r="U1034" s="9" t="str">
        <x:f>IF(C1034="","",IFERROR(INDEX('Taxonomy'!$G$9:$G$108,MATCH(D1034,'Taxonomy'!$C$9:$C$108,0)),""))</x:f>
      </x:c>
    </x:row>
    <x:row r="1035" ht="44" customHeight="1">
      <x:c r="A1035" s="1"/>
      <x:c r="B1035" s="1"/>
      <x:c r="C1035" s="8"/>
      <x:c r="D1035" s="8"/>
      <x:c r="E1035" s="8"/>
      <x:c r="F1035" s="8"/>
      <x:c r="G1035" s="8"/>
      <x:c r="H1035" s="8"/>
      <x:c r="I1035" s="8"/>
      <x:c r="J1035" s="8"/>
      <x:c r="K1035" s="8"/>
      <x:c r="L1035" s="8"/>
      <x:c r="M1035" s="10"/>
      <x:c r="N1035" s="10"/>
      <x:c r="O1035" s="8"/>
      <x:c r="P1035" s="9" t="str">
        <x:f>IF(C1035="","",IF(AND(G1035="Applicable",H1035="Fail"),"Fail",IF(R1035&lt;&gt;"Valid","Pending",IF(OR(I1035="",K1035="",L1035="",K1035=L1035,NOT(ISNUMBER(M1035)),NOT(ISNUMBER(N1035)),M1035&gt;Settings!$F$8,N1035&lt;Settings!$F$8,N1035&lt;M1035),"Pending",IF(AND(G1035="Applicable",H1035="Pass"),"Pass",IF(AND(G1035="N/A",H1035="N/A",J1035&lt;&gt;"",OR(E1035="CEM-FUELS",E1035="CEM-CCS",AND(E1035="CEM-PLAN",IFERROR(INDEX('Taxonomy'!$M$9:$M$108,MATCH(D1035,'Taxonomy'!$C$9:$C$108,0)),"")&lt;&gt;"Amber"),E1035="BLD-TIMBER",AND(U1035="Building equipment",OR(E1035="BLD-WATER",E1035="BLD-WASTE",E1035="BLD-LAND")),AND(U1035="Building renovation",E1035="BLD-LAND"))),"N/A","Pending"))))))</x:f>
      </x:c>
      <x:c r="Q1035" s="3" t="str">
        <x:f>IF(C1035="","",IF(AND(R1035="Valid",OR(P1035="Pass",P1035="N/A")),"Complete","Unresolved"))</x:f>
      </x:c>
      <x:c r="R1035" s="9" t="str">
        <x:f>IF(C1035="","",IF(OR(COUNTIF($C$9:$C$2008,C1035)&lt;&gt;1,COUNTIFS($D$9:$D$2008,D1035,$E$9:$E$2008,E1035)&lt;&gt;1),"Duplicate test",IF(COUNTIF('Taxonomy'!$C$9:$C$108,D1035)&lt;&gt;1,"Assessment key",IF(OR(COUNTIF('Taxonomy Rules'!$C$42:$C$68,E1035)&lt;&gt;1,F1035&lt;&gt;IFERROR(INDEX('Taxonomy Rules'!$D$42:$D$68,MATCH(E1035,'Taxonomy Rules'!$C$42:$C$68,0)),""),NOT(OR(IFERROR(INDEX('Taxonomy Rules'!$G$42:$G$68,MATCH(E1035,'Taxonomy Rules'!$C$42:$C$68,0)),"")="All supported routes",IFERROR(INDEX('Taxonomy Rules'!$G$42:$G$68,MATCH(E1035,'Taxonomy Rules'!$C$42:$C$68,0)),"")=U1035,AND(IFERROR(INDEX('Taxonomy Rules'!$G$42:$G$68,MATCH(E1035,'Taxonomy Rules'!$C$42:$C$68,0)),"")="Building routes",OR(U1035="Building renovation",U1035="New building",U1035="Building equipment"))))),"Unexpected test","Valid"))))</x:f>
      </x:c>
      <x:c r="S1035" s="9" t="str">
        <x:f>IF(C1035="","",IFERROR(INDEX('Taxonomy Rules'!$E$42:$E$68,MATCH(E1035,'Taxonomy Rules'!$C$42:$C$68,0)),""))</x:f>
      </x:c>
      <x:c r="T1035" s="9" t="str">
        <x:f>IF(C1035="","",IFERROR(INDEX('Taxonomy Rules'!$F$42:$F$68,MATCH(E1035,'Taxonomy Rules'!$C$42:$C$68,0)),""))</x:f>
      </x:c>
      <x:c r="U1035" s="9" t="str">
        <x:f>IF(C1035="","",IFERROR(INDEX('Taxonomy'!$G$9:$G$108,MATCH(D1035,'Taxonomy'!$C$9:$C$108,0)),""))</x:f>
      </x:c>
    </x:row>
    <x:row r="1036" ht="44" customHeight="1">
      <x:c r="A1036" s="1"/>
      <x:c r="B1036" s="1"/>
      <x:c r="C1036" s="8"/>
      <x:c r="D1036" s="8"/>
      <x:c r="E1036" s="8"/>
      <x:c r="F1036" s="8"/>
      <x:c r="G1036" s="8"/>
      <x:c r="H1036" s="8"/>
      <x:c r="I1036" s="8"/>
      <x:c r="J1036" s="8"/>
      <x:c r="K1036" s="8"/>
      <x:c r="L1036" s="8"/>
      <x:c r="M1036" s="10"/>
      <x:c r="N1036" s="10"/>
      <x:c r="O1036" s="8"/>
      <x:c r="P1036" s="9" t="str">
        <x:f>IF(C1036="","",IF(AND(G1036="Applicable",H1036="Fail"),"Fail",IF(R1036&lt;&gt;"Valid","Pending",IF(OR(I1036="",K1036="",L1036="",K1036=L1036,NOT(ISNUMBER(M1036)),NOT(ISNUMBER(N1036)),M1036&gt;Settings!$F$8,N1036&lt;Settings!$F$8,N1036&lt;M1036),"Pending",IF(AND(G1036="Applicable",H1036="Pass"),"Pass",IF(AND(G1036="N/A",H1036="N/A",J1036&lt;&gt;"",OR(E1036="CEM-FUELS",E1036="CEM-CCS",AND(E1036="CEM-PLAN",IFERROR(INDEX('Taxonomy'!$M$9:$M$108,MATCH(D1036,'Taxonomy'!$C$9:$C$108,0)),"")&lt;&gt;"Amber"),E1036="BLD-TIMBER",AND(U1036="Building equipment",OR(E1036="BLD-WATER",E1036="BLD-WASTE",E1036="BLD-LAND")),AND(U1036="Building renovation",E1036="BLD-LAND"))),"N/A","Pending"))))))</x:f>
      </x:c>
      <x:c r="Q1036" s="3" t="str">
        <x:f>IF(C1036="","",IF(AND(R1036="Valid",OR(P1036="Pass",P1036="N/A")),"Complete","Unresolved"))</x:f>
      </x:c>
      <x:c r="R1036" s="9" t="str">
        <x:f>IF(C1036="","",IF(OR(COUNTIF($C$9:$C$2008,C1036)&lt;&gt;1,COUNTIFS($D$9:$D$2008,D1036,$E$9:$E$2008,E1036)&lt;&gt;1),"Duplicate test",IF(COUNTIF('Taxonomy'!$C$9:$C$108,D1036)&lt;&gt;1,"Assessment key",IF(OR(COUNTIF('Taxonomy Rules'!$C$42:$C$68,E1036)&lt;&gt;1,F1036&lt;&gt;IFERROR(INDEX('Taxonomy Rules'!$D$42:$D$68,MATCH(E1036,'Taxonomy Rules'!$C$42:$C$68,0)),""),NOT(OR(IFERROR(INDEX('Taxonomy Rules'!$G$42:$G$68,MATCH(E1036,'Taxonomy Rules'!$C$42:$C$68,0)),"")="All supported routes",IFERROR(INDEX('Taxonomy Rules'!$G$42:$G$68,MATCH(E1036,'Taxonomy Rules'!$C$42:$C$68,0)),"")=U1036,AND(IFERROR(INDEX('Taxonomy Rules'!$G$42:$G$68,MATCH(E1036,'Taxonomy Rules'!$C$42:$C$68,0)),"")="Building routes",OR(U1036="Building renovation",U1036="New building",U1036="Building equipment"))))),"Unexpected test","Valid"))))</x:f>
      </x:c>
      <x:c r="S1036" s="9" t="str">
        <x:f>IF(C1036="","",IFERROR(INDEX('Taxonomy Rules'!$E$42:$E$68,MATCH(E1036,'Taxonomy Rules'!$C$42:$C$68,0)),""))</x:f>
      </x:c>
      <x:c r="T1036" s="9" t="str">
        <x:f>IF(C1036="","",IFERROR(INDEX('Taxonomy Rules'!$F$42:$F$68,MATCH(E1036,'Taxonomy Rules'!$C$42:$C$68,0)),""))</x:f>
      </x:c>
      <x:c r="U1036" s="9" t="str">
        <x:f>IF(C1036="","",IFERROR(INDEX('Taxonomy'!$G$9:$G$108,MATCH(D1036,'Taxonomy'!$C$9:$C$108,0)),""))</x:f>
      </x:c>
    </x:row>
    <x:row r="1037" ht="44" customHeight="1">
      <x:c r="A1037" s="1"/>
      <x:c r="B1037" s="1"/>
      <x:c r="C1037" s="8"/>
      <x:c r="D1037" s="8"/>
      <x:c r="E1037" s="8"/>
      <x:c r="F1037" s="8"/>
      <x:c r="G1037" s="8"/>
      <x:c r="H1037" s="8"/>
      <x:c r="I1037" s="8"/>
      <x:c r="J1037" s="8"/>
      <x:c r="K1037" s="8"/>
      <x:c r="L1037" s="8"/>
      <x:c r="M1037" s="10"/>
      <x:c r="N1037" s="10"/>
      <x:c r="O1037" s="8"/>
      <x:c r="P1037" s="9" t="str">
        <x:f>IF(C1037="","",IF(AND(G1037="Applicable",H1037="Fail"),"Fail",IF(R1037&lt;&gt;"Valid","Pending",IF(OR(I1037="",K1037="",L1037="",K1037=L1037,NOT(ISNUMBER(M1037)),NOT(ISNUMBER(N1037)),M1037&gt;Settings!$F$8,N1037&lt;Settings!$F$8,N1037&lt;M1037),"Pending",IF(AND(G1037="Applicable",H1037="Pass"),"Pass",IF(AND(G1037="N/A",H1037="N/A",J1037&lt;&gt;"",OR(E1037="CEM-FUELS",E1037="CEM-CCS",AND(E1037="CEM-PLAN",IFERROR(INDEX('Taxonomy'!$M$9:$M$108,MATCH(D1037,'Taxonomy'!$C$9:$C$108,0)),"")&lt;&gt;"Amber"),E1037="BLD-TIMBER",AND(U1037="Building equipment",OR(E1037="BLD-WATER",E1037="BLD-WASTE",E1037="BLD-LAND")),AND(U1037="Building renovation",E1037="BLD-LAND"))),"N/A","Pending"))))))</x:f>
      </x:c>
      <x:c r="Q1037" s="3" t="str">
        <x:f>IF(C1037="","",IF(AND(R1037="Valid",OR(P1037="Pass",P1037="N/A")),"Complete","Unresolved"))</x:f>
      </x:c>
      <x:c r="R1037" s="9" t="str">
        <x:f>IF(C1037="","",IF(OR(COUNTIF($C$9:$C$2008,C1037)&lt;&gt;1,COUNTIFS($D$9:$D$2008,D1037,$E$9:$E$2008,E1037)&lt;&gt;1),"Duplicate test",IF(COUNTIF('Taxonomy'!$C$9:$C$108,D1037)&lt;&gt;1,"Assessment key",IF(OR(COUNTIF('Taxonomy Rules'!$C$42:$C$68,E1037)&lt;&gt;1,F1037&lt;&gt;IFERROR(INDEX('Taxonomy Rules'!$D$42:$D$68,MATCH(E1037,'Taxonomy Rules'!$C$42:$C$68,0)),""),NOT(OR(IFERROR(INDEX('Taxonomy Rules'!$G$42:$G$68,MATCH(E1037,'Taxonomy Rules'!$C$42:$C$68,0)),"")="All supported routes",IFERROR(INDEX('Taxonomy Rules'!$G$42:$G$68,MATCH(E1037,'Taxonomy Rules'!$C$42:$C$68,0)),"")=U1037,AND(IFERROR(INDEX('Taxonomy Rules'!$G$42:$G$68,MATCH(E1037,'Taxonomy Rules'!$C$42:$C$68,0)),"")="Building routes",OR(U1037="Building renovation",U1037="New building",U1037="Building equipment"))))),"Unexpected test","Valid"))))</x:f>
      </x:c>
      <x:c r="S1037" s="9" t="str">
        <x:f>IF(C1037="","",IFERROR(INDEX('Taxonomy Rules'!$E$42:$E$68,MATCH(E1037,'Taxonomy Rules'!$C$42:$C$68,0)),""))</x:f>
      </x:c>
      <x:c r="T1037" s="9" t="str">
        <x:f>IF(C1037="","",IFERROR(INDEX('Taxonomy Rules'!$F$42:$F$68,MATCH(E1037,'Taxonomy Rules'!$C$42:$C$68,0)),""))</x:f>
      </x:c>
      <x:c r="U1037" s="9" t="str">
        <x:f>IF(C1037="","",IFERROR(INDEX('Taxonomy'!$G$9:$G$108,MATCH(D1037,'Taxonomy'!$C$9:$C$108,0)),""))</x:f>
      </x:c>
    </x:row>
    <x:row r="1038" ht="44" customHeight="1">
      <x:c r="A1038" s="1"/>
      <x:c r="B1038" s="1"/>
      <x:c r="C1038" s="8"/>
      <x:c r="D1038" s="8"/>
      <x:c r="E1038" s="8"/>
      <x:c r="F1038" s="8"/>
      <x:c r="G1038" s="8"/>
      <x:c r="H1038" s="8"/>
      <x:c r="I1038" s="8"/>
      <x:c r="J1038" s="8"/>
      <x:c r="K1038" s="8"/>
      <x:c r="L1038" s="8"/>
      <x:c r="M1038" s="10"/>
      <x:c r="N1038" s="10"/>
      <x:c r="O1038" s="8"/>
      <x:c r="P1038" s="9" t="str">
        <x:f>IF(C1038="","",IF(AND(G1038="Applicable",H1038="Fail"),"Fail",IF(R1038&lt;&gt;"Valid","Pending",IF(OR(I1038="",K1038="",L1038="",K1038=L1038,NOT(ISNUMBER(M1038)),NOT(ISNUMBER(N1038)),M1038&gt;Settings!$F$8,N1038&lt;Settings!$F$8,N1038&lt;M1038),"Pending",IF(AND(G1038="Applicable",H1038="Pass"),"Pass",IF(AND(G1038="N/A",H1038="N/A",J1038&lt;&gt;"",OR(E1038="CEM-FUELS",E1038="CEM-CCS",AND(E1038="CEM-PLAN",IFERROR(INDEX('Taxonomy'!$M$9:$M$108,MATCH(D1038,'Taxonomy'!$C$9:$C$108,0)),"")&lt;&gt;"Amber"),E1038="BLD-TIMBER",AND(U1038="Building equipment",OR(E1038="BLD-WATER",E1038="BLD-WASTE",E1038="BLD-LAND")),AND(U1038="Building renovation",E1038="BLD-LAND"))),"N/A","Pending"))))))</x:f>
      </x:c>
      <x:c r="Q1038" s="3" t="str">
        <x:f>IF(C1038="","",IF(AND(R1038="Valid",OR(P1038="Pass",P1038="N/A")),"Complete","Unresolved"))</x:f>
      </x:c>
      <x:c r="R1038" s="9" t="str">
        <x:f>IF(C1038="","",IF(OR(COUNTIF($C$9:$C$2008,C1038)&lt;&gt;1,COUNTIFS($D$9:$D$2008,D1038,$E$9:$E$2008,E1038)&lt;&gt;1),"Duplicate test",IF(COUNTIF('Taxonomy'!$C$9:$C$108,D1038)&lt;&gt;1,"Assessment key",IF(OR(COUNTIF('Taxonomy Rules'!$C$42:$C$68,E1038)&lt;&gt;1,F1038&lt;&gt;IFERROR(INDEX('Taxonomy Rules'!$D$42:$D$68,MATCH(E1038,'Taxonomy Rules'!$C$42:$C$68,0)),""),NOT(OR(IFERROR(INDEX('Taxonomy Rules'!$G$42:$G$68,MATCH(E1038,'Taxonomy Rules'!$C$42:$C$68,0)),"")="All supported routes",IFERROR(INDEX('Taxonomy Rules'!$G$42:$G$68,MATCH(E1038,'Taxonomy Rules'!$C$42:$C$68,0)),"")=U1038,AND(IFERROR(INDEX('Taxonomy Rules'!$G$42:$G$68,MATCH(E1038,'Taxonomy Rules'!$C$42:$C$68,0)),"")="Building routes",OR(U1038="Building renovation",U1038="New building",U1038="Building equipment"))))),"Unexpected test","Valid"))))</x:f>
      </x:c>
      <x:c r="S1038" s="9" t="str">
        <x:f>IF(C1038="","",IFERROR(INDEX('Taxonomy Rules'!$E$42:$E$68,MATCH(E1038,'Taxonomy Rules'!$C$42:$C$68,0)),""))</x:f>
      </x:c>
      <x:c r="T1038" s="9" t="str">
        <x:f>IF(C1038="","",IFERROR(INDEX('Taxonomy Rules'!$F$42:$F$68,MATCH(E1038,'Taxonomy Rules'!$C$42:$C$68,0)),""))</x:f>
      </x:c>
      <x:c r="U1038" s="9" t="str">
        <x:f>IF(C1038="","",IFERROR(INDEX('Taxonomy'!$G$9:$G$108,MATCH(D1038,'Taxonomy'!$C$9:$C$108,0)),""))</x:f>
      </x:c>
    </x:row>
    <x:row r="1039" ht="44" customHeight="1">
      <x:c r="A1039" s="1"/>
      <x:c r="B1039" s="1"/>
      <x:c r="C1039" s="8"/>
      <x:c r="D1039" s="8"/>
      <x:c r="E1039" s="8"/>
      <x:c r="F1039" s="8"/>
      <x:c r="G1039" s="8"/>
      <x:c r="H1039" s="8"/>
      <x:c r="I1039" s="8"/>
      <x:c r="J1039" s="8"/>
      <x:c r="K1039" s="8"/>
      <x:c r="L1039" s="8"/>
      <x:c r="M1039" s="10"/>
      <x:c r="N1039" s="10"/>
      <x:c r="O1039" s="8"/>
      <x:c r="P1039" s="9" t="str">
        <x:f>IF(C1039="","",IF(AND(G1039="Applicable",H1039="Fail"),"Fail",IF(R1039&lt;&gt;"Valid","Pending",IF(OR(I1039="",K1039="",L1039="",K1039=L1039,NOT(ISNUMBER(M1039)),NOT(ISNUMBER(N1039)),M1039&gt;Settings!$F$8,N1039&lt;Settings!$F$8,N1039&lt;M1039),"Pending",IF(AND(G1039="Applicable",H1039="Pass"),"Pass",IF(AND(G1039="N/A",H1039="N/A",J1039&lt;&gt;"",OR(E1039="CEM-FUELS",E1039="CEM-CCS",AND(E1039="CEM-PLAN",IFERROR(INDEX('Taxonomy'!$M$9:$M$108,MATCH(D1039,'Taxonomy'!$C$9:$C$108,0)),"")&lt;&gt;"Amber"),E1039="BLD-TIMBER",AND(U1039="Building equipment",OR(E1039="BLD-WATER",E1039="BLD-WASTE",E1039="BLD-LAND")),AND(U1039="Building renovation",E1039="BLD-LAND"))),"N/A","Pending"))))))</x:f>
      </x:c>
      <x:c r="Q1039" s="3" t="str">
        <x:f>IF(C1039="","",IF(AND(R1039="Valid",OR(P1039="Pass",P1039="N/A")),"Complete","Unresolved"))</x:f>
      </x:c>
      <x:c r="R1039" s="9" t="str">
        <x:f>IF(C1039="","",IF(OR(COUNTIF($C$9:$C$2008,C1039)&lt;&gt;1,COUNTIFS($D$9:$D$2008,D1039,$E$9:$E$2008,E1039)&lt;&gt;1),"Duplicate test",IF(COUNTIF('Taxonomy'!$C$9:$C$108,D1039)&lt;&gt;1,"Assessment key",IF(OR(COUNTIF('Taxonomy Rules'!$C$42:$C$68,E1039)&lt;&gt;1,F1039&lt;&gt;IFERROR(INDEX('Taxonomy Rules'!$D$42:$D$68,MATCH(E1039,'Taxonomy Rules'!$C$42:$C$68,0)),""),NOT(OR(IFERROR(INDEX('Taxonomy Rules'!$G$42:$G$68,MATCH(E1039,'Taxonomy Rules'!$C$42:$C$68,0)),"")="All supported routes",IFERROR(INDEX('Taxonomy Rules'!$G$42:$G$68,MATCH(E1039,'Taxonomy Rules'!$C$42:$C$68,0)),"")=U1039,AND(IFERROR(INDEX('Taxonomy Rules'!$G$42:$G$68,MATCH(E1039,'Taxonomy Rules'!$C$42:$C$68,0)),"")="Building routes",OR(U1039="Building renovation",U1039="New building",U1039="Building equipment"))))),"Unexpected test","Valid"))))</x:f>
      </x:c>
      <x:c r="S1039" s="9" t="str">
        <x:f>IF(C1039="","",IFERROR(INDEX('Taxonomy Rules'!$E$42:$E$68,MATCH(E1039,'Taxonomy Rules'!$C$42:$C$68,0)),""))</x:f>
      </x:c>
      <x:c r="T1039" s="9" t="str">
        <x:f>IF(C1039="","",IFERROR(INDEX('Taxonomy Rules'!$F$42:$F$68,MATCH(E1039,'Taxonomy Rules'!$C$42:$C$68,0)),""))</x:f>
      </x:c>
      <x:c r="U1039" s="9" t="str">
        <x:f>IF(C1039="","",IFERROR(INDEX('Taxonomy'!$G$9:$G$108,MATCH(D1039,'Taxonomy'!$C$9:$C$108,0)),""))</x:f>
      </x:c>
    </x:row>
    <x:row r="1040" ht="44" customHeight="1">
      <x:c r="A1040" s="1"/>
      <x:c r="B1040" s="1"/>
      <x:c r="C1040" s="8"/>
      <x:c r="D1040" s="8"/>
      <x:c r="E1040" s="8"/>
      <x:c r="F1040" s="8"/>
      <x:c r="G1040" s="8"/>
      <x:c r="H1040" s="8"/>
      <x:c r="I1040" s="8"/>
      <x:c r="J1040" s="8"/>
      <x:c r="K1040" s="8"/>
      <x:c r="L1040" s="8"/>
      <x:c r="M1040" s="10"/>
      <x:c r="N1040" s="10"/>
      <x:c r="O1040" s="8"/>
      <x:c r="P1040" s="9" t="str">
        <x:f>IF(C1040="","",IF(AND(G1040="Applicable",H1040="Fail"),"Fail",IF(R1040&lt;&gt;"Valid","Pending",IF(OR(I1040="",K1040="",L1040="",K1040=L1040,NOT(ISNUMBER(M1040)),NOT(ISNUMBER(N1040)),M1040&gt;Settings!$F$8,N1040&lt;Settings!$F$8,N1040&lt;M1040),"Pending",IF(AND(G1040="Applicable",H1040="Pass"),"Pass",IF(AND(G1040="N/A",H1040="N/A",J1040&lt;&gt;"",OR(E1040="CEM-FUELS",E1040="CEM-CCS",AND(E1040="CEM-PLAN",IFERROR(INDEX('Taxonomy'!$M$9:$M$108,MATCH(D1040,'Taxonomy'!$C$9:$C$108,0)),"")&lt;&gt;"Amber"),E1040="BLD-TIMBER",AND(U1040="Building equipment",OR(E1040="BLD-WATER",E1040="BLD-WASTE",E1040="BLD-LAND")),AND(U1040="Building renovation",E1040="BLD-LAND"))),"N/A","Pending"))))))</x:f>
      </x:c>
      <x:c r="Q1040" s="3" t="str">
        <x:f>IF(C1040="","",IF(AND(R1040="Valid",OR(P1040="Pass",P1040="N/A")),"Complete","Unresolved"))</x:f>
      </x:c>
      <x:c r="R1040" s="9" t="str">
        <x:f>IF(C1040="","",IF(OR(COUNTIF($C$9:$C$2008,C1040)&lt;&gt;1,COUNTIFS($D$9:$D$2008,D1040,$E$9:$E$2008,E1040)&lt;&gt;1),"Duplicate test",IF(COUNTIF('Taxonomy'!$C$9:$C$108,D1040)&lt;&gt;1,"Assessment key",IF(OR(COUNTIF('Taxonomy Rules'!$C$42:$C$68,E1040)&lt;&gt;1,F1040&lt;&gt;IFERROR(INDEX('Taxonomy Rules'!$D$42:$D$68,MATCH(E1040,'Taxonomy Rules'!$C$42:$C$68,0)),""),NOT(OR(IFERROR(INDEX('Taxonomy Rules'!$G$42:$G$68,MATCH(E1040,'Taxonomy Rules'!$C$42:$C$68,0)),"")="All supported routes",IFERROR(INDEX('Taxonomy Rules'!$G$42:$G$68,MATCH(E1040,'Taxonomy Rules'!$C$42:$C$68,0)),"")=U1040,AND(IFERROR(INDEX('Taxonomy Rules'!$G$42:$G$68,MATCH(E1040,'Taxonomy Rules'!$C$42:$C$68,0)),"")="Building routes",OR(U1040="Building renovation",U1040="New building",U1040="Building equipment"))))),"Unexpected test","Valid"))))</x:f>
      </x:c>
      <x:c r="S1040" s="9" t="str">
        <x:f>IF(C1040="","",IFERROR(INDEX('Taxonomy Rules'!$E$42:$E$68,MATCH(E1040,'Taxonomy Rules'!$C$42:$C$68,0)),""))</x:f>
      </x:c>
      <x:c r="T1040" s="9" t="str">
        <x:f>IF(C1040="","",IFERROR(INDEX('Taxonomy Rules'!$F$42:$F$68,MATCH(E1040,'Taxonomy Rules'!$C$42:$C$68,0)),""))</x:f>
      </x:c>
      <x:c r="U1040" s="9" t="str">
        <x:f>IF(C1040="","",IFERROR(INDEX('Taxonomy'!$G$9:$G$108,MATCH(D1040,'Taxonomy'!$C$9:$C$108,0)),""))</x:f>
      </x:c>
    </x:row>
    <x:row r="1041" ht="44" customHeight="1">
      <x:c r="A1041" s="1"/>
      <x:c r="B1041" s="1"/>
      <x:c r="C1041" s="8"/>
      <x:c r="D1041" s="8"/>
      <x:c r="E1041" s="8"/>
      <x:c r="F1041" s="8"/>
      <x:c r="G1041" s="8"/>
      <x:c r="H1041" s="8"/>
      <x:c r="I1041" s="8"/>
      <x:c r="J1041" s="8"/>
      <x:c r="K1041" s="8"/>
      <x:c r="L1041" s="8"/>
      <x:c r="M1041" s="10"/>
      <x:c r="N1041" s="10"/>
      <x:c r="O1041" s="8"/>
      <x:c r="P1041" s="9" t="str">
        <x:f>IF(C1041="","",IF(AND(G1041="Applicable",H1041="Fail"),"Fail",IF(R1041&lt;&gt;"Valid","Pending",IF(OR(I1041="",K1041="",L1041="",K1041=L1041,NOT(ISNUMBER(M1041)),NOT(ISNUMBER(N1041)),M1041&gt;Settings!$F$8,N1041&lt;Settings!$F$8,N1041&lt;M1041),"Pending",IF(AND(G1041="Applicable",H1041="Pass"),"Pass",IF(AND(G1041="N/A",H1041="N/A",J1041&lt;&gt;"",OR(E1041="CEM-FUELS",E1041="CEM-CCS",AND(E1041="CEM-PLAN",IFERROR(INDEX('Taxonomy'!$M$9:$M$108,MATCH(D1041,'Taxonomy'!$C$9:$C$108,0)),"")&lt;&gt;"Amber"),E1041="BLD-TIMBER",AND(U1041="Building equipment",OR(E1041="BLD-WATER",E1041="BLD-WASTE",E1041="BLD-LAND")),AND(U1041="Building renovation",E1041="BLD-LAND"))),"N/A","Pending"))))))</x:f>
      </x:c>
      <x:c r="Q1041" s="3" t="str">
        <x:f>IF(C1041="","",IF(AND(R1041="Valid",OR(P1041="Pass",P1041="N/A")),"Complete","Unresolved"))</x:f>
      </x:c>
      <x:c r="R1041" s="9" t="str">
        <x:f>IF(C1041="","",IF(OR(COUNTIF($C$9:$C$2008,C1041)&lt;&gt;1,COUNTIFS($D$9:$D$2008,D1041,$E$9:$E$2008,E1041)&lt;&gt;1),"Duplicate test",IF(COUNTIF('Taxonomy'!$C$9:$C$108,D1041)&lt;&gt;1,"Assessment key",IF(OR(COUNTIF('Taxonomy Rules'!$C$42:$C$68,E1041)&lt;&gt;1,F1041&lt;&gt;IFERROR(INDEX('Taxonomy Rules'!$D$42:$D$68,MATCH(E1041,'Taxonomy Rules'!$C$42:$C$68,0)),""),NOT(OR(IFERROR(INDEX('Taxonomy Rules'!$G$42:$G$68,MATCH(E1041,'Taxonomy Rules'!$C$42:$C$68,0)),"")="All supported routes",IFERROR(INDEX('Taxonomy Rules'!$G$42:$G$68,MATCH(E1041,'Taxonomy Rules'!$C$42:$C$68,0)),"")=U1041,AND(IFERROR(INDEX('Taxonomy Rules'!$G$42:$G$68,MATCH(E1041,'Taxonomy Rules'!$C$42:$C$68,0)),"")="Building routes",OR(U1041="Building renovation",U1041="New building",U1041="Building equipment"))))),"Unexpected test","Valid"))))</x:f>
      </x:c>
      <x:c r="S1041" s="9" t="str">
        <x:f>IF(C1041="","",IFERROR(INDEX('Taxonomy Rules'!$E$42:$E$68,MATCH(E1041,'Taxonomy Rules'!$C$42:$C$68,0)),""))</x:f>
      </x:c>
      <x:c r="T1041" s="9" t="str">
        <x:f>IF(C1041="","",IFERROR(INDEX('Taxonomy Rules'!$F$42:$F$68,MATCH(E1041,'Taxonomy Rules'!$C$42:$C$68,0)),""))</x:f>
      </x:c>
      <x:c r="U1041" s="9" t="str">
        <x:f>IF(C1041="","",IFERROR(INDEX('Taxonomy'!$G$9:$G$108,MATCH(D1041,'Taxonomy'!$C$9:$C$108,0)),""))</x:f>
      </x:c>
    </x:row>
    <x:row r="1042" ht="44" customHeight="1">
      <x:c r="A1042" s="1"/>
      <x:c r="B1042" s="1"/>
      <x:c r="C1042" s="8"/>
      <x:c r="D1042" s="8"/>
      <x:c r="E1042" s="8"/>
      <x:c r="F1042" s="8"/>
      <x:c r="G1042" s="8"/>
      <x:c r="H1042" s="8"/>
      <x:c r="I1042" s="8"/>
      <x:c r="J1042" s="8"/>
      <x:c r="K1042" s="8"/>
      <x:c r="L1042" s="8"/>
      <x:c r="M1042" s="10"/>
      <x:c r="N1042" s="10"/>
      <x:c r="O1042" s="8"/>
      <x:c r="P1042" s="9" t="str">
        <x:f>IF(C1042="","",IF(AND(G1042="Applicable",H1042="Fail"),"Fail",IF(R1042&lt;&gt;"Valid","Pending",IF(OR(I1042="",K1042="",L1042="",K1042=L1042,NOT(ISNUMBER(M1042)),NOT(ISNUMBER(N1042)),M1042&gt;Settings!$F$8,N1042&lt;Settings!$F$8,N1042&lt;M1042),"Pending",IF(AND(G1042="Applicable",H1042="Pass"),"Pass",IF(AND(G1042="N/A",H1042="N/A",J1042&lt;&gt;"",OR(E1042="CEM-FUELS",E1042="CEM-CCS",AND(E1042="CEM-PLAN",IFERROR(INDEX('Taxonomy'!$M$9:$M$108,MATCH(D1042,'Taxonomy'!$C$9:$C$108,0)),"")&lt;&gt;"Amber"),E1042="BLD-TIMBER",AND(U1042="Building equipment",OR(E1042="BLD-WATER",E1042="BLD-WASTE",E1042="BLD-LAND")),AND(U1042="Building renovation",E1042="BLD-LAND"))),"N/A","Pending"))))))</x:f>
      </x:c>
      <x:c r="Q1042" s="3" t="str">
        <x:f>IF(C1042="","",IF(AND(R1042="Valid",OR(P1042="Pass",P1042="N/A")),"Complete","Unresolved"))</x:f>
      </x:c>
      <x:c r="R1042" s="9" t="str">
        <x:f>IF(C1042="","",IF(OR(COUNTIF($C$9:$C$2008,C1042)&lt;&gt;1,COUNTIFS($D$9:$D$2008,D1042,$E$9:$E$2008,E1042)&lt;&gt;1),"Duplicate test",IF(COUNTIF('Taxonomy'!$C$9:$C$108,D1042)&lt;&gt;1,"Assessment key",IF(OR(COUNTIF('Taxonomy Rules'!$C$42:$C$68,E1042)&lt;&gt;1,F1042&lt;&gt;IFERROR(INDEX('Taxonomy Rules'!$D$42:$D$68,MATCH(E1042,'Taxonomy Rules'!$C$42:$C$68,0)),""),NOT(OR(IFERROR(INDEX('Taxonomy Rules'!$G$42:$G$68,MATCH(E1042,'Taxonomy Rules'!$C$42:$C$68,0)),"")="All supported routes",IFERROR(INDEX('Taxonomy Rules'!$G$42:$G$68,MATCH(E1042,'Taxonomy Rules'!$C$42:$C$68,0)),"")=U1042,AND(IFERROR(INDEX('Taxonomy Rules'!$G$42:$G$68,MATCH(E1042,'Taxonomy Rules'!$C$42:$C$68,0)),"")="Building routes",OR(U1042="Building renovation",U1042="New building",U1042="Building equipment"))))),"Unexpected test","Valid"))))</x:f>
      </x:c>
      <x:c r="S1042" s="9" t="str">
        <x:f>IF(C1042="","",IFERROR(INDEX('Taxonomy Rules'!$E$42:$E$68,MATCH(E1042,'Taxonomy Rules'!$C$42:$C$68,0)),""))</x:f>
      </x:c>
      <x:c r="T1042" s="9" t="str">
        <x:f>IF(C1042="","",IFERROR(INDEX('Taxonomy Rules'!$F$42:$F$68,MATCH(E1042,'Taxonomy Rules'!$C$42:$C$68,0)),""))</x:f>
      </x:c>
      <x:c r="U1042" s="9" t="str">
        <x:f>IF(C1042="","",IFERROR(INDEX('Taxonomy'!$G$9:$G$108,MATCH(D1042,'Taxonomy'!$C$9:$C$108,0)),""))</x:f>
      </x:c>
    </x:row>
    <x:row r="1043" ht="44" customHeight="1">
      <x:c r="A1043" s="1"/>
      <x:c r="B1043" s="1"/>
      <x:c r="C1043" s="8"/>
      <x:c r="D1043" s="8"/>
      <x:c r="E1043" s="8"/>
      <x:c r="F1043" s="8"/>
      <x:c r="G1043" s="8"/>
      <x:c r="H1043" s="8"/>
      <x:c r="I1043" s="8"/>
      <x:c r="J1043" s="8"/>
      <x:c r="K1043" s="8"/>
      <x:c r="L1043" s="8"/>
      <x:c r="M1043" s="10"/>
      <x:c r="N1043" s="10"/>
      <x:c r="O1043" s="8"/>
      <x:c r="P1043" s="9" t="str">
        <x:f>IF(C1043="","",IF(AND(G1043="Applicable",H1043="Fail"),"Fail",IF(R1043&lt;&gt;"Valid","Pending",IF(OR(I1043="",K1043="",L1043="",K1043=L1043,NOT(ISNUMBER(M1043)),NOT(ISNUMBER(N1043)),M1043&gt;Settings!$F$8,N1043&lt;Settings!$F$8,N1043&lt;M1043),"Pending",IF(AND(G1043="Applicable",H1043="Pass"),"Pass",IF(AND(G1043="N/A",H1043="N/A",J1043&lt;&gt;"",OR(E1043="CEM-FUELS",E1043="CEM-CCS",AND(E1043="CEM-PLAN",IFERROR(INDEX('Taxonomy'!$M$9:$M$108,MATCH(D1043,'Taxonomy'!$C$9:$C$108,0)),"")&lt;&gt;"Amber"),E1043="BLD-TIMBER",AND(U1043="Building equipment",OR(E1043="BLD-WATER",E1043="BLD-WASTE",E1043="BLD-LAND")),AND(U1043="Building renovation",E1043="BLD-LAND"))),"N/A","Pending"))))))</x:f>
      </x:c>
      <x:c r="Q1043" s="3" t="str">
        <x:f>IF(C1043="","",IF(AND(R1043="Valid",OR(P1043="Pass",P1043="N/A")),"Complete","Unresolved"))</x:f>
      </x:c>
      <x:c r="R1043" s="9" t="str">
        <x:f>IF(C1043="","",IF(OR(COUNTIF($C$9:$C$2008,C1043)&lt;&gt;1,COUNTIFS($D$9:$D$2008,D1043,$E$9:$E$2008,E1043)&lt;&gt;1),"Duplicate test",IF(COUNTIF('Taxonomy'!$C$9:$C$108,D1043)&lt;&gt;1,"Assessment key",IF(OR(COUNTIF('Taxonomy Rules'!$C$42:$C$68,E1043)&lt;&gt;1,F1043&lt;&gt;IFERROR(INDEX('Taxonomy Rules'!$D$42:$D$68,MATCH(E1043,'Taxonomy Rules'!$C$42:$C$68,0)),""),NOT(OR(IFERROR(INDEX('Taxonomy Rules'!$G$42:$G$68,MATCH(E1043,'Taxonomy Rules'!$C$42:$C$68,0)),"")="All supported routes",IFERROR(INDEX('Taxonomy Rules'!$G$42:$G$68,MATCH(E1043,'Taxonomy Rules'!$C$42:$C$68,0)),"")=U1043,AND(IFERROR(INDEX('Taxonomy Rules'!$G$42:$G$68,MATCH(E1043,'Taxonomy Rules'!$C$42:$C$68,0)),"")="Building routes",OR(U1043="Building renovation",U1043="New building",U1043="Building equipment"))))),"Unexpected test","Valid"))))</x:f>
      </x:c>
      <x:c r="S1043" s="9" t="str">
        <x:f>IF(C1043="","",IFERROR(INDEX('Taxonomy Rules'!$E$42:$E$68,MATCH(E1043,'Taxonomy Rules'!$C$42:$C$68,0)),""))</x:f>
      </x:c>
      <x:c r="T1043" s="9" t="str">
        <x:f>IF(C1043="","",IFERROR(INDEX('Taxonomy Rules'!$F$42:$F$68,MATCH(E1043,'Taxonomy Rules'!$C$42:$C$68,0)),""))</x:f>
      </x:c>
      <x:c r="U1043" s="9" t="str">
        <x:f>IF(C1043="","",IFERROR(INDEX('Taxonomy'!$G$9:$G$108,MATCH(D1043,'Taxonomy'!$C$9:$C$108,0)),""))</x:f>
      </x:c>
    </x:row>
    <x:row r="1044" ht="44" customHeight="1">
      <x:c r="A1044" s="1"/>
      <x:c r="B1044" s="1"/>
      <x:c r="C1044" s="8"/>
      <x:c r="D1044" s="8"/>
      <x:c r="E1044" s="8"/>
      <x:c r="F1044" s="8"/>
      <x:c r="G1044" s="8"/>
      <x:c r="H1044" s="8"/>
      <x:c r="I1044" s="8"/>
      <x:c r="J1044" s="8"/>
      <x:c r="K1044" s="8"/>
      <x:c r="L1044" s="8"/>
      <x:c r="M1044" s="10"/>
      <x:c r="N1044" s="10"/>
      <x:c r="O1044" s="8"/>
      <x:c r="P1044" s="9" t="str">
        <x:f>IF(C1044="","",IF(AND(G1044="Applicable",H1044="Fail"),"Fail",IF(R1044&lt;&gt;"Valid","Pending",IF(OR(I1044="",K1044="",L1044="",K1044=L1044,NOT(ISNUMBER(M1044)),NOT(ISNUMBER(N1044)),M1044&gt;Settings!$F$8,N1044&lt;Settings!$F$8,N1044&lt;M1044),"Pending",IF(AND(G1044="Applicable",H1044="Pass"),"Pass",IF(AND(G1044="N/A",H1044="N/A",J1044&lt;&gt;"",OR(E1044="CEM-FUELS",E1044="CEM-CCS",AND(E1044="CEM-PLAN",IFERROR(INDEX('Taxonomy'!$M$9:$M$108,MATCH(D1044,'Taxonomy'!$C$9:$C$108,0)),"")&lt;&gt;"Amber"),E1044="BLD-TIMBER",AND(U1044="Building equipment",OR(E1044="BLD-WATER",E1044="BLD-WASTE",E1044="BLD-LAND")),AND(U1044="Building renovation",E1044="BLD-LAND"))),"N/A","Pending"))))))</x:f>
      </x:c>
      <x:c r="Q1044" s="3" t="str">
        <x:f>IF(C1044="","",IF(AND(R1044="Valid",OR(P1044="Pass",P1044="N/A")),"Complete","Unresolved"))</x:f>
      </x:c>
      <x:c r="R1044" s="9" t="str">
        <x:f>IF(C1044="","",IF(OR(COUNTIF($C$9:$C$2008,C1044)&lt;&gt;1,COUNTIFS($D$9:$D$2008,D1044,$E$9:$E$2008,E1044)&lt;&gt;1),"Duplicate test",IF(COUNTIF('Taxonomy'!$C$9:$C$108,D1044)&lt;&gt;1,"Assessment key",IF(OR(COUNTIF('Taxonomy Rules'!$C$42:$C$68,E1044)&lt;&gt;1,F1044&lt;&gt;IFERROR(INDEX('Taxonomy Rules'!$D$42:$D$68,MATCH(E1044,'Taxonomy Rules'!$C$42:$C$68,0)),""),NOT(OR(IFERROR(INDEX('Taxonomy Rules'!$G$42:$G$68,MATCH(E1044,'Taxonomy Rules'!$C$42:$C$68,0)),"")="All supported routes",IFERROR(INDEX('Taxonomy Rules'!$G$42:$G$68,MATCH(E1044,'Taxonomy Rules'!$C$42:$C$68,0)),"")=U1044,AND(IFERROR(INDEX('Taxonomy Rules'!$G$42:$G$68,MATCH(E1044,'Taxonomy Rules'!$C$42:$C$68,0)),"")="Building routes",OR(U1044="Building renovation",U1044="New building",U1044="Building equipment"))))),"Unexpected test","Valid"))))</x:f>
      </x:c>
      <x:c r="S1044" s="9" t="str">
        <x:f>IF(C1044="","",IFERROR(INDEX('Taxonomy Rules'!$E$42:$E$68,MATCH(E1044,'Taxonomy Rules'!$C$42:$C$68,0)),""))</x:f>
      </x:c>
      <x:c r="T1044" s="9" t="str">
        <x:f>IF(C1044="","",IFERROR(INDEX('Taxonomy Rules'!$F$42:$F$68,MATCH(E1044,'Taxonomy Rules'!$C$42:$C$68,0)),""))</x:f>
      </x:c>
      <x:c r="U1044" s="9" t="str">
        <x:f>IF(C1044="","",IFERROR(INDEX('Taxonomy'!$G$9:$G$108,MATCH(D1044,'Taxonomy'!$C$9:$C$108,0)),""))</x:f>
      </x:c>
    </x:row>
    <x:row r="1045" ht="44" customHeight="1">
      <x:c r="A1045" s="1"/>
      <x:c r="B1045" s="1"/>
      <x:c r="C1045" s="8"/>
      <x:c r="D1045" s="8"/>
      <x:c r="E1045" s="8"/>
      <x:c r="F1045" s="8"/>
      <x:c r="G1045" s="8"/>
      <x:c r="H1045" s="8"/>
      <x:c r="I1045" s="8"/>
      <x:c r="J1045" s="8"/>
      <x:c r="K1045" s="8"/>
      <x:c r="L1045" s="8"/>
      <x:c r="M1045" s="10"/>
      <x:c r="N1045" s="10"/>
      <x:c r="O1045" s="8"/>
      <x:c r="P1045" s="9" t="str">
        <x:f>IF(C1045="","",IF(AND(G1045="Applicable",H1045="Fail"),"Fail",IF(R1045&lt;&gt;"Valid","Pending",IF(OR(I1045="",K1045="",L1045="",K1045=L1045,NOT(ISNUMBER(M1045)),NOT(ISNUMBER(N1045)),M1045&gt;Settings!$F$8,N1045&lt;Settings!$F$8,N1045&lt;M1045),"Pending",IF(AND(G1045="Applicable",H1045="Pass"),"Pass",IF(AND(G1045="N/A",H1045="N/A",J1045&lt;&gt;"",OR(E1045="CEM-FUELS",E1045="CEM-CCS",AND(E1045="CEM-PLAN",IFERROR(INDEX('Taxonomy'!$M$9:$M$108,MATCH(D1045,'Taxonomy'!$C$9:$C$108,0)),"")&lt;&gt;"Amber"),E1045="BLD-TIMBER",AND(U1045="Building equipment",OR(E1045="BLD-WATER",E1045="BLD-WASTE",E1045="BLD-LAND")),AND(U1045="Building renovation",E1045="BLD-LAND"))),"N/A","Pending"))))))</x:f>
      </x:c>
      <x:c r="Q1045" s="3" t="str">
        <x:f>IF(C1045="","",IF(AND(R1045="Valid",OR(P1045="Pass",P1045="N/A")),"Complete","Unresolved"))</x:f>
      </x:c>
      <x:c r="R1045" s="9" t="str">
        <x:f>IF(C1045="","",IF(OR(COUNTIF($C$9:$C$2008,C1045)&lt;&gt;1,COUNTIFS($D$9:$D$2008,D1045,$E$9:$E$2008,E1045)&lt;&gt;1),"Duplicate test",IF(COUNTIF('Taxonomy'!$C$9:$C$108,D1045)&lt;&gt;1,"Assessment key",IF(OR(COUNTIF('Taxonomy Rules'!$C$42:$C$68,E1045)&lt;&gt;1,F1045&lt;&gt;IFERROR(INDEX('Taxonomy Rules'!$D$42:$D$68,MATCH(E1045,'Taxonomy Rules'!$C$42:$C$68,0)),""),NOT(OR(IFERROR(INDEX('Taxonomy Rules'!$G$42:$G$68,MATCH(E1045,'Taxonomy Rules'!$C$42:$C$68,0)),"")="All supported routes",IFERROR(INDEX('Taxonomy Rules'!$G$42:$G$68,MATCH(E1045,'Taxonomy Rules'!$C$42:$C$68,0)),"")=U1045,AND(IFERROR(INDEX('Taxonomy Rules'!$G$42:$G$68,MATCH(E1045,'Taxonomy Rules'!$C$42:$C$68,0)),"")="Building routes",OR(U1045="Building renovation",U1045="New building",U1045="Building equipment"))))),"Unexpected test","Valid"))))</x:f>
      </x:c>
      <x:c r="S1045" s="9" t="str">
        <x:f>IF(C1045="","",IFERROR(INDEX('Taxonomy Rules'!$E$42:$E$68,MATCH(E1045,'Taxonomy Rules'!$C$42:$C$68,0)),""))</x:f>
      </x:c>
      <x:c r="T1045" s="9" t="str">
        <x:f>IF(C1045="","",IFERROR(INDEX('Taxonomy Rules'!$F$42:$F$68,MATCH(E1045,'Taxonomy Rules'!$C$42:$C$68,0)),""))</x:f>
      </x:c>
      <x:c r="U1045" s="9" t="str">
        <x:f>IF(C1045="","",IFERROR(INDEX('Taxonomy'!$G$9:$G$108,MATCH(D1045,'Taxonomy'!$C$9:$C$108,0)),""))</x:f>
      </x:c>
    </x:row>
    <x:row r="1046" ht="44" customHeight="1">
      <x:c r="A1046" s="1"/>
      <x:c r="B1046" s="1"/>
      <x:c r="C1046" s="8"/>
      <x:c r="D1046" s="8"/>
      <x:c r="E1046" s="8"/>
      <x:c r="F1046" s="8"/>
      <x:c r="G1046" s="8"/>
      <x:c r="H1046" s="8"/>
      <x:c r="I1046" s="8"/>
      <x:c r="J1046" s="8"/>
      <x:c r="K1046" s="8"/>
      <x:c r="L1046" s="8"/>
      <x:c r="M1046" s="10"/>
      <x:c r="N1046" s="10"/>
      <x:c r="O1046" s="8"/>
      <x:c r="P1046" s="9" t="str">
        <x:f>IF(C1046="","",IF(AND(G1046="Applicable",H1046="Fail"),"Fail",IF(R1046&lt;&gt;"Valid","Pending",IF(OR(I1046="",K1046="",L1046="",K1046=L1046,NOT(ISNUMBER(M1046)),NOT(ISNUMBER(N1046)),M1046&gt;Settings!$F$8,N1046&lt;Settings!$F$8,N1046&lt;M1046),"Pending",IF(AND(G1046="Applicable",H1046="Pass"),"Pass",IF(AND(G1046="N/A",H1046="N/A",J1046&lt;&gt;"",OR(E1046="CEM-FUELS",E1046="CEM-CCS",AND(E1046="CEM-PLAN",IFERROR(INDEX('Taxonomy'!$M$9:$M$108,MATCH(D1046,'Taxonomy'!$C$9:$C$108,0)),"")&lt;&gt;"Amber"),E1046="BLD-TIMBER",AND(U1046="Building equipment",OR(E1046="BLD-WATER",E1046="BLD-WASTE",E1046="BLD-LAND")),AND(U1046="Building renovation",E1046="BLD-LAND"))),"N/A","Pending"))))))</x:f>
      </x:c>
      <x:c r="Q1046" s="3" t="str">
        <x:f>IF(C1046="","",IF(AND(R1046="Valid",OR(P1046="Pass",P1046="N/A")),"Complete","Unresolved"))</x:f>
      </x:c>
      <x:c r="R1046" s="9" t="str">
        <x:f>IF(C1046="","",IF(OR(COUNTIF($C$9:$C$2008,C1046)&lt;&gt;1,COUNTIFS($D$9:$D$2008,D1046,$E$9:$E$2008,E1046)&lt;&gt;1),"Duplicate test",IF(COUNTIF('Taxonomy'!$C$9:$C$108,D1046)&lt;&gt;1,"Assessment key",IF(OR(COUNTIF('Taxonomy Rules'!$C$42:$C$68,E1046)&lt;&gt;1,F1046&lt;&gt;IFERROR(INDEX('Taxonomy Rules'!$D$42:$D$68,MATCH(E1046,'Taxonomy Rules'!$C$42:$C$68,0)),""),NOT(OR(IFERROR(INDEX('Taxonomy Rules'!$G$42:$G$68,MATCH(E1046,'Taxonomy Rules'!$C$42:$C$68,0)),"")="All supported routes",IFERROR(INDEX('Taxonomy Rules'!$G$42:$G$68,MATCH(E1046,'Taxonomy Rules'!$C$42:$C$68,0)),"")=U1046,AND(IFERROR(INDEX('Taxonomy Rules'!$G$42:$G$68,MATCH(E1046,'Taxonomy Rules'!$C$42:$C$68,0)),"")="Building routes",OR(U1046="Building renovation",U1046="New building",U1046="Building equipment"))))),"Unexpected test","Valid"))))</x:f>
      </x:c>
      <x:c r="S1046" s="9" t="str">
        <x:f>IF(C1046="","",IFERROR(INDEX('Taxonomy Rules'!$E$42:$E$68,MATCH(E1046,'Taxonomy Rules'!$C$42:$C$68,0)),""))</x:f>
      </x:c>
      <x:c r="T1046" s="9" t="str">
        <x:f>IF(C1046="","",IFERROR(INDEX('Taxonomy Rules'!$F$42:$F$68,MATCH(E1046,'Taxonomy Rules'!$C$42:$C$68,0)),""))</x:f>
      </x:c>
      <x:c r="U1046" s="9" t="str">
        <x:f>IF(C1046="","",IFERROR(INDEX('Taxonomy'!$G$9:$G$108,MATCH(D1046,'Taxonomy'!$C$9:$C$108,0)),""))</x:f>
      </x:c>
    </x:row>
    <x:row r="1047" ht="44" customHeight="1">
      <x:c r="A1047" s="1"/>
      <x:c r="B1047" s="1"/>
      <x:c r="C1047" s="8"/>
      <x:c r="D1047" s="8"/>
      <x:c r="E1047" s="8"/>
      <x:c r="F1047" s="8"/>
      <x:c r="G1047" s="8"/>
      <x:c r="H1047" s="8"/>
      <x:c r="I1047" s="8"/>
      <x:c r="J1047" s="8"/>
      <x:c r="K1047" s="8"/>
      <x:c r="L1047" s="8"/>
      <x:c r="M1047" s="10"/>
      <x:c r="N1047" s="10"/>
      <x:c r="O1047" s="8"/>
      <x:c r="P1047" s="9" t="str">
        <x:f>IF(C1047="","",IF(AND(G1047="Applicable",H1047="Fail"),"Fail",IF(R1047&lt;&gt;"Valid","Pending",IF(OR(I1047="",K1047="",L1047="",K1047=L1047,NOT(ISNUMBER(M1047)),NOT(ISNUMBER(N1047)),M1047&gt;Settings!$F$8,N1047&lt;Settings!$F$8,N1047&lt;M1047),"Pending",IF(AND(G1047="Applicable",H1047="Pass"),"Pass",IF(AND(G1047="N/A",H1047="N/A",J1047&lt;&gt;"",OR(E1047="CEM-FUELS",E1047="CEM-CCS",AND(E1047="CEM-PLAN",IFERROR(INDEX('Taxonomy'!$M$9:$M$108,MATCH(D1047,'Taxonomy'!$C$9:$C$108,0)),"")&lt;&gt;"Amber"),E1047="BLD-TIMBER",AND(U1047="Building equipment",OR(E1047="BLD-WATER",E1047="BLD-WASTE",E1047="BLD-LAND")),AND(U1047="Building renovation",E1047="BLD-LAND"))),"N/A","Pending"))))))</x:f>
      </x:c>
      <x:c r="Q1047" s="3" t="str">
        <x:f>IF(C1047="","",IF(AND(R1047="Valid",OR(P1047="Pass",P1047="N/A")),"Complete","Unresolved"))</x:f>
      </x:c>
      <x:c r="R1047" s="9" t="str">
        <x:f>IF(C1047="","",IF(OR(COUNTIF($C$9:$C$2008,C1047)&lt;&gt;1,COUNTIFS($D$9:$D$2008,D1047,$E$9:$E$2008,E1047)&lt;&gt;1),"Duplicate test",IF(COUNTIF('Taxonomy'!$C$9:$C$108,D1047)&lt;&gt;1,"Assessment key",IF(OR(COUNTIF('Taxonomy Rules'!$C$42:$C$68,E1047)&lt;&gt;1,F1047&lt;&gt;IFERROR(INDEX('Taxonomy Rules'!$D$42:$D$68,MATCH(E1047,'Taxonomy Rules'!$C$42:$C$68,0)),""),NOT(OR(IFERROR(INDEX('Taxonomy Rules'!$G$42:$G$68,MATCH(E1047,'Taxonomy Rules'!$C$42:$C$68,0)),"")="All supported routes",IFERROR(INDEX('Taxonomy Rules'!$G$42:$G$68,MATCH(E1047,'Taxonomy Rules'!$C$42:$C$68,0)),"")=U1047,AND(IFERROR(INDEX('Taxonomy Rules'!$G$42:$G$68,MATCH(E1047,'Taxonomy Rules'!$C$42:$C$68,0)),"")="Building routes",OR(U1047="Building renovation",U1047="New building",U1047="Building equipment"))))),"Unexpected test","Valid"))))</x:f>
      </x:c>
      <x:c r="S1047" s="9" t="str">
        <x:f>IF(C1047="","",IFERROR(INDEX('Taxonomy Rules'!$E$42:$E$68,MATCH(E1047,'Taxonomy Rules'!$C$42:$C$68,0)),""))</x:f>
      </x:c>
      <x:c r="T1047" s="9" t="str">
        <x:f>IF(C1047="","",IFERROR(INDEX('Taxonomy Rules'!$F$42:$F$68,MATCH(E1047,'Taxonomy Rules'!$C$42:$C$68,0)),""))</x:f>
      </x:c>
      <x:c r="U1047" s="9" t="str">
        <x:f>IF(C1047="","",IFERROR(INDEX('Taxonomy'!$G$9:$G$108,MATCH(D1047,'Taxonomy'!$C$9:$C$108,0)),""))</x:f>
      </x:c>
    </x:row>
    <x:row r="1048" ht="44" customHeight="1">
      <x:c r="A1048" s="1"/>
      <x:c r="B1048" s="1"/>
      <x:c r="C1048" s="8"/>
      <x:c r="D1048" s="8"/>
      <x:c r="E1048" s="8"/>
      <x:c r="F1048" s="8"/>
      <x:c r="G1048" s="8"/>
      <x:c r="H1048" s="8"/>
      <x:c r="I1048" s="8"/>
      <x:c r="J1048" s="8"/>
      <x:c r="K1048" s="8"/>
      <x:c r="L1048" s="8"/>
      <x:c r="M1048" s="10"/>
      <x:c r="N1048" s="10"/>
      <x:c r="O1048" s="8"/>
      <x:c r="P1048" s="9" t="str">
        <x:f>IF(C1048="","",IF(AND(G1048="Applicable",H1048="Fail"),"Fail",IF(R1048&lt;&gt;"Valid","Pending",IF(OR(I1048="",K1048="",L1048="",K1048=L1048,NOT(ISNUMBER(M1048)),NOT(ISNUMBER(N1048)),M1048&gt;Settings!$F$8,N1048&lt;Settings!$F$8,N1048&lt;M1048),"Pending",IF(AND(G1048="Applicable",H1048="Pass"),"Pass",IF(AND(G1048="N/A",H1048="N/A",J1048&lt;&gt;"",OR(E1048="CEM-FUELS",E1048="CEM-CCS",AND(E1048="CEM-PLAN",IFERROR(INDEX('Taxonomy'!$M$9:$M$108,MATCH(D1048,'Taxonomy'!$C$9:$C$108,0)),"")&lt;&gt;"Amber"),E1048="BLD-TIMBER",AND(U1048="Building equipment",OR(E1048="BLD-WATER",E1048="BLD-WASTE",E1048="BLD-LAND")),AND(U1048="Building renovation",E1048="BLD-LAND"))),"N/A","Pending"))))))</x:f>
      </x:c>
      <x:c r="Q1048" s="3" t="str">
        <x:f>IF(C1048="","",IF(AND(R1048="Valid",OR(P1048="Pass",P1048="N/A")),"Complete","Unresolved"))</x:f>
      </x:c>
      <x:c r="R1048" s="9" t="str">
        <x:f>IF(C1048="","",IF(OR(COUNTIF($C$9:$C$2008,C1048)&lt;&gt;1,COUNTIFS($D$9:$D$2008,D1048,$E$9:$E$2008,E1048)&lt;&gt;1),"Duplicate test",IF(COUNTIF('Taxonomy'!$C$9:$C$108,D1048)&lt;&gt;1,"Assessment key",IF(OR(COUNTIF('Taxonomy Rules'!$C$42:$C$68,E1048)&lt;&gt;1,F1048&lt;&gt;IFERROR(INDEX('Taxonomy Rules'!$D$42:$D$68,MATCH(E1048,'Taxonomy Rules'!$C$42:$C$68,0)),""),NOT(OR(IFERROR(INDEX('Taxonomy Rules'!$G$42:$G$68,MATCH(E1048,'Taxonomy Rules'!$C$42:$C$68,0)),"")="All supported routes",IFERROR(INDEX('Taxonomy Rules'!$G$42:$G$68,MATCH(E1048,'Taxonomy Rules'!$C$42:$C$68,0)),"")=U1048,AND(IFERROR(INDEX('Taxonomy Rules'!$G$42:$G$68,MATCH(E1048,'Taxonomy Rules'!$C$42:$C$68,0)),"")="Building routes",OR(U1048="Building renovation",U1048="New building",U1048="Building equipment"))))),"Unexpected test","Valid"))))</x:f>
      </x:c>
      <x:c r="S1048" s="9" t="str">
        <x:f>IF(C1048="","",IFERROR(INDEX('Taxonomy Rules'!$E$42:$E$68,MATCH(E1048,'Taxonomy Rules'!$C$42:$C$68,0)),""))</x:f>
      </x:c>
      <x:c r="T1048" s="9" t="str">
        <x:f>IF(C1048="","",IFERROR(INDEX('Taxonomy Rules'!$F$42:$F$68,MATCH(E1048,'Taxonomy Rules'!$C$42:$C$68,0)),""))</x:f>
      </x:c>
      <x:c r="U1048" s="9" t="str">
        <x:f>IF(C1048="","",IFERROR(INDEX('Taxonomy'!$G$9:$G$108,MATCH(D1048,'Taxonomy'!$C$9:$C$108,0)),""))</x:f>
      </x:c>
    </x:row>
    <x:row r="1049" ht="44" customHeight="1">
      <x:c r="A1049" s="1"/>
      <x:c r="B1049" s="1"/>
      <x:c r="C1049" s="8"/>
      <x:c r="D1049" s="8"/>
      <x:c r="E1049" s="8"/>
      <x:c r="F1049" s="8"/>
      <x:c r="G1049" s="8"/>
      <x:c r="H1049" s="8"/>
      <x:c r="I1049" s="8"/>
      <x:c r="J1049" s="8"/>
      <x:c r="K1049" s="8"/>
      <x:c r="L1049" s="8"/>
      <x:c r="M1049" s="10"/>
      <x:c r="N1049" s="10"/>
      <x:c r="O1049" s="8"/>
      <x:c r="P1049" s="9" t="str">
        <x:f>IF(C1049="","",IF(AND(G1049="Applicable",H1049="Fail"),"Fail",IF(R1049&lt;&gt;"Valid","Pending",IF(OR(I1049="",K1049="",L1049="",K1049=L1049,NOT(ISNUMBER(M1049)),NOT(ISNUMBER(N1049)),M1049&gt;Settings!$F$8,N1049&lt;Settings!$F$8,N1049&lt;M1049),"Pending",IF(AND(G1049="Applicable",H1049="Pass"),"Pass",IF(AND(G1049="N/A",H1049="N/A",J1049&lt;&gt;"",OR(E1049="CEM-FUELS",E1049="CEM-CCS",AND(E1049="CEM-PLAN",IFERROR(INDEX('Taxonomy'!$M$9:$M$108,MATCH(D1049,'Taxonomy'!$C$9:$C$108,0)),"")&lt;&gt;"Amber"),E1049="BLD-TIMBER",AND(U1049="Building equipment",OR(E1049="BLD-WATER",E1049="BLD-WASTE",E1049="BLD-LAND")),AND(U1049="Building renovation",E1049="BLD-LAND"))),"N/A","Pending"))))))</x:f>
      </x:c>
      <x:c r="Q1049" s="3" t="str">
        <x:f>IF(C1049="","",IF(AND(R1049="Valid",OR(P1049="Pass",P1049="N/A")),"Complete","Unresolved"))</x:f>
      </x:c>
      <x:c r="R1049" s="9" t="str">
        <x:f>IF(C1049="","",IF(OR(COUNTIF($C$9:$C$2008,C1049)&lt;&gt;1,COUNTIFS($D$9:$D$2008,D1049,$E$9:$E$2008,E1049)&lt;&gt;1),"Duplicate test",IF(COUNTIF('Taxonomy'!$C$9:$C$108,D1049)&lt;&gt;1,"Assessment key",IF(OR(COUNTIF('Taxonomy Rules'!$C$42:$C$68,E1049)&lt;&gt;1,F1049&lt;&gt;IFERROR(INDEX('Taxonomy Rules'!$D$42:$D$68,MATCH(E1049,'Taxonomy Rules'!$C$42:$C$68,0)),""),NOT(OR(IFERROR(INDEX('Taxonomy Rules'!$G$42:$G$68,MATCH(E1049,'Taxonomy Rules'!$C$42:$C$68,0)),"")="All supported routes",IFERROR(INDEX('Taxonomy Rules'!$G$42:$G$68,MATCH(E1049,'Taxonomy Rules'!$C$42:$C$68,0)),"")=U1049,AND(IFERROR(INDEX('Taxonomy Rules'!$G$42:$G$68,MATCH(E1049,'Taxonomy Rules'!$C$42:$C$68,0)),"")="Building routes",OR(U1049="Building renovation",U1049="New building",U1049="Building equipment"))))),"Unexpected test","Valid"))))</x:f>
      </x:c>
      <x:c r="S1049" s="9" t="str">
        <x:f>IF(C1049="","",IFERROR(INDEX('Taxonomy Rules'!$E$42:$E$68,MATCH(E1049,'Taxonomy Rules'!$C$42:$C$68,0)),""))</x:f>
      </x:c>
      <x:c r="T1049" s="9" t="str">
        <x:f>IF(C1049="","",IFERROR(INDEX('Taxonomy Rules'!$F$42:$F$68,MATCH(E1049,'Taxonomy Rules'!$C$42:$C$68,0)),""))</x:f>
      </x:c>
      <x:c r="U1049" s="9" t="str">
        <x:f>IF(C1049="","",IFERROR(INDEX('Taxonomy'!$G$9:$G$108,MATCH(D1049,'Taxonomy'!$C$9:$C$108,0)),""))</x:f>
      </x:c>
    </x:row>
    <x:row r="1050" ht="44" customHeight="1">
      <x:c r="A1050" s="1"/>
      <x:c r="B1050" s="1"/>
      <x:c r="C1050" s="8"/>
      <x:c r="D1050" s="8"/>
      <x:c r="E1050" s="8"/>
      <x:c r="F1050" s="8"/>
      <x:c r="G1050" s="8"/>
      <x:c r="H1050" s="8"/>
      <x:c r="I1050" s="8"/>
      <x:c r="J1050" s="8"/>
      <x:c r="K1050" s="8"/>
      <x:c r="L1050" s="8"/>
      <x:c r="M1050" s="10"/>
      <x:c r="N1050" s="10"/>
      <x:c r="O1050" s="8"/>
      <x:c r="P1050" s="9" t="str">
        <x:f>IF(C1050="","",IF(AND(G1050="Applicable",H1050="Fail"),"Fail",IF(R1050&lt;&gt;"Valid","Pending",IF(OR(I1050="",K1050="",L1050="",K1050=L1050,NOT(ISNUMBER(M1050)),NOT(ISNUMBER(N1050)),M1050&gt;Settings!$F$8,N1050&lt;Settings!$F$8,N1050&lt;M1050),"Pending",IF(AND(G1050="Applicable",H1050="Pass"),"Pass",IF(AND(G1050="N/A",H1050="N/A",J1050&lt;&gt;"",OR(E1050="CEM-FUELS",E1050="CEM-CCS",AND(E1050="CEM-PLAN",IFERROR(INDEX('Taxonomy'!$M$9:$M$108,MATCH(D1050,'Taxonomy'!$C$9:$C$108,0)),"")&lt;&gt;"Amber"),E1050="BLD-TIMBER",AND(U1050="Building equipment",OR(E1050="BLD-WATER",E1050="BLD-WASTE",E1050="BLD-LAND")),AND(U1050="Building renovation",E1050="BLD-LAND"))),"N/A","Pending"))))))</x:f>
      </x:c>
      <x:c r="Q1050" s="3" t="str">
        <x:f>IF(C1050="","",IF(AND(R1050="Valid",OR(P1050="Pass",P1050="N/A")),"Complete","Unresolved"))</x:f>
      </x:c>
      <x:c r="R1050" s="9" t="str">
        <x:f>IF(C1050="","",IF(OR(COUNTIF($C$9:$C$2008,C1050)&lt;&gt;1,COUNTIFS($D$9:$D$2008,D1050,$E$9:$E$2008,E1050)&lt;&gt;1),"Duplicate test",IF(COUNTIF('Taxonomy'!$C$9:$C$108,D1050)&lt;&gt;1,"Assessment key",IF(OR(COUNTIF('Taxonomy Rules'!$C$42:$C$68,E1050)&lt;&gt;1,F1050&lt;&gt;IFERROR(INDEX('Taxonomy Rules'!$D$42:$D$68,MATCH(E1050,'Taxonomy Rules'!$C$42:$C$68,0)),""),NOT(OR(IFERROR(INDEX('Taxonomy Rules'!$G$42:$G$68,MATCH(E1050,'Taxonomy Rules'!$C$42:$C$68,0)),"")="All supported routes",IFERROR(INDEX('Taxonomy Rules'!$G$42:$G$68,MATCH(E1050,'Taxonomy Rules'!$C$42:$C$68,0)),"")=U1050,AND(IFERROR(INDEX('Taxonomy Rules'!$G$42:$G$68,MATCH(E1050,'Taxonomy Rules'!$C$42:$C$68,0)),"")="Building routes",OR(U1050="Building renovation",U1050="New building",U1050="Building equipment"))))),"Unexpected test","Valid"))))</x:f>
      </x:c>
      <x:c r="S1050" s="9" t="str">
        <x:f>IF(C1050="","",IFERROR(INDEX('Taxonomy Rules'!$E$42:$E$68,MATCH(E1050,'Taxonomy Rules'!$C$42:$C$68,0)),""))</x:f>
      </x:c>
      <x:c r="T1050" s="9" t="str">
        <x:f>IF(C1050="","",IFERROR(INDEX('Taxonomy Rules'!$F$42:$F$68,MATCH(E1050,'Taxonomy Rules'!$C$42:$C$68,0)),""))</x:f>
      </x:c>
      <x:c r="U1050" s="9" t="str">
        <x:f>IF(C1050="","",IFERROR(INDEX('Taxonomy'!$G$9:$G$108,MATCH(D1050,'Taxonomy'!$C$9:$C$108,0)),""))</x:f>
      </x:c>
    </x:row>
    <x:row r="1051" ht="44" customHeight="1">
      <x:c r="A1051" s="1"/>
      <x:c r="B1051" s="1"/>
      <x:c r="C1051" s="8"/>
      <x:c r="D1051" s="8"/>
      <x:c r="E1051" s="8"/>
      <x:c r="F1051" s="8"/>
      <x:c r="G1051" s="8"/>
      <x:c r="H1051" s="8"/>
      <x:c r="I1051" s="8"/>
      <x:c r="J1051" s="8"/>
      <x:c r="K1051" s="8"/>
      <x:c r="L1051" s="8"/>
      <x:c r="M1051" s="10"/>
      <x:c r="N1051" s="10"/>
      <x:c r="O1051" s="8"/>
      <x:c r="P1051" s="9" t="str">
        <x:f>IF(C1051="","",IF(AND(G1051="Applicable",H1051="Fail"),"Fail",IF(R1051&lt;&gt;"Valid","Pending",IF(OR(I1051="",K1051="",L1051="",K1051=L1051,NOT(ISNUMBER(M1051)),NOT(ISNUMBER(N1051)),M1051&gt;Settings!$F$8,N1051&lt;Settings!$F$8,N1051&lt;M1051),"Pending",IF(AND(G1051="Applicable",H1051="Pass"),"Pass",IF(AND(G1051="N/A",H1051="N/A",J1051&lt;&gt;"",OR(E1051="CEM-FUELS",E1051="CEM-CCS",AND(E1051="CEM-PLAN",IFERROR(INDEX('Taxonomy'!$M$9:$M$108,MATCH(D1051,'Taxonomy'!$C$9:$C$108,0)),"")&lt;&gt;"Amber"),E1051="BLD-TIMBER",AND(U1051="Building equipment",OR(E1051="BLD-WATER",E1051="BLD-WASTE",E1051="BLD-LAND")),AND(U1051="Building renovation",E1051="BLD-LAND"))),"N/A","Pending"))))))</x:f>
      </x:c>
      <x:c r="Q1051" s="3" t="str">
        <x:f>IF(C1051="","",IF(AND(R1051="Valid",OR(P1051="Pass",P1051="N/A")),"Complete","Unresolved"))</x:f>
      </x:c>
      <x:c r="R1051" s="9" t="str">
        <x:f>IF(C1051="","",IF(OR(COUNTIF($C$9:$C$2008,C1051)&lt;&gt;1,COUNTIFS($D$9:$D$2008,D1051,$E$9:$E$2008,E1051)&lt;&gt;1),"Duplicate test",IF(COUNTIF('Taxonomy'!$C$9:$C$108,D1051)&lt;&gt;1,"Assessment key",IF(OR(COUNTIF('Taxonomy Rules'!$C$42:$C$68,E1051)&lt;&gt;1,F1051&lt;&gt;IFERROR(INDEX('Taxonomy Rules'!$D$42:$D$68,MATCH(E1051,'Taxonomy Rules'!$C$42:$C$68,0)),""),NOT(OR(IFERROR(INDEX('Taxonomy Rules'!$G$42:$G$68,MATCH(E1051,'Taxonomy Rules'!$C$42:$C$68,0)),"")="All supported routes",IFERROR(INDEX('Taxonomy Rules'!$G$42:$G$68,MATCH(E1051,'Taxonomy Rules'!$C$42:$C$68,0)),"")=U1051,AND(IFERROR(INDEX('Taxonomy Rules'!$G$42:$G$68,MATCH(E1051,'Taxonomy Rules'!$C$42:$C$68,0)),"")="Building routes",OR(U1051="Building renovation",U1051="New building",U1051="Building equipment"))))),"Unexpected test","Valid"))))</x:f>
      </x:c>
      <x:c r="S1051" s="9" t="str">
        <x:f>IF(C1051="","",IFERROR(INDEX('Taxonomy Rules'!$E$42:$E$68,MATCH(E1051,'Taxonomy Rules'!$C$42:$C$68,0)),""))</x:f>
      </x:c>
      <x:c r="T1051" s="9" t="str">
        <x:f>IF(C1051="","",IFERROR(INDEX('Taxonomy Rules'!$F$42:$F$68,MATCH(E1051,'Taxonomy Rules'!$C$42:$C$68,0)),""))</x:f>
      </x:c>
      <x:c r="U1051" s="9" t="str">
        <x:f>IF(C1051="","",IFERROR(INDEX('Taxonomy'!$G$9:$G$108,MATCH(D1051,'Taxonomy'!$C$9:$C$108,0)),""))</x:f>
      </x:c>
    </x:row>
    <x:row r="1052" ht="44" customHeight="1">
      <x:c r="A1052" s="1"/>
      <x:c r="B1052" s="1"/>
      <x:c r="C1052" s="8"/>
      <x:c r="D1052" s="8"/>
      <x:c r="E1052" s="8"/>
      <x:c r="F1052" s="8"/>
      <x:c r="G1052" s="8"/>
      <x:c r="H1052" s="8"/>
      <x:c r="I1052" s="8"/>
      <x:c r="J1052" s="8"/>
      <x:c r="K1052" s="8"/>
      <x:c r="L1052" s="8"/>
      <x:c r="M1052" s="10"/>
      <x:c r="N1052" s="10"/>
      <x:c r="O1052" s="8"/>
      <x:c r="P1052" s="9" t="str">
        <x:f>IF(C1052="","",IF(AND(G1052="Applicable",H1052="Fail"),"Fail",IF(R1052&lt;&gt;"Valid","Pending",IF(OR(I1052="",K1052="",L1052="",K1052=L1052,NOT(ISNUMBER(M1052)),NOT(ISNUMBER(N1052)),M1052&gt;Settings!$F$8,N1052&lt;Settings!$F$8,N1052&lt;M1052),"Pending",IF(AND(G1052="Applicable",H1052="Pass"),"Pass",IF(AND(G1052="N/A",H1052="N/A",J1052&lt;&gt;"",OR(E1052="CEM-FUELS",E1052="CEM-CCS",AND(E1052="CEM-PLAN",IFERROR(INDEX('Taxonomy'!$M$9:$M$108,MATCH(D1052,'Taxonomy'!$C$9:$C$108,0)),"")&lt;&gt;"Amber"),E1052="BLD-TIMBER",AND(U1052="Building equipment",OR(E1052="BLD-WATER",E1052="BLD-WASTE",E1052="BLD-LAND")),AND(U1052="Building renovation",E1052="BLD-LAND"))),"N/A","Pending"))))))</x:f>
      </x:c>
      <x:c r="Q1052" s="3" t="str">
        <x:f>IF(C1052="","",IF(AND(R1052="Valid",OR(P1052="Pass",P1052="N/A")),"Complete","Unresolved"))</x:f>
      </x:c>
      <x:c r="R1052" s="9" t="str">
        <x:f>IF(C1052="","",IF(OR(COUNTIF($C$9:$C$2008,C1052)&lt;&gt;1,COUNTIFS($D$9:$D$2008,D1052,$E$9:$E$2008,E1052)&lt;&gt;1),"Duplicate test",IF(COUNTIF('Taxonomy'!$C$9:$C$108,D1052)&lt;&gt;1,"Assessment key",IF(OR(COUNTIF('Taxonomy Rules'!$C$42:$C$68,E1052)&lt;&gt;1,F1052&lt;&gt;IFERROR(INDEX('Taxonomy Rules'!$D$42:$D$68,MATCH(E1052,'Taxonomy Rules'!$C$42:$C$68,0)),""),NOT(OR(IFERROR(INDEX('Taxonomy Rules'!$G$42:$G$68,MATCH(E1052,'Taxonomy Rules'!$C$42:$C$68,0)),"")="All supported routes",IFERROR(INDEX('Taxonomy Rules'!$G$42:$G$68,MATCH(E1052,'Taxonomy Rules'!$C$42:$C$68,0)),"")=U1052,AND(IFERROR(INDEX('Taxonomy Rules'!$G$42:$G$68,MATCH(E1052,'Taxonomy Rules'!$C$42:$C$68,0)),"")="Building routes",OR(U1052="Building renovation",U1052="New building",U1052="Building equipment"))))),"Unexpected test","Valid"))))</x:f>
      </x:c>
      <x:c r="S1052" s="9" t="str">
        <x:f>IF(C1052="","",IFERROR(INDEX('Taxonomy Rules'!$E$42:$E$68,MATCH(E1052,'Taxonomy Rules'!$C$42:$C$68,0)),""))</x:f>
      </x:c>
      <x:c r="T1052" s="9" t="str">
        <x:f>IF(C1052="","",IFERROR(INDEX('Taxonomy Rules'!$F$42:$F$68,MATCH(E1052,'Taxonomy Rules'!$C$42:$C$68,0)),""))</x:f>
      </x:c>
      <x:c r="U1052" s="9" t="str">
        <x:f>IF(C1052="","",IFERROR(INDEX('Taxonomy'!$G$9:$G$108,MATCH(D1052,'Taxonomy'!$C$9:$C$108,0)),""))</x:f>
      </x:c>
    </x:row>
    <x:row r="1053" ht="44" customHeight="1">
      <x:c r="A1053" s="1"/>
      <x:c r="B1053" s="1"/>
      <x:c r="C1053" s="8"/>
      <x:c r="D1053" s="8"/>
      <x:c r="E1053" s="8"/>
      <x:c r="F1053" s="8"/>
      <x:c r="G1053" s="8"/>
      <x:c r="H1053" s="8"/>
      <x:c r="I1053" s="8"/>
      <x:c r="J1053" s="8"/>
      <x:c r="K1053" s="8"/>
      <x:c r="L1053" s="8"/>
      <x:c r="M1053" s="10"/>
      <x:c r="N1053" s="10"/>
      <x:c r="O1053" s="8"/>
      <x:c r="P1053" s="9" t="str">
        <x:f>IF(C1053="","",IF(AND(G1053="Applicable",H1053="Fail"),"Fail",IF(R1053&lt;&gt;"Valid","Pending",IF(OR(I1053="",K1053="",L1053="",K1053=L1053,NOT(ISNUMBER(M1053)),NOT(ISNUMBER(N1053)),M1053&gt;Settings!$F$8,N1053&lt;Settings!$F$8,N1053&lt;M1053),"Pending",IF(AND(G1053="Applicable",H1053="Pass"),"Pass",IF(AND(G1053="N/A",H1053="N/A",J1053&lt;&gt;"",OR(E1053="CEM-FUELS",E1053="CEM-CCS",AND(E1053="CEM-PLAN",IFERROR(INDEX('Taxonomy'!$M$9:$M$108,MATCH(D1053,'Taxonomy'!$C$9:$C$108,0)),"")&lt;&gt;"Amber"),E1053="BLD-TIMBER",AND(U1053="Building equipment",OR(E1053="BLD-WATER",E1053="BLD-WASTE",E1053="BLD-LAND")),AND(U1053="Building renovation",E1053="BLD-LAND"))),"N/A","Pending"))))))</x:f>
      </x:c>
      <x:c r="Q1053" s="3" t="str">
        <x:f>IF(C1053="","",IF(AND(R1053="Valid",OR(P1053="Pass",P1053="N/A")),"Complete","Unresolved"))</x:f>
      </x:c>
      <x:c r="R1053" s="9" t="str">
        <x:f>IF(C1053="","",IF(OR(COUNTIF($C$9:$C$2008,C1053)&lt;&gt;1,COUNTIFS($D$9:$D$2008,D1053,$E$9:$E$2008,E1053)&lt;&gt;1),"Duplicate test",IF(COUNTIF('Taxonomy'!$C$9:$C$108,D1053)&lt;&gt;1,"Assessment key",IF(OR(COUNTIF('Taxonomy Rules'!$C$42:$C$68,E1053)&lt;&gt;1,F1053&lt;&gt;IFERROR(INDEX('Taxonomy Rules'!$D$42:$D$68,MATCH(E1053,'Taxonomy Rules'!$C$42:$C$68,0)),""),NOT(OR(IFERROR(INDEX('Taxonomy Rules'!$G$42:$G$68,MATCH(E1053,'Taxonomy Rules'!$C$42:$C$68,0)),"")="All supported routes",IFERROR(INDEX('Taxonomy Rules'!$G$42:$G$68,MATCH(E1053,'Taxonomy Rules'!$C$42:$C$68,0)),"")=U1053,AND(IFERROR(INDEX('Taxonomy Rules'!$G$42:$G$68,MATCH(E1053,'Taxonomy Rules'!$C$42:$C$68,0)),"")="Building routes",OR(U1053="Building renovation",U1053="New building",U1053="Building equipment"))))),"Unexpected test","Valid"))))</x:f>
      </x:c>
      <x:c r="S1053" s="9" t="str">
        <x:f>IF(C1053="","",IFERROR(INDEX('Taxonomy Rules'!$E$42:$E$68,MATCH(E1053,'Taxonomy Rules'!$C$42:$C$68,0)),""))</x:f>
      </x:c>
      <x:c r="T1053" s="9" t="str">
        <x:f>IF(C1053="","",IFERROR(INDEX('Taxonomy Rules'!$F$42:$F$68,MATCH(E1053,'Taxonomy Rules'!$C$42:$C$68,0)),""))</x:f>
      </x:c>
      <x:c r="U1053" s="9" t="str">
        <x:f>IF(C1053="","",IFERROR(INDEX('Taxonomy'!$G$9:$G$108,MATCH(D1053,'Taxonomy'!$C$9:$C$108,0)),""))</x:f>
      </x:c>
    </x:row>
    <x:row r="1054" ht="44" customHeight="1">
      <x:c r="A1054" s="1"/>
      <x:c r="B1054" s="1"/>
      <x:c r="C1054" s="8"/>
      <x:c r="D1054" s="8"/>
      <x:c r="E1054" s="8"/>
      <x:c r="F1054" s="8"/>
      <x:c r="G1054" s="8"/>
      <x:c r="H1054" s="8"/>
      <x:c r="I1054" s="8"/>
      <x:c r="J1054" s="8"/>
      <x:c r="K1054" s="8"/>
      <x:c r="L1054" s="8"/>
      <x:c r="M1054" s="10"/>
      <x:c r="N1054" s="10"/>
      <x:c r="O1054" s="8"/>
      <x:c r="P1054" s="9" t="str">
        <x:f>IF(C1054="","",IF(AND(G1054="Applicable",H1054="Fail"),"Fail",IF(R1054&lt;&gt;"Valid","Pending",IF(OR(I1054="",K1054="",L1054="",K1054=L1054,NOT(ISNUMBER(M1054)),NOT(ISNUMBER(N1054)),M1054&gt;Settings!$F$8,N1054&lt;Settings!$F$8,N1054&lt;M1054),"Pending",IF(AND(G1054="Applicable",H1054="Pass"),"Pass",IF(AND(G1054="N/A",H1054="N/A",J1054&lt;&gt;"",OR(E1054="CEM-FUELS",E1054="CEM-CCS",AND(E1054="CEM-PLAN",IFERROR(INDEX('Taxonomy'!$M$9:$M$108,MATCH(D1054,'Taxonomy'!$C$9:$C$108,0)),"")&lt;&gt;"Amber"),E1054="BLD-TIMBER",AND(U1054="Building equipment",OR(E1054="BLD-WATER",E1054="BLD-WASTE",E1054="BLD-LAND")),AND(U1054="Building renovation",E1054="BLD-LAND"))),"N/A","Pending"))))))</x:f>
      </x:c>
      <x:c r="Q1054" s="3" t="str">
        <x:f>IF(C1054="","",IF(AND(R1054="Valid",OR(P1054="Pass",P1054="N/A")),"Complete","Unresolved"))</x:f>
      </x:c>
      <x:c r="R1054" s="9" t="str">
        <x:f>IF(C1054="","",IF(OR(COUNTIF($C$9:$C$2008,C1054)&lt;&gt;1,COUNTIFS($D$9:$D$2008,D1054,$E$9:$E$2008,E1054)&lt;&gt;1),"Duplicate test",IF(COUNTIF('Taxonomy'!$C$9:$C$108,D1054)&lt;&gt;1,"Assessment key",IF(OR(COUNTIF('Taxonomy Rules'!$C$42:$C$68,E1054)&lt;&gt;1,F1054&lt;&gt;IFERROR(INDEX('Taxonomy Rules'!$D$42:$D$68,MATCH(E1054,'Taxonomy Rules'!$C$42:$C$68,0)),""),NOT(OR(IFERROR(INDEX('Taxonomy Rules'!$G$42:$G$68,MATCH(E1054,'Taxonomy Rules'!$C$42:$C$68,0)),"")="All supported routes",IFERROR(INDEX('Taxonomy Rules'!$G$42:$G$68,MATCH(E1054,'Taxonomy Rules'!$C$42:$C$68,0)),"")=U1054,AND(IFERROR(INDEX('Taxonomy Rules'!$G$42:$G$68,MATCH(E1054,'Taxonomy Rules'!$C$42:$C$68,0)),"")="Building routes",OR(U1054="Building renovation",U1054="New building",U1054="Building equipment"))))),"Unexpected test","Valid"))))</x:f>
      </x:c>
      <x:c r="S1054" s="9" t="str">
        <x:f>IF(C1054="","",IFERROR(INDEX('Taxonomy Rules'!$E$42:$E$68,MATCH(E1054,'Taxonomy Rules'!$C$42:$C$68,0)),""))</x:f>
      </x:c>
      <x:c r="T1054" s="9" t="str">
        <x:f>IF(C1054="","",IFERROR(INDEX('Taxonomy Rules'!$F$42:$F$68,MATCH(E1054,'Taxonomy Rules'!$C$42:$C$68,0)),""))</x:f>
      </x:c>
      <x:c r="U1054" s="9" t="str">
        <x:f>IF(C1054="","",IFERROR(INDEX('Taxonomy'!$G$9:$G$108,MATCH(D1054,'Taxonomy'!$C$9:$C$108,0)),""))</x:f>
      </x:c>
    </x:row>
    <x:row r="1055" ht="44" customHeight="1">
      <x:c r="A1055" s="1"/>
      <x:c r="B1055" s="1"/>
      <x:c r="C1055" s="8"/>
      <x:c r="D1055" s="8"/>
      <x:c r="E1055" s="8"/>
      <x:c r="F1055" s="8"/>
      <x:c r="G1055" s="8"/>
      <x:c r="H1055" s="8"/>
      <x:c r="I1055" s="8"/>
      <x:c r="J1055" s="8"/>
      <x:c r="K1055" s="8"/>
      <x:c r="L1055" s="8"/>
      <x:c r="M1055" s="10"/>
      <x:c r="N1055" s="10"/>
      <x:c r="O1055" s="8"/>
      <x:c r="P1055" s="9" t="str">
        <x:f>IF(C1055="","",IF(AND(G1055="Applicable",H1055="Fail"),"Fail",IF(R1055&lt;&gt;"Valid","Pending",IF(OR(I1055="",K1055="",L1055="",K1055=L1055,NOT(ISNUMBER(M1055)),NOT(ISNUMBER(N1055)),M1055&gt;Settings!$F$8,N1055&lt;Settings!$F$8,N1055&lt;M1055),"Pending",IF(AND(G1055="Applicable",H1055="Pass"),"Pass",IF(AND(G1055="N/A",H1055="N/A",J1055&lt;&gt;"",OR(E1055="CEM-FUELS",E1055="CEM-CCS",AND(E1055="CEM-PLAN",IFERROR(INDEX('Taxonomy'!$M$9:$M$108,MATCH(D1055,'Taxonomy'!$C$9:$C$108,0)),"")&lt;&gt;"Amber"),E1055="BLD-TIMBER",AND(U1055="Building equipment",OR(E1055="BLD-WATER",E1055="BLD-WASTE",E1055="BLD-LAND")),AND(U1055="Building renovation",E1055="BLD-LAND"))),"N/A","Pending"))))))</x:f>
      </x:c>
      <x:c r="Q1055" s="3" t="str">
        <x:f>IF(C1055="","",IF(AND(R1055="Valid",OR(P1055="Pass",P1055="N/A")),"Complete","Unresolved"))</x:f>
      </x:c>
      <x:c r="R1055" s="9" t="str">
        <x:f>IF(C1055="","",IF(OR(COUNTIF($C$9:$C$2008,C1055)&lt;&gt;1,COUNTIFS($D$9:$D$2008,D1055,$E$9:$E$2008,E1055)&lt;&gt;1),"Duplicate test",IF(COUNTIF('Taxonomy'!$C$9:$C$108,D1055)&lt;&gt;1,"Assessment key",IF(OR(COUNTIF('Taxonomy Rules'!$C$42:$C$68,E1055)&lt;&gt;1,F1055&lt;&gt;IFERROR(INDEX('Taxonomy Rules'!$D$42:$D$68,MATCH(E1055,'Taxonomy Rules'!$C$42:$C$68,0)),""),NOT(OR(IFERROR(INDEX('Taxonomy Rules'!$G$42:$G$68,MATCH(E1055,'Taxonomy Rules'!$C$42:$C$68,0)),"")="All supported routes",IFERROR(INDEX('Taxonomy Rules'!$G$42:$G$68,MATCH(E1055,'Taxonomy Rules'!$C$42:$C$68,0)),"")=U1055,AND(IFERROR(INDEX('Taxonomy Rules'!$G$42:$G$68,MATCH(E1055,'Taxonomy Rules'!$C$42:$C$68,0)),"")="Building routes",OR(U1055="Building renovation",U1055="New building",U1055="Building equipment"))))),"Unexpected test","Valid"))))</x:f>
      </x:c>
      <x:c r="S1055" s="9" t="str">
        <x:f>IF(C1055="","",IFERROR(INDEX('Taxonomy Rules'!$E$42:$E$68,MATCH(E1055,'Taxonomy Rules'!$C$42:$C$68,0)),""))</x:f>
      </x:c>
      <x:c r="T1055" s="9" t="str">
        <x:f>IF(C1055="","",IFERROR(INDEX('Taxonomy Rules'!$F$42:$F$68,MATCH(E1055,'Taxonomy Rules'!$C$42:$C$68,0)),""))</x:f>
      </x:c>
      <x:c r="U1055" s="9" t="str">
        <x:f>IF(C1055="","",IFERROR(INDEX('Taxonomy'!$G$9:$G$108,MATCH(D1055,'Taxonomy'!$C$9:$C$108,0)),""))</x:f>
      </x:c>
    </x:row>
    <x:row r="1056" ht="44" customHeight="1">
      <x:c r="A1056" s="1"/>
      <x:c r="B1056" s="1"/>
      <x:c r="C1056" s="8"/>
      <x:c r="D1056" s="8"/>
      <x:c r="E1056" s="8"/>
      <x:c r="F1056" s="8"/>
      <x:c r="G1056" s="8"/>
      <x:c r="H1056" s="8"/>
      <x:c r="I1056" s="8"/>
      <x:c r="J1056" s="8"/>
      <x:c r="K1056" s="8"/>
      <x:c r="L1056" s="8"/>
      <x:c r="M1056" s="10"/>
      <x:c r="N1056" s="10"/>
      <x:c r="O1056" s="8"/>
      <x:c r="P1056" s="9" t="str">
        <x:f>IF(C1056="","",IF(AND(G1056="Applicable",H1056="Fail"),"Fail",IF(R1056&lt;&gt;"Valid","Pending",IF(OR(I1056="",K1056="",L1056="",K1056=L1056,NOT(ISNUMBER(M1056)),NOT(ISNUMBER(N1056)),M1056&gt;Settings!$F$8,N1056&lt;Settings!$F$8,N1056&lt;M1056),"Pending",IF(AND(G1056="Applicable",H1056="Pass"),"Pass",IF(AND(G1056="N/A",H1056="N/A",J1056&lt;&gt;"",OR(E1056="CEM-FUELS",E1056="CEM-CCS",AND(E1056="CEM-PLAN",IFERROR(INDEX('Taxonomy'!$M$9:$M$108,MATCH(D1056,'Taxonomy'!$C$9:$C$108,0)),"")&lt;&gt;"Amber"),E1056="BLD-TIMBER",AND(U1056="Building equipment",OR(E1056="BLD-WATER",E1056="BLD-WASTE",E1056="BLD-LAND")),AND(U1056="Building renovation",E1056="BLD-LAND"))),"N/A","Pending"))))))</x:f>
      </x:c>
      <x:c r="Q1056" s="3" t="str">
        <x:f>IF(C1056="","",IF(AND(R1056="Valid",OR(P1056="Pass",P1056="N/A")),"Complete","Unresolved"))</x:f>
      </x:c>
      <x:c r="R1056" s="9" t="str">
        <x:f>IF(C1056="","",IF(OR(COUNTIF($C$9:$C$2008,C1056)&lt;&gt;1,COUNTIFS($D$9:$D$2008,D1056,$E$9:$E$2008,E1056)&lt;&gt;1),"Duplicate test",IF(COUNTIF('Taxonomy'!$C$9:$C$108,D1056)&lt;&gt;1,"Assessment key",IF(OR(COUNTIF('Taxonomy Rules'!$C$42:$C$68,E1056)&lt;&gt;1,F1056&lt;&gt;IFERROR(INDEX('Taxonomy Rules'!$D$42:$D$68,MATCH(E1056,'Taxonomy Rules'!$C$42:$C$68,0)),""),NOT(OR(IFERROR(INDEX('Taxonomy Rules'!$G$42:$G$68,MATCH(E1056,'Taxonomy Rules'!$C$42:$C$68,0)),"")="All supported routes",IFERROR(INDEX('Taxonomy Rules'!$G$42:$G$68,MATCH(E1056,'Taxonomy Rules'!$C$42:$C$68,0)),"")=U1056,AND(IFERROR(INDEX('Taxonomy Rules'!$G$42:$G$68,MATCH(E1056,'Taxonomy Rules'!$C$42:$C$68,0)),"")="Building routes",OR(U1056="Building renovation",U1056="New building",U1056="Building equipment"))))),"Unexpected test","Valid"))))</x:f>
      </x:c>
      <x:c r="S1056" s="9" t="str">
        <x:f>IF(C1056="","",IFERROR(INDEX('Taxonomy Rules'!$E$42:$E$68,MATCH(E1056,'Taxonomy Rules'!$C$42:$C$68,0)),""))</x:f>
      </x:c>
      <x:c r="T1056" s="9" t="str">
        <x:f>IF(C1056="","",IFERROR(INDEX('Taxonomy Rules'!$F$42:$F$68,MATCH(E1056,'Taxonomy Rules'!$C$42:$C$68,0)),""))</x:f>
      </x:c>
      <x:c r="U1056" s="9" t="str">
        <x:f>IF(C1056="","",IFERROR(INDEX('Taxonomy'!$G$9:$G$108,MATCH(D1056,'Taxonomy'!$C$9:$C$108,0)),""))</x:f>
      </x:c>
    </x:row>
    <x:row r="1057" ht="44" customHeight="1">
      <x:c r="A1057" s="1"/>
      <x:c r="B1057" s="1"/>
      <x:c r="C1057" s="8"/>
      <x:c r="D1057" s="8"/>
      <x:c r="E1057" s="8"/>
      <x:c r="F1057" s="8"/>
      <x:c r="G1057" s="8"/>
      <x:c r="H1057" s="8"/>
      <x:c r="I1057" s="8"/>
      <x:c r="J1057" s="8"/>
      <x:c r="K1057" s="8"/>
      <x:c r="L1057" s="8"/>
      <x:c r="M1057" s="10"/>
      <x:c r="N1057" s="10"/>
      <x:c r="O1057" s="8"/>
      <x:c r="P1057" s="9" t="str">
        <x:f>IF(C1057="","",IF(AND(G1057="Applicable",H1057="Fail"),"Fail",IF(R1057&lt;&gt;"Valid","Pending",IF(OR(I1057="",K1057="",L1057="",K1057=L1057,NOT(ISNUMBER(M1057)),NOT(ISNUMBER(N1057)),M1057&gt;Settings!$F$8,N1057&lt;Settings!$F$8,N1057&lt;M1057),"Pending",IF(AND(G1057="Applicable",H1057="Pass"),"Pass",IF(AND(G1057="N/A",H1057="N/A",J1057&lt;&gt;"",OR(E1057="CEM-FUELS",E1057="CEM-CCS",AND(E1057="CEM-PLAN",IFERROR(INDEX('Taxonomy'!$M$9:$M$108,MATCH(D1057,'Taxonomy'!$C$9:$C$108,0)),"")&lt;&gt;"Amber"),E1057="BLD-TIMBER",AND(U1057="Building equipment",OR(E1057="BLD-WATER",E1057="BLD-WASTE",E1057="BLD-LAND")),AND(U1057="Building renovation",E1057="BLD-LAND"))),"N/A","Pending"))))))</x:f>
      </x:c>
      <x:c r="Q1057" s="3" t="str">
        <x:f>IF(C1057="","",IF(AND(R1057="Valid",OR(P1057="Pass",P1057="N/A")),"Complete","Unresolved"))</x:f>
      </x:c>
      <x:c r="R1057" s="9" t="str">
        <x:f>IF(C1057="","",IF(OR(COUNTIF($C$9:$C$2008,C1057)&lt;&gt;1,COUNTIFS($D$9:$D$2008,D1057,$E$9:$E$2008,E1057)&lt;&gt;1),"Duplicate test",IF(COUNTIF('Taxonomy'!$C$9:$C$108,D1057)&lt;&gt;1,"Assessment key",IF(OR(COUNTIF('Taxonomy Rules'!$C$42:$C$68,E1057)&lt;&gt;1,F1057&lt;&gt;IFERROR(INDEX('Taxonomy Rules'!$D$42:$D$68,MATCH(E1057,'Taxonomy Rules'!$C$42:$C$68,0)),""),NOT(OR(IFERROR(INDEX('Taxonomy Rules'!$G$42:$G$68,MATCH(E1057,'Taxonomy Rules'!$C$42:$C$68,0)),"")="All supported routes",IFERROR(INDEX('Taxonomy Rules'!$G$42:$G$68,MATCH(E1057,'Taxonomy Rules'!$C$42:$C$68,0)),"")=U1057,AND(IFERROR(INDEX('Taxonomy Rules'!$G$42:$G$68,MATCH(E1057,'Taxonomy Rules'!$C$42:$C$68,0)),"")="Building routes",OR(U1057="Building renovation",U1057="New building",U1057="Building equipment"))))),"Unexpected test","Valid"))))</x:f>
      </x:c>
      <x:c r="S1057" s="9" t="str">
        <x:f>IF(C1057="","",IFERROR(INDEX('Taxonomy Rules'!$E$42:$E$68,MATCH(E1057,'Taxonomy Rules'!$C$42:$C$68,0)),""))</x:f>
      </x:c>
      <x:c r="T1057" s="9" t="str">
        <x:f>IF(C1057="","",IFERROR(INDEX('Taxonomy Rules'!$F$42:$F$68,MATCH(E1057,'Taxonomy Rules'!$C$42:$C$68,0)),""))</x:f>
      </x:c>
      <x:c r="U1057" s="9" t="str">
        <x:f>IF(C1057="","",IFERROR(INDEX('Taxonomy'!$G$9:$G$108,MATCH(D1057,'Taxonomy'!$C$9:$C$108,0)),""))</x:f>
      </x:c>
    </x:row>
    <x:row r="1058" ht="44" customHeight="1">
      <x:c r="A1058" s="1"/>
      <x:c r="B1058" s="1"/>
      <x:c r="C1058" s="8"/>
      <x:c r="D1058" s="8"/>
      <x:c r="E1058" s="8"/>
      <x:c r="F1058" s="8"/>
      <x:c r="G1058" s="8"/>
      <x:c r="H1058" s="8"/>
      <x:c r="I1058" s="8"/>
      <x:c r="J1058" s="8"/>
      <x:c r="K1058" s="8"/>
      <x:c r="L1058" s="8"/>
      <x:c r="M1058" s="10"/>
      <x:c r="N1058" s="10"/>
      <x:c r="O1058" s="8"/>
      <x:c r="P1058" s="9" t="str">
        <x:f>IF(C1058="","",IF(AND(G1058="Applicable",H1058="Fail"),"Fail",IF(R1058&lt;&gt;"Valid","Pending",IF(OR(I1058="",K1058="",L1058="",K1058=L1058,NOT(ISNUMBER(M1058)),NOT(ISNUMBER(N1058)),M1058&gt;Settings!$F$8,N1058&lt;Settings!$F$8,N1058&lt;M1058),"Pending",IF(AND(G1058="Applicable",H1058="Pass"),"Pass",IF(AND(G1058="N/A",H1058="N/A",J1058&lt;&gt;"",OR(E1058="CEM-FUELS",E1058="CEM-CCS",AND(E1058="CEM-PLAN",IFERROR(INDEX('Taxonomy'!$M$9:$M$108,MATCH(D1058,'Taxonomy'!$C$9:$C$108,0)),"")&lt;&gt;"Amber"),E1058="BLD-TIMBER",AND(U1058="Building equipment",OR(E1058="BLD-WATER",E1058="BLD-WASTE",E1058="BLD-LAND")),AND(U1058="Building renovation",E1058="BLD-LAND"))),"N/A","Pending"))))))</x:f>
      </x:c>
      <x:c r="Q1058" s="3" t="str">
        <x:f>IF(C1058="","",IF(AND(R1058="Valid",OR(P1058="Pass",P1058="N/A")),"Complete","Unresolved"))</x:f>
      </x:c>
      <x:c r="R1058" s="9" t="str">
        <x:f>IF(C1058="","",IF(OR(COUNTIF($C$9:$C$2008,C1058)&lt;&gt;1,COUNTIFS($D$9:$D$2008,D1058,$E$9:$E$2008,E1058)&lt;&gt;1),"Duplicate test",IF(COUNTIF('Taxonomy'!$C$9:$C$108,D1058)&lt;&gt;1,"Assessment key",IF(OR(COUNTIF('Taxonomy Rules'!$C$42:$C$68,E1058)&lt;&gt;1,F1058&lt;&gt;IFERROR(INDEX('Taxonomy Rules'!$D$42:$D$68,MATCH(E1058,'Taxonomy Rules'!$C$42:$C$68,0)),""),NOT(OR(IFERROR(INDEX('Taxonomy Rules'!$G$42:$G$68,MATCH(E1058,'Taxonomy Rules'!$C$42:$C$68,0)),"")="All supported routes",IFERROR(INDEX('Taxonomy Rules'!$G$42:$G$68,MATCH(E1058,'Taxonomy Rules'!$C$42:$C$68,0)),"")=U1058,AND(IFERROR(INDEX('Taxonomy Rules'!$G$42:$G$68,MATCH(E1058,'Taxonomy Rules'!$C$42:$C$68,0)),"")="Building routes",OR(U1058="Building renovation",U1058="New building",U1058="Building equipment"))))),"Unexpected test","Valid"))))</x:f>
      </x:c>
      <x:c r="S1058" s="9" t="str">
        <x:f>IF(C1058="","",IFERROR(INDEX('Taxonomy Rules'!$E$42:$E$68,MATCH(E1058,'Taxonomy Rules'!$C$42:$C$68,0)),""))</x:f>
      </x:c>
      <x:c r="T1058" s="9" t="str">
        <x:f>IF(C1058="","",IFERROR(INDEX('Taxonomy Rules'!$F$42:$F$68,MATCH(E1058,'Taxonomy Rules'!$C$42:$C$68,0)),""))</x:f>
      </x:c>
      <x:c r="U1058" s="9" t="str">
        <x:f>IF(C1058="","",IFERROR(INDEX('Taxonomy'!$G$9:$G$108,MATCH(D1058,'Taxonomy'!$C$9:$C$108,0)),""))</x:f>
      </x:c>
    </x:row>
    <x:row r="1059" ht="44" customHeight="1">
      <x:c r="A1059" s="1"/>
      <x:c r="B1059" s="1"/>
      <x:c r="C1059" s="8"/>
      <x:c r="D1059" s="8"/>
      <x:c r="E1059" s="8"/>
      <x:c r="F1059" s="8"/>
      <x:c r="G1059" s="8"/>
      <x:c r="H1059" s="8"/>
      <x:c r="I1059" s="8"/>
      <x:c r="J1059" s="8"/>
      <x:c r="K1059" s="8"/>
      <x:c r="L1059" s="8"/>
      <x:c r="M1059" s="10"/>
      <x:c r="N1059" s="10"/>
      <x:c r="O1059" s="8"/>
      <x:c r="P1059" s="9" t="str">
        <x:f>IF(C1059="","",IF(AND(G1059="Applicable",H1059="Fail"),"Fail",IF(R1059&lt;&gt;"Valid","Pending",IF(OR(I1059="",K1059="",L1059="",K1059=L1059,NOT(ISNUMBER(M1059)),NOT(ISNUMBER(N1059)),M1059&gt;Settings!$F$8,N1059&lt;Settings!$F$8,N1059&lt;M1059),"Pending",IF(AND(G1059="Applicable",H1059="Pass"),"Pass",IF(AND(G1059="N/A",H1059="N/A",J1059&lt;&gt;"",OR(E1059="CEM-FUELS",E1059="CEM-CCS",AND(E1059="CEM-PLAN",IFERROR(INDEX('Taxonomy'!$M$9:$M$108,MATCH(D1059,'Taxonomy'!$C$9:$C$108,0)),"")&lt;&gt;"Amber"),E1059="BLD-TIMBER",AND(U1059="Building equipment",OR(E1059="BLD-WATER",E1059="BLD-WASTE",E1059="BLD-LAND")),AND(U1059="Building renovation",E1059="BLD-LAND"))),"N/A","Pending"))))))</x:f>
      </x:c>
      <x:c r="Q1059" s="3" t="str">
        <x:f>IF(C1059="","",IF(AND(R1059="Valid",OR(P1059="Pass",P1059="N/A")),"Complete","Unresolved"))</x:f>
      </x:c>
      <x:c r="R1059" s="9" t="str">
        <x:f>IF(C1059="","",IF(OR(COUNTIF($C$9:$C$2008,C1059)&lt;&gt;1,COUNTIFS($D$9:$D$2008,D1059,$E$9:$E$2008,E1059)&lt;&gt;1),"Duplicate test",IF(COUNTIF('Taxonomy'!$C$9:$C$108,D1059)&lt;&gt;1,"Assessment key",IF(OR(COUNTIF('Taxonomy Rules'!$C$42:$C$68,E1059)&lt;&gt;1,F1059&lt;&gt;IFERROR(INDEX('Taxonomy Rules'!$D$42:$D$68,MATCH(E1059,'Taxonomy Rules'!$C$42:$C$68,0)),""),NOT(OR(IFERROR(INDEX('Taxonomy Rules'!$G$42:$G$68,MATCH(E1059,'Taxonomy Rules'!$C$42:$C$68,0)),"")="All supported routes",IFERROR(INDEX('Taxonomy Rules'!$G$42:$G$68,MATCH(E1059,'Taxonomy Rules'!$C$42:$C$68,0)),"")=U1059,AND(IFERROR(INDEX('Taxonomy Rules'!$G$42:$G$68,MATCH(E1059,'Taxonomy Rules'!$C$42:$C$68,0)),"")="Building routes",OR(U1059="Building renovation",U1059="New building",U1059="Building equipment"))))),"Unexpected test","Valid"))))</x:f>
      </x:c>
      <x:c r="S1059" s="9" t="str">
        <x:f>IF(C1059="","",IFERROR(INDEX('Taxonomy Rules'!$E$42:$E$68,MATCH(E1059,'Taxonomy Rules'!$C$42:$C$68,0)),""))</x:f>
      </x:c>
      <x:c r="T1059" s="9" t="str">
        <x:f>IF(C1059="","",IFERROR(INDEX('Taxonomy Rules'!$F$42:$F$68,MATCH(E1059,'Taxonomy Rules'!$C$42:$C$68,0)),""))</x:f>
      </x:c>
      <x:c r="U1059" s="9" t="str">
        <x:f>IF(C1059="","",IFERROR(INDEX('Taxonomy'!$G$9:$G$108,MATCH(D1059,'Taxonomy'!$C$9:$C$108,0)),""))</x:f>
      </x:c>
    </x:row>
    <x:row r="1060" ht="44" customHeight="1">
      <x:c r="A1060" s="1"/>
      <x:c r="B1060" s="1"/>
      <x:c r="C1060" s="8"/>
      <x:c r="D1060" s="8"/>
      <x:c r="E1060" s="8"/>
      <x:c r="F1060" s="8"/>
      <x:c r="G1060" s="8"/>
      <x:c r="H1060" s="8"/>
      <x:c r="I1060" s="8"/>
      <x:c r="J1060" s="8"/>
      <x:c r="K1060" s="8"/>
      <x:c r="L1060" s="8"/>
      <x:c r="M1060" s="10"/>
      <x:c r="N1060" s="10"/>
      <x:c r="O1060" s="8"/>
      <x:c r="P1060" s="9" t="str">
        <x:f>IF(C1060="","",IF(AND(G1060="Applicable",H1060="Fail"),"Fail",IF(R1060&lt;&gt;"Valid","Pending",IF(OR(I1060="",K1060="",L1060="",K1060=L1060,NOT(ISNUMBER(M1060)),NOT(ISNUMBER(N1060)),M1060&gt;Settings!$F$8,N1060&lt;Settings!$F$8,N1060&lt;M1060),"Pending",IF(AND(G1060="Applicable",H1060="Pass"),"Pass",IF(AND(G1060="N/A",H1060="N/A",J1060&lt;&gt;"",OR(E1060="CEM-FUELS",E1060="CEM-CCS",AND(E1060="CEM-PLAN",IFERROR(INDEX('Taxonomy'!$M$9:$M$108,MATCH(D1060,'Taxonomy'!$C$9:$C$108,0)),"")&lt;&gt;"Amber"),E1060="BLD-TIMBER",AND(U1060="Building equipment",OR(E1060="BLD-WATER",E1060="BLD-WASTE",E1060="BLD-LAND")),AND(U1060="Building renovation",E1060="BLD-LAND"))),"N/A","Pending"))))))</x:f>
      </x:c>
      <x:c r="Q1060" s="3" t="str">
        <x:f>IF(C1060="","",IF(AND(R1060="Valid",OR(P1060="Pass",P1060="N/A")),"Complete","Unresolved"))</x:f>
      </x:c>
      <x:c r="R1060" s="9" t="str">
        <x:f>IF(C1060="","",IF(OR(COUNTIF($C$9:$C$2008,C1060)&lt;&gt;1,COUNTIFS($D$9:$D$2008,D1060,$E$9:$E$2008,E1060)&lt;&gt;1),"Duplicate test",IF(COUNTIF('Taxonomy'!$C$9:$C$108,D1060)&lt;&gt;1,"Assessment key",IF(OR(COUNTIF('Taxonomy Rules'!$C$42:$C$68,E1060)&lt;&gt;1,F1060&lt;&gt;IFERROR(INDEX('Taxonomy Rules'!$D$42:$D$68,MATCH(E1060,'Taxonomy Rules'!$C$42:$C$68,0)),""),NOT(OR(IFERROR(INDEX('Taxonomy Rules'!$G$42:$G$68,MATCH(E1060,'Taxonomy Rules'!$C$42:$C$68,0)),"")="All supported routes",IFERROR(INDEX('Taxonomy Rules'!$G$42:$G$68,MATCH(E1060,'Taxonomy Rules'!$C$42:$C$68,0)),"")=U1060,AND(IFERROR(INDEX('Taxonomy Rules'!$G$42:$G$68,MATCH(E1060,'Taxonomy Rules'!$C$42:$C$68,0)),"")="Building routes",OR(U1060="Building renovation",U1060="New building",U1060="Building equipment"))))),"Unexpected test","Valid"))))</x:f>
      </x:c>
      <x:c r="S1060" s="9" t="str">
        <x:f>IF(C1060="","",IFERROR(INDEX('Taxonomy Rules'!$E$42:$E$68,MATCH(E1060,'Taxonomy Rules'!$C$42:$C$68,0)),""))</x:f>
      </x:c>
      <x:c r="T1060" s="9" t="str">
        <x:f>IF(C1060="","",IFERROR(INDEX('Taxonomy Rules'!$F$42:$F$68,MATCH(E1060,'Taxonomy Rules'!$C$42:$C$68,0)),""))</x:f>
      </x:c>
      <x:c r="U1060" s="9" t="str">
        <x:f>IF(C1060="","",IFERROR(INDEX('Taxonomy'!$G$9:$G$108,MATCH(D1060,'Taxonomy'!$C$9:$C$108,0)),""))</x:f>
      </x:c>
    </x:row>
    <x:row r="1061" ht="44" customHeight="1">
      <x:c r="A1061" s="1"/>
      <x:c r="B1061" s="1"/>
      <x:c r="C1061" s="8"/>
      <x:c r="D1061" s="8"/>
      <x:c r="E1061" s="8"/>
      <x:c r="F1061" s="8"/>
      <x:c r="G1061" s="8"/>
      <x:c r="H1061" s="8"/>
      <x:c r="I1061" s="8"/>
      <x:c r="J1061" s="8"/>
      <x:c r="K1061" s="8"/>
      <x:c r="L1061" s="8"/>
      <x:c r="M1061" s="10"/>
      <x:c r="N1061" s="10"/>
      <x:c r="O1061" s="8"/>
      <x:c r="P1061" s="9" t="str">
        <x:f>IF(C1061="","",IF(AND(G1061="Applicable",H1061="Fail"),"Fail",IF(R1061&lt;&gt;"Valid","Pending",IF(OR(I1061="",K1061="",L1061="",K1061=L1061,NOT(ISNUMBER(M1061)),NOT(ISNUMBER(N1061)),M1061&gt;Settings!$F$8,N1061&lt;Settings!$F$8,N1061&lt;M1061),"Pending",IF(AND(G1061="Applicable",H1061="Pass"),"Pass",IF(AND(G1061="N/A",H1061="N/A",J1061&lt;&gt;"",OR(E1061="CEM-FUELS",E1061="CEM-CCS",AND(E1061="CEM-PLAN",IFERROR(INDEX('Taxonomy'!$M$9:$M$108,MATCH(D1061,'Taxonomy'!$C$9:$C$108,0)),"")&lt;&gt;"Amber"),E1061="BLD-TIMBER",AND(U1061="Building equipment",OR(E1061="BLD-WATER",E1061="BLD-WASTE",E1061="BLD-LAND")),AND(U1061="Building renovation",E1061="BLD-LAND"))),"N/A","Pending"))))))</x:f>
      </x:c>
      <x:c r="Q1061" s="3" t="str">
        <x:f>IF(C1061="","",IF(AND(R1061="Valid",OR(P1061="Pass",P1061="N/A")),"Complete","Unresolved"))</x:f>
      </x:c>
      <x:c r="R1061" s="9" t="str">
        <x:f>IF(C1061="","",IF(OR(COUNTIF($C$9:$C$2008,C1061)&lt;&gt;1,COUNTIFS($D$9:$D$2008,D1061,$E$9:$E$2008,E1061)&lt;&gt;1),"Duplicate test",IF(COUNTIF('Taxonomy'!$C$9:$C$108,D1061)&lt;&gt;1,"Assessment key",IF(OR(COUNTIF('Taxonomy Rules'!$C$42:$C$68,E1061)&lt;&gt;1,F1061&lt;&gt;IFERROR(INDEX('Taxonomy Rules'!$D$42:$D$68,MATCH(E1061,'Taxonomy Rules'!$C$42:$C$68,0)),""),NOT(OR(IFERROR(INDEX('Taxonomy Rules'!$G$42:$G$68,MATCH(E1061,'Taxonomy Rules'!$C$42:$C$68,0)),"")="All supported routes",IFERROR(INDEX('Taxonomy Rules'!$G$42:$G$68,MATCH(E1061,'Taxonomy Rules'!$C$42:$C$68,0)),"")=U1061,AND(IFERROR(INDEX('Taxonomy Rules'!$G$42:$G$68,MATCH(E1061,'Taxonomy Rules'!$C$42:$C$68,0)),"")="Building routes",OR(U1061="Building renovation",U1061="New building",U1061="Building equipment"))))),"Unexpected test","Valid"))))</x:f>
      </x:c>
      <x:c r="S1061" s="9" t="str">
        <x:f>IF(C1061="","",IFERROR(INDEX('Taxonomy Rules'!$E$42:$E$68,MATCH(E1061,'Taxonomy Rules'!$C$42:$C$68,0)),""))</x:f>
      </x:c>
      <x:c r="T1061" s="9" t="str">
        <x:f>IF(C1061="","",IFERROR(INDEX('Taxonomy Rules'!$F$42:$F$68,MATCH(E1061,'Taxonomy Rules'!$C$42:$C$68,0)),""))</x:f>
      </x:c>
      <x:c r="U1061" s="9" t="str">
        <x:f>IF(C1061="","",IFERROR(INDEX('Taxonomy'!$G$9:$G$108,MATCH(D1061,'Taxonomy'!$C$9:$C$108,0)),""))</x:f>
      </x:c>
    </x:row>
    <x:row r="1062" ht="44" customHeight="1">
      <x:c r="A1062" s="1"/>
      <x:c r="B1062" s="1"/>
      <x:c r="C1062" s="8"/>
      <x:c r="D1062" s="8"/>
      <x:c r="E1062" s="8"/>
      <x:c r="F1062" s="8"/>
      <x:c r="G1062" s="8"/>
      <x:c r="H1062" s="8"/>
      <x:c r="I1062" s="8"/>
      <x:c r="J1062" s="8"/>
      <x:c r="K1062" s="8"/>
      <x:c r="L1062" s="8"/>
      <x:c r="M1062" s="10"/>
      <x:c r="N1062" s="10"/>
      <x:c r="O1062" s="8"/>
      <x:c r="P1062" s="9" t="str">
        <x:f>IF(C1062="","",IF(AND(G1062="Applicable",H1062="Fail"),"Fail",IF(R1062&lt;&gt;"Valid","Pending",IF(OR(I1062="",K1062="",L1062="",K1062=L1062,NOT(ISNUMBER(M1062)),NOT(ISNUMBER(N1062)),M1062&gt;Settings!$F$8,N1062&lt;Settings!$F$8,N1062&lt;M1062),"Pending",IF(AND(G1062="Applicable",H1062="Pass"),"Pass",IF(AND(G1062="N/A",H1062="N/A",J1062&lt;&gt;"",OR(E1062="CEM-FUELS",E1062="CEM-CCS",AND(E1062="CEM-PLAN",IFERROR(INDEX('Taxonomy'!$M$9:$M$108,MATCH(D1062,'Taxonomy'!$C$9:$C$108,0)),"")&lt;&gt;"Amber"),E1062="BLD-TIMBER",AND(U1062="Building equipment",OR(E1062="BLD-WATER",E1062="BLD-WASTE",E1062="BLD-LAND")),AND(U1062="Building renovation",E1062="BLD-LAND"))),"N/A","Pending"))))))</x:f>
      </x:c>
      <x:c r="Q1062" s="3" t="str">
        <x:f>IF(C1062="","",IF(AND(R1062="Valid",OR(P1062="Pass",P1062="N/A")),"Complete","Unresolved"))</x:f>
      </x:c>
      <x:c r="R1062" s="9" t="str">
        <x:f>IF(C1062="","",IF(OR(COUNTIF($C$9:$C$2008,C1062)&lt;&gt;1,COUNTIFS($D$9:$D$2008,D1062,$E$9:$E$2008,E1062)&lt;&gt;1),"Duplicate test",IF(COUNTIF('Taxonomy'!$C$9:$C$108,D1062)&lt;&gt;1,"Assessment key",IF(OR(COUNTIF('Taxonomy Rules'!$C$42:$C$68,E1062)&lt;&gt;1,F1062&lt;&gt;IFERROR(INDEX('Taxonomy Rules'!$D$42:$D$68,MATCH(E1062,'Taxonomy Rules'!$C$42:$C$68,0)),""),NOT(OR(IFERROR(INDEX('Taxonomy Rules'!$G$42:$G$68,MATCH(E1062,'Taxonomy Rules'!$C$42:$C$68,0)),"")="All supported routes",IFERROR(INDEX('Taxonomy Rules'!$G$42:$G$68,MATCH(E1062,'Taxonomy Rules'!$C$42:$C$68,0)),"")=U1062,AND(IFERROR(INDEX('Taxonomy Rules'!$G$42:$G$68,MATCH(E1062,'Taxonomy Rules'!$C$42:$C$68,0)),"")="Building routes",OR(U1062="Building renovation",U1062="New building",U1062="Building equipment"))))),"Unexpected test","Valid"))))</x:f>
      </x:c>
      <x:c r="S1062" s="9" t="str">
        <x:f>IF(C1062="","",IFERROR(INDEX('Taxonomy Rules'!$E$42:$E$68,MATCH(E1062,'Taxonomy Rules'!$C$42:$C$68,0)),""))</x:f>
      </x:c>
      <x:c r="T1062" s="9" t="str">
        <x:f>IF(C1062="","",IFERROR(INDEX('Taxonomy Rules'!$F$42:$F$68,MATCH(E1062,'Taxonomy Rules'!$C$42:$C$68,0)),""))</x:f>
      </x:c>
      <x:c r="U1062" s="9" t="str">
        <x:f>IF(C1062="","",IFERROR(INDEX('Taxonomy'!$G$9:$G$108,MATCH(D1062,'Taxonomy'!$C$9:$C$108,0)),""))</x:f>
      </x:c>
    </x:row>
    <x:row r="1063" ht="44" customHeight="1">
      <x:c r="A1063" s="1"/>
      <x:c r="B1063" s="1"/>
      <x:c r="C1063" s="8"/>
      <x:c r="D1063" s="8"/>
      <x:c r="E1063" s="8"/>
      <x:c r="F1063" s="8"/>
      <x:c r="G1063" s="8"/>
      <x:c r="H1063" s="8"/>
      <x:c r="I1063" s="8"/>
      <x:c r="J1063" s="8"/>
      <x:c r="K1063" s="8"/>
      <x:c r="L1063" s="8"/>
      <x:c r="M1063" s="10"/>
      <x:c r="N1063" s="10"/>
      <x:c r="O1063" s="8"/>
      <x:c r="P1063" s="9" t="str">
        <x:f>IF(C1063="","",IF(AND(G1063="Applicable",H1063="Fail"),"Fail",IF(R1063&lt;&gt;"Valid","Pending",IF(OR(I1063="",K1063="",L1063="",K1063=L1063,NOT(ISNUMBER(M1063)),NOT(ISNUMBER(N1063)),M1063&gt;Settings!$F$8,N1063&lt;Settings!$F$8,N1063&lt;M1063),"Pending",IF(AND(G1063="Applicable",H1063="Pass"),"Pass",IF(AND(G1063="N/A",H1063="N/A",J1063&lt;&gt;"",OR(E1063="CEM-FUELS",E1063="CEM-CCS",AND(E1063="CEM-PLAN",IFERROR(INDEX('Taxonomy'!$M$9:$M$108,MATCH(D1063,'Taxonomy'!$C$9:$C$108,0)),"")&lt;&gt;"Amber"),E1063="BLD-TIMBER",AND(U1063="Building equipment",OR(E1063="BLD-WATER",E1063="BLD-WASTE",E1063="BLD-LAND")),AND(U1063="Building renovation",E1063="BLD-LAND"))),"N/A","Pending"))))))</x:f>
      </x:c>
      <x:c r="Q1063" s="3" t="str">
        <x:f>IF(C1063="","",IF(AND(R1063="Valid",OR(P1063="Pass",P1063="N/A")),"Complete","Unresolved"))</x:f>
      </x:c>
      <x:c r="R1063" s="9" t="str">
        <x:f>IF(C1063="","",IF(OR(COUNTIF($C$9:$C$2008,C1063)&lt;&gt;1,COUNTIFS($D$9:$D$2008,D1063,$E$9:$E$2008,E1063)&lt;&gt;1),"Duplicate test",IF(COUNTIF('Taxonomy'!$C$9:$C$108,D1063)&lt;&gt;1,"Assessment key",IF(OR(COUNTIF('Taxonomy Rules'!$C$42:$C$68,E1063)&lt;&gt;1,F1063&lt;&gt;IFERROR(INDEX('Taxonomy Rules'!$D$42:$D$68,MATCH(E1063,'Taxonomy Rules'!$C$42:$C$68,0)),""),NOT(OR(IFERROR(INDEX('Taxonomy Rules'!$G$42:$G$68,MATCH(E1063,'Taxonomy Rules'!$C$42:$C$68,0)),"")="All supported routes",IFERROR(INDEX('Taxonomy Rules'!$G$42:$G$68,MATCH(E1063,'Taxonomy Rules'!$C$42:$C$68,0)),"")=U1063,AND(IFERROR(INDEX('Taxonomy Rules'!$G$42:$G$68,MATCH(E1063,'Taxonomy Rules'!$C$42:$C$68,0)),"")="Building routes",OR(U1063="Building renovation",U1063="New building",U1063="Building equipment"))))),"Unexpected test","Valid"))))</x:f>
      </x:c>
      <x:c r="S1063" s="9" t="str">
        <x:f>IF(C1063="","",IFERROR(INDEX('Taxonomy Rules'!$E$42:$E$68,MATCH(E1063,'Taxonomy Rules'!$C$42:$C$68,0)),""))</x:f>
      </x:c>
      <x:c r="T1063" s="9" t="str">
        <x:f>IF(C1063="","",IFERROR(INDEX('Taxonomy Rules'!$F$42:$F$68,MATCH(E1063,'Taxonomy Rules'!$C$42:$C$68,0)),""))</x:f>
      </x:c>
      <x:c r="U1063" s="9" t="str">
        <x:f>IF(C1063="","",IFERROR(INDEX('Taxonomy'!$G$9:$G$108,MATCH(D1063,'Taxonomy'!$C$9:$C$108,0)),""))</x:f>
      </x:c>
    </x:row>
    <x:row r="1064" ht="44" customHeight="1">
      <x:c r="A1064" s="1"/>
      <x:c r="B1064" s="1"/>
      <x:c r="C1064" s="8"/>
      <x:c r="D1064" s="8"/>
      <x:c r="E1064" s="8"/>
      <x:c r="F1064" s="8"/>
      <x:c r="G1064" s="8"/>
      <x:c r="H1064" s="8"/>
      <x:c r="I1064" s="8"/>
      <x:c r="J1064" s="8"/>
      <x:c r="K1064" s="8"/>
      <x:c r="L1064" s="8"/>
      <x:c r="M1064" s="10"/>
      <x:c r="N1064" s="10"/>
      <x:c r="O1064" s="8"/>
      <x:c r="P1064" s="9" t="str">
        <x:f>IF(C1064="","",IF(AND(G1064="Applicable",H1064="Fail"),"Fail",IF(R1064&lt;&gt;"Valid","Pending",IF(OR(I1064="",K1064="",L1064="",K1064=L1064,NOT(ISNUMBER(M1064)),NOT(ISNUMBER(N1064)),M1064&gt;Settings!$F$8,N1064&lt;Settings!$F$8,N1064&lt;M1064),"Pending",IF(AND(G1064="Applicable",H1064="Pass"),"Pass",IF(AND(G1064="N/A",H1064="N/A",J1064&lt;&gt;"",OR(E1064="CEM-FUELS",E1064="CEM-CCS",AND(E1064="CEM-PLAN",IFERROR(INDEX('Taxonomy'!$M$9:$M$108,MATCH(D1064,'Taxonomy'!$C$9:$C$108,0)),"")&lt;&gt;"Amber"),E1064="BLD-TIMBER",AND(U1064="Building equipment",OR(E1064="BLD-WATER",E1064="BLD-WASTE",E1064="BLD-LAND")),AND(U1064="Building renovation",E1064="BLD-LAND"))),"N/A","Pending"))))))</x:f>
      </x:c>
      <x:c r="Q1064" s="3" t="str">
        <x:f>IF(C1064="","",IF(AND(R1064="Valid",OR(P1064="Pass",P1064="N/A")),"Complete","Unresolved"))</x:f>
      </x:c>
      <x:c r="R1064" s="9" t="str">
        <x:f>IF(C1064="","",IF(OR(COUNTIF($C$9:$C$2008,C1064)&lt;&gt;1,COUNTIFS($D$9:$D$2008,D1064,$E$9:$E$2008,E1064)&lt;&gt;1),"Duplicate test",IF(COUNTIF('Taxonomy'!$C$9:$C$108,D1064)&lt;&gt;1,"Assessment key",IF(OR(COUNTIF('Taxonomy Rules'!$C$42:$C$68,E1064)&lt;&gt;1,F1064&lt;&gt;IFERROR(INDEX('Taxonomy Rules'!$D$42:$D$68,MATCH(E1064,'Taxonomy Rules'!$C$42:$C$68,0)),""),NOT(OR(IFERROR(INDEX('Taxonomy Rules'!$G$42:$G$68,MATCH(E1064,'Taxonomy Rules'!$C$42:$C$68,0)),"")="All supported routes",IFERROR(INDEX('Taxonomy Rules'!$G$42:$G$68,MATCH(E1064,'Taxonomy Rules'!$C$42:$C$68,0)),"")=U1064,AND(IFERROR(INDEX('Taxonomy Rules'!$G$42:$G$68,MATCH(E1064,'Taxonomy Rules'!$C$42:$C$68,0)),"")="Building routes",OR(U1064="Building renovation",U1064="New building",U1064="Building equipment"))))),"Unexpected test","Valid"))))</x:f>
      </x:c>
      <x:c r="S1064" s="9" t="str">
        <x:f>IF(C1064="","",IFERROR(INDEX('Taxonomy Rules'!$E$42:$E$68,MATCH(E1064,'Taxonomy Rules'!$C$42:$C$68,0)),""))</x:f>
      </x:c>
      <x:c r="T1064" s="9" t="str">
        <x:f>IF(C1064="","",IFERROR(INDEX('Taxonomy Rules'!$F$42:$F$68,MATCH(E1064,'Taxonomy Rules'!$C$42:$C$68,0)),""))</x:f>
      </x:c>
      <x:c r="U1064" s="9" t="str">
        <x:f>IF(C1064="","",IFERROR(INDEX('Taxonomy'!$G$9:$G$108,MATCH(D1064,'Taxonomy'!$C$9:$C$108,0)),""))</x:f>
      </x:c>
    </x:row>
    <x:row r="1065" ht="44" customHeight="1">
      <x:c r="A1065" s="1"/>
      <x:c r="B1065" s="1"/>
      <x:c r="C1065" s="8"/>
      <x:c r="D1065" s="8"/>
      <x:c r="E1065" s="8"/>
      <x:c r="F1065" s="8"/>
      <x:c r="G1065" s="8"/>
      <x:c r="H1065" s="8"/>
      <x:c r="I1065" s="8"/>
      <x:c r="J1065" s="8"/>
      <x:c r="K1065" s="8"/>
      <x:c r="L1065" s="8"/>
      <x:c r="M1065" s="10"/>
      <x:c r="N1065" s="10"/>
      <x:c r="O1065" s="8"/>
      <x:c r="P1065" s="9" t="str">
        <x:f>IF(C1065="","",IF(AND(G1065="Applicable",H1065="Fail"),"Fail",IF(R1065&lt;&gt;"Valid","Pending",IF(OR(I1065="",K1065="",L1065="",K1065=L1065,NOT(ISNUMBER(M1065)),NOT(ISNUMBER(N1065)),M1065&gt;Settings!$F$8,N1065&lt;Settings!$F$8,N1065&lt;M1065),"Pending",IF(AND(G1065="Applicable",H1065="Pass"),"Pass",IF(AND(G1065="N/A",H1065="N/A",J1065&lt;&gt;"",OR(E1065="CEM-FUELS",E1065="CEM-CCS",AND(E1065="CEM-PLAN",IFERROR(INDEX('Taxonomy'!$M$9:$M$108,MATCH(D1065,'Taxonomy'!$C$9:$C$108,0)),"")&lt;&gt;"Amber"),E1065="BLD-TIMBER",AND(U1065="Building equipment",OR(E1065="BLD-WATER",E1065="BLD-WASTE",E1065="BLD-LAND")),AND(U1065="Building renovation",E1065="BLD-LAND"))),"N/A","Pending"))))))</x:f>
      </x:c>
      <x:c r="Q1065" s="3" t="str">
        <x:f>IF(C1065="","",IF(AND(R1065="Valid",OR(P1065="Pass",P1065="N/A")),"Complete","Unresolved"))</x:f>
      </x:c>
      <x:c r="R1065" s="9" t="str">
        <x:f>IF(C1065="","",IF(OR(COUNTIF($C$9:$C$2008,C1065)&lt;&gt;1,COUNTIFS($D$9:$D$2008,D1065,$E$9:$E$2008,E1065)&lt;&gt;1),"Duplicate test",IF(COUNTIF('Taxonomy'!$C$9:$C$108,D1065)&lt;&gt;1,"Assessment key",IF(OR(COUNTIF('Taxonomy Rules'!$C$42:$C$68,E1065)&lt;&gt;1,F1065&lt;&gt;IFERROR(INDEX('Taxonomy Rules'!$D$42:$D$68,MATCH(E1065,'Taxonomy Rules'!$C$42:$C$68,0)),""),NOT(OR(IFERROR(INDEX('Taxonomy Rules'!$G$42:$G$68,MATCH(E1065,'Taxonomy Rules'!$C$42:$C$68,0)),"")="All supported routes",IFERROR(INDEX('Taxonomy Rules'!$G$42:$G$68,MATCH(E1065,'Taxonomy Rules'!$C$42:$C$68,0)),"")=U1065,AND(IFERROR(INDEX('Taxonomy Rules'!$G$42:$G$68,MATCH(E1065,'Taxonomy Rules'!$C$42:$C$68,0)),"")="Building routes",OR(U1065="Building renovation",U1065="New building",U1065="Building equipment"))))),"Unexpected test","Valid"))))</x:f>
      </x:c>
      <x:c r="S1065" s="9" t="str">
        <x:f>IF(C1065="","",IFERROR(INDEX('Taxonomy Rules'!$E$42:$E$68,MATCH(E1065,'Taxonomy Rules'!$C$42:$C$68,0)),""))</x:f>
      </x:c>
      <x:c r="T1065" s="9" t="str">
        <x:f>IF(C1065="","",IFERROR(INDEX('Taxonomy Rules'!$F$42:$F$68,MATCH(E1065,'Taxonomy Rules'!$C$42:$C$68,0)),""))</x:f>
      </x:c>
      <x:c r="U1065" s="9" t="str">
        <x:f>IF(C1065="","",IFERROR(INDEX('Taxonomy'!$G$9:$G$108,MATCH(D1065,'Taxonomy'!$C$9:$C$108,0)),""))</x:f>
      </x:c>
    </x:row>
    <x:row r="1066" ht="44" customHeight="1">
      <x:c r="A1066" s="1"/>
      <x:c r="B1066" s="1"/>
      <x:c r="C1066" s="8"/>
      <x:c r="D1066" s="8"/>
      <x:c r="E1066" s="8"/>
      <x:c r="F1066" s="8"/>
      <x:c r="G1066" s="8"/>
      <x:c r="H1066" s="8"/>
      <x:c r="I1066" s="8"/>
      <x:c r="J1066" s="8"/>
      <x:c r="K1066" s="8"/>
      <x:c r="L1066" s="8"/>
      <x:c r="M1066" s="10"/>
      <x:c r="N1066" s="10"/>
      <x:c r="O1066" s="8"/>
      <x:c r="P1066" s="9" t="str">
        <x:f>IF(C1066="","",IF(AND(G1066="Applicable",H1066="Fail"),"Fail",IF(R1066&lt;&gt;"Valid","Pending",IF(OR(I1066="",K1066="",L1066="",K1066=L1066,NOT(ISNUMBER(M1066)),NOT(ISNUMBER(N1066)),M1066&gt;Settings!$F$8,N1066&lt;Settings!$F$8,N1066&lt;M1066),"Pending",IF(AND(G1066="Applicable",H1066="Pass"),"Pass",IF(AND(G1066="N/A",H1066="N/A",J1066&lt;&gt;"",OR(E1066="CEM-FUELS",E1066="CEM-CCS",AND(E1066="CEM-PLAN",IFERROR(INDEX('Taxonomy'!$M$9:$M$108,MATCH(D1066,'Taxonomy'!$C$9:$C$108,0)),"")&lt;&gt;"Amber"),E1066="BLD-TIMBER",AND(U1066="Building equipment",OR(E1066="BLD-WATER",E1066="BLD-WASTE",E1066="BLD-LAND")),AND(U1066="Building renovation",E1066="BLD-LAND"))),"N/A","Pending"))))))</x:f>
      </x:c>
      <x:c r="Q1066" s="3" t="str">
        <x:f>IF(C1066="","",IF(AND(R1066="Valid",OR(P1066="Pass",P1066="N/A")),"Complete","Unresolved"))</x:f>
      </x:c>
      <x:c r="R1066" s="9" t="str">
        <x:f>IF(C1066="","",IF(OR(COUNTIF($C$9:$C$2008,C1066)&lt;&gt;1,COUNTIFS($D$9:$D$2008,D1066,$E$9:$E$2008,E1066)&lt;&gt;1),"Duplicate test",IF(COUNTIF('Taxonomy'!$C$9:$C$108,D1066)&lt;&gt;1,"Assessment key",IF(OR(COUNTIF('Taxonomy Rules'!$C$42:$C$68,E1066)&lt;&gt;1,F1066&lt;&gt;IFERROR(INDEX('Taxonomy Rules'!$D$42:$D$68,MATCH(E1066,'Taxonomy Rules'!$C$42:$C$68,0)),""),NOT(OR(IFERROR(INDEX('Taxonomy Rules'!$G$42:$G$68,MATCH(E1066,'Taxonomy Rules'!$C$42:$C$68,0)),"")="All supported routes",IFERROR(INDEX('Taxonomy Rules'!$G$42:$G$68,MATCH(E1066,'Taxonomy Rules'!$C$42:$C$68,0)),"")=U1066,AND(IFERROR(INDEX('Taxonomy Rules'!$G$42:$G$68,MATCH(E1066,'Taxonomy Rules'!$C$42:$C$68,0)),"")="Building routes",OR(U1066="Building renovation",U1066="New building",U1066="Building equipment"))))),"Unexpected test","Valid"))))</x:f>
      </x:c>
      <x:c r="S1066" s="9" t="str">
        <x:f>IF(C1066="","",IFERROR(INDEX('Taxonomy Rules'!$E$42:$E$68,MATCH(E1066,'Taxonomy Rules'!$C$42:$C$68,0)),""))</x:f>
      </x:c>
      <x:c r="T1066" s="9" t="str">
        <x:f>IF(C1066="","",IFERROR(INDEX('Taxonomy Rules'!$F$42:$F$68,MATCH(E1066,'Taxonomy Rules'!$C$42:$C$68,0)),""))</x:f>
      </x:c>
      <x:c r="U1066" s="9" t="str">
        <x:f>IF(C1066="","",IFERROR(INDEX('Taxonomy'!$G$9:$G$108,MATCH(D1066,'Taxonomy'!$C$9:$C$108,0)),""))</x:f>
      </x:c>
    </x:row>
    <x:row r="1067" ht="44" customHeight="1">
      <x:c r="A1067" s="1"/>
      <x:c r="B1067" s="1"/>
      <x:c r="C1067" s="8"/>
      <x:c r="D1067" s="8"/>
      <x:c r="E1067" s="8"/>
      <x:c r="F1067" s="8"/>
      <x:c r="G1067" s="8"/>
      <x:c r="H1067" s="8"/>
      <x:c r="I1067" s="8"/>
      <x:c r="J1067" s="8"/>
      <x:c r="K1067" s="8"/>
      <x:c r="L1067" s="8"/>
      <x:c r="M1067" s="10"/>
      <x:c r="N1067" s="10"/>
      <x:c r="O1067" s="8"/>
      <x:c r="P1067" s="9" t="str">
        <x:f>IF(C1067="","",IF(AND(G1067="Applicable",H1067="Fail"),"Fail",IF(R1067&lt;&gt;"Valid","Pending",IF(OR(I1067="",K1067="",L1067="",K1067=L1067,NOT(ISNUMBER(M1067)),NOT(ISNUMBER(N1067)),M1067&gt;Settings!$F$8,N1067&lt;Settings!$F$8,N1067&lt;M1067),"Pending",IF(AND(G1067="Applicable",H1067="Pass"),"Pass",IF(AND(G1067="N/A",H1067="N/A",J1067&lt;&gt;"",OR(E1067="CEM-FUELS",E1067="CEM-CCS",AND(E1067="CEM-PLAN",IFERROR(INDEX('Taxonomy'!$M$9:$M$108,MATCH(D1067,'Taxonomy'!$C$9:$C$108,0)),"")&lt;&gt;"Amber"),E1067="BLD-TIMBER",AND(U1067="Building equipment",OR(E1067="BLD-WATER",E1067="BLD-WASTE",E1067="BLD-LAND")),AND(U1067="Building renovation",E1067="BLD-LAND"))),"N/A","Pending"))))))</x:f>
      </x:c>
      <x:c r="Q1067" s="3" t="str">
        <x:f>IF(C1067="","",IF(AND(R1067="Valid",OR(P1067="Pass",P1067="N/A")),"Complete","Unresolved"))</x:f>
      </x:c>
      <x:c r="R1067" s="9" t="str">
        <x:f>IF(C1067="","",IF(OR(COUNTIF($C$9:$C$2008,C1067)&lt;&gt;1,COUNTIFS($D$9:$D$2008,D1067,$E$9:$E$2008,E1067)&lt;&gt;1),"Duplicate test",IF(COUNTIF('Taxonomy'!$C$9:$C$108,D1067)&lt;&gt;1,"Assessment key",IF(OR(COUNTIF('Taxonomy Rules'!$C$42:$C$68,E1067)&lt;&gt;1,F1067&lt;&gt;IFERROR(INDEX('Taxonomy Rules'!$D$42:$D$68,MATCH(E1067,'Taxonomy Rules'!$C$42:$C$68,0)),""),NOT(OR(IFERROR(INDEX('Taxonomy Rules'!$G$42:$G$68,MATCH(E1067,'Taxonomy Rules'!$C$42:$C$68,0)),"")="All supported routes",IFERROR(INDEX('Taxonomy Rules'!$G$42:$G$68,MATCH(E1067,'Taxonomy Rules'!$C$42:$C$68,0)),"")=U1067,AND(IFERROR(INDEX('Taxonomy Rules'!$G$42:$G$68,MATCH(E1067,'Taxonomy Rules'!$C$42:$C$68,0)),"")="Building routes",OR(U1067="Building renovation",U1067="New building",U1067="Building equipment"))))),"Unexpected test","Valid"))))</x:f>
      </x:c>
      <x:c r="S1067" s="9" t="str">
        <x:f>IF(C1067="","",IFERROR(INDEX('Taxonomy Rules'!$E$42:$E$68,MATCH(E1067,'Taxonomy Rules'!$C$42:$C$68,0)),""))</x:f>
      </x:c>
      <x:c r="T1067" s="9" t="str">
        <x:f>IF(C1067="","",IFERROR(INDEX('Taxonomy Rules'!$F$42:$F$68,MATCH(E1067,'Taxonomy Rules'!$C$42:$C$68,0)),""))</x:f>
      </x:c>
      <x:c r="U1067" s="9" t="str">
        <x:f>IF(C1067="","",IFERROR(INDEX('Taxonomy'!$G$9:$G$108,MATCH(D1067,'Taxonomy'!$C$9:$C$108,0)),""))</x:f>
      </x:c>
    </x:row>
    <x:row r="1068" ht="44" customHeight="1">
      <x:c r="A1068" s="1"/>
      <x:c r="B1068" s="1"/>
      <x:c r="C1068" s="8"/>
      <x:c r="D1068" s="8"/>
      <x:c r="E1068" s="8"/>
      <x:c r="F1068" s="8"/>
      <x:c r="G1068" s="8"/>
      <x:c r="H1068" s="8"/>
      <x:c r="I1068" s="8"/>
      <x:c r="J1068" s="8"/>
      <x:c r="K1068" s="8"/>
      <x:c r="L1068" s="8"/>
      <x:c r="M1068" s="10"/>
      <x:c r="N1068" s="10"/>
      <x:c r="O1068" s="8"/>
      <x:c r="P1068" s="9" t="str">
        <x:f>IF(C1068="","",IF(AND(G1068="Applicable",H1068="Fail"),"Fail",IF(R1068&lt;&gt;"Valid","Pending",IF(OR(I1068="",K1068="",L1068="",K1068=L1068,NOT(ISNUMBER(M1068)),NOT(ISNUMBER(N1068)),M1068&gt;Settings!$F$8,N1068&lt;Settings!$F$8,N1068&lt;M1068),"Pending",IF(AND(G1068="Applicable",H1068="Pass"),"Pass",IF(AND(G1068="N/A",H1068="N/A",J1068&lt;&gt;"",OR(E1068="CEM-FUELS",E1068="CEM-CCS",AND(E1068="CEM-PLAN",IFERROR(INDEX('Taxonomy'!$M$9:$M$108,MATCH(D1068,'Taxonomy'!$C$9:$C$108,0)),"")&lt;&gt;"Amber"),E1068="BLD-TIMBER",AND(U1068="Building equipment",OR(E1068="BLD-WATER",E1068="BLD-WASTE",E1068="BLD-LAND")),AND(U1068="Building renovation",E1068="BLD-LAND"))),"N/A","Pending"))))))</x:f>
      </x:c>
      <x:c r="Q1068" s="3" t="str">
        <x:f>IF(C1068="","",IF(AND(R1068="Valid",OR(P1068="Pass",P1068="N/A")),"Complete","Unresolved"))</x:f>
      </x:c>
      <x:c r="R1068" s="9" t="str">
        <x:f>IF(C1068="","",IF(OR(COUNTIF($C$9:$C$2008,C1068)&lt;&gt;1,COUNTIFS($D$9:$D$2008,D1068,$E$9:$E$2008,E1068)&lt;&gt;1),"Duplicate test",IF(COUNTIF('Taxonomy'!$C$9:$C$108,D1068)&lt;&gt;1,"Assessment key",IF(OR(COUNTIF('Taxonomy Rules'!$C$42:$C$68,E1068)&lt;&gt;1,F1068&lt;&gt;IFERROR(INDEX('Taxonomy Rules'!$D$42:$D$68,MATCH(E1068,'Taxonomy Rules'!$C$42:$C$68,0)),""),NOT(OR(IFERROR(INDEX('Taxonomy Rules'!$G$42:$G$68,MATCH(E1068,'Taxonomy Rules'!$C$42:$C$68,0)),"")="All supported routes",IFERROR(INDEX('Taxonomy Rules'!$G$42:$G$68,MATCH(E1068,'Taxonomy Rules'!$C$42:$C$68,0)),"")=U1068,AND(IFERROR(INDEX('Taxonomy Rules'!$G$42:$G$68,MATCH(E1068,'Taxonomy Rules'!$C$42:$C$68,0)),"")="Building routes",OR(U1068="Building renovation",U1068="New building",U1068="Building equipment"))))),"Unexpected test","Valid"))))</x:f>
      </x:c>
      <x:c r="S1068" s="9" t="str">
        <x:f>IF(C1068="","",IFERROR(INDEX('Taxonomy Rules'!$E$42:$E$68,MATCH(E1068,'Taxonomy Rules'!$C$42:$C$68,0)),""))</x:f>
      </x:c>
      <x:c r="T1068" s="9" t="str">
        <x:f>IF(C1068="","",IFERROR(INDEX('Taxonomy Rules'!$F$42:$F$68,MATCH(E1068,'Taxonomy Rules'!$C$42:$C$68,0)),""))</x:f>
      </x:c>
      <x:c r="U1068" s="9" t="str">
        <x:f>IF(C1068="","",IFERROR(INDEX('Taxonomy'!$G$9:$G$108,MATCH(D1068,'Taxonomy'!$C$9:$C$108,0)),""))</x:f>
      </x:c>
    </x:row>
    <x:row r="1069" ht="44" customHeight="1">
      <x:c r="A1069" s="1"/>
      <x:c r="B1069" s="1"/>
      <x:c r="C1069" s="8"/>
      <x:c r="D1069" s="8"/>
      <x:c r="E1069" s="8"/>
      <x:c r="F1069" s="8"/>
      <x:c r="G1069" s="8"/>
      <x:c r="H1069" s="8"/>
      <x:c r="I1069" s="8"/>
      <x:c r="J1069" s="8"/>
      <x:c r="K1069" s="8"/>
      <x:c r="L1069" s="8"/>
      <x:c r="M1069" s="10"/>
      <x:c r="N1069" s="10"/>
      <x:c r="O1069" s="8"/>
      <x:c r="P1069" s="9" t="str">
        <x:f>IF(C1069="","",IF(AND(G1069="Applicable",H1069="Fail"),"Fail",IF(R1069&lt;&gt;"Valid","Pending",IF(OR(I1069="",K1069="",L1069="",K1069=L1069,NOT(ISNUMBER(M1069)),NOT(ISNUMBER(N1069)),M1069&gt;Settings!$F$8,N1069&lt;Settings!$F$8,N1069&lt;M1069),"Pending",IF(AND(G1069="Applicable",H1069="Pass"),"Pass",IF(AND(G1069="N/A",H1069="N/A",J1069&lt;&gt;"",OR(E1069="CEM-FUELS",E1069="CEM-CCS",AND(E1069="CEM-PLAN",IFERROR(INDEX('Taxonomy'!$M$9:$M$108,MATCH(D1069,'Taxonomy'!$C$9:$C$108,0)),"")&lt;&gt;"Amber"),E1069="BLD-TIMBER",AND(U1069="Building equipment",OR(E1069="BLD-WATER",E1069="BLD-WASTE",E1069="BLD-LAND")),AND(U1069="Building renovation",E1069="BLD-LAND"))),"N/A","Pending"))))))</x:f>
      </x:c>
      <x:c r="Q1069" s="3" t="str">
        <x:f>IF(C1069="","",IF(AND(R1069="Valid",OR(P1069="Pass",P1069="N/A")),"Complete","Unresolved"))</x:f>
      </x:c>
      <x:c r="R1069" s="9" t="str">
        <x:f>IF(C1069="","",IF(OR(COUNTIF($C$9:$C$2008,C1069)&lt;&gt;1,COUNTIFS($D$9:$D$2008,D1069,$E$9:$E$2008,E1069)&lt;&gt;1),"Duplicate test",IF(COUNTIF('Taxonomy'!$C$9:$C$108,D1069)&lt;&gt;1,"Assessment key",IF(OR(COUNTIF('Taxonomy Rules'!$C$42:$C$68,E1069)&lt;&gt;1,F1069&lt;&gt;IFERROR(INDEX('Taxonomy Rules'!$D$42:$D$68,MATCH(E1069,'Taxonomy Rules'!$C$42:$C$68,0)),""),NOT(OR(IFERROR(INDEX('Taxonomy Rules'!$G$42:$G$68,MATCH(E1069,'Taxonomy Rules'!$C$42:$C$68,0)),"")="All supported routes",IFERROR(INDEX('Taxonomy Rules'!$G$42:$G$68,MATCH(E1069,'Taxonomy Rules'!$C$42:$C$68,0)),"")=U1069,AND(IFERROR(INDEX('Taxonomy Rules'!$G$42:$G$68,MATCH(E1069,'Taxonomy Rules'!$C$42:$C$68,0)),"")="Building routes",OR(U1069="Building renovation",U1069="New building",U1069="Building equipment"))))),"Unexpected test","Valid"))))</x:f>
      </x:c>
      <x:c r="S1069" s="9" t="str">
        <x:f>IF(C1069="","",IFERROR(INDEX('Taxonomy Rules'!$E$42:$E$68,MATCH(E1069,'Taxonomy Rules'!$C$42:$C$68,0)),""))</x:f>
      </x:c>
      <x:c r="T1069" s="9" t="str">
        <x:f>IF(C1069="","",IFERROR(INDEX('Taxonomy Rules'!$F$42:$F$68,MATCH(E1069,'Taxonomy Rules'!$C$42:$C$68,0)),""))</x:f>
      </x:c>
      <x:c r="U1069" s="9" t="str">
        <x:f>IF(C1069="","",IFERROR(INDEX('Taxonomy'!$G$9:$G$108,MATCH(D1069,'Taxonomy'!$C$9:$C$108,0)),""))</x:f>
      </x:c>
    </x:row>
    <x:row r="1070" ht="44" customHeight="1">
      <x:c r="A1070" s="1"/>
      <x:c r="B1070" s="1"/>
      <x:c r="C1070" s="8"/>
      <x:c r="D1070" s="8"/>
      <x:c r="E1070" s="8"/>
      <x:c r="F1070" s="8"/>
      <x:c r="G1070" s="8"/>
      <x:c r="H1070" s="8"/>
      <x:c r="I1070" s="8"/>
      <x:c r="J1070" s="8"/>
      <x:c r="K1070" s="8"/>
      <x:c r="L1070" s="8"/>
      <x:c r="M1070" s="10"/>
      <x:c r="N1070" s="10"/>
      <x:c r="O1070" s="8"/>
      <x:c r="P1070" s="9" t="str">
        <x:f>IF(C1070="","",IF(AND(G1070="Applicable",H1070="Fail"),"Fail",IF(R1070&lt;&gt;"Valid","Pending",IF(OR(I1070="",K1070="",L1070="",K1070=L1070,NOT(ISNUMBER(M1070)),NOT(ISNUMBER(N1070)),M1070&gt;Settings!$F$8,N1070&lt;Settings!$F$8,N1070&lt;M1070),"Pending",IF(AND(G1070="Applicable",H1070="Pass"),"Pass",IF(AND(G1070="N/A",H1070="N/A",J1070&lt;&gt;"",OR(E1070="CEM-FUELS",E1070="CEM-CCS",AND(E1070="CEM-PLAN",IFERROR(INDEX('Taxonomy'!$M$9:$M$108,MATCH(D1070,'Taxonomy'!$C$9:$C$108,0)),"")&lt;&gt;"Amber"),E1070="BLD-TIMBER",AND(U1070="Building equipment",OR(E1070="BLD-WATER",E1070="BLD-WASTE",E1070="BLD-LAND")),AND(U1070="Building renovation",E1070="BLD-LAND"))),"N/A","Pending"))))))</x:f>
      </x:c>
      <x:c r="Q1070" s="3" t="str">
        <x:f>IF(C1070="","",IF(AND(R1070="Valid",OR(P1070="Pass",P1070="N/A")),"Complete","Unresolved"))</x:f>
      </x:c>
      <x:c r="R1070" s="9" t="str">
        <x:f>IF(C1070="","",IF(OR(COUNTIF($C$9:$C$2008,C1070)&lt;&gt;1,COUNTIFS($D$9:$D$2008,D1070,$E$9:$E$2008,E1070)&lt;&gt;1),"Duplicate test",IF(COUNTIF('Taxonomy'!$C$9:$C$108,D1070)&lt;&gt;1,"Assessment key",IF(OR(COUNTIF('Taxonomy Rules'!$C$42:$C$68,E1070)&lt;&gt;1,F1070&lt;&gt;IFERROR(INDEX('Taxonomy Rules'!$D$42:$D$68,MATCH(E1070,'Taxonomy Rules'!$C$42:$C$68,0)),""),NOT(OR(IFERROR(INDEX('Taxonomy Rules'!$G$42:$G$68,MATCH(E1070,'Taxonomy Rules'!$C$42:$C$68,0)),"")="All supported routes",IFERROR(INDEX('Taxonomy Rules'!$G$42:$G$68,MATCH(E1070,'Taxonomy Rules'!$C$42:$C$68,0)),"")=U1070,AND(IFERROR(INDEX('Taxonomy Rules'!$G$42:$G$68,MATCH(E1070,'Taxonomy Rules'!$C$42:$C$68,0)),"")="Building routes",OR(U1070="Building renovation",U1070="New building",U1070="Building equipment"))))),"Unexpected test","Valid"))))</x:f>
      </x:c>
      <x:c r="S1070" s="9" t="str">
        <x:f>IF(C1070="","",IFERROR(INDEX('Taxonomy Rules'!$E$42:$E$68,MATCH(E1070,'Taxonomy Rules'!$C$42:$C$68,0)),""))</x:f>
      </x:c>
      <x:c r="T1070" s="9" t="str">
        <x:f>IF(C1070="","",IFERROR(INDEX('Taxonomy Rules'!$F$42:$F$68,MATCH(E1070,'Taxonomy Rules'!$C$42:$C$68,0)),""))</x:f>
      </x:c>
      <x:c r="U1070" s="9" t="str">
        <x:f>IF(C1070="","",IFERROR(INDEX('Taxonomy'!$G$9:$G$108,MATCH(D1070,'Taxonomy'!$C$9:$C$108,0)),""))</x:f>
      </x:c>
    </x:row>
    <x:row r="1071" ht="44" customHeight="1">
      <x:c r="A1071" s="1"/>
      <x:c r="B1071" s="1"/>
      <x:c r="C1071" s="8"/>
      <x:c r="D1071" s="8"/>
      <x:c r="E1071" s="8"/>
      <x:c r="F1071" s="8"/>
      <x:c r="G1071" s="8"/>
      <x:c r="H1071" s="8"/>
      <x:c r="I1071" s="8"/>
      <x:c r="J1071" s="8"/>
      <x:c r="K1071" s="8"/>
      <x:c r="L1071" s="8"/>
      <x:c r="M1071" s="10"/>
      <x:c r="N1071" s="10"/>
      <x:c r="O1071" s="8"/>
      <x:c r="P1071" s="9" t="str">
        <x:f>IF(C1071="","",IF(AND(G1071="Applicable",H1071="Fail"),"Fail",IF(R1071&lt;&gt;"Valid","Pending",IF(OR(I1071="",K1071="",L1071="",K1071=L1071,NOT(ISNUMBER(M1071)),NOT(ISNUMBER(N1071)),M1071&gt;Settings!$F$8,N1071&lt;Settings!$F$8,N1071&lt;M1071),"Pending",IF(AND(G1071="Applicable",H1071="Pass"),"Pass",IF(AND(G1071="N/A",H1071="N/A",J1071&lt;&gt;"",OR(E1071="CEM-FUELS",E1071="CEM-CCS",AND(E1071="CEM-PLAN",IFERROR(INDEX('Taxonomy'!$M$9:$M$108,MATCH(D1071,'Taxonomy'!$C$9:$C$108,0)),"")&lt;&gt;"Amber"),E1071="BLD-TIMBER",AND(U1071="Building equipment",OR(E1071="BLD-WATER",E1071="BLD-WASTE",E1071="BLD-LAND")),AND(U1071="Building renovation",E1071="BLD-LAND"))),"N/A","Pending"))))))</x:f>
      </x:c>
      <x:c r="Q1071" s="3" t="str">
        <x:f>IF(C1071="","",IF(AND(R1071="Valid",OR(P1071="Pass",P1071="N/A")),"Complete","Unresolved"))</x:f>
      </x:c>
      <x:c r="R1071" s="9" t="str">
        <x:f>IF(C1071="","",IF(OR(COUNTIF($C$9:$C$2008,C1071)&lt;&gt;1,COUNTIFS($D$9:$D$2008,D1071,$E$9:$E$2008,E1071)&lt;&gt;1),"Duplicate test",IF(COUNTIF('Taxonomy'!$C$9:$C$108,D1071)&lt;&gt;1,"Assessment key",IF(OR(COUNTIF('Taxonomy Rules'!$C$42:$C$68,E1071)&lt;&gt;1,F1071&lt;&gt;IFERROR(INDEX('Taxonomy Rules'!$D$42:$D$68,MATCH(E1071,'Taxonomy Rules'!$C$42:$C$68,0)),""),NOT(OR(IFERROR(INDEX('Taxonomy Rules'!$G$42:$G$68,MATCH(E1071,'Taxonomy Rules'!$C$42:$C$68,0)),"")="All supported routes",IFERROR(INDEX('Taxonomy Rules'!$G$42:$G$68,MATCH(E1071,'Taxonomy Rules'!$C$42:$C$68,0)),"")=U1071,AND(IFERROR(INDEX('Taxonomy Rules'!$G$42:$G$68,MATCH(E1071,'Taxonomy Rules'!$C$42:$C$68,0)),"")="Building routes",OR(U1071="Building renovation",U1071="New building",U1071="Building equipment"))))),"Unexpected test","Valid"))))</x:f>
      </x:c>
      <x:c r="S1071" s="9" t="str">
        <x:f>IF(C1071="","",IFERROR(INDEX('Taxonomy Rules'!$E$42:$E$68,MATCH(E1071,'Taxonomy Rules'!$C$42:$C$68,0)),""))</x:f>
      </x:c>
      <x:c r="T1071" s="9" t="str">
        <x:f>IF(C1071="","",IFERROR(INDEX('Taxonomy Rules'!$F$42:$F$68,MATCH(E1071,'Taxonomy Rules'!$C$42:$C$68,0)),""))</x:f>
      </x:c>
      <x:c r="U1071" s="9" t="str">
        <x:f>IF(C1071="","",IFERROR(INDEX('Taxonomy'!$G$9:$G$108,MATCH(D1071,'Taxonomy'!$C$9:$C$108,0)),""))</x:f>
      </x:c>
    </x:row>
    <x:row r="1072" ht="44" customHeight="1">
      <x:c r="A1072" s="1"/>
      <x:c r="B1072" s="1"/>
      <x:c r="C1072" s="8"/>
      <x:c r="D1072" s="8"/>
      <x:c r="E1072" s="8"/>
      <x:c r="F1072" s="8"/>
      <x:c r="G1072" s="8"/>
      <x:c r="H1072" s="8"/>
      <x:c r="I1072" s="8"/>
      <x:c r="J1072" s="8"/>
      <x:c r="K1072" s="8"/>
      <x:c r="L1072" s="8"/>
      <x:c r="M1072" s="10"/>
      <x:c r="N1072" s="10"/>
      <x:c r="O1072" s="8"/>
      <x:c r="P1072" s="9" t="str">
        <x:f>IF(C1072="","",IF(AND(G1072="Applicable",H1072="Fail"),"Fail",IF(R1072&lt;&gt;"Valid","Pending",IF(OR(I1072="",K1072="",L1072="",K1072=L1072,NOT(ISNUMBER(M1072)),NOT(ISNUMBER(N1072)),M1072&gt;Settings!$F$8,N1072&lt;Settings!$F$8,N1072&lt;M1072),"Pending",IF(AND(G1072="Applicable",H1072="Pass"),"Pass",IF(AND(G1072="N/A",H1072="N/A",J1072&lt;&gt;"",OR(E1072="CEM-FUELS",E1072="CEM-CCS",AND(E1072="CEM-PLAN",IFERROR(INDEX('Taxonomy'!$M$9:$M$108,MATCH(D1072,'Taxonomy'!$C$9:$C$108,0)),"")&lt;&gt;"Amber"),E1072="BLD-TIMBER",AND(U1072="Building equipment",OR(E1072="BLD-WATER",E1072="BLD-WASTE",E1072="BLD-LAND")),AND(U1072="Building renovation",E1072="BLD-LAND"))),"N/A","Pending"))))))</x:f>
      </x:c>
      <x:c r="Q1072" s="3" t="str">
        <x:f>IF(C1072="","",IF(AND(R1072="Valid",OR(P1072="Pass",P1072="N/A")),"Complete","Unresolved"))</x:f>
      </x:c>
      <x:c r="R1072" s="9" t="str">
        <x:f>IF(C1072="","",IF(OR(COUNTIF($C$9:$C$2008,C1072)&lt;&gt;1,COUNTIFS($D$9:$D$2008,D1072,$E$9:$E$2008,E1072)&lt;&gt;1),"Duplicate test",IF(COUNTIF('Taxonomy'!$C$9:$C$108,D1072)&lt;&gt;1,"Assessment key",IF(OR(COUNTIF('Taxonomy Rules'!$C$42:$C$68,E1072)&lt;&gt;1,F1072&lt;&gt;IFERROR(INDEX('Taxonomy Rules'!$D$42:$D$68,MATCH(E1072,'Taxonomy Rules'!$C$42:$C$68,0)),""),NOT(OR(IFERROR(INDEX('Taxonomy Rules'!$G$42:$G$68,MATCH(E1072,'Taxonomy Rules'!$C$42:$C$68,0)),"")="All supported routes",IFERROR(INDEX('Taxonomy Rules'!$G$42:$G$68,MATCH(E1072,'Taxonomy Rules'!$C$42:$C$68,0)),"")=U1072,AND(IFERROR(INDEX('Taxonomy Rules'!$G$42:$G$68,MATCH(E1072,'Taxonomy Rules'!$C$42:$C$68,0)),"")="Building routes",OR(U1072="Building renovation",U1072="New building",U1072="Building equipment"))))),"Unexpected test","Valid"))))</x:f>
      </x:c>
      <x:c r="S1072" s="9" t="str">
        <x:f>IF(C1072="","",IFERROR(INDEX('Taxonomy Rules'!$E$42:$E$68,MATCH(E1072,'Taxonomy Rules'!$C$42:$C$68,0)),""))</x:f>
      </x:c>
      <x:c r="T1072" s="9" t="str">
        <x:f>IF(C1072="","",IFERROR(INDEX('Taxonomy Rules'!$F$42:$F$68,MATCH(E1072,'Taxonomy Rules'!$C$42:$C$68,0)),""))</x:f>
      </x:c>
      <x:c r="U1072" s="9" t="str">
        <x:f>IF(C1072="","",IFERROR(INDEX('Taxonomy'!$G$9:$G$108,MATCH(D1072,'Taxonomy'!$C$9:$C$108,0)),""))</x:f>
      </x:c>
    </x:row>
    <x:row r="1073" ht="44" customHeight="1">
      <x:c r="A1073" s="1"/>
      <x:c r="B1073" s="1"/>
      <x:c r="C1073" s="8"/>
      <x:c r="D1073" s="8"/>
      <x:c r="E1073" s="8"/>
      <x:c r="F1073" s="8"/>
      <x:c r="G1073" s="8"/>
      <x:c r="H1073" s="8"/>
      <x:c r="I1073" s="8"/>
      <x:c r="J1073" s="8"/>
      <x:c r="K1073" s="8"/>
      <x:c r="L1073" s="8"/>
      <x:c r="M1073" s="10"/>
      <x:c r="N1073" s="10"/>
      <x:c r="O1073" s="8"/>
      <x:c r="P1073" s="9" t="str">
        <x:f>IF(C1073="","",IF(AND(G1073="Applicable",H1073="Fail"),"Fail",IF(R1073&lt;&gt;"Valid","Pending",IF(OR(I1073="",K1073="",L1073="",K1073=L1073,NOT(ISNUMBER(M1073)),NOT(ISNUMBER(N1073)),M1073&gt;Settings!$F$8,N1073&lt;Settings!$F$8,N1073&lt;M1073),"Pending",IF(AND(G1073="Applicable",H1073="Pass"),"Pass",IF(AND(G1073="N/A",H1073="N/A",J1073&lt;&gt;"",OR(E1073="CEM-FUELS",E1073="CEM-CCS",AND(E1073="CEM-PLAN",IFERROR(INDEX('Taxonomy'!$M$9:$M$108,MATCH(D1073,'Taxonomy'!$C$9:$C$108,0)),"")&lt;&gt;"Amber"),E1073="BLD-TIMBER",AND(U1073="Building equipment",OR(E1073="BLD-WATER",E1073="BLD-WASTE",E1073="BLD-LAND")),AND(U1073="Building renovation",E1073="BLD-LAND"))),"N/A","Pending"))))))</x:f>
      </x:c>
      <x:c r="Q1073" s="3" t="str">
        <x:f>IF(C1073="","",IF(AND(R1073="Valid",OR(P1073="Pass",P1073="N/A")),"Complete","Unresolved"))</x:f>
      </x:c>
      <x:c r="R1073" s="9" t="str">
        <x:f>IF(C1073="","",IF(OR(COUNTIF($C$9:$C$2008,C1073)&lt;&gt;1,COUNTIFS($D$9:$D$2008,D1073,$E$9:$E$2008,E1073)&lt;&gt;1),"Duplicate test",IF(COUNTIF('Taxonomy'!$C$9:$C$108,D1073)&lt;&gt;1,"Assessment key",IF(OR(COUNTIF('Taxonomy Rules'!$C$42:$C$68,E1073)&lt;&gt;1,F1073&lt;&gt;IFERROR(INDEX('Taxonomy Rules'!$D$42:$D$68,MATCH(E1073,'Taxonomy Rules'!$C$42:$C$68,0)),""),NOT(OR(IFERROR(INDEX('Taxonomy Rules'!$G$42:$G$68,MATCH(E1073,'Taxonomy Rules'!$C$42:$C$68,0)),"")="All supported routes",IFERROR(INDEX('Taxonomy Rules'!$G$42:$G$68,MATCH(E1073,'Taxonomy Rules'!$C$42:$C$68,0)),"")=U1073,AND(IFERROR(INDEX('Taxonomy Rules'!$G$42:$G$68,MATCH(E1073,'Taxonomy Rules'!$C$42:$C$68,0)),"")="Building routes",OR(U1073="Building renovation",U1073="New building",U1073="Building equipment"))))),"Unexpected test","Valid"))))</x:f>
      </x:c>
      <x:c r="S1073" s="9" t="str">
        <x:f>IF(C1073="","",IFERROR(INDEX('Taxonomy Rules'!$E$42:$E$68,MATCH(E1073,'Taxonomy Rules'!$C$42:$C$68,0)),""))</x:f>
      </x:c>
      <x:c r="T1073" s="9" t="str">
        <x:f>IF(C1073="","",IFERROR(INDEX('Taxonomy Rules'!$F$42:$F$68,MATCH(E1073,'Taxonomy Rules'!$C$42:$C$68,0)),""))</x:f>
      </x:c>
      <x:c r="U1073" s="9" t="str">
        <x:f>IF(C1073="","",IFERROR(INDEX('Taxonomy'!$G$9:$G$108,MATCH(D1073,'Taxonomy'!$C$9:$C$108,0)),""))</x:f>
      </x:c>
    </x:row>
    <x:row r="1074" ht="44" customHeight="1">
      <x:c r="A1074" s="1"/>
      <x:c r="B1074" s="1"/>
      <x:c r="C1074" s="8"/>
      <x:c r="D1074" s="8"/>
      <x:c r="E1074" s="8"/>
      <x:c r="F1074" s="8"/>
      <x:c r="G1074" s="8"/>
      <x:c r="H1074" s="8"/>
      <x:c r="I1074" s="8"/>
      <x:c r="J1074" s="8"/>
      <x:c r="K1074" s="8"/>
      <x:c r="L1074" s="8"/>
      <x:c r="M1074" s="10"/>
      <x:c r="N1074" s="10"/>
      <x:c r="O1074" s="8"/>
      <x:c r="P1074" s="9" t="str">
        <x:f>IF(C1074="","",IF(AND(G1074="Applicable",H1074="Fail"),"Fail",IF(R1074&lt;&gt;"Valid","Pending",IF(OR(I1074="",K1074="",L1074="",K1074=L1074,NOT(ISNUMBER(M1074)),NOT(ISNUMBER(N1074)),M1074&gt;Settings!$F$8,N1074&lt;Settings!$F$8,N1074&lt;M1074),"Pending",IF(AND(G1074="Applicable",H1074="Pass"),"Pass",IF(AND(G1074="N/A",H1074="N/A",J1074&lt;&gt;"",OR(E1074="CEM-FUELS",E1074="CEM-CCS",AND(E1074="CEM-PLAN",IFERROR(INDEX('Taxonomy'!$M$9:$M$108,MATCH(D1074,'Taxonomy'!$C$9:$C$108,0)),"")&lt;&gt;"Amber"),E1074="BLD-TIMBER",AND(U1074="Building equipment",OR(E1074="BLD-WATER",E1074="BLD-WASTE",E1074="BLD-LAND")),AND(U1074="Building renovation",E1074="BLD-LAND"))),"N/A","Pending"))))))</x:f>
      </x:c>
      <x:c r="Q1074" s="3" t="str">
        <x:f>IF(C1074="","",IF(AND(R1074="Valid",OR(P1074="Pass",P1074="N/A")),"Complete","Unresolved"))</x:f>
      </x:c>
      <x:c r="R1074" s="9" t="str">
        <x:f>IF(C1074="","",IF(OR(COUNTIF($C$9:$C$2008,C1074)&lt;&gt;1,COUNTIFS($D$9:$D$2008,D1074,$E$9:$E$2008,E1074)&lt;&gt;1),"Duplicate test",IF(COUNTIF('Taxonomy'!$C$9:$C$108,D1074)&lt;&gt;1,"Assessment key",IF(OR(COUNTIF('Taxonomy Rules'!$C$42:$C$68,E1074)&lt;&gt;1,F1074&lt;&gt;IFERROR(INDEX('Taxonomy Rules'!$D$42:$D$68,MATCH(E1074,'Taxonomy Rules'!$C$42:$C$68,0)),""),NOT(OR(IFERROR(INDEX('Taxonomy Rules'!$G$42:$G$68,MATCH(E1074,'Taxonomy Rules'!$C$42:$C$68,0)),"")="All supported routes",IFERROR(INDEX('Taxonomy Rules'!$G$42:$G$68,MATCH(E1074,'Taxonomy Rules'!$C$42:$C$68,0)),"")=U1074,AND(IFERROR(INDEX('Taxonomy Rules'!$G$42:$G$68,MATCH(E1074,'Taxonomy Rules'!$C$42:$C$68,0)),"")="Building routes",OR(U1074="Building renovation",U1074="New building",U1074="Building equipment"))))),"Unexpected test","Valid"))))</x:f>
      </x:c>
      <x:c r="S1074" s="9" t="str">
        <x:f>IF(C1074="","",IFERROR(INDEX('Taxonomy Rules'!$E$42:$E$68,MATCH(E1074,'Taxonomy Rules'!$C$42:$C$68,0)),""))</x:f>
      </x:c>
      <x:c r="T1074" s="9" t="str">
        <x:f>IF(C1074="","",IFERROR(INDEX('Taxonomy Rules'!$F$42:$F$68,MATCH(E1074,'Taxonomy Rules'!$C$42:$C$68,0)),""))</x:f>
      </x:c>
      <x:c r="U1074" s="9" t="str">
        <x:f>IF(C1074="","",IFERROR(INDEX('Taxonomy'!$G$9:$G$108,MATCH(D1074,'Taxonomy'!$C$9:$C$108,0)),""))</x:f>
      </x:c>
    </x:row>
    <x:row r="1075" ht="44" customHeight="1">
      <x:c r="A1075" s="1"/>
      <x:c r="B1075" s="1"/>
      <x:c r="C1075" s="8"/>
      <x:c r="D1075" s="8"/>
      <x:c r="E1075" s="8"/>
      <x:c r="F1075" s="8"/>
      <x:c r="G1075" s="8"/>
      <x:c r="H1075" s="8"/>
      <x:c r="I1075" s="8"/>
      <x:c r="J1075" s="8"/>
      <x:c r="K1075" s="8"/>
      <x:c r="L1075" s="8"/>
      <x:c r="M1075" s="10"/>
      <x:c r="N1075" s="10"/>
      <x:c r="O1075" s="8"/>
      <x:c r="P1075" s="9" t="str">
        <x:f>IF(C1075="","",IF(AND(G1075="Applicable",H1075="Fail"),"Fail",IF(R1075&lt;&gt;"Valid","Pending",IF(OR(I1075="",K1075="",L1075="",K1075=L1075,NOT(ISNUMBER(M1075)),NOT(ISNUMBER(N1075)),M1075&gt;Settings!$F$8,N1075&lt;Settings!$F$8,N1075&lt;M1075),"Pending",IF(AND(G1075="Applicable",H1075="Pass"),"Pass",IF(AND(G1075="N/A",H1075="N/A",J1075&lt;&gt;"",OR(E1075="CEM-FUELS",E1075="CEM-CCS",AND(E1075="CEM-PLAN",IFERROR(INDEX('Taxonomy'!$M$9:$M$108,MATCH(D1075,'Taxonomy'!$C$9:$C$108,0)),"")&lt;&gt;"Amber"),E1075="BLD-TIMBER",AND(U1075="Building equipment",OR(E1075="BLD-WATER",E1075="BLD-WASTE",E1075="BLD-LAND")),AND(U1075="Building renovation",E1075="BLD-LAND"))),"N/A","Pending"))))))</x:f>
      </x:c>
      <x:c r="Q1075" s="3" t="str">
        <x:f>IF(C1075="","",IF(AND(R1075="Valid",OR(P1075="Pass",P1075="N/A")),"Complete","Unresolved"))</x:f>
      </x:c>
      <x:c r="R1075" s="9" t="str">
        <x:f>IF(C1075="","",IF(OR(COUNTIF($C$9:$C$2008,C1075)&lt;&gt;1,COUNTIFS($D$9:$D$2008,D1075,$E$9:$E$2008,E1075)&lt;&gt;1),"Duplicate test",IF(COUNTIF('Taxonomy'!$C$9:$C$108,D1075)&lt;&gt;1,"Assessment key",IF(OR(COUNTIF('Taxonomy Rules'!$C$42:$C$68,E1075)&lt;&gt;1,F1075&lt;&gt;IFERROR(INDEX('Taxonomy Rules'!$D$42:$D$68,MATCH(E1075,'Taxonomy Rules'!$C$42:$C$68,0)),""),NOT(OR(IFERROR(INDEX('Taxonomy Rules'!$G$42:$G$68,MATCH(E1075,'Taxonomy Rules'!$C$42:$C$68,0)),"")="All supported routes",IFERROR(INDEX('Taxonomy Rules'!$G$42:$G$68,MATCH(E1075,'Taxonomy Rules'!$C$42:$C$68,0)),"")=U1075,AND(IFERROR(INDEX('Taxonomy Rules'!$G$42:$G$68,MATCH(E1075,'Taxonomy Rules'!$C$42:$C$68,0)),"")="Building routes",OR(U1075="Building renovation",U1075="New building",U1075="Building equipment"))))),"Unexpected test","Valid"))))</x:f>
      </x:c>
      <x:c r="S1075" s="9" t="str">
        <x:f>IF(C1075="","",IFERROR(INDEX('Taxonomy Rules'!$E$42:$E$68,MATCH(E1075,'Taxonomy Rules'!$C$42:$C$68,0)),""))</x:f>
      </x:c>
      <x:c r="T1075" s="9" t="str">
        <x:f>IF(C1075="","",IFERROR(INDEX('Taxonomy Rules'!$F$42:$F$68,MATCH(E1075,'Taxonomy Rules'!$C$42:$C$68,0)),""))</x:f>
      </x:c>
      <x:c r="U1075" s="9" t="str">
        <x:f>IF(C1075="","",IFERROR(INDEX('Taxonomy'!$G$9:$G$108,MATCH(D1075,'Taxonomy'!$C$9:$C$108,0)),""))</x:f>
      </x:c>
    </x:row>
    <x:row r="1076" ht="44" customHeight="1">
      <x:c r="A1076" s="1"/>
      <x:c r="B1076" s="1"/>
      <x:c r="C1076" s="8"/>
      <x:c r="D1076" s="8"/>
      <x:c r="E1076" s="8"/>
      <x:c r="F1076" s="8"/>
      <x:c r="G1076" s="8"/>
      <x:c r="H1076" s="8"/>
      <x:c r="I1076" s="8"/>
      <x:c r="J1076" s="8"/>
      <x:c r="K1076" s="8"/>
      <x:c r="L1076" s="8"/>
      <x:c r="M1076" s="10"/>
      <x:c r="N1076" s="10"/>
      <x:c r="O1076" s="8"/>
      <x:c r="P1076" s="9" t="str">
        <x:f>IF(C1076="","",IF(AND(G1076="Applicable",H1076="Fail"),"Fail",IF(R1076&lt;&gt;"Valid","Pending",IF(OR(I1076="",K1076="",L1076="",K1076=L1076,NOT(ISNUMBER(M1076)),NOT(ISNUMBER(N1076)),M1076&gt;Settings!$F$8,N1076&lt;Settings!$F$8,N1076&lt;M1076),"Pending",IF(AND(G1076="Applicable",H1076="Pass"),"Pass",IF(AND(G1076="N/A",H1076="N/A",J1076&lt;&gt;"",OR(E1076="CEM-FUELS",E1076="CEM-CCS",AND(E1076="CEM-PLAN",IFERROR(INDEX('Taxonomy'!$M$9:$M$108,MATCH(D1076,'Taxonomy'!$C$9:$C$108,0)),"")&lt;&gt;"Amber"),E1076="BLD-TIMBER",AND(U1076="Building equipment",OR(E1076="BLD-WATER",E1076="BLD-WASTE",E1076="BLD-LAND")),AND(U1076="Building renovation",E1076="BLD-LAND"))),"N/A","Pending"))))))</x:f>
      </x:c>
      <x:c r="Q1076" s="3" t="str">
        <x:f>IF(C1076="","",IF(AND(R1076="Valid",OR(P1076="Pass",P1076="N/A")),"Complete","Unresolved"))</x:f>
      </x:c>
      <x:c r="R1076" s="9" t="str">
        <x:f>IF(C1076="","",IF(OR(COUNTIF($C$9:$C$2008,C1076)&lt;&gt;1,COUNTIFS($D$9:$D$2008,D1076,$E$9:$E$2008,E1076)&lt;&gt;1),"Duplicate test",IF(COUNTIF('Taxonomy'!$C$9:$C$108,D1076)&lt;&gt;1,"Assessment key",IF(OR(COUNTIF('Taxonomy Rules'!$C$42:$C$68,E1076)&lt;&gt;1,F1076&lt;&gt;IFERROR(INDEX('Taxonomy Rules'!$D$42:$D$68,MATCH(E1076,'Taxonomy Rules'!$C$42:$C$68,0)),""),NOT(OR(IFERROR(INDEX('Taxonomy Rules'!$G$42:$G$68,MATCH(E1076,'Taxonomy Rules'!$C$42:$C$68,0)),"")="All supported routes",IFERROR(INDEX('Taxonomy Rules'!$G$42:$G$68,MATCH(E1076,'Taxonomy Rules'!$C$42:$C$68,0)),"")=U1076,AND(IFERROR(INDEX('Taxonomy Rules'!$G$42:$G$68,MATCH(E1076,'Taxonomy Rules'!$C$42:$C$68,0)),"")="Building routes",OR(U1076="Building renovation",U1076="New building",U1076="Building equipment"))))),"Unexpected test","Valid"))))</x:f>
      </x:c>
      <x:c r="S1076" s="9" t="str">
        <x:f>IF(C1076="","",IFERROR(INDEX('Taxonomy Rules'!$E$42:$E$68,MATCH(E1076,'Taxonomy Rules'!$C$42:$C$68,0)),""))</x:f>
      </x:c>
      <x:c r="T1076" s="9" t="str">
        <x:f>IF(C1076="","",IFERROR(INDEX('Taxonomy Rules'!$F$42:$F$68,MATCH(E1076,'Taxonomy Rules'!$C$42:$C$68,0)),""))</x:f>
      </x:c>
      <x:c r="U1076" s="9" t="str">
        <x:f>IF(C1076="","",IFERROR(INDEX('Taxonomy'!$G$9:$G$108,MATCH(D1076,'Taxonomy'!$C$9:$C$108,0)),""))</x:f>
      </x:c>
    </x:row>
    <x:row r="1077" ht="44" customHeight="1">
      <x:c r="A1077" s="1"/>
      <x:c r="B1077" s="1"/>
      <x:c r="C1077" s="8"/>
      <x:c r="D1077" s="8"/>
      <x:c r="E1077" s="8"/>
      <x:c r="F1077" s="8"/>
      <x:c r="G1077" s="8"/>
      <x:c r="H1077" s="8"/>
      <x:c r="I1077" s="8"/>
      <x:c r="J1077" s="8"/>
      <x:c r="K1077" s="8"/>
      <x:c r="L1077" s="8"/>
      <x:c r="M1077" s="10"/>
      <x:c r="N1077" s="10"/>
      <x:c r="O1077" s="8"/>
      <x:c r="P1077" s="9" t="str">
        <x:f>IF(C1077="","",IF(AND(G1077="Applicable",H1077="Fail"),"Fail",IF(R1077&lt;&gt;"Valid","Pending",IF(OR(I1077="",K1077="",L1077="",K1077=L1077,NOT(ISNUMBER(M1077)),NOT(ISNUMBER(N1077)),M1077&gt;Settings!$F$8,N1077&lt;Settings!$F$8,N1077&lt;M1077),"Pending",IF(AND(G1077="Applicable",H1077="Pass"),"Pass",IF(AND(G1077="N/A",H1077="N/A",J1077&lt;&gt;"",OR(E1077="CEM-FUELS",E1077="CEM-CCS",AND(E1077="CEM-PLAN",IFERROR(INDEX('Taxonomy'!$M$9:$M$108,MATCH(D1077,'Taxonomy'!$C$9:$C$108,0)),"")&lt;&gt;"Amber"),E1077="BLD-TIMBER",AND(U1077="Building equipment",OR(E1077="BLD-WATER",E1077="BLD-WASTE",E1077="BLD-LAND")),AND(U1077="Building renovation",E1077="BLD-LAND"))),"N/A","Pending"))))))</x:f>
      </x:c>
      <x:c r="Q1077" s="3" t="str">
        <x:f>IF(C1077="","",IF(AND(R1077="Valid",OR(P1077="Pass",P1077="N/A")),"Complete","Unresolved"))</x:f>
      </x:c>
      <x:c r="R1077" s="9" t="str">
        <x:f>IF(C1077="","",IF(OR(COUNTIF($C$9:$C$2008,C1077)&lt;&gt;1,COUNTIFS($D$9:$D$2008,D1077,$E$9:$E$2008,E1077)&lt;&gt;1),"Duplicate test",IF(COUNTIF('Taxonomy'!$C$9:$C$108,D1077)&lt;&gt;1,"Assessment key",IF(OR(COUNTIF('Taxonomy Rules'!$C$42:$C$68,E1077)&lt;&gt;1,F1077&lt;&gt;IFERROR(INDEX('Taxonomy Rules'!$D$42:$D$68,MATCH(E1077,'Taxonomy Rules'!$C$42:$C$68,0)),""),NOT(OR(IFERROR(INDEX('Taxonomy Rules'!$G$42:$G$68,MATCH(E1077,'Taxonomy Rules'!$C$42:$C$68,0)),"")="All supported routes",IFERROR(INDEX('Taxonomy Rules'!$G$42:$G$68,MATCH(E1077,'Taxonomy Rules'!$C$42:$C$68,0)),"")=U1077,AND(IFERROR(INDEX('Taxonomy Rules'!$G$42:$G$68,MATCH(E1077,'Taxonomy Rules'!$C$42:$C$68,0)),"")="Building routes",OR(U1077="Building renovation",U1077="New building",U1077="Building equipment"))))),"Unexpected test","Valid"))))</x:f>
      </x:c>
      <x:c r="S1077" s="9" t="str">
        <x:f>IF(C1077="","",IFERROR(INDEX('Taxonomy Rules'!$E$42:$E$68,MATCH(E1077,'Taxonomy Rules'!$C$42:$C$68,0)),""))</x:f>
      </x:c>
      <x:c r="T1077" s="9" t="str">
        <x:f>IF(C1077="","",IFERROR(INDEX('Taxonomy Rules'!$F$42:$F$68,MATCH(E1077,'Taxonomy Rules'!$C$42:$C$68,0)),""))</x:f>
      </x:c>
      <x:c r="U1077" s="9" t="str">
        <x:f>IF(C1077="","",IFERROR(INDEX('Taxonomy'!$G$9:$G$108,MATCH(D1077,'Taxonomy'!$C$9:$C$108,0)),""))</x:f>
      </x:c>
    </x:row>
    <x:row r="1078" ht="44" customHeight="1">
      <x:c r="A1078" s="1"/>
      <x:c r="B1078" s="1"/>
      <x:c r="C1078" s="8"/>
      <x:c r="D1078" s="8"/>
      <x:c r="E1078" s="8"/>
      <x:c r="F1078" s="8"/>
      <x:c r="G1078" s="8"/>
      <x:c r="H1078" s="8"/>
      <x:c r="I1078" s="8"/>
      <x:c r="J1078" s="8"/>
      <x:c r="K1078" s="8"/>
      <x:c r="L1078" s="8"/>
      <x:c r="M1078" s="10"/>
      <x:c r="N1078" s="10"/>
      <x:c r="O1078" s="8"/>
      <x:c r="P1078" s="9" t="str">
        <x:f>IF(C1078="","",IF(AND(G1078="Applicable",H1078="Fail"),"Fail",IF(R1078&lt;&gt;"Valid","Pending",IF(OR(I1078="",K1078="",L1078="",K1078=L1078,NOT(ISNUMBER(M1078)),NOT(ISNUMBER(N1078)),M1078&gt;Settings!$F$8,N1078&lt;Settings!$F$8,N1078&lt;M1078),"Pending",IF(AND(G1078="Applicable",H1078="Pass"),"Pass",IF(AND(G1078="N/A",H1078="N/A",J1078&lt;&gt;"",OR(E1078="CEM-FUELS",E1078="CEM-CCS",AND(E1078="CEM-PLAN",IFERROR(INDEX('Taxonomy'!$M$9:$M$108,MATCH(D1078,'Taxonomy'!$C$9:$C$108,0)),"")&lt;&gt;"Amber"),E1078="BLD-TIMBER",AND(U1078="Building equipment",OR(E1078="BLD-WATER",E1078="BLD-WASTE",E1078="BLD-LAND")),AND(U1078="Building renovation",E1078="BLD-LAND"))),"N/A","Pending"))))))</x:f>
      </x:c>
      <x:c r="Q1078" s="3" t="str">
        <x:f>IF(C1078="","",IF(AND(R1078="Valid",OR(P1078="Pass",P1078="N/A")),"Complete","Unresolved"))</x:f>
      </x:c>
      <x:c r="R1078" s="9" t="str">
        <x:f>IF(C1078="","",IF(OR(COUNTIF($C$9:$C$2008,C1078)&lt;&gt;1,COUNTIFS($D$9:$D$2008,D1078,$E$9:$E$2008,E1078)&lt;&gt;1),"Duplicate test",IF(COUNTIF('Taxonomy'!$C$9:$C$108,D1078)&lt;&gt;1,"Assessment key",IF(OR(COUNTIF('Taxonomy Rules'!$C$42:$C$68,E1078)&lt;&gt;1,F1078&lt;&gt;IFERROR(INDEX('Taxonomy Rules'!$D$42:$D$68,MATCH(E1078,'Taxonomy Rules'!$C$42:$C$68,0)),""),NOT(OR(IFERROR(INDEX('Taxonomy Rules'!$G$42:$G$68,MATCH(E1078,'Taxonomy Rules'!$C$42:$C$68,0)),"")="All supported routes",IFERROR(INDEX('Taxonomy Rules'!$G$42:$G$68,MATCH(E1078,'Taxonomy Rules'!$C$42:$C$68,0)),"")=U1078,AND(IFERROR(INDEX('Taxonomy Rules'!$G$42:$G$68,MATCH(E1078,'Taxonomy Rules'!$C$42:$C$68,0)),"")="Building routes",OR(U1078="Building renovation",U1078="New building",U1078="Building equipment"))))),"Unexpected test","Valid"))))</x:f>
      </x:c>
      <x:c r="S1078" s="9" t="str">
        <x:f>IF(C1078="","",IFERROR(INDEX('Taxonomy Rules'!$E$42:$E$68,MATCH(E1078,'Taxonomy Rules'!$C$42:$C$68,0)),""))</x:f>
      </x:c>
      <x:c r="T1078" s="9" t="str">
        <x:f>IF(C1078="","",IFERROR(INDEX('Taxonomy Rules'!$F$42:$F$68,MATCH(E1078,'Taxonomy Rules'!$C$42:$C$68,0)),""))</x:f>
      </x:c>
      <x:c r="U1078" s="9" t="str">
        <x:f>IF(C1078="","",IFERROR(INDEX('Taxonomy'!$G$9:$G$108,MATCH(D1078,'Taxonomy'!$C$9:$C$108,0)),""))</x:f>
      </x:c>
    </x:row>
    <x:row r="1079" ht="44" customHeight="1">
      <x:c r="A1079" s="1"/>
      <x:c r="B1079" s="1"/>
      <x:c r="C1079" s="8"/>
      <x:c r="D1079" s="8"/>
      <x:c r="E1079" s="8"/>
      <x:c r="F1079" s="8"/>
      <x:c r="G1079" s="8"/>
      <x:c r="H1079" s="8"/>
      <x:c r="I1079" s="8"/>
      <x:c r="J1079" s="8"/>
      <x:c r="K1079" s="8"/>
      <x:c r="L1079" s="8"/>
      <x:c r="M1079" s="10"/>
      <x:c r="N1079" s="10"/>
      <x:c r="O1079" s="8"/>
      <x:c r="P1079" s="9" t="str">
        <x:f>IF(C1079="","",IF(AND(G1079="Applicable",H1079="Fail"),"Fail",IF(R1079&lt;&gt;"Valid","Pending",IF(OR(I1079="",K1079="",L1079="",K1079=L1079,NOT(ISNUMBER(M1079)),NOT(ISNUMBER(N1079)),M1079&gt;Settings!$F$8,N1079&lt;Settings!$F$8,N1079&lt;M1079),"Pending",IF(AND(G1079="Applicable",H1079="Pass"),"Pass",IF(AND(G1079="N/A",H1079="N/A",J1079&lt;&gt;"",OR(E1079="CEM-FUELS",E1079="CEM-CCS",AND(E1079="CEM-PLAN",IFERROR(INDEX('Taxonomy'!$M$9:$M$108,MATCH(D1079,'Taxonomy'!$C$9:$C$108,0)),"")&lt;&gt;"Amber"),E1079="BLD-TIMBER",AND(U1079="Building equipment",OR(E1079="BLD-WATER",E1079="BLD-WASTE",E1079="BLD-LAND")),AND(U1079="Building renovation",E1079="BLD-LAND"))),"N/A","Pending"))))))</x:f>
      </x:c>
      <x:c r="Q1079" s="3" t="str">
        <x:f>IF(C1079="","",IF(AND(R1079="Valid",OR(P1079="Pass",P1079="N/A")),"Complete","Unresolved"))</x:f>
      </x:c>
      <x:c r="R1079" s="9" t="str">
        <x:f>IF(C1079="","",IF(OR(COUNTIF($C$9:$C$2008,C1079)&lt;&gt;1,COUNTIFS($D$9:$D$2008,D1079,$E$9:$E$2008,E1079)&lt;&gt;1),"Duplicate test",IF(COUNTIF('Taxonomy'!$C$9:$C$108,D1079)&lt;&gt;1,"Assessment key",IF(OR(COUNTIF('Taxonomy Rules'!$C$42:$C$68,E1079)&lt;&gt;1,F1079&lt;&gt;IFERROR(INDEX('Taxonomy Rules'!$D$42:$D$68,MATCH(E1079,'Taxonomy Rules'!$C$42:$C$68,0)),""),NOT(OR(IFERROR(INDEX('Taxonomy Rules'!$G$42:$G$68,MATCH(E1079,'Taxonomy Rules'!$C$42:$C$68,0)),"")="All supported routes",IFERROR(INDEX('Taxonomy Rules'!$G$42:$G$68,MATCH(E1079,'Taxonomy Rules'!$C$42:$C$68,0)),"")=U1079,AND(IFERROR(INDEX('Taxonomy Rules'!$G$42:$G$68,MATCH(E1079,'Taxonomy Rules'!$C$42:$C$68,0)),"")="Building routes",OR(U1079="Building renovation",U1079="New building",U1079="Building equipment"))))),"Unexpected test","Valid"))))</x:f>
      </x:c>
      <x:c r="S1079" s="9" t="str">
        <x:f>IF(C1079="","",IFERROR(INDEX('Taxonomy Rules'!$E$42:$E$68,MATCH(E1079,'Taxonomy Rules'!$C$42:$C$68,0)),""))</x:f>
      </x:c>
      <x:c r="T1079" s="9" t="str">
        <x:f>IF(C1079="","",IFERROR(INDEX('Taxonomy Rules'!$F$42:$F$68,MATCH(E1079,'Taxonomy Rules'!$C$42:$C$68,0)),""))</x:f>
      </x:c>
      <x:c r="U1079" s="9" t="str">
        <x:f>IF(C1079="","",IFERROR(INDEX('Taxonomy'!$G$9:$G$108,MATCH(D1079,'Taxonomy'!$C$9:$C$108,0)),""))</x:f>
      </x:c>
    </x:row>
    <x:row r="1080" ht="44" customHeight="1">
      <x:c r="A1080" s="1"/>
      <x:c r="B1080" s="1"/>
      <x:c r="C1080" s="8"/>
      <x:c r="D1080" s="8"/>
      <x:c r="E1080" s="8"/>
      <x:c r="F1080" s="8"/>
      <x:c r="G1080" s="8"/>
      <x:c r="H1080" s="8"/>
      <x:c r="I1080" s="8"/>
      <x:c r="J1080" s="8"/>
      <x:c r="K1080" s="8"/>
      <x:c r="L1080" s="8"/>
      <x:c r="M1080" s="10"/>
      <x:c r="N1080" s="10"/>
      <x:c r="O1080" s="8"/>
      <x:c r="P1080" s="9" t="str">
        <x:f>IF(C1080="","",IF(AND(G1080="Applicable",H1080="Fail"),"Fail",IF(R1080&lt;&gt;"Valid","Pending",IF(OR(I1080="",K1080="",L1080="",K1080=L1080,NOT(ISNUMBER(M1080)),NOT(ISNUMBER(N1080)),M1080&gt;Settings!$F$8,N1080&lt;Settings!$F$8,N1080&lt;M1080),"Pending",IF(AND(G1080="Applicable",H1080="Pass"),"Pass",IF(AND(G1080="N/A",H1080="N/A",J1080&lt;&gt;"",OR(E1080="CEM-FUELS",E1080="CEM-CCS",AND(E1080="CEM-PLAN",IFERROR(INDEX('Taxonomy'!$M$9:$M$108,MATCH(D1080,'Taxonomy'!$C$9:$C$108,0)),"")&lt;&gt;"Amber"),E1080="BLD-TIMBER",AND(U1080="Building equipment",OR(E1080="BLD-WATER",E1080="BLD-WASTE",E1080="BLD-LAND")),AND(U1080="Building renovation",E1080="BLD-LAND"))),"N/A","Pending"))))))</x:f>
      </x:c>
      <x:c r="Q1080" s="3" t="str">
        <x:f>IF(C1080="","",IF(AND(R1080="Valid",OR(P1080="Pass",P1080="N/A")),"Complete","Unresolved"))</x:f>
      </x:c>
      <x:c r="R1080" s="9" t="str">
        <x:f>IF(C1080="","",IF(OR(COUNTIF($C$9:$C$2008,C1080)&lt;&gt;1,COUNTIFS($D$9:$D$2008,D1080,$E$9:$E$2008,E1080)&lt;&gt;1),"Duplicate test",IF(COUNTIF('Taxonomy'!$C$9:$C$108,D1080)&lt;&gt;1,"Assessment key",IF(OR(COUNTIF('Taxonomy Rules'!$C$42:$C$68,E1080)&lt;&gt;1,F1080&lt;&gt;IFERROR(INDEX('Taxonomy Rules'!$D$42:$D$68,MATCH(E1080,'Taxonomy Rules'!$C$42:$C$68,0)),""),NOT(OR(IFERROR(INDEX('Taxonomy Rules'!$G$42:$G$68,MATCH(E1080,'Taxonomy Rules'!$C$42:$C$68,0)),"")="All supported routes",IFERROR(INDEX('Taxonomy Rules'!$G$42:$G$68,MATCH(E1080,'Taxonomy Rules'!$C$42:$C$68,0)),"")=U1080,AND(IFERROR(INDEX('Taxonomy Rules'!$G$42:$G$68,MATCH(E1080,'Taxonomy Rules'!$C$42:$C$68,0)),"")="Building routes",OR(U1080="Building renovation",U1080="New building",U1080="Building equipment"))))),"Unexpected test","Valid"))))</x:f>
      </x:c>
      <x:c r="S1080" s="9" t="str">
        <x:f>IF(C1080="","",IFERROR(INDEX('Taxonomy Rules'!$E$42:$E$68,MATCH(E1080,'Taxonomy Rules'!$C$42:$C$68,0)),""))</x:f>
      </x:c>
      <x:c r="T1080" s="9" t="str">
        <x:f>IF(C1080="","",IFERROR(INDEX('Taxonomy Rules'!$F$42:$F$68,MATCH(E1080,'Taxonomy Rules'!$C$42:$C$68,0)),""))</x:f>
      </x:c>
      <x:c r="U1080" s="9" t="str">
        <x:f>IF(C1080="","",IFERROR(INDEX('Taxonomy'!$G$9:$G$108,MATCH(D1080,'Taxonomy'!$C$9:$C$108,0)),""))</x:f>
      </x:c>
    </x:row>
    <x:row r="1081" ht="44" customHeight="1">
      <x:c r="A1081" s="1"/>
      <x:c r="B1081" s="1"/>
      <x:c r="C1081" s="8"/>
      <x:c r="D1081" s="8"/>
      <x:c r="E1081" s="8"/>
      <x:c r="F1081" s="8"/>
      <x:c r="G1081" s="8"/>
      <x:c r="H1081" s="8"/>
      <x:c r="I1081" s="8"/>
      <x:c r="J1081" s="8"/>
      <x:c r="K1081" s="8"/>
      <x:c r="L1081" s="8"/>
      <x:c r="M1081" s="10"/>
      <x:c r="N1081" s="10"/>
      <x:c r="O1081" s="8"/>
      <x:c r="P1081" s="9" t="str">
        <x:f>IF(C1081="","",IF(AND(G1081="Applicable",H1081="Fail"),"Fail",IF(R1081&lt;&gt;"Valid","Pending",IF(OR(I1081="",K1081="",L1081="",K1081=L1081,NOT(ISNUMBER(M1081)),NOT(ISNUMBER(N1081)),M1081&gt;Settings!$F$8,N1081&lt;Settings!$F$8,N1081&lt;M1081),"Pending",IF(AND(G1081="Applicable",H1081="Pass"),"Pass",IF(AND(G1081="N/A",H1081="N/A",J1081&lt;&gt;"",OR(E1081="CEM-FUELS",E1081="CEM-CCS",AND(E1081="CEM-PLAN",IFERROR(INDEX('Taxonomy'!$M$9:$M$108,MATCH(D1081,'Taxonomy'!$C$9:$C$108,0)),"")&lt;&gt;"Amber"),E1081="BLD-TIMBER",AND(U1081="Building equipment",OR(E1081="BLD-WATER",E1081="BLD-WASTE",E1081="BLD-LAND")),AND(U1081="Building renovation",E1081="BLD-LAND"))),"N/A","Pending"))))))</x:f>
      </x:c>
      <x:c r="Q1081" s="3" t="str">
        <x:f>IF(C1081="","",IF(AND(R1081="Valid",OR(P1081="Pass",P1081="N/A")),"Complete","Unresolved"))</x:f>
      </x:c>
      <x:c r="R1081" s="9" t="str">
        <x:f>IF(C1081="","",IF(OR(COUNTIF($C$9:$C$2008,C1081)&lt;&gt;1,COUNTIFS($D$9:$D$2008,D1081,$E$9:$E$2008,E1081)&lt;&gt;1),"Duplicate test",IF(COUNTIF('Taxonomy'!$C$9:$C$108,D1081)&lt;&gt;1,"Assessment key",IF(OR(COUNTIF('Taxonomy Rules'!$C$42:$C$68,E1081)&lt;&gt;1,F1081&lt;&gt;IFERROR(INDEX('Taxonomy Rules'!$D$42:$D$68,MATCH(E1081,'Taxonomy Rules'!$C$42:$C$68,0)),""),NOT(OR(IFERROR(INDEX('Taxonomy Rules'!$G$42:$G$68,MATCH(E1081,'Taxonomy Rules'!$C$42:$C$68,0)),"")="All supported routes",IFERROR(INDEX('Taxonomy Rules'!$G$42:$G$68,MATCH(E1081,'Taxonomy Rules'!$C$42:$C$68,0)),"")=U1081,AND(IFERROR(INDEX('Taxonomy Rules'!$G$42:$G$68,MATCH(E1081,'Taxonomy Rules'!$C$42:$C$68,0)),"")="Building routes",OR(U1081="Building renovation",U1081="New building",U1081="Building equipment"))))),"Unexpected test","Valid"))))</x:f>
      </x:c>
      <x:c r="S1081" s="9" t="str">
        <x:f>IF(C1081="","",IFERROR(INDEX('Taxonomy Rules'!$E$42:$E$68,MATCH(E1081,'Taxonomy Rules'!$C$42:$C$68,0)),""))</x:f>
      </x:c>
      <x:c r="T1081" s="9" t="str">
        <x:f>IF(C1081="","",IFERROR(INDEX('Taxonomy Rules'!$F$42:$F$68,MATCH(E1081,'Taxonomy Rules'!$C$42:$C$68,0)),""))</x:f>
      </x:c>
      <x:c r="U1081" s="9" t="str">
        <x:f>IF(C1081="","",IFERROR(INDEX('Taxonomy'!$G$9:$G$108,MATCH(D1081,'Taxonomy'!$C$9:$C$108,0)),""))</x:f>
      </x:c>
    </x:row>
    <x:row r="1082" ht="44" customHeight="1">
      <x:c r="A1082" s="1"/>
      <x:c r="B1082" s="1"/>
      <x:c r="C1082" s="8"/>
      <x:c r="D1082" s="8"/>
      <x:c r="E1082" s="8"/>
      <x:c r="F1082" s="8"/>
      <x:c r="G1082" s="8"/>
      <x:c r="H1082" s="8"/>
      <x:c r="I1082" s="8"/>
      <x:c r="J1082" s="8"/>
      <x:c r="K1082" s="8"/>
      <x:c r="L1082" s="8"/>
      <x:c r="M1082" s="10"/>
      <x:c r="N1082" s="10"/>
      <x:c r="O1082" s="8"/>
      <x:c r="P1082" s="9" t="str">
        <x:f>IF(C1082="","",IF(AND(G1082="Applicable",H1082="Fail"),"Fail",IF(R1082&lt;&gt;"Valid","Pending",IF(OR(I1082="",K1082="",L1082="",K1082=L1082,NOT(ISNUMBER(M1082)),NOT(ISNUMBER(N1082)),M1082&gt;Settings!$F$8,N1082&lt;Settings!$F$8,N1082&lt;M1082),"Pending",IF(AND(G1082="Applicable",H1082="Pass"),"Pass",IF(AND(G1082="N/A",H1082="N/A",J1082&lt;&gt;"",OR(E1082="CEM-FUELS",E1082="CEM-CCS",AND(E1082="CEM-PLAN",IFERROR(INDEX('Taxonomy'!$M$9:$M$108,MATCH(D1082,'Taxonomy'!$C$9:$C$108,0)),"")&lt;&gt;"Amber"),E1082="BLD-TIMBER",AND(U1082="Building equipment",OR(E1082="BLD-WATER",E1082="BLD-WASTE",E1082="BLD-LAND")),AND(U1082="Building renovation",E1082="BLD-LAND"))),"N/A","Pending"))))))</x:f>
      </x:c>
      <x:c r="Q1082" s="3" t="str">
        <x:f>IF(C1082="","",IF(AND(R1082="Valid",OR(P1082="Pass",P1082="N/A")),"Complete","Unresolved"))</x:f>
      </x:c>
      <x:c r="R1082" s="9" t="str">
        <x:f>IF(C1082="","",IF(OR(COUNTIF($C$9:$C$2008,C1082)&lt;&gt;1,COUNTIFS($D$9:$D$2008,D1082,$E$9:$E$2008,E1082)&lt;&gt;1),"Duplicate test",IF(COUNTIF('Taxonomy'!$C$9:$C$108,D1082)&lt;&gt;1,"Assessment key",IF(OR(COUNTIF('Taxonomy Rules'!$C$42:$C$68,E1082)&lt;&gt;1,F1082&lt;&gt;IFERROR(INDEX('Taxonomy Rules'!$D$42:$D$68,MATCH(E1082,'Taxonomy Rules'!$C$42:$C$68,0)),""),NOT(OR(IFERROR(INDEX('Taxonomy Rules'!$G$42:$G$68,MATCH(E1082,'Taxonomy Rules'!$C$42:$C$68,0)),"")="All supported routes",IFERROR(INDEX('Taxonomy Rules'!$G$42:$G$68,MATCH(E1082,'Taxonomy Rules'!$C$42:$C$68,0)),"")=U1082,AND(IFERROR(INDEX('Taxonomy Rules'!$G$42:$G$68,MATCH(E1082,'Taxonomy Rules'!$C$42:$C$68,0)),"")="Building routes",OR(U1082="Building renovation",U1082="New building",U1082="Building equipment"))))),"Unexpected test","Valid"))))</x:f>
      </x:c>
      <x:c r="S1082" s="9" t="str">
        <x:f>IF(C1082="","",IFERROR(INDEX('Taxonomy Rules'!$E$42:$E$68,MATCH(E1082,'Taxonomy Rules'!$C$42:$C$68,0)),""))</x:f>
      </x:c>
      <x:c r="T1082" s="9" t="str">
        <x:f>IF(C1082="","",IFERROR(INDEX('Taxonomy Rules'!$F$42:$F$68,MATCH(E1082,'Taxonomy Rules'!$C$42:$C$68,0)),""))</x:f>
      </x:c>
      <x:c r="U1082" s="9" t="str">
        <x:f>IF(C1082="","",IFERROR(INDEX('Taxonomy'!$G$9:$G$108,MATCH(D1082,'Taxonomy'!$C$9:$C$108,0)),""))</x:f>
      </x:c>
    </x:row>
    <x:row r="1083" ht="44" customHeight="1">
      <x:c r="A1083" s="1"/>
      <x:c r="B1083" s="1"/>
      <x:c r="C1083" s="8"/>
      <x:c r="D1083" s="8"/>
      <x:c r="E1083" s="8"/>
      <x:c r="F1083" s="8"/>
      <x:c r="G1083" s="8"/>
      <x:c r="H1083" s="8"/>
      <x:c r="I1083" s="8"/>
      <x:c r="J1083" s="8"/>
      <x:c r="K1083" s="8"/>
      <x:c r="L1083" s="8"/>
      <x:c r="M1083" s="10"/>
      <x:c r="N1083" s="10"/>
      <x:c r="O1083" s="8"/>
      <x:c r="P1083" s="9" t="str">
        <x:f>IF(C1083="","",IF(AND(G1083="Applicable",H1083="Fail"),"Fail",IF(R1083&lt;&gt;"Valid","Pending",IF(OR(I1083="",K1083="",L1083="",K1083=L1083,NOT(ISNUMBER(M1083)),NOT(ISNUMBER(N1083)),M1083&gt;Settings!$F$8,N1083&lt;Settings!$F$8,N1083&lt;M1083),"Pending",IF(AND(G1083="Applicable",H1083="Pass"),"Pass",IF(AND(G1083="N/A",H1083="N/A",J1083&lt;&gt;"",OR(E1083="CEM-FUELS",E1083="CEM-CCS",AND(E1083="CEM-PLAN",IFERROR(INDEX('Taxonomy'!$M$9:$M$108,MATCH(D1083,'Taxonomy'!$C$9:$C$108,0)),"")&lt;&gt;"Amber"),E1083="BLD-TIMBER",AND(U1083="Building equipment",OR(E1083="BLD-WATER",E1083="BLD-WASTE",E1083="BLD-LAND")),AND(U1083="Building renovation",E1083="BLD-LAND"))),"N/A","Pending"))))))</x:f>
      </x:c>
      <x:c r="Q1083" s="3" t="str">
        <x:f>IF(C1083="","",IF(AND(R1083="Valid",OR(P1083="Pass",P1083="N/A")),"Complete","Unresolved"))</x:f>
      </x:c>
      <x:c r="R1083" s="9" t="str">
        <x:f>IF(C1083="","",IF(OR(COUNTIF($C$9:$C$2008,C1083)&lt;&gt;1,COUNTIFS($D$9:$D$2008,D1083,$E$9:$E$2008,E1083)&lt;&gt;1),"Duplicate test",IF(COUNTIF('Taxonomy'!$C$9:$C$108,D1083)&lt;&gt;1,"Assessment key",IF(OR(COUNTIF('Taxonomy Rules'!$C$42:$C$68,E1083)&lt;&gt;1,F1083&lt;&gt;IFERROR(INDEX('Taxonomy Rules'!$D$42:$D$68,MATCH(E1083,'Taxonomy Rules'!$C$42:$C$68,0)),""),NOT(OR(IFERROR(INDEX('Taxonomy Rules'!$G$42:$G$68,MATCH(E1083,'Taxonomy Rules'!$C$42:$C$68,0)),"")="All supported routes",IFERROR(INDEX('Taxonomy Rules'!$G$42:$G$68,MATCH(E1083,'Taxonomy Rules'!$C$42:$C$68,0)),"")=U1083,AND(IFERROR(INDEX('Taxonomy Rules'!$G$42:$G$68,MATCH(E1083,'Taxonomy Rules'!$C$42:$C$68,0)),"")="Building routes",OR(U1083="Building renovation",U1083="New building",U1083="Building equipment"))))),"Unexpected test","Valid"))))</x:f>
      </x:c>
      <x:c r="S1083" s="9" t="str">
        <x:f>IF(C1083="","",IFERROR(INDEX('Taxonomy Rules'!$E$42:$E$68,MATCH(E1083,'Taxonomy Rules'!$C$42:$C$68,0)),""))</x:f>
      </x:c>
      <x:c r="T1083" s="9" t="str">
        <x:f>IF(C1083="","",IFERROR(INDEX('Taxonomy Rules'!$F$42:$F$68,MATCH(E1083,'Taxonomy Rules'!$C$42:$C$68,0)),""))</x:f>
      </x:c>
      <x:c r="U1083" s="9" t="str">
        <x:f>IF(C1083="","",IFERROR(INDEX('Taxonomy'!$G$9:$G$108,MATCH(D1083,'Taxonomy'!$C$9:$C$108,0)),""))</x:f>
      </x:c>
    </x:row>
    <x:row r="1084" ht="44" customHeight="1">
      <x:c r="A1084" s="1"/>
      <x:c r="B1084" s="1"/>
      <x:c r="C1084" s="8"/>
      <x:c r="D1084" s="8"/>
      <x:c r="E1084" s="8"/>
      <x:c r="F1084" s="8"/>
      <x:c r="G1084" s="8"/>
      <x:c r="H1084" s="8"/>
      <x:c r="I1084" s="8"/>
      <x:c r="J1084" s="8"/>
      <x:c r="K1084" s="8"/>
      <x:c r="L1084" s="8"/>
      <x:c r="M1084" s="10"/>
      <x:c r="N1084" s="10"/>
      <x:c r="O1084" s="8"/>
      <x:c r="P1084" s="9" t="str">
        <x:f>IF(C1084="","",IF(AND(G1084="Applicable",H1084="Fail"),"Fail",IF(R1084&lt;&gt;"Valid","Pending",IF(OR(I1084="",K1084="",L1084="",K1084=L1084,NOT(ISNUMBER(M1084)),NOT(ISNUMBER(N1084)),M1084&gt;Settings!$F$8,N1084&lt;Settings!$F$8,N1084&lt;M1084),"Pending",IF(AND(G1084="Applicable",H1084="Pass"),"Pass",IF(AND(G1084="N/A",H1084="N/A",J1084&lt;&gt;"",OR(E1084="CEM-FUELS",E1084="CEM-CCS",AND(E1084="CEM-PLAN",IFERROR(INDEX('Taxonomy'!$M$9:$M$108,MATCH(D1084,'Taxonomy'!$C$9:$C$108,0)),"")&lt;&gt;"Amber"),E1084="BLD-TIMBER",AND(U1084="Building equipment",OR(E1084="BLD-WATER",E1084="BLD-WASTE",E1084="BLD-LAND")),AND(U1084="Building renovation",E1084="BLD-LAND"))),"N/A","Pending"))))))</x:f>
      </x:c>
      <x:c r="Q1084" s="3" t="str">
        <x:f>IF(C1084="","",IF(AND(R1084="Valid",OR(P1084="Pass",P1084="N/A")),"Complete","Unresolved"))</x:f>
      </x:c>
      <x:c r="R1084" s="9" t="str">
        <x:f>IF(C1084="","",IF(OR(COUNTIF($C$9:$C$2008,C1084)&lt;&gt;1,COUNTIFS($D$9:$D$2008,D1084,$E$9:$E$2008,E1084)&lt;&gt;1),"Duplicate test",IF(COUNTIF('Taxonomy'!$C$9:$C$108,D1084)&lt;&gt;1,"Assessment key",IF(OR(COUNTIF('Taxonomy Rules'!$C$42:$C$68,E1084)&lt;&gt;1,F1084&lt;&gt;IFERROR(INDEX('Taxonomy Rules'!$D$42:$D$68,MATCH(E1084,'Taxonomy Rules'!$C$42:$C$68,0)),""),NOT(OR(IFERROR(INDEX('Taxonomy Rules'!$G$42:$G$68,MATCH(E1084,'Taxonomy Rules'!$C$42:$C$68,0)),"")="All supported routes",IFERROR(INDEX('Taxonomy Rules'!$G$42:$G$68,MATCH(E1084,'Taxonomy Rules'!$C$42:$C$68,0)),"")=U1084,AND(IFERROR(INDEX('Taxonomy Rules'!$G$42:$G$68,MATCH(E1084,'Taxonomy Rules'!$C$42:$C$68,0)),"")="Building routes",OR(U1084="Building renovation",U1084="New building",U1084="Building equipment"))))),"Unexpected test","Valid"))))</x:f>
      </x:c>
      <x:c r="S1084" s="9" t="str">
        <x:f>IF(C1084="","",IFERROR(INDEX('Taxonomy Rules'!$E$42:$E$68,MATCH(E1084,'Taxonomy Rules'!$C$42:$C$68,0)),""))</x:f>
      </x:c>
      <x:c r="T1084" s="9" t="str">
        <x:f>IF(C1084="","",IFERROR(INDEX('Taxonomy Rules'!$F$42:$F$68,MATCH(E1084,'Taxonomy Rules'!$C$42:$C$68,0)),""))</x:f>
      </x:c>
      <x:c r="U1084" s="9" t="str">
        <x:f>IF(C1084="","",IFERROR(INDEX('Taxonomy'!$G$9:$G$108,MATCH(D1084,'Taxonomy'!$C$9:$C$108,0)),""))</x:f>
      </x:c>
    </x:row>
    <x:row r="1085" ht="44" customHeight="1">
      <x:c r="A1085" s="1"/>
      <x:c r="B1085" s="1"/>
      <x:c r="C1085" s="8"/>
      <x:c r="D1085" s="8"/>
      <x:c r="E1085" s="8"/>
      <x:c r="F1085" s="8"/>
      <x:c r="G1085" s="8"/>
      <x:c r="H1085" s="8"/>
      <x:c r="I1085" s="8"/>
      <x:c r="J1085" s="8"/>
      <x:c r="K1085" s="8"/>
      <x:c r="L1085" s="8"/>
      <x:c r="M1085" s="10"/>
      <x:c r="N1085" s="10"/>
      <x:c r="O1085" s="8"/>
      <x:c r="P1085" s="9" t="str">
        <x:f>IF(C1085="","",IF(AND(G1085="Applicable",H1085="Fail"),"Fail",IF(R1085&lt;&gt;"Valid","Pending",IF(OR(I1085="",K1085="",L1085="",K1085=L1085,NOT(ISNUMBER(M1085)),NOT(ISNUMBER(N1085)),M1085&gt;Settings!$F$8,N1085&lt;Settings!$F$8,N1085&lt;M1085),"Pending",IF(AND(G1085="Applicable",H1085="Pass"),"Pass",IF(AND(G1085="N/A",H1085="N/A",J1085&lt;&gt;"",OR(E1085="CEM-FUELS",E1085="CEM-CCS",AND(E1085="CEM-PLAN",IFERROR(INDEX('Taxonomy'!$M$9:$M$108,MATCH(D1085,'Taxonomy'!$C$9:$C$108,0)),"")&lt;&gt;"Amber"),E1085="BLD-TIMBER",AND(U1085="Building equipment",OR(E1085="BLD-WATER",E1085="BLD-WASTE",E1085="BLD-LAND")),AND(U1085="Building renovation",E1085="BLD-LAND"))),"N/A","Pending"))))))</x:f>
      </x:c>
      <x:c r="Q1085" s="3" t="str">
        <x:f>IF(C1085="","",IF(AND(R1085="Valid",OR(P1085="Pass",P1085="N/A")),"Complete","Unresolved"))</x:f>
      </x:c>
      <x:c r="R1085" s="9" t="str">
        <x:f>IF(C1085="","",IF(OR(COUNTIF($C$9:$C$2008,C1085)&lt;&gt;1,COUNTIFS($D$9:$D$2008,D1085,$E$9:$E$2008,E1085)&lt;&gt;1),"Duplicate test",IF(COUNTIF('Taxonomy'!$C$9:$C$108,D1085)&lt;&gt;1,"Assessment key",IF(OR(COUNTIF('Taxonomy Rules'!$C$42:$C$68,E1085)&lt;&gt;1,F1085&lt;&gt;IFERROR(INDEX('Taxonomy Rules'!$D$42:$D$68,MATCH(E1085,'Taxonomy Rules'!$C$42:$C$68,0)),""),NOT(OR(IFERROR(INDEX('Taxonomy Rules'!$G$42:$G$68,MATCH(E1085,'Taxonomy Rules'!$C$42:$C$68,0)),"")="All supported routes",IFERROR(INDEX('Taxonomy Rules'!$G$42:$G$68,MATCH(E1085,'Taxonomy Rules'!$C$42:$C$68,0)),"")=U1085,AND(IFERROR(INDEX('Taxonomy Rules'!$G$42:$G$68,MATCH(E1085,'Taxonomy Rules'!$C$42:$C$68,0)),"")="Building routes",OR(U1085="Building renovation",U1085="New building",U1085="Building equipment"))))),"Unexpected test","Valid"))))</x:f>
      </x:c>
      <x:c r="S1085" s="9" t="str">
        <x:f>IF(C1085="","",IFERROR(INDEX('Taxonomy Rules'!$E$42:$E$68,MATCH(E1085,'Taxonomy Rules'!$C$42:$C$68,0)),""))</x:f>
      </x:c>
      <x:c r="T1085" s="9" t="str">
        <x:f>IF(C1085="","",IFERROR(INDEX('Taxonomy Rules'!$F$42:$F$68,MATCH(E1085,'Taxonomy Rules'!$C$42:$C$68,0)),""))</x:f>
      </x:c>
      <x:c r="U1085" s="9" t="str">
        <x:f>IF(C1085="","",IFERROR(INDEX('Taxonomy'!$G$9:$G$108,MATCH(D1085,'Taxonomy'!$C$9:$C$108,0)),""))</x:f>
      </x:c>
    </x:row>
    <x:row r="1086" ht="44" customHeight="1">
      <x:c r="A1086" s="1"/>
      <x:c r="B1086" s="1"/>
      <x:c r="C1086" s="8"/>
      <x:c r="D1086" s="8"/>
      <x:c r="E1086" s="8"/>
      <x:c r="F1086" s="8"/>
      <x:c r="G1086" s="8"/>
      <x:c r="H1086" s="8"/>
      <x:c r="I1086" s="8"/>
      <x:c r="J1086" s="8"/>
      <x:c r="K1086" s="8"/>
      <x:c r="L1086" s="8"/>
      <x:c r="M1086" s="10"/>
      <x:c r="N1086" s="10"/>
      <x:c r="O1086" s="8"/>
      <x:c r="P1086" s="9" t="str">
        <x:f>IF(C1086="","",IF(AND(G1086="Applicable",H1086="Fail"),"Fail",IF(R1086&lt;&gt;"Valid","Pending",IF(OR(I1086="",K1086="",L1086="",K1086=L1086,NOT(ISNUMBER(M1086)),NOT(ISNUMBER(N1086)),M1086&gt;Settings!$F$8,N1086&lt;Settings!$F$8,N1086&lt;M1086),"Pending",IF(AND(G1086="Applicable",H1086="Pass"),"Pass",IF(AND(G1086="N/A",H1086="N/A",J1086&lt;&gt;"",OR(E1086="CEM-FUELS",E1086="CEM-CCS",AND(E1086="CEM-PLAN",IFERROR(INDEX('Taxonomy'!$M$9:$M$108,MATCH(D1086,'Taxonomy'!$C$9:$C$108,0)),"")&lt;&gt;"Amber"),E1086="BLD-TIMBER",AND(U1086="Building equipment",OR(E1086="BLD-WATER",E1086="BLD-WASTE",E1086="BLD-LAND")),AND(U1086="Building renovation",E1086="BLD-LAND"))),"N/A","Pending"))))))</x:f>
      </x:c>
      <x:c r="Q1086" s="3" t="str">
        <x:f>IF(C1086="","",IF(AND(R1086="Valid",OR(P1086="Pass",P1086="N/A")),"Complete","Unresolved"))</x:f>
      </x:c>
      <x:c r="R1086" s="9" t="str">
        <x:f>IF(C1086="","",IF(OR(COUNTIF($C$9:$C$2008,C1086)&lt;&gt;1,COUNTIFS($D$9:$D$2008,D1086,$E$9:$E$2008,E1086)&lt;&gt;1),"Duplicate test",IF(COUNTIF('Taxonomy'!$C$9:$C$108,D1086)&lt;&gt;1,"Assessment key",IF(OR(COUNTIF('Taxonomy Rules'!$C$42:$C$68,E1086)&lt;&gt;1,F1086&lt;&gt;IFERROR(INDEX('Taxonomy Rules'!$D$42:$D$68,MATCH(E1086,'Taxonomy Rules'!$C$42:$C$68,0)),""),NOT(OR(IFERROR(INDEX('Taxonomy Rules'!$G$42:$G$68,MATCH(E1086,'Taxonomy Rules'!$C$42:$C$68,0)),"")="All supported routes",IFERROR(INDEX('Taxonomy Rules'!$G$42:$G$68,MATCH(E1086,'Taxonomy Rules'!$C$42:$C$68,0)),"")=U1086,AND(IFERROR(INDEX('Taxonomy Rules'!$G$42:$G$68,MATCH(E1086,'Taxonomy Rules'!$C$42:$C$68,0)),"")="Building routes",OR(U1086="Building renovation",U1086="New building",U1086="Building equipment"))))),"Unexpected test","Valid"))))</x:f>
      </x:c>
      <x:c r="S1086" s="9" t="str">
        <x:f>IF(C1086="","",IFERROR(INDEX('Taxonomy Rules'!$E$42:$E$68,MATCH(E1086,'Taxonomy Rules'!$C$42:$C$68,0)),""))</x:f>
      </x:c>
      <x:c r="T1086" s="9" t="str">
        <x:f>IF(C1086="","",IFERROR(INDEX('Taxonomy Rules'!$F$42:$F$68,MATCH(E1086,'Taxonomy Rules'!$C$42:$C$68,0)),""))</x:f>
      </x:c>
      <x:c r="U1086" s="9" t="str">
        <x:f>IF(C1086="","",IFERROR(INDEX('Taxonomy'!$G$9:$G$108,MATCH(D1086,'Taxonomy'!$C$9:$C$108,0)),""))</x:f>
      </x:c>
    </x:row>
    <x:row r="1087" ht="44" customHeight="1">
      <x:c r="A1087" s="1"/>
      <x:c r="B1087" s="1"/>
      <x:c r="C1087" s="8"/>
      <x:c r="D1087" s="8"/>
      <x:c r="E1087" s="8"/>
      <x:c r="F1087" s="8"/>
      <x:c r="G1087" s="8"/>
      <x:c r="H1087" s="8"/>
      <x:c r="I1087" s="8"/>
      <x:c r="J1087" s="8"/>
      <x:c r="K1087" s="8"/>
      <x:c r="L1087" s="8"/>
      <x:c r="M1087" s="10"/>
      <x:c r="N1087" s="10"/>
      <x:c r="O1087" s="8"/>
      <x:c r="P1087" s="9" t="str">
        <x:f>IF(C1087="","",IF(AND(G1087="Applicable",H1087="Fail"),"Fail",IF(R1087&lt;&gt;"Valid","Pending",IF(OR(I1087="",K1087="",L1087="",K1087=L1087,NOT(ISNUMBER(M1087)),NOT(ISNUMBER(N1087)),M1087&gt;Settings!$F$8,N1087&lt;Settings!$F$8,N1087&lt;M1087),"Pending",IF(AND(G1087="Applicable",H1087="Pass"),"Pass",IF(AND(G1087="N/A",H1087="N/A",J1087&lt;&gt;"",OR(E1087="CEM-FUELS",E1087="CEM-CCS",AND(E1087="CEM-PLAN",IFERROR(INDEX('Taxonomy'!$M$9:$M$108,MATCH(D1087,'Taxonomy'!$C$9:$C$108,0)),"")&lt;&gt;"Amber"),E1087="BLD-TIMBER",AND(U1087="Building equipment",OR(E1087="BLD-WATER",E1087="BLD-WASTE",E1087="BLD-LAND")),AND(U1087="Building renovation",E1087="BLD-LAND"))),"N/A","Pending"))))))</x:f>
      </x:c>
      <x:c r="Q1087" s="3" t="str">
        <x:f>IF(C1087="","",IF(AND(R1087="Valid",OR(P1087="Pass",P1087="N/A")),"Complete","Unresolved"))</x:f>
      </x:c>
      <x:c r="R1087" s="9" t="str">
        <x:f>IF(C1087="","",IF(OR(COUNTIF($C$9:$C$2008,C1087)&lt;&gt;1,COUNTIFS($D$9:$D$2008,D1087,$E$9:$E$2008,E1087)&lt;&gt;1),"Duplicate test",IF(COUNTIF('Taxonomy'!$C$9:$C$108,D1087)&lt;&gt;1,"Assessment key",IF(OR(COUNTIF('Taxonomy Rules'!$C$42:$C$68,E1087)&lt;&gt;1,F1087&lt;&gt;IFERROR(INDEX('Taxonomy Rules'!$D$42:$D$68,MATCH(E1087,'Taxonomy Rules'!$C$42:$C$68,0)),""),NOT(OR(IFERROR(INDEX('Taxonomy Rules'!$G$42:$G$68,MATCH(E1087,'Taxonomy Rules'!$C$42:$C$68,0)),"")="All supported routes",IFERROR(INDEX('Taxonomy Rules'!$G$42:$G$68,MATCH(E1087,'Taxonomy Rules'!$C$42:$C$68,0)),"")=U1087,AND(IFERROR(INDEX('Taxonomy Rules'!$G$42:$G$68,MATCH(E1087,'Taxonomy Rules'!$C$42:$C$68,0)),"")="Building routes",OR(U1087="Building renovation",U1087="New building",U1087="Building equipment"))))),"Unexpected test","Valid"))))</x:f>
      </x:c>
      <x:c r="S1087" s="9" t="str">
        <x:f>IF(C1087="","",IFERROR(INDEX('Taxonomy Rules'!$E$42:$E$68,MATCH(E1087,'Taxonomy Rules'!$C$42:$C$68,0)),""))</x:f>
      </x:c>
      <x:c r="T1087" s="9" t="str">
        <x:f>IF(C1087="","",IFERROR(INDEX('Taxonomy Rules'!$F$42:$F$68,MATCH(E1087,'Taxonomy Rules'!$C$42:$C$68,0)),""))</x:f>
      </x:c>
      <x:c r="U1087" s="9" t="str">
        <x:f>IF(C1087="","",IFERROR(INDEX('Taxonomy'!$G$9:$G$108,MATCH(D1087,'Taxonomy'!$C$9:$C$108,0)),""))</x:f>
      </x:c>
    </x:row>
    <x:row r="1088" ht="44" customHeight="1">
      <x:c r="A1088" s="1"/>
      <x:c r="B1088" s="1"/>
      <x:c r="C1088" s="8"/>
      <x:c r="D1088" s="8"/>
      <x:c r="E1088" s="8"/>
      <x:c r="F1088" s="8"/>
      <x:c r="G1088" s="8"/>
      <x:c r="H1088" s="8"/>
      <x:c r="I1088" s="8"/>
      <x:c r="J1088" s="8"/>
      <x:c r="K1088" s="8"/>
      <x:c r="L1088" s="8"/>
      <x:c r="M1088" s="10"/>
      <x:c r="N1088" s="10"/>
      <x:c r="O1088" s="8"/>
      <x:c r="P1088" s="9" t="str">
        <x:f>IF(C1088="","",IF(AND(G1088="Applicable",H1088="Fail"),"Fail",IF(R1088&lt;&gt;"Valid","Pending",IF(OR(I1088="",K1088="",L1088="",K1088=L1088,NOT(ISNUMBER(M1088)),NOT(ISNUMBER(N1088)),M1088&gt;Settings!$F$8,N1088&lt;Settings!$F$8,N1088&lt;M1088),"Pending",IF(AND(G1088="Applicable",H1088="Pass"),"Pass",IF(AND(G1088="N/A",H1088="N/A",J1088&lt;&gt;"",OR(E1088="CEM-FUELS",E1088="CEM-CCS",AND(E1088="CEM-PLAN",IFERROR(INDEX('Taxonomy'!$M$9:$M$108,MATCH(D1088,'Taxonomy'!$C$9:$C$108,0)),"")&lt;&gt;"Amber"),E1088="BLD-TIMBER",AND(U1088="Building equipment",OR(E1088="BLD-WATER",E1088="BLD-WASTE",E1088="BLD-LAND")),AND(U1088="Building renovation",E1088="BLD-LAND"))),"N/A","Pending"))))))</x:f>
      </x:c>
      <x:c r="Q1088" s="3" t="str">
        <x:f>IF(C1088="","",IF(AND(R1088="Valid",OR(P1088="Pass",P1088="N/A")),"Complete","Unresolved"))</x:f>
      </x:c>
      <x:c r="R1088" s="9" t="str">
        <x:f>IF(C1088="","",IF(OR(COUNTIF($C$9:$C$2008,C1088)&lt;&gt;1,COUNTIFS($D$9:$D$2008,D1088,$E$9:$E$2008,E1088)&lt;&gt;1),"Duplicate test",IF(COUNTIF('Taxonomy'!$C$9:$C$108,D1088)&lt;&gt;1,"Assessment key",IF(OR(COUNTIF('Taxonomy Rules'!$C$42:$C$68,E1088)&lt;&gt;1,F1088&lt;&gt;IFERROR(INDEX('Taxonomy Rules'!$D$42:$D$68,MATCH(E1088,'Taxonomy Rules'!$C$42:$C$68,0)),""),NOT(OR(IFERROR(INDEX('Taxonomy Rules'!$G$42:$G$68,MATCH(E1088,'Taxonomy Rules'!$C$42:$C$68,0)),"")="All supported routes",IFERROR(INDEX('Taxonomy Rules'!$G$42:$G$68,MATCH(E1088,'Taxonomy Rules'!$C$42:$C$68,0)),"")=U1088,AND(IFERROR(INDEX('Taxonomy Rules'!$G$42:$G$68,MATCH(E1088,'Taxonomy Rules'!$C$42:$C$68,0)),"")="Building routes",OR(U1088="Building renovation",U1088="New building",U1088="Building equipment"))))),"Unexpected test","Valid"))))</x:f>
      </x:c>
      <x:c r="S1088" s="9" t="str">
        <x:f>IF(C1088="","",IFERROR(INDEX('Taxonomy Rules'!$E$42:$E$68,MATCH(E1088,'Taxonomy Rules'!$C$42:$C$68,0)),""))</x:f>
      </x:c>
      <x:c r="T1088" s="9" t="str">
        <x:f>IF(C1088="","",IFERROR(INDEX('Taxonomy Rules'!$F$42:$F$68,MATCH(E1088,'Taxonomy Rules'!$C$42:$C$68,0)),""))</x:f>
      </x:c>
      <x:c r="U1088" s="9" t="str">
        <x:f>IF(C1088="","",IFERROR(INDEX('Taxonomy'!$G$9:$G$108,MATCH(D1088,'Taxonomy'!$C$9:$C$108,0)),""))</x:f>
      </x:c>
    </x:row>
    <x:row r="1089" ht="44" customHeight="1">
      <x:c r="A1089" s="1"/>
      <x:c r="B1089" s="1"/>
      <x:c r="C1089" s="8"/>
      <x:c r="D1089" s="8"/>
      <x:c r="E1089" s="8"/>
      <x:c r="F1089" s="8"/>
      <x:c r="G1089" s="8"/>
      <x:c r="H1089" s="8"/>
      <x:c r="I1089" s="8"/>
      <x:c r="J1089" s="8"/>
      <x:c r="K1089" s="8"/>
      <x:c r="L1089" s="8"/>
      <x:c r="M1089" s="10"/>
      <x:c r="N1089" s="10"/>
      <x:c r="O1089" s="8"/>
      <x:c r="P1089" s="9" t="str">
        <x:f>IF(C1089="","",IF(AND(G1089="Applicable",H1089="Fail"),"Fail",IF(R1089&lt;&gt;"Valid","Pending",IF(OR(I1089="",K1089="",L1089="",K1089=L1089,NOT(ISNUMBER(M1089)),NOT(ISNUMBER(N1089)),M1089&gt;Settings!$F$8,N1089&lt;Settings!$F$8,N1089&lt;M1089),"Pending",IF(AND(G1089="Applicable",H1089="Pass"),"Pass",IF(AND(G1089="N/A",H1089="N/A",J1089&lt;&gt;"",OR(E1089="CEM-FUELS",E1089="CEM-CCS",AND(E1089="CEM-PLAN",IFERROR(INDEX('Taxonomy'!$M$9:$M$108,MATCH(D1089,'Taxonomy'!$C$9:$C$108,0)),"")&lt;&gt;"Amber"),E1089="BLD-TIMBER",AND(U1089="Building equipment",OR(E1089="BLD-WATER",E1089="BLD-WASTE",E1089="BLD-LAND")),AND(U1089="Building renovation",E1089="BLD-LAND"))),"N/A","Pending"))))))</x:f>
      </x:c>
      <x:c r="Q1089" s="3" t="str">
        <x:f>IF(C1089="","",IF(AND(R1089="Valid",OR(P1089="Pass",P1089="N/A")),"Complete","Unresolved"))</x:f>
      </x:c>
      <x:c r="R1089" s="9" t="str">
        <x:f>IF(C1089="","",IF(OR(COUNTIF($C$9:$C$2008,C1089)&lt;&gt;1,COUNTIFS($D$9:$D$2008,D1089,$E$9:$E$2008,E1089)&lt;&gt;1),"Duplicate test",IF(COUNTIF('Taxonomy'!$C$9:$C$108,D1089)&lt;&gt;1,"Assessment key",IF(OR(COUNTIF('Taxonomy Rules'!$C$42:$C$68,E1089)&lt;&gt;1,F1089&lt;&gt;IFERROR(INDEX('Taxonomy Rules'!$D$42:$D$68,MATCH(E1089,'Taxonomy Rules'!$C$42:$C$68,0)),""),NOT(OR(IFERROR(INDEX('Taxonomy Rules'!$G$42:$G$68,MATCH(E1089,'Taxonomy Rules'!$C$42:$C$68,0)),"")="All supported routes",IFERROR(INDEX('Taxonomy Rules'!$G$42:$G$68,MATCH(E1089,'Taxonomy Rules'!$C$42:$C$68,0)),"")=U1089,AND(IFERROR(INDEX('Taxonomy Rules'!$G$42:$G$68,MATCH(E1089,'Taxonomy Rules'!$C$42:$C$68,0)),"")="Building routes",OR(U1089="Building renovation",U1089="New building",U1089="Building equipment"))))),"Unexpected test","Valid"))))</x:f>
      </x:c>
      <x:c r="S1089" s="9" t="str">
        <x:f>IF(C1089="","",IFERROR(INDEX('Taxonomy Rules'!$E$42:$E$68,MATCH(E1089,'Taxonomy Rules'!$C$42:$C$68,0)),""))</x:f>
      </x:c>
      <x:c r="T1089" s="9" t="str">
        <x:f>IF(C1089="","",IFERROR(INDEX('Taxonomy Rules'!$F$42:$F$68,MATCH(E1089,'Taxonomy Rules'!$C$42:$C$68,0)),""))</x:f>
      </x:c>
      <x:c r="U1089" s="9" t="str">
        <x:f>IF(C1089="","",IFERROR(INDEX('Taxonomy'!$G$9:$G$108,MATCH(D1089,'Taxonomy'!$C$9:$C$108,0)),""))</x:f>
      </x:c>
    </x:row>
    <x:row r="1090" ht="44" customHeight="1">
      <x:c r="A1090" s="1"/>
      <x:c r="B1090" s="1"/>
      <x:c r="C1090" s="8"/>
      <x:c r="D1090" s="8"/>
      <x:c r="E1090" s="8"/>
      <x:c r="F1090" s="8"/>
      <x:c r="G1090" s="8"/>
      <x:c r="H1090" s="8"/>
      <x:c r="I1090" s="8"/>
      <x:c r="J1090" s="8"/>
      <x:c r="K1090" s="8"/>
      <x:c r="L1090" s="8"/>
      <x:c r="M1090" s="10"/>
      <x:c r="N1090" s="10"/>
      <x:c r="O1090" s="8"/>
      <x:c r="P1090" s="9" t="str">
        <x:f>IF(C1090="","",IF(AND(G1090="Applicable",H1090="Fail"),"Fail",IF(R1090&lt;&gt;"Valid","Pending",IF(OR(I1090="",K1090="",L1090="",K1090=L1090,NOT(ISNUMBER(M1090)),NOT(ISNUMBER(N1090)),M1090&gt;Settings!$F$8,N1090&lt;Settings!$F$8,N1090&lt;M1090),"Pending",IF(AND(G1090="Applicable",H1090="Pass"),"Pass",IF(AND(G1090="N/A",H1090="N/A",J1090&lt;&gt;"",OR(E1090="CEM-FUELS",E1090="CEM-CCS",AND(E1090="CEM-PLAN",IFERROR(INDEX('Taxonomy'!$M$9:$M$108,MATCH(D1090,'Taxonomy'!$C$9:$C$108,0)),"")&lt;&gt;"Amber"),E1090="BLD-TIMBER",AND(U1090="Building equipment",OR(E1090="BLD-WATER",E1090="BLD-WASTE",E1090="BLD-LAND")),AND(U1090="Building renovation",E1090="BLD-LAND"))),"N/A","Pending"))))))</x:f>
      </x:c>
      <x:c r="Q1090" s="3" t="str">
        <x:f>IF(C1090="","",IF(AND(R1090="Valid",OR(P1090="Pass",P1090="N/A")),"Complete","Unresolved"))</x:f>
      </x:c>
      <x:c r="R1090" s="9" t="str">
        <x:f>IF(C1090="","",IF(OR(COUNTIF($C$9:$C$2008,C1090)&lt;&gt;1,COUNTIFS($D$9:$D$2008,D1090,$E$9:$E$2008,E1090)&lt;&gt;1),"Duplicate test",IF(COUNTIF('Taxonomy'!$C$9:$C$108,D1090)&lt;&gt;1,"Assessment key",IF(OR(COUNTIF('Taxonomy Rules'!$C$42:$C$68,E1090)&lt;&gt;1,F1090&lt;&gt;IFERROR(INDEX('Taxonomy Rules'!$D$42:$D$68,MATCH(E1090,'Taxonomy Rules'!$C$42:$C$68,0)),""),NOT(OR(IFERROR(INDEX('Taxonomy Rules'!$G$42:$G$68,MATCH(E1090,'Taxonomy Rules'!$C$42:$C$68,0)),"")="All supported routes",IFERROR(INDEX('Taxonomy Rules'!$G$42:$G$68,MATCH(E1090,'Taxonomy Rules'!$C$42:$C$68,0)),"")=U1090,AND(IFERROR(INDEX('Taxonomy Rules'!$G$42:$G$68,MATCH(E1090,'Taxonomy Rules'!$C$42:$C$68,0)),"")="Building routes",OR(U1090="Building renovation",U1090="New building",U1090="Building equipment"))))),"Unexpected test","Valid"))))</x:f>
      </x:c>
      <x:c r="S1090" s="9" t="str">
        <x:f>IF(C1090="","",IFERROR(INDEX('Taxonomy Rules'!$E$42:$E$68,MATCH(E1090,'Taxonomy Rules'!$C$42:$C$68,0)),""))</x:f>
      </x:c>
      <x:c r="T1090" s="9" t="str">
        <x:f>IF(C1090="","",IFERROR(INDEX('Taxonomy Rules'!$F$42:$F$68,MATCH(E1090,'Taxonomy Rules'!$C$42:$C$68,0)),""))</x:f>
      </x:c>
      <x:c r="U1090" s="9" t="str">
        <x:f>IF(C1090="","",IFERROR(INDEX('Taxonomy'!$G$9:$G$108,MATCH(D1090,'Taxonomy'!$C$9:$C$108,0)),""))</x:f>
      </x:c>
    </x:row>
    <x:row r="1091" ht="44" customHeight="1">
      <x:c r="A1091" s="1"/>
      <x:c r="B1091" s="1"/>
      <x:c r="C1091" s="8"/>
      <x:c r="D1091" s="8"/>
      <x:c r="E1091" s="8"/>
      <x:c r="F1091" s="8"/>
      <x:c r="G1091" s="8"/>
      <x:c r="H1091" s="8"/>
      <x:c r="I1091" s="8"/>
      <x:c r="J1091" s="8"/>
      <x:c r="K1091" s="8"/>
      <x:c r="L1091" s="8"/>
      <x:c r="M1091" s="10"/>
      <x:c r="N1091" s="10"/>
      <x:c r="O1091" s="8"/>
      <x:c r="P1091" s="9" t="str">
        <x:f>IF(C1091="","",IF(AND(G1091="Applicable",H1091="Fail"),"Fail",IF(R1091&lt;&gt;"Valid","Pending",IF(OR(I1091="",K1091="",L1091="",K1091=L1091,NOT(ISNUMBER(M1091)),NOT(ISNUMBER(N1091)),M1091&gt;Settings!$F$8,N1091&lt;Settings!$F$8,N1091&lt;M1091),"Pending",IF(AND(G1091="Applicable",H1091="Pass"),"Pass",IF(AND(G1091="N/A",H1091="N/A",J1091&lt;&gt;"",OR(E1091="CEM-FUELS",E1091="CEM-CCS",AND(E1091="CEM-PLAN",IFERROR(INDEX('Taxonomy'!$M$9:$M$108,MATCH(D1091,'Taxonomy'!$C$9:$C$108,0)),"")&lt;&gt;"Amber"),E1091="BLD-TIMBER",AND(U1091="Building equipment",OR(E1091="BLD-WATER",E1091="BLD-WASTE",E1091="BLD-LAND")),AND(U1091="Building renovation",E1091="BLD-LAND"))),"N/A","Pending"))))))</x:f>
      </x:c>
      <x:c r="Q1091" s="3" t="str">
        <x:f>IF(C1091="","",IF(AND(R1091="Valid",OR(P1091="Pass",P1091="N/A")),"Complete","Unresolved"))</x:f>
      </x:c>
      <x:c r="R1091" s="9" t="str">
        <x:f>IF(C1091="","",IF(OR(COUNTIF($C$9:$C$2008,C1091)&lt;&gt;1,COUNTIFS($D$9:$D$2008,D1091,$E$9:$E$2008,E1091)&lt;&gt;1),"Duplicate test",IF(COUNTIF('Taxonomy'!$C$9:$C$108,D1091)&lt;&gt;1,"Assessment key",IF(OR(COUNTIF('Taxonomy Rules'!$C$42:$C$68,E1091)&lt;&gt;1,F1091&lt;&gt;IFERROR(INDEX('Taxonomy Rules'!$D$42:$D$68,MATCH(E1091,'Taxonomy Rules'!$C$42:$C$68,0)),""),NOT(OR(IFERROR(INDEX('Taxonomy Rules'!$G$42:$G$68,MATCH(E1091,'Taxonomy Rules'!$C$42:$C$68,0)),"")="All supported routes",IFERROR(INDEX('Taxonomy Rules'!$G$42:$G$68,MATCH(E1091,'Taxonomy Rules'!$C$42:$C$68,0)),"")=U1091,AND(IFERROR(INDEX('Taxonomy Rules'!$G$42:$G$68,MATCH(E1091,'Taxonomy Rules'!$C$42:$C$68,0)),"")="Building routes",OR(U1091="Building renovation",U1091="New building",U1091="Building equipment"))))),"Unexpected test","Valid"))))</x:f>
      </x:c>
      <x:c r="S1091" s="9" t="str">
        <x:f>IF(C1091="","",IFERROR(INDEX('Taxonomy Rules'!$E$42:$E$68,MATCH(E1091,'Taxonomy Rules'!$C$42:$C$68,0)),""))</x:f>
      </x:c>
      <x:c r="T1091" s="9" t="str">
        <x:f>IF(C1091="","",IFERROR(INDEX('Taxonomy Rules'!$F$42:$F$68,MATCH(E1091,'Taxonomy Rules'!$C$42:$C$68,0)),""))</x:f>
      </x:c>
      <x:c r="U1091" s="9" t="str">
        <x:f>IF(C1091="","",IFERROR(INDEX('Taxonomy'!$G$9:$G$108,MATCH(D1091,'Taxonomy'!$C$9:$C$108,0)),""))</x:f>
      </x:c>
    </x:row>
    <x:row r="1092" ht="44" customHeight="1">
      <x:c r="A1092" s="1"/>
      <x:c r="B1092" s="1"/>
      <x:c r="C1092" s="8"/>
      <x:c r="D1092" s="8"/>
      <x:c r="E1092" s="8"/>
      <x:c r="F1092" s="8"/>
      <x:c r="G1092" s="8"/>
      <x:c r="H1092" s="8"/>
      <x:c r="I1092" s="8"/>
      <x:c r="J1092" s="8"/>
      <x:c r="K1092" s="8"/>
      <x:c r="L1092" s="8"/>
      <x:c r="M1092" s="10"/>
      <x:c r="N1092" s="10"/>
      <x:c r="O1092" s="8"/>
      <x:c r="P1092" s="9" t="str">
        <x:f>IF(C1092="","",IF(AND(G1092="Applicable",H1092="Fail"),"Fail",IF(R1092&lt;&gt;"Valid","Pending",IF(OR(I1092="",K1092="",L1092="",K1092=L1092,NOT(ISNUMBER(M1092)),NOT(ISNUMBER(N1092)),M1092&gt;Settings!$F$8,N1092&lt;Settings!$F$8,N1092&lt;M1092),"Pending",IF(AND(G1092="Applicable",H1092="Pass"),"Pass",IF(AND(G1092="N/A",H1092="N/A",J1092&lt;&gt;"",OR(E1092="CEM-FUELS",E1092="CEM-CCS",AND(E1092="CEM-PLAN",IFERROR(INDEX('Taxonomy'!$M$9:$M$108,MATCH(D1092,'Taxonomy'!$C$9:$C$108,0)),"")&lt;&gt;"Amber"),E1092="BLD-TIMBER",AND(U1092="Building equipment",OR(E1092="BLD-WATER",E1092="BLD-WASTE",E1092="BLD-LAND")),AND(U1092="Building renovation",E1092="BLD-LAND"))),"N/A","Pending"))))))</x:f>
      </x:c>
      <x:c r="Q1092" s="3" t="str">
        <x:f>IF(C1092="","",IF(AND(R1092="Valid",OR(P1092="Pass",P1092="N/A")),"Complete","Unresolved"))</x:f>
      </x:c>
      <x:c r="R1092" s="9" t="str">
        <x:f>IF(C1092="","",IF(OR(COUNTIF($C$9:$C$2008,C1092)&lt;&gt;1,COUNTIFS($D$9:$D$2008,D1092,$E$9:$E$2008,E1092)&lt;&gt;1),"Duplicate test",IF(COUNTIF('Taxonomy'!$C$9:$C$108,D1092)&lt;&gt;1,"Assessment key",IF(OR(COUNTIF('Taxonomy Rules'!$C$42:$C$68,E1092)&lt;&gt;1,F1092&lt;&gt;IFERROR(INDEX('Taxonomy Rules'!$D$42:$D$68,MATCH(E1092,'Taxonomy Rules'!$C$42:$C$68,0)),""),NOT(OR(IFERROR(INDEX('Taxonomy Rules'!$G$42:$G$68,MATCH(E1092,'Taxonomy Rules'!$C$42:$C$68,0)),"")="All supported routes",IFERROR(INDEX('Taxonomy Rules'!$G$42:$G$68,MATCH(E1092,'Taxonomy Rules'!$C$42:$C$68,0)),"")=U1092,AND(IFERROR(INDEX('Taxonomy Rules'!$G$42:$G$68,MATCH(E1092,'Taxonomy Rules'!$C$42:$C$68,0)),"")="Building routes",OR(U1092="Building renovation",U1092="New building",U1092="Building equipment"))))),"Unexpected test","Valid"))))</x:f>
      </x:c>
      <x:c r="S1092" s="9" t="str">
        <x:f>IF(C1092="","",IFERROR(INDEX('Taxonomy Rules'!$E$42:$E$68,MATCH(E1092,'Taxonomy Rules'!$C$42:$C$68,0)),""))</x:f>
      </x:c>
      <x:c r="T1092" s="9" t="str">
        <x:f>IF(C1092="","",IFERROR(INDEX('Taxonomy Rules'!$F$42:$F$68,MATCH(E1092,'Taxonomy Rules'!$C$42:$C$68,0)),""))</x:f>
      </x:c>
      <x:c r="U1092" s="9" t="str">
        <x:f>IF(C1092="","",IFERROR(INDEX('Taxonomy'!$G$9:$G$108,MATCH(D1092,'Taxonomy'!$C$9:$C$108,0)),""))</x:f>
      </x:c>
    </x:row>
    <x:row r="1093" ht="44" customHeight="1">
      <x:c r="A1093" s="1"/>
      <x:c r="B1093" s="1"/>
      <x:c r="C1093" s="8"/>
      <x:c r="D1093" s="8"/>
      <x:c r="E1093" s="8"/>
      <x:c r="F1093" s="8"/>
      <x:c r="G1093" s="8"/>
      <x:c r="H1093" s="8"/>
      <x:c r="I1093" s="8"/>
      <x:c r="J1093" s="8"/>
      <x:c r="K1093" s="8"/>
      <x:c r="L1093" s="8"/>
      <x:c r="M1093" s="10"/>
      <x:c r="N1093" s="10"/>
      <x:c r="O1093" s="8"/>
      <x:c r="P1093" s="9" t="str">
        <x:f>IF(C1093="","",IF(AND(G1093="Applicable",H1093="Fail"),"Fail",IF(R1093&lt;&gt;"Valid","Pending",IF(OR(I1093="",K1093="",L1093="",K1093=L1093,NOT(ISNUMBER(M1093)),NOT(ISNUMBER(N1093)),M1093&gt;Settings!$F$8,N1093&lt;Settings!$F$8,N1093&lt;M1093),"Pending",IF(AND(G1093="Applicable",H1093="Pass"),"Pass",IF(AND(G1093="N/A",H1093="N/A",J1093&lt;&gt;"",OR(E1093="CEM-FUELS",E1093="CEM-CCS",AND(E1093="CEM-PLAN",IFERROR(INDEX('Taxonomy'!$M$9:$M$108,MATCH(D1093,'Taxonomy'!$C$9:$C$108,0)),"")&lt;&gt;"Amber"),E1093="BLD-TIMBER",AND(U1093="Building equipment",OR(E1093="BLD-WATER",E1093="BLD-WASTE",E1093="BLD-LAND")),AND(U1093="Building renovation",E1093="BLD-LAND"))),"N/A","Pending"))))))</x:f>
      </x:c>
      <x:c r="Q1093" s="3" t="str">
        <x:f>IF(C1093="","",IF(AND(R1093="Valid",OR(P1093="Pass",P1093="N/A")),"Complete","Unresolved"))</x:f>
      </x:c>
      <x:c r="R1093" s="9" t="str">
        <x:f>IF(C1093="","",IF(OR(COUNTIF($C$9:$C$2008,C1093)&lt;&gt;1,COUNTIFS($D$9:$D$2008,D1093,$E$9:$E$2008,E1093)&lt;&gt;1),"Duplicate test",IF(COUNTIF('Taxonomy'!$C$9:$C$108,D1093)&lt;&gt;1,"Assessment key",IF(OR(COUNTIF('Taxonomy Rules'!$C$42:$C$68,E1093)&lt;&gt;1,F1093&lt;&gt;IFERROR(INDEX('Taxonomy Rules'!$D$42:$D$68,MATCH(E1093,'Taxonomy Rules'!$C$42:$C$68,0)),""),NOT(OR(IFERROR(INDEX('Taxonomy Rules'!$G$42:$G$68,MATCH(E1093,'Taxonomy Rules'!$C$42:$C$68,0)),"")="All supported routes",IFERROR(INDEX('Taxonomy Rules'!$G$42:$G$68,MATCH(E1093,'Taxonomy Rules'!$C$42:$C$68,0)),"")=U1093,AND(IFERROR(INDEX('Taxonomy Rules'!$G$42:$G$68,MATCH(E1093,'Taxonomy Rules'!$C$42:$C$68,0)),"")="Building routes",OR(U1093="Building renovation",U1093="New building",U1093="Building equipment"))))),"Unexpected test","Valid"))))</x:f>
      </x:c>
      <x:c r="S1093" s="9" t="str">
        <x:f>IF(C1093="","",IFERROR(INDEX('Taxonomy Rules'!$E$42:$E$68,MATCH(E1093,'Taxonomy Rules'!$C$42:$C$68,0)),""))</x:f>
      </x:c>
      <x:c r="T1093" s="9" t="str">
        <x:f>IF(C1093="","",IFERROR(INDEX('Taxonomy Rules'!$F$42:$F$68,MATCH(E1093,'Taxonomy Rules'!$C$42:$C$68,0)),""))</x:f>
      </x:c>
      <x:c r="U1093" s="9" t="str">
        <x:f>IF(C1093="","",IFERROR(INDEX('Taxonomy'!$G$9:$G$108,MATCH(D1093,'Taxonomy'!$C$9:$C$108,0)),""))</x:f>
      </x:c>
    </x:row>
    <x:row r="1094" ht="44" customHeight="1">
      <x:c r="A1094" s="1"/>
      <x:c r="B1094" s="1"/>
      <x:c r="C1094" s="8"/>
      <x:c r="D1094" s="8"/>
      <x:c r="E1094" s="8"/>
      <x:c r="F1094" s="8"/>
      <x:c r="G1094" s="8"/>
      <x:c r="H1094" s="8"/>
      <x:c r="I1094" s="8"/>
      <x:c r="J1094" s="8"/>
      <x:c r="K1094" s="8"/>
      <x:c r="L1094" s="8"/>
      <x:c r="M1094" s="10"/>
      <x:c r="N1094" s="10"/>
      <x:c r="O1094" s="8"/>
      <x:c r="P1094" s="9" t="str">
        <x:f>IF(C1094="","",IF(AND(G1094="Applicable",H1094="Fail"),"Fail",IF(R1094&lt;&gt;"Valid","Pending",IF(OR(I1094="",K1094="",L1094="",K1094=L1094,NOT(ISNUMBER(M1094)),NOT(ISNUMBER(N1094)),M1094&gt;Settings!$F$8,N1094&lt;Settings!$F$8,N1094&lt;M1094),"Pending",IF(AND(G1094="Applicable",H1094="Pass"),"Pass",IF(AND(G1094="N/A",H1094="N/A",J1094&lt;&gt;"",OR(E1094="CEM-FUELS",E1094="CEM-CCS",AND(E1094="CEM-PLAN",IFERROR(INDEX('Taxonomy'!$M$9:$M$108,MATCH(D1094,'Taxonomy'!$C$9:$C$108,0)),"")&lt;&gt;"Amber"),E1094="BLD-TIMBER",AND(U1094="Building equipment",OR(E1094="BLD-WATER",E1094="BLD-WASTE",E1094="BLD-LAND")),AND(U1094="Building renovation",E1094="BLD-LAND"))),"N/A","Pending"))))))</x:f>
      </x:c>
      <x:c r="Q1094" s="3" t="str">
        <x:f>IF(C1094="","",IF(AND(R1094="Valid",OR(P1094="Pass",P1094="N/A")),"Complete","Unresolved"))</x:f>
      </x:c>
      <x:c r="R1094" s="9" t="str">
        <x:f>IF(C1094="","",IF(OR(COUNTIF($C$9:$C$2008,C1094)&lt;&gt;1,COUNTIFS($D$9:$D$2008,D1094,$E$9:$E$2008,E1094)&lt;&gt;1),"Duplicate test",IF(COUNTIF('Taxonomy'!$C$9:$C$108,D1094)&lt;&gt;1,"Assessment key",IF(OR(COUNTIF('Taxonomy Rules'!$C$42:$C$68,E1094)&lt;&gt;1,F1094&lt;&gt;IFERROR(INDEX('Taxonomy Rules'!$D$42:$D$68,MATCH(E1094,'Taxonomy Rules'!$C$42:$C$68,0)),""),NOT(OR(IFERROR(INDEX('Taxonomy Rules'!$G$42:$G$68,MATCH(E1094,'Taxonomy Rules'!$C$42:$C$68,0)),"")="All supported routes",IFERROR(INDEX('Taxonomy Rules'!$G$42:$G$68,MATCH(E1094,'Taxonomy Rules'!$C$42:$C$68,0)),"")=U1094,AND(IFERROR(INDEX('Taxonomy Rules'!$G$42:$G$68,MATCH(E1094,'Taxonomy Rules'!$C$42:$C$68,0)),"")="Building routes",OR(U1094="Building renovation",U1094="New building",U1094="Building equipment"))))),"Unexpected test","Valid"))))</x:f>
      </x:c>
      <x:c r="S1094" s="9" t="str">
        <x:f>IF(C1094="","",IFERROR(INDEX('Taxonomy Rules'!$E$42:$E$68,MATCH(E1094,'Taxonomy Rules'!$C$42:$C$68,0)),""))</x:f>
      </x:c>
      <x:c r="T1094" s="9" t="str">
        <x:f>IF(C1094="","",IFERROR(INDEX('Taxonomy Rules'!$F$42:$F$68,MATCH(E1094,'Taxonomy Rules'!$C$42:$C$68,0)),""))</x:f>
      </x:c>
      <x:c r="U1094" s="9" t="str">
        <x:f>IF(C1094="","",IFERROR(INDEX('Taxonomy'!$G$9:$G$108,MATCH(D1094,'Taxonomy'!$C$9:$C$108,0)),""))</x:f>
      </x:c>
    </x:row>
    <x:row r="1095" ht="44" customHeight="1">
      <x:c r="A1095" s="1"/>
      <x:c r="B1095" s="1"/>
      <x:c r="C1095" s="8"/>
      <x:c r="D1095" s="8"/>
      <x:c r="E1095" s="8"/>
      <x:c r="F1095" s="8"/>
      <x:c r="G1095" s="8"/>
      <x:c r="H1095" s="8"/>
      <x:c r="I1095" s="8"/>
      <x:c r="J1095" s="8"/>
      <x:c r="K1095" s="8"/>
      <x:c r="L1095" s="8"/>
      <x:c r="M1095" s="10"/>
      <x:c r="N1095" s="10"/>
      <x:c r="O1095" s="8"/>
      <x:c r="P1095" s="9" t="str">
        <x:f>IF(C1095="","",IF(AND(G1095="Applicable",H1095="Fail"),"Fail",IF(R1095&lt;&gt;"Valid","Pending",IF(OR(I1095="",K1095="",L1095="",K1095=L1095,NOT(ISNUMBER(M1095)),NOT(ISNUMBER(N1095)),M1095&gt;Settings!$F$8,N1095&lt;Settings!$F$8,N1095&lt;M1095),"Pending",IF(AND(G1095="Applicable",H1095="Pass"),"Pass",IF(AND(G1095="N/A",H1095="N/A",J1095&lt;&gt;"",OR(E1095="CEM-FUELS",E1095="CEM-CCS",AND(E1095="CEM-PLAN",IFERROR(INDEX('Taxonomy'!$M$9:$M$108,MATCH(D1095,'Taxonomy'!$C$9:$C$108,0)),"")&lt;&gt;"Amber"),E1095="BLD-TIMBER",AND(U1095="Building equipment",OR(E1095="BLD-WATER",E1095="BLD-WASTE",E1095="BLD-LAND")),AND(U1095="Building renovation",E1095="BLD-LAND"))),"N/A","Pending"))))))</x:f>
      </x:c>
      <x:c r="Q1095" s="3" t="str">
        <x:f>IF(C1095="","",IF(AND(R1095="Valid",OR(P1095="Pass",P1095="N/A")),"Complete","Unresolved"))</x:f>
      </x:c>
      <x:c r="R1095" s="9" t="str">
        <x:f>IF(C1095="","",IF(OR(COUNTIF($C$9:$C$2008,C1095)&lt;&gt;1,COUNTIFS($D$9:$D$2008,D1095,$E$9:$E$2008,E1095)&lt;&gt;1),"Duplicate test",IF(COUNTIF('Taxonomy'!$C$9:$C$108,D1095)&lt;&gt;1,"Assessment key",IF(OR(COUNTIF('Taxonomy Rules'!$C$42:$C$68,E1095)&lt;&gt;1,F1095&lt;&gt;IFERROR(INDEX('Taxonomy Rules'!$D$42:$D$68,MATCH(E1095,'Taxonomy Rules'!$C$42:$C$68,0)),""),NOT(OR(IFERROR(INDEX('Taxonomy Rules'!$G$42:$G$68,MATCH(E1095,'Taxonomy Rules'!$C$42:$C$68,0)),"")="All supported routes",IFERROR(INDEX('Taxonomy Rules'!$G$42:$G$68,MATCH(E1095,'Taxonomy Rules'!$C$42:$C$68,0)),"")=U1095,AND(IFERROR(INDEX('Taxonomy Rules'!$G$42:$G$68,MATCH(E1095,'Taxonomy Rules'!$C$42:$C$68,0)),"")="Building routes",OR(U1095="Building renovation",U1095="New building",U1095="Building equipment"))))),"Unexpected test","Valid"))))</x:f>
      </x:c>
      <x:c r="S1095" s="9" t="str">
        <x:f>IF(C1095="","",IFERROR(INDEX('Taxonomy Rules'!$E$42:$E$68,MATCH(E1095,'Taxonomy Rules'!$C$42:$C$68,0)),""))</x:f>
      </x:c>
      <x:c r="T1095" s="9" t="str">
        <x:f>IF(C1095="","",IFERROR(INDEX('Taxonomy Rules'!$F$42:$F$68,MATCH(E1095,'Taxonomy Rules'!$C$42:$C$68,0)),""))</x:f>
      </x:c>
      <x:c r="U1095" s="9" t="str">
        <x:f>IF(C1095="","",IFERROR(INDEX('Taxonomy'!$G$9:$G$108,MATCH(D1095,'Taxonomy'!$C$9:$C$108,0)),""))</x:f>
      </x:c>
    </x:row>
    <x:row r="1096" ht="44" customHeight="1">
      <x:c r="A1096" s="1"/>
      <x:c r="B1096" s="1"/>
      <x:c r="C1096" s="8"/>
      <x:c r="D1096" s="8"/>
      <x:c r="E1096" s="8"/>
      <x:c r="F1096" s="8"/>
      <x:c r="G1096" s="8"/>
      <x:c r="H1096" s="8"/>
      <x:c r="I1096" s="8"/>
      <x:c r="J1096" s="8"/>
      <x:c r="K1096" s="8"/>
      <x:c r="L1096" s="8"/>
      <x:c r="M1096" s="10"/>
      <x:c r="N1096" s="10"/>
      <x:c r="O1096" s="8"/>
      <x:c r="P1096" s="9" t="str">
        <x:f>IF(C1096="","",IF(AND(G1096="Applicable",H1096="Fail"),"Fail",IF(R1096&lt;&gt;"Valid","Pending",IF(OR(I1096="",K1096="",L1096="",K1096=L1096,NOT(ISNUMBER(M1096)),NOT(ISNUMBER(N1096)),M1096&gt;Settings!$F$8,N1096&lt;Settings!$F$8,N1096&lt;M1096),"Pending",IF(AND(G1096="Applicable",H1096="Pass"),"Pass",IF(AND(G1096="N/A",H1096="N/A",J1096&lt;&gt;"",OR(E1096="CEM-FUELS",E1096="CEM-CCS",AND(E1096="CEM-PLAN",IFERROR(INDEX('Taxonomy'!$M$9:$M$108,MATCH(D1096,'Taxonomy'!$C$9:$C$108,0)),"")&lt;&gt;"Amber"),E1096="BLD-TIMBER",AND(U1096="Building equipment",OR(E1096="BLD-WATER",E1096="BLD-WASTE",E1096="BLD-LAND")),AND(U1096="Building renovation",E1096="BLD-LAND"))),"N/A","Pending"))))))</x:f>
      </x:c>
      <x:c r="Q1096" s="3" t="str">
        <x:f>IF(C1096="","",IF(AND(R1096="Valid",OR(P1096="Pass",P1096="N/A")),"Complete","Unresolved"))</x:f>
      </x:c>
      <x:c r="R1096" s="9" t="str">
        <x:f>IF(C1096="","",IF(OR(COUNTIF($C$9:$C$2008,C1096)&lt;&gt;1,COUNTIFS($D$9:$D$2008,D1096,$E$9:$E$2008,E1096)&lt;&gt;1),"Duplicate test",IF(COUNTIF('Taxonomy'!$C$9:$C$108,D1096)&lt;&gt;1,"Assessment key",IF(OR(COUNTIF('Taxonomy Rules'!$C$42:$C$68,E1096)&lt;&gt;1,F1096&lt;&gt;IFERROR(INDEX('Taxonomy Rules'!$D$42:$D$68,MATCH(E1096,'Taxonomy Rules'!$C$42:$C$68,0)),""),NOT(OR(IFERROR(INDEX('Taxonomy Rules'!$G$42:$G$68,MATCH(E1096,'Taxonomy Rules'!$C$42:$C$68,0)),"")="All supported routes",IFERROR(INDEX('Taxonomy Rules'!$G$42:$G$68,MATCH(E1096,'Taxonomy Rules'!$C$42:$C$68,0)),"")=U1096,AND(IFERROR(INDEX('Taxonomy Rules'!$G$42:$G$68,MATCH(E1096,'Taxonomy Rules'!$C$42:$C$68,0)),"")="Building routes",OR(U1096="Building renovation",U1096="New building",U1096="Building equipment"))))),"Unexpected test","Valid"))))</x:f>
      </x:c>
      <x:c r="S1096" s="9" t="str">
        <x:f>IF(C1096="","",IFERROR(INDEX('Taxonomy Rules'!$E$42:$E$68,MATCH(E1096,'Taxonomy Rules'!$C$42:$C$68,0)),""))</x:f>
      </x:c>
      <x:c r="T1096" s="9" t="str">
        <x:f>IF(C1096="","",IFERROR(INDEX('Taxonomy Rules'!$F$42:$F$68,MATCH(E1096,'Taxonomy Rules'!$C$42:$C$68,0)),""))</x:f>
      </x:c>
      <x:c r="U1096" s="9" t="str">
        <x:f>IF(C1096="","",IFERROR(INDEX('Taxonomy'!$G$9:$G$108,MATCH(D1096,'Taxonomy'!$C$9:$C$108,0)),""))</x:f>
      </x:c>
    </x:row>
    <x:row r="1097" ht="44" customHeight="1">
      <x:c r="A1097" s="1"/>
      <x:c r="B1097" s="1"/>
      <x:c r="C1097" s="8"/>
      <x:c r="D1097" s="8"/>
      <x:c r="E1097" s="8"/>
      <x:c r="F1097" s="8"/>
      <x:c r="G1097" s="8"/>
      <x:c r="H1097" s="8"/>
      <x:c r="I1097" s="8"/>
      <x:c r="J1097" s="8"/>
      <x:c r="K1097" s="8"/>
      <x:c r="L1097" s="8"/>
      <x:c r="M1097" s="10"/>
      <x:c r="N1097" s="10"/>
      <x:c r="O1097" s="8"/>
      <x:c r="P1097" s="9" t="str">
        <x:f>IF(C1097="","",IF(AND(G1097="Applicable",H1097="Fail"),"Fail",IF(R1097&lt;&gt;"Valid","Pending",IF(OR(I1097="",K1097="",L1097="",K1097=L1097,NOT(ISNUMBER(M1097)),NOT(ISNUMBER(N1097)),M1097&gt;Settings!$F$8,N1097&lt;Settings!$F$8,N1097&lt;M1097),"Pending",IF(AND(G1097="Applicable",H1097="Pass"),"Pass",IF(AND(G1097="N/A",H1097="N/A",J1097&lt;&gt;"",OR(E1097="CEM-FUELS",E1097="CEM-CCS",AND(E1097="CEM-PLAN",IFERROR(INDEX('Taxonomy'!$M$9:$M$108,MATCH(D1097,'Taxonomy'!$C$9:$C$108,0)),"")&lt;&gt;"Amber"),E1097="BLD-TIMBER",AND(U1097="Building equipment",OR(E1097="BLD-WATER",E1097="BLD-WASTE",E1097="BLD-LAND")),AND(U1097="Building renovation",E1097="BLD-LAND"))),"N/A","Pending"))))))</x:f>
      </x:c>
      <x:c r="Q1097" s="3" t="str">
        <x:f>IF(C1097="","",IF(AND(R1097="Valid",OR(P1097="Pass",P1097="N/A")),"Complete","Unresolved"))</x:f>
      </x:c>
      <x:c r="R1097" s="9" t="str">
        <x:f>IF(C1097="","",IF(OR(COUNTIF($C$9:$C$2008,C1097)&lt;&gt;1,COUNTIFS($D$9:$D$2008,D1097,$E$9:$E$2008,E1097)&lt;&gt;1),"Duplicate test",IF(COUNTIF('Taxonomy'!$C$9:$C$108,D1097)&lt;&gt;1,"Assessment key",IF(OR(COUNTIF('Taxonomy Rules'!$C$42:$C$68,E1097)&lt;&gt;1,F1097&lt;&gt;IFERROR(INDEX('Taxonomy Rules'!$D$42:$D$68,MATCH(E1097,'Taxonomy Rules'!$C$42:$C$68,0)),""),NOT(OR(IFERROR(INDEX('Taxonomy Rules'!$G$42:$G$68,MATCH(E1097,'Taxonomy Rules'!$C$42:$C$68,0)),"")="All supported routes",IFERROR(INDEX('Taxonomy Rules'!$G$42:$G$68,MATCH(E1097,'Taxonomy Rules'!$C$42:$C$68,0)),"")=U1097,AND(IFERROR(INDEX('Taxonomy Rules'!$G$42:$G$68,MATCH(E1097,'Taxonomy Rules'!$C$42:$C$68,0)),"")="Building routes",OR(U1097="Building renovation",U1097="New building",U1097="Building equipment"))))),"Unexpected test","Valid"))))</x:f>
      </x:c>
      <x:c r="S1097" s="9" t="str">
        <x:f>IF(C1097="","",IFERROR(INDEX('Taxonomy Rules'!$E$42:$E$68,MATCH(E1097,'Taxonomy Rules'!$C$42:$C$68,0)),""))</x:f>
      </x:c>
      <x:c r="T1097" s="9" t="str">
        <x:f>IF(C1097="","",IFERROR(INDEX('Taxonomy Rules'!$F$42:$F$68,MATCH(E1097,'Taxonomy Rules'!$C$42:$C$68,0)),""))</x:f>
      </x:c>
      <x:c r="U1097" s="9" t="str">
        <x:f>IF(C1097="","",IFERROR(INDEX('Taxonomy'!$G$9:$G$108,MATCH(D1097,'Taxonomy'!$C$9:$C$108,0)),""))</x:f>
      </x:c>
    </x:row>
    <x:row r="1098" ht="44" customHeight="1">
      <x:c r="A1098" s="1"/>
      <x:c r="B1098" s="1"/>
      <x:c r="C1098" s="8"/>
      <x:c r="D1098" s="8"/>
      <x:c r="E1098" s="8"/>
      <x:c r="F1098" s="8"/>
      <x:c r="G1098" s="8"/>
      <x:c r="H1098" s="8"/>
      <x:c r="I1098" s="8"/>
      <x:c r="J1098" s="8"/>
      <x:c r="K1098" s="8"/>
      <x:c r="L1098" s="8"/>
      <x:c r="M1098" s="10"/>
      <x:c r="N1098" s="10"/>
      <x:c r="O1098" s="8"/>
      <x:c r="P1098" s="9" t="str">
        <x:f>IF(C1098="","",IF(AND(G1098="Applicable",H1098="Fail"),"Fail",IF(R1098&lt;&gt;"Valid","Pending",IF(OR(I1098="",K1098="",L1098="",K1098=L1098,NOT(ISNUMBER(M1098)),NOT(ISNUMBER(N1098)),M1098&gt;Settings!$F$8,N1098&lt;Settings!$F$8,N1098&lt;M1098),"Pending",IF(AND(G1098="Applicable",H1098="Pass"),"Pass",IF(AND(G1098="N/A",H1098="N/A",J1098&lt;&gt;"",OR(E1098="CEM-FUELS",E1098="CEM-CCS",AND(E1098="CEM-PLAN",IFERROR(INDEX('Taxonomy'!$M$9:$M$108,MATCH(D1098,'Taxonomy'!$C$9:$C$108,0)),"")&lt;&gt;"Amber"),E1098="BLD-TIMBER",AND(U1098="Building equipment",OR(E1098="BLD-WATER",E1098="BLD-WASTE",E1098="BLD-LAND")),AND(U1098="Building renovation",E1098="BLD-LAND"))),"N/A","Pending"))))))</x:f>
      </x:c>
      <x:c r="Q1098" s="3" t="str">
        <x:f>IF(C1098="","",IF(AND(R1098="Valid",OR(P1098="Pass",P1098="N/A")),"Complete","Unresolved"))</x:f>
      </x:c>
      <x:c r="R1098" s="9" t="str">
        <x:f>IF(C1098="","",IF(OR(COUNTIF($C$9:$C$2008,C1098)&lt;&gt;1,COUNTIFS($D$9:$D$2008,D1098,$E$9:$E$2008,E1098)&lt;&gt;1),"Duplicate test",IF(COUNTIF('Taxonomy'!$C$9:$C$108,D1098)&lt;&gt;1,"Assessment key",IF(OR(COUNTIF('Taxonomy Rules'!$C$42:$C$68,E1098)&lt;&gt;1,F1098&lt;&gt;IFERROR(INDEX('Taxonomy Rules'!$D$42:$D$68,MATCH(E1098,'Taxonomy Rules'!$C$42:$C$68,0)),""),NOT(OR(IFERROR(INDEX('Taxonomy Rules'!$G$42:$G$68,MATCH(E1098,'Taxonomy Rules'!$C$42:$C$68,0)),"")="All supported routes",IFERROR(INDEX('Taxonomy Rules'!$G$42:$G$68,MATCH(E1098,'Taxonomy Rules'!$C$42:$C$68,0)),"")=U1098,AND(IFERROR(INDEX('Taxonomy Rules'!$G$42:$G$68,MATCH(E1098,'Taxonomy Rules'!$C$42:$C$68,0)),"")="Building routes",OR(U1098="Building renovation",U1098="New building",U1098="Building equipment"))))),"Unexpected test","Valid"))))</x:f>
      </x:c>
      <x:c r="S1098" s="9" t="str">
        <x:f>IF(C1098="","",IFERROR(INDEX('Taxonomy Rules'!$E$42:$E$68,MATCH(E1098,'Taxonomy Rules'!$C$42:$C$68,0)),""))</x:f>
      </x:c>
      <x:c r="T1098" s="9" t="str">
        <x:f>IF(C1098="","",IFERROR(INDEX('Taxonomy Rules'!$F$42:$F$68,MATCH(E1098,'Taxonomy Rules'!$C$42:$C$68,0)),""))</x:f>
      </x:c>
      <x:c r="U1098" s="9" t="str">
        <x:f>IF(C1098="","",IFERROR(INDEX('Taxonomy'!$G$9:$G$108,MATCH(D1098,'Taxonomy'!$C$9:$C$108,0)),""))</x:f>
      </x:c>
    </x:row>
    <x:row r="1099" ht="44" customHeight="1">
      <x:c r="A1099" s="1"/>
      <x:c r="B1099" s="1"/>
      <x:c r="C1099" s="8"/>
      <x:c r="D1099" s="8"/>
      <x:c r="E1099" s="8"/>
      <x:c r="F1099" s="8"/>
      <x:c r="G1099" s="8"/>
      <x:c r="H1099" s="8"/>
      <x:c r="I1099" s="8"/>
      <x:c r="J1099" s="8"/>
      <x:c r="K1099" s="8"/>
      <x:c r="L1099" s="8"/>
      <x:c r="M1099" s="10"/>
      <x:c r="N1099" s="10"/>
      <x:c r="O1099" s="8"/>
      <x:c r="P1099" s="9" t="str">
        <x:f>IF(C1099="","",IF(AND(G1099="Applicable",H1099="Fail"),"Fail",IF(R1099&lt;&gt;"Valid","Pending",IF(OR(I1099="",K1099="",L1099="",K1099=L1099,NOT(ISNUMBER(M1099)),NOT(ISNUMBER(N1099)),M1099&gt;Settings!$F$8,N1099&lt;Settings!$F$8,N1099&lt;M1099),"Pending",IF(AND(G1099="Applicable",H1099="Pass"),"Pass",IF(AND(G1099="N/A",H1099="N/A",J1099&lt;&gt;"",OR(E1099="CEM-FUELS",E1099="CEM-CCS",AND(E1099="CEM-PLAN",IFERROR(INDEX('Taxonomy'!$M$9:$M$108,MATCH(D1099,'Taxonomy'!$C$9:$C$108,0)),"")&lt;&gt;"Amber"),E1099="BLD-TIMBER",AND(U1099="Building equipment",OR(E1099="BLD-WATER",E1099="BLD-WASTE",E1099="BLD-LAND")),AND(U1099="Building renovation",E1099="BLD-LAND"))),"N/A","Pending"))))))</x:f>
      </x:c>
      <x:c r="Q1099" s="3" t="str">
        <x:f>IF(C1099="","",IF(AND(R1099="Valid",OR(P1099="Pass",P1099="N/A")),"Complete","Unresolved"))</x:f>
      </x:c>
      <x:c r="R1099" s="9" t="str">
        <x:f>IF(C1099="","",IF(OR(COUNTIF($C$9:$C$2008,C1099)&lt;&gt;1,COUNTIFS($D$9:$D$2008,D1099,$E$9:$E$2008,E1099)&lt;&gt;1),"Duplicate test",IF(COUNTIF('Taxonomy'!$C$9:$C$108,D1099)&lt;&gt;1,"Assessment key",IF(OR(COUNTIF('Taxonomy Rules'!$C$42:$C$68,E1099)&lt;&gt;1,F1099&lt;&gt;IFERROR(INDEX('Taxonomy Rules'!$D$42:$D$68,MATCH(E1099,'Taxonomy Rules'!$C$42:$C$68,0)),""),NOT(OR(IFERROR(INDEX('Taxonomy Rules'!$G$42:$G$68,MATCH(E1099,'Taxonomy Rules'!$C$42:$C$68,0)),"")="All supported routes",IFERROR(INDEX('Taxonomy Rules'!$G$42:$G$68,MATCH(E1099,'Taxonomy Rules'!$C$42:$C$68,0)),"")=U1099,AND(IFERROR(INDEX('Taxonomy Rules'!$G$42:$G$68,MATCH(E1099,'Taxonomy Rules'!$C$42:$C$68,0)),"")="Building routes",OR(U1099="Building renovation",U1099="New building",U1099="Building equipment"))))),"Unexpected test","Valid"))))</x:f>
      </x:c>
      <x:c r="S1099" s="9" t="str">
        <x:f>IF(C1099="","",IFERROR(INDEX('Taxonomy Rules'!$E$42:$E$68,MATCH(E1099,'Taxonomy Rules'!$C$42:$C$68,0)),""))</x:f>
      </x:c>
      <x:c r="T1099" s="9" t="str">
        <x:f>IF(C1099="","",IFERROR(INDEX('Taxonomy Rules'!$F$42:$F$68,MATCH(E1099,'Taxonomy Rules'!$C$42:$C$68,0)),""))</x:f>
      </x:c>
      <x:c r="U1099" s="9" t="str">
        <x:f>IF(C1099="","",IFERROR(INDEX('Taxonomy'!$G$9:$G$108,MATCH(D1099,'Taxonomy'!$C$9:$C$108,0)),""))</x:f>
      </x:c>
    </x:row>
    <x:row r="1100" ht="44" customHeight="1">
      <x:c r="A1100" s="1"/>
      <x:c r="B1100" s="1"/>
      <x:c r="C1100" s="8"/>
      <x:c r="D1100" s="8"/>
      <x:c r="E1100" s="8"/>
      <x:c r="F1100" s="8"/>
      <x:c r="G1100" s="8"/>
      <x:c r="H1100" s="8"/>
      <x:c r="I1100" s="8"/>
      <x:c r="J1100" s="8"/>
      <x:c r="K1100" s="8"/>
      <x:c r="L1100" s="8"/>
      <x:c r="M1100" s="10"/>
      <x:c r="N1100" s="10"/>
      <x:c r="O1100" s="8"/>
      <x:c r="P1100" s="9" t="str">
        <x:f>IF(C1100="","",IF(AND(G1100="Applicable",H1100="Fail"),"Fail",IF(R1100&lt;&gt;"Valid","Pending",IF(OR(I1100="",K1100="",L1100="",K1100=L1100,NOT(ISNUMBER(M1100)),NOT(ISNUMBER(N1100)),M1100&gt;Settings!$F$8,N1100&lt;Settings!$F$8,N1100&lt;M1100),"Pending",IF(AND(G1100="Applicable",H1100="Pass"),"Pass",IF(AND(G1100="N/A",H1100="N/A",J1100&lt;&gt;"",OR(E1100="CEM-FUELS",E1100="CEM-CCS",AND(E1100="CEM-PLAN",IFERROR(INDEX('Taxonomy'!$M$9:$M$108,MATCH(D1100,'Taxonomy'!$C$9:$C$108,0)),"")&lt;&gt;"Amber"),E1100="BLD-TIMBER",AND(U1100="Building equipment",OR(E1100="BLD-WATER",E1100="BLD-WASTE",E1100="BLD-LAND")),AND(U1100="Building renovation",E1100="BLD-LAND"))),"N/A","Pending"))))))</x:f>
      </x:c>
      <x:c r="Q1100" s="3" t="str">
        <x:f>IF(C1100="","",IF(AND(R1100="Valid",OR(P1100="Pass",P1100="N/A")),"Complete","Unresolved"))</x:f>
      </x:c>
      <x:c r="R1100" s="9" t="str">
        <x:f>IF(C1100="","",IF(OR(COUNTIF($C$9:$C$2008,C1100)&lt;&gt;1,COUNTIFS($D$9:$D$2008,D1100,$E$9:$E$2008,E1100)&lt;&gt;1),"Duplicate test",IF(COUNTIF('Taxonomy'!$C$9:$C$108,D1100)&lt;&gt;1,"Assessment key",IF(OR(COUNTIF('Taxonomy Rules'!$C$42:$C$68,E1100)&lt;&gt;1,F1100&lt;&gt;IFERROR(INDEX('Taxonomy Rules'!$D$42:$D$68,MATCH(E1100,'Taxonomy Rules'!$C$42:$C$68,0)),""),NOT(OR(IFERROR(INDEX('Taxonomy Rules'!$G$42:$G$68,MATCH(E1100,'Taxonomy Rules'!$C$42:$C$68,0)),"")="All supported routes",IFERROR(INDEX('Taxonomy Rules'!$G$42:$G$68,MATCH(E1100,'Taxonomy Rules'!$C$42:$C$68,0)),"")=U1100,AND(IFERROR(INDEX('Taxonomy Rules'!$G$42:$G$68,MATCH(E1100,'Taxonomy Rules'!$C$42:$C$68,0)),"")="Building routes",OR(U1100="Building renovation",U1100="New building",U1100="Building equipment"))))),"Unexpected test","Valid"))))</x:f>
      </x:c>
      <x:c r="S1100" s="9" t="str">
        <x:f>IF(C1100="","",IFERROR(INDEX('Taxonomy Rules'!$E$42:$E$68,MATCH(E1100,'Taxonomy Rules'!$C$42:$C$68,0)),""))</x:f>
      </x:c>
      <x:c r="T1100" s="9" t="str">
        <x:f>IF(C1100="","",IFERROR(INDEX('Taxonomy Rules'!$F$42:$F$68,MATCH(E1100,'Taxonomy Rules'!$C$42:$C$68,0)),""))</x:f>
      </x:c>
      <x:c r="U1100" s="9" t="str">
        <x:f>IF(C1100="","",IFERROR(INDEX('Taxonomy'!$G$9:$G$108,MATCH(D1100,'Taxonomy'!$C$9:$C$108,0)),""))</x:f>
      </x:c>
    </x:row>
    <x:row r="1101" ht="44" customHeight="1">
      <x:c r="A1101" s="1"/>
      <x:c r="B1101" s="1"/>
      <x:c r="C1101" s="8"/>
      <x:c r="D1101" s="8"/>
      <x:c r="E1101" s="8"/>
      <x:c r="F1101" s="8"/>
      <x:c r="G1101" s="8"/>
      <x:c r="H1101" s="8"/>
      <x:c r="I1101" s="8"/>
      <x:c r="J1101" s="8"/>
      <x:c r="K1101" s="8"/>
      <x:c r="L1101" s="8"/>
      <x:c r="M1101" s="10"/>
      <x:c r="N1101" s="10"/>
      <x:c r="O1101" s="8"/>
      <x:c r="P1101" s="9" t="str">
        <x:f>IF(C1101="","",IF(AND(G1101="Applicable",H1101="Fail"),"Fail",IF(R1101&lt;&gt;"Valid","Pending",IF(OR(I1101="",K1101="",L1101="",K1101=L1101,NOT(ISNUMBER(M1101)),NOT(ISNUMBER(N1101)),M1101&gt;Settings!$F$8,N1101&lt;Settings!$F$8,N1101&lt;M1101),"Pending",IF(AND(G1101="Applicable",H1101="Pass"),"Pass",IF(AND(G1101="N/A",H1101="N/A",J1101&lt;&gt;"",OR(E1101="CEM-FUELS",E1101="CEM-CCS",AND(E1101="CEM-PLAN",IFERROR(INDEX('Taxonomy'!$M$9:$M$108,MATCH(D1101,'Taxonomy'!$C$9:$C$108,0)),"")&lt;&gt;"Amber"),E1101="BLD-TIMBER",AND(U1101="Building equipment",OR(E1101="BLD-WATER",E1101="BLD-WASTE",E1101="BLD-LAND")),AND(U1101="Building renovation",E1101="BLD-LAND"))),"N/A","Pending"))))))</x:f>
      </x:c>
      <x:c r="Q1101" s="3" t="str">
        <x:f>IF(C1101="","",IF(AND(R1101="Valid",OR(P1101="Pass",P1101="N/A")),"Complete","Unresolved"))</x:f>
      </x:c>
      <x:c r="R1101" s="9" t="str">
        <x:f>IF(C1101="","",IF(OR(COUNTIF($C$9:$C$2008,C1101)&lt;&gt;1,COUNTIFS($D$9:$D$2008,D1101,$E$9:$E$2008,E1101)&lt;&gt;1),"Duplicate test",IF(COUNTIF('Taxonomy'!$C$9:$C$108,D1101)&lt;&gt;1,"Assessment key",IF(OR(COUNTIF('Taxonomy Rules'!$C$42:$C$68,E1101)&lt;&gt;1,F1101&lt;&gt;IFERROR(INDEX('Taxonomy Rules'!$D$42:$D$68,MATCH(E1101,'Taxonomy Rules'!$C$42:$C$68,0)),""),NOT(OR(IFERROR(INDEX('Taxonomy Rules'!$G$42:$G$68,MATCH(E1101,'Taxonomy Rules'!$C$42:$C$68,0)),"")="All supported routes",IFERROR(INDEX('Taxonomy Rules'!$G$42:$G$68,MATCH(E1101,'Taxonomy Rules'!$C$42:$C$68,0)),"")=U1101,AND(IFERROR(INDEX('Taxonomy Rules'!$G$42:$G$68,MATCH(E1101,'Taxonomy Rules'!$C$42:$C$68,0)),"")="Building routes",OR(U1101="Building renovation",U1101="New building",U1101="Building equipment"))))),"Unexpected test","Valid"))))</x:f>
      </x:c>
      <x:c r="S1101" s="9" t="str">
        <x:f>IF(C1101="","",IFERROR(INDEX('Taxonomy Rules'!$E$42:$E$68,MATCH(E1101,'Taxonomy Rules'!$C$42:$C$68,0)),""))</x:f>
      </x:c>
      <x:c r="T1101" s="9" t="str">
        <x:f>IF(C1101="","",IFERROR(INDEX('Taxonomy Rules'!$F$42:$F$68,MATCH(E1101,'Taxonomy Rules'!$C$42:$C$68,0)),""))</x:f>
      </x:c>
      <x:c r="U1101" s="9" t="str">
        <x:f>IF(C1101="","",IFERROR(INDEX('Taxonomy'!$G$9:$G$108,MATCH(D1101,'Taxonomy'!$C$9:$C$108,0)),""))</x:f>
      </x:c>
    </x:row>
    <x:row r="1102" ht="44" customHeight="1">
      <x:c r="A1102" s="1"/>
      <x:c r="B1102" s="1"/>
      <x:c r="C1102" s="8"/>
      <x:c r="D1102" s="8"/>
      <x:c r="E1102" s="8"/>
      <x:c r="F1102" s="8"/>
      <x:c r="G1102" s="8"/>
      <x:c r="H1102" s="8"/>
      <x:c r="I1102" s="8"/>
      <x:c r="J1102" s="8"/>
      <x:c r="K1102" s="8"/>
      <x:c r="L1102" s="8"/>
      <x:c r="M1102" s="10"/>
      <x:c r="N1102" s="10"/>
      <x:c r="O1102" s="8"/>
      <x:c r="P1102" s="9" t="str">
        <x:f>IF(C1102="","",IF(AND(G1102="Applicable",H1102="Fail"),"Fail",IF(R1102&lt;&gt;"Valid","Pending",IF(OR(I1102="",K1102="",L1102="",K1102=L1102,NOT(ISNUMBER(M1102)),NOT(ISNUMBER(N1102)),M1102&gt;Settings!$F$8,N1102&lt;Settings!$F$8,N1102&lt;M1102),"Pending",IF(AND(G1102="Applicable",H1102="Pass"),"Pass",IF(AND(G1102="N/A",H1102="N/A",J1102&lt;&gt;"",OR(E1102="CEM-FUELS",E1102="CEM-CCS",AND(E1102="CEM-PLAN",IFERROR(INDEX('Taxonomy'!$M$9:$M$108,MATCH(D1102,'Taxonomy'!$C$9:$C$108,0)),"")&lt;&gt;"Amber"),E1102="BLD-TIMBER",AND(U1102="Building equipment",OR(E1102="BLD-WATER",E1102="BLD-WASTE",E1102="BLD-LAND")),AND(U1102="Building renovation",E1102="BLD-LAND"))),"N/A","Pending"))))))</x:f>
      </x:c>
      <x:c r="Q1102" s="3" t="str">
        <x:f>IF(C1102="","",IF(AND(R1102="Valid",OR(P1102="Pass",P1102="N/A")),"Complete","Unresolved"))</x:f>
      </x:c>
      <x:c r="R1102" s="9" t="str">
        <x:f>IF(C1102="","",IF(OR(COUNTIF($C$9:$C$2008,C1102)&lt;&gt;1,COUNTIFS($D$9:$D$2008,D1102,$E$9:$E$2008,E1102)&lt;&gt;1),"Duplicate test",IF(COUNTIF('Taxonomy'!$C$9:$C$108,D1102)&lt;&gt;1,"Assessment key",IF(OR(COUNTIF('Taxonomy Rules'!$C$42:$C$68,E1102)&lt;&gt;1,F1102&lt;&gt;IFERROR(INDEX('Taxonomy Rules'!$D$42:$D$68,MATCH(E1102,'Taxonomy Rules'!$C$42:$C$68,0)),""),NOT(OR(IFERROR(INDEX('Taxonomy Rules'!$G$42:$G$68,MATCH(E1102,'Taxonomy Rules'!$C$42:$C$68,0)),"")="All supported routes",IFERROR(INDEX('Taxonomy Rules'!$G$42:$G$68,MATCH(E1102,'Taxonomy Rules'!$C$42:$C$68,0)),"")=U1102,AND(IFERROR(INDEX('Taxonomy Rules'!$G$42:$G$68,MATCH(E1102,'Taxonomy Rules'!$C$42:$C$68,0)),"")="Building routes",OR(U1102="Building renovation",U1102="New building",U1102="Building equipment"))))),"Unexpected test","Valid"))))</x:f>
      </x:c>
      <x:c r="S1102" s="9" t="str">
        <x:f>IF(C1102="","",IFERROR(INDEX('Taxonomy Rules'!$E$42:$E$68,MATCH(E1102,'Taxonomy Rules'!$C$42:$C$68,0)),""))</x:f>
      </x:c>
      <x:c r="T1102" s="9" t="str">
        <x:f>IF(C1102="","",IFERROR(INDEX('Taxonomy Rules'!$F$42:$F$68,MATCH(E1102,'Taxonomy Rules'!$C$42:$C$68,0)),""))</x:f>
      </x:c>
      <x:c r="U1102" s="9" t="str">
        <x:f>IF(C1102="","",IFERROR(INDEX('Taxonomy'!$G$9:$G$108,MATCH(D1102,'Taxonomy'!$C$9:$C$108,0)),""))</x:f>
      </x:c>
    </x:row>
    <x:row r="1103" ht="44" customHeight="1">
      <x:c r="A1103" s="1"/>
      <x:c r="B1103" s="1"/>
      <x:c r="C1103" s="8"/>
      <x:c r="D1103" s="8"/>
      <x:c r="E1103" s="8"/>
      <x:c r="F1103" s="8"/>
      <x:c r="G1103" s="8"/>
      <x:c r="H1103" s="8"/>
      <x:c r="I1103" s="8"/>
      <x:c r="J1103" s="8"/>
      <x:c r="K1103" s="8"/>
      <x:c r="L1103" s="8"/>
      <x:c r="M1103" s="10"/>
      <x:c r="N1103" s="10"/>
      <x:c r="O1103" s="8"/>
      <x:c r="P1103" s="9" t="str">
        <x:f>IF(C1103="","",IF(AND(G1103="Applicable",H1103="Fail"),"Fail",IF(R1103&lt;&gt;"Valid","Pending",IF(OR(I1103="",K1103="",L1103="",K1103=L1103,NOT(ISNUMBER(M1103)),NOT(ISNUMBER(N1103)),M1103&gt;Settings!$F$8,N1103&lt;Settings!$F$8,N1103&lt;M1103),"Pending",IF(AND(G1103="Applicable",H1103="Pass"),"Pass",IF(AND(G1103="N/A",H1103="N/A",J1103&lt;&gt;"",OR(E1103="CEM-FUELS",E1103="CEM-CCS",AND(E1103="CEM-PLAN",IFERROR(INDEX('Taxonomy'!$M$9:$M$108,MATCH(D1103,'Taxonomy'!$C$9:$C$108,0)),"")&lt;&gt;"Amber"),E1103="BLD-TIMBER",AND(U1103="Building equipment",OR(E1103="BLD-WATER",E1103="BLD-WASTE",E1103="BLD-LAND")),AND(U1103="Building renovation",E1103="BLD-LAND"))),"N/A","Pending"))))))</x:f>
      </x:c>
      <x:c r="Q1103" s="3" t="str">
        <x:f>IF(C1103="","",IF(AND(R1103="Valid",OR(P1103="Pass",P1103="N/A")),"Complete","Unresolved"))</x:f>
      </x:c>
      <x:c r="R1103" s="9" t="str">
        <x:f>IF(C1103="","",IF(OR(COUNTIF($C$9:$C$2008,C1103)&lt;&gt;1,COUNTIFS($D$9:$D$2008,D1103,$E$9:$E$2008,E1103)&lt;&gt;1),"Duplicate test",IF(COUNTIF('Taxonomy'!$C$9:$C$108,D1103)&lt;&gt;1,"Assessment key",IF(OR(COUNTIF('Taxonomy Rules'!$C$42:$C$68,E1103)&lt;&gt;1,F1103&lt;&gt;IFERROR(INDEX('Taxonomy Rules'!$D$42:$D$68,MATCH(E1103,'Taxonomy Rules'!$C$42:$C$68,0)),""),NOT(OR(IFERROR(INDEX('Taxonomy Rules'!$G$42:$G$68,MATCH(E1103,'Taxonomy Rules'!$C$42:$C$68,0)),"")="All supported routes",IFERROR(INDEX('Taxonomy Rules'!$G$42:$G$68,MATCH(E1103,'Taxonomy Rules'!$C$42:$C$68,0)),"")=U1103,AND(IFERROR(INDEX('Taxonomy Rules'!$G$42:$G$68,MATCH(E1103,'Taxonomy Rules'!$C$42:$C$68,0)),"")="Building routes",OR(U1103="Building renovation",U1103="New building",U1103="Building equipment"))))),"Unexpected test","Valid"))))</x:f>
      </x:c>
      <x:c r="S1103" s="9" t="str">
        <x:f>IF(C1103="","",IFERROR(INDEX('Taxonomy Rules'!$E$42:$E$68,MATCH(E1103,'Taxonomy Rules'!$C$42:$C$68,0)),""))</x:f>
      </x:c>
      <x:c r="T1103" s="9" t="str">
        <x:f>IF(C1103="","",IFERROR(INDEX('Taxonomy Rules'!$F$42:$F$68,MATCH(E1103,'Taxonomy Rules'!$C$42:$C$68,0)),""))</x:f>
      </x:c>
      <x:c r="U1103" s="9" t="str">
        <x:f>IF(C1103="","",IFERROR(INDEX('Taxonomy'!$G$9:$G$108,MATCH(D1103,'Taxonomy'!$C$9:$C$108,0)),""))</x:f>
      </x:c>
    </x:row>
    <x:row r="1104" ht="44" customHeight="1">
      <x:c r="A1104" s="1"/>
      <x:c r="B1104" s="1"/>
      <x:c r="C1104" s="8"/>
      <x:c r="D1104" s="8"/>
      <x:c r="E1104" s="8"/>
      <x:c r="F1104" s="8"/>
      <x:c r="G1104" s="8"/>
      <x:c r="H1104" s="8"/>
      <x:c r="I1104" s="8"/>
      <x:c r="J1104" s="8"/>
      <x:c r="K1104" s="8"/>
      <x:c r="L1104" s="8"/>
      <x:c r="M1104" s="10"/>
      <x:c r="N1104" s="10"/>
      <x:c r="O1104" s="8"/>
      <x:c r="P1104" s="9" t="str">
        <x:f>IF(C1104="","",IF(AND(G1104="Applicable",H1104="Fail"),"Fail",IF(R1104&lt;&gt;"Valid","Pending",IF(OR(I1104="",K1104="",L1104="",K1104=L1104,NOT(ISNUMBER(M1104)),NOT(ISNUMBER(N1104)),M1104&gt;Settings!$F$8,N1104&lt;Settings!$F$8,N1104&lt;M1104),"Pending",IF(AND(G1104="Applicable",H1104="Pass"),"Pass",IF(AND(G1104="N/A",H1104="N/A",J1104&lt;&gt;"",OR(E1104="CEM-FUELS",E1104="CEM-CCS",AND(E1104="CEM-PLAN",IFERROR(INDEX('Taxonomy'!$M$9:$M$108,MATCH(D1104,'Taxonomy'!$C$9:$C$108,0)),"")&lt;&gt;"Amber"),E1104="BLD-TIMBER",AND(U1104="Building equipment",OR(E1104="BLD-WATER",E1104="BLD-WASTE",E1104="BLD-LAND")),AND(U1104="Building renovation",E1104="BLD-LAND"))),"N/A","Pending"))))))</x:f>
      </x:c>
      <x:c r="Q1104" s="3" t="str">
        <x:f>IF(C1104="","",IF(AND(R1104="Valid",OR(P1104="Pass",P1104="N/A")),"Complete","Unresolved"))</x:f>
      </x:c>
      <x:c r="R1104" s="9" t="str">
        <x:f>IF(C1104="","",IF(OR(COUNTIF($C$9:$C$2008,C1104)&lt;&gt;1,COUNTIFS($D$9:$D$2008,D1104,$E$9:$E$2008,E1104)&lt;&gt;1),"Duplicate test",IF(COUNTIF('Taxonomy'!$C$9:$C$108,D1104)&lt;&gt;1,"Assessment key",IF(OR(COUNTIF('Taxonomy Rules'!$C$42:$C$68,E1104)&lt;&gt;1,F1104&lt;&gt;IFERROR(INDEX('Taxonomy Rules'!$D$42:$D$68,MATCH(E1104,'Taxonomy Rules'!$C$42:$C$68,0)),""),NOT(OR(IFERROR(INDEX('Taxonomy Rules'!$G$42:$G$68,MATCH(E1104,'Taxonomy Rules'!$C$42:$C$68,0)),"")="All supported routes",IFERROR(INDEX('Taxonomy Rules'!$G$42:$G$68,MATCH(E1104,'Taxonomy Rules'!$C$42:$C$68,0)),"")=U1104,AND(IFERROR(INDEX('Taxonomy Rules'!$G$42:$G$68,MATCH(E1104,'Taxonomy Rules'!$C$42:$C$68,0)),"")="Building routes",OR(U1104="Building renovation",U1104="New building",U1104="Building equipment"))))),"Unexpected test","Valid"))))</x:f>
      </x:c>
      <x:c r="S1104" s="9" t="str">
        <x:f>IF(C1104="","",IFERROR(INDEX('Taxonomy Rules'!$E$42:$E$68,MATCH(E1104,'Taxonomy Rules'!$C$42:$C$68,0)),""))</x:f>
      </x:c>
      <x:c r="T1104" s="9" t="str">
        <x:f>IF(C1104="","",IFERROR(INDEX('Taxonomy Rules'!$F$42:$F$68,MATCH(E1104,'Taxonomy Rules'!$C$42:$C$68,0)),""))</x:f>
      </x:c>
      <x:c r="U1104" s="9" t="str">
        <x:f>IF(C1104="","",IFERROR(INDEX('Taxonomy'!$G$9:$G$108,MATCH(D1104,'Taxonomy'!$C$9:$C$108,0)),""))</x:f>
      </x:c>
    </x:row>
    <x:row r="1105" ht="44" customHeight="1">
      <x:c r="A1105" s="1"/>
      <x:c r="B1105" s="1"/>
      <x:c r="C1105" s="8"/>
      <x:c r="D1105" s="8"/>
      <x:c r="E1105" s="8"/>
      <x:c r="F1105" s="8"/>
      <x:c r="G1105" s="8"/>
      <x:c r="H1105" s="8"/>
      <x:c r="I1105" s="8"/>
      <x:c r="J1105" s="8"/>
      <x:c r="K1105" s="8"/>
      <x:c r="L1105" s="8"/>
      <x:c r="M1105" s="10"/>
      <x:c r="N1105" s="10"/>
      <x:c r="O1105" s="8"/>
      <x:c r="P1105" s="9" t="str">
        <x:f>IF(C1105="","",IF(AND(G1105="Applicable",H1105="Fail"),"Fail",IF(R1105&lt;&gt;"Valid","Pending",IF(OR(I1105="",K1105="",L1105="",K1105=L1105,NOT(ISNUMBER(M1105)),NOT(ISNUMBER(N1105)),M1105&gt;Settings!$F$8,N1105&lt;Settings!$F$8,N1105&lt;M1105),"Pending",IF(AND(G1105="Applicable",H1105="Pass"),"Pass",IF(AND(G1105="N/A",H1105="N/A",J1105&lt;&gt;"",OR(E1105="CEM-FUELS",E1105="CEM-CCS",AND(E1105="CEM-PLAN",IFERROR(INDEX('Taxonomy'!$M$9:$M$108,MATCH(D1105,'Taxonomy'!$C$9:$C$108,0)),"")&lt;&gt;"Amber"),E1105="BLD-TIMBER",AND(U1105="Building equipment",OR(E1105="BLD-WATER",E1105="BLD-WASTE",E1105="BLD-LAND")),AND(U1105="Building renovation",E1105="BLD-LAND"))),"N/A","Pending"))))))</x:f>
      </x:c>
      <x:c r="Q1105" s="3" t="str">
        <x:f>IF(C1105="","",IF(AND(R1105="Valid",OR(P1105="Pass",P1105="N/A")),"Complete","Unresolved"))</x:f>
      </x:c>
      <x:c r="R1105" s="9" t="str">
        <x:f>IF(C1105="","",IF(OR(COUNTIF($C$9:$C$2008,C1105)&lt;&gt;1,COUNTIFS($D$9:$D$2008,D1105,$E$9:$E$2008,E1105)&lt;&gt;1),"Duplicate test",IF(COUNTIF('Taxonomy'!$C$9:$C$108,D1105)&lt;&gt;1,"Assessment key",IF(OR(COUNTIF('Taxonomy Rules'!$C$42:$C$68,E1105)&lt;&gt;1,F1105&lt;&gt;IFERROR(INDEX('Taxonomy Rules'!$D$42:$D$68,MATCH(E1105,'Taxonomy Rules'!$C$42:$C$68,0)),""),NOT(OR(IFERROR(INDEX('Taxonomy Rules'!$G$42:$G$68,MATCH(E1105,'Taxonomy Rules'!$C$42:$C$68,0)),"")="All supported routes",IFERROR(INDEX('Taxonomy Rules'!$G$42:$G$68,MATCH(E1105,'Taxonomy Rules'!$C$42:$C$68,0)),"")=U1105,AND(IFERROR(INDEX('Taxonomy Rules'!$G$42:$G$68,MATCH(E1105,'Taxonomy Rules'!$C$42:$C$68,0)),"")="Building routes",OR(U1105="Building renovation",U1105="New building",U1105="Building equipment"))))),"Unexpected test","Valid"))))</x:f>
      </x:c>
      <x:c r="S1105" s="9" t="str">
        <x:f>IF(C1105="","",IFERROR(INDEX('Taxonomy Rules'!$E$42:$E$68,MATCH(E1105,'Taxonomy Rules'!$C$42:$C$68,0)),""))</x:f>
      </x:c>
      <x:c r="T1105" s="9" t="str">
        <x:f>IF(C1105="","",IFERROR(INDEX('Taxonomy Rules'!$F$42:$F$68,MATCH(E1105,'Taxonomy Rules'!$C$42:$C$68,0)),""))</x:f>
      </x:c>
      <x:c r="U1105" s="9" t="str">
        <x:f>IF(C1105="","",IFERROR(INDEX('Taxonomy'!$G$9:$G$108,MATCH(D1105,'Taxonomy'!$C$9:$C$108,0)),""))</x:f>
      </x:c>
    </x:row>
    <x:row r="1106" ht="44" customHeight="1">
      <x:c r="A1106" s="1"/>
      <x:c r="B1106" s="1"/>
      <x:c r="C1106" s="8"/>
      <x:c r="D1106" s="8"/>
      <x:c r="E1106" s="8"/>
      <x:c r="F1106" s="8"/>
      <x:c r="G1106" s="8"/>
      <x:c r="H1106" s="8"/>
      <x:c r="I1106" s="8"/>
      <x:c r="J1106" s="8"/>
      <x:c r="K1106" s="8"/>
      <x:c r="L1106" s="8"/>
      <x:c r="M1106" s="10"/>
      <x:c r="N1106" s="10"/>
      <x:c r="O1106" s="8"/>
      <x:c r="P1106" s="9" t="str">
        <x:f>IF(C1106="","",IF(AND(G1106="Applicable",H1106="Fail"),"Fail",IF(R1106&lt;&gt;"Valid","Pending",IF(OR(I1106="",K1106="",L1106="",K1106=L1106,NOT(ISNUMBER(M1106)),NOT(ISNUMBER(N1106)),M1106&gt;Settings!$F$8,N1106&lt;Settings!$F$8,N1106&lt;M1106),"Pending",IF(AND(G1106="Applicable",H1106="Pass"),"Pass",IF(AND(G1106="N/A",H1106="N/A",J1106&lt;&gt;"",OR(E1106="CEM-FUELS",E1106="CEM-CCS",AND(E1106="CEM-PLAN",IFERROR(INDEX('Taxonomy'!$M$9:$M$108,MATCH(D1106,'Taxonomy'!$C$9:$C$108,0)),"")&lt;&gt;"Amber"),E1106="BLD-TIMBER",AND(U1106="Building equipment",OR(E1106="BLD-WATER",E1106="BLD-WASTE",E1106="BLD-LAND")),AND(U1106="Building renovation",E1106="BLD-LAND"))),"N/A","Pending"))))))</x:f>
      </x:c>
      <x:c r="Q1106" s="3" t="str">
        <x:f>IF(C1106="","",IF(AND(R1106="Valid",OR(P1106="Pass",P1106="N/A")),"Complete","Unresolved"))</x:f>
      </x:c>
      <x:c r="R1106" s="9" t="str">
        <x:f>IF(C1106="","",IF(OR(COUNTIF($C$9:$C$2008,C1106)&lt;&gt;1,COUNTIFS($D$9:$D$2008,D1106,$E$9:$E$2008,E1106)&lt;&gt;1),"Duplicate test",IF(COUNTIF('Taxonomy'!$C$9:$C$108,D1106)&lt;&gt;1,"Assessment key",IF(OR(COUNTIF('Taxonomy Rules'!$C$42:$C$68,E1106)&lt;&gt;1,F1106&lt;&gt;IFERROR(INDEX('Taxonomy Rules'!$D$42:$D$68,MATCH(E1106,'Taxonomy Rules'!$C$42:$C$68,0)),""),NOT(OR(IFERROR(INDEX('Taxonomy Rules'!$G$42:$G$68,MATCH(E1106,'Taxonomy Rules'!$C$42:$C$68,0)),"")="All supported routes",IFERROR(INDEX('Taxonomy Rules'!$G$42:$G$68,MATCH(E1106,'Taxonomy Rules'!$C$42:$C$68,0)),"")=U1106,AND(IFERROR(INDEX('Taxonomy Rules'!$G$42:$G$68,MATCH(E1106,'Taxonomy Rules'!$C$42:$C$68,0)),"")="Building routes",OR(U1106="Building renovation",U1106="New building",U1106="Building equipment"))))),"Unexpected test","Valid"))))</x:f>
      </x:c>
      <x:c r="S1106" s="9" t="str">
        <x:f>IF(C1106="","",IFERROR(INDEX('Taxonomy Rules'!$E$42:$E$68,MATCH(E1106,'Taxonomy Rules'!$C$42:$C$68,0)),""))</x:f>
      </x:c>
      <x:c r="T1106" s="9" t="str">
        <x:f>IF(C1106="","",IFERROR(INDEX('Taxonomy Rules'!$F$42:$F$68,MATCH(E1106,'Taxonomy Rules'!$C$42:$C$68,0)),""))</x:f>
      </x:c>
      <x:c r="U1106" s="9" t="str">
        <x:f>IF(C1106="","",IFERROR(INDEX('Taxonomy'!$G$9:$G$108,MATCH(D1106,'Taxonomy'!$C$9:$C$108,0)),""))</x:f>
      </x:c>
    </x:row>
    <x:row r="1107" ht="44" customHeight="1">
      <x:c r="A1107" s="1"/>
      <x:c r="B1107" s="1"/>
      <x:c r="C1107" s="8"/>
      <x:c r="D1107" s="8"/>
      <x:c r="E1107" s="8"/>
      <x:c r="F1107" s="8"/>
      <x:c r="G1107" s="8"/>
      <x:c r="H1107" s="8"/>
      <x:c r="I1107" s="8"/>
      <x:c r="J1107" s="8"/>
      <x:c r="K1107" s="8"/>
      <x:c r="L1107" s="8"/>
      <x:c r="M1107" s="10"/>
      <x:c r="N1107" s="10"/>
      <x:c r="O1107" s="8"/>
      <x:c r="P1107" s="9" t="str">
        <x:f>IF(C1107="","",IF(AND(G1107="Applicable",H1107="Fail"),"Fail",IF(R1107&lt;&gt;"Valid","Pending",IF(OR(I1107="",K1107="",L1107="",K1107=L1107,NOT(ISNUMBER(M1107)),NOT(ISNUMBER(N1107)),M1107&gt;Settings!$F$8,N1107&lt;Settings!$F$8,N1107&lt;M1107),"Pending",IF(AND(G1107="Applicable",H1107="Pass"),"Pass",IF(AND(G1107="N/A",H1107="N/A",J1107&lt;&gt;"",OR(E1107="CEM-FUELS",E1107="CEM-CCS",AND(E1107="CEM-PLAN",IFERROR(INDEX('Taxonomy'!$M$9:$M$108,MATCH(D1107,'Taxonomy'!$C$9:$C$108,0)),"")&lt;&gt;"Amber"),E1107="BLD-TIMBER",AND(U1107="Building equipment",OR(E1107="BLD-WATER",E1107="BLD-WASTE",E1107="BLD-LAND")),AND(U1107="Building renovation",E1107="BLD-LAND"))),"N/A","Pending"))))))</x:f>
      </x:c>
      <x:c r="Q1107" s="3" t="str">
        <x:f>IF(C1107="","",IF(AND(R1107="Valid",OR(P1107="Pass",P1107="N/A")),"Complete","Unresolved"))</x:f>
      </x:c>
      <x:c r="R1107" s="9" t="str">
        <x:f>IF(C1107="","",IF(OR(COUNTIF($C$9:$C$2008,C1107)&lt;&gt;1,COUNTIFS($D$9:$D$2008,D1107,$E$9:$E$2008,E1107)&lt;&gt;1),"Duplicate test",IF(COUNTIF('Taxonomy'!$C$9:$C$108,D1107)&lt;&gt;1,"Assessment key",IF(OR(COUNTIF('Taxonomy Rules'!$C$42:$C$68,E1107)&lt;&gt;1,F1107&lt;&gt;IFERROR(INDEX('Taxonomy Rules'!$D$42:$D$68,MATCH(E1107,'Taxonomy Rules'!$C$42:$C$68,0)),""),NOT(OR(IFERROR(INDEX('Taxonomy Rules'!$G$42:$G$68,MATCH(E1107,'Taxonomy Rules'!$C$42:$C$68,0)),"")="All supported routes",IFERROR(INDEX('Taxonomy Rules'!$G$42:$G$68,MATCH(E1107,'Taxonomy Rules'!$C$42:$C$68,0)),"")=U1107,AND(IFERROR(INDEX('Taxonomy Rules'!$G$42:$G$68,MATCH(E1107,'Taxonomy Rules'!$C$42:$C$68,0)),"")="Building routes",OR(U1107="Building renovation",U1107="New building",U1107="Building equipment"))))),"Unexpected test","Valid"))))</x:f>
      </x:c>
      <x:c r="S1107" s="9" t="str">
        <x:f>IF(C1107="","",IFERROR(INDEX('Taxonomy Rules'!$E$42:$E$68,MATCH(E1107,'Taxonomy Rules'!$C$42:$C$68,0)),""))</x:f>
      </x:c>
      <x:c r="T1107" s="9" t="str">
        <x:f>IF(C1107="","",IFERROR(INDEX('Taxonomy Rules'!$F$42:$F$68,MATCH(E1107,'Taxonomy Rules'!$C$42:$C$68,0)),""))</x:f>
      </x:c>
      <x:c r="U1107" s="9" t="str">
        <x:f>IF(C1107="","",IFERROR(INDEX('Taxonomy'!$G$9:$G$108,MATCH(D1107,'Taxonomy'!$C$9:$C$108,0)),""))</x:f>
      </x:c>
    </x:row>
    <x:row r="1108" ht="44" customHeight="1">
      <x:c r="A1108" s="1"/>
      <x:c r="B1108" s="1"/>
      <x:c r="C1108" s="8"/>
      <x:c r="D1108" s="8"/>
      <x:c r="E1108" s="8"/>
      <x:c r="F1108" s="8"/>
      <x:c r="G1108" s="8"/>
      <x:c r="H1108" s="8"/>
      <x:c r="I1108" s="8"/>
      <x:c r="J1108" s="8"/>
      <x:c r="K1108" s="8"/>
      <x:c r="L1108" s="8"/>
      <x:c r="M1108" s="10"/>
      <x:c r="N1108" s="10"/>
      <x:c r="O1108" s="8"/>
      <x:c r="P1108" s="9" t="str">
        <x:f>IF(C1108="","",IF(AND(G1108="Applicable",H1108="Fail"),"Fail",IF(R1108&lt;&gt;"Valid","Pending",IF(OR(I1108="",K1108="",L1108="",K1108=L1108,NOT(ISNUMBER(M1108)),NOT(ISNUMBER(N1108)),M1108&gt;Settings!$F$8,N1108&lt;Settings!$F$8,N1108&lt;M1108),"Pending",IF(AND(G1108="Applicable",H1108="Pass"),"Pass",IF(AND(G1108="N/A",H1108="N/A",J1108&lt;&gt;"",OR(E1108="CEM-FUELS",E1108="CEM-CCS",AND(E1108="CEM-PLAN",IFERROR(INDEX('Taxonomy'!$M$9:$M$108,MATCH(D1108,'Taxonomy'!$C$9:$C$108,0)),"")&lt;&gt;"Amber"),E1108="BLD-TIMBER",AND(U1108="Building equipment",OR(E1108="BLD-WATER",E1108="BLD-WASTE",E1108="BLD-LAND")),AND(U1108="Building renovation",E1108="BLD-LAND"))),"N/A","Pending"))))))</x:f>
      </x:c>
      <x:c r="Q1108" s="3" t="str">
        <x:f>IF(C1108="","",IF(AND(R1108="Valid",OR(P1108="Pass",P1108="N/A")),"Complete","Unresolved"))</x:f>
      </x:c>
      <x:c r="R1108" s="9" t="str">
        <x:f>IF(C1108="","",IF(OR(COUNTIF($C$9:$C$2008,C1108)&lt;&gt;1,COUNTIFS($D$9:$D$2008,D1108,$E$9:$E$2008,E1108)&lt;&gt;1),"Duplicate test",IF(COUNTIF('Taxonomy'!$C$9:$C$108,D1108)&lt;&gt;1,"Assessment key",IF(OR(COUNTIF('Taxonomy Rules'!$C$42:$C$68,E1108)&lt;&gt;1,F1108&lt;&gt;IFERROR(INDEX('Taxonomy Rules'!$D$42:$D$68,MATCH(E1108,'Taxonomy Rules'!$C$42:$C$68,0)),""),NOT(OR(IFERROR(INDEX('Taxonomy Rules'!$G$42:$G$68,MATCH(E1108,'Taxonomy Rules'!$C$42:$C$68,0)),"")="All supported routes",IFERROR(INDEX('Taxonomy Rules'!$G$42:$G$68,MATCH(E1108,'Taxonomy Rules'!$C$42:$C$68,0)),"")=U1108,AND(IFERROR(INDEX('Taxonomy Rules'!$G$42:$G$68,MATCH(E1108,'Taxonomy Rules'!$C$42:$C$68,0)),"")="Building routes",OR(U1108="Building renovation",U1108="New building",U1108="Building equipment"))))),"Unexpected test","Valid"))))</x:f>
      </x:c>
      <x:c r="S1108" s="9" t="str">
        <x:f>IF(C1108="","",IFERROR(INDEX('Taxonomy Rules'!$E$42:$E$68,MATCH(E1108,'Taxonomy Rules'!$C$42:$C$68,0)),""))</x:f>
      </x:c>
      <x:c r="T1108" s="9" t="str">
        <x:f>IF(C1108="","",IFERROR(INDEX('Taxonomy Rules'!$F$42:$F$68,MATCH(E1108,'Taxonomy Rules'!$C$42:$C$68,0)),""))</x:f>
      </x:c>
      <x:c r="U1108" s="9" t="str">
        <x:f>IF(C1108="","",IFERROR(INDEX('Taxonomy'!$G$9:$G$108,MATCH(D1108,'Taxonomy'!$C$9:$C$108,0)),""))</x:f>
      </x:c>
    </x:row>
    <x:row r="1109" ht="44" customHeight="1">
      <x:c r="A1109" s="1"/>
      <x:c r="B1109" s="1"/>
      <x:c r="C1109" s="8"/>
      <x:c r="D1109" s="8"/>
      <x:c r="E1109" s="8"/>
      <x:c r="F1109" s="8"/>
      <x:c r="G1109" s="8"/>
      <x:c r="H1109" s="8"/>
      <x:c r="I1109" s="8"/>
      <x:c r="J1109" s="8"/>
      <x:c r="K1109" s="8"/>
      <x:c r="L1109" s="8"/>
      <x:c r="M1109" s="10"/>
      <x:c r="N1109" s="10"/>
      <x:c r="O1109" s="8"/>
      <x:c r="P1109" s="9" t="str">
        <x:f>IF(C1109="","",IF(AND(G1109="Applicable",H1109="Fail"),"Fail",IF(R1109&lt;&gt;"Valid","Pending",IF(OR(I1109="",K1109="",L1109="",K1109=L1109,NOT(ISNUMBER(M1109)),NOT(ISNUMBER(N1109)),M1109&gt;Settings!$F$8,N1109&lt;Settings!$F$8,N1109&lt;M1109),"Pending",IF(AND(G1109="Applicable",H1109="Pass"),"Pass",IF(AND(G1109="N/A",H1109="N/A",J1109&lt;&gt;"",OR(E1109="CEM-FUELS",E1109="CEM-CCS",AND(E1109="CEM-PLAN",IFERROR(INDEX('Taxonomy'!$M$9:$M$108,MATCH(D1109,'Taxonomy'!$C$9:$C$108,0)),"")&lt;&gt;"Amber"),E1109="BLD-TIMBER",AND(U1109="Building equipment",OR(E1109="BLD-WATER",E1109="BLD-WASTE",E1109="BLD-LAND")),AND(U1109="Building renovation",E1109="BLD-LAND"))),"N/A","Pending"))))))</x:f>
      </x:c>
      <x:c r="Q1109" s="3" t="str">
        <x:f>IF(C1109="","",IF(AND(R1109="Valid",OR(P1109="Pass",P1109="N/A")),"Complete","Unresolved"))</x:f>
      </x:c>
      <x:c r="R1109" s="9" t="str">
        <x:f>IF(C1109="","",IF(OR(COUNTIF($C$9:$C$2008,C1109)&lt;&gt;1,COUNTIFS($D$9:$D$2008,D1109,$E$9:$E$2008,E1109)&lt;&gt;1),"Duplicate test",IF(COUNTIF('Taxonomy'!$C$9:$C$108,D1109)&lt;&gt;1,"Assessment key",IF(OR(COUNTIF('Taxonomy Rules'!$C$42:$C$68,E1109)&lt;&gt;1,F1109&lt;&gt;IFERROR(INDEX('Taxonomy Rules'!$D$42:$D$68,MATCH(E1109,'Taxonomy Rules'!$C$42:$C$68,0)),""),NOT(OR(IFERROR(INDEX('Taxonomy Rules'!$G$42:$G$68,MATCH(E1109,'Taxonomy Rules'!$C$42:$C$68,0)),"")="All supported routes",IFERROR(INDEX('Taxonomy Rules'!$G$42:$G$68,MATCH(E1109,'Taxonomy Rules'!$C$42:$C$68,0)),"")=U1109,AND(IFERROR(INDEX('Taxonomy Rules'!$G$42:$G$68,MATCH(E1109,'Taxonomy Rules'!$C$42:$C$68,0)),"")="Building routes",OR(U1109="Building renovation",U1109="New building",U1109="Building equipment"))))),"Unexpected test","Valid"))))</x:f>
      </x:c>
      <x:c r="S1109" s="9" t="str">
        <x:f>IF(C1109="","",IFERROR(INDEX('Taxonomy Rules'!$E$42:$E$68,MATCH(E1109,'Taxonomy Rules'!$C$42:$C$68,0)),""))</x:f>
      </x:c>
      <x:c r="T1109" s="9" t="str">
        <x:f>IF(C1109="","",IFERROR(INDEX('Taxonomy Rules'!$F$42:$F$68,MATCH(E1109,'Taxonomy Rules'!$C$42:$C$68,0)),""))</x:f>
      </x:c>
      <x:c r="U1109" s="9" t="str">
        <x:f>IF(C1109="","",IFERROR(INDEX('Taxonomy'!$G$9:$G$108,MATCH(D1109,'Taxonomy'!$C$9:$C$108,0)),""))</x:f>
      </x:c>
    </x:row>
    <x:row r="1110" ht="44" customHeight="1">
      <x:c r="A1110" s="1"/>
      <x:c r="B1110" s="1"/>
      <x:c r="C1110" s="8"/>
      <x:c r="D1110" s="8"/>
      <x:c r="E1110" s="8"/>
      <x:c r="F1110" s="8"/>
      <x:c r="G1110" s="8"/>
      <x:c r="H1110" s="8"/>
      <x:c r="I1110" s="8"/>
      <x:c r="J1110" s="8"/>
      <x:c r="K1110" s="8"/>
      <x:c r="L1110" s="8"/>
      <x:c r="M1110" s="10"/>
      <x:c r="N1110" s="10"/>
      <x:c r="O1110" s="8"/>
      <x:c r="P1110" s="9" t="str">
        <x:f>IF(C1110="","",IF(AND(G1110="Applicable",H1110="Fail"),"Fail",IF(R1110&lt;&gt;"Valid","Pending",IF(OR(I1110="",K1110="",L1110="",K1110=L1110,NOT(ISNUMBER(M1110)),NOT(ISNUMBER(N1110)),M1110&gt;Settings!$F$8,N1110&lt;Settings!$F$8,N1110&lt;M1110),"Pending",IF(AND(G1110="Applicable",H1110="Pass"),"Pass",IF(AND(G1110="N/A",H1110="N/A",J1110&lt;&gt;"",OR(E1110="CEM-FUELS",E1110="CEM-CCS",AND(E1110="CEM-PLAN",IFERROR(INDEX('Taxonomy'!$M$9:$M$108,MATCH(D1110,'Taxonomy'!$C$9:$C$108,0)),"")&lt;&gt;"Amber"),E1110="BLD-TIMBER",AND(U1110="Building equipment",OR(E1110="BLD-WATER",E1110="BLD-WASTE",E1110="BLD-LAND")),AND(U1110="Building renovation",E1110="BLD-LAND"))),"N/A","Pending"))))))</x:f>
      </x:c>
      <x:c r="Q1110" s="3" t="str">
        <x:f>IF(C1110="","",IF(AND(R1110="Valid",OR(P1110="Pass",P1110="N/A")),"Complete","Unresolved"))</x:f>
      </x:c>
      <x:c r="R1110" s="9" t="str">
        <x:f>IF(C1110="","",IF(OR(COUNTIF($C$9:$C$2008,C1110)&lt;&gt;1,COUNTIFS($D$9:$D$2008,D1110,$E$9:$E$2008,E1110)&lt;&gt;1),"Duplicate test",IF(COUNTIF('Taxonomy'!$C$9:$C$108,D1110)&lt;&gt;1,"Assessment key",IF(OR(COUNTIF('Taxonomy Rules'!$C$42:$C$68,E1110)&lt;&gt;1,F1110&lt;&gt;IFERROR(INDEX('Taxonomy Rules'!$D$42:$D$68,MATCH(E1110,'Taxonomy Rules'!$C$42:$C$68,0)),""),NOT(OR(IFERROR(INDEX('Taxonomy Rules'!$G$42:$G$68,MATCH(E1110,'Taxonomy Rules'!$C$42:$C$68,0)),"")="All supported routes",IFERROR(INDEX('Taxonomy Rules'!$G$42:$G$68,MATCH(E1110,'Taxonomy Rules'!$C$42:$C$68,0)),"")=U1110,AND(IFERROR(INDEX('Taxonomy Rules'!$G$42:$G$68,MATCH(E1110,'Taxonomy Rules'!$C$42:$C$68,0)),"")="Building routes",OR(U1110="Building renovation",U1110="New building",U1110="Building equipment"))))),"Unexpected test","Valid"))))</x:f>
      </x:c>
      <x:c r="S1110" s="9" t="str">
        <x:f>IF(C1110="","",IFERROR(INDEX('Taxonomy Rules'!$E$42:$E$68,MATCH(E1110,'Taxonomy Rules'!$C$42:$C$68,0)),""))</x:f>
      </x:c>
      <x:c r="T1110" s="9" t="str">
        <x:f>IF(C1110="","",IFERROR(INDEX('Taxonomy Rules'!$F$42:$F$68,MATCH(E1110,'Taxonomy Rules'!$C$42:$C$68,0)),""))</x:f>
      </x:c>
      <x:c r="U1110" s="9" t="str">
        <x:f>IF(C1110="","",IFERROR(INDEX('Taxonomy'!$G$9:$G$108,MATCH(D1110,'Taxonomy'!$C$9:$C$108,0)),""))</x:f>
      </x:c>
    </x:row>
    <x:row r="1111" ht="44" customHeight="1">
      <x:c r="A1111" s="1"/>
      <x:c r="B1111" s="1"/>
      <x:c r="C1111" s="8"/>
      <x:c r="D1111" s="8"/>
      <x:c r="E1111" s="8"/>
      <x:c r="F1111" s="8"/>
      <x:c r="G1111" s="8"/>
      <x:c r="H1111" s="8"/>
      <x:c r="I1111" s="8"/>
      <x:c r="J1111" s="8"/>
      <x:c r="K1111" s="8"/>
      <x:c r="L1111" s="8"/>
      <x:c r="M1111" s="10"/>
      <x:c r="N1111" s="10"/>
      <x:c r="O1111" s="8"/>
      <x:c r="P1111" s="9" t="str">
        <x:f>IF(C1111="","",IF(AND(G1111="Applicable",H1111="Fail"),"Fail",IF(R1111&lt;&gt;"Valid","Pending",IF(OR(I1111="",K1111="",L1111="",K1111=L1111,NOT(ISNUMBER(M1111)),NOT(ISNUMBER(N1111)),M1111&gt;Settings!$F$8,N1111&lt;Settings!$F$8,N1111&lt;M1111),"Pending",IF(AND(G1111="Applicable",H1111="Pass"),"Pass",IF(AND(G1111="N/A",H1111="N/A",J1111&lt;&gt;"",OR(E1111="CEM-FUELS",E1111="CEM-CCS",AND(E1111="CEM-PLAN",IFERROR(INDEX('Taxonomy'!$M$9:$M$108,MATCH(D1111,'Taxonomy'!$C$9:$C$108,0)),"")&lt;&gt;"Amber"),E1111="BLD-TIMBER",AND(U1111="Building equipment",OR(E1111="BLD-WATER",E1111="BLD-WASTE",E1111="BLD-LAND")),AND(U1111="Building renovation",E1111="BLD-LAND"))),"N/A","Pending"))))))</x:f>
      </x:c>
      <x:c r="Q1111" s="3" t="str">
        <x:f>IF(C1111="","",IF(AND(R1111="Valid",OR(P1111="Pass",P1111="N/A")),"Complete","Unresolved"))</x:f>
      </x:c>
      <x:c r="R1111" s="9" t="str">
        <x:f>IF(C1111="","",IF(OR(COUNTIF($C$9:$C$2008,C1111)&lt;&gt;1,COUNTIFS($D$9:$D$2008,D1111,$E$9:$E$2008,E1111)&lt;&gt;1),"Duplicate test",IF(COUNTIF('Taxonomy'!$C$9:$C$108,D1111)&lt;&gt;1,"Assessment key",IF(OR(COUNTIF('Taxonomy Rules'!$C$42:$C$68,E1111)&lt;&gt;1,F1111&lt;&gt;IFERROR(INDEX('Taxonomy Rules'!$D$42:$D$68,MATCH(E1111,'Taxonomy Rules'!$C$42:$C$68,0)),""),NOT(OR(IFERROR(INDEX('Taxonomy Rules'!$G$42:$G$68,MATCH(E1111,'Taxonomy Rules'!$C$42:$C$68,0)),"")="All supported routes",IFERROR(INDEX('Taxonomy Rules'!$G$42:$G$68,MATCH(E1111,'Taxonomy Rules'!$C$42:$C$68,0)),"")=U1111,AND(IFERROR(INDEX('Taxonomy Rules'!$G$42:$G$68,MATCH(E1111,'Taxonomy Rules'!$C$42:$C$68,0)),"")="Building routes",OR(U1111="Building renovation",U1111="New building",U1111="Building equipment"))))),"Unexpected test","Valid"))))</x:f>
      </x:c>
      <x:c r="S1111" s="9" t="str">
        <x:f>IF(C1111="","",IFERROR(INDEX('Taxonomy Rules'!$E$42:$E$68,MATCH(E1111,'Taxonomy Rules'!$C$42:$C$68,0)),""))</x:f>
      </x:c>
      <x:c r="T1111" s="9" t="str">
        <x:f>IF(C1111="","",IFERROR(INDEX('Taxonomy Rules'!$F$42:$F$68,MATCH(E1111,'Taxonomy Rules'!$C$42:$C$68,0)),""))</x:f>
      </x:c>
      <x:c r="U1111" s="9" t="str">
        <x:f>IF(C1111="","",IFERROR(INDEX('Taxonomy'!$G$9:$G$108,MATCH(D1111,'Taxonomy'!$C$9:$C$108,0)),""))</x:f>
      </x:c>
    </x:row>
    <x:row r="1112" ht="44" customHeight="1">
      <x:c r="A1112" s="1"/>
      <x:c r="B1112" s="1"/>
      <x:c r="C1112" s="8"/>
      <x:c r="D1112" s="8"/>
      <x:c r="E1112" s="8"/>
      <x:c r="F1112" s="8"/>
      <x:c r="G1112" s="8"/>
      <x:c r="H1112" s="8"/>
      <x:c r="I1112" s="8"/>
      <x:c r="J1112" s="8"/>
      <x:c r="K1112" s="8"/>
      <x:c r="L1112" s="8"/>
      <x:c r="M1112" s="10"/>
      <x:c r="N1112" s="10"/>
      <x:c r="O1112" s="8"/>
      <x:c r="P1112" s="9" t="str">
        <x:f>IF(C1112="","",IF(AND(G1112="Applicable",H1112="Fail"),"Fail",IF(R1112&lt;&gt;"Valid","Pending",IF(OR(I1112="",K1112="",L1112="",K1112=L1112,NOT(ISNUMBER(M1112)),NOT(ISNUMBER(N1112)),M1112&gt;Settings!$F$8,N1112&lt;Settings!$F$8,N1112&lt;M1112),"Pending",IF(AND(G1112="Applicable",H1112="Pass"),"Pass",IF(AND(G1112="N/A",H1112="N/A",J1112&lt;&gt;"",OR(E1112="CEM-FUELS",E1112="CEM-CCS",AND(E1112="CEM-PLAN",IFERROR(INDEX('Taxonomy'!$M$9:$M$108,MATCH(D1112,'Taxonomy'!$C$9:$C$108,0)),"")&lt;&gt;"Amber"),E1112="BLD-TIMBER",AND(U1112="Building equipment",OR(E1112="BLD-WATER",E1112="BLD-WASTE",E1112="BLD-LAND")),AND(U1112="Building renovation",E1112="BLD-LAND"))),"N/A","Pending"))))))</x:f>
      </x:c>
      <x:c r="Q1112" s="3" t="str">
        <x:f>IF(C1112="","",IF(AND(R1112="Valid",OR(P1112="Pass",P1112="N/A")),"Complete","Unresolved"))</x:f>
      </x:c>
      <x:c r="R1112" s="9" t="str">
        <x:f>IF(C1112="","",IF(OR(COUNTIF($C$9:$C$2008,C1112)&lt;&gt;1,COUNTIFS($D$9:$D$2008,D1112,$E$9:$E$2008,E1112)&lt;&gt;1),"Duplicate test",IF(COUNTIF('Taxonomy'!$C$9:$C$108,D1112)&lt;&gt;1,"Assessment key",IF(OR(COUNTIF('Taxonomy Rules'!$C$42:$C$68,E1112)&lt;&gt;1,F1112&lt;&gt;IFERROR(INDEX('Taxonomy Rules'!$D$42:$D$68,MATCH(E1112,'Taxonomy Rules'!$C$42:$C$68,0)),""),NOT(OR(IFERROR(INDEX('Taxonomy Rules'!$G$42:$G$68,MATCH(E1112,'Taxonomy Rules'!$C$42:$C$68,0)),"")="All supported routes",IFERROR(INDEX('Taxonomy Rules'!$G$42:$G$68,MATCH(E1112,'Taxonomy Rules'!$C$42:$C$68,0)),"")=U1112,AND(IFERROR(INDEX('Taxonomy Rules'!$G$42:$G$68,MATCH(E1112,'Taxonomy Rules'!$C$42:$C$68,0)),"")="Building routes",OR(U1112="Building renovation",U1112="New building",U1112="Building equipment"))))),"Unexpected test","Valid"))))</x:f>
      </x:c>
      <x:c r="S1112" s="9" t="str">
        <x:f>IF(C1112="","",IFERROR(INDEX('Taxonomy Rules'!$E$42:$E$68,MATCH(E1112,'Taxonomy Rules'!$C$42:$C$68,0)),""))</x:f>
      </x:c>
      <x:c r="T1112" s="9" t="str">
        <x:f>IF(C1112="","",IFERROR(INDEX('Taxonomy Rules'!$F$42:$F$68,MATCH(E1112,'Taxonomy Rules'!$C$42:$C$68,0)),""))</x:f>
      </x:c>
      <x:c r="U1112" s="9" t="str">
        <x:f>IF(C1112="","",IFERROR(INDEX('Taxonomy'!$G$9:$G$108,MATCH(D1112,'Taxonomy'!$C$9:$C$108,0)),""))</x:f>
      </x:c>
    </x:row>
    <x:row r="1113" ht="44" customHeight="1">
      <x:c r="A1113" s="1"/>
      <x:c r="B1113" s="1"/>
      <x:c r="C1113" s="8"/>
      <x:c r="D1113" s="8"/>
      <x:c r="E1113" s="8"/>
      <x:c r="F1113" s="8"/>
      <x:c r="G1113" s="8"/>
      <x:c r="H1113" s="8"/>
      <x:c r="I1113" s="8"/>
      <x:c r="J1113" s="8"/>
      <x:c r="K1113" s="8"/>
      <x:c r="L1113" s="8"/>
      <x:c r="M1113" s="10"/>
      <x:c r="N1113" s="10"/>
      <x:c r="O1113" s="8"/>
      <x:c r="P1113" s="9" t="str">
        <x:f>IF(C1113="","",IF(AND(G1113="Applicable",H1113="Fail"),"Fail",IF(R1113&lt;&gt;"Valid","Pending",IF(OR(I1113="",K1113="",L1113="",K1113=L1113,NOT(ISNUMBER(M1113)),NOT(ISNUMBER(N1113)),M1113&gt;Settings!$F$8,N1113&lt;Settings!$F$8,N1113&lt;M1113),"Pending",IF(AND(G1113="Applicable",H1113="Pass"),"Pass",IF(AND(G1113="N/A",H1113="N/A",J1113&lt;&gt;"",OR(E1113="CEM-FUELS",E1113="CEM-CCS",AND(E1113="CEM-PLAN",IFERROR(INDEX('Taxonomy'!$M$9:$M$108,MATCH(D1113,'Taxonomy'!$C$9:$C$108,0)),"")&lt;&gt;"Amber"),E1113="BLD-TIMBER",AND(U1113="Building equipment",OR(E1113="BLD-WATER",E1113="BLD-WASTE",E1113="BLD-LAND")),AND(U1113="Building renovation",E1113="BLD-LAND"))),"N/A","Pending"))))))</x:f>
      </x:c>
      <x:c r="Q1113" s="3" t="str">
        <x:f>IF(C1113="","",IF(AND(R1113="Valid",OR(P1113="Pass",P1113="N/A")),"Complete","Unresolved"))</x:f>
      </x:c>
      <x:c r="R1113" s="9" t="str">
        <x:f>IF(C1113="","",IF(OR(COUNTIF($C$9:$C$2008,C1113)&lt;&gt;1,COUNTIFS($D$9:$D$2008,D1113,$E$9:$E$2008,E1113)&lt;&gt;1),"Duplicate test",IF(COUNTIF('Taxonomy'!$C$9:$C$108,D1113)&lt;&gt;1,"Assessment key",IF(OR(COUNTIF('Taxonomy Rules'!$C$42:$C$68,E1113)&lt;&gt;1,F1113&lt;&gt;IFERROR(INDEX('Taxonomy Rules'!$D$42:$D$68,MATCH(E1113,'Taxonomy Rules'!$C$42:$C$68,0)),""),NOT(OR(IFERROR(INDEX('Taxonomy Rules'!$G$42:$G$68,MATCH(E1113,'Taxonomy Rules'!$C$42:$C$68,0)),"")="All supported routes",IFERROR(INDEX('Taxonomy Rules'!$G$42:$G$68,MATCH(E1113,'Taxonomy Rules'!$C$42:$C$68,0)),"")=U1113,AND(IFERROR(INDEX('Taxonomy Rules'!$G$42:$G$68,MATCH(E1113,'Taxonomy Rules'!$C$42:$C$68,0)),"")="Building routes",OR(U1113="Building renovation",U1113="New building",U1113="Building equipment"))))),"Unexpected test","Valid"))))</x:f>
      </x:c>
      <x:c r="S1113" s="9" t="str">
        <x:f>IF(C1113="","",IFERROR(INDEX('Taxonomy Rules'!$E$42:$E$68,MATCH(E1113,'Taxonomy Rules'!$C$42:$C$68,0)),""))</x:f>
      </x:c>
      <x:c r="T1113" s="9" t="str">
        <x:f>IF(C1113="","",IFERROR(INDEX('Taxonomy Rules'!$F$42:$F$68,MATCH(E1113,'Taxonomy Rules'!$C$42:$C$68,0)),""))</x:f>
      </x:c>
      <x:c r="U1113" s="9" t="str">
        <x:f>IF(C1113="","",IFERROR(INDEX('Taxonomy'!$G$9:$G$108,MATCH(D1113,'Taxonomy'!$C$9:$C$108,0)),""))</x:f>
      </x:c>
    </x:row>
    <x:row r="1114" ht="44" customHeight="1">
      <x:c r="A1114" s="1"/>
      <x:c r="B1114" s="1"/>
      <x:c r="C1114" s="8"/>
      <x:c r="D1114" s="8"/>
      <x:c r="E1114" s="8"/>
      <x:c r="F1114" s="8"/>
      <x:c r="G1114" s="8"/>
      <x:c r="H1114" s="8"/>
      <x:c r="I1114" s="8"/>
      <x:c r="J1114" s="8"/>
      <x:c r="K1114" s="8"/>
      <x:c r="L1114" s="8"/>
      <x:c r="M1114" s="10"/>
      <x:c r="N1114" s="10"/>
      <x:c r="O1114" s="8"/>
      <x:c r="P1114" s="9" t="str">
        <x:f>IF(C1114="","",IF(AND(G1114="Applicable",H1114="Fail"),"Fail",IF(R1114&lt;&gt;"Valid","Pending",IF(OR(I1114="",K1114="",L1114="",K1114=L1114,NOT(ISNUMBER(M1114)),NOT(ISNUMBER(N1114)),M1114&gt;Settings!$F$8,N1114&lt;Settings!$F$8,N1114&lt;M1114),"Pending",IF(AND(G1114="Applicable",H1114="Pass"),"Pass",IF(AND(G1114="N/A",H1114="N/A",J1114&lt;&gt;"",OR(E1114="CEM-FUELS",E1114="CEM-CCS",AND(E1114="CEM-PLAN",IFERROR(INDEX('Taxonomy'!$M$9:$M$108,MATCH(D1114,'Taxonomy'!$C$9:$C$108,0)),"")&lt;&gt;"Amber"),E1114="BLD-TIMBER",AND(U1114="Building equipment",OR(E1114="BLD-WATER",E1114="BLD-WASTE",E1114="BLD-LAND")),AND(U1114="Building renovation",E1114="BLD-LAND"))),"N/A","Pending"))))))</x:f>
      </x:c>
      <x:c r="Q1114" s="3" t="str">
        <x:f>IF(C1114="","",IF(AND(R1114="Valid",OR(P1114="Pass",P1114="N/A")),"Complete","Unresolved"))</x:f>
      </x:c>
      <x:c r="R1114" s="9" t="str">
        <x:f>IF(C1114="","",IF(OR(COUNTIF($C$9:$C$2008,C1114)&lt;&gt;1,COUNTIFS($D$9:$D$2008,D1114,$E$9:$E$2008,E1114)&lt;&gt;1),"Duplicate test",IF(COUNTIF('Taxonomy'!$C$9:$C$108,D1114)&lt;&gt;1,"Assessment key",IF(OR(COUNTIF('Taxonomy Rules'!$C$42:$C$68,E1114)&lt;&gt;1,F1114&lt;&gt;IFERROR(INDEX('Taxonomy Rules'!$D$42:$D$68,MATCH(E1114,'Taxonomy Rules'!$C$42:$C$68,0)),""),NOT(OR(IFERROR(INDEX('Taxonomy Rules'!$G$42:$G$68,MATCH(E1114,'Taxonomy Rules'!$C$42:$C$68,0)),"")="All supported routes",IFERROR(INDEX('Taxonomy Rules'!$G$42:$G$68,MATCH(E1114,'Taxonomy Rules'!$C$42:$C$68,0)),"")=U1114,AND(IFERROR(INDEX('Taxonomy Rules'!$G$42:$G$68,MATCH(E1114,'Taxonomy Rules'!$C$42:$C$68,0)),"")="Building routes",OR(U1114="Building renovation",U1114="New building",U1114="Building equipment"))))),"Unexpected test","Valid"))))</x:f>
      </x:c>
      <x:c r="S1114" s="9" t="str">
        <x:f>IF(C1114="","",IFERROR(INDEX('Taxonomy Rules'!$E$42:$E$68,MATCH(E1114,'Taxonomy Rules'!$C$42:$C$68,0)),""))</x:f>
      </x:c>
      <x:c r="T1114" s="9" t="str">
        <x:f>IF(C1114="","",IFERROR(INDEX('Taxonomy Rules'!$F$42:$F$68,MATCH(E1114,'Taxonomy Rules'!$C$42:$C$68,0)),""))</x:f>
      </x:c>
      <x:c r="U1114" s="9" t="str">
        <x:f>IF(C1114="","",IFERROR(INDEX('Taxonomy'!$G$9:$G$108,MATCH(D1114,'Taxonomy'!$C$9:$C$108,0)),""))</x:f>
      </x:c>
    </x:row>
    <x:row r="1115" ht="44" customHeight="1">
      <x:c r="A1115" s="1"/>
      <x:c r="B1115" s="1"/>
      <x:c r="C1115" s="8"/>
      <x:c r="D1115" s="8"/>
      <x:c r="E1115" s="8"/>
      <x:c r="F1115" s="8"/>
      <x:c r="G1115" s="8"/>
      <x:c r="H1115" s="8"/>
      <x:c r="I1115" s="8"/>
      <x:c r="J1115" s="8"/>
      <x:c r="K1115" s="8"/>
      <x:c r="L1115" s="8"/>
      <x:c r="M1115" s="10"/>
      <x:c r="N1115" s="10"/>
      <x:c r="O1115" s="8"/>
      <x:c r="P1115" s="9" t="str">
        <x:f>IF(C1115="","",IF(AND(G1115="Applicable",H1115="Fail"),"Fail",IF(R1115&lt;&gt;"Valid","Pending",IF(OR(I1115="",K1115="",L1115="",K1115=L1115,NOT(ISNUMBER(M1115)),NOT(ISNUMBER(N1115)),M1115&gt;Settings!$F$8,N1115&lt;Settings!$F$8,N1115&lt;M1115),"Pending",IF(AND(G1115="Applicable",H1115="Pass"),"Pass",IF(AND(G1115="N/A",H1115="N/A",J1115&lt;&gt;"",OR(E1115="CEM-FUELS",E1115="CEM-CCS",AND(E1115="CEM-PLAN",IFERROR(INDEX('Taxonomy'!$M$9:$M$108,MATCH(D1115,'Taxonomy'!$C$9:$C$108,0)),"")&lt;&gt;"Amber"),E1115="BLD-TIMBER",AND(U1115="Building equipment",OR(E1115="BLD-WATER",E1115="BLD-WASTE",E1115="BLD-LAND")),AND(U1115="Building renovation",E1115="BLD-LAND"))),"N/A","Pending"))))))</x:f>
      </x:c>
      <x:c r="Q1115" s="3" t="str">
        <x:f>IF(C1115="","",IF(AND(R1115="Valid",OR(P1115="Pass",P1115="N/A")),"Complete","Unresolved"))</x:f>
      </x:c>
      <x:c r="R1115" s="9" t="str">
        <x:f>IF(C1115="","",IF(OR(COUNTIF($C$9:$C$2008,C1115)&lt;&gt;1,COUNTIFS($D$9:$D$2008,D1115,$E$9:$E$2008,E1115)&lt;&gt;1),"Duplicate test",IF(COUNTIF('Taxonomy'!$C$9:$C$108,D1115)&lt;&gt;1,"Assessment key",IF(OR(COUNTIF('Taxonomy Rules'!$C$42:$C$68,E1115)&lt;&gt;1,F1115&lt;&gt;IFERROR(INDEX('Taxonomy Rules'!$D$42:$D$68,MATCH(E1115,'Taxonomy Rules'!$C$42:$C$68,0)),""),NOT(OR(IFERROR(INDEX('Taxonomy Rules'!$G$42:$G$68,MATCH(E1115,'Taxonomy Rules'!$C$42:$C$68,0)),"")="All supported routes",IFERROR(INDEX('Taxonomy Rules'!$G$42:$G$68,MATCH(E1115,'Taxonomy Rules'!$C$42:$C$68,0)),"")=U1115,AND(IFERROR(INDEX('Taxonomy Rules'!$G$42:$G$68,MATCH(E1115,'Taxonomy Rules'!$C$42:$C$68,0)),"")="Building routes",OR(U1115="Building renovation",U1115="New building",U1115="Building equipment"))))),"Unexpected test","Valid"))))</x:f>
      </x:c>
      <x:c r="S1115" s="9" t="str">
        <x:f>IF(C1115="","",IFERROR(INDEX('Taxonomy Rules'!$E$42:$E$68,MATCH(E1115,'Taxonomy Rules'!$C$42:$C$68,0)),""))</x:f>
      </x:c>
      <x:c r="T1115" s="9" t="str">
        <x:f>IF(C1115="","",IFERROR(INDEX('Taxonomy Rules'!$F$42:$F$68,MATCH(E1115,'Taxonomy Rules'!$C$42:$C$68,0)),""))</x:f>
      </x:c>
      <x:c r="U1115" s="9" t="str">
        <x:f>IF(C1115="","",IFERROR(INDEX('Taxonomy'!$G$9:$G$108,MATCH(D1115,'Taxonomy'!$C$9:$C$108,0)),""))</x:f>
      </x:c>
    </x:row>
    <x:row r="1116" ht="44" customHeight="1">
      <x:c r="A1116" s="1"/>
      <x:c r="B1116" s="1"/>
      <x:c r="C1116" s="8"/>
      <x:c r="D1116" s="8"/>
      <x:c r="E1116" s="8"/>
      <x:c r="F1116" s="8"/>
      <x:c r="G1116" s="8"/>
      <x:c r="H1116" s="8"/>
      <x:c r="I1116" s="8"/>
      <x:c r="J1116" s="8"/>
      <x:c r="K1116" s="8"/>
      <x:c r="L1116" s="8"/>
      <x:c r="M1116" s="10"/>
      <x:c r="N1116" s="10"/>
      <x:c r="O1116" s="8"/>
      <x:c r="P1116" s="9" t="str">
        <x:f>IF(C1116="","",IF(AND(G1116="Applicable",H1116="Fail"),"Fail",IF(R1116&lt;&gt;"Valid","Pending",IF(OR(I1116="",K1116="",L1116="",K1116=L1116,NOT(ISNUMBER(M1116)),NOT(ISNUMBER(N1116)),M1116&gt;Settings!$F$8,N1116&lt;Settings!$F$8,N1116&lt;M1116),"Pending",IF(AND(G1116="Applicable",H1116="Pass"),"Pass",IF(AND(G1116="N/A",H1116="N/A",J1116&lt;&gt;"",OR(E1116="CEM-FUELS",E1116="CEM-CCS",AND(E1116="CEM-PLAN",IFERROR(INDEX('Taxonomy'!$M$9:$M$108,MATCH(D1116,'Taxonomy'!$C$9:$C$108,0)),"")&lt;&gt;"Amber"),E1116="BLD-TIMBER",AND(U1116="Building equipment",OR(E1116="BLD-WATER",E1116="BLD-WASTE",E1116="BLD-LAND")),AND(U1116="Building renovation",E1116="BLD-LAND"))),"N/A","Pending"))))))</x:f>
      </x:c>
      <x:c r="Q1116" s="3" t="str">
        <x:f>IF(C1116="","",IF(AND(R1116="Valid",OR(P1116="Pass",P1116="N/A")),"Complete","Unresolved"))</x:f>
      </x:c>
      <x:c r="R1116" s="9" t="str">
        <x:f>IF(C1116="","",IF(OR(COUNTIF($C$9:$C$2008,C1116)&lt;&gt;1,COUNTIFS($D$9:$D$2008,D1116,$E$9:$E$2008,E1116)&lt;&gt;1),"Duplicate test",IF(COUNTIF('Taxonomy'!$C$9:$C$108,D1116)&lt;&gt;1,"Assessment key",IF(OR(COUNTIF('Taxonomy Rules'!$C$42:$C$68,E1116)&lt;&gt;1,F1116&lt;&gt;IFERROR(INDEX('Taxonomy Rules'!$D$42:$D$68,MATCH(E1116,'Taxonomy Rules'!$C$42:$C$68,0)),""),NOT(OR(IFERROR(INDEX('Taxonomy Rules'!$G$42:$G$68,MATCH(E1116,'Taxonomy Rules'!$C$42:$C$68,0)),"")="All supported routes",IFERROR(INDEX('Taxonomy Rules'!$G$42:$G$68,MATCH(E1116,'Taxonomy Rules'!$C$42:$C$68,0)),"")=U1116,AND(IFERROR(INDEX('Taxonomy Rules'!$G$42:$G$68,MATCH(E1116,'Taxonomy Rules'!$C$42:$C$68,0)),"")="Building routes",OR(U1116="Building renovation",U1116="New building",U1116="Building equipment"))))),"Unexpected test","Valid"))))</x:f>
      </x:c>
      <x:c r="S1116" s="9" t="str">
        <x:f>IF(C1116="","",IFERROR(INDEX('Taxonomy Rules'!$E$42:$E$68,MATCH(E1116,'Taxonomy Rules'!$C$42:$C$68,0)),""))</x:f>
      </x:c>
      <x:c r="T1116" s="9" t="str">
        <x:f>IF(C1116="","",IFERROR(INDEX('Taxonomy Rules'!$F$42:$F$68,MATCH(E1116,'Taxonomy Rules'!$C$42:$C$68,0)),""))</x:f>
      </x:c>
      <x:c r="U1116" s="9" t="str">
        <x:f>IF(C1116="","",IFERROR(INDEX('Taxonomy'!$G$9:$G$108,MATCH(D1116,'Taxonomy'!$C$9:$C$108,0)),""))</x:f>
      </x:c>
    </x:row>
    <x:row r="1117" ht="44" customHeight="1">
      <x:c r="A1117" s="1"/>
      <x:c r="B1117" s="1"/>
      <x:c r="C1117" s="8"/>
      <x:c r="D1117" s="8"/>
      <x:c r="E1117" s="8"/>
      <x:c r="F1117" s="8"/>
      <x:c r="G1117" s="8"/>
      <x:c r="H1117" s="8"/>
      <x:c r="I1117" s="8"/>
      <x:c r="J1117" s="8"/>
      <x:c r="K1117" s="8"/>
      <x:c r="L1117" s="8"/>
      <x:c r="M1117" s="10"/>
      <x:c r="N1117" s="10"/>
      <x:c r="O1117" s="8"/>
      <x:c r="P1117" s="9" t="str">
        <x:f>IF(C1117="","",IF(AND(G1117="Applicable",H1117="Fail"),"Fail",IF(R1117&lt;&gt;"Valid","Pending",IF(OR(I1117="",K1117="",L1117="",K1117=L1117,NOT(ISNUMBER(M1117)),NOT(ISNUMBER(N1117)),M1117&gt;Settings!$F$8,N1117&lt;Settings!$F$8,N1117&lt;M1117),"Pending",IF(AND(G1117="Applicable",H1117="Pass"),"Pass",IF(AND(G1117="N/A",H1117="N/A",J1117&lt;&gt;"",OR(E1117="CEM-FUELS",E1117="CEM-CCS",AND(E1117="CEM-PLAN",IFERROR(INDEX('Taxonomy'!$M$9:$M$108,MATCH(D1117,'Taxonomy'!$C$9:$C$108,0)),"")&lt;&gt;"Amber"),E1117="BLD-TIMBER",AND(U1117="Building equipment",OR(E1117="BLD-WATER",E1117="BLD-WASTE",E1117="BLD-LAND")),AND(U1117="Building renovation",E1117="BLD-LAND"))),"N/A","Pending"))))))</x:f>
      </x:c>
      <x:c r="Q1117" s="3" t="str">
        <x:f>IF(C1117="","",IF(AND(R1117="Valid",OR(P1117="Pass",P1117="N/A")),"Complete","Unresolved"))</x:f>
      </x:c>
      <x:c r="R1117" s="9" t="str">
        <x:f>IF(C1117="","",IF(OR(COUNTIF($C$9:$C$2008,C1117)&lt;&gt;1,COUNTIFS($D$9:$D$2008,D1117,$E$9:$E$2008,E1117)&lt;&gt;1),"Duplicate test",IF(COUNTIF('Taxonomy'!$C$9:$C$108,D1117)&lt;&gt;1,"Assessment key",IF(OR(COUNTIF('Taxonomy Rules'!$C$42:$C$68,E1117)&lt;&gt;1,F1117&lt;&gt;IFERROR(INDEX('Taxonomy Rules'!$D$42:$D$68,MATCH(E1117,'Taxonomy Rules'!$C$42:$C$68,0)),""),NOT(OR(IFERROR(INDEX('Taxonomy Rules'!$G$42:$G$68,MATCH(E1117,'Taxonomy Rules'!$C$42:$C$68,0)),"")="All supported routes",IFERROR(INDEX('Taxonomy Rules'!$G$42:$G$68,MATCH(E1117,'Taxonomy Rules'!$C$42:$C$68,0)),"")=U1117,AND(IFERROR(INDEX('Taxonomy Rules'!$G$42:$G$68,MATCH(E1117,'Taxonomy Rules'!$C$42:$C$68,0)),"")="Building routes",OR(U1117="Building renovation",U1117="New building",U1117="Building equipment"))))),"Unexpected test","Valid"))))</x:f>
      </x:c>
      <x:c r="S1117" s="9" t="str">
        <x:f>IF(C1117="","",IFERROR(INDEX('Taxonomy Rules'!$E$42:$E$68,MATCH(E1117,'Taxonomy Rules'!$C$42:$C$68,0)),""))</x:f>
      </x:c>
      <x:c r="T1117" s="9" t="str">
        <x:f>IF(C1117="","",IFERROR(INDEX('Taxonomy Rules'!$F$42:$F$68,MATCH(E1117,'Taxonomy Rules'!$C$42:$C$68,0)),""))</x:f>
      </x:c>
      <x:c r="U1117" s="9" t="str">
        <x:f>IF(C1117="","",IFERROR(INDEX('Taxonomy'!$G$9:$G$108,MATCH(D1117,'Taxonomy'!$C$9:$C$108,0)),""))</x:f>
      </x:c>
    </x:row>
    <x:row r="1118" ht="44" customHeight="1">
      <x:c r="A1118" s="1"/>
      <x:c r="B1118" s="1"/>
      <x:c r="C1118" s="8"/>
      <x:c r="D1118" s="8"/>
      <x:c r="E1118" s="8"/>
      <x:c r="F1118" s="8"/>
      <x:c r="G1118" s="8"/>
      <x:c r="H1118" s="8"/>
      <x:c r="I1118" s="8"/>
      <x:c r="J1118" s="8"/>
      <x:c r="K1118" s="8"/>
      <x:c r="L1118" s="8"/>
      <x:c r="M1118" s="10"/>
      <x:c r="N1118" s="10"/>
      <x:c r="O1118" s="8"/>
      <x:c r="P1118" s="9" t="str">
        <x:f>IF(C1118="","",IF(AND(G1118="Applicable",H1118="Fail"),"Fail",IF(R1118&lt;&gt;"Valid","Pending",IF(OR(I1118="",K1118="",L1118="",K1118=L1118,NOT(ISNUMBER(M1118)),NOT(ISNUMBER(N1118)),M1118&gt;Settings!$F$8,N1118&lt;Settings!$F$8,N1118&lt;M1118),"Pending",IF(AND(G1118="Applicable",H1118="Pass"),"Pass",IF(AND(G1118="N/A",H1118="N/A",J1118&lt;&gt;"",OR(E1118="CEM-FUELS",E1118="CEM-CCS",AND(E1118="CEM-PLAN",IFERROR(INDEX('Taxonomy'!$M$9:$M$108,MATCH(D1118,'Taxonomy'!$C$9:$C$108,0)),"")&lt;&gt;"Amber"),E1118="BLD-TIMBER",AND(U1118="Building equipment",OR(E1118="BLD-WATER",E1118="BLD-WASTE",E1118="BLD-LAND")),AND(U1118="Building renovation",E1118="BLD-LAND"))),"N/A","Pending"))))))</x:f>
      </x:c>
      <x:c r="Q1118" s="3" t="str">
        <x:f>IF(C1118="","",IF(AND(R1118="Valid",OR(P1118="Pass",P1118="N/A")),"Complete","Unresolved"))</x:f>
      </x:c>
      <x:c r="R1118" s="9" t="str">
        <x:f>IF(C1118="","",IF(OR(COUNTIF($C$9:$C$2008,C1118)&lt;&gt;1,COUNTIFS($D$9:$D$2008,D1118,$E$9:$E$2008,E1118)&lt;&gt;1),"Duplicate test",IF(COUNTIF('Taxonomy'!$C$9:$C$108,D1118)&lt;&gt;1,"Assessment key",IF(OR(COUNTIF('Taxonomy Rules'!$C$42:$C$68,E1118)&lt;&gt;1,F1118&lt;&gt;IFERROR(INDEX('Taxonomy Rules'!$D$42:$D$68,MATCH(E1118,'Taxonomy Rules'!$C$42:$C$68,0)),""),NOT(OR(IFERROR(INDEX('Taxonomy Rules'!$G$42:$G$68,MATCH(E1118,'Taxonomy Rules'!$C$42:$C$68,0)),"")="All supported routes",IFERROR(INDEX('Taxonomy Rules'!$G$42:$G$68,MATCH(E1118,'Taxonomy Rules'!$C$42:$C$68,0)),"")=U1118,AND(IFERROR(INDEX('Taxonomy Rules'!$G$42:$G$68,MATCH(E1118,'Taxonomy Rules'!$C$42:$C$68,0)),"")="Building routes",OR(U1118="Building renovation",U1118="New building",U1118="Building equipment"))))),"Unexpected test","Valid"))))</x:f>
      </x:c>
      <x:c r="S1118" s="9" t="str">
        <x:f>IF(C1118="","",IFERROR(INDEX('Taxonomy Rules'!$E$42:$E$68,MATCH(E1118,'Taxonomy Rules'!$C$42:$C$68,0)),""))</x:f>
      </x:c>
      <x:c r="T1118" s="9" t="str">
        <x:f>IF(C1118="","",IFERROR(INDEX('Taxonomy Rules'!$F$42:$F$68,MATCH(E1118,'Taxonomy Rules'!$C$42:$C$68,0)),""))</x:f>
      </x:c>
      <x:c r="U1118" s="9" t="str">
        <x:f>IF(C1118="","",IFERROR(INDEX('Taxonomy'!$G$9:$G$108,MATCH(D1118,'Taxonomy'!$C$9:$C$108,0)),""))</x:f>
      </x:c>
    </x:row>
    <x:row r="1119" ht="44" customHeight="1">
      <x:c r="A1119" s="1"/>
      <x:c r="B1119" s="1"/>
      <x:c r="C1119" s="8"/>
      <x:c r="D1119" s="8"/>
      <x:c r="E1119" s="8"/>
      <x:c r="F1119" s="8"/>
      <x:c r="G1119" s="8"/>
      <x:c r="H1119" s="8"/>
      <x:c r="I1119" s="8"/>
      <x:c r="J1119" s="8"/>
      <x:c r="K1119" s="8"/>
      <x:c r="L1119" s="8"/>
      <x:c r="M1119" s="10"/>
      <x:c r="N1119" s="10"/>
      <x:c r="O1119" s="8"/>
      <x:c r="P1119" s="9" t="str">
        <x:f>IF(C1119="","",IF(AND(G1119="Applicable",H1119="Fail"),"Fail",IF(R1119&lt;&gt;"Valid","Pending",IF(OR(I1119="",K1119="",L1119="",K1119=L1119,NOT(ISNUMBER(M1119)),NOT(ISNUMBER(N1119)),M1119&gt;Settings!$F$8,N1119&lt;Settings!$F$8,N1119&lt;M1119),"Pending",IF(AND(G1119="Applicable",H1119="Pass"),"Pass",IF(AND(G1119="N/A",H1119="N/A",J1119&lt;&gt;"",OR(E1119="CEM-FUELS",E1119="CEM-CCS",AND(E1119="CEM-PLAN",IFERROR(INDEX('Taxonomy'!$M$9:$M$108,MATCH(D1119,'Taxonomy'!$C$9:$C$108,0)),"")&lt;&gt;"Amber"),E1119="BLD-TIMBER",AND(U1119="Building equipment",OR(E1119="BLD-WATER",E1119="BLD-WASTE",E1119="BLD-LAND")),AND(U1119="Building renovation",E1119="BLD-LAND"))),"N/A","Pending"))))))</x:f>
      </x:c>
      <x:c r="Q1119" s="3" t="str">
        <x:f>IF(C1119="","",IF(AND(R1119="Valid",OR(P1119="Pass",P1119="N/A")),"Complete","Unresolved"))</x:f>
      </x:c>
      <x:c r="R1119" s="9" t="str">
        <x:f>IF(C1119="","",IF(OR(COUNTIF($C$9:$C$2008,C1119)&lt;&gt;1,COUNTIFS($D$9:$D$2008,D1119,$E$9:$E$2008,E1119)&lt;&gt;1),"Duplicate test",IF(COUNTIF('Taxonomy'!$C$9:$C$108,D1119)&lt;&gt;1,"Assessment key",IF(OR(COUNTIF('Taxonomy Rules'!$C$42:$C$68,E1119)&lt;&gt;1,F1119&lt;&gt;IFERROR(INDEX('Taxonomy Rules'!$D$42:$D$68,MATCH(E1119,'Taxonomy Rules'!$C$42:$C$68,0)),""),NOT(OR(IFERROR(INDEX('Taxonomy Rules'!$G$42:$G$68,MATCH(E1119,'Taxonomy Rules'!$C$42:$C$68,0)),"")="All supported routes",IFERROR(INDEX('Taxonomy Rules'!$G$42:$G$68,MATCH(E1119,'Taxonomy Rules'!$C$42:$C$68,0)),"")=U1119,AND(IFERROR(INDEX('Taxonomy Rules'!$G$42:$G$68,MATCH(E1119,'Taxonomy Rules'!$C$42:$C$68,0)),"")="Building routes",OR(U1119="Building renovation",U1119="New building",U1119="Building equipment"))))),"Unexpected test","Valid"))))</x:f>
      </x:c>
      <x:c r="S1119" s="9" t="str">
        <x:f>IF(C1119="","",IFERROR(INDEX('Taxonomy Rules'!$E$42:$E$68,MATCH(E1119,'Taxonomy Rules'!$C$42:$C$68,0)),""))</x:f>
      </x:c>
      <x:c r="T1119" s="9" t="str">
        <x:f>IF(C1119="","",IFERROR(INDEX('Taxonomy Rules'!$F$42:$F$68,MATCH(E1119,'Taxonomy Rules'!$C$42:$C$68,0)),""))</x:f>
      </x:c>
      <x:c r="U1119" s="9" t="str">
        <x:f>IF(C1119="","",IFERROR(INDEX('Taxonomy'!$G$9:$G$108,MATCH(D1119,'Taxonomy'!$C$9:$C$108,0)),""))</x:f>
      </x:c>
    </x:row>
    <x:row r="1120" ht="44" customHeight="1">
      <x:c r="A1120" s="1"/>
      <x:c r="B1120" s="1"/>
      <x:c r="C1120" s="8"/>
      <x:c r="D1120" s="8"/>
      <x:c r="E1120" s="8"/>
      <x:c r="F1120" s="8"/>
      <x:c r="G1120" s="8"/>
      <x:c r="H1120" s="8"/>
      <x:c r="I1120" s="8"/>
      <x:c r="J1120" s="8"/>
      <x:c r="K1120" s="8"/>
      <x:c r="L1120" s="8"/>
      <x:c r="M1120" s="10"/>
      <x:c r="N1120" s="10"/>
      <x:c r="O1120" s="8"/>
      <x:c r="P1120" s="9" t="str">
        <x:f>IF(C1120="","",IF(AND(G1120="Applicable",H1120="Fail"),"Fail",IF(R1120&lt;&gt;"Valid","Pending",IF(OR(I1120="",K1120="",L1120="",K1120=L1120,NOT(ISNUMBER(M1120)),NOT(ISNUMBER(N1120)),M1120&gt;Settings!$F$8,N1120&lt;Settings!$F$8,N1120&lt;M1120),"Pending",IF(AND(G1120="Applicable",H1120="Pass"),"Pass",IF(AND(G1120="N/A",H1120="N/A",J1120&lt;&gt;"",OR(E1120="CEM-FUELS",E1120="CEM-CCS",AND(E1120="CEM-PLAN",IFERROR(INDEX('Taxonomy'!$M$9:$M$108,MATCH(D1120,'Taxonomy'!$C$9:$C$108,0)),"")&lt;&gt;"Amber"),E1120="BLD-TIMBER",AND(U1120="Building equipment",OR(E1120="BLD-WATER",E1120="BLD-WASTE",E1120="BLD-LAND")),AND(U1120="Building renovation",E1120="BLD-LAND"))),"N/A","Pending"))))))</x:f>
      </x:c>
      <x:c r="Q1120" s="3" t="str">
        <x:f>IF(C1120="","",IF(AND(R1120="Valid",OR(P1120="Pass",P1120="N/A")),"Complete","Unresolved"))</x:f>
      </x:c>
      <x:c r="R1120" s="9" t="str">
        <x:f>IF(C1120="","",IF(OR(COUNTIF($C$9:$C$2008,C1120)&lt;&gt;1,COUNTIFS($D$9:$D$2008,D1120,$E$9:$E$2008,E1120)&lt;&gt;1),"Duplicate test",IF(COUNTIF('Taxonomy'!$C$9:$C$108,D1120)&lt;&gt;1,"Assessment key",IF(OR(COUNTIF('Taxonomy Rules'!$C$42:$C$68,E1120)&lt;&gt;1,F1120&lt;&gt;IFERROR(INDEX('Taxonomy Rules'!$D$42:$D$68,MATCH(E1120,'Taxonomy Rules'!$C$42:$C$68,0)),""),NOT(OR(IFERROR(INDEX('Taxonomy Rules'!$G$42:$G$68,MATCH(E1120,'Taxonomy Rules'!$C$42:$C$68,0)),"")="All supported routes",IFERROR(INDEX('Taxonomy Rules'!$G$42:$G$68,MATCH(E1120,'Taxonomy Rules'!$C$42:$C$68,0)),"")=U1120,AND(IFERROR(INDEX('Taxonomy Rules'!$G$42:$G$68,MATCH(E1120,'Taxonomy Rules'!$C$42:$C$68,0)),"")="Building routes",OR(U1120="Building renovation",U1120="New building",U1120="Building equipment"))))),"Unexpected test","Valid"))))</x:f>
      </x:c>
      <x:c r="S1120" s="9" t="str">
        <x:f>IF(C1120="","",IFERROR(INDEX('Taxonomy Rules'!$E$42:$E$68,MATCH(E1120,'Taxonomy Rules'!$C$42:$C$68,0)),""))</x:f>
      </x:c>
      <x:c r="T1120" s="9" t="str">
        <x:f>IF(C1120="","",IFERROR(INDEX('Taxonomy Rules'!$F$42:$F$68,MATCH(E1120,'Taxonomy Rules'!$C$42:$C$68,0)),""))</x:f>
      </x:c>
      <x:c r="U1120" s="9" t="str">
        <x:f>IF(C1120="","",IFERROR(INDEX('Taxonomy'!$G$9:$G$108,MATCH(D1120,'Taxonomy'!$C$9:$C$108,0)),""))</x:f>
      </x:c>
    </x:row>
    <x:row r="1121" ht="44" customHeight="1">
      <x:c r="A1121" s="1"/>
      <x:c r="B1121" s="1"/>
      <x:c r="C1121" s="8"/>
      <x:c r="D1121" s="8"/>
      <x:c r="E1121" s="8"/>
      <x:c r="F1121" s="8"/>
      <x:c r="G1121" s="8"/>
      <x:c r="H1121" s="8"/>
      <x:c r="I1121" s="8"/>
      <x:c r="J1121" s="8"/>
      <x:c r="K1121" s="8"/>
      <x:c r="L1121" s="8"/>
      <x:c r="M1121" s="10"/>
      <x:c r="N1121" s="10"/>
      <x:c r="O1121" s="8"/>
      <x:c r="P1121" s="9" t="str">
        <x:f>IF(C1121="","",IF(AND(G1121="Applicable",H1121="Fail"),"Fail",IF(R1121&lt;&gt;"Valid","Pending",IF(OR(I1121="",K1121="",L1121="",K1121=L1121,NOT(ISNUMBER(M1121)),NOT(ISNUMBER(N1121)),M1121&gt;Settings!$F$8,N1121&lt;Settings!$F$8,N1121&lt;M1121),"Pending",IF(AND(G1121="Applicable",H1121="Pass"),"Pass",IF(AND(G1121="N/A",H1121="N/A",J1121&lt;&gt;"",OR(E1121="CEM-FUELS",E1121="CEM-CCS",AND(E1121="CEM-PLAN",IFERROR(INDEX('Taxonomy'!$M$9:$M$108,MATCH(D1121,'Taxonomy'!$C$9:$C$108,0)),"")&lt;&gt;"Amber"),E1121="BLD-TIMBER",AND(U1121="Building equipment",OR(E1121="BLD-WATER",E1121="BLD-WASTE",E1121="BLD-LAND")),AND(U1121="Building renovation",E1121="BLD-LAND"))),"N/A","Pending"))))))</x:f>
      </x:c>
      <x:c r="Q1121" s="3" t="str">
        <x:f>IF(C1121="","",IF(AND(R1121="Valid",OR(P1121="Pass",P1121="N/A")),"Complete","Unresolved"))</x:f>
      </x:c>
      <x:c r="R1121" s="9" t="str">
        <x:f>IF(C1121="","",IF(OR(COUNTIF($C$9:$C$2008,C1121)&lt;&gt;1,COUNTIFS($D$9:$D$2008,D1121,$E$9:$E$2008,E1121)&lt;&gt;1),"Duplicate test",IF(COUNTIF('Taxonomy'!$C$9:$C$108,D1121)&lt;&gt;1,"Assessment key",IF(OR(COUNTIF('Taxonomy Rules'!$C$42:$C$68,E1121)&lt;&gt;1,F1121&lt;&gt;IFERROR(INDEX('Taxonomy Rules'!$D$42:$D$68,MATCH(E1121,'Taxonomy Rules'!$C$42:$C$68,0)),""),NOT(OR(IFERROR(INDEX('Taxonomy Rules'!$G$42:$G$68,MATCH(E1121,'Taxonomy Rules'!$C$42:$C$68,0)),"")="All supported routes",IFERROR(INDEX('Taxonomy Rules'!$G$42:$G$68,MATCH(E1121,'Taxonomy Rules'!$C$42:$C$68,0)),"")=U1121,AND(IFERROR(INDEX('Taxonomy Rules'!$G$42:$G$68,MATCH(E1121,'Taxonomy Rules'!$C$42:$C$68,0)),"")="Building routes",OR(U1121="Building renovation",U1121="New building",U1121="Building equipment"))))),"Unexpected test","Valid"))))</x:f>
      </x:c>
      <x:c r="S1121" s="9" t="str">
        <x:f>IF(C1121="","",IFERROR(INDEX('Taxonomy Rules'!$E$42:$E$68,MATCH(E1121,'Taxonomy Rules'!$C$42:$C$68,0)),""))</x:f>
      </x:c>
      <x:c r="T1121" s="9" t="str">
        <x:f>IF(C1121="","",IFERROR(INDEX('Taxonomy Rules'!$F$42:$F$68,MATCH(E1121,'Taxonomy Rules'!$C$42:$C$68,0)),""))</x:f>
      </x:c>
      <x:c r="U1121" s="9" t="str">
        <x:f>IF(C1121="","",IFERROR(INDEX('Taxonomy'!$G$9:$G$108,MATCH(D1121,'Taxonomy'!$C$9:$C$108,0)),""))</x:f>
      </x:c>
    </x:row>
    <x:row r="1122" ht="44" customHeight="1">
      <x:c r="A1122" s="1"/>
      <x:c r="B1122" s="1"/>
      <x:c r="C1122" s="8"/>
      <x:c r="D1122" s="8"/>
      <x:c r="E1122" s="8"/>
      <x:c r="F1122" s="8"/>
      <x:c r="G1122" s="8"/>
      <x:c r="H1122" s="8"/>
      <x:c r="I1122" s="8"/>
      <x:c r="J1122" s="8"/>
      <x:c r="K1122" s="8"/>
      <x:c r="L1122" s="8"/>
      <x:c r="M1122" s="10"/>
      <x:c r="N1122" s="10"/>
      <x:c r="O1122" s="8"/>
      <x:c r="P1122" s="9" t="str">
        <x:f>IF(C1122="","",IF(AND(G1122="Applicable",H1122="Fail"),"Fail",IF(R1122&lt;&gt;"Valid","Pending",IF(OR(I1122="",K1122="",L1122="",K1122=L1122,NOT(ISNUMBER(M1122)),NOT(ISNUMBER(N1122)),M1122&gt;Settings!$F$8,N1122&lt;Settings!$F$8,N1122&lt;M1122),"Pending",IF(AND(G1122="Applicable",H1122="Pass"),"Pass",IF(AND(G1122="N/A",H1122="N/A",J1122&lt;&gt;"",OR(E1122="CEM-FUELS",E1122="CEM-CCS",AND(E1122="CEM-PLAN",IFERROR(INDEX('Taxonomy'!$M$9:$M$108,MATCH(D1122,'Taxonomy'!$C$9:$C$108,0)),"")&lt;&gt;"Amber"),E1122="BLD-TIMBER",AND(U1122="Building equipment",OR(E1122="BLD-WATER",E1122="BLD-WASTE",E1122="BLD-LAND")),AND(U1122="Building renovation",E1122="BLD-LAND"))),"N/A","Pending"))))))</x:f>
      </x:c>
      <x:c r="Q1122" s="3" t="str">
        <x:f>IF(C1122="","",IF(AND(R1122="Valid",OR(P1122="Pass",P1122="N/A")),"Complete","Unresolved"))</x:f>
      </x:c>
      <x:c r="R1122" s="9" t="str">
        <x:f>IF(C1122="","",IF(OR(COUNTIF($C$9:$C$2008,C1122)&lt;&gt;1,COUNTIFS($D$9:$D$2008,D1122,$E$9:$E$2008,E1122)&lt;&gt;1),"Duplicate test",IF(COUNTIF('Taxonomy'!$C$9:$C$108,D1122)&lt;&gt;1,"Assessment key",IF(OR(COUNTIF('Taxonomy Rules'!$C$42:$C$68,E1122)&lt;&gt;1,F1122&lt;&gt;IFERROR(INDEX('Taxonomy Rules'!$D$42:$D$68,MATCH(E1122,'Taxonomy Rules'!$C$42:$C$68,0)),""),NOT(OR(IFERROR(INDEX('Taxonomy Rules'!$G$42:$G$68,MATCH(E1122,'Taxonomy Rules'!$C$42:$C$68,0)),"")="All supported routes",IFERROR(INDEX('Taxonomy Rules'!$G$42:$G$68,MATCH(E1122,'Taxonomy Rules'!$C$42:$C$68,0)),"")=U1122,AND(IFERROR(INDEX('Taxonomy Rules'!$G$42:$G$68,MATCH(E1122,'Taxonomy Rules'!$C$42:$C$68,0)),"")="Building routes",OR(U1122="Building renovation",U1122="New building",U1122="Building equipment"))))),"Unexpected test","Valid"))))</x:f>
      </x:c>
      <x:c r="S1122" s="9" t="str">
        <x:f>IF(C1122="","",IFERROR(INDEX('Taxonomy Rules'!$E$42:$E$68,MATCH(E1122,'Taxonomy Rules'!$C$42:$C$68,0)),""))</x:f>
      </x:c>
      <x:c r="T1122" s="9" t="str">
        <x:f>IF(C1122="","",IFERROR(INDEX('Taxonomy Rules'!$F$42:$F$68,MATCH(E1122,'Taxonomy Rules'!$C$42:$C$68,0)),""))</x:f>
      </x:c>
      <x:c r="U1122" s="9" t="str">
        <x:f>IF(C1122="","",IFERROR(INDEX('Taxonomy'!$G$9:$G$108,MATCH(D1122,'Taxonomy'!$C$9:$C$108,0)),""))</x:f>
      </x:c>
    </x:row>
    <x:row r="1123" ht="44" customHeight="1">
      <x:c r="A1123" s="1"/>
      <x:c r="B1123" s="1"/>
      <x:c r="C1123" s="8"/>
      <x:c r="D1123" s="8"/>
      <x:c r="E1123" s="8"/>
      <x:c r="F1123" s="8"/>
      <x:c r="G1123" s="8"/>
      <x:c r="H1123" s="8"/>
      <x:c r="I1123" s="8"/>
      <x:c r="J1123" s="8"/>
      <x:c r="K1123" s="8"/>
      <x:c r="L1123" s="8"/>
      <x:c r="M1123" s="10"/>
      <x:c r="N1123" s="10"/>
      <x:c r="O1123" s="8"/>
      <x:c r="P1123" s="9" t="str">
        <x:f>IF(C1123="","",IF(AND(G1123="Applicable",H1123="Fail"),"Fail",IF(R1123&lt;&gt;"Valid","Pending",IF(OR(I1123="",K1123="",L1123="",K1123=L1123,NOT(ISNUMBER(M1123)),NOT(ISNUMBER(N1123)),M1123&gt;Settings!$F$8,N1123&lt;Settings!$F$8,N1123&lt;M1123),"Pending",IF(AND(G1123="Applicable",H1123="Pass"),"Pass",IF(AND(G1123="N/A",H1123="N/A",J1123&lt;&gt;"",OR(E1123="CEM-FUELS",E1123="CEM-CCS",AND(E1123="CEM-PLAN",IFERROR(INDEX('Taxonomy'!$M$9:$M$108,MATCH(D1123,'Taxonomy'!$C$9:$C$108,0)),"")&lt;&gt;"Amber"),E1123="BLD-TIMBER",AND(U1123="Building equipment",OR(E1123="BLD-WATER",E1123="BLD-WASTE",E1123="BLD-LAND")),AND(U1123="Building renovation",E1123="BLD-LAND"))),"N/A","Pending"))))))</x:f>
      </x:c>
      <x:c r="Q1123" s="3" t="str">
        <x:f>IF(C1123="","",IF(AND(R1123="Valid",OR(P1123="Pass",P1123="N/A")),"Complete","Unresolved"))</x:f>
      </x:c>
      <x:c r="R1123" s="9" t="str">
        <x:f>IF(C1123="","",IF(OR(COUNTIF($C$9:$C$2008,C1123)&lt;&gt;1,COUNTIFS($D$9:$D$2008,D1123,$E$9:$E$2008,E1123)&lt;&gt;1),"Duplicate test",IF(COUNTIF('Taxonomy'!$C$9:$C$108,D1123)&lt;&gt;1,"Assessment key",IF(OR(COUNTIF('Taxonomy Rules'!$C$42:$C$68,E1123)&lt;&gt;1,F1123&lt;&gt;IFERROR(INDEX('Taxonomy Rules'!$D$42:$D$68,MATCH(E1123,'Taxonomy Rules'!$C$42:$C$68,0)),""),NOT(OR(IFERROR(INDEX('Taxonomy Rules'!$G$42:$G$68,MATCH(E1123,'Taxonomy Rules'!$C$42:$C$68,0)),"")="All supported routes",IFERROR(INDEX('Taxonomy Rules'!$G$42:$G$68,MATCH(E1123,'Taxonomy Rules'!$C$42:$C$68,0)),"")=U1123,AND(IFERROR(INDEX('Taxonomy Rules'!$G$42:$G$68,MATCH(E1123,'Taxonomy Rules'!$C$42:$C$68,0)),"")="Building routes",OR(U1123="Building renovation",U1123="New building",U1123="Building equipment"))))),"Unexpected test","Valid"))))</x:f>
      </x:c>
      <x:c r="S1123" s="9" t="str">
        <x:f>IF(C1123="","",IFERROR(INDEX('Taxonomy Rules'!$E$42:$E$68,MATCH(E1123,'Taxonomy Rules'!$C$42:$C$68,0)),""))</x:f>
      </x:c>
      <x:c r="T1123" s="9" t="str">
        <x:f>IF(C1123="","",IFERROR(INDEX('Taxonomy Rules'!$F$42:$F$68,MATCH(E1123,'Taxonomy Rules'!$C$42:$C$68,0)),""))</x:f>
      </x:c>
      <x:c r="U1123" s="9" t="str">
        <x:f>IF(C1123="","",IFERROR(INDEX('Taxonomy'!$G$9:$G$108,MATCH(D1123,'Taxonomy'!$C$9:$C$108,0)),""))</x:f>
      </x:c>
    </x:row>
    <x:row r="1124" ht="44" customHeight="1">
      <x:c r="A1124" s="1"/>
      <x:c r="B1124" s="1"/>
      <x:c r="C1124" s="8"/>
      <x:c r="D1124" s="8"/>
      <x:c r="E1124" s="8"/>
      <x:c r="F1124" s="8"/>
      <x:c r="G1124" s="8"/>
      <x:c r="H1124" s="8"/>
      <x:c r="I1124" s="8"/>
      <x:c r="J1124" s="8"/>
      <x:c r="K1124" s="8"/>
      <x:c r="L1124" s="8"/>
      <x:c r="M1124" s="10"/>
      <x:c r="N1124" s="10"/>
      <x:c r="O1124" s="8"/>
      <x:c r="P1124" s="9" t="str">
        <x:f>IF(C1124="","",IF(AND(G1124="Applicable",H1124="Fail"),"Fail",IF(R1124&lt;&gt;"Valid","Pending",IF(OR(I1124="",K1124="",L1124="",K1124=L1124,NOT(ISNUMBER(M1124)),NOT(ISNUMBER(N1124)),M1124&gt;Settings!$F$8,N1124&lt;Settings!$F$8,N1124&lt;M1124),"Pending",IF(AND(G1124="Applicable",H1124="Pass"),"Pass",IF(AND(G1124="N/A",H1124="N/A",J1124&lt;&gt;"",OR(E1124="CEM-FUELS",E1124="CEM-CCS",AND(E1124="CEM-PLAN",IFERROR(INDEX('Taxonomy'!$M$9:$M$108,MATCH(D1124,'Taxonomy'!$C$9:$C$108,0)),"")&lt;&gt;"Amber"),E1124="BLD-TIMBER",AND(U1124="Building equipment",OR(E1124="BLD-WATER",E1124="BLD-WASTE",E1124="BLD-LAND")),AND(U1124="Building renovation",E1124="BLD-LAND"))),"N/A","Pending"))))))</x:f>
      </x:c>
      <x:c r="Q1124" s="3" t="str">
        <x:f>IF(C1124="","",IF(AND(R1124="Valid",OR(P1124="Pass",P1124="N/A")),"Complete","Unresolved"))</x:f>
      </x:c>
      <x:c r="R1124" s="9" t="str">
        <x:f>IF(C1124="","",IF(OR(COUNTIF($C$9:$C$2008,C1124)&lt;&gt;1,COUNTIFS($D$9:$D$2008,D1124,$E$9:$E$2008,E1124)&lt;&gt;1),"Duplicate test",IF(COUNTIF('Taxonomy'!$C$9:$C$108,D1124)&lt;&gt;1,"Assessment key",IF(OR(COUNTIF('Taxonomy Rules'!$C$42:$C$68,E1124)&lt;&gt;1,F1124&lt;&gt;IFERROR(INDEX('Taxonomy Rules'!$D$42:$D$68,MATCH(E1124,'Taxonomy Rules'!$C$42:$C$68,0)),""),NOT(OR(IFERROR(INDEX('Taxonomy Rules'!$G$42:$G$68,MATCH(E1124,'Taxonomy Rules'!$C$42:$C$68,0)),"")="All supported routes",IFERROR(INDEX('Taxonomy Rules'!$G$42:$G$68,MATCH(E1124,'Taxonomy Rules'!$C$42:$C$68,0)),"")=U1124,AND(IFERROR(INDEX('Taxonomy Rules'!$G$42:$G$68,MATCH(E1124,'Taxonomy Rules'!$C$42:$C$68,0)),"")="Building routes",OR(U1124="Building renovation",U1124="New building",U1124="Building equipment"))))),"Unexpected test","Valid"))))</x:f>
      </x:c>
      <x:c r="S1124" s="9" t="str">
        <x:f>IF(C1124="","",IFERROR(INDEX('Taxonomy Rules'!$E$42:$E$68,MATCH(E1124,'Taxonomy Rules'!$C$42:$C$68,0)),""))</x:f>
      </x:c>
      <x:c r="T1124" s="9" t="str">
        <x:f>IF(C1124="","",IFERROR(INDEX('Taxonomy Rules'!$F$42:$F$68,MATCH(E1124,'Taxonomy Rules'!$C$42:$C$68,0)),""))</x:f>
      </x:c>
      <x:c r="U1124" s="9" t="str">
        <x:f>IF(C1124="","",IFERROR(INDEX('Taxonomy'!$G$9:$G$108,MATCH(D1124,'Taxonomy'!$C$9:$C$108,0)),""))</x:f>
      </x:c>
    </x:row>
    <x:row r="1125" ht="44" customHeight="1">
      <x:c r="A1125" s="1"/>
      <x:c r="B1125" s="1"/>
      <x:c r="C1125" s="8"/>
      <x:c r="D1125" s="8"/>
      <x:c r="E1125" s="8"/>
      <x:c r="F1125" s="8"/>
      <x:c r="G1125" s="8"/>
      <x:c r="H1125" s="8"/>
      <x:c r="I1125" s="8"/>
      <x:c r="J1125" s="8"/>
      <x:c r="K1125" s="8"/>
      <x:c r="L1125" s="8"/>
      <x:c r="M1125" s="10"/>
      <x:c r="N1125" s="10"/>
      <x:c r="O1125" s="8"/>
      <x:c r="P1125" s="9" t="str">
        <x:f>IF(C1125="","",IF(AND(G1125="Applicable",H1125="Fail"),"Fail",IF(R1125&lt;&gt;"Valid","Pending",IF(OR(I1125="",K1125="",L1125="",K1125=L1125,NOT(ISNUMBER(M1125)),NOT(ISNUMBER(N1125)),M1125&gt;Settings!$F$8,N1125&lt;Settings!$F$8,N1125&lt;M1125),"Pending",IF(AND(G1125="Applicable",H1125="Pass"),"Pass",IF(AND(G1125="N/A",H1125="N/A",J1125&lt;&gt;"",OR(E1125="CEM-FUELS",E1125="CEM-CCS",AND(E1125="CEM-PLAN",IFERROR(INDEX('Taxonomy'!$M$9:$M$108,MATCH(D1125,'Taxonomy'!$C$9:$C$108,0)),"")&lt;&gt;"Amber"),E1125="BLD-TIMBER",AND(U1125="Building equipment",OR(E1125="BLD-WATER",E1125="BLD-WASTE",E1125="BLD-LAND")),AND(U1125="Building renovation",E1125="BLD-LAND"))),"N/A","Pending"))))))</x:f>
      </x:c>
      <x:c r="Q1125" s="3" t="str">
        <x:f>IF(C1125="","",IF(AND(R1125="Valid",OR(P1125="Pass",P1125="N/A")),"Complete","Unresolved"))</x:f>
      </x:c>
      <x:c r="R1125" s="9" t="str">
        <x:f>IF(C1125="","",IF(OR(COUNTIF($C$9:$C$2008,C1125)&lt;&gt;1,COUNTIFS($D$9:$D$2008,D1125,$E$9:$E$2008,E1125)&lt;&gt;1),"Duplicate test",IF(COUNTIF('Taxonomy'!$C$9:$C$108,D1125)&lt;&gt;1,"Assessment key",IF(OR(COUNTIF('Taxonomy Rules'!$C$42:$C$68,E1125)&lt;&gt;1,F1125&lt;&gt;IFERROR(INDEX('Taxonomy Rules'!$D$42:$D$68,MATCH(E1125,'Taxonomy Rules'!$C$42:$C$68,0)),""),NOT(OR(IFERROR(INDEX('Taxonomy Rules'!$G$42:$G$68,MATCH(E1125,'Taxonomy Rules'!$C$42:$C$68,0)),"")="All supported routes",IFERROR(INDEX('Taxonomy Rules'!$G$42:$G$68,MATCH(E1125,'Taxonomy Rules'!$C$42:$C$68,0)),"")=U1125,AND(IFERROR(INDEX('Taxonomy Rules'!$G$42:$G$68,MATCH(E1125,'Taxonomy Rules'!$C$42:$C$68,0)),"")="Building routes",OR(U1125="Building renovation",U1125="New building",U1125="Building equipment"))))),"Unexpected test","Valid"))))</x:f>
      </x:c>
      <x:c r="S1125" s="9" t="str">
        <x:f>IF(C1125="","",IFERROR(INDEX('Taxonomy Rules'!$E$42:$E$68,MATCH(E1125,'Taxonomy Rules'!$C$42:$C$68,0)),""))</x:f>
      </x:c>
      <x:c r="T1125" s="9" t="str">
        <x:f>IF(C1125="","",IFERROR(INDEX('Taxonomy Rules'!$F$42:$F$68,MATCH(E1125,'Taxonomy Rules'!$C$42:$C$68,0)),""))</x:f>
      </x:c>
      <x:c r="U1125" s="9" t="str">
        <x:f>IF(C1125="","",IFERROR(INDEX('Taxonomy'!$G$9:$G$108,MATCH(D1125,'Taxonomy'!$C$9:$C$108,0)),""))</x:f>
      </x:c>
    </x:row>
    <x:row r="1126" ht="44" customHeight="1">
      <x:c r="A1126" s="1"/>
      <x:c r="B1126" s="1"/>
      <x:c r="C1126" s="8"/>
      <x:c r="D1126" s="8"/>
      <x:c r="E1126" s="8"/>
      <x:c r="F1126" s="8"/>
      <x:c r="G1126" s="8"/>
      <x:c r="H1126" s="8"/>
      <x:c r="I1126" s="8"/>
      <x:c r="J1126" s="8"/>
      <x:c r="K1126" s="8"/>
      <x:c r="L1126" s="8"/>
      <x:c r="M1126" s="10"/>
      <x:c r="N1126" s="10"/>
      <x:c r="O1126" s="8"/>
      <x:c r="P1126" s="9" t="str">
        <x:f>IF(C1126="","",IF(AND(G1126="Applicable",H1126="Fail"),"Fail",IF(R1126&lt;&gt;"Valid","Pending",IF(OR(I1126="",K1126="",L1126="",K1126=L1126,NOT(ISNUMBER(M1126)),NOT(ISNUMBER(N1126)),M1126&gt;Settings!$F$8,N1126&lt;Settings!$F$8,N1126&lt;M1126),"Pending",IF(AND(G1126="Applicable",H1126="Pass"),"Pass",IF(AND(G1126="N/A",H1126="N/A",J1126&lt;&gt;"",OR(E1126="CEM-FUELS",E1126="CEM-CCS",AND(E1126="CEM-PLAN",IFERROR(INDEX('Taxonomy'!$M$9:$M$108,MATCH(D1126,'Taxonomy'!$C$9:$C$108,0)),"")&lt;&gt;"Amber"),E1126="BLD-TIMBER",AND(U1126="Building equipment",OR(E1126="BLD-WATER",E1126="BLD-WASTE",E1126="BLD-LAND")),AND(U1126="Building renovation",E1126="BLD-LAND"))),"N/A","Pending"))))))</x:f>
      </x:c>
      <x:c r="Q1126" s="3" t="str">
        <x:f>IF(C1126="","",IF(AND(R1126="Valid",OR(P1126="Pass",P1126="N/A")),"Complete","Unresolved"))</x:f>
      </x:c>
      <x:c r="R1126" s="9" t="str">
        <x:f>IF(C1126="","",IF(OR(COUNTIF($C$9:$C$2008,C1126)&lt;&gt;1,COUNTIFS($D$9:$D$2008,D1126,$E$9:$E$2008,E1126)&lt;&gt;1),"Duplicate test",IF(COUNTIF('Taxonomy'!$C$9:$C$108,D1126)&lt;&gt;1,"Assessment key",IF(OR(COUNTIF('Taxonomy Rules'!$C$42:$C$68,E1126)&lt;&gt;1,F1126&lt;&gt;IFERROR(INDEX('Taxonomy Rules'!$D$42:$D$68,MATCH(E1126,'Taxonomy Rules'!$C$42:$C$68,0)),""),NOT(OR(IFERROR(INDEX('Taxonomy Rules'!$G$42:$G$68,MATCH(E1126,'Taxonomy Rules'!$C$42:$C$68,0)),"")="All supported routes",IFERROR(INDEX('Taxonomy Rules'!$G$42:$G$68,MATCH(E1126,'Taxonomy Rules'!$C$42:$C$68,0)),"")=U1126,AND(IFERROR(INDEX('Taxonomy Rules'!$G$42:$G$68,MATCH(E1126,'Taxonomy Rules'!$C$42:$C$68,0)),"")="Building routes",OR(U1126="Building renovation",U1126="New building",U1126="Building equipment"))))),"Unexpected test","Valid"))))</x:f>
      </x:c>
      <x:c r="S1126" s="9" t="str">
        <x:f>IF(C1126="","",IFERROR(INDEX('Taxonomy Rules'!$E$42:$E$68,MATCH(E1126,'Taxonomy Rules'!$C$42:$C$68,0)),""))</x:f>
      </x:c>
      <x:c r="T1126" s="9" t="str">
        <x:f>IF(C1126="","",IFERROR(INDEX('Taxonomy Rules'!$F$42:$F$68,MATCH(E1126,'Taxonomy Rules'!$C$42:$C$68,0)),""))</x:f>
      </x:c>
      <x:c r="U1126" s="9" t="str">
        <x:f>IF(C1126="","",IFERROR(INDEX('Taxonomy'!$G$9:$G$108,MATCH(D1126,'Taxonomy'!$C$9:$C$108,0)),""))</x:f>
      </x:c>
    </x:row>
    <x:row r="1127" ht="44" customHeight="1">
      <x:c r="A1127" s="1"/>
      <x:c r="B1127" s="1"/>
      <x:c r="C1127" s="8"/>
      <x:c r="D1127" s="8"/>
      <x:c r="E1127" s="8"/>
      <x:c r="F1127" s="8"/>
      <x:c r="G1127" s="8"/>
      <x:c r="H1127" s="8"/>
      <x:c r="I1127" s="8"/>
      <x:c r="J1127" s="8"/>
      <x:c r="K1127" s="8"/>
      <x:c r="L1127" s="8"/>
      <x:c r="M1127" s="10"/>
      <x:c r="N1127" s="10"/>
      <x:c r="O1127" s="8"/>
      <x:c r="P1127" s="9" t="str">
        <x:f>IF(C1127="","",IF(AND(G1127="Applicable",H1127="Fail"),"Fail",IF(R1127&lt;&gt;"Valid","Pending",IF(OR(I1127="",K1127="",L1127="",K1127=L1127,NOT(ISNUMBER(M1127)),NOT(ISNUMBER(N1127)),M1127&gt;Settings!$F$8,N1127&lt;Settings!$F$8,N1127&lt;M1127),"Pending",IF(AND(G1127="Applicable",H1127="Pass"),"Pass",IF(AND(G1127="N/A",H1127="N/A",J1127&lt;&gt;"",OR(E1127="CEM-FUELS",E1127="CEM-CCS",AND(E1127="CEM-PLAN",IFERROR(INDEX('Taxonomy'!$M$9:$M$108,MATCH(D1127,'Taxonomy'!$C$9:$C$108,0)),"")&lt;&gt;"Amber"),E1127="BLD-TIMBER",AND(U1127="Building equipment",OR(E1127="BLD-WATER",E1127="BLD-WASTE",E1127="BLD-LAND")),AND(U1127="Building renovation",E1127="BLD-LAND"))),"N/A","Pending"))))))</x:f>
      </x:c>
      <x:c r="Q1127" s="3" t="str">
        <x:f>IF(C1127="","",IF(AND(R1127="Valid",OR(P1127="Pass",P1127="N/A")),"Complete","Unresolved"))</x:f>
      </x:c>
      <x:c r="R1127" s="9" t="str">
        <x:f>IF(C1127="","",IF(OR(COUNTIF($C$9:$C$2008,C1127)&lt;&gt;1,COUNTIFS($D$9:$D$2008,D1127,$E$9:$E$2008,E1127)&lt;&gt;1),"Duplicate test",IF(COUNTIF('Taxonomy'!$C$9:$C$108,D1127)&lt;&gt;1,"Assessment key",IF(OR(COUNTIF('Taxonomy Rules'!$C$42:$C$68,E1127)&lt;&gt;1,F1127&lt;&gt;IFERROR(INDEX('Taxonomy Rules'!$D$42:$D$68,MATCH(E1127,'Taxonomy Rules'!$C$42:$C$68,0)),""),NOT(OR(IFERROR(INDEX('Taxonomy Rules'!$G$42:$G$68,MATCH(E1127,'Taxonomy Rules'!$C$42:$C$68,0)),"")="All supported routes",IFERROR(INDEX('Taxonomy Rules'!$G$42:$G$68,MATCH(E1127,'Taxonomy Rules'!$C$42:$C$68,0)),"")=U1127,AND(IFERROR(INDEX('Taxonomy Rules'!$G$42:$G$68,MATCH(E1127,'Taxonomy Rules'!$C$42:$C$68,0)),"")="Building routes",OR(U1127="Building renovation",U1127="New building",U1127="Building equipment"))))),"Unexpected test","Valid"))))</x:f>
      </x:c>
      <x:c r="S1127" s="9" t="str">
        <x:f>IF(C1127="","",IFERROR(INDEX('Taxonomy Rules'!$E$42:$E$68,MATCH(E1127,'Taxonomy Rules'!$C$42:$C$68,0)),""))</x:f>
      </x:c>
      <x:c r="T1127" s="9" t="str">
        <x:f>IF(C1127="","",IFERROR(INDEX('Taxonomy Rules'!$F$42:$F$68,MATCH(E1127,'Taxonomy Rules'!$C$42:$C$68,0)),""))</x:f>
      </x:c>
      <x:c r="U1127" s="9" t="str">
        <x:f>IF(C1127="","",IFERROR(INDEX('Taxonomy'!$G$9:$G$108,MATCH(D1127,'Taxonomy'!$C$9:$C$108,0)),""))</x:f>
      </x:c>
    </x:row>
    <x:row r="1128" ht="44" customHeight="1">
      <x:c r="A1128" s="1"/>
      <x:c r="B1128" s="1"/>
      <x:c r="C1128" s="8"/>
      <x:c r="D1128" s="8"/>
      <x:c r="E1128" s="8"/>
      <x:c r="F1128" s="8"/>
      <x:c r="G1128" s="8"/>
      <x:c r="H1128" s="8"/>
      <x:c r="I1128" s="8"/>
      <x:c r="J1128" s="8"/>
      <x:c r="K1128" s="8"/>
      <x:c r="L1128" s="8"/>
      <x:c r="M1128" s="10"/>
      <x:c r="N1128" s="10"/>
      <x:c r="O1128" s="8"/>
      <x:c r="P1128" s="9" t="str">
        <x:f>IF(C1128="","",IF(AND(G1128="Applicable",H1128="Fail"),"Fail",IF(R1128&lt;&gt;"Valid","Pending",IF(OR(I1128="",K1128="",L1128="",K1128=L1128,NOT(ISNUMBER(M1128)),NOT(ISNUMBER(N1128)),M1128&gt;Settings!$F$8,N1128&lt;Settings!$F$8,N1128&lt;M1128),"Pending",IF(AND(G1128="Applicable",H1128="Pass"),"Pass",IF(AND(G1128="N/A",H1128="N/A",J1128&lt;&gt;"",OR(E1128="CEM-FUELS",E1128="CEM-CCS",AND(E1128="CEM-PLAN",IFERROR(INDEX('Taxonomy'!$M$9:$M$108,MATCH(D1128,'Taxonomy'!$C$9:$C$108,0)),"")&lt;&gt;"Amber"),E1128="BLD-TIMBER",AND(U1128="Building equipment",OR(E1128="BLD-WATER",E1128="BLD-WASTE",E1128="BLD-LAND")),AND(U1128="Building renovation",E1128="BLD-LAND"))),"N/A","Pending"))))))</x:f>
      </x:c>
      <x:c r="Q1128" s="3" t="str">
        <x:f>IF(C1128="","",IF(AND(R1128="Valid",OR(P1128="Pass",P1128="N/A")),"Complete","Unresolved"))</x:f>
      </x:c>
      <x:c r="R1128" s="9" t="str">
        <x:f>IF(C1128="","",IF(OR(COUNTIF($C$9:$C$2008,C1128)&lt;&gt;1,COUNTIFS($D$9:$D$2008,D1128,$E$9:$E$2008,E1128)&lt;&gt;1),"Duplicate test",IF(COUNTIF('Taxonomy'!$C$9:$C$108,D1128)&lt;&gt;1,"Assessment key",IF(OR(COUNTIF('Taxonomy Rules'!$C$42:$C$68,E1128)&lt;&gt;1,F1128&lt;&gt;IFERROR(INDEX('Taxonomy Rules'!$D$42:$D$68,MATCH(E1128,'Taxonomy Rules'!$C$42:$C$68,0)),""),NOT(OR(IFERROR(INDEX('Taxonomy Rules'!$G$42:$G$68,MATCH(E1128,'Taxonomy Rules'!$C$42:$C$68,0)),"")="All supported routes",IFERROR(INDEX('Taxonomy Rules'!$G$42:$G$68,MATCH(E1128,'Taxonomy Rules'!$C$42:$C$68,0)),"")=U1128,AND(IFERROR(INDEX('Taxonomy Rules'!$G$42:$G$68,MATCH(E1128,'Taxonomy Rules'!$C$42:$C$68,0)),"")="Building routes",OR(U1128="Building renovation",U1128="New building",U1128="Building equipment"))))),"Unexpected test","Valid"))))</x:f>
      </x:c>
      <x:c r="S1128" s="9" t="str">
        <x:f>IF(C1128="","",IFERROR(INDEX('Taxonomy Rules'!$E$42:$E$68,MATCH(E1128,'Taxonomy Rules'!$C$42:$C$68,0)),""))</x:f>
      </x:c>
      <x:c r="T1128" s="9" t="str">
        <x:f>IF(C1128="","",IFERROR(INDEX('Taxonomy Rules'!$F$42:$F$68,MATCH(E1128,'Taxonomy Rules'!$C$42:$C$68,0)),""))</x:f>
      </x:c>
      <x:c r="U1128" s="9" t="str">
        <x:f>IF(C1128="","",IFERROR(INDEX('Taxonomy'!$G$9:$G$108,MATCH(D1128,'Taxonomy'!$C$9:$C$108,0)),""))</x:f>
      </x:c>
    </x:row>
    <x:row r="1129" ht="44" customHeight="1">
      <x:c r="A1129" s="1"/>
      <x:c r="B1129" s="1"/>
      <x:c r="C1129" s="8"/>
      <x:c r="D1129" s="8"/>
      <x:c r="E1129" s="8"/>
      <x:c r="F1129" s="8"/>
      <x:c r="G1129" s="8"/>
      <x:c r="H1129" s="8"/>
      <x:c r="I1129" s="8"/>
      <x:c r="J1129" s="8"/>
      <x:c r="K1129" s="8"/>
      <x:c r="L1129" s="8"/>
      <x:c r="M1129" s="10"/>
      <x:c r="N1129" s="10"/>
      <x:c r="O1129" s="8"/>
      <x:c r="P1129" s="9" t="str">
        <x:f>IF(C1129="","",IF(AND(G1129="Applicable",H1129="Fail"),"Fail",IF(R1129&lt;&gt;"Valid","Pending",IF(OR(I1129="",K1129="",L1129="",K1129=L1129,NOT(ISNUMBER(M1129)),NOT(ISNUMBER(N1129)),M1129&gt;Settings!$F$8,N1129&lt;Settings!$F$8,N1129&lt;M1129),"Pending",IF(AND(G1129="Applicable",H1129="Pass"),"Pass",IF(AND(G1129="N/A",H1129="N/A",J1129&lt;&gt;"",OR(E1129="CEM-FUELS",E1129="CEM-CCS",AND(E1129="CEM-PLAN",IFERROR(INDEX('Taxonomy'!$M$9:$M$108,MATCH(D1129,'Taxonomy'!$C$9:$C$108,0)),"")&lt;&gt;"Amber"),E1129="BLD-TIMBER",AND(U1129="Building equipment",OR(E1129="BLD-WATER",E1129="BLD-WASTE",E1129="BLD-LAND")),AND(U1129="Building renovation",E1129="BLD-LAND"))),"N/A","Pending"))))))</x:f>
      </x:c>
      <x:c r="Q1129" s="3" t="str">
        <x:f>IF(C1129="","",IF(AND(R1129="Valid",OR(P1129="Pass",P1129="N/A")),"Complete","Unresolved"))</x:f>
      </x:c>
      <x:c r="R1129" s="9" t="str">
        <x:f>IF(C1129="","",IF(OR(COUNTIF($C$9:$C$2008,C1129)&lt;&gt;1,COUNTIFS($D$9:$D$2008,D1129,$E$9:$E$2008,E1129)&lt;&gt;1),"Duplicate test",IF(COUNTIF('Taxonomy'!$C$9:$C$108,D1129)&lt;&gt;1,"Assessment key",IF(OR(COUNTIF('Taxonomy Rules'!$C$42:$C$68,E1129)&lt;&gt;1,F1129&lt;&gt;IFERROR(INDEX('Taxonomy Rules'!$D$42:$D$68,MATCH(E1129,'Taxonomy Rules'!$C$42:$C$68,0)),""),NOT(OR(IFERROR(INDEX('Taxonomy Rules'!$G$42:$G$68,MATCH(E1129,'Taxonomy Rules'!$C$42:$C$68,0)),"")="All supported routes",IFERROR(INDEX('Taxonomy Rules'!$G$42:$G$68,MATCH(E1129,'Taxonomy Rules'!$C$42:$C$68,0)),"")=U1129,AND(IFERROR(INDEX('Taxonomy Rules'!$G$42:$G$68,MATCH(E1129,'Taxonomy Rules'!$C$42:$C$68,0)),"")="Building routes",OR(U1129="Building renovation",U1129="New building",U1129="Building equipment"))))),"Unexpected test","Valid"))))</x:f>
      </x:c>
      <x:c r="S1129" s="9" t="str">
        <x:f>IF(C1129="","",IFERROR(INDEX('Taxonomy Rules'!$E$42:$E$68,MATCH(E1129,'Taxonomy Rules'!$C$42:$C$68,0)),""))</x:f>
      </x:c>
      <x:c r="T1129" s="9" t="str">
        <x:f>IF(C1129="","",IFERROR(INDEX('Taxonomy Rules'!$F$42:$F$68,MATCH(E1129,'Taxonomy Rules'!$C$42:$C$68,0)),""))</x:f>
      </x:c>
      <x:c r="U1129" s="9" t="str">
        <x:f>IF(C1129="","",IFERROR(INDEX('Taxonomy'!$G$9:$G$108,MATCH(D1129,'Taxonomy'!$C$9:$C$108,0)),""))</x:f>
      </x:c>
    </x:row>
    <x:row r="1130" ht="44" customHeight="1">
      <x:c r="A1130" s="1"/>
      <x:c r="B1130" s="1"/>
      <x:c r="C1130" s="8"/>
      <x:c r="D1130" s="8"/>
      <x:c r="E1130" s="8"/>
      <x:c r="F1130" s="8"/>
      <x:c r="G1130" s="8"/>
      <x:c r="H1130" s="8"/>
      <x:c r="I1130" s="8"/>
      <x:c r="J1130" s="8"/>
      <x:c r="K1130" s="8"/>
      <x:c r="L1130" s="8"/>
      <x:c r="M1130" s="10"/>
      <x:c r="N1130" s="10"/>
      <x:c r="O1130" s="8"/>
      <x:c r="P1130" s="9" t="str">
        <x:f>IF(C1130="","",IF(AND(G1130="Applicable",H1130="Fail"),"Fail",IF(R1130&lt;&gt;"Valid","Pending",IF(OR(I1130="",K1130="",L1130="",K1130=L1130,NOT(ISNUMBER(M1130)),NOT(ISNUMBER(N1130)),M1130&gt;Settings!$F$8,N1130&lt;Settings!$F$8,N1130&lt;M1130),"Pending",IF(AND(G1130="Applicable",H1130="Pass"),"Pass",IF(AND(G1130="N/A",H1130="N/A",J1130&lt;&gt;"",OR(E1130="CEM-FUELS",E1130="CEM-CCS",AND(E1130="CEM-PLAN",IFERROR(INDEX('Taxonomy'!$M$9:$M$108,MATCH(D1130,'Taxonomy'!$C$9:$C$108,0)),"")&lt;&gt;"Amber"),E1130="BLD-TIMBER",AND(U1130="Building equipment",OR(E1130="BLD-WATER",E1130="BLD-WASTE",E1130="BLD-LAND")),AND(U1130="Building renovation",E1130="BLD-LAND"))),"N/A","Pending"))))))</x:f>
      </x:c>
      <x:c r="Q1130" s="3" t="str">
        <x:f>IF(C1130="","",IF(AND(R1130="Valid",OR(P1130="Pass",P1130="N/A")),"Complete","Unresolved"))</x:f>
      </x:c>
      <x:c r="R1130" s="9" t="str">
        <x:f>IF(C1130="","",IF(OR(COUNTIF($C$9:$C$2008,C1130)&lt;&gt;1,COUNTIFS($D$9:$D$2008,D1130,$E$9:$E$2008,E1130)&lt;&gt;1),"Duplicate test",IF(COUNTIF('Taxonomy'!$C$9:$C$108,D1130)&lt;&gt;1,"Assessment key",IF(OR(COUNTIF('Taxonomy Rules'!$C$42:$C$68,E1130)&lt;&gt;1,F1130&lt;&gt;IFERROR(INDEX('Taxonomy Rules'!$D$42:$D$68,MATCH(E1130,'Taxonomy Rules'!$C$42:$C$68,0)),""),NOT(OR(IFERROR(INDEX('Taxonomy Rules'!$G$42:$G$68,MATCH(E1130,'Taxonomy Rules'!$C$42:$C$68,0)),"")="All supported routes",IFERROR(INDEX('Taxonomy Rules'!$G$42:$G$68,MATCH(E1130,'Taxonomy Rules'!$C$42:$C$68,0)),"")=U1130,AND(IFERROR(INDEX('Taxonomy Rules'!$G$42:$G$68,MATCH(E1130,'Taxonomy Rules'!$C$42:$C$68,0)),"")="Building routes",OR(U1130="Building renovation",U1130="New building",U1130="Building equipment"))))),"Unexpected test","Valid"))))</x:f>
      </x:c>
      <x:c r="S1130" s="9" t="str">
        <x:f>IF(C1130="","",IFERROR(INDEX('Taxonomy Rules'!$E$42:$E$68,MATCH(E1130,'Taxonomy Rules'!$C$42:$C$68,0)),""))</x:f>
      </x:c>
      <x:c r="T1130" s="9" t="str">
        <x:f>IF(C1130="","",IFERROR(INDEX('Taxonomy Rules'!$F$42:$F$68,MATCH(E1130,'Taxonomy Rules'!$C$42:$C$68,0)),""))</x:f>
      </x:c>
      <x:c r="U1130" s="9" t="str">
        <x:f>IF(C1130="","",IFERROR(INDEX('Taxonomy'!$G$9:$G$108,MATCH(D1130,'Taxonomy'!$C$9:$C$108,0)),""))</x:f>
      </x:c>
    </x:row>
    <x:row r="1131" ht="44" customHeight="1">
      <x:c r="A1131" s="1"/>
      <x:c r="B1131" s="1"/>
      <x:c r="C1131" s="8"/>
      <x:c r="D1131" s="8"/>
      <x:c r="E1131" s="8"/>
      <x:c r="F1131" s="8"/>
      <x:c r="G1131" s="8"/>
      <x:c r="H1131" s="8"/>
      <x:c r="I1131" s="8"/>
      <x:c r="J1131" s="8"/>
      <x:c r="K1131" s="8"/>
      <x:c r="L1131" s="8"/>
      <x:c r="M1131" s="10"/>
      <x:c r="N1131" s="10"/>
      <x:c r="O1131" s="8"/>
      <x:c r="P1131" s="9" t="str">
        <x:f>IF(C1131="","",IF(AND(G1131="Applicable",H1131="Fail"),"Fail",IF(R1131&lt;&gt;"Valid","Pending",IF(OR(I1131="",K1131="",L1131="",K1131=L1131,NOT(ISNUMBER(M1131)),NOT(ISNUMBER(N1131)),M1131&gt;Settings!$F$8,N1131&lt;Settings!$F$8,N1131&lt;M1131),"Pending",IF(AND(G1131="Applicable",H1131="Pass"),"Pass",IF(AND(G1131="N/A",H1131="N/A",J1131&lt;&gt;"",OR(E1131="CEM-FUELS",E1131="CEM-CCS",AND(E1131="CEM-PLAN",IFERROR(INDEX('Taxonomy'!$M$9:$M$108,MATCH(D1131,'Taxonomy'!$C$9:$C$108,0)),"")&lt;&gt;"Amber"),E1131="BLD-TIMBER",AND(U1131="Building equipment",OR(E1131="BLD-WATER",E1131="BLD-WASTE",E1131="BLD-LAND")),AND(U1131="Building renovation",E1131="BLD-LAND"))),"N/A","Pending"))))))</x:f>
      </x:c>
      <x:c r="Q1131" s="3" t="str">
        <x:f>IF(C1131="","",IF(AND(R1131="Valid",OR(P1131="Pass",P1131="N/A")),"Complete","Unresolved"))</x:f>
      </x:c>
      <x:c r="R1131" s="9" t="str">
        <x:f>IF(C1131="","",IF(OR(COUNTIF($C$9:$C$2008,C1131)&lt;&gt;1,COUNTIFS($D$9:$D$2008,D1131,$E$9:$E$2008,E1131)&lt;&gt;1),"Duplicate test",IF(COUNTIF('Taxonomy'!$C$9:$C$108,D1131)&lt;&gt;1,"Assessment key",IF(OR(COUNTIF('Taxonomy Rules'!$C$42:$C$68,E1131)&lt;&gt;1,F1131&lt;&gt;IFERROR(INDEX('Taxonomy Rules'!$D$42:$D$68,MATCH(E1131,'Taxonomy Rules'!$C$42:$C$68,0)),""),NOT(OR(IFERROR(INDEX('Taxonomy Rules'!$G$42:$G$68,MATCH(E1131,'Taxonomy Rules'!$C$42:$C$68,0)),"")="All supported routes",IFERROR(INDEX('Taxonomy Rules'!$G$42:$G$68,MATCH(E1131,'Taxonomy Rules'!$C$42:$C$68,0)),"")=U1131,AND(IFERROR(INDEX('Taxonomy Rules'!$G$42:$G$68,MATCH(E1131,'Taxonomy Rules'!$C$42:$C$68,0)),"")="Building routes",OR(U1131="Building renovation",U1131="New building",U1131="Building equipment"))))),"Unexpected test","Valid"))))</x:f>
      </x:c>
      <x:c r="S1131" s="9" t="str">
        <x:f>IF(C1131="","",IFERROR(INDEX('Taxonomy Rules'!$E$42:$E$68,MATCH(E1131,'Taxonomy Rules'!$C$42:$C$68,0)),""))</x:f>
      </x:c>
      <x:c r="T1131" s="9" t="str">
        <x:f>IF(C1131="","",IFERROR(INDEX('Taxonomy Rules'!$F$42:$F$68,MATCH(E1131,'Taxonomy Rules'!$C$42:$C$68,0)),""))</x:f>
      </x:c>
      <x:c r="U1131" s="9" t="str">
        <x:f>IF(C1131="","",IFERROR(INDEX('Taxonomy'!$G$9:$G$108,MATCH(D1131,'Taxonomy'!$C$9:$C$108,0)),""))</x:f>
      </x:c>
    </x:row>
    <x:row r="1132" ht="44" customHeight="1">
      <x:c r="A1132" s="1"/>
      <x:c r="B1132" s="1"/>
      <x:c r="C1132" s="8"/>
      <x:c r="D1132" s="8"/>
      <x:c r="E1132" s="8"/>
      <x:c r="F1132" s="8"/>
      <x:c r="G1132" s="8"/>
      <x:c r="H1132" s="8"/>
      <x:c r="I1132" s="8"/>
      <x:c r="J1132" s="8"/>
      <x:c r="K1132" s="8"/>
      <x:c r="L1132" s="8"/>
      <x:c r="M1132" s="10"/>
      <x:c r="N1132" s="10"/>
      <x:c r="O1132" s="8"/>
      <x:c r="P1132" s="9" t="str">
        <x:f>IF(C1132="","",IF(AND(G1132="Applicable",H1132="Fail"),"Fail",IF(R1132&lt;&gt;"Valid","Pending",IF(OR(I1132="",K1132="",L1132="",K1132=L1132,NOT(ISNUMBER(M1132)),NOT(ISNUMBER(N1132)),M1132&gt;Settings!$F$8,N1132&lt;Settings!$F$8,N1132&lt;M1132),"Pending",IF(AND(G1132="Applicable",H1132="Pass"),"Pass",IF(AND(G1132="N/A",H1132="N/A",J1132&lt;&gt;"",OR(E1132="CEM-FUELS",E1132="CEM-CCS",AND(E1132="CEM-PLAN",IFERROR(INDEX('Taxonomy'!$M$9:$M$108,MATCH(D1132,'Taxonomy'!$C$9:$C$108,0)),"")&lt;&gt;"Amber"),E1132="BLD-TIMBER",AND(U1132="Building equipment",OR(E1132="BLD-WATER",E1132="BLD-WASTE",E1132="BLD-LAND")),AND(U1132="Building renovation",E1132="BLD-LAND"))),"N/A","Pending"))))))</x:f>
      </x:c>
      <x:c r="Q1132" s="3" t="str">
        <x:f>IF(C1132="","",IF(AND(R1132="Valid",OR(P1132="Pass",P1132="N/A")),"Complete","Unresolved"))</x:f>
      </x:c>
      <x:c r="R1132" s="9" t="str">
        <x:f>IF(C1132="","",IF(OR(COUNTIF($C$9:$C$2008,C1132)&lt;&gt;1,COUNTIFS($D$9:$D$2008,D1132,$E$9:$E$2008,E1132)&lt;&gt;1),"Duplicate test",IF(COUNTIF('Taxonomy'!$C$9:$C$108,D1132)&lt;&gt;1,"Assessment key",IF(OR(COUNTIF('Taxonomy Rules'!$C$42:$C$68,E1132)&lt;&gt;1,F1132&lt;&gt;IFERROR(INDEX('Taxonomy Rules'!$D$42:$D$68,MATCH(E1132,'Taxonomy Rules'!$C$42:$C$68,0)),""),NOT(OR(IFERROR(INDEX('Taxonomy Rules'!$G$42:$G$68,MATCH(E1132,'Taxonomy Rules'!$C$42:$C$68,0)),"")="All supported routes",IFERROR(INDEX('Taxonomy Rules'!$G$42:$G$68,MATCH(E1132,'Taxonomy Rules'!$C$42:$C$68,0)),"")=U1132,AND(IFERROR(INDEX('Taxonomy Rules'!$G$42:$G$68,MATCH(E1132,'Taxonomy Rules'!$C$42:$C$68,0)),"")="Building routes",OR(U1132="Building renovation",U1132="New building",U1132="Building equipment"))))),"Unexpected test","Valid"))))</x:f>
      </x:c>
      <x:c r="S1132" s="9" t="str">
        <x:f>IF(C1132="","",IFERROR(INDEX('Taxonomy Rules'!$E$42:$E$68,MATCH(E1132,'Taxonomy Rules'!$C$42:$C$68,0)),""))</x:f>
      </x:c>
      <x:c r="T1132" s="9" t="str">
        <x:f>IF(C1132="","",IFERROR(INDEX('Taxonomy Rules'!$F$42:$F$68,MATCH(E1132,'Taxonomy Rules'!$C$42:$C$68,0)),""))</x:f>
      </x:c>
      <x:c r="U1132" s="9" t="str">
        <x:f>IF(C1132="","",IFERROR(INDEX('Taxonomy'!$G$9:$G$108,MATCH(D1132,'Taxonomy'!$C$9:$C$108,0)),""))</x:f>
      </x:c>
    </x:row>
    <x:row r="1133" ht="44" customHeight="1">
      <x:c r="A1133" s="1"/>
      <x:c r="B1133" s="1"/>
      <x:c r="C1133" s="8"/>
      <x:c r="D1133" s="8"/>
      <x:c r="E1133" s="8"/>
      <x:c r="F1133" s="8"/>
      <x:c r="G1133" s="8"/>
      <x:c r="H1133" s="8"/>
      <x:c r="I1133" s="8"/>
      <x:c r="J1133" s="8"/>
      <x:c r="K1133" s="8"/>
      <x:c r="L1133" s="8"/>
      <x:c r="M1133" s="10"/>
      <x:c r="N1133" s="10"/>
      <x:c r="O1133" s="8"/>
      <x:c r="P1133" s="9" t="str">
        <x:f>IF(C1133="","",IF(AND(G1133="Applicable",H1133="Fail"),"Fail",IF(R1133&lt;&gt;"Valid","Pending",IF(OR(I1133="",K1133="",L1133="",K1133=L1133,NOT(ISNUMBER(M1133)),NOT(ISNUMBER(N1133)),M1133&gt;Settings!$F$8,N1133&lt;Settings!$F$8,N1133&lt;M1133),"Pending",IF(AND(G1133="Applicable",H1133="Pass"),"Pass",IF(AND(G1133="N/A",H1133="N/A",J1133&lt;&gt;"",OR(E1133="CEM-FUELS",E1133="CEM-CCS",AND(E1133="CEM-PLAN",IFERROR(INDEX('Taxonomy'!$M$9:$M$108,MATCH(D1133,'Taxonomy'!$C$9:$C$108,0)),"")&lt;&gt;"Amber"),E1133="BLD-TIMBER",AND(U1133="Building equipment",OR(E1133="BLD-WATER",E1133="BLD-WASTE",E1133="BLD-LAND")),AND(U1133="Building renovation",E1133="BLD-LAND"))),"N/A","Pending"))))))</x:f>
      </x:c>
      <x:c r="Q1133" s="3" t="str">
        <x:f>IF(C1133="","",IF(AND(R1133="Valid",OR(P1133="Pass",P1133="N/A")),"Complete","Unresolved"))</x:f>
      </x:c>
      <x:c r="R1133" s="9" t="str">
        <x:f>IF(C1133="","",IF(OR(COUNTIF($C$9:$C$2008,C1133)&lt;&gt;1,COUNTIFS($D$9:$D$2008,D1133,$E$9:$E$2008,E1133)&lt;&gt;1),"Duplicate test",IF(COUNTIF('Taxonomy'!$C$9:$C$108,D1133)&lt;&gt;1,"Assessment key",IF(OR(COUNTIF('Taxonomy Rules'!$C$42:$C$68,E1133)&lt;&gt;1,F1133&lt;&gt;IFERROR(INDEX('Taxonomy Rules'!$D$42:$D$68,MATCH(E1133,'Taxonomy Rules'!$C$42:$C$68,0)),""),NOT(OR(IFERROR(INDEX('Taxonomy Rules'!$G$42:$G$68,MATCH(E1133,'Taxonomy Rules'!$C$42:$C$68,0)),"")="All supported routes",IFERROR(INDEX('Taxonomy Rules'!$G$42:$G$68,MATCH(E1133,'Taxonomy Rules'!$C$42:$C$68,0)),"")=U1133,AND(IFERROR(INDEX('Taxonomy Rules'!$G$42:$G$68,MATCH(E1133,'Taxonomy Rules'!$C$42:$C$68,0)),"")="Building routes",OR(U1133="Building renovation",U1133="New building",U1133="Building equipment"))))),"Unexpected test","Valid"))))</x:f>
      </x:c>
      <x:c r="S1133" s="9" t="str">
        <x:f>IF(C1133="","",IFERROR(INDEX('Taxonomy Rules'!$E$42:$E$68,MATCH(E1133,'Taxonomy Rules'!$C$42:$C$68,0)),""))</x:f>
      </x:c>
      <x:c r="T1133" s="9" t="str">
        <x:f>IF(C1133="","",IFERROR(INDEX('Taxonomy Rules'!$F$42:$F$68,MATCH(E1133,'Taxonomy Rules'!$C$42:$C$68,0)),""))</x:f>
      </x:c>
      <x:c r="U1133" s="9" t="str">
        <x:f>IF(C1133="","",IFERROR(INDEX('Taxonomy'!$G$9:$G$108,MATCH(D1133,'Taxonomy'!$C$9:$C$108,0)),""))</x:f>
      </x:c>
    </x:row>
    <x:row r="1134" ht="44" customHeight="1">
      <x:c r="A1134" s="1"/>
      <x:c r="B1134" s="1"/>
      <x:c r="C1134" s="8"/>
      <x:c r="D1134" s="8"/>
      <x:c r="E1134" s="8"/>
      <x:c r="F1134" s="8"/>
      <x:c r="G1134" s="8"/>
      <x:c r="H1134" s="8"/>
      <x:c r="I1134" s="8"/>
      <x:c r="J1134" s="8"/>
      <x:c r="K1134" s="8"/>
      <x:c r="L1134" s="8"/>
      <x:c r="M1134" s="10"/>
      <x:c r="N1134" s="10"/>
      <x:c r="O1134" s="8"/>
      <x:c r="P1134" s="9" t="str">
        <x:f>IF(C1134="","",IF(AND(G1134="Applicable",H1134="Fail"),"Fail",IF(R1134&lt;&gt;"Valid","Pending",IF(OR(I1134="",K1134="",L1134="",K1134=L1134,NOT(ISNUMBER(M1134)),NOT(ISNUMBER(N1134)),M1134&gt;Settings!$F$8,N1134&lt;Settings!$F$8,N1134&lt;M1134),"Pending",IF(AND(G1134="Applicable",H1134="Pass"),"Pass",IF(AND(G1134="N/A",H1134="N/A",J1134&lt;&gt;"",OR(E1134="CEM-FUELS",E1134="CEM-CCS",AND(E1134="CEM-PLAN",IFERROR(INDEX('Taxonomy'!$M$9:$M$108,MATCH(D1134,'Taxonomy'!$C$9:$C$108,0)),"")&lt;&gt;"Amber"),E1134="BLD-TIMBER",AND(U1134="Building equipment",OR(E1134="BLD-WATER",E1134="BLD-WASTE",E1134="BLD-LAND")),AND(U1134="Building renovation",E1134="BLD-LAND"))),"N/A","Pending"))))))</x:f>
      </x:c>
      <x:c r="Q1134" s="3" t="str">
        <x:f>IF(C1134="","",IF(AND(R1134="Valid",OR(P1134="Pass",P1134="N/A")),"Complete","Unresolved"))</x:f>
      </x:c>
      <x:c r="R1134" s="9" t="str">
        <x:f>IF(C1134="","",IF(OR(COUNTIF($C$9:$C$2008,C1134)&lt;&gt;1,COUNTIFS($D$9:$D$2008,D1134,$E$9:$E$2008,E1134)&lt;&gt;1),"Duplicate test",IF(COUNTIF('Taxonomy'!$C$9:$C$108,D1134)&lt;&gt;1,"Assessment key",IF(OR(COUNTIF('Taxonomy Rules'!$C$42:$C$68,E1134)&lt;&gt;1,F1134&lt;&gt;IFERROR(INDEX('Taxonomy Rules'!$D$42:$D$68,MATCH(E1134,'Taxonomy Rules'!$C$42:$C$68,0)),""),NOT(OR(IFERROR(INDEX('Taxonomy Rules'!$G$42:$G$68,MATCH(E1134,'Taxonomy Rules'!$C$42:$C$68,0)),"")="All supported routes",IFERROR(INDEX('Taxonomy Rules'!$G$42:$G$68,MATCH(E1134,'Taxonomy Rules'!$C$42:$C$68,0)),"")=U1134,AND(IFERROR(INDEX('Taxonomy Rules'!$G$42:$G$68,MATCH(E1134,'Taxonomy Rules'!$C$42:$C$68,0)),"")="Building routes",OR(U1134="Building renovation",U1134="New building",U1134="Building equipment"))))),"Unexpected test","Valid"))))</x:f>
      </x:c>
      <x:c r="S1134" s="9" t="str">
        <x:f>IF(C1134="","",IFERROR(INDEX('Taxonomy Rules'!$E$42:$E$68,MATCH(E1134,'Taxonomy Rules'!$C$42:$C$68,0)),""))</x:f>
      </x:c>
      <x:c r="T1134" s="9" t="str">
        <x:f>IF(C1134="","",IFERROR(INDEX('Taxonomy Rules'!$F$42:$F$68,MATCH(E1134,'Taxonomy Rules'!$C$42:$C$68,0)),""))</x:f>
      </x:c>
      <x:c r="U1134" s="9" t="str">
        <x:f>IF(C1134="","",IFERROR(INDEX('Taxonomy'!$G$9:$G$108,MATCH(D1134,'Taxonomy'!$C$9:$C$108,0)),""))</x:f>
      </x:c>
    </x:row>
    <x:row r="1135" ht="44" customHeight="1">
      <x:c r="A1135" s="1"/>
      <x:c r="B1135" s="1"/>
      <x:c r="C1135" s="8"/>
      <x:c r="D1135" s="8"/>
      <x:c r="E1135" s="8"/>
      <x:c r="F1135" s="8"/>
      <x:c r="G1135" s="8"/>
      <x:c r="H1135" s="8"/>
      <x:c r="I1135" s="8"/>
      <x:c r="J1135" s="8"/>
      <x:c r="K1135" s="8"/>
      <x:c r="L1135" s="8"/>
      <x:c r="M1135" s="10"/>
      <x:c r="N1135" s="10"/>
      <x:c r="O1135" s="8"/>
      <x:c r="P1135" s="9" t="str">
        <x:f>IF(C1135="","",IF(AND(G1135="Applicable",H1135="Fail"),"Fail",IF(R1135&lt;&gt;"Valid","Pending",IF(OR(I1135="",K1135="",L1135="",K1135=L1135,NOT(ISNUMBER(M1135)),NOT(ISNUMBER(N1135)),M1135&gt;Settings!$F$8,N1135&lt;Settings!$F$8,N1135&lt;M1135),"Pending",IF(AND(G1135="Applicable",H1135="Pass"),"Pass",IF(AND(G1135="N/A",H1135="N/A",J1135&lt;&gt;"",OR(E1135="CEM-FUELS",E1135="CEM-CCS",AND(E1135="CEM-PLAN",IFERROR(INDEX('Taxonomy'!$M$9:$M$108,MATCH(D1135,'Taxonomy'!$C$9:$C$108,0)),"")&lt;&gt;"Amber"),E1135="BLD-TIMBER",AND(U1135="Building equipment",OR(E1135="BLD-WATER",E1135="BLD-WASTE",E1135="BLD-LAND")),AND(U1135="Building renovation",E1135="BLD-LAND"))),"N/A","Pending"))))))</x:f>
      </x:c>
      <x:c r="Q1135" s="3" t="str">
        <x:f>IF(C1135="","",IF(AND(R1135="Valid",OR(P1135="Pass",P1135="N/A")),"Complete","Unresolved"))</x:f>
      </x:c>
      <x:c r="R1135" s="9" t="str">
        <x:f>IF(C1135="","",IF(OR(COUNTIF($C$9:$C$2008,C1135)&lt;&gt;1,COUNTIFS($D$9:$D$2008,D1135,$E$9:$E$2008,E1135)&lt;&gt;1),"Duplicate test",IF(COUNTIF('Taxonomy'!$C$9:$C$108,D1135)&lt;&gt;1,"Assessment key",IF(OR(COUNTIF('Taxonomy Rules'!$C$42:$C$68,E1135)&lt;&gt;1,F1135&lt;&gt;IFERROR(INDEX('Taxonomy Rules'!$D$42:$D$68,MATCH(E1135,'Taxonomy Rules'!$C$42:$C$68,0)),""),NOT(OR(IFERROR(INDEX('Taxonomy Rules'!$G$42:$G$68,MATCH(E1135,'Taxonomy Rules'!$C$42:$C$68,0)),"")="All supported routes",IFERROR(INDEX('Taxonomy Rules'!$G$42:$G$68,MATCH(E1135,'Taxonomy Rules'!$C$42:$C$68,0)),"")=U1135,AND(IFERROR(INDEX('Taxonomy Rules'!$G$42:$G$68,MATCH(E1135,'Taxonomy Rules'!$C$42:$C$68,0)),"")="Building routes",OR(U1135="Building renovation",U1135="New building",U1135="Building equipment"))))),"Unexpected test","Valid"))))</x:f>
      </x:c>
      <x:c r="S1135" s="9" t="str">
        <x:f>IF(C1135="","",IFERROR(INDEX('Taxonomy Rules'!$E$42:$E$68,MATCH(E1135,'Taxonomy Rules'!$C$42:$C$68,0)),""))</x:f>
      </x:c>
      <x:c r="T1135" s="9" t="str">
        <x:f>IF(C1135="","",IFERROR(INDEX('Taxonomy Rules'!$F$42:$F$68,MATCH(E1135,'Taxonomy Rules'!$C$42:$C$68,0)),""))</x:f>
      </x:c>
      <x:c r="U1135" s="9" t="str">
        <x:f>IF(C1135="","",IFERROR(INDEX('Taxonomy'!$G$9:$G$108,MATCH(D1135,'Taxonomy'!$C$9:$C$108,0)),""))</x:f>
      </x:c>
    </x:row>
    <x:row r="1136" ht="44" customHeight="1">
      <x:c r="A1136" s="1"/>
      <x:c r="B1136" s="1"/>
      <x:c r="C1136" s="8"/>
      <x:c r="D1136" s="8"/>
      <x:c r="E1136" s="8"/>
      <x:c r="F1136" s="8"/>
      <x:c r="G1136" s="8"/>
      <x:c r="H1136" s="8"/>
      <x:c r="I1136" s="8"/>
      <x:c r="J1136" s="8"/>
      <x:c r="K1136" s="8"/>
      <x:c r="L1136" s="8"/>
      <x:c r="M1136" s="10"/>
      <x:c r="N1136" s="10"/>
      <x:c r="O1136" s="8"/>
      <x:c r="P1136" s="9" t="str">
        <x:f>IF(C1136="","",IF(AND(G1136="Applicable",H1136="Fail"),"Fail",IF(R1136&lt;&gt;"Valid","Pending",IF(OR(I1136="",K1136="",L1136="",K1136=L1136,NOT(ISNUMBER(M1136)),NOT(ISNUMBER(N1136)),M1136&gt;Settings!$F$8,N1136&lt;Settings!$F$8,N1136&lt;M1136),"Pending",IF(AND(G1136="Applicable",H1136="Pass"),"Pass",IF(AND(G1136="N/A",H1136="N/A",J1136&lt;&gt;"",OR(E1136="CEM-FUELS",E1136="CEM-CCS",AND(E1136="CEM-PLAN",IFERROR(INDEX('Taxonomy'!$M$9:$M$108,MATCH(D1136,'Taxonomy'!$C$9:$C$108,0)),"")&lt;&gt;"Amber"),E1136="BLD-TIMBER",AND(U1136="Building equipment",OR(E1136="BLD-WATER",E1136="BLD-WASTE",E1136="BLD-LAND")),AND(U1136="Building renovation",E1136="BLD-LAND"))),"N/A","Pending"))))))</x:f>
      </x:c>
      <x:c r="Q1136" s="3" t="str">
        <x:f>IF(C1136="","",IF(AND(R1136="Valid",OR(P1136="Pass",P1136="N/A")),"Complete","Unresolved"))</x:f>
      </x:c>
      <x:c r="R1136" s="9" t="str">
        <x:f>IF(C1136="","",IF(OR(COUNTIF($C$9:$C$2008,C1136)&lt;&gt;1,COUNTIFS($D$9:$D$2008,D1136,$E$9:$E$2008,E1136)&lt;&gt;1),"Duplicate test",IF(COUNTIF('Taxonomy'!$C$9:$C$108,D1136)&lt;&gt;1,"Assessment key",IF(OR(COUNTIF('Taxonomy Rules'!$C$42:$C$68,E1136)&lt;&gt;1,F1136&lt;&gt;IFERROR(INDEX('Taxonomy Rules'!$D$42:$D$68,MATCH(E1136,'Taxonomy Rules'!$C$42:$C$68,0)),""),NOT(OR(IFERROR(INDEX('Taxonomy Rules'!$G$42:$G$68,MATCH(E1136,'Taxonomy Rules'!$C$42:$C$68,0)),"")="All supported routes",IFERROR(INDEX('Taxonomy Rules'!$G$42:$G$68,MATCH(E1136,'Taxonomy Rules'!$C$42:$C$68,0)),"")=U1136,AND(IFERROR(INDEX('Taxonomy Rules'!$G$42:$G$68,MATCH(E1136,'Taxonomy Rules'!$C$42:$C$68,0)),"")="Building routes",OR(U1136="Building renovation",U1136="New building",U1136="Building equipment"))))),"Unexpected test","Valid"))))</x:f>
      </x:c>
      <x:c r="S1136" s="9" t="str">
        <x:f>IF(C1136="","",IFERROR(INDEX('Taxonomy Rules'!$E$42:$E$68,MATCH(E1136,'Taxonomy Rules'!$C$42:$C$68,0)),""))</x:f>
      </x:c>
      <x:c r="T1136" s="9" t="str">
        <x:f>IF(C1136="","",IFERROR(INDEX('Taxonomy Rules'!$F$42:$F$68,MATCH(E1136,'Taxonomy Rules'!$C$42:$C$68,0)),""))</x:f>
      </x:c>
      <x:c r="U1136" s="9" t="str">
        <x:f>IF(C1136="","",IFERROR(INDEX('Taxonomy'!$G$9:$G$108,MATCH(D1136,'Taxonomy'!$C$9:$C$108,0)),""))</x:f>
      </x:c>
    </x:row>
    <x:row r="1137" ht="44" customHeight="1">
      <x:c r="A1137" s="1"/>
      <x:c r="B1137" s="1"/>
      <x:c r="C1137" s="8"/>
      <x:c r="D1137" s="8"/>
      <x:c r="E1137" s="8"/>
      <x:c r="F1137" s="8"/>
      <x:c r="G1137" s="8"/>
      <x:c r="H1137" s="8"/>
      <x:c r="I1137" s="8"/>
      <x:c r="J1137" s="8"/>
      <x:c r="K1137" s="8"/>
      <x:c r="L1137" s="8"/>
      <x:c r="M1137" s="10"/>
      <x:c r="N1137" s="10"/>
      <x:c r="O1137" s="8"/>
      <x:c r="P1137" s="9" t="str">
        <x:f>IF(C1137="","",IF(AND(G1137="Applicable",H1137="Fail"),"Fail",IF(R1137&lt;&gt;"Valid","Pending",IF(OR(I1137="",K1137="",L1137="",K1137=L1137,NOT(ISNUMBER(M1137)),NOT(ISNUMBER(N1137)),M1137&gt;Settings!$F$8,N1137&lt;Settings!$F$8,N1137&lt;M1137),"Pending",IF(AND(G1137="Applicable",H1137="Pass"),"Pass",IF(AND(G1137="N/A",H1137="N/A",J1137&lt;&gt;"",OR(E1137="CEM-FUELS",E1137="CEM-CCS",AND(E1137="CEM-PLAN",IFERROR(INDEX('Taxonomy'!$M$9:$M$108,MATCH(D1137,'Taxonomy'!$C$9:$C$108,0)),"")&lt;&gt;"Amber"),E1137="BLD-TIMBER",AND(U1137="Building equipment",OR(E1137="BLD-WATER",E1137="BLD-WASTE",E1137="BLD-LAND")),AND(U1137="Building renovation",E1137="BLD-LAND"))),"N/A","Pending"))))))</x:f>
      </x:c>
      <x:c r="Q1137" s="3" t="str">
        <x:f>IF(C1137="","",IF(AND(R1137="Valid",OR(P1137="Pass",P1137="N/A")),"Complete","Unresolved"))</x:f>
      </x:c>
      <x:c r="R1137" s="9" t="str">
        <x:f>IF(C1137="","",IF(OR(COUNTIF($C$9:$C$2008,C1137)&lt;&gt;1,COUNTIFS($D$9:$D$2008,D1137,$E$9:$E$2008,E1137)&lt;&gt;1),"Duplicate test",IF(COUNTIF('Taxonomy'!$C$9:$C$108,D1137)&lt;&gt;1,"Assessment key",IF(OR(COUNTIF('Taxonomy Rules'!$C$42:$C$68,E1137)&lt;&gt;1,F1137&lt;&gt;IFERROR(INDEX('Taxonomy Rules'!$D$42:$D$68,MATCH(E1137,'Taxonomy Rules'!$C$42:$C$68,0)),""),NOT(OR(IFERROR(INDEX('Taxonomy Rules'!$G$42:$G$68,MATCH(E1137,'Taxonomy Rules'!$C$42:$C$68,0)),"")="All supported routes",IFERROR(INDEX('Taxonomy Rules'!$G$42:$G$68,MATCH(E1137,'Taxonomy Rules'!$C$42:$C$68,0)),"")=U1137,AND(IFERROR(INDEX('Taxonomy Rules'!$G$42:$G$68,MATCH(E1137,'Taxonomy Rules'!$C$42:$C$68,0)),"")="Building routes",OR(U1137="Building renovation",U1137="New building",U1137="Building equipment"))))),"Unexpected test","Valid"))))</x:f>
      </x:c>
      <x:c r="S1137" s="9" t="str">
        <x:f>IF(C1137="","",IFERROR(INDEX('Taxonomy Rules'!$E$42:$E$68,MATCH(E1137,'Taxonomy Rules'!$C$42:$C$68,0)),""))</x:f>
      </x:c>
      <x:c r="T1137" s="9" t="str">
        <x:f>IF(C1137="","",IFERROR(INDEX('Taxonomy Rules'!$F$42:$F$68,MATCH(E1137,'Taxonomy Rules'!$C$42:$C$68,0)),""))</x:f>
      </x:c>
      <x:c r="U1137" s="9" t="str">
        <x:f>IF(C1137="","",IFERROR(INDEX('Taxonomy'!$G$9:$G$108,MATCH(D1137,'Taxonomy'!$C$9:$C$108,0)),""))</x:f>
      </x:c>
    </x:row>
    <x:row r="1138" ht="44" customHeight="1">
      <x:c r="A1138" s="1"/>
      <x:c r="B1138" s="1"/>
      <x:c r="C1138" s="8"/>
      <x:c r="D1138" s="8"/>
      <x:c r="E1138" s="8"/>
      <x:c r="F1138" s="8"/>
      <x:c r="G1138" s="8"/>
      <x:c r="H1138" s="8"/>
      <x:c r="I1138" s="8"/>
      <x:c r="J1138" s="8"/>
      <x:c r="K1138" s="8"/>
      <x:c r="L1138" s="8"/>
      <x:c r="M1138" s="10"/>
      <x:c r="N1138" s="10"/>
      <x:c r="O1138" s="8"/>
      <x:c r="P1138" s="9" t="str">
        <x:f>IF(C1138="","",IF(AND(G1138="Applicable",H1138="Fail"),"Fail",IF(R1138&lt;&gt;"Valid","Pending",IF(OR(I1138="",K1138="",L1138="",K1138=L1138,NOT(ISNUMBER(M1138)),NOT(ISNUMBER(N1138)),M1138&gt;Settings!$F$8,N1138&lt;Settings!$F$8,N1138&lt;M1138),"Pending",IF(AND(G1138="Applicable",H1138="Pass"),"Pass",IF(AND(G1138="N/A",H1138="N/A",J1138&lt;&gt;"",OR(E1138="CEM-FUELS",E1138="CEM-CCS",AND(E1138="CEM-PLAN",IFERROR(INDEX('Taxonomy'!$M$9:$M$108,MATCH(D1138,'Taxonomy'!$C$9:$C$108,0)),"")&lt;&gt;"Amber"),E1138="BLD-TIMBER",AND(U1138="Building equipment",OR(E1138="BLD-WATER",E1138="BLD-WASTE",E1138="BLD-LAND")),AND(U1138="Building renovation",E1138="BLD-LAND"))),"N/A","Pending"))))))</x:f>
      </x:c>
      <x:c r="Q1138" s="3" t="str">
        <x:f>IF(C1138="","",IF(AND(R1138="Valid",OR(P1138="Pass",P1138="N/A")),"Complete","Unresolved"))</x:f>
      </x:c>
      <x:c r="R1138" s="9" t="str">
        <x:f>IF(C1138="","",IF(OR(COUNTIF($C$9:$C$2008,C1138)&lt;&gt;1,COUNTIFS($D$9:$D$2008,D1138,$E$9:$E$2008,E1138)&lt;&gt;1),"Duplicate test",IF(COUNTIF('Taxonomy'!$C$9:$C$108,D1138)&lt;&gt;1,"Assessment key",IF(OR(COUNTIF('Taxonomy Rules'!$C$42:$C$68,E1138)&lt;&gt;1,F1138&lt;&gt;IFERROR(INDEX('Taxonomy Rules'!$D$42:$D$68,MATCH(E1138,'Taxonomy Rules'!$C$42:$C$68,0)),""),NOT(OR(IFERROR(INDEX('Taxonomy Rules'!$G$42:$G$68,MATCH(E1138,'Taxonomy Rules'!$C$42:$C$68,0)),"")="All supported routes",IFERROR(INDEX('Taxonomy Rules'!$G$42:$G$68,MATCH(E1138,'Taxonomy Rules'!$C$42:$C$68,0)),"")=U1138,AND(IFERROR(INDEX('Taxonomy Rules'!$G$42:$G$68,MATCH(E1138,'Taxonomy Rules'!$C$42:$C$68,0)),"")="Building routes",OR(U1138="Building renovation",U1138="New building",U1138="Building equipment"))))),"Unexpected test","Valid"))))</x:f>
      </x:c>
      <x:c r="S1138" s="9" t="str">
        <x:f>IF(C1138="","",IFERROR(INDEX('Taxonomy Rules'!$E$42:$E$68,MATCH(E1138,'Taxonomy Rules'!$C$42:$C$68,0)),""))</x:f>
      </x:c>
      <x:c r="T1138" s="9" t="str">
        <x:f>IF(C1138="","",IFERROR(INDEX('Taxonomy Rules'!$F$42:$F$68,MATCH(E1138,'Taxonomy Rules'!$C$42:$C$68,0)),""))</x:f>
      </x:c>
      <x:c r="U1138" s="9" t="str">
        <x:f>IF(C1138="","",IFERROR(INDEX('Taxonomy'!$G$9:$G$108,MATCH(D1138,'Taxonomy'!$C$9:$C$108,0)),""))</x:f>
      </x:c>
    </x:row>
    <x:row r="1139" ht="44" customHeight="1">
      <x:c r="A1139" s="1"/>
      <x:c r="B1139" s="1"/>
      <x:c r="C1139" s="8"/>
      <x:c r="D1139" s="8"/>
      <x:c r="E1139" s="8"/>
      <x:c r="F1139" s="8"/>
      <x:c r="G1139" s="8"/>
      <x:c r="H1139" s="8"/>
      <x:c r="I1139" s="8"/>
      <x:c r="J1139" s="8"/>
      <x:c r="K1139" s="8"/>
      <x:c r="L1139" s="8"/>
      <x:c r="M1139" s="10"/>
      <x:c r="N1139" s="10"/>
      <x:c r="O1139" s="8"/>
      <x:c r="P1139" s="9" t="str">
        <x:f>IF(C1139="","",IF(AND(G1139="Applicable",H1139="Fail"),"Fail",IF(R1139&lt;&gt;"Valid","Pending",IF(OR(I1139="",K1139="",L1139="",K1139=L1139,NOT(ISNUMBER(M1139)),NOT(ISNUMBER(N1139)),M1139&gt;Settings!$F$8,N1139&lt;Settings!$F$8,N1139&lt;M1139),"Pending",IF(AND(G1139="Applicable",H1139="Pass"),"Pass",IF(AND(G1139="N/A",H1139="N/A",J1139&lt;&gt;"",OR(E1139="CEM-FUELS",E1139="CEM-CCS",AND(E1139="CEM-PLAN",IFERROR(INDEX('Taxonomy'!$M$9:$M$108,MATCH(D1139,'Taxonomy'!$C$9:$C$108,0)),"")&lt;&gt;"Amber"),E1139="BLD-TIMBER",AND(U1139="Building equipment",OR(E1139="BLD-WATER",E1139="BLD-WASTE",E1139="BLD-LAND")),AND(U1139="Building renovation",E1139="BLD-LAND"))),"N/A","Pending"))))))</x:f>
      </x:c>
      <x:c r="Q1139" s="3" t="str">
        <x:f>IF(C1139="","",IF(AND(R1139="Valid",OR(P1139="Pass",P1139="N/A")),"Complete","Unresolved"))</x:f>
      </x:c>
      <x:c r="R1139" s="9" t="str">
        <x:f>IF(C1139="","",IF(OR(COUNTIF($C$9:$C$2008,C1139)&lt;&gt;1,COUNTIFS($D$9:$D$2008,D1139,$E$9:$E$2008,E1139)&lt;&gt;1),"Duplicate test",IF(COUNTIF('Taxonomy'!$C$9:$C$108,D1139)&lt;&gt;1,"Assessment key",IF(OR(COUNTIF('Taxonomy Rules'!$C$42:$C$68,E1139)&lt;&gt;1,F1139&lt;&gt;IFERROR(INDEX('Taxonomy Rules'!$D$42:$D$68,MATCH(E1139,'Taxonomy Rules'!$C$42:$C$68,0)),""),NOT(OR(IFERROR(INDEX('Taxonomy Rules'!$G$42:$G$68,MATCH(E1139,'Taxonomy Rules'!$C$42:$C$68,0)),"")="All supported routes",IFERROR(INDEX('Taxonomy Rules'!$G$42:$G$68,MATCH(E1139,'Taxonomy Rules'!$C$42:$C$68,0)),"")=U1139,AND(IFERROR(INDEX('Taxonomy Rules'!$G$42:$G$68,MATCH(E1139,'Taxonomy Rules'!$C$42:$C$68,0)),"")="Building routes",OR(U1139="Building renovation",U1139="New building",U1139="Building equipment"))))),"Unexpected test","Valid"))))</x:f>
      </x:c>
      <x:c r="S1139" s="9" t="str">
        <x:f>IF(C1139="","",IFERROR(INDEX('Taxonomy Rules'!$E$42:$E$68,MATCH(E1139,'Taxonomy Rules'!$C$42:$C$68,0)),""))</x:f>
      </x:c>
      <x:c r="T1139" s="9" t="str">
        <x:f>IF(C1139="","",IFERROR(INDEX('Taxonomy Rules'!$F$42:$F$68,MATCH(E1139,'Taxonomy Rules'!$C$42:$C$68,0)),""))</x:f>
      </x:c>
      <x:c r="U1139" s="9" t="str">
        <x:f>IF(C1139="","",IFERROR(INDEX('Taxonomy'!$G$9:$G$108,MATCH(D1139,'Taxonomy'!$C$9:$C$108,0)),""))</x:f>
      </x:c>
    </x:row>
    <x:row r="1140" ht="44" customHeight="1">
      <x:c r="A1140" s="1"/>
      <x:c r="B1140" s="1"/>
      <x:c r="C1140" s="8"/>
      <x:c r="D1140" s="8"/>
      <x:c r="E1140" s="8"/>
      <x:c r="F1140" s="8"/>
      <x:c r="G1140" s="8"/>
      <x:c r="H1140" s="8"/>
      <x:c r="I1140" s="8"/>
      <x:c r="J1140" s="8"/>
      <x:c r="K1140" s="8"/>
      <x:c r="L1140" s="8"/>
      <x:c r="M1140" s="10"/>
      <x:c r="N1140" s="10"/>
      <x:c r="O1140" s="8"/>
      <x:c r="P1140" s="9" t="str">
        <x:f>IF(C1140="","",IF(AND(G1140="Applicable",H1140="Fail"),"Fail",IF(R1140&lt;&gt;"Valid","Pending",IF(OR(I1140="",K1140="",L1140="",K1140=L1140,NOT(ISNUMBER(M1140)),NOT(ISNUMBER(N1140)),M1140&gt;Settings!$F$8,N1140&lt;Settings!$F$8,N1140&lt;M1140),"Pending",IF(AND(G1140="Applicable",H1140="Pass"),"Pass",IF(AND(G1140="N/A",H1140="N/A",J1140&lt;&gt;"",OR(E1140="CEM-FUELS",E1140="CEM-CCS",AND(E1140="CEM-PLAN",IFERROR(INDEX('Taxonomy'!$M$9:$M$108,MATCH(D1140,'Taxonomy'!$C$9:$C$108,0)),"")&lt;&gt;"Amber"),E1140="BLD-TIMBER",AND(U1140="Building equipment",OR(E1140="BLD-WATER",E1140="BLD-WASTE",E1140="BLD-LAND")),AND(U1140="Building renovation",E1140="BLD-LAND"))),"N/A","Pending"))))))</x:f>
      </x:c>
      <x:c r="Q1140" s="3" t="str">
        <x:f>IF(C1140="","",IF(AND(R1140="Valid",OR(P1140="Pass",P1140="N/A")),"Complete","Unresolved"))</x:f>
      </x:c>
      <x:c r="R1140" s="9" t="str">
        <x:f>IF(C1140="","",IF(OR(COUNTIF($C$9:$C$2008,C1140)&lt;&gt;1,COUNTIFS($D$9:$D$2008,D1140,$E$9:$E$2008,E1140)&lt;&gt;1),"Duplicate test",IF(COUNTIF('Taxonomy'!$C$9:$C$108,D1140)&lt;&gt;1,"Assessment key",IF(OR(COUNTIF('Taxonomy Rules'!$C$42:$C$68,E1140)&lt;&gt;1,F1140&lt;&gt;IFERROR(INDEX('Taxonomy Rules'!$D$42:$D$68,MATCH(E1140,'Taxonomy Rules'!$C$42:$C$68,0)),""),NOT(OR(IFERROR(INDEX('Taxonomy Rules'!$G$42:$G$68,MATCH(E1140,'Taxonomy Rules'!$C$42:$C$68,0)),"")="All supported routes",IFERROR(INDEX('Taxonomy Rules'!$G$42:$G$68,MATCH(E1140,'Taxonomy Rules'!$C$42:$C$68,0)),"")=U1140,AND(IFERROR(INDEX('Taxonomy Rules'!$G$42:$G$68,MATCH(E1140,'Taxonomy Rules'!$C$42:$C$68,0)),"")="Building routes",OR(U1140="Building renovation",U1140="New building",U1140="Building equipment"))))),"Unexpected test","Valid"))))</x:f>
      </x:c>
      <x:c r="S1140" s="9" t="str">
        <x:f>IF(C1140="","",IFERROR(INDEX('Taxonomy Rules'!$E$42:$E$68,MATCH(E1140,'Taxonomy Rules'!$C$42:$C$68,0)),""))</x:f>
      </x:c>
      <x:c r="T1140" s="9" t="str">
        <x:f>IF(C1140="","",IFERROR(INDEX('Taxonomy Rules'!$F$42:$F$68,MATCH(E1140,'Taxonomy Rules'!$C$42:$C$68,0)),""))</x:f>
      </x:c>
      <x:c r="U1140" s="9" t="str">
        <x:f>IF(C1140="","",IFERROR(INDEX('Taxonomy'!$G$9:$G$108,MATCH(D1140,'Taxonomy'!$C$9:$C$108,0)),""))</x:f>
      </x:c>
    </x:row>
    <x:row r="1141" ht="44" customHeight="1">
      <x:c r="A1141" s="1"/>
      <x:c r="B1141" s="1"/>
      <x:c r="C1141" s="8"/>
      <x:c r="D1141" s="8"/>
      <x:c r="E1141" s="8"/>
      <x:c r="F1141" s="8"/>
      <x:c r="G1141" s="8"/>
      <x:c r="H1141" s="8"/>
      <x:c r="I1141" s="8"/>
      <x:c r="J1141" s="8"/>
      <x:c r="K1141" s="8"/>
      <x:c r="L1141" s="8"/>
      <x:c r="M1141" s="10"/>
      <x:c r="N1141" s="10"/>
      <x:c r="O1141" s="8"/>
      <x:c r="P1141" s="9" t="str">
        <x:f>IF(C1141="","",IF(AND(G1141="Applicable",H1141="Fail"),"Fail",IF(R1141&lt;&gt;"Valid","Pending",IF(OR(I1141="",K1141="",L1141="",K1141=L1141,NOT(ISNUMBER(M1141)),NOT(ISNUMBER(N1141)),M1141&gt;Settings!$F$8,N1141&lt;Settings!$F$8,N1141&lt;M1141),"Pending",IF(AND(G1141="Applicable",H1141="Pass"),"Pass",IF(AND(G1141="N/A",H1141="N/A",J1141&lt;&gt;"",OR(E1141="CEM-FUELS",E1141="CEM-CCS",AND(E1141="CEM-PLAN",IFERROR(INDEX('Taxonomy'!$M$9:$M$108,MATCH(D1141,'Taxonomy'!$C$9:$C$108,0)),"")&lt;&gt;"Amber"),E1141="BLD-TIMBER",AND(U1141="Building equipment",OR(E1141="BLD-WATER",E1141="BLD-WASTE",E1141="BLD-LAND")),AND(U1141="Building renovation",E1141="BLD-LAND"))),"N/A","Pending"))))))</x:f>
      </x:c>
      <x:c r="Q1141" s="3" t="str">
        <x:f>IF(C1141="","",IF(AND(R1141="Valid",OR(P1141="Pass",P1141="N/A")),"Complete","Unresolved"))</x:f>
      </x:c>
      <x:c r="R1141" s="9" t="str">
        <x:f>IF(C1141="","",IF(OR(COUNTIF($C$9:$C$2008,C1141)&lt;&gt;1,COUNTIFS($D$9:$D$2008,D1141,$E$9:$E$2008,E1141)&lt;&gt;1),"Duplicate test",IF(COUNTIF('Taxonomy'!$C$9:$C$108,D1141)&lt;&gt;1,"Assessment key",IF(OR(COUNTIF('Taxonomy Rules'!$C$42:$C$68,E1141)&lt;&gt;1,F1141&lt;&gt;IFERROR(INDEX('Taxonomy Rules'!$D$42:$D$68,MATCH(E1141,'Taxonomy Rules'!$C$42:$C$68,0)),""),NOT(OR(IFERROR(INDEX('Taxonomy Rules'!$G$42:$G$68,MATCH(E1141,'Taxonomy Rules'!$C$42:$C$68,0)),"")="All supported routes",IFERROR(INDEX('Taxonomy Rules'!$G$42:$G$68,MATCH(E1141,'Taxonomy Rules'!$C$42:$C$68,0)),"")=U1141,AND(IFERROR(INDEX('Taxonomy Rules'!$G$42:$G$68,MATCH(E1141,'Taxonomy Rules'!$C$42:$C$68,0)),"")="Building routes",OR(U1141="Building renovation",U1141="New building",U1141="Building equipment"))))),"Unexpected test","Valid"))))</x:f>
      </x:c>
      <x:c r="S1141" s="9" t="str">
        <x:f>IF(C1141="","",IFERROR(INDEX('Taxonomy Rules'!$E$42:$E$68,MATCH(E1141,'Taxonomy Rules'!$C$42:$C$68,0)),""))</x:f>
      </x:c>
      <x:c r="T1141" s="9" t="str">
        <x:f>IF(C1141="","",IFERROR(INDEX('Taxonomy Rules'!$F$42:$F$68,MATCH(E1141,'Taxonomy Rules'!$C$42:$C$68,0)),""))</x:f>
      </x:c>
      <x:c r="U1141" s="9" t="str">
        <x:f>IF(C1141="","",IFERROR(INDEX('Taxonomy'!$G$9:$G$108,MATCH(D1141,'Taxonomy'!$C$9:$C$108,0)),""))</x:f>
      </x:c>
    </x:row>
    <x:row r="1142" ht="44" customHeight="1">
      <x:c r="A1142" s="1"/>
      <x:c r="B1142" s="1"/>
      <x:c r="C1142" s="8"/>
      <x:c r="D1142" s="8"/>
      <x:c r="E1142" s="8"/>
      <x:c r="F1142" s="8"/>
      <x:c r="G1142" s="8"/>
      <x:c r="H1142" s="8"/>
      <x:c r="I1142" s="8"/>
      <x:c r="J1142" s="8"/>
      <x:c r="K1142" s="8"/>
      <x:c r="L1142" s="8"/>
      <x:c r="M1142" s="10"/>
      <x:c r="N1142" s="10"/>
      <x:c r="O1142" s="8"/>
      <x:c r="P1142" s="9" t="str">
        <x:f>IF(C1142="","",IF(AND(G1142="Applicable",H1142="Fail"),"Fail",IF(R1142&lt;&gt;"Valid","Pending",IF(OR(I1142="",K1142="",L1142="",K1142=L1142,NOT(ISNUMBER(M1142)),NOT(ISNUMBER(N1142)),M1142&gt;Settings!$F$8,N1142&lt;Settings!$F$8,N1142&lt;M1142),"Pending",IF(AND(G1142="Applicable",H1142="Pass"),"Pass",IF(AND(G1142="N/A",H1142="N/A",J1142&lt;&gt;"",OR(E1142="CEM-FUELS",E1142="CEM-CCS",AND(E1142="CEM-PLAN",IFERROR(INDEX('Taxonomy'!$M$9:$M$108,MATCH(D1142,'Taxonomy'!$C$9:$C$108,0)),"")&lt;&gt;"Amber"),E1142="BLD-TIMBER",AND(U1142="Building equipment",OR(E1142="BLD-WATER",E1142="BLD-WASTE",E1142="BLD-LAND")),AND(U1142="Building renovation",E1142="BLD-LAND"))),"N/A","Pending"))))))</x:f>
      </x:c>
      <x:c r="Q1142" s="3" t="str">
        <x:f>IF(C1142="","",IF(AND(R1142="Valid",OR(P1142="Pass",P1142="N/A")),"Complete","Unresolved"))</x:f>
      </x:c>
      <x:c r="R1142" s="9" t="str">
        <x:f>IF(C1142="","",IF(OR(COUNTIF($C$9:$C$2008,C1142)&lt;&gt;1,COUNTIFS($D$9:$D$2008,D1142,$E$9:$E$2008,E1142)&lt;&gt;1),"Duplicate test",IF(COUNTIF('Taxonomy'!$C$9:$C$108,D1142)&lt;&gt;1,"Assessment key",IF(OR(COUNTIF('Taxonomy Rules'!$C$42:$C$68,E1142)&lt;&gt;1,F1142&lt;&gt;IFERROR(INDEX('Taxonomy Rules'!$D$42:$D$68,MATCH(E1142,'Taxonomy Rules'!$C$42:$C$68,0)),""),NOT(OR(IFERROR(INDEX('Taxonomy Rules'!$G$42:$G$68,MATCH(E1142,'Taxonomy Rules'!$C$42:$C$68,0)),"")="All supported routes",IFERROR(INDEX('Taxonomy Rules'!$G$42:$G$68,MATCH(E1142,'Taxonomy Rules'!$C$42:$C$68,0)),"")=U1142,AND(IFERROR(INDEX('Taxonomy Rules'!$G$42:$G$68,MATCH(E1142,'Taxonomy Rules'!$C$42:$C$68,0)),"")="Building routes",OR(U1142="Building renovation",U1142="New building",U1142="Building equipment"))))),"Unexpected test","Valid"))))</x:f>
      </x:c>
      <x:c r="S1142" s="9" t="str">
        <x:f>IF(C1142="","",IFERROR(INDEX('Taxonomy Rules'!$E$42:$E$68,MATCH(E1142,'Taxonomy Rules'!$C$42:$C$68,0)),""))</x:f>
      </x:c>
      <x:c r="T1142" s="9" t="str">
        <x:f>IF(C1142="","",IFERROR(INDEX('Taxonomy Rules'!$F$42:$F$68,MATCH(E1142,'Taxonomy Rules'!$C$42:$C$68,0)),""))</x:f>
      </x:c>
      <x:c r="U1142" s="9" t="str">
        <x:f>IF(C1142="","",IFERROR(INDEX('Taxonomy'!$G$9:$G$108,MATCH(D1142,'Taxonomy'!$C$9:$C$108,0)),""))</x:f>
      </x:c>
    </x:row>
    <x:row r="1143" ht="44" customHeight="1">
      <x:c r="A1143" s="1"/>
      <x:c r="B1143" s="1"/>
      <x:c r="C1143" s="8"/>
      <x:c r="D1143" s="8"/>
      <x:c r="E1143" s="8"/>
      <x:c r="F1143" s="8"/>
      <x:c r="G1143" s="8"/>
      <x:c r="H1143" s="8"/>
      <x:c r="I1143" s="8"/>
      <x:c r="J1143" s="8"/>
      <x:c r="K1143" s="8"/>
      <x:c r="L1143" s="8"/>
      <x:c r="M1143" s="10"/>
      <x:c r="N1143" s="10"/>
      <x:c r="O1143" s="8"/>
      <x:c r="P1143" s="9" t="str">
        <x:f>IF(C1143="","",IF(AND(G1143="Applicable",H1143="Fail"),"Fail",IF(R1143&lt;&gt;"Valid","Pending",IF(OR(I1143="",K1143="",L1143="",K1143=L1143,NOT(ISNUMBER(M1143)),NOT(ISNUMBER(N1143)),M1143&gt;Settings!$F$8,N1143&lt;Settings!$F$8,N1143&lt;M1143),"Pending",IF(AND(G1143="Applicable",H1143="Pass"),"Pass",IF(AND(G1143="N/A",H1143="N/A",J1143&lt;&gt;"",OR(E1143="CEM-FUELS",E1143="CEM-CCS",AND(E1143="CEM-PLAN",IFERROR(INDEX('Taxonomy'!$M$9:$M$108,MATCH(D1143,'Taxonomy'!$C$9:$C$108,0)),"")&lt;&gt;"Amber"),E1143="BLD-TIMBER",AND(U1143="Building equipment",OR(E1143="BLD-WATER",E1143="BLD-WASTE",E1143="BLD-LAND")),AND(U1143="Building renovation",E1143="BLD-LAND"))),"N/A","Pending"))))))</x:f>
      </x:c>
      <x:c r="Q1143" s="3" t="str">
        <x:f>IF(C1143="","",IF(AND(R1143="Valid",OR(P1143="Pass",P1143="N/A")),"Complete","Unresolved"))</x:f>
      </x:c>
      <x:c r="R1143" s="9" t="str">
        <x:f>IF(C1143="","",IF(OR(COUNTIF($C$9:$C$2008,C1143)&lt;&gt;1,COUNTIFS($D$9:$D$2008,D1143,$E$9:$E$2008,E1143)&lt;&gt;1),"Duplicate test",IF(COUNTIF('Taxonomy'!$C$9:$C$108,D1143)&lt;&gt;1,"Assessment key",IF(OR(COUNTIF('Taxonomy Rules'!$C$42:$C$68,E1143)&lt;&gt;1,F1143&lt;&gt;IFERROR(INDEX('Taxonomy Rules'!$D$42:$D$68,MATCH(E1143,'Taxonomy Rules'!$C$42:$C$68,0)),""),NOT(OR(IFERROR(INDEX('Taxonomy Rules'!$G$42:$G$68,MATCH(E1143,'Taxonomy Rules'!$C$42:$C$68,0)),"")="All supported routes",IFERROR(INDEX('Taxonomy Rules'!$G$42:$G$68,MATCH(E1143,'Taxonomy Rules'!$C$42:$C$68,0)),"")=U1143,AND(IFERROR(INDEX('Taxonomy Rules'!$G$42:$G$68,MATCH(E1143,'Taxonomy Rules'!$C$42:$C$68,0)),"")="Building routes",OR(U1143="Building renovation",U1143="New building",U1143="Building equipment"))))),"Unexpected test","Valid"))))</x:f>
      </x:c>
      <x:c r="S1143" s="9" t="str">
        <x:f>IF(C1143="","",IFERROR(INDEX('Taxonomy Rules'!$E$42:$E$68,MATCH(E1143,'Taxonomy Rules'!$C$42:$C$68,0)),""))</x:f>
      </x:c>
      <x:c r="T1143" s="9" t="str">
        <x:f>IF(C1143="","",IFERROR(INDEX('Taxonomy Rules'!$F$42:$F$68,MATCH(E1143,'Taxonomy Rules'!$C$42:$C$68,0)),""))</x:f>
      </x:c>
      <x:c r="U1143" s="9" t="str">
        <x:f>IF(C1143="","",IFERROR(INDEX('Taxonomy'!$G$9:$G$108,MATCH(D1143,'Taxonomy'!$C$9:$C$108,0)),""))</x:f>
      </x:c>
    </x:row>
    <x:row r="1144" ht="44" customHeight="1">
      <x:c r="A1144" s="1"/>
      <x:c r="B1144" s="1"/>
      <x:c r="C1144" s="8"/>
      <x:c r="D1144" s="8"/>
      <x:c r="E1144" s="8"/>
      <x:c r="F1144" s="8"/>
      <x:c r="G1144" s="8"/>
      <x:c r="H1144" s="8"/>
      <x:c r="I1144" s="8"/>
      <x:c r="J1144" s="8"/>
      <x:c r="K1144" s="8"/>
      <x:c r="L1144" s="8"/>
      <x:c r="M1144" s="10"/>
      <x:c r="N1144" s="10"/>
      <x:c r="O1144" s="8"/>
      <x:c r="P1144" s="9" t="str">
        <x:f>IF(C1144="","",IF(AND(G1144="Applicable",H1144="Fail"),"Fail",IF(R1144&lt;&gt;"Valid","Pending",IF(OR(I1144="",K1144="",L1144="",K1144=L1144,NOT(ISNUMBER(M1144)),NOT(ISNUMBER(N1144)),M1144&gt;Settings!$F$8,N1144&lt;Settings!$F$8,N1144&lt;M1144),"Pending",IF(AND(G1144="Applicable",H1144="Pass"),"Pass",IF(AND(G1144="N/A",H1144="N/A",J1144&lt;&gt;"",OR(E1144="CEM-FUELS",E1144="CEM-CCS",AND(E1144="CEM-PLAN",IFERROR(INDEX('Taxonomy'!$M$9:$M$108,MATCH(D1144,'Taxonomy'!$C$9:$C$108,0)),"")&lt;&gt;"Amber"),E1144="BLD-TIMBER",AND(U1144="Building equipment",OR(E1144="BLD-WATER",E1144="BLD-WASTE",E1144="BLD-LAND")),AND(U1144="Building renovation",E1144="BLD-LAND"))),"N/A","Pending"))))))</x:f>
      </x:c>
      <x:c r="Q1144" s="3" t="str">
        <x:f>IF(C1144="","",IF(AND(R1144="Valid",OR(P1144="Pass",P1144="N/A")),"Complete","Unresolved"))</x:f>
      </x:c>
      <x:c r="R1144" s="9" t="str">
        <x:f>IF(C1144="","",IF(OR(COUNTIF($C$9:$C$2008,C1144)&lt;&gt;1,COUNTIFS($D$9:$D$2008,D1144,$E$9:$E$2008,E1144)&lt;&gt;1),"Duplicate test",IF(COUNTIF('Taxonomy'!$C$9:$C$108,D1144)&lt;&gt;1,"Assessment key",IF(OR(COUNTIF('Taxonomy Rules'!$C$42:$C$68,E1144)&lt;&gt;1,F1144&lt;&gt;IFERROR(INDEX('Taxonomy Rules'!$D$42:$D$68,MATCH(E1144,'Taxonomy Rules'!$C$42:$C$68,0)),""),NOT(OR(IFERROR(INDEX('Taxonomy Rules'!$G$42:$G$68,MATCH(E1144,'Taxonomy Rules'!$C$42:$C$68,0)),"")="All supported routes",IFERROR(INDEX('Taxonomy Rules'!$G$42:$G$68,MATCH(E1144,'Taxonomy Rules'!$C$42:$C$68,0)),"")=U1144,AND(IFERROR(INDEX('Taxonomy Rules'!$G$42:$G$68,MATCH(E1144,'Taxonomy Rules'!$C$42:$C$68,0)),"")="Building routes",OR(U1144="Building renovation",U1144="New building",U1144="Building equipment"))))),"Unexpected test","Valid"))))</x:f>
      </x:c>
      <x:c r="S1144" s="9" t="str">
        <x:f>IF(C1144="","",IFERROR(INDEX('Taxonomy Rules'!$E$42:$E$68,MATCH(E1144,'Taxonomy Rules'!$C$42:$C$68,0)),""))</x:f>
      </x:c>
      <x:c r="T1144" s="9" t="str">
        <x:f>IF(C1144="","",IFERROR(INDEX('Taxonomy Rules'!$F$42:$F$68,MATCH(E1144,'Taxonomy Rules'!$C$42:$C$68,0)),""))</x:f>
      </x:c>
      <x:c r="U1144" s="9" t="str">
        <x:f>IF(C1144="","",IFERROR(INDEX('Taxonomy'!$G$9:$G$108,MATCH(D1144,'Taxonomy'!$C$9:$C$108,0)),""))</x:f>
      </x:c>
    </x:row>
    <x:row r="1145" ht="44" customHeight="1">
      <x:c r="A1145" s="1"/>
      <x:c r="B1145" s="1"/>
      <x:c r="C1145" s="8"/>
      <x:c r="D1145" s="8"/>
      <x:c r="E1145" s="8"/>
      <x:c r="F1145" s="8"/>
      <x:c r="G1145" s="8"/>
      <x:c r="H1145" s="8"/>
      <x:c r="I1145" s="8"/>
      <x:c r="J1145" s="8"/>
      <x:c r="K1145" s="8"/>
      <x:c r="L1145" s="8"/>
      <x:c r="M1145" s="10"/>
      <x:c r="N1145" s="10"/>
      <x:c r="O1145" s="8"/>
      <x:c r="P1145" s="9" t="str">
        <x:f>IF(C1145="","",IF(AND(G1145="Applicable",H1145="Fail"),"Fail",IF(R1145&lt;&gt;"Valid","Pending",IF(OR(I1145="",K1145="",L1145="",K1145=L1145,NOT(ISNUMBER(M1145)),NOT(ISNUMBER(N1145)),M1145&gt;Settings!$F$8,N1145&lt;Settings!$F$8,N1145&lt;M1145),"Pending",IF(AND(G1145="Applicable",H1145="Pass"),"Pass",IF(AND(G1145="N/A",H1145="N/A",J1145&lt;&gt;"",OR(E1145="CEM-FUELS",E1145="CEM-CCS",AND(E1145="CEM-PLAN",IFERROR(INDEX('Taxonomy'!$M$9:$M$108,MATCH(D1145,'Taxonomy'!$C$9:$C$108,0)),"")&lt;&gt;"Amber"),E1145="BLD-TIMBER",AND(U1145="Building equipment",OR(E1145="BLD-WATER",E1145="BLD-WASTE",E1145="BLD-LAND")),AND(U1145="Building renovation",E1145="BLD-LAND"))),"N/A","Pending"))))))</x:f>
      </x:c>
      <x:c r="Q1145" s="3" t="str">
        <x:f>IF(C1145="","",IF(AND(R1145="Valid",OR(P1145="Pass",P1145="N/A")),"Complete","Unresolved"))</x:f>
      </x:c>
      <x:c r="R1145" s="9" t="str">
        <x:f>IF(C1145="","",IF(OR(COUNTIF($C$9:$C$2008,C1145)&lt;&gt;1,COUNTIFS($D$9:$D$2008,D1145,$E$9:$E$2008,E1145)&lt;&gt;1),"Duplicate test",IF(COUNTIF('Taxonomy'!$C$9:$C$108,D1145)&lt;&gt;1,"Assessment key",IF(OR(COUNTIF('Taxonomy Rules'!$C$42:$C$68,E1145)&lt;&gt;1,F1145&lt;&gt;IFERROR(INDEX('Taxonomy Rules'!$D$42:$D$68,MATCH(E1145,'Taxonomy Rules'!$C$42:$C$68,0)),""),NOT(OR(IFERROR(INDEX('Taxonomy Rules'!$G$42:$G$68,MATCH(E1145,'Taxonomy Rules'!$C$42:$C$68,0)),"")="All supported routes",IFERROR(INDEX('Taxonomy Rules'!$G$42:$G$68,MATCH(E1145,'Taxonomy Rules'!$C$42:$C$68,0)),"")=U1145,AND(IFERROR(INDEX('Taxonomy Rules'!$G$42:$G$68,MATCH(E1145,'Taxonomy Rules'!$C$42:$C$68,0)),"")="Building routes",OR(U1145="Building renovation",U1145="New building",U1145="Building equipment"))))),"Unexpected test","Valid"))))</x:f>
      </x:c>
      <x:c r="S1145" s="9" t="str">
        <x:f>IF(C1145="","",IFERROR(INDEX('Taxonomy Rules'!$E$42:$E$68,MATCH(E1145,'Taxonomy Rules'!$C$42:$C$68,0)),""))</x:f>
      </x:c>
      <x:c r="T1145" s="9" t="str">
        <x:f>IF(C1145="","",IFERROR(INDEX('Taxonomy Rules'!$F$42:$F$68,MATCH(E1145,'Taxonomy Rules'!$C$42:$C$68,0)),""))</x:f>
      </x:c>
      <x:c r="U1145" s="9" t="str">
        <x:f>IF(C1145="","",IFERROR(INDEX('Taxonomy'!$G$9:$G$108,MATCH(D1145,'Taxonomy'!$C$9:$C$108,0)),""))</x:f>
      </x:c>
    </x:row>
    <x:row r="1146" ht="44" customHeight="1">
      <x:c r="A1146" s="1"/>
      <x:c r="B1146" s="1"/>
      <x:c r="C1146" s="8"/>
      <x:c r="D1146" s="8"/>
      <x:c r="E1146" s="8"/>
      <x:c r="F1146" s="8"/>
      <x:c r="G1146" s="8"/>
      <x:c r="H1146" s="8"/>
      <x:c r="I1146" s="8"/>
      <x:c r="J1146" s="8"/>
      <x:c r="K1146" s="8"/>
      <x:c r="L1146" s="8"/>
      <x:c r="M1146" s="10"/>
      <x:c r="N1146" s="10"/>
      <x:c r="O1146" s="8"/>
      <x:c r="P1146" s="9" t="str">
        <x:f>IF(C1146="","",IF(AND(G1146="Applicable",H1146="Fail"),"Fail",IF(R1146&lt;&gt;"Valid","Pending",IF(OR(I1146="",K1146="",L1146="",K1146=L1146,NOT(ISNUMBER(M1146)),NOT(ISNUMBER(N1146)),M1146&gt;Settings!$F$8,N1146&lt;Settings!$F$8,N1146&lt;M1146),"Pending",IF(AND(G1146="Applicable",H1146="Pass"),"Pass",IF(AND(G1146="N/A",H1146="N/A",J1146&lt;&gt;"",OR(E1146="CEM-FUELS",E1146="CEM-CCS",AND(E1146="CEM-PLAN",IFERROR(INDEX('Taxonomy'!$M$9:$M$108,MATCH(D1146,'Taxonomy'!$C$9:$C$108,0)),"")&lt;&gt;"Amber"),E1146="BLD-TIMBER",AND(U1146="Building equipment",OR(E1146="BLD-WATER",E1146="BLD-WASTE",E1146="BLD-LAND")),AND(U1146="Building renovation",E1146="BLD-LAND"))),"N/A","Pending"))))))</x:f>
      </x:c>
      <x:c r="Q1146" s="3" t="str">
        <x:f>IF(C1146="","",IF(AND(R1146="Valid",OR(P1146="Pass",P1146="N/A")),"Complete","Unresolved"))</x:f>
      </x:c>
      <x:c r="R1146" s="9" t="str">
        <x:f>IF(C1146="","",IF(OR(COUNTIF($C$9:$C$2008,C1146)&lt;&gt;1,COUNTIFS($D$9:$D$2008,D1146,$E$9:$E$2008,E1146)&lt;&gt;1),"Duplicate test",IF(COUNTIF('Taxonomy'!$C$9:$C$108,D1146)&lt;&gt;1,"Assessment key",IF(OR(COUNTIF('Taxonomy Rules'!$C$42:$C$68,E1146)&lt;&gt;1,F1146&lt;&gt;IFERROR(INDEX('Taxonomy Rules'!$D$42:$D$68,MATCH(E1146,'Taxonomy Rules'!$C$42:$C$68,0)),""),NOT(OR(IFERROR(INDEX('Taxonomy Rules'!$G$42:$G$68,MATCH(E1146,'Taxonomy Rules'!$C$42:$C$68,0)),"")="All supported routes",IFERROR(INDEX('Taxonomy Rules'!$G$42:$G$68,MATCH(E1146,'Taxonomy Rules'!$C$42:$C$68,0)),"")=U1146,AND(IFERROR(INDEX('Taxonomy Rules'!$G$42:$G$68,MATCH(E1146,'Taxonomy Rules'!$C$42:$C$68,0)),"")="Building routes",OR(U1146="Building renovation",U1146="New building",U1146="Building equipment"))))),"Unexpected test","Valid"))))</x:f>
      </x:c>
      <x:c r="S1146" s="9" t="str">
        <x:f>IF(C1146="","",IFERROR(INDEX('Taxonomy Rules'!$E$42:$E$68,MATCH(E1146,'Taxonomy Rules'!$C$42:$C$68,0)),""))</x:f>
      </x:c>
      <x:c r="T1146" s="9" t="str">
        <x:f>IF(C1146="","",IFERROR(INDEX('Taxonomy Rules'!$F$42:$F$68,MATCH(E1146,'Taxonomy Rules'!$C$42:$C$68,0)),""))</x:f>
      </x:c>
      <x:c r="U1146" s="9" t="str">
        <x:f>IF(C1146="","",IFERROR(INDEX('Taxonomy'!$G$9:$G$108,MATCH(D1146,'Taxonomy'!$C$9:$C$108,0)),""))</x:f>
      </x:c>
    </x:row>
    <x:row r="1147" ht="44" customHeight="1">
      <x:c r="A1147" s="1"/>
      <x:c r="B1147" s="1"/>
      <x:c r="C1147" s="8"/>
      <x:c r="D1147" s="8"/>
      <x:c r="E1147" s="8"/>
      <x:c r="F1147" s="8"/>
      <x:c r="G1147" s="8"/>
      <x:c r="H1147" s="8"/>
      <x:c r="I1147" s="8"/>
      <x:c r="J1147" s="8"/>
      <x:c r="K1147" s="8"/>
      <x:c r="L1147" s="8"/>
      <x:c r="M1147" s="10"/>
      <x:c r="N1147" s="10"/>
      <x:c r="O1147" s="8"/>
      <x:c r="P1147" s="9" t="str">
        <x:f>IF(C1147="","",IF(AND(G1147="Applicable",H1147="Fail"),"Fail",IF(R1147&lt;&gt;"Valid","Pending",IF(OR(I1147="",K1147="",L1147="",K1147=L1147,NOT(ISNUMBER(M1147)),NOT(ISNUMBER(N1147)),M1147&gt;Settings!$F$8,N1147&lt;Settings!$F$8,N1147&lt;M1147),"Pending",IF(AND(G1147="Applicable",H1147="Pass"),"Pass",IF(AND(G1147="N/A",H1147="N/A",J1147&lt;&gt;"",OR(E1147="CEM-FUELS",E1147="CEM-CCS",AND(E1147="CEM-PLAN",IFERROR(INDEX('Taxonomy'!$M$9:$M$108,MATCH(D1147,'Taxonomy'!$C$9:$C$108,0)),"")&lt;&gt;"Amber"),E1147="BLD-TIMBER",AND(U1147="Building equipment",OR(E1147="BLD-WATER",E1147="BLD-WASTE",E1147="BLD-LAND")),AND(U1147="Building renovation",E1147="BLD-LAND"))),"N/A","Pending"))))))</x:f>
      </x:c>
      <x:c r="Q1147" s="3" t="str">
        <x:f>IF(C1147="","",IF(AND(R1147="Valid",OR(P1147="Pass",P1147="N/A")),"Complete","Unresolved"))</x:f>
      </x:c>
      <x:c r="R1147" s="9" t="str">
        <x:f>IF(C1147="","",IF(OR(COUNTIF($C$9:$C$2008,C1147)&lt;&gt;1,COUNTIFS($D$9:$D$2008,D1147,$E$9:$E$2008,E1147)&lt;&gt;1),"Duplicate test",IF(COUNTIF('Taxonomy'!$C$9:$C$108,D1147)&lt;&gt;1,"Assessment key",IF(OR(COUNTIF('Taxonomy Rules'!$C$42:$C$68,E1147)&lt;&gt;1,F1147&lt;&gt;IFERROR(INDEX('Taxonomy Rules'!$D$42:$D$68,MATCH(E1147,'Taxonomy Rules'!$C$42:$C$68,0)),""),NOT(OR(IFERROR(INDEX('Taxonomy Rules'!$G$42:$G$68,MATCH(E1147,'Taxonomy Rules'!$C$42:$C$68,0)),"")="All supported routes",IFERROR(INDEX('Taxonomy Rules'!$G$42:$G$68,MATCH(E1147,'Taxonomy Rules'!$C$42:$C$68,0)),"")=U1147,AND(IFERROR(INDEX('Taxonomy Rules'!$G$42:$G$68,MATCH(E1147,'Taxonomy Rules'!$C$42:$C$68,0)),"")="Building routes",OR(U1147="Building renovation",U1147="New building",U1147="Building equipment"))))),"Unexpected test","Valid"))))</x:f>
      </x:c>
      <x:c r="S1147" s="9" t="str">
        <x:f>IF(C1147="","",IFERROR(INDEX('Taxonomy Rules'!$E$42:$E$68,MATCH(E1147,'Taxonomy Rules'!$C$42:$C$68,0)),""))</x:f>
      </x:c>
      <x:c r="T1147" s="9" t="str">
        <x:f>IF(C1147="","",IFERROR(INDEX('Taxonomy Rules'!$F$42:$F$68,MATCH(E1147,'Taxonomy Rules'!$C$42:$C$68,0)),""))</x:f>
      </x:c>
      <x:c r="U1147" s="9" t="str">
        <x:f>IF(C1147="","",IFERROR(INDEX('Taxonomy'!$G$9:$G$108,MATCH(D1147,'Taxonomy'!$C$9:$C$108,0)),""))</x:f>
      </x:c>
    </x:row>
    <x:row r="1148" ht="44" customHeight="1">
      <x:c r="A1148" s="1"/>
      <x:c r="B1148" s="1"/>
      <x:c r="C1148" s="8"/>
      <x:c r="D1148" s="8"/>
      <x:c r="E1148" s="8"/>
      <x:c r="F1148" s="8"/>
      <x:c r="G1148" s="8"/>
      <x:c r="H1148" s="8"/>
      <x:c r="I1148" s="8"/>
      <x:c r="J1148" s="8"/>
      <x:c r="K1148" s="8"/>
      <x:c r="L1148" s="8"/>
      <x:c r="M1148" s="10"/>
      <x:c r="N1148" s="10"/>
      <x:c r="O1148" s="8"/>
      <x:c r="P1148" s="9" t="str">
        <x:f>IF(C1148="","",IF(AND(G1148="Applicable",H1148="Fail"),"Fail",IF(R1148&lt;&gt;"Valid","Pending",IF(OR(I1148="",K1148="",L1148="",K1148=L1148,NOT(ISNUMBER(M1148)),NOT(ISNUMBER(N1148)),M1148&gt;Settings!$F$8,N1148&lt;Settings!$F$8,N1148&lt;M1148),"Pending",IF(AND(G1148="Applicable",H1148="Pass"),"Pass",IF(AND(G1148="N/A",H1148="N/A",J1148&lt;&gt;"",OR(E1148="CEM-FUELS",E1148="CEM-CCS",AND(E1148="CEM-PLAN",IFERROR(INDEX('Taxonomy'!$M$9:$M$108,MATCH(D1148,'Taxonomy'!$C$9:$C$108,0)),"")&lt;&gt;"Amber"),E1148="BLD-TIMBER",AND(U1148="Building equipment",OR(E1148="BLD-WATER",E1148="BLD-WASTE",E1148="BLD-LAND")),AND(U1148="Building renovation",E1148="BLD-LAND"))),"N/A","Pending"))))))</x:f>
      </x:c>
      <x:c r="Q1148" s="3" t="str">
        <x:f>IF(C1148="","",IF(AND(R1148="Valid",OR(P1148="Pass",P1148="N/A")),"Complete","Unresolved"))</x:f>
      </x:c>
      <x:c r="R1148" s="9" t="str">
        <x:f>IF(C1148="","",IF(OR(COUNTIF($C$9:$C$2008,C1148)&lt;&gt;1,COUNTIFS($D$9:$D$2008,D1148,$E$9:$E$2008,E1148)&lt;&gt;1),"Duplicate test",IF(COUNTIF('Taxonomy'!$C$9:$C$108,D1148)&lt;&gt;1,"Assessment key",IF(OR(COUNTIF('Taxonomy Rules'!$C$42:$C$68,E1148)&lt;&gt;1,F1148&lt;&gt;IFERROR(INDEX('Taxonomy Rules'!$D$42:$D$68,MATCH(E1148,'Taxonomy Rules'!$C$42:$C$68,0)),""),NOT(OR(IFERROR(INDEX('Taxonomy Rules'!$G$42:$G$68,MATCH(E1148,'Taxonomy Rules'!$C$42:$C$68,0)),"")="All supported routes",IFERROR(INDEX('Taxonomy Rules'!$G$42:$G$68,MATCH(E1148,'Taxonomy Rules'!$C$42:$C$68,0)),"")=U1148,AND(IFERROR(INDEX('Taxonomy Rules'!$G$42:$G$68,MATCH(E1148,'Taxonomy Rules'!$C$42:$C$68,0)),"")="Building routes",OR(U1148="Building renovation",U1148="New building",U1148="Building equipment"))))),"Unexpected test","Valid"))))</x:f>
      </x:c>
      <x:c r="S1148" s="9" t="str">
        <x:f>IF(C1148="","",IFERROR(INDEX('Taxonomy Rules'!$E$42:$E$68,MATCH(E1148,'Taxonomy Rules'!$C$42:$C$68,0)),""))</x:f>
      </x:c>
      <x:c r="T1148" s="9" t="str">
        <x:f>IF(C1148="","",IFERROR(INDEX('Taxonomy Rules'!$F$42:$F$68,MATCH(E1148,'Taxonomy Rules'!$C$42:$C$68,0)),""))</x:f>
      </x:c>
      <x:c r="U1148" s="9" t="str">
        <x:f>IF(C1148="","",IFERROR(INDEX('Taxonomy'!$G$9:$G$108,MATCH(D1148,'Taxonomy'!$C$9:$C$108,0)),""))</x:f>
      </x:c>
    </x:row>
    <x:row r="1149" ht="44" customHeight="1">
      <x:c r="A1149" s="1"/>
      <x:c r="B1149" s="1"/>
      <x:c r="C1149" s="8"/>
      <x:c r="D1149" s="8"/>
      <x:c r="E1149" s="8"/>
      <x:c r="F1149" s="8"/>
      <x:c r="G1149" s="8"/>
      <x:c r="H1149" s="8"/>
      <x:c r="I1149" s="8"/>
      <x:c r="J1149" s="8"/>
      <x:c r="K1149" s="8"/>
      <x:c r="L1149" s="8"/>
      <x:c r="M1149" s="10"/>
      <x:c r="N1149" s="10"/>
      <x:c r="O1149" s="8"/>
      <x:c r="P1149" s="9" t="str">
        <x:f>IF(C1149="","",IF(AND(G1149="Applicable",H1149="Fail"),"Fail",IF(R1149&lt;&gt;"Valid","Pending",IF(OR(I1149="",K1149="",L1149="",K1149=L1149,NOT(ISNUMBER(M1149)),NOT(ISNUMBER(N1149)),M1149&gt;Settings!$F$8,N1149&lt;Settings!$F$8,N1149&lt;M1149),"Pending",IF(AND(G1149="Applicable",H1149="Pass"),"Pass",IF(AND(G1149="N/A",H1149="N/A",J1149&lt;&gt;"",OR(E1149="CEM-FUELS",E1149="CEM-CCS",AND(E1149="CEM-PLAN",IFERROR(INDEX('Taxonomy'!$M$9:$M$108,MATCH(D1149,'Taxonomy'!$C$9:$C$108,0)),"")&lt;&gt;"Amber"),E1149="BLD-TIMBER",AND(U1149="Building equipment",OR(E1149="BLD-WATER",E1149="BLD-WASTE",E1149="BLD-LAND")),AND(U1149="Building renovation",E1149="BLD-LAND"))),"N/A","Pending"))))))</x:f>
      </x:c>
      <x:c r="Q1149" s="3" t="str">
        <x:f>IF(C1149="","",IF(AND(R1149="Valid",OR(P1149="Pass",P1149="N/A")),"Complete","Unresolved"))</x:f>
      </x:c>
      <x:c r="R1149" s="9" t="str">
        <x:f>IF(C1149="","",IF(OR(COUNTIF($C$9:$C$2008,C1149)&lt;&gt;1,COUNTIFS($D$9:$D$2008,D1149,$E$9:$E$2008,E1149)&lt;&gt;1),"Duplicate test",IF(COUNTIF('Taxonomy'!$C$9:$C$108,D1149)&lt;&gt;1,"Assessment key",IF(OR(COUNTIF('Taxonomy Rules'!$C$42:$C$68,E1149)&lt;&gt;1,F1149&lt;&gt;IFERROR(INDEX('Taxonomy Rules'!$D$42:$D$68,MATCH(E1149,'Taxonomy Rules'!$C$42:$C$68,0)),""),NOT(OR(IFERROR(INDEX('Taxonomy Rules'!$G$42:$G$68,MATCH(E1149,'Taxonomy Rules'!$C$42:$C$68,0)),"")="All supported routes",IFERROR(INDEX('Taxonomy Rules'!$G$42:$G$68,MATCH(E1149,'Taxonomy Rules'!$C$42:$C$68,0)),"")=U1149,AND(IFERROR(INDEX('Taxonomy Rules'!$G$42:$G$68,MATCH(E1149,'Taxonomy Rules'!$C$42:$C$68,0)),"")="Building routes",OR(U1149="Building renovation",U1149="New building",U1149="Building equipment"))))),"Unexpected test","Valid"))))</x:f>
      </x:c>
      <x:c r="S1149" s="9" t="str">
        <x:f>IF(C1149="","",IFERROR(INDEX('Taxonomy Rules'!$E$42:$E$68,MATCH(E1149,'Taxonomy Rules'!$C$42:$C$68,0)),""))</x:f>
      </x:c>
      <x:c r="T1149" s="9" t="str">
        <x:f>IF(C1149="","",IFERROR(INDEX('Taxonomy Rules'!$F$42:$F$68,MATCH(E1149,'Taxonomy Rules'!$C$42:$C$68,0)),""))</x:f>
      </x:c>
      <x:c r="U1149" s="9" t="str">
        <x:f>IF(C1149="","",IFERROR(INDEX('Taxonomy'!$G$9:$G$108,MATCH(D1149,'Taxonomy'!$C$9:$C$108,0)),""))</x:f>
      </x:c>
    </x:row>
    <x:row r="1150" ht="44" customHeight="1">
      <x:c r="A1150" s="1"/>
      <x:c r="B1150" s="1"/>
      <x:c r="C1150" s="8"/>
      <x:c r="D1150" s="8"/>
      <x:c r="E1150" s="8"/>
      <x:c r="F1150" s="8"/>
      <x:c r="G1150" s="8"/>
      <x:c r="H1150" s="8"/>
      <x:c r="I1150" s="8"/>
      <x:c r="J1150" s="8"/>
      <x:c r="K1150" s="8"/>
      <x:c r="L1150" s="8"/>
      <x:c r="M1150" s="10"/>
      <x:c r="N1150" s="10"/>
      <x:c r="O1150" s="8"/>
      <x:c r="P1150" s="9" t="str">
        <x:f>IF(C1150="","",IF(AND(G1150="Applicable",H1150="Fail"),"Fail",IF(R1150&lt;&gt;"Valid","Pending",IF(OR(I1150="",K1150="",L1150="",K1150=L1150,NOT(ISNUMBER(M1150)),NOT(ISNUMBER(N1150)),M1150&gt;Settings!$F$8,N1150&lt;Settings!$F$8,N1150&lt;M1150),"Pending",IF(AND(G1150="Applicable",H1150="Pass"),"Pass",IF(AND(G1150="N/A",H1150="N/A",J1150&lt;&gt;"",OR(E1150="CEM-FUELS",E1150="CEM-CCS",AND(E1150="CEM-PLAN",IFERROR(INDEX('Taxonomy'!$M$9:$M$108,MATCH(D1150,'Taxonomy'!$C$9:$C$108,0)),"")&lt;&gt;"Amber"),E1150="BLD-TIMBER",AND(U1150="Building equipment",OR(E1150="BLD-WATER",E1150="BLD-WASTE",E1150="BLD-LAND")),AND(U1150="Building renovation",E1150="BLD-LAND"))),"N/A","Pending"))))))</x:f>
      </x:c>
      <x:c r="Q1150" s="3" t="str">
        <x:f>IF(C1150="","",IF(AND(R1150="Valid",OR(P1150="Pass",P1150="N/A")),"Complete","Unresolved"))</x:f>
      </x:c>
      <x:c r="R1150" s="9" t="str">
        <x:f>IF(C1150="","",IF(OR(COUNTIF($C$9:$C$2008,C1150)&lt;&gt;1,COUNTIFS($D$9:$D$2008,D1150,$E$9:$E$2008,E1150)&lt;&gt;1),"Duplicate test",IF(COUNTIF('Taxonomy'!$C$9:$C$108,D1150)&lt;&gt;1,"Assessment key",IF(OR(COUNTIF('Taxonomy Rules'!$C$42:$C$68,E1150)&lt;&gt;1,F1150&lt;&gt;IFERROR(INDEX('Taxonomy Rules'!$D$42:$D$68,MATCH(E1150,'Taxonomy Rules'!$C$42:$C$68,0)),""),NOT(OR(IFERROR(INDEX('Taxonomy Rules'!$G$42:$G$68,MATCH(E1150,'Taxonomy Rules'!$C$42:$C$68,0)),"")="All supported routes",IFERROR(INDEX('Taxonomy Rules'!$G$42:$G$68,MATCH(E1150,'Taxonomy Rules'!$C$42:$C$68,0)),"")=U1150,AND(IFERROR(INDEX('Taxonomy Rules'!$G$42:$G$68,MATCH(E1150,'Taxonomy Rules'!$C$42:$C$68,0)),"")="Building routes",OR(U1150="Building renovation",U1150="New building",U1150="Building equipment"))))),"Unexpected test","Valid"))))</x:f>
      </x:c>
      <x:c r="S1150" s="9" t="str">
        <x:f>IF(C1150="","",IFERROR(INDEX('Taxonomy Rules'!$E$42:$E$68,MATCH(E1150,'Taxonomy Rules'!$C$42:$C$68,0)),""))</x:f>
      </x:c>
      <x:c r="T1150" s="9" t="str">
        <x:f>IF(C1150="","",IFERROR(INDEX('Taxonomy Rules'!$F$42:$F$68,MATCH(E1150,'Taxonomy Rules'!$C$42:$C$68,0)),""))</x:f>
      </x:c>
      <x:c r="U1150" s="9" t="str">
        <x:f>IF(C1150="","",IFERROR(INDEX('Taxonomy'!$G$9:$G$108,MATCH(D1150,'Taxonomy'!$C$9:$C$108,0)),""))</x:f>
      </x:c>
    </x:row>
    <x:row r="1151" ht="44" customHeight="1">
      <x:c r="A1151" s="1"/>
      <x:c r="B1151" s="1"/>
      <x:c r="C1151" s="8"/>
      <x:c r="D1151" s="8"/>
      <x:c r="E1151" s="8"/>
      <x:c r="F1151" s="8"/>
      <x:c r="G1151" s="8"/>
      <x:c r="H1151" s="8"/>
      <x:c r="I1151" s="8"/>
      <x:c r="J1151" s="8"/>
      <x:c r="K1151" s="8"/>
      <x:c r="L1151" s="8"/>
      <x:c r="M1151" s="10"/>
      <x:c r="N1151" s="10"/>
      <x:c r="O1151" s="8"/>
      <x:c r="P1151" s="9" t="str">
        <x:f>IF(C1151="","",IF(AND(G1151="Applicable",H1151="Fail"),"Fail",IF(R1151&lt;&gt;"Valid","Pending",IF(OR(I1151="",K1151="",L1151="",K1151=L1151,NOT(ISNUMBER(M1151)),NOT(ISNUMBER(N1151)),M1151&gt;Settings!$F$8,N1151&lt;Settings!$F$8,N1151&lt;M1151),"Pending",IF(AND(G1151="Applicable",H1151="Pass"),"Pass",IF(AND(G1151="N/A",H1151="N/A",J1151&lt;&gt;"",OR(E1151="CEM-FUELS",E1151="CEM-CCS",AND(E1151="CEM-PLAN",IFERROR(INDEX('Taxonomy'!$M$9:$M$108,MATCH(D1151,'Taxonomy'!$C$9:$C$108,0)),"")&lt;&gt;"Amber"),E1151="BLD-TIMBER",AND(U1151="Building equipment",OR(E1151="BLD-WATER",E1151="BLD-WASTE",E1151="BLD-LAND")),AND(U1151="Building renovation",E1151="BLD-LAND"))),"N/A","Pending"))))))</x:f>
      </x:c>
      <x:c r="Q1151" s="3" t="str">
        <x:f>IF(C1151="","",IF(AND(R1151="Valid",OR(P1151="Pass",P1151="N/A")),"Complete","Unresolved"))</x:f>
      </x:c>
      <x:c r="R1151" s="9" t="str">
        <x:f>IF(C1151="","",IF(OR(COUNTIF($C$9:$C$2008,C1151)&lt;&gt;1,COUNTIFS($D$9:$D$2008,D1151,$E$9:$E$2008,E1151)&lt;&gt;1),"Duplicate test",IF(COUNTIF('Taxonomy'!$C$9:$C$108,D1151)&lt;&gt;1,"Assessment key",IF(OR(COUNTIF('Taxonomy Rules'!$C$42:$C$68,E1151)&lt;&gt;1,F1151&lt;&gt;IFERROR(INDEX('Taxonomy Rules'!$D$42:$D$68,MATCH(E1151,'Taxonomy Rules'!$C$42:$C$68,0)),""),NOT(OR(IFERROR(INDEX('Taxonomy Rules'!$G$42:$G$68,MATCH(E1151,'Taxonomy Rules'!$C$42:$C$68,0)),"")="All supported routes",IFERROR(INDEX('Taxonomy Rules'!$G$42:$G$68,MATCH(E1151,'Taxonomy Rules'!$C$42:$C$68,0)),"")=U1151,AND(IFERROR(INDEX('Taxonomy Rules'!$G$42:$G$68,MATCH(E1151,'Taxonomy Rules'!$C$42:$C$68,0)),"")="Building routes",OR(U1151="Building renovation",U1151="New building",U1151="Building equipment"))))),"Unexpected test","Valid"))))</x:f>
      </x:c>
      <x:c r="S1151" s="9" t="str">
        <x:f>IF(C1151="","",IFERROR(INDEX('Taxonomy Rules'!$E$42:$E$68,MATCH(E1151,'Taxonomy Rules'!$C$42:$C$68,0)),""))</x:f>
      </x:c>
      <x:c r="T1151" s="9" t="str">
        <x:f>IF(C1151="","",IFERROR(INDEX('Taxonomy Rules'!$F$42:$F$68,MATCH(E1151,'Taxonomy Rules'!$C$42:$C$68,0)),""))</x:f>
      </x:c>
      <x:c r="U1151" s="9" t="str">
        <x:f>IF(C1151="","",IFERROR(INDEX('Taxonomy'!$G$9:$G$108,MATCH(D1151,'Taxonomy'!$C$9:$C$108,0)),""))</x:f>
      </x:c>
    </x:row>
    <x:row r="1152" ht="44" customHeight="1">
      <x:c r="A1152" s="1"/>
      <x:c r="B1152" s="1"/>
      <x:c r="C1152" s="8"/>
      <x:c r="D1152" s="8"/>
      <x:c r="E1152" s="8"/>
      <x:c r="F1152" s="8"/>
      <x:c r="G1152" s="8"/>
      <x:c r="H1152" s="8"/>
      <x:c r="I1152" s="8"/>
      <x:c r="J1152" s="8"/>
      <x:c r="K1152" s="8"/>
      <x:c r="L1152" s="8"/>
      <x:c r="M1152" s="10"/>
      <x:c r="N1152" s="10"/>
      <x:c r="O1152" s="8"/>
      <x:c r="P1152" s="9" t="str">
        <x:f>IF(C1152="","",IF(AND(G1152="Applicable",H1152="Fail"),"Fail",IF(R1152&lt;&gt;"Valid","Pending",IF(OR(I1152="",K1152="",L1152="",K1152=L1152,NOT(ISNUMBER(M1152)),NOT(ISNUMBER(N1152)),M1152&gt;Settings!$F$8,N1152&lt;Settings!$F$8,N1152&lt;M1152),"Pending",IF(AND(G1152="Applicable",H1152="Pass"),"Pass",IF(AND(G1152="N/A",H1152="N/A",J1152&lt;&gt;"",OR(E1152="CEM-FUELS",E1152="CEM-CCS",AND(E1152="CEM-PLAN",IFERROR(INDEX('Taxonomy'!$M$9:$M$108,MATCH(D1152,'Taxonomy'!$C$9:$C$108,0)),"")&lt;&gt;"Amber"),E1152="BLD-TIMBER",AND(U1152="Building equipment",OR(E1152="BLD-WATER",E1152="BLD-WASTE",E1152="BLD-LAND")),AND(U1152="Building renovation",E1152="BLD-LAND"))),"N/A","Pending"))))))</x:f>
      </x:c>
      <x:c r="Q1152" s="3" t="str">
        <x:f>IF(C1152="","",IF(AND(R1152="Valid",OR(P1152="Pass",P1152="N/A")),"Complete","Unresolved"))</x:f>
      </x:c>
      <x:c r="R1152" s="9" t="str">
        <x:f>IF(C1152="","",IF(OR(COUNTIF($C$9:$C$2008,C1152)&lt;&gt;1,COUNTIFS($D$9:$D$2008,D1152,$E$9:$E$2008,E1152)&lt;&gt;1),"Duplicate test",IF(COUNTIF('Taxonomy'!$C$9:$C$108,D1152)&lt;&gt;1,"Assessment key",IF(OR(COUNTIF('Taxonomy Rules'!$C$42:$C$68,E1152)&lt;&gt;1,F1152&lt;&gt;IFERROR(INDEX('Taxonomy Rules'!$D$42:$D$68,MATCH(E1152,'Taxonomy Rules'!$C$42:$C$68,0)),""),NOT(OR(IFERROR(INDEX('Taxonomy Rules'!$G$42:$G$68,MATCH(E1152,'Taxonomy Rules'!$C$42:$C$68,0)),"")="All supported routes",IFERROR(INDEX('Taxonomy Rules'!$G$42:$G$68,MATCH(E1152,'Taxonomy Rules'!$C$42:$C$68,0)),"")=U1152,AND(IFERROR(INDEX('Taxonomy Rules'!$G$42:$G$68,MATCH(E1152,'Taxonomy Rules'!$C$42:$C$68,0)),"")="Building routes",OR(U1152="Building renovation",U1152="New building",U1152="Building equipment"))))),"Unexpected test","Valid"))))</x:f>
      </x:c>
      <x:c r="S1152" s="9" t="str">
        <x:f>IF(C1152="","",IFERROR(INDEX('Taxonomy Rules'!$E$42:$E$68,MATCH(E1152,'Taxonomy Rules'!$C$42:$C$68,0)),""))</x:f>
      </x:c>
      <x:c r="T1152" s="9" t="str">
        <x:f>IF(C1152="","",IFERROR(INDEX('Taxonomy Rules'!$F$42:$F$68,MATCH(E1152,'Taxonomy Rules'!$C$42:$C$68,0)),""))</x:f>
      </x:c>
      <x:c r="U1152" s="9" t="str">
        <x:f>IF(C1152="","",IFERROR(INDEX('Taxonomy'!$G$9:$G$108,MATCH(D1152,'Taxonomy'!$C$9:$C$108,0)),""))</x:f>
      </x:c>
    </x:row>
    <x:row r="1153" ht="44" customHeight="1">
      <x:c r="A1153" s="1"/>
      <x:c r="B1153" s="1"/>
      <x:c r="C1153" s="8"/>
      <x:c r="D1153" s="8"/>
      <x:c r="E1153" s="8"/>
      <x:c r="F1153" s="8"/>
      <x:c r="G1153" s="8"/>
      <x:c r="H1153" s="8"/>
      <x:c r="I1153" s="8"/>
      <x:c r="J1153" s="8"/>
      <x:c r="K1153" s="8"/>
      <x:c r="L1153" s="8"/>
      <x:c r="M1153" s="10"/>
      <x:c r="N1153" s="10"/>
      <x:c r="O1153" s="8"/>
      <x:c r="P1153" s="9" t="str">
        <x:f>IF(C1153="","",IF(AND(G1153="Applicable",H1153="Fail"),"Fail",IF(R1153&lt;&gt;"Valid","Pending",IF(OR(I1153="",K1153="",L1153="",K1153=L1153,NOT(ISNUMBER(M1153)),NOT(ISNUMBER(N1153)),M1153&gt;Settings!$F$8,N1153&lt;Settings!$F$8,N1153&lt;M1153),"Pending",IF(AND(G1153="Applicable",H1153="Pass"),"Pass",IF(AND(G1153="N/A",H1153="N/A",J1153&lt;&gt;"",OR(E1153="CEM-FUELS",E1153="CEM-CCS",AND(E1153="CEM-PLAN",IFERROR(INDEX('Taxonomy'!$M$9:$M$108,MATCH(D1153,'Taxonomy'!$C$9:$C$108,0)),"")&lt;&gt;"Amber"),E1153="BLD-TIMBER",AND(U1153="Building equipment",OR(E1153="BLD-WATER",E1153="BLD-WASTE",E1153="BLD-LAND")),AND(U1153="Building renovation",E1153="BLD-LAND"))),"N/A","Pending"))))))</x:f>
      </x:c>
      <x:c r="Q1153" s="3" t="str">
        <x:f>IF(C1153="","",IF(AND(R1153="Valid",OR(P1153="Pass",P1153="N/A")),"Complete","Unresolved"))</x:f>
      </x:c>
      <x:c r="R1153" s="9" t="str">
        <x:f>IF(C1153="","",IF(OR(COUNTIF($C$9:$C$2008,C1153)&lt;&gt;1,COUNTIFS($D$9:$D$2008,D1153,$E$9:$E$2008,E1153)&lt;&gt;1),"Duplicate test",IF(COUNTIF('Taxonomy'!$C$9:$C$108,D1153)&lt;&gt;1,"Assessment key",IF(OR(COUNTIF('Taxonomy Rules'!$C$42:$C$68,E1153)&lt;&gt;1,F1153&lt;&gt;IFERROR(INDEX('Taxonomy Rules'!$D$42:$D$68,MATCH(E1153,'Taxonomy Rules'!$C$42:$C$68,0)),""),NOT(OR(IFERROR(INDEX('Taxonomy Rules'!$G$42:$G$68,MATCH(E1153,'Taxonomy Rules'!$C$42:$C$68,0)),"")="All supported routes",IFERROR(INDEX('Taxonomy Rules'!$G$42:$G$68,MATCH(E1153,'Taxonomy Rules'!$C$42:$C$68,0)),"")=U1153,AND(IFERROR(INDEX('Taxonomy Rules'!$G$42:$G$68,MATCH(E1153,'Taxonomy Rules'!$C$42:$C$68,0)),"")="Building routes",OR(U1153="Building renovation",U1153="New building",U1153="Building equipment"))))),"Unexpected test","Valid"))))</x:f>
      </x:c>
      <x:c r="S1153" s="9" t="str">
        <x:f>IF(C1153="","",IFERROR(INDEX('Taxonomy Rules'!$E$42:$E$68,MATCH(E1153,'Taxonomy Rules'!$C$42:$C$68,0)),""))</x:f>
      </x:c>
      <x:c r="T1153" s="9" t="str">
        <x:f>IF(C1153="","",IFERROR(INDEX('Taxonomy Rules'!$F$42:$F$68,MATCH(E1153,'Taxonomy Rules'!$C$42:$C$68,0)),""))</x:f>
      </x:c>
      <x:c r="U1153" s="9" t="str">
        <x:f>IF(C1153="","",IFERROR(INDEX('Taxonomy'!$G$9:$G$108,MATCH(D1153,'Taxonomy'!$C$9:$C$108,0)),""))</x:f>
      </x:c>
    </x:row>
    <x:row r="1154" ht="44" customHeight="1">
      <x:c r="A1154" s="1"/>
      <x:c r="B1154" s="1"/>
      <x:c r="C1154" s="8"/>
      <x:c r="D1154" s="8"/>
      <x:c r="E1154" s="8"/>
      <x:c r="F1154" s="8"/>
      <x:c r="G1154" s="8"/>
      <x:c r="H1154" s="8"/>
      <x:c r="I1154" s="8"/>
      <x:c r="J1154" s="8"/>
      <x:c r="K1154" s="8"/>
      <x:c r="L1154" s="8"/>
      <x:c r="M1154" s="10"/>
      <x:c r="N1154" s="10"/>
      <x:c r="O1154" s="8"/>
      <x:c r="P1154" s="9" t="str">
        <x:f>IF(C1154="","",IF(AND(G1154="Applicable",H1154="Fail"),"Fail",IF(R1154&lt;&gt;"Valid","Pending",IF(OR(I1154="",K1154="",L1154="",K1154=L1154,NOT(ISNUMBER(M1154)),NOT(ISNUMBER(N1154)),M1154&gt;Settings!$F$8,N1154&lt;Settings!$F$8,N1154&lt;M1154),"Pending",IF(AND(G1154="Applicable",H1154="Pass"),"Pass",IF(AND(G1154="N/A",H1154="N/A",J1154&lt;&gt;"",OR(E1154="CEM-FUELS",E1154="CEM-CCS",AND(E1154="CEM-PLAN",IFERROR(INDEX('Taxonomy'!$M$9:$M$108,MATCH(D1154,'Taxonomy'!$C$9:$C$108,0)),"")&lt;&gt;"Amber"),E1154="BLD-TIMBER",AND(U1154="Building equipment",OR(E1154="BLD-WATER",E1154="BLD-WASTE",E1154="BLD-LAND")),AND(U1154="Building renovation",E1154="BLD-LAND"))),"N/A","Pending"))))))</x:f>
      </x:c>
      <x:c r="Q1154" s="3" t="str">
        <x:f>IF(C1154="","",IF(AND(R1154="Valid",OR(P1154="Pass",P1154="N/A")),"Complete","Unresolved"))</x:f>
      </x:c>
      <x:c r="R1154" s="9" t="str">
        <x:f>IF(C1154="","",IF(OR(COUNTIF($C$9:$C$2008,C1154)&lt;&gt;1,COUNTIFS($D$9:$D$2008,D1154,$E$9:$E$2008,E1154)&lt;&gt;1),"Duplicate test",IF(COUNTIF('Taxonomy'!$C$9:$C$108,D1154)&lt;&gt;1,"Assessment key",IF(OR(COUNTIF('Taxonomy Rules'!$C$42:$C$68,E1154)&lt;&gt;1,F1154&lt;&gt;IFERROR(INDEX('Taxonomy Rules'!$D$42:$D$68,MATCH(E1154,'Taxonomy Rules'!$C$42:$C$68,0)),""),NOT(OR(IFERROR(INDEX('Taxonomy Rules'!$G$42:$G$68,MATCH(E1154,'Taxonomy Rules'!$C$42:$C$68,0)),"")="All supported routes",IFERROR(INDEX('Taxonomy Rules'!$G$42:$G$68,MATCH(E1154,'Taxonomy Rules'!$C$42:$C$68,0)),"")=U1154,AND(IFERROR(INDEX('Taxonomy Rules'!$G$42:$G$68,MATCH(E1154,'Taxonomy Rules'!$C$42:$C$68,0)),"")="Building routes",OR(U1154="Building renovation",U1154="New building",U1154="Building equipment"))))),"Unexpected test","Valid"))))</x:f>
      </x:c>
      <x:c r="S1154" s="9" t="str">
        <x:f>IF(C1154="","",IFERROR(INDEX('Taxonomy Rules'!$E$42:$E$68,MATCH(E1154,'Taxonomy Rules'!$C$42:$C$68,0)),""))</x:f>
      </x:c>
      <x:c r="T1154" s="9" t="str">
        <x:f>IF(C1154="","",IFERROR(INDEX('Taxonomy Rules'!$F$42:$F$68,MATCH(E1154,'Taxonomy Rules'!$C$42:$C$68,0)),""))</x:f>
      </x:c>
      <x:c r="U1154" s="9" t="str">
        <x:f>IF(C1154="","",IFERROR(INDEX('Taxonomy'!$G$9:$G$108,MATCH(D1154,'Taxonomy'!$C$9:$C$108,0)),""))</x:f>
      </x:c>
    </x:row>
    <x:row r="1155" ht="44" customHeight="1">
      <x:c r="A1155" s="1"/>
      <x:c r="B1155" s="1"/>
      <x:c r="C1155" s="8"/>
      <x:c r="D1155" s="8"/>
      <x:c r="E1155" s="8"/>
      <x:c r="F1155" s="8"/>
      <x:c r="G1155" s="8"/>
      <x:c r="H1155" s="8"/>
      <x:c r="I1155" s="8"/>
      <x:c r="J1155" s="8"/>
      <x:c r="K1155" s="8"/>
      <x:c r="L1155" s="8"/>
      <x:c r="M1155" s="10"/>
      <x:c r="N1155" s="10"/>
      <x:c r="O1155" s="8"/>
      <x:c r="P1155" s="9" t="str">
        <x:f>IF(C1155="","",IF(AND(G1155="Applicable",H1155="Fail"),"Fail",IF(R1155&lt;&gt;"Valid","Pending",IF(OR(I1155="",K1155="",L1155="",K1155=L1155,NOT(ISNUMBER(M1155)),NOT(ISNUMBER(N1155)),M1155&gt;Settings!$F$8,N1155&lt;Settings!$F$8,N1155&lt;M1155),"Pending",IF(AND(G1155="Applicable",H1155="Pass"),"Pass",IF(AND(G1155="N/A",H1155="N/A",J1155&lt;&gt;"",OR(E1155="CEM-FUELS",E1155="CEM-CCS",AND(E1155="CEM-PLAN",IFERROR(INDEX('Taxonomy'!$M$9:$M$108,MATCH(D1155,'Taxonomy'!$C$9:$C$108,0)),"")&lt;&gt;"Amber"),E1155="BLD-TIMBER",AND(U1155="Building equipment",OR(E1155="BLD-WATER",E1155="BLD-WASTE",E1155="BLD-LAND")),AND(U1155="Building renovation",E1155="BLD-LAND"))),"N/A","Pending"))))))</x:f>
      </x:c>
      <x:c r="Q1155" s="3" t="str">
        <x:f>IF(C1155="","",IF(AND(R1155="Valid",OR(P1155="Pass",P1155="N/A")),"Complete","Unresolved"))</x:f>
      </x:c>
      <x:c r="R1155" s="9" t="str">
        <x:f>IF(C1155="","",IF(OR(COUNTIF($C$9:$C$2008,C1155)&lt;&gt;1,COUNTIFS($D$9:$D$2008,D1155,$E$9:$E$2008,E1155)&lt;&gt;1),"Duplicate test",IF(COUNTIF('Taxonomy'!$C$9:$C$108,D1155)&lt;&gt;1,"Assessment key",IF(OR(COUNTIF('Taxonomy Rules'!$C$42:$C$68,E1155)&lt;&gt;1,F1155&lt;&gt;IFERROR(INDEX('Taxonomy Rules'!$D$42:$D$68,MATCH(E1155,'Taxonomy Rules'!$C$42:$C$68,0)),""),NOT(OR(IFERROR(INDEX('Taxonomy Rules'!$G$42:$G$68,MATCH(E1155,'Taxonomy Rules'!$C$42:$C$68,0)),"")="All supported routes",IFERROR(INDEX('Taxonomy Rules'!$G$42:$G$68,MATCH(E1155,'Taxonomy Rules'!$C$42:$C$68,0)),"")=U1155,AND(IFERROR(INDEX('Taxonomy Rules'!$G$42:$G$68,MATCH(E1155,'Taxonomy Rules'!$C$42:$C$68,0)),"")="Building routes",OR(U1155="Building renovation",U1155="New building",U1155="Building equipment"))))),"Unexpected test","Valid"))))</x:f>
      </x:c>
      <x:c r="S1155" s="9" t="str">
        <x:f>IF(C1155="","",IFERROR(INDEX('Taxonomy Rules'!$E$42:$E$68,MATCH(E1155,'Taxonomy Rules'!$C$42:$C$68,0)),""))</x:f>
      </x:c>
      <x:c r="T1155" s="9" t="str">
        <x:f>IF(C1155="","",IFERROR(INDEX('Taxonomy Rules'!$F$42:$F$68,MATCH(E1155,'Taxonomy Rules'!$C$42:$C$68,0)),""))</x:f>
      </x:c>
      <x:c r="U1155" s="9" t="str">
        <x:f>IF(C1155="","",IFERROR(INDEX('Taxonomy'!$G$9:$G$108,MATCH(D1155,'Taxonomy'!$C$9:$C$108,0)),""))</x:f>
      </x:c>
    </x:row>
    <x:row r="1156" ht="44" customHeight="1">
      <x:c r="A1156" s="1"/>
      <x:c r="B1156" s="1"/>
      <x:c r="C1156" s="8"/>
      <x:c r="D1156" s="8"/>
      <x:c r="E1156" s="8"/>
      <x:c r="F1156" s="8"/>
      <x:c r="G1156" s="8"/>
      <x:c r="H1156" s="8"/>
      <x:c r="I1156" s="8"/>
      <x:c r="J1156" s="8"/>
      <x:c r="K1156" s="8"/>
      <x:c r="L1156" s="8"/>
      <x:c r="M1156" s="10"/>
      <x:c r="N1156" s="10"/>
      <x:c r="O1156" s="8"/>
      <x:c r="P1156" s="9" t="str">
        <x:f>IF(C1156="","",IF(AND(G1156="Applicable",H1156="Fail"),"Fail",IF(R1156&lt;&gt;"Valid","Pending",IF(OR(I1156="",K1156="",L1156="",K1156=L1156,NOT(ISNUMBER(M1156)),NOT(ISNUMBER(N1156)),M1156&gt;Settings!$F$8,N1156&lt;Settings!$F$8,N1156&lt;M1156),"Pending",IF(AND(G1156="Applicable",H1156="Pass"),"Pass",IF(AND(G1156="N/A",H1156="N/A",J1156&lt;&gt;"",OR(E1156="CEM-FUELS",E1156="CEM-CCS",AND(E1156="CEM-PLAN",IFERROR(INDEX('Taxonomy'!$M$9:$M$108,MATCH(D1156,'Taxonomy'!$C$9:$C$108,0)),"")&lt;&gt;"Amber"),E1156="BLD-TIMBER",AND(U1156="Building equipment",OR(E1156="BLD-WATER",E1156="BLD-WASTE",E1156="BLD-LAND")),AND(U1156="Building renovation",E1156="BLD-LAND"))),"N/A","Pending"))))))</x:f>
      </x:c>
      <x:c r="Q1156" s="3" t="str">
        <x:f>IF(C1156="","",IF(AND(R1156="Valid",OR(P1156="Pass",P1156="N/A")),"Complete","Unresolved"))</x:f>
      </x:c>
      <x:c r="R1156" s="9" t="str">
        <x:f>IF(C1156="","",IF(OR(COUNTIF($C$9:$C$2008,C1156)&lt;&gt;1,COUNTIFS($D$9:$D$2008,D1156,$E$9:$E$2008,E1156)&lt;&gt;1),"Duplicate test",IF(COUNTIF('Taxonomy'!$C$9:$C$108,D1156)&lt;&gt;1,"Assessment key",IF(OR(COUNTIF('Taxonomy Rules'!$C$42:$C$68,E1156)&lt;&gt;1,F1156&lt;&gt;IFERROR(INDEX('Taxonomy Rules'!$D$42:$D$68,MATCH(E1156,'Taxonomy Rules'!$C$42:$C$68,0)),""),NOT(OR(IFERROR(INDEX('Taxonomy Rules'!$G$42:$G$68,MATCH(E1156,'Taxonomy Rules'!$C$42:$C$68,0)),"")="All supported routes",IFERROR(INDEX('Taxonomy Rules'!$G$42:$G$68,MATCH(E1156,'Taxonomy Rules'!$C$42:$C$68,0)),"")=U1156,AND(IFERROR(INDEX('Taxonomy Rules'!$G$42:$G$68,MATCH(E1156,'Taxonomy Rules'!$C$42:$C$68,0)),"")="Building routes",OR(U1156="Building renovation",U1156="New building",U1156="Building equipment"))))),"Unexpected test","Valid"))))</x:f>
      </x:c>
      <x:c r="S1156" s="9" t="str">
        <x:f>IF(C1156="","",IFERROR(INDEX('Taxonomy Rules'!$E$42:$E$68,MATCH(E1156,'Taxonomy Rules'!$C$42:$C$68,0)),""))</x:f>
      </x:c>
      <x:c r="T1156" s="9" t="str">
        <x:f>IF(C1156="","",IFERROR(INDEX('Taxonomy Rules'!$F$42:$F$68,MATCH(E1156,'Taxonomy Rules'!$C$42:$C$68,0)),""))</x:f>
      </x:c>
      <x:c r="U1156" s="9" t="str">
        <x:f>IF(C1156="","",IFERROR(INDEX('Taxonomy'!$G$9:$G$108,MATCH(D1156,'Taxonomy'!$C$9:$C$108,0)),""))</x:f>
      </x:c>
    </x:row>
    <x:row r="1157" ht="44" customHeight="1">
      <x:c r="A1157" s="1"/>
      <x:c r="B1157" s="1"/>
      <x:c r="C1157" s="8"/>
      <x:c r="D1157" s="8"/>
      <x:c r="E1157" s="8"/>
      <x:c r="F1157" s="8"/>
      <x:c r="G1157" s="8"/>
      <x:c r="H1157" s="8"/>
      <x:c r="I1157" s="8"/>
      <x:c r="J1157" s="8"/>
      <x:c r="K1157" s="8"/>
      <x:c r="L1157" s="8"/>
      <x:c r="M1157" s="10"/>
      <x:c r="N1157" s="10"/>
      <x:c r="O1157" s="8"/>
      <x:c r="P1157" s="9" t="str">
        <x:f>IF(C1157="","",IF(AND(G1157="Applicable",H1157="Fail"),"Fail",IF(R1157&lt;&gt;"Valid","Pending",IF(OR(I1157="",K1157="",L1157="",K1157=L1157,NOT(ISNUMBER(M1157)),NOT(ISNUMBER(N1157)),M1157&gt;Settings!$F$8,N1157&lt;Settings!$F$8,N1157&lt;M1157),"Pending",IF(AND(G1157="Applicable",H1157="Pass"),"Pass",IF(AND(G1157="N/A",H1157="N/A",J1157&lt;&gt;"",OR(E1157="CEM-FUELS",E1157="CEM-CCS",AND(E1157="CEM-PLAN",IFERROR(INDEX('Taxonomy'!$M$9:$M$108,MATCH(D1157,'Taxonomy'!$C$9:$C$108,0)),"")&lt;&gt;"Amber"),E1157="BLD-TIMBER",AND(U1157="Building equipment",OR(E1157="BLD-WATER",E1157="BLD-WASTE",E1157="BLD-LAND")),AND(U1157="Building renovation",E1157="BLD-LAND"))),"N/A","Pending"))))))</x:f>
      </x:c>
      <x:c r="Q1157" s="3" t="str">
        <x:f>IF(C1157="","",IF(AND(R1157="Valid",OR(P1157="Pass",P1157="N/A")),"Complete","Unresolved"))</x:f>
      </x:c>
      <x:c r="R1157" s="9" t="str">
        <x:f>IF(C1157="","",IF(OR(COUNTIF($C$9:$C$2008,C1157)&lt;&gt;1,COUNTIFS($D$9:$D$2008,D1157,$E$9:$E$2008,E1157)&lt;&gt;1),"Duplicate test",IF(COUNTIF('Taxonomy'!$C$9:$C$108,D1157)&lt;&gt;1,"Assessment key",IF(OR(COUNTIF('Taxonomy Rules'!$C$42:$C$68,E1157)&lt;&gt;1,F1157&lt;&gt;IFERROR(INDEX('Taxonomy Rules'!$D$42:$D$68,MATCH(E1157,'Taxonomy Rules'!$C$42:$C$68,0)),""),NOT(OR(IFERROR(INDEX('Taxonomy Rules'!$G$42:$G$68,MATCH(E1157,'Taxonomy Rules'!$C$42:$C$68,0)),"")="All supported routes",IFERROR(INDEX('Taxonomy Rules'!$G$42:$G$68,MATCH(E1157,'Taxonomy Rules'!$C$42:$C$68,0)),"")=U1157,AND(IFERROR(INDEX('Taxonomy Rules'!$G$42:$G$68,MATCH(E1157,'Taxonomy Rules'!$C$42:$C$68,0)),"")="Building routes",OR(U1157="Building renovation",U1157="New building",U1157="Building equipment"))))),"Unexpected test","Valid"))))</x:f>
      </x:c>
      <x:c r="S1157" s="9" t="str">
        <x:f>IF(C1157="","",IFERROR(INDEX('Taxonomy Rules'!$E$42:$E$68,MATCH(E1157,'Taxonomy Rules'!$C$42:$C$68,0)),""))</x:f>
      </x:c>
      <x:c r="T1157" s="9" t="str">
        <x:f>IF(C1157="","",IFERROR(INDEX('Taxonomy Rules'!$F$42:$F$68,MATCH(E1157,'Taxonomy Rules'!$C$42:$C$68,0)),""))</x:f>
      </x:c>
      <x:c r="U1157" s="9" t="str">
        <x:f>IF(C1157="","",IFERROR(INDEX('Taxonomy'!$G$9:$G$108,MATCH(D1157,'Taxonomy'!$C$9:$C$108,0)),""))</x:f>
      </x:c>
    </x:row>
    <x:row r="1158" ht="44" customHeight="1">
      <x:c r="A1158" s="1"/>
      <x:c r="B1158" s="1"/>
      <x:c r="C1158" s="8"/>
      <x:c r="D1158" s="8"/>
      <x:c r="E1158" s="8"/>
      <x:c r="F1158" s="8"/>
      <x:c r="G1158" s="8"/>
      <x:c r="H1158" s="8"/>
      <x:c r="I1158" s="8"/>
      <x:c r="J1158" s="8"/>
      <x:c r="K1158" s="8"/>
      <x:c r="L1158" s="8"/>
      <x:c r="M1158" s="10"/>
      <x:c r="N1158" s="10"/>
      <x:c r="O1158" s="8"/>
      <x:c r="P1158" s="9" t="str">
        <x:f>IF(C1158="","",IF(AND(G1158="Applicable",H1158="Fail"),"Fail",IF(R1158&lt;&gt;"Valid","Pending",IF(OR(I1158="",K1158="",L1158="",K1158=L1158,NOT(ISNUMBER(M1158)),NOT(ISNUMBER(N1158)),M1158&gt;Settings!$F$8,N1158&lt;Settings!$F$8,N1158&lt;M1158),"Pending",IF(AND(G1158="Applicable",H1158="Pass"),"Pass",IF(AND(G1158="N/A",H1158="N/A",J1158&lt;&gt;"",OR(E1158="CEM-FUELS",E1158="CEM-CCS",AND(E1158="CEM-PLAN",IFERROR(INDEX('Taxonomy'!$M$9:$M$108,MATCH(D1158,'Taxonomy'!$C$9:$C$108,0)),"")&lt;&gt;"Amber"),E1158="BLD-TIMBER",AND(U1158="Building equipment",OR(E1158="BLD-WATER",E1158="BLD-WASTE",E1158="BLD-LAND")),AND(U1158="Building renovation",E1158="BLD-LAND"))),"N/A","Pending"))))))</x:f>
      </x:c>
      <x:c r="Q1158" s="3" t="str">
        <x:f>IF(C1158="","",IF(AND(R1158="Valid",OR(P1158="Pass",P1158="N/A")),"Complete","Unresolved"))</x:f>
      </x:c>
      <x:c r="R1158" s="9" t="str">
        <x:f>IF(C1158="","",IF(OR(COUNTIF($C$9:$C$2008,C1158)&lt;&gt;1,COUNTIFS($D$9:$D$2008,D1158,$E$9:$E$2008,E1158)&lt;&gt;1),"Duplicate test",IF(COUNTIF('Taxonomy'!$C$9:$C$108,D1158)&lt;&gt;1,"Assessment key",IF(OR(COUNTIF('Taxonomy Rules'!$C$42:$C$68,E1158)&lt;&gt;1,F1158&lt;&gt;IFERROR(INDEX('Taxonomy Rules'!$D$42:$D$68,MATCH(E1158,'Taxonomy Rules'!$C$42:$C$68,0)),""),NOT(OR(IFERROR(INDEX('Taxonomy Rules'!$G$42:$G$68,MATCH(E1158,'Taxonomy Rules'!$C$42:$C$68,0)),"")="All supported routes",IFERROR(INDEX('Taxonomy Rules'!$G$42:$G$68,MATCH(E1158,'Taxonomy Rules'!$C$42:$C$68,0)),"")=U1158,AND(IFERROR(INDEX('Taxonomy Rules'!$G$42:$G$68,MATCH(E1158,'Taxonomy Rules'!$C$42:$C$68,0)),"")="Building routes",OR(U1158="Building renovation",U1158="New building",U1158="Building equipment"))))),"Unexpected test","Valid"))))</x:f>
      </x:c>
      <x:c r="S1158" s="9" t="str">
        <x:f>IF(C1158="","",IFERROR(INDEX('Taxonomy Rules'!$E$42:$E$68,MATCH(E1158,'Taxonomy Rules'!$C$42:$C$68,0)),""))</x:f>
      </x:c>
      <x:c r="T1158" s="9" t="str">
        <x:f>IF(C1158="","",IFERROR(INDEX('Taxonomy Rules'!$F$42:$F$68,MATCH(E1158,'Taxonomy Rules'!$C$42:$C$68,0)),""))</x:f>
      </x:c>
      <x:c r="U1158" s="9" t="str">
        <x:f>IF(C1158="","",IFERROR(INDEX('Taxonomy'!$G$9:$G$108,MATCH(D1158,'Taxonomy'!$C$9:$C$108,0)),""))</x:f>
      </x:c>
    </x:row>
    <x:row r="1159" ht="44" customHeight="1">
      <x:c r="A1159" s="1"/>
      <x:c r="B1159" s="1"/>
      <x:c r="C1159" s="8"/>
      <x:c r="D1159" s="8"/>
      <x:c r="E1159" s="8"/>
      <x:c r="F1159" s="8"/>
      <x:c r="G1159" s="8"/>
      <x:c r="H1159" s="8"/>
      <x:c r="I1159" s="8"/>
      <x:c r="J1159" s="8"/>
      <x:c r="K1159" s="8"/>
      <x:c r="L1159" s="8"/>
      <x:c r="M1159" s="10"/>
      <x:c r="N1159" s="10"/>
      <x:c r="O1159" s="8"/>
      <x:c r="P1159" s="9" t="str">
        <x:f>IF(C1159="","",IF(AND(G1159="Applicable",H1159="Fail"),"Fail",IF(R1159&lt;&gt;"Valid","Pending",IF(OR(I1159="",K1159="",L1159="",K1159=L1159,NOT(ISNUMBER(M1159)),NOT(ISNUMBER(N1159)),M1159&gt;Settings!$F$8,N1159&lt;Settings!$F$8,N1159&lt;M1159),"Pending",IF(AND(G1159="Applicable",H1159="Pass"),"Pass",IF(AND(G1159="N/A",H1159="N/A",J1159&lt;&gt;"",OR(E1159="CEM-FUELS",E1159="CEM-CCS",AND(E1159="CEM-PLAN",IFERROR(INDEX('Taxonomy'!$M$9:$M$108,MATCH(D1159,'Taxonomy'!$C$9:$C$108,0)),"")&lt;&gt;"Amber"),E1159="BLD-TIMBER",AND(U1159="Building equipment",OR(E1159="BLD-WATER",E1159="BLD-WASTE",E1159="BLD-LAND")),AND(U1159="Building renovation",E1159="BLD-LAND"))),"N/A","Pending"))))))</x:f>
      </x:c>
      <x:c r="Q1159" s="3" t="str">
        <x:f>IF(C1159="","",IF(AND(R1159="Valid",OR(P1159="Pass",P1159="N/A")),"Complete","Unresolved"))</x:f>
      </x:c>
      <x:c r="R1159" s="9" t="str">
        <x:f>IF(C1159="","",IF(OR(COUNTIF($C$9:$C$2008,C1159)&lt;&gt;1,COUNTIFS($D$9:$D$2008,D1159,$E$9:$E$2008,E1159)&lt;&gt;1),"Duplicate test",IF(COUNTIF('Taxonomy'!$C$9:$C$108,D1159)&lt;&gt;1,"Assessment key",IF(OR(COUNTIF('Taxonomy Rules'!$C$42:$C$68,E1159)&lt;&gt;1,F1159&lt;&gt;IFERROR(INDEX('Taxonomy Rules'!$D$42:$D$68,MATCH(E1159,'Taxonomy Rules'!$C$42:$C$68,0)),""),NOT(OR(IFERROR(INDEX('Taxonomy Rules'!$G$42:$G$68,MATCH(E1159,'Taxonomy Rules'!$C$42:$C$68,0)),"")="All supported routes",IFERROR(INDEX('Taxonomy Rules'!$G$42:$G$68,MATCH(E1159,'Taxonomy Rules'!$C$42:$C$68,0)),"")=U1159,AND(IFERROR(INDEX('Taxonomy Rules'!$G$42:$G$68,MATCH(E1159,'Taxonomy Rules'!$C$42:$C$68,0)),"")="Building routes",OR(U1159="Building renovation",U1159="New building",U1159="Building equipment"))))),"Unexpected test","Valid"))))</x:f>
      </x:c>
      <x:c r="S1159" s="9" t="str">
        <x:f>IF(C1159="","",IFERROR(INDEX('Taxonomy Rules'!$E$42:$E$68,MATCH(E1159,'Taxonomy Rules'!$C$42:$C$68,0)),""))</x:f>
      </x:c>
      <x:c r="T1159" s="9" t="str">
        <x:f>IF(C1159="","",IFERROR(INDEX('Taxonomy Rules'!$F$42:$F$68,MATCH(E1159,'Taxonomy Rules'!$C$42:$C$68,0)),""))</x:f>
      </x:c>
      <x:c r="U1159" s="9" t="str">
        <x:f>IF(C1159="","",IFERROR(INDEX('Taxonomy'!$G$9:$G$108,MATCH(D1159,'Taxonomy'!$C$9:$C$108,0)),""))</x:f>
      </x:c>
    </x:row>
    <x:row r="1160" ht="44" customHeight="1">
      <x:c r="A1160" s="1"/>
      <x:c r="B1160" s="1"/>
      <x:c r="C1160" s="8"/>
      <x:c r="D1160" s="8"/>
      <x:c r="E1160" s="8"/>
      <x:c r="F1160" s="8"/>
      <x:c r="G1160" s="8"/>
      <x:c r="H1160" s="8"/>
      <x:c r="I1160" s="8"/>
      <x:c r="J1160" s="8"/>
      <x:c r="K1160" s="8"/>
      <x:c r="L1160" s="8"/>
      <x:c r="M1160" s="10"/>
      <x:c r="N1160" s="10"/>
      <x:c r="O1160" s="8"/>
      <x:c r="P1160" s="9" t="str">
        <x:f>IF(C1160="","",IF(AND(G1160="Applicable",H1160="Fail"),"Fail",IF(R1160&lt;&gt;"Valid","Pending",IF(OR(I1160="",K1160="",L1160="",K1160=L1160,NOT(ISNUMBER(M1160)),NOT(ISNUMBER(N1160)),M1160&gt;Settings!$F$8,N1160&lt;Settings!$F$8,N1160&lt;M1160),"Pending",IF(AND(G1160="Applicable",H1160="Pass"),"Pass",IF(AND(G1160="N/A",H1160="N/A",J1160&lt;&gt;"",OR(E1160="CEM-FUELS",E1160="CEM-CCS",AND(E1160="CEM-PLAN",IFERROR(INDEX('Taxonomy'!$M$9:$M$108,MATCH(D1160,'Taxonomy'!$C$9:$C$108,0)),"")&lt;&gt;"Amber"),E1160="BLD-TIMBER",AND(U1160="Building equipment",OR(E1160="BLD-WATER",E1160="BLD-WASTE",E1160="BLD-LAND")),AND(U1160="Building renovation",E1160="BLD-LAND"))),"N/A","Pending"))))))</x:f>
      </x:c>
      <x:c r="Q1160" s="3" t="str">
        <x:f>IF(C1160="","",IF(AND(R1160="Valid",OR(P1160="Pass",P1160="N/A")),"Complete","Unresolved"))</x:f>
      </x:c>
      <x:c r="R1160" s="9" t="str">
        <x:f>IF(C1160="","",IF(OR(COUNTIF($C$9:$C$2008,C1160)&lt;&gt;1,COUNTIFS($D$9:$D$2008,D1160,$E$9:$E$2008,E1160)&lt;&gt;1),"Duplicate test",IF(COUNTIF('Taxonomy'!$C$9:$C$108,D1160)&lt;&gt;1,"Assessment key",IF(OR(COUNTIF('Taxonomy Rules'!$C$42:$C$68,E1160)&lt;&gt;1,F1160&lt;&gt;IFERROR(INDEX('Taxonomy Rules'!$D$42:$D$68,MATCH(E1160,'Taxonomy Rules'!$C$42:$C$68,0)),""),NOT(OR(IFERROR(INDEX('Taxonomy Rules'!$G$42:$G$68,MATCH(E1160,'Taxonomy Rules'!$C$42:$C$68,0)),"")="All supported routes",IFERROR(INDEX('Taxonomy Rules'!$G$42:$G$68,MATCH(E1160,'Taxonomy Rules'!$C$42:$C$68,0)),"")=U1160,AND(IFERROR(INDEX('Taxonomy Rules'!$G$42:$G$68,MATCH(E1160,'Taxonomy Rules'!$C$42:$C$68,0)),"")="Building routes",OR(U1160="Building renovation",U1160="New building",U1160="Building equipment"))))),"Unexpected test","Valid"))))</x:f>
      </x:c>
      <x:c r="S1160" s="9" t="str">
        <x:f>IF(C1160="","",IFERROR(INDEX('Taxonomy Rules'!$E$42:$E$68,MATCH(E1160,'Taxonomy Rules'!$C$42:$C$68,0)),""))</x:f>
      </x:c>
      <x:c r="T1160" s="9" t="str">
        <x:f>IF(C1160="","",IFERROR(INDEX('Taxonomy Rules'!$F$42:$F$68,MATCH(E1160,'Taxonomy Rules'!$C$42:$C$68,0)),""))</x:f>
      </x:c>
      <x:c r="U1160" s="9" t="str">
        <x:f>IF(C1160="","",IFERROR(INDEX('Taxonomy'!$G$9:$G$108,MATCH(D1160,'Taxonomy'!$C$9:$C$108,0)),""))</x:f>
      </x:c>
    </x:row>
    <x:row r="1161" ht="44" customHeight="1">
      <x:c r="A1161" s="1"/>
      <x:c r="B1161" s="1"/>
      <x:c r="C1161" s="8"/>
      <x:c r="D1161" s="8"/>
      <x:c r="E1161" s="8"/>
      <x:c r="F1161" s="8"/>
      <x:c r="G1161" s="8"/>
      <x:c r="H1161" s="8"/>
      <x:c r="I1161" s="8"/>
      <x:c r="J1161" s="8"/>
      <x:c r="K1161" s="8"/>
      <x:c r="L1161" s="8"/>
      <x:c r="M1161" s="10"/>
      <x:c r="N1161" s="10"/>
      <x:c r="O1161" s="8"/>
      <x:c r="P1161" s="9" t="str">
        <x:f>IF(C1161="","",IF(AND(G1161="Applicable",H1161="Fail"),"Fail",IF(R1161&lt;&gt;"Valid","Pending",IF(OR(I1161="",K1161="",L1161="",K1161=L1161,NOT(ISNUMBER(M1161)),NOT(ISNUMBER(N1161)),M1161&gt;Settings!$F$8,N1161&lt;Settings!$F$8,N1161&lt;M1161),"Pending",IF(AND(G1161="Applicable",H1161="Pass"),"Pass",IF(AND(G1161="N/A",H1161="N/A",J1161&lt;&gt;"",OR(E1161="CEM-FUELS",E1161="CEM-CCS",AND(E1161="CEM-PLAN",IFERROR(INDEX('Taxonomy'!$M$9:$M$108,MATCH(D1161,'Taxonomy'!$C$9:$C$108,0)),"")&lt;&gt;"Amber"),E1161="BLD-TIMBER",AND(U1161="Building equipment",OR(E1161="BLD-WATER",E1161="BLD-WASTE",E1161="BLD-LAND")),AND(U1161="Building renovation",E1161="BLD-LAND"))),"N/A","Pending"))))))</x:f>
      </x:c>
      <x:c r="Q1161" s="3" t="str">
        <x:f>IF(C1161="","",IF(AND(R1161="Valid",OR(P1161="Pass",P1161="N/A")),"Complete","Unresolved"))</x:f>
      </x:c>
      <x:c r="R1161" s="9" t="str">
        <x:f>IF(C1161="","",IF(OR(COUNTIF($C$9:$C$2008,C1161)&lt;&gt;1,COUNTIFS($D$9:$D$2008,D1161,$E$9:$E$2008,E1161)&lt;&gt;1),"Duplicate test",IF(COUNTIF('Taxonomy'!$C$9:$C$108,D1161)&lt;&gt;1,"Assessment key",IF(OR(COUNTIF('Taxonomy Rules'!$C$42:$C$68,E1161)&lt;&gt;1,F1161&lt;&gt;IFERROR(INDEX('Taxonomy Rules'!$D$42:$D$68,MATCH(E1161,'Taxonomy Rules'!$C$42:$C$68,0)),""),NOT(OR(IFERROR(INDEX('Taxonomy Rules'!$G$42:$G$68,MATCH(E1161,'Taxonomy Rules'!$C$42:$C$68,0)),"")="All supported routes",IFERROR(INDEX('Taxonomy Rules'!$G$42:$G$68,MATCH(E1161,'Taxonomy Rules'!$C$42:$C$68,0)),"")=U1161,AND(IFERROR(INDEX('Taxonomy Rules'!$G$42:$G$68,MATCH(E1161,'Taxonomy Rules'!$C$42:$C$68,0)),"")="Building routes",OR(U1161="Building renovation",U1161="New building",U1161="Building equipment"))))),"Unexpected test","Valid"))))</x:f>
      </x:c>
      <x:c r="S1161" s="9" t="str">
        <x:f>IF(C1161="","",IFERROR(INDEX('Taxonomy Rules'!$E$42:$E$68,MATCH(E1161,'Taxonomy Rules'!$C$42:$C$68,0)),""))</x:f>
      </x:c>
      <x:c r="T1161" s="9" t="str">
        <x:f>IF(C1161="","",IFERROR(INDEX('Taxonomy Rules'!$F$42:$F$68,MATCH(E1161,'Taxonomy Rules'!$C$42:$C$68,0)),""))</x:f>
      </x:c>
      <x:c r="U1161" s="9" t="str">
        <x:f>IF(C1161="","",IFERROR(INDEX('Taxonomy'!$G$9:$G$108,MATCH(D1161,'Taxonomy'!$C$9:$C$108,0)),""))</x:f>
      </x:c>
    </x:row>
    <x:row r="1162" ht="44" customHeight="1">
      <x:c r="A1162" s="1"/>
      <x:c r="B1162" s="1"/>
      <x:c r="C1162" s="8"/>
      <x:c r="D1162" s="8"/>
      <x:c r="E1162" s="8"/>
      <x:c r="F1162" s="8"/>
      <x:c r="G1162" s="8"/>
      <x:c r="H1162" s="8"/>
      <x:c r="I1162" s="8"/>
      <x:c r="J1162" s="8"/>
      <x:c r="K1162" s="8"/>
      <x:c r="L1162" s="8"/>
      <x:c r="M1162" s="10"/>
      <x:c r="N1162" s="10"/>
      <x:c r="O1162" s="8"/>
      <x:c r="P1162" s="9" t="str">
        <x:f>IF(C1162="","",IF(AND(G1162="Applicable",H1162="Fail"),"Fail",IF(R1162&lt;&gt;"Valid","Pending",IF(OR(I1162="",K1162="",L1162="",K1162=L1162,NOT(ISNUMBER(M1162)),NOT(ISNUMBER(N1162)),M1162&gt;Settings!$F$8,N1162&lt;Settings!$F$8,N1162&lt;M1162),"Pending",IF(AND(G1162="Applicable",H1162="Pass"),"Pass",IF(AND(G1162="N/A",H1162="N/A",J1162&lt;&gt;"",OR(E1162="CEM-FUELS",E1162="CEM-CCS",AND(E1162="CEM-PLAN",IFERROR(INDEX('Taxonomy'!$M$9:$M$108,MATCH(D1162,'Taxonomy'!$C$9:$C$108,0)),"")&lt;&gt;"Amber"),E1162="BLD-TIMBER",AND(U1162="Building equipment",OR(E1162="BLD-WATER",E1162="BLD-WASTE",E1162="BLD-LAND")),AND(U1162="Building renovation",E1162="BLD-LAND"))),"N/A","Pending"))))))</x:f>
      </x:c>
      <x:c r="Q1162" s="3" t="str">
        <x:f>IF(C1162="","",IF(AND(R1162="Valid",OR(P1162="Pass",P1162="N/A")),"Complete","Unresolved"))</x:f>
      </x:c>
      <x:c r="R1162" s="9" t="str">
        <x:f>IF(C1162="","",IF(OR(COUNTIF($C$9:$C$2008,C1162)&lt;&gt;1,COUNTIFS($D$9:$D$2008,D1162,$E$9:$E$2008,E1162)&lt;&gt;1),"Duplicate test",IF(COUNTIF('Taxonomy'!$C$9:$C$108,D1162)&lt;&gt;1,"Assessment key",IF(OR(COUNTIF('Taxonomy Rules'!$C$42:$C$68,E1162)&lt;&gt;1,F1162&lt;&gt;IFERROR(INDEX('Taxonomy Rules'!$D$42:$D$68,MATCH(E1162,'Taxonomy Rules'!$C$42:$C$68,0)),""),NOT(OR(IFERROR(INDEX('Taxonomy Rules'!$G$42:$G$68,MATCH(E1162,'Taxonomy Rules'!$C$42:$C$68,0)),"")="All supported routes",IFERROR(INDEX('Taxonomy Rules'!$G$42:$G$68,MATCH(E1162,'Taxonomy Rules'!$C$42:$C$68,0)),"")=U1162,AND(IFERROR(INDEX('Taxonomy Rules'!$G$42:$G$68,MATCH(E1162,'Taxonomy Rules'!$C$42:$C$68,0)),"")="Building routes",OR(U1162="Building renovation",U1162="New building",U1162="Building equipment"))))),"Unexpected test","Valid"))))</x:f>
      </x:c>
      <x:c r="S1162" s="9" t="str">
        <x:f>IF(C1162="","",IFERROR(INDEX('Taxonomy Rules'!$E$42:$E$68,MATCH(E1162,'Taxonomy Rules'!$C$42:$C$68,0)),""))</x:f>
      </x:c>
      <x:c r="T1162" s="9" t="str">
        <x:f>IF(C1162="","",IFERROR(INDEX('Taxonomy Rules'!$F$42:$F$68,MATCH(E1162,'Taxonomy Rules'!$C$42:$C$68,0)),""))</x:f>
      </x:c>
      <x:c r="U1162" s="9" t="str">
        <x:f>IF(C1162="","",IFERROR(INDEX('Taxonomy'!$G$9:$G$108,MATCH(D1162,'Taxonomy'!$C$9:$C$108,0)),""))</x:f>
      </x:c>
    </x:row>
    <x:row r="1163" ht="44" customHeight="1">
      <x:c r="A1163" s="1"/>
      <x:c r="B1163" s="1"/>
      <x:c r="C1163" s="8"/>
      <x:c r="D1163" s="8"/>
      <x:c r="E1163" s="8"/>
      <x:c r="F1163" s="8"/>
      <x:c r="G1163" s="8"/>
      <x:c r="H1163" s="8"/>
      <x:c r="I1163" s="8"/>
      <x:c r="J1163" s="8"/>
      <x:c r="K1163" s="8"/>
      <x:c r="L1163" s="8"/>
      <x:c r="M1163" s="10"/>
      <x:c r="N1163" s="10"/>
      <x:c r="O1163" s="8"/>
      <x:c r="P1163" s="9" t="str">
        <x:f>IF(C1163="","",IF(AND(G1163="Applicable",H1163="Fail"),"Fail",IF(R1163&lt;&gt;"Valid","Pending",IF(OR(I1163="",K1163="",L1163="",K1163=L1163,NOT(ISNUMBER(M1163)),NOT(ISNUMBER(N1163)),M1163&gt;Settings!$F$8,N1163&lt;Settings!$F$8,N1163&lt;M1163),"Pending",IF(AND(G1163="Applicable",H1163="Pass"),"Pass",IF(AND(G1163="N/A",H1163="N/A",J1163&lt;&gt;"",OR(E1163="CEM-FUELS",E1163="CEM-CCS",AND(E1163="CEM-PLAN",IFERROR(INDEX('Taxonomy'!$M$9:$M$108,MATCH(D1163,'Taxonomy'!$C$9:$C$108,0)),"")&lt;&gt;"Amber"),E1163="BLD-TIMBER",AND(U1163="Building equipment",OR(E1163="BLD-WATER",E1163="BLD-WASTE",E1163="BLD-LAND")),AND(U1163="Building renovation",E1163="BLD-LAND"))),"N/A","Pending"))))))</x:f>
      </x:c>
      <x:c r="Q1163" s="3" t="str">
        <x:f>IF(C1163="","",IF(AND(R1163="Valid",OR(P1163="Pass",P1163="N/A")),"Complete","Unresolved"))</x:f>
      </x:c>
      <x:c r="R1163" s="9" t="str">
        <x:f>IF(C1163="","",IF(OR(COUNTIF($C$9:$C$2008,C1163)&lt;&gt;1,COUNTIFS($D$9:$D$2008,D1163,$E$9:$E$2008,E1163)&lt;&gt;1),"Duplicate test",IF(COUNTIF('Taxonomy'!$C$9:$C$108,D1163)&lt;&gt;1,"Assessment key",IF(OR(COUNTIF('Taxonomy Rules'!$C$42:$C$68,E1163)&lt;&gt;1,F1163&lt;&gt;IFERROR(INDEX('Taxonomy Rules'!$D$42:$D$68,MATCH(E1163,'Taxonomy Rules'!$C$42:$C$68,0)),""),NOT(OR(IFERROR(INDEX('Taxonomy Rules'!$G$42:$G$68,MATCH(E1163,'Taxonomy Rules'!$C$42:$C$68,0)),"")="All supported routes",IFERROR(INDEX('Taxonomy Rules'!$G$42:$G$68,MATCH(E1163,'Taxonomy Rules'!$C$42:$C$68,0)),"")=U1163,AND(IFERROR(INDEX('Taxonomy Rules'!$G$42:$G$68,MATCH(E1163,'Taxonomy Rules'!$C$42:$C$68,0)),"")="Building routes",OR(U1163="Building renovation",U1163="New building",U1163="Building equipment"))))),"Unexpected test","Valid"))))</x:f>
      </x:c>
      <x:c r="S1163" s="9" t="str">
        <x:f>IF(C1163="","",IFERROR(INDEX('Taxonomy Rules'!$E$42:$E$68,MATCH(E1163,'Taxonomy Rules'!$C$42:$C$68,0)),""))</x:f>
      </x:c>
      <x:c r="T1163" s="9" t="str">
        <x:f>IF(C1163="","",IFERROR(INDEX('Taxonomy Rules'!$F$42:$F$68,MATCH(E1163,'Taxonomy Rules'!$C$42:$C$68,0)),""))</x:f>
      </x:c>
      <x:c r="U1163" s="9" t="str">
        <x:f>IF(C1163="","",IFERROR(INDEX('Taxonomy'!$G$9:$G$108,MATCH(D1163,'Taxonomy'!$C$9:$C$108,0)),""))</x:f>
      </x:c>
    </x:row>
    <x:row r="1164" ht="44" customHeight="1">
      <x:c r="A1164" s="1"/>
      <x:c r="B1164" s="1"/>
      <x:c r="C1164" s="8"/>
      <x:c r="D1164" s="8"/>
      <x:c r="E1164" s="8"/>
      <x:c r="F1164" s="8"/>
      <x:c r="G1164" s="8"/>
      <x:c r="H1164" s="8"/>
      <x:c r="I1164" s="8"/>
      <x:c r="J1164" s="8"/>
      <x:c r="K1164" s="8"/>
      <x:c r="L1164" s="8"/>
      <x:c r="M1164" s="10"/>
      <x:c r="N1164" s="10"/>
      <x:c r="O1164" s="8"/>
      <x:c r="P1164" s="9" t="str">
        <x:f>IF(C1164="","",IF(AND(G1164="Applicable",H1164="Fail"),"Fail",IF(R1164&lt;&gt;"Valid","Pending",IF(OR(I1164="",K1164="",L1164="",K1164=L1164,NOT(ISNUMBER(M1164)),NOT(ISNUMBER(N1164)),M1164&gt;Settings!$F$8,N1164&lt;Settings!$F$8,N1164&lt;M1164),"Pending",IF(AND(G1164="Applicable",H1164="Pass"),"Pass",IF(AND(G1164="N/A",H1164="N/A",J1164&lt;&gt;"",OR(E1164="CEM-FUELS",E1164="CEM-CCS",AND(E1164="CEM-PLAN",IFERROR(INDEX('Taxonomy'!$M$9:$M$108,MATCH(D1164,'Taxonomy'!$C$9:$C$108,0)),"")&lt;&gt;"Amber"),E1164="BLD-TIMBER",AND(U1164="Building equipment",OR(E1164="BLD-WATER",E1164="BLD-WASTE",E1164="BLD-LAND")),AND(U1164="Building renovation",E1164="BLD-LAND"))),"N/A","Pending"))))))</x:f>
      </x:c>
      <x:c r="Q1164" s="3" t="str">
        <x:f>IF(C1164="","",IF(AND(R1164="Valid",OR(P1164="Pass",P1164="N/A")),"Complete","Unresolved"))</x:f>
      </x:c>
      <x:c r="R1164" s="9" t="str">
        <x:f>IF(C1164="","",IF(OR(COUNTIF($C$9:$C$2008,C1164)&lt;&gt;1,COUNTIFS($D$9:$D$2008,D1164,$E$9:$E$2008,E1164)&lt;&gt;1),"Duplicate test",IF(COUNTIF('Taxonomy'!$C$9:$C$108,D1164)&lt;&gt;1,"Assessment key",IF(OR(COUNTIF('Taxonomy Rules'!$C$42:$C$68,E1164)&lt;&gt;1,F1164&lt;&gt;IFERROR(INDEX('Taxonomy Rules'!$D$42:$D$68,MATCH(E1164,'Taxonomy Rules'!$C$42:$C$68,0)),""),NOT(OR(IFERROR(INDEX('Taxonomy Rules'!$G$42:$G$68,MATCH(E1164,'Taxonomy Rules'!$C$42:$C$68,0)),"")="All supported routes",IFERROR(INDEX('Taxonomy Rules'!$G$42:$G$68,MATCH(E1164,'Taxonomy Rules'!$C$42:$C$68,0)),"")=U1164,AND(IFERROR(INDEX('Taxonomy Rules'!$G$42:$G$68,MATCH(E1164,'Taxonomy Rules'!$C$42:$C$68,0)),"")="Building routes",OR(U1164="Building renovation",U1164="New building",U1164="Building equipment"))))),"Unexpected test","Valid"))))</x:f>
      </x:c>
      <x:c r="S1164" s="9" t="str">
        <x:f>IF(C1164="","",IFERROR(INDEX('Taxonomy Rules'!$E$42:$E$68,MATCH(E1164,'Taxonomy Rules'!$C$42:$C$68,0)),""))</x:f>
      </x:c>
      <x:c r="T1164" s="9" t="str">
        <x:f>IF(C1164="","",IFERROR(INDEX('Taxonomy Rules'!$F$42:$F$68,MATCH(E1164,'Taxonomy Rules'!$C$42:$C$68,0)),""))</x:f>
      </x:c>
      <x:c r="U1164" s="9" t="str">
        <x:f>IF(C1164="","",IFERROR(INDEX('Taxonomy'!$G$9:$G$108,MATCH(D1164,'Taxonomy'!$C$9:$C$108,0)),""))</x:f>
      </x:c>
    </x:row>
    <x:row r="1165" ht="44" customHeight="1">
      <x:c r="A1165" s="1"/>
      <x:c r="B1165" s="1"/>
      <x:c r="C1165" s="8"/>
      <x:c r="D1165" s="8"/>
      <x:c r="E1165" s="8"/>
      <x:c r="F1165" s="8"/>
      <x:c r="G1165" s="8"/>
      <x:c r="H1165" s="8"/>
      <x:c r="I1165" s="8"/>
      <x:c r="J1165" s="8"/>
      <x:c r="K1165" s="8"/>
      <x:c r="L1165" s="8"/>
      <x:c r="M1165" s="10"/>
      <x:c r="N1165" s="10"/>
      <x:c r="O1165" s="8"/>
      <x:c r="P1165" s="9" t="str">
        <x:f>IF(C1165="","",IF(AND(G1165="Applicable",H1165="Fail"),"Fail",IF(R1165&lt;&gt;"Valid","Pending",IF(OR(I1165="",K1165="",L1165="",K1165=L1165,NOT(ISNUMBER(M1165)),NOT(ISNUMBER(N1165)),M1165&gt;Settings!$F$8,N1165&lt;Settings!$F$8,N1165&lt;M1165),"Pending",IF(AND(G1165="Applicable",H1165="Pass"),"Pass",IF(AND(G1165="N/A",H1165="N/A",J1165&lt;&gt;"",OR(E1165="CEM-FUELS",E1165="CEM-CCS",AND(E1165="CEM-PLAN",IFERROR(INDEX('Taxonomy'!$M$9:$M$108,MATCH(D1165,'Taxonomy'!$C$9:$C$108,0)),"")&lt;&gt;"Amber"),E1165="BLD-TIMBER",AND(U1165="Building equipment",OR(E1165="BLD-WATER",E1165="BLD-WASTE",E1165="BLD-LAND")),AND(U1165="Building renovation",E1165="BLD-LAND"))),"N/A","Pending"))))))</x:f>
      </x:c>
      <x:c r="Q1165" s="3" t="str">
        <x:f>IF(C1165="","",IF(AND(R1165="Valid",OR(P1165="Pass",P1165="N/A")),"Complete","Unresolved"))</x:f>
      </x:c>
      <x:c r="R1165" s="9" t="str">
        <x:f>IF(C1165="","",IF(OR(COUNTIF($C$9:$C$2008,C1165)&lt;&gt;1,COUNTIFS($D$9:$D$2008,D1165,$E$9:$E$2008,E1165)&lt;&gt;1),"Duplicate test",IF(COUNTIF('Taxonomy'!$C$9:$C$108,D1165)&lt;&gt;1,"Assessment key",IF(OR(COUNTIF('Taxonomy Rules'!$C$42:$C$68,E1165)&lt;&gt;1,F1165&lt;&gt;IFERROR(INDEX('Taxonomy Rules'!$D$42:$D$68,MATCH(E1165,'Taxonomy Rules'!$C$42:$C$68,0)),""),NOT(OR(IFERROR(INDEX('Taxonomy Rules'!$G$42:$G$68,MATCH(E1165,'Taxonomy Rules'!$C$42:$C$68,0)),"")="All supported routes",IFERROR(INDEX('Taxonomy Rules'!$G$42:$G$68,MATCH(E1165,'Taxonomy Rules'!$C$42:$C$68,0)),"")=U1165,AND(IFERROR(INDEX('Taxonomy Rules'!$G$42:$G$68,MATCH(E1165,'Taxonomy Rules'!$C$42:$C$68,0)),"")="Building routes",OR(U1165="Building renovation",U1165="New building",U1165="Building equipment"))))),"Unexpected test","Valid"))))</x:f>
      </x:c>
      <x:c r="S1165" s="9" t="str">
        <x:f>IF(C1165="","",IFERROR(INDEX('Taxonomy Rules'!$E$42:$E$68,MATCH(E1165,'Taxonomy Rules'!$C$42:$C$68,0)),""))</x:f>
      </x:c>
      <x:c r="T1165" s="9" t="str">
        <x:f>IF(C1165="","",IFERROR(INDEX('Taxonomy Rules'!$F$42:$F$68,MATCH(E1165,'Taxonomy Rules'!$C$42:$C$68,0)),""))</x:f>
      </x:c>
      <x:c r="U1165" s="9" t="str">
        <x:f>IF(C1165="","",IFERROR(INDEX('Taxonomy'!$G$9:$G$108,MATCH(D1165,'Taxonomy'!$C$9:$C$108,0)),""))</x:f>
      </x:c>
    </x:row>
    <x:row r="1166" ht="44" customHeight="1">
      <x:c r="A1166" s="1"/>
      <x:c r="B1166" s="1"/>
      <x:c r="C1166" s="8"/>
      <x:c r="D1166" s="8"/>
      <x:c r="E1166" s="8"/>
      <x:c r="F1166" s="8"/>
      <x:c r="G1166" s="8"/>
      <x:c r="H1166" s="8"/>
      <x:c r="I1166" s="8"/>
      <x:c r="J1166" s="8"/>
      <x:c r="K1166" s="8"/>
      <x:c r="L1166" s="8"/>
      <x:c r="M1166" s="10"/>
      <x:c r="N1166" s="10"/>
      <x:c r="O1166" s="8"/>
      <x:c r="P1166" s="9" t="str">
        <x:f>IF(C1166="","",IF(AND(G1166="Applicable",H1166="Fail"),"Fail",IF(R1166&lt;&gt;"Valid","Pending",IF(OR(I1166="",K1166="",L1166="",K1166=L1166,NOT(ISNUMBER(M1166)),NOT(ISNUMBER(N1166)),M1166&gt;Settings!$F$8,N1166&lt;Settings!$F$8,N1166&lt;M1166),"Pending",IF(AND(G1166="Applicable",H1166="Pass"),"Pass",IF(AND(G1166="N/A",H1166="N/A",J1166&lt;&gt;"",OR(E1166="CEM-FUELS",E1166="CEM-CCS",AND(E1166="CEM-PLAN",IFERROR(INDEX('Taxonomy'!$M$9:$M$108,MATCH(D1166,'Taxonomy'!$C$9:$C$108,0)),"")&lt;&gt;"Amber"),E1166="BLD-TIMBER",AND(U1166="Building equipment",OR(E1166="BLD-WATER",E1166="BLD-WASTE",E1166="BLD-LAND")),AND(U1166="Building renovation",E1166="BLD-LAND"))),"N/A","Pending"))))))</x:f>
      </x:c>
      <x:c r="Q1166" s="3" t="str">
        <x:f>IF(C1166="","",IF(AND(R1166="Valid",OR(P1166="Pass",P1166="N/A")),"Complete","Unresolved"))</x:f>
      </x:c>
      <x:c r="R1166" s="9" t="str">
        <x:f>IF(C1166="","",IF(OR(COUNTIF($C$9:$C$2008,C1166)&lt;&gt;1,COUNTIFS($D$9:$D$2008,D1166,$E$9:$E$2008,E1166)&lt;&gt;1),"Duplicate test",IF(COUNTIF('Taxonomy'!$C$9:$C$108,D1166)&lt;&gt;1,"Assessment key",IF(OR(COUNTIF('Taxonomy Rules'!$C$42:$C$68,E1166)&lt;&gt;1,F1166&lt;&gt;IFERROR(INDEX('Taxonomy Rules'!$D$42:$D$68,MATCH(E1166,'Taxonomy Rules'!$C$42:$C$68,0)),""),NOT(OR(IFERROR(INDEX('Taxonomy Rules'!$G$42:$G$68,MATCH(E1166,'Taxonomy Rules'!$C$42:$C$68,0)),"")="All supported routes",IFERROR(INDEX('Taxonomy Rules'!$G$42:$G$68,MATCH(E1166,'Taxonomy Rules'!$C$42:$C$68,0)),"")=U1166,AND(IFERROR(INDEX('Taxonomy Rules'!$G$42:$G$68,MATCH(E1166,'Taxonomy Rules'!$C$42:$C$68,0)),"")="Building routes",OR(U1166="Building renovation",U1166="New building",U1166="Building equipment"))))),"Unexpected test","Valid"))))</x:f>
      </x:c>
      <x:c r="S1166" s="9" t="str">
        <x:f>IF(C1166="","",IFERROR(INDEX('Taxonomy Rules'!$E$42:$E$68,MATCH(E1166,'Taxonomy Rules'!$C$42:$C$68,0)),""))</x:f>
      </x:c>
      <x:c r="T1166" s="9" t="str">
        <x:f>IF(C1166="","",IFERROR(INDEX('Taxonomy Rules'!$F$42:$F$68,MATCH(E1166,'Taxonomy Rules'!$C$42:$C$68,0)),""))</x:f>
      </x:c>
      <x:c r="U1166" s="9" t="str">
        <x:f>IF(C1166="","",IFERROR(INDEX('Taxonomy'!$G$9:$G$108,MATCH(D1166,'Taxonomy'!$C$9:$C$108,0)),""))</x:f>
      </x:c>
    </x:row>
    <x:row r="1167" ht="44" customHeight="1">
      <x:c r="A1167" s="1"/>
      <x:c r="B1167" s="1"/>
      <x:c r="C1167" s="8"/>
      <x:c r="D1167" s="8"/>
      <x:c r="E1167" s="8"/>
      <x:c r="F1167" s="8"/>
      <x:c r="G1167" s="8"/>
      <x:c r="H1167" s="8"/>
      <x:c r="I1167" s="8"/>
      <x:c r="J1167" s="8"/>
      <x:c r="K1167" s="8"/>
      <x:c r="L1167" s="8"/>
      <x:c r="M1167" s="10"/>
      <x:c r="N1167" s="10"/>
      <x:c r="O1167" s="8"/>
      <x:c r="P1167" s="9" t="str">
        <x:f>IF(C1167="","",IF(AND(G1167="Applicable",H1167="Fail"),"Fail",IF(R1167&lt;&gt;"Valid","Pending",IF(OR(I1167="",K1167="",L1167="",K1167=L1167,NOT(ISNUMBER(M1167)),NOT(ISNUMBER(N1167)),M1167&gt;Settings!$F$8,N1167&lt;Settings!$F$8,N1167&lt;M1167),"Pending",IF(AND(G1167="Applicable",H1167="Pass"),"Pass",IF(AND(G1167="N/A",H1167="N/A",J1167&lt;&gt;"",OR(E1167="CEM-FUELS",E1167="CEM-CCS",AND(E1167="CEM-PLAN",IFERROR(INDEX('Taxonomy'!$M$9:$M$108,MATCH(D1167,'Taxonomy'!$C$9:$C$108,0)),"")&lt;&gt;"Amber"),E1167="BLD-TIMBER",AND(U1167="Building equipment",OR(E1167="BLD-WATER",E1167="BLD-WASTE",E1167="BLD-LAND")),AND(U1167="Building renovation",E1167="BLD-LAND"))),"N/A","Pending"))))))</x:f>
      </x:c>
      <x:c r="Q1167" s="3" t="str">
        <x:f>IF(C1167="","",IF(AND(R1167="Valid",OR(P1167="Pass",P1167="N/A")),"Complete","Unresolved"))</x:f>
      </x:c>
      <x:c r="R1167" s="9" t="str">
        <x:f>IF(C1167="","",IF(OR(COUNTIF($C$9:$C$2008,C1167)&lt;&gt;1,COUNTIFS($D$9:$D$2008,D1167,$E$9:$E$2008,E1167)&lt;&gt;1),"Duplicate test",IF(COUNTIF('Taxonomy'!$C$9:$C$108,D1167)&lt;&gt;1,"Assessment key",IF(OR(COUNTIF('Taxonomy Rules'!$C$42:$C$68,E1167)&lt;&gt;1,F1167&lt;&gt;IFERROR(INDEX('Taxonomy Rules'!$D$42:$D$68,MATCH(E1167,'Taxonomy Rules'!$C$42:$C$68,0)),""),NOT(OR(IFERROR(INDEX('Taxonomy Rules'!$G$42:$G$68,MATCH(E1167,'Taxonomy Rules'!$C$42:$C$68,0)),"")="All supported routes",IFERROR(INDEX('Taxonomy Rules'!$G$42:$G$68,MATCH(E1167,'Taxonomy Rules'!$C$42:$C$68,0)),"")=U1167,AND(IFERROR(INDEX('Taxonomy Rules'!$G$42:$G$68,MATCH(E1167,'Taxonomy Rules'!$C$42:$C$68,0)),"")="Building routes",OR(U1167="Building renovation",U1167="New building",U1167="Building equipment"))))),"Unexpected test","Valid"))))</x:f>
      </x:c>
      <x:c r="S1167" s="9" t="str">
        <x:f>IF(C1167="","",IFERROR(INDEX('Taxonomy Rules'!$E$42:$E$68,MATCH(E1167,'Taxonomy Rules'!$C$42:$C$68,0)),""))</x:f>
      </x:c>
      <x:c r="T1167" s="9" t="str">
        <x:f>IF(C1167="","",IFERROR(INDEX('Taxonomy Rules'!$F$42:$F$68,MATCH(E1167,'Taxonomy Rules'!$C$42:$C$68,0)),""))</x:f>
      </x:c>
      <x:c r="U1167" s="9" t="str">
        <x:f>IF(C1167="","",IFERROR(INDEX('Taxonomy'!$G$9:$G$108,MATCH(D1167,'Taxonomy'!$C$9:$C$108,0)),""))</x:f>
      </x:c>
    </x:row>
    <x:row r="1168" ht="44" customHeight="1">
      <x:c r="A1168" s="1"/>
      <x:c r="B1168" s="1"/>
      <x:c r="C1168" s="8"/>
      <x:c r="D1168" s="8"/>
      <x:c r="E1168" s="8"/>
      <x:c r="F1168" s="8"/>
      <x:c r="G1168" s="8"/>
      <x:c r="H1168" s="8"/>
      <x:c r="I1168" s="8"/>
      <x:c r="J1168" s="8"/>
      <x:c r="K1168" s="8"/>
      <x:c r="L1168" s="8"/>
      <x:c r="M1168" s="10"/>
      <x:c r="N1168" s="10"/>
      <x:c r="O1168" s="8"/>
      <x:c r="P1168" s="9" t="str">
        <x:f>IF(C1168="","",IF(AND(G1168="Applicable",H1168="Fail"),"Fail",IF(R1168&lt;&gt;"Valid","Pending",IF(OR(I1168="",K1168="",L1168="",K1168=L1168,NOT(ISNUMBER(M1168)),NOT(ISNUMBER(N1168)),M1168&gt;Settings!$F$8,N1168&lt;Settings!$F$8,N1168&lt;M1168),"Pending",IF(AND(G1168="Applicable",H1168="Pass"),"Pass",IF(AND(G1168="N/A",H1168="N/A",J1168&lt;&gt;"",OR(E1168="CEM-FUELS",E1168="CEM-CCS",AND(E1168="CEM-PLAN",IFERROR(INDEX('Taxonomy'!$M$9:$M$108,MATCH(D1168,'Taxonomy'!$C$9:$C$108,0)),"")&lt;&gt;"Amber"),E1168="BLD-TIMBER",AND(U1168="Building equipment",OR(E1168="BLD-WATER",E1168="BLD-WASTE",E1168="BLD-LAND")),AND(U1168="Building renovation",E1168="BLD-LAND"))),"N/A","Pending"))))))</x:f>
      </x:c>
      <x:c r="Q1168" s="3" t="str">
        <x:f>IF(C1168="","",IF(AND(R1168="Valid",OR(P1168="Pass",P1168="N/A")),"Complete","Unresolved"))</x:f>
      </x:c>
      <x:c r="R1168" s="9" t="str">
        <x:f>IF(C1168="","",IF(OR(COUNTIF($C$9:$C$2008,C1168)&lt;&gt;1,COUNTIFS($D$9:$D$2008,D1168,$E$9:$E$2008,E1168)&lt;&gt;1),"Duplicate test",IF(COUNTIF('Taxonomy'!$C$9:$C$108,D1168)&lt;&gt;1,"Assessment key",IF(OR(COUNTIF('Taxonomy Rules'!$C$42:$C$68,E1168)&lt;&gt;1,F1168&lt;&gt;IFERROR(INDEX('Taxonomy Rules'!$D$42:$D$68,MATCH(E1168,'Taxonomy Rules'!$C$42:$C$68,0)),""),NOT(OR(IFERROR(INDEX('Taxonomy Rules'!$G$42:$G$68,MATCH(E1168,'Taxonomy Rules'!$C$42:$C$68,0)),"")="All supported routes",IFERROR(INDEX('Taxonomy Rules'!$G$42:$G$68,MATCH(E1168,'Taxonomy Rules'!$C$42:$C$68,0)),"")=U1168,AND(IFERROR(INDEX('Taxonomy Rules'!$G$42:$G$68,MATCH(E1168,'Taxonomy Rules'!$C$42:$C$68,0)),"")="Building routes",OR(U1168="Building renovation",U1168="New building",U1168="Building equipment"))))),"Unexpected test","Valid"))))</x:f>
      </x:c>
      <x:c r="S1168" s="9" t="str">
        <x:f>IF(C1168="","",IFERROR(INDEX('Taxonomy Rules'!$E$42:$E$68,MATCH(E1168,'Taxonomy Rules'!$C$42:$C$68,0)),""))</x:f>
      </x:c>
      <x:c r="T1168" s="9" t="str">
        <x:f>IF(C1168="","",IFERROR(INDEX('Taxonomy Rules'!$F$42:$F$68,MATCH(E1168,'Taxonomy Rules'!$C$42:$C$68,0)),""))</x:f>
      </x:c>
      <x:c r="U1168" s="9" t="str">
        <x:f>IF(C1168="","",IFERROR(INDEX('Taxonomy'!$G$9:$G$108,MATCH(D1168,'Taxonomy'!$C$9:$C$108,0)),""))</x:f>
      </x:c>
    </x:row>
    <x:row r="1169" ht="44" customHeight="1">
      <x:c r="A1169" s="1"/>
      <x:c r="B1169" s="1"/>
      <x:c r="C1169" s="8"/>
      <x:c r="D1169" s="8"/>
      <x:c r="E1169" s="8"/>
      <x:c r="F1169" s="8"/>
      <x:c r="G1169" s="8"/>
      <x:c r="H1169" s="8"/>
      <x:c r="I1169" s="8"/>
      <x:c r="J1169" s="8"/>
      <x:c r="K1169" s="8"/>
      <x:c r="L1169" s="8"/>
      <x:c r="M1169" s="10"/>
      <x:c r="N1169" s="10"/>
      <x:c r="O1169" s="8"/>
      <x:c r="P1169" s="9" t="str">
        <x:f>IF(C1169="","",IF(AND(G1169="Applicable",H1169="Fail"),"Fail",IF(R1169&lt;&gt;"Valid","Pending",IF(OR(I1169="",K1169="",L1169="",K1169=L1169,NOT(ISNUMBER(M1169)),NOT(ISNUMBER(N1169)),M1169&gt;Settings!$F$8,N1169&lt;Settings!$F$8,N1169&lt;M1169),"Pending",IF(AND(G1169="Applicable",H1169="Pass"),"Pass",IF(AND(G1169="N/A",H1169="N/A",J1169&lt;&gt;"",OR(E1169="CEM-FUELS",E1169="CEM-CCS",AND(E1169="CEM-PLAN",IFERROR(INDEX('Taxonomy'!$M$9:$M$108,MATCH(D1169,'Taxonomy'!$C$9:$C$108,0)),"")&lt;&gt;"Amber"),E1169="BLD-TIMBER",AND(U1169="Building equipment",OR(E1169="BLD-WATER",E1169="BLD-WASTE",E1169="BLD-LAND")),AND(U1169="Building renovation",E1169="BLD-LAND"))),"N/A","Pending"))))))</x:f>
      </x:c>
      <x:c r="Q1169" s="3" t="str">
        <x:f>IF(C1169="","",IF(AND(R1169="Valid",OR(P1169="Pass",P1169="N/A")),"Complete","Unresolved"))</x:f>
      </x:c>
      <x:c r="R1169" s="9" t="str">
        <x:f>IF(C1169="","",IF(OR(COUNTIF($C$9:$C$2008,C1169)&lt;&gt;1,COUNTIFS($D$9:$D$2008,D1169,$E$9:$E$2008,E1169)&lt;&gt;1),"Duplicate test",IF(COUNTIF('Taxonomy'!$C$9:$C$108,D1169)&lt;&gt;1,"Assessment key",IF(OR(COUNTIF('Taxonomy Rules'!$C$42:$C$68,E1169)&lt;&gt;1,F1169&lt;&gt;IFERROR(INDEX('Taxonomy Rules'!$D$42:$D$68,MATCH(E1169,'Taxonomy Rules'!$C$42:$C$68,0)),""),NOT(OR(IFERROR(INDEX('Taxonomy Rules'!$G$42:$G$68,MATCH(E1169,'Taxonomy Rules'!$C$42:$C$68,0)),"")="All supported routes",IFERROR(INDEX('Taxonomy Rules'!$G$42:$G$68,MATCH(E1169,'Taxonomy Rules'!$C$42:$C$68,0)),"")=U1169,AND(IFERROR(INDEX('Taxonomy Rules'!$G$42:$G$68,MATCH(E1169,'Taxonomy Rules'!$C$42:$C$68,0)),"")="Building routes",OR(U1169="Building renovation",U1169="New building",U1169="Building equipment"))))),"Unexpected test","Valid"))))</x:f>
      </x:c>
      <x:c r="S1169" s="9" t="str">
        <x:f>IF(C1169="","",IFERROR(INDEX('Taxonomy Rules'!$E$42:$E$68,MATCH(E1169,'Taxonomy Rules'!$C$42:$C$68,0)),""))</x:f>
      </x:c>
      <x:c r="T1169" s="9" t="str">
        <x:f>IF(C1169="","",IFERROR(INDEX('Taxonomy Rules'!$F$42:$F$68,MATCH(E1169,'Taxonomy Rules'!$C$42:$C$68,0)),""))</x:f>
      </x:c>
      <x:c r="U1169" s="9" t="str">
        <x:f>IF(C1169="","",IFERROR(INDEX('Taxonomy'!$G$9:$G$108,MATCH(D1169,'Taxonomy'!$C$9:$C$108,0)),""))</x:f>
      </x:c>
    </x:row>
    <x:row r="1170" ht="44" customHeight="1">
      <x:c r="A1170" s="1"/>
      <x:c r="B1170" s="1"/>
      <x:c r="C1170" s="8"/>
      <x:c r="D1170" s="8"/>
      <x:c r="E1170" s="8"/>
      <x:c r="F1170" s="8"/>
      <x:c r="G1170" s="8"/>
      <x:c r="H1170" s="8"/>
      <x:c r="I1170" s="8"/>
      <x:c r="J1170" s="8"/>
      <x:c r="K1170" s="8"/>
      <x:c r="L1170" s="8"/>
      <x:c r="M1170" s="10"/>
      <x:c r="N1170" s="10"/>
      <x:c r="O1170" s="8"/>
      <x:c r="P1170" s="9" t="str">
        <x:f>IF(C1170="","",IF(AND(G1170="Applicable",H1170="Fail"),"Fail",IF(R1170&lt;&gt;"Valid","Pending",IF(OR(I1170="",K1170="",L1170="",K1170=L1170,NOT(ISNUMBER(M1170)),NOT(ISNUMBER(N1170)),M1170&gt;Settings!$F$8,N1170&lt;Settings!$F$8,N1170&lt;M1170),"Pending",IF(AND(G1170="Applicable",H1170="Pass"),"Pass",IF(AND(G1170="N/A",H1170="N/A",J1170&lt;&gt;"",OR(E1170="CEM-FUELS",E1170="CEM-CCS",AND(E1170="CEM-PLAN",IFERROR(INDEX('Taxonomy'!$M$9:$M$108,MATCH(D1170,'Taxonomy'!$C$9:$C$108,0)),"")&lt;&gt;"Amber"),E1170="BLD-TIMBER",AND(U1170="Building equipment",OR(E1170="BLD-WATER",E1170="BLD-WASTE",E1170="BLD-LAND")),AND(U1170="Building renovation",E1170="BLD-LAND"))),"N/A","Pending"))))))</x:f>
      </x:c>
      <x:c r="Q1170" s="3" t="str">
        <x:f>IF(C1170="","",IF(AND(R1170="Valid",OR(P1170="Pass",P1170="N/A")),"Complete","Unresolved"))</x:f>
      </x:c>
      <x:c r="R1170" s="9" t="str">
        <x:f>IF(C1170="","",IF(OR(COUNTIF($C$9:$C$2008,C1170)&lt;&gt;1,COUNTIFS($D$9:$D$2008,D1170,$E$9:$E$2008,E1170)&lt;&gt;1),"Duplicate test",IF(COUNTIF('Taxonomy'!$C$9:$C$108,D1170)&lt;&gt;1,"Assessment key",IF(OR(COUNTIF('Taxonomy Rules'!$C$42:$C$68,E1170)&lt;&gt;1,F1170&lt;&gt;IFERROR(INDEX('Taxonomy Rules'!$D$42:$D$68,MATCH(E1170,'Taxonomy Rules'!$C$42:$C$68,0)),""),NOT(OR(IFERROR(INDEX('Taxonomy Rules'!$G$42:$G$68,MATCH(E1170,'Taxonomy Rules'!$C$42:$C$68,0)),"")="All supported routes",IFERROR(INDEX('Taxonomy Rules'!$G$42:$G$68,MATCH(E1170,'Taxonomy Rules'!$C$42:$C$68,0)),"")=U1170,AND(IFERROR(INDEX('Taxonomy Rules'!$G$42:$G$68,MATCH(E1170,'Taxonomy Rules'!$C$42:$C$68,0)),"")="Building routes",OR(U1170="Building renovation",U1170="New building",U1170="Building equipment"))))),"Unexpected test","Valid"))))</x:f>
      </x:c>
      <x:c r="S1170" s="9" t="str">
        <x:f>IF(C1170="","",IFERROR(INDEX('Taxonomy Rules'!$E$42:$E$68,MATCH(E1170,'Taxonomy Rules'!$C$42:$C$68,0)),""))</x:f>
      </x:c>
      <x:c r="T1170" s="9" t="str">
        <x:f>IF(C1170="","",IFERROR(INDEX('Taxonomy Rules'!$F$42:$F$68,MATCH(E1170,'Taxonomy Rules'!$C$42:$C$68,0)),""))</x:f>
      </x:c>
      <x:c r="U1170" s="9" t="str">
        <x:f>IF(C1170="","",IFERROR(INDEX('Taxonomy'!$G$9:$G$108,MATCH(D1170,'Taxonomy'!$C$9:$C$108,0)),""))</x:f>
      </x:c>
    </x:row>
    <x:row r="1171" ht="44" customHeight="1">
      <x:c r="A1171" s="1"/>
      <x:c r="B1171" s="1"/>
      <x:c r="C1171" s="8"/>
      <x:c r="D1171" s="8"/>
      <x:c r="E1171" s="8"/>
      <x:c r="F1171" s="8"/>
      <x:c r="G1171" s="8"/>
      <x:c r="H1171" s="8"/>
      <x:c r="I1171" s="8"/>
      <x:c r="J1171" s="8"/>
      <x:c r="K1171" s="8"/>
      <x:c r="L1171" s="8"/>
      <x:c r="M1171" s="10"/>
      <x:c r="N1171" s="10"/>
      <x:c r="O1171" s="8"/>
      <x:c r="P1171" s="9" t="str">
        <x:f>IF(C1171="","",IF(AND(G1171="Applicable",H1171="Fail"),"Fail",IF(R1171&lt;&gt;"Valid","Pending",IF(OR(I1171="",K1171="",L1171="",K1171=L1171,NOT(ISNUMBER(M1171)),NOT(ISNUMBER(N1171)),M1171&gt;Settings!$F$8,N1171&lt;Settings!$F$8,N1171&lt;M1171),"Pending",IF(AND(G1171="Applicable",H1171="Pass"),"Pass",IF(AND(G1171="N/A",H1171="N/A",J1171&lt;&gt;"",OR(E1171="CEM-FUELS",E1171="CEM-CCS",AND(E1171="CEM-PLAN",IFERROR(INDEX('Taxonomy'!$M$9:$M$108,MATCH(D1171,'Taxonomy'!$C$9:$C$108,0)),"")&lt;&gt;"Amber"),E1171="BLD-TIMBER",AND(U1171="Building equipment",OR(E1171="BLD-WATER",E1171="BLD-WASTE",E1171="BLD-LAND")),AND(U1171="Building renovation",E1171="BLD-LAND"))),"N/A","Pending"))))))</x:f>
      </x:c>
      <x:c r="Q1171" s="3" t="str">
        <x:f>IF(C1171="","",IF(AND(R1171="Valid",OR(P1171="Pass",P1171="N/A")),"Complete","Unresolved"))</x:f>
      </x:c>
      <x:c r="R1171" s="9" t="str">
        <x:f>IF(C1171="","",IF(OR(COUNTIF($C$9:$C$2008,C1171)&lt;&gt;1,COUNTIFS($D$9:$D$2008,D1171,$E$9:$E$2008,E1171)&lt;&gt;1),"Duplicate test",IF(COUNTIF('Taxonomy'!$C$9:$C$108,D1171)&lt;&gt;1,"Assessment key",IF(OR(COUNTIF('Taxonomy Rules'!$C$42:$C$68,E1171)&lt;&gt;1,F1171&lt;&gt;IFERROR(INDEX('Taxonomy Rules'!$D$42:$D$68,MATCH(E1171,'Taxonomy Rules'!$C$42:$C$68,0)),""),NOT(OR(IFERROR(INDEX('Taxonomy Rules'!$G$42:$G$68,MATCH(E1171,'Taxonomy Rules'!$C$42:$C$68,0)),"")="All supported routes",IFERROR(INDEX('Taxonomy Rules'!$G$42:$G$68,MATCH(E1171,'Taxonomy Rules'!$C$42:$C$68,0)),"")=U1171,AND(IFERROR(INDEX('Taxonomy Rules'!$G$42:$G$68,MATCH(E1171,'Taxonomy Rules'!$C$42:$C$68,0)),"")="Building routes",OR(U1171="Building renovation",U1171="New building",U1171="Building equipment"))))),"Unexpected test","Valid"))))</x:f>
      </x:c>
      <x:c r="S1171" s="9" t="str">
        <x:f>IF(C1171="","",IFERROR(INDEX('Taxonomy Rules'!$E$42:$E$68,MATCH(E1171,'Taxonomy Rules'!$C$42:$C$68,0)),""))</x:f>
      </x:c>
      <x:c r="T1171" s="9" t="str">
        <x:f>IF(C1171="","",IFERROR(INDEX('Taxonomy Rules'!$F$42:$F$68,MATCH(E1171,'Taxonomy Rules'!$C$42:$C$68,0)),""))</x:f>
      </x:c>
      <x:c r="U1171" s="9" t="str">
        <x:f>IF(C1171="","",IFERROR(INDEX('Taxonomy'!$G$9:$G$108,MATCH(D1171,'Taxonomy'!$C$9:$C$108,0)),""))</x:f>
      </x:c>
    </x:row>
    <x:row r="1172" ht="44" customHeight="1">
      <x:c r="A1172" s="1"/>
      <x:c r="B1172" s="1"/>
      <x:c r="C1172" s="8"/>
      <x:c r="D1172" s="8"/>
      <x:c r="E1172" s="8"/>
      <x:c r="F1172" s="8"/>
      <x:c r="G1172" s="8"/>
      <x:c r="H1172" s="8"/>
      <x:c r="I1172" s="8"/>
      <x:c r="J1172" s="8"/>
      <x:c r="K1172" s="8"/>
      <x:c r="L1172" s="8"/>
      <x:c r="M1172" s="10"/>
      <x:c r="N1172" s="10"/>
      <x:c r="O1172" s="8"/>
      <x:c r="P1172" s="9" t="str">
        <x:f>IF(C1172="","",IF(AND(G1172="Applicable",H1172="Fail"),"Fail",IF(R1172&lt;&gt;"Valid","Pending",IF(OR(I1172="",K1172="",L1172="",K1172=L1172,NOT(ISNUMBER(M1172)),NOT(ISNUMBER(N1172)),M1172&gt;Settings!$F$8,N1172&lt;Settings!$F$8,N1172&lt;M1172),"Pending",IF(AND(G1172="Applicable",H1172="Pass"),"Pass",IF(AND(G1172="N/A",H1172="N/A",J1172&lt;&gt;"",OR(E1172="CEM-FUELS",E1172="CEM-CCS",AND(E1172="CEM-PLAN",IFERROR(INDEX('Taxonomy'!$M$9:$M$108,MATCH(D1172,'Taxonomy'!$C$9:$C$108,0)),"")&lt;&gt;"Amber"),E1172="BLD-TIMBER",AND(U1172="Building equipment",OR(E1172="BLD-WATER",E1172="BLD-WASTE",E1172="BLD-LAND")),AND(U1172="Building renovation",E1172="BLD-LAND"))),"N/A","Pending"))))))</x:f>
      </x:c>
      <x:c r="Q1172" s="3" t="str">
        <x:f>IF(C1172="","",IF(AND(R1172="Valid",OR(P1172="Pass",P1172="N/A")),"Complete","Unresolved"))</x:f>
      </x:c>
      <x:c r="R1172" s="9" t="str">
        <x:f>IF(C1172="","",IF(OR(COUNTIF($C$9:$C$2008,C1172)&lt;&gt;1,COUNTIFS($D$9:$D$2008,D1172,$E$9:$E$2008,E1172)&lt;&gt;1),"Duplicate test",IF(COUNTIF('Taxonomy'!$C$9:$C$108,D1172)&lt;&gt;1,"Assessment key",IF(OR(COUNTIF('Taxonomy Rules'!$C$42:$C$68,E1172)&lt;&gt;1,F1172&lt;&gt;IFERROR(INDEX('Taxonomy Rules'!$D$42:$D$68,MATCH(E1172,'Taxonomy Rules'!$C$42:$C$68,0)),""),NOT(OR(IFERROR(INDEX('Taxonomy Rules'!$G$42:$G$68,MATCH(E1172,'Taxonomy Rules'!$C$42:$C$68,0)),"")="All supported routes",IFERROR(INDEX('Taxonomy Rules'!$G$42:$G$68,MATCH(E1172,'Taxonomy Rules'!$C$42:$C$68,0)),"")=U1172,AND(IFERROR(INDEX('Taxonomy Rules'!$G$42:$G$68,MATCH(E1172,'Taxonomy Rules'!$C$42:$C$68,0)),"")="Building routes",OR(U1172="Building renovation",U1172="New building",U1172="Building equipment"))))),"Unexpected test","Valid"))))</x:f>
      </x:c>
      <x:c r="S1172" s="9" t="str">
        <x:f>IF(C1172="","",IFERROR(INDEX('Taxonomy Rules'!$E$42:$E$68,MATCH(E1172,'Taxonomy Rules'!$C$42:$C$68,0)),""))</x:f>
      </x:c>
      <x:c r="T1172" s="9" t="str">
        <x:f>IF(C1172="","",IFERROR(INDEX('Taxonomy Rules'!$F$42:$F$68,MATCH(E1172,'Taxonomy Rules'!$C$42:$C$68,0)),""))</x:f>
      </x:c>
      <x:c r="U1172" s="9" t="str">
        <x:f>IF(C1172="","",IFERROR(INDEX('Taxonomy'!$G$9:$G$108,MATCH(D1172,'Taxonomy'!$C$9:$C$108,0)),""))</x:f>
      </x:c>
    </x:row>
    <x:row r="1173" ht="44" customHeight="1">
      <x:c r="A1173" s="1"/>
      <x:c r="B1173" s="1"/>
      <x:c r="C1173" s="8"/>
      <x:c r="D1173" s="8"/>
      <x:c r="E1173" s="8"/>
      <x:c r="F1173" s="8"/>
      <x:c r="G1173" s="8"/>
      <x:c r="H1173" s="8"/>
      <x:c r="I1173" s="8"/>
      <x:c r="J1173" s="8"/>
      <x:c r="K1173" s="8"/>
      <x:c r="L1173" s="8"/>
      <x:c r="M1173" s="10"/>
      <x:c r="N1173" s="10"/>
      <x:c r="O1173" s="8"/>
      <x:c r="P1173" s="9" t="str">
        <x:f>IF(C1173="","",IF(AND(G1173="Applicable",H1173="Fail"),"Fail",IF(R1173&lt;&gt;"Valid","Pending",IF(OR(I1173="",K1173="",L1173="",K1173=L1173,NOT(ISNUMBER(M1173)),NOT(ISNUMBER(N1173)),M1173&gt;Settings!$F$8,N1173&lt;Settings!$F$8,N1173&lt;M1173),"Pending",IF(AND(G1173="Applicable",H1173="Pass"),"Pass",IF(AND(G1173="N/A",H1173="N/A",J1173&lt;&gt;"",OR(E1173="CEM-FUELS",E1173="CEM-CCS",AND(E1173="CEM-PLAN",IFERROR(INDEX('Taxonomy'!$M$9:$M$108,MATCH(D1173,'Taxonomy'!$C$9:$C$108,0)),"")&lt;&gt;"Amber"),E1173="BLD-TIMBER",AND(U1173="Building equipment",OR(E1173="BLD-WATER",E1173="BLD-WASTE",E1173="BLD-LAND")),AND(U1173="Building renovation",E1173="BLD-LAND"))),"N/A","Pending"))))))</x:f>
      </x:c>
      <x:c r="Q1173" s="3" t="str">
        <x:f>IF(C1173="","",IF(AND(R1173="Valid",OR(P1173="Pass",P1173="N/A")),"Complete","Unresolved"))</x:f>
      </x:c>
      <x:c r="R1173" s="9" t="str">
        <x:f>IF(C1173="","",IF(OR(COUNTIF($C$9:$C$2008,C1173)&lt;&gt;1,COUNTIFS($D$9:$D$2008,D1173,$E$9:$E$2008,E1173)&lt;&gt;1),"Duplicate test",IF(COUNTIF('Taxonomy'!$C$9:$C$108,D1173)&lt;&gt;1,"Assessment key",IF(OR(COUNTIF('Taxonomy Rules'!$C$42:$C$68,E1173)&lt;&gt;1,F1173&lt;&gt;IFERROR(INDEX('Taxonomy Rules'!$D$42:$D$68,MATCH(E1173,'Taxonomy Rules'!$C$42:$C$68,0)),""),NOT(OR(IFERROR(INDEX('Taxonomy Rules'!$G$42:$G$68,MATCH(E1173,'Taxonomy Rules'!$C$42:$C$68,0)),"")="All supported routes",IFERROR(INDEX('Taxonomy Rules'!$G$42:$G$68,MATCH(E1173,'Taxonomy Rules'!$C$42:$C$68,0)),"")=U1173,AND(IFERROR(INDEX('Taxonomy Rules'!$G$42:$G$68,MATCH(E1173,'Taxonomy Rules'!$C$42:$C$68,0)),"")="Building routes",OR(U1173="Building renovation",U1173="New building",U1173="Building equipment"))))),"Unexpected test","Valid"))))</x:f>
      </x:c>
      <x:c r="S1173" s="9" t="str">
        <x:f>IF(C1173="","",IFERROR(INDEX('Taxonomy Rules'!$E$42:$E$68,MATCH(E1173,'Taxonomy Rules'!$C$42:$C$68,0)),""))</x:f>
      </x:c>
      <x:c r="T1173" s="9" t="str">
        <x:f>IF(C1173="","",IFERROR(INDEX('Taxonomy Rules'!$F$42:$F$68,MATCH(E1173,'Taxonomy Rules'!$C$42:$C$68,0)),""))</x:f>
      </x:c>
      <x:c r="U1173" s="9" t="str">
        <x:f>IF(C1173="","",IFERROR(INDEX('Taxonomy'!$G$9:$G$108,MATCH(D1173,'Taxonomy'!$C$9:$C$108,0)),""))</x:f>
      </x:c>
    </x:row>
    <x:row r="1174" ht="44" customHeight="1">
      <x:c r="A1174" s="1"/>
      <x:c r="B1174" s="1"/>
      <x:c r="C1174" s="8"/>
      <x:c r="D1174" s="8"/>
      <x:c r="E1174" s="8"/>
      <x:c r="F1174" s="8"/>
      <x:c r="G1174" s="8"/>
      <x:c r="H1174" s="8"/>
      <x:c r="I1174" s="8"/>
      <x:c r="J1174" s="8"/>
      <x:c r="K1174" s="8"/>
      <x:c r="L1174" s="8"/>
      <x:c r="M1174" s="10"/>
      <x:c r="N1174" s="10"/>
      <x:c r="O1174" s="8"/>
      <x:c r="P1174" s="9" t="str">
        <x:f>IF(C1174="","",IF(AND(G1174="Applicable",H1174="Fail"),"Fail",IF(R1174&lt;&gt;"Valid","Pending",IF(OR(I1174="",K1174="",L1174="",K1174=L1174,NOT(ISNUMBER(M1174)),NOT(ISNUMBER(N1174)),M1174&gt;Settings!$F$8,N1174&lt;Settings!$F$8,N1174&lt;M1174),"Pending",IF(AND(G1174="Applicable",H1174="Pass"),"Pass",IF(AND(G1174="N/A",H1174="N/A",J1174&lt;&gt;"",OR(E1174="CEM-FUELS",E1174="CEM-CCS",AND(E1174="CEM-PLAN",IFERROR(INDEX('Taxonomy'!$M$9:$M$108,MATCH(D1174,'Taxonomy'!$C$9:$C$108,0)),"")&lt;&gt;"Amber"),E1174="BLD-TIMBER",AND(U1174="Building equipment",OR(E1174="BLD-WATER",E1174="BLD-WASTE",E1174="BLD-LAND")),AND(U1174="Building renovation",E1174="BLD-LAND"))),"N/A","Pending"))))))</x:f>
      </x:c>
      <x:c r="Q1174" s="3" t="str">
        <x:f>IF(C1174="","",IF(AND(R1174="Valid",OR(P1174="Pass",P1174="N/A")),"Complete","Unresolved"))</x:f>
      </x:c>
      <x:c r="R1174" s="9" t="str">
        <x:f>IF(C1174="","",IF(OR(COUNTIF($C$9:$C$2008,C1174)&lt;&gt;1,COUNTIFS($D$9:$D$2008,D1174,$E$9:$E$2008,E1174)&lt;&gt;1),"Duplicate test",IF(COUNTIF('Taxonomy'!$C$9:$C$108,D1174)&lt;&gt;1,"Assessment key",IF(OR(COUNTIF('Taxonomy Rules'!$C$42:$C$68,E1174)&lt;&gt;1,F1174&lt;&gt;IFERROR(INDEX('Taxonomy Rules'!$D$42:$D$68,MATCH(E1174,'Taxonomy Rules'!$C$42:$C$68,0)),""),NOT(OR(IFERROR(INDEX('Taxonomy Rules'!$G$42:$G$68,MATCH(E1174,'Taxonomy Rules'!$C$42:$C$68,0)),"")="All supported routes",IFERROR(INDEX('Taxonomy Rules'!$G$42:$G$68,MATCH(E1174,'Taxonomy Rules'!$C$42:$C$68,0)),"")=U1174,AND(IFERROR(INDEX('Taxonomy Rules'!$G$42:$G$68,MATCH(E1174,'Taxonomy Rules'!$C$42:$C$68,0)),"")="Building routes",OR(U1174="Building renovation",U1174="New building",U1174="Building equipment"))))),"Unexpected test","Valid"))))</x:f>
      </x:c>
      <x:c r="S1174" s="9" t="str">
        <x:f>IF(C1174="","",IFERROR(INDEX('Taxonomy Rules'!$E$42:$E$68,MATCH(E1174,'Taxonomy Rules'!$C$42:$C$68,0)),""))</x:f>
      </x:c>
      <x:c r="T1174" s="9" t="str">
        <x:f>IF(C1174="","",IFERROR(INDEX('Taxonomy Rules'!$F$42:$F$68,MATCH(E1174,'Taxonomy Rules'!$C$42:$C$68,0)),""))</x:f>
      </x:c>
      <x:c r="U1174" s="9" t="str">
        <x:f>IF(C1174="","",IFERROR(INDEX('Taxonomy'!$G$9:$G$108,MATCH(D1174,'Taxonomy'!$C$9:$C$108,0)),""))</x:f>
      </x:c>
    </x:row>
    <x:row r="1175" ht="44" customHeight="1">
      <x:c r="A1175" s="1"/>
      <x:c r="B1175" s="1"/>
      <x:c r="C1175" s="8"/>
      <x:c r="D1175" s="8"/>
      <x:c r="E1175" s="8"/>
      <x:c r="F1175" s="8"/>
      <x:c r="G1175" s="8"/>
      <x:c r="H1175" s="8"/>
      <x:c r="I1175" s="8"/>
      <x:c r="J1175" s="8"/>
      <x:c r="K1175" s="8"/>
      <x:c r="L1175" s="8"/>
      <x:c r="M1175" s="10"/>
      <x:c r="N1175" s="10"/>
      <x:c r="O1175" s="8"/>
      <x:c r="P1175" s="9" t="str">
        <x:f>IF(C1175="","",IF(AND(G1175="Applicable",H1175="Fail"),"Fail",IF(R1175&lt;&gt;"Valid","Pending",IF(OR(I1175="",K1175="",L1175="",K1175=L1175,NOT(ISNUMBER(M1175)),NOT(ISNUMBER(N1175)),M1175&gt;Settings!$F$8,N1175&lt;Settings!$F$8,N1175&lt;M1175),"Pending",IF(AND(G1175="Applicable",H1175="Pass"),"Pass",IF(AND(G1175="N/A",H1175="N/A",J1175&lt;&gt;"",OR(E1175="CEM-FUELS",E1175="CEM-CCS",AND(E1175="CEM-PLAN",IFERROR(INDEX('Taxonomy'!$M$9:$M$108,MATCH(D1175,'Taxonomy'!$C$9:$C$108,0)),"")&lt;&gt;"Amber"),E1175="BLD-TIMBER",AND(U1175="Building equipment",OR(E1175="BLD-WATER",E1175="BLD-WASTE",E1175="BLD-LAND")),AND(U1175="Building renovation",E1175="BLD-LAND"))),"N/A","Pending"))))))</x:f>
      </x:c>
      <x:c r="Q1175" s="3" t="str">
        <x:f>IF(C1175="","",IF(AND(R1175="Valid",OR(P1175="Pass",P1175="N/A")),"Complete","Unresolved"))</x:f>
      </x:c>
      <x:c r="R1175" s="9" t="str">
        <x:f>IF(C1175="","",IF(OR(COUNTIF($C$9:$C$2008,C1175)&lt;&gt;1,COUNTIFS($D$9:$D$2008,D1175,$E$9:$E$2008,E1175)&lt;&gt;1),"Duplicate test",IF(COUNTIF('Taxonomy'!$C$9:$C$108,D1175)&lt;&gt;1,"Assessment key",IF(OR(COUNTIF('Taxonomy Rules'!$C$42:$C$68,E1175)&lt;&gt;1,F1175&lt;&gt;IFERROR(INDEX('Taxonomy Rules'!$D$42:$D$68,MATCH(E1175,'Taxonomy Rules'!$C$42:$C$68,0)),""),NOT(OR(IFERROR(INDEX('Taxonomy Rules'!$G$42:$G$68,MATCH(E1175,'Taxonomy Rules'!$C$42:$C$68,0)),"")="All supported routes",IFERROR(INDEX('Taxonomy Rules'!$G$42:$G$68,MATCH(E1175,'Taxonomy Rules'!$C$42:$C$68,0)),"")=U1175,AND(IFERROR(INDEX('Taxonomy Rules'!$G$42:$G$68,MATCH(E1175,'Taxonomy Rules'!$C$42:$C$68,0)),"")="Building routes",OR(U1175="Building renovation",U1175="New building",U1175="Building equipment"))))),"Unexpected test","Valid"))))</x:f>
      </x:c>
      <x:c r="S1175" s="9" t="str">
        <x:f>IF(C1175="","",IFERROR(INDEX('Taxonomy Rules'!$E$42:$E$68,MATCH(E1175,'Taxonomy Rules'!$C$42:$C$68,0)),""))</x:f>
      </x:c>
      <x:c r="T1175" s="9" t="str">
        <x:f>IF(C1175="","",IFERROR(INDEX('Taxonomy Rules'!$F$42:$F$68,MATCH(E1175,'Taxonomy Rules'!$C$42:$C$68,0)),""))</x:f>
      </x:c>
      <x:c r="U1175" s="9" t="str">
        <x:f>IF(C1175="","",IFERROR(INDEX('Taxonomy'!$G$9:$G$108,MATCH(D1175,'Taxonomy'!$C$9:$C$108,0)),""))</x:f>
      </x:c>
    </x:row>
    <x:row r="1176" ht="44" customHeight="1">
      <x:c r="A1176" s="1"/>
      <x:c r="B1176" s="1"/>
      <x:c r="C1176" s="8"/>
      <x:c r="D1176" s="8"/>
      <x:c r="E1176" s="8"/>
      <x:c r="F1176" s="8"/>
      <x:c r="G1176" s="8"/>
      <x:c r="H1176" s="8"/>
      <x:c r="I1176" s="8"/>
      <x:c r="J1176" s="8"/>
      <x:c r="K1176" s="8"/>
      <x:c r="L1176" s="8"/>
      <x:c r="M1176" s="10"/>
      <x:c r="N1176" s="10"/>
      <x:c r="O1176" s="8"/>
      <x:c r="P1176" s="9" t="str">
        <x:f>IF(C1176="","",IF(AND(G1176="Applicable",H1176="Fail"),"Fail",IF(R1176&lt;&gt;"Valid","Pending",IF(OR(I1176="",K1176="",L1176="",K1176=L1176,NOT(ISNUMBER(M1176)),NOT(ISNUMBER(N1176)),M1176&gt;Settings!$F$8,N1176&lt;Settings!$F$8,N1176&lt;M1176),"Pending",IF(AND(G1176="Applicable",H1176="Pass"),"Pass",IF(AND(G1176="N/A",H1176="N/A",J1176&lt;&gt;"",OR(E1176="CEM-FUELS",E1176="CEM-CCS",AND(E1176="CEM-PLAN",IFERROR(INDEX('Taxonomy'!$M$9:$M$108,MATCH(D1176,'Taxonomy'!$C$9:$C$108,0)),"")&lt;&gt;"Amber"),E1176="BLD-TIMBER",AND(U1176="Building equipment",OR(E1176="BLD-WATER",E1176="BLD-WASTE",E1176="BLD-LAND")),AND(U1176="Building renovation",E1176="BLD-LAND"))),"N/A","Pending"))))))</x:f>
      </x:c>
      <x:c r="Q1176" s="3" t="str">
        <x:f>IF(C1176="","",IF(AND(R1176="Valid",OR(P1176="Pass",P1176="N/A")),"Complete","Unresolved"))</x:f>
      </x:c>
      <x:c r="R1176" s="9" t="str">
        <x:f>IF(C1176="","",IF(OR(COUNTIF($C$9:$C$2008,C1176)&lt;&gt;1,COUNTIFS($D$9:$D$2008,D1176,$E$9:$E$2008,E1176)&lt;&gt;1),"Duplicate test",IF(COUNTIF('Taxonomy'!$C$9:$C$108,D1176)&lt;&gt;1,"Assessment key",IF(OR(COUNTIF('Taxonomy Rules'!$C$42:$C$68,E1176)&lt;&gt;1,F1176&lt;&gt;IFERROR(INDEX('Taxonomy Rules'!$D$42:$D$68,MATCH(E1176,'Taxonomy Rules'!$C$42:$C$68,0)),""),NOT(OR(IFERROR(INDEX('Taxonomy Rules'!$G$42:$G$68,MATCH(E1176,'Taxonomy Rules'!$C$42:$C$68,0)),"")="All supported routes",IFERROR(INDEX('Taxonomy Rules'!$G$42:$G$68,MATCH(E1176,'Taxonomy Rules'!$C$42:$C$68,0)),"")=U1176,AND(IFERROR(INDEX('Taxonomy Rules'!$G$42:$G$68,MATCH(E1176,'Taxonomy Rules'!$C$42:$C$68,0)),"")="Building routes",OR(U1176="Building renovation",U1176="New building",U1176="Building equipment"))))),"Unexpected test","Valid"))))</x:f>
      </x:c>
      <x:c r="S1176" s="9" t="str">
        <x:f>IF(C1176="","",IFERROR(INDEX('Taxonomy Rules'!$E$42:$E$68,MATCH(E1176,'Taxonomy Rules'!$C$42:$C$68,0)),""))</x:f>
      </x:c>
      <x:c r="T1176" s="9" t="str">
        <x:f>IF(C1176="","",IFERROR(INDEX('Taxonomy Rules'!$F$42:$F$68,MATCH(E1176,'Taxonomy Rules'!$C$42:$C$68,0)),""))</x:f>
      </x:c>
      <x:c r="U1176" s="9" t="str">
        <x:f>IF(C1176="","",IFERROR(INDEX('Taxonomy'!$G$9:$G$108,MATCH(D1176,'Taxonomy'!$C$9:$C$108,0)),""))</x:f>
      </x:c>
    </x:row>
    <x:row r="1177" ht="44" customHeight="1">
      <x:c r="A1177" s="1"/>
      <x:c r="B1177" s="1"/>
      <x:c r="C1177" s="8"/>
      <x:c r="D1177" s="8"/>
      <x:c r="E1177" s="8"/>
      <x:c r="F1177" s="8"/>
      <x:c r="G1177" s="8"/>
      <x:c r="H1177" s="8"/>
      <x:c r="I1177" s="8"/>
      <x:c r="J1177" s="8"/>
      <x:c r="K1177" s="8"/>
      <x:c r="L1177" s="8"/>
      <x:c r="M1177" s="10"/>
      <x:c r="N1177" s="10"/>
      <x:c r="O1177" s="8"/>
      <x:c r="P1177" s="9" t="str">
        <x:f>IF(C1177="","",IF(AND(G1177="Applicable",H1177="Fail"),"Fail",IF(R1177&lt;&gt;"Valid","Pending",IF(OR(I1177="",K1177="",L1177="",K1177=L1177,NOT(ISNUMBER(M1177)),NOT(ISNUMBER(N1177)),M1177&gt;Settings!$F$8,N1177&lt;Settings!$F$8,N1177&lt;M1177),"Pending",IF(AND(G1177="Applicable",H1177="Pass"),"Pass",IF(AND(G1177="N/A",H1177="N/A",J1177&lt;&gt;"",OR(E1177="CEM-FUELS",E1177="CEM-CCS",AND(E1177="CEM-PLAN",IFERROR(INDEX('Taxonomy'!$M$9:$M$108,MATCH(D1177,'Taxonomy'!$C$9:$C$108,0)),"")&lt;&gt;"Amber"),E1177="BLD-TIMBER",AND(U1177="Building equipment",OR(E1177="BLD-WATER",E1177="BLD-WASTE",E1177="BLD-LAND")),AND(U1177="Building renovation",E1177="BLD-LAND"))),"N/A","Pending"))))))</x:f>
      </x:c>
      <x:c r="Q1177" s="3" t="str">
        <x:f>IF(C1177="","",IF(AND(R1177="Valid",OR(P1177="Pass",P1177="N/A")),"Complete","Unresolved"))</x:f>
      </x:c>
      <x:c r="R1177" s="9" t="str">
        <x:f>IF(C1177="","",IF(OR(COUNTIF($C$9:$C$2008,C1177)&lt;&gt;1,COUNTIFS($D$9:$D$2008,D1177,$E$9:$E$2008,E1177)&lt;&gt;1),"Duplicate test",IF(COUNTIF('Taxonomy'!$C$9:$C$108,D1177)&lt;&gt;1,"Assessment key",IF(OR(COUNTIF('Taxonomy Rules'!$C$42:$C$68,E1177)&lt;&gt;1,F1177&lt;&gt;IFERROR(INDEX('Taxonomy Rules'!$D$42:$D$68,MATCH(E1177,'Taxonomy Rules'!$C$42:$C$68,0)),""),NOT(OR(IFERROR(INDEX('Taxonomy Rules'!$G$42:$G$68,MATCH(E1177,'Taxonomy Rules'!$C$42:$C$68,0)),"")="All supported routes",IFERROR(INDEX('Taxonomy Rules'!$G$42:$G$68,MATCH(E1177,'Taxonomy Rules'!$C$42:$C$68,0)),"")=U1177,AND(IFERROR(INDEX('Taxonomy Rules'!$G$42:$G$68,MATCH(E1177,'Taxonomy Rules'!$C$42:$C$68,0)),"")="Building routes",OR(U1177="Building renovation",U1177="New building",U1177="Building equipment"))))),"Unexpected test","Valid"))))</x:f>
      </x:c>
      <x:c r="S1177" s="9" t="str">
        <x:f>IF(C1177="","",IFERROR(INDEX('Taxonomy Rules'!$E$42:$E$68,MATCH(E1177,'Taxonomy Rules'!$C$42:$C$68,0)),""))</x:f>
      </x:c>
      <x:c r="T1177" s="9" t="str">
        <x:f>IF(C1177="","",IFERROR(INDEX('Taxonomy Rules'!$F$42:$F$68,MATCH(E1177,'Taxonomy Rules'!$C$42:$C$68,0)),""))</x:f>
      </x:c>
      <x:c r="U1177" s="9" t="str">
        <x:f>IF(C1177="","",IFERROR(INDEX('Taxonomy'!$G$9:$G$108,MATCH(D1177,'Taxonomy'!$C$9:$C$108,0)),""))</x:f>
      </x:c>
    </x:row>
    <x:row r="1178" ht="44" customHeight="1">
      <x:c r="A1178" s="1"/>
      <x:c r="B1178" s="1"/>
      <x:c r="C1178" s="8"/>
      <x:c r="D1178" s="8"/>
      <x:c r="E1178" s="8"/>
      <x:c r="F1178" s="8"/>
      <x:c r="G1178" s="8"/>
      <x:c r="H1178" s="8"/>
      <x:c r="I1178" s="8"/>
      <x:c r="J1178" s="8"/>
      <x:c r="K1178" s="8"/>
      <x:c r="L1178" s="8"/>
      <x:c r="M1178" s="10"/>
      <x:c r="N1178" s="10"/>
      <x:c r="O1178" s="8"/>
      <x:c r="P1178" s="9" t="str">
        <x:f>IF(C1178="","",IF(AND(G1178="Applicable",H1178="Fail"),"Fail",IF(R1178&lt;&gt;"Valid","Pending",IF(OR(I1178="",K1178="",L1178="",K1178=L1178,NOT(ISNUMBER(M1178)),NOT(ISNUMBER(N1178)),M1178&gt;Settings!$F$8,N1178&lt;Settings!$F$8,N1178&lt;M1178),"Pending",IF(AND(G1178="Applicable",H1178="Pass"),"Pass",IF(AND(G1178="N/A",H1178="N/A",J1178&lt;&gt;"",OR(E1178="CEM-FUELS",E1178="CEM-CCS",AND(E1178="CEM-PLAN",IFERROR(INDEX('Taxonomy'!$M$9:$M$108,MATCH(D1178,'Taxonomy'!$C$9:$C$108,0)),"")&lt;&gt;"Amber"),E1178="BLD-TIMBER",AND(U1178="Building equipment",OR(E1178="BLD-WATER",E1178="BLD-WASTE",E1178="BLD-LAND")),AND(U1178="Building renovation",E1178="BLD-LAND"))),"N/A","Pending"))))))</x:f>
      </x:c>
      <x:c r="Q1178" s="3" t="str">
        <x:f>IF(C1178="","",IF(AND(R1178="Valid",OR(P1178="Pass",P1178="N/A")),"Complete","Unresolved"))</x:f>
      </x:c>
      <x:c r="R1178" s="9" t="str">
        <x:f>IF(C1178="","",IF(OR(COUNTIF($C$9:$C$2008,C1178)&lt;&gt;1,COUNTIFS($D$9:$D$2008,D1178,$E$9:$E$2008,E1178)&lt;&gt;1),"Duplicate test",IF(COUNTIF('Taxonomy'!$C$9:$C$108,D1178)&lt;&gt;1,"Assessment key",IF(OR(COUNTIF('Taxonomy Rules'!$C$42:$C$68,E1178)&lt;&gt;1,F1178&lt;&gt;IFERROR(INDEX('Taxonomy Rules'!$D$42:$D$68,MATCH(E1178,'Taxonomy Rules'!$C$42:$C$68,0)),""),NOT(OR(IFERROR(INDEX('Taxonomy Rules'!$G$42:$G$68,MATCH(E1178,'Taxonomy Rules'!$C$42:$C$68,0)),"")="All supported routes",IFERROR(INDEX('Taxonomy Rules'!$G$42:$G$68,MATCH(E1178,'Taxonomy Rules'!$C$42:$C$68,0)),"")=U1178,AND(IFERROR(INDEX('Taxonomy Rules'!$G$42:$G$68,MATCH(E1178,'Taxonomy Rules'!$C$42:$C$68,0)),"")="Building routes",OR(U1178="Building renovation",U1178="New building",U1178="Building equipment"))))),"Unexpected test","Valid"))))</x:f>
      </x:c>
      <x:c r="S1178" s="9" t="str">
        <x:f>IF(C1178="","",IFERROR(INDEX('Taxonomy Rules'!$E$42:$E$68,MATCH(E1178,'Taxonomy Rules'!$C$42:$C$68,0)),""))</x:f>
      </x:c>
      <x:c r="T1178" s="9" t="str">
        <x:f>IF(C1178="","",IFERROR(INDEX('Taxonomy Rules'!$F$42:$F$68,MATCH(E1178,'Taxonomy Rules'!$C$42:$C$68,0)),""))</x:f>
      </x:c>
      <x:c r="U1178" s="9" t="str">
        <x:f>IF(C1178="","",IFERROR(INDEX('Taxonomy'!$G$9:$G$108,MATCH(D1178,'Taxonomy'!$C$9:$C$108,0)),""))</x:f>
      </x:c>
    </x:row>
    <x:row r="1179" ht="44" customHeight="1">
      <x:c r="A1179" s="1"/>
      <x:c r="B1179" s="1"/>
      <x:c r="C1179" s="8"/>
      <x:c r="D1179" s="8"/>
      <x:c r="E1179" s="8"/>
      <x:c r="F1179" s="8"/>
      <x:c r="G1179" s="8"/>
      <x:c r="H1179" s="8"/>
      <x:c r="I1179" s="8"/>
      <x:c r="J1179" s="8"/>
      <x:c r="K1179" s="8"/>
      <x:c r="L1179" s="8"/>
      <x:c r="M1179" s="10"/>
      <x:c r="N1179" s="10"/>
      <x:c r="O1179" s="8"/>
      <x:c r="P1179" s="9" t="str">
        <x:f>IF(C1179="","",IF(AND(G1179="Applicable",H1179="Fail"),"Fail",IF(R1179&lt;&gt;"Valid","Pending",IF(OR(I1179="",K1179="",L1179="",K1179=L1179,NOT(ISNUMBER(M1179)),NOT(ISNUMBER(N1179)),M1179&gt;Settings!$F$8,N1179&lt;Settings!$F$8,N1179&lt;M1179),"Pending",IF(AND(G1179="Applicable",H1179="Pass"),"Pass",IF(AND(G1179="N/A",H1179="N/A",J1179&lt;&gt;"",OR(E1179="CEM-FUELS",E1179="CEM-CCS",AND(E1179="CEM-PLAN",IFERROR(INDEX('Taxonomy'!$M$9:$M$108,MATCH(D1179,'Taxonomy'!$C$9:$C$108,0)),"")&lt;&gt;"Amber"),E1179="BLD-TIMBER",AND(U1179="Building equipment",OR(E1179="BLD-WATER",E1179="BLD-WASTE",E1179="BLD-LAND")),AND(U1179="Building renovation",E1179="BLD-LAND"))),"N/A","Pending"))))))</x:f>
      </x:c>
      <x:c r="Q1179" s="3" t="str">
        <x:f>IF(C1179="","",IF(AND(R1179="Valid",OR(P1179="Pass",P1179="N/A")),"Complete","Unresolved"))</x:f>
      </x:c>
      <x:c r="R1179" s="9" t="str">
        <x:f>IF(C1179="","",IF(OR(COUNTIF($C$9:$C$2008,C1179)&lt;&gt;1,COUNTIFS($D$9:$D$2008,D1179,$E$9:$E$2008,E1179)&lt;&gt;1),"Duplicate test",IF(COUNTIF('Taxonomy'!$C$9:$C$108,D1179)&lt;&gt;1,"Assessment key",IF(OR(COUNTIF('Taxonomy Rules'!$C$42:$C$68,E1179)&lt;&gt;1,F1179&lt;&gt;IFERROR(INDEX('Taxonomy Rules'!$D$42:$D$68,MATCH(E1179,'Taxonomy Rules'!$C$42:$C$68,0)),""),NOT(OR(IFERROR(INDEX('Taxonomy Rules'!$G$42:$G$68,MATCH(E1179,'Taxonomy Rules'!$C$42:$C$68,0)),"")="All supported routes",IFERROR(INDEX('Taxonomy Rules'!$G$42:$G$68,MATCH(E1179,'Taxonomy Rules'!$C$42:$C$68,0)),"")=U1179,AND(IFERROR(INDEX('Taxonomy Rules'!$G$42:$G$68,MATCH(E1179,'Taxonomy Rules'!$C$42:$C$68,0)),"")="Building routes",OR(U1179="Building renovation",U1179="New building",U1179="Building equipment"))))),"Unexpected test","Valid"))))</x:f>
      </x:c>
      <x:c r="S1179" s="9" t="str">
        <x:f>IF(C1179="","",IFERROR(INDEX('Taxonomy Rules'!$E$42:$E$68,MATCH(E1179,'Taxonomy Rules'!$C$42:$C$68,0)),""))</x:f>
      </x:c>
      <x:c r="T1179" s="9" t="str">
        <x:f>IF(C1179="","",IFERROR(INDEX('Taxonomy Rules'!$F$42:$F$68,MATCH(E1179,'Taxonomy Rules'!$C$42:$C$68,0)),""))</x:f>
      </x:c>
      <x:c r="U1179" s="9" t="str">
        <x:f>IF(C1179="","",IFERROR(INDEX('Taxonomy'!$G$9:$G$108,MATCH(D1179,'Taxonomy'!$C$9:$C$108,0)),""))</x:f>
      </x:c>
    </x:row>
    <x:row r="1180" ht="44" customHeight="1">
      <x:c r="A1180" s="1"/>
      <x:c r="B1180" s="1"/>
      <x:c r="C1180" s="8"/>
      <x:c r="D1180" s="8"/>
      <x:c r="E1180" s="8"/>
      <x:c r="F1180" s="8"/>
      <x:c r="G1180" s="8"/>
      <x:c r="H1180" s="8"/>
      <x:c r="I1180" s="8"/>
      <x:c r="J1180" s="8"/>
      <x:c r="K1180" s="8"/>
      <x:c r="L1180" s="8"/>
      <x:c r="M1180" s="10"/>
      <x:c r="N1180" s="10"/>
      <x:c r="O1180" s="8"/>
      <x:c r="P1180" s="9" t="str">
        <x:f>IF(C1180="","",IF(AND(G1180="Applicable",H1180="Fail"),"Fail",IF(R1180&lt;&gt;"Valid","Pending",IF(OR(I1180="",K1180="",L1180="",K1180=L1180,NOT(ISNUMBER(M1180)),NOT(ISNUMBER(N1180)),M1180&gt;Settings!$F$8,N1180&lt;Settings!$F$8,N1180&lt;M1180),"Pending",IF(AND(G1180="Applicable",H1180="Pass"),"Pass",IF(AND(G1180="N/A",H1180="N/A",J1180&lt;&gt;"",OR(E1180="CEM-FUELS",E1180="CEM-CCS",AND(E1180="CEM-PLAN",IFERROR(INDEX('Taxonomy'!$M$9:$M$108,MATCH(D1180,'Taxonomy'!$C$9:$C$108,0)),"")&lt;&gt;"Amber"),E1180="BLD-TIMBER",AND(U1180="Building equipment",OR(E1180="BLD-WATER",E1180="BLD-WASTE",E1180="BLD-LAND")),AND(U1180="Building renovation",E1180="BLD-LAND"))),"N/A","Pending"))))))</x:f>
      </x:c>
      <x:c r="Q1180" s="3" t="str">
        <x:f>IF(C1180="","",IF(AND(R1180="Valid",OR(P1180="Pass",P1180="N/A")),"Complete","Unresolved"))</x:f>
      </x:c>
      <x:c r="R1180" s="9" t="str">
        <x:f>IF(C1180="","",IF(OR(COUNTIF($C$9:$C$2008,C1180)&lt;&gt;1,COUNTIFS($D$9:$D$2008,D1180,$E$9:$E$2008,E1180)&lt;&gt;1),"Duplicate test",IF(COUNTIF('Taxonomy'!$C$9:$C$108,D1180)&lt;&gt;1,"Assessment key",IF(OR(COUNTIF('Taxonomy Rules'!$C$42:$C$68,E1180)&lt;&gt;1,F1180&lt;&gt;IFERROR(INDEX('Taxonomy Rules'!$D$42:$D$68,MATCH(E1180,'Taxonomy Rules'!$C$42:$C$68,0)),""),NOT(OR(IFERROR(INDEX('Taxonomy Rules'!$G$42:$G$68,MATCH(E1180,'Taxonomy Rules'!$C$42:$C$68,0)),"")="All supported routes",IFERROR(INDEX('Taxonomy Rules'!$G$42:$G$68,MATCH(E1180,'Taxonomy Rules'!$C$42:$C$68,0)),"")=U1180,AND(IFERROR(INDEX('Taxonomy Rules'!$G$42:$G$68,MATCH(E1180,'Taxonomy Rules'!$C$42:$C$68,0)),"")="Building routes",OR(U1180="Building renovation",U1180="New building",U1180="Building equipment"))))),"Unexpected test","Valid"))))</x:f>
      </x:c>
      <x:c r="S1180" s="9" t="str">
        <x:f>IF(C1180="","",IFERROR(INDEX('Taxonomy Rules'!$E$42:$E$68,MATCH(E1180,'Taxonomy Rules'!$C$42:$C$68,0)),""))</x:f>
      </x:c>
      <x:c r="T1180" s="9" t="str">
        <x:f>IF(C1180="","",IFERROR(INDEX('Taxonomy Rules'!$F$42:$F$68,MATCH(E1180,'Taxonomy Rules'!$C$42:$C$68,0)),""))</x:f>
      </x:c>
      <x:c r="U1180" s="9" t="str">
        <x:f>IF(C1180="","",IFERROR(INDEX('Taxonomy'!$G$9:$G$108,MATCH(D1180,'Taxonomy'!$C$9:$C$108,0)),""))</x:f>
      </x:c>
    </x:row>
    <x:row r="1181" ht="44" customHeight="1">
      <x:c r="A1181" s="1"/>
      <x:c r="B1181" s="1"/>
      <x:c r="C1181" s="8"/>
      <x:c r="D1181" s="8"/>
      <x:c r="E1181" s="8"/>
      <x:c r="F1181" s="8"/>
      <x:c r="G1181" s="8"/>
      <x:c r="H1181" s="8"/>
      <x:c r="I1181" s="8"/>
      <x:c r="J1181" s="8"/>
      <x:c r="K1181" s="8"/>
      <x:c r="L1181" s="8"/>
      <x:c r="M1181" s="10"/>
      <x:c r="N1181" s="10"/>
      <x:c r="O1181" s="8"/>
      <x:c r="P1181" s="9" t="str">
        <x:f>IF(C1181="","",IF(AND(G1181="Applicable",H1181="Fail"),"Fail",IF(R1181&lt;&gt;"Valid","Pending",IF(OR(I1181="",K1181="",L1181="",K1181=L1181,NOT(ISNUMBER(M1181)),NOT(ISNUMBER(N1181)),M1181&gt;Settings!$F$8,N1181&lt;Settings!$F$8,N1181&lt;M1181),"Pending",IF(AND(G1181="Applicable",H1181="Pass"),"Pass",IF(AND(G1181="N/A",H1181="N/A",J1181&lt;&gt;"",OR(E1181="CEM-FUELS",E1181="CEM-CCS",AND(E1181="CEM-PLAN",IFERROR(INDEX('Taxonomy'!$M$9:$M$108,MATCH(D1181,'Taxonomy'!$C$9:$C$108,0)),"")&lt;&gt;"Amber"),E1181="BLD-TIMBER",AND(U1181="Building equipment",OR(E1181="BLD-WATER",E1181="BLD-WASTE",E1181="BLD-LAND")),AND(U1181="Building renovation",E1181="BLD-LAND"))),"N/A","Pending"))))))</x:f>
      </x:c>
      <x:c r="Q1181" s="3" t="str">
        <x:f>IF(C1181="","",IF(AND(R1181="Valid",OR(P1181="Pass",P1181="N/A")),"Complete","Unresolved"))</x:f>
      </x:c>
      <x:c r="R1181" s="9" t="str">
        <x:f>IF(C1181="","",IF(OR(COUNTIF($C$9:$C$2008,C1181)&lt;&gt;1,COUNTIFS($D$9:$D$2008,D1181,$E$9:$E$2008,E1181)&lt;&gt;1),"Duplicate test",IF(COUNTIF('Taxonomy'!$C$9:$C$108,D1181)&lt;&gt;1,"Assessment key",IF(OR(COUNTIF('Taxonomy Rules'!$C$42:$C$68,E1181)&lt;&gt;1,F1181&lt;&gt;IFERROR(INDEX('Taxonomy Rules'!$D$42:$D$68,MATCH(E1181,'Taxonomy Rules'!$C$42:$C$68,0)),""),NOT(OR(IFERROR(INDEX('Taxonomy Rules'!$G$42:$G$68,MATCH(E1181,'Taxonomy Rules'!$C$42:$C$68,0)),"")="All supported routes",IFERROR(INDEX('Taxonomy Rules'!$G$42:$G$68,MATCH(E1181,'Taxonomy Rules'!$C$42:$C$68,0)),"")=U1181,AND(IFERROR(INDEX('Taxonomy Rules'!$G$42:$G$68,MATCH(E1181,'Taxonomy Rules'!$C$42:$C$68,0)),"")="Building routes",OR(U1181="Building renovation",U1181="New building",U1181="Building equipment"))))),"Unexpected test","Valid"))))</x:f>
      </x:c>
      <x:c r="S1181" s="9" t="str">
        <x:f>IF(C1181="","",IFERROR(INDEX('Taxonomy Rules'!$E$42:$E$68,MATCH(E1181,'Taxonomy Rules'!$C$42:$C$68,0)),""))</x:f>
      </x:c>
      <x:c r="T1181" s="9" t="str">
        <x:f>IF(C1181="","",IFERROR(INDEX('Taxonomy Rules'!$F$42:$F$68,MATCH(E1181,'Taxonomy Rules'!$C$42:$C$68,0)),""))</x:f>
      </x:c>
      <x:c r="U1181" s="9" t="str">
        <x:f>IF(C1181="","",IFERROR(INDEX('Taxonomy'!$G$9:$G$108,MATCH(D1181,'Taxonomy'!$C$9:$C$108,0)),""))</x:f>
      </x:c>
    </x:row>
    <x:row r="1182" ht="44" customHeight="1">
      <x:c r="A1182" s="1"/>
      <x:c r="B1182" s="1"/>
      <x:c r="C1182" s="8"/>
      <x:c r="D1182" s="8"/>
      <x:c r="E1182" s="8"/>
      <x:c r="F1182" s="8"/>
      <x:c r="G1182" s="8"/>
      <x:c r="H1182" s="8"/>
      <x:c r="I1182" s="8"/>
      <x:c r="J1182" s="8"/>
      <x:c r="K1182" s="8"/>
      <x:c r="L1182" s="8"/>
      <x:c r="M1182" s="10"/>
      <x:c r="N1182" s="10"/>
      <x:c r="O1182" s="8"/>
      <x:c r="P1182" s="9" t="str">
        <x:f>IF(C1182="","",IF(AND(G1182="Applicable",H1182="Fail"),"Fail",IF(R1182&lt;&gt;"Valid","Pending",IF(OR(I1182="",K1182="",L1182="",K1182=L1182,NOT(ISNUMBER(M1182)),NOT(ISNUMBER(N1182)),M1182&gt;Settings!$F$8,N1182&lt;Settings!$F$8,N1182&lt;M1182),"Pending",IF(AND(G1182="Applicable",H1182="Pass"),"Pass",IF(AND(G1182="N/A",H1182="N/A",J1182&lt;&gt;"",OR(E1182="CEM-FUELS",E1182="CEM-CCS",AND(E1182="CEM-PLAN",IFERROR(INDEX('Taxonomy'!$M$9:$M$108,MATCH(D1182,'Taxonomy'!$C$9:$C$108,0)),"")&lt;&gt;"Amber"),E1182="BLD-TIMBER",AND(U1182="Building equipment",OR(E1182="BLD-WATER",E1182="BLD-WASTE",E1182="BLD-LAND")),AND(U1182="Building renovation",E1182="BLD-LAND"))),"N/A","Pending"))))))</x:f>
      </x:c>
      <x:c r="Q1182" s="3" t="str">
        <x:f>IF(C1182="","",IF(AND(R1182="Valid",OR(P1182="Pass",P1182="N/A")),"Complete","Unresolved"))</x:f>
      </x:c>
      <x:c r="R1182" s="9" t="str">
        <x:f>IF(C1182="","",IF(OR(COUNTIF($C$9:$C$2008,C1182)&lt;&gt;1,COUNTIFS($D$9:$D$2008,D1182,$E$9:$E$2008,E1182)&lt;&gt;1),"Duplicate test",IF(COUNTIF('Taxonomy'!$C$9:$C$108,D1182)&lt;&gt;1,"Assessment key",IF(OR(COUNTIF('Taxonomy Rules'!$C$42:$C$68,E1182)&lt;&gt;1,F1182&lt;&gt;IFERROR(INDEX('Taxonomy Rules'!$D$42:$D$68,MATCH(E1182,'Taxonomy Rules'!$C$42:$C$68,0)),""),NOT(OR(IFERROR(INDEX('Taxonomy Rules'!$G$42:$G$68,MATCH(E1182,'Taxonomy Rules'!$C$42:$C$68,0)),"")="All supported routes",IFERROR(INDEX('Taxonomy Rules'!$G$42:$G$68,MATCH(E1182,'Taxonomy Rules'!$C$42:$C$68,0)),"")=U1182,AND(IFERROR(INDEX('Taxonomy Rules'!$G$42:$G$68,MATCH(E1182,'Taxonomy Rules'!$C$42:$C$68,0)),"")="Building routes",OR(U1182="Building renovation",U1182="New building",U1182="Building equipment"))))),"Unexpected test","Valid"))))</x:f>
      </x:c>
      <x:c r="S1182" s="9" t="str">
        <x:f>IF(C1182="","",IFERROR(INDEX('Taxonomy Rules'!$E$42:$E$68,MATCH(E1182,'Taxonomy Rules'!$C$42:$C$68,0)),""))</x:f>
      </x:c>
      <x:c r="T1182" s="9" t="str">
        <x:f>IF(C1182="","",IFERROR(INDEX('Taxonomy Rules'!$F$42:$F$68,MATCH(E1182,'Taxonomy Rules'!$C$42:$C$68,0)),""))</x:f>
      </x:c>
      <x:c r="U1182" s="9" t="str">
        <x:f>IF(C1182="","",IFERROR(INDEX('Taxonomy'!$G$9:$G$108,MATCH(D1182,'Taxonomy'!$C$9:$C$108,0)),""))</x:f>
      </x:c>
    </x:row>
    <x:row r="1183" ht="44" customHeight="1">
      <x:c r="A1183" s="1"/>
      <x:c r="B1183" s="1"/>
      <x:c r="C1183" s="8"/>
      <x:c r="D1183" s="8"/>
      <x:c r="E1183" s="8"/>
      <x:c r="F1183" s="8"/>
      <x:c r="G1183" s="8"/>
      <x:c r="H1183" s="8"/>
      <x:c r="I1183" s="8"/>
      <x:c r="J1183" s="8"/>
      <x:c r="K1183" s="8"/>
      <x:c r="L1183" s="8"/>
      <x:c r="M1183" s="10"/>
      <x:c r="N1183" s="10"/>
      <x:c r="O1183" s="8"/>
      <x:c r="P1183" s="9" t="str">
        <x:f>IF(C1183="","",IF(AND(G1183="Applicable",H1183="Fail"),"Fail",IF(R1183&lt;&gt;"Valid","Pending",IF(OR(I1183="",K1183="",L1183="",K1183=L1183,NOT(ISNUMBER(M1183)),NOT(ISNUMBER(N1183)),M1183&gt;Settings!$F$8,N1183&lt;Settings!$F$8,N1183&lt;M1183),"Pending",IF(AND(G1183="Applicable",H1183="Pass"),"Pass",IF(AND(G1183="N/A",H1183="N/A",J1183&lt;&gt;"",OR(E1183="CEM-FUELS",E1183="CEM-CCS",AND(E1183="CEM-PLAN",IFERROR(INDEX('Taxonomy'!$M$9:$M$108,MATCH(D1183,'Taxonomy'!$C$9:$C$108,0)),"")&lt;&gt;"Amber"),E1183="BLD-TIMBER",AND(U1183="Building equipment",OR(E1183="BLD-WATER",E1183="BLD-WASTE",E1183="BLD-LAND")),AND(U1183="Building renovation",E1183="BLD-LAND"))),"N/A","Pending"))))))</x:f>
      </x:c>
      <x:c r="Q1183" s="3" t="str">
        <x:f>IF(C1183="","",IF(AND(R1183="Valid",OR(P1183="Pass",P1183="N/A")),"Complete","Unresolved"))</x:f>
      </x:c>
      <x:c r="R1183" s="9" t="str">
        <x:f>IF(C1183="","",IF(OR(COUNTIF($C$9:$C$2008,C1183)&lt;&gt;1,COUNTIFS($D$9:$D$2008,D1183,$E$9:$E$2008,E1183)&lt;&gt;1),"Duplicate test",IF(COUNTIF('Taxonomy'!$C$9:$C$108,D1183)&lt;&gt;1,"Assessment key",IF(OR(COUNTIF('Taxonomy Rules'!$C$42:$C$68,E1183)&lt;&gt;1,F1183&lt;&gt;IFERROR(INDEX('Taxonomy Rules'!$D$42:$D$68,MATCH(E1183,'Taxonomy Rules'!$C$42:$C$68,0)),""),NOT(OR(IFERROR(INDEX('Taxonomy Rules'!$G$42:$G$68,MATCH(E1183,'Taxonomy Rules'!$C$42:$C$68,0)),"")="All supported routes",IFERROR(INDEX('Taxonomy Rules'!$G$42:$G$68,MATCH(E1183,'Taxonomy Rules'!$C$42:$C$68,0)),"")=U1183,AND(IFERROR(INDEX('Taxonomy Rules'!$G$42:$G$68,MATCH(E1183,'Taxonomy Rules'!$C$42:$C$68,0)),"")="Building routes",OR(U1183="Building renovation",U1183="New building",U1183="Building equipment"))))),"Unexpected test","Valid"))))</x:f>
      </x:c>
      <x:c r="S1183" s="9" t="str">
        <x:f>IF(C1183="","",IFERROR(INDEX('Taxonomy Rules'!$E$42:$E$68,MATCH(E1183,'Taxonomy Rules'!$C$42:$C$68,0)),""))</x:f>
      </x:c>
      <x:c r="T1183" s="9" t="str">
        <x:f>IF(C1183="","",IFERROR(INDEX('Taxonomy Rules'!$F$42:$F$68,MATCH(E1183,'Taxonomy Rules'!$C$42:$C$68,0)),""))</x:f>
      </x:c>
      <x:c r="U1183" s="9" t="str">
        <x:f>IF(C1183="","",IFERROR(INDEX('Taxonomy'!$G$9:$G$108,MATCH(D1183,'Taxonomy'!$C$9:$C$108,0)),""))</x:f>
      </x:c>
    </x:row>
    <x:row r="1184" ht="44" customHeight="1">
      <x:c r="A1184" s="1"/>
      <x:c r="B1184" s="1"/>
      <x:c r="C1184" s="8"/>
      <x:c r="D1184" s="8"/>
      <x:c r="E1184" s="8"/>
      <x:c r="F1184" s="8"/>
      <x:c r="G1184" s="8"/>
      <x:c r="H1184" s="8"/>
      <x:c r="I1184" s="8"/>
      <x:c r="J1184" s="8"/>
      <x:c r="K1184" s="8"/>
      <x:c r="L1184" s="8"/>
      <x:c r="M1184" s="10"/>
      <x:c r="N1184" s="10"/>
      <x:c r="O1184" s="8"/>
      <x:c r="P1184" s="9" t="str">
        <x:f>IF(C1184="","",IF(AND(G1184="Applicable",H1184="Fail"),"Fail",IF(R1184&lt;&gt;"Valid","Pending",IF(OR(I1184="",K1184="",L1184="",K1184=L1184,NOT(ISNUMBER(M1184)),NOT(ISNUMBER(N1184)),M1184&gt;Settings!$F$8,N1184&lt;Settings!$F$8,N1184&lt;M1184),"Pending",IF(AND(G1184="Applicable",H1184="Pass"),"Pass",IF(AND(G1184="N/A",H1184="N/A",J1184&lt;&gt;"",OR(E1184="CEM-FUELS",E1184="CEM-CCS",AND(E1184="CEM-PLAN",IFERROR(INDEX('Taxonomy'!$M$9:$M$108,MATCH(D1184,'Taxonomy'!$C$9:$C$108,0)),"")&lt;&gt;"Amber"),E1184="BLD-TIMBER",AND(U1184="Building equipment",OR(E1184="BLD-WATER",E1184="BLD-WASTE",E1184="BLD-LAND")),AND(U1184="Building renovation",E1184="BLD-LAND"))),"N/A","Pending"))))))</x:f>
      </x:c>
      <x:c r="Q1184" s="3" t="str">
        <x:f>IF(C1184="","",IF(AND(R1184="Valid",OR(P1184="Pass",P1184="N/A")),"Complete","Unresolved"))</x:f>
      </x:c>
      <x:c r="R1184" s="9" t="str">
        <x:f>IF(C1184="","",IF(OR(COUNTIF($C$9:$C$2008,C1184)&lt;&gt;1,COUNTIFS($D$9:$D$2008,D1184,$E$9:$E$2008,E1184)&lt;&gt;1),"Duplicate test",IF(COUNTIF('Taxonomy'!$C$9:$C$108,D1184)&lt;&gt;1,"Assessment key",IF(OR(COUNTIF('Taxonomy Rules'!$C$42:$C$68,E1184)&lt;&gt;1,F1184&lt;&gt;IFERROR(INDEX('Taxonomy Rules'!$D$42:$D$68,MATCH(E1184,'Taxonomy Rules'!$C$42:$C$68,0)),""),NOT(OR(IFERROR(INDEX('Taxonomy Rules'!$G$42:$G$68,MATCH(E1184,'Taxonomy Rules'!$C$42:$C$68,0)),"")="All supported routes",IFERROR(INDEX('Taxonomy Rules'!$G$42:$G$68,MATCH(E1184,'Taxonomy Rules'!$C$42:$C$68,0)),"")=U1184,AND(IFERROR(INDEX('Taxonomy Rules'!$G$42:$G$68,MATCH(E1184,'Taxonomy Rules'!$C$42:$C$68,0)),"")="Building routes",OR(U1184="Building renovation",U1184="New building",U1184="Building equipment"))))),"Unexpected test","Valid"))))</x:f>
      </x:c>
      <x:c r="S1184" s="9" t="str">
        <x:f>IF(C1184="","",IFERROR(INDEX('Taxonomy Rules'!$E$42:$E$68,MATCH(E1184,'Taxonomy Rules'!$C$42:$C$68,0)),""))</x:f>
      </x:c>
      <x:c r="T1184" s="9" t="str">
        <x:f>IF(C1184="","",IFERROR(INDEX('Taxonomy Rules'!$F$42:$F$68,MATCH(E1184,'Taxonomy Rules'!$C$42:$C$68,0)),""))</x:f>
      </x:c>
      <x:c r="U1184" s="9" t="str">
        <x:f>IF(C1184="","",IFERROR(INDEX('Taxonomy'!$G$9:$G$108,MATCH(D1184,'Taxonomy'!$C$9:$C$108,0)),""))</x:f>
      </x:c>
    </x:row>
    <x:row r="1185" ht="44" customHeight="1">
      <x:c r="A1185" s="1"/>
      <x:c r="B1185" s="1"/>
      <x:c r="C1185" s="8"/>
      <x:c r="D1185" s="8"/>
      <x:c r="E1185" s="8"/>
      <x:c r="F1185" s="8"/>
      <x:c r="G1185" s="8"/>
      <x:c r="H1185" s="8"/>
      <x:c r="I1185" s="8"/>
      <x:c r="J1185" s="8"/>
      <x:c r="K1185" s="8"/>
      <x:c r="L1185" s="8"/>
      <x:c r="M1185" s="10"/>
      <x:c r="N1185" s="10"/>
      <x:c r="O1185" s="8"/>
      <x:c r="P1185" s="9" t="str">
        <x:f>IF(C1185="","",IF(AND(G1185="Applicable",H1185="Fail"),"Fail",IF(R1185&lt;&gt;"Valid","Pending",IF(OR(I1185="",K1185="",L1185="",K1185=L1185,NOT(ISNUMBER(M1185)),NOT(ISNUMBER(N1185)),M1185&gt;Settings!$F$8,N1185&lt;Settings!$F$8,N1185&lt;M1185),"Pending",IF(AND(G1185="Applicable",H1185="Pass"),"Pass",IF(AND(G1185="N/A",H1185="N/A",J1185&lt;&gt;"",OR(E1185="CEM-FUELS",E1185="CEM-CCS",AND(E1185="CEM-PLAN",IFERROR(INDEX('Taxonomy'!$M$9:$M$108,MATCH(D1185,'Taxonomy'!$C$9:$C$108,0)),"")&lt;&gt;"Amber"),E1185="BLD-TIMBER",AND(U1185="Building equipment",OR(E1185="BLD-WATER",E1185="BLD-WASTE",E1185="BLD-LAND")),AND(U1185="Building renovation",E1185="BLD-LAND"))),"N/A","Pending"))))))</x:f>
      </x:c>
      <x:c r="Q1185" s="3" t="str">
        <x:f>IF(C1185="","",IF(AND(R1185="Valid",OR(P1185="Pass",P1185="N/A")),"Complete","Unresolved"))</x:f>
      </x:c>
      <x:c r="R1185" s="9" t="str">
        <x:f>IF(C1185="","",IF(OR(COUNTIF($C$9:$C$2008,C1185)&lt;&gt;1,COUNTIFS($D$9:$D$2008,D1185,$E$9:$E$2008,E1185)&lt;&gt;1),"Duplicate test",IF(COUNTIF('Taxonomy'!$C$9:$C$108,D1185)&lt;&gt;1,"Assessment key",IF(OR(COUNTIF('Taxonomy Rules'!$C$42:$C$68,E1185)&lt;&gt;1,F1185&lt;&gt;IFERROR(INDEX('Taxonomy Rules'!$D$42:$D$68,MATCH(E1185,'Taxonomy Rules'!$C$42:$C$68,0)),""),NOT(OR(IFERROR(INDEX('Taxonomy Rules'!$G$42:$G$68,MATCH(E1185,'Taxonomy Rules'!$C$42:$C$68,0)),"")="All supported routes",IFERROR(INDEX('Taxonomy Rules'!$G$42:$G$68,MATCH(E1185,'Taxonomy Rules'!$C$42:$C$68,0)),"")=U1185,AND(IFERROR(INDEX('Taxonomy Rules'!$G$42:$G$68,MATCH(E1185,'Taxonomy Rules'!$C$42:$C$68,0)),"")="Building routes",OR(U1185="Building renovation",U1185="New building",U1185="Building equipment"))))),"Unexpected test","Valid"))))</x:f>
      </x:c>
      <x:c r="S1185" s="9" t="str">
        <x:f>IF(C1185="","",IFERROR(INDEX('Taxonomy Rules'!$E$42:$E$68,MATCH(E1185,'Taxonomy Rules'!$C$42:$C$68,0)),""))</x:f>
      </x:c>
      <x:c r="T1185" s="9" t="str">
        <x:f>IF(C1185="","",IFERROR(INDEX('Taxonomy Rules'!$F$42:$F$68,MATCH(E1185,'Taxonomy Rules'!$C$42:$C$68,0)),""))</x:f>
      </x:c>
      <x:c r="U1185" s="9" t="str">
        <x:f>IF(C1185="","",IFERROR(INDEX('Taxonomy'!$G$9:$G$108,MATCH(D1185,'Taxonomy'!$C$9:$C$108,0)),""))</x:f>
      </x:c>
    </x:row>
    <x:row r="1186" ht="44" customHeight="1">
      <x:c r="A1186" s="1"/>
      <x:c r="B1186" s="1"/>
      <x:c r="C1186" s="8"/>
      <x:c r="D1186" s="8"/>
      <x:c r="E1186" s="8"/>
      <x:c r="F1186" s="8"/>
      <x:c r="G1186" s="8"/>
      <x:c r="H1186" s="8"/>
      <x:c r="I1186" s="8"/>
      <x:c r="J1186" s="8"/>
      <x:c r="K1186" s="8"/>
      <x:c r="L1186" s="8"/>
      <x:c r="M1186" s="10"/>
      <x:c r="N1186" s="10"/>
      <x:c r="O1186" s="8"/>
      <x:c r="P1186" s="9" t="str">
        <x:f>IF(C1186="","",IF(AND(G1186="Applicable",H1186="Fail"),"Fail",IF(R1186&lt;&gt;"Valid","Pending",IF(OR(I1186="",K1186="",L1186="",K1186=L1186,NOT(ISNUMBER(M1186)),NOT(ISNUMBER(N1186)),M1186&gt;Settings!$F$8,N1186&lt;Settings!$F$8,N1186&lt;M1186),"Pending",IF(AND(G1186="Applicable",H1186="Pass"),"Pass",IF(AND(G1186="N/A",H1186="N/A",J1186&lt;&gt;"",OR(E1186="CEM-FUELS",E1186="CEM-CCS",AND(E1186="CEM-PLAN",IFERROR(INDEX('Taxonomy'!$M$9:$M$108,MATCH(D1186,'Taxonomy'!$C$9:$C$108,0)),"")&lt;&gt;"Amber"),E1186="BLD-TIMBER",AND(U1186="Building equipment",OR(E1186="BLD-WATER",E1186="BLD-WASTE",E1186="BLD-LAND")),AND(U1186="Building renovation",E1186="BLD-LAND"))),"N/A","Pending"))))))</x:f>
      </x:c>
      <x:c r="Q1186" s="3" t="str">
        <x:f>IF(C1186="","",IF(AND(R1186="Valid",OR(P1186="Pass",P1186="N/A")),"Complete","Unresolved"))</x:f>
      </x:c>
      <x:c r="R1186" s="9" t="str">
        <x:f>IF(C1186="","",IF(OR(COUNTIF($C$9:$C$2008,C1186)&lt;&gt;1,COUNTIFS($D$9:$D$2008,D1186,$E$9:$E$2008,E1186)&lt;&gt;1),"Duplicate test",IF(COUNTIF('Taxonomy'!$C$9:$C$108,D1186)&lt;&gt;1,"Assessment key",IF(OR(COUNTIF('Taxonomy Rules'!$C$42:$C$68,E1186)&lt;&gt;1,F1186&lt;&gt;IFERROR(INDEX('Taxonomy Rules'!$D$42:$D$68,MATCH(E1186,'Taxonomy Rules'!$C$42:$C$68,0)),""),NOT(OR(IFERROR(INDEX('Taxonomy Rules'!$G$42:$G$68,MATCH(E1186,'Taxonomy Rules'!$C$42:$C$68,0)),"")="All supported routes",IFERROR(INDEX('Taxonomy Rules'!$G$42:$G$68,MATCH(E1186,'Taxonomy Rules'!$C$42:$C$68,0)),"")=U1186,AND(IFERROR(INDEX('Taxonomy Rules'!$G$42:$G$68,MATCH(E1186,'Taxonomy Rules'!$C$42:$C$68,0)),"")="Building routes",OR(U1186="Building renovation",U1186="New building",U1186="Building equipment"))))),"Unexpected test","Valid"))))</x:f>
      </x:c>
      <x:c r="S1186" s="9" t="str">
        <x:f>IF(C1186="","",IFERROR(INDEX('Taxonomy Rules'!$E$42:$E$68,MATCH(E1186,'Taxonomy Rules'!$C$42:$C$68,0)),""))</x:f>
      </x:c>
      <x:c r="T1186" s="9" t="str">
        <x:f>IF(C1186="","",IFERROR(INDEX('Taxonomy Rules'!$F$42:$F$68,MATCH(E1186,'Taxonomy Rules'!$C$42:$C$68,0)),""))</x:f>
      </x:c>
      <x:c r="U1186" s="9" t="str">
        <x:f>IF(C1186="","",IFERROR(INDEX('Taxonomy'!$G$9:$G$108,MATCH(D1186,'Taxonomy'!$C$9:$C$108,0)),""))</x:f>
      </x:c>
    </x:row>
    <x:row r="1187" ht="44" customHeight="1">
      <x:c r="A1187" s="1"/>
      <x:c r="B1187" s="1"/>
      <x:c r="C1187" s="8"/>
      <x:c r="D1187" s="8"/>
      <x:c r="E1187" s="8"/>
      <x:c r="F1187" s="8"/>
      <x:c r="G1187" s="8"/>
      <x:c r="H1187" s="8"/>
      <x:c r="I1187" s="8"/>
      <x:c r="J1187" s="8"/>
      <x:c r="K1187" s="8"/>
      <x:c r="L1187" s="8"/>
      <x:c r="M1187" s="10"/>
      <x:c r="N1187" s="10"/>
      <x:c r="O1187" s="8"/>
      <x:c r="P1187" s="9" t="str">
        <x:f>IF(C1187="","",IF(AND(G1187="Applicable",H1187="Fail"),"Fail",IF(R1187&lt;&gt;"Valid","Pending",IF(OR(I1187="",K1187="",L1187="",K1187=L1187,NOT(ISNUMBER(M1187)),NOT(ISNUMBER(N1187)),M1187&gt;Settings!$F$8,N1187&lt;Settings!$F$8,N1187&lt;M1187),"Pending",IF(AND(G1187="Applicable",H1187="Pass"),"Pass",IF(AND(G1187="N/A",H1187="N/A",J1187&lt;&gt;"",OR(E1187="CEM-FUELS",E1187="CEM-CCS",AND(E1187="CEM-PLAN",IFERROR(INDEX('Taxonomy'!$M$9:$M$108,MATCH(D1187,'Taxonomy'!$C$9:$C$108,0)),"")&lt;&gt;"Amber"),E1187="BLD-TIMBER",AND(U1187="Building equipment",OR(E1187="BLD-WATER",E1187="BLD-WASTE",E1187="BLD-LAND")),AND(U1187="Building renovation",E1187="BLD-LAND"))),"N/A","Pending"))))))</x:f>
      </x:c>
      <x:c r="Q1187" s="3" t="str">
        <x:f>IF(C1187="","",IF(AND(R1187="Valid",OR(P1187="Pass",P1187="N/A")),"Complete","Unresolved"))</x:f>
      </x:c>
      <x:c r="R1187" s="9" t="str">
        <x:f>IF(C1187="","",IF(OR(COUNTIF($C$9:$C$2008,C1187)&lt;&gt;1,COUNTIFS($D$9:$D$2008,D1187,$E$9:$E$2008,E1187)&lt;&gt;1),"Duplicate test",IF(COUNTIF('Taxonomy'!$C$9:$C$108,D1187)&lt;&gt;1,"Assessment key",IF(OR(COUNTIF('Taxonomy Rules'!$C$42:$C$68,E1187)&lt;&gt;1,F1187&lt;&gt;IFERROR(INDEX('Taxonomy Rules'!$D$42:$D$68,MATCH(E1187,'Taxonomy Rules'!$C$42:$C$68,0)),""),NOT(OR(IFERROR(INDEX('Taxonomy Rules'!$G$42:$G$68,MATCH(E1187,'Taxonomy Rules'!$C$42:$C$68,0)),"")="All supported routes",IFERROR(INDEX('Taxonomy Rules'!$G$42:$G$68,MATCH(E1187,'Taxonomy Rules'!$C$42:$C$68,0)),"")=U1187,AND(IFERROR(INDEX('Taxonomy Rules'!$G$42:$G$68,MATCH(E1187,'Taxonomy Rules'!$C$42:$C$68,0)),"")="Building routes",OR(U1187="Building renovation",U1187="New building",U1187="Building equipment"))))),"Unexpected test","Valid"))))</x:f>
      </x:c>
      <x:c r="S1187" s="9" t="str">
        <x:f>IF(C1187="","",IFERROR(INDEX('Taxonomy Rules'!$E$42:$E$68,MATCH(E1187,'Taxonomy Rules'!$C$42:$C$68,0)),""))</x:f>
      </x:c>
      <x:c r="T1187" s="9" t="str">
        <x:f>IF(C1187="","",IFERROR(INDEX('Taxonomy Rules'!$F$42:$F$68,MATCH(E1187,'Taxonomy Rules'!$C$42:$C$68,0)),""))</x:f>
      </x:c>
      <x:c r="U1187" s="9" t="str">
        <x:f>IF(C1187="","",IFERROR(INDEX('Taxonomy'!$G$9:$G$108,MATCH(D1187,'Taxonomy'!$C$9:$C$108,0)),""))</x:f>
      </x:c>
    </x:row>
    <x:row r="1188" ht="44" customHeight="1">
      <x:c r="A1188" s="1"/>
      <x:c r="B1188" s="1"/>
      <x:c r="C1188" s="8"/>
      <x:c r="D1188" s="8"/>
      <x:c r="E1188" s="8"/>
      <x:c r="F1188" s="8"/>
      <x:c r="G1188" s="8"/>
      <x:c r="H1188" s="8"/>
      <x:c r="I1188" s="8"/>
      <x:c r="J1188" s="8"/>
      <x:c r="K1188" s="8"/>
      <x:c r="L1188" s="8"/>
      <x:c r="M1188" s="10"/>
      <x:c r="N1188" s="10"/>
      <x:c r="O1188" s="8"/>
      <x:c r="P1188" s="9" t="str">
        <x:f>IF(C1188="","",IF(AND(G1188="Applicable",H1188="Fail"),"Fail",IF(R1188&lt;&gt;"Valid","Pending",IF(OR(I1188="",K1188="",L1188="",K1188=L1188,NOT(ISNUMBER(M1188)),NOT(ISNUMBER(N1188)),M1188&gt;Settings!$F$8,N1188&lt;Settings!$F$8,N1188&lt;M1188),"Pending",IF(AND(G1188="Applicable",H1188="Pass"),"Pass",IF(AND(G1188="N/A",H1188="N/A",J1188&lt;&gt;"",OR(E1188="CEM-FUELS",E1188="CEM-CCS",AND(E1188="CEM-PLAN",IFERROR(INDEX('Taxonomy'!$M$9:$M$108,MATCH(D1188,'Taxonomy'!$C$9:$C$108,0)),"")&lt;&gt;"Amber"),E1188="BLD-TIMBER",AND(U1188="Building equipment",OR(E1188="BLD-WATER",E1188="BLD-WASTE",E1188="BLD-LAND")),AND(U1188="Building renovation",E1188="BLD-LAND"))),"N/A","Pending"))))))</x:f>
      </x:c>
      <x:c r="Q1188" s="3" t="str">
        <x:f>IF(C1188="","",IF(AND(R1188="Valid",OR(P1188="Pass",P1188="N/A")),"Complete","Unresolved"))</x:f>
      </x:c>
      <x:c r="R1188" s="9" t="str">
        <x:f>IF(C1188="","",IF(OR(COUNTIF($C$9:$C$2008,C1188)&lt;&gt;1,COUNTIFS($D$9:$D$2008,D1188,$E$9:$E$2008,E1188)&lt;&gt;1),"Duplicate test",IF(COUNTIF('Taxonomy'!$C$9:$C$108,D1188)&lt;&gt;1,"Assessment key",IF(OR(COUNTIF('Taxonomy Rules'!$C$42:$C$68,E1188)&lt;&gt;1,F1188&lt;&gt;IFERROR(INDEX('Taxonomy Rules'!$D$42:$D$68,MATCH(E1188,'Taxonomy Rules'!$C$42:$C$68,0)),""),NOT(OR(IFERROR(INDEX('Taxonomy Rules'!$G$42:$G$68,MATCH(E1188,'Taxonomy Rules'!$C$42:$C$68,0)),"")="All supported routes",IFERROR(INDEX('Taxonomy Rules'!$G$42:$G$68,MATCH(E1188,'Taxonomy Rules'!$C$42:$C$68,0)),"")=U1188,AND(IFERROR(INDEX('Taxonomy Rules'!$G$42:$G$68,MATCH(E1188,'Taxonomy Rules'!$C$42:$C$68,0)),"")="Building routes",OR(U1188="Building renovation",U1188="New building",U1188="Building equipment"))))),"Unexpected test","Valid"))))</x:f>
      </x:c>
      <x:c r="S1188" s="9" t="str">
        <x:f>IF(C1188="","",IFERROR(INDEX('Taxonomy Rules'!$E$42:$E$68,MATCH(E1188,'Taxonomy Rules'!$C$42:$C$68,0)),""))</x:f>
      </x:c>
      <x:c r="T1188" s="9" t="str">
        <x:f>IF(C1188="","",IFERROR(INDEX('Taxonomy Rules'!$F$42:$F$68,MATCH(E1188,'Taxonomy Rules'!$C$42:$C$68,0)),""))</x:f>
      </x:c>
      <x:c r="U1188" s="9" t="str">
        <x:f>IF(C1188="","",IFERROR(INDEX('Taxonomy'!$G$9:$G$108,MATCH(D1188,'Taxonomy'!$C$9:$C$108,0)),""))</x:f>
      </x:c>
    </x:row>
    <x:row r="1189" ht="44" customHeight="1">
      <x:c r="A1189" s="1"/>
      <x:c r="B1189" s="1"/>
      <x:c r="C1189" s="8"/>
      <x:c r="D1189" s="8"/>
      <x:c r="E1189" s="8"/>
      <x:c r="F1189" s="8"/>
      <x:c r="G1189" s="8"/>
      <x:c r="H1189" s="8"/>
      <x:c r="I1189" s="8"/>
      <x:c r="J1189" s="8"/>
      <x:c r="K1189" s="8"/>
      <x:c r="L1189" s="8"/>
      <x:c r="M1189" s="10"/>
      <x:c r="N1189" s="10"/>
      <x:c r="O1189" s="8"/>
      <x:c r="P1189" s="9" t="str">
        <x:f>IF(C1189="","",IF(AND(G1189="Applicable",H1189="Fail"),"Fail",IF(R1189&lt;&gt;"Valid","Pending",IF(OR(I1189="",K1189="",L1189="",K1189=L1189,NOT(ISNUMBER(M1189)),NOT(ISNUMBER(N1189)),M1189&gt;Settings!$F$8,N1189&lt;Settings!$F$8,N1189&lt;M1189),"Pending",IF(AND(G1189="Applicable",H1189="Pass"),"Pass",IF(AND(G1189="N/A",H1189="N/A",J1189&lt;&gt;"",OR(E1189="CEM-FUELS",E1189="CEM-CCS",AND(E1189="CEM-PLAN",IFERROR(INDEX('Taxonomy'!$M$9:$M$108,MATCH(D1189,'Taxonomy'!$C$9:$C$108,0)),"")&lt;&gt;"Amber"),E1189="BLD-TIMBER",AND(U1189="Building equipment",OR(E1189="BLD-WATER",E1189="BLD-WASTE",E1189="BLD-LAND")),AND(U1189="Building renovation",E1189="BLD-LAND"))),"N/A","Pending"))))))</x:f>
      </x:c>
      <x:c r="Q1189" s="3" t="str">
        <x:f>IF(C1189="","",IF(AND(R1189="Valid",OR(P1189="Pass",P1189="N/A")),"Complete","Unresolved"))</x:f>
      </x:c>
      <x:c r="R1189" s="9" t="str">
        <x:f>IF(C1189="","",IF(OR(COUNTIF($C$9:$C$2008,C1189)&lt;&gt;1,COUNTIFS($D$9:$D$2008,D1189,$E$9:$E$2008,E1189)&lt;&gt;1),"Duplicate test",IF(COUNTIF('Taxonomy'!$C$9:$C$108,D1189)&lt;&gt;1,"Assessment key",IF(OR(COUNTIF('Taxonomy Rules'!$C$42:$C$68,E1189)&lt;&gt;1,F1189&lt;&gt;IFERROR(INDEX('Taxonomy Rules'!$D$42:$D$68,MATCH(E1189,'Taxonomy Rules'!$C$42:$C$68,0)),""),NOT(OR(IFERROR(INDEX('Taxonomy Rules'!$G$42:$G$68,MATCH(E1189,'Taxonomy Rules'!$C$42:$C$68,0)),"")="All supported routes",IFERROR(INDEX('Taxonomy Rules'!$G$42:$G$68,MATCH(E1189,'Taxonomy Rules'!$C$42:$C$68,0)),"")=U1189,AND(IFERROR(INDEX('Taxonomy Rules'!$G$42:$G$68,MATCH(E1189,'Taxonomy Rules'!$C$42:$C$68,0)),"")="Building routes",OR(U1189="Building renovation",U1189="New building",U1189="Building equipment"))))),"Unexpected test","Valid"))))</x:f>
      </x:c>
      <x:c r="S1189" s="9" t="str">
        <x:f>IF(C1189="","",IFERROR(INDEX('Taxonomy Rules'!$E$42:$E$68,MATCH(E1189,'Taxonomy Rules'!$C$42:$C$68,0)),""))</x:f>
      </x:c>
      <x:c r="T1189" s="9" t="str">
        <x:f>IF(C1189="","",IFERROR(INDEX('Taxonomy Rules'!$F$42:$F$68,MATCH(E1189,'Taxonomy Rules'!$C$42:$C$68,0)),""))</x:f>
      </x:c>
      <x:c r="U1189" s="9" t="str">
        <x:f>IF(C1189="","",IFERROR(INDEX('Taxonomy'!$G$9:$G$108,MATCH(D1189,'Taxonomy'!$C$9:$C$108,0)),""))</x:f>
      </x:c>
    </x:row>
    <x:row r="1190" ht="44" customHeight="1">
      <x:c r="A1190" s="1"/>
      <x:c r="B1190" s="1"/>
      <x:c r="C1190" s="8"/>
      <x:c r="D1190" s="8"/>
      <x:c r="E1190" s="8"/>
      <x:c r="F1190" s="8"/>
      <x:c r="G1190" s="8"/>
      <x:c r="H1190" s="8"/>
      <x:c r="I1190" s="8"/>
      <x:c r="J1190" s="8"/>
      <x:c r="K1190" s="8"/>
      <x:c r="L1190" s="8"/>
      <x:c r="M1190" s="10"/>
      <x:c r="N1190" s="10"/>
      <x:c r="O1190" s="8"/>
      <x:c r="P1190" s="9" t="str">
        <x:f>IF(C1190="","",IF(AND(G1190="Applicable",H1190="Fail"),"Fail",IF(R1190&lt;&gt;"Valid","Pending",IF(OR(I1190="",K1190="",L1190="",K1190=L1190,NOT(ISNUMBER(M1190)),NOT(ISNUMBER(N1190)),M1190&gt;Settings!$F$8,N1190&lt;Settings!$F$8,N1190&lt;M1190),"Pending",IF(AND(G1190="Applicable",H1190="Pass"),"Pass",IF(AND(G1190="N/A",H1190="N/A",J1190&lt;&gt;"",OR(E1190="CEM-FUELS",E1190="CEM-CCS",AND(E1190="CEM-PLAN",IFERROR(INDEX('Taxonomy'!$M$9:$M$108,MATCH(D1190,'Taxonomy'!$C$9:$C$108,0)),"")&lt;&gt;"Amber"),E1190="BLD-TIMBER",AND(U1190="Building equipment",OR(E1190="BLD-WATER",E1190="BLD-WASTE",E1190="BLD-LAND")),AND(U1190="Building renovation",E1190="BLD-LAND"))),"N/A","Pending"))))))</x:f>
      </x:c>
      <x:c r="Q1190" s="3" t="str">
        <x:f>IF(C1190="","",IF(AND(R1190="Valid",OR(P1190="Pass",P1190="N/A")),"Complete","Unresolved"))</x:f>
      </x:c>
      <x:c r="R1190" s="9" t="str">
        <x:f>IF(C1190="","",IF(OR(COUNTIF($C$9:$C$2008,C1190)&lt;&gt;1,COUNTIFS($D$9:$D$2008,D1190,$E$9:$E$2008,E1190)&lt;&gt;1),"Duplicate test",IF(COUNTIF('Taxonomy'!$C$9:$C$108,D1190)&lt;&gt;1,"Assessment key",IF(OR(COUNTIF('Taxonomy Rules'!$C$42:$C$68,E1190)&lt;&gt;1,F1190&lt;&gt;IFERROR(INDEX('Taxonomy Rules'!$D$42:$D$68,MATCH(E1190,'Taxonomy Rules'!$C$42:$C$68,0)),""),NOT(OR(IFERROR(INDEX('Taxonomy Rules'!$G$42:$G$68,MATCH(E1190,'Taxonomy Rules'!$C$42:$C$68,0)),"")="All supported routes",IFERROR(INDEX('Taxonomy Rules'!$G$42:$G$68,MATCH(E1190,'Taxonomy Rules'!$C$42:$C$68,0)),"")=U1190,AND(IFERROR(INDEX('Taxonomy Rules'!$G$42:$G$68,MATCH(E1190,'Taxonomy Rules'!$C$42:$C$68,0)),"")="Building routes",OR(U1190="Building renovation",U1190="New building",U1190="Building equipment"))))),"Unexpected test","Valid"))))</x:f>
      </x:c>
      <x:c r="S1190" s="9" t="str">
        <x:f>IF(C1190="","",IFERROR(INDEX('Taxonomy Rules'!$E$42:$E$68,MATCH(E1190,'Taxonomy Rules'!$C$42:$C$68,0)),""))</x:f>
      </x:c>
      <x:c r="T1190" s="9" t="str">
        <x:f>IF(C1190="","",IFERROR(INDEX('Taxonomy Rules'!$F$42:$F$68,MATCH(E1190,'Taxonomy Rules'!$C$42:$C$68,0)),""))</x:f>
      </x:c>
      <x:c r="U1190" s="9" t="str">
        <x:f>IF(C1190="","",IFERROR(INDEX('Taxonomy'!$G$9:$G$108,MATCH(D1190,'Taxonomy'!$C$9:$C$108,0)),""))</x:f>
      </x:c>
    </x:row>
    <x:row r="1191" ht="44" customHeight="1">
      <x:c r="A1191" s="1"/>
      <x:c r="B1191" s="1"/>
      <x:c r="C1191" s="8"/>
      <x:c r="D1191" s="8"/>
      <x:c r="E1191" s="8"/>
      <x:c r="F1191" s="8"/>
      <x:c r="G1191" s="8"/>
      <x:c r="H1191" s="8"/>
      <x:c r="I1191" s="8"/>
      <x:c r="J1191" s="8"/>
      <x:c r="K1191" s="8"/>
      <x:c r="L1191" s="8"/>
      <x:c r="M1191" s="10"/>
      <x:c r="N1191" s="10"/>
      <x:c r="O1191" s="8"/>
      <x:c r="P1191" s="9" t="str">
        <x:f>IF(C1191="","",IF(AND(G1191="Applicable",H1191="Fail"),"Fail",IF(R1191&lt;&gt;"Valid","Pending",IF(OR(I1191="",K1191="",L1191="",K1191=L1191,NOT(ISNUMBER(M1191)),NOT(ISNUMBER(N1191)),M1191&gt;Settings!$F$8,N1191&lt;Settings!$F$8,N1191&lt;M1191),"Pending",IF(AND(G1191="Applicable",H1191="Pass"),"Pass",IF(AND(G1191="N/A",H1191="N/A",J1191&lt;&gt;"",OR(E1191="CEM-FUELS",E1191="CEM-CCS",AND(E1191="CEM-PLAN",IFERROR(INDEX('Taxonomy'!$M$9:$M$108,MATCH(D1191,'Taxonomy'!$C$9:$C$108,0)),"")&lt;&gt;"Amber"),E1191="BLD-TIMBER",AND(U1191="Building equipment",OR(E1191="BLD-WATER",E1191="BLD-WASTE",E1191="BLD-LAND")),AND(U1191="Building renovation",E1191="BLD-LAND"))),"N/A","Pending"))))))</x:f>
      </x:c>
      <x:c r="Q1191" s="3" t="str">
        <x:f>IF(C1191="","",IF(AND(R1191="Valid",OR(P1191="Pass",P1191="N/A")),"Complete","Unresolved"))</x:f>
      </x:c>
      <x:c r="R1191" s="9" t="str">
        <x:f>IF(C1191="","",IF(OR(COUNTIF($C$9:$C$2008,C1191)&lt;&gt;1,COUNTIFS($D$9:$D$2008,D1191,$E$9:$E$2008,E1191)&lt;&gt;1),"Duplicate test",IF(COUNTIF('Taxonomy'!$C$9:$C$108,D1191)&lt;&gt;1,"Assessment key",IF(OR(COUNTIF('Taxonomy Rules'!$C$42:$C$68,E1191)&lt;&gt;1,F1191&lt;&gt;IFERROR(INDEX('Taxonomy Rules'!$D$42:$D$68,MATCH(E1191,'Taxonomy Rules'!$C$42:$C$68,0)),""),NOT(OR(IFERROR(INDEX('Taxonomy Rules'!$G$42:$G$68,MATCH(E1191,'Taxonomy Rules'!$C$42:$C$68,0)),"")="All supported routes",IFERROR(INDEX('Taxonomy Rules'!$G$42:$G$68,MATCH(E1191,'Taxonomy Rules'!$C$42:$C$68,0)),"")=U1191,AND(IFERROR(INDEX('Taxonomy Rules'!$G$42:$G$68,MATCH(E1191,'Taxonomy Rules'!$C$42:$C$68,0)),"")="Building routes",OR(U1191="Building renovation",U1191="New building",U1191="Building equipment"))))),"Unexpected test","Valid"))))</x:f>
      </x:c>
      <x:c r="S1191" s="9" t="str">
        <x:f>IF(C1191="","",IFERROR(INDEX('Taxonomy Rules'!$E$42:$E$68,MATCH(E1191,'Taxonomy Rules'!$C$42:$C$68,0)),""))</x:f>
      </x:c>
      <x:c r="T1191" s="9" t="str">
        <x:f>IF(C1191="","",IFERROR(INDEX('Taxonomy Rules'!$F$42:$F$68,MATCH(E1191,'Taxonomy Rules'!$C$42:$C$68,0)),""))</x:f>
      </x:c>
      <x:c r="U1191" s="9" t="str">
        <x:f>IF(C1191="","",IFERROR(INDEX('Taxonomy'!$G$9:$G$108,MATCH(D1191,'Taxonomy'!$C$9:$C$108,0)),""))</x:f>
      </x:c>
    </x:row>
    <x:row r="1192" ht="44" customHeight="1">
      <x:c r="A1192" s="1"/>
      <x:c r="B1192" s="1"/>
      <x:c r="C1192" s="8"/>
      <x:c r="D1192" s="8"/>
      <x:c r="E1192" s="8"/>
      <x:c r="F1192" s="8"/>
      <x:c r="G1192" s="8"/>
      <x:c r="H1192" s="8"/>
      <x:c r="I1192" s="8"/>
      <x:c r="J1192" s="8"/>
      <x:c r="K1192" s="8"/>
      <x:c r="L1192" s="8"/>
      <x:c r="M1192" s="10"/>
      <x:c r="N1192" s="10"/>
      <x:c r="O1192" s="8"/>
      <x:c r="P1192" s="9" t="str">
        <x:f>IF(C1192="","",IF(AND(G1192="Applicable",H1192="Fail"),"Fail",IF(R1192&lt;&gt;"Valid","Pending",IF(OR(I1192="",K1192="",L1192="",K1192=L1192,NOT(ISNUMBER(M1192)),NOT(ISNUMBER(N1192)),M1192&gt;Settings!$F$8,N1192&lt;Settings!$F$8,N1192&lt;M1192),"Pending",IF(AND(G1192="Applicable",H1192="Pass"),"Pass",IF(AND(G1192="N/A",H1192="N/A",J1192&lt;&gt;"",OR(E1192="CEM-FUELS",E1192="CEM-CCS",AND(E1192="CEM-PLAN",IFERROR(INDEX('Taxonomy'!$M$9:$M$108,MATCH(D1192,'Taxonomy'!$C$9:$C$108,0)),"")&lt;&gt;"Amber"),E1192="BLD-TIMBER",AND(U1192="Building equipment",OR(E1192="BLD-WATER",E1192="BLD-WASTE",E1192="BLD-LAND")),AND(U1192="Building renovation",E1192="BLD-LAND"))),"N/A","Pending"))))))</x:f>
      </x:c>
      <x:c r="Q1192" s="3" t="str">
        <x:f>IF(C1192="","",IF(AND(R1192="Valid",OR(P1192="Pass",P1192="N/A")),"Complete","Unresolved"))</x:f>
      </x:c>
      <x:c r="R1192" s="9" t="str">
        <x:f>IF(C1192="","",IF(OR(COUNTIF($C$9:$C$2008,C1192)&lt;&gt;1,COUNTIFS($D$9:$D$2008,D1192,$E$9:$E$2008,E1192)&lt;&gt;1),"Duplicate test",IF(COUNTIF('Taxonomy'!$C$9:$C$108,D1192)&lt;&gt;1,"Assessment key",IF(OR(COUNTIF('Taxonomy Rules'!$C$42:$C$68,E1192)&lt;&gt;1,F1192&lt;&gt;IFERROR(INDEX('Taxonomy Rules'!$D$42:$D$68,MATCH(E1192,'Taxonomy Rules'!$C$42:$C$68,0)),""),NOT(OR(IFERROR(INDEX('Taxonomy Rules'!$G$42:$G$68,MATCH(E1192,'Taxonomy Rules'!$C$42:$C$68,0)),"")="All supported routes",IFERROR(INDEX('Taxonomy Rules'!$G$42:$G$68,MATCH(E1192,'Taxonomy Rules'!$C$42:$C$68,0)),"")=U1192,AND(IFERROR(INDEX('Taxonomy Rules'!$G$42:$G$68,MATCH(E1192,'Taxonomy Rules'!$C$42:$C$68,0)),"")="Building routes",OR(U1192="Building renovation",U1192="New building",U1192="Building equipment"))))),"Unexpected test","Valid"))))</x:f>
      </x:c>
      <x:c r="S1192" s="9" t="str">
        <x:f>IF(C1192="","",IFERROR(INDEX('Taxonomy Rules'!$E$42:$E$68,MATCH(E1192,'Taxonomy Rules'!$C$42:$C$68,0)),""))</x:f>
      </x:c>
      <x:c r="T1192" s="9" t="str">
        <x:f>IF(C1192="","",IFERROR(INDEX('Taxonomy Rules'!$F$42:$F$68,MATCH(E1192,'Taxonomy Rules'!$C$42:$C$68,0)),""))</x:f>
      </x:c>
      <x:c r="U1192" s="9" t="str">
        <x:f>IF(C1192="","",IFERROR(INDEX('Taxonomy'!$G$9:$G$108,MATCH(D1192,'Taxonomy'!$C$9:$C$108,0)),""))</x:f>
      </x:c>
    </x:row>
    <x:row r="1193" ht="44" customHeight="1">
      <x:c r="A1193" s="1"/>
      <x:c r="B1193" s="1"/>
      <x:c r="C1193" s="8"/>
      <x:c r="D1193" s="8"/>
      <x:c r="E1193" s="8"/>
      <x:c r="F1193" s="8"/>
      <x:c r="G1193" s="8"/>
      <x:c r="H1193" s="8"/>
      <x:c r="I1193" s="8"/>
      <x:c r="J1193" s="8"/>
      <x:c r="K1193" s="8"/>
      <x:c r="L1193" s="8"/>
      <x:c r="M1193" s="10"/>
      <x:c r="N1193" s="10"/>
      <x:c r="O1193" s="8"/>
      <x:c r="P1193" s="9" t="str">
        <x:f>IF(C1193="","",IF(AND(G1193="Applicable",H1193="Fail"),"Fail",IF(R1193&lt;&gt;"Valid","Pending",IF(OR(I1193="",K1193="",L1193="",K1193=L1193,NOT(ISNUMBER(M1193)),NOT(ISNUMBER(N1193)),M1193&gt;Settings!$F$8,N1193&lt;Settings!$F$8,N1193&lt;M1193),"Pending",IF(AND(G1193="Applicable",H1193="Pass"),"Pass",IF(AND(G1193="N/A",H1193="N/A",J1193&lt;&gt;"",OR(E1193="CEM-FUELS",E1193="CEM-CCS",AND(E1193="CEM-PLAN",IFERROR(INDEX('Taxonomy'!$M$9:$M$108,MATCH(D1193,'Taxonomy'!$C$9:$C$108,0)),"")&lt;&gt;"Amber"),E1193="BLD-TIMBER",AND(U1193="Building equipment",OR(E1193="BLD-WATER",E1193="BLD-WASTE",E1193="BLD-LAND")),AND(U1193="Building renovation",E1193="BLD-LAND"))),"N/A","Pending"))))))</x:f>
      </x:c>
      <x:c r="Q1193" s="3" t="str">
        <x:f>IF(C1193="","",IF(AND(R1193="Valid",OR(P1193="Pass",P1193="N/A")),"Complete","Unresolved"))</x:f>
      </x:c>
      <x:c r="R1193" s="9" t="str">
        <x:f>IF(C1193="","",IF(OR(COUNTIF($C$9:$C$2008,C1193)&lt;&gt;1,COUNTIFS($D$9:$D$2008,D1193,$E$9:$E$2008,E1193)&lt;&gt;1),"Duplicate test",IF(COUNTIF('Taxonomy'!$C$9:$C$108,D1193)&lt;&gt;1,"Assessment key",IF(OR(COUNTIF('Taxonomy Rules'!$C$42:$C$68,E1193)&lt;&gt;1,F1193&lt;&gt;IFERROR(INDEX('Taxonomy Rules'!$D$42:$D$68,MATCH(E1193,'Taxonomy Rules'!$C$42:$C$68,0)),""),NOT(OR(IFERROR(INDEX('Taxonomy Rules'!$G$42:$G$68,MATCH(E1193,'Taxonomy Rules'!$C$42:$C$68,0)),"")="All supported routes",IFERROR(INDEX('Taxonomy Rules'!$G$42:$G$68,MATCH(E1193,'Taxonomy Rules'!$C$42:$C$68,0)),"")=U1193,AND(IFERROR(INDEX('Taxonomy Rules'!$G$42:$G$68,MATCH(E1193,'Taxonomy Rules'!$C$42:$C$68,0)),"")="Building routes",OR(U1193="Building renovation",U1193="New building",U1193="Building equipment"))))),"Unexpected test","Valid"))))</x:f>
      </x:c>
      <x:c r="S1193" s="9" t="str">
        <x:f>IF(C1193="","",IFERROR(INDEX('Taxonomy Rules'!$E$42:$E$68,MATCH(E1193,'Taxonomy Rules'!$C$42:$C$68,0)),""))</x:f>
      </x:c>
      <x:c r="T1193" s="9" t="str">
        <x:f>IF(C1193="","",IFERROR(INDEX('Taxonomy Rules'!$F$42:$F$68,MATCH(E1193,'Taxonomy Rules'!$C$42:$C$68,0)),""))</x:f>
      </x:c>
      <x:c r="U1193" s="9" t="str">
        <x:f>IF(C1193="","",IFERROR(INDEX('Taxonomy'!$G$9:$G$108,MATCH(D1193,'Taxonomy'!$C$9:$C$108,0)),""))</x:f>
      </x:c>
    </x:row>
    <x:row r="1194" ht="44" customHeight="1">
      <x:c r="A1194" s="1"/>
      <x:c r="B1194" s="1"/>
      <x:c r="C1194" s="8"/>
      <x:c r="D1194" s="8"/>
      <x:c r="E1194" s="8"/>
      <x:c r="F1194" s="8"/>
      <x:c r="G1194" s="8"/>
      <x:c r="H1194" s="8"/>
      <x:c r="I1194" s="8"/>
      <x:c r="J1194" s="8"/>
      <x:c r="K1194" s="8"/>
      <x:c r="L1194" s="8"/>
      <x:c r="M1194" s="10"/>
      <x:c r="N1194" s="10"/>
      <x:c r="O1194" s="8"/>
      <x:c r="P1194" s="9" t="str">
        <x:f>IF(C1194="","",IF(AND(G1194="Applicable",H1194="Fail"),"Fail",IF(R1194&lt;&gt;"Valid","Pending",IF(OR(I1194="",K1194="",L1194="",K1194=L1194,NOT(ISNUMBER(M1194)),NOT(ISNUMBER(N1194)),M1194&gt;Settings!$F$8,N1194&lt;Settings!$F$8,N1194&lt;M1194),"Pending",IF(AND(G1194="Applicable",H1194="Pass"),"Pass",IF(AND(G1194="N/A",H1194="N/A",J1194&lt;&gt;"",OR(E1194="CEM-FUELS",E1194="CEM-CCS",AND(E1194="CEM-PLAN",IFERROR(INDEX('Taxonomy'!$M$9:$M$108,MATCH(D1194,'Taxonomy'!$C$9:$C$108,0)),"")&lt;&gt;"Amber"),E1194="BLD-TIMBER",AND(U1194="Building equipment",OR(E1194="BLD-WATER",E1194="BLD-WASTE",E1194="BLD-LAND")),AND(U1194="Building renovation",E1194="BLD-LAND"))),"N/A","Pending"))))))</x:f>
      </x:c>
      <x:c r="Q1194" s="3" t="str">
        <x:f>IF(C1194="","",IF(AND(R1194="Valid",OR(P1194="Pass",P1194="N/A")),"Complete","Unresolved"))</x:f>
      </x:c>
      <x:c r="R1194" s="9" t="str">
        <x:f>IF(C1194="","",IF(OR(COUNTIF($C$9:$C$2008,C1194)&lt;&gt;1,COUNTIFS($D$9:$D$2008,D1194,$E$9:$E$2008,E1194)&lt;&gt;1),"Duplicate test",IF(COUNTIF('Taxonomy'!$C$9:$C$108,D1194)&lt;&gt;1,"Assessment key",IF(OR(COUNTIF('Taxonomy Rules'!$C$42:$C$68,E1194)&lt;&gt;1,F1194&lt;&gt;IFERROR(INDEX('Taxonomy Rules'!$D$42:$D$68,MATCH(E1194,'Taxonomy Rules'!$C$42:$C$68,0)),""),NOT(OR(IFERROR(INDEX('Taxonomy Rules'!$G$42:$G$68,MATCH(E1194,'Taxonomy Rules'!$C$42:$C$68,0)),"")="All supported routes",IFERROR(INDEX('Taxonomy Rules'!$G$42:$G$68,MATCH(E1194,'Taxonomy Rules'!$C$42:$C$68,0)),"")=U1194,AND(IFERROR(INDEX('Taxonomy Rules'!$G$42:$G$68,MATCH(E1194,'Taxonomy Rules'!$C$42:$C$68,0)),"")="Building routes",OR(U1194="Building renovation",U1194="New building",U1194="Building equipment"))))),"Unexpected test","Valid"))))</x:f>
      </x:c>
      <x:c r="S1194" s="9" t="str">
        <x:f>IF(C1194="","",IFERROR(INDEX('Taxonomy Rules'!$E$42:$E$68,MATCH(E1194,'Taxonomy Rules'!$C$42:$C$68,0)),""))</x:f>
      </x:c>
      <x:c r="T1194" s="9" t="str">
        <x:f>IF(C1194="","",IFERROR(INDEX('Taxonomy Rules'!$F$42:$F$68,MATCH(E1194,'Taxonomy Rules'!$C$42:$C$68,0)),""))</x:f>
      </x:c>
      <x:c r="U1194" s="9" t="str">
        <x:f>IF(C1194="","",IFERROR(INDEX('Taxonomy'!$G$9:$G$108,MATCH(D1194,'Taxonomy'!$C$9:$C$108,0)),""))</x:f>
      </x:c>
    </x:row>
    <x:row r="1195" ht="44" customHeight="1">
      <x:c r="A1195" s="1"/>
      <x:c r="B1195" s="1"/>
      <x:c r="C1195" s="8"/>
      <x:c r="D1195" s="8"/>
      <x:c r="E1195" s="8"/>
      <x:c r="F1195" s="8"/>
      <x:c r="G1195" s="8"/>
      <x:c r="H1195" s="8"/>
      <x:c r="I1195" s="8"/>
      <x:c r="J1195" s="8"/>
      <x:c r="K1195" s="8"/>
      <x:c r="L1195" s="8"/>
      <x:c r="M1195" s="10"/>
      <x:c r="N1195" s="10"/>
      <x:c r="O1195" s="8"/>
      <x:c r="P1195" s="9" t="str">
        <x:f>IF(C1195="","",IF(AND(G1195="Applicable",H1195="Fail"),"Fail",IF(R1195&lt;&gt;"Valid","Pending",IF(OR(I1195="",K1195="",L1195="",K1195=L1195,NOT(ISNUMBER(M1195)),NOT(ISNUMBER(N1195)),M1195&gt;Settings!$F$8,N1195&lt;Settings!$F$8,N1195&lt;M1195),"Pending",IF(AND(G1195="Applicable",H1195="Pass"),"Pass",IF(AND(G1195="N/A",H1195="N/A",J1195&lt;&gt;"",OR(E1195="CEM-FUELS",E1195="CEM-CCS",AND(E1195="CEM-PLAN",IFERROR(INDEX('Taxonomy'!$M$9:$M$108,MATCH(D1195,'Taxonomy'!$C$9:$C$108,0)),"")&lt;&gt;"Amber"),E1195="BLD-TIMBER",AND(U1195="Building equipment",OR(E1195="BLD-WATER",E1195="BLD-WASTE",E1195="BLD-LAND")),AND(U1195="Building renovation",E1195="BLD-LAND"))),"N/A","Pending"))))))</x:f>
      </x:c>
      <x:c r="Q1195" s="3" t="str">
        <x:f>IF(C1195="","",IF(AND(R1195="Valid",OR(P1195="Pass",P1195="N/A")),"Complete","Unresolved"))</x:f>
      </x:c>
      <x:c r="R1195" s="9" t="str">
        <x:f>IF(C1195="","",IF(OR(COUNTIF($C$9:$C$2008,C1195)&lt;&gt;1,COUNTIFS($D$9:$D$2008,D1195,$E$9:$E$2008,E1195)&lt;&gt;1),"Duplicate test",IF(COUNTIF('Taxonomy'!$C$9:$C$108,D1195)&lt;&gt;1,"Assessment key",IF(OR(COUNTIF('Taxonomy Rules'!$C$42:$C$68,E1195)&lt;&gt;1,F1195&lt;&gt;IFERROR(INDEX('Taxonomy Rules'!$D$42:$D$68,MATCH(E1195,'Taxonomy Rules'!$C$42:$C$68,0)),""),NOT(OR(IFERROR(INDEX('Taxonomy Rules'!$G$42:$G$68,MATCH(E1195,'Taxonomy Rules'!$C$42:$C$68,0)),"")="All supported routes",IFERROR(INDEX('Taxonomy Rules'!$G$42:$G$68,MATCH(E1195,'Taxonomy Rules'!$C$42:$C$68,0)),"")=U1195,AND(IFERROR(INDEX('Taxonomy Rules'!$G$42:$G$68,MATCH(E1195,'Taxonomy Rules'!$C$42:$C$68,0)),"")="Building routes",OR(U1195="Building renovation",U1195="New building",U1195="Building equipment"))))),"Unexpected test","Valid"))))</x:f>
      </x:c>
      <x:c r="S1195" s="9" t="str">
        <x:f>IF(C1195="","",IFERROR(INDEX('Taxonomy Rules'!$E$42:$E$68,MATCH(E1195,'Taxonomy Rules'!$C$42:$C$68,0)),""))</x:f>
      </x:c>
      <x:c r="T1195" s="9" t="str">
        <x:f>IF(C1195="","",IFERROR(INDEX('Taxonomy Rules'!$F$42:$F$68,MATCH(E1195,'Taxonomy Rules'!$C$42:$C$68,0)),""))</x:f>
      </x:c>
      <x:c r="U1195" s="9" t="str">
        <x:f>IF(C1195="","",IFERROR(INDEX('Taxonomy'!$G$9:$G$108,MATCH(D1195,'Taxonomy'!$C$9:$C$108,0)),""))</x:f>
      </x:c>
    </x:row>
    <x:row r="1196" ht="44" customHeight="1">
      <x:c r="A1196" s="1"/>
      <x:c r="B1196" s="1"/>
      <x:c r="C1196" s="8"/>
      <x:c r="D1196" s="8"/>
      <x:c r="E1196" s="8"/>
      <x:c r="F1196" s="8"/>
      <x:c r="G1196" s="8"/>
      <x:c r="H1196" s="8"/>
      <x:c r="I1196" s="8"/>
      <x:c r="J1196" s="8"/>
      <x:c r="K1196" s="8"/>
      <x:c r="L1196" s="8"/>
      <x:c r="M1196" s="10"/>
      <x:c r="N1196" s="10"/>
      <x:c r="O1196" s="8"/>
      <x:c r="P1196" s="9" t="str">
        <x:f>IF(C1196="","",IF(AND(G1196="Applicable",H1196="Fail"),"Fail",IF(R1196&lt;&gt;"Valid","Pending",IF(OR(I1196="",K1196="",L1196="",K1196=L1196,NOT(ISNUMBER(M1196)),NOT(ISNUMBER(N1196)),M1196&gt;Settings!$F$8,N1196&lt;Settings!$F$8,N1196&lt;M1196),"Pending",IF(AND(G1196="Applicable",H1196="Pass"),"Pass",IF(AND(G1196="N/A",H1196="N/A",J1196&lt;&gt;"",OR(E1196="CEM-FUELS",E1196="CEM-CCS",AND(E1196="CEM-PLAN",IFERROR(INDEX('Taxonomy'!$M$9:$M$108,MATCH(D1196,'Taxonomy'!$C$9:$C$108,0)),"")&lt;&gt;"Amber"),E1196="BLD-TIMBER",AND(U1196="Building equipment",OR(E1196="BLD-WATER",E1196="BLD-WASTE",E1196="BLD-LAND")),AND(U1196="Building renovation",E1196="BLD-LAND"))),"N/A","Pending"))))))</x:f>
      </x:c>
      <x:c r="Q1196" s="3" t="str">
        <x:f>IF(C1196="","",IF(AND(R1196="Valid",OR(P1196="Pass",P1196="N/A")),"Complete","Unresolved"))</x:f>
      </x:c>
      <x:c r="R1196" s="9" t="str">
        <x:f>IF(C1196="","",IF(OR(COUNTIF($C$9:$C$2008,C1196)&lt;&gt;1,COUNTIFS($D$9:$D$2008,D1196,$E$9:$E$2008,E1196)&lt;&gt;1),"Duplicate test",IF(COUNTIF('Taxonomy'!$C$9:$C$108,D1196)&lt;&gt;1,"Assessment key",IF(OR(COUNTIF('Taxonomy Rules'!$C$42:$C$68,E1196)&lt;&gt;1,F1196&lt;&gt;IFERROR(INDEX('Taxonomy Rules'!$D$42:$D$68,MATCH(E1196,'Taxonomy Rules'!$C$42:$C$68,0)),""),NOT(OR(IFERROR(INDEX('Taxonomy Rules'!$G$42:$G$68,MATCH(E1196,'Taxonomy Rules'!$C$42:$C$68,0)),"")="All supported routes",IFERROR(INDEX('Taxonomy Rules'!$G$42:$G$68,MATCH(E1196,'Taxonomy Rules'!$C$42:$C$68,0)),"")=U1196,AND(IFERROR(INDEX('Taxonomy Rules'!$G$42:$G$68,MATCH(E1196,'Taxonomy Rules'!$C$42:$C$68,0)),"")="Building routes",OR(U1196="Building renovation",U1196="New building",U1196="Building equipment"))))),"Unexpected test","Valid"))))</x:f>
      </x:c>
      <x:c r="S1196" s="9" t="str">
        <x:f>IF(C1196="","",IFERROR(INDEX('Taxonomy Rules'!$E$42:$E$68,MATCH(E1196,'Taxonomy Rules'!$C$42:$C$68,0)),""))</x:f>
      </x:c>
      <x:c r="T1196" s="9" t="str">
        <x:f>IF(C1196="","",IFERROR(INDEX('Taxonomy Rules'!$F$42:$F$68,MATCH(E1196,'Taxonomy Rules'!$C$42:$C$68,0)),""))</x:f>
      </x:c>
      <x:c r="U1196" s="9" t="str">
        <x:f>IF(C1196="","",IFERROR(INDEX('Taxonomy'!$G$9:$G$108,MATCH(D1196,'Taxonomy'!$C$9:$C$108,0)),""))</x:f>
      </x:c>
    </x:row>
    <x:row r="1197" ht="44" customHeight="1">
      <x:c r="A1197" s="1"/>
      <x:c r="B1197" s="1"/>
      <x:c r="C1197" s="8"/>
      <x:c r="D1197" s="8"/>
      <x:c r="E1197" s="8"/>
      <x:c r="F1197" s="8"/>
      <x:c r="G1197" s="8"/>
      <x:c r="H1197" s="8"/>
      <x:c r="I1197" s="8"/>
      <x:c r="J1197" s="8"/>
      <x:c r="K1197" s="8"/>
      <x:c r="L1197" s="8"/>
      <x:c r="M1197" s="10"/>
      <x:c r="N1197" s="10"/>
      <x:c r="O1197" s="8"/>
      <x:c r="P1197" s="9" t="str">
        <x:f>IF(C1197="","",IF(AND(G1197="Applicable",H1197="Fail"),"Fail",IF(R1197&lt;&gt;"Valid","Pending",IF(OR(I1197="",K1197="",L1197="",K1197=L1197,NOT(ISNUMBER(M1197)),NOT(ISNUMBER(N1197)),M1197&gt;Settings!$F$8,N1197&lt;Settings!$F$8,N1197&lt;M1197),"Pending",IF(AND(G1197="Applicable",H1197="Pass"),"Pass",IF(AND(G1197="N/A",H1197="N/A",J1197&lt;&gt;"",OR(E1197="CEM-FUELS",E1197="CEM-CCS",AND(E1197="CEM-PLAN",IFERROR(INDEX('Taxonomy'!$M$9:$M$108,MATCH(D1197,'Taxonomy'!$C$9:$C$108,0)),"")&lt;&gt;"Amber"),E1197="BLD-TIMBER",AND(U1197="Building equipment",OR(E1197="BLD-WATER",E1197="BLD-WASTE",E1197="BLD-LAND")),AND(U1197="Building renovation",E1197="BLD-LAND"))),"N/A","Pending"))))))</x:f>
      </x:c>
      <x:c r="Q1197" s="3" t="str">
        <x:f>IF(C1197="","",IF(AND(R1197="Valid",OR(P1197="Pass",P1197="N/A")),"Complete","Unresolved"))</x:f>
      </x:c>
      <x:c r="R1197" s="9" t="str">
        <x:f>IF(C1197="","",IF(OR(COUNTIF($C$9:$C$2008,C1197)&lt;&gt;1,COUNTIFS($D$9:$D$2008,D1197,$E$9:$E$2008,E1197)&lt;&gt;1),"Duplicate test",IF(COUNTIF('Taxonomy'!$C$9:$C$108,D1197)&lt;&gt;1,"Assessment key",IF(OR(COUNTIF('Taxonomy Rules'!$C$42:$C$68,E1197)&lt;&gt;1,F1197&lt;&gt;IFERROR(INDEX('Taxonomy Rules'!$D$42:$D$68,MATCH(E1197,'Taxonomy Rules'!$C$42:$C$68,0)),""),NOT(OR(IFERROR(INDEX('Taxonomy Rules'!$G$42:$G$68,MATCH(E1197,'Taxonomy Rules'!$C$42:$C$68,0)),"")="All supported routes",IFERROR(INDEX('Taxonomy Rules'!$G$42:$G$68,MATCH(E1197,'Taxonomy Rules'!$C$42:$C$68,0)),"")=U1197,AND(IFERROR(INDEX('Taxonomy Rules'!$G$42:$G$68,MATCH(E1197,'Taxonomy Rules'!$C$42:$C$68,0)),"")="Building routes",OR(U1197="Building renovation",U1197="New building",U1197="Building equipment"))))),"Unexpected test","Valid"))))</x:f>
      </x:c>
      <x:c r="S1197" s="9" t="str">
        <x:f>IF(C1197="","",IFERROR(INDEX('Taxonomy Rules'!$E$42:$E$68,MATCH(E1197,'Taxonomy Rules'!$C$42:$C$68,0)),""))</x:f>
      </x:c>
      <x:c r="T1197" s="9" t="str">
        <x:f>IF(C1197="","",IFERROR(INDEX('Taxonomy Rules'!$F$42:$F$68,MATCH(E1197,'Taxonomy Rules'!$C$42:$C$68,0)),""))</x:f>
      </x:c>
      <x:c r="U1197" s="9" t="str">
        <x:f>IF(C1197="","",IFERROR(INDEX('Taxonomy'!$G$9:$G$108,MATCH(D1197,'Taxonomy'!$C$9:$C$108,0)),""))</x:f>
      </x:c>
    </x:row>
    <x:row r="1198" ht="44" customHeight="1">
      <x:c r="A1198" s="1"/>
      <x:c r="B1198" s="1"/>
      <x:c r="C1198" s="8"/>
      <x:c r="D1198" s="8"/>
      <x:c r="E1198" s="8"/>
      <x:c r="F1198" s="8"/>
      <x:c r="G1198" s="8"/>
      <x:c r="H1198" s="8"/>
      <x:c r="I1198" s="8"/>
      <x:c r="J1198" s="8"/>
      <x:c r="K1198" s="8"/>
      <x:c r="L1198" s="8"/>
      <x:c r="M1198" s="10"/>
      <x:c r="N1198" s="10"/>
      <x:c r="O1198" s="8"/>
      <x:c r="P1198" s="9" t="str">
        <x:f>IF(C1198="","",IF(AND(G1198="Applicable",H1198="Fail"),"Fail",IF(R1198&lt;&gt;"Valid","Pending",IF(OR(I1198="",K1198="",L1198="",K1198=L1198,NOT(ISNUMBER(M1198)),NOT(ISNUMBER(N1198)),M1198&gt;Settings!$F$8,N1198&lt;Settings!$F$8,N1198&lt;M1198),"Pending",IF(AND(G1198="Applicable",H1198="Pass"),"Pass",IF(AND(G1198="N/A",H1198="N/A",J1198&lt;&gt;"",OR(E1198="CEM-FUELS",E1198="CEM-CCS",AND(E1198="CEM-PLAN",IFERROR(INDEX('Taxonomy'!$M$9:$M$108,MATCH(D1198,'Taxonomy'!$C$9:$C$108,0)),"")&lt;&gt;"Amber"),E1198="BLD-TIMBER",AND(U1198="Building equipment",OR(E1198="BLD-WATER",E1198="BLD-WASTE",E1198="BLD-LAND")),AND(U1198="Building renovation",E1198="BLD-LAND"))),"N/A","Pending"))))))</x:f>
      </x:c>
      <x:c r="Q1198" s="3" t="str">
        <x:f>IF(C1198="","",IF(AND(R1198="Valid",OR(P1198="Pass",P1198="N/A")),"Complete","Unresolved"))</x:f>
      </x:c>
      <x:c r="R1198" s="9" t="str">
        <x:f>IF(C1198="","",IF(OR(COUNTIF($C$9:$C$2008,C1198)&lt;&gt;1,COUNTIFS($D$9:$D$2008,D1198,$E$9:$E$2008,E1198)&lt;&gt;1),"Duplicate test",IF(COUNTIF('Taxonomy'!$C$9:$C$108,D1198)&lt;&gt;1,"Assessment key",IF(OR(COUNTIF('Taxonomy Rules'!$C$42:$C$68,E1198)&lt;&gt;1,F1198&lt;&gt;IFERROR(INDEX('Taxonomy Rules'!$D$42:$D$68,MATCH(E1198,'Taxonomy Rules'!$C$42:$C$68,0)),""),NOT(OR(IFERROR(INDEX('Taxonomy Rules'!$G$42:$G$68,MATCH(E1198,'Taxonomy Rules'!$C$42:$C$68,0)),"")="All supported routes",IFERROR(INDEX('Taxonomy Rules'!$G$42:$G$68,MATCH(E1198,'Taxonomy Rules'!$C$42:$C$68,0)),"")=U1198,AND(IFERROR(INDEX('Taxonomy Rules'!$G$42:$G$68,MATCH(E1198,'Taxonomy Rules'!$C$42:$C$68,0)),"")="Building routes",OR(U1198="Building renovation",U1198="New building",U1198="Building equipment"))))),"Unexpected test","Valid"))))</x:f>
      </x:c>
      <x:c r="S1198" s="9" t="str">
        <x:f>IF(C1198="","",IFERROR(INDEX('Taxonomy Rules'!$E$42:$E$68,MATCH(E1198,'Taxonomy Rules'!$C$42:$C$68,0)),""))</x:f>
      </x:c>
      <x:c r="T1198" s="9" t="str">
        <x:f>IF(C1198="","",IFERROR(INDEX('Taxonomy Rules'!$F$42:$F$68,MATCH(E1198,'Taxonomy Rules'!$C$42:$C$68,0)),""))</x:f>
      </x:c>
      <x:c r="U1198" s="9" t="str">
        <x:f>IF(C1198="","",IFERROR(INDEX('Taxonomy'!$G$9:$G$108,MATCH(D1198,'Taxonomy'!$C$9:$C$108,0)),""))</x:f>
      </x:c>
    </x:row>
    <x:row r="1199" ht="44" customHeight="1">
      <x:c r="A1199" s="1"/>
      <x:c r="B1199" s="1"/>
      <x:c r="C1199" s="8"/>
      <x:c r="D1199" s="8"/>
      <x:c r="E1199" s="8"/>
      <x:c r="F1199" s="8"/>
      <x:c r="G1199" s="8"/>
      <x:c r="H1199" s="8"/>
      <x:c r="I1199" s="8"/>
      <x:c r="J1199" s="8"/>
      <x:c r="K1199" s="8"/>
      <x:c r="L1199" s="8"/>
      <x:c r="M1199" s="10"/>
      <x:c r="N1199" s="10"/>
      <x:c r="O1199" s="8"/>
      <x:c r="P1199" s="9" t="str">
        <x:f>IF(C1199="","",IF(AND(G1199="Applicable",H1199="Fail"),"Fail",IF(R1199&lt;&gt;"Valid","Pending",IF(OR(I1199="",K1199="",L1199="",K1199=L1199,NOT(ISNUMBER(M1199)),NOT(ISNUMBER(N1199)),M1199&gt;Settings!$F$8,N1199&lt;Settings!$F$8,N1199&lt;M1199),"Pending",IF(AND(G1199="Applicable",H1199="Pass"),"Pass",IF(AND(G1199="N/A",H1199="N/A",J1199&lt;&gt;"",OR(E1199="CEM-FUELS",E1199="CEM-CCS",AND(E1199="CEM-PLAN",IFERROR(INDEX('Taxonomy'!$M$9:$M$108,MATCH(D1199,'Taxonomy'!$C$9:$C$108,0)),"")&lt;&gt;"Amber"),E1199="BLD-TIMBER",AND(U1199="Building equipment",OR(E1199="BLD-WATER",E1199="BLD-WASTE",E1199="BLD-LAND")),AND(U1199="Building renovation",E1199="BLD-LAND"))),"N/A","Pending"))))))</x:f>
      </x:c>
      <x:c r="Q1199" s="3" t="str">
        <x:f>IF(C1199="","",IF(AND(R1199="Valid",OR(P1199="Pass",P1199="N/A")),"Complete","Unresolved"))</x:f>
      </x:c>
      <x:c r="R1199" s="9" t="str">
        <x:f>IF(C1199="","",IF(OR(COUNTIF($C$9:$C$2008,C1199)&lt;&gt;1,COUNTIFS($D$9:$D$2008,D1199,$E$9:$E$2008,E1199)&lt;&gt;1),"Duplicate test",IF(COUNTIF('Taxonomy'!$C$9:$C$108,D1199)&lt;&gt;1,"Assessment key",IF(OR(COUNTIF('Taxonomy Rules'!$C$42:$C$68,E1199)&lt;&gt;1,F1199&lt;&gt;IFERROR(INDEX('Taxonomy Rules'!$D$42:$D$68,MATCH(E1199,'Taxonomy Rules'!$C$42:$C$68,0)),""),NOT(OR(IFERROR(INDEX('Taxonomy Rules'!$G$42:$G$68,MATCH(E1199,'Taxonomy Rules'!$C$42:$C$68,0)),"")="All supported routes",IFERROR(INDEX('Taxonomy Rules'!$G$42:$G$68,MATCH(E1199,'Taxonomy Rules'!$C$42:$C$68,0)),"")=U1199,AND(IFERROR(INDEX('Taxonomy Rules'!$G$42:$G$68,MATCH(E1199,'Taxonomy Rules'!$C$42:$C$68,0)),"")="Building routes",OR(U1199="Building renovation",U1199="New building",U1199="Building equipment"))))),"Unexpected test","Valid"))))</x:f>
      </x:c>
      <x:c r="S1199" s="9" t="str">
        <x:f>IF(C1199="","",IFERROR(INDEX('Taxonomy Rules'!$E$42:$E$68,MATCH(E1199,'Taxonomy Rules'!$C$42:$C$68,0)),""))</x:f>
      </x:c>
      <x:c r="T1199" s="9" t="str">
        <x:f>IF(C1199="","",IFERROR(INDEX('Taxonomy Rules'!$F$42:$F$68,MATCH(E1199,'Taxonomy Rules'!$C$42:$C$68,0)),""))</x:f>
      </x:c>
      <x:c r="U1199" s="9" t="str">
        <x:f>IF(C1199="","",IFERROR(INDEX('Taxonomy'!$G$9:$G$108,MATCH(D1199,'Taxonomy'!$C$9:$C$108,0)),""))</x:f>
      </x:c>
    </x:row>
    <x:row r="1200" ht="44" customHeight="1">
      <x:c r="A1200" s="1"/>
      <x:c r="B1200" s="1"/>
      <x:c r="C1200" s="8"/>
      <x:c r="D1200" s="8"/>
      <x:c r="E1200" s="8"/>
      <x:c r="F1200" s="8"/>
      <x:c r="G1200" s="8"/>
      <x:c r="H1200" s="8"/>
      <x:c r="I1200" s="8"/>
      <x:c r="J1200" s="8"/>
      <x:c r="K1200" s="8"/>
      <x:c r="L1200" s="8"/>
      <x:c r="M1200" s="10"/>
      <x:c r="N1200" s="10"/>
      <x:c r="O1200" s="8"/>
      <x:c r="P1200" s="9" t="str">
        <x:f>IF(C1200="","",IF(AND(G1200="Applicable",H1200="Fail"),"Fail",IF(R1200&lt;&gt;"Valid","Pending",IF(OR(I1200="",K1200="",L1200="",K1200=L1200,NOT(ISNUMBER(M1200)),NOT(ISNUMBER(N1200)),M1200&gt;Settings!$F$8,N1200&lt;Settings!$F$8,N1200&lt;M1200),"Pending",IF(AND(G1200="Applicable",H1200="Pass"),"Pass",IF(AND(G1200="N/A",H1200="N/A",J1200&lt;&gt;"",OR(E1200="CEM-FUELS",E1200="CEM-CCS",AND(E1200="CEM-PLAN",IFERROR(INDEX('Taxonomy'!$M$9:$M$108,MATCH(D1200,'Taxonomy'!$C$9:$C$108,0)),"")&lt;&gt;"Amber"),E1200="BLD-TIMBER",AND(U1200="Building equipment",OR(E1200="BLD-WATER",E1200="BLD-WASTE",E1200="BLD-LAND")),AND(U1200="Building renovation",E1200="BLD-LAND"))),"N/A","Pending"))))))</x:f>
      </x:c>
      <x:c r="Q1200" s="3" t="str">
        <x:f>IF(C1200="","",IF(AND(R1200="Valid",OR(P1200="Pass",P1200="N/A")),"Complete","Unresolved"))</x:f>
      </x:c>
      <x:c r="R1200" s="9" t="str">
        <x:f>IF(C1200="","",IF(OR(COUNTIF($C$9:$C$2008,C1200)&lt;&gt;1,COUNTIFS($D$9:$D$2008,D1200,$E$9:$E$2008,E1200)&lt;&gt;1),"Duplicate test",IF(COUNTIF('Taxonomy'!$C$9:$C$108,D1200)&lt;&gt;1,"Assessment key",IF(OR(COUNTIF('Taxonomy Rules'!$C$42:$C$68,E1200)&lt;&gt;1,F1200&lt;&gt;IFERROR(INDEX('Taxonomy Rules'!$D$42:$D$68,MATCH(E1200,'Taxonomy Rules'!$C$42:$C$68,0)),""),NOT(OR(IFERROR(INDEX('Taxonomy Rules'!$G$42:$G$68,MATCH(E1200,'Taxonomy Rules'!$C$42:$C$68,0)),"")="All supported routes",IFERROR(INDEX('Taxonomy Rules'!$G$42:$G$68,MATCH(E1200,'Taxonomy Rules'!$C$42:$C$68,0)),"")=U1200,AND(IFERROR(INDEX('Taxonomy Rules'!$G$42:$G$68,MATCH(E1200,'Taxonomy Rules'!$C$42:$C$68,0)),"")="Building routes",OR(U1200="Building renovation",U1200="New building",U1200="Building equipment"))))),"Unexpected test","Valid"))))</x:f>
      </x:c>
      <x:c r="S1200" s="9" t="str">
        <x:f>IF(C1200="","",IFERROR(INDEX('Taxonomy Rules'!$E$42:$E$68,MATCH(E1200,'Taxonomy Rules'!$C$42:$C$68,0)),""))</x:f>
      </x:c>
      <x:c r="T1200" s="9" t="str">
        <x:f>IF(C1200="","",IFERROR(INDEX('Taxonomy Rules'!$F$42:$F$68,MATCH(E1200,'Taxonomy Rules'!$C$42:$C$68,0)),""))</x:f>
      </x:c>
      <x:c r="U1200" s="9" t="str">
        <x:f>IF(C1200="","",IFERROR(INDEX('Taxonomy'!$G$9:$G$108,MATCH(D1200,'Taxonomy'!$C$9:$C$108,0)),""))</x:f>
      </x:c>
    </x:row>
    <x:row r="1201" ht="44" customHeight="1">
      <x:c r="A1201" s="1"/>
      <x:c r="B1201" s="1"/>
      <x:c r="C1201" s="8"/>
      <x:c r="D1201" s="8"/>
      <x:c r="E1201" s="8"/>
      <x:c r="F1201" s="8"/>
      <x:c r="G1201" s="8"/>
      <x:c r="H1201" s="8"/>
      <x:c r="I1201" s="8"/>
      <x:c r="J1201" s="8"/>
      <x:c r="K1201" s="8"/>
      <x:c r="L1201" s="8"/>
      <x:c r="M1201" s="10"/>
      <x:c r="N1201" s="10"/>
      <x:c r="O1201" s="8"/>
      <x:c r="P1201" s="9" t="str">
        <x:f>IF(C1201="","",IF(AND(G1201="Applicable",H1201="Fail"),"Fail",IF(R1201&lt;&gt;"Valid","Pending",IF(OR(I1201="",K1201="",L1201="",K1201=L1201,NOT(ISNUMBER(M1201)),NOT(ISNUMBER(N1201)),M1201&gt;Settings!$F$8,N1201&lt;Settings!$F$8,N1201&lt;M1201),"Pending",IF(AND(G1201="Applicable",H1201="Pass"),"Pass",IF(AND(G1201="N/A",H1201="N/A",J1201&lt;&gt;"",OR(E1201="CEM-FUELS",E1201="CEM-CCS",AND(E1201="CEM-PLAN",IFERROR(INDEX('Taxonomy'!$M$9:$M$108,MATCH(D1201,'Taxonomy'!$C$9:$C$108,0)),"")&lt;&gt;"Amber"),E1201="BLD-TIMBER",AND(U1201="Building equipment",OR(E1201="BLD-WATER",E1201="BLD-WASTE",E1201="BLD-LAND")),AND(U1201="Building renovation",E1201="BLD-LAND"))),"N/A","Pending"))))))</x:f>
      </x:c>
      <x:c r="Q1201" s="3" t="str">
        <x:f>IF(C1201="","",IF(AND(R1201="Valid",OR(P1201="Pass",P1201="N/A")),"Complete","Unresolved"))</x:f>
      </x:c>
      <x:c r="R1201" s="9" t="str">
        <x:f>IF(C1201="","",IF(OR(COUNTIF($C$9:$C$2008,C1201)&lt;&gt;1,COUNTIFS($D$9:$D$2008,D1201,$E$9:$E$2008,E1201)&lt;&gt;1),"Duplicate test",IF(COUNTIF('Taxonomy'!$C$9:$C$108,D1201)&lt;&gt;1,"Assessment key",IF(OR(COUNTIF('Taxonomy Rules'!$C$42:$C$68,E1201)&lt;&gt;1,F1201&lt;&gt;IFERROR(INDEX('Taxonomy Rules'!$D$42:$D$68,MATCH(E1201,'Taxonomy Rules'!$C$42:$C$68,0)),""),NOT(OR(IFERROR(INDEX('Taxonomy Rules'!$G$42:$G$68,MATCH(E1201,'Taxonomy Rules'!$C$42:$C$68,0)),"")="All supported routes",IFERROR(INDEX('Taxonomy Rules'!$G$42:$G$68,MATCH(E1201,'Taxonomy Rules'!$C$42:$C$68,0)),"")=U1201,AND(IFERROR(INDEX('Taxonomy Rules'!$G$42:$G$68,MATCH(E1201,'Taxonomy Rules'!$C$42:$C$68,0)),"")="Building routes",OR(U1201="Building renovation",U1201="New building",U1201="Building equipment"))))),"Unexpected test","Valid"))))</x:f>
      </x:c>
      <x:c r="S1201" s="9" t="str">
        <x:f>IF(C1201="","",IFERROR(INDEX('Taxonomy Rules'!$E$42:$E$68,MATCH(E1201,'Taxonomy Rules'!$C$42:$C$68,0)),""))</x:f>
      </x:c>
      <x:c r="T1201" s="9" t="str">
        <x:f>IF(C1201="","",IFERROR(INDEX('Taxonomy Rules'!$F$42:$F$68,MATCH(E1201,'Taxonomy Rules'!$C$42:$C$68,0)),""))</x:f>
      </x:c>
      <x:c r="U1201" s="9" t="str">
        <x:f>IF(C1201="","",IFERROR(INDEX('Taxonomy'!$G$9:$G$108,MATCH(D1201,'Taxonomy'!$C$9:$C$108,0)),""))</x:f>
      </x:c>
    </x:row>
    <x:row r="1202" ht="44" customHeight="1">
      <x:c r="A1202" s="1"/>
      <x:c r="B1202" s="1"/>
      <x:c r="C1202" s="8"/>
      <x:c r="D1202" s="8"/>
      <x:c r="E1202" s="8"/>
      <x:c r="F1202" s="8"/>
      <x:c r="G1202" s="8"/>
      <x:c r="H1202" s="8"/>
      <x:c r="I1202" s="8"/>
      <x:c r="J1202" s="8"/>
      <x:c r="K1202" s="8"/>
      <x:c r="L1202" s="8"/>
      <x:c r="M1202" s="10"/>
      <x:c r="N1202" s="10"/>
      <x:c r="O1202" s="8"/>
      <x:c r="P1202" s="9" t="str">
        <x:f>IF(C1202="","",IF(AND(G1202="Applicable",H1202="Fail"),"Fail",IF(R1202&lt;&gt;"Valid","Pending",IF(OR(I1202="",K1202="",L1202="",K1202=L1202,NOT(ISNUMBER(M1202)),NOT(ISNUMBER(N1202)),M1202&gt;Settings!$F$8,N1202&lt;Settings!$F$8,N1202&lt;M1202),"Pending",IF(AND(G1202="Applicable",H1202="Pass"),"Pass",IF(AND(G1202="N/A",H1202="N/A",J1202&lt;&gt;"",OR(E1202="CEM-FUELS",E1202="CEM-CCS",AND(E1202="CEM-PLAN",IFERROR(INDEX('Taxonomy'!$M$9:$M$108,MATCH(D1202,'Taxonomy'!$C$9:$C$108,0)),"")&lt;&gt;"Amber"),E1202="BLD-TIMBER",AND(U1202="Building equipment",OR(E1202="BLD-WATER",E1202="BLD-WASTE",E1202="BLD-LAND")),AND(U1202="Building renovation",E1202="BLD-LAND"))),"N/A","Pending"))))))</x:f>
      </x:c>
      <x:c r="Q1202" s="3" t="str">
        <x:f>IF(C1202="","",IF(AND(R1202="Valid",OR(P1202="Pass",P1202="N/A")),"Complete","Unresolved"))</x:f>
      </x:c>
      <x:c r="R1202" s="9" t="str">
        <x:f>IF(C1202="","",IF(OR(COUNTIF($C$9:$C$2008,C1202)&lt;&gt;1,COUNTIFS($D$9:$D$2008,D1202,$E$9:$E$2008,E1202)&lt;&gt;1),"Duplicate test",IF(COUNTIF('Taxonomy'!$C$9:$C$108,D1202)&lt;&gt;1,"Assessment key",IF(OR(COUNTIF('Taxonomy Rules'!$C$42:$C$68,E1202)&lt;&gt;1,F1202&lt;&gt;IFERROR(INDEX('Taxonomy Rules'!$D$42:$D$68,MATCH(E1202,'Taxonomy Rules'!$C$42:$C$68,0)),""),NOT(OR(IFERROR(INDEX('Taxonomy Rules'!$G$42:$G$68,MATCH(E1202,'Taxonomy Rules'!$C$42:$C$68,0)),"")="All supported routes",IFERROR(INDEX('Taxonomy Rules'!$G$42:$G$68,MATCH(E1202,'Taxonomy Rules'!$C$42:$C$68,0)),"")=U1202,AND(IFERROR(INDEX('Taxonomy Rules'!$G$42:$G$68,MATCH(E1202,'Taxonomy Rules'!$C$42:$C$68,0)),"")="Building routes",OR(U1202="Building renovation",U1202="New building",U1202="Building equipment"))))),"Unexpected test","Valid"))))</x:f>
      </x:c>
      <x:c r="S1202" s="9" t="str">
        <x:f>IF(C1202="","",IFERROR(INDEX('Taxonomy Rules'!$E$42:$E$68,MATCH(E1202,'Taxonomy Rules'!$C$42:$C$68,0)),""))</x:f>
      </x:c>
      <x:c r="T1202" s="9" t="str">
        <x:f>IF(C1202="","",IFERROR(INDEX('Taxonomy Rules'!$F$42:$F$68,MATCH(E1202,'Taxonomy Rules'!$C$42:$C$68,0)),""))</x:f>
      </x:c>
      <x:c r="U1202" s="9" t="str">
        <x:f>IF(C1202="","",IFERROR(INDEX('Taxonomy'!$G$9:$G$108,MATCH(D1202,'Taxonomy'!$C$9:$C$108,0)),""))</x:f>
      </x:c>
    </x:row>
    <x:row r="1203" ht="44" customHeight="1">
      <x:c r="A1203" s="1"/>
      <x:c r="B1203" s="1"/>
      <x:c r="C1203" s="8"/>
      <x:c r="D1203" s="8"/>
      <x:c r="E1203" s="8"/>
      <x:c r="F1203" s="8"/>
      <x:c r="G1203" s="8"/>
      <x:c r="H1203" s="8"/>
      <x:c r="I1203" s="8"/>
      <x:c r="J1203" s="8"/>
      <x:c r="K1203" s="8"/>
      <x:c r="L1203" s="8"/>
      <x:c r="M1203" s="10"/>
      <x:c r="N1203" s="10"/>
      <x:c r="O1203" s="8"/>
      <x:c r="P1203" s="9" t="str">
        <x:f>IF(C1203="","",IF(AND(G1203="Applicable",H1203="Fail"),"Fail",IF(R1203&lt;&gt;"Valid","Pending",IF(OR(I1203="",K1203="",L1203="",K1203=L1203,NOT(ISNUMBER(M1203)),NOT(ISNUMBER(N1203)),M1203&gt;Settings!$F$8,N1203&lt;Settings!$F$8,N1203&lt;M1203),"Pending",IF(AND(G1203="Applicable",H1203="Pass"),"Pass",IF(AND(G1203="N/A",H1203="N/A",J1203&lt;&gt;"",OR(E1203="CEM-FUELS",E1203="CEM-CCS",AND(E1203="CEM-PLAN",IFERROR(INDEX('Taxonomy'!$M$9:$M$108,MATCH(D1203,'Taxonomy'!$C$9:$C$108,0)),"")&lt;&gt;"Amber"),E1203="BLD-TIMBER",AND(U1203="Building equipment",OR(E1203="BLD-WATER",E1203="BLD-WASTE",E1203="BLD-LAND")),AND(U1203="Building renovation",E1203="BLD-LAND"))),"N/A","Pending"))))))</x:f>
      </x:c>
      <x:c r="Q1203" s="3" t="str">
        <x:f>IF(C1203="","",IF(AND(R1203="Valid",OR(P1203="Pass",P1203="N/A")),"Complete","Unresolved"))</x:f>
      </x:c>
      <x:c r="R1203" s="9" t="str">
        <x:f>IF(C1203="","",IF(OR(COUNTIF($C$9:$C$2008,C1203)&lt;&gt;1,COUNTIFS($D$9:$D$2008,D1203,$E$9:$E$2008,E1203)&lt;&gt;1),"Duplicate test",IF(COUNTIF('Taxonomy'!$C$9:$C$108,D1203)&lt;&gt;1,"Assessment key",IF(OR(COUNTIF('Taxonomy Rules'!$C$42:$C$68,E1203)&lt;&gt;1,F1203&lt;&gt;IFERROR(INDEX('Taxonomy Rules'!$D$42:$D$68,MATCH(E1203,'Taxonomy Rules'!$C$42:$C$68,0)),""),NOT(OR(IFERROR(INDEX('Taxonomy Rules'!$G$42:$G$68,MATCH(E1203,'Taxonomy Rules'!$C$42:$C$68,0)),"")="All supported routes",IFERROR(INDEX('Taxonomy Rules'!$G$42:$G$68,MATCH(E1203,'Taxonomy Rules'!$C$42:$C$68,0)),"")=U1203,AND(IFERROR(INDEX('Taxonomy Rules'!$G$42:$G$68,MATCH(E1203,'Taxonomy Rules'!$C$42:$C$68,0)),"")="Building routes",OR(U1203="Building renovation",U1203="New building",U1203="Building equipment"))))),"Unexpected test","Valid"))))</x:f>
      </x:c>
      <x:c r="S1203" s="9" t="str">
        <x:f>IF(C1203="","",IFERROR(INDEX('Taxonomy Rules'!$E$42:$E$68,MATCH(E1203,'Taxonomy Rules'!$C$42:$C$68,0)),""))</x:f>
      </x:c>
      <x:c r="T1203" s="9" t="str">
        <x:f>IF(C1203="","",IFERROR(INDEX('Taxonomy Rules'!$F$42:$F$68,MATCH(E1203,'Taxonomy Rules'!$C$42:$C$68,0)),""))</x:f>
      </x:c>
      <x:c r="U1203" s="9" t="str">
        <x:f>IF(C1203="","",IFERROR(INDEX('Taxonomy'!$G$9:$G$108,MATCH(D1203,'Taxonomy'!$C$9:$C$108,0)),""))</x:f>
      </x:c>
    </x:row>
    <x:row r="1204" ht="44" customHeight="1">
      <x:c r="A1204" s="1"/>
      <x:c r="B1204" s="1"/>
      <x:c r="C1204" s="8"/>
      <x:c r="D1204" s="8"/>
      <x:c r="E1204" s="8"/>
      <x:c r="F1204" s="8"/>
      <x:c r="G1204" s="8"/>
      <x:c r="H1204" s="8"/>
      <x:c r="I1204" s="8"/>
      <x:c r="J1204" s="8"/>
      <x:c r="K1204" s="8"/>
      <x:c r="L1204" s="8"/>
      <x:c r="M1204" s="10"/>
      <x:c r="N1204" s="10"/>
      <x:c r="O1204" s="8"/>
      <x:c r="P1204" s="9" t="str">
        <x:f>IF(C1204="","",IF(AND(G1204="Applicable",H1204="Fail"),"Fail",IF(R1204&lt;&gt;"Valid","Pending",IF(OR(I1204="",K1204="",L1204="",K1204=L1204,NOT(ISNUMBER(M1204)),NOT(ISNUMBER(N1204)),M1204&gt;Settings!$F$8,N1204&lt;Settings!$F$8,N1204&lt;M1204),"Pending",IF(AND(G1204="Applicable",H1204="Pass"),"Pass",IF(AND(G1204="N/A",H1204="N/A",J1204&lt;&gt;"",OR(E1204="CEM-FUELS",E1204="CEM-CCS",AND(E1204="CEM-PLAN",IFERROR(INDEX('Taxonomy'!$M$9:$M$108,MATCH(D1204,'Taxonomy'!$C$9:$C$108,0)),"")&lt;&gt;"Amber"),E1204="BLD-TIMBER",AND(U1204="Building equipment",OR(E1204="BLD-WATER",E1204="BLD-WASTE",E1204="BLD-LAND")),AND(U1204="Building renovation",E1204="BLD-LAND"))),"N/A","Pending"))))))</x:f>
      </x:c>
      <x:c r="Q1204" s="3" t="str">
        <x:f>IF(C1204="","",IF(AND(R1204="Valid",OR(P1204="Pass",P1204="N/A")),"Complete","Unresolved"))</x:f>
      </x:c>
      <x:c r="R1204" s="9" t="str">
        <x:f>IF(C1204="","",IF(OR(COUNTIF($C$9:$C$2008,C1204)&lt;&gt;1,COUNTIFS($D$9:$D$2008,D1204,$E$9:$E$2008,E1204)&lt;&gt;1),"Duplicate test",IF(COUNTIF('Taxonomy'!$C$9:$C$108,D1204)&lt;&gt;1,"Assessment key",IF(OR(COUNTIF('Taxonomy Rules'!$C$42:$C$68,E1204)&lt;&gt;1,F1204&lt;&gt;IFERROR(INDEX('Taxonomy Rules'!$D$42:$D$68,MATCH(E1204,'Taxonomy Rules'!$C$42:$C$68,0)),""),NOT(OR(IFERROR(INDEX('Taxonomy Rules'!$G$42:$G$68,MATCH(E1204,'Taxonomy Rules'!$C$42:$C$68,0)),"")="All supported routes",IFERROR(INDEX('Taxonomy Rules'!$G$42:$G$68,MATCH(E1204,'Taxonomy Rules'!$C$42:$C$68,0)),"")=U1204,AND(IFERROR(INDEX('Taxonomy Rules'!$G$42:$G$68,MATCH(E1204,'Taxonomy Rules'!$C$42:$C$68,0)),"")="Building routes",OR(U1204="Building renovation",U1204="New building",U1204="Building equipment"))))),"Unexpected test","Valid"))))</x:f>
      </x:c>
      <x:c r="S1204" s="9" t="str">
        <x:f>IF(C1204="","",IFERROR(INDEX('Taxonomy Rules'!$E$42:$E$68,MATCH(E1204,'Taxonomy Rules'!$C$42:$C$68,0)),""))</x:f>
      </x:c>
      <x:c r="T1204" s="9" t="str">
        <x:f>IF(C1204="","",IFERROR(INDEX('Taxonomy Rules'!$F$42:$F$68,MATCH(E1204,'Taxonomy Rules'!$C$42:$C$68,0)),""))</x:f>
      </x:c>
      <x:c r="U1204" s="9" t="str">
        <x:f>IF(C1204="","",IFERROR(INDEX('Taxonomy'!$G$9:$G$108,MATCH(D1204,'Taxonomy'!$C$9:$C$108,0)),""))</x:f>
      </x:c>
    </x:row>
    <x:row r="1205" ht="44" customHeight="1">
      <x:c r="A1205" s="1"/>
      <x:c r="B1205" s="1"/>
      <x:c r="C1205" s="8"/>
      <x:c r="D1205" s="8"/>
      <x:c r="E1205" s="8"/>
      <x:c r="F1205" s="8"/>
      <x:c r="G1205" s="8"/>
      <x:c r="H1205" s="8"/>
      <x:c r="I1205" s="8"/>
      <x:c r="J1205" s="8"/>
      <x:c r="K1205" s="8"/>
      <x:c r="L1205" s="8"/>
      <x:c r="M1205" s="10"/>
      <x:c r="N1205" s="10"/>
      <x:c r="O1205" s="8"/>
      <x:c r="P1205" s="9" t="str">
        <x:f>IF(C1205="","",IF(AND(G1205="Applicable",H1205="Fail"),"Fail",IF(R1205&lt;&gt;"Valid","Pending",IF(OR(I1205="",K1205="",L1205="",K1205=L1205,NOT(ISNUMBER(M1205)),NOT(ISNUMBER(N1205)),M1205&gt;Settings!$F$8,N1205&lt;Settings!$F$8,N1205&lt;M1205),"Pending",IF(AND(G1205="Applicable",H1205="Pass"),"Pass",IF(AND(G1205="N/A",H1205="N/A",J1205&lt;&gt;"",OR(E1205="CEM-FUELS",E1205="CEM-CCS",AND(E1205="CEM-PLAN",IFERROR(INDEX('Taxonomy'!$M$9:$M$108,MATCH(D1205,'Taxonomy'!$C$9:$C$108,0)),"")&lt;&gt;"Amber"),E1205="BLD-TIMBER",AND(U1205="Building equipment",OR(E1205="BLD-WATER",E1205="BLD-WASTE",E1205="BLD-LAND")),AND(U1205="Building renovation",E1205="BLD-LAND"))),"N/A","Pending"))))))</x:f>
      </x:c>
      <x:c r="Q1205" s="3" t="str">
        <x:f>IF(C1205="","",IF(AND(R1205="Valid",OR(P1205="Pass",P1205="N/A")),"Complete","Unresolved"))</x:f>
      </x:c>
      <x:c r="R1205" s="9" t="str">
        <x:f>IF(C1205="","",IF(OR(COUNTIF($C$9:$C$2008,C1205)&lt;&gt;1,COUNTIFS($D$9:$D$2008,D1205,$E$9:$E$2008,E1205)&lt;&gt;1),"Duplicate test",IF(COUNTIF('Taxonomy'!$C$9:$C$108,D1205)&lt;&gt;1,"Assessment key",IF(OR(COUNTIF('Taxonomy Rules'!$C$42:$C$68,E1205)&lt;&gt;1,F1205&lt;&gt;IFERROR(INDEX('Taxonomy Rules'!$D$42:$D$68,MATCH(E1205,'Taxonomy Rules'!$C$42:$C$68,0)),""),NOT(OR(IFERROR(INDEX('Taxonomy Rules'!$G$42:$G$68,MATCH(E1205,'Taxonomy Rules'!$C$42:$C$68,0)),"")="All supported routes",IFERROR(INDEX('Taxonomy Rules'!$G$42:$G$68,MATCH(E1205,'Taxonomy Rules'!$C$42:$C$68,0)),"")=U1205,AND(IFERROR(INDEX('Taxonomy Rules'!$G$42:$G$68,MATCH(E1205,'Taxonomy Rules'!$C$42:$C$68,0)),"")="Building routes",OR(U1205="Building renovation",U1205="New building",U1205="Building equipment"))))),"Unexpected test","Valid"))))</x:f>
      </x:c>
      <x:c r="S1205" s="9" t="str">
        <x:f>IF(C1205="","",IFERROR(INDEX('Taxonomy Rules'!$E$42:$E$68,MATCH(E1205,'Taxonomy Rules'!$C$42:$C$68,0)),""))</x:f>
      </x:c>
      <x:c r="T1205" s="9" t="str">
        <x:f>IF(C1205="","",IFERROR(INDEX('Taxonomy Rules'!$F$42:$F$68,MATCH(E1205,'Taxonomy Rules'!$C$42:$C$68,0)),""))</x:f>
      </x:c>
      <x:c r="U1205" s="9" t="str">
        <x:f>IF(C1205="","",IFERROR(INDEX('Taxonomy'!$G$9:$G$108,MATCH(D1205,'Taxonomy'!$C$9:$C$108,0)),""))</x:f>
      </x:c>
    </x:row>
    <x:row r="1206" ht="44" customHeight="1">
      <x:c r="A1206" s="1"/>
      <x:c r="B1206" s="1"/>
      <x:c r="C1206" s="8"/>
      <x:c r="D1206" s="8"/>
      <x:c r="E1206" s="8"/>
      <x:c r="F1206" s="8"/>
      <x:c r="G1206" s="8"/>
      <x:c r="H1206" s="8"/>
      <x:c r="I1206" s="8"/>
      <x:c r="J1206" s="8"/>
      <x:c r="K1206" s="8"/>
      <x:c r="L1206" s="8"/>
      <x:c r="M1206" s="10"/>
      <x:c r="N1206" s="10"/>
      <x:c r="O1206" s="8"/>
      <x:c r="P1206" s="9" t="str">
        <x:f>IF(C1206="","",IF(AND(G1206="Applicable",H1206="Fail"),"Fail",IF(R1206&lt;&gt;"Valid","Pending",IF(OR(I1206="",K1206="",L1206="",K1206=L1206,NOT(ISNUMBER(M1206)),NOT(ISNUMBER(N1206)),M1206&gt;Settings!$F$8,N1206&lt;Settings!$F$8,N1206&lt;M1206),"Pending",IF(AND(G1206="Applicable",H1206="Pass"),"Pass",IF(AND(G1206="N/A",H1206="N/A",J1206&lt;&gt;"",OR(E1206="CEM-FUELS",E1206="CEM-CCS",AND(E1206="CEM-PLAN",IFERROR(INDEX('Taxonomy'!$M$9:$M$108,MATCH(D1206,'Taxonomy'!$C$9:$C$108,0)),"")&lt;&gt;"Amber"),E1206="BLD-TIMBER",AND(U1206="Building equipment",OR(E1206="BLD-WATER",E1206="BLD-WASTE",E1206="BLD-LAND")),AND(U1206="Building renovation",E1206="BLD-LAND"))),"N/A","Pending"))))))</x:f>
      </x:c>
      <x:c r="Q1206" s="3" t="str">
        <x:f>IF(C1206="","",IF(AND(R1206="Valid",OR(P1206="Pass",P1206="N/A")),"Complete","Unresolved"))</x:f>
      </x:c>
      <x:c r="R1206" s="9" t="str">
        <x:f>IF(C1206="","",IF(OR(COUNTIF($C$9:$C$2008,C1206)&lt;&gt;1,COUNTIFS($D$9:$D$2008,D1206,$E$9:$E$2008,E1206)&lt;&gt;1),"Duplicate test",IF(COUNTIF('Taxonomy'!$C$9:$C$108,D1206)&lt;&gt;1,"Assessment key",IF(OR(COUNTIF('Taxonomy Rules'!$C$42:$C$68,E1206)&lt;&gt;1,F1206&lt;&gt;IFERROR(INDEX('Taxonomy Rules'!$D$42:$D$68,MATCH(E1206,'Taxonomy Rules'!$C$42:$C$68,0)),""),NOT(OR(IFERROR(INDEX('Taxonomy Rules'!$G$42:$G$68,MATCH(E1206,'Taxonomy Rules'!$C$42:$C$68,0)),"")="All supported routes",IFERROR(INDEX('Taxonomy Rules'!$G$42:$G$68,MATCH(E1206,'Taxonomy Rules'!$C$42:$C$68,0)),"")=U1206,AND(IFERROR(INDEX('Taxonomy Rules'!$G$42:$G$68,MATCH(E1206,'Taxonomy Rules'!$C$42:$C$68,0)),"")="Building routes",OR(U1206="Building renovation",U1206="New building",U1206="Building equipment"))))),"Unexpected test","Valid"))))</x:f>
      </x:c>
      <x:c r="S1206" s="9" t="str">
        <x:f>IF(C1206="","",IFERROR(INDEX('Taxonomy Rules'!$E$42:$E$68,MATCH(E1206,'Taxonomy Rules'!$C$42:$C$68,0)),""))</x:f>
      </x:c>
      <x:c r="T1206" s="9" t="str">
        <x:f>IF(C1206="","",IFERROR(INDEX('Taxonomy Rules'!$F$42:$F$68,MATCH(E1206,'Taxonomy Rules'!$C$42:$C$68,0)),""))</x:f>
      </x:c>
      <x:c r="U1206" s="9" t="str">
        <x:f>IF(C1206="","",IFERROR(INDEX('Taxonomy'!$G$9:$G$108,MATCH(D1206,'Taxonomy'!$C$9:$C$108,0)),""))</x:f>
      </x:c>
    </x:row>
    <x:row r="1207" ht="44" customHeight="1">
      <x:c r="A1207" s="1"/>
      <x:c r="B1207" s="1"/>
      <x:c r="C1207" s="8"/>
      <x:c r="D1207" s="8"/>
      <x:c r="E1207" s="8"/>
      <x:c r="F1207" s="8"/>
      <x:c r="G1207" s="8"/>
      <x:c r="H1207" s="8"/>
      <x:c r="I1207" s="8"/>
      <x:c r="J1207" s="8"/>
      <x:c r="K1207" s="8"/>
      <x:c r="L1207" s="8"/>
      <x:c r="M1207" s="10"/>
      <x:c r="N1207" s="10"/>
      <x:c r="O1207" s="8"/>
      <x:c r="P1207" s="9" t="str">
        <x:f>IF(C1207="","",IF(AND(G1207="Applicable",H1207="Fail"),"Fail",IF(R1207&lt;&gt;"Valid","Pending",IF(OR(I1207="",K1207="",L1207="",K1207=L1207,NOT(ISNUMBER(M1207)),NOT(ISNUMBER(N1207)),M1207&gt;Settings!$F$8,N1207&lt;Settings!$F$8,N1207&lt;M1207),"Pending",IF(AND(G1207="Applicable",H1207="Pass"),"Pass",IF(AND(G1207="N/A",H1207="N/A",J1207&lt;&gt;"",OR(E1207="CEM-FUELS",E1207="CEM-CCS",AND(E1207="CEM-PLAN",IFERROR(INDEX('Taxonomy'!$M$9:$M$108,MATCH(D1207,'Taxonomy'!$C$9:$C$108,0)),"")&lt;&gt;"Amber"),E1207="BLD-TIMBER",AND(U1207="Building equipment",OR(E1207="BLD-WATER",E1207="BLD-WASTE",E1207="BLD-LAND")),AND(U1207="Building renovation",E1207="BLD-LAND"))),"N/A","Pending"))))))</x:f>
      </x:c>
      <x:c r="Q1207" s="3" t="str">
        <x:f>IF(C1207="","",IF(AND(R1207="Valid",OR(P1207="Pass",P1207="N/A")),"Complete","Unresolved"))</x:f>
      </x:c>
      <x:c r="R1207" s="9" t="str">
        <x:f>IF(C1207="","",IF(OR(COUNTIF($C$9:$C$2008,C1207)&lt;&gt;1,COUNTIFS($D$9:$D$2008,D1207,$E$9:$E$2008,E1207)&lt;&gt;1),"Duplicate test",IF(COUNTIF('Taxonomy'!$C$9:$C$108,D1207)&lt;&gt;1,"Assessment key",IF(OR(COUNTIF('Taxonomy Rules'!$C$42:$C$68,E1207)&lt;&gt;1,F1207&lt;&gt;IFERROR(INDEX('Taxonomy Rules'!$D$42:$D$68,MATCH(E1207,'Taxonomy Rules'!$C$42:$C$68,0)),""),NOT(OR(IFERROR(INDEX('Taxonomy Rules'!$G$42:$G$68,MATCH(E1207,'Taxonomy Rules'!$C$42:$C$68,0)),"")="All supported routes",IFERROR(INDEX('Taxonomy Rules'!$G$42:$G$68,MATCH(E1207,'Taxonomy Rules'!$C$42:$C$68,0)),"")=U1207,AND(IFERROR(INDEX('Taxonomy Rules'!$G$42:$G$68,MATCH(E1207,'Taxonomy Rules'!$C$42:$C$68,0)),"")="Building routes",OR(U1207="Building renovation",U1207="New building",U1207="Building equipment"))))),"Unexpected test","Valid"))))</x:f>
      </x:c>
      <x:c r="S1207" s="9" t="str">
        <x:f>IF(C1207="","",IFERROR(INDEX('Taxonomy Rules'!$E$42:$E$68,MATCH(E1207,'Taxonomy Rules'!$C$42:$C$68,0)),""))</x:f>
      </x:c>
      <x:c r="T1207" s="9" t="str">
        <x:f>IF(C1207="","",IFERROR(INDEX('Taxonomy Rules'!$F$42:$F$68,MATCH(E1207,'Taxonomy Rules'!$C$42:$C$68,0)),""))</x:f>
      </x:c>
      <x:c r="U1207" s="9" t="str">
        <x:f>IF(C1207="","",IFERROR(INDEX('Taxonomy'!$G$9:$G$108,MATCH(D1207,'Taxonomy'!$C$9:$C$108,0)),""))</x:f>
      </x:c>
    </x:row>
    <x:row r="1208" ht="44" customHeight="1">
      <x:c r="A1208" s="1"/>
      <x:c r="B1208" s="1"/>
      <x:c r="C1208" s="8"/>
      <x:c r="D1208" s="8"/>
      <x:c r="E1208" s="8"/>
      <x:c r="F1208" s="8"/>
      <x:c r="G1208" s="8"/>
      <x:c r="H1208" s="8"/>
      <x:c r="I1208" s="8"/>
      <x:c r="J1208" s="8"/>
      <x:c r="K1208" s="8"/>
      <x:c r="L1208" s="8"/>
      <x:c r="M1208" s="10"/>
      <x:c r="N1208" s="10"/>
      <x:c r="O1208" s="8"/>
      <x:c r="P1208" s="9" t="str">
        <x:f>IF(C1208="","",IF(AND(G1208="Applicable",H1208="Fail"),"Fail",IF(R1208&lt;&gt;"Valid","Pending",IF(OR(I1208="",K1208="",L1208="",K1208=L1208,NOT(ISNUMBER(M1208)),NOT(ISNUMBER(N1208)),M1208&gt;Settings!$F$8,N1208&lt;Settings!$F$8,N1208&lt;M1208),"Pending",IF(AND(G1208="Applicable",H1208="Pass"),"Pass",IF(AND(G1208="N/A",H1208="N/A",J1208&lt;&gt;"",OR(E1208="CEM-FUELS",E1208="CEM-CCS",AND(E1208="CEM-PLAN",IFERROR(INDEX('Taxonomy'!$M$9:$M$108,MATCH(D1208,'Taxonomy'!$C$9:$C$108,0)),"")&lt;&gt;"Amber"),E1208="BLD-TIMBER",AND(U1208="Building equipment",OR(E1208="BLD-WATER",E1208="BLD-WASTE",E1208="BLD-LAND")),AND(U1208="Building renovation",E1208="BLD-LAND"))),"N/A","Pending"))))))</x:f>
      </x:c>
      <x:c r="Q1208" s="3" t="str">
        <x:f>IF(C1208="","",IF(AND(R1208="Valid",OR(P1208="Pass",P1208="N/A")),"Complete","Unresolved"))</x:f>
      </x:c>
      <x:c r="R1208" s="9" t="str">
        <x:f>IF(C1208="","",IF(OR(COUNTIF($C$9:$C$2008,C1208)&lt;&gt;1,COUNTIFS($D$9:$D$2008,D1208,$E$9:$E$2008,E1208)&lt;&gt;1),"Duplicate test",IF(COUNTIF('Taxonomy'!$C$9:$C$108,D1208)&lt;&gt;1,"Assessment key",IF(OR(COUNTIF('Taxonomy Rules'!$C$42:$C$68,E1208)&lt;&gt;1,F1208&lt;&gt;IFERROR(INDEX('Taxonomy Rules'!$D$42:$D$68,MATCH(E1208,'Taxonomy Rules'!$C$42:$C$68,0)),""),NOT(OR(IFERROR(INDEX('Taxonomy Rules'!$G$42:$G$68,MATCH(E1208,'Taxonomy Rules'!$C$42:$C$68,0)),"")="All supported routes",IFERROR(INDEX('Taxonomy Rules'!$G$42:$G$68,MATCH(E1208,'Taxonomy Rules'!$C$42:$C$68,0)),"")=U1208,AND(IFERROR(INDEX('Taxonomy Rules'!$G$42:$G$68,MATCH(E1208,'Taxonomy Rules'!$C$42:$C$68,0)),"")="Building routes",OR(U1208="Building renovation",U1208="New building",U1208="Building equipment"))))),"Unexpected test","Valid"))))</x:f>
      </x:c>
      <x:c r="S1208" s="9" t="str">
        <x:f>IF(C1208="","",IFERROR(INDEX('Taxonomy Rules'!$E$42:$E$68,MATCH(E1208,'Taxonomy Rules'!$C$42:$C$68,0)),""))</x:f>
      </x:c>
      <x:c r="T1208" s="9" t="str">
        <x:f>IF(C1208="","",IFERROR(INDEX('Taxonomy Rules'!$F$42:$F$68,MATCH(E1208,'Taxonomy Rules'!$C$42:$C$68,0)),""))</x:f>
      </x:c>
      <x:c r="U1208" s="9" t="str">
        <x:f>IF(C1208="","",IFERROR(INDEX('Taxonomy'!$G$9:$G$108,MATCH(D1208,'Taxonomy'!$C$9:$C$108,0)),""))</x:f>
      </x:c>
    </x:row>
    <x:row r="1209" ht="44" customHeight="1">
      <x:c r="A1209" s="1"/>
      <x:c r="B1209" s="1"/>
      <x:c r="C1209" s="8"/>
      <x:c r="D1209" s="8"/>
      <x:c r="E1209" s="8"/>
      <x:c r="F1209" s="8"/>
      <x:c r="G1209" s="8"/>
      <x:c r="H1209" s="8"/>
      <x:c r="I1209" s="8"/>
      <x:c r="J1209" s="8"/>
      <x:c r="K1209" s="8"/>
      <x:c r="L1209" s="8"/>
      <x:c r="M1209" s="10"/>
      <x:c r="N1209" s="10"/>
      <x:c r="O1209" s="8"/>
      <x:c r="P1209" s="9" t="str">
        <x:f>IF(C1209="","",IF(AND(G1209="Applicable",H1209="Fail"),"Fail",IF(R1209&lt;&gt;"Valid","Pending",IF(OR(I1209="",K1209="",L1209="",K1209=L1209,NOT(ISNUMBER(M1209)),NOT(ISNUMBER(N1209)),M1209&gt;Settings!$F$8,N1209&lt;Settings!$F$8,N1209&lt;M1209),"Pending",IF(AND(G1209="Applicable",H1209="Pass"),"Pass",IF(AND(G1209="N/A",H1209="N/A",J1209&lt;&gt;"",OR(E1209="CEM-FUELS",E1209="CEM-CCS",AND(E1209="CEM-PLAN",IFERROR(INDEX('Taxonomy'!$M$9:$M$108,MATCH(D1209,'Taxonomy'!$C$9:$C$108,0)),"")&lt;&gt;"Amber"),E1209="BLD-TIMBER",AND(U1209="Building equipment",OR(E1209="BLD-WATER",E1209="BLD-WASTE",E1209="BLD-LAND")),AND(U1209="Building renovation",E1209="BLD-LAND"))),"N/A","Pending"))))))</x:f>
      </x:c>
      <x:c r="Q1209" s="3" t="str">
        <x:f>IF(C1209="","",IF(AND(R1209="Valid",OR(P1209="Pass",P1209="N/A")),"Complete","Unresolved"))</x:f>
      </x:c>
      <x:c r="R1209" s="9" t="str">
        <x:f>IF(C1209="","",IF(OR(COUNTIF($C$9:$C$2008,C1209)&lt;&gt;1,COUNTIFS($D$9:$D$2008,D1209,$E$9:$E$2008,E1209)&lt;&gt;1),"Duplicate test",IF(COUNTIF('Taxonomy'!$C$9:$C$108,D1209)&lt;&gt;1,"Assessment key",IF(OR(COUNTIF('Taxonomy Rules'!$C$42:$C$68,E1209)&lt;&gt;1,F1209&lt;&gt;IFERROR(INDEX('Taxonomy Rules'!$D$42:$D$68,MATCH(E1209,'Taxonomy Rules'!$C$42:$C$68,0)),""),NOT(OR(IFERROR(INDEX('Taxonomy Rules'!$G$42:$G$68,MATCH(E1209,'Taxonomy Rules'!$C$42:$C$68,0)),"")="All supported routes",IFERROR(INDEX('Taxonomy Rules'!$G$42:$G$68,MATCH(E1209,'Taxonomy Rules'!$C$42:$C$68,0)),"")=U1209,AND(IFERROR(INDEX('Taxonomy Rules'!$G$42:$G$68,MATCH(E1209,'Taxonomy Rules'!$C$42:$C$68,0)),"")="Building routes",OR(U1209="Building renovation",U1209="New building",U1209="Building equipment"))))),"Unexpected test","Valid"))))</x:f>
      </x:c>
      <x:c r="S1209" s="9" t="str">
        <x:f>IF(C1209="","",IFERROR(INDEX('Taxonomy Rules'!$E$42:$E$68,MATCH(E1209,'Taxonomy Rules'!$C$42:$C$68,0)),""))</x:f>
      </x:c>
      <x:c r="T1209" s="9" t="str">
        <x:f>IF(C1209="","",IFERROR(INDEX('Taxonomy Rules'!$F$42:$F$68,MATCH(E1209,'Taxonomy Rules'!$C$42:$C$68,0)),""))</x:f>
      </x:c>
      <x:c r="U1209" s="9" t="str">
        <x:f>IF(C1209="","",IFERROR(INDEX('Taxonomy'!$G$9:$G$108,MATCH(D1209,'Taxonomy'!$C$9:$C$108,0)),""))</x:f>
      </x:c>
    </x:row>
    <x:row r="1210" ht="44" customHeight="1">
      <x:c r="A1210" s="1"/>
      <x:c r="B1210" s="1"/>
      <x:c r="C1210" s="8"/>
      <x:c r="D1210" s="8"/>
      <x:c r="E1210" s="8"/>
      <x:c r="F1210" s="8"/>
      <x:c r="G1210" s="8"/>
      <x:c r="H1210" s="8"/>
      <x:c r="I1210" s="8"/>
      <x:c r="J1210" s="8"/>
      <x:c r="K1210" s="8"/>
      <x:c r="L1210" s="8"/>
      <x:c r="M1210" s="10"/>
      <x:c r="N1210" s="10"/>
      <x:c r="O1210" s="8"/>
      <x:c r="P1210" s="9" t="str">
        <x:f>IF(C1210="","",IF(AND(G1210="Applicable",H1210="Fail"),"Fail",IF(R1210&lt;&gt;"Valid","Pending",IF(OR(I1210="",K1210="",L1210="",K1210=L1210,NOT(ISNUMBER(M1210)),NOT(ISNUMBER(N1210)),M1210&gt;Settings!$F$8,N1210&lt;Settings!$F$8,N1210&lt;M1210),"Pending",IF(AND(G1210="Applicable",H1210="Pass"),"Pass",IF(AND(G1210="N/A",H1210="N/A",J1210&lt;&gt;"",OR(E1210="CEM-FUELS",E1210="CEM-CCS",AND(E1210="CEM-PLAN",IFERROR(INDEX('Taxonomy'!$M$9:$M$108,MATCH(D1210,'Taxonomy'!$C$9:$C$108,0)),"")&lt;&gt;"Amber"),E1210="BLD-TIMBER",AND(U1210="Building equipment",OR(E1210="BLD-WATER",E1210="BLD-WASTE",E1210="BLD-LAND")),AND(U1210="Building renovation",E1210="BLD-LAND"))),"N/A","Pending"))))))</x:f>
      </x:c>
      <x:c r="Q1210" s="3" t="str">
        <x:f>IF(C1210="","",IF(AND(R1210="Valid",OR(P1210="Pass",P1210="N/A")),"Complete","Unresolved"))</x:f>
      </x:c>
      <x:c r="R1210" s="9" t="str">
        <x:f>IF(C1210="","",IF(OR(COUNTIF($C$9:$C$2008,C1210)&lt;&gt;1,COUNTIFS($D$9:$D$2008,D1210,$E$9:$E$2008,E1210)&lt;&gt;1),"Duplicate test",IF(COUNTIF('Taxonomy'!$C$9:$C$108,D1210)&lt;&gt;1,"Assessment key",IF(OR(COUNTIF('Taxonomy Rules'!$C$42:$C$68,E1210)&lt;&gt;1,F1210&lt;&gt;IFERROR(INDEX('Taxonomy Rules'!$D$42:$D$68,MATCH(E1210,'Taxonomy Rules'!$C$42:$C$68,0)),""),NOT(OR(IFERROR(INDEX('Taxonomy Rules'!$G$42:$G$68,MATCH(E1210,'Taxonomy Rules'!$C$42:$C$68,0)),"")="All supported routes",IFERROR(INDEX('Taxonomy Rules'!$G$42:$G$68,MATCH(E1210,'Taxonomy Rules'!$C$42:$C$68,0)),"")=U1210,AND(IFERROR(INDEX('Taxonomy Rules'!$G$42:$G$68,MATCH(E1210,'Taxonomy Rules'!$C$42:$C$68,0)),"")="Building routes",OR(U1210="Building renovation",U1210="New building",U1210="Building equipment"))))),"Unexpected test","Valid"))))</x:f>
      </x:c>
      <x:c r="S1210" s="9" t="str">
        <x:f>IF(C1210="","",IFERROR(INDEX('Taxonomy Rules'!$E$42:$E$68,MATCH(E1210,'Taxonomy Rules'!$C$42:$C$68,0)),""))</x:f>
      </x:c>
      <x:c r="T1210" s="9" t="str">
        <x:f>IF(C1210="","",IFERROR(INDEX('Taxonomy Rules'!$F$42:$F$68,MATCH(E1210,'Taxonomy Rules'!$C$42:$C$68,0)),""))</x:f>
      </x:c>
      <x:c r="U1210" s="9" t="str">
        <x:f>IF(C1210="","",IFERROR(INDEX('Taxonomy'!$G$9:$G$108,MATCH(D1210,'Taxonomy'!$C$9:$C$108,0)),""))</x:f>
      </x:c>
    </x:row>
    <x:row r="1211" ht="44" customHeight="1">
      <x:c r="A1211" s="1"/>
      <x:c r="B1211" s="1"/>
      <x:c r="C1211" s="8"/>
      <x:c r="D1211" s="8"/>
      <x:c r="E1211" s="8"/>
      <x:c r="F1211" s="8"/>
      <x:c r="G1211" s="8"/>
      <x:c r="H1211" s="8"/>
      <x:c r="I1211" s="8"/>
      <x:c r="J1211" s="8"/>
      <x:c r="K1211" s="8"/>
      <x:c r="L1211" s="8"/>
      <x:c r="M1211" s="10"/>
      <x:c r="N1211" s="10"/>
      <x:c r="O1211" s="8"/>
      <x:c r="P1211" s="9" t="str">
        <x:f>IF(C1211="","",IF(AND(G1211="Applicable",H1211="Fail"),"Fail",IF(R1211&lt;&gt;"Valid","Pending",IF(OR(I1211="",K1211="",L1211="",K1211=L1211,NOT(ISNUMBER(M1211)),NOT(ISNUMBER(N1211)),M1211&gt;Settings!$F$8,N1211&lt;Settings!$F$8,N1211&lt;M1211),"Pending",IF(AND(G1211="Applicable",H1211="Pass"),"Pass",IF(AND(G1211="N/A",H1211="N/A",J1211&lt;&gt;"",OR(E1211="CEM-FUELS",E1211="CEM-CCS",AND(E1211="CEM-PLAN",IFERROR(INDEX('Taxonomy'!$M$9:$M$108,MATCH(D1211,'Taxonomy'!$C$9:$C$108,0)),"")&lt;&gt;"Amber"),E1211="BLD-TIMBER",AND(U1211="Building equipment",OR(E1211="BLD-WATER",E1211="BLD-WASTE",E1211="BLD-LAND")),AND(U1211="Building renovation",E1211="BLD-LAND"))),"N/A","Pending"))))))</x:f>
      </x:c>
      <x:c r="Q1211" s="3" t="str">
        <x:f>IF(C1211="","",IF(AND(R1211="Valid",OR(P1211="Pass",P1211="N/A")),"Complete","Unresolved"))</x:f>
      </x:c>
      <x:c r="R1211" s="9" t="str">
        <x:f>IF(C1211="","",IF(OR(COUNTIF($C$9:$C$2008,C1211)&lt;&gt;1,COUNTIFS($D$9:$D$2008,D1211,$E$9:$E$2008,E1211)&lt;&gt;1),"Duplicate test",IF(COUNTIF('Taxonomy'!$C$9:$C$108,D1211)&lt;&gt;1,"Assessment key",IF(OR(COUNTIF('Taxonomy Rules'!$C$42:$C$68,E1211)&lt;&gt;1,F1211&lt;&gt;IFERROR(INDEX('Taxonomy Rules'!$D$42:$D$68,MATCH(E1211,'Taxonomy Rules'!$C$42:$C$68,0)),""),NOT(OR(IFERROR(INDEX('Taxonomy Rules'!$G$42:$G$68,MATCH(E1211,'Taxonomy Rules'!$C$42:$C$68,0)),"")="All supported routes",IFERROR(INDEX('Taxonomy Rules'!$G$42:$G$68,MATCH(E1211,'Taxonomy Rules'!$C$42:$C$68,0)),"")=U1211,AND(IFERROR(INDEX('Taxonomy Rules'!$G$42:$G$68,MATCH(E1211,'Taxonomy Rules'!$C$42:$C$68,0)),"")="Building routes",OR(U1211="Building renovation",U1211="New building",U1211="Building equipment"))))),"Unexpected test","Valid"))))</x:f>
      </x:c>
      <x:c r="S1211" s="9" t="str">
        <x:f>IF(C1211="","",IFERROR(INDEX('Taxonomy Rules'!$E$42:$E$68,MATCH(E1211,'Taxonomy Rules'!$C$42:$C$68,0)),""))</x:f>
      </x:c>
      <x:c r="T1211" s="9" t="str">
        <x:f>IF(C1211="","",IFERROR(INDEX('Taxonomy Rules'!$F$42:$F$68,MATCH(E1211,'Taxonomy Rules'!$C$42:$C$68,0)),""))</x:f>
      </x:c>
      <x:c r="U1211" s="9" t="str">
        <x:f>IF(C1211="","",IFERROR(INDEX('Taxonomy'!$G$9:$G$108,MATCH(D1211,'Taxonomy'!$C$9:$C$108,0)),""))</x:f>
      </x:c>
    </x:row>
    <x:row r="1212" ht="44" customHeight="1">
      <x:c r="A1212" s="1"/>
      <x:c r="B1212" s="1"/>
      <x:c r="C1212" s="8"/>
      <x:c r="D1212" s="8"/>
      <x:c r="E1212" s="8"/>
      <x:c r="F1212" s="8"/>
      <x:c r="G1212" s="8"/>
      <x:c r="H1212" s="8"/>
      <x:c r="I1212" s="8"/>
      <x:c r="J1212" s="8"/>
      <x:c r="K1212" s="8"/>
      <x:c r="L1212" s="8"/>
      <x:c r="M1212" s="10"/>
      <x:c r="N1212" s="10"/>
      <x:c r="O1212" s="8"/>
      <x:c r="P1212" s="9" t="str">
        <x:f>IF(C1212="","",IF(AND(G1212="Applicable",H1212="Fail"),"Fail",IF(R1212&lt;&gt;"Valid","Pending",IF(OR(I1212="",K1212="",L1212="",K1212=L1212,NOT(ISNUMBER(M1212)),NOT(ISNUMBER(N1212)),M1212&gt;Settings!$F$8,N1212&lt;Settings!$F$8,N1212&lt;M1212),"Pending",IF(AND(G1212="Applicable",H1212="Pass"),"Pass",IF(AND(G1212="N/A",H1212="N/A",J1212&lt;&gt;"",OR(E1212="CEM-FUELS",E1212="CEM-CCS",AND(E1212="CEM-PLAN",IFERROR(INDEX('Taxonomy'!$M$9:$M$108,MATCH(D1212,'Taxonomy'!$C$9:$C$108,0)),"")&lt;&gt;"Amber"),E1212="BLD-TIMBER",AND(U1212="Building equipment",OR(E1212="BLD-WATER",E1212="BLD-WASTE",E1212="BLD-LAND")),AND(U1212="Building renovation",E1212="BLD-LAND"))),"N/A","Pending"))))))</x:f>
      </x:c>
      <x:c r="Q1212" s="3" t="str">
        <x:f>IF(C1212="","",IF(AND(R1212="Valid",OR(P1212="Pass",P1212="N/A")),"Complete","Unresolved"))</x:f>
      </x:c>
      <x:c r="R1212" s="9" t="str">
        <x:f>IF(C1212="","",IF(OR(COUNTIF($C$9:$C$2008,C1212)&lt;&gt;1,COUNTIFS($D$9:$D$2008,D1212,$E$9:$E$2008,E1212)&lt;&gt;1),"Duplicate test",IF(COUNTIF('Taxonomy'!$C$9:$C$108,D1212)&lt;&gt;1,"Assessment key",IF(OR(COUNTIF('Taxonomy Rules'!$C$42:$C$68,E1212)&lt;&gt;1,F1212&lt;&gt;IFERROR(INDEX('Taxonomy Rules'!$D$42:$D$68,MATCH(E1212,'Taxonomy Rules'!$C$42:$C$68,0)),""),NOT(OR(IFERROR(INDEX('Taxonomy Rules'!$G$42:$G$68,MATCH(E1212,'Taxonomy Rules'!$C$42:$C$68,0)),"")="All supported routes",IFERROR(INDEX('Taxonomy Rules'!$G$42:$G$68,MATCH(E1212,'Taxonomy Rules'!$C$42:$C$68,0)),"")=U1212,AND(IFERROR(INDEX('Taxonomy Rules'!$G$42:$G$68,MATCH(E1212,'Taxonomy Rules'!$C$42:$C$68,0)),"")="Building routes",OR(U1212="Building renovation",U1212="New building",U1212="Building equipment"))))),"Unexpected test","Valid"))))</x:f>
      </x:c>
      <x:c r="S1212" s="9" t="str">
        <x:f>IF(C1212="","",IFERROR(INDEX('Taxonomy Rules'!$E$42:$E$68,MATCH(E1212,'Taxonomy Rules'!$C$42:$C$68,0)),""))</x:f>
      </x:c>
      <x:c r="T1212" s="9" t="str">
        <x:f>IF(C1212="","",IFERROR(INDEX('Taxonomy Rules'!$F$42:$F$68,MATCH(E1212,'Taxonomy Rules'!$C$42:$C$68,0)),""))</x:f>
      </x:c>
      <x:c r="U1212" s="9" t="str">
        <x:f>IF(C1212="","",IFERROR(INDEX('Taxonomy'!$G$9:$G$108,MATCH(D1212,'Taxonomy'!$C$9:$C$108,0)),""))</x:f>
      </x:c>
    </x:row>
    <x:row r="1213" ht="44" customHeight="1">
      <x:c r="A1213" s="1"/>
      <x:c r="B1213" s="1"/>
      <x:c r="C1213" s="8"/>
      <x:c r="D1213" s="8"/>
      <x:c r="E1213" s="8"/>
      <x:c r="F1213" s="8"/>
      <x:c r="G1213" s="8"/>
      <x:c r="H1213" s="8"/>
      <x:c r="I1213" s="8"/>
      <x:c r="J1213" s="8"/>
      <x:c r="K1213" s="8"/>
      <x:c r="L1213" s="8"/>
      <x:c r="M1213" s="10"/>
      <x:c r="N1213" s="10"/>
      <x:c r="O1213" s="8"/>
      <x:c r="P1213" s="9" t="str">
        <x:f>IF(C1213="","",IF(AND(G1213="Applicable",H1213="Fail"),"Fail",IF(R1213&lt;&gt;"Valid","Pending",IF(OR(I1213="",K1213="",L1213="",K1213=L1213,NOT(ISNUMBER(M1213)),NOT(ISNUMBER(N1213)),M1213&gt;Settings!$F$8,N1213&lt;Settings!$F$8,N1213&lt;M1213),"Pending",IF(AND(G1213="Applicable",H1213="Pass"),"Pass",IF(AND(G1213="N/A",H1213="N/A",J1213&lt;&gt;"",OR(E1213="CEM-FUELS",E1213="CEM-CCS",AND(E1213="CEM-PLAN",IFERROR(INDEX('Taxonomy'!$M$9:$M$108,MATCH(D1213,'Taxonomy'!$C$9:$C$108,0)),"")&lt;&gt;"Amber"),E1213="BLD-TIMBER",AND(U1213="Building equipment",OR(E1213="BLD-WATER",E1213="BLD-WASTE",E1213="BLD-LAND")),AND(U1213="Building renovation",E1213="BLD-LAND"))),"N/A","Pending"))))))</x:f>
      </x:c>
      <x:c r="Q1213" s="3" t="str">
        <x:f>IF(C1213="","",IF(AND(R1213="Valid",OR(P1213="Pass",P1213="N/A")),"Complete","Unresolved"))</x:f>
      </x:c>
      <x:c r="R1213" s="9" t="str">
        <x:f>IF(C1213="","",IF(OR(COUNTIF($C$9:$C$2008,C1213)&lt;&gt;1,COUNTIFS($D$9:$D$2008,D1213,$E$9:$E$2008,E1213)&lt;&gt;1),"Duplicate test",IF(COUNTIF('Taxonomy'!$C$9:$C$108,D1213)&lt;&gt;1,"Assessment key",IF(OR(COUNTIF('Taxonomy Rules'!$C$42:$C$68,E1213)&lt;&gt;1,F1213&lt;&gt;IFERROR(INDEX('Taxonomy Rules'!$D$42:$D$68,MATCH(E1213,'Taxonomy Rules'!$C$42:$C$68,0)),""),NOT(OR(IFERROR(INDEX('Taxonomy Rules'!$G$42:$G$68,MATCH(E1213,'Taxonomy Rules'!$C$42:$C$68,0)),"")="All supported routes",IFERROR(INDEX('Taxonomy Rules'!$G$42:$G$68,MATCH(E1213,'Taxonomy Rules'!$C$42:$C$68,0)),"")=U1213,AND(IFERROR(INDEX('Taxonomy Rules'!$G$42:$G$68,MATCH(E1213,'Taxonomy Rules'!$C$42:$C$68,0)),"")="Building routes",OR(U1213="Building renovation",U1213="New building",U1213="Building equipment"))))),"Unexpected test","Valid"))))</x:f>
      </x:c>
      <x:c r="S1213" s="9" t="str">
        <x:f>IF(C1213="","",IFERROR(INDEX('Taxonomy Rules'!$E$42:$E$68,MATCH(E1213,'Taxonomy Rules'!$C$42:$C$68,0)),""))</x:f>
      </x:c>
      <x:c r="T1213" s="9" t="str">
        <x:f>IF(C1213="","",IFERROR(INDEX('Taxonomy Rules'!$F$42:$F$68,MATCH(E1213,'Taxonomy Rules'!$C$42:$C$68,0)),""))</x:f>
      </x:c>
      <x:c r="U1213" s="9" t="str">
        <x:f>IF(C1213="","",IFERROR(INDEX('Taxonomy'!$G$9:$G$108,MATCH(D1213,'Taxonomy'!$C$9:$C$108,0)),""))</x:f>
      </x:c>
    </x:row>
    <x:row r="1214" ht="44" customHeight="1">
      <x:c r="A1214" s="1"/>
      <x:c r="B1214" s="1"/>
      <x:c r="C1214" s="8"/>
      <x:c r="D1214" s="8"/>
      <x:c r="E1214" s="8"/>
      <x:c r="F1214" s="8"/>
      <x:c r="G1214" s="8"/>
      <x:c r="H1214" s="8"/>
      <x:c r="I1214" s="8"/>
      <x:c r="J1214" s="8"/>
      <x:c r="K1214" s="8"/>
      <x:c r="L1214" s="8"/>
      <x:c r="M1214" s="10"/>
      <x:c r="N1214" s="10"/>
      <x:c r="O1214" s="8"/>
      <x:c r="P1214" s="9" t="str">
        <x:f>IF(C1214="","",IF(AND(G1214="Applicable",H1214="Fail"),"Fail",IF(R1214&lt;&gt;"Valid","Pending",IF(OR(I1214="",K1214="",L1214="",K1214=L1214,NOT(ISNUMBER(M1214)),NOT(ISNUMBER(N1214)),M1214&gt;Settings!$F$8,N1214&lt;Settings!$F$8,N1214&lt;M1214),"Pending",IF(AND(G1214="Applicable",H1214="Pass"),"Pass",IF(AND(G1214="N/A",H1214="N/A",J1214&lt;&gt;"",OR(E1214="CEM-FUELS",E1214="CEM-CCS",AND(E1214="CEM-PLAN",IFERROR(INDEX('Taxonomy'!$M$9:$M$108,MATCH(D1214,'Taxonomy'!$C$9:$C$108,0)),"")&lt;&gt;"Amber"),E1214="BLD-TIMBER",AND(U1214="Building equipment",OR(E1214="BLD-WATER",E1214="BLD-WASTE",E1214="BLD-LAND")),AND(U1214="Building renovation",E1214="BLD-LAND"))),"N/A","Pending"))))))</x:f>
      </x:c>
      <x:c r="Q1214" s="3" t="str">
        <x:f>IF(C1214="","",IF(AND(R1214="Valid",OR(P1214="Pass",P1214="N/A")),"Complete","Unresolved"))</x:f>
      </x:c>
      <x:c r="R1214" s="9" t="str">
        <x:f>IF(C1214="","",IF(OR(COUNTIF($C$9:$C$2008,C1214)&lt;&gt;1,COUNTIFS($D$9:$D$2008,D1214,$E$9:$E$2008,E1214)&lt;&gt;1),"Duplicate test",IF(COUNTIF('Taxonomy'!$C$9:$C$108,D1214)&lt;&gt;1,"Assessment key",IF(OR(COUNTIF('Taxonomy Rules'!$C$42:$C$68,E1214)&lt;&gt;1,F1214&lt;&gt;IFERROR(INDEX('Taxonomy Rules'!$D$42:$D$68,MATCH(E1214,'Taxonomy Rules'!$C$42:$C$68,0)),""),NOT(OR(IFERROR(INDEX('Taxonomy Rules'!$G$42:$G$68,MATCH(E1214,'Taxonomy Rules'!$C$42:$C$68,0)),"")="All supported routes",IFERROR(INDEX('Taxonomy Rules'!$G$42:$G$68,MATCH(E1214,'Taxonomy Rules'!$C$42:$C$68,0)),"")=U1214,AND(IFERROR(INDEX('Taxonomy Rules'!$G$42:$G$68,MATCH(E1214,'Taxonomy Rules'!$C$42:$C$68,0)),"")="Building routes",OR(U1214="Building renovation",U1214="New building",U1214="Building equipment"))))),"Unexpected test","Valid"))))</x:f>
      </x:c>
      <x:c r="S1214" s="9" t="str">
        <x:f>IF(C1214="","",IFERROR(INDEX('Taxonomy Rules'!$E$42:$E$68,MATCH(E1214,'Taxonomy Rules'!$C$42:$C$68,0)),""))</x:f>
      </x:c>
      <x:c r="T1214" s="9" t="str">
        <x:f>IF(C1214="","",IFERROR(INDEX('Taxonomy Rules'!$F$42:$F$68,MATCH(E1214,'Taxonomy Rules'!$C$42:$C$68,0)),""))</x:f>
      </x:c>
      <x:c r="U1214" s="9" t="str">
        <x:f>IF(C1214="","",IFERROR(INDEX('Taxonomy'!$G$9:$G$108,MATCH(D1214,'Taxonomy'!$C$9:$C$108,0)),""))</x:f>
      </x:c>
    </x:row>
    <x:row r="1215" ht="44" customHeight="1">
      <x:c r="A1215" s="1"/>
      <x:c r="B1215" s="1"/>
      <x:c r="C1215" s="8"/>
      <x:c r="D1215" s="8"/>
      <x:c r="E1215" s="8"/>
      <x:c r="F1215" s="8"/>
      <x:c r="G1215" s="8"/>
      <x:c r="H1215" s="8"/>
      <x:c r="I1215" s="8"/>
      <x:c r="J1215" s="8"/>
      <x:c r="K1215" s="8"/>
      <x:c r="L1215" s="8"/>
      <x:c r="M1215" s="10"/>
      <x:c r="N1215" s="10"/>
      <x:c r="O1215" s="8"/>
      <x:c r="P1215" s="9" t="str">
        <x:f>IF(C1215="","",IF(AND(G1215="Applicable",H1215="Fail"),"Fail",IF(R1215&lt;&gt;"Valid","Pending",IF(OR(I1215="",K1215="",L1215="",K1215=L1215,NOT(ISNUMBER(M1215)),NOT(ISNUMBER(N1215)),M1215&gt;Settings!$F$8,N1215&lt;Settings!$F$8,N1215&lt;M1215),"Pending",IF(AND(G1215="Applicable",H1215="Pass"),"Pass",IF(AND(G1215="N/A",H1215="N/A",J1215&lt;&gt;"",OR(E1215="CEM-FUELS",E1215="CEM-CCS",AND(E1215="CEM-PLAN",IFERROR(INDEX('Taxonomy'!$M$9:$M$108,MATCH(D1215,'Taxonomy'!$C$9:$C$108,0)),"")&lt;&gt;"Amber"),E1215="BLD-TIMBER",AND(U1215="Building equipment",OR(E1215="BLD-WATER",E1215="BLD-WASTE",E1215="BLD-LAND")),AND(U1215="Building renovation",E1215="BLD-LAND"))),"N/A","Pending"))))))</x:f>
      </x:c>
      <x:c r="Q1215" s="3" t="str">
        <x:f>IF(C1215="","",IF(AND(R1215="Valid",OR(P1215="Pass",P1215="N/A")),"Complete","Unresolved"))</x:f>
      </x:c>
      <x:c r="R1215" s="9" t="str">
        <x:f>IF(C1215="","",IF(OR(COUNTIF($C$9:$C$2008,C1215)&lt;&gt;1,COUNTIFS($D$9:$D$2008,D1215,$E$9:$E$2008,E1215)&lt;&gt;1),"Duplicate test",IF(COUNTIF('Taxonomy'!$C$9:$C$108,D1215)&lt;&gt;1,"Assessment key",IF(OR(COUNTIF('Taxonomy Rules'!$C$42:$C$68,E1215)&lt;&gt;1,F1215&lt;&gt;IFERROR(INDEX('Taxonomy Rules'!$D$42:$D$68,MATCH(E1215,'Taxonomy Rules'!$C$42:$C$68,0)),""),NOT(OR(IFERROR(INDEX('Taxonomy Rules'!$G$42:$G$68,MATCH(E1215,'Taxonomy Rules'!$C$42:$C$68,0)),"")="All supported routes",IFERROR(INDEX('Taxonomy Rules'!$G$42:$G$68,MATCH(E1215,'Taxonomy Rules'!$C$42:$C$68,0)),"")=U1215,AND(IFERROR(INDEX('Taxonomy Rules'!$G$42:$G$68,MATCH(E1215,'Taxonomy Rules'!$C$42:$C$68,0)),"")="Building routes",OR(U1215="Building renovation",U1215="New building",U1215="Building equipment"))))),"Unexpected test","Valid"))))</x:f>
      </x:c>
      <x:c r="S1215" s="9" t="str">
        <x:f>IF(C1215="","",IFERROR(INDEX('Taxonomy Rules'!$E$42:$E$68,MATCH(E1215,'Taxonomy Rules'!$C$42:$C$68,0)),""))</x:f>
      </x:c>
      <x:c r="T1215" s="9" t="str">
        <x:f>IF(C1215="","",IFERROR(INDEX('Taxonomy Rules'!$F$42:$F$68,MATCH(E1215,'Taxonomy Rules'!$C$42:$C$68,0)),""))</x:f>
      </x:c>
      <x:c r="U1215" s="9" t="str">
        <x:f>IF(C1215="","",IFERROR(INDEX('Taxonomy'!$G$9:$G$108,MATCH(D1215,'Taxonomy'!$C$9:$C$108,0)),""))</x:f>
      </x:c>
    </x:row>
    <x:row r="1216" ht="44" customHeight="1">
      <x:c r="A1216" s="1"/>
      <x:c r="B1216" s="1"/>
      <x:c r="C1216" s="8"/>
      <x:c r="D1216" s="8"/>
      <x:c r="E1216" s="8"/>
      <x:c r="F1216" s="8"/>
      <x:c r="G1216" s="8"/>
      <x:c r="H1216" s="8"/>
      <x:c r="I1216" s="8"/>
      <x:c r="J1216" s="8"/>
      <x:c r="K1216" s="8"/>
      <x:c r="L1216" s="8"/>
      <x:c r="M1216" s="10"/>
      <x:c r="N1216" s="10"/>
      <x:c r="O1216" s="8"/>
      <x:c r="P1216" s="9" t="str">
        <x:f>IF(C1216="","",IF(AND(G1216="Applicable",H1216="Fail"),"Fail",IF(R1216&lt;&gt;"Valid","Pending",IF(OR(I1216="",K1216="",L1216="",K1216=L1216,NOT(ISNUMBER(M1216)),NOT(ISNUMBER(N1216)),M1216&gt;Settings!$F$8,N1216&lt;Settings!$F$8,N1216&lt;M1216),"Pending",IF(AND(G1216="Applicable",H1216="Pass"),"Pass",IF(AND(G1216="N/A",H1216="N/A",J1216&lt;&gt;"",OR(E1216="CEM-FUELS",E1216="CEM-CCS",AND(E1216="CEM-PLAN",IFERROR(INDEX('Taxonomy'!$M$9:$M$108,MATCH(D1216,'Taxonomy'!$C$9:$C$108,0)),"")&lt;&gt;"Amber"),E1216="BLD-TIMBER",AND(U1216="Building equipment",OR(E1216="BLD-WATER",E1216="BLD-WASTE",E1216="BLD-LAND")),AND(U1216="Building renovation",E1216="BLD-LAND"))),"N/A","Pending"))))))</x:f>
      </x:c>
      <x:c r="Q1216" s="3" t="str">
        <x:f>IF(C1216="","",IF(AND(R1216="Valid",OR(P1216="Pass",P1216="N/A")),"Complete","Unresolved"))</x:f>
      </x:c>
      <x:c r="R1216" s="9" t="str">
        <x:f>IF(C1216="","",IF(OR(COUNTIF($C$9:$C$2008,C1216)&lt;&gt;1,COUNTIFS($D$9:$D$2008,D1216,$E$9:$E$2008,E1216)&lt;&gt;1),"Duplicate test",IF(COUNTIF('Taxonomy'!$C$9:$C$108,D1216)&lt;&gt;1,"Assessment key",IF(OR(COUNTIF('Taxonomy Rules'!$C$42:$C$68,E1216)&lt;&gt;1,F1216&lt;&gt;IFERROR(INDEX('Taxonomy Rules'!$D$42:$D$68,MATCH(E1216,'Taxonomy Rules'!$C$42:$C$68,0)),""),NOT(OR(IFERROR(INDEX('Taxonomy Rules'!$G$42:$G$68,MATCH(E1216,'Taxonomy Rules'!$C$42:$C$68,0)),"")="All supported routes",IFERROR(INDEX('Taxonomy Rules'!$G$42:$G$68,MATCH(E1216,'Taxonomy Rules'!$C$42:$C$68,0)),"")=U1216,AND(IFERROR(INDEX('Taxonomy Rules'!$G$42:$G$68,MATCH(E1216,'Taxonomy Rules'!$C$42:$C$68,0)),"")="Building routes",OR(U1216="Building renovation",U1216="New building",U1216="Building equipment"))))),"Unexpected test","Valid"))))</x:f>
      </x:c>
      <x:c r="S1216" s="9" t="str">
        <x:f>IF(C1216="","",IFERROR(INDEX('Taxonomy Rules'!$E$42:$E$68,MATCH(E1216,'Taxonomy Rules'!$C$42:$C$68,0)),""))</x:f>
      </x:c>
      <x:c r="T1216" s="9" t="str">
        <x:f>IF(C1216="","",IFERROR(INDEX('Taxonomy Rules'!$F$42:$F$68,MATCH(E1216,'Taxonomy Rules'!$C$42:$C$68,0)),""))</x:f>
      </x:c>
      <x:c r="U1216" s="9" t="str">
        <x:f>IF(C1216="","",IFERROR(INDEX('Taxonomy'!$G$9:$G$108,MATCH(D1216,'Taxonomy'!$C$9:$C$108,0)),""))</x:f>
      </x:c>
    </x:row>
    <x:row r="1217" ht="44" customHeight="1">
      <x:c r="A1217" s="1"/>
      <x:c r="B1217" s="1"/>
      <x:c r="C1217" s="8"/>
      <x:c r="D1217" s="8"/>
      <x:c r="E1217" s="8"/>
      <x:c r="F1217" s="8"/>
      <x:c r="G1217" s="8"/>
      <x:c r="H1217" s="8"/>
      <x:c r="I1217" s="8"/>
      <x:c r="J1217" s="8"/>
      <x:c r="K1217" s="8"/>
      <x:c r="L1217" s="8"/>
      <x:c r="M1217" s="10"/>
      <x:c r="N1217" s="10"/>
      <x:c r="O1217" s="8"/>
      <x:c r="P1217" s="9" t="str">
        <x:f>IF(C1217="","",IF(AND(G1217="Applicable",H1217="Fail"),"Fail",IF(R1217&lt;&gt;"Valid","Pending",IF(OR(I1217="",K1217="",L1217="",K1217=L1217,NOT(ISNUMBER(M1217)),NOT(ISNUMBER(N1217)),M1217&gt;Settings!$F$8,N1217&lt;Settings!$F$8,N1217&lt;M1217),"Pending",IF(AND(G1217="Applicable",H1217="Pass"),"Pass",IF(AND(G1217="N/A",H1217="N/A",J1217&lt;&gt;"",OR(E1217="CEM-FUELS",E1217="CEM-CCS",AND(E1217="CEM-PLAN",IFERROR(INDEX('Taxonomy'!$M$9:$M$108,MATCH(D1217,'Taxonomy'!$C$9:$C$108,0)),"")&lt;&gt;"Amber"),E1217="BLD-TIMBER",AND(U1217="Building equipment",OR(E1217="BLD-WATER",E1217="BLD-WASTE",E1217="BLD-LAND")),AND(U1217="Building renovation",E1217="BLD-LAND"))),"N/A","Pending"))))))</x:f>
      </x:c>
      <x:c r="Q1217" s="3" t="str">
        <x:f>IF(C1217="","",IF(AND(R1217="Valid",OR(P1217="Pass",P1217="N/A")),"Complete","Unresolved"))</x:f>
      </x:c>
      <x:c r="R1217" s="9" t="str">
        <x:f>IF(C1217="","",IF(OR(COUNTIF($C$9:$C$2008,C1217)&lt;&gt;1,COUNTIFS($D$9:$D$2008,D1217,$E$9:$E$2008,E1217)&lt;&gt;1),"Duplicate test",IF(COUNTIF('Taxonomy'!$C$9:$C$108,D1217)&lt;&gt;1,"Assessment key",IF(OR(COUNTIF('Taxonomy Rules'!$C$42:$C$68,E1217)&lt;&gt;1,F1217&lt;&gt;IFERROR(INDEX('Taxonomy Rules'!$D$42:$D$68,MATCH(E1217,'Taxonomy Rules'!$C$42:$C$68,0)),""),NOT(OR(IFERROR(INDEX('Taxonomy Rules'!$G$42:$G$68,MATCH(E1217,'Taxonomy Rules'!$C$42:$C$68,0)),"")="All supported routes",IFERROR(INDEX('Taxonomy Rules'!$G$42:$G$68,MATCH(E1217,'Taxonomy Rules'!$C$42:$C$68,0)),"")=U1217,AND(IFERROR(INDEX('Taxonomy Rules'!$G$42:$G$68,MATCH(E1217,'Taxonomy Rules'!$C$42:$C$68,0)),"")="Building routes",OR(U1217="Building renovation",U1217="New building",U1217="Building equipment"))))),"Unexpected test","Valid"))))</x:f>
      </x:c>
      <x:c r="S1217" s="9" t="str">
        <x:f>IF(C1217="","",IFERROR(INDEX('Taxonomy Rules'!$E$42:$E$68,MATCH(E1217,'Taxonomy Rules'!$C$42:$C$68,0)),""))</x:f>
      </x:c>
      <x:c r="T1217" s="9" t="str">
        <x:f>IF(C1217="","",IFERROR(INDEX('Taxonomy Rules'!$F$42:$F$68,MATCH(E1217,'Taxonomy Rules'!$C$42:$C$68,0)),""))</x:f>
      </x:c>
      <x:c r="U1217" s="9" t="str">
        <x:f>IF(C1217="","",IFERROR(INDEX('Taxonomy'!$G$9:$G$108,MATCH(D1217,'Taxonomy'!$C$9:$C$108,0)),""))</x:f>
      </x:c>
    </x:row>
    <x:row r="1218" ht="44" customHeight="1">
      <x:c r="A1218" s="1"/>
      <x:c r="B1218" s="1"/>
      <x:c r="C1218" s="8"/>
      <x:c r="D1218" s="8"/>
      <x:c r="E1218" s="8"/>
      <x:c r="F1218" s="8"/>
      <x:c r="G1218" s="8"/>
      <x:c r="H1218" s="8"/>
      <x:c r="I1218" s="8"/>
      <x:c r="J1218" s="8"/>
      <x:c r="K1218" s="8"/>
      <x:c r="L1218" s="8"/>
      <x:c r="M1218" s="10"/>
      <x:c r="N1218" s="10"/>
      <x:c r="O1218" s="8"/>
      <x:c r="P1218" s="9" t="str">
        <x:f>IF(C1218="","",IF(AND(G1218="Applicable",H1218="Fail"),"Fail",IF(R1218&lt;&gt;"Valid","Pending",IF(OR(I1218="",K1218="",L1218="",K1218=L1218,NOT(ISNUMBER(M1218)),NOT(ISNUMBER(N1218)),M1218&gt;Settings!$F$8,N1218&lt;Settings!$F$8,N1218&lt;M1218),"Pending",IF(AND(G1218="Applicable",H1218="Pass"),"Pass",IF(AND(G1218="N/A",H1218="N/A",J1218&lt;&gt;"",OR(E1218="CEM-FUELS",E1218="CEM-CCS",AND(E1218="CEM-PLAN",IFERROR(INDEX('Taxonomy'!$M$9:$M$108,MATCH(D1218,'Taxonomy'!$C$9:$C$108,0)),"")&lt;&gt;"Amber"),E1218="BLD-TIMBER",AND(U1218="Building equipment",OR(E1218="BLD-WATER",E1218="BLD-WASTE",E1218="BLD-LAND")),AND(U1218="Building renovation",E1218="BLD-LAND"))),"N/A","Pending"))))))</x:f>
      </x:c>
      <x:c r="Q1218" s="3" t="str">
        <x:f>IF(C1218="","",IF(AND(R1218="Valid",OR(P1218="Pass",P1218="N/A")),"Complete","Unresolved"))</x:f>
      </x:c>
      <x:c r="R1218" s="9" t="str">
        <x:f>IF(C1218="","",IF(OR(COUNTIF($C$9:$C$2008,C1218)&lt;&gt;1,COUNTIFS($D$9:$D$2008,D1218,$E$9:$E$2008,E1218)&lt;&gt;1),"Duplicate test",IF(COUNTIF('Taxonomy'!$C$9:$C$108,D1218)&lt;&gt;1,"Assessment key",IF(OR(COUNTIF('Taxonomy Rules'!$C$42:$C$68,E1218)&lt;&gt;1,F1218&lt;&gt;IFERROR(INDEX('Taxonomy Rules'!$D$42:$D$68,MATCH(E1218,'Taxonomy Rules'!$C$42:$C$68,0)),""),NOT(OR(IFERROR(INDEX('Taxonomy Rules'!$G$42:$G$68,MATCH(E1218,'Taxonomy Rules'!$C$42:$C$68,0)),"")="All supported routes",IFERROR(INDEX('Taxonomy Rules'!$G$42:$G$68,MATCH(E1218,'Taxonomy Rules'!$C$42:$C$68,0)),"")=U1218,AND(IFERROR(INDEX('Taxonomy Rules'!$G$42:$G$68,MATCH(E1218,'Taxonomy Rules'!$C$42:$C$68,0)),"")="Building routes",OR(U1218="Building renovation",U1218="New building",U1218="Building equipment"))))),"Unexpected test","Valid"))))</x:f>
      </x:c>
      <x:c r="S1218" s="9" t="str">
        <x:f>IF(C1218="","",IFERROR(INDEX('Taxonomy Rules'!$E$42:$E$68,MATCH(E1218,'Taxonomy Rules'!$C$42:$C$68,0)),""))</x:f>
      </x:c>
      <x:c r="T1218" s="9" t="str">
        <x:f>IF(C1218="","",IFERROR(INDEX('Taxonomy Rules'!$F$42:$F$68,MATCH(E1218,'Taxonomy Rules'!$C$42:$C$68,0)),""))</x:f>
      </x:c>
      <x:c r="U1218" s="9" t="str">
        <x:f>IF(C1218="","",IFERROR(INDEX('Taxonomy'!$G$9:$G$108,MATCH(D1218,'Taxonomy'!$C$9:$C$108,0)),""))</x:f>
      </x:c>
    </x:row>
    <x:row r="1219" ht="44" customHeight="1">
      <x:c r="A1219" s="1"/>
      <x:c r="B1219" s="1"/>
      <x:c r="C1219" s="8"/>
      <x:c r="D1219" s="8"/>
      <x:c r="E1219" s="8"/>
      <x:c r="F1219" s="8"/>
      <x:c r="G1219" s="8"/>
      <x:c r="H1219" s="8"/>
      <x:c r="I1219" s="8"/>
      <x:c r="J1219" s="8"/>
      <x:c r="K1219" s="8"/>
      <x:c r="L1219" s="8"/>
      <x:c r="M1219" s="10"/>
      <x:c r="N1219" s="10"/>
      <x:c r="O1219" s="8"/>
      <x:c r="P1219" s="9" t="str">
        <x:f>IF(C1219="","",IF(AND(G1219="Applicable",H1219="Fail"),"Fail",IF(R1219&lt;&gt;"Valid","Pending",IF(OR(I1219="",K1219="",L1219="",K1219=L1219,NOT(ISNUMBER(M1219)),NOT(ISNUMBER(N1219)),M1219&gt;Settings!$F$8,N1219&lt;Settings!$F$8,N1219&lt;M1219),"Pending",IF(AND(G1219="Applicable",H1219="Pass"),"Pass",IF(AND(G1219="N/A",H1219="N/A",J1219&lt;&gt;"",OR(E1219="CEM-FUELS",E1219="CEM-CCS",AND(E1219="CEM-PLAN",IFERROR(INDEX('Taxonomy'!$M$9:$M$108,MATCH(D1219,'Taxonomy'!$C$9:$C$108,0)),"")&lt;&gt;"Amber"),E1219="BLD-TIMBER",AND(U1219="Building equipment",OR(E1219="BLD-WATER",E1219="BLD-WASTE",E1219="BLD-LAND")),AND(U1219="Building renovation",E1219="BLD-LAND"))),"N/A","Pending"))))))</x:f>
      </x:c>
      <x:c r="Q1219" s="3" t="str">
        <x:f>IF(C1219="","",IF(AND(R1219="Valid",OR(P1219="Pass",P1219="N/A")),"Complete","Unresolved"))</x:f>
      </x:c>
      <x:c r="R1219" s="9" t="str">
        <x:f>IF(C1219="","",IF(OR(COUNTIF($C$9:$C$2008,C1219)&lt;&gt;1,COUNTIFS($D$9:$D$2008,D1219,$E$9:$E$2008,E1219)&lt;&gt;1),"Duplicate test",IF(COUNTIF('Taxonomy'!$C$9:$C$108,D1219)&lt;&gt;1,"Assessment key",IF(OR(COUNTIF('Taxonomy Rules'!$C$42:$C$68,E1219)&lt;&gt;1,F1219&lt;&gt;IFERROR(INDEX('Taxonomy Rules'!$D$42:$D$68,MATCH(E1219,'Taxonomy Rules'!$C$42:$C$68,0)),""),NOT(OR(IFERROR(INDEX('Taxonomy Rules'!$G$42:$G$68,MATCH(E1219,'Taxonomy Rules'!$C$42:$C$68,0)),"")="All supported routes",IFERROR(INDEX('Taxonomy Rules'!$G$42:$G$68,MATCH(E1219,'Taxonomy Rules'!$C$42:$C$68,0)),"")=U1219,AND(IFERROR(INDEX('Taxonomy Rules'!$G$42:$G$68,MATCH(E1219,'Taxonomy Rules'!$C$42:$C$68,0)),"")="Building routes",OR(U1219="Building renovation",U1219="New building",U1219="Building equipment"))))),"Unexpected test","Valid"))))</x:f>
      </x:c>
      <x:c r="S1219" s="9" t="str">
        <x:f>IF(C1219="","",IFERROR(INDEX('Taxonomy Rules'!$E$42:$E$68,MATCH(E1219,'Taxonomy Rules'!$C$42:$C$68,0)),""))</x:f>
      </x:c>
      <x:c r="T1219" s="9" t="str">
        <x:f>IF(C1219="","",IFERROR(INDEX('Taxonomy Rules'!$F$42:$F$68,MATCH(E1219,'Taxonomy Rules'!$C$42:$C$68,0)),""))</x:f>
      </x:c>
      <x:c r="U1219" s="9" t="str">
        <x:f>IF(C1219="","",IFERROR(INDEX('Taxonomy'!$G$9:$G$108,MATCH(D1219,'Taxonomy'!$C$9:$C$108,0)),""))</x:f>
      </x:c>
    </x:row>
    <x:row r="1220" ht="44" customHeight="1">
      <x:c r="A1220" s="1"/>
      <x:c r="B1220" s="1"/>
      <x:c r="C1220" s="8"/>
      <x:c r="D1220" s="8"/>
      <x:c r="E1220" s="8"/>
      <x:c r="F1220" s="8"/>
      <x:c r="G1220" s="8"/>
      <x:c r="H1220" s="8"/>
      <x:c r="I1220" s="8"/>
      <x:c r="J1220" s="8"/>
      <x:c r="K1220" s="8"/>
      <x:c r="L1220" s="8"/>
      <x:c r="M1220" s="10"/>
      <x:c r="N1220" s="10"/>
      <x:c r="O1220" s="8"/>
      <x:c r="P1220" s="9" t="str">
        <x:f>IF(C1220="","",IF(AND(G1220="Applicable",H1220="Fail"),"Fail",IF(R1220&lt;&gt;"Valid","Pending",IF(OR(I1220="",K1220="",L1220="",K1220=L1220,NOT(ISNUMBER(M1220)),NOT(ISNUMBER(N1220)),M1220&gt;Settings!$F$8,N1220&lt;Settings!$F$8,N1220&lt;M1220),"Pending",IF(AND(G1220="Applicable",H1220="Pass"),"Pass",IF(AND(G1220="N/A",H1220="N/A",J1220&lt;&gt;"",OR(E1220="CEM-FUELS",E1220="CEM-CCS",AND(E1220="CEM-PLAN",IFERROR(INDEX('Taxonomy'!$M$9:$M$108,MATCH(D1220,'Taxonomy'!$C$9:$C$108,0)),"")&lt;&gt;"Amber"),E1220="BLD-TIMBER",AND(U1220="Building equipment",OR(E1220="BLD-WATER",E1220="BLD-WASTE",E1220="BLD-LAND")),AND(U1220="Building renovation",E1220="BLD-LAND"))),"N/A","Pending"))))))</x:f>
      </x:c>
      <x:c r="Q1220" s="3" t="str">
        <x:f>IF(C1220="","",IF(AND(R1220="Valid",OR(P1220="Pass",P1220="N/A")),"Complete","Unresolved"))</x:f>
      </x:c>
      <x:c r="R1220" s="9" t="str">
        <x:f>IF(C1220="","",IF(OR(COUNTIF($C$9:$C$2008,C1220)&lt;&gt;1,COUNTIFS($D$9:$D$2008,D1220,$E$9:$E$2008,E1220)&lt;&gt;1),"Duplicate test",IF(COUNTIF('Taxonomy'!$C$9:$C$108,D1220)&lt;&gt;1,"Assessment key",IF(OR(COUNTIF('Taxonomy Rules'!$C$42:$C$68,E1220)&lt;&gt;1,F1220&lt;&gt;IFERROR(INDEX('Taxonomy Rules'!$D$42:$D$68,MATCH(E1220,'Taxonomy Rules'!$C$42:$C$68,0)),""),NOT(OR(IFERROR(INDEX('Taxonomy Rules'!$G$42:$G$68,MATCH(E1220,'Taxonomy Rules'!$C$42:$C$68,0)),"")="All supported routes",IFERROR(INDEX('Taxonomy Rules'!$G$42:$G$68,MATCH(E1220,'Taxonomy Rules'!$C$42:$C$68,0)),"")=U1220,AND(IFERROR(INDEX('Taxonomy Rules'!$G$42:$G$68,MATCH(E1220,'Taxonomy Rules'!$C$42:$C$68,0)),"")="Building routes",OR(U1220="Building renovation",U1220="New building",U1220="Building equipment"))))),"Unexpected test","Valid"))))</x:f>
      </x:c>
      <x:c r="S1220" s="9" t="str">
        <x:f>IF(C1220="","",IFERROR(INDEX('Taxonomy Rules'!$E$42:$E$68,MATCH(E1220,'Taxonomy Rules'!$C$42:$C$68,0)),""))</x:f>
      </x:c>
      <x:c r="T1220" s="9" t="str">
        <x:f>IF(C1220="","",IFERROR(INDEX('Taxonomy Rules'!$F$42:$F$68,MATCH(E1220,'Taxonomy Rules'!$C$42:$C$68,0)),""))</x:f>
      </x:c>
      <x:c r="U1220" s="9" t="str">
        <x:f>IF(C1220="","",IFERROR(INDEX('Taxonomy'!$G$9:$G$108,MATCH(D1220,'Taxonomy'!$C$9:$C$108,0)),""))</x:f>
      </x:c>
    </x:row>
    <x:row r="1221" ht="44" customHeight="1">
      <x:c r="A1221" s="1"/>
      <x:c r="B1221" s="1"/>
      <x:c r="C1221" s="8"/>
      <x:c r="D1221" s="8"/>
      <x:c r="E1221" s="8"/>
      <x:c r="F1221" s="8"/>
      <x:c r="G1221" s="8"/>
      <x:c r="H1221" s="8"/>
      <x:c r="I1221" s="8"/>
      <x:c r="J1221" s="8"/>
      <x:c r="K1221" s="8"/>
      <x:c r="L1221" s="8"/>
      <x:c r="M1221" s="10"/>
      <x:c r="N1221" s="10"/>
      <x:c r="O1221" s="8"/>
      <x:c r="P1221" s="9" t="str">
        <x:f>IF(C1221="","",IF(AND(G1221="Applicable",H1221="Fail"),"Fail",IF(R1221&lt;&gt;"Valid","Pending",IF(OR(I1221="",K1221="",L1221="",K1221=L1221,NOT(ISNUMBER(M1221)),NOT(ISNUMBER(N1221)),M1221&gt;Settings!$F$8,N1221&lt;Settings!$F$8,N1221&lt;M1221),"Pending",IF(AND(G1221="Applicable",H1221="Pass"),"Pass",IF(AND(G1221="N/A",H1221="N/A",J1221&lt;&gt;"",OR(E1221="CEM-FUELS",E1221="CEM-CCS",AND(E1221="CEM-PLAN",IFERROR(INDEX('Taxonomy'!$M$9:$M$108,MATCH(D1221,'Taxonomy'!$C$9:$C$108,0)),"")&lt;&gt;"Amber"),E1221="BLD-TIMBER",AND(U1221="Building equipment",OR(E1221="BLD-WATER",E1221="BLD-WASTE",E1221="BLD-LAND")),AND(U1221="Building renovation",E1221="BLD-LAND"))),"N/A","Pending"))))))</x:f>
      </x:c>
      <x:c r="Q1221" s="3" t="str">
        <x:f>IF(C1221="","",IF(AND(R1221="Valid",OR(P1221="Pass",P1221="N/A")),"Complete","Unresolved"))</x:f>
      </x:c>
      <x:c r="R1221" s="9" t="str">
        <x:f>IF(C1221="","",IF(OR(COUNTIF($C$9:$C$2008,C1221)&lt;&gt;1,COUNTIFS($D$9:$D$2008,D1221,$E$9:$E$2008,E1221)&lt;&gt;1),"Duplicate test",IF(COUNTIF('Taxonomy'!$C$9:$C$108,D1221)&lt;&gt;1,"Assessment key",IF(OR(COUNTIF('Taxonomy Rules'!$C$42:$C$68,E1221)&lt;&gt;1,F1221&lt;&gt;IFERROR(INDEX('Taxonomy Rules'!$D$42:$D$68,MATCH(E1221,'Taxonomy Rules'!$C$42:$C$68,0)),""),NOT(OR(IFERROR(INDEX('Taxonomy Rules'!$G$42:$G$68,MATCH(E1221,'Taxonomy Rules'!$C$42:$C$68,0)),"")="All supported routes",IFERROR(INDEX('Taxonomy Rules'!$G$42:$G$68,MATCH(E1221,'Taxonomy Rules'!$C$42:$C$68,0)),"")=U1221,AND(IFERROR(INDEX('Taxonomy Rules'!$G$42:$G$68,MATCH(E1221,'Taxonomy Rules'!$C$42:$C$68,0)),"")="Building routes",OR(U1221="Building renovation",U1221="New building",U1221="Building equipment"))))),"Unexpected test","Valid"))))</x:f>
      </x:c>
      <x:c r="S1221" s="9" t="str">
        <x:f>IF(C1221="","",IFERROR(INDEX('Taxonomy Rules'!$E$42:$E$68,MATCH(E1221,'Taxonomy Rules'!$C$42:$C$68,0)),""))</x:f>
      </x:c>
      <x:c r="T1221" s="9" t="str">
        <x:f>IF(C1221="","",IFERROR(INDEX('Taxonomy Rules'!$F$42:$F$68,MATCH(E1221,'Taxonomy Rules'!$C$42:$C$68,0)),""))</x:f>
      </x:c>
      <x:c r="U1221" s="9" t="str">
        <x:f>IF(C1221="","",IFERROR(INDEX('Taxonomy'!$G$9:$G$108,MATCH(D1221,'Taxonomy'!$C$9:$C$108,0)),""))</x:f>
      </x:c>
    </x:row>
    <x:row r="1222" ht="44" customHeight="1">
      <x:c r="A1222" s="1"/>
      <x:c r="B1222" s="1"/>
      <x:c r="C1222" s="8"/>
      <x:c r="D1222" s="8"/>
      <x:c r="E1222" s="8"/>
      <x:c r="F1222" s="8"/>
      <x:c r="G1222" s="8"/>
      <x:c r="H1222" s="8"/>
      <x:c r="I1222" s="8"/>
      <x:c r="J1222" s="8"/>
      <x:c r="K1222" s="8"/>
      <x:c r="L1222" s="8"/>
      <x:c r="M1222" s="10"/>
      <x:c r="N1222" s="10"/>
      <x:c r="O1222" s="8"/>
      <x:c r="P1222" s="9" t="str">
        <x:f>IF(C1222="","",IF(AND(G1222="Applicable",H1222="Fail"),"Fail",IF(R1222&lt;&gt;"Valid","Pending",IF(OR(I1222="",K1222="",L1222="",K1222=L1222,NOT(ISNUMBER(M1222)),NOT(ISNUMBER(N1222)),M1222&gt;Settings!$F$8,N1222&lt;Settings!$F$8,N1222&lt;M1222),"Pending",IF(AND(G1222="Applicable",H1222="Pass"),"Pass",IF(AND(G1222="N/A",H1222="N/A",J1222&lt;&gt;"",OR(E1222="CEM-FUELS",E1222="CEM-CCS",AND(E1222="CEM-PLAN",IFERROR(INDEX('Taxonomy'!$M$9:$M$108,MATCH(D1222,'Taxonomy'!$C$9:$C$108,0)),"")&lt;&gt;"Amber"),E1222="BLD-TIMBER",AND(U1222="Building equipment",OR(E1222="BLD-WATER",E1222="BLD-WASTE",E1222="BLD-LAND")),AND(U1222="Building renovation",E1222="BLD-LAND"))),"N/A","Pending"))))))</x:f>
      </x:c>
      <x:c r="Q1222" s="3" t="str">
        <x:f>IF(C1222="","",IF(AND(R1222="Valid",OR(P1222="Pass",P1222="N/A")),"Complete","Unresolved"))</x:f>
      </x:c>
      <x:c r="R1222" s="9" t="str">
        <x:f>IF(C1222="","",IF(OR(COUNTIF($C$9:$C$2008,C1222)&lt;&gt;1,COUNTIFS($D$9:$D$2008,D1222,$E$9:$E$2008,E1222)&lt;&gt;1),"Duplicate test",IF(COUNTIF('Taxonomy'!$C$9:$C$108,D1222)&lt;&gt;1,"Assessment key",IF(OR(COUNTIF('Taxonomy Rules'!$C$42:$C$68,E1222)&lt;&gt;1,F1222&lt;&gt;IFERROR(INDEX('Taxonomy Rules'!$D$42:$D$68,MATCH(E1222,'Taxonomy Rules'!$C$42:$C$68,0)),""),NOT(OR(IFERROR(INDEX('Taxonomy Rules'!$G$42:$G$68,MATCH(E1222,'Taxonomy Rules'!$C$42:$C$68,0)),"")="All supported routes",IFERROR(INDEX('Taxonomy Rules'!$G$42:$G$68,MATCH(E1222,'Taxonomy Rules'!$C$42:$C$68,0)),"")=U1222,AND(IFERROR(INDEX('Taxonomy Rules'!$G$42:$G$68,MATCH(E1222,'Taxonomy Rules'!$C$42:$C$68,0)),"")="Building routes",OR(U1222="Building renovation",U1222="New building",U1222="Building equipment"))))),"Unexpected test","Valid"))))</x:f>
      </x:c>
      <x:c r="S1222" s="9" t="str">
        <x:f>IF(C1222="","",IFERROR(INDEX('Taxonomy Rules'!$E$42:$E$68,MATCH(E1222,'Taxonomy Rules'!$C$42:$C$68,0)),""))</x:f>
      </x:c>
      <x:c r="T1222" s="9" t="str">
        <x:f>IF(C1222="","",IFERROR(INDEX('Taxonomy Rules'!$F$42:$F$68,MATCH(E1222,'Taxonomy Rules'!$C$42:$C$68,0)),""))</x:f>
      </x:c>
      <x:c r="U1222" s="9" t="str">
        <x:f>IF(C1222="","",IFERROR(INDEX('Taxonomy'!$G$9:$G$108,MATCH(D1222,'Taxonomy'!$C$9:$C$108,0)),""))</x:f>
      </x:c>
    </x:row>
    <x:row r="1223" ht="44" customHeight="1">
      <x:c r="A1223" s="1"/>
      <x:c r="B1223" s="1"/>
      <x:c r="C1223" s="8"/>
      <x:c r="D1223" s="8"/>
      <x:c r="E1223" s="8"/>
      <x:c r="F1223" s="8"/>
      <x:c r="G1223" s="8"/>
      <x:c r="H1223" s="8"/>
      <x:c r="I1223" s="8"/>
      <x:c r="J1223" s="8"/>
      <x:c r="K1223" s="8"/>
      <x:c r="L1223" s="8"/>
      <x:c r="M1223" s="10"/>
      <x:c r="N1223" s="10"/>
      <x:c r="O1223" s="8"/>
      <x:c r="P1223" s="9" t="str">
        <x:f>IF(C1223="","",IF(AND(G1223="Applicable",H1223="Fail"),"Fail",IF(R1223&lt;&gt;"Valid","Pending",IF(OR(I1223="",K1223="",L1223="",K1223=L1223,NOT(ISNUMBER(M1223)),NOT(ISNUMBER(N1223)),M1223&gt;Settings!$F$8,N1223&lt;Settings!$F$8,N1223&lt;M1223),"Pending",IF(AND(G1223="Applicable",H1223="Pass"),"Pass",IF(AND(G1223="N/A",H1223="N/A",J1223&lt;&gt;"",OR(E1223="CEM-FUELS",E1223="CEM-CCS",AND(E1223="CEM-PLAN",IFERROR(INDEX('Taxonomy'!$M$9:$M$108,MATCH(D1223,'Taxonomy'!$C$9:$C$108,0)),"")&lt;&gt;"Amber"),E1223="BLD-TIMBER",AND(U1223="Building equipment",OR(E1223="BLD-WATER",E1223="BLD-WASTE",E1223="BLD-LAND")),AND(U1223="Building renovation",E1223="BLD-LAND"))),"N/A","Pending"))))))</x:f>
      </x:c>
      <x:c r="Q1223" s="3" t="str">
        <x:f>IF(C1223="","",IF(AND(R1223="Valid",OR(P1223="Pass",P1223="N/A")),"Complete","Unresolved"))</x:f>
      </x:c>
      <x:c r="R1223" s="9" t="str">
        <x:f>IF(C1223="","",IF(OR(COUNTIF($C$9:$C$2008,C1223)&lt;&gt;1,COUNTIFS($D$9:$D$2008,D1223,$E$9:$E$2008,E1223)&lt;&gt;1),"Duplicate test",IF(COUNTIF('Taxonomy'!$C$9:$C$108,D1223)&lt;&gt;1,"Assessment key",IF(OR(COUNTIF('Taxonomy Rules'!$C$42:$C$68,E1223)&lt;&gt;1,F1223&lt;&gt;IFERROR(INDEX('Taxonomy Rules'!$D$42:$D$68,MATCH(E1223,'Taxonomy Rules'!$C$42:$C$68,0)),""),NOT(OR(IFERROR(INDEX('Taxonomy Rules'!$G$42:$G$68,MATCH(E1223,'Taxonomy Rules'!$C$42:$C$68,0)),"")="All supported routes",IFERROR(INDEX('Taxonomy Rules'!$G$42:$G$68,MATCH(E1223,'Taxonomy Rules'!$C$42:$C$68,0)),"")=U1223,AND(IFERROR(INDEX('Taxonomy Rules'!$G$42:$G$68,MATCH(E1223,'Taxonomy Rules'!$C$42:$C$68,0)),"")="Building routes",OR(U1223="Building renovation",U1223="New building",U1223="Building equipment"))))),"Unexpected test","Valid"))))</x:f>
      </x:c>
      <x:c r="S1223" s="9" t="str">
        <x:f>IF(C1223="","",IFERROR(INDEX('Taxonomy Rules'!$E$42:$E$68,MATCH(E1223,'Taxonomy Rules'!$C$42:$C$68,0)),""))</x:f>
      </x:c>
      <x:c r="T1223" s="9" t="str">
        <x:f>IF(C1223="","",IFERROR(INDEX('Taxonomy Rules'!$F$42:$F$68,MATCH(E1223,'Taxonomy Rules'!$C$42:$C$68,0)),""))</x:f>
      </x:c>
      <x:c r="U1223" s="9" t="str">
        <x:f>IF(C1223="","",IFERROR(INDEX('Taxonomy'!$G$9:$G$108,MATCH(D1223,'Taxonomy'!$C$9:$C$108,0)),""))</x:f>
      </x:c>
    </x:row>
    <x:row r="1224" ht="44" customHeight="1">
      <x:c r="A1224" s="1"/>
      <x:c r="B1224" s="1"/>
      <x:c r="C1224" s="8"/>
      <x:c r="D1224" s="8"/>
      <x:c r="E1224" s="8"/>
      <x:c r="F1224" s="8"/>
      <x:c r="G1224" s="8"/>
      <x:c r="H1224" s="8"/>
      <x:c r="I1224" s="8"/>
      <x:c r="J1224" s="8"/>
      <x:c r="K1224" s="8"/>
      <x:c r="L1224" s="8"/>
      <x:c r="M1224" s="10"/>
      <x:c r="N1224" s="10"/>
      <x:c r="O1224" s="8"/>
      <x:c r="P1224" s="9" t="str">
        <x:f>IF(C1224="","",IF(AND(G1224="Applicable",H1224="Fail"),"Fail",IF(R1224&lt;&gt;"Valid","Pending",IF(OR(I1224="",K1224="",L1224="",K1224=L1224,NOT(ISNUMBER(M1224)),NOT(ISNUMBER(N1224)),M1224&gt;Settings!$F$8,N1224&lt;Settings!$F$8,N1224&lt;M1224),"Pending",IF(AND(G1224="Applicable",H1224="Pass"),"Pass",IF(AND(G1224="N/A",H1224="N/A",J1224&lt;&gt;"",OR(E1224="CEM-FUELS",E1224="CEM-CCS",AND(E1224="CEM-PLAN",IFERROR(INDEX('Taxonomy'!$M$9:$M$108,MATCH(D1224,'Taxonomy'!$C$9:$C$108,0)),"")&lt;&gt;"Amber"),E1224="BLD-TIMBER",AND(U1224="Building equipment",OR(E1224="BLD-WATER",E1224="BLD-WASTE",E1224="BLD-LAND")),AND(U1224="Building renovation",E1224="BLD-LAND"))),"N/A","Pending"))))))</x:f>
      </x:c>
      <x:c r="Q1224" s="3" t="str">
        <x:f>IF(C1224="","",IF(AND(R1224="Valid",OR(P1224="Pass",P1224="N/A")),"Complete","Unresolved"))</x:f>
      </x:c>
      <x:c r="R1224" s="9" t="str">
        <x:f>IF(C1224="","",IF(OR(COUNTIF($C$9:$C$2008,C1224)&lt;&gt;1,COUNTIFS($D$9:$D$2008,D1224,$E$9:$E$2008,E1224)&lt;&gt;1),"Duplicate test",IF(COUNTIF('Taxonomy'!$C$9:$C$108,D1224)&lt;&gt;1,"Assessment key",IF(OR(COUNTIF('Taxonomy Rules'!$C$42:$C$68,E1224)&lt;&gt;1,F1224&lt;&gt;IFERROR(INDEX('Taxonomy Rules'!$D$42:$D$68,MATCH(E1224,'Taxonomy Rules'!$C$42:$C$68,0)),""),NOT(OR(IFERROR(INDEX('Taxonomy Rules'!$G$42:$G$68,MATCH(E1224,'Taxonomy Rules'!$C$42:$C$68,0)),"")="All supported routes",IFERROR(INDEX('Taxonomy Rules'!$G$42:$G$68,MATCH(E1224,'Taxonomy Rules'!$C$42:$C$68,0)),"")=U1224,AND(IFERROR(INDEX('Taxonomy Rules'!$G$42:$G$68,MATCH(E1224,'Taxonomy Rules'!$C$42:$C$68,0)),"")="Building routes",OR(U1224="Building renovation",U1224="New building",U1224="Building equipment"))))),"Unexpected test","Valid"))))</x:f>
      </x:c>
      <x:c r="S1224" s="9" t="str">
        <x:f>IF(C1224="","",IFERROR(INDEX('Taxonomy Rules'!$E$42:$E$68,MATCH(E1224,'Taxonomy Rules'!$C$42:$C$68,0)),""))</x:f>
      </x:c>
      <x:c r="T1224" s="9" t="str">
        <x:f>IF(C1224="","",IFERROR(INDEX('Taxonomy Rules'!$F$42:$F$68,MATCH(E1224,'Taxonomy Rules'!$C$42:$C$68,0)),""))</x:f>
      </x:c>
      <x:c r="U1224" s="9" t="str">
        <x:f>IF(C1224="","",IFERROR(INDEX('Taxonomy'!$G$9:$G$108,MATCH(D1224,'Taxonomy'!$C$9:$C$108,0)),""))</x:f>
      </x:c>
    </x:row>
    <x:row r="1225" ht="44" customHeight="1">
      <x:c r="A1225" s="1"/>
      <x:c r="B1225" s="1"/>
      <x:c r="C1225" s="8"/>
      <x:c r="D1225" s="8"/>
      <x:c r="E1225" s="8"/>
      <x:c r="F1225" s="8"/>
      <x:c r="G1225" s="8"/>
      <x:c r="H1225" s="8"/>
      <x:c r="I1225" s="8"/>
      <x:c r="J1225" s="8"/>
      <x:c r="K1225" s="8"/>
      <x:c r="L1225" s="8"/>
      <x:c r="M1225" s="10"/>
      <x:c r="N1225" s="10"/>
      <x:c r="O1225" s="8"/>
      <x:c r="P1225" s="9" t="str">
        <x:f>IF(C1225="","",IF(AND(G1225="Applicable",H1225="Fail"),"Fail",IF(R1225&lt;&gt;"Valid","Pending",IF(OR(I1225="",K1225="",L1225="",K1225=L1225,NOT(ISNUMBER(M1225)),NOT(ISNUMBER(N1225)),M1225&gt;Settings!$F$8,N1225&lt;Settings!$F$8,N1225&lt;M1225),"Pending",IF(AND(G1225="Applicable",H1225="Pass"),"Pass",IF(AND(G1225="N/A",H1225="N/A",J1225&lt;&gt;"",OR(E1225="CEM-FUELS",E1225="CEM-CCS",AND(E1225="CEM-PLAN",IFERROR(INDEX('Taxonomy'!$M$9:$M$108,MATCH(D1225,'Taxonomy'!$C$9:$C$108,0)),"")&lt;&gt;"Amber"),E1225="BLD-TIMBER",AND(U1225="Building equipment",OR(E1225="BLD-WATER",E1225="BLD-WASTE",E1225="BLD-LAND")),AND(U1225="Building renovation",E1225="BLD-LAND"))),"N/A","Pending"))))))</x:f>
      </x:c>
      <x:c r="Q1225" s="3" t="str">
        <x:f>IF(C1225="","",IF(AND(R1225="Valid",OR(P1225="Pass",P1225="N/A")),"Complete","Unresolved"))</x:f>
      </x:c>
      <x:c r="R1225" s="9" t="str">
        <x:f>IF(C1225="","",IF(OR(COUNTIF($C$9:$C$2008,C1225)&lt;&gt;1,COUNTIFS($D$9:$D$2008,D1225,$E$9:$E$2008,E1225)&lt;&gt;1),"Duplicate test",IF(COUNTIF('Taxonomy'!$C$9:$C$108,D1225)&lt;&gt;1,"Assessment key",IF(OR(COUNTIF('Taxonomy Rules'!$C$42:$C$68,E1225)&lt;&gt;1,F1225&lt;&gt;IFERROR(INDEX('Taxonomy Rules'!$D$42:$D$68,MATCH(E1225,'Taxonomy Rules'!$C$42:$C$68,0)),""),NOT(OR(IFERROR(INDEX('Taxonomy Rules'!$G$42:$G$68,MATCH(E1225,'Taxonomy Rules'!$C$42:$C$68,0)),"")="All supported routes",IFERROR(INDEX('Taxonomy Rules'!$G$42:$G$68,MATCH(E1225,'Taxonomy Rules'!$C$42:$C$68,0)),"")=U1225,AND(IFERROR(INDEX('Taxonomy Rules'!$G$42:$G$68,MATCH(E1225,'Taxonomy Rules'!$C$42:$C$68,0)),"")="Building routes",OR(U1225="Building renovation",U1225="New building",U1225="Building equipment"))))),"Unexpected test","Valid"))))</x:f>
      </x:c>
      <x:c r="S1225" s="9" t="str">
        <x:f>IF(C1225="","",IFERROR(INDEX('Taxonomy Rules'!$E$42:$E$68,MATCH(E1225,'Taxonomy Rules'!$C$42:$C$68,0)),""))</x:f>
      </x:c>
      <x:c r="T1225" s="9" t="str">
        <x:f>IF(C1225="","",IFERROR(INDEX('Taxonomy Rules'!$F$42:$F$68,MATCH(E1225,'Taxonomy Rules'!$C$42:$C$68,0)),""))</x:f>
      </x:c>
      <x:c r="U1225" s="9" t="str">
        <x:f>IF(C1225="","",IFERROR(INDEX('Taxonomy'!$G$9:$G$108,MATCH(D1225,'Taxonomy'!$C$9:$C$108,0)),""))</x:f>
      </x:c>
    </x:row>
    <x:row r="1226" ht="44" customHeight="1">
      <x:c r="A1226" s="1"/>
      <x:c r="B1226" s="1"/>
      <x:c r="C1226" s="8"/>
      <x:c r="D1226" s="8"/>
      <x:c r="E1226" s="8"/>
      <x:c r="F1226" s="8"/>
      <x:c r="G1226" s="8"/>
      <x:c r="H1226" s="8"/>
      <x:c r="I1226" s="8"/>
      <x:c r="J1226" s="8"/>
      <x:c r="K1226" s="8"/>
      <x:c r="L1226" s="8"/>
      <x:c r="M1226" s="10"/>
      <x:c r="N1226" s="10"/>
      <x:c r="O1226" s="8"/>
      <x:c r="P1226" s="9" t="str">
        <x:f>IF(C1226="","",IF(AND(G1226="Applicable",H1226="Fail"),"Fail",IF(R1226&lt;&gt;"Valid","Pending",IF(OR(I1226="",K1226="",L1226="",K1226=L1226,NOT(ISNUMBER(M1226)),NOT(ISNUMBER(N1226)),M1226&gt;Settings!$F$8,N1226&lt;Settings!$F$8,N1226&lt;M1226),"Pending",IF(AND(G1226="Applicable",H1226="Pass"),"Pass",IF(AND(G1226="N/A",H1226="N/A",J1226&lt;&gt;"",OR(E1226="CEM-FUELS",E1226="CEM-CCS",AND(E1226="CEM-PLAN",IFERROR(INDEX('Taxonomy'!$M$9:$M$108,MATCH(D1226,'Taxonomy'!$C$9:$C$108,0)),"")&lt;&gt;"Amber"),E1226="BLD-TIMBER",AND(U1226="Building equipment",OR(E1226="BLD-WATER",E1226="BLD-WASTE",E1226="BLD-LAND")),AND(U1226="Building renovation",E1226="BLD-LAND"))),"N/A","Pending"))))))</x:f>
      </x:c>
      <x:c r="Q1226" s="3" t="str">
        <x:f>IF(C1226="","",IF(AND(R1226="Valid",OR(P1226="Pass",P1226="N/A")),"Complete","Unresolved"))</x:f>
      </x:c>
      <x:c r="R1226" s="9" t="str">
        <x:f>IF(C1226="","",IF(OR(COUNTIF($C$9:$C$2008,C1226)&lt;&gt;1,COUNTIFS($D$9:$D$2008,D1226,$E$9:$E$2008,E1226)&lt;&gt;1),"Duplicate test",IF(COUNTIF('Taxonomy'!$C$9:$C$108,D1226)&lt;&gt;1,"Assessment key",IF(OR(COUNTIF('Taxonomy Rules'!$C$42:$C$68,E1226)&lt;&gt;1,F1226&lt;&gt;IFERROR(INDEX('Taxonomy Rules'!$D$42:$D$68,MATCH(E1226,'Taxonomy Rules'!$C$42:$C$68,0)),""),NOT(OR(IFERROR(INDEX('Taxonomy Rules'!$G$42:$G$68,MATCH(E1226,'Taxonomy Rules'!$C$42:$C$68,0)),"")="All supported routes",IFERROR(INDEX('Taxonomy Rules'!$G$42:$G$68,MATCH(E1226,'Taxonomy Rules'!$C$42:$C$68,0)),"")=U1226,AND(IFERROR(INDEX('Taxonomy Rules'!$G$42:$G$68,MATCH(E1226,'Taxonomy Rules'!$C$42:$C$68,0)),"")="Building routes",OR(U1226="Building renovation",U1226="New building",U1226="Building equipment"))))),"Unexpected test","Valid"))))</x:f>
      </x:c>
      <x:c r="S1226" s="9" t="str">
        <x:f>IF(C1226="","",IFERROR(INDEX('Taxonomy Rules'!$E$42:$E$68,MATCH(E1226,'Taxonomy Rules'!$C$42:$C$68,0)),""))</x:f>
      </x:c>
      <x:c r="T1226" s="9" t="str">
        <x:f>IF(C1226="","",IFERROR(INDEX('Taxonomy Rules'!$F$42:$F$68,MATCH(E1226,'Taxonomy Rules'!$C$42:$C$68,0)),""))</x:f>
      </x:c>
      <x:c r="U1226" s="9" t="str">
        <x:f>IF(C1226="","",IFERROR(INDEX('Taxonomy'!$G$9:$G$108,MATCH(D1226,'Taxonomy'!$C$9:$C$108,0)),""))</x:f>
      </x:c>
    </x:row>
    <x:row r="1227" ht="44" customHeight="1">
      <x:c r="A1227" s="1"/>
      <x:c r="B1227" s="1"/>
      <x:c r="C1227" s="8"/>
      <x:c r="D1227" s="8"/>
      <x:c r="E1227" s="8"/>
      <x:c r="F1227" s="8"/>
      <x:c r="G1227" s="8"/>
      <x:c r="H1227" s="8"/>
      <x:c r="I1227" s="8"/>
      <x:c r="J1227" s="8"/>
      <x:c r="K1227" s="8"/>
      <x:c r="L1227" s="8"/>
      <x:c r="M1227" s="10"/>
      <x:c r="N1227" s="10"/>
      <x:c r="O1227" s="8"/>
      <x:c r="P1227" s="9" t="str">
        <x:f>IF(C1227="","",IF(AND(G1227="Applicable",H1227="Fail"),"Fail",IF(R1227&lt;&gt;"Valid","Pending",IF(OR(I1227="",K1227="",L1227="",K1227=L1227,NOT(ISNUMBER(M1227)),NOT(ISNUMBER(N1227)),M1227&gt;Settings!$F$8,N1227&lt;Settings!$F$8,N1227&lt;M1227),"Pending",IF(AND(G1227="Applicable",H1227="Pass"),"Pass",IF(AND(G1227="N/A",H1227="N/A",J1227&lt;&gt;"",OR(E1227="CEM-FUELS",E1227="CEM-CCS",AND(E1227="CEM-PLAN",IFERROR(INDEX('Taxonomy'!$M$9:$M$108,MATCH(D1227,'Taxonomy'!$C$9:$C$108,0)),"")&lt;&gt;"Amber"),E1227="BLD-TIMBER",AND(U1227="Building equipment",OR(E1227="BLD-WATER",E1227="BLD-WASTE",E1227="BLD-LAND")),AND(U1227="Building renovation",E1227="BLD-LAND"))),"N/A","Pending"))))))</x:f>
      </x:c>
      <x:c r="Q1227" s="3" t="str">
        <x:f>IF(C1227="","",IF(AND(R1227="Valid",OR(P1227="Pass",P1227="N/A")),"Complete","Unresolved"))</x:f>
      </x:c>
      <x:c r="R1227" s="9" t="str">
        <x:f>IF(C1227="","",IF(OR(COUNTIF($C$9:$C$2008,C1227)&lt;&gt;1,COUNTIFS($D$9:$D$2008,D1227,$E$9:$E$2008,E1227)&lt;&gt;1),"Duplicate test",IF(COUNTIF('Taxonomy'!$C$9:$C$108,D1227)&lt;&gt;1,"Assessment key",IF(OR(COUNTIF('Taxonomy Rules'!$C$42:$C$68,E1227)&lt;&gt;1,F1227&lt;&gt;IFERROR(INDEX('Taxonomy Rules'!$D$42:$D$68,MATCH(E1227,'Taxonomy Rules'!$C$42:$C$68,0)),""),NOT(OR(IFERROR(INDEX('Taxonomy Rules'!$G$42:$G$68,MATCH(E1227,'Taxonomy Rules'!$C$42:$C$68,0)),"")="All supported routes",IFERROR(INDEX('Taxonomy Rules'!$G$42:$G$68,MATCH(E1227,'Taxonomy Rules'!$C$42:$C$68,0)),"")=U1227,AND(IFERROR(INDEX('Taxonomy Rules'!$G$42:$G$68,MATCH(E1227,'Taxonomy Rules'!$C$42:$C$68,0)),"")="Building routes",OR(U1227="Building renovation",U1227="New building",U1227="Building equipment"))))),"Unexpected test","Valid"))))</x:f>
      </x:c>
      <x:c r="S1227" s="9" t="str">
        <x:f>IF(C1227="","",IFERROR(INDEX('Taxonomy Rules'!$E$42:$E$68,MATCH(E1227,'Taxonomy Rules'!$C$42:$C$68,0)),""))</x:f>
      </x:c>
      <x:c r="T1227" s="9" t="str">
        <x:f>IF(C1227="","",IFERROR(INDEX('Taxonomy Rules'!$F$42:$F$68,MATCH(E1227,'Taxonomy Rules'!$C$42:$C$68,0)),""))</x:f>
      </x:c>
      <x:c r="U1227" s="9" t="str">
        <x:f>IF(C1227="","",IFERROR(INDEX('Taxonomy'!$G$9:$G$108,MATCH(D1227,'Taxonomy'!$C$9:$C$108,0)),""))</x:f>
      </x:c>
    </x:row>
    <x:row r="1228" ht="44" customHeight="1">
      <x:c r="A1228" s="1"/>
      <x:c r="B1228" s="1"/>
      <x:c r="C1228" s="8"/>
      <x:c r="D1228" s="8"/>
      <x:c r="E1228" s="8"/>
      <x:c r="F1228" s="8"/>
      <x:c r="G1228" s="8"/>
      <x:c r="H1228" s="8"/>
      <x:c r="I1228" s="8"/>
      <x:c r="J1228" s="8"/>
      <x:c r="K1228" s="8"/>
      <x:c r="L1228" s="8"/>
      <x:c r="M1228" s="10"/>
      <x:c r="N1228" s="10"/>
      <x:c r="O1228" s="8"/>
      <x:c r="P1228" s="9" t="str">
        <x:f>IF(C1228="","",IF(AND(G1228="Applicable",H1228="Fail"),"Fail",IF(R1228&lt;&gt;"Valid","Pending",IF(OR(I1228="",K1228="",L1228="",K1228=L1228,NOT(ISNUMBER(M1228)),NOT(ISNUMBER(N1228)),M1228&gt;Settings!$F$8,N1228&lt;Settings!$F$8,N1228&lt;M1228),"Pending",IF(AND(G1228="Applicable",H1228="Pass"),"Pass",IF(AND(G1228="N/A",H1228="N/A",J1228&lt;&gt;"",OR(E1228="CEM-FUELS",E1228="CEM-CCS",AND(E1228="CEM-PLAN",IFERROR(INDEX('Taxonomy'!$M$9:$M$108,MATCH(D1228,'Taxonomy'!$C$9:$C$108,0)),"")&lt;&gt;"Amber"),E1228="BLD-TIMBER",AND(U1228="Building equipment",OR(E1228="BLD-WATER",E1228="BLD-WASTE",E1228="BLD-LAND")),AND(U1228="Building renovation",E1228="BLD-LAND"))),"N/A","Pending"))))))</x:f>
      </x:c>
      <x:c r="Q1228" s="3" t="str">
        <x:f>IF(C1228="","",IF(AND(R1228="Valid",OR(P1228="Pass",P1228="N/A")),"Complete","Unresolved"))</x:f>
      </x:c>
      <x:c r="R1228" s="9" t="str">
        <x:f>IF(C1228="","",IF(OR(COUNTIF($C$9:$C$2008,C1228)&lt;&gt;1,COUNTIFS($D$9:$D$2008,D1228,$E$9:$E$2008,E1228)&lt;&gt;1),"Duplicate test",IF(COUNTIF('Taxonomy'!$C$9:$C$108,D1228)&lt;&gt;1,"Assessment key",IF(OR(COUNTIF('Taxonomy Rules'!$C$42:$C$68,E1228)&lt;&gt;1,F1228&lt;&gt;IFERROR(INDEX('Taxonomy Rules'!$D$42:$D$68,MATCH(E1228,'Taxonomy Rules'!$C$42:$C$68,0)),""),NOT(OR(IFERROR(INDEX('Taxonomy Rules'!$G$42:$G$68,MATCH(E1228,'Taxonomy Rules'!$C$42:$C$68,0)),"")="All supported routes",IFERROR(INDEX('Taxonomy Rules'!$G$42:$G$68,MATCH(E1228,'Taxonomy Rules'!$C$42:$C$68,0)),"")=U1228,AND(IFERROR(INDEX('Taxonomy Rules'!$G$42:$G$68,MATCH(E1228,'Taxonomy Rules'!$C$42:$C$68,0)),"")="Building routes",OR(U1228="Building renovation",U1228="New building",U1228="Building equipment"))))),"Unexpected test","Valid"))))</x:f>
      </x:c>
      <x:c r="S1228" s="9" t="str">
        <x:f>IF(C1228="","",IFERROR(INDEX('Taxonomy Rules'!$E$42:$E$68,MATCH(E1228,'Taxonomy Rules'!$C$42:$C$68,0)),""))</x:f>
      </x:c>
      <x:c r="T1228" s="9" t="str">
        <x:f>IF(C1228="","",IFERROR(INDEX('Taxonomy Rules'!$F$42:$F$68,MATCH(E1228,'Taxonomy Rules'!$C$42:$C$68,0)),""))</x:f>
      </x:c>
      <x:c r="U1228" s="9" t="str">
        <x:f>IF(C1228="","",IFERROR(INDEX('Taxonomy'!$G$9:$G$108,MATCH(D1228,'Taxonomy'!$C$9:$C$108,0)),""))</x:f>
      </x:c>
    </x:row>
    <x:row r="1229" ht="44" customHeight="1">
      <x:c r="A1229" s="1"/>
      <x:c r="B1229" s="1"/>
      <x:c r="C1229" s="8"/>
      <x:c r="D1229" s="8"/>
      <x:c r="E1229" s="8"/>
      <x:c r="F1229" s="8"/>
      <x:c r="G1229" s="8"/>
      <x:c r="H1229" s="8"/>
      <x:c r="I1229" s="8"/>
      <x:c r="J1229" s="8"/>
      <x:c r="K1229" s="8"/>
      <x:c r="L1229" s="8"/>
      <x:c r="M1229" s="10"/>
      <x:c r="N1229" s="10"/>
      <x:c r="O1229" s="8"/>
      <x:c r="P1229" s="9" t="str">
        <x:f>IF(C1229="","",IF(AND(G1229="Applicable",H1229="Fail"),"Fail",IF(R1229&lt;&gt;"Valid","Pending",IF(OR(I1229="",K1229="",L1229="",K1229=L1229,NOT(ISNUMBER(M1229)),NOT(ISNUMBER(N1229)),M1229&gt;Settings!$F$8,N1229&lt;Settings!$F$8,N1229&lt;M1229),"Pending",IF(AND(G1229="Applicable",H1229="Pass"),"Pass",IF(AND(G1229="N/A",H1229="N/A",J1229&lt;&gt;"",OR(E1229="CEM-FUELS",E1229="CEM-CCS",AND(E1229="CEM-PLAN",IFERROR(INDEX('Taxonomy'!$M$9:$M$108,MATCH(D1229,'Taxonomy'!$C$9:$C$108,0)),"")&lt;&gt;"Amber"),E1229="BLD-TIMBER",AND(U1229="Building equipment",OR(E1229="BLD-WATER",E1229="BLD-WASTE",E1229="BLD-LAND")),AND(U1229="Building renovation",E1229="BLD-LAND"))),"N/A","Pending"))))))</x:f>
      </x:c>
      <x:c r="Q1229" s="3" t="str">
        <x:f>IF(C1229="","",IF(AND(R1229="Valid",OR(P1229="Pass",P1229="N/A")),"Complete","Unresolved"))</x:f>
      </x:c>
      <x:c r="R1229" s="9" t="str">
        <x:f>IF(C1229="","",IF(OR(COUNTIF($C$9:$C$2008,C1229)&lt;&gt;1,COUNTIFS($D$9:$D$2008,D1229,$E$9:$E$2008,E1229)&lt;&gt;1),"Duplicate test",IF(COUNTIF('Taxonomy'!$C$9:$C$108,D1229)&lt;&gt;1,"Assessment key",IF(OR(COUNTIF('Taxonomy Rules'!$C$42:$C$68,E1229)&lt;&gt;1,F1229&lt;&gt;IFERROR(INDEX('Taxonomy Rules'!$D$42:$D$68,MATCH(E1229,'Taxonomy Rules'!$C$42:$C$68,0)),""),NOT(OR(IFERROR(INDEX('Taxonomy Rules'!$G$42:$G$68,MATCH(E1229,'Taxonomy Rules'!$C$42:$C$68,0)),"")="All supported routes",IFERROR(INDEX('Taxonomy Rules'!$G$42:$G$68,MATCH(E1229,'Taxonomy Rules'!$C$42:$C$68,0)),"")=U1229,AND(IFERROR(INDEX('Taxonomy Rules'!$G$42:$G$68,MATCH(E1229,'Taxonomy Rules'!$C$42:$C$68,0)),"")="Building routes",OR(U1229="Building renovation",U1229="New building",U1229="Building equipment"))))),"Unexpected test","Valid"))))</x:f>
      </x:c>
      <x:c r="S1229" s="9" t="str">
        <x:f>IF(C1229="","",IFERROR(INDEX('Taxonomy Rules'!$E$42:$E$68,MATCH(E1229,'Taxonomy Rules'!$C$42:$C$68,0)),""))</x:f>
      </x:c>
      <x:c r="T1229" s="9" t="str">
        <x:f>IF(C1229="","",IFERROR(INDEX('Taxonomy Rules'!$F$42:$F$68,MATCH(E1229,'Taxonomy Rules'!$C$42:$C$68,0)),""))</x:f>
      </x:c>
      <x:c r="U1229" s="9" t="str">
        <x:f>IF(C1229="","",IFERROR(INDEX('Taxonomy'!$G$9:$G$108,MATCH(D1229,'Taxonomy'!$C$9:$C$108,0)),""))</x:f>
      </x:c>
    </x:row>
    <x:row r="1230" ht="44" customHeight="1">
      <x:c r="A1230" s="1"/>
      <x:c r="B1230" s="1"/>
      <x:c r="C1230" s="8"/>
      <x:c r="D1230" s="8"/>
      <x:c r="E1230" s="8"/>
      <x:c r="F1230" s="8"/>
      <x:c r="G1230" s="8"/>
      <x:c r="H1230" s="8"/>
      <x:c r="I1230" s="8"/>
      <x:c r="J1230" s="8"/>
      <x:c r="K1230" s="8"/>
      <x:c r="L1230" s="8"/>
      <x:c r="M1230" s="10"/>
      <x:c r="N1230" s="10"/>
      <x:c r="O1230" s="8"/>
      <x:c r="P1230" s="9" t="str">
        <x:f>IF(C1230="","",IF(AND(G1230="Applicable",H1230="Fail"),"Fail",IF(R1230&lt;&gt;"Valid","Pending",IF(OR(I1230="",K1230="",L1230="",K1230=L1230,NOT(ISNUMBER(M1230)),NOT(ISNUMBER(N1230)),M1230&gt;Settings!$F$8,N1230&lt;Settings!$F$8,N1230&lt;M1230),"Pending",IF(AND(G1230="Applicable",H1230="Pass"),"Pass",IF(AND(G1230="N/A",H1230="N/A",J1230&lt;&gt;"",OR(E1230="CEM-FUELS",E1230="CEM-CCS",AND(E1230="CEM-PLAN",IFERROR(INDEX('Taxonomy'!$M$9:$M$108,MATCH(D1230,'Taxonomy'!$C$9:$C$108,0)),"")&lt;&gt;"Amber"),E1230="BLD-TIMBER",AND(U1230="Building equipment",OR(E1230="BLD-WATER",E1230="BLD-WASTE",E1230="BLD-LAND")),AND(U1230="Building renovation",E1230="BLD-LAND"))),"N/A","Pending"))))))</x:f>
      </x:c>
      <x:c r="Q1230" s="3" t="str">
        <x:f>IF(C1230="","",IF(AND(R1230="Valid",OR(P1230="Pass",P1230="N/A")),"Complete","Unresolved"))</x:f>
      </x:c>
      <x:c r="R1230" s="9" t="str">
        <x:f>IF(C1230="","",IF(OR(COUNTIF($C$9:$C$2008,C1230)&lt;&gt;1,COUNTIFS($D$9:$D$2008,D1230,$E$9:$E$2008,E1230)&lt;&gt;1),"Duplicate test",IF(COUNTIF('Taxonomy'!$C$9:$C$108,D1230)&lt;&gt;1,"Assessment key",IF(OR(COUNTIF('Taxonomy Rules'!$C$42:$C$68,E1230)&lt;&gt;1,F1230&lt;&gt;IFERROR(INDEX('Taxonomy Rules'!$D$42:$D$68,MATCH(E1230,'Taxonomy Rules'!$C$42:$C$68,0)),""),NOT(OR(IFERROR(INDEX('Taxonomy Rules'!$G$42:$G$68,MATCH(E1230,'Taxonomy Rules'!$C$42:$C$68,0)),"")="All supported routes",IFERROR(INDEX('Taxonomy Rules'!$G$42:$G$68,MATCH(E1230,'Taxonomy Rules'!$C$42:$C$68,0)),"")=U1230,AND(IFERROR(INDEX('Taxonomy Rules'!$G$42:$G$68,MATCH(E1230,'Taxonomy Rules'!$C$42:$C$68,0)),"")="Building routes",OR(U1230="Building renovation",U1230="New building",U1230="Building equipment"))))),"Unexpected test","Valid"))))</x:f>
      </x:c>
      <x:c r="S1230" s="9" t="str">
        <x:f>IF(C1230="","",IFERROR(INDEX('Taxonomy Rules'!$E$42:$E$68,MATCH(E1230,'Taxonomy Rules'!$C$42:$C$68,0)),""))</x:f>
      </x:c>
      <x:c r="T1230" s="9" t="str">
        <x:f>IF(C1230="","",IFERROR(INDEX('Taxonomy Rules'!$F$42:$F$68,MATCH(E1230,'Taxonomy Rules'!$C$42:$C$68,0)),""))</x:f>
      </x:c>
      <x:c r="U1230" s="9" t="str">
        <x:f>IF(C1230="","",IFERROR(INDEX('Taxonomy'!$G$9:$G$108,MATCH(D1230,'Taxonomy'!$C$9:$C$108,0)),""))</x:f>
      </x:c>
    </x:row>
    <x:row r="1231" ht="44" customHeight="1">
      <x:c r="A1231" s="1"/>
      <x:c r="B1231" s="1"/>
      <x:c r="C1231" s="8"/>
      <x:c r="D1231" s="8"/>
      <x:c r="E1231" s="8"/>
      <x:c r="F1231" s="8"/>
      <x:c r="G1231" s="8"/>
      <x:c r="H1231" s="8"/>
      <x:c r="I1231" s="8"/>
      <x:c r="J1231" s="8"/>
      <x:c r="K1231" s="8"/>
      <x:c r="L1231" s="8"/>
      <x:c r="M1231" s="10"/>
      <x:c r="N1231" s="10"/>
      <x:c r="O1231" s="8"/>
      <x:c r="P1231" s="9" t="str">
        <x:f>IF(C1231="","",IF(AND(G1231="Applicable",H1231="Fail"),"Fail",IF(R1231&lt;&gt;"Valid","Pending",IF(OR(I1231="",K1231="",L1231="",K1231=L1231,NOT(ISNUMBER(M1231)),NOT(ISNUMBER(N1231)),M1231&gt;Settings!$F$8,N1231&lt;Settings!$F$8,N1231&lt;M1231),"Pending",IF(AND(G1231="Applicable",H1231="Pass"),"Pass",IF(AND(G1231="N/A",H1231="N/A",J1231&lt;&gt;"",OR(E1231="CEM-FUELS",E1231="CEM-CCS",AND(E1231="CEM-PLAN",IFERROR(INDEX('Taxonomy'!$M$9:$M$108,MATCH(D1231,'Taxonomy'!$C$9:$C$108,0)),"")&lt;&gt;"Amber"),E1231="BLD-TIMBER",AND(U1231="Building equipment",OR(E1231="BLD-WATER",E1231="BLD-WASTE",E1231="BLD-LAND")),AND(U1231="Building renovation",E1231="BLD-LAND"))),"N/A","Pending"))))))</x:f>
      </x:c>
      <x:c r="Q1231" s="3" t="str">
        <x:f>IF(C1231="","",IF(AND(R1231="Valid",OR(P1231="Pass",P1231="N/A")),"Complete","Unresolved"))</x:f>
      </x:c>
      <x:c r="R1231" s="9" t="str">
        <x:f>IF(C1231="","",IF(OR(COUNTIF($C$9:$C$2008,C1231)&lt;&gt;1,COUNTIFS($D$9:$D$2008,D1231,$E$9:$E$2008,E1231)&lt;&gt;1),"Duplicate test",IF(COUNTIF('Taxonomy'!$C$9:$C$108,D1231)&lt;&gt;1,"Assessment key",IF(OR(COUNTIF('Taxonomy Rules'!$C$42:$C$68,E1231)&lt;&gt;1,F1231&lt;&gt;IFERROR(INDEX('Taxonomy Rules'!$D$42:$D$68,MATCH(E1231,'Taxonomy Rules'!$C$42:$C$68,0)),""),NOT(OR(IFERROR(INDEX('Taxonomy Rules'!$G$42:$G$68,MATCH(E1231,'Taxonomy Rules'!$C$42:$C$68,0)),"")="All supported routes",IFERROR(INDEX('Taxonomy Rules'!$G$42:$G$68,MATCH(E1231,'Taxonomy Rules'!$C$42:$C$68,0)),"")=U1231,AND(IFERROR(INDEX('Taxonomy Rules'!$G$42:$G$68,MATCH(E1231,'Taxonomy Rules'!$C$42:$C$68,0)),"")="Building routes",OR(U1231="Building renovation",U1231="New building",U1231="Building equipment"))))),"Unexpected test","Valid"))))</x:f>
      </x:c>
      <x:c r="S1231" s="9" t="str">
        <x:f>IF(C1231="","",IFERROR(INDEX('Taxonomy Rules'!$E$42:$E$68,MATCH(E1231,'Taxonomy Rules'!$C$42:$C$68,0)),""))</x:f>
      </x:c>
      <x:c r="T1231" s="9" t="str">
        <x:f>IF(C1231="","",IFERROR(INDEX('Taxonomy Rules'!$F$42:$F$68,MATCH(E1231,'Taxonomy Rules'!$C$42:$C$68,0)),""))</x:f>
      </x:c>
      <x:c r="U1231" s="9" t="str">
        <x:f>IF(C1231="","",IFERROR(INDEX('Taxonomy'!$G$9:$G$108,MATCH(D1231,'Taxonomy'!$C$9:$C$108,0)),""))</x:f>
      </x:c>
    </x:row>
    <x:row r="1232" ht="44" customHeight="1">
      <x:c r="A1232" s="1"/>
      <x:c r="B1232" s="1"/>
      <x:c r="C1232" s="8"/>
      <x:c r="D1232" s="8"/>
      <x:c r="E1232" s="8"/>
      <x:c r="F1232" s="8"/>
      <x:c r="G1232" s="8"/>
      <x:c r="H1232" s="8"/>
      <x:c r="I1232" s="8"/>
      <x:c r="J1232" s="8"/>
      <x:c r="K1232" s="8"/>
      <x:c r="L1232" s="8"/>
      <x:c r="M1232" s="10"/>
      <x:c r="N1232" s="10"/>
      <x:c r="O1232" s="8"/>
      <x:c r="P1232" s="9" t="str">
        <x:f>IF(C1232="","",IF(AND(G1232="Applicable",H1232="Fail"),"Fail",IF(R1232&lt;&gt;"Valid","Pending",IF(OR(I1232="",K1232="",L1232="",K1232=L1232,NOT(ISNUMBER(M1232)),NOT(ISNUMBER(N1232)),M1232&gt;Settings!$F$8,N1232&lt;Settings!$F$8,N1232&lt;M1232),"Pending",IF(AND(G1232="Applicable",H1232="Pass"),"Pass",IF(AND(G1232="N/A",H1232="N/A",J1232&lt;&gt;"",OR(E1232="CEM-FUELS",E1232="CEM-CCS",AND(E1232="CEM-PLAN",IFERROR(INDEX('Taxonomy'!$M$9:$M$108,MATCH(D1232,'Taxonomy'!$C$9:$C$108,0)),"")&lt;&gt;"Amber"),E1232="BLD-TIMBER",AND(U1232="Building equipment",OR(E1232="BLD-WATER",E1232="BLD-WASTE",E1232="BLD-LAND")),AND(U1232="Building renovation",E1232="BLD-LAND"))),"N/A","Pending"))))))</x:f>
      </x:c>
      <x:c r="Q1232" s="3" t="str">
        <x:f>IF(C1232="","",IF(AND(R1232="Valid",OR(P1232="Pass",P1232="N/A")),"Complete","Unresolved"))</x:f>
      </x:c>
      <x:c r="R1232" s="9" t="str">
        <x:f>IF(C1232="","",IF(OR(COUNTIF($C$9:$C$2008,C1232)&lt;&gt;1,COUNTIFS($D$9:$D$2008,D1232,$E$9:$E$2008,E1232)&lt;&gt;1),"Duplicate test",IF(COUNTIF('Taxonomy'!$C$9:$C$108,D1232)&lt;&gt;1,"Assessment key",IF(OR(COUNTIF('Taxonomy Rules'!$C$42:$C$68,E1232)&lt;&gt;1,F1232&lt;&gt;IFERROR(INDEX('Taxonomy Rules'!$D$42:$D$68,MATCH(E1232,'Taxonomy Rules'!$C$42:$C$68,0)),""),NOT(OR(IFERROR(INDEX('Taxonomy Rules'!$G$42:$G$68,MATCH(E1232,'Taxonomy Rules'!$C$42:$C$68,0)),"")="All supported routes",IFERROR(INDEX('Taxonomy Rules'!$G$42:$G$68,MATCH(E1232,'Taxonomy Rules'!$C$42:$C$68,0)),"")=U1232,AND(IFERROR(INDEX('Taxonomy Rules'!$G$42:$G$68,MATCH(E1232,'Taxonomy Rules'!$C$42:$C$68,0)),"")="Building routes",OR(U1232="Building renovation",U1232="New building",U1232="Building equipment"))))),"Unexpected test","Valid"))))</x:f>
      </x:c>
      <x:c r="S1232" s="9" t="str">
        <x:f>IF(C1232="","",IFERROR(INDEX('Taxonomy Rules'!$E$42:$E$68,MATCH(E1232,'Taxonomy Rules'!$C$42:$C$68,0)),""))</x:f>
      </x:c>
      <x:c r="T1232" s="9" t="str">
        <x:f>IF(C1232="","",IFERROR(INDEX('Taxonomy Rules'!$F$42:$F$68,MATCH(E1232,'Taxonomy Rules'!$C$42:$C$68,0)),""))</x:f>
      </x:c>
      <x:c r="U1232" s="9" t="str">
        <x:f>IF(C1232="","",IFERROR(INDEX('Taxonomy'!$G$9:$G$108,MATCH(D1232,'Taxonomy'!$C$9:$C$108,0)),""))</x:f>
      </x:c>
    </x:row>
    <x:row r="1233" ht="44" customHeight="1">
      <x:c r="A1233" s="1"/>
      <x:c r="B1233" s="1"/>
      <x:c r="C1233" s="8"/>
      <x:c r="D1233" s="8"/>
      <x:c r="E1233" s="8"/>
      <x:c r="F1233" s="8"/>
      <x:c r="G1233" s="8"/>
      <x:c r="H1233" s="8"/>
      <x:c r="I1233" s="8"/>
      <x:c r="J1233" s="8"/>
      <x:c r="K1233" s="8"/>
      <x:c r="L1233" s="8"/>
      <x:c r="M1233" s="10"/>
      <x:c r="N1233" s="10"/>
      <x:c r="O1233" s="8"/>
      <x:c r="P1233" s="9" t="str">
        <x:f>IF(C1233="","",IF(AND(G1233="Applicable",H1233="Fail"),"Fail",IF(R1233&lt;&gt;"Valid","Pending",IF(OR(I1233="",K1233="",L1233="",K1233=L1233,NOT(ISNUMBER(M1233)),NOT(ISNUMBER(N1233)),M1233&gt;Settings!$F$8,N1233&lt;Settings!$F$8,N1233&lt;M1233),"Pending",IF(AND(G1233="Applicable",H1233="Pass"),"Pass",IF(AND(G1233="N/A",H1233="N/A",J1233&lt;&gt;"",OR(E1233="CEM-FUELS",E1233="CEM-CCS",AND(E1233="CEM-PLAN",IFERROR(INDEX('Taxonomy'!$M$9:$M$108,MATCH(D1233,'Taxonomy'!$C$9:$C$108,0)),"")&lt;&gt;"Amber"),E1233="BLD-TIMBER",AND(U1233="Building equipment",OR(E1233="BLD-WATER",E1233="BLD-WASTE",E1233="BLD-LAND")),AND(U1233="Building renovation",E1233="BLD-LAND"))),"N/A","Pending"))))))</x:f>
      </x:c>
      <x:c r="Q1233" s="3" t="str">
        <x:f>IF(C1233="","",IF(AND(R1233="Valid",OR(P1233="Pass",P1233="N/A")),"Complete","Unresolved"))</x:f>
      </x:c>
      <x:c r="R1233" s="9" t="str">
        <x:f>IF(C1233="","",IF(OR(COUNTIF($C$9:$C$2008,C1233)&lt;&gt;1,COUNTIFS($D$9:$D$2008,D1233,$E$9:$E$2008,E1233)&lt;&gt;1),"Duplicate test",IF(COUNTIF('Taxonomy'!$C$9:$C$108,D1233)&lt;&gt;1,"Assessment key",IF(OR(COUNTIF('Taxonomy Rules'!$C$42:$C$68,E1233)&lt;&gt;1,F1233&lt;&gt;IFERROR(INDEX('Taxonomy Rules'!$D$42:$D$68,MATCH(E1233,'Taxonomy Rules'!$C$42:$C$68,0)),""),NOT(OR(IFERROR(INDEX('Taxonomy Rules'!$G$42:$G$68,MATCH(E1233,'Taxonomy Rules'!$C$42:$C$68,0)),"")="All supported routes",IFERROR(INDEX('Taxonomy Rules'!$G$42:$G$68,MATCH(E1233,'Taxonomy Rules'!$C$42:$C$68,0)),"")=U1233,AND(IFERROR(INDEX('Taxonomy Rules'!$G$42:$G$68,MATCH(E1233,'Taxonomy Rules'!$C$42:$C$68,0)),"")="Building routes",OR(U1233="Building renovation",U1233="New building",U1233="Building equipment"))))),"Unexpected test","Valid"))))</x:f>
      </x:c>
      <x:c r="S1233" s="9" t="str">
        <x:f>IF(C1233="","",IFERROR(INDEX('Taxonomy Rules'!$E$42:$E$68,MATCH(E1233,'Taxonomy Rules'!$C$42:$C$68,0)),""))</x:f>
      </x:c>
      <x:c r="T1233" s="9" t="str">
        <x:f>IF(C1233="","",IFERROR(INDEX('Taxonomy Rules'!$F$42:$F$68,MATCH(E1233,'Taxonomy Rules'!$C$42:$C$68,0)),""))</x:f>
      </x:c>
      <x:c r="U1233" s="9" t="str">
        <x:f>IF(C1233="","",IFERROR(INDEX('Taxonomy'!$G$9:$G$108,MATCH(D1233,'Taxonomy'!$C$9:$C$108,0)),""))</x:f>
      </x:c>
    </x:row>
    <x:row r="1234" ht="44" customHeight="1">
      <x:c r="A1234" s="1"/>
      <x:c r="B1234" s="1"/>
      <x:c r="C1234" s="8"/>
      <x:c r="D1234" s="8"/>
      <x:c r="E1234" s="8"/>
      <x:c r="F1234" s="8"/>
      <x:c r="G1234" s="8"/>
      <x:c r="H1234" s="8"/>
      <x:c r="I1234" s="8"/>
      <x:c r="J1234" s="8"/>
      <x:c r="K1234" s="8"/>
      <x:c r="L1234" s="8"/>
      <x:c r="M1234" s="10"/>
      <x:c r="N1234" s="10"/>
      <x:c r="O1234" s="8"/>
      <x:c r="P1234" s="9" t="str">
        <x:f>IF(C1234="","",IF(AND(G1234="Applicable",H1234="Fail"),"Fail",IF(R1234&lt;&gt;"Valid","Pending",IF(OR(I1234="",K1234="",L1234="",K1234=L1234,NOT(ISNUMBER(M1234)),NOT(ISNUMBER(N1234)),M1234&gt;Settings!$F$8,N1234&lt;Settings!$F$8,N1234&lt;M1234),"Pending",IF(AND(G1234="Applicable",H1234="Pass"),"Pass",IF(AND(G1234="N/A",H1234="N/A",J1234&lt;&gt;"",OR(E1234="CEM-FUELS",E1234="CEM-CCS",AND(E1234="CEM-PLAN",IFERROR(INDEX('Taxonomy'!$M$9:$M$108,MATCH(D1234,'Taxonomy'!$C$9:$C$108,0)),"")&lt;&gt;"Amber"),E1234="BLD-TIMBER",AND(U1234="Building equipment",OR(E1234="BLD-WATER",E1234="BLD-WASTE",E1234="BLD-LAND")),AND(U1234="Building renovation",E1234="BLD-LAND"))),"N/A","Pending"))))))</x:f>
      </x:c>
      <x:c r="Q1234" s="3" t="str">
        <x:f>IF(C1234="","",IF(AND(R1234="Valid",OR(P1234="Pass",P1234="N/A")),"Complete","Unresolved"))</x:f>
      </x:c>
      <x:c r="R1234" s="9" t="str">
        <x:f>IF(C1234="","",IF(OR(COUNTIF($C$9:$C$2008,C1234)&lt;&gt;1,COUNTIFS($D$9:$D$2008,D1234,$E$9:$E$2008,E1234)&lt;&gt;1),"Duplicate test",IF(COUNTIF('Taxonomy'!$C$9:$C$108,D1234)&lt;&gt;1,"Assessment key",IF(OR(COUNTIF('Taxonomy Rules'!$C$42:$C$68,E1234)&lt;&gt;1,F1234&lt;&gt;IFERROR(INDEX('Taxonomy Rules'!$D$42:$D$68,MATCH(E1234,'Taxonomy Rules'!$C$42:$C$68,0)),""),NOT(OR(IFERROR(INDEX('Taxonomy Rules'!$G$42:$G$68,MATCH(E1234,'Taxonomy Rules'!$C$42:$C$68,0)),"")="All supported routes",IFERROR(INDEX('Taxonomy Rules'!$G$42:$G$68,MATCH(E1234,'Taxonomy Rules'!$C$42:$C$68,0)),"")=U1234,AND(IFERROR(INDEX('Taxonomy Rules'!$G$42:$G$68,MATCH(E1234,'Taxonomy Rules'!$C$42:$C$68,0)),"")="Building routes",OR(U1234="Building renovation",U1234="New building",U1234="Building equipment"))))),"Unexpected test","Valid"))))</x:f>
      </x:c>
      <x:c r="S1234" s="9" t="str">
        <x:f>IF(C1234="","",IFERROR(INDEX('Taxonomy Rules'!$E$42:$E$68,MATCH(E1234,'Taxonomy Rules'!$C$42:$C$68,0)),""))</x:f>
      </x:c>
      <x:c r="T1234" s="9" t="str">
        <x:f>IF(C1234="","",IFERROR(INDEX('Taxonomy Rules'!$F$42:$F$68,MATCH(E1234,'Taxonomy Rules'!$C$42:$C$68,0)),""))</x:f>
      </x:c>
      <x:c r="U1234" s="9" t="str">
        <x:f>IF(C1234="","",IFERROR(INDEX('Taxonomy'!$G$9:$G$108,MATCH(D1234,'Taxonomy'!$C$9:$C$108,0)),""))</x:f>
      </x:c>
    </x:row>
    <x:row r="1235" ht="44" customHeight="1">
      <x:c r="A1235" s="1"/>
      <x:c r="B1235" s="1"/>
      <x:c r="C1235" s="8"/>
      <x:c r="D1235" s="8"/>
      <x:c r="E1235" s="8"/>
      <x:c r="F1235" s="8"/>
      <x:c r="G1235" s="8"/>
      <x:c r="H1235" s="8"/>
      <x:c r="I1235" s="8"/>
      <x:c r="J1235" s="8"/>
      <x:c r="K1235" s="8"/>
      <x:c r="L1235" s="8"/>
      <x:c r="M1235" s="10"/>
      <x:c r="N1235" s="10"/>
      <x:c r="O1235" s="8"/>
      <x:c r="P1235" s="9" t="str">
        <x:f>IF(C1235="","",IF(AND(G1235="Applicable",H1235="Fail"),"Fail",IF(R1235&lt;&gt;"Valid","Pending",IF(OR(I1235="",K1235="",L1235="",K1235=L1235,NOT(ISNUMBER(M1235)),NOT(ISNUMBER(N1235)),M1235&gt;Settings!$F$8,N1235&lt;Settings!$F$8,N1235&lt;M1235),"Pending",IF(AND(G1235="Applicable",H1235="Pass"),"Pass",IF(AND(G1235="N/A",H1235="N/A",J1235&lt;&gt;"",OR(E1235="CEM-FUELS",E1235="CEM-CCS",AND(E1235="CEM-PLAN",IFERROR(INDEX('Taxonomy'!$M$9:$M$108,MATCH(D1235,'Taxonomy'!$C$9:$C$108,0)),"")&lt;&gt;"Amber"),E1235="BLD-TIMBER",AND(U1235="Building equipment",OR(E1235="BLD-WATER",E1235="BLD-WASTE",E1235="BLD-LAND")),AND(U1235="Building renovation",E1235="BLD-LAND"))),"N/A","Pending"))))))</x:f>
      </x:c>
      <x:c r="Q1235" s="3" t="str">
        <x:f>IF(C1235="","",IF(AND(R1235="Valid",OR(P1235="Pass",P1235="N/A")),"Complete","Unresolved"))</x:f>
      </x:c>
      <x:c r="R1235" s="9" t="str">
        <x:f>IF(C1235="","",IF(OR(COUNTIF($C$9:$C$2008,C1235)&lt;&gt;1,COUNTIFS($D$9:$D$2008,D1235,$E$9:$E$2008,E1235)&lt;&gt;1),"Duplicate test",IF(COUNTIF('Taxonomy'!$C$9:$C$108,D1235)&lt;&gt;1,"Assessment key",IF(OR(COUNTIF('Taxonomy Rules'!$C$42:$C$68,E1235)&lt;&gt;1,F1235&lt;&gt;IFERROR(INDEX('Taxonomy Rules'!$D$42:$D$68,MATCH(E1235,'Taxonomy Rules'!$C$42:$C$68,0)),""),NOT(OR(IFERROR(INDEX('Taxonomy Rules'!$G$42:$G$68,MATCH(E1235,'Taxonomy Rules'!$C$42:$C$68,0)),"")="All supported routes",IFERROR(INDEX('Taxonomy Rules'!$G$42:$G$68,MATCH(E1235,'Taxonomy Rules'!$C$42:$C$68,0)),"")=U1235,AND(IFERROR(INDEX('Taxonomy Rules'!$G$42:$G$68,MATCH(E1235,'Taxonomy Rules'!$C$42:$C$68,0)),"")="Building routes",OR(U1235="Building renovation",U1235="New building",U1235="Building equipment"))))),"Unexpected test","Valid"))))</x:f>
      </x:c>
      <x:c r="S1235" s="9" t="str">
        <x:f>IF(C1235="","",IFERROR(INDEX('Taxonomy Rules'!$E$42:$E$68,MATCH(E1235,'Taxonomy Rules'!$C$42:$C$68,0)),""))</x:f>
      </x:c>
      <x:c r="T1235" s="9" t="str">
        <x:f>IF(C1235="","",IFERROR(INDEX('Taxonomy Rules'!$F$42:$F$68,MATCH(E1235,'Taxonomy Rules'!$C$42:$C$68,0)),""))</x:f>
      </x:c>
      <x:c r="U1235" s="9" t="str">
        <x:f>IF(C1235="","",IFERROR(INDEX('Taxonomy'!$G$9:$G$108,MATCH(D1235,'Taxonomy'!$C$9:$C$108,0)),""))</x:f>
      </x:c>
    </x:row>
    <x:row r="1236" ht="44" customHeight="1">
      <x:c r="A1236" s="1"/>
      <x:c r="B1236" s="1"/>
      <x:c r="C1236" s="8"/>
      <x:c r="D1236" s="8"/>
      <x:c r="E1236" s="8"/>
      <x:c r="F1236" s="8"/>
      <x:c r="G1236" s="8"/>
      <x:c r="H1236" s="8"/>
      <x:c r="I1236" s="8"/>
      <x:c r="J1236" s="8"/>
      <x:c r="K1236" s="8"/>
      <x:c r="L1236" s="8"/>
      <x:c r="M1236" s="10"/>
      <x:c r="N1236" s="10"/>
      <x:c r="O1236" s="8"/>
      <x:c r="P1236" s="9" t="str">
        <x:f>IF(C1236="","",IF(AND(G1236="Applicable",H1236="Fail"),"Fail",IF(R1236&lt;&gt;"Valid","Pending",IF(OR(I1236="",K1236="",L1236="",K1236=L1236,NOT(ISNUMBER(M1236)),NOT(ISNUMBER(N1236)),M1236&gt;Settings!$F$8,N1236&lt;Settings!$F$8,N1236&lt;M1236),"Pending",IF(AND(G1236="Applicable",H1236="Pass"),"Pass",IF(AND(G1236="N/A",H1236="N/A",J1236&lt;&gt;"",OR(E1236="CEM-FUELS",E1236="CEM-CCS",AND(E1236="CEM-PLAN",IFERROR(INDEX('Taxonomy'!$M$9:$M$108,MATCH(D1236,'Taxonomy'!$C$9:$C$108,0)),"")&lt;&gt;"Amber"),E1236="BLD-TIMBER",AND(U1236="Building equipment",OR(E1236="BLD-WATER",E1236="BLD-WASTE",E1236="BLD-LAND")),AND(U1236="Building renovation",E1236="BLD-LAND"))),"N/A","Pending"))))))</x:f>
      </x:c>
      <x:c r="Q1236" s="3" t="str">
        <x:f>IF(C1236="","",IF(AND(R1236="Valid",OR(P1236="Pass",P1236="N/A")),"Complete","Unresolved"))</x:f>
      </x:c>
      <x:c r="R1236" s="9" t="str">
        <x:f>IF(C1236="","",IF(OR(COUNTIF($C$9:$C$2008,C1236)&lt;&gt;1,COUNTIFS($D$9:$D$2008,D1236,$E$9:$E$2008,E1236)&lt;&gt;1),"Duplicate test",IF(COUNTIF('Taxonomy'!$C$9:$C$108,D1236)&lt;&gt;1,"Assessment key",IF(OR(COUNTIF('Taxonomy Rules'!$C$42:$C$68,E1236)&lt;&gt;1,F1236&lt;&gt;IFERROR(INDEX('Taxonomy Rules'!$D$42:$D$68,MATCH(E1236,'Taxonomy Rules'!$C$42:$C$68,0)),""),NOT(OR(IFERROR(INDEX('Taxonomy Rules'!$G$42:$G$68,MATCH(E1236,'Taxonomy Rules'!$C$42:$C$68,0)),"")="All supported routes",IFERROR(INDEX('Taxonomy Rules'!$G$42:$G$68,MATCH(E1236,'Taxonomy Rules'!$C$42:$C$68,0)),"")=U1236,AND(IFERROR(INDEX('Taxonomy Rules'!$G$42:$G$68,MATCH(E1236,'Taxonomy Rules'!$C$42:$C$68,0)),"")="Building routes",OR(U1236="Building renovation",U1236="New building",U1236="Building equipment"))))),"Unexpected test","Valid"))))</x:f>
      </x:c>
      <x:c r="S1236" s="9" t="str">
        <x:f>IF(C1236="","",IFERROR(INDEX('Taxonomy Rules'!$E$42:$E$68,MATCH(E1236,'Taxonomy Rules'!$C$42:$C$68,0)),""))</x:f>
      </x:c>
      <x:c r="T1236" s="9" t="str">
        <x:f>IF(C1236="","",IFERROR(INDEX('Taxonomy Rules'!$F$42:$F$68,MATCH(E1236,'Taxonomy Rules'!$C$42:$C$68,0)),""))</x:f>
      </x:c>
      <x:c r="U1236" s="9" t="str">
        <x:f>IF(C1236="","",IFERROR(INDEX('Taxonomy'!$G$9:$G$108,MATCH(D1236,'Taxonomy'!$C$9:$C$108,0)),""))</x:f>
      </x:c>
    </x:row>
    <x:row r="1237" ht="44" customHeight="1">
      <x:c r="A1237" s="1"/>
      <x:c r="B1237" s="1"/>
      <x:c r="C1237" s="8"/>
      <x:c r="D1237" s="8"/>
      <x:c r="E1237" s="8"/>
      <x:c r="F1237" s="8"/>
      <x:c r="G1237" s="8"/>
      <x:c r="H1237" s="8"/>
      <x:c r="I1237" s="8"/>
      <x:c r="J1237" s="8"/>
      <x:c r="K1237" s="8"/>
      <x:c r="L1237" s="8"/>
      <x:c r="M1237" s="10"/>
      <x:c r="N1237" s="10"/>
      <x:c r="O1237" s="8"/>
      <x:c r="P1237" s="9" t="str">
        <x:f>IF(C1237="","",IF(AND(G1237="Applicable",H1237="Fail"),"Fail",IF(R1237&lt;&gt;"Valid","Pending",IF(OR(I1237="",K1237="",L1237="",K1237=L1237,NOT(ISNUMBER(M1237)),NOT(ISNUMBER(N1237)),M1237&gt;Settings!$F$8,N1237&lt;Settings!$F$8,N1237&lt;M1237),"Pending",IF(AND(G1237="Applicable",H1237="Pass"),"Pass",IF(AND(G1237="N/A",H1237="N/A",J1237&lt;&gt;"",OR(E1237="CEM-FUELS",E1237="CEM-CCS",AND(E1237="CEM-PLAN",IFERROR(INDEX('Taxonomy'!$M$9:$M$108,MATCH(D1237,'Taxonomy'!$C$9:$C$108,0)),"")&lt;&gt;"Amber"),E1237="BLD-TIMBER",AND(U1237="Building equipment",OR(E1237="BLD-WATER",E1237="BLD-WASTE",E1237="BLD-LAND")),AND(U1237="Building renovation",E1237="BLD-LAND"))),"N/A","Pending"))))))</x:f>
      </x:c>
      <x:c r="Q1237" s="3" t="str">
        <x:f>IF(C1237="","",IF(AND(R1237="Valid",OR(P1237="Pass",P1237="N/A")),"Complete","Unresolved"))</x:f>
      </x:c>
      <x:c r="R1237" s="9" t="str">
        <x:f>IF(C1237="","",IF(OR(COUNTIF($C$9:$C$2008,C1237)&lt;&gt;1,COUNTIFS($D$9:$D$2008,D1237,$E$9:$E$2008,E1237)&lt;&gt;1),"Duplicate test",IF(COUNTIF('Taxonomy'!$C$9:$C$108,D1237)&lt;&gt;1,"Assessment key",IF(OR(COUNTIF('Taxonomy Rules'!$C$42:$C$68,E1237)&lt;&gt;1,F1237&lt;&gt;IFERROR(INDEX('Taxonomy Rules'!$D$42:$D$68,MATCH(E1237,'Taxonomy Rules'!$C$42:$C$68,0)),""),NOT(OR(IFERROR(INDEX('Taxonomy Rules'!$G$42:$G$68,MATCH(E1237,'Taxonomy Rules'!$C$42:$C$68,0)),"")="All supported routes",IFERROR(INDEX('Taxonomy Rules'!$G$42:$G$68,MATCH(E1237,'Taxonomy Rules'!$C$42:$C$68,0)),"")=U1237,AND(IFERROR(INDEX('Taxonomy Rules'!$G$42:$G$68,MATCH(E1237,'Taxonomy Rules'!$C$42:$C$68,0)),"")="Building routes",OR(U1237="Building renovation",U1237="New building",U1237="Building equipment"))))),"Unexpected test","Valid"))))</x:f>
      </x:c>
      <x:c r="S1237" s="9" t="str">
        <x:f>IF(C1237="","",IFERROR(INDEX('Taxonomy Rules'!$E$42:$E$68,MATCH(E1237,'Taxonomy Rules'!$C$42:$C$68,0)),""))</x:f>
      </x:c>
      <x:c r="T1237" s="9" t="str">
        <x:f>IF(C1237="","",IFERROR(INDEX('Taxonomy Rules'!$F$42:$F$68,MATCH(E1237,'Taxonomy Rules'!$C$42:$C$68,0)),""))</x:f>
      </x:c>
      <x:c r="U1237" s="9" t="str">
        <x:f>IF(C1237="","",IFERROR(INDEX('Taxonomy'!$G$9:$G$108,MATCH(D1237,'Taxonomy'!$C$9:$C$108,0)),""))</x:f>
      </x:c>
    </x:row>
    <x:row r="1238" ht="44" customHeight="1">
      <x:c r="A1238" s="1"/>
      <x:c r="B1238" s="1"/>
      <x:c r="C1238" s="8"/>
      <x:c r="D1238" s="8"/>
      <x:c r="E1238" s="8"/>
      <x:c r="F1238" s="8"/>
      <x:c r="G1238" s="8"/>
      <x:c r="H1238" s="8"/>
      <x:c r="I1238" s="8"/>
      <x:c r="J1238" s="8"/>
      <x:c r="K1238" s="8"/>
      <x:c r="L1238" s="8"/>
      <x:c r="M1238" s="10"/>
      <x:c r="N1238" s="10"/>
      <x:c r="O1238" s="8"/>
      <x:c r="P1238" s="9" t="str">
        <x:f>IF(C1238="","",IF(AND(G1238="Applicable",H1238="Fail"),"Fail",IF(R1238&lt;&gt;"Valid","Pending",IF(OR(I1238="",K1238="",L1238="",K1238=L1238,NOT(ISNUMBER(M1238)),NOT(ISNUMBER(N1238)),M1238&gt;Settings!$F$8,N1238&lt;Settings!$F$8,N1238&lt;M1238),"Pending",IF(AND(G1238="Applicable",H1238="Pass"),"Pass",IF(AND(G1238="N/A",H1238="N/A",J1238&lt;&gt;"",OR(E1238="CEM-FUELS",E1238="CEM-CCS",AND(E1238="CEM-PLAN",IFERROR(INDEX('Taxonomy'!$M$9:$M$108,MATCH(D1238,'Taxonomy'!$C$9:$C$108,0)),"")&lt;&gt;"Amber"),E1238="BLD-TIMBER",AND(U1238="Building equipment",OR(E1238="BLD-WATER",E1238="BLD-WASTE",E1238="BLD-LAND")),AND(U1238="Building renovation",E1238="BLD-LAND"))),"N/A","Pending"))))))</x:f>
      </x:c>
      <x:c r="Q1238" s="3" t="str">
        <x:f>IF(C1238="","",IF(AND(R1238="Valid",OR(P1238="Pass",P1238="N/A")),"Complete","Unresolved"))</x:f>
      </x:c>
      <x:c r="R1238" s="9" t="str">
        <x:f>IF(C1238="","",IF(OR(COUNTIF($C$9:$C$2008,C1238)&lt;&gt;1,COUNTIFS($D$9:$D$2008,D1238,$E$9:$E$2008,E1238)&lt;&gt;1),"Duplicate test",IF(COUNTIF('Taxonomy'!$C$9:$C$108,D1238)&lt;&gt;1,"Assessment key",IF(OR(COUNTIF('Taxonomy Rules'!$C$42:$C$68,E1238)&lt;&gt;1,F1238&lt;&gt;IFERROR(INDEX('Taxonomy Rules'!$D$42:$D$68,MATCH(E1238,'Taxonomy Rules'!$C$42:$C$68,0)),""),NOT(OR(IFERROR(INDEX('Taxonomy Rules'!$G$42:$G$68,MATCH(E1238,'Taxonomy Rules'!$C$42:$C$68,0)),"")="All supported routes",IFERROR(INDEX('Taxonomy Rules'!$G$42:$G$68,MATCH(E1238,'Taxonomy Rules'!$C$42:$C$68,0)),"")=U1238,AND(IFERROR(INDEX('Taxonomy Rules'!$G$42:$G$68,MATCH(E1238,'Taxonomy Rules'!$C$42:$C$68,0)),"")="Building routes",OR(U1238="Building renovation",U1238="New building",U1238="Building equipment"))))),"Unexpected test","Valid"))))</x:f>
      </x:c>
      <x:c r="S1238" s="9" t="str">
        <x:f>IF(C1238="","",IFERROR(INDEX('Taxonomy Rules'!$E$42:$E$68,MATCH(E1238,'Taxonomy Rules'!$C$42:$C$68,0)),""))</x:f>
      </x:c>
      <x:c r="T1238" s="9" t="str">
        <x:f>IF(C1238="","",IFERROR(INDEX('Taxonomy Rules'!$F$42:$F$68,MATCH(E1238,'Taxonomy Rules'!$C$42:$C$68,0)),""))</x:f>
      </x:c>
      <x:c r="U1238" s="9" t="str">
        <x:f>IF(C1238="","",IFERROR(INDEX('Taxonomy'!$G$9:$G$108,MATCH(D1238,'Taxonomy'!$C$9:$C$108,0)),""))</x:f>
      </x:c>
    </x:row>
    <x:row r="1239" ht="44" customHeight="1">
      <x:c r="A1239" s="1"/>
      <x:c r="B1239" s="1"/>
      <x:c r="C1239" s="8"/>
      <x:c r="D1239" s="8"/>
      <x:c r="E1239" s="8"/>
      <x:c r="F1239" s="8"/>
      <x:c r="G1239" s="8"/>
      <x:c r="H1239" s="8"/>
      <x:c r="I1239" s="8"/>
      <x:c r="J1239" s="8"/>
      <x:c r="K1239" s="8"/>
      <x:c r="L1239" s="8"/>
      <x:c r="M1239" s="10"/>
      <x:c r="N1239" s="10"/>
      <x:c r="O1239" s="8"/>
      <x:c r="P1239" s="9" t="str">
        <x:f>IF(C1239="","",IF(AND(G1239="Applicable",H1239="Fail"),"Fail",IF(R1239&lt;&gt;"Valid","Pending",IF(OR(I1239="",K1239="",L1239="",K1239=L1239,NOT(ISNUMBER(M1239)),NOT(ISNUMBER(N1239)),M1239&gt;Settings!$F$8,N1239&lt;Settings!$F$8,N1239&lt;M1239),"Pending",IF(AND(G1239="Applicable",H1239="Pass"),"Pass",IF(AND(G1239="N/A",H1239="N/A",J1239&lt;&gt;"",OR(E1239="CEM-FUELS",E1239="CEM-CCS",AND(E1239="CEM-PLAN",IFERROR(INDEX('Taxonomy'!$M$9:$M$108,MATCH(D1239,'Taxonomy'!$C$9:$C$108,0)),"")&lt;&gt;"Amber"),E1239="BLD-TIMBER",AND(U1239="Building equipment",OR(E1239="BLD-WATER",E1239="BLD-WASTE",E1239="BLD-LAND")),AND(U1239="Building renovation",E1239="BLD-LAND"))),"N/A","Pending"))))))</x:f>
      </x:c>
      <x:c r="Q1239" s="3" t="str">
        <x:f>IF(C1239="","",IF(AND(R1239="Valid",OR(P1239="Pass",P1239="N/A")),"Complete","Unresolved"))</x:f>
      </x:c>
      <x:c r="R1239" s="9" t="str">
        <x:f>IF(C1239="","",IF(OR(COUNTIF($C$9:$C$2008,C1239)&lt;&gt;1,COUNTIFS($D$9:$D$2008,D1239,$E$9:$E$2008,E1239)&lt;&gt;1),"Duplicate test",IF(COUNTIF('Taxonomy'!$C$9:$C$108,D1239)&lt;&gt;1,"Assessment key",IF(OR(COUNTIF('Taxonomy Rules'!$C$42:$C$68,E1239)&lt;&gt;1,F1239&lt;&gt;IFERROR(INDEX('Taxonomy Rules'!$D$42:$D$68,MATCH(E1239,'Taxonomy Rules'!$C$42:$C$68,0)),""),NOT(OR(IFERROR(INDEX('Taxonomy Rules'!$G$42:$G$68,MATCH(E1239,'Taxonomy Rules'!$C$42:$C$68,0)),"")="All supported routes",IFERROR(INDEX('Taxonomy Rules'!$G$42:$G$68,MATCH(E1239,'Taxonomy Rules'!$C$42:$C$68,0)),"")=U1239,AND(IFERROR(INDEX('Taxonomy Rules'!$G$42:$G$68,MATCH(E1239,'Taxonomy Rules'!$C$42:$C$68,0)),"")="Building routes",OR(U1239="Building renovation",U1239="New building",U1239="Building equipment"))))),"Unexpected test","Valid"))))</x:f>
      </x:c>
      <x:c r="S1239" s="9" t="str">
        <x:f>IF(C1239="","",IFERROR(INDEX('Taxonomy Rules'!$E$42:$E$68,MATCH(E1239,'Taxonomy Rules'!$C$42:$C$68,0)),""))</x:f>
      </x:c>
      <x:c r="T1239" s="9" t="str">
        <x:f>IF(C1239="","",IFERROR(INDEX('Taxonomy Rules'!$F$42:$F$68,MATCH(E1239,'Taxonomy Rules'!$C$42:$C$68,0)),""))</x:f>
      </x:c>
      <x:c r="U1239" s="9" t="str">
        <x:f>IF(C1239="","",IFERROR(INDEX('Taxonomy'!$G$9:$G$108,MATCH(D1239,'Taxonomy'!$C$9:$C$108,0)),""))</x:f>
      </x:c>
    </x:row>
    <x:row r="1240" ht="44" customHeight="1">
      <x:c r="A1240" s="1"/>
      <x:c r="B1240" s="1"/>
      <x:c r="C1240" s="8"/>
      <x:c r="D1240" s="8"/>
      <x:c r="E1240" s="8"/>
      <x:c r="F1240" s="8"/>
      <x:c r="G1240" s="8"/>
      <x:c r="H1240" s="8"/>
      <x:c r="I1240" s="8"/>
      <x:c r="J1240" s="8"/>
      <x:c r="K1240" s="8"/>
      <x:c r="L1240" s="8"/>
      <x:c r="M1240" s="10"/>
      <x:c r="N1240" s="10"/>
      <x:c r="O1240" s="8"/>
      <x:c r="P1240" s="9" t="str">
        <x:f>IF(C1240="","",IF(AND(G1240="Applicable",H1240="Fail"),"Fail",IF(R1240&lt;&gt;"Valid","Pending",IF(OR(I1240="",K1240="",L1240="",K1240=L1240,NOT(ISNUMBER(M1240)),NOT(ISNUMBER(N1240)),M1240&gt;Settings!$F$8,N1240&lt;Settings!$F$8,N1240&lt;M1240),"Pending",IF(AND(G1240="Applicable",H1240="Pass"),"Pass",IF(AND(G1240="N/A",H1240="N/A",J1240&lt;&gt;"",OR(E1240="CEM-FUELS",E1240="CEM-CCS",AND(E1240="CEM-PLAN",IFERROR(INDEX('Taxonomy'!$M$9:$M$108,MATCH(D1240,'Taxonomy'!$C$9:$C$108,0)),"")&lt;&gt;"Amber"),E1240="BLD-TIMBER",AND(U1240="Building equipment",OR(E1240="BLD-WATER",E1240="BLD-WASTE",E1240="BLD-LAND")),AND(U1240="Building renovation",E1240="BLD-LAND"))),"N/A","Pending"))))))</x:f>
      </x:c>
      <x:c r="Q1240" s="3" t="str">
        <x:f>IF(C1240="","",IF(AND(R1240="Valid",OR(P1240="Pass",P1240="N/A")),"Complete","Unresolved"))</x:f>
      </x:c>
      <x:c r="R1240" s="9" t="str">
        <x:f>IF(C1240="","",IF(OR(COUNTIF($C$9:$C$2008,C1240)&lt;&gt;1,COUNTIFS($D$9:$D$2008,D1240,$E$9:$E$2008,E1240)&lt;&gt;1),"Duplicate test",IF(COUNTIF('Taxonomy'!$C$9:$C$108,D1240)&lt;&gt;1,"Assessment key",IF(OR(COUNTIF('Taxonomy Rules'!$C$42:$C$68,E1240)&lt;&gt;1,F1240&lt;&gt;IFERROR(INDEX('Taxonomy Rules'!$D$42:$D$68,MATCH(E1240,'Taxonomy Rules'!$C$42:$C$68,0)),""),NOT(OR(IFERROR(INDEX('Taxonomy Rules'!$G$42:$G$68,MATCH(E1240,'Taxonomy Rules'!$C$42:$C$68,0)),"")="All supported routes",IFERROR(INDEX('Taxonomy Rules'!$G$42:$G$68,MATCH(E1240,'Taxonomy Rules'!$C$42:$C$68,0)),"")=U1240,AND(IFERROR(INDEX('Taxonomy Rules'!$G$42:$G$68,MATCH(E1240,'Taxonomy Rules'!$C$42:$C$68,0)),"")="Building routes",OR(U1240="Building renovation",U1240="New building",U1240="Building equipment"))))),"Unexpected test","Valid"))))</x:f>
      </x:c>
      <x:c r="S1240" s="9" t="str">
        <x:f>IF(C1240="","",IFERROR(INDEX('Taxonomy Rules'!$E$42:$E$68,MATCH(E1240,'Taxonomy Rules'!$C$42:$C$68,0)),""))</x:f>
      </x:c>
      <x:c r="T1240" s="9" t="str">
        <x:f>IF(C1240="","",IFERROR(INDEX('Taxonomy Rules'!$F$42:$F$68,MATCH(E1240,'Taxonomy Rules'!$C$42:$C$68,0)),""))</x:f>
      </x:c>
      <x:c r="U1240" s="9" t="str">
        <x:f>IF(C1240="","",IFERROR(INDEX('Taxonomy'!$G$9:$G$108,MATCH(D1240,'Taxonomy'!$C$9:$C$108,0)),""))</x:f>
      </x:c>
    </x:row>
    <x:row r="1241" ht="44" customHeight="1">
      <x:c r="A1241" s="1"/>
      <x:c r="B1241" s="1"/>
      <x:c r="C1241" s="8"/>
      <x:c r="D1241" s="8"/>
      <x:c r="E1241" s="8"/>
      <x:c r="F1241" s="8"/>
      <x:c r="G1241" s="8"/>
      <x:c r="H1241" s="8"/>
      <x:c r="I1241" s="8"/>
      <x:c r="J1241" s="8"/>
      <x:c r="K1241" s="8"/>
      <x:c r="L1241" s="8"/>
      <x:c r="M1241" s="10"/>
      <x:c r="N1241" s="10"/>
      <x:c r="O1241" s="8"/>
      <x:c r="P1241" s="9" t="str">
        <x:f>IF(C1241="","",IF(AND(G1241="Applicable",H1241="Fail"),"Fail",IF(R1241&lt;&gt;"Valid","Pending",IF(OR(I1241="",K1241="",L1241="",K1241=L1241,NOT(ISNUMBER(M1241)),NOT(ISNUMBER(N1241)),M1241&gt;Settings!$F$8,N1241&lt;Settings!$F$8,N1241&lt;M1241),"Pending",IF(AND(G1241="Applicable",H1241="Pass"),"Pass",IF(AND(G1241="N/A",H1241="N/A",J1241&lt;&gt;"",OR(E1241="CEM-FUELS",E1241="CEM-CCS",AND(E1241="CEM-PLAN",IFERROR(INDEX('Taxonomy'!$M$9:$M$108,MATCH(D1241,'Taxonomy'!$C$9:$C$108,0)),"")&lt;&gt;"Amber"),E1241="BLD-TIMBER",AND(U1241="Building equipment",OR(E1241="BLD-WATER",E1241="BLD-WASTE",E1241="BLD-LAND")),AND(U1241="Building renovation",E1241="BLD-LAND"))),"N/A","Pending"))))))</x:f>
      </x:c>
      <x:c r="Q1241" s="3" t="str">
        <x:f>IF(C1241="","",IF(AND(R1241="Valid",OR(P1241="Pass",P1241="N/A")),"Complete","Unresolved"))</x:f>
      </x:c>
      <x:c r="R1241" s="9" t="str">
        <x:f>IF(C1241="","",IF(OR(COUNTIF($C$9:$C$2008,C1241)&lt;&gt;1,COUNTIFS($D$9:$D$2008,D1241,$E$9:$E$2008,E1241)&lt;&gt;1),"Duplicate test",IF(COUNTIF('Taxonomy'!$C$9:$C$108,D1241)&lt;&gt;1,"Assessment key",IF(OR(COUNTIF('Taxonomy Rules'!$C$42:$C$68,E1241)&lt;&gt;1,F1241&lt;&gt;IFERROR(INDEX('Taxonomy Rules'!$D$42:$D$68,MATCH(E1241,'Taxonomy Rules'!$C$42:$C$68,0)),""),NOT(OR(IFERROR(INDEX('Taxonomy Rules'!$G$42:$G$68,MATCH(E1241,'Taxonomy Rules'!$C$42:$C$68,0)),"")="All supported routes",IFERROR(INDEX('Taxonomy Rules'!$G$42:$G$68,MATCH(E1241,'Taxonomy Rules'!$C$42:$C$68,0)),"")=U1241,AND(IFERROR(INDEX('Taxonomy Rules'!$G$42:$G$68,MATCH(E1241,'Taxonomy Rules'!$C$42:$C$68,0)),"")="Building routes",OR(U1241="Building renovation",U1241="New building",U1241="Building equipment"))))),"Unexpected test","Valid"))))</x:f>
      </x:c>
      <x:c r="S1241" s="9" t="str">
        <x:f>IF(C1241="","",IFERROR(INDEX('Taxonomy Rules'!$E$42:$E$68,MATCH(E1241,'Taxonomy Rules'!$C$42:$C$68,0)),""))</x:f>
      </x:c>
      <x:c r="T1241" s="9" t="str">
        <x:f>IF(C1241="","",IFERROR(INDEX('Taxonomy Rules'!$F$42:$F$68,MATCH(E1241,'Taxonomy Rules'!$C$42:$C$68,0)),""))</x:f>
      </x:c>
      <x:c r="U1241" s="9" t="str">
        <x:f>IF(C1241="","",IFERROR(INDEX('Taxonomy'!$G$9:$G$108,MATCH(D1241,'Taxonomy'!$C$9:$C$108,0)),""))</x:f>
      </x:c>
    </x:row>
    <x:row r="1242" ht="44" customHeight="1">
      <x:c r="A1242" s="1"/>
      <x:c r="B1242" s="1"/>
      <x:c r="C1242" s="8"/>
      <x:c r="D1242" s="8"/>
      <x:c r="E1242" s="8"/>
      <x:c r="F1242" s="8"/>
      <x:c r="G1242" s="8"/>
      <x:c r="H1242" s="8"/>
      <x:c r="I1242" s="8"/>
      <x:c r="J1242" s="8"/>
      <x:c r="K1242" s="8"/>
      <x:c r="L1242" s="8"/>
      <x:c r="M1242" s="10"/>
      <x:c r="N1242" s="10"/>
      <x:c r="O1242" s="8"/>
      <x:c r="P1242" s="9" t="str">
        <x:f>IF(C1242="","",IF(AND(G1242="Applicable",H1242="Fail"),"Fail",IF(R1242&lt;&gt;"Valid","Pending",IF(OR(I1242="",K1242="",L1242="",K1242=L1242,NOT(ISNUMBER(M1242)),NOT(ISNUMBER(N1242)),M1242&gt;Settings!$F$8,N1242&lt;Settings!$F$8,N1242&lt;M1242),"Pending",IF(AND(G1242="Applicable",H1242="Pass"),"Pass",IF(AND(G1242="N/A",H1242="N/A",J1242&lt;&gt;"",OR(E1242="CEM-FUELS",E1242="CEM-CCS",AND(E1242="CEM-PLAN",IFERROR(INDEX('Taxonomy'!$M$9:$M$108,MATCH(D1242,'Taxonomy'!$C$9:$C$108,0)),"")&lt;&gt;"Amber"),E1242="BLD-TIMBER",AND(U1242="Building equipment",OR(E1242="BLD-WATER",E1242="BLD-WASTE",E1242="BLD-LAND")),AND(U1242="Building renovation",E1242="BLD-LAND"))),"N/A","Pending"))))))</x:f>
      </x:c>
      <x:c r="Q1242" s="3" t="str">
        <x:f>IF(C1242="","",IF(AND(R1242="Valid",OR(P1242="Pass",P1242="N/A")),"Complete","Unresolved"))</x:f>
      </x:c>
      <x:c r="R1242" s="9" t="str">
        <x:f>IF(C1242="","",IF(OR(COUNTIF($C$9:$C$2008,C1242)&lt;&gt;1,COUNTIFS($D$9:$D$2008,D1242,$E$9:$E$2008,E1242)&lt;&gt;1),"Duplicate test",IF(COUNTIF('Taxonomy'!$C$9:$C$108,D1242)&lt;&gt;1,"Assessment key",IF(OR(COUNTIF('Taxonomy Rules'!$C$42:$C$68,E1242)&lt;&gt;1,F1242&lt;&gt;IFERROR(INDEX('Taxonomy Rules'!$D$42:$D$68,MATCH(E1242,'Taxonomy Rules'!$C$42:$C$68,0)),""),NOT(OR(IFERROR(INDEX('Taxonomy Rules'!$G$42:$G$68,MATCH(E1242,'Taxonomy Rules'!$C$42:$C$68,0)),"")="All supported routes",IFERROR(INDEX('Taxonomy Rules'!$G$42:$G$68,MATCH(E1242,'Taxonomy Rules'!$C$42:$C$68,0)),"")=U1242,AND(IFERROR(INDEX('Taxonomy Rules'!$G$42:$G$68,MATCH(E1242,'Taxonomy Rules'!$C$42:$C$68,0)),"")="Building routes",OR(U1242="Building renovation",U1242="New building",U1242="Building equipment"))))),"Unexpected test","Valid"))))</x:f>
      </x:c>
      <x:c r="S1242" s="9" t="str">
        <x:f>IF(C1242="","",IFERROR(INDEX('Taxonomy Rules'!$E$42:$E$68,MATCH(E1242,'Taxonomy Rules'!$C$42:$C$68,0)),""))</x:f>
      </x:c>
      <x:c r="T1242" s="9" t="str">
        <x:f>IF(C1242="","",IFERROR(INDEX('Taxonomy Rules'!$F$42:$F$68,MATCH(E1242,'Taxonomy Rules'!$C$42:$C$68,0)),""))</x:f>
      </x:c>
      <x:c r="U1242" s="9" t="str">
        <x:f>IF(C1242="","",IFERROR(INDEX('Taxonomy'!$G$9:$G$108,MATCH(D1242,'Taxonomy'!$C$9:$C$108,0)),""))</x:f>
      </x:c>
    </x:row>
    <x:row r="1243" ht="44" customHeight="1">
      <x:c r="A1243" s="1"/>
      <x:c r="B1243" s="1"/>
      <x:c r="C1243" s="8"/>
      <x:c r="D1243" s="8"/>
      <x:c r="E1243" s="8"/>
      <x:c r="F1243" s="8"/>
      <x:c r="G1243" s="8"/>
      <x:c r="H1243" s="8"/>
      <x:c r="I1243" s="8"/>
      <x:c r="J1243" s="8"/>
      <x:c r="K1243" s="8"/>
      <x:c r="L1243" s="8"/>
      <x:c r="M1243" s="10"/>
      <x:c r="N1243" s="10"/>
      <x:c r="O1243" s="8"/>
      <x:c r="P1243" s="9" t="str">
        <x:f>IF(C1243="","",IF(AND(G1243="Applicable",H1243="Fail"),"Fail",IF(R1243&lt;&gt;"Valid","Pending",IF(OR(I1243="",K1243="",L1243="",K1243=L1243,NOT(ISNUMBER(M1243)),NOT(ISNUMBER(N1243)),M1243&gt;Settings!$F$8,N1243&lt;Settings!$F$8,N1243&lt;M1243),"Pending",IF(AND(G1243="Applicable",H1243="Pass"),"Pass",IF(AND(G1243="N/A",H1243="N/A",J1243&lt;&gt;"",OR(E1243="CEM-FUELS",E1243="CEM-CCS",AND(E1243="CEM-PLAN",IFERROR(INDEX('Taxonomy'!$M$9:$M$108,MATCH(D1243,'Taxonomy'!$C$9:$C$108,0)),"")&lt;&gt;"Amber"),E1243="BLD-TIMBER",AND(U1243="Building equipment",OR(E1243="BLD-WATER",E1243="BLD-WASTE",E1243="BLD-LAND")),AND(U1243="Building renovation",E1243="BLD-LAND"))),"N/A","Pending"))))))</x:f>
      </x:c>
      <x:c r="Q1243" s="3" t="str">
        <x:f>IF(C1243="","",IF(AND(R1243="Valid",OR(P1243="Pass",P1243="N/A")),"Complete","Unresolved"))</x:f>
      </x:c>
      <x:c r="R1243" s="9" t="str">
        <x:f>IF(C1243="","",IF(OR(COUNTIF($C$9:$C$2008,C1243)&lt;&gt;1,COUNTIFS($D$9:$D$2008,D1243,$E$9:$E$2008,E1243)&lt;&gt;1),"Duplicate test",IF(COUNTIF('Taxonomy'!$C$9:$C$108,D1243)&lt;&gt;1,"Assessment key",IF(OR(COUNTIF('Taxonomy Rules'!$C$42:$C$68,E1243)&lt;&gt;1,F1243&lt;&gt;IFERROR(INDEX('Taxonomy Rules'!$D$42:$D$68,MATCH(E1243,'Taxonomy Rules'!$C$42:$C$68,0)),""),NOT(OR(IFERROR(INDEX('Taxonomy Rules'!$G$42:$G$68,MATCH(E1243,'Taxonomy Rules'!$C$42:$C$68,0)),"")="All supported routes",IFERROR(INDEX('Taxonomy Rules'!$G$42:$G$68,MATCH(E1243,'Taxonomy Rules'!$C$42:$C$68,0)),"")=U1243,AND(IFERROR(INDEX('Taxonomy Rules'!$G$42:$G$68,MATCH(E1243,'Taxonomy Rules'!$C$42:$C$68,0)),"")="Building routes",OR(U1243="Building renovation",U1243="New building",U1243="Building equipment"))))),"Unexpected test","Valid"))))</x:f>
      </x:c>
      <x:c r="S1243" s="9" t="str">
        <x:f>IF(C1243="","",IFERROR(INDEX('Taxonomy Rules'!$E$42:$E$68,MATCH(E1243,'Taxonomy Rules'!$C$42:$C$68,0)),""))</x:f>
      </x:c>
      <x:c r="T1243" s="9" t="str">
        <x:f>IF(C1243="","",IFERROR(INDEX('Taxonomy Rules'!$F$42:$F$68,MATCH(E1243,'Taxonomy Rules'!$C$42:$C$68,0)),""))</x:f>
      </x:c>
      <x:c r="U1243" s="9" t="str">
        <x:f>IF(C1243="","",IFERROR(INDEX('Taxonomy'!$G$9:$G$108,MATCH(D1243,'Taxonomy'!$C$9:$C$108,0)),""))</x:f>
      </x:c>
    </x:row>
    <x:row r="1244" ht="44" customHeight="1">
      <x:c r="A1244" s="1"/>
      <x:c r="B1244" s="1"/>
      <x:c r="C1244" s="8"/>
      <x:c r="D1244" s="8"/>
      <x:c r="E1244" s="8"/>
      <x:c r="F1244" s="8"/>
      <x:c r="G1244" s="8"/>
      <x:c r="H1244" s="8"/>
      <x:c r="I1244" s="8"/>
      <x:c r="J1244" s="8"/>
      <x:c r="K1244" s="8"/>
      <x:c r="L1244" s="8"/>
      <x:c r="M1244" s="10"/>
      <x:c r="N1244" s="10"/>
      <x:c r="O1244" s="8"/>
      <x:c r="P1244" s="9" t="str">
        <x:f>IF(C1244="","",IF(AND(G1244="Applicable",H1244="Fail"),"Fail",IF(R1244&lt;&gt;"Valid","Pending",IF(OR(I1244="",K1244="",L1244="",K1244=L1244,NOT(ISNUMBER(M1244)),NOT(ISNUMBER(N1244)),M1244&gt;Settings!$F$8,N1244&lt;Settings!$F$8,N1244&lt;M1244),"Pending",IF(AND(G1244="Applicable",H1244="Pass"),"Pass",IF(AND(G1244="N/A",H1244="N/A",J1244&lt;&gt;"",OR(E1244="CEM-FUELS",E1244="CEM-CCS",AND(E1244="CEM-PLAN",IFERROR(INDEX('Taxonomy'!$M$9:$M$108,MATCH(D1244,'Taxonomy'!$C$9:$C$108,0)),"")&lt;&gt;"Amber"),E1244="BLD-TIMBER",AND(U1244="Building equipment",OR(E1244="BLD-WATER",E1244="BLD-WASTE",E1244="BLD-LAND")),AND(U1244="Building renovation",E1244="BLD-LAND"))),"N/A","Pending"))))))</x:f>
      </x:c>
      <x:c r="Q1244" s="3" t="str">
        <x:f>IF(C1244="","",IF(AND(R1244="Valid",OR(P1244="Pass",P1244="N/A")),"Complete","Unresolved"))</x:f>
      </x:c>
      <x:c r="R1244" s="9" t="str">
        <x:f>IF(C1244="","",IF(OR(COUNTIF($C$9:$C$2008,C1244)&lt;&gt;1,COUNTIFS($D$9:$D$2008,D1244,$E$9:$E$2008,E1244)&lt;&gt;1),"Duplicate test",IF(COUNTIF('Taxonomy'!$C$9:$C$108,D1244)&lt;&gt;1,"Assessment key",IF(OR(COUNTIF('Taxonomy Rules'!$C$42:$C$68,E1244)&lt;&gt;1,F1244&lt;&gt;IFERROR(INDEX('Taxonomy Rules'!$D$42:$D$68,MATCH(E1244,'Taxonomy Rules'!$C$42:$C$68,0)),""),NOT(OR(IFERROR(INDEX('Taxonomy Rules'!$G$42:$G$68,MATCH(E1244,'Taxonomy Rules'!$C$42:$C$68,0)),"")="All supported routes",IFERROR(INDEX('Taxonomy Rules'!$G$42:$G$68,MATCH(E1244,'Taxonomy Rules'!$C$42:$C$68,0)),"")=U1244,AND(IFERROR(INDEX('Taxonomy Rules'!$G$42:$G$68,MATCH(E1244,'Taxonomy Rules'!$C$42:$C$68,0)),"")="Building routes",OR(U1244="Building renovation",U1244="New building",U1244="Building equipment"))))),"Unexpected test","Valid"))))</x:f>
      </x:c>
      <x:c r="S1244" s="9" t="str">
        <x:f>IF(C1244="","",IFERROR(INDEX('Taxonomy Rules'!$E$42:$E$68,MATCH(E1244,'Taxonomy Rules'!$C$42:$C$68,0)),""))</x:f>
      </x:c>
      <x:c r="T1244" s="9" t="str">
        <x:f>IF(C1244="","",IFERROR(INDEX('Taxonomy Rules'!$F$42:$F$68,MATCH(E1244,'Taxonomy Rules'!$C$42:$C$68,0)),""))</x:f>
      </x:c>
      <x:c r="U1244" s="9" t="str">
        <x:f>IF(C1244="","",IFERROR(INDEX('Taxonomy'!$G$9:$G$108,MATCH(D1244,'Taxonomy'!$C$9:$C$108,0)),""))</x:f>
      </x:c>
    </x:row>
    <x:row r="1245" ht="44" customHeight="1">
      <x:c r="A1245" s="1"/>
      <x:c r="B1245" s="1"/>
      <x:c r="C1245" s="8"/>
      <x:c r="D1245" s="8"/>
      <x:c r="E1245" s="8"/>
      <x:c r="F1245" s="8"/>
      <x:c r="G1245" s="8"/>
      <x:c r="H1245" s="8"/>
      <x:c r="I1245" s="8"/>
      <x:c r="J1245" s="8"/>
      <x:c r="K1245" s="8"/>
      <x:c r="L1245" s="8"/>
      <x:c r="M1245" s="10"/>
      <x:c r="N1245" s="10"/>
      <x:c r="O1245" s="8"/>
      <x:c r="P1245" s="9" t="str">
        <x:f>IF(C1245="","",IF(AND(G1245="Applicable",H1245="Fail"),"Fail",IF(R1245&lt;&gt;"Valid","Pending",IF(OR(I1245="",K1245="",L1245="",K1245=L1245,NOT(ISNUMBER(M1245)),NOT(ISNUMBER(N1245)),M1245&gt;Settings!$F$8,N1245&lt;Settings!$F$8,N1245&lt;M1245),"Pending",IF(AND(G1245="Applicable",H1245="Pass"),"Pass",IF(AND(G1245="N/A",H1245="N/A",J1245&lt;&gt;"",OR(E1245="CEM-FUELS",E1245="CEM-CCS",AND(E1245="CEM-PLAN",IFERROR(INDEX('Taxonomy'!$M$9:$M$108,MATCH(D1245,'Taxonomy'!$C$9:$C$108,0)),"")&lt;&gt;"Amber"),E1245="BLD-TIMBER",AND(U1245="Building equipment",OR(E1245="BLD-WATER",E1245="BLD-WASTE",E1245="BLD-LAND")),AND(U1245="Building renovation",E1245="BLD-LAND"))),"N/A","Pending"))))))</x:f>
      </x:c>
      <x:c r="Q1245" s="3" t="str">
        <x:f>IF(C1245="","",IF(AND(R1245="Valid",OR(P1245="Pass",P1245="N/A")),"Complete","Unresolved"))</x:f>
      </x:c>
      <x:c r="R1245" s="9" t="str">
        <x:f>IF(C1245="","",IF(OR(COUNTIF($C$9:$C$2008,C1245)&lt;&gt;1,COUNTIFS($D$9:$D$2008,D1245,$E$9:$E$2008,E1245)&lt;&gt;1),"Duplicate test",IF(COUNTIF('Taxonomy'!$C$9:$C$108,D1245)&lt;&gt;1,"Assessment key",IF(OR(COUNTIF('Taxonomy Rules'!$C$42:$C$68,E1245)&lt;&gt;1,F1245&lt;&gt;IFERROR(INDEX('Taxonomy Rules'!$D$42:$D$68,MATCH(E1245,'Taxonomy Rules'!$C$42:$C$68,0)),""),NOT(OR(IFERROR(INDEX('Taxonomy Rules'!$G$42:$G$68,MATCH(E1245,'Taxonomy Rules'!$C$42:$C$68,0)),"")="All supported routes",IFERROR(INDEX('Taxonomy Rules'!$G$42:$G$68,MATCH(E1245,'Taxonomy Rules'!$C$42:$C$68,0)),"")=U1245,AND(IFERROR(INDEX('Taxonomy Rules'!$G$42:$G$68,MATCH(E1245,'Taxonomy Rules'!$C$42:$C$68,0)),"")="Building routes",OR(U1245="Building renovation",U1245="New building",U1245="Building equipment"))))),"Unexpected test","Valid"))))</x:f>
      </x:c>
      <x:c r="S1245" s="9" t="str">
        <x:f>IF(C1245="","",IFERROR(INDEX('Taxonomy Rules'!$E$42:$E$68,MATCH(E1245,'Taxonomy Rules'!$C$42:$C$68,0)),""))</x:f>
      </x:c>
      <x:c r="T1245" s="9" t="str">
        <x:f>IF(C1245="","",IFERROR(INDEX('Taxonomy Rules'!$F$42:$F$68,MATCH(E1245,'Taxonomy Rules'!$C$42:$C$68,0)),""))</x:f>
      </x:c>
      <x:c r="U1245" s="9" t="str">
        <x:f>IF(C1245="","",IFERROR(INDEX('Taxonomy'!$G$9:$G$108,MATCH(D1245,'Taxonomy'!$C$9:$C$108,0)),""))</x:f>
      </x:c>
    </x:row>
    <x:row r="1246" ht="44" customHeight="1">
      <x:c r="A1246" s="1"/>
      <x:c r="B1246" s="1"/>
      <x:c r="C1246" s="8"/>
      <x:c r="D1246" s="8"/>
      <x:c r="E1246" s="8"/>
      <x:c r="F1246" s="8"/>
      <x:c r="G1246" s="8"/>
      <x:c r="H1246" s="8"/>
      <x:c r="I1246" s="8"/>
      <x:c r="J1246" s="8"/>
      <x:c r="K1246" s="8"/>
      <x:c r="L1246" s="8"/>
      <x:c r="M1246" s="10"/>
      <x:c r="N1246" s="10"/>
      <x:c r="O1246" s="8"/>
      <x:c r="P1246" s="9" t="str">
        <x:f>IF(C1246="","",IF(AND(G1246="Applicable",H1246="Fail"),"Fail",IF(R1246&lt;&gt;"Valid","Pending",IF(OR(I1246="",K1246="",L1246="",K1246=L1246,NOT(ISNUMBER(M1246)),NOT(ISNUMBER(N1246)),M1246&gt;Settings!$F$8,N1246&lt;Settings!$F$8,N1246&lt;M1246),"Pending",IF(AND(G1246="Applicable",H1246="Pass"),"Pass",IF(AND(G1246="N/A",H1246="N/A",J1246&lt;&gt;"",OR(E1246="CEM-FUELS",E1246="CEM-CCS",AND(E1246="CEM-PLAN",IFERROR(INDEX('Taxonomy'!$M$9:$M$108,MATCH(D1246,'Taxonomy'!$C$9:$C$108,0)),"")&lt;&gt;"Amber"),E1246="BLD-TIMBER",AND(U1246="Building equipment",OR(E1246="BLD-WATER",E1246="BLD-WASTE",E1246="BLD-LAND")),AND(U1246="Building renovation",E1246="BLD-LAND"))),"N/A","Pending"))))))</x:f>
      </x:c>
      <x:c r="Q1246" s="3" t="str">
        <x:f>IF(C1246="","",IF(AND(R1246="Valid",OR(P1246="Pass",P1246="N/A")),"Complete","Unresolved"))</x:f>
      </x:c>
      <x:c r="R1246" s="9" t="str">
        <x:f>IF(C1246="","",IF(OR(COUNTIF($C$9:$C$2008,C1246)&lt;&gt;1,COUNTIFS($D$9:$D$2008,D1246,$E$9:$E$2008,E1246)&lt;&gt;1),"Duplicate test",IF(COUNTIF('Taxonomy'!$C$9:$C$108,D1246)&lt;&gt;1,"Assessment key",IF(OR(COUNTIF('Taxonomy Rules'!$C$42:$C$68,E1246)&lt;&gt;1,F1246&lt;&gt;IFERROR(INDEX('Taxonomy Rules'!$D$42:$D$68,MATCH(E1246,'Taxonomy Rules'!$C$42:$C$68,0)),""),NOT(OR(IFERROR(INDEX('Taxonomy Rules'!$G$42:$G$68,MATCH(E1246,'Taxonomy Rules'!$C$42:$C$68,0)),"")="All supported routes",IFERROR(INDEX('Taxonomy Rules'!$G$42:$G$68,MATCH(E1246,'Taxonomy Rules'!$C$42:$C$68,0)),"")=U1246,AND(IFERROR(INDEX('Taxonomy Rules'!$G$42:$G$68,MATCH(E1246,'Taxonomy Rules'!$C$42:$C$68,0)),"")="Building routes",OR(U1246="Building renovation",U1246="New building",U1246="Building equipment"))))),"Unexpected test","Valid"))))</x:f>
      </x:c>
      <x:c r="S1246" s="9" t="str">
        <x:f>IF(C1246="","",IFERROR(INDEX('Taxonomy Rules'!$E$42:$E$68,MATCH(E1246,'Taxonomy Rules'!$C$42:$C$68,0)),""))</x:f>
      </x:c>
      <x:c r="T1246" s="9" t="str">
        <x:f>IF(C1246="","",IFERROR(INDEX('Taxonomy Rules'!$F$42:$F$68,MATCH(E1246,'Taxonomy Rules'!$C$42:$C$68,0)),""))</x:f>
      </x:c>
      <x:c r="U1246" s="9" t="str">
        <x:f>IF(C1246="","",IFERROR(INDEX('Taxonomy'!$G$9:$G$108,MATCH(D1246,'Taxonomy'!$C$9:$C$108,0)),""))</x:f>
      </x:c>
    </x:row>
    <x:row r="1247" ht="44" customHeight="1">
      <x:c r="A1247" s="1"/>
      <x:c r="B1247" s="1"/>
      <x:c r="C1247" s="8"/>
      <x:c r="D1247" s="8"/>
      <x:c r="E1247" s="8"/>
      <x:c r="F1247" s="8"/>
      <x:c r="G1247" s="8"/>
      <x:c r="H1247" s="8"/>
      <x:c r="I1247" s="8"/>
      <x:c r="J1247" s="8"/>
      <x:c r="K1247" s="8"/>
      <x:c r="L1247" s="8"/>
      <x:c r="M1247" s="10"/>
      <x:c r="N1247" s="10"/>
      <x:c r="O1247" s="8"/>
      <x:c r="P1247" s="9" t="str">
        <x:f>IF(C1247="","",IF(AND(G1247="Applicable",H1247="Fail"),"Fail",IF(R1247&lt;&gt;"Valid","Pending",IF(OR(I1247="",K1247="",L1247="",K1247=L1247,NOT(ISNUMBER(M1247)),NOT(ISNUMBER(N1247)),M1247&gt;Settings!$F$8,N1247&lt;Settings!$F$8,N1247&lt;M1247),"Pending",IF(AND(G1247="Applicable",H1247="Pass"),"Pass",IF(AND(G1247="N/A",H1247="N/A",J1247&lt;&gt;"",OR(E1247="CEM-FUELS",E1247="CEM-CCS",AND(E1247="CEM-PLAN",IFERROR(INDEX('Taxonomy'!$M$9:$M$108,MATCH(D1247,'Taxonomy'!$C$9:$C$108,0)),"")&lt;&gt;"Amber"),E1247="BLD-TIMBER",AND(U1247="Building equipment",OR(E1247="BLD-WATER",E1247="BLD-WASTE",E1247="BLD-LAND")),AND(U1247="Building renovation",E1247="BLD-LAND"))),"N/A","Pending"))))))</x:f>
      </x:c>
      <x:c r="Q1247" s="3" t="str">
        <x:f>IF(C1247="","",IF(AND(R1247="Valid",OR(P1247="Pass",P1247="N/A")),"Complete","Unresolved"))</x:f>
      </x:c>
      <x:c r="R1247" s="9" t="str">
        <x:f>IF(C1247="","",IF(OR(COUNTIF($C$9:$C$2008,C1247)&lt;&gt;1,COUNTIFS($D$9:$D$2008,D1247,$E$9:$E$2008,E1247)&lt;&gt;1),"Duplicate test",IF(COUNTIF('Taxonomy'!$C$9:$C$108,D1247)&lt;&gt;1,"Assessment key",IF(OR(COUNTIF('Taxonomy Rules'!$C$42:$C$68,E1247)&lt;&gt;1,F1247&lt;&gt;IFERROR(INDEX('Taxonomy Rules'!$D$42:$D$68,MATCH(E1247,'Taxonomy Rules'!$C$42:$C$68,0)),""),NOT(OR(IFERROR(INDEX('Taxonomy Rules'!$G$42:$G$68,MATCH(E1247,'Taxonomy Rules'!$C$42:$C$68,0)),"")="All supported routes",IFERROR(INDEX('Taxonomy Rules'!$G$42:$G$68,MATCH(E1247,'Taxonomy Rules'!$C$42:$C$68,0)),"")=U1247,AND(IFERROR(INDEX('Taxonomy Rules'!$G$42:$G$68,MATCH(E1247,'Taxonomy Rules'!$C$42:$C$68,0)),"")="Building routes",OR(U1247="Building renovation",U1247="New building",U1247="Building equipment"))))),"Unexpected test","Valid"))))</x:f>
      </x:c>
      <x:c r="S1247" s="9" t="str">
        <x:f>IF(C1247="","",IFERROR(INDEX('Taxonomy Rules'!$E$42:$E$68,MATCH(E1247,'Taxonomy Rules'!$C$42:$C$68,0)),""))</x:f>
      </x:c>
      <x:c r="T1247" s="9" t="str">
        <x:f>IF(C1247="","",IFERROR(INDEX('Taxonomy Rules'!$F$42:$F$68,MATCH(E1247,'Taxonomy Rules'!$C$42:$C$68,0)),""))</x:f>
      </x:c>
      <x:c r="U1247" s="9" t="str">
        <x:f>IF(C1247="","",IFERROR(INDEX('Taxonomy'!$G$9:$G$108,MATCH(D1247,'Taxonomy'!$C$9:$C$108,0)),""))</x:f>
      </x:c>
    </x:row>
    <x:row r="1248" ht="44" customHeight="1">
      <x:c r="A1248" s="1"/>
      <x:c r="B1248" s="1"/>
      <x:c r="C1248" s="8"/>
      <x:c r="D1248" s="8"/>
      <x:c r="E1248" s="8"/>
      <x:c r="F1248" s="8"/>
      <x:c r="G1248" s="8"/>
      <x:c r="H1248" s="8"/>
      <x:c r="I1248" s="8"/>
      <x:c r="J1248" s="8"/>
      <x:c r="K1248" s="8"/>
      <x:c r="L1248" s="8"/>
      <x:c r="M1248" s="10"/>
      <x:c r="N1248" s="10"/>
      <x:c r="O1248" s="8"/>
      <x:c r="P1248" s="9" t="str">
        <x:f>IF(C1248="","",IF(AND(G1248="Applicable",H1248="Fail"),"Fail",IF(R1248&lt;&gt;"Valid","Pending",IF(OR(I1248="",K1248="",L1248="",K1248=L1248,NOT(ISNUMBER(M1248)),NOT(ISNUMBER(N1248)),M1248&gt;Settings!$F$8,N1248&lt;Settings!$F$8,N1248&lt;M1248),"Pending",IF(AND(G1248="Applicable",H1248="Pass"),"Pass",IF(AND(G1248="N/A",H1248="N/A",J1248&lt;&gt;"",OR(E1248="CEM-FUELS",E1248="CEM-CCS",AND(E1248="CEM-PLAN",IFERROR(INDEX('Taxonomy'!$M$9:$M$108,MATCH(D1248,'Taxonomy'!$C$9:$C$108,0)),"")&lt;&gt;"Amber"),E1248="BLD-TIMBER",AND(U1248="Building equipment",OR(E1248="BLD-WATER",E1248="BLD-WASTE",E1248="BLD-LAND")),AND(U1248="Building renovation",E1248="BLD-LAND"))),"N/A","Pending"))))))</x:f>
      </x:c>
      <x:c r="Q1248" s="3" t="str">
        <x:f>IF(C1248="","",IF(AND(R1248="Valid",OR(P1248="Pass",P1248="N/A")),"Complete","Unresolved"))</x:f>
      </x:c>
      <x:c r="R1248" s="9" t="str">
        <x:f>IF(C1248="","",IF(OR(COUNTIF($C$9:$C$2008,C1248)&lt;&gt;1,COUNTIFS($D$9:$D$2008,D1248,$E$9:$E$2008,E1248)&lt;&gt;1),"Duplicate test",IF(COUNTIF('Taxonomy'!$C$9:$C$108,D1248)&lt;&gt;1,"Assessment key",IF(OR(COUNTIF('Taxonomy Rules'!$C$42:$C$68,E1248)&lt;&gt;1,F1248&lt;&gt;IFERROR(INDEX('Taxonomy Rules'!$D$42:$D$68,MATCH(E1248,'Taxonomy Rules'!$C$42:$C$68,0)),""),NOT(OR(IFERROR(INDEX('Taxonomy Rules'!$G$42:$G$68,MATCH(E1248,'Taxonomy Rules'!$C$42:$C$68,0)),"")="All supported routes",IFERROR(INDEX('Taxonomy Rules'!$G$42:$G$68,MATCH(E1248,'Taxonomy Rules'!$C$42:$C$68,0)),"")=U1248,AND(IFERROR(INDEX('Taxonomy Rules'!$G$42:$G$68,MATCH(E1248,'Taxonomy Rules'!$C$42:$C$68,0)),"")="Building routes",OR(U1248="Building renovation",U1248="New building",U1248="Building equipment"))))),"Unexpected test","Valid"))))</x:f>
      </x:c>
      <x:c r="S1248" s="9" t="str">
        <x:f>IF(C1248="","",IFERROR(INDEX('Taxonomy Rules'!$E$42:$E$68,MATCH(E1248,'Taxonomy Rules'!$C$42:$C$68,0)),""))</x:f>
      </x:c>
      <x:c r="T1248" s="9" t="str">
        <x:f>IF(C1248="","",IFERROR(INDEX('Taxonomy Rules'!$F$42:$F$68,MATCH(E1248,'Taxonomy Rules'!$C$42:$C$68,0)),""))</x:f>
      </x:c>
      <x:c r="U1248" s="9" t="str">
        <x:f>IF(C1248="","",IFERROR(INDEX('Taxonomy'!$G$9:$G$108,MATCH(D1248,'Taxonomy'!$C$9:$C$108,0)),""))</x:f>
      </x:c>
    </x:row>
    <x:row r="1249" ht="44" customHeight="1">
      <x:c r="A1249" s="1"/>
      <x:c r="B1249" s="1"/>
      <x:c r="C1249" s="8"/>
      <x:c r="D1249" s="8"/>
      <x:c r="E1249" s="8"/>
      <x:c r="F1249" s="8"/>
      <x:c r="G1249" s="8"/>
      <x:c r="H1249" s="8"/>
      <x:c r="I1249" s="8"/>
      <x:c r="J1249" s="8"/>
      <x:c r="K1249" s="8"/>
      <x:c r="L1249" s="8"/>
      <x:c r="M1249" s="10"/>
      <x:c r="N1249" s="10"/>
      <x:c r="O1249" s="8"/>
      <x:c r="P1249" s="9" t="str">
        <x:f>IF(C1249="","",IF(AND(G1249="Applicable",H1249="Fail"),"Fail",IF(R1249&lt;&gt;"Valid","Pending",IF(OR(I1249="",K1249="",L1249="",K1249=L1249,NOT(ISNUMBER(M1249)),NOT(ISNUMBER(N1249)),M1249&gt;Settings!$F$8,N1249&lt;Settings!$F$8,N1249&lt;M1249),"Pending",IF(AND(G1249="Applicable",H1249="Pass"),"Pass",IF(AND(G1249="N/A",H1249="N/A",J1249&lt;&gt;"",OR(E1249="CEM-FUELS",E1249="CEM-CCS",AND(E1249="CEM-PLAN",IFERROR(INDEX('Taxonomy'!$M$9:$M$108,MATCH(D1249,'Taxonomy'!$C$9:$C$108,0)),"")&lt;&gt;"Amber"),E1249="BLD-TIMBER",AND(U1249="Building equipment",OR(E1249="BLD-WATER",E1249="BLD-WASTE",E1249="BLD-LAND")),AND(U1249="Building renovation",E1249="BLD-LAND"))),"N/A","Pending"))))))</x:f>
      </x:c>
      <x:c r="Q1249" s="3" t="str">
        <x:f>IF(C1249="","",IF(AND(R1249="Valid",OR(P1249="Pass",P1249="N/A")),"Complete","Unresolved"))</x:f>
      </x:c>
      <x:c r="R1249" s="9" t="str">
        <x:f>IF(C1249="","",IF(OR(COUNTIF($C$9:$C$2008,C1249)&lt;&gt;1,COUNTIFS($D$9:$D$2008,D1249,$E$9:$E$2008,E1249)&lt;&gt;1),"Duplicate test",IF(COUNTIF('Taxonomy'!$C$9:$C$108,D1249)&lt;&gt;1,"Assessment key",IF(OR(COUNTIF('Taxonomy Rules'!$C$42:$C$68,E1249)&lt;&gt;1,F1249&lt;&gt;IFERROR(INDEX('Taxonomy Rules'!$D$42:$D$68,MATCH(E1249,'Taxonomy Rules'!$C$42:$C$68,0)),""),NOT(OR(IFERROR(INDEX('Taxonomy Rules'!$G$42:$G$68,MATCH(E1249,'Taxonomy Rules'!$C$42:$C$68,0)),"")="All supported routes",IFERROR(INDEX('Taxonomy Rules'!$G$42:$G$68,MATCH(E1249,'Taxonomy Rules'!$C$42:$C$68,0)),"")=U1249,AND(IFERROR(INDEX('Taxonomy Rules'!$G$42:$G$68,MATCH(E1249,'Taxonomy Rules'!$C$42:$C$68,0)),"")="Building routes",OR(U1249="Building renovation",U1249="New building",U1249="Building equipment"))))),"Unexpected test","Valid"))))</x:f>
      </x:c>
      <x:c r="S1249" s="9" t="str">
        <x:f>IF(C1249="","",IFERROR(INDEX('Taxonomy Rules'!$E$42:$E$68,MATCH(E1249,'Taxonomy Rules'!$C$42:$C$68,0)),""))</x:f>
      </x:c>
      <x:c r="T1249" s="9" t="str">
        <x:f>IF(C1249="","",IFERROR(INDEX('Taxonomy Rules'!$F$42:$F$68,MATCH(E1249,'Taxonomy Rules'!$C$42:$C$68,0)),""))</x:f>
      </x:c>
      <x:c r="U1249" s="9" t="str">
        <x:f>IF(C1249="","",IFERROR(INDEX('Taxonomy'!$G$9:$G$108,MATCH(D1249,'Taxonomy'!$C$9:$C$108,0)),""))</x:f>
      </x:c>
    </x:row>
    <x:row r="1250" ht="44" customHeight="1">
      <x:c r="A1250" s="1"/>
      <x:c r="B1250" s="1"/>
      <x:c r="C1250" s="8"/>
      <x:c r="D1250" s="8"/>
      <x:c r="E1250" s="8"/>
      <x:c r="F1250" s="8"/>
      <x:c r="G1250" s="8"/>
      <x:c r="H1250" s="8"/>
      <x:c r="I1250" s="8"/>
      <x:c r="J1250" s="8"/>
      <x:c r="K1250" s="8"/>
      <x:c r="L1250" s="8"/>
      <x:c r="M1250" s="10"/>
      <x:c r="N1250" s="10"/>
      <x:c r="O1250" s="8"/>
      <x:c r="P1250" s="9" t="str">
        <x:f>IF(C1250="","",IF(AND(G1250="Applicable",H1250="Fail"),"Fail",IF(R1250&lt;&gt;"Valid","Pending",IF(OR(I1250="",K1250="",L1250="",K1250=L1250,NOT(ISNUMBER(M1250)),NOT(ISNUMBER(N1250)),M1250&gt;Settings!$F$8,N1250&lt;Settings!$F$8,N1250&lt;M1250),"Pending",IF(AND(G1250="Applicable",H1250="Pass"),"Pass",IF(AND(G1250="N/A",H1250="N/A",J1250&lt;&gt;"",OR(E1250="CEM-FUELS",E1250="CEM-CCS",AND(E1250="CEM-PLAN",IFERROR(INDEX('Taxonomy'!$M$9:$M$108,MATCH(D1250,'Taxonomy'!$C$9:$C$108,0)),"")&lt;&gt;"Amber"),E1250="BLD-TIMBER",AND(U1250="Building equipment",OR(E1250="BLD-WATER",E1250="BLD-WASTE",E1250="BLD-LAND")),AND(U1250="Building renovation",E1250="BLD-LAND"))),"N/A","Pending"))))))</x:f>
      </x:c>
      <x:c r="Q1250" s="3" t="str">
        <x:f>IF(C1250="","",IF(AND(R1250="Valid",OR(P1250="Pass",P1250="N/A")),"Complete","Unresolved"))</x:f>
      </x:c>
      <x:c r="R1250" s="9" t="str">
        <x:f>IF(C1250="","",IF(OR(COUNTIF($C$9:$C$2008,C1250)&lt;&gt;1,COUNTIFS($D$9:$D$2008,D1250,$E$9:$E$2008,E1250)&lt;&gt;1),"Duplicate test",IF(COUNTIF('Taxonomy'!$C$9:$C$108,D1250)&lt;&gt;1,"Assessment key",IF(OR(COUNTIF('Taxonomy Rules'!$C$42:$C$68,E1250)&lt;&gt;1,F1250&lt;&gt;IFERROR(INDEX('Taxonomy Rules'!$D$42:$D$68,MATCH(E1250,'Taxonomy Rules'!$C$42:$C$68,0)),""),NOT(OR(IFERROR(INDEX('Taxonomy Rules'!$G$42:$G$68,MATCH(E1250,'Taxonomy Rules'!$C$42:$C$68,0)),"")="All supported routes",IFERROR(INDEX('Taxonomy Rules'!$G$42:$G$68,MATCH(E1250,'Taxonomy Rules'!$C$42:$C$68,0)),"")=U1250,AND(IFERROR(INDEX('Taxonomy Rules'!$G$42:$G$68,MATCH(E1250,'Taxonomy Rules'!$C$42:$C$68,0)),"")="Building routes",OR(U1250="Building renovation",U1250="New building",U1250="Building equipment"))))),"Unexpected test","Valid"))))</x:f>
      </x:c>
      <x:c r="S1250" s="9" t="str">
        <x:f>IF(C1250="","",IFERROR(INDEX('Taxonomy Rules'!$E$42:$E$68,MATCH(E1250,'Taxonomy Rules'!$C$42:$C$68,0)),""))</x:f>
      </x:c>
      <x:c r="T1250" s="9" t="str">
        <x:f>IF(C1250="","",IFERROR(INDEX('Taxonomy Rules'!$F$42:$F$68,MATCH(E1250,'Taxonomy Rules'!$C$42:$C$68,0)),""))</x:f>
      </x:c>
      <x:c r="U1250" s="9" t="str">
        <x:f>IF(C1250="","",IFERROR(INDEX('Taxonomy'!$G$9:$G$108,MATCH(D1250,'Taxonomy'!$C$9:$C$108,0)),""))</x:f>
      </x:c>
    </x:row>
    <x:row r="1251" ht="44" customHeight="1">
      <x:c r="A1251" s="1"/>
      <x:c r="B1251" s="1"/>
      <x:c r="C1251" s="8"/>
      <x:c r="D1251" s="8"/>
      <x:c r="E1251" s="8"/>
      <x:c r="F1251" s="8"/>
      <x:c r="G1251" s="8"/>
      <x:c r="H1251" s="8"/>
      <x:c r="I1251" s="8"/>
      <x:c r="J1251" s="8"/>
      <x:c r="K1251" s="8"/>
      <x:c r="L1251" s="8"/>
      <x:c r="M1251" s="10"/>
      <x:c r="N1251" s="10"/>
      <x:c r="O1251" s="8"/>
      <x:c r="P1251" s="9" t="str">
        <x:f>IF(C1251="","",IF(AND(G1251="Applicable",H1251="Fail"),"Fail",IF(R1251&lt;&gt;"Valid","Pending",IF(OR(I1251="",K1251="",L1251="",K1251=L1251,NOT(ISNUMBER(M1251)),NOT(ISNUMBER(N1251)),M1251&gt;Settings!$F$8,N1251&lt;Settings!$F$8,N1251&lt;M1251),"Pending",IF(AND(G1251="Applicable",H1251="Pass"),"Pass",IF(AND(G1251="N/A",H1251="N/A",J1251&lt;&gt;"",OR(E1251="CEM-FUELS",E1251="CEM-CCS",AND(E1251="CEM-PLAN",IFERROR(INDEX('Taxonomy'!$M$9:$M$108,MATCH(D1251,'Taxonomy'!$C$9:$C$108,0)),"")&lt;&gt;"Amber"),E1251="BLD-TIMBER",AND(U1251="Building equipment",OR(E1251="BLD-WATER",E1251="BLD-WASTE",E1251="BLD-LAND")),AND(U1251="Building renovation",E1251="BLD-LAND"))),"N/A","Pending"))))))</x:f>
      </x:c>
      <x:c r="Q1251" s="3" t="str">
        <x:f>IF(C1251="","",IF(AND(R1251="Valid",OR(P1251="Pass",P1251="N/A")),"Complete","Unresolved"))</x:f>
      </x:c>
      <x:c r="R1251" s="9" t="str">
        <x:f>IF(C1251="","",IF(OR(COUNTIF($C$9:$C$2008,C1251)&lt;&gt;1,COUNTIFS($D$9:$D$2008,D1251,$E$9:$E$2008,E1251)&lt;&gt;1),"Duplicate test",IF(COUNTIF('Taxonomy'!$C$9:$C$108,D1251)&lt;&gt;1,"Assessment key",IF(OR(COUNTIF('Taxonomy Rules'!$C$42:$C$68,E1251)&lt;&gt;1,F1251&lt;&gt;IFERROR(INDEX('Taxonomy Rules'!$D$42:$D$68,MATCH(E1251,'Taxonomy Rules'!$C$42:$C$68,0)),""),NOT(OR(IFERROR(INDEX('Taxonomy Rules'!$G$42:$G$68,MATCH(E1251,'Taxonomy Rules'!$C$42:$C$68,0)),"")="All supported routes",IFERROR(INDEX('Taxonomy Rules'!$G$42:$G$68,MATCH(E1251,'Taxonomy Rules'!$C$42:$C$68,0)),"")=U1251,AND(IFERROR(INDEX('Taxonomy Rules'!$G$42:$G$68,MATCH(E1251,'Taxonomy Rules'!$C$42:$C$68,0)),"")="Building routes",OR(U1251="Building renovation",U1251="New building",U1251="Building equipment"))))),"Unexpected test","Valid"))))</x:f>
      </x:c>
      <x:c r="S1251" s="9" t="str">
        <x:f>IF(C1251="","",IFERROR(INDEX('Taxonomy Rules'!$E$42:$E$68,MATCH(E1251,'Taxonomy Rules'!$C$42:$C$68,0)),""))</x:f>
      </x:c>
      <x:c r="T1251" s="9" t="str">
        <x:f>IF(C1251="","",IFERROR(INDEX('Taxonomy Rules'!$F$42:$F$68,MATCH(E1251,'Taxonomy Rules'!$C$42:$C$68,0)),""))</x:f>
      </x:c>
      <x:c r="U1251" s="9" t="str">
        <x:f>IF(C1251="","",IFERROR(INDEX('Taxonomy'!$G$9:$G$108,MATCH(D1251,'Taxonomy'!$C$9:$C$108,0)),""))</x:f>
      </x:c>
    </x:row>
    <x:row r="1252" ht="44" customHeight="1">
      <x:c r="A1252" s="1"/>
      <x:c r="B1252" s="1"/>
      <x:c r="C1252" s="8"/>
      <x:c r="D1252" s="8"/>
      <x:c r="E1252" s="8"/>
      <x:c r="F1252" s="8"/>
      <x:c r="G1252" s="8"/>
      <x:c r="H1252" s="8"/>
      <x:c r="I1252" s="8"/>
      <x:c r="J1252" s="8"/>
      <x:c r="K1252" s="8"/>
      <x:c r="L1252" s="8"/>
      <x:c r="M1252" s="10"/>
      <x:c r="N1252" s="10"/>
      <x:c r="O1252" s="8"/>
      <x:c r="P1252" s="9" t="str">
        <x:f>IF(C1252="","",IF(AND(G1252="Applicable",H1252="Fail"),"Fail",IF(R1252&lt;&gt;"Valid","Pending",IF(OR(I1252="",K1252="",L1252="",K1252=L1252,NOT(ISNUMBER(M1252)),NOT(ISNUMBER(N1252)),M1252&gt;Settings!$F$8,N1252&lt;Settings!$F$8,N1252&lt;M1252),"Pending",IF(AND(G1252="Applicable",H1252="Pass"),"Pass",IF(AND(G1252="N/A",H1252="N/A",J1252&lt;&gt;"",OR(E1252="CEM-FUELS",E1252="CEM-CCS",AND(E1252="CEM-PLAN",IFERROR(INDEX('Taxonomy'!$M$9:$M$108,MATCH(D1252,'Taxonomy'!$C$9:$C$108,0)),"")&lt;&gt;"Amber"),E1252="BLD-TIMBER",AND(U1252="Building equipment",OR(E1252="BLD-WATER",E1252="BLD-WASTE",E1252="BLD-LAND")),AND(U1252="Building renovation",E1252="BLD-LAND"))),"N/A","Pending"))))))</x:f>
      </x:c>
      <x:c r="Q1252" s="3" t="str">
        <x:f>IF(C1252="","",IF(AND(R1252="Valid",OR(P1252="Pass",P1252="N/A")),"Complete","Unresolved"))</x:f>
      </x:c>
      <x:c r="R1252" s="9" t="str">
        <x:f>IF(C1252="","",IF(OR(COUNTIF($C$9:$C$2008,C1252)&lt;&gt;1,COUNTIFS($D$9:$D$2008,D1252,$E$9:$E$2008,E1252)&lt;&gt;1),"Duplicate test",IF(COUNTIF('Taxonomy'!$C$9:$C$108,D1252)&lt;&gt;1,"Assessment key",IF(OR(COUNTIF('Taxonomy Rules'!$C$42:$C$68,E1252)&lt;&gt;1,F1252&lt;&gt;IFERROR(INDEX('Taxonomy Rules'!$D$42:$D$68,MATCH(E1252,'Taxonomy Rules'!$C$42:$C$68,0)),""),NOT(OR(IFERROR(INDEX('Taxonomy Rules'!$G$42:$G$68,MATCH(E1252,'Taxonomy Rules'!$C$42:$C$68,0)),"")="All supported routes",IFERROR(INDEX('Taxonomy Rules'!$G$42:$G$68,MATCH(E1252,'Taxonomy Rules'!$C$42:$C$68,0)),"")=U1252,AND(IFERROR(INDEX('Taxonomy Rules'!$G$42:$G$68,MATCH(E1252,'Taxonomy Rules'!$C$42:$C$68,0)),"")="Building routes",OR(U1252="Building renovation",U1252="New building",U1252="Building equipment"))))),"Unexpected test","Valid"))))</x:f>
      </x:c>
      <x:c r="S1252" s="9" t="str">
        <x:f>IF(C1252="","",IFERROR(INDEX('Taxonomy Rules'!$E$42:$E$68,MATCH(E1252,'Taxonomy Rules'!$C$42:$C$68,0)),""))</x:f>
      </x:c>
      <x:c r="T1252" s="9" t="str">
        <x:f>IF(C1252="","",IFERROR(INDEX('Taxonomy Rules'!$F$42:$F$68,MATCH(E1252,'Taxonomy Rules'!$C$42:$C$68,0)),""))</x:f>
      </x:c>
      <x:c r="U1252" s="9" t="str">
        <x:f>IF(C1252="","",IFERROR(INDEX('Taxonomy'!$G$9:$G$108,MATCH(D1252,'Taxonomy'!$C$9:$C$108,0)),""))</x:f>
      </x:c>
    </x:row>
    <x:row r="1253" ht="44" customHeight="1">
      <x:c r="A1253" s="1"/>
      <x:c r="B1253" s="1"/>
      <x:c r="C1253" s="8"/>
      <x:c r="D1253" s="8"/>
      <x:c r="E1253" s="8"/>
      <x:c r="F1253" s="8"/>
      <x:c r="G1253" s="8"/>
      <x:c r="H1253" s="8"/>
      <x:c r="I1253" s="8"/>
      <x:c r="J1253" s="8"/>
      <x:c r="K1253" s="8"/>
      <x:c r="L1253" s="8"/>
      <x:c r="M1253" s="10"/>
      <x:c r="N1253" s="10"/>
      <x:c r="O1253" s="8"/>
      <x:c r="P1253" s="9" t="str">
        <x:f>IF(C1253="","",IF(AND(G1253="Applicable",H1253="Fail"),"Fail",IF(R1253&lt;&gt;"Valid","Pending",IF(OR(I1253="",K1253="",L1253="",K1253=L1253,NOT(ISNUMBER(M1253)),NOT(ISNUMBER(N1253)),M1253&gt;Settings!$F$8,N1253&lt;Settings!$F$8,N1253&lt;M1253),"Pending",IF(AND(G1253="Applicable",H1253="Pass"),"Pass",IF(AND(G1253="N/A",H1253="N/A",J1253&lt;&gt;"",OR(E1253="CEM-FUELS",E1253="CEM-CCS",AND(E1253="CEM-PLAN",IFERROR(INDEX('Taxonomy'!$M$9:$M$108,MATCH(D1253,'Taxonomy'!$C$9:$C$108,0)),"")&lt;&gt;"Amber"),E1253="BLD-TIMBER",AND(U1253="Building equipment",OR(E1253="BLD-WATER",E1253="BLD-WASTE",E1253="BLD-LAND")),AND(U1253="Building renovation",E1253="BLD-LAND"))),"N/A","Pending"))))))</x:f>
      </x:c>
      <x:c r="Q1253" s="3" t="str">
        <x:f>IF(C1253="","",IF(AND(R1253="Valid",OR(P1253="Pass",P1253="N/A")),"Complete","Unresolved"))</x:f>
      </x:c>
      <x:c r="R1253" s="9" t="str">
        <x:f>IF(C1253="","",IF(OR(COUNTIF($C$9:$C$2008,C1253)&lt;&gt;1,COUNTIFS($D$9:$D$2008,D1253,$E$9:$E$2008,E1253)&lt;&gt;1),"Duplicate test",IF(COUNTIF('Taxonomy'!$C$9:$C$108,D1253)&lt;&gt;1,"Assessment key",IF(OR(COUNTIF('Taxonomy Rules'!$C$42:$C$68,E1253)&lt;&gt;1,F1253&lt;&gt;IFERROR(INDEX('Taxonomy Rules'!$D$42:$D$68,MATCH(E1253,'Taxonomy Rules'!$C$42:$C$68,0)),""),NOT(OR(IFERROR(INDEX('Taxonomy Rules'!$G$42:$G$68,MATCH(E1253,'Taxonomy Rules'!$C$42:$C$68,0)),"")="All supported routes",IFERROR(INDEX('Taxonomy Rules'!$G$42:$G$68,MATCH(E1253,'Taxonomy Rules'!$C$42:$C$68,0)),"")=U1253,AND(IFERROR(INDEX('Taxonomy Rules'!$G$42:$G$68,MATCH(E1253,'Taxonomy Rules'!$C$42:$C$68,0)),"")="Building routes",OR(U1253="Building renovation",U1253="New building",U1253="Building equipment"))))),"Unexpected test","Valid"))))</x:f>
      </x:c>
      <x:c r="S1253" s="9" t="str">
        <x:f>IF(C1253="","",IFERROR(INDEX('Taxonomy Rules'!$E$42:$E$68,MATCH(E1253,'Taxonomy Rules'!$C$42:$C$68,0)),""))</x:f>
      </x:c>
      <x:c r="T1253" s="9" t="str">
        <x:f>IF(C1253="","",IFERROR(INDEX('Taxonomy Rules'!$F$42:$F$68,MATCH(E1253,'Taxonomy Rules'!$C$42:$C$68,0)),""))</x:f>
      </x:c>
      <x:c r="U1253" s="9" t="str">
        <x:f>IF(C1253="","",IFERROR(INDEX('Taxonomy'!$G$9:$G$108,MATCH(D1253,'Taxonomy'!$C$9:$C$108,0)),""))</x:f>
      </x:c>
    </x:row>
    <x:row r="1254" ht="44" customHeight="1">
      <x:c r="A1254" s="1"/>
      <x:c r="B1254" s="1"/>
      <x:c r="C1254" s="8"/>
      <x:c r="D1254" s="8"/>
      <x:c r="E1254" s="8"/>
      <x:c r="F1254" s="8"/>
      <x:c r="G1254" s="8"/>
      <x:c r="H1254" s="8"/>
      <x:c r="I1254" s="8"/>
      <x:c r="J1254" s="8"/>
      <x:c r="K1254" s="8"/>
      <x:c r="L1254" s="8"/>
      <x:c r="M1254" s="10"/>
      <x:c r="N1254" s="10"/>
      <x:c r="O1254" s="8"/>
      <x:c r="P1254" s="9" t="str">
        <x:f>IF(C1254="","",IF(AND(G1254="Applicable",H1254="Fail"),"Fail",IF(R1254&lt;&gt;"Valid","Pending",IF(OR(I1254="",K1254="",L1254="",K1254=L1254,NOT(ISNUMBER(M1254)),NOT(ISNUMBER(N1254)),M1254&gt;Settings!$F$8,N1254&lt;Settings!$F$8,N1254&lt;M1254),"Pending",IF(AND(G1254="Applicable",H1254="Pass"),"Pass",IF(AND(G1254="N/A",H1254="N/A",J1254&lt;&gt;"",OR(E1254="CEM-FUELS",E1254="CEM-CCS",AND(E1254="CEM-PLAN",IFERROR(INDEX('Taxonomy'!$M$9:$M$108,MATCH(D1254,'Taxonomy'!$C$9:$C$108,0)),"")&lt;&gt;"Amber"),E1254="BLD-TIMBER",AND(U1254="Building equipment",OR(E1254="BLD-WATER",E1254="BLD-WASTE",E1254="BLD-LAND")),AND(U1254="Building renovation",E1254="BLD-LAND"))),"N/A","Pending"))))))</x:f>
      </x:c>
      <x:c r="Q1254" s="3" t="str">
        <x:f>IF(C1254="","",IF(AND(R1254="Valid",OR(P1254="Pass",P1254="N/A")),"Complete","Unresolved"))</x:f>
      </x:c>
      <x:c r="R1254" s="9" t="str">
        <x:f>IF(C1254="","",IF(OR(COUNTIF($C$9:$C$2008,C1254)&lt;&gt;1,COUNTIFS($D$9:$D$2008,D1254,$E$9:$E$2008,E1254)&lt;&gt;1),"Duplicate test",IF(COUNTIF('Taxonomy'!$C$9:$C$108,D1254)&lt;&gt;1,"Assessment key",IF(OR(COUNTIF('Taxonomy Rules'!$C$42:$C$68,E1254)&lt;&gt;1,F1254&lt;&gt;IFERROR(INDEX('Taxonomy Rules'!$D$42:$D$68,MATCH(E1254,'Taxonomy Rules'!$C$42:$C$68,0)),""),NOT(OR(IFERROR(INDEX('Taxonomy Rules'!$G$42:$G$68,MATCH(E1254,'Taxonomy Rules'!$C$42:$C$68,0)),"")="All supported routes",IFERROR(INDEX('Taxonomy Rules'!$G$42:$G$68,MATCH(E1254,'Taxonomy Rules'!$C$42:$C$68,0)),"")=U1254,AND(IFERROR(INDEX('Taxonomy Rules'!$G$42:$G$68,MATCH(E1254,'Taxonomy Rules'!$C$42:$C$68,0)),"")="Building routes",OR(U1254="Building renovation",U1254="New building",U1254="Building equipment"))))),"Unexpected test","Valid"))))</x:f>
      </x:c>
      <x:c r="S1254" s="9" t="str">
        <x:f>IF(C1254="","",IFERROR(INDEX('Taxonomy Rules'!$E$42:$E$68,MATCH(E1254,'Taxonomy Rules'!$C$42:$C$68,0)),""))</x:f>
      </x:c>
      <x:c r="T1254" s="9" t="str">
        <x:f>IF(C1254="","",IFERROR(INDEX('Taxonomy Rules'!$F$42:$F$68,MATCH(E1254,'Taxonomy Rules'!$C$42:$C$68,0)),""))</x:f>
      </x:c>
      <x:c r="U1254" s="9" t="str">
        <x:f>IF(C1254="","",IFERROR(INDEX('Taxonomy'!$G$9:$G$108,MATCH(D1254,'Taxonomy'!$C$9:$C$108,0)),""))</x:f>
      </x:c>
    </x:row>
    <x:row r="1255" ht="44" customHeight="1">
      <x:c r="A1255" s="1"/>
      <x:c r="B1255" s="1"/>
      <x:c r="C1255" s="8"/>
      <x:c r="D1255" s="8"/>
      <x:c r="E1255" s="8"/>
      <x:c r="F1255" s="8"/>
      <x:c r="G1255" s="8"/>
      <x:c r="H1255" s="8"/>
      <x:c r="I1255" s="8"/>
      <x:c r="J1255" s="8"/>
      <x:c r="K1255" s="8"/>
      <x:c r="L1255" s="8"/>
      <x:c r="M1255" s="10"/>
      <x:c r="N1255" s="10"/>
      <x:c r="O1255" s="8"/>
      <x:c r="P1255" s="9" t="str">
        <x:f>IF(C1255="","",IF(AND(G1255="Applicable",H1255="Fail"),"Fail",IF(R1255&lt;&gt;"Valid","Pending",IF(OR(I1255="",K1255="",L1255="",K1255=L1255,NOT(ISNUMBER(M1255)),NOT(ISNUMBER(N1255)),M1255&gt;Settings!$F$8,N1255&lt;Settings!$F$8,N1255&lt;M1255),"Pending",IF(AND(G1255="Applicable",H1255="Pass"),"Pass",IF(AND(G1255="N/A",H1255="N/A",J1255&lt;&gt;"",OR(E1255="CEM-FUELS",E1255="CEM-CCS",AND(E1255="CEM-PLAN",IFERROR(INDEX('Taxonomy'!$M$9:$M$108,MATCH(D1255,'Taxonomy'!$C$9:$C$108,0)),"")&lt;&gt;"Amber"),E1255="BLD-TIMBER",AND(U1255="Building equipment",OR(E1255="BLD-WATER",E1255="BLD-WASTE",E1255="BLD-LAND")),AND(U1255="Building renovation",E1255="BLD-LAND"))),"N/A","Pending"))))))</x:f>
      </x:c>
      <x:c r="Q1255" s="3" t="str">
        <x:f>IF(C1255="","",IF(AND(R1255="Valid",OR(P1255="Pass",P1255="N/A")),"Complete","Unresolved"))</x:f>
      </x:c>
      <x:c r="R1255" s="9" t="str">
        <x:f>IF(C1255="","",IF(OR(COUNTIF($C$9:$C$2008,C1255)&lt;&gt;1,COUNTIFS($D$9:$D$2008,D1255,$E$9:$E$2008,E1255)&lt;&gt;1),"Duplicate test",IF(COUNTIF('Taxonomy'!$C$9:$C$108,D1255)&lt;&gt;1,"Assessment key",IF(OR(COUNTIF('Taxonomy Rules'!$C$42:$C$68,E1255)&lt;&gt;1,F1255&lt;&gt;IFERROR(INDEX('Taxonomy Rules'!$D$42:$D$68,MATCH(E1255,'Taxonomy Rules'!$C$42:$C$68,0)),""),NOT(OR(IFERROR(INDEX('Taxonomy Rules'!$G$42:$G$68,MATCH(E1255,'Taxonomy Rules'!$C$42:$C$68,0)),"")="All supported routes",IFERROR(INDEX('Taxonomy Rules'!$G$42:$G$68,MATCH(E1255,'Taxonomy Rules'!$C$42:$C$68,0)),"")=U1255,AND(IFERROR(INDEX('Taxonomy Rules'!$G$42:$G$68,MATCH(E1255,'Taxonomy Rules'!$C$42:$C$68,0)),"")="Building routes",OR(U1255="Building renovation",U1255="New building",U1255="Building equipment"))))),"Unexpected test","Valid"))))</x:f>
      </x:c>
      <x:c r="S1255" s="9" t="str">
        <x:f>IF(C1255="","",IFERROR(INDEX('Taxonomy Rules'!$E$42:$E$68,MATCH(E1255,'Taxonomy Rules'!$C$42:$C$68,0)),""))</x:f>
      </x:c>
      <x:c r="T1255" s="9" t="str">
        <x:f>IF(C1255="","",IFERROR(INDEX('Taxonomy Rules'!$F$42:$F$68,MATCH(E1255,'Taxonomy Rules'!$C$42:$C$68,0)),""))</x:f>
      </x:c>
      <x:c r="U1255" s="9" t="str">
        <x:f>IF(C1255="","",IFERROR(INDEX('Taxonomy'!$G$9:$G$108,MATCH(D1255,'Taxonomy'!$C$9:$C$108,0)),""))</x:f>
      </x:c>
    </x:row>
    <x:row r="1256" ht="44" customHeight="1">
      <x:c r="A1256" s="1"/>
      <x:c r="B1256" s="1"/>
      <x:c r="C1256" s="8"/>
      <x:c r="D1256" s="8"/>
      <x:c r="E1256" s="8"/>
      <x:c r="F1256" s="8"/>
      <x:c r="G1256" s="8"/>
      <x:c r="H1256" s="8"/>
      <x:c r="I1256" s="8"/>
      <x:c r="J1256" s="8"/>
      <x:c r="K1256" s="8"/>
      <x:c r="L1256" s="8"/>
      <x:c r="M1256" s="10"/>
      <x:c r="N1256" s="10"/>
      <x:c r="O1256" s="8"/>
      <x:c r="P1256" s="9" t="str">
        <x:f>IF(C1256="","",IF(AND(G1256="Applicable",H1256="Fail"),"Fail",IF(R1256&lt;&gt;"Valid","Pending",IF(OR(I1256="",K1256="",L1256="",K1256=L1256,NOT(ISNUMBER(M1256)),NOT(ISNUMBER(N1256)),M1256&gt;Settings!$F$8,N1256&lt;Settings!$F$8,N1256&lt;M1256),"Pending",IF(AND(G1256="Applicable",H1256="Pass"),"Pass",IF(AND(G1256="N/A",H1256="N/A",J1256&lt;&gt;"",OR(E1256="CEM-FUELS",E1256="CEM-CCS",AND(E1256="CEM-PLAN",IFERROR(INDEX('Taxonomy'!$M$9:$M$108,MATCH(D1256,'Taxonomy'!$C$9:$C$108,0)),"")&lt;&gt;"Amber"),E1256="BLD-TIMBER",AND(U1256="Building equipment",OR(E1256="BLD-WATER",E1256="BLD-WASTE",E1256="BLD-LAND")),AND(U1256="Building renovation",E1256="BLD-LAND"))),"N/A","Pending"))))))</x:f>
      </x:c>
      <x:c r="Q1256" s="3" t="str">
        <x:f>IF(C1256="","",IF(AND(R1256="Valid",OR(P1256="Pass",P1256="N/A")),"Complete","Unresolved"))</x:f>
      </x:c>
      <x:c r="R1256" s="9" t="str">
        <x:f>IF(C1256="","",IF(OR(COUNTIF($C$9:$C$2008,C1256)&lt;&gt;1,COUNTIFS($D$9:$D$2008,D1256,$E$9:$E$2008,E1256)&lt;&gt;1),"Duplicate test",IF(COUNTIF('Taxonomy'!$C$9:$C$108,D1256)&lt;&gt;1,"Assessment key",IF(OR(COUNTIF('Taxonomy Rules'!$C$42:$C$68,E1256)&lt;&gt;1,F1256&lt;&gt;IFERROR(INDEX('Taxonomy Rules'!$D$42:$D$68,MATCH(E1256,'Taxonomy Rules'!$C$42:$C$68,0)),""),NOT(OR(IFERROR(INDEX('Taxonomy Rules'!$G$42:$G$68,MATCH(E1256,'Taxonomy Rules'!$C$42:$C$68,0)),"")="All supported routes",IFERROR(INDEX('Taxonomy Rules'!$G$42:$G$68,MATCH(E1256,'Taxonomy Rules'!$C$42:$C$68,0)),"")=U1256,AND(IFERROR(INDEX('Taxonomy Rules'!$G$42:$G$68,MATCH(E1256,'Taxonomy Rules'!$C$42:$C$68,0)),"")="Building routes",OR(U1256="Building renovation",U1256="New building",U1256="Building equipment"))))),"Unexpected test","Valid"))))</x:f>
      </x:c>
      <x:c r="S1256" s="9" t="str">
        <x:f>IF(C1256="","",IFERROR(INDEX('Taxonomy Rules'!$E$42:$E$68,MATCH(E1256,'Taxonomy Rules'!$C$42:$C$68,0)),""))</x:f>
      </x:c>
      <x:c r="T1256" s="9" t="str">
        <x:f>IF(C1256="","",IFERROR(INDEX('Taxonomy Rules'!$F$42:$F$68,MATCH(E1256,'Taxonomy Rules'!$C$42:$C$68,0)),""))</x:f>
      </x:c>
      <x:c r="U1256" s="9" t="str">
        <x:f>IF(C1256="","",IFERROR(INDEX('Taxonomy'!$G$9:$G$108,MATCH(D1256,'Taxonomy'!$C$9:$C$108,0)),""))</x:f>
      </x:c>
    </x:row>
    <x:row r="1257" ht="44" customHeight="1">
      <x:c r="A1257" s="1"/>
      <x:c r="B1257" s="1"/>
      <x:c r="C1257" s="8"/>
      <x:c r="D1257" s="8"/>
      <x:c r="E1257" s="8"/>
      <x:c r="F1257" s="8"/>
      <x:c r="G1257" s="8"/>
      <x:c r="H1257" s="8"/>
      <x:c r="I1257" s="8"/>
      <x:c r="J1257" s="8"/>
      <x:c r="K1257" s="8"/>
      <x:c r="L1257" s="8"/>
      <x:c r="M1257" s="10"/>
      <x:c r="N1257" s="10"/>
      <x:c r="O1257" s="8"/>
      <x:c r="P1257" s="9" t="str">
        <x:f>IF(C1257="","",IF(AND(G1257="Applicable",H1257="Fail"),"Fail",IF(R1257&lt;&gt;"Valid","Pending",IF(OR(I1257="",K1257="",L1257="",K1257=L1257,NOT(ISNUMBER(M1257)),NOT(ISNUMBER(N1257)),M1257&gt;Settings!$F$8,N1257&lt;Settings!$F$8,N1257&lt;M1257),"Pending",IF(AND(G1257="Applicable",H1257="Pass"),"Pass",IF(AND(G1257="N/A",H1257="N/A",J1257&lt;&gt;"",OR(E1257="CEM-FUELS",E1257="CEM-CCS",AND(E1257="CEM-PLAN",IFERROR(INDEX('Taxonomy'!$M$9:$M$108,MATCH(D1257,'Taxonomy'!$C$9:$C$108,0)),"")&lt;&gt;"Amber"),E1257="BLD-TIMBER",AND(U1257="Building equipment",OR(E1257="BLD-WATER",E1257="BLD-WASTE",E1257="BLD-LAND")),AND(U1257="Building renovation",E1257="BLD-LAND"))),"N/A","Pending"))))))</x:f>
      </x:c>
      <x:c r="Q1257" s="3" t="str">
        <x:f>IF(C1257="","",IF(AND(R1257="Valid",OR(P1257="Pass",P1257="N/A")),"Complete","Unresolved"))</x:f>
      </x:c>
      <x:c r="R1257" s="9" t="str">
        <x:f>IF(C1257="","",IF(OR(COUNTIF($C$9:$C$2008,C1257)&lt;&gt;1,COUNTIFS($D$9:$D$2008,D1257,$E$9:$E$2008,E1257)&lt;&gt;1),"Duplicate test",IF(COUNTIF('Taxonomy'!$C$9:$C$108,D1257)&lt;&gt;1,"Assessment key",IF(OR(COUNTIF('Taxonomy Rules'!$C$42:$C$68,E1257)&lt;&gt;1,F1257&lt;&gt;IFERROR(INDEX('Taxonomy Rules'!$D$42:$D$68,MATCH(E1257,'Taxonomy Rules'!$C$42:$C$68,0)),""),NOT(OR(IFERROR(INDEX('Taxonomy Rules'!$G$42:$G$68,MATCH(E1257,'Taxonomy Rules'!$C$42:$C$68,0)),"")="All supported routes",IFERROR(INDEX('Taxonomy Rules'!$G$42:$G$68,MATCH(E1257,'Taxonomy Rules'!$C$42:$C$68,0)),"")=U1257,AND(IFERROR(INDEX('Taxonomy Rules'!$G$42:$G$68,MATCH(E1257,'Taxonomy Rules'!$C$42:$C$68,0)),"")="Building routes",OR(U1257="Building renovation",U1257="New building",U1257="Building equipment"))))),"Unexpected test","Valid"))))</x:f>
      </x:c>
      <x:c r="S1257" s="9" t="str">
        <x:f>IF(C1257="","",IFERROR(INDEX('Taxonomy Rules'!$E$42:$E$68,MATCH(E1257,'Taxonomy Rules'!$C$42:$C$68,0)),""))</x:f>
      </x:c>
      <x:c r="T1257" s="9" t="str">
        <x:f>IF(C1257="","",IFERROR(INDEX('Taxonomy Rules'!$F$42:$F$68,MATCH(E1257,'Taxonomy Rules'!$C$42:$C$68,0)),""))</x:f>
      </x:c>
      <x:c r="U1257" s="9" t="str">
        <x:f>IF(C1257="","",IFERROR(INDEX('Taxonomy'!$G$9:$G$108,MATCH(D1257,'Taxonomy'!$C$9:$C$108,0)),""))</x:f>
      </x:c>
    </x:row>
    <x:row r="1258" ht="44" customHeight="1">
      <x:c r="A1258" s="1"/>
      <x:c r="B1258" s="1"/>
      <x:c r="C1258" s="8"/>
      <x:c r="D1258" s="8"/>
      <x:c r="E1258" s="8"/>
      <x:c r="F1258" s="8"/>
      <x:c r="G1258" s="8"/>
      <x:c r="H1258" s="8"/>
      <x:c r="I1258" s="8"/>
      <x:c r="J1258" s="8"/>
      <x:c r="K1258" s="8"/>
      <x:c r="L1258" s="8"/>
      <x:c r="M1258" s="10"/>
      <x:c r="N1258" s="10"/>
      <x:c r="O1258" s="8"/>
      <x:c r="P1258" s="9" t="str">
        <x:f>IF(C1258="","",IF(AND(G1258="Applicable",H1258="Fail"),"Fail",IF(R1258&lt;&gt;"Valid","Pending",IF(OR(I1258="",K1258="",L1258="",K1258=L1258,NOT(ISNUMBER(M1258)),NOT(ISNUMBER(N1258)),M1258&gt;Settings!$F$8,N1258&lt;Settings!$F$8,N1258&lt;M1258),"Pending",IF(AND(G1258="Applicable",H1258="Pass"),"Pass",IF(AND(G1258="N/A",H1258="N/A",J1258&lt;&gt;"",OR(E1258="CEM-FUELS",E1258="CEM-CCS",AND(E1258="CEM-PLAN",IFERROR(INDEX('Taxonomy'!$M$9:$M$108,MATCH(D1258,'Taxonomy'!$C$9:$C$108,0)),"")&lt;&gt;"Amber"),E1258="BLD-TIMBER",AND(U1258="Building equipment",OR(E1258="BLD-WATER",E1258="BLD-WASTE",E1258="BLD-LAND")),AND(U1258="Building renovation",E1258="BLD-LAND"))),"N/A","Pending"))))))</x:f>
      </x:c>
      <x:c r="Q1258" s="3" t="str">
        <x:f>IF(C1258="","",IF(AND(R1258="Valid",OR(P1258="Pass",P1258="N/A")),"Complete","Unresolved"))</x:f>
      </x:c>
      <x:c r="R1258" s="9" t="str">
        <x:f>IF(C1258="","",IF(OR(COUNTIF($C$9:$C$2008,C1258)&lt;&gt;1,COUNTIFS($D$9:$D$2008,D1258,$E$9:$E$2008,E1258)&lt;&gt;1),"Duplicate test",IF(COUNTIF('Taxonomy'!$C$9:$C$108,D1258)&lt;&gt;1,"Assessment key",IF(OR(COUNTIF('Taxonomy Rules'!$C$42:$C$68,E1258)&lt;&gt;1,F1258&lt;&gt;IFERROR(INDEX('Taxonomy Rules'!$D$42:$D$68,MATCH(E1258,'Taxonomy Rules'!$C$42:$C$68,0)),""),NOT(OR(IFERROR(INDEX('Taxonomy Rules'!$G$42:$G$68,MATCH(E1258,'Taxonomy Rules'!$C$42:$C$68,0)),"")="All supported routes",IFERROR(INDEX('Taxonomy Rules'!$G$42:$G$68,MATCH(E1258,'Taxonomy Rules'!$C$42:$C$68,0)),"")=U1258,AND(IFERROR(INDEX('Taxonomy Rules'!$G$42:$G$68,MATCH(E1258,'Taxonomy Rules'!$C$42:$C$68,0)),"")="Building routes",OR(U1258="Building renovation",U1258="New building",U1258="Building equipment"))))),"Unexpected test","Valid"))))</x:f>
      </x:c>
      <x:c r="S1258" s="9" t="str">
        <x:f>IF(C1258="","",IFERROR(INDEX('Taxonomy Rules'!$E$42:$E$68,MATCH(E1258,'Taxonomy Rules'!$C$42:$C$68,0)),""))</x:f>
      </x:c>
      <x:c r="T1258" s="9" t="str">
        <x:f>IF(C1258="","",IFERROR(INDEX('Taxonomy Rules'!$F$42:$F$68,MATCH(E1258,'Taxonomy Rules'!$C$42:$C$68,0)),""))</x:f>
      </x:c>
      <x:c r="U1258" s="9" t="str">
        <x:f>IF(C1258="","",IFERROR(INDEX('Taxonomy'!$G$9:$G$108,MATCH(D1258,'Taxonomy'!$C$9:$C$108,0)),""))</x:f>
      </x:c>
    </x:row>
    <x:row r="1259" ht="44" customHeight="1">
      <x:c r="A1259" s="1"/>
      <x:c r="B1259" s="1"/>
      <x:c r="C1259" s="8"/>
      <x:c r="D1259" s="8"/>
      <x:c r="E1259" s="8"/>
      <x:c r="F1259" s="8"/>
      <x:c r="G1259" s="8"/>
      <x:c r="H1259" s="8"/>
      <x:c r="I1259" s="8"/>
      <x:c r="J1259" s="8"/>
      <x:c r="K1259" s="8"/>
      <x:c r="L1259" s="8"/>
      <x:c r="M1259" s="10"/>
      <x:c r="N1259" s="10"/>
      <x:c r="O1259" s="8"/>
      <x:c r="P1259" s="9" t="str">
        <x:f>IF(C1259="","",IF(AND(G1259="Applicable",H1259="Fail"),"Fail",IF(R1259&lt;&gt;"Valid","Pending",IF(OR(I1259="",K1259="",L1259="",K1259=L1259,NOT(ISNUMBER(M1259)),NOT(ISNUMBER(N1259)),M1259&gt;Settings!$F$8,N1259&lt;Settings!$F$8,N1259&lt;M1259),"Pending",IF(AND(G1259="Applicable",H1259="Pass"),"Pass",IF(AND(G1259="N/A",H1259="N/A",J1259&lt;&gt;"",OR(E1259="CEM-FUELS",E1259="CEM-CCS",AND(E1259="CEM-PLAN",IFERROR(INDEX('Taxonomy'!$M$9:$M$108,MATCH(D1259,'Taxonomy'!$C$9:$C$108,0)),"")&lt;&gt;"Amber"),E1259="BLD-TIMBER",AND(U1259="Building equipment",OR(E1259="BLD-WATER",E1259="BLD-WASTE",E1259="BLD-LAND")),AND(U1259="Building renovation",E1259="BLD-LAND"))),"N/A","Pending"))))))</x:f>
      </x:c>
      <x:c r="Q1259" s="3" t="str">
        <x:f>IF(C1259="","",IF(AND(R1259="Valid",OR(P1259="Pass",P1259="N/A")),"Complete","Unresolved"))</x:f>
      </x:c>
      <x:c r="R1259" s="9" t="str">
        <x:f>IF(C1259="","",IF(OR(COUNTIF($C$9:$C$2008,C1259)&lt;&gt;1,COUNTIFS($D$9:$D$2008,D1259,$E$9:$E$2008,E1259)&lt;&gt;1),"Duplicate test",IF(COUNTIF('Taxonomy'!$C$9:$C$108,D1259)&lt;&gt;1,"Assessment key",IF(OR(COUNTIF('Taxonomy Rules'!$C$42:$C$68,E1259)&lt;&gt;1,F1259&lt;&gt;IFERROR(INDEX('Taxonomy Rules'!$D$42:$D$68,MATCH(E1259,'Taxonomy Rules'!$C$42:$C$68,0)),""),NOT(OR(IFERROR(INDEX('Taxonomy Rules'!$G$42:$G$68,MATCH(E1259,'Taxonomy Rules'!$C$42:$C$68,0)),"")="All supported routes",IFERROR(INDEX('Taxonomy Rules'!$G$42:$G$68,MATCH(E1259,'Taxonomy Rules'!$C$42:$C$68,0)),"")=U1259,AND(IFERROR(INDEX('Taxonomy Rules'!$G$42:$G$68,MATCH(E1259,'Taxonomy Rules'!$C$42:$C$68,0)),"")="Building routes",OR(U1259="Building renovation",U1259="New building",U1259="Building equipment"))))),"Unexpected test","Valid"))))</x:f>
      </x:c>
      <x:c r="S1259" s="9" t="str">
        <x:f>IF(C1259="","",IFERROR(INDEX('Taxonomy Rules'!$E$42:$E$68,MATCH(E1259,'Taxonomy Rules'!$C$42:$C$68,0)),""))</x:f>
      </x:c>
      <x:c r="T1259" s="9" t="str">
        <x:f>IF(C1259="","",IFERROR(INDEX('Taxonomy Rules'!$F$42:$F$68,MATCH(E1259,'Taxonomy Rules'!$C$42:$C$68,0)),""))</x:f>
      </x:c>
      <x:c r="U1259" s="9" t="str">
        <x:f>IF(C1259="","",IFERROR(INDEX('Taxonomy'!$G$9:$G$108,MATCH(D1259,'Taxonomy'!$C$9:$C$108,0)),""))</x:f>
      </x:c>
    </x:row>
    <x:row r="1260" ht="44" customHeight="1">
      <x:c r="A1260" s="1"/>
      <x:c r="B1260" s="1"/>
      <x:c r="C1260" s="8"/>
      <x:c r="D1260" s="8"/>
      <x:c r="E1260" s="8"/>
      <x:c r="F1260" s="8"/>
      <x:c r="G1260" s="8"/>
      <x:c r="H1260" s="8"/>
      <x:c r="I1260" s="8"/>
      <x:c r="J1260" s="8"/>
      <x:c r="K1260" s="8"/>
      <x:c r="L1260" s="8"/>
      <x:c r="M1260" s="10"/>
      <x:c r="N1260" s="10"/>
      <x:c r="O1260" s="8"/>
      <x:c r="P1260" s="9" t="str">
        <x:f>IF(C1260="","",IF(AND(G1260="Applicable",H1260="Fail"),"Fail",IF(R1260&lt;&gt;"Valid","Pending",IF(OR(I1260="",K1260="",L1260="",K1260=L1260,NOT(ISNUMBER(M1260)),NOT(ISNUMBER(N1260)),M1260&gt;Settings!$F$8,N1260&lt;Settings!$F$8,N1260&lt;M1260),"Pending",IF(AND(G1260="Applicable",H1260="Pass"),"Pass",IF(AND(G1260="N/A",H1260="N/A",J1260&lt;&gt;"",OR(E1260="CEM-FUELS",E1260="CEM-CCS",AND(E1260="CEM-PLAN",IFERROR(INDEX('Taxonomy'!$M$9:$M$108,MATCH(D1260,'Taxonomy'!$C$9:$C$108,0)),"")&lt;&gt;"Amber"),E1260="BLD-TIMBER",AND(U1260="Building equipment",OR(E1260="BLD-WATER",E1260="BLD-WASTE",E1260="BLD-LAND")),AND(U1260="Building renovation",E1260="BLD-LAND"))),"N/A","Pending"))))))</x:f>
      </x:c>
      <x:c r="Q1260" s="3" t="str">
        <x:f>IF(C1260="","",IF(AND(R1260="Valid",OR(P1260="Pass",P1260="N/A")),"Complete","Unresolved"))</x:f>
      </x:c>
      <x:c r="R1260" s="9" t="str">
        <x:f>IF(C1260="","",IF(OR(COUNTIF($C$9:$C$2008,C1260)&lt;&gt;1,COUNTIFS($D$9:$D$2008,D1260,$E$9:$E$2008,E1260)&lt;&gt;1),"Duplicate test",IF(COUNTIF('Taxonomy'!$C$9:$C$108,D1260)&lt;&gt;1,"Assessment key",IF(OR(COUNTIF('Taxonomy Rules'!$C$42:$C$68,E1260)&lt;&gt;1,F1260&lt;&gt;IFERROR(INDEX('Taxonomy Rules'!$D$42:$D$68,MATCH(E1260,'Taxonomy Rules'!$C$42:$C$68,0)),""),NOT(OR(IFERROR(INDEX('Taxonomy Rules'!$G$42:$G$68,MATCH(E1260,'Taxonomy Rules'!$C$42:$C$68,0)),"")="All supported routes",IFERROR(INDEX('Taxonomy Rules'!$G$42:$G$68,MATCH(E1260,'Taxonomy Rules'!$C$42:$C$68,0)),"")=U1260,AND(IFERROR(INDEX('Taxonomy Rules'!$G$42:$G$68,MATCH(E1260,'Taxonomy Rules'!$C$42:$C$68,0)),"")="Building routes",OR(U1260="Building renovation",U1260="New building",U1260="Building equipment"))))),"Unexpected test","Valid"))))</x:f>
      </x:c>
      <x:c r="S1260" s="9" t="str">
        <x:f>IF(C1260="","",IFERROR(INDEX('Taxonomy Rules'!$E$42:$E$68,MATCH(E1260,'Taxonomy Rules'!$C$42:$C$68,0)),""))</x:f>
      </x:c>
      <x:c r="T1260" s="9" t="str">
        <x:f>IF(C1260="","",IFERROR(INDEX('Taxonomy Rules'!$F$42:$F$68,MATCH(E1260,'Taxonomy Rules'!$C$42:$C$68,0)),""))</x:f>
      </x:c>
      <x:c r="U1260" s="9" t="str">
        <x:f>IF(C1260="","",IFERROR(INDEX('Taxonomy'!$G$9:$G$108,MATCH(D1260,'Taxonomy'!$C$9:$C$108,0)),""))</x:f>
      </x:c>
    </x:row>
    <x:row r="1261" ht="44" customHeight="1">
      <x:c r="A1261" s="1"/>
      <x:c r="B1261" s="1"/>
      <x:c r="C1261" s="8"/>
      <x:c r="D1261" s="8"/>
      <x:c r="E1261" s="8"/>
      <x:c r="F1261" s="8"/>
      <x:c r="G1261" s="8"/>
      <x:c r="H1261" s="8"/>
      <x:c r="I1261" s="8"/>
      <x:c r="J1261" s="8"/>
      <x:c r="K1261" s="8"/>
      <x:c r="L1261" s="8"/>
      <x:c r="M1261" s="10"/>
      <x:c r="N1261" s="10"/>
      <x:c r="O1261" s="8"/>
      <x:c r="P1261" s="9" t="str">
        <x:f>IF(C1261="","",IF(AND(G1261="Applicable",H1261="Fail"),"Fail",IF(R1261&lt;&gt;"Valid","Pending",IF(OR(I1261="",K1261="",L1261="",K1261=L1261,NOT(ISNUMBER(M1261)),NOT(ISNUMBER(N1261)),M1261&gt;Settings!$F$8,N1261&lt;Settings!$F$8,N1261&lt;M1261),"Pending",IF(AND(G1261="Applicable",H1261="Pass"),"Pass",IF(AND(G1261="N/A",H1261="N/A",J1261&lt;&gt;"",OR(E1261="CEM-FUELS",E1261="CEM-CCS",AND(E1261="CEM-PLAN",IFERROR(INDEX('Taxonomy'!$M$9:$M$108,MATCH(D1261,'Taxonomy'!$C$9:$C$108,0)),"")&lt;&gt;"Amber"),E1261="BLD-TIMBER",AND(U1261="Building equipment",OR(E1261="BLD-WATER",E1261="BLD-WASTE",E1261="BLD-LAND")),AND(U1261="Building renovation",E1261="BLD-LAND"))),"N/A","Pending"))))))</x:f>
      </x:c>
      <x:c r="Q1261" s="3" t="str">
        <x:f>IF(C1261="","",IF(AND(R1261="Valid",OR(P1261="Pass",P1261="N/A")),"Complete","Unresolved"))</x:f>
      </x:c>
      <x:c r="R1261" s="9" t="str">
        <x:f>IF(C1261="","",IF(OR(COUNTIF($C$9:$C$2008,C1261)&lt;&gt;1,COUNTIFS($D$9:$D$2008,D1261,$E$9:$E$2008,E1261)&lt;&gt;1),"Duplicate test",IF(COUNTIF('Taxonomy'!$C$9:$C$108,D1261)&lt;&gt;1,"Assessment key",IF(OR(COUNTIF('Taxonomy Rules'!$C$42:$C$68,E1261)&lt;&gt;1,F1261&lt;&gt;IFERROR(INDEX('Taxonomy Rules'!$D$42:$D$68,MATCH(E1261,'Taxonomy Rules'!$C$42:$C$68,0)),""),NOT(OR(IFERROR(INDEX('Taxonomy Rules'!$G$42:$G$68,MATCH(E1261,'Taxonomy Rules'!$C$42:$C$68,0)),"")="All supported routes",IFERROR(INDEX('Taxonomy Rules'!$G$42:$G$68,MATCH(E1261,'Taxonomy Rules'!$C$42:$C$68,0)),"")=U1261,AND(IFERROR(INDEX('Taxonomy Rules'!$G$42:$G$68,MATCH(E1261,'Taxonomy Rules'!$C$42:$C$68,0)),"")="Building routes",OR(U1261="Building renovation",U1261="New building",U1261="Building equipment"))))),"Unexpected test","Valid"))))</x:f>
      </x:c>
      <x:c r="S1261" s="9" t="str">
        <x:f>IF(C1261="","",IFERROR(INDEX('Taxonomy Rules'!$E$42:$E$68,MATCH(E1261,'Taxonomy Rules'!$C$42:$C$68,0)),""))</x:f>
      </x:c>
      <x:c r="T1261" s="9" t="str">
        <x:f>IF(C1261="","",IFERROR(INDEX('Taxonomy Rules'!$F$42:$F$68,MATCH(E1261,'Taxonomy Rules'!$C$42:$C$68,0)),""))</x:f>
      </x:c>
      <x:c r="U1261" s="9" t="str">
        <x:f>IF(C1261="","",IFERROR(INDEX('Taxonomy'!$G$9:$G$108,MATCH(D1261,'Taxonomy'!$C$9:$C$108,0)),""))</x:f>
      </x:c>
    </x:row>
    <x:row r="1262" ht="44" customHeight="1">
      <x:c r="A1262" s="1"/>
      <x:c r="B1262" s="1"/>
      <x:c r="C1262" s="8"/>
      <x:c r="D1262" s="8"/>
      <x:c r="E1262" s="8"/>
      <x:c r="F1262" s="8"/>
      <x:c r="G1262" s="8"/>
      <x:c r="H1262" s="8"/>
      <x:c r="I1262" s="8"/>
      <x:c r="J1262" s="8"/>
      <x:c r="K1262" s="8"/>
      <x:c r="L1262" s="8"/>
      <x:c r="M1262" s="10"/>
      <x:c r="N1262" s="10"/>
      <x:c r="O1262" s="8"/>
      <x:c r="P1262" s="9" t="str">
        <x:f>IF(C1262="","",IF(AND(G1262="Applicable",H1262="Fail"),"Fail",IF(R1262&lt;&gt;"Valid","Pending",IF(OR(I1262="",K1262="",L1262="",K1262=L1262,NOT(ISNUMBER(M1262)),NOT(ISNUMBER(N1262)),M1262&gt;Settings!$F$8,N1262&lt;Settings!$F$8,N1262&lt;M1262),"Pending",IF(AND(G1262="Applicable",H1262="Pass"),"Pass",IF(AND(G1262="N/A",H1262="N/A",J1262&lt;&gt;"",OR(E1262="CEM-FUELS",E1262="CEM-CCS",AND(E1262="CEM-PLAN",IFERROR(INDEX('Taxonomy'!$M$9:$M$108,MATCH(D1262,'Taxonomy'!$C$9:$C$108,0)),"")&lt;&gt;"Amber"),E1262="BLD-TIMBER",AND(U1262="Building equipment",OR(E1262="BLD-WATER",E1262="BLD-WASTE",E1262="BLD-LAND")),AND(U1262="Building renovation",E1262="BLD-LAND"))),"N/A","Pending"))))))</x:f>
      </x:c>
      <x:c r="Q1262" s="3" t="str">
        <x:f>IF(C1262="","",IF(AND(R1262="Valid",OR(P1262="Pass",P1262="N/A")),"Complete","Unresolved"))</x:f>
      </x:c>
      <x:c r="R1262" s="9" t="str">
        <x:f>IF(C1262="","",IF(OR(COUNTIF($C$9:$C$2008,C1262)&lt;&gt;1,COUNTIFS($D$9:$D$2008,D1262,$E$9:$E$2008,E1262)&lt;&gt;1),"Duplicate test",IF(COUNTIF('Taxonomy'!$C$9:$C$108,D1262)&lt;&gt;1,"Assessment key",IF(OR(COUNTIF('Taxonomy Rules'!$C$42:$C$68,E1262)&lt;&gt;1,F1262&lt;&gt;IFERROR(INDEX('Taxonomy Rules'!$D$42:$D$68,MATCH(E1262,'Taxonomy Rules'!$C$42:$C$68,0)),""),NOT(OR(IFERROR(INDEX('Taxonomy Rules'!$G$42:$G$68,MATCH(E1262,'Taxonomy Rules'!$C$42:$C$68,0)),"")="All supported routes",IFERROR(INDEX('Taxonomy Rules'!$G$42:$G$68,MATCH(E1262,'Taxonomy Rules'!$C$42:$C$68,0)),"")=U1262,AND(IFERROR(INDEX('Taxonomy Rules'!$G$42:$G$68,MATCH(E1262,'Taxonomy Rules'!$C$42:$C$68,0)),"")="Building routes",OR(U1262="Building renovation",U1262="New building",U1262="Building equipment"))))),"Unexpected test","Valid"))))</x:f>
      </x:c>
      <x:c r="S1262" s="9" t="str">
        <x:f>IF(C1262="","",IFERROR(INDEX('Taxonomy Rules'!$E$42:$E$68,MATCH(E1262,'Taxonomy Rules'!$C$42:$C$68,0)),""))</x:f>
      </x:c>
      <x:c r="T1262" s="9" t="str">
        <x:f>IF(C1262="","",IFERROR(INDEX('Taxonomy Rules'!$F$42:$F$68,MATCH(E1262,'Taxonomy Rules'!$C$42:$C$68,0)),""))</x:f>
      </x:c>
      <x:c r="U1262" s="9" t="str">
        <x:f>IF(C1262="","",IFERROR(INDEX('Taxonomy'!$G$9:$G$108,MATCH(D1262,'Taxonomy'!$C$9:$C$108,0)),""))</x:f>
      </x:c>
    </x:row>
    <x:row r="1263" ht="44" customHeight="1">
      <x:c r="A1263" s="1"/>
      <x:c r="B1263" s="1"/>
      <x:c r="C1263" s="8"/>
      <x:c r="D1263" s="8"/>
      <x:c r="E1263" s="8"/>
      <x:c r="F1263" s="8"/>
      <x:c r="G1263" s="8"/>
      <x:c r="H1263" s="8"/>
      <x:c r="I1263" s="8"/>
      <x:c r="J1263" s="8"/>
      <x:c r="K1263" s="8"/>
      <x:c r="L1263" s="8"/>
      <x:c r="M1263" s="10"/>
      <x:c r="N1263" s="10"/>
      <x:c r="O1263" s="8"/>
      <x:c r="P1263" s="9" t="str">
        <x:f>IF(C1263="","",IF(AND(G1263="Applicable",H1263="Fail"),"Fail",IF(R1263&lt;&gt;"Valid","Pending",IF(OR(I1263="",K1263="",L1263="",K1263=L1263,NOT(ISNUMBER(M1263)),NOT(ISNUMBER(N1263)),M1263&gt;Settings!$F$8,N1263&lt;Settings!$F$8,N1263&lt;M1263),"Pending",IF(AND(G1263="Applicable",H1263="Pass"),"Pass",IF(AND(G1263="N/A",H1263="N/A",J1263&lt;&gt;"",OR(E1263="CEM-FUELS",E1263="CEM-CCS",AND(E1263="CEM-PLAN",IFERROR(INDEX('Taxonomy'!$M$9:$M$108,MATCH(D1263,'Taxonomy'!$C$9:$C$108,0)),"")&lt;&gt;"Amber"),E1263="BLD-TIMBER",AND(U1263="Building equipment",OR(E1263="BLD-WATER",E1263="BLD-WASTE",E1263="BLD-LAND")),AND(U1263="Building renovation",E1263="BLD-LAND"))),"N/A","Pending"))))))</x:f>
      </x:c>
      <x:c r="Q1263" s="3" t="str">
        <x:f>IF(C1263="","",IF(AND(R1263="Valid",OR(P1263="Pass",P1263="N/A")),"Complete","Unresolved"))</x:f>
      </x:c>
      <x:c r="R1263" s="9" t="str">
        <x:f>IF(C1263="","",IF(OR(COUNTIF($C$9:$C$2008,C1263)&lt;&gt;1,COUNTIFS($D$9:$D$2008,D1263,$E$9:$E$2008,E1263)&lt;&gt;1),"Duplicate test",IF(COUNTIF('Taxonomy'!$C$9:$C$108,D1263)&lt;&gt;1,"Assessment key",IF(OR(COUNTIF('Taxonomy Rules'!$C$42:$C$68,E1263)&lt;&gt;1,F1263&lt;&gt;IFERROR(INDEX('Taxonomy Rules'!$D$42:$D$68,MATCH(E1263,'Taxonomy Rules'!$C$42:$C$68,0)),""),NOT(OR(IFERROR(INDEX('Taxonomy Rules'!$G$42:$G$68,MATCH(E1263,'Taxonomy Rules'!$C$42:$C$68,0)),"")="All supported routes",IFERROR(INDEX('Taxonomy Rules'!$G$42:$G$68,MATCH(E1263,'Taxonomy Rules'!$C$42:$C$68,0)),"")=U1263,AND(IFERROR(INDEX('Taxonomy Rules'!$G$42:$G$68,MATCH(E1263,'Taxonomy Rules'!$C$42:$C$68,0)),"")="Building routes",OR(U1263="Building renovation",U1263="New building",U1263="Building equipment"))))),"Unexpected test","Valid"))))</x:f>
      </x:c>
      <x:c r="S1263" s="9" t="str">
        <x:f>IF(C1263="","",IFERROR(INDEX('Taxonomy Rules'!$E$42:$E$68,MATCH(E1263,'Taxonomy Rules'!$C$42:$C$68,0)),""))</x:f>
      </x:c>
      <x:c r="T1263" s="9" t="str">
        <x:f>IF(C1263="","",IFERROR(INDEX('Taxonomy Rules'!$F$42:$F$68,MATCH(E1263,'Taxonomy Rules'!$C$42:$C$68,0)),""))</x:f>
      </x:c>
      <x:c r="U1263" s="9" t="str">
        <x:f>IF(C1263="","",IFERROR(INDEX('Taxonomy'!$G$9:$G$108,MATCH(D1263,'Taxonomy'!$C$9:$C$108,0)),""))</x:f>
      </x:c>
    </x:row>
    <x:row r="1264" ht="44" customHeight="1">
      <x:c r="A1264" s="1"/>
      <x:c r="B1264" s="1"/>
      <x:c r="C1264" s="8"/>
      <x:c r="D1264" s="8"/>
      <x:c r="E1264" s="8"/>
      <x:c r="F1264" s="8"/>
      <x:c r="G1264" s="8"/>
      <x:c r="H1264" s="8"/>
      <x:c r="I1264" s="8"/>
      <x:c r="J1264" s="8"/>
      <x:c r="K1264" s="8"/>
      <x:c r="L1264" s="8"/>
      <x:c r="M1264" s="10"/>
      <x:c r="N1264" s="10"/>
      <x:c r="O1264" s="8"/>
      <x:c r="P1264" s="9" t="str">
        <x:f>IF(C1264="","",IF(AND(G1264="Applicable",H1264="Fail"),"Fail",IF(R1264&lt;&gt;"Valid","Pending",IF(OR(I1264="",K1264="",L1264="",K1264=L1264,NOT(ISNUMBER(M1264)),NOT(ISNUMBER(N1264)),M1264&gt;Settings!$F$8,N1264&lt;Settings!$F$8,N1264&lt;M1264),"Pending",IF(AND(G1264="Applicable",H1264="Pass"),"Pass",IF(AND(G1264="N/A",H1264="N/A",J1264&lt;&gt;"",OR(E1264="CEM-FUELS",E1264="CEM-CCS",AND(E1264="CEM-PLAN",IFERROR(INDEX('Taxonomy'!$M$9:$M$108,MATCH(D1264,'Taxonomy'!$C$9:$C$108,0)),"")&lt;&gt;"Amber"),E1264="BLD-TIMBER",AND(U1264="Building equipment",OR(E1264="BLD-WATER",E1264="BLD-WASTE",E1264="BLD-LAND")),AND(U1264="Building renovation",E1264="BLD-LAND"))),"N/A","Pending"))))))</x:f>
      </x:c>
      <x:c r="Q1264" s="3" t="str">
        <x:f>IF(C1264="","",IF(AND(R1264="Valid",OR(P1264="Pass",P1264="N/A")),"Complete","Unresolved"))</x:f>
      </x:c>
      <x:c r="R1264" s="9" t="str">
        <x:f>IF(C1264="","",IF(OR(COUNTIF($C$9:$C$2008,C1264)&lt;&gt;1,COUNTIFS($D$9:$D$2008,D1264,$E$9:$E$2008,E1264)&lt;&gt;1),"Duplicate test",IF(COUNTIF('Taxonomy'!$C$9:$C$108,D1264)&lt;&gt;1,"Assessment key",IF(OR(COUNTIF('Taxonomy Rules'!$C$42:$C$68,E1264)&lt;&gt;1,F1264&lt;&gt;IFERROR(INDEX('Taxonomy Rules'!$D$42:$D$68,MATCH(E1264,'Taxonomy Rules'!$C$42:$C$68,0)),""),NOT(OR(IFERROR(INDEX('Taxonomy Rules'!$G$42:$G$68,MATCH(E1264,'Taxonomy Rules'!$C$42:$C$68,0)),"")="All supported routes",IFERROR(INDEX('Taxonomy Rules'!$G$42:$G$68,MATCH(E1264,'Taxonomy Rules'!$C$42:$C$68,0)),"")=U1264,AND(IFERROR(INDEX('Taxonomy Rules'!$G$42:$G$68,MATCH(E1264,'Taxonomy Rules'!$C$42:$C$68,0)),"")="Building routes",OR(U1264="Building renovation",U1264="New building",U1264="Building equipment"))))),"Unexpected test","Valid"))))</x:f>
      </x:c>
      <x:c r="S1264" s="9" t="str">
        <x:f>IF(C1264="","",IFERROR(INDEX('Taxonomy Rules'!$E$42:$E$68,MATCH(E1264,'Taxonomy Rules'!$C$42:$C$68,0)),""))</x:f>
      </x:c>
      <x:c r="T1264" s="9" t="str">
        <x:f>IF(C1264="","",IFERROR(INDEX('Taxonomy Rules'!$F$42:$F$68,MATCH(E1264,'Taxonomy Rules'!$C$42:$C$68,0)),""))</x:f>
      </x:c>
      <x:c r="U1264" s="9" t="str">
        <x:f>IF(C1264="","",IFERROR(INDEX('Taxonomy'!$G$9:$G$108,MATCH(D1264,'Taxonomy'!$C$9:$C$108,0)),""))</x:f>
      </x:c>
    </x:row>
    <x:row r="1265" ht="44" customHeight="1">
      <x:c r="A1265" s="1"/>
      <x:c r="B1265" s="1"/>
      <x:c r="C1265" s="8"/>
      <x:c r="D1265" s="8"/>
      <x:c r="E1265" s="8"/>
      <x:c r="F1265" s="8"/>
      <x:c r="G1265" s="8"/>
      <x:c r="H1265" s="8"/>
      <x:c r="I1265" s="8"/>
      <x:c r="J1265" s="8"/>
      <x:c r="K1265" s="8"/>
      <x:c r="L1265" s="8"/>
      <x:c r="M1265" s="10"/>
      <x:c r="N1265" s="10"/>
      <x:c r="O1265" s="8"/>
      <x:c r="P1265" s="9" t="str">
        <x:f>IF(C1265="","",IF(AND(G1265="Applicable",H1265="Fail"),"Fail",IF(R1265&lt;&gt;"Valid","Pending",IF(OR(I1265="",K1265="",L1265="",K1265=L1265,NOT(ISNUMBER(M1265)),NOT(ISNUMBER(N1265)),M1265&gt;Settings!$F$8,N1265&lt;Settings!$F$8,N1265&lt;M1265),"Pending",IF(AND(G1265="Applicable",H1265="Pass"),"Pass",IF(AND(G1265="N/A",H1265="N/A",J1265&lt;&gt;"",OR(E1265="CEM-FUELS",E1265="CEM-CCS",AND(E1265="CEM-PLAN",IFERROR(INDEX('Taxonomy'!$M$9:$M$108,MATCH(D1265,'Taxonomy'!$C$9:$C$108,0)),"")&lt;&gt;"Amber"),E1265="BLD-TIMBER",AND(U1265="Building equipment",OR(E1265="BLD-WATER",E1265="BLD-WASTE",E1265="BLD-LAND")),AND(U1265="Building renovation",E1265="BLD-LAND"))),"N/A","Pending"))))))</x:f>
      </x:c>
      <x:c r="Q1265" s="3" t="str">
        <x:f>IF(C1265="","",IF(AND(R1265="Valid",OR(P1265="Pass",P1265="N/A")),"Complete","Unresolved"))</x:f>
      </x:c>
      <x:c r="R1265" s="9" t="str">
        <x:f>IF(C1265="","",IF(OR(COUNTIF($C$9:$C$2008,C1265)&lt;&gt;1,COUNTIFS($D$9:$D$2008,D1265,$E$9:$E$2008,E1265)&lt;&gt;1),"Duplicate test",IF(COUNTIF('Taxonomy'!$C$9:$C$108,D1265)&lt;&gt;1,"Assessment key",IF(OR(COUNTIF('Taxonomy Rules'!$C$42:$C$68,E1265)&lt;&gt;1,F1265&lt;&gt;IFERROR(INDEX('Taxonomy Rules'!$D$42:$D$68,MATCH(E1265,'Taxonomy Rules'!$C$42:$C$68,0)),""),NOT(OR(IFERROR(INDEX('Taxonomy Rules'!$G$42:$G$68,MATCH(E1265,'Taxonomy Rules'!$C$42:$C$68,0)),"")="All supported routes",IFERROR(INDEX('Taxonomy Rules'!$G$42:$G$68,MATCH(E1265,'Taxonomy Rules'!$C$42:$C$68,0)),"")=U1265,AND(IFERROR(INDEX('Taxonomy Rules'!$G$42:$G$68,MATCH(E1265,'Taxonomy Rules'!$C$42:$C$68,0)),"")="Building routes",OR(U1265="Building renovation",U1265="New building",U1265="Building equipment"))))),"Unexpected test","Valid"))))</x:f>
      </x:c>
      <x:c r="S1265" s="9" t="str">
        <x:f>IF(C1265="","",IFERROR(INDEX('Taxonomy Rules'!$E$42:$E$68,MATCH(E1265,'Taxonomy Rules'!$C$42:$C$68,0)),""))</x:f>
      </x:c>
      <x:c r="T1265" s="9" t="str">
        <x:f>IF(C1265="","",IFERROR(INDEX('Taxonomy Rules'!$F$42:$F$68,MATCH(E1265,'Taxonomy Rules'!$C$42:$C$68,0)),""))</x:f>
      </x:c>
      <x:c r="U1265" s="9" t="str">
        <x:f>IF(C1265="","",IFERROR(INDEX('Taxonomy'!$G$9:$G$108,MATCH(D1265,'Taxonomy'!$C$9:$C$108,0)),""))</x:f>
      </x:c>
    </x:row>
    <x:row r="1266" ht="44" customHeight="1">
      <x:c r="A1266" s="1"/>
      <x:c r="B1266" s="1"/>
      <x:c r="C1266" s="8"/>
      <x:c r="D1266" s="8"/>
      <x:c r="E1266" s="8"/>
      <x:c r="F1266" s="8"/>
      <x:c r="G1266" s="8"/>
      <x:c r="H1266" s="8"/>
      <x:c r="I1266" s="8"/>
      <x:c r="J1266" s="8"/>
      <x:c r="K1266" s="8"/>
      <x:c r="L1266" s="8"/>
      <x:c r="M1266" s="10"/>
      <x:c r="N1266" s="10"/>
      <x:c r="O1266" s="8"/>
      <x:c r="P1266" s="9" t="str">
        <x:f>IF(C1266="","",IF(AND(G1266="Applicable",H1266="Fail"),"Fail",IF(R1266&lt;&gt;"Valid","Pending",IF(OR(I1266="",K1266="",L1266="",K1266=L1266,NOT(ISNUMBER(M1266)),NOT(ISNUMBER(N1266)),M1266&gt;Settings!$F$8,N1266&lt;Settings!$F$8,N1266&lt;M1266),"Pending",IF(AND(G1266="Applicable",H1266="Pass"),"Pass",IF(AND(G1266="N/A",H1266="N/A",J1266&lt;&gt;"",OR(E1266="CEM-FUELS",E1266="CEM-CCS",AND(E1266="CEM-PLAN",IFERROR(INDEX('Taxonomy'!$M$9:$M$108,MATCH(D1266,'Taxonomy'!$C$9:$C$108,0)),"")&lt;&gt;"Amber"),E1266="BLD-TIMBER",AND(U1266="Building equipment",OR(E1266="BLD-WATER",E1266="BLD-WASTE",E1266="BLD-LAND")),AND(U1266="Building renovation",E1266="BLD-LAND"))),"N/A","Pending"))))))</x:f>
      </x:c>
      <x:c r="Q1266" s="3" t="str">
        <x:f>IF(C1266="","",IF(AND(R1266="Valid",OR(P1266="Pass",P1266="N/A")),"Complete","Unresolved"))</x:f>
      </x:c>
      <x:c r="R1266" s="9" t="str">
        <x:f>IF(C1266="","",IF(OR(COUNTIF($C$9:$C$2008,C1266)&lt;&gt;1,COUNTIFS($D$9:$D$2008,D1266,$E$9:$E$2008,E1266)&lt;&gt;1),"Duplicate test",IF(COUNTIF('Taxonomy'!$C$9:$C$108,D1266)&lt;&gt;1,"Assessment key",IF(OR(COUNTIF('Taxonomy Rules'!$C$42:$C$68,E1266)&lt;&gt;1,F1266&lt;&gt;IFERROR(INDEX('Taxonomy Rules'!$D$42:$D$68,MATCH(E1266,'Taxonomy Rules'!$C$42:$C$68,0)),""),NOT(OR(IFERROR(INDEX('Taxonomy Rules'!$G$42:$G$68,MATCH(E1266,'Taxonomy Rules'!$C$42:$C$68,0)),"")="All supported routes",IFERROR(INDEX('Taxonomy Rules'!$G$42:$G$68,MATCH(E1266,'Taxonomy Rules'!$C$42:$C$68,0)),"")=U1266,AND(IFERROR(INDEX('Taxonomy Rules'!$G$42:$G$68,MATCH(E1266,'Taxonomy Rules'!$C$42:$C$68,0)),"")="Building routes",OR(U1266="Building renovation",U1266="New building",U1266="Building equipment"))))),"Unexpected test","Valid"))))</x:f>
      </x:c>
      <x:c r="S1266" s="9" t="str">
        <x:f>IF(C1266="","",IFERROR(INDEX('Taxonomy Rules'!$E$42:$E$68,MATCH(E1266,'Taxonomy Rules'!$C$42:$C$68,0)),""))</x:f>
      </x:c>
      <x:c r="T1266" s="9" t="str">
        <x:f>IF(C1266="","",IFERROR(INDEX('Taxonomy Rules'!$F$42:$F$68,MATCH(E1266,'Taxonomy Rules'!$C$42:$C$68,0)),""))</x:f>
      </x:c>
      <x:c r="U1266" s="9" t="str">
        <x:f>IF(C1266="","",IFERROR(INDEX('Taxonomy'!$G$9:$G$108,MATCH(D1266,'Taxonomy'!$C$9:$C$108,0)),""))</x:f>
      </x:c>
    </x:row>
    <x:row r="1267" ht="44" customHeight="1">
      <x:c r="A1267" s="1"/>
      <x:c r="B1267" s="1"/>
      <x:c r="C1267" s="8"/>
      <x:c r="D1267" s="8"/>
      <x:c r="E1267" s="8"/>
      <x:c r="F1267" s="8"/>
      <x:c r="G1267" s="8"/>
      <x:c r="H1267" s="8"/>
      <x:c r="I1267" s="8"/>
      <x:c r="J1267" s="8"/>
      <x:c r="K1267" s="8"/>
      <x:c r="L1267" s="8"/>
      <x:c r="M1267" s="10"/>
      <x:c r="N1267" s="10"/>
      <x:c r="O1267" s="8"/>
      <x:c r="P1267" s="9" t="str">
        <x:f>IF(C1267="","",IF(AND(G1267="Applicable",H1267="Fail"),"Fail",IF(R1267&lt;&gt;"Valid","Pending",IF(OR(I1267="",K1267="",L1267="",K1267=L1267,NOT(ISNUMBER(M1267)),NOT(ISNUMBER(N1267)),M1267&gt;Settings!$F$8,N1267&lt;Settings!$F$8,N1267&lt;M1267),"Pending",IF(AND(G1267="Applicable",H1267="Pass"),"Pass",IF(AND(G1267="N/A",H1267="N/A",J1267&lt;&gt;"",OR(E1267="CEM-FUELS",E1267="CEM-CCS",AND(E1267="CEM-PLAN",IFERROR(INDEX('Taxonomy'!$M$9:$M$108,MATCH(D1267,'Taxonomy'!$C$9:$C$108,0)),"")&lt;&gt;"Amber"),E1267="BLD-TIMBER",AND(U1267="Building equipment",OR(E1267="BLD-WATER",E1267="BLD-WASTE",E1267="BLD-LAND")),AND(U1267="Building renovation",E1267="BLD-LAND"))),"N/A","Pending"))))))</x:f>
      </x:c>
      <x:c r="Q1267" s="3" t="str">
        <x:f>IF(C1267="","",IF(AND(R1267="Valid",OR(P1267="Pass",P1267="N/A")),"Complete","Unresolved"))</x:f>
      </x:c>
      <x:c r="R1267" s="9" t="str">
        <x:f>IF(C1267="","",IF(OR(COUNTIF($C$9:$C$2008,C1267)&lt;&gt;1,COUNTIFS($D$9:$D$2008,D1267,$E$9:$E$2008,E1267)&lt;&gt;1),"Duplicate test",IF(COUNTIF('Taxonomy'!$C$9:$C$108,D1267)&lt;&gt;1,"Assessment key",IF(OR(COUNTIF('Taxonomy Rules'!$C$42:$C$68,E1267)&lt;&gt;1,F1267&lt;&gt;IFERROR(INDEX('Taxonomy Rules'!$D$42:$D$68,MATCH(E1267,'Taxonomy Rules'!$C$42:$C$68,0)),""),NOT(OR(IFERROR(INDEX('Taxonomy Rules'!$G$42:$G$68,MATCH(E1267,'Taxonomy Rules'!$C$42:$C$68,0)),"")="All supported routes",IFERROR(INDEX('Taxonomy Rules'!$G$42:$G$68,MATCH(E1267,'Taxonomy Rules'!$C$42:$C$68,0)),"")=U1267,AND(IFERROR(INDEX('Taxonomy Rules'!$G$42:$G$68,MATCH(E1267,'Taxonomy Rules'!$C$42:$C$68,0)),"")="Building routes",OR(U1267="Building renovation",U1267="New building",U1267="Building equipment"))))),"Unexpected test","Valid"))))</x:f>
      </x:c>
      <x:c r="S1267" s="9" t="str">
        <x:f>IF(C1267="","",IFERROR(INDEX('Taxonomy Rules'!$E$42:$E$68,MATCH(E1267,'Taxonomy Rules'!$C$42:$C$68,0)),""))</x:f>
      </x:c>
      <x:c r="T1267" s="9" t="str">
        <x:f>IF(C1267="","",IFERROR(INDEX('Taxonomy Rules'!$F$42:$F$68,MATCH(E1267,'Taxonomy Rules'!$C$42:$C$68,0)),""))</x:f>
      </x:c>
      <x:c r="U1267" s="9" t="str">
        <x:f>IF(C1267="","",IFERROR(INDEX('Taxonomy'!$G$9:$G$108,MATCH(D1267,'Taxonomy'!$C$9:$C$108,0)),""))</x:f>
      </x:c>
    </x:row>
    <x:row r="1268" ht="44" customHeight="1">
      <x:c r="A1268" s="1"/>
      <x:c r="B1268" s="1"/>
      <x:c r="C1268" s="8"/>
      <x:c r="D1268" s="8"/>
      <x:c r="E1268" s="8"/>
      <x:c r="F1268" s="8"/>
      <x:c r="G1268" s="8"/>
      <x:c r="H1268" s="8"/>
      <x:c r="I1268" s="8"/>
      <x:c r="J1268" s="8"/>
      <x:c r="K1268" s="8"/>
      <x:c r="L1268" s="8"/>
      <x:c r="M1268" s="10"/>
      <x:c r="N1268" s="10"/>
      <x:c r="O1268" s="8"/>
      <x:c r="P1268" s="9" t="str">
        <x:f>IF(C1268="","",IF(AND(G1268="Applicable",H1268="Fail"),"Fail",IF(R1268&lt;&gt;"Valid","Pending",IF(OR(I1268="",K1268="",L1268="",K1268=L1268,NOT(ISNUMBER(M1268)),NOT(ISNUMBER(N1268)),M1268&gt;Settings!$F$8,N1268&lt;Settings!$F$8,N1268&lt;M1268),"Pending",IF(AND(G1268="Applicable",H1268="Pass"),"Pass",IF(AND(G1268="N/A",H1268="N/A",J1268&lt;&gt;"",OR(E1268="CEM-FUELS",E1268="CEM-CCS",AND(E1268="CEM-PLAN",IFERROR(INDEX('Taxonomy'!$M$9:$M$108,MATCH(D1268,'Taxonomy'!$C$9:$C$108,0)),"")&lt;&gt;"Amber"),E1268="BLD-TIMBER",AND(U1268="Building equipment",OR(E1268="BLD-WATER",E1268="BLD-WASTE",E1268="BLD-LAND")),AND(U1268="Building renovation",E1268="BLD-LAND"))),"N/A","Pending"))))))</x:f>
      </x:c>
      <x:c r="Q1268" s="3" t="str">
        <x:f>IF(C1268="","",IF(AND(R1268="Valid",OR(P1268="Pass",P1268="N/A")),"Complete","Unresolved"))</x:f>
      </x:c>
      <x:c r="R1268" s="9" t="str">
        <x:f>IF(C1268="","",IF(OR(COUNTIF($C$9:$C$2008,C1268)&lt;&gt;1,COUNTIFS($D$9:$D$2008,D1268,$E$9:$E$2008,E1268)&lt;&gt;1),"Duplicate test",IF(COUNTIF('Taxonomy'!$C$9:$C$108,D1268)&lt;&gt;1,"Assessment key",IF(OR(COUNTIF('Taxonomy Rules'!$C$42:$C$68,E1268)&lt;&gt;1,F1268&lt;&gt;IFERROR(INDEX('Taxonomy Rules'!$D$42:$D$68,MATCH(E1268,'Taxonomy Rules'!$C$42:$C$68,0)),""),NOT(OR(IFERROR(INDEX('Taxonomy Rules'!$G$42:$G$68,MATCH(E1268,'Taxonomy Rules'!$C$42:$C$68,0)),"")="All supported routes",IFERROR(INDEX('Taxonomy Rules'!$G$42:$G$68,MATCH(E1268,'Taxonomy Rules'!$C$42:$C$68,0)),"")=U1268,AND(IFERROR(INDEX('Taxonomy Rules'!$G$42:$G$68,MATCH(E1268,'Taxonomy Rules'!$C$42:$C$68,0)),"")="Building routes",OR(U1268="Building renovation",U1268="New building",U1268="Building equipment"))))),"Unexpected test","Valid"))))</x:f>
      </x:c>
      <x:c r="S1268" s="9" t="str">
        <x:f>IF(C1268="","",IFERROR(INDEX('Taxonomy Rules'!$E$42:$E$68,MATCH(E1268,'Taxonomy Rules'!$C$42:$C$68,0)),""))</x:f>
      </x:c>
      <x:c r="T1268" s="9" t="str">
        <x:f>IF(C1268="","",IFERROR(INDEX('Taxonomy Rules'!$F$42:$F$68,MATCH(E1268,'Taxonomy Rules'!$C$42:$C$68,0)),""))</x:f>
      </x:c>
      <x:c r="U1268" s="9" t="str">
        <x:f>IF(C1268="","",IFERROR(INDEX('Taxonomy'!$G$9:$G$108,MATCH(D1268,'Taxonomy'!$C$9:$C$108,0)),""))</x:f>
      </x:c>
    </x:row>
    <x:row r="1269" ht="44" customHeight="1">
      <x:c r="A1269" s="1"/>
      <x:c r="B1269" s="1"/>
      <x:c r="C1269" s="8"/>
      <x:c r="D1269" s="8"/>
      <x:c r="E1269" s="8"/>
      <x:c r="F1269" s="8"/>
      <x:c r="G1269" s="8"/>
      <x:c r="H1269" s="8"/>
      <x:c r="I1269" s="8"/>
      <x:c r="J1269" s="8"/>
      <x:c r="K1269" s="8"/>
      <x:c r="L1269" s="8"/>
      <x:c r="M1269" s="10"/>
      <x:c r="N1269" s="10"/>
      <x:c r="O1269" s="8"/>
      <x:c r="P1269" s="9" t="str">
        <x:f>IF(C1269="","",IF(AND(G1269="Applicable",H1269="Fail"),"Fail",IF(R1269&lt;&gt;"Valid","Pending",IF(OR(I1269="",K1269="",L1269="",K1269=L1269,NOT(ISNUMBER(M1269)),NOT(ISNUMBER(N1269)),M1269&gt;Settings!$F$8,N1269&lt;Settings!$F$8,N1269&lt;M1269),"Pending",IF(AND(G1269="Applicable",H1269="Pass"),"Pass",IF(AND(G1269="N/A",H1269="N/A",J1269&lt;&gt;"",OR(E1269="CEM-FUELS",E1269="CEM-CCS",AND(E1269="CEM-PLAN",IFERROR(INDEX('Taxonomy'!$M$9:$M$108,MATCH(D1269,'Taxonomy'!$C$9:$C$108,0)),"")&lt;&gt;"Amber"),E1269="BLD-TIMBER",AND(U1269="Building equipment",OR(E1269="BLD-WATER",E1269="BLD-WASTE",E1269="BLD-LAND")),AND(U1269="Building renovation",E1269="BLD-LAND"))),"N/A","Pending"))))))</x:f>
      </x:c>
      <x:c r="Q1269" s="3" t="str">
        <x:f>IF(C1269="","",IF(AND(R1269="Valid",OR(P1269="Pass",P1269="N/A")),"Complete","Unresolved"))</x:f>
      </x:c>
      <x:c r="R1269" s="9" t="str">
        <x:f>IF(C1269="","",IF(OR(COUNTIF($C$9:$C$2008,C1269)&lt;&gt;1,COUNTIFS($D$9:$D$2008,D1269,$E$9:$E$2008,E1269)&lt;&gt;1),"Duplicate test",IF(COUNTIF('Taxonomy'!$C$9:$C$108,D1269)&lt;&gt;1,"Assessment key",IF(OR(COUNTIF('Taxonomy Rules'!$C$42:$C$68,E1269)&lt;&gt;1,F1269&lt;&gt;IFERROR(INDEX('Taxonomy Rules'!$D$42:$D$68,MATCH(E1269,'Taxonomy Rules'!$C$42:$C$68,0)),""),NOT(OR(IFERROR(INDEX('Taxonomy Rules'!$G$42:$G$68,MATCH(E1269,'Taxonomy Rules'!$C$42:$C$68,0)),"")="All supported routes",IFERROR(INDEX('Taxonomy Rules'!$G$42:$G$68,MATCH(E1269,'Taxonomy Rules'!$C$42:$C$68,0)),"")=U1269,AND(IFERROR(INDEX('Taxonomy Rules'!$G$42:$G$68,MATCH(E1269,'Taxonomy Rules'!$C$42:$C$68,0)),"")="Building routes",OR(U1269="Building renovation",U1269="New building",U1269="Building equipment"))))),"Unexpected test","Valid"))))</x:f>
      </x:c>
      <x:c r="S1269" s="9" t="str">
        <x:f>IF(C1269="","",IFERROR(INDEX('Taxonomy Rules'!$E$42:$E$68,MATCH(E1269,'Taxonomy Rules'!$C$42:$C$68,0)),""))</x:f>
      </x:c>
      <x:c r="T1269" s="9" t="str">
        <x:f>IF(C1269="","",IFERROR(INDEX('Taxonomy Rules'!$F$42:$F$68,MATCH(E1269,'Taxonomy Rules'!$C$42:$C$68,0)),""))</x:f>
      </x:c>
      <x:c r="U1269" s="9" t="str">
        <x:f>IF(C1269="","",IFERROR(INDEX('Taxonomy'!$G$9:$G$108,MATCH(D1269,'Taxonomy'!$C$9:$C$108,0)),""))</x:f>
      </x:c>
    </x:row>
    <x:row r="1270" ht="44" customHeight="1">
      <x:c r="A1270" s="1"/>
      <x:c r="B1270" s="1"/>
      <x:c r="C1270" s="8"/>
      <x:c r="D1270" s="8"/>
      <x:c r="E1270" s="8"/>
      <x:c r="F1270" s="8"/>
      <x:c r="G1270" s="8"/>
      <x:c r="H1270" s="8"/>
      <x:c r="I1270" s="8"/>
      <x:c r="J1270" s="8"/>
      <x:c r="K1270" s="8"/>
      <x:c r="L1270" s="8"/>
      <x:c r="M1270" s="10"/>
      <x:c r="N1270" s="10"/>
      <x:c r="O1270" s="8"/>
      <x:c r="P1270" s="9" t="str">
        <x:f>IF(C1270="","",IF(AND(G1270="Applicable",H1270="Fail"),"Fail",IF(R1270&lt;&gt;"Valid","Pending",IF(OR(I1270="",K1270="",L1270="",K1270=L1270,NOT(ISNUMBER(M1270)),NOT(ISNUMBER(N1270)),M1270&gt;Settings!$F$8,N1270&lt;Settings!$F$8,N1270&lt;M1270),"Pending",IF(AND(G1270="Applicable",H1270="Pass"),"Pass",IF(AND(G1270="N/A",H1270="N/A",J1270&lt;&gt;"",OR(E1270="CEM-FUELS",E1270="CEM-CCS",AND(E1270="CEM-PLAN",IFERROR(INDEX('Taxonomy'!$M$9:$M$108,MATCH(D1270,'Taxonomy'!$C$9:$C$108,0)),"")&lt;&gt;"Amber"),E1270="BLD-TIMBER",AND(U1270="Building equipment",OR(E1270="BLD-WATER",E1270="BLD-WASTE",E1270="BLD-LAND")),AND(U1270="Building renovation",E1270="BLD-LAND"))),"N/A","Pending"))))))</x:f>
      </x:c>
      <x:c r="Q1270" s="3" t="str">
        <x:f>IF(C1270="","",IF(AND(R1270="Valid",OR(P1270="Pass",P1270="N/A")),"Complete","Unresolved"))</x:f>
      </x:c>
      <x:c r="R1270" s="9" t="str">
        <x:f>IF(C1270="","",IF(OR(COUNTIF($C$9:$C$2008,C1270)&lt;&gt;1,COUNTIFS($D$9:$D$2008,D1270,$E$9:$E$2008,E1270)&lt;&gt;1),"Duplicate test",IF(COUNTIF('Taxonomy'!$C$9:$C$108,D1270)&lt;&gt;1,"Assessment key",IF(OR(COUNTIF('Taxonomy Rules'!$C$42:$C$68,E1270)&lt;&gt;1,F1270&lt;&gt;IFERROR(INDEX('Taxonomy Rules'!$D$42:$D$68,MATCH(E1270,'Taxonomy Rules'!$C$42:$C$68,0)),""),NOT(OR(IFERROR(INDEX('Taxonomy Rules'!$G$42:$G$68,MATCH(E1270,'Taxonomy Rules'!$C$42:$C$68,0)),"")="All supported routes",IFERROR(INDEX('Taxonomy Rules'!$G$42:$G$68,MATCH(E1270,'Taxonomy Rules'!$C$42:$C$68,0)),"")=U1270,AND(IFERROR(INDEX('Taxonomy Rules'!$G$42:$G$68,MATCH(E1270,'Taxonomy Rules'!$C$42:$C$68,0)),"")="Building routes",OR(U1270="Building renovation",U1270="New building",U1270="Building equipment"))))),"Unexpected test","Valid"))))</x:f>
      </x:c>
      <x:c r="S1270" s="9" t="str">
        <x:f>IF(C1270="","",IFERROR(INDEX('Taxonomy Rules'!$E$42:$E$68,MATCH(E1270,'Taxonomy Rules'!$C$42:$C$68,0)),""))</x:f>
      </x:c>
      <x:c r="T1270" s="9" t="str">
        <x:f>IF(C1270="","",IFERROR(INDEX('Taxonomy Rules'!$F$42:$F$68,MATCH(E1270,'Taxonomy Rules'!$C$42:$C$68,0)),""))</x:f>
      </x:c>
      <x:c r="U1270" s="9" t="str">
        <x:f>IF(C1270="","",IFERROR(INDEX('Taxonomy'!$G$9:$G$108,MATCH(D1270,'Taxonomy'!$C$9:$C$108,0)),""))</x:f>
      </x:c>
    </x:row>
    <x:row r="1271" ht="44" customHeight="1">
      <x:c r="A1271" s="1"/>
      <x:c r="B1271" s="1"/>
      <x:c r="C1271" s="8"/>
      <x:c r="D1271" s="8"/>
      <x:c r="E1271" s="8"/>
      <x:c r="F1271" s="8"/>
      <x:c r="G1271" s="8"/>
      <x:c r="H1271" s="8"/>
      <x:c r="I1271" s="8"/>
      <x:c r="J1271" s="8"/>
      <x:c r="K1271" s="8"/>
      <x:c r="L1271" s="8"/>
      <x:c r="M1271" s="10"/>
      <x:c r="N1271" s="10"/>
      <x:c r="O1271" s="8"/>
      <x:c r="P1271" s="9" t="str">
        <x:f>IF(C1271="","",IF(AND(G1271="Applicable",H1271="Fail"),"Fail",IF(R1271&lt;&gt;"Valid","Pending",IF(OR(I1271="",K1271="",L1271="",K1271=L1271,NOT(ISNUMBER(M1271)),NOT(ISNUMBER(N1271)),M1271&gt;Settings!$F$8,N1271&lt;Settings!$F$8,N1271&lt;M1271),"Pending",IF(AND(G1271="Applicable",H1271="Pass"),"Pass",IF(AND(G1271="N/A",H1271="N/A",J1271&lt;&gt;"",OR(E1271="CEM-FUELS",E1271="CEM-CCS",AND(E1271="CEM-PLAN",IFERROR(INDEX('Taxonomy'!$M$9:$M$108,MATCH(D1271,'Taxonomy'!$C$9:$C$108,0)),"")&lt;&gt;"Amber"),E1271="BLD-TIMBER",AND(U1271="Building equipment",OR(E1271="BLD-WATER",E1271="BLD-WASTE",E1271="BLD-LAND")),AND(U1271="Building renovation",E1271="BLD-LAND"))),"N/A","Pending"))))))</x:f>
      </x:c>
      <x:c r="Q1271" s="3" t="str">
        <x:f>IF(C1271="","",IF(AND(R1271="Valid",OR(P1271="Pass",P1271="N/A")),"Complete","Unresolved"))</x:f>
      </x:c>
      <x:c r="R1271" s="9" t="str">
        <x:f>IF(C1271="","",IF(OR(COUNTIF($C$9:$C$2008,C1271)&lt;&gt;1,COUNTIFS($D$9:$D$2008,D1271,$E$9:$E$2008,E1271)&lt;&gt;1),"Duplicate test",IF(COUNTIF('Taxonomy'!$C$9:$C$108,D1271)&lt;&gt;1,"Assessment key",IF(OR(COUNTIF('Taxonomy Rules'!$C$42:$C$68,E1271)&lt;&gt;1,F1271&lt;&gt;IFERROR(INDEX('Taxonomy Rules'!$D$42:$D$68,MATCH(E1271,'Taxonomy Rules'!$C$42:$C$68,0)),""),NOT(OR(IFERROR(INDEX('Taxonomy Rules'!$G$42:$G$68,MATCH(E1271,'Taxonomy Rules'!$C$42:$C$68,0)),"")="All supported routes",IFERROR(INDEX('Taxonomy Rules'!$G$42:$G$68,MATCH(E1271,'Taxonomy Rules'!$C$42:$C$68,0)),"")=U1271,AND(IFERROR(INDEX('Taxonomy Rules'!$G$42:$G$68,MATCH(E1271,'Taxonomy Rules'!$C$42:$C$68,0)),"")="Building routes",OR(U1271="Building renovation",U1271="New building",U1271="Building equipment"))))),"Unexpected test","Valid"))))</x:f>
      </x:c>
      <x:c r="S1271" s="9" t="str">
        <x:f>IF(C1271="","",IFERROR(INDEX('Taxonomy Rules'!$E$42:$E$68,MATCH(E1271,'Taxonomy Rules'!$C$42:$C$68,0)),""))</x:f>
      </x:c>
      <x:c r="T1271" s="9" t="str">
        <x:f>IF(C1271="","",IFERROR(INDEX('Taxonomy Rules'!$F$42:$F$68,MATCH(E1271,'Taxonomy Rules'!$C$42:$C$68,0)),""))</x:f>
      </x:c>
      <x:c r="U1271" s="9" t="str">
        <x:f>IF(C1271="","",IFERROR(INDEX('Taxonomy'!$G$9:$G$108,MATCH(D1271,'Taxonomy'!$C$9:$C$108,0)),""))</x:f>
      </x:c>
    </x:row>
    <x:row r="1272" ht="44" customHeight="1">
      <x:c r="A1272" s="1"/>
      <x:c r="B1272" s="1"/>
      <x:c r="C1272" s="8"/>
      <x:c r="D1272" s="8"/>
      <x:c r="E1272" s="8"/>
      <x:c r="F1272" s="8"/>
      <x:c r="G1272" s="8"/>
      <x:c r="H1272" s="8"/>
      <x:c r="I1272" s="8"/>
      <x:c r="J1272" s="8"/>
      <x:c r="K1272" s="8"/>
      <x:c r="L1272" s="8"/>
      <x:c r="M1272" s="10"/>
      <x:c r="N1272" s="10"/>
      <x:c r="O1272" s="8"/>
      <x:c r="P1272" s="9" t="str">
        <x:f>IF(C1272="","",IF(AND(G1272="Applicable",H1272="Fail"),"Fail",IF(R1272&lt;&gt;"Valid","Pending",IF(OR(I1272="",K1272="",L1272="",K1272=L1272,NOT(ISNUMBER(M1272)),NOT(ISNUMBER(N1272)),M1272&gt;Settings!$F$8,N1272&lt;Settings!$F$8,N1272&lt;M1272),"Pending",IF(AND(G1272="Applicable",H1272="Pass"),"Pass",IF(AND(G1272="N/A",H1272="N/A",J1272&lt;&gt;"",OR(E1272="CEM-FUELS",E1272="CEM-CCS",AND(E1272="CEM-PLAN",IFERROR(INDEX('Taxonomy'!$M$9:$M$108,MATCH(D1272,'Taxonomy'!$C$9:$C$108,0)),"")&lt;&gt;"Amber"),E1272="BLD-TIMBER",AND(U1272="Building equipment",OR(E1272="BLD-WATER",E1272="BLD-WASTE",E1272="BLD-LAND")),AND(U1272="Building renovation",E1272="BLD-LAND"))),"N/A","Pending"))))))</x:f>
      </x:c>
      <x:c r="Q1272" s="3" t="str">
        <x:f>IF(C1272="","",IF(AND(R1272="Valid",OR(P1272="Pass",P1272="N/A")),"Complete","Unresolved"))</x:f>
      </x:c>
      <x:c r="R1272" s="9" t="str">
        <x:f>IF(C1272="","",IF(OR(COUNTIF($C$9:$C$2008,C1272)&lt;&gt;1,COUNTIFS($D$9:$D$2008,D1272,$E$9:$E$2008,E1272)&lt;&gt;1),"Duplicate test",IF(COUNTIF('Taxonomy'!$C$9:$C$108,D1272)&lt;&gt;1,"Assessment key",IF(OR(COUNTIF('Taxonomy Rules'!$C$42:$C$68,E1272)&lt;&gt;1,F1272&lt;&gt;IFERROR(INDEX('Taxonomy Rules'!$D$42:$D$68,MATCH(E1272,'Taxonomy Rules'!$C$42:$C$68,0)),""),NOT(OR(IFERROR(INDEX('Taxonomy Rules'!$G$42:$G$68,MATCH(E1272,'Taxonomy Rules'!$C$42:$C$68,0)),"")="All supported routes",IFERROR(INDEX('Taxonomy Rules'!$G$42:$G$68,MATCH(E1272,'Taxonomy Rules'!$C$42:$C$68,0)),"")=U1272,AND(IFERROR(INDEX('Taxonomy Rules'!$G$42:$G$68,MATCH(E1272,'Taxonomy Rules'!$C$42:$C$68,0)),"")="Building routes",OR(U1272="Building renovation",U1272="New building",U1272="Building equipment"))))),"Unexpected test","Valid"))))</x:f>
      </x:c>
      <x:c r="S1272" s="9" t="str">
        <x:f>IF(C1272="","",IFERROR(INDEX('Taxonomy Rules'!$E$42:$E$68,MATCH(E1272,'Taxonomy Rules'!$C$42:$C$68,0)),""))</x:f>
      </x:c>
      <x:c r="T1272" s="9" t="str">
        <x:f>IF(C1272="","",IFERROR(INDEX('Taxonomy Rules'!$F$42:$F$68,MATCH(E1272,'Taxonomy Rules'!$C$42:$C$68,0)),""))</x:f>
      </x:c>
      <x:c r="U1272" s="9" t="str">
        <x:f>IF(C1272="","",IFERROR(INDEX('Taxonomy'!$G$9:$G$108,MATCH(D1272,'Taxonomy'!$C$9:$C$108,0)),""))</x:f>
      </x:c>
    </x:row>
    <x:row r="1273" ht="44" customHeight="1">
      <x:c r="A1273" s="1"/>
      <x:c r="B1273" s="1"/>
      <x:c r="C1273" s="8"/>
      <x:c r="D1273" s="8"/>
      <x:c r="E1273" s="8"/>
      <x:c r="F1273" s="8"/>
      <x:c r="G1273" s="8"/>
      <x:c r="H1273" s="8"/>
      <x:c r="I1273" s="8"/>
      <x:c r="J1273" s="8"/>
      <x:c r="K1273" s="8"/>
      <x:c r="L1273" s="8"/>
      <x:c r="M1273" s="10"/>
      <x:c r="N1273" s="10"/>
      <x:c r="O1273" s="8"/>
      <x:c r="P1273" s="9" t="str">
        <x:f>IF(C1273="","",IF(AND(G1273="Applicable",H1273="Fail"),"Fail",IF(R1273&lt;&gt;"Valid","Pending",IF(OR(I1273="",K1273="",L1273="",K1273=L1273,NOT(ISNUMBER(M1273)),NOT(ISNUMBER(N1273)),M1273&gt;Settings!$F$8,N1273&lt;Settings!$F$8,N1273&lt;M1273),"Pending",IF(AND(G1273="Applicable",H1273="Pass"),"Pass",IF(AND(G1273="N/A",H1273="N/A",J1273&lt;&gt;"",OR(E1273="CEM-FUELS",E1273="CEM-CCS",AND(E1273="CEM-PLAN",IFERROR(INDEX('Taxonomy'!$M$9:$M$108,MATCH(D1273,'Taxonomy'!$C$9:$C$108,0)),"")&lt;&gt;"Amber"),E1273="BLD-TIMBER",AND(U1273="Building equipment",OR(E1273="BLD-WATER",E1273="BLD-WASTE",E1273="BLD-LAND")),AND(U1273="Building renovation",E1273="BLD-LAND"))),"N/A","Pending"))))))</x:f>
      </x:c>
      <x:c r="Q1273" s="3" t="str">
        <x:f>IF(C1273="","",IF(AND(R1273="Valid",OR(P1273="Pass",P1273="N/A")),"Complete","Unresolved"))</x:f>
      </x:c>
      <x:c r="R1273" s="9" t="str">
        <x:f>IF(C1273="","",IF(OR(COUNTIF($C$9:$C$2008,C1273)&lt;&gt;1,COUNTIFS($D$9:$D$2008,D1273,$E$9:$E$2008,E1273)&lt;&gt;1),"Duplicate test",IF(COUNTIF('Taxonomy'!$C$9:$C$108,D1273)&lt;&gt;1,"Assessment key",IF(OR(COUNTIF('Taxonomy Rules'!$C$42:$C$68,E1273)&lt;&gt;1,F1273&lt;&gt;IFERROR(INDEX('Taxonomy Rules'!$D$42:$D$68,MATCH(E1273,'Taxonomy Rules'!$C$42:$C$68,0)),""),NOT(OR(IFERROR(INDEX('Taxonomy Rules'!$G$42:$G$68,MATCH(E1273,'Taxonomy Rules'!$C$42:$C$68,0)),"")="All supported routes",IFERROR(INDEX('Taxonomy Rules'!$G$42:$G$68,MATCH(E1273,'Taxonomy Rules'!$C$42:$C$68,0)),"")=U1273,AND(IFERROR(INDEX('Taxonomy Rules'!$G$42:$G$68,MATCH(E1273,'Taxonomy Rules'!$C$42:$C$68,0)),"")="Building routes",OR(U1273="Building renovation",U1273="New building",U1273="Building equipment"))))),"Unexpected test","Valid"))))</x:f>
      </x:c>
      <x:c r="S1273" s="9" t="str">
        <x:f>IF(C1273="","",IFERROR(INDEX('Taxonomy Rules'!$E$42:$E$68,MATCH(E1273,'Taxonomy Rules'!$C$42:$C$68,0)),""))</x:f>
      </x:c>
      <x:c r="T1273" s="9" t="str">
        <x:f>IF(C1273="","",IFERROR(INDEX('Taxonomy Rules'!$F$42:$F$68,MATCH(E1273,'Taxonomy Rules'!$C$42:$C$68,0)),""))</x:f>
      </x:c>
      <x:c r="U1273" s="9" t="str">
        <x:f>IF(C1273="","",IFERROR(INDEX('Taxonomy'!$G$9:$G$108,MATCH(D1273,'Taxonomy'!$C$9:$C$108,0)),""))</x:f>
      </x:c>
    </x:row>
    <x:row r="1274" ht="44" customHeight="1">
      <x:c r="A1274" s="1"/>
      <x:c r="B1274" s="1"/>
      <x:c r="C1274" s="8"/>
      <x:c r="D1274" s="8"/>
      <x:c r="E1274" s="8"/>
      <x:c r="F1274" s="8"/>
      <x:c r="G1274" s="8"/>
      <x:c r="H1274" s="8"/>
      <x:c r="I1274" s="8"/>
      <x:c r="J1274" s="8"/>
      <x:c r="K1274" s="8"/>
      <x:c r="L1274" s="8"/>
      <x:c r="M1274" s="10"/>
      <x:c r="N1274" s="10"/>
      <x:c r="O1274" s="8"/>
      <x:c r="P1274" s="9" t="str">
        <x:f>IF(C1274="","",IF(AND(G1274="Applicable",H1274="Fail"),"Fail",IF(R1274&lt;&gt;"Valid","Pending",IF(OR(I1274="",K1274="",L1274="",K1274=L1274,NOT(ISNUMBER(M1274)),NOT(ISNUMBER(N1274)),M1274&gt;Settings!$F$8,N1274&lt;Settings!$F$8,N1274&lt;M1274),"Pending",IF(AND(G1274="Applicable",H1274="Pass"),"Pass",IF(AND(G1274="N/A",H1274="N/A",J1274&lt;&gt;"",OR(E1274="CEM-FUELS",E1274="CEM-CCS",AND(E1274="CEM-PLAN",IFERROR(INDEX('Taxonomy'!$M$9:$M$108,MATCH(D1274,'Taxonomy'!$C$9:$C$108,0)),"")&lt;&gt;"Amber"),E1274="BLD-TIMBER",AND(U1274="Building equipment",OR(E1274="BLD-WATER",E1274="BLD-WASTE",E1274="BLD-LAND")),AND(U1274="Building renovation",E1274="BLD-LAND"))),"N/A","Pending"))))))</x:f>
      </x:c>
      <x:c r="Q1274" s="3" t="str">
        <x:f>IF(C1274="","",IF(AND(R1274="Valid",OR(P1274="Pass",P1274="N/A")),"Complete","Unresolved"))</x:f>
      </x:c>
      <x:c r="R1274" s="9" t="str">
        <x:f>IF(C1274="","",IF(OR(COUNTIF($C$9:$C$2008,C1274)&lt;&gt;1,COUNTIFS($D$9:$D$2008,D1274,$E$9:$E$2008,E1274)&lt;&gt;1),"Duplicate test",IF(COUNTIF('Taxonomy'!$C$9:$C$108,D1274)&lt;&gt;1,"Assessment key",IF(OR(COUNTIF('Taxonomy Rules'!$C$42:$C$68,E1274)&lt;&gt;1,F1274&lt;&gt;IFERROR(INDEX('Taxonomy Rules'!$D$42:$D$68,MATCH(E1274,'Taxonomy Rules'!$C$42:$C$68,0)),""),NOT(OR(IFERROR(INDEX('Taxonomy Rules'!$G$42:$G$68,MATCH(E1274,'Taxonomy Rules'!$C$42:$C$68,0)),"")="All supported routes",IFERROR(INDEX('Taxonomy Rules'!$G$42:$G$68,MATCH(E1274,'Taxonomy Rules'!$C$42:$C$68,0)),"")=U1274,AND(IFERROR(INDEX('Taxonomy Rules'!$G$42:$G$68,MATCH(E1274,'Taxonomy Rules'!$C$42:$C$68,0)),"")="Building routes",OR(U1274="Building renovation",U1274="New building",U1274="Building equipment"))))),"Unexpected test","Valid"))))</x:f>
      </x:c>
      <x:c r="S1274" s="9" t="str">
        <x:f>IF(C1274="","",IFERROR(INDEX('Taxonomy Rules'!$E$42:$E$68,MATCH(E1274,'Taxonomy Rules'!$C$42:$C$68,0)),""))</x:f>
      </x:c>
      <x:c r="T1274" s="9" t="str">
        <x:f>IF(C1274="","",IFERROR(INDEX('Taxonomy Rules'!$F$42:$F$68,MATCH(E1274,'Taxonomy Rules'!$C$42:$C$68,0)),""))</x:f>
      </x:c>
      <x:c r="U1274" s="9" t="str">
        <x:f>IF(C1274="","",IFERROR(INDEX('Taxonomy'!$G$9:$G$108,MATCH(D1274,'Taxonomy'!$C$9:$C$108,0)),""))</x:f>
      </x:c>
    </x:row>
    <x:row r="1275" ht="44" customHeight="1">
      <x:c r="A1275" s="1"/>
      <x:c r="B1275" s="1"/>
      <x:c r="C1275" s="8"/>
      <x:c r="D1275" s="8"/>
      <x:c r="E1275" s="8"/>
      <x:c r="F1275" s="8"/>
      <x:c r="G1275" s="8"/>
      <x:c r="H1275" s="8"/>
      <x:c r="I1275" s="8"/>
      <x:c r="J1275" s="8"/>
      <x:c r="K1275" s="8"/>
      <x:c r="L1275" s="8"/>
      <x:c r="M1275" s="10"/>
      <x:c r="N1275" s="10"/>
      <x:c r="O1275" s="8"/>
      <x:c r="P1275" s="9" t="str">
        <x:f>IF(C1275="","",IF(AND(G1275="Applicable",H1275="Fail"),"Fail",IF(R1275&lt;&gt;"Valid","Pending",IF(OR(I1275="",K1275="",L1275="",K1275=L1275,NOT(ISNUMBER(M1275)),NOT(ISNUMBER(N1275)),M1275&gt;Settings!$F$8,N1275&lt;Settings!$F$8,N1275&lt;M1275),"Pending",IF(AND(G1275="Applicable",H1275="Pass"),"Pass",IF(AND(G1275="N/A",H1275="N/A",J1275&lt;&gt;"",OR(E1275="CEM-FUELS",E1275="CEM-CCS",AND(E1275="CEM-PLAN",IFERROR(INDEX('Taxonomy'!$M$9:$M$108,MATCH(D1275,'Taxonomy'!$C$9:$C$108,0)),"")&lt;&gt;"Amber"),E1275="BLD-TIMBER",AND(U1275="Building equipment",OR(E1275="BLD-WATER",E1275="BLD-WASTE",E1275="BLD-LAND")),AND(U1275="Building renovation",E1275="BLD-LAND"))),"N/A","Pending"))))))</x:f>
      </x:c>
      <x:c r="Q1275" s="3" t="str">
        <x:f>IF(C1275="","",IF(AND(R1275="Valid",OR(P1275="Pass",P1275="N/A")),"Complete","Unresolved"))</x:f>
      </x:c>
      <x:c r="R1275" s="9" t="str">
        <x:f>IF(C1275="","",IF(OR(COUNTIF($C$9:$C$2008,C1275)&lt;&gt;1,COUNTIFS($D$9:$D$2008,D1275,$E$9:$E$2008,E1275)&lt;&gt;1),"Duplicate test",IF(COUNTIF('Taxonomy'!$C$9:$C$108,D1275)&lt;&gt;1,"Assessment key",IF(OR(COUNTIF('Taxonomy Rules'!$C$42:$C$68,E1275)&lt;&gt;1,F1275&lt;&gt;IFERROR(INDEX('Taxonomy Rules'!$D$42:$D$68,MATCH(E1275,'Taxonomy Rules'!$C$42:$C$68,0)),""),NOT(OR(IFERROR(INDEX('Taxonomy Rules'!$G$42:$G$68,MATCH(E1275,'Taxonomy Rules'!$C$42:$C$68,0)),"")="All supported routes",IFERROR(INDEX('Taxonomy Rules'!$G$42:$G$68,MATCH(E1275,'Taxonomy Rules'!$C$42:$C$68,0)),"")=U1275,AND(IFERROR(INDEX('Taxonomy Rules'!$G$42:$G$68,MATCH(E1275,'Taxonomy Rules'!$C$42:$C$68,0)),"")="Building routes",OR(U1275="Building renovation",U1275="New building",U1275="Building equipment"))))),"Unexpected test","Valid"))))</x:f>
      </x:c>
      <x:c r="S1275" s="9" t="str">
        <x:f>IF(C1275="","",IFERROR(INDEX('Taxonomy Rules'!$E$42:$E$68,MATCH(E1275,'Taxonomy Rules'!$C$42:$C$68,0)),""))</x:f>
      </x:c>
      <x:c r="T1275" s="9" t="str">
        <x:f>IF(C1275="","",IFERROR(INDEX('Taxonomy Rules'!$F$42:$F$68,MATCH(E1275,'Taxonomy Rules'!$C$42:$C$68,0)),""))</x:f>
      </x:c>
      <x:c r="U1275" s="9" t="str">
        <x:f>IF(C1275="","",IFERROR(INDEX('Taxonomy'!$G$9:$G$108,MATCH(D1275,'Taxonomy'!$C$9:$C$108,0)),""))</x:f>
      </x:c>
    </x:row>
    <x:row r="1276" ht="44" customHeight="1">
      <x:c r="A1276" s="1"/>
      <x:c r="B1276" s="1"/>
      <x:c r="C1276" s="8"/>
      <x:c r="D1276" s="8"/>
      <x:c r="E1276" s="8"/>
      <x:c r="F1276" s="8"/>
      <x:c r="G1276" s="8"/>
      <x:c r="H1276" s="8"/>
      <x:c r="I1276" s="8"/>
      <x:c r="J1276" s="8"/>
      <x:c r="K1276" s="8"/>
      <x:c r="L1276" s="8"/>
      <x:c r="M1276" s="10"/>
      <x:c r="N1276" s="10"/>
      <x:c r="O1276" s="8"/>
      <x:c r="P1276" s="9" t="str">
        <x:f>IF(C1276="","",IF(AND(G1276="Applicable",H1276="Fail"),"Fail",IF(R1276&lt;&gt;"Valid","Pending",IF(OR(I1276="",K1276="",L1276="",K1276=L1276,NOT(ISNUMBER(M1276)),NOT(ISNUMBER(N1276)),M1276&gt;Settings!$F$8,N1276&lt;Settings!$F$8,N1276&lt;M1276),"Pending",IF(AND(G1276="Applicable",H1276="Pass"),"Pass",IF(AND(G1276="N/A",H1276="N/A",J1276&lt;&gt;"",OR(E1276="CEM-FUELS",E1276="CEM-CCS",AND(E1276="CEM-PLAN",IFERROR(INDEX('Taxonomy'!$M$9:$M$108,MATCH(D1276,'Taxonomy'!$C$9:$C$108,0)),"")&lt;&gt;"Amber"),E1276="BLD-TIMBER",AND(U1276="Building equipment",OR(E1276="BLD-WATER",E1276="BLD-WASTE",E1276="BLD-LAND")),AND(U1276="Building renovation",E1276="BLD-LAND"))),"N/A","Pending"))))))</x:f>
      </x:c>
      <x:c r="Q1276" s="3" t="str">
        <x:f>IF(C1276="","",IF(AND(R1276="Valid",OR(P1276="Pass",P1276="N/A")),"Complete","Unresolved"))</x:f>
      </x:c>
      <x:c r="R1276" s="9" t="str">
        <x:f>IF(C1276="","",IF(OR(COUNTIF($C$9:$C$2008,C1276)&lt;&gt;1,COUNTIFS($D$9:$D$2008,D1276,$E$9:$E$2008,E1276)&lt;&gt;1),"Duplicate test",IF(COUNTIF('Taxonomy'!$C$9:$C$108,D1276)&lt;&gt;1,"Assessment key",IF(OR(COUNTIF('Taxonomy Rules'!$C$42:$C$68,E1276)&lt;&gt;1,F1276&lt;&gt;IFERROR(INDEX('Taxonomy Rules'!$D$42:$D$68,MATCH(E1276,'Taxonomy Rules'!$C$42:$C$68,0)),""),NOT(OR(IFERROR(INDEX('Taxonomy Rules'!$G$42:$G$68,MATCH(E1276,'Taxonomy Rules'!$C$42:$C$68,0)),"")="All supported routes",IFERROR(INDEX('Taxonomy Rules'!$G$42:$G$68,MATCH(E1276,'Taxonomy Rules'!$C$42:$C$68,0)),"")=U1276,AND(IFERROR(INDEX('Taxonomy Rules'!$G$42:$G$68,MATCH(E1276,'Taxonomy Rules'!$C$42:$C$68,0)),"")="Building routes",OR(U1276="Building renovation",U1276="New building",U1276="Building equipment"))))),"Unexpected test","Valid"))))</x:f>
      </x:c>
      <x:c r="S1276" s="9" t="str">
        <x:f>IF(C1276="","",IFERROR(INDEX('Taxonomy Rules'!$E$42:$E$68,MATCH(E1276,'Taxonomy Rules'!$C$42:$C$68,0)),""))</x:f>
      </x:c>
      <x:c r="T1276" s="9" t="str">
        <x:f>IF(C1276="","",IFERROR(INDEX('Taxonomy Rules'!$F$42:$F$68,MATCH(E1276,'Taxonomy Rules'!$C$42:$C$68,0)),""))</x:f>
      </x:c>
      <x:c r="U1276" s="9" t="str">
        <x:f>IF(C1276="","",IFERROR(INDEX('Taxonomy'!$G$9:$G$108,MATCH(D1276,'Taxonomy'!$C$9:$C$108,0)),""))</x:f>
      </x:c>
    </x:row>
    <x:row r="1277" ht="44" customHeight="1">
      <x:c r="A1277" s="1"/>
      <x:c r="B1277" s="1"/>
      <x:c r="C1277" s="8"/>
      <x:c r="D1277" s="8"/>
      <x:c r="E1277" s="8"/>
      <x:c r="F1277" s="8"/>
      <x:c r="G1277" s="8"/>
      <x:c r="H1277" s="8"/>
      <x:c r="I1277" s="8"/>
      <x:c r="J1277" s="8"/>
      <x:c r="K1277" s="8"/>
      <x:c r="L1277" s="8"/>
      <x:c r="M1277" s="10"/>
      <x:c r="N1277" s="10"/>
      <x:c r="O1277" s="8"/>
      <x:c r="P1277" s="9" t="str">
        <x:f>IF(C1277="","",IF(AND(G1277="Applicable",H1277="Fail"),"Fail",IF(R1277&lt;&gt;"Valid","Pending",IF(OR(I1277="",K1277="",L1277="",K1277=L1277,NOT(ISNUMBER(M1277)),NOT(ISNUMBER(N1277)),M1277&gt;Settings!$F$8,N1277&lt;Settings!$F$8,N1277&lt;M1277),"Pending",IF(AND(G1277="Applicable",H1277="Pass"),"Pass",IF(AND(G1277="N/A",H1277="N/A",J1277&lt;&gt;"",OR(E1277="CEM-FUELS",E1277="CEM-CCS",AND(E1277="CEM-PLAN",IFERROR(INDEX('Taxonomy'!$M$9:$M$108,MATCH(D1277,'Taxonomy'!$C$9:$C$108,0)),"")&lt;&gt;"Amber"),E1277="BLD-TIMBER",AND(U1277="Building equipment",OR(E1277="BLD-WATER",E1277="BLD-WASTE",E1277="BLD-LAND")),AND(U1277="Building renovation",E1277="BLD-LAND"))),"N/A","Pending"))))))</x:f>
      </x:c>
      <x:c r="Q1277" s="3" t="str">
        <x:f>IF(C1277="","",IF(AND(R1277="Valid",OR(P1277="Pass",P1277="N/A")),"Complete","Unresolved"))</x:f>
      </x:c>
      <x:c r="R1277" s="9" t="str">
        <x:f>IF(C1277="","",IF(OR(COUNTIF($C$9:$C$2008,C1277)&lt;&gt;1,COUNTIFS($D$9:$D$2008,D1277,$E$9:$E$2008,E1277)&lt;&gt;1),"Duplicate test",IF(COUNTIF('Taxonomy'!$C$9:$C$108,D1277)&lt;&gt;1,"Assessment key",IF(OR(COUNTIF('Taxonomy Rules'!$C$42:$C$68,E1277)&lt;&gt;1,F1277&lt;&gt;IFERROR(INDEX('Taxonomy Rules'!$D$42:$D$68,MATCH(E1277,'Taxonomy Rules'!$C$42:$C$68,0)),""),NOT(OR(IFERROR(INDEX('Taxonomy Rules'!$G$42:$G$68,MATCH(E1277,'Taxonomy Rules'!$C$42:$C$68,0)),"")="All supported routes",IFERROR(INDEX('Taxonomy Rules'!$G$42:$G$68,MATCH(E1277,'Taxonomy Rules'!$C$42:$C$68,0)),"")=U1277,AND(IFERROR(INDEX('Taxonomy Rules'!$G$42:$G$68,MATCH(E1277,'Taxonomy Rules'!$C$42:$C$68,0)),"")="Building routes",OR(U1277="Building renovation",U1277="New building",U1277="Building equipment"))))),"Unexpected test","Valid"))))</x:f>
      </x:c>
      <x:c r="S1277" s="9" t="str">
        <x:f>IF(C1277="","",IFERROR(INDEX('Taxonomy Rules'!$E$42:$E$68,MATCH(E1277,'Taxonomy Rules'!$C$42:$C$68,0)),""))</x:f>
      </x:c>
      <x:c r="T1277" s="9" t="str">
        <x:f>IF(C1277="","",IFERROR(INDEX('Taxonomy Rules'!$F$42:$F$68,MATCH(E1277,'Taxonomy Rules'!$C$42:$C$68,0)),""))</x:f>
      </x:c>
      <x:c r="U1277" s="9" t="str">
        <x:f>IF(C1277="","",IFERROR(INDEX('Taxonomy'!$G$9:$G$108,MATCH(D1277,'Taxonomy'!$C$9:$C$108,0)),""))</x:f>
      </x:c>
    </x:row>
    <x:row r="1278" ht="44" customHeight="1">
      <x:c r="A1278" s="1"/>
      <x:c r="B1278" s="1"/>
      <x:c r="C1278" s="8"/>
      <x:c r="D1278" s="8"/>
      <x:c r="E1278" s="8"/>
      <x:c r="F1278" s="8"/>
      <x:c r="G1278" s="8"/>
      <x:c r="H1278" s="8"/>
      <x:c r="I1278" s="8"/>
      <x:c r="J1278" s="8"/>
      <x:c r="K1278" s="8"/>
      <x:c r="L1278" s="8"/>
      <x:c r="M1278" s="10"/>
      <x:c r="N1278" s="10"/>
      <x:c r="O1278" s="8"/>
      <x:c r="P1278" s="9" t="str">
        <x:f>IF(C1278="","",IF(AND(G1278="Applicable",H1278="Fail"),"Fail",IF(R1278&lt;&gt;"Valid","Pending",IF(OR(I1278="",K1278="",L1278="",K1278=L1278,NOT(ISNUMBER(M1278)),NOT(ISNUMBER(N1278)),M1278&gt;Settings!$F$8,N1278&lt;Settings!$F$8,N1278&lt;M1278),"Pending",IF(AND(G1278="Applicable",H1278="Pass"),"Pass",IF(AND(G1278="N/A",H1278="N/A",J1278&lt;&gt;"",OR(E1278="CEM-FUELS",E1278="CEM-CCS",AND(E1278="CEM-PLAN",IFERROR(INDEX('Taxonomy'!$M$9:$M$108,MATCH(D1278,'Taxonomy'!$C$9:$C$108,0)),"")&lt;&gt;"Amber"),E1278="BLD-TIMBER",AND(U1278="Building equipment",OR(E1278="BLD-WATER",E1278="BLD-WASTE",E1278="BLD-LAND")),AND(U1278="Building renovation",E1278="BLD-LAND"))),"N/A","Pending"))))))</x:f>
      </x:c>
      <x:c r="Q1278" s="3" t="str">
        <x:f>IF(C1278="","",IF(AND(R1278="Valid",OR(P1278="Pass",P1278="N/A")),"Complete","Unresolved"))</x:f>
      </x:c>
      <x:c r="R1278" s="9" t="str">
        <x:f>IF(C1278="","",IF(OR(COUNTIF($C$9:$C$2008,C1278)&lt;&gt;1,COUNTIFS($D$9:$D$2008,D1278,$E$9:$E$2008,E1278)&lt;&gt;1),"Duplicate test",IF(COUNTIF('Taxonomy'!$C$9:$C$108,D1278)&lt;&gt;1,"Assessment key",IF(OR(COUNTIF('Taxonomy Rules'!$C$42:$C$68,E1278)&lt;&gt;1,F1278&lt;&gt;IFERROR(INDEX('Taxonomy Rules'!$D$42:$D$68,MATCH(E1278,'Taxonomy Rules'!$C$42:$C$68,0)),""),NOT(OR(IFERROR(INDEX('Taxonomy Rules'!$G$42:$G$68,MATCH(E1278,'Taxonomy Rules'!$C$42:$C$68,0)),"")="All supported routes",IFERROR(INDEX('Taxonomy Rules'!$G$42:$G$68,MATCH(E1278,'Taxonomy Rules'!$C$42:$C$68,0)),"")=U1278,AND(IFERROR(INDEX('Taxonomy Rules'!$G$42:$G$68,MATCH(E1278,'Taxonomy Rules'!$C$42:$C$68,0)),"")="Building routes",OR(U1278="Building renovation",U1278="New building",U1278="Building equipment"))))),"Unexpected test","Valid"))))</x:f>
      </x:c>
      <x:c r="S1278" s="9" t="str">
        <x:f>IF(C1278="","",IFERROR(INDEX('Taxonomy Rules'!$E$42:$E$68,MATCH(E1278,'Taxonomy Rules'!$C$42:$C$68,0)),""))</x:f>
      </x:c>
      <x:c r="T1278" s="9" t="str">
        <x:f>IF(C1278="","",IFERROR(INDEX('Taxonomy Rules'!$F$42:$F$68,MATCH(E1278,'Taxonomy Rules'!$C$42:$C$68,0)),""))</x:f>
      </x:c>
      <x:c r="U1278" s="9" t="str">
        <x:f>IF(C1278="","",IFERROR(INDEX('Taxonomy'!$G$9:$G$108,MATCH(D1278,'Taxonomy'!$C$9:$C$108,0)),""))</x:f>
      </x:c>
    </x:row>
    <x:row r="1279" ht="44" customHeight="1">
      <x:c r="A1279" s="1"/>
      <x:c r="B1279" s="1"/>
      <x:c r="C1279" s="8"/>
      <x:c r="D1279" s="8"/>
      <x:c r="E1279" s="8"/>
      <x:c r="F1279" s="8"/>
      <x:c r="G1279" s="8"/>
      <x:c r="H1279" s="8"/>
      <x:c r="I1279" s="8"/>
      <x:c r="J1279" s="8"/>
      <x:c r="K1279" s="8"/>
      <x:c r="L1279" s="8"/>
      <x:c r="M1279" s="10"/>
      <x:c r="N1279" s="10"/>
      <x:c r="O1279" s="8"/>
      <x:c r="P1279" s="9" t="str">
        <x:f>IF(C1279="","",IF(AND(G1279="Applicable",H1279="Fail"),"Fail",IF(R1279&lt;&gt;"Valid","Pending",IF(OR(I1279="",K1279="",L1279="",K1279=L1279,NOT(ISNUMBER(M1279)),NOT(ISNUMBER(N1279)),M1279&gt;Settings!$F$8,N1279&lt;Settings!$F$8,N1279&lt;M1279),"Pending",IF(AND(G1279="Applicable",H1279="Pass"),"Pass",IF(AND(G1279="N/A",H1279="N/A",J1279&lt;&gt;"",OR(E1279="CEM-FUELS",E1279="CEM-CCS",AND(E1279="CEM-PLAN",IFERROR(INDEX('Taxonomy'!$M$9:$M$108,MATCH(D1279,'Taxonomy'!$C$9:$C$108,0)),"")&lt;&gt;"Amber"),E1279="BLD-TIMBER",AND(U1279="Building equipment",OR(E1279="BLD-WATER",E1279="BLD-WASTE",E1279="BLD-LAND")),AND(U1279="Building renovation",E1279="BLD-LAND"))),"N/A","Pending"))))))</x:f>
      </x:c>
      <x:c r="Q1279" s="3" t="str">
        <x:f>IF(C1279="","",IF(AND(R1279="Valid",OR(P1279="Pass",P1279="N/A")),"Complete","Unresolved"))</x:f>
      </x:c>
      <x:c r="R1279" s="9" t="str">
        <x:f>IF(C1279="","",IF(OR(COUNTIF($C$9:$C$2008,C1279)&lt;&gt;1,COUNTIFS($D$9:$D$2008,D1279,$E$9:$E$2008,E1279)&lt;&gt;1),"Duplicate test",IF(COUNTIF('Taxonomy'!$C$9:$C$108,D1279)&lt;&gt;1,"Assessment key",IF(OR(COUNTIF('Taxonomy Rules'!$C$42:$C$68,E1279)&lt;&gt;1,F1279&lt;&gt;IFERROR(INDEX('Taxonomy Rules'!$D$42:$D$68,MATCH(E1279,'Taxonomy Rules'!$C$42:$C$68,0)),""),NOT(OR(IFERROR(INDEX('Taxonomy Rules'!$G$42:$G$68,MATCH(E1279,'Taxonomy Rules'!$C$42:$C$68,0)),"")="All supported routes",IFERROR(INDEX('Taxonomy Rules'!$G$42:$G$68,MATCH(E1279,'Taxonomy Rules'!$C$42:$C$68,0)),"")=U1279,AND(IFERROR(INDEX('Taxonomy Rules'!$G$42:$G$68,MATCH(E1279,'Taxonomy Rules'!$C$42:$C$68,0)),"")="Building routes",OR(U1279="Building renovation",U1279="New building",U1279="Building equipment"))))),"Unexpected test","Valid"))))</x:f>
      </x:c>
      <x:c r="S1279" s="9" t="str">
        <x:f>IF(C1279="","",IFERROR(INDEX('Taxonomy Rules'!$E$42:$E$68,MATCH(E1279,'Taxonomy Rules'!$C$42:$C$68,0)),""))</x:f>
      </x:c>
      <x:c r="T1279" s="9" t="str">
        <x:f>IF(C1279="","",IFERROR(INDEX('Taxonomy Rules'!$F$42:$F$68,MATCH(E1279,'Taxonomy Rules'!$C$42:$C$68,0)),""))</x:f>
      </x:c>
      <x:c r="U1279" s="9" t="str">
        <x:f>IF(C1279="","",IFERROR(INDEX('Taxonomy'!$G$9:$G$108,MATCH(D1279,'Taxonomy'!$C$9:$C$108,0)),""))</x:f>
      </x:c>
    </x:row>
    <x:row r="1280" ht="44" customHeight="1">
      <x:c r="A1280" s="1"/>
      <x:c r="B1280" s="1"/>
      <x:c r="C1280" s="8"/>
      <x:c r="D1280" s="8"/>
      <x:c r="E1280" s="8"/>
      <x:c r="F1280" s="8"/>
      <x:c r="G1280" s="8"/>
      <x:c r="H1280" s="8"/>
      <x:c r="I1280" s="8"/>
      <x:c r="J1280" s="8"/>
      <x:c r="K1280" s="8"/>
      <x:c r="L1280" s="8"/>
      <x:c r="M1280" s="10"/>
      <x:c r="N1280" s="10"/>
      <x:c r="O1280" s="8"/>
      <x:c r="P1280" s="9" t="str">
        <x:f>IF(C1280="","",IF(AND(G1280="Applicable",H1280="Fail"),"Fail",IF(R1280&lt;&gt;"Valid","Pending",IF(OR(I1280="",K1280="",L1280="",K1280=L1280,NOT(ISNUMBER(M1280)),NOT(ISNUMBER(N1280)),M1280&gt;Settings!$F$8,N1280&lt;Settings!$F$8,N1280&lt;M1280),"Pending",IF(AND(G1280="Applicable",H1280="Pass"),"Pass",IF(AND(G1280="N/A",H1280="N/A",J1280&lt;&gt;"",OR(E1280="CEM-FUELS",E1280="CEM-CCS",AND(E1280="CEM-PLAN",IFERROR(INDEX('Taxonomy'!$M$9:$M$108,MATCH(D1280,'Taxonomy'!$C$9:$C$108,0)),"")&lt;&gt;"Amber"),E1280="BLD-TIMBER",AND(U1280="Building equipment",OR(E1280="BLD-WATER",E1280="BLD-WASTE",E1280="BLD-LAND")),AND(U1280="Building renovation",E1280="BLD-LAND"))),"N/A","Pending"))))))</x:f>
      </x:c>
      <x:c r="Q1280" s="3" t="str">
        <x:f>IF(C1280="","",IF(AND(R1280="Valid",OR(P1280="Pass",P1280="N/A")),"Complete","Unresolved"))</x:f>
      </x:c>
      <x:c r="R1280" s="9" t="str">
        <x:f>IF(C1280="","",IF(OR(COUNTIF($C$9:$C$2008,C1280)&lt;&gt;1,COUNTIFS($D$9:$D$2008,D1280,$E$9:$E$2008,E1280)&lt;&gt;1),"Duplicate test",IF(COUNTIF('Taxonomy'!$C$9:$C$108,D1280)&lt;&gt;1,"Assessment key",IF(OR(COUNTIF('Taxonomy Rules'!$C$42:$C$68,E1280)&lt;&gt;1,F1280&lt;&gt;IFERROR(INDEX('Taxonomy Rules'!$D$42:$D$68,MATCH(E1280,'Taxonomy Rules'!$C$42:$C$68,0)),""),NOT(OR(IFERROR(INDEX('Taxonomy Rules'!$G$42:$G$68,MATCH(E1280,'Taxonomy Rules'!$C$42:$C$68,0)),"")="All supported routes",IFERROR(INDEX('Taxonomy Rules'!$G$42:$G$68,MATCH(E1280,'Taxonomy Rules'!$C$42:$C$68,0)),"")=U1280,AND(IFERROR(INDEX('Taxonomy Rules'!$G$42:$G$68,MATCH(E1280,'Taxonomy Rules'!$C$42:$C$68,0)),"")="Building routes",OR(U1280="Building renovation",U1280="New building",U1280="Building equipment"))))),"Unexpected test","Valid"))))</x:f>
      </x:c>
      <x:c r="S1280" s="9" t="str">
        <x:f>IF(C1280="","",IFERROR(INDEX('Taxonomy Rules'!$E$42:$E$68,MATCH(E1280,'Taxonomy Rules'!$C$42:$C$68,0)),""))</x:f>
      </x:c>
      <x:c r="T1280" s="9" t="str">
        <x:f>IF(C1280="","",IFERROR(INDEX('Taxonomy Rules'!$F$42:$F$68,MATCH(E1280,'Taxonomy Rules'!$C$42:$C$68,0)),""))</x:f>
      </x:c>
      <x:c r="U1280" s="9" t="str">
        <x:f>IF(C1280="","",IFERROR(INDEX('Taxonomy'!$G$9:$G$108,MATCH(D1280,'Taxonomy'!$C$9:$C$108,0)),""))</x:f>
      </x:c>
    </x:row>
    <x:row r="1281" ht="44" customHeight="1">
      <x:c r="A1281" s="1"/>
      <x:c r="B1281" s="1"/>
      <x:c r="C1281" s="8"/>
      <x:c r="D1281" s="8"/>
      <x:c r="E1281" s="8"/>
      <x:c r="F1281" s="8"/>
      <x:c r="G1281" s="8"/>
      <x:c r="H1281" s="8"/>
      <x:c r="I1281" s="8"/>
      <x:c r="J1281" s="8"/>
      <x:c r="K1281" s="8"/>
      <x:c r="L1281" s="8"/>
      <x:c r="M1281" s="10"/>
      <x:c r="N1281" s="10"/>
      <x:c r="O1281" s="8"/>
      <x:c r="P1281" s="9" t="str">
        <x:f>IF(C1281="","",IF(AND(G1281="Applicable",H1281="Fail"),"Fail",IF(R1281&lt;&gt;"Valid","Pending",IF(OR(I1281="",K1281="",L1281="",K1281=L1281,NOT(ISNUMBER(M1281)),NOT(ISNUMBER(N1281)),M1281&gt;Settings!$F$8,N1281&lt;Settings!$F$8,N1281&lt;M1281),"Pending",IF(AND(G1281="Applicable",H1281="Pass"),"Pass",IF(AND(G1281="N/A",H1281="N/A",J1281&lt;&gt;"",OR(E1281="CEM-FUELS",E1281="CEM-CCS",AND(E1281="CEM-PLAN",IFERROR(INDEX('Taxonomy'!$M$9:$M$108,MATCH(D1281,'Taxonomy'!$C$9:$C$108,0)),"")&lt;&gt;"Amber"),E1281="BLD-TIMBER",AND(U1281="Building equipment",OR(E1281="BLD-WATER",E1281="BLD-WASTE",E1281="BLD-LAND")),AND(U1281="Building renovation",E1281="BLD-LAND"))),"N/A","Pending"))))))</x:f>
      </x:c>
      <x:c r="Q1281" s="3" t="str">
        <x:f>IF(C1281="","",IF(AND(R1281="Valid",OR(P1281="Pass",P1281="N/A")),"Complete","Unresolved"))</x:f>
      </x:c>
      <x:c r="R1281" s="9" t="str">
        <x:f>IF(C1281="","",IF(OR(COUNTIF($C$9:$C$2008,C1281)&lt;&gt;1,COUNTIFS($D$9:$D$2008,D1281,$E$9:$E$2008,E1281)&lt;&gt;1),"Duplicate test",IF(COUNTIF('Taxonomy'!$C$9:$C$108,D1281)&lt;&gt;1,"Assessment key",IF(OR(COUNTIF('Taxonomy Rules'!$C$42:$C$68,E1281)&lt;&gt;1,F1281&lt;&gt;IFERROR(INDEX('Taxonomy Rules'!$D$42:$D$68,MATCH(E1281,'Taxonomy Rules'!$C$42:$C$68,0)),""),NOT(OR(IFERROR(INDEX('Taxonomy Rules'!$G$42:$G$68,MATCH(E1281,'Taxonomy Rules'!$C$42:$C$68,0)),"")="All supported routes",IFERROR(INDEX('Taxonomy Rules'!$G$42:$G$68,MATCH(E1281,'Taxonomy Rules'!$C$42:$C$68,0)),"")=U1281,AND(IFERROR(INDEX('Taxonomy Rules'!$G$42:$G$68,MATCH(E1281,'Taxonomy Rules'!$C$42:$C$68,0)),"")="Building routes",OR(U1281="Building renovation",U1281="New building",U1281="Building equipment"))))),"Unexpected test","Valid"))))</x:f>
      </x:c>
      <x:c r="S1281" s="9" t="str">
        <x:f>IF(C1281="","",IFERROR(INDEX('Taxonomy Rules'!$E$42:$E$68,MATCH(E1281,'Taxonomy Rules'!$C$42:$C$68,0)),""))</x:f>
      </x:c>
      <x:c r="T1281" s="9" t="str">
        <x:f>IF(C1281="","",IFERROR(INDEX('Taxonomy Rules'!$F$42:$F$68,MATCH(E1281,'Taxonomy Rules'!$C$42:$C$68,0)),""))</x:f>
      </x:c>
      <x:c r="U1281" s="9" t="str">
        <x:f>IF(C1281="","",IFERROR(INDEX('Taxonomy'!$G$9:$G$108,MATCH(D1281,'Taxonomy'!$C$9:$C$108,0)),""))</x:f>
      </x:c>
    </x:row>
    <x:row r="1282" ht="44" customHeight="1">
      <x:c r="A1282" s="1"/>
      <x:c r="B1282" s="1"/>
      <x:c r="C1282" s="8"/>
      <x:c r="D1282" s="8"/>
      <x:c r="E1282" s="8"/>
      <x:c r="F1282" s="8"/>
      <x:c r="G1282" s="8"/>
      <x:c r="H1282" s="8"/>
      <x:c r="I1282" s="8"/>
      <x:c r="J1282" s="8"/>
      <x:c r="K1282" s="8"/>
      <x:c r="L1282" s="8"/>
      <x:c r="M1282" s="10"/>
      <x:c r="N1282" s="10"/>
      <x:c r="O1282" s="8"/>
      <x:c r="P1282" s="9" t="str">
        <x:f>IF(C1282="","",IF(AND(G1282="Applicable",H1282="Fail"),"Fail",IF(R1282&lt;&gt;"Valid","Pending",IF(OR(I1282="",K1282="",L1282="",K1282=L1282,NOT(ISNUMBER(M1282)),NOT(ISNUMBER(N1282)),M1282&gt;Settings!$F$8,N1282&lt;Settings!$F$8,N1282&lt;M1282),"Pending",IF(AND(G1282="Applicable",H1282="Pass"),"Pass",IF(AND(G1282="N/A",H1282="N/A",J1282&lt;&gt;"",OR(E1282="CEM-FUELS",E1282="CEM-CCS",AND(E1282="CEM-PLAN",IFERROR(INDEX('Taxonomy'!$M$9:$M$108,MATCH(D1282,'Taxonomy'!$C$9:$C$108,0)),"")&lt;&gt;"Amber"),E1282="BLD-TIMBER",AND(U1282="Building equipment",OR(E1282="BLD-WATER",E1282="BLD-WASTE",E1282="BLD-LAND")),AND(U1282="Building renovation",E1282="BLD-LAND"))),"N/A","Pending"))))))</x:f>
      </x:c>
      <x:c r="Q1282" s="3" t="str">
        <x:f>IF(C1282="","",IF(AND(R1282="Valid",OR(P1282="Pass",P1282="N/A")),"Complete","Unresolved"))</x:f>
      </x:c>
      <x:c r="R1282" s="9" t="str">
        <x:f>IF(C1282="","",IF(OR(COUNTIF($C$9:$C$2008,C1282)&lt;&gt;1,COUNTIFS($D$9:$D$2008,D1282,$E$9:$E$2008,E1282)&lt;&gt;1),"Duplicate test",IF(COUNTIF('Taxonomy'!$C$9:$C$108,D1282)&lt;&gt;1,"Assessment key",IF(OR(COUNTIF('Taxonomy Rules'!$C$42:$C$68,E1282)&lt;&gt;1,F1282&lt;&gt;IFERROR(INDEX('Taxonomy Rules'!$D$42:$D$68,MATCH(E1282,'Taxonomy Rules'!$C$42:$C$68,0)),""),NOT(OR(IFERROR(INDEX('Taxonomy Rules'!$G$42:$G$68,MATCH(E1282,'Taxonomy Rules'!$C$42:$C$68,0)),"")="All supported routes",IFERROR(INDEX('Taxonomy Rules'!$G$42:$G$68,MATCH(E1282,'Taxonomy Rules'!$C$42:$C$68,0)),"")=U1282,AND(IFERROR(INDEX('Taxonomy Rules'!$G$42:$G$68,MATCH(E1282,'Taxonomy Rules'!$C$42:$C$68,0)),"")="Building routes",OR(U1282="Building renovation",U1282="New building",U1282="Building equipment"))))),"Unexpected test","Valid"))))</x:f>
      </x:c>
      <x:c r="S1282" s="9" t="str">
        <x:f>IF(C1282="","",IFERROR(INDEX('Taxonomy Rules'!$E$42:$E$68,MATCH(E1282,'Taxonomy Rules'!$C$42:$C$68,0)),""))</x:f>
      </x:c>
      <x:c r="T1282" s="9" t="str">
        <x:f>IF(C1282="","",IFERROR(INDEX('Taxonomy Rules'!$F$42:$F$68,MATCH(E1282,'Taxonomy Rules'!$C$42:$C$68,0)),""))</x:f>
      </x:c>
      <x:c r="U1282" s="9" t="str">
        <x:f>IF(C1282="","",IFERROR(INDEX('Taxonomy'!$G$9:$G$108,MATCH(D1282,'Taxonomy'!$C$9:$C$108,0)),""))</x:f>
      </x:c>
    </x:row>
    <x:row r="1283" ht="44" customHeight="1">
      <x:c r="A1283" s="1"/>
      <x:c r="B1283" s="1"/>
      <x:c r="C1283" s="8"/>
      <x:c r="D1283" s="8"/>
      <x:c r="E1283" s="8"/>
      <x:c r="F1283" s="8"/>
      <x:c r="G1283" s="8"/>
      <x:c r="H1283" s="8"/>
      <x:c r="I1283" s="8"/>
      <x:c r="J1283" s="8"/>
      <x:c r="K1283" s="8"/>
      <x:c r="L1283" s="8"/>
      <x:c r="M1283" s="10"/>
      <x:c r="N1283" s="10"/>
      <x:c r="O1283" s="8"/>
      <x:c r="P1283" s="9" t="str">
        <x:f>IF(C1283="","",IF(AND(G1283="Applicable",H1283="Fail"),"Fail",IF(R1283&lt;&gt;"Valid","Pending",IF(OR(I1283="",K1283="",L1283="",K1283=L1283,NOT(ISNUMBER(M1283)),NOT(ISNUMBER(N1283)),M1283&gt;Settings!$F$8,N1283&lt;Settings!$F$8,N1283&lt;M1283),"Pending",IF(AND(G1283="Applicable",H1283="Pass"),"Pass",IF(AND(G1283="N/A",H1283="N/A",J1283&lt;&gt;"",OR(E1283="CEM-FUELS",E1283="CEM-CCS",AND(E1283="CEM-PLAN",IFERROR(INDEX('Taxonomy'!$M$9:$M$108,MATCH(D1283,'Taxonomy'!$C$9:$C$108,0)),"")&lt;&gt;"Amber"),E1283="BLD-TIMBER",AND(U1283="Building equipment",OR(E1283="BLD-WATER",E1283="BLD-WASTE",E1283="BLD-LAND")),AND(U1283="Building renovation",E1283="BLD-LAND"))),"N/A","Pending"))))))</x:f>
      </x:c>
      <x:c r="Q1283" s="3" t="str">
        <x:f>IF(C1283="","",IF(AND(R1283="Valid",OR(P1283="Pass",P1283="N/A")),"Complete","Unresolved"))</x:f>
      </x:c>
      <x:c r="R1283" s="9" t="str">
        <x:f>IF(C1283="","",IF(OR(COUNTIF($C$9:$C$2008,C1283)&lt;&gt;1,COUNTIFS($D$9:$D$2008,D1283,$E$9:$E$2008,E1283)&lt;&gt;1),"Duplicate test",IF(COUNTIF('Taxonomy'!$C$9:$C$108,D1283)&lt;&gt;1,"Assessment key",IF(OR(COUNTIF('Taxonomy Rules'!$C$42:$C$68,E1283)&lt;&gt;1,F1283&lt;&gt;IFERROR(INDEX('Taxonomy Rules'!$D$42:$D$68,MATCH(E1283,'Taxonomy Rules'!$C$42:$C$68,0)),""),NOT(OR(IFERROR(INDEX('Taxonomy Rules'!$G$42:$G$68,MATCH(E1283,'Taxonomy Rules'!$C$42:$C$68,0)),"")="All supported routes",IFERROR(INDEX('Taxonomy Rules'!$G$42:$G$68,MATCH(E1283,'Taxonomy Rules'!$C$42:$C$68,0)),"")=U1283,AND(IFERROR(INDEX('Taxonomy Rules'!$G$42:$G$68,MATCH(E1283,'Taxonomy Rules'!$C$42:$C$68,0)),"")="Building routes",OR(U1283="Building renovation",U1283="New building",U1283="Building equipment"))))),"Unexpected test","Valid"))))</x:f>
      </x:c>
      <x:c r="S1283" s="9" t="str">
        <x:f>IF(C1283="","",IFERROR(INDEX('Taxonomy Rules'!$E$42:$E$68,MATCH(E1283,'Taxonomy Rules'!$C$42:$C$68,0)),""))</x:f>
      </x:c>
      <x:c r="T1283" s="9" t="str">
        <x:f>IF(C1283="","",IFERROR(INDEX('Taxonomy Rules'!$F$42:$F$68,MATCH(E1283,'Taxonomy Rules'!$C$42:$C$68,0)),""))</x:f>
      </x:c>
      <x:c r="U1283" s="9" t="str">
        <x:f>IF(C1283="","",IFERROR(INDEX('Taxonomy'!$G$9:$G$108,MATCH(D1283,'Taxonomy'!$C$9:$C$108,0)),""))</x:f>
      </x:c>
    </x:row>
    <x:row r="1284" ht="44" customHeight="1">
      <x:c r="A1284" s="1"/>
      <x:c r="B1284" s="1"/>
      <x:c r="C1284" s="8"/>
      <x:c r="D1284" s="8"/>
      <x:c r="E1284" s="8"/>
      <x:c r="F1284" s="8"/>
      <x:c r="G1284" s="8"/>
      <x:c r="H1284" s="8"/>
      <x:c r="I1284" s="8"/>
      <x:c r="J1284" s="8"/>
      <x:c r="K1284" s="8"/>
      <x:c r="L1284" s="8"/>
      <x:c r="M1284" s="10"/>
      <x:c r="N1284" s="10"/>
      <x:c r="O1284" s="8"/>
      <x:c r="P1284" s="9" t="str">
        <x:f>IF(C1284="","",IF(AND(G1284="Applicable",H1284="Fail"),"Fail",IF(R1284&lt;&gt;"Valid","Pending",IF(OR(I1284="",K1284="",L1284="",K1284=L1284,NOT(ISNUMBER(M1284)),NOT(ISNUMBER(N1284)),M1284&gt;Settings!$F$8,N1284&lt;Settings!$F$8,N1284&lt;M1284),"Pending",IF(AND(G1284="Applicable",H1284="Pass"),"Pass",IF(AND(G1284="N/A",H1284="N/A",J1284&lt;&gt;"",OR(E1284="CEM-FUELS",E1284="CEM-CCS",AND(E1284="CEM-PLAN",IFERROR(INDEX('Taxonomy'!$M$9:$M$108,MATCH(D1284,'Taxonomy'!$C$9:$C$108,0)),"")&lt;&gt;"Amber"),E1284="BLD-TIMBER",AND(U1284="Building equipment",OR(E1284="BLD-WATER",E1284="BLD-WASTE",E1284="BLD-LAND")),AND(U1284="Building renovation",E1284="BLD-LAND"))),"N/A","Pending"))))))</x:f>
      </x:c>
      <x:c r="Q1284" s="3" t="str">
        <x:f>IF(C1284="","",IF(AND(R1284="Valid",OR(P1284="Pass",P1284="N/A")),"Complete","Unresolved"))</x:f>
      </x:c>
      <x:c r="R1284" s="9" t="str">
        <x:f>IF(C1284="","",IF(OR(COUNTIF($C$9:$C$2008,C1284)&lt;&gt;1,COUNTIFS($D$9:$D$2008,D1284,$E$9:$E$2008,E1284)&lt;&gt;1),"Duplicate test",IF(COUNTIF('Taxonomy'!$C$9:$C$108,D1284)&lt;&gt;1,"Assessment key",IF(OR(COUNTIF('Taxonomy Rules'!$C$42:$C$68,E1284)&lt;&gt;1,F1284&lt;&gt;IFERROR(INDEX('Taxonomy Rules'!$D$42:$D$68,MATCH(E1284,'Taxonomy Rules'!$C$42:$C$68,0)),""),NOT(OR(IFERROR(INDEX('Taxonomy Rules'!$G$42:$G$68,MATCH(E1284,'Taxonomy Rules'!$C$42:$C$68,0)),"")="All supported routes",IFERROR(INDEX('Taxonomy Rules'!$G$42:$G$68,MATCH(E1284,'Taxonomy Rules'!$C$42:$C$68,0)),"")=U1284,AND(IFERROR(INDEX('Taxonomy Rules'!$G$42:$G$68,MATCH(E1284,'Taxonomy Rules'!$C$42:$C$68,0)),"")="Building routes",OR(U1284="Building renovation",U1284="New building",U1284="Building equipment"))))),"Unexpected test","Valid"))))</x:f>
      </x:c>
      <x:c r="S1284" s="9" t="str">
        <x:f>IF(C1284="","",IFERROR(INDEX('Taxonomy Rules'!$E$42:$E$68,MATCH(E1284,'Taxonomy Rules'!$C$42:$C$68,0)),""))</x:f>
      </x:c>
      <x:c r="T1284" s="9" t="str">
        <x:f>IF(C1284="","",IFERROR(INDEX('Taxonomy Rules'!$F$42:$F$68,MATCH(E1284,'Taxonomy Rules'!$C$42:$C$68,0)),""))</x:f>
      </x:c>
      <x:c r="U1284" s="9" t="str">
        <x:f>IF(C1284="","",IFERROR(INDEX('Taxonomy'!$G$9:$G$108,MATCH(D1284,'Taxonomy'!$C$9:$C$108,0)),""))</x:f>
      </x:c>
    </x:row>
    <x:row r="1285" ht="44" customHeight="1">
      <x:c r="A1285" s="1"/>
      <x:c r="B1285" s="1"/>
      <x:c r="C1285" s="8"/>
      <x:c r="D1285" s="8"/>
      <x:c r="E1285" s="8"/>
      <x:c r="F1285" s="8"/>
      <x:c r="G1285" s="8"/>
      <x:c r="H1285" s="8"/>
      <x:c r="I1285" s="8"/>
      <x:c r="J1285" s="8"/>
      <x:c r="K1285" s="8"/>
      <x:c r="L1285" s="8"/>
      <x:c r="M1285" s="10"/>
      <x:c r="N1285" s="10"/>
      <x:c r="O1285" s="8"/>
      <x:c r="P1285" s="9" t="str">
        <x:f>IF(C1285="","",IF(AND(G1285="Applicable",H1285="Fail"),"Fail",IF(R1285&lt;&gt;"Valid","Pending",IF(OR(I1285="",K1285="",L1285="",K1285=L1285,NOT(ISNUMBER(M1285)),NOT(ISNUMBER(N1285)),M1285&gt;Settings!$F$8,N1285&lt;Settings!$F$8,N1285&lt;M1285),"Pending",IF(AND(G1285="Applicable",H1285="Pass"),"Pass",IF(AND(G1285="N/A",H1285="N/A",J1285&lt;&gt;"",OR(E1285="CEM-FUELS",E1285="CEM-CCS",AND(E1285="CEM-PLAN",IFERROR(INDEX('Taxonomy'!$M$9:$M$108,MATCH(D1285,'Taxonomy'!$C$9:$C$108,0)),"")&lt;&gt;"Amber"),E1285="BLD-TIMBER",AND(U1285="Building equipment",OR(E1285="BLD-WATER",E1285="BLD-WASTE",E1285="BLD-LAND")),AND(U1285="Building renovation",E1285="BLD-LAND"))),"N/A","Pending"))))))</x:f>
      </x:c>
      <x:c r="Q1285" s="3" t="str">
        <x:f>IF(C1285="","",IF(AND(R1285="Valid",OR(P1285="Pass",P1285="N/A")),"Complete","Unresolved"))</x:f>
      </x:c>
      <x:c r="R1285" s="9" t="str">
        <x:f>IF(C1285="","",IF(OR(COUNTIF($C$9:$C$2008,C1285)&lt;&gt;1,COUNTIFS($D$9:$D$2008,D1285,$E$9:$E$2008,E1285)&lt;&gt;1),"Duplicate test",IF(COUNTIF('Taxonomy'!$C$9:$C$108,D1285)&lt;&gt;1,"Assessment key",IF(OR(COUNTIF('Taxonomy Rules'!$C$42:$C$68,E1285)&lt;&gt;1,F1285&lt;&gt;IFERROR(INDEX('Taxonomy Rules'!$D$42:$D$68,MATCH(E1285,'Taxonomy Rules'!$C$42:$C$68,0)),""),NOT(OR(IFERROR(INDEX('Taxonomy Rules'!$G$42:$G$68,MATCH(E1285,'Taxonomy Rules'!$C$42:$C$68,0)),"")="All supported routes",IFERROR(INDEX('Taxonomy Rules'!$G$42:$G$68,MATCH(E1285,'Taxonomy Rules'!$C$42:$C$68,0)),"")=U1285,AND(IFERROR(INDEX('Taxonomy Rules'!$G$42:$G$68,MATCH(E1285,'Taxonomy Rules'!$C$42:$C$68,0)),"")="Building routes",OR(U1285="Building renovation",U1285="New building",U1285="Building equipment"))))),"Unexpected test","Valid"))))</x:f>
      </x:c>
      <x:c r="S1285" s="9" t="str">
        <x:f>IF(C1285="","",IFERROR(INDEX('Taxonomy Rules'!$E$42:$E$68,MATCH(E1285,'Taxonomy Rules'!$C$42:$C$68,0)),""))</x:f>
      </x:c>
      <x:c r="T1285" s="9" t="str">
        <x:f>IF(C1285="","",IFERROR(INDEX('Taxonomy Rules'!$F$42:$F$68,MATCH(E1285,'Taxonomy Rules'!$C$42:$C$68,0)),""))</x:f>
      </x:c>
      <x:c r="U1285" s="9" t="str">
        <x:f>IF(C1285="","",IFERROR(INDEX('Taxonomy'!$G$9:$G$108,MATCH(D1285,'Taxonomy'!$C$9:$C$108,0)),""))</x:f>
      </x:c>
    </x:row>
    <x:row r="1286" ht="44" customHeight="1">
      <x:c r="A1286" s="1"/>
      <x:c r="B1286" s="1"/>
      <x:c r="C1286" s="8"/>
      <x:c r="D1286" s="8"/>
      <x:c r="E1286" s="8"/>
      <x:c r="F1286" s="8"/>
      <x:c r="G1286" s="8"/>
      <x:c r="H1286" s="8"/>
      <x:c r="I1286" s="8"/>
      <x:c r="J1286" s="8"/>
      <x:c r="K1286" s="8"/>
      <x:c r="L1286" s="8"/>
      <x:c r="M1286" s="10"/>
      <x:c r="N1286" s="10"/>
      <x:c r="O1286" s="8"/>
      <x:c r="P1286" s="9" t="str">
        <x:f>IF(C1286="","",IF(AND(G1286="Applicable",H1286="Fail"),"Fail",IF(R1286&lt;&gt;"Valid","Pending",IF(OR(I1286="",K1286="",L1286="",K1286=L1286,NOT(ISNUMBER(M1286)),NOT(ISNUMBER(N1286)),M1286&gt;Settings!$F$8,N1286&lt;Settings!$F$8,N1286&lt;M1286),"Pending",IF(AND(G1286="Applicable",H1286="Pass"),"Pass",IF(AND(G1286="N/A",H1286="N/A",J1286&lt;&gt;"",OR(E1286="CEM-FUELS",E1286="CEM-CCS",AND(E1286="CEM-PLAN",IFERROR(INDEX('Taxonomy'!$M$9:$M$108,MATCH(D1286,'Taxonomy'!$C$9:$C$108,0)),"")&lt;&gt;"Amber"),E1286="BLD-TIMBER",AND(U1286="Building equipment",OR(E1286="BLD-WATER",E1286="BLD-WASTE",E1286="BLD-LAND")),AND(U1286="Building renovation",E1286="BLD-LAND"))),"N/A","Pending"))))))</x:f>
      </x:c>
      <x:c r="Q1286" s="3" t="str">
        <x:f>IF(C1286="","",IF(AND(R1286="Valid",OR(P1286="Pass",P1286="N/A")),"Complete","Unresolved"))</x:f>
      </x:c>
      <x:c r="R1286" s="9" t="str">
        <x:f>IF(C1286="","",IF(OR(COUNTIF($C$9:$C$2008,C1286)&lt;&gt;1,COUNTIFS($D$9:$D$2008,D1286,$E$9:$E$2008,E1286)&lt;&gt;1),"Duplicate test",IF(COUNTIF('Taxonomy'!$C$9:$C$108,D1286)&lt;&gt;1,"Assessment key",IF(OR(COUNTIF('Taxonomy Rules'!$C$42:$C$68,E1286)&lt;&gt;1,F1286&lt;&gt;IFERROR(INDEX('Taxonomy Rules'!$D$42:$D$68,MATCH(E1286,'Taxonomy Rules'!$C$42:$C$68,0)),""),NOT(OR(IFERROR(INDEX('Taxonomy Rules'!$G$42:$G$68,MATCH(E1286,'Taxonomy Rules'!$C$42:$C$68,0)),"")="All supported routes",IFERROR(INDEX('Taxonomy Rules'!$G$42:$G$68,MATCH(E1286,'Taxonomy Rules'!$C$42:$C$68,0)),"")=U1286,AND(IFERROR(INDEX('Taxonomy Rules'!$G$42:$G$68,MATCH(E1286,'Taxonomy Rules'!$C$42:$C$68,0)),"")="Building routes",OR(U1286="Building renovation",U1286="New building",U1286="Building equipment"))))),"Unexpected test","Valid"))))</x:f>
      </x:c>
      <x:c r="S1286" s="9" t="str">
        <x:f>IF(C1286="","",IFERROR(INDEX('Taxonomy Rules'!$E$42:$E$68,MATCH(E1286,'Taxonomy Rules'!$C$42:$C$68,0)),""))</x:f>
      </x:c>
      <x:c r="T1286" s="9" t="str">
        <x:f>IF(C1286="","",IFERROR(INDEX('Taxonomy Rules'!$F$42:$F$68,MATCH(E1286,'Taxonomy Rules'!$C$42:$C$68,0)),""))</x:f>
      </x:c>
      <x:c r="U1286" s="9" t="str">
        <x:f>IF(C1286="","",IFERROR(INDEX('Taxonomy'!$G$9:$G$108,MATCH(D1286,'Taxonomy'!$C$9:$C$108,0)),""))</x:f>
      </x:c>
    </x:row>
    <x:row r="1287" ht="44" customHeight="1">
      <x:c r="A1287" s="1"/>
      <x:c r="B1287" s="1"/>
      <x:c r="C1287" s="8"/>
      <x:c r="D1287" s="8"/>
      <x:c r="E1287" s="8"/>
      <x:c r="F1287" s="8"/>
      <x:c r="G1287" s="8"/>
      <x:c r="H1287" s="8"/>
      <x:c r="I1287" s="8"/>
      <x:c r="J1287" s="8"/>
      <x:c r="K1287" s="8"/>
      <x:c r="L1287" s="8"/>
      <x:c r="M1287" s="10"/>
      <x:c r="N1287" s="10"/>
      <x:c r="O1287" s="8"/>
      <x:c r="P1287" s="9" t="str">
        <x:f>IF(C1287="","",IF(AND(G1287="Applicable",H1287="Fail"),"Fail",IF(R1287&lt;&gt;"Valid","Pending",IF(OR(I1287="",K1287="",L1287="",K1287=L1287,NOT(ISNUMBER(M1287)),NOT(ISNUMBER(N1287)),M1287&gt;Settings!$F$8,N1287&lt;Settings!$F$8,N1287&lt;M1287),"Pending",IF(AND(G1287="Applicable",H1287="Pass"),"Pass",IF(AND(G1287="N/A",H1287="N/A",J1287&lt;&gt;"",OR(E1287="CEM-FUELS",E1287="CEM-CCS",AND(E1287="CEM-PLAN",IFERROR(INDEX('Taxonomy'!$M$9:$M$108,MATCH(D1287,'Taxonomy'!$C$9:$C$108,0)),"")&lt;&gt;"Amber"),E1287="BLD-TIMBER",AND(U1287="Building equipment",OR(E1287="BLD-WATER",E1287="BLD-WASTE",E1287="BLD-LAND")),AND(U1287="Building renovation",E1287="BLD-LAND"))),"N/A","Pending"))))))</x:f>
      </x:c>
      <x:c r="Q1287" s="3" t="str">
        <x:f>IF(C1287="","",IF(AND(R1287="Valid",OR(P1287="Pass",P1287="N/A")),"Complete","Unresolved"))</x:f>
      </x:c>
      <x:c r="R1287" s="9" t="str">
        <x:f>IF(C1287="","",IF(OR(COUNTIF($C$9:$C$2008,C1287)&lt;&gt;1,COUNTIFS($D$9:$D$2008,D1287,$E$9:$E$2008,E1287)&lt;&gt;1),"Duplicate test",IF(COUNTIF('Taxonomy'!$C$9:$C$108,D1287)&lt;&gt;1,"Assessment key",IF(OR(COUNTIF('Taxonomy Rules'!$C$42:$C$68,E1287)&lt;&gt;1,F1287&lt;&gt;IFERROR(INDEX('Taxonomy Rules'!$D$42:$D$68,MATCH(E1287,'Taxonomy Rules'!$C$42:$C$68,0)),""),NOT(OR(IFERROR(INDEX('Taxonomy Rules'!$G$42:$G$68,MATCH(E1287,'Taxonomy Rules'!$C$42:$C$68,0)),"")="All supported routes",IFERROR(INDEX('Taxonomy Rules'!$G$42:$G$68,MATCH(E1287,'Taxonomy Rules'!$C$42:$C$68,0)),"")=U1287,AND(IFERROR(INDEX('Taxonomy Rules'!$G$42:$G$68,MATCH(E1287,'Taxonomy Rules'!$C$42:$C$68,0)),"")="Building routes",OR(U1287="Building renovation",U1287="New building",U1287="Building equipment"))))),"Unexpected test","Valid"))))</x:f>
      </x:c>
      <x:c r="S1287" s="9" t="str">
        <x:f>IF(C1287="","",IFERROR(INDEX('Taxonomy Rules'!$E$42:$E$68,MATCH(E1287,'Taxonomy Rules'!$C$42:$C$68,0)),""))</x:f>
      </x:c>
      <x:c r="T1287" s="9" t="str">
        <x:f>IF(C1287="","",IFERROR(INDEX('Taxonomy Rules'!$F$42:$F$68,MATCH(E1287,'Taxonomy Rules'!$C$42:$C$68,0)),""))</x:f>
      </x:c>
      <x:c r="U1287" s="9" t="str">
        <x:f>IF(C1287="","",IFERROR(INDEX('Taxonomy'!$G$9:$G$108,MATCH(D1287,'Taxonomy'!$C$9:$C$108,0)),""))</x:f>
      </x:c>
    </x:row>
    <x:row r="1288" ht="44" customHeight="1">
      <x:c r="A1288" s="1"/>
      <x:c r="B1288" s="1"/>
      <x:c r="C1288" s="8"/>
      <x:c r="D1288" s="8"/>
      <x:c r="E1288" s="8"/>
      <x:c r="F1288" s="8"/>
      <x:c r="G1288" s="8"/>
      <x:c r="H1288" s="8"/>
      <x:c r="I1288" s="8"/>
      <x:c r="J1288" s="8"/>
      <x:c r="K1288" s="8"/>
      <x:c r="L1288" s="8"/>
      <x:c r="M1288" s="10"/>
      <x:c r="N1288" s="10"/>
      <x:c r="O1288" s="8"/>
      <x:c r="P1288" s="9" t="str">
        <x:f>IF(C1288="","",IF(AND(G1288="Applicable",H1288="Fail"),"Fail",IF(R1288&lt;&gt;"Valid","Pending",IF(OR(I1288="",K1288="",L1288="",K1288=L1288,NOT(ISNUMBER(M1288)),NOT(ISNUMBER(N1288)),M1288&gt;Settings!$F$8,N1288&lt;Settings!$F$8,N1288&lt;M1288),"Pending",IF(AND(G1288="Applicable",H1288="Pass"),"Pass",IF(AND(G1288="N/A",H1288="N/A",J1288&lt;&gt;"",OR(E1288="CEM-FUELS",E1288="CEM-CCS",AND(E1288="CEM-PLAN",IFERROR(INDEX('Taxonomy'!$M$9:$M$108,MATCH(D1288,'Taxonomy'!$C$9:$C$108,0)),"")&lt;&gt;"Amber"),E1288="BLD-TIMBER",AND(U1288="Building equipment",OR(E1288="BLD-WATER",E1288="BLD-WASTE",E1288="BLD-LAND")),AND(U1288="Building renovation",E1288="BLD-LAND"))),"N/A","Pending"))))))</x:f>
      </x:c>
      <x:c r="Q1288" s="3" t="str">
        <x:f>IF(C1288="","",IF(AND(R1288="Valid",OR(P1288="Pass",P1288="N/A")),"Complete","Unresolved"))</x:f>
      </x:c>
      <x:c r="R1288" s="9" t="str">
        <x:f>IF(C1288="","",IF(OR(COUNTIF($C$9:$C$2008,C1288)&lt;&gt;1,COUNTIFS($D$9:$D$2008,D1288,$E$9:$E$2008,E1288)&lt;&gt;1),"Duplicate test",IF(COUNTIF('Taxonomy'!$C$9:$C$108,D1288)&lt;&gt;1,"Assessment key",IF(OR(COUNTIF('Taxonomy Rules'!$C$42:$C$68,E1288)&lt;&gt;1,F1288&lt;&gt;IFERROR(INDEX('Taxonomy Rules'!$D$42:$D$68,MATCH(E1288,'Taxonomy Rules'!$C$42:$C$68,0)),""),NOT(OR(IFERROR(INDEX('Taxonomy Rules'!$G$42:$G$68,MATCH(E1288,'Taxonomy Rules'!$C$42:$C$68,0)),"")="All supported routes",IFERROR(INDEX('Taxonomy Rules'!$G$42:$G$68,MATCH(E1288,'Taxonomy Rules'!$C$42:$C$68,0)),"")=U1288,AND(IFERROR(INDEX('Taxonomy Rules'!$G$42:$G$68,MATCH(E1288,'Taxonomy Rules'!$C$42:$C$68,0)),"")="Building routes",OR(U1288="Building renovation",U1288="New building",U1288="Building equipment"))))),"Unexpected test","Valid"))))</x:f>
      </x:c>
      <x:c r="S1288" s="9" t="str">
        <x:f>IF(C1288="","",IFERROR(INDEX('Taxonomy Rules'!$E$42:$E$68,MATCH(E1288,'Taxonomy Rules'!$C$42:$C$68,0)),""))</x:f>
      </x:c>
      <x:c r="T1288" s="9" t="str">
        <x:f>IF(C1288="","",IFERROR(INDEX('Taxonomy Rules'!$F$42:$F$68,MATCH(E1288,'Taxonomy Rules'!$C$42:$C$68,0)),""))</x:f>
      </x:c>
      <x:c r="U1288" s="9" t="str">
        <x:f>IF(C1288="","",IFERROR(INDEX('Taxonomy'!$G$9:$G$108,MATCH(D1288,'Taxonomy'!$C$9:$C$108,0)),""))</x:f>
      </x:c>
    </x:row>
    <x:row r="1289" ht="44" customHeight="1">
      <x:c r="A1289" s="1"/>
      <x:c r="B1289" s="1"/>
      <x:c r="C1289" s="8"/>
      <x:c r="D1289" s="8"/>
      <x:c r="E1289" s="8"/>
      <x:c r="F1289" s="8"/>
      <x:c r="G1289" s="8"/>
      <x:c r="H1289" s="8"/>
      <x:c r="I1289" s="8"/>
      <x:c r="J1289" s="8"/>
      <x:c r="K1289" s="8"/>
      <x:c r="L1289" s="8"/>
      <x:c r="M1289" s="10"/>
      <x:c r="N1289" s="10"/>
      <x:c r="O1289" s="8"/>
      <x:c r="P1289" s="9" t="str">
        <x:f>IF(C1289="","",IF(AND(G1289="Applicable",H1289="Fail"),"Fail",IF(R1289&lt;&gt;"Valid","Pending",IF(OR(I1289="",K1289="",L1289="",K1289=L1289,NOT(ISNUMBER(M1289)),NOT(ISNUMBER(N1289)),M1289&gt;Settings!$F$8,N1289&lt;Settings!$F$8,N1289&lt;M1289),"Pending",IF(AND(G1289="Applicable",H1289="Pass"),"Pass",IF(AND(G1289="N/A",H1289="N/A",J1289&lt;&gt;"",OR(E1289="CEM-FUELS",E1289="CEM-CCS",AND(E1289="CEM-PLAN",IFERROR(INDEX('Taxonomy'!$M$9:$M$108,MATCH(D1289,'Taxonomy'!$C$9:$C$108,0)),"")&lt;&gt;"Amber"),E1289="BLD-TIMBER",AND(U1289="Building equipment",OR(E1289="BLD-WATER",E1289="BLD-WASTE",E1289="BLD-LAND")),AND(U1289="Building renovation",E1289="BLD-LAND"))),"N/A","Pending"))))))</x:f>
      </x:c>
      <x:c r="Q1289" s="3" t="str">
        <x:f>IF(C1289="","",IF(AND(R1289="Valid",OR(P1289="Pass",P1289="N/A")),"Complete","Unresolved"))</x:f>
      </x:c>
      <x:c r="R1289" s="9" t="str">
        <x:f>IF(C1289="","",IF(OR(COUNTIF($C$9:$C$2008,C1289)&lt;&gt;1,COUNTIFS($D$9:$D$2008,D1289,$E$9:$E$2008,E1289)&lt;&gt;1),"Duplicate test",IF(COUNTIF('Taxonomy'!$C$9:$C$108,D1289)&lt;&gt;1,"Assessment key",IF(OR(COUNTIF('Taxonomy Rules'!$C$42:$C$68,E1289)&lt;&gt;1,F1289&lt;&gt;IFERROR(INDEX('Taxonomy Rules'!$D$42:$D$68,MATCH(E1289,'Taxonomy Rules'!$C$42:$C$68,0)),""),NOT(OR(IFERROR(INDEX('Taxonomy Rules'!$G$42:$G$68,MATCH(E1289,'Taxonomy Rules'!$C$42:$C$68,0)),"")="All supported routes",IFERROR(INDEX('Taxonomy Rules'!$G$42:$G$68,MATCH(E1289,'Taxonomy Rules'!$C$42:$C$68,0)),"")=U1289,AND(IFERROR(INDEX('Taxonomy Rules'!$G$42:$G$68,MATCH(E1289,'Taxonomy Rules'!$C$42:$C$68,0)),"")="Building routes",OR(U1289="Building renovation",U1289="New building",U1289="Building equipment"))))),"Unexpected test","Valid"))))</x:f>
      </x:c>
      <x:c r="S1289" s="9" t="str">
        <x:f>IF(C1289="","",IFERROR(INDEX('Taxonomy Rules'!$E$42:$E$68,MATCH(E1289,'Taxonomy Rules'!$C$42:$C$68,0)),""))</x:f>
      </x:c>
      <x:c r="T1289" s="9" t="str">
        <x:f>IF(C1289="","",IFERROR(INDEX('Taxonomy Rules'!$F$42:$F$68,MATCH(E1289,'Taxonomy Rules'!$C$42:$C$68,0)),""))</x:f>
      </x:c>
      <x:c r="U1289" s="9" t="str">
        <x:f>IF(C1289="","",IFERROR(INDEX('Taxonomy'!$G$9:$G$108,MATCH(D1289,'Taxonomy'!$C$9:$C$108,0)),""))</x:f>
      </x:c>
    </x:row>
    <x:row r="1290" ht="44" customHeight="1">
      <x:c r="A1290" s="1"/>
      <x:c r="B1290" s="1"/>
      <x:c r="C1290" s="8"/>
      <x:c r="D1290" s="8"/>
      <x:c r="E1290" s="8"/>
      <x:c r="F1290" s="8"/>
      <x:c r="G1290" s="8"/>
      <x:c r="H1290" s="8"/>
      <x:c r="I1290" s="8"/>
      <x:c r="J1290" s="8"/>
      <x:c r="K1290" s="8"/>
      <x:c r="L1290" s="8"/>
      <x:c r="M1290" s="10"/>
      <x:c r="N1290" s="10"/>
      <x:c r="O1290" s="8"/>
      <x:c r="P1290" s="9" t="str">
        <x:f>IF(C1290="","",IF(AND(G1290="Applicable",H1290="Fail"),"Fail",IF(R1290&lt;&gt;"Valid","Pending",IF(OR(I1290="",K1290="",L1290="",K1290=L1290,NOT(ISNUMBER(M1290)),NOT(ISNUMBER(N1290)),M1290&gt;Settings!$F$8,N1290&lt;Settings!$F$8,N1290&lt;M1290),"Pending",IF(AND(G1290="Applicable",H1290="Pass"),"Pass",IF(AND(G1290="N/A",H1290="N/A",J1290&lt;&gt;"",OR(E1290="CEM-FUELS",E1290="CEM-CCS",AND(E1290="CEM-PLAN",IFERROR(INDEX('Taxonomy'!$M$9:$M$108,MATCH(D1290,'Taxonomy'!$C$9:$C$108,0)),"")&lt;&gt;"Amber"),E1290="BLD-TIMBER",AND(U1290="Building equipment",OR(E1290="BLD-WATER",E1290="BLD-WASTE",E1290="BLD-LAND")),AND(U1290="Building renovation",E1290="BLD-LAND"))),"N/A","Pending"))))))</x:f>
      </x:c>
      <x:c r="Q1290" s="3" t="str">
        <x:f>IF(C1290="","",IF(AND(R1290="Valid",OR(P1290="Pass",P1290="N/A")),"Complete","Unresolved"))</x:f>
      </x:c>
      <x:c r="R1290" s="9" t="str">
        <x:f>IF(C1290="","",IF(OR(COUNTIF($C$9:$C$2008,C1290)&lt;&gt;1,COUNTIFS($D$9:$D$2008,D1290,$E$9:$E$2008,E1290)&lt;&gt;1),"Duplicate test",IF(COUNTIF('Taxonomy'!$C$9:$C$108,D1290)&lt;&gt;1,"Assessment key",IF(OR(COUNTIF('Taxonomy Rules'!$C$42:$C$68,E1290)&lt;&gt;1,F1290&lt;&gt;IFERROR(INDEX('Taxonomy Rules'!$D$42:$D$68,MATCH(E1290,'Taxonomy Rules'!$C$42:$C$68,0)),""),NOT(OR(IFERROR(INDEX('Taxonomy Rules'!$G$42:$G$68,MATCH(E1290,'Taxonomy Rules'!$C$42:$C$68,0)),"")="All supported routes",IFERROR(INDEX('Taxonomy Rules'!$G$42:$G$68,MATCH(E1290,'Taxonomy Rules'!$C$42:$C$68,0)),"")=U1290,AND(IFERROR(INDEX('Taxonomy Rules'!$G$42:$G$68,MATCH(E1290,'Taxonomy Rules'!$C$42:$C$68,0)),"")="Building routes",OR(U1290="Building renovation",U1290="New building",U1290="Building equipment"))))),"Unexpected test","Valid"))))</x:f>
      </x:c>
      <x:c r="S1290" s="9" t="str">
        <x:f>IF(C1290="","",IFERROR(INDEX('Taxonomy Rules'!$E$42:$E$68,MATCH(E1290,'Taxonomy Rules'!$C$42:$C$68,0)),""))</x:f>
      </x:c>
      <x:c r="T1290" s="9" t="str">
        <x:f>IF(C1290="","",IFERROR(INDEX('Taxonomy Rules'!$F$42:$F$68,MATCH(E1290,'Taxonomy Rules'!$C$42:$C$68,0)),""))</x:f>
      </x:c>
      <x:c r="U1290" s="9" t="str">
        <x:f>IF(C1290="","",IFERROR(INDEX('Taxonomy'!$G$9:$G$108,MATCH(D1290,'Taxonomy'!$C$9:$C$108,0)),""))</x:f>
      </x:c>
    </x:row>
    <x:row r="1291" ht="44" customHeight="1">
      <x:c r="A1291" s="1"/>
      <x:c r="B1291" s="1"/>
      <x:c r="C1291" s="8"/>
      <x:c r="D1291" s="8"/>
      <x:c r="E1291" s="8"/>
      <x:c r="F1291" s="8"/>
      <x:c r="G1291" s="8"/>
      <x:c r="H1291" s="8"/>
      <x:c r="I1291" s="8"/>
      <x:c r="J1291" s="8"/>
      <x:c r="K1291" s="8"/>
      <x:c r="L1291" s="8"/>
      <x:c r="M1291" s="10"/>
      <x:c r="N1291" s="10"/>
      <x:c r="O1291" s="8"/>
      <x:c r="P1291" s="9" t="str">
        <x:f>IF(C1291="","",IF(AND(G1291="Applicable",H1291="Fail"),"Fail",IF(R1291&lt;&gt;"Valid","Pending",IF(OR(I1291="",K1291="",L1291="",K1291=L1291,NOT(ISNUMBER(M1291)),NOT(ISNUMBER(N1291)),M1291&gt;Settings!$F$8,N1291&lt;Settings!$F$8,N1291&lt;M1291),"Pending",IF(AND(G1291="Applicable",H1291="Pass"),"Pass",IF(AND(G1291="N/A",H1291="N/A",J1291&lt;&gt;"",OR(E1291="CEM-FUELS",E1291="CEM-CCS",AND(E1291="CEM-PLAN",IFERROR(INDEX('Taxonomy'!$M$9:$M$108,MATCH(D1291,'Taxonomy'!$C$9:$C$108,0)),"")&lt;&gt;"Amber"),E1291="BLD-TIMBER",AND(U1291="Building equipment",OR(E1291="BLD-WATER",E1291="BLD-WASTE",E1291="BLD-LAND")),AND(U1291="Building renovation",E1291="BLD-LAND"))),"N/A","Pending"))))))</x:f>
      </x:c>
      <x:c r="Q1291" s="3" t="str">
        <x:f>IF(C1291="","",IF(AND(R1291="Valid",OR(P1291="Pass",P1291="N/A")),"Complete","Unresolved"))</x:f>
      </x:c>
      <x:c r="R1291" s="9" t="str">
        <x:f>IF(C1291="","",IF(OR(COUNTIF($C$9:$C$2008,C1291)&lt;&gt;1,COUNTIFS($D$9:$D$2008,D1291,$E$9:$E$2008,E1291)&lt;&gt;1),"Duplicate test",IF(COUNTIF('Taxonomy'!$C$9:$C$108,D1291)&lt;&gt;1,"Assessment key",IF(OR(COUNTIF('Taxonomy Rules'!$C$42:$C$68,E1291)&lt;&gt;1,F1291&lt;&gt;IFERROR(INDEX('Taxonomy Rules'!$D$42:$D$68,MATCH(E1291,'Taxonomy Rules'!$C$42:$C$68,0)),""),NOT(OR(IFERROR(INDEX('Taxonomy Rules'!$G$42:$G$68,MATCH(E1291,'Taxonomy Rules'!$C$42:$C$68,0)),"")="All supported routes",IFERROR(INDEX('Taxonomy Rules'!$G$42:$G$68,MATCH(E1291,'Taxonomy Rules'!$C$42:$C$68,0)),"")=U1291,AND(IFERROR(INDEX('Taxonomy Rules'!$G$42:$G$68,MATCH(E1291,'Taxonomy Rules'!$C$42:$C$68,0)),"")="Building routes",OR(U1291="Building renovation",U1291="New building",U1291="Building equipment"))))),"Unexpected test","Valid"))))</x:f>
      </x:c>
      <x:c r="S1291" s="9" t="str">
        <x:f>IF(C1291="","",IFERROR(INDEX('Taxonomy Rules'!$E$42:$E$68,MATCH(E1291,'Taxonomy Rules'!$C$42:$C$68,0)),""))</x:f>
      </x:c>
      <x:c r="T1291" s="9" t="str">
        <x:f>IF(C1291="","",IFERROR(INDEX('Taxonomy Rules'!$F$42:$F$68,MATCH(E1291,'Taxonomy Rules'!$C$42:$C$68,0)),""))</x:f>
      </x:c>
      <x:c r="U1291" s="9" t="str">
        <x:f>IF(C1291="","",IFERROR(INDEX('Taxonomy'!$G$9:$G$108,MATCH(D1291,'Taxonomy'!$C$9:$C$108,0)),""))</x:f>
      </x:c>
    </x:row>
    <x:row r="1292" ht="44" customHeight="1">
      <x:c r="A1292" s="1"/>
      <x:c r="B1292" s="1"/>
      <x:c r="C1292" s="8"/>
      <x:c r="D1292" s="8"/>
      <x:c r="E1292" s="8"/>
      <x:c r="F1292" s="8"/>
      <x:c r="G1292" s="8"/>
      <x:c r="H1292" s="8"/>
      <x:c r="I1292" s="8"/>
      <x:c r="J1292" s="8"/>
      <x:c r="K1292" s="8"/>
      <x:c r="L1292" s="8"/>
      <x:c r="M1292" s="10"/>
      <x:c r="N1292" s="10"/>
      <x:c r="O1292" s="8"/>
      <x:c r="P1292" s="9" t="str">
        <x:f>IF(C1292="","",IF(AND(G1292="Applicable",H1292="Fail"),"Fail",IF(R1292&lt;&gt;"Valid","Pending",IF(OR(I1292="",K1292="",L1292="",K1292=L1292,NOT(ISNUMBER(M1292)),NOT(ISNUMBER(N1292)),M1292&gt;Settings!$F$8,N1292&lt;Settings!$F$8,N1292&lt;M1292),"Pending",IF(AND(G1292="Applicable",H1292="Pass"),"Pass",IF(AND(G1292="N/A",H1292="N/A",J1292&lt;&gt;"",OR(E1292="CEM-FUELS",E1292="CEM-CCS",AND(E1292="CEM-PLAN",IFERROR(INDEX('Taxonomy'!$M$9:$M$108,MATCH(D1292,'Taxonomy'!$C$9:$C$108,0)),"")&lt;&gt;"Amber"),E1292="BLD-TIMBER",AND(U1292="Building equipment",OR(E1292="BLD-WATER",E1292="BLD-WASTE",E1292="BLD-LAND")),AND(U1292="Building renovation",E1292="BLD-LAND"))),"N/A","Pending"))))))</x:f>
      </x:c>
      <x:c r="Q1292" s="3" t="str">
        <x:f>IF(C1292="","",IF(AND(R1292="Valid",OR(P1292="Pass",P1292="N/A")),"Complete","Unresolved"))</x:f>
      </x:c>
      <x:c r="R1292" s="9" t="str">
        <x:f>IF(C1292="","",IF(OR(COUNTIF($C$9:$C$2008,C1292)&lt;&gt;1,COUNTIFS($D$9:$D$2008,D1292,$E$9:$E$2008,E1292)&lt;&gt;1),"Duplicate test",IF(COUNTIF('Taxonomy'!$C$9:$C$108,D1292)&lt;&gt;1,"Assessment key",IF(OR(COUNTIF('Taxonomy Rules'!$C$42:$C$68,E1292)&lt;&gt;1,F1292&lt;&gt;IFERROR(INDEX('Taxonomy Rules'!$D$42:$D$68,MATCH(E1292,'Taxonomy Rules'!$C$42:$C$68,0)),""),NOT(OR(IFERROR(INDEX('Taxonomy Rules'!$G$42:$G$68,MATCH(E1292,'Taxonomy Rules'!$C$42:$C$68,0)),"")="All supported routes",IFERROR(INDEX('Taxonomy Rules'!$G$42:$G$68,MATCH(E1292,'Taxonomy Rules'!$C$42:$C$68,0)),"")=U1292,AND(IFERROR(INDEX('Taxonomy Rules'!$G$42:$G$68,MATCH(E1292,'Taxonomy Rules'!$C$42:$C$68,0)),"")="Building routes",OR(U1292="Building renovation",U1292="New building",U1292="Building equipment"))))),"Unexpected test","Valid"))))</x:f>
      </x:c>
      <x:c r="S1292" s="9" t="str">
        <x:f>IF(C1292="","",IFERROR(INDEX('Taxonomy Rules'!$E$42:$E$68,MATCH(E1292,'Taxonomy Rules'!$C$42:$C$68,0)),""))</x:f>
      </x:c>
      <x:c r="T1292" s="9" t="str">
        <x:f>IF(C1292="","",IFERROR(INDEX('Taxonomy Rules'!$F$42:$F$68,MATCH(E1292,'Taxonomy Rules'!$C$42:$C$68,0)),""))</x:f>
      </x:c>
      <x:c r="U1292" s="9" t="str">
        <x:f>IF(C1292="","",IFERROR(INDEX('Taxonomy'!$G$9:$G$108,MATCH(D1292,'Taxonomy'!$C$9:$C$108,0)),""))</x:f>
      </x:c>
    </x:row>
    <x:row r="1293" ht="44" customHeight="1">
      <x:c r="A1293" s="1"/>
      <x:c r="B1293" s="1"/>
      <x:c r="C1293" s="8"/>
      <x:c r="D1293" s="8"/>
      <x:c r="E1293" s="8"/>
      <x:c r="F1293" s="8"/>
      <x:c r="G1293" s="8"/>
      <x:c r="H1293" s="8"/>
      <x:c r="I1293" s="8"/>
      <x:c r="J1293" s="8"/>
      <x:c r="K1293" s="8"/>
      <x:c r="L1293" s="8"/>
      <x:c r="M1293" s="10"/>
      <x:c r="N1293" s="10"/>
      <x:c r="O1293" s="8"/>
      <x:c r="P1293" s="9" t="str">
        <x:f>IF(C1293="","",IF(AND(G1293="Applicable",H1293="Fail"),"Fail",IF(R1293&lt;&gt;"Valid","Pending",IF(OR(I1293="",K1293="",L1293="",K1293=L1293,NOT(ISNUMBER(M1293)),NOT(ISNUMBER(N1293)),M1293&gt;Settings!$F$8,N1293&lt;Settings!$F$8,N1293&lt;M1293),"Pending",IF(AND(G1293="Applicable",H1293="Pass"),"Pass",IF(AND(G1293="N/A",H1293="N/A",J1293&lt;&gt;"",OR(E1293="CEM-FUELS",E1293="CEM-CCS",AND(E1293="CEM-PLAN",IFERROR(INDEX('Taxonomy'!$M$9:$M$108,MATCH(D1293,'Taxonomy'!$C$9:$C$108,0)),"")&lt;&gt;"Amber"),E1293="BLD-TIMBER",AND(U1293="Building equipment",OR(E1293="BLD-WATER",E1293="BLD-WASTE",E1293="BLD-LAND")),AND(U1293="Building renovation",E1293="BLD-LAND"))),"N/A","Pending"))))))</x:f>
      </x:c>
      <x:c r="Q1293" s="3" t="str">
        <x:f>IF(C1293="","",IF(AND(R1293="Valid",OR(P1293="Pass",P1293="N/A")),"Complete","Unresolved"))</x:f>
      </x:c>
      <x:c r="R1293" s="9" t="str">
        <x:f>IF(C1293="","",IF(OR(COUNTIF($C$9:$C$2008,C1293)&lt;&gt;1,COUNTIFS($D$9:$D$2008,D1293,$E$9:$E$2008,E1293)&lt;&gt;1),"Duplicate test",IF(COUNTIF('Taxonomy'!$C$9:$C$108,D1293)&lt;&gt;1,"Assessment key",IF(OR(COUNTIF('Taxonomy Rules'!$C$42:$C$68,E1293)&lt;&gt;1,F1293&lt;&gt;IFERROR(INDEX('Taxonomy Rules'!$D$42:$D$68,MATCH(E1293,'Taxonomy Rules'!$C$42:$C$68,0)),""),NOT(OR(IFERROR(INDEX('Taxonomy Rules'!$G$42:$G$68,MATCH(E1293,'Taxonomy Rules'!$C$42:$C$68,0)),"")="All supported routes",IFERROR(INDEX('Taxonomy Rules'!$G$42:$G$68,MATCH(E1293,'Taxonomy Rules'!$C$42:$C$68,0)),"")=U1293,AND(IFERROR(INDEX('Taxonomy Rules'!$G$42:$G$68,MATCH(E1293,'Taxonomy Rules'!$C$42:$C$68,0)),"")="Building routes",OR(U1293="Building renovation",U1293="New building",U1293="Building equipment"))))),"Unexpected test","Valid"))))</x:f>
      </x:c>
      <x:c r="S1293" s="9" t="str">
        <x:f>IF(C1293="","",IFERROR(INDEX('Taxonomy Rules'!$E$42:$E$68,MATCH(E1293,'Taxonomy Rules'!$C$42:$C$68,0)),""))</x:f>
      </x:c>
      <x:c r="T1293" s="9" t="str">
        <x:f>IF(C1293="","",IFERROR(INDEX('Taxonomy Rules'!$F$42:$F$68,MATCH(E1293,'Taxonomy Rules'!$C$42:$C$68,0)),""))</x:f>
      </x:c>
      <x:c r="U1293" s="9" t="str">
        <x:f>IF(C1293="","",IFERROR(INDEX('Taxonomy'!$G$9:$G$108,MATCH(D1293,'Taxonomy'!$C$9:$C$108,0)),""))</x:f>
      </x:c>
    </x:row>
    <x:row r="1294" ht="44" customHeight="1">
      <x:c r="A1294" s="1"/>
      <x:c r="B1294" s="1"/>
      <x:c r="C1294" s="8"/>
      <x:c r="D1294" s="8"/>
      <x:c r="E1294" s="8"/>
      <x:c r="F1294" s="8"/>
      <x:c r="G1294" s="8"/>
      <x:c r="H1294" s="8"/>
      <x:c r="I1294" s="8"/>
      <x:c r="J1294" s="8"/>
      <x:c r="K1294" s="8"/>
      <x:c r="L1294" s="8"/>
      <x:c r="M1294" s="10"/>
      <x:c r="N1294" s="10"/>
      <x:c r="O1294" s="8"/>
      <x:c r="P1294" s="9" t="str">
        <x:f>IF(C1294="","",IF(AND(G1294="Applicable",H1294="Fail"),"Fail",IF(R1294&lt;&gt;"Valid","Pending",IF(OR(I1294="",K1294="",L1294="",K1294=L1294,NOT(ISNUMBER(M1294)),NOT(ISNUMBER(N1294)),M1294&gt;Settings!$F$8,N1294&lt;Settings!$F$8,N1294&lt;M1294),"Pending",IF(AND(G1294="Applicable",H1294="Pass"),"Pass",IF(AND(G1294="N/A",H1294="N/A",J1294&lt;&gt;"",OR(E1294="CEM-FUELS",E1294="CEM-CCS",AND(E1294="CEM-PLAN",IFERROR(INDEX('Taxonomy'!$M$9:$M$108,MATCH(D1294,'Taxonomy'!$C$9:$C$108,0)),"")&lt;&gt;"Amber"),E1294="BLD-TIMBER",AND(U1294="Building equipment",OR(E1294="BLD-WATER",E1294="BLD-WASTE",E1294="BLD-LAND")),AND(U1294="Building renovation",E1294="BLD-LAND"))),"N/A","Pending"))))))</x:f>
      </x:c>
      <x:c r="Q1294" s="3" t="str">
        <x:f>IF(C1294="","",IF(AND(R1294="Valid",OR(P1294="Pass",P1294="N/A")),"Complete","Unresolved"))</x:f>
      </x:c>
      <x:c r="R1294" s="9" t="str">
        <x:f>IF(C1294="","",IF(OR(COUNTIF($C$9:$C$2008,C1294)&lt;&gt;1,COUNTIFS($D$9:$D$2008,D1294,$E$9:$E$2008,E1294)&lt;&gt;1),"Duplicate test",IF(COUNTIF('Taxonomy'!$C$9:$C$108,D1294)&lt;&gt;1,"Assessment key",IF(OR(COUNTIF('Taxonomy Rules'!$C$42:$C$68,E1294)&lt;&gt;1,F1294&lt;&gt;IFERROR(INDEX('Taxonomy Rules'!$D$42:$D$68,MATCH(E1294,'Taxonomy Rules'!$C$42:$C$68,0)),""),NOT(OR(IFERROR(INDEX('Taxonomy Rules'!$G$42:$G$68,MATCH(E1294,'Taxonomy Rules'!$C$42:$C$68,0)),"")="All supported routes",IFERROR(INDEX('Taxonomy Rules'!$G$42:$G$68,MATCH(E1294,'Taxonomy Rules'!$C$42:$C$68,0)),"")=U1294,AND(IFERROR(INDEX('Taxonomy Rules'!$G$42:$G$68,MATCH(E1294,'Taxonomy Rules'!$C$42:$C$68,0)),"")="Building routes",OR(U1294="Building renovation",U1294="New building",U1294="Building equipment"))))),"Unexpected test","Valid"))))</x:f>
      </x:c>
      <x:c r="S1294" s="9" t="str">
        <x:f>IF(C1294="","",IFERROR(INDEX('Taxonomy Rules'!$E$42:$E$68,MATCH(E1294,'Taxonomy Rules'!$C$42:$C$68,0)),""))</x:f>
      </x:c>
      <x:c r="T1294" s="9" t="str">
        <x:f>IF(C1294="","",IFERROR(INDEX('Taxonomy Rules'!$F$42:$F$68,MATCH(E1294,'Taxonomy Rules'!$C$42:$C$68,0)),""))</x:f>
      </x:c>
      <x:c r="U1294" s="9" t="str">
        <x:f>IF(C1294="","",IFERROR(INDEX('Taxonomy'!$G$9:$G$108,MATCH(D1294,'Taxonomy'!$C$9:$C$108,0)),""))</x:f>
      </x:c>
    </x:row>
    <x:row r="1295" ht="44" customHeight="1">
      <x:c r="A1295" s="1"/>
      <x:c r="B1295" s="1"/>
      <x:c r="C1295" s="8"/>
      <x:c r="D1295" s="8"/>
      <x:c r="E1295" s="8"/>
      <x:c r="F1295" s="8"/>
      <x:c r="G1295" s="8"/>
      <x:c r="H1295" s="8"/>
      <x:c r="I1295" s="8"/>
      <x:c r="J1295" s="8"/>
      <x:c r="K1295" s="8"/>
      <x:c r="L1295" s="8"/>
      <x:c r="M1295" s="10"/>
      <x:c r="N1295" s="10"/>
      <x:c r="O1295" s="8"/>
      <x:c r="P1295" s="9" t="str">
        <x:f>IF(C1295="","",IF(AND(G1295="Applicable",H1295="Fail"),"Fail",IF(R1295&lt;&gt;"Valid","Pending",IF(OR(I1295="",K1295="",L1295="",K1295=L1295,NOT(ISNUMBER(M1295)),NOT(ISNUMBER(N1295)),M1295&gt;Settings!$F$8,N1295&lt;Settings!$F$8,N1295&lt;M1295),"Pending",IF(AND(G1295="Applicable",H1295="Pass"),"Pass",IF(AND(G1295="N/A",H1295="N/A",J1295&lt;&gt;"",OR(E1295="CEM-FUELS",E1295="CEM-CCS",AND(E1295="CEM-PLAN",IFERROR(INDEX('Taxonomy'!$M$9:$M$108,MATCH(D1295,'Taxonomy'!$C$9:$C$108,0)),"")&lt;&gt;"Amber"),E1295="BLD-TIMBER",AND(U1295="Building equipment",OR(E1295="BLD-WATER",E1295="BLD-WASTE",E1295="BLD-LAND")),AND(U1295="Building renovation",E1295="BLD-LAND"))),"N/A","Pending"))))))</x:f>
      </x:c>
      <x:c r="Q1295" s="3" t="str">
        <x:f>IF(C1295="","",IF(AND(R1295="Valid",OR(P1295="Pass",P1295="N/A")),"Complete","Unresolved"))</x:f>
      </x:c>
      <x:c r="R1295" s="9" t="str">
        <x:f>IF(C1295="","",IF(OR(COUNTIF($C$9:$C$2008,C1295)&lt;&gt;1,COUNTIFS($D$9:$D$2008,D1295,$E$9:$E$2008,E1295)&lt;&gt;1),"Duplicate test",IF(COUNTIF('Taxonomy'!$C$9:$C$108,D1295)&lt;&gt;1,"Assessment key",IF(OR(COUNTIF('Taxonomy Rules'!$C$42:$C$68,E1295)&lt;&gt;1,F1295&lt;&gt;IFERROR(INDEX('Taxonomy Rules'!$D$42:$D$68,MATCH(E1295,'Taxonomy Rules'!$C$42:$C$68,0)),""),NOT(OR(IFERROR(INDEX('Taxonomy Rules'!$G$42:$G$68,MATCH(E1295,'Taxonomy Rules'!$C$42:$C$68,0)),"")="All supported routes",IFERROR(INDEX('Taxonomy Rules'!$G$42:$G$68,MATCH(E1295,'Taxonomy Rules'!$C$42:$C$68,0)),"")=U1295,AND(IFERROR(INDEX('Taxonomy Rules'!$G$42:$G$68,MATCH(E1295,'Taxonomy Rules'!$C$42:$C$68,0)),"")="Building routes",OR(U1295="Building renovation",U1295="New building",U1295="Building equipment"))))),"Unexpected test","Valid"))))</x:f>
      </x:c>
      <x:c r="S1295" s="9" t="str">
        <x:f>IF(C1295="","",IFERROR(INDEX('Taxonomy Rules'!$E$42:$E$68,MATCH(E1295,'Taxonomy Rules'!$C$42:$C$68,0)),""))</x:f>
      </x:c>
      <x:c r="T1295" s="9" t="str">
        <x:f>IF(C1295="","",IFERROR(INDEX('Taxonomy Rules'!$F$42:$F$68,MATCH(E1295,'Taxonomy Rules'!$C$42:$C$68,0)),""))</x:f>
      </x:c>
      <x:c r="U1295" s="9" t="str">
        <x:f>IF(C1295="","",IFERROR(INDEX('Taxonomy'!$G$9:$G$108,MATCH(D1295,'Taxonomy'!$C$9:$C$108,0)),""))</x:f>
      </x:c>
    </x:row>
    <x:row r="1296" ht="44" customHeight="1">
      <x:c r="A1296" s="1"/>
      <x:c r="B1296" s="1"/>
      <x:c r="C1296" s="8"/>
      <x:c r="D1296" s="8"/>
      <x:c r="E1296" s="8"/>
      <x:c r="F1296" s="8"/>
      <x:c r="G1296" s="8"/>
      <x:c r="H1296" s="8"/>
      <x:c r="I1296" s="8"/>
      <x:c r="J1296" s="8"/>
      <x:c r="K1296" s="8"/>
      <x:c r="L1296" s="8"/>
      <x:c r="M1296" s="10"/>
      <x:c r="N1296" s="10"/>
      <x:c r="O1296" s="8"/>
      <x:c r="P1296" s="9" t="str">
        <x:f>IF(C1296="","",IF(AND(G1296="Applicable",H1296="Fail"),"Fail",IF(R1296&lt;&gt;"Valid","Pending",IF(OR(I1296="",K1296="",L1296="",K1296=L1296,NOT(ISNUMBER(M1296)),NOT(ISNUMBER(N1296)),M1296&gt;Settings!$F$8,N1296&lt;Settings!$F$8,N1296&lt;M1296),"Pending",IF(AND(G1296="Applicable",H1296="Pass"),"Pass",IF(AND(G1296="N/A",H1296="N/A",J1296&lt;&gt;"",OR(E1296="CEM-FUELS",E1296="CEM-CCS",AND(E1296="CEM-PLAN",IFERROR(INDEX('Taxonomy'!$M$9:$M$108,MATCH(D1296,'Taxonomy'!$C$9:$C$108,0)),"")&lt;&gt;"Amber"),E1296="BLD-TIMBER",AND(U1296="Building equipment",OR(E1296="BLD-WATER",E1296="BLD-WASTE",E1296="BLD-LAND")),AND(U1296="Building renovation",E1296="BLD-LAND"))),"N/A","Pending"))))))</x:f>
      </x:c>
      <x:c r="Q1296" s="3" t="str">
        <x:f>IF(C1296="","",IF(AND(R1296="Valid",OR(P1296="Pass",P1296="N/A")),"Complete","Unresolved"))</x:f>
      </x:c>
      <x:c r="R1296" s="9" t="str">
        <x:f>IF(C1296="","",IF(OR(COUNTIF($C$9:$C$2008,C1296)&lt;&gt;1,COUNTIFS($D$9:$D$2008,D1296,$E$9:$E$2008,E1296)&lt;&gt;1),"Duplicate test",IF(COUNTIF('Taxonomy'!$C$9:$C$108,D1296)&lt;&gt;1,"Assessment key",IF(OR(COUNTIF('Taxonomy Rules'!$C$42:$C$68,E1296)&lt;&gt;1,F1296&lt;&gt;IFERROR(INDEX('Taxonomy Rules'!$D$42:$D$68,MATCH(E1296,'Taxonomy Rules'!$C$42:$C$68,0)),""),NOT(OR(IFERROR(INDEX('Taxonomy Rules'!$G$42:$G$68,MATCH(E1296,'Taxonomy Rules'!$C$42:$C$68,0)),"")="All supported routes",IFERROR(INDEX('Taxonomy Rules'!$G$42:$G$68,MATCH(E1296,'Taxonomy Rules'!$C$42:$C$68,0)),"")=U1296,AND(IFERROR(INDEX('Taxonomy Rules'!$G$42:$G$68,MATCH(E1296,'Taxonomy Rules'!$C$42:$C$68,0)),"")="Building routes",OR(U1296="Building renovation",U1296="New building",U1296="Building equipment"))))),"Unexpected test","Valid"))))</x:f>
      </x:c>
      <x:c r="S1296" s="9" t="str">
        <x:f>IF(C1296="","",IFERROR(INDEX('Taxonomy Rules'!$E$42:$E$68,MATCH(E1296,'Taxonomy Rules'!$C$42:$C$68,0)),""))</x:f>
      </x:c>
      <x:c r="T1296" s="9" t="str">
        <x:f>IF(C1296="","",IFERROR(INDEX('Taxonomy Rules'!$F$42:$F$68,MATCH(E1296,'Taxonomy Rules'!$C$42:$C$68,0)),""))</x:f>
      </x:c>
      <x:c r="U1296" s="9" t="str">
        <x:f>IF(C1296="","",IFERROR(INDEX('Taxonomy'!$G$9:$G$108,MATCH(D1296,'Taxonomy'!$C$9:$C$108,0)),""))</x:f>
      </x:c>
    </x:row>
    <x:row r="1297" ht="44" customHeight="1">
      <x:c r="A1297" s="1"/>
      <x:c r="B1297" s="1"/>
      <x:c r="C1297" s="8"/>
      <x:c r="D1297" s="8"/>
      <x:c r="E1297" s="8"/>
      <x:c r="F1297" s="8"/>
      <x:c r="G1297" s="8"/>
      <x:c r="H1297" s="8"/>
      <x:c r="I1297" s="8"/>
      <x:c r="J1297" s="8"/>
      <x:c r="K1297" s="8"/>
      <x:c r="L1297" s="8"/>
      <x:c r="M1297" s="10"/>
      <x:c r="N1297" s="10"/>
      <x:c r="O1297" s="8"/>
      <x:c r="P1297" s="9" t="str">
        <x:f>IF(C1297="","",IF(AND(G1297="Applicable",H1297="Fail"),"Fail",IF(R1297&lt;&gt;"Valid","Pending",IF(OR(I1297="",K1297="",L1297="",K1297=L1297,NOT(ISNUMBER(M1297)),NOT(ISNUMBER(N1297)),M1297&gt;Settings!$F$8,N1297&lt;Settings!$F$8,N1297&lt;M1297),"Pending",IF(AND(G1297="Applicable",H1297="Pass"),"Pass",IF(AND(G1297="N/A",H1297="N/A",J1297&lt;&gt;"",OR(E1297="CEM-FUELS",E1297="CEM-CCS",AND(E1297="CEM-PLAN",IFERROR(INDEX('Taxonomy'!$M$9:$M$108,MATCH(D1297,'Taxonomy'!$C$9:$C$108,0)),"")&lt;&gt;"Amber"),E1297="BLD-TIMBER",AND(U1297="Building equipment",OR(E1297="BLD-WATER",E1297="BLD-WASTE",E1297="BLD-LAND")),AND(U1297="Building renovation",E1297="BLD-LAND"))),"N/A","Pending"))))))</x:f>
      </x:c>
      <x:c r="Q1297" s="3" t="str">
        <x:f>IF(C1297="","",IF(AND(R1297="Valid",OR(P1297="Pass",P1297="N/A")),"Complete","Unresolved"))</x:f>
      </x:c>
      <x:c r="R1297" s="9" t="str">
        <x:f>IF(C1297="","",IF(OR(COUNTIF($C$9:$C$2008,C1297)&lt;&gt;1,COUNTIFS($D$9:$D$2008,D1297,$E$9:$E$2008,E1297)&lt;&gt;1),"Duplicate test",IF(COUNTIF('Taxonomy'!$C$9:$C$108,D1297)&lt;&gt;1,"Assessment key",IF(OR(COUNTIF('Taxonomy Rules'!$C$42:$C$68,E1297)&lt;&gt;1,F1297&lt;&gt;IFERROR(INDEX('Taxonomy Rules'!$D$42:$D$68,MATCH(E1297,'Taxonomy Rules'!$C$42:$C$68,0)),""),NOT(OR(IFERROR(INDEX('Taxonomy Rules'!$G$42:$G$68,MATCH(E1297,'Taxonomy Rules'!$C$42:$C$68,0)),"")="All supported routes",IFERROR(INDEX('Taxonomy Rules'!$G$42:$G$68,MATCH(E1297,'Taxonomy Rules'!$C$42:$C$68,0)),"")=U1297,AND(IFERROR(INDEX('Taxonomy Rules'!$G$42:$G$68,MATCH(E1297,'Taxonomy Rules'!$C$42:$C$68,0)),"")="Building routes",OR(U1297="Building renovation",U1297="New building",U1297="Building equipment"))))),"Unexpected test","Valid"))))</x:f>
      </x:c>
      <x:c r="S1297" s="9" t="str">
        <x:f>IF(C1297="","",IFERROR(INDEX('Taxonomy Rules'!$E$42:$E$68,MATCH(E1297,'Taxonomy Rules'!$C$42:$C$68,0)),""))</x:f>
      </x:c>
      <x:c r="T1297" s="9" t="str">
        <x:f>IF(C1297="","",IFERROR(INDEX('Taxonomy Rules'!$F$42:$F$68,MATCH(E1297,'Taxonomy Rules'!$C$42:$C$68,0)),""))</x:f>
      </x:c>
      <x:c r="U1297" s="9" t="str">
        <x:f>IF(C1297="","",IFERROR(INDEX('Taxonomy'!$G$9:$G$108,MATCH(D1297,'Taxonomy'!$C$9:$C$108,0)),""))</x:f>
      </x:c>
    </x:row>
    <x:row r="1298" ht="44" customHeight="1">
      <x:c r="A1298" s="1"/>
      <x:c r="B1298" s="1"/>
      <x:c r="C1298" s="8"/>
      <x:c r="D1298" s="8"/>
      <x:c r="E1298" s="8"/>
      <x:c r="F1298" s="8"/>
      <x:c r="G1298" s="8"/>
      <x:c r="H1298" s="8"/>
      <x:c r="I1298" s="8"/>
      <x:c r="J1298" s="8"/>
      <x:c r="K1298" s="8"/>
      <x:c r="L1298" s="8"/>
      <x:c r="M1298" s="10"/>
      <x:c r="N1298" s="10"/>
      <x:c r="O1298" s="8"/>
      <x:c r="P1298" s="9" t="str">
        <x:f>IF(C1298="","",IF(AND(G1298="Applicable",H1298="Fail"),"Fail",IF(R1298&lt;&gt;"Valid","Pending",IF(OR(I1298="",K1298="",L1298="",K1298=L1298,NOT(ISNUMBER(M1298)),NOT(ISNUMBER(N1298)),M1298&gt;Settings!$F$8,N1298&lt;Settings!$F$8,N1298&lt;M1298),"Pending",IF(AND(G1298="Applicable",H1298="Pass"),"Pass",IF(AND(G1298="N/A",H1298="N/A",J1298&lt;&gt;"",OR(E1298="CEM-FUELS",E1298="CEM-CCS",AND(E1298="CEM-PLAN",IFERROR(INDEX('Taxonomy'!$M$9:$M$108,MATCH(D1298,'Taxonomy'!$C$9:$C$108,0)),"")&lt;&gt;"Amber"),E1298="BLD-TIMBER",AND(U1298="Building equipment",OR(E1298="BLD-WATER",E1298="BLD-WASTE",E1298="BLD-LAND")),AND(U1298="Building renovation",E1298="BLD-LAND"))),"N/A","Pending"))))))</x:f>
      </x:c>
      <x:c r="Q1298" s="3" t="str">
        <x:f>IF(C1298="","",IF(AND(R1298="Valid",OR(P1298="Pass",P1298="N/A")),"Complete","Unresolved"))</x:f>
      </x:c>
      <x:c r="R1298" s="9" t="str">
        <x:f>IF(C1298="","",IF(OR(COUNTIF($C$9:$C$2008,C1298)&lt;&gt;1,COUNTIFS($D$9:$D$2008,D1298,$E$9:$E$2008,E1298)&lt;&gt;1),"Duplicate test",IF(COUNTIF('Taxonomy'!$C$9:$C$108,D1298)&lt;&gt;1,"Assessment key",IF(OR(COUNTIF('Taxonomy Rules'!$C$42:$C$68,E1298)&lt;&gt;1,F1298&lt;&gt;IFERROR(INDEX('Taxonomy Rules'!$D$42:$D$68,MATCH(E1298,'Taxonomy Rules'!$C$42:$C$68,0)),""),NOT(OR(IFERROR(INDEX('Taxonomy Rules'!$G$42:$G$68,MATCH(E1298,'Taxonomy Rules'!$C$42:$C$68,0)),"")="All supported routes",IFERROR(INDEX('Taxonomy Rules'!$G$42:$G$68,MATCH(E1298,'Taxonomy Rules'!$C$42:$C$68,0)),"")=U1298,AND(IFERROR(INDEX('Taxonomy Rules'!$G$42:$G$68,MATCH(E1298,'Taxonomy Rules'!$C$42:$C$68,0)),"")="Building routes",OR(U1298="Building renovation",U1298="New building",U1298="Building equipment"))))),"Unexpected test","Valid"))))</x:f>
      </x:c>
      <x:c r="S1298" s="9" t="str">
        <x:f>IF(C1298="","",IFERROR(INDEX('Taxonomy Rules'!$E$42:$E$68,MATCH(E1298,'Taxonomy Rules'!$C$42:$C$68,0)),""))</x:f>
      </x:c>
      <x:c r="T1298" s="9" t="str">
        <x:f>IF(C1298="","",IFERROR(INDEX('Taxonomy Rules'!$F$42:$F$68,MATCH(E1298,'Taxonomy Rules'!$C$42:$C$68,0)),""))</x:f>
      </x:c>
      <x:c r="U1298" s="9" t="str">
        <x:f>IF(C1298="","",IFERROR(INDEX('Taxonomy'!$G$9:$G$108,MATCH(D1298,'Taxonomy'!$C$9:$C$108,0)),""))</x:f>
      </x:c>
    </x:row>
    <x:row r="1299" ht="44" customHeight="1">
      <x:c r="A1299" s="1"/>
      <x:c r="B1299" s="1"/>
      <x:c r="C1299" s="8"/>
      <x:c r="D1299" s="8"/>
      <x:c r="E1299" s="8"/>
      <x:c r="F1299" s="8"/>
      <x:c r="G1299" s="8"/>
      <x:c r="H1299" s="8"/>
      <x:c r="I1299" s="8"/>
      <x:c r="J1299" s="8"/>
      <x:c r="K1299" s="8"/>
      <x:c r="L1299" s="8"/>
      <x:c r="M1299" s="10"/>
      <x:c r="N1299" s="10"/>
      <x:c r="O1299" s="8"/>
      <x:c r="P1299" s="9" t="str">
        <x:f>IF(C1299="","",IF(AND(G1299="Applicable",H1299="Fail"),"Fail",IF(R1299&lt;&gt;"Valid","Pending",IF(OR(I1299="",K1299="",L1299="",K1299=L1299,NOT(ISNUMBER(M1299)),NOT(ISNUMBER(N1299)),M1299&gt;Settings!$F$8,N1299&lt;Settings!$F$8,N1299&lt;M1299),"Pending",IF(AND(G1299="Applicable",H1299="Pass"),"Pass",IF(AND(G1299="N/A",H1299="N/A",J1299&lt;&gt;"",OR(E1299="CEM-FUELS",E1299="CEM-CCS",AND(E1299="CEM-PLAN",IFERROR(INDEX('Taxonomy'!$M$9:$M$108,MATCH(D1299,'Taxonomy'!$C$9:$C$108,0)),"")&lt;&gt;"Amber"),E1299="BLD-TIMBER",AND(U1299="Building equipment",OR(E1299="BLD-WATER",E1299="BLD-WASTE",E1299="BLD-LAND")),AND(U1299="Building renovation",E1299="BLD-LAND"))),"N/A","Pending"))))))</x:f>
      </x:c>
      <x:c r="Q1299" s="3" t="str">
        <x:f>IF(C1299="","",IF(AND(R1299="Valid",OR(P1299="Pass",P1299="N/A")),"Complete","Unresolved"))</x:f>
      </x:c>
      <x:c r="R1299" s="9" t="str">
        <x:f>IF(C1299="","",IF(OR(COUNTIF($C$9:$C$2008,C1299)&lt;&gt;1,COUNTIFS($D$9:$D$2008,D1299,$E$9:$E$2008,E1299)&lt;&gt;1),"Duplicate test",IF(COUNTIF('Taxonomy'!$C$9:$C$108,D1299)&lt;&gt;1,"Assessment key",IF(OR(COUNTIF('Taxonomy Rules'!$C$42:$C$68,E1299)&lt;&gt;1,F1299&lt;&gt;IFERROR(INDEX('Taxonomy Rules'!$D$42:$D$68,MATCH(E1299,'Taxonomy Rules'!$C$42:$C$68,0)),""),NOT(OR(IFERROR(INDEX('Taxonomy Rules'!$G$42:$G$68,MATCH(E1299,'Taxonomy Rules'!$C$42:$C$68,0)),"")="All supported routes",IFERROR(INDEX('Taxonomy Rules'!$G$42:$G$68,MATCH(E1299,'Taxonomy Rules'!$C$42:$C$68,0)),"")=U1299,AND(IFERROR(INDEX('Taxonomy Rules'!$G$42:$G$68,MATCH(E1299,'Taxonomy Rules'!$C$42:$C$68,0)),"")="Building routes",OR(U1299="Building renovation",U1299="New building",U1299="Building equipment"))))),"Unexpected test","Valid"))))</x:f>
      </x:c>
      <x:c r="S1299" s="9" t="str">
        <x:f>IF(C1299="","",IFERROR(INDEX('Taxonomy Rules'!$E$42:$E$68,MATCH(E1299,'Taxonomy Rules'!$C$42:$C$68,0)),""))</x:f>
      </x:c>
      <x:c r="T1299" s="9" t="str">
        <x:f>IF(C1299="","",IFERROR(INDEX('Taxonomy Rules'!$F$42:$F$68,MATCH(E1299,'Taxonomy Rules'!$C$42:$C$68,0)),""))</x:f>
      </x:c>
      <x:c r="U1299" s="9" t="str">
        <x:f>IF(C1299="","",IFERROR(INDEX('Taxonomy'!$G$9:$G$108,MATCH(D1299,'Taxonomy'!$C$9:$C$108,0)),""))</x:f>
      </x:c>
    </x:row>
    <x:row r="1300" ht="44" customHeight="1">
      <x:c r="A1300" s="1"/>
      <x:c r="B1300" s="1"/>
      <x:c r="C1300" s="8"/>
      <x:c r="D1300" s="8"/>
      <x:c r="E1300" s="8"/>
      <x:c r="F1300" s="8"/>
      <x:c r="G1300" s="8"/>
      <x:c r="H1300" s="8"/>
      <x:c r="I1300" s="8"/>
      <x:c r="J1300" s="8"/>
      <x:c r="K1300" s="8"/>
      <x:c r="L1300" s="8"/>
      <x:c r="M1300" s="10"/>
      <x:c r="N1300" s="10"/>
      <x:c r="O1300" s="8"/>
      <x:c r="P1300" s="9" t="str">
        <x:f>IF(C1300="","",IF(AND(G1300="Applicable",H1300="Fail"),"Fail",IF(R1300&lt;&gt;"Valid","Pending",IF(OR(I1300="",K1300="",L1300="",K1300=L1300,NOT(ISNUMBER(M1300)),NOT(ISNUMBER(N1300)),M1300&gt;Settings!$F$8,N1300&lt;Settings!$F$8,N1300&lt;M1300),"Pending",IF(AND(G1300="Applicable",H1300="Pass"),"Pass",IF(AND(G1300="N/A",H1300="N/A",J1300&lt;&gt;"",OR(E1300="CEM-FUELS",E1300="CEM-CCS",AND(E1300="CEM-PLAN",IFERROR(INDEX('Taxonomy'!$M$9:$M$108,MATCH(D1300,'Taxonomy'!$C$9:$C$108,0)),"")&lt;&gt;"Amber"),E1300="BLD-TIMBER",AND(U1300="Building equipment",OR(E1300="BLD-WATER",E1300="BLD-WASTE",E1300="BLD-LAND")),AND(U1300="Building renovation",E1300="BLD-LAND"))),"N/A","Pending"))))))</x:f>
      </x:c>
      <x:c r="Q1300" s="3" t="str">
        <x:f>IF(C1300="","",IF(AND(R1300="Valid",OR(P1300="Pass",P1300="N/A")),"Complete","Unresolved"))</x:f>
      </x:c>
      <x:c r="R1300" s="9" t="str">
        <x:f>IF(C1300="","",IF(OR(COUNTIF($C$9:$C$2008,C1300)&lt;&gt;1,COUNTIFS($D$9:$D$2008,D1300,$E$9:$E$2008,E1300)&lt;&gt;1),"Duplicate test",IF(COUNTIF('Taxonomy'!$C$9:$C$108,D1300)&lt;&gt;1,"Assessment key",IF(OR(COUNTIF('Taxonomy Rules'!$C$42:$C$68,E1300)&lt;&gt;1,F1300&lt;&gt;IFERROR(INDEX('Taxonomy Rules'!$D$42:$D$68,MATCH(E1300,'Taxonomy Rules'!$C$42:$C$68,0)),""),NOT(OR(IFERROR(INDEX('Taxonomy Rules'!$G$42:$G$68,MATCH(E1300,'Taxonomy Rules'!$C$42:$C$68,0)),"")="All supported routes",IFERROR(INDEX('Taxonomy Rules'!$G$42:$G$68,MATCH(E1300,'Taxonomy Rules'!$C$42:$C$68,0)),"")=U1300,AND(IFERROR(INDEX('Taxonomy Rules'!$G$42:$G$68,MATCH(E1300,'Taxonomy Rules'!$C$42:$C$68,0)),"")="Building routes",OR(U1300="Building renovation",U1300="New building",U1300="Building equipment"))))),"Unexpected test","Valid"))))</x:f>
      </x:c>
      <x:c r="S1300" s="9" t="str">
        <x:f>IF(C1300="","",IFERROR(INDEX('Taxonomy Rules'!$E$42:$E$68,MATCH(E1300,'Taxonomy Rules'!$C$42:$C$68,0)),""))</x:f>
      </x:c>
      <x:c r="T1300" s="9" t="str">
        <x:f>IF(C1300="","",IFERROR(INDEX('Taxonomy Rules'!$F$42:$F$68,MATCH(E1300,'Taxonomy Rules'!$C$42:$C$68,0)),""))</x:f>
      </x:c>
      <x:c r="U1300" s="9" t="str">
        <x:f>IF(C1300="","",IFERROR(INDEX('Taxonomy'!$G$9:$G$108,MATCH(D1300,'Taxonomy'!$C$9:$C$108,0)),""))</x:f>
      </x:c>
    </x:row>
    <x:row r="1301" ht="44" customHeight="1">
      <x:c r="A1301" s="1"/>
      <x:c r="B1301" s="1"/>
      <x:c r="C1301" s="8"/>
      <x:c r="D1301" s="8"/>
      <x:c r="E1301" s="8"/>
      <x:c r="F1301" s="8"/>
      <x:c r="G1301" s="8"/>
      <x:c r="H1301" s="8"/>
      <x:c r="I1301" s="8"/>
      <x:c r="J1301" s="8"/>
      <x:c r="K1301" s="8"/>
      <x:c r="L1301" s="8"/>
      <x:c r="M1301" s="10"/>
      <x:c r="N1301" s="10"/>
      <x:c r="O1301" s="8"/>
      <x:c r="P1301" s="9" t="str">
        <x:f>IF(C1301="","",IF(AND(G1301="Applicable",H1301="Fail"),"Fail",IF(R1301&lt;&gt;"Valid","Pending",IF(OR(I1301="",K1301="",L1301="",K1301=L1301,NOT(ISNUMBER(M1301)),NOT(ISNUMBER(N1301)),M1301&gt;Settings!$F$8,N1301&lt;Settings!$F$8,N1301&lt;M1301),"Pending",IF(AND(G1301="Applicable",H1301="Pass"),"Pass",IF(AND(G1301="N/A",H1301="N/A",J1301&lt;&gt;"",OR(E1301="CEM-FUELS",E1301="CEM-CCS",AND(E1301="CEM-PLAN",IFERROR(INDEX('Taxonomy'!$M$9:$M$108,MATCH(D1301,'Taxonomy'!$C$9:$C$108,0)),"")&lt;&gt;"Amber"),E1301="BLD-TIMBER",AND(U1301="Building equipment",OR(E1301="BLD-WATER",E1301="BLD-WASTE",E1301="BLD-LAND")),AND(U1301="Building renovation",E1301="BLD-LAND"))),"N/A","Pending"))))))</x:f>
      </x:c>
      <x:c r="Q1301" s="3" t="str">
        <x:f>IF(C1301="","",IF(AND(R1301="Valid",OR(P1301="Pass",P1301="N/A")),"Complete","Unresolved"))</x:f>
      </x:c>
      <x:c r="R1301" s="9" t="str">
        <x:f>IF(C1301="","",IF(OR(COUNTIF($C$9:$C$2008,C1301)&lt;&gt;1,COUNTIFS($D$9:$D$2008,D1301,$E$9:$E$2008,E1301)&lt;&gt;1),"Duplicate test",IF(COUNTIF('Taxonomy'!$C$9:$C$108,D1301)&lt;&gt;1,"Assessment key",IF(OR(COUNTIF('Taxonomy Rules'!$C$42:$C$68,E1301)&lt;&gt;1,F1301&lt;&gt;IFERROR(INDEX('Taxonomy Rules'!$D$42:$D$68,MATCH(E1301,'Taxonomy Rules'!$C$42:$C$68,0)),""),NOT(OR(IFERROR(INDEX('Taxonomy Rules'!$G$42:$G$68,MATCH(E1301,'Taxonomy Rules'!$C$42:$C$68,0)),"")="All supported routes",IFERROR(INDEX('Taxonomy Rules'!$G$42:$G$68,MATCH(E1301,'Taxonomy Rules'!$C$42:$C$68,0)),"")=U1301,AND(IFERROR(INDEX('Taxonomy Rules'!$G$42:$G$68,MATCH(E1301,'Taxonomy Rules'!$C$42:$C$68,0)),"")="Building routes",OR(U1301="Building renovation",U1301="New building",U1301="Building equipment"))))),"Unexpected test","Valid"))))</x:f>
      </x:c>
      <x:c r="S1301" s="9" t="str">
        <x:f>IF(C1301="","",IFERROR(INDEX('Taxonomy Rules'!$E$42:$E$68,MATCH(E1301,'Taxonomy Rules'!$C$42:$C$68,0)),""))</x:f>
      </x:c>
      <x:c r="T1301" s="9" t="str">
        <x:f>IF(C1301="","",IFERROR(INDEX('Taxonomy Rules'!$F$42:$F$68,MATCH(E1301,'Taxonomy Rules'!$C$42:$C$68,0)),""))</x:f>
      </x:c>
      <x:c r="U1301" s="9" t="str">
        <x:f>IF(C1301="","",IFERROR(INDEX('Taxonomy'!$G$9:$G$108,MATCH(D1301,'Taxonomy'!$C$9:$C$108,0)),""))</x:f>
      </x:c>
    </x:row>
    <x:row r="1302" ht="44" customHeight="1">
      <x:c r="A1302" s="1"/>
      <x:c r="B1302" s="1"/>
      <x:c r="C1302" s="8"/>
      <x:c r="D1302" s="8"/>
      <x:c r="E1302" s="8"/>
      <x:c r="F1302" s="8"/>
      <x:c r="G1302" s="8"/>
      <x:c r="H1302" s="8"/>
      <x:c r="I1302" s="8"/>
      <x:c r="J1302" s="8"/>
      <x:c r="K1302" s="8"/>
      <x:c r="L1302" s="8"/>
      <x:c r="M1302" s="10"/>
      <x:c r="N1302" s="10"/>
      <x:c r="O1302" s="8"/>
      <x:c r="P1302" s="9" t="str">
        <x:f>IF(C1302="","",IF(AND(G1302="Applicable",H1302="Fail"),"Fail",IF(R1302&lt;&gt;"Valid","Pending",IF(OR(I1302="",K1302="",L1302="",K1302=L1302,NOT(ISNUMBER(M1302)),NOT(ISNUMBER(N1302)),M1302&gt;Settings!$F$8,N1302&lt;Settings!$F$8,N1302&lt;M1302),"Pending",IF(AND(G1302="Applicable",H1302="Pass"),"Pass",IF(AND(G1302="N/A",H1302="N/A",J1302&lt;&gt;"",OR(E1302="CEM-FUELS",E1302="CEM-CCS",AND(E1302="CEM-PLAN",IFERROR(INDEX('Taxonomy'!$M$9:$M$108,MATCH(D1302,'Taxonomy'!$C$9:$C$108,0)),"")&lt;&gt;"Amber"),E1302="BLD-TIMBER",AND(U1302="Building equipment",OR(E1302="BLD-WATER",E1302="BLD-WASTE",E1302="BLD-LAND")),AND(U1302="Building renovation",E1302="BLD-LAND"))),"N/A","Pending"))))))</x:f>
      </x:c>
      <x:c r="Q1302" s="3" t="str">
        <x:f>IF(C1302="","",IF(AND(R1302="Valid",OR(P1302="Pass",P1302="N/A")),"Complete","Unresolved"))</x:f>
      </x:c>
      <x:c r="R1302" s="9" t="str">
        <x:f>IF(C1302="","",IF(OR(COUNTIF($C$9:$C$2008,C1302)&lt;&gt;1,COUNTIFS($D$9:$D$2008,D1302,$E$9:$E$2008,E1302)&lt;&gt;1),"Duplicate test",IF(COUNTIF('Taxonomy'!$C$9:$C$108,D1302)&lt;&gt;1,"Assessment key",IF(OR(COUNTIF('Taxonomy Rules'!$C$42:$C$68,E1302)&lt;&gt;1,F1302&lt;&gt;IFERROR(INDEX('Taxonomy Rules'!$D$42:$D$68,MATCH(E1302,'Taxonomy Rules'!$C$42:$C$68,0)),""),NOT(OR(IFERROR(INDEX('Taxonomy Rules'!$G$42:$G$68,MATCH(E1302,'Taxonomy Rules'!$C$42:$C$68,0)),"")="All supported routes",IFERROR(INDEX('Taxonomy Rules'!$G$42:$G$68,MATCH(E1302,'Taxonomy Rules'!$C$42:$C$68,0)),"")=U1302,AND(IFERROR(INDEX('Taxonomy Rules'!$G$42:$G$68,MATCH(E1302,'Taxonomy Rules'!$C$42:$C$68,0)),"")="Building routes",OR(U1302="Building renovation",U1302="New building",U1302="Building equipment"))))),"Unexpected test","Valid"))))</x:f>
      </x:c>
      <x:c r="S1302" s="9" t="str">
        <x:f>IF(C1302="","",IFERROR(INDEX('Taxonomy Rules'!$E$42:$E$68,MATCH(E1302,'Taxonomy Rules'!$C$42:$C$68,0)),""))</x:f>
      </x:c>
      <x:c r="T1302" s="9" t="str">
        <x:f>IF(C1302="","",IFERROR(INDEX('Taxonomy Rules'!$F$42:$F$68,MATCH(E1302,'Taxonomy Rules'!$C$42:$C$68,0)),""))</x:f>
      </x:c>
      <x:c r="U1302" s="9" t="str">
        <x:f>IF(C1302="","",IFERROR(INDEX('Taxonomy'!$G$9:$G$108,MATCH(D1302,'Taxonomy'!$C$9:$C$108,0)),""))</x:f>
      </x:c>
    </x:row>
    <x:row r="1303" ht="44" customHeight="1">
      <x:c r="A1303" s="1"/>
      <x:c r="B1303" s="1"/>
      <x:c r="C1303" s="8"/>
      <x:c r="D1303" s="8"/>
      <x:c r="E1303" s="8"/>
      <x:c r="F1303" s="8"/>
      <x:c r="G1303" s="8"/>
      <x:c r="H1303" s="8"/>
      <x:c r="I1303" s="8"/>
      <x:c r="J1303" s="8"/>
      <x:c r="K1303" s="8"/>
      <x:c r="L1303" s="8"/>
      <x:c r="M1303" s="10"/>
      <x:c r="N1303" s="10"/>
      <x:c r="O1303" s="8"/>
      <x:c r="P1303" s="9" t="str">
        <x:f>IF(C1303="","",IF(AND(G1303="Applicable",H1303="Fail"),"Fail",IF(R1303&lt;&gt;"Valid","Pending",IF(OR(I1303="",K1303="",L1303="",K1303=L1303,NOT(ISNUMBER(M1303)),NOT(ISNUMBER(N1303)),M1303&gt;Settings!$F$8,N1303&lt;Settings!$F$8,N1303&lt;M1303),"Pending",IF(AND(G1303="Applicable",H1303="Pass"),"Pass",IF(AND(G1303="N/A",H1303="N/A",J1303&lt;&gt;"",OR(E1303="CEM-FUELS",E1303="CEM-CCS",AND(E1303="CEM-PLAN",IFERROR(INDEX('Taxonomy'!$M$9:$M$108,MATCH(D1303,'Taxonomy'!$C$9:$C$108,0)),"")&lt;&gt;"Amber"),E1303="BLD-TIMBER",AND(U1303="Building equipment",OR(E1303="BLD-WATER",E1303="BLD-WASTE",E1303="BLD-LAND")),AND(U1303="Building renovation",E1303="BLD-LAND"))),"N/A","Pending"))))))</x:f>
      </x:c>
      <x:c r="Q1303" s="3" t="str">
        <x:f>IF(C1303="","",IF(AND(R1303="Valid",OR(P1303="Pass",P1303="N/A")),"Complete","Unresolved"))</x:f>
      </x:c>
      <x:c r="R1303" s="9" t="str">
        <x:f>IF(C1303="","",IF(OR(COUNTIF($C$9:$C$2008,C1303)&lt;&gt;1,COUNTIFS($D$9:$D$2008,D1303,$E$9:$E$2008,E1303)&lt;&gt;1),"Duplicate test",IF(COUNTIF('Taxonomy'!$C$9:$C$108,D1303)&lt;&gt;1,"Assessment key",IF(OR(COUNTIF('Taxonomy Rules'!$C$42:$C$68,E1303)&lt;&gt;1,F1303&lt;&gt;IFERROR(INDEX('Taxonomy Rules'!$D$42:$D$68,MATCH(E1303,'Taxonomy Rules'!$C$42:$C$68,0)),""),NOT(OR(IFERROR(INDEX('Taxonomy Rules'!$G$42:$G$68,MATCH(E1303,'Taxonomy Rules'!$C$42:$C$68,0)),"")="All supported routes",IFERROR(INDEX('Taxonomy Rules'!$G$42:$G$68,MATCH(E1303,'Taxonomy Rules'!$C$42:$C$68,0)),"")=U1303,AND(IFERROR(INDEX('Taxonomy Rules'!$G$42:$G$68,MATCH(E1303,'Taxonomy Rules'!$C$42:$C$68,0)),"")="Building routes",OR(U1303="Building renovation",U1303="New building",U1303="Building equipment"))))),"Unexpected test","Valid"))))</x:f>
      </x:c>
      <x:c r="S1303" s="9" t="str">
        <x:f>IF(C1303="","",IFERROR(INDEX('Taxonomy Rules'!$E$42:$E$68,MATCH(E1303,'Taxonomy Rules'!$C$42:$C$68,0)),""))</x:f>
      </x:c>
      <x:c r="T1303" s="9" t="str">
        <x:f>IF(C1303="","",IFERROR(INDEX('Taxonomy Rules'!$F$42:$F$68,MATCH(E1303,'Taxonomy Rules'!$C$42:$C$68,0)),""))</x:f>
      </x:c>
      <x:c r="U1303" s="9" t="str">
        <x:f>IF(C1303="","",IFERROR(INDEX('Taxonomy'!$G$9:$G$108,MATCH(D1303,'Taxonomy'!$C$9:$C$108,0)),""))</x:f>
      </x:c>
    </x:row>
    <x:row r="1304" ht="44" customHeight="1">
      <x:c r="A1304" s="1"/>
      <x:c r="B1304" s="1"/>
      <x:c r="C1304" s="8"/>
      <x:c r="D1304" s="8"/>
      <x:c r="E1304" s="8"/>
      <x:c r="F1304" s="8"/>
      <x:c r="G1304" s="8"/>
      <x:c r="H1304" s="8"/>
      <x:c r="I1304" s="8"/>
      <x:c r="J1304" s="8"/>
      <x:c r="K1304" s="8"/>
      <x:c r="L1304" s="8"/>
      <x:c r="M1304" s="10"/>
      <x:c r="N1304" s="10"/>
      <x:c r="O1304" s="8"/>
      <x:c r="P1304" s="9" t="str">
        <x:f>IF(C1304="","",IF(AND(G1304="Applicable",H1304="Fail"),"Fail",IF(R1304&lt;&gt;"Valid","Pending",IF(OR(I1304="",K1304="",L1304="",K1304=L1304,NOT(ISNUMBER(M1304)),NOT(ISNUMBER(N1304)),M1304&gt;Settings!$F$8,N1304&lt;Settings!$F$8,N1304&lt;M1304),"Pending",IF(AND(G1304="Applicable",H1304="Pass"),"Pass",IF(AND(G1304="N/A",H1304="N/A",J1304&lt;&gt;"",OR(E1304="CEM-FUELS",E1304="CEM-CCS",AND(E1304="CEM-PLAN",IFERROR(INDEX('Taxonomy'!$M$9:$M$108,MATCH(D1304,'Taxonomy'!$C$9:$C$108,0)),"")&lt;&gt;"Amber"),E1304="BLD-TIMBER",AND(U1304="Building equipment",OR(E1304="BLD-WATER",E1304="BLD-WASTE",E1304="BLD-LAND")),AND(U1304="Building renovation",E1304="BLD-LAND"))),"N/A","Pending"))))))</x:f>
      </x:c>
      <x:c r="Q1304" s="3" t="str">
        <x:f>IF(C1304="","",IF(AND(R1304="Valid",OR(P1304="Pass",P1304="N/A")),"Complete","Unresolved"))</x:f>
      </x:c>
      <x:c r="R1304" s="9" t="str">
        <x:f>IF(C1304="","",IF(OR(COUNTIF($C$9:$C$2008,C1304)&lt;&gt;1,COUNTIFS($D$9:$D$2008,D1304,$E$9:$E$2008,E1304)&lt;&gt;1),"Duplicate test",IF(COUNTIF('Taxonomy'!$C$9:$C$108,D1304)&lt;&gt;1,"Assessment key",IF(OR(COUNTIF('Taxonomy Rules'!$C$42:$C$68,E1304)&lt;&gt;1,F1304&lt;&gt;IFERROR(INDEX('Taxonomy Rules'!$D$42:$D$68,MATCH(E1304,'Taxonomy Rules'!$C$42:$C$68,0)),""),NOT(OR(IFERROR(INDEX('Taxonomy Rules'!$G$42:$G$68,MATCH(E1304,'Taxonomy Rules'!$C$42:$C$68,0)),"")="All supported routes",IFERROR(INDEX('Taxonomy Rules'!$G$42:$G$68,MATCH(E1304,'Taxonomy Rules'!$C$42:$C$68,0)),"")=U1304,AND(IFERROR(INDEX('Taxonomy Rules'!$G$42:$G$68,MATCH(E1304,'Taxonomy Rules'!$C$42:$C$68,0)),"")="Building routes",OR(U1304="Building renovation",U1304="New building",U1304="Building equipment"))))),"Unexpected test","Valid"))))</x:f>
      </x:c>
      <x:c r="S1304" s="9" t="str">
        <x:f>IF(C1304="","",IFERROR(INDEX('Taxonomy Rules'!$E$42:$E$68,MATCH(E1304,'Taxonomy Rules'!$C$42:$C$68,0)),""))</x:f>
      </x:c>
      <x:c r="T1304" s="9" t="str">
        <x:f>IF(C1304="","",IFERROR(INDEX('Taxonomy Rules'!$F$42:$F$68,MATCH(E1304,'Taxonomy Rules'!$C$42:$C$68,0)),""))</x:f>
      </x:c>
      <x:c r="U1304" s="9" t="str">
        <x:f>IF(C1304="","",IFERROR(INDEX('Taxonomy'!$G$9:$G$108,MATCH(D1304,'Taxonomy'!$C$9:$C$108,0)),""))</x:f>
      </x:c>
    </x:row>
    <x:row r="1305" ht="44" customHeight="1">
      <x:c r="A1305" s="1"/>
      <x:c r="B1305" s="1"/>
      <x:c r="C1305" s="8"/>
      <x:c r="D1305" s="8"/>
      <x:c r="E1305" s="8"/>
      <x:c r="F1305" s="8"/>
      <x:c r="G1305" s="8"/>
      <x:c r="H1305" s="8"/>
      <x:c r="I1305" s="8"/>
      <x:c r="J1305" s="8"/>
      <x:c r="K1305" s="8"/>
      <x:c r="L1305" s="8"/>
      <x:c r="M1305" s="10"/>
      <x:c r="N1305" s="10"/>
      <x:c r="O1305" s="8"/>
      <x:c r="P1305" s="9" t="str">
        <x:f>IF(C1305="","",IF(AND(G1305="Applicable",H1305="Fail"),"Fail",IF(R1305&lt;&gt;"Valid","Pending",IF(OR(I1305="",K1305="",L1305="",K1305=L1305,NOT(ISNUMBER(M1305)),NOT(ISNUMBER(N1305)),M1305&gt;Settings!$F$8,N1305&lt;Settings!$F$8,N1305&lt;M1305),"Pending",IF(AND(G1305="Applicable",H1305="Pass"),"Pass",IF(AND(G1305="N/A",H1305="N/A",J1305&lt;&gt;"",OR(E1305="CEM-FUELS",E1305="CEM-CCS",AND(E1305="CEM-PLAN",IFERROR(INDEX('Taxonomy'!$M$9:$M$108,MATCH(D1305,'Taxonomy'!$C$9:$C$108,0)),"")&lt;&gt;"Amber"),E1305="BLD-TIMBER",AND(U1305="Building equipment",OR(E1305="BLD-WATER",E1305="BLD-WASTE",E1305="BLD-LAND")),AND(U1305="Building renovation",E1305="BLD-LAND"))),"N/A","Pending"))))))</x:f>
      </x:c>
      <x:c r="Q1305" s="3" t="str">
        <x:f>IF(C1305="","",IF(AND(R1305="Valid",OR(P1305="Pass",P1305="N/A")),"Complete","Unresolved"))</x:f>
      </x:c>
      <x:c r="R1305" s="9" t="str">
        <x:f>IF(C1305="","",IF(OR(COUNTIF($C$9:$C$2008,C1305)&lt;&gt;1,COUNTIFS($D$9:$D$2008,D1305,$E$9:$E$2008,E1305)&lt;&gt;1),"Duplicate test",IF(COUNTIF('Taxonomy'!$C$9:$C$108,D1305)&lt;&gt;1,"Assessment key",IF(OR(COUNTIF('Taxonomy Rules'!$C$42:$C$68,E1305)&lt;&gt;1,F1305&lt;&gt;IFERROR(INDEX('Taxonomy Rules'!$D$42:$D$68,MATCH(E1305,'Taxonomy Rules'!$C$42:$C$68,0)),""),NOT(OR(IFERROR(INDEX('Taxonomy Rules'!$G$42:$G$68,MATCH(E1305,'Taxonomy Rules'!$C$42:$C$68,0)),"")="All supported routes",IFERROR(INDEX('Taxonomy Rules'!$G$42:$G$68,MATCH(E1305,'Taxonomy Rules'!$C$42:$C$68,0)),"")=U1305,AND(IFERROR(INDEX('Taxonomy Rules'!$G$42:$G$68,MATCH(E1305,'Taxonomy Rules'!$C$42:$C$68,0)),"")="Building routes",OR(U1305="Building renovation",U1305="New building",U1305="Building equipment"))))),"Unexpected test","Valid"))))</x:f>
      </x:c>
      <x:c r="S1305" s="9" t="str">
        <x:f>IF(C1305="","",IFERROR(INDEX('Taxonomy Rules'!$E$42:$E$68,MATCH(E1305,'Taxonomy Rules'!$C$42:$C$68,0)),""))</x:f>
      </x:c>
      <x:c r="T1305" s="9" t="str">
        <x:f>IF(C1305="","",IFERROR(INDEX('Taxonomy Rules'!$F$42:$F$68,MATCH(E1305,'Taxonomy Rules'!$C$42:$C$68,0)),""))</x:f>
      </x:c>
      <x:c r="U1305" s="9" t="str">
        <x:f>IF(C1305="","",IFERROR(INDEX('Taxonomy'!$G$9:$G$108,MATCH(D1305,'Taxonomy'!$C$9:$C$108,0)),""))</x:f>
      </x:c>
    </x:row>
    <x:row r="1306" ht="44" customHeight="1">
      <x:c r="A1306" s="1"/>
      <x:c r="B1306" s="1"/>
      <x:c r="C1306" s="8"/>
      <x:c r="D1306" s="8"/>
      <x:c r="E1306" s="8"/>
      <x:c r="F1306" s="8"/>
      <x:c r="G1306" s="8"/>
      <x:c r="H1306" s="8"/>
      <x:c r="I1306" s="8"/>
      <x:c r="J1306" s="8"/>
      <x:c r="K1306" s="8"/>
      <x:c r="L1306" s="8"/>
      <x:c r="M1306" s="10"/>
      <x:c r="N1306" s="10"/>
      <x:c r="O1306" s="8"/>
      <x:c r="P1306" s="9" t="str">
        <x:f>IF(C1306="","",IF(AND(G1306="Applicable",H1306="Fail"),"Fail",IF(R1306&lt;&gt;"Valid","Pending",IF(OR(I1306="",K1306="",L1306="",K1306=L1306,NOT(ISNUMBER(M1306)),NOT(ISNUMBER(N1306)),M1306&gt;Settings!$F$8,N1306&lt;Settings!$F$8,N1306&lt;M1306),"Pending",IF(AND(G1306="Applicable",H1306="Pass"),"Pass",IF(AND(G1306="N/A",H1306="N/A",J1306&lt;&gt;"",OR(E1306="CEM-FUELS",E1306="CEM-CCS",AND(E1306="CEM-PLAN",IFERROR(INDEX('Taxonomy'!$M$9:$M$108,MATCH(D1306,'Taxonomy'!$C$9:$C$108,0)),"")&lt;&gt;"Amber"),E1306="BLD-TIMBER",AND(U1306="Building equipment",OR(E1306="BLD-WATER",E1306="BLD-WASTE",E1306="BLD-LAND")),AND(U1306="Building renovation",E1306="BLD-LAND"))),"N/A","Pending"))))))</x:f>
      </x:c>
      <x:c r="Q1306" s="3" t="str">
        <x:f>IF(C1306="","",IF(AND(R1306="Valid",OR(P1306="Pass",P1306="N/A")),"Complete","Unresolved"))</x:f>
      </x:c>
      <x:c r="R1306" s="9" t="str">
        <x:f>IF(C1306="","",IF(OR(COUNTIF($C$9:$C$2008,C1306)&lt;&gt;1,COUNTIFS($D$9:$D$2008,D1306,$E$9:$E$2008,E1306)&lt;&gt;1),"Duplicate test",IF(COUNTIF('Taxonomy'!$C$9:$C$108,D1306)&lt;&gt;1,"Assessment key",IF(OR(COUNTIF('Taxonomy Rules'!$C$42:$C$68,E1306)&lt;&gt;1,F1306&lt;&gt;IFERROR(INDEX('Taxonomy Rules'!$D$42:$D$68,MATCH(E1306,'Taxonomy Rules'!$C$42:$C$68,0)),""),NOT(OR(IFERROR(INDEX('Taxonomy Rules'!$G$42:$G$68,MATCH(E1306,'Taxonomy Rules'!$C$42:$C$68,0)),"")="All supported routes",IFERROR(INDEX('Taxonomy Rules'!$G$42:$G$68,MATCH(E1306,'Taxonomy Rules'!$C$42:$C$68,0)),"")=U1306,AND(IFERROR(INDEX('Taxonomy Rules'!$G$42:$G$68,MATCH(E1306,'Taxonomy Rules'!$C$42:$C$68,0)),"")="Building routes",OR(U1306="Building renovation",U1306="New building",U1306="Building equipment"))))),"Unexpected test","Valid"))))</x:f>
      </x:c>
      <x:c r="S1306" s="9" t="str">
        <x:f>IF(C1306="","",IFERROR(INDEX('Taxonomy Rules'!$E$42:$E$68,MATCH(E1306,'Taxonomy Rules'!$C$42:$C$68,0)),""))</x:f>
      </x:c>
      <x:c r="T1306" s="9" t="str">
        <x:f>IF(C1306="","",IFERROR(INDEX('Taxonomy Rules'!$F$42:$F$68,MATCH(E1306,'Taxonomy Rules'!$C$42:$C$68,0)),""))</x:f>
      </x:c>
      <x:c r="U1306" s="9" t="str">
        <x:f>IF(C1306="","",IFERROR(INDEX('Taxonomy'!$G$9:$G$108,MATCH(D1306,'Taxonomy'!$C$9:$C$108,0)),""))</x:f>
      </x:c>
    </x:row>
    <x:row r="1307" ht="44" customHeight="1">
      <x:c r="A1307" s="1"/>
      <x:c r="B1307" s="1"/>
      <x:c r="C1307" s="8"/>
      <x:c r="D1307" s="8"/>
      <x:c r="E1307" s="8"/>
      <x:c r="F1307" s="8"/>
      <x:c r="G1307" s="8"/>
      <x:c r="H1307" s="8"/>
      <x:c r="I1307" s="8"/>
      <x:c r="J1307" s="8"/>
      <x:c r="K1307" s="8"/>
      <x:c r="L1307" s="8"/>
      <x:c r="M1307" s="10"/>
      <x:c r="N1307" s="10"/>
      <x:c r="O1307" s="8"/>
      <x:c r="P1307" s="9" t="str">
        <x:f>IF(C1307="","",IF(AND(G1307="Applicable",H1307="Fail"),"Fail",IF(R1307&lt;&gt;"Valid","Pending",IF(OR(I1307="",K1307="",L1307="",K1307=L1307,NOT(ISNUMBER(M1307)),NOT(ISNUMBER(N1307)),M1307&gt;Settings!$F$8,N1307&lt;Settings!$F$8,N1307&lt;M1307),"Pending",IF(AND(G1307="Applicable",H1307="Pass"),"Pass",IF(AND(G1307="N/A",H1307="N/A",J1307&lt;&gt;"",OR(E1307="CEM-FUELS",E1307="CEM-CCS",AND(E1307="CEM-PLAN",IFERROR(INDEX('Taxonomy'!$M$9:$M$108,MATCH(D1307,'Taxonomy'!$C$9:$C$108,0)),"")&lt;&gt;"Amber"),E1307="BLD-TIMBER",AND(U1307="Building equipment",OR(E1307="BLD-WATER",E1307="BLD-WASTE",E1307="BLD-LAND")),AND(U1307="Building renovation",E1307="BLD-LAND"))),"N/A","Pending"))))))</x:f>
      </x:c>
      <x:c r="Q1307" s="3" t="str">
        <x:f>IF(C1307="","",IF(AND(R1307="Valid",OR(P1307="Pass",P1307="N/A")),"Complete","Unresolved"))</x:f>
      </x:c>
      <x:c r="R1307" s="9" t="str">
        <x:f>IF(C1307="","",IF(OR(COUNTIF($C$9:$C$2008,C1307)&lt;&gt;1,COUNTIFS($D$9:$D$2008,D1307,$E$9:$E$2008,E1307)&lt;&gt;1),"Duplicate test",IF(COUNTIF('Taxonomy'!$C$9:$C$108,D1307)&lt;&gt;1,"Assessment key",IF(OR(COUNTIF('Taxonomy Rules'!$C$42:$C$68,E1307)&lt;&gt;1,F1307&lt;&gt;IFERROR(INDEX('Taxonomy Rules'!$D$42:$D$68,MATCH(E1307,'Taxonomy Rules'!$C$42:$C$68,0)),""),NOT(OR(IFERROR(INDEX('Taxonomy Rules'!$G$42:$G$68,MATCH(E1307,'Taxonomy Rules'!$C$42:$C$68,0)),"")="All supported routes",IFERROR(INDEX('Taxonomy Rules'!$G$42:$G$68,MATCH(E1307,'Taxonomy Rules'!$C$42:$C$68,0)),"")=U1307,AND(IFERROR(INDEX('Taxonomy Rules'!$G$42:$G$68,MATCH(E1307,'Taxonomy Rules'!$C$42:$C$68,0)),"")="Building routes",OR(U1307="Building renovation",U1307="New building",U1307="Building equipment"))))),"Unexpected test","Valid"))))</x:f>
      </x:c>
      <x:c r="S1307" s="9" t="str">
        <x:f>IF(C1307="","",IFERROR(INDEX('Taxonomy Rules'!$E$42:$E$68,MATCH(E1307,'Taxonomy Rules'!$C$42:$C$68,0)),""))</x:f>
      </x:c>
      <x:c r="T1307" s="9" t="str">
        <x:f>IF(C1307="","",IFERROR(INDEX('Taxonomy Rules'!$F$42:$F$68,MATCH(E1307,'Taxonomy Rules'!$C$42:$C$68,0)),""))</x:f>
      </x:c>
      <x:c r="U1307" s="9" t="str">
        <x:f>IF(C1307="","",IFERROR(INDEX('Taxonomy'!$G$9:$G$108,MATCH(D1307,'Taxonomy'!$C$9:$C$108,0)),""))</x:f>
      </x:c>
    </x:row>
    <x:row r="1308" ht="44" customHeight="1">
      <x:c r="A1308" s="1"/>
      <x:c r="B1308" s="1"/>
      <x:c r="C1308" s="8"/>
      <x:c r="D1308" s="8"/>
      <x:c r="E1308" s="8"/>
      <x:c r="F1308" s="8"/>
      <x:c r="G1308" s="8"/>
      <x:c r="H1308" s="8"/>
      <x:c r="I1308" s="8"/>
      <x:c r="J1308" s="8"/>
      <x:c r="K1308" s="8"/>
      <x:c r="L1308" s="8"/>
      <x:c r="M1308" s="10"/>
      <x:c r="N1308" s="10"/>
      <x:c r="O1308" s="8"/>
      <x:c r="P1308" s="9" t="str">
        <x:f>IF(C1308="","",IF(AND(G1308="Applicable",H1308="Fail"),"Fail",IF(R1308&lt;&gt;"Valid","Pending",IF(OR(I1308="",K1308="",L1308="",K1308=L1308,NOT(ISNUMBER(M1308)),NOT(ISNUMBER(N1308)),M1308&gt;Settings!$F$8,N1308&lt;Settings!$F$8,N1308&lt;M1308),"Pending",IF(AND(G1308="Applicable",H1308="Pass"),"Pass",IF(AND(G1308="N/A",H1308="N/A",J1308&lt;&gt;"",OR(E1308="CEM-FUELS",E1308="CEM-CCS",AND(E1308="CEM-PLAN",IFERROR(INDEX('Taxonomy'!$M$9:$M$108,MATCH(D1308,'Taxonomy'!$C$9:$C$108,0)),"")&lt;&gt;"Amber"),E1308="BLD-TIMBER",AND(U1308="Building equipment",OR(E1308="BLD-WATER",E1308="BLD-WASTE",E1308="BLD-LAND")),AND(U1308="Building renovation",E1308="BLD-LAND"))),"N/A","Pending"))))))</x:f>
      </x:c>
      <x:c r="Q1308" s="3" t="str">
        <x:f>IF(C1308="","",IF(AND(R1308="Valid",OR(P1308="Pass",P1308="N/A")),"Complete","Unresolved"))</x:f>
      </x:c>
      <x:c r="R1308" s="9" t="str">
        <x:f>IF(C1308="","",IF(OR(COUNTIF($C$9:$C$2008,C1308)&lt;&gt;1,COUNTIFS($D$9:$D$2008,D1308,$E$9:$E$2008,E1308)&lt;&gt;1),"Duplicate test",IF(COUNTIF('Taxonomy'!$C$9:$C$108,D1308)&lt;&gt;1,"Assessment key",IF(OR(COUNTIF('Taxonomy Rules'!$C$42:$C$68,E1308)&lt;&gt;1,F1308&lt;&gt;IFERROR(INDEX('Taxonomy Rules'!$D$42:$D$68,MATCH(E1308,'Taxonomy Rules'!$C$42:$C$68,0)),""),NOT(OR(IFERROR(INDEX('Taxonomy Rules'!$G$42:$G$68,MATCH(E1308,'Taxonomy Rules'!$C$42:$C$68,0)),"")="All supported routes",IFERROR(INDEX('Taxonomy Rules'!$G$42:$G$68,MATCH(E1308,'Taxonomy Rules'!$C$42:$C$68,0)),"")=U1308,AND(IFERROR(INDEX('Taxonomy Rules'!$G$42:$G$68,MATCH(E1308,'Taxonomy Rules'!$C$42:$C$68,0)),"")="Building routes",OR(U1308="Building renovation",U1308="New building",U1308="Building equipment"))))),"Unexpected test","Valid"))))</x:f>
      </x:c>
      <x:c r="S1308" s="9" t="str">
        <x:f>IF(C1308="","",IFERROR(INDEX('Taxonomy Rules'!$E$42:$E$68,MATCH(E1308,'Taxonomy Rules'!$C$42:$C$68,0)),""))</x:f>
      </x:c>
      <x:c r="T1308" s="9" t="str">
        <x:f>IF(C1308="","",IFERROR(INDEX('Taxonomy Rules'!$F$42:$F$68,MATCH(E1308,'Taxonomy Rules'!$C$42:$C$68,0)),""))</x:f>
      </x:c>
      <x:c r="U1308" s="9" t="str">
        <x:f>IF(C1308="","",IFERROR(INDEX('Taxonomy'!$G$9:$G$108,MATCH(D1308,'Taxonomy'!$C$9:$C$108,0)),""))</x:f>
      </x:c>
    </x:row>
    <x:row r="1309" ht="44" customHeight="1">
      <x:c r="A1309" s="1"/>
      <x:c r="B1309" s="1"/>
      <x:c r="C1309" s="8"/>
      <x:c r="D1309" s="8"/>
      <x:c r="E1309" s="8"/>
      <x:c r="F1309" s="8"/>
      <x:c r="G1309" s="8"/>
      <x:c r="H1309" s="8"/>
      <x:c r="I1309" s="8"/>
      <x:c r="J1309" s="8"/>
      <x:c r="K1309" s="8"/>
      <x:c r="L1309" s="8"/>
      <x:c r="M1309" s="10"/>
      <x:c r="N1309" s="10"/>
      <x:c r="O1309" s="8"/>
      <x:c r="P1309" s="9" t="str">
        <x:f>IF(C1309="","",IF(AND(G1309="Applicable",H1309="Fail"),"Fail",IF(R1309&lt;&gt;"Valid","Pending",IF(OR(I1309="",K1309="",L1309="",K1309=L1309,NOT(ISNUMBER(M1309)),NOT(ISNUMBER(N1309)),M1309&gt;Settings!$F$8,N1309&lt;Settings!$F$8,N1309&lt;M1309),"Pending",IF(AND(G1309="Applicable",H1309="Pass"),"Pass",IF(AND(G1309="N/A",H1309="N/A",J1309&lt;&gt;"",OR(E1309="CEM-FUELS",E1309="CEM-CCS",AND(E1309="CEM-PLAN",IFERROR(INDEX('Taxonomy'!$M$9:$M$108,MATCH(D1309,'Taxonomy'!$C$9:$C$108,0)),"")&lt;&gt;"Amber"),E1309="BLD-TIMBER",AND(U1309="Building equipment",OR(E1309="BLD-WATER",E1309="BLD-WASTE",E1309="BLD-LAND")),AND(U1309="Building renovation",E1309="BLD-LAND"))),"N/A","Pending"))))))</x:f>
      </x:c>
      <x:c r="Q1309" s="3" t="str">
        <x:f>IF(C1309="","",IF(AND(R1309="Valid",OR(P1309="Pass",P1309="N/A")),"Complete","Unresolved"))</x:f>
      </x:c>
      <x:c r="R1309" s="9" t="str">
        <x:f>IF(C1309="","",IF(OR(COUNTIF($C$9:$C$2008,C1309)&lt;&gt;1,COUNTIFS($D$9:$D$2008,D1309,$E$9:$E$2008,E1309)&lt;&gt;1),"Duplicate test",IF(COUNTIF('Taxonomy'!$C$9:$C$108,D1309)&lt;&gt;1,"Assessment key",IF(OR(COUNTIF('Taxonomy Rules'!$C$42:$C$68,E1309)&lt;&gt;1,F1309&lt;&gt;IFERROR(INDEX('Taxonomy Rules'!$D$42:$D$68,MATCH(E1309,'Taxonomy Rules'!$C$42:$C$68,0)),""),NOT(OR(IFERROR(INDEX('Taxonomy Rules'!$G$42:$G$68,MATCH(E1309,'Taxonomy Rules'!$C$42:$C$68,0)),"")="All supported routes",IFERROR(INDEX('Taxonomy Rules'!$G$42:$G$68,MATCH(E1309,'Taxonomy Rules'!$C$42:$C$68,0)),"")=U1309,AND(IFERROR(INDEX('Taxonomy Rules'!$G$42:$G$68,MATCH(E1309,'Taxonomy Rules'!$C$42:$C$68,0)),"")="Building routes",OR(U1309="Building renovation",U1309="New building",U1309="Building equipment"))))),"Unexpected test","Valid"))))</x:f>
      </x:c>
      <x:c r="S1309" s="9" t="str">
        <x:f>IF(C1309="","",IFERROR(INDEX('Taxonomy Rules'!$E$42:$E$68,MATCH(E1309,'Taxonomy Rules'!$C$42:$C$68,0)),""))</x:f>
      </x:c>
      <x:c r="T1309" s="9" t="str">
        <x:f>IF(C1309="","",IFERROR(INDEX('Taxonomy Rules'!$F$42:$F$68,MATCH(E1309,'Taxonomy Rules'!$C$42:$C$68,0)),""))</x:f>
      </x:c>
      <x:c r="U1309" s="9" t="str">
        <x:f>IF(C1309="","",IFERROR(INDEX('Taxonomy'!$G$9:$G$108,MATCH(D1309,'Taxonomy'!$C$9:$C$108,0)),""))</x:f>
      </x:c>
    </x:row>
    <x:row r="1310" ht="44" customHeight="1">
      <x:c r="A1310" s="1"/>
      <x:c r="B1310" s="1"/>
      <x:c r="C1310" s="8"/>
      <x:c r="D1310" s="8"/>
      <x:c r="E1310" s="8"/>
      <x:c r="F1310" s="8"/>
      <x:c r="G1310" s="8"/>
      <x:c r="H1310" s="8"/>
      <x:c r="I1310" s="8"/>
      <x:c r="J1310" s="8"/>
      <x:c r="K1310" s="8"/>
      <x:c r="L1310" s="8"/>
      <x:c r="M1310" s="10"/>
      <x:c r="N1310" s="10"/>
      <x:c r="O1310" s="8"/>
      <x:c r="P1310" s="9" t="str">
        <x:f>IF(C1310="","",IF(AND(G1310="Applicable",H1310="Fail"),"Fail",IF(R1310&lt;&gt;"Valid","Pending",IF(OR(I1310="",K1310="",L1310="",K1310=L1310,NOT(ISNUMBER(M1310)),NOT(ISNUMBER(N1310)),M1310&gt;Settings!$F$8,N1310&lt;Settings!$F$8,N1310&lt;M1310),"Pending",IF(AND(G1310="Applicable",H1310="Pass"),"Pass",IF(AND(G1310="N/A",H1310="N/A",J1310&lt;&gt;"",OR(E1310="CEM-FUELS",E1310="CEM-CCS",AND(E1310="CEM-PLAN",IFERROR(INDEX('Taxonomy'!$M$9:$M$108,MATCH(D1310,'Taxonomy'!$C$9:$C$108,0)),"")&lt;&gt;"Amber"),E1310="BLD-TIMBER",AND(U1310="Building equipment",OR(E1310="BLD-WATER",E1310="BLD-WASTE",E1310="BLD-LAND")),AND(U1310="Building renovation",E1310="BLD-LAND"))),"N/A","Pending"))))))</x:f>
      </x:c>
      <x:c r="Q1310" s="3" t="str">
        <x:f>IF(C1310="","",IF(AND(R1310="Valid",OR(P1310="Pass",P1310="N/A")),"Complete","Unresolved"))</x:f>
      </x:c>
      <x:c r="R1310" s="9" t="str">
        <x:f>IF(C1310="","",IF(OR(COUNTIF($C$9:$C$2008,C1310)&lt;&gt;1,COUNTIFS($D$9:$D$2008,D1310,$E$9:$E$2008,E1310)&lt;&gt;1),"Duplicate test",IF(COUNTIF('Taxonomy'!$C$9:$C$108,D1310)&lt;&gt;1,"Assessment key",IF(OR(COUNTIF('Taxonomy Rules'!$C$42:$C$68,E1310)&lt;&gt;1,F1310&lt;&gt;IFERROR(INDEX('Taxonomy Rules'!$D$42:$D$68,MATCH(E1310,'Taxonomy Rules'!$C$42:$C$68,0)),""),NOT(OR(IFERROR(INDEX('Taxonomy Rules'!$G$42:$G$68,MATCH(E1310,'Taxonomy Rules'!$C$42:$C$68,0)),"")="All supported routes",IFERROR(INDEX('Taxonomy Rules'!$G$42:$G$68,MATCH(E1310,'Taxonomy Rules'!$C$42:$C$68,0)),"")=U1310,AND(IFERROR(INDEX('Taxonomy Rules'!$G$42:$G$68,MATCH(E1310,'Taxonomy Rules'!$C$42:$C$68,0)),"")="Building routes",OR(U1310="Building renovation",U1310="New building",U1310="Building equipment"))))),"Unexpected test","Valid"))))</x:f>
      </x:c>
      <x:c r="S1310" s="9" t="str">
        <x:f>IF(C1310="","",IFERROR(INDEX('Taxonomy Rules'!$E$42:$E$68,MATCH(E1310,'Taxonomy Rules'!$C$42:$C$68,0)),""))</x:f>
      </x:c>
      <x:c r="T1310" s="9" t="str">
        <x:f>IF(C1310="","",IFERROR(INDEX('Taxonomy Rules'!$F$42:$F$68,MATCH(E1310,'Taxonomy Rules'!$C$42:$C$68,0)),""))</x:f>
      </x:c>
      <x:c r="U1310" s="9" t="str">
        <x:f>IF(C1310="","",IFERROR(INDEX('Taxonomy'!$G$9:$G$108,MATCH(D1310,'Taxonomy'!$C$9:$C$108,0)),""))</x:f>
      </x:c>
    </x:row>
    <x:row r="1311" ht="44" customHeight="1">
      <x:c r="A1311" s="1"/>
      <x:c r="B1311" s="1"/>
      <x:c r="C1311" s="8"/>
      <x:c r="D1311" s="8"/>
      <x:c r="E1311" s="8"/>
      <x:c r="F1311" s="8"/>
      <x:c r="G1311" s="8"/>
      <x:c r="H1311" s="8"/>
      <x:c r="I1311" s="8"/>
      <x:c r="J1311" s="8"/>
      <x:c r="K1311" s="8"/>
      <x:c r="L1311" s="8"/>
      <x:c r="M1311" s="10"/>
      <x:c r="N1311" s="10"/>
      <x:c r="O1311" s="8"/>
      <x:c r="P1311" s="9" t="str">
        <x:f>IF(C1311="","",IF(AND(G1311="Applicable",H1311="Fail"),"Fail",IF(R1311&lt;&gt;"Valid","Pending",IF(OR(I1311="",K1311="",L1311="",K1311=L1311,NOT(ISNUMBER(M1311)),NOT(ISNUMBER(N1311)),M1311&gt;Settings!$F$8,N1311&lt;Settings!$F$8,N1311&lt;M1311),"Pending",IF(AND(G1311="Applicable",H1311="Pass"),"Pass",IF(AND(G1311="N/A",H1311="N/A",J1311&lt;&gt;"",OR(E1311="CEM-FUELS",E1311="CEM-CCS",AND(E1311="CEM-PLAN",IFERROR(INDEX('Taxonomy'!$M$9:$M$108,MATCH(D1311,'Taxonomy'!$C$9:$C$108,0)),"")&lt;&gt;"Amber"),E1311="BLD-TIMBER",AND(U1311="Building equipment",OR(E1311="BLD-WATER",E1311="BLD-WASTE",E1311="BLD-LAND")),AND(U1311="Building renovation",E1311="BLD-LAND"))),"N/A","Pending"))))))</x:f>
      </x:c>
      <x:c r="Q1311" s="3" t="str">
        <x:f>IF(C1311="","",IF(AND(R1311="Valid",OR(P1311="Pass",P1311="N/A")),"Complete","Unresolved"))</x:f>
      </x:c>
      <x:c r="R1311" s="9" t="str">
        <x:f>IF(C1311="","",IF(OR(COUNTIF($C$9:$C$2008,C1311)&lt;&gt;1,COUNTIFS($D$9:$D$2008,D1311,$E$9:$E$2008,E1311)&lt;&gt;1),"Duplicate test",IF(COUNTIF('Taxonomy'!$C$9:$C$108,D1311)&lt;&gt;1,"Assessment key",IF(OR(COUNTIF('Taxonomy Rules'!$C$42:$C$68,E1311)&lt;&gt;1,F1311&lt;&gt;IFERROR(INDEX('Taxonomy Rules'!$D$42:$D$68,MATCH(E1311,'Taxonomy Rules'!$C$42:$C$68,0)),""),NOT(OR(IFERROR(INDEX('Taxonomy Rules'!$G$42:$G$68,MATCH(E1311,'Taxonomy Rules'!$C$42:$C$68,0)),"")="All supported routes",IFERROR(INDEX('Taxonomy Rules'!$G$42:$G$68,MATCH(E1311,'Taxonomy Rules'!$C$42:$C$68,0)),"")=U1311,AND(IFERROR(INDEX('Taxonomy Rules'!$G$42:$G$68,MATCH(E1311,'Taxonomy Rules'!$C$42:$C$68,0)),"")="Building routes",OR(U1311="Building renovation",U1311="New building",U1311="Building equipment"))))),"Unexpected test","Valid"))))</x:f>
      </x:c>
      <x:c r="S1311" s="9" t="str">
        <x:f>IF(C1311="","",IFERROR(INDEX('Taxonomy Rules'!$E$42:$E$68,MATCH(E1311,'Taxonomy Rules'!$C$42:$C$68,0)),""))</x:f>
      </x:c>
      <x:c r="T1311" s="9" t="str">
        <x:f>IF(C1311="","",IFERROR(INDEX('Taxonomy Rules'!$F$42:$F$68,MATCH(E1311,'Taxonomy Rules'!$C$42:$C$68,0)),""))</x:f>
      </x:c>
      <x:c r="U1311" s="9" t="str">
        <x:f>IF(C1311="","",IFERROR(INDEX('Taxonomy'!$G$9:$G$108,MATCH(D1311,'Taxonomy'!$C$9:$C$108,0)),""))</x:f>
      </x:c>
    </x:row>
    <x:row r="1312" ht="44" customHeight="1">
      <x:c r="A1312" s="1"/>
      <x:c r="B1312" s="1"/>
      <x:c r="C1312" s="8"/>
      <x:c r="D1312" s="8"/>
      <x:c r="E1312" s="8"/>
      <x:c r="F1312" s="8"/>
      <x:c r="G1312" s="8"/>
      <x:c r="H1312" s="8"/>
      <x:c r="I1312" s="8"/>
      <x:c r="J1312" s="8"/>
      <x:c r="K1312" s="8"/>
      <x:c r="L1312" s="8"/>
      <x:c r="M1312" s="10"/>
      <x:c r="N1312" s="10"/>
      <x:c r="O1312" s="8"/>
      <x:c r="P1312" s="9" t="str">
        <x:f>IF(C1312="","",IF(AND(G1312="Applicable",H1312="Fail"),"Fail",IF(R1312&lt;&gt;"Valid","Pending",IF(OR(I1312="",K1312="",L1312="",K1312=L1312,NOT(ISNUMBER(M1312)),NOT(ISNUMBER(N1312)),M1312&gt;Settings!$F$8,N1312&lt;Settings!$F$8,N1312&lt;M1312),"Pending",IF(AND(G1312="Applicable",H1312="Pass"),"Pass",IF(AND(G1312="N/A",H1312="N/A",J1312&lt;&gt;"",OR(E1312="CEM-FUELS",E1312="CEM-CCS",AND(E1312="CEM-PLAN",IFERROR(INDEX('Taxonomy'!$M$9:$M$108,MATCH(D1312,'Taxonomy'!$C$9:$C$108,0)),"")&lt;&gt;"Amber"),E1312="BLD-TIMBER",AND(U1312="Building equipment",OR(E1312="BLD-WATER",E1312="BLD-WASTE",E1312="BLD-LAND")),AND(U1312="Building renovation",E1312="BLD-LAND"))),"N/A","Pending"))))))</x:f>
      </x:c>
      <x:c r="Q1312" s="3" t="str">
        <x:f>IF(C1312="","",IF(AND(R1312="Valid",OR(P1312="Pass",P1312="N/A")),"Complete","Unresolved"))</x:f>
      </x:c>
      <x:c r="R1312" s="9" t="str">
        <x:f>IF(C1312="","",IF(OR(COUNTIF($C$9:$C$2008,C1312)&lt;&gt;1,COUNTIFS($D$9:$D$2008,D1312,$E$9:$E$2008,E1312)&lt;&gt;1),"Duplicate test",IF(COUNTIF('Taxonomy'!$C$9:$C$108,D1312)&lt;&gt;1,"Assessment key",IF(OR(COUNTIF('Taxonomy Rules'!$C$42:$C$68,E1312)&lt;&gt;1,F1312&lt;&gt;IFERROR(INDEX('Taxonomy Rules'!$D$42:$D$68,MATCH(E1312,'Taxonomy Rules'!$C$42:$C$68,0)),""),NOT(OR(IFERROR(INDEX('Taxonomy Rules'!$G$42:$G$68,MATCH(E1312,'Taxonomy Rules'!$C$42:$C$68,0)),"")="All supported routes",IFERROR(INDEX('Taxonomy Rules'!$G$42:$G$68,MATCH(E1312,'Taxonomy Rules'!$C$42:$C$68,0)),"")=U1312,AND(IFERROR(INDEX('Taxonomy Rules'!$G$42:$G$68,MATCH(E1312,'Taxonomy Rules'!$C$42:$C$68,0)),"")="Building routes",OR(U1312="Building renovation",U1312="New building",U1312="Building equipment"))))),"Unexpected test","Valid"))))</x:f>
      </x:c>
      <x:c r="S1312" s="9" t="str">
        <x:f>IF(C1312="","",IFERROR(INDEX('Taxonomy Rules'!$E$42:$E$68,MATCH(E1312,'Taxonomy Rules'!$C$42:$C$68,0)),""))</x:f>
      </x:c>
      <x:c r="T1312" s="9" t="str">
        <x:f>IF(C1312="","",IFERROR(INDEX('Taxonomy Rules'!$F$42:$F$68,MATCH(E1312,'Taxonomy Rules'!$C$42:$C$68,0)),""))</x:f>
      </x:c>
      <x:c r="U1312" s="9" t="str">
        <x:f>IF(C1312="","",IFERROR(INDEX('Taxonomy'!$G$9:$G$108,MATCH(D1312,'Taxonomy'!$C$9:$C$108,0)),""))</x:f>
      </x:c>
    </x:row>
    <x:row r="1313" ht="44" customHeight="1">
      <x:c r="A1313" s="1"/>
      <x:c r="B1313" s="1"/>
      <x:c r="C1313" s="8"/>
      <x:c r="D1313" s="8"/>
      <x:c r="E1313" s="8"/>
      <x:c r="F1313" s="8"/>
      <x:c r="G1313" s="8"/>
      <x:c r="H1313" s="8"/>
      <x:c r="I1313" s="8"/>
      <x:c r="J1313" s="8"/>
      <x:c r="K1313" s="8"/>
      <x:c r="L1313" s="8"/>
      <x:c r="M1313" s="10"/>
      <x:c r="N1313" s="10"/>
      <x:c r="O1313" s="8"/>
      <x:c r="P1313" s="9" t="str">
        <x:f>IF(C1313="","",IF(AND(G1313="Applicable",H1313="Fail"),"Fail",IF(R1313&lt;&gt;"Valid","Pending",IF(OR(I1313="",K1313="",L1313="",K1313=L1313,NOT(ISNUMBER(M1313)),NOT(ISNUMBER(N1313)),M1313&gt;Settings!$F$8,N1313&lt;Settings!$F$8,N1313&lt;M1313),"Pending",IF(AND(G1313="Applicable",H1313="Pass"),"Pass",IF(AND(G1313="N/A",H1313="N/A",J1313&lt;&gt;"",OR(E1313="CEM-FUELS",E1313="CEM-CCS",AND(E1313="CEM-PLAN",IFERROR(INDEX('Taxonomy'!$M$9:$M$108,MATCH(D1313,'Taxonomy'!$C$9:$C$108,0)),"")&lt;&gt;"Amber"),E1313="BLD-TIMBER",AND(U1313="Building equipment",OR(E1313="BLD-WATER",E1313="BLD-WASTE",E1313="BLD-LAND")),AND(U1313="Building renovation",E1313="BLD-LAND"))),"N/A","Pending"))))))</x:f>
      </x:c>
      <x:c r="Q1313" s="3" t="str">
        <x:f>IF(C1313="","",IF(AND(R1313="Valid",OR(P1313="Pass",P1313="N/A")),"Complete","Unresolved"))</x:f>
      </x:c>
      <x:c r="R1313" s="9" t="str">
        <x:f>IF(C1313="","",IF(OR(COUNTIF($C$9:$C$2008,C1313)&lt;&gt;1,COUNTIFS($D$9:$D$2008,D1313,$E$9:$E$2008,E1313)&lt;&gt;1),"Duplicate test",IF(COUNTIF('Taxonomy'!$C$9:$C$108,D1313)&lt;&gt;1,"Assessment key",IF(OR(COUNTIF('Taxonomy Rules'!$C$42:$C$68,E1313)&lt;&gt;1,F1313&lt;&gt;IFERROR(INDEX('Taxonomy Rules'!$D$42:$D$68,MATCH(E1313,'Taxonomy Rules'!$C$42:$C$68,0)),""),NOT(OR(IFERROR(INDEX('Taxonomy Rules'!$G$42:$G$68,MATCH(E1313,'Taxonomy Rules'!$C$42:$C$68,0)),"")="All supported routes",IFERROR(INDEX('Taxonomy Rules'!$G$42:$G$68,MATCH(E1313,'Taxonomy Rules'!$C$42:$C$68,0)),"")=U1313,AND(IFERROR(INDEX('Taxonomy Rules'!$G$42:$G$68,MATCH(E1313,'Taxonomy Rules'!$C$42:$C$68,0)),"")="Building routes",OR(U1313="Building renovation",U1313="New building",U1313="Building equipment"))))),"Unexpected test","Valid"))))</x:f>
      </x:c>
      <x:c r="S1313" s="9" t="str">
        <x:f>IF(C1313="","",IFERROR(INDEX('Taxonomy Rules'!$E$42:$E$68,MATCH(E1313,'Taxonomy Rules'!$C$42:$C$68,0)),""))</x:f>
      </x:c>
      <x:c r="T1313" s="9" t="str">
        <x:f>IF(C1313="","",IFERROR(INDEX('Taxonomy Rules'!$F$42:$F$68,MATCH(E1313,'Taxonomy Rules'!$C$42:$C$68,0)),""))</x:f>
      </x:c>
      <x:c r="U1313" s="9" t="str">
        <x:f>IF(C1313="","",IFERROR(INDEX('Taxonomy'!$G$9:$G$108,MATCH(D1313,'Taxonomy'!$C$9:$C$108,0)),""))</x:f>
      </x:c>
    </x:row>
    <x:row r="1314" ht="44" customHeight="1">
      <x:c r="A1314" s="1"/>
      <x:c r="B1314" s="1"/>
      <x:c r="C1314" s="8"/>
      <x:c r="D1314" s="8"/>
      <x:c r="E1314" s="8"/>
      <x:c r="F1314" s="8"/>
      <x:c r="G1314" s="8"/>
      <x:c r="H1314" s="8"/>
      <x:c r="I1314" s="8"/>
      <x:c r="J1314" s="8"/>
      <x:c r="K1314" s="8"/>
      <x:c r="L1314" s="8"/>
      <x:c r="M1314" s="10"/>
      <x:c r="N1314" s="10"/>
      <x:c r="O1314" s="8"/>
      <x:c r="P1314" s="9" t="str">
        <x:f>IF(C1314="","",IF(AND(G1314="Applicable",H1314="Fail"),"Fail",IF(R1314&lt;&gt;"Valid","Pending",IF(OR(I1314="",K1314="",L1314="",K1314=L1314,NOT(ISNUMBER(M1314)),NOT(ISNUMBER(N1314)),M1314&gt;Settings!$F$8,N1314&lt;Settings!$F$8,N1314&lt;M1314),"Pending",IF(AND(G1314="Applicable",H1314="Pass"),"Pass",IF(AND(G1314="N/A",H1314="N/A",J1314&lt;&gt;"",OR(E1314="CEM-FUELS",E1314="CEM-CCS",AND(E1314="CEM-PLAN",IFERROR(INDEX('Taxonomy'!$M$9:$M$108,MATCH(D1314,'Taxonomy'!$C$9:$C$108,0)),"")&lt;&gt;"Amber"),E1314="BLD-TIMBER",AND(U1314="Building equipment",OR(E1314="BLD-WATER",E1314="BLD-WASTE",E1314="BLD-LAND")),AND(U1314="Building renovation",E1314="BLD-LAND"))),"N/A","Pending"))))))</x:f>
      </x:c>
      <x:c r="Q1314" s="3" t="str">
        <x:f>IF(C1314="","",IF(AND(R1314="Valid",OR(P1314="Pass",P1314="N/A")),"Complete","Unresolved"))</x:f>
      </x:c>
      <x:c r="R1314" s="9" t="str">
        <x:f>IF(C1314="","",IF(OR(COUNTIF($C$9:$C$2008,C1314)&lt;&gt;1,COUNTIFS($D$9:$D$2008,D1314,$E$9:$E$2008,E1314)&lt;&gt;1),"Duplicate test",IF(COUNTIF('Taxonomy'!$C$9:$C$108,D1314)&lt;&gt;1,"Assessment key",IF(OR(COUNTIF('Taxonomy Rules'!$C$42:$C$68,E1314)&lt;&gt;1,F1314&lt;&gt;IFERROR(INDEX('Taxonomy Rules'!$D$42:$D$68,MATCH(E1314,'Taxonomy Rules'!$C$42:$C$68,0)),""),NOT(OR(IFERROR(INDEX('Taxonomy Rules'!$G$42:$G$68,MATCH(E1314,'Taxonomy Rules'!$C$42:$C$68,0)),"")="All supported routes",IFERROR(INDEX('Taxonomy Rules'!$G$42:$G$68,MATCH(E1314,'Taxonomy Rules'!$C$42:$C$68,0)),"")=U1314,AND(IFERROR(INDEX('Taxonomy Rules'!$G$42:$G$68,MATCH(E1314,'Taxonomy Rules'!$C$42:$C$68,0)),"")="Building routes",OR(U1314="Building renovation",U1314="New building",U1314="Building equipment"))))),"Unexpected test","Valid"))))</x:f>
      </x:c>
      <x:c r="S1314" s="9" t="str">
        <x:f>IF(C1314="","",IFERROR(INDEX('Taxonomy Rules'!$E$42:$E$68,MATCH(E1314,'Taxonomy Rules'!$C$42:$C$68,0)),""))</x:f>
      </x:c>
      <x:c r="T1314" s="9" t="str">
        <x:f>IF(C1314="","",IFERROR(INDEX('Taxonomy Rules'!$F$42:$F$68,MATCH(E1314,'Taxonomy Rules'!$C$42:$C$68,0)),""))</x:f>
      </x:c>
      <x:c r="U1314" s="9" t="str">
        <x:f>IF(C1314="","",IFERROR(INDEX('Taxonomy'!$G$9:$G$108,MATCH(D1314,'Taxonomy'!$C$9:$C$108,0)),""))</x:f>
      </x:c>
    </x:row>
    <x:row r="1315" ht="44" customHeight="1">
      <x:c r="A1315" s="1"/>
      <x:c r="B1315" s="1"/>
      <x:c r="C1315" s="8"/>
      <x:c r="D1315" s="8"/>
      <x:c r="E1315" s="8"/>
      <x:c r="F1315" s="8"/>
      <x:c r="G1315" s="8"/>
      <x:c r="H1315" s="8"/>
      <x:c r="I1315" s="8"/>
      <x:c r="J1315" s="8"/>
      <x:c r="K1315" s="8"/>
      <x:c r="L1315" s="8"/>
      <x:c r="M1315" s="10"/>
      <x:c r="N1315" s="10"/>
      <x:c r="O1315" s="8"/>
      <x:c r="P1315" s="9" t="str">
        <x:f>IF(C1315="","",IF(AND(G1315="Applicable",H1315="Fail"),"Fail",IF(R1315&lt;&gt;"Valid","Pending",IF(OR(I1315="",K1315="",L1315="",K1315=L1315,NOT(ISNUMBER(M1315)),NOT(ISNUMBER(N1315)),M1315&gt;Settings!$F$8,N1315&lt;Settings!$F$8,N1315&lt;M1315),"Pending",IF(AND(G1315="Applicable",H1315="Pass"),"Pass",IF(AND(G1315="N/A",H1315="N/A",J1315&lt;&gt;"",OR(E1315="CEM-FUELS",E1315="CEM-CCS",AND(E1315="CEM-PLAN",IFERROR(INDEX('Taxonomy'!$M$9:$M$108,MATCH(D1315,'Taxonomy'!$C$9:$C$108,0)),"")&lt;&gt;"Amber"),E1315="BLD-TIMBER",AND(U1315="Building equipment",OR(E1315="BLD-WATER",E1315="BLD-WASTE",E1315="BLD-LAND")),AND(U1315="Building renovation",E1315="BLD-LAND"))),"N/A","Pending"))))))</x:f>
      </x:c>
      <x:c r="Q1315" s="3" t="str">
        <x:f>IF(C1315="","",IF(AND(R1315="Valid",OR(P1315="Pass",P1315="N/A")),"Complete","Unresolved"))</x:f>
      </x:c>
      <x:c r="R1315" s="9" t="str">
        <x:f>IF(C1315="","",IF(OR(COUNTIF($C$9:$C$2008,C1315)&lt;&gt;1,COUNTIFS($D$9:$D$2008,D1315,$E$9:$E$2008,E1315)&lt;&gt;1),"Duplicate test",IF(COUNTIF('Taxonomy'!$C$9:$C$108,D1315)&lt;&gt;1,"Assessment key",IF(OR(COUNTIF('Taxonomy Rules'!$C$42:$C$68,E1315)&lt;&gt;1,F1315&lt;&gt;IFERROR(INDEX('Taxonomy Rules'!$D$42:$D$68,MATCH(E1315,'Taxonomy Rules'!$C$42:$C$68,0)),""),NOT(OR(IFERROR(INDEX('Taxonomy Rules'!$G$42:$G$68,MATCH(E1315,'Taxonomy Rules'!$C$42:$C$68,0)),"")="All supported routes",IFERROR(INDEX('Taxonomy Rules'!$G$42:$G$68,MATCH(E1315,'Taxonomy Rules'!$C$42:$C$68,0)),"")=U1315,AND(IFERROR(INDEX('Taxonomy Rules'!$G$42:$G$68,MATCH(E1315,'Taxonomy Rules'!$C$42:$C$68,0)),"")="Building routes",OR(U1315="Building renovation",U1315="New building",U1315="Building equipment"))))),"Unexpected test","Valid"))))</x:f>
      </x:c>
      <x:c r="S1315" s="9" t="str">
        <x:f>IF(C1315="","",IFERROR(INDEX('Taxonomy Rules'!$E$42:$E$68,MATCH(E1315,'Taxonomy Rules'!$C$42:$C$68,0)),""))</x:f>
      </x:c>
      <x:c r="T1315" s="9" t="str">
        <x:f>IF(C1315="","",IFERROR(INDEX('Taxonomy Rules'!$F$42:$F$68,MATCH(E1315,'Taxonomy Rules'!$C$42:$C$68,0)),""))</x:f>
      </x:c>
      <x:c r="U1315" s="9" t="str">
        <x:f>IF(C1315="","",IFERROR(INDEX('Taxonomy'!$G$9:$G$108,MATCH(D1315,'Taxonomy'!$C$9:$C$108,0)),""))</x:f>
      </x:c>
    </x:row>
    <x:row r="1316" ht="44" customHeight="1">
      <x:c r="A1316" s="1"/>
      <x:c r="B1316" s="1"/>
      <x:c r="C1316" s="8"/>
      <x:c r="D1316" s="8"/>
      <x:c r="E1316" s="8"/>
      <x:c r="F1316" s="8"/>
      <x:c r="G1316" s="8"/>
      <x:c r="H1316" s="8"/>
      <x:c r="I1316" s="8"/>
      <x:c r="J1316" s="8"/>
      <x:c r="K1316" s="8"/>
      <x:c r="L1316" s="8"/>
      <x:c r="M1316" s="10"/>
      <x:c r="N1316" s="10"/>
      <x:c r="O1316" s="8"/>
      <x:c r="P1316" s="9" t="str">
        <x:f>IF(C1316="","",IF(AND(G1316="Applicable",H1316="Fail"),"Fail",IF(R1316&lt;&gt;"Valid","Pending",IF(OR(I1316="",K1316="",L1316="",K1316=L1316,NOT(ISNUMBER(M1316)),NOT(ISNUMBER(N1316)),M1316&gt;Settings!$F$8,N1316&lt;Settings!$F$8,N1316&lt;M1316),"Pending",IF(AND(G1316="Applicable",H1316="Pass"),"Pass",IF(AND(G1316="N/A",H1316="N/A",J1316&lt;&gt;"",OR(E1316="CEM-FUELS",E1316="CEM-CCS",AND(E1316="CEM-PLAN",IFERROR(INDEX('Taxonomy'!$M$9:$M$108,MATCH(D1316,'Taxonomy'!$C$9:$C$108,0)),"")&lt;&gt;"Amber"),E1316="BLD-TIMBER",AND(U1316="Building equipment",OR(E1316="BLD-WATER",E1316="BLD-WASTE",E1316="BLD-LAND")),AND(U1316="Building renovation",E1316="BLD-LAND"))),"N/A","Pending"))))))</x:f>
      </x:c>
      <x:c r="Q1316" s="3" t="str">
        <x:f>IF(C1316="","",IF(AND(R1316="Valid",OR(P1316="Pass",P1316="N/A")),"Complete","Unresolved"))</x:f>
      </x:c>
      <x:c r="R1316" s="9" t="str">
        <x:f>IF(C1316="","",IF(OR(COUNTIF($C$9:$C$2008,C1316)&lt;&gt;1,COUNTIFS($D$9:$D$2008,D1316,$E$9:$E$2008,E1316)&lt;&gt;1),"Duplicate test",IF(COUNTIF('Taxonomy'!$C$9:$C$108,D1316)&lt;&gt;1,"Assessment key",IF(OR(COUNTIF('Taxonomy Rules'!$C$42:$C$68,E1316)&lt;&gt;1,F1316&lt;&gt;IFERROR(INDEX('Taxonomy Rules'!$D$42:$D$68,MATCH(E1316,'Taxonomy Rules'!$C$42:$C$68,0)),""),NOT(OR(IFERROR(INDEX('Taxonomy Rules'!$G$42:$G$68,MATCH(E1316,'Taxonomy Rules'!$C$42:$C$68,0)),"")="All supported routes",IFERROR(INDEX('Taxonomy Rules'!$G$42:$G$68,MATCH(E1316,'Taxonomy Rules'!$C$42:$C$68,0)),"")=U1316,AND(IFERROR(INDEX('Taxonomy Rules'!$G$42:$G$68,MATCH(E1316,'Taxonomy Rules'!$C$42:$C$68,0)),"")="Building routes",OR(U1316="Building renovation",U1316="New building",U1316="Building equipment"))))),"Unexpected test","Valid"))))</x:f>
      </x:c>
      <x:c r="S1316" s="9" t="str">
        <x:f>IF(C1316="","",IFERROR(INDEX('Taxonomy Rules'!$E$42:$E$68,MATCH(E1316,'Taxonomy Rules'!$C$42:$C$68,0)),""))</x:f>
      </x:c>
      <x:c r="T1316" s="9" t="str">
        <x:f>IF(C1316="","",IFERROR(INDEX('Taxonomy Rules'!$F$42:$F$68,MATCH(E1316,'Taxonomy Rules'!$C$42:$C$68,0)),""))</x:f>
      </x:c>
      <x:c r="U1316" s="9" t="str">
        <x:f>IF(C1316="","",IFERROR(INDEX('Taxonomy'!$G$9:$G$108,MATCH(D1316,'Taxonomy'!$C$9:$C$108,0)),""))</x:f>
      </x:c>
    </x:row>
    <x:row r="1317" ht="44" customHeight="1">
      <x:c r="A1317" s="1"/>
      <x:c r="B1317" s="1"/>
      <x:c r="C1317" s="8"/>
      <x:c r="D1317" s="8"/>
      <x:c r="E1317" s="8"/>
      <x:c r="F1317" s="8"/>
      <x:c r="G1317" s="8"/>
      <x:c r="H1317" s="8"/>
      <x:c r="I1317" s="8"/>
      <x:c r="J1317" s="8"/>
      <x:c r="K1317" s="8"/>
      <x:c r="L1317" s="8"/>
      <x:c r="M1317" s="10"/>
      <x:c r="N1317" s="10"/>
      <x:c r="O1317" s="8"/>
      <x:c r="P1317" s="9" t="str">
        <x:f>IF(C1317="","",IF(AND(G1317="Applicable",H1317="Fail"),"Fail",IF(R1317&lt;&gt;"Valid","Pending",IF(OR(I1317="",K1317="",L1317="",K1317=L1317,NOT(ISNUMBER(M1317)),NOT(ISNUMBER(N1317)),M1317&gt;Settings!$F$8,N1317&lt;Settings!$F$8,N1317&lt;M1317),"Pending",IF(AND(G1317="Applicable",H1317="Pass"),"Pass",IF(AND(G1317="N/A",H1317="N/A",J1317&lt;&gt;"",OR(E1317="CEM-FUELS",E1317="CEM-CCS",AND(E1317="CEM-PLAN",IFERROR(INDEX('Taxonomy'!$M$9:$M$108,MATCH(D1317,'Taxonomy'!$C$9:$C$108,0)),"")&lt;&gt;"Amber"),E1317="BLD-TIMBER",AND(U1317="Building equipment",OR(E1317="BLD-WATER",E1317="BLD-WASTE",E1317="BLD-LAND")),AND(U1317="Building renovation",E1317="BLD-LAND"))),"N/A","Pending"))))))</x:f>
      </x:c>
      <x:c r="Q1317" s="3" t="str">
        <x:f>IF(C1317="","",IF(AND(R1317="Valid",OR(P1317="Pass",P1317="N/A")),"Complete","Unresolved"))</x:f>
      </x:c>
      <x:c r="R1317" s="9" t="str">
        <x:f>IF(C1317="","",IF(OR(COUNTIF($C$9:$C$2008,C1317)&lt;&gt;1,COUNTIFS($D$9:$D$2008,D1317,$E$9:$E$2008,E1317)&lt;&gt;1),"Duplicate test",IF(COUNTIF('Taxonomy'!$C$9:$C$108,D1317)&lt;&gt;1,"Assessment key",IF(OR(COUNTIF('Taxonomy Rules'!$C$42:$C$68,E1317)&lt;&gt;1,F1317&lt;&gt;IFERROR(INDEX('Taxonomy Rules'!$D$42:$D$68,MATCH(E1317,'Taxonomy Rules'!$C$42:$C$68,0)),""),NOT(OR(IFERROR(INDEX('Taxonomy Rules'!$G$42:$G$68,MATCH(E1317,'Taxonomy Rules'!$C$42:$C$68,0)),"")="All supported routes",IFERROR(INDEX('Taxonomy Rules'!$G$42:$G$68,MATCH(E1317,'Taxonomy Rules'!$C$42:$C$68,0)),"")=U1317,AND(IFERROR(INDEX('Taxonomy Rules'!$G$42:$G$68,MATCH(E1317,'Taxonomy Rules'!$C$42:$C$68,0)),"")="Building routes",OR(U1317="Building renovation",U1317="New building",U1317="Building equipment"))))),"Unexpected test","Valid"))))</x:f>
      </x:c>
      <x:c r="S1317" s="9" t="str">
        <x:f>IF(C1317="","",IFERROR(INDEX('Taxonomy Rules'!$E$42:$E$68,MATCH(E1317,'Taxonomy Rules'!$C$42:$C$68,0)),""))</x:f>
      </x:c>
      <x:c r="T1317" s="9" t="str">
        <x:f>IF(C1317="","",IFERROR(INDEX('Taxonomy Rules'!$F$42:$F$68,MATCH(E1317,'Taxonomy Rules'!$C$42:$C$68,0)),""))</x:f>
      </x:c>
      <x:c r="U1317" s="9" t="str">
        <x:f>IF(C1317="","",IFERROR(INDEX('Taxonomy'!$G$9:$G$108,MATCH(D1317,'Taxonomy'!$C$9:$C$108,0)),""))</x:f>
      </x:c>
    </x:row>
    <x:row r="1318" ht="44" customHeight="1">
      <x:c r="A1318" s="1"/>
      <x:c r="B1318" s="1"/>
      <x:c r="C1318" s="8"/>
      <x:c r="D1318" s="8"/>
      <x:c r="E1318" s="8"/>
      <x:c r="F1318" s="8"/>
      <x:c r="G1318" s="8"/>
      <x:c r="H1318" s="8"/>
      <x:c r="I1318" s="8"/>
      <x:c r="J1318" s="8"/>
      <x:c r="K1318" s="8"/>
      <x:c r="L1318" s="8"/>
      <x:c r="M1318" s="10"/>
      <x:c r="N1318" s="10"/>
      <x:c r="O1318" s="8"/>
      <x:c r="P1318" s="9" t="str">
        <x:f>IF(C1318="","",IF(AND(G1318="Applicable",H1318="Fail"),"Fail",IF(R1318&lt;&gt;"Valid","Pending",IF(OR(I1318="",K1318="",L1318="",K1318=L1318,NOT(ISNUMBER(M1318)),NOT(ISNUMBER(N1318)),M1318&gt;Settings!$F$8,N1318&lt;Settings!$F$8,N1318&lt;M1318),"Pending",IF(AND(G1318="Applicable",H1318="Pass"),"Pass",IF(AND(G1318="N/A",H1318="N/A",J1318&lt;&gt;"",OR(E1318="CEM-FUELS",E1318="CEM-CCS",AND(E1318="CEM-PLAN",IFERROR(INDEX('Taxonomy'!$M$9:$M$108,MATCH(D1318,'Taxonomy'!$C$9:$C$108,0)),"")&lt;&gt;"Amber"),E1318="BLD-TIMBER",AND(U1318="Building equipment",OR(E1318="BLD-WATER",E1318="BLD-WASTE",E1318="BLD-LAND")),AND(U1318="Building renovation",E1318="BLD-LAND"))),"N/A","Pending"))))))</x:f>
      </x:c>
      <x:c r="Q1318" s="3" t="str">
        <x:f>IF(C1318="","",IF(AND(R1318="Valid",OR(P1318="Pass",P1318="N/A")),"Complete","Unresolved"))</x:f>
      </x:c>
      <x:c r="R1318" s="9" t="str">
        <x:f>IF(C1318="","",IF(OR(COUNTIF($C$9:$C$2008,C1318)&lt;&gt;1,COUNTIFS($D$9:$D$2008,D1318,$E$9:$E$2008,E1318)&lt;&gt;1),"Duplicate test",IF(COUNTIF('Taxonomy'!$C$9:$C$108,D1318)&lt;&gt;1,"Assessment key",IF(OR(COUNTIF('Taxonomy Rules'!$C$42:$C$68,E1318)&lt;&gt;1,F1318&lt;&gt;IFERROR(INDEX('Taxonomy Rules'!$D$42:$D$68,MATCH(E1318,'Taxonomy Rules'!$C$42:$C$68,0)),""),NOT(OR(IFERROR(INDEX('Taxonomy Rules'!$G$42:$G$68,MATCH(E1318,'Taxonomy Rules'!$C$42:$C$68,0)),"")="All supported routes",IFERROR(INDEX('Taxonomy Rules'!$G$42:$G$68,MATCH(E1318,'Taxonomy Rules'!$C$42:$C$68,0)),"")=U1318,AND(IFERROR(INDEX('Taxonomy Rules'!$G$42:$G$68,MATCH(E1318,'Taxonomy Rules'!$C$42:$C$68,0)),"")="Building routes",OR(U1318="Building renovation",U1318="New building",U1318="Building equipment"))))),"Unexpected test","Valid"))))</x:f>
      </x:c>
      <x:c r="S1318" s="9" t="str">
        <x:f>IF(C1318="","",IFERROR(INDEX('Taxonomy Rules'!$E$42:$E$68,MATCH(E1318,'Taxonomy Rules'!$C$42:$C$68,0)),""))</x:f>
      </x:c>
      <x:c r="T1318" s="9" t="str">
        <x:f>IF(C1318="","",IFERROR(INDEX('Taxonomy Rules'!$F$42:$F$68,MATCH(E1318,'Taxonomy Rules'!$C$42:$C$68,0)),""))</x:f>
      </x:c>
      <x:c r="U1318" s="9" t="str">
        <x:f>IF(C1318="","",IFERROR(INDEX('Taxonomy'!$G$9:$G$108,MATCH(D1318,'Taxonomy'!$C$9:$C$108,0)),""))</x:f>
      </x:c>
    </x:row>
    <x:row r="1319" ht="44" customHeight="1">
      <x:c r="A1319" s="1"/>
      <x:c r="B1319" s="1"/>
      <x:c r="C1319" s="8"/>
      <x:c r="D1319" s="8"/>
      <x:c r="E1319" s="8"/>
      <x:c r="F1319" s="8"/>
      <x:c r="G1319" s="8"/>
      <x:c r="H1319" s="8"/>
      <x:c r="I1319" s="8"/>
      <x:c r="J1319" s="8"/>
      <x:c r="K1319" s="8"/>
      <x:c r="L1319" s="8"/>
      <x:c r="M1319" s="10"/>
      <x:c r="N1319" s="10"/>
      <x:c r="O1319" s="8"/>
      <x:c r="P1319" s="9" t="str">
        <x:f>IF(C1319="","",IF(AND(G1319="Applicable",H1319="Fail"),"Fail",IF(R1319&lt;&gt;"Valid","Pending",IF(OR(I1319="",K1319="",L1319="",K1319=L1319,NOT(ISNUMBER(M1319)),NOT(ISNUMBER(N1319)),M1319&gt;Settings!$F$8,N1319&lt;Settings!$F$8,N1319&lt;M1319),"Pending",IF(AND(G1319="Applicable",H1319="Pass"),"Pass",IF(AND(G1319="N/A",H1319="N/A",J1319&lt;&gt;"",OR(E1319="CEM-FUELS",E1319="CEM-CCS",AND(E1319="CEM-PLAN",IFERROR(INDEX('Taxonomy'!$M$9:$M$108,MATCH(D1319,'Taxonomy'!$C$9:$C$108,0)),"")&lt;&gt;"Amber"),E1319="BLD-TIMBER",AND(U1319="Building equipment",OR(E1319="BLD-WATER",E1319="BLD-WASTE",E1319="BLD-LAND")),AND(U1319="Building renovation",E1319="BLD-LAND"))),"N/A","Pending"))))))</x:f>
      </x:c>
      <x:c r="Q1319" s="3" t="str">
        <x:f>IF(C1319="","",IF(AND(R1319="Valid",OR(P1319="Pass",P1319="N/A")),"Complete","Unresolved"))</x:f>
      </x:c>
      <x:c r="R1319" s="9" t="str">
        <x:f>IF(C1319="","",IF(OR(COUNTIF($C$9:$C$2008,C1319)&lt;&gt;1,COUNTIFS($D$9:$D$2008,D1319,$E$9:$E$2008,E1319)&lt;&gt;1),"Duplicate test",IF(COUNTIF('Taxonomy'!$C$9:$C$108,D1319)&lt;&gt;1,"Assessment key",IF(OR(COUNTIF('Taxonomy Rules'!$C$42:$C$68,E1319)&lt;&gt;1,F1319&lt;&gt;IFERROR(INDEX('Taxonomy Rules'!$D$42:$D$68,MATCH(E1319,'Taxonomy Rules'!$C$42:$C$68,0)),""),NOT(OR(IFERROR(INDEX('Taxonomy Rules'!$G$42:$G$68,MATCH(E1319,'Taxonomy Rules'!$C$42:$C$68,0)),"")="All supported routes",IFERROR(INDEX('Taxonomy Rules'!$G$42:$G$68,MATCH(E1319,'Taxonomy Rules'!$C$42:$C$68,0)),"")=U1319,AND(IFERROR(INDEX('Taxonomy Rules'!$G$42:$G$68,MATCH(E1319,'Taxonomy Rules'!$C$42:$C$68,0)),"")="Building routes",OR(U1319="Building renovation",U1319="New building",U1319="Building equipment"))))),"Unexpected test","Valid"))))</x:f>
      </x:c>
      <x:c r="S1319" s="9" t="str">
        <x:f>IF(C1319="","",IFERROR(INDEX('Taxonomy Rules'!$E$42:$E$68,MATCH(E1319,'Taxonomy Rules'!$C$42:$C$68,0)),""))</x:f>
      </x:c>
      <x:c r="T1319" s="9" t="str">
        <x:f>IF(C1319="","",IFERROR(INDEX('Taxonomy Rules'!$F$42:$F$68,MATCH(E1319,'Taxonomy Rules'!$C$42:$C$68,0)),""))</x:f>
      </x:c>
      <x:c r="U1319" s="9" t="str">
        <x:f>IF(C1319="","",IFERROR(INDEX('Taxonomy'!$G$9:$G$108,MATCH(D1319,'Taxonomy'!$C$9:$C$108,0)),""))</x:f>
      </x:c>
    </x:row>
    <x:row r="1320" ht="44" customHeight="1">
      <x:c r="A1320" s="1"/>
      <x:c r="B1320" s="1"/>
      <x:c r="C1320" s="8"/>
      <x:c r="D1320" s="8"/>
      <x:c r="E1320" s="8"/>
      <x:c r="F1320" s="8"/>
      <x:c r="G1320" s="8"/>
      <x:c r="H1320" s="8"/>
      <x:c r="I1320" s="8"/>
      <x:c r="J1320" s="8"/>
      <x:c r="K1320" s="8"/>
      <x:c r="L1320" s="8"/>
      <x:c r="M1320" s="10"/>
      <x:c r="N1320" s="10"/>
      <x:c r="O1320" s="8"/>
      <x:c r="P1320" s="9" t="str">
        <x:f>IF(C1320="","",IF(AND(G1320="Applicable",H1320="Fail"),"Fail",IF(R1320&lt;&gt;"Valid","Pending",IF(OR(I1320="",K1320="",L1320="",K1320=L1320,NOT(ISNUMBER(M1320)),NOT(ISNUMBER(N1320)),M1320&gt;Settings!$F$8,N1320&lt;Settings!$F$8,N1320&lt;M1320),"Pending",IF(AND(G1320="Applicable",H1320="Pass"),"Pass",IF(AND(G1320="N/A",H1320="N/A",J1320&lt;&gt;"",OR(E1320="CEM-FUELS",E1320="CEM-CCS",AND(E1320="CEM-PLAN",IFERROR(INDEX('Taxonomy'!$M$9:$M$108,MATCH(D1320,'Taxonomy'!$C$9:$C$108,0)),"")&lt;&gt;"Amber"),E1320="BLD-TIMBER",AND(U1320="Building equipment",OR(E1320="BLD-WATER",E1320="BLD-WASTE",E1320="BLD-LAND")),AND(U1320="Building renovation",E1320="BLD-LAND"))),"N/A","Pending"))))))</x:f>
      </x:c>
      <x:c r="Q1320" s="3" t="str">
        <x:f>IF(C1320="","",IF(AND(R1320="Valid",OR(P1320="Pass",P1320="N/A")),"Complete","Unresolved"))</x:f>
      </x:c>
      <x:c r="R1320" s="9" t="str">
        <x:f>IF(C1320="","",IF(OR(COUNTIF($C$9:$C$2008,C1320)&lt;&gt;1,COUNTIFS($D$9:$D$2008,D1320,$E$9:$E$2008,E1320)&lt;&gt;1),"Duplicate test",IF(COUNTIF('Taxonomy'!$C$9:$C$108,D1320)&lt;&gt;1,"Assessment key",IF(OR(COUNTIF('Taxonomy Rules'!$C$42:$C$68,E1320)&lt;&gt;1,F1320&lt;&gt;IFERROR(INDEX('Taxonomy Rules'!$D$42:$D$68,MATCH(E1320,'Taxonomy Rules'!$C$42:$C$68,0)),""),NOT(OR(IFERROR(INDEX('Taxonomy Rules'!$G$42:$G$68,MATCH(E1320,'Taxonomy Rules'!$C$42:$C$68,0)),"")="All supported routes",IFERROR(INDEX('Taxonomy Rules'!$G$42:$G$68,MATCH(E1320,'Taxonomy Rules'!$C$42:$C$68,0)),"")=U1320,AND(IFERROR(INDEX('Taxonomy Rules'!$G$42:$G$68,MATCH(E1320,'Taxonomy Rules'!$C$42:$C$68,0)),"")="Building routes",OR(U1320="Building renovation",U1320="New building",U1320="Building equipment"))))),"Unexpected test","Valid"))))</x:f>
      </x:c>
      <x:c r="S1320" s="9" t="str">
        <x:f>IF(C1320="","",IFERROR(INDEX('Taxonomy Rules'!$E$42:$E$68,MATCH(E1320,'Taxonomy Rules'!$C$42:$C$68,0)),""))</x:f>
      </x:c>
      <x:c r="T1320" s="9" t="str">
        <x:f>IF(C1320="","",IFERROR(INDEX('Taxonomy Rules'!$F$42:$F$68,MATCH(E1320,'Taxonomy Rules'!$C$42:$C$68,0)),""))</x:f>
      </x:c>
      <x:c r="U1320" s="9" t="str">
        <x:f>IF(C1320="","",IFERROR(INDEX('Taxonomy'!$G$9:$G$108,MATCH(D1320,'Taxonomy'!$C$9:$C$108,0)),""))</x:f>
      </x:c>
    </x:row>
    <x:row r="1321" ht="44" customHeight="1">
      <x:c r="A1321" s="1"/>
      <x:c r="B1321" s="1"/>
      <x:c r="C1321" s="8"/>
      <x:c r="D1321" s="8"/>
      <x:c r="E1321" s="8"/>
      <x:c r="F1321" s="8"/>
      <x:c r="G1321" s="8"/>
      <x:c r="H1321" s="8"/>
      <x:c r="I1321" s="8"/>
      <x:c r="J1321" s="8"/>
      <x:c r="K1321" s="8"/>
      <x:c r="L1321" s="8"/>
      <x:c r="M1321" s="10"/>
      <x:c r="N1321" s="10"/>
      <x:c r="O1321" s="8"/>
      <x:c r="P1321" s="9" t="str">
        <x:f>IF(C1321="","",IF(AND(G1321="Applicable",H1321="Fail"),"Fail",IF(R1321&lt;&gt;"Valid","Pending",IF(OR(I1321="",K1321="",L1321="",K1321=L1321,NOT(ISNUMBER(M1321)),NOT(ISNUMBER(N1321)),M1321&gt;Settings!$F$8,N1321&lt;Settings!$F$8,N1321&lt;M1321),"Pending",IF(AND(G1321="Applicable",H1321="Pass"),"Pass",IF(AND(G1321="N/A",H1321="N/A",J1321&lt;&gt;"",OR(E1321="CEM-FUELS",E1321="CEM-CCS",AND(E1321="CEM-PLAN",IFERROR(INDEX('Taxonomy'!$M$9:$M$108,MATCH(D1321,'Taxonomy'!$C$9:$C$108,0)),"")&lt;&gt;"Amber"),E1321="BLD-TIMBER",AND(U1321="Building equipment",OR(E1321="BLD-WATER",E1321="BLD-WASTE",E1321="BLD-LAND")),AND(U1321="Building renovation",E1321="BLD-LAND"))),"N/A","Pending"))))))</x:f>
      </x:c>
      <x:c r="Q1321" s="3" t="str">
        <x:f>IF(C1321="","",IF(AND(R1321="Valid",OR(P1321="Pass",P1321="N/A")),"Complete","Unresolved"))</x:f>
      </x:c>
      <x:c r="R1321" s="9" t="str">
        <x:f>IF(C1321="","",IF(OR(COUNTIF($C$9:$C$2008,C1321)&lt;&gt;1,COUNTIFS($D$9:$D$2008,D1321,$E$9:$E$2008,E1321)&lt;&gt;1),"Duplicate test",IF(COUNTIF('Taxonomy'!$C$9:$C$108,D1321)&lt;&gt;1,"Assessment key",IF(OR(COUNTIF('Taxonomy Rules'!$C$42:$C$68,E1321)&lt;&gt;1,F1321&lt;&gt;IFERROR(INDEX('Taxonomy Rules'!$D$42:$D$68,MATCH(E1321,'Taxonomy Rules'!$C$42:$C$68,0)),""),NOT(OR(IFERROR(INDEX('Taxonomy Rules'!$G$42:$G$68,MATCH(E1321,'Taxonomy Rules'!$C$42:$C$68,0)),"")="All supported routes",IFERROR(INDEX('Taxonomy Rules'!$G$42:$G$68,MATCH(E1321,'Taxonomy Rules'!$C$42:$C$68,0)),"")=U1321,AND(IFERROR(INDEX('Taxonomy Rules'!$G$42:$G$68,MATCH(E1321,'Taxonomy Rules'!$C$42:$C$68,0)),"")="Building routes",OR(U1321="Building renovation",U1321="New building",U1321="Building equipment"))))),"Unexpected test","Valid"))))</x:f>
      </x:c>
      <x:c r="S1321" s="9" t="str">
        <x:f>IF(C1321="","",IFERROR(INDEX('Taxonomy Rules'!$E$42:$E$68,MATCH(E1321,'Taxonomy Rules'!$C$42:$C$68,0)),""))</x:f>
      </x:c>
      <x:c r="T1321" s="9" t="str">
        <x:f>IF(C1321="","",IFERROR(INDEX('Taxonomy Rules'!$F$42:$F$68,MATCH(E1321,'Taxonomy Rules'!$C$42:$C$68,0)),""))</x:f>
      </x:c>
      <x:c r="U1321" s="9" t="str">
        <x:f>IF(C1321="","",IFERROR(INDEX('Taxonomy'!$G$9:$G$108,MATCH(D1321,'Taxonomy'!$C$9:$C$108,0)),""))</x:f>
      </x:c>
    </x:row>
    <x:row r="1322" ht="44" customHeight="1">
      <x:c r="A1322" s="1"/>
      <x:c r="B1322" s="1"/>
      <x:c r="C1322" s="8"/>
      <x:c r="D1322" s="8"/>
      <x:c r="E1322" s="8"/>
      <x:c r="F1322" s="8"/>
      <x:c r="G1322" s="8"/>
      <x:c r="H1322" s="8"/>
      <x:c r="I1322" s="8"/>
      <x:c r="J1322" s="8"/>
      <x:c r="K1322" s="8"/>
      <x:c r="L1322" s="8"/>
      <x:c r="M1322" s="10"/>
      <x:c r="N1322" s="10"/>
      <x:c r="O1322" s="8"/>
      <x:c r="P1322" s="9" t="str">
        <x:f>IF(C1322="","",IF(AND(G1322="Applicable",H1322="Fail"),"Fail",IF(R1322&lt;&gt;"Valid","Pending",IF(OR(I1322="",K1322="",L1322="",K1322=L1322,NOT(ISNUMBER(M1322)),NOT(ISNUMBER(N1322)),M1322&gt;Settings!$F$8,N1322&lt;Settings!$F$8,N1322&lt;M1322),"Pending",IF(AND(G1322="Applicable",H1322="Pass"),"Pass",IF(AND(G1322="N/A",H1322="N/A",J1322&lt;&gt;"",OR(E1322="CEM-FUELS",E1322="CEM-CCS",AND(E1322="CEM-PLAN",IFERROR(INDEX('Taxonomy'!$M$9:$M$108,MATCH(D1322,'Taxonomy'!$C$9:$C$108,0)),"")&lt;&gt;"Amber"),E1322="BLD-TIMBER",AND(U1322="Building equipment",OR(E1322="BLD-WATER",E1322="BLD-WASTE",E1322="BLD-LAND")),AND(U1322="Building renovation",E1322="BLD-LAND"))),"N/A","Pending"))))))</x:f>
      </x:c>
      <x:c r="Q1322" s="3" t="str">
        <x:f>IF(C1322="","",IF(AND(R1322="Valid",OR(P1322="Pass",P1322="N/A")),"Complete","Unresolved"))</x:f>
      </x:c>
      <x:c r="R1322" s="9" t="str">
        <x:f>IF(C1322="","",IF(OR(COUNTIF($C$9:$C$2008,C1322)&lt;&gt;1,COUNTIFS($D$9:$D$2008,D1322,$E$9:$E$2008,E1322)&lt;&gt;1),"Duplicate test",IF(COUNTIF('Taxonomy'!$C$9:$C$108,D1322)&lt;&gt;1,"Assessment key",IF(OR(COUNTIF('Taxonomy Rules'!$C$42:$C$68,E1322)&lt;&gt;1,F1322&lt;&gt;IFERROR(INDEX('Taxonomy Rules'!$D$42:$D$68,MATCH(E1322,'Taxonomy Rules'!$C$42:$C$68,0)),""),NOT(OR(IFERROR(INDEX('Taxonomy Rules'!$G$42:$G$68,MATCH(E1322,'Taxonomy Rules'!$C$42:$C$68,0)),"")="All supported routes",IFERROR(INDEX('Taxonomy Rules'!$G$42:$G$68,MATCH(E1322,'Taxonomy Rules'!$C$42:$C$68,0)),"")=U1322,AND(IFERROR(INDEX('Taxonomy Rules'!$G$42:$G$68,MATCH(E1322,'Taxonomy Rules'!$C$42:$C$68,0)),"")="Building routes",OR(U1322="Building renovation",U1322="New building",U1322="Building equipment"))))),"Unexpected test","Valid"))))</x:f>
      </x:c>
      <x:c r="S1322" s="9" t="str">
        <x:f>IF(C1322="","",IFERROR(INDEX('Taxonomy Rules'!$E$42:$E$68,MATCH(E1322,'Taxonomy Rules'!$C$42:$C$68,0)),""))</x:f>
      </x:c>
      <x:c r="T1322" s="9" t="str">
        <x:f>IF(C1322="","",IFERROR(INDEX('Taxonomy Rules'!$F$42:$F$68,MATCH(E1322,'Taxonomy Rules'!$C$42:$C$68,0)),""))</x:f>
      </x:c>
      <x:c r="U1322" s="9" t="str">
        <x:f>IF(C1322="","",IFERROR(INDEX('Taxonomy'!$G$9:$G$108,MATCH(D1322,'Taxonomy'!$C$9:$C$108,0)),""))</x:f>
      </x:c>
    </x:row>
    <x:row r="1323" ht="44" customHeight="1">
      <x:c r="A1323" s="1"/>
      <x:c r="B1323" s="1"/>
      <x:c r="C1323" s="8"/>
      <x:c r="D1323" s="8"/>
      <x:c r="E1323" s="8"/>
      <x:c r="F1323" s="8"/>
      <x:c r="G1323" s="8"/>
      <x:c r="H1323" s="8"/>
      <x:c r="I1323" s="8"/>
      <x:c r="J1323" s="8"/>
      <x:c r="K1323" s="8"/>
      <x:c r="L1323" s="8"/>
      <x:c r="M1323" s="10"/>
      <x:c r="N1323" s="10"/>
      <x:c r="O1323" s="8"/>
      <x:c r="P1323" s="9" t="str">
        <x:f>IF(C1323="","",IF(AND(G1323="Applicable",H1323="Fail"),"Fail",IF(R1323&lt;&gt;"Valid","Pending",IF(OR(I1323="",K1323="",L1323="",K1323=L1323,NOT(ISNUMBER(M1323)),NOT(ISNUMBER(N1323)),M1323&gt;Settings!$F$8,N1323&lt;Settings!$F$8,N1323&lt;M1323),"Pending",IF(AND(G1323="Applicable",H1323="Pass"),"Pass",IF(AND(G1323="N/A",H1323="N/A",J1323&lt;&gt;"",OR(E1323="CEM-FUELS",E1323="CEM-CCS",AND(E1323="CEM-PLAN",IFERROR(INDEX('Taxonomy'!$M$9:$M$108,MATCH(D1323,'Taxonomy'!$C$9:$C$108,0)),"")&lt;&gt;"Amber"),E1323="BLD-TIMBER",AND(U1323="Building equipment",OR(E1323="BLD-WATER",E1323="BLD-WASTE",E1323="BLD-LAND")),AND(U1323="Building renovation",E1323="BLD-LAND"))),"N/A","Pending"))))))</x:f>
      </x:c>
      <x:c r="Q1323" s="3" t="str">
        <x:f>IF(C1323="","",IF(AND(R1323="Valid",OR(P1323="Pass",P1323="N/A")),"Complete","Unresolved"))</x:f>
      </x:c>
      <x:c r="R1323" s="9" t="str">
        <x:f>IF(C1323="","",IF(OR(COUNTIF($C$9:$C$2008,C1323)&lt;&gt;1,COUNTIFS($D$9:$D$2008,D1323,$E$9:$E$2008,E1323)&lt;&gt;1),"Duplicate test",IF(COUNTIF('Taxonomy'!$C$9:$C$108,D1323)&lt;&gt;1,"Assessment key",IF(OR(COUNTIF('Taxonomy Rules'!$C$42:$C$68,E1323)&lt;&gt;1,F1323&lt;&gt;IFERROR(INDEX('Taxonomy Rules'!$D$42:$D$68,MATCH(E1323,'Taxonomy Rules'!$C$42:$C$68,0)),""),NOT(OR(IFERROR(INDEX('Taxonomy Rules'!$G$42:$G$68,MATCH(E1323,'Taxonomy Rules'!$C$42:$C$68,0)),"")="All supported routes",IFERROR(INDEX('Taxonomy Rules'!$G$42:$G$68,MATCH(E1323,'Taxonomy Rules'!$C$42:$C$68,0)),"")=U1323,AND(IFERROR(INDEX('Taxonomy Rules'!$G$42:$G$68,MATCH(E1323,'Taxonomy Rules'!$C$42:$C$68,0)),"")="Building routes",OR(U1323="Building renovation",U1323="New building",U1323="Building equipment"))))),"Unexpected test","Valid"))))</x:f>
      </x:c>
      <x:c r="S1323" s="9" t="str">
        <x:f>IF(C1323="","",IFERROR(INDEX('Taxonomy Rules'!$E$42:$E$68,MATCH(E1323,'Taxonomy Rules'!$C$42:$C$68,0)),""))</x:f>
      </x:c>
      <x:c r="T1323" s="9" t="str">
        <x:f>IF(C1323="","",IFERROR(INDEX('Taxonomy Rules'!$F$42:$F$68,MATCH(E1323,'Taxonomy Rules'!$C$42:$C$68,0)),""))</x:f>
      </x:c>
      <x:c r="U1323" s="9" t="str">
        <x:f>IF(C1323="","",IFERROR(INDEX('Taxonomy'!$G$9:$G$108,MATCH(D1323,'Taxonomy'!$C$9:$C$108,0)),""))</x:f>
      </x:c>
    </x:row>
    <x:row r="1324" ht="44" customHeight="1">
      <x:c r="A1324" s="1"/>
      <x:c r="B1324" s="1"/>
      <x:c r="C1324" s="8"/>
      <x:c r="D1324" s="8"/>
      <x:c r="E1324" s="8"/>
      <x:c r="F1324" s="8"/>
      <x:c r="G1324" s="8"/>
      <x:c r="H1324" s="8"/>
      <x:c r="I1324" s="8"/>
      <x:c r="J1324" s="8"/>
      <x:c r="K1324" s="8"/>
      <x:c r="L1324" s="8"/>
      <x:c r="M1324" s="10"/>
      <x:c r="N1324" s="10"/>
      <x:c r="O1324" s="8"/>
      <x:c r="P1324" s="9" t="str">
        <x:f>IF(C1324="","",IF(AND(G1324="Applicable",H1324="Fail"),"Fail",IF(R1324&lt;&gt;"Valid","Pending",IF(OR(I1324="",K1324="",L1324="",K1324=L1324,NOT(ISNUMBER(M1324)),NOT(ISNUMBER(N1324)),M1324&gt;Settings!$F$8,N1324&lt;Settings!$F$8,N1324&lt;M1324),"Pending",IF(AND(G1324="Applicable",H1324="Pass"),"Pass",IF(AND(G1324="N/A",H1324="N/A",J1324&lt;&gt;"",OR(E1324="CEM-FUELS",E1324="CEM-CCS",AND(E1324="CEM-PLAN",IFERROR(INDEX('Taxonomy'!$M$9:$M$108,MATCH(D1324,'Taxonomy'!$C$9:$C$108,0)),"")&lt;&gt;"Amber"),E1324="BLD-TIMBER",AND(U1324="Building equipment",OR(E1324="BLD-WATER",E1324="BLD-WASTE",E1324="BLD-LAND")),AND(U1324="Building renovation",E1324="BLD-LAND"))),"N/A","Pending"))))))</x:f>
      </x:c>
      <x:c r="Q1324" s="3" t="str">
        <x:f>IF(C1324="","",IF(AND(R1324="Valid",OR(P1324="Pass",P1324="N/A")),"Complete","Unresolved"))</x:f>
      </x:c>
      <x:c r="R1324" s="9" t="str">
        <x:f>IF(C1324="","",IF(OR(COUNTIF($C$9:$C$2008,C1324)&lt;&gt;1,COUNTIFS($D$9:$D$2008,D1324,$E$9:$E$2008,E1324)&lt;&gt;1),"Duplicate test",IF(COUNTIF('Taxonomy'!$C$9:$C$108,D1324)&lt;&gt;1,"Assessment key",IF(OR(COUNTIF('Taxonomy Rules'!$C$42:$C$68,E1324)&lt;&gt;1,F1324&lt;&gt;IFERROR(INDEX('Taxonomy Rules'!$D$42:$D$68,MATCH(E1324,'Taxonomy Rules'!$C$42:$C$68,0)),""),NOT(OR(IFERROR(INDEX('Taxonomy Rules'!$G$42:$G$68,MATCH(E1324,'Taxonomy Rules'!$C$42:$C$68,0)),"")="All supported routes",IFERROR(INDEX('Taxonomy Rules'!$G$42:$G$68,MATCH(E1324,'Taxonomy Rules'!$C$42:$C$68,0)),"")=U1324,AND(IFERROR(INDEX('Taxonomy Rules'!$G$42:$G$68,MATCH(E1324,'Taxonomy Rules'!$C$42:$C$68,0)),"")="Building routes",OR(U1324="Building renovation",U1324="New building",U1324="Building equipment"))))),"Unexpected test","Valid"))))</x:f>
      </x:c>
      <x:c r="S1324" s="9" t="str">
        <x:f>IF(C1324="","",IFERROR(INDEX('Taxonomy Rules'!$E$42:$E$68,MATCH(E1324,'Taxonomy Rules'!$C$42:$C$68,0)),""))</x:f>
      </x:c>
      <x:c r="T1324" s="9" t="str">
        <x:f>IF(C1324="","",IFERROR(INDEX('Taxonomy Rules'!$F$42:$F$68,MATCH(E1324,'Taxonomy Rules'!$C$42:$C$68,0)),""))</x:f>
      </x:c>
      <x:c r="U1324" s="9" t="str">
        <x:f>IF(C1324="","",IFERROR(INDEX('Taxonomy'!$G$9:$G$108,MATCH(D1324,'Taxonomy'!$C$9:$C$108,0)),""))</x:f>
      </x:c>
    </x:row>
    <x:row r="1325" ht="44" customHeight="1">
      <x:c r="A1325" s="1"/>
      <x:c r="B1325" s="1"/>
      <x:c r="C1325" s="8"/>
      <x:c r="D1325" s="8"/>
      <x:c r="E1325" s="8"/>
      <x:c r="F1325" s="8"/>
      <x:c r="G1325" s="8"/>
      <x:c r="H1325" s="8"/>
      <x:c r="I1325" s="8"/>
      <x:c r="J1325" s="8"/>
      <x:c r="K1325" s="8"/>
      <x:c r="L1325" s="8"/>
      <x:c r="M1325" s="10"/>
      <x:c r="N1325" s="10"/>
      <x:c r="O1325" s="8"/>
      <x:c r="P1325" s="9" t="str">
        <x:f>IF(C1325="","",IF(AND(G1325="Applicable",H1325="Fail"),"Fail",IF(R1325&lt;&gt;"Valid","Pending",IF(OR(I1325="",K1325="",L1325="",K1325=L1325,NOT(ISNUMBER(M1325)),NOT(ISNUMBER(N1325)),M1325&gt;Settings!$F$8,N1325&lt;Settings!$F$8,N1325&lt;M1325),"Pending",IF(AND(G1325="Applicable",H1325="Pass"),"Pass",IF(AND(G1325="N/A",H1325="N/A",J1325&lt;&gt;"",OR(E1325="CEM-FUELS",E1325="CEM-CCS",AND(E1325="CEM-PLAN",IFERROR(INDEX('Taxonomy'!$M$9:$M$108,MATCH(D1325,'Taxonomy'!$C$9:$C$108,0)),"")&lt;&gt;"Amber"),E1325="BLD-TIMBER",AND(U1325="Building equipment",OR(E1325="BLD-WATER",E1325="BLD-WASTE",E1325="BLD-LAND")),AND(U1325="Building renovation",E1325="BLD-LAND"))),"N/A","Pending"))))))</x:f>
      </x:c>
      <x:c r="Q1325" s="3" t="str">
        <x:f>IF(C1325="","",IF(AND(R1325="Valid",OR(P1325="Pass",P1325="N/A")),"Complete","Unresolved"))</x:f>
      </x:c>
      <x:c r="R1325" s="9" t="str">
        <x:f>IF(C1325="","",IF(OR(COUNTIF($C$9:$C$2008,C1325)&lt;&gt;1,COUNTIFS($D$9:$D$2008,D1325,$E$9:$E$2008,E1325)&lt;&gt;1),"Duplicate test",IF(COUNTIF('Taxonomy'!$C$9:$C$108,D1325)&lt;&gt;1,"Assessment key",IF(OR(COUNTIF('Taxonomy Rules'!$C$42:$C$68,E1325)&lt;&gt;1,F1325&lt;&gt;IFERROR(INDEX('Taxonomy Rules'!$D$42:$D$68,MATCH(E1325,'Taxonomy Rules'!$C$42:$C$68,0)),""),NOT(OR(IFERROR(INDEX('Taxonomy Rules'!$G$42:$G$68,MATCH(E1325,'Taxonomy Rules'!$C$42:$C$68,0)),"")="All supported routes",IFERROR(INDEX('Taxonomy Rules'!$G$42:$G$68,MATCH(E1325,'Taxonomy Rules'!$C$42:$C$68,0)),"")=U1325,AND(IFERROR(INDEX('Taxonomy Rules'!$G$42:$G$68,MATCH(E1325,'Taxonomy Rules'!$C$42:$C$68,0)),"")="Building routes",OR(U1325="Building renovation",U1325="New building",U1325="Building equipment"))))),"Unexpected test","Valid"))))</x:f>
      </x:c>
      <x:c r="S1325" s="9" t="str">
        <x:f>IF(C1325="","",IFERROR(INDEX('Taxonomy Rules'!$E$42:$E$68,MATCH(E1325,'Taxonomy Rules'!$C$42:$C$68,0)),""))</x:f>
      </x:c>
      <x:c r="T1325" s="9" t="str">
        <x:f>IF(C1325="","",IFERROR(INDEX('Taxonomy Rules'!$F$42:$F$68,MATCH(E1325,'Taxonomy Rules'!$C$42:$C$68,0)),""))</x:f>
      </x:c>
      <x:c r="U1325" s="9" t="str">
        <x:f>IF(C1325="","",IFERROR(INDEX('Taxonomy'!$G$9:$G$108,MATCH(D1325,'Taxonomy'!$C$9:$C$108,0)),""))</x:f>
      </x:c>
    </x:row>
    <x:row r="1326" ht="44" customHeight="1">
      <x:c r="A1326" s="1"/>
      <x:c r="B1326" s="1"/>
      <x:c r="C1326" s="8"/>
      <x:c r="D1326" s="8"/>
      <x:c r="E1326" s="8"/>
      <x:c r="F1326" s="8"/>
      <x:c r="G1326" s="8"/>
      <x:c r="H1326" s="8"/>
      <x:c r="I1326" s="8"/>
      <x:c r="J1326" s="8"/>
      <x:c r="K1326" s="8"/>
      <x:c r="L1326" s="8"/>
      <x:c r="M1326" s="10"/>
      <x:c r="N1326" s="10"/>
      <x:c r="O1326" s="8"/>
      <x:c r="P1326" s="9" t="str">
        <x:f>IF(C1326="","",IF(AND(G1326="Applicable",H1326="Fail"),"Fail",IF(R1326&lt;&gt;"Valid","Pending",IF(OR(I1326="",K1326="",L1326="",K1326=L1326,NOT(ISNUMBER(M1326)),NOT(ISNUMBER(N1326)),M1326&gt;Settings!$F$8,N1326&lt;Settings!$F$8,N1326&lt;M1326),"Pending",IF(AND(G1326="Applicable",H1326="Pass"),"Pass",IF(AND(G1326="N/A",H1326="N/A",J1326&lt;&gt;"",OR(E1326="CEM-FUELS",E1326="CEM-CCS",AND(E1326="CEM-PLAN",IFERROR(INDEX('Taxonomy'!$M$9:$M$108,MATCH(D1326,'Taxonomy'!$C$9:$C$108,0)),"")&lt;&gt;"Amber"),E1326="BLD-TIMBER",AND(U1326="Building equipment",OR(E1326="BLD-WATER",E1326="BLD-WASTE",E1326="BLD-LAND")),AND(U1326="Building renovation",E1326="BLD-LAND"))),"N/A","Pending"))))))</x:f>
      </x:c>
      <x:c r="Q1326" s="3" t="str">
        <x:f>IF(C1326="","",IF(AND(R1326="Valid",OR(P1326="Pass",P1326="N/A")),"Complete","Unresolved"))</x:f>
      </x:c>
      <x:c r="R1326" s="9" t="str">
        <x:f>IF(C1326="","",IF(OR(COUNTIF($C$9:$C$2008,C1326)&lt;&gt;1,COUNTIFS($D$9:$D$2008,D1326,$E$9:$E$2008,E1326)&lt;&gt;1),"Duplicate test",IF(COUNTIF('Taxonomy'!$C$9:$C$108,D1326)&lt;&gt;1,"Assessment key",IF(OR(COUNTIF('Taxonomy Rules'!$C$42:$C$68,E1326)&lt;&gt;1,F1326&lt;&gt;IFERROR(INDEX('Taxonomy Rules'!$D$42:$D$68,MATCH(E1326,'Taxonomy Rules'!$C$42:$C$68,0)),""),NOT(OR(IFERROR(INDEX('Taxonomy Rules'!$G$42:$G$68,MATCH(E1326,'Taxonomy Rules'!$C$42:$C$68,0)),"")="All supported routes",IFERROR(INDEX('Taxonomy Rules'!$G$42:$G$68,MATCH(E1326,'Taxonomy Rules'!$C$42:$C$68,0)),"")=U1326,AND(IFERROR(INDEX('Taxonomy Rules'!$G$42:$G$68,MATCH(E1326,'Taxonomy Rules'!$C$42:$C$68,0)),"")="Building routes",OR(U1326="Building renovation",U1326="New building",U1326="Building equipment"))))),"Unexpected test","Valid"))))</x:f>
      </x:c>
      <x:c r="S1326" s="9" t="str">
        <x:f>IF(C1326="","",IFERROR(INDEX('Taxonomy Rules'!$E$42:$E$68,MATCH(E1326,'Taxonomy Rules'!$C$42:$C$68,0)),""))</x:f>
      </x:c>
      <x:c r="T1326" s="9" t="str">
        <x:f>IF(C1326="","",IFERROR(INDEX('Taxonomy Rules'!$F$42:$F$68,MATCH(E1326,'Taxonomy Rules'!$C$42:$C$68,0)),""))</x:f>
      </x:c>
      <x:c r="U1326" s="9" t="str">
        <x:f>IF(C1326="","",IFERROR(INDEX('Taxonomy'!$G$9:$G$108,MATCH(D1326,'Taxonomy'!$C$9:$C$108,0)),""))</x:f>
      </x:c>
    </x:row>
    <x:row r="1327" ht="44" customHeight="1">
      <x:c r="A1327" s="1"/>
      <x:c r="B1327" s="1"/>
      <x:c r="C1327" s="8"/>
      <x:c r="D1327" s="8"/>
      <x:c r="E1327" s="8"/>
      <x:c r="F1327" s="8"/>
      <x:c r="G1327" s="8"/>
      <x:c r="H1327" s="8"/>
      <x:c r="I1327" s="8"/>
      <x:c r="J1327" s="8"/>
      <x:c r="K1327" s="8"/>
      <x:c r="L1327" s="8"/>
      <x:c r="M1327" s="10"/>
      <x:c r="N1327" s="10"/>
      <x:c r="O1327" s="8"/>
      <x:c r="P1327" s="9" t="str">
        <x:f>IF(C1327="","",IF(AND(G1327="Applicable",H1327="Fail"),"Fail",IF(R1327&lt;&gt;"Valid","Pending",IF(OR(I1327="",K1327="",L1327="",K1327=L1327,NOT(ISNUMBER(M1327)),NOT(ISNUMBER(N1327)),M1327&gt;Settings!$F$8,N1327&lt;Settings!$F$8,N1327&lt;M1327),"Pending",IF(AND(G1327="Applicable",H1327="Pass"),"Pass",IF(AND(G1327="N/A",H1327="N/A",J1327&lt;&gt;"",OR(E1327="CEM-FUELS",E1327="CEM-CCS",AND(E1327="CEM-PLAN",IFERROR(INDEX('Taxonomy'!$M$9:$M$108,MATCH(D1327,'Taxonomy'!$C$9:$C$108,0)),"")&lt;&gt;"Amber"),E1327="BLD-TIMBER",AND(U1327="Building equipment",OR(E1327="BLD-WATER",E1327="BLD-WASTE",E1327="BLD-LAND")),AND(U1327="Building renovation",E1327="BLD-LAND"))),"N/A","Pending"))))))</x:f>
      </x:c>
      <x:c r="Q1327" s="3" t="str">
        <x:f>IF(C1327="","",IF(AND(R1327="Valid",OR(P1327="Pass",P1327="N/A")),"Complete","Unresolved"))</x:f>
      </x:c>
      <x:c r="R1327" s="9" t="str">
        <x:f>IF(C1327="","",IF(OR(COUNTIF($C$9:$C$2008,C1327)&lt;&gt;1,COUNTIFS($D$9:$D$2008,D1327,$E$9:$E$2008,E1327)&lt;&gt;1),"Duplicate test",IF(COUNTIF('Taxonomy'!$C$9:$C$108,D1327)&lt;&gt;1,"Assessment key",IF(OR(COUNTIF('Taxonomy Rules'!$C$42:$C$68,E1327)&lt;&gt;1,F1327&lt;&gt;IFERROR(INDEX('Taxonomy Rules'!$D$42:$D$68,MATCH(E1327,'Taxonomy Rules'!$C$42:$C$68,0)),""),NOT(OR(IFERROR(INDEX('Taxonomy Rules'!$G$42:$G$68,MATCH(E1327,'Taxonomy Rules'!$C$42:$C$68,0)),"")="All supported routes",IFERROR(INDEX('Taxonomy Rules'!$G$42:$G$68,MATCH(E1327,'Taxonomy Rules'!$C$42:$C$68,0)),"")=U1327,AND(IFERROR(INDEX('Taxonomy Rules'!$G$42:$G$68,MATCH(E1327,'Taxonomy Rules'!$C$42:$C$68,0)),"")="Building routes",OR(U1327="Building renovation",U1327="New building",U1327="Building equipment"))))),"Unexpected test","Valid"))))</x:f>
      </x:c>
      <x:c r="S1327" s="9" t="str">
        <x:f>IF(C1327="","",IFERROR(INDEX('Taxonomy Rules'!$E$42:$E$68,MATCH(E1327,'Taxonomy Rules'!$C$42:$C$68,0)),""))</x:f>
      </x:c>
      <x:c r="T1327" s="9" t="str">
        <x:f>IF(C1327="","",IFERROR(INDEX('Taxonomy Rules'!$F$42:$F$68,MATCH(E1327,'Taxonomy Rules'!$C$42:$C$68,0)),""))</x:f>
      </x:c>
      <x:c r="U1327" s="9" t="str">
        <x:f>IF(C1327="","",IFERROR(INDEX('Taxonomy'!$G$9:$G$108,MATCH(D1327,'Taxonomy'!$C$9:$C$108,0)),""))</x:f>
      </x:c>
    </x:row>
    <x:row r="1328" ht="44" customHeight="1">
      <x:c r="A1328" s="1"/>
      <x:c r="B1328" s="1"/>
      <x:c r="C1328" s="8"/>
      <x:c r="D1328" s="8"/>
      <x:c r="E1328" s="8"/>
      <x:c r="F1328" s="8"/>
      <x:c r="G1328" s="8"/>
      <x:c r="H1328" s="8"/>
      <x:c r="I1328" s="8"/>
      <x:c r="J1328" s="8"/>
      <x:c r="K1328" s="8"/>
      <x:c r="L1328" s="8"/>
      <x:c r="M1328" s="10"/>
      <x:c r="N1328" s="10"/>
      <x:c r="O1328" s="8"/>
      <x:c r="P1328" s="9" t="str">
        <x:f>IF(C1328="","",IF(AND(G1328="Applicable",H1328="Fail"),"Fail",IF(R1328&lt;&gt;"Valid","Pending",IF(OR(I1328="",K1328="",L1328="",K1328=L1328,NOT(ISNUMBER(M1328)),NOT(ISNUMBER(N1328)),M1328&gt;Settings!$F$8,N1328&lt;Settings!$F$8,N1328&lt;M1328),"Pending",IF(AND(G1328="Applicable",H1328="Pass"),"Pass",IF(AND(G1328="N/A",H1328="N/A",J1328&lt;&gt;"",OR(E1328="CEM-FUELS",E1328="CEM-CCS",AND(E1328="CEM-PLAN",IFERROR(INDEX('Taxonomy'!$M$9:$M$108,MATCH(D1328,'Taxonomy'!$C$9:$C$108,0)),"")&lt;&gt;"Amber"),E1328="BLD-TIMBER",AND(U1328="Building equipment",OR(E1328="BLD-WATER",E1328="BLD-WASTE",E1328="BLD-LAND")),AND(U1328="Building renovation",E1328="BLD-LAND"))),"N/A","Pending"))))))</x:f>
      </x:c>
      <x:c r="Q1328" s="3" t="str">
        <x:f>IF(C1328="","",IF(AND(R1328="Valid",OR(P1328="Pass",P1328="N/A")),"Complete","Unresolved"))</x:f>
      </x:c>
      <x:c r="R1328" s="9" t="str">
        <x:f>IF(C1328="","",IF(OR(COUNTIF($C$9:$C$2008,C1328)&lt;&gt;1,COUNTIFS($D$9:$D$2008,D1328,$E$9:$E$2008,E1328)&lt;&gt;1),"Duplicate test",IF(COUNTIF('Taxonomy'!$C$9:$C$108,D1328)&lt;&gt;1,"Assessment key",IF(OR(COUNTIF('Taxonomy Rules'!$C$42:$C$68,E1328)&lt;&gt;1,F1328&lt;&gt;IFERROR(INDEX('Taxonomy Rules'!$D$42:$D$68,MATCH(E1328,'Taxonomy Rules'!$C$42:$C$68,0)),""),NOT(OR(IFERROR(INDEX('Taxonomy Rules'!$G$42:$G$68,MATCH(E1328,'Taxonomy Rules'!$C$42:$C$68,0)),"")="All supported routes",IFERROR(INDEX('Taxonomy Rules'!$G$42:$G$68,MATCH(E1328,'Taxonomy Rules'!$C$42:$C$68,0)),"")=U1328,AND(IFERROR(INDEX('Taxonomy Rules'!$G$42:$G$68,MATCH(E1328,'Taxonomy Rules'!$C$42:$C$68,0)),"")="Building routes",OR(U1328="Building renovation",U1328="New building",U1328="Building equipment"))))),"Unexpected test","Valid"))))</x:f>
      </x:c>
      <x:c r="S1328" s="9" t="str">
        <x:f>IF(C1328="","",IFERROR(INDEX('Taxonomy Rules'!$E$42:$E$68,MATCH(E1328,'Taxonomy Rules'!$C$42:$C$68,0)),""))</x:f>
      </x:c>
      <x:c r="T1328" s="9" t="str">
        <x:f>IF(C1328="","",IFERROR(INDEX('Taxonomy Rules'!$F$42:$F$68,MATCH(E1328,'Taxonomy Rules'!$C$42:$C$68,0)),""))</x:f>
      </x:c>
      <x:c r="U1328" s="9" t="str">
        <x:f>IF(C1328="","",IFERROR(INDEX('Taxonomy'!$G$9:$G$108,MATCH(D1328,'Taxonomy'!$C$9:$C$108,0)),""))</x:f>
      </x:c>
    </x:row>
    <x:row r="1329" ht="44" customHeight="1">
      <x:c r="A1329" s="1"/>
      <x:c r="B1329" s="1"/>
      <x:c r="C1329" s="8"/>
      <x:c r="D1329" s="8"/>
      <x:c r="E1329" s="8"/>
      <x:c r="F1329" s="8"/>
      <x:c r="G1329" s="8"/>
      <x:c r="H1329" s="8"/>
      <x:c r="I1329" s="8"/>
      <x:c r="J1329" s="8"/>
      <x:c r="K1329" s="8"/>
      <x:c r="L1329" s="8"/>
      <x:c r="M1329" s="10"/>
      <x:c r="N1329" s="10"/>
      <x:c r="O1329" s="8"/>
      <x:c r="P1329" s="9" t="str">
        <x:f>IF(C1329="","",IF(AND(G1329="Applicable",H1329="Fail"),"Fail",IF(R1329&lt;&gt;"Valid","Pending",IF(OR(I1329="",K1329="",L1329="",K1329=L1329,NOT(ISNUMBER(M1329)),NOT(ISNUMBER(N1329)),M1329&gt;Settings!$F$8,N1329&lt;Settings!$F$8,N1329&lt;M1329),"Pending",IF(AND(G1329="Applicable",H1329="Pass"),"Pass",IF(AND(G1329="N/A",H1329="N/A",J1329&lt;&gt;"",OR(E1329="CEM-FUELS",E1329="CEM-CCS",AND(E1329="CEM-PLAN",IFERROR(INDEX('Taxonomy'!$M$9:$M$108,MATCH(D1329,'Taxonomy'!$C$9:$C$108,0)),"")&lt;&gt;"Amber"),E1329="BLD-TIMBER",AND(U1329="Building equipment",OR(E1329="BLD-WATER",E1329="BLD-WASTE",E1329="BLD-LAND")),AND(U1329="Building renovation",E1329="BLD-LAND"))),"N/A","Pending"))))))</x:f>
      </x:c>
      <x:c r="Q1329" s="3" t="str">
        <x:f>IF(C1329="","",IF(AND(R1329="Valid",OR(P1329="Pass",P1329="N/A")),"Complete","Unresolved"))</x:f>
      </x:c>
      <x:c r="R1329" s="9" t="str">
        <x:f>IF(C1329="","",IF(OR(COUNTIF($C$9:$C$2008,C1329)&lt;&gt;1,COUNTIFS($D$9:$D$2008,D1329,$E$9:$E$2008,E1329)&lt;&gt;1),"Duplicate test",IF(COUNTIF('Taxonomy'!$C$9:$C$108,D1329)&lt;&gt;1,"Assessment key",IF(OR(COUNTIF('Taxonomy Rules'!$C$42:$C$68,E1329)&lt;&gt;1,F1329&lt;&gt;IFERROR(INDEX('Taxonomy Rules'!$D$42:$D$68,MATCH(E1329,'Taxonomy Rules'!$C$42:$C$68,0)),""),NOT(OR(IFERROR(INDEX('Taxonomy Rules'!$G$42:$G$68,MATCH(E1329,'Taxonomy Rules'!$C$42:$C$68,0)),"")="All supported routes",IFERROR(INDEX('Taxonomy Rules'!$G$42:$G$68,MATCH(E1329,'Taxonomy Rules'!$C$42:$C$68,0)),"")=U1329,AND(IFERROR(INDEX('Taxonomy Rules'!$G$42:$G$68,MATCH(E1329,'Taxonomy Rules'!$C$42:$C$68,0)),"")="Building routes",OR(U1329="Building renovation",U1329="New building",U1329="Building equipment"))))),"Unexpected test","Valid"))))</x:f>
      </x:c>
      <x:c r="S1329" s="9" t="str">
        <x:f>IF(C1329="","",IFERROR(INDEX('Taxonomy Rules'!$E$42:$E$68,MATCH(E1329,'Taxonomy Rules'!$C$42:$C$68,0)),""))</x:f>
      </x:c>
      <x:c r="T1329" s="9" t="str">
        <x:f>IF(C1329="","",IFERROR(INDEX('Taxonomy Rules'!$F$42:$F$68,MATCH(E1329,'Taxonomy Rules'!$C$42:$C$68,0)),""))</x:f>
      </x:c>
      <x:c r="U1329" s="9" t="str">
        <x:f>IF(C1329="","",IFERROR(INDEX('Taxonomy'!$G$9:$G$108,MATCH(D1329,'Taxonomy'!$C$9:$C$108,0)),""))</x:f>
      </x:c>
    </x:row>
    <x:row r="1330" ht="44" customHeight="1">
      <x:c r="A1330" s="1"/>
      <x:c r="B1330" s="1"/>
      <x:c r="C1330" s="8"/>
      <x:c r="D1330" s="8"/>
      <x:c r="E1330" s="8"/>
      <x:c r="F1330" s="8"/>
      <x:c r="G1330" s="8"/>
      <x:c r="H1330" s="8"/>
      <x:c r="I1330" s="8"/>
      <x:c r="J1330" s="8"/>
      <x:c r="K1330" s="8"/>
      <x:c r="L1330" s="8"/>
      <x:c r="M1330" s="10"/>
      <x:c r="N1330" s="10"/>
      <x:c r="O1330" s="8"/>
      <x:c r="P1330" s="9" t="str">
        <x:f>IF(C1330="","",IF(AND(G1330="Applicable",H1330="Fail"),"Fail",IF(R1330&lt;&gt;"Valid","Pending",IF(OR(I1330="",K1330="",L1330="",K1330=L1330,NOT(ISNUMBER(M1330)),NOT(ISNUMBER(N1330)),M1330&gt;Settings!$F$8,N1330&lt;Settings!$F$8,N1330&lt;M1330),"Pending",IF(AND(G1330="Applicable",H1330="Pass"),"Pass",IF(AND(G1330="N/A",H1330="N/A",J1330&lt;&gt;"",OR(E1330="CEM-FUELS",E1330="CEM-CCS",AND(E1330="CEM-PLAN",IFERROR(INDEX('Taxonomy'!$M$9:$M$108,MATCH(D1330,'Taxonomy'!$C$9:$C$108,0)),"")&lt;&gt;"Amber"),E1330="BLD-TIMBER",AND(U1330="Building equipment",OR(E1330="BLD-WATER",E1330="BLD-WASTE",E1330="BLD-LAND")),AND(U1330="Building renovation",E1330="BLD-LAND"))),"N/A","Pending"))))))</x:f>
      </x:c>
      <x:c r="Q1330" s="3" t="str">
        <x:f>IF(C1330="","",IF(AND(R1330="Valid",OR(P1330="Pass",P1330="N/A")),"Complete","Unresolved"))</x:f>
      </x:c>
      <x:c r="R1330" s="9" t="str">
        <x:f>IF(C1330="","",IF(OR(COUNTIF($C$9:$C$2008,C1330)&lt;&gt;1,COUNTIFS($D$9:$D$2008,D1330,$E$9:$E$2008,E1330)&lt;&gt;1),"Duplicate test",IF(COUNTIF('Taxonomy'!$C$9:$C$108,D1330)&lt;&gt;1,"Assessment key",IF(OR(COUNTIF('Taxonomy Rules'!$C$42:$C$68,E1330)&lt;&gt;1,F1330&lt;&gt;IFERROR(INDEX('Taxonomy Rules'!$D$42:$D$68,MATCH(E1330,'Taxonomy Rules'!$C$42:$C$68,0)),""),NOT(OR(IFERROR(INDEX('Taxonomy Rules'!$G$42:$G$68,MATCH(E1330,'Taxonomy Rules'!$C$42:$C$68,0)),"")="All supported routes",IFERROR(INDEX('Taxonomy Rules'!$G$42:$G$68,MATCH(E1330,'Taxonomy Rules'!$C$42:$C$68,0)),"")=U1330,AND(IFERROR(INDEX('Taxonomy Rules'!$G$42:$G$68,MATCH(E1330,'Taxonomy Rules'!$C$42:$C$68,0)),"")="Building routes",OR(U1330="Building renovation",U1330="New building",U1330="Building equipment"))))),"Unexpected test","Valid"))))</x:f>
      </x:c>
      <x:c r="S1330" s="9" t="str">
        <x:f>IF(C1330="","",IFERROR(INDEX('Taxonomy Rules'!$E$42:$E$68,MATCH(E1330,'Taxonomy Rules'!$C$42:$C$68,0)),""))</x:f>
      </x:c>
      <x:c r="T1330" s="9" t="str">
        <x:f>IF(C1330="","",IFERROR(INDEX('Taxonomy Rules'!$F$42:$F$68,MATCH(E1330,'Taxonomy Rules'!$C$42:$C$68,0)),""))</x:f>
      </x:c>
      <x:c r="U1330" s="9" t="str">
        <x:f>IF(C1330="","",IFERROR(INDEX('Taxonomy'!$G$9:$G$108,MATCH(D1330,'Taxonomy'!$C$9:$C$108,0)),""))</x:f>
      </x:c>
    </x:row>
    <x:row r="1331" ht="44" customHeight="1">
      <x:c r="A1331" s="1"/>
      <x:c r="B1331" s="1"/>
      <x:c r="C1331" s="8"/>
      <x:c r="D1331" s="8"/>
      <x:c r="E1331" s="8"/>
      <x:c r="F1331" s="8"/>
      <x:c r="G1331" s="8"/>
      <x:c r="H1331" s="8"/>
      <x:c r="I1331" s="8"/>
      <x:c r="J1331" s="8"/>
      <x:c r="K1331" s="8"/>
      <x:c r="L1331" s="8"/>
      <x:c r="M1331" s="10"/>
      <x:c r="N1331" s="10"/>
      <x:c r="O1331" s="8"/>
      <x:c r="P1331" s="9" t="str">
        <x:f>IF(C1331="","",IF(AND(G1331="Applicable",H1331="Fail"),"Fail",IF(R1331&lt;&gt;"Valid","Pending",IF(OR(I1331="",K1331="",L1331="",K1331=L1331,NOT(ISNUMBER(M1331)),NOT(ISNUMBER(N1331)),M1331&gt;Settings!$F$8,N1331&lt;Settings!$F$8,N1331&lt;M1331),"Pending",IF(AND(G1331="Applicable",H1331="Pass"),"Pass",IF(AND(G1331="N/A",H1331="N/A",J1331&lt;&gt;"",OR(E1331="CEM-FUELS",E1331="CEM-CCS",AND(E1331="CEM-PLAN",IFERROR(INDEX('Taxonomy'!$M$9:$M$108,MATCH(D1331,'Taxonomy'!$C$9:$C$108,0)),"")&lt;&gt;"Amber"),E1331="BLD-TIMBER",AND(U1331="Building equipment",OR(E1331="BLD-WATER",E1331="BLD-WASTE",E1331="BLD-LAND")),AND(U1331="Building renovation",E1331="BLD-LAND"))),"N/A","Pending"))))))</x:f>
      </x:c>
      <x:c r="Q1331" s="3" t="str">
        <x:f>IF(C1331="","",IF(AND(R1331="Valid",OR(P1331="Pass",P1331="N/A")),"Complete","Unresolved"))</x:f>
      </x:c>
      <x:c r="R1331" s="9" t="str">
        <x:f>IF(C1331="","",IF(OR(COUNTIF($C$9:$C$2008,C1331)&lt;&gt;1,COUNTIFS($D$9:$D$2008,D1331,$E$9:$E$2008,E1331)&lt;&gt;1),"Duplicate test",IF(COUNTIF('Taxonomy'!$C$9:$C$108,D1331)&lt;&gt;1,"Assessment key",IF(OR(COUNTIF('Taxonomy Rules'!$C$42:$C$68,E1331)&lt;&gt;1,F1331&lt;&gt;IFERROR(INDEX('Taxonomy Rules'!$D$42:$D$68,MATCH(E1331,'Taxonomy Rules'!$C$42:$C$68,0)),""),NOT(OR(IFERROR(INDEX('Taxonomy Rules'!$G$42:$G$68,MATCH(E1331,'Taxonomy Rules'!$C$42:$C$68,0)),"")="All supported routes",IFERROR(INDEX('Taxonomy Rules'!$G$42:$G$68,MATCH(E1331,'Taxonomy Rules'!$C$42:$C$68,0)),"")=U1331,AND(IFERROR(INDEX('Taxonomy Rules'!$G$42:$G$68,MATCH(E1331,'Taxonomy Rules'!$C$42:$C$68,0)),"")="Building routes",OR(U1331="Building renovation",U1331="New building",U1331="Building equipment"))))),"Unexpected test","Valid"))))</x:f>
      </x:c>
      <x:c r="S1331" s="9" t="str">
        <x:f>IF(C1331="","",IFERROR(INDEX('Taxonomy Rules'!$E$42:$E$68,MATCH(E1331,'Taxonomy Rules'!$C$42:$C$68,0)),""))</x:f>
      </x:c>
      <x:c r="T1331" s="9" t="str">
        <x:f>IF(C1331="","",IFERROR(INDEX('Taxonomy Rules'!$F$42:$F$68,MATCH(E1331,'Taxonomy Rules'!$C$42:$C$68,0)),""))</x:f>
      </x:c>
      <x:c r="U1331" s="9" t="str">
        <x:f>IF(C1331="","",IFERROR(INDEX('Taxonomy'!$G$9:$G$108,MATCH(D1331,'Taxonomy'!$C$9:$C$108,0)),""))</x:f>
      </x:c>
    </x:row>
    <x:row r="1332" ht="44" customHeight="1">
      <x:c r="A1332" s="1"/>
      <x:c r="B1332" s="1"/>
      <x:c r="C1332" s="8"/>
      <x:c r="D1332" s="8"/>
      <x:c r="E1332" s="8"/>
      <x:c r="F1332" s="8"/>
      <x:c r="G1332" s="8"/>
      <x:c r="H1332" s="8"/>
      <x:c r="I1332" s="8"/>
      <x:c r="J1332" s="8"/>
      <x:c r="K1332" s="8"/>
      <x:c r="L1332" s="8"/>
      <x:c r="M1332" s="10"/>
      <x:c r="N1332" s="10"/>
      <x:c r="O1332" s="8"/>
      <x:c r="P1332" s="9" t="str">
        <x:f>IF(C1332="","",IF(AND(G1332="Applicable",H1332="Fail"),"Fail",IF(R1332&lt;&gt;"Valid","Pending",IF(OR(I1332="",K1332="",L1332="",K1332=L1332,NOT(ISNUMBER(M1332)),NOT(ISNUMBER(N1332)),M1332&gt;Settings!$F$8,N1332&lt;Settings!$F$8,N1332&lt;M1332),"Pending",IF(AND(G1332="Applicable",H1332="Pass"),"Pass",IF(AND(G1332="N/A",H1332="N/A",J1332&lt;&gt;"",OR(E1332="CEM-FUELS",E1332="CEM-CCS",AND(E1332="CEM-PLAN",IFERROR(INDEX('Taxonomy'!$M$9:$M$108,MATCH(D1332,'Taxonomy'!$C$9:$C$108,0)),"")&lt;&gt;"Amber"),E1332="BLD-TIMBER",AND(U1332="Building equipment",OR(E1332="BLD-WATER",E1332="BLD-WASTE",E1332="BLD-LAND")),AND(U1332="Building renovation",E1332="BLD-LAND"))),"N/A","Pending"))))))</x:f>
      </x:c>
      <x:c r="Q1332" s="3" t="str">
        <x:f>IF(C1332="","",IF(AND(R1332="Valid",OR(P1332="Pass",P1332="N/A")),"Complete","Unresolved"))</x:f>
      </x:c>
      <x:c r="R1332" s="9" t="str">
        <x:f>IF(C1332="","",IF(OR(COUNTIF($C$9:$C$2008,C1332)&lt;&gt;1,COUNTIFS($D$9:$D$2008,D1332,$E$9:$E$2008,E1332)&lt;&gt;1),"Duplicate test",IF(COUNTIF('Taxonomy'!$C$9:$C$108,D1332)&lt;&gt;1,"Assessment key",IF(OR(COUNTIF('Taxonomy Rules'!$C$42:$C$68,E1332)&lt;&gt;1,F1332&lt;&gt;IFERROR(INDEX('Taxonomy Rules'!$D$42:$D$68,MATCH(E1332,'Taxonomy Rules'!$C$42:$C$68,0)),""),NOT(OR(IFERROR(INDEX('Taxonomy Rules'!$G$42:$G$68,MATCH(E1332,'Taxonomy Rules'!$C$42:$C$68,0)),"")="All supported routes",IFERROR(INDEX('Taxonomy Rules'!$G$42:$G$68,MATCH(E1332,'Taxonomy Rules'!$C$42:$C$68,0)),"")=U1332,AND(IFERROR(INDEX('Taxonomy Rules'!$G$42:$G$68,MATCH(E1332,'Taxonomy Rules'!$C$42:$C$68,0)),"")="Building routes",OR(U1332="Building renovation",U1332="New building",U1332="Building equipment"))))),"Unexpected test","Valid"))))</x:f>
      </x:c>
      <x:c r="S1332" s="9" t="str">
        <x:f>IF(C1332="","",IFERROR(INDEX('Taxonomy Rules'!$E$42:$E$68,MATCH(E1332,'Taxonomy Rules'!$C$42:$C$68,0)),""))</x:f>
      </x:c>
      <x:c r="T1332" s="9" t="str">
        <x:f>IF(C1332="","",IFERROR(INDEX('Taxonomy Rules'!$F$42:$F$68,MATCH(E1332,'Taxonomy Rules'!$C$42:$C$68,0)),""))</x:f>
      </x:c>
      <x:c r="U1332" s="9" t="str">
        <x:f>IF(C1332="","",IFERROR(INDEX('Taxonomy'!$G$9:$G$108,MATCH(D1332,'Taxonomy'!$C$9:$C$108,0)),""))</x:f>
      </x:c>
    </x:row>
    <x:row r="1333" ht="44" customHeight="1">
      <x:c r="A1333" s="1"/>
      <x:c r="B1333" s="1"/>
      <x:c r="C1333" s="8"/>
      <x:c r="D1333" s="8"/>
      <x:c r="E1333" s="8"/>
      <x:c r="F1333" s="8"/>
      <x:c r="G1333" s="8"/>
      <x:c r="H1333" s="8"/>
      <x:c r="I1333" s="8"/>
      <x:c r="J1333" s="8"/>
      <x:c r="K1333" s="8"/>
      <x:c r="L1333" s="8"/>
      <x:c r="M1333" s="10"/>
      <x:c r="N1333" s="10"/>
      <x:c r="O1333" s="8"/>
      <x:c r="P1333" s="9" t="str">
        <x:f>IF(C1333="","",IF(AND(G1333="Applicable",H1333="Fail"),"Fail",IF(R1333&lt;&gt;"Valid","Pending",IF(OR(I1333="",K1333="",L1333="",K1333=L1333,NOT(ISNUMBER(M1333)),NOT(ISNUMBER(N1333)),M1333&gt;Settings!$F$8,N1333&lt;Settings!$F$8,N1333&lt;M1333),"Pending",IF(AND(G1333="Applicable",H1333="Pass"),"Pass",IF(AND(G1333="N/A",H1333="N/A",J1333&lt;&gt;"",OR(E1333="CEM-FUELS",E1333="CEM-CCS",AND(E1333="CEM-PLAN",IFERROR(INDEX('Taxonomy'!$M$9:$M$108,MATCH(D1333,'Taxonomy'!$C$9:$C$108,0)),"")&lt;&gt;"Amber"),E1333="BLD-TIMBER",AND(U1333="Building equipment",OR(E1333="BLD-WATER",E1333="BLD-WASTE",E1333="BLD-LAND")),AND(U1333="Building renovation",E1333="BLD-LAND"))),"N/A","Pending"))))))</x:f>
      </x:c>
      <x:c r="Q1333" s="3" t="str">
        <x:f>IF(C1333="","",IF(AND(R1333="Valid",OR(P1333="Pass",P1333="N/A")),"Complete","Unresolved"))</x:f>
      </x:c>
      <x:c r="R1333" s="9" t="str">
        <x:f>IF(C1333="","",IF(OR(COUNTIF($C$9:$C$2008,C1333)&lt;&gt;1,COUNTIFS($D$9:$D$2008,D1333,$E$9:$E$2008,E1333)&lt;&gt;1),"Duplicate test",IF(COUNTIF('Taxonomy'!$C$9:$C$108,D1333)&lt;&gt;1,"Assessment key",IF(OR(COUNTIF('Taxonomy Rules'!$C$42:$C$68,E1333)&lt;&gt;1,F1333&lt;&gt;IFERROR(INDEX('Taxonomy Rules'!$D$42:$D$68,MATCH(E1333,'Taxonomy Rules'!$C$42:$C$68,0)),""),NOT(OR(IFERROR(INDEX('Taxonomy Rules'!$G$42:$G$68,MATCH(E1333,'Taxonomy Rules'!$C$42:$C$68,0)),"")="All supported routes",IFERROR(INDEX('Taxonomy Rules'!$G$42:$G$68,MATCH(E1333,'Taxonomy Rules'!$C$42:$C$68,0)),"")=U1333,AND(IFERROR(INDEX('Taxonomy Rules'!$G$42:$G$68,MATCH(E1333,'Taxonomy Rules'!$C$42:$C$68,0)),"")="Building routes",OR(U1333="Building renovation",U1333="New building",U1333="Building equipment"))))),"Unexpected test","Valid"))))</x:f>
      </x:c>
      <x:c r="S1333" s="9" t="str">
        <x:f>IF(C1333="","",IFERROR(INDEX('Taxonomy Rules'!$E$42:$E$68,MATCH(E1333,'Taxonomy Rules'!$C$42:$C$68,0)),""))</x:f>
      </x:c>
      <x:c r="T1333" s="9" t="str">
        <x:f>IF(C1333="","",IFERROR(INDEX('Taxonomy Rules'!$F$42:$F$68,MATCH(E1333,'Taxonomy Rules'!$C$42:$C$68,0)),""))</x:f>
      </x:c>
      <x:c r="U1333" s="9" t="str">
        <x:f>IF(C1333="","",IFERROR(INDEX('Taxonomy'!$G$9:$G$108,MATCH(D1333,'Taxonomy'!$C$9:$C$108,0)),""))</x:f>
      </x:c>
    </x:row>
    <x:row r="1334" ht="44" customHeight="1">
      <x:c r="A1334" s="1"/>
      <x:c r="B1334" s="1"/>
      <x:c r="C1334" s="8"/>
      <x:c r="D1334" s="8"/>
      <x:c r="E1334" s="8"/>
      <x:c r="F1334" s="8"/>
      <x:c r="G1334" s="8"/>
      <x:c r="H1334" s="8"/>
      <x:c r="I1334" s="8"/>
      <x:c r="J1334" s="8"/>
      <x:c r="K1334" s="8"/>
      <x:c r="L1334" s="8"/>
      <x:c r="M1334" s="10"/>
      <x:c r="N1334" s="10"/>
      <x:c r="O1334" s="8"/>
      <x:c r="P1334" s="9" t="str">
        <x:f>IF(C1334="","",IF(AND(G1334="Applicable",H1334="Fail"),"Fail",IF(R1334&lt;&gt;"Valid","Pending",IF(OR(I1334="",K1334="",L1334="",K1334=L1334,NOT(ISNUMBER(M1334)),NOT(ISNUMBER(N1334)),M1334&gt;Settings!$F$8,N1334&lt;Settings!$F$8,N1334&lt;M1334),"Pending",IF(AND(G1334="Applicable",H1334="Pass"),"Pass",IF(AND(G1334="N/A",H1334="N/A",J1334&lt;&gt;"",OR(E1334="CEM-FUELS",E1334="CEM-CCS",AND(E1334="CEM-PLAN",IFERROR(INDEX('Taxonomy'!$M$9:$M$108,MATCH(D1334,'Taxonomy'!$C$9:$C$108,0)),"")&lt;&gt;"Amber"),E1334="BLD-TIMBER",AND(U1334="Building equipment",OR(E1334="BLD-WATER",E1334="BLD-WASTE",E1334="BLD-LAND")),AND(U1334="Building renovation",E1334="BLD-LAND"))),"N/A","Pending"))))))</x:f>
      </x:c>
      <x:c r="Q1334" s="3" t="str">
        <x:f>IF(C1334="","",IF(AND(R1334="Valid",OR(P1334="Pass",P1334="N/A")),"Complete","Unresolved"))</x:f>
      </x:c>
      <x:c r="R1334" s="9" t="str">
        <x:f>IF(C1334="","",IF(OR(COUNTIF($C$9:$C$2008,C1334)&lt;&gt;1,COUNTIFS($D$9:$D$2008,D1334,$E$9:$E$2008,E1334)&lt;&gt;1),"Duplicate test",IF(COUNTIF('Taxonomy'!$C$9:$C$108,D1334)&lt;&gt;1,"Assessment key",IF(OR(COUNTIF('Taxonomy Rules'!$C$42:$C$68,E1334)&lt;&gt;1,F1334&lt;&gt;IFERROR(INDEX('Taxonomy Rules'!$D$42:$D$68,MATCH(E1334,'Taxonomy Rules'!$C$42:$C$68,0)),""),NOT(OR(IFERROR(INDEX('Taxonomy Rules'!$G$42:$G$68,MATCH(E1334,'Taxonomy Rules'!$C$42:$C$68,0)),"")="All supported routes",IFERROR(INDEX('Taxonomy Rules'!$G$42:$G$68,MATCH(E1334,'Taxonomy Rules'!$C$42:$C$68,0)),"")=U1334,AND(IFERROR(INDEX('Taxonomy Rules'!$G$42:$G$68,MATCH(E1334,'Taxonomy Rules'!$C$42:$C$68,0)),"")="Building routes",OR(U1334="Building renovation",U1334="New building",U1334="Building equipment"))))),"Unexpected test","Valid"))))</x:f>
      </x:c>
      <x:c r="S1334" s="9" t="str">
        <x:f>IF(C1334="","",IFERROR(INDEX('Taxonomy Rules'!$E$42:$E$68,MATCH(E1334,'Taxonomy Rules'!$C$42:$C$68,0)),""))</x:f>
      </x:c>
      <x:c r="T1334" s="9" t="str">
        <x:f>IF(C1334="","",IFERROR(INDEX('Taxonomy Rules'!$F$42:$F$68,MATCH(E1334,'Taxonomy Rules'!$C$42:$C$68,0)),""))</x:f>
      </x:c>
      <x:c r="U1334" s="9" t="str">
        <x:f>IF(C1334="","",IFERROR(INDEX('Taxonomy'!$G$9:$G$108,MATCH(D1334,'Taxonomy'!$C$9:$C$108,0)),""))</x:f>
      </x:c>
    </x:row>
    <x:row r="1335" ht="44" customHeight="1">
      <x:c r="A1335" s="1"/>
      <x:c r="B1335" s="1"/>
      <x:c r="C1335" s="8"/>
      <x:c r="D1335" s="8"/>
      <x:c r="E1335" s="8"/>
      <x:c r="F1335" s="8"/>
      <x:c r="G1335" s="8"/>
      <x:c r="H1335" s="8"/>
      <x:c r="I1335" s="8"/>
      <x:c r="J1335" s="8"/>
      <x:c r="K1335" s="8"/>
      <x:c r="L1335" s="8"/>
      <x:c r="M1335" s="10"/>
      <x:c r="N1335" s="10"/>
      <x:c r="O1335" s="8"/>
      <x:c r="P1335" s="9" t="str">
        <x:f>IF(C1335="","",IF(AND(G1335="Applicable",H1335="Fail"),"Fail",IF(R1335&lt;&gt;"Valid","Pending",IF(OR(I1335="",K1335="",L1335="",K1335=L1335,NOT(ISNUMBER(M1335)),NOT(ISNUMBER(N1335)),M1335&gt;Settings!$F$8,N1335&lt;Settings!$F$8,N1335&lt;M1335),"Pending",IF(AND(G1335="Applicable",H1335="Pass"),"Pass",IF(AND(G1335="N/A",H1335="N/A",J1335&lt;&gt;"",OR(E1335="CEM-FUELS",E1335="CEM-CCS",AND(E1335="CEM-PLAN",IFERROR(INDEX('Taxonomy'!$M$9:$M$108,MATCH(D1335,'Taxonomy'!$C$9:$C$108,0)),"")&lt;&gt;"Amber"),E1335="BLD-TIMBER",AND(U1335="Building equipment",OR(E1335="BLD-WATER",E1335="BLD-WASTE",E1335="BLD-LAND")),AND(U1335="Building renovation",E1335="BLD-LAND"))),"N/A","Pending"))))))</x:f>
      </x:c>
      <x:c r="Q1335" s="3" t="str">
        <x:f>IF(C1335="","",IF(AND(R1335="Valid",OR(P1335="Pass",P1335="N/A")),"Complete","Unresolved"))</x:f>
      </x:c>
      <x:c r="R1335" s="9" t="str">
        <x:f>IF(C1335="","",IF(OR(COUNTIF($C$9:$C$2008,C1335)&lt;&gt;1,COUNTIFS($D$9:$D$2008,D1335,$E$9:$E$2008,E1335)&lt;&gt;1),"Duplicate test",IF(COUNTIF('Taxonomy'!$C$9:$C$108,D1335)&lt;&gt;1,"Assessment key",IF(OR(COUNTIF('Taxonomy Rules'!$C$42:$C$68,E1335)&lt;&gt;1,F1335&lt;&gt;IFERROR(INDEX('Taxonomy Rules'!$D$42:$D$68,MATCH(E1335,'Taxonomy Rules'!$C$42:$C$68,0)),""),NOT(OR(IFERROR(INDEX('Taxonomy Rules'!$G$42:$G$68,MATCH(E1335,'Taxonomy Rules'!$C$42:$C$68,0)),"")="All supported routes",IFERROR(INDEX('Taxonomy Rules'!$G$42:$G$68,MATCH(E1335,'Taxonomy Rules'!$C$42:$C$68,0)),"")=U1335,AND(IFERROR(INDEX('Taxonomy Rules'!$G$42:$G$68,MATCH(E1335,'Taxonomy Rules'!$C$42:$C$68,0)),"")="Building routes",OR(U1335="Building renovation",U1335="New building",U1335="Building equipment"))))),"Unexpected test","Valid"))))</x:f>
      </x:c>
      <x:c r="S1335" s="9" t="str">
        <x:f>IF(C1335="","",IFERROR(INDEX('Taxonomy Rules'!$E$42:$E$68,MATCH(E1335,'Taxonomy Rules'!$C$42:$C$68,0)),""))</x:f>
      </x:c>
      <x:c r="T1335" s="9" t="str">
        <x:f>IF(C1335="","",IFERROR(INDEX('Taxonomy Rules'!$F$42:$F$68,MATCH(E1335,'Taxonomy Rules'!$C$42:$C$68,0)),""))</x:f>
      </x:c>
      <x:c r="U1335" s="9" t="str">
        <x:f>IF(C1335="","",IFERROR(INDEX('Taxonomy'!$G$9:$G$108,MATCH(D1335,'Taxonomy'!$C$9:$C$108,0)),""))</x:f>
      </x:c>
    </x:row>
    <x:row r="1336" ht="44" customHeight="1">
      <x:c r="A1336" s="1"/>
      <x:c r="B1336" s="1"/>
      <x:c r="C1336" s="8"/>
      <x:c r="D1336" s="8"/>
      <x:c r="E1336" s="8"/>
      <x:c r="F1336" s="8"/>
      <x:c r="G1336" s="8"/>
      <x:c r="H1336" s="8"/>
      <x:c r="I1336" s="8"/>
      <x:c r="J1336" s="8"/>
      <x:c r="K1336" s="8"/>
      <x:c r="L1336" s="8"/>
      <x:c r="M1336" s="10"/>
      <x:c r="N1336" s="10"/>
      <x:c r="O1336" s="8"/>
      <x:c r="P1336" s="9" t="str">
        <x:f>IF(C1336="","",IF(AND(G1336="Applicable",H1336="Fail"),"Fail",IF(R1336&lt;&gt;"Valid","Pending",IF(OR(I1336="",K1336="",L1336="",K1336=L1336,NOT(ISNUMBER(M1336)),NOT(ISNUMBER(N1336)),M1336&gt;Settings!$F$8,N1336&lt;Settings!$F$8,N1336&lt;M1336),"Pending",IF(AND(G1336="Applicable",H1336="Pass"),"Pass",IF(AND(G1336="N/A",H1336="N/A",J1336&lt;&gt;"",OR(E1336="CEM-FUELS",E1336="CEM-CCS",AND(E1336="CEM-PLAN",IFERROR(INDEX('Taxonomy'!$M$9:$M$108,MATCH(D1336,'Taxonomy'!$C$9:$C$108,0)),"")&lt;&gt;"Amber"),E1336="BLD-TIMBER",AND(U1336="Building equipment",OR(E1336="BLD-WATER",E1336="BLD-WASTE",E1336="BLD-LAND")),AND(U1336="Building renovation",E1336="BLD-LAND"))),"N/A","Pending"))))))</x:f>
      </x:c>
      <x:c r="Q1336" s="3" t="str">
        <x:f>IF(C1336="","",IF(AND(R1336="Valid",OR(P1336="Pass",P1336="N/A")),"Complete","Unresolved"))</x:f>
      </x:c>
      <x:c r="R1336" s="9" t="str">
        <x:f>IF(C1336="","",IF(OR(COUNTIF($C$9:$C$2008,C1336)&lt;&gt;1,COUNTIFS($D$9:$D$2008,D1336,$E$9:$E$2008,E1336)&lt;&gt;1),"Duplicate test",IF(COUNTIF('Taxonomy'!$C$9:$C$108,D1336)&lt;&gt;1,"Assessment key",IF(OR(COUNTIF('Taxonomy Rules'!$C$42:$C$68,E1336)&lt;&gt;1,F1336&lt;&gt;IFERROR(INDEX('Taxonomy Rules'!$D$42:$D$68,MATCH(E1336,'Taxonomy Rules'!$C$42:$C$68,0)),""),NOT(OR(IFERROR(INDEX('Taxonomy Rules'!$G$42:$G$68,MATCH(E1336,'Taxonomy Rules'!$C$42:$C$68,0)),"")="All supported routes",IFERROR(INDEX('Taxonomy Rules'!$G$42:$G$68,MATCH(E1336,'Taxonomy Rules'!$C$42:$C$68,0)),"")=U1336,AND(IFERROR(INDEX('Taxonomy Rules'!$G$42:$G$68,MATCH(E1336,'Taxonomy Rules'!$C$42:$C$68,0)),"")="Building routes",OR(U1336="Building renovation",U1336="New building",U1336="Building equipment"))))),"Unexpected test","Valid"))))</x:f>
      </x:c>
      <x:c r="S1336" s="9" t="str">
        <x:f>IF(C1336="","",IFERROR(INDEX('Taxonomy Rules'!$E$42:$E$68,MATCH(E1336,'Taxonomy Rules'!$C$42:$C$68,0)),""))</x:f>
      </x:c>
      <x:c r="T1336" s="9" t="str">
        <x:f>IF(C1336="","",IFERROR(INDEX('Taxonomy Rules'!$F$42:$F$68,MATCH(E1336,'Taxonomy Rules'!$C$42:$C$68,0)),""))</x:f>
      </x:c>
      <x:c r="U1336" s="9" t="str">
        <x:f>IF(C1336="","",IFERROR(INDEX('Taxonomy'!$G$9:$G$108,MATCH(D1336,'Taxonomy'!$C$9:$C$108,0)),""))</x:f>
      </x:c>
    </x:row>
    <x:row r="1337" ht="44" customHeight="1">
      <x:c r="A1337" s="1"/>
      <x:c r="B1337" s="1"/>
      <x:c r="C1337" s="8"/>
      <x:c r="D1337" s="8"/>
      <x:c r="E1337" s="8"/>
      <x:c r="F1337" s="8"/>
      <x:c r="G1337" s="8"/>
      <x:c r="H1337" s="8"/>
      <x:c r="I1337" s="8"/>
      <x:c r="J1337" s="8"/>
      <x:c r="K1337" s="8"/>
      <x:c r="L1337" s="8"/>
      <x:c r="M1337" s="10"/>
      <x:c r="N1337" s="10"/>
      <x:c r="O1337" s="8"/>
      <x:c r="P1337" s="9" t="str">
        <x:f>IF(C1337="","",IF(AND(G1337="Applicable",H1337="Fail"),"Fail",IF(R1337&lt;&gt;"Valid","Pending",IF(OR(I1337="",K1337="",L1337="",K1337=L1337,NOT(ISNUMBER(M1337)),NOT(ISNUMBER(N1337)),M1337&gt;Settings!$F$8,N1337&lt;Settings!$F$8,N1337&lt;M1337),"Pending",IF(AND(G1337="Applicable",H1337="Pass"),"Pass",IF(AND(G1337="N/A",H1337="N/A",J1337&lt;&gt;"",OR(E1337="CEM-FUELS",E1337="CEM-CCS",AND(E1337="CEM-PLAN",IFERROR(INDEX('Taxonomy'!$M$9:$M$108,MATCH(D1337,'Taxonomy'!$C$9:$C$108,0)),"")&lt;&gt;"Amber"),E1337="BLD-TIMBER",AND(U1337="Building equipment",OR(E1337="BLD-WATER",E1337="BLD-WASTE",E1337="BLD-LAND")),AND(U1337="Building renovation",E1337="BLD-LAND"))),"N/A","Pending"))))))</x:f>
      </x:c>
      <x:c r="Q1337" s="3" t="str">
        <x:f>IF(C1337="","",IF(AND(R1337="Valid",OR(P1337="Pass",P1337="N/A")),"Complete","Unresolved"))</x:f>
      </x:c>
      <x:c r="R1337" s="9" t="str">
        <x:f>IF(C1337="","",IF(OR(COUNTIF($C$9:$C$2008,C1337)&lt;&gt;1,COUNTIFS($D$9:$D$2008,D1337,$E$9:$E$2008,E1337)&lt;&gt;1),"Duplicate test",IF(COUNTIF('Taxonomy'!$C$9:$C$108,D1337)&lt;&gt;1,"Assessment key",IF(OR(COUNTIF('Taxonomy Rules'!$C$42:$C$68,E1337)&lt;&gt;1,F1337&lt;&gt;IFERROR(INDEX('Taxonomy Rules'!$D$42:$D$68,MATCH(E1337,'Taxonomy Rules'!$C$42:$C$68,0)),""),NOT(OR(IFERROR(INDEX('Taxonomy Rules'!$G$42:$G$68,MATCH(E1337,'Taxonomy Rules'!$C$42:$C$68,0)),"")="All supported routes",IFERROR(INDEX('Taxonomy Rules'!$G$42:$G$68,MATCH(E1337,'Taxonomy Rules'!$C$42:$C$68,0)),"")=U1337,AND(IFERROR(INDEX('Taxonomy Rules'!$G$42:$G$68,MATCH(E1337,'Taxonomy Rules'!$C$42:$C$68,0)),"")="Building routes",OR(U1337="Building renovation",U1337="New building",U1337="Building equipment"))))),"Unexpected test","Valid"))))</x:f>
      </x:c>
      <x:c r="S1337" s="9" t="str">
        <x:f>IF(C1337="","",IFERROR(INDEX('Taxonomy Rules'!$E$42:$E$68,MATCH(E1337,'Taxonomy Rules'!$C$42:$C$68,0)),""))</x:f>
      </x:c>
      <x:c r="T1337" s="9" t="str">
        <x:f>IF(C1337="","",IFERROR(INDEX('Taxonomy Rules'!$F$42:$F$68,MATCH(E1337,'Taxonomy Rules'!$C$42:$C$68,0)),""))</x:f>
      </x:c>
      <x:c r="U1337" s="9" t="str">
        <x:f>IF(C1337="","",IFERROR(INDEX('Taxonomy'!$G$9:$G$108,MATCH(D1337,'Taxonomy'!$C$9:$C$108,0)),""))</x:f>
      </x:c>
    </x:row>
    <x:row r="1338" ht="44" customHeight="1">
      <x:c r="A1338" s="1"/>
      <x:c r="B1338" s="1"/>
      <x:c r="C1338" s="8"/>
      <x:c r="D1338" s="8"/>
      <x:c r="E1338" s="8"/>
      <x:c r="F1338" s="8"/>
      <x:c r="G1338" s="8"/>
      <x:c r="H1338" s="8"/>
      <x:c r="I1338" s="8"/>
      <x:c r="J1338" s="8"/>
      <x:c r="K1338" s="8"/>
      <x:c r="L1338" s="8"/>
      <x:c r="M1338" s="10"/>
      <x:c r="N1338" s="10"/>
      <x:c r="O1338" s="8"/>
      <x:c r="P1338" s="9" t="str">
        <x:f>IF(C1338="","",IF(AND(G1338="Applicable",H1338="Fail"),"Fail",IF(R1338&lt;&gt;"Valid","Pending",IF(OR(I1338="",K1338="",L1338="",K1338=L1338,NOT(ISNUMBER(M1338)),NOT(ISNUMBER(N1338)),M1338&gt;Settings!$F$8,N1338&lt;Settings!$F$8,N1338&lt;M1338),"Pending",IF(AND(G1338="Applicable",H1338="Pass"),"Pass",IF(AND(G1338="N/A",H1338="N/A",J1338&lt;&gt;"",OR(E1338="CEM-FUELS",E1338="CEM-CCS",AND(E1338="CEM-PLAN",IFERROR(INDEX('Taxonomy'!$M$9:$M$108,MATCH(D1338,'Taxonomy'!$C$9:$C$108,0)),"")&lt;&gt;"Amber"),E1338="BLD-TIMBER",AND(U1338="Building equipment",OR(E1338="BLD-WATER",E1338="BLD-WASTE",E1338="BLD-LAND")),AND(U1338="Building renovation",E1338="BLD-LAND"))),"N/A","Pending"))))))</x:f>
      </x:c>
      <x:c r="Q1338" s="3" t="str">
        <x:f>IF(C1338="","",IF(AND(R1338="Valid",OR(P1338="Pass",P1338="N/A")),"Complete","Unresolved"))</x:f>
      </x:c>
      <x:c r="R1338" s="9" t="str">
        <x:f>IF(C1338="","",IF(OR(COUNTIF($C$9:$C$2008,C1338)&lt;&gt;1,COUNTIFS($D$9:$D$2008,D1338,$E$9:$E$2008,E1338)&lt;&gt;1),"Duplicate test",IF(COUNTIF('Taxonomy'!$C$9:$C$108,D1338)&lt;&gt;1,"Assessment key",IF(OR(COUNTIF('Taxonomy Rules'!$C$42:$C$68,E1338)&lt;&gt;1,F1338&lt;&gt;IFERROR(INDEX('Taxonomy Rules'!$D$42:$D$68,MATCH(E1338,'Taxonomy Rules'!$C$42:$C$68,0)),""),NOT(OR(IFERROR(INDEX('Taxonomy Rules'!$G$42:$G$68,MATCH(E1338,'Taxonomy Rules'!$C$42:$C$68,0)),"")="All supported routes",IFERROR(INDEX('Taxonomy Rules'!$G$42:$G$68,MATCH(E1338,'Taxonomy Rules'!$C$42:$C$68,0)),"")=U1338,AND(IFERROR(INDEX('Taxonomy Rules'!$G$42:$G$68,MATCH(E1338,'Taxonomy Rules'!$C$42:$C$68,0)),"")="Building routes",OR(U1338="Building renovation",U1338="New building",U1338="Building equipment"))))),"Unexpected test","Valid"))))</x:f>
      </x:c>
      <x:c r="S1338" s="9" t="str">
        <x:f>IF(C1338="","",IFERROR(INDEX('Taxonomy Rules'!$E$42:$E$68,MATCH(E1338,'Taxonomy Rules'!$C$42:$C$68,0)),""))</x:f>
      </x:c>
      <x:c r="T1338" s="9" t="str">
        <x:f>IF(C1338="","",IFERROR(INDEX('Taxonomy Rules'!$F$42:$F$68,MATCH(E1338,'Taxonomy Rules'!$C$42:$C$68,0)),""))</x:f>
      </x:c>
      <x:c r="U1338" s="9" t="str">
        <x:f>IF(C1338="","",IFERROR(INDEX('Taxonomy'!$G$9:$G$108,MATCH(D1338,'Taxonomy'!$C$9:$C$108,0)),""))</x:f>
      </x:c>
    </x:row>
    <x:row r="1339" ht="44" customHeight="1">
      <x:c r="A1339" s="1"/>
      <x:c r="B1339" s="1"/>
      <x:c r="C1339" s="8"/>
      <x:c r="D1339" s="8"/>
      <x:c r="E1339" s="8"/>
      <x:c r="F1339" s="8"/>
      <x:c r="G1339" s="8"/>
      <x:c r="H1339" s="8"/>
      <x:c r="I1339" s="8"/>
      <x:c r="J1339" s="8"/>
      <x:c r="K1339" s="8"/>
      <x:c r="L1339" s="8"/>
      <x:c r="M1339" s="10"/>
      <x:c r="N1339" s="10"/>
      <x:c r="O1339" s="8"/>
      <x:c r="P1339" s="9" t="str">
        <x:f>IF(C1339="","",IF(AND(G1339="Applicable",H1339="Fail"),"Fail",IF(R1339&lt;&gt;"Valid","Pending",IF(OR(I1339="",K1339="",L1339="",K1339=L1339,NOT(ISNUMBER(M1339)),NOT(ISNUMBER(N1339)),M1339&gt;Settings!$F$8,N1339&lt;Settings!$F$8,N1339&lt;M1339),"Pending",IF(AND(G1339="Applicable",H1339="Pass"),"Pass",IF(AND(G1339="N/A",H1339="N/A",J1339&lt;&gt;"",OR(E1339="CEM-FUELS",E1339="CEM-CCS",AND(E1339="CEM-PLAN",IFERROR(INDEX('Taxonomy'!$M$9:$M$108,MATCH(D1339,'Taxonomy'!$C$9:$C$108,0)),"")&lt;&gt;"Amber"),E1339="BLD-TIMBER",AND(U1339="Building equipment",OR(E1339="BLD-WATER",E1339="BLD-WASTE",E1339="BLD-LAND")),AND(U1339="Building renovation",E1339="BLD-LAND"))),"N/A","Pending"))))))</x:f>
      </x:c>
      <x:c r="Q1339" s="3" t="str">
        <x:f>IF(C1339="","",IF(AND(R1339="Valid",OR(P1339="Pass",P1339="N/A")),"Complete","Unresolved"))</x:f>
      </x:c>
      <x:c r="R1339" s="9" t="str">
        <x:f>IF(C1339="","",IF(OR(COUNTIF($C$9:$C$2008,C1339)&lt;&gt;1,COUNTIFS($D$9:$D$2008,D1339,$E$9:$E$2008,E1339)&lt;&gt;1),"Duplicate test",IF(COUNTIF('Taxonomy'!$C$9:$C$108,D1339)&lt;&gt;1,"Assessment key",IF(OR(COUNTIF('Taxonomy Rules'!$C$42:$C$68,E1339)&lt;&gt;1,F1339&lt;&gt;IFERROR(INDEX('Taxonomy Rules'!$D$42:$D$68,MATCH(E1339,'Taxonomy Rules'!$C$42:$C$68,0)),""),NOT(OR(IFERROR(INDEX('Taxonomy Rules'!$G$42:$G$68,MATCH(E1339,'Taxonomy Rules'!$C$42:$C$68,0)),"")="All supported routes",IFERROR(INDEX('Taxonomy Rules'!$G$42:$G$68,MATCH(E1339,'Taxonomy Rules'!$C$42:$C$68,0)),"")=U1339,AND(IFERROR(INDEX('Taxonomy Rules'!$G$42:$G$68,MATCH(E1339,'Taxonomy Rules'!$C$42:$C$68,0)),"")="Building routes",OR(U1339="Building renovation",U1339="New building",U1339="Building equipment"))))),"Unexpected test","Valid"))))</x:f>
      </x:c>
      <x:c r="S1339" s="9" t="str">
        <x:f>IF(C1339="","",IFERROR(INDEX('Taxonomy Rules'!$E$42:$E$68,MATCH(E1339,'Taxonomy Rules'!$C$42:$C$68,0)),""))</x:f>
      </x:c>
      <x:c r="T1339" s="9" t="str">
        <x:f>IF(C1339="","",IFERROR(INDEX('Taxonomy Rules'!$F$42:$F$68,MATCH(E1339,'Taxonomy Rules'!$C$42:$C$68,0)),""))</x:f>
      </x:c>
      <x:c r="U1339" s="9" t="str">
        <x:f>IF(C1339="","",IFERROR(INDEX('Taxonomy'!$G$9:$G$108,MATCH(D1339,'Taxonomy'!$C$9:$C$108,0)),""))</x:f>
      </x:c>
    </x:row>
    <x:row r="1340" ht="44" customHeight="1">
      <x:c r="A1340" s="1"/>
      <x:c r="B1340" s="1"/>
      <x:c r="C1340" s="8"/>
      <x:c r="D1340" s="8"/>
      <x:c r="E1340" s="8"/>
      <x:c r="F1340" s="8"/>
      <x:c r="G1340" s="8"/>
      <x:c r="H1340" s="8"/>
      <x:c r="I1340" s="8"/>
      <x:c r="J1340" s="8"/>
      <x:c r="K1340" s="8"/>
      <x:c r="L1340" s="8"/>
      <x:c r="M1340" s="10"/>
      <x:c r="N1340" s="10"/>
      <x:c r="O1340" s="8"/>
      <x:c r="P1340" s="9" t="str">
        <x:f>IF(C1340="","",IF(AND(G1340="Applicable",H1340="Fail"),"Fail",IF(R1340&lt;&gt;"Valid","Pending",IF(OR(I1340="",K1340="",L1340="",K1340=L1340,NOT(ISNUMBER(M1340)),NOT(ISNUMBER(N1340)),M1340&gt;Settings!$F$8,N1340&lt;Settings!$F$8,N1340&lt;M1340),"Pending",IF(AND(G1340="Applicable",H1340="Pass"),"Pass",IF(AND(G1340="N/A",H1340="N/A",J1340&lt;&gt;"",OR(E1340="CEM-FUELS",E1340="CEM-CCS",AND(E1340="CEM-PLAN",IFERROR(INDEX('Taxonomy'!$M$9:$M$108,MATCH(D1340,'Taxonomy'!$C$9:$C$108,0)),"")&lt;&gt;"Amber"),E1340="BLD-TIMBER",AND(U1340="Building equipment",OR(E1340="BLD-WATER",E1340="BLD-WASTE",E1340="BLD-LAND")),AND(U1340="Building renovation",E1340="BLD-LAND"))),"N/A","Pending"))))))</x:f>
      </x:c>
      <x:c r="Q1340" s="3" t="str">
        <x:f>IF(C1340="","",IF(AND(R1340="Valid",OR(P1340="Pass",P1340="N/A")),"Complete","Unresolved"))</x:f>
      </x:c>
      <x:c r="R1340" s="9" t="str">
        <x:f>IF(C1340="","",IF(OR(COUNTIF($C$9:$C$2008,C1340)&lt;&gt;1,COUNTIFS($D$9:$D$2008,D1340,$E$9:$E$2008,E1340)&lt;&gt;1),"Duplicate test",IF(COUNTIF('Taxonomy'!$C$9:$C$108,D1340)&lt;&gt;1,"Assessment key",IF(OR(COUNTIF('Taxonomy Rules'!$C$42:$C$68,E1340)&lt;&gt;1,F1340&lt;&gt;IFERROR(INDEX('Taxonomy Rules'!$D$42:$D$68,MATCH(E1340,'Taxonomy Rules'!$C$42:$C$68,0)),""),NOT(OR(IFERROR(INDEX('Taxonomy Rules'!$G$42:$G$68,MATCH(E1340,'Taxonomy Rules'!$C$42:$C$68,0)),"")="All supported routes",IFERROR(INDEX('Taxonomy Rules'!$G$42:$G$68,MATCH(E1340,'Taxonomy Rules'!$C$42:$C$68,0)),"")=U1340,AND(IFERROR(INDEX('Taxonomy Rules'!$G$42:$G$68,MATCH(E1340,'Taxonomy Rules'!$C$42:$C$68,0)),"")="Building routes",OR(U1340="Building renovation",U1340="New building",U1340="Building equipment"))))),"Unexpected test","Valid"))))</x:f>
      </x:c>
      <x:c r="S1340" s="9" t="str">
        <x:f>IF(C1340="","",IFERROR(INDEX('Taxonomy Rules'!$E$42:$E$68,MATCH(E1340,'Taxonomy Rules'!$C$42:$C$68,0)),""))</x:f>
      </x:c>
      <x:c r="T1340" s="9" t="str">
        <x:f>IF(C1340="","",IFERROR(INDEX('Taxonomy Rules'!$F$42:$F$68,MATCH(E1340,'Taxonomy Rules'!$C$42:$C$68,0)),""))</x:f>
      </x:c>
      <x:c r="U1340" s="9" t="str">
        <x:f>IF(C1340="","",IFERROR(INDEX('Taxonomy'!$G$9:$G$108,MATCH(D1340,'Taxonomy'!$C$9:$C$108,0)),""))</x:f>
      </x:c>
    </x:row>
    <x:row r="1341" ht="44" customHeight="1">
      <x:c r="A1341" s="1"/>
      <x:c r="B1341" s="1"/>
      <x:c r="C1341" s="8"/>
      <x:c r="D1341" s="8"/>
      <x:c r="E1341" s="8"/>
      <x:c r="F1341" s="8"/>
      <x:c r="G1341" s="8"/>
      <x:c r="H1341" s="8"/>
      <x:c r="I1341" s="8"/>
      <x:c r="J1341" s="8"/>
      <x:c r="K1341" s="8"/>
      <x:c r="L1341" s="8"/>
      <x:c r="M1341" s="10"/>
      <x:c r="N1341" s="10"/>
      <x:c r="O1341" s="8"/>
      <x:c r="P1341" s="9" t="str">
        <x:f>IF(C1341="","",IF(AND(G1341="Applicable",H1341="Fail"),"Fail",IF(R1341&lt;&gt;"Valid","Pending",IF(OR(I1341="",K1341="",L1341="",K1341=L1341,NOT(ISNUMBER(M1341)),NOT(ISNUMBER(N1341)),M1341&gt;Settings!$F$8,N1341&lt;Settings!$F$8,N1341&lt;M1341),"Pending",IF(AND(G1341="Applicable",H1341="Pass"),"Pass",IF(AND(G1341="N/A",H1341="N/A",J1341&lt;&gt;"",OR(E1341="CEM-FUELS",E1341="CEM-CCS",AND(E1341="CEM-PLAN",IFERROR(INDEX('Taxonomy'!$M$9:$M$108,MATCH(D1341,'Taxonomy'!$C$9:$C$108,0)),"")&lt;&gt;"Amber"),E1341="BLD-TIMBER",AND(U1341="Building equipment",OR(E1341="BLD-WATER",E1341="BLD-WASTE",E1341="BLD-LAND")),AND(U1341="Building renovation",E1341="BLD-LAND"))),"N/A","Pending"))))))</x:f>
      </x:c>
      <x:c r="Q1341" s="3" t="str">
        <x:f>IF(C1341="","",IF(AND(R1341="Valid",OR(P1341="Pass",P1341="N/A")),"Complete","Unresolved"))</x:f>
      </x:c>
      <x:c r="R1341" s="9" t="str">
        <x:f>IF(C1341="","",IF(OR(COUNTIF($C$9:$C$2008,C1341)&lt;&gt;1,COUNTIFS($D$9:$D$2008,D1341,$E$9:$E$2008,E1341)&lt;&gt;1),"Duplicate test",IF(COUNTIF('Taxonomy'!$C$9:$C$108,D1341)&lt;&gt;1,"Assessment key",IF(OR(COUNTIF('Taxonomy Rules'!$C$42:$C$68,E1341)&lt;&gt;1,F1341&lt;&gt;IFERROR(INDEX('Taxonomy Rules'!$D$42:$D$68,MATCH(E1341,'Taxonomy Rules'!$C$42:$C$68,0)),""),NOT(OR(IFERROR(INDEX('Taxonomy Rules'!$G$42:$G$68,MATCH(E1341,'Taxonomy Rules'!$C$42:$C$68,0)),"")="All supported routes",IFERROR(INDEX('Taxonomy Rules'!$G$42:$G$68,MATCH(E1341,'Taxonomy Rules'!$C$42:$C$68,0)),"")=U1341,AND(IFERROR(INDEX('Taxonomy Rules'!$G$42:$G$68,MATCH(E1341,'Taxonomy Rules'!$C$42:$C$68,0)),"")="Building routes",OR(U1341="Building renovation",U1341="New building",U1341="Building equipment"))))),"Unexpected test","Valid"))))</x:f>
      </x:c>
      <x:c r="S1341" s="9" t="str">
        <x:f>IF(C1341="","",IFERROR(INDEX('Taxonomy Rules'!$E$42:$E$68,MATCH(E1341,'Taxonomy Rules'!$C$42:$C$68,0)),""))</x:f>
      </x:c>
      <x:c r="T1341" s="9" t="str">
        <x:f>IF(C1341="","",IFERROR(INDEX('Taxonomy Rules'!$F$42:$F$68,MATCH(E1341,'Taxonomy Rules'!$C$42:$C$68,0)),""))</x:f>
      </x:c>
      <x:c r="U1341" s="9" t="str">
        <x:f>IF(C1341="","",IFERROR(INDEX('Taxonomy'!$G$9:$G$108,MATCH(D1341,'Taxonomy'!$C$9:$C$108,0)),""))</x:f>
      </x:c>
    </x:row>
    <x:row r="1342" ht="44" customHeight="1">
      <x:c r="A1342" s="1"/>
      <x:c r="B1342" s="1"/>
      <x:c r="C1342" s="8"/>
      <x:c r="D1342" s="8"/>
      <x:c r="E1342" s="8"/>
      <x:c r="F1342" s="8"/>
      <x:c r="G1342" s="8"/>
      <x:c r="H1342" s="8"/>
      <x:c r="I1342" s="8"/>
      <x:c r="J1342" s="8"/>
      <x:c r="K1342" s="8"/>
      <x:c r="L1342" s="8"/>
      <x:c r="M1342" s="10"/>
      <x:c r="N1342" s="10"/>
      <x:c r="O1342" s="8"/>
      <x:c r="P1342" s="9" t="str">
        <x:f>IF(C1342="","",IF(AND(G1342="Applicable",H1342="Fail"),"Fail",IF(R1342&lt;&gt;"Valid","Pending",IF(OR(I1342="",K1342="",L1342="",K1342=L1342,NOT(ISNUMBER(M1342)),NOT(ISNUMBER(N1342)),M1342&gt;Settings!$F$8,N1342&lt;Settings!$F$8,N1342&lt;M1342),"Pending",IF(AND(G1342="Applicable",H1342="Pass"),"Pass",IF(AND(G1342="N/A",H1342="N/A",J1342&lt;&gt;"",OR(E1342="CEM-FUELS",E1342="CEM-CCS",AND(E1342="CEM-PLAN",IFERROR(INDEX('Taxonomy'!$M$9:$M$108,MATCH(D1342,'Taxonomy'!$C$9:$C$108,0)),"")&lt;&gt;"Amber"),E1342="BLD-TIMBER",AND(U1342="Building equipment",OR(E1342="BLD-WATER",E1342="BLD-WASTE",E1342="BLD-LAND")),AND(U1342="Building renovation",E1342="BLD-LAND"))),"N/A","Pending"))))))</x:f>
      </x:c>
      <x:c r="Q1342" s="3" t="str">
        <x:f>IF(C1342="","",IF(AND(R1342="Valid",OR(P1342="Pass",P1342="N/A")),"Complete","Unresolved"))</x:f>
      </x:c>
      <x:c r="R1342" s="9" t="str">
        <x:f>IF(C1342="","",IF(OR(COUNTIF($C$9:$C$2008,C1342)&lt;&gt;1,COUNTIFS($D$9:$D$2008,D1342,$E$9:$E$2008,E1342)&lt;&gt;1),"Duplicate test",IF(COUNTIF('Taxonomy'!$C$9:$C$108,D1342)&lt;&gt;1,"Assessment key",IF(OR(COUNTIF('Taxonomy Rules'!$C$42:$C$68,E1342)&lt;&gt;1,F1342&lt;&gt;IFERROR(INDEX('Taxonomy Rules'!$D$42:$D$68,MATCH(E1342,'Taxonomy Rules'!$C$42:$C$68,0)),""),NOT(OR(IFERROR(INDEX('Taxonomy Rules'!$G$42:$G$68,MATCH(E1342,'Taxonomy Rules'!$C$42:$C$68,0)),"")="All supported routes",IFERROR(INDEX('Taxonomy Rules'!$G$42:$G$68,MATCH(E1342,'Taxonomy Rules'!$C$42:$C$68,0)),"")=U1342,AND(IFERROR(INDEX('Taxonomy Rules'!$G$42:$G$68,MATCH(E1342,'Taxonomy Rules'!$C$42:$C$68,0)),"")="Building routes",OR(U1342="Building renovation",U1342="New building",U1342="Building equipment"))))),"Unexpected test","Valid"))))</x:f>
      </x:c>
      <x:c r="S1342" s="9" t="str">
        <x:f>IF(C1342="","",IFERROR(INDEX('Taxonomy Rules'!$E$42:$E$68,MATCH(E1342,'Taxonomy Rules'!$C$42:$C$68,0)),""))</x:f>
      </x:c>
      <x:c r="T1342" s="9" t="str">
        <x:f>IF(C1342="","",IFERROR(INDEX('Taxonomy Rules'!$F$42:$F$68,MATCH(E1342,'Taxonomy Rules'!$C$42:$C$68,0)),""))</x:f>
      </x:c>
      <x:c r="U1342" s="9" t="str">
        <x:f>IF(C1342="","",IFERROR(INDEX('Taxonomy'!$G$9:$G$108,MATCH(D1342,'Taxonomy'!$C$9:$C$108,0)),""))</x:f>
      </x:c>
    </x:row>
    <x:row r="1343" ht="44" customHeight="1">
      <x:c r="A1343" s="1"/>
      <x:c r="B1343" s="1"/>
      <x:c r="C1343" s="8"/>
      <x:c r="D1343" s="8"/>
      <x:c r="E1343" s="8"/>
      <x:c r="F1343" s="8"/>
      <x:c r="G1343" s="8"/>
      <x:c r="H1343" s="8"/>
      <x:c r="I1343" s="8"/>
      <x:c r="J1343" s="8"/>
      <x:c r="K1343" s="8"/>
      <x:c r="L1343" s="8"/>
      <x:c r="M1343" s="10"/>
      <x:c r="N1343" s="10"/>
      <x:c r="O1343" s="8"/>
      <x:c r="P1343" s="9" t="str">
        <x:f>IF(C1343="","",IF(AND(G1343="Applicable",H1343="Fail"),"Fail",IF(R1343&lt;&gt;"Valid","Pending",IF(OR(I1343="",K1343="",L1343="",K1343=L1343,NOT(ISNUMBER(M1343)),NOT(ISNUMBER(N1343)),M1343&gt;Settings!$F$8,N1343&lt;Settings!$F$8,N1343&lt;M1343),"Pending",IF(AND(G1343="Applicable",H1343="Pass"),"Pass",IF(AND(G1343="N/A",H1343="N/A",J1343&lt;&gt;"",OR(E1343="CEM-FUELS",E1343="CEM-CCS",AND(E1343="CEM-PLAN",IFERROR(INDEX('Taxonomy'!$M$9:$M$108,MATCH(D1343,'Taxonomy'!$C$9:$C$108,0)),"")&lt;&gt;"Amber"),E1343="BLD-TIMBER",AND(U1343="Building equipment",OR(E1343="BLD-WATER",E1343="BLD-WASTE",E1343="BLD-LAND")),AND(U1343="Building renovation",E1343="BLD-LAND"))),"N/A","Pending"))))))</x:f>
      </x:c>
      <x:c r="Q1343" s="3" t="str">
        <x:f>IF(C1343="","",IF(AND(R1343="Valid",OR(P1343="Pass",P1343="N/A")),"Complete","Unresolved"))</x:f>
      </x:c>
      <x:c r="R1343" s="9" t="str">
        <x:f>IF(C1343="","",IF(OR(COUNTIF($C$9:$C$2008,C1343)&lt;&gt;1,COUNTIFS($D$9:$D$2008,D1343,$E$9:$E$2008,E1343)&lt;&gt;1),"Duplicate test",IF(COUNTIF('Taxonomy'!$C$9:$C$108,D1343)&lt;&gt;1,"Assessment key",IF(OR(COUNTIF('Taxonomy Rules'!$C$42:$C$68,E1343)&lt;&gt;1,F1343&lt;&gt;IFERROR(INDEX('Taxonomy Rules'!$D$42:$D$68,MATCH(E1343,'Taxonomy Rules'!$C$42:$C$68,0)),""),NOT(OR(IFERROR(INDEX('Taxonomy Rules'!$G$42:$G$68,MATCH(E1343,'Taxonomy Rules'!$C$42:$C$68,0)),"")="All supported routes",IFERROR(INDEX('Taxonomy Rules'!$G$42:$G$68,MATCH(E1343,'Taxonomy Rules'!$C$42:$C$68,0)),"")=U1343,AND(IFERROR(INDEX('Taxonomy Rules'!$G$42:$G$68,MATCH(E1343,'Taxonomy Rules'!$C$42:$C$68,0)),"")="Building routes",OR(U1343="Building renovation",U1343="New building",U1343="Building equipment"))))),"Unexpected test","Valid"))))</x:f>
      </x:c>
      <x:c r="S1343" s="9" t="str">
        <x:f>IF(C1343="","",IFERROR(INDEX('Taxonomy Rules'!$E$42:$E$68,MATCH(E1343,'Taxonomy Rules'!$C$42:$C$68,0)),""))</x:f>
      </x:c>
      <x:c r="T1343" s="9" t="str">
        <x:f>IF(C1343="","",IFERROR(INDEX('Taxonomy Rules'!$F$42:$F$68,MATCH(E1343,'Taxonomy Rules'!$C$42:$C$68,0)),""))</x:f>
      </x:c>
      <x:c r="U1343" s="9" t="str">
        <x:f>IF(C1343="","",IFERROR(INDEX('Taxonomy'!$G$9:$G$108,MATCH(D1343,'Taxonomy'!$C$9:$C$108,0)),""))</x:f>
      </x:c>
    </x:row>
    <x:row r="1344" ht="44" customHeight="1">
      <x:c r="A1344" s="1"/>
      <x:c r="B1344" s="1"/>
      <x:c r="C1344" s="8"/>
      <x:c r="D1344" s="8"/>
      <x:c r="E1344" s="8"/>
      <x:c r="F1344" s="8"/>
      <x:c r="G1344" s="8"/>
      <x:c r="H1344" s="8"/>
      <x:c r="I1344" s="8"/>
      <x:c r="J1344" s="8"/>
      <x:c r="K1344" s="8"/>
      <x:c r="L1344" s="8"/>
      <x:c r="M1344" s="10"/>
      <x:c r="N1344" s="10"/>
      <x:c r="O1344" s="8"/>
      <x:c r="P1344" s="9" t="str">
        <x:f>IF(C1344="","",IF(AND(G1344="Applicable",H1344="Fail"),"Fail",IF(R1344&lt;&gt;"Valid","Pending",IF(OR(I1344="",K1344="",L1344="",K1344=L1344,NOT(ISNUMBER(M1344)),NOT(ISNUMBER(N1344)),M1344&gt;Settings!$F$8,N1344&lt;Settings!$F$8,N1344&lt;M1344),"Pending",IF(AND(G1344="Applicable",H1344="Pass"),"Pass",IF(AND(G1344="N/A",H1344="N/A",J1344&lt;&gt;"",OR(E1344="CEM-FUELS",E1344="CEM-CCS",AND(E1344="CEM-PLAN",IFERROR(INDEX('Taxonomy'!$M$9:$M$108,MATCH(D1344,'Taxonomy'!$C$9:$C$108,0)),"")&lt;&gt;"Amber"),E1344="BLD-TIMBER",AND(U1344="Building equipment",OR(E1344="BLD-WATER",E1344="BLD-WASTE",E1344="BLD-LAND")),AND(U1344="Building renovation",E1344="BLD-LAND"))),"N/A","Pending"))))))</x:f>
      </x:c>
      <x:c r="Q1344" s="3" t="str">
        <x:f>IF(C1344="","",IF(AND(R1344="Valid",OR(P1344="Pass",P1344="N/A")),"Complete","Unresolved"))</x:f>
      </x:c>
      <x:c r="R1344" s="9" t="str">
        <x:f>IF(C1344="","",IF(OR(COUNTIF($C$9:$C$2008,C1344)&lt;&gt;1,COUNTIFS($D$9:$D$2008,D1344,$E$9:$E$2008,E1344)&lt;&gt;1),"Duplicate test",IF(COUNTIF('Taxonomy'!$C$9:$C$108,D1344)&lt;&gt;1,"Assessment key",IF(OR(COUNTIF('Taxonomy Rules'!$C$42:$C$68,E1344)&lt;&gt;1,F1344&lt;&gt;IFERROR(INDEX('Taxonomy Rules'!$D$42:$D$68,MATCH(E1344,'Taxonomy Rules'!$C$42:$C$68,0)),""),NOT(OR(IFERROR(INDEX('Taxonomy Rules'!$G$42:$G$68,MATCH(E1344,'Taxonomy Rules'!$C$42:$C$68,0)),"")="All supported routes",IFERROR(INDEX('Taxonomy Rules'!$G$42:$G$68,MATCH(E1344,'Taxonomy Rules'!$C$42:$C$68,0)),"")=U1344,AND(IFERROR(INDEX('Taxonomy Rules'!$G$42:$G$68,MATCH(E1344,'Taxonomy Rules'!$C$42:$C$68,0)),"")="Building routes",OR(U1344="Building renovation",U1344="New building",U1344="Building equipment"))))),"Unexpected test","Valid"))))</x:f>
      </x:c>
      <x:c r="S1344" s="9" t="str">
        <x:f>IF(C1344="","",IFERROR(INDEX('Taxonomy Rules'!$E$42:$E$68,MATCH(E1344,'Taxonomy Rules'!$C$42:$C$68,0)),""))</x:f>
      </x:c>
      <x:c r="T1344" s="9" t="str">
        <x:f>IF(C1344="","",IFERROR(INDEX('Taxonomy Rules'!$F$42:$F$68,MATCH(E1344,'Taxonomy Rules'!$C$42:$C$68,0)),""))</x:f>
      </x:c>
      <x:c r="U1344" s="9" t="str">
        <x:f>IF(C1344="","",IFERROR(INDEX('Taxonomy'!$G$9:$G$108,MATCH(D1344,'Taxonomy'!$C$9:$C$108,0)),""))</x:f>
      </x:c>
    </x:row>
    <x:row r="1345" ht="44" customHeight="1">
      <x:c r="A1345" s="1"/>
      <x:c r="B1345" s="1"/>
      <x:c r="C1345" s="8"/>
      <x:c r="D1345" s="8"/>
      <x:c r="E1345" s="8"/>
      <x:c r="F1345" s="8"/>
      <x:c r="G1345" s="8"/>
      <x:c r="H1345" s="8"/>
      <x:c r="I1345" s="8"/>
      <x:c r="J1345" s="8"/>
      <x:c r="K1345" s="8"/>
      <x:c r="L1345" s="8"/>
      <x:c r="M1345" s="10"/>
      <x:c r="N1345" s="10"/>
      <x:c r="O1345" s="8"/>
      <x:c r="P1345" s="9" t="str">
        <x:f>IF(C1345="","",IF(AND(G1345="Applicable",H1345="Fail"),"Fail",IF(R1345&lt;&gt;"Valid","Pending",IF(OR(I1345="",K1345="",L1345="",K1345=L1345,NOT(ISNUMBER(M1345)),NOT(ISNUMBER(N1345)),M1345&gt;Settings!$F$8,N1345&lt;Settings!$F$8,N1345&lt;M1345),"Pending",IF(AND(G1345="Applicable",H1345="Pass"),"Pass",IF(AND(G1345="N/A",H1345="N/A",J1345&lt;&gt;"",OR(E1345="CEM-FUELS",E1345="CEM-CCS",AND(E1345="CEM-PLAN",IFERROR(INDEX('Taxonomy'!$M$9:$M$108,MATCH(D1345,'Taxonomy'!$C$9:$C$108,0)),"")&lt;&gt;"Amber"),E1345="BLD-TIMBER",AND(U1345="Building equipment",OR(E1345="BLD-WATER",E1345="BLD-WASTE",E1345="BLD-LAND")),AND(U1345="Building renovation",E1345="BLD-LAND"))),"N/A","Pending"))))))</x:f>
      </x:c>
      <x:c r="Q1345" s="3" t="str">
        <x:f>IF(C1345="","",IF(AND(R1345="Valid",OR(P1345="Pass",P1345="N/A")),"Complete","Unresolved"))</x:f>
      </x:c>
      <x:c r="R1345" s="9" t="str">
        <x:f>IF(C1345="","",IF(OR(COUNTIF($C$9:$C$2008,C1345)&lt;&gt;1,COUNTIFS($D$9:$D$2008,D1345,$E$9:$E$2008,E1345)&lt;&gt;1),"Duplicate test",IF(COUNTIF('Taxonomy'!$C$9:$C$108,D1345)&lt;&gt;1,"Assessment key",IF(OR(COUNTIF('Taxonomy Rules'!$C$42:$C$68,E1345)&lt;&gt;1,F1345&lt;&gt;IFERROR(INDEX('Taxonomy Rules'!$D$42:$D$68,MATCH(E1345,'Taxonomy Rules'!$C$42:$C$68,0)),""),NOT(OR(IFERROR(INDEX('Taxonomy Rules'!$G$42:$G$68,MATCH(E1345,'Taxonomy Rules'!$C$42:$C$68,0)),"")="All supported routes",IFERROR(INDEX('Taxonomy Rules'!$G$42:$G$68,MATCH(E1345,'Taxonomy Rules'!$C$42:$C$68,0)),"")=U1345,AND(IFERROR(INDEX('Taxonomy Rules'!$G$42:$G$68,MATCH(E1345,'Taxonomy Rules'!$C$42:$C$68,0)),"")="Building routes",OR(U1345="Building renovation",U1345="New building",U1345="Building equipment"))))),"Unexpected test","Valid"))))</x:f>
      </x:c>
      <x:c r="S1345" s="9" t="str">
        <x:f>IF(C1345="","",IFERROR(INDEX('Taxonomy Rules'!$E$42:$E$68,MATCH(E1345,'Taxonomy Rules'!$C$42:$C$68,0)),""))</x:f>
      </x:c>
      <x:c r="T1345" s="9" t="str">
        <x:f>IF(C1345="","",IFERROR(INDEX('Taxonomy Rules'!$F$42:$F$68,MATCH(E1345,'Taxonomy Rules'!$C$42:$C$68,0)),""))</x:f>
      </x:c>
      <x:c r="U1345" s="9" t="str">
        <x:f>IF(C1345="","",IFERROR(INDEX('Taxonomy'!$G$9:$G$108,MATCH(D1345,'Taxonomy'!$C$9:$C$108,0)),""))</x:f>
      </x:c>
    </x:row>
    <x:row r="1346" ht="44" customHeight="1">
      <x:c r="A1346" s="1"/>
      <x:c r="B1346" s="1"/>
      <x:c r="C1346" s="8"/>
      <x:c r="D1346" s="8"/>
      <x:c r="E1346" s="8"/>
      <x:c r="F1346" s="8"/>
      <x:c r="G1346" s="8"/>
      <x:c r="H1346" s="8"/>
      <x:c r="I1346" s="8"/>
      <x:c r="J1346" s="8"/>
      <x:c r="K1346" s="8"/>
      <x:c r="L1346" s="8"/>
      <x:c r="M1346" s="10"/>
      <x:c r="N1346" s="10"/>
      <x:c r="O1346" s="8"/>
      <x:c r="P1346" s="9" t="str">
        <x:f>IF(C1346="","",IF(AND(G1346="Applicable",H1346="Fail"),"Fail",IF(R1346&lt;&gt;"Valid","Pending",IF(OR(I1346="",K1346="",L1346="",K1346=L1346,NOT(ISNUMBER(M1346)),NOT(ISNUMBER(N1346)),M1346&gt;Settings!$F$8,N1346&lt;Settings!$F$8,N1346&lt;M1346),"Pending",IF(AND(G1346="Applicable",H1346="Pass"),"Pass",IF(AND(G1346="N/A",H1346="N/A",J1346&lt;&gt;"",OR(E1346="CEM-FUELS",E1346="CEM-CCS",AND(E1346="CEM-PLAN",IFERROR(INDEX('Taxonomy'!$M$9:$M$108,MATCH(D1346,'Taxonomy'!$C$9:$C$108,0)),"")&lt;&gt;"Amber"),E1346="BLD-TIMBER",AND(U1346="Building equipment",OR(E1346="BLD-WATER",E1346="BLD-WASTE",E1346="BLD-LAND")),AND(U1346="Building renovation",E1346="BLD-LAND"))),"N/A","Pending"))))))</x:f>
      </x:c>
      <x:c r="Q1346" s="3" t="str">
        <x:f>IF(C1346="","",IF(AND(R1346="Valid",OR(P1346="Pass",P1346="N/A")),"Complete","Unresolved"))</x:f>
      </x:c>
      <x:c r="R1346" s="9" t="str">
        <x:f>IF(C1346="","",IF(OR(COUNTIF($C$9:$C$2008,C1346)&lt;&gt;1,COUNTIFS($D$9:$D$2008,D1346,$E$9:$E$2008,E1346)&lt;&gt;1),"Duplicate test",IF(COUNTIF('Taxonomy'!$C$9:$C$108,D1346)&lt;&gt;1,"Assessment key",IF(OR(COUNTIF('Taxonomy Rules'!$C$42:$C$68,E1346)&lt;&gt;1,F1346&lt;&gt;IFERROR(INDEX('Taxonomy Rules'!$D$42:$D$68,MATCH(E1346,'Taxonomy Rules'!$C$42:$C$68,0)),""),NOT(OR(IFERROR(INDEX('Taxonomy Rules'!$G$42:$G$68,MATCH(E1346,'Taxonomy Rules'!$C$42:$C$68,0)),"")="All supported routes",IFERROR(INDEX('Taxonomy Rules'!$G$42:$G$68,MATCH(E1346,'Taxonomy Rules'!$C$42:$C$68,0)),"")=U1346,AND(IFERROR(INDEX('Taxonomy Rules'!$G$42:$G$68,MATCH(E1346,'Taxonomy Rules'!$C$42:$C$68,0)),"")="Building routes",OR(U1346="Building renovation",U1346="New building",U1346="Building equipment"))))),"Unexpected test","Valid"))))</x:f>
      </x:c>
      <x:c r="S1346" s="9" t="str">
        <x:f>IF(C1346="","",IFERROR(INDEX('Taxonomy Rules'!$E$42:$E$68,MATCH(E1346,'Taxonomy Rules'!$C$42:$C$68,0)),""))</x:f>
      </x:c>
      <x:c r="T1346" s="9" t="str">
        <x:f>IF(C1346="","",IFERROR(INDEX('Taxonomy Rules'!$F$42:$F$68,MATCH(E1346,'Taxonomy Rules'!$C$42:$C$68,0)),""))</x:f>
      </x:c>
      <x:c r="U1346" s="9" t="str">
        <x:f>IF(C1346="","",IFERROR(INDEX('Taxonomy'!$G$9:$G$108,MATCH(D1346,'Taxonomy'!$C$9:$C$108,0)),""))</x:f>
      </x:c>
    </x:row>
    <x:row r="1347" ht="44" customHeight="1">
      <x:c r="A1347" s="1"/>
      <x:c r="B1347" s="1"/>
      <x:c r="C1347" s="8"/>
      <x:c r="D1347" s="8"/>
      <x:c r="E1347" s="8"/>
      <x:c r="F1347" s="8"/>
      <x:c r="G1347" s="8"/>
      <x:c r="H1347" s="8"/>
      <x:c r="I1347" s="8"/>
      <x:c r="J1347" s="8"/>
      <x:c r="K1347" s="8"/>
      <x:c r="L1347" s="8"/>
      <x:c r="M1347" s="10"/>
      <x:c r="N1347" s="10"/>
      <x:c r="O1347" s="8"/>
      <x:c r="P1347" s="9" t="str">
        <x:f>IF(C1347="","",IF(AND(G1347="Applicable",H1347="Fail"),"Fail",IF(R1347&lt;&gt;"Valid","Pending",IF(OR(I1347="",K1347="",L1347="",K1347=L1347,NOT(ISNUMBER(M1347)),NOT(ISNUMBER(N1347)),M1347&gt;Settings!$F$8,N1347&lt;Settings!$F$8,N1347&lt;M1347),"Pending",IF(AND(G1347="Applicable",H1347="Pass"),"Pass",IF(AND(G1347="N/A",H1347="N/A",J1347&lt;&gt;"",OR(E1347="CEM-FUELS",E1347="CEM-CCS",AND(E1347="CEM-PLAN",IFERROR(INDEX('Taxonomy'!$M$9:$M$108,MATCH(D1347,'Taxonomy'!$C$9:$C$108,0)),"")&lt;&gt;"Amber"),E1347="BLD-TIMBER",AND(U1347="Building equipment",OR(E1347="BLD-WATER",E1347="BLD-WASTE",E1347="BLD-LAND")),AND(U1347="Building renovation",E1347="BLD-LAND"))),"N/A","Pending"))))))</x:f>
      </x:c>
      <x:c r="Q1347" s="3" t="str">
        <x:f>IF(C1347="","",IF(AND(R1347="Valid",OR(P1347="Pass",P1347="N/A")),"Complete","Unresolved"))</x:f>
      </x:c>
      <x:c r="R1347" s="9" t="str">
        <x:f>IF(C1347="","",IF(OR(COUNTIF($C$9:$C$2008,C1347)&lt;&gt;1,COUNTIFS($D$9:$D$2008,D1347,$E$9:$E$2008,E1347)&lt;&gt;1),"Duplicate test",IF(COUNTIF('Taxonomy'!$C$9:$C$108,D1347)&lt;&gt;1,"Assessment key",IF(OR(COUNTIF('Taxonomy Rules'!$C$42:$C$68,E1347)&lt;&gt;1,F1347&lt;&gt;IFERROR(INDEX('Taxonomy Rules'!$D$42:$D$68,MATCH(E1347,'Taxonomy Rules'!$C$42:$C$68,0)),""),NOT(OR(IFERROR(INDEX('Taxonomy Rules'!$G$42:$G$68,MATCH(E1347,'Taxonomy Rules'!$C$42:$C$68,0)),"")="All supported routes",IFERROR(INDEX('Taxonomy Rules'!$G$42:$G$68,MATCH(E1347,'Taxonomy Rules'!$C$42:$C$68,0)),"")=U1347,AND(IFERROR(INDEX('Taxonomy Rules'!$G$42:$G$68,MATCH(E1347,'Taxonomy Rules'!$C$42:$C$68,0)),"")="Building routes",OR(U1347="Building renovation",U1347="New building",U1347="Building equipment"))))),"Unexpected test","Valid"))))</x:f>
      </x:c>
      <x:c r="S1347" s="9" t="str">
        <x:f>IF(C1347="","",IFERROR(INDEX('Taxonomy Rules'!$E$42:$E$68,MATCH(E1347,'Taxonomy Rules'!$C$42:$C$68,0)),""))</x:f>
      </x:c>
      <x:c r="T1347" s="9" t="str">
        <x:f>IF(C1347="","",IFERROR(INDEX('Taxonomy Rules'!$F$42:$F$68,MATCH(E1347,'Taxonomy Rules'!$C$42:$C$68,0)),""))</x:f>
      </x:c>
      <x:c r="U1347" s="9" t="str">
        <x:f>IF(C1347="","",IFERROR(INDEX('Taxonomy'!$G$9:$G$108,MATCH(D1347,'Taxonomy'!$C$9:$C$108,0)),""))</x:f>
      </x:c>
    </x:row>
    <x:row r="1348" ht="44" customHeight="1">
      <x:c r="A1348" s="1"/>
      <x:c r="B1348" s="1"/>
      <x:c r="C1348" s="8"/>
      <x:c r="D1348" s="8"/>
      <x:c r="E1348" s="8"/>
      <x:c r="F1348" s="8"/>
      <x:c r="G1348" s="8"/>
      <x:c r="H1348" s="8"/>
      <x:c r="I1348" s="8"/>
      <x:c r="J1348" s="8"/>
      <x:c r="K1348" s="8"/>
      <x:c r="L1348" s="8"/>
      <x:c r="M1348" s="10"/>
      <x:c r="N1348" s="10"/>
      <x:c r="O1348" s="8"/>
      <x:c r="P1348" s="9" t="str">
        <x:f>IF(C1348="","",IF(AND(G1348="Applicable",H1348="Fail"),"Fail",IF(R1348&lt;&gt;"Valid","Pending",IF(OR(I1348="",K1348="",L1348="",K1348=L1348,NOT(ISNUMBER(M1348)),NOT(ISNUMBER(N1348)),M1348&gt;Settings!$F$8,N1348&lt;Settings!$F$8,N1348&lt;M1348),"Pending",IF(AND(G1348="Applicable",H1348="Pass"),"Pass",IF(AND(G1348="N/A",H1348="N/A",J1348&lt;&gt;"",OR(E1348="CEM-FUELS",E1348="CEM-CCS",AND(E1348="CEM-PLAN",IFERROR(INDEX('Taxonomy'!$M$9:$M$108,MATCH(D1348,'Taxonomy'!$C$9:$C$108,0)),"")&lt;&gt;"Amber"),E1348="BLD-TIMBER",AND(U1348="Building equipment",OR(E1348="BLD-WATER",E1348="BLD-WASTE",E1348="BLD-LAND")),AND(U1348="Building renovation",E1348="BLD-LAND"))),"N/A","Pending"))))))</x:f>
      </x:c>
      <x:c r="Q1348" s="3" t="str">
        <x:f>IF(C1348="","",IF(AND(R1348="Valid",OR(P1348="Pass",P1348="N/A")),"Complete","Unresolved"))</x:f>
      </x:c>
      <x:c r="R1348" s="9" t="str">
        <x:f>IF(C1348="","",IF(OR(COUNTIF($C$9:$C$2008,C1348)&lt;&gt;1,COUNTIFS($D$9:$D$2008,D1348,$E$9:$E$2008,E1348)&lt;&gt;1),"Duplicate test",IF(COUNTIF('Taxonomy'!$C$9:$C$108,D1348)&lt;&gt;1,"Assessment key",IF(OR(COUNTIF('Taxonomy Rules'!$C$42:$C$68,E1348)&lt;&gt;1,F1348&lt;&gt;IFERROR(INDEX('Taxonomy Rules'!$D$42:$D$68,MATCH(E1348,'Taxonomy Rules'!$C$42:$C$68,0)),""),NOT(OR(IFERROR(INDEX('Taxonomy Rules'!$G$42:$G$68,MATCH(E1348,'Taxonomy Rules'!$C$42:$C$68,0)),"")="All supported routes",IFERROR(INDEX('Taxonomy Rules'!$G$42:$G$68,MATCH(E1348,'Taxonomy Rules'!$C$42:$C$68,0)),"")=U1348,AND(IFERROR(INDEX('Taxonomy Rules'!$G$42:$G$68,MATCH(E1348,'Taxonomy Rules'!$C$42:$C$68,0)),"")="Building routes",OR(U1348="Building renovation",U1348="New building",U1348="Building equipment"))))),"Unexpected test","Valid"))))</x:f>
      </x:c>
      <x:c r="S1348" s="9" t="str">
        <x:f>IF(C1348="","",IFERROR(INDEX('Taxonomy Rules'!$E$42:$E$68,MATCH(E1348,'Taxonomy Rules'!$C$42:$C$68,0)),""))</x:f>
      </x:c>
      <x:c r="T1348" s="9" t="str">
        <x:f>IF(C1348="","",IFERROR(INDEX('Taxonomy Rules'!$F$42:$F$68,MATCH(E1348,'Taxonomy Rules'!$C$42:$C$68,0)),""))</x:f>
      </x:c>
      <x:c r="U1348" s="9" t="str">
        <x:f>IF(C1348="","",IFERROR(INDEX('Taxonomy'!$G$9:$G$108,MATCH(D1348,'Taxonomy'!$C$9:$C$108,0)),""))</x:f>
      </x:c>
    </x:row>
    <x:row r="1349" ht="44" customHeight="1">
      <x:c r="A1349" s="1"/>
      <x:c r="B1349" s="1"/>
      <x:c r="C1349" s="8"/>
      <x:c r="D1349" s="8"/>
      <x:c r="E1349" s="8"/>
      <x:c r="F1349" s="8"/>
      <x:c r="G1349" s="8"/>
      <x:c r="H1349" s="8"/>
      <x:c r="I1349" s="8"/>
      <x:c r="J1349" s="8"/>
      <x:c r="K1349" s="8"/>
      <x:c r="L1349" s="8"/>
      <x:c r="M1349" s="10"/>
      <x:c r="N1349" s="10"/>
      <x:c r="O1349" s="8"/>
      <x:c r="P1349" s="9" t="str">
        <x:f>IF(C1349="","",IF(AND(G1349="Applicable",H1349="Fail"),"Fail",IF(R1349&lt;&gt;"Valid","Pending",IF(OR(I1349="",K1349="",L1349="",K1349=L1349,NOT(ISNUMBER(M1349)),NOT(ISNUMBER(N1349)),M1349&gt;Settings!$F$8,N1349&lt;Settings!$F$8,N1349&lt;M1349),"Pending",IF(AND(G1349="Applicable",H1349="Pass"),"Pass",IF(AND(G1349="N/A",H1349="N/A",J1349&lt;&gt;"",OR(E1349="CEM-FUELS",E1349="CEM-CCS",AND(E1349="CEM-PLAN",IFERROR(INDEX('Taxonomy'!$M$9:$M$108,MATCH(D1349,'Taxonomy'!$C$9:$C$108,0)),"")&lt;&gt;"Amber"),E1349="BLD-TIMBER",AND(U1349="Building equipment",OR(E1349="BLD-WATER",E1349="BLD-WASTE",E1349="BLD-LAND")),AND(U1349="Building renovation",E1349="BLD-LAND"))),"N/A","Pending"))))))</x:f>
      </x:c>
      <x:c r="Q1349" s="3" t="str">
        <x:f>IF(C1349="","",IF(AND(R1349="Valid",OR(P1349="Pass",P1349="N/A")),"Complete","Unresolved"))</x:f>
      </x:c>
      <x:c r="R1349" s="9" t="str">
        <x:f>IF(C1349="","",IF(OR(COUNTIF($C$9:$C$2008,C1349)&lt;&gt;1,COUNTIFS($D$9:$D$2008,D1349,$E$9:$E$2008,E1349)&lt;&gt;1),"Duplicate test",IF(COUNTIF('Taxonomy'!$C$9:$C$108,D1349)&lt;&gt;1,"Assessment key",IF(OR(COUNTIF('Taxonomy Rules'!$C$42:$C$68,E1349)&lt;&gt;1,F1349&lt;&gt;IFERROR(INDEX('Taxonomy Rules'!$D$42:$D$68,MATCH(E1349,'Taxonomy Rules'!$C$42:$C$68,0)),""),NOT(OR(IFERROR(INDEX('Taxonomy Rules'!$G$42:$G$68,MATCH(E1349,'Taxonomy Rules'!$C$42:$C$68,0)),"")="All supported routes",IFERROR(INDEX('Taxonomy Rules'!$G$42:$G$68,MATCH(E1349,'Taxonomy Rules'!$C$42:$C$68,0)),"")=U1349,AND(IFERROR(INDEX('Taxonomy Rules'!$G$42:$G$68,MATCH(E1349,'Taxonomy Rules'!$C$42:$C$68,0)),"")="Building routes",OR(U1349="Building renovation",U1349="New building",U1349="Building equipment"))))),"Unexpected test","Valid"))))</x:f>
      </x:c>
      <x:c r="S1349" s="9" t="str">
        <x:f>IF(C1349="","",IFERROR(INDEX('Taxonomy Rules'!$E$42:$E$68,MATCH(E1349,'Taxonomy Rules'!$C$42:$C$68,0)),""))</x:f>
      </x:c>
      <x:c r="T1349" s="9" t="str">
        <x:f>IF(C1349="","",IFERROR(INDEX('Taxonomy Rules'!$F$42:$F$68,MATCH(E1349,'Taxonomy Rules'!$C$42:$C$68,0)),""))</x:f>
      </x:c>
      <x:c r="U1349" s="9" t="str">
        <x:f>IF(C1349="","",IFERROR(INDEX('Taxonomy'!$G$9:$G$108,MATCH(D1349,'Taxonomy'!$C$9:$C$108,0)),""))</x:f>
      </x:c>
    </x:row>
    <x:row r="1350" ht="44" customHeight="1">
      <x:c r="A1350" s="1"/>
      <x:c r="B1350" s="1"/>
      <x:c r="C1350" s="8"/>
      <x:c r="D1350" s="8"/>
      <x:c r="E1350" s="8"/>
      <x:c r="F1350" s="8"/>
      <x:c r="G1350" s="8"/>
      <x:c r="H1350" s="8"/>
      <x:c r="I1350" s="8"/>
      <x:c r="J1350" s="8"/>
      <x:c r="K1350" s="8"/>
      <x:c r="L1350" s="8"/>
      <x:c r="M1350" s="10"/>
      <x:c r="N1350" s="10"/>
      <x:c r="O1350" s="8"/>
      <x:c r="P1350" s="9" t="str">
        <x:f>IF(C1350="","",IF(AND(G1350="Applicable",H1350="Fail"),"Fail",IF(R1350&lt;&gt;"Valid","Pending",IF(OR(I1350="",K1350="",L1350="",K1350=L1350,NOT(ISNUMBER(M1350)),NOT(ISNUMBER(N1350)),M1350&gt;Settings!$F$8,N1350&lt;Settings!$F$8,N1350&lt;M1350),"Pending",IF(AND(G1350="Applicable",H1350="Pass"),"Pass",IF(AND(G1350="N/A",H1350="N/A",J1350&lt;&gt;"",OR(E1350="CEM-FUELS",E1350="CEM-CCS",AND(E1350="CEM-PLAN",IFERROR(INDEX('Taxonomy'!$M$9:$M$108,MATCH(D1350,'Taxonomy'!$C$9:$C$108,0)),"")&lt;&gt;"Amber"),E1350="BLD-TIMBER",AND(U1350="Building equipment",OR(E1350="BLD-WATER",E1350="BLD-WASTE",E1350="BLD-LAND")),AND(U1350="Building renovation",E1350="BLD-LAND"))),"N/A","Pending"))))))</x:f>
      </x:c>
      <x:c r="Q1350" s="3" t="str">
        <x:f>IF(C1350="","",IF(AND(R1350="Valid",OR(P1350="Pass",P1350="N/A")),"Complete","Unresolved"))</x:f>
      </x:c>
      <x:c r="R1350" s="9" t="str">
        <x:f>IF(C1350="","",IF(OR(COUNTIF($C$9:$C$2008,C1350)&lt;&gt;1,COUNTIFS($D$9:$D$2008,D1350,$E$9:$E$2008,E1350)&lt;&gt;1),"Duplicate test",IF(COUNTIF('Taxonomy'!$C$9:$C$108,D1350)&lt;&gt;1,"Assessment key",IF(OR(COUNTIF('Taxonomy Rules'!$C$42:$C$68,E1350)&lt;&gt;1,F1350&lt;&gt;IFERROR(INDEX('Taxonomy Rules'!$D$42:$D$68,MATCH(E1350,'Taxonomy Rules'!$C$42:$C$68,0)),""),NOT(OR(IFERROR(INDEX('Taxonomy Rules'!$G$42:$G$68,MATCH(E1350,'Taxonomy Rules'!$C$42:$C$68,0)),"")="All supported routes",IFERROR(INDEX('Taxonomy Rules'!$G$42:$G$68,MATCH(E1350,'Taxonomy Rules'!$C$42:$C$68,0)),"")=U1350,AND(IFERROR(INDEX('Taxonomy Rules'!$G$42:$G$68,MATCH(E1350,'Taxonomy Rules'!$C$42:$C$68,0)),"")="Building routes",OR(U1350="Building renovation",U1350="New building",U1350="Building equipment"))))),"Unexpected test","Valid"))))</x:f>
      </x:c>
      <x:c r="S1350" s="9" t="str">
        <x:f>IF(C1350="","",IFERROR(INDEX('Taxonomy Rules'!$E$42:$E$68,MATCH(E1350,'Taxonomy Rules'!$C$42:$C$68,0)),""))</x:f>
      </x:c>
      <x:c r="T1350" s="9" t="str">
        <x:f>IF(C1350="","",IFERROR(INDEX('Taxonomy Rules'!$F$42:$F$68,MATCH(E1350,'Taxonomy Rules'!$C$42:$C$68,0)),""))</x:f>
      </x:c>
      <x:c r="U1350" s="9" t="str">
        <x:f>IF(C1350="","",IFERROR(INDEX('Taxonomy'!$G$9:$G$108,MATCH(D1350,'Taxonomy'!$C$9:$C$108,0)),""))</x:f>
      </x:c>
    </x:row>
    <x:row r="1351" ht="44" customHeight="1">
      <x:c r="A1351" s="1"/>
      <x:c r="B1351" s="1"/>
      <x:c r="C1351" s="8"/>
      <x:c r="D1351" s="8"/>
      <x:c r="E1351" s="8"/>
      <x:c r="F1351" s="8"/>
      <x:c r="G1351" s="8"/>
      <x:c r="H1351" s="8"/>
      <x:c r="I1351" s="8"/>
      <x:c r="J1351" s="8"/>
      <x:c r="K1351" s="8"/>
      <x:c r="L1351" s="8"/>
      <x:c r="M1351" s="10"/>
      <x:c r="N1351" s="10"/>
      <x:c r="O1351" s="8"/>
      <x:c r="P1351" s="9" t="str">
        <x:f>IF(C1351="","",IF(AND(G1351="Applicable",H1351="Fail"),"Fail",IF(R1351&lt;&gt;"Valid","Pending",IF(OR(I1351="",K1351="",L1351="",K1351=L1351,NOT(ISNUMBER(M1351)),NOT(ISNUMBER(N1351)),M1351&gt;Settings!$F$8,N1351&lt;Settings!$F$8,N1351&lt;M1351),"Pending",IF(AND(G1351="Applicable",H1351="Pass"),"Pass",IF(AND(G1351="N/A",H1351="N/A",J1351&lt;&gt;"",OR(E1351="CEM-FUELS",E1351="CEM-CCS",AND(E1351="CEM-PLAN",IFERROR(INDEX('Taxonomy'!$M$9:$M$108,MATCH(D1351,'Taxonomy'!$C$9:$C$108,0)),"")&lt;&gt;"Amber"),E1351="BLD-TIMBER",AND(U1351="Building equipment",OR(E1351="BLD-WATER",E1351="BLD-WASTE",E1351="BLD-LAND")),AND(U1351="Building renovation",E1351="BLD-LAND"))),"N/A","Pending"))))))</x:f>
      </x:c>
      <x:c r="Q1351" s="3" t="str">
        <x:f>IF(C1351="","",IF(AND(R1351="Valid",OR(P1351="Pass",P1351="N/A")),"Complete","Unresolved"))</x:f>
      </x:c>
      <x:c r="R1351" s="9" t="str">
        <x:f>IF(C1351="","",IF(OR(COUNTIF($C$9:$C$2008,C1351)&lt;&gt;1,COUNTIFS($D$9:$D$2008,D1351,$E$9:$E$2008,E1351)&lt;&gt;1),"Duplicate test",IF(COUNTIF('Taxonomy'!$C$9:$C$108,D1351)&lt;&gt;1,"Assessment key",IF(OR(COUNTIF('Taxonomy Rules'!$C$42:$C$68,E1351)&lt;&gt;1,F1351&lt;&gt;IFERROR(INDEX('Taxonomy Rules'!$D$42:$D$68,MATCH(E1351,'Taxonomy Rules'!$C$42:$C$68,0)),""),NOT(OR(IFERROR(INDEX('Taxonomy Rules'!$G$42:$G$68,MATCH(E1351,'Taxonomy Rules'!$C$42:$C$68,0)),"")="All supported routes",IFERROR(INDEX('Taxonomy Rules'!$G$42:$G$68,MATCH(E1351,'Taxonomy Rules'!$C$42:$C$68,0)),"")=U1351,AND(IFERROR(INDEX('Taxonomy Rules'!$G$42:$G$68,MATCH(E1351,'Taxonomy Rules'!$C$42:$C$68,0)),"")="Building routes",OR(U1351="Building renovation",U1351="New building",U1351="Building equipment"))))),"Unexpected test","Valid"))))</x:f>
      </x:c>
      <x:c r="S1351" s="9" t="str">
        <x:f>IF(C1351="","",IFERROR(INDEX('Taxonomy Rules'!$E$42:$E$68,MATCH(E1351,'Taxonomy Rules'!$C$42:$C$68,0)),""))</x:f>
      </x:c>
      <x:c r="T1351" s="9" t="str">
        <x:f>IF(C1351="","",IFERROR(INDEX('Taxonomy Rules'!$F$42:$F$68,MATCH(E1351,'Taxonomy Rules'!$C$42:$C$68,0)),""))</x:f>
      </x:c>
      <x:c r="U1351" s="9" t="str">
        <x:f>IF(C1351="","",IFERROR(INDEX('Taxonomy'!$G$9:$G$108,MATCH(D1351,'Taxonomy'!$C$9:$C$108,0)),""))</x:f>
      </x:c>
    </x:row>
    <x:row r="1352" ht="44" customHeight="1">
      <x:c r="A1352" s="1"/>
      <x:c r="B1352" s="1"/>
      <x:c r="C1352" s="8"/>
      <x:c r="D1352" s="8"/>
      <x:c r="E1352" s="8"/>
      <x:c r="F1352" s="8"/>
      <x:c r="G1352" s="8"/>
      <x:c r="H1352" s="8"/>
      <x:c r="I1352" s="8"/>
      <x:c r="J1352" s="8"/>
      <x:c r="K1352" s="8"/>
      <x:c r="L1352" s="8"/>
      <x:c r="M1352" s="10"/>
      <x:c r="N1352" s="10"/>
      <x:c r="O1352" s="8"/>
      <x:c r="P1352" s="9" t="str">
        <x:f>IF(C1352="","",IF(AND(G1352="Applicable",H1352="Fail"),"Fail",IF(R1352&lt;&gt;"Valid","Pending",IF(OR(I1352="",K1352="",L1352="",K1352=L1352,NOT(ISNUMBER(M1352)),NOT(ISNUMBER(N1352)),M1352&gt;Settings!$F$8,N1352&lt;Settings!$F$8,N1352&lt;M1352),"Pending",IF(AND(G1352="Applicable",H1352="Pass"),"Pass",IF(AND(G1352="N/A",H1352="N/A",J1352&lt;&gt;"",OR(E1352="CEM-FUELS",E1352="CEM-CCS",AND(E1352="CEM-PLAN",IFERROR(INDEX('Taxonomy'!$M$9:$M$108,MATCH(D1352,'Taxonomy'!$C$9:$C$108,0)),"")&lt;&gt;"Amber"),E1352="BLD-TIMBER",AND(U1352="Building equipment",OR(E1352="BLD-WATER",E1352="BLD-WASTE",E1352="BLD-LAND")),AND(U1352="Building renovation",E1352="BLD-LAND"))),"N/A","Pending"))))))</x:f>
      </x:c>
      <x:c r="Q1352" s="3" t="str">
        <x:f>IF(C1352="","",IF(AND(R1352="Valid",OR(P1352="Pass",P1352="N/A")),"Complete","Unresolved"))</x:f>
      </x:c>
      <x:c r="R1352" s="9" t="str">
        <x:f>IF(C1352="","",IF(OR(COUNTIF($C$9:$C$2008,C1352)&lt;&gt;1,COUNTIFS($D$9:$D$2008,D1352,$E$9:$E$2008,E1352)&lt;&gt;1),"Duplicate test",IF(COUNTIF('Taxonomy'!$C$9:$C$108,D1352)&lt;&gt;1,"Assessment key",IF(OR(COUNTIF('Taxonomy Rules'!$C$42:$C$68,E1352)&lt;&gt;1,F1352&lt;&gt;IFERROR(INDEX('Taxonomy Rules'!$D$42:$D$68,MATCH(E1352,'Taxonomy Rules'!$C$42:$C$68,0)),""),NOT(OR(IFERROR(INDEX('Taxonomy Rules'!$G$42:$G$68,MATCH(E1352,'Taxonomy Rules'!$C$42:$C$68,0)),"")="All supported routes",IFERROR(INDEX('Taxonomy Rules'!$G$42:$G$68,MATCH(E1352,'Taxonomy Rules'!$C$42:$C$68,0)),"")=U1352,AND(IFERROR(INDEX('Taxonomy Rules'!$G$42:$G$68,MATCH(E1352,'Taxonomy Rules'!$C$42:$C$68,0)),"")="Building routes",OR(U1352="Building renovation",U1352="New building",U1352="Building equipment"))))),"Unexpected test","Valid"))))</x:f>
      </x:c>
      <x:c r="S1352" s="9" t="str">
        <x:f>IF(C1352="","",IFERROR(INDEX('Taxonomy Rules'!$E$42:$E$68,MATCH(E1352,'Taxonomy Rules'!$C$42:$C$68,0)),""))</x:f>
      </x:c>
      <x:c r="T1352" s="9" t="str">
        <x:f>IF(C1352="","",IFERROR(INDEX('Taxonomy Rules'!$F$42:$F$68,MATCH(E1352,'Taxonomy Rules'!$C$42:$C$68,0)),""))</x:f>
      </x:c>
      <x:c r="U1352" s="9" t="str">
        <x:f>IF(C1352="","",IFERROR(INDEX('Taxonomy'!$G$9:$G$108,MATCH(D1352,'Taxonomy'!$C$9:$C$108,0)),""))</x:f>
      </x:c>
    </x:row>
    <x:row r="1353" ht="44" customHeight="1">
      <x:c r="A1353" s="1"/>
      <x:c r="B1353" s="1"/>
      <x:c r="C1353" s="8"/>
      <x:c r="D1353" s="8"/>
      <x:c r="E1353" s="8"/>
      <x:c r="F1353" s="8"/>
      <x:c r="G1353" s="8"/>
      <x:c r="H1353" s="8"/>
      <x:c r="I1353" s="8"/>
      <x:c r="J1353" s="8"/>
      <x:c r="K1353" s="8"/>
      <x:c r="L1353" s="8"/>
      <x:c r="M1353" s="10"/>
      <x:c r="N1353" s="10"/>
      <x:c r="O1353" s="8"/>
      <x:c r="P1353" s="9" t="str">
        <x:f>IF(C1353="","",IF(AND(G1353="Applicable",H1353="Fail"),"Fail",IF(R1353&lt;&gt;"Valid","Pending",IF(OR(I1353="",K1353="",L1353="",K1353=L1353,NOT(ISNUMBER(M1353)),NOT(ISNUMBER(N1353)),M1353&gt;Settings!$F$8,N1353&lt;Settings!$F$8,N1353&lt;M1353),"Pending",IF(AND(G1353="Applicable",H1353="Pass"),"Pass",IF(AND(G1353="N/A",H1353="N/A",J1353&lt;&gt;"",OR(E1353="CEM-FUELS",E1353="CEM-CCS",AND(E1353="CEM-PLAN",IFERROR(INDEX('Taxonomy'!$M$9:$M$108,MATCH(D1353,'Taxonomy'!$C$9:$C$108,0)),"")&lt;&gt;"Amber"),E1353="BLD-TIMBER",AND(U1353="Building equipment",OR(E1353="BLD-WATER",E1353="BLD-WASTE",E1353="BLD-LAND")),AND(U1353="Building renovation",E1353="BLD-LAND"))),"N/A","Pending"))))))</x:f>
      </x:c>
      <x:c r="Q1353" s="3" t="str">
        <x:f>IF(C1353="","",IF(AND(R1353="Valid",OR(P1353="Pass",P1353="N/A")),"Complete","Unresolved"))</x:f>
      </x:c>
      <x:c r="R1353" s="9" t="str">
        <x:f>IF(C1353="","",IF(OR(COUNTIF($C$9:$C$2008,C1353)&lt;&gt;1,COUNTIFS($D$9:$D$2008,D1353,$E$9:$E$2008,E1353)&lt;&gt;1),"Duplicate test",IF(COUNTIF('Taxonomy'!$C$9:$C$108,D1353)&lt;&gt;1,"Assessment key",IF(OR(COUNTIF('Taxonomy Rules'!$C$42:$C$68,E1353)&lt;&gt;1,F1353&lt;&gt;IFERROR(INDEX('Taxonomy Rules'!$D$42:$D$68,MATCH(E1353,'Taxonomy Rules'!$C$42:$C$68,0)),""),NOT(OR(IFERROR(INDEX('Taxonomy Rules'!$G$42:$G$68,MATCH(E1353,'Taxonomy Rules'!$C$42:$C$68,0)),"")="All supported routes",IFERROR(INDEX('Taxonomy Rules'!$G$42:$G$68,MATCH(E1353,'Taxonomy Rules'!$C$42:$C$68,0)),"")=U1353,AND(IFERROR(INDEX('Taxonomy Rules'!$G$42:$G$68,MATCH(E1353,'Taxonomy Rules'!$C$42:$C$68,0)),"")="Building routes",OR(U1353="Building renovation",U1353="New building",U1353="Building equipment"))))),"Unexpected test","Valid"))))</x:f>
      </x:c>
      <x:c r="S1353" s="9" t="str">
        <x:f>IF(C1353="","",IFERROR(INDEX('Taxonomy Rules'!$E$42:$E$68,MATCH(E1353,'Taxonomy Rules'!$C$42:$C$68,0)),""))</x:f>
      </x:c>
      <x:c r="T1353" s="9" t="str">
        <x:f>IF(C1353="","",IFERROR(INDEX('Taxonomy Rules'!$F$42:$F$68,MATCH(E1353,'Taxonomy Rules'!$C$42:$C$68,0)),""))</x:f>
      </x:c>
      <x:c r="U1353" s="9" t="str">
        <x:f>IF(C1353="","",IFERROR(INDEX('Taxonomy'!$G$9:$G$108,MATCH(D1353,'Taxonomy'!$C$9:$C$108,0)),""))</x:f>
      </x:c>
    </x:row>
    <x:row r="1354" ht="44" customHeight="1">
      <x:c r="A1354" s="1"/>
      <x:c r="B1354" s="1"/>
      <x:c r="C1354" s="8"/>
      <x:c r="D1354" s="8"/>
      <x:c r="E1354" s="8"/>
      <x:c r="F1354" s="8"/>
      <x:c r="G1354" s="8"/>
      <x:c r="H1354" s="8"/>
      <x:c r="I1354" s="8"/>
      <x:c r="J1354" s="8"/>
      <x:c r="K1354" s="8"/>
      <x:c r="L1354" s="8"/>
      <x:c r="M1354" s="10"/>
      <x:c r="N1354" s="10"/>
      <x:c r="O1354" s="8"/>
      <x:c r="P1354" s="9" t="str">
        <x:f>IF(C1354="","",IF(AND(G1354="Applicable",H1354="Fail"),"Fail",IF(R1354&lt;&gt;"Valid","Pending",IF(OR(I1354="",K1354="",L1354="",K1354=L1354,NOT(ISNUMBER(M1354)),NOT(ISNUMBER(N1354)),M1354&gt;Settings!$F$8,N1354&lt;Settings!$F$8,N1354&lt;M1354),"Pending",IF(AND(G1354="Applicable",H1354="Pass"),"Pass",IF(AND(G1354="N/A",H1354="N/A",J1354&lt;&gt;"",OR(E1354="CEM-FUELS",E1354="CEM-CCS",AND(E1354="CEM-PLAN",IFERROR(INDEX('Taxonomy'!$M$9:$M$108,MATCH(D1354,'Taxonomy'!$C$9:$C$108,0)),"")&lt;&gt;"Amber"),E1354="BLD-TIMBER",AND(U1354="Building equipment",OR(E1354="BLD-WATER",E1354="BLD-WASTE",E1354="BLD-LAND")),AND(U1354="Building renovation",E1354="BLD-LAND"))),"N/A","Pending"))))))</x:f>
      </x:c>
      <x:c r="Q1354" s="3" t="str">
        <x:f>IF(C1354="","",IF(AND(R1354="Valid",OR(P1354="Pass",P1354="N/A")),"Complete","Unresolved"))</x:f>
      </x:c>
      <x:c r="R1354" s="9" t="str">
        <x:f>IF(C1354="","",IF(OR(COUNTIF($C$9:$C$2008,C1354)&lt;&gt;1,COUNTIFS($D$9:$D$2008,D1354,$E$9:$E$2008,E1354)&lt;&gt;1),"Duplicate test",IF(COUNTIF('Taxonomy'!$C$9:$C$108,D1354)&lt;&gt;1,"Assessment key",IF(OR(COUNTIF('Taxonomy Rules'!$C$42:$C$68,E1354)&lt;&gt;1,F1354&lt;&gt;IFERROR(INDEX('Taxonomy Rules'!$D$42:$D$68,MATCH(E1354,'Taxonomy Rules'!$C$42:$C$68,0)),""),NOT(OR(IFERROR(INDEX('Taxonomy Rules'!$G$42:$G$68,MATCH(E1354,'Taxonomy Rules'!$C$42:$C$68,0)),"")="All supported routes",IFERROR(INDEX('Taxonomy Rules'!$G$42:$G$68,MATCH(E1354,'Taxonomy Rules'!$C$42:$C$68,0)),"")=U1354,AND(IFERROR(INDEX('Taxonomy Rules'!$G$42:$G$68,MATCH(E1354,'Taxonomy Rules'!$C$42:$C$68,0)),"")="Building routes",OR(U1354="Building renovation",U1354="New building",U1354="Building equipment"))))),"Unexpected test","Valid"))))</x:f>
      </x:c>
      <x:c r="S1354" s="9" t="str">
        <x:f>IF(C1354="","",IFERROR(INDEX('Taxonomy Rules'!$E$42:$E$68,MATCH(E1354,'Taxonomy Rules'!$C$42:$C$68,0)),""))</x:f>
      </x:c>
      <x:c r="T1354" s="9" t="str">
        <x:f>IF(C1354="","",IFERROR(INDEX('Taxonomy Rules'!$F$42:$F$68,MATCH(E1354,'Taxonomy Rules'!$C$42:$C$68,0)),""))</x:f>
      </x:c>
      <x:c r="U1354" s="9" t="str">
        <x:f>IF(C1354="","",IFERROR(INDEX('Taxonomy'!$G$9:$G$108,MATCH(D1354,'Taxonomy'!$C$9:$C$108,0)),""))</x:f>
      </x:c>
    </x:row>
    <x:row r="1355" ht="44" customHeight="1">
      <x:c r="A1355" s="1"/>
      <x:c r="B1355" s="1"/>
      <x:c r="C1355" s="8"/>
      <x:c r="D1355" s="8"/>
      <x:c r="E1355" s="8"/>
      <x:c r="F1355" s="8"/>
      <x:c r="G1355" s="8"/>
      <x:c r="H1355" s="8"/>
      <x:c r="I1355" s="8"/>
      <x:c r="J1355" s="8"/>
      <x:c r="K1355" s="8"/>
      <x:c r="L1355" s="8"/>
      <x:c r="M1355" s="10"/>
      <x:c r="N1355" s="10"/>
      <x:c r="O1355" s="8"/>
      <x:c r="P1355" s="9" t="str">
        <x:f>IF(C1355="","",IF(AND(G1355="Applicable",H1355="Fail"),"Fail",IF(R1355&lt;&gt;"Valid","Pending",IF(OR(I1355="",K1355="",L1355="",K1355=L1355,NOT(ISNUMBER(M1355)),NOT(ISNUMBER(N1355)),M1355&gt;Settings!$F$8,N1355&lt;Settings!$F$8,N1355&lt;M1355),"Pending",IF(AND(G1355="Applicable",H1355="Pass"),"Pass",IF(AND(G1355="N/A",H1355="N/A",J1355&lt;&gt;"",OR(E1355="CEM-FUELS",E1355="CEM-CCS",AND(E1355="CEM-PLAN",IFERROR(INDEX('Taxonomy'!$M$9:$M$108,MATCH(D1355,'Taxonomy'!$C$9:$C$108,0)),"")&lt;&gt;"Amber"),E1355="BLD-TIMBER",AND(U1355="Building equipment",OR(E1355="BLD-WATER",E1355="BLD-WASTE",E1355="BLD-LAND")),AND(U1355="Building renovation",E1355="BLD-LAND"))),"N/A","Pending"))))))</x:f>
      </x:c>
      <x:c r="Q1355" s="3" t="str">
        <x:f>IF(C1355="","",IF(AND(R1355="Valid",OR(P1355="Pass",P1355="N/A")),"Complete","Unresolved"))</x:f>
      </x:c>
      <x:c r="R1355" s="9" t="str">
        <x:f>IF(C1355="","",IF(OR(COUNTIF($C$9:$C$2008,C1355)&lt;&gt;1,COUNTIFS($D$9:$D$2008,D1355,$E$9:$E$2008,E1355)&lt;&gt;1),"Duplicate test",IF(COUNTIF('Taxonomy'!$C$9:$C$108,D1355)&lt;&gt;1,"Assessment key",IF(OR(COUNTIF('Taxonomy Rules'!$C$42:$C$68,E1355)&lt;&gt;1,F1355&lt;&gt;IFERROR(INDEX('Taxonomy Rules'!$D$42:$D$68,MATCH(E1355,'Taxonomy Rules'!$C$42:$C$68,0)),""),NOT(OR(IFERROR(INDEX('Taxonomy Rules'!$G$42:$G$68,MATCH(E1355,'Taxonomy Rules'!$C$42:$C$68,0)),"")="All supported routes",IFERROR(INDEX('Taxonomy Rules'!$G$42:$G$68,MATCH(E1355,'Taxonomy Rules'!$C$42:$C$68,0)),"")=U1355,AND(IFERROR(INDEX('Taxonomy Rules'!$G$42:$G$68,MATCH(E1355,'Taxonomy Rules'!$C$42:$C$68,0)),"")="Building routes",OR(U1355="Building renovation",U1355="New building",U1355="Building equipment"))))),"Unexpected test","Valid"))))</x:f>
      </x:c>
      <x:c r="S1355" s="9" t="str">
        <x:f>IF(C1355="","",IFERROR(INDEX('Taxonomy Rules'!$E$42:$E$68,MATCH(E1355,'Taxonomy Rules'!$C$42:$C$68,0)),""))</x:f>
      </x:c>
      <x:c r="T1355" s="9" t="str">
        <x:f>IF(C1355="","",IFERROR(INDEX('Taxonomy Rules'!$F$42:$F$68,MATCH(E1355,'Taxonomy Rules'!$C$42:$C$68,0)),""))</x:f>
      </x:c>
      <x:c r="U1355" s="9" t="str">
        <x:f>IF(C1355="","",IFERROR(INDEX('Taxonomy'!$G$9:$G$108,MATCH(D1355,'Taxonomy'!$C$9:$C$108,0)),""))</x:f>
      </x:c>
    </x:row>
    <x:row r="1356" ht="44" customHeight="1">
      <x:c r="A1356" s="1"/>
      <x:c r="B1356" s="1"/>
      <x:c r="C1356" s="8"/>
      <x:c r="D1356" s="8"/>
      <x:c r="E1356" s="8"/>
      <x:c r="F1356" s="8"/>
      <x:c r="G1356" s="8"/>
      <x:c r="H1356" s="8"/>
      <x:c r="I1356" s="8"/>
      <x:c r="J1356" s="8"/>
      <x:c r="K1356" s="8"/>
      <x:c r="L1356" s="8"/>
      <x:c r="M1356" s="10"/>
      <x:c r="N1356" s="10"/>
      <x:c r="O1356" s="8"/>
      <x:c r="P1356" s="9" t="str">
        <x:f>IF(C1356="","",IF(AND(G1356="Applicable",H1356="Fail"),"Fail",IF(R1356&lt;&gt;"Valid","Pending",IF(OR(I1356="",K1356="",L1356="",K1356=L1356,NOT(ISNUMBER(M1356)),NOT(ISNUMBER(N1356)),M1356&gt;Settings!$F$8,N1356&lt;Settings!$F$8,N1356&lt;M1356),"Pending",IF(AND(G1356="Applicable",H1356="Pass"),"Pass",IF(AND(G1356="N/A",H1356="N/A",J1356&lt;&gt;"",OR(E1356="CEM-FUELS",E1356="CEM-CCS",AND(E1356="CEM-PLAN",IFERROR(INDEX('Taxonomy'!$M$9:$M$108,MATCH(D1356,'Taxonomy'!$C$9:$C$108,0)),"")&lt;&gt;"Amber"),E1356="BLD-TIMBER",AND(U1356="Building equipment",OR(E1356="BLD-WATER",E1356="BLD-WASTE",E1356="BLD-LAND")),AND(U1356="Building renovation",E1356="BLD-LAND"))),"N/A","Pending"))))))</x:f>
      </x:c>
      <x:c r="Q1356" s="3" t="str">
        <x:f>IF(C1356="","",IF(AND(R1356="Valid",OR(P1356="Pass",P1356="N/A")),"Complete","Unresolved"))</x:f>
      </x:c>
      <x:c r="R1356" s="9" t="str">
        <x:f>IF(C1356="","",IF(OR(COUNTIF($C$9:$C$2008,C1356)&lt;&gt;1,COUNTIFS($D$9:$D$2008,D1356,$E$9:$E$2008,E1356)&lt;&gt;1),"Duplicate test",IF(COUNTIF('Taxonomy'!$C$9:$C$108,D1356)&lt;&gt;1,"Assessment key",IF(OR(COUNTIF('Taxonomy Rules'!$C$42:$C$68,E1356)&lt;&gt;1,F1356&lt;&gt;IFERROR(INDEX('Taxonomy Rules'!$D$42:$D$68,MATCH(E1356,'Taxonomy Rules'!$C$42:$C$68,0)),""),NOT(OR(IFERROR(INDEX('Taxonomy Rules'!$G$42:$G$68,MATCH(E1356,'Taxonomy Rules'!$C$42:$C$68,0)),"")="All supported routes",IFERROR(INDEX('Taxonomy Rules'!$G$42:$G$68,MATCH(E1356,'Taxonomy Rules'!$C$42:$C$68,0)),"")=U1356,AND(IFERROR(INDEX('Taxonomy Rules'!$G$42:$G$68,MATCH(E1356,'Taxonomy Rules'!$C$42:$C$68,0)),"")="Building routes",OR(U1356="Building renovation",U1356="New building",U1356="Building equipment"))))),"Unexpected test","Valid"))))</x:f>
      </x:c>
      <x:c r="S1356" s="9" t="str">
        <x:f>IF(C1356="","",IFERROR(INDEX('Taxonomy Rules'!$E$42:$E$68,MATCH(E1356,'Taxonomy Rules'!$C$42:$C$68,0)),""))</x:f>
      </x:c>
      <x:c r="T1356" s="9" t="str">
        <x:f>IF(C1356="","",IFERROR(INDEX('Taxonomy Rules'!$F$42:$F$68,MATCH(E1356,'Taxonomy Rules'!$C$42:$C$68,0)),""))</x:f>
      </x:c>
      <x:c r="U1356" s="9" t="str">
        <x:f>IF(C1356="","",IFERROR(INDEX('Taxonomy'!$G$9:$G$108,MATCH(D1356,'Taxonomy'!$C$9:$C$108,0)),""))</x:f>
      </x:c>
    </x:row>
    <x:row r="1357" ht="44" customHeight="1">
      <x:c r="A1357" s="1"/>
      <x:c r="B1357" s="1"/>
      <x:c r="C1357" s="8"/>
      <x:c r="D1357" s="8"/>
      <x:c r="E1357" s="8"/>
      <x:c r="F1357" s="8"/>
      <x:c r="G1357" s="8"/>
      <x:c r="H1357" s="8"/>
      <x:c r="I1357" s="8"/>
      <x:c r="J1357" s="8"/>
      <x:c r="K1357" s="8"/>
      <x:c r="L1357" s="8"/>
      <x:c r="M1357" s="10"/>
      <x:c r="N1357" s="10"/>
      <x:c r="O1357" s="8"/>
      <x:c r="P1357" s="9" t="str">
        <x:f>IF(C1357="","",IF(AND(G1357="Applicable",H1357="Fail"),"Fail",IF(R1357&lt;&gt;"Valid","Pending",IF(OR(I1357="",K1357="",L1357="",K1357=L1357,NOT(ISNUMBER(M1357)),NOT(ISNUMBER(N1357)),M1357&gt;Settings!$F$8,N1357&lt;Settings!$F$8,N1357&lt;M1357),"Pending",IF(AND(G1357="Applicable",H1357="Pass"),"Pass",IF(AND(G1357="N/A",H1357="N/A",J1357&lt;&gt;"",OR(E1357="CEM-FUELS",E1357="CEM-CCS",AND(E1357="CEM-PLAN",IFERROR(INDEX('Taxonomy'!$M$9:$M$108,MATCH(D1357,'Taxonomy'!$C$9:$C$108,0)),"")&lt;&gt;"Amber"),E1357="BLD-TIMBER",AND(U1357="Building equipment",OR(E1357="BLD-WATER",E1357="BLD-WASTE",E1357="BLD-LAND")),AND(U1357="Building renovation",E1357="BLD-LAND"))),"N/A","Pending"))))))</x:f>
      </x:c>
      <x:c r="Q1357" s="3" t="str">
        <x:f>IF(C1357="","",IF(AND(R1357="Valid",OR(P1357="Pass",P1357="N/A")),"Complete","Unresolved"))</x:f>
      </x:c>
      <x:c r="R1357" s="9" t="str">
        <x:f>IF(C1357="","",IF(OR(COUNTIF($C$9:$C$2008,C1357)&lt;&gt;1,COUNTIFS($D$9:$D$2008,D1357,$E$9:$E$2008,E1357)&lt;&gt;1),"Duplicate test",IF(COUNTIF('Taxonomy'!$C$9:$C$108,D1357)&lt;&gt;1,"Assessment key",IF(OR(COUNTIF('Taxonomy Rules'!$C$42:$C$68,E1357)&lt;&gt;1,F1357&lt;&gt;IFERROR(INDEX('Taxonomy Rules'!$D$42:$D$68,MATCH(E1357,'Taxonomy Rules'!$C$42:$C$68,0)),""),NOT(OR(IFERROR(INDEX('Taxonomy Rules'!$G$42:$G$68,MATCH(E1357,'Taxonomy Rules'!$C$42:$C$68,0)),"")="All supported routes",IFERROR(INDEX('Taxonomy Rules'!$G$42:$G$68,MATCH(E1357,'Taxonomy Rules'!$C$42:$C$68,0)),"")=U1357,AND(IFERROR(INDEX('Taxonomy Rules'!$G$42:$G$68,MATCH(E1357,'Taxonomy Rules'!$C$42:$C$68,0)),"")="Building routes",OR(U1357="Building renovation",U1357="New building",U1357="Building equipment"))))),"Unexpected test","Valid"))))</x:f>
      </x:c>
      <x:c r="S1357" s="9" t="str">
        <x:f>IF(C1357="","",IFERROR(INDEX('Taxonomy Rules'!$E$42:$E$68,MATCH(E1357,'Taxonomy Rules'!$C$42:$C$68,0)),""))</x:f>
      </x:c>
      <x:c r="T1357" s="9" t="str">
        <x:f>IF(C1357="","",IFERROR(INDEX('Taxonomy Rules'!$F$42:$F$68,MATCH(E1357,'Taxonomy Rules'!$C$42:$C$68,0)),""))</x:f>
      </x:c>
      <x:c r="U1357" s="9" t="str">
        <x:f>IF(C1357="","",IFERROR(INDEX('Taxonomy'!$G$9:$G$108,MATCH(D1357,'Taxonomy'!$C$9:$C$108,0)),""))</x:f>
      </x:c>
    </x:row>
    <x:row r="1358" ht="44" customHeight="1">
      <x:c r="A1358" s="1"/>
      <x:c r="B1358" s="1"/>
      <x:c r="C1358" s="8"/>
      <x:c r="D1358" s="8"/>
      <x:c r="E1358" s="8"/>
      <x:c r="F1358" s="8"/>
      <x:c r="G1358" s="8"/>
      <x:c r="H1358" s="8"/>
      <x:c r="I1358" s="8"/>
      <x:c r="J1358" s="8"/>
      <x:c r="K1358" s="8"/>
      <x:c r="L1358" s="8"/>
      <x:c r="M1358" s="10"/>
      <x:c r="N1358" s="10"/>
      <x:c r="O1358" s="8"/>
      <x:c r="P1358" s="9" t="str">
        <x:f>IF(C1358="","",IF(AND(G1358="Applicable",H1358="Fail"),"Fail",IF(R1358&lt;&gt;"Valid","Pending",IF(OR(I1358="",K1358="",L1358="",K1358=L1358,NOT(ISNUMBER(M1358)),NOT(ISNUMBER(N1358)),M1358&gt;Settings!$F$8,N1358&lt;Settings!$F$8,N1358&lt;M1358),"Pending",IF(AND(G1358="Applicable",H1358="Pass"),"Pass",IF(AND(G1358="N/A",H1358="N/A",J1358&lt;&gt;"",OR(E1358="CEM-FUELS",E1358="CEM-CCS",AND(E1358="CEM-PLAN",IFERROR(INDEX('Taxonomy'!$M$9:$M$108,MATCH(D1358,'Taxonomy'!$C$9:$C$108,0)),"")&lt;&gt;"Amber"),E1358="BLD-TIMBER",AND(U1358="Building equipment",OR(E1358="BLD-WATER",E1358="BLD-WASTE",E1358="BLD-LAND")),AND(U1358="Building renovation",E1358="BLD-LAND"))),"N/A","Pending"))))))</x:f>
      </x:c>
      <x:c r="Q1358" s="3" t="str">
        <x:f>IF(C1358="","",IF(AND(R1358="Valid",OR(P1358="Pass",P1358="N/A")),"Complete","Unresolved"))</x:f>
      </x:c>
      <x:c r="R1358" s="9" t="str">
        <x:f>IF(C1358="","",IF(OR(COUNTIF($C$9:$C$2008,C1358)&lt;&gt;1,COUNTIFS($D$9:$D$2008,D1358,$E$9:$E$2008,E1358)&lt;&gt;1),"Duplicate test",IF(COUNTIF('Taxonomy'!$C$9:$C$108,D1358)&lt;&gt;1,"Assessment key",IF(OR(COUNTIF('Taxonomy Rules'!$C$42:$C$68,E1358)&lt;&gt;1,F1358&lt;&gt;IFERROR(INDEX('Taxonomy Rules'!$D$42:$D$68,MATCH(E1358,'Taxonomy Rules'!$C$42:$C$68,0)),""),NOT(OR(IFERROR(INDEX('Taxonomy Rules'!$G$42:$G$68,MATCH(E1358,'Taxonomy Rules'!$C$42:$C$68,0)),"")="All supported routes",IFERROR(INDEX('Taxonomy Rules'!$G$42:$G$68,MATCH(E1358,'Taxonomy Rules'!$C$42:$C$68,0)),"")=U1358,AND(IFERROR(INDEX('Taxonomy Rules'!$G$42:$G$68,MATCH(E1358,'Taxonomy Rules'!$C$42:$C$68,0)),"")="Building routes",OR(U1358="Building renovation",U1358="New building",U1358="Building equipment"))))),"Unexpected test","Valid"))))</x:f>
      </x:c>
      <x:c r="S1358" s="9" t="str">
        <x:f>IF(C1358="","",IFERROR(INDEX('Taxonomy Rules'!$E$42:$E$68,MATCH(E1358,'Taxonomy Rules'!$C$42:$C$68,0)),""))</x:f>
      </x:c>
      <x:c r="T1358" s="9" t="str">
        <x:f>IF(C1358="","",IFERROR(INDEX('Taxonomy Rules'!$F$42:$F$68,MATCH(E1358,'Taxonomy Rules'!$C$42:$C$68,0)),""))</x:f>
      </x:c>
      <x:c r="U1358" s="9" t="str">
        <x:f>IF(C1358="","",IFERROR(INDEX('Taxonomy'!$G$9:$G$108,MATCH(D1358,'Taxonomy'!$C$9:$C$108,0)),""))</x:f>
      </x:c>
    </x:row>
    <x:row r="1359" ht="44" customHeight="1">
      <x:c r="A1359" s="1"/>
      <x:c r="B1359" s="1"/>
      <x:c r="C1359" s="8"/>
      <x:c r="D1359" s="8"/>
      <x:c r="E1359" s="8"/>
      <x:c r="F1359" s="8"/>
      <x:c r="G1359" s="8"/>
      <x:c r="H1359" s="8"/>
      <x:c r="I1359" s="8"/>
      <x:c r="J1359" s="8"/>
      <x:c r="K1359" s="8"/>
      <x:c r="L1359" s="8"/>
      <x:c r="M1359" s="10"/>
      <x:c r="N1359" s="10"/>
      <x:c r="O1359" s="8"/>
      <x:c r="P1359" s="9" t="str">
        <x:f>IF(C1359="","",IF(AND(G1359="Applicable",H1359="Fail"),"Fail",IF(R1359&lt;&gt;"Valid","Pending",IF(OR(I1359="",K1359="",L1359="",K1359=L1359,NOT(ISNUMBER(M1359)),NOT(ISNUMBER(N1359)),M1359&gt;Settings!$F$8,N1359&lt;Settings!$F$8,N1359&lt;M1359),"Pending",IF(AND(G1359="Applicable",H1359="Pass"),"Pass",IF(AND(G1359="N/A",H1359="N/A",J1359&lt;&gt;"",OR(E1359="CEM-FUELS",E1359="CEM-CCS",AND(E1359="CEM-PLAN",IFERROR(INDEX('Taxonomy'!$M$9:$M$108,MATCH(D1359,'Taxonomy'!$C$9:$C$108,0)),"")&lt;&gt;"Amber"),E1359="BLD-TIMBER",AND(U1359="Building equipment",OR(E1359="BLD-WATER",E1359="BLD-WASTE",E1359="BLD-LAND")),AND(U1359="Building renovation",E1359="BLD-LAND"))),"N/A","Pending"))))))</x:f>
      </x:c>
      <x:c r="Q1359" s="3" t="str">
        <x:f>IF(C1359="","",IF(AND(R1359="Valid",OR(P1359="Pass",P1359="N/A")),"Complete","Unresolved"))</x:f>
      </x:c>
      <x:c r="R1359" s="9" t="str">
        <x:f>IF(C1359="","",IF(OR(COUNTIF($C$9:$C$2008,C1359)&lt;&gt;1,COUNTIFS($D$9:$D$2008,D1359,$E$9:$E$2008,E1359)&lt;&gt;1),"Duplicate test",IF(COUNTIF('Taxonomy'!$C$9:$C$108,D1359)&lt;&gt;1,"Assessment key",IF(OR(COUNTIF('Taxonomy Rules'!$C$42:$C$68,E1359)&lt;&gt;1,F1359&lt;&gt;IFERROR(INDEX('Taxonomy Rules'!$D$42:$D$68,MATCH(E1359,'Taxonomy Rules'!$C$42:$C$68,0)),""),NOT(OR(IFERROR(INDEX('Taxonomy Rules'!$G$42:$G$68,MATCH(E1359,'Taxonomy Rules'!$C$42:$C$68,0)),"")="All supported routes",IFERROR(INDEX('Taxonomy Rules'!$G$42:$G$68,MATCH(E1359,'Taxonomy Rules'!$C$42:$C$68,0)),"")=U1359,AND(IFERROR(INDEX('Taxonomy Rules'!$G$42:$G$68,MATCH(E1359,'Taxonomy Rules'!$C$42:$C$68,0)),"")="Building routes",OR(U1359="Building renovation",U1359="New building",U1359="Building equipment"))))),"Unexpected test","Valid"))))</x:f>
      </x:c>
      <x:c r="S1359" s="9" t="str">
        <x:f>IF(C1359="","",IFERROR(INDEX('Taxonomy Rules'!$E$42:$E$68,MATCH(E1359,'Taxonomy Rules'!$C$42:$C$68,0)),""))</x:f>
      </x:c>
      <x:c r="T1359" s="9" t="str">
        <x:f>IF(C1359="","",IFERROR(INDEX('Taxonomy Rules'!$F$42:$F$68,MATCH(E1359,'Taxonomy Rules'!$C$42:$C$68,0)),""))</x:f>
      </x:c>
      <x:c r="U1359" s="9" t="str">
        <x:f>IF(C1359="","",IFERROR(INDEX('Taxonomy'!$G$9:$G$108,MATCH(D1359,'Taxonomy'!$C$9:$C$108,0)),""))</x:f>
      </x:c>
    </x:row>
    <x:row r="1360" ht="44" customHeight="1">
      <x:c r="A1360" s="1"/>
      <x:c r="B1360" s="1"/>
      <x:c r="C1360" s="8"/>
      <x:c r="D1360" s="8"/>
      <x:c r="E1360" s="8"/>
      <x:c r="F1360" s="8"/>
      <x:c r="G1360" s="8"/>
      <x:c r="H1360" s="8"/>
      <x:c r="I1360" s="8"/>
      <x:c r="J1360" s="8"/>
      <x:c r="K1360" s="8"/>
      <x:c r="L1360" s="8"/>
      <x:c r="M1360" s="10"/>
      <x:c r="N1360" s="10"/>
      <x:c r="O1360" s="8"/>
      <x:c r="P1360" s="9" t="str">
        <x:f>IF(C1360="","",IF(AND(G1360="Applicable",H1360="Fail"),"Fail",IF(R1360&lt;&gt;"Valid","Pending",IF(OR(I1360="",K1360="",L1360="",K1360=L1360,NOT(ISNUMBER(M1360)),NOT(ISNUMBER(N1360)),M1360&gt;Settings!$F$8,N1360&lt;Settings!$F$8,N1360&lt;M1360),"Pending",IF(AND(G1360="Applicable",H1360="Pass"),"Pass",IF(AND(G1360="N/A",H1360="N/A",J1360&lt;&gt;"",OR(E1360="CEM-FUELS",E1360="CEM-CCS",AND(E1360="CEM-PLAN",IFERROR(INDEX('Taxonomy'!$M$9:$M$108,MATCH(D1360,'Taxonomy'!$C$9:$C$108,0)),"")&lt;&gt;"Amber"),E1360="BLD-TIMBER",AND(U1360="Building equipment",OR(E1360="BLD-WATER",E1360="BLD-WASTE",E1360="BLD-LAND")),AND(U1360="Building renovation",E1360="BLD-LAND"))),"N/A","Pending"))))))</x:f>
      </x:c>
      <x:c r="Q1360" s="3" t="str">
        <x:f>IF(C1360="","",IF(AND(R1360="Valid",OR(P1360="Pass",P1360="N/A")),"Complete","Unresolved"))</x:f>
      </x:c>
      <x:c r="R1360" s="9" t="str">
        <x:f>IF(C1360="","",IF(OR(COUNTIF($C$9:$C$2008,C1360)&lt;&gt;1,COUNTIFS($D$9:$D$2008,D1360,$E$9:$E$2008,E1360)&lt;&gt;1),"Duplicate test",IF(COUNTIF('Taxonomy'!$C$9:$C$108,D1360)&lt;&gt;1,"Assessment key",IF(OR(COUNTIF('Taxonomy Rules'!$C$42:$C$68,E1360)&lt;&gt;1,F1360&lt;&gt;IFERROR(INDEX('Taxonomy Rules'!$D$42:$D$68,MATCH(E1360,'Taxonomy Rules'!$C$42:$C$68,0)),""),NOT(OR(IFERROR(INDEX('Taxonomy Rules'!$G$42:$G$68,MATCH(E1360,'Taxonomy Rules'!$C$42:$C$68,0)),"")="All supported routes",IFERROR(INDEX('Taxonomy Rules'!$G$42:$G$68,MATCH(E1360,'Taxonomy Rules'!$C$42:$C$68,0)),"")=U1360,AND(IFERROR(INDEX('Taxonomy Rules'!$G$42:$G$68,MATCH(E1360,'Taxonomy Rules'!$C$42:$C$68,0)),"")="Building routes",OR(U1360="Building renovation",U1360="New building",U1360="Building equipment"))))),"Unexpected test","Valid"))))</x:f>
      </x:c>
      <x:c r="S1360" s="9" t="str">
        <x:f>IF(C1360="","",IFERROR(INDEX('Taxonomy Rules'!$E$42:$E$68,MATCH(E1360,'Taxonomy Rules'!$C$42:$C$68,0)),""))</x:f>
      </x:c>
      <x:c r="T1360" s="9" t="str">
        <x:f>IF(C1360="","",IFERROR(INDEX('Taxonomy Rules'!$F$42:$F$68,MATCH(E1360,'Taxonomy Rules'!$C$42:$C$68,0)),""))</x:f>
      </x:c>
      <x:c r="U1360" s="9" t="str">
        <x:f>IF(C1360="","",IFERROR(INDEX('Taxonomy'!$G$9:$G$108,MATCH(D1360,'Taxonomy'!$C$9:$C$108,0)),""))</x:f>
      </x:c>
    </x:row>
    <x:row r="1361" ht="44" customHeight="1">
      <x:c r="A1361" s="1"/>
      <x:c r="B1361" s="1"/>
      <x:c r="C1361" s="8"/>
      <x:c r="D1361" s="8"/>
      <x:c r="E1361" s="8"/>
      <x:c r="F1361" s="8"/>
      <x:c r="G1361" s="8"/>
      <x:c r="H1361" s="8"/>
      <x:c r="I1361" s="8"/>
      <x:c r="J1361" s="8"/>
      <x:c r="K1361" s="8"/>
      <x:c r="L1361" s="8"/>
      <x:c r="M1361" s="10"/>
      <x:c r="N1361" s="10"/>
      <x:c r="O1361" s="8"/>
      <x:c r="P1361" s="9" t="str">
        <x:f>IF(C1361="","",IF(AND(G1361="Applicable",H1361="Fail"),"Fail",IF(R1361&lt;&gt;"Valid","Pending",IF(OR(I1361="",K1361="",L1361="",K1361=L1361,NOT(ISNUMBER(M1361)),NOT(ISNUMBER(N1361)),M1361&gt;Settings!$F$8,N1361&lt;Settings!$F$8,N1361&lt;M1361),"Pending",IF(AND(G1361="Applicable",H1361="Pass"),"Pass",IF(AND(G1361="N/A",H1361="N/A",J1361&lt;&gt;"",OR(E1361="CEM-FUELS",E1361="CEM-CCS",AND(E1361="CEM-PLAN",IFERROR(INDEX('Taxonomy'!$M$9:$M$108,MATCH(D1361,'Taxonomy'!$C$9:$C$108,0)),"")&lt;&gt;"Amber"),E1361="BLD-TIMBER",AND(U1361="Building equipment",OR(E1361="BLD-WATER",E1361="BLD-WASTE",E1361="BLD-LAND")),AND(U1361="Building renovation",E1361="BLD-LAND"))),"N/A","Pending"))))))</x:f>
      </x:c>
      <x:c r="Q1361" s="3" t="str">
        <x:f>IF(C1361="","",IF(AND(R1361="Valid",OR(P1361="Pass",P1361="N/A")),"Complete","Unresolved"))</x:f>
      </x:c>
      <x:c r="R1361" s="9" t="str">
        <x:f>IF(C1361="","",IF(OR(COUNTIF($C$9:$C$2008,C1361)&lt;&gt;1,COUNTIFS($D$9:$D$2008,D1361,$E$9:$E$2008,E1361)&lt;&gt;1),"Duplicate test",IF(COUNTIF('Taxonomy'!$C$9:$C$108,D1361)&lt;&gt;1,"Assessment key",IF(OR(COUNTIF('Taxonomy Rules'!$C$42:$C$68,E1361)&lt;&gt;1,F1361&lt;&gt;IFERROR(INDEX('Taxonomy Rules'!$D$42:$D$68,MATCH(E1361,'Taxonomy Rules'!$C$42:$C$68,0)),""),NOT(OR(IFERROR(INDEX('Taxonomy Rules'!$G$42:$G$68,MATCH(E1361,'Taxonomy Rules'!$C$42:$C$68,0)),"")="All supported routes",IFERROR(INDEX('Taxonomy Rules'!$G$42:$G$68,MATCH(E1361,'Taxonomy Rules'!$C$42:$C$68,0)),"")=U1361,AND(IFERROR(INDEX('Taxonomy Rules'!$G$42:$G$68,MATCH(E1361,'Taxonomy Rules'!$C$42:$C$68,0)),"")="Building routes",OR(U1361="Building renovation",U1361="New building",U1361="Building equipment"))))),"Unexpected test","Valid"))))</x:f>
      </x:c>
      <x:c r="S1361" s="9" t="str">
        <x:f>IF(C1361="","",IFERROR(INDEX('Taxonomy Rules'!$E$42:$E$68,MATCH(E1361,'Taxonomy Rules'!$C$42:$C$68,0)),""))</x:f>
      </x:c>
      <x:c r="T1361" s="9" t="str">
        <x:f>IF(C1361="","",IFERROR(INDEX('Taxonomy Rules'!$F$42:$F$68,MATCH(E1361,'Taxonomy Rules'!$C$42:$C$68,0)),""))</x:f>
      </x:c>
      <x:c r="U1361" s="9" t="str">
        <x:f>IF(C1361="","",IFERROR(INDEX('Taxonomy'!$G$9:$G$108,MATCH(D1361,'Taxonomy'!$C$9:$C$108,0)),""))</x:f>
      </x:c>
    </x:row>
    <x:row r="1362" ht="44" customHeight="1">
      <x:c r="A1362" s="1"/>
      <x:c r="B1362" s="1"/>
      <x:c r="C1362" s="8"/>
      <x:c r="D1362" s="8"/>
      <x:c r="E1362" s="8"/>
      <x:c r="F1362" s="8"/>
      <x:c r="G1362" s="8"/>
      <x:c r="H1362" s="8"/>
      <x:c r="I1362" s="8"/>
      <x:c r="J1362" s="8"/>
      <x:c r="K1362" s="8"/>
      <x:c r="L1362" s="8"/>
      <x:c r="M1362" s="10"/>
      <x:c r="N1362" s="10"/>
      <x:c r="O1362" s="8"/>
      <x:c r="P1362" s="9" t="str">
        <x:f>IF(C1362="","",IF(AND(G1362="Applicable",H1362="Fail"),"Fail",IF(R1362&lt;&gt;"Valid","Pending",IF(OR(I1362="",K1362="",L1362="",K1362=L1362,NOT(ISNUMBER(M1362)),NOT(ISNUMBER(N1362)),M1362&gt;Settings!$F$8,N1362&lt;Settings!$F$8,N1362&lt;M1362),"Pending",IF(AND(G1362="Applicable",H1362="Pass"),"Pass",IF(AND(G1362="N/A",H1362="N/A",J1362&lt;&gt;"",OR(E1362="CEM-FUELS",E1362="CEM-CCS",AND(E1362="CEM-PLAN",IFERROR(INDEX('Taxonomy'!$M$9:$M$108,MATCH(D1362,'Taxonomy'!$C$9:$C$108,0)),"")&lt;&gt;"Amber"),E1362="BLD-TIMBER",AND(U1362="Building equipment",OR(E1362="BLD-WATER",E1362="BLD-WASTE",E1362="BLD-LAND")),AND(U1362="Building renovation",E1362="BLD-LAND"))),"N/A","Pending"))))))</x:f>
      </x:c>
      <x:c r="Q1362" s="3" t="str">
        <x:f>IF(C1362="","",IF(AND(R1362="Valid",OR(P1362="Pass",P1362="N/A")),"Complete","Unresolved"))</x:f>
      </x:c>
      <x:c r="R1362" s="9" t="str">
        <x:f>IF(C1362="","",IF(OR(COUNTIF($C$9:$C$2008,C1362)&lt;&gt;1,COUNTIFS($D$9:$D$2008,D1362,$E$9:$E$2008,E1362)&lt;&gt;1),"Duplicate test",IF(COUNTIF('Taxonomy'!$C$9:$C$108,D1362)&lt;&gt;1,"Assessment key",IF(OR(COUNTIF('Taxonomy Rules'!$C$42:$C$68,E1362)&lt;&gt;1,F1362&lt;&gt;IFERROR(INDEX('Taxonomy Rules'!$D$42:$D$68,MATCH(E1362,'Taxonomy Rules'!$C$42:$C$68,0)),""),NOT(OR(IFERROR(INDEX('Taxonomy Rules'!$G$42:$G$68,MATCH(E1362,'Taxonomy Rules'!$C$42:$C$68,0)),"")="All supported routes",IFERROR(INDEX('Taxonomy Rules'!$G$42:$G$68,MATCH(E1362,'Taxonomy Rules'!$C$42:$C$68,0)),"")=U1362,AND(IFERROR(INDEX('Taxonomy Rules'!$G$42:$G$68,MATCH(E1362,'Taxonomy Rules'!$C$42:$C$68,0)),"")="Building routes",OR(U1362="Building renovation",U1362="New building",U1362="Building equipment"))))),"Unexpected test","Valid"))))</x:f>
      </x:c>
      <x:c r="S1362" s="9" t="str">
        <x:f>IF(C1362="","",IFERROR(INDEX('Taxonomy Rules'!$E$42:$E$68,MATCH(E1362,'Taxonomy Rules'!$C$42:$C$68,0)),""))</x:f>
      </x:c>
      <x:c r="T1362" s="9" t="str">
        <x:f>IF(C1362="","",IFERROR(INDEX('Taxonomy Rules'!$F$42:$F$68,MATCH(E1362,'Taxonomy Rules'!$C$42:$C$68,0)),""))</x:f>
      </x:c>
      <x:c r="U1362" s="9" t="str">
        <x:f>IF(C1362="","",IFERROR(INDEX('Taxonomy'!$G$9:$G$108,MATCH(D1362,'Taxonomy'!$C$9:$C$108,0)),""))</x:f>
      </x:c>
    </x:row>
    <x:row r="1363" ht="44" customHeight="1">
      <x:c r="A1363" s="1"/>
      <x:c r="B1363" s="1"/>
      <x:c r="C1363" s="8"/>
      <x:c r="D1363" s="8"/>
      <x:c r="E1363" s="8"/>
      <x:c r="F1363" s="8"/>
      <x:c r="G1363" s="8"/>
      <x:c r="H1363" s="8"/>
      <x:c r="I1363" s="8"/>
      <x:c r="J1363" s="8"/>
      <x:c r="K1363" s="8"/>
      <x:c r="L1363" s="8"/>
      <x:c r="M1363" s="10"/>
      <x:c r="N1363" s="10"/>
      <x:c r="O1363" s="8"/>
      <x:c r="P1363" s="9" t="str">
        <x:f>IF(C1363="","",IF(AND(G1363="Applicable",H1363="Fail"),"Fail",IF(R1363&lt;&gt;"Valid","Pending",IF(OR(I1363="",K1363="",L1363="",K1363=L1363,NOT(ISNUMBER(M1363)),NOT(ISNUMBER(N1363)),M1363&gt;Settings!$F$8,N1363&lt;Settings!$F$8,N1363&lt;M1363),"Pending",IF(AND(G1363="Applicable",H1363="Pass"),"Pass",IF(AND(G1363="N/A",H1363="N/A",J1363&lt;&gt;"",OR(E1363="CEM-FUELS",E1363="CEM-CCS",AND(E1363="CEM-PLAN",IFERROR(INDEX('Taxonomy'!$M$9:$M$108,MATCH(D1363,'Taxonomy'!$C$9:$C$108,0)),"")&lt;&gt;"Amber"),E1363="BLD-TIMBER",AND(U1363="Building equipment",OR(E1363="BLD-WATER",E1363="BLD-WASTE",E1363="BLD-LAND")),AND(U1363="Building renovation",E1363="BLD-LAND"))),"N/A","Pending"))))))</x:f>
      </x:c>
      <x:c r="Q1363" s="3" t="str">
        <x:f>IF(C1363="","",IF(AND(R1363="Valid",OR(P1363="Pass",P1363="N/A")),"Complete","Unresolved"))</x:f>
      </x:c>
      <x:c r="R1363" s="9" t="str">
        <x:f>IF(C1363="","",IF(OR(COUNTIF($C$9:$C$2008,C1363)&lt;&gt;1,COUNTIFS($D$9:$D$2008,D1363,$E$9:$E$2008,E1363)&lt;&gt;1),"Duplicate test",IF(COUNTIF('Taxonomy'!$C$9:$C$108,D1363)&lt;&gt;1,"Assessment key",IF(OR(COUNTIF('Taxonomy Rules'!$C$42:$C$68,E1363)&lt;&gt;1,F1363&lt;&gt;IFERROR(INDEX('Taxonomy Rules'!$D$42:$D$68,MATCH(E1363,'Taxonomy Rules'!$C$42:$C$68,0)),""),NOT(OR(IFERROR(INDEX('Taxonomy Rules'!$G$42:$G$68,MATCH(E1363,'Taxonomy Rules'!$C$42:$C$68,0)),"")="All supported routes",IFERROR(INDEX('Taxonomy Rules'!$G$42:$G$68,MATCH(E1363,'Taxonomy Rules'!$C$42:$C$68,0)),"")=U1363,AND(IFERROR(INDEX('Taxonomy Rules'!$G$42:$G$68,MATCH(E1363,'Taxonomy Rules'!$C$42:$C$68,0)),"")="Building routes",OR(U1363="Building renovation",U1363="New building",U1363="Building equipment"))))),"Unexpected test","Valid"))))</x:f>
      </x:c>
      <x:c r="S1363" s="9" t="str">
        <x:f>IF(C1363="","",IFERROR(INDEX('Taxonomy Rules'!$E$42:$E$68,MATCH(E1363,'Taxonomy Rules'!$C$42:$C$68,0)),""))</x:f>
      </x:c>
      <x:c r="T1363" s="9" t="str">
        <x:f>IF(C1363="","",IFERROR(INDEX('Taxonomy Rules'!$F$42:$F$68,MATCH(E1363,'Taxonomy Rules'!$C$42:$C$68,0)),""))</x:f>
      </x:c>
      <x:c r="U1363" s="9" t="str">
        <x:f>IF(C1363="","",IFERROR(INDEX('Taxonomy'!$G$9:$G$108,MATCH(D1363,'Taxonomy'!$C$9:$C$108,0)),""))</x:f>
      </x:c>
    </x:row>
    <x:row r="1364" ht="44" customHeight="1">
      <x:c r="A1364" s="1"/>
      <x:c r="B1364" s="1"/>
      <x:c r="C1364" s="8"/>
      <x:c r="D1364" s="8"/>
      <x:c r="E1364" s="8"/>
      <x:c r="F1364" s="8"/>
      <x:c r="G1364" s="8"/>
      <x:c r="H1364" s="8"/>
      <x:c r="I1364" s="8"/>
      <x:c r="J1364" s="8"/>
      <x:c r="K1364" s="8"/>
      <x:c r="L1364" s="8"/>
      <x:c r="M1364" s="10"/>
      <x:c r="N1364" s="10"/>
      <x:c r="O1364" s="8"/>
      <x:c r="P1364" s="9" t="str">
        <x:f>IF(C1364="","",IF(AND(G1364="Applicable",H1364="Fail"),"Fail",IF(R1364&lt;&gt;"Valid","Pending",IF(OR(I1364="",K1364="",L1364="",K1364=L1364,NOT(ISNUMBER(M1364)),NOT(ISNUMBER(N1364)),M1364&gt;Settings!$F$8,N1364&lt;Settings!$F$8,N1364&lt;M1364),"Pending",IF(AND(G1364="Applicable",H1364="Pass"),"Pass",IF(AND(G1364="N/A",H1364="N/A",J1364&lt;&gt;"",OR(E1364="CEM-FUELS",E1364="CEM-CCS",AND(E1364="CEM-PLAN",IFERROR(INDEX('Taxonomy'!$M$9:$M$108,MATCH(D1364,'Taxonomy'!$C$9:$C$108,0)),"")&lt;&gt;"Amber"),E1364="BLD-TIMBER",AND(U1364="Building equipment",OR(E1364="BLD-WATER",E1364="BLD-WASTE",E1364="BLD-LAND")),AND(U1364="Building renovation",E1364="BLD-LAND"))),"N/A","Pending"))))))</x:f>
      </x:c>
      <x:c r="Q1364" s="3" t="str">
        <x:f>IF(C1364="","",IF(AND(R1364="Valid",OR(P1364="Pass",P1364="N/A")),"Complete","Unresolved"))</x:f>
      </x:c>
      <x:c r="R1364" s="9" t="str">
        <x:f>IF(C1364="","",IF(OR(COUNTIF($C$9:$C$2008,C1364)&lt;&gt;1,COUNTIFS($D$9:$D$2008,D1364,$E$9:$E$2008,E1364)&lt;&gt;1),"Duplicate test",IF(COUNTIF('Taxonomy'!$C$9:$C$108,D1364)&lt;&gt;1,"Assessment key",IF(OR(COUNTIF('Taxonomy Rules'!$C$42:$C$68,E1364)&lt;&gt;1,F1364&lt;&gt;IFERROR(INDEX('Taxonomy Rules'!$D$42:$D$68,MATCH(E1364,'Taxonomy Rules'!$C$42:$C$68,0)),""),NOT(OR(IFERROR(INDEX('Taxonomy Rules'!$G$42:$G$68,MATCH(E1364,'Taxonomy Rules'!$C$42:$C$68,0)),"")="All supported routes",IFERROR(INDEX('Taxonomy Rules'!$G$42:$G$68,MATCH(E1364,'Taxonomy Rules'!$C$42:$C$68,0)),"")=U1364,AND(IFERROR(INDEX('Taxonomy Rules'!$G$42:$G$68,MATCH(E1364,'Taxonomy Rules'!$C$42:$C$68,0)),"")="Building routes",OR(U1364="Building renovation",U1364="New building",U1364="Building equipment"))))),"Unexpected test","Valid"))))</x:f>
      </x:c>
      <x:c r="S1364" s="9" t="str">
        <x:f>IF(C1364="","",IFERROR(INDEX('Taxonomy Rules'!$E$42:$E$68,MATCH(E1364,'Taxonomy Rules'!$C$42:$C$68,0)),""))</x:f>
      </x:c>
      <x:c r="T1364" s="9" t="str">
        <x:f>IF(C1364="","",IFERROR(INDEX('Taxonomy Rules'!$F$42:$F$68,MATCH(E1364,'Taxonomy Rules'!$C$42:$C$68,0)),""))</x:f>
      </x:c>
      <x:c r="U1364" s="9" t="str">
        <x:f>IF(C1364="","",IFERROR(INDEX('Taxonomy'!$G$9:$G$108,MATCH(D1364,'Taxonomy'!$C$9:$C$108,0)),""))</x:f>
      </x:c>
    </x:row>
    <x:row r="1365" ht="44" customHeight="1">
      <x:c r="A1365" s="1"/>
      <x:c r="B1365" s="1"/>
      <x:c r="C1365" s="8"/>
      <x:c r="D1365" s="8"/>
      <x:c r="E1365" s="8"/>
      <x:c r="F1365" s="8"/>
      <x:c r="G1365" s="8"/>
      <x:c r="H1365" s="8"/>
      <x:c r="I1365" s="8"/>
      <x:c r="J1365" s="8"/>
      <x:c r="K1365" s="8"/>
      <x:c r="L1365" s="8"/>
      <x:c r="M1365" s="10"/>
      <x:c r="N1365" s="10"/>
      <x:c r="O1365" s="8"/>
      <x:c r="P1365" s="9" t="str">
        <x:f>IF(C1365="","",IF(AND(G1365="Applicable",H1365="Fail"),"Fail",IF(R1365&lt;&gt;"Valid","Pending",IF(OR(I1365="",K1365="",L1365="",K1365=L1365,NOT(ISNUMBER(M1365)),NOT(ISNUMBER(N1365)),M1365&gt;Settings!$F$8,N1365&lt;Settings!$F$8,N1365&lt;M1365),"Pending",IF(AND(G1365="Applicable",H1365="Pass"),"Pass",IF(AND(G1365="N/A",H1365="N/A",J1365&lt;&gt;"",OR(E1365="CEM-FUELS",E1365="CEM-CCS",AND(E1365="CEM-PLAN",IFERROR(INDEX('Taxonomy'!$M$9:$M$108,MATCH(D1365,'Taxonomy'!$C$9:$C$108,0)),"")&lt;&gt;"Amber"),E1365="BLD-TIMBER",AND(U1365="Building equipment",OR(E1365="BLD-WATER",E1365="BLD-WASTE",E1365="BLD-LAND")),AND(U1365="Building renovation",E1365="BLD-LAND"))),"N/A","Pending"))))))</x:f>
      </x:c>
      <x:c r="Q1365" s="3" t="str">
        <x:f>IF(C1365="","",IF(AND(R1365="Valid",OR(P1365="Pass",P1365="N/A")),"Complete","Unresolved"))</x:f>
      </x:c>
      <x:c r="R1365" s="9" t="str">
        <x:f>IF(C1365="","",IF(OR(COUNTIF($C$9:$C$2008,C1365)&lt;&gt;1,COUNTIFS($D$9:$D$2008,D1365,$E$9:$E$2008,E1365)&lt;&gt;1),"Duplicate test",IF(COUNTIF('Taxonomy'!$C$9:$C$108,D1365)&lt;&gt;1,"Assessment key",IF(OR(COUNTIF('Taxonomy Rules'!$C$42:$C$68,E1365)&lt;&gt;1,F1365&lt;&gt;IFERROR(INDEX('Taxonomy Rules'!$D$42:$D$68,MATCH(E1365,'Taxonomy Rules'!$C$42:$C$68,0)),""),NOT(OR(IFERROR(INDEX('Taxonomy Rules'!$G$42:$G$68,MATCH(E1365,'Taxonomy Rules'!$C$42:$C$68,0)),"")="All supported routes",IFERROR(INDEX('Taxonomy Rules'!$G$42:$G$68,MATCH(E1365,'Taxonomy Rules'!$C$42:$C$68,0)),"")=U1365,AND(IFERROR(INDEX('Taxonomy Rules'!$G$42:$G$68,MATCH(E1365,'Taxonomy Rules'!$C$42:$C$68,0)),"")="Building routes",OR(U1365="Building renovation",U1365="New building",U1365="Building equipment"))))),"Unexpected test","Valid"))))</x:f>
      </x:c>
      <x:c r="S1365" s="9" t="str">
        <x:f>IF(C1365="","",IFERROR(INDEX('Taxonomy Rules'!$E$42:$E$68,MATCH(E1365,'Taxonomy Rules'!$C$42:$C$68,0)),""))</x:f>
      </x:c>
      <x:c r="T1365" s="9" t="str">
        <x:f>IF(C1365="","",IFERROR(INDEX('Taxonomy Rules'!$F$42:$F$68,MATCH(E1365,'Taxonomy Rules'!$C$42:$C$68,0)),""))</x:f>
      </x:c>
      <x:c r="U1365" s="9" t="str">
        <x:f>IF(C1365="","",IFERROR(INDEX('Taxonomy'!$G$9:$G$108,MATCH(D1365,'Taxonomy'!$C$9:$C$108,0)),""))</x:f>
      </x:c>
    </x:row>
    <x:row r="1366" ht="44" customHeight="1">
      <x:c r="A1366" s="1"/>
      <x:c r="B1366" s="1"/>
      <x:c r="C1366" s="8"/>
      <x:c r="D1366" s="8"/>
      <x:c r="E1366" s="8"/>
      <x:c r="F1366" s="8"/>
      <x:c r="G1366" s="8"/>
      <x:c r="H1366" s="8"/>
      <x:c r="I1366" s="8"/>
      <x:c r="J1366" s="8"/>
      <x:c r="K1366" s="8"/>
      <x:c r="L1366" s="8"/>
      <x:c r="M1366" s="10"/>
      <x:c r="N1366" s="10"/>
      <x:c r="O1366" s="8"/>
      <x:c r="P1366" s="9" t="str">
        <x:f>IF(C1366="","",IF(AND(G1366="Applicable",H1366="Fail"),"Fail",IF(R1366&lt;&gt;"Valid","Pending",IF(OR(I1366="",K1366="",L1366="",K1366=L1366,NOT(ISNUMBER(M1366)),NOT(ISNUMBER(N1366)),M1366&gt;Settings!$F$8,N1366&lt;Settings!$F$8,N1366&lt;M1366),"Pending",IF(AND(G1366="Applicable",H1366="Pass"),"Pass",IF(AND(G1366="N/A",H1366="N/A",J1366&lt;&gt;"",OR(E1366="CEM-FUELS",E1366="CEM-CCS",AND(E1366="CEM-PLAN",IFERROR(INDEX('Taxonomy'!$M$9:$M$108,MATCH(D1366,'Taxonomy'!$C$9:$C$108,0)),"")&lt;&gt;"Amber"),E1366="BLD-TIMBER",AND(U1366="Building equipment",OR(E1366="BLD-WATER",E1366="BLD-WASTE",E1366="BLD-LAND")),AND(U1366="Building renovation",E1366="BLD-LAND"))),"N/A","Pending"))))))</x:f>
      </x:c>
      <x:c r="Q1366" s="3" t="str">
        <x:f>IF(C1366="","",IF(AND(R1366="Valid",OR(P1366="Pass",P1366="N/A")),"Complete","Unresolved"))</x:f>
      </x:c>
      <x:c r="R1366" s="9" t="str">
        <x:f>IF(C1366="","",IF(OR(COUNTIF($C$9:$C$2008,C1366)&lt;&gt;1,COUNTIFS($D$9:$D$2008,D1366,$E$9:$E$2008,E1366)&lt;&gt;1),"Duplicate test",IF(COUNTIF('Taxonomy'!$C$9:$C$108,D1366)&lt;&gt;1,"Assessment key",IF(OR(COUNTIF('Taxonomy Rules'!$C$42:$C$68,E1366)&lt;&gt;1,F1366&lt;&gt;IFERROR(INDEX('Taxonomy Rules'!$D$42:$D$68,MATCH(E1366,'Taxonomy Rules'!$C$42:$C$68,0)),""),NOT(OR(IFERROR(INDEX('Taxonomy Rules'!$G$42:$G$68,MATCH(E1366,'Taxonomy Rules'!$C$42:$C$68,0)),"")="All supported routes",IFERROR(INDEX('Taxonomy Rules'!$G$42:$G$68,MATCH(E1366,'Taxonomy Rules'!$C$42:$C$68,0)),"")=U1366,AND(IFERROR(INDEX('Taxonomy Rules'!$G$42:$G$68,MATCH(E1366,'Taxonomy Rules'!$C$42:$C$68,0)),"")="Building routes",OR(U1366="Building renovation",U1366="New building",U1366="Building equipment"))))),"Unexpected test","Valid"))))</x:f>
      </x:c>
      <x:c r="S1366" s="9" t="str">
        <x:f>IF(C1366="","",IFERROR(INDEX('Taxonomy Rules'!$E$42:$E$68,MATCH(E1366,'Taxonomy Rules'!$C$42:$C$68,0)),""))</x:f>
      </x:c>
      <x:c r="T1366" s="9" t="str">
        <x:f>IF(C1366="","",IFERROR(INDEX('Taxonomy Rules'!$F$42:$F$68,MATCH(E1366,'Taxonomy Rules'!$C$42:$C$68,0)),""))</x:f>
      </x:c>
      <x:c r="U1366" s="9" t="str">
        <x:f>IF(C1366="","",IFERROR(INDEX('Taxonomy'!$G$9:$G$108,MATCH(D1366,'Taxonomy'!$C$9:$C$108,0)),""))</x:f>
      </x:c>
    </x:row>
    <x:row r="1367" ht="44" customHeight="1">
      <x:c r="A1367" s="1"/>
      <x:c r="B1367" s="1"/>
      <x:c r="C1367" s="8"/>
      <x:c r="D1367" s="8"/>
      <x:c r="E1367" s="8"/>
      <x:c r="F1367" s="8"/>
      <x:c r="G1367" s="8"/>
      <x:c r="H1367" s="8"/>
      <x:c r="I1367" s="8"/>
      <x:c r="J1367" s="8"/>
      <x:c r="K1367" s="8"/>
      <x:c r="L1367" s="8"/>
      <x:c r="M1367" s="10"/>
      <x:c r="N1367" s="10"/>
      <x:c r="O1367" s="8"/>
      <x:c r="P1367" s="9" t="str">
        <x:f>IF(C1367="","",IF(AND(G1367="Applicable",H1367="Fail"),"Fail",IF(R1367&lt;&gt;"Valid","Pending",IF(OR(I1367="",K1367="",L1367="",K1367=L1367,NOT(ISNUMBER(M1367)),NOT(ISNUMBER(N1367)),M1367&gt;Settings!$F$8,N1367&lt;Settings!$F$8,N1367&lt;M1367),"Pending",IF(AND(G1367="Applicable",H1367="Pass"),"Pass",IF(AND(G1367="N/A",H1367="N/A",J1367&lt;&gt;"",OR(E1367="CEM-FUELS",E1367="CEM-CCS",AND(E1367="CEM-PLAN",IFERROR(INDEX('Taxonomy'!$M$9:$M$108,MATCH(D1367,'Taxonomy'!$C$9:$C$108,0)),"")&lt;&gt;"Amber"),E1367="BLD-TIMBER",AND(U1367="Building equipment",OR(E1367="BLD-WATER",E1367="BLD-WASTE",E1367="BLD-LAND")),AND(U1367="Building renovation",E1367="BLD-LAND"))),"N/A","Pending"))))))</x:f>
      </x:c>
      <x:c r="Q1367" s="3" t="str">
        <x:f>IF(C1367="","",IF(AND(R1367="Valid",OR(P1367="Pass",P1367="N/A")),"Complete","Unresolved"))</x:f>
      </x:c>
      <x:c r="R1367" s="9" t="str">
        <x:f>IF(C1367="","",IF(OR(COUNTIF($C$9:$C$2008,C1367)&lt;&gt;1,COUNTIFS($D$9:$D$2008,D1367,$E$9:$E$2008,E1367)&lt;&gt;1),"Duplicate test",IF(COUNTIF('Taxonomy'!$C$9:$C$108,D1367)&lt;&gt;1,"Assessment key",IF(OR(COUNTIF('Taxonomy Rules'!$C$42:$C$68,E1367)&lt;&gt;1,F1367&lt;&gt;IFERROR(INDEX('Taxonomy Rules'!$D$42:$D$68,MATCH(E1367,'Taxonomy Rules'!$C$42:$C$68,0)),""),NOT(OR(IFERROR(INDEX('Taxonomy Rules'!$G$42:$G$68,MATCH(E1367,'Taxonomy Rules'!$C$42:$C$68,0)),"")="All supported routes",IFERROR(INDEX('Taxonomy Rules'!$G$42:$G$68,MATCH(E1367,'Taxonomy Rules'!$C$42:$C$68,0)),"")=U1367,AND(IFERROR(INDEX('Taxonomy Rules'!$G$42:$G$68,MATCH(E1367,'Taxonomy Rules'!$C$42:$C$68,0)),"")="Building routes",OR(U1367="Building renovation",U1367="New building",U1367="Building equipment"))))),"Unexpected test","Valid"))))</x:f>
      </x:c>
      <x:c r="S1367" s="9" t="str">
        <x:f>IF(C1367="","",IFERROR(INDEX('Taxonomy Rules'!$E$42:$E$68,MATCH(E1367,'Taxonomy Rules'!$C$42:$C$68,0)),""))</x:f>
      </x:c>
      <x:c r="T1367" s="9" t="str">
        <x:f>IF(C1367="","",IFERROR(INDEX('Taxonomy Rules'!$F$42:$F$68,MATCH(E1367,'Taxonomy Rules'!$C$42:$C$68,0)),""))</x:f>
      </x:c>
      <x:c r="U1367" s="9" t="str">
        <x:f>IF(C1367="","",IFERROR(INDEX('Taxonomy'!$G$9:$G$108,MATCH(D1367,'Taxonomy'!$C$9:$C$108,0)),""))</x:f>
      </x:c>
    </x:row>
    <x:row r="1368" ht="44" customHeight="1">
      <x:c r="A1368" s="1"/>
      <x:c r="B1368" s="1"/>
      <x:c r="C1368" s="8"/>
      <x:c r="D1368" s="8"/>
      <x:c r="E1368" s="8"/>
      <x:c r="F1368" s="8"/>
      <x:c r="G1368" s="8"/>
      <x:c r="H1368" s="8"/>
      <x:c r="I1368" s="8"/>
      <x:c r="J1368" s="8"/>
      <x:c r="K1368" s="8"/>
      <x:c r="L1368" s="8"/>
      <x:c r="M1368" s="10"/>
      <x:c r="N1368" s="10"/>
      <x:c r="O1368" s="8"/>
      <x:c r="P1368" s="9" t="str">
        <x:f>IF(C1368="","",IF(AND(G1368="Applicable",H1368="Fail"),"Fail",IF(R1368&lt;&gt;"Valid","Pending",IF(OR(I1368="",K1368="",L1368="",K1368=L1368,NOT(ISNUMBER(M1368)),NOT(ISNUMBER(N1368)),M1368&gt;Settings!$F$8,N1368&lt;Settings!$F$8,N1368&lt;M1368),"Pending",IF(AND(G1368="Applicable",H1368="Pass"),"Pass",IF(AND(G1368="N/A",H1368="N/A",J1368&lt;&gt;"",OR(E1368="CEM-FUELS",E1368="CEM-CCS",AND(E1368="CEM-PLAN",IFERROR(INDEX('Taxonomy'!$M$9:$M$108,MATCH(D1368,'Taxonomy'!$C$9:$C$108,0)),"")&lt;&gt;"Amber"),E1368="BLD-TIMBER",AND(U1368="Building equipment",OR(E1368="BLD-WATER",E1368="BLD-WASTE",E1368="BLD-LAND")),AND(U1368="Building renovation",E1368="BLD-LAND"))),"N/A","Pending"))))))</x:f>
      </x:c>
      <x:c r="Q1368" s="3" t="str">
        <x:f>IF(C1368="","",IF(AND(R1368="Valid",OR(P1368="Pass",P1368="N/A")),"Complete","Unresolved"))</x:f>
      </x:c>
      <x:c r="R1368" s="9" t="str">
        <x:f>IF(C1368="","",IF(OR(COUNTIF($C$9:$C$2008,C1368)&lt;&gt;1,COUNTIFS($D$9:$D$2008,D1368,$E$9:$E$2008,E1368)&lt;&gt;1),"Duplicate test",IF(COUNTIF('Taxonomy'!$C$9:$C$108,D1368)&lt;&gt;1,"Assessment key",IF(OR(COUNTIF('Taxonomy Rules'!$C$42:$C$68,E1368)&lt;&gt;1,F1368&lt;&gt;IFERROR(INDEX('Taxonomy Rules'!$D$42:$D$68,MATCH(E1368,'Taxonomy Rules'!$C$42:$C$68,0)),""),NOT(OR(IFERROR(INDEX('Taxonomy Rules'!$G$42:$G$68,MATCH(E1368,'Taxonomy Rules'!$C$42:$C$68,0)),"")="All supported routes",IFERROR(INDEX('Taxonomy Rules'!$G$42:$G$68,MATCH(E1368,'Taxonomy Rules'!$C$42:$C$68,0)),"")=U1368,AND(IFERROR(INDEX('Taxonomy Rules'!$G$42:$G$68,MATCH(E1368,'Taxonomy Rules'!$C$42:$C$68,0)),"")="Building routes",OR(U1368="Building renovation",U1368="New building",U1368="Building equipment"))))),"Unexpected test","Valid"))))</x:f>
      </x:c>
      <x:c r="S1368" s="9" t="str">
        <x:f>IF(C1368="","",IFERROR(INDEX('Taxonomy Rules'!$E$42:$E$68,MATCH(E1368,'Taxonomy Rules'!$C$42:$C$68,0)),""))</x:f>
      </x:c>
      <x:c r="T1368" s="9" t="str">
        <x:f>IF(C1368="","",IFERROR(INDEX('Taxonomy Rules'!$F$42:$F$68,MATCH(E1368,'Taxonomy Rules'!$C$42:$C$68,0)),""))</x:f>
      </x:c>
      <x:c r="U1368" s="9" t="str">
        <x:f>IF(C1368="","",IFERROR(INDEX('Taxonomy'!$G$9:$G$108,MATCH(D1368,'Taxonomy'!$C$9:$C$108,0)),""))</x:f>
      </x:c>
    </x:row>
    <x:row r="1369" ht="44" customHeight="1">
      <x:c r="A1369" s="1"/>
      <x:c r="B1369" s="1"/>
      <x:c r="C1369" s="8"/>
      <x:c r="D1369" s="8"/>
      <x:c r="E1369" s="8"/>
      <x:c r="F1369" s="8"/>
      <x:c r="G1369" s="8"/>
      <x:c r="H1369" s="8"/>
      <x:c r="I1369" s="8"/>
      <x:c r="J1369" s="8"/>
      <x:c r="K1369" s="8"/>
      <x:c r="L1369" s="8"/>
      <x:c r="M1369" s="10"/>
      <x:c r="N1369" s="10"/>
      <x:c r="O1369" s="8"/>
      <x:c r="P1369" s="9" t="str">
        <x:f>IF(C1369="","",IF(AND(G1369="Applicable",H1369="Fail"),"Fail",IF(R1369&lt;&gt;"Valid","Pending",IF(OR(I1369="",K1369="",L1369="",K1369=L1369,NOT(ISNUMBER(M1369)),NOT(ISNUMBER(N1369)),M1369&gt;Settings!$F$8,N1369&lt;Settings!$F$8,N1369&lt;M1369),"Pending",IF(AND(G1369="Applicable",H1369="Pass"),"Pass",IF(AND(G1369="N/A",H1369="N/A",J1369&lt;&gt;"",OR(E1369="CEM-FUELS",E1369="CEM-CCS",AND(E1369="CEM-PLAN",IFERROR(INDEX('Taxonomy'!$M$9:$M$108,MATCH(D1369,'Taxonomy'!$C$9:$C$108,0)),"")&lt;&gt;"Amber"),E1369="BLD-TIMBER",AND(U1369="Building equipment",OR(E1369="BLD-WATER",E1369="BLD-WASTE",E1369="BLD-LAND")),AND(U1369="Building renovation",E1369="BLD-LAND"))),"N/A","Pending"))))))</x:f>
      </x:c>
      <x:c r="Q1369" s="3" t="str">
        <x:f>IF(C1369="","",IF(AND(R1369="Valid",OR(P1369="Pass",P1369="N/A")),"Complete","Unresolved"))</x:f>
      </x:c>
      <x:c r="R1369" s="9" t="str">
        <x:f>IF(C1369="","",IF(OR(COUNTIF($C$9:$C$2008,C1369)&lt;&gt;1,COUNTIFS($D$9:$D$2008,D1369,$E$9:$E$2008,E1369)&lt;&gt;1),"Duplicate test",IF(COUNTIF('Taxonomy'!$C$9:$C$108,D1369)&lt;&gt;1,"Assessment key",IF(OR(COUNTIF('Taxonomy Rules'!$C$42:$C$68,E1369)&lt;&gt;1,F1369&lt;&gt;IFERROR(INDEX('Taxonomy Rules'!$D$42:$D$68,MATCH(E1369,'Taxonomy Rules'!$C$42:$C$68,0)),""),NOT(OR(IFERROR(INDEX('Taxonomy Rules'!$G$42:$G$68,MATCH(E1369,'Taxonomy Rules'!$C$42:$C$68,0)),"")="All supported routes",IFERROR(INDEX('Taxonomy Rules'!$G$42:$G$68,MATCH(E1369,'Taxonomy Rules'!$C$42:$C$68,0)),"")=U1369,AND(IFERROR(INDEX('Taxonomy Rules'!$G$42:$G$68,MATCH(E1369,'Taxonomy Rules'!$C$42:$C$68,0)),"")="Building routes",OR(U1369="Building renovation",U1369="New building",U1369="Building equipment"))))),"Unexpected test","Valid"))))</x:f>
      </x:c>
      <x:c r="S1369" s="9" t="str">
        <x:f>IF(C1369="","",IFERROR(INDEX('Taxonomy Rules'!$E$42:$E$68,MATCH(E1369,'Taxonomy Rules'!$C$42:$C$68,0)),""))</x:f>
      </x:c>
      <x:c r="T1369" s="9" t="str">
        <x:f>IF(C1369="","",IFERROR(INDEX('Taxonomy Rules'!$F$42:$F$68,MATCH(E1369,'Taxonomy Rules'!$C$42:$C$68,0)),""))</x:f>
      </x:c>
      <x:c r="U1369" s="9" t="str">
        <x:f>IF(C1369="","",IFERROR(INDEX('Taxonomy'!$G$9:$G$108,MATCH(D1369,'Taxonomy'!$C$9:$C$108,0)),""))</x:f>
      </x:c>
    </x:row>
    <x:row r="1370" ht="44" customHeight="1">
      <x:c r="A1370" s="1"/>
      <x:c r="B1370" s="1"/>
      <x:c r="C1370" s="8"/>
      <x:c r="D1370" s="8"/>
      <x:c r="E1370" s="8"/>
      <x:c r="F1370" s="8"/>
      <x:c r="G1370" s="8"/>
      <x:c r="H1370" s="8"/>
      <x:c r="I1370" s="8"/>
      <x:c r="J1370" s="8"/>
      <x:c r="K1370" s="8"/>
      <x:c r="L1370" s="8"/>
      <x:c r="M1370" s="10"/>
      <x:c r="N1370" s="10"/>
      <x:c r="O1370" s="8"/>
      <x:c r="P1370" s="9" t="str">
        <x:f>IF(C1370="","",IF(AND(G1370="Applicable",H1370="Fail"),"Fail",IF(R1370&lt;&gt;"Valid","Pending",IF(OR(I1370="",K1370="",L1370="",K1370=L1370,NOT(ISNUMBER(M1370)),NOT(ISNUMBER(N1370)),M1370&gt;Settings!$F$8,N1370&lt;Settings!$F$8,N1370&lt;M1370),"Pending",IF(AND(G1370="Applicable",H1370="Pass"),"Pass",IF(AND(G1370="N/A",H1370="N/A",J1370&lt;&gt;"",OR(E1370="CEM-FUELS",E1370="CEM-CCS",AND(E1370="CEM-PLAN",IFERROR(INDEX('Taxonomy'!$M$9:$M$108,MATCH(D1370,'Taxonomy'!$C$9:$C$108,0)),"")&lt;&gt;"Amber"),E1370="BLD-TIMBER",AND(U1370="Building equipment",OR(E1370="BLD-WATER",E1370="BLD-WASTE",E1370="BLD-LAND")),AND(U1370="Building renovation",E1370="BLD-LAND"))),"N/A","Pending"))))))</x:f>
      </x:c>
      <x:c r="Q1370" s="3" t="str">
        <x:f>IF(C1370="","",IF(AND(R1370="Valid",OR(P1370="Pass",P1370="N/A")),"Complete","Unresolved"))</x:f>
      </x:c>
      <x:c r="R1370" s="9" t="str">
        <x:f>IF(C1370="","",IF(OR(COUNTIF($C$9:$C$2008,C1370)&lt;&gt;1,COUNTIFS($D$9:$D$2008,D1370,$E$9:$E$2008,E1370)&lt;&gt;1),"Duplicate test",IF(COUNTIF('Taxonomy'!$C$9:$C$108,D1370)&lt;&gt;1,"Assessment key",IF(OR(COUNTIF('Taxonomy Rules'!$C$42:$C$68,E1370)&lt;&gt;1,F1370&lt;&gt;IFERROR(INDEX('Taxonomy Rules'!$D$42:$D$68,MATCH(E1370,'Taxonomy Rules'!$C$42:$C$68,0)),""),NOT(OR(IFERROR(INDEX('Taxonomy Rules'!$G$42:$G$68,MATCH(E1370,'Taxonomy Rules'!$C$42:$C$68,0)),"")="All supported routes",IFERROR(INDEX('Taxonomy Rules'!$G$42:$G$68,MATCH(E1370,'Taxonomy Rules'!$C$42:$C$68,0)),"")=U1370,AND(IFERROR(INDEX('Taxonomy Rules'!$G$42:$G$68,MATCH(E1370,'Taxonomy Rules'!$C$42:$C$68,0)),"")="Building routes",OR(U1370="Building renovation",U1370="New building",U1370="Building equipment"))))),"Unexpected test","Valid"))))</x:f>
      </x:c>
      <x:c r="S1370" s="9" t="str">
        <x:f>IF(C1370="","",IFERROR(INDEX('Taxonomy Rules'!$E$42:$E$68,MATCH(E1370,'Taxonomy Rules'!$C$42:$C$68,0)),""))</x:f>
      </x:c>
      <x:c r="T1370" s="9" t="str">
        <x:f>IF(C1370="","",IFERROR(INDEX('Taxonomy Rules'!$F$42:$F$68,MATCH(E1370,'Taxonomy Rules'!$C$42:$C$68,0)),""))</x:f>
      </x:c>
      <x:c r="U1370" s="9" t="str">
        <x:f>IF(C1370="","",IFERROR(INDEX('Taxonomy'!$G$9:$G$108,MATCH(D1370,'Taxonomy'!$C$9:$C$108,0)),""))</x:f>
      </x:c>
    </x:row>
    <x:row r="1371" ht="44" customHeight="1">
      <x:c r="A1371" s="1"/>
      <x:c r="B1371" s="1"/>
      <x:c r="C1371" s="8"/>
      <x:c r="D1371" s="8"/>
      <x:c r="E1371" s="8"/>
      <x:c r="F1371" s="8"/>
      <x:c r="G1371" s="8"/>
      <x:c r="H1371" s="8"/>
      <x:c r="I1371" s="8"/>
      <x:c r="J1371" s="8"/>
      <x:c r="K1371" s="8"/>
      <x:c r="L1371" s="8"/>
      <x:c r="M1371" s="10"/>
      <x:c r="N1371" s="10"/>
      <x:c r="O1371" s="8"/>
      <x:c r="P1371" s="9" t="str">
        <x:f>IF(C1371="","",IF(AND(G1371="Applicable",H1371="Fail"),"Fail",IF(R1371&lt;&gt;"Valid","Pending",IF(OR(I1371="",K1371="",L1371="",K1371=L1371,NOT(ISNUMBER(M1371)),NOT(ISNUMBER(N1371)),M1371&gt;Settings!$F$8,N1371&lt;Settings!$F$8,N1371&lt;M1371),"Pending",IF(AND(G1371="Applicable",H1371="Pass"),"Pass",IF(AND(G1371="N/A",H1371="N/A",J1371&lt;&gt;"",OR(E1371="CEM-FUELS",E1371="CEM-CCS",AND(E1371="CEM-PLAN",IFERROR(INDEX('Taxonomy'!$M$9:$M$108,MATCH(D1371,'Taxonomy'!$C$9:$C$108,0)),"")&lt;&gt;"Amber"),E1371="BLD-TIMBER",AND(U1371="Building equipment",OR(E1371="BLD-WATER",E1371="BLD-WASTE",E1371="BLD-LAND")),AND(U1371="Building renovation",E1371="BLD-LAND"))),"N/A","Pending"))))))</x:f>
      </x:c>
      <x:c r="Q1371" s="3" t="str">
        <x:f>IF(C1371="","",IF(AND(R1371="Valid",OR(P1371="Pass",P1371="N/A")),"Complete","Unresolved"))</x:f>
      </x:c>
      <x:c r="R1371" s="9" t="str">
        <x:f>IF(C1371="","",IF(OR(COUNTIF($C$9:$C$2008,C1371)&lt;&gt;1,COUNTIFS($D$9:$D$2008,D1371,$E$9:$E$2008,E1371)&lt;&gt;1),"Duplicate test",IF(COUNTIF('Taxonomy'!$C$9:$C$108,D1371)&lt;&gt;1,"Assessment key",IF(OR(COUNTIF('Taxonomy Rules'!$C$42:$C$68,E1371)&lt;&gt;1,F1371&lt;&gt;IFERROR(INDEX('Taxonomy Rules'!$D$42:$D$68,MATCH(E1371,'Taxonomy Rules'!$C$42:$C$68,0)),""),NOT(OR(IFERROR(INDEX('Taxonomy Rules'!$G$42:$G$68,MATCH(E1371,'Taxonomy Rules'!$C$42:$C$68,0)),"")="All supported routes",IFERROR(INDEX('Taxonomy Rules'!$G$42:$G$68,MATCH(E1371,'Taxonomy Rules'!$C$42:$C$68,0)),"")=U1371,AND(IFERROR(INDEX('Taxonomy Rules'!$G$42:$G$68,MATCH(E1371,'Taxonomy Rules'!$C$42:$C$68,0)),"")="Building routes",OR(U1371="Building renovation",U1371="New building",U1371="Building equipment"))))),"Unexpected test","Valid"))))</x:f>
      </x:c>
      <x:c r="S1371" s="9" t="str">
        <x:f>IF(C1371="","",IFERROR(INDEX('Taxonomy Rules'!$E$42:$E$68,MATCH(E1371,'Taxonomy Rules'!$C$42:$C$68,0)),""))</x:f>
      </x:c>
      <x:c r="T1371" s="9" t="str">
        <x:f>IF(C1371="","",IFERROR(INDEX('Taxonomy Rules'!$F$42:$F$68,MATCH(E1371,'Taxonomy Rules'!$C$42:$C$68,0)),""))</x:f>
      </x:c>
      <x:c r="U1371" s="9" t="str">
        <x:f>IF(C1371="","",IFERROR(INDEX('Taxonomy'!$G$9:$G$108,MATCH(D1371,'Taxonomy'!$C$9:$C$108,0)),""))</x:f>
      </x:c>
    </x:row>
    <x:row r="1372" ht="44" customHeight="1">
      <x:c r="A1372" s="1"/>
      <x:c r="B1372" s="1"/>
      <x:c r="C1372" s="8"/>
      <x:c r="D1372" s="8"/>
      <x:c r="E1372" s="8"/>
      <x:c r="F1372" s="8"/>
      <x:c r="G1372" s="8"/>
      <x:c r="H1372" s="8"/>
      <x:c r="I1372" s="8"/>
      <x:c r="J1372" s="8"/>
      <x:c r="K1372" s="8"/>
      <x:c r="L1372" s="8"/>
      <x:c r="M1372" s="10"/>
      <x:c r="N1372" s="10"/>
      <x:c r="O1372" s="8"/>
      <x:c r="P1372" s="9" t="str">
        <x:f>IF(C1372="","",IF(AND(G1372="Applicable",H1372="Fail"),"Fail",IF(R1372&lt;&gt;"Valid","Pending",IF(OR(I1372="",K1372="",L1372="",K1372=L1372,NOT(ISNUMBER(M1372)),NOT(ISNUMBER(N1372)),M1372&gt;Settings!$F$8,N1372&lt;Settings!$F$8,N1372&lt;M1372),"Pending",IF(AND(G1372="Applicable",H1372="Pass"),"Pass",IF(AND(G1372="N/A",H1372="N/A",J1372&lt;&gt;"",OR(E1372="CEM-FUELS",E1372="CEM-CCS",AND(E1372="CEM-PLAN",IFERROR(INDEX('Taxonomy'!$M$9:$M$108,MATCH(D1372,'Taxonomy'!$C$9:$C$108,0)),"")&lt;&gt;"Amber"),E1372="BLD-TIMBER",AND(U1372="Building equipment",OR(E1372="BLD-WATER",E1372="BLD-WASTE",E1372="BLD-LAND")),AND(U1372="Building renovation",E1372="BLD-LAND"))),"N/A","Pending"))))))</x:f>
      </x:c>
      <x:c r="Q1372" s="3" t="str">
        <x:f>IF(C1372="","",IF(AND(R1372="Valid",OR(P1372="Pass",P1372="N/A")),"Complete","Unresolved"))</x:f>
      </x:c>
      <x:c r="R1372" s="9" t="str">
        <x:f>IF(C1372="","",IF(OR(COUNTIF($C$9:$C$2008,C1372)&lt;&gt;1,COUNTIFS($D$9:$D$2008,D1372,$E$9:$E$2008,E1372)&lt;&gt;1),"Duplicate test",IF(COUNTIF('Taxonomy'!$C$9:$C$108,D1372)&lt;&gt;1,"Assessment key",IF(OR(COUNTIF('Taxonomy Rules'!$C$42:$C$68,E1372)&lt;&gt;1,F1372&lt;&gt;IFERROR(INDEX('Taxonomy Rules'!$D$42:$D$68,MATCH(E1372,'Taxonomy Rules'!$C$42:$C$68,0)),""),NOT(OR(IFERROR(INDEX('Taxonomy Rules'!$G$42:$G$68,MATCH(E1372,'Taxonomy Rules'!$C$42:$C$68,0)),"")="All supported routes",IFERROR(INDEX('Taxonomy Rules'!$G$42:$G$68,MATCH(E1372,'Taxonomy Rules'!$C$42:$C$68,0)),"")=U1372,AND(IFERROR(INDEX('Taxonomy Rules'!$G$42:$G$68,MATCH(E1372,'Taxonomy Rules'!$C$42:$C$68,0)),"")="Building routes",OR(U1372="Building renovation",U1372="New building",U1372="Building equipment"))))),"Unexpected test","Valid"))))</x:f>
      </x:c>
      <x:c r="S1372" s="9" t="str">
        <x:f>IF(C1372="","",IFERROR(INDEX('Taxonomy Rules'!$E$42:$E$68,MATCH(E1372,'Taxonomy Rules'!$C$42:$C$68,0)),""))</x:f>
      </x:c>
      <x:c r="T1372" s="9" t="str">
        <x:f>IF(C1372="","",IFERROR(INDEX('Taxonomy Rules'!$F$42:$F$68,MATCH(E1372,'Taxonomy Rules'!$C$42:$C$68,0)),""))</x:f>
      </x:c>
      <x:c r="U1372" s="9" t="str">
        <x:f>IF(C1372="","",IFERROR(INDEX('Taxonomy'!$G$9:$G$108,MATCH(D1372,'Taxonomy'!$C$9:$C$108,0)),""))</x:f>
      </x:c>
    </x:row>
    <x:row r="1373" ht="44" customHeight="1">
      <x:c r="A1373" s="1"/>
      <x:c r="B1373" s="1"/>
      <x:c r="C1373" s="8"/>
      <x:c r="D1373" s="8"/>
      <x:c r="E1373" s="8"/>
      <x:c r="F1373" s="8"/>
      <x:c r="G1373" s="8"/>
      <x:c r="H1373" s="8"/>
      <x:c r="I1373" s="8"/>
      <x:c r="J1373" s="8"/>
      <x:c r="K1373" s="8"/>
      <x:c r="L1373" s="8"/>
      <x:c r="M1373" s="10"/>
      <x:c r="N1373" s="10"/>
      <x:c r="O1373" s="8"/>
      <x:c r="P1373" s="9" t="str">
        <x:f>IF(C1373="","",IF(AND(G1373="Applicable",H1373="Fail"),"Fail",IF(R1373&lt;&gt;"Valid","Pending",IF(OR(I1373="",K1373="",L1373="",K1373=L1373,NOT(ISNUMBER(M1373)),NOT(ISNUMBER(N1373)),M1373&gt;Settings!$F$8,N1373&lt;Settings!$F$8,N1373&lt;M1373),"Pending",IF(AND(G1373="Applicable",H1373="Pass"),"Pass",IF(AND(G1373="N/A",H1373="N/A",J1373&lt;&gt;"",OR(E1373="CEM-FUELS",E1373="CEM-CCS",AND(E1373="CEM-PLAN",IFERROR(INDEX('Taxonomy'!$M$9:$M$108,MATCH(D1373,'Taxonomy'!$C$9:$C$108,0)),"")&lt;&gt;"Amber"),E1373="BLD-TIMBER",AND(U1373="Building equipment",OR(E1373="BLD-WATER",E1373="BLD-WASTE",E1373="BLD-LAND")),AND(U1373="Building renovation",E1373="BLD-LAND"))),"N/A","Pending"))))))</x:f>
      </x:c>
      <x:c r="Q1373" s="3" t="str">
        <x:f>IF(C1373="","",IF(AND(R1373="Valid",OR(P1373="Pass",P1373="N/A")),"Complete","Unresolved"))</x:f>
      </x:c>
      <x:c r="R1373" s="9" t="str">
        <x:f>IF(C1373="","",IF(OR(COUNTIF($C$9:$C$2008,C1373)&lt;&gt;1,COUNTIFS($D$9:$D$2008,D1373,$E$9:$E$2008,E1373)&lt;&gt;1),"Duplicate test",IF(COUNTIF('Taxonomy'!$C$9:$C$108,D1373)&lt;&gt;1,"Assessment key",IF(OR(COUNTIF('Taxonomy Rules'!$C$42:$C$68,E1373)&lt;&gt;1,F1373&lt;&gt;IFERROR(INDEX('Taxonomy Rules'!$D$42:$D$68,MATCH(E1373,'Taxonomy Rules'!$C$42:$C$68,0)),""),NOT(OR(IFERROR(INDEX('Taxonomy Rules'!$G$42:$G$68,MATCH(E1373,'Taxonomy Rules'!$C$42:$C$68,0)),"")="All supported routes",IFERROR(INDEX('Taxonomy Rules'!$G$42:$G$68,MATCH(E1373,'Taxonomy Rules'!$C$42:$C$68,0)),"")=U1373,AND(IFERROR(INDEX('Taxonomy Rules'!$G$42:$G$68,MATCH(E1373,'Taxonomy Rules'!$C$42:$C$68,0)),"")="Building routes",OR(U1373="Building renovation",U1373="New building",U1373="Building equipment"))))),"Unexpected test","Valid"))))</x:f>
      </x:c>
      <x:c r="S1373" s="9" t="str">
        <x:f>IF(C1373="","",IFERROR(INDEX('Taxonomy Rules'!$E$42:$E$68,MATCH(E1373,'Taxonomy Rules'!$C$42:$C$68,0)),""))</x:f>
      </x:c>
      <x:c r="T1373" s="9" t="str">
        <x:f>IF(C1373="","",IFERROR(INDEX('Taxonomy Rules'!$F$42:$F$68,MATCH(E1373,'Taxonomy Rules'!$C$42:$C$68,0)),""))</x:f>
      </x:c>
      <x:c r="U1373" s="9" t="str">
        <x:f>IF(C1373="","",IFERROR(INDEX('Taxonomy'!$G$9:$G$108,MATCH(D1373,'Taxonomy'!$C$9:$C$108,0)),""))</x:f>
      </x:c>
    </x:row>
    <x:row r="1374" ht="44" customHeight="1">
      <x:c r="A1374" s="1"/>
      <x:c r="B1374" s="1"/>
      <x:c r="C1374" s="8"/>
      <x:c r="D1374" s="8"/>
      <x:c r="E1374" s="8"/>
      <x:c r="F1374" s="8"/>
      <x:c r="G1374" s="8"/>
      <x:c r="H1374" s="8"/>
      <x:c r="I1374" s="8"/>
      <x:c r="J1374" s="8"/>
      <x:c r="K1374" s="8"/>
      <x:c r="L1374" s="8"/>
      <x:c r="M1374" s="10"/>
      <x:c r="N1374" s="10"/>
      <x:c r="O1374" s="8"/>
      <x:c r="P1374" s="9" t="str">
        <x:f>IF(C1374="","",IF(AND(G1374="Applicable",H1374="Fail"),"Fail",IF(R1374&lt;&gt;"Valid","Pending",IF(OR(I1374="",K1374="",L1374="",K1374=L1374,NOT(ISNUMBER(M1374)),NOT(ISNUMBER(N1374)),M1374&gt;Settings!$F$8,N1374&lt;Settings!$F$8,N1374&lt;M1374),"Pending",IF(AND(G1374="Applicable",H1374="Pass"),"Pass",IF(AND(G1374="N/A",H1374="N/A",J1374&lt;&gt;"",OR(E1374="CEM-FUELS",E1374="CEM-CCS",AND(E1374="CEM-PLAN",IFERROR(INDEX('Taxonomy'!$M$9:$M$108,MATCH(D1374,'Taxonomy'!$C$9:$C$108,0)),"")&lt;&gt;"Amber"),E1374="BLD-TIMBER",AND(U1374="Building equipment",OR(E1374="BLD-WATER",E1374="BLD-WASTE",E1374="BLD-LAND")),AND(U1374="Building renovation",E1374="BLD-LAND"))),"N/A","Pending"))))))</x:f>
      </x:c>
      <x:c r="Q1374" s="3" t="str">
        <x:f>IF(C1374="","",IF(AND(R1374="Valid",OR(P1374="Pass",P1374="N/A")),"Complete","Unresolved"))</x:f>
      </x:c>
      <x:c r="R1374" s="9" t="str">
        <x:f>IF(C1374="","",IF(OR(COUNTIF($C$9:$C$2008,C1374)&lt;&gt;1,COUNTIFS($D$9:$D$2008,D1374,$E$9:$E$2008,E1374)&lt;&gt;1),"Duplicate test",IF(COUNTIF('Taxonomy'!$C$9:$C$108,D1374)&lt;&gt;1,"Assessment key",IF(OR(COUNTIF('Taxonomy Rules'!$C$42:$C$68,E1374)&lt;&gt;1,F1374&lt;&gt;IFERROR(INDEX('Taxonomy Rules'!$D$42:$D$68,MATCH(E1374,'Taxonomy Rules'!$C$42:$C$68,0)),""),NOT(OR(IFERROR(INDEX('Taxonomy Rules'!$G$42:$G$68,MATCH(E1374,'Taxonomy Rules'!$C$42:$C$68,0)),"")="All supported routes",IFERROR(INDEX('Taxonomy Rules'!$G$42:$G$68,MATCH(E1374,'Taxonomy Rules'!$C$42:$C$68,0)),"")=U1374,AND(IFERROR(INDEX('Taxonomy Rules'!$G$42:$G$68,MATCH(E1374,'Taxonomy Rules'!$C$42:$C$68,0)),"")="Building routes",OR(U1374="Building renovation",U1374="New building",U1374="Building equipment"))))),"Unexpected test","Valid"))))</x:f>
      </x:c>
      <x:c r="S1374" s="9" t="str">
        <x:f>IF(C1374="","",IFERROR(INDEX('Taxonomy Rules'!$E$42:$E$68,MATCH(E1374,'Taxonomy Rules'!$C$42:$C$68,0)),""))</x:f>
      </x:c>
      <x:c r="T1374" s="9" t="str">
        <x:f>IF(C1374="","",IFERROR(INDEX('Taxonomy Rules'!$F$42:$F$68,MATCH(E1374,'Taxonomy Rules'!$C$42:$C$68,0)),""))</x:f>
      </x:c>
      <x:c r="U1374" s="9" t="str">
        <x:f>IF(C1374="","",IFERROR(INDEX('Taxonomy'!$G$9:$G$108,MATCH(D1374,'Taxonomy'!$C$9:$C$108,0)),""))</x:f>
      </x:c>
    </x:row>
    <x:row r="1375" ht="44" customHeight="1">
      <x:c r="A1375" s="1"/>
      <x:c r="B1375" s="1"/>
      <x:c r="C1375" s="8"/>
      <x:c r="D1375" s="8"/>
      <x:c r="E1375" s="8"/>
      <x:c r="F1375" s="8"/>
      <x:c r="G1375" s="8"/>
      <x:c r="H1375" s="8"/>
      <x:c r="I1375" s="8"/>
      <x:c r="J1375" s="8"/>
      <x:c r="K1375" s="8"/>
      <x:c r="L1375" s="8"/>
      <x:c r="M1375" s="10"/>
      <x:c r="N1375" s="10"/>
      <x:c r="O1375" s="8"/>
      <x:c r="P1375" s="9" t="str">
        <x:f>IF(C1375="","",IF(AND(G1375="Applicable",H1375="Fail"),"Fail",IF(R1375&lt;&gt;"Valid","Pending",IF(OR(I1375="",K1375="",L1375="",K1375=L1375,NOT(ISNUMBER(M1375)),NOT(ISNUMBER(N1375)),M1375&gt;Settings!$F$8,N1375&lt;Settings!$F$8,N1375&lt;M1375),"Pending",IF(AND(G1375="Applicable",H1375="Pass"),"Pass",IF(AND(G1375="N/A",H1375="N/A",J1375&lt;&gt;"",OR(E1375="CEM-FUELS",E1375="CEM-CCS",AND(E1375="CEM-PLAN",IFERROR(INDEX('Taxonomy'!$M$9:$M$108,MATCH(D1375,'Taxonomy'!$C$9:$C$108,0)),"")&lt;&gt;"Amber"),E1375="BLD-TIMBER",AND(U1375="Building equipment",OR(E1375="BLD-WATER",E1375="BLD-WASTE",E1375="BLD-LAND")),AND(U1375="Building renovation",E1375="BLD-LAND"))),"N/A","Pending"))))))</x:f>
      </x:c>
      <x:c r="Q1375" s="3" t="str">
        <x:f>IF(C1375="","",IF(AND(R1375="Valid",OR(P1375="Pass",P1375="N/A")),"Complete","Unresolved"))</x:f>
      </x:c>
      <x:c r="R1375" s="9" t="str">
        <x:f>IF(C1375="","",IF(OR(COUNTIF($C$9:$C$2008,C1375)&lt;&gt;1,COUNTIFS($D$9:$D$2008,D1375,$E$9:$E$2008,E1375)&lt;&gt;1),"Duplicate test",IF(COUNTIF('Taxonomy'!$C$9:$C$108,D1375)&lt;&gt;1,"Assessment key",IF(OR(COUNTIF('Taxonomy Rules'!$C$42:$C$68,E1375)&lt;&gt;1,F1375&lt;&gt;IFERROR(INDEX('Taxonomy Rules'!$D$42:$D$68,MATCH(E1375,'Taxonomy Rules'!$C$42:$C$68,0)),""),NOT(OR(IFERROR(INDEX('Taxonomy Rules'!$G$42:$G$68,MATCH(E1375,'Taxonomy Rules'!$C$42:$C$68,0)),"")="All supported routes",IFERROR(INDEX('Taxonomy Rules'!$G$42:$G$68,MATCH(E1375,'Taxonomy Rules'!$C$42:$C$68,0)),"")=U1375,AND(IFERROR(INDEX('Taxonomy Rules'!$G$42:$G$68,MATCH(E1375,'Taxonomy Rules'!$C$42:$C$68,0)),"")="Building routes",OR(U1375="Building renovation",U1375="New building",U1375="Building equipment"))))),"Unexpected test","Valid"))))</x:f>
      </x:c>
      <x:c r="S1375" s="9" t="str">
        <x:f>IF(C1375="","",IFERROR(INDEX('Taxonomy Rules'!$E$42:$E$68,MATCH(E1375,'Taxonomy Rules'!$C$42:$C$68,0)),""))</x:f>
      </x:c>
      <x:c r="T1375" s="9" t="str">
        <x:f>IF(C1375="","",IFERROR(INDEX('Taxonomy Rules'!$F$42:$F$68,MATCH(E1375,'Taxonomy Rules'!$C$42:$C$68,0)),""))</x:f>
      </x:c>
      <x:c r="U1375" s="9" t="str">
        <x:f>IF(C1375="","",IFERROR(INDEX('Taxonomy'!$G$9:$G$108,MATCH(D1375,'Taxonomy'!$C$9:$C$108,0)),""))</x:f>
      </x:c>
    </x:row>
    <x:row r="1376" ht="44" customHeight="1">
      <x:c r="A1376" s="1"/>
      <x:c r="B1376" s="1"/>
      <x:c r="C1376" s="8"/>
      <x:c r="D1376" s="8"/>
      <x:c r="E1376" s="8"/>
      <x:c r="F1376" s="8"/>
      <x:c r="G1376" s="8"/>
      <x:c r="H1376" s="8"/>
      <x:c r="I1376" s="8"/>
      <x:c r="J1376" s="8"/>
      <x:c r="K1376" s="8"/>
      <x:c r="L1376" s="8"/>
      <x:c r="M1376" s="10"/>
      <x:c r="N1376" s="10"/>
      <x:c r="O1376" s="8"/>
      <x:c r="P1376" s="9" t="str">
        <x:f>IF(C1376="","",IF(AND(G1376="Applicable",H1376="Fail"),"Fail",IF(R1376&lt;&gt;"Valid","Pending",IF(OR(I1376="",K1376="",L1376="",K1376=L1376,NOT(ISNUMBER(M1376)),NOT(ISNUMBER(N1376)),M1376&gt;Settings!$F$8,N1376&lt;Settings!$F$8,N1376&lt;M1376),"Pending",IF(AND(G1376="Applicable",H1376="Pass"),"Pass",IF(AND(G1376="N/A",H1376="N/A",J1376&lt;&gt;"",OR(E1376="CEM-FUELS",E1376="CEM-CCS",AND(E1376="CEM-PLAN",IFERROR(INDEX('Taxonomy'!$M$9:$M$108,MATCH(D1376,'Taxonomy'!$C$9:$C$108,0)),"")&lt;&gt;"Amber"),E1376="BLD-TIMBER",AND(U1376="Building equipment",OR(E1376="BLD-WATER",E1376="BLD-WASTE",E1376="BLD-LAND")),AND(U1376="Building renovation",E1376="BLD-LAND"))),"N/A","Pending"))))))</x:f>
      </x:c>
      <x:c r="Q1376" s="3" t="str">
        <x:f>IF(C1376="","",IF(AND(R1376="Valid",OR(P1376="Pass",P1376="N/A")),"Complete","Unresolved"))</x:f>
      </x:c>
      <x:c r="R1376" s="9" t="str">
        <x:f>IF(C1376="","",IF(OR(COUNTIF($C$9:$C$2008,C1376)&lt;&gt;1,COUNTIFS($D$9:$D$2008,D1376,$E$9:$E$2008,E1376)&lt;&gt;1),"Duplicate test",IF(COUNTIF('Taxonomy'!$C$9:$C$108,D1376)&lt;&gt;1,"Assessment key",IF(OR(COUNTIF('Taxonomy Rules'!$C$42:$C$68,E1376)&lt;&gt;1,F1376&lt;&gt;IFERROR(INDEX('Taxonomy Rules'!$D$42:$D$68,MATCH(E1376,'Taxonomy Rules'!$C$42:$C$68,0)),""),NOT(OR(IFERROR(INDEX('Taxonomy Rules'!$G$42:$G$68,MATCH(E1376,'Taxonomy Rules'!$C$42:$C$68,0)),"")="All supported routes",IFERROR(INDEX('Taxonomy Rules'!$G$42:$G$68,MATCH(E1376,'Taxonomy Rules'!$C$42:$C$68,0)),"")=U1376,AND(IFERROR(INDEX('Taxonomy Rules'!$G$42:$G$68,MATCH(E1376,'Taxonomy Rules'!$C$42:$C$68,0)),"")="Building routes",OR(U1376="Building renovation",U1376="New building",U1376="Building equipment"))))),"Unexpected test","Valid"))))</x:f>
      </x:c>
      <x:c r="S1376" s="9" t="str">
        <x:f>IF(C1376="","",IFERROR(INDEX('Taxonomy Rules'!$E$42:$E$68,MATCH(E1376,'Taxonomy Rules'!$C$42:$C$68,0)),""))</x:f>
      </x:c>
      <x:c r="T1376" s="9" t="str">
        <x:f>IF(C1376="","",IFERROR(INDEX('Taxonomy Rules'!$F$42:$F$68,MATCH(E1376,'Taxonomy Rules'!$C$42:$C$68,0)),""))</x:f>
      </x:c>
      <x:c r="U1376" s="9" t="str">
        <x:f>IF(C1376="","",IFERROR(INDEX('Taxonomy'!$G$9:$G$108,MATCH(D1376,'Taxonomy'!$C$9:$C$108,0)),""))</x:f>
      </x:c>
    </x:row>
    <x:row r="1377" ht="44" customHeight="1">
      <x:c r="A1377" s="1"/>
      <x:c r="B1377" s="1"/>
      <x:c r="C1377" s="8"/>
      <x:c r="D1377" s="8"/>
      <x:c r="E1377" s="8"/>
      <x:c r="F1377" s="8"/>
      <x:c r="G1377" s="8"/>
      <x:c r="H1377" s="8"/>
      <x:c r="I1377" s="8"/>
      <x:c r="J1377" s="8"/>
      <x:c r="K1377" s="8"/>
      <x:c r="L1377" s="8"/>
      <x:c r="M1377" s="10"/>
      <x:c r="N1377" s="10"/>
      <x:c r="O1377" s="8"/>
      <x:c r="P1377" s="9" t="str">
        <x:f>IF(C1377="","",IF(AND(G1377="Applicable",H1377="Fail"),"Fail",IF(R1377&lt;&gt;"Valid","Pending",IF(OR(I1377="",K1377="",L1377="",K1377=L1377,NOT(ISNUMBER(M1377)),NOT(ISNUMBER(N1377)),M1377&gt;Settings!$F$8,N1377&lt;Settings!$F$8,N1377&lt;M1377),"Pending",IF(AND(G1377="Applicable",H1377="Pass"),"Pass",IF(AND(G1377="N/A",H1377="N/A",J1377&lt;&gt;"",OR(E1377="CEM-FUELS",E1377="CEM-CCS",AND(E1377="CEM-PLAN",IFERROR(INDEX('Taxonomy'!$M$9:$M$108,MATCH(D1377,'Taxonomy'!$C$9:$C$108,0)),"")&lt;&gt;"Amber"),E1377="BLD-TIMBER",AND(U1377="Building equipment",OR(E1377="BLD-WATER",E1377="BLD-WASTE",E1377="BLD-LAND")),AND(U1377="Building renovation",E1377="BLD-LAND"))),"N/A","Pending"))))))</x:f>
      </x:c>
      <x:c r="Q1377" s="3" t="str">
        <x:f>IF(C1377="","",IF(AND(R1377="Valid",OR(P1377="Pass",P1377="N/A")),"Complete","Unresolved"))</x:f>
      </x:c>
      <x:c r="R1377" s="9" t="str">
        <x:f>IF(C1377="","",IF(OR(COUNTIF($C$9:$C$2008,C1377)&lt;&gt;1,COUNTIFS($D$9:$D$2008,D1377,$E$9:$E$2008,E1377)&lt;&gt;1),"Duplicate test",IF(COUNTIF('Taxonomy'!$C$9:$C$108,D1377)&lt;&gt;1,"Assessment key",IF(OR(COUNTIF('Taxonomy Rules'!$C$42:$C$68,E1377)&lt;&gt;1,F1377&lt;&gt;IFERROR(INDEX('Taxonomy Rules'!$D$42:$D$68,MATCH(E1377,'Taxonomy Rules'!$C$42:$C$68,0)),""),NOT(OR(IFERROR(INDEX('Taxonomy Rules'!$G$42:$G$68,MATCH(E1377,'Taxonomy Rules'!$C$42:$C$68,0)),"")="All supported routes",IFERROR(INDEX('Taxonomy Rules'!$G$42:$G$68,MATCH(E1377,'Taxonomy Rules'!$C$42:$C$68,0)),"")=U1377,AND(IFERROR(INDEX('Taxonomy Rules'!$G$42:$G$68,MATCH(E1377,'Taxonomy Rules'!$C$42:$C$68,0)),"")="Building routes",OR(U1377="Building renovation",U1377="New building",U1377="Building equipment"))))),"Unexpected test","Valid"))))</x:f>
      </x:c>
      <x:c r="S1377" s="9" t="str">
        <x:f>IF(C1377="","",IFERROR(INDEX('Taxonomy Rules'!$E$42:$E$68,MATCH(E1377,'Taxonomy Rules'!$C$42:$C$68,0)),""))</x:f>
      </x:c>
      <x:c r="T1377" s="9" t="str">
        <x:f>IF(C1377="","",IFERROR(INDEX('Taxonomy Rules'!$F$42:$F$68,MATCH(E1377,'Taxonomy Rules'!$C$42:$C$68,0)),""))</x:f>
      </x:c>
      <x:c r="U1377" s="9" t="str">
        <x:f>IF(C1377="","",IFERROR(INDEX('Taxonomy'!$G$9:$G$108,MATCH(D1377,'Taxonomy'!$C$9:$C$108,0)),""))</x:f>
      </x:c>
    </x:row>
    <x:row r="1378" ht="44" customHeight="1">
      <x:c r="A1378" s="1"/>
      <x:c r="B1378" s="1"/>
      <x:c r="C1378" s="8"/>
      <x:c r="D1378" s="8"/>
      <x:c r="E1378" s="8"/>
      <x:c r="F1378" s="8"/>
      <x:c r="G1378" s="8"/>
      <x:c r="H1378" s="8"/>
      <x:c r="I1378" s="8"/>
      <x:c r="J1378" s="8"/>
      <x:c r="K1378" s="8"/>
      <x:c r="L1378" s="8"/>
      <x:c r="M1378" s="10"/>
      <x:c r="N1378" s="10"/>
      <x:c r="O1378" s="8"/>
      <x:c r="P1378" s="9" t="str">
        <x:f>IF(C1378="","",IF(AND(G1378="Applicable",H1378="Fail"),"Fail",IF(R1378&lt;&gt;"Valid","Pending",IF(OR(I1378="",K1378="",L1378="",K1378=L1378,NOT(ISNUMBER(M1378)),NOT(ISNUMBER(N1378)),M1378&gt;Settings!$F$8,N1378&lt;Settings!$F$8,N1378&lt;M1378),"Pending",IF(AND(G1378="Applicable",H1378="Pass"),"Pass",IF(AND(G1378="N/A",H1378="N/A",J1378&lt;&gt;"",OR(E1378="CEM-FUELS",E1378="CEM-CCS",AND(E1378="CEM-PLAN",IFERROR(INDEX('Taxonomy'!$M$9:$M$108,MATCH(D1378,'Taxonomy'!$C$9:$C$108,0)),"")&lt;&gt;"Amber"),E1378="BLD-TIMBER",AND(U1378="Building equipment",OR(E1378="BLD-WATER",E1378="BLD-WASTE",E1378="BLD-LAND")),AND(U1378="Building renovation",E1378="BLD-LAND"))),"N/A","Pending"))))))</x:f>
      </x:c>
      <x:c r="Q1378" s="3" t="str">
        <x:f>IF(C1378="","",IF(AND(R1378="Valid",OR(P1378="Pass",P1378="N/A")),"Complete","Unresolved"))</x:f>
      </x:c>
      <x:c r="R1378" s="9" t="str">
        <x:f>IF(C1378="","",IF(OR(COUNTIF($C$9:$C$2008,C1378)&lt;&gt;1,COUNTIFS($D$9:$D$2008,D1378,$E$9:$E$2008,E1378)&lt;&gt;1),"Duplicate test",IF(COUNTIF('Taxonomy'!$C$9:$C$108,D1378)&lt;&gt;1,"Assessment key",IF(OR(COUNTIF('Taxonomy Rules'!$C$42:$C$68,E1378)&lt;&gt;1,F1378&lt;&gt;IFERROR(INDEX('Taxonomy Rules'!$D$42:$D$68,MATCH(E1378,'Taxonomy Rules'!$C$42:$C$68,0)),""),NOT(OR(IFERROR(INDEX('Taxonomy Rules'!$G$42:$G$68,MATCH(E1378,'Taxonomy Rules'!$C$42:$C$68,0)),"")="All supported routes",IFERROR(INDEX('Taxonomy Rules'!$G$42:$G$68,MATCH(E1378,'Taxonomy Rules'!$C$42:$C$68,0)),"")=U1378,AND(IFERROR(INDEX('Taxonomy Rules'!$G$42:$G$68,MATCH(E1378,'Taxonomy Rules'!$C$42:$C$68,0)),"")="Building routes",OR(U1378="Building renovation",U1378="New building",U1378="Building equipment"))))),"Unexpected test","Valid"))))</x:f>
      </x:c>
      <x:c r="S1378" s="9" t="str">
        <x:f>IF(C1378="","",IFERROR(INDEX('Taxonomy Rules'!$E$42:$E$68,MATCH(E1378,'Taxonomy Rules'!$C$42:$C$68,0)),""))</x:f>
      </x:c>
      <x:c r="T1378" s="9" t="str">
        <x:f>IF(C1378="","",IFERROR(INDEX('Taxonomy Rules'!$F$42:$F$68,MATCH(E1378,'Taxonomy Rules'!$C$42:$C$68,0)),""))</x:f>
      </x:c>
      <x:c r="U1378" s="9" t="str">
        <x:f>IF(C1378="","",IFERROR(INDEX('Taxonomy'!$G$9:$G$108,MATCH(D1378,'Taxonomy'!$C$9:$C$108,0)),""))</x:f>
      </x:c>
    </x:row>
    <x:row r="1379" ht="44" customHeight="1">
      <x:c r="A1379" s="1"/>
      <x:c r="B1379" s="1"/>
      <x:c r="C1379" s="8"/>
      <x:c r="D1379" s="8"/>
      <x:c r="E1379" s="8"/>
      <x:c r="F1379" s="8"/>
      <x:c r="G1379" s="8"/>
      <x:c r="H1379" s="8"/>
      <x:c r="I1379" s="8"/>
      <x:c r="J1379" s="8"/>
      <x:c r="K1379" s="8"/>
      <x:c r="L1379" s="8"/>
      <x:c r="M1379" s="10"/>
      <x:c r="N1379" s="10"/>
      <x:c r="O1379" s="8"/>
      <x:c r="P1379" s="9" t="str">
        <x:f>IF(C1379="","",IF(AND(G1379="Applicable",H1379="Fail"),"Fail",IF(R1379&lt;&gt;"Valid","Pending",IF(OR(I1379="",K1379="",L1379="",K1379=L1379,NOT(ISNUMBER(M1379)),NOT(ISNUMBER(N1379)),M1379&gt;Settings!$F$8,N1379&lt;Settings!$F$8,N1379&lt;M1379),"Pending",IF(AND(G1379="Applicable",H1379="Pass"),"Pass",IF(AND(G1379="N/A",H1379="N/A",J1379&lt;&gt;"",OR(E1379="CEM-FUELS",E1379="CEM-CCS",AND(E1379="CEM-PLAN",IFERROR(INDEX('Taxonomy'!$M$9:$M$108,MATCH(D1379,'Taxonomy'!$C$9:$C$108,0)),"")&lt;&gt;"Amber"),E1379="BLD-TIMBER",AND(U1379="Building equipment",OR(E1379="BLD-WATER",E1379="BLD-WASTE",E1379="BLD-LAND")),AND(U1379="Building renovation",E1379="BLD-LAND"))),"N/A","Pending"))))))</x:f>
      </x:c>
      <x:c r="Q1379" s="3" t="str">
        <x:f>IF(C1379="","",IF(AND(R1379="Valid",OR(P1379="Pass",P1379="N/A")),"Complete","Unresolved"))</x:f>
      </x:c>
      <x:c r="R1379" s="9" t="str">
        <x:f>IF(C1379="","",IF(OR(COUNTIF($C$9:$C$2008,C1379)&lt;&gt;1,COUNTIFS($D$9:$D$2008,D1379,$E$9:$E$2008,E1379)&lt;&gt;1),"Duplicate test",IF(COUNTIF('Taxonomy'!$C$9:$C$108,D1379)&lt;&gt;1,"Assessment key",IF(OR(COUNTIF('Taxonomy Rules'!$C$42:$C$68,E1379)&lt;&gt;1,F1379&lt;&gt;IFERROR(INDEX('Taxonomy Rules'!$D$42:$D$68,MATCH(E1379,'Taxonomy Rules'!$C$42:$C$68,0)),""),NOT(OR(IFERROR(INDEX('Taxonomy Rules'!$G$42:$G$68,MATCH(E1379,'Taxonomy Rules'!$C$42:$C$68,0)),"")="All supported routes",IFERROR(INDEX('Taxonomy Rules'!$G$42:$G$68,MATCH(E1379,'Taxonomy Rules'!$C$42:$C$68,0)),"")=U1379,AND(IFERROR(INDEX('Taxonomy Rules'!$G$42:$G$68,MATCH(E1379,'Taxonomy Rules'!$C$42:$C$68,0)),"")="Building routes",OR(U1379="Building renovation",U1379="New building",U1379="Building equipment"))))),"Unexpected test","Valid"))))</x:f>
      </x:c>
      <x:c r="S1379" s="9" t="str">
        <x:f>IF(C1379="","",IFERROR(INDEX('Taxonomy Rules'!$E$42:$E$68,MATCH(E1379,'Taxonomy Rules'!$C$42:$C$68,0)),""))</x:f>
      </x:c>
      <x:c r="T1379" s="9" t="str">
        <x:f>IF(C1379="","",IFERROR(INDEX('Taxonomy Rules'!$F$42:$F$68,MATCH(E1379,'Taxonomy Rules'!$C$42:$C$68,0)),""))</x:f>
      </x:c>
      <x:c r="U1379" s="9" t="str">
        <x:f>IF(C1379="","",IFERROR(INDEX('Taxonomy'!$G$9:$G$108,MATCH(D1379,'Taxonomy'!$C$9:$C$108,0)),""))</x:f>
      </x:c>
    </x:row>
    <x:row r="1380" ht="44" customHeight="1">
      <x:c r="A1380" s="1"/>
      <x:c r="B1380" s="1"/>
      <x:c r="C1380" s="8"/>
      <x:c r="D1380" s="8"/>
      <x:c r="E1380" s="8"/>
      <x:c r="F1380" s="8"/>
      <x:c r="G1380" s="8"/>
      <x:c r="H1380" s="8"/>
      <x:c r="I1380" s="8"/>
      <x:c r="J1380" s="8"/>
      <x:c r="K1380" s="8"/>
      <x:c r="L1380" s="8"/>
      <x:c r="M1380" s="10"/>
      <x:c r="N1380" s="10"/>
      <x:c r="O1380" s="8"/>
      <x:c r="P1380" s="9" t="str">
        <x:f>IF(C1380="","",IF(AND(G1380="Applicable",H1380="Fail"),"Fail",IF(R1380&lt;&gt;"Valid","Pending",IF(OR(I1380="",K1380="",L1380="",K1380=L1380,NOT(ISNUMBER(M1380)),NOT(ISNUMBER(N1380)),M1380&gt;Settings!$F$8,N1380&lt;Settings!$F$8,N1380&lt;M1380),"Pending",IF(AND(G1380="Applicable",H1380="Pass"),"Pass",IF(AND(G1380="N/A",H1380="N/A",J1380&lt;&gt;"",OR(E1380="CEM-FUELS",E1380="CEM-CCS",AND(E1380="CEM-PLAN",IFERROR(INDEX('Taxonomy'!$M$9:$M$108,MATCH(D1380,'Taxonomy'!$C$9:$C$108,0)),"")&lt;&gt;"Amber"),E1380="BLD-TIMBER",AND(U1380="Building equipment",OR(E1380="BLD-WATER",E1380="BLD-WASTE",E1380="BLD-LAND")),AND(U1380="Building renovation",E1380="BLD-LAND"))),"N/A","Pending"))))))</x:f>
      </x:c>
      <x:c r="Q1380" s="3" t="str">
        <x:f>IF(C1380="","",IF(AND(R1380="Valid",OR(P1380="Pass",P1380="N/A")),"Complete","Unresolved"))</x:f>
      </x:c>
      <x:c r="R1380" s="9" t="str">
        <x:f>IF(C1380="","",IF(OR(COUNTIF($C$9:$C$2008,C1380)&lt;&gt;1,COUNTIFS($D$9:$D$2008,D1380,$E$9:$E$2008,E1380)&lt;&gt;1),"Duplicate test",IF(COUNTIF('Taxonomy'!$C$9:$C$108,D1380)&lt;&gt;1,"Assessment key",IF(OR(COUNTIF('Taxonomy Rules'!$C$42:$C$68,E1380)&lt;&gt;1,F1380&lt;&gt;IFERROR(INDEX('Taxonomy Rules'!$D$42:$D$68,MATCH(E1380,'Taxonomy Rules'!$C$42:$C$68,0)),""),NOT(OR(IFERROR(INDEX('Taxonomy Rules'!$G$42:$G$68,MATCH(E1380,'Taxonomy Rules'!$C$42:$C$68,0)),"")="All supported routes",IFERROR(INDEX('Taxonomy Rules'!$G$42:$G$68,MATCH(E1380,'Taxonomy Rules'!$C$42:$C$68,0)),"")=U1380,AND(IFERROR(INDEX('Taxonomy Rules'!$G$42:$G$68,MATCH(E1380,'Taxonomy Rules'!$C$42:$C$68,0)),"")="Building routes",OR(U1380="Building renovation",U1380="New building",U1380="Building equipment"))))),"Unexpected test","Valid"))))</x:f>
      </x:c>
      <x:c r="S1380" s="9" t="str">
        <x:f>IF(C1380="","",IFERROR(INDEX('Taxonomy Rules'!$E$42:$E$68,MATCH(E1380,'Taxonomy Rules'!$C$42:$C$68,0)),""))</x:f>
      </x:c>
      <x:c r="T1380" s="9" t="str">
        <x:f>IF(C1380="","",IFERROR(INDEX('Taxonomy Rules'!$F$42:$F$68,MATCH(E1380,'Taxonomy Rules'!$C$42:$C$68,0)),""))</x:f>
      </x:c>
      <x:c r="U1380" s="9" t="str">
        <x:f>IF(C1380="","",IFERROR(INDEX('Taxonomy'!$G$9:$G$108,MATCH(D1380,'Taxonomy'!$C$9:$C$108,0)),""))</x:f>
      </x:c>
    </x:row>
    <x:row r="1381" ht="44" customHeight="1">
      <x:c r="A1381" s="1"/>
      <x:c r="B1381" s="1"/>
      <x:c r="C1381" s="8"/>
      <x:c r="D1381" s="8"/>
      <x:c r="E1381" s="8"/>
      <x:c r="F1381" s="8"/>
      <x:c r="G1381" s="8"/>
      <x:c r="H1381" s="8"/>
      <x:c r="I1381" s="8"/>
      <x:c r="J1381" s="8"/>
      <x:c r="K1381" s="8"/>
      <x:c r="L1381" s="8"/>
      <x:c r="M1381" s="10"/>
      <x:c r="N1381" s="10"/>
      <x:c r="O1381" s="8"/>
      <x:c r="P1381" s="9" t="str">
        <x:f>IF(C1381="","",IF(AND(G1381="Applicable",H1381="Fail"),"Fail",IF(R1381&lt;&gt;"Valid","Pending",IF(OR(I1381="",K1381="",L1381="",K1381=L1381,NOT(ISNUMBER(M1381)),NOT(ISNUMBER(N1381)),M1381&gt;Settings!$F$8,N1381&lt;Settings!$F$8,N1381&lt;M1381),"Pending",IF(AND(G1381="Applicable",H1381="Pass"),"Pass",IF(AND(G1381="N/A",H1381="N/A",J1381&lt;&gt;"",OR(E1381="CEM-FUELS",E1381="CEM-CCS",AND(E1381="CEM-PLAN",IFERROR(INDEX('Taxonomy'!$M$9:$M$108,MATCH(D1381,'Taxonomy'!$C$9:$C$108,0)),"")&lt;&gt;"Amber"),E1381="BLD-TIMBER",AND(U1381="Building equipment",OR(E1381="BLD-WATER",E1381="BLD-WASTE",E1381="BLD-LAND")),AND(U1381="Building renovation",E1381="BLD-LAND"))),"N/A","Pending"))))))</x:f>
      </x:c>
      <x:c r="Q1381" s="3" t="str">
        <x:f>IF(C1381="","",IF(AND(R1381="Valid",OR(P1381="Pass",P1381="N/A")),"Complete","Unresolved"))</x:f>
      </x:c>
      <x:c r="R1381" s="9" t="str">
        <x:f>IF(C1381="","",IF(OR(COUNTIF($C$9:$C$2008,C1381)&lt;&gt;1,COUNTIFS($D$9:$D$2008,D1381,$E$9:$E$2008,E1381)&lt;&gt;1),"Duplicate test",IF(COUNTIF('Taxonomy'!$C$9:$C$108,D1381)&lt;&gt;1,"Assessment key",IF(OR(COUNTIF('Taxonomy Rules'!$C$42:$C$68,E1381)&lt;&gt;1,F1381&lt;&gt;IFERROR(INDEX('Taxonomy Rules'!$D$42:$D$68,MATCH(E1381,'Taxonomy Rules'!$C$42:$C$68,0)),""),NOT(OR(IFERROR(INDEX('Taxonomy Rules'!$G$42:$G$68,MATCH(E1381,'Taxonomy Rules'!$C$42:$C$68,0)),"")="All supported routes",IFERROR(INDEX('Taxonomy Rules'!$G$42:$G$68,MATCH(E1381,'Taxonomy Rules'!$C$42:$C$68,0)),"")=U1381,AND(IFERROR(INDEX('Taxonomy Rules'!$G$42:$G$68,MATCH(E1381,'Taxonomy Rules'!$C$42:$C$68,0)),"")="Building routes",OR(U1381="Building renovation",U1381="New building",U1381="Building equipment"))))),"Unexpected test","Valid"))))</x:f>
      </x:c>
      <x:c r="S1381" s="9" t="str">
        <x:f>IF(C1381="","",IFERROR(INDEX('Taxonomy Rules'!$E$42:$E$68,MATCH(E1381,'Taxonomy Rules'!$C$42:$C$68,0)),""))</x:f>
      </x:c>
      <x:c r="T1381" s="9" t="str">
        <x:f>IF(C1381="","",IFERROR(INDEX('Taxonomy Rules'!$F$42:$F$68,MATCH(E1381,'Taxonomy Rules'!$C$42:$C$68,0)),""))</x:f>
      </x:c>
      <x:c r="U1381" s="9" t="str">
        <x:f>IF(C1381="","",IFERROR(INDEX('Taxonomy'!$G$9:$G$108,MATCH(D1381,'Taxonomy'!$C$9:$C$108,0)),""))</x:f>
      </x:c>
    </x:row>
    <x:row r="1382" ht="44" customHeight="1">
      <x:c r="A1382" s="1"/>
      <x:c r="B1382" s="1"/>
      <x:c r="C1382" s="8"/>
      <x:c r="D1382" s="8"/>
      <x:c r="E1382" s="8"/>
      <x:c r="F1382" s="8"/>
      <x:c r="G1382" s="8"/>
      <x:c r="H1382" s="8"/>
      <x:c r="I1382" s="8"/>
      <x:c r="J1382" s="8"/>
      <x:c r="K1382" s="8"/>
      <x:c r="L1382" s="8"/>
      <x:c r="M1382" s="10"/>
      <x:c r="N1382" s="10"/>
      <x:c r="O1382" s="8"/>
      <x:c r="P1382" s="9" t="str">
        <x:f>IF(C1382="","",IF(AND(G1382="Applicable",H1382="Fail"),"Fail",IF(R1382&lt;&gt;"Valid","Pending",IF(OR(I1382="",K1382="",L1382="",K1382=L1382,NOT(ISNUMBER(M1382)),NOT(ISNUMBER(N1382)),M1382&gt;Settings!$F$8,N1382&lt;Settings!$F$8,N1382&lt;M1382),"Pending",IF(AND(G1382="Applicable",H1382="Pass"),"Pass",IF(AND(G1382="N/A",H1382="N/A",J1382&lt;&gt;"",OR(E1382="CEM-FUELS",E1382="CEM-CCS",AND(E1382="CEM-PLAN",IFERROR(INDEX('Taxonomy'!$M$9:$M$108,MATCH(D1382,'Taxonomy'!$C$9:$C$108,0)),"")&lt;&gt;"Amber"),E1382="BLD-TIMBER",AND(U1382="Building equipment",OR(E1382="BLD-WATER",E1382="BLD-WASTE",E1382="BLD-LAND")),AND(U1382="Building renovation",E1382="BLD-LAND"))),"N/A","Pending"))))))</x:f>
      </x:c>
      <x:c r="Q1382" s="3" t="str">
        <x:f>IF(C1382="","",IF(AND(R1382="Valid",OR(P1382="Pass",P1382="N/A")),"Complete","Unresolved"))</x:f>
      </x:c>
      <x:c r="R1382" s="9" t="str">
        <x:f>IF(C1382="","",IF(OR(COUNTIF($C$9:$C$2008,C1382)&lt;&gt;1,COUNTIFS($D$9:$D$2008,D1382,$E$9:$E$2008,E1382)&lt;&gt;1),"Duplicate test",IF(COUNTIF('Taxonomy'!$C$9:$C$108,D1382)&lt;&gt;1,"Assessment key",IF(OR(COUNTIF('Taxonomy Rules'!$C$42:$C$68,E1382)&lt;&gt;1,F1382&lt;&gt;IFERROR(INDEX('Taxonomy Rules'!$D$42:$D$68,MATCH(E1382,'Taxonomy Rules'!$C$42:$C$68,0)),""),NOT(OR(IFERROR(INDEX('Taxonomy Rules'!$G$42:$G$68,MATCH(E1382,'Taxonomy Rules'!$C$42:$C$68,0)),"")="All supported routes",IFERROR(INDEX('Taxonomy Rules'!$G$42:$G$68,MATCH(E1382,'Taxonomy Rules'!$C$42:$C$68,0)),"")=U1382,AND(IFERROR(INDEX('Taxonomy Rules'!$G$42:$G$68,MATCH(E1382,'Taxonomy Rules'!$C$42:$C$68,0)),"")="Building routes",OR(U1382="Building renovation",U1382="New building",U1382="Building equipment"))))),"Unexpected test","Valid"))))</x:f>
      </x:c>
      <x:c r="S1382" s="9" t="str">
        <x:f>IF(C1382="","",IFERROR(INDEX('Taxonomy Rules'!$E$42:$E$68,MATCH(E1382,'Taxonomy Rules'!$C$42:$C$68,0)),""))</x:f>
      </x:c>
      <x:c r="T1382" s="9" t="str">
        <x:f>IF(C1382="","",IFERROR(INDEX('Taxonomy Rules'!$F$42:$F$68,MATCH(E1382,'Taxonomy Rules'!$C$42:$C$68,0)),""))</x:f>
      </x:c>
      <x:c r="U1382" s="9" t="str">
        <x:f>IF(C1382="","",IFERROR(INDEX('Taxonomy'!$G$9:$G$108,MATCH(D1382,'Taxonomy'!$C$9:$C$108,0)),""))</x:f>
      </x:c>
    </x:row>
    <x:row r="1383" ht="44" customHeight="1">
      <x:c r="A1383" s="1"/>
      <x:c r="B1383" s="1"/>
      <x:c r="C1383" s="8"/>
      <x:c r="D1383" s="8"/>
      <x:c r="E1383" s="8"/>
      <x:c r="F1383" s="8"/>
      <x:c r="G1383" s="8"/>
      <x:c r="H1383" s="8"/>
      <x:c r="I1383" s="8"/>
      <x:c r="J1383" s="8"/>
      <x:c r="K1383" s="8"/>
      <x:c r="L1383" s="8"/>
      <x:c r="M1383" s="10"/>
      <x:c r="N1383" s="10"/>
      <x:c r="O1383" s="8"/>
      <x:c r="P1383" s="9" t="str">
        <x:f>IF(C1383="","",IF(AND(G1383="Applicable",H1383="Fail"),"Fail",IF(R1383&lt;&gt;"Valid","Pending",IF(OR(I1383="",K1383="",L1383="",K1383=L1383,NOT(ISNUMBER(M1383)),NOT(ISNUMBER(N1383)),M1383&gt;Settings!$F$8,N1383&lt;Settings!$F$8,N1383&lt;M1383),"Pending",IF(AND(G1383="Applicable",H1383="Pass"),"Pass",IF(AND(G1383="N/A",H1383="N/A",J1383&lt;&gt;"",OR(E1383="CEM-FUELS",E1383="CEM-CCS",AND(E1383="CEM-PLAN",IFERROR(INDEX('Taxonomy'!$M$9:$M$108,MATCH(D1383,'Taxonomy'!$C$9:$C$108,0)),"")&lt;&gt;"Amber"),E1383="BLD-TIMBER",AND(U1383="Building equipment",OR(E1383="BLD-WATER",E1383="BLD-WASTE",E1383="BLD-LAND")),AND(U1383="Building renovation",E1383="BLD-LAND"))),"N/A","Pending"))))))</x:f>
      </x:c>
      <x:c r="Q1383" s="3" t="str">
        <x:f>IF(C1383="","",IF(AND(R1383="Valid",OR(P1383="Pass",P1383="N/A")),"Complete","Unresolved"))</x:f>
      </x:c>
      <x:c r="R1383" s="9" t="str">
        <x:f>IF(C1383="","",IF(OR(COUNTIF($C$9:$C$2008,C1383)&lt;&gt;1,COUNTIFS($D$9:$D$2008,D1383,$E$9:$E$2008,E1383)&lt;&gt;1),"Duplicate test",IF(COUNTIF('Taxonomy'!$C$9:$C$108,D1383)&lt;&gt;1,"Assessment key",IF(OR(COUNTIF('Taxonomy Rules'!$C$42:$C$68,E1383)&lt;&gt;1,F1383&lt;&gt;IFERROR(INDEX('Taxonomy Rules'!$D$42:$D$68,MATCH(E1383,'Taxonomy Rules'!$C$42:$C$68,0)),""),NOT(OR(IFERROR(INDEX('Taxonomy Rules'!$G$42:$G$68,MATCH(E1383,'Taxonomy Rules'!$C$42:$C$68,0)),"")="All supported routes",IFERROR(INDEX('Taxonomy Rules'!$G$42:$G$68,MATCH(E1383,'Taxonomy Rules'!$C$42:$C$68,0)),"")=U1383,AND(IFERROR(INDEX('Taxonomy Rules'!$G$42:$G$68,MATCH(E1383,'Taxonomy Rules'!$C$42:$C$68,0)),"")="Building routes",OR(U1383="Building renovation",U1383="New building",U1383="Building equipment"))))),"Unexpected test","Valid"))))</x:f>
      </x:c>
      <x:c r="S1383" s="9" t="str">
        <x:f>IF(C1383="","",IFERROR(INDEX('Taxonomy Rules'!$E$42:$E$68,MATCH(E1383,'Taxonomy Rules'!$C$42:$C$68,0)),""))</x:f>
      </x:c>
      <x:c r="T1383" s="9" t="str">
        <x:f>IF(C1383="","",IFERROR(INDEX('Taxonomy Rules'!$F$42:$F$68,MATCH(E1383,'Taxonomy Rules'!$C$42:$C$68,0)),""))</x:f>
      </x:c>
      <x:c r="U1383" s="9" t="str">
        <x:f>IF(C1383="","",IFERROR(INDEX('Taxonomy'!$G$9:$G$108,MATCH(D1383,'Taxonomy'!$C$9:$C$108,0)),""))</x:f>
      </x:c>
    </x:row>
    <x:row r="1384" ht="44" customHeight="1">
      <x:c r="A1384" s="1"/>
      <x:c r="B1384" s="1"/>
      <x:c r="C1384" s="8"/>
      <x:c r="D1384" s="8"/>
      <x:c r="E1384" s="8"/>
      <x:c r="F1384" s="8"/>
      <x:c r="G1384" s="8"/>
      <x:c r="H1384" s="8"/>
      <x:c r="I1384" s="8"/>
      <x:c r="J1384" s="8"/>
      <x:c r="K1384" s="8"/>
      <x:c r="L1384" s="8"/>
      <x:c r="M1384" s="10"/>
      <x:c r="N1384" s="10"/>
      <x:c r="O1384" s="8"/>
      <x:c r="P1384" s="9" t="str">
        <x:f>IF(C1384="","",IF(AND(G1384="Applicable",H1384="Fail"),"Fail",IF(R1384&lt;&gt;"Valid","Pending",IF(OR(I1384="",K1384="",L1384="",K1384=L1384,NOT(ISNUMBER(M1384)),NOT(ISNUMBER(N1384)),M1384&gt;Settings!$F$8,N1384&lt;Settings!$F$8,N1384&lt;M1384),"Pending",IF(AND(G1384="Applicable",H1384="Pass"),"Pass",IF(AND(G1384="N/A",H1384="N/A",J1384&lt;&gt;"",OR(E1384="CEM-FUELS",E1384="CEM-CCS",AND(E1384="CEM-PLAN",IFERROR(INDEX('Taxonomy'!$M$9:$M$108,MATCH(D1384,'Taxonomy'!$C$9:$C$108,0)),"")&lt;&gt;"Amber"),E1384="BLD-TIMBER",AND(U1384="Building equipment",OR(E1384="BLD-WATER",E1384="BLD-WASTE",E1384="BLD-LAND")),AND(U1384="Building renovation",E1384="BLD-LAND"))),"N/A","Pending"))))))</x:f>
      </x:c>
      <x:c r="Q1384" s="3" t="str">
        <x:f>IF(C1384="","",IF(AND(R1384="Valid",OR(P1384="Pass",P1384="N/A")),"Complete","Unresolved"))</x:f>
      </x:c>
      <x:c r="R1384" s="9" t="str">
        <x:f>IF(C1384="","",IF(OR(COUNTIF($C$9:$C$2008,C1384)&lt;&gt;1,COUNTIFS($D$9:$D$2008,D1384,$E$9:$E$2008,E1384)&lt;&gt;1),"Duplicate test",IF(COUNTIF('Taxonomy'!$C$9:$C$108,D1384)&lt;&gt;1,"Assessment key",IF(OR(COUNTIF('Taxonomy Rules'!$C$42:$C$68,E1384)&lt;&gt;1,F1384&lt;&gt;IFERROR(INDEX('Taxonomy Rules'!$D$42:$D$68,MATCH(E1384,'Taxonomy Rules'!$C$42:$C$68,0)),""),NOT(OR(IFERROR(INDEX('Taxonomy Rules'!$G$42:$G$68,MATCH(E1384,'Taxonomy Rules'!$C$42:$C$68,0)),"")="All supported routes",IFERROR(INDEX('Taxonomy Rules'!$G$42:$G$68,MATCH(E1384,'Taxonomy Rules'!$C$42:$C$68,0)),"")=U1384,AND(IFERROR(INDEX('Taxonomy Rules'!$G$42:$G$68,MATCH(E1384,'Taxonomy Rules'!$C$42:$C$68,0)),"")="Building routes",OR(U1384="Building renovation",U1384="New building",U1384="Building equipment"))))),"Unexpected test","Valid"))))</x:f>
      </x:c>
      <x:c r="S1384" s="9" t="str">
        <x:f>IF(C1384="","",IFERROR(INDEX('Taxonomy Rules'!$E$42:$E$68,MATCH(E1384,'Taxonomy Rules'!$C$42:$C$68,0)),""))</x:f>
      </x:c>
      <x:c r="T1384" s="9" t="str">
        <x:f>IF(C1384="","",IFERROR(INDEX('Taxonomy Rules'!$F$42:$F$68,MATCH(E1384,'Taxonomy Rules'!$C$42:$C$68,0)),""))</x:f>
      </x:c>
      <x:c r="U1384" s="9" t="str">
        <x:f>IF(C1384="","",IFERROR(INDEX('Taxonomy'!$G$9:$G$108,MATCH(D1384,'Taxonomy'!$C$9:$C$108,0)),""))</x:f>
      </x:c>
    </x:row>
    <x:row r="1385" ht="44" customHeight="1">
      <x:c r="A1385" s="1"/>
      <x:c r="B1385" s="1"/>
      <x:c r="C1385" s="8"/>
      <x:c r="D1385" s="8"/>
      <x:c r="E1385" s="8"/>
      <x:c r="F1385" s="8"/>
      <x:c r="G1385" s="8"/>
      <x:c r="H1385" s="8"/>
      <x:c r="I1385" s="8"/>
      <x:c r="J1385" s="8"/>
      <x:c r="K1385" s="8"/>
      <x:c r="L1385" s="8"/>
      <x:c r="M1385" s="10"/>
      <x:c r="N1385" s="10"/>
      <x:c r="O1385" s="8"/>
      <x:c r="P1385" s="9" t="str">
        <x:f>IF(C1385="","",IF(AND(G1385="Applicable",H1385="Fail"),"Fail",IF(R1385&lt;&gt;"Valid","Pending",IF(OR(I1385="",K1385="",L1385="",K1385=L1385,NOT(ISNUMBER(M1385)),NOT(ISNUMBER(N1385)),M1385&gt;Settings!$F$8,N1385&lt;Settings!$F$8,N1385&lt;M1385),"Pending",IF(AND(G1385="Applicable",H1385="Pass"),"Pass",IF(AND(G1385="N/A",H1385="N/A",J1385&lt;&gt;"",OR(E1385="CEM-FUELS",E1385="CEM-CCS",AND(E1385="CEM-PLAN",IFERROR(INDEX('Taxonomy'!$M$9:$M$108,MATCH(D1385,'Taxonomy'!$C$9:$C$108,0)),"")&lt;&gt;"Amber"),E1385="BLD-TIMBER",AND(U1385="Building equipment",OR(E1385="BLD-WATER",E1385="BLD-WASTE",E1385="BLD-LAND")),AND(U1385="Building renovation",E1385="BLD-LAND"))),"N/A","Pending"))))))</x:f>
      </x:c>
      <x:c r="Q1385" s="3" t="str">
        <x:f>IF(C1385="","",IF(AND(R1385="Valid",OR(P1385="Pass",P1385="N/A")),"Complete","Unresolved"))</x:f>
      </x:c>
      <x:c r="R1385" s="9" t="str">
        <x:f>IF(C1385="","",IF(OR(COUNTIF($C$9:$C$2008,C1385)&lt;&gt;1,COUNTIFS($D$9:$D$2008,D1385,$E$9:$E$2008,E1385)&lt;&gt;1),"Duplicate test",IF(COUNTIF('Taxonomy'!$C$9:$C$108,D1385)&lt;&gt;1,"Assessment key",IF(OR(COUNTIF('Taxonomy Rules'!$C$42:$C$68,E1385)&lt;&gt;1,F1385&lt;&gt;IFERROR(INDEX('Taxonomy Rules'!$D$42:$D$68,MATCH(E1385,'Taxonomy Rules'!$C$42:$C$68,0)),""),NOT(OR(IFERROR(INDEX('Taxonomy Rules'!$G$42:$G$68,MATCH(E1385,'Taxonomy Rules'!$C$42:$C$68,0)),"")="All supported routes",IFERROR(INDEX('Taxonomy Rules'!$G$42:$G$68,MATCH(E1385,'Taxonomy Rules'!$C$42:$C$68,0)),"")=U1385,AND(IFERROR(INDEX('Taxonomy Rules'!$G$42:$G$68,MATCH(E1385,'Taxonomy Rules'!$C$42:$C$68,0)),"")="Building routes",OR(U1385="Building renovation",U1385="New building",U1385="Building equipment"))))),"Unexpected test","Valid"))))</x:f>
      </x:c>
      <x:c r="S1385" s="9" t="str">
        <x:f>IF(C1385="","",IFERROR(INDEX('Taxonomy Rules'!$E$42:$E$68,MATCH(E1385,'Taxonomy Rules'!$C$42:$C$68,0)),""))</x:f>
      </x:c>
      <x:c r="T1385" s="9" t="str">
        <x:f>IF(C1385="","",IFERROR(INDEX('Taxonomy Rules'!$F$42:$F$68,MATCH(E1385,'Taxonomy Rules'!$C$42:$C$68,0)),""))</x:f>
      </x:c>
      <x:c r="U1385" s="9" t="str">
        <x:f>IF(C1385="","",IFERROR(INDEX('Taxonomy'!$G$9:$G$108,MATCH(D1385,'Taxonomy'!$C$9:$C$108,0)),""))</x:f>
      </x:c>
    </x:row>
    <x:row r="1386" ht="44" customHeight="1">
      <x:c r="A1386" s="1"/>
      <x:c r="B1386" s="1"/>
      <x:c r="C1386" s="8"/>
      <x:c r="D1386" s="8"/>
      <x:c r="E1386" s="8"/>
      <x:c r="F1386" s="8"/>
      <x:c r="G1386" s="8"/>
      <x:c r="H1386" s="8"/>
      <x:c r="I1386" s="8"/>
      <x:c r="J1386" s="8"/>
      <x:c r="K1386" s="8"/>
      <x:c r="L1386" s="8"/>
      <x:c r="M1386" s="10"/>
      <x:c r="N1386" s="10"/>
      <x:c r="O1386" s="8"/>
      <x:c r="P1386" s="9" t="str">
        <x:f>IF(C1386="","",IF(AND(G1386="Applicable",H1386="Fail"),"Fail",IF(R1386&lt;&gt;"Valid","Pending",IF(OR(I1386="",K1386="",L1386="",K1386=L1386,NOT(ISNUMBER(M1386)),NOT(ISNUMBER(N1386)),M1386&gt;Settings!$F$8,N1386&lt;Settings!$F$8,N1386&lt;M1386),"Pending",IF(AND(G1386="Applicable",H1386="Pass"),"Pass",IF(AND(G1386="N/A",H1386="N/A",J1386&lt;&gt;"",OR(E1386="CEM-FUELS",E1386="CEM-CCS",AND(E1386="CEM-PLAN",IFERROR(INDEX('Taxonomy'!$M$9:$M$108,MATCH(D1386,'Taxonomy'!$C$9:$C$108,0)),"")&lt;&gt;"Amber"),E1386="BLD-TIMBER",AND(U1386="Building equipment",OR(E1386="BLD-WATER",E1386="BLD-WASTE",E1386="BLD-LAND")),AND(U1386="Building renovation",E1386="BLD-LAND"))),"N/A","Pending"))))))</x:f>
      </x:c>
      <x:c r="Q1386" s="3" t="str">
        <x:f>IF(C1386="","",IF(AND(R1386="Valid",OR(P1386="Pass",P1386="N/A")),"Complete","Unresolved"))</x:f>
      </x:c>
      <x:c r="R1386" s="9" t="str">
        <x:f>IF(C1386="","",IF(OR(COUNTIF($C$9:$C$2008,C1386)&lt;&gt;1,COUNTIFS($D$9:$D$2008,D1386,$E$9:$E$2008,E1386)&lt;&gt;1),"Duplicate test",IF(COUNTIF('Taxonomy'!$C$9:$C$108,D1386)&lt;&gt;1,"Assessment key",IF(OR(COUNTIF('Taxonomy Rules'!$C$42:$C$68,E1386)&lt;&gt;1,F1386&lt;&gt;IFERROR(INDEX('Taxonomy Rules'!$D$42:$D$68,MATCH(E1386,'Taxonomy Rules'!$C$42:$C$68,0)),""),NOT(OR(IFERROR(INDEX('Taxonomy Rules'!$G$42:$G$68,MATCH(E1386,'Taxonomy Rules'!$C$42:$C$68,0)),"")="All supported routes",IFERROR(INDEX('Taxonomy Rules'!$G$42:$G$68,MATCH(E1386,'Taxonomy Rules'!$C$42:$C$68,0)),"")=U1386,AND(IFERROR(INDEX('Taxonomy Rules'!$G$42:$G$68,MATCH(E1386,'Taxonomy Rules'!$C$42:$C$68,0)),"")="Building routes",OR(U1386="Building renovation",U1386="New building",U1386="Building equipment"))))),"Unexpected test","Valid"))))</x:f>
      </x:c>
      <x:c r="S1386" s="9" t="str">
        <x:f>IF(C1386="","",IFERROR(INDEX('Taxonomy Rules'!$E$42:$E$68,MATCH(E1386,'Taxonomy Rules'!$C$42:$C$68,0)),""))</x:f>
      </x:c>
      <x:c r="T1386" s="9" t="str">
        <x:f>IF(C1386="","",IFERROR(INDEX('Taxonomy Rules'!$F$42:$F$68,MATCH(E1386,'Taxonomy Rules'!$C$42:$C$68,0)),""))</x:f>
      </x:c>
      <x:c r="U1386" s="9" t="str">
        <x:f>IF(C1386="","",IFERROR(INDEX('Taxonomy'!$G$9:$G$108,MATCH(D1386,'Taxonomy'!$C$9:$C$108,0)),""))</x:f>
      </x:c>
    </x:row>
    <x:row r="1387" ht="44" customHeight="1">
      <x:c r="A1387" s="1"/>
      <x:c r="B1387" s="1"/>
      <x:c r="C1387" s="8"/>
      <x:c r="D1387" s="8"/>
      <x:c r="E1387" s="8"/>
      <x:c r="F1387" s="8"/>
      <x:c r="G1387" s="8"/>
      <x:c r="H1387" s="8"/>
      <x:c r="I1387" s="8"/>
      <x:c r="J1387" s="8"/>
      <x:c r="K1387" s="8"/>
      <x:c r="L1387" s="8"/>
      <x:c r="M1387" s="10"/>
      <x:c r="N1387" s="10"/>
      <x:c r="O1387" s="8"/>
      <x:c r="P1387" s="9" t="str">
        <x:f>IF(C1387="","",IF(AND(G1387="Applicable",H1387="Fail"),"Fail",IF(R1387&lt;&gt;"Valid","Pending",IF(OR(I1387="",K1387="",L1387="",K1387=L1387,NOT(ISNUMBER(M1387)),NOT(ISNUMBER(N1387)),M1387&gt;Settings!$F$8,N1387&lt;Settings!$F$8,N1387&lt;M1387),"Pending",IF(AND(G1387="Applicable",H1387="Pass"),"Pass",IF(AND(G1387="N/A",H1387="N/A",J1387&lt;&gt;"",OR(E1387="CEM-FUELS",E1387="CEM-CCS",AND(E1387="CEM-PLAN",IFERROR(INDEX('Taxonomy'!$M$9:$M$108,MATCH(D1387,'Taxonomy'!$C$9:$C$108,0)),"")&lt;&gt;"Amber"),E1387="BLD-TIMBER",AND(U1387="Building equipment",OR(E1387="BLD-WATER",E1387="BLD-WASTE",E1387="BLD-LAND")),AND(U1387="Building renovation",E1387="BLD-LAND"))),"N/A","Pending"))))))</x:f>
      </x:c>
      <x:c r="Q1387" s="3" t="str">
        <x:f>IF(C1387="","",IF(AND(R1387="Valid",OR(P1387="Pass",P1387="N/A")),"Complete","Unresolved"))</x:f>
      </x:c>
      <x:c r="R1387" s="9" t="str">
        <x:f>IF(C1387="","",IF(OR(COUNTIF($C$9:$C$2008,C1387)&lt;&gt;1,COUNTIFS($D$9:$D$2008,D1387,$E$9:$E$2008,E1387)&lt;&gt;1),"Duplicate test",IF(COUNTIF('Taxonomy'!$C$9:$C$108,D1387)&lt;&gt;1,"Assessment key",IF(OR(COUNTIF('Taxonomy Rules'!$C$42:$C$68,E1387)&lt;&gt;1,F1387&lt;&gt;IFERROR(INDEX('Taxonomy Rules'!$D$42:$D$68,MATCH(E1387,'Taxonomy Rules'!$C$42:$C$68,0)),""),NOT(OR(IFERROR(INDEX('Taxonomy Rules'!$G$42:$G$68,MATCH(E1387,'Taxonomy Rules'!$C$42:$C$68,0)),"")="All supported routes",IFERROR(INDEX('Taxonomy Rules'!$G$42:$G$68,MATCH(E1387,'Taxonomy Rules'!$C$42:$C$68,0)),"")=U1387,AND(IFERROR(INDEX('Taxonomy Rules'!$G$42:$G$68,MATCH(E1387,'Taxonomy Rules'!$C$42:$C$68,0)),"")="Building routes",OR(U1387="Building renovation",U1387="New building",U1387="Building equipment"))))),"Unexpected test","Valid"))))</x:f>
      </x:c>
      <x:c r="S1387" s="9" t="str">
        <x:f>IF(C1387="","",IFERROR(INDEX('Taxonomy Rules'!$E$42:$E$68,MATCH(E1387,'Taxonomy Rules'!$C$42:$C$68,0)),""))</x:f>
      </x:c>
      <x:c r="T1387" s="9" t="str">
        <x:f>IF(C1387="","",IFERROR(INDEX('Taxonomy Rules'!$F$42:$F$68,MATCH(E1387,'Taxonomy Rules'!$C$42:$C$68,0)),""))</x:f>
      </x:c>
      <x:c r="U1387" s="9" t="str">
        <x:f>IF(C1387="","",IFERROR(INDEX('Taxonomy'!$G$9:$G$108,MATCH(D1387,'Taxonomy'!$C$9:$C$108,0)),""))</x:f>
      </x:c>
    </x:row>
    <x:row r="1388" ht="44" customHeight="1">
      <x:c r="A1388" s="1"/>
      <x:c r="B1388" s="1"/>
      <x:c r="C1388" s="8"/>
      <x:c r="D1388" s="8"/>
      <x:c r="E1388" s="8"/>
      <x:c r="F1388" s="8"/>
      <x:c r="G1388" s="8"/>
      <x:c r="H1388" s="8"/>
      <x:c r="I1388" s="8"/>
      <x:c r="J1388" s="8"/>
      <x:c r="K1388" s="8"/>
      <x:c r="L1388" s="8"/>
      <x:c r="M1388" s="10"/>
      <x:c r="N1388" s="10"/>
      <x:c r="O1388" s="8"/>
      <x:c r="P1388" s="9" t="str">
        <x:f>IF(C1388="","",IF(AND(G1388="Applicable",H1388="Fail"),"Fail",IF(R1388&lt;&gt;"Valid","Pending",IF(OR(I1388="",K1388="",L1388="",K1388=L1388,NOT(ISNUMBER(M1388)),NOT(ISNUMBER(N1388)),M1388&gt;Settings!$F$8,N1388&lt;Settings!$F$8,N1388&lt;M1388),"Pending",IF(AND(G1388="Applicable",H1388="Pass"),"Pass",IF(AND(G1388="N/A",H1388="N/A",J1388&lt;&gt;"",OR(E1388="CEM-FUELS",E1388="CEM-CCS",AND(E1388="CEM-PLAN",IFERROR(INDEX('Taxonomy'!$M$9:$M$108,MATCH(D1388,'Taxonomy'!$C$9:$C$108,0)),"")&lt;&gt;"Amber"),E1388="BLD-TIMBER",AND(U1388="Building equipment",OR(E1388="BLD-WATER",E1388="BLD-WASTE",E1388="BLD-LAND")),AND(U1388="Building renovation",E1388="BLD-LAND"))),"N/A","Pending"))))))</x:f>
      </x:c>
      <x:c r="Q1388" s="3" t="str">
        <x:f>IF(C1388="","",IF(AND(R1388="Valid",OR(P1388="Pass",P1388="N/A")),"Complete","Unresolved"))</x:f>
      </x:c>
      <x:c r="R1388" s="9" t="str">
        <x:f>IF(C1388="","",IF(OR(COUNTIF($C$9:$C$2008,C1388)&lt;&gt;1,COUNTIFS($D$9:$D$2008,D1388,$E$9:$E$2008,E1388)&lt;&gt;1),"Duplicate test",IF(COUNTIF('Taxonomy'!$C$9:$C$108,D1388)&lt;&gt;1,"Assessment key",IF(OR(COUNTIF('Taxonomy Rules'!$C$42:$C$68,E1388)&lt;&gt;1,F1388&lt;&gt;IFERROR(INDEX('Taxonomy Rules'!$D$42:$D$68,MATCH(E1388,'Taxonomy Rules'!$C$42:$C$68,0)),""),NOT(OR(IFERROR(INDEX('Taxonomy Rules'!$G$42:$G$68,MATCH(E1388,'Taxonomy Rules'!$C$42:$C$68,0)),"")="All supported routes",IFERROR(INDEX('Taxonomy Rules'!$G$42:$G$68,MATCH(E1388,'Taxonomy Rules'!$C$42:$C$68,0)),"")=U1388,AND(IFERROR(INDEX('Taxonomy Rules'!$G$42:$G$68,MATCH(E1388,'Taxonomy Rules'!$C$42:$C$68,0)),"")="Building routes",OR(U1388="Building renovation",U1388="New building",U1388="Building equipment"))))),"Unexpected test","Valid"))))</x:f>
      </x:c>
      <x:c r="S1388" s="9" t="str">
        <x:f>IF(C1388="","",IFERROR(INDEX('Taxonomy Rules'!$E$42:$E$68,MATCH(E1388,'Taxonomy Rules'!$C$42:$C$68,0)),""))</x:f>
      </x:c>
      <x:c r="T1388" s="9" t="str">
        <x:f>IF(C1388="","",IFERROR(INDEX('Taxonomy Rules'!$F$42:$F$68,MATCH(E1388,'Taxonomy Rules'!$C$42:$C$68,0)),""))</x:f>
      </x:c>
      <x:c r="U1388" s="9" t="str">
        <x:f>IF(C1388="","",IFERROR(INDEX('Taxonomy'!$G$9:$G$108,MATCH(D1388,'Taxonomy'!$C$9:$C$108,0)),""))</x:f>
      </x:c>
    </x:row>
    <x:row r="1389" ht="44" customHeight="1">
      <x:c r="A1389" s="1"/>
      <x:c r="B1389" s="1"/>
      <x:c r="C1389" s="8"/>
      <x:c r="D1389" s="8"/>
      <x:c r="E1389" s="8"/>
      <x:c r="F1389" s="8"/>
      <x:c r="G1389" s="8"/>
      <x:c r="H1389" s="8"/>
      <x:c r="I1389" s="8"/>
      <x:c r="J1389" s="8"/>
      <x:c r="K1389" s="8"/>
      <x:c r="L1389" s="8"/>
      <x:c r="M1389" s="10"/>
      <x:c r="N1389" s="10"/>
      <x:c r="O1389" s="8"/>
      <x:c r="P1389" s="9" t="str">
        <x:f>IF(C1389="","",IF(AND(G1389="Applicable",H1389="Fail"),"Fail",IF(R1389&lt;&gt;"Valid","Pending",IF(OR(I1389="",K1389="",L1389="",K1389=L1389,NOT(ISNUMBER(M1389)),NOT(ISNUMBER(N1389)),M1389&gt;Settings!$F$8,N1389&lt;Settings!$F$8,N1389&lt;M1389),"Pending",IF(AND(G1389="Applicable",H1389="Pass"),"Pass",IF(AND(G1389="N/A",H1389="N/A",J1389&lt;&gt;"",OR(E1389="CEM-FUELS",E1389="CEM-CCS",AND(E1389="CEM-PLAN",IFERROR(INDEX('Taxonomy'!$M$9:$M$108,MATCH(D1389,'Taxonomy'!$C$9:$C$108,0)),"")&lt;&gt;"Amber"),E1389="BLD-TIMBER",AND(U1389="Building equipment",OR(E1389="BLD-WATER",E1389="BLD-WASTE",E1389="BLD-LAND")),AND(U1389="Building renovation",E1389="BLD-LAND"))),"N/A","Pending"))))))</x:f>
      </x:c>
      <x:c r="Q1389" s="3" t="str">
        <x:f>IF(C1389="","",IF(AND(R1389="Valid",OR(P1389="Pass",P1389="N/A")),"Complete","Unresolved"))</x:f>
      </x:c>
      <x:c r="R1389" s="9" t="str">
        <x:f>IF(C1389="","",IF(OR(COUNTIF($C$9:$C$2008,C1389)&lt;&gt;1,COUNTIFS($D$9:$D$2008,D1389,$E$9:$E$2008,E1389)&lt;&gt;1),"Duplicate test",IF(COUNTIF('Taxonomy'!$C$9:$C$108,D1389)&lt;&gt;1,"Assessment key",IF(OR(COUNTIF('Taxonomy Rules'!$C$42:$C$68,E1389)&lt;&gt;1,F1389&lt;&gt;IFERROR(INDEX('Taxonomy Rules'!$D$42:$D$68,MATCH(E1389,'Taxonomy Rules'!$C$42:$C$68,0)),""),NOT(OR(IFERROR(INDEX('Taxonomy Rules'!$G$42:$G$68,MATCH(E1389,'Taxonomy Rules'!$C$42:$C$68,0)),"")="All supported routes",IFERROR(INDEX('Taxonomy Rules'!$G$42:$G$68,MATCH(E1389,'Taxonomy Rules'!$C$42:$C$68,0)),"")=U1389,AND(IFERROR(INDEX('Taxonomy Rules'!$G$42:$G$68,MATCH(E1389,'Taxonomy Rules'!$C$42:$C$68,0)),"")="Building routes",OR(U1389="Building renovation",U1389="New building",U1389="Building equipment"))))),"Unexpected test","Valid"))))</x:f>
      </x:c>
      <x:c r="S1389" s="9" t="str">
        <x:f>IF(C1389="","",IFERROR(INDEX('Taxonomy Rules'!$E$42:$E$68,MATCH(E1389,'Taxonomy Rules'!$C$42:$C$68,0)),""))</x:f>
      </x:c>
      <x:c r="T1389" s="9" t="str">
        <x:f>IF(C1389="","",IFERROR(INDEX('Taxonomy Rules'!$F$42:$F$68,MATCH(E1389,'Taxonomy Rules'!$C$42:$C$68,0)),""))</x:f>
      </x:c>
      <x:c r="U1389" s="9" t="str">
        <x:f>IF(C1389="","",IFERROR(INDEX('Taxonomy'!$G$9:$G$108,MATCH(D1389,'Taxonomy'!$C$9:$C$108,0)),""))</x:f>
      </x:c>
    </x:row>
    <x:row r="1390" ht="44" customHeight="1">
      <x:c r="A1390" s="1"/>
      <x:c r="B1390" s="1"/>
      <x:c r="C1390" s="8"/>
      <x:c r="D1390" s="8"/>
      <x:c r="E1390" s="8"/>
      <x:c r="F1390" s="8"/>
      <x:c r="G1390" s="8"/>
      <x:c r="H1390" s="8"/>
      <x:c r="I1390" s="8"/>
      <x:c r="J1390" s="8"/>
      <x:c r="K1390" s="8"/>
      <x:c r="L1390" s="8"/>
      <x:c r="M1390" s="10"/>
      <x:c r="N1390" s="10"/>
      <x:c r="O1390" s="8"/>
      <x:c r="P1390" s="9" t="str">
        <x:f>IF(C1390="","",IF(AND(G1390="Applicable",H1390="Fail"),"Fail",IF(R1390&lt;&gt;"Valid","Pending",IF(OR(I1390="",K1390="",L1390="",K1390=L1390,NOT(ISNUMBER(M1390)),NOT(ISNUMBER(N1390)),M1390&gt;Settings!$F$8,N1390&lt;Settings!$F$8,N1390&lt;M1390),"Pending",IF(AND(G1390="Applicable",H1390="Pass"),"Pass",IF(AND(G1390="N/A",H1390="N/A",J1390&lt;&gt;"",OR(E1390="CEM-FUELS",E1390="CEM-CCS",AND(E1390="CEM-PLAN",IFERROR(INDEX('Taxonomy'!$M$9:$M$108,MATCH(D1390,'Taxonomy'!$C$9:$C$108,0)),"")&lt;&gt;"Amber"),E1390="BLD-TIMBER",AND(U1390="Building equipment",OR(E1390="BLD-WATER",E1390="BLD-WASTE",E1390="BLD-LAND")),AND(U1390="Building renovation",E1390="BLD-LAND"))),"N/A","Pending"))))))</x:f>
      </x:c>
      <x:c r="Q1390" s="3" t="str">
        <x:f>IF(C1390="","",IF(AND(R1390="Valid",OR(P1390="Pass",P1390="N/A")),"Complete","Unresolved"))</x:f>
      </x:c>
      <x:c r="R1390" s="9" t="str">
        <x:f>IF(C1390="","",IF(OR(COUNTIF($C$9:$C$2008,C1390)&lt;&gt;1,COUNTIFS($D$9:$D$2008,D1390,$E$9:$E$2008,E1390)&lt;&gt;1),"Duplicate test",IF(COUNTIF('Taxonomy'!$C$9:$C$108,D1390)&lt;&gt;1,"Assessment key",IF(OR(COUNTIF('Taxonomy Rules'!$C$42:$C$68,E1390)&lt;&gt;1,F1390&lt;&gt;IFERROR(INDEX('Taxonomy Rules'!$D$42:$D$68,MATCH(E1390,'Taxonomy Rules'!$C$42:$C$68,0)),""),NOT(OR(IFERROR(INDEX('Taxonomy Rules'!$G$42:$G$68,MATCH(E1390,'Taxonomy Rules'!$C$42:$C$68,0)),"")="All supported routes",IFERROR(INDEX('Taxonomy Rules'!$G$42:$G$68,MATCH(E1390,'Taxonomy Rules'!$C$42:$C$68,0)),"")=U1390,AND(IFERROR(INDEX('Taxonomy Rules'!$G$42:$G$68,MATCH(E1390,'Taxonomy Rules'!$C$42:$C$68,0)),"")="Building routes",OR(U1390="Building renovation",U1390="New building",U1390="Building equipment"))))),"Unexpected test","Valid"))))</x:f>
      </x:c>
      <x:c r="S1390" s="9" t="str">
        <x:f>IF(C1390="","",IFERROR(INDEX('Taxonomy Rules'!$E$42:$E$68,MATCH(E1390,'Taxonomy Rules'!$C$42:$C$68,0)),""))</x:f>
      </x:c>
      <x:c r="T1390" s="9" t="str">
        <x:f>IF(C1390="","",IFERROR(INDEX('Taxonomy Rules'!$F$42:$F$68,MATCH(E1390,'Taxonomy Rules'!$C$42:$C$68,0)),""))</x:f>
      </x:c>
      <x:c r="U1390" s="9" t="str">
        <x:f>IF(C1390="","",IFERROR(INDEX('Taxonomy'!$G$9:$G$108,MATCH(D1390,'Taxonomy'!$C$9:$C$108,0)),""))</x:f>
      </x:c>
    </x:row>
    <x:row r="1391" ht="44" customHeight="1">
      <x:c r="A1391" s="1"/>
      <x:c r="B1391" s="1"/>
      <x:c r="C1391" s="8"/>
      <x:c r="D1391" s="8"/>
      <x:c r="E1391" s="8"/>
      <x:c r="F1391" s="8"/>
      <x:c r="G1391" s="8"/>
      <x:c r="H1391" s="8"/>
      <x:c r="I1391" s="8"/>
      <x:c r="J1391" s="8"/>
      <x:c r="K1391" s="8"/>
      <x:c r="L1391" s="8"/>
      <x:c r="M1391" s="10"/>
      <x:c r="N1391" s="10"/>
      <x:c r="O1391" s="8"/>
      <x:c r="P1391" s="9" t="str">
        <x:f>IF(C1391="","",IF(AND(G1391="Applicable",H1391="Fail"),"Fail",IF(R1391&lt;&gt;"Valid","Pending",IF(OR(I1391="",K1391="",L1391="",K1391=L1391,NOT(ISNUMBER(M1391)),NOT(ISNUMBER(N1391)),M1391&gt;Settings!$F$8,N1391&lt;Settings!$F$8,N1391&lt;M1391),"Pending",IF(AND(G1391="Applicable",H1391="Pass"),"Pass",IF(AND(G1391="N/A",H1391="N/A",J1391&lt;&gt;"",OR(E1391="CEM-FUELS",E1391="CEM-CCS",AND(E1391="CEM-PLAN",IFERROR(INDEX('Taxonomy'!$M$9:$M$108,MATCH(D1391,'Taxonomy'!$C$9:$C$108,0)),"")&lt;&gt;"Amber"),E1391="BLD-TIMBER",AND(U1391="Building equipment",OR(E1391="BLD-WATER",E1391="BLD-WASTE",E1391="BLD-LAND")),AND(U1391="Building renovation",E1391="BLD-LAND"))),"N/A","Pending"))))))</x:f>
      </x:c>
      <x:c r="Q1391" s="3" t="str">
        <x:f>IF(C1391="","",IF(AND(R1391="Valid",OR(P1391="Pass",P1391="N/A")),"Complete","Unresolved"))</x:f>
      </x:c>
      <x:c r="R1391" s="9" t="str">
        <x:f>IF(C1391="","",IF(OR(COUNTIF($C$9:$C$2008,C1391)&lt;&gt;1,COUNTIFS($D$9:$D$2008,D1391,$E$9:$E$2008,E1391)&lt;&gt;1),"Duplicate test",IF(COUNTIF('Taxonomy'!$C$9:$C$108,D1391)&lt;&gt;1,"Assessment key",IF(OR(COUNTIF('Taxonomy Rules'!$C$42:$C$68,E1391)&lt;&gt;1,F1391&lt;&gt;IFERROR(INDEX('Taxonomy Rules'!$D$42:$D$68,MATCH(E1391,'Taxonomy Rules'!$C$42:$C$68,0)),""),NOT(OR(IFERROR(INDEX('Taxonomy Rules'!$G$42:$G$68,MATCH(E1391,'Taxonomy Rules'!$C$42:$C$68,0)),"")="All supported routes",IFERROR(INDEX('Taxonomy Rules'!$G$42:$G$68,MATCH(E1391,'Taxonomy Rules'!$C$42:$C$68,0)),"")=U1391,AND(IFERROR(INDEX('Taxonomy Rules'!$G$42:$G$68,MATCH(E1391,'Taxonomy Rules'!$C$42:$C$68,0)),"")="Building routes",OR(U1391="Building renovation",U1391="New building",U1391="Building equipment"))))),"Unexpected test","Valid"))))</x:f>
      </x:c>
      <x:c r="S1391" s="9" t="str">
        <x:f>IF(C1391="","",IFERROR(INDEX('Taxonomy Rules'!$E$42:$E$68,MATCH(E1391,'Taxonomy Rules'!$C$42:$C$68,0)),""))</x:f>
      </x:c>
      <x:c r="T1391" s="9" t="str">
        <x:f>IF(C1391="","",IFERROR(INDEX('Taxonomy Rules'!$F$42:$F$68,MATCH(E1391,'Taxonomy Rules'!$C$42:$C$68,0)),""))</x:f>
      </x:c>
      <x:c r="U1391" s="9" t="str">
        <x:f>IF(C1391="","",IFERROR(INDEX('Taxonomy'!$G$9:$G$108,MATCH(D1391,'Taxonomy'!$C$9:$C$108,0)),""))</x:f>
      </x:c>
    </x:row>
    <x:row r="1392" ht="44" customHeight="1">
      <x:c r="A1392" s="1"/>
      <x:c r="B1392" s="1"/>
      <x:c r="C1392" s="8"/>
      <x:c r="D1392" s="8"/>
      <x:c r="E1392" s="8"/>
      <x:c r="F1392" s="8"/>
      <x:c r="G1392" s="8"/>
      <x:c r="H1392" s="8"/>
      <x:c r="I1392" s="8"/>
      <x:c r="J1392" s="8"/>
      <x:c r="K1392" s="8"/>
      <x:c r="L1392" s="8"/>
      <x:c r="M1392" s="10"/>
      <x:c r="N1392" s="10"/>
      <x:c r="O1392" s="8"/>
      <x:c r="P1392" s="9" t="str">
        <x:f>IF(C1392="","",IF(AND(G1392="Applicable",H1392="Fail"),"Fail",IF(R1392&lt;&gt;"Valid","Pending",IF(OR(I1392="",K1392="",L1392="",K1392=L1392,NOT(ISNUMBER(M1392)),NOT(ISNUMBER(N1392)),M1392&gt;Settings!$F$8,N1392&lt;Settings!$F$8,N1392&lt;M1392),"Pending",IF(AND(G1392="Applicable",H1392="Pass"),"Pass",IF(AND(G1392="N/A",H1392="N/A",J1392&lt;&gt;"",OR(E1392="CEM-FUELS",E1392="CEM-CCS",AND(E1392="CEM-PLAN",IFERROR(INDEX('Taxonomy'!$M$9:$M$108,MATCH(D1392,'Taxonomy'!$C$9:$C$108,0)),"")&lt;&gt;"Amber"),E1392="BLD-TIMBER",AND(U1392="Building equipment",OR(E1392="BLD-WATER",E1392="BLD-WASTE",E1392="BLD-LAND")),AND(U1392="Building renovation",E1392="BLD-LAND"))),"N/A","Pending"))))))</x:f>
      </x:c>
      <x:c r="Q1392" s="3" t="str">
        <x:f>IF(C1392="","",IF(AND(R1392="Valid",OR(P1392="Pass",P1392="N/A")),"Complete","Unresolved"))</x:f>
      </x:c>
      <x:c r="R1392" s="9" t="str">
        <x:f>IF(C1392="","",IF(OR(COUNTIF($C$9:$C$2008,C1392)&lt;&gt;1,COUNTIFS($D$9:$D$2008,D1392,$E$9:$E$2008,E1392)&lt;&gt;1),"Duplicate test",IF(COUNTIF('Taxonomy'!$C$9:$C$108,D1392)&lt;&gt;1,"Assessment key",IF(OR(COUNTIF('Taxonomy Rules'!$C$42:$C$68,E1392)&lt;&gt;1,F1392&lt;&gt;IFERROR(INDEX('Taxonomy Rules'!$D$42:$D$68,MATCH(E1392,'Taxonomy Rules'!$C$42:$C$68,0)),""),NOT(OR(IFERROR(INDEX('Taxonomy Rules'!$G$42:$G$68,MATCH(E1392,'Taxonomy Rules'!$C$42:$C$68,0)),"")="All supported routes",IFERROR(INDEX('Taxonomy Rules'!$G$42:$G$68,MATCH(E1392,'Taxonomy Rules'!$C$42:$C$68,0)),"")=U1392,AND(IFERROR(INDEX('Taxonomy Rules'!$G$42:$G$68,MATCH(E1392,'Taxonomy Rules'!$C$42:$C$68,0)),"")="Building routes",OR(U1392="Building renovation",U1392="New building",U1392="Building equipment"))))),"Unexpected test","Valid"))))</x:f>
      </x:c>
      <x:c r="S1392" s="9" t="str">
        <x:f>IF(C1392="","",IFERROR(INDEX('Taxonomy Rules'!$E$42:$E$68,MATCH(E1392,'Taxonomy Rules'!$C$42:$C$68,0)),""))</x:f>
      </x:c>
      <x:c r="T1392" s="9" t="str">
        <x:f>IF(C1392="","",IFERROR(INDEX('Taxonomy Rules'!$F$42:$F$68,MATCH(E1392,'Taxonomy Rules'!$C$42:$C$68,0)),""))</x:f>
      </x:c>
      <x:c r="U1392" s="9" t="str">
        <x:f>IF(C1392="","",IFERROR(INDEX('Taxonomy'!$G$9:$G$108,MATCH(D1392,'Taxonomy'!$C$9:$C$108,0)),""))</x:f>
      </x:c>
    </x:row>
    <x:row r="1393" ht="44" customHeight="1">
      <x:c r="A1393" s="1"/>
      <x:c r="B1393" s="1"/>
      <x:c r="C1393" s="8"/>
      <x:c r="D1393" s="8"/>
      <x:c r="E1393" s="8"/>
      <x:c r="F1393" s="8"/>
      <x:c r="G1393" s="8"/>
      <x:c r="H1393" s="8"/>
      <x:c r="I1393" s="8"/>
      <x:c r="J1393" s="8"/>
      <x:c r="K1393" s="8"/>
      <x:c r="L1393" s="8"/>
      <x:c r="M1393" s="10"/>
      <x:c r="N1393" s="10"/>
      <x:c r="O1393" s="8"/>
      <x:c r="P1393" s="9" t="str">
        <x:f>IF(C1393="","",IF(AND(G1393="Applicable",H1393="Fail"),"Fail",IF(R1393&lt;&gt;"Valid","Pending",IF(OR(I1393="",K1393="",L1393="",K1393=L1393,NOT(ISNUMBER(M1393)),NOT(ISNUMBER(N1393)),M1393&gt;Settings!$F$8,N1393&lt;Settings!$F$8,N1393&lt;M1393),"Pending",IF(AND(G1393="Applicable",H1393="Pass"),"Pass",IF(AND(G1393="N/A",H1393="N/A",J1393&lt;&gt;"",OR(E1393="CEM-FUELS",E1393="CEM-CCS",AND(E1393="CEM-PLAN",IFERROR(INDEX('Taxonomy'!$M$9:$M$108,MATCH(D1393,'Taxonomy'!$C$9:$C$108,0)),"")&lt;&gt;"Amber"),E1393="BLD-TIMBER",AND(U1393="Building equipment",OR(E1393="BLD-WATER",E1393="BLD-WASTE",E1393="BLD-LAND")),AND(U1393="Building renovation",E1393="BLD-LAND"))),"N/A","Pending"))))))</x:f>
      </x:c>
      <x:c r="Q1393" s="3" t="str">
        <x:f>IF(C1393="","",IF(AND(R1393="Valid",OR(P1393="Pass",P1393="N/A")),"Complete","Unresolved"))</x:f>
      </x:c>
      <x:c r="R1393" s="9" t="str">
        <x:f>IF(C1393="","",IF(OR(COUNTIF($C$9:$C$2008,C1393)&lt;&gt;1,COUNTIFS($D$9:$D$2008,D1393,$E$9:$E$2008,E1393)&lt;&gt;1),"Duplicate test",IF(COUNTIF('Taxonomy'!$C$9:$C$108,D1393)&lt;&gt;1,"Assessment key",IF(OR(COUNTIF('Taxonomy Rules'!$C$42:$C$68,E1393)&lt;&gt;1,F1393&lt;&gt;IFERROR(INDEX('Taxonomy Rules'!$D$42:$D$68,MATCH(E1393,'Taxonomy Rules'!$C$42:$C$68,0)),""),NOT(OR(IFERROR(INDEX('Taxonomy Rules'!$G$42:$G$68,MATCH(E1393,'Taxonomy Rules'!$C$42:$C$68,0)),"")="All supported routes",IFERROR(INDEX('Taxonomy Rules'!$G$42:$G$68,MATCH(E1393,'Taxonomy Rules'!$C$42:$C$68,0)),"")=U1393,AND(IFERROR(INDEX('Taxonomy Rules'!$G$42:$G$68,MATCH(E1393,'Taxonomy Rules'!$C$42:$C$68,0)),"")="Building routes",OR(U1393="Building renovation",U1393="New building",U1393="Building equipment"))))),"Unexpected test","Valid"))))</x:f>
      </x:c>
      <x:c r="S1393" s="9" t="str">
        <x:f>IF(C1393="","",IFERROR(INDEX('Taxonomy Rules'!$E$42:$E$68,MATCH(E1393,'Taxonomy Rules'!$C$42:$C$68,0)),""))</x:f>
      </x:c>
      <x:c r="T1393" s="9" t="str">
        <x:f>IF(C1393="","",IFERROR(INDEX('Taxonomy Rules'!$F$42:$F$68,MATCH(E1393,'Taxonomy Rules'!$C$42:$C$68,0)),""))</x:f>
      </x:c>
      <x:c r="U1393" s="9" t="str">
        <x:f>IF(C1393="","",IFERROR(INDEX('Taxonomy'!$G$9:$G$108,MATCH(D1393,'Taxonomy'!$C$9:$C$108,0)),""))</x:f>
      </x:c>
    </x:row>
    <x:row r="1394" ht="44" customHeight="1">
      <x:c r="A1394" s="1"/>
      <x:c r="B1394" s="1"/>
      <x:c r="C1394" s="8"/>
      <x:c r="D1394" s="8"/>
      <x:c r="E1394" s="8"/>
      <x:c r="F1394" s="8"/>
      <x:c r="G1394" s="8"/>
      <x:c r="H1394" s="8"/>
      <x:c r="I1394" s="8"/>
      <x:c r="J1394" s="8"/>
      <x:c r="K1394" s="8"/>
      <x:c r="L1394" s="8"/>
      <x:c r="M1394" s="10"/>
      <x:c r="N1394" s="10"/>
      <x:c r="O1394" s="8"/>
      <x:c r="P1394" s="9" t="str">
        <x:f>IF(C1394="","",IF(AND(G1394="Applicable",H1394="Fail"),"Fail",IF(R1394&lt;&gt;"Valid","Pending",IF(OR(I1394="",K1394="",L1394="",K1394=L1394,NOT(ISNUMBER(M1394)),NOT(ISNUMBER(N1394)),M1394&gt;Settings!$F$8,N1394&lt;Settings!$F$8,N1394&lt;M1394),"Pending",IF(AND(G1394="Applicable",H1394="Pass"),"Pass",IF(AND(G1394="N/A",H1394="N/A",J1394&lt;&gt;"",OR(E1394="CEM-FUELS",E1394="CEM-CCS",AND(E1394="CEM-PLAN",IFERROR(INDEX('Taxonomy'!$M$9:$M$108,MATCH(D1394,'Taxonomy'!$C$9:$C$108,0)),"")&lt;&gt;"Amber"),E1394="BLD-TIMBER",AND(U1394="Building equipment",OR(E1394="BLD-WATER",E1394="BLD-WASTE",E1394="BLD-LAND")),AND(U1394="Building renovation",E1394="BLD-LAND"))),"N/A","Pending"))))))</x:f>
      </x:c>
      <x:c r="Q1394" s="3" t="str">
        <x:f>IF(C1394="","",IF(AND(R1394="Valid",OR(P1394="Pass",P1394="N/A")),"Complete","Unresolved"))</x:f>
      </x:c>
      <x:c r="R1394" s="9" t="str">
        <x:f>IF(C1394="","",IF(OR(COUNTIF($C$9:$C$2008,C1394)&lt;&gt;1,COUNTIFS($D$9:$D$2008,D1394,$E$9:$E$2008,E1394)&lt;&gt;1),"Duplicate test",IF(COUNTIF('Taxonomy'!$C$9:$C$108,D1394)&lt;&gt;1,"Assessment key",IF(OR(COUNTIF('Taxonomy Rules'!$C$42:$C$68,E1394)&lt;&gt;1,F1394&lt;&gt;IFERROR(INDEX('Taxonomy Rules'!$D$42:$D$68,MATCH(E1394,'Taxonomy Rules'!$C$42:$C$68,0)),""),NOT(OR(IFERROR(INDEX('Taxonomy Rules'!$G$42:$G$68,MATCH(E1394,'Taxonomy Rules'!$C$42:$C$68,0)),"")="All supported routes",IFERROR(INDEX('Taxonomy Rules'!$G$42:$G$68,MATCH(E1394,'Taxonomy Rules'!$C$42:$C$68,0)),"")=U1394,AND(IFERROR(INDEX('Taxonomy Rules'!$G$42:$G$68,MATCH(E1394,'Taxonomy Rules'!$C$42:$C$68,0)),"")="Building routes",OR(U1394="Building renovation",U1394="New building",U1394="Building equipment"))))),"Unexpected test","Valid"))))</x:f>
      </x:c>
      <x:c r="S1394" s="9" t="str">
        <x:f>IF(C1394="","",IFERROR(INDEX('Taxonomy Rules'!$E$42:$E$68,MATCH(E1394,'Taxonomy Rules'!$C$42:$C$68,0)),""))</x:f>
      </x:c>
      <x:c r="T1394" s="9" t="str">
        <x:f>IF(C1394="","",IFERROR(INDEX('Taxonomy Rules'!$F$42:$F$68,MATCH(E1394,'Taxonomy Rules'!$C$42:$C$68,0)),""))</x:f>
      </x:c>
      <x:c r="U1394" s="9" t="str">
        <x:f>IF(C1394="","",IFERROR(INDEX('Taxonomy'!$G$9:$G$108,MATCH(D1394,'Taxonomy'!$C$9:$C$108,0)),""))</x:f>
      </x:c>
    </x:row>
    <x:row r="1395" ht="44" customHeight="1">
      <x:c r="A1395" s="1"/>
      <x:c r="B1395" s="1"/>
      <x:c r="C1395" s="8"/>
      <x:c r="D1395" s="8"/>
      <x:c r="E1395" s="8"/>
      <x:c r="F1395" s="8"/>
      <x:c r="G1395" s="8"/>
      <x:c r="H1395" s="8"/>
      <x:c r="I1395" s="8"/>
      <x:c r="J1395" s="8"/>
      <x:c r="K1395" s="8"/>
      <x:c r="L1395" s="8"/>
      <x:c r="M1395" s="10"/>
      <x:c r="N1395" s="10"/>
      <x:c r="O1395" s="8"/>
      <x:c r="P1395" s="9" t="str">
        <x:f>IF(C1395="","",IF(AND(G1395="Applicable",H1395="Fail"),"Fail",IF(R1395&lt;&gt;"Valid","Pending",IF(OR(I1395="",K1395="",L1395="",K1395=L1395,NOT(ISNUMBER(M1395)),NOT(ISNUMBER(N1395)),M1395&gt;Settings!$F$8,N1395&lt;Settings!$F$8,N1395&lt;M1395),"Pending",IF(AND(G1395="Applicable",H1395="Pass"),"Pass",IF(AND(G1395="N/A",H1395="N/A",J1395&lt;&gt;"",OR(E1395="CEM-FUELS",E1395="CEM-CCS",AND(E1395="CEM-PLAN",IFERROR(INDEX('Taxonomy'!$M$9:$M$108,MATCH(D1395,'Taxonomy'!$C$9:$C$108,0)),"")&lt;&gt;"Amber"),E1395="BLD-TIMBER",AND(U1395="Building equipment",OR(E1395="BLD-WATER",E1395="BLD-WASTE",E1395="BLD-LAND")),AND(U1395="Building renovation",E1395="BLD-LAND"))),"N/A","Pending"))))))</x:f>
      </x:c>
      <x:c r="Q1395" s="3" t="str">
        <x:f>IF(C1395="","",IF(AND(R1395="Valid",OR(P1395="Pass",P1395="N/A")),"Complete","Unresolved"))</x:f>
      </x:c>
      <x:c r="R1395" s="9" t="str">
        <x:f>IF(C1395="","",IF(OR(COUNTIF($C$9:$C$2008,C1395)&lt;&gt;1,COUNTIFS($D$9:$D$2008,D1395,$E$9:$E$2008,E1395)&lt;&gt;1),"Duplicate test",IF(COUNTIF('Taxonomy'!$C$9:$C$108,D1395)&lt;&gt;1,"Assessment key",IF(OR(COUNTIF('Taxonomy Rules'!$C$42:$C$68,E1395)&lt;&gt;1,F1395&lt;&gt;IFERROR(INDEX('Taxonomy Rules'!$D$42:$D$68,MATCH(E1395,'Taxonomy Rules'!$C$42:$C$68,0)),""),NOT(OR(IFERROR(INDEX('Taxonomy Rules'!$G$42:$G$68,MATCH(E1395,'Taxonomy Rules'!$C$42:$C$68,0)),"")="All supported routes",IFERROR(INDEX('Taxonomy Rules'!$G$42:$G$68,MATCH(E1395,'Taxonomy Rules'!$C$42:$C$68,0)),"")=U1395,AND(IFERROR(INDEX('Taxonomy Rules'!$G$42:$G$68,MATCH(E1395,'Taxonomy Rules'!$C$42:$C$68,0)),"")="Building routes",OR(U1395="Building renovation",U1395="New building",U1395="Building equipment"))))),"Unexpected test","Valid"))))</x:f>
      </x:c>
      <x:c r="S1395" s="9" t="str">
        <x:f>IF(C1395="","",IFERROR(INDEX('Taxonomy Rules'!$E$42:$E$68,MATCH(E1395,'Taxonomy Rules'!$C$42:$C$68,0)),""))</x:f>
      </x:c>
      <x:c r="T1395" s="9" t="str">
        <x:f>IF(C1395="","",IFERROR(INDEX('Taxonomy Rules'!$F$42:$F$68,MATCH(E1395,'Taxonomy Rules'!$C$42:$C$68,0)),""))</x:f>
      </x:c>
      <x:c r="U1395" s="9" t="str">
        <x:f>IF(C1395="","",IFERROR(INDEX('Taxonomy'!$G$9:$G$108,MATCH(D1395,'Taxonomy'!$C$9:$C$108,0)),""))</x:f>
      </x:c>
    </x:row>
    <x:row r="1396" ht="44" customHeight="1">
      <x:c r="A1396" s="1"/>
      <x:c r="B1396" s="1"/>
      <x:c r="C1396" s="8"/>
      <x:c r="D1396" s="8"/>
      <x:c r="E1396" s="8"/>
      <x:c r="F1396" s="8"/>
      <x:c r="G1396" s="8"/>
      <x:c r="H1396" s="8"/>
      <x:c r="I1396" s="8"/>
      <x:c r="J1396" s="8"/>
      <x:c r="K1396" s="8"/>
      <x:c r="L1396" s="8"/>
      <x:c r="M1396" s="10"/>
      <x:c r="N1396" s="10"/>
      <x:c r="O1396" s="8"/>
      <x:c r="P1396" s="9" t="str">
        <x:f>IF(C1396="","",IF(AND(G1396="Applicable",H1396="Fail"),"Fail",IF(R1396&lt;&gt;"Valid","Pending",IF(OR(I1396="",K1396="",L1396="",K1396=L1396,NOT(ISNUMBER(M1396)),NOT(ISNUMBER(N1396)),M1396&gt;Settings!$F$8,N1396&lt;Settings!$F$8,N1396&lt;M1396),"Pending",IF(AND(G1396="Applicable",H1396="Pass"),"Pass",IF(AND(G1396="N/A",H1396="N/A",J1396&lt;&gt;"",OR(E1396="CEM-FUELS",E1396="CEM-CCS",AND(E1396="CEM-PLAN",IFERROR(INDEX('Taxonomy'!$M$9:$M$108,MATCH(D1396,'Taxonomy'!$C$9:$C$108,0)),"")&lt;&gt;"Amber"),E1396="BLD-TIMBER",AND(U1396="Building equipment",OR(E1396="BLD-WATER",E1396="BLD-WASTE",E1396="BLD-LAND")),AND(U1396="Building renovation",E1396="BLD-LAND"))),"N/A","Pending"))))))</x:f>
      </x:c>
      <x:c r="Q1396" s="3" t="str">
        <x:f>IF(C1396="","",IF(AND(R1396="Valid",OR(P1396="Pass",P1396="N/A")),"Complete","Unresolved"))</x:f>
      </x:c>
      <x:c r="R1396" s="9" t="str">
        <x:f>IF(C1396="","",IF(OR(COUNTIF($C$9:$C$2008,C1396)&lt;&gt;1,COUNTIFS($D$9:$D$2008,D1396,$E$9:$E$2008,E1396)&lt;&gt;1),"Duplicate test",IF(COUNTIF('Taxonomy'!$C$9:$C$108,D1396)&lt;&gt;1,"Assessment key",IF(OR(COUNTIF('Taxonomy Rules'!$C$42:$C$68,E1396)&lt;&gt;1,F1396&lt;&gt;IFERROR(INDEX('Taxonomy Rules'!$D$42:$D$68,MATCH(E1396,'Taxonomy Rules'!$C$42:$C$68,0)),""),NOT(OR(IFERROR(INDEX('Taxonomy Rules'!$G$42:$G$68,MATCH(E1396,'Taxonomy Rules'!$C$42:$C$68,0)),"")="All supported routes",IFERROR(INDEX('Taxonomy Rules'!$G$42:$G$68,MATCH(E1396,'Taxonomy Rules'!$C$42:$C$68,0)),"")=U1396,AND(IFERROR(INDEX('Taxonomy Rules'!$G$42:$G$68,MATCH(E1396,'Taxonomy Rules'!$C$42:$C$68,0)),"")="Building routes",OR(U1396="Building renovation",U1396="New building",U1396="Building equipment"))))),"Unexpected test","Valid"))))</x:f>
      </x:c>
      <x:c r="S1396" s="9" t="str">
        <x:f>IF(C1396="","",IFERROR(INDEX('Taxonomy Rules'!$E$42:$E$68,MATCH(E1396,'Taxonomy Rules'!$C$42:$C$68,0)),""))</x:f>
      </x:c>
      <x:c r="T1396" s="9" t="str">
        <x:f>IF(C1396="","",IFERROR(INDEX('Taxonomy Rules'!$F$42:$F$68,MATCH(E1396,'Taxonomy Rules'!$C$42:$C$68,0)),""))</x:f>
      </x:c>
      <x:c r="U1396" s="9" t="str">
        <x:f>IF(C1396="","",IFERROR(INDEX('Taxonomy'!$G$9:$G$108,MATCH(D1396,'Taxonomy'!$C$9:$C$108,0)),""))</x:f>
      </x:c>
    </x:row>
    <x:row r="1397" ht="44" customHeight="1">
      <x:c r="A1397" s="1"/>
      <x:c r="B1397" s="1"/>
      <x:c r="C1397" s="8"/>
      <x:c r="D1397" s="8"/>
      <x:c r="E1397" s="8"/>
      <x:c r="F1397" s="8"/>
      <x:c r="G1397" s="8"/>
      <x:c r="H1397" s="8"/>
      <x:c r="I1397" s="8"/>
      <x:c r="J1397" s="8"/>
      <x:c r="K1397" s="8"/>
      <x:c r="L1397" s="8"/>
      <x:c r="M1397" s="10"/>
      <x:c r="N1397" s="10"/>
      <x:c r="O1397" s="8"/>
      <x:c r="P1397" s="9" t="str">
        <x:f>IF(C1397="","",IF(AND(G1397="Applicable",H1397="Fail"),"Fail",IF(R1397&lt;&gt;"Valid","Pending",IF(OR(I1397="",K1397="",L1397="",K1397=L1397,NOT(ISNUMBER(M1397)),NOT(ISNUMBER(N1397)),M1397&gt;Settings!$F$8,N1397&lt;Settings!$F$8,N1397&lt;M1397),"Pending",IF(AND(G1397="Applicable",H1397="Pass"),"Pass",IF(AND(G1397="N/A",H1397="N/A",J1397&lt;&gt;"",OR(E1397="CEM-FUELS",E1397="CEM-CCS",AND(E1397="CEM-PLAN",IFERROR(INDEX('Taxonomy'!$M$9:$M$108,MATCH(D1397,'Taxonomy'!$C$9:$C$108,0)),"")&lt;&gt;"Amber"),E1397="BLD-TIMBER",AND(U1397="Building equipment",OR(E1397="BLD-WATER",E1397="BLD-WASTE",E1397="BLD-LAND")),AND(U1397="Building renovation",E1397="BLD-LAND"))),"N/A","Pending"))))))</x:f>
      </x:c>
      <x:c r="Q1397" s="3" t="str">
        <x:f>IF(C1397="","",IF(AND(R1397="Valid",OR(P1397="Pass",P1397="N/A")),"Complete","Unresolved"))</x:f>
      </x:c>
      <x:c r="R1397" s="9" t="str">
        <x:f>IF(C1397="","",IF(OR(COUNTIF($C$9:$C$2008,C1397)&lt;&gt;1,COUNTIFS($D$9:$D$2008,D1397,$E$9:$E$2008,E1397)&lt;&gt;1),"Duplicate test",IF(COUNTIF('Taxonomy'!$C$9:$C$108,D1397)&lt;&gt;1,"Assessment key",IF(OR(COUNTIF('Taxonomy Rules'!$C$42:$C$68,E1397)&lt;&gt;1,F1397&lt;&gt;IFERROR(INDEX('Taxonomy Rules'!$D$42:$D$68,MATCH(E1397,'Taxonomy Rules'!$C$42:$C$68,0)),""),NOT(OR(IFERROR(INDEX('Taxonomy Rules'!$G$42:$G$68,MATCH(E1397,'Taxonomy Rules'!$C$42:$C$68,0)),"")="All supported routes",IFERROR(INDEX('Taxonomy Rules'!$G$42:$G$68,MATCH(E1397,'Taxonomy Rules'!$C$42:$C$68,0)),"")=U1397,AND(IFERROR(INDEX('Taxonomy Rules'!$G$42:$G$68,MATCH(E1397,'Taxonomy Rules'!$C$42:$C$68,0)),"")="Building routes",OR(U1397="Building renovation",U1397="New building",U1397="Building equipment"))))),"Unexpected test","Valid"))))</x:f>
      </x:c>
      <x:c r="S1397" s="9" t="str">
        <x:f>IF(C1397="","",IFERROR(INDEX('Taxonomy Rules'!$E$42:$E$68,MATCH(E1397,'Taxonomy Rules'!$C$42:$C$68,0)),""))</x:f>
      </x:c>
      <x:c r="T1397" s="9" t="str">
        <x:f>IF(C1397="","",IFERROR(INDEX('Taxonomy Rules'!$F$42:$F$68,MATCH(E1397,'Taxonomy Rules'!$C$42:$C$68,0)),""))</x:f>
      </x:c>
      <x:c r="U1397" s="9" t="str">
        <x:f>IF(C1397="","",IFERROR(INDEX('Taxonomy'!$G$9:$G$108,MATCH(D1397,'Taxonomy'!$C$9:$C$108,0)),""))</x:f>
      </x:c>
    </x:row>
    <x:row r="1398" ht="44" customHeight="1">
      <x:c r="A1398" s="1"/>
      <x:c r="B1398" s="1"/>
      <x:c r="C1398" s="8"/>
      <x:c r="D1398" s="8"/>
      <x:c r="E1398" s="8"/>
      <x:c r="F1398" s="8"/>
      <x:c r="G1398" s="8"/>
      <x:c r="H1398" s="8"/>
      <x:c r="I1398" s="8"/>
      <x:c r="J1398" s="8"/>
      <x:c r="K1398" s="8"/>
      <x:c r="L1398" s="8"/>
      <x:c r="M1398" s="10"/>
      <x:c r="N1398" s="10"/>
      <x:c r="O1398" s="8"/>
      <x:c r="P1398" s="9" t="str">
        <x:f>IF(C1398="","",IF(AND(G1398="Applicable",H1398="Fail"),"Fail",IF(R1398&lt;&gt;"Valid","Pending",IF(OR(I1398="",K1398="",L1398="",K1398=L1398,NOT(ISNUMBER(M1398)),NOT(ISNUMBER(N1398)),M1398&gt;Settings!$F$8,N1398&lt;Settings!$F$8,N1398&lt;M1398),"Pending",IF(AND(G1398="Applicable",H1398="Pass"),"Pass",IF(AND(G1398="N/A",H1398="N/A",J1398&lt;&gt;"",OR(E1398="CEM-FUELS",E1398="CEM-CCS",AND(E1398="CEM-PLAN",IFERROR(INDEX('Taxonomy'!$M$9:$M$108,MATCH(D1398,'Taxonomy'!$C$9:$C$108,0)),"")&lt;&gt;"Amber"),E1398="BLD-TIMBER",AND(U1398="Building equipment",OR(E1398="BLD-WATER",E1398="BLD-WASTE",E1398="BLD-LAND")),AND(U1398="Building renovation",E1398="BLD-LAND"))),"N/A","Pending"))))))</x:f>
      </x:c>
      <x:c r="Q1398" s="3" t="str">
        <x:f>IF(C1398="","",IF(AND(R1398="Valid",OR(P1398="Pass",P1398="N/A")),"Complete","Unresolved"))</x:f>
      </x:c>
      <x:c r="R1398" s="9" t="str">
        <x:f>IF(C1398="","",IF(OR(COUNTIF($C$9:$C$2008,C1398)&lt;&gt;1,COUNTIFS($D$9:$D$2008,D1398,$E$9:$E$2008,E1398)&lt;&gt;1),"Duplicate test",IF(COUNTIF('Taxonomy'!$C$9:$C$108,D1398)&lt;&gt;1,"Assessment key",IF(OR(COUNTIF('Taxonomy Rules'!$C$42:$C$68,E1398)&lt;&gt;1,F1398&lt;&gt;IFERROR(INDEX('Taxonomy Rules'!$D$42:$D$68,MATCH(E1398,'Taxonomy Rules'!$C$42:$C$68,0)),""),NOT(OR(IFERROR(INDEX('Taxonomy Rules'!$G$42:$G$68,MATCH(E1398,'Taxonomy Rules'!$C$42:$C$68,0)),"")="All supported routes",IFERROR(INDEX('Taxonomy Rules'!$G$42:$G$68,MATCH(E1398,'Taxonomy Rules'!$C$42:$C$68,0)),"")=U1398,AND(IFERROR(INDEX('Taxonomy Rules'!$G$42:$G$68,MATCH(E1398,'Taxonomy Rules'!$C$42:$C$68,0)),"")="Building routes",OR(U1398="Building renovation",U1398="New building",U1398="Building equipment"))))),"Unexpected test","Valid"))))</x:f>
      </x:c>
      <x:c r="S1398" s="9" t="str">
        <x:f>IF(C1398="","",IFERROR(INDEX('Taxonomy Rules'!$E$42:$E$68,MATCH(E1398,'Taxonomy Rules'!$C$42:$C$68,0)),""))</x:f>
      </x:c>
      <x:c r="T1398" s="9" t="str">
        <x:f>IF(C1398="","",IFERROR(INDEX('Taxonomy Rules'!$F$42:$F$68,MATCH(E1398,'Taxonomy Rules'!$C$42:$C$68,0)),""))</x:f>
      </x:c>
      <x:c r="U1398" s="9" t="str">
        <x:f>IF(C1398="","",IFERROR(INDEX('Taxonomy'!$G$9:$G$108,MATCH(D1398,'Taxonomy'!$C$9:$C$108,0)),""))</x:f>
      </x:c>
    </x:row>
    <x:row r="1399" ht="44" customHeight="1">
      <x:c r="A1399" s="1"/>
      <x:c r="B1399" s="1"/>
      <x:c r="C1399" s="8"/>
      <x:c r="D1399" s="8"/>
      <x:c r="E1399" s="8"/>
      <x:c r="F1399" s="8"/>
      <x:c r="G1399" s="8"/>
      <x:c r="H1399" s="8"/>
      <x:c r="I1399" s="8"/>
      <x:c r="J1399" s="8"/>
      <x:c r="K1399" s="8"/>
      <x:c r="L1399" s="8"/>
      <x:c r="M1399" s="10"/>
      <x:c r="N1399" s="10"/>
      <x:c r="O1399" s="8"/>
      <x:c r="P1399" s="9" t="str">
        <x:f>IF(C1399="","",IF(AND(G1399="Applicable",H1399="Fail"),"Fail",IF(R1399&lt;&gt;"Valid","Pending",IF(OR(I1399="",K1399="",L1399="",K1399=L1399,NOT(ISNUMBER(M1399)),NOT(ISNUMBER(N1399)),M1399&gt;Settings!$F$8,N1399&lt;Settings!$F$8,N1399&lt;M1399),"Pending",IF(AND(G1399="Applicable",H1399="Pass"),"Pass",IF(AND(G1399="N/A",H1399="N/A",J1399&lt;&gt;"",OR(E1399="CEM-FUELS",E1399="CEM-CCS",AND(E1399="CEM-PLAN",IFERROR(INDEX('Taxonomy'!$M$9:$M$108,MATCH(D1399,'Taxonomy'!$C$9:$C$108,0)),"")&lt;&gt;"Amber"),E1399="BLD-TIMBER",AND(U1399="Building equipment",OR(E1399="BLD-WATER",E1399="BLD-WASTE",E1399="BLD-LAND")),AND(U1399="Building renovation",E1399="BLD-LAND"))),"N/A","Pending"))))))</x:f>
      </x:c>
      <x:c r="Q1399" s="3" t="str">
        <x:f>IF(C1399="","",IF(AND(R1399="Valid",OR(P1399="Pass",P1399="N/A")),"Complete","Unresolved"))</x:f>
      </x:c>
      <x:c r="R1399" s="9" t="str">
        <x:f>IF(C1399="","",IF(OR(COUNTIF($C$9:$C$2008,C1399)&lt;&gt;1,COUNTIFS($D$9:$D$2008,D1399,$E$9:$E$2008,E1399)&lt;&gt;1),"Duplicate test",IF(COUNTIF('Taxonomy'!$C$9:$C$108,D1399)&lt;&gt;1,"Assessment key",IF(OR(COUNTIF('Taxonomy Rules'!$C$42:$C$68,E1399)&lt;&gt;1,F1399&lt;&gt;IFERROR(INDEX('Taxonomy Rules'!$D$42:$D$68,MATCH(E1399,'Taxonomy Rules'!$C$42:$C$68,0)),""),NOT(OR(IFERROR(INDEX('Taxonomy Rules'!$G$42:$G$68,MATCH(E1399,'Taxonomy Rules'!$C$42:$C$68,0)),"")="All supported routes",IFERROR(INDEX('Taxonomy Rules'!$G$42:$G$68,MATCH(E1399,'Taxonomy Rules'!$C$42:$C$68,0)),"")=U1399,AND(IFERROR(INDEX('Taxonomy Rules'!$G$42:$G$68,MATCH(E1399,'Taxonomy Rules'!$C$42:$C$68,0)),"")="Building routes",OR(U1399="Building renovation",U1399="New building",U1399="Building equipment"))))),"Unexpected test","Valid"))))</x:f>
      </x:c>
      <x:c r="S1399" s="9" t="str">
        <x:f>IF(C1399="","",IFERROR(INDEX('Taxonomy Rules'!$E$42:$E$68,MATCH(E1399,'Taxonomy Rules'!$C$42:$C$68,0)),""))</x:f>
      </x:c>
      <x:c r="T1399" s="9" t="str">
        <x:f>IF(C1399="","",IFERROR(INDEX('Taxonomy Rules'!$F$42:$F$68,MATCH(E1399,'Taxonomy Rules'!$C$42:$C$68,0)),""))</x:f>
      </x:c>
      <x:c r="U1399" s="9" t="str">
        <x:f>IF(C1399="","",IFERROR(INDEX('Taxonomy'!$G$9:$G$108,MATCH(D1399,'Taxonomy'!$C$9:$C$108,0)),""))</x:f>
      </x:c>
    </x:row>
    <x:row r="1400" ht="44" customHeight="1">
      <x:c r="A1400" s="1"/>
      <x:c r="B1400" s="1"/>
      <x:c r="C1400" s="8"/>
      <x:c r="D1400" s="8"/>
      <x:c r="E1400" s="8"/>
      <x:c r="F1400" s="8"/>
      <x:c r="G1400" s="8"/>
      <x:c r="H1400" s="8"/>
      <x:c r="I1400" s="8"/>
      <x:c r="J1400" s="8"/>
      <x:c r="K1400" s="8"/>
      <x:c r="L1400" s="8"/>
      <x:c r="M1400" s="10"/>
      <x:c r="N1400" s="10"/>
      <x:c r="O1400" s="8"/>
      <x:c r="P1400" s="9" t="str">
        <x:f>IF(C1400="","",IF(AND(G1400="Applicable",H1400="Fail"),"Fail",IF(R1400&lt;&gt;"Valid","Pending",IF(OR(I1400="",K1400="",L1400="",K1400=L1400,NOT(ISNUMBER(M1400)),NOT(ISNUMBER(N1400)),M1400&gt;Settings!$F$8,N1400&lt;Settings!$F$8,N1400&lt;M1400),"Pending",IF(AND(G1400="Applicable",H1400="Pass"),"Pass",IF(AND(G1400="N/A",H1400="N/A",J1400&lt;&gt;"",OR(E1400="CEM-FUELS",E1400="CEM-CCS",AND(E1400="CEM-PLAN",IFERROR(INDEX('Taxonomy'!$M$9:$M$108,MATCH(D1400,'Taxonomy'!$C$9:$C$108,0)),"")&lt;&gt;"Amber"),E1400="BLD-TIMBER",AND(U1400="Building equipment",OR(E1400="BLD-WATER",E1400="BLD-WASTE",E1400="BLD-LAND")),AND(U1400="Building renovation",E1400="BLD-LAND"))),"N/A","Pending"))))))</x:f>
      </x:c>
      <x:c r="Q1400" s="3" t="str">
        <x:f>IF(C1400="","",IF(AND(R1400="Valid",OR(P1400="Pass",P1400="N/A")),"Complete","Unresolved"))</x:f>
      </x:c>
      <x:c r="R1400" s="9" t="str">
        <x:f>IF(C1400="","",IF(OR(COUNTIF($C$9:$C$2008,C1400)&lt;&gt;1,COUNTIFS($D$9:$D$2008,D1400,$E$9:$E$2008,E1400)&lt;&gt;1),"Duplicate test",IF(COUNTIF('Taxonomy'!$C$9:$C$108,D1400)&lt;&gt;1,"Assessment key",IF(OR(COUNTIF('Taxonomy Rules'!$C$42:$C$68,E1400)&lt;&gt;1,F1400&lt;&gt;IFERROR(INDEX('Taxonomy Rules'!$D$42:$D$68,MATCH(E1400,'Taxonomy Rules'!$C$42:$C$68,0)),""),NOT(OR(IFERROR(INDEX('Taxonomy Rules'!$G$42:$G$68,MATCH(E1400,'Taxonomy Rules'!$C$42:$C$68,0)),"")="All supported routes",IFERROR(INDEX('Taxonomy Rules'!$G$42:$G$68,MATCH(E1400,'Taxonomy Rules'!$C$42:$C$68,0)),"")=U1400,AND(IFERROR(INDEX('Taxonomy Rules'!$G$42:$G$68,MATCH(E1400,'Taxonomy Rules'!$C$42:$C$68,0)),"")="Building routes",OR(U1400="Building renovation",U1400="New building",U1400="Building equipment"))))),"Unexpected test","Valid"))))</x:f>
      </x:c>
      <x:c r="S1400" s="9" t="str">
        <x:f>IF(C1400="","",IFERROR(INDEX('Taxonomy Rules'!$E$42:$E$68,MATCH(E1400,'Taxonomy Rules'!$C$42:$C$68,0)),""))</x:f>
      </x:c>
      <x:c r="T1400" s="9" t="str">
        <x:f>IF(C1400="","",IFERROR(INDEX('Taxonomy Rules'!$F$42:$F$68,MATCH(E1400,'Taxonomy Rules'!$C$42:$C$68,0)),""))</x:f>
      </x:c>
      <x:c r="U1400" s="9" t="str">
        <x:f>IF(C1400="","",IFERROR(INDEX('Taxonomy'!$G$9:$G$108,MATCH(D1400,'Taxonomy'!$C$9:$C$108,0)),""))</x:f>
      </x:c>
    </x:row>
    <x:row r="1401" ht="44" customHeight="1">
      <x:c r="A1401" s="1"/>
      <x:c r="B1401" s="1"/>
      <x:c r="C1401" s="8"/>
      <x:c r="D1401" s="8"/>
      <x:c r="E1401" s="8"/>
      <x:c r="F1401" s="8"/>
      <x:c r="G1401" s="8"/>
      <x:c r="H1401" s="8"/>
      <x:c r="I1401" s="8"/>
      <x:c r="J1401" s="8"/>
      <x:c r="K1401" s="8"/>
      <x:c r="L1401" s="8"/>
      <x:c r="M1401" s="10"/>
      <x:c r="N1401" s="10"/>
      <x:c r="O1401" s="8"/>
      <x:c r="P1401" s="9" t="str">
        <x:f>IF(C1401="","",IF(AND(G1401="Applicable",H1401="Fail"),"Fail",IF(R1401&lt;&gt;"Valid","Pending",IF(OR(I1401="",K1401="",L1401="",K1401=L1401,NOT(ISNUMBER(M1401)),NOT(ISNUMBER(N1401)),M1401&gt;Settings!$F$8,N1401&lt;Settings!$F$8,N1401&lt;M1401),"Pending",IF(AND(G1401="Applicable",H1401="Pass"),"Pass",IF(AND(G1401="N/A",H1401="N/A",J1401&lt;&gt;"",OR(E1401="CEM-FUELS",E1401="CEM-CCS",AND(E1401="CEM-PLAN",IFERROR(INDEX('Taxonomy'!$M$9:$M$108,MATCH(D1401,'Taxonomy'!$C$9:$C$108,0)),"")&lt;&gt;"Amber"),E1401="BLD-TIMBER",AND(U1401="Building equipment",OR(E1401="BLD-WATER",E1401="BLD-WASTE",E1401="BLD-LAND")),AND(U1401="Building renovation",E1401="BLD-LAND"))),"N/A","Pending"))))))</x:f>
      </x:c>
      <x:c r="Q1401" s="3" t="str">
        <x:f>IF(C1401="","",IF(AND(R1401="Valid",OR(P1401="Pass",P1401="N/A")),"Complete","Unresolved"))</x:f>
      </x:c>
      <x:c r="R1401" s="9" t="str">
        <x:f>IF(C1401="","",IF(OR(COUNTIF($C$9:$C$2008,C1401)&lt;&gt;1,COUNTIFS($D$9:$D$2008,D1401,$E$9:$E$2008,E1401)&lt;&gt;1),"Duplicate test",IF(COUNTIF('Taxonomy'!$C$9:$C$108,D1401)&lt;&gt;1,"Assessment key",IF(OR(COUNTIF('Taxonomy Rules'!$C$42:$C$68,E1401)&lt;&gt;1,F1401&lt;&gt;IFERROR(INDEX('Taxonomy Rules'!$D$42:$D$68,MATCH(E1401,'Taxonomy Rules'!$C$42:$C$68,0)),""),NOT(OR(IFERROR(INDEX('Taxonomy Rules'!$G$42:$G$68,MATCH(E1401,'Taxonomy Rules'!$C$42:$C$68,0)),"")="All supported routes",IFERROR(INDEX('Taxonomy Rules'!$G$42:$G$68,MATCH(E1401,'Taxonomy Rules'!$C$42:$C$68,0)),"")=U1401,AND(IFERROR(INDEX('Taxonomy Rules'!$G$42:$G$68,MATCH(E1401,'Taxonomy Rules'!$C$42:$C$68,0)),"")="Building routes",OR(U1401="Building renovation",U1401="New building",U1401="Building equipment"))))),"Unexpected test","Valid"))))</x:f>
      </x:c>
      <x:c r="S1401" s="9" t="str">
        <x:f>IF(C1401="","",IFERROR(INDEX('Taxonomy Rules'!$E$42:$E$68,MATCH(E1401,'Taxonomy Rules'!$C$42:$C$68,0)),""))</x:f>
      </x:c>
      <x:c r="T1401" s="9" t="str">
        <x:f>IF(C1401="","",IFERROR(INDEX('Taxonomy Rules'!$F$42:$F$68,MATCH(E1401,'Taxonomy Rules'!$C$42:$C$68,0)),""))</x:f>
      </x:c>
      <x:c r="U1401" s="9" t="str">
        <x:f>IF(C1401="","",IFERROR(INDEX('Taxonomy'!$G$9:$G$108,MATCH(D1401,'Taxonomy'!$C$9:$C$108,0)),""))</x:f>
      </x:c>
    </x:row>
    <x:row r="1402" ht="44" customHeight="1">
      <x:c r="A1402" s="1"/>
      <x:c r="B1402" s="1"/>
      <x:c r="C1402" s="8"/>
      <x:c r="D1402" s="8"/>
      <x:c r="E1402" s="8"/>
      <x:c r="F1402" s="8"/>
      <x:c r="G1402" s="8"/>
      <x:c r="H1402" s="8"/>
      <x:c r="I1402" s="8"/>
      <x:c r="J1402" s="8"/>
      <x:c r="K1402" s="8"/>
      <x:c r="L1402" s="8"/>
      <x:c r="M1402" s="10"/>
      <x:c r="N1402" s="10"/>
      <x:c r="O1402" s="8"/>
      <x:c r="P1402" s="9" t="str">
        <x:f>IF(C1402="","",IF(AND(G1402="Applicable",H1402="Fail"),"Fail",IF(R1402&lt;&gt;"Valid","Pending",IF(OR(I1402="",K1402="",L1402="",K1402=L1402,NOT(ISNUMBER(M1402)),NOT(ISNUMBER(N1402)),M1402&gt;Settings!$F$8,N1402&lt;Settings!$F$8,N1402&lt;M1402),"Pending",IF(AND(G1402="Applicable",H1402="Pass"),"Pass",IF(AND(G1402="N/A",H1402="N/A",J1402&lt;&gt;"",OR(E1402="CEM-FUELS",E1402="CEM-CCS",AND(E1402="CEM-PLAN",IFERROR(INDEX('Taxonomy'!$M$9:$M$108,MATCH(D1402,'Taxonomy'!$C$9:$C$108,0)),"")&lt;&gt;"Amber"),E1402="BLD-TIMBER",AND(U1402="Building equipment",OR(E1402="BLD-WATER",E1402="BLD-WASTE",E1402="BLD-LAND")),AND(U1402="Building renovation",E1402="BLD-LAND"))),"N/A","Pending"))))))</x:f>
      </x:c>
      <x:c r="Q1402" s="3" t="str">
        <x:f>IF(C1402="","",IF(AND(R1402="Valid",OR(P1402="Pass",P1402="N/A")),"Complete","Unresolved"))</x:f>
      </x:c>
      <x:c r="R1402" s="9" t="str">
        <x:f>IF(C1402="","",IF(OR(COUNTIF($C$9:$C$2008,C1402)&lt;&gt;1,COUNTIFS($D$9:$D$2008,D1402,$E$9:$E$2008,E1402)&lt;&gt;1),"Duplicate test",IF(COUNTIF('Taxonomy'!$C$9:$C$108,D1402)&lt;&gt;1,"Assessment key",IF(OR(COUNTIF('Taxonomy Rules'!$C$42:$C$68,E1402)&lt;&gt;1,F1402&lt;&gt;IFERROR(INDEX('Taxonomy Rules'!$D$42:$D$68,MATCH(E1402,'Taxonomy Rules'!$C$42:$C$68,0)),""),NOT(OR(IFERROR(INDEX('Taxonomy Rules'!$G$42:$G$68,MATCH(E1402,'Taxonomy Rules'!$C$42:$C$68,0)),"")="All supported routes",IFERROR(INDEX('Taxonomy Rules'!$G$42:$G$68,MATCH(E1402,'Taxonomy Rules'!$C$42:$C$68,0)),"")=U1402,AND(IFERROR(INDEX('Taxonomy Rules'!$G$42:$G$68,MATCH(E1402,'Taxonomy Rules'!$C$42:$C$68,0)),"")="Building routes",OR(U1402="Building renovation",U1402="New building",U1402="Building equipment"))))),"Unexpected test","Valid"))))</x:f>
      </x:c>
      <x:c r="S1402" s="9" t="str">
        <x:f>IF(C1402="","",IFERROR(INDEX('Taxonomy Rules'!$E$42:$E$68,MATCH(E1402,'Taxonomy Rules'!$C$42:$C$68,0)),""))</x:f>
      </x:c>
      <x:c r="T1402" s="9" t="str">
        <x:f>IF(C1402="","",IFERROR(INDEX('Taxonomy Rules'!$F$42:$F$68,MATCH(E1402,'Taxonomy Rules'!$C$42:$C$68,0)),""))</x:f>
      </x:c>
      <x:c r="U1402" s="9" t="str">
        <x:f>IF(C1402="","",IFERROR(INDEX('Taxonomy'!$G$9:$G$108,MATCH(D1402,'Taxonomy'!$C$9:$C$108,0)),""))</x:f>
      </x:c>
    </x:row>
    <x:row r="1403" ht="44" customHeight="1">
      <x:c r="A1403" s="1"/>
      <x:c r="B1403" s="1"/>
      <x:c r="C1403" s="8"/>
      <x:c r="D1403" s="8"/>
      <x:c r="E1403" s="8"/>
      <x:c r="F1403" s="8"/>
      <x:c r="G1403" s="8"/>
      <x:c r="H1403" s="8"/>
      <x:c r="I1403" s="8"/>
      <x:c r="J1403" s="8"/>
      <x:c r="K1403" s="8"/>
      <x:c r="L1403" s="8"/>
      <x:c r="M1403" s="10"/>
      <x:c r="N1403" s="10"/>
      <x:c r="O1403" s="8"/>
      <x:c r="P1403" s="9" t="str">
        <x:f>IF(C1403="","",IF(AND(G1403="Applicable",H1403="Fail"),"Fail",IF(R1403&lt;&gt;"Valid","Pending",IF(OR(I1403="",K1403="",L1403="",K1403=L1403,NOT(ISNUMBER(M1403)),NOT(ISNUMBER(N1403)),M1403&gt;Settings!$F$8,N1403&lt;Settings!$F$8,N1403&lt;M1403),"Pending",IF(AND(G1403="Applicable",H1403="Pass"),"Pass",IF(AND(G1403="N/A",H1403="N/A",J1403&lt;&gt;"",OR(E1403="CEM-FUELS",E1403="CEM-CCS",AND(E1403="CEM-PLAN",IFERROR(INDEX('Taxonomy'!$M$9:$M$108,MATCH(D1403,'Taxonomy'!$C$9:$C$108,0)),"")&lt;&gt;"Amber"),E1403="BLD-TIMBER",AND(U1403="Building equipment",OR(E1403="BLD-WATER",E1403="BLD-WASTE",E1403="BLD-LAND")),AND(U1403="Building renovation",E1403="BLD-LAND"))),"N/A","Pending"))))))</x:f>
      </x:c>
      <x:c r="Q1403" s="3" t="str">
        <x:f>IF(C1403="","",IF(AND(R1403="Valid",OR(P1403="Pass",P1403="N/A")),"Complete","Unresolved"))</x:f>
      </x:c>
      <x:c r="R1403" s="9" t="str">
        <x:f>IF(C1403="","",IF(OR(COUNTIF($C$9:$C$2008,C1403)&lt;&gt;1,COUNTIFS($D$9:$D$2008,D1403,$E$9:$E$2008,E1403)&lt;&gt;1),"Duplicate test",IF(COUNTIF('Taxonomy'!$C$9:$C$108,D1403)&lt;&gt;1,"Assessment key",IF(OR(COUNTIF('Taxonomy Rules'!$C$42:$C$68,E1403)&lt;&gt;1,F1403&lt;&gt;IFERROR(INDEX('Taxonomy Rules'!$D$42:$D$68,MATCH(E1403,'Taxonomy Rules'!$C$42:$C$68,0)),""),NOT(OR(IFERROR(INDEX('Taxonomy Rules'!$G$42:$G$68,MATCH(E1403,'Taxonomy Rules'!$C$42:$C$68,0)),"")="All supported routes",IFERROR(INDEX('Taxonomy Rules'!$G$42:$G$68,MATCH(E1403,'Taxonomy Rules'!$C$42:$C$68,0)),"")=U1403,AND(IFERROR(INDEX('Taxonomy Rules'!$G$42:$G$68,MATCH(E1403,'Taxonomy Rules'!$C$42:$C$68,0)),"")="Building routes",OR(U1403="Building renovation",U1403="New building",U1403="Building equipment"))))),"Unexpected test","Valid"))))</x:f>
      </x:c>
      <x:c r="S1403" s="9" t="str">
        <x:f>IF(C1403="","",IFERROR(INDEX('Taxonomy Rules'!$E$42:$E$68,MATCH(E1403,'Taxonomy Rules'!$C$42:$C$68,0)),""))</x:f>
      </x:c>
      <x:c r="T1403" s="9" t="str">
        <x:f>IF(C1403="","",IFERROR(INDEX('Taxonomy Rules'!$F$42:$F$68,MATCH(E1403,'Taxonomy Rules'!$C$42:$C$68,0)),""))</x:f>
      </x:c>
      <x:c r="U1403" s="9" t="str">
        <x:f>IF(C1403="","",IFERROR(INDEX('Taxonomy'!$G$9:$G$108,MATCH(D1403,'Taxonomy'!$C$9:$C$108,0)),""))</x:f>
      </x:c>
    </x:row>
    <x:row r="1404" ht="44" customHeight="1">
      <x:c r="A1404" s="1"/>
      <x:c r="B1404" s="1"/>
      <x:c r="C1404" s="8"/>
      <x:c r="D1404" s="8"/>
      <x:c r="E1404" s="8"/>
      <x:c r="F1404" s="8"/>
      <x:c r="G1404" s="8"/>
      <x:c r="H1404" s="8"/>
      <x:c r="I1404" s="8"/>
      <x:c r="J1404" s="8"/>
      <x:c r="K1404" s="8"/>
      <x:c r="L1404" s="8"/>
      <x:c r="M1404" s="10"/>
      <x:c r="N1404" s="10"/>
      <x:c r="O1404" s="8"/>
      <x:c r="P1404" s="9" t="str">
        <x:f>IF(C1404="","",IF(AND(G1404="Applicable",H1404="Fail"),"Fail",IF(R1404&lt;&gt;"Valid","Pending",IF(OR(I1404="",K1404="",L1404="",K1404=L1404,NOT(ISNUMBER(M1404)),NOT(ISNUMBER(N1404)),M1404&gt;Settings!$F$8,N1404&lt;Settings!$F$8,N1404&lt;M1404),"Pending",IF(AND(G1404="Applicable",H1404="Pass"),"Pass",IF(AND(G1404="N/A",H1404="N/A",J1404&lt;&gt;"",OR(E1404="CEM-FUELS",E1404="CEM-CCS",AND(E1404="CEM-PLAN",IFERROR(INDEX('Taxonomy'!$M$9:$M$108,MATCH(D1404,'Taxonomy'!$C$9:$C$108,0)),"")&lt;&gt;"Amber"),E1404="BLD-TIMBER",AND(U1404="Building equipment",OR(E1404="BLD-WATER",E1404="BLD-WASTE",E1404="BLD-LAND")),AND(U1404="Building renovation",E1404="BLD-LAND"))),"N/A","Pending"))))))</x:f>
      </x:c>
      <x:c r="Q1404" s="3" t="str">
        <x:f>IF(C1404="","",IF(AND(R1404="Valid",OR(P1404="Pass",P1404="N/A")),"Complete","Unresolved"))</x:f>
      </x:c>
      <x:c r="R1404" s="9" t="str">
        <x:f>IF(C1404="","",IF(OR(COUNTIF($C$9:$C$2008,C1404)&lt;&gt;1,COUNTIFS($D$9:$D$2008,D1404,$E$9:$E$2008,E1404)&lt;&gt;1),"Duplicate test",IF(COUNTIF('Taxonomy'!$C$9:$C$108,D1404)&lt;&gt;1,"Assessment key",IF(OR(COUNTIF('Taxonomy Rules'!$C$42:$C$68,E1404)&lt;&gt;1,F1404&lt;&gt;IFERROR(INDEX('Taxonomy Rules'!$D$42:$D$68,MATCH(E1404,'Taxonomy Rules'!$C$42:$C$68,0)),""),NOT(OR(IFERROR(INDEX('Taxonomy Rules'!$G$42:$G$68,MATCH(E1404,'Taxonomy Rules'!$C$42:$C$68,0)),"")="All supported routes",IFERROR(INDEX('Taxonomy Rules'!$G$42:$G$68,MATCH(E1404,'Taxonomy Rules'!$C$42:$C$68,0)),"")=U1404,AND(IFERROR(INDEX('Taxonomy Rules'!$G$42:$G$68,MATCH(E1404,'Taxonomy Rules'!$C$42:$C$68,0)),"")="Building routes",OR(U1404="Building renovation",U1404="New building",U1404="Building equipment"))))),"Unexpected test","Valid"))))</x:f>
      </x:c>
      <x:c r="S1404" s="9" t="str">
        <x:f>IF(C1404="","",IFERROR(INDEX('Taxonomy Rules'!$E$42:$E$68,MATCH(E1404,'Taxonomy Rules'!$C$42:$C$68,0)),""))</x:f>
      </x:c>
      <x:c r="T1404" s="9" t="str">
        <x:f>IF(C1404="","",IFERROR(INDEX('Taxonomy Rules'!$F$42:$F$68,MATCH(E1404,'Taxonomy Rules'!$C$42:$C$68,0)),""))</x:f>
      </x:c>
      <x:c r="U1404" s="9" t="str">
        <x:f>IF(C1404="","",IFERROR(INDEX('Taxonomy'!$G$9:$G$108,MATCH(D1404,'Taxonomy'!$C$9:$C$108,0)),""))</x:f>
      </x:c>
    </x:row>
    <x:row r="1405" ht="44" customHeight="1">
      <x:c r="A1405" s="1"/>
      <x:c r="B1405" s="1"/>
      <x:c r="C1405" s="8"/>
      <x:c r="D1405" s="8"/>
      <x:c r="E1405" s="8"/>
      <x:c r="F1405" s="8"/>
      <x:c r="G1405" s="8"/>
      <x:c r="H1405" s="8"/>
      <x:c r="I1405" s="8"/>
      <x:c r="J1405" s="8"/>
      <x:c r="K1405" s="8"/>
      <x:c r="L1405" s="8"/>
      <x:c r="M1405" s="10"/>
      <x:c r="N1405" s="10"/>
      <x:c r="O1405" s="8"/>
      <x:c r="P1405" s="9" t="str">
        <x:f>IF(C1405="","",IF(AND(G1405="Applicable",H1405="Fail"),"Fail",IF(R1405&lt;&gt;"Valid","Pending",IF(OR(I1405="",K1405="",L1405="",K1405=L1405,NOT(ISNUMBER(M1405)),NOT(ISNUMBER(N1405)),M1405&gt;Settings!$F$8,N1405&lt;Settings!$F$8,N1405&lt;M1405),"Pending",IF(AND(G1405="Applicable",H1405="Pass"),"Pass",IF(AND(G1405="N/A",H1405="N/A",J1405&lt;&gt;"",OR(E1405="CEM-FUELS",E1405="CEM-CCS",AND(E1405="CEM-PLAN",IFERROR(INDEX('Taxonomy'!$M$9:$M$108,MATCH(D1405,'Taxonomy'!$C$9:$C$108,0)),"")&lt;&gt;"Amber"),E1405="BLD-TIMBER",AND(U1405="Building equipment",OR(E1405="BLD-WATER",E1405="BLD-WASTE",E1405="BLD-LAND")),AND(U1405="Building renovation",E1405="BLD-LAND"))),"N/A","Pending"))))))</x:f>
      </x:c>
      <x:c r="Q1405" s="3" t="str">
        <x:f>IF(C1405="","",IF(AND(R1405="Valid",OR(P1405="Pass",P1405="N/A")),"Complete","Unresolved"))</x:f>
      </x:c>
      <x:c r="R1405" s="9" t="str">
        <x:f>IF(C1405="","",IF(OR(COUNTIF($C$9:$C$2008,C1405)&lt;&gt;1,COUNTIFS($D$9:$D$2008,D1405,$E$9:$E$2008,E1405)&lt;&gt;1),"Duplicate test",IF(COUNTIF('Taxonomy'!$C$9:$C$108,D1405)&lt;&gt;1,"Assessment key",IF(OR(COUNTIF('Taxonomy Rules'!$C$42:$C$68,E1405)&lt;&gt;1,F1405&lt;&gt;IFERROR(INDEX('Taxonomy Rules'!$D$42:$D$68,MATCH(E1405,'Taxonomy Rules'!$C$42:$C$68,0)),""),NOT(OR(IFERROR(INDEX('Taxonomy Rules'!$G$42:$G$68,MATCH(E1405,'Taxonomy Rules'!$C$42:$C$68,0)),"")="All supported routes",IFERROR(INDEX('Taxonomy Rules'!$G$42:$G$68,MATCH(E1405,'Taxonomy Rules'!$C$42:$C$68,0)),"")=U1405,AND(IFERROR(INDEX('Taxonomy Rules'!$G$42:$G$68,MATCH(E1405,'Taxonomy Rules'!$C$42:$C$68,0)),"")="Building routes",OR(U1405="Building renovation",U1405="New building",U1405="Building equipment"))))),"Unexpected test","Valid"))))</x:f>
      </x:c>
      <x:c r="S1405" s="9" t="str">
        <x:f>IF(C1405="","",IFERROR(INDEX('Taxonomy Rules'!$E$42:$E$68,MATCH(E1405,'Taxonomy Rules'!$C$42:$C$68,0)),""))</x:f>
      </x:c>
      <x:c r="T1405" s="9" t="str">
        <x:f>IF(C1405="","",IFERROR(INDEX('Taxonomy Rules'!$F$42:$F$68,MATCH(E1405,'Taxonomy Rules'!$C$42:$C$68,0)),""))</x:f>
      </x:c>
      <x:c r="U1405" s="9" t="str">
        <x:f>IF(C1405="","",IFERROR(INDEX('Taxonomy'!$G$9:$G$108,MATCH(D1405,'Taxonomy'!$C$9:$C$108,0)),""))</x:f>
      </x:c>
    </x:row>
    <x:row r="1406" ht="44" customHeight="1">
      <x:c r="A1406" s="1"/>
      <x:c r="B1406" s="1"/>
      <x:c r="C1406" s="8"/>
      <x:c r="D1406" s="8"/>
      <x:c r="E1406" s="8"/>
      <x:c r="F1406" s="8"/>
      <x:c r="G1406" s="8"/>
      <x:c r="H1406" s="8"/>
      <x:c r="I1406" s="8"/>
      <x:c r="J1406" s="8"/>
      <x:c r="K1406" s="8"/>
      <x:c r="L1406" s="8"/>
      <x:c r="M1406" s="10"/>
      <x:c r="N1406" s="10"/>
      <x:c r="O1406" s="8"/>
      <x:c r="P1406" s="9" t="str">
        <x:f>IF(C1406="","",IF(AND(G1406="Applicable",H1406="Fail"),"Fail",IF(R1406&lt;&gt;"Valid","Pending",IF(OR(I1406="",K1406="",L1406="",K1406=L1406,NOT(ISNUMBER(M1406)),NOT(ISNUMBER(N1406)),M1406&gt;Settings!$F$8,N1406&lt;Settings!$F$8,N1406&lt;M1406),"Pending",IF(AND(G1406="Applicable",H1406="Pass"),"Pass",IF(AND(G1406="N/A",H1406="N/A",J1406&lt;&gt;"",OR(E1406="CEM-FUELS",E1406="CEM-CCS",AND(E1406="CEM-PLAN",IFERROR(INDEX('Taxonomy'!$M$9:$M$108,MATCH(D1406,'Taxonomy'!$C$9:$C$108,0)),"")&lt;&gt;"Amber"),E1406="BLD-TIMBER",AND(U1406="Building equipment",OR(E1406="BLD-WATER",E1406="BLD-WASTE",E1406="BLD-LAND")),AND(U1406="Building renovation",E1406="BLD-LAND"))),"N/A","Pending"))))))</x:f>
      </x:c>
      <x:c r="Q1406" s="3" t="str">
        <x:f>IF(C1406="","",IF(AND(R1406="Valid",OR(P1406="Pass",P1406="N/A")),"Complete","Unresolved"))</x:f>
      </x:c>
      <x:c r="R1406" s="9" t="str">
        <x:f>IF(C1406="","",IF(OR(COUNTIF($C$9:$C$2008,C1406)&lt;&gt;1,COUNTIFS($D$9:$D$2008,D1406,$E$9:$E$2008,E1406)&lt;&gt;1),"Duplicate test",IF(COUNTIF('Taxonomy'!$C$9:$C$108,D1406)&lt;&gt;1,"Assessment key",IF(OR(COUNTIF('Taxonomy Rules'!$C$42:$C$68,E1406)&lt;&gt;1,F1406&lt;&gt;IFERROR(INDEX('Taxonomy Rules'!$D$42:$D$68,MATCH(E1406,'Taxonomy Rules'!$C$42:$C$68,0)),""),NOT(OR(IFERROR(INDEX('Taxonomy Rules'!$G$42:$G$68,MATCH(E1406,'Taxonomy Rules'!$C$42:$C$68,0)),"")="All supported routes",IFERROR(INDEX('Taxonomy Rules'!$G$42:$G$68,MATCH(E1406,'Taxonomy Rules'!$C$42:$C$68,0)),"")=U1406,AND(IFERROR(INDEX('Taxonomy Rules'!$G$42:$G$68,MATCH(E1406,'Taxonomy Rules'!$C$42:$C$68,0)),"")="Building routes",OR(U1406="Building renovation",U1406="New building",U1406="Building equipment"))))),"Unexpected test","Valid"))))</x:f>
      </x:c>
      <x:c r="S1406" s="9" t="str">
        <x:f>IF(C1406="","",IFERROR(INDEX('Taxonomy Rules'!$E$42:$E$68,MATCH(E1406,'Taxonomy Rules'!$C$42:$C$68,0)),""))</x:f>
      </x:c>
      <x:c r="T1406" s="9" t="str">
        <x:f>IF(C1406="","",IFERROR(INDEX('Taxonomy Rules'!$F$42:$F$68,MATCH(E1406,'Taxonomy Rules'!$C$42:$C$68,0)),""))</x:f>
      </x:c>
      <x:c r="U1406" s="9" t="str">
        <x:f>IF(C1406="","",IFERROR(INDEX('Taxonomy'!$G$9:$G$108,MATCH(D1406,'Taxonomy'!$C$9:$C$108,0)),""))</x:f>
      </x:c>
    </x:row>
    <x:row r="1407" ht="44" customHeight="1">
      <x:c r="A1407" s="1"/>
      <x:c r="B1407" s="1"/>
      <x:c r="C1407" s="8"/>
      <x:c r="D1407" s="8"/>
      <x:c r="E1407" s="8"/>
      <x:c r="F1407" s="8"/>
      <x:c r="G1407" s="8"/>
      <x:c r="H1407" s="8"/>
      <x:c r="I1407" s="8"/>
      <x:c r="J1407" s="8"/>
      <x:c r="K1407" s="8"/>
      <x:c r="L1407" s="8"/>
      <x:c r="M1407" s="10"/>
      <x:c r="N1407" s="10"/>
      <x:c r="O1407" s="8"/>
      <x:c r="P1407" s="9" t="str">
        <x:f>IF(C1407="","",IF(AND(G1407="Applicable",H1407="Fail"),"Fail",IF(R1407&lt;&gt;"Valid","Pending",IF(OR(I1407="",K1407="",L1407="",K1407=L1407,NOT(ISNUMBER(M1407)),NOT(ISNUMBER(N1407)),M1407&gt;Settings!$F$8,N1407&lt;Settings!$F$8,N1407&lt;M1407),"Pending",IF(AND(G1407="Applicable",H1407="Pass"),"Pass",IF(AND(G1407="N/A",H1407="N/A",J1407&lt;&gt;"",OR(E1407="CEM-FUELS",E1407="CEM-CCS",AND(E1407="CEM-PLAN",IFERROR(INDEX('Taxonomy'!$M$9:$M$108,MATCH(D1407,'Taxonomy'!$C$9:$C$108,0)),"")&lt;&gt;"Amber"),E1407="BLD-TIMBER",AND(U1407="Building equipment",OR(E1407="BLD-WATER",E1407="BLD-WASTE",E1407="BLD-LAND")),AND(U1407="Building renovation",E1407="BLD-LAND"))),"N/A","Pending"))))))</x:f>
      </x:c>
      <x:c r="Q1407" s="3" t="str">
        <x:f>IF(C1407="","",IF(AND(R1407="Valid",OR(P1407="Pass",P1407="N/A")),"Complete","Unresolved"))</x:f>
      </x:c>
      <x:c r="R1407" s="9" t="str">
        <x:f>IF(C1407="","",IF(OR(COUNTIF($C$9:$C$2008,C1407)&lt;&gt;1,COUNTIFS($D$9:$D$2008,D1407,$E$9:$E$2008,E1407)&lt;&gt;1),"Duplicate test",IF(COUNTIF('Taxonomy'!$C$9:$C$108,D1407)&lt;&gt;1,"Assessment key",IF(OR(COUNTIF('Taxonomy Rules'!$C$42:$C$68,E1407)&lt;&gt;1,F1407&lt;&gt;IFERROR(INDEX('Taxonomy Rules'!$D$42:$D$68,MATCH(E1407,'Taxonomy Rules'!$C$42:$C$68,0)),""),NOT(OR(IFERROR(INDEX('Taxonomy Rules'!$G$42:$G$68,MATCH(E1407,'Taxonomy Rules'!$C$42:$C$68,0)),"")="All supported routes",IFERROR(INDEX('Taxonomy Rules'!$G$42:$G$68,MATCH(E1407,'Taxonomy Rules'!$C$42:$C$68,0)),"")=U1407,AND(IFERROR(INDEX('Taxonomy Rules'!$G$42:$G$68,MATCH(E1407,'Taxonomy Rules'!$C$42:$C$68,0)),"")="Building routes",OR(U1407="Building renovation",U1407="New building",U1407="Building equipment"))))),"Unexpected test","Valid"))))</x:f>
      </x:c>
      <x:c r="S1407" s="9" t="str">
        <x:f>IF(C1407="","",IFERROR(INDEX('Taxonomy Rules'!$E$42:$E$68,MATCH(E1407,'Taxonomy Rules'!$C$42:$C$68,0)),""))</x:f>
      </x:c>
      <x:c r="T1407" s="9" t="str">
        <x:f>IF(C1407="","",IFERROR(INDEX('Taxonomy Rules'!$F$42:$F$68,MATCH(E1407,'Taxonomy Rules'!$C$42:$C$68,0)),""))</x:f>
      </x:c>
      <x:c r="U1407" s="9" t="str">
        <x:f>IF(C1407="","",IFERROR(INDEX('Taxonomy'!$G$9:$G$108,MATCH(D1407,'Taxonomy'!$C$9:$C$108,0)),""))</x:f>
      </x:c>
    </x:row>
    <x:row r="1408" ht="44" customHeight="1">
      <x:c r="A1408" s="1"/>
      <x:c r="B1408" s="1"/>
      <x:c r="C1408" s="8"/>
      <x:c r="D1408" s="8"/>
      <x:c r="E1408" s="8"/>
      <x:c r="F1408" s="8"/>
      <x:c r="G1408" s="8"/>
      <x:c r="H1408" s="8"/>
      <x:c r="I1408" s="8"/>
      <x:c r="J1408" s="8"/>
      <x:c r="K1408" s="8"/>
      <x:c r="L1408" s="8"/>
      <x:c r="M1408" s="10"/>
      <x:c r="N1408" s="10"/>
      <x:c r="O1408" s="8"/>
      <x:c r="P1408" s="9" t="str">
        <x:f>IF(C1408="","",IF(AND(G1408="Applicable",H1408="Fail"),"Fail",IF(R1408&lt;&gt;"Valid","Pending",IF(OR(I1408="",K1408="",L1408="",K1408=L1408,NOT(ISNUMBER(M1408)),NOT(ISNUMBER(N1408)),M1408&gt;Settings!$F$8,N1408&lt;Settings!$F$8,N1408&lt;M1408),"Pending",IF(AND(G1408="Applicable",H1408="Pass"),"Pass",IF(AND(G1408="N/A",H1408="N/A",J1408&lt;&gt;"",OR(E1408="CEM-FUELS",E1408="CEM-CCS",AND(E1408="CEM-PLAN",IFERROR(INDEX('Taxonomy'!$M$9:$M$108,MATCH(D1408,'Taxonomy'!$C$9:$C$108,0)),"")&lt;&gt;"Amber"),E1408="BLD-TIMBER",AND(U1408="Building equipment",OR(E1408="BLD-WATER",E1408="BLD-WASTE",E1408="BLD-LAND")),AND(U1408="Building renovation",E1408="BLD-LAND"))),"N/A","Pending"))))))</x:f>
      </x:c>
      <x:c r="Q1408" s="3" t="str">
        <x:f>IF(C1408="","",IF(AND(R1408="Valid",OR(P1408="Pass",P1408="N/A")),"Complete","Unresolved"))</x:f>
      </x:c>
      <x:c r="R1408" s="9" t="str">
        <x:f>IF(C1408="","",IF(OR(COUNTIF($C$9:$C$2008,C1408)&lt;&gt;1,COUNTIFS($D$9:$D$2008,D1408,$E$9:$E$2008,E1408)&lt;&gt;1),"Duplicate test",IF(COUNTIF('Taxonomy'!$C$9:$C$108,D1408)&lt;&gt;1,"Assessment key",IF(OR(COUNTIF('Taxonomy Rules'!$C$42:$C$68,E1408)&lt;&gt;1,F1408&lt;&gt;IFERROR(INDEX('Taxonomy Rules'!$D$42:$D$68,MATCH(E1408,'Taxonomy Rules'!$C$42:$C$68,0)),""),NOT(OR(IFERROR(INDEX('Taxonomy Rules'!$G$42:$G$68,MATCH(E1408,'Taxonomy Rules'!$C$42:$C$68,0)),"")="All supported routes",IFERROR(INDEX('Taxonomy Rules'!$G$42:$G$68,MATCH(E1408,'Taxonomy Rules'!$C$42:$C$68,0)),"")=U1408,AND(IFERROR(INDEX('Taxonomy Rules'!$G$42:$G$68,MATCH(E1408,'Taxonomy Rules'!$C$42:$C$68,0)),"")="Building routes",OR(U1408="Building renovation",U1408="New building",U1408="Building equipment"))))),"Unexpected test","Valid"))))</x:f>
      </x:c>
      <x:c r="S1408" s="9" t="str">
        <x:f>IF(C1408="","",IFERROR(INDEX('Taxonomy Rules'!$E$42:$E$68,MATCH(E1408,'Taxonomy Rules'!$C$42:$C$68,0)),""))</x:f>
      </x:c>
      <x:c r="T1408" s="9" t="str">
        <x:f>IF(C1408="","",IFERROR(INDEX('Taxonomy Rules'!$F$42:$F$68,MATCH(E1408,'Taxonomy Rules'!$C$42:$C$68,0)),""))</x:f>
      </x:c>
      <x:c r="U1408" s="9" t="str">
        <x:f>IF(C1408="","",IFERROR(INDEX('Taxonomy'!$G$9:$G$108,MATCH(D1408,'Taxonomy'!$C$9:$C$108,0)),""))</x:f>
      </x:c>
    </x:row>
    <x:row r="1409" ht="44" customHeight="1">
      <x:c r="A1409" s="1"/>
      <x:c r="B1409" s="1"/>
      <x:c r="C1409" s="8"/>
      <x:c r="D1409" s="8"/>
      <x:c r="E1409" s="8"/>
      <x:c r="F1409" s="8"/>
      <x:c r="G1409" s="8"/>
      <x:c r="H1409" s="8"/>
      <x:c r="I1409" s="8"/>
      <x:c r="J1409" s="8"/>
      <x:c r="K1409" s="8"/>
      <x:c r="L1409" s="8"/>
      <x:c r="M1409" s="10"/>
      <x:c r="N1409" s="10"/>
      <x:c r="O1409" s="8"/>
      <x:c r="P1409" s="9" t="str">
        <x:f>IF(C1409="","",IF(AND(G1409="Applicable",H1409="Fail"),"Fail",IF(R1409&lt;&gt;"Valid","Pending",IF(OR(I1409="",K1409="",L1409="",K1409=L1409,NOT(ISNUMBER(M1409)),NOT(ISNUMBER(N1409)),M1409&gt;Settings!$F$8,N1409&lt;Settings!$F$8,N1409&lt;M1409),"Pending",IF(AND(G1409="Applicable",H1409="Pass"),"Pass",IF(AND(G1409="N/A",H1409="N/A",J1409&lt;&gt;"",OR(E1409="CEM-FUELS",E1409="CEM-CCS",AND(E1409="CEM-PLAN",IFERROR(INDEX('Taxonomy'!$M$9:$M$108,MATCH(D1409,'Taxonomy'!$C$9:$C$108,0)),"")&lt;&gt;"Amber"),E1409="BLD-TIMBER",AND(U1409="Building equipment",OR(E1409="BLD-WATER",E1409="BLD-WASTE",E1409="BLD-LAND")),AND(U1409="Building renovation",E1409="BLD-LAND"))),"N/A","Pending"))))))</x:f>
      </x:c>
      <x:c r="Q1409" s="3" t="str">
        <x:f>IF(C1409="","",IF(AND(R1409="Valid",OR(P1409="Pass",P1409="N/A")),"Complete","Unresolved"))</x:f>
      </x:c>
      <x:c r="R1409" s="9" t="str">
        <x:f>IF(C1409="","",IF(OR(COUNTIF($C$9:$C$2008,C1409)&lt;&gt;1,COUNTIFS($D$9:$D$2008,D1409,$E$9:$E$2008,E1409)&lt;&gt;1),"Duplicate test",IF(COUNTIF('Taxonomy'!$C$9:$C$108,D1409)&lt;&gt;1,"Assessment key",IF(OR(COUNTIF('Taxonomy Rules'!$C$42:$C$68,E1409)&lt;&gt;1,F1409&lt;&gt;IFERROR(INDEX('Taxonomy Rules'!$D$42:$D$68,MATCH(E1409,'Taxonomy Rules'!$C$42:$C$68,0)),""),NOT(OR(IFERROR(INDEX('Taxonomy Rules'!$G$42:$G$68,MATCH(E1409,'Taxonomy Rules'!$C$42:$C$68,0)),"")="All supported routes",IFERROR(INDEX('Taxonomy Rules'!$G$42:$G$68,MATCH(E1409,'Taxonomy Rules'!$C$42:$C$68,0)),"")=U1409,AND(IFERROR(INDEX('Taxonomy Rules'!$G$42:$G$68,MATCH(E1409,'Taxonomy Rules'!$C$42:$C$68,0)),"")="Building routes",OR(U1409="Building renovation",U1409="New building",U1409="Building equipment"))))),"Unexpected test","Valid"))))</x:f>
      </x:c>
      <x:c r="S1409" s="9" t="str">
        <x:f>IF(C1409="","",IFERROR(INDEX('Taxonomy Rules'!$E$42:$E$68,MATCH(E1409,'Taxonomy Rules'!$C$42:$C$68,0)),""))</x:f>
      </x:c>
      <x:c r="T1409" s="9" t="str">
        <x:f>IF(C1409="","",IFERROR(INDEX('Taxonomy Rules'!$F$42:$F$68,MATCH(E1409,'Taxonomy Rules'!$C$42:$C$68,0)),""))</x:f>
      </x:c>
      <x:c r="U1409" s="9" t="str">
        <x:f>IF(C1409="","",IFERROR(INDEX('Taxonomy'!$G$9:$G$108,MATCH(D1409,'Taxonomy'!$C$9:$C$108,0)),""))</x:f>
      </x:c>
    </x:row>
    <x:row r="1410" ht="44" customHeight="1">
      <x:c r="A1410" s="1"/>
      <x:c r="B1410" s="1"/>
      <x:c r="C1410" s="8"/>
      <x:c r="D1410" s="8"/>
      <x:c r="E1410" s="8"/>
      <x:c r="F1410" s="8"/>
      <x:c r="G1410" s="8"/>
      <x:c r="H1410" s="8"/>
      <x:c r="I1410" s="8"/>
      <x:c r="J1410" s="8"/>
      <x:c r="K1410" s="8"/>
      <x:c r="L1410" s="8"/>
      <x:c r="M1410" s="10"/>
      <x:c r="N1410" s="10"/>
      <x:c r="O1410" s="8"/>
      <x:c r="P1410" s="9" t="str">
        <x:f>IF(C1410="","",IF(AND(G1410="Applicable",H1410="Fail"),"Fail",IF(R1410&lt;&gt;"Valid","Pending",IF(OR(I1410="",K1410="",L1410="",K1410=L1410,NOT(ISNUMBER(M1410)),NOT(ISNUMBER(N1410)),M1410&gt;Settings!$F$8,N1410&lt;Settings!$F$8,N1410&lt;M1410),"Pending",IF(AND(G1410="Applicable",H1410="Pass"),"Pass",IF(AND(G1410="N/A",H1410="N/A",J1410&lt;&gt;"",OR(E1410="CEM-FUELS",E1410="CEM-CCS",AND(E1410="CEM-PLAN",IFERROR(INDEX('Taxonomy'!$M$9:$M$108,MATCH(D1410,'Taxonomy'!$C$9:$C$108,0)),"")&lt;&gt;"Amber"),E1410="BLD-TIMBER",AND(U1410="Building equipment",OR(E1410="BLD-WATER",E1410="BLD-WASTE",E1410="BLD-LAND")),AND(U1410="Building renovation",E1410="BLD-LAND"))),"N/A","Pending"))))))</x:f>
      </x:c>
      <x:c r="Q1410" s="3" t="str">
        <x:f>IF(C1410="","",IF(AND(R1410="Valid",OR(P1410="Pass",P1410="N/A")),"Complete","Unresolved"))</x:f>
      </x:c>
      <x:c r="R1410" s="9" t="str">
        <x:f>IF(C1410="","",IF(OR(COUNTIF($C$9:$C$2008,C1410)&lt;&gt;1,COUNTIFS($D$9:$D$2008,D1410,$E$9:$E$2008,E1410)&lt;&gt;1),"Duplicate test",IF(COUNTIF('Taxonomy'!$C$9:$C$108,D1410)&lt;&gt;1,"Assessment key",IF(OR(COUNTIF('Taxonomy Rules'!$C$42:$C$68,E1410)&lt;&gt;1,F1410&lt;&gt;IFERROR(INDEX('Taxonomy Rules'!$D$42:$D$68,MATCH(E1410,'Taxonomy Rules'!$C$42:$C$68,0)),""),NOT(OR(IFERROR(INDEX('Taxonomy Rules'!$G$42:$G$68,MATCH(E1410,'Taxonomy Rules'!$C$42:$C$68,0)),"")="All supported routes",IFERROR(INDEX('Taxonomy Rules'!$G$42:$G$68,MATCH(E1410,'Taxonomy Rules'!$C$42:$C$68,0)),"")=U1410,AND(IFERROR(INDEX('Taxonomy Rules'!$G$42:$G$68,MATCH(E1410,'Taxonomy Rules'!$C$42:$C$68,0)),"")="Building routes",OR(U1410="Building renovation",U1410="New building",U1410="Building equipment"))))),"Unexpected test","Valid"))))</x:f>
      </x:c>
      <x:c r="S1410" s="9" t="str">
        <x:f>IF(C1410="","",IFERROR(INDEX('Taxonomy Rules'!$E$42:$E$68,MATCH(E1410,'Taxonomy Rules'!$C$42:$C$68,0)),""))</x:f>
      </x:c>
      <x:c r="T1410" s="9" t="str">
        <x:f>IF(C1410="","",IFERROR(INDEX('Taxonomy Rules'!$F$42:$F$68,MATCH(E1410,'Taxonomy Rules'!$C$42:$C$68,0)),""))</x:f>
      </x:c>
      <x:c r="U1410" s="9" t="str">
        <x:f>IF(C1410="","",IFERROR(INDEX('Taxonomy'!$G$9:$G$108,MATCH(D1410,'Taxonomy'!$C$9:$C$108,0)),""))</x:f>
      </x:c>
    </x:row>
    <x:row r="1411" ht="44" customHeight="1">
      <x:c r="A1411" s="1"/>
      <x:c r="B1411" s="1"/>
      <x:c r="C1411" s="8"/>
      <x:c r="D1411" s="8"/>
      <x:c r="E1411" s="8"/>
      <x:c r="F1411" s="8"/>
      <x:c r="G1411" s="8"/>
      <x:c r="H1411" s="8"/>
      <x:c r="I1411" s="8"/>
      <x:c r="J1411" s="8"/>
      <x:c r="K1411" s="8"/>
      <x:c r="L1411" s="8"/>
      <x:c r="M1411" s="10"/>
      <x:c r="N1411" s="10"/>
      <x:c r="O1411" s="8"/>
      <x:c r="P1411" s="9" t="str">
        <x:f>IF(C1411="","",IF(AND(G1411="Applicable",H1411="Fail"),"Fail",IF(R1411&lt;&gt;"Valid","Pending",IF(OR(I1411="",K1411="",L1411="",K1411=L1411,NOT(ISNUMBER(M1411)),NOT(ISNUMBER(N1411)),M1411&gt;Settings!$F$8,N1411&lt;Settings!$F$8,N1411&lt;M1411),"Pending",IF(AND(G1411="Applicable",H1411="Pass"),"Pass",IF(AND(G1411="N/A",H1411="N/A",J1411&lt;&gt;"",OR(E1411="CEM-FUELS",E1411="CEM-CCS",AND(E1411="CEM-PLAN",IFERROR(INDEX('Taxonomy'!$M$9:$M$108,MATCH(D1411,'Taxonomy'!$C$9:$C$108,0)),"")&lt;&gt;"Amber"),E1411="BLD-TIMBER",AND(U1411="Building equipment",OR(E1411="BLD-WATER",E1411="BLD-WASTE",E1411="BLD-LAND")),AND(U1411="Building renovation",E1411="BLD-LAND"))),"N/A","Pending"))))))</x:f>
      </x:c>
      <x:c r="Q1411" s="3" t="str">
        <x:f>IF(C1411="","",IF(AND(R1411="Valid",OR(P1411="Pass",P1411="N/A")),"Complete","Unresolved"))</x:f>
      </x:c>
      <x:c r="R1411" s="9" t="str">
        <x:f>IF(C1411="","",IF(OR(COUNTIF($C$9:$C$2008,C1411)&lt;&gt;1,COUNTIFS($D$9:$D$2008,D1411,$E$9:$E$2008,E1411)&lt;&gt;1),"Duplicate test",IF(COUNTIF('Taxonomy'!$C$9:$C$108,D1411)&lt;&gt;1,"Assessment key",IF(OR(COUNTIF('Taxonomy Rules'!$C$42:$C$68,E1411)&lt;&gt;1,F1411&lt;&gt;IFERROR(INDEX('Taxonomy Rules'!$D$42:$D$68,MATCH(E1411,'Taxonomy Rules'!$C$42:$C$68,0)),""),NOT(OR(IFERROR(INDEX('Taxonomy Rules'!$G$42:$G$68,MATCH(E1411,'Taxonomy Rules'!$C$42:$C$68,0)),"")="All supported routes",IFERROR(INDEX('Taxonomy Rules'!$G$42:$G$68,MATCH(E1411,'Taxonomy Rules'!$C$42:$C$68,0)),"")=U1411,AND(IFERROR(INDEX('Taxonomy Rules'!$G$42:$G$68,MATCH(E1411,'Taxonomy Rules'!$C$42:$C$68,0)),"")="Building routes",OR(U1411="Building renovation",U1411="New building",U1411="Building equipment"))))),"Unexpected test","Valid"))))</x:f>
      </x:c>
      <x:c r="S1411" s="9" t="str">
        <x:f>IF(C1411="","",IFERROR(INDEX('Taxonomy Rules'!$E$42:$E$68,MATCH(E1411,'Taxonomy Rules'!$C$42:$C$68,0)),""))</x:f>
      </x:c>
      <x:c r="T1411" s="9" t="str">
        <x:f>IF(C1411="","",IFERROR(INDEX('Taxonomy Rules'!$F$42:$F$68,MATCH(E1411,'Taxonomy Rules'!$C$42:$C$68,0)),""))</x:f>
      </x:c>
      <x:c r="U1411" s="9" t="str">
        <x:f>IF(C1411="","",IFERROR(INDEX('Taxonomy'!$G$9:$G$108,MATCH(D1411,'Taxonomy'!$C$9:$C$108,0)),""))</x:f>
      </x:c>
    </x:row>
    <x:row r="1412" ht="44" customHeight="1">
      <x:c r="A1412" s="1"/>
      <x:c r="B1412" s="1"/>
      <x:c r="C1412" s="8"/>
      <x:c r="D1412" s="8"/>
      <x:c r="E1412" s="8"/>
      <x:c r="F1412" s="8"/>
      <x:c r="G1412" s="8"/>
      <x:c r="H1412" s="8"/>
      <x:c r="I1412" s="8"/>
      <x:c r="J1412" s="8"/>
      <x:c r="K1412" s="8"/>
      <x:c r="L1412" s="8"/>
      <x:c r="M1412" s="10"/>
      <x:c r="N1412" s="10"/>
      <x:c r="O1412" s="8"/>
      <x:c r="P1412" s="9" t="str">
        <x:f>IF(C1412="","",IF(AND(G1412="Applicable",H1412="Fail"),"Fail",IF(R1412&lt;&gt;"Valid","Pending",IF(OR(I1412="",K1412="",L1412="",K1412=L1412,NOT(ISNUMBER(M1412)),NOT(ISNUMBER(N1412)),M1412&gt;Settings!$F$8,N1412&lt;Settings!$F$8,N1412&lt;M1412),"Pending",IF(AND(G1412="Applicable",H1412="Pass"),"Pass",IF(AND(G1412="N/A",H1412="N/A",J1412&lt;&gt;"",OR(E1412="CEM-FUELS",E1412="CEM-CCS",AND(E1412="CEM-PLAN",IFERROR(INDEX('Taxonomy'!$M$9:$M$108,MATCH(D1412,'Taxonomy'!$C$9:$C$108,0)),"")&lt;&gt;"Amber"),E1412="BLD-TIMBER",AND(U1412="Building equipment",OR(E1412="BLD-WATER",E1412="BLD-WASTE",E1412="BLD-LAND")),AND(U1412="Building renovation",E1412="BLD-LAND"))),"N/A","Pending"))))))</x:f>
      </x:c>
      <x:c r="Q1412" s="3" t="str">
        <x:f>IF(C1412="","",IF(AND(R1412="Valid",OR(P1412="Pass",P1412="N/A")),"Complete","Unresolved"))</x:f>
      </x:c>
      <x:c r="R1412" s="9" t="str">
        <x:f>IF(C1412="","",IF(OR(COUNTIF($C$9:$C$2008,C1412)&lt;&gt;1,COUNTIFS($D$9:$D$2008,D1412,$E$9:$E$2008,E1412)&lt;&gt;1),"Duplicate test",IF(COUNTIF('Taxonomy'!$C$9:$C$108,D1412)&lt;&gt;1,"Assessment key",IF(OR(COUNTIF('Taxonomy Rules'!$C$42:$C$68,E1412)&lt;&gt;1,F1412&lt;&gt;IFERROR(INDEX('Taxonomy Rules'!$D$42:$D$68,MATCH(E1412,'Taxonomy Rules'!$C$42:$C$68,0)),""),NOT(OR(IFERROR(INDEX('Taxonomy Rules'!$G$42:$G$68,MATCH(E1412,'Taxonomy Rules'!$C$42:$C$68,0)),"")="All supported routes",IFERROR(INDEX('Taxonomy Rules'!$G$42:$G$68,MATCH(E1412,'Taxonomy Rules'!$C$42:$C$68,0)),"")=U1412,AND(IFERROR(INDEX('Taxonomy Rules'!$G$42:$G$68,MATCH(E1412,'Taxonomy Rules'!$C$42:$C$68,0)),"")="Building routes",OR(U1412="Building renovation",U1412="New building",U1412="Building equipment"))))),"Unexpected test","Valid"))))</x:f>
      </x:c>
      <x:c r="S1412" s="9" t="str">
        <x:f>IF(C1412="","",IFERROR(INDEX('Taxonomy Rules'!$E$42:$E$68,MATCH(E1412,'Taxonomy Rules'!$C$42:$C$68,0)),""))</x:f>
      </x:c>
      <x:c r="T1412" s="9" t="str">
        <x:f>IF(C1412="","",IFERROR(INDEX('Taxonomy Rules'!$F$42:$F$68,MATCH(E1412,'Taxonomy Rules'!$C$42:$C$68,0)),""))</x:f>
      </x:c>
      <x:c r="U1412" s="9" t="str">
        <x:f>IF(C1412="","",IFERROR(INDEX('Taxonomy'!$G$9:$G$108,MATCH(D1412,'Taxonomy'!$C$9:$C$108,0)),""))</x:f>
      </x:c>
    </x:row>
    <x:row r="1413" ht="44" customHeight="1">
      <x:c r="A1413" s="1"/>
      <x:c r="B1413" s="1"/>
      <x:c r="C1413" s="8"/>
      <x:c r="D1413" s="8"/>
      <x:c r="E1413" s="8"/>
      <x:c r="F1413" s="8"/>
      <x:c r="G1413" s="8"/>
      <x:c r="H1413" s="8"/>
      <x:c r="I1413" s="8"/>
      <x:c r="J1413" s="8"/>
      <x:c r="K1413" s="8"/>
      <x:c r="L1413" s="8"/>
      <x:c r="M1413" s="10"/>
      <x:c r="N1413" s="10"/>
      <x:c r="O1413" s="8"/>
      <x:c r="P1413" s="9" t="str">
        <x:f>IF(C1413="","",IF(AND(G1413="Applicable",H1413="Fail"),"Fail",IF(R1413&lt;&gt;"Valid","Pending",IF(OR(I1413="",K1413="",L1413="",K1413=L1413,NOT(ISNUMBER(M1413)),NOT(ISNUMBER(N1413)),M1413&gt;Settings!$F$8,N1413&lt;Settings!$F$8,N1413&lt;M1413),"Pending",IF(AND(G1413="Applicable",H1413="Pass"),"Pass",IF(AND(G1413="N/A",H1413="N/A",J1413&lt;&gt;"",OR(E1413="CEM-FUELS",E1413="CEM-CCS",AND(E1413="CEM-PLAN",IFERROR(INDEX('Taxonomy'!$M$9:$M$108,MATCH(D1413,'Taxonomy'!$C$9:$C$108,0)),"")&lt;&gt;"Amber"),E1413="BLD-TIMBER",AND(U1413="Building equipment",OR(E1413="BLD-WATER",E1413="BLD-WASTE",E1413="BLD-LAND")),AND(U1413="Building renovation",E1413="BLD-LAND"))),"N/A","Pending"))))))</x:f>
      </x:c>
      <x:c r="Q1413" s="3" t="str">
        <x:f>IF(C1413="","",IF(AND(R1413="Valid",OR(P1413="Pass",P1413="N/A")),"Complete","Unresolved"))</x:f>
      </x:c>
      <x:c r="R1413" s="9" t="str">
        <x:f>IF(C1413="","",IF(OR(COUNTIF($C$9:$C$2008,C1413)&lt;&gt;1,COUNTIFS($D$9:$D$2008,D1413,$E$9:$E$2008,E1413)&lt;&gt;1),"Duplicate test",IF(COUNTIF('Taxonomy'!$C$9:$C$108,D1413)&lt;&gt;1,"Assessment key",IF(OR(COUNTIF('Taxonomy Rules'!$C$42:$C$68,E1413)&lt;&gt;1,F1413&lt;&gt;IFERROR(INDEX('Taxonomy Rules'!$D$42:$D$68,MATCH(E1413,'Taxonomy Rules'!$C$42:$C$68,0)),""),NOT(OR(IFERROR(INDEX('Taxonomy Rules'!$G$42:$G$68,MATCH(E1413,'Taxonomy Rules'!$C$42:$C$68,0)),"")="All supported routes",IFERROR(INDEX('Taxonomy Rules'!$G$42:$G$68,MATCH(E1413,'Taxonomy Rules'!$C$42:$C$68,0)),"")=U1413,AND(IFERROR(INDEX('Taxonomy Rules'!$G$42:$G$68,MATCH(E1413,'Taxonomy Rules'!$C$42:$C$68,0)),"")="Building routes",OR(U1413="Building renovation",U1413="New building",U1413="Building equipment"))))),"Unexpected test","Valid"))))</x:f>
      </x:c>
      <x:c r="S1413" s="9" t="str">
        <x:f>IF(C1413="","",IFERROR(INDEX('Taxonomy Rules'!$E$42:$E$68,MATCH(E1413,'Taxonomy Rules'!$C$42:$C$68,0)),""))</x:f>
      </x:c>
      <x:c r="T1413" s="9" t="str">
        <x:f>IF(C1413="","",IFERROR(INDEX('Taxonomy Rules'!$F$42:$F$68,MATCH(E1413,'Taxonomy Rules'!$C$42:$C$68,0)),""))</x:f>
      </x:c>
      <x:c r="U1413" s="9" t="str">
        <x:f>IF(C1413="","",IFERROR(INDEX('Taxonomy'!$G$9:$G$108,MATCH(D1413,'Taxonomy'!$C$9:$C$108,0)),""))</x:f>
      </x:c>
    </x:row>
    <x:row r="1414" ht="44" customHeight="1">
      <x:c r="A1414" s="1"/>
      <x:c r="B1414" s="1"/>
      <x:c r="C1414" s="8"/>
      <x:c r="D1414" s="8"/>
      <x:c r="E1414" s="8"/>
      <x:c r="F1414" s="8"/>
      <x:c r="G1414" s="8"/>
      <x:c r="H1414" s="8"/>
      <x:c r="I1414" s="8"/>
      <x:c r="J1414" s="8"/>
      <x:c r="K1414" s="8"/>
      <x:c r="L1414" s="8"/>
      <x:c r="M1414" s="10"/>
      <x:c r="N1414" s="10"/>
      <x:c r="O1414" s="8"/>
      <x:c r="P1414" s="9" t="str">
        <x:f>IF(C1414="","",IF(AND(G1414="Applicable",H1414="Fail"),"Fail",IF(R1414&lt;&gt;"Valid","Pending",IF(OR(I1414="",K1414="",L1414="",K1414=L1414,NOT(ISNUMBER(M1414)),NOT(ISNUMBER(N1414)),M1414&gt;Settings!$F$8,N1414&lt;Settings!$F$8,N1414&lt;M1414),"Pending",IF(AND(G1414="Applicable",H1414="Pass"),"Pass",IF(AND(G1414="N/A",H1414="N/A",J1414&lt;&gt;"",OR(E1414="CEM-FUELS",E1414="CEM-CCS",AND(E1414="CEM-PLAN",IFERROR(INDEX('Taxonomy'!$M$9:$M$108,MATCH(D1414,'Taxonomy'!$C$9:$C$108,0)),"")&lt;&gt;"Amber"),E1414="BLD-TIMBER",AND(U1414="Building equipment",OR(E1414="BLD-WATER",E1414="BLD-WASTE",E1414="BLD-LAND")),AND(U1414="Building renovation",E1414="BLD-LAND"))),"N/A","Pending"))))))</x:f>
      </x:c>
      <x:c r="Q1414" s="3" t="str">
        <x:f>IF(C1414="","",IF(AND(R1414="Valid",OR(P1414="Pass",P1414="N/A")),"Complete","Unresolved"))</x:f>
      </x:c>
      <x:c r="R1414" s="9" t="str">
        <x:f>IF(C1414="","",IF(OR(COUNTIF($C$9:$C$2008,C1414)&lt;&gt;1,COUNTIFS($D$9:$D$2008,D1414,$E$9:$E$2008,E1414)&lt;&gt;1),"Duplicate test",IF(COUNTIF('Taxonomy'!$C$9:$C$108,D1414)&lt;&gt;1,"Assessment key",IF(OR(COUNTIF('Taxonomy Rules'!$C$42:$C$68,E1414)&lt;&gt;1,F1414&lt;&gt;IFERROR(INDEX('Taxonomy Rules'!$D$42:$D$68,MATCH(E1414,'Taxonomy Rules'!$C$42:$C$68,0)),""),NOT(OR(IFERROR(INDEX('Taxonomy Rules'!$G$42:$G$68,MATCH(E1414,'Taxonomy Rules'!$C$42:$C$68,0)),"")="All supported routes",IFERROR(INDEX('Taxonomy Rules'!$G$42:$G$68,MATCH(E1414,'Taxonomy Rules'!$C$42:$C$68,0)),"")=U1414,AND(IFERROR(INDEX('Taxonomy Rules'!$G$42:$G$68,MATCH(E1414,'Taxonomy Rules'!$C$42:$C$68,0)),"")="Building routes",OR(U1414="Building renovation",U1414="New building",U1414="Building equipment"))))),"Unexpected test","Valid"))))</x:f>
      </x:c>
      <x:c r="S1414" s="9" t="str">
        <x:f>IF(C1414="","",IFERROR(INDEX('Taxonomy Rules'!$E$42:$E$68,MATCH(E1414,'Taxonomy Rules'!$C$42:$C$68,0)),""))</x:f>
      </x:c>
      <x:c r="T1414" s="9" t="str">
        <x:f>IF(C1414="","",IFERROR(INDEX('Taxonomy Rules'!$F$42:$F$68,MATCH(E1414,'Taxonomy Rules'!$C$42:$C$68,0)),""))</x:f>
      </x:c>
      <x:c r="U1414" s="9" t="str">
        <x:f>IF(C1414="","",IFERROR(INDEX('Taxonomy'!$G$9:$G$108,MATCH(D1414,'Taxonomy'!$C$9:$C$108,0)),""))</x:f>
      </x:c>
    </x:row>
    <x:row r="1415" ht="44" customHeight="1">
      <x:c r="A1415" s="1"/>
      <x:c r="B1415" s="1"/>
      <x:c r="C1415" s="8"/>
      <x:c r="D1415" s="8"/>
      <x:c r="E1415" s="8"/>
      <x:c r="F1415" s="8"/>
      <x:c r="G1415" s="8"/>
      <x:c r="H1415" s="8"/>
      <x:c r="I1415" s="8"/>
      <x:c r="J1415" s="8"/>
      <x:c r="K1415" s="8"/>
      <x:c r="L1415" s="8"/>
      <x:c r="M1415" s="10"/>
      <x:c r="N1415" s="10"/>
      <x:c r="O1415" s="8"/>
      <x:c r="P1415" s="9" t="str">
        <x:f>IF(C1415="","",IF(AND(G1415="Applicable",H1415="Fail"),"Fail",IF(R1415&lt;&gt;"Valid","Pending",IF(OR(I1415="",K1415="",L1415="",K1415=L1415,NOT(ISNUMBER(M1415)),NOT(ISNUMBER(N1415)),M1415&gt;Settings!$F$8,N1415&lt;Settings!$F$8,N1415&lt;M1415),"Pending",IF(AND(G1415="Applicable",H1415="Pass"),"Pass",IF(AND(G1415="N/A",H1415="N/A",J1415&lt;&gt;"",OR(E1415="CEM-FUELS",E1415="CEM-CCS",AND(E1415="CEM-PLAN",IFERROR(INDEX('Taxonomy'!$M$9:$M$108,MATCH(D1415,'Taxonomy'!$C$9:$C$108,0)),"")&lt;&gt;"Amber"),E1415="BLD-TIMBER",AND(U1415="Building equipment",OR(E1415="BLD-WATER",E1415="BLD-WASTE",E1415="BLD-LAND")),AND(U1415="Building renovation",E1415="BLD-LAND"))),"N/A","Pending"))))))</x:f>
      </x:c>
      <x:c r="Q1415" s="3" t="str">
        <x:f>IF(C1415="","",IF(AND(R1415="Valid",OR(P1415="Pass",P1415="N/A")),"Complete","Unresolved"))</x:f>
      </x:c>
      <x:c r="R1415" s="9" t="str">
        <x:f>IF(C1415="","",IF(OR(COUNTIF($C$9:$C$2008,C1415)&lt;&gt;1,COUNTIFS($D$9:$D$2008,D1415,$E$9:$E$2008,E1415)&lt;&gt;1),"Duplicate test",IF(COUNTIF('Taxonomy'!$C$9:$C$108,D1415)&lt;&gt;1,"Assessment key",IF(OR(COUNTIF('Taxonomy Rules'!$C$42:$C$68,E1415)&lt;&gt;1,F1415&lt;&gt;IFERROR(INDEX('Taxonomy Rules'!$D$42:$D$68,MATCH(E1415,'Taxonomy Rules'!$C$42:$C$68,0)),""),NOT(OR(IFERROR(INDEX('Taxonomy Rules'!$G$42:$G$68,MATCH(E1415,'Taxonomy Rules'!$C$42:$C$68,0)),"")="All supported routes",IFERROR(INDEX('Taxonomy Rules'!$G$42:$G$68,MATCH(E1415,'Taxonomy Rules'!$C$42:$C$68,0)),"")=U1415,AND(IFERROR(INDEX('Taxonomy Rules'!$G$42:$G$68,MATCH(E1415,'Taxonomy Rules'!$C$42:$C$68,0)),"")="Building routes",OR(U1415="Building renovation",U1415="New building",U1415="Building equipment"))))),"Unexpected test","Valid"))))</x:f>
      </x:c>
      <x:c r="S1415" s="9" t="str">
        <x:f>IF(C1415="","",IFERROR(INDEX('Taxonomy Rules'!$E$42:$E$68,MATCH(E1415,'Taxonomy Rules'!$C$42:$C$68,0)),""))</x:f>
      </x:c>
      <x:c r="T1415" s="9" t="str">
        <x:f>IF(C1415="","",IFERROR(INDEX('Taxonomy Rules'!$F$42:$F$68,MATCH(E1415,'Taxonomy Rules'!$C$42:$C$68,0)),""))</x:f>
      </x:c>
      <x:c r="U1415" s="9" t="str">
        <x:f>IF(C1415="","",IFERROR(INDEX('Taxonomy'!$G$9:$G$108,MATCH(D1415,'Taxonomy'!$C$9:$C$108,0)),""))</x:f>
      </x:c>
    </x:row>
    <x:row r="1416" ht="44" customHeight="1">
      <x:c r="A1416" s="1"/>
      <x:c r="B1416" s="1"/>
      <x:c r="C1416" s="8"/>
      <x:c r="D1416" s="8"/>
      <x:c r="E1416" s="8"/>
      <x:c r="F1416" s="8"/>
      <x:c r="G1416" s="8"/>
      <x:c r="H1416" s="8"/>
      <x:c r="I1416" s="8"/>
      <x:c r="J1416" s="8"/>
      <x:c r="K1416" s="8"/>
      <x:c r="L1416" s="8"/>
      <x:c r="M1416" s="10"/>
      <x:c r="N1416" s="10"/>
      <x:c r="O1416" s="8"/>
      <x:c r="P1416" s="9" t="str">
        <x:f>IF(C1416="","",IF(AND(G1416="Applicable",H1416="Fail"),"Fail",IF(R1416&lt;&gt;"Valid","Pending",IF(OR(I1416="",K1416="",L1416="",K1416=L1416,NOT(ISNUMBER(M1416)),NOT(ISNUMBER(N1416)),M1416&gt;Settings!$F$8,N1416&lt;Settings!$F$8,N1416&lt;M1416),"Pending",IF(AND(G1416="Applicable",H1416="Pass"),"Pass",IF(AND(G1416="N/A",H1416="N/A",J1416&lt;&gt;"",OR(E1416="CEM-FUELS",E1416="CEM-CCS",AND(E1416="CEM-PLAN",IFERROR(INDEX('Taxonomy'!$M$9:$M$108,MATCH(D1416,'Taxonomy'!$C$9:$C$108,0)),"")&lt;&gt;"Amber"),E1416="BLD-TIMBER",AND(U1416="Building equipment",OR(E1416="BLD-WATER",E1416="BLD-WASTE",E1416="BLD-LAND")),AND(U1416="Building renovation",E1416="BLD-LAND"))),"N/A","Pending"))))))</x:f>
      </x:c>
      <x:c r="Q1416" s="3" t="str">
        <x:f>IF(C1416="","",IF(AND(R1416="Valid",OR(P1416="Pass",P1416="N/A")),"Complete","Unresolved"))</x:f>
      </x:c>
      <x:c r="R1416" s="9" t="str">
        <x:f>IF(C1416="","",IF(OR(COUNTIF($C$9:$C$2008,C1416)&lt;&gt;1,COUNTIFS($D$9:$D$2008,D1416,$E$9:$E$2008,E1416)&lt;&gt;1),"Duplicate test",IF(COUNTIF('Taxonomy'!$C$9:$C$108,D1416)&lt;&gt;1,"Assessment key",IF(OR(COUNTIF('Taxonomy Rules'!$C$42:$C$68,E1416)&lt;&gt;1,F1416&lt;&gt;IFERROR(INDEX('Taxonomy Rules'!$D$42:$D$68,MATCH(E1416,'Taxonomy Rules'!$C$42:$C$68,0)),""),NOT(OR(IFERROR(INDEX('Taxonomy Rules'!$G$42:$G$68,MATCH(E1416,'Taxonomy Rules'!$C$42:$C$68,0)),"")="All supported routes",IFERROR(INDEX('Taxonomy Rules'!$G$42:$G$68,MATCH(E1416,'Taxonomy Rules'!$C$42:$C$68,0)),"")=U1416,AND(IFERROR(INDEX('Taxonomy Rules'!$G$42:$G$68,MATCH(E1416,'Taxonomy Rules'!$C$42:$C$68,0)),"")="Building routes",OR(U1416="Building renovation",U1416="New building",U1416="Building equipment"))))),"Unexpected test","Valid"))))</x:f>
      </x:c>
      <x:c r="S1416" s="9" t="str">
        <x:f>IF(C1416="","",IFERROR(INDEX('Taxonomy Rules'!$E$42:$E$68,MATCH(E1416,'Taxonomy Rules'!$C$42:$C$68,0)),""))</x:f>
      </x:c>
      <x:c r="T1416" s="9" t="str">
        <x:f>IF(C1416="","",IFERROR(INDEX('Taxonomy Rules'!$F$42:$F$68,MATCH(E1416,'Taxonomy Rules'!$C$42:$C$68,0)),""))</x:f>
      </x:c>
      <x:c r="U1416" s="9" t="str">
        <x:f>IF(C1416="","",IFERROR(INDEX('Taxonomy'!$G$9:$G$108,MATCH(D1416,'Taxonomy'!$C$9:$C$108,0)),""))</x:f>
      </x:c>
    </x:row>
    <x:row r="1417" ht="44" customHeight="1">
      <x:c r="A1417" s="1"/>
      <x:c r="B1417" s="1"/>
      <x:c r="C1417" s="8"/>
      <x:c r="D1417" s="8"/>
      <x:c r="E1417" s="8"/>
      <x:c r="F1417" s="8"/>
      <x:c r="G1417" s="8"/>
      <x:c r="H1417" s="8"/>
      <x:c r="I1417" s="8"/>
      <x:c r="J1417" s="8"/>
      <x:c r="K1417" s="8"/>
      <x:c r="L1417" s="8"/>
      <x:c r="M1417" s="10"/>
      <x:c r="N1417" s="10"/>
      <x:c r="O1417" s="8"/>
      <x:c r="P1417" s="9" t="str">
        <x:f>IF(C1417="","",IF(AND(G1417="Applicable",H1417="Fail"),"Fail",IF(R1417&lt;&gt;"Valid","Pending",IF(OR(I1417="",K1417="",L1417="",K1417=L1417,NOT(ISNUMBER(M1417)),NOT(ISNUMBER(N1417)),M1417&gt;Settings!$F$8,N1417&lt;Settings!$F$8,N1417&lt;M1417),"Pending",IF(AND(G1417="Applicable",H1417="Pass"),"Pass",IF(AND(G1417="N/A",H1417="N/A",J1417&lt;&gt;"",OR(E1417="CEM-FUELS",E1417="CEM-CCS",AND(E1417="CEM-PLAN",IFERROR(INDEX('Taxonomy'!$M$9:$M$108,MATCH(D1417,'Taxonomy'!$C$9:$C$108,0)),"")&lt;&gt;"Amber"),E1417="BLD-TIMBER",AND(U1417="Building equipment",OR(E1417="BLD-WATER",E1417="BLD-WASTE",E1417="BLD-LAND")),AND(U1417="Building renovation",E1417="BLD-LAND"))),"N/A","Pending"))))))</x:f>
      </x:c>
      <x:c r="Q1417" s="3" t="str">
        <x:f>IF(C1417="","",IF(AND(R1417="Valid",OR(P1417="Pass",P1417="N/A")),"Complete","Unresolved"))</x:f>
      </x:c>
      <x:c r="R1417" s="9" t="str">
        <x:f>IF(C1417="","",IF(OR(COUNTIF($C$9:$C$2008,C1417)&lt;&gt;1,COUNTIFS($D$9:$D$2008,D1417,$E$9:$E$2008,E1417)&lt;&gt;1),"Duplicate test",IF(COUNTIF('Taxonomy'!$C$9:$C$108,D1417)&lt;&gt;1,"Assessment key",IF(OR(COUNTIF('Taxonomy Rules'!$C$42:$C$68,E1417)&lt;&gt;1,F1417&lt;&gt;IFERROR(INDEX('Taxonomy Rules'!$D$42:$D$68,MATCH(E1417,'Taxonomy Rules'!$C$42:$C$68,0)),""),NOT(OR(IFERROR(INDEX('Taxonomy Rules'!$G$42:$G$68,MATCH(E1417,'Taxonomy Rules'!$C$42:$C$68,0)),"")="All supported routes",IFERROR(INDEX('Taxonomy Rules'!$G$42:$G$68,MATCH(E1417,'Taxonomy Rules'!$C$42:$C$68,0)),"")=U1417,AND(IFERROR(INDEX('Taxonomy Rules'!$G$42:$G$68,MATCH(E1417,'Taxonomy Rules'!$C$42:$C$68,0)),"")="Building routes",OR(U1417="Building renovation",U1417="New building",U1417="Building equipment"))))),"Unexpected test","Valid"))))</x:f>
      </x:c>
      <x:c r="S1417" s="9" t="str">
        <x:f>IF(C1417="","",IFERROR(INDEX('Taxonomy Rules'!$E$42:$E$68,MATCH(E1417,'Taxonomy Rules'!$C$42:$C$68,0)),""))</x:f>
      </x:c>
      <x:c r="T1417" s="9" t="str">
        <x:f>IF(C1417="","",IFERROR(INDEX('Taxonomy Rules'!$F$42:$F$68,MATCH(E1417,'Taxonomy Rules'!$C$42:$C$68,0)),""))</x:f>
      </x:c>
      <x:c r="U1417" s="9" t="str">
        <x:f>IF(C1417="","",IFERROR(INDEX('Taxonomy'!$G$9:$G$108,MATCH(D1417,'Taxonomy'!$C$9:$C$108,0)),""))</x:f>
      </x:c>
    </x:row>
    <x:row r="1418" ht="44" customHeight="1">
      <x:c r="A1418" s="1"/>
      <x:c r="B1418" s="1"/>
      <x:c r="C1418" s="8"/>
      <x:c r="D1418" s="8"/>
      <x:c r="E1418" s="8"/>
      <x:c r="F1418" s="8"/>
      <x:c r="G1418" s="8"/>
      <x:c r="H1418" s="8"/>
      <x:c r="I1418" s="8"/>
      <x:c r="J1418" s="8"/>
      <x:c r="K1418" s="8"/>
      <x:c r="L1418" s="8"/>
      <x:c r="M1418" s="10"/>
      <x:c r="N1418" s="10"/>
      <x:c r="O1418" s="8"/>
      <x:c r="P1418" s="9" t="str">
        <x:f>IF(C1418="","",IF(AND(G1418="Applicable",H1418="Fail"),"Fail",IF(R1418&lt;&gt;"Valid","Pending",IF(OR(I1418="",K1418="",L1418="",K1418=L1418,NOT(ISNUMBER(M1418)),NOT(ISNUMBER(N1418)),M1418&gt;Settings!$F$8,N1418&lt;Settings!$F$8,N1418&lt;M1418),"Pending",IF(AND(G1418="Applicable",H1418="Pass"),"Pass",IF(AND(G1418="N/A",H1418="N/A",J1418&lt;&gt;"",OR(E1418="CEM-FUELS",E1418="CEM-CCS",AND(E1418="CEM-PLAN",IFERROR(INDEX('Taxonomy'!$M$9:$M$108,MATCH(D1418,'Taxonomy'!$C$9:$C$108,0)),"")&lt;&gt;"Amber"),E1418="BLD-TIMBER",AND(U1418="Building equipment",OR(E1418="BLD-WATER",E1418="BLD-WASTE",E1418="BLD-LAND")),AND(U1418="Building renovation",E1418="BLD-LAND"))),"N/A","Pending"))))))</x:f>
      </x:c>
      <x:c r="Q1418" s="3" t="str">
        <x:f>IF(C1418="","",IF(AND(R1418="Valid",OR(P1418="Pass",P1418="N/A")),"Complete","Unresolved"))</x:f>
      </x:c>
      <x:c r="R1418" s="9" t="str">
        <x:f>IF(C1418="","",IF(OR(COUNTIF($C$9:$C$2008,C1418)&lt;&gt;1,COUNTIFS($D$9:$D$2008,D1418,$E$9:$E$2008,E1418)&lt;&gt;1),"Duplicate test",IF(COUNTIF('Taxonomy'!$C$9:$C$108,D1418)&lt;&gt;1,"Assessment key",IF(OR(COUNTIF('Taxonomy Rules'!$C$42:$C$68,E1418)&lt;&gt;1,F1418&lt;&gt;IFERROR(INDEX('Taxonomy Rules'!$D$42:$D$68,MATCH(E1418,'Taxonomy Rules'!$C$42:$C$68,0)),""),NOT(OR(IFERROR(INDEX('Taxonomy Rules'!$G$42:$G$68,MATCH(E1418,'Taxonomy Rules'!$C$42:$C$68,0)),"")="All supported routes",IFERROR(INDEX('Taxonomy Rules'!$G$42:$G$68,MATCH(E1418,'Taxonomy Rules'!$C$42:$C$68,0)),"")=U1418,AND(IFERROR(INDEX('Taxonomy Rules'!$G$42:$G$68,MATCH(E1418,'Taxonomy Rules'!$C$42:$C$68,0)),"")="Building routes",OR(U1418="Building renovation",U1418="New building",U1418="Building equipment"))))),"Unexpected test","Valid"))))</x:f>
      </x:c>
      <x:c r="S1418" s="9" t="str">
        <x:f>IF(C1418="","",IFERROR(INDEX('Taxonomy Rules'!$E$42:$E$68,MATCH(E1418,'Taxonomy Rules'!$C$42:$C$68,0)),""))</x:f>
      </x:c>
      <x:c r="T1418" s="9" t="str">
        <x:f>IF(C1418="","",IFERROR(INDEX('Taxonomy Rules'!$F$42:$F$68,MATCH(E1418,'Taxonomy Rules'!$C$42:$C$68,0)),""))</x:f>
      </x:c>
      <x:c r="U1418" s="9" t="str">
        <x:f>IF(C1418="","",IFERROR(INDEX('Taxonomy'!$G$9:$G$108,MATCH(D1418,'Taxonomy'!$C$9:$C$108,0)),""))</x:f>
      </x:c>
    </x:row>
    <x:row r="1419" ht="44" customHeight="1">
      <x:c r="A1419" s="1"/>
      <x:c r="B1419" s="1"/>
      <x:c r="C1419" s="8"/>
      <x:c r="D1419" s="8"/>
      <x:c r="E1419" s="8"/>
      <x:c r="F1419" s="8"/>
      <x:c r="G1419" s="8"/>
      <x:c r="H1419" s="8"/>
      <x:c r="I1419" s="8"/>
      <x:c r="J1419" s="8"/>
      <x:c r="K1419" s="8"/>
      <x:c r="L1419" s="8"/>
      <x:c r="M1419" s="10"/>
      <x:c r="N1419" s="10"/>
      <x:c r="O1419" s="8"/>
      <x:c r="P1419" s="9" t="str">
        <x:f>IF(C1419="","",IF(AND(G1419="Applicable",H1419="Fail"),"Fail",IF(R1419&lt;&gt;"Valid","Pending",IF(OR(I1419="",K1419="",L1419="",K1419=L1419,NOT(ISNUMBER(M1419)),NOT(ISNUMBER(N1419)),M1419&gt;Settings!$F$8,N1419&lt;Settings!$F$8,N1419&lt;M1419),"Pending",IF(AND(G1419="Applicable",H1419="Pass"),"Pass",IF(AND(G1419="N/A",H1419="N/A",J1419&lt;&gt;"",OR(E1419="CEM-FUELS",E1419="CEM-CCS",AND(E1419="CEM-PLAN",IFERROR(INDEX('Taxonomy'!$M$9:$M$108,MATCH(D1419,'Taxonomy'!$C$9:$C$108,0)),"")&lt;&gt;"Amber"),E1419="BLD-TIMBER",AND(U1419="Building equipment",OR(E1419="BLD-WATER",E1419="BLD-WASTE",E1419="BLD-LAND")),AND(U1419="Building renovation",E1419="BLD-LAND"))),"N/A","Pending"))))))</x:f>
      </x:c>
      <x:c r="Q1419" s="3" t="str">
        <x:f>IF(C1419="","",IF(AND(R1419="Valid",OR(P1419="Pass",P1419="N/A")),"Complete","Unresolved"))</x:f>
      </x:c>
      <x:c r="R1419" s="9" t="str">
        <x:f>IF(C1419="","",IF(OR(COUNTIF($C$9:$C$2008,C1419)&lt;&gt;1,COUNTIFS($D$9:$D$2008,D1419,$E$9:$E$2008,E1419)&lt;&gt;1),"Duplicate test",IF(COUNTIF('Taxonomy'!$C$9:$C$108,D1419)&lt;&gt;1,"Assessment key",IF(OR(COUNTIF('Taxonomy Rules'!$C$42:$C$68,E1419)&lt;&gt;1,F1419&lt;&gt;IFERROR(INDEX('Taxonomy Rules'!$D$42:$D$68,MATCH(E1419,'Taxonomy Rules'!$C$42:$C$68,0)),""),NOT(OR(IFERROR(INDEX('Taxonomy Rules'!$G$42:$G$68,MATCH(E1419,'Taxonomy Rules'!$C$42:$C$68,0)),"")="All supported routes",IFERROR(INDEX('Taxonomy Rules'!$G$42:$G$68,MATCH(E1419,'Taxonomy Rules'!$C$42:$C$68,0)),"")=U1419,AND(IFERROR(INDEX('Taxonomy Rules'!$G$42:$G$68,MATCH(E1419,'Taxonomy Rules'!$C$42:$C$68,0)),"")="Building routes",OR(U1419="Building renovation",U1419="New building",U1419="Building equipment"))))),"Unexpected test","Valid"))))</x:f>
      </x:c>
      <x:c r="S1419" s="9" t="str">
        <x:f>IF(C1419="","",IFERROR(INDEX('Taxonomy Rules'!$E$42:$E$68,MATCH(E1419,'Taxonomy Rules'!$C$42:$C$68,0)),""))</x:f>
      </x:c>
      <x:c r="T1419" s="9" t="str">
        <x:f>IF(C1419="","",IFERROR(INDEX('Taxonomy Rules'!$F$42:$F$68,MATCH(E1419,'Taxonomy Rules'!$C$42:$C$68,0)),""))</x:f>
      </x:c>
      <x:c r="U1419" s="9" t="str">
        <x:f>IF(C1419="","",IFERROR(INDEX('Taxonomy'!$G$9:$G$108,MATCH(D1419,'Taxonomy'!$C$9:$C$108,0)),""))</x:f>
      </x:c>
    </x:row>
    <x:row r="1420" ht="44" customHeight="1">
      <x:c r="A1420" s="1"/>
      <x:c r="B1420" s="1"/>
      <x:c r="C1420" s="8"/>
      <x:c r="D1420" s="8"/>
      <x:c r="E1420" s="8"/>
      <x:c r="F1420" s="8"/>
      <x:c r="G1420" s="8"/>
      <x:c r="H1420" s="8"/>
      <x:c r="I1420" s="8"/>
      <x:c r="J1420" s="8"/>
      <x:c r="K1420" s="8"/>
      <x:c r="L1420" s="8"/>
      <x:c r="M1420" s="10"/>
      <x:c r="N1420" s="10"/>
      <x:c r="O1420" s="8"/>
      <x:c r="P1420" s="9" t="str">
        <x:f>IF(C1420="","",IF(AND(G1420="Applicable",H1420="Fail"),"Fail",IF(R1420&lt;&gt;"Valid","Pending",IF(OR(I1420="",K1420="",L1420="",K1420=L1420,NOT(ISNUMBER(M1420)),NOT(ISNUMBER(N1420)),M1420&gt;Settings!$F$8,N1420&lt;Settings!$F$8,N1420&lt;M1420),"Pending",IF(AND(G1420="Applicable",H1420="Pass"),"Pass",IF(AND(G1420="N/A",H1420="N/A",J1420&lt;&gt;"",OR(E1420="CEM-FUELS",E1420="CEM-CCS",AND(E1420="CEM-PLAN",IFERROR(INDEX('Taxonomy'!$M$9:$M$108,MATCH(D1420,'Taxonomy'!$C$9:$C$108,0)),"")&lt;&gt;"Amber"),E1420="BLD-TIMBER",AND(U1420="Building equipment",OR(E1420="BLD-WATER",E1420="BLD-WASTE",E1420="BLD-LAND")),AND(U1420="Building renovation",E1420="BLD-LAND"))),"N/A","Pending"))))))</x:f>
      </x:c>
      <x:c r="Q1420" s="3" t="str">
        <x:f>IF(C1420="","",IF(AND(R1420="Valid",OR(P1420="Pass",P1420="N/A")),"Complete","Unresolved"))</x:f>
      </x:c>
      <x:c r="R1420" s="9" t="str">
        <x:f>IF(C1420="","",IF(OR(COUNTIF($C$9:$C$2008,C1420)&lt;&gt;1,COUNTIFS($D$9:$D$2008,D1420,$E$9:$E$2008,E1420)&lt;&gt;1),"Duplicate test",IF(COUNTIF('Taxonomy'!$C$9:$C$108,D1420)&lt;&gt;1,"Assessment key",IF(OR(COUNTIF('Taxonomy Rules'!$C$42:$C$68,E1420)&lt;&gt;1,F1420&lt;&gt;IFERROR(INDEX('Taxonomy Rules'!$D$42:$D$68,MATCH(E1420,'Taxonomy Rules'!$C$42:$C$68,0)),""),NOT(OR(IFERROR(INDEX('Taxonomy Rules'!$G$42:$G$68,MATCH(E1420,'Taxonomy Rules'!$C$42:$C$68,0)),"")="All supported routes",IFERROR(INDEX('Taxonomy Rules'!$G$42:$G$68,MATCH(E1420,'Taxonomy Rules'!$C$42:$C$68,0)),"")=U1420,AND(IFERROR(INDEX('Taxonomy Rules'!$G$42:$G$68,MATCH(E1420,'Taxonomy Rules'!$C$42:$C$68,0)),"")="Building routes",OR(U1420="Building renovation",U1420="New building",U1420="Building equipment"))))),"Unexpected test","Valid"))))</x:f>
      </x:c>
      <x:c r="S1420" s="9" t="str">
        <x:f>IF(C1420="","",IFERROR(INDEX('Taxonomy Rules'!$E$42:$E$68,MATCH(E1420,'Taxonomy Rules'!$C$42:$C$68,0)),""))</x:f>
      </x:c>
      <x:c r="T1420" s="9" t="str">
        <x:f>IF(C1420="","",IFERROR(INDEX('Taxonomy Rules'!$F$42:$F$68,MATCH(E1420,'Taxonomy Rules'!$C$42:$C$68,0)),""))</x:f>
      </x:c>
      <x:c r="U1420" s="9" t="str">
        <x:f>IF(C1420="","",IFERROR(INDEX('Taxonomy'!$G$9:$G$108,MATCH(D1420,'Taxonomy'!$C$9:$C$108,0)),""))</x:f>
      </x:c>
    </x:row>
    <x:row r="1421" ht="44" customHeight="1">
      <x:c r="A1421" s="1"/>
      <x:c r="B1421" s="1"/>
      <x:c r="C1421" s="8"/>
      <x:c r="D1421" s="8"/>
      <x:c r="E1421" s="8"/>
      <x:c r="F1421" s="8"/>
      <x:c r="G1421" s="8"/>
      <x:c r="H1421" s="8"/>
      <x:c r="I1421" s="8"/>
      <x:c r="J1421" s="8"/>
      <x:c r="K1421" s="8"/>
      <x:c r="L1421" s="8"/>
      <x:c r="M1421" s="10"/>
      <x:c r="N1421" s="10"/>
      <x:c r="O1421" s="8"/>
      <x:c r="P1421" s="9" t="str">
        <x:f>IF(C1421="","",IF(AND(G1421="Applicable",H1421="Fail"),"Fail",IF(R1421&lt;&gt;"Valid","Pending",IF(OR(I1421="",K1421="",L1421="",K1421=L1421,NOT(ISNUMBER(M1421)),NOT(ISNUMBER(N1421)),M1421&gt;Settings!$F$8,N1421&lt;Settings!$F$8,N1421&lt;M1421),"Pending",IF(AND(G1421="Applicable",H1421="Pass"),"Pass",IF(AND(G1421="N/A",H1421="N/A",J1421&lt;&gt;"",OR(E1421="CEM-FUELS",E1421="CEM-CCS",AND(E1421="CEM-PLAN",IFERROR(INDEX('Taxonomy'!$M$9:$M$108,MATCH(D1421,'Taxonomy'!$C$9:$C$108,0)),"")&lt;&gt;"Amber"),E1421="BLD-TIMBER",AND(U1421="Building equipment",OR(E1421="BLD-WATER",E1421="BLD-WASTE",E1421="BLD-LAND")),AND(U1421="Building renovation",E1421="BLD-LAND"))),"N/A","Pending"))))))</x:f>
      </x:c>
      <x:c r="Q1421" s="3" t="str">
        <x:f>IF(C1421="","",IF(AND(R1421="Valid",OR(P1421="Pass",P1421="N/A")),"Complete","Unresolved"))</x:f>
      </x:c>
      <x:c r="R1421" s="9" t="str">
        <x:f>IF(C1421="","",IF(OR(COUNTIF($C$9:$C$2008,C1421)&lt;&gt;1,COUNTIFS($D$9:$D$2008,D1421,$E$9:$E$2008,E1421)&lt;&gt;1),"Duplicate test",IF(COUNTIF('Taxonomy'!$C$9:$C$108,D1421)&lt;&gt;1,"Assessment key",IF(OR(COUNTIF('Taxonomy Rules'!$C$42:$C$68,E1421)&lt;&gt;1,F1421&lt;&gt;IFERROR(INDEX('Taxonomy Rules'!$D$42:$D$68,MATCH(E1421,'Taxonomy Rules'!$C$42:$C$68,0)),""),NOT(OR(IFERROR(INDEX('Taxonomy Rules'!$G$42:$G$68,MATCH(E1421,'Taxonomy Rules'!$C$42:$C$68,0)),"")="All supported routes",IFERROR(INDEX('Taxonomy Rules'!$G$42:$G$68,MATCH(E1421,'Taxonomy Rules'!$C$42:$C$68,0)),"")=U1421,AND(IFERROR(INDEX('Taxonomy Rules'!$G$42:$G$68,MATCH(E1421,'Taxonomy Rules'!$C$42:$C$68,0)),"")="Building routes",OR(U1421="Building renovation",U1421="New building",U1421="Building equipment"))))),"Unexpected test","Valid"))))</x:f>
      </x:c>
      <x:c r="S1421" s="9" t="str">
        <x:f>IF(C1421="","",IFERROR(INDEX('Taxonomy Rules'!$E$42:$E$68,MATCH(E1421,'Taxonomy Rules'!$C$42:$C$68,0)),""))</x:f>
      </x:c>
      <x:c r="T1421" s="9" t="str">
        <x:f>IF(C1421="","",IFERROR(INDEX('Taxonomy Rules'!$F$42:$F$68,MATCH(E1421,'Taxonomy Rules'!$C$42:$C$68,0)),""))</x:f>
      </x:c>
      <x:c r="U1421" s="9" t="str">
        <x:f>IF(C1421="","",IFERROR(INDEX('Taxonomy'!$G$9:$G$108,MATCH(D1421,'Taxonomy'!$C$9:$C$108,0)),""))</x:f>
      </x:c>
    </x:row>
    <x:row r="1422" ht="44" customHeight="1">
      <x:c r="A1422" s="1"/>
      <x:c r="B1422" s="1"/>
      <x:c r="C1422" s="8"/>
      <x:c r="D1422" s="8"/>
      <x:c r="E1422" s="8"/>
      <x:c r="F1422" s="8"/>
      <x:c r="G1422" s="8"/>
      <x:c r="H1422" s="8"/>
      <x:c r="I1422" s="8"/>
      <x:c r="J1422" s="8"/>
      <x:c r="K1422" s="8"/>
      <x:c r="L1422" s="8"/>
      <x:c r="M1422" s="10"/>
      <x:c r="N1422" s="10"/>
      <x:c r="O1422" s="8"/>
      <x:c r="P1422" s="9" t="str">
        <x:f>IF(C1422="","",IF(AND(G1422="Applicable",H1422="Fail"),"Fail",IF(R1422&lt;&gt;"Valid","Pending",IF(OR(I1422="",K1422="",L1422="",K1422=L1422,NOT(ISNUMBER(M1422)),NOT(ISNUMBER(N1422)),M1422&gt;Settings!$F$8,N1422&lt;Settings!$F$8,N1422&lt;M1422),"Pending",IF(AND(G1422="Applicable",H1422="Pass"),"Pass",IF(AND(G1422="N/A",H1422="N/A",J1422&lt;&gt;"",OR(E1422="CEM-FUELS",E1422="CEM-CCS",AND(E1422="CEM-PLAN",IFERROR(INDEX('Taxonomy'!$M$9:$M$108,MATCH(D1422,'Taxonomy'!$C$9:$C$108,0)),"")&lt;&gt;"Amber"),E1422="BLD-TIMBER",AND(U1422="Building equipment",OR(E1422="BLD-WATER",E1422="BLD-WASTE",E1422="BLD-LAND")),AND(U1422="Building renovation",E1422="BLD-LAND"))),"N/A","Pending"))))))</x:f>
      </x:c>
      <x:c r="Q1422" s="3" t="str">
        <x:f>IF(C1422="","",IF(AND(R1422="Valid",OR(P1422="Pass",P1422="N/A")),"Complete","Unresolved"))</x:f>
      </x:c>
      <x:c r="R1422" s="9" t="str">
        <x:f>IF(C1422="","",IF(OR(COUNTIF($C$9:$C$2008,C1422)&lt;&gt;1,COUNTIFS($D$9:$D$2008,D1422,$E$9:$E$2008,E1422)&lt;&gt;1),"Duplicate test",IF(COUNTIF('Taxonomy'!$C$9:$C$108,D1422)&lt;&gt;1,"Assessment key",IF(OR(COUNTIF('Taxonomy Rules'!$C$42:$C$68,E1422)&lt;&gt;1,F1422&lt;&gt;IFERROR(INDEX('Taxonomy Rules'!$D$42:$D$68,MATCH(E1422,'Taxonomy Rules'!$C$42:$C$68,0)),""),NOT(OR(IFERROR(INDEX('Taxonomy Rules'!$G$42:$G$68,MATCH(E1422,'Taxonomy Rules'!$C$42:$C$68,0)),"")="All supported routes",IFERROR(INDEX('Taxonomy Rules'!$G$42:$G$68,MATCH(E1422,'Taxonomy Rules'!$C$42:$C$68,0)),"")=U1422,AND(IFERROR(INDEX('Taxonomy Rules'!$G$42:$G$68,MATCH(E1422,'Taxonomy Rules'!$C$42:$C$68,0)),"")="Building routes",OR(U1422="Building renovation",U1422="New building",U1422="Building equipment"))))),"Unexpected test","Valid"))))</x:f>
      </x:c>
      <x:c r="S1422" s="9" t="str">
        <x:f>IF(C1422="","",IFERROR(INDEX('Taxonomy Rules'!$E$42:$E$68,MATCH(E1422,'Taxonomy Rules'!$C$42:$C$68,0)),""))</x:f>
      </x:c>
      <x:c r="T1422" s="9" t="str">
        <x:f>IF(C1422="","",IFERROR(INDEX('Taxonomy Rules'!$F$42:$F$68,MATCH(E1422,'Taxonomy Rules'!$C$42:$C$68,0)),""))</x:f>
      </x:c>
      <x:c r="U1422" s="9" t="str">
        <x:f>IF(C1422="","",IFERROR(INDEX('Taxonomy'!$G$9:$G$108,MATCH(D1422,'Taxonomy'!$C$9:$C$108,0)),""))</x:f>
      </x:c>
    </x:row>
    <x:row r="1423" ht="44" customHeight="1">
      <x:c r="A1423" s="1"/>
      <x:c r="B1423" s="1"/>
      <x:c r="C1423" s="8"/>
      <x:c r="D1423" s="8"/>
      <x:c r="E1423" s="8"/>
      <x:c r="F1423" s="8"/>
      <x:c r="G1423" s="8"/>
      <x:c r="H1423" s="8"/>
      <x:c r="I1423" s="8"/>
      <x:c r="J1423" s="8"/>
      <x:c r="K1423" s="8"/>
      <x:c r="L1423" s="8"/>
      <x:c r="M1423" s="10"/>
      <x:c r="N1423" s="10"/>
      <x:c r="O1423" s="8"/>
      <x:c r="P1423" s="9" t="str">
        <x:f>IF(C1423="","",IF(AND(G1423="Applicable",H1423="Fail"),"Fail",IF(R1423&lt;&gt;"Valid","Pending",IF(OR(I1423="",K1423="",L1423="",K1423=L1423,NOT(ISNUMBER(M1423)),NOT(ISNUMBER(N1423)),M1423&gt;Settings!$F$8,N1423&lt;Settings!$F$8,N1423&lt;M1423),"Pending",IF(AND(G1423="Applicable",H1423="Pass"),"Pass",IF(AND(G1423="N/A",H1423="N/A",J1423&lt;&gt;"",OR(E1423="CEM-FUELS",E1423="CEM-CCS",AND(E1423="CEM-PLAN",IFERROR(INDEX('Taxonomy'!$M$9:$M$108,MATCH(D1423,'Taxonomy'!$C$9:$C$108,0)),"")&lt;&gt;"Amber"),E1423="BLD-TIMBER",AND(U1423="Building equipment",OR(E1423="BLD-WATER",E1423="BLD-WASTE",E1423="BLD-LAND")),AND(U1423="Building renovation",E1423="BLD-LAND"))),"N/A","Pending"))))))</x:f>
      </x:c>
      <x:c r="Q1423" s="3" t="str">
        <x:f>IF(C1423="","",IF(AND(R1423="Valid",OR(P1423="Pass",P1423="N/A")),"Complete","Unresolved"))</x:f>
      </x:c>
      <x:c r="R1423" s="9" t="str">
        <x:f>IF(C1423="","",IF(OR(COUNTIF($C$9:$C$2008,C1423)&lt;&gt;1,COUNTIFS($D$9:$D$2008,D1423,$E$9:$E$2008,E1423)&lt;&gt;1),"Duplicate test",IF(COUNTIF('Taxonomy'!$C$9:$C$108,D1423)&lt;&gt;1,"Assessment key",IF(OR(COUNTIF('Taxonomy Rules'!$C$42:$C$68,E1423)&lt;&gt;1,F1423&lt;&gt;IFERROR(INDEX('Taxonomy Rules'!$D$42:$D$68,MATCH(E1423,'Taxonomy Rules'!$C$42:$C$68,0)),""),NOT(OR(IFERROR(INDEX('Taxonomy Rules'!$G$42:$G$68,MATCH(E1423,'Taxonomy Rules'!$C$42:$C$68,0)),"")="All supported routes",IFERROR(INDEX('Taxonomy Rules'!$G$42:$G$68,MATCH(E1423,'Taxonomy Rules'!$C$42:$C$68,0)),"")=U1423,AND(IFERROR(INDEX('Taxonomy Rules'!$G$42:$G$68,MATCH(E1423,'Taxonomy Rules'!$C$42:$C$68,0)),"")="Building routes",OR(U1423="Building renovation",U1423="New building",U1423="Building equipment"))))),"Unexpected test","Valid"))))</x:f>
      </x:c>
      <x:c r="S1423" s="9" t="str">
        <x:f>IF(C1423="","",IFERROR(INDEX('Taxonomy Rules'!$E$42:$E$68,MATCH(E1423,'Taxonomy Rules'!$C$42:$C$68,0)),""))</x:f>
      </x:c>
      <x:c r="T1423" s="9" t="str">
        <x:f>IF(C1423="","",IFERROR(INDEX('Taxonomy Rules'!$F$42:$F$68,MATCH(E1423,'Taxonomy Rules'!$C$42:$C$68,0)),""))</x:f>
      </x:c>
      <x:c r="U1423" s="9" t="str">
        <x:f>IF(C1423="","",IFERROR(INDEX('Taxonomy'!$G$9:$G$108,MATCH(D1423,'Taxonomy'!$C$9:$C$108,0)),""))</x:f>
      </x:c>
    </x:row>
    <x:row r="1424" ht="44" customHeight="1">
      <x:c r="A1424" s="1"/>
      <x:c r="B1424" s="1"/>
      <x:c r="C1424" s="8"/>
      <x:c r="D1424" s="8"/>
      <x:c r="E1424" s="8"/>
      <x:c r="F1424" s="8"/>
      <x:c r="G1424" s="8"/>
      <x:c r="H1424" s="8"/>
      <x:c r="I1424" s="8"/>
      <x:c r="J1424" s="8"/>
      <x:c r="K1424" s="8"/>
      <x:c r="L1424" s="8"/>
      <x:c r="M1424" s="10"/>
      <x:c r="N1424" s="10"/>
      <x:c r="O1424" s="8"/>
      <x:c r="P1424" s="9" t="str">
        <x:f>IF(C1424="","",IF(AND(G1424="Applicable",H1424="Fail"),"Fail",IF(R1424&lt;&gt;"Valid","Pending",IF(OR(I1424="",K1424="",L1424="",K1424=L1424,NOT(ISNUMBER(M1424)),NOT(ISNUMBER(N1424)),M1424&gt;Settings!$F$8,N1424&lt;Settings!$F$8,N1424&lt;M1424),"Pending",IF(AND(G1424="Applicable",H1424="Pass"),"Pass",IF(AND(G1424="N/A",H1424="N/A",J1424&lt;&gt;"",OR(E1424="CEM-FUELS",E1424="CEM-CCS",AND(E1424="CEM-PLAN",IFERROR(INDEX('Taxonomy'!$M$9:$M$108,MATCH(D1424,'Taxonomy'!$C$9:$C$108,0)),"")&lt;&gt;"Amber"),E1424="BLD-TIMBER",AND(U1424="Building equipment",OR(E1424="BLD-WATER",E1424="BLD-WASTE",E1424="BLD-LAND")),AND(U1424="Building renovation",E1424="BLD-LAND"))),"N/A","Pending"))))))</x:f>
      </x:c>
      <x:c r="Q1424" s="3" t="str">
        <x:f>IF(C1424="","",IF(AND(R1424="Valid",OR(P1424="Pass",P1424="N/A")),"Complete","Unresolved"))</x:f>
      </x:c>
      <x:c r="R1424" s="9" t="str">
        <x:f>IF(C1424="","",IF(OR(COUNTIF($C$9:$C$2008,C1424)&lt;&gt;1,COUNTIFS($D$9:$D$2008,D1424,$E$9:$E$2008,E1424)&lt;&gt;1),"Duplicate test",IF(COUNTIF('Taxonomy'!$C$9:$C$108,D1424)&lt;&gt;1,"Assessment key",IF(OR(COUNTIF('Taxonomy Rules'!$C$42:$C$68,E1424)&lt;&gt;1,F1424&lt;&gt;IFERROR(INDEX('Taxonomy Rules'!$D$42:$D$68,MATCH(E1424,'Taxonomy Rules'!$C$42:$C$68,0)),""),NOT(OR(IFERROR(INDEX('Taxonomy Rules'!$G$42:$G$68,MATCH(E1424,'Taxonomy Rules'!$C$42:$C$68,0)),"")="All supported routes",IFERROR(INDEX('Taxonomy Rules'!$G$42:$G$68,MATCH(E1424,'Taxonomy Rules'!$C$42:$C$68,0)),"")=U1424,AND(IFERROR(INDEX('Taxonomy Rules'!$G$42:$G$68,MATCH(E1424,'Taxonomy Rules'!$C$42:$C$68,0)),"")="Building routes",OR(U1424="Building renovation",U1424="New building",U1424="Building equipment"))))),"Unexpected test","Valid"))))</x:f>
      </x:c>
      <x:c r="S1424" s="9" t="str">
        <x:f>IF(C1424="","",IFERROR(INDEX('Taxonomy Rules'!$E$42:$E$68,MATCH(E1424,'Taxonomy Rules'!$C$42:$C$68,0)),""))</x:f>
      </x:c>
      <x:c r="T1424" s="9" t="str">
        <x:f>IF(C1424="","",IFERROR(INDEX('Taxonomy Rules'!$F$42:$F$68,MATCH(E1424,'Taxonomy Rules'!$C$42:$C$68,0)),""))</x:f>
      </x:c>
      <x:c r="U1424" s="9" t="str">
        <x:f>IF(C1424="","",IFERROR(INDEX('Taxonomy'!$G$9:$G$108,MATCH(D1424,'Taxonomy'!$C$9:$C$108,0)),""))</x:f>
      </x:c>
    </x:row>
    <x:row r="1425" ht="44" customHeight="1">
      <x:c r="A1425" s="1"/>
      <x:c r="B1425" s="1"/>
      <x:c r="C1425" s="8"/>
      <x:c r="D1425" s="8"/>
      <x:c r="E1425" s="8"/>
      <x:c r="F1425" s="8"/>
      <x:c r="G1425" s="8"/>
      <x:c r="H1425" s="8"/>
      <x:c r="I1425" s="8"/>
      <x:c r="J1425" s="8"/>
      <x:c r="K1425" s="8"/>
      <x:c r="L1425" s="8"/>
      <x:c r="M1425" s="10"/>
      <x:c r="N1425" s="10"/>
      <x:c r="O1425" s="8"/>
      <x:c r="P1425" s="9" t="str">
        <x:f>IF(C1425="","",IF(AND(G1425="Applicable",H1425="Fail"),"Fail",IF(R1425&lt;&gt;"Valid","Pending",IF(OR(I1425="",K1425="",L1425="",K1425=L1425,NOT(ISNUMBER(M1425)),NOT(ISNUMBER(N1425)),M1425&gt;Settings!$F$8,N1425&lt;Settings!$F$8,N1425&lt;M1425),"Pending",IF(AND(G1425="Applicable",H1425="Pass"),"Pass",IF(AND(G1425="N/A",H1425="N/A",J1425&lt;&gt;"",OR(E1425="CEM-FUELS",E1425="CEM-CCS",AND(E1425="CEM-PLAN",IFERROR(INDEX('Taxonomy'!$M$9:$M$108,MATCH(D1425,'Taxonomy'!$C$9:$C$108,0)),"")&lt;&gt;"Amber"),E1425="BLD-TIMBER",AND(U1425="Building equipment",OR(E1425="BLD-WATER",E1425="BLD-WASTE",E1425="BLD-LAND")),AND(U1425="Building renovation",E1425="BLD-LAND"))),"N/A","Pending"))))))</x:f>
      </x:c>
      <x:c r="Q1425" s="3" t="str">
        <x:f>IF(C1425="","",IF(AND(R1425="Valid",OR(P1425="Pass",P1425="N/A")),"Complete","Unresolved"))</x:f>
      </x:c>
      <x:c r="R1425" s="9" t="str">
        <x:f>IF(C1425="","",IF(OR(COUNTIF($C$9:$C$2008,C1425)&lt;&gt;1,COUNTIFS($D$9:$D$2008,D1425,$E$9:$E$2008,E1425)&lt;&gt;1),"Duplicate test",IF(COUNTIF('Taxonomy'!$C$9:$C$108,D1425)&lt;&gt;1,"Assessment key",IF(OR(COUNTIF('Taxonomy Rules'!$C$42:$C$68,E1425)&lt;&gt;1,F1425&lt;&gt;IFERROR(INDEX('Taxonomy Rules'!$D$42:$D$68,MATCH(E1425,'Taxonomy Rules'!$C$42:$C$68,0)),""),NOT(OR(IFERROR(INDEX('Taxonomy Rules'!$G$42:$G$68,MATCH(E1425,'Taxonomy Rules'!$C$42:$C$68,0)),"")="All supported routes",IFERROR(INDEX('Taxonomy Rules'!$G$42:$G$68,MATCH(E1425,'Taxonomy Rules'!$C$42:$C$68,0)),"")=U1425,AND(IFERROR(INDEX('Taxonomy Rules'!$G$42:$G$68,MATCH(E1425,'Taxonomy Rules'!$C$42:$C$68,0)),"")="Building routes",OR(U1425="Building renovation",U1425="New building",U1425="Building equipment"))))),"Unexpected test","Valid"))))</x:f>
      </x:c>
      <x:c r="S1425" s="9" t="str">
        <x:f>IF(C1425="","",IFERROR(INDEX('Taxonomy Rules'!$E$42:$E$68,MATCH(E1425,'Taxonomy Rules'!$C$42:$C$68,0)),""))</x:f>
      </x:c>
      <x:c r="T1425" s="9" t="str">
        <x:f>IF(C1425="","",IFERROR(INDEX('Taxonomy Rules'!$F$42:$F$68,MATCH(E1425,'Taxonomy Rules'!$C$42:$C$68,0)),""))</x:f>
      </x:c>
      <x:c r="U1425" s="9" t="str">
        <x:f>IF(C1425="","",IFERROR(INDEX('Taxonomy'!$G$9:$G$108,MATCH(D1425,'Taxonomy'!$C$9:$C$108,0)),""))</x:f>
      </x:c>
    </x:row>
    <x:row r="1426" ht="44" customHeight="1">
      <x:c r="A1426" s="1"/>
      <x:c r="B1426" s="1"/>
      <x:c r="C1426" s="8"/>
      <x:c r="D1426" s="8"/>
      <x:c r="E1426" s="8"/>
      <x:c r="F1426" s="8"/>
      <x:c r="G1426" s="8"/>
      <x:c r="H1426" s="8"/>
      <x:c r="I1426" s="8"/>
      <x:c r="J1426" s="8"/>
      <x:c r="K1426" s="8"/>
      <x:c r="L1426" s="8"/>
      <x:c r="M1426" s="10"/>
      <x:c r="N1426" s="10"/>
      <x:c r="O1426" s="8"/>
      <x:c r="P1426" s="9" t="str">
        <x:f>IF(C1426="","",IF(AND(G1426="Applicable",H1426="Fail"),"Fail",IF(R1426&lt;&gt;"Valid","Pending",IF(OR(I1426="",K1426="",L1426="",K1426=L1426,NOT(ISNUMBER(M1426)),NOT(ISNUMBER(N1426)),M1426&gt;Settings!$F$8,N1426&lt;Settings!$F$8,N1426&lt;M1426),"Pending",IF(AND(G1426="Applicable",H1426="Pass"),"Pass",IF(AND(G1426="N/A",H1426="N/A",J1426&lt;&gt;"",OR(E1426="CEM-FUELS",E1426="CEM-CCS",AND(E1426="CEM-PLAN",IFERROR(INDEX('Taxonomy'!$M$9:$M$108,MATCH(D1426,'Taxonomy'!$C$9:$C$108,0)),"")&lt;&gt;"Amber"),E1426="BLD-TIMBER",AND(U1426="Building equipment",OR(E1426="BLD-WATER",E1426="BLD-WASTE",E1426="BLD-LAND")),AND(U1426="Building renovation",E1426="BLD-LAND"))),"N/A","Pending"))))))</x:f>
      </x:c>
      <x:c r="Q1426" s="3" t="str">
        <x:f>IF(C1426="","",IF(AND(R1426="Valid",OR(P1426="Pass",P1426="N/A")),"Complete","Unresolved"))</x:f>
      </x:c>
      <x:c r="R1426" s="9" t="str">
        <x:f>IF(C1426="","",IF(OR(COUNTIF($C$9:$C$2008,C1426)&lt;&gt;1,COUNTIFS($D$9:$D$2008,D1426,$E$9:$E$2008,E1426)&lt;&gt;1),"Duplicate test",IF(COUNTIF('Taxonomy'!$C$9:$C$108,D1426)&lt;&gt;1,"Assessment key",IF(OR(COUNTIF('Taxonomy Rules'!$C$42:$C$68,E1426)&lt;&gt;1,F1426&lt;&gt;IFERROR(INDEX('Taxonomy Rules'!$D$42:$D$68,MATCH(E1426,'Taxonomy Rules'!$C$42:$C$68,0)),""),NOT(OR(IFERROR(INDEX('Taxonomy Rules'!$G$42:$G$68,MATCH(E1426,'Taxonomy Rules'!$C$42:$C$68,0)),"")="All supported routes",IFERROR(INDEX('Taxonomy Rules'!$G$42:$G$68,MATCH(E1426,'Taxonomy Rules'!$C$42:$C$68,0)),"")=U1426,AND(IFERROR(INDEX('Taxonomy Rules'!$G$42:$G$68,MATCH(E1426,'Taxonomy Rules'!$C$42:$C$68,0)),"")="Building routes",OR(U1426="Building renovation",U1426="New building",U1426="Building equipment"))))),"Unexpected test","Valid"))))</x:f>
      </x:c>
      <x:c r="S1426" s="9" t="str">
        <x:f>IF(C1426="","",IFERROR(INDEX('Taxonomy Rules'!$E$42:$E$68,MATCH(E1426,'Taxonomy Rules'!$C$42:$C$68,0)),""))</x:f>
      </x:c>
      <x:c r="T1426" s="9" t="str">
        <x:f>IF(C1426="","",IFERROR(INDEX('Taxonomy Rules'!$F$42:$F$68,MATCH(E1426,'Taxonomy Rules'!$C$42:$C$68,0)),""))</x:f>
      </x:c>
      <x:c r="U1426" s="9" t="str">
        <x:f>IF(C1426="","",IFERROR(INDEX('Taxonomy'!$G$9:$G$108,MATCH(D1426,'Taxonomy'!$C$9:$C$108,0)),""))</x:f>
      </x:c>
    </x:row>
    <x:row r="1427" ht="44" customHeight="1">
      <x:c r="A1427" s="1"/>
      <x:c r="B1427" s="1"/>
      <x:c r="C1427" s="8"/>
      <x:c r="D1427" s="8"/>
      <x:c r="E1427" s="8"/>
      <x:c r="F1427" s="8"/>
      <x:c r="G1427" s="8"/>
      <x:c r="H1427" s="8"/>
      <x:c r="I1427" s="8"/>
      <x:c r="J1427" s="8"/>
      <x:c r="K1427" s="8"/>
      <x:c r="L1427" s="8"/>
      <x:c r="M1427" s="10"/>
      <x:c r="N1427" s="10"/>
      <x:c r="O1427" s="8"/>
      <x:c r="P1427" s="9" t="str">
        <x:f>IF(C1427="","",IF(AND(G1427="Applicable",H1427="Fail"),"Fail",IF(R1427&lt;&gt;"Valid","Pending",IF(OR(I1427="",K1427="",L1427="",K1427=L1427,NOT(ISNUMBER(M1427)),NOT(ISNUMBER(N1427)),M1427&gt;Settings!$F$8,N1427&lt;Settings!$F$8,N1427&lt;M1427),"Pending",IF(AND(G1427="Applicable",H1427="Pass"),"Pass",IF(AND(G1427="N/A",H1427="N/A",J1427&lt;&gt;"",OR(E1427="CEM-FUELS",E1427="CEM-CCS",AND(E1427="CEM-PLAN",IFERROR(INDEX('Taxonomy'!$M$9:$M$108,MATCH(D1427,'Taxonomy'!$C$9:$C$108,0)),"")&lt;&gt;"Amber"),E1427="BLD-TIMBER",AND(U1427="Building equipment",OR(E1427="BLD-WATER",E1427="BLD-WASTE",E1427="BLD-LAND")),AND(U1427="Building renovation",E1427="BLD-LAND"))),"N/A","Pending"))))))</x:f>
      </x:c>
      <x:c r="Q1427" s="3" t="str">
        <x:f>IF(C1427="","",IF(AND(R1427="Valid",OR(P1427="Pass",P1427="N/A")),"Complete","Unresolved"))</x:f>
      </x:c>
      <x:c r="R1427" s="9" t="str">
        <x:f>IF(C1427="","",IF(OR(COUNTIF($C$9:$C$2008,C1427)&lt;&gt;1,COUNTIFS($D$9:$D$2008,D1427,$E$9:$E$2008,E1427)&lt;&gt;1),"Duplicate test",IF(COUNTIF('Taxonomy'!$C$9:$C$108,D1427)&lt;&gt;1,"Assessment key",IF(OR(COUNTIF('Taxonomy Rules'!$C$42:$C$68,E1427)&lt;&gt;1,F1427&lt;&gt;IFERROR(INDEX('Taxonomy Rules'!$D$42:$D$68,MATCH(E1427,'Taxonomy Rules'!$C$42:$C$68,0)),""),NOT(OR(IFERROR(INDEX('Taxonomy Rules'!$G$42:$G$68,MATCH(E1427,'Taxonomy Rules'!$C$42:$C$68,0)),"")="All supported routes",IFERROR(INDEX('Taxonomy Rules'!$G$42:$G$68,MATCH(E1427,'Taxonomy Rules'!$C$42:$C$68,0)),"")=U1427,AND(IFERROR(INDEX('Taxonomy Rules'!$G$42:$G$68,MATCH(E1427,'Taxonomy Rules'!$C$42:$C$68,0)),"")="Building routes",OR(U1427="Building renovation",U1427="New building",U1427="Building equipment"))))),"Unexpected test","Valid"))))</x:f>
      </x:c>
      <x:c r="S1427" s="9" t="str">
        <x:f>IF(C1427="","",IFERROR(INDEX('Taxonomy Rules'!$E$42:$E$68,MATCH(E1427,'Taxonomy Rules'!$C$42:$C$68,0)),""))</x:f>
      </x:c>
      <x:c r="T1427" s="9" t="str">
        <x:f>IF(C1427="","",IFERROR(INDEX('Taxonomy Rules'!$F$42:$F$68,MATCH(E1427,'Taxonomy Rules'!$C$42:$C$68,0)),""))</x:f>
      </x:c>
      <x:c r="U1427" s="9" t="str">
        <x:f>IF(C1427="","",IFERROR(INDEX('Taxonomy'!$G$9:$G$108,MATCH(D1427,'Taxonomy'!$C$9:$C$108,0)),""))</x:f>
      </x:c>
    </x:row>
    <x:row r="1428" ht="44" customHeight="1">
      <x:c r="A1428" s="1"/>
      <x:c r="B1428" s="1"/>
      <x:c r="C1428" s="8"/>
      <x:c r="D1428" s="8"/>
      <x:c r="E1428" s="8"/>
      <x:c r="F1428" s="8"/>
      <x:c r="G1428" s="8"/>
      <x:c r="H1428" s="8"/>
      <x:c r="I1428" s="8"/>
      <x:c r="J1428" s="8"/>
      <x:c r="K1428" s="8"/>
      <x:c r="L1428" s="8"/>
      <x:c r="M1428" s="10"/>
      <x:c r="N1428" s="10"/>
      <x:c r="O1428" s="8"/>
      <x:c r="P1428" s="9" t="str">
        <x:f>IF(C1428="","",IF(AND(G1428="Applicable",H1428="Fail"),"Fail",IF(R1428&lt;&gt;"Valid","Pending",IF(OR(I1428="",K1428="",L1428="",K1428=L1428,NOT(ISNUMBER(M1428)),NOT(ISNUMBER(N1428)),M1428&gt;Settings!$F$8,N1428&lt;Settings!$F$8,N1428&lt;M1428),"Pending",IF(AND(G1428="Applicable",H1428="Pass"),"Pass",IF(AND(G1428="N/A",H1428="N/A",J1428&lt;&gt;"",OR(E1428="CEM-FUELS",E1428="CEM-CCS",AND(E1428="CEM-PLAN",IFERROR(INDEX('Taxonomy'!$M$9:$M$108,MATCH(D1428,'Taxonomy'!$C$9:$C$108,0)),"")&lt;&gt;"Amber"),E1428="BLD-TIMBER",AND(U1428="Building equipment",OR(E1428="BLD-WATER",E1428="BLD-WASTE",E1428="BLD-LAND")),AND(U1428="Building renovation",E1428="BLD-LAND"))),"N/A","Pending"))))))</x:f>
      </x:c>
      <x:c r="Q1428" s="3" t="str">
        <x:f>IF(C1428="","",IF(AND(R1428="Valid",OR(P1428="Pass",P1428="N/A")),"Complete","Unresolved"))</x:f>
      </x:c>
      <x:c r="R1428" s="9" t="str">
        <x:f>IF(C1428="","",IF(OR(COUNTIF($C$9:$C$2008,C1428)&lt;&gt;1,COUNTIFS($D$9:$D$2008,D1428,$E$9:$E$2008,E1428)&lt;&gt;1),"Duplicate test",IF(COUNTIF('Taxonomy'!$C$9:$C$108,D1428)&lt;&gt;1,"Assessment key",IF(OR(COUNTIF('Taxonomy Rules'!$C$42:$C$68,E1428)&lt;&gt;1,F1428&lt;&gt;IFERROR(INDEX('Taxonomy Rules'!$D$42:$D$68,MATCH(E1428,'Taxonomy Rules'!$C$42:$C$68,0)),""),NOT(OR(IFERROR(INDEX('Taxonomy Rules'!$G$42:$G$68,MATCH(E1428,'Taxonomy Rules'!$C$42:$C$68,0)),"")="All supported routes",IFERROR(INDEX('Taxonomy Rules'!$G$42:$G$68,MATCH(E1428,'Taxonomy Rules'!$C$42:$C$68,0)),"")=U1428,AND(IFERROR(INDEX('Taxonomy Rules'!$G$42:$G$68,MATCH(E1428,'Taxonomy Rules'!$C$42:$C$68,0)),"")="Building routes",OR(U1428="Building renovation",U1428="New building",U1428="Building equipment"))))),"Unexpected test","Valid"))))</x:f>
      </x:c>
      <x:c r="S1428" s="9" t="str">
        <x:f>IF(C1428="","",IFERROR(INDEX('Taxonomy Rules'!$E$42:$E$68,MATCH(E1428,'Taxonomy Rules'!$C$42:$C$68,0)),""))</x:f>
      </x:c>
      <x:c r="T1428" s="9" t="str">
        <x:f>IF(C1428="","",IFERROR(INDEX('Taxonomy Rules'!$F$42:$F$68,MATCH(E1428,'Taxonomy Rules'!$C$42:$C$68,0)),""))</x:f>
      </x:c>
      <x:c r="U1428" s="9" t="str">
        <x:f>IF(C1428="","",IFERROR(INDEX('Taxonomy'!$G$9:$G$108,MATCH(D1428,'Taxonomy'!$C$9:$C$108,0)),""))</x:f>
      </x:c>
    </x:row>
    <x:row r="1429" ht="44" customHeight="1">
      <x:c r="A1429" s="1"/>
      <x:c r="B1429" s="1"/>
      <x:c r="C1429" s="8"/>
      <x:c r="D1429" s="8"/>
      <x:c r="E1429" s="8"/>
      <x:c r="F1429" s="8"/>
      <x:c r="G1429" s="8"/>
      <x:c r="H1429" s="8"/>
      <x:c r="I1429" s="8"/>
      <x:c r="J1429" s="8"/>
      <x:c r="K1429" s="8"/>
      <x:c r="L1429" s="8"/>
      <x:c r="M1429" s="10"/>
      <x:c r="N1429" s="10"/>
      <x:c r="O1429" s="8"/>
      <x:c r="P1429" s="9" t="str">
        <x:f>IF(C1429="","",IF(AND(G1429="Applicable",H1429="Fail"),"Fail",IF(R1429&lt;&gt;"Valid","Pending",IF(OR(I1429="",K1429="",L1429="",K1429=L1429,NOT(ISNUMBER(M1429)),NOT(ISNUMBER(N1429)),M1429&gt;Settings!$F$8,N1429&lt;Settings!$F$8,N1429&lt;M1429),"Pending",IF(AND(G1429="Applicable",H1429="Pass"),"Pass",IF(AND(G1429="N/A",H1429="N/A",J1429&lt;&gt;"",OR(E1429="CEM-FUELS",E1429="CEM-CCS",AND(E1429="CEM-PLAN",IFERROR(INDEX('Taxonomy'!$M$9:$M$108,MATCH(D1429,'Taxonomy'!$C$9:$C$108,0)),"")&lt;&gt;"Amber"),E1429="BLD-TIMBER",AND(U1429="Building equipment",OR(E1429="BLD-WATER",E1429="BLD-WASTE",E1429="BLD-LAND")),AND(U1429="Building renovation",E1429="BLD-LAND"))),"N/A","Pending"))))))</x:f>
      </x:c>
      <x:c r="Q1429" s="3" t="str">
        <x:f>IF(C1429="","",IF(AND(R1429="Valid",OR(P1429="Pass",P1429="N/A")),"Complete","Unresolved"))</x:f>
      </x:c>
      <x:c r="R1429" s="9" t="str">
        <x:f>IF(C1429="","",IF(OR(COUNTIF($C$9:$C$2008,C1429)&lt;&gt;1,COUNTIFS($D$9:$D$2008,D1429,$E$9:$E$2008,E1429)&lt;&gt;1),"Duplicate test",IF(COUNTIF('Taxonomy'!$C$9:$C$108,D1429)&lt;&gt;1,"Assessment key",IF(OR(COUNTIF('Taxonomy Rules'!$C$42:$C$68,E1429)&lt;&gt;1,F1429&lt;&gt;IFERROR(INDEX('Taxonomy Rules'!$D$42:$D$68,MATCH(E1429,'Taxonomy Rules'!$C$42:$C$68,0)),""),NOT(OR(IFERROR(INDEX('Taxonomy Rules'!$G$42:$G$68,MATCH(E1429,'Taxonomy Rules'!$C$42:$C$68,0)),"")="All supported routes",IFERROR(INDEX('Taxonomy Rules'!$G$42:$G$68,MATCH(E1429,'Taxonomy Rules'!$C$42:$C$68,0)),"")=U1429,AND(IFERROR(INDEX('Taxonomy Rules'!$G$42:$G$68,MATCH(E1429,'Taxonomy Rules'!$C$42:$C$68,0)),"")="Building routes",OR(U1429="Building renovation",U1429="New building",U1429="Building equipment"))))),"Unexpected test","Valid"))))</x:f>
      </x:c>
      <x:c r="S1429" s="9" t="str">
        <x:f>IF(C1429="","",IFERROR(INDEX('Taxonomy Rules'!$E$42:$E$68,MATCH(E1429,'Taxonomy Rules'!$C$42:$C$68,0)),""))</x:f>
      </x:c>
      <x:c r="T1429" s="9" t="str">
        <x:f>IF(C1429="","",IFERROR(INDEX('Taxonomy Rules'!$F$42:$F$68,MATCH(E1429,'Taxonomy Rules'!$C$42:$C$68,0)),""))</x:f>
      </x:c>
      <x:c r="U1429" s="9" t="str">
        <x:f>IF(C1429="","",IFERROR(INDEX('Taxonomy'!$G$9:$G$108,MATCH(D1429,'Taxonomy'!$C$9:$C$108,0)),""))</x:f>
      </x:c>
    </x:row>
    <x:row r="1430" ht="44" customHeight="1">
      <x:c r="A1430" s="1"/>
      <x:c r="B1430" s="1"/>
      <x:c r="C1430" s="8"/>
      <x:c r="D1430" s="8"/>
      <x:c r="E1430" s="8"/>
      <x:c r="F1430" s="8"/>
      <x:c r="G1430" s="8"/>
      <x:c r="H1430" s="8"/>
      <x:c r="I1430" s="8"/>
      <x:c r="J1430" s="8"/>
      <x:c r="K1430" s="8"/>
      <x:c r="L1430" s="8"/>
      <x:c r="M1430" s="10"/>
      <x:c r="N1430" s="10"/>
      <x:c r="O1430" s="8"/>
      <x:c r="P1430" s="9" t="str">
        <x:f>IF(C1430="","",IF(AND(G1430="Applicable",H1430="Fail"),"Fail",IF(R1430&lt;&gt;"Valid","Pending",IF(OR(I1430="",K1430="",L1430="",K1430=L1430,NOT(ISNUMBER(M1430)),NOT(ISNUMBER(N1430)),M1430&gt;Settings!$F$8,N1430&lt;Settings!$F$8,N1430&lt;M1430),"Pending",IF(AND(G1430="Applicable",H1430="Pass"),"Pass",IF(AND(G1430="N/A",H1430="N/A",J1430&lt;&gt;"",OR(E1430="CEM-FUELS",E1430="CEM-CCS",AND(E1430="CEM-PLAN",IFERROR(INDEX('Taxonomy'!$M$9:$M$108,MATCH(D1430,'Taxonomy'!$C$9:$C$108,0)),"")&lt;&gt;"Amber"),E1430="BLD-TIMBER",AND(U1430="Building equipment",OR(E1430="BLD-WATER",E1430="BLD-WASTE",E1430="BLD-LAND")),AND(U1430="Building renovation",E1430="BLD-LAND"))),"N/A","Pending"))))))</x:f>
      </x:c>
      <x:c r="Q1430" s="3" t="str">
        <x:f>IF(C1430="","",IF(AND(R1430="Valid",OR(P1430="Pass",P1430="N/A")),"Complete","Unresolved"))</x:f>
      </x:c>
      <x:c r="R1430" s="9" t="str">
        <x:f>IF(C1430="","",IF(OR(COUNTIF($C$9:$C$2008,C1430)&lt;&gt;1,COUNTIFS($D$9:$D$2008,D1430,$E$9:$E$2008,E1430)&lt;&gt;1),"Duplicate test",IF(COUNTIF('Taxonomy'!$C$9:$C$108,D1430)&lt;&gt;1,"Assessment key",IF(OR(COUNTIF('Taxonomy Rules'!$C$42:$C$68,E1430)&lt;&gt;1,F1430&lt;&gt;IFERROR(INDEX('Taxonomy Rules'!$D$42:$D$68,MATCH(E1430,'Taxonomy Rules'!$C$42:$C$68,0)),""),NOT(OR(IFERROR(INDEX('Taxonomy Rules'!$G$42:$G$68,MATCH(E1430,'Taxonomy Rules'!$C$42:$C$68,0)),"")="All supported routes",IFERROR(INDEX('Taxonomy Rules'!$G$42:$G$68,MATCH(E1430,'Taxonomy Rules'!$C$42:$C$68,0)),"")=U1430,AND(IFERROR(INDEX('Taxonomy Rules'!$G$42:$G$68,MATCH(E1430,'Taxonomy Rules'!$C$42:$C$68,0)),"")="Building routes",OR(U1430="Building renovation",U1430="New building",U1430="Building equipment"))))),"Unexpected test","Valid"))))</x:f>
      </x:c>
      <x:c r="S1430" s="9" t="str">
        <x:f>IF(C1430="","",IFERROR(INDEX('Taxonomy Rules'!$E$42:$E$68,MATCH(E1430,'Taxonomy Rules'!$C$42:$C$68,0)),""))</x:f>
      </x:c>
      <x:c r="T1430" s="9" t="str">
        <x:f>IF(C1430="","",IFERROR(INDEX('Taxonomy Rules'!$F$42:$F$68,MATCH(E1430,'Taxonomy Rules'!$C$42:$C$68,0)),""))</x:f>
      </x:c>
      <x:c r="U1430" s="9" t="str">
        <x:f>IF(C1430="","",IFERROR(INDEX('Taxonomy'!$G$9:$G$108,MATCH(D1430,'Taxonomy'!$C$9:$C$108,0)),""))</x:f>
      </x:c>
    </x:row>
    <x:row r="1431" ht="44" customHeight="1">
      <x:c r="A1431" s="1"/>
      <x:c r="B1431" s="1"/>
      <x:c r="C1431" s="8"/>
      <x:c r="D1431" s="8"/>
      <x:c r="E1431" s="8"/>
      <x:c r="F1431" s="8"/>
      <x:c r="G1431" s="8"/>
      <x:c r="H1431" s="8"/>
      <x:c r="I1431" s="8"/>
      <x:c r="J1431" s="8"/>
      <x:c r="K1431" s="8"/>
      <x:c r="L1431" s="8"/>
      <x:c r="M1431" s="10"/>
      <x:c r="N1431" s="10"/>
      <x:c r="O1431" s="8"/>
      <x:c r="P1431" s="9" t="str">
        <x:f>IF(C1431="","",IF(AND(G1431="Applicable",H1431="Fail"),"Fail",IF(R1431&lt;&gt;"Valid","Pending",IF(OR(I1431="",K1431="",L1431="",K1431=L1431,NOT(ISNUMBER(M1431)),NOT(ISNUMBER(N1431)),M1431&gt;Settings!$F$8,N1431&lt;Settings!$F$8,N1431&lt;M1431),"Pending",IF(AND(G1431="Applicable",H1431="Pass"),"Pass",IF(AND(G1431="N/A",H1431="N/A",J1431&lt;&gt;"",OR(E1431="CEM-FUELS",E1431="CEM-CCS",AND(E1431="CEM-PLAN",IFERROR(INDEX('Taxonomy'!$M$9:$M$108,MATCH(D1431,'Taxonomy'!$C$9:$C$108,0)),"")&lt;&gt;"Amber"),E1431="BLD-TIMBER",AND(U1431="Building equipment",OR(E1431="BLD-WATER",E1431="BLD-WASTE",E1431="BLD-LAND")),AND(U1431="Building renovation",E1431="BLD-LAND"))),"N/A","Pending"))))))</x:f>
      </x:c>
      <x:c r="Q1431" s="3" t="str">
        <x:f>IF(C1431="","",IF(AND(R1431="Valid",OR(P1431="Pass",P1431="N/A")),"Complete","Unresolved"))</x:f>
      </x:c>
      <x:c r="R1431" s="9" t="str">
        <x:f>IF(C1431="","",IF(OR(COUNTIF($C$9:$C$2008,C1431)&lt;&gt;1,COUNTIFS($D$9:$D$2008,D1431,$E$9:$E$2008,E1431)&lt;&gt;1),"Duplicate test",IF(COUNTIF('Taxonomy'!$C$9:$C$108,D1431)&lt;&gt;1,"Assessment key",IF(OR(COUNTIF('Taxonomy Rules'!$C$42:$C$68,E1431)&lt;&gt;1,F1431&lt;&gt;IFERROR(INDEX('Taxonomy Rules'!$D$42:$D$68,MATCH(E1431,'Taxonomy Rules'!$C$42:$C$68,0)),""),NOT(OR(IFERROR(INDEX('Taxonomy Rules'!$G$42:$G$68,MATCH(E1431,'Taxonomy Rules'!$C$42:$C$68,0)),"")="All supported routes",IFERROR(INDEX('Taxonomy Rules'!$G$42:$G$68,MATCH(E1431,'Taxonomy Rules'!$C$42:$C$68,0)),"")=U1431,AND(IFERROR(INDEX('Taxonomy Rules'!$G$42:$G$68,MATCH(E1431,'Taxonomy Rules'!$C$42:$C$68,0)),"")="Building routes",OR(U1431="Building renovation",U1431="New building",U1431="Building equipment"))))),"Unexpected test","Valid"))))</x:f>
      </x:c>
      <x:c r="S1431" s="9" t="str">
        <x:f>IF(C1431="","",IFERROR(INDEX('Taxonomy Rules'!$E$42:$E$68,MATCH(E1431,'Taxonomy Rules'!$C$42:$C$68,0)),""))</x:f>
      </x:c>
      <x:c r="T1431" s="9" t="str">
        <x:f>IF(C1431="","",IFERROR(INDEX('Taxonomy Rules'!$F$42:$F$68,MATCH(E1431,'Taxonomy Rules'!$C$42:$C$68,0)),""))</x:f>
      </x:c>
      <x:c r="U1431" s="9" t="str">
        <x:f>IF(C1431="","",IFERROR(INDEX('Taxonomy'!$G$9:$G$108,MATCH(D1431,'Taxonomy'!$C$9:$C$108,0)),""))</x:f>
      </x:c>
    </x:row>
    <x:row r="1432" ht="44" customHeight="1">
      <x:c r="A1432" s="1"/>
      <x:c r="B1432" s="1"/>
      <x:c r="C1432" s="8"/>
      <x:c r="D1432" s="8"/>
      <x:c r="E1432" s="8"/>
      <x:c r="F1432" s="8"/>
      <x:c r="G1432" s="8"/>
      <x:c r="H1432" s="8"/>
      <x:c r="I1432" s="8"/>
      <x:c r="J1432" s="8"/>
      <x:c r="K1432" s="8"/>
      <x:c r="L1432" s="8"/>
      <x:c r="M1432" s="10"/>
      <x:c r="N1432" s="10"/>
      <x:c r="O1432" s="8"/>
      <x:c r="P1432" s="9" t="str">
        <x:f>IF(C1432="","",IF(AND(G1432="Applicable",H1432="Fail"),"Fail",IF(R1432&lt;&gt;"Valid","Pending",IF(OR(I1432="",K1432="",L1432="",K1432=L1432,NOT(ISNUMBER(M1432)),NOT(ISNUMBER(N1432)),M1432&gt;Settings!$F$8,N1432&lt;Settings!$F$8,N1432&lt;M1432),"Pending",IF(AND(G1432="Applicable",H1432="Pass"),"Pass",IF(AND(G1432="N/A",H1432="N/A",J1432&lt;&gt;"",OR(E1432="CEM-FUELS",E1432="CEM-CCS",AND(E1432="CEM-PLAN",IFERROR(INDEX('Taxonomy'!$M$9:$M$108,MATCH(D1432,'Taxonomy'!$C$9:$C$108,0)),"")&lt;&gt;"Amber"),E1432="BLD-TIMBER",AND(U1432="Building equipment",OR(E1432="BLD-WATER",E1432="BLD-WASTE",E1432="BLD-LAND")),AND(U1432="Building renovation",E1432="BLD-LAND"))),"N/A","Pending"))))))</x:f>
      </x:c>
      <x:c r="Q1432" s="3" t="str">
        <x:f>IF(C1432="","",IF(AND(R1432="Valid",OR(P1432="Pass",P1432="N/A")),"Complete","Unresolved"))</x:f>
      </x:c>
      <x:c r="R1432" s="9" t="str">
        <x:f>IF(C1432="","",IF(OR(COUNTIF($C$9:$C$2008,C1432)&lt;&gt;1,COUNTIFS($D$9:$D$2008,D1432,$E$9:$E$2008,E1432)&lt;&gt;1),"Duplicate test",IF(COUNTIF('Taxonomy'!$C$9:$C$108,D1432)&lt;&gt;1,"Assessment key",IF(OR(COUNTIF('Taxonomy Rules'!$C$42:$C$68,E1432)&lt;&gt;1,F1432&lt;&gt;IFERROR(INDEX('Taxonomy Rules'!$D$42:$D$68,MATCH(E1432,'Taxonomy Rules'!$C$42:$C$68,0)),""),NOT(OR(IFERROR(INDEX('Taxonomy Rules'!$G$42:$G$68,MATCH(E1432,'Taxonomy Rules'!$C$42:$C$68,0)),"")="All supported routes",IFERROR(INDEX('Taxonomy Rules'!$G$42:$G$68,MATCH(E1432,'Taxonomy Rules'!$C$42:$C$68,0)),"")=U1432,AND(IFERROR(INDEX('Taxonomy Rules'!$G$42:$G$68,MATCH(E1432,'Taxonomy Rules'!$C$42:$C$68,0)),"")="Building routes",OR(U1432="Building renovation",U1432="New building",U1432="Building equipment"))))),"Unexpected test","Valid"))))</x:f>
      </x:c>
      <x:c r="S1432" s="9" t="str">
        <x:f>IF(C1432="","",IFERROR(INDEX('Taxonomy Rules'!$E$42:$E$68,MATCH(E1432,'Taxonomy Rules'!$C$42:$C$68,0)),""))</x:f>
      </x:c>
      <x:c r="T1432" s="9" t="str">
        <x:f>IF(C1432="","",IFERROR(INDEX('Taxonomy Rules'!$F$42:$F$68,MATCH(E1432,'Taxonomy Rules'!$C$42:$C$68,0)),""))</x:f>
      </x:c>
      <x:c r="U1432" s="9" t="str">
        <x:f>IF(C1432="","",IFERROR(INDEX('Taxonomy'!$G$9:$G$108,MATCH(D1432,'Taxonomy'!$C$9:$C$108,0)),""))</x:f>
      </x:c>
    </x:row>
    <x:row r="1433" ht="44" customHeight="1">
      <x:c r="A1433" s="1"/>
      <x:c r="B1433" s="1"/>
      <x:c r="C1433" s="8"/>
      <x:c r="D1433" s="8"/>
      <x:c r="E1433" s="8"/>
      <x:c r="F1433" s="8"/>
      <x:c r="G1433" s="8"/>
      <x:c r="H1433" s="8"/>
      <x:c r="I1433" s="8"/>
      <x:c r="J1433" s="8"/>
      <x:c r="K1433" s="8"/>
      <x:c r="L1433" s="8"/>
      <x:c r="M1433" s="10"/>
      <x:c r="N1433" s="10"/>
      <x:c r="O1433" s="8"/>
      <x:c r="P1433" s="9" t="str">
        <x:f>IF(C1433="","",IF(AND(G1433="Applicable",H1433="Fail"),"Fail",IF(R1433&lt;&gt;"Valid","Pending",IF(OR(I1433="",K1433="",L1433="",K1433=L1433,NOT(ISNUMBER(M1433)),NOT(ISNUMBER(N1433)),M1433&gt;Settings!$F$8,N1433&lt;Settings!$F$8,N1433&lt;M1433),"Pending",IF(AND(G1433="Applicable",H1433="Pass"),"Pass",IF(AND(G1433="N/A",H1433="N/A",J1433&lt;&gt;"",OR(E1433="CEM-FUELS",E1433="CEM-CCS",AND(E1433="CEM-PLAN",IFERROR(INDEX('Taxonomy'!$M$9:$M$108,MATCH(D1433,'Taxonomy'!$C$9:$C$108,0)),"")&lt;&gt;"Amber"),E1433="BLD-TIMBER",AND(U1433="Building equipment",OR(E1433="BLD-WATER",E1433="BLD-WASTE",E1433="BLD-LAND")),AND(U1433="Building renovation",E1433="BLD-LAND"))),"N/A","Pending"))))))</x:f>
      </x:c>
      <x:c r="Q1433" s="3" t="str">
        <x:f>IF(C1433="","",IF(AND(R1433="Valid",OR(P1433="Pass",P1433="N/A")),"Complete","Unresolved"))</x:f>
      </x:c>
      <x:c r="R1433" s="9" t="str">
        <x:f>IF(C1433="","",IF(OR(COUNTIF($C$9:$C$2008,C1433)&lt;&gt;1,COUNTIFS($D$9:$D$2008,D1433,$E$9:$E$2008,E1433)&lt;&gt;1),"Duplicate test",IF(COUNTIF('Taxonomy'!$C$9:$C$108,D1433)&lt;&gt;1,"Assessment key",IF(OR(COUNTIF('Taxonomy Rules'!$C$42:$C$68,E1433)&lt;&gt;1,F1433&lt;&gt;IFERROR(INDEX('Taxonomy Rules'!$D$42:$D$68,MATCH(E1433,'Taxonomy Rules'!$C$42:$C$68,0)),""),NOT(OR(IFERROR(INDEX('Taxonomy Rules'!$G$42:$G$68,MATCH(E1433,'Taxonomy Rules'!$C$42:$C$68,0)),"")="All supported routes",IFERROR(INDEX('Taxonomy Rules'!$G$42:$G$68,MATCH(E1433,'Taxonomy Rules'!$C$42:$C$68,0)),"")=U1433,AND(IFERROR(INDEX('Taxonomy Rules'!$G$42:$G$68,MATCH(E1433,'Taxonomy Rules'!$C$42:$C$68,0)),"")="Building routes",OR(U1433="Building renovation",U1433="New building",U1433="Building equipment"))))),"Unexpected test","Valid"))))</x:f>
      </x:c>
      <x:c r="S1433" s="9" t="str">
        <x:f>IF(C1433="","",IFERROR(INDEX('Taxonomy Rules'!$E$42:$E$68,MATCH(E1433,'Taxonomy Rules'!$C$42:$C$68,0)),""))</x:f>
      </x:c>
      <x:c r="T1433" s="9" t="str">
        <x:f>IF(C1433="","",IFERROR(INDEX('Taxonomy Rules'!$F$42:$F$68,MATCH(E1433,'Taxonomy Rules'!$C$42:$C$68,0)),""))</x:f>
      </x:c>
      <x:c r="U1433" s="9" t="str">
        <x:f>IF(C1433="","",IFERROR(INDEX('Taxonomy'!$G$9:$G$108,MATCH(D1433,'Taxonomy'!$C$9:$C$108,0)),""))</x:f>
      </x:c>
    </x:row>
    <x:row r="1434" ht="44" customHeight="1">
      <x:c r="A1434" s="1"/>
      <x:c r="B1434" s="1"/>
      <x:c r="C1434" s="8"/>
      <x:c r="D1434" s="8"/>
      <x:c r="E1434" s="8"/>
      <x:c r="F1434" s="8"/>
      <x:c r="G1434" s="8"/>
      <x:c r="H1434" s="8"/>
      <x:c r="I1434" s="8"/>
      <x:c r="J1434" s="8"/>
      <x:c r="K1434" s="8"/>
      <x:c r="L1434" s="8"/>
      <x:c r="M1434" s="10"/>
      <x:c r="N1434" s="10"/>
      <x:c r="O1434" s="8"/>
      <x:c r="P1434" s="9" t="str">
        <x:f>IF(C1434="","",IF(AND(G1434="Applicable",H1434="Fail"),"Fail",IF(R1434&lt;&gt;"Valid","Pending",IF(OR(I1434="",K1434="",L1434="",K1434=L1434,NOT(ISNUMBER(M1434)),NOT(ISNUMBER(N1434)),M1434&gt;Settings!$F$8,N1434&lt;Settings!$F$8,N1434&lt;M1434),"Pending",IF(AND(G1434="Applicable",H1434="Pass"),"Pass",IF(AND(G1434="N/A",H1434="N/A",J1434&lt;&gt;"",OR(E1434="CEM-FUELS",E1434="CEM-CCS",AND(E1434="CEM-PLAN",IFERROR(INDEX('Taxonomy'!$M$9:$M$108,MATCH(D1434,'Taxonomy'!$C$9:$C$108,0)),"")&lt;&gt;"Amber"),E1434="BLD-TIMBER",AND(U1434="Building equipment",OR(E1434="BLD-WATER",E1434="BLD-WASTE",E1434="BLD-LAND")),AND(U1434="Building renovation",E1434="BLD-LAND"))),"N/A","Pending"))))))</x:f>
      </x:c>
      <x:c r="Q1434" s="3" t="str">
        <x:f>IF(C1434="","",IF(AND(R1434="Valid",OR(P1434="Pass",P1434="N/A")),"Complete","Unresolved"))</x:f>
      </x:c>
      <x:c r="R1434" s="9" t="str">
        <x:f>IF(C1434="","",IF(OR(COUNTIF($C$9:$C$2008,C1434)&lt;&gt;1,COUNTIFS($D$9:$D$2008,D1434,$E$9:$E$2008,E1434)&lt;&gt;1),"Duplicate test",IF(COUNTIF('Taxonomy'!$C$9:$C$108,D1434)&lt;&gt;1,"Assessment key",IF(OR(COUNTIF('Taxonomy Rules'!$C$42:$C$68,E1434)&lt;&gt;1,F1434&lt;&gt;IFERROR(INDEX('Taxonomy Rules'!$D$42:$D$68,MATCH(E1434,'Taxonomy Rules'!$C$42:$C$68,0)),""),NOT(OR(IFERROR(INDEX('Taxonomy Rules'!$G$42:$G$68,MATCH(E1434,'Taxonomy Rules'!$C$42:$C$68,0)),"")="All supported routes",IFERROR(INDEX('Taxonomy Rules'!$G$42:$G$68,MATCH(E1434,'Taxonomy Rules'!$C$42:$C$68,0)),"")=U1434,AND(IFERROR(INDEX('Taxonomy Rules'!$G$42:$G$68,MATCH(E1434,'Taxonomy Rules'!$C$42:$C$68,0)),"")="Building routes",OR(U1434="Building renovation",U1434="New building",U1434="Building equipment"))))),"Unexpected test","Valid"))))</x:f>
      </x:c>
      <x:c r="S1434" s="9" t="str">
        <x:f>IF(C1434="","",IFERROR(INDEX('Taxonomy Rules'!$E$42:$E$68,MATCH(E1434,'Taxonomy Rules'!$C$42:$C$68,0)),""))</x:f>
      </x:c>
      <x:c r="T1434" s="9" t="str">
        <x:f>IF(C1434="","",IFERROR(INDEX('Taxonomy Rules'!$F$42:$F$68,MATCH(E1434,'Taxonomy Rules'!$C$42:$C$68,0)),""))</x:f>
      </x:c>
      <x:c r="U1434" s="9" t="str">
        <x:f>IF(C1434="","",IFERROR(INDEX('Taxonomy'!$G$9:$G$108,MATCH(D1434,'Taxonomy'!$C$9:$C$108,0)),""))</x:f>
      </x:c>
    </x:row>
    <x:row r="1435" ht="44" customHeight="1">
      <x:c r="A1435" s="1"/>
      <x:c r="B1435" s="1"/>
      <x:c r="C1435" s="8"/>
      <x:c r="D1435" s="8"/>
      <x:c r="E1435" s="8"/>
      <x:c r="F1435" s="8"/>
      <x:c r="G1435" s="8"/>
      <x:c r="H1435" s="8"/>
      <x:c r="I1435" s="8"/>
      <x:c r="J1435" s="8"/>
      <x:c r="K1435" s="8"/>
      <x:c r="L1435" s="8"/>
      <x:c r="M1435" s="10"/>
      <x:c r="N1435" s="10"/>
      <x:c r="O1435" s="8"/>
      <x:c r="P1435" s="9" t="str">
        <x:f>IF(C1435="","",IF(AND(G1435="Applicable",H1435="Fail"),"Fail",IF(R1435&lt;&gt;"Valid","Pending",IF(OR(I1435="",K1435="",L1435="",K1435=L1435,NOT(ISNUMBER(M1435)),NOT(ISNUMBER(N1435)),M1435&gt;Settings!$F$8,N1435&lt;Settings!$F$8,N1435&lt;M1435),"Pending",IF(AND(G1435="Applicable",H1435="Pass"),"Pass",IF(AND(G1435="N/A",H1435="N/A",J1435&lt;&gt;"",OR(E1435="CEM-FUELS",E1435="CEM-CCS",AND(E1435="CEM-PLAN",IFERROR(INDEX('Taxonomy'!$M$9:$M$108,MATCH(D1435,'Taxonomy'!$C$9:$C$108,0)),"")&lt;&gt;"Amber"),E1435="BLD-TIMBER",AND(U1435="Building equipment",OR(E1435="BLD-WATER",E1435="BLD-WASTE",E1435="BLD-LAND")),AND(U1435="Building renovation",E1435="BLD-LAND"))),"N/A","Pending"))))))</x:f>
      </x:c>
      <x:c r="Q1435" s="3" t="str">
        <x:f>IF(C1435="","",IF(AND(R1435="Valid",OR(P1435="Pass",P1435="N/A")),"Complete","Unresolved"))</x:f>
      </x:c>
      <x:c r="R1435" s="9" t="str">
        <x:f>IF(C1435="","",IF(OR(COUNTIF($C$9:$C$2008,C1435)&lt;&gt;1,COUNTIFS($D$9:$D$2008,D1435,$E$9:$E$2008,E1435)&lt;&gt;1),"Duplicate test",IF(COUNTIF('Taxonomy'!$C$9:$C$108,D1435)&lt;&gt;1,"Assessment key",IF(OR(COUNTIF('Taxonomy Rules'!$C$42:$C$68,E1435)&lt;&gt;1,F1435&lt;&gt;IFERROR(INDEX('Taxonomy Rules'!$D$42:$D$68,MATCH(E1435,'Taxonomy Rules'!$C$42:$C$68,0)),""),NOT(OR(IFERROR(INDEX('Taxonomy Rules'!$G$42:$G$68,MATCH(E1435,'Taxonomy Rules'!$C$42:$C$68,0)),"")="All supported routes",IFERROR(INDEX('Taxonomy Rules'!$G$42:$G$68,MATCH(E1435,'Taxonomy Rules'!$C$42:$C$68,0)),"")=U1435,AND(IFERROR(INDEX('Taxonomy Rules'!$G$42:$G$68,MATCH(E1435,'Taxonomy Rules'!$C$42:$C$68,0)),"")="Building routes",OR(U1435="Building renovation",U1435="New building",U1435="Building equipment"))))),"Unexpected test","Valid"))))</x:f>
      </x:c>
      <x:c r="S1435" s="9" t="str">
        <x:f>IF(C1435="","",IFERROR(INDEX('Taxonomy Rules'!$E$42:$E$68,MATCH(E1435,'Taxonomy Rules'!$C$42:$C$68,0)),""))</x:f>
      </x:c>
      <x:c r="T1435" s="9" t="str">
        <x:f>IF(C1435="","",IFERROR(INDEX('Taxonomy Rules'!$F$42:$F$68,MATCH(E1435,'Taxonomy Rules'!$C$42:$C$68,0)),""))</x:f>
      </x:c>
      <x:c r="U1435" s="9" t="str">
        <x:f>IF(C1435="","",IFERROR(INDEX('Taxonomy'!$G$9:$G$108,MATCH(D1435,'Taxonomy'!$C$9:$C$108,0)),""))</x:f>
      </x:c>
    </x:row>
    <x:row r="1436" ht="44" customHeight="1">
      <x:c r="A1436" s="1"/>
      <x:c r="B1436" s="1"/>
      <x:c r="C1436" s="8"/>
      <x:c r="D1436" s="8"/>
      <x:c r="E1436" s="8"/>
      <x:c r="F1436" s="8"/>
      <x:c r="G1436" s="8"/>
      <x:c r="H1436" s="8"/>
      <x:c r="I1436" s="8"/>
      <x:c r="J1436" s="8"/>
      <x:c r="K1436" s="8"/>
      <x:c r="L1436" s="8"/>
      <x:c r="M1436" s="10"/>
      <x:c r="N1436" s="10"/>
      <x:c r="O1436" s="8"/>
      <x:c r="P1436" s="9" t="str">
        <x:f>IF(C1436="","",IF(AND(G1436="Applicable",H1436="Fail"),"Fail",IF(R1436&lt;&gt;"Valid","Pending",IF(OR(I1436="",K1436="",L1436="",K1436=L1436,NOT(ISNUMBER(M1436)),NOT(ISNUMBER(N1436)),M1436&gt;Settings!$F$8,N1436&lt;Settings!$F$8,N1436&lt;M1436),"Pending",IF(AND(G1436="Applicable",H1436="Pass"),"Pass",IF(AND(G1436="N/A",H1436="N/A",J1436&lt;&gt;"",OR(E1436="CEM-FUELS",E1436="CEM-CCS",AND(E1436="CEM-PLAN",IFERROR(INDEX('Taxonomy'!$M$9:$M$108,MATCH(D1436,'Taxonomy'!$C$9:$C$108,0)),"")&lt;&gt;"Amber"),E1436="BLD-TIMBER",AND(U1436="Building equipment",OR(E1436="BLD-WATER",E1436="BLD-WASTE",E1436="BLD-LAND")),AND(U1436="Building renovation",E1436="BLD-LAND"))),"N/A","Pending"))))))</x:f>
      </x:c>
      <x:c r="Q1436" s="3" t="str">
        <x:f>IF(C1436="","",IF(AND(R1436="Valid",OR(P1436="Pass",P1436="N/A")),"Complete","Unresolved"))</x:f>
      </x:c>
      <x:c r="R1436" s="9" t="str">
        <x:f>IF(C1436="","",IF(OR(COUNTIF($C$9:$C$2008,C1436)&lt;&gt;1,COUNTIFS($D$9:$D$2008,D1436,$E$9:$E$2008,E1436)&lt;&gt;1),"Duplicate test",IF(COUNTIF('Taxonomy'!$C$9:$C$108,D1436)&lt;&gt;1,"Assessment key",IF(OR(COUNTIF('Taxonomy Rules'!$C$42:$C$68,E1436)&lt;&gt;1,F1436&lt;&gt;IFERROR(INDEX('Taxonomy Rules'!$D$42:$D$68,MATCH(E1436,'Taxonomy Rules'!$C$42:$C$68,0)),""),NOT(OR(IFERROR(INDEX('Taxonomy Rules'!$G$42:$G$68,MATCH(E1436,'Taxonomy Rules'!$C$42:$C$68,0)),"")="All supported routes",IFERROR(INDEX('Taxonomy Rules'!$G$42:$G$68,MATCH(E1436,'Taxonomy Rules'!$C$42:$C$68,0)),"")=U1436,AND(IFERROR(INDEX('Taxonomy Rules'!$G$42:$G$68,MATCH(E1436,'Taxonomy Rules'!$C$42:$C$68,0)),"")="Building routes",OR(U1436="Building renovation",U1436="New building",U1436="Building equipment"))))),"Unexpected test","Valid"))))</x:f>
      </x:c>
      <x:c r="S1436" s="9" t="str">
        <x:f>IF(C1436="","",IFERROR(INDEX('Taxonomy Rules'!$E$42:$E$68,MATCH(E1436,'Taxonomy Rules'!$C$42:$C$68,0)),""))</x:f>
      </x:c>
      <x:c r="T1436" s="9" t="str">
        <x:f>IF(C1436="","",IFERROR(INDEX('Taxonomy Rules'!$F$42:$F$68,MATCH(E1436,'Taxonomy Rules'!$C$42:$C$68,0)),""))</x:f>
      </x:c>
      <x:c r="U1436" s="9" t="str">
        <x:f>IF(C1436="","",IFERROR(INDEX('Taxonomy'!$G$9:$G$108,MATCH(D1436,'Taxonomy'!$C$9:$C$108,0)),""))</x:f>
      </x:c>
    </x:row>
    <x:row r="1437" ht="44" customHeight="1">
      <x:c r="A1437" s="1"/>
      <x:c r="B1437" s="1"/>
      <x:c r="C1437" s="8"/>
      <x:c r="D1437" s="8"/>
      <x:c r="E1437" s="8"/>
      <x:c r="F1437" s="8"/>
      <x:c r="G1437" s="8"/>
      <x:c r="H1437" s="8"/>
      <x:c r="I1437" s="8"/>
      <x:c r="J1437" s="8"/>
      <x:c r="K1437" s="8"/>
      <x:c r="L1437" s="8"/>
      <x:c r="M1437" s="10"/>
      <x:c r="N1437" s="10"/>
      <x:c r="O1437" s="8"/>
      <x:c r="P1437" s="9" t="str">
        <x:f>IF(C1437="","",IF(AND(G1437="Applicable",H1437="Fail"),"Fail",IF(R1437&lt;&gt;"Valid","Pending",IF(OR(I1437="",K1437="",L1437="",K1437=L1437,NOT(ISNUMBER(M1437)),NOT(ISNUMBER(N1437)),M1437&gt;Settings!$F$8,N1437&lt;Settings!$F$8,N1437&lt;M1437),"Pending",IF(AND(G1437="Applicable",H1437="Pass"),"Pass",IF(AND(G1437="N/A",H1437="N/A",J1437&lt;&gt;"",OR(E1437="CEM-FUELS",E1437="CEM-CCS",AND(E1437="CEM-PLAN",IFERROR(INDEX('Taxonomy'!$M$9:$M$108,MATCH(D1437,'Taxonomy'!$C$9:$C$108,0)),"")&lt;&gt;"Amber"),E1437="BLD-TIMBER",AND(U1437="Building equipment",OR(E1437="BLD-WATER",E1437="BLD-WASTE",E1437="BLD-LAND")),AND(U1437="Building renovation",E1437="BLD-LAND"))),"N/A","Pending"))))))</x:f>
      </x:c>
      <x:c r="Q1437" s="3" t="str">
        <x:f>IF(C1437="","",IF(AND(R1437="Valid",OR(P1437="Pass",P1437="N/A")),"Complete","Unresolved"))</x:f>
      </x:c>
      <x:c r="R1437" s="9" t="str">
        <x:f>IF(C1437="","",IF(OR(COUNTIF($C$9:$C$2008,C1437)&lt;&gt;1,COUNTIFS($D$9:$D$2008,D1437,$E$9:$E$2008,E1437)&lt;&gt;1),"Duplicate test",IF(COUNTIF('Taxonomy'!$C$9:$C$108,D1437)&lt;&gt;1,"Assessment key",IF(OR(COUNTIF('Taxonomy Rules'!$C$42:$C$68,E1437)&lt;&gt;1,F1437&lt;&gt;IFERROR(INDEX('Taxonomy Rules'!$D$42:$D$68,MATCH(E1437,'Taxonomy Rules'!$C$42:$C$68,0)),""),NOT(OR(IFERROR(INDEX('Taxonomy Rules'!$G$42:$G$68,MATCH(E1437,'Taxonomy Rules'!$C$42:$C$68,0)),"")="All supported routes",IFERROR(INDEX('Taxonomy Rules'!$G$42:$G$68,MATCH(E1437,'Taxonomy Rules'!$C$42:$C$68,0)),"")=U1437,AND(IFERROR(INDEX('Taxonomy Rules'!$G$42:$G$68,MATCH(E1437,'Taxonomy Rules'!$C$42:$C$68,0)),"")="Building routes",OR(U1437="Building renovation",U1437="New building",U1437="Building equipment"))))),"Unexpected test","Valid"))))</x:f>
      </x:c>
      <x:c r="S1437" s="9" t="str">
        <x:f>IF(C1437="","",IFERROR(INDEX('Taxonomy Rules'!$E$42:$E$68,MATCH(E1437,'Taxonomy Rules'!$C$42:$C$68,0)),""))</x:f>
      </x:c>
      <x:c r="T1437" s="9" t="str">
        <x:f>IF(C1437="","",IFERROR(INDEX('Taxonomy Rules'!$F$42:$F$68,MATCH(E1437,'Taxonomy Rules'!$C$42:$C$68,0)),""))</x:f>
      </x:c>
      <x:c r="U1437" s="9" t="str">
        <x:f>IF(C1437="","",IFERROR(INDEX('Taxonomy'!$G$9:$G$108,MATCH(D1437,'Taxonomy'!$C$9:$C$108,0)),""))</x:f>
      </x:c>
    </x:row>
    <x:row r="1438" ht="44" customHeight="1">
      <x:c r="A1438" s="1"/>
      <x:c r="B1438" s="1"/>
      <x:c r="C1438" s="8"/>
      <x:c r="D1438" s="8"/>
      <x:c r="E1438" s="8"/>
      <x:c r="F1438" s="8"/>
      <x:c r="G1438" s="8"/>
      <x:c r="H1438" s="8"/>
      <x:c r="I1438" s="8"/>
      <x:c r="J1438" s="8"/>
      <x:c r="K1438" s="8"/>
      <x:c r="L1438" s="8"/>
      <x:c r="M1438" s="10"/>
      <x:c r="N1438" s="10"/>
      <x:c r="O1438" s="8"/>
      <x:c r="P1438" s="9" t="str">
        <x:f>IF(C1438="","",IF(AND(G1438="Applicable",H1438="Fail"),"Fail",IF(R1438&lt;&gt;"Valid","Pending",IF(OR(I1438="",K1438="",L1438="",K1438=L1438,NOT(ISNUMBER(M1438)),NOT(ISNUMBER(N1438)),M1438&gt;Settings!$F$8,N1438&lt;Settings!$F$8,N1438&lt;M1438),"Pending",IF(AND(G1438="Applicable",H1438="Pass"),"Pass",IF(AND(G1438="N/A",H1438="N/A",J1438&lt;&gt;"",OR(E1438="CEM-FUELS",E1438="CEM-CCS",AND(E1438="CEM-PLAN",IFERROR(INDEX('Taxonomy'!$M$9:$M$108,MATCH(D1438,'Taxonomy'!$C$9:$C$108,0)),"")&lt;&gt;"Amber"),E1438="BLD-TIMBER",AND(U1438="Building equipment",OR(E1438="BLD-WATER",E1438="BLD-WASTE",E1438="BLD-LAND")),AND(U1438="Building renovation",E1438="BLD-LAND"))),"N/A","Pending"))))))</x:f>
      </x:c>
      <x:c r="Q1438" s="3" t="str">
        <x:f>IF(C1438="","",IF(AND(R1438="Valid",OR(P1438="Pass",P1438="N/A")),"Complete","Unresolved"))</x:f>
      </x:c>
      <x:c r="R1438" s="9" t="str">
        <x:f>IF(C1438="","",IF(OR(COUNTIF($C$9:$C$2008,C1438)&lt;&gt;1,COUNTIFS($D$9:$D$2008,D1438,$E$9:$E$2008,E1438)&lt;&gt;1),"Duplicate test",IF(COUNTIF('Taxonomy'!$C$9:$C$108,D1438)&lt;&gt;1,"Assessment key",IF(OR(COUNTIF('Taxonomy Rules'!$C$42:$C$68,E1438)&lt;&gt;1,F1438&lt;&gt;IFERROR(INDEX('Taxonomy Rules'!$D$42:$D$68,MATCH(E1438,'Taxonomy Rules'!$C$42:$C$68,0)),""),NOT(OR(IFERROR(INDEX('Taxonomy Rules'!$G$42:$G$68,MATCH(E1438,'Taxonomy Rules'!$C$42:$C$68,0)),"")="All supported routes",IFERROR(INDEX('Taxonomy Rules'!$G$42:$G$68,MATCH(E1438,'Taxonomy Rules'!$C$42:$C$68,0)),"")=U1438,AND(IFERROR(INDEX('Taxonomy Rules'!$G$42:$G$68,MATCH(E1438,'Taxonomy Rules'!$C$42:$C$68,0)),"")="Building routes",OR(U1438="Building renovation",U1438="New building",U1438="Building equipment"))))),"Unexpected test","Valid"))))</x:f>
      </x:c>
      <x:c r="S1438" s="9" t="str">
        <x:f>IF(C1438="","",IFERROR(INDEX('Taxonomy Rules'!$E$42:$E$68,MATCH(E1438,'Taxonomy Rules'!$C$42:$C$68,0)),""))</x:f>
      </x:c>
      <x:c r="T1438" s="9" t="str">
        <x:f>IF(C1438="","",IFERROR(INDEX('Taxonomy Rules'!$F$42:$F$68,MATCH(E1438,'Taxonomy Rules'!$C$42:$C$68,0)),""))</x:f>
      </x:c>
      <x:c r="U1438" s="9" t="str">
        <x:f>IF(C1438="","",IFERROR(INDEX('Taxonomy'!$G$9:$G$108,MATCH(D1438,'Taxonomy'!$C$9:$C$108,0)),""))</x:f>
      </x:c>
    </x:row>
    <x:row r="1439" ht="44" customHeight="1">
      <x:c r="A1439" s="1"/>
      <x:c r="B1439" s="1"/>
      <x:c r="C1439" s="8"/>
      <x:c r="D1439" s="8"/>
      <x:c r="E1439" s="8"/>
      <x:c r="F1439" s="8"/>
      <x:c r="G1439" s="8"/>
      <x:c r="H1439" s="8"/>
      <x:c r="I1439" s="8"/>
      <x:c r="J1439" s="8"/>
      <x:c r="K1439" s="8"/>
      <x:c r="L1439" s="8"/>
      <x:c r="M1439" s="10"/>
      <x:c r="N1439" s="10"/>
      <x:c r="O1439" s="8"/>
      <x:c r="P1439" s="9" t="str">
        <x:f>IF(C1439="","",IF(AND(G1439="Applicable",H1439="Fail"),"Fail",IF(R1439&lt;&gt;"Valid","Pending",IF(OR(I1439="",K1439="",L1439="",K1439=L1439,NOT(ISNUMBER(M1439)),NOT(ISNUMBER(N1439)),M1439&gt;Settings!$F$8,N1439&lt;Settings!$F$8,N1439&lt;M1439),"Pending",IF(AND(G1439="Applicable",H1439="Pass"),"Pass",IF(AND(G1439="N/A",H1439="N/A",J1439&lt;&gt;"",OR(E1439="CEM-FUELS",E1439="CEM-CCS",AND(E1439="CEM-PLAN",IFERROR(INDEX('Taxonomy'!$M$9:$M$108,MATCH(D1439,'Taxonomy'!$C$9:$C$108,0)),"")&lt;&gt;"Amber"),E1439="BLD-TIMBER",AND(U1439="Building equipment",OR(E1439="BLD-WATER",E1439="BLD-WASTE",E1439="BLD-LAND")),AND(U1439="Building renovation",E1439="BLD-LAND"))),"N/A","Pending"))))))</x:f>
      </x:c>
      <x:c r="Q1439" s="3" t="str">
        <x:f>IF(C1439="","",IF(AND(R1439="Valid",OR(P1439="Pass",P1439="N/A")),"Complete","Unresolved"))</x:f>
      </x:c>
      <x:c r="R1439" s="9" t="str">
        <x:f>IF(C1439="","",IF(OR(COUNTIF($C$9:$C$2008,C1439)&lt;&gt;1,COUNTIFS($D$9:$D$2008,D1439,$E$9:$E$2008,E1439)&lt;&gt;1),"Duplicate test",IF(COUNTIF('Taxonomy'!$C$9:$C$108,D1439)&lt;&gt;1,"Assessment key",IF(OR(COUNTIF('Taxonomy Rules'!$C$42:$C$68,E1439)&lt;&gt;1,F1439&lt;&gt;IFERROR(INDEX('Taxonomy Rules'!$D$42:$D$68,MATCH(E1439,'Taxonomy Rules'!$C$42:$C$68,0)),""),NOT(OR(IFERROR(INDEX('Taxonomy Rules'!$G$42:$G$68,MATCH(E1439,'Taxonomy Rules'!$C$42:$C$68,0)),"")="All supported routes",IFERROR(INDEX('Taxonomy Rules'!$G$42:$G$68,MATCH(E1439,'Taxonomy Rules'!$C$42:$C$68,0)),"")=U1439,AND(IFERROR(INDEX('Taxonomy Rules'!$G$42:$G$68,MATCH(E1439,'Taxonomy Rules'!$C$42:$C$68,0)),"")="Building routes",OR(U1439="Building renovation",U1439="New building",U1439="Building equipment"))))),"Unexpected test","Valid"))))</x:f>
      </x:c>
      <x:c r="S1439" s="9" t="str">
        <x:f>IF(C1439="","",IFERROR(INDEX('Taxonomy Rules'!$E$42:$E$68,MATCH(E1439,'Taxonomy Rules'!$C$42:$C$68,0)),""))</x:f>
      </x:c>
      <x:c r="T1439" s="9" t="str">
        <x:f>IF(C1439="","",IFERROR(INDEX('Taxonomy Rules'!$F$42:$F$68,MATCH(E1439,'Taxonomy Rules'!$C$42:$C$68,0)),""))</x:f>
      </x:c>
      <x:c r="U1439" s="9" t="str">
        <x:f>IF(C1439="","",IFERROR(INDEX('Taxonomy'!$G$9:$G$108,MATCH(D1439,'Taxonomy'!$C$9:$C$108,0)),""))</x:f>
      </x:c>
    </x:row>
    <x:row r="1440" ht="44" customHeight="1">
      <x:c r="A1440" s="1"/>
      <x:c r="B1440" s="1"/>
      <x:c r="C1440" s="8"/>
      <x:c r="D1440" s="8"/>
      <x:c r="E1440" s="8"/>
      <x:c r="F1440" s="8"/>
      <x:c r="G1440" s="8"/>
      <x:c r="H1440" s="8"/>
      <x:c r="I1440" s="8"/>
      <x:c r="J1440" s="8"/>
      <x:c r="K1440" s="8"/>
      <x:c r="L1440" s="8"/>
      <x:c r="M1440" s="10"/>
      <x:c r="N1440" s="10"/>
      <x:c r="O1440" s="8"/>
      <x:c r="P1440" s="9" t="str">
        <x:f>IF(C1440="","",IF(AND(G1440="Applicable",H1440="Fail"),"Fail",IF(R1440&lt;&gt;"Valid","Pending",IF(OR(I1440="",K1440="",L1440="",K1440=L1440,NOT(ISNUMBER(M1440)),NOT(ISNUMBER(N1440)),M1440&gt;Settings!$F$8,N1440&lt;Settings!$F$8,N1440&lt;M1440),"Pending",IF(AND(G1440="Applicable",H1440="Pass"),"Pass",IF(AND(G1440="N/A",H1440="N/A",J1440&lt;&gt;"",OR(E1440="CEM-FUELS",E1440="CEM-CCS",AND(E1440="CEM-PLAN",IFERROR(INDEX('Taxonomy'!$M$9:$M$108,MATCH(D1440,'Taxonomy'!$C$9:$C$108,0)),"")&lt;&gt;"Amber"),E1440="BLD-TIMBER",AND(U1440="Building equipment",OR(E1440="BLD-WATER",E1440="BLD-WASTE",E1440="BLD-LAND")),AND(U1440="Building renovation",E1440="BLD-LAND"))),"N/A","Pending"))))))</x:f>
      </x:c>
      <x:c r="Q1440" s="3" t="str">
        <x:f>IF(C1440="","",IF(AND(R1440="Valid",OR(P1440="Pass",P1440="N/A")),"Complete","Unresolved"))</x:f>
      </x:c>
      <x:c r="R1440" s="9" t="str">
        <x:f>IF(C1440="","",IF(OR(COUNTIF($C$9:$C$2008,C1440)&lt;&gt;1,COUNTIFS($D$9:$D$2008,D1440,$E$9:$E$2008,E1440)&lt;&gt;1),"Duplicate test",IF(COUNTIF('Taxonomy'!$C$9:$C$108,D1440)&lt;&gt;1,"Assessment key",IF(OR(COUNTIF('Taxonomy Rules'!$C$42:$C$68,E1440)&lt;&gt;1,F1440&lt;&gt;IFERROR(INDEX('Taxonomy Rules'!$D$42:$D$68,MATCH(E1440,'Taxonomy Rules'!$C$42:$C$68,0)),""),NOT(OR(IFERROR(INDEX('Taxonomy Rules'!$G$42:$G$68,MATCH(E1440,'Taxonomy Rules'!$C$42:$C$68,0)),"")="All supported routes",IFERROR(INDEX('Taxonomy Rules'!$G$42:$G$68,MATCH(E1440,'Taxonomy Rules'!$C$42:$C$68,0)),"")=U1440,AND(IFERROR(INDEX('Taxonomy Rules'!$G$42:$G$68,MATCH(E1440,'Taxonomy Rules'!$C$42:$C$68,0)),"")="Building routes",OR(U1440="Building renovation",U1440="New building",U1440="Building equipment"))))),"Unexpected test","Valid"))))</x:f>
      </x:c>
      <x:c r="S1440" s="9" t="str">
        <x:f>IF(C1440="","",IFERROR(INDEX('Taxonomy Rules'!$E$42:$E$68,MATCH(E1440,'Taxonomy Rules'!$C$42:$C$68,0)),""))</x:f>
      </x:c>
      <x:c r="T1440" s="9" t="str">
        <x:f>IF(C1440="","",IFERROR(INDEX('Taxonomy Rules'!$F$42:$F$68,MATCH(E1440,'Taxonomy Rules'!$C$42:$C$68,0)),""))</x:f>
      </x:c>
      <x:c r="U1440" s="9" t="str">
        <x:f>IF(C1440="","",IFERROR(INDEX('Taxonomy'!$G$9:$G$108,MATCH(D1440,'Taxonomy'!$C$9:$C$108,0)),""))</x:f>
      </x:c>
    </x:row>
    <x:row r="1441" ht="44" customHeight="1">
      <x:c r="A1441" s="1"/>
      <x:c r="B1441" s="1"/>
      <x:c r="C1441" s="8"/>
      <x:c r="D1441" s="8"/>
      <x:c r="E1441" s="8"/>
      <x:c r="F1441" s="8"/>
      <x:c r="G1441" s="8"/>
      <x:c r="H1441" s="8"/>
      <x:c r="I1441" s="8"/>
      <x:c r="J1441" s="8"/>
      <x:c r="K1441" s="8"/>
      <x:c r="L1441" s="8"/>
      <x:c r="M1441" s="10"/>
      <x:c r="N1441" s="10"/>
      <x:c r="O1441" s="8"/>
      <x:c r="P1441" s="9" t="str">
        <x:f>IF(C1441="","",IF(AND(G1441="Applicable",H1441="Fail"),"Fail",IF(R1441&lt;&gt;"Valid","Pending",IF(OR(I1441="",K1441="",L1441="",K1441=L1441,NOT(ISNUMBER(M1441)),NOT(ISNUMBER(N1441)),M1441&gt;Settings!$F$8,N1441&lt;Settings!$F$8,N1441&lt;M1441),"Pending",IF(AND(G1441="Applicable",H1441="Pass"),"Pass",IF(AND(G1441="N/A",H1441="N/A",J1441&lt;&gt;"",OR(E1441="CEM-FUELS",E1441="CEM-CCS",AND(E1441="CEM-PLAN",IFERROR(INDEX('Taxonomy'!$M$9:$M$108,MATCH(D1441,'Taxonomy'!$C$9:$C$108,0)),"")&lt;&gt;"Amber"),E1441="BLD-TIMBER",AND(U1441="Building equipment",OR(E1441="BLD-WATER",E1441="BLD-WASTE",E1441="BLD-LAND")),AND(U1441="Building renovation",E1441="BLD-LAND"))),"N/A","Pending"))))))</x:f>
      </x:c>
      <x:c r="Q1441" s="3" t="str">
        <x:f>IF(C1441="","",IF(AND(R1441="Valid",OR(P1441="Pass",P1441="N/A")),"Complete","Unresolved"))</x:f>
      </x:c>
      <x:c r="R1441" s="9" t="str">
        <x:f>IF(C1441="","",IF(OR(COUNTIF($C$9:$C$2008,C1441)&lt;&gt;1,COUNTIFS($D$9:$D$2008,D1441,$E$9:$E$2008,E1441)&lt;&gt;1),"Duplicate test",IF(COUNTIF('Taxonomy'!$C$9:$C$108,D1441)&lt;&gt;1,"Assessment key",IF(OR(COUNTIF('Taxonomy Rules'!$C$42:$C$68,E1441)&lt;&gt;1,F1441&lt;&gt;IFERROR(INDEX('Taxonomy Rules'!$D$42:$D$68,MATCH(E1441,'Taxonomy Rules'!$C$42:$C$68,0)),""),NOT(OR(IFERROR(INDEX('Taxonomy Rules'!$G$42:$G$68,MATCH(E1441,'Taxonomy Rules'!$C$42:$C$68,0)),"")="All supported routes",IFERROR(INDEX('Taxonomy Rules'!$G$42:$G$68,MATCH(E1441,'Taxonomy Rules'!$C$42:$C$68,0)),"")=U1441,AND(IFERROR(INDEX('Taxonomy Rules'!$G$42:$G$68,MATCH(E1441,'Taxonomy Rules'!$C$42:$C$68,0)),"")="Building routes",OR(U1441="Building renovation",U1441="New building",U1441="Building equipment"))))),"Unexpected test","Valid"))))</x:f>
      </x:c>
      <x:c r="S1441" s="9" t="str">
        <x:f>IF(C1441="","",IFERROR(INDEX('Taxonomy Rules'!$E$42:$E$68,MATCH(E1441,'Taxonomy Rules'!$C$42:$C$68,0)),""))</x:f>
      </x:c>
      <x:c r="T1441" s="9" t="str">
        <x:f>IF(C1441="","",IFERROR(INDEX('Taxonomy Rules'!$F$42:$F$68,MATCH(E1441,'Taxonomy Rules'!$C$42:$C$68,0)),""))</x:f>
      </x:c>
      <x:c r="U1441" s="9" t="str">
        <x:f>IF(C1441="","",IFERROR(INDEX('Taxonomy'!$G$9:$G$108,MATCH(D1441,'Taxonomy'!$C$9:$C$108,0)),""))</x:f>
      </x:c>
    </x:row>
    <x:row r="1442" ht="44" customHeight="1">
      <x:c r="A1442" s="1"/>
      <x:c r="B1442" s="1"/>
      <x:c r="C1442" s="8"/>
      <x:c r="D1442" s="8"/>
      <x:c r="E1442" s="8"/>
      <x:c r="F1442" s="8"/>
      <x:c r="G1442" s="8"/>
      <x:c r="H1442" s="8"/>
      <x:c r="I1442" s="8"/>
      <x:c r="J1442" s="8"/>
      <x:c r="K1442" s="8"/>
      <x:c r="L1442" s="8"/>
      <x:c r="M1442" s="10"/>
      <x:c r="N1442" s="10"/>
      <x:c r="O1442" s="8"/>
      <x:c r="P1442" s="9" t="str">
        <x:f>IF(C1442="","",IF(AND(G1442="Applicable",H1442="Fail"),"Fail",IF(R1442&lt;&gt;"Valid","Pending",IF(OR(I1442="",K1442="",L1442="",K1442=L1442,NOT(ISNUMBER(M1442)),NOT(ISNUMBER(N1442)),M1442&gt;Settings!$F$8,N1442&lt;Settings!$F$8,N1442&lt;M1442),"Pending",IF(AND(G1442="Applicable",H1442="Pass"),"Pass",IF(AND(G1442="N/A",H1442="N/A",J1442&lt;&gt;"",OR(E1442="CEM-FUELS",E1442="CEM-CCS",AND(E1442="CEM-PLAN",IFERROR(INDEX('Taxonomy'!$M$9:$M$108,MATCH(D1442,'Taxonomy'!$C$9:$C$108,0)),"")&lt;&gt;"Amber"),E1442="BLD-TIMBER",AND(U1442="Building equipment",OR(E1442="BLD-WATER",E1442="BLD-WASTE",E1442="BLD-LAND")),AND(U1442="Building renovation",E1442="BLD-LAND"))),"N/A","Pending"))))))</x:f>
      </x:c>
      <x:c r="Q1442" s="3" t="str">
        <x:f>IF(C1442="","",IF(AND(R1442="Valid",OR(P1442="Pass",P1442="N/A")),"Complete","Unresolved"))</x:f>
      </x:c>
      <x:c r="R1442" s="9" t="str">
        <x:f>IF(C1442="","",IF(OR(COUNTIF($C$9:$C$2008,C1442)&lt;&gt;1,COUNTIFS($D$9:$D$2008,D1442,$E$9:$E$2008,E1442)&lt;&gt;1),"Duplicate test",IF(COUNTIF('Taxonomy'!$C$9:$C$108,D1442)&lt;&gt;1,"Assessment key",IF(OR(COUNTIF('Taxonomy Rules'!$C$42:$C$68,E1442)&lt;&gt;1,F1442&lt;&gt;IFERROR(INDEX('Taxonomy Rules'!$D$42:$D$68,MATCH(E1442,'Taxonomy Rules'!$C$42:$C$68,0)),""),NOT(OR(IFERROR(INDEX('Taxonomy Rules'!$G$42:$G$68,MATCH(E1442,'Taxonomy Rules'!$C$42:$C$68,0)),"")="All supported routes",IFERROR(INDEX('Taxonomy Rules'!$G$42:$G$68,MATCH(E1442,'Taxonomy Rules'!$C$42:$C$68,0)),"")=U1442,AND(IFERROR(INDEX('Taxonomy Rules'!$G$42:$G$68,MATCH(E1442,'Taxonomy Rules'!$C$42:$C$68,0)),"")="Building routes",OR(U1442="Building renovation",U1442="New building",U1442="Building equipment"))))),"Unexpected test","Valid"))))</x:f>
      </x:c>
      <x:c r="S1442" s="9" t="str">
        <x:f>IF(C1442="","",IFERROR(INDEX('Taxonomy Rules'!$E$42:$E$68,MATCH(E1442,'Taxonomy Rules'!$C$42:$C$68,0)),""))</x:f>
      </x:c>
      <x:c r="T1442" s="9" t="str">
        <x:f>IF(C1442="","",IFERROR(INDEX('Taxonomy Rules'!$F$42:$F$68,MATCH(E1442,'Taxonomy Rules'!$C$42:$C$68,0)),""))</x:f>
      </x:c>
      <x:c r="U1442" s="9" t="str">
        <x:f>IF(C1442="","",IFERROR(INDEX('Taxonomy'!$G$9:$G$108,MATCH(D1442,'Taxonomy'!$C$9:$C$108,0)),""))</x:f>
      </x:c>
    </x:row>
    <x:row r="1443" ht="44" customHeight="1">
      <x:c r="A1443" s="1"/>
      <x:c r="B1443" s="1"/>
      <x:c r="C1443" s="8"/>
      <x:c r="D1443" s="8"/>
      <x:c r="E1443" s="8"/>
      <x:c r="F1443" s="8"/>
      <x:c r="G1443" s="8"/>
      <x:c r="H1443" s="8"/>
      <x:c r="I1443" s="8"/>
      <x:c r="J1443" s="8"/>
      <x:c r="K1443" s="8"/>
      <x:c r="L1443" s="8"/>
      <x:c r="M1443" s="10"/>
      <x:c r="N1443" s="10"/>
      <x:c r="O1443" s="8"/>
      <x:c r="P1443" s="9" t="str">
        <x:f>IF(C1443="","",IF(AND(G1443="Applicable",H1443="Fail"),"Fail",IF(R1443&lt;&gt;"Valid","Pending",IF(OR(I1443="",K1443="",L1443="",K1443=L1443,NOT(ISNUMBER(M1443)),NOT(ISNUMBER(N1443)),M1443&gt;Settings!$F$8,N1443&lt;Settings!$F$8,N1443&lt;M1443),"Pending",IF(AND(G1443="Applicable",H1443="Pass"),"Pass",IF(AND(G1443="N/A",H1443="N/A",J1443&lt;&gt;"",OR(E1443="CEM-FUELS",E1443="CEM-CCS",AND(E1443="CEM-PLAN",IFERROR(INDEX('Taxonomy'!$M$9:$M$108,MATCH(D1443,'Taxonomy'!$C$9:$C$108,0)),"")&lt;&gt;"Amber"),E1443="BLD-TIMBER",AND(U1443="Building equipment",OR(E1443="BLD-WATER",E1443="BLD-WASTE",E1443="BLD-LAND")),AND(U1443="Building renovation",E1443="BLD-LAND"))),"N/A","Pending"))))))</x:f>
      </x:c>
      <x:c r="Q1443" s="3" t="str">
        <x:f>IF(C1443="","",IF(AND(R1443="Valid",OR(P1443="Pass",P1443="N/A")),"Complete","Unresolved"))</x:f>
      </x:c>
      <x:c r="R1443" s="9" t="str">
        <x:f>IF(C1443="","",IF(OR(COUNTIF($C$9:$C$2008,C1443)&lt;&gt;1,COUNTIFS($D$9:$D$2008,D1443,$E$9:$E$2008,E1443)&lt;&gt;1),"Duplicate test",IF(COUNTIF('Taxonomy'!$C$9:$C$108,D1443)&lt;&gt;1,"Assessment key",IF(OR(COUNTIF('Taxonomy Rules'!$C$42:$C$68,E1443)&lt;&gt;1,F1443&lt;&gt;IFERROR(INDEX('Taxonomy Rules'!$D$42:$D$68,MATCH(E1443,'Taxonomy Rules'!$C$42:$C$68,0)),""),NOT(OR(IFERROR(INDEX('Taxonomy Rules'!$G$42:$G$68,MATCH(E1443,'Taxonomy Rules'!$C$42:$C$68,0)),"")="All supported routes",IFERROR(INDEX('Taxonomy Rules'!$G$42:$G$68,MATCH(E1443,'Taxonomy Rules'!$C$42:$C$68,0)),"")=U1443,AND(IFERROR(INDEX('Taxonomy Rules'!$G$42:$G$68,MATCH(E1443,'Taxonomy Rules'!$C$42:$C$68,0)),"")="Building routes",OR(U1443="Building renovation",U1443="New building",U1443="Building equipment"))))),"Unexpected test","Valid"))))</x:f>
      </x:c>
      <x:c r="S1443" s="9" t="str">
        <x:f>IF(C1443="","",IFERROR(INDEX('Taxonomy Rules'!$E$42:$E$68,MATCH(E1443,'Taxonomy Rules'!$C$42:$C$68,0)),""))</x:f>
      </x:c>
      <x:c r="T1443" s="9" t="str">
        <x:f>IF(C1443="","",IFERROR(INDEX('Taxonomy Rules'!$F$42:$F$68,MATCH(E1443,'Taxonomy Rules'!$C$42:$C$68,0)),""))</x:f>
      </x:c>
      <x:c r="U1443" s="9" t="str">
        <x:f>IF(C1443="","",IFERROR(INDEX('Taxonomy'!$G$9:$G$108,MATCH(D1443,'Taxonomy'!$C$9:$C$108,0)),""))</x:f>
      </x:c>
    </x:row>
    <x:row r="1444" ht="44" customHeight="1">
      <x:c r="A1444" s="1"/>
      <x:c r="B1444" s="1"/>
      <x:c r="C1444" s="8"/>
      <x:c r="D1444" s="8"/>
      <x:c r="E1444" s="8"/>
      <x:c r="F1444" s="8"/>
      <x:c r="G1444" s="8"/>
      <x:c r="H1444" s="8"/>
      <x:c r="I1444" s="8"/>
      <x:c r="J1444" s="8"/>
      <x:c r="K1444" s="8"/>
      <x:c r="L1444" s="8"/>
      <x:c r="M1444" s="10"/>
      <x:c r="N1444" s="10"/>
      <x:c r="O1444" s="8"/>
      <x:c r="P1444" s="9" t="str">
        <x:f>IF(C1444="","",IF(AND(G1444="Applicable",H1444="Fail"),"Fail",IF(R1444&lt;&gt;"Valid","Pending",IF(OR(I1444="",K1444="",L1444="",K1444=L1444,NOT(ISNUMBER(M1444)),NOT(ISNUMBER(N1444)),M1444&gt;Settings!$F$8,N1444&lt;Settings!$F$8,N1444&lt;M1444),"Pending",IF(AND(G1444="Applicable",H1444="Pass"),"Pass",IF(AND(G1444="N/A",H1444="N/A",J1444&lt;&gt;"",OR(E1444="CEM-FUELS",E1444="CEM-CCS",AND(E1444="CEM-PLAN",IFERROR(INDEX('Taxonomy'!$M$9:$M$108,MATCH(D1444,'Taxonomy'!$C$9:$C$108,0)),"")&lt;&gt;"Amber"),E1444="BLD-TIMBER",AND(U1444="Building equipment",OR(E1444="BLD-WATER",E1444="BLD-WASTE",E1444="BLD-LAND")),AND(U1444="Building renovation",E1444="BLD-LAND"))),"N/A","Pending"))))))</x:f>
      </x:c>
      <x:c r="Q1444" s="3" t="str">
        <x:f>IF(C1444="","",IF(AND(R1444="Valid",OR(P1444="Pass",P1444="N/A")),"Complete","Unresolved"))</x:f>
      </x:c>
      <x:c r="R1444" s="9" t="str">
        <x:f>IF(C1444="","",IF(OR(COUNTIF($C$9:$C$2008,C1444)&lt;&gt;1,COUNTIFS($D$9:$D$2008,D1444,$E$9:$E$2008,E1444)&lt;&gt;1),"Duplicate test",IF(COUNTIF('Taxonomy'!$C$9:$C$108,D1444)&lt;&gt;1,"Assessment key",IF(OR(COUNTIF('Taxonomy Rules'!$C$42:$C$68,E1444)&lt;&gt;1,F1444&lt;&gt;IFERROR(INDEX('Taxonomy Rules'!$D$42:$D$68,MATCH(E1444,'Taxonomy Rules'!$C$42:$C$68,0)),""),NOT(OR(IFERROR(INDEX('Taxonomy Rules'!$G$42:$G$68,MATCH(E1444,'Taxonomy Rules'!$C$42:$C$68,0)),"")="All supported routes",IFERROR(INDEX('Taxonomy Rules'!$G$42:$G$68,MATCH(E1444,'Taxonomy Rules'!$C$42:$C$68,0)),"")=U1444,AND(IFERROR(INDEX('Taxonomy Rules'!$G$42:$G$68,MATCH(E1444,'Taxonomy Rules'!$C$42:$C$68,0)),"")="Building routes",OR(U1444="Building renovation",U1444="New building",U1444="Building equipment"))))),"Unexpected test","Valid"))))</x:f>
      </x:c>
      <x:c r="S1444" s="9" t="str">
        <x:f>IF(C1444="","",IFERROR(INDEX('Taxonomy Rules'!$E$42:$E$68,MATCH(E1444,'Taxonomy Rules'!$C$42:$C$68,0)),""))</x:f>
      </x:c>
      <x:c r="T1444" s="9" t="str">
        <x:f>IF(C1444="","",IFERROR(INDEX('Taxonomy Rules'!$F$42:$F$68,MATCH(E1444,'Taxonomy Rules'!$C$42:$C$68,0)),""))</x:f>
      </x:c>
      <x:c r="U1444" s="9" t="str">
        <x:f>IF(C1444="","",IFERROR(INDEX('Taxonomy'!$G$9:$G$108,MATCH(D1444,'Taxonomy'!$C$9:$C$108,0)),""))</x:f>
      </x:c>
    </x:row>
    <x:row r="1445" ht="44" customHeight="1">
      <x:c r="A1445" s="1"/>
      <x:c r="B1445" s="1"/>
      <x:c r="C1445" s="8"/>
      <x:c r="D1445" s="8"/>
      <x:c r="E1445" s="8"/>
      <x:c r="F1445" s="8"/>
      <x:c r="G1445" s="8"/>
      <x:c r="H1445" s="8"/>
      <x:c r="I1445" s="8"/>
      <x:c r="J1445" s="8"/>
      <x:c r="K1445" s="8"/>
      <x:c r="L1445" s="8"/>
      <x:c r="M1445" s="10"/>
      <x:c r="N1445" s="10"/>
      <x:c r="O1445" s="8"/>
      <x:c r="P1445" s="9" t="str">
        <x:f>IF(C1445="","",IF(AND(G1445="Applicable",H1445="Fail"),"Fail",IF(R1445&lt;&gt;"Valid","Pending",IF(OR(I1445="",K1445="",L1445="",K1445=L1445,NOT(ISNUMBER(M1445)),NOT(ISNUMBER(N1445)),M1445&gt;Settings!$F$8,N1445&lt;Settings!$F$8,N1445&lt;M1445),"Pending",IF(AND(G1445="Applicable",H1445="Pass"),"Pass",IF(AND(G1445="N/A",H1445="N/A",J1445&lt;&gt;"",OR(E1445="CEM-FUELS",E1445="CEM-CCS",AND(E1445="CEM-PLAN",IFERROR(INDEX('Taxonomy'!$M$9:$M$108,MATCH(D1445,'Taxonomy'!$C$9:$C$108,0)),"")&lt;&gt;"Amber"),E1445="BLD-TIMBER",AND(U1445="Building equipment",OR(E1445="BLD-WATER",E1445="BLD-WASTE",E1445="BLD-LAND")),AND(U1445="Building renovation",E1445="BLD-LAND"))),"N/A","Pending"))))))</x:f>
      </x:c>
      <x:c r="Q1445" s="3" t="str">
        <x:f>IF(C1445="","",IF(AND(R1445="Valid",OR(P1445="Pass",P1445="N/A")),"Complete","Unresolved"))</x:f>
      </x:c>
      <x:c r="R1445" s="9" t="str">
        <x:f>IF(C1445="","",IF(OR(COUNTIF($C$9:$C$2008,C1445)&lt;&gt;1,COUNTIFS($D$9:$D$2008,D1445,$E$9:$E$2008,E1445)&lt;&gt;1),"Duplicate test",IF(COUNTIF('Taxonomy'!$C$9:$C$108,D1445)&lt;&gt;1,"Assessment key",IF(OR(COUNTIF('Taxonomy Rules'!$C$42:$C$68,E1445)&lt;&gt;1,F1445&lt;&gt;IFERROR(INDEX('Taxonomy Rules'!$D$42:$D$68,MATCH(E1445,'Taxonomy Rules'!$C$42:$C$68,0)),""),NOT(OR(IFERROR(INDEX('Taxonomy Rules'!$G$42:$G$68,MATCH(E1445,'Taxonomy Rules'!$C$42:$C$68,0)),"")="All supported routes",IFERROR(INDEX('Taxonomy Rules'!$G$42:$G$68,MATCH(E1445,'Taxonomy Rules'!$C$42:$C$68,0)),"")=U1445,AND(IFERROR(INDEX('Taxonomy Rules'!$G$42:$G$68,MATCH(E1445,'Taxonomy Rules'!$C$42:$C$68,0)),"")="Building routes",OR(U1445="Building renovation",U1445="New building",U1445="Building equipment"))))),"Unexpected test","Valid"))))</x:f>
      </x:c>
      <x:c r="S1445" s="9" t="str">
        <x:f>IF(C1445="","",IFERROR(INDEX('Taxonomy Rules'!$E$42:$E$68,MATCH(E1445,'Taxonomy Rules'!$C$42:$C$68,0)),""))</x:f>
      </x:c>
      <x:c r="T1445" s="9" t="str">
        <x:f>IF(C1445="","",IFERROR(INDEX('Taxonomy Rules'!$F$42:$F$68,MATCH(E1445,'Taxonomy Rules'!$C$42:$C$68,0)),""))</x:f>
      </x:c>
      <x:c r="U1445" s="9" t="str">
        <x:f>IF(C1445="","",IFERROR(INDEX('Taxonomy'!$G$9:$G$108,MATCH(D1445,'Taxonomy'!$C$9:$C$108,0)),""))</x:f>
      </x:c>
    </x:row>
    <x:row r="1446" ht="44" customHeight="1">
      <x:c r="A1446" s="1"/>
      <x:c r="B1446" s="1"/>
      <x:c r="C1446" s="8"/>
      <x:c r="D1446" s="8"/>
      <x:c r="E1446" s="8"/>
      <x:c r="F1446" s="8"/>
      <x:c r="G1446" s="8"/>
      <x:c r="H1446" s="8"/>
      <x:c r="I1446" s="8"/>
      <x:c r="J1446" s="8"/>
      <x:c r="K1446" s="8"/>
      <x:c r="L1446" s="8"/>
      <x:c r="M1446" s="10"/>
      <x:c r="N1446" s="10"/>
      <x:c r="O1446" s="8"/>
      <x:c r="P1446" s="9" t="str">
        <x:f>IF(C1446="","",IF(AND(G1446="Applicable",H1446="Fail"),"Fail",IF(R1446&lt;&gt;"Valid","Pending",IF(OR(I1446="",K1446="",L1446="",K1446=L1446,NOT(ISNUMBER(M1446)),NOT(ISNUMBER(N1446)),M1446&gt;Settings!$F$8,N1446&lt;Settings!$F$8,N1446&lt;M1446),"Pending",IF(AND(G1446="Applicable",H1446="Pass"),"Pass",IF(AND(G1446="N/A",H1446="N/A",J1446&lt;&gt;"",OR(E1446="CEM-FUELS",E1446="CEM-CCS",AND(E1446="CEM-PLAN",IFERROR(INDEX('Taxonomy'!$M$9:$M$108,MATCH(D1446,'Taxonomy'!$C$9:$C$108,0)),"")&lt;&gt;"Amber"),E1446="BLD-TIMBER",AND(U1446="Building equipment",OR(E1446="BLD-WATER",E1446="BLD-WASTE",E1446="BLD-LAND")),AND(U1446="Building renovation",E1446="BLD-LAND"))),"N/A","Pending"))))))</x:f>
      </x:c>
      <x:c r="Q1446" s="3" t="str">
        <x:f>IF(C1446="","",IF(AND(R1446="Valid",OR(P1446="Pass",P1446="N/A")),"Complete","Unresolved"))</x:f>
      </x:c>
      <x:c r="R1446" s="9" t="str">
        <x:f>IF(C1446="","",IF(OR(COUNTIF($C$9:$C$2008,C1446)&lt;&gt;1,COUNTIFS($D$9:$D$2008,D1446,$E$9:$E$2008,E1446)&lt;&gt;1),"Duplicate test",IF(COUNTIF('Taxonomy'!$C$9:$C$108,D1446)&lt;&gt;1,"Assessment key",IF(OR(COUNTIF('Taxonomy Rules'!$C$42:$C$68,E1446)&lt;&gt;1,F1446&lt;&gt;IFERROR(INDEX('Taxonomy Rules'!$D$42:$D$68,MATCH(E1446,'Taxonomy Rules'!$C$42:$C$68,0)),""),NOT(OR(IFERROR(INDEX('Taxonomy Rules'!$G$42:$G$68,MATCH(E1446,'Taxonomy Rules'!$C$42:$C$68,0)),"")="All supported routes",IFERROR(INDEX('Taxonomy Rules'!$G$42:$G$68,MATCH(E1446,'Taxonomy Rules'!$C$42:$C$68,0)),"")=U1446,AND(IFERROR(INDEX('Taxonomy Rules'!$G$42:$G$68,MATCH(E1446,'Taxonomy Rules'!$C$42:$C$68,0)),"")="Building routes",OR(U1446="Building renovation",U1446="New building",U1446="Building equipment"))))),"Unexpected test","Valid"))))</x:f>
      </x:c>
      <x:c r="S1446" s="9" t="str">
        <x:f>IF(C1446="","",IFERROR(INDEX('Taxonomy Rules'!$E$42:$E$68,MATCH(E1446,'Taxonomy Rules'!$C$42:$C$68,0)),""))</x:f>
      </x:c>
      <x:c r="T1446" s="9" t="str">
        <x:f>IF(C1446="","",IFERROR(INDEX('Taxonomy Rules'!$F$42:$F$68,MATCH(E1446,'Taxonomy Rules'!$C$42:$C$68,0)),""))</x:f>
      </x:c>
      <x:c r="U1446" s="9" t="str">
        <x:f>IF(C1446="","",IFERROR(INDEX('Taxonomy'!$G$9:$G$108,MATCH(D1446,'Taxonomy'!$C$9:$C$108,0)),""))</x:f>
      </x:c>
    </x:row>
    <x:row r="1447" ht="44" customHeight="1">
      <x:c r="A1447" s="1"/>
      <x:c r="B1447" s="1"/>
      <x:c r="C1447" s="8"/>
      <x:c r="D1447" s="8"/>
      <x:c r="E1447" s="8"/>
      <x:c r="F1447" s="8"/>
      <x:c r="G1447" s="8"/>
      <x:c r="H1447" s="8"/>
      <x:c r="I1447" s="8"/>
      <x:c r="J1447" s="8"/>
      <x:c r="K1447" s="8"/>
      <x:c r="L1447" s="8"/>
      <x:c r="M1447" s="10"/>
      <x:c r="N1447" s="10"/>
      <x:c r="O1447" s="8"/>
      <x:c r="P1447" s="9" t="str">
        <x:f>IF(C1447="","",IF(AND(G1447="Applicable",H1447="Fail"),"Fail",IF(R1447&lt;&gt;"Valid","Pending",IF(OR(I1447="",K1447="",L1447="",K1447=L1447,NOT(ISNUMBER(M1447)),NOT(ISNUMBER(N1447)),M1447&gt;Settings!$F$8,N1447&lt;Settings!$F$8,N1447&lt;M1447),"Pending",IF(AND(G1447="Applicable",H1447="Pass"),"Pass",IF(AND(G1447="N/A",H1447="N/A",J1447&lt;&gt;"",OR(E1447="CEM-FUELS",E1447="CEM-CCS",AND(E1447="CEM-PLAN",IFERROR(INDEX('Taxonomy'!$M$9:$M$108,MATCH(D1447,'Taxonomy'!$C$9:$C$108,0)),"")&lt;&gt;"Amber"),E1447="BLD-TIMBER",AND(U1447="Building equipment",OR(E1447="BLD-WATER",E1447="BLD-WASTE",E1447="BLD-LAND")),AND(U1447="Building renovation",E1447="BLD-LAND"))),"N/A","Pending"))))))</x:f>
      </x:c>
      <x:c r="Q1447" s="3" t="str">
        <x:f>IF(C1447="","",IF(AND(R1447="Valid",OR(P1447="Pass",P1447="N/A")),"Complete","Unresolved"))</x:f>
      </x:c>
      <x:c r="R1447" s="9" t="str">
        <x:f>IF(C1447="","",IF(OR(COUNTIF($C$9:$C$2008,C1447)&lt;&gt;1,COUNTIFS($D$9:$D$2008,D1447,$E$9:$E$2008,E1447)&lt;&gt;1),"Duplicate test",IF(COUNTIF('Taxonomy'!$C$9:$C$108,D1447)&lt;&gt;1,"Assessment key",IF(OR(COUNTIF('Taxonomy Rules'!$C$42:$C$68,E1447)&lt;&gt;1,F1447&lt;&gt;IFERROR(INDEX('Taxonomy Rules'!$D$42:$D$68,MATCH(E1447,'Taxonomy Rules'!$C$42:$C$68,0)),""),NOT(OR(IFERROR(INDEX('Taxonomy Rules'!$G$42:$G$68,MATCH(E1447,'Taxonomy Rules'!$C$42:$C$68,0)),"")="All supported routes",IFERROR(INDEX('Taxonomy Rules'!$G$42:$G$68,MATCH(E1447,'Taxonomy Rules'!$C$42:$C$68,0)),"")=U1447,AND(IFERROR(INDEX('Taxonomy Rules'!$G$42:$G$68,MATCH(E1447,'Taxonomy Rules'!$C$42:$C$68,0)),"")="Building routes",OR(U1447="Building renovation",U1447="New building",U1447="Building equipment"))))),"Unexpected test","Valid"))))</x:f>
      </x:c>
      <x:c r="S1447" s="9" t="str">
        <x:f>IF(C1447="","",IFERROR(INDEX('Taxonomy Rules'!$E$42:$E$68,MATCH(E1447,'Taxonomy Rules'!$C$42:$C$68,0)),""))</x:f>
      </x:c>
      <x:c r="T1447" s="9" t="str">
        <x:f>IF(C1447="","",IFERROR(INDEX('Taxonomy Rules'!$F$42:$F$68,MATCH(E1447,'Taxonomy Rules'!$C$42:$C$68,0)),""))</x:f>
      </x:c>
      <x:c r="U1447" s="9" t="str">
        <x:f>IF(C1447="","",IFERROR(INDEX('Taxonomy'!$G$9:$G$108,MATCH(D1447,'Taxonomy'!$C$9:$C$108,0)),""))</x:f>
      </x:c>
    </x:row>
    <x:row r="1448" ht="44" customHeight="1">
      <x:c r="A1448" s="1"/>
      <x:c r="B1448" s="1"/>
      <x:c r="C1448" s="8"/>
      <x:c r="D1448" s="8"/>
      <x:c r="E1448" s="8"/>
      <x:c r="F1448" s="8"/>
      <x:c r="G1448" s="8"/>
      <x:c r="H1448" s="8"/>
      <x:c r="I1448" s="8"/>
      <x:c r="J1448" s="8"/>
      <x:c r="K1448" s="8"/>
      <x:c r="L1448" s="8"/>
      <x:c r="M1448" s="10"/>
      <x:c r="N1448" s="10"/>
      <x:c r="O1448" s="8"/>
      <x:c r="P1448" s="9" t="str">
        <x:f>IF(C1448="","",IF(AND(G1448="Applicable",H1448="Fail"),"Fail",IF(R1448&lt;&gt;"Valid","Pending",IF(OR(I1448="",K1448="",L1448="",K1448=L1448,NOT(ISNUMBER(M1448)),NOT(ISNUMBER(N1448)),M1448&gt;Settings!$F$8,N1448&lt;Settings!$F$8,N1448&lt;M1448),"Pending",IF(AND(G1448="Applicable",H1448="Pass"),"Pass",IF(AND(G1448="N/A",H1448="N/A",J1448&lt;&gt;"",OR(E1448="CEM-FUELS",E1448="CEM-CCS",AND(E1448="CEM-PLAN",IFERROR(INDEX('Taxonomy'!$M$9:$M$108,MATCH(D1448,'Taxonomy'!$C$9:$C$108,0)),"")&lt;&gt;"Amber"),E1448="BLD-TIMBER",AND(U1448="Building equipment",OR(E1448="BLD-WATER",E1448="BLD-WASTE",E1448="BLD-LAND")),AND(U1448="Building renovation",E1448="BLD-LAND"))),"N/A","Pending"))))))</x:f>
      </x:c>
      <x:c r="Q1448" s="3" t="str">
        <x:f>IF(C1448="","",IF(AND(R1448="Valid",OR(P1448="Pass",P1448="N/A")),"Complete","Unresolved"))</x:f>
      </x:c>
      <x:c r="R1448" s="9" t="str">
        <x:f>IF(C1448="","",IF(OR(COUNTIF($C$9:$C$2008,C1448)&lt;&gt;1,COUNTIFS($D$9:$D$2008,D1448,$E$9:$E$2008,E1448)&lt;&gt;1),"Duplicate test",IF(COUNTIF('Taxonomy'!$C$9:$C$108,D1448)&lt;&gt;1,"Assessment key",IF(OR(COUNTIF('Taxonomy Rules'!$C$42:$C$68,E1448)&lt;&gt;1,F1448&lt;&gt;IFERROR(INDEX('Taxonomy Rules'!$D$42:$D$68,MATCH(E1448,'Taxonomy Rules'!$C$42:$C$68,0)),""),NOT(OR(IFERROR(INDEX('Taxonomy Rules'!$G$42:$G$68,MATCH(E1448,'Taxonomy Rules'!$C$42:$C$68,0)),"")="All supported routes",IFERROR(INDEX('Taxonomy Rules'!$G$42:$G$68,MATCH(E1448,'Taxonomy Rules'!$C$42:$C$68,0)),"")=U1448,AND(IFERROR(INDEX('Taxonomy Rules'!$G$42:$G$68,MATCH(E1448,'Taxonomy Rules'!$C$42:$C$68,0)),"")="Building routes",OR(U1448="Building renovation",U1448="New building",U1448="Building equipment"))))),"Unexpected test","Valid"))))</x:f>
      </x:c>
      <x:c r="S1448" s="9" t="str">
        <x:f>IF(C1448="","",IFERROR(INDEX('Taxonomy Rules'!$E$42:$E$68,MATCH(E1448,'Taxonomy Rules'!$C$42:$C$68,0)),""))</x:f>
      </x:c>
      <x:c r="T1448" s="9" t="str">
        <x:f>IF(C1448="","",IFERROR(INDEX('Taxonomy Rules'!$F$42:$F$68,MATCH(E1448,'Taxonomy Rules'!$C$42:$C$68,0)),""))</x:f>
      </x:c>
      <x:c r="U1448" s="9" t="str">
        <x:f>IF(C1448="","",IFERROR(INDEX('Taxonomy'!$G$9:$G$108,MATCH(D1448,'Taxonomy'!$C$9:$C$108,0)),""))</x:f>
      </x:c>
    </x:row>
    <x:row r="1449" ht="44" customHeight="1">
      <x:c r="A1449" s="1"/>
      <x:c r="B1449" s="1"/>
      <x:c r="C1449" s="8"/>
      <x:c r="D1449" s="8"/>
      <x:c r="E1449" s="8"/>
      <x:c r="F1449" s="8"/>
      <x:c r="G1449" s="8"/>
      <x:c r="H1449" s="8"/>
      <x:c r="I1449" s="8"/>
      <x:c r="J1449" s="8"/>
      <x:c r="K1449" s="8"/>
      <x:c r="L1449" s="8"/>
      <x:c r="M1449" s="10"/>
      <x:c r="N1449" s="10"/>
      <x:c r="O1449" s="8"/>
      <x:c r="P1449" s="9" t="str">
        <x:f>IF(C1449="","",IF(AND(G1449="Applicable",H1449="Fail"),"Fail",IF(R1449&lt;&gt;"Valid","Pending",IF(OR(I1449="",K1449="",L1449="",K1449=L1449,NOT(ISNUMBER(M1449)),NOT(ISNUMBER(N1449)),M1449&gt;Settings!$F$8,N1449&lt;Settings!$F$8,N1449&lt;M1449),"Pending",IF(AND(G1449="Applicable",H1449="Pass"),"Pass",IF(AND(G1449="N/A",H1449="N/A",J1449&lt;&gt;"",OR(E1449="CEM-FUELS",E1449="CEM-CCS",AND(E1449="CEM-PLAN",IFERROR(INDEX('Taxonomy'!$M$9:$M$108,MATCH(D1449,'Taxonomy'!$C$9:$C$108,0)),"")&lt;&gt;"Amber"),E1449="BLD-TIMBER",AND(U1449="Building equipment",OR(E1449="BLD-WATER",E1449="BLD-WASTE",E1449="BLD-LAND")),AND(U1449="Building renovation",E1449="BLD-LAND"))),"N/A","Pending"))))))</x:f>
      </x:c>
      <x:c r="Q1449" s="3" t="str">
        <x:f>IF(C1449="","",IF(AND(R1449="Valid",OR(P1449="Pass",P1449="N/A")),"Complete","Unresolved"))</x:f>
      </x:c>
      <x:c r="R1449" s="9" t="str">
        <x:f>IF(C1449="","",IF(OR(COUNTIF($C$9:$C$2008,C1449)&lt;&gt;1,COUNTIFS($D$9:$D$2008,D1449,$E$9:$E$2008,E1449)&lt;&gt;1),"Duplicate test",IF(COUNTIF('Taxonomy'!$C$9:$C$108,D1449)&lt;&gt;1,"Assessment key",IF(OR(COUNTIF('Taxonomy Rules'!$C$42:$C$68,E1449)&lt;&gt;1,F1449&lt;&gt;IFERROR(INDEX('Taxonomy Rules'!$D$42:$D$68,MATCH(E1449,'Taxonomy Rules'!$C$42:$C$68,0)),""),NOT(OR(IFERROR(INDEX('Taxonomy Rules'!$G$42:$G$68,MATCH(E1449,'Taxonomy Rules'!$C$42:$C$68,0)),"")="All supported routes",IFERROR(INDEX('Taxonomy Rules'!$G$42:$G$68,MATCH(E1449,'Taxonomy Rules'!$C$42:$C$68,0)),"")=U1449,AND(IFERROR(INDEX('Taxonomy Rules'!$G$42:$G$68,MATCH(E1449,'Taxonomy Rules'!$C$42:$C$68,0)),"")="Building routes",OR(U1449="Building renovation",U1449="New building",U1449="Building equipment"))))),"Unexpected test","Valid"))))</x:f>
      </x:c>
      <x:c r="S1449" s="9" t="str">
        <x:f>IF(C1449="","",IFERROR(INDEX('Taxonomy Rules'!$E$42:$E$68,MATCH(E1449,'Taxonomy Rules'!$C$42:$C$68,0)),""))</x:f>
      </x:c>
      <x:c r="T1449" s="9" t="str">
        <x:f>IF(C1449="","",IFERROR(INDEX('Taxonomy Rules'!$F$42:$F$68,MATCH(E1449,'Taxonomy Rules'!$C$42:$C$68,0)),""))</x:f>
      </x:c>
      <x:c r="U1449" s="9" t="str">
        <x:f>IF(C1449="","",IFERROR(INDEX('Taxonomy'!$G$9:$G$108,MATCH(D1449,'Taxonomy'!$C$9:$C$108,0)),""))</x:f>
      </x:c>
    </x:row>
    <x:row r="1450" ht="44" customHeight="1">
      <x:c r="A1450" s="1"/>
      <x:c r="B1450" s="1"/>
      <x:c r="C1450" s="8"/>
      <x:c r="D1450" s="8"/>
      <x:c r="E1450" s="8"/>
      <x:c r="F1450" s="8"/>
      <x:c r="G1450" s="8"/>
      <x:c r="H1450" s="8"/>
      <x:c r="I1450" s="8"/>
      <x:c r="J1450" s="8"/>
      <x:c r="K1450" s="8"/>
      <x:c r="L1450" s="8"/>
      <x:c r="M1450" s="10"/>
      <x:c r="N1450" s="10"/>
      <x:c r="O1450" s="8"/>
      <x:c r="P1450" s="9" t="str">
        <x:f>IF(C1450="","",IF(AND(G1450="Applicable",H1450="Fail"),"Fail",IF(R1450&lt;&gt;"Valid","Pending",IF(OR(I1450="",K1450="",L1450="",K1450=L1450,NOT(ISNUMBER(M1450)),NOT(ISNUMBER(N1450)),M1450&gt;Settings!$F$8,N1450&lt;Settings!$F$8,N1450&lt;M1450),"Pending",IF(AND(G1450="Applicable",H1450="Pass"),"Pass",IF(AND(G1450="N/A",H1450="N/A",J1450&lt;&gt;"",OR(E1450="CEM-FUELS",E1450="CEM-CCS",AND(E1450="CEM-PLAN",IFERROR(INDEX('Taxonomy'!$M$9:$M$108,MATCH(D1450,'Taxonomy'!$C$9:$C$108,0)),"")&lt;&gt;"Amber"),E1450="BLD-TIMBER",AND(U1450="Building equipment",OR(E1450="BLD-WATER",E1450="BLD-WASTE",E1450="BLD-LAND")),AND(U1450="Building renovation",E1450="BLD-LAND"))),"N/A","Pending"))))))</x:f>
      </x:c>
      <x:c r="Q1450" s="3" t="str">
        <x:f>IF(C1450="","",IF(AND(R1450="Valid",OR(P1450="Pass",P1450="N/A")),"Complete","Unresolved"))</x:f>
      </x:c>
      <x:c r="R1450" s="9" t="str">
        <x:f>IF(C1450="","",IF(OR(COUNTIF($C$9:$C$2008,C1450)&lt;&gt;1,COUNTIFS($D$9:$D$2008,D1450,$E$9:$E$2008,E1450)&lt;&gt;1),"Duplicate test",IF(COUNTIF('Taxonomy'!$C$9:$C$108,D1450)&lt;&gt;1,"Assessment key",IF(OR(COUNTIF('Taxonomy Rules'!$C$42:$C$68,E1450)&lt;&gt;1,F1450&lt;&gt;IFERROR(INDEX('Taxonomy Rules'!$D$42:$D$68,MATCH(E1450,'Taxonomy Rules'!$C$42:$C$68,0)),""),NOT(OR(IFERROR(INDEX('Taxonomy Rules'!$G$42:$G$68,MATCH(E1450,'Taxonomy Rules'!$C$42:$C$68,0)),"")="All supported routes",IFERROR(INDEX('Taxonomy Rules'!$G$42:$G$68,MATCH(E1450,'Taxonomy Rules'!$C$42:$C$68,0)),"")=U1450,AND(IFERROR(INDEX('Taxonomy Rules'!$G$42:$G$68,MATCH(E1450,'Taxonomy Rules'!$C$42:$C$68,0)),"")="Building routes",OR(U1450="Building renovation",U1450="New building",U1450="Building equipment"))))),"Unexpected test","Valid"))))</x:f>
      </x:c>
      <x:c r="S1450" s="9" t="str">
        <x:f>IF(C1450="","",IFERROR(INDEX('Taxonomy Rules'!$E$42:$E$68,MATCH(E1450,'Taxonomy Rules'!$C$42:$C$68,0)),""))</x:f>
      </x:c>
      <x:c r="T1450" s="9" t="str">
        <x:f>IF(C1450="","",IFERROR(INDEX('Taxonomy Rules'!$F$42:$F$68,MATCH(E1450,'Taxonomy Rules'!$C$42:$C$68,0)),""))</x:f>
      </x:c>
      <x:c r="U1450" s="9" t="str">
        <x:f>IF(C1450="","",IFERROR(INDEX('Taxonomy'!$G$9:$G$108,MATCH(D1450,'Taxonomy'!$C$9:$C$108,0)),""))</x:f>
      </x:c>
    </x:row>
    <x:row r="1451" ht="44" customHeight="1">
      <x:c r="A1451" s="1"/>
      <x:c r="B1451" s="1"/>
      <x:c r="C1451" s="8"/>
      <x:c r="D1451" s="8"/>
      <x:c r="E1451" s="8"/>
      <x:c r="F1451" s="8"/>
      <x:c r="G1451" s="8"/>
      <x:c r="H1451" s="8"/>
      <x:c r="I1451" s="8"/>
      <x:c r="J1451" s="8"/>
      <x:c r="K1451" s="8"/>
      <x:c r="L1451" s="8"/>
      <x:c r="M1451" s="10"/>
      <x:c r="N1451" s="10"/>
      <x:c r="O1451" s="8"/>
      <x:c r="P1451" s="9" t="str">
        <x:f>IF(C1451="","",IF(AND(G1451="Applicable",H1451="Fail"),"Fail",IF(R1451&lt;&gt;"Valid","Pending",IF(OR(I1451="",K1451="",L1451="",K1451=L1451,NOT(ISNUMBER(M1451)),NOT(ISNUMBER(N1451)),M1451&gt;Settings!$F$8,N1451&lt;Settings!$F$8,N1451&lt;M1451),"Pending",IF(AND(G1451="Applicable",H1451="Pass"),"Pass",IF(AND(G1451="N/A",H1451="N/A",J1451&lt;&gt;"",OR(E1451="CEM-FUELS",E1451="CEM-CCS",AND(E1451="CEM-PLAN",IFERROR(INDEX('Taxonomy'!$M$9:$M$108,MATCH(D1451,'Taxonomy'!$C$9:$C$108,0)),"")&lt;&gt;"Amber"),E1451="BLD-TIMBER",AND(U1451="Building equipment",OR(E1451="BLD-WATER",E1451="BLD-WASTE",E1451="BLD-LAND")),AND(U1451="Building renovation",E1451="BLD-LAND"))),"N/A","Pending"))))))</x:f>
      </x:c>
      <x:c r="Q1451" s="3" t="str">
        <x:f>IF(C1451="","",IF(AND(R1451="Valid",OR(P1451="Pass",P1451="N/A")),"Complete","Unresolved"))</x:f>
      </x:c>
      <x:c r="R1451" s="9" t="str">
        <x:f>IF(C1451="","",IF(OR(COUNTIF($C$9:$C$2008,C1451)&lt;&gt;1,COUNTIFS($D$9:$D$2008,D1451,$E$9:$E$2008,E1451)&lt;&gt;1),"Duplicate test",IF(COUNTIF('Taxonomy'!$C$9:$C$108,D1451)&lt;&gt;1,"Assessment key",IF(OR(COUNTIF('Taxonomy Rules'!$C$42:$C$68,E1451)&lt;&gt;1,F1451&lt;&gt;IFERROR(INDEX('Taxonomy Rules'!$D$42:$D$68,MATCH(E1451,'Taxonomy Rules'!$C$42:$C$68,0)),""),NOT(OR(IFERROR(INDEX('Taxonomy Rules'!$G$42:$G$68,MATCH(E1451,'Taxonomy Rules'!$C$42:$C$68,0)),"")="All supported routes",IFERROR(INDEX('Taxonomy Rules'!$G$42:$G$68,MATCH(E1451,'Taxonomy Rules'!$C$42:$C$68,0)),"")=U1451,AND(IFERROR(INDEX('Taxonomy Rules'!$G$42:$G$68,MATCH(E1451,'Taxonomy Rules'!$C$42:$C$68,0)),"")="Building routes",OR(U1451="Building renovation",U1451="New building",U1451="Building equipment"))))),"Unexpected test","Valid"))))</x:f>
      </x:c>
      <x:c r="S1451" s="9" t="str">
        <x:f>IF(C1451="","",IFERROR(INDEX('Taxonomy Rules'!$E$42:$E$68,MATCH(E1451,'Taxonomy Rules'!$C$42:$C$68,0)),""))</x:f>
      </x:c>
      <x:c r="T1451" s="9" t="str">
        <x:f>IF(C1451="","",IFERROR(INDEX('Taxonomy Rules'!$F$42:$F$68,MATCH(E1451,'Taxonomy Rules'!$C$42:$C$68,0)),""))</x:f>
      </x:c>
      <x:c r="U1451" s="9" t="str">
        <x:f>IF(C1451="","",IFERROR(INDEX('Taxonomy'!$G$9:$G$108,MATCH(D1451,'Taxonomy'!$C$9:$C$108,0)),""))</x:f>
      </x:c>
    </x:row>
    <x:row r="1452" ht="44" customHeight="1">
      <x:c r="A1452" s="1"/>
      <x:c r="B1452" s="1"/>
      <x:c r="C1452" s="8"/>
      <x:c r="D1452" s="8"/>
      <x:c r="E1452" s="8"/>
      <x:c r="F1452" s="8"/>
      <x:c r="G1452" s="8"/>
      <x:c r="H1452" s="8"/>
      <x:c r="I1452" s="8"/>
      <x:c r="J1452" s="8"/>
      <x:c r="K1452" s="8"/>
      <x:c r="L1452" s="8"/>
      <x:c r="M1452" s="10"/>
      <x:c r="N1452" s="10"/>
      <x:c r="O1452" s="8"/>
      <x:c r="P1452" s="9" t="str">
        <x:f>IF(C1452="","",IF(AND(G1452="Applicable",H1452="Fail"),"Fail",IF(R1452&lt;&gt;"Valid","Pending",IF(OR(I1452="",K1452="",L1452="",K1452=L1452,NOT(ISNUMBER(M1452)),NOT(ISNUMBER(N1452)),M1452&gt;Settings!$F$8,N1452&lt;Settings!$F$8,N1452&lt;M1452),"Pending",IF(AND(G1452="Applicable",H1452="Pass"),"Pass",IF(AND(G1452="N/A",H1452="N/A",J1452&lt;&gt;"",OR(E1452="CEM-FUELS",E1452="CEM-CCS",AND(E1452="CEM-PLAN",IFERROR(INDEX('Taxonomy'!$M$9:$M$108,MATCH(D1452,'Taxonomy'!$C$9:$C$108,0)),"")&lt;&gt;"Amber"),E1452="BLD-TIMBER",AND(U1452="Building equipment",OR(E1452="BLD-WATER",E1452="BLD-WASTE",E1452="BLD-LAND")),AND(U1452="Building renovation",E1452="BLD-LAND"))),"N/A","Pending"))))))</x:f>
      </x:c>
      <x:c r="Q1452" s="3" t="str">
        <x:f>IF(C1452="","",IF(AND(R1452="Valid",OR(P1452="Pass",P1452="N/A")),"Complete","Unresolved"))</x:f>
      </x:c>
      <x:c r="R1452" s="9" t="str">
        <x:f>IF(C1452="","",IF(OR(COUNTIF($C$9:$C$2008,C1452)&lt;&gt;1,COUNTIFS($D$9:$D$2008,D1452,$E$9:$E$2008,E1452)&lt;&gt;1),"Duplicate test",IF(COUNTIF('Taxonomy'!$C$9:$C$108,D1452)&lt;&gt;1,"Assessment key",IF(OR(COUNTIF('Taxonomy Rules'!$C$42:$C$68,E1452)&lt;&gt;1,F1452&lt;&gt;IFERROR(INDEX('Taxonomy Rules'!$D$42:$D$68,MATCH(E1452,'Taxonomy Rules'!$C$42:$C$68,0)),""),NOT(OR(IFERROR(INDEX('Taxonomy Rules'!$G$42:$G$68,MATCH(E1452,'Taxonomy Rules'!$C$42:$C$68,0)),"")="All supported routes",IFERROR(INDEX('Taxonomy Rules'!$G$42:$G$68,MATCH(E1452,'Taxonomy Rules'!$C$42:$C$68,0)),"")=U1452,AND(IFERROR(INDEX('Taxonomy Rules'!$G$42:$G$68,MATCH(E1452,'Taxonomy Rules'!$C$42:$C$68,0)),"")="Building routes",OR(U1452="Building renovation",U1452="New building",U1452="Building equipment"))))),"Unexpected test","Valid"))))</x:f>
      </x:c>
      <x:c r="S1452" s="9" t="str">
        <x:f>IF(C1452="","",IFERROR(INDEX('Taxonomy Rules'!$E$42:$E$68,MATCH(E1452,'Taxonomy Rules'!$C$42:$C$68,0)),""))</x:f>
      </x:c>
      <x:c r="T1452" s="9" t="str">
        <x:f>IF(C1452="","",IFERROR(INDEX('Taxonomy Rules'!$F$42:$F$68,MATCH(E1452,'Taxonomy Rules'!$C$42:$C$68,0)),""))</x:f>
      </x:c>
      <x:c r="U1452" s="9" t="str">
        <x:f>IF(C1452="","",IFERROR(INDEX('Taxonomy'!$G$9:$G$108,MATCH(D1452,'Taxonomy'!$C$9:$C$108,0)),""))</x:f>
      </x:c>
    </x:row>
    <x:row r="1453" ht="44" customHeight="1">
      <x:c r="A1453" s="1"/>
      <x:c r="B1453" s="1"/>
      <x:c r="C1453" s="8"/>
      <x:c r="D1453" s="8"/>
      <x:c r="E1453" s="8"/>
      <x:c r="F1453" s="8"/>
      <x:c r="G1453" s="8"/>
      <x:c r="H1453" s="8"/>
      <x:c r="I1453" s="8"/>
      <x:c r="J1453" s="8"/>
      <x:c r="K1453" s="8"/>
      <x:c r="L1453" s="8"/>
      <x:c r="M1453" s="10"/>
      <x:c r="N1453" s="10"/>
      <x:c r="O1453" s="8"/>
      <x:c r="P1453" s="9" t="str">
        <x:f>IF(C1453="","",IF(AND(G1453="Applicable",H1453="Fail"),"Fail",IF(R1453&lt;&gt;"Valid","Pending",IF(OR(I1453="",K1453="",L1453="",K1453=L1453,NOT(ISNUMBER(M1453)),NOT(ISNUMBER(N1453)),M1453&gt;Settings!$F$8,N1453&lt;Settings!$F$8,N1453&lt;M1453),"Pending",IF(AND(G1453="Applicable",H1453="Pass"),"Pass",IF(AND(G1453="N/A",H1453="N/A",J1453&lt;&gt;"",OR(E1453="CEM-FUELS",E1453="CEM-CCS",AND(E1453="CEM-PLAN",IFERROR(INDEX('Taxonomy'!$M$9:$M$108,MATCH(D1453,'Taxonomy'!$C$9:$C$108,0)),"")&lt;&gt;"Amber"),E1453="BLD-TIMBER",AND(U1453="Building equipment",OR(E1453="BLD-WATER",E1453="BLD-WASTE",E1453="BLD-LAND")),AND(U1453="Building renovation",E1453="BLD-LAND"))),"N/A","Pending"))))))</x:f>
      </x:c>
      <x:c r="Q1453" s="3" t="str">
        <x:f>IF(C1453="","",IF(AND(R1453="Valid",OR(P1453="Pass",P1453="N/A")),"Complete","Unresolved"))</x:f>
      </x:c>
      <x:c r="R1453" s="9" t="str">
        <x:f>IF(C1453="","",IF(OR(COUNTIF($C$9:$C$2008,C1453)&lt;&gt;1,COUNTIFS($D$9:$D$2008,D1453,$E$9:$E$2008,E1453)&lt;&gt;1),"Duplicate test",IF(COUNTIF('Taxonomy'!$C$9:$C$108,D1453)&lt;&gt;1,"Assessment key",IF(OR(COUNTIF('Taxonomy Rules'!$C$42:$C$68,E1453)&lt;&gt;1,F1453&lt;&gt;IFERROR(INDEX('Taxonomy Rules'!$D$42:$D$68,MATCH(E1453,'Taxonomy Rules'!$C$42:$C$68,0)),""),NOT(OR(IFERROR(INDEX('Taxonomy Rules'!$G$42:$G$68,MATCH(E1453,'Taxonomy Rules'!$C$42:$C$68,0)),"")="All supported routes",IFERROR(INDEX('Taxonomy Rules'!$G$42:$G$68,MATCH(E1453,'Taxonomy Rules'!$C$42:$C$68,0)),"")=U1453,AND(IFERROR(INDEX('Taxonomy Rules'!$G$42:$G$68,MATCH(E1453,'Taxonomy Rules'!$C$42:$C$68,0)),"")="Building routes",OR(U1453="Building renovation",U1453="New building",U1453="Building equipment"))))),"Unexpected test","Valid"))))</x:f>
      </x:c>
      <x:c r="S1453" s="9" t="str">
        <x:f>IF(C1453="","",IFERROR(INDEX('Taxonomy Rules'!$E$42:$E$68,MATCH(E1453,'Taxonomy Rules'!$C$42:$C$68,0)),""))</x:f>
      </x:c>
      <x:c r="T1453" s="9" t="str">
        <x:f>IF(C1453="","",IFERROR(INDEX('Taxonomy Rules'!$F$42:$F$68,MATCH(E1453,'Taxonomy Rules'!$C$42:$C$68,0)),""))</x:f>
      </x:c>
      <x:c r="U1453" s="9" t="str">
        <x:f>IF(C1453="","",IFERROR(INDEX('Taxonomy'!$G$9:$G$108,MATCH(D1453,'Taxonomy'!$C$9:$C$108,0)),""))</x:f>
      </x:c>
    </x:row>
    <x:row r="1454" ht="44" customHeight="1">
      <x:c r="A1454" s="1"/>
      <x:c r="B1454" s="1"/>
      <x:c r="C1454" s="8"/>
      <x:c r="D1454" s="8"/>
      <x:c r="E1454" s="8"/>
      <x:c r="F1454" s="8"/>
      <x:c r="G1454" s="8"/>
      <x:c r="H1454" s="8"/>
      <x:c r="I1454" s="8"/>
      <x:c r="J1454" s="8"/>
      <x:c r="K1454" s="8"/>
      <x:c r="L1454" s="8"/>
      <x:c r="M1454" s="10"/>
      <x:c r="N1454" s="10"/>
      <x:c r="O1454" s="8"/>
      <x:c r="P1454" s="9" t="str">
        <x:f>IF(C1454="","",IF(AND(G1454="Applicable",H1454="Fail"),"Fail",IF(R1454&lt;&gt;"Valid","Pending",IF(OR(I1454="",K1454="",L1454="",K1454=L1454,NOT(ISNUMBER(M1454)),NOT(ISNUMBER(N1454)),M1454&gt;Settings!$F$8,N1454&lt;Settings!$F$8,N1454&lt;M1454),"Pending",IF(AND(G1454="Applicable",H1454="Pass"),"Pass",IF(AND(G1454="N/A",H1454="N/A",J1454&lt;&gt;"",OR(E1454="CEM-FUELS",E1454="CEM-CCS",AND(E1454="CEM-PLAN",IFERROR(INDEX('Taxonomy'!$M$9:$M$108,MATCH(D1454,'Taxonomy'!$C$9:$C$108,0)),"")&lt;&gt;"Amber"),E1454="BLD-TIMBER",AND(U1454="Building equipment",OR(E1454="BLD-WATER",E1454="BLD-WASTE",E1454="BLD-LAND")),AND(U1454="Building renovation",E1454="BLD-LAND"))),"N/A","Pending"))))))</x:f>
      </x:c>
      <x:c r="Q1454" s="3" t="str">
        <x:f>IF(C1454="","",IF(AND(R1454="Valid",OR(P1454="Pass",P1454="N/A")),"Complete","Unresolved"))</x:f>
      </x:c>
      <x:c r="R1454" s="9" t="str">
        <x:f>IF(C1454="","",IF(OR(COUNTIF($C$9:$C$2008,C1454)&lt;&gt;1,COUNTIFS($D$9:$D$2008,D1454,$E$9:$E$2008,E1454)&lt;&gt;1),"Duplicate test",IF(COUNTIF('Taxonomy'!$C$9:$C$108,D1454)&lt;&gt;1,"Assessment key",IF(OR(COUNTIF('Taxonomy Rules'!$C$42:$C$68,E1454)&lt;&gt;1,F1454&lt;&gt;IFERROR(INDEX('Taxonomy Rules'!$D$42:$D$68,MATCH(E1454,'Taxonomy Rules'!$C$42:$C$68,0)),""),NOT(OR(IFERROR(INDEX('Taxonomy Rules'!$G$42:$G$68,MATCH(E1454,'Taxonomy Rules'!$C$42:$C$68,0)),"")="All supported routes",IFERROR(INDEX('Taxonomy Rules'!$G$42:$G$68,MATCH(E1454,'Taxonomy Rules'!$C$42:$C$68,0)),"")=U1454,AND(IFERROR(INDEX('Taxonomy Rules'!$G$42:$G$68,MATCH(E1454,'Taxonomy Rules'!$C$42:$C$68,0)),"")="Building routes",OR(U1454="Building renovation",U1454="New building",U1454="Building equipment"))))),"Unexpected test","Valid"))))</x:f>
      </x:c>
      <x:c r="S1454" s="9" t="str">
        <x:f>IF(C1454="","",IFERROR(INDEX('Taxonomy Rules'!$E$42:$E$68,MATCH(E1454,'Taxonomy Rules'!$C$42:$C$68,0)),""))</x:f>
      </x:c>
      <x:c r="T1454" s="9" t="str">
        <x:f>IF(C1454="","",IFERROR(INDEX('Taxonomy Rules'!$F$42:$F$68,MATCH(E1454,'Taxonomy Rules'!$C$42:$C$68,0)),""))</x:f>
      </x:c>
      <x:c r="U1454" s="9" t="str">
        <x:f>IF(C1454="","",IFERROR(INDEX('Taxonomy'!$G$9:$G$108,MATCH(D1454,'Taxonomy'!$C$9:$C$108,0)),""))</x:f>
      </x:c>
    </x:row>
    <x:row r="1455" ht="44" customHeight="1">
      <x:c r="A1455" s="1"/>
      <x:c r="B1455" s="1"/>
      <x:c r="C1455" s="8"/>
      <x:c r="D1455" s="8"/>
      <x:c r="E1455" s="8"/>
      <x:c r="F1455" s="8"/>
      <x:c r="G1455" s="8"/>
      <x:c r="H1455" s="8"/>
      <x:c r="I1455" s="8"/>
      <x:c r="J1455" s="8"/>
      <x:c r="K1455" s="8"/>
      <x:c r="L1455" s="8"/>
      <x:c r="M1455" s="10"/>
      <x:c r="N1455" s="10"/>
      <x:c r="O1455" s="8"/>
      <x:c r="P1455" s="9" t="str">
        <x:f>IF(C1455="","",IF(AND(G1455="Applicable",H1455="Fail"),"Fail",IF(R1455&lt;&gt;"Valid","Pending",IF(OR(I1455="",K1455="",L1455="",K1455=L1455,NOT(ISNUMBER(M1455)),NOT(ISNUMBER(N1455)),M1455&gt;Settings!$F$8,N1455&lt;Settings!$F$8,N1455&lt;M1455),"Pending",IF(AND(G1455="Applicable",H1455="Pass"),"Pass",IF(AND(G1455="N/A",H1455="N/A",J1455&lt;&gt;"",OR(E1455="CEM-FUELS",E1455="CEM-CCS",AND(E1455="CEM-PLAN",IFERROR(INDEX('Taxonomy'!$M$9:$M$108,MATCH(D1455,'Taxonomy'!$C$9:$C$108,0)),"")&lt;&gt;"Amber"),E1455="BLD-TIMBER",AND(U1455="Building equipment",OR(E1455="BLD-WATER",E1455="BLD-WASTE",E1455="BLD-LAND")),AND(U1455="Building renovation",E1455="BLD-LAND"))),"N/A","Pending"))))))</x:f>
      </x:c>
      <x:c r="Q1455" s="3" t="str">
        <x:f>IF(C1455="","",IF(AND(R1455="Valid",OR(P1455="Pass",P1455="N/A")),"Complete","Unresolved"))</x:f>
      </x:c>
      <x:c r="R1455" s="9" t="str">
        <x:f>IF(C1455="","",IF(OR(COUNTIF($C$9:$C$2008,C1455)&lt;&gt;1,COUNTIFS($D$9:$D$2008,D1455,$E$9:$E$2008,E1455)&lt;&gt;1),"Duplicate test",IF(COUNTIF('Taxonomy'!$C$9:$C$108,D1455)&lt;&gt;1,"Assessment key",IF(OR(COUNTIF('Taxonomy Rules'!$C$42:$C$68,E1455)&lt;&gt;1,F1455&lt;&gt;IFERROR(INDEX('Taxonomy Rules'!$D$42:$D$68,MATCH(E1455,'Taxonomy Rules'!$C$42:$C$68,0)),""),NOT(OR(IFERROR(INDEX('Taxonomy Rules'!$G$42:$G$68,MATCH(E1455,'Taxonomy Rules'!$C$42:$C$68,0)),"")="All supported routes",IFERROR(INDEX('Taxonomy Rules'!$G$42:$G$68,MATCH(E1455,'Taxonomy Rules'!$C$42:$C$68,0)),"")=U1455,AND(IFERROR(INDEX('Taxonomy Rules'!$G$42:$G$68,MATCH(E1455,'Taxonomy Rules'!$C$42:$C$68,0)),"")="Building routes",OR(U1455="Building renovation",U1455="New building",U1455="Building equipment"))))),"Unexpected test","Valid"))))</x:f>
      </x:c>
      <x:c r="S1455" s="9" t="str">
        <x:f>IF(C1455="","",IFERROR(INDEX('Taxonomy Rules'!$E$42:$E$68,MATCH(E1455,'Taxonomy Rules'!$C$42:$C$68,0)),""))</x:f>
      </x:c>
      <x:c r="T1455" s="9" t="str">
        <x:f>IF(C1455="","",IFERROR(INDEX('Taxonomy Rules'!$F$42:$F$68,MATCH(E1455,'Taxonomy Rules'!$C$42:$C$68,0)),""))</x:f>
      </x:c>
      <x:c r="U1455" s="9" t="str">
        <x:f>IF(C1455="","",IFERROR(INDEX('Taxonomy'!$G$9:$G$108,MATCH(D1455,'Taxonomy'!$C$9:$C$108,0)),""))</x:f>
      </x:c>
    </x:row>
    <x:row r="1456" ht="44" customHeight="1">
      <x:c r="A1456" s="1"/>
      <x:c r="B1456" s="1"/>
      <x:c r="C1456" s="8"/>
      <x:c r="D1456" s="8"/>
      <x:c r="E1456" s="8"/>
      <x:c r="F1456" s="8"/>
      <x:c r="G1456" s="8"/>
      <x:c r="H1456" s="8"/>
      <x:c r="I1456" s="8"/>
      <x:c r="J1456" s="8"/>
      <x:c r="K1456" s="8"/>
      <x:c r="L1456" s="8"/>
      <x:c r="M1456" s="10"/>
      <x:c r="N1456" s="10"/>
      <x:c r="O1456" s="8"/>
      <x:c r="P1456" s="9" t="str">
        <x:f>IF(C1456="","",IF(AND(G1456="Applicable",H1456="Fail"),"Fail",IF(R1456&lt;&gt;"Valid","Pending",IF(OR(I1456="",K1456="",L1456="",K1456=L1456,NOT(ISNUMBER(M1456)),NOT(ISNUMBER(N1456)),M1456&gt;Settings!$F$8,N1456&lt;Settings!$F$8,N1456&lt;M1456),"Pending",IF(AND(G1456="Applicable",H1456="Pass"),"Pass",IF(AND(G1456="N/A",H1456="N/A",J1456&lt;&gt;"",OR(E1456="CEM-FUELS",E1456="CEM-CCS",AND(E1456="CEM-PLAN",IFERROR(INDEX('Taxonomy'!$M$9:$M$108,MATCH(D1456,'Taxonomy'!$C$9:$C$108,0)),"")&lt;&gt;"Amber"),E1456="BLD-TIMBER",AND(U1456="Building equipment",OR(E1456="BLD-WATER",E1456="BLD-WASTE",E1456="BLD-LAND")),AND(U1456="Building renovation",E1456="BLD-LAND"))),"N/A","Pending"))))))</x:f>
      </x:c>
      <x:c r="Q1456" s="3" t="str">
        <x:f>IF(C1456="","",IF(AND(R1456="Valid",OR(P1456="Pass",P1456="N/A")),"Complete","Unresolved"))</x:f>
      </x:c>
      <x:c r="R1456" s="9" t="str">
        <x:f>IF(C1456="","",IF(OR(COUNTIF($C$9:$C$2008,C1456)&lt;&gt;1,COUNTIFS($D$9:$D$2008,D1456,$E$9:$E$2008,E1456)&lt;&gt;1),"Duplicate test",IF(COUNTIF('Taxonomy'!$C$9:$C$108,D1456)&lt;&gt;1,"Assessment key",IF(OR(COUNTIF('Taxonomy Rules'!$C$42:$C$68,E1456)&lt;&gt;1,F1456&lt;&gt;IFERROR(INDEX('Taxonomy Rules'!$D$42:$D$68,MATCH(E1456,'Taxonomy Rules'!$C$42:$C$68,0)),""),NOT(OR(IFERROR(INDEX('Taxonomy Rules'!$G$42:$G$68,MATCH(E1456,'Taxonomy Rules'!$C$42:$C$68,0)),"")="All supported routes",IFERROR(INDEX('Taxonomy Rules'!$G$42:$G$68,MATCH(E1456,'Taxonomy Rules'!$C$42:$C$68,0)),"")=U1456,AND(IFERROR(INDEX('Taxonomy Rules'!$G$42:$G$68,MATCH(E1456,'Taxonomy Rules'!$C$42:$C$68,0)),"")="Building routes",OR(U1456="Building renovation",U1456="New building",U1456="Building equipment"))))),"Unexpected test","Valid"))))</x:f>
      </x:c>
      <x:c r="S1456" s="9" t="str">
        <x:f>IF(C1456="","",IFERROR(INDEX('Taxonomy Rules'!$E$42:$E$68,MATCH(E1456,'Taxonomy Rules'!$C$42:$C$68,0)),""))</x:f>
      </x:c>
      <x:c r="T1456" s="9" t="str">
        <x:f>IF(C1456="","",IFERROR(INDEX('Taxonomy Rules'!$F$42:$F$68,MATCH(E1456,'Taxonomy Rules'!$C$42:$C$68,0)),""))</x:f>
      </x:c>
      <x:c r="U1456" s="9" t="str">
        <x:f>IF(C1456="","",IFERROR(INDEX('Taxonomy'!$G$9:$G$108,MATCH(D1456,'Taxonomy'!$C$9:$C$108,0)),""))</x:f>
      </x:c>
    </x:row>
    <x:row r="1457" ht="44" customHeight="1">
      <x:c r="A1457" s="1"/>
      <x:c r="B1457" s="1"/>
      <x:c r="C1457" s="8"/>
      <x:c r="D1457" s="8"/>
      <x:c r="E1457" s="8"/>
      <x:c r="F1457" s="8"/>
      <x:c r="G1457" s="8"/>
      <x:c r="H1457" s="8"/>
      <x:c r="I1457" s="8"/>
      <x:c r="J1457" s="8"/>
      <x:c r="K1457" s="8"/>
      <x:c r="L1457" s="8"/>
      <x:c r="M1457" s="10"/>
      <x:c r="N1457" s="10"/>
      <x:c r="O1457" s="8"/>
      <x:c r="P1457" s="9" t="str">
        <x:f>IF(C1457="","",IF(AND(G1457="Applicable",H1457="Fail"),"Fail",IF(R1457&lt;&gt;"Valid","Pending",IF(OR(I1457="",K1457="",L1457="",K1457=L1457,NOT(ISNUMBER(M1457)),NOT(ISNUMBER(N1457)),M1457&gt;Settings!$F$8,N1457&lt;Settings!$F$8,N1457&lt;M1457),"Pending",IF(AND(G1457="Applicable",H1457="Pass"),"Pass",IF(AND(G1457="N/A",H1457="N/A",J1457&lt;&gt;"",OR(E1457="CEM-FUELS",E1457="CEM-CCS",AND(E1457="CEM-PLAN",IFERROR(INDEX('Taxonomy'!$M$9:$M$108,MATCH(D1457,'Taxonomy'!$C$9:$C$108,0)),"")&lt;&gt;"Amber"),E1457="BLD-TIMBER",AND(U1457="Building equipment",OR(E1457="BLD-WATER",E1457="BLD-WASTE",E1457="BLD-LAND")),AND(U1457="Building renovation",E1457="BLD-LAND"))),"N/A","Pending"))))))</x:f>
      </x:c>
      <x:c r="Q1457" s="3" t="str">
        <x:f>IF(C1457="","",IF(AND(R1457="Valid",OR(P1457="Pass",P1457="N/A")),"Complete","Unresolved"))</x:f>
      </x:c>
      <x:c r="R1457" s="9" t="str">
        <x:f>IF(C1457="","",IF(OR(COUNTIF($C$9:$C$2008,C1457)&lt;&gt;1,COUNTIFS($D$9:$D$2008,D1457,$E$9:$E$2008,E1457)&lt;&gt;1),"Duplicate test",IF(COUNTIF('Taxonomy'!$C$9:$C$108,D1457)&lt;&gt;1,"Assessment key",IF(OR(COUNTIF('Taxonomy Rules'!$C$42:$C$68,E1457)&lt;&gt;1,F1457&lt;&gt;IFERROR(INDEX('Taxonomy Rules'!$D$42:$D$68,MATCH(E1457,'Taxonomy Rules'!$C$42:$C$68,0)),""),NOT(OR(IFERROR(INDEX('Taxonomy Rules'!$G$42:$G$68,MATCH(E1457,'Taxonomy Rules'!$C$42:$C$68,0)),"")="All supported routes",IFERROR(INDEX('Taxonomy Rules'!$G$42:$G$68,MATCH(E1457,'Taxonomy Rules'!$C$42:$C$68,0)),"")=U1457,AND(IFERROR(INDEX('Taxonomy Rules'!$G$42:$G$68,MATCH(E1457,'Taxonomy Rules'!$C$42:$C$68,0)),"")="Building routes",OR(U1457="Building renovation",U1457="New building",U1457="Building equipment"))))),"Unexpected test","Valid"))))</x:f>
      </x:c>
      <x:c r="S1457" s="9" t="str">
        <x:f>IF(C1457="","",IFERROR(INDEX('Taxonomy Rules'!$E$42:$E$68,MATCH(E1457,'Taxonomy Rules'!$C$42:$C$68,0)),""))</x:f>
      </x:c>
      <x:c r="T1457" s="9" t="str">
        <x:f>IF(C1457="","",IFERROR(INDEX('Taxonomy Rules'!$F$42:$F$68,MATCH(E1457,'Taxonomy Rules'!$C$42:$C$68,0)),""))</x:f>
      </x:c>
      <x:c r="U1457" s="9" t="str">
        <x:f>IF(C1457="","",IFERROR(INDEX('Taxonomy'!$G$9:$G$108,MATCH(D1457,'Taxonomy'!$C$9:$C$108,0)),""))</x:f>
      </x:c>
    </x:row>
    <x:row r="1458" ht="44" customHeight="1">
      <x:c r="A1458" s="1"/>
      <x:c r="B1458" s="1"/>
      <x:c r="C1458" s="8"/>
      <x:c r="D1458" s="8"/>
      <x:c r="E1458" s="8"/>
      <x:c r="F1458" s="8"/>
      <x:c r="G1458" s="8"/>
      <x:c r="H1458" s="8"/>
      <x:c r="I1458" s="8"/>
      <x:c r="J1458" s="8"/>
      <x:c r="K1458" s="8"/>
      <x:c r="L1458" s="8"/>
      <x:c r="M1458" s="10"/>
      <x:c r="N1458" s="10"/>
      <x:c r="O1458" s="8"/>
      <x:c r="P1458" s="9" t="str">
        <x:f>IF(C1458="","",IF(AND(G1458="Applicable",H1458="Fail"),"Fail",IF(R1458&lt;&gt;"Valid","Pending",IF(OR(I1458="",K1458="",L1458="",K1458=L1458,NOT(ISNUMBER(M1458)),NOT(ISNUMBER(N1458)),M1458&gt;Settings!$F$8,N1458&lt;Settings!$F$8,N1458&lt;M1458),"Pending",IF(AND(G1458="Applicable",H1458="Pass"),"Pass",IF(AND(G1458="N/A",H1458="N/A",J1458&lt;&gt;"",OR(E1458="CEM-FUELS",E1458="CEM-CCS",AND(E1458="CEM-PLAN",IFERROR(INDEX('Taxonomy'!$M$9:$M$108,MATCH(D1458,'Taxonomy'!$C$9:$C$108,0)),"")&lt;&gt;"Amber"),E1458="BLD-TIMBER",AND(U1458="Building equipment",OR(E1458="BLD-WATER",E1458="BLD-WASTE",E1458="BLD-LAND")),AND(U1458="Building renovation",E1458="BLD-LAND"))),"N/A","Pending"))))))</x:f>
      </x:c>
      <x:c r="Q1458" s="3" t="str">
        <x:f>IF(C1458="","",IF(AND(R1458="Valid",OR(P1458="Pass",P1458="N/A")),"Complete","Unresolved"))</x:f>
      </x:c>
      <x:c r="R1458" s="9" t="str">
        <x:f>IF(C1458="","",IF(OR(COUNTIF($C$9:$C$2008,C1458)&lt;&gt;1,COUNTIFS($D$9:$D$2008,D1458,$E$9:$E$2008,E1458)&lt;&gt;1),"Duplicate test",IF(COUNTIF('Taxonomy'!$C$9:$C$108,D1458)&lt;&gt;1,"Assessment key",IF(OR(COUNTIF('Taxonomy Rules'!$C$42:$C$68,E1458)&lt;&gt;1,F1458&lt;&gt;IFERROR(INDEX('Taxonomy Rules'!$D$42:$D$68,MATCH(E1458,'Taxonomy Rules'!$C$42:$C$68,0)),""),NOT(OR(IFERROR(INDEX('Taxonomy Rules'!$G$42:$G$68,MATCH(E1458,'Taxonomy Rules'!$C$42:$C$68,0)),"")="All supported routes",IFERROR(INDEX('Taxonomy Rules'!$G$42:$G$68,MATCH(E1458,'Taxonomy Rules'!$C$42:$C$68,0)),"")=U1458,AND(IFERROR(INDEX('Taxonomy Rules'!$G$42:$G$68,MATCH(E1458,'Taxonomy Rules'!$C$42:$C$68,0)),"")="Building routes",OR(U1458="Building renovation",U1458="New building",U1458="Building equipment"))))),"Unexpected test","Valid"))))</x:f>
      </x:c>
      <x:c r="S1458" s="9" t="str">
        <x:f>IF(C1458="","",IFERROR(INDEX('Taxonomy Rules'!$E$42:$E$68,MATCH(E1458,'Taxonomy Rules'!$C$42:$C$68,0)),""))</x:f>
      </x:c>
      <x:c r="T1458" s="9" t="str">
        <x:f>IF(C1458="","",IFERROR(INDEX('Taxonomy Rules'!$F$42:$F$68,MATCH(E1458,'Taxonomy Rules'!$C$42:$C$68,0)),""))</x:f>
      </x:c>
      <x:c r="U1458" s="9" t="str">
        <x:f>IF(C1458="","",IFERROR(INDEX('Taxonomy'!$G$9:$G$108,MATCH(D1458,'Taxonomy'!$C$9:$C$108,0)),""))</x:f>
      </x:c>
    </x:row>
    <x:row r="1459" ht="44" customHeight="1">
      <x:c r="A1459" s="1"/>
      <x:c r="B1459" s="1"/>
      <x:c r="C1459" s="8"/>
      <x:c r="D1459" s="8"/>
      <x:c r="E1459" s="8"/>
      <x:c r="F1459" s="8"/>
      <x:c r="G1459" s="8"/>
      <x:c r="H1459" s="8"/>
      <x:c r="I1459" s="8"/>
      <x:c r="J1459" s="8"/>
      <x:c r="K1459" s="8"/>
      <x:c r="L1459" s="8"/>
      <x:c r="M1459" s="10"/>
      <x:c r="N1459" s="10"/>
      <x:c r="O1459" s="8"/>
      <x:c r="P1459" s="9" t="str">
        <x:f>IF(C1459="","",IF(AND(G1459="Applicable",H1459="Fail"),"Fail",IF(R1459&lt;&gt;"Valid","Pending",IF(OR(I1459="",K1459="",L1459="",K1459=L1459,NOT(ISNUMBER(M1459)),NOT(ISNUMBER(N1459)),M1459&gt;Settings!$F$8,N1459&lt;Settings!$F$8,N1459&lt;M1459),"Pending",IF(AND(G1459="Applicable",H1459="Pass"),"Pass",IF(AND(G1459="N/A",H1459="N/A",J1459&lt;&gt;"",OR(E1459="CEM-FUELS",E1459="CEM-CCS",AND(E1459="CEM-PLAN",IFERROR(INDEX('Taxonomy'!$M$9:$M$108,MATCH(D1459,'Taxonomy'!$C$9:$C$108,0)),"")&lt;&gt;"Amber"),E1459="BLD-TIMBER",AND(U1459="Building equipment",OR(E1459="BLD-WATER",E1459="BLD-WASTE",E1459="BLD-LAND")),AND(U1459="Building renovation",E1459="BLD-LAND"))),"N/A","Pending"))))))</x:f>
      </x:c>
      <x:c r="Q1459" s="3" t="str">
        <x:f>IF(C1459="","",IF(AND(R1459="Valid",OR(P1459="Pass",P1459="N/A")),"Complete","Unresolved"))</x:f>
      </x:c>
      <x:c r="R1459" s="9" t="str">
        <x:f>IF(C1459="","",IF(OR(COUNTIF($C$9:$C$2008,C1459)&lt;&gt;1,COUNTIFS($D$9:$D$2008,D1459,$E$9:$E$2008,E1459)&lt;&gt;1),"Duplicate test",IF(COUNTIF('Taxonomy'!$C$9:$C$108,D1459)&lt;&gt;1,"Assessment key",IF(OR(COUNTIF('Taxonomy Rules'!$C$42:$C$68,E1459)&lt;&gt;1,F1459&lt;&gt;IFERROR(INDEX('Taxonomy Rules'!$D$42:$D$68,MATCH(E1459,'Taxonomy Rules'!$C$42:$C$68,0)),""),NOT(OR(IFERROR(INDEX('Taxonomy Rules'!$G$42:$G$68,MATCH(E1459,'Taxonomy Rules'!$C$42:$C$68,0)),"")="All supported routes",IFERROR(INDEX('Taxonomy Rules'!$G$42:$G$68,MATCH(E1459,'Taxonomy Rules'!$C$42:$C$68,0)),"")=U1459,AND(IFERROR(INDEX('Taxonomy Rules'!$G$42:$G$68,MATCH(E1459,'Taxonomy Rules'!$C$42:$C$68,0)),"")="Building routes",OR(U1459="Building renovation",U1459="New building",U1459="Building equipment"))))),"Unexpected test","Valid"))))</x:f>
      </x:c>
      <x:c r="S1459" s="9" t="str">
        <x:f>IF(C1459="","",IFERROR(INDEX('Taxonomy Rules'!$E$42:$E$68,MATCH(E1459,'Taxonomy Rules'!$C$42:$C$68,0)),""))</x:f>
      </x:c>
      <x:c r="T1459" s="9" t="str">
        <x:f>IF(C1459="","",IFERROR(INDEX('Taxonomy Rules'!$F$42:$F$68,MATCH(E1459,'Taxonomy Rules'!$C$42:$C$68,0)),""))</x:f>
      </x:c>
      <x:c r="U1459" s="9" t="str">
        <x:f>IF(C1459="","",IFERROR(INDEX('Taxonomy'!$G$9:$G$108,MATCH(D1459,'Taxonomy'!$C$9:$C$108,0)),""))</x:f>
      </x:c>
    </x:row>
    <x:row r="1460" ht="44" customHeight="1">
      <x:c r="A1460" s="1"/>
      <x:c r="B1460" s="1"/>
      <x:c r="C1460" s="8"/>
      <x:c r="D1460" s="8"/>
      <x:c r="E1460" s="8"/>
      <x:c r="F1460" s="8"/>
      <x:c r="G1460" s="8"/>
      <x:c r="H1460" s="8"/>
      <x:c r="I1460" s="8"/>
      <x:c r="J1460" s="8"/>
      <x:c r="K1460" s="8"/>
      <x:c r="L1460" s="8"/>
      <x:c r="M1460" s="10"/>
      <x:c r="N1460" s="10"/>
      <x:c r="O1460" s="8"/>
      <x:c r="P1460" s="9" t="str">
        <x:f>IF(C1460="","",IF(AND(G1460="Applicable",H1460="Fail"),"Fail",IF(R1460&lt;&gt;"Valid","Pending",IF(OR(I1460="",K1460="",L1460="",K1460=L1460,NOT(ISNUMBER(M1460)),NOT(ISNUMBER(N1460)),M1460&gt;Settings!$F$8,N1460&lt;Settings!$F$8,N1460&lt;M1460),"Pending",IF(AND(G1460="Applicable",H1460="Pass"),"Pass",IF(AND(G1460="N/A",H1460="N/A",J1460&lt;&gt;"",OR(E1460="CEM-FUELS",E1460="CEM-CCS",AND(E1460="CEM-PLAN",IFERROR(INDEX('Taxonomy'!$M$9:$M$108,MATCH(D1460,'Taxonomy'!$C$9:$C$108,0)),"")&lt;&gt;"Amber"),E1460="BLD-TIMBER",AND(U1460="Building equipment",OR(E1460="BLD-WATER",E1460="BLD-WASTE",E1460="BLD-LAND")),AND(U1460="Building renovation",E1460="BLD-LAND"))),"N/A","Pending"))))))</x:f>
      </x:c>
      <x:c r="Q1460" s="3" t="str">
        <x:f>IF(C1460="","",IF(AND(R1460="Valid",OR(P1460="Pass",P1460="N/A")),"Complete","Unresolved"))</x:f>
      </x:c>
      <x:c r="R1460" s="9" t="str">
        <x:f>IF(C1460="","",IF(OR(COUNTIF($C$9:$C$2008,C1460)&lt;&gt;1,COUNTIFS($D$9:$D$2008,D1460,$E$9:$E$2008,E1460)&lt;&gt;1),"Duplicate test",IF(COUNTIF('Taxonomy'!$C$9:$C$108,D1460)&lt;&gt;1,"Assessment key",IF(OR(COUNTIF('Taxonomy Rules'!$C$42:$C$68,E1460)&lt;&gt;1,F1460&lt;&gt;IFERROR(INDEX('Taxonomy Rules'!$D$42:$D$68,MATCH(E1460,'Taxonomy Rules'!$C$42:$C$68,0)),""),NOT(OR(IFERROR(INDEX('Taxonomy Rules'!$G$42:$G$68,MATCH(E1460,'Taxonomy Rules'!$C$42:$C$68,0)),"")="All supported routes",IFERROR(INDEX('Taxonomy Rules'!$G$42:$G$68,MATCH(E1460,'Taxonomy Rules'!$C$42:$C$68,0)),"")=U1460,AND(IFERROR(INDEX('Taxonomy Rules'!$G$42:$G$68,MATCH(E1460,'Taxonomy Rules'!$C$42:$C$68,0)),"")="Building routes",OR(U1460="Building renovation",U1460="New building",U1460="Building equipment"))))),"Unexpected test","Valid"))))</x:f>
      </x:c>
      <x:c r="S1460" s="9" t="str">
        <x:f>IF(C1460="","",IFERROR(INDEX('Taxonomy Rules'!$E$42:$E$68,MATCH(E1460,'Taxonomy Rules'!$C$42:$C$68,0)),""))</x:f>
      </x:c>
      <x:c r="T1460" s="9" t="str">
        <x:f>IF(C1460="","",IFERROR(INDEX('Taxonomy Rules'!$F$42:$F$68,MATCH(E1460,'Taxonomy Rules'!$C$42:$C$68,0)),""))</x:f>
      </x:c>
      <x:c r="U1460" s="9" t="str">
        <x:f>IF(C1460="","",IFERROR(INDEX('Taxonomy'!$G$9:$G$108,MATCH(D1460,'Taxonomy'!$C$9:$C$108,0)),""))</x:f>
      </x:c>
    </x:row>
    <x:row r="1461" ht="44" customHeight="1">
      <x:c r="A1461" s="1"/>
      <x:c r="B1461" s="1"/>
      <x:c r="C1461" s="8"/>
      <x:c r="D1461" s="8"/>
      <x:c r="E1461" s="8"/>
      <x:c r="F1461" s="8"/>
      <x:c r="G1461" s="8"/>
      <x:c r="H1461" s="8"/>
      <x:c r="I1461" s="8"/>
      <x:c r="J1461" s="8"/>
      <x:c r="K1461" s="8"/>
      <x:c r="L1461" s="8"/>
      <x:c r="M1461" s="10"/>
      <x:c r="N1461" s="10"/>
      <x:c r="O1461" s="8"/>
      <x:c r="P1461" s="9" t="str">
        <x:f>IF(C1461="","",IF(AND(G1461="Applicable",H1461="Fail"),"Fail",IF(R1461&lt;&gt;"Valid","Pending",IF(OR(I1461="",K1461="",L1461="",K1461=L1461,NOT(ISNUMBER(M1461)),NOT(ISNUMBER(N1461)),M1461&gt;Settings!$F$8,N1461&lt;Settings!$F$8,N1461&lt;M1461),"Pending",IF(AND(G1461="Applicable",H1461="Pass"),"Pass",IF(AND(G1461="N/A",H1461="N/A",J1461&lt;&gt;"",OR(E1461="CEM-FUELS",E1461="CEM-CCS",AND(E1461="CEM-PLAN",IFERROR(INDEX('Taxonomy'!$M$9:$M$108,MATCH(D1461,'Taxonomy'!$C$9:$C$108,0)),"")&lt;&gt;"Amber"),E1461="BLD-TIMBER",AND(U1461="Building equipment",OR(E1461="BLD-WATER",E1461="BLD-WASTE",E1461="BLD-LAND")),AND(U1461="Building renovation",E1461="BLD-LAND"))),"N/A","Pending"))))))</x:f>
      </x:c>
      <x:c r="Q1461" s="3" t="str">
        <x:f>IF(C1461="","",IF(AND(R1461="Valid",OR(P1461="Pass",P1461="N/A")),"Complete","Unresolved"))</x:f>
      </x:c>
      <x:c r="R1461" s="9" t="str">
        <x:f>IF(C1461="","",IF(OR(COUNTIF($C$9:$C$2008,C1461)&lt;&gt;1,COUNTIFS($D$9:$D$2008,D1461,$E$9:$E$2008,E1461)&lt;&gt;1),"Duplicate test",IF(COUNTIF('Taxonomy'!$C$9:$C$108,D1461)&lt;&gt;1,"Assessment key",IF(OR(COUNTIF('Taxonomy Rules'!$C$42:$C$68,E1461)&lt;&gt;1,F1461&lt;&gt;IFERROR(INDEX('Taxonomy Rules'!$D$42:$D$68,MATCH(E1461,'Taxonomy Rules'!$C$42:$C$68,0)),""),NOT(OR(IFERROR(INDEX('Taxonomy Rules'!$G$42:$G$68,MATCH(E1461,'Taxonomy Rules'!$C$42:$C$68,0)),"")="All supported routes",IFERROR(INDEX('Taxonomy Rules'!$G$42:$G$68,MATCH(E1461,'Taxonomy Rules'!$C$42:$C$68,0)),"")=U1461,AND(IFERROR(INDEX('Taxonomy Rules'!$G$42:$G$68,MATCH(E1461,'Taxonomy Rules'!$C$42:$C$68,0)),"")="Building routes",OR(U1461="Building renovation",U1461="New building",U1461="Building equipment"))))),"Unexpected test","Valid"))))</x:f>
      </x:c>
      <x:c r="S1461" s="9" t="str">
        <x:f>IF(C1461="","",IFERROR(INDEX('Taxonomy Rules'!$E$42:$E$68,MATCH(E1461,'Taxonomy Rules'!$C$42:$C$68,0)),""))</x:f>
      </x:c>
      <x:c r="T1461" s="9" t="str">
        <x:f>IF(C1461="","",IFERROR(INDEX('Taxonomy Rules'!$F$42:$F$68,MATCH(E1461,'Taxonomy Rules'!$C$42:$C$68,0)),""))</x:f>
      </x:c>
      <x:c r="U1461" s="9" t="str">
        <x:f>IF(C1461="","",IFERROR(INDEX('Taxonomy'!$G$9:$G$108,MATCH(D1461,'Taxonomy'!$C$9:$C$108,0)),""))</x:f>
      </x:c>
    </x:row>
    <x:row r="1462" ht="44" customHeight="1">
      <x:c r="A1462" s="1"/>
      <x:c r="B1462" s="1"/>
      <x:c r="C1462" s="8"/>
      <x:c r="D1462" s="8"/>
      <x:c r="E1462" s="8"/>
      <x:c r="F1462" s="8"/>
      <x:c r="G1462" s="8"/>
      <x:c r="H1462" s="8"/>
      <x:c r="I1462" s="8"/>
      <x:c r="J1462" s="8"/>
      <x:c r="K1462" s="8"/>
      <x:c r="L1462" s="8"/>
      <x:c r="M1462" s="10"/>
      <x:c r="N1462" s="10"/>
      <x:c r="O1462" s="8"/>
      <x:c r="P1462" s="9" t="str">
        <x:f>IF(C1462="","",IF(AND(G1462="Applicable",H1462="Fail"),"Fail",IF(R1462&lt;&gt;"Valid","Pending",IF(OR(I1462="",K1462="",L1462="",K1462=L1462,NOT(ISNUMBER(M1462)),NOT(ISNUMBER(N1462)),M1462&gt;Settings!$F$8,N1462&lt;Settings!$F$8,N1462&lt;M1462),"Pending",IF(AND(G1462="Applicable",H1462="Pass"),"Pass",IF(AND(G1462="N/A",H1462="N/A",J1462&lt;&gt;"",OR(E1462="CEM-FUELS",E1462="CEM-CCS",AND(E1462="CEM-PLAN",IFERROR(INDEX('Taxonomy'!$M$9:$M$108,MATCH(D1462,'Taxonomy'!$C$9:$C$108,0)),"")&lt;&gt;"Amber"),E1462="BLD-TIMBER",AND(U1462="Building equipment",OR(E1462="BLD-WATER",E1462="BLD-WASTE",E1462="BLD-LAND")),AND(U1462="Building renovation",E1462="BLD-LAND"))),"N/A","Pending"))))))</x:f>
      </x:c>
      <x:c r="Q1462" s="3" t="str">
        <x:f>IF(C1462="","",IF(AND(R1462="Valid",OR(P1462="Pass",P1462="N/A")),"Complete","Unresolved"))</x:f>
      </x:c>
      <x:c r="R1462" s="9" t="str">
        <x:f>IF(C1462="","",IF(OR(COUNTIF($C$9:$C$2008,C1462)&lt;&gt;1,COUNTIFS($D$9:$D$2008,D1462,$E$9:$E$2008,E1462)&lt;&gt;1),"Duplicate test",IF(COUNTIF('Taxonomy'!$C$9:$C$108,D1462)&lt;&gt;1,"Assessment key",IF(OR(COUNTIF('Taxonomy Rules'!$C$42:$C$68,E1462)&lt;&gt;1,F1462&lt;&gt;IFERROR(INDEX('Taxonomy Rules'!$D$42:$D$68,MATCH(E1462,'Taxonomy Rules'!$C$42:$C$68,0)),""),NOT(OR(IFERROR(INDEX('Taxonomy Rules'!$G$42:$G$68,MATCH(E1462,'Taxonomy Rules'!$C$42:$C$68,0)),"")="All supported routes",IFERROR(INDEX('Taxonomy Rules'!$G$42:$G$68,MATCH(E1462,'Taxonomy Rules'!$C$42:$C$68,0)),"")=U1462,AND(IFERROR(INDEX('Taxonomy Rules'!$G$42:$G$68,MATCH(E1462,'Taxonomy Rules'!$C$42:$C$68,0)),"")="Building routes",OR(U1462="Building renovation",U1462="New building",U1462="Building equipment"))))),"Unexpected test","Valid"))))</x:f>
      </x:c>
      <x:c r="S1462" s="9" t="str">
        <x:f>IF(C1462="","",IFERROR(INDEX('Taxonomy Rules'!$E$42:$E$68,MATCH(E1462,'Taxonomy Rules'!$C$42:$C$68,0)),""))</x:f>
      </x:c>
      <x:c r="T1462" s="9" t="str">
        <x:f>IF(C1462="","",IFERROR(INDEX('Taxonomy Rules'!$F$42:$F$68,MATCH(E1462,'Taxonomy Rules'!$C$42:$C$68,0)),""))</x:f>
      </x:c>
      <x:c r="U1462" s="9" t="str">
        <x:f>IF(C1462="","",IFERROR(INDEX('Taxonomy'!$G$9:$G$108,MATCH(D1462,'Taxonomy'!$C$9:$C$108,0)),""))</x:f>
      </x:c>
    </x:row>
    <x:row r="1463" ht="44" customHeight="1">
      <x:c r="A1463" s="1"/>
      <x:c r="B1463" s="1"/>
      <x:c r="C1463" s="8"/>
      <x:c r="D1463" s="8"/>
      <x:c r="E1463" s="8"/>
      <x:c r="F1463" s="8"/>
      <x:c r="G1463" s="8"/>
      <x:c r="H1463" s="8"/>
      <x:c r="I1463" s="8"/>
      <x:c r="J1463" s="8"/>
      <x:c r="K1463" s="8"/>
      <x:c r="L1463" s="8"/>
      <x:c r="M1463" s="10"/>
      <x:c r="N1463" s="10"/>
      <x:c r="O1463" s="8"/>
      <x:c r="P1463" s="9" t="str">
        <x:f>IF(C1463="","",IF(AND(G1463="Applicable",H1463="Fail"),"Fail",IF(R1463&lt;&gt;"Valid","Pending",IF(OR(I1463="",K1463="",L1463="",K1463=L1463,NOT(ISNUMBER(M1463)),NOT(ISNUMBER(N1463)),M1463&gt;Settings!$F$8,N1463&lt;Settings!$F$8,N1463&lt;M1463),"Pending",IF(AND(G1463="Applicable",H1463="Pass"),"Pass",IF(AND(G1463="N/A",H1463="N/A",J1463&lt;&gt;"",OR(E1463="CEM-FUELS",E1463="CEM-CCS",AND(E1463="CEM-PLAN",IFERROR(INDEX('Taxonomy'!$M$9:$M$108,MATCH(D1463,'Taxonomy'!$C$9:$C$108,0)),"")&lt;&gt;"Amber"),E1463="BLD-TIMBER",AND(U1463="Building equipment",OR(E1463="BLD-WATER",E1463="BLD-WASTE",E1463="BLD-LAND")),AND(U1463="Building renovation",E1463="BLD-LAND"))),"N/A","Pending"))))))</x:f>
      </x:c>
      <x:c r="Q1463" s="3" t="str">
        <x:f>IF(C1463="","",IF(AND(R1463="Valid",OR(P1463="Pass",P1463="N/A")),"Complete","Unresolved"))</x:f>
      </x:c>
      <x:c r="R1463" s="9" t="str">
        <x:f>IF(C1463="","",IF(OR(COUNTIF($C$9:$C$2008,C1463)&lt;&gt;1,COUNTIFS($D$9:$D$2008,D1463,$E$9:$E$2008,E1463)&lt;&gt;1),"Duplicate test",IF(COUNTIF('Taxonomy'!$C$9:$C$108,D1463)&lt;&gt;1,"Assessment key",IF(OR(COUNTIF('Taxonomy Rules'!$C$42:$C$68,E1463)&lt;&gt;1,F1463&lt;&gt;IFERROR(INDEX('Taxonomy Rules'!$D$42:$D$68,MATCH(E1463,'Taxonomy Rules'!$C$42:$C$68,0)),""),NOT(OR(IFERROR(INDEX('Taxonomy Rules'!$G$42:$G$68,MATCH(E1463,'Taxonomy Rules'!$C$42:$C$68,0)),"")="All supported routes",IFERROR(INDEX('Taxonomy Rules'!$G$42:$G$68,MATCH(E1463,'Taxonomy Rules'!$C$42:$C$68,0)),"")=U1463,AND(IFERROR(INDEX('Taxonomy Rules'!$G$42:$G$68,MATCH(E1463,'Taxonomy Rules'!$C$42:$C$68,0)),"")="Building routes",OR(U1463="Building renovation",U1463="New building",U1463="Building equipment"))))),"Unexpected test","Valid"))))</x:f>
      </x:c>
      <x:c r="S1463" s="9" t="str">
        <x:f>IF(C1463="","",IFERROR(INDEX('Taxonomy Rules'!$E$42:$E$68,MATCH(E1463,'Taxonomy Rules'!$C$42:$C$68,0)),""))</x:f>
      </x:c>
      <x:c r="T1463" s="9" t="str">
        <x:f>IF(C1463="","",IFERROR(INDEX('Taxonomy Rules'!$F$42:$F$68,MATCH(E1463,'Taxonomy Rules'!$C$42:$C$68,0)),""))</x:f>
      </x:c>
      <x:c r="U1463" s="9" t="str">
        <x:f>IF(C1463="","",IFERROR(INDEX('Taxonomy'!$G$9:$G$108,MATCH(D1463,'Taxonomy'!$C$9:$C$108,0)),""))</x:f>
      </x:c>
    </x:row>
    <x:row r="1464" ht="44" customHeight="1">
      <x:c r="A1464" s="1"/>
      <x:c r="B1464" s="1"/>
      <x:c r="C1464" s="8"/>
      <x:c r="D1464" s="8"/>
      <x:c r="E1464" s="8"/>
      <x:c r="F1464" s="8"/>
      <x:c r="G1464" s="8"/>
      <x:c r="H1464" s="8"/>
      <x:c r="I1464" s="8"/>
      <x:c r="J1464" s="8"/>
      <x:c r="K1464" s="8"/>
      <x:c r="L1464" s="8"/>
      <x:c r="M1464" s="10"/>
      <x:c r="N1464" s="10"/>
      <x:c r="O1464" s="8"/>
      <x:c r="P1464" s="9" t="str">
        <x:f>IF(C1464="","",IF(AND(G1464="Applicable",H1464="Fail"),"Fail",IF(R1464&lt;&gt;"Valid","Pending",IF(OR(I1464="",K1464="",L1464="",K1464=L1464,NOT(ISNUMBER(M1464)),NOT(ISNUMBER(N1464)),M1464&gt;Settings!$F$8,N1464&lt;Settings!$F$8,N1464&lt;M1464),"Pending",IF(AND(G1464="Applicable",H1464="Pass"),"Pass",IF(AND(G1464="N/A",H1464="N/A",J1464&lt;&gt;"",OR(E1464="CEM-FUELS",E1464="CEM-CCS",AND(E1464="CEM-PLAN",IFERROR(INDEX('Taxonomy'!$M$9:$M$108,MATCH(D1464,'Taxonomy'!$C$9:$C$108,0)),"")&lt;&gt;"Amber"),E1464="BLD-TIMBER",AND(U1464="Building equipment",OR(E1464="BLD-WATER",E1464="BLD-WASTE",E1464="BLD-LAND")),AND(U1464="Building renovation",E1464="BLD-LAND"))),"N/A","Pending"))))))</x:f>
      </x:c>
      <x:c r="Q1464" s="3" t="str">
        <x:f>IF(C1464="","",IF(AND(R1464="Valid",OR(P1464="Pass",P1464="N/A")),"Complete","Unresolved"))</x:f>
      </x:c>
      <x:c r="R1464" s="9" t="str">
        <x:f>IF(C1464="","",IF(OR(COUNTIF($C$9:$C$2008,C1464)&lt;&gt;1,COUNTIFS($D$9:$D$2008,D1464,$E$9:$E$2008,E1464)&lt;&gt;1),"Duplicate test",IF(COUNTIF('Taxonomy'!$C$9:$C$108,D1464)&lt;&gt;1,"Assessment key",IF(OR(COUNTIF('Taxonomy Rules'!$C$42:$C$68,E1464)&lt;&gt;1,F1464&lt;&gt;IFERROR(INDEX('Taxonomy Rules'!$D$42:$D$68,MATCH(E1464,'Taxonomy Rules'!$C$42:$C$68,0)),""),NOT(OR(IFERROR(INDEX('Taxonomy Rules'!$G$42:$G$68,MATCH(E1464,'Taxonomy Rules'!$C$42:$C$68,0)),"")="All supported routes",IFERROR(INDEX('Taxonomy Rules'!$G$42:$G$68,MATCH(E1464,'Taxonomy Rules'!$C$42:$C$68,0)),"")=U1464,AND(IFERROR(INDEX('Taxonomy Rules'!$G$42:$G$68,MATCH(E1464,'Taxonomy Rules'!$C$42:$C$68,0)),"")="Building routes",OR(U1464="Building renovation",U1464="New building",U1464="Building equipment"))))),"Unexpected test","Valid"))))</x:f>
      </x:c>
      <x:c r="S1464" s="9" t="str">
        <x:f>IF(C1464="","",IFERROR(INDEX('Taxonomy Rules'!$E$42:$E$68,MATCH(E1464,'Taxonomy Rules'!$C$42:$C$68,0)),""))</x:f>
      </x:c>
      <x:c r="T1464" s="9" t="str">
        <x:f>IF(C1464="","",IFERROR(INDEX('Taxonomy Rules'!$F$42:$F$68,MATCH(E1464,'Taxonomy Rules'!$C$42:$C$68,0)),""))</x:f>
      </x:c>
      <x:c r="U1464" s="9" t="str">
        <x:f>IF(C1464="","",IFERROR(INDEX('Taxonomy'!$G$9:$G$108,MATCH(D1464,'Taxonomy'!$C$9:$C$108,0)),""))</x:f>
      </x:c>
    </x:row>
    <x:row r="1465" ht="44" customHeight="1">
      <x:c r="A1465" s="1"/>
      <x:c r="B1465" s="1"/>
      <x:c r="C1465" s="8"/>
      <x:c r="D1465" s="8"/>
      <x:c r="E1465" s="8"/>
      <x:c r="F1465" s="8"/>
      <x:c r="G1465" s="8"/>
      <x:c r="H1465" s="8"/>
      <x:c r="I1465" s="8"/>
      <x:c r="J1465" s="8"/>
      <x:c r="K1465" s="8"/>
      <x:c r="L1465" s="8"/>
      <x:c r="M1465" s="10"/>
      <x:c r="N1465" s="10"/>
      <x:c r="O1465" s="8"/>
      <x:c r="P1465" s="9" t="str">
        <x:f>IF(C1465="","",IF(AND(G1465="Applicable",H1465="Fail"),"Fail",IF(R1465&lt;&gt;"Valid","Pending",IF(OR(I1465="",K1465="",L1465="",K1465=L1465,NOT(ISNUMBER(M1465)),NOT(ISNUMBER(N1465)),M1465&gt;Settings!$F$8,N1465&lt;Settings!$F$8,N1465&lt;M1465),"Pending",IF(AND(G1465="Applicable",H1465="Pass"),"Pass",IF(AND(G1465="N/A",H1465="N/A",J1465&lt;&gt;"",OR(E1465="CEM-FUELS",E1465="CEM-CCS",AND(E1465="CEM-PLAN",IFERROR(INDEX('Taxonomy'!$M$9:$M$108,MATCH(D1465,'Taxonomy'!$C$9:$C$108,0)),"")&lt;&gt;"Amber"),E1465="BLD-TIMBER",AND(U1465="Building equipment",OR(E1465="BLD-WATER",E1465="BLD-WASTE",E1465="BLD-LAND")),AND(U1465="Building renovation",E1465="BLD-LAND"))),"N/A","Pending"))))))</x:f>
      </x:c>
      <x:c r="Q1465" s="3" t="str">
        <x:f>IF(C1465="","",IF(AND(R1465="Valid",OR(P1465="Pass",P1465="N/A")),"Complete","Unresolved"))</x:f>
      </x:c>
      <x:c r="R1465" s="9" t="str">
        <x:f>IF(C1465="","",IF(OR(COUNTIF($C$9:$C$2008,C1465)&lt;&gt;1,COUNTIFS($D$9:$D$2008,D1465,$E$9:$E$2008,E1465)&lt;&gt;1),"Duplicate test",IF(COUNTIF('Taxonomy'!$C$9:$C$108,D1465)&lt;&gt;1,"Assessment key",IF(OR(COUNTIF('Taxonomy Rules'!$C$42:$C$68,E1465)&lt;&gt;1,F1465&lt;&gt;IFERROR(INDEX('Taxonomy Rules'!$D$42:$D$68,MATCH(E1465,'Taxonomy Rules'!$C$42:$C$68,0)),""),NOT(OR(IFERROR(INDEX('Taxonomy Rules'!$G$42:$G$68,MATCH(E1465,'Taxonomy Rules'!$C$42:$C$68,0)),"")="All supported routes",IFERROR(INDEX('Taxonomy Rules'!$G$42:$G$68,MATCH(E1465,'Taxonomy Rules'!$C$42:$C$68,0)),"")=U1465,AND(IFERROR(INDEX('Taxonomy Rules'!$G$42:$G$68,MATCH(E1465,'Taxonomy Rules'!$C$42:$C$68,0)),"")="Building routes",OR(U1465="Building renovation",U1465="New building",U1465="Building equipment"))))),"Unexpected test","Valid"))))</x:f>
      </x:c>
      <x:c r="S1465" s="9" t="str">
        <x:f>IF(C1465="","",IFERROR(INDEX('Taxonomy Rules'!$E$42:$E$68,MATCH(E1465,'Taxonomy Rules'!$C$42:$C$68,0)),""))</x:f>
      </x:c>
      <x:c r="T1465" s="9" t="str">
        <x:f>IF(C1465="","",IFERROR(INDEX('Taxonomy Rules'!$F$42:$F$68,MATCH(E1465,'Taxonomy Rules'!$C$42:$C$68,0)),""))</x:f>
      </x:c>
      <x:c r="U1465" s="9" t="str">
        <x:f>IF(C1465="","",IFERROR(INDEX('Taxonomy'!$G$9:$G$108,MATCH(D1465,'Taxonomy'!$C$9:$C$108,0)),""))</x:f>
      </x:c>
    </x:row>
    <x:row r="1466" ht="44" customHeight="1">
      <x:c r="A1466" s="1"/>
      <x:c r="B1466" s="1"/>
      <x:c r="C1466" s="8"/>
      <x:c r="D1466" s="8"/>
      <x:c r="E1466" s="8"/>
      <x:c r="F1466" s="8"/>
      <x:c r="G1466" s="8"/>
      <x:c r="H1466" s="8"/>
      <x:c r="I1466" s="8"/>
      <x:c r="J1466" s="8"/>
      <x:c r="K1466" s="8"/>
      <x:c r="L1466" s="8"/>
      <x:c r="M1466" s="10"/>
      <x:c r="N1466" s="10"/>
      <x:c r="O1466" s="8"/>
      <x:c r="P1466" s="9" t="str">
        <x:f>IF(C1466="","",IF(AND(G1466="Applicable",H1466="Fail"),"Fail",IF(R1466&lt;&gt;"Valid","Pending",IF(OR(I1466="",K1466="",L1466="",K1466=L1466,NOT(ISNUMBER(M1466)),NOT(ISNUMBER(N1466)),M1466&gt;Settings!$F$8,N1466&lt;Settings!$F$8,N1466&lt;M1466),"Pending",IF(AND(G1466="Applicable",H1466="Pass"),"Pass",IF(AND(G1466="N/A",H1466="N/A",J1466&lt;&gt;"",OR(E1466="CEM-FUELS",E1466="CEM-CCS",AND(E1466="CEM-PLAN",IFERROR(INDEX('Taxonomy'!$M$9:$M$108,MATCH(D1466,'Taxonomy'!$C$9:$C$108,0)),"")&lt;&gt;"Amber"),E1466="BLD-TIMBER",AND(U1466="Building equipment",OR(E1466="BLD-WATER",E1466="BLD-WASTE",E1466="BLD-LAND")),AND(U1466="Building renovation",E1466="BLD-LAND"))),"N/A","Pending"))))))</x:f>
      </x:c>
      <x:c r="Q1466" s="3" t="str">
        <x:f>IF(C1466="","",IF(AND(R1466="Valid",OR(P1466="Pass",P1466="N/A")),"Complete","Unresolved"))</x:f>
      </x:c>
      <x:c r="R1466" s="9" t="str">
        <x:f>IF(C1466="","",IF(OR(COUNTIF($C$9:$C$2008,C1466)&lt;&gt;1,COUNTIFS($D$9:$D$2008,D1466,$E$9:$E$2008,E1466)&lt;&gt;1),"Duplicate test",IF(COUNTIF('Taxonomy'!$C$9:$C$108,D1466)&lt;&gt;1,"Assessment key",IF(OR(COUNTIF('Taxonomy Rules'!$C$42:$C$68,E1466)&lt;&gt;1,F1466&lt;&gt;IFERROR(INDEX('Taxonomy Rules'!$D$42:$D$68,MATCH(E1466,'Taxonomy Rules'!$C$42:$C$68,0)),""),NOT(OR(IFERROR(INDEX('Taxonomy Rules'!$G$42:$G$68,MATCH(E1466,'Taxonomy Rules'!$C$42:$C$68,0)),"")="All supported routes",IFERROR(INDEX('Taxonomy Rules'!$G$42:$G$68,MATCH(E1466,'Taxonomy Rules'!$C$42:$C$68,0)),"")=U1466,AND(IFERROR(INDEX('Taxonomy Rules'!$G$42:$G$68,MATCH(E1466,'Taxonomy Rules'!$C$42:$C$68,0)),"")="Building routes",OR(U1466="Building renovation",U1466="New building",U1466="Building equipment"))))),"Unexpected test","Valid"))))</x:f>
      </x:c>
      <x:c r="S1466" s="9" t="str">
        <x:f>IF(C1466="","",IFERROR(INDEX('Taxonomy Rules'!$E$42:$E$68,MATCH(E1466,'Taxonomy Rules'!$C$42:$C$68,0)),""))</x:f>
      </x:c>
      <x:c r="T1466" s="9" t="str">
        <x:f>IF(C1466="","",IFERROR(INDEX('Taxonomy Rules'!$F$42:$F$68,MATCH(E1466,'Taxonomy Rules'!$C$42:$C$68,0)),""))</x:f>
      </x:c>
      <x:c r="U1466" s="9" t="str">
        <x:f>IF(C1466="","",IFERROR(INDEX('Taxonomy'!$G$9:$G$108,MATCH(D1466,'Taxonomy'!$C$9:$C$108,0)),""))</x:f>
      </x:c>
    </x:row>
    <x:row r="1467" ht="44" customHeight="1">
      <x:c r="A1467" s="1"/>
      <x:c r="B1467" s="1"/>
      <x:c r="C1467" s="8"/>
      <x:c r="D1467" s="8"/>
      <x:c r="E1467" s="8"/>
      <x:c r="F1467" s="8"/>
      <x:c r="G1467" s="8"/>
      <x:c r="H1467" s="8"/>
      <x:c r="I1467" s="8"/>
      <x:c r="J1467" s="8"/>
      <x:c r="K1467" s="8"/>
      <x:c r="L1467" s="8"/>
      <x:c r="M1467" s="10"/>
      <x:c r="N1467" s="10"/>
      <x:c r="O1467" s="8"/>
      <x:c r="P1467" s="9" t="str">
        <x:f>IF(C1467="","",IF(AND(G1467="Applicable",H1467="Fail"),"Fail",IF(R1467&lt;&gt;"Valid","Pending",IF(OR(I1467="",K1467="",L1467="",K1467=L1467,NOT(ISNUMBER(M1467)),NOT(ISNUMBER(N1467)),M1467&gt;Settings!$F$8,N1467&lt;Settings!$F$8,N1467&lt;M1467),"Pending",IF(AND(G1467="Applicable",H1467="Pass"),"Pass",IF(AND(G1467="N/A",H1467="N/A",J1467&lt;&gt;"",OR(E1467="CEM-FUELS",E1467="CEM-CCS",AND(E1467="CEM-PLAN",IFERROR(INDEX('Taxonomy'!$M$9:$M$108,MATCH(D1467,'Taxonomy'!$C$9:$C$108,0)),"")&lt;&gt;"Amber"),E1467="BLD-TIMBER",AND(U1467="Building equipment",OR(E1467="BLD-WATER",E1467="BLD-WASTE",E1467="BLD-LAND")),AND(U1467="Building renovation",E1467="BLD-LAND"))),"N/A","Pending"))))))</x:f>
      </x:c>
      <x:c r="Q1467" s="3" t="str">
        <x:f>IF(C1467="","",IF(AND(R1467="Valid",OR(P1467="Pass",P1467="N/A")),"Complete","Unresolved"))</x:f>
      </x:c>
      <x:c r="R1467" s="9" t="str">
        <x:f>IF(C1467="","",IF(OR(COUNTIF($C$9:$C$2008,C1467)&lt;&gt;1,COUNTIFS($D$9:$D$2008,D1467,$E$9:$E$2008,E1467)&lt;&gt;1),"Duplicate test",IF(COUNTIF('Taxonomy'!$C$9:$C$108,D1467)&lt;&gt;1,"Assessment key",IF(OR(COUNTIF('Taxonomy Rules'!$C$42:$C$68,E1467)&lt;&gt;1,F1467&lt;&gt;IFERROR(INDEX('Taxonomy Rules'!$D$42:$D$68,MATCH(E1467,'Taxonomy Rules'!$C$42:$C$68,0)),""),NOT(OR(IFERROR(INDEX('Taxonomy Rules'!$G$42:$G$68,MATCH(E1467,'Taxonomy Rules'!$C$42:$C$68,0)),"")="All supported routes",IFERROR(INDEX('Taxonomy Rules'!$G$42:$G$68,MATCH(E1467,'Taxonomy Rules'!$C$42:$C$68,0)),"")=U1467,AND(IFERROR(INDEX('Taxonomy Rules'!$G$42:$G$68,MATCH(E1467,'Taxonomy Rules'!$C$42:$C$68,0)),"")="Building routes",OR(U1467="Building renovation",U1467="New building",U1467="Building equipment"))))),"Unexpected test","Valid"))))</x:f>
      </x:c>
      <x:c r="S1467" s="9" t="str">
        <x:f>IF(C1467="","",IFERROR(INDEX('Taxonomy Rules'!$E$42:$E$68,MATCH(E1467,'Taxonomy Rules'!$C$42:$C$68,0)),""))</x:f>
      </x:c>
      <x:c r="T1467" s="9" t="str">
        <x:f>IF(C1467="","",IFERROR(INDEX('Taxonomy Rules'!$F$42:$F$68,MATCH(E1467,'Taxonomy Rules'!$C$42:$C$68,0)),""))</x:f>
      </x:c>
      <x:c r="U1467" s="9" t="str">
        <x:f>IF(C1467="","",IFERROR(INDEX('Taxonomy'!$G$9:$G$108,MATCH(D1467,'Taxonomy'!$C$9:$C$108,0)),""))</x:f>
      </x:c>
    </x:row>
    <x:row r="1468" ht="44" customHeight="1">
      <x:c r="A1468" s="1"/>
      <x:c r="B1468" s="1"/>
      <x:c r="C1468" s="8"/>
      <x:c r="D1468" s="8"/>
      <x:c r="E1468" s="8"/>
      <x:c r="F1468" s="8"/>
      <x:c r="G1468" s="8"/>
      <x:c r="H1468" s="8"/>
      <x:c r="I1468" s="8"/>
      <x:c r="J1468" s="8"/>
      <x:c r="K1468" s="8"/>
      <x:c r="L1468" s="8"/>
      <x:c r="M1468" s="10"/>
      <x:c r="N1468" s="10"/>
      <x:c r="O1468" s="8"/>
      <x:c r="P1468" s="9" t="str">
        <x:f>IF(C1468="","",IF(AND(G1468="Applicable",H1468="Fail"),"Fail",IF(R1468&lt;&gt;"Valid","Pending",IF(OR(I1468="",K1468="",L1468="",K1468=L1468,NOT(ISNUMBER(M1468)),NOT(ISNUMBER(N1468)),M1468&gt;Settings!$F$8,N1468&lt;Settings!$F$8,N1468&lt;M1468),"Pending",IF(AND(G1468="Applicable",H1468="Pass"),"Pass",IF(AND(G1468="N/A",H1468="N/A",J1468&lt;&gt;"",OR(E1468="CEM-FUELS",E1468="CEM-CCS",AND(E1468="CEM-PLAN",IFERROR(INDEX('Taxonomy'!$M$9:$M$108,MATCH(D1468,'Taxonomy'!$C$9:$C$108,0)),"")&lt;&gt;"Amber"),E1468="BLD-TIMBER",AND(U1468="Building equipment",OR(E1468="BLD-WATER",E1468="BLD-WASTE",E1468="BLD-LAND")),AND(U1468="Building renovation",E1468="BLD-LAND"))),"N/A","Pending"))))))</x:f>
      </x:c>
      <x:c r="Q1468" s="3" t="str">
        <x:f>IF(C1468="","",IF(AND(R1468="Valid",OR(P1468="Pass",P1468="N/A")),"Complete","Unresolved"))</x:f>
      </x:c>
      <x:c r="R1468" s="9" t="str">
        <x:f>IF(C1468="","",IF(OR(COUNTIF($C$9:$C$2008,C1468)&lt;&gt;1,COUNTIFS($D$9:$D$2008,D1468,$E$9:$E$2008,E1468)&lt;&gt;1),"Duplicate test",IF(COUNTIF('Taxonomy'!$C$9:$C$108,D1468)&lt;&gt;1,"Assessment key",IF(OR(COUNTIF('Taxonomy Rules'!$C$42:$C$68,E1468)&lt;&gt;1,F1468&lt;&gt;IFERROR(INDEX('Taxonomy Rules'!$D$42:$D$68,MATCH(E1468,'Taxonomy Rules'!$C$42:$C$68,0)),""),NOT(OR(IFERROR(INDEX('Taxonomy Rules'!$G$42:$G$68,MATCH(E1468,'Taxonomy Rules'!$C$42:$C$68,0)),"")="All supported routes",IFERROR(INDEX('Taxonomy Rules'!$G$42:$G$68,MATCH(E1468,'Taxonomy Rules'!$C$42:$C$68,0)),"")=U1468,AND(IFERROR(INDEX('Taxonomy Rules'!$G$42:$G$68,MATCH(E1468,'Taxonomy Rules'!$C$42:$C$68,0)),"")="Building routes",OR(U1468="Building renovation",U1468="New building",U1468="Building equipment"))))),"Unexpected test","Valid"))))</x:f>
      </x:c>
      <x:c r="S1468" s="9" t="str">
        <x:f>IF(C1468="","",IFERROR(INDEX('Taxonomy Rules'!$E$42:$E$68,MATCH(E1468,'Taxonomy Rules'!$C$42:$C$68,0)),""))</x:f>
      </x:c>
      <x:c r="T1468" s="9" t="str">
        <x:f>IF(C1468="","",IFERROR(INDEX('Taxonomy Rules'!$F$42:$F$68,MATCH(E1468,'Taxonomy Rules'!$C$42:$C$68,0)),""))</x:f>
      </x:c>
      <x:c r="U1468" s="9" t="str">
        <x:f>IF(C1468="","",IFERROR(INDEX('Taxonomy'!$G$9:$G$108,MATCH(D1468,'Taxonomy'!$C$9:$C$108,0)),""))</x:f>
      </x:c>
    </x:row>
    <x:row r="1469" ht="44" customHeight="1">
      <x:c r="A1469" s="1"/>
      <x:c r="B1469" s="1"/>
      <x:c r="C1469" s="8"/>
      <x:c r="D1469" s="8"/>
      <x:c r="E1469" s="8"/>
      <x:c r="F1469" s="8"/>
      <x:c r="G1469" s="8"/>
      <x:c r="H1469" s="8"/>
      <x:c r="I1469" s="8"/>
      <x:c r="J1469" s="8"/>
      <x:c r="K1469" s="8"/>
      <x:c r="L1469" s="8"/>
      <x:c r="M1469" s="10"/>
      <x:c r="N1469" s="10"/>
      <x:c r="O1469" s="8"/>
      <x:c r="P1469" s="9" t="str">
        <x:f>IF(C1469="","",IF(AND(G1469="Applicable",H1469="Fail"),"Fail",IF(R1469&lt;&gt;"Valid","Pending",IF(OR(I1469="",K1469="",L1469="",K1469=L1469,NOT(ISNUMBER(M1469)),NOT(ISNUMBER(N1469)),M1469&gt;Settings!$F$8,N1469&lt;Settings!$F$8,N1469&lt;M1469),"Pending",IF(AND(G1469="Applicable",H1469="Pass"),"Pass",IF(AND(G1469="N/A",H1469="N/A",J1469&lt;&gt;"",OR(E1469="CEM-FUELS",E1469="CEM-CCS",AND(E1469="CEM-PLAN",IFERROR(INDEX('Taxonomy'!$M$9:$M$108,MATCH(D1469,'Taxonomy'!$C$9:$C$108,0)),"")&lt;&gt;"Amber"),E1469="BLD-TIMBER",AND(U1469="Building equipment",OR(E1469="BLD-WATER",E1469="BLD-WASTE",E1469="BLD-LAND")),AND(U1469="Building renovation",E1469="BLD-LAND"))),"N/A","Pending"))))))</x:f>
      </x:c>
      <x:c r="Q1469" s="3" t="str">
        <x:f>IF(C1469="","",IF(AND(R1469="Valid",OR(P1469="Pass",P1469="N/A")),"Complete","Unresolved"))</x:f>
      </x:c>
      <x:c r="R1469" s="9" t="str">
        <x:f>IF(C1469="","",IF(OR(COUNTIF($C$9:$C$2008,C1469)&lt;&gt;1,COUNTIFS($D$9:$D$2008,D1469,$E$9:$E$2008,E1469)&lt;&gt;1),"Duplicate test",IF(COUNTIF('Taxonomy'!$C$9:$C$108,D1469)&lt;&gt;1,"Assessment key",IF(OR(COUNTIF('Taxonomy Rules'!$C$42:$C$68,E1469)&lt;&gt;1,F1469&lt;&gt;IFERROR(INDEX('Taxonomy Rules'!$D$42:$D$68,MATCH(E1469,'Taxonomy Rules'!$C$42:$C$68,0)),""),NOT(OR(IFERROR(INDEX('Taxonomy Rules'!$G$42:$G$68,MATCH(E1469,'Taxonomy Rules'!$C$42:$C$68,0)),"")="All supported routes",IFERROR(INDEX('Taxonomy Rules'!$G$42:$G$68,MATCH(E1469,'Taxonomy Rules'!$C$42:$C$68,0)),"")=U1469,AND(IFERROR(INDEX('Taxonomy Rules'!$G$42:$G$68,MATCH(E1469,'Taxonomy Rules'!$C$42:$C$68,0)),"")="Building routes",OR(U1469="Building renovation",U1469="New building",U1469="Building equipment"))))),"Unexpected test","Valid"))))</x:f>
      </x:c>
      <x:c r="S1469" s="9" t="str">
        <x:f>IF(C1469="","",IFERROR(INDEX('Taxonomy Rules'!$E$42:$E$68,MATCH(E1469,'Taxonomy Rules'!$C$42:$C$68,0)),""))</x:f>
      </x:c>
      <x:c r="T1469" s="9" t="str">
        <x:f>IF(C1469="","",IFERROR(INDEX('Taxonomy Rules'!$F$42:$F$68,MATCH(E1469,'Taxonomy Rules'!$C$42:$C$68,0)),""))</x:f>
      </x:c>
      <x:c r="U1469" s="9" t="str">
        <x:f>IF(C1469="","",IFERROR(INDEX('Taxonomy'!$G$9:$G$108,MATCH(D1469,'Taxonomy'!$C$9:$C$108,0)),""))</x:f>
      </x:c>
    </x:row>
    <x:row r="1470" ht="44" customHeight="1">
      <x:c r="A1470" s="1"/>
      <x:c r="B1470" s="1"/>
      <x:c r="C1470" s="8"/>
      <x:c r="D1470" s="8"/>
      <x:c r="E1470" s="8"/>
      <x:c r="F1470" s="8"/>
      <x:c r="G1470" s="8"/>
      <x:c r="H1470" s="8"/>
      <x:c r="I1470" s="8"/>
      <x:c r="J1470" s="8"/>
      <x:c r="K1470" s="8"/>
      <x:c r="L1470" s="8"/>
      <x:c r="M1470" s="10"/>
      <x:c r="N1470" s="10"/>
      <x:c r="O1470" s="8"/>
      <x:c r="P1470" s="9" t="str">
        <x:f>IF(C1470="","",IF(AND(G1470="Applicable",H1470="Fail"),"Fail",IF(R1470&lt;&gt;"Valid","Pending",IF(OR(I1470="",K1470="",L1470="",K1470=L1470,NOT(ISNUMBER(M1470)),NOT(ISNUMBER(N1470)),M1470&gt;Settings!$F$8,N1470&lt;Settings!$F$8,N1470&lt;M1470),"Pending",IF(AND(G1470="Applicable",H1470="Pass"),"Pass",IF(AND(G1470="N/A",H1470="N/A",J1470&lt;&gt;"",OR(E1470="CEM-FUELS",E1470="CEM-CCS",AND(E1470="CEM-PLAN",IFERROR(INDEX('Taxonomy'!$M$9:$M$108,MATCH(D1470,'Taxonomy'!$C$9:$C$108,0)),"")&lt;&gt;"Amber"),E1470="BLD-TIMBER",AND(U1470="Building equipment",OR(E1470="BLD-WATER",E1470="BLD-WASTE",E1470="BLD-LAND")),AND(U1470="Building renovation",E1470="BLD-LAND"))),"N/A","Pending"))))))</x:f>
      </x:c>
      <x:c r="Q1470" s="3" t="str">
        <x:f>IF(C1470="","",IF(AND(R1470="Valid",OR(P1470="Pass",P1470="N/A")),"Complete","Unresolved"))</x:f>
      </x:c>
      <x:c r="R1470" s="9" t="str">
        <x:f>IF(C1470="","",IF(OR(COUNTIF($C$9:$C$2008,C1470)&lt;&gt;1,COUNTIFS($D$9:$D$2008,D1470,$E$9:$E$2008,E1470)&lt;&gt;1),"Duplicate test",IF(COUNTIF('Taxonomy'!$C$9:$C$108,D1470)&lt;&gt;1,"Assessment key",IF(OR(COUNTIF('Taxonomy Rules'!$C$42:$C$68,E1470)&lt;&gt;1,F1470&lt;&gt;IFERROR(INDEX('Taxonomy Rules'!$D$42:$D$68,MATCH(E1470,'Taxonomy Rules'!$C$42:$C$68,0)),""),NOT(OR(IFERROR(INDEX('Taxonomy Rules'!$G$42:$G$68,MATCH(E1470,'Taxonomy Rules'!$C$42:$C$68,0)),"")="All supported routes",IFERROR(INDEX('Taxonomy Rules'!$G$42:$G$68,MATCH(E1470,'Taxonomy Rules'!$C$42:$C$68,0)),"")=U1470,AND(IFERROR(INDEX('Taxonomy Rules'!$G$42:$G$68,MATCH(E1470,'Taxonomy Rules'!$C$42:$C$68,0)),"")="Building routes",OR(U1470="Building renovation",U1470="New building",U1470="Building equipment"))))),"Unexpected test","Valid"))))</x:f>
      </x:c>
      <x:c r="S1470" s="9" t="str">
        <x:f>IF(C1470="","",IFERROR(INDEX('Taxonomy Rules'!$E$42:$E$68,MATCH(E1470,'Taxonomy Rules'!$C$42:$C$68,0)),""))</x:f>
      </x:c>
      <x:c r="T1470" s="9" t="str">
        <x:f>IF(C1470="","",IFERROR(INDEX('Taxonomy Rules'!$F$42:$F$68,MATCH(E1470,'Taxonomy Rules'!$C$42:$C$68,0)),""))</x:f>
      </x:c>
      <x:c r="U1470" s="9" t="str">
        <x:f>IF(C1470="","",IFERROR(INDEX('Taxonomy'!$G$9:$G$108,MATCH(D1470,'Taxonomy'!$C$9:$C$108,0)),""))</x:f>
      </x:c>
    </x:row>
    <x:row r="1471" ht="44" customHeight="1">
      <x:c r="A1471" s="1"/>
      <x:c r="B1471" s="1"/>
      <x:c r="C1471" s="8"/>
      <x:c r="D1471" s="8"/>
      <x:c r="E1471" s="8"/>
      <x:c r="F1471" s="8"/>
      <x:c r="G1471" s="8"/>
      <x:c r="H1471" s="8"/>
      <x:c r="I1471" s="8"/>
      <x:c r="J1471" s="8"/>
      <x:c r="K1471" s="8"/>
      <x:c r="L1471" s="8"/>
      <x:c r="M1471" s="10"/>
      <x:c r="N1471" s="10"/>
      <x:c r="O1471" s="8"/>
      <x:c r="P1471" s="9" t="str">
        <x:f>IF(C1471="","",IF(AND(G1471="Applicable",H1471="Fail"),"Fail",IF(R1471&lt;&gt;"Valid","Pending",IF(OR(I1471="",K1471="",L1471="",K1471=L1471,NOT(ISNUMBER(M1471)),NOT(ISNUMBER(N1471)),M1471&gt;Settings!$F$8,N1471&lt;Settings!$F$8,N1471&lt;M1471),"Pending",IF(AND(G1471="Applicable",H1471="Pass"),"Pass",IF(AND(G1471="N/A",H1471="N/A",J1471&lt;&gt;"",OR(E1471="CEM-FUELS",E1471="CEM-CCS",AND(E1471="CEM-PLAN",IFERROR(INDEX('Taxonomy'!$M$9:$M$108,MATCH(D1471,'Taxonomy'!$C$9:$C$108,0)),"")&lt;&gt;"Amber"),E1471="BLD-TIMBER",AND(U1471="Building equipment",OR(E1471="BLD-WATER",E1471="BLD-WASTE",E1471="BLD-LAND")),AND(U1471="Building renovation",E1471="BLD-LAND"))),"N/A","Pending"))))))</x:f>
      </x:c>
      <x:c r="Q1471" s="3" t="str">
        <x:f>IF(C1471="","",IF(AND(R1471="Valid",OR(P1471="Pass",P1471="N/A")),"Complete","Unresolved"))</x:f>
      </x:c>
      <x:c r="R1471" s="9" t="str">
        <x:f>IF(C1471="","",IF(OR(COUNTIF($C$9:$C$2008,C1471)&lt;&gt;1,COUNTIFS($D$9:$D$2008,D1471,$E$9:$E$2008,E1471)&lt;&gt;1),"Duplicate test",IF(COUNTIF('Taxonomy'!$C$9:$C$108,D1471)&lt;&gt;1,"Assessment key",IF(OR(COUNTIF('Taxonomy Rules'!$C$42:$C$68,E1471)&lt;&gt;1,F1471&lt;&gt;IFERROR(INDEX('Taxonomy Rules'!$D$42:$D$68,MATCH(E1471,'Taxonomy Rules'!$C$42:$C$68,0)),""),NOT(OR(IFERROR(INDEX('Taxonomy Rules'!$G$42:$G$68,MATCH(E1471,'Taxonomy Rules'!$C$42:$C$68,0)),"")="All supported routes",IFERROR(INDEX('Taxonomy Rules'!$G$42:$G$68,MATCH(E1471,'Taxonomy Rules'!$C$42:$C$68,0)),"")=U1471,AND(IFERROR(INDEX('Taxonomy Rules'!$G$42:$G$68,MATCH(E1471,'Taxonomy Rules'!$C$42:$C$68,0)),"")="Building routes",OR(U1471="Building renovation",U1471="New building",U1471="Building equipment"))))),"Unexpected test","Valid"))))</x:f>
      </x:c>
      <x:c r="S1471" s="9" t="str">
        <x:f>IF(C1471="","",IFERROR(INDEX('Taxonomy Rules'!$E$42:$E$68,MATCH(E1471,'Taxonomy Rules'!$C$42:$C$68,0)),""))</x:f>
      </x:c>
      <x:c r="T1471" s="9" t="str">
        <x:f>IF(C1471="","",IFERROR(INDEX('Taxonomy Rules'!$F$42:$F$68,MATCH(E1471,'Taxonomy Rules'!$C$42:$C$68,0)),""))</x:f>
      </x:c>
      <x:c r="U1471" s="9" t="str">
        <x:f>IF(C1471="","",IFERROR(INDEX('Taxonomy'!$G$9:$G$108,MATCH(D1471,'Taxonomy'!$C$9:$C$108,0)),""))</x:f>
      </x:c>
    </x:row>
    <x:row r="1472" ht="44" customHeight="1">
      <x:c r="A1472" s="1"/>
      <x:c r="B1472" s="1"/>
      <x:c r="C1472" s="8"/>
      <x:c r="D1472" s="8"/>
      <x:c r="E1472" s="8"/>
      <x:c r="F1472" s="8"/>
      <x:c r="G1472" s="8"/>
      <x:c r="H1472" s="8"/>
      <x:c r="I1472" s="8"/>
      <x:c r="J1472" s="8"/>
      <x:c r="K1472" s="8"/>
      <x:c r="L1472" s="8"/>
      <x:c r="M1472" s="10"/>
      <x:c r="N1472" s="10"/>
      <x:c r="O1472" s="8"/>
      <x:c r="P1472" s="9" t="str">
        <x:f>IF(C1472="","",IF(AND(G1472="Applicable",H1472="Fail"),"Fail",IF(R1472&lt;&gt;"Valid","Pending",IF(OR(I1472="",K1472="",L1472="",K1472=L1472,NOT(ISNUMBER(M1472)),NOT(ISNUMBER(N1472)),M1472&gt;Settings!$F$8,N1472&lt;Settings!$F$8,N1472&lt;M1472),"Pending",IF(AND(G1472="Applicable",H1472="Pass"),"Pass",IF(AND(G1472="N/A",H1472="N/A",J1472&lt;&gt;"",OR(E1472="CEM-FUELS",E1472="CEM-CCS",AND(E1472="CEM-PLAN",IFERROR(INDEX('Taxonomy'!$M$9:$M$108,MATCH(D1472,'Taxonomy'!$C$9:$C$108,0)),"")&lt;&gt;"Amber"),E1472="BLD-TIMBER",AND(U1472="Building equipment",OR(E1472="BLD-WATER",E1472="BLD-WASTE",E1472="BLD-LAND")),AND(U1472="Building renovation",E1472="BLD-LAND"))),"N/A","Pending"))))))</x:f>
      </x:c>
      <x:c r="Q1472" s="3" t="str">
        <x:f>IF(C1472="","",IF(AND(R1472="Valid",OR(P1472="Pass",P1472="N/A")),"Complete","Unresolved"))</x:f>
      </x:c>
      <x:c r="R1472" s="9" t="str">
        <x:f>IF(C1472="","",IF(OR(COUNTIF($C$9:$C$2008,C1472)&lt;&gt;1,COUNTIFS($D$9:$D$2008,D1472,$E$9:$E$2008,E1472)&lt;&gt;1),"Duplicate test",IF(COUNTIF('Taxonomy'!$C$9:$C$108,D1472)&lt;&gt;1,"Assessment key",IF(OR(COUNTIF('Taxonomy Rules'!$C$42:$C$68,E1472)&lt;&gt;1,F1472&lt;&gt;IFERROR(INDEX('Taxonomy Rules'!$D$42:$D$68,MATCH(E1472,'Taxonomy Rules'!$C$42:$C$68,0)),""),NOT(OR(IFERROR(INDEX('Taxonomy Rules'!$G$42:$G$68,MATCH(E1472,'Taxonomy Rules'!$C$42:$C$68,0)),"")="All supported routes",IFERROR(INDEX('Taxonomy Rules'!$G$42:$G$68,MATCH(E1472,'Taxonomy Rules'!$C$42:$C$68,0)),"")=U1472,AND(IFERROR(INDEX('Taxonomy Rules'!$G$42:$G$68,MATCH(E1472,'Taxonomy Rules'!$C$42:$C$68,0)),"")="Building routes",OR(U1472="Building renovation",U1472="New building",U1472="Building equipment"))))),"Unexpected test","Valid"))))</x:f>
      </x:c>
      <x:c r="S1472" s="9" t="str">
        <x:f>IF(C1472="","",IFERROR(INDEX('Taxonomy Rules'!$E$42:$E$68,MATCH(E1472,'Taxonomy Rules'!$C$42:$C$68,0)),""))</x:f>
      </x:c>
      <x:c r="T1472" s="9" t="str">
        <x:f>IF(C1472="","",IFERROR(INDEX('Taxonomy Rules'!$F$42:$F$68,MATCH(E1472,'Taxonomy Rules'!$C$42:$C$68,0)),""))</x:f>
      </x:c>
      <x:c r="U1472" s="9" t="str">
        <x:f>IF(C1472="","",IFERROR(INDEX('Taxonomy'!$G$9:$G$108,MATCH(D1472,'Taxonomy'!$C$9:$C$108,0)),""))</x:f>
      </x:c>
    </x:row>
    <x:row r="1473" ht="44" customHeight="1">
      <x:c r="A1473" s="1"/>
      <x:c r="B1473" s="1"/>
      <x:c r="C1473" s="8"/>
      <x:c r="D1473" s="8"/>
      <x:c r="E1473" s="8"/>
      <x:c r="F1473" s="8"/>
      <x:c r="G1473" s="8"/>
      <x:c r="H1473" s="8"/>
      <x:c r="I1473" s="8"/>
      <x:c r="J1473" s="8"/>
      <x:c r="K1473" s="8"/>
      <x:c r="L1473" s="8"/>
      <x:c r="M1473" s="10"/>
      <x:c r="N1473" s="10"/>
      <x:c r="O1473" s="8"/>
      <x:c r="P1473" s="9" t="str">
        <x:f>IF(C1473="","",IF(AND(G1473="Applicable",H1473="Fail"),"Fail",IF(R1473&lt;&gt;"Valid","Pending",IF(OR(I1473="",K1473="",L1473="",K1473=L1473,NOT(ISNUMBER(M1473)),NOT(ISNUMBER(N1473)),M1473&gt;Settings!$F$8,N1473&lt;Settings!$F$8,N1473&lt;M1473),"Pending",IF(AND(G1473="Applicable",H1473="Pass"),"Pass",IF(AND(G1473="N/A",H1473="N/A",J1473&lt;&gt;"",OR(E1473="CEM-FUELS",E1473="CEM-CCS",AND(E1473="CEM-PLAN",IFERROR(INDEX('Taxonomy'!$M$9:$M$108,MATCH(D1473,'Taxonomy'!$C$9:$C$108,0)),"")&lt;&gt;"Amber"),E1473="BLD-TIMBER",AND(U1473="Building equipment",OR(E1473="BLD-WATER",E1473="BLD-WASTE",E1473="BLD-LAND")),AND(U1473="Building renovation",E1473="BLD-LAND"))),"N/A","Pending"))))))</x:f>
      </x:c>
      <x:c r="Q1473" s="3" t="str">
        <x:f>IF(C1473="","",IF(AND(R1473="Valid",OR(P1473="Pass",P1473="N/A")),"Complete","Unresolved"))</x:f>
      </x:c>
      <x:c r="R1473" s="9" t="str">
        <x:f>IF(C1473="","",IF(OR(COUNTIF($C$9:$C$2008,C1473)&lt;&gt;1,COUNTIFS($D$9:$D$2008,D1473,$E$9:$E$2008,E1473)&lt;&gt;1),"Duplicate test",IF(COUNTIF('Taxonomy'!$C$9:$C$108,D1473)&lt;&gt;1,"Assessment key",IF(OR(COUNTIF('Taxonomy Rules'!$C$42:$C$68,E1473)&lt;&gt;1,F1473&lt;&gt;IFERROR(INDEX('Taxonomy Rules'!$D$42:$D$68,MATCH(E1473,'Taxonomy Rules'!$C$42:$C$68,0)),""),NOT(OR(IFERROR(INDEX('Taxonomy Rules'!$G$42:$G$68,MATCH(E1473,'Taxonomy Rules'!$C$42:$C$68,0)),"")="All supported routes",IFERROR(INDEX('Taxonomy Rules'!$G$42:$G$68,MATCH(E1473,'Taxonomy Rules'!$C$42:$C$68,0)),"")=U1473,AND(IFERROR(INDEX('Taxonomy Rules'!$G$42:$G$68,MATCH(E1473,'Taxonomy Rules'!$C$42:$C$68,0)),"")="Building routes",OR(U1473="Building renovation",U1473="New building",U1473="Building equipment"))))),"Unexpected test","Valid"))))</x:f>
      </x:c>
      <x:c r="S1473" s="9" t="str">
        <x:f>IF(C1473="","",IFERROR(INDEX('Taxonomy Rules'!$E$42:$E$68,MATCH(E1473,'Taxonomy Rules'!$C$42:$C$68,0)),""))</x:f>
      </x:c>
      <x:c r="T1473" s="9" t="str">
        <x:f>IF(C1473="","",IFERROR(INDEX('Taxonomy Rules'!$F$42:$F$68,MATCH(E1473,'Taxonomy Rules'!$C$42:$C$68,0)),""))</x:f>
      </x:c>
      <x:c r="U1473" s="9" t="str">
        <x:f>IF(C1473="","",IFERROR(INDEX('Taxonomy'!$G$9:$G$108,MATCH(D1473,'Taxonomy'!$C$9:$C$108,0)),""))</x:f>
      </x:c>
    </x:row>
    <x:row r="1474" ht="44" customHeight="1">
      <x:c r="A1474" s="1"/>
      <x:c r="B1474" s="1"/>
      <x:c r="C1474" s="8"/>
      <x:c r="D1474" s="8"/>
      <x:c r="E1474" s="8"/>
      <x:c r="F1474" s="8"/>
      <x:c r="G1474" s="8"/>
      <x:c r="H1474" s="8"/>
      <x:c r="I1474" s="8"/>
      <x:c r="J1474" s="8"/>
      <x:c r="K1474" s="8"/>
      <x:c r="L1474" s="8"/>
      <x:c r="M1474" s="10"/>
      <x:c r="N1474" s="10"/>
      <x:c r="O1474" s="8"/>
      <x:c r="P1474" s="9" t="str">
        <x:f>IF(C1474="","",IF(AND(G1474="Applicable",H1474="Fail"),"Fail",IF(R1474&lt;&gt;"Valid","Pending",IF(OR(I1474="",K1474="",L1474="",K1474=L1474,NOT(ISNUMBER(M1474)),NOT(ISNUMBER(N1474)),M1474&gt;Settings!$F$8,N1474&lt;Settings!$F$8,N1474&lt;M1474),"Pending",IF(AND(G1474="Applicable",H1474="Pass"),"Pass",IF(AND(G1474="N/A",H1474="N/A",J1474&lt;&gt;"",OR(E1474="CEM-FUELS",E1474="CEM-CCS",AND(E1474="CEM-PLAN",IFERROR(INDEX('Taxonomy'!$M$9:$M$108,MATCH(D1474,'Taxonomy'!$C$9:$C$108,0)),"")&lt;&gt;"Amber"),E1474="BLD-TIMBER",AND(U1474="Building equipment",OR(E1474="BLD-WATER",E1474="BLD-WASTE",E1474="BLD-LAND")),AND(U1474="Building renovation",E1474="BLD-LAND"))),"N/A","Pending"))))))</x:f>
      </x:c>
      <x:c r="Q1474" s="3" t="str">
        <x:f>IF(C1474="","",IF(AND(R1474="Valid",OR(P1474="Pass",P1474="N/A")),"Complete","Unresolved"))</x:f>
      </x:c>
      <x:c r="R1474" s="9" t="str">
        <x:f>IF(C1474="","",IF(OR(COUNTIF($C$9:$C$2008,C1474)&lt;&gt;1,COUNTIFS($D$9:$D$2008,D1474,$E$9:$E$2008,E1474)&lt;&gt;1),"Duplicate test",IF(COUNTIF('Taxonomy'!$C$9:$C$108,D1474)&lt;&gt;1,"Assessment key",IF(OR(COUNTIF('Taxonomy Rules'!$C$42:$C$68,E1474)&lt;&gt;1,F1474&lt;&gt;IFERROR(INDEX('Taxonomy Rules'!$D$42:$D$68,MATCH(E1474,'Taxonomy Rules'!$C$42:$C$68,0)),""),NOT(OR(IFERROR(INDEX('Taxonomy Rules'!$G$42:$G$68,MATCH(E1474,'Taxonomy Rules'!$C$42:$C$68,0)),"")="All supported routes",IFERROR(INDEX('Taxonomy Rules'!$G$42:$G$68,MATCH(E1474,'Taxonomy Rules'!$C$42:$C$68,0)),"")=U1474,AND(IFERROR(INDEX('Taxonomy Rules'!$G$42:$G$68,MATCH(E1474,'Taxonomy Rules'!$C$42:$C$68,0)),"")="Building routes",OR(U1474="Building renovation",U1474="New building",U1474="Building equipment"))))),"Unexpected test","Valid"))))</x:f>
      </x:c>
      <x:c r="S1474" s="9" t="str">
        <x:f>IF(C1474="","",IFERROR(INDEX('Taxonomy Rules'!$E$42:$E$68,MATCH(E1474,'Taxonomy Rules'!$C$42:$C$68,0)),""))</x:f>
      </x:c>
      <x:c r="T1474" s="9" t="str">
        <x:f>IF(C1474="","",IFERROR(INDEX('Taxonomy Rules'!$F$42:$F$68,MATCH(E1474,'Taxonomy Rules'!$C$42:$C$68,0)),""))</x:f>
      </x:c>
      <x:c r="U1474" s="9" t="str">
        <x:f>IF(C1474="","",IFERROR(INDEX('Taxonomy'!$G$9:$G$108,MATCH(D1474,'Taxonomy'!$C$9:$C$108,0)),""))</x:f>
      </x:c>
    </x:row>
    <x:row r="1475" ht="44" customHeight="1">
      <x:c r="A1475" s="1"/>
      <x:c r="B1475" s="1"/>
      <x:c r="C1475" s="8"/>
      <x:c r="D1475" s="8"/>
      <x:c r="E1475" s="8"/>
      <x:c r="F1475" s="8"/>
      <x:c r="G1475" s="8"/>
      <x:c r="H1475" s="8"/>
      <x:c r="I1475" s="8"/>
      <x:c r="J1475" s="8"/>
      <x:c r="K1475" s="8"/>
      <x:c r="L1475" s="8"/>
      <x:c r="M1475" s="10"/>
      <x:c r="N1475" s="10"/>
      <x:c r="O1475" s="8"/>
      <x:c r="P1475" s="9" t="str">
        <x:f>IF(C1475="","",IF(AND(G1475="Applicable",H1475="Fail"),"Fail",IF(R1475&lt;&gt;"Valid","Pending",IF(OR(I1475="",K1475="",L1475="",K1475=L1475,NOT(ISNUMBER(M1475)),NOT(ISNUMBER(N1475)),M1475&gt;Settings!$F$8,N1475&lt;Settings!$F$8,N1475&lt;M1475),"Pending",IF(AND(G1475="Applicable",H1475="Pass"),"Pass",IF(AND(G1475="N/A",H1475="N/A",J1475&lt;&gt;"",OR(E1475="CEM-FUELS",E1475="CEM-CCS",AND(E1475="CEM-PLAN",IFERROR(INDEX('Taxonomy'!$M$9:$M$108,MATCH(D1475,'Taxonomy'!$C$9:$C$108,0)),"")&lt;&gt;"Amber"),E1475="BLD-TIMBER",AND(U1475="Building equipment",OR(E1475="BLD-WATER",E1475="BLD-WASTE",E1475="BLD-LAND")),AND(U1475="Building renovation",E1475="BLD-LAND"))),"N/A","Pending"))))))</x:f>
      </x:c>
      <x:c r="Q1475" s="3" t="str">
        <x:f>IF(C1475="","",IF(AND(R1475="Valid",OR(P1475="Pass",P1475="N/A")),"Complete","Unresolved"))</x:f>
      </x:c>
      <x:c r="R1475" s="9" t="str">
        <x:f>IF(C1475="","",IF(OR(COUNTIF($C$9:$C$2008,C1475)&lt;&gt;1,COUNTIFS($D$9:$D$2008,D1475,$E$9:$E$2008,E1475)&lt;&gt;1),"Duplicate test",IF(COUNTIF('Taxonomy'!$C$9:$C$108,D1475)&lt;&gt;1,"Assessment key",IF(OR(COUNTIF('Taxonomy Rules'!$C$42:$C$68,E1475)&lt;&gt;1,F1475&lt;&gt;IFERROR(INDEX('Taxonomy Rules'!$D$42:$D$68,MATCH(E1475,'Taxonomy Rules'!$C$42:$C$68,0)),""),NOT(OR(IFERROR(INDEX('Taxonomy Rules'!$G$42:$G$68,MATCH(E1475,'Taxonomy Rules'!$C$42:$C$68,0)),"")="All supported routes",IFERROR(INDEX('Taxonomy Rules'!$G$42:$G$68,MATCH(E1475,'Taxonomy Rules'!$C$42:$C$68,0)),"")=U1475,AND(IFERROR(INDEX('Taxonomy Rules'!$G$42:$G$68,MATCH(E1475,'Taxonomy Rules'!$C$42:$C$68,0)),"")="Building routes",OR(U1475="Building renovation",U1475="New building",U1475="Building equipment"))))),"Unexpected test","Valid"))))</x:f>
      </x:c>
      <x:c r="S1475" s="9" t="str">
        <x:f>IF(C1475="","",IFERROR(INDEX('Taxonomy Rules'!$E$42:$E$68,MATCH(E1475,'Taxonomy Rules'!$C$42:$C$68,0)),""))</x:f>
      </x:c>
      <x:c r="T1475" s="9" t="str">
        <x:f>IF(C1475="","",IFERROR(INDEX('Taxonomy Rules'!$F$42:$F$68,MATCH(E1475,'Taxonomy Rules'!$C$42:$C$68,0)),""))</x:f>
      </x:c>
      <x:c r="U1475" s="9" t="str">
        <x:f>IF(C1475="","",IFERROR(INDEX('Taxonomy'!$G$9:$G$108,MATCH(D1475,'Taxonomy'!$C$9:$C$108,0)),""))</x:f>
      </x:c>
    </x:row>
    <x:row r="1476" ht="44" customHeight="1">
      <x:c r="A1476" s="1"/>
      <x:c r="B1476" s="1"/>
      <x:c r="C1476" s="8"/>
      <x:c r="D1476" s="8"/>
      <x:c r="E1476" s="8"/>
      <x:c r="F1476" s="8"/>
      <x:c r="G1476" s="8"/>
      <x:c r="H1476" s="8"/>
      <x:c r="I1476" s="8"/>
      <x:c r="J1476" s="8"/>
      <x:c r="K1476" s="8"/>
      <x:c r="L1476" s="8"/>
      <x:c r="M1476" s="10"/>
      <x:c r="N1476" s="10"/>
      <x:c r="O1476" s="8"/>
      <x:c r="P1476" s="9" t="str">
        <x:f>IF(C1476="","",IF(AND(G1476="Applicable",H1476="Fail"),"Fail",IF(R1476&lt;&gt;"Valid","Pending",IF(OR(I1476="",K1476="",L1476="",K1476=L1476,NOT(ISNUMBER(M1476)),NOT(ISNUMBER(N1476)),M1476&gt;Settings!$F$8,N1476&lt;Settings!$F$8,N1476&lt;M1476),"Pending",IF(AND(G1476="Applicable",H1476="Pass"),"Pass",IF(AND(G1476="N/A",H1476="N/A",J1476&lt;&gt;"",OR(E1476="CEM-FUELS",E1476="CEM-CCS",AND(E1476="CEM-PLAN",IFERROR(INDEX('Taxonomy'!$M$9:$M$108,MATCH(D1476,'Taxonomy'!$C$9:$C$108,0)),"")&lt;&gt;"Amber"),E1476="BLD-TIMBER",AND(U1476="Building equipment",OR(E1476="BLD-WATER",E1476="BLD-WASTE",E1476="BLD-LAND")),AND(U1476="Building renovation",E1476="BLD-LAND"))),"N/A","Pending"))))))</x:f>
      </x:c>
      <x:c r="Q1476" s="3" t="str">
        <x:f>IF(C1476="","",IF(AND(R1476="Valid",OR(P1476="Pass",P1476="N/A")),"Complete","Unresolved"))</x:f>
      </x:c>
      <x:c r="R1476" s="9" t="str">
        <x:f>IF(C1476="","",IF(OR(COUNTIF($C$9:$C$2008,C1476)&lt;&gt;1,COUNTIFS($D$9:$D$2008,D1476,$E$9:$E$2008,E1476)&lt;&gt;1),"Duplicate test",IF(COUNTIF('Taxonomy'!$C$9:$C$108,D1476)&lt;&gt;1,"Assessment key",IF(OR(COUNTIF('Taxonomy Rules'!$C$42:$C$68,E1476)&lt;&gt;1,F1476&lt;&gt;IFERROR(INDEX('Taxonomy Rules'!$D$42:$D$68,MATCH(E1476,'Taxonomy Rules'!$C$42:$C$68,0)),""),NOT(OR(IFERROR(INDEX('Taxonomy Rules'!$G$42:$G$68,MATCH(E1476,'Taxonomy Rules'!$C$42:$C$68,0)),"")="All supported routes",IFERROR(INDEX('Taxonomy Rules'!$G$42:$G$68,MATCH(E1476,'Taxonomy Rules'!$C$42:$C$68,0)),"")=U1476,AND(IFERROR(INDEX('Taxonomy Rules'!$G$42:$G$68,MATCH(E1476,'Taxonomy Rules'!$C$42:$C$68,0)),"")="Building routes",OR(U1476="Building renovation",U1476="New building",U1476="Building equipment"))))),"Unexpected test","Valid"))))</x:f>
      </x:c>
      <x:c r="S1476" s="9" t="str">
        <x:f>IF(C1476="","",IFERROR(INDEX('Taxonomy Rules'!$E$42:$E$68,MATCH(E1476,'Taxonomy Rules'!$C$42:$C$68,0)),""))</x:f>
      </x:c>
      <x:c r="T1476" s="9" t="str">
        <x:f>IF(C1476="","",IFERROR(INDEX('Taxonomy Rules'!$F$42:$F$68,MATCH(E1476,'Taxonomy Rules'!$C$42:$C$68,0)),""))</x:f>
      </x:c>
      <x:c r="U1476" s="9" t="str">
        <x:f>IF(C1476="","",IFERROR(INDEX('Taxonomy'!$G$9:$G$108,MATCH(D1476,'Taxonomy'!$C$9:$C$108,0)),""))</x:f>
      </x:c>
    </x:row>
    <x:row r="1477" ht="44" customHeight="1">
      <x:c r="A1477" s="1"/>
      <x:c r="B1477" s="1"/>
      <x:c r="C1477" s="8"/>
      <x:c r="D1477" s="8"/>
      <x:c r="E1477" s="8"/>
      <x:c r="F1477" s="8"/>
      <x:c r="G1477" s="8"/>
      <x:c r="H1477" s="8"/>
      <x:c r="I1477" s="8"/>
      <x:c r="J1477" s="8"/>
      <x:c r="K1477" s="8"/>
      <x:c r="L1477" s="8"/>
      <x:c r="M1477" s="10"/>
      <x:c r="N1477" s="10"/>
      <x:c r="O1477" s="8"/>
      <x:c r="P1477" s="9" t="str">
        <x:f>IF(C1477="","",IF(AND(G1477="Applicable",H1477="Fail"),"Fail",IF(R1477&lt;&gt;"Valid","Pending",IF(OR(I1477="",K1477="",L1477="",K1477=L1477,NOT(ISNUMBER(M1477)),NOT(ISNUMBER(N1477)),M1477&gt;Settings!$F$8,N1477&lt;Settings!$F$8,N1477&lt;M1477),"Pending",IF(AND(G1477="Applicable",H1477="Pass"),"Pass",IF(AND(G1477="N/A",H1477="N/A",J1477&lt;&gt;"",OR(E1477="CEM-FUELS",E1477="CEM-CCS",AND(E1477="CEM-PLAN",IFERROR(INDEX('Taxonomy'!$M$9:$M$108,MATCH(D1477,'Taxonomy'!$C$9:$C$108,0)),"")&lt;&gt;"Amber"),E1477="BLD-TIMBER",AND(U1477="Building equipment",OR(E1477="BLD-WATER",E1477="BLD-WASTE",E1477="BLD-LAND")),AND(U1477="Building renovation",E1477="BLD-LAND"))),"N/A","Pending"))))))</x:f>
      </x:c>
      <x:c r="Q1477" s="3" t="str">
        <x:f>IF(C1477="","",IF(AND(R1477="Valid",OR(P1477="Pass",P1477="N/A")),"Complete","Unresolved"))</x:f>
      </x:c>
      <x:c r="R1477" s="9" t="str">
        <x:f>IF(C1477="","",IF(OR(COUNTIF($C$9:$C$2008,C1477)&lt;&gt;1,COUNTIFS($D$9:$D$2008,D1477,$E$9:$E$2008,E1477)&lt;&gt;1),"Duplicate test",IF(COUNTIF('Taxonomy'!$C$9:$C$108,D1477)&lt;&gt;1,"Assessment key",IF(OR(COUNTIF('Taxonomy Rules'!$C$42:$C$68,E1477)&lt;&gt;1,F1477&lt;&gt;IFERROR(INDEX('Taxonomy Rules'!$D$42:$D$68,MATCH(E1477,'Taxonomy Rules'!$C$42:$C$68,0)),""),NOT(OR(IFERROR(INDEX('Taxonomy Rules'!$G$42:$G$68,MATCH(E1477,'Taxonomy Rules'!$C$42:$C$68,0)),"")="All supported routes",IFERROR(INDEX('Taxonomy Rules'!$G$42:$G$68,MATCH(E1477,'Taxonomy Rules'!$C$42:$C$68,0)),"")=U1477,AND(IFERROR(INDEX('Taxonomy Rules'!$G$42:$G$68,MATCH(E1477,'Taxonomy Rules'!$C$42:$C$68,0)),"")="Building routes",OR(U1477="Building renovation",U1477="New building",U1477="Building equipment"))))),"Unexpected test","Valid"))))</x:f>
      </x:c>
      <x:c r="S1477" s="9" t="str">
        <x:f>IF(C1477="","",IFERROR(INDEX('Taxonomy Rules'!$E$42:$E$68,MATCH(E1477,'Taxonomy Rules'!$C$42:$C$68,0)),""))</x:f>
      </x:c>
      <x:c r="T1477" s="9" t="str">
        <x:f>IF(C1477="","",IFERROR(INDEX('Taxonomy Rules'!$F$42:$F$68,MATCH(E1477,'Taxonomy Rules'!$C$42:$C$68,0)),""))</x:f>
      </x:c>
      <x:c r="U1477" s="9" t="str">
        <x:f>IF(C1477="","",IFERROR(INDEX('Taxonomy'!$G$9:$G$108,MATCH(D1477,'Taxonomy'!$C$9:$C$108,0)),""))</x:f>
      </x:c>
    </x:row>
    <x:row r="1478" ht="44" customHeight="1">
      <x:c r="A1478" s="1"/>
      <x:c r="B1478" s="1"/>
      <x:c r="C1478" s="8"/>
      <x:c r="D1478" s="8"/>
      <x:c r="E1478" s="8"/>
      <x:c r="F1478" s="8"/>
      <x:c r="G1478" s="8"/>
      <x:c r="H1478" s="8"/>
      <x:c r="I1478" s="8"/>
      <x:c r="J1478" s="8"/>
      <x:c r="K1478" s="8"/>
      <x:c r="L1478" s="8"/>
      <x:c r="M1478" s="10"/>
      <x:c r="N1478" s="10"/>
      <x:c r="O1478" s="8"/>
      <x:c r="P1478" s="9" t="str">
        <x:f>IF(C1478="","",IF(AND(G1478="Applicable",H1478="Fail"),"Fail",IF(R1478&lt;&gt;"Valid","Pending",IF(OR(I1478="",K1478="",L1478="",K1478=L1478,NOT(ISNUMBER(M1478)),NOT(ISNUMBER(N1478)),M1478&gt;Settings!$F$8,N1478&lt;Settings!$F$8,N1478&lt;M1478),"Pending",IF(AND(G1478="Applicable",H1478="Pass"),"Pass",IF(AND(G1478="N/A",H1478="N/A",J1478&lt;&gt;"",OR(E1478="CEM-FUELS",E1478="CEM-CCS",AND(E1478="CEM-PLAN",IFERROR(INDEX('Taxonomy'!$M$9:$M$108,MATCH(D1478,'Taxonomy'!$C$9:$C$108,0)),"")&lt;&gt;"Amber"),E1478="BLD-TIMBER",AND(U1478="Building equipment",OR(E1478="BLD-WATER",E1478="BLD-WASTE",E1478="BLD-LAND")),AND(U1478="Building renovation",E1478="BLD-LAND"))),"N/A","Pending"))))))</x:f>
      </x:c>
      <x:c r="Q1478" s="3" t="str">
        <x:f>IF(C1478="","",IF(AND(R1478="Valid",OR(P1478="Pass",P1478="N/A")),"Complete","Unresolved"))</x:f>
      </x:c>
      <x:c r="R1478" s="9" t="str">
        <x:f>IF(C1478="","",IF(OR(COUNTIF($C$9:$C$2008,C1478)&lt;&gt;1,COUNTIFS($D$9:$D$2008,D1478,$E$9:$E$2008,E1478)&lt;&gt;1),"Duplicate test",IF(COUNTIF('Taxonomy'!$C$9:$C$108,D1478)&lt;&gt;1,"Assessment key",IF(OR(COUNTIF('Taxonomy Rules'!$C$42:$C$68,E1478)&lt;&gt;1,F1478&lt;&gt;IFERROR(INDEX('Taxonomy Rules'!$D$42:$D$68,MATCH(E1478,'Taxonomy Rules'!$C$42:$C$68,0)),""),NOT(OR(IFERROR(INDEX('Taxonomy Rules'!$G$42:$G$68,MATCH(E1478,'Taxonomy Rules'!$C$42:$C$68,0)),"")="All supported routes",IFERROR(INDEX('Taxonomy Rules'!$G$42:$G$68,MATCH(E1478,'Taxonomy Rules'!$C$42:$C$68,0)),"")=U1478,AND(IFERROR(INDEX('Taxonomy Rules'!$G$42:$G$68,MATCH(E1478,'Taxonomy Rules'!$C$42:$C$68,0)),"")="Building routes",OR(U1478="Building renovation",U1478="New building",U1478="Building equipment"))))),"Unexpected test","Valid"))))</x:f>
      </x:c>
      <x:c r="S1478" s="9" t="str">
        <x:f>IF(C1478="","",IFERROR(INDEX('Taxonomy Rules'!$E$42:$E$68,MATCH(E1478,'Taxonomy Rules'!$C$42:$C$68,0)),""))</x:f>
      </x:c>
      <x:c r="T1478" s="9" t="str">
        <x:f>IF(C1478="","",IFERROR(INDEX('Taxonomy Rules'!$F$42:$F$68,MATCH(E1478,'Taxonomy Rules'!$C$42:$C$68,0)),""))</x:f>
      </x:c>
      <x:c r="U1478" s="9" t="str">
        <x:f>IF(C1478="","",IFERROR(INDEX('Taxonomy'!$G$9:$G$108,MATCH(D1478,'Taxonomy'!$C$9:$C$108,0)),""))</x:f>
      </x:c>
    </x:row>
    <x:row r="1479" ht="44" customHeight="1">
      <x:c r="A1479" s="1"/>
      <x:c r="B1479" s="1"/>
      <x:c r="C1479" s="8"/>
      <x:c r="D1479" s="8"/>
      <x:c r="E1479" s="8"/>
      <x:c r="F1479" s="8"/>
      <x:c r="G1479" s="8"/>
      <x:c r="H1479" s="8"/>
      <x:c r="I1479" s="8"/>
      <x:c r="J1479" s="8"/>
      <x:c r="K1479" s="8"/>
      <x:c r="L1479" s="8"/>
      <x:c r="M1479" s="10"/>
      <x:c r="N1479" s="10"/>
      <x:c r="O1479" s="8"/>
      <x:c r="P1479" s="9" t="str">
        <x:f>IF(C1479="","",IF(AND(G1479="Applicable",H1479="Fail"),"Fail",IF(R1479&lt;&gt;"Valid","Pending",IF(OR(I1479="",K1479="",L1479="",K1479=L1479,NOT(ISNUMBER(M1479)),NOT(ISNUMBER(N1479)),M1479&gt;Settings!$F$8,N1479&lt;Settings!$F$8,N1479&lt;M1479),"Pending",IF(AND(G1479="Applicable",H1479="Pass"),"Pass",IF(AND(G1479="N/A",H1479="N/A",J1479&lt;&gt;"",OR(E1479="CEM-FUELS",E1479="CEM-CCS",AND(E1479="CEM-PLAN",IFERROR(INDEX('Taxonomy'!$M$9:$M$108,MATCH(D1479,'Taxonomy'!$C$9:$C$108,0)),"")&lt;&gt;"Amber"),E1479="BLD-TIMBER",AND(U1479="Building equipment",OR(E1479="BLD-WATER",E1479="BLD-WASTE",E1479="BLD-LAND")),AND(U1479="Building renovation",E1479="BLD-LAND"))),"N/A","Pending"))))))</x:f>
      </x:c>
      <x:c r="Q1479" s="3" t="str">
        <x:f>IF(C1479="","",IF(AND(R1479="Valid",OR(P1479="Pass",P1479="N/A")),"Complete","Unresolved"))</x:f>
      </x:c>
      <x:c r="R1479" s="9" t="str">
        <x:f>IF(C1479="","",IF(OR(COUNTIF($C$9:$C$2008,C1479)&lt;&gt;1,COUNTIFS($D$9:$D$2008,D1479,$E$9:$E$2008,E1479)&lt;&gt;1),"Duplicate test",IF(COUNTIF('Taxonomy'!$C$9:$C$108,D1479)&lt;&gt;1,"Assessment key",IF(OR(COUNTIF('Taxonomy Rules'!$C$42:$C$68,E1479)&lt;&gt;1,F1479&lt;&gt;IFERROR(INDEX('Taxonomy Rules'!$D$42:$D$68,MATCH(E1479,'Taxonomy Rules'!$C$42:$C$68,0)),""),NOT(OR(IFERROR(INDEX('Taxonomy Rules'!$G$42:$G$68,MATCH(E1479,'Taxonomy Rules'!$C$42:$C$68,0)),"")="All supported routes",IFERROR(INDEX('Taxonomy Rules'!$G$42:$G$68,MATCH(E1479,'Taxonomy Rules'!$C$42:$C$68,0)),"")=U1479,AND(IFERROR(INDEX('Taxonomy Rules'!$G$42:$G$68,MATCH(E1479,'Taxonomy Rules'!$C$42:$C$68,0)),"")="Building routes",OR(U1479="Building renovation",U1479="New building",U1479="Building equipment"))))),"Unexpected test","Valid"))))</x:f>
      </x:c>
      <x:c r="S1479" s="9" t="str">
        <x:f>IF(C1479="","",IFERROR(INDEX('Taxonomy Rules'!$E$42:$E$68,MATCH(E1479,'Taxonomy Rules'!$C$42:$C$68,0)),""))</x:f>
      </x:c>
      <x:c r="T1479" s="9" t="str">
        <x:f>IF(C1479="","",IFERROR(INDEX('Taxonomy Rules'!$F$42:$F$68,MATCH(E1479,'Taxonomy Rules'!$C$42:$C$68,0)),""))</x:f>
      </x:c>
      <x:c r="U1479" s="9" t="str">
        <x:f>IF(C1479="","",IFERROR(INDEX('Taxonomy'!$G$9:$G$108,MATCH(D1479,'Taxonomy'!$C$9:$C$108,0)),""))</x:f>
      </x:c>
    </x:row>
    <x:row r="1480" ht="44" customHeight="1">
      <x:c r="A1480" s="1"/>
      <x:c r="B1480" s="1"/>
      <x:c r="C1480" s="8"/>
      <x:c r="D1480" s="8"/>
      <x:c r="E1480" s="8"/>
      <x:c r="F1480" s="8"/>
      <x:c r="G1480" s="8"/>
      <x:c r="H1480" s="8"/>
      <x:c r="I1480" s="8"/>
      <x:c r="J1480" s="8"/>
      <x:c r="K1480" s="8"/>
      <x:c r="L1480" s="8"/>
      <x:c r="M1480" s="10"/>
      <x:c r="N1480" s="10"/>
      <x:c r="O1480" s="8"/>
      <x:c r="P1480" s="9" t="str">
        <x:f>IF(C1480="","",IF(AND(G1480="Applicable",H1480="Fail"),"Fail",IF(R1480&lt;&gt;"Valid","Pending",IF(OR(I1480="",K1480="",L1480="",K1480=L1480,NOT(ISNUMBER(M1480)),NOT(ISNUMBER(N1480)),M1480&gt;Settings!$F$8,N1480&lt;Settings!$F$8,N1480&lt;M1480),"Pending",IF(AND(G1480="Applicable",H1480="Pass"),"Pass",IF(AND(G1480="N/A",H1480="N/A",J1480&lt;&gt;"",OR(E1480="CEM-FUELS",E1480="CEM-CCS",AND(E1480="CEM-PLAN",IFERROR(INDEX('Taxonomy'!$M$9:$M$108,MATCH(D1480,'Taxonomy'!$C$9:$C$108,0)),"")&lt;&gt;"Amber"),E1480="BLD-TIMBER",AND(U1480="Building equipment",OR(E1480="BLD-WATER",E1480="BLD-WASTE",E1480="BLD-LAND")),AND(U1480="Building renovation",E1480="BLD-LAND"))),"N/A","Pending"))))))</x:f>
      </x:c>
      <x:c r="Q1480" s="3" t="str">
        <x:f>IF(C1480="","",IF(AND(R1480="Valid",OR(P1480="Pass",P1480="N/A")),"Complete","Unresolved"))</x:f>
      </x:c>
      <x:c r="R1480" s="9" t="str">
        <x:f>IF(C1480="","",IF(OR(COUNTIF($C$9:$C$2008,C1480)&lt;&gt;1,COUNTIFS($D$9:$D$2008,D1480,$E$9:$E$2008,E1480)&lt;&gt;1),"Duplicate test",IF(COUNTIF('Taxonomy'!$C$9:$C$108,D1480)&lt;&gt;1,"Assessment key",IF(OR(COUNTIF('Taxonomy Rules'!$C$42:$C$68,E1480)&lt;&gt;1,F1480&lt;&gt;IFERROR(INDEX('Taxonomy Rules'!$D$42:$D$68,MATCH(E1480,'Taxonomy Rules'!$C$42:$C$68,0)),""),NOT(OR(IFERROR(INDEX('Taxonomy Rules'!$G$42:$G$68,MATCH(E1480,'Taxonomy Rules'!$C$42:$C$68,0)),"")="All supported routes",IFERROR(INDEX('Taxonomy Rules'!$G$42:$G$68,MATCH(E1480,'Taxonomy Rules'!$C$42:$C$68,0)),"")=U1480,AND(IFERROR(INDEX('Taxonomy Rules'!$G$42:$G$68,MATCH(E1480,'Taxonomy Rules'!$C$42:$C$68,0)),"")="Building routes",OR(U1480="Building renovation",U1480="New building",U1480="Building equipment"))))),"Unexpected test","Valid"))))</x:f>
      </x:c>
      <x:c r="S1480" s="9" t="str">
        <x:f>IF(C1480="","",IFERROR(INDEX('Taxonomy Rules'!$E$42:$E$68,MATCH(E1480,'Taxonomy Rules'!$C$42:$C$68,0)),""))</x:f>
      </x:c>
      <x:c r="T1480" s="9" t="str">
        <x:f>IF(C1480="","",IFERROR(INDEX('Taxonomy Rules'!$F$42:$F$68,MATCH(E1480,'Taxonomy Rules'!$C$42:$C$68,0)),""))</x:f>
      </x:c>
      <x:c r="U1480" s="9" t="str">
        <x:f>IF(C1480="","",IFERROR(INDEX('Taxonomy'!$G$9:$G$108,MATCH(D1480,'Taxonomy'!$C$9:$C$108,0)),""))</x:f>
      </x:c>
    </x:row>
    <x:row r="1481" ht="44" customHeight="1">
      <x:c r="A1481" s="1"/>
      <x:c r="B1481" s="1"/>
      <x:c r="C1481" s="8"/>
      <x:c r="D1481" s="8"/>
      <x:c r="E1481" s="8"/>
      <x:c r="F1481" s="8"/>
      <x:c r="G1481" s="8"/>
      <x:c r="H1481" s="8"/>
      <x:c r="I1481" s="8"/>
      <x:c r="J1481" s="8"/>
      <x:c r="K1481" s="8"/>
      <x:c r="L1481" s="8"/>
      <x:c r="M1481" s="10"/>
      <x:c r="N1481" s="10"/>
      <x:c r="O1481" s="8"/>
      <x:c r="P1481" s="9" t="str">
        <x:f>IF(C1481="","",IF(AND(G1481="Applicable",H1481="Fail"),"Fail",IF(R1481&lt;&gt;"Valid","Pending",IF(OR(I1481="",K1481="",L1481="",K1481=L1481,NOT(ISNUMBER(M1481)),NOT(ISNUMBER(N1481)),M1481&gt;Settings!$F$8,N1481&lt;Settings!$F$8,N1481&lt;M1481),"Pending",IF(AND(G1481="Applicable",H1481="Pass"),"Pass",IF(AND(G1481="N/A",H1481="N/A",J1481&lt;&gt;"",OR(E1481="CEM-FUELS",E1481="CEM-CCS",AND(E1481="CEM-PLAN",IFERROR(INDEX('Taxonomy'!$M$9:$M$108,MATCH(D1481,'Taxonomy'!$C$9:$C$108,0)),"")&lt;&gt;"Amber"),E1481="BLD-TIMBER",AND(U1481="Building equipment",OR(E1481="BLD-WATER",E1481="BLD-WASTE",E1481="BLD-LAND")),AND(U1481="Building renovation",E1481="BLD-LAND"))),"N/A","Pending"))))))</x:f>
      </x:c>
      <x:c r="Q1481" s="3" t="str">
        <x:f>IF(C1481="","",IF(AND(R1481="Valid",OR(P1481="Pass",P1481="N/A")),"Complete","Unresolved"))</x:f>
      </x:c>
      <x:c r="R1481" s="9" t="str">
        <x:f>IF(C1481="","",IF(OR(COUNTIF($C$9:$C$2008,C1481)&lt;&gt;1,COUNTIFS($D$9:$D$2008,D1481,$E$9:$E$2008,E1481)&lt;&gt;1),"Duplicate test",IF(COUNTIF('Taxonomy'!$C$9:$C$108,D1481)&lt;&gt;1,"Assessment key",IF(OR(COUNTIF('Taxonomy Rules'!$C$42:$C$68,E1481)&lt;&gt;1,F1481&lt;&gt;IFERROR(INDEX('Taxonomy Rules'!$D$42:$D$68,MATCH(E1481,'Taxonomy Rules'!$C$42:$C$68,0)),""),NOT(OR(IFERROR(INDEX('Taxonomy Rules'!$G$42:$G$68,MATCH(E1481,'Taxonomy Rules'!$C$42:$C$68,0)),"")="All supported routes",IFERROR(INDEX('Taxonomy Rules'!$G$42:$G$68,MATCH(E1481,'Taxonomy Rules'!$C$42:$C$68,0)),"")=U1481,AND(IFERROR(INDEX('Taxonomy Rules'!$G$42:$G$68,MATCH(E1481,'Taxonomy Rules'!$C$42:$C$68,0)),"")="Building routes",OR(U1481="Building renovation",U1481="New building",U1481="Building equipment"))))),"Unexpected test","Valid"))))</x:f>
      </x:c>
      <x:c r="S1481" s="9" t="str">
        <x:f>IF(C1481="","",IFERROR(INDEX('Taxonomy Rules'!$E$42:$E$68,MATCH(E1481,'Taxonomy Rules'!$C$42:$C$68,0)),""))</x:f>
      </x:c>
      <x:c r="T1481" s="9" t="str">
        <x:f>IF(C1481="","",IFERROR(INDEX('Taxonomy Rules'!$F$42:$F$68,MATCH(E1481,'Taxonomy Rules'!$C$42:$C$68,0)),""))</x:f>
      </x:c>
      <x:c r="U1481" s="9" t="str">
        <x:f>IF(C1481="","",IFERROR(INDEX('Taxonomy'!$G$9:$G$108,MATCH(D1481,'Taxonomy'!$C$9:$C$108,0)),""))</x:f>
      </x:c>
    </x:row>
    <x:row r="1482" ht="44" customHeight="1">
      <x:c r="A1482" s="1"/>
      <x:c r="B1482" s="1"/>
      <x:c r="C1482" s="8"/>
      <x:c r="D1482" s="8"/>
      <x:c r="E1482" s="8"/>
      <x:c r="F1482" s="8"/>
      <x:c r="G1482" s="8"/>
      <x:c r="H1482" s="8"/>
      <x:c r="I1482" s="8"/>
      <x:c r="J1482" s="8"/>
      <x:c r="K1482" s="8"/>
      <x:c r="L1482" s="8"/>
      <x:c r="M1482" s="10"/>
      <x:c r="N1482" s="10"/>
      <x:c r="O1482" s="8"/>
      <x:c r="P1482" s="9" t="str">
        <x:f>IF(C1482="","",IF(AND(G1482="Applicable",H1482="Fail"),"Fail",IF(R1482&lt;&gt;"Valid","Pending",IF(OR(I1482="",K1482="",L1482="",K1482=L1482,NOT(ISNUMBER(M1482)),NOT(ISNUMBER(N1482)),M1482&gt;Settings!$F$8,N1482&lt;Settings!$F$8,N1482&lt;M1482),"Pending",IF(AND(G1482="Applicable",H1482="Pass"),"Pass",IF(AND(G1482="N/A",H1482="N/A",J1482&lt;&gt;"",OR(E1482="CEM-FUELS",E1482="CEM-CCS",AND(E1482="CEM-PLAN",IFERROR(INDEX('Taxonomy'!$M$9:$M$108,MATCH(D1482,'Taxonomy'!$C$9:$C$108,0)),"")&lt;&gt;"Amber"),E1482="BLD-TIMBER",AND(U1482="Building equipment",OR(E1482="BLD-WATER",E1482="BLD-WASTE",E1482="BLD-LAND")),AND(U1482="Building renovation",E1482="BLD-LAND"))),"N/A","Pending"))))))</x:f>
      </x:c>
      <x:c r="Q1482" s="3" t="str">
        <x:f>IF(C1482="","",IF(AND(R1482="Valid",OR(P1482="Pass",P1482="N/A")),"Complete","Unresolved"))</x:f>
      </x:c>
      <x:c r="R1482" s="9" t="str">
        <x:f>IF(C1482="","",IF(OR(COUNTIF($C$9:$C$2008,C1482)&lt;&gt;1,COUNTIFS($D$9:$D$2008,D1482,$E$9:$E$2008,E1482)&lt;&gt;1),"Duplicate test",IF(COUNTIF('Taxonomy'!$C$9:$C$108,D1482)&lt;&gt;1,"Assessment key",IF(OR(COUNTIF('Taxonomy Rules'!$C$42:$C$68,E1482)&lt;&gt;1,F1482&lt;&gt;IFERROR(INDEX('Taxonomy Rules'!$D$42:$D$68,MATCH(E1482,'Taxonomy Rules'!$C$42:$C$68,0)),""),NOT(OR(IFERROR(INDEX('Taxonomy Rules'!$G$42:$G$68,MATCH(E1482,'Taxonomy Rules'!$C$42:$C$68,0)),"")="All supported routes",IFERROR(INDEX('Taxonomy Rules'!$G$42:$G$68,MATCH(E1482,'Taxonomy Rules'!$C$42:$C$68,0)),"")=U1482,AND(IFERROR(INDEX('Taxonomy Rules'!$G$42:$G$68,MATCH(E1482,'Taxonomy Rules'!$C$42:$C$68,0)),"")="Building routes",OR(U1482="Building renovation",U1482="New building",U1482="Building equipment"))))),"Unexpected test","Valid"))))</x:f>
      </x:c>
      <x:c r="S1482" s="9" t="str">
        <x:f>IF(C1482="","",IFERROR(INDEX('Taxonomy Rules'!$E$42:$E$68,MATCH(E1482,'Taxonomy Rules'!$C$42:$C$68,0)),""))</x:f>
      </x:c>
      <x:c r="T1482" s="9" t="str">
        <x:f>IF(C1482="","",IFERROR(INDEX('Taxonomy Rules'!$F$42:$F$68,MATCH(E1482,'Taxonomy Rules'!$C$42:$C$68,0)),""))</x:f>
      </x:c>
      <x:c r="U1482" s="9" t="str">
        <x:f>IF(C1482="","",IFERROR(INDEX('Taxonomy'!$G$9:$G$108,MATCH(D1482,'Taxonomy'!$C$9:$C$108,0)),""))</x:f>
      </x:c>
    </x:row>
    <x:row r="1483" ht="44" customHeight="1">
      <x:c r="A1483" s="1"/>
      <x:c r="B1483" s="1"/>
      <x:c r="C1483" s="8"/>
      <x:c r="D1483" s="8"/>
      <x:c r="E1483" s="8"/>
      <x:c r="F1483" s="8"/>
      <x:c r="G1483" s="8"/>
      <x:c r="H1483" s="8"/>
      <x:c r="I1483" s="8"/>
      <x:c r="J1483" s="8"/>
      <x:c r="K1483" s="8"/>
      <x:c r="L1483" s="8"/>
      <x:c r="M1483" s="10"/>
      <x:c r="N1483" s="10"/>
      <x:c r="O1483" s="8"/>
      <x:c r="P1483" s="9" t="str">
        <x:f>IF(C1483="","",IF(AND(G1483="Applicable",H1483="Fail"),"Fail",IF(R1483&lt;&gt;"Valid","Pending",IF(OR(I1483="",K1483="",L1483="",K1483=L1483,NOT(ISNUMBER(M1483)),NOT(ISNUMBER(N1483)),M1483&gt;Settings!$F$8,N1483&lt;Settings!$F$8,N1483&lt;M1483),"Pending",IF(AND(G1483="Applicable",H1483="Pass"),"Pass",IF(AND(G1483="N/A",H1483="N/A",J1483&lt;&gt;"",OR(E1483="CEM-FUELS",E1483="CEM-CCS",AND(E1483="CEM-PLAN",IFERROR(INDEX('Taxonomy'!$M$9:$M$108,MATCH(D1483,'Taxonomy'!$C$9:$C$108,0)),"")&lt;&gt;"Amber"),E1483="BLD-TIMBER",AND(U1483="Building equipment",OR(E1483="BLD-WATER",E1483="BLD-WASTE",E1483="BLD-LAND")),AND(U1483="Building renovation",E1483="BLD-LAND"))),"N/A","Pending"))))))</x:f>
      </x:c>
      <x:c r="Q1483" s="3" t="str">
        <x:f>IF(C1483="","",IF(AND(R1483="Valid",OR(P1483="Pass",P1483="N/A")),"Complete","Unresolved"))</x:f>
      </x:c>
      <x:c r="R1483" s="9" t="str">
        <x:f>IF(C1483="","",IF(OR(COUNTIF($C$9:$C$2008,C1483)&lt;&gt;1,COUNTIFS($D$9:$D$2008,D1483,$E$9:$E$2008,E1483)&lt;&gt;1),"Duplicate test",IF(COUNTIF('Taxonomy'!$C$9:$C$108,D1483)&lt;&gt;1,"Assessment key",IF(OR(COUNTIF('Taxonomy Rules'!$C$42:$C$68,E1483)&lt;&gt;1,F1483&lt;&gt;IFERROR(INDEX('Taxonomy Rules'!$D$42:$D$68,MATCH(E1483,'Taxonomy Rules'!$C$42:$C$68,0)),""),NOT(OR(IFERROR(INDEX('Taxonomy Rules'!$G$42:$G$68,MATCH(E1483,'Taxonomy Rules'!$C$42:$C$68,0)),"")="All supported routes",IFERROR(INDEX('Taxonomy Rules'!$G$42:$G$68,MATCH(E1483,'Taxonomy Rules'!$C$42:$C$68,0)),"")=U1483,AND(IFERROR(INDEX('Taxonomy Rules'!$G$42:$G$68,MATCH(E1483,'Taxonomy Rules'!$C$42:$C$68,0)),"")="Building routes",OR(U1483="Building renovation",U1483="New building",U1483="Building equipment"))))),"Unexpected test","Valid"))))</x:f>
      </x:c>
      <x:c r="S1483" s="9" t="str">
        <x:f>IF(C1483="","",IFERROR(INDEX('Taxonomy Rules'!$E$42:$E$68,MATCH(E1483,'Taxonomy Rules'!$C$42:$C$68,0)),""))</x:f>
      </x:c>
      <x:c r="T1483" s="9" t="str">
        <x:f>IF(C1483="","",IFERROR(INDEX('Taxonomy Rules'!$F$42:$F$68,MATCH(E1483,'Taxonomy Rules'!$C$42:$C$68,0)),""))</x:f>
      </x:c>
      <x:c r="U1483" s="9" t="str">
        <x:f>IF(C1483="","",IFERROR(INDEX('Taxonomy'!$G$9:$G$108,MATCH(D1483,'Taxonomy'!$C$9:$C$108,0)),""))</x:f>
      </x:c>
    </x:row>
    <x:row r="1484" ht="44" customHeight="1">
      <x:c r="A1484" s="1"/>
      <x:c r="B1484" s="1"/>
      <x:c r="C1484" s="8"/>
      <x:c r="D1484" s="8"/>
      <x:c r="E1484" s="8"/>
      <x:c r="F1484" s="8"/>
      <x:c r="G1484" s="8"/>
      <x:c r="H1484" s="8"/>
      <x:c r="I1484" s="8"/>
      <x:c r="J1484" s="8"/>
      <x:c r="K1484" s="8"/>
      <x:c r="L1484" s="8"/>
      <x:c r="M1484" s="10"/>
      <x:c r="N1484" s="10"/>
      <x:c r="O1484" s="8"/>
      <x:c r="P1484" s="9" t="str">
        <x:f>IF(C1484="","",IF(AND(G1484="Applicable",H1484="Fail"),"Fail",IF(R1484&lt;&gt;"Valid","Pending",IF(OR(I1484="",K1484="",L1484="",K1484=L1484,NOT(ISNUMBER(M1484)),NOT(ISNUMBER(N1484)),M1484&gt;Settings!$F$8,N1484&lt;Settings!$F$8,N1484&lt;M1484),"Pending",IF(AND(G1484="Applicable",H1484="Pass"),"Pass",IF(AND(G1484="N/A",H1484="N/A",J1484&lt;&gt;"",OR(E1484="CEM-FUELS",E1484="CEM-CCS",AND(E1484="CEM-PLAN",IFERROR(INDEX('Taxonomy'!$M$9:$M$108,MATCH(D1484,'Taxonomy'!$C$9:$C$108,0)),"")&lt;&gt;"Amber"),E1484="BLD-TIMBER",AND(U1484="Building equipment",OR(E1484="BLD-WATER",E1484="BLD-WASTE",E1484="BLD-LAND")),AND(U1484="Building renovation",E1484="BLD-LAND"))),"N/A","Pending"))))))</x:f>
      </x:c>
      <x:c r="Q1484" s="3" t="str">
        <x:f>IF(C1484="","",IF(AND(R1484="Valid",OR(P1484="Pass",P1484="N/A")),"Complete","Unresolved"))</x:f>
      </x:c>
      <x:c r="R1484" s="9" t="str">
        <x:f>IF(C1484="","",IF(OR(COUNTIF($C$9:$C$2008,C1484)&lt;&gt;1,COUNTIFS($D$9:$D$2008,D1484,$E$9:$E$2008,E1484)&lt;&gt;1),"Duplicate test",IF(COUNTIF('Taxonomy'!$C$9:$C$108,D1484)&lt;&gt;1,"Assessment key",IF(OR(COUNTIF('Taxonomy Rules'!$C$42:$C$68,E1484)&lt;&gt;1,F1484&lt;&gt;IFERROR(INDEX('Taxonomy Rules'!$D$42:$D$68,MATCH(E1484,'Taxonomy Rules'!$C$42:$C$68,0)),""),NOT(OR(IFERROR(INDEX('Taxonomy Rules'!$G$42:$G$68,MATCH(E1484,'Taxonomy Rules'!$C$42:$C$68,0)),"")="All supported routes",IFERROR(INDEX('Taxonomy Rules'!$G$42:$G$68,MATCH(E1484,'Taxonomy Rules'!$C$42:$C$68,0)),"")=U1484,AND(IFERROR(INDEX('Taxonomy Rules'!$G$42:$G$68,MATCH(E1484,'Taxonomy Rules'!$C$42:$C$68,0)),"")="Building routes",OR(U1484="Building renovation",U1484="New building",U1484="Building equipment"))))),"Unexpected test","Valid"))))</x:f>
      </x:c>
      <x:c r="S1484" s="9" t="str">
        <x:f>IF(C1484="","",IFERROR(INDEX('Taxonomy Rules'!$E$42:$E$68,MATCH(E1484,'Taxonomy Rules'!$C$42:$C$68,0)),""))</x:f>
      </x:c>
      <x:c r="T1484" s="9" t="str">
        <x:f>IF(C1484="","",IFERROR(INDEX('Taxonomy Rules'!$F$42:$F$68,MATCH(E1484,'Taxonomy Rules'!$C$42:$C$68,0)),""))</x:f>
      </x:c>
      <x:c r="U1484" s="9" t="str">
        <x:f>IF(C1484="","",IFERROR(INDEX('Taxonomy'!$G$9:$G$108,MATCH(D1484,'Taxonomy'!$C$9:$C$108,0)),""))</x:f>
      </x:c>
    </x:row>
    <x:row r="1485" ht="44" customHeight="1">
      <x:c r="A1485" s="1"/>
      <x:c r="B1485" s="1"/>
      <x:c r="C1485" s="8"/>
      <x:c r="D1485" s="8"/>
      <x:c r="E1485" s="8"/>
      <x:c r="F1485" s="8"/>
      <x:c r="G1485" s="8"/>
      <x:c r="H1485" s="8"/>
      <x:c r="I1485" s="8"/>
      <x:c r="J1485" s="8"/>
      <x:c r="K1485" s="8"/>
      <x:c r="L1485" s="8"/>
      <x:c r="M1485" s="10"/>
      <x:c r="N1485" s="10"/>
      <x:c r="O1485" s="8"/>
      <x:c r="P1485" s="9" t="str">
        <x:f>IF(C1485="","",IF(AND(G1485="Applicable",H1485="Fail"),"Fail",IF(R1485&lt;&gt;"Valid","Pending",IF(OR(I1485="",K1485="",L1485="",K1485=L1485,NOT(ISNUMBER(M1485)),NOT(ISNUMBER(N1485)),M1485&gt;Settings!$F$8,N1485&lt;Settings!$F$8,N1485&lt;M1485),"Pending",IF(AND(G1485="Applicable",H1485="Pass"),"Pass",IF(AND(G1485="N/A",H1485="N/A",J1485&lt;&gt;"",OR(E1485="CEM-FUELS",E1485="CEM-CCS",AND(E1485="CEM-PLAN",IFERROR(INDEX('Taxonomy'!$M$9:$M$108,MATCH(D1485,'Taxonomy'!$C$9:$C$108,0)),"")&lt;&gt;"Amber"),E1485="BLD-TIMBER",AND(U1485="Building equipment",OR(E1485="BLD-WATER",E1485="BLD-WASTE",E1485="BLD-LAND")),AND(U1485="Building renovation",E1485="BLD-LAND"))),"N/A","Pending"))))))</x:f>
      </x:c>
      <x:c r="Q1485" s="3" t="str">
        <x:f>IF(C1485="","",IF(AND(R1485="Valid",OR(P1485="Pass",P1485="N/A")),"Complete","Unresolved"))</x:f>
      </x:c>
      <x:c r="R1485" s="9" t="str">
        <x:f>IF(C1485="","",IF(OR(COUNTIF($C$9:$C$2008,C1485)&lt;&gt;1,COUNTIFS($D$9:$D$2008,D1485,$E$9:$E$2008,E1485)&lt;&gt;1),"Duplicate test",IF(COUNTIF('Taxonomy'!$C$9:$C$108,D1485)&lt;&gt;1,"Assessment key",IF(OR(COUNTIF('Taxonomy Rules'!$C$42:$C$68,E1485)&lt;&gt;1,F1485&lt;&gt;IFERROR(INDEX('Taxonomy Rules'!$D$42:$D$68,MATCH(E1485,'Taxonomy Rules'!$C$42:$C$68,0)),""),NOT(OR(IFERROR(INDEX('Taxonomy Rules'!$G$42:$G$68,MATCH(E1485,'Taxonomy Rules'!$C$42:$C$68,0)),"")="All supported routes",IFERROR(INDEX('Taxonomy Rules'!$G$42:$G$68,MATCH(E1485,'Taxonomy Rules'!$C$42:$C$68,0)),"")=U1485,AND(IFERROR(INDEX('Taxonomy Rules'!$G$42:$G$68,MATCH(E1485,'Taxonomy Rules'!$C$42:$C$68,0)),"")="Building routes",OR(U1485="Building renovation",U1485="New building",U1485="Building equipment"))))),"Unexpected test","Valid"))))</x:f>
      </x:c>
      <x:c r="S1485" s="9" t="str">
        <x:f>IF(C1485="","",IFERROR(INDEX('Taxonomy Rules'!$E$42:$E$68,MATCH(E1485,'Taxonomy Rules'!$C$42:$C$68,0)),""))</x:f>
      </x:c>
      <x:c r="T1485" s="9" t="str">
        <x:f>IF(C1485="","",IFERROR(INDEX('Taxonomy Rules'!$F$42:$F$68,MATCH(E1485,'Taxonomy Rules'!$C$42:$C$68,0)),""))</x:f>
      </x:c>
      <x:c r="U1485" s="9" t="str">
        <x:f>IF(C1485="","",IFERROR(INDEX('Taxonomy'!$G$9:$G$108,MATCH(D1485,'Taxonomy'!$C$9:$C$108,0)),""))</x:f>
      </x:c>
    </x:row>
    <x:row r="1486" ht="44" customHeight="1">
      <x:c r="A1486" s="1"/>
      <x:c r="B1486" s="1"/>
      <x:c r="C1486" s="8"/>
      <x:c r="D1486" s="8"/>
      <x:c r="E1486" s="8"/>
      <x:c r="F1486" s="8"/>
      <x:c r="G1486" s="8"/>
      <x:c r="H1486" s="8"/>
      <x:c r="I1486" s="8"/>
      <x:c r="J1486" s="8"/>
      <x:c r="K1486" s="8"/>
      <x:c r="L1486" s="8"/>
      <x:c r="M1486" s="10"/>
      <x:c r="N1486" s="10"/>
      <x:c r="O1486" s="8"/>
      <x:c r="P1486" s="9" t="str">
        <x:f>IF(C1486="","",IF(AND(G1486="Applicable",H1486="Fail"),"Fail",IF(R1486&lt;&gt;"Valid","Pending",IF(OR(I1486="",K1486="",L1486="",K1486=L1486,NOT(ISNUMBER(M1486)),NOT(ISNUMBER(N1486)),M1486&gt;Settings!$F$8,N1486&lt;Settings!$F$8,N1486&lt;M1486),"Pending",IF(AND(G1486="Applicable",H1486="Pass"),"Pass",IF(AND(G1486="N/A",H1486="N/A",J1486&lt;&gt;"",OR(E1486="CEM-FUELS",E1486="CEM-CCS",AND(E1486="CEM-PLAN",IFERROR(INDEX('Taxonomy'!$M$9:$M$108,MATCH(D1486,'Taxonomy'!$C$9:$C$108,0)),"")&lt;&gt;"Amber"),E1486="BLD-TIMBER",AND(U1486="Building equipment",OR(E1486="BLD-WATER",E1486="BLD-WASTE",E1486="BLD-LAND")),AND(U1486="Building renovation",E1486="BLD-LAND"))),"N/A","Pending"))))))</x:f>
      </x:c>
      <x:c r="Q1486" s="3" t="str">
        <x:f>IF(C1486="","",IF(AND(R1486="Valid",OR(P1486="Pass",P1486="N/A")),"Complete","Unresolved"))</x:f>
      </x:c>
      <x:c r="R1486" s="9" t="str">
        <x:f>IF(C1486="","",IF(OR(COUNTIF($C$9:$C$2008,C1486)&lt;&gt;1,COUNTIFS($D$9:$D$2008,D1486,$E$9:$E$2008,E1486)&lt;&gt;1),"Duplicate test",IF(COUNTIF('Taxonomy'!$C$9:$C$108,D1486)&lt;&gt;1,"Assessment key",IF(OR(COUNTIF('Taxonomy Rules'!$C$42:$C$68,E1486)&lt;&gt;1,F1486&lt;&gt;IFERROR(INDEX('Taxonomy Rules'!$D$42:$D$68,MATCH(E1486,'Taxonomy Rules'!$C$42:$C$68,0)),""),NOT(OR(IFERROR(INDEX('Taxonomy Rules'!$G$42:$G$68,MATCH(E1486,'Taxonomy Rules'!$C$42:$C$68,0)),"")="All supported routes",IFERROR(INDEX('Taxonomy Rules'!$G$42:$G$68,MATCH(E1486,'Taxonomy Rules'!$C$42:$C$68,0)),"")=U1486,AND(IFERROR(INDEX('Taxonomy Rules'!$G$42:$G$68,MATCH(E1486,'Taxonomy Rules'!$C$42:$C$68,0)),"")="Building routes",OR(U1486="Building renovation",U1486="New building",U1486="Building equipment"))))),"Unexpected test","Valid"))))</x:f>
      </x:c>
      <x:c r="S1486" s="9" t="str">
        <x:f>IF(C1486="","",IFERROR(INDEX('Taxonomy Rules'!$E$42:$E$68,MATCH(E1486,'Taxonomy Rules'!$C$42:$C$68,0)),""))</x:f>
      </x:c>
      <x:c r="T1486" s="9" t="str">
        <x:f>IF(C1486="","",IFERROR(INDEX('Taxonomy Rules'!$F$42:$F$68,MATCH(E1486,'Taxonomy Rules'!$C$42:$C$68,0)),""))</x:f>
      </x:c>
      <x:c r="U1486" s="9" t="str">
        <x:f>IF(C1486="","",IFERROR(INDEX('Taxonomy'!$G$9:$G$108,MATCH(D1486,'Taxonomy'!$C$9:$C$108,0)),""))</x:f>
      </x:c>
    </x:row>
    <x:row r="1487" ht="44" customHeight="1">
      <x:c r="A1487" s="1"/>
      <x:c r="B1487" s="1"/>
      <x:c r="C1487" s="8"/>
      <x:c r="D1487" s="8"/>
      <x:c r="E1487" s="8"/>
      <x:c r="F1487" s="8"/>
      <x:c r="G1487" s="8"/>
      <x:c r="H1487" s="8"/>
      <x:c r="I1487" s="8"/>
      <x:c r="J1487" s="8"/>
      <x:c r="K1487" s="8"/>
      <x:c r="L1487" s="8"/>
      <x:c r="M1487" s="10"/>
      <x:c r="N1487" s="10"/>
      <x:c r="O1487" s="8"/>
      <x:c r="P1487" s="9" t="str">
        <x:f>IF(C1487="","",IF(AND(G1487="Applicable",H1487="Fail"),"Fail",IF(R1487&lt;&gt;"Valid","Pending",IF(OR(I1487="",K1487="",L1487="",K1487=L1487,NOT(ISNUMBER(M1487)),NOT(ISNUMBER(N1487)),M1487&gt;Settings!$F$8,N1487&lt;Settings!$F$8,N1487&lt;M1487),"Pending",IF(AND(G1487="Applicable",H1487="Pass"),"Pass",IF(AND(G1487="N/A",H1487="N/A",J1487&lt;&gt;"",OR(E1487="CEM-FUELS",E1487="CEM-CCS",AND(E1487="CEM-PLAN",IFERROR(INDEX('Taxonomy'!$M$9:$M$108,MATCH(D1487,'Taxonomy'!$C$9:$C$108,0)),"")&lt;&gt;"Amber"),E1487="BLD-TIMBER",AND(U1487="Building equipment",OR(E1487="BLD-WATER",E1487="BLD-WASTE",E1487="BLD-LAND")),AND(U1487="Building renovation",E1487="BLD-LAND"))),"N/A","Pending"))))))</x:f>
      </x:c>
      <x:c r="Q1487" s="3" t="str">
        <x:f>IF(C1487="","",IF(AND(R1487="Valid",OR(P1487="Pass",P1487="N/A")),"Complete","Unresolved"))</x:f>
      </x:c>
      <x:c r="R1487" s="9" t="str">
        <x:f>IF(C1487="","",IF(OR(COUNTIF($C$9:$C$2008,C1487)&lt;&gt;1,COUNTIFS($D$9:$D$2008,D1487,$E$9:$E$2008,E1487)&lt;&gt;1),"Duplicate test",IF(COUNTIF('Taxonomy'!$C$9:$C$108,D1487)&lt;&gt;1,"Assessment key",IF(OR(COUNTIF('Taxonomy Rules'!$C$42:$C$68,E1487)&lt;&gt;1,F1487&lt;&gt;IFERROR(INDEX('Taxonomy Rules'!$D$42:$D$68,MATCH(E1487,'Taxonomy Rules'!$C$42:$C$68,0)),""),NOT(OR(IFERROR(INDEX('Taxonomy Rules'!$G$42:$G$68,MATCH(E1487,'Taxonomy Rules'!$C$42:$C$68,0)),"")="All supported routes",IFERROR(INDEX('Taxonomy Rules'!$G$42:$G$68,MATCH(E1487,'Taxonomy Rules'!$C$42:$C$68,0)),"")=U1487,AND(IFERROR(INDEX('Taxonomy Rules'!$G$42:$G$68,MATCH(E1487,'Taxonomy Rules'!$C$42:$C$68,0)),"")="Building routes",OR(U1487="Building renovation",U1487="New building",U1487="Building equipment"))))),"Unexpected test","Valid"))))</x:f>
      </x:c>
      <x:c r="S1487" s="9" t="str">
        <x:f>IF(C1487="","",IFERROR(INDEX('Taxonomy Rules'!$E$42:$E$68,MATCH(E1487,'Taxonomy Rules'!$C$42:$C$68,0)),""))</x:f>
      </x:c>
      <x:c r="T1487" s="9" t="str">
        <x:f>IF(C1487="","",IFERROR(INDEX('Taxonomy Rules'!$F$42:$F$68,MATCH(E1487,'Taxonomy Rules'!$C$42:$C$68,0)),""))</x:f>
      </x:c>
      <x:c r="U1487" s="9" t="str">
        <x:f>IF(C1487="","",IFERROR(INDEX('Taxonomy'!$G$9:$G$108,MATCH(D1487,'Taxonomy'!$C$9:$C$108,0)),""))</x:f>
      </x:c>
    </x:row>
    <x:row r="1488" ht="44" customHeight="1">
      <x:c r="A1488" s="1"/>
      <x:c r="B1488" s="1"/>
      <x:c r="C1488" s="8"/>
      <x:c r="D1488" s="8"/>
      <x:c r="E1488" s="8"/>
      <x:c r="F1488" s="8"/>
      <x:c r="G1488" s="8"/>
      <x:c r="H1488" s="8"/>
      <x:c r="I1488" s="8"/>
      <x:c r="J1488" s="8"/>
      <x:c r="K1488" s="8"/>
      <x:c r="L1488" s="8"/>
      <x:c r="M1488" s="10"/>
      <x:c r="N1488" s="10"/>
      <x:c r="O1488" s="8"/>
      <x:c r="P1488" s="9" t="str">
        <x:f>IF(C1488="","",IF(AND(G1488="Applicable",H1488="Fail"),"Fail",IF(R1488&lt;&gt;"Valid","Pending",IF(OR(I1488="",K1488="",L1488="",K1488=L1488,NOT(ISNUMBER(M1488)),NOT(ISNUMBER(N1488)),M1488&gt;Settings!$F$8,N1488&lt;Settings!$F$8,N1488&lt;M1488),"Pending",IF(AND(G1488="Applicable",H1488="Pass"),"Pass",IF(AND(G1488="N/A",H1488="N/A",J1488&lt;&gt;"",OR(E1488="CEM-FUELS",E1488="CEM-CCS",AND(E1488="CEM-PLAN",IFERROR(INDEX('Taxonomy'!$M$9:$M$108,MATCH(D1488,'Taxonomy'!$C$9:$C$108,0)),"")&lt;&gt;"Amber"),E1488="BLD-TIMBER",AND(U1488="Building equipment",OR(E1488="BLD-WATER",E1488="BLD-WASTE",E1488="BLD-LAND")),AND(U1488="Building renovation",E1488="BLD-LAND"))),"N/A","Pending"))))))</x:f>
      </x:c>
      <x:c r="Q1488" s="3" t="str">
        <x:f>IF(C1488="","",IF(AND(R1488="Valid",OR(P1488="Pass",P1488="N/A")),"Complete","Unresolved"))</x:f>
      </x:c>
      <x:c r="R1488" s="9" t="str">
        <x:f>IF(C1488="","",IF(OR(COUNTIF($C$9:$C$2008,C1488)&lt;&gt;1,COUNTIFS($D$9:$D$2008,D1488,$E$9:$E$2008,E1488)&lt;&gt;1),"Duplicate test",IF(COUNTIF('Taxonomy'!$C$9:$C$108,D1488)&lt;&gt;1,"Assessment key",IF(OR(COUNTIF('Taxonomy Rules'!$C$42:$C$68,E1488)&lt;&gt;1,F1488&lt;&gt;IFERROR(INDEX('Taxonomy Rules'!$D$42:$D$68,MATCH(E1488,'Taxonomy Rules'!$C$42:$C$68,0)),""),NOT(OR(IFERROR(INDEX('Taxonomy Rules'!$G$42:$G$68,MATCH(E1488,'Taxonomy Rules'!$C$42:$C$68,0)),"")="All supported routes",IFERROR(INDEX('Taxonomy Rules'!$G$42:$G$68,MATCH(E1488,'Taxonomy Rules'!$C$42:$C$68,0)),"")=U1488,AND(IFERROR(INDEX('Taxonomy Rules'!$G$42:$G$68,MATCH(E1488,'Taxonomy Rules'!$C$42:$C$68,0)),"")="Building routes",OR(U1488="Building renovation",U1488="New building",U1488="Building equipment"))))),"Unexpected test","Valid"))))</x:f>
      </x:c>
      <x:c r="S1488" s="9" t="str">
        <x:f>IF(C1488="","",IFERROR(INDEX('Taxonomy Rules'!$E$42:$E$68,MATCH(E1488,'Taxonomy Rules'!$C$42:$C$68,0)),""))</x:f>
      </x:c>
      <x:c r="T1488" s="9" t="str">
        <x:f>IF(C1488="","",IFERROR(INDEX('Taxonomy Rules'!$F$42:$F$68,MATCH(E1488,'Taxonomy Rules'!$C$42:$C$68,0)),""))</x:f>
      </x:c>
      <x:c r="U1488" s="9" t="str">
        <x:f>IF(C1488="","",IFERROR(INDEX('Taxonomy'!$G$9:$G$108,MATCH(D1488,'Taxonomy'!$C$9:$C$108,0)),""))</x:f>
      </x:c>
    </x:row>
    <x:row r="1489" ht="44" customHeight="1">
      <x:c r="A1489" s="1"/>
      <x:c r="B1489" s="1"/>
      <x:c r="C1489" s="8"/>
      <x:c r="D1489" s="8"/>
      <x:c r="E1489" s="8"/>
      <x:c r="F1489" s="8"/>
      <x:c r="G1489" s="8"/>
      <x:c r="H1489" s="8"/>
      <x:c r="I1489" s="8"/>
      <x:c r="J1489" s="8"/>
      <x:c r="K1489" s="8"/>
      <x:c r="L1489" s="8"/>
      <x:c r="M1489" s="10"/>
      <x:c r="N1489" s="10"/>
      <x:c r="O1489" s="8"/>
      <x:c r="P1489" s="9" t="str">
        <x:f>IF(C1489="","",IF(AND(G1489="Applicable",H1489="Fail"),"Fail",IF(R1489&lt;&gt;"Valid","Pending",IF(OR(I1489="",K1489="",L1489="",K1489=L1489,NOT(ISNUMBER(M1489)),NOT(ISNUMBER(N1489)),M1489&gt;Settings!$F$8,N1489&lt;Settings!$F$8,N1489&lt;M1489),"Pending",IF(AND(G1489="Applicable",H1489="Pass"),"Pass",IF(AND(G1489="N/A",H1489="N/A",J1489&lt;&gt;"",OR(E1489="CEM-FUELS",E1489="CEM-CCS",AND(E1489="CEM-PLAN",IFERROR(INDEX('Taxonomy'!$M$9:$M$108,MATCH(D1489,'Taxonomy'!$C$9:$C$108,0)),"")&lt;&gt;"Amber"),E1489="BLD-TIMBER",AND(U1489="Building equipment",OR(E1489="BLD-WATER",E1489="BLD-WASTE",E1489="BLD-LAND")),AND(U1489="Building renovation",E1489="BLD-LAND"))),"N/A","Pending"))))))</x:f>
      </x:c>
      <x:c r="Q1489" s="3" t="str">
        <x:f>IF(C1489="","",IF(AND(R1489="Valid",OR(P1489="Pass",P1489="N/A")),"Complete","Unresolved"))</x:f>
      </x:c>
      <x:c r="R1489" s="9" t="str">
        <x:f>IF(C1489="","",IF(OR(COUNTIF($C$9:$C$2008,C1489)&lt;&gt;1,COUNTIFS($D$9:$D$2008,D1489,$E$9:$E$2008,E1489)&lt;&gt;1),"Duplicate test",IF(COUNTIF('Taxonomy'!$C$9:$C$108,D1489)&lt;&gt;1,"Assessment key",IF(OR(COUNTIF('Taxonomy Rules'!$C$42:$C$68,E1489)&lt;&gt;1,F1489&lt;&gt;IFERROR(INDEX('Taxonomy Rules'!$D$42:$D$68,MATCH(E1489,'Taxonomy Rules'!$C$42:$C$68,0)),""),NOT(OR(IFERROR(INDEX('Taxonomy Rules'!$G$42:$G$68,MATCH(E1489,'Taxonomy Rules'!$C$42:$C$68,0)),"")="All supported routes",IFERROR(INDEX('Taxonomy Rules'!$G$42:$G$68,MATCH(E1489,'Taxonomy Rules'!$C$42:$C$68,0)),"")=U1489,AND(IFERROR(INDEX('Taxonomy Rules'!$G$42:$G$68,MATCH(E1489,'Taxonomy Rules'!$C$42:$C$68,0)),"")="Building routes",OR(U1489="Building renovation",U1489="New building",U1489="Building equipment"))))),"Unexpected test","Valid"))))</x:f>
      </x:c>
      <x:c r="S1489" s="9" t="str">
        <x:f>IF(C1489="","",IFERROR(INDEX('Taxonomy Rules'!$E$42:$E$68,MATCH(E1489,'Taxonomy Rules'!$C$42:$C$68,0)),""))</x:f>
      </x:c>
      <x:c r="T1489" s="9" t="str">
        <x:f>IF(C1489="","",IFERROR(INDEX('Taxonomy Rules'!$F$42:$F$68,MATCH(E1489,'Taxonomy Rules'!$C$42:$C$68,0)),""))</x:f>
      </x:c>
      <x:c r="U1489" s="9" t="str">
        <x:f>IF(C1489="","",IFERROR(INDEX('Taxonomy'!$G$9:$G$108,MATCH(D1489,'Taxonomy'!$C$9:$C$108,0)),""))</x:f>
      </x:c>
    </x:row>
    <x:row r="1490" ht="44" customHeight="1">
      <x:c r="A1490" s="1"/>
      <x:c r="B1490" s="1"/>
      <x:c r="C1490" s="8"/>
      <x:c r="D1490" s="8"/>
      <x:c r="E1490" s="8"/>
      <x:c r="F1490" s="8"/>
      <x:c r="G1490" s="8"/>
      <x:c r="H1490" s="8"/>
      <x:c r="I1490" s="8"/>
      <x:c r="J1490" s="8"/>
      <x:c r="K1490" s="8"/>
      <x:c r="L1490" s="8"/>
      <x:c r="M1490" s="10"/>
      <x:c r="N1490" s="10"/>
      <x:c r="O1490" s="8"/>
      <x:c r="P1490" s="9" t="str">
        <x:f>IF(C1490="","",IF(AND(G1490="Applicable",H1490="Fail"),"Fail",IF(R1490&lt;&gt;"Valid","Pending",IF(OR(I1490="",K1490="",L1490="",K1490=L1490,NOT(ISNUMBER(M1490)),NOT(ISNUMBER(N1490)),M1490&gt;Settings!$F$8,N1490&lt;Settings!$F$8,N1490&lt;M1490),"Pending",IF(AND(G1490="Applicable",H1490="Pass"),"Pass",IF(AND(G1490="N/A",H1490="N/A",J1490&lt;&gt;"",OR(E1490="CEM-FUELS",E1490="CEM-CCS",AND(E1490="CEM-PLAN",IFERROR(INDEX('Taxonomy'!$M$9:$M$108,MATCH(D1490,'Taxonomy'!$C$9:$C$108,0)),"")&lt;&gt;"Amber"),E1490="BLD-TIMBER",AND(U1490="Building equipment",OR(E1490="BLD-WATER",E1490="BLD-WASTE",E1490="BLD-LAND")),AND(U1490="Building renovation",E1490="BLD-LAND"))),"N/A","Pending"))))))</x:f>
      </x:c>
      <x:c r="Q1490" s="3" t="str">
        <x:f>IF(C1490="","",IF(AND(R1490="Valid",OR(P1490="Pass",P1490="N/A")),"Complete","Unresolved"))</x:f>
      </x:c>
      <x:c r="R1490" s="9" t="str">
        <x:f>IF(C1490="","",IF(OR(COUNTIF($C$9:$C$2008,C1490)&lt;&gt;1,COUNTIFS($D$9:$D$2008,D1490,$E$9:$E$2008,E1490)&lt;&gt;1),"Duplicate test",IF(COUNTIF('Taxonomy'!$C$9:$C$108,D1490)&lt;&gt;1,"Assessment key",IF(OR(COUNTIF('Taxonomy Rules'!$C$42:$C$68,E1490)&lt;&gt;1,F1490&lt;&gt;IFERROR(INDEX('Taxonomy Rules'!$D$42:$D$68,MATCH(E1490,'Taxonomy Rules'!$C$42:$C$68,0)),""),NOT(OR(IFERROR(INDEX('Taxonomy Rules'!$G$42:$G$68,MATCH(E1490,'Taxonomy Rules'!$C$42:$C$68,0)),"")="All supported routes",IFERROR(INDEX('Taxonomy Rules'!$G$42:$G$68,MATCH(E1490,'Taxonomy Rules'!$C$42:$C$68,0)),"")=U1490,AND(IFERROR(INDEX('Taxonomy Rules'!$G$42:$G$68,MATCH(E1490,'Taxonomy Rules'!$C$42:$C$68,0)),"")="Building routes",OR(U1490="Building renovation",U1490="New building",U1490="Building equipment"))))),"Unexpected test","Valid"))))</x:f>
      </x:c>
      <x:c r="S1490" s="9" t="str">
        <x:f>IF(C1490="","",IFERROR(INDEX('Taxonomy Rules'!$E$42:$E$68,MATCH(E1490,'Taxonomy Rules'!$C$42:$C$68,0)),""))</x:f>
      </x:c>
      <x:c r="T1490" s="9" t="str">
        <x:f>IF(C1490="","",IFERROR(INDEX('Taxonomy Rules'!$F$42:$F$68,MATCH(E1490,'Taxonomy Rules'!$C$42:$C$68,0)),""))</x:f>
      </x:c>
      <x:c r="U1490" s="9" t="str">
        <x:f>IF(C1490="","",IFERROR(INDEX('Taxonomy'!$G$9:$G$108,MATCH(D1490,'Taxonomy'!$C$9:$C$108,0)),""))</x:f>
      </x:c>
    </x:row>
    <x:row r="1491" ht="44" customHeight="1">
      <x:c r="A1491" s="1"/>
      <x:c r="B1491" s="1"/>
      <x:c r="C1491" s="8"/>
      <x:c r="D1491" s="8"/>
      <x:c r="E1491" s="8"/>
      <x:c r="F1491" s="8"/>
      <x:c r="G1491" s="8"/>
      <x:c r="H1491" s="8"/>
      <x:c r="I1491" s="8"/>
      <x:c r="J1491" s="8"/>
      <x:c r="K1491" s="8"/>
      <x:c r="L1491" s="8"/>
      <x:c r="M1491" s="10"/>
      <x:c r="N1491" s="10"/>
      <x:c r="O1491" s="8"/>
      <x:c r="P1491" s="9" t="str">
        <x:f>IF(C1491="","",IF(AND(G1491="Applicable",H1491="Fail"),"Fail",IF(R1491&lt;&gt;"Valid","Pending",IF(OR(I1491="",K1491="",L1491="",K1491=L1491,NOT(ISNUMBER(M1491)),NOT(ISNUMBER(N1491)),M1491&gt;Settings!$F$8,N1491&lt;Settings!$F$8,N1491&lt;M1491),"Pending",IF(AND(G1491="Applicable",H1491="Pass"),"Pass",IF(AND(G1491="N/A",H1491="N/A",J1491&lt;&gt;"",OR(E1491="CEM-FUELS",E1491="CEM-CCS",AND(E1491="CEM-PLAN",IFERROR(INDEX('Taxonomy'!$M$9:$M$108,MATCH(D1491,'Taxonomy'!$C$9:$C$108,0)),"")&lt;&gt;"Amber"),E1491="BLD-TIMBER",AND(U1491="Building equipment",OR(E1491="BLD-WATER",E1491="BLD-WASTE",E1491="BLD-LAND")),AND(U1491="Building renovation",E1491="BLD-LAND"))),"N/A","Pending"))))))</x:f>
      </x:c>
      <x:c r="Q1491" s="3" t="str">
        <x:f>IF(C1491="","",IF(AND(R1491="Valid",OR(P1491="Pass",P1491="N/A")),"Complete","Unresolved"))</x:f>
      </x:c>
      <x:c r="R1491" s="9" t="str">
        <x:f>IF(C1491="","",IF(OR(COUNTIF($C$9:$C$2008,C1491)&lt;&gt;1,COUNTIFS($D$9:$D$2008,D1491,$E$9:$E$2008,E1491)&lt;&gt;1),"Duplicate test",IF(COUNTIF('Taxonomy'!$C$9:$C$108,D1491)&lt;&gt;1,"Assessment key",IF(OR(COUNTIF('Taxonomy Rules'!$C$42:$C$68,E1491)&lt;&gt;1,F1491&lt;&gt;IFERROR(INDEX('Taxonomy Rules'!$D$42:$D$68,MATCH(E1491,'Taxonomy Rules'!$C$42:$C$68,0)),""),NOT(OR(IFERROR(INDEX('Taxonomy Rules'!$G$42:$G$68,MATCH(E1491,'Taxonomy Rules'!$C$42:$C$68,0)),"")="All supported routes",IFERROR(INDEX('Taxonomy Rules'!$G$42:$G$68,MATCH(E1491,'Taxonomy Rules'!$C$42:$C$68,0)),"")=U1491,AND(IFERROR(INDEX('Taxonomy Rules'!$G$42:$G$68,MATCH(E1491,'Taxonomy Rules'!$C$42:$C$68,0)),"")="Building routes",OR(U1491="Building renovation",U1491="New building",U1491="Building equipment"))))),"Unexpected test","Valid"))))</x:f>
      </x:c>
      <x:c r="S1491" s="9" t="str">
        <x:f>IF(C1491="","",IFERROR(INDEX('Taxonomy Rules'!$E$42:$E$68,MATCH(E1491,'Taxonomy Rules'!$C$42:$C$68,0)),""))</x:f>
      </x:c>
      <x:c r="T1491" s="9" t="str">
        <x:f>IF(C1491="","",IFERROR(INDEX('Taxonomy Rules'!$F$42:$F$68,MATCH(E1491,'Taxonomy Rules'!$C$42:$C$68,0)),""))</x:f>
      </x:c>
      <x:c r="U1491" s="9" t="str">
        <x:f>IF(C1491="","",IFERROR(INDEX('Taxonomy'!$G$9:$G$108,MATCH(D1491,'Taxonomy'!$C$9:$C$108,0)),""))</x:f>
      </x:c>
    </x:row>
    <x:row r="1492" ht="44" customHeight="1">
      <x:c r="A1492" s="1"/>
      <x:c r="B1492" s="1"/>
      <x:c r="C1492" s="8"/>
      <x:c r="D1492" s="8"/>
      <x:c r="E1492" s="8"/>
      <x:c r="F1492" s="8"/>
      <x:c r="G1492" s="8"/>
      <x:c r="H1492" s="8"/>
      <x:c r="I1492" s="8"/>
      <x:c r="J1492" s="8"/>
      <x:c r="K1492" s="8"/>
      <x:c r="L1492" s="8"/>
      <x:c r="M1492" s="10"/>
      <x:c r="N1492" s="10"/>
      <x:c r="O1492" s="8"/>
      <x:c r="P1492" s="9" t="str">
        <x:f>IF(C1492="","",IF(AND(G1492="Applicable",H1492="Fail"),"Fail",IF(R1492&lt;&gt;"Valid","Pending",IF(OR(I1492="",K1492="",L1492="",K1492=L1492,NOT(ISNUMBER(M1492)),NOT(ISNUMBER(N1492)),M1492&gt;Settings!$F$8,N1492&lt;Settings!$F$8,N1492&lt;M1492),"Pending",IF(AND(G1492="Applicable",H1492="Pass"),"Pass",IF(AND(G1492="N/A",H1492="N/A",J1492&lt;&gt;"",OR(E1492="CEM-FUELS",E1492="CEM-CCS",AND(E1492="CEM-PLAN",IFERROR(INDEX('Taxonomy'!$M$9:$M$108,MATCH(D1492,'Taxonomy'!$C$9:$C$108,0)),"")&lt;&gt;"Amber"),E1492="BLD-TIMBER",AND(U1492="Building equipment",OR(E1492="BLD-WATER",E1492="BLD-WASTE",E1492="BLD-LAND")),AND(U1492="Building renovation",E1492="BLD-LAND"))),"N/A","Pending"))))))</x:f>
      </x:c>
      <x:c r="Q1492" s="3" t="str">
        <x:f>IF(C1492="","",IF(AND(R1492="Valid",OR(P1492="Pass",P1492="N/A")),"Complete","Unresolved"))</x:f>
      </x:c>
      <x:c r="R1492" s="9" t="str">
        <x:f>IF(C1492="","",IF(OR(COUNTIF($C$9:$C$2008,C1492)&lt;&gt;1,COUNTIFS($D$9:$D$2008,D1492,$E$9:$E$2008,E1492)&lt;&gt;1),"Duplicate test",IF(COUNTIF('Taxonomy'!$C$9:$C$108,D1492)&lt;&gt;1,"Assessment key",IF(OR(COUNTIF('Taxonomy Rules'!$C$42:$C$68,E1492)&lt;&gt;1,F1492&lt;&gt;IFERROR(INDEX('Taxonomy Rules'!$D$42:$D$68,MATCH(E1492,'Taxonomy Rules'!$C$42:$C$68,0)),""),NOT(OR(IFERROR(INDEX('Taxonomy Rules'!$G$42:$G$68,MATCH(E1492,'Taxonomy Rules'!$C$42:$C$68,0)),"")="All supported routes",IFERROR(INDEX('Taxonomy Rules'!$G$42:$G$68,MATCH(E1492,'Taxonomy Rules'!$C$42:$C$68,0)),"")=U1492,AND(IFERROR(INDEX('Taxonomy Rules'!$G$42:$G$68,MATCH(E1492,'Taxonomy Rules'!$C$42:$C$68,0)),"")="Building routes",OR(U1492="Building renovation",U1492="New building",U1492="Building equipment"))))),"Unexpected test","Valid"))))</x:f>
      </x:c>
      <x:c r="S1492" s="9" t="str">
        <x:f>IF(C1492="","",IFERROR(INDEX('Taxonomy Rules'!$E$42:$E$68,MATCH(E1492,'Taxonomy Rules'!$C$42:$C$68,0)),""))</x:f>
      </x:c>
      <x:c r="T1492" s="9" t="str">
        <x:f>IF(C1492="","",IFERROR(INDEX('Taxonomy Rules'!$F$42:$F$68,MATCH(E1492,'Taxonomy Rules'!$C$42:$C$68,0)),""))</x:f>
      </x:c>
      <x:c r="U1492" s="9" t="str">
        <x:f>IF(C1492="","",IFERROR(INDEX('Taxonomy'!$G$9:$G$108,MATCH(D1492,'Taxonomy'!$C$9:$C$108,0)),""))</x:f>
      </x:c>
    </x:row>
    <x:row r="1493" ht="44" customHeight="1">
      <x:c r="A1493" s="1"/>
      <x:c r="B1493" s="1"/>
      <x:c r="C1493" s="8"/>
      <x:c r="D1493" s="8"/>
      <x:c r="E1493" s="8"/>
      <x:c r="F1493" s="8"/>
      <x:c r="G1493" s="8"/>
      <x:c r="H1493" s="8"/>
      <x:c r="I1493" s="8"/>
      <x:c r="J1493" s="8"/>
      <x:c r="K1493" s="8"/>
      <x:c r="L1493" s="8"/>
      <x:c r="M1493" s="10"/>
      <x:c r="N1493" s="10"/>
      <x:c r="O1493" s="8"/>
      <x:c r="P1493" s="9" t="str">
        <x:f>IF(C1493="","",IF(AND(G1493="Applicable",H1493="Fail"),"Fail",IF(R1493&lt;&gt;"Valid","Pending",IF(OR(I1493="",K1493="",L1493="",K1493=L1493,NOT(ISNUMBER(M1493)),NOT(ISNUMBER(N1493)),M1493&gt;Settings!$F$8,N1493&lt;Settings!$F$8,N1493&lt;M1493),"Pending",IF(AND(G1493="Applicable",H1493="Pass"),"Pass",IF(AND(G1493="N/A",H1493="N/A",J1493&lt;&gt;"",OR(E1493="CEM-FUELS",E1493="CEM-CCS",AND(E1493="CEM-PLAN",IFERROR(INDEX('Taxonomy'!$M$9:$M$108,MATCH(D1493,'Taxonomy'!$C$9:$C$108,0)),"")&lt;&gt;"Amber"),E1493="BLD-TIMBER",AND(U1493="Building equipment",OR(E1493="BLD-WATER",E1493="BLD-WASTE",E1493="BLD-LAND")),AND(U1493="Building renovation",E1493="BLD-LAND"))),"N/A","Pending"))))))</x:f>
      </x:c>
      <x:c r="Q1493" s="3" t="str">
        <x:f>IF(C1493="","",IF(AND(R1493="Valid",OR(P1493="Pass",P1493="N/A")),"Complete","Unresolved"))</x:f>
      </x:c>
      <x:c r="R1493" s="9" t="str">
        <x:f>IF(C1493="","",IF(OR(COUNTIF($C$9:$C$2008,C1493)&lt;&gt;1,COUNTIFS($D$9:$D$2008,D1493,$E$9:$E$2008,E1493)&lt;&gt;1),"Duplicate test",IF(COUNTIF('Taxonomy'!$C$9:$C$108,D1493)&lt;&gt;1,"Assessment key",IF(OR(COUNTIF('Taxonomy Rules'!$C$42:$C$68,E1493)&lt;&gt;1,F1493&lt;&gt;IFERROR(INDEX('Taxonomy Rules'!$D$42:$D$68,MATCH(E1493,'Taxonomy Rules'!$C$42:$C$68,0)),""),NOT(OR(IFERROR(INDEX('Taxonomy Rules'!$G$42:$G$68,MATCH(E1493,'Taxonomy Rules'!$C$42:$C$68,0)),"")="All supported routes",IFERROR(INDEX('Taxonomy Rules'!$G$42:$G$68,MATCH(E1493,'Taxonomy Rules'!$C$42:$C$68,0)),"")=U1493,AND(IFERROR(INDEX('Taxonomy Rules'!$G$42:$G$68,MATCH(E1493,'Taxonomy Rules'!$C$42:$C$68,0)),"")="Building routes",OR(U1493="Building renovation",U1493="New building",U1493="Building equipment"))))),"Unexpected test","Valid"))))</x:f>
      </x:c>
      <x:c r="S1493" s="9" t="str">
        <x:f>IF(C1493="","",IFERROR(INDEX('Taxonomy Rules'!$E$42:$E$68,MATCH(E1493,'Taxonomy Rules'!$C$42:$C$68,0)),""))</x:f>
      </x:c>
      <x:c r="T1493" s="9" t="str">
        <x:f>IF(C1493="","",IFERROR(INDEX('Taxonomy Rules'!$F$42:$F$68,MATCH(E1493,'Taxonomy Rules'!$C$42:$C$68,0)),""))</x:f>
      </x:c>
      <x:c r="U1493" s="9" t="str">
        <x:f>IF(C1493="","",IFERROR(INDEX('Taxonomy'!$G$9:$G$108,MATCH(D1493,'Taxonomy'!$C$9:$C$108,0)),""))</x:f>
      </x:c>
    </x:row>
    <x:row r="1494" ht="44" customHeight="1">
      <x:c r="A1494" s="1"/>
      <x:c r="B1494" s="1"/>
      <x:c r="C1494" s="8"/>
      <x:c r="D1494" s="8"/>
      <x:c r="E1494" s="8"/>
      <x:c r="F1494" s="8"/>
      <x:c r="G1494" s="8"/>
      <x:c r="H1494" s="8"/>
      <x:c r="I1494" s="8"/>
      <x:c r="J1494" s="8"/>
      <x:c r="K1494" s="8"/>
      <x:c r="L1494" s="8"/>
      <x:c r="M1494" s="10"/>
      <x:c r="N1494" s="10"/>
      <x:c r="O1494" s="8"/>
      <x:c r="P1494" s="9" t="str">
        <x:f>IF(C1494="","",IF(AND(G1494="Applicable",H1494="Fail"),"Fail",IF(R1494&lt;&gt;"Valid","Pending",IF(OR(I1494="",K1494="",L1494="",K1494=L1494,NOT(ISNUMBER(M1494)),NOT(ISNUMBER(N1494)),M1494&gt;Settings!$F$8,N1494&lt;Settings!$F$8,N1494&lt;M1494),"Pending",IF(AND(G1494="Applicable",H1494="Pass"),"Pass",IF(AND(G1494="N/A",H1494="N/A",J1494&lt;&gt;"",OR(E1494="CEM-FUELS",E1494="CEM-CCS",AND(E1494="CEM-PLAN",IFERROR(INDEX('Taxonomy'!$M$9:$M$108,MATCH(D1494,'Taxonomy'!$C$9:$C$108,0)),"")&lt;&gt;"Amber"),E1494="BLD-TIMBER",AND(U1494="Building equipment",OR(E1494="BLD-WATER",E1494="BLD-WASTE",E1494="BLD-LAND")),AND(U1494="Building renovation",E1494="BLD-LAND"))),"N/A","Pending"))))))</x:f>
      </x:c>
      <x:c r="Q1494" s="3" t="str">
        <x:f>IF(C1494="","",IF(AND(R1494="Valid",OR(P1494="Pass",P1494="N/A")),"Complete","Unresolved"))</x:f>
      </x:c>
      <x:c r="R1494" s="9" t="str">
        <x:f>IF(C1494="","",IF(OR(COUNTIF($C$9:$C$2008,C1494)&lt;&gt;1,COUNTIFS($D$9:$D$2008,D1494,$E$9:$E$2008,E1494)&lt;&gt;1),"Duplicate test",IF(COUNTIF('Taxonomy'!$C$9:$C$108,D1494)&lt;&gt;1,"Assessment key",IF(OR(COUNTIF('Taxonomy Rules'!$C$42:$C$68,E1494)&lt;&gt;1,F1494&lt;&gt;IFERROR(INDEX('Taxonomy Rules'!$D$42:$D$68,MATCH(E1494,'Taxonomy Rules'!$C$42:$C$68,0)),""),NOT(OR(IFERROR(INDEX('Taxonomy Rules'!$G$42:$G$68,MATCH(E1494,'Taxonomy Rules'!$C$42:$C$68,0)),"")="All supported routes",IFERROR(INDEX('Taxonomy Rules'!$G$42:$G$68,MATCH(E1494,'Taxonomy Rules'!$C$42:$C$68,0)),"")=U1494,AND(IFERROR(INDEX('Taxonomy Rules'!$G$42:$G$68,MATCH(E1494,'Taxonomy Rules'!$C$42:$C$68,0)),"")="Building routes",OR(U1494="Building renovation",U1494="New building",U1494="Building equipment"))))),"Unexpected test","Valid"))))</x:f>
      </x:c>
      <x:c r="S1494" s="9" t="str">
        <x:f>IF(C1494="","",IFERROR(INDEX('Taxonomy Rules'!$E$42:$E$68,MATCH(E1494,'Taxonomy Rules'!$C$42:$C$68,0)),""))</x:f>
      </x:c>
      <x:c r="T1494" s="9" t="str">
        <x:f>IF(C1494="","",IFERROR(INDEX('Taxonomy Rules'!$F$42:$F$68,MATCH(E1494,'Taxonomy Rules'!$C$42:$C$68,0)),""))</x:f>
      </x:c>
      <x:c r="U1494" s="9" t="str">
        <x:f>IF(C1494="","",IFERROR(INDEX('Taxonomy'!$G$9:$G$108,MATCH(D1494,'Taxonomy'!$C$9:$C$108,0)),""))</x:f>
      </x:c>
    </x:row>
    <x:row r="1495" ht="44" customHeight="1">
      <x:c r="A1495" s="1"/>
      <x:c r="B1495" s="1"/>
      <x:c r="C1495" s="8"/>
      <x:c r="D1495" s="8"/>
      <x:c r="E1495" s="8"/>
      <x:c r="F1495" s="8"/>
      <x:c r="G1495" s="8"/>
      <x:c r="H1495" s="8"/>
      <x:c r="I1495" s="8"/>
      <x:c r="J1495" s="8"/>
      <x:c r="K1495" s="8"/>
      <x:c r="L1495" s="8"/>
      <x:c r="M1495" s="10"/>
      <x:c r="N1495" s="10"/>
      <x:c r="O1495" s="8"/>
      <x:c r="P1495" s="9" t="str">
        <x:f>IF(C1495="","",IF(AND(G1495="Applicable",H1495="Fail"),"Fail",IF(R1495&lt;&gt;"Valid","Pending",IF(OR(I1495="",K1495="",L1495="",K1495=L1495,NOT(ISNUMBER(M1495)),NOT(ISNUMBER(N1495)),M1495&gt;Settings!$F$8,N1495&lt;Settings!$F$8,N1495&lt;M1495),"Pending",IF(AND(G1495="Applicable",H1495="Pass"),"Pass",IF(AND(G1495="N/A",H1495="N/A",J1495&lt;&gt;"",OR(E1495="CEM-FUELS",E1495="CEM-CCS",AND(E1495="CEM-PLAN",IFERROR(INDEX('Taxonomy'!$M$9:$M$108,MATCH(D1495,'Taxonomy'!$C$9:$C$108,0)),"")&lt;&gt;"Amber"),E1495="BLD-TIMBER",AND(U1495="Building equipment",OR(E1495="BLD-WATER",E1495="BLD-WASTE",E1495="BLD-LAND")),AND(U1495="Building renovation",E1495="BLD-LAND"))),"N/A","Pending"))))))</x:f>
      </x:c>
      <x:c r="Q1495" s="3" t="str">
        <x:f>IF(C1495="","",IF(AND(R1495="Valid",OR(P1495="Pass",P1495="N/A")),"Complete","Unresolved"))</x:f>
      </x:c>
      <x:c r="R1495" s="9" t="str">
        <x:f>IF(C1495="","",IF(OR(COUNTIF($C$9:$C$2008,C1495)&lt;&gt;1,COUNTIFS($D$9:$D$2008,D1495,$E$9:$E$2008,E1495)&lt;&gt;1),"Duplicate test",IF(COUNTIF('Taxonomy'!$C$9:$C$108,D1495)&lt;&gt;1,"Assessment key",IF(OR(COUNTIF('Taxonomy Rules'!$C$42:$C$68,E1495)&lt;&gt;1,F1495&lt;&gt;IFERROR(INDEX('Taxonomy Rules'!$D$42:$D$68,MATCH(E1495,'Taxonomy Rules'!$C$42:$C$68,0)),""),NOT(OR(IFERROR(INDEX('Taxonomy Rules'!$G$42:$G$68,MATCH(E1495,'Taxonomy Rules'!$C$42:$C$68,0)),"")="All supported routes",IFERROR(INDEX('Taxonomy Rules'!$G$42:$G$68,MATCH(E1495,'Taxonomy Rules'!$C$42:$C$68,0)),"")=U1495,AND(IFERROR(INDEX('Taxonomy Rules'!$G$42:$G$68,MATCH(E1495,'Taxonomy Rules'!$C$42:$C$68,0)),"")="Building routes",OR(U1495="Building renovation",U1495="New building",U1495="Building equipment"))))),"Unexpected test","Valid"))))</x:f>
      </x:c>
      <x:c r="S1495" s="9" t="str">
        <x:f>IF(C1495="","",IFERROR(INDEX('Taxonomy Rules'!$E$42:$E$68,MATCH(E1495,'Taxonomy Rules'!$C$42:$C$68,0)),""))</x:f>
      </x:c>
      <x:c r="T1495" s="9" t="str">
        <x:f>IF(C1495="","",IFERROR(INDEX('Taxonomy Rules'!$F$42:$F$68,MATCH(E1495,'Taxonomy Rules'!$C$42:$C$68,0)),""))</x:f>
      </x:c>
      <x:c r="U1495" s="9" t="str">
        <x:f>IF(C1495="","",IFERROR(INDEX('Taxonomy'!$G$9:$G$108,MATCH(D1495,'Taxonomy'!$C$9:$C$108,0)),""))</x:f>
      </x:c>
    </x:row>
    <x:row r="1496" ht="44" customHeight="1">
      <x:c r="A1496" s="1"/>
      <x:c r="B1496" s="1"/>
      <x:c r="C1496" s="8"/>
      <x:c r="D1496" s="8"/>
      <x:c r="E1496" s="8"/>
      <x:c r="F1496" s="8"/>
      <x:c r="G1496" s="8"/>
      <x:c r="H1496" s="8"/>
      <x:c r="I1496" s="8"/>
      <x:c r="J1496" s="8"/>
      <x:c r="K1496" s="8"/>
      <x:c r="L1496" s="8"/>
      <x:c r="M1496" s="10"/>
      <x:c r="N1496" s="10"/>
      <x:c r="O1496" s="8"/>
      <x:c r="P1496" s="9" t="str">
        <x:f>IF(C1496="","",IF(AND(G1496="Applicable",H1496="Fail"),"Fail",IF(R1496&lt;&gt;"Valid","Pending",IF(OR(I1496="",K1496="",L1496="",K1496=L1496,NOT(ISNUMBER(M1496)),NOT(ISNUMBER(N1496)),M1496&gt;Settings!$F$8,N1496&lt;Settings!$F$8,N1496&lt;M1496),"Pending",IF(AND(G1496="Applicable",H1496="Pass"),"Pass",IF(AND(G1496="N/A",H1496="N/A",J1496&lt;&gt;"",OR(E1496="CEM-FUELS",E1496="CEM-CCS",AND(E1496="CEM-PLAN",IFERROR(INDEX('Taxonomy'!$M$9:$M$108,MATCH(D1496,'Taxonomy'!$C$9:$C$108,0)),"")&lt;&gt;"Amber"),E1496="BLD-TIMBER",AND(U1496="Building equipment",OR(E1496="BLD-WATER",E1496="BLD-WASTE",E1496="BLD-LAND")),AND(U1496="Building renovation",E1496="BLD-LAND"))),"N/A","Pending"))))))</x:f>
      </x:c>
      <x:c r="Q1496" s="3" t="str">
        <x:f>IF(C1496="","",IF(AND(R1496="Valid",OR(P1496="Pass",P1496="N/A")),"Complete","Unresolved"))</x:f>
      </x:c>
      <x:c r="R1496" s="9" t="str">
        <x:f>IF(C1496="","",IF(OR(COUNTIF($C$9:$C$2008,C1496)&lt;&gt;1,COUNTIFS($D$9:$D$2008,D1496,$E$9:$E$2008,E1496)&lt;&gt;1),"Duplicate test",IF(COUNTIF('Taxonomy'!$C$9:$C$108,D1496)&lt;&gt;1,"Assessment key",IF(OR(COUNTIF('Taxonomy Rules'!$C$42:$C$68,E1496)&lt;&gt;1,F1496&lt;&gt;IFERROR(INDEX('Taxonomy Rules'!$D$42:$D$68,MATCH(E1496,'Taxonomy Rules'!$C$42:$C$68,0)),""),NOT(OR(IFERROR(INDEX('Taxonomy Rules'!$G$42:$G$68,MATCH(E1496,'Taxonomy Rules'!$C$42:$C$68,0)),"")="All supported routes",IFERROR(INDEX('Taxonomy Rules'!$G$42:$G$68,MATCH(E1496,'Taxonomy Rules'!$C$42:$C$68,0)),"")=U1496,AND(IFERROR(INDEX('Taxonomy Rules'!$G$42:$G$68,MATCH(E1496,'Taxonomy Rules'!$C$42:$C$68,0)),"")="Building routes",OR(U1496="Building renovation",U1496="New building",U1496="Building equipment"))))),"Unexpected test","Valid"))))</x:f>
      </x:c>
      <x:c r="S1496" s="9" t="str">
        <x:f>IF(C1496="","",IFERROR(INDEX('Taxonomy Rules'!$E$42:$E$68,MATCH(E1496,'Taxonomy Rules'!$C$42:$C$68,0)),""))</x:f>
      </x:c>
      <x:c r="T1496" s="9" t="str">
        <x:f>IF(C1496="","",IFERROR(INDEX('Taxonomy Rules'!$F$42:$F$68,MATCH(E1496,'Taxonomy Rules'!$C$42:$C$68,0)),""))</x:f>
      </x:c>
      <x:c r="U1496" s="9" t="str">
        <x:f>IF(C1496="","",IFERROR(INDEX('Taxonomy'!$G$9:$G$108,MATCH(D1496,'Taxonomy'!$C$9:$C$108,0)),""))</x:f>
      </x:c>
    </x:row>
    <x:row r="1497" ht="44" customHeight="1">
      <x:c r="A1497" s="1"/>
      <x:c r="B1497" s="1"/>
      <x:c r="C1497" s="8"/>
      <x:c r="D1497" s="8"/>
      <x:c r="E1497" s="8"/>
      <x:c r="F1497" s="8"/>
      <x:c r="G1497" s="8"/>
      <x:c r="H1497" s="8"/>
      <x:c r="I1497" s="8"/>
      <x:c r="J1497" s="8"/>
      <x:c r="K1497" s="8"/>
      <x:c r="L1497" s="8"/>
      <x:c r="M1497" s="10"/>
      <x:c r="N1497" s="10"/>
      <x:c r="O1497" s="8"/>
      <x:c r="P1497" s="9" t="str">
        <x:f>IF(C1497="","",IF(AND(G1497="Applicable",H1497="Fail"),"Fail",IF(R1497&lt;&gt;"Valid","Pending",IF(OR(I1497="",K1497="",L1497="",K1497=L1497,NOT(ISNUMBER(M1497)),NOT(ISNUMBER(N1497)),M1497&gt;Settings!$F$8,N1497&lt;Settings!$F$8,N1497&lt;M1497),"Pending",IF(AND(G1497="Applicable",H1497="Pass"),"Pass",IF(AND(G1497="N/A",H1497="N/A",J1497&lt;&gt;"",OR(E1497="CEM-FUELS",E1497="CEM-CCS",AND(E1497="CEM-PLAN",IFERROR(INDEX('Taxonomy'!$M$9:$M$108,MATCH(D1497,'Taxonomy'!$C$9:$C$108,0)),"")&lt;&gt;"Amber"),E1497="BLD-TIMBER",AND(U1497="Building equipment",OR(E1497="BLD-WATER",E1497="BLD-WASTE",E1497="BLD-LAND")),AND(U1497="Building renovation",E1497="BLD-LAND"))),"N/A","Pending"))))))</x:f>
      </x:c>
      <x:c r="Q1497" s="3" t="str">
        <x:f>IF(C1497="","",IF(AND(R1497="Valid",OR(P1497="Pass",P1497="N/A")),"Complete","Unresolved"))</x:f>
      </x:c>
      <x:c r="R1497" s="9" t="str">
        <x:f>IF(C1497="","",IF(OR(COUNTIF($C$9:$C$2008,C1497)&lt;&gt;1,COUNTIFS($D$9:$D$2008,D1497,$E$9:$E$2008,E1497)&lt;&gt;1),"Duplicate test",IF(COUNTIF('Taxonomy'!$C$9:$C$108,D1497)&lt;&gt;1,"Assessment key",IF(OR(COUNTIF('Taxonomy Rules'!$C$42:$C$68,E1497)&lt;&gt;1,F1497&lt;&gt;IFERROR(INDEX('Taxonomy Rules'!$D$42:$D$68,MATCH(E1497,'Taxonomy Rules'!$C$42:$C$68,0)),""),NOT(OR(IFERROR(INDEX('Taxonomy Rules'!$G$42:$G$68,MATCH(E1497,'Taxonomy Rules'!$C$42:$C$68,0)),"")="All supported routes",IFERROR(INDEX('Taxonomy Rules'!$G$42:$G$68,MATCH(E1497,'Taxonomy Rules'!$C$42:$C$68,0)),"")=U1497,AND(IFERROR(INDEX('Taxonomy Rules'!$G$42:$G$68,MATCH(E1497,'Taxonomy Rules'!$C$42:$C$68,0)),"")="Building routes",OR(U1497="Building renovation",U1497="New building",U1497="Building equipment"))))),"Unexpected test","Valid"))))</x:f>
      </x:c>
      <x:c r="S1497" s="9" t="str">
        <x:f>IF(C1497="","",IFERROR(INDEX('Taxonomy Rules'!$E$42:$E$68,MATCH(E1497,'Taxonomy Rules'!$C$42:$C$68,0)),""))</x:f>
      </x:c>
      <x:c r="T1497" s="9" t="str">
        <x:f>IF(C1497="","",IFERROR(INDEX('Taxonomy Rules'!$F$42:$F$68,MATCH(E1497,'Taxonomy Rules'!$C$42:$C$68,0)),""))</x:f>
      </x:c>
      <x:c r="U1497" s="9" t="str">
        <x:f>IF(C1497="","",IFERROR(INDEX('Taxonomy'!$G$9:$G$108,MATCH(D1497,'Taxonomy'!$C$9:$C$108,0)),""))</x:f>
      </x:c>
    </x:row>
    <x:row r="1498" ht="44" customHeight="1">
      <x:c r="A1498" s="1"/>
      <x:c r="B1498" s="1"/>
      <x:c r="C1498" s="8"/>
      <x:c r="D1498" s="8"/>
      <x:c r="E1498" s="8"/>
      <x:c r="F1498" s="8"/>
      <x:c r="G1498" s="8"/>
      <x:c r="H1498" s="8"/>
      <x:c r="I1498" s="8"/>
      <x:c r="J1498" s="8"/>
      <x:c r="K1498" s="8"/>
      <x:c r="L1498" s="8"/>
      <x:c r="M1498" s="10"/>
      <x:c r="N1498" s="10"/>
      <x:c r="O1498" s="8"/>
      <x:c r="P1498" s="9" t="str">
        <x:f>IF(C1498="","",IF(AND(G1498="Applicable",H1498="Fail"),"Fail",IF(R1498&lt;&gt;"Valid","Pending",IF(OR(I1498="",K1498="",L1498="",K1498=L1498,NOT(ISNUMBER(M1498)),NOT(ISNUMBER(N1498)),M1498&gt;Settings!$F$8,N1498&lt;Settings!$F$8,N1498&lt;M1498),"Pending",IF(AND(G1498="Applicable",H1498="Pass"),"Pass",IF(AND(G1498="N/A",H1498="N/A",J1498&lt;&gt;"",OR(E1498="CEM-FUELS",E1498="CEM-CCS",AND(E1498="CEM-PLAN",IFERROR(INDEX('Taxonomy'!$M$9:$M$108,MATCH(D1498,'Taxonomy'!$C$9:$C$108,0)),"")&lt;&gt;"Amber"),E1498="BLD-TIMBER",AND(U1498="Building equipment",OR(E1498="BLD-WATER",E1498="BLD-WASTE",E1498="BLD-LAND")),AND(U1498="Building renovation",E1498="BLD-LAND"))),"N/A","Pending"))))))</x:f>
      </x:c>
      <x:c r="Q1498" s="3" t="str">
        <x:f>IF(C1498="","",IF(AND(R1498="Valid",OR(P1498="Pass",P1498="N/A")),"Complete","Unresolved"))</x:f>
      </x:c>
      <x:c r="R1498" s="9" t="str">
        <x:f>IF(C1498="","",IF(OR(COUNTIF($C$9:$C$2008,C1498)&lt;&gt;1,COUNTIFS($D$9:$D$2008,D1498,$E$9:$E$2008,E1498)&lt;&gt;1),"Duplicate test",IF(COUNTIF('Taxonomy'!$C$9:$C$108,D1498)&lt;&gt;1,"Assessment key",IF(OR(COUNTIF('Taxonomy Rules'!$C$42:$C$68,E1498)&lt;&gt;1,F1498&lt;&gt;IFERROR(INDEX('Taxonomy Rules'!$D$42:$D$68,MATCH(E1498,'Taxonomy Rules'!$C$42:$C$68,0)),""),NOT(OR(IFERROR(INDEX('Taxonomy Rules'!$G$42:$G$68,MATCH(E1498,'Taxonomy Rules'!$C$42:$C$68,0)),"")="All supported routes",IFERROR(INDEX('Taxonomy Rules'!$G$42:$G$68,MATCH(E1498,'Taxonomy Rules'!$C$42:$C$68,0)),"")=U1498,AND(IFERROR(INDEX('Taxonomy Rules'!$G$42:$G$68,MATCH(E1498,'Taxonomy Rules'!$C$42:$C$68,0)),"")="Building routes",OR(U1498="Building renovation",U1498="New building",U1498="Building equipment"))))),"Unexpected test","Valid"))))</x:f>
      </x:c>
      <x:c r="S1498" s="9" t="str">
        <x:f>IF(C1498="","",IFERROR(INDEX('Taxonomy Rules'!$E$42:$E$68,MATCH(E1498,'Taxonomy Rules'!$C$42:$C$68,0)),""))</x:f>
      </x:c>
      <x:c r="T1498" s="9" t="str">
        <x:f>IF(C1498="","",IFERROR(INDEX('Taxonomy Rules'!$F$42:$F$68,MATCH(E1498,'Taxonomy Rules'!$C$42:$C$68,0)),""))</x:f>
      </x:c>
      <x:c r="U1498" s="9" t="str">
        <x:f>IF(C1498="","",IFERROR(INDEX('Taxonomy'!$G$9:$G$108,MATCH(D1498,'Taxonomy'!$C$9:$C$108,0)),""))</x:f>
      </x:c>
    </x:row>
    <x:row r="1499" ht="44" customHeight="1">
      <x:c r="A1499" s="1"/>
      <x:c r="B1499" s="1"/>
      <x:c r="C1499" s="8"/>
      <x:c r="D1499" s="8"/>
      <x:c r="E1499" s="8"/>
      <x:c r="F1499" s="8"/>
      <x:c r="G1499" s="8"/>
      <x:c r="H1499" s="8"/>
      <x:c r="I1499" s="8"/>
      <x:c r="J1499" s="8"/>
      <x:c r="K1499" s="8"/>
      <x:c r="L1499" s="8"/>
      <x:c r="M1499" s="10"/>
      <x:c r="N1499" s="10"/>
      <x:c r="O1499" s="8"/>
      <x:c r="P1499" s="9" t="str">
        <x:f>IF(C1499="","",IF(AND(G1499="Applicable",H1499="Fail"),"Fail",IF(R1499&lt;&gt;"Valid","Pending",IF(OR(I1499="",K1499="",L1499="",K1499=L1499,NOT(ISNUMBER(M1499)),NOT(ISNUMBER(N1499)),M1499&gt;Settings!$F$8,N1499&lt;Settings!$F$8,N1499&lt;M1499),"Pending",IF(AND(G1499="Applicable",H1499="Pass"),"Pass",IF(AND(G1499="N/A",H1499="N/A",J1499&lt;&gt;"",OR(E1499="CEM-FUELS",E1499="CEM-CCS",AND(E1499="CEM-PLAN",IFERROR(INDEX('Taxonomy'!$M$9:$M$108,MATCH(D1499,'Taxonomy'!$C$9:$C$108,0)),"")&lt;&gt;"Amber"),E1499="BLD-TIMBER",AND(U1499="Building equipment",OR(E1499="BLD-WATER",E1499="BLD-WASTE",E1499="BLD-LAND")),AND(U1499="Building renovation",E1499="BLD-LAND"))),"N/A","Pending"))))))</x:f>
      </x:c>
      <x:c r="Q1499" s="3" t="str">
        <x:f>IF(C1499="","",IF(AND(R1499="Valid",OR(P1499="Pass",P1499="N/A")),"Complete","Unresolved"))</x:f>
      </x:c>
      <x:c r="R1499" s="9" t="str">
        <x:f>IF(C1499="","",IF(OR(COUNTIF($C$9:$C$2008,C1499)&lt;&gt;1,COUNTIFS($D$9:$D$2008,D1499,$E$9:$E$2008,E1499)&lt;&gt;1),"Duplicate test",IF(COUNTIF('Taxonomy'!$C$9:$C$108,D1499)&lt;&gt;1,"Assessment key",IF(OR(COUNTIF('Taxonomy Rules'!$C$42:$C$68,E1499)&lt;&gt;1,F1499&lt;&gt;IFERROR(INDEX('Taxonomy Rules'!$D$42:$D$68,MATCH(E1499,'Taxonomy Rules'!$C$42:$C$68,0)),""),NOT(OR(IFERROR(INDEX('Taxonomy Rules'!$G$42:$G$68,MATCH(E1499,'Taxonomy Rules'!$C$42:$C$68,0)),"")="All supported routes",IFERROR(INDEX('Taxonomy Rules'!$G$42:$G$68,MATCH(E1499,'Taxonomy Rules'!$C$42:$C$68,0)),"")=U1499,AND(IFERROR(INDEX('Taxonomy Rules'!$G$42:$G$68,MATCH(E1499,'Taxonomy Rules'!$C$42:$C$68,0)),"")="Building routes",OR(U1499="Building renovation",U1499="New building",U1499="Building equipment"))))),"Unexpected test","Valid"))))</x:f>
      </x:c>
      <x:c r="S1499" s="9" t="str">
        <x:f>IF(C1499="","",IFERROR(INDEX('Taxonomy Rules'!$E$42:$E$68,MATCH(E1499,'Taxonomy Rules'!$C$42:$C$68,0)),""))</x:f>
      </x:c>
      <x:c r="T1499" s="9" t="str">
        <x:f>IF(C1499="","",IFERROR(INDEX('Taxonomy Rules'!$F$42:$F$68,MATCH(E1499,'Taxonomy Rules'!$C$42:$C$68,0)),""))</x:f>
      </x:c>
      <x:c r="U1499" s="9" t="str">
        <x:f>IF(C1499="","",IFERROR(INDEX('Taxonomy'!$G$9:$G$108,MATCH(D1499,'Taxonomy'!$C$9:$C$108,0)),""))</x:f>
      </x:c>
    </x:row>
    <x:row r="1500" ht="44" customHeight="1">
      <x:c r="A1500" s="1"/>
      <x:c r="B1500" s="1"/>
      <x:c r="C1500" s="8"/>
      <x:c r="D1500" s="8"/>
      <x:c r="E1500" s="8"/>
      <x:c r="F1500" s="8"/>
      <x:c r="G1500" s="8"/>
      <x:c r="H1500" s="8"/>
      <x:c r="I1500" s="8"/>
      <x:c r="J1500" s="8"/>
      <x:c r="K1500" s="8"/>
      <x:c r="L1500" s="8"/>
      <x:c r="M1500" s="10"/>
      <x:c r="N1500" s="10"/>
      <x:c r="O1500" s="8"/>
      <x:c r="P1500" s="9" t="str">
        <x:f>IF(C1500="","",IF(AND(G1500="Applicable",H1500="Fail"),"Fail",IF(R1500&lt;&gt;"Valid","Pending",IF(OR(I1500="",K1500="",L1500="",K1500=L1500,NOT(ISNUMBER(M1500)),NOT(ISNUMBER(N1500)),M1500&gt;Settings!$F$8,N1500&lt;Settings!$F$8,N1500&lt;M1500),"Pending",IF(AND(G1500="Applicable",H1500="Pass"),"Pass",IF(AND(G1500="N/A",H1500="N/A",J1500&lt;&gt;"",OR(E1500="CEM-FUELS",E1500="CEM-CCS",AND(E1500="CEM-PLAN",IFERROR(INDEX('Taxonomy'!$M$9:$M$108,MATCH(D1500,'Taxonomy'!$C$9:$C$108,0)),"")&lt;&gt;"Amber"),E1500="BLD-TIMBER",AND(U1500="Building equipment",OR(E1500="BLD-WATER",E1500="BLD-WASTE",E1500="BLD-LAND")),AND(U1500="Building renovation",E1500="BLD-LAND"))),"N/A","Pending"))))))</x:f>
      </x:c>
      <x:c r="Q1500" s="3" t="str">
        <x:f>IF(C1500="","",IF(AND(R1500="Valid",OR(P1500="Pass",P1500="N/A")),"Complete","Unresolved"))</x:f>
      </x:c>
      <x:c r="R1500" s="9" t="str">
        <x:f>IF(C1500="","",IF(OR(COUNTIF($C$9:$C$2008,C1500)&lt;&gt;1,COUNTIFS($D$9:$D$2008,D1500,$E$9:$E$2008,E1500)&lt;&gt;1),"Duplicate test",IF(COUNTIF('Taxonomy'!$C$9:$C$108,D1500)&lt;&gt;1,"Assessment key",IF(OR(COUNTIF('Taxonomy Rules'!$C$42:$C$68,E1500)&lt;&gt;1,F1500&lt;&gt;IFERROR(INDEX('Taxonomy Rules'!$D$42:$D$68,MATCH(E1500,'Taxonomy Rules'!$C$42:$C$68,0)),""),NOT(OR(IFERROR(INDEX('Taxonomy Rules'!$G$42:$G$68,MATCH(E1500,'Taxonomy Rules'!$C$42:$C$68,0)),"")="All supported routes",IFERROR(INDEX('Taxonomy Rules'!$G$42:$G$68,MATCH(E1500,'Taxonomy Rules'!$C$42:$C$68,0)),"")=U1500,AND(IFERROR(INDEX('Taxonomy Rules'!$G$42:$G$68,MATCH(E1500,'Taxonomy Rules'!$C$42:$C$68,0)),"")="Building routes",OR(U1500="Building renovation",U1500="New building",U1500="Building equipment"))))),"Unexpected test","Valid"))))</x:f>
      </x:c>
      <x:c r="S1500" s="9" t="str">
        <x:f>IF(C1500="","",IFERROR(INDEX('Taxonomy Rules'!$E$42:$E$68,MATCH(E1500,'Taxonomy Rules'!$C$42:$C$68,0)),""))</x:f>
      </x:c>
      <x:c r="T1500" s="9" t="str">
        <x:f>IF(C1500="","",IFERROR(INDEX('Taxonomy Rules'!$F$42:$F$68,MATCH(E1500,'Taxonomy Rules'!$C$42:$C$68,0)),""))</x:f>
      </x:c>
      <x:c r="U1500" s="9" t="str">
        <x:f>IF(C1500="","",IFERROR(INDEX('Taxonomy'!$G$9:$G$108,MATCH(D1500,'Taxonomy'!$C$9:$C$108,0)),""))</x:f>
      </x:c>
    </x:row>
    <x:row r="1501" ht="44" customHeight="1">
      <x:c r="A1501" s="1"/>
      <x:c r="B1501" s="1"/>
      <x:c r="C1501" s="8"/>
      <x:c r="D1501" s="8"/>
      <x:c r="E1501" s="8"/>
      <x:c r="F1501" s="8"/>
      <x:c r="G1501" s="8"/>
      <x:c r="H1501" s="8"/>
      <x:c r="I1501" s="8"/>
      <x:c r="J1501" s="8"/>
      <x:c r="K1501" s="8"/>
      <x:c r="L1501" s="8"/>
      <x:c r="M1501" s="10"/>
      <x:c r="N1501" s="10"/>
      <x:c r="O1501" s="8"/>
      <x:c r="P1501" s="9" t="str">
        <x:f>IF(C1501="","",IF(AND(G1501="Applicable",H1501="Fail"),"Fail",IF(R1501&lt;&gt;"Valid","Pending",IF(OR(I1501="",K1501="",L1501="",K1501=L1501,NOT(ISNUMBER(M1501)),NOT(ISNUMBER(N1501)),M1501&gt;Settings!$F$8,N1501&lt;Settings!$F$8,N1501&lt;M1501),"Pending",IF(AND(G1501="Applicable",H1501="Pass"),"Pass",IF(AND(G1501="N/A",H1501="N/A",J1501&lt;&gt;"",OR(E1501="CEM-FUELS",E1501="CEM-CCS",AND(E1501="CEM-PLAN",IFERROR(INDEX('Taxonomy'!$M$9:$M$108,MATCH(D1501,'Taxonomy'!$C$9:$C$108,0)),"")&lt;&gt;"Amber"),E1501="BLD-TIMBER",AND(U1501="Building equipment",OR(E1501="BLD-WATER",E1501="BLD-WASTE",E1501="BLD-LAND")),AND(U1501="Building renovation",E1501="BLD-LAND"))),"N/A","Pending"))))))</x:f>
      </x:c>
      <x:c r="Q1501" s="3" t="str">
        <x:f>IF(C1501="","",IF(AND(R1501="Valid",OR(P1501="Pass",P1501="N/A")),"Complete","Unresolved"))</x:f>
      </x:c>
      <x:c r="R1501" s="9" t="str">
        <x:f>IF(C1501="","",IF(OR(COUNTIF($C$9:$C$2008,C1501)&lt;&gt;1,COUNTIFS($D$9:$D$2008,D1501,$E$9:$E$2008,E1501)&lt;&gt;1),"Duplicate test",IF(COUNTIF('Taxonomy'!$C$9:$C$108,D1501)&lt;&gt;1,"Assessment key",IF(OR(COUNTIF('Taxonomy Rules'!$C$42:$C$68,E1501)&lt;&gt;1,F1501&lt;&gt;IFERROR(INDEX('Taxonomy Rules'!$D$42:$D$68,MATCH(E1501,'Taxonomy Rules'!$C$42:$C$68,0)),""),NOT(OR(IFERROR(INDEX('Taxonomy Rules'!$G$42:$G$68,MATCH(E1501,'Taxonomy Rules'!$C$42:$C$68,0)),"")="All supported routes",IFERROR(INDEX('Taxonomy Rules'!$G$42:$G$68,MATCH(E1501,'Taxonomy Rules'!$C$42:$C$68,0)),"")=U1501,AND(IFERROR(INDEX('Taxonomy Rules'!$G$42:$G$68,MATCH(E1501,'Taxonomy Rules'!$C$42:$C$68,0)),"")="Building routes",OR(U1501="Building renovation",U1501="New building",U1501="Building equipment"))))),"Unexpected test","Valid"))))</x:f>
      </x:c>
      <x:c r="S1501" s="9" t="str">
        <x:f>IF(C1501="","",IFERROR(INDEX('Taxonomy Rules'!$E$42:$E$68,MATCH(E1501,'Taxonomy Rules'!$C$42:$C$68,0)),""))</x:f>
      </x:c>
      <x:c r="T1501" s="9" t="str">
        <x:f>IF(C1501="","",IFERROR(INDEX('Taxonomy Rules'!$F$42:$F$68,MATCH(E1501,'Taxonomy Rules'!$C$42:$C$68,0)),""))</x:f>
      </x:c>
      <x:c r="U1501" s="9" t="str">
        <x:f>IF(C1501="","",IFERROR(INDEX('Taxonomy'!$G$9:$G$108,MATCH(D1501,'Taxonomy'!$C$9:$C$108,0)),""))</x:f>
      </x:c>
    </x:row>
    <x:row r="1502" ht="44" customHeight="1">
      <x:c r="A1502" s="1"/>
      <x:c r="B1502" s="1"/>
      <x:c r="C1502" s="8"/>
      <x:c r="D1502" s="8"/>
      <x:c r="E1502" s="8"/>
      <x:c r="F1502" s="8"/>
      <x:c r="G1502" s="8"/>
      <x:c r="H1502" s="8"/>
      <x:c r="I1502" s="8"/>
      <x:c r="J1502" s="8"/>
      <x:c r="K1502" s="8"/>
      <x:c r="L1502" s="8"/>
      <x:c r="M1502" s="10"/>
      <x:c r="N1502" s="10"/>
      <x:c r="O1502" s="8"/>
      <x:c r="P1502" s="9" t="str">
        <x:f>IF(C1502="","",IF(AND(G1502="Applicable",H1502="Fail"),"Fail",IF(R1502&lt;&gt;"Valid","Pending",IF(OR(I1502="",K1502="",L1502="",K1502=L1502,NOT(ISNUMBER(M1502)),NOT(ISNUMBER(N1502)),M1502&gt;Settings!$F$8,N1502&lt;Settings!$F$8,N1502&lt;M1502),"Pending",IF(AND(G1502="Applicable",H1502="Pass"),"Pass",IF(AND(G1502="N/A",H1502="N/A",J1502&lt;&gt;"",OR(E1502="CEM-FUELS",E1502="CEM-CCS",AND(E1502="CEM-PLAN",IFERROR(INDEX('Taxonomy'!$M$9:$M$108,MATCH(D1502,'Taxonomy'!$C$9:$C$108,0)),"")&lt;&gt;"Amber"),E1502="BLD-TIMBER",AND(U1502="Building equipment",OR(E1502="BLD-WATER",E1502="BLD-WASTE",E1502="BLD-LAND")),AND(U1502="Building renovation",E1502="BLD-LAND"))),"N/A","Pending"))))))</x:f>
      </x:c>
      <x:c r="Q1502" s="3" t="str">
        <x:f>IF(C1502="","",IF(AND(R1502="Valid",OR(P1502="Pass",P1502="N/A")),"Complete","Unresolved"))</x:f>
      </x:c>
      <x:c r="R1502" s="9" t="str">
        <x:f>IF(C1502="","",IF(OR(COUNTIF($C$9:$C$2008,C1502)&lt;&gt;1,COUNTIFS($D$9:$D$2008,D1502,$E$9:$E$2008,E1502)&lt;&gt;1),"Duplicate test",IF(COUNTIF('Taxonomy'!$C$9:$C$108,D1502)&lt;&gt;1,"Assessment key",IF(OR(COUNTIF('Taxonomy Rules'!$C$42:$C$68,E1502)&lt;&gt;1,F1502&lt;&gt;IFERROR(INDEX('Taxonomy Rules'!$D$42:$D$68,MATCH(E1502,'Taxonomy Rules'!$C$42:$C$68,0)),""),NOT(OR(IFERROR(INDEX('Taxonomy Rules'!$G$42:$G$68,MATCH(E1502,'Taxonomy Rules'!$C$42:$C$68,0)),"")="All supported routes",IFERROR(INDEX('Taxonomy Rules'!$G$42:$G$68,MATCH(E1502,'Taxonomy Rules'!$C$42:$C$68,0)),"")=U1502,AND(IFERROR(INDEX('Taxonomy Rules'!$G$42:$G$68,MATCH(E1502,'Taxonomy Rules'!$C$42:$C$68,0)),"")="Building routes",OR(U1502="Building renovation",U1502="New building",U1502="Building equipment"))))),"Unexpected test","Valid"))))</x:f>
      </x:c>
      <x:c r="S1502" s="9" t="str">
        <x:f>IF(C1502="","",IFERROR(INDEX('Taxonomy Rules'!$E$42:$E$68,MATCH(E1502,'Taxonomy Rules'!$C$42:$C$68,0)),""))</x:f>
      </x:c>
      <x:c r="T1502" s="9" t="str">
        <x:f>IF(C1502="","",IFERROR(INDEX('Taxonomy Rules'!$F$42:$F$68,MATCH(E1502,'Taxonomy Rules'!$C$42:$C$68,0)),""))</x:f>
      </x:c>
      <x:c r="U1502" s="9" t="str">
        <x:f>IF(C1502="","",IFERROR(INDEX('Taxonomy'!$G$9:$G$108,MATCH(D1502,'Taxonomy'!$C$9:$C$108,0)),""))</x:f>
      </x:c>
    </x:row>
    <x:row r="1503" ht="44" customHeight="1">
      <x:c r="A1503" s="1"/>
      <x:c r="B1503" s="1"/>
      <x:c r="C1503" s="8"/>
      <x:c r="D1503" s="8"/>
      <x:c r="E1503" s="8"/>
      <x:c r="F1503" s="8"/>
      <x:c r="G1503" s="8"/>
      <x:c r="H1503" s="8"/>
      <x:c r="I1503" s="8"/>
      <x:c r="J1503" s="8"/>
      <x:c r="K1503" s="8"/>
      <x:c r="L1503" s="8"/>
      <x:c r="M1503" s="10"/>
      <x:c r="N1503" s="10"/>
      <x:c r="O1503" s="8"/>
      <x:c r="P1503" s="9" t="str">
        <x:f>IF(C1503="","",IF(AND(G1503="Applicable",H1503="Fail"),"Fail",IF(R1503&lt;&gt;"Valid","Pending",IF(OR(I1503="",K1503="",L1503="",K1503=L1503,NOT(ISNUMBER(M1503)),NOT(ISNUMBER(N1503)),M1503&gt;Settings!$F$8,N1503&lt;Settings!$F$8,N1503&lt;M1503),"Pending",IF(AND(G1503="Applicable",H1503="Pass"),"Pass",IF(AND(G1503="N/A",H1503="N/A",J1503&lt;&gt;"",OR(E1503="CEM-FUELS",E1503="CEM-CCS",AND(E1503="CEM-PLAN",IFERROR(INDEX('Taxonomy'!$M$9:$M$108,MATCH(D1503,'Taxonomy'!$C$9:$C$108,0)),"")&lt;&gt;"Amber"),E1503="BLD-TIMBER",AND(U1503="Building equipment",OR(E1503="BLD-WATER",E1503="BLD-WASTE",E1503="BLD-LAND")),AND(U1503="Building renovation",E1503="BLD-LAND"))),"N/A","Pending"))))))</x:f>
      </x:c>
      <x:c r="Q1503" s="3" t="str">
        <x:f>IF(C1503="","",IF(AND(R1503="Valid",OR(P1503="Pass",P1503="N/A")),"Complete","Unresolved"))</x:f>
      </x:c>
      <x:c r="R1503" s="9" t="str">
        <x:f>IF(C1503="","",IF(OR(COUNTIF($C$9:$C$2008,C1503)&lt;&gt;1,COUNTIFS($D$9:$D$2008,D1503,$E$9:$E$2008,E1503)&lt;&gt;1),"Duplicate test",IF(COUNTIF('Taxonomy'!$C$9:$C$108,D1503)&lt;&gt;1,"Assessment key",IF(OR(COUNTIF('Taxonomy Rules'!$C$42:$C$68,E1503)&lt;&gt;1,F1503&lt;&gt;IFERROR(INDEX('Taxonomy Rules'!$D$42:$D$68,MATCH(E1503,'Taxonomy Rules'!$C$42:$C$68,0)),""),NOT(OR(IFERROR(INDEX('Taxonomy Rules'!$G$42:$G$68,MATCH(E1503,'Taxonomy Rules'!$C$42:$C$68,0)),"")="All supported routes",IFERROR(INDEX('Taxonomy Rules'!$G$42:$G$68,MATCH(E1503,'Taxonomy Rules'!$C$42:$C$68,0)),"")=U1503,AND(IFERROR(INDEX('Taxonomy Rules'!$G$42:$G$68,MATCH(E1503,'Taxonomy Rules'!$C$42:$C$68,0)),"")="Building routes",OR(U1503="Building renovation",U1503="New building",U1503="Building equipment"))))),"Unexpected test","Valid"))))</x:f>
      </x:c>
      <x:c r="S1503" s="9" t="str">
        <x:f>IF(C1503="","",IFERROR(INDEX('Taxonomy Rules'!$E$42:$E$68,MATCH(E1503,'Taxonomy Rules'!$C$42:$C$68,0)),""))</x:f>
      </x:c>
      <x:c r="T1503" s="9" t="str">
        <x:f>IF(C1503="","",IFERROR(INDEX('Taxonomy Rules'!$F$42:$F$68,MATCH(E1503,'Taxonomy Rules'!$C$42:$C$68,0)),""))</x:f>
      </x:c>
      <x:c r="U1503" s="9" t="str">
        <x:f>IF(C1503="","",IFERROR(INDEX('Taxonomy'!$G$9:$G$108,MATCH(D1503,'Taxonomy'!$C$9:$C$108,0)),""))</x:f>
      </x:c>
    </x:row>
    <x:row r="1504" ht="44" customHeight="1">
      <x:c r="A1504" s="1"/>
      <x:c r="B1504" s="1"/>
      <x:c r="C1504" s="8"/>
      <x:c r="D1504" s="8"/>
      <x:c r="E1504" s="8"/>
      <x:c r="F1504" s="8"/>
      <x:c r="G1504" s="8"/>
      <x:c r="H1504" s="8"/>
      <x:c r="I1504" s="8"/>
      <x:c r="J1504" s="8"/>
      <x:c r="K1504" s="8"/>
      <x:c r="L1504" s="8"/>
      <x:c r="M1504" s="10"/>
      <x:c r="N1504" s="10"/>
      <x:c r="O1504" s="8"/>
      <x:c r="P1504" s="9" t="str">
        <x:f>IF(C1504="","",IF(AND(G1504="Applicable",H1504="Fail"),"Fail",IF(R1504&lt;&gt;"Valid","Pending",IF(OR(I1504="",K1504="",L1504="",K1504=L1504,NOT(ISNUMBER(M1504)),NOT(ISNUMBER(N1504)),M1504&gt;Settings!$F$8,N1504&lt;Settings!$F$8,N1504&lt;M1504),"Pending",IF(AND(G1504="Applicable",H1504="Pass"),"Pass",IF(AND(G1504="N/A",H1504="N/A",J1504&lt;&gt;"",OR(E1504="CEM-FUELS",E1504="CEM-CCS",AND(E1504="CEM-PLAN",IFERROR(INDEX('Taxonomy'!$M$9:$M$108,MATCH(D1504,'Taxonomy'!$C$9:$C$108,0)),"")&lt;&gt;"Amber"),E1504="BLD-TIMBER",AND(U1504="Building equipment",OR(E1504="BLD-WATER",E1504="BLD-WASTE",E1504="BLD-LAND")),AND(U1504="Building renovation",E1504="BLD-LAND"))),"N/A","Pending"))))))</x:f>
      </x:c>
      <x:c r="Q1504" s="3" t="str">
        <x:f>IF(C1504="","",IF(AND(R1504="Valid",OR(P1504="Pass",P1504="N/A")),"Complete","Unresolved"))</x:f>
      </x:c>
      <x:c r="R1504" s="9" t="str">
        <x:f>IF(C1504="","",IF(OR(COUNTIF($C$9:$C$2008,C1504)&lt;&gt;1,COUNTIFS($D$9:$D$2008,D1504,$E$9:$E$2008,E1504)&lt;&gt;1),"Duplicate test",IF(COUNTIF('Taxonomy'!$C$9:$C$108,D1504)&lt;&gt;1,"Assessment key",IF(OR(COUNTIF('Taxonomy Rules'!$C$42:$C$68,E1504)&lt;&gt;1,F1504&lt;&gt;IFERROR(INDEX('Taxonomy Rules'!$D$42:$D$68,MATCH(E1504,'Taxonomy Rules'!$C$42:$C$68,0)),""),NOT(OR(IFERROR(INDEX('Taxonomy Rules'!$G$42:$G$68,MATCH(E1504,'Taxonomy Rules'!$C$42:$C$68,0)),"")="All supported routes",IFERROR(INDEX('Taxonomy Rules'!$G$42:$G$68,MATCH(E1504,'Taxonomy Rules'!$C$42:$C$68,0)),"")=U1504,AND(IFERROR(INDEX('Taxonomy Rules'!$G$42:$G$68,MATCH(E1504,'Taxonomy Rules'!$C$42:$C$68,0)),"")="Building routes",OR(U1504="Building renovation",U1504="New building",U1504="Building equipment"))))),"Unexpected test","Valid"))))</x:f>
      </x:c>
      <x:c r="S1504" s="9" t="str">
        <x:f>IF(C1504="","",IFERROR(INDEX('Taxonomy Rules'!$E$42:$E$68,MATCH(E1504,'Taxonomy Rules'!$C$42:$C$68,0)),""))</x:f>
      </x:c>
      <x:c r="T1504" s="9" t="str">
        <x:f>IF(C1504="","",IFERROR(INDEX('Taxonomy Rules'!$F$42:$F$68,MATCH(E1504,'Taxonomy Rules'!$C$42:$C$68,0)),""))</x:f>
      </x:c>
      <x:c r="U1504" s="9" t="str">
        <x:f>IF(C1504="","",IFERROR(INDEX('Taxonomy'!$G$9:$G$108,MATCH(D1504,'Taxonomy'!$C$9:$C$108,0)),""))</x:f>
      </x:c>
    </x:row>
    <x:row r="1505" ht="44" customHeight="1">
      <x:c r="A1505" s="1"/>
      <x:c r="B1505" s="1"/>
      <x:c r="C1505" s="8"/>
      <x:c r="D1505" s="8"/>
      <x:c r="E1505" s="8"/>
      <x:c r="F1505" s="8"/>
      <x:c r="G1505" s="8"/>
      <x:c r="H1505" s="8"/>
      <x:c r="I1505" s="8"/>
      <x:c r="J1505" s="8"/>
      <x:c r="K1505" s="8"/>
      <x:c r="L1505" s="8"/>
      <x:c r="M1505" s="10"/>
      <x:c r="N1505" s="10"/>
      <x:c r="O1505" s="8"/>
      <x:c r="P1505" s="9" t="str">
        <x:f>IF(C1505="","",IF(AND(G1505="Applicable",H1505="Fail"),"Fail",IF(R1505&lt;&gt;"Valid","Pending",IF(OR(I1505="",K1505="",L1505="",K1505=L1505,NOT(ISNUMBER(M1505)),NOT(ISNUMBER(N1505)),M1505&gt;Settings!$F$8,N1505&lt;Settings!$F$8,N1505&lt;M1505),"Pending",IF(AND(G1505="Applicable",H1505="Pass"),"Pass",IF(AND(G1505="N/A",H1505="N/A",J1505&lt;&gt;"",OR(E1505="CEM-FUELS",E1505="CEM-CCS",AND(E1505="CEM-PLAN",IFERROR(INDEX('Taxonomy'!$M$9:$M$108,MATCH(D1505,'Taxonomy'!$C$9:$C$108,0)),"")&lt;&gt;"Amber"),E1505="BLD-TIMBER",AND(U1505="Building equipment",OR(E1505="BLD-WATER",E1505="BLD-WASTE",E1505="BLD-LAND")),AND(U1505="Building renovation",E1505="BLD-LAND"))),"N/A","Pending"))))))</x:f>
      </x:c>
      <x:c r="Q1505" s="3" t="str">
        <x:f>IF(C1505="","",IF(AND(R1505="Valid",OR(P1505="Pass",P1505="N/A")),"Complete","Unresolved"))</x:f>
      </x:c>
      <x:c r="R1505" s="9" t="str">
        <x:f>IF(C1505="","",IF(OR(COUNTIF($C$9:$C$2008,C1505)&lt;&gt;1,COUNTIFS($D$9:$D$2008,D1505,$E$9:$E$2008,E1505)&lt;&gt;1),"Duplicate test",IF(COUNTIF('Taxonomy'!$C$9:$C$108,D1505)&lt;&gt;1,"Assessment key",IF(OR(COUNTIF('Taxonomy Rules'!$C$42:$C$68,E1505)&lt;&gt;1,F1505&lt;&gt;IFERROR(INDEX('Taxonomy Rules'!$D$42:$D$68,MATCH(E1505,'Taxonomy Rules'!$C$42:$C$68,0)),""),NOT(OR(IFERROR(INDEX('Taxonomy Rules'!$G$42:$G$68,MATCH(E1505,'Taxonomy Rules'!$C$42:$C$68,0)),"")="All supported routes",IFERROR(INDEX('Taxonomy Rules'!$G$42:$G$68,MATCH(E1505,'Taxonomy Rules'!$C$42:$C$68,0)),"")=U1505,AND(IFERROR(INDEX('Taxonomy Rules'!$G$42:$G$68,MATCH(E1505,'Taxonomy Rules'!$C$42:$C$68,0)),"")="Building routes",OR(U1505="Building renovation",U1505="New building",U1505="Building equipment"))))),"Unexpected test","Valid"))))</x:f>
      </x:c>
      <x:c r="S1505" s="9" t="str">
        <x:f>IF(C1505="","",IFERROR(INDEX('Taxonomy Rules'!$E$42:$E$68,MATCH(E1505,'Taxonomy Rules'!$C$42:$C$68,0)),""))</x:f>
      </x:c>
      <x:c r="T1505" s="9" t="str">
        <x:f>IF(C1505="","",IFERROR(INDEX('Taxonomy Rules'!$F$42:$F$68,MATCH(E1505,'Taxonomy Rules'!$C$42:$C$68,0)),""))</x:f>
      </x:c>
      <x:c r="U1505" s="9" t="str">
        <x:f>IF(C1505="","",IFERROR(INDEX('Taxonomy'!$G$9:$G$108,MATCH(D1505,'Taxonomy'!$C$9:$C$108,0)),""))</x:f>
      </x:c>
    </x:row>
    <x:row r="1506" ht="44" customHeight="1">
      <x:c r="A1506" s="1"/>
      <x:c r="B1506" s="1"/>
      <x:c r="C1506" s="8"/>
      <x:c r="D1506" s="8"/>
      <x:c r="E1506" s="8"/>
      <x:c r="F1506" s="8"/>
      <x:c r="G1506" s="8"/>
      <x:c r="H1506" s="8"/>
      <x:c r="I1506" s="8"/>
      <x:c r="J1506" s="8"/>
      <x:c r="K1506" s="8"/>
      <x:c r="L1506" s="8"/>
      <x:c r="M1506" s="10"/>
      <x:c r="N1506" s="10"/>
      <x:c r="O1506" s="8"/>
      <x:c r="P1506" s="9" t="str">
        <x:f>IF(C1506="","",IF(AND(G1506="Applicable",H1506="Fail"),"Fail",IF(R1506&lt;&gt;"Valid","Pending",IF(OR(I1506="",K1506="",L1506="",K1506=L1506,NOT(ISNUMBER(M1506)),NOT(ISNUMBER(N1506)),M1506&gt;Settings!$F$8,N1506&lt;Settings!$F$8,N1506&lt;M1506),"Pending",IF(AND(G1506="Applicable",H1506="Pass"),"Pass",IF(AND(G1506="N/A",H1506="N/A",J1506&lt;&gt;"",OR(E1506="CEM-FUELS",E1506="CEM-CCS",AND(E1506="CEM-PLAN",IFERROR(INDEX('Taxonomy'!$M$9:$M$108,MATCH(D1506,'Taxonomy'!$C$9:$C$108,0)),"")&lt;&gt;"Amber"),E1506="BLD-TIMBER",AND(U1506="Building equipment",OR(E1506="BLD-WATER",E1506="BLD-WASTE",E1506="BLD-LAND")),AND(U1506="Building renovation",E1506="BLD-LAND"))),"N/A","Pending"))))))</x:f>
      </x:c>
      <x:c r="Q1506" s="3" t="str">
        <x:f>IF(C1506="","",IF(AND(R1506="Valid",OR(P1506="Pass",P1506="N/A")),"Complete","Unresolved"))</x:f>
      </x:c>
      <x:c r="R1506" s="9" t="str">
        <x:f>IF(C1506="","",IF(OR(COUNTIF($C$9:$C$2008,C1506)&lt;&gt;1,COUNTIFS($D$9:$D$2008,D1506,$E$9:$E$2008,E1506)&lt;&gt;1),"Duplicate test",IF(COUNTIF('Taxonomy'!$C$9:$C$108,D1506)&lt;&gt;1,"Assessment key",IF(OR(COUNTIF('Taxonomy Rules'!$C$42:$C$68,E1506)&lt;&gt;1,F1506&lt;&gt;IFERROR(INDEX('Taxonomy Rules'!$D$42:$D$68,MATCH(E1506,'Taxonomy Rules'!$C$42:$C$68,0)),""),NOT(OR(IFERROR(INDEX('Taxonomy Rules'!$G$42:$G$68,MATCH(E1506,'Taxonomy Rules'!$C$42:$C$68,0)),"")="All supported routes",IFERROR(INDEX('Taxonomy Rules'!$G$42:$G$68,MATCH(E1506,'Taxonomy Rules'!$C$42:$C$68,0)),"")=U1506,AND(IFERROR(INDEX('Taxonomy Rules'!$G$42:$G$68,MATCH(E1506,'Taxonomy Rules'!$C$42:$C$68,0)),"")="Building routes",OR(U1506="Building renovation",U1506="New building",U1506="Building equipment"))))),"Unexpected test","Valid"))))</x:f>
      </x:c>
      <x:c r="S1506" s="9" t="str">
        <x:f>IF(C1506="","",IFERROR(INDEX('Taxonomy Rules'!$E$42:$E$68,MATCH(E1506,'Taxonomy Rules'!$C$42:$C$68,0)),""))</x:f>
      </x:c>
      <x:c r="T1506" s="9" t="str">
        <x:f>IF(C1506="","",IFERROR(INDEX('Taxonomy Rules'!$F$42:$F$68,MATCH(E1506,'Taxonomy Rules'!$C$42:$C$68,0)),""))</x:f>
      </x:c>
      <x:c r="U1506" s="9" t="str">
        <x:f>IF(C1506="","",IFERROR(INDEX('Taxonomy'!$G$9:$G$108,MATCH(D1506,'Taxonomy'!$C$9:$C$108,0)),""))</x:f>
      </x:c>
    </x:row>
    <x:row r="1507" ht="44" customHeight="1">
      <x:c r="A1507" s="1"/>
      <x:c r="B1507" s="1"/>
      <x:c r="C1507" s="8"/>
      <x:c r="D1507" s="8"/>
      <x:c r="E1507" s="8"/>
      <x:c r="F1507" s="8"/>
      <x:c r="G1507" s="8"/>
      <x:c r="H1507" s="8"/>
      <x:c r="I1507" s="8"/>
      <x:c r="J1507" s="8"/>
      <x:c r="K1507" s="8"/>
      <x:c r="L1507" s="8"/>
      <x:c r="M1507" s="10"/>
      <x:c r="N1507" s="10"/>
      <x:c r="O1507" s="8"/>
      <x:c r="P1507" s="9" t="str">
        <x:f>IF(C1507="","",IF(AND(G1507="Applicable",H1507="Fail"),"Fail",IF(R1507&lt;&gt;"Valid","Pending",IF(OR(I1507="",K1507="",L1507="",K1507=L1507,NOT(ISNUMBER(M1507)),NOT(ISNUMBER(N1507)),M1507&gt;Settings!$F$8,N1507&lt;Settings!$F$8,N1507&lt;M1507),"Pending",IF(AND(G1507="Applicable",H1507="Pass"),"Pass",IF(AND(G1507="N/A",H1507="N/A",J1507&lt;&gt;"",OR(E1507="CEM-FUELS",E1507="CEM-CCS",AND(E1507="CEM-PLAN",IFERROR(INDEX('Taxonomy'!$M$9:$M$108,MATCH(D1507,'Taxonomy'!$C$9:$C$108,0)),"")&lt;&gt;"Amber"),E1507="BLD-TIMBER",AND(U1507="Building equipment",OR(E1507="BLD-WATER",E1507="BLD-WASTE",E1507="BLD-LAND")),AND(U1507="Building renovation",E1507="BLD-LAND"))),"N/A","Pending"))))))</x:f>
      </x:c>
      <x:c r="Q1507" s="3" t="str">
        <x:f>IF(C1507="","",IF(AND(R1507="Valid",OR(P1507="Pass",P1507="N/A")),"Complete","Unresolved"))</x:f>
      </x:c>
      <x:c r="R1507" s="9" t="str">
        <x:f>IF(C1507="","",IF(OR(COUNTIF($C$9:$C$2008,C1507)&lt;&gt;1,COUNTIFS($D$9:$D$2008,D1507,$E$9:$E$2008,E1507)&lt;&gt;1),"Duplicate test",IF(COUNTIF('Taxonomy'!$C$9:$C$108,D1507)&lt;&gt;1,"Assessment key",IF(OR(COUNTIF('Taxonomy Rules'!$C$42:$C$68,E1507)&lt;&gt;1,F1507&lt;&gt;IFERROR(INDEX('Taxonomy Rules'!$D$42:$D$68,MATCH(E1507,'Taxonomy Rules'!$C$42:$C$68,0)),""),NOT(OR(IFERROR(INDEX('Taxonomy Rules'!$G$42:$G$68,MATCH(E1507,'Taxonomy Rules'!$C$42:$C$68,0)),"")="All supported routes",IFERROR(INDEX('Taxonomy Rules'!$G$42:$G$68,MATCH(E1507,'Taxonomy Rules'!$C$42:$C$68,0)),"")=U1507,AND(IFERROR(INDEX('Taxonomy Rules'!$G$42:$G$68,MATCH(E1507,'Taxonomy Rules'!$C$42:$C$68,0)),"")="Building routes",OR(U1507="Building renovation",U1507="New building",U1507="Building equipment"))))),"Unexpected test","Valid"))))</x:f>
      </x:c>
      <x:c r="S1507" s="9" t="str">
        <x:f>IF(C1507="","",IFERROR(INDEX('Taxonomy Rules'!$E$42:$E$68,MATCH(E1507,'Taxonomy Rules'!$C$42:$C$68,0)),""))</x:f>
      </x:c>
      <x:c r="T1507" s="9" t="str">
        <x:f>IF(C1507="","",IFERROR(INDEX('Taxonomy Rules'!$F$42:$F$68,MATCH(E1507,'Taxonomy Rules'!$C$42:$C$68,0)),""))</x:f>
      </x:c>
      <x:c r="U1507" s="9" t="str">
        <x:f>IF(C1507="","",IFERROR(INDEX('Taxonomy'!$G$9:$G$108,MATCH(D1507,'Taxonomy'!$C$9:$C$108,0)),""))</x:f>
      </x:c>
    </x:row>
    <x:row r="1508" ht="44" customHeight="1">
      <x:c r="A1508" s="1"/>
      <x:c r="B1508" s="1"/>
      <x:c r="C1508" s="8"/>
      <x:c r="D1508" s="8"/>
      <x:c r="E1508" s="8"/>
      <x:c r="F1508" s="8"/>
      <x:c r="G1508" s="8"/>
      <x:c r="H1508" s="8"/>
      <x:c r="I1508" s="8"/>
      <x:c r="J1508" s="8"/>
      <x:c r="K1508" s="8"/>
      <x:c r="L1508" s="8"/>
      <x:c r="M1508" s="10"/>
      <x:c r="N1508" s="10"/>
      <x:c r="O1508" s="8"/>
      <x:c r="P1508" s="9" t="str">
        <x:f>IF(C1508="","",IF(AND(G1508="Applicable",H1508="Fail"),"Fail",IF(R1508&lt;&gt;"Valid","Pending",IF(OR(I1508="",K1508="",L1508="",K1508=L1508,NOT(ISNUMBER(M1508)),NOT(ISNUMBER(N1508)),M1508&gt;Settings!$F$8,N1508&lt;Settings!$F$8,N1508&lt;M1508),"Pending",IF(AND(G1508="Applicable",H1508="Pass"),"Pass",IF(AND(G1508="N/A",H1508="N/A",J1508&lt;&gt;"",OR(E1508="CEM-FUELS",E1508="CEM-CCS",AND(E1508="CEM-PLAN",IFERROR(INDEX('Taxonomy'!$M$9:$M$108,MATCH(D1508,'Taxonomy'!$C$9:$C$108,0)),"")&lt;&gt;"Amber"),E1508="BLD-TIMBER",AND(U1508="Building equipment",OR(E1508="BLD-WATER",E1508="BLD-WASTE",E1508="BLD-LAND")),AND(U1508="Building renovation",E1508="BLD-LAND"))),"N/A","Pending"))))))</x:f>
      </x:c>
      <x:c r="Q1508" s="3" t="str">
        <x:f>IF(C1508="","",IF(AND(R1508="Valid",OR(P1508="Pass",P1508="N/A")),"Complete","Unresolved"))</x:f>
      </x:c>
      <x:c r="R1508" s="9" t="str">
        <x:f>IF(C1508="","",IF(OR(COUNTIF($C$9:$C$2008,C1508)&lt;&gt;1,COUNTIFS($D$9:$D$2008,D1508,$E$9:$E$2008,E1508)&lt;&gt;1),"Duplicate test",IF(COUNTIF('Taxonomy'!$C$9:$C$108,D1508)&lt;&gt;1,"Assessment key",IF(OR(COUNTIF('Taxonomy Rules'!$C$42:$C$68,E1508)&lt;&gt;1,F1508&lt;&gt;IFERROR(INDEX('Taxonomy Rules'!$D$42:$D$68,MATCH(E1508,'Taxonomy Rules'!$C$42:$C$68,0)),""),NOT(OR(IFERROR(INDEX('Taxonomy Rules'!$G$42:$G$68,MATCH(E1508,'Taxonomy Rules'!$C$42:$C$68,0)),"")="All supported routes",IFERROR(INDEX('Taxonomy Rules'!$G$42:$G$68,MATCH(E1508,'Taxonomy Rules'!$C$42:$C$68,0)),"")=U1508,AND(IFERROR(INDEX('Taxonomy Rules'!$G$42:$G$68,MATCH(E1508,'Taxonomy Rules'!$C$42:$C$68,0)),"")="Building routes",OR(U1508="Building renovation",U1508="New building",U1508="Building equipment"))))),"Unexpected test","Valid"))))</x:f>
      </x:c>
      <x:c r="S1508" s="9" t="str">
        <x:f>IF(C1508="","",IFERROR(INDEX('Taxonomy Rules'!$E$42:$E$68,MATCH(E1508,'Taxonomy Rules'!$C$42:$C$68,0)),""))</x:f>
      </x:c>
      <x:c r="T1508" s="9" t="str">
        <x:f>IF(C1508="","",IFERROR(INDEX('Taxonomy Rules'!$F$42:$F$68,MATCH(E1508,'Taxonomy Rules'!$C$42:$C$68,0)),""))</x:f>
      </x:c>
      <x:c r="U1508" s="9" t="str">
        <x:f>IF(C1508="","",IFERROR(INDEX('Taxonomy'!$G$9:$G$108,MATCH(D1508,'Taxonomy'!$C$9:$C$108,0)),""))</x:f>
      </x:c>
    </x:row>
    <x:row r="1509" ht="44" customHeight="1">
      <x:c r="A1509" s="1"/>
      <x:c r="B1509" s="1"/>
      <x:c r="C1509" s="8"/>
      <x:c r="D1509" s="8"/>
      <x:c r="E1509" s="8"/>
      <x:c r="F1509" s="8"/>
      <x:c r="G1509" s="8"/>
      <x:c r="H1509" s="8"/>
      <x:c r="I1509" s="8"/>
      <x:c r="J1509" s="8"/>
      <x:c r="K1509" s="8"/>
      <x:c r="L1509" s="8"/>
      <x:c r="M1509" s="10"/>
      <x:c r="N1509" s="10"/>
      <x:c r="O1509" s="8"/>
      <x:c r="P1509" s="9" t="str">
        <x:f>IF(C1509="","",IF(AND(G1509="Applicable",H1509="Fail"),"Fail",IF(R1509&lt;&gt;"Valid","Pending",IF(OR(I1509="",K1509="",L1509="",K1509=L1509,NOT(ISNUMBER(M1509)),NOT(ISNUMBER(N1509)),M1509&gt;Settings!$F$8,N1509&lt;Settings!$F$8,N1509&lt;M1509),"Pending",IF(AND(G1509="Applicable",H1509="Pass"),"Pass",IF(AND(G1509="N/A",H1509="N/A",J1509&lt;&gt;"",OR(E1509="CEM-FUELS",E1509="CEM-CCS",AND(E1509="CEM-PLAN",IFERROR(INDEX('Taxonomy'!$M$9:$M$108,MATCH(D1509,'Taxonomy'!$C$9:$C$108,0)),"")&lt;&gt;"Amber"),E1509="BLD-TIMBER",AND(U1509="Building equipment",OR(E1509="BLD-WATER",E1509="BLD-WASTE",E1509="BLD-LAND")),AND(U1509="Building renovation",E1509="BLD-LAND"))),"N/A","Pending"))))))</x:f>
      </x:c>
      <x:c r="Q1509" s="3" t="str">
        <x:f>IF(C1509="","",IF(AND(R1509="Valid",OR(P1509="Pass",P1509="N/A")),"Complete","Unresolved"))</x:f>
      </x:c>
      <x:c r="R1509" s="9" t="str">
        <x:f>IF(C1509="","",IF(OR(COUNTIF($C$9:$C$2008,C1509)&lt;&gt;1,COUNTIFS($D$9:$D$2008,D1509,$E$9:$E$2008,E1509)&lt;&gt;1),"Duplicate test",IF(COUNTIF('Taxonomy'!$C$9:$C$108,D1509)&lt;&gt;1,"Assessment key",IF(OR(COUNTIF('Taxonomy Rules'!$C$42:$C$68,E1509)&lt;&gt;1,F1509&lt;&gt;IFERROR(INDEX('Taxonomy Rules'!$D$42:$D$68,MATCH(E1509,'Taxonomy Rules'!$C$42:$C$68,0)),""),NOT(OR(IFERROR(INDEX('Taxonomy Rules'!$G$42:$G$68,MATCH(E1509,'Taxonomy Rules'!$C$42:$C$68,0)),"")="All supported routes",IFERROR(INDEX('Taxonomy Rules'!$G$42:$G$68,MATCH(E1509,'Taxonomy Rules'!$C$42:$C$68,0)),"")=U1509,AND(IFERROR(INDEX('Taxonomy Rules'!$G$42:$G$68,MATCH(E1509,'Taxonomy Rules'!$C$42:$C$68,0)),"")="Building routes",OR(U1509="Building renovation",U1509="New building",U1509="Building equipment"))))),"Unexpected test","Valid"))))</x:f>
      </x:c>
      <x:c r="S1509" s="9" t="str">
        <x:f>IF(C1509="","",IFERROR(INDEX('Taxonomy Rules'!$E$42:$E$68,MATCH(E1509,'Taxonomy Rules'!$C$42:$C$68,0)),""))</x:f>
      </x:c>
      <x:c r="T1509" s="9" t="str">
        <x:f>IF(C1509="","",IFERROR(INDEX('Taxonomy Rules'!$F$42:$F$68,MATCH(E1509,'Taxonomy Rules'!$C$42:$C$68,0)),""))</x:f>
      </x:c>
      <x:c r="U1509" s="9" t="str">
        <x:f>IF(C1509="","",IFERROR(INDEX('Taxonomy'!$G$9:$G$108,MATCH(D1509,'Taxonomy'!$C$9:$C$108,0)),""))</x:f>
      </x:c>
    </x:row>
    <x:row r="1510" ht="44" customHeight="1">
      <x:c r="A1510" s="1"/>
      <x:c r="B1510" s="1"/>
      <x:c r="C1510" s="8"/>
      <x:c r="D1510" s="8"/>
      <x:c r="E1510" s="8"/>
      <x:c r="F1510" s="8"/>
      <x:c r="G1510" s="8"/>
      <x:c r="H1510" s="8"/>
      <x:c r="I1510" s="8"/>
      <x:c r="J1510" s="8"/>
      <x:c r="K1510" s="8"/>
      <x:c r="L1510" s="8"/>
      <x:c r="M1510" s="10"/>
      <x:c r="N1510" s="10"/>
      <x:c r="O1510" s="8"/>
      <x:c r="P1510" s="9" t="str">
        <x:f>IF(C1510="","",IF(AND(G1510="Applicable",H1510="Fail"),"Fail",IF(R1510&lt;&gt;"Valid","Pending",IF(OR(I1510="",K1510="",L1510="",K1510=L1510,NOT(ISNUMBER(M1510)),NOT(ISNUMBER(N1510)),M1510&gt;Settings!$F$8,N1510&lt;Settings!$F$8,N1510&lt;M1510),"Pending",IF(AND(G1510="Applicable",H1510="Pass"),"Pass",IF(AND(G1510="N/A",H1510="N/A",J1510&lt;&gt;"",OR(E1510="CEM-FUELS",E1510="CEM-CCS",AND(E1510="CEM-PLAN",IFERROR(INDEX('Taxonomy'!$M$9:$M$108,MATCH(D1510,'Taxonomy'!$C$9:$C$108,0)),"")&lt;&gt;"Amber"),E1510="BLD-TIMBER",AND(U1510="Building equipment",OR(E1510="BLD-WATER",E1510="BLD-WASTE",E1510="BLD-LAND")),AND(U1510="Building renovation",E1510="BLD-LAND"))),"N/A","Pending"))))))</x:f>
      </x:c>
      <x:c r="Q1510" s="3" t="str">
        <x:f>IF(C1510="","",IF(AND(R1510="Valid",OR(P1510="Pass",P1510="N/A")),"Complete","Unresolved"))</x:f>
      </x:c>
      <x:c r="R1510" s="9" t="str">
        <x:f>IF(C1510="","",IF(OR(COUNTIF($C$9:$C$2008,C1510)&lt;&gt;1,COUNTIFS($D$9:$D$2008,D1510,$E$9:$E$2008,E1510)&lt;&gt;1),"Duplicate test",IF(COUNTIF('Taxonomy'!$C$9:$C$108,D1510)&lt;&gt;1,"Assessment key",IF(OR(COUNTIF('Taxonomy Rules'!$C$42:$C$68,E1510)&lt;&gt;1,F1510&lt;&gt;IFERROR(INDEX('Taxonomy Rules'!$D$42:$D$68,MATCH(E1510,'Taxonomy Rules'!$C$42:$C$68,0)),""),NOT(OR(IFERROR(INDEX('Taxonomy Rules'!$G$42:$G$68,MATCH(E1510,'Taxonomy Rules'!$C$42:$C$68,0)),"")="All supported routes",IFERROR(INDEX('Taxonomy Rules'!$G$42:$G$68,MATCH(E1510,'Taxonomy Rules'!$C$42:$C$68,0)),"")=U1510,AND(IFERROR(INDEX('Taxonomy Rules'!$G$42:$G$68,MATCH(E1510,'Taxonomy Rules'!$C$42:$C$68,0)),"")="Building routes",OR(U1510="Building renovation",U1510="New building",U1510="Building equipment"))))),"Unexpected test","Valid"))))</x:f>
      </x:c>
      <x:c r="S1510" s="9" t="str">
        <x:f>IF(C1510="","",IFERROR(INDEX('Taxonomy Rules'!$E$42:$E$68,MATCH(E1510,'Taxonomy Rules'!$C$42:$C$68,0)),""))</x:f>
      </x:c>
      <x:c r="T1510" s="9" t="str">
        <x:f>IF(C1510="","",IFERROR(INDEX('Taxonomy Rules'!$F$42:$F$68,MATCH(E1510,'Taxonomy Rules'!$C$42:$C$68,0)),""))</x:f>
      </x:c>
      <x:c r="U1510" s="9" t="str">
        <x:f>IF(C1510="","",IFERROR(INDEX('Taxonomy'!$G$9:$G$108,MATCH(D1510,'Taxonomy'!$C$9:$C$108,0)),""))</x:f>
      </x:c>
    </x:row>
    <x:row r="1511" ht="44" customHeight="1">
      <x:c r="A1511" s="1"/>
      <x:c r="B1511" s="1"/>
      <x:c r="C1511" s="8"/>
      <x:c r="D1511" s="8"/>
      <x:c r="E1511" s="8"/>
      <x:c r="F1511" s="8"/>
      <x:c r="G1511" s="8"/>
      <x:c r="H1511" s="8"/>
      <x:c r="I1511" s="8"/>
      <x:c r="J1511" s="8"/>
      <x:c r="K1511" s="8"/>
      <x:c r="L1511" s="8"/>
      <x:c r="M1511" s="10"/>
      <x:c r="N1511" s="10"/>
      <x:c r="O1511" s="8"/>
      <x:c r="P1511" s="9" t="str">
        <x:f>IF(C1511="","",IF(AND(G1511="Applicable",H1511="Fail"),"Fail",IF(R1511&lt;&gt;"Valid","Pending",IF(OR(I1511="",K1511="",L1511="",K1511=L1511,NOT(ISNUMBER(M1511)),NOT(ISNUMBER(N1511)),M1511&gt;Settings!$F$8,N1511&lt;Settings!$F$8,N1511&lt;M1511),"Pending",IF(AND(G1511="Applicable",H1511="Pass"),"Pass",IF(AND(G1511="N/A",H1511="N/A",J1511&lt;&gt;"",OR(E1511="CEM-FUELS",E1511="CEM-CCS",AND(E1511="CEM-PLAN",IFERROR(INDEX('Taxonomy'!$M$9:$M$108,MATCH(D1511,'Taxonomy'!$C$9:$C$108,0)),"")&lt;&gt;"Amber"),E1511="BLD-TIMBER",AND(U1511="Building equipment",OR(E1511="BLD-WATER",E1511="BLD-WASTE",E1511="BLD-LAND")),AND(U1511="Building renovation",E1511="BLD-LAND"))),"N/A","Pending"))))))</x:f>
      </x:c>
      <x:c r="Q1511" s="3" t="str">
        <x:f>IF(C1511="","",IF(AND(R1511="Valid",OR(P1511="Pass",P1511="N/A")),"Complete","Unresolved"))</x:f>
      </x:c>
      <x:c r="R1511" s="9" t="str">
        <x:f>IF(C1511="","",IF(OR(COUNTIF($C$9:$C$2008,C1511)&lt;&gt;1,COUNTIFS($D$9:$D$2008,D1511,$E$9:$E$2008,E1511)&lt;&gt;1),"Duplicate test",IF(COUNTIF('Taxonomy'!$C$9:$C$108,D1511)&lt;&gt;1,"Assessment key",IF(OR(COUNTIF('Taxonomy Rules'!$C$42:$C$68,E1511)&lt;&gt;1,F1511&lt;&gt;IFERROR(INDEX('Taxonomy Rules'!$D$42:$D$68,MATCH(E1511,'Taxonomy Rules'!$C$42:$C$68,0)),""),NOT(OR(IFERROR(INDEX('Taxonomy Rules'!$G$42:$G$68,MATCH(E1511,'Taxonomy Rules'!$C$42:$C$68,0)),"")="All supported routes",IFERROR(INDEX('Taxonomy Rules'!$G$42:$G$68,MATCH(E1511,'Taxonomy Rules'!$C$42:$C$68,0)),"")=U1511,AND(IFERROR(INDEX('Taxonomy Rules'!$G$42:$G$68,MATCH(E1511,'Taxonomy Rules'!$C$42:$C$68,0)),"")="Building routes",OR(U1511="Building renovation",U1511="New building",U1511="Building equipment"))))),"Unexpected test","Valid"))))</x:f>
      </x:c>
      <x:c r="S1511" s="9" t="str">
        <x:f>IF(C1511="","",IFERROR(INDEX('Taxonomy Rules'!$E$42:$E$68,MATCH(E1511,'Taxonomy Rules'!$C$42:$C$68,0)),""))</x:f>
      </x:c>
      <x:c r="T1511" s="9" t="str">
        <x:f>IF(C1511="","",IFERROR(INDEX('Taxonomy Rules'!$F$42:$F$68,MATCH(E1511,'Taxonomy Rules'!$C$42:$C$68,0)),""))</x:f>
      </x:c>
      <x:c r="U1511" s="9" t="str">
        <x:f>IF(C1511="","",IFERROR(INDEX('Taxonomy'!$G$9:$G$108,MATCH(D1511,'Taxonomy'!$C$9:$C$108,0)),""))</x:f>
      </x:c>
    </x:row>
    <x:row r="1512" ht="44" customHeight="1">
      <x:c r="A1512" s="1"/>
      <x:c r="B1512" s="1"/>
      <x:c r="C1512" s="8"/>
      <x:c r="D1512" s="8"/>
      <x:c r="E1512" s="8"/>
      <x:c r="F1512" s="8"/>
      <x:c r="G1512" s="8"/>
      <x:c r="H1512" s="8"/>
      <x:c r="I1512" s="8"/>
      <x:c r="J1512" s="8"/>
      <x:c r="K1512" s="8"/>
      <x:c r="L1512" s="8"/>
      <x:c r="M1512" s="10"/>
      <x:c r="N1512" s="10"/>
      <x:c r="O1512" s="8"/>
      <x:c r="P1512" s="9" t="str">
        <x:f>IF(C1512="","",IF(AND(G1512="Applicable",H1512="Fail"),"Fail",IF(R1512&lt;&gt;"Valid","Pending",IF(OR(I1512="",K1512="",L1512="",K1512=L1512,NOT(ISNUMBER(M1512)),NOT(ISNUMBER(N1512)),M1512&gt;Settings!$F$8,N1512&lt;Settings!$F$8,N1512&lt;M1512),"Pending",IF(AND(G1512="Applicable",H1512="Pass"),"Pass",IF(AND(G1512="N/A",H1512="N/A",J1512&lt;&gt;"",OR(E1512="CEM-FUELS",E1512="CEM-CCS",AND(E1512="CEM-PLAN",IFERROR(INDEX('Taxonomy'!$M$9:$M$108,MATCH(D1512,'Taxonomy'!$C$9:$C$108,0)),"")&lt;&gt;"Amber"),E1512="BLD-TIMBER",AND(U1512="Building equipment",OR(E1512="BLD-WATER",E1512="BLD-WASTE",E1512="BLD-LAND")),AND(U1512="Building renovation",E1512="BLD-LAND"))),"N/A","Pending"))))))</x:f>
      </x:c>
      <x:c r="Q1512" s="3" t="str">
        <x:f>IF(C1512="","",IF(AND(R1512="Valid",OR(P1512="Pass",P1512="N/A")),"Complete","Unresolved"))</x:f>
      </x:c>
      <x:c r="R1512" s="9" t="str">
        <x:f>IF(C1512="","",IF(OR(COUNTIF($C$9:$C$2008,C1512)&lt;&gt;1,COUNTIFS($D$9:$D$2008,D1512,$E$9:$E$2008,E1512)&lt;&gt;1),"Duplicate test",IF(COUNTIF('Taxonomy'!$C$9:$C$108,D1512)&lt;&gt;1,"Assessment key",IF(OR(COUNTIF('Taxonomy Rules'!$C$42:$C$68,E1512)&lt;&gt;1,F1512&lt;&gt;IFERROR(INDEX('Taxonomy Rules'!$D$42:$D$68,MATCH(E1512,'Taxonomy Rules'!$C$42:$C$68,0)),""),NOT(OR(IFERROR(INDEX('Taxonomy Rules'!$G$42:$G$68,MATCH(E1512,'Taxonomy Rules'!$C$42:$C$68,0)),"")="All supported routes",IFERROR(INDEX('Taxonomy Rules'!$G$42:$G$68,MATCH(E1512,'Taxonomy Rules'!$C$42:$C$68,0)),"")=U1512,AND(IFERROR(INDEX('Taxonomy Rules'!$G$42:$G$68,MATCH(E1512,'Taxonomy Rules'!$C$42:$C$68,0)),"")="Building routes",OR(U1512="Building renovation",U1512="New building",U1512="Building equipment"))))),"Unexpected test","Valid"))))</x:f>
      </x:c>
      <x:c r="S1512" s="9" t="str">
        <x:f>IF(C1512="","",IFERROR(INDEX('Taxonomy Rules'!$E$42:$E$68,MATCH(E1512,'Taxonomy Rules'!$C$42:$C$68,0)),""))</x:f>
      </x:c>
      <x:c r="T1512" s="9" t="str">
        <x:f>IF(C1512="","",IFERROR(INDEX('Taxonomy Rules'!$F$42:$F$68,MATCH(E1512,'Taxonomy Rules'!$C$42:$C$68,0)),""))</x:f>
      </x:c>
      <x:c r="U1512" s="9" t="str">
        <x:f>IF(C1512="","",IFERROR(INDEX('Taxonomy'!$G$9:$G$108,MATCH(D1512,'Taxonomy'!$C$9:$C$108,0)),""))</x:f>
      </x:c>
    </x:row>
    <x:row r="1513" ht="44" customHeight="1">
      <x:c r="A1513" s="1"/>
      <x:c r="B1513" s="1"/>
      <x:c r="C1513" s="8"/>
      <x:c r="D1513" s="8"/>
      <x:c r="E1513" s="8"/>
      <x:c r="F1513" s="8"/>
      <x:c r="G1513" s="8"/>
      <x:c r="H1513" s="8"/>
      <x:c r="I1513" s="8"/>
      <x:c r="J1513" s="8"/>
      <x:c r="K1513" s="8"/>
      <x:c r="L1513" s="8"/>
      <x:c r="M1513" s="10"/>
      <x:c r="N1513" s="10"/>
      <x:c r="O1513" s="8"/>
      <x:c r="P1513" s="9" t="str">
        <x:f>IF(C1513="","",IF(AND(G1513="Applicable",H1513="Fail"),"Fail",IF(R1513&lt;&gt;"Valid","Pending",IF(OR(I1513="",K1513="",L1513="",K1513=L1513,NOT(ISNUMBER(M1513)),NOT(ISNUMBER(N1513)),M1513&gt;Settings!$F$8,N1513&lt;Settings!$F$8,N1513&lt;M1513),"Pending",IF(AND(G1513="Applicable",H1513="Pass"),"Pass",IF(AND(G1513="N/A",H1513="N/A",J1513&lt;&gt;"",OR(E1513="CEM-FUELS",E1513="CEM-CCS",AND(E1513="CEM-PLAN",IFERROR(INDEX('Taxonomy'!$M$9:$M$108,MATCH(D1513,'Taxonomy'!$C$9:$C$108,0)),"")&lt;&gt;"Amber"),E1513="BLD-TIMBER",AND(U1513="Building equipment",OR(E1513="BLD-WATER",E1513="BLD-WASTE",E1513="BLD-LAND")),AND(U1513="Building renovation",E1513="BLD-LAND"))),"N/A","Pending"))))))</x:f>
      </x:c>
      <x:c r="Q1513" s="3" t="str">
        <x:f>IF(C1513="","",IF(AND(R1513="Valid",OR(P1513="Pass",P1513="N/A")),"Complete","Unresolved"))</x:f>
      </x:c>
      <x:c r="R1513" s="9" t="str">
        <x:f>IF(C1513="","",IF(OR(COUNTIF($C$9:$C$2008,C1513)&lt;&gt;1,COUNTIFS($D$9:$D$2008,D1513,$E$9:$E$2008,E1513)&lt;&gt;1),"Duplicate test",IF(COUNTIF('Taxonomy'!$C$9:$C$108,D1513)&lt;&gt;1,"Assessment key",IF(OR(COUNTIF('Taxonomy Rules'!$C$42:$C$68,E1513)&lt;&gt;1,F1513&lt;&gt;IFERROR(INDEX('Taxonomy Rules'!$D$42:$D$68,MATCH(E1513,'Taxonomy Rules'!$C$42:$C$68,0)),""),NOT(OR(IFERROR(INDEX('Taxonomy Rules'!$G$42:$G$68,MATCH(E1513,'Taxonomy Rules'!$C$42:$C$68,0)),"")="All supported routes",IFERROR(INDEX('Taxonomy Rules'!$G$42:$G$68,MATCH(E1513,'Taxonomy Rules'!$C$42:$C$68,0)),"")=U1513,AND(IFERROR(INDEX('Taxonomy Rules'!$G$42:$G$68,MATCH(E1513,'Taxonomy Rules'!$C$42:$C$68,0)),"")="Building routes",OR(U1513="Building renovation",U1513="New building",U1513="Building equipment"))))),"Unexpected test","Valid"))))</x:f>
      </x:c>
      <x:c r="S1513" s="9" t="str">
        <x:f>IF(C1513="","",IFERROR(INDEX('Taxonomy Rules'!$E$42:$E$68,MATCH(E1513,'Taxonomy Rules'!$C$42:$C$68,0)),""))</x:f>
      </x:c>
      <x:c r="T1513" s="9" t="str">
        <x:f>IF(C1513="","",IFERROR(INDEX('Taxonomy Rules'!$F$42:$F$68,MATCH(E1513,'Taxonomy Rules'!$C$42:$C$68,0)),""))</x:f>
      </x:c>
      <x:c r="U1513" s="9" t="str">
        <x:f>IF(C1513="","",IFERROR(INDEX('Taxonomy'!$G$9:$G$108,MATCH(D1513,'Taxonomy'!$C$9:$C$108,0)),""))</x:f>
      </x:c>
    </x:row>
    <x:row r="1514" ht="44" customHeight="1">
      <x:c r="A1514" s="1"/>
      <x:c r="B1514" s="1"/>
      <x:c r="C1514" s="8"/>
      <x:c r="D1514" s="8"/>
      <x:c r="E1514" s="8"/>
      <x:c r="F1514" s="8"/>
      <x:c r="G1514" s="8"/>
      <x:c r="H1514" s="8"/>
      <x:c r="I1514" s="8"/>
      <x:c r="J1514" s="8"/>
      <x:c r="K1514" s="8"/>
      <x:c r="L1514" s="8"/>
      <x:c r="M1514" s="10"/>
      <x:c r="N1514" s="10"/>
      <x:c r="O1514" s="8"/>
      <x:c r="P1514" s="9" t="str">
        <x:f>IF(C1514="","",IF(AND(G1514="Applicable",H1514="Fail"),"Fail",IF(R1514&lt;&gt;"Valid","Pending",IF(OR(I1514="",K1514="",L1514="",K1514=L1514,NOT(ISNUMBER(M1514)),NOT(ISNUMBER(N1514)),M1514&gt;Settings!$F$8,N1514&lt;Settings!$F$8,N1514&lt;M1514),"Pending",IF(AND(G1514="Applicable",H1514="Pass"),"Pass",IF(AND(G1514="N/A",H1514="N/A",J1514&lt;&gt;"",OR(E1514="CEM-FUELS",E1514="CEM-CCS",AND(E1514="CEM-PLAN",IFERROR(INDEX('Taxonomy'!$M$9:$M$108,MATCH(D1514,'Taxonomy'!$C$9:$C$108,0)),"")&lt;&gt;"Amber"),E1514="BLD-TIMBER",AND(U1514="Building equipment",OR(E1514="BLD-WATER",E1514="BLD-WASTE",E1514="BLD-LAND")),AND(U1514="Building renovation",E1514="BLD-LAND"))),"N/A","Pending"))))))</x:f>
      </x:c>
      <x:c r="Q1514" s="3" t="str">
        <x:f>IF(C1514="","",IF(AND(R1514="Valid",OR(P1514="Pass",P1514="N/A")),"Complete","Unresolved"))</x:f>
      </x:c>
      <x:c r="R1514" s="9" t="str">
        <x:f>IF(C1514="","",IF(OR(COUNTIF($C$9:$C$2008,C1514)&lt;&gt;1,COUNTIFS($D$9:$D$2008,D1514,$E$9:$E$2008,E1514)&lt;&gt;1),"Duplicate test",IF(COUNTIF('Taxonomy'!$C$9:$C$108,D1514)&lt;&gt;1,"Assessment key",IF(OR(COUNTIF('Taxonomy Rules'!$C$42:$C$68,E1514)&lt;&gt;1,F1514&lt;&gt;IFERROR(INDEX('Taxonomy Rules'!$D$42:$D$68,MATCH(E1514,'Taxonomy Rules'!$C$42:$C$68,0)),""),NOT(OR(IFERROR(INDEX('Taxonomy Rules'!$G$42:$G$68,MATCH(E1514,'Taxonomy Rules'!$C$42:$C$68,0)),"")="All supported routes",IFERROR(INDEX('Taxonomy Rules'!$G$42:$G$68,MATCH(E1514,'Taxonomy Rules'!$C$42:$C$68,0)),"")=U1514,AND(IFERROR(INDEX('Taxonomy Rules'!$G$42:$G$68,MATCH(E1514,'Taxonomy Rules'!$C$42:$C$68,0)),"")="Building routes",OR(U1514="Building renovation",U1514="New building",U1514="Building equipment"))))),"Unexpected test","Valid"))))</x:f>
      </x:c>
      <x:c r="S1514" s="9" t="str">
        <x:f>IF(C1514="","",IFERROR(INDEX('Taxonomy Rules'!$E$42:$E$68,MATCH(E1514,'Taxonomy Rules'!$C$42:$C$68,0)),""))</x:f>
      </x:c>
      <x:c r="T1514" s="9" t="str">
        <x:f>IF(C1514="","",IFERROR(INDEX('Taxonomy Rules'!$F$42:$F$68,MATCH(E1514,'Taxonomy Rules'!$C$42:$C$68,0)),""))</x:f>
      </x:c>
      <x:c r="U1514" s="9" t="str">
        <x:f>IF(C1514="","",IFERROR(INDEX('Taxonomy'!$G$9:$G$108,MATCH(D1514,'Taxonomy'!$C$9:$C$108,0)),""))</x:f>
      </x:c>
    </x:row>
    <x:row r="1515" ht="44" customHeight="1">
      <x:c r="A1515" s="1"/>
      <x:c r="B1515" s="1"/>
      <x:c r="C1515" s="8"/>
      <x:c r="D1515" s="8"/>
      <x:c r="E1515" s="8"/>
      <x:c r="F1515" s="8"/>
      <x:c r="G1515" s="8"/>
      <x:c r="H1515" s="8"/>
      <x:c r="I1515" s="8"/>
      <x:c r="J1515" s="8"/>
      <x:c r="K1515" s="8"/>
      <x:c r="L1515" s="8"/>
      <x:c r="M1515" s="10"/>
      <x:c r="N1515" s="10"/>
      <x:c r="O1515" s="8"/>
      <x:c r="P1515" s="9" t="str">
        <x:f>IF(C1515="","",IF(AND(G1515="Applicable",H1515="Fail"),"Fail",IF(R1515&lt;&gt;"Valid","Pending",IF(OR(I1515="",K1515="",L1515="",K1515=L1515,NOT(ISNUMBER(M1515)),NOT(ISNUMBER(N1515)),M1515&gt;Settings!$F$8,N1515&lt;Settings!$F$8,N1515&lt;M1515),"Pending",IF(AND(G1515="Applicable",H1515="Pass"),"Pass",IF(AND(G1515="N/A",H1515="N/A",J1515&lt;&gt;"",OR(E1515="CEM-FUELS",E1515="CEM-CCS",AND(E1515="CEM-PLAN",IFERROR(INDEX('Taxonomy'!$M$9:$M$108,MATCH(D1515,'Taxonomy'!$C$9:$C$108,0)),"")&lt;&gt;"Amber"),E1515="BLD-TIMBER",AND(U1515="Building equipment",OR(E1515="BLD-WATER",E1515="BLD-WASTE",E1515="BLD-LAND")),AND(U1515="Building renovation",E1515="BLD-LAND"))),"N/A","Pending"))))))</x:f>
      </x:c>
      <x:c r="Q1515" s="3" t="str">
        <x:f>IF(C1515="","",IF(AND(R1515="Valid",OR(P1515="Pass",P1515="N/A")),"Complete","Unresolved"))</x:f>
      </x:c>
      <x:c r="R1515" s="9" t="str">
        <x:f>IF(C1515="","",IF(OR(COUNTIF($C$9:$C$2008,C1515)&lt;&gt;1,COUNTIFS($D$9:$D$2008,D1515,$E$9:$E$2008,E1515)&lt;&gt;1),"Duplicate test",IF(COUNTIF('Taxonomy'!$C$9:$C$108,D1515)&lt;&gt;1,"Assessment key",IF(OR(COUNTIF('Taxonomy Rules'!$C$42:$C$68,E1515)&lt;&gt;1,F1515&lt;&gt;IFERROR(INDEX('Taxonomy Rules'!$D$42:$D$68,MATCH(E1515,'Taxonomy Rules'!$C$42:$C$68,0)),""),NOT(OR(IFERROR(INDEX('Taxonomy Rules'!$G$42:$G$68,MATCH(E1515,'Taxonomy Rules'!$C$42:$C$68,0)),"")="All supported routes",IFERROR(INDEX('Taxonomy Rules'!$G$42:$G$68,MATCH(E1515,'Taxonomy Rules'!$C$42:$C$68,0)),"")=U1515,AND(IFERROR(INDEX('Taxonomy Rules'!$G$42:$G$68,MATCH(E1515,'Taxonomy Rules'!$C$42:$C$68,0)),"")="Building routes",OR(U1515="Building renovation",U1515="New building",U1515="Building equipment"))))),"Unexpected test","Valid"))))</x:f>
      </x:c>
      <x:c r="S1515" s="9" t="str">
        <x:f>IF(C1515="","",IFERROR(INDEX('Taxonomy Rules'!$E$42:$E$68,MATCH(E1515,'Taxonomy Rules'!$C$42:$C$68,0)),""))</x:f>
      </x:c>
      <x:c r="T1515" s="9" t="str">
        <x:f>IF(C1515="","",IFERROR(INDEX('Taxonomy Rules'!$F$42:$F$68,MATCH(E1515,'Taxonomy Rules'!$C$42:$C$68,0)),""))</x:f>
      </x:c>
      <x:c r="U1515" s="9" t="str">
        <x:f>IF(C1515="","",IFERROR(INDEX('Taxonomy'!$G$9:$G$108,MATCH(D1515,'Taxonomy'!$C$9:$C$108,0)),""))</x:f>
      </x:c>
    </x:row>
    <x:row r="1516" ht="44" customHeight="1">
      <x:c r="A1516" s="1"/>
      <x:c r="B1516" s="1"/>
      <x:c r="C1516" s="8"/>
      <x:c r="D1516" s="8"/>
      <x:c r="E1516" s="8"/>
      <x:c r="F1516" s="8"/>
      <x:c r="G1516" s="8"/>
      <x:c r="H1516" s="8"/>
      <x:c r="I1516" s="8"/>
      <x:c r="J1516" s="8"/>
      <x:c r="K1516" s="8"/>
      <x:c r="L1516" s="8"/>
      <x:c r="M1516" s="10"/>
      <x:c r="N1516" s="10"/>
      <x:c r="O1516" s="8"/>
      <x:c r="P1516" s="9" t="str">
        <x:f>IF(C1516="","",IF(AND(G1516="Applicable",H1516="Fail"),"Fail",IF(R1516&lt;&gt;"Valid","Pending",IF(OR(I1516="",K1516="",L1516="",K1516=L1516,NOT(ISNUMBER(M1516)),NOT(ISNUMBER(N1516)),M1516&gt;Settings!$F$8,N1516&lt;Settings!$F$8,N1516&lt;M1516),"Pending",IF(AND(G1516="Applicable",H1516="Pass"),"Pass",IF(AND(G1516="N/A",H1516="N/A",J1516&lt;&gt;"",OR(E1516="CEM-FUELS",E1516="CEM-CCS",AND(E1516="CEM-PLAN",IFERROR(INDEX('Taxonomy'!$M$9:$M$108,MATCH(D1516,'Taxonomy'!$C$9:$C$108,0)),"")&lt;&gt;"Amber"),E1516="BLD-TIMBER",AND(U1516="Building equipment",OR(E1516="BLD-WATER",E1516="BLD-WASTE",E1516="BLD-LAND")),AND(U1516="Building renovation",E1516="BLD-LAND"))),"N/A","Pending"))))))</x:f>
      </x:c>
      <x:c r="Q1516" s="3" t="str">
        <x:f>IF(C1516="","",IF(AND(R1516="Valid",OR(P1516="Pass",P1516="N/A")),"Complete","Unresolved"))</x:f>
      </x:c>
      <x:c r="R1516" s="9" t="str">
        <x:f>IF(C1516="","",IF(OR(COUNTIF($C$9:$C$2008,C1516)&lt;&gt;1,COUNTIFS($D$9:$D$2008,D1516,$E$9:$E$2008,E1516)&lt;&gt;1),"Duplicate test",IF(COUNTIF('Taxonomy'!$C$9:$C$108,D1516)&lt;&gt;1,"Assessment key",IF(OR(COUNTIF('Taxonomy Rules'!$C$42:$C$68,E1516)&lt;&gt;1,F1516&lt;&gt;IFERROR(INDEX('Taxonomy Rules'!$D$42:$D$68,MATCH(E1516,'Taxonomy Rules'!$C$42:$C$68,0)),""),NOT(OR(IFERROR(INDEX('Taxonomy Rules'!$G$42:$G$68,MATCH(E1516,'Taxonomy Rules'!$C$42:$C$68,0)),"")="All supported routes",IFERROR(INDEX('Taxonomy Rules'!$G$42:$G$68,MATCH(E1516,'Taxonomy Rules'!$C$42:$C$68,0)),"")=U1516,AND(IFERROR(INDEX('Taxonomy Rules'!$G$42:$G$68,MATCH(E1516,'Taxonomy Rules'!$C$42:$C$68,0)),"")="Building routes",OR(U1516="Building renovation",U1516="New building",U1516="Building equipment"))))),"Unexpected test","Valid"))))</x:f>
      </x:c>
      <x:c r="S1516" s="9" t="str">
        <x:f>IF(C1516="","",IFERROR(INDEX('Taxonomy Rules'!$E$42:$E$68,MATCH(E1516,'Taxonomy Rules'!$C$42:$C$68,0)),""))</x:f>
      </x:c>
      <x:c r="T1516" s="9" t="str">
        <x:f>IF(C1516="","",IFERROR(INDEX('Taxonomy Rules'!$F$42:$F$68,MATCH(E1516,'Taxonomy Rules'!$C$42:$C$68,0)),""))</x:f>
      </x:c>
      <x:c r="U1516" s="9" t="str">
        <x:f>IF(C1516="","",IFERROR(INDEX('Taxonomy'!$G$9:$G$108,MATCH(D1516,'Taxonomy'!$C$9:$C$108,0)),""))</x:f>
      </x:c>
    </x:row>
    <x:row r="1517" ht="44" customHeight="1">
      <x:c r="A1517" s="1"/>
      <x:c r="B1517" s="1"/>
      <x:c r="C1517" s="8"/>
      <x:c r="D1517" s="8"/>
      <x:c r="E1517" s="8"/>
      <x:c r="F1517" s="8"/>
      <x:c r="G1517" s="8"/>
      <x:c r="H1517" s="8"/>
      <x:c r="I1517" s="8"/>
      <x:c r="J1517" s="8"/>
      <x:c r="K1517" s="8"/>
      <x:c r="L1517" s="8"/>
      <x:c r="M1517" s="10"/>
      <x:c r="N1517" s="10"/>
      <x:c r="O1517" s="8"/>
      <x:c r="P1517" s="9" t="str">
        <x:f>IF(C1517="","",IF(AND(G1517="Applicable",H1517="Fail"),"Fail",IF(R1517&lt;&gt;"Valid","Pending",IF(OR(I1517="",K1517="",L1517="",K1517=L1517,NOT(ISNUMBER(M1517)),NOT(ISNUMBER(N1517)),M1517&gt;Settings!$F$8,N1517&lt;Settings!$F$8,N1517&lt;M1517),"Pending",IF(AND(G1517="Applicable",H1517="Pass"),"Pass",IF(AND(G1517="N/A",H1517="N/A",J1517&lt;&gt;"",OR(E1517="CEM-FUELS",E1517="CEM-CCS",AND(E1517="CEM-PLAN",IFERROR(INDEX('Taxonomy'!$M$9:$M$108,MATCH(D1517,'Taxonomy'!$C$9:$C$108,0)),"")&lt;&gt;"Amber"),E1517="BLD-TIMBER",AND(U1517="Building equipment",OR(E1517="BLD-WATER",E1517="BLD-WASTE",E1517="BLD-LAND")),AND(U1517="Building renovation",E1517="BLD-LAND"))),"N/A","Pending"))))))</x:f>
      </x:c>
      <x:c r="Q1517" s="3" t="str">
        <x:f>IF(C1517="","",IF(AND(R1517="Valid",OR(P1517="Pass",P1517="N/A")),"Complete","Unresolved"))</x:f>
      </x:c>
      <x:c r="R1517" s="9" t="str">
        <x:f>IF(C1517="","",IF(OR(COUNTIF($C$9:$C$2008,C1517)&lt;&gt;1,COUNTIFS($D$9:$D$2008,D1517,$E$9:$E$2008,E1517)&lt;&gt;1),"Duplicate test",IF(COUNTIF('Taxonomy'!$C$9:$C$108,D1517)&lt;&gt;1,"Assessment key",IF(OR(COUNTIF('Taxonomy Rules'!$C$42:$C$68,E1517)&lt;&gt;1,F1517&lt;&gt;IFERROR(INDEX('Taxonomy Rules'!$D$42:$D$68,MATCH(E1517,'Taxonomy Rules'!$C$42:$C$68,0)),""),NOT(OR(IFERROR(INDEX('Taxonomy Rules'!$G$42:$G$68,MATCH(E1517,'Taxonomy Rules'!$C$42:$C$68,0)),"")="All supported routes",IFERROR(INDEX('Taxonomy Rules'!$G$42:$G$68,MATCH(E1517,'Taxonomy Rules'!$C$42:$C$68,0)),"")=U1517,AND(IFERROR(INDEX('Taxonomy Rules'!$G$42:$G$68,MATCH(E1517,'Taxonomy Rules'!$C$42:$C$68,0)),"")="Building routes",OR(U1517="Building renovation",U1517="New building",U1517="Building equipment"))))),"Unexpected test","Valid"))))</x:f>
      </x:c>
      <x:c r="S1517" s="9" t="str">
        <x:f>IF(C1517="","",IFERROR(INDEX('Taxonomy Rules'!$E$42:$E$68,MATCH(E1517,'Taxonomy Rules'!$C$42:$C$68,0)),""))</x:f>
      </x:c>
      <x:c r="T1517" s="9" t="str">
        <x:f>IF(C1517="","",IFERROR(INDEX('Taxonomy Rules'!$F$42:$F$68,MATCH(E1517,'Taxonomy Rules'!$C$42:$C$68,0)),""))</x:f>
      </x:c>
      <x:c r="U1517" s="9" t="str">
        <x:f>IF(C1517="","",IFERROR(INDEX('Taxonomy'!$G$9:$G$108,MATCH(D1517,'Taxonomy'!$C$9:$C$108,0)),""))</x:f>
      </x:c>
    </x:row>
    <x:row r="1518" ht="44" customHeight="1">
      <x:c r="A1518" s="1"/>
      <x:c r="B1518" s="1"/>
      <x:c r="C1518" s="8"/>
      <x:c r="D1518" s="8"/>
      <x:c r="E1518" s="8"/>
      <x:c r="F1518" s="8"/>
      <x:c r="G1518" s="8"/>
      <x:c r="H1518" s="8"/>
      <x:c r="I1518" s="8"/>
      <x:c r="J1518" s="8"/>
      <x:c r="K1518" s="8"/>
      <x:c r="L1518" s="8"/>
      <x:c r="M1518" s="10"/>
      <x:c r="N1518" s="10"/>
      <x:c r="O1518" s="8"/>
      <x:c r="P1518" s="9" t="str">
        <x:f>IF(C1518="","",IF(AND(G1518="Applicable",H1518="Fail"),"Fail",IF(R1518&lt;&gt;"Valid","Pending",IF(OR(I1518="",K1518="",L1518="",K1518=L1518,NOT(ISNUMBER(M1518)),NOT(ISNUMBER(N1518)),M1518&gt;Settings!$F$8,N1518&lt;Settings!$F$8,N1518&lt;M1518),"Pending",IF(AND(G1518="Applicable",H1518="Pass"),"Pass",IF(AND(G1518="N/A",H1518="N/A",J1518&lt;&gt;"",OR(E1518="CEM-FUELS",E1518="CEM-CCS",AND(E1518="CEM-PLAN",IFERROR(INDEX('Taxonomy'!$M$9:$M$108,MATCH(D1518,'Taxonomy'!$C$9:$C$108,0)),"")&lt;&gt;"Amber"),E1518="BLD-TIMBER",AND(U1518="Building equipment",OR(E1518="BLD-WATER",E1518="BLD-WASTE",E1518="BLD-LAND")),AND(U1518="Building renovation",E1518="BLD-LAND"))),"N/A","Pending"))))))</x:f>
      </x:c>
      <x:c r="Q1518" s="3" t="str">
        <x:f>IF(C1518="","",IF(AND(R1518="Valid",OR(P1518="Pass",P1518="N/A")),"Complete","Unresolved"))</x:f>
      </x:c>
      <x:c r="R1518" s="9" t="str">
        <x:f>IF(C1518="","",IF(OR(COUNTIF($C$9:$C$2008,C1518)&lt;&gt;1,COUNTIFS($D$9:$D$2008,D1518,$E$9:$E$2008,E1518)&lt;&gt;1),"Duplicate test",IF(COUNTIF('Taxonomy'!$C$9:$C$108,D1518)&lt;&gt;1,"Assessment key",IF(OR(COUNTIF('Taxonomy Rules'!$C$42:$C$68,E1518)&lt;&gt;1,F1518&lt;&gt;IFERROR(INDEX('Taxonomy Rules'!$D$42:$D$68,MATCH(E1518,'Taxonomy Rules'!$C$42:$C$68,0)),""),NOT(OR(IFERROR(INDEX('Taxonomy Rules'!$G$42:$G$68,MATCH(E1518,'Taxonomy Rules'!$C$42:$C$68,0)),"")="All supported routes",IFERROR(INDEX('Taxonomy Rules'!$G$42:$G$68,MATCH(E1518,'Taxonomy Rules'!$C$42:$C$68,0)),"")=U1518,AND(IFERROR(INDEX('Taxonomy Rules'!$G$42:$G$68,MATCH(E1518,'Taxonomy Rules'!$C$42:$C$68,0)),"")="Building routes",OR(U1518="Building renovation",U1518="New building",U1518="Building equipment"))))),"Unexpected test","Valid"))))</x:f>
      </x:c>
      <x:c r="S1518" s="9" t="str">
        <x:f>IF(C1518="","",IFERROR(INDEX('Taxonomy Rules'!$E$42:$E$68,MATCH(E1518,'Taxonomy Rules'!$C$42:$C$68,0)),""))</x:f>
      </x:c>
      <x:c r="T1518" s="9" t="str">
        <x:f>IF(C1518="","",IFERROR(INDEX('Taxonomy Rules'!$F$42:$F$68,MATCH(E1518,'Taxonomy Rules'!$C$42:$C$68,0)),""))</x:f>
      </x:c>
      <x:c r="U1518" s="9" t="str">
        <x:f>IF(C1518="","",IFERROR(INDEX('Taxonomy'!$G$9:$G$108,MATCH(D1518,'Taxonomy'!$C$9:$C$108,0)),""))</x:f>
      </x:c>
    </x:row>
    <x:row r="1519" ht="44" customHeight="1">
      <x:c r="A1519" s="1"/>
      <x:c r="B1519" s="1"/>
      <x:c r="C1519" s="8"/>
      <x:c r="D1519" s="8"/>
      <x:c r="E1519" s="8"/>
      <x:c r="F1519" s="8"/>
      <x:c r="G1519" s="8"/>
      <x:c r="H1519" s="8"/>
      <x:c r="I1519" s="8"/>
      <x:c r="J1519" s="8"/>
      <x:c r="K1519" s="8"/>
      <x:c r="L1519" s="8"/>
      <x:c r="M1519" s="10"/>
      <x:c r="N1519" s="10"/>
      <x:c r="O1519" s="8"/>
      <x:c r="P1519" s="9" t="str">
        <x:f>IF(C1519="","",IF(AND(G1519="Applicable",H1519="Fail"),"Fail",IF(R1519&lt;&gt;"Valid","Pending",IF(OR(I1519="",K1519="",L1519="",K1519=L1519,NOT(ISNUMBER(M1519)),NOT(ISNUMBER(N1519)),M1519&gt;Settings!$F$8,N1519&lt;Settings!$F$8,N1519&lt;M1519),"Pending",IF(AND(G1519="Applicable",H1519="Pass"),"Pass",IF(AND(G1519="N/A",H1519="N/A",J1519&lt;&gt;"",OR(E1519="CEM-FUELS",E1519="CEM-CCS",AND(E1519="CEM-PLAN",IFERROR(INDEX('Taxonomy'!$M$9:$M$108,MATCH(D1519,'Taxonomy'!$C$9:$C$108,0)),"")&lt;&gt;"Amber"),E1519="BLD-TIMBER",AND(U1519="Building equipment",OR(E1519="BLD-WATER",E1519="BLD-WASTE",E1519="BLD-LAND")),AND(U1519="Building renovation",E1519="BLD-LAND"))),"N/A","Pending"))))))</x:f>
      </x:c>
      <x:c r="Q1519" s="3" t="str">
        <x:f>IF(C1519="","",IF(AND(R1519="Valid",OR(P1519="Pass",P1519="N/A")),"Complete","Unresolved"))</x:f>
      </x:c>
      <x:c r="R1519" s="9" t="str">
        <x:f>IF(C1519="","",IF(OR(COUNTIF($C$9:$C$2008,C1519)&lt;&gt;1,COUNTIFS($D$9:$D$2008,D1519,$E$9:$E$2008,E1519)&lt;&gt;1),"Duplicate test",IF(COUNTIF('Taxonomy'!$C$9:$C$108,D1519)&lt;&gt;1,"Assessment key",IF(OR(COUNTIF('Taxonomy Rules'!$C$42:$C$68,E1519)&lt;&gt;1,F1519&lt;&gt;IFERROR(INDEX('Taxonomy Rules'!$D$42:$D$68,MATCH(E1519,'Taxonomy Rules'!$C$42:$C$68,0)),""),NOT(OR(IFERROR(INDEX('Taxonomy Rules'!$G$42:$G$68,MATCH(E1519,'Taxonomy Rules'!$C$42:$C$68,0)),"")="All supported routes",IFERROR(INDEX('Taxonomy Rules'!$G$42:$G$68,MATCH(E1519,'Taxonomy Rules'!$C$42:$C$68,0)),"")=U1519,AND(IFERROR(INDEX('Taxonomy Rules'!$G$42:$G$68,MATCH(E1519,'Taxonomy Rules'!$C$42:$C$68,0)),"")="Building routes",OR(U1519="Building renovation",U1519="New building",U1519="Building equipment"))))),"Unexpected test","Valid"))))</x:f>
      </x:c>
      <x:c r="S1519" s="9" t="str">
        <x:f>IF(C1519="","",IFERROR(INDEX('Taxonomy Rules'!$E$42:$E$68,MATCH(E1519,'Taxonomy Rules'!$C$42:$C$68,0)),""))</x:f>
      </x:c>
      <x:c r="T1519" s="9" t="str">
        <x:f>IF(C1519="","",IFERROR(INDEX('Taxonomy Rules'!$F$42:$F$68,MATCH(E1519,'Taxonomy Rules'!$C$42:$C$68,0)),""))</x:f>
      </x:c>
      <x:c r="U1519" s="9" t="str">
        <x:f>IF(C1519="","",IFERROR(INDEX('Taxonomy'!$G$9:$G$108,MATCH(D1519,'Taxonomy'!$C$9:$C$108,0)),""))</x:f>
      </x:c>
    </x:row>
    <x:row r="1520" ht="44" customHeight="1">
      <x:c r="A1520" s="1"/>
      <x:c r="B1520" s="1"/>
      <x:c r="C1520" s="8"/>
      <x:c r="D1520" s="8"/>
      <x:c r="E1520" s="8"/>
      <x:c r="F1520" s="8"/>
      <x:c r="G1520" s="8"/>
      <x:c r="H1520" s="8"/>
      <x:c r="I1520" s="8"/>
      <x:c r="J1520" s="8"/>
      <x:c r="K1520" s="8"/>
      <x:c r="L1520" s="8"/>
      <x:c r="M1520" s="10"/>
      <x:c r="N1520" s="10"/>
      <x:c r="O1520" s="8"/>
      <x:c r="P1520" s="9" t="str">
        <x:f>IF(C1520="","",IF(AND(G1520="Applicable",H1520="Fail"),"Fail",IF(R1520&lt;&gt;"Valid","Pending",IF(OR(I1520="",K1520="",L1520="",K1520=L1520,NOT(ISNUMBER(M1520)),NOT(ISNUMBER(N1520)),M1520&gt;Settings!$F$8,N1520&lt;Settings!$F$8,N1520&lt;M1520),"Pending",IF(AND(G1520="Applicable",H1520="Pass"),"Pass",IF(AND(G1520="N/A",H1520="N/A",J1520&lt;&gt;"",OR(E1520="CEM-FUELS",E1520="CEM-CCS",AND(E1520="CEM-PLAN",IFERROR(INDEX('Taxonomy'!$M$9:$M$108,MATCH(D1520,'Taxonomy'!$C$9:$C$108,0)),"")&lt;&gt;"Amber"),E1520="BLD-TIMBER",AND(U1520="Building equipment",OR(E1520="BLD-WATER",E1520="BLD-WASTE",E1520="BLD-LAND")),AND(U1520="Building renovation",E1520="BLD-LAND"))),"N/A","Pending"))))))</x:f>
      </x:c>
      <x:c r="Q1520" s="3" t="str">
        <x:f>IF(C1520="","",IF(AND(R1520="Valid",OR(P1520="Pass",P1520="N/A")),"Complete","Unresolved"))</x:f>
      </x:c>
      <x:c r="R1520" s="9" t="str">
        <x:f>IF(C1520="","",IF(OR(COUNTIF($C$9:$C$2008,C1520)&lt;&gt;1,COUNTIFS($D$9:$D$2008,D1520,$E$9:$E$2008,E1520)&lt;&gt;1),"Duplicate test",IF(COUNTIF('Taxonomy'!$C$9:$C$108,D1520)&lt;&gt;1,"Assessment key",IF(OR(COUNTIF('Taxonomy Rules'!$C$42:$C$68,E1520)&lt;&gt;1,F1520&lt;&gt;IFERROR(INDEX('Taxonomy Rules'!$D$42:$D$68,MATCH(E1520,'Taxonomy Rules'!$C$42:$C$68,0)),""),NOT(OR(IFERROR(INDEX('Taxonomy Rules'!$G$42:$G$68,MATCH(E1520,'Taxonomy Rules'!$C$42:$C$68,0)),"")="All supported routes",IFERROR(INDEX('Taxonomy Rules'!$G$42:$G$68,MATCH(E1520,'Taxonomy Rules'!$C$42:$C$68,0)),"")=U1520,AND(IFERROR(INDEX('Taxonomy Rules'!$G$42:$G$68,MATCH(E1520,'Taxonomy Rules'!$C$42:$C$68,0)),"")="Building routes",OR(U1520="Building renovation",U1520="New building",U1520="Building equipment"))))),"Unexpected test","Valid"))))</x:f>
      </x:c>
      <x:c r="S1520" s="9" t="str">
        <x:f>IF(C1520="","",IFERROR(INDEX('Taxonomy Rules'!$E$42:$E$68,MATCH(E1520,'Taxonomy Rules'!$C$42:$C$68,0)),""))</x:f>
      </x:c>
      <x:c r="T1520" s="9" t="str">
        <x:f>IF(C1520="","",IFERROR(INDEX('Taxonomy Rules'!$F$42:$F$68,MATCH(E1520,'Taxonomy Rules'!$C$42:$C$68,0)),""))</x:f>
      </x:c>
      <x:c r="U1520" s="9" t="str">
        <x:f>IF(C1520="","",IFERROR(INDEX('Taxonomy'!$G$9:$G$108,MATCH(D1520,'Taxonomy'!$C$9:$C$108,0)),""))</x:f>
      </x:c>
    </x:row>
    <x:row r="1521" ht="44" customHeight="1">
      <x:c r="A1521" s="1"/>
      <x:c r="B1521" s="1"/>
      <x:c r="C1521" s="8"/>
      <x:c r="D1521" s="8"/>
      <x:c r="E1521" s="8"/>
      <x:c r="F1521" s="8"/>
      <x:c r="G1521" s="8"/>
      <x:c r="H1521" s="8"/>
      <x:c r="I1521" s="8"/>
      <x:c r="J1521" s="8"/>
      <x:c r="K1521" s="8"/>
      <x:c r="L1521" s="8"/>
      <x:c r="M1521" s="10"/>
      <x:c r="N1521" s="10"/>
      <x:c r="O1521" s="8"/>
      <x:c r="P1521" s="9" t="str">
        <x:f>IF(C1521="","",IF(AND(G1521="Applicable",H1521="Fail"),"Fail",IF(R1521&lt;&gt;"Valid","Pending",IF(OR(I1521="",K1521="",L1521="",K1521=L1521,NOT(ISNUMBER(M1521)),NOT(ISNUMBER(N1521)),M1521&gt;Settings!$F$8,N1521&lt;Settings!$F$8,N1521&lt;M1521),"Pending",IF(AND(G1521="Applicable",H1521="Pass"),"Pass",IF(AND(G1521="N/A",H1521="N/A",J1521&lt;&gt;"",OR(E1521="CEM-FUELS",E1521="CEM-CCS",AND(E1521="CEM-PLAN",IFERROR(INDEX('Taxonomy'!$M$9:$M$108,MATCH(D1521,'Taxonomy'!$C$9:$C$108,0)),"")&lt;&gt;"Amber"),E1521="BLD-TIMBER",AND(U1521="Building equipment",OR(E1521="BLD-WATER",E1521="BLD-WASTE",E1521="BLD-LAND")),AND(U1521="Building renovation",E1521="BLD-LAND"))),"N/A","Pending"))))))</x:f>
      </x:c>
      <x:c r="Q1521" s="3" t="str">
        <x:f>IF(C1521="","",IF(AND(R1521="Valid",OR(P1521="Pass",P1521="N/A")),"Complete","Unresolved"))</x:f>
      </x:c>
      <x:c r="R1521" s="9" t="str">
        <x:f>IF(C1521="","",IF(OR(COUNTIF($C$9:$C$2008,C1521)&lt;&gt;1,COUNTIFS($D$9:$D$2008,D1521,$E$9:$E$2008,E1521)&lt;&gt;1),"Duplicate test",IF(COUNTIF('Taxonomy'!$C$9:$C$108,D1521)&lt;&gt;1,"Assessment key",IF(OR(COUNTIF('Taxonomy Rules'!$C$42:$C$68,E1521)&lt;&gt;1,F1521&lt;&gt;IFERROR(INDEX('Taxonomy Rules'!$D$42:$D$68,MATCH(E1521,'Taxonomy Rules'!$C$42:$C$68,0)),""),NOT(OR(IFERROR(INDEX('Taxonomy Rules'!$G$42:$G$68,MATCH(E1521,'Taxonomy Rules'!$C$42:$C$68,0)),"")="All supported routes",IFERROR(INDEX('Taxonomy Rules'!$G$42:$G$68,MATCH(E1521,'Taxonomy Rules'!$C$42:$C$68,0)),"")=U1521,AND(IFERROR(INDEX('Taxonomy Rules'!$G$42:$G$68,MATCH(E1521,'Taxonomy Rules'!$C$42:$C$68,0)),"")="Building routes",OR(U1521="Building renovation",U1521="New building",U1521="Building equipment"))))),"Unexpected test","Valid"))))</x:f>
      </x:c>
      <x:c r="S1521" s="9" t="str">
        <x:f>IF(C1521="","",IFERROR(INDEX('Taxonomy Rules'!$E$42:$E$68,MATCH(E1521,'Taxonomy Rules'!$C$42:$C$68,0)),""))</x:f>
      </x:c>
      <x:c r="T1521" s="9" t="str">
        <x:f>IF(C1521="","",IFERROR(INDEX('Taxonomy Rules'!$F$42:$F$68,MATCH(E1521,'Taxonomy Rules'!$C$42:$C$68,0)),""))</x:f>
      </x:c>
      <x:c r="U1521" s="9" t="str">
        <x:f>IF(C1521="","",IFERROR(INDEX('Taxonomy'!$G$9:$G$108,MATCH(D1521,'Taxonomy'!$C$9:$C$108,0)),""))</x:f>
      </x:c>
    </x:row>
    <x:row r="1522" ht="44" customHeight="1">
      <x:c r="A1522" s="1"/>
      <x:c r="B1522" s="1"/>
      <x:c r="C1522" s="8"/>
      <x:c r="D1522" s="8"/>
      <x:c r="E1522" s="8"/>
      <x:c r="F1522" s="8"/>
      <x:c r="G1522" s="8"/>
      <x:c r="H1522" s="8"/>
      <x:c r="I1522" s="8"/>
      <x:c r="J1522" s="8"/>
      <x:c r="K1522" s="8"/>
      <x:c r="L1522" s="8"/>
      <x:c r="M1522" s="10"/>
      <x:c r="N1522" s="10"/>
      <x:c r="O1522" s="8"/>
      <x:c r="P1522" s="9" t="str">
        <x:f>IF(C1522="","",IF(AND(G1522="Applicable",H1522="Fail"),"Fail",IF(R1522&lt;&gt;"Valid","Pending",IF(OR(I1522="",K1522="",L1522="",K1522=L1522,NOT(ISNUMBER(M1522)),NOT(ISNUMBER(N1522)),M1522&gt;Settings!$F$8,N1522&lt;Settings!$F$8,N1522&lt;M1522),"Pending",IF(AND(G1522="Applicable",H1522="Pass"),"Pass",IF(AND(G1522="N/A",H1522="N/A",J1522&lt;&gt;"",OR(E1522="CEM-FUELS",E1522="CEM-CCS",AND(E1522="CEM-PLAN",IFERROR(INDEX('Taxonomy'!$M$9:$M$108,MATCH(D1522,'Taxonomy'!$C$9:$C$108,0)),"")&lt;&gt;"Amber"),E1522="BLD-TIMBER",AND(U1522="Building equipment",OR(E1522="BLD-WATER",E1522="BLD-WASTE",E1522="BLD-LAND")),AND(U1522="Building renovation",E1522="BLD-LAND"))),"N/A","Pending"))))))</x:f>
      </x:c>
      <x:c r="Q1522" s="3" t="str">
        <x:f>IF(C1522="","",IF(AND(R1522="Valid",OR(P1522="Pass",P1522="N/A")),"Complete","Unresolved"))</x:f>
      </x:c>
      <x:c r="R1522" s="9" t="str">
        <x:f>IF(C1522="","",IF(OR(COUNTIF($C$9:$C$2008,C1522)&lt;&gt;1,COUNTIFS($D$9:$D$2008,D1522,$E$9:$E$2008,E1522)&lt;&gt;1),"Duplicate test",IF(COUNTIF('Taxonomy'!$C$9:$C$108,D1522)&lt;&gt;1,"Assessment key",IF(OR(COUNTIF('Taxonomy Rules'!$C$42:$C$68,E1522)&lt;&gt;1,F1522&lt;&gt;IFERROR(INDEX('Taxonomy Rules'!$D$42:$D$68,MATCH(E1522,'Taxonomy Rules'!$C$42:$C$68,0)),""),NOT(OR(IFERROR(INDEX('Taxonomy Rules'!$G$42:$G$68,MATCH(E1522,'Taxonomy Rules'!$C$42:$C$68,0)),"")="All supported routes",IFERROR(INDEX('Taxonomy Rules'!$G$42:$G$68,MATCH(E1522,'Taxonomy Rules'!$C$42:$C$68,0)),"")=U1522,AND(IFERROR(INDEX('Taxonomy Rules'!$G$42:$G$68,MATCH(E1522,'Taxonomy Rules'!$C$42:$C$68,0)),"")="Building routes",OR(U1522="Building renovation",U1522="New building",U1522="Building equipment"))))),"Unexpected test","Valid"))))</x:f>
      </x:c>
      <x:c r="S1522" s="9" t="str">
        <x:f>IF(C1522="","",IFERROR(INDEX('Taxonomy Rules'!$E$42:$E$68,MATCH(E1522,'Taxonomy Rules'!$C$42:$C$68,0)),""))</x:f>
      </x:c>
      <x:c r="T1522" s="9" t="str">
        <x:f>IF(C1522="","",IFERROR(INDEX('Taxonomy Rules'!$F$42:$F$68,MATCH(E1522,'Taxonomy Rules'!$C$42:$C$68,0)),""))</x:f>
      </x:c>
      <x:c r="U1522" s="9" t="str">
        <x:f>IF(C1522="","",IFERROR(INDEX('Taxonomy'!$G$9:$G$108,MATCH(D1522,'Taxonomy'!$C$9:$C$108,0)),""))</x:f>
      </x:c>
    </x:row>
    <x:row r="1523" ht="44" customHeight="1">
      <x:c r="A1523" s="1"/>
      <x:c r="B1523" s="1"/>
      <x:c r="C1523" s="8"/>
      <x:c r="D1523" s="8"/>
      <x:c r="E1523" s="8"/>
      <x:c r="F1523" s="8"/>
      <x:c r="G1523" s="8"/>
      <x:c r="H1523" s="8"/>
      <x:c r="I1523" s="8"/>
      <x:c r="J1523" s="8"/>
      <x:c r="K1523" s="8"/>
      <x:c r="L1523" s="8"/>
      <x:c r="M1523" s="10"/>
      <x:c r="N1523" s="10"/>
      <x:c r="O1523" s="8"/>
      <x:c r="P1523" s="9" t="str">
        <x:f>IF(C1523="","",IF(AND(G1523="Applicable",H1523="Fail"),"Fail",IF(R1523&lt;&gt;"Valid","Pending",IF(OR(I1523="",K1523="",L1523="",K1523=L1523,NOT(ISNUMBER(M1523)),NOT(ISNUMBER(N1523)),M1523&gt;Settings!$F$8,N1523&lt;Settings!$F$8,N1523&lt;M1523),"Pending",IF(AND(G1523="Applicable",H1523="Pass"),"Pass",IF(AND(G1523="N/A",H1523="N/A",J1523&lt;&gt;"",OR(E1523="CEM-FUELS",E1523="CEM-CCS",AND(E1523="CEM-PLAN",IFERROR(INDEX('Taxonomy'!$M$9:$M$108,MATCH(D1523,'Taxonomy'!$C$9:$C$108,0)),"")&lt;&gt;"Amber"),E1523="BLD-TIMBER",AND(U1523="Building equipment",OR(E1523="BLD-WATER",E1523="BLD-WASTE",E1523="BLD-LAND")),AND(U1523="Building renovation",E1523="BLD-LAND"))),"N/A","Pending"))))))</x:f>
      </x:c>
      <x:c r="Q1523" s="3" t="str">
        <x:f>IF(C1523="","",IF(AND(R1523="Valid",OR(P1523="Pass",P1523="N/A")),"Complete","Unresolved"))</x:f>
      </x:c>
      <x:c r="R1523" s="9" t="str">
        <x:f>IF(C1523="","",IF(OR(COUNTIF($C$9:$C$2008,C1523)&lt;&gt;1,COUNTIFS($D$9:$D$2008,D1523,$E$9:$E$2008,E1523)&lt;&gt;1),"Duplicate test",IF(COUNTIF('Taxonomy'!$C$9:$C$108,D1523)&lt;&gt;1,"Assessment key",IF(OR(COUNTIF('Taxonomy Rules'!$C$42:$C$68,E1523)&lt;&gt;1,F1523&lt;&gt;IFERROR(INDEX('Taxonomy Rules'!$D$42:$D$68,MATCH(E1523,'Taxonomy Rules'!$C$42:$C$68,0)),""),NOT(OR(IFERROR(INDEX('Taxonomy Rules'!$G$42:$G$68,MATCH(E1523,'Taxonomy Rules'!$C$42:$C$68,0)),"")="All supported routes",IFERROR(INDEX('Taxonomy Rules'!$G$42:$G$68,MATCH(E1523,'Taxonomy Rules'!$C$42:$C$68,0)),"")=U1523,AND(IFERROR(INDEX('Taxonomy Rules'!$G$42:$G$68,MATCH(E1523,'Taxonomy Rules'!$C$42:$C$68,0)),"")="Building routes",OR(U1523="Building renovation",U1523="New building",U1523="Building equipment"))))),"Unexpected test","Valid"))))</x:f>
      </x:c>
      <x:c r="S1523" s="9" t="str">
        <x:f>IF(C1523="","",IFERROR(INDEX('Taxonomy Rules'!$E$42:$E$68,MATCH(E1523,'Taxonomy Rules'!$C$42:$C$68,0)),""))</x:f>
      </x:c>
      <x:c r="T1523" s="9" t="str">
        <x:f>IF(C1523="","",IFERROR(INDEX('Taxonomy Rules'!$F$42:$F$68,MATCH(E1523,'Taxonomy Rules'!$C$42:$C$68,0)),""))</x:f>
      </x:c>
      <x:c r="U1523" s="9" t="str">
        <x:f>IF(C1523="","",IFERROR(INDEX('Taxonomy'!$G$9:$G$108,MATCH(D1523,'Taxonomy'!$C$9:$C$108,0)),""))</x:f>
      </x:c>
    </x:row>
    <x:row r="1524" ht="44" customHeight="1">
      <x:c r="A1524" s="1"/>
      <x:c r="B1524" s="1"/>
      <x:c r="C1524" s="8"/>
      <x:c r="D1524" s="8"/>
      <x:c r="E1524" s="8"/>
      <x:c r="F1524" s="8"/>
      <x:c r="G1524" s="8"/>
      <x:c r="H1524" s="8"/>
      <x:c r="I1524" s="8"/>
      <x:c r="J1524" s="8"/>
      <x:c r="K1524" s="8"/>
      <x:c r="L1524" s="8"/>
      <x:c r="M1524" s="10"/>
      <x:c r="N1524" s="10"/>
      <x:c r="O1524" s="8"/>
      <x:c r="P1524" s="9" t="str">
        <x:f>IF(C1524="","",IF(AND(G1524="Applicable",H1524="Fail"),"Fail",IF(R1524&lt;&gt;"Valid","Pending",IF(OR(I1524="",K1524="",L1524="",K1524=L1524,NOT(ISNUMBER(M1524)),NOT(ISNUMBER(N1524)),M1524&gt;Settings!$F$8,N1524&lt;Settings!$F$8,N1524&lt;M1524),"Pending",IF(AND(G1524="Applicable",H1524="Pass"),"Pass",IF(AND(G1524="N/A",H1524="N/A",J1524&lt;&gt;"",OR(E1524="CEM-FUELS",E1524="CEM-CCS",AND(E1524="CEM-PLAN",IFERROR(INDEX('Taxonomy'!$M$9:$M$108,MATCH(D1524,'Taxonomy'!$C$9:$C$108,0)),"")&lt;&gt;"Amber"),E1524="BLD-TIMBER",AND(U1524="Building equipment",OR(E1524="BLD-WATER",E1524="BLD-WASTE",E1524="BLD-LAND")),AND(U1524="Building renovation",E1524="BLD-LAND"))),"N/A","Pending"))))))</x:f>
      </x:c>
      <x:c r="Q1524" s="3" t="str">
        <x:f>IF(C1524="","",IF(AND(R1524="Valid",OR(P1524="Pass",P1524="N/A")),"Complete","Unresolved"))</x:f>
      </x:c>
      <x:c r="R1524" s="9" t="str">
        <x:f>IF(C1524="","",IF(OR(COUNTIF($C$9:$C$2008,C1524)&lt;&gt;1,COUNTIFS($D$9:$D$2008,D1524,$E$9:$E$2008,E1524)&lt;&gt;1),"Duplicate test",IF(COUNTIF('Taxonomy'!$C$9:$C$108,D1524)&lt;&gt;1,"Assessment key",IF(OR(COUNTIF('Taxonomy Rules'!$C$42:$C$68,E1524)&lt;&gt;1,F1524&lt;&gt;IFERROR(INDEX('Taxonomy Rules'!$D$42:$D$68,MATCH(E1524,'Taxonomy Rules'!$C$42:$C$68,0)),""),NOT(OR(IFERROR(INDEX('Taxonomy Rules'!$G$42:$G$68,MATCH(E1524,'Taxonomy Rules'!$C$42:$C$68,0)),"")="All supported routes",IFERROR(INDEX('Taxonomy Rules'!$G$42:$G$68,MATCH(E1524,'Taxonomy Rules'!$C$42:$C$68,0)),"")=U1524,AND(IFERROR(INDEX('Taxonomy Rules'!$G$42:$G$68,MATCH(E1524,'Taxonomy Rules'!$C$42:$C$68,0)),"")="Building routes",OR(U1524="Building renovation",U1524="New building",U1524="Building equipment"))))),"Unexpected test","Valid"))))</x:f>
      </x:c>
      <x:c r="S1524" s="9" t="str">
        <x:f>IF(C1524="","",IFERROR(INDEX('Taxonomy Rules'!$E$42:$E$68,MATCH(E1524,'Taxonomy Rules'!$C$42:$C$68,0)),""))</x:f>
      </x:c>
      <x:c r="T1524" s="9" t="str">
        <x:f>IF(C1524="","",IFERROR(INDEX('Taxonomy Rules'!$F$42:$F$68,MATCH(E1524,'Taxonomy Rules'!$C$42:$C$68,0)),""))</x:f>
      </x:c>
      <x:c r="U1524" s="9" t="str">
        <x:f>IF(C1524="","",IFERROR(INDEX('Taxonomy'!$G$9:$G$108,MATCH(D1524,'Taxonomy'!$C$9:$C$108,0)),""))</x:f>
      </x:c>
    </x:row>
    <x:row r="1525" ht="44" customHeight="1">
      <x:c r="A1525" s="1"/>
      <x:c r="B1525" s="1"/>
      <x:c r="C1525" s="8"/>
      <x:c r="D1525" s="8"/>
      <x:c r="E1525" s="8"/>
      <x:c r="F1525" s="8"/>
      <x:c r="G1525" s="8"/>
      <x:c r="H1525" s="8"/>
      <x:c r="I1525" s="8"/>
      <x:c r="J1525" s="8"/>
      <x:c r="K1525" s="8"/>
      <x:c r="L1525" s="8"/>
      <x:c r="M1525" s="10"/>
      <x:c r="N1525" s="10"/>
      <x:c r="O1525" s="8"/>
      <x:c r="P1525" s="9" t="str">
        <x:f>IF(C1525="","",IF(AND(G1525="Applicable",H1525="Fail"),"Fail",IF(R1525&lt;&gt;"Valid","Pending",IF(OR(I1525="",K1525="",L1525="",K1525=L1525,NOT(ISNUMBER(M1525)),NOT(ISNUMBER(N1525)),M1525&gt;Settings!$F$8,N1525&lt;Settings!$F$8,N1525&lt;M1525),"Pending",IF(AND(G1525="Applicable",H1525="Pass"),"Pass",IF(AND(G1525="N/A",H1525="N/A",J1525&lt;&gt;"",OR(E1525="CEM-FUELS",E1525="CEM-CCS",AND(E1525="CEM-PLAN",IFERROR(INDEX('Taxonomy'!$M$9:$M$108,MATCH(D1525,'Taxonomy'!$C$9:$C$108,0)),"")&lt;&gt;"Amber"),E1525="BLD-TIMBER",AND(U1525="Building equipment",OR(E1525="BLD-WATER",E1525="BLD-WASTE",E1525="BLD-LAND")),AND(U1525="Building renovation",E1525="BLD-LAND"))),"N/A","Pending"))))))</x:f>
      </x:c>
      <x:c r="Q1525" s="3" t="str">
        <x:f>IF(C1525="","",IF(AND(R1525="Valid",OR(P1525="Pass",P1525="N/A")),"Complete","Unresolved"))</x:f>
      </x:c>
      <x:c r="R1525" s="9" t="str">
        <x:f>IF(C1525="","",IF(OR(COUNTIF($C$9:$C$2008,C1525)&lt;&gt;1,COUNTIFS($D$9:$D$2008,D1525,$E$9:$E$2008,E1525)&lt;&gt;1),"Duplicate test",IF(COUNTIF('Taxonomy'!$C$9:$C$108,D1525)&lt;&gt;1,"Assessment key",IF(OR(COUNTIF('Taxonomy Rules'!$C$42:$C$68,E1525)&lt;&gt;1,F1525&lt;&gt;IFERROR(INDEX('Taxonomy Rules'!$D$42:$D$68,MATCH(E1525,'Taxonomy Rules'!$C$42:$C$68,0)),""),NOT(OR(IFERROR(INDEX('Taxonomy Rules'!$G$42:$G$68,MATCH(E1525,'Taxonomy Rules'!$C$42:$C$68,0)),"")="All supported routes",IFERROR(INDEX('Taxonomy Rules'!$G$42:$G$68,MATCH(E1525,'Taxonomy Rules'!$C$42:$C$68,0)),"")=U1525,AND(IFERROR(INDEX('Taxonomy Rules'!$G$42:$G$68,MATCH(E1525,'Taxonomy Rules'!$C$42:$C$68,0)),"")="Building routes",OR(U1525="Building renovation",U1525="New building",U1525="Building equipment"))))),"Unexpected test","Valid"))))</x:f>
      </x:c>
      <x:c r="S1525" s="9" t="str">
        <x:f>IF(C1525="","",IFERROR(INDEX('Taxonomy Rules'!$E$42:$E$68,MATCH(E1525,'Taxonomy Rules'!$C$42:$C$68,0)),""))</x:f>
      </x:c>
      <x:c r="T1525" s="9" t="str">
        <x:f>IF(C1525="","",IFERROR(INDEX('Taxonomy Rules'!$F$42:$F$68,MATCH(E1525,'Taxonomy Rules'!$C$42:$C$68,0)),""))</x:f>
      </x:c>
      <x:c r="U1525" s="9" t="str">
        <x:f>IF(C1525="","",IFERROR(INDEX('Taxonomy'!$G$9:$G$108,MATCH(D1525,'Taxonomy'!$C$9:$C$108,0)),""))</x:f>
      </x:c>
    </x:row>
    <x:row r="1526" ht="44" customHeight="1">
      <x:c r="A1526" s="1"/>
      <x:c r="B1526" s="1"/>
      <x:c r="C1526" s="8"/>
      <x:c r="D1526" s="8"/>
      <x:c r="E1526" s="8"/>
      <x:c r="F1526" s="8"/>
      <x:c r="G1526" s="8"/>
      <x:c r="H1526" s="8"/>
      <x:c r="I1526" s="8"/>
      <x:c r="J1526" s="8"/>
      <x:c r="K1526" s="8"/>
      <x:c r="L1526" s="8"/>
      <x:c r="M1526" s="10"/>
      <x:c r="N1526" s="10"/>
      <x:c r="O1526" s="8"/>
      <x:c r="P1526" s="9" t="str">
        <x:f>IF(C1526="","",IF(AND(G1526="Applicable",H1526="Fail"),"Fail",IF(R1526&lt;&gt;"Valid","Pending",IF(OR(I1526="",K1526="",L1526="",K1526=L1526,NOT(ISNUMBER(M1526)),NOT(ISNUMBER(N1526)),M1526&gt;Settings!$F$8,N1526&lt;Settings!$F$8,N1526&lt;M1526),"Pending",IF(AND(G1526="Applicable",H1526="Pass"),"Pass",IF(AND(G1526="N/A",H1526="N/A",J1526&lt;&gt;"",OR(E1526="CEM-FUELS",E1526="CEM-CCS",AND(E1526="CEM-PLAN",IFERROR(INDEX('Taxonomy'!$M$9:$M$108,MATCH(D1526,'Taxonomy'!$C$9:$C$108,0)),"")&lt;&gt;"Amber"),E1526="BLD-TIMBER",AND(U1526="Building equipment",OR(E1526="BLD-WATER",E1526="BLD-WASTE",E1526="BLD-LAND")),AND(U1526="Building renovation",E1526="BLD-LAND"))),"N/A","Pending"))))))</x:f>
      </x:c>
      <x:c r="Q1526" s="3" t="str">
        <x:f>IF(C1526="","",IF(AND(R1526="Valid",OR(P1526="Pass",P1526="N/A")),"Complete","Unresolved"))</x:f>
      </x:c>
      <x:c r="R1526" s="9" t="str">
        <x:f>IF(C1526="","",IF(OR(COUNTIF($C$9:$C$2008,C1526)&lt;&gt;1,COUNTIFS($D$9:$D$2008,D1526,$E$9:$E$2008,E1526)&lt;&gt;1),"Duplicate test",IF(COUNTIF('Taxonomy'!$C$9:$C$108,D1526)&lt;&gt;1,"Assessment key",IF(OR(COUNTIF('Taxonomy Rules'!$C$42:$C$68,E1526)&lt;&gt;1,F1526&lt;&gt;IFERROR(INDEX('Taxonomy Rules'!$D$42:$D$68,MATCH(E1526,'Taxonomy Rules'!$C$42:$C$68,0)),""),NOT(OR(IFERROR(INDEX('Taxonomy Rules'!$G$42:$G$68,MATCH(E1526,'Taxonomy Rules'!$C$42:$C$68,0)),"")="All supported routes",IFERROR(INDEX('Taxonomy Rules'!$G$42:$G$68,MATCH(E1526,'Taxonomy Rules'!$C$42:$C$68,0)),"")=U1526,AND(IFERROR(INDEX('Taxonomy Rules'!$G$42:$G$68,MATCH(E1526,'Taxonomy Rules'!$C$42:$C$68,0)),"")="Building routes",OR(U1526="Building renovation",U1526="New building",U1526="Building equipment"))))),"Unexpected test","Valid"))))</x:f>
      </x:c>
      <x:c r="S1526" s="9" t="str">
        <x:f>IF(C1526="","",IFERROR(INDEX('Taxonomy Rules'!$E$42:$E$68,MATCH(E1526,'Taxonomy Rules'!$C$42:$C$68,0)),""))</x:f>
      </x:c>
      <x:c r="T1526" s="9" t="str">
        <x:f>IF(C1526="","",IFERROR(INDEX('Taxonomy Rules'!$F$42:$F$68,MATCH(E1526,'Taxonomy Rules'!$C$42:$C$68,0)),""))</x:f>
      </x:c>
      <x:c r="U1526" s="9" t="str">
        <x:f>IF(C1526="","",IFERROR(INDEX('Taxonomy'!$G$9:$G$108,MATCH(D1526,'Taxonomy'!$C$9:$C$108,0)),""))</x:f>
      </x:c>
    </x:row>
    <x:row r="1527" ht="44" customHeight="1">
      <x:c r="A1527" s="1"/>
      <x:c r="B1527" s="1"/>
      <x:c r="C1527" s="8"/>
      <x:c r="D1527" s="8"/>
      <x:c r="E1527" s="8"/>
      <x:c r="F1527" s="8"/>
      <x:c r="G1527" s="8"/>
      <x:c r="H1527" s="8"/>
      <x:c r="I1527" s="8"/>
      <x:c r="J1527" s="8"/>
      <x:c r="K1527" s="8"/>
      <x:c r="L1527" s="8"/>
      <x:c r="M1527" s="10"/>
      <x:c r="N1527" s="10"/>
      <x:c r="O1527" s="8"/>
      <x:c r="P1527" s="9" t="str">
        <x:f>IF(C1527="","",IF(AND(G1527="Applicable",H1527="Fail"),"Fail",IF(R1527&lt;&gt;"Valid","Pending",IF(OR(I1527="",K1527="",L1527="",K1527=L1527,NOT(ISNUMBER(M1527)),NOT(ISNUMBER(N1527)),M1527&gt;Settings!$F$8,N1527&lt;Settings!$F$8,N1527&lt;M1527),"Pending",IF(AND(G1527="Applicable",H1527="Pass"),"Pass",IF(AND(G1527="N/A",H1527="N/A",J1527&lt;&gt;"",OR(E1527="CEM-FUELS",E1527="CEM-CCS",AND(E1527="CEM-PLAN",IFERROR(INDEX('Taxonomy'!$M$9:$M$108,MATCH(D1527,'Taxonomy'!$C$9:$C$108,0)),"")&lt;&gt;"Amber"),E1527="BLD-TIMBER",AND(U1527="Building equipment",OR(E1527="BLD-WATER",E1527="BLD-WASTE",E1527="BLD-LAND")),AND(U1527="Building renovation",E1527="BLD-LAND"))),"N/A","Pending"))))))</x:f>
      </x:c>
      <x:c r="Q1527" s="3" t="str">
        <x:f>IF(C1527="","",IF(AND(R1527="Valid",OR(P1527="Pass",P1527="N/A")),"Complete","Unresolved"))</x:f>
      </x:c>
      <x:c r="R1527" s="9" t="str">
        <x:f>IF(C1527="","",IF(OR(COUNTIF($C$9:$C$2008,C1527)&lt;&gt;1,COUNTIFS($D$9:$D$2008,D1527,$E$9:$E$2008,E1527)&lt;&gt;1),"Duplicate test",IF(COUNTIF('Taxonomy'!$C$9:$C$108,D1527)&lt;&gt;1,"Assessment key",IF(OR(COUNTIF('Taxonomy Rules'!$C$42:$C$68,E1527)&lt;&gt;1,F1527&lt;&gt;IFERROR(INDEX('Taxonomy Rules'!$D$42:$D$68,MATCH(E1527,'Taxonomy Rules'!$C$42:$C$68,0)),""),NOT(OR(IFERROR(INDEX('Taxonomy Rules'!$G$42:$G$68,MATCH(E1527,'Taxonomy Rules'!$C$42:$C$68,0)),"")="All supported routes",IFERROR(INDEX('Taxonomy Rules'!$G$42:$G$68,MATCH(E1527,'Taxonomy Rules'!$C$42:$C$68,0)),"")=U1527,AND(IFERROR(INDEX('Taxonomy Rules'!$G$42:$G$68,MATCH(E1527,'Taxonomy Rules'!$C$42:$C$68,0)),"")="Building routes",OR(U1527="Building renovation",U1527="New building",U1527="Building equipment"))))),"Unexpected test","Valid"))))</x:f>
      </x:c>
      <x:c r="S1527" s="9" t="str">
        <x:f>IF(C1527="","",IFERROR(INDEX('Taxonomy Rules'!$E$42:$E$68,MATCH(E1527,'Taxonomy Rules'!$C$42:$C$68,0)),""))</x:f>
      </x:c>
      <x:c r="T1527" s="9" t="str">
        <x:f>IF(C1527="","",IFERROR(INDEX('Taxonomy Rules'!$F$42:$F$68,MATCH(E1527,'Taxonomy Rules'!$C$42:$C$68,0)),""))</x:f>
      </x:c>
      <x:c r="U1527" s="9" t="str">
        <x:f>IF(C1527="","",IFERROR(INDEX('Taxonomy'!$G$9:$G$108,MATCH(D1527,'Taxonomy'!$C$9:$C$108,0)),""))</x:f>
      </x:c>
    </x:row>
    <x:row r="1528" ht="44" customHeight="1">
      <x:c r="A1528" s="1"/>
      <x:c r="B1528" s="1"/>
      <x:c r="C1528" s="8"/>
      <x:c r="D1528" s="8"/>
      <x:c r="E1528" s="8"/>
      <x:c r="F1528" s="8"/>
      <x:c r="G1528" s="8"/>
      <x:c r="H1528" s="8"/>
      <x:c r="I1528" s="8"/>
      <x:c r="J1528" s="8"/>
      <x:c r="K1528" s="8"/>
      <x:c r="L1528" s="8"/>
      <x:c r="M1528" s="10"/>
      <x:c r="N1528" s="10"/>
      <x:c r="O1528" s="8"/>
      <x:c r="P1528" s="9" t="str">
        <x:f>IF(C1528="","",IF(AND(G1528="Applicable",H1528="Fail"),"Fail",IF(R1528&lt;&gt;"Valid","Pending",IF(OR(I1528="",K1528="",L1528="",K1528=L1528,NOT(ISNUMBER(M1528)),NOT(ISNUMBER(N1528)),M1528&gt;Settings!$F$8,N1528&lt;Settings!$F$8,N1528&lt;M1528),"Pending",IF(AND(G1528="Applicable",H1528="Pass"),"Pass",IF(AND(G1528="N/A",H1528="N/A",J1528&lt;&gt;"",OR(E1528="CEM-FUELS",E1528="CEM-CCS",AND(E1528="CEM-PLAN",IFERROR(INDEX('Taxonomy'!$M$9:$M$108,MATCH(D1528,'Taxonomy'!$C$9:$C$108,0)),"")&lt;&gt;"Amber"),E1528="BLD-TIMBER",AND(U1528="Building equipment",OR(E1528="BLD-WATER",E1528="BLD-WASTE",E1528="BLD-LAND")),AND(U1528="Building renovation",E1528="BLD-LAND"))),"N/A","Pending"))))))</x:f>
      </x:c>
      <x:c r="Q1528" s="3" t="str">
        <x:f>IF(C1528="","",IF(AND(R1528="Valid",OR(P1528="Pass",P1528="N/A")),"Complete","Unresolved"))</x:f>
      </x:c>
      <x:c r="R1528" s="9" t="str">
        <x:f>IF(C1528="","",IF(OR(COUNTIF($C$9:$C$2008,C1528)&lt;&gt;1,COUNTIFS($D$9:$D$2008,D1528,$E$9:$E$2008,E1528)&lt;&gt;1),"Duplicate test",IF(COUNTIF('Taxonomy'!$C$9:$C$108,D1528)&lt;&gt;1,"Assessment key",IF(OR(COUNTIF('Taxonomy Rules'!$C$42:$C$68,E1528)&lt;&gt;1,F1528&lt;&gt;IFERROR(INDEX('Taxonomy Rules'!$D$42:$D$68,MATCH(E1528,'Taxonomy Rules'!$C$42:$C$68,0)),""),NOT(OR(IFERROR(INDEX('Taxonomy Rules'!$G$42:$G$68,MATCH(E1528,'Taxonomy Rules'!$C$42:$C$68,0)),"")="All supported routes",IFERROR(INDEX('Taxonomy Rules'!$G$42:$G$68,MATCH(E1528,'Taxonomy Rules'!$C$42:$C$68,0)),"")=U1528,AND(IFERROR(INDEX('Taxonomy Rules'!$G$42:$G$68,MATCH(E1528,'Taxonomy Rules'!$C$42:$C$68,0)),"")="Building routes",OR(U1528="Building renovation",U1528="New building",U1528="Building equipment"))))),"Unexpected test","Valid"))))</x:f>
      </x:c>
      <x:c r="S1528" s="9" t="str">
        <x:f>IF(C1528="","",IFERROR(INDEX('Taxonomy Rules'!$E$42:$E$68,MATCH(E1528,'Taxonomy Rules'!$C$42:$C$68,0)),""))</x:f>
      </x:c>
      <x:c r="T1528" s="9" t="str">
        <x:f>IF(C1528="","",IFERROR(INDEX('Taxonomy Rules'!$F$42:$F$68,MATCH(E1528,'Taxonomy Rules'!$C$42:$C$68,0)),""))</x:f>
      </x:c>
      <x:c r="U1528" s="9" t="str">
        <x:f>IF(C1528="","",IFERROR(INDEX('Taxonomy'!$G$9:$G$108,MATCH(D1528,'Taxonomy'!$C$9:$C$108,0)),""))</x:f>
      </x:c>
    </x:row>
    <x:row r="1529" ht="44" customHeight="1">
      <x:c r="A1529" s="1"/>
      <x:c r="B1529" s="1"/>
      <x:c r="C1529" s="8"/>
      <x:c r="D1529" s="8"/>
      <x:c r="E1529" s="8"/>
      <x:c r="F1529" s="8"/>
      <x:c r="G1529" s="8"/>
      <x:c r="H1529" s="8"/>
      <x:c r="I1529" s="8"/>
      <x:c r="J1529" s="8"/>
      <x:c r="K1529" s="8"/>
      <x:c r="L1529" s="8"/>
      <x:c r="M1529" s="10"/>
      <x:c r="N1529" s="10"/>
      <x:c r="O1529" s="8"/>
      <x:c r="P1529" s="9" t="str">
        <x:f>IF(C1529="","",IF(AND(G1529="Applicable",H1529="Fail"),"Fail",IF(R1529&lt;&gt;"Valid","Pending",IF(OR(I1529="",K1529="",L1529="",K1529=L1529,NOT(ISNUMBER(M1529)),NOT(ISNUMBER(N1529)),M1529&gt;Settings!$F$8,N1529&lt;Settings!$F$8,N1529&lt;M1529),"Pending",IF(AND(G1529="Applicable",H1529="Pass"),"Pass",IF(AND(G1529="N/A",H1529="N/A",J1529&lt;&gt;"",OR(E1529="CEM-FUELS",E1529="CEM-CCS",AND(E1529="CEM-PLAN",IFERROR(INDEX('Taxonomy'!$M$9:$M$108,MATCH(D1529,'Taxonomy'!$C$9:$C$108,0)),"")&lt;&gt;"Amber"),E1529="BLD-TIMBER",AND(U1529="Building equipment",OR(E1529="BLD-WATER",E1529="BLD-WASTE",E1529="BLD-LAND")),AND(U1529="Building renovation",E1529="BLD-LAND"))),"N/A","Pending"))))))</x:f>
      </x:c>
      <x:c r="Q1529" s="3" t="str">
        <x:f>IF(C1529="","",IF(AND(R1529="Valid",OR(P1529="Pass",P1529="N/A")),"Complete","Unresolved"))</x:f>
      </x:c>
      <x:c r="R1529" s="9" t="str">
        <x:f>IF(C1529="","",IF(OR(COUNTIF($C$9:$C$2008,C1529)&lt;&gt;1,COUNTIFS($D$9:$D$2008,D1529,$E$9:$E$2008,E1529)&lt;&gt;1),"Duplicate test",IF(COUNTIF('Taxonomy'!$C$9:$C$108,D1529)&lt;&gt;1,"Assessment key",IF(OR(COUNTIF('Taxonomy Rules'!$C$42:$C$68,E1529)&lt;&gt;1,F1529&lt;&gt;IFERROR(INDEX('Taxonomy Rules'!$D$42:$D$68,MATCH(E1529,'Taxonomy Rules'!$C$42:$C$68,0)),""),NOT(OR(IFERROR(INDEX('Taxonomy Rules'!$G$42:$G$68,MATCH(E1529,'Taxonomy Rules'!$C$42:$C$68,0)),"")="All supported routes",IFERROR(INDEX('Taxonomy Rules'!$G$42:$G$68,MATCH(E1529,'Taxonomy Rules'!$C$42:$C$68,0)),"")=U1529,AND(IFERROR(INDEX('Taxonomy Rules'!$G$42:$G$68,MATCH(E1529,'Taxonomy Rules'!$C$42:$C$68,0)),"")="Building routes",OR(U1529="Building renovation",U1529="New building",U1529="Building equipment"))))),"Unexpected test","Valid"))))</x:f>
      </x:c>
      <x:c r="S1529" s="9" t="str">
        <x:f>IF(C1529="","",IFERROR(INDEX('Taxonomy Rules'!$E$42:$E$68,MATCH(E1529,'Taxonomy Rules'!$C$42:$C$68,0)),""))</x:f>
      </x:c>
      <x:c r="T1529" s="9" t="str">
        <x:f>IF(C1529="","",IFERROR(INDEX('Taxonomy Rules'!$F$42:$F$68,MATCH(E1529,'Taxonomy Rules'!$C$42:$C$68,0)),""))</x:f>
      </x:c>
      <x:c r="U1529" s="9" t="str">
        <x:f>IF(C1529="","",IFERROR(INDEX('Taxonomy'!$G$9:$G$108,MATCH(D1529,'Taxonomy'!$C$9:$C$108,0)),""))</x:f>
      </x:c>
    </x:row>
    <x:row r="1530" ht="44" customHeight="1">
      <x:c r="A1530" s="1"/>
      <x:c r="B1530" s="1"/>
      <x:c r="C1530" s="8"/>
      <x:c r="D1530" s="8"/>
      <x:c r="E1530" s="8"/>
      <x:c r="F1530" s="8"/>
      <x:c r="G1530" s="8"/>
      <x:c r="H1530" s="8"/>
      <x:c r="I1530" s="8"/>
      <x:c r="J1530" s="8"/>
      <x:c r="K1530" s="8"/>
      <x:c r="L1530" s="8"/>
      <x:c r="M1530" s="10"/>
      <x:c r="N1530" s="10"/>
      <x:c r="O1530" s="8"/>
      <x:c r="P1530" s="9" t="str">
        <x:f>IF(C1530="","",IF(AND(G1530="Applicable",H1530="Fail"),"Fail",IF(R1530&lt;&gt;"Valid","Pending",IF(OR(I1530="",K1530="",L1530="",K1530=L1530,NOT(ISNUMBER(M1530)),NOT(ISNUMBER(N1530)),M1530&gt;Settings!$F$8,N1530&lt;Settings!$F$8,N1530&lt;M1530),"Pending",IF(AND(G1530="Applicable",H1530="Pass"),"Pass",IF(AND(G1530="N/A",H1530="N/A",J1530&lt;&gt;"",OR(E1530="CEM-FUELS",E1530="CEM-CCS",AND(E1530="CEM-PLAN",IFERROR(INDEX('Taxonomy'!$M$9:$M$108,MATCH(D1530,'Taxonomy'!$C$9:$C$108,0)),"")&lt;&gt;"Amber"),E1530="BLD-TIMBER",AND(U1530="Building equipment",OR(E1530="BLD-WATER",E1530="BLD-WASTE",E1530="BLD-LAND")),AND(U1530="Building renovation",E1530="BLD-LAND"))),"N/A","Pending"))))))</x:f>
      </x:c>
      <x:c r="Q1530" s="3" t="str">
        <x:f>IF(C1530="","",IF(AND(R1530="Valid",OR(P1530="Pass",P1530="N/A")),"Complete","Unresolved"))</x:f>
      </x:c>
      <x:c r="R1530" s="9" t="str">
        <x:f>IF(C1530="","",IF(OR(COUNTIF($C$9:$C$2008,C1530)&lt;&gt;1,COUNTIFS($D$9:$D$2008,D1530,$E$9:$E$2008,E1530)&lt;&gt;1),"Duplicate test",IF(COUNTIF('Taxonomy'!$C$9:$C$108,D1530)&lt;&gt;1,"Assessment key",IF(OR(COUNTIF('Taxonomy Rules'!$C$42:$C$68,E1530)&lt;&gt;1,F1530&lt;&gt;IFERROR(INDEX('Taxonomy Rules'!$D$42:$D$68,MATCH(E1530,'Taxonomy Rules'!$C$42:$C$68,0)),""),NOT(OR(IFERROR(INDEX('Taxonomy Rules'!$G$42:$G$68,MATCH(E1530,'Taxonomy Rules'!$C$42:$C$68,0)),"")="All supported routes",IFERROR(INDEX('Taxonomy Rules'!$G$42:$G$68,MATCH(E1530,'Taxonomy Rules'!$C$42:$C$68,0)),"")=U1530,AND(IFERROR(INDEX('Taxonomy Rules'!$G$42:$G$68,MATCH(E1530,'Taxonomy Rules'!$C$42:$C$68,0)),"")="Building routes",OR(U1530="Building renovation",U1530="New building",U1530="Building equipment"))))),"Unexpected test","Valid"))))</x:f>
      </x:c>
      <x:c r="S1530" s="9" t="str">
        <x:f>IF(C1530="","",IFERROR(INDEX('Taxonomy Rules'!$E$42:$E$68,MATCH(E1530,'Taxonomy Rules'!$C$42:$C$68,0)),""))</x:f>
      </x:c>
      <x:c r="T1530" s="9" t="str">
        <x:f>IF(C1530="","",IFERROR(INDEX('Taxonomy Rules'!$F$42:$F$68,MATCH(E1530,'Taxonomy Rules'!$C$42:$C$68,0)),""))</x:f>
      </x:c>
      <x:c r="U1530" s="9" t="str">
        <x:f>IF(C1530="","",IFERROR(INDEX('Taxonomy'!$G$9:$G$108,MATCH(D1530,'Taxonomy'!$C$9:$C$108,0)),""))</x:f>
      </x:c>
    </x:row>
    <x:row r="1531" ht="44" customHeight="1">
      <x:c r="A1531" s="1"/>
      <x:c r="B1531" s="1"/>
      <x:c r="C1531" s="8"/>
      <x:c r="D1531" s="8"/>
      <x:c r="E1531" s="8"/>
      <x:c r="F1531" s="8"/>
      <x:c r="G1531" s="8"/>
      <x:c r="H1531" s="8"/>
      <x:c r="I1531" s="8"/>
      <x:c r="J1531" s="8"/>
      <x:c r="K1531" s="8"/>
      <x:c r="L1531" s="8"/>
      <x:c r="M1531" s="10"/>
      <x:c r="N1531" s="10"/>
      <x:c r="O1531" s="8"/>
      <x:c r="P1531" s="9" t="str">
        <x:f>IF(C1531="","",IF(AND(G1531="Applicable",H1531="Fail"),"Fail",IF(R1531&lt;&gt;"Valid","Pending",IF(OR(I1531="",K1531="",L1531="",K1531=L1531,NOT(ISNUMBER(M1531)),NOT(ISNUMBER(N1531)),M1531&gt;Settings!$F$8,N1531&lt;Settings!$F$8,N1531&lt;M1531),"Pending",IF(AND(G1531="Applicable",H1531="Pass"),"Pass",IF(AND(G1531="N/A",H1531="N/A",J1531&lt;&gt;"",OR(E1531="CEM-FUELS",E1531="CEM-CCS",AND(E1531="CEM-PLAN",IFERROR(INDEX('Taxonomy'!$M$9:$M$108,MATCH(D1531,'Taxonomy'!$C$9:$C$108,0)),"")&lt;&gt;"Amber"),E1531="BLD-TIMBER",AND(U1531="Building equipment",OR(E1531="BLD-WATER",E1531="BLD-WASTE",E1531="BLD-LAND")),AND(U1531="Building renovation",E1531="BLD-LAND"))),"N/A","Pending"))))))</x:f>
      </x:c>
      <x:c r="Q1531" s="3" t="str">
        <x:f>IF(C1531="","",IF(AND(R1531="Valid",OR(P1531="Pass",P1531="N/A")),"Complete","Unresolved"))</x:f>
      </x:c>
      <x:c r="R1531" s="9" t="str">
        <x:f>IF(C1531="","",IF(OR(COUNTIF($C$9:$C$2008,C1531)&lt;&gt;1,COUNTIFS($D$9:$D$2008,D1531,$E$9:$E$2008,E1531)&lt;&gt;1),"Duplicate test",IF(COUNTIF('Taxonomy'!$C$9:$C$108,D1531)&lt;&gt;1,"Assessment key",IF(OR(COUNTIF('Taxonomy Rules'!$C$42:$C$68,E1531)&lt;&gt;1,F1531&lt;&gt;IFERROR(INDEX('Taxonomy Rules'!$D$42:$D$68,MATCH(E1531,'Taxonomy Rules'!$C$42:$C$68,0)),""),NOT(OR(IFERROR(INDEX('Taxonomy Rules'!$G$42:$G$68,MATCH(E1531,'Taxonomy Rules'!$C$42:$C$68,0)),"")="All supported routes",IFERROR(INDEX('Taxonomy Rules'!$G$42:$G$68,MATCH(E1531,'Taxonomy Rules'!$C$42:$C$68,0)),"")=U1531,AND(IFERROR(INDEX('Taxonomy Rules'!$G$42:$G$68,MATCH(E1531,'Taxonomy Rules'!$C$42:$C$68,0)),"")="Building routes",OR(U1531="Building renovation",U1531="New building",U1531="Building equipment"))))),"Unexpected test","Valid"))))</x:f>
      </x:c>
      <x:c r="S1531" s="9" t="str">
        <x:f>IF(C1531="","",IFERROR(INDEX('Taxonomy Rules'!$E$42:$E$68,MATCH(E1531,'Taxonomy Rules'!$C$42:$C$68,0)),""))</x:f>
      </x:c>
      <x:c r="T1531" s="9" t="str">
        <x:f>IF(C1531="","",IFERROR(INDEX('Taxonomy Rules'!$F$42:$F$68,MATCH(E1531,'Taxonomy Rules'!$C$42:$C$68,0)),""))</x:f>
      </x:c>
      <x:c r="U1531" s="9" t="str">
        <x:f>IF(C1531="","",IFERROR(INDEX('Taxonomy'!$G$9:$G$108,MATCH(D1531,'Taxonomy'!$C$9:$C$108,0)),""))</x:f>
      </x:c>
    </x:row>
    <x:row r="1532" ht="44" customHeight="1">
      <x:c r="A1532" s="1"/>
      <x:c r="B1532" s="1"/>
      <x:c r="C1532" s="8"/>
      <x:c r="D1532" s="8"/>
      <x:c r="E1532" s="8"/>
      <x:c r="F1532" s="8"/>
      <x:c r="G1532" s="8"/>
      <x:c r="H1532" s="8"/>
      <x:c r="I1532" s="8"/>
      <x:c r="J1532" s="8"/>
      <x:c r="K1532" s="8"/>
      <x:c r="L1532" s="8"/>
      <x:c r="M1532" s="10"/>
      <x:c r="N1532" s="10"/>
      <x:c r="O1532" s="8"/>
      <x:c r="P1532" s="9" t="str">
        <x:f>IF(C1532="","",IF(AND(G1532="Applicable",H1532="Fail"),"Fail",IF(R1532&lt;&gt;"Valid","Pending",IF(OR(I1532="",K1532="",L1532="",K1532=L1532,NOT(ISNUMBER(M1532)),NOT(ISNUMBER(N1532)),M1532&gt;Settings!$F$8,N1532&lt;Settings!$F$8,N1532&lt;M1532),"Pending",IF(AND(G1532="Applicable",H1532="Pass"),"Pass",IF(AND(G1532="N/A",H1532="N/A",J1532&lt;&gt;"",OR(E1532="CEM-FUELS",E1532="CEM-CCS",AND(E1532="CEM-PLAN",IFERROR(INDEX('Taxonomy'!$M$9:$M$108,MATCH(D1532,'Taxonomy'!$C$9:$C$108,0)),"")&lt;&gt;"Amber"),E1532="BLD-TIMBER",AND(U1532="Building equipment",OR(E1532="BLD-WATER",E1532="BLD-WASTE",E1532="BLD-LAND")),AND(U1532="Building renovation",E1532="BLD-LAND"))),"N/A","Pending"))))))</x:f>
      </x:c>
      <x:c r="Q1532" s="3" t="str">
        <x:f>IF(C1532="","",IF(AND(R1532="Valid",OR(P1532="Pass",P1532="N/A")),"Complete","Unresolved"))</x:f>
      </x:c>
      <x:c r="R1532" s="9" t="str">
        <x:f>IF(C1532="","",IF(OR(COUNTIF($C$9:$C$2008,C1532)&lt;&gt;1,COUNTIFS($D$9:$D$2008,D1532,$E$9:$E$2008,E1532)&lt;&gt;1),"Duplicate test",IF(COUNTIF('Taxonomy'!$C$9:$C$108,D1532)&lt;&gt;1,"Assessment key",IF(OR(COUNTIF('Taxonomy Rules'!$C$42:$C$68,E1532)&lt;&gt;1,F1532&lt;&gt;IFERROR(INDEX('Taxonomy Rules'!$D$42:$D$68,MATCH(E1532,'Taxonomy Rules'!$C$42:$C$68,0)),""),NOT(OR(IFERROR(INDEX('Taxonomy Rules'!$G$42:$G$68,MATCH(E1532,'Taxonomy Rules'!$C$42:$C$68,0)),"")="All supported routes",IFERROR(INDEX('Taxonomy Rules'!$G$42:$G$68,MATCH(E1532,'Taxonomy Rules'!$C$42:$C$68,0)),"")=U1532,AND(IFERROR(INDEX('Taxonomy Rules'!$G$42:$G$68,MATCH(E1532,'Taxonomy Rules'!$C$42:$C$68,0)),"")="Building routes",OR(U1532="Building renovation",U1532="New building",U1532="Building equipment"))))),"Unexpected test","Valid"))))</x:f>
      </x:c>
      <x:c r="S1532" s="9" t="str">
        <x:f>IF(C1532="","",IFERROR(INDEX('Taxonomy Rules'!$E$42:$E$68,MATCH(E1532,'Taxonomy Rules'!$C$42:$C$68,0)),""))</x:f>
      </x:c>
      <x:c r="T1532" s="9" t="str">
        <x:f>IF(C1532="","",IFERROR(INDEX('Taxonomy Rules'!$F$42:$F$68,MATCH(E1532,'Taxonomy Rules'!$C$42:$C$68,0)),""))</x:f>
      </x:c>
      <x:c r="U1532" s="9" t="str">
        <x:f>IF(C1532="","",IFERROR(INDEX('Taxonomy'!$G$9:$G$108,MATCH(D1532,'Taxonomy'!$C$9:$C$108,0)),""))</x:f>
      </x:c>
    </x:row>
    <x:row r="1533" ht="44" customHeight="1">
      <x:c r="A1533" s="1"/>
      <x:c r="B1533" s="1"/>
      <x:c r="C1533" s="8"/>
      <x:c r="D1533" s="8"/>
      <x:c r="E1533" s="8"/>
      <x:c r="F1533" s="8"/>
      <x:c r="G1533" s="8"/>
      <x:c r="H1533" s="8"/>
      <x:c r="I1533" s="8"/>
      <x:c r="J1533" s="8"/>
      <x:c r="K1533" s="8"/>
      <x:c r="L1533" s="8"/>
      <x:c r="M1533" s="10"/>
      <x:c r="N1533" s="10"/>
      <x:c r="O1533" s="8"/>
      <x:c r="P1533" s="9" t="str">
        <x:f>IF(C1533="","",IF(AND(G1533="Applicable",H1533="Fail"),"Fail",IF(R1533&lt;&gt;"Valid","Pending",IF(OR(I1533="",K1533="",L1533="",K1533=L1533,NOT(ISNUMBER(M1533)),NOT(ISNUMBER(N1533)),M1533&gt;Settings!$F$8,N1533&lt;Settings!$F$8,N1533&lt;M1533),"Pending",IF(AND(G1533="Applicable",H1533="Pass"),"Pass",IF(AND(G1533="N/A",H1533="N/A",J1533&lt;&gt;"",OR(E1533="CEM-FUELS",E1533="CEM-CCS",AND(E1533="CEM-PLAN",IFERROR(INDEX('Taxonomy'!$M$9:$M$108,MATCH(D1533,'Taxonomy'!$C$9:$C$108,0)),"")&lt;&gt;"Amber"),E1533="BLD-TIMBER",AND(U1533="Building equipment",OR(E1533="BLD-WATER",E1533="BLD-WASTE",E1533="BLD-LAND")),AND(U1533="Building renovation",E1533="BLD-LAND"))),"N/A","Pending"))))))</x:f>
      </x:c>
      <x:c r="Q1533" s="3" t="str">
        <x:f>IF(C1533="","",IF(AND(R1533="Valid",OR(P1533="Pass",P1533="N/A")),"Complete","Unresolved"))</x:f>
      </x:c>
      <x:c r="R1533" s="9" t="str">
        <x:f>IF(C1533="","",IF(OR(COUNTIF($C$9:$C$2008,C1533)&lt;&gt;1,COUNTIFS($D$9:$D$2008,D1533,$E$9:$E$2008,E1533)&lt;&gt;1),"Duplicate test",IF(COUNTIF('Taxonomy'!$C$9:$C$108,D1533)&lt;&gt;1,"Assessment key",IF(OR(COUNTIF('Taxonomy Rules'!$C$42:$C$68,E1533)&lt;&gt;1,F1533&lt;&gt;IFERROR(INDEX('Taxonomy Rules'!$D$42:$D$68,MATCH(E1533,'Taxonomy Rules'!$C$42:$C$68,0)),""),NOT(OR(IFERROR(INDEX('Taxonomy Rules'!$G$42:$G$68,MATCH(E1533,'Taxonomy Rules'!$C$42:$C$68,0)),"")="All supported routes",IFERROR(INDEX('Taxonomy Rules'!$G$42:$G$68,MATCH(E1533,'Taxonomy Rules'!$C$42:$C$68,0)),"")=U1533,AND(IFERROR(INDEX('Taxonomy Rules'!$G$42:$G$68,MATCH(E1533,'Taxonomy Rules'!$C$42:$C$68,0)),"")="Building routes",OR(U1533="Building renovation",U1533="New building",U1533="Building equipment"))))),"Unexpected test","Valid"))))</x:f>
      </x:c>
      <x:c r="S1533" s="9" t="str">
        <x:f>IF(C1533="","",IFERROR(INDEX('Taxonomy Rules'!$E$42:$E$68,MATCH(E1533,'Taxonomy Rules'!$C$42:$C$68,0)),""))</x:f>
      </x:c>
      <x:c r="T1533" s="9" t="str">
        <x:f>IF(C1533="","",IFERROR(INDEX('Taxonomy Rules'!$F$42:$F$68,MATCH(E1533,'Taxonomy Rules'!$C$42:$C$68,0)),""))</x:f>
      </x:c>
      <x:c r="U1533" s="9" t="str">
        <x:f>IF(C1533="","",IFERROR(INDEX('Taxonomy'!$G$9:$G$108,MATCH(D1533,'Taxonomy'!$C$9:$C$108,0)),""))</x:f>
      </x:c>
    </x:row>
    <x:row r="1534" ht="44" customHeight="1">
      <x:c r="A1534" s="1"/>
      <x:c r="B1534" s="1"/>
      <x:c r="C1534" s="8"/>
      <x:c r="D1534" s="8"/>
      <x:c r="E1534" s="8"/>
      <x:c r="F1534" s="8"/>
      <x:c r="G1534" s="8"/>
      <x:c r="H1534" s="8"/>
      <x:c r="I1534" s="8"/>
      <x:c r="J1534" s="8"/>
      <x:c r="K1534" s="8"/>
      <x:c r="L1534" s="8"/>
      <x:c r="M1534" s="10"/>
      <x:c r="N1534" s="10"/>
      <x:c r="O1534" s="8"/>
      <x:c r="P1534" s="9" t="str">
        <x:f>IF(C1534="","",IF(AND(G1534="Applicable",H1534="Fail"),"Fail",IF(R1534&lt;&gt;"Valid","Pending",IF(OR(I1534="",K1534="",L1534="",K1534=L1534,NOT(ISNUMBER(M1534)),NOT(ISNUMBER(N1534)),M1534&gt;Settings!$F$8,N1534&lt;Settings!$F$8,N1534&lt;M1534),"Pending",IF(AND(G1534="Applicable",H1534="Pass"),"Pass",IF(AND(G1534="N/A",H1534="N/A",J1534&lt;&gt;"",OR(E1534="CEM-FUELS",E1534="CEM-CCS",AND(E1534="CEM-PLAN",IFERROR(INDEX('Taxonomy'!$M$9:$M$108,MATCH(D1534,'Taxonomy'!$C$9:$C$108,0)),"")&lt;&gt;"Amber"),E1534="BLD-TIMBER",AND(U1534="Building equipment",OR(E1534="BLD-WATER",E1534="BLD-WASTE",E1534="BLD-LAND")),AND(U1534="Building renovation",E1534="BLD-LAND"))),"N/A","Pending"))))))</x:f>
      </x:c>
      <x:c r="Q1534" s="3" t="str">
        <x:f>IF(C1534="","",IF(AND(R1534="Valid",OR(P1534="Pass",P1534="N/A")),"Complete","Unresolved"))</x:f>
      </x:c>
      <x:c r="R1534" s="9" t="str">
        <x:f>IF(C1534="","",IF(OR(COUNTIF($C$9:$C$2008,C1534)&lt;&gt;1,COUNTIFS($D$9:$D$2008,D1534,$E$9:$E$2008,E1534)&lt;&gt;1),"Duplicate test",IF(COUNTIF('Taxonomy'!$C$9:$C$108,D1534)&lt;&gt;1,"Assessment key",IF(OR(COUNTIF('Taxonomy Rules'!$C$42:$C$68,E1534)&lt;&gt;1,F1534&lt;&gt;IFERROR(INDEX('Taxonomy Rules'!$D$42:$D$68,MATCH(E1534,'Taxonomy Rules'!$C$42:$C$68,0)),""),NOT(OR(IFERROR(INDEX('Taxonomy Rules'!$G$42:$G$68,MATCH(E1534,'Taxonomy Rules'!$C$42:$C$68,0)),"")="All supported routes",IFERROR(INDEX('Taxonomy Rules'!$G$42:$G$68,MATCH(E1534,'Taxonomy Rules'!$C$42:$C$68,0)),"")=U1534,AND(IFERROR(INDEX('Taxonomy Rules'!$G$42:$G$68,MATCH(E1534,'Taxonomy Rules'!$C$42:$C$68,0)),"")="Building routes",OR(U1534="Building renovation",U1534="New building",U1534="Building equipment"))))),"Unexpected test","Valid"))))</x:f>
      </x:c>
      <x:c r="S1534" s="9" t="str">
        <x:f>IF(C1534="","",IFERROR(INDEX('Taxonomy Rules'!$E$42:$E$68,MATCH(E1534,'Taxonomy Rules'!$C$42:$C$68,0)),""))</x:f>
      </x:c>
      <x:c r="T1534" s="9" t="str">
        <x:f>IF(C1534="","",IFERROR(INDEX('Taxonomy Rules'!$F$42:$F$68,MATCH(E1534,'Taxonomy Rules'!$C$42:$C$68,0)),""))</x:f>
      </x:c>
      <x:c r="U1534" s="9" t="str">
        <x:f>IF(C1534="","",IFERROR(INDEX('Taxonomy'!$G$9:$G$108,MATCH(D1534,'Taxonomy'!$C$9:$C$108,0)),""))</x:f>
      </x:c>
    </x:row>
    <x:row r="1535" ht="44" customHeight="1">
      <x:c r="A1535" s="1"/>
      <x:c r="B1535" s="1"/>
      <x:c r="C1535" s="8"/>
      <x:c r="D1535" s="8"/>
      <x:c r="E1535" s="8"/>
      <x:c r="F1535" s="8"/>
      <x:c r="G1535" s="8"/>
      <x:c r="H1535" s="8"/>
      <x:c r="I1535" s="8"/>
      <x:c r="J1535" s="8"/>
      <x:c r="K1535" s="8"/>
      <x:c r="L1535" s="8"/>
      <x:c r="M1535" s="10"/>
      <x:c r="N1535" s="10"/>
      <x:c r="O1535" s="8"/>
      <x:c r="P1535" s="9" t="str">
        <x:f>IF(C1535="","",IF(AND(G1535="Applicable",H1535="Fail"),"Fail",IF(R1535&lt;&gt;"Valid","Pending",IF(OR(I1535="",K1535="",L1535="",K1535=L1535,NOT(ISNUMBER(M1535)),NOT(ISNUMBER(N1535)),M1535&gt;Settings!$F$8,N1535&lt;Settings!$F$8,N1535&lt;M1535),"Pending",IF(AND(G1535="Applicable",H1535="Pass"),"Pass",IF(AND(G1535="N/A",H1535="N/A",J1535&lt;&gt;"",OR(E1535="CEM-FUELS",E1535="CEM-CCS",AND(E1535="CEM-PLAN",IFERROR(INDEX('Taxonomy'!$M$9:$M$108,MATCH(D1535,'Taxonomy'!$C$9:$C$108,0)),"")&lt;&gt;"Amber"),E1535="BLD-TIMBER",AND(U1535="Building equipment",OR(E1535="BLD-WATER",E1535="BLD-WASTE",E1535="BLD-LAND")),AND(U1535="Building renovation",E1535="BLD-LAND"))),"N/A","Pending"))))))</x:f>
      </x:c>
      <x:c r="Q1535" s="3" t="str">
        <x:f>IF(C1535="","",IF(AND(R1535="Valid",OR(P1535="Pass",P1535="N/A")),"Complete","Unresolved"))</x:f>
      </x:c>
      <x:c r="R1535" s="9" t="str">
        <x:f>IF(C1535="","",IF(OR(COUNTIF($C$9:$C$2008,C1535)&lt;&gt;1,COUNTIFS($D$9:$D$2008,D1535,$E$9:$E$2008,E1535)&lt;&gt;1),"Duplicate test",IF(COUNTIF('Taxonomy'!$C$9:$C$108,D1535)&lt;&gt;1,"Assessment key",IF(OR(COUNTIF('Taxonomy Rules'!$C$42:$C$68,E1535)&lt;&gt;1,F1535&lt;&gt;IFERROR(INDEX('Taxonomy Rules'!$D$42:$D$68,MATCH(E1535,'Taxonomy Rules'!$C$42:$C$68,0)),""),NOT(OR(IFERROR(INDEX('Taxonomy Rules'!$G$42:$G$68,MATCH(E1535,'Taxonomy Rules'!$C$42:$C$68,0)),"")="All supported routes",IFERROR(INDEX('Taxonomy Rules'!$G$42:$G$68,MATCH(E1535,'Taxonomy Rules'!$C$42:$C$68,0)),"")=U1535,AND(IFERROR(INDEX('Taxonomy Rules'!$G$42:$G$68,MATCH(E1535,'Taxonomy Rules'!$C$42:$C$68,0)),"")="Building routes",OR(U1535="Building renovation",U1535="New building",U1535="Building equipment"))))),"Unexpected test","Valid"))))</x:f>
      </x:c>
      <x:c r="S1535" s="9" t="str">
        <x:f>IF(C1535="","",IFERROR(INDEX('Taxonomy Rules'!$E$42:$E$68,MATCH(E1535,'Taxonomy Rules'!$C$42:$C$68,0)),""))</x:f>
      </x:c>
      <x:c r="T1535" s="9" t="str">
        <x:f>IF(C1535="","",IFERROR(INDEX('Taxonomy Rules'!$F$42:$F$68,MATCH(E1535,'Taxonomy Rules'!$C$42:$C$68,0)),""))</x:f>
      </x:c>
      <x:c r="U1535" s="9" t="str">
        <x:f>IF(C1535="","",IFERROR(INDEX('Taxonomy'!$G$9:$G$108,MATCH(D1535,'Taxonomy'!$C$9:$C$108,0)),""))</x:f>
      </x:c>
    </x:row>
    <x:row r="1536" ht="44" customHeight="1">
      <x:c r="A1536" s="1"/>
      <x:c r="B1536" s="1"/>
      <x:c r="C1536" s="8"/>
      <x:c r="D1536" s="8"/>
      <x:c r="E1536" s="8"/>
      <x:c r="F1536" s="8"/>
      <x:c r="G1536" s="8"/>
      <x:c r="H1536" s="8"/>
      <x:c r="I1536" s="8"/>
      <x:c r="J1536" s="8"/>
      <x:c r="K1536" s="8"/>
      <x:c r="L1536" s="8"/>
      <x:c r="M1536" s="10"/>
      <x:c r="N1536" s="10"/>
      <x:c r="O1536" s="8"/>
      <x:c r="P1536" s="9" t="str">
        <x:f>IF(C1536="","",IF(AND(G1536="Applicable",H1536="Fail"),"Fail",IF(R1536&lt;&gt;"Valid","Pending",IF(OR(I1536="",K1536="",L1536="",K1536=L1536,NOT(ISNUMBER(M1536)),NOT(ISNUMBER(N1536)),M1536&gt;Settings!$F$8,N1536&lt;Settings!$F$8,N1536&lt;M1536),"Pending",IF(AND(G1536="Applicable",H1536="Pass"),"Pass",IF(AND(G1536="N/A",H1536="N/A",J1536&lt;&gt;"",OR(E1536="CEM-FUELS",E1536="CEM-CCS",AND(E1536="CEM-PLAN",IFERROR(INDEX('Taxonomy'!$M$9:$M$108,MATCH(D1536,'Taxonomy'!$C$9:$C$108,0)),"")&lt;&gt;"Amber"),E1536="BLD-TIMBER",AND(U1536="Building equipment",OR(E1536="BLD-WATER",E1536="BLD-WASTE",E1536="BLD-LAND")),AND(U1536="Building renovation",E1536="BLD-LAND"))),"N/A","Pending"))))))</x:f>
      </x:c>
      <x:c r="Q1536" s="3" t="str">
        <x:f>IF(C1536="","",IF(AND(R1536="Valid",OR(P1536="Pass",P1536="N/A")),"Complete","Unresolved"))</x:f>
      </x:c>
      <x:c r="R1536" s="9" t="str">
        <x:f>IF(C1536="","",IF(OR(COUNTIF($C$9:$C$2008,C1536)&lt;&gt;1,COUNTIFS($D$9:$D$2008,D1536,$E$9:$E$2008,E1536)&lt;&gt;1),"Duplicate test",IF(COUNTIF('Taxonomy'!$C$9:$C$108,D1536)&lt;&gt;1,"Assessment key",IF(OR(COUNTIF('Taxonomy Rules'!$C$42:$C$68,E1536)&lt;&gt;1,F1536&lt;&gt;IFERROR(INDEX('Taxonomy Rules'!$D$42:$D$68,MATCH(E1536,'Taxonomy Rules'!$C$42:$C$68,0)),""),NOT(OR(IFERROR(INDEX('Taxonomy Rules'!$G$42:$G$68,MATCH(E1536,'Taxonomy Rules'!$C$42:$C$68,0)),"")="All supported routes",IFERROR(INDEX('Taxonomy Rules'!$G$42:$G$68,MATCH(E1536,'Taxonomy Rules'!$C$42:$C$68,0)),"")=U1536,AND(IFERROR(INDEX('Taxonomy Rules'!$G$42:$G$68,MATCH(E1536,'Taxonomy Rules'!$C$42:$C$68,0)),"")="Building routes",OR(U1536="Building renovation",U1536="New building",U1536="Building equipment"))))),"Unexpected test","Valid"))))</x:f>
      </x:c>
      <x:c r="S1536" s="9" t="str">
        <x:f>IF(C1536="","",IFERROR(INDEX('Taxonomy Rules'!$E$42:$E$68,MATCH(E1536,'Taxonomy Rules'!$C$42:$C$68,0)),""))</x:f>
      </x:c>
      <x:c r="T1536" s="9" t="str">
        <x:f>IF(C1536="","",IFERROR(INDEX('Taxonomy Rules'!$F$42:$F$68,MATCH(E1536,'Taxonomy Rules'!$C$42:$C$68,0)),""))</x:f>
      </x:c>
      <x:c r="U1536" s="9" t="str">
        <x:f>IF(C1536="","",IFERROR(INDEX('Taxonomy'!$G$9:$G$108,MATCH(D1536,'Taxonomy'!$C$9:$C$108,0)),""))</x:f>
      </x:c>
    </x:row>
    <x:row r="1537" ht="44" customHeight="1">
      <x:c r="A1537" s="1"/>
      <x:c r="B1537" s="1"/>
      <x:c r="C1537" s="8"/>
      <x:c r="D1537" s="8"/>
      <x:c r="E1537" s="8"/>
      <x:c r="F1537" s="8"/>
      <x:c r="G1537" s="8"/>
      <x:c r="H1537" s="8"/>
      <x:c r="I1537" s="8"/>
      <x:c r="J1537" s="8"/>
      <x:c r="K1537" s="8"/>
      <x:c r="L1537" s="8"/>
      <x:c r="M1537" s="10"/>
      <x:c r="N1537" s="10"/>
      <x:c r="O1537" s="8"/>
      <x:c r="P1537" s="9" t="str">
        <x:f>IF(C1537="","",IF(AND(G1537="Applicable",H1537="Fail"),"Fail",IF(R1537&lt;&gt;"Valid","Pending",IF(OR(I1537="",K1537="",L1537="",K1537=L1537,NOT(ISNUMBER(M1537)),NOT(ISNUMBER(N1537)),M1537&gt;Settings!$F$8,N1537&lt;Settings!$F$8,N1537&lt;M1537),"Pending",IF(AND(G1537="Applicable",H1537="Pass"),"Pass",IF(AND(G1537="N/A",H1537="N/A",J1537&lt;&gt;"",OR(E1537="CEM-FUELS",E1537="CEM-CCS",AND(E1537="CEM-PLAN",IFERROR(INDEX('Taxonomy'!$M$9:$M$108,MATCH(D1537,'Taxonomy'!$C$9:$C$108,0)),"")&lt;&gt;"Amber"),E1537="BLD-TIMBER",AND(U1537="Building equipment",OR(E1537="BLD-WATER",E1537="BLD-WASTE",E1537="BLD-LAND")),AND(U1537="Building renovation",E1537="BLD-LAND"))),"N/A","Pending"))))))</x:f>
      </x:c>
      <x:c r="Q1537" s="3" t="str">
        <x:f>IF(C1537="","",IF(AND(R1537="Valid",OR(P1537="Pass",P1537="N/A")),"Complete","Unresolved"))</x:f>
      </x:c>
      <x:c r="R1537" s="9" t="str">
        <x:f>IF(C1537="","",IF(OR(COUNTIF($C$9:$C$2008,C1537)&lt;&gt;1,COUNTIFS($D$9:$D$2008,D1537,$E$9:$E$2008,E1537)&lt;&gt;1),"Duplicate test",IF(COUNTIF('Taxonomy'!$C$9:$C$108,D1537)&lt;&gt;1,"Assessment key",IF(OR(COUNTIF('Taxonomy Rules'!$C$42:$C$68,E1537)&lt;&gt;1,F1537&lt;&gt;IFERROR(INDEX('Taxonomy Rules'!$D$42:$D$68,MATCH(E1537,'Taxonomy Rules'!$C$42:$C$68,0)),""),NOT(OR(IFERROR(INDEX('Taxonomy Rules'!$G$42:$G$68,MATCH(E1537,'Taxonomy Rules'!$C$42:$C$68,0)),"")="All supported routes",IFERROR(INDEX('Taxonomy Rules'!$G$42:$G$68,MATCH(E1537,'Taxonomy Rules'!$C$42:$C$68,0)),"")=U1537,AND(IFERROR(INDEX('Taxonomy Rules'!$G$42:$G$68,MATCH(E1537,'Taxonomy Rules'!$C$42:$C$68,0)),"")="Building routes",OR(U1537="Building renovation",U1537="New building",U1537="Building equipment"))))),"Unexpected test","Valid"))))</x:f>
      </x:c>
      <x:c r="S1537" s="9" t="str">
        <x:f>IF(C1537="","",IFERROR(INDEX('Taxonomy Rules'!$E$42:$E$68,MATCH(E1537,'Taxonomy Rules'!$C$42:$C$68,0)),""))</x:f>
      </x:c>
      <x:c r="T1537" s="9" t="str">
        <x:f>IF(C1537="","",IFERROR(INDEX('Taxonomy Rules'!$F$42:$F$68,MATCH(E1537,'Taxonomy Rules'!$C$42:$C$68,0)),""))</x:f>
      </x:c>
      <x:c r="U1537" s="9" t="str">
        <x:f>IF(C1537="","",IFERROR(INDEX('Taxonomy'!$G$9:$G$108,MATCH(D1537,'Taxonomy'!$C$9:$C$108,0)),""))</x:f>
      </x:c>
    </x:row>
    <x:row r="1538" ht="44" customHeight="1">
      <x:c r="A1538" s="1"/>
      <x:c r="B1538" s="1"/>
      <x:c r="C1538" s="8"/>
      <x:c r="D1538" s="8"/>
      <x:c r="E1538" s="8"/>
      <x:c r="F1538" s="8"/>
      <x:c r="G1538" s="8"/>
      <x:c r="H1538" s="8"/>
      <x:c r="I1538" s="8"/>
      <x:c r="J1538" s="8"/>
      <x:c r="K1538" s="8"/>
      <x:c r="L1538" s="8"/>
      <x:c r="M1538" s="10"/>
      <x:c r="N1538" s="10"/>
      <x:c r="O1538" s="8"/>
      <x:c r="P1538" s="9" t="str">
        <x:f>IF(C1538="","",IF(AND(G1538="Applicable",H1538="Fail"),"Fail",IF(R1538&lt;&gt;"Valid","Pending",IF(OR(I1538="",K1538="",L1538="",K1538=L1538,NOT(ISNUMBER(M1538)),NOT(ISNUMBER(N1538)),M1538&gt;Settings!$F$8,N1538&lt;Settings!$F$8,N1538&lt;M1538),"Pending",IF(AND(G1538="Applicable",H1538="Pass"),"Pass",IF(AND(G1538="N/A",H1538="N/A",J1538&lt;&gt;"",OR(E1538="CEM-FUELS",E1538="CEM-CCS",AND(E1538="CEM-PLAN",IFERROR(INDEX('Taxonomy'!$M$9:$M$108,MATCH(D1538,'Taxonomy'!$C$9:$C$108,0)),"")&lt;&gt;"Amber"),E1538="BLD-TIMBER",AND(U1538="Building equipment",OR(E1538="BLD-WATER",E1538="BLD-WASTE",E1538="BLD-LAND")),AND(U1538="Building renovation",E1538="BLD-LAND"))),"N/A","Pending"))))))</x:f>
      </x:c>
      <x:c r="Q1538" s="3" t="str">
        <x:f>IF(C1538="","",IF(AND(R1538="Valid",OR(P1538="Pass",P1538="N/A")),"Complete","Unresolved"))</x:f>
      </x:c>
      <x:c r="R1538" s="9" t="str">
        <x:f>IF(C1538="","",IF(OR(COUNTIF($C$9:$C$2008,C1538)&lt;&gt;1,COUNTIFS($D$9:$D$2008,D1538,$E$9:$E$2008,E1538)&lt;&gt;1),"Duplicate test",IF(COUNTIF('Taxonomy'!$C$9:$C$108,D1538)&lt;&gt;1,"Assessment key",IF(OR(COUNTIF('Taxonomy Rules'!$C$42:$C$68,E1538)&lt;&gt;1,F1538&lt;&gt;IFERROR(INDEX('Taxonomy Rules'!$D$42:$D$68,MATCH(E1538,'Taxonomy Rules'!$C$42:$C$68,0)),""),NOT(OR(IFERROR(INDEX('Taxonomy Rules'!$G$42:$G$68,MATCH(E1538,'Taxonomy Rules'!$C$42:$C$68,0)),"")="All supported routes",IFERROR(INDEX('Taxonomy Rules'!$G$42:$G$68,MATCH(E1538,'Taxonomy Rules'!$C$42:$C$68,0)),"")=U1538,AND(IFERROR(INDEX('Taxonomy Rules'!$G$42:$G$68,MATCH(E1538,'Taxonomy Rules'!$C$42:$C$68,0)),"")="Building routes",OR(U1538="Building renovation",U1538="New building",U1538="Building equipment"))))),"Unexpected test","Valid"))))</x:f>
      </x:c>
      <x:c r="S1538" s="9" t="str">
        <x:f>IF(C1538="","",IFERROR(INDEX('Taxonomy Rules'!$E$42:$E$68,MATCH(E1538,'Taxonomy Rules'!$C$42:$C$68,0)),""))</x:f>
      </x:c>
      <x:c r="T1538" s="9" t="str">
        <x:f>IF(C1538="","",IFERROR(INDEX('Taxonomy Rules'!$F$42:$F$68,MATCH(E1538,'Taxonomy Rules'!$C$42:$C$68,0)),""))</x:f>
      </x:c>
      <x:c r="U1538" s="9" t="str">
        <x:f>IF(C1538="","",IFERROR(INDEX('Taxonomy'!$G$9:$G$108,MATCH(D1538,'Taxonomy'!$C$9:$C$108,0)),""))</x:f>
      </x:c>
    </x:row>
    <x:row r="1539" ht="44" customHeight="1">
      <x:c r="A1539" s="1"/>
      <x:c r="B1539" s="1"/>
      <x:c r="C1539" s="8"/>
      <x:c r="D1539" s="8"/>
      <x:c r="E1539" s="8"/>
      <x:c r="F1539" s="8"/>
      <x:c r="G1539" s="8"/>
      <x:c r="H1539" s="8"/>
      <x:c r="I1539" s="8"/>
      <x:c r="J1539" s="8"/>
      <x:c r="K1539" s="8"/>
      <x:c r="L1539" s="8"/>
      <x:c r="M1539" s="10"/>
      <x:c r="N1539" s="10"/>
      <x:c r="O1539" s="8"/>
      <x:c r="P1539" s="9" t="str">
        <x:f>IF(C1539="","",IF(AND(G1539="Applicable",H1539="Fail"),"Fail",IF(R1539&lt;&gt;"Valid","Pending",IF(OR(I1539="",K1539="",L1539="",K1539=L1539,NOT(ISNUMBER(M1539)),NOT(ISNUMBER(N1539)),M1539&gt;Settings!$F$8,N1539&lt;Settings!$F$8,N1539&lt;M1539),"Pending",IF(AND(G1539="Applicable",H1539="Pass"),"Pass",IF(AND(G1539="N/A",H1539="N/A",J1539&lt;&gt;"",OR(E1539="CEM-FUELS",E1539="CEM-CCS",AND(E1539="CEM-PLAN",IFERROR(INDEX('Taxonomy'!$M$9:$M$108,MATCH(D1539,'Taxonomy'!$C$9:$C$108,0)),"")&lt;&gt;"Amber"),E1539="BLD-TIMBER",AND(U1539="Building equipment",OR(E1539="BLD-WATER",E1539="BLD-WASTE",E1539="BLD-LAND")),AND(U1539="Building renovation",E1539="BLD-LAND"))),"N/A","Pending"))))))</x:f>
      </x:c>
      <x:c r="Q1539" s="3" t="str">
        <x:f>IF(C1539="","",IF(AND(R1539="Valid",OR(P1539="Pass",P1539="N/A")),"Complete","Unresolved"))</x:f>
      </x:c>
      <x:c r="R1539" s="9" t="str">
        <x:f>IF(C1539="","",IF(OR(COUNTIF($C$9:$C$2008,C1539)&lt;&gt;1,COUNTIFS($D$9:$D$2008,D1539,$E$9:$E$2008,E1539)&lt;&gt;1),"Duplicate test",IF(COUNTIF('Taxonomy'!$C$9:$C$108,D1539)&lt;&gt;1,"Assessment key",IF(OR(COUNTIF('Taxonomy Rules'!$C$42:$C$68,E1539)&lt;&gt;1,F1539&lt;&gt;IFERROR(INDEX('Taxonomy Rules'!$D$42:$D$68,MATCH(E1539,'Taxonomy Rules'!$C$42:$C$68,0)),""),NOT(OR(IFERROR(INDEX('Taxonomy Rules'!$G$42:$G$68,MATCH(E1539,'Taxonomy Rules'!$C$42:$C$68,0)),"")="All supported routes",IFERROR(INDEX('Taxonomy Rules'!$G$42:$G$68,MATCH(E1539,'Taxonomy Rules'!$C$42:$C$68,0)),"")=U1539,AND(IFERROR(INDEX('Taxonomy Rules'!$G$42:$G$68,MATCH(E1539,'Taxonomy Rules'!$C$42:$C$68,0)),"")="Building routes",OR(U1539="Building renovation",U1539="New building",U1539="Building equipment"))))),"Unexpected test","Valid"))))</x:f>
      </x:c>
      <x:c r="S1539" s="9" t="str">
        <x:f>IF(C1539="","",IFERROR(INDEX('Taxonomy Rules'!$E$42:$E$68,MATCH(E1539,'Taxonomy Rules'!$C$42:$C$68,0)),""))</x:f>
      </x:c>
      <x:c r="T1539" s="9" t="str">
        <x:f>IF(C1539="","",IFERROR(INDEX('Taxonomy Rules'!$F$42:$F$68,MATCH(E1539,'Taxonomy Rules'!$C$42:$C$68,0)),""))</x:f>
      </x:c>
      <x:c r="U1539" s="9" t="str">
        <x:f>IF(C1539="","",IFERROR(INDEX('Taxonomy'!$G$9:$G$108,MATCH(D1539,'Taxonomy'!$C$9:$C$108,0)),""))</x:f>
      </x:c>
    </x:row>
    <x:row r="1540" ht="44" customHeight="1">
      <x:c r="A1540" s="1"/>
      <x:c r="B1540" s="1"/>
      <x:c r="C1540" s="8"/>
      <x:c r="D1540" s="8"/>
      <x:c r="E1540" s="8"/>
      <x:c r="F1540" s="8"/>
      <x:c r="G1540" s="8"/>
      <x:c r="H1540" s="8"/>
      <x:c r="I1540" s="8"/>
      <x:c r="J1540" s="8"/>
      <x:c r="K1540" s="8"/>
      <x:c r="L1540" s="8"/>
      <x:c r="M1540" s="10"/>
      <x:c r="N1540" s="10"/>
      <x:c r="O1540" s="8"/>
      <x:c r="P1540" s="9" t="str">
        <x:f>IF(C1540="","",IF(AND(G1540="Applicable",H1540="Fail"),"Fail",IF(R1540&lt;&gt;"Valid","Pending",IF(OR(I1540="",K1540="",L1540="",K1540=L1540,NOT(ISNUMBER(M1540)),NOT(ISNUMBER(N1540)),M1540&gt;Settings!$F$8,N1540&lt;Settings!$F$8,N1540&lt;M1540),"Pending",IF(AND(G1540="Applicable",H1540="Pass"),"Pass",IF(AND(G1540="N/A",H1540="N/A",J1540&lt;&gt;"",OR(E1540="CEM-FUELS",E1540="CEM-CCS",AND(E1540="CEM-PLAN",IFERROR(INDEX('Taxonomy'!$M$9:$M$108,MATCH(D1540,'Taxonomy'!$C$9:$C$108,0)),"")&lt;&gt;"Amber"),E1540="BLD-TIMBER",AND(U1540="Building equipment",OR(E1540="BLD-WATER",E1540="BLD-WASTE",E1540="BLD-LAND")),AND(U1540="Building renovation",E1540="BLD-LAND"))),"N/A","Pending"))))))</x:f>
      </x:c>
      <x:c r="Q1540" s="3" t="str">
        <x:f>IF(C1540="","",IF(AND(R1540="Valid",OR(P1540="Pass",P1540="N/A")),"Complete","Unresolved"))</x:f>
      </x:c>
      <x:c r="R1540" s="9" t="str">
        <x:f>IF(C1540="","",IF(OR(COUNTIF($C$9:$C$2008,C1540)&lt;&gt;1,COUNTIFS($D$9:$D$2008,D1540,$E$9:$E$2008,E1540)&lt;&gt;1),"Duplicate test",IF(COUNTIF('Taxonomy'!$C$9:$C$108,D1540)&lt;&gt;1,"Assessment key",IF(OR(COUNTIF('Taxonomy Rules'!$C$42:$C$68,E1540)&lt;&gt;1,F1540&lt;&gt;IFERROR(INDEX('Taxonomy Rules'!$D$42:$D$68,MATCH(E1540,'Taxonomy Rules'!$C$42:$C$68,0)),""),NOT(OR(IFERROR(INDEX('Taxonomy Rules'!$G$42:$G$68,MATCH(E1540,'Taxonomy Rules'!$C$42:$C$68,0)),"")="All supported routes",IFERROR(INDEX('Taxonomy Rules'!$G$42:$G$68,MATCH(E1540,'Taxonomy Rules'!$C$42:$C$68,0)),"")=U1540,AND(IFERROR(INDEX('Taxonomy Rules'!$G$42:$G$68,MATCH(E1540,'Taxonomy Rules'!$C$42:$C$68,0)),"")="Building routes",OR(U1540="Building renovation",U1540="New building",U1540="Building equipment"))))),"Unexpected test","Valid"))))</x:f>
      </x:c>
      <x:c r="S1540" s="9" t="str">
        <x:f>IF(C1540="","",IFERROR(INDEX('Taxonomy Rules'!$E$42:$E$68,MATCH(E1540,'Taxonomy Rules'!$C$42:$C$68,0)),""))</x:f>
      </x:c>
      <x:c r="T1540" s="9" t="str">
        <x:f>IF(C1540="","",IFERROR(INDEX('Taxonomy Rules'!$F$42:$F$68,MATCH(E1540,'Taxonomy Rules'!$C$42:$C$68,0)),""))</x:f>
      </x:c>
      <x:c r="U1540" s="9" t="str">
        <x:f>IF(C1540="","",IFERROR(INDEX('Taxonomy'!$G$9:$G$108,MATCH(D1540,'Taxonomy'!$C$9:$C$108,0)),""))</x:f>
      </x:c>
    </x:row>
    <x:row r="1541" ht="44" customHeight="1">
      <x:c r="A1541" s="1"/>
      <x:c r="B1541" s="1"/>
      <x:c r="C1541" s="8"/>
      <x:c r="D1541" s="8"/>
      <x:c r="E1541" s="8"/>
      <x:c r="F1541" s="8"/>
      <x:c r="G1541" s="8"/>
      <x:c r="H1541" s="8"/>
      <x:c r="I1541" s="8"/>
      <x:c r="J1541" s="8"/>
      <x:c r="K1541" s="8"/>
      <x:c r="L1541" s="8"/>
      <x:c r="M1541" s="10"/>
      <x:c r="N1541" s="10"/>
      <x:c r="O1541" s="8"/>
      <x:c r="P1541" s="9" t="str">
        <x:f>IF(C1541="","",IF(AND(G1541="Applicable",H1541="Fail"),"Fail",IF(R1541&lt;&gt;"Valid","Pending",IF(OR(I1541="",K1541="",L1541="",K1541=L1541,NOT(ISNUMBER(M1541)),NOT(ISNUMBER(N1541)),M1541&gt;Settings!$F$8,N1541&lt;Settings!$F$8,N1541&lt;M1541),"Pending",IF(AND(G1541="Applicable",H1541="Pass"),"Pass",IF(AND(G1541="N/A",H1541="N/A",J1541&lt;&gt;"",OR(E1541="CEM-FUELS",E1541="CEM-CCS",AND(E1541="CEM-PLAN",IFERROR(INDEX('Taxonomy'!$M$9:$M$108,MATCH(D1541,'Taxonomy'!$C$9:$C$108,0)),"")&lt;&gt;"Amber"),E1541="BLD-TIMBER",AND(U1541="Building equipment",OR(E1541="BLD-WATER",E1541="BLD-WASTE",E1541="BLD-LAND")),AND(U1541="Building renovation",E1541="BLD-LAND"))),"N/A","Pending"))))))</x:f>
      </x:c>
      <x:c r="Q1541" s="3" t="str">
        <x:f>IF(C1541="","",IF(AND(R1541="Valid",OR(P1541="Pass",P1541="N/A")),"Complete","Unresolved"))</x:f>
      </x:c>
      <x:c r="R1541" s="9" t="str">
        <x:f>IF(C1541="","",IF(OR(COUNTIF($C$9:$C$2008,C1541)&lt;&gt;1,COUNTIFS($D$9:$D$2008,D1541,$E$9:$E$2008,E1541)&lt;&gt;1),"Duplicate test",IF(COUNTIF('Taxonomy'!$C$9:$C$108,D1541)&lt;&gt;1,"Assessment key",IF(OR(COUNTIF('Taxonomy Rules'!$C$42:$C$68,E1541)&lt;&gt;1,F1541&lt;&gt;IFERROR(INDEX('Taxonomy Rules'!$D$42:$D$68,MATCH(E1541,'Taxonomy Rules'!$C$42:$C$68,0)),""),NOT(OR(IFERROR(INDEX('Taxonomy Rules'!$G$42:$G$68,MATCH(E1541,'Taxonomy Rules'!$C$42:$C$68,0)),"")="All supported routes",IFERROR(INDEX('Taxonomy Rules'!$G$42:$G$68,MATCH(E1541,'Taxonomy Rules'!$C$42:$C$68,0)),"")=U1541,AND(IFERROR(INDEX('Taxonomy Rules'!$G$42:$G$68,MATCH(E1541,'Taxonomy Rules'!$C$42:$C$68,0)),"")="Building routes",OR(U1541="Building renovation",U1541="New building",U1541="Building equipment"))))),"Unexpected test","Valid"))))</x:f>
      </x:c>
      <x:c r="S1541" s="9" t="str">
        <x:f>IF(C1541="","",IFERROR(INDEX('Taxonomy Rules'!$E$42:$E$68,MATCH(E1541,'Taxonomy Rules'!$C$42:$C$68,0)),""))</x:f>
      </x:c>
      <x:c r="T1541" s="9" t="str">
        <x:f>IF(C1541="","",IFERROR(INDEX('Taxonomy Rules'!$F$42:$F$68,MATCH(E1541,'Taxonomy Rules'!$C$42:$C$68,0)),""))</x:f>
      </x:c>
      <x:c r="U1541" s="9" t="str">
        <x:f>IF(C1541="","",IFERROR(INDEX('Taxonomy'!$G$9:$G$108,MATCH(D1541,'Taxonomy'!$C$9:$C$108,0)),""))</x:f>
      </x:c>
    </x:row>
    <x:row r="1542" ht="44" customHeight="1">
      <x:c r="A1542" s="1"/>
      <x:c r="B1542" s="1"/>
      <x:c r="C1542" s="8"/>
      <x:c r="D1542" s="8"/>
      <x:c r="E1542" s="8"/>
      <x:c r="F1542" s="8"/>
      <x:c r="G1542" s="8"/>
      <x:c r="H1542" s="8"/>
      <x:c r="I1542" s="8"/>
      <x:c r="J1542" s="8"/>
      <x:c r="K1542" s="8"/>
      <x:c r="L1542" s="8"/>
      <x:c r="M1542" s="10"/>
      <x:c r="N1542" s="10"/>
      <x:c r="O1542" s="8"/>
      <x:c r="P1542" s="9" t="str">
        <x:f>IF(C1542="","",IF(AND(G1542="Applicable",H1542="Fail"),"Fail",IF(R1542&lt;&gt;"Valid","Pending",IF(OR(I1542="",K1542="",L1542="",K1542=L1542,NOT(ISNUMBER(M1542)),NOT(ISNUMBER(N1542)),M1542&gt;Settings!$F$8,N1542&lt;Settings!$F$8,N1542&lt;M1542),"Pending",IF(AND(G1542="Applicable",H1542="Pass"),"Pass",IF(AND(G1542="N/A",H1542="N/A",J1542&lt;&gt;"",OR(E1542="CEM-FUELS",E1542="CEM-CCS",AND(E1542="CEM-PLAN",IFERROR(INDEX('Taxonomy'!$M$9:$M$108,MATCH(D1542,'Taxonomy'!$C$9:$C$108,0)),"")&lt;&gt;"Amber"),E1542="BLD-TIMBER",AND(U1542="Building equipment",OR(E1542="BLD-WATER",E1542="BLD-WASTE",E1542="BLD-LAND")),AND(U1542="Building renovation",E1542="BLD-LAND"))),"N/A","Pending"))))))</x:f>
      </x:c>
      <x:c r="Q1542" s="3" t="str">
        <x:f>IF(C1542="","",IF(AND(R1542="Valid",OR(P1542="Pass",P1542="N/A")),"Complete","Unresolved"))</x:f>
      </x:c>
      <x:c r="R1542" s="9" t="str">
        <x:f>IF(C1542="","",IF(OR(COUNTIF($C$9:$C$2008,C1542)&lt;&gt;1,COUNTIFS($D$9:$D$2008,D1542,$E$9:$E$2008,E1542)&lt;&gt;1),"Duplicate test",IF(COUNTIF('Taxonomy'!$C$9:$C$108,D1542)&lt;&gt;1,"Assessment key",IF(OR(COUNTIF('Taxonomy Rules'!$C$42:$C$68,E1542)&lt;&gt;1,F1542&lt;&gt;IFERROR(INDEX('Taxonomy Rules'!$D$42:$D$68,MATCH(E1542,'Taxonomy Rules'!$C$42:$C$68,0)),""),NOT(OR(IFERROR(INDEX('Taxonomy Rules'!$G$42:$G$68,MATCH(E1542,'Taxonomy Rules'!$C$42:$C$68,0)),"")="All supported routes",IFERROR(INDEX('Taxonomy Rules'!$G$42:$G$68,MATCH(E1542,'Taxonomy Rules'!$C$42:$C$68,0)),"")=U1542,AND(IFERROR(INDEX('Taxonomy Rules'!$G$42:$G$68,MATCH(E1542,'Taxonomy Rules'!$C$42:$C$68,0)),"")="Building routes",OR(U1542="Building renovation",U1542="New building",U1542="Building equipment"))))),"Unexpected test","Valid"))))</x:f>
      </x:c>
      <x:c r="S1542" s="9" t="str">
        <x:f>IF(C1542="","",IFERROR(INDEX('Taxonomy Rules'!$E$42:$E$68,MATCH(E1542,'Taxonomy Rules'!$C$42:$C$68,0)),""))</x:f>
      </x:c>
      <x:c r="T1542" s="9" t="str">
        <x:f>IF(C1542="","",IFERROR(INDEX('Taxonomy Rules'!$F$42:$F$68,MATCH(E1542,'Taxonomy Rules'!$C$42:$C$68,0)),""))</x:f>
      </x:c>
      <x:c r="U1542" s="9" t="str">
        <x:f>IF(C1542="","",IFERROR(INDEX('Taxonomy'!$G$9:$G$108,MATCH(D1542,'Taxonomy'!$C$9:$C$108,0)),""))</x:f>
      </x:c>
    </x:row>
    <x:row r="1543" ht="44" customHeight="1">
      <x:c r="A1543" s="1"/>
      <x:c r="B1543" s="1"/>
      <x:c r="C1543" s="8"/>
      <x:c r="D1543" s="8"/>
      <x:c r="E1543" s="8"/>
      <x:c r="F1543" s="8"/>
      <x:c r="G1543" s="8"/>
      <x:c r="H1543" s="8"/>
      <x:c r="I1543" s="8"/>
      <x:c r="J1543" s="8"/>
      <x:c r="K1543" s="8"/>
      <x:c r="L1543" s="8"/>
      <x:c r="M1543" s="10"/>
      <x:c r="N1543" s="10"/>
      <x:c r="O1543" s="8"/>
      <x:c r="P1543" s="9" t="str">
        <x:f>IF(C1543="","",IF(AND(G1543="Applicable",H1543="Fail"),"Fail",IF(R1543&lt;&gt;"Valid","Pending",IF(OR(I1543="",K1543="",L1543="",K1543=L1543,NOT(ISNUMBER(M1543)),NOT(ISNUMBER(N1543)),M1543&gt;Settings!$F$8,N1543&lt;Settings!$F$8,N1543&lt;M1543),"Pending",IF(AND(G1543="Applicable",H1543="Pass"),"Pass",IF(AND(G1543="N/A",H1543="N/A",J1543&lt;&gt;"",OR(E1543="CEM-FUELS",E1543="CEM-CCS",AND(E1543="CEM-PLAN",IFERROR(INDEX('Taxonomy'!$M$9:$M$108,MATCH(D1543,'Taxonomy'!$C$9:$C$108,0)),"")&lt;&gt;"Amber"),E1543="BLD-TIMBER",AND(U1543="Building equipment",OR(E1543="BLD-WATER",E1543="BLD-WASTE",E1543="BLD-LAND")),AND(U1543="Building renovation",E1543="BLD-LAND"))),"N/A","Pending"))))))</x:f>
      </x:c>
      <x:c r="Q1543" s="3" t="str">
        <x:f>IF(C1543="","",IF(AND(R1543="Valid",OR(P1543="Pass",P1543="N/A")),"Complete","Unresolved"))</x:f>
      </x:c>
      <x:c r="R1543" s="9" t="str">
        <x:f>IF(C1543="","",IF(OR(COUNTIF($C$9:$C$2008,C1543)&lt;&gt;1,COUNTIFS($D$9:$D$2008,D1543,$E$9:$E$2008,E1543)&lt;&gt;1),"Duplicate test",IF(COUNTIF('Taxonomy'!$C$9:$C$108,D1543)&lt;&gt;1,"Assessment key",IF(OR(COUNTIF('Taxonomy Rules'!$C$42:$C$68,E1543)&lt;&gt;1,F1543&lt;&gt;IFERROR(INDEX('Taxonomy Rules'!$D$42:$D$68,MATCH(E1543,'Taxonomy Rules'!$C$42:$C$68,0)),""),NOT(OR(IFERROR(INDEX('Taxonomy Rules'!$G$42:$G$68,MATCH(E1543,'Taxonomy Rules'!$C$42:$C$68,0)),"")="All supported routes",IFERROR(INDEX('Taxonomy Rules'!$G$42:$G$68,MATCH(E1543,'Taxonomy Rules'!$C$42:$C$68,0)),"")=U1543,AND(IFERROR(INDEX('Taxonomy Rules'!$G$42:$G$68,MATCH(E1543,'Taxonomy Rules'!$C$42:$C$68,0)),"")="Building routes",OR(U1543="Building renovation",U1543="New building",U1543="Building equipment"))))),"Unexpected test","Valid"))))</x:f>
      </x:c>
      <x:c r="S1543" s="9" t="str">
        <x:f>IF(C1543="","",IFERROR(INDEX('Taxonomy Rules'!$E$42:$E$68,MATCH(E1543,'Taxonomy Rules'!$C$42:$C$68,0)),""))</x:f>
      </x:c>
      <x:c r="T1543" s="9" t="str">
        <x:f>IF(C1543="","",IFERROR(INDEX('Taxonomy Rules'!$F$42:$F$68,MATCH(E1543,'Taxonomy Rules'!$C$42:$C$68,0)),""))</x:f>
      </x:c>
      <x:c r="U1543" s="9" t="str">
        <x:f>IF(C1543="","",IFERROR(INDEX('Taxonomy'!$G$9:$G$108,MATCH(D1543,'Taxonomy'!$C$9:$C$108,0)),""))</x:f>
      </x:c>
    </x:row>
    <x:row r="1544" ht="44" customHeight="1">
      <x:c r="A1544" s="1"/>
      <x:c r="B1544" s="1"/>
      <x:c r="C1544" s="8"/>
      <x:c r="D1544" s="8"/>
      <x:c r="E1544" s="8"/>
      <x:c r="F1544" s="8"/>
      <x:c r="G1544" s="8"/>
      <x:c r="H1544" s="8"/>
      <x:c r="I1544" s="8"/>
      <x:c r="J1544" s="8"/>
      <x:c r="K1544" s="8"/>
      <x:c r="L1544" s="8"/>
      <x:c r="M1544" s="10"/>
      <x:c r="N1544" s="10"/>
      <x:c r="O1544" s="8"/>
      <x:c r="P1544" s="9" t="str">
        <x:f>IF(C1544="","",IF(AND(G1544="Applicable",H1544="Fail"),"Fail",IF(R1544&lt;&gt;"Valid","Pending",IF(OR(I1544="",K1544="",L1544="",K1544=L1544,NOT(ISNUMBER(M1544)),NOT(ISNUMBER(N1544)),M1544&gt;Settings!$F$8,N1544&lt;Settings!$F$8,N1544&lt;M1544),"Pending",IF(AND(G1544="Applicable",H1544="Pass"),"Pass",IF(AND(G1544="N/A",H1544="N/A",J1544&lt;&gt;"",OR(E1544="CEM-FUELS",E1544="CEM-CCS",AND(E1544="CEM-PLAN",IFERROR(INDEX('Taxonomy'!$M$9:$M$108,MATCH(D1544,'Taxonomy'!$C$9:$C$108,0)),"")&lt;&gt;"Amber"),E1544="BLD-TIMBER",AND(U1544="Building equipment",OR(E1544="BLD-WATER",E1544="BLD-WASTE",E1544="BLD-LAND")),AND(U1544="Building renovation",E1544="BLD-LAND"))),"N/A","Pending"))))))</x:f>
      </x:c>
      <x:c r="Q1544" s="3" t="str">
        <x:f>IF(C1544="","",IF(AND(R1544="Valid",OR(P1544="Pass",P1544="N/A")),"Complete","Unresolved"))</x:f>
      </x:c>
      <x:c r="R1544" s="9" t="str">
        <x:f>IF(C1544="","",IF(OR(COUNTIF($C$9:$C$2008,C1544)&lt;&gt;1,COUNTIFS($D$9:$D$2008,D1544,$E$9:$E$2008,E1544)&lt;&gt;1),"Duplicate test",IF(COUNTIF('Taxonomy'!$C$9:$C$108,D1544)&lt;&gt;1,"Assessment key",IF(OR(COUNTIF('Taxonomy Rules'!$C$42:$C$68,E1544)&lt;&gt;1,F1544&lt;&gt;IFERROR(INDEX('Taxonomy Rules'!$D$42:$D$68,MATCH(E1544,'Taxonomy Rules'!$C$42:$C$68,0)),""),NOT(OR(IFERROR(INDEX('Taxonomy Rules'!$G$42:$G$68,MATCH(E1544,'Taxonomy Rules'!$C$42:$C$68,0)),"")="All supported routes",IFERROR(INDEX('Taxonomy Rules'!$G$42:$G$68,MATCH(E1544,'Taxonomy Rules'!$C$42:$C$68,0)),"")=U1544,AND(IFERROR(INDEX('Taxonomy Rules'!$G$42:$G$68,MATCH(E1544,'Taxonomy Rules'!$C$42:$C$68,0)),"")="Building routes",OR(U1544="Building renovation",U1544="New building",U1544="Building equipment"))))),"Unexpected test","Valid"))))</x:f>
      </x:c>
      <x:c r="S1544" s="9" t="str">
        <x:f>IF(C1544="","",IFERROR(INDEX('Taxonomy Rules'!$E$42:$E$68,MATCH(E1544,'Taxonomy Rules'!$C$42:$C$68,0)),""))</x:f>
      </x:c>
      <x:c r="T1544" s="9" t="str">
        <x:f>IF(C1544="","",IFERROR(INDEX('Taxonomy Rules'!$F$42:$F$68,MATCH(E1544,'Taxonomy Rules'!$C$42:$C$68,0)),""))</x:f>
      </x:c>
      <x:c r="U1544" s="9" t="str">
        <x:f>IF(C1544="","",IFERROR(INDEX('Taxonomy'!$G$9:$G$108,MATCH(D1544,'Taxonomy'!$C$9:$C$108,0)),""))</x:f>
      </x:c>
    </x:row>
    <x:row r="1545" ht="44" customHeight="1">
      <x:c r="A1545" s="1"/>
      <x:c r="B1545" s="1"/>
      <x:c r="C1545" s="8"/>
      <x:c r="D1545" s="8"/>
      <x:c r="E1545" s="8"/>
      <x:c r="F1545" s="8"/>
      <x:c r="G1545" s="8"/>
      <x:c r="H1545" s="8"/>
      <x:c r="I1545" s="8"/>
      <x:c r="J1545" s="8"/>
      <x:c r="K1545" s="8"/>
      <x:c r="L1545" s="8"/>
      <x:c r="M1545" s="10"/>
      <x:c r="N1545" s="10"/>
      <x:c r="O1545" s="8"/>
      <x:c r="P1545" s="9" t="str">
        <x:f>IF(C1545="","",IF(AND(G1545="Applicable",H1545="Fail"),"Fail",IF(R1545&lt;&gt;"Valid","Pending",IF(OR(I1545="",K1545="",L1545="",K1545=L1545,NOT(ISNUMBER(M1545)),NOT(ISNUMBER(N1545)),M1545&gt;Settings!$F$8,N1545&lt;Settings!$F$8,N1545&lt;M1545),"Pending",IF(AND(G1545="Applicable",H1545="Pass"),"Pass",IF(AND(G1545="N/A",H1545="N/A",J1545&lt;&gt;"",OR(E1545="CEM-FUELS",E1545="CEM-CCS",AND(E1545="CEM-PLAN",IFERROR(INDEX('Taxonomy'!$M$9:$M$108,MATCH(D1545,'Taxonomy'!$C$9:$C$108,0)),"")&lt;&gt;"Amber"),E1545="BLD-TIMBER",AND(U1545="Building equipment",OR(E1545="BLD-WATER",E1545="BLD-WASTE",E1545="BLD-LAND")),AND(U1545="Building renovation",E1545="BLD-LAND"))),"N/A","Pending"))))))</x:f>
      </x:c>
      <x:c r="Q1545" s="3" t="str">
        <x:f>IF(C1545="","",IF(AND(R1545="Valid",OR(P1545="Pass",P1545="N/A")),"Complete","Unresolved"))</x:f>
      </x:c>
      <x:c r="R1545" s="9" t="str">
        <x:f>IF(C1545="","",IF(OR(COUNTIF($C$9:$C$2008,C1545)&lt;&gt;1,COUNTIFS($D$9:$D$2008,D1545,$E$9:$E$2008,E1545)&lt;&gt;1),"Duplicate test",IF(COUNTIF('Taxonomy'!$C$9:$C$108,D1545)&lt;&gt;1,"Assessment key",IF(OR(COUNTIF('Taxonomy Rules'!$C$42:$C$68,E1545)&lt;&gt;1,F1545&lt;&gt;IFERROR(INDEX('Taxonomy Rules'!$D$42:$D$68,MATCH(E1545,'Taxonomy Rules'!$C$42:$C$68,0)),""),NOT(OR(IFERROR(INDEX('Taxonomy Rules'!$G$42:$G$68,MATCH(E1545,'Taxonomy Rules'!$C$42:$C$68,0)),"")="All supported routes",IFERROR(INDEX('Taxonomy Rules'!$G$42:$G$68,MATCH(E1545,'Taxonomy Rules'!$C$42:$C$68,0)),"")=U1545,AND(IFERROR(INDEX('Taxonomy Rules'!$G$42:$G$68,MATCH(E1545,'Taxonomy Rules'!$C$42:$C$68,0)),"")="Building routes",OR(U1545="Building renovation",U1545="New building",U1545="Building equipment"))))),"Unexpected test","Valid"))))</x:f>
      </x:c>
      <x:c r="S1545" s="9" t="str">
        <x:f>IF(C1545="","",IFERROR(INDEX('Taxonomy Rules'!$E$42:$E$68,MATCH(E1545,'Taxonomy Rules'!$C$42:$C$68,0)),""))</x:f>
      </x:c>
      <x:c r="T1545" s="9" t="str">
        <x:f>IF(C1545="","",IFERROR(INDEX('Taxonomy Rules'!$F$42:$F$68,MATCH(E1545,'Taxonomy Rules'!$C$42:$C$68,0)),""))</x:f>
      </x:c>
      <x:c r="U1545" s="9" t="str">
        <x:f>IF(C1545="","",IFERROR(INDEX('Taxonomy'!$G$9:$G$108,MATCH(D1545,'Taxonomy'!$C$9:$C$108,0)),""))</x:f>
      </x:c>
    </x:row>
    <x:row r="1546" ht="44" customHeight="1">
      <x:c r="A1546" s="1"/>
      <x:c r="B1546" s="1"/>
      <x:c r="C1546" s="8"/>
      <x:c r="D1546" s="8"/>
      <x:c r="E1546" s="8"/>
      <x:c r="F1546" s="8"/>
      <x:c r="G1546" s="8"/>
      <x:c r="H1546" s="8"/>
      <x:c r="I1546" s="8"/>
      <x:c r="J1546" s="8"/>
      <x:c r="K1546" s="8"/>
      <x:c r="L1546" s="8"/>
      <x:c r="M1546" s="10"/>
      <x:c r="N1546" s="10"/>
      <x:c r="O1546" s="8"/>
      <x:c r="P1546" s="9" t="str">
        <x:f>IF(C1546="","",IF(AND(G1546="Applicable",H1546="Fail"),"Fail",IF(R1546&lt;&gt;"Valid","Pending",IF(OR(I1546="",K1546="",L1546="",K1546=L1546,NOT(ISNUMBER(M1546)),NOT(ISNUMBER(N1546)),M1546&gt;Settings!$F$8,N1546&lt;Settings!$F$8,N1546&lt;M1546),"Pending",IF(AND(G1546="Applicable",H1546="Pass"),"Pass",IF(AND(G1546="N/A",H1546="N/A",J1546&lt;&gt;"",OR(E1546="CEM-FUELS",E1546="CEM-CCS",AND(E1546="CEM-PLAN",IFERROR(INDEX('Taxonomy'!$M$9:$M$108,MATCH(D1546,'Taxonomy'!$C$9:$C$108,0)),"")&lt;&gt;"Amber"),E1546="BLD-TIMBER",AND(U1546="Building equipment",OR(E1546="BLD-WATER",E1546="BLD-WASTE",E1546="BLD-LAND")),AND(U1546="Building renovation",E1546="BLD-LAND"))),"N/A","Pending"))))))</x:f>
      </x:c>
      <x:c r="Q1546" s="3" t="str">
        <x:f>IF(C1546="","",IF(AND(R1546="Valid",OR(P1546="Pass",P1546="N/A")),"Complete","Unresolved"))</x:f>
      </x:c>
      <x:c r="R1546" s="9" t="str">
        <x:f>IF(C1546="","",IF(OR(COUNTIF($C$9:$C$2008,C1546)&lt;&gt;1,COUNTIFS($D$9:$D$2008,D1546,$E$9:$E$2008,E1546)&lt;&gt;1),"Duplicate test",IF(COUNTIF('Taxonomy'!$C$9:$C$108,D1546)&lt;&gt;1,"Assessment key",IF(OR(COUNTIF('Taxonomy Rules'!$C$42:$C$68,E1546)&lt;&gt;1,F1546&lt;&gt;IFERROR(INDEX('Taxonomy Rules'!$D$42:$D$68,MATCH(E1546,'Taxonomy Rules'!$C$42:$C$68,0)),""),NOT(OR(IFERROR(INDEX('Taxonomy Rules'!$G$42:$G$68,MATCH(E1546,'Taxonomy Rules'!$C$42:$C$68,0)),"")="All supported routes",IFERROR(INDEX('Taxonomy Rules'!$G$42:$G$68,MATCH(E1546,'Taxonomy Rules'!$C$42:$C$68,0)),"")=U1546,AND(IFERROR(INDEX('Taxonomy Rules'!$G$42:$G$68,MATCH(E1546,'Taxonomy Rules'!$C$42:$C$68,0)),"")="Building routes",OR(U1546="Building renovation",U1546="New building",U1546="Building equipment"))))),"Unexpected test","Valid"))))</x:f>
      </x:c>
      <x:c r="S1546" s="9" t="str">
        <x:f>IF(C1546="","",IFERROR(INDEX('Taxonomy Rules'!$E$42:$E$68,MATCH(E1546,'Taxonomy Rules'!$C$42:$C$68,0)),""))</x:f>
      </x:c>
      <x:c r="T1546" s="9" t="str">
        <x:f>IF(C1546="","",IFERROR(INDEX('Taxonomy Rules'!$F$42:$F$68,MATCH(E1546,'Taxonomy Rules'!$C$42:$C$68,0)),""))</x:f>
      </x:c>
      <x:c r="U1546" s="9" t="str">
        <x:f>IF(C1546="","",IFERROR(INDEX('Taxonomy'!$G$9:$G$108,MATCH(D1546,'Taxonomy'!$C$9:$C$108,0)),""))</x:f>
      </x:c>
    </x:row>
    <x:row r="1547" ht="44" customHeight="1">
      <x:c r="A1547" s="1"/>
      <x:c r="B1547" s="1"/>
      <x:c r="C1547" s="8"/>
      <x:c r="D1547" s="8"/>
      <x:c r="E1547" s="8"/>
      <x:c r="F1547" s="8"/>
      <x:c r="G1547" s="8"/>
      <x:c r="H1547" s="8"/>
      <x:c r="I1547" s="8"/>
      <x:c r="J1547" s="8"/>
      <x:c r="K1547" s="8"/>
      <x:c r="L1547" s="8"/>
      <x:c r="M1547" s="10"/>
      <x:c r="N1547" s="10"/>
      <x:c r="O1547" s="8"/>
      <x:c r="P1547" s="9" t="str">
        <x:f>IF(C1547="","",IF(AND(G1547="Applicable",H1547="Fail"),"Fail",IF(R1547&lt;&gt;"Valid","Pending",IF(OR(I1547="",K1547="",L1547="",K1547=L1547,NOT(ISNUMBER(M1547)),NOT(ISNUMBER(N1547)),M1547&gt;Settings!$F$8,N1547&lt;Settings!$F$8,N1547&lt;M1547),"Pending",IF(AND(G1547="Applicable",H1547="Pass"),"Pass",IF(AND(G1547="N/A",H1547="N/A",J1547&lt;&gt;"",OR(E1547="CEM-FUELS",E1547="CEM-CCS",AND(E1547="CEM-PLAN",IFERROR(INDEX('Taxonomy'!$M$9:$M$108,MATCH(D1547,'Taxonomy'!$C$9:$C$108,0)),"")&lt;&gt;"Amber"),E1547="BLD-TIMBER",AND(U1547="Building equipment",OR(E1547="BLD-WATER",E1547="BLD-WASTE",E1547="BLD-LAND")),AND(U1547="Building renovation",E1547="BLD-LAND"))),"N/A","Pending"))))))</x:f>
      </x:c>
      <x:c r="Q1547" s="3" t="str">
        <x:f>IF(C1547="","",IF(AND(R1547="Valid",OR(P1547="Pass",P1547="N/A")),"Complete","Unresolved"))</x:f>
      </x:c>
      <x:c r="R1547" s="9" t="str">
        <x:f>IF(C1547="","",IF(OR(COUNTIF($C$9:$C$2008,C1547)&lt;&gt;1,COUNTIFS($D$9:$D$2008,D1547,$E$9:$E$2008,E1547)&lt;&gt;1),"Duplicate test",IF(COUNTIF('Taxonomy'!$C$9:$C$108,D1547)&lt;&gt;1,"Assessment key",IF(OR(COUNTIF('Taxonomy Rules'!$C$42:$C$68,E1547)&lt;&gt;1,F1547&lt;&gt;IFERROR(INDEX('Taxonomy Rules'!$D$42:$D$68,MATCH(E1547,'Taxonomy Rules'!$C$42:$C$68,0)),""),NOT(OR(IFERROR(INDEX('Taxonomy Rules'!$G$42:$G$68,MATCH(E1547,'Taxonomy Rules'!$C$42:$C$68,0)),"")="All supported routes",IFERROR(INDEX('Taxonomy Rules'!$G$42:$G$68,MATCH(E1547,'Taxonomy Rules'!$C$42:$C$68,0)),"")=U1547,AND(IFERROR(INDEX('Taxonomy Rules'!$G$42:$G$68,MATCH(E1547,'Taxonomy Rules'!$C$42:$C$68,0)),"")="Building routes",OR(U1547="Building renovation",U1547="New building",U1547="Building equipment"))))),"Unexpected test","Valid"))))</x:f>
      </x:c>
      <x:c r="S1547" s="9" t="str">
        <x:f>IF(C1547="","",IFERROR(INDEX('Taxonomy Rules'!$E$42:$E$68,MATCH(E1547,'Taxonomy Rules'!$C$42:$C$68,0)),""))</x:f>
      </x:c>
      <x:c r="T1547" s="9" t="str">
        <x:f>IF(C1547="","",IFERROR(INDEX('Taxonomy Rules'!$F$42:$F$68,MATCH(E1547,'Taxonomy Rules'!$C$42:$C$68,0)),""))</x:f>
      </x:c>
      <x:c r="U1547" s="9" t="str">
        <x:f>IF(C1547="","",IFERROR(INDEX('Taxonomy'!$G$9:$G$108,MATCH(D1547,'Taxonomy'!$C$9:$C$108,0)),""))</x:f>
      </x:c>
    </x:row>
    <x:row r="1548" ht="44" customHeight="1">
      <x:c r="A1548" s="1"/>
      <x:c r="B1548" s="1"/>
      <x:c r="C1548" s="8"/>
      <x:c r="D1548" s="8"/>
      <x:c r="E1548" s="8"/>
      <x:c r="F1548" s="8"/>
      <x:c r="G1548" s="8"/>
      <x:c r="H1548" s="8"/>
      <x:c r="I1548" s="8"/>
      <x:c r="J1548" s="8"/>
      <x:c r="K1548" s="8"/>
      <x:c r="L1548" s="8"/>
      <x:c r="M1548" s="10"/>
      <x:c r="N1548" s="10"/>
      <x:c r="O1548" s="8"/>
      <x:c r="P1548" s="9" t="str">
        <x:f>IF(C1548="","",IF(AND(G1548="Applicable",H1548="Fail"),"Fail",IF(R1548&lt;&gt;"Valid","Pending",IF(OR(I1548="",K1548="",L1548="",K1548=L1548,NOT(ISNUMBER(M1548)),NOT(ISNUMBER(N1548)),M1548&gt;Settings!$F$8,N1548&lt;Settings!$F$8,N1548&lt;M1548),"Pending",IF(AND(G1548="Applicable",H1548="Pass"),"Pass",IF(AND(G1548="N/A",H1548="N/A",J1548&lt;&gt;"",OR(E1548="CEM-FUELS",E1548="CEM-CCS",AND(E1548="CEM-PLAN",IFERROR(INDEX('Taxonomy'!$M$9:$M$108,MATCH(D1548,'Taxonomy'!$C$9:$C$108,0)),"")&lt;&gt;"Amber"),E1548="BLD-TIMBER",AND(U1548="Building equipment",OR(E1548="BLD-WATER",E1548="BLD-WASTE",E1548="BLD-LAND")),AND(U1548="Building renovation",E1548="BLD-LAND"))),"N/A","Pending"))))))</x:f>
      </x:c>
      <x:c r="Q1548" s="3" t="str">
        <x:f>IF(C1548="","",IF(AND(R1548="Valid",OR(P1548="Pass",P1548="N/A")),"Complete","Unresolved"))</x:f>
      </x:c>
      <x:c r="R1548" s="9" t="str">
        <x:f>IF(C1548="","",IF(OR(COUNTIF($C$9:$C$2008,C1548)&lt;&gt;1,COUNTIFS($D$9:$D$2008,D1548,$E$9:$E$2008,E1548)&lt;&gt;1),"Duplicate test",IF(COUNTIF('Taxonomy'!$C$9:$C$108,D1548)&lt;&gt;1,"Assessment key",IF(OR(COUNTIF('Taxonomy Rules'!$C$42:$C$68,E1548)&lt;&gt;1,F1548&lt;&gt;IFERROR(INDEX('Taxonomy Rules'!$D$42:$D$68,MATCH(E1548,'Taxonomy Rules'!$C$42:$C$68,0)),""),NOT(OR(IFERROR(INDEX('Taxonomy Rules'!$G$42:$G$68,MATCH(E1548,'Taxonomy Rules'!$C$42:$C$68,0)),"")="All supported routes",IFERROR(INDEX('Taxonomy Rules'!$G$42:$G$68,MATCH(E1548,'Taxonomy Rules'!$C$42:$C$68,0)),"")=U1548,AND(IFERROR(INDEX('Taxonomy Rules'!$G$42:$G$68,MATCH(E1548,'Taxonomy Rules'!$C$42:$C$68,0)),"")="Building routes",OR(U1548="Building renovation",U1548="New building",U1548="Building equipment"))))),"Unexpected test","Valid"))))</x:f>
      </x:c>
      <x:c r="S1548" s="9" t="str">
        <x:f>IF(C1548="","",IFERROR(INDEX('Taxonomy Rules'!$E$42:$E$68,MATCH(E1548,'Taxonomy Rules'!$C$42:$C$68,0)),""))</x:f>
      </x:c>
      <x:c r="T1548" s="9" t="str">
        <x:f>IF(C1548="","",IFERROR(INDEX('Taxonomy Rules'!$F$42:$F$68,MATCH(E1548,'Taxonomy Rules'!$C$42:$C$68,0)),""))</x:f>
      </x:c>
      <x:c r="U1548" s="9" t="str">
        <x:f>IF(C1548="","",IFERROR(INDEX('Taxonomy'!$G$9:$G$108,MATCH(D1548,'Taxonomy'!$C$9:$C$108,0)),""))</x:f>
      </x:c>
    </x:row>
    <x:row r="1549" ht="44" customHeight="1">
      <x:c r="A1549" s="1"/>
      <x:c r="B1549" s="1"/>
      <x:c r="C1549" s="8"/>
      <x:c r="D1549" s="8"/>
      <x:c r="E1549" s="8"/>
      <x:c r="F1549" s="8"/>
      <x:c r="G1549" s="8"/>
      <x:c r="H1549" s="8"/>
      <x:c r="I1549" s="8"/>
      <x:c r="J1549" s="8"/>
      <x:c r="K1549" s="8"/>
      <x:c r="L1549" s="8"/>
      <x:c r="M1549" s="10"/>
      <x:c r="N1549" s="10"/>
      <x:c r="O1549" s="8"/>
      <x:c r="P1549" s="9" t="str">
        <x:f>IF(C1549="","",IF(AND(G1549="Applicable",H1549="Fail"),"Fail",IF(R1549&lt;&gt;"Valid","Pending",IF(OR(I1549="",K1549="",L1549="",K1549=L1549,NOT(ISNUMBER(M1549)),NOT(ISNUMBER(N1549)),M1549&gt;Settings!$F$8,N1549&lt;Settings!$F$8,N1549&lt;M1549),"Pending",IF(AND(G1549="Applicable",H1549="Pass"),"Pass",IF(AND(G1549="N/A",H1549="N/A",J1549&lt;&gt;"",OR(E1549="CEM-FUELS",E1549="CEM-CCS",AND(E1549="CEM-PLAN",IFERROR(INDEX('Taxonomy'!$M$9:$M$108,MATCH(D1549,'Taxonomy'!$C$9:$C$108,0)),"")&lt;&gt;"Amber"),E1549="BLD-TIMBER",AND(U1549="Building equipment",OR(E1549="BLD-WATER",E1549="BLD-WASTE",E1549="BLD-LAND")),AND(U1549="Building renovation",E1549="BLD-LAND"))),"N/A","Pending"))))))</x:f>
      </x:c>
      <x:c r="Q1549" s="3" t="str">
        <x:f>IF(C1549="","",IF(AND(R1549="Valid",OR(P1549="Pass",P1549="N/A")),"Complete","Unresolved"))</x:f>
      </x:c>
      <x:c r="R1549" s="9" t="str">
        <x:f>IF(C1549="","",IF(OR(COUNTIF($C$9:$C$2008,C1549)&lt;&gt;1,COUNTIFS($D$9:$D$2008,D1549,$E$9:$E$2008,E1549)&lt;&gt;1),"Duplicate test",IF(COUNTIF('Taxonomy'!$C$9:$C$108,D1549)&lt;&gt;1,"Assessment key",IF(OR(COUNTIF('Taxonomy Rules'!$C$42:$C$68,E1549)&lt;&gt;1,F1549&lt;&gt;IFERROR(INDEX('Taxonomy Rules'!$D$42:$D$68,MATCH(E1549,'Taxonomy Rules'!$C$42:$C$68,0)),""),NOT(OR(IFERROR(INDEX('Taxonomy Rules'!$G$42:$G$68,MATCH(E1549,'Taxonomy Rules'!$C$42:$C$68,0)),"")="All supported routes",IFERROR(INDEX('Taxonomy Rules'!$G$42:$G$68,MATCH(E1549,'Taxonomy Rules'!$C$42:$C$68,0)),"")=U1549,AND(IFERROR(INDEX('Taxonomy Rules'!$G$42:$G$68,MATCH(E1549,'Taxonomy Rules'!$C$42:$C$68,0)),"")="Building routes",OR(U1549="Building renovation",U1549="New building",U1549="Building equipment"))))),"Unexpected test","Valid"))))</x:f>
      </x:c>
      <x:c r="S1549" s="9" t="str">
        <x:f>IF(C1549="","",IFERROR(INDEX('Taxonomy Rules'!$E$42:$E$68,MATCH(E1549,'Taxonomy Rules'!$C$42:$C$68,0)),""))</x:f>
      </x:c>
      <x:c r="T1549" s="9" t="str">
        <x:f>IF(C1549="","",IFERROR(INDEX('Taxonomy Rules'!$F$42:$F$68,MATCH(E1549,'Taxonomy Rules'!$C$42:$C$68,0)),""))</x:f>
      </x:c>
      <x:c r="U1549" s="9" t="str">
        <x:f>IF(C1549="","",IFERROR(INDEX('Taxonomy'!$G$9:$G$108,MATCH(D1549,'Taxonomy'!$C$9:$C$108,0)),""))</x:f>
      </x:c>
    </x:row>
    <x:row r="1550" ht="44" customHeight="1">
      <x:c r="A1550" s="1"/>
      <x:c r="B1550" s="1"/>
      <x:c r="C1550" s="8"/>
      <x:c r="D1550" s="8"/>
      <x:c r="E1550" s="8"/>
      <x:c r="F1550" s="8"/>
      <x:c r="G1550" s="8"/>
      <x:c r="H1550" s="8"/>
      <x:c r="I1550" s="8"/>
      <x:c r="J1550" s="8"/>
      <x:c r="K1550" s="8"/>
      <x:c r="L1550" s="8"/>
      <x:c r="M1550" s="10"/>
      <x:c r="N1550" s="10"/>
      <x:c r="O1550" s="8"/>
      <x:c r="P1550" s="9" t="str">
        <x:f>IF(C1550="","",IF(AND(G1550="Applicable",H1550="Fail"),"Fail",IF(R1550&lt;&gt;"Valid","Pending",IF(OR(I1550="",K1550="",L1550="",K1550=L1550,NOT(ISNUMBER(M1550)),NOT(ISNUMBER(N1550)),M1550&gt;Settings!$F$8,N1550&lt;Settings!$F$8,N1550&lt;M1550),"Pending",IF(AND(G1550="Applicable",H1550="Pass"),"Pass",IF(AND(G1550="N/A",H1550="N/A",J1550&lt;&gt;"",OR(E1550="CEM-FUELS",E1550="CEM-CCS",AND(E1550="CEM-PLAN",IFERROR(INDEX('Taxonomy'!$M$9:$M$108,MATCH(D1550,'Taxonomy'!$C$9:$C$108,0)),"")&lt;&gt;"Amber"),E1550="BLD-TIMBER",AND(U1550="Building equipment",OR(E1550="BLD-WATER",E1550="BLD-WASTE",E1550="BLD-LAND")),AND(U1550="Building renovation",E1550="BLD-LAND"))),"N/A","Pending"))))))</x:f>
      </x:c>
      <x:c r="Q1550" s="3" t="str">
        <x:f>IF(C1550="","",IF(AND(R1550="Valid",OR(P1550="Pass",P1550="N/A")),"Complete","Unresolved"))</x:f>
      </x:c>
      <x:c r="R1550" s="9" t="str">
        <x:f>IF(C1550="","",IF(OR(COUNTIF($C$9:$C$2008,C1550)&lt;&gt;1,COUNTIFS($D$9:$D$2008,D1550,$E$9:$E$2008,E1550)&lt;&gt;1),"Duplicate test",IF(COUNTIF('Taxonomy'!$C$9:$C$108,D1550)&lt;&gt;1,"Assessment key",IF(OR(COUNTIF('Taxonomy Rules'!$C$42:$C$68,E1550)&lt;&gt;1,F1550&lt;&gt;IFERROR(INDEX('Taxonomy Rules'!$D$42:$D$68,MATCH(E1550,'Taxonomy Rules'!$C$42:$C$68,0)),""),NOT(OR(IFERROR(INDEX('Taxonomy Rules'!$G$42:$G$68,MATCH(E1550,'Taxonomy Rules'!$C$42:$C$68,0)),"")="All supported routes",IFERROR(INDEX('Taxonomy Rules'!$G$42:$G$68,MATCH(E1550,'Taxonomy Rules'!$C$42:$C$68,0)),"")=U1550,AND(IFERROR(INDEX('Taxonomy Rules'!$G$42:$G$68,MATCH(E1550,'Taxonomy Rules'!$C$42:$C$68,0)),"")="Building routes",OR(U1550="Building renovation",U1550="New building",U1550="Building equipment"))))),"Unexpected test","Valid"))))</x:f>
      </x:c>
      <x:c r="S1550" s="9" t="str">
        <x:f>IF(C1550="","",IFERROR(INDEX('Taxonomy Rules'!$E$42:$E$68,MATCH(E1550,'Taxonomy Rules'!$C$42:$C$68,0)),""))</x:f>
      </x:c>
      <x:c r="T1550" s="9" t="str">
        <x:f>IF(C1550="","",IFERROR(INDEX('Taxonomy Rules'!$F$42:$F$68,MATCH(E1550,'Taxonomy Rules'!$C$42:$C$68,0)),""))</x:f>
      </x:c>
      <x:c r="U1550" s="9" t="str">
        <x:f>IF(C1550="","",IFERROR(INDEX('Taxonomy'!$G$9:$G$108,MATCH(D1550,'Taxonomy'!$C$9:$C$108,0)),""))</x:f>
      </x:c>
    </x:row>
    <x:row r="1551" ht="44" customHeight="1">
      <x:c r="A1551" s="1"/>
      <x:c r="B1551" s="1"/>
      <x:c r="C1551" s="8"/>
      <x:c r="D1551" s="8"/>
      <x:c r="E1551" s="8"/>
      <x:c r="F1551" s="8"/>
      <x:c r="G1551" s="8"/>
      <x:c r="H1551" s="8"/>
      <x:c r="I1551" s="8"/>
      <x:c r="J1551" s="8"/>
      <x:c r="K1551" s="8"/>
      <x:c r="L1551" s="8"/>
      <x:c r="M1551" s="10"/>
      <x:c r="N1551" s="10"/>
      <x:c r="O1551" s="8"/>
      <x:c r="P1551" s="9" t="str">
        <x:f>IF(C1551="","",IF(AND(G1551="Applicable",H1551="Fail"),"Fail",IF(R1551&lt;&gt;"Valid","Pending",IF(OR(I1551="",K1551="",L1551="",K1551=L1551,NOT(ISNUMBER(M1551)),NOT(ISNUMBER(N1551)),M1551&gt;Settings!$F$8,N1551&lt;Settings!$F$8,N1551&lt;M1551),"Pending",IF(AND(G1551="Applicable",H1551="Pass"),"Pass",IF(AND(G1551="N/A",H1551="N/A",J1551&lt;&gt;"",OR(E1551="CEM-FUELS",E1551="CEM-CCS",AND(E1551="CEM-PLAN",IFERROR(INDEX('Taxonomy'!$M$9:$M$108,MATCH(D1551,'Taxonomy'!$C$9:$C$108,0)),"")&lt;&gt;"Amber"),E1551="BLD-TIMBER",AND(U1551="Building equipment",OR(E1551="BLD-WATER",E1551="BLD-WASTE",E1551="BLD-LAND")),AND(U1551="Building renovation",E1551="BLD-LAND"))),"N/A","Pending"))))))</x:f>
      </x:c>
      <x:c r="Q1551" s="3" t="str">
        <x:f>IF(C1551="","",IF(AND(R1551="Valid",OR(P1551="Pass",P1551="N/A")),"Complete","Unresolved"))</x:f>
      </x:c>
      <x:c r="R1551" s="9" t="str">
        <x:f>IF(C1551="","",IF(OR(COUNTIF($C$9:$C$2008,C1551)&lt;&gt;1,COUNTIFS($D$9:$D$2008,D1551,$E$9:$E$2008,E1551)&lt;&gt;1),"Duplicate test",IF(COUNTIF('Taxonomy'!$C$9:$C$108,D1551)&lt;&gt;1,"Assessment key",IF(OR(COUNTIF('Taxonomy Rules'!$C$42:$C$68,E1551)&lt;&gt;1,F1551&lt;&gt;IFERROR(INDEX('Taxonomy Rules'!$D$42:$D$68,MATCH(E1551,'Taxonomy Rules'!$C$42:$C$68,0)),""),NOT(OR(IFERROR(INDEX('Taxonomy Rules'!$G$42:$G$68,MATCH(E1551,'Taxonomy Rules'!$C$42:$C$68,0)),"")="All supported routes",IFERROR(INDEX('Taxonomy Rules'!$G$42:$G$68,MATCH(E1551,'Taxonomy Rules'!$C$42:$C$68,0)),"")=U1551,AND(IFERROR(INDEX('Taxonomy Rules'!$G$42:$G$68,MATCH(E1551,'Taxonomy Rules'!$C$42:$C$68,0)),"")="Building routes",OR(U1551="Building renovation",U1551="New building",U1551="Building equipment"))))),"Unexpected test","Valid"))))</x:f>
      </x:c>
      <x:c r="S1551" s="9" t="str">
        <x:f>IF(C1551="","",IFERROR(INDEX('Taxonomy Rules'!$E$42:$E$68,MATCH(E1551,'Taxonomy Rules'!$C$42:$C$68,0)),""))</x:f>
      </x:c>
      <x:c r="T1551" s="9" t="str">
        <x:f>IF(C1551="","",IFERROR(INDEX('Taxonomy Rules'!$F$42:$F$68,MATCH(E1551,'Taxonomy Rules'!$C$42:$C$68,0)),""))</x:f>
      </x:c>
      <x:c r="U1551" s="9" t="str">
        <x:f>IF(C1551="","",IFERROR(INDEX('Taxonomy'!$G$9:$G$108,MATCH(D1551,'Taxonomy'!$C$9:$C$108,0)),""))</x:f>
      </x:c>
    </x:row>
    <x:row r="1552" ht="44" customHeight="1">
      <x:c r="A1552" s="1"/>
      <x:c r="B1552" s="1"/>
      <x:c r="C1552" s="8"/>
      <x:c r="D1552" s="8"/>
      <x:c r="E1552" s="8"/>
      <x:c r="F1552" s="8"/>
      <x:c r="G1552" s="8"/>
      <x:c r="H1552" s="8"/>
      <x:c r="I1552" s="8"/>
      <x:c r="J1552" s="8"/>
      <x:c r="K1552" s="8"/>
      <x:c r="L1552" s="8"/>
      <x:c r="M1552" s="10"/>
      <x:c r="N1552" s="10"/>
      <x:c r="O1552" s="8"/>
      <x:c r="P1552" s="9" t="str">
        <x:f>IF(C1552="","",IF(AND(G1552="Applicable",H1552="Fail"),"Fail",IF(R1552&lt;&gt;"Valid","Pending",IF(OR(I1552="",K1552="",L1552="",K1552=L1552,NOT(ISNUMBER(M1552)),NOT(ISNUMBER(N1552)),M1552&gt;Settings!$F$8,N1552&lt;Settings!$F$8,N1552&lt;M1552),"Pending",IF(AND(G1552="Applicable",H1552="Pass"),"Pass",IF(AND(G1552="N/A",H1552="N/A",J1552&lt;&gt;"",OR(E1552="CEM-FUELS",E1552="CEM-CCS",AND(E1552="CEM-PLAN",IFERROR(INDEX('Taxonomy'!$M$9:$M$108,MATCH(D1552,'Taxonomy'!$C$9:$C$108,0)),"")&lt;&gt;"Amber"),E1552="BLD-TIMBER",AND(U1552="Building equipment",OR(E1552="BLD-WATER",E1552="BLD-WASTE",E1552="BLD-LAND")),AND(U1552="Building renovation",E1552="BLD-LAND"))),"N/A","Pending"))))))</x:f>
      </x:c>
      <x:c r="Q1552" s="3" t="str">
        <x:f>IF(C1552="","",IF(AND(R1552="Valid",OR(P1552="Pass",P1552="N/A")),"Complete","Unresolved"))</x:f>
      </x:c>
      <x:c r="R1552" s="9" t="str">
        <x:f>IF(C1552="","",IF(OR(COUNTIF($C$9:$C$2008,C1552)&lt;&gt;1,COUNTIFS($D$9:$D$2008,D1552,$E$9:$E$2008,E1552)&lt;&gt;1),"Duplicate test",IF(COUNTIF('Taxonomy'!$C$9:$C$108,D1552)&lt;&gt;1,"Assessment key",IF(OR(COUNTIF('Taxonomy Rules'!$C$42:$C$68,E1552)&lt;&gt;1,F1552&lt;&gt;IFERROR(INDEX('Taxonomy Rules'!$D$42:$D$68,MATCH(E1552,'Taxonomy Rules'!$C$42:$C$68,0)),""),NOT(OR(IFERROR(INDEX('Taxonomy Rules'!$G$42:$G$68,MATCH(E1552,'Taxonomy Rules'!$C$42:$C$68,0)),"")="All supported routes",IFERROR(INDEX('Taxonomy Rules'!$G$42:$G$68,MATCH(E1552,'Taxonomy Rules'!$C$42:$C$68,0)),"")=U1552,AND(IFERROR(INDEX('Taxonomy Rules'!$G$42:$G$68,MATCH(E1552,'Taxonomy Rules'!$C$42:$C$68,0)),"")="Building routes",OR(U1552="Building renovation",U1552="New building",U1552="Building equipment"))))),"Unexpected test","Valid"))))</x:f>
      </x:c>
      <x:c r="S1552" s="9" t="str">
        <x:f>IF(C1552="","",IFERROR(INDEX('Taxonomy Rules'!$E$42:$E$68,MATCH(E1552,'Taxonomy Rules'!$C$42:$C$68,0)),""))</x:f>
      </x:c>
      <x:c r="T1552" s="9" t="str">
        <x:f>IF(C1552="","",IFERROR(INDEX('Taxonomy Rules'!$F$42:$F$68,MATCH(E1552,'Taxonomy Rules'!$C$42:$C$68,0)),""))</x:f>
      </x:c>
      <x:c r="U1552" s="9" t="str">
        <x:f>IF(C1552="","",IFERROR(INDEX('Taxonomy'!$G$9:$G$108,MATCH(D1552,'Taxonomy'!$C$9:$C$108,0)),""))</x:f>
      </x:c>
    </x:row>
    <x:row r="1553" ht="44" customHeight="1">
      <x:c r="A1553" s="1"/>
      <x:c r="B1553" s="1"/>
      <x:c r="C1553" s="8"/>
      <x:c r="D1553" s="8"/>
      <x:c r="E1553" s="8"/>
      <x:c r="F1553" s="8"/>
      <x:c r="G1553" s="8"/>
      <x:c r="H1553" s="8"/>
      <x:c r="I1553" s="8"/>
      <x:c r="J1553" s="8"/>
      <x:c r="K1553" s="8"/>
      <x:c r="L1553" s="8"/>
      <x:c r="M1553" s="10"/>
      <x:c r="N1553" s="10"/>
      <x:c r="O1553" s="8"/>
      <x:c r="P1553" s="9" t="str">
        <x:f>IF(C1553="","",IF(AND(G1553="Applicable",H1553="Fail"),"Fail",IF(R1553&lt;&gt;"Valid","Pending",IF(OR(I1553="",K1553="",L1553="",K1553=L1553,NOT(ISNUMBER(M1553)),NOT(ISNUMBER(N1553)),M1553&gt;Settings!$F$8,N1553&lt;Settings!$F$8,N1553&lt;M1553),"Pending",IF(AND(G1553="Applicable",H1553="Pass"),"Pass",IF(AND(G1553="N/A",H1553="N/A",J1553&lt;&gt;"",OR(E1553="CEM-FUELS",E1553="CEM-CCS",AND(E1553="CEM-PLAN",IFERROR(INDEX('Taxonomy'!$M$9:$M$108,MATCH(D1553,'Taxonomy'!$C$9:$C$108,0)),"")&lt;&gt;"Amber"),E1553="BLD-TIMBER",AND(U1553="Building equipment",OR(E1553="BLD-WATER",E1553="BLD-WASTE",E1553="BLD-LAND")),AND(U1553="Building renovation",E1553="BLD-LAND"))),"N/A","Pending"))))))</x:f>
      </x:c>
      <x:c r="Q1553" s="3" t="str">
        <x:f>IF(C1553="","",IF(AND(R1553="Valid",OR(P1553="Pass",P1553="N/A")),"Complete","Unresolved"))</x:f>
      </x:c>
      <x:c r="R1553" s="9" t="str">
        <x:f>IF(C1553="","",IF(OR(COUNTIF($C$9:$C$2008,C1553)&lt;&gt;1,COUNTIFS($D$9:$D$2008,D1553,$E$9:$E$2008,E1553)&lt;&gt;1),"Duplicate test",IF(COUNTIF('Taxonomy'!$C$9:$C$108,D1553)&lt;&gt;1,"Assessment key",IF(OR(COUNTIF('Taxonomy Rules'!$C$42:$C$68,E1553)&lt;&gt;1,F1553&lt;&gt;IFERROR(INDEX('Taxonomy Rules'!$D$42:$D$68,MATCH(E1553,'Taxonomy Rules'!$C$42:$C$68,0)),""),NOT(OR(IFERROR(INDEX('Taxonomy Rules'!$G$42:$G$68,MATCH(E1553,'Taxonomy Rules'!$C$42:$C$68,0)),"")="All supported routes",IFERROR(INDEX('Taxonomy Rules'!$G$42:$G$68,MATCH(E1553,'Taxonomy Rules'!$C$42:$C$68,0)),"")=U1553,AND(IFERROR(INDEX('Taxonomy Rules'!$G$42:$G$68,MATCH(E1553,'Taxonomy Rules'!$C$42:$C$68,0)),"")="Building routes",OR(U1553="Building renovation",U1553="New building",U1553="Building equipment"))))),"Unexpected test","Valid"))))</x:f>
      </x:c>
      <x:c r="S1553" s="9" t="str">
        <x:f>IF(C1553="","",IFERROR(INDEX('Taxonomy Rules'!$E$42:$E$68,MATCH(E1553,'Taxonomy Rules'!$C$42:$C$68,0)),""))</x:f>
      </x:c>
      <x:c r="T1553" s="9" t="str">
        <x:f>IF(C1553="","",IFERROR(INDEX('Taxonomy Rules'!$F$42:$F$68,MATCH(E1553,'Taxonomy Rules'!$C$42:$C$68,0)),""))</x:f>
      </x:c>
      <x:c r="U1553" s="9" t="str">
        <x:f>IF(C1553="","",IFERROR(INDEX('Taxonomy'!$G$9:$G$108,MATCH(D1553,'Taxonomy'!$C$9:$C$108,0)),""))</x:f>
      </x:c>
    </x:row>
    <x:row r="1554" ht="44" customHeight="1">
      <x:c r="A1554" s="1"/>
      <x:c r="B1554" s="1"/>
      <x:c r="C1554" s="8"/>
      <x:c r="D1554" s="8"/>
      <x:c r="E1554" s="8"/>
      <x:c r="F1554" s="8"/>
      <x:c r="G1554" s="8"/>
      <x:c r="H1554" s="8"/>
      <x:c r="I1554" s="8"/>
      <x:c r="J1554" s="8"/>
      <x:c r="K1554" s="8"/>
      <x:c r="L1554" s="8"/>
      <x:c r="M1554" s="10"/>
      <x:c r="N1554" s="10"/>
      <x:c r="O1554" s="8"/>
      <x:c r="P1554" s="9" t="str">
        <x:f>IF(C1554="","",IF(AND(G1554="Applicable",H1554="Fail"),"Fail",IF(R1554&lt;&gt;"Valid","Pending",IF(OR(I1554="",K1554="",L1554="",K1554=L1554,NOT(ISNUMBER(M1554)),NOT(ISNUMBER(N1554)),M1554&gt;Settings!$F$8,N1554&lt;Settings!$F$8,N1554&lt;M1554),"Pending",IF(AND(G1554="Applicable",H1554="Pass"),"Pass",IF(AND(G1554="N/A",H1554="N/A",J1554&lt;&gt;"",OR(E1554="CEM-FUELS",E1554="CEM-CCS",AND(E1554="CEM-PLAN",IFERROR(INDEX('Taxonomy'!$M$9:$M$108,MATCH(D1554,'Taxonomy'!$C$9:$C$108,0)),"")&lt;&gt;"Amber"),E1554="BLD-TIMBER",AND(U1554="Building equipment",OR(E1554="BLD-WATER",E1554="BLD-WASTE",E1554="BLD-LAND")),AND(U1554="Building renovation",E1554="BLD-LAND"))),"N/A","Pending"))))))</x:f>
      </x:c>
      <x:c r="Q1554" s="3" t="str">
        <x:f>IF(C1554="","",IF(AND(R1554="Valid",OR(P1554="Pass",P1554="N/A")),"Complete","Unresolved"))</x:f>
      </x:c>
      <x:c r="R1554" s="9" t="str">
        <x:f>IF(C1554="","",IF(OR(COUNTIF($C$9:$C$2008,C1554)&lt;&gt;1,COUNTIFS($D$9:$D$2008,D1554,$E$9:$E$2008,E1554)&lt;&gt;1),"Duplicate test",IF(COUNTIF('Taxonomy'!$C$9:$C$108,D1554)&lt;&gt;1,"Assessment key",IF(OR(COUNTIF('Taxonomy Rules'!$C$42:$C$68,E1554)&lt;&gt;1,F1554&lt;&gt;IFERROR(INDEX('Taxonomy Rules'!$D$42:$D$68,MATCH(E1554,'Taxonomy Rules'!$C$42:$C$68,0)),""),NOT(OR(IFERROR(INDEX('Taxonomy Rules'!$G$42:$G$68,MATCH(E1554,'Taxonomy Rules'!$C$42:$C$68,0)),"")="All supported routes",IFERROR(INDEX('Taxonomy Rules'!$G$42:$G$68,MATCH(E1554,'Taxonomy Rules'!$C$42:$C$68,0)),"")=U1554,AND(IFERROR(INDEX('Taxonomy Rules'!$G$42:$G$68,MATCH(E1554,'Taxonomy Rules'!$C$42:$C$68,0)),"")="Building routes",OR(U1554="Building renovation",U1554="New building",U1554="Building equipment"))))),"Unexpected test","Valid"))))</x:f>
      </x:c>
      <x:c r="S1554" s="9" t="str">
        <x:f>IF(C1554="","",IFERROR(INDEX('Taxonomy Rules'!$E$42:$E$68,MATCH(E1554,'Taxonomy Rules'!$C$42:$C$68,0)),""))</x:f>
      </x:c>
      <x:c r="T1554" s="9" t="str">
        <x:f>IF(C1554="","",IFERROR(INDEX('Taxonomy Rules'!$F$42:$F$68,MATCH(E1554,'Taxonomy Rules'!$C$42:$C$68,0)),""))</x:f>
      </x:c>
      <x:c r="U1554" s="9" t="str">
        <x:f>IF(C1554="","",IFERROR(INDEX('Taxonomy'!$G$9:$G$108,MATCH(D1554,'Taxonomy'!$C$9:$C$108,0)),""))</x:f>
      </x:c>
    </x:row>
    <x:row r="1555" ht="44" customHeight="1">
      <x:c r="A1555" s="1"/>
      <x:c r="B1555" s="1"/>
      <x:c r="C1555" s="8"/>
      <x:c r="D1555" s="8"/>
      <x:c r="E1555" s="8"/>
      <x:c r="F1555" s="8"/>
      <x:c r="G1555" s="8"/>
      <x:c r="H1555" s="8"/>
      <x:c r="I1555" s="8"/>
      <x:c r="J1555" s="8"/>
      <x:c r="K1555" s="8"/>
      <x:c r="L1555" s="8"/>
      <x:c r="M1555" s="10"/>
      <x:c r="N1555" s="10"/>
      <x:c r="O1555" s="8"/>
      <x:c r="P1555" s="9" t="str">
        <x:f>IF(C1555="","",IF(AND(G1555="Applicable",H1555="Fail"),"Fail",IF(R1555&lt;&gt;"Valid","Pending",IF(OR(I1555="",K1555="",L1555="",K1555=L1555,NOT(ISNUMBER(M1555)),NOT(ISNUMBER(N1555)),M1555&gt;Settings!$F$8,N1555&lt;Settings!$F$8,N1555&lt;M1555),"Pending",IF(AND(G1555="Applicable",H1555="Pass"),"Pass",IF(AND(G1555="N/A",H1555="N/A",J1555&lt;&gt;"",OR(E1555="CEM-FUELS",E1555="CEM-CCS",AND(E1555="CEM-PLAN",IFERROR(INDEX('Taxonomy'!$M$9:$M$108,MATCH(D1555,'Taxonomy'!$C$9:$C$108,0)),"")&lt;&gt;"Amber"),E1555="BLD-TIMBER",AND(U1555="Building equipment",OR(E1555="BLD-WATER",E1555="BLD-WASTE",E1555="BLD-LAND")),AND(U1555="Building renovation",E1555="BLD-LAND"))),"N/A","Pending"))))))</x:f>
      </x:c>
      <x:c r="Q1555" s="3" t="str">
        <x:f>IF(C1555="","",IF(AND(R1555="Valid",OR(P1555="Pass",P1555="N/A")),"Complete","Unresolved"))</x:f>
      </x:c>
      <x:c r="R1555" s="9" t="str">
        <x:f>IF(C1555="","",IF(OR(COUNTIF($C$9:$C$2008,C1555)&lt;&gt;1,COUNTIFS($D$9:$D$2008,D1555,$E$9:$E$2008,E1555)&lt;&gt;1),"Duplicate test",IF(COUNTIF('Taxonomy'!$C$9:$C$108,D1555)&lt;&gt;1,"Assessment key",IF(OR(COUNTIF('Taxonomy Rules'!$C$42:$C$68,E1555)&lt;&gt;1,F1555&lt;&gt;IFERROR(INDEX('Taxonomy Rules'!$D$42:$D$68,MATCH(E1555,'Taxonomy Rules'!$C$42:$C$68,0)),""),NOT(OR(IFERROR(INDEX('Taxonomy Rules'!$G$42:$G$68,MATCH(E1555,'Taxonomy Rules'!$C$42:$C$68,0)),"")="All supported routes",IFERROR(INDEX('Taxonomy Rules'!$G$42:$G$68,MATCH(E1555,'Taxonomy Rules'!$C$42:$C$68,0)),"")=U1555,AND(IFERROR(INDEX('Taxonomy Rules'!$G$42:$G$68,MATCH(E1555,'Taxonomy Rules'!$C$42:$C$68,0)),"")="Building routes",OR(U1555="Building renovation",U1555="New building",U1555="Building equipment"))))),"Unexpected test","Valid"))))</x:f>
      </x:c>
      <x:c r="S1555" s="9" t="str">
        <x:f>IF(C1555="","",IFERROR(INDEX('Taxonomy Rules'!$E$42:$E$68,MATCH(E1555,'Taxonomy Rules'!$C$42:$C$68,0)),""))</x:f>
      </x:c>
      <x:c r="T1555" s="9" t="str">
        <x:f>IF(C1555="","",IFERROR(INDEX('Taxonomy Rules'!$F$42:$F$68,MATCH(E1555,'Taxonomy Rules'!$C$42:$C$68,0)),""))</x:f>
      </x:c>
      <x:c r="U1555" s="9" t="str">
        <x:f>IF(C1555="","",IFERROR(INDEX('Taxonomy'!$G$9:$G$108,MATCH(D1555,'Taxonomy'!$C$9:$C$108,0)),""))</x:f>
      </x:c>
    </x:row>
    <x:row r="1556" ht="44" customHeight="1">
      <x:c r="A1556" s="1"/>
      <x:c r="B1556" s="1"/>
      <x:c r="C1556" s="8"/>
      <x:c r="D1556" s="8"/>
      <x:c r="E1556" s="8"/>
      <x:c r="F1556" s="8"/>
      <x:c r="G1556" s="8"/>
      <x:c r="H1556" s="8"/>
      <x:c r="I1556" s="8"/>
      <x:c r="J1556" s="8"/>
      <x:c r="K1556" s="8"/>
      <x:c r="L1556" s="8"/>
      <x:c r="M1556" s="10"/>
      <x:c r="N1556" s="10"/>
      <x:c r="O1556" s="8"/>
      <x:c r="P1556" s="9" t="str">
        <x:f>IF(C1556="","",IF(AND(G1556="Applicable",H1556="Fail"),"Fail",IF(R1556&lt;&gt;"Valid","Pending",IF(OR(I1556="",K1556="",L1556="",K1556=L1556,NOT(ISNUMBER(M1556)),NOT(ISNUMBER(N1556)),M1556&gt;Settings!$F$8,N1556&lt;Settings!$F$8,N1556&lt;M1556),"Pending",IF(AND(G1556="Applicable",H1556="Pass"),"Pass",IF(AND(G1556="N/A",H1556="N/A",J1556&lt;&gt;"",OR(E1556="CEM-FUELS",E1556="CEM-CCS",AND(E1556="CEM-PLAN",IFERROR(INDEX('Taxonomy'!$M$9:$M$108,MATCH(D1556,'Taxonomy'!$C$9:$C$108,0)),"")&lt;&gt;"Amber"),E1556="BLD-TIMBER",AND(U1556="Building equipment",OR(E1556="BLD-WATER",E1556="BLD-WASTE",E1556="BLD-LAND")),AND(U1556="Building renovation",E1556="BLD-LAND"))),"N/A","Pending"))))))</x:f>
      </x:c>
      <x:c r="Q1556" s="3" t="str">
        <x:f>IF(C1556="","",IF(AND(R1556="Valid",OR(P1556="Pass",P1556="N/A")),"Complete","Unresolved"))</x:f>
      </x:c>
      <x:c r="R1556" s="9" t="str">
        <x:f>IF(C1556="","",IF(OR(COUNTIF($C$9:$C$2008,C1556)&lt;&gt;1,COUNTIFS($D$9:$D$2008,D1556,$E$9:$E$2008,E1556)&lt;&gt;1),"Duplicate test",IF(COUNTIF('Taxonomy'!$C$9:$C$108,D1556)&lt;&gt;1,"Assessment key",IF(OR(COUNTIF('Taxonomy Rules'!$C$42:$C$68,E1556)&lt;&gt;1,F1556&lt;&gt;IFERROR(INDEX('Taxonomy Rules'!$D$42:$D$68,MATCH(E1556,'Taxonomy Rules'!$C$42:$C$68,0)),""),NOT(OR(IFERROR(INDEX('Taxonomy Rules'!$G$42:$G$68,MATCH(E1556,'Taxonomy Rules'!$C$42:$C$68,0)),"")="All supported routes",IFERROR(INDEX('Taxonomy Rules'!$G$42:$G$68,MATCH(E1556,'Taxonomy Rules'!$C$42:$C$68,0)),"")=U1556,AND(IFERROR(INDEX('Taxonomy Rules'!$G$42:$G$68,MATCH(E1556,'Taxonomy Rules'!$C$42:$C$68,0)),"")="Building routes",OR(U1556="Building renovation",U1556="New building",U1556="Building equipment"))))),"Unexpected test","Valid"))))</x:f>
      </x:c>
      <x:c r="S1556" s="9" t="str">
        <x:f>IF(C1556="","",IFERROR(INDEX('Taxonomy Rules'!$E$42:$E$68,MATCH(E1556,'Taxonomy Rules'!$C$42:$C$68,0)),""))</x:f>
      </x:c>
      <x:c r="T1556" s="9" t="str">
        <x:f>IF(C1556="","",IFERROR(INDEX('Taxonomy Rules'!$F$42:$F$68,MATCH(E1556,'Taxonomy Rules'!$C$42:$C$68,0)),""))</x:f>
      </x:c>
      <x:c r="U1556" s="9" t="str">
        <x:f>IF(C1556="","",IFERROR(INDEX('Taxonomy'!$G$9:$G$108,MATCH(D1556,'Taxonomy'!$C$9:$C$108,0)),""))</x:f>
      </x:c>
    </x:row>
    <x:row r="1557" ht="44" customHeight="1">
      <x:c r="A1557" s="1"/>
      <x:c r="B1557" s="1"/>
      <x:c r="C1557" s="8"/>
      <x:c r="D1557" s="8"/>
      <x:c r="E1557" s="8"/>
      <x:c r="F1557" s="8"/>
      <x:c r="G1557" s="8"/>
      <x:c r="H1557" s="8"/>
      <x:c r="I1557" s="8"/>
      <x:c r="J1557" s="8"/>
      <x:c r="K1557" s="8"/>
      <x:c r="L1557" s="8"/>
      <x:c r="M1557" s="10"/>
      <x:c r="N1557" s="10"/>
      <x:c r="O1557" s="8"/>
      <x:c r="P1557" s="9" t="str">
        <x:f>IF(C1557="","",IF(AND(G1557="Applicable",H1557="Fail"),"Fail",IF(R1557&lt;&gt;"Valid","Pending",IF(OR(I1557="",K1557="",L1557="",K1557=L1557,NOT(ISNUMBER(M1557)),NOT(ISNUMBER(N1557)),M1557&gt;Settings!$F$8,N1557&lt;Settings!$F$8,N1557&lt;M1557),"Pending",IF(AND(G1557="Applicable",H1557="Pass"),"Pass",IF(AND(G1557="N/A",H1557="N/A",J1557&lt;&gt;"",OR(E1557="CEM-FUELS",E1557="CEM-CCS",AND(E1557="CEM-PLAN",IFERROR(INDEX('Taxonomy'!$M$9:$M$108,MATCH(D1557,'Taxonomy'!$C$9:$C$108,0)),"")&lt;&gt;"Amber"),E1557="BLD-TIMBER",AND(U1557="Building equipment",OR(E1557="BLD-WATER",E1557="BLD-WASTE",E1557="BLD-LAND")),AND(U1557="Building renovation",E1557="BLD-LAND"))),"N/A","Pending"))))))</x:f>
      </x:c>
      <x:c r="Q1557" s="3" t="str">
        <x:f>IF(C1557="","",IF(AND(R1557="Valid",OR(P1557="Pass",P1557="N/A")),"Complete","Unresolved"))</x:f>
      </x:c>
      <x:c r="R1557" s="9" t="str">
        <x:f>IF(C1557="","",IF(OR(COUNTIF($C$9:$C$2008,C1557)&lt;&gt;1,COUNTIFS($D$9:$D$2008,D1557,$E$9:$E$2008,E1557)&lt;&gt;1),"Duplicate test",IF(COUNTIF('Taxonomy'!$C$9:$C$108,D1557)&lt;&gt;1,"Assessment key",IF(OR(COUNTIF('Taxonomy Rules'!$C$42:$C$68,E1557)&lt;&gt;1,F1557&lt;&gt;IFERROR(INDEX('Taxonomy Rules'!$D$42:$D$68,MATCH(E1557,'Taxonomy Rules'!$C$42:$C$68,0)),""),NOT(OR(IFERROR(INDEX('Taxonomy Rules'!$G$42:$G$68,MATCH(E1557,'Taxonomy Rules'!$C$42:$C$68,0)),"")="All supported routes",IFERROR(INDEX('Taxonomy Rules'!$G$42:$G$68,MATCH(E1557,'Taxonomy Rules'!$C$42:$C$68,0)),"")=U1557,AND(IFERROR(INDEX('Taxonomy Rules'!$G$42:$G$68,MATCH(E1557,'Taxonomy Rules'!$C$42:$C$68,0)),"")="Building routes",OR(U1557="Building renovation",U1557="New building",U1557="Building equipment"))))),"Unexpected test","Valid"))))</x:f>
      </x:c>
      <x:c r="S1557" s="9" t="str">
        <x:f>IF(C1557="","",IFERROR(INDEX('Taxonomy Rules'!$E$42:$E$68,MATCH(E1557,'Taxonomy Rules'!$C$42:$C$68,0)),""))</x:f>
      </x:c>
      <x:c r="T1557" s="9" t="str">
        <x:f>IF(C1557="","",IFERROR(INDEX('Taxonomy Rules'!$F$42:$F$68,MATCH(E1557,'Taxonomy Rules'!$C$42:$C$68,0)),""))</x:f>
      </x:c>
      <x:c r="U1557" s="9" t="str">
        <x:f>IF(C1557="","",IFERROR(INDEX('Taxonomy'!$G$9:$G$108,MATCH(D1557,'Taxonomy'!$C$9:$C$108,0)),""))</x:f>
      </x:c>
    </x:row>
    <x:row r="1558" ht="44" customHeight="1">
      <x:c r="A1558" s="1"/>
      <x:c r="B1558" s="1"/>
      <x:c r="C1558" s="8"/>
      <x:c r="D1558" s="8"/>
      <x:c r="E1558" s="8"/>
      <x:c r="F1558" s="8"/>
      <x:c r="G1558" s="8"/>
      <x:c r="H1558" s="8"/>
      <x:c r="I1558" s="8"/>
      <x:c r="J1558" s="8"/>
      <x:c r="K1558" s="8"/>
      <x:c r="L1558" s="8"/>
      <x:c r="M1558" s="10"/>
      <x:c r="N1558" s="10"/>
      <x:c r="O1558" s="8"/>
      <x:c r="P1558" s="9" t="str">
        <x:f>IF(C1558="","",IF(AND(G1558="Applicable",H1558="Fail"),"Fail",IF(R1558&lt;&gt;"Valid","Pending",IF(OR(I1558="",K1558="",L1558="",K1558=L1558,NOT(ISNUMBER(M1558)),NOT(ISNUMBER(N1558)),M1558&gt;Settings!$F$8,N1558&lt;Settings!$F$8,N1558&lt;M1558),"Pending",IF(AND(G1558="Applicable",H1558="Pass"),"Pass",IF(AND(G1558="N/A",H1558="N/A",J1558&lt;&gt;"",OR(E1558="CEM-FUELS",E1558="CEM-CCS",AND(E1558="CEM-PLAN",IFERROR(INDEX('Taxonomy'!$M$9:$M$108,MATCH(D1558,'Taxonomy'!$C$9:$C$108,0)),"")&lt;&gt;"Amber"),E1558="BLD-TIMBER",AND(U1558="Building equipment",OR(E1558="BLD-WATER",E1558="BLD-WASTE",E1558="BLD-LAND")),AND(U1558="Building renovation",E1558="BLD-LAND"))),"N/A","Pending"))))))</x:f>
      </x:c>
      <x:c r="Q1558" s="3" t="str">
        <x:f>IF(C1558="","",IF(AND(R1558="Valid",OR(P1558="Pass",P1558="N/A")),"Complete","Unresolved"))</x:f>
      </x:c>
      <x:c r="R1558" s="9" t="str">
        <x:f>IF(C1558="","",IF(OR(COUNTIF($C$9:$C$2008,C1558)&lt;&gt;1,COUNTIFS($D$9:$D$2008,D1558,$E$9:$E$2008,E1558)&lt;&gt;1),"Duplicate test",IF(COUNTIF('Taxonomy'!$C$9:$C$108,D1558)&lt;&gt;1,"Assessment key",IF(OR(COUNTIF('Taxonomy Rules'!$C$42:$C$68,E1558)&lt;&gt;1,F1558&lt;&gt;IFERROR(INDEX('Taxonomy Rules'!$D$42:$D$68,MATCH(E1558,'Taxonomy Rules'!$C$42:$C$68,0)),""),NOT(OR(IFERROR(INDEX('Taxonomy Rules'!$G$42:$G$68,MATCH(E1558,'Taxonomy Rules'!$C$42:$C$68,0)),"")="All supported routes",IFERROR(INDEX('Taxonomy Rules'!$G$42:$G$68,MATCH(E1558,'Taxonomy Rules'!$C$42:$C$68,0)),"")=U1558,AND(IFERROR(INDEX('Taxonomy Rules'!$G$42:$G$68,MATCH(E1558,'Taxonomy Rules'!$C$42:$C$68,0)),"")="Building routes",OR(U1558="Building renovation",U1558="New building",U1558="Building equipment"))))),"Unexpected test","Valid"))))</x:f>
      </x:c>
      <x:c r="S1558" s="9" t="str">
        <x:f>IF(C1558="","",IFERROR(INDEX('Taxonomy Rules'!$E$42:$E$68,MATCH(E1558,'Taxonomy Rules'!$C$42:$C$68,0)),""))</x:f>
      </x:c>
      <x:c r="T1558" s="9" t="str">
        <x:f>IF(C1558="","",IFERROR(INDEX('Taxonomy Rules'!$F$42:$F$68,MATCH(E1558,'Taxonomy Rules'!$C$42:$C$68,0)),""))</x:f>
      </x:c>
      <x:c r="U1558" s="9" t="str">
        <x:f>IF(C1558="","",IFERROR(INDEX('Taxonomy'!$G$9:$G$108,MATCH(D1558,'Taxonomy'!$C$9:$C$108,0)),""))</x:f>
      </x:c>
    </x:row>
    <x:row r="1559" ht="44" customHeight="1">
      <x:c r="A1559" s="1"/>
      <x:c r="B1559" s="1"/>
      <x:c r="C1559" s="8"/>
      <x:c r="D1559" s="8"/>
      <x:c r="E1559" s="8"/>
      <x:c r="F1559" s="8"/>
      <x:c r="G1559" s="8"/>
      <x:c r="H1559" s="8"/>
      <x:c r="I1559" s="8"/>
      <x:c r="J1559" s="8"/>
      <x:c r="K1559" s="8"/>
      <x:c r="L1559" s="8"/>
      <x:c r="M1559" s="10"/>
      <x:c r="N1559" s="10"/>
      <x:c r="O1559" s="8"/>
      <x:c r="P1559" s="9" t="str">
        <x:f>IF(C1559="","",IF(AND(G1559="Applicable",H1559="Fail"),"Fail",IF(R1559&lt;&gt;"Valid","Pending",IF(OR(I1559="",K1559="",L1559="",K1559=L1559,NOT(ISNUMBER(M1559)),NOT(ISNUMBER(N1559)),M1559&gt;Settings!$F$8,N1559&lt;Settings!$F$8,N1559&lt;M1559),"Pending",IF(AND(G1559="Applicable",H1559="Pass"),"Pass",IF(AND(G1559="N/A",H1559="N/A",J1559&lt;&gt;"",OR(E1559="CEM-FUELS",E1559="CEM-CCS",AND(E1559="CEM-PLAN",IFERROR(INDEX('Taxonomy'!$M$9:$M$108,MATCH(D1559,'Taxonomy'!$C$9:$C$108,0)),"")&lt;&gt;"Amber"),E1559="BLD-TIMBER",AND(U1559="Building equipment",OR(E1559="BLD-WATER",E1559="BLD-WASTE",E1559="BLD-LAND")),AND(U1559="Building renovation",E1559="BLD-LAND"))),"N/A","Pending"))))))</x:f>
      </x:c>
      <x:c r="Q1559" s="3" t="str">
        <x:f>IF(C1559="","",IF(AND(R1559="Valid",OR(P1559="Pass",P1559="N/A")),"Complete","Unresolved"))</x:f>
      </x:c>
      <x:c r="R1559" s="9" t="str">
        <x:f>IF(C1559="","",IF(OR(COUNTIF($C$9:$C$2008,C1559)&lt;&gt;1,COUNTIFS($D$9:$D$2008,D1559,$E$9:$E$2008,E1559)&lt;&gt;1),"Duplicate test",IF(COUNTIF('Taxonomy'!$C$9:$C$108,D1559)&lt;&gt;1,"Assessment key",IF(OR(COUNTIF('Taxonomy Rules'!$C$42:$C$68,E1559)&lt;&gt;1,F1559&lt;&gt;IFERROR(INDEX('Taxonomy Rules'!$D$42:$D$68,MATCH(E1559,'Taxonomy Rules'!$C$42:$C$68,0)),""),NOT(OR(IFERROR(INDEX('Taxonomy Rules'!$G$42:$G$68,MATCH(E1559,'Taxonomy Rules'!$C$42:$C$68,0)),"")="All supported routes",IFERROR(INDEX('Taxonomy Rules'!$G$42:$G$68,MATCH(E1559,'Taxonomy Rules'!$C$42:$C$68,0)),"")=U1559,AND(IFERROR(INDEX('Taxonomy Rules'!$G$42:$G$68,MATCH(E1559,'Taxonomy Rules'!$C$42:$C$68,0)),"")="Building routes",OR(U1559="Building renovation",U1559="New building",U1559="Building equipment"))))),"Unexpected test","Valid"))))</x:f>
      </x:c>
      <x:c r="S1559" s="9" t="str">
        <x:f>IF(C1559="","",IFERROR(INDEX('Taxonomy Rules'!$E$42:$E$68,MATCH(E1559,'Taxonomy Rules'!$C$42:$C$68,0)),""))</x:f>
      </x:c>
      <x:c r="T1559" s="9" t="str">
        <x:f>IF(C1559="","",IFERROR(INDEX('Taxonomy Rules'!$F$42:$F$68,MATCH(E1559,'Taxonomy Rules'!$C$42:$C$68,0)),""))</x:f>
      </x:c>
      <x:c r="U1559" s="9" t="str">
        <x:f>IF(C1559="","",IFERROR(INDEX('Taxonomy'!$G$9:$G$108,MATCH(D1559,'Taxonomy'!$C$9:$C$108,0)),""))</x:f>
      </x:c>
    </x:row>
    <x:row r="1560" ht="44" customHeight="1">
      <x:c r="A1560" s="1"/>
      <x:c r="B1560" s="1"/>
      <x:c r="C1560" s="8"/>
      <x:c r="D1560" s="8"/>
      <x:c r="E1560" s="8"/>
      <x:c r="F1560" s="8"/>
      <x:c r="G1560" s="8"/>
      <x:c r="H1560" s="8"/>
      <x:c r="I1560" s="8"/>
      <x:c r="J1560" s="8"/>
      <x:c r="K1560" s="8"/>
      <x:c r="L1560" s="8"/>
      <x:c r="M1560" s="10"/>
      <x:c r="N1560" s="10"/>
      <x:c r="O1560" s="8"/>
      <x:c r="P1560" s="9" t="str">
        <x:f>IF(C1560="","",IF(AND(G1560="Applicable",H1560="Fail"),"Fail",IF(R1560&lt;&gt;"Valid","Pending",IF(OR(I1560="",K1560="",L1560="",K1560=L1560,NOT(ISNUMBER(M1560)),NOT(ISNUMBER(N1560)),M1560&gt;Settings!$F$8,N1560&lt;Settings!$F$8,N1560&lt;M1560),"Pending",IF(AND(G1560="Applicable",H1560="Pass"),"Pass",IF(AND(G1560="N/A",H1560="N/A",J1560&lt;&gt;"",OR(E1560="CEM-FUELS",E1560="CEM-CCS",AND(E1560="CEM-PLAN",IFERROR(INDEX('Taxonomy'!$M$9:$M$108,MATCH(D1560,'Taxonomy'!$C$9:$C$108,0)),"")&lt;&gt;"Amber"),E1560="BLD-TIMBER",AND(U1560="Building equipment",OR(E1560="BLD-WATER",E1560="BLD-WASTE",E1560="BLD-LAND")),AND(U1560="Building renovation",E1560="BLD-LAND"))),"N/A","Pending"))))))</x:f>
      </x:c>
      <x:c r="Q1560" s="3" t="str">
        <x:f>IF(C1560="","",IF(AND(R1560="Valid",OR(P1560="Pass",P1560="N/A")),"Complete","Unresolved"))</x:f>
      </x:c>
      <x:c r="R1560" s="9" t="str">
        <x:f>IF(C1560="","",IF(OR(COUNTIF($C$9:$C$2008,C1560)&lt;&gt;1,COUNTIFS($D$9:$D$2008,D1560,$E$9:$E$2008,E1560)&lt;&gt;1),"Duplicate test",IF(COUNTIF('Taxonomy'!$C$9:$C$108,D1560)&lt;&gt;1,"Assessment key",IF(OR(COUNTIF('Taxonomy Rules'!$C$42:$C$68,E1560)&lt;&gt;1,F1560&lt;&gt;IFERROR(INDEX('Taxonomy Rules'!$D$42:$D$68,MATCH(E1560,'Taxonomy Rules'!$C$42:$C$68,0)),""),NOT(OR(IFERROR(INDEX('Taxonomy Rules'!$G$42:$G$68,MATCH(E1560,'Taxonomy Rules'!$C$42:$C$68,0)),"")="All supported routes",IFERROR(INDEX('Taxonomy Rules'!$G$42:$G$68,MATCH(E1560,'Taxonomy Rules'!$C$42:$C$68,0)),"")=U1560,AND(IFERROR(INDEX('Taxonomy Rules'!$G$42:$G$68,MATCH(E1560,'Taxonomy Rules'!$C$42:$C$68,0)),"")="Building routes",OR(U1560="Building renovation",U1560="New building",U1560="Building equipment"))))),"Unexpected test","Valid"))))</x:f>
      </x:c>
      <x:c r="S1560" s="9" t="str">
        <x:f>IF(C1560="","",IFERROR(INDEX('Taxonomy Rules'!$E$42:$E$68,MATCH(E1560,'Taxonomy Rules'!$C$42:$C$68,0)),""))</x:f>
      </x:c>
      <x:c r="T1560" s="9" t="str">
        <x:f>IF(C1560="","",IFERROR(INDEX('Taxonomy Rules'!$F$42:$F$68,MATCH(E1560,'Taxonomy Rules'!$C$42:$C$68,0)),""))</x:f>
      </x:c>
      <x:c r="U1560" s="9" t="str">
        <x:f>IF(C1560="","",IFERROR(INDEX('Taxonomy'!$G$9:$G$108,MATCH(D1560,'Taxonomy'!$C$9:$C$108,0)),""))</x:f>
      </x:c>
    </x:row>
    <x:row r="1561" ht="44" customHeight="1">
      <x:c r="A1561" s="1"/>
      <x:c r="B1561" s="1"/>
      <x:c r="C1561" s="8"/>
      <x:c r="D1561" s="8"/>
      <x:c r="E1561" s="8"/>
      <x:c r="F1561" s="8"/>
      <x:c r="G1561" s="8"/>
      <x:c r="H1561" s="8"/>
      <x:c r="I1561" s="8"/>
      <x:c r="J1561" s="8"/>
      <x:c r="K1561" s="8"/>
      <x:c r="L1561" s="8"/>
      <x:c r="M1561" s="10"/>
      <x:c r="N1561" s="10"/>
      <x:c r="O1561" s="8"/>
      <x:c r="P1561" s="9" t="str">
        <x:f>IF(C1561="","",IF(AND(G1561="Applicable",H1561="Fail"),"Fail",IF(R1561&lt;&gt;"Valid","Pending",IF(OR(I1561="",K1561="",L1561="",K1561=L1561,NOT(ISNUMBER(M1561)),NOT(ISNUMBER(N1561)),M1561&gt;Settings!$F$8,N1561&lt;Settings!$F$8,N1561&lt;M1561),"Pending",IF(AND(G1561="Applicable",H1561="Pass"),"Pass",IF(AND(G1561="N/A",H1561="N/A",J1561&lt;&gt;"",OR(E1561="CEM-FUELS",E1561="CEM-CCS",AND(E1561="CEM-PLAN",IFERROR(INDEX('Taxonomy'!$M$9:$M$108,MATCH(D1561,'Taxonomy'!$C$9:$C$108,0)),"")&lt;&gt;"Amber"),E1561="BLD-TIMBER",AND(U1561="Building equipment",OR(E1561="BLD-WATER",E1561="BLD-WASTE",E1561="BLD-LAND")),AND(U1561="Building renovation",E1561="BLD-LAND"))),"N/A","Pending"))))))</x:f>
      </x:c>
      <x:c r="Q1561" s="3" t="str">
        <x:f>IF(C1561="","",IF(AND(R1561="Valid",OR(P1561="Pass",P1561="N/A")),"Complete","Unresolved"))</x:f>
      </x:c>
      <x:c r="R1561" s="9" t="str">
        <x:f>IF(C1561="","",IF(OR(COUNTIF($C$9:$C$2008,C1561)&lt;&gt;1,COUNTIFS($D$9:$D$2008,D1561,$E$9:$E$2008,E1561)&lt;&gt;1),"Duplicate test",IF(COUNTIF('Taxonomy'!$C$9:$C$108,D1561)&lt;&gt;1,"Assessment key",IF(OR(COUNTIF('Taxonomy Rules'!$C$42:$C$68,E1561)&lt;&gt;1,F1561&lt;&gt;IFERROR(INDEX('Taxonomy Rules'!$D$42:$D$68,MATCH(E1561,'Taxonomy Rules'!$C$42:$C$68,0)),""),NOT(OR(IFERROR(INDEX('Taxonomy Rules'!$G$42:$G$68,MATCH(E1561,'Taxonomy Rules'!$C$42:$C$68,0)),"")="All supported routes",IFERROR(INDEX('Taxonomy Rules'!$G$42:$G$68,MATCH(E1561,'Taxonomy Rules'!$C$42:$C$68,0)),"")=U1561,AND(IFERROR(INDEX('Taxonomy Rules'!$G$42:$G$68,MATCH(E1561,'Taxonomy Rules'!$C$42:$C$68,0)),"")="Building routes",OR(U1561="Building renovation",U1561="New building",U1561="Building equipment"))))),"Unexpected test","Valid"))))</x:f>
      </x:c>
      <x:c r="S1561" s="9" t="str">
        <x:f>IF(C1561="","",IFERROR(INDEX('Taxonomy Rules'!$E$42:$E$68,MATCH(E1561,'Taxonomy Rules'!$C$42:$C$68,0)),""))</x:f>
      </x:c>
      <x:c r="T1561" s="9" t="str">
        <x:f>IF(C1561="","",IFERROR(INDEX('Taxonomy Rules'!$F$42:$F$68,MATCH(E1561,'Taxonomy Rules'!$C$42:$C$68,0)),""))</x:f>
      </x:c>
      <x:c r="U1561" s="9" t="str">
        <x:f>IF(C1561="","",IFERROR(INDEX('Taxonomy'!$G$9:$G$108,MATCH(D1561,'Taxonomy'!$C$9:$C$108,0)),""))</x:f>
      </x:c>
    </x:row>
    <x:row r="1562" ht="44" customHeight="1">
      <x:c r="A1562" s="1"/>
      <x:c r="B1562" s="1"/>
      <x:c r="C1562" s="8"/>
      <x:c r="D1562" s="8"/>
      <x:c r="E1562" s="8"/>
      <x:c r="F1562" s="8"/>
      <x:c r="G1562" s="8"/>
      <x:c r="H1562" s="8"/>
      <x:c r="I1562" s="8"/>
      <x:c r="J1562" s="8"/>
      <x:c r="K1562" s="8"/>
      <x:c r="L1562" s="8"/>
      <x:c r="M1562" s="10"/>
      <x:c r="N1562" s="10"/>
      <x:c r="O1562" s="8"/>
      <x:c r="P1562" s="9" t="str">
        <x:f>IF(C1562="","",IF(AND(G1562="Applicable",H1562="Fail"),"Fail",IF(R1562&lt;&gt;"Valid","Pending",IF(OR(I1562="",K1562="",L1562="",K1562=L1562,NOT(ISNUMBER(M1562)),NOT(ISNUMBER(N1562)),M1562&gt;Settings!$F$8,N1562&lt;Settings!$F$8,N1562&lt;M1562),"Pending",IF(AND(G1562="Applicable",H1562="Pass"),"Pass",IF(AND(G1562="N/A",H1562="N/A",J1562&lt;&gt;"",OR(E1562="CEM-FUELS",E1562="CEM-CCS",AND(E1562="CEM-PLAN",IFERROR(INDEX('Taxonomy'!$M$9:$M$108,MATCH(D1562,'Taxonomy'!$C$9:$C$108,0)),"")&lt;&gt;"Amber"),E1562="BLD-TIMBER",AND(U1562="Building equipment",OR(E1562="BLD-WATER",E1562="BLD-WASTE",E1562="BLD-LAND")),AND(U1562="Building renovation",E1562="BLD-LAND"))),"N/A","Pending"))))))</x:f>
      </x:c>
      <x:c r="Q1562" s="3" t="str">
        <x:f>IF(C1562="","",IF(AND(R1562="Valid",OR(P1562="Pass",P1562="N/A")),"Complete","Unresolved"))</x:f>
      </x:c>
      <x:c r="R1562" s="9" t="str">
        <x:f>IF(C1562="","",IF(OR(COUNTIF($C$9:$C$2008,C1562)&lt;&gt;1,COUNTIFS($D$9:$D$2008,D1562,$E$9:$E$2008,E1562)&lt;&gt;1),"Duplicate test",IF(COUNTIF('Taxonomy'!$C$9:$C$108,D1562)&lt;&gt;1,"Assessment key",IF(OR(COUNTIF('Taxonomy Rules'!$C$42:$C$68,E1562)&lt;&gt;1,F1562&lt;&gt;IFERROR(INDEX('Taxonomy Rules'!$D$42:$D$68,MATCH(E1562,'Taxonomy Rules'!$C$42:$C$68,0)),""),NOT(OR(IFERROR(INDEX('Taxonomy Rules'!$G$42:$G$68,MATCH(E1562,'Taxonomy Rules'!$C$42:$C$68,0)),"")="All supported routes",IFERROR(INDEX('Taxonomy Rules'!$G$42:$G$68,MATCH(E1562,'Taxonomy Rules'!$C$42:$C$68,0)),"")=U1562,AND(IFERROR(INDEX('Taxonomy Rules'!$G$42:$G$68,MATCH(E1562,'Taxonomy Rules'!$C$42:$C$68,0)),"")="Building routes",OR(U1562="Building renovation",U1562="New building",U1562="Building equipment"))))),"Unexpected test","Valid"))))</x:f>
      </x:c>
      <x:c r="S1562" s="9" t="str">
        <x:f>IF(C1562="","",IFERROR(INDEX('Taxonomy Rules'!$E$42:$E$68,MATCH(E1562,'Taxonomy Rules'!$C$42:$C$68,0)),""))</x:f>
      </x:c>
      <x:c r="T1562" s="9" t="str">
        <x:f>IF(C1562="","",IFERROR(INDEX('Taxonomy Rules'!$F$42:$F$68,MATCH(E1562,'Taxonomy Rules'!$C$42:$C$68,0)),""))</x:f>
      </x:c>
      <x:c r="U1562" s="9" t="str">
        <x:f>IF(C1562="","",IFERROR(INDEX('Taxonomy'!$G$9:$G$108,MATCH(D1562,'Taxonomy'!$C$9:$C$108,0)),""))</x:f>
      </x:c>
    </x:row>
    <x:row r="1563" ht="44" customHeight="1">
      <x:c r="A1563" s="1"/>
      <x:c r="B1563" s="1"/>
      <x:c r="C1563" s="8"/>
      <x:c r="D1563" s="8"/>
      <x:c r="E1563" s="8"/>
      <x:c r="F1563" s="8"/>
      <x:c r="G1563" s="8"/>
      <x:c r="H1563" s="8"/>
      <x:c r="I1563" s="8"/>
      <x:c r="J1563" s="8"/>
      <x:c r="K1563" s="8"/>
      <x:c r="L1563" s="8"/>
      <x:c r="M1563" s="10"/>
      <x:c r="N1563" s="10"/>
      <x:c r="O1563" s="8"/>
      <x:c r="P1563" s="9" t="str">
        <x:f>IF(C1563="","",IF(AND(G1563="Applicable",H1563="Fail"),"Fail",IF(R1563&lt;&gt;"Valid","Pending",IF(OR(I1563="",K1563="",L1563="",K1563=L1563,NOT(ISNUMBER(M1563)),NOT(ISNUMBER(N1563)),M1563&gt;Settings!$F$8,N1563&lt;Settings!$F$8,N1563&lt;M1563),"Pending",IF(AND(G1563="Applicable",H1563="Pass"),"Pass",IF(AND(G1563="N/A",H1563="N/A",J1563&lt;&gt;"",OR(E1563="CEM-FUELS",E1563="CEM-CCS",AND(E1563="CEM-PLAN",IFERROR(INDEX('Taxonomy'!$M$9:$M$108,MATCH(D1563,'Taxonomy'!$C$9:$C$108,0)),"")&lt;&gt;"Amber"),E1563="BLD-TIMBER",AND(U1563="Building equipment",OR(E1563="BLD-WATER",E1563="BLD-WASTE",E1563="BLD-LAND")),AND(U1563="Building renovation",E1563="BLD-LAND"))),"N/A","Pending"))))))</x:f>
      </x:c>
      <x:c r="Q1563" s="3" t="str">
        <x:f>IF(C1563="","",IF(AND(R1563="Valid",OR(P1563="Pass",P1563="N/A")),"Complete","Unresolved"))</x:f>
      </x:c>
      <x:c r="R1563" s="9" t="str">
        <x:f>IF(C1563="","",IF(OR(COUNTIF($C$9:$C$2008,C1563)&lt;&gt;1,COUNTIFS($D$9:$D$2008,D1563,$E$9:$E$2008,E1563)&lt;&gt;1),"Duplicate test",IF(COUNTIF('Taxonomy'!$C$9:$C$108,D1563)&lt;&gt;1,"Assessment key",IF(OR(COUNTIF('Taxonomy Rules'!$C$42:$C$68,E1563)&lt;&gt;1,F1563&lt;&gt;IFERROR(INDEX('Taxonomy Rules'!$D$42:$D$68,MATCH(E1563,'Taxonomy Rules'!$C$42:$C$68,0)),""),NOT(OR(IFERROR(INDEX('Taxonomy Rules'!$G$42:$G$68,MATCH(E1563,'Taxonomy Rules'!$C$42:$C$68,0)),"")="All supported routes",IFERROR(INDEX('Taxonomy Rules'!$G$42:$G$68,MATCH(E1563,'Taxonomy Rules'!$C$42:$C$68,0)),"")=U1563,AND(IFERROR(INDEX('Taxonomy Rules'!$G$42:$G$68,MATCH(E1563,'Taxonomy Rules'!$C$42:$C$68,0)),"")="Building routes",OR(U1563="Building renovation",U1563="New building",U1563="Building equipment"))))),"Unexpected test","Valid"))))</x:f>
      </x:c>
      <x:c r="S1563" s="9" t="str">
        <x:f>IF(C1563="","",IFERROR(INDEX('Taxonomy Rules'!$E$42:$E$68,MATCH(E1563,'Taxonomy Rules'!$C$42:$C$68,0)),""))</x:f>
      </x:c>
      <x:c r="T1563" s="9" t="str">
        <x:f>IF(C1563="","",IFERROR(INDEX('Taxonomy Rules'!$F$42:$F$68,MATCH(E1563,'Taxonomy Rules'!$C$42:$C$68,0)),""))</x:f>
      </x:c>
      <x:c r="U1563" s="9" t="str">
        <x:f>IF(C1563="","",IFERROR(INDEX('Taxonomy'!$G$9:$G$108,MATCH(D1563,'Taxonomy'!$C$9:$C$108,0)),""))</x:f>
      </x:c>
    </x:row>
    <x:row r="1564" ht="44" customHeight="1">
      <x:c r="A1564" s="1"/>
      <x:c r="B1564" s="1"/>
      <x:c r="C1564" s="8"/>
      <x:c r="D1564" s="8"/>
      <x:c r="E1564" s="8"/>
      <x:c r="F1564" s="8"/>
      <x:c r="G1564" s="8"/>
      <x:c r="H1564" s="8"/>
      <x:c r="I1564" s="8"/>
      <x:c r="J1564" s="8"/>
      <x:c r="K1564" s="8"/>
      <x:c r="L1564" s="8"/>
      <x:c r="M1564" s="10"/>
      <x:c r="N1564" s="10"/>
      <x:c r="O1564" s="8"/>
      <x:c r="P1564" s="9" t="str">
        <x:f>IF(C1564="","",IF(AND(G1564="Applicable",H1564="Fail"),"Fail",IF(R1564&lt;&gt;"Valid","Pending",IF(OR(I1564="",K1564="",L1564="",K1564=L1564,NOT(ISNUMBER(M1564)),NOT(ISNUMBER(N1564)),M1564&gt;Settings!$F$8,N1564&lt;Settings!$F$8,N1564&lt;M1564),"Pending",IF(AND(G1564="Applicable",H1564="Pass"),"Pass",IF(AND(G1564="N/A",H1564="N/A",J1564&lt;&gt;"",OR(E1564="CEM-FUELS",E1564="CEM-CCS",AND(E1564="CEM-PLAN",IFERROR(INDEX('Taxonomy'!$M$9:$M$108,MATCH(D1564,'Taxonomy'!$C$9:$C$108,0)),"")&lt;&gt;"Amber"),E1564="BLD-TIMBER",AND(U1564="Building equipment",OR(E1564="BLD-WATER",E1564="BLD-WASTE",E1564="BLD-LAND")),AND(U1564="Building renovation",E1564="BLD-LAND"))),"N/A","Pending"))))))</x:f>
      </x:c>
      <x:c r="Q1564" s="3" t="str">
        <x:f>IF(C1564="","",IF(AND(R1564="Valid",OR(P1564="Pass",P1564="N/A")),"Complete","Unresolved"))</x:f>
      </x:c>
      <x:c r="R1564" s="9" t="str">
        <x:f>IF(C1564="","",IF(OR(COUNTIF($C$9:$C$2008,C1564)&lt;&gt;1,COUNTIFS($D$9:$D$2008,D1564,$E$9:$E$2008,E1564)&lt;&gt;1),"Duplicate test",IF(COUNTIF('Taxonomy'!$C$9:$C$108,D1564)&lt;&gt;1,"Assessment key",IF(OR(COUNTIF('Taxonomy Rules'!$C$42:$C$68,E1564)&lt;&gt;1,F1564&lt;&gt;IFERROR(INDEX('Taxonomy Rules'!$D$42:$D$68,MATCH(E1564,'Taxonomy Rules'!$C$42:$C$68,0)),""),NOT(OR(IFERROR(INDEX('Taxonomy Rules'!$G$42:$G$68,MATCH(E1564,'Taxonomy Rules'!$C$42:$C$68,0)),"")="All supported routes",IFERROR(INDEX('Taxonomy Rules'!$G$42:$G$68,MATCH(E1564,'Taxonomy Rules'!$C$42:$C$68,0)),"")=U1564,AND(IFERROR(INDEX('Taxonomy Rules'!$G$42:$G$68,MATCH(E1564,'Taxonomy Rules'!$C$42:$C$68,0)),"")="Building routes",OR(U1564="Building renovation",U1564="New building",U1564="Building equipment"))))),"Unexpected test","Valid"))))</x:f>
      </x:c>
      <x:c r="S1564" s="9" t="str">
        <x:f>IF(C1564="","",IFERROR(INDEX('Taxonomy Rules'!$E$42:$E$68,MATCH(E1564,'Taxonomy Rules'!$C$42:$C$68,0)),""))</x:f>
      </x:c>
      <x:c r="T1564" s="9" t="str">
        <x:f>IF(C1564="","",IFERROR(INDEX('Taxonomy Rules'!$F$42:$F$68,MATCH(E1564,'Taxonomy Rules'!$C$42:$C$68,0)),""))</x:f>
      </x:c>
      <x:c r="U1564" s="9" t="str">
        <x:f>IF(C1564="","",IFERROR(INDEX('Taxonomy'!$G$9:$G$108,MATCH(D1564,'Taxonomy'!$C$9:$C$108,0)),""))</x:f>
      </x:c>
    </x:row>
    <x:row r="1565" ht="44" customHeight="1">
      <x:c r="A1565" s="1"/>
      <x:c r="B1565" s="1"/>
      <x:c r="C1565" s="8"/>
      <x:c r="D1565" s="8"/>
      <x:c r="E1565" s="8"/>
      <x:c r="F1565" s="8"/>
      <x:c r="G1565" s="8"/>
      <x:c r="H1565" s="8"/>
      <x:c r="I1565" s="8"/>
      <x:c r="J1565" s="8"/>
      <x:c r="K1565" s="8"/>
      <x:c r="L1565" s="8"/>
      <x:c r="M1565" s="10"/>
      <x:c r="N1565" s="10"/>
      <x:c r="O1565" s="8"/>
      <x:c r="P1565" s="9" t="str">
        <x:f>IF(C1565="","",IF(AND(G1565="Applicable",H1565="Fail"),"Fail",IF(R1565&lt;&gt;"Valid","Pending",IF(OR(I1565="",K1565="",L1565="",K1565=L1565,NOT(ISNUMBER(M1565)),NOT(ISNUMBER(N1565)),M1565&gt;Settings!$F$8,N1565&lt;Settings!$F$8,N1565&lt;M1565),"Pending",IF(AND(G1565="Applicable",H1565="Pass"),"Pass",IF(AND(G1565="N/A",H1565="N/A",J1565&lt;&gt;"",OR(E1565="CEM-FUELS",E1565="CEM-CCS",AND(E1565="CEM-PLAN",IFERROR(INDEX('Taxonomy'!$M$9:$M$108,MATCH(D1565,'Taxonomy'!$C$9:$C$108,0)),"")&lt;&gt;"Amber"),E1565="BLD-TIMBER",AND(U1565="Building equipment",OR(E1565="BLD-WATER",E1565="BLD-WASTE",E1565="BLD-LAND")),AND(U1565="Building renovation",E1565="BLD-LAND"))),"N/A","Pending"))))))</x:f>
      </x:c>
      <x:c r="Q1565" s="3" t="str">
        <x:f>IF(C1565="","",IF(AND(R1565="Valid",OR(P1565="Pass",P1565="N/A")),"Complete","Unresolved"))</x:f>
      </x:c>
      <x:c r="R1565" s="9" t="str">
        <x:f>IF(C1565="","",IF(OR(COUNTIF($C$9:$C$2008,C1565)&lt;&gt;1,COUNTIFS($D$9:$D$2008,D1565,$E$9:$E$2008,E1565)&lt;&gt;1),"Duplicate test",IF(COUNTIF('Taxonomy'!$C$9:$C$108,D1565)&lt;&gt;1,"Assessment key",IF(OR(COUNTIF('Taxonomy Rules'!$C$42:$C$68,E1565)&lt;&gt;1,F1565&lt;&gt;IFERROR(INDEX('Taxonomy Rules'!$D$42:$D$68,MATCH(E1565,'Taxonomy Rules'!$C$42:$C$68,0)),""),NOT(OR(IFERROR(INDEX('Taxonomy Rules'!$G$42:$G$68,MATCH(E1565,'Taxonomy Rules'!$C$42:$C$68,0)),"")="All supported routes",IFERROR(INDEX('Taxonomy Rules'!$G$42:$G$68,MATCH(E1565,'Taxonomy Rules'!$C$42:$C$68,0)),"")=U1565,AND(IFERROR(INDEX('Taxonomy Rules'!$G$42:$G$68,MATCH(E1565,'Taxonomy Rules'!$C$42:$C$68,0)),"")="Building routes",OR(U1565="Building renovation",U1565="New building",U1565="Building equipment"))))),"Unexpected test","Valid"))))</x:f>
      </x:c>
      <x:c r="S1565" s="9" t="str">
        <x:f>IF(C1565="","",IFERROR(INDEX('Taxonomy Rules'!$E$42:$E$68,MATCH(E1565,'Taxonomy Rules'!$C$42:$C$68,0)),""))</x:f>
      </x:c>
      <x:c r="T1565" s="9" t="str">
        <x:f>IF(C1565="","",IFERROR(INDEX('Taxonomy Rules'!$F$42:$F$68,MATCH(E1565,'Taxonomy Rules'!$C$42:$C$68,0)),""))</x:f>
      </x:c>
      <x:c r="U1565" s="9" t="str">
        <x:f>IF(C1565="","",IFERROR(INDEX('Taxonomy'!$G$9:$G$108,MATCH(D1565,'Taxonomy'!$C$9:$C$108,0)),""))</x:f>
      </x:c>
    </x:row>
    <x:row r="1566" ht="44" customHeight="1">
      <x:c r="A1566" s="1"/>
      <x:c r="B1566" s="1"/>
      <x:c r="C1566" s="8"/>
      <x:c r="D1566" s="8"/>
      <x:c r="E1566" s="8"/>
      <x:c r="F1566" s="8"/>
      <x:c r="G1566" s="8"/>
      <x:c r="H1566" s="8"/>
      <x:c r="I1566" s="8"/>
      <x:c r="J1566" s="8"/>
      <x:c r="K1566" s="8"/>
      <x:c r="L1566" s="8"/>
      <x:c r="M1566" s="10"/>
      <x:c r="N1566" s="10"/>
      <x:c r="O1566" s="8"/>
      <x:c r="P1566" s="9" t="str">
        <x:f>IF(C1566="","",IF(AND(G1566="Applicable",H1566="Fail"),"Fail",IF(R1566&lt;&gt;"Valid","Pending",IF(OR(I1566="",K1566="",L1566="",K1566=L1566,NOT(ISNUMBER(M1566)),NOT(ISNUMBER(N1566)),M1566&gt;Settings!$F$8,N1566&lt;Settings!$F$8,N1566&lt;M1566),"Pending",IF(AND(G1566="Applicable",H1566="Pass"),"Pass",IF(AND(G1566="N/A",H1566="N/A",J1566&lt;&gt;"",OR(E1566="CEM-FUELS",E1566="CEM-CCS",AND(E1566="CEM-PLAN",IFERROR(INDEX('Taxonomy'!$M$9:$M$108,MATCH(D1566,'Taxonomy'!$C$9:$C$108,0)),"")&lt;&gt;"Amber"),E1566="BLD-TIMBER",AND(U1566="Building equipment",OR(E1566="BLD-WATER",E1566="BLD-WASTE",E1566="BLD-LAND")),AND(U1566="Building renovation",E1566="BLD-LAND"))),"N/A","Pending"))))))</x:f>
      </x:c>
      <x:c r="Q1566" s="3" t="str">
        <x:f>IF(C1566="","",IF(AND(R1566="Valid",OR(P1566="Pass",P1566="N/A")),"Complete","Unresolved"))</x:f>
      </x:c>
      <x:c r="R1566" s="9" t="str">
        <x:f>IF(C1566="","",IF(OR(COUNTIF($C$9:$C$2008,C1566)&lt;&gt;1,COUNTIFS($D$9:$D$2008,D1566,$E$9:$E$2008,E1566)&lt;&gt;1),"Duplicate test",IF(COUNTIF('Taxonomy'!$C$9:$C$108,D1566)&lt;&gt;1,"Assessment key",IF(OR(COUNTIF('Taxonomy Rules'!$C$42:$C$68,E1566)&lt;&gt;1,F1566&lt;&gt;IFERROR(INDEX('Taxonomy Rules'!$D$42:$D$68,MATCH(E1566,'Taxonomy Rules'!$C$42:$C$68,0)),""),NOT(OR(IFERROR(INDEX('Taxonomy Rules'!$G$42:$G$68,MATCH(E1566,'Taxonomy Rules'!$C$42:$C$68,0)),"")="All supported routes",IFERROR(INDEX('Taxonomy Rules'!$G$42:$G$68,MATCH(E1566,'Taxonomy Rules'!$C$42:$C$68,0)),"")=U1566,AND(IFERROR(INDEX('Taxonomy Rules'!$G$42:$G$68,MATCH(E1566,'Taxonomy Rules'!$C$42:$C$68,0)),"")="Building routes",OR(U1566="Building renovation",U1566="New building",U1566="Building equipment"))))),"Unexpected test","Valid"))))</x:f>
      </x:c>
      <x:c r="S1566" s="9" t="str">
        <x:f>IF(C1566="","",IFERROR(INDEX('Taxonomy Rules'!$E$42:$E$68,MATCH(E1566,'Taxonomy Rules'!$C$42:$C$68,0)),""))</x:f>
      </x:c>
      <x:c r="T1566" s="9" t="str">
        <x:f>IF(C1566="","",IFERROR(INDEX('Taxonomy Rules'!$F$42:$F$68,MATCH(E1566,'Taxonomy Rules'!$C$42:$C$68,0)),""))</x:f>
      </x:c>
      <x:c r="U1566" s="9" t="str">
        <x:f>IF(C1566="","",IFERROR(INDEX('Taxonomy'!$G$9:$G$108,MATCH(D1566,'Taxonomy'!$C$9:$C$108,0)),""))</x:f>
      </x:c>
    </x:row>
    <x:row r="1567" ht="44" customHeight="1">
      <x:c r="A1567" s="1"/>
      <x:c r="B1567" s="1"/>
      <x:c r="C1567" s="8"/>
      <x:c r="D1567" s="8"/>
      <x:c r="E1567" s="8"/>
      <x:c r="F1567" s="8"/>
      <x:c r="G1567" s="8"/>
      <x:c r="H1567" s="8"/>
      <x:c r="I1567" s="8"/>
      <x:c r="J1567" s="8"/>
      <x:c r="K1567" s="8"/>
      <x:c r="L1567" s="8"/>
      <x:c r="M1567" s="10"/>
      <x:c r="N1567" s="10"/>
      <x:c r="O1567" s="8"/>
      <x:c r="P1567" s="9" t="str">
        <x:f>IF(C1567="","",IF(AND(G1567="Applicable",H1567="Fail"),"Fail",IF(R1567&lt;&gt;"Valid","Pending",IF(OR(I1567="",K1567="",L1567="",K1567=L1567,NOT(ISNUMBER(M1567)),NOT(ISNUMBER(N1567)),M1567&gt;Settings!$F$8,N1567&lt;Settings!$F$8,N1567&lt;M1567),"Pending",IF(AND(G1567="Applicable",H1567="Pass"),"Pass",IF(AND(G1567="N/A",H1567="N/A",J1567&lt;&gt;"",OR(E1567="CEM-FUELS",E1567="CEM-CCS",AND(E1567="CEM-PLAN",IFERROR(INDEX('Taxonomy'!$M$9:$M$108,MATCH(D1567,'Taxonomy'!$C$9:$C$108,0)),"")&lt;&gt;"Amber"),E1567="BLD-TIMBER",AND(U1567="Building equipment",OR(E1567="BLD-WATER",E1567="BLD-WASTE",E1567="BLD-LAND")),AND(U1567="Building renovation",E1567="BLD-LAND"))),"N/A","Pending"))))))</x:f>
      </x:c>
      <x:c r="Q1567" s="3" t="str">
        <x:f>IF(C1567="","",IF(AND(R1567="Valid",OR(P1567="Pass",P1567="N/A")),"Complete","Unresolved"))</x:f>
      </x:c>
      <x:c r="R1567" s="9" t="str">
        <x:f>IF(C1567="","",IF(OR(COUNTIF($C$9:$C$2008,C1567)&lt;&gt;1,COUNTIFS($D$9:$D$2008,D1567,$E$9:$E$2008,E1567)&lt;&gt;1),"Duplicate test",IF(COUNTIF('Taxonomy'!$C$9:$C$108,D1567)&lt;&gt;1,"Assessment key",IF(OR(COUNTIF('Taxonomy Rules'!$C$42:$C$68,E1567)&lt;&gt;1,F1567&lt;&gt;IFERROR(INDEX('Taxonomy Rules'!$D$42:$D$68,MATCH(E1567,'Taxonomy Rules'!$C$42:$C$68,0)),""),NOT(OR(IFERROR(INDEX('Taxonomy Rules'!$G$42:$G$68,MATCH(E1567,'Taxonomy Rules'!$C$42:$C$68,0)),"")="All supported routes",IFERROR(INDEX('Taxonomy Rules'!$G$42:$G$68,MATCH(E1567,'Taxonomy Rules'!$C$42:$C$68,0)),"")=U1567,AND(IFERROR(INDEX('Taxonomy Rules'!$G$42:$G$68,MATCH(E1567,'Taxonomy Rules'!$C$42:$C$68,0)),"")="Building routes",OR(U1567="Building renovation",U1567="New building",U1567="Building equipment"))))),"Unexpected test","Valid"))))</x:f>
      </x:c>
      <x:c r="S1567" s="9" t="str">
        <x:f>IF(C1567="","",IFERROR(INDEX('Taxonomy Rules'!$E$42:$E$68,MATCH(E1567,'Taxonomy Rules'!$C$42:$C$68,0)),""))</x:f>
      </x:c>
      <x:c r="T1567" s="9" t="str">
        <x:f>IF(C1567="","",IFERROR(INDEX('Taxonomy Rules'!$F$42:$F$68,MATCH(E1567,'Taxonomy Rules'!$C$42:$C$68,0)),""))</x:f>
      </x:c>
      <x:c r="U1567" s="9" t="str">
        <x:f>IF(C1567="","",IFERROR(INDEX('Taxonomy'!$G$9:$G$108,MATCH(D1567,'Taxonomy'!$C$9:$C$108,0)),""))</x:f>
      </x:c>
    </x:row>
    <x:row r="1568" ht="44" customHeight="1">
      <x:c r="A1568" s="1"/>
      <x:c r="B1568" s="1"/>
      <x:c r="C1568" s="8"/>
      <x:c r="D1568" s="8"/>
      <x:c r="E1568" s="8"/>
      <x:c r="F1568" s="8"/>
      <x:c r="G1568" s="8"/>
      <x:c r="H1568" s="8"/>
      <x:c r="I1568" s="8"/>
      <x:c r="J1568" s="8"/>
      <x:c r="K1568" s="8"/>
      <x:c r="L1568" s="8"/>
      <x:c r="M1568" s="10"/>
      <x:c r="N1568" s="10"/>
      <x:c r="O1568" s="8"/>
      <x:c r="P1568" s="9" t="str">
        <x:f>IF(C1568="","",IF(AND(G1568="Applicable",H1568="Fail"),"Fail",IF(R1568&lt;&gt;"Valid","Pending",IF(OR(I1568="",K1568="",L1568="",K1568=L1568,NOT(ISNUMBER(M1568)),NOT(ISNUMBER(N1568)),M1568&gt;Settings!$F$8,N1568&lt;Settings!$F$8,N1568&lt;M1568),"Pending",IF(AND(G1568="Applicable",H1568="Pass"),"Pass",IF(AND(G1568="N/A",H1568="N/A",J1568&lt;&gt;"",OR(E1568="CEM-FUELS",E1568="CEM-CCS",AND(E1568="CEM-PLAN",IFERROR(INDEX('Taxonomy'!$M$9:$M$108,MATCH(D1568,'Taxonomy'!$C$9:$C$108,0)),"")&lt;&gt;"Amber"),E1568="BLD-TIMBER",AND(U1568="Building equipment",OR(E1568="BLD-WATER",E1568="BLD-WASTE",E1568="BLD-LAND")),AND(U1568="Building renovation",E1568="BLD-LAND"))),"N/A","Pending"))))))</x:f>
      </x:c>
      <x:c r="Q1568" s="3" t="str">
        <x:f>IF(C1568="","",IF(AND(R1568="Valid",OR(P1568="Pass",P1568="N/A")),"Complete","Unresolved"))</x:f>
      </x:c>
      <x:c r="R1568" s="9" t="str">
        <x:f>IF(C1568="","",IF(OR(COUNTIF($C$9:$C$2008,C1568)&lt;&gt;1,COUNTIFS($D$9:$D$2008,D1568,$E$9:$E$2008,E1568)&lt;&gt;1),"Duplicate test",IF(COUNTIF('Taxonomy'!$C$9:$C$108,D1568)&lt;&gt;1,"Assessment key",IF(OR(COUNTIF('Taxonomy Rules'!$C$42:$C$68,E1568)&lt;&gt;1,F1568&lt;&gt;IFERROR(INDEX('Taxonomy Rules'!$D$42:$D$68,MATCH(E1568,'Taxonomy Rules'!$C$42:$C$68,0)),""),NOT(OR(IFERROR(INDEX('Taxonomy Rules'!$G$42:$G$68,MATCH(E1568,'Taxonomy Rules'!$C$42:$C$68,0)),"")="All supported routes",IFERROR(INDEX('Taxonomy Rules'!$G$42:$G$68,MATCH(E1568,'Taxonomy Rules'!$C$42:$C$68,0)),"")=U1568,AND(IFERROR(INDEX('Taxonomy Rules'!$G$42:$G$68,MATCH(E1568,'Taxonomy Rules'!$C$42:$C$68,0)),"")="Building routes",OR(U1568="Building renovation",U1568="New building",U1568="Building equipment"))))),"Unexpected test","Valid"))))</x:f>
      </x:c>
      <x:c r="S1568" s="9" t="str">
        <x:f>IF(C1568="","",IFERROR(INDEX('Taxonomy Rules'!$E$42:$E$68,MATCH(E1568,'Taxonomy Rules'!$C$42:$C$68,0)),""))</x:f>
      </x:c>
      <x:c r="T1568" s="9" t="str">
        <x:f>IF(C1568="","",IFERROR(INDEX('Taxonomy Rules'!$F$42:$F$68,MATCH(E1568,'Taxonomy Rules'!$C$42:$C$68,0)),""))</x:f>
      </x:c>
      <x:c r="U1568" s="9" t="str">
        <x:f>IF(C1568="","",IFERROR(INDEX('Taxonomy'!$G$9:$G$108,MATCH(D1568,'Taxonomy'!$C$9:$C$108,0)),""))</x:f>
      </x:c>
    </x:row>
    <x:row r="1569" ht="44" customHeight="1">
      <x:c r="A1569" s="1"/>
      <x:c r="B1569" s="1"/>
      <x:c r="C1569" s="8"/>
      <x:c r="D1569" s="8"/>
      <x:c r="E1569" s="8"/>
      <x:c r="F1569" s="8"/>
      <x:c r="G1569" s="8"/>
      <x:c r="H1569" s="8"/>
      <x:c r="I1569" s="8"/>
      <x:c r="J1569" s="8"/>
      <x:c r="K1569" s="8"/>
      <x:c r="L1569" s="8"/>
      <x:c r="M1569" s="10"/>
      <x:c r="N1569" s="10"/>
      <x:c r="O1569" s="8"/>
      <x:c r="P1569" s="9" t="str">
        <x:f>IF(C1569="","",IF(AND(G1569="Applicable",H1569="Fail"),"Fail",IF(R1569&lt;&gt;"Valid","Pending",IF(OR(I1569="",K1569="",L1569="",K1569=L1569,NOT(ISNUMBER(M1569)),NOT(ISNUMBER(N1569)),M1569&gt;Settings!$F$8,N1569&lt;Settings!$F$8,N1569&lt;M1569),"Pending",IF(AND(G1569="Applicable",H1569="Pass"),"Pass",IF(AND(G1569="N/A",H1569="N/A",J1569&lt;&gt;"",OR(E1569="CEM-FUELS",E1569="CEM-CCS",AND(E1569="CEM-PLAN",IFERROR(INDEX('Taxonomy'!$M$9:$M$108,MATCH(D1569,'Taxonomy'!$C$9:$C$108,0)),"")&lt;&gt;"Amber"),E1569="BLD-TIMBER",AND(U1569="Building equipment",OR(E1569="BLD-WATER",E1569="BLD-WASTE",E1569="BLD-LAND")),AND(U1569="Building renovation",E1569="BLD-LAND"))),"N/A","Pending"))))))</x:f>
      </x:c>
      <x:c r="Q1569" s="3" t="str">
        <x:f>IF(C1569="","",IF(AND(R1569="Valid",OR(P1569="Pass",P1569="N/A")),"Complete","Unresolved"))</x:f>
      </x:c>
      <x:c r="R1569" s="9" t="str">
        <x:f>IF(C1569="","",IF(OR(COUNTIF($C$9:$C$2008,C1569)&lt;&gt;1,COUNTIFS($D$9:$D$2008,D1569,$E$9:$E$2008,E1569)&lt;&gt;1),"Duplicate test",IF(COUNTIF('Taxonomy'!$C$9:$C$108,D1569)&lt;&gt;1,"Assessment key",IF(OR(COUNTIF('Taxonomy Rules'!$C$42:$C$68,E1569)&lt;&gt;1,F1569&lt;&gt;IFERROR(INDEX('Taxonomy Rules'!$D$42:$D$68,MATCH(E1569,'Taxonomy Rules'!$C$42:$C$68,0)),""),NOT(OR(IFERROR(INDEX('Taxonomy Rules'!$G$42:$G$68,MATCH(E1569,'Taxonomy Rules'!$C$42:$C$68,0)),"")="All supported routes",IFERROR(INDEX('Taxonomy Rules'!$G$42:$G$68,MATCH(E1569,'Taxonomy Rules'!$C$42:$C$68,0)),"")=U1569,AND(IFERROR(INDEX('Taxonomy Rules'!$G$42:$G$68,MATCH(E1569,'Taxonomy Rules'!$C$42:$C$68,0)),"")="Building routes",OR(U1569="Building renovation",U1569="New building",U1569="Building equipment"))))),"Unexpected test","Valid"))))</x:f>
      </x:c>
      <x:c r="S1569" s="9" t="str">
        <x:f>IF(C1569="","",IFERROR(INDEX('Taxonomy Rules'!$E$42:$E$68,MATCH(E1569,'Taxonomy Rules'!$C$42:$C$68,0)),""))</x:f>
      </x:c>
      <x:c r="T1569" s="9" t="str">
        <x:f>IF(C1569="","",IFERROR(INDEX('Taxonomy Rules'!$F$42:$F$68,MATCH(E1569,'Taxonomy Rules'!$C$42:$C$68,0)),""))</x:f>
      </x:c>
      <x:c r="U1569" s="9" t="str">
        <x:f>IF(C1569="","",IFERROR(INDEX('Taxonomy'!$G$9:$G$108,MATCH(D1569,'Taxonomy'!$C$9:$C$108,0)),""))</x:f>
      </x:c>
    </x:row>
    <x:row r="1570" ht="44" customHeight="1">
      <x:c r="A1570" s="1"/>
      <x:c r="B1570" s="1"/>
      <x:c r="C1570" s="8"/>
      <x:c r="D1570" s="8"/>
      <x:c r="E1570" s="8"/>
      <x:c r="F1570" s="8"/>
      <x:c r="G1570" s="8"/>
      <x:c r="H1570" s="8"/>
      <x:c r="I1570" s="8"/>
      <x:c r="J1570" s="8"/>
      <x:c r="K1570" s="8"/>
      <x:c r="L1570" s="8"/>
      <x:c r="M1570" s="10"/>
      <x:c r="N1570" s="10"/>
      <x:c r="O1570" s="8"/>
      <x:c r="P1570" s="9" t="str">
        <x:f>IF(C1570="","",IF(AND(G1570="Applicable",H1570="Fail"),"Fail",IF(R1570&lt;&gt;"Valid","Pending",IF(OR(I1570="",K1570="",L1570="",K1570=L1570,NOT(ISNUMBER(M1570)),NOT(ISNUMBER(N1570)),M1570&gt;Settings!$F$8,N1570&lt;Settings!$F$8,N1570&lt;M1570),"Pending",IF(AND(G1570="Applicable",H1570="Pass"),"Pass",IF(AND(G1570="N/A",H1570="N/A",J1570&lt;&gt;"",OR(E1570="CEM-FUELS",E1570="CEM-CCS",AND(E1570="CEM-PLAN",IFERROR(INDEX('Taxonomy'!$M$9:$M$108,MATCH(D1570,'Taxonomy'!$C$9:$C$108,0)),"")&lt;&gt;"Amber"),E1570="BLD-TIMBER",AND(U1570="Building equipment",OR(E1570="BLD-WATER",E1570="BLD-WASTE",E1570="BLD-LAND")),AND(U1570="Building renovation",E1570="BLD-LAND"))),"N/A","Pending"))))))</x:f>
      </x:c>
      <x:c r="Q1570" s="3" t="str">
        <x:f>IF(C1570="","",IF(AND(R1570="Valid",OR(P1570="Pass",P1570="N/A")),"Complete","Unresolved"))</x:f>
      </x:c>
      <x:c r="R1570" s="9" t="str">
        <x:f>IF(C1570="","",IF(OR(COUNTIF($C$9:$C$2008,C1570)&lt;&gt;1,COUNTIFS($D$9:$D$2008,D1570,$E$9:$E$2008,E1570)&lt;&gt;1),"Duplicate test",IF(COUNTIF('Taxonomy'!$C$9:$C$108,D1570)&lt;&gt;1,"Assessment key",IF(OR(COUNTIF('Taxonomy Rules'!$C$42:$C$68,E1570)&lt;&gt;1,F1570&lt;&gt;IFERROR(INDEX('Taxonomy Rules'!$D$42:$D$68,MATCH(E1570,'Taxonomy Rules'!$C$42:$C$68,0)),""),NOT(OR(IFERROR(INDEX('Taxonomy Rules'!$G$42:$G$68,MATCH(E1570,'Taxonomy Rules'!$C$42:$C$68,0)),"")="All supported routes",IFERROR(INDEX('Taxonomy Rules'!$G$42:$G$68,MATCH(E1570,'Taxonomy Rules'!$C$42:$C$68,0)),"")=U1570,AND(IFERROR(INDEX('Taxonomy Rules'!$G$42:$G$68,MATCH(E1570,'Taxonomy Rules'!$C$42:$C$68,0)),"")="Building routes",OR(U1570="Building renovation",U1570="New building",U1570="Building equipment"))))),"Unexpected test","Valid"))))</x:f>
      </x:c>
      <x:c r="S1570" s="9" t="str">
        <x:f>IF(C1570="","",IFERROR(INDEX('Taxonomy Rules'!$E$42:$E$68,MATCH(E1570,'Taxonomy Rules'!$C$42:$C$68,0)),""))</x:f>
      </x:c>
      <x:c r="T1570" s="9" t="str">
        <x:f>IF(C1570="","",IFERROR(INDEX('Taxonomy Rules'!$F$42:$F$68,MATCH(E1570,'Taxonomy Rules'!$C$42:$C$68,0)),""))</x:f>
      </x:c>
      <x:c r="U1570" s="9" t="str">
        <x:f>IF(C1570="","",IFERROR(INDEX('Taxonomy'!$G$9:$G$108,MATCH(D1570,'Taxonomy'!$C$9:$C$108,0)),""))</x:f>
      </x:c>
    </x:row>
    <x:row r="1571" ht="44" customHeight="1">
      <x:c r="A1571" s="1"/>
      <x:c r="B1571" s="1"/>
      <x:c r="C1571" s="8"/>
      <x:c r="D1571" s="8"/>
      <x:c r="E1571" s="8"/>
      <x:c r="F1571" s="8"/>
      <x:c r="G1571" s="8"/>
      <x:c r="H1571" s="8"/>
      <x:c r="I1571" s="8"/>
      <x:c r="J1571" s="8"/>
      <x:c r="K1571" s="8"/>
      <x:c r="L1571" s="8"/>
      <x:c r="M1571" s="10"/>
      <x:c r="N1571" s="10"/>
      <x:c r="O1571" s="8"/>
      <x:c r="P1571" s="9" t="str">
        <x:f>IF(C1571="","",IF(AND(G1571="Applicable",H1571="Fail"),"Fail",IF(R1571&lt;&gt;"Valid","Pending",IF(OR(I1571="",K1571="",L1571="",K1571=L1571,NOT(ISNUMBER(M1571)),NOT(ISNUMBER(N1571)),M1571&gt;Settings!$F$8,N1571&lt;Settings!$F$8,N1571&lt;M1571),"Pending",IF(AND(G1571="Applicable",H1571="Pass"),"Pass",IF(AND(G1571="N/A",H1571="N/A",J1571&lt;&gt;"",OR(E1571="CEM-FUELS",E1571="CEM-CCS",AND(E1571="CEM-PLAN",IFERROR(INDEX('Taxonomy'!$M$9:$M$108,MATCH(D1571,'Taxonomy'!$C$9:$C$108,0)),"")&lt;&gt;"Amber"),E1571="BLD-TIMBER",AND(U1571="Building equipment",OR(E1571="BLD-WATER",E1571="BLD-WASTE",E1571="BLD-LAND")),AND(U1571="Building renovation",E1571="BLD-LAND"))),"N/A","Pending"))))))</x:f>
      </x:c>
      <x:c r="Q1571" s="3" t="str">
        <x:f>IF(C1571="","",IF(AND(R1571="Valid",OR(P1571="Pass",P1571="N/A")),"Complete","Unresolved"))</x:f>
      </x:c>
      <x:c r="R1571" s="9" t="str">
        <x:f>IF(C1571="","",IF(OR(COUNTIF($C$9:$C$2008,C1571)&lt;&gt;1,COUNTIFS($D$9:$D$2008,D1571,$E$9:$E$2008,E1571)&lt;&gt;1),"Duplicate test",IF(COUNTIF('Taxonomy'!$C$9:$C$108,D1571)&lt;&gt;1,"Assessment key",IF(OR(COUNTIF('Taxonomy Rules'!$C$42:$C$68,E1571)&lt;&gt;1,F1571&lt;&gt;IFERROR(INDEX('Taxonomy Rules'!$D$42:$D$68,MATCH(E1571,'Taxonomy Rules'!$C$42:$C$68,0)),""),NOT(OR(IFERROR(INDEX('Taxonomy Rules'!$G$42:$G$68,MATCH(E1571,'Taxonomy Rules'!$C$42:$C$68,0)),"")="All supported routes",IFERROR(INDEX('Taxonomy Rules'!$G$42:$G$68,MATCH(E1571,'Taxonomy Rules'!$C$42:$C$68,0)),"")=U1571,AND(IFERROR(INDEX('Taxonomy Rules'!$G$42:$G$68,MATCH(E1571,'Taxonomy Rules'!$C$42:$C$68,0)),"")="Building routes",OR(U1571="Building renovation",U1571="New building",U1571="Building equipment"))))),"Unexpected test","Valid"))))</x:f>
      </x:c>
      <x:c r="S1571" s="9" t="str">
        <x:f>IF(C1571="","",IFERROR(INDEX('Taxonomy Rules'!$E$42:$E$68,MATCH(E1571,'Taxonomy Rules'!$C$42:$C$68,0)),""))</x:f>
      </x:c>
      <x:c r="T1571" s="9" t="str">
        <x:f>IF(C1571="","",IFERROR(INDEX('Taxonomy Rules'!$F$42:$F$68,MATCH(E1571,'Taxonomy Rules'!$C$42:$C$68,0)),""))</x:f>
      </x:c>
      <x:c r="U1571" s="9" t="str">
        <x:f>IF(C1571="","",IFERROR(INDEX('Taxonomy'!$G$9:$G$108,MATCH(D1571,'Taxonomy'!$C$9:$C$108,0)),""))</x:f>
      </x:c>
    </x:row>
    <x:row r="1572" ht="44" customHeight="1">
      <x:c r="A1572" s="1"/>
      <x:c r="B1572" s="1"/>
      <x:c r="C1572" s="8"/>
      <x:c r="D1572" s="8"/>
      <x:c r="E1572" s="8"/>
      <x:c r="F1572" s="8"/>
      <x:c r="G1572" s="8"/>
      <x:c r="H1572" s="8"/>
      <x:c r="I1572" s="8"/>
      <x:c r="J1572" s="8"/>
      <x:c r="K1572" s="8"/>
      <x:c r="L1572" s="8"/>
      <x:c r="M1572" s="10"/>
      <x:c r="N1572" s="10"/>
      <x:c r="O1572" s="8"/>
      <x:c r="P1572" s="9" t="str">
        <x:f>IF(C1572="","",IF(AND(G1572="Applicable",H1572="Fail"),"Fail",IF(R1572&lt;&gt;"Valid","Pending",IF(OR(I1572="",K1572="",L1572="",K1572=L1572,NOT(ISNUMBER(M1572)),NOT(ISNUMBER(N1572)),M1572&gt;Settings!$F$8,N1572&lt;Settings!$F$8,N1572&lt;M1572),"Pending",IF(AND(G1572="Applicable",H1572="Pass"),"Pass",IF(AND(G1572="N/A",H1572="N/A",J1572&lt;&gt;"",OR(E1572="CEM-FUELS",E1572="CEM-CCS",AND(E1572="CEM-PLAN",IFERROR(INDEX('Taxonomy'!$M$9:$M$108,MATCH(D1572,'Taxonomy'!$C$9:$C$108,0)),"")&lt;&gt;"Amber"),E1572="BLD-TIMBER",AND(U1572="Building equipment",OR(E1572="BLD-WATER",E1572="BLD-WASTE",E1572="BLD-LAND")),AND(U1572="Building renovation",E1572="BLD-LAND"))),"N/A","Pending"))))))</x:f>
      </x:c>
      <x:c r="Q1572" s="3" t="str">
        <x:f>IF(C1572="","",IF(AND(R1572="Valid",OR(P1572="Pass",P1572="N/A")),"Complete","Unresolved"))</x:f>
      </x:c>
      <x:c r="R1572" s="9" t="str">
        <x:f>IF(C1572="","",IF(OR(COUNTIF($C$9:$C$2008,C1572)&lt;&gt;1,COUNTIFS($D$9:$D$2008,D1572,$E$9:$E$2008,E1572)&lt;&gt;1),"Duplicate test",IF(COUNTIF('Taxonomy'!$C$9:$C$108,D1572)&lt;&gt;1,"Assessment key",IF(OR(COUNTIF('Taxonomy Rules'!$C$42:$C$68,E1572)&lt;&gt;1,F1572&lt;&gt;IFERROR(INDEX('Taxonomy Rules'!$D$42:$D$68,MATCH(E1572,'Taxonomy Rules'!$C$42:$C$68,0)),""),NOT(OR(IFERROR(INDEX('Taxonomy Rules'!$G$42:$G$68,MATCH(E1572,'Taxonomy Rules'!$C$42:$C$68,0)),"")="All supported routes",IFERROR(INDEX('Taxonomy Rules'!$G$42:$G$68,MATCH(E1572,'Taxonomy Rules'!$C$42:$C$68,0)),"")=U1572,AND(IFERROR(INDEX('Taxonomy Rules'!$G$42:$G$68,MATCH(E1572,'Taxonomy Rules'!$C$42:$C$68,0)),"")="Building routes",OR(U1572="Building renovation",U1572="New building",U1572="Building equipment"))))),"Unexpected test","Valid"))))</x:f>
      </x:c>
      <x:c r="S1572" s="9" t="str">
        <x:f>IF(C1572="","",IFERROR(INDEX('Taxonomy Rules'!$E$42:$E$68,MATCH(E1572,'Taxonomy Rules'!$C$42:$C$68,0)),""))</x:f>
      </x:c>
      <x:c r="T1572" s="9" t="str">
        <x:f>IF(C1572="","",IFERROR(INDEX('Taxonomy Rules'!$F$42:$F$68,MATCH(E1572,'Taxonomy Rules'!$C$42:$C$68,0)),""))</x:f>
      </x:c>
      <x:c r="U1572" s="9" t="str">
        <x:f>IF(C1572="","",IFERROR(INDEX('Taxonomy'!$G$9:$G$108,MATCH(D1572,'Taxonomy'!$C$9:$C$108,0)),""))</x:f>
      </x:c>
    </x:row>
    <x:row r="1573" ht="44" customHeight="1">
      <x:c r="A1573" s="1"/>
      <x:c r="B1573" s="1"/>
      <x:c r="C1573" s="8"/>
      <x:c r="D1573" s="8"/>
      <x:c r="E1573" s="8"/>
      <x:c r="F1573" s="8"/>
      <x:c r="G1573" s="8"/>
      <x:c r="H1573" s="8"/>
      <x:c r="I1573" s="8"/>
      <x:c r="J1573" s="8"/>
      <x:c r="K1573" s="8"/>
      <x:c r="L1573" s="8"/>
      <x:c r="M1573" s="10"/>
      <x:c r="N1573" s="10"/>
      <x:c r="O1573" s="8"/>
      <x:c r="P1573" s="9" t="str">
        <x:f>IF(C1573="","",IF(AND(G1573="Applicable",H1573="Fail"),"Fail",IF(R1573&lt;&gt;"Valid","Pending",IF(OR(I1573="",K1573="",L1573="",K1573=L1573,NOT(ISNUMBER(M1573)),NOT(ISNUMBER(N1573)),M1573&gt;Settings!$F$8,N1573&lt;Settings!$F$8,N1573&lt;M1573),"Pending",IF(AND(G1573="Applicable",H1573="Pass"),"Pass",IF(AND(G1573="N/A",H1573="N/A",J1573&lt;&gt;"",OR(E1573="CEM-FUELS",E1573="CEM-CCS",AND(E1573="CEM-PLAN",IFERROR(INDEX('Taxonomy'!$M$9:$M$108,MATCH(D1573,'Taxonomy'!$C$9:$C$108,0)),"")&lt;&gt;"Amber"),E1573="BLD-TIMBER",AND(U1573="Building equipment",OR(E1573="BLD-WATER",E1573="BLD-WASTE",E1573="BLD-LAND")),AND(U1573="Building renovation",E1573="BLD-LAND"))),"N/A","Pending"))))))</x:f>
      </x:c>
      <x:c r="Q1573" s="3" t="str">
        <x:f>IF(C1573="","",IF(AND(R1573="Valid",OR(P1573="Pass",P1573="N/A")),"Complete","Unresolved"))</x:f>
      </x:c>
      <x:c r="R1573" s="9" t="str">
        <x:f>IF(C1573="","",IF(OR(COUNTIF($C$9:$C$2008,C1573)&lt;&gt;1,COUNTIFS($D$9:$D$2008,D1573,$E$9:$E$2008,E1573)&lt;&gt;1),"Duplicate test",IF(COUNTIF('Taxonomy'!$C$9:$C$108,D1573)&lt;&gt;1,"Assessment key",IF(OR(COUNTIF('Taxonomy Rules'!$C$42:$C$68,E1573)&lt;&gt;1,F1573&lt;&gt;IFERROR(INDEX('Taxonomy Rules'!$D$42:$D$68,MATCH(E1573,'Taxonomy Rules'!$C$42:$C$68,0)),""),NOT(OR(IFERROR(INDEX('Taxonomy Rules'!$G$42:$G$68,MATCH(E1573,'Taxonomy Rules'!$C$42:$C$68,0)),"")="All supported routes",IFERROR(INDEX('Taxonomy Rules'!$G$42:$G$68,MATCH(E1573,'Taxonomy Rules'!$C$42:$C$68,0)),"")=U1573,AND(IFERROR(INDEX('Taxonomy Rules'!$G$42:$G$68,MATCH(E1573,'Taxonomy Rules'!$C$42:$C$68,0)),"")="Building routes",OR(U1573="Building renovation",U1573="New building",U1573="Building equipment"))))),"Unexpected test","Valid"))))</x:f>
      </x:c>
      <x:c r="S1573" s="9" t="str">
        <x:f>IF(C1573="","",IFERROR(INDEX('Taxonomy Rules'!$E$42:$E$68,MATCH(E1573,'Taxonomy Rules'!$C$42:$C$68,0)),""))</x:f>
      </x:c>
      <x:c r="T1573" s="9" t="str">
        <x:f>IF(C1573="","",IFERROR(INDEX('Taxonomy Rules'!$F$42:$F$68,MATCH(E1573,'Taxonomy Rules'!$C$42:$C$68,0)),""))</x:f>
      </x:c>
      <x:c r="U1573" s="9" t="str">
        <x:f>IF(C1573="","",IFERROR(INDEX('Taxonomy'!$G$9:$G$108,MATCH(D1573,'Taxonomy'!$C$9:$C$108,0)),""))</x:f>
      </x:c>
    </x:row>
    <x:row r="1574" ht="44" customHeight="1">
      <x:c r="A1574" s="1"/>
      <x:c r="B1574" s="1"/>
      <x:c r="C1574" s="8"/>
      <x:c r="D1574" s="8"/>
      <x:c r="E1574" s="8"/>
      <x:c r="F1574" s="8"/>
      <x:c r="G1574" s="8"/>
      <x:c r="H1574" s="8"/>
      <x:c r="I1574" s="8"/>
      <x:c r="J1574" s="8"/>
      <x:c r="K1574" s="8"/>
      <x:c r="L1574" s="8"/>
      <x:c r="M1574" s="10"/>
      <x:c r="N1574" s="10"/>
      <x:c r="O1574" s="8"/>
      <x:c r="P1574" s="9" t="str">
        <x:f>IF(C1574="","",IF(AND(G1574="Applicable",H1574="Fail"),"Fail",IF(R1574&lt;&gt;"Valid","Pending",IF(OR(I1574="",K1574="",L1574="",K1574=L1574,NOT(ISNUMBER(M1574)),NOT(ISNUMBER(N1574)),M1574&gt;Settings!$F$8,N1574&lt;Settings!$F$8,N1574&lt;M1574),"Pending",IF(AND(G1574="Applicable",H1574="Pass"),"Pass",IF(AND(G1574="N/A",H1574="N/A",J1574&lt;&gt;"",OR(E1574="CEM-FUELS",E1574="CEM-CCS",AND(E1574="CEM-PLAN",IFERROR(INDEX('Taxonomy'!$M$9:$M$108,MATCH(D1574,'Taxonomy'!$C$9:$C$108,0)),"")&lt;&gt;"Amber"),E1574="BLD-TIMBER",AND(U1574="Building equipment",OR(E1574="BLD-WATER",E1574="BLD-WASTE",E1574="BLD-LAND")),AND(U1574="Building renovation",E1574="BLD-LAND"))),"N/A","Pending"))))))</x:f>
      </x:c>
      <x:c r="Q1574" s="3" t="str">
        <x:f>IF(C1574="","",IF(AND(R1574="Valid",OR(P1574="Pass",P1574="N/A")),"Complete","Unresolved"))</x:f>
      </x:c>
      <x:c r="R1574" s="9" t="str">
        <x:f>IF(C1574="","",IF(OR(COUNTIF($C$9:$C$2008,C1574)&lt;&gt;1,COUNTIFS($D$9:$D$2008,D1574,$E$9:$E$2008,E1574)&lt;&gt;1),"Duplicate test",IF(COUNTIF('Taxonomy'!$C$9:$C$108,D1574)&lt;&gt;1,"Assessment key",IF(OR(COUNTIF('Taxonomy Rules'!$C$42:$C$68,E1574)&lt;&gt;1,F1574&lt;&gt;IFERROR(INDEX('Taxonomy Rules'!$D$42:$D$68,MATCH(E1574,'Taxonomy Rules'!$C$42:$C$68,0)),""),NOT(OR(IFERROR(INDEX('Taxonomy Rules'!$G$42:$G$68,MATCH(E1574,'Taxonomy Rules'!$C$42:$C$68,0)),"")="All supported routes",IFERROR(INDEX('Taxonomy Rules'!$G$42:$G$68,MATCH(E1574,'Taxonomy Rules'!$C$42:$C$68,0)),"")=U1574,AND(IFERROR(INDEX('Taxonomy Rules'!$G$42:$G$68,MATCH(E1574,'Taxonomy Rules'!$C$42:$C$68,0)),"")="Building routes",OR(U1574="Building renovation",U1574="New building",U1574="Building equipment"))))),"Unexpected test","Valid"))))</x:f>
      </x:c>
      <x:c r="S1574" s="9" t="str">
        <x:f>IF(C1574="","",IFERROR(INDEX('Taxonomy Rules'!$E$42:$E$68,MATCH(E1574,'Taxonomy Rules'!$C$42:$C$68,0)),""))</x:f>
      </x:c>
      <x:c r="T1574" s="9" t="str">
        <x:f>IF(C1574="","",IFERROR(INDEX('Taxonomy Rules'!$F$42:$F$68,MATCH(E1574,'Taxonomy Rules'!$C$42:$C$68,0)),""))</x:f>
      </x:c>
      <x:c r="U1574" s="9" t="str">
        <x:f>IF(C1574="","",IFERROR(INDEX('Taxonomy'!$G$9:$G$108,MATCH(D1574,'Taxonomy'!$C$9:$C$108,0)),""))</x:f>
      </x:c>
    </x:row>
    <x:row r="1575" ht="44" customHeight="1">
      <x:c r="A1575" s="1"/>
      <x:c r="B1575" s="1"/>
      <x:c r="C1575" s="8"/>
      <x:c r="D1575" s="8"/>
      <x:c r="E1575" s="8"/>
      <x:c r="F1575" s="8"/>
      <x:c r="G1575" s="8"/>
      <x:c r="H1575" s="8"/>
      <x:c r="I1575" s="8"/>
      <x:c r="J1575" s="8"/>
      <x:c r="K1575" s="8"/>
      <x:c r="L1575" s="8"/>
      <x:c r="M1575" s="10"/>
      <x:c r="N1575" s="10"/>
      <x:c r="O1575" s="8"/>
      <x:c r="P1575" s="9" t="str">
        <x:f>IF(C1575="","",IF(AND(G1575="Applicable",H1575="Fail"),"Fail",IF(R1575&lt;&gt;"Valid","Pending",IF(OR(I1575="",K1575="",L1575="",K1575=L1575,NOT(ISNUMBER(M1575)),NOT(ISNUMBER(N1575)),M1575&gt;Settings!$F$8,N1575&lt;Settings!$F$8,N1575&lt;M1575),"Pending",IF(AND(G1575="Applicable",H1575="Pass"),"Pass",IF(AND(G1575="N/A",H1575="N/A",J1575&lt;&gt;"",OR(E1575="CEM-FUELS",E1575="CEM-CCS",AND(E1575="CEM-PLAN",IFERROR(INDEX('Taxonomy'!$M$9:$M$108,MATCH(D1575,'Taxonomy'!$C$9:$C$108,0)),"")&lt;&gt;"Amber"),E1575="BLD-TIMBER",AND(U1575="Building equipment",OR(E1575="BLD-WATER",E1575="BLD-WASTE",E1575="BLD-LAND")),AND(U1575="Building renovation",E1575="BLD-LAND"))),"N/A","Pending"))))))</x:f>
      </x:c>
      <x:c r="Q1575" s="3" t="str">
        <x:f>IF(C1575="","",IF(AND(R1575="Valid",OR(P1575="Pass",P1575="N/A")),"Complete","Unresolved"))</x:f>
      </x:c>
      <x:c r="R1575" s="9" t="str">
        <x:f>IF(C1575="","",IF(OR(COUNTIF($C$9:$C$2008,C1575)&lt;&gt;1,COUNTIFS($D$9:$D$2008,D1575,$E$9:$E$2008,E1575)&lt;&gt;1),"Duplicate test",IF(COUNTIF('Taxonomy'!$C$9:$C$108,D1575)&lt;&gt;1,"Assessment key",IF(OR(COUNTIF('Taxonomy Rules'!$C$42:$C$68,E1575)&lt;&gt;1,F1575&lt;&gt;IFERROR(INDEX('Taxonomy Rules'!$D$42:$D$68,MATCH(E1575,'Taxonomy Rules'!$C$42:$C$68,0)),""),NOT(OR(IFERROR(INDEX('Taxonomy Rules'!$G$42:$G$68,MATCH(E1575,'Taxonomy Rules'!$C$42:$C$68,0)),"")="All supported routes",IFERROR(INDEX('Taxonomy Rules'!$G$42:$G$68,MATCH(E1575,'Taxonomy Rules'!$C$42:$C$68,0)),"")=U1575,AND(IFERROR(INDEX('Taxonomy Rules'!$G$42:$G$68,MATCH(E1575,'Taxonomy Rules'!$C$42:$C$68,0)),"")="Building routes",OR(U1575="Building renovation",U1575="New building",U1575="Building equipment"))))),"Unexpected test","Valid"))))</x:f>
      </x:c>
      <x:c r="S1575" s="9" t="str">
        <x:f>IF(C1575="","",IFERROR(INDEX('Taxonomy Rules'!$E$42:$E$68,MATCH(E1575,'Taxonomy Rules'!$C$42:$C$68,0)),""))</x:f>
      </x:c>
      <x:c r="T1575" s="9" t="str">
        <x:f>IF(C1575="","",IFERROR(INDEX('Taxonomy Rules'!$F$42:$F$68,MATCH(E1575,'Taxonomy Rules'!$C$42:$C$68,0)),""))</x:f>
      </x:c>
      <x:c r="U1575" s="9" t="str">
        <x:f>IF(C1575="","",IFERROR(INDEX('Taxonomy'!$G$9:$G$108,MATCH(D1575,'Taxonomy'!$C$9:$C$108,0)),""))</x:f>
      </x:c>
    </x:row>
    <x:row r="1576" ht="44" customHeight="1">
      <x:c r="A1576" s="1"/>
      <x:c r="B1576" s="1"/>
      <x:c r="C1576" s="8"/>
      <x:c r="D1576" s="8"/>
      <x:c r="E1576" s="8"/>
      <x:c r="F1576" s="8"/>
      <x:c r="G1576" s="8"/>
      <x:c r="H1576" s="8"/>
      <x:c r="I1576" s="8"/>
      <x:c r="J1576" s="8"/>
      <x:c r="K1576" s="8"/>
      <x:c r="L1576" s="8"/>
      <x:c r="M1576" s="10"/>
      <x:c r="N1576" s="10"/>
      <x:c r="O1576" s="8"/>
      <x:c r="P1576" s="9" t="str">
        <x:f>IF(C1576="","",IF(AND(G1576="Applicable",H1576="Fail"),"Fail",IF(R1576&lt;&gt;"Valid","Pending",IF(OR(I1576="",K1576="",L1576="",K1576=L1576,NOT(ISNUMBER(M1576)),NOT(ISNUMBER(N1576)),M1576&gt;Settings!$F$8,N1576&lt;Settings!$F$8,N1576&lt;M1576),"Pending",IF(AND(G1576="Applicable",H1576="Pass"),"Pass",IF(AND(G1576="N/A",H1576="N/A",J1576&lt;&gt;"",OR(E1576="CEM-FUELS",E1576="CEM-CCS",AND(E1576="CEM-PLAN",IFERROR(INDEX('Taxonomy'!$M$9:$M$108,MATCH(D1576,'Taxonomy'!$C$9:$C$108,0)),"")&lt;&gt;"Amber"),E1576="BLD-TIMBER",AND(U1576="Building equipment",OR(E1576="BLD-WATER",E1576="BLD-WASTE",E1576="BLD-LAND")),AND(U1576="Building renovation",E1576="BLD-LAND"))),"N/A","Pending"))))))</x:f>
      </x:c>
      <x:c r="Q1576" s="3" t="str">
        <x:f>IF(C1576="","",IF(AND(R1576="Valid",OR(P1576="Pass",P1576="N/A")),"Complete","Unresolved"))</x:f>
      </x:c>
      <x:c r="R1576" s="9" t="str">
        <x:f>IF(C1576="","",IF(OR(COUNTIF($C$9:$C$2008,C1576)&lt;&gt;1,COUNTIFS($D$9:$D$2008,D1576,$E$9:$E$2008,E1576)&lt;&gt;1),"Duplicate test",IF(COUNTIF('Taxonomy'!$C$9:$C$108,D1576)&lt;&gt;1,"Assessment key",IF(OR(COUNTIF('Taxonomy Rules'!$C$42:$C$68,E1576)&lt;&gt;1,F1576&lt;&gt;IFERROR(INDEX('Taxonomy Rules'!$D$42:$D$68,MATCH(E1576,'Taxonomy Rules'!$C$42:$C$68,0)),""),NOT(OR(IFERROR(INDEX('Taxonomy Rules'!$G$42:$G$68,MATCH(E1576,'Taxonomy Rules'!$C$42:$C$68,0)),"")="All supported routes",IFERROR(INDEX('Taxonomy Rules'!$G$42:$G$68,MATCH(E1576,'Taxonomy Rules'!$C$42:$C$68,0)),"")=U1576,AND(IFERROR(INDEX('Taxonomy Rules'!$G$42:$G$68,MATCH(E1576,'Taxonomy Rules'!$C$42:$C$68,0)),"")="Building routes",OR(U1576="Building renovation",U1576="New building",U1576="Building equipment"))))),"Unexpected test","Valid"))))</x:f>
      </x:c>
      <x:c r="S1576" s="9" t="str">
        <x:f>IF(C1576="","",IFERROR(INDEX('Taxonomy Rules'!$E$42:$E$68,MATCH(E1576,'Taxonomy Rules'!$C$42:$C$68,0)),""))</x:f>
      </x:c>
      <x:c r="T1576" s="9" t="str">
        <x:f>IF(C1576="","",IFERROR(INDEX('Taxonomy Rules'!$F$42:$F$68,MATCH(E1576,'Taxonomy Rules'!$C$42:$C$68,0)),""))</x:f>
      </x:c>
      <x:c r="U1576" s="9" t="str">
        <x:f>IF(C1576="","",IFERROR(INDEX('Taxonomy'!$G$9:$G$108,MATCH(D1576,'Taxonomy'!$C$9:$C$108,0)),""))</x:f>
      </x:c>
    </x:row>
    <x:row r="1577" ht="44" customHeight="1">
      <x:c r="A1577" s="1"/>
      <x:c r="B1577" s="1"/>
      <x:c r="C1577" s="8"/>
      <x:c r="D1577" s="8"/>
      <x:c r="E1577" s="8"/>
      <x:c r="F1577" s="8"/>
      <x:c r="G1577" s="8"/>
      <x:c r="H1577" s="8"/>
      <x:c r="I1577" s="8"/>
      <x:c r="J1577" s="8"/>
      <x:c r="K1577" s="8"/>
      <x:c r="L1577" s="8"/>
      <x:c r="M1577" s="10"/>
      <x:c r="N1577" s="10"/>
      <x:c r="O1577" s="8"/>
      <x:c r="P1577" s="9" t="str">
        <x:f>IF(C1577="","",IF(AND(G1577="Applicable",H1577="Fail"),"Fail",IF(R1577&lt;&gt;"Valid","Pending",IF(OR(I1577="",K1577="",L1577="",K1577=L1577,NOT(ISNUMBER(M1577)),NOT(ISNUMBER(N1577)),M1577&gt;Settings!$F$8,N1577&lt;Settings!$F$8,N1577&lt;M1577),"Pending",IF(AND(G1577="Applicable",H1577="Pass"),"Pass",IF(AND(G1577="N/A",H1577="N/A",J1577&lt;&gt;"",OR(E1577="CEM-FUELS",E1577="CEM-CCS",AND(E1577="CEM-PLAN",IFERROR(INDEX('Taxonomy'!$M$9:$M$108,MATCH(D1577,'Taxonomy'!$C$9:$C$108,0)),"")&lt;&gt;"Amber"),E1577="BLD-TIMBER",AND(U1577="Building equipment",OR(E1577="BLD-WATER",E1577="BLD-WASTE",E1577="BLD-LAND")),AND(U1577="Building renovation",E1577="BLD-LAND"))),"N/A","Pending"))))))</x:f>
      </x:c>
      <x:c r="Q1577" s="3" t="str">
        <x:f>IF(C1577="","",IF(AND(R1577="Valid",OR(P1577="Pass",P1577="N/A")),"Complete","Unresolved"))</x:f>
      </x:c>
      <x:c r="R1577" s="9" t="str">
        <x:f>IF(C1577="","",IF(OR(COUNTIF($C$9:$C$2008,C1577)&lt;&gt;1,COUNTIFS($D$9:$D$2008,D1577,$E$9:$E$2008,E1577)&lt;&gt;1),"Duplicate test",IF(COUNTIF('Taxonomy'!$C$9:$C$108,D1577)&lt;&gt;1,"Assessment key",IF(OR(COUNTIF('Taxonomy Rules'!$C$42:$C$68,E1577)&lt;&gt;1,F1577&lt;&gt;IFERROR(INDEX('Taxonomy Rules'!$D$42:$D$68,MATCH(E1577,'Taxonomy Rules'!$C$42:$C$68,0)),""),NOT(OR(IFERROR(INDEX('Taxonomy Rules'!$G$42:$G$68,MATCH(E1577,'Taxonomy Rules'!$C$42:$C$68,0)),"")="All supported routes",IFERROR(INDEX('Taxonomy Rules'!$G$42:$G$68,MATCH(E1577,'Taxonomy Rules'!$C$42:$C$68,0)),"")=U1577,AND(IFERROR(INDEX('Taxonomy Rules'!$G$42:$G$68,MATCH(E1577,'Taxonomy Rules'!$C$42:$C$68,0)),"")="Building routes",OR(U1577="Building renovation",U1577="New building",U1577="Building equipment"))))),"Unexpected test","Valid"))))</x:f>
      </x:c>
      <x:c r="S1577" s="9" t="str">
        <x:f>IF(C1577="","",IFERROR(INDEX('Taxonomy Rules'!$E$42:$E$68,MATCH(E1577,'Taxonomy Rules'!$C$42:$C$68,0)),""))</x:f>
      </x:c>
      <x:c r="T1577" s="9" t="str">
        <x:f>IF(C1577="","",IFERROR(INDEX('Taxonomy Rules'!$F$42:$F$68,MATCH(E1577,'Taxonomy Rules'!$C$42:$C$68,0)),""))</x:f>
      </x:c>
      <x:c r="U1577" s="9" t="str">
        <x:f>IF(C1577="","",IFERROR(INDEX('Taxonomy'!$G$9:$G$108,MATCH(D1577,'Taxonomy'!$C$9:$C$108,0)),""))</x:f>
      </x:c>
    </x:row>
    <x:row r="1578" ht="44" customHeight="1">
      <x:c r="A1578" s="1"/>
      <x:c r="B1578" s="1"/>
      <x:c r="C1578" s="8"/>
      <x:c r="D1578" s="8"/>
      <x:c r="E1578" s="8"/>
      <x:c r="F1578" s="8"/>
      <x:c r="G1578" s="8"/>
      <x:c r="H1578" s="8"/>
      <x:c r="I1578" s="8"/>
      <x:c r="J1578" s="8"/>
      <x:c r="K1578" s="8"/>
      <x:c r="L1578" s="8"/>
      <x:c r="M1578" s="10"/>
      <x:c r="N1578" s="10"/>
      <x:c r="O1578" s="8"/>
      <x:c r="P1578" s="9" t="str">
        <x:f>IF(C1578="","",IF(AND(G1578="Applicable",H1578="Fail"),"Fail",IF(R1578&lt;&gt;"Valid","Pending",IF(OR(I1578="",K1578="",L1578="",K1578=L1578,NOT(ISNUMBER(M1578)),NOT(ISNUMBER(N1578)),M1578&gt;Settings!$F$8,N1578&lt;Settings!$F$8,N1578&lt;M1578),"Pending",IF(AND(G1578="Applicable",H1578="Pass"),"Pass",IF(AND(G1578="N/A",H1578="N/A",J1578&lt;&gt;"",OR(E1578="CEM-FUELS",E1578="CEM-CCS",AND(E1578="CEM-PLAN",IFERROR(INDEX('Taxonomy'!$M$9:$M$108,MATCH(D1578,'Taxonomy'!$C$9:$C$108,0)),"")&lt;&gt;"Amber"),E1578="BLD-TIMBER",AND(U1578="Building equipment",OR(E1578="BLD-WATER",E1578="BLD-WASTE",E1578="BLD-LAND")),AND(U1578="Building renovation",E1578="BLD-LAND"))),"N/A","Pending"))))))</x:f>
      </x:c>
      <x:c r="Q1578" s="3" t="str">
        <x:f>IF(C1578="","",IF(AND(R1578="Valid",OR(P1578="Pass",P1578="N/A")),"Complete","Unresolved"))</x:f>
      </x:c>
      <x:c r="R1578" s="9" t="str">
        <x:f>IF(C1578="","",IF(OR(COUNTIF($C$9:$C$2008,C1578)&lt;&gt;1,COUNTIFS($D$9:$D$2008,D1578,$E$9:$E$2008,E1578)&lt;&gt;1),"Duplicate test",IF(COUNTIF('Taxonomy'!$C$9:$C$108,D1578)&lt;&gt;1,"Assessment key",IF(OR(COUNTIF('Taxonomy Rules'!$C$42:$C$68,E1578)&lt;&gt;1,F1578&lt;&gt;IFERROR(INDEX('Taxonomy Rules'!$D$42:$D$68,MATCH(E1578,'Taxonomy Rules'!$C$42:$C$68,0)),""),NOT(OR(IFERROR(INDEX('Taxonomy Rules'!$G$42:$G$68,MATCH(E1578,'Taxonomy Rules'!$C$42:$C$68,0)),"")="All supported routes",IFERROR(INDEX('Taxonomy Rules'!$G$42:$G$68,MATCH(E1578,'Taxonomy Rules'!$C$42:$C$68,0)),"")=U1578,AND(IFERROR(INDEX('Taxonomy Rules'!$G$42:$G$68,MATCH(E1578,'Taxonomy Rules'!$C$42:$C$68,0)),"")="Building routes",OR(U1578="Building renovation",U1578="New building",U1578="Building equipment"))))),"Unexpected test","Valid"))))</x:f>
      </x:c>
      <x:c r="S1578" s="9" t="str">
        <x:f>IF(C1578="","",IFERROR(INDEX('Taxonomy Rules'!$E$42:$E$68,MATCH(E1578,'Taxonomy Rules'!$C$42:$C$68,0)),""))</x:f>
      </x:c>
      <x:c r="T1578" s="9" t="str">
        <x:f>IF(C1578="","",IFERROR(INDEX('Taxonomy Rules'!$F$42:$F$68,MATCH(E1578,'Taxonomy Rules'!$C$42:$C$68,0)),""))</x:f>
      </x:c>
      <x:c r="U1578" s="9" t="str">
        <x:f>IF(C1578="","",IFERROR(INDEX('Taxonomy'!$G$9:$G$108,MATCH(D1578,'Taxonomy'!$C$9:$C$108,0)),""))</x:f>
      </x:c>
    </x:row>
    <x:row r="1579" ht="44" customHeight="1">
      <x:c r="A1579" s="1"/>
      <x:c r="B1579" s="1"/>
      <x:c r="C1579" s="8"/>
      <x:c r="D1579" s="8"/>
      <x:c r="E1579" s="8"/>
      <x:c r="F1579" s="8"/>
      <x:c r="G1579" s="8"/>
      <x:c r="H1579" s="8"/>
      <x:c r="I1579" s="8"/>
      <x:c r="J1579" s="8"/>
      <x:c r="K1579" s="8"/>
      <x:c r="L1579" s="8"/>
      <x:c r="M1579" s="10"/>
      <x:c r="N1579" s="10"/>
      <x:c r="O1579" s="8"/>
      <x:c r="P1579" s="9" t="str">
        <x:f>IF(C1579="","",IF(AND(G1579="Applicable",H1579="Fail"),"Fail",IF(R1579&lt;&gt;"Valid","Pending",IF(OR(I1579="",K1579="",L1579="",K1579=L1579,NOT(ISNUMBER(M1579)),NOT(ISNUMBER(N1579)),M1579&gt;Settings!$F$8,N1579&lt;Settings!$F$8,N1579&lt;M1579),"Pending",IF(AND(G1579="Applicable",H1579="Pass"),"Pass",IF(AND(G1579="N/A",H1579="N/A",J1579&lt;&gt;"",OR(E1579="CEM-FUELS",E1579="CEM-CCS",AND(E1579="CEM-PLAN",IFERROR(INDEX('Taxonomy'!$M$9:$M$108,MATCH(D1579,'Taxonomy'!$C$9:$C$108,0)),"")&lt;&gt;"Amber"),E1579="BLD-TIMBER",AND(U1579="Building equipment",OR(E1579="BLD-WATER",E1579="BLD-WASTE",E1579="BLD-LAND")),AND(U1579="Building renovation",E1579="BLD-LAND"))),"N/A","Pending"))))))</x:f>
      </x:c>
      <x:c r="Q1579" s="3" t="str">
        <x:f>IF(C1579="","",IF(AND(R1579="Valid",OR(P1579="Pass",P1579="N/A")),"Complete","Unresolved"))</x:f>
      </x:c>
      <x:c r="R1579" s="9" t="str">
        <x:f>IF(C1579="","",IF(OR(COUNTIF($C$9:$C$2008,C1579)&lt;&gt;1,COUNTIFS($D$9:$D$2008,D1579,$E$9:$E$2008,E1579)&lt;&gt;1),"Duplicate test",IF(COUNTIF('Taxonomy'!$C$9:$C$108,D1579)&lt;&gt;1,"Assessment key",IF(OR(COUNTIF('Taxonomy Rules'!$C$42:$C$68,E1579)&lt;&gt;1,F1579&lt;&gt;IFERROR(INDEX('Taxonomy Rules'!$D$42:$D$68,MATCH(E1579,'Taxonomy Rules'!$C$42:$C$68,0)),""),NOT(OR(IFERROR(INDEX('Taxonomy Rules'!$G$42:$G$68,MATCH(E1579,'Taxonomy Rules'!$C$42:$C$68,0)),"")="All supported routes",IFERROR(INDEX('Taxonomy Rules'!$G$42:$G$68,MATCH(E1579,'Taxonomy Rules'!$C$42:$C$68,0)),"")=U1579,AND(IFERROR(INDEX('Taxonomy Rules'!$G$42:$G$68,MATCH(E1579,'Taxonomy Rules'!$C$42:$C$68,0)),"")="Building routes",OR(U1579="Building renovation",U1579="New building",U1579="Building equipment"))))),"Unexpected test","Valid"))))</x:f>
      </x:c>
      <x:c r="S1579" s="9" t="str">
        <x:f>IF(C1579="","",IFERROR(INDEX('Taxonomy Rules'!$E$42:$E$68,MATCH(E1579,'Taxonomy Rules'!$C$42:$C$68,0)),""))</x:f>
      </x:c>
      <x:c r="T1579" s="9" t="str">
        <x:f>IF(C1579="","",IFERROR(INDEX('Taxonomy Rules'!$F$42:$F$68,MATCH(E1579,'Taxonomy Rules'!$C$42:$C$68,0)),""))</x:f>
      </x:c>
      <x:c r="U1579" s="9" t="str">
        <x:f>IF(C1579="","",IFERROR(INDEX('Taxonomy'!$G$9:$G$108,MATCH(D1579,'Taxonomy'!$C$9:$C$108,0)),""))</x:f>
      </x:c>
    </x:row>
    <x:row r="1580" ht="44" customHeight="1">
      <x:c r="A1580" s="1"/>
      <x:c r="B1580" s="1"/>
      <x:c r="C1580" s="8"/>
      <x:c r="D1580" s="8"/>
      <x:c r="E1580" s="8"/>
      <x:c r="F1580" s="8"/>
      <x:c r="G1580" s="8"/>
      <x:c r="H1580" s="8"/>
      <x:c r="I1580" s="8"/>
      <x:c r="J1580" s="8"/>
      <x:c r="K1580" s="8"/>
      <x:c r="L1580" s="8"/>
      <x:c r="M1580" s="10"/>
      <x:c r="N1580" s="10"/>
      <x:c r="O1580" s="8"/>
      <x:c r="P1580" s="9" t="str">
        <x:f>IF(C1580="","",IF(AND(G1580="Applicable",H1580="Fail"),"Fail",IF(R1580&lt;&gt;"Valid","Pending",IF(OR(I1580="",K1580="",L1580="",K1580=L1580,NOT(ISNUMBER(M1580)),NOT(ISNUMBER(N1580)),M1580&gt;Settings!$F$8,N1580&lt;Settings!$F$8,N1580&lt;M1580),"Pending",IF(AND(G1580="Applicable",H1580="Pass"),"Pass",IF(AND(G1580="N/A",H1580="N/A",J1580&lt;&gt;"",OR(E1580="CEM-FUELS",E1580="CEM-CCS",AND(E1580="CEM-PLAN",IFERROR(INDEX('Taxonomy'!$M$9:$M$108,MATCH(D1580,'Taxonomy'!$C$9:$C$108,0)),"")&lt;&gt;"Amber"),E1580="BLD-TIMBER",AND(U1580="Building equipment",OR(E1580="BLD-WATER",E1580="BLD-WASTE",E1580="BLD-LAND")),AND(U1580="Building renovation",E1580="BLD-LAND"))),"N/A","Pending"))))))</x:f>
      </x:c>
      <x:c r="Q1580" s="3" t="str">
        <x:f>IF(C1580="","",IF(AND(R1580="Valid",OR(P1580="Pass",P1580="N/A")),"Complete","Unresolved"))</x:f>
      </x:c>
      <x:c r="R1580" s="9" t="str">
        <x:f>IF(C1580="","",IF(OR(COUNTIF($C$9:$C$2008,C1580)&lt;&gt;1,COUNTIFS($D$9:$D$2008,D1580,$E$9:$E$2008,E1580)&lt;&gt;1),"Duplicate test",IF(COUNTIF('Taxonomy'!$C$9:$C$108,D1580)&lt;&gt;1,"Assessment key",IF(OR(COUNTIF('Taxonomy Rules'!$C$42:$C$68,E1580)&lt;&gt;1,F1580&lt;&gt;IFERROR(INDEX('Taxonomy Rules'!$D$42:$D$68,MATCH(E1580,'Taxonomy Rules'!$C$42:$C$68,0)),""),NOT(OR(IFERROR(INDEX('Taxonomy Rules'!$G$42:$G$68,MATCH(E1580,'Taxonomy Rules'!$C$42:$C$68,0)),"")="All supported routes",IFERROR(INDEX('Taxonomy Rules'!$G$42:$G$68,MATCH(E1580,'Taxonomy Rules'!$C$42:$C$68,0)),"")=U1580,AND(IFERROR(INDEX('Taxonomy Rules'!$G$42:$G$68,MATCH(E1580,'Taxonomy Rules'!$C$42:$C$68,0)),"")="Building routes",OR(U1580="Building renovation",U1580="New building",U1580="Building equipment"))))),"Unexpected test","Valid"))))</x:f>
      </x:c>
      <x:c r="S1580" s="9" t="str">
        <x:f>IF(C1580="","",IFERROR(INDEX('Taxonomy Rules'!$E$42:$E$68,MATCH(E1580,'Taxonomy Rules'!$C$42:$C$68,0)),""))</x:f>
      </x:c>
      <x:c r="T1580" s="9" t="str">
        <x:f>IF(C1580="","",IFERROR(INDEX('Taxonomy Rules'!$F$42:$F$68,MATCH(E1580,'Taxonomy Rules'!$C$42:$C$68,0)),""))</x:f>
      </x:c>
      <x:c r="U1580" s="9" t="str">
        <x:f>IF(C1580="","",IFERROR(INDEX('Taxonomy'!$G$9:$G$108,MATCH(D1580,'Taxonomy'!$C$9:$C$108,0)),""))</x:f>
      </x:c>
    </x:row>
    <x:row r="1581" ht="44" customHeight="1">
      <x:c r="A1581" s="1"/>
      <x:c r="B1581" s="1"/>
      <x:c r="C1581" s="8"/>
      <x:c r="D1581" s="8"/>
      <x:c r="E1581" s="8"/>
      <x:c r="F1581" s="8"/>
      <x:c r="G1581" s="8"/>
      <x:c r="H1581" s="8"/>
      <x:c r="I1581" s="8"/>
      <x:c r="J1581" s="8"/>
      <x:c r="K1581" s="8"/>
      <x:c r="L1581" s="8"/>
      <x:c r="M1581" s="10"/>
      <x:c r="N1581" s="10"/>
      <x:c r="O1581" s="8"/>
      <x:c r="P1581" s="9" t="str">
        <x:f>IF(C1581="","",IF(AND(G1581="Applicable",H1581="Fail"),"Fail",IF(R1581&lt;&gt;"Valid","Pending",IF(OR(I1581="",K1581="",L1581="",K1581=L1581,NOT(ISNUMBER(M1581)),NOT(ISNUMBER(N1581)),M1581&gt;Settings!$F$8,N1581&lt;Settings!$F$8,N1581&lt;M1581),"Pending",IF(AND(G1581="Applicable",H1581="Pass"),"Pass",IF(AND(G1581="N/A",H1581="N/A",J1581&lt;&gt;"",OR(E1581="CEM-FUELS",E1581="CEM-CCS",AND(E1581="CEM-PLAN",IFERROR(INDEX('Taxonomy'!$M$9:$M$108,MATCH(D1581,'Taxonomy'!$C$9:$C$108,0)),"")&lt;&gt;"Amber"),E1581="BLD-TIMBER",AND(U1581="Building equipment",OR(E1581="BLD-WATER",E1581="BLD-WASTE",E1581="BLD-LAND")),AND(U1581="Building renovation",E1581="BLD-LAND"))),"N/A","Pending"))))))</x:f>
      </x:c>
      <x:c r="Q1581" s="3" t="str">
        <x:f>IF(C1581="","",IF(AND(R1581="Valid",OR(P1581="Pass",P1581="N/A")),"Complete","Unresolved"))</x:f>
      </x:c>
      <x:c r="R1581" s="9" t="str">
        <x:f>IF(C1581="","",IF(OR(COUNTIF($C$9:$C$2008,C1581)&lt;&gt;1,COUNTIFS($D$9:$D$2008,D1581,$E$9:$E$2008,E1581)&lt;&gt;1),"Duplicate test",IF(COUNTIF('Taxonomy'!$C$9:$C$108,D1581)&lt;&gt;1,"Assessment key",IF(OR(COUNTIF('Taxonomy Rules'!$C$42:$C$68,E1581)&lt;&gt;1,F1581&lt;&gt;IFERROR(INDEX('Taxonomy Rules'!$D$42:$D$68,MATCH(E1581,'Taxonomy Rules'!$C$42:$C$68,0)),""),NOT(OR(IFERROR(INDEX('Taxonomy Rules'!$G$42:$G$68,MATCH(E1581,'Taxonomy Rules'!$C$42:$C$68,0)),"")="All supported routes",IFERROR(INDEX('Taxonomy Rules'!$G$42:$G$68,MATCH(E1581,'Taxonomy Rules'!$C$42:$C$68,0)),"")=U1581,AND(IFERROR(INDEX('Taxonomy Rules'!$G$42:$G$68,MATCH(E1581,'Taxonomy Rules'!$C$42:$C$68,0)),"")="Building routes",OR(U1581="Building renovation",U1581="New building",U1581="Building equipment"))))),"Unexpected test","Valid"))))</x:f>
      </x:c>
      <x:c r="S1581" s="9" t="str">
        <x:f>IF(C1581="","",IFERROR(INDEX('Taxonomy Rules'!$E$42:$E$68,MATCH(E1581,'Taxonomy Rules'!$C$42:$C$68,0)),""))</x:f>
      </x:c>
      <x:c r="T1581" s="9" t="str">
        <x:f>IF(C1581="","",IFERROR(INDEX('Taxonomy Rules'!$F$42:$F$68,MATCH(E1581,'Taxonomy Rules'!$C$42:$C$68,0)),""))</x:f>
      </x:c>
      <x:c r="U1581" s="9" t="str">
        <x:f>IF(C1581="","",IFERROR(INDEX('Taxonomy'!$G$9:$G$108,MATCH(D1581,'Taxonomy'!$C$9:$C$108,0)),""))</x:f>
      </x:c>
    </x:row>
    <x:row r="1582" ht="44" customHeight="1">
      <x:c r="A1582" s="1"/>
      <x:c r="B1582" s="1"/>
      <x:c r="C1582" s="8"/>
      <x:c r="D1582" s="8"/>
      <x:c r="E1582" s="8"/>
      <x:c r="F1582" s="8"/>
      <x:c r="G1582" s="8"/>
      <x:c r="H1582" s="8"/>
      <x:c r="I1582" s="8"/>
      <x:c r="J1582" s="8"/>
      <x:c r="K1582" s="8"/>
      <x:c r="L1582" s="8"/>
      <x:c r="M1582" s="10"/>
      <x:c r="N1582" s="10"/>
      <x:c r="O1582" s="8"/>
      <x:c r="P1582" s="9" t="str">
        <x:f>IF(C1582="","",IF(AND(G1582="Applicable",H1582="Fail"),"Fail",IF(R1582&lt;&gt;"Valid","Pending",IF(OR(I1582="",K1582="",L1582="",K1582=L1582,NOT(ISNUMBER(M1582)),NOT(ISNUMBER(N1582)),M1582&gt;Settings!$F$8,N1582&lt;Settings!$F$8,N1582&lt;M1582),"Pending",IF(AND(G1582="Applicable",H1582="Pass"),"Pass",IF(AND(G1582="N/A",H1582="N/A",J1582&lt;&gt;"",OR(E1582="CEM-FUELS",E1582="CEM-CCS",AND(E1582="CEM-PLAN",IFERROR(INDEX('Taxonomy'!$M$9:$M$108,MATCH(D1582,'Taxonomy'!$C$9:$C$108,0)),"")&lt;&gt;"Amber"),E1582="BLD-TIMBER",AND(U1582="Building equipment",OR(E1582="BLD-WATER",E1582="BLD-WASTE",E1582="BLD-LAND")),AND(U1582="Building renovation",E1582="BLD-LAND"))),"N/A","Pending"))))))</x:f>
      </x:c>
      <x:c r="Q1582" s="3" t="str">
        <x:f>IF(C1582="","",IF(AND(R1582="Valid",OR(P1582="Pass",P1582="N/A")),"Complete","Unresolved"))</x:f>
      </x:c>
      <x:c r="R1582" s="9" t="str">
        <x:f>IF(C1582="","",IF(OR(COUNTIF($C$9:$C$2008,C1582)&lt;&gt;1,COUNTIFS($D$9:$D$2008,D1582,$E$9:$E$2008,E1582)&lt;&gt;1),"Duplicate test",IF(COUNTIF('Taxonomy'!$C$9:$C$108,D1582)&lt;&gt;1,"Assessment key",IF(OR(COUNTIF('Taxonomy Rules'!$C$42:$C$68,E1582)&lt;&gt;1,F1582&lt;&gt;IFERROR(INDEX('Taxonomy Rules'!$D$42:$D$68,MATCH(E1582,'Taxonomy Rules'!$C$42:$C$68,0)),""),NOT(OR(IFERROR(INDEX('Taxonomy Rules'!$G$42:$G$68,MATCH(E1582,'Taxonomy Rules'!$C$42:$C$68,0)),"")="All supported routes",IFERROR(INDEX('Taxonomy Rules'!$G$42:$G$68,MATCH(E1582,'Taxonomy Rules'!$C$42:$C$68,0)),"")=U1582,AND(IFERROR(INDEX('Taxonomy Rules'!$G$42:$G$68,MATCH(E1582,'Taxonomy Rules'!$C$42:$C$68,0)),"")="Building routes",OR(U1582="Building renovation",U1582="New building",U1582="Building equipment"))))),"Unexpected test","Valid"))))</x:f>
      </x:c>
      <x:c r="S1582" s="9" t="str">
        <x:f>IF(C1582="","",IFERROR(INDEX('Taxonomy Rules'!$E$42:$E$68,MATCH(E1582,'Taxonomy Rules'!$C$42:$C$68,0)),""))</x:f>
      </x:c>
      <x:c r="T1582" s="9" t="str">
        <x:f>IF(C1582="","",IFERROR(INDEX('Taxonomy Rules'!$F$42:$F$68,MATCH(E1582,'Taxonomy Rules'!$C$42:$C$68,0)),""))</x:f>
      </x:c>
      <x:c r="U1582" s="9" t="str">
        <x:f>IF(C1582="","",IFERROR(INDEX('Taxonomy'!$G$9:$G$108,MATCH(D1582,'Taxonomy'!$C$9:$C$108,0)),""))</x:f>
      </x:c>
    </x:row>
    <x:row r="1583" ht="44" customHeight="1">
      <x:c r="A1583" s="1"/>
      <x:c r="B1583" s="1"/>
      <x:c r="C1583" s="8"/>
      <x:c r="D1583" s="8"/>
      <x:c r="E1583" s="8"/>
      <x:c r="F1583" s="8"/>
      <x:c r="G1583" s="8"/>
      <x:c r="H1583" s="8"/>
      <x:c r="I1583" s="8"/>
      <x:c r="J1583" s="8"/>
      <x:c r="K1583" s="8"/>
      <x:c r="L1583" s="8"/>
      <x:c r="M1583" s="10"/>
      <x:c r="N1583" s="10"/>
      <x:c r="O1583" s="8"/>
      <x:c r="P1583" s="9" t="str">
        <x:f>IF(C1583="","",IF(AND(G1583="Applicable",H1583="Fail"),"Fail",IF(R1583&lt;&gt;"Valid","Pending",IF(OR(I1583="",K1583="",L1583="",K1583=L1583,NOT(ISNUMBER(M1583)),NOT(ISNUMBER(N1583)),M1583&gt;Settings!$F$8,N1583&lt;Settings!$F$8,N1583&lt;M1583),"Pending",IF(AND(G1583="Applicable",H1583="Pass"),"Pass",IF(AND(G1583="N/A",H1583="N/A",J1583&lt;&gt;"",OR(E1583="CEM-FUELS",E1583="CEM-CCS",AND(E1583="CEM-PLAN",IFERROR(INDEX('Taxonomy'!$M$9:$M$108,MATCH(D1583,'Taxonomy'!$C$9:$C$108,0)),"")&lt;&gt;"Amber"),E1583="BLD-TIMBER",AND(U1583="Building equipment",OR(E1583="BLD-WATER",E1583="BLD-WASTE",E1583="BLD-LAND")),AND(U1583="Building renovation",E1583="BLD-LAND"))),"N/A","Pending"))))))</x:f>
      </x:c>
      <x:c r="Q1583" s="3" t="str">
        <x:f>IF(C1583="","",IF(AND(R1583="Valid",OR(P1583="Pass",P1583="N/A")),"Complete","Unresolved"))</x:f>
      </x:c>
      <x:c r="R1583" s="9" t="str">
        <x:f>IF(C1583="","",IF(OR(COUNTIF($C$9:$C$2008,C1583)&lt;&gt;1,COUNTIFS($D$9:$D$2008,D1583,$E$9:$E$2008,E1583)&lt;&gt;1),"Duplicate test",IF(COUNTIF('Taxonomy'!$C$9:$C$108,D1583)&lt;&gt;1,"Assessment key",IF(OR(COUNTIF('Taxonomy Rules'!$C$42:$C$68,E1583)&lt;&gt;1,F1583&lt;&gt;IFERROR(INDEX('Taxonomy Rules'!$D$42:$D$68,MATCH(E1583,'Taxonomy Rules'!$C$42:$C$68,0)),""),NOT(OR(IFERROR(INDEX('Taxonomy Rules'!$G$42:$G$68,MATCH(E1583,'Taxonomy Rules'!$C$42:$C$68,0)),"")="All supported routes",IFERROR(INDEX('Taxonomy Rules'!$G$42:$G$68,MATCH(E1583,'Taxonomy Rules'!$C$42:$C$68,0)),"")=U1583,AND(IFERROR(INDEX('Taxonomy Rules'!$G$42:$G$68,MATCH(E1583,'Taxonomy Rules'!$C$42:$C$68,0)),"")="Building routes",OR(U1583="Building renovation",U1583="New building",U1583="Building equipment"))))),"Unexpected test","Valid"))))</x:f>
      </x:c>
      <x:c r="S1583" s="9" t="str">
        <x:f>IF(C1583="","",IFERROR(INDEX('Taxonomy Rules'!$E$42:$E$68,MATCH(E1583,'Taxonomy Rules'!$C$42:$C$68,0)),""))</x:f>
      </x:c>
      <x:c r="T1583" s="9" t="str">
        <x:f>IF(C1583="","",IFERROR(INDEX('Taxonomy Rules'!$F$42:$F$68,MATCH(E1583,'Taxonomy Rules'!$C$42:$C$68,0)),""))</x:f>
      </x:c>
      <x:c r="U1583" s="9" t="str">
        <x:f>IF(C1583="","",IFERROR(INDEX('Taxonomy'!$G$9:$G$108,MATCH(D1583,'Taxonomy'!$C$9:$C$108,0)),""))</x:f>
      </x:c>
    </x:row>
    <x:row r="1584" ht="44" customHeight="1">
      <x:c r="A1584" s="1"/>
      <x:c r="B1584" s="1"/>
      <x:c r="C1584" s="8"/>
      <x:c r="D1584" s="8"/>
      <x:c r="E1584" s="8"/>
      <x:c r="F1584" s="8"/>
      <x:c r="G1584" s="8"/>
      <x:c r="H1584" s="8"/>
      <x:c r="I1584" s="8"/>
      <x:c r="J1584" s="8"/>
      <x:c r="K1584" s="8"/>
      <x:c r="L1584" s="8"/>
      <x:c r="M1584" s="10"/>
      <x:c r="N1584" s="10"/>
      <x:c r="O1584" s="8"/>
      <x:c r="P1584" s="9" t="str">
        <x:f>IF(C1584="","",IF(AND(G1584="Applicable",H1584="Fail"),"Fail",IF(R1584&lt;&gt;"Valid","Pending",IF(OR(I1584="",K1584="",L1584="",K1584=L1584,NOT(ISNUMBER(M1584)),NOT(ISNUMBER(N1584)),M1584&gt;Settings!$F$8,N1584&lt;Settings!$F$8,N1584&lt;M1584),"Pending",IF(AND(G1584="Applicable",H1584="Pass"),"Pass",IF(AND(G1584="N/A",H1584="N/A",J1584&lt;&gt;"",OR(E1584="CEM-FUELS",E1584="CEM-CCS",AND(E1584="CEM-PLAN",IFERROR(INDEX('Taxonomy'!$M$9:$M$108,MATCH(D1584,'Taxonomy'!$C$9:$C$108,0)),"")&lt;&gt;"Amber"),E1584="BLD-TIMBER",AND(U1584="Building equipment",OR(E1584="BLD-WATER",E1584="BLD-WASTE",E1584="BLD-LAND")),AND(U1584="Building renovation",E1584="BLD-LAND"))),"N/A","Pending"))))))</x:f>
      </x:c>
      <x:c r="Q1584" s="3" t="str">
        <x:f>IF(C1584="","",IF(AND(R1584="Valid",OR(P1584="Pass",P1584="N/A")),"Complete","Unresolved"))</x:f>
      </x:c>
      <x:c r="R1584" s="9" t="str">
        <x:f>IF(C1584="","",IF(OR(COUNTIF($C$9:$C$2008,C1584)&lt;&gt;1,COUNTIFS($D$9:$D$2008,D1584,$E$9:$E$2008,E1584)&lt;&gt;1),"Duplicate test",IF(COUNTIF('Taxonomy'!$C$9:$C$108,D1584)&lt;&gt;1,"Assessment key",IF(OR(COUNTIF('Taxonomy Rules'!$C$42:$C$68,E1584)&lt;&gt;1,F1584&lt;&gt;IFERROR(INDEX('Taxonomy Rules'!$D$42:$D$68,MATCH(E1584,'Taxonomy Rules'!$C$42:$C$68,0)),""),NOT(OR(IFERROR(INDEX('Taxonomy Rules'!$G$42:$G$68,MATCH(E1584,'Taxonomy Rules'!$C$42:$C$68,0)),"")="All supported routes",IFERROR(INDEX('Taxonomy Rules'!$G$42:$G$68,MATCH(E1584,'Taxonomy Rules'!$C$42:$C$68,0)),"")=U1584,AND(IFERROR(INDEX('Taxonomy Rules'!$G$42:$G$68,MATCH(E1584,'Taxonomy Rules'!$C$42:$C$68,0)),"")="Building routes",OR(U1584="Building renovation",U1584="New building",U1584="Building equipment"))))),"Unexpected test","Valid"))))</x:f>
      </x:c>
      <x:c r="S1584" s="9" t="str">
        <x:f>IF(C1584="","",IFERROR(INDEX('Taxonomy Rules'!$E$42:$E$68,MATCH(E1584,'Taxonomy Rules'!$C$42:$C$68,0)),""))</x:f>
      </x:c>
      <x:c r="T1584" s="9" t="str">
        <x:f>IF(C1584="","",IFERROR(INDEX('Taxonomy Rules'!$F$42:$F$68,MATCH(E1584,'Taxonomy Rules'!$C$42:$C$68,0)),""))</x:f>
      </x:c>
      <x:c r="U1584" s="9" t="str">
        <x:f>IF(C1584="","",IFERROR(INDEX('Taxonomy'!$G$9:$G$108,MATCH(D1584,'Taxonomy'!$C$9:$C$108,0)),""))</x:f>
      </x:c>
    </x:row>
    <x:row r="1585" ht="44" customHeight="1">
      <x:c r="A1585" s="1"/>
      <x:c r="B1585" s="1"/>
      <x:c r="C1585" s="8"/>
      <x:c r="D1585" s="8"/>
      <x:c r="E1585" s="8"/>
      <x:c r="F1585" s="8"/>
      <x:c r="G1585" s="8"/>
      <x:c r="H1585" s="8"/>
      <x:c r="I1585" s="8"/>
      <x:c r="J1585" s="8"/>
      <x:c r="K1585" s="8"/>
      <x:c r="L1585" s="8"/>
      <x:c r="M1585" s="10"/>
      <x:c r="N1585" s="10"/>
      <x:c r="O1585" s="8"/>
      <x:c r="P1585" s="9" t="str">
        <x:f>IF(C1585="","",IF(AND(G1585="Applicable",H1585="Fail"),"Fail",IF(R1585&lt;&gt;"Valid","Pending",IF(OR(I1585="",K1585="",L1585="",K1585=L1585,NOT(ISNUMBER(M1585)),NOT(ISNUMBER(N1585)),M1585&gt;Settings!$F$8,N1585&lt;Settings!$F$8,N1585&lt;M1585),"Pending",IF(AND(G1585="Applicable",H1585="Pass"),"Pass",IF(AND(G1585="N/A",H1585="N/A",J1585&lt;&gt;"",OR(E1585="CEM-FUELS",E1585="CEM-CCS",AND(E1585="CEM-PLAN",IFERROR(INDEX('Taxonomy'!$M$9:$M$108,MATCH(D1585,'Taxonomy'!$C$9:$C$108,0)),"")&lt;&gt;"Amber"),E1585="BLD-TIMBER",AND(U1585="Building equipment",OR(E1585="BLD-WATER",E1585="BLD-WASTE",E1585="BLD-LAND")),AND(U1585="Building renovation",E1585="BLD-LAND"))),"N/A","Pending"))))))</x:f>
      </x:c>
      <x:c r="Q1585" s="3" t="str">
        <x:f>IF(C1585="","",IF(AND(R1585="Valid",OR(P1585="Pass",P1585="N/A")),"Complete","Unresolved"))</x:f>
      </x:c>
      <x:c r="R1585" s="9" t="str">
        <x:f>IF(C1585="","",IF(OR(COUNTIF($C$9:$C$2008,C1585)&lt;&gt;1,COUNTIFS($D$9:$D$2008,D1585,$E$9:$E$2008,E1585)&lt;&gt;1),"Duplicate test",IF(COUNTIF('Taxonomy'!$C$9:$C$108,D1585)&lt;&gt;1,"Assessment key",IF(OR(COUNTIF('Taxonomy Rules'!$C$42:$C$68,E1585)&lt;&gt;1,F1585&lt;&gt;IFERROR(INDEX('Taxonomy Rules'!$D$42:$D$68,MATCH(E1585,'Taxonomy Rules'!$C$42:$C$68,0)),""),NOT(OR(IFERROR(INDEX('Taxonomy Rules'!$G$42:$G$68,MATCH(E1585,'Taxonomy Rules'!$C$42:$C$68,0)),"")="All supported routes",IFERROR(INDEX('Taxonomy Rules'!$G$42:$G$68,MATCH(E1585,'Taxonomy Rules'!$C$42:$C$68,0)),"")=U1585,AND(IFERROR(INDEX('Taxonomy Rules'!$G$42:$G$68,MATCH(E1585,'Taxonomy Rules'!$C$42:$C$68,0)),"")="Building routes",OR(U1585="Building renovation",U1585="New building",U1585="Building equipment"))))),"Unexpected test","Valid"))))</x:f>
      </x:c>
      <x:c r="S1585" s="9" t="str">
        <x:f>IF(C1585="","",IFERROR(INDEX('Taxonomy Rules'!$E$42:$E$68,MATCH(E1585,'Taxonomy Rules'!$C$42:$C$68,0)),""))</x:f>
      </x:c>
      <x:c r="T1585" s="9" t="str">
        <x:f>IF(C1585="","",IFERROR(INDEX('Taxonomy Rules'!$F$42:$F$68,MATCH(E1585,'Taxonomy Rules'!$C$42:$C$68,0)),""))</x:f>
      </x:c>
      <x:c r="U1585" s="9" t="str">
        <x:f>IF(C1585="","",IFERROR(INDEX('Taxonomy'!$G$9:$G$108,MATCH(D1585,'Taxonomy'!$C$9:$C$108,0)),""))</x:f>
      </x:c>
    </x:row>
    <x:row r="1586" ht="44" customHeight="1">
      <x:c r="A1586" s="1"/>
      <x:c r="B1586" s="1"/>
      <x:c r="C1586" s="8"/>
      <x:c r="D1586" s="8"/>
      <x:c r="E1586" s="8"/>
      <x:c r="F1586" s="8"/>
      <x:c r="G1586" s="8"/>
      <x:c r="H1586" s="8"/>
      <x:c r="I1586" s="8"/>
      <x:c r="J1586" s="8"/>
      <x:c r="K1586" s="8"/>
      <x:c r="L1586" s="8"/>
      <x:c r="M1586" s="10"/>
      <x:c r="N1586" s="10"/>
      <x:c r="O1586" s="8"/>
      <x:c r="P1586" s="9" t="str">
        <x:f>IF(C1586="","",IF(AND(G1586="Applicable",H1586="Fail"),"Fail",IF(R1586&lt;&gt;"Valid","Pending",IF(OR(I1586="",K1586="",L1586="",K1586=L1586,NOT(ISNUMBER(M1586)),NOT(ISNUMBER(N1586)),M1586&gt;Settings!$F$8,N1586&lt;Settings!$F$8,N1586&lt;M1586),"Pending",IF(AND(G1586="Applicable",H1586="Pass"),"Pass",IF(AND(G1586="N/A",H1586="N/A",J1586&lt;&gt;"",OR(E1586="CEM-FUELS",E1586="CEM-CCS",AND(E1586="CEM-PLAN",IFERROR(INDEX('Taxonomy'!$M$9:$M$108,MATCH(D1586,'Taxonomy'!$C$9:$C$108,0)),"")&lt;&gt;"Amber"),E1586="BLD-TIMBER",AND(U1586="Building equipment",OR(E1586="BLD-WATER",E1586="BLD-WASTE",E1586="BLD-LAND")),AND(U1586="Building renovation",E1586="BLD-LAND"))),"N/A","Pending"))))))</x:f>
      </x:c>
      <x:c r="Q1586" s="3" t="str">
        <x:f>IF(C1586="","",IF(AND(R1586="Valid",OR(P1586="Pass",P1586="N/A")),"Complete","Unresolved"))</x:f>
      </x:c>
      <x:c r="R1586" s="9" t="str">
        <x:f>IF(C1586="","",IF(OR(COUNTIF($C$9:$C$2008,C1586)&lt;&gt;1,COUNTIFS($D$9:$D$2008,D1586,$E$9:$E$2008,E1586)&lt;&gt;1),"Duplicate test",IF(COUNTIF('Taxonomy'!$C$9:$C$108,D1586)&lt;&gt;1,"Assessment key",IF(OR(COUNTIF('Taxonomy Rules'!$C$42:$C$68,E1586)&lt;&gt;1,F1586&lt;&gt;IFERROR(INDEX('Taxonomy Rules'!$D$42:$D$68,MATCH(E1586,'Taxonomy Rules'!$C$42:$C$68,0)),""),NOT(OR(IFERROR(INDEX('Taxonomy Rules'!$G$42:$G$68,MATCH(E1586,'Taxonomy Rules'!$C$42:$C$68,0)),"")="All supported routes",IFERROR(INDEX('Taxonomy Rules'!$G$42:$G$68,MATCH(E1586,'Taxonomy Rules'!$C$42:$C$68,0)),"")=U1586,AND(IFERROR(INDEX('Taxonomy Rules'!$G$42:$G$68,MATCH(E1586,'Taxonomy Rules'!$C$42:$C$68,0)),"")="Building routes",OR(U1586="Building renovation",U1586="New building",U1586="Building equipment"))))),"Unexpected test","Valid"))))</x:f>
      </x:c>
      <x:c r="S1586" s="9" t="str">
        <x:f>IF(C1586="","",IFERROR(INDEX('Taxonomy Rules'!$E$42:$E$68,MATCH(E1586,'Taxonomy Rules'!$C$42:$C$68,0)),""))</x:f>
      </x:c>
      <x:c r="T1586" s="9" t="str">
        <x:f>IF(C1586="","",IFERROR(INDEX('Taxonomy Rules'!$F$42:$F$68,MATCH(E1586,'Taxonomy Rules'!$C$42:$C$68,0)),""))</x:f>
      </x:c>
      <x:c r="U1586" s="9" t="str">
        <x:f>IF(C1586="","",IFERROR(INDEX('Taxonomy'!$G$9:$G$108,MATCH(D1586,'Taxonomy'!$C$9:$C$108,0)),""))</x:f>
      </x:c>
    </x:row>
    <x:row r="1587" ht="44" customHeight="1">
      <x:c r="A1587" s="1"/>
      <x:c r="B1587" s="1"/>
      <x:c r="C1587" s="8"/>
      <x:c r="D1587" s="8"/>
      <x:c r="E1587" s="8"/>
      <x:c r="F1587" s="8"/>
      <x:c r="G1587" s="8"/>
      <x:c r="H1587" s="8"/>
      <x:c r="I1587" s="8"/>
      <x:c r="J1587" s="8"/>
      <x:c r="K1587" s="8"/>
      <x:c r="L1587" s="8"/>
      <x:c r="M1587" s="10"/>
      <x:c r="N1587" s="10"/>
      <x:c r="O1587" s="8"/>
      <x:c r="P1587" s="9" t="str">
        <x:f>IF(C1587="","",IF(AND(G1587="Applicable",H1587="Fail"),"Fail",IF(R1587&lt;&gt;"Valid","Pending",IF(OR(I1587="",K1587="",L1587="",K1587=L1587,NOT(ISNUMBER(M1587)),NOT(ISNUMBER(N1587)),M1587&gt;Settings!$F$8,N1587&lt;Settings!$F$8,N1587&lt;M1587),"Pending",IF(AND(G1587="Applicable",H1587="Pass"),"Pass",IF(AND(G1587="N/A",H1587="N/A",J1587&lt;&gt;"",OR(E1587="CEM-FUELS",E1587="CEM-CCS",AND(E1587="CEM-PLAN",IFERROR(INDEX('Taxonomy'!$M$9:$M$108,MATCH(D1587,'Taxonomy'!$C$9:$C$108,0)),"")&lt;&gt;"Amber"),E1587="BLD-TIMBER",AND(U1587="Building equipment",OR(E1587="BLD-WATER",E1587="BLD-WASTE",E1587="BLD-LAND")),AND(U1587="Building renovation",E1587="BLD-LAND"))),"N/A","Pending"))))))</x:f>
      </x:c>
      <x:c r="Q1587" s="3" t="str">
        <x:f>IF(C1587="","",IF(AND(R1587="Valid",OR(P1587="Pass",P1587="N/A")),"Complete","Unresolved"))</x:f>
      </x:c>
      <x:c r="R1587" s="9" t="str">
        <x:f>IF(C1587="","",IF(OR(COUNTIF($C$9:$C$2008,C1587)&lt;&gt;1,COUNTIFS($D$9:$D$2008,D1587,$E$9:$E$2008,E1587)&lt;&gt;1),"Duplicate test",IF(COUNTIF('Taxonomy'!$C$9:$C$108,D1587)&lt;&gt;1,"Assessment key",IF(OR(COUNTIF('Taxonomy Rules'!$C$42:$C$68,E1587)&lt;&gt;1,F1587&lt;&gt;IFERROR(INDEX('Taxonomy Rules'!$D$42:$D$68,MATCH(E1587,'Taxonomy Rules'!$C$42:$C$68,0)),""),NOT(OR(IFERROR(INDEX('Taxonomy Rules'!$G$42:$G$68,MATCH(E1587,'Taxonomy Rules'!$C$42:$C$68,0)),"")="All supported routes",IFERROR(INDEX('Taxonomy Rules'!$G$42:$G$68,MATCH(E1587,'Taxonomy Rules'!$C$42:$C$68,0)),"")=U1587,AND(IFERROR(INDEX('Taxonomy Rules'!$G$42:$G$68,MATCH(E1587,'Taxonomy Rules'!$C$42:$C$68,0)),"")="Building routes",OR(U1587="Building renovation",U1587="New building",U1587="Building equipment"))))),"Unexpected test","Valid"))))</x:f>
      </x:c>
      <x:c r="S1587" s="9" t="str">
        <x:f>IF(C1587="","",IFERROR(INDEX('Taxonomy Rules'!$E$42:$E$68,MATCH(E1587,'Taxonomy Rules'!$C$42:$C$68,0)),""))</x:f>
      </x:c>
      <x:c r="T1587" s="9" t="str">
        <x:f>IF(C1587="","",IFERROR(INDEX('Taxonomy Rules'!$F$42:$F$68,MATCH(E1587,'Taxonomy Rules'!$C$42:$C$68,0)),""))</x:f>
      </x:c>
      <x:c r="U1587" s="9" t="str">
        <x:f>IF(C1587="","",IFERROR(INDEX('Taxonomy'!$G$9:$G$108,MATCH(D1587,'Taxonomy'!$C$9:$C$108,0)),""))</x:f>
      </x:c>
    </x:row>
    <x:row r="1588" ht="44" customHeight="1">
      <x:c r="A1588" s="1"/>
      <x:c r="B1588" s="1"/>
      <x:c r="C1588" s="8"/>
      <x:c r="D1588" s="8"/>
      <x:c r="E1588" s="8"/>
      <x:c r="F1588" s="8"/>
      <x:c r="G1588" s="8"/>
      <x:c r="H1588" s="8"/>
      <x:c r="I1588" s="8"/>
      <x:c r="J1588" s="8"/>
      <x:c r="K1588" s="8"/>
      <x:c r="L1588" s="8"/>
      <x:c r="M1588" s="10"/>
      <x:c r="N1588" s="10"/>
      <x:c r="O1588" s="8"/>
      <x:c r="P1588" s="9" t="str">
        <x:f>IF(C1588="","",IF(AND(G1588="Applicable",H1588="Fail"),"Fail",IF(R1588&lt;&gt;"Valid","Pending",IF(OR(I1588="",K1588="",L1588="",K1588=L1588,NOT(ISNUMBER(M1588)),NOT(ISNUMBER(N1588)),M1588&gt;Settings!$F$8,N1588&lt;Settings!$F$8,N1588&lt;M1588),"Pending",IF(AND(G1588="Applicable",H1588="Pass"),"Pass",IF(AND(G1588="N/A",H1588="N/A",J1588&lt;&gt;"",OR(E1588="CEM-FUELS",E1588="CEM-CCS",AND(E1588="CEM-PLAN",IFERROR(INDEX('Taxonomy'!$M$9:$M$108,MATCH(D1588,'Taxonomy'!$C$9:$C$108,0)),"")&lt;&gt;"Amber"),E1588="BLD-TIMBER",AND(U1588="Building equipment",OR(E1588="BLD-WATER",E1588="BLD-WASTE",E1588="BLD-LAND")),AND(U1588="Building renovation",E1588="BLD-LAND"))),"N/A","Pending"))))))</x:f>
      </x:c>
      <x:c r="Q1588" s="3" t="str">
        <x:f>IF(C1588="","",IF(AND(R1588="Valid",OR(P1588="Pass",P1588="N/A")),"Complete","Unresolved"))</x:f>
      </x:c>
      <x:c r="R1588" s="9" t="str">
        <x:f>IF(C1588="","",IF(OR(COUNTIF($C$9:$C$2008,C1588)&lt;&gt;1,COUNTIFS($D$9:$D$2008,D1588,$E$9:$E$2008,E1588)&lt;&gt;1),"Duplicate test",IF(COUNTIF('Taxonomy'!$C$9:$C$108,D1588)&lt;&gt;1,"Assessment key",IF(OR(COUNTIF('Taxonomy Rules'!$C$42:$C$68,E1588)&lt;&gt;1,F1588&lt;&gt;IFERROR(INDEX('Taxonomy Rules'!$D$42:$D$68,MATCH(E1588,'Taxonomy Rules'!$C$42:$C$68,0)),""),NOT(OR(IFERROR(INDEX('Taxonomy Rules'!$G$42:$G$68,MATCH(E1588,'Taxonomy Rules'!$C$42:$C$68,0)),"")="All supported routes",IFERROR(INDEX('Taxonomy Rules'!$G$42:$G$68,MATCH(E1588,'Taxonomy Rules'!$C$42:$C$68,0)),"")=U1588,AND(IFERROR(INDEX('Taxonomy Rules'!$G$42:$G$68,MATCH(E1588,'Taxonomy Rules'!$C$42:$C$68,0)),"")="Building routes",OR(U1588="Building renovation",U1588="New building",U1588="Building equipment"))))),"Unexpected test","Valid"))))</x:f>
      </x:c>
      <x:c r="S1588" s="9" t="str">
        <x:f>IF(C1588="","",IFERROR(INDEX('Taxonomy Rules'!$E$42:$E$68,MATCH(E1588,'Taxonomy Rules'!$C$42:$C$68,0)),""))</x:f>
      </x:c>
      <x:c r="T1588" s="9" t="str">
        <x:f>IF(C1588="","",IFERROR(INDEX('Taxonomy Rules'!$F$42:$F$68,MATCH(E1588,'Taxonomy Rules'!$C$42:$C$68,0)),""))</x:f>
      </x:c>
      <x:c r="U1588" s="9" t="str">
        <x:f>IF(C1588="","",IFERROR(INDEX('Taxonomy'!$G$9:$G$108,MATCH(D1588,'Taxonomy'!$C$9:$C$108,0)),""))</x:f>
      </x:c>
    </x:row>
    <x:row r="1589" ht="44" customHeight="1">
      <x:c r="A1589" s="1"/>
      <x:c r="B1589" s="1"/>
      <x:c r="C1589" s="8"/>
      <x:c r="D1589" s="8"/>
      <x:c r="E1589" s="8"/>
      <x:c r="F1589" s="8"/>
      <x:c r="G1589" s="8"/>
      <x:c r="H1589" s="8"/>
      <x:c r="I1589" s="8"/>
      <x:c r="J1589" s="8"/>
      <x:c r="K1589" s="8"/>
      <x:c r="L1589" s="8"/>
      <x:c r="M1589" s="10"/>
      <x:c r="N1589" s="10"/>
      <x:c r="O1589" s="8"/>
      <x:c r="P1589" s="9" t="str">
        <x:f>IF(C1589="","",IF(AND(G1589="Applicable",H1589="Fail"),"Fail",IF(R1589&lt;&gt;"Valid","Pending",IF(OR(I1589="",K1589="",L1589="",K1589=L1589,NOT(ISNUMBER(M1589)),NOT(ISNUMBER(N1589)),M1589&gt;Settings!$F$8,N1589&lt;Settings!$F$8,N1589&lt;M1589),"Pending",IF(AND(G1589="Applicable",H1589="Pass"),"Pass",IF(AND(G1589="N/A",H1589="N/A",J1589&lt;&gt;"",OR(E1589="CEM-FUELS",E1589="CEM-CCS",AND(E1589="CEM-PLAN",IFERROR(INDEX('Taxonomy'!$M$9:$M$108,MATCH(D1589,'Taxonomy'!$C$9:$C$108,0)),"")&lt;&gt;"Amber"),E1589="BLD-TIMBER",AND(U1589="Building equipment",OR(E1589="BLD-WATER",E1589="BLD-WASTE",E1589="BLD-LAND")),AND(U1589="Building renovation",E1589="BLD-LAND"))),"N/A","Pending"))))))</x:f>
      </x:c>
      <x:c r="Q1589" s="3" t="str">
        <x:f>IF(C1589="","",IF(AND(R1589="Valid",OR(P1589="Pass",P1589="N/A")),"Complete","Unresolved"))</x:f>
      </x:c>
      <x:c r="R1589" s="9" t="str">
        <x:f>IF(C1589="","",IF(OR(COUNTIF($C$9:$C$2008,C1589)&lt;&gt;1,COUNTIFS($D$9:$D$2008,D1589,$E$9:$E$2008,E1589)&lt;&gt;1),"Duplicate test",IF(COUNTIF('Taxonomy'!$C$9:$C$108,D1589)&lt;&gt;1,"Assessment key",IF(OR(COUNTIF('Taxonomy Rules'!$C$42:$C$68,E1589)&lt;&gt;1,F1589&lt;&gt;IFERROR(INDEX('Taxonomy Rules'!$D$42:$D$68,MATCH(E1589,'Taxonomy Rules'!$C$42:$C$68,0)),""),NOT(OR(IFERROR(INDEX('Taxonomy Rules'!$G$42:$G$68,MATCH(E1589,'Taxonomy Rules'!$C$42:$C$68,0)),"")="All supported routes",IFERROR(INDEX('Taxonomy Rules'!$G$42:$G$68,MATCH(E1589,'Taxonomy Rules'!$C$42:$C$68,0)),"")=U1589,AND(IFERROR(INDEX('Taxonomy Rules'!$G$42:$G$68,MATCH(E1589,'Taxonomy Rules'!$C$42:$C$68,0)),"")="Building routes",OR(U1589="Building renovation",U1589="New building",U1589="Building equipment"))))),"Unexpected test","Valid"))))</x:f>
      </x:c>
      <x:c r="S1589" s="9" t="str">
        <x:f>IF(C1589="","",IFERROR(INDEX('Taxonomy Rules'!$E$42:$E$68,MATCH(E1589,'Taxonomy Rules'!$C$42:$C$68,0)),""))</x:f>
      </x:c>
      <x:c r="T1589" s="9" t="str">
        <x:f>IF(C1589="","",IFERROR(INDEX('Taxonomy Rules'!$F$42:$F$68,MATCH(E1589,'Taxonomy Rules'!$C$42:$C$68,0)),""))</x:f>
      </x:c>
      <x:c r="U1589" s="9" t="str">
        <x:f>IF(C1589="","",IFERROR(INDEX('Taxonomy'!$G$9:$G$108,MATCH(D1589,'Taxonomy'!$C$9:$C$108,0)),""))</x:f>
      </x:c>
    </x:row>
    <x:row r="1590" ht="44" customHeight="1">
      <x:c r="A1590" s="1"/>
      <x:c r="B1590" s="1"/>
      <x:c r="C1590" s="8"/>
      <x:c r="D1590" s="8"/>
      <x:c r="E1590" s="8"/>
      <x:c r="F1590" s="8"/>
      <x:c r="G1590" s="8"/>
      <x:c r="H1590" s="8"/>
      <x:c r="I1590" s="8"/>
      <x:c r="J1590" s="8"/>
      <x:c r="K1590" s="8"/>
      <x:c r="L1590" s="8"/>
      <x:c r="M1590" s="10"/>
      <x:c r="N1590" s="10"/>
      <x:c r="O1590" s="8"/>
      <x:c r="P1590" s="9" t="str">
        <x:f>IF(C1590="","",IF(AND(G1590="Applicable",H1590="Fail"),"Fail",IF(R1590&lt;&gt;"Valid","Pending",IF(OR(I1590="",K1590="",L1590="",K1590=L1590,NOT(ISNUMBER(M1590)),NOT(ISNUMBER(N1590)),M1590&gt;Settings!$F$8,N1590&lt;Settings!$F$8,N1590&lt;M1590),"Pending",IF(AND(G1590="Applicable",H1590="Pass"),"Pass",IF(AND(G1590="N/A",H1590="N/A",J1590&lt;&gt;"",OR(E1590="CEM-FUELS",E1590="CEM-CCS",AND(E1590="CEM-PLAN",IFERROR(INDEX('Taxonomy'!$M$9:$M$108,MATCH(D1590,'Taxonomy'!$C$9:$C$108,0)),"")&lt;&gt;"Amber"),E1590="BLD-TIMBER",AND(U1590="Building equipment",OR(E1590="BLD-WATER",E1590="BLD-WASTE",E1590="BLD-LAND")),AND(U1590="Building renovation",E1590="BLD-LAND"))),"N/A","Pending"))))))</x:f>
      </x:c>
      <x:c r="Q1590" s="3" t="str">
        <x:f>IF(C1590="","",IF(AND(R1590="Valid",OR(P1590="Pass",P1590="N/A")),"Complete","Unresolved"))</x:f>
      </x:c>
      <x:c r="R1590" s="9" t="str">
        <x:f>IF(C1590="","",IF(OR(COUNTIF($C$9:$C$2008,C1590)&lt;&gt;1,COUNTIFS($D$9:$D$2008,D1590,$E$9:$E$2008,E1590)&lt;&gt;1),"Duplicate test",IF(COUNTIF('Taxonomy'!$C$9:$C$108,D1590)&lt;&gt;1,"Assessment key",IF(OR(COUNTIF('Taxonomy Rules'!$C$42:$C$68,E1590)&lt;&gt;1,F1590&lt;&gt;IFERROR(INDEX('Taxonomy Rules'!$D$42:$D$68,MATCH(E1590,'Taxonomy Rules'!$C$42:$C$68,0)),""),NOT(OR(IFERROR(INDEX('Taxonomy Rules'!$G$42:$G$68,MATCH(E1590,'Taxonomy Rules'!$C$42:$C$68,0)),"")="All supported routes",IFERROR(INDEX('Taxonomy Rules'!$G$42:$G$68,MATCH(E1590,'Taxonomy Rules'!$C$42:$C$68,0)),"")=U1590,AND(IFERROR(INDEX('Taxonomy Rules'!$G$42:$G$68,MATCH(E1590,'Taxonomy Rules'!$C$42:$C$68,0)),"")="Building routes",OR(U1590="Building renovation",U1590="New building",U1590="Building equipment"))))),"Unexpected test","Valid"))))</x:f>
      </x:c>
      <x:c r="S1590" s="9" t="str">
        <x:f>IF(C1590="","",IFERROR(INDEX('Taxonomy Rules'!$E$42:$E$68,MATCH(E1590,'Taxonomy Rules'!$C$42:$C$68,0)),""))</x:f>
      </x:c>
      <x:c r="T1590" s="9" t="str">
        <x:f>IF(C1590="","",IFERROR(INDEX('Taxonomy Rules'!$F$42:$F$68,MATCH(E1590,'Taxonomy Rules'!$C$42:$C$68,0)),""))</x:f>
      </x:c>
      <x:c r="U1590" s="9" t="str">
        <x:f>IF(C1590="","",IFERROR(INDEX('Taxonomy'!$G$9:$G$108,MATCH(D1590,'Taxonomy'!$C$9:$C$108,0)),""))</x:f>
      </x:c>
    </x:row>
    <x:row r="1591" ht="44" customHeight="1">
      <x:c r="A1591" s="1"/>
      <x:c r="B1591" s="1"/>
      <x:c r="C1591" s="8"/>
      <x:c r="D1591" s="8"/>
      <x:c r="E1591" s="8"/>
      <x:c r="F1591" s="8"/>
      <x:c r="G1591" s="8"/>
      <x:c r="H1591" s="8"/>
      <x:c r="I1591" s="8"/>
      <x:c r="J1591" s="8"/>
      <x:c r="K1591" s="8"/>
      <x:c r="L1591" s="8"/>
      <x:c r="M1591" s="10"/>
      <x:c r="N1591" s="10"/>
      <x:c r="O1591" s="8"/>
      <x:c r="P1591" s="9" t="str">
        <x:f>IF(C1591="","",IF(AND(G1591="Applicable",H1591="Fail"),"Fail",IF(R1591&lt;&gt;"Valid","Pending",IF(OR(I1591="",K1591="",L1591="",K1591=L1591,NOT(ISNUMBER(M1591)),NOT(ISNUMBER(N1591)),M1591&gt;Settings!$F$8,N1591&lt;Settings!$F$8,N1591&lt;M1591),"Pending",IF(AND(G1591="Applicable",H1591="Pass"),"Pass",IF(AND(G1591="N/A",H1591="N/A",J1591&lt;&gt;"",OR(E1591="CEM-FUELS",E1591="CEM-CCS",AND(E1591="CEM-PLAN",IFERROR(INDEX('Taxonomy'!$M$9:$M$108,MATCH(D1591,'Taxonomy'!$C$9:$C$108,0)),"")&lt;&gt;"Amber"),E1591="BLD-TIMBER",AND(U1591="Building equipment",OR(E1591="BLD-WATER",E1591="BLD-WASTE",E1591="BLD-LAND")),AND(U1591="Building renovation",E1591="BLD-LAND"))),"N/A","Pending"))))))</x:f>
      </x:c>
      <x:c r="Q1591" s="3" t="str">
        <x:f>IF(C1591="","",IF(AND(R1591="Valid",OR(P1591="Pass",P1591="N/A")),"Complete","Unresolved"))</x:f>
      </x:c>
      <x:c r="R1591" s="9" t="str">
        <x:f>IF(C1591="","",IF(OR(COUNTIF($C$9:$C$2008,C1591)&lt;&gt;1,COUNTIFS($D$9:$D$2008,D1591,$E$9:$E$2008,E1591)&lt;&gt;1),"Duplicate test",IF(COUNTIF('Taxonomy'!$C$9:$C$108,D1591)&lt;&gt;1,"Assessment key",IF(OR(COUNTIF('Taxonomy Rules'!$C$42:$C$68,E1591)&lt;&gt;1,F1591&lt;&gt;IFERROR(INDEX('Taxonomy Rules'!$D$42:$D$68,MATCH(E1591,'Taxonomy Rules'!$C$42:$C$68,0)),""),NOT(OR(IFERROR(INDEX('Taxonomy Rules'!$G$42:$G$68,MATCH(E1591,'Taxonomy Rules'!$C$42:$C$68,0)),"")="All supported routes",IFERROR(INDEX('Taxonomy Rules'!$G$42:$G$68,MATCH(E1591,'Taxonomy Rules'!$C$42:$C$68,0)),"")=U1591,AND(IFERROR(INDEX('Taxonomy Rules'!$G$42:$G$68,MATCH(E1591,'Taxonomy Rules'!$C$42:$C$68,0)),"")="Building routes",OR(U1591="Building renovation",U1591="New building",U1591="Building equipment"))))),"Unexpected test","Valid"))))</x:f>
      </x:c>
      <x:c r="S1591" s="9" t="str">
        <x:f>IF(C1591="","",IFERROR(INDEX('Taxonomy Rules'!$E$42:$E$68,MATCH(E1591,'Taxonomy Rules'!$C$42:$C$68,0)),""))</x:f>
      </x:c>
      <x:c r="T1591" s="9" t="str">
        <x:f>IF(C1591="","",IFERROR(INDEX('Taxonomy Rules'!$F$42:$F$68,MATCH(E1591,'Taxonomy Rules'!$C$42:$C$68,0)),""))</x:f>
      </x:c>
      <x:c r="U1591" s="9" t="str">
        <x:f>IF(C1591="","",IFERROR(INDEX('Taxonomy'!$G$9:$G$108,MATCH(D1591,'Taxonomy'!$C$9:$C$108,0)),""))</x:f>
      </x:c>
    </x:row>
    <x:row r="1592" ht="44" customHeight="1">
      <x:c r="A1592" s="1"/>
      <x:c r="B1592" s="1"/>
      <x:c r="C1592" s="8"/>
      <x:c r="D1592" s="8"/>
      <x:c r="E1592" s="8"/>
      <x:c r="F1592" s="8"/>
      <x:c r="G1592" s="8"/>
      <x:c r="H1592" s="8"/>
      <x:c r="I1592" s="8"/>
      <x:c r="J1592" s="8"/>
      <x:c r="K1592" s="8"/>
      <x:c r="L1592" s="8"/>
      <x:c r="M1592" s="10"/>
      <x:c r="N1592" s="10"/>
      <x:c r="O1592" s="8"/>
      <x:c r="P1592" s="9" t="str">
        <x:f>IF(C1592="","",IF(AND(G1592="Applicable",H1592="Fail"),"Fail",IF(R1592&lt;&gt;"Valid","Pending",IF(OR(I1592="",K1592="",L1592="",K1592=L1592,NOT(ISNUMBER(M1592)),NOT(ISNUMBER(N1592)),M1592&gt;Settings!$F$8,N1592&lt;Settings!$F$8,N1592&lt;M1592),"Pending",IF(AND(G1592="Applicable",H1592="Pass"),"Pass",IF(AND(G1592="N/A",H1592="N/A",J1592&lt;&gt;"",OR(E1592="CEM-FUELS",E1592="CEM-CCS",AND(E1592="CEM-PLAN",IFERROR(INDEX('Taxonomy'!$M$9:$M$108,MATCH(D1592,'Taxonomy'!$C$9:$C$108,0)),"")&lt;&gt;"Amber"),E1592="BLD-TIMBER",AND(U1592="Building equipment",OR(E1592="BLD-WATER",E1592="BLD-WASTE",E1592="BLD-LAND")),AND(U1592="Building renovation",E1592="BLD-LAND"))),"N/A","Pending"))))))</x:f>
      </x:c>
      <x:c r="Q1592" s="3" t="str">
        <x:f>IF(C1592="","",IF(AND(R1592="Valid",OR(P1592="Pass",P1592="N/A")),"Complete","Unresolved"))</x:f>
      </x:c>
      <x:c r="R1592" s="9" t="str">
        <x:f>IF(C1592="","",IF(OR(COUNTIF($C$9:$C$2008,C1592)&lt;&gt;1,COUNTIFS($D$9:$D$2008,D1592,$E$9:$E$2008,E1592)&lt;&gt;1),"Duplicate test",IF(COUNTIF('Taxonomy'!$C$9:$C$108,D1592)&lt;&gt;1,"Assessment key",IF(OR(COUNTIF('Taxonomy Rules'!$C$42:$C$68,E1592)&lt;&gt;1,F1592&lt;&gt;IFERROR(INDEX('Taxonomy Rules'!$D$42:$D$68,MATCH(E1592,'Taxonomy Rules'!$C$42:$C$68,0)),""),NOT(OR(IFERROR(INDEX('Taxonomy Rules'!$G$42:$G$68,MATCH(E1592,'Taxonomy Rules'!$C$42:$C$68,0)),"")="All supported routes",IFERROR(INDEX('Taxonomy Rules'!$G$42:$G$68,MATCH(E1592,'Taxonomy Rules'!$C$42:$C$68,0)),"")=U1592,AND(IFERROR(INDEX('Taxonomy Rules'!$G$42:$G$68,MATCH(E1592,'Taxonomy Rules'!$C$42:$C$68,0)),"")="Building routes",OR(U1592="Building renovation",U1592="New building",U1592="Building equipment"))))),"Unexpected test","Valid"))))</x:f>
      </x:c>
      <x:c r="S1592" s="9" t="str">
        <x:f>IF(C1592="","",IFERROR(INDEX('Taxonomy Rules'!$E$42:$E$68,MATCH(E1592,'Taxonomy Rules'!$C$42:$C$68,0)),""))</x:f>
      </x:c>
      <x:c r="T1592" s="9" t="str">
        <x:f>IF(C1592="","",IFERROR(INDEX('Taxonomy Rules'!$F$42:$F$68,MATCH(E1592,'Taxonomy Rules'!$C$42:$C$68,0)),""))</x:f>
      </x:c>
      <x:c r="U1592" s="9" t="str">
        <x:f>IF(C1592="","",IFERROR(INDEX('Taxonomy'!$G$9:$G$108,MATCH(D1592,'Taxonomy'!$C$9:$C$108,0)),""))</x:f>
      </x:c>
    </x:row>
    <x:row r="1593" ht="44" customHeight="1">
      <x:c r="A1593" s="1"/>
      <x:c r="B1593" s="1"/>
      <x:c r="C1593" s="8"/>
      <x:c r="D1593" s="8"/>
      <x:c r="E1593" s="8"/>
      <x:c r="F1593" s="8"/>
      <x:c r="G1593" s="8"/>
      <x:c r="H1593" s="8"/>
      <x:c r="I1593" s="8"/>
      <x:c r="J1593" s="8"/>
      <x:c r="K1593" s="8"/>
      <x:c r="L1593" s="8"/>
      <x:c r="M1593" s="10"/>
      <x:c r="N1593" s="10"/>
      <x:c r="O1593" s="8"/>
      <x:c r="P1593" s="9" t="str">
        <x:f>IF(C1593="","",IF(AND(G1593="Applicable",H1593="Fail"),"Fail",IF(R1593&lt;&gt;"Valid","Pending",IF(OR(I1593="",K1593="",L1593="",K1593=L1593,NOT(ISNUMBER(M1593)),NOT(ISNUMBER(N1593)),M1593&gt;Settings!$F$8,N1593&lt;Settings!$F$8,N1593&lt;M1593),"Pending",IF(AND(G1593="Applicable",H1593="Pass"),"Pass",IF(AND(G1593="N/A",H1593="N/A",J1593&lt;&gt;"",OR(E1593="CEM-FUELS",E1593="CEM-CCS",AND(E1593="CEM-PLAN",IFERROR(INDEX('Taxonomy'!$M$9:$M$108,MATCH(D1593,'Taxonomy'!$C$9:$C$108,0)),"")&lt;&gt;"Amber"),E1593="BLD-TIMBER",AND(U1593="Building equipment",OR(E1593="BLD-WATER",E1593="BLD-WASTE",E1593="BLD-LAND")),AND(U1593="Building renovation",E1593="BLD-LAND"))),"N/A","Pending"))))))</x:f>
      </x:c>
      <x:c r="Q1593" s="3" t="str">
        <x:f>IF(C1593="","",IF(AND(R1593="Valid",OR(P1593="Pass",P1593="N/A")),"Complete","Unresolved"))</x:f>
      </x:c>
      <x:c r="R1593" s="9" t="str">
        <x:f>IF(C1593="","",IF(OR(COUNTIF($C$9:$C$2008,C1593)&lt;&gt;1,COUNTIFS($D$9:$D$2008,D1593,$E$9:$E$2008,E1593)&lt;&gt;1),"Duplicate test",IF(COUNTIF('Taxonomy'!$C$9:$C$108,D1593)&lt;&gt;1,"Assessment key",IF(OR(COUNTIF('Taxonomy Rules'!$C$42:$C$68,E1593)&lt;&gt;1,F1593&lt;&gt;IFERROR(INDEX('Taxonomy Rules'!$D$42:$D$68,MATCH(E1593,'Taxonomy Rules'!$C$42:$C$68,0)),""),NOT(OR(IFERROR(INDEX('Taxonomy Rules'!$G$42:$G$68,MATCH(E1593,'Taxonomy Rules'!$C$42:$C$68,0)),"")="All supported routes",IFERROR(INDEX('Taxonomy Rules'!$G$42:$G$68,MATCH(E1593,'Taxonomy Rules'!$C$42:$C$68,0)),"")=U1593,AND(IFERROR(INDEX('Taxonomy Rules'!$G$42:$G$68,MATCH(E1593,'Taxonomy Rules'!$C$42:$C$68,0)),"")="Building routes",OR(U1593="Building renovation",U1593="New building",U1593="Building equipment"))))),"Unexpected test","Valid"))))</x:f>
      </x:c>
      <x:c r="S1593" s="9" t="str">
        <x:f>IF(C1593="","",IFERROR(INDEX('Taxonomy Rules'!$E$42:$E$68,MATCH(E1593,'Taxonomy Rules'!$C$42:$C$68,0)),""))</x:f>
      </x:c>
      <x:c r="T1593" s="9" t="str">
        <x:f>IF(C1593="","",IFERROR(INDEX('Taxonomy Rules'!$F$42:$F$68,MATCH(E1593,'Taxonomy Rules'!$C$42:$C$68,0)),""))</x:f>
      </x:c>
      <x:c r="U1593" s="9" t="str">
        <x:f>IF(C1593="","",IFERROR(INDEX('Taxonomy'!$G$9:$G$108,MATCH(D1593,'Taxonomy'!$C$9:$C$108,0)),""))</x:f>
      </x:c>
    </x:row>
    <x:row r="1594" ht="44" customHeight="1">
      <x:c r="A1594" s="1"/>
      <x:c r="B1594" s="1"/>
      <x:c r="C1594" s="8"/>
      <x:c r="D1594" s="8"/>
      <x:c r="E1594" s="8"/>
      <x:c r="F1594" s="8"/>
      <x:c r="G1594" s="8"/>
      <x:c r="H1594" s="8"/>
      <x:c r="I1594" s="8"/>
      <x:c r="J1594" s="8"/>
      <x:c r="K1594" s="8"/>
      <x:c r="L1594" s="8"/>
      <x:c r="M1594" s="10"/>
      <x:c r="N1594" s="10"/>
      <x:c r="O1594" s="8"/>
      <x:c r="P1594" s="9" t="str">
        <x:f>IF(C1594="","",IF(AND(G1594="Applicable",H1594="Fail"),"Fail",IF(R1594&lt;&gt;"Valid","Pending",IF(OR(I1594="",K1594="",L1594="",K1594=L1594,NOT(ISNUMBER(M1594)),NOT(ISNUMBER(N1594)),M1594&gt;Settings!$F$8,N1594&lt;Settings!$F$8,N1594&lt;M1594),"Pending",IF(AND(G1594="Applicable",H1594="Pass"),"Pass",IF(AND(G1594="N/A",H1594="N/A",J1594&lt;&gt;"",OR(E1594="CEM-FUELS",E1594="CEM-CCS",AND(E1594="CEM-PLAN",IFERROR(INDEX('Taxonomy'!$M$9:$M$108,MATCH(D1594,'Taxonomy'!$C$9:$C$108,0)),"")&lt;&gt;"Amber"),E1594="BLD-TIMBER",AND(U1594="Building equipment",OR(E1594="BLD-WATER",E1594="BLD-WASTE",E1594="BLD-LAND")),AND(U1594="Building renovation",E1594="BLD-LAND"))),"N/A","Pending"))))))</x:f>
      </x:c>
      <x:c r="Q1594" s="3" t="str">
        <x:f>IF(C1594="","",IF(AND(R1594="Valid",OR(P1594="Pass",P1594="N/A")),"Complete","Unresolved"))</x:f>
      </x:c>
      <x:c r="R1594" s="9" t="str">
        <x:f>IF(C1594="","",IF(OR(COUNTIF($C$9:$C$2008,C1594)&lt;&gt;1,COUNTIFS($D$9:$D$2008,D1594,$E$9:$E$2008,E1594)&lt;&gt;1),"Duplicate test",IF(COUNTIF('Taxonomy'!$C$9:$C$108,D1594)&lt;&gt;1,"Assessment key",IF(OR(COUNTIF('Taxonomy Rules'!$C$42:$C$68,E1594)&lt;&gt;1,F1594&lt;&gt;IFERROR(INDEX('Taxonomy Rules'!$D$42:$D$68,MATCH(E1594,'Taxonomy Rules'!$C$42:$C$68,0)),""),NOT(OR(IFERROR(INDEX('Taxonomy Rules'!$G$42:$G$68,MATCH(E1594,'Taxonomy Rules'!$C$42:$C$68,0)),"")="All supported routes",IFERROR(INDEX('Taxonomy Rules'!$G$42:$G$68,MATCH(E1594,'Taxonomy Rules'!$C$42:$C$68,0)),"")=U1594,AND(IFERROR(INDEX('Taxonomy Rules'!$G$42:$G$68,MATCH(E1594,'Taxonomy Rules'!$C$42:$C$68,0)),"")="Building routes",OR(U1594="Building renovation",U1594="New building",U1594="Building equipment"))))),"Unexpected test","Valid"))))</x:f>
      </x:c>
      <x:c r="S1594" s="9" t="str">
        <x:f>IF(C1594="","",IFERROR(INDEX('Taxonomy Rules'!$E$42:$E$68,MATCH(E1594,'Taxonomy Rules'!$C$42:$C$68,0)),""))</x:f>
      </x:c>
      <x:c r="T1594" s="9" t="str">
        <x:f>IF(C1594="","",IFERROR(INDEX('Taxonomy Rules'!$F$42:$F$68,MATCH(E1594,'Taxonomy Rules'!$C$42:$C$68,0)),""))</x:f>
      </x:c>
      <x:c r="U1594" s="9" t="str">
        <x:f>IF(C1594="","",IFERROR(INDEX('Taxonomy'!$G$9:$G$108,MATCH(D1594,'Taxonomy'!$C$9:$C$108,0)),""))</x:f>
      </x:c>
    </x:row>
    <x:row r="1595" ht="44" customHeight="1">
      <x:c r="A1595" s="1"/>
      <x:c r="B1595" s="1"/>
      <x:c r="C1595" s="8"/>
      <x:c r="D1595" s="8"/>
      <x:c r="E1595" s="8"/>
      <x:c r="F1595" s="8"/>
      <x:c r="G1595" s="8"/>
      <x:c r="H1595" s="8"/>
      <x:c r="I1595" s="8"/>
      <x:c r="J1595" s="8"/>
      <x:c r="K1595" s="8"/>
      <x:c r="L1595" s="8"/>
      <x:c r="M1595" s="10"/>
      <x:c r="N1595" s="10"/>
      <x:c r="O1595" s="8"/>
      <x:c r="P1595" s="9" t="str">
        <x:f>IF(C1595="","",IF(AND(G1595="Applicable",H1595="Fail"),"Fail",IF(R1595&lt;&gt;"Valid","Pending",IF(OR(I1595="",K1595="",L1595="",K1595=L1595,NOT(ISNUMBER(M1595)),NOT(ISNUMBER(N1595)),M1595&gt;Settings!$F$8,N1595&lt;Settings!$F$8,N1595&lt;M1595),"Pending",IF(AND(G1595="Applicable",H1595="Pass"),"Pass",IF(AND(G1595="N/A",H1595="N/A",J1595&lt;&gt;"",OR(E1595="CEM-FUELS",E1595="CEM-CCS",AND(E1595="CEM-PLAN",IFERROR(INDEX('Taxonomy'!$M$9:$M$108,MATCH(D1595,'Taxonomy'!$C$9:$C$108,0)),"")&lt;&gt;"Amber"),E1595="BLD-TIMBER",AND(U1595="Building equipment",OR(E1595="BLD-WATER",E1595="BLD-WASTE",E1595="BLD-LAND")),AND(U1595="Building renovation",E1595="BLD-LAND"))),"N/A","Pending"))))))</x:f>
      </x:c>
      <x:c r="Q1595" s="3" t="str">
        <x:f>IF(C1595="","",IF(AND(R1595="Valid",OR(P1595="Pass",P1595="N/A")),"Complete","Unresolved"))</x:f>
      </x:c>
      <x:c r="R1595" s="9" t="str">
        <x:f>IF(C1595="","",IF(OR(COUNTIF($C$9:$C$2008,C1595)&lt;&gt;1,COUNTIFS($D$9:$D$2008,D1595,$E$9:$E$2008,E1595)&lt;&gt;1),"Duplicate test",IF(COUNTIF('Taxonomy'!$C$9:$C$108,D1595)&lt;&gt;1,"Assessment key",IF(OR(COUNTIF('Taxonomy Rules'!$C$42:$C$68,E1595)&lt;&gt;1,F1595&lt;&gt;IFERROR(INDEX('Taxonomy Rules'!$D$42:$D$68,MATCH(E1595,'Taxonomy Rules'!$C$42:$C$68,0)),""),NOT(OR(IFERROR(INDEX('Taxonomy Rules'!$G$42:$G$68,MATCH(E1595,'Taxonomy Rules'!$C$42:$C$68,0)),"")="All supported routes",IFERROR(INDEX('Taxonomy Rules'!$G$42:$G$68,MATCH(E1595,'Taxonomy Rules'!$C$42:$C$68,0)),"")=U1595,AND(IFERROR(INDEX('Taxonomy Rules'!$G$42:$G$68,MATCH(E1595,'Taxonomy Rules'!$C$42:$C$68,0)),"")="Building routes",OR(U1595="Building renovation",U1595="New building",U1595="Building equipment"))))),"Unexpected test","Valid"))))</x:f>
      </x:c>
      <x:c r="S1595" s="9" t="str">
        <x:f>IF(C1595="","",IFERROR(INDEX('Taxonomy Rules'!$E$42:$E$68,MATCH(E1595,'Taxonomy Rules'!$C$42:$C$68,0)),""))</x:f>
      </x:c>
      <x:c r="T1595" s="9" t="str">
        <x:f>IF(C1595="","",IFERROR(INDEX('Taxonomy Rules'!$F$42:$F$68,MATCH(E1595,'Taxonomy Rules'!$C$42:$C$68,0)),""))</x:f>
      </x:c>
      <x:c r="U1595" s="9" t="str">
        <x:f>IF(C1595="","",IFERROR(INDEX('Taxonomy'!$G$9:$G$108,MATCH(D1595,'Taxonomy'!$C$9:$C$108,0)),""))</x:f>
      </x:c>
    </x:row>
    <x:row r="1596" ht="44" customHeight="1">
      <x:c r="A1596" s="1"/>
      <x:c r="B1596" s="1"/>
      <x:c r="C1596" s="8"/>
      <x:c r="D1596" s="8"/>
      <x:c r="E1596" s="8"/>
      <x:c r="F1596" s="8"/>
      <x:c r="G1596" s="8"/>
      <x:c r="H1596" s="8"/>
      <x:c r="I1596" s="8"/>
      <x:c r="J1596" s="8"/>
      <x:c r="K1596" s="8"/>
      <x:c r="L1596" s="8"/>
      <x:c r="M1596" s="10"/>
      <x:c r="N1596" s="10"/>
      <x:c r="O1596" s="8"/>
      <x:c r="P1596" s="9" t="str">
        <x:f>IF(C1596="","",IF(AND(G1596="Applicable",H1596="Fail"),"Fail",IF(R1596&lt;&gt;"Valid","Pending",IF(OR(I1596="",K1596="",L1596="",K1596=L1596,NOT(ISNUMBER(M1596)),NOT(ISNUMBER(N1596)),M1596&gt;Settings!$F$8,N1596&lt;Settings!$F$8,N1596&lt;M1596),"Pending",IF(AND(G1596="Applicable",H1596="Pass"),"Pass",IF(AND(G1596="N/A",H1596="N/A",J1596&lt;&gt;"",OR(E1596="CEM-FUELS",E1596="CEM-CCS",AND(E1596="CEM-PLAN",IFERROR(INDEX('Taxonomy'!$M$9:$M$108,MATCH(D1596,'Taxonomy'!$C$9:$C$108,0)),"")&lt;&gt;"Amber"),E1596="BLD-TIMBER",AND(U1596="Building equipment",OR(E1596="BLD-WATER",E1596="BLD-WASTE",E1596="BLD-LAND")),AND(U1596="Building renovation",E1596="BLD-LAND"))),"N/A","Pending"))))))</x:f>
      </x:c>
      <x:c r="Q1596" s="3" t="str">
        <x:f>IF(C1596="","",IF(AND(R1596="Valid",OR(P1596="Pass",P1596="N/A")),"Complete","Unresolved"))</x:f>
      </x:c>
      <x:c r="R1596" s="9" t="str">
        <x:f>IF(C1596="","",IF(OR(COUNTIF($C$9:$C$2008,C1596)&lt;&gt;1,COUNTIFS($D$9:$D$2008,D1596,$E$9:$E$2008,E1596)&lt;&gt;1),"Duplicate test",IF(COUNTIF('Taxonomy'!$C$9:$C$108,D1596)&lt;&gt;1,"Assessment key",IF(OR(COUNTIF('Taxonomy Rules'!$C$42:$C$68,E1596)&lt;&gt;1,F1596&lt;&gt;IFERROR(INDEX('Taxonomy Rules'!$D$42:$D$68,MATCH(E1596,'Taxonomy Rules'!$C$42:$C$68,0)),""),NOT(OR(IFERROR(INDEX('Taxonomy Rules'!$G$42:$G$68,MATCH(E1596,'Taxonomy Rules'!$C$42:$C$68,0)),"")="All supported routes",IFERROR(INDEX('Taxonomy Rules'!$G$42:$G$68,MATCH(E1596,'Taxonomy Rules'!$C$42:$C$68,0)),"")=U1596,AND(IFERROR(INDEX('Taxonomy Rules'!$G$42:$G$68,MATCH(E1596,'Taxonomy Rules'!$C$42:$C$68,0)),"")="Building routes",OR(U1596="Building renovation",U1596="New building",U1596="Building equipment"))))),"Unexpected test","Valid"))))</x:f>
      </x:c>
      <x:c r="S1596" s="9" t="str">
        <x:f>IF(C1596="","",IFERROR(INDEX('Taxonomy Rules'!$E$42:$E$68,MATCH(E1596,'Taxonomy Rules'!$C$42:$C$68,0)),""))</x:f>
      </x:c>
      <x:c r="T1596" s="9" t="str">
        <x:f>IF(C1596="","",IFERROR(INDEX('Taxonomy Rules'!$F$42:$F$68,MATCH(E1596,'Taxonomy Rules'!$C$42:$C$68,0)),""))</x:f>
      </x:c>
      <x:c r="U1596" s="9" t="str">
        <x:f>IF(C1596="","",IFERROR(INDEX('Taxonomy'!$G$9:$G$108,MATCH(D1596,'Taxonomy'!$C$9:$C$108,0)),""))</x:f>
      </x:c>
    </x:row>
    <x:row r="1597" ht="44" customHeight="1">
      <x:c r="A1597" s="1"/>
      <x:c r="B1597" s="1"/>
      <x:c r="C1597" s="8"/>
      <x:c r="D1597" s="8"/>
      <x:c r="E1597" s="8"/>
      <x:c r="F1597" s="8"/>
      <x:c r="G1597" s="8"/>
      <x:c r="H1597" s="8"/>
      <x:c r="I1597" s="8"/>
      <x:c r="J1597" s="8"/>
      <x:c r="K1597" s="8"/>
      <x:c r="L1597" s="8"/>
      <x:c r="M1597" s="10"/>
      <x:c r="N1597" s="10"/>
      <x:c r="O1597" s="8"/>
      <x:c r="P1597" s="9" t="str">
        <x:f>IF(C1597="","",IF(AND(G1597="Applicable",H1597="Fail"),"Fail",IF(R1597&lt;&gt;"Valid","Pending",IF(OR(I1597="",K1597="",L1597="",K1597=L1597,NOT(ISNUMBER(M1597)),NOT(ISNUMBER(N1597)),M1597&gt;Settings!$F$8,N1597&lt;Settings!$F$8,N1597&lt;M1597),"Pending",IF(AND(G1597="Applicable",H1597="Pass"),"Pass",IF(AND(G1597="N/A",H1597="N/A",J1597&lt;&gt;"",OR(E1597="CEM-FUELS",E1597="CEM-CCS",AND(E1597="CEM-PLAN",IFERROR(INDEX('Taxonomy'!$M$9:$M$108,MATCH(D1597,'Taxonomy'!$C$9:$C$108,0)),"")&lt;&gt;"Amber"),E1597="BLD-TIMBER",AND(U1597="Building equipment",OR(E1597="BLD-WATER",E1597="BLD-WASTE",E1597="BLD-LAND")),AND(U1597="Building renovation",E1597="BLD-LAND"))),"N/A","Pending"))))))</x:f>
      </x:c>
      <x:c r="Q1597" s="3" t="str">
        <x:f>IF(C1597="","",IF(AND(R1597="Valid",OR(P1597="Pass",P1597="N/A")),"Complete","Unresolved"))</x:f>
      </x:c>
      <x:c r="R1597" s="9" t="str">
        <x:f>IF(C1597="","",IF(OR(COUNTIF($C$9:$C$2008,C1597)&lt;&gt;1,COUNTIFS($D$9:$D$2008,D1597,$E$9:$E$2008,E1597)&lt;&gt;1),"Duplicate test",IF(COUNTIF('Taxonomy'!$C$9:$C$108,D1597)&lt;&gt;1,"Assessment key",IF(OR(COUNTIF('Taxonomy Rules'!$C$42:$C$68,E1597)&lt;&gt;1,F1597&lt;&gt;IFERROR(INDEX('Taxonomy Rules'!$D$42:$D$68,MATCH(E1597,'Taxonomy Rules'!$C$42:$C$68,0)),""),NOT(OR(IFERROR(INDEX('Taxonomy Rules'!$G$42:$G$68,MATCH(E1597,'Taxonomy Rules'!$C$42:$C$68,0)),"")="All supported routes",IFERROR(INDEX('Taxonomy Rules'!$G$42:$G$68,MATCH(E1597,'Taxonomy Rules'!$C$42:$C$68,0)),"")=U1597,AND(IFERROR(INDEX('Taxonomy Rules'!$G$42:$G$68,MATCH(E1597,'Taxonomy Rules'!$C$42:$C$68,0)),"")="Building routes",OR(U1597="Building renovation",U1597="New building",U1597="Building equipment"))))),"Unexpected test","Valid"))))</x:f>
      </x:c>
      <x:c r="S1597" s="9" t="str">
        <x:f>IF(C1597="","",IFERROR(INDEX('Taxonomy Rules'!$E$42:$E$68,MATCH(E1597,'Taxonomy Rules'!$C$42:$C$68,0)),""))</x:f>
      </x:c>
      <x:c r="T1597" s="9" t="str">
        <x:f>IF(C1597="","",IFERROR(INDEX('Taxonomy Rules'!$F$42:$F$68,MATCH(E1597,'Taxonomy Rules'!$C$42:$C$68,0)),""))</x:f>
      </x:c>
      <x:c r="U1597" s="9" t="str">
        <x:f>IF(C1597="","",IFERROR(INDEX('Taxonomy'!$G$9:$G$108,MATCH(D1597,'Taxonomy'!$C$9:$C$108,0)),""))</x:f>
      </x:c>
    </x:row>
    <x:row r="1598" ht="44" customHeight="1">
      <x:c r="A1598" s="1"/>
      <x:c r="B1598" s="1"/>
      <x:c r="C1598" s="8"/>
      <x:c r="D1598" s="8"/>
      <x:c r="E1598" s="8"/>
      <x:c r="F1598" s="8"/>
      <x:c r="G1598" s="8"/>
      <x:c r="H1598" s="8"/>
      <x:c r="I1598" s="8"/>
      <x:c r="J1598" s="8"/>
      <x:c r="K1598" s="8"/>
      <x:c r="L1598" s="8"/>
      <x:c r="M1598" s="10"/>
      <x:c r="N1598" s="10"/>
      <x:c r="O1598" s="8"/>
      <x:c r="P1598" s="9" t="str">
        <x:f>IF(C1598="","",IF(AND(G1598="Applicable",H1598="Fail"),"Fail",IF(R1598&lt;&gt;"Valid","Pending",IF(OR(I1598="",K1598="",L1598="",K1598=L1598,NOT(ISNUMBER(M1598)),NOT(ISNUMBER(N1598)),M1598&gt;Settings!$F$8,N1598&lt;Settings!$F$8,N1598&lt;M1598),"Pending",IF(AND(G1598="Applicable",H1598="Pass"),"Pass",IF(AND(G1598="N/A",H1598="N/A",J1598&lt;&gt;"",OR(E1598="CEM-FUELS",E1598="CEM-CCS",AND(E1598="CEM-PLAN",IFERROR(INDEX('Taxonomy'!$M$9:$M$108,MATCH(D1598,'Taxonomy'!$C$9:$C$108,0)),"")&lt;&gt;"Amber"),E1598="BLD-TIMBER",AND(U1598="Building equipment",OR(E1598="BLD-WATER",E1598="BLD-WASTE",E1598="BLD-LAND")),AND(U1598="Building renovation",E1598="BLD-LAND"))),"N/A","Pending"))))))</x:f>
      </x:c>
      <x:c r="Q1598" s="3" t="str">
        <x:f>IF(C1598="","",IF(AND(R1598="Valid",OR(P1598="Pass",P1598="N/A")),"Complete","Unresolved"))</x:f>
      </x:c>
      <x:c r="R1598" s="9" t="str">
        <x:f>IF(C1598="","",IF(OR(COUNTIF($C$9:$C$2008,C1598)&lt;&gt;1,COUNTIFS($D$9:$D$2008,D1598,$E$9:$E$2008,E1598)&lt;&gt;1),"Duplicate test",IF(COUNTIF('Taxonomy'!$C$9:$C$108,D1598)&lt;&gt;1,"Assessment key",IF(OR(COUNTIF('Taxonomy Rules'!$C$42:$C$68,E1598)&lt;&gt;1,F1598&lt;&gt;IFERROR(INDEX('Taxonomy Rules'!$D$42:$D$68,MATCH(E1598,'Taxonomy Rules'!$C$42:$C$68,0)),""),NOT(OR(IFERROR(INDEX('Taxonomy Rules'!$G$42:$G$68,MATCH(E1598,'Taxonomy Rules'!$C$42:$C$68,0)),"")="All supported routes",IFERROR(INDEX('Taxonomy Rules'!$G$42:$G$68,MATCH(E1598,'Taxonomy Rules'!$C$42:$C$68,0)),"")=U1598,AND(IFERROR(INDEX('Taxonomy Rules'!$G$42:$G$68,MATCH(E1598,'Taxonomy Rules'!$C$42:$C$68,0)),"")="Building routes",OR(U1598="Building renovation",U1598="New building",U1598="Building equipment"))))),"Unexpected test","Valid"))))</x:f>
      </x:c>
      <x:c r="S1598" s="9" t="str">
        <x:f>IF(C1598="","",IFERROR(INDEX('Taxonomy Rules'!$E$42:$E$68,MATCH(E1598,'Taxonomy Rules'!$C$42:$C$68,0)),""))</x:f>
      </x:c>
      <x:c r="T1598" s="9" t="str">
        <x:f>IF(C1598="","",IFERROR(INDEX('Taxonomy Rules'!$F$42:$F$68,MATCH(E1598,'Taxonomy Rules'!$C$42:$C$68,0)),""))</x:f>
      </x:c>
      <x:c r="U1598" s="9" t="str">
        <x:f>IF(C1598="","",IFERROR(INDEX('Taxonomy'!$G$9:$G$108,MATCH(D1598,'Taxonomy'!$C$9:$C$108,0)),""))</x:f>
      </x:c>
    </x:row>
    <x:row r="1599" ht="44" customHeight="1">
      <x:c r="A1599" s="1"/>
      <x:c r="B1599" s="1"/>
      <x:c r="C1599" s="8"/>
      <x:c r="D1599" s="8"/>
      <x:c r="E1599" s="8"/>
      <x:c r="F1599" s="8"/>
      <x:c r="G1599" s="8"/>
      <x:c r="H1599" s="8"/>
      <x:c r="I1599" s="8"/>
      <x:c r="J1599" s="8"/>
      <x:c r="K1599" s="8"/>
      <x:c r="L1599" s="8"/>
      <x:c r="M1599" s="10"/>
      <x:c r="N1599" s="10"/>
      <x:c r="O1599" s="8"/>
      <x:c r="P1599" s="9" t="str">
        <x:f>IF(C1599="","",IF(AND(G1599="Applicable",H1599="Fail"),"Fail",IF(R1599&lt;&gt;"Valid","Pending",IF(OR(I1599="",K1599="",L1599="",K1599=L1599,NOT(ISNUMBER(M1599)),NOT(ISNUMBER(N1599)),M1599&gt;Settings!$F$8,N1599&lt;Settings!$F$8,N1599&lt;M1599),"Pending",IF(AND(G1599="Applicable",H1599="Pass"),"Pass",IF(AND(G1599="N/A",H1599="N/A",J1599&lt;&gt;"",OR(E1599="CEM-FUELS",E1599="CEM-CCS",AND(E1599="CEM-PLAN",IFERROR(INDEX('Taxonomy'!$M$9:$M$108,MATCH(D1599,'Taxonomy'!$C$9:$C$108,0)),"")&lt;&gt;"Amber"),E1599="BLD-TIMBER",AND(U1599="Building equipment",OR(E1599="BLD-WATER",E1599="BLD-WASTE",E1599="BLD-LAND")),AND(U1599="Building renovation",E1599="BLD-LAND"))),"N/A","Pending"))))))</x:f>
      </x:c>
      <x:c r="Q1599" s="3" t="str">
        <x:f>IF(C1599="","",IF(AND(R1599="Valid",OR(P1599="Pass",P1599="N/A")),"Complete","Unresolved"))</x:f>
      </x:c>
      <x:c r="R1599" s="9" t="str">
        <x:f>IF(C1599="","",IF(OR(COUNTIF($C$9:$C$2008,C1599)&lt;&gt;1,COUNTIFS($D$9:$D$2008,D1599,$E$9:$E$2008,E1599)&lt;&gt;1),"Duplicate test",IF(COUNTIF('Taxonomy'!$C$9:$C$108,D1599)&lt;&gt;1,"Assessment key",IF(OR(COUNTIF('Taxonomy Rules'!$C$42:$C$68,E1599)&lt;&gt;1,F1599&lt;&gt;IFERROR(INDEX('Taxonomy Rules'!$D$42:$D$68,MATCH(E1599,'Taxonomy Rules'!$C$42:$C$68,0)),""),NOT(OR(IFERROR(INDEX('Taxonomy Rules'!$G$42:$G$68,MATCH(E1599,'Taxonomy Rules'!$C$42:$C$68,0)),"")="All supported routes",IFERROR(INDEX('Taxonomy Rules'!$G$42:$G$68,MATCH(E1599,'Taxonomy Rules'!$C$42:$C$68,0)),"")=U1599,AND(IFERROR(INDEX('Taxonomy Rules'!$G$42:$G$68,MATCH(E1599,'Taxonomy Rules'!$C$42:$C$68,0)),"")="Building routes",OR(U1599="Building renovation",U1599="New building",U1599="Building equipment"))))),"Unexpected test","Valid"))))</x:f>
      </x:c>
      <x:c r="S1599" s="9" t="str">
        <x:f>IF(C1599="","",IFERROR(INDEX('Taxonomy Rules'!$E$42:$E$68,MATCH(E1599,'Taxonomy Rules'!$C$42:$C$68,0)),""))</x:f>
      </x:c>
      <x:c r="T1599" s="9" t="str">
        <x:f>IF(C1599="","",IFERROR(INDEX('Taxonomy Rules'!$F$42:$F$68,MATCH(E1599,'Taxonomy Rules'!$C$42:$C$68,0)),""))</x:f>
      </x:c>
      <x:c r="U1599" s="9" t="str">
        <x:f>IF(C1599="","",IFERROR(INDEX('Taxonomy'!$G$9:$G$108,MATCH(D1599,'Taxonomy'!$C$9:$C$108,0)),""))</x:f>
      </x:c>
    </x:row>
    <x:row r="1600" ht="44" customHeight="1">
      <x:c r="A1600" s="1"/>
      <x:c r="B1600" s="1"/>
      <x:c r="C1600" s="8"/>
      <x:c r="D1600" s="8"/>
      <x:c r="E1600" s="8"/>
      <x:c r="F1600" s="8"/>
      <x:c r="G1600" s="8"/>
      <x:c r="H1600" s="8"/>
      <x:c r="I1600" s="8"/>
      <x:c r="J1600" s="8"/>
      <x:c r="K1600" s="8"/>
      <x:c r="L1600" s="8"/>
      <x:c r="M1600" s="10"/>
      <x:c r="N1600" s="10"/>
      <x:c r="O1600" s="8"/>
      <x:c r="P1600" s="9" t="str">
        <x:f>IF(C1600="","",IF(AND(G1600="Applicable",H1600="Fail"),"Fail",IF(R1600&lt;&gt;"Valid","Pending",IF(OR(I1600="",K1600="",L1600="",K1600=L1600,NOT(ISNUMBER(M1600)),NOT(ISNUMBER(N1600)),M1600&gt;Settings!$F$8,N1600&lt;Settings!$F$8,N1600&lt;M1600),"Pending",IF(AND(G1600="Applicable",H1600="Pass"),"Pass",IF(AND(G1600="N/A",H1600="N/A",J1600&lt;&gt;"",OR(E1600="CEM-FUELS",E1600="CEM-CCS",AND(E1600="CEM-PLAN",IFERROR(INDEX('Taxonomy'!$M$9:$M$108,MATCH(D1600,'Taxonomy'!$C$9:$C$108,0)),"")&lt;&gt;"Amber"),E1600="BLD-TIMBER",AND(U1600="Building equipment",OR(E1600="BLD-WATER",E1600="BLD-WASTE",E1600="BLD-LAND")),AND(U1600="Building renovation",E1600="BLD-LAND"))),"N/A","Pending"))))))</x:f>
      </x:c>
      <x:c r="Q1600" s="3" t="str">
        <x:f>IF(C1600="","",IF(AND(R1600="Valid",OR(P1600="Pass",P1600="N/A")),"Complete","Unresolved"))</x:f>
      </x:c>
      <x:c r="R1600" s="9" t="str">
        <x:f>IF(C1600="","",IF(OR(COUNTIF($C$9:$C$2008,C1600)&lt;&gt;1,COUNTIFS($D$9:$D$2008,D1600,$E$9:$E$2008,E1600)&lt;&gt;1),"Duplicate test",IF(COUNTIF('Taxonomy'!$C$9:$C$108,D1600)&lt;&gt;1,"Assessment key",IF(OR(COUNTIF('Taxonomy Rules'!$C$42:$C$68,E1600)&lt;&gt;1,F1600&lt;&gt;IFERROR(INDEX('Taxonomy Rules'!$D$42:$D$68,MATCH(E1600,'Taxonomy Rules'!$C$42:$C$68,0)),""),NOT(OR(IFERROR(INDEX('Taxonomy Rules'!$G$42:$G$68,MATCH(E1600,'Taxonomy Rules'!$C$42:$C$68,0)),"")="All supported routes",IFERROR(INDEX('Taxonomy Rules'!$G$42:$G$68,MATCH(E1600,'Taxonomy Rules'!$C$42:$C$68,0)),"")=U1600,AND(IFERROR(INDEX('Taxonomy Rules'!$G$42:$G$68,MATCH(E1600,'Taxonomy Rules'!$C$42:$C$68,0)),"")="Building routes",OR(U1600="Building renovation",U1600="New building",U1600="Building equipment"))))),"Unexpected test","Valid"))))</x:f>
      </x:c>
      <x:c r="S1600" s="9" t="str">
        <x:f>IF(C1600="","",IFERROR(INDEX('Taxonomy Rules'!$E$42:$E$68,MATCH(E1600,'Taxonomy Rules'!$C$42:$C$68,0)),""))</x:f>
      </x:c>
      <x:c r="T1600" s="9" t="str">
        <x:f>IF(C1600="","",IFERROR(INDEX('Taxonomy Rules'!$F$42:$F$68,MATCH(E1600,'Taxonomy Rules'!$C$42:$C$68,0)),""))</x:f>
      </x:c>
      <x:c r="U1600" s="9" t="str">
        <x:f>IF(C1600="","",IFERROR(INDEX('Taxonomy'!$G$9:$G$108,MATCH(D1600,'Taxonomy'!$C$9:$C$108,0)),""))</x:f>
      </x:c>
    </x:row>
    <x:row r="1601" ht="44" customHeight="1">
      <x:c r="A1601" s="1"/>
      <x:c r="B1601" s="1"/>
      <x:c r="C1601" s="8"/>
      <x:c r="D1601" s="8"/>
      <x:c r="E1601" s="8"/>
      <x:c r="F1601" s="8"/>
      <x:c r="G1601" s="8"/>
      <x:c r="H1601" s="8"/>
      <x:c r="I1601" s="8"/>
      <x:c r="J1601" s="8"/>
      <x:c r="K1601" s="8"/>
      <x:c r="L1601" s="8"/>
      <x:c r="M1601" s="10"/>
      <x:c r="N1601" s="10"/>
      <x:c r="O1601" s="8"/>
      <x:c r="P1601" s="9" t="str">
        <x:f>IF(C1601="","",IF(AND(G1601="Applicable",H1601="Fail"),"Fail",IF(R1601&lt;&gt;"Valid","Pending",IF(OR(I1601="",K1601="",L1601="",K1601=L1601,NOT(ISNUMBER(M1601)),NOT(ISNUMBER(N1601)),M1601&gt;Settings!$F$8,N1601&lt;Settings!$F$8,N1601&lt;M1601),"Pending",IF(AND(G1601="Applicable",H1601="Pass"),"Pass",IF(AND(G1601="N/A",H1601="N/A",J1601&lt;&gt;"",OR(E1601="CEM-FUELS",E1601="CEM-CCS",AND(E1601="CEM-PLAN",IFERROR(INDEX('Taxonomy'!$M$9:$M$108,MATCH(D1601,'Taxonomy'!$C$9:$C$108,0)),"")&lt;&gt;"Amber"),E1601="BLD-TIMBER",AND(U1601="Building equipment",OR(E1601="BLD-WATER",E1601="BLD-WASTE",E1601="BLD-LAND")),AND(U1601="Building renovation",E1601="BLD-LAND"))),"N/A","Pending"))))))</x:f>
      </x:c>
      <x:c r="Q1601" s="3" t="str">
        <x:f>IF(C1601="","",IF(AND(R1601="Valid",OR(P1601="Pass",P1601="N/A")),"Complete","Unresolved"))</x:f>
      </x:c>
      <x:c r="R1601" s="9" t="str">
        <x:f>IF(C1601="","",IF(OR(COUNTIF($C$9:$C$2008,C1601)&lt;&gt;1,COUNTIFS($D$9:$D$2008,D1601,$E$9:$E$2008,E1601)&lt;&gt;1),"Duplicate test",IF(COUNTIF('Taxonomy'!$C$9:$C$108,D1601)&lt;&gt;1,"Assessment key",IF(OR(COUNTIF('Taxonomy Rules'!$C$42:$C$68,E1601)&lt;&gt;1,F1601&lt;&gt;IFERROR(INDEX('Taxonomy Rules'!$D$42:$D$68,MATCH(E1601,'Taxonomy Rules'!$C$42:$C$68,0)),""),NOT(OR(IFERROR(INDEX('Taxonomy Rules'!$G$42:$G$68,MATCH(E1601,'Taxonomy Rules'!$C$42:$C$68,0)),"")="All supported routes",IFERROR(INDEX('Taxonomy Rules'!$G$42:$G$68,MATCH(E1601,'Taxonomy Rules'!$C$42:$C$68,0)),"")=U1601,AND(IFERROR(INDEX('Taxonomy Rules'!$G$42:$G$68,MATCH(E1601,'Taxonomy Rules'!$C$42:$C$68,0)),"")="Building routes",OR(U1601="Building renovation",U1601="New building",U1601="Building equipment"))))),"Unexpected test","Valid"))))</x:f>
      </x:c>
      <x:c r="S1601" s="9" t="str">
        <x:f>IF(C1601="","",IFERROR(INDEX('Taxonomy Rules'!$E$42:$E$68,MATCH(E1601,'Taxonomy Rules'!$C$42:$C$68,0)),""))</x:f>
      </x:c>
      <x:c r="T1601" s="9" t="str">
        <x:f>IF(C1601="","",IFERROR(INDEX('Taxonomy Rules'!$F$42:$F$68,MATCH(E1601,'Taxonomy Rules'!$C$42:$C$68,0)),""))</x:f>
      </x:c>
      <x:c r="U1601" s="9" t="str">
        <x:f>IF(C1601="","",IFERROR(INDEX('Taxonomy'!$G$9:$G$108,MATCH(D1601,'Taxonomy'!$C$9:$C$108,0)),""))</x:f>
      </x:c>
    </x:row>
    <x:row r="1602" ht="44" customHeight="1">
      <x:c r="A1602" s="1"/>
      <x:c r="B1602" s="1"/>
      <x:c r="C1602" s="8"/>
      <x:c r="D1602" s="8"/>
      <x:c r="E1602" s="8"/>
      <x:c r="F1602" s="8"/>
      <x:c r="G1602" s="8"/>
      <x:c r="H1602" s="8"/>
      <x:c r="I1602" s="8"/>
      <x:c r="J1602" s="8"/>
      <x:c r="K1602" s="8"/>
      <x:c r="L1602" s="8"/>
      <x:c r="M1602" s="10"/>
      <x:c r="N1602" s="10"/>
      <x:c r="O1602" s="8"/>
      <x:c r="P1602" s="9" t="str">
        <x:f>IF(C1602="","",IF(AND(G1602="Applicable",H1602="Fail"),"Fail",IF(R1602&lt;&gt;"Valid","Pending",IF(OR(I1602="",K1602="",L1602="",K1602=L1602,NOT(ISNUMBER(M1602)),NOT(ISNUMBER(N1602)),M1602&gt;Settings!$F$8,N1602&lt;Settings!$F$8,N1602&lt;M1602),"Pending",IF(AND(G1602="Applicable",H1602="Pass"),"Pass",IF(AND(G1602="N/A",H1602="N/A",J1602&lt;&gt;"",OR(E1602="CEM-FUELS",E1602="CEM-CCS",AND(E1602="CEM-PLAN",IFERROR(INDEX('Taxonomy'!$M$9:$M$108,MATCH(D1602,'Taxonomy'!$C$9:$C$108,0)),"")&lt;&gt;"Amber"),E1602="BLD-TIMBER",AND(U1602="Building equipment",OR(E1602="BLD-WATER",E1602="BLD-WASTE",E1602="BLD-LAND")),AND(U1602="Building renovation",E1602="BLD-LAND"))),"N/A","Pending"))))))</x:f>
      </x:c>
      <x:c r="Q1602" s="3" t="str">
        <x:f>IF(C1602="","",IF(AND(R1602="Valid",OR(P1602="Pass",P1602="N/A")),"Complete","Unresolved"))</x:f>
      </x:c>
      <x:c r="R1602" s="9" t="str">
        <x:f>IF(C1602="","",IF(OR(COUNTIF($C$9:$C$2008,C1602)&lt;&gt;1,COUNTIFS($D$9:$D$2008,D1602,$E$9:$E$2008,E1602)&lt;&gt;1),"Duplicate test",IF(COUNTIF('Taxonomy'!$C$9:$C$108,D1602)&lt;&gt;1,"Assessment key",IF(OR(COUNTIF('Taxonomy Rules'!$C$42:$C$68,E1602)&lt;&gt;1,F1602&lt;&gt;IFERROR(INDEX('Taxonomy Rules'!$D$42:$D$68,MATCH(E1602,'Taxonomy Rules'!$C$42:$C$68,0)),""),NOT(OR(IFERROR(INDEX('Taxonomy Rules'!$G$42:$G$68,MATCH(E1602,'Taxonomy Rules'!$C$42:$C$68,0)),"")="All supported routes",IFERROR(INDEX('Taxonomy Rules'!$G$42:$G$68,MATCH(E1602,'Taxonomy Rules'!$C$42:$C$68,0)),"")=U1602,AND(IFERROR(INDEX('Taxonomy Rules'!$G$42:$G$68,MATCH(E1602,'Taxonomy Rules'!$C$42:$C$68,0)),"")="Building routes",OR(U1602="Building renovation",U1602="New building",U1602="Building equipment"))))),"Unexpected test","Valid"))))</x:f>
      </x:c>
      <x:c r="S1602" s="9" t="str">
        <x:f>IF(C1602="","",IFERROR(INDEX('Taxonomy Rules'!$E$42:$E$68,MATCH(E1602,'Taxonomy Rules'!$C$42:$C$68,0)),""))</x:f>
      </x:c>
      <x:c r="T1602" s="9" t="str">
        <x:f>IF(C1602="","",IFERROR(INDEX('Taxonomy Rules'!$F$42:$F$68,MATCH(E1602,'Taxonomy Rules'!$C$42:$C$68,0)),""))</x:f>
      </x:c>
      <x:c r="U1602" s="9" t="str">
        <x:f>IF(C1602="","",IFERROR(INDEX('Taxonomy'!$G$9:$G$108,MATCH(D1602,'Taxonomy'!$C$9:$C$108,0)),""))</x:f>
      </x:c>
    </x:row>
    <x:row r="1603" ht="44" customHeight="1">
      <x:c r="A1603" s="1"/>
      <x:c r="B1603" s="1"/>
      <x:c r="C1603" s="8"/>
      <x:c r="D1603" s="8"/>
      <x:c r="E1603" s="8"/>
      <x:c r="F1603" s="8"/>
      <x:c r="G1603" s="8"/>
      <x:c r="H1603" s="8"/>
      <x:c r="I1603" s="8"/>
      <x:c r="J1603" s="8"/>
      <x:c r="K1603" s="8"/>
      <x:c r="L1603" s="8"/>
      <x:c r="M1603" s="10"/>
      <x:c r="N1603" s="10"/>
      <x:c r="O1603" s="8"/>
      <x:c r="P1603" s="9" t="str">
        <x:f>IF(C1603="","",IF(AND(G1603="Applicable",H1603="Fail"),"Fail",IF(R1603&lt;&gt;"Valid","Pending",IF(OR(I1603="",K1603="",L1603="",K1603=L1603,NOT(ISNUMBER(M1603)),NOT(ISNUMBER(N1603)),M1603&gt;Settings!$F$8,N1603&lt;Settings!$F$8,N1603&lt;M1603),"Pending",IF(AND(G1603="Applicable",H1603="Pass"),"Pass",IF(AND(G1603="N/A",H1603="N/A",J1603&lt;&gt;"",OR(E1603="CEM-FUELS",E1603="CEM-CCS",AND(E1603="CEM-PLAN",IFERROR(INDEX('Taxonomy'!$M$9:$M$108,MATCH(D1603,'Taxonomy'!$C$9:$C$108,0)),"")&lt;&gt;"Amber"),E1603="BLD-TIMBER",AND(U1603="Building equipment",OR(E1603="BLD-WATER",E1603="BLD-WASTE",E1603="BLD-LAND")),AND(U1603="Building renovation",E1603="BLD-LAND"))),"N/A","Pending"))))))</x:f>
      </x:c>
      <x:c r="Q1603" s="3" t="str">
        <x:f>IF(C1603="","",IF(AND(R1603="Valid",OR(P1603="Pass",P1603="N/A")),"Complete","Unresolved"))</x:f>
      </x:c>
      <x:c r="R1603" s="9" t="str">
        <x:f>IF(C1603="","",IF(OR(COUNTIF($C$9:$C$2008,C1603)&lt;&gt;1,COUNTIFS($D$9:$D$2008,D1603,$E$9:$E$2008,E1603)&lt;&gt;1),"Duplicate test",IF(COUNTIF('Taxonomy'!$C$9:$C$108,D1603)&lt;&gt;1,"Assessment key",IF(OR(COUNTIF('Taxonomy Rules'!$C$42:$C$68,E1603)&lt;&gt;1,F1603&lt;&gt;IFERROR(INDEX('Taxonomy Rules'!$D$42:$D$68,MATCH(E1603,'Taxonomy Rules'!$C$42:$C$68,0)),""),NOT(OR(IFERROR(INDEX('Taxonomy Rules'!$G$42:$G$68,MATCH(E1603,'Taxonomy Rules'!$C$42:$C$68,0)),"")="All supported routes",IFERROR(INDEX('Taxonomy Rules'!$G$42:$G$68,MATCH(E1603,'Taxonomy Rules'!$C$42:$C$68,0)),"")=U1603,AND(IFERROR(INDEX('Taxonomy Rules'!$G$42:$G$68,MATCH(E1603,'Taxonomy Rules'!$C$42:$C$68,0)),"")="Building routes",OR(U1603="Building renovation",U1603="New building",U1603="Building equipment"))))),"Unexpected test","Valid"))))</x:f>
      </x:c>
      <x:c r="S1603" s="9" t="str">
        <x:f>IF(C1603="","",IFERROR(INDEX('Taxonomy Rules'!$E$42:$E$68,MATCH(E1603,'Taxonomy Rules'!$C$42:$C$68,0)),""))</x:f>
      </x:c>
      <x:c r="T1603" s="9" t="str">
        <x:f>IF(C1603="","",IFERROR(INDEX('Taxonomy Rules'!$F$42:$F$68,MATCH(E1603,'Taxonomy Rules'!$C$42:$C$68,0)),""))</x:f>
      </x:c>
      <x:c r="U1603" s="9" t="str">
        <x:f>IF(C1603="","",IFERROR(INDEX('Taxonomy'!$G$9:$G$108,MATCH(D1603,'Taxonomy'!$C$9:$C$108,0)),""))</x:f>
      </x:c>
    </x:row>
    <x:row r="1604" ht="44" customHeight="1">
      <x:c r="A1604" s="1"/>
      <x:c r="B1604" s="1"/>
      <x:c r="C1604" s="8"/>
      <x:c r="D1604" s="8"/>
      <x:c r="E1604" s="8"/>
      <x:c r="F1604" s="8"/>
      <x:c r="G1604" s="8"/>
      <x:c r="H1604" s="8"/>
      <x:c r="I1604" s="8"/>
      <x:c r="J1604" s="8"/>
      <x:c r="K1604" s="8"/>
      <x:c r="L1604" s="8"/>
      <x:c r="M1604" s="10"/>
      <x:c r="N1604" s="10"/>
      <x:c r="O1604" s="8"/>
      <x:c r="P1604" s="9" t="str">
        <x:f>IF(C1604="","",IF(AND(G1604="Applicable",H1604="Fail"),"Fail",IF(R1604&lt;&gt;"Valid","Pending",IF(OR(I1604="",K1604="",L1604="",K1604=L1604,NOT(ISNUMBER(M1604)),NOT(ISNUMBER(N1604)),M1604&gt;Settings!$F$8,N1604&lt;Settings!$F$8,N1604&lt;M1604),"Pending",IF(AND(G1604="Applicable",H1604="Pass"),"Pass",IF(AND(G1604="N/A",H1604="N/A",J1604&lt;&gt;"",OR(E1604="CEM-FUELS",E1604="CEM-CCS",AND(E1604="CEM-PLAN",IFERROR(INDEX('Taxonomy'!$M$9:$M$108,MATCH(D1604,'Taxonomy'!$C$9:$C$108,0)),"")&lt;&gt;"Amber"),E1604="BLD-TIMBER",AND(U1604="Building equipment",OR(E1604="BLD-WATER",E1604="BLD-WASTE",E1604="BLD-LAND")),AND(U1604="Building renovation",E1604="BLD-LAND"))),"N/A","Pending"))))))</x:f>
      </x:c>
      <x:c r="Q1604" s="3" t="str">
        <x:f>IF(C1604="","",IF(AND(R1604="Valid",OR(P1604="Pass",P1604="N/A")),"Complete","Unresolved"))</x:f>
      </x:c>
      <x:c r="R1604" s="9" t="str">
        <x:f>IF(C1604="","",IF(OR(COUNTIF($C$9:$C$2008,C1604)&lt;&gt;1,COUNTIFS($D$9:$D$2008,D1604,$E$9:$E$2008,E1604)&lt;&gt;1),"Duplicate test",IF(COUNTIF('Taxonomy'!$C$9:$C$108,D1604)&lt;&gt;1,"Assessment key",IF(OR(COUNTIF('Taxonomy Rules'!$C$42:$C$68,E1604)&lt;&gt;1,F1604&lt;&gt;IFERROR(INDEX('Taxonomy Rules'!$D$42:$D$68,MATCH(E1604,'Taxonomy Rules'!$C$42:$C$68,0)),""),NOT(OR(IFERROR(INDEX('Taxonomy Rules'!$G$42:$G$68,MATCH(E1604,'Taxonomy Rules'!$C$42:$C$68,0)),"")="All supported routes",IFERROR(INDEX('Taxonomy Rules'!$G$42:$G$68,MATCH(E1604,'Taxonomy Rules'!$C$42:$C$68,0)),"")=U1604,AND(IFERROR(INDEX('Taxonomy Rules'!$G$42:$G$68,MATCH(E1604,'Taxonomy Rules'!$C$42:$C$68,0)),"")="Building routes",OR(U1604="Building renovation",U1604="New building",U1604="Building equipment"))))),"Unexpected test","Valid"))))</x:f>
      </x:c>
      <x:c r="S1604" s="9" t="str">
        <x:f>IF(C1604="","",IFERROR(INDEX('Taxonomy Rules'!$E$42:$E$68,MATCH(E1604,'Taxonomy Rules'!$C$42:$C$68,0)),""))</x:f>
      </x:c>
      <x:c r="T1604" s="9" t="str">
        <x:f>IF(C1604="","",IFERROR(INDEX('Taxonomy Rules'!$F$42:$F$68,MATCH(E1604,'Taxonomy Rules'!$C$42:$C$68,0)),""))</x:f>
      </x:c>
      <x:c r="U1604" s="9" t="str">
        <x:f>IF(C1604="","",IFERROR(INDEX('Taxonomy'!$G$9:$G$108,MATCH(D1604,'Taxonomy'!$C$9:$C$108,0)),""))</x:f>
      </x:c>
    </x:row>
    <x:row r="1605" ht="44" customHeight="1">
      <x:c r="A1605" s="1"/>
      <x:c r="B1605" s="1"/>
      <x:c r="C1605" s="8"/>
      <x:c r="D1605" s="8"/>
      <x:c r="E1605" s="8"/>
      <x:c r="F1605" s="8"/>
      <x:c r="G1605" s="8"/>
      <x:c r="H1605" s="8"/>
      <x:c r="I1605" s="8"/>
      <x:c r="J1605" s="8"/>
      <x:c r="K1605" s="8"/>
      <x:c r="L1605" s="8"/>
      <x:c r="M1605" s="10"/>
      <x:c r="N1605" s="10"/>
      <x:c r="O1605" s="8"/>
      <x:c r="P1605" s="9" t="str">
        <x:f>IF(C1605="","",IF(AND(G1605="Applicable",H1605="Fail"),"Fail",IF(R1605&lt;&gt;"Valid","Pending",IF(OR(I1605="",K1605="",L1605="",K1605=L1605,NOT(ISNUMBER(M1605)),NOT(ISNUMBER(N1605)),M1605&gt;Settings!$F$8,N1605&lt;Settings!$F$8,N1605&lt;M1605),"Pending",IF(AND(G1605="Applicable",H1605="Pass"),"Pass",IF(AND(G1605="N/A",H1605="N/A",J1605&lt;&gt;"",OR(E1605="CEM-FUELS",E1605="CEM-CCS",AND(E1605="CEM-PLAN",IFERROR(INDEX('Taxonomy'!$M$9:$M$108,MATCH(D1605,'Taxonomy'!$C$9:$C$108,0)),"")&lt;&gt;"Amber"),E1605="BLD-TIMBER",AND(U1605="Building equipment",OR(E1605="BLD-WATER",E1605="BLD-WASTE",E1605="BLD-LAND")),AND(U1605="Building renovation",E1605="BLD-LAND"))),"N/A","Pending"))))))</x:f>
      </x:c>
      <x:c r="Q1605" s="3" t="str">
        <x:f>IF(C1605="","",IF(AND(R1605="Valid",OR(P1605="Pass",P1605="N/A")),"Complete","Unresolved"))</x:f>
      </x:c>
      <x:c r="R1605" s="9" t="str">
        <x:f>IF(C1605="","",IF(OR(COUNTIF($C$9:$C$2008,C1605)&lt;&gt;1,COUNTIFS($D$9:$D$2008,D1605,$E$9:$E$2008,E1605)&lt;&gt;1),"Duplicate test",IF(COUNTIF('Taxonomy'!$C$9:$C$108,D1605)&lt;&gt;1,"Assessment key",IF(OR(COUNTIF('Taxonomy Rules'!$C$42:$C$68,E1605)&lt;&gt;1,F1605&lt;&gt;IFERROR(INDEX('Taxonomy Rules'!$D$42:$D$68,MATCH(E1605,'Taxonomy Rules'!$C$42:$C$68,0)),""),NOT(OR(IFERROR(INDEX('Taxonomy Rules'!$G$42:$G$68,MATCH(E1605,'Taxonomy Rules'!$C$42:$C$68,0)),"")="All supported routes",IFERROR(INDEX('Taxonomy Rules'!$G$42:$G$68,MATCH(E1605,'Taxonomy Rules'!$C$42:$C$68,0)),"")=U1605,AND(IFERROR(INDEX('Taxonomy Rules'!$G$42:$G$68,MATCH(E1605,'Taxonomy Rules'!$C$42:$C$68,0)),"")="Building routes",OR(U1605="Building renovation",U1605="New building",U1605="Building equipment"))))),"Unexpected test","Valid"))))</x:f>
      </x:c>
      <x:c r="S1605" s="9" t="str">
        <x:f>IF(C1605="","",IFERROR(INDEX('Taxonomy Rules'!$E$42:$E$68,MATCH(E1605,'Taxonomy Rules'!$C$42:$C$68,0)),""))</x:f>
      </x:c>
      <x:c r="T1605" s="9" t="str">
        <x:f>IF(C1605="","",IFERROR(INDEX('Taxonomy Rules'!$F$42:$F$68,MATCH(E1605,'Taxonomy Rules'!$C$42:$C$68,0)),""))</x:f>
      </x:c>
      <x:c r="U1605" s="9" t="str">
        <x:f>IF(C1605="","",IFERROR(INDEX('Taxonomy'!$G$9:$G$108,MATCH(D1605,'Taxonomy'!$C$9:$C$108,0)),""))</x:f>
      </x:c>
    </x:row>
    <x:row r="1606" ht="44" customHeight="1">
      <x:c r="A1606" s="1"/>
      <x:c r="B1606" s="1"/>
      <x:c r="C1606" s="8"/>
      <x:c r="D1606" s="8"/>
      <x:c r="E1606" s="8"/>
      <x:c r="F1606" s="8"/>
      <x:c r="G1606" s="8"/>
      <x:c r="H1606" s="8"/>
      <x:c r="I1606" s="8"/>
      <x:c r="J1606" s="8"/>
      <x:c r="K1606" s="8"/>
      <x:c r="L1606" s="8"/>
      <x:c r="M1606" s="10"/>
      <x:c r="N1606" s="10"/>
      <x:c r="O1606" s="8"/>
      <x:c r="P1606" s="9" t="str">
        <x:f>IF(C1606="","",IF(AND(G1606="Applicable",H1606="Fail"),"Fail",IF(R1606&lt;&gt;"Valid","Pending",IF(OR(I1606="",K1606="",L1606="",K1606=L1606,NOT(ISNUMBER(M1606)),NOT(ISNUMBER(N1606)),M1606&gt;Settings!$F$8,N1606&lt;Settings!$F$8,N1606&lt;M1606),"Pending",IF(AND(G1606="Applicable",H1606="Pass"),"Pass",IF(AND(G1606="N/A",H1606="N/A",J1606&lt;&gt;"",OR(E1606="CEM-FUELS",E1606="CEM-CCS",AND(E1606="CEM-PLAN",IFERROR(INDEX('Taxonomy'!$M$9:$M$108,MATCH(D1606,'Taxonomy'!$C$9:$C$108,0)),"")&lt;&gt;"Amber"),E1606="BLD-TIMBER",AND(U1606="Building equipment",OR(E1606="BLD-WATER",E1606="BLD-WASTE",E1606="BLD-LAND")),AND(U1606="Building renovation",E1606="BLD-LAND"))),"N/A","Pending"))))))</x:f>
      </x:c>
      <x:c r="Q1606" s="3" t="str">
        <x:f>IF(C1606="","",IF(AND(R1606="Valid",OR(P1606="Pass",P1606="N/A")),"Complete","Unresolved"))</x:f>
      </x:c>
      <x:c r="R1606" s="9" t="str">
        <x:f>IF(C1606="","",IF(OR(COUNTIF($C$9:$C$2008,C1606)&lt;&gt;1,COUNTIFS($D$9:$D$2008,D1606,$E$9:$E$2008,E1606)&lt;&gt;1),"Duplicate test",IF(COUNTIF('Taxonomy'!$C$9:$C$108,D1606)&lt;&gt;1,"Assessment key",IF(OR(COUNTIF('Taxonomy Rules'!$C$42:$C$68,E1606)&lt;&gt;1,F1606&lt;&gt;IFERROR(INDEX('Taxonomy Rules'!$D$42:$D$68,MATCH(E1606,'Taxonomy Rules'!$C$42:$C$68,0)),""),NOT(OR(IFERROR(INDEX('Taxonomy Rules'!$G$42:$G$68,MATCH(E1606,'Taxonomy Rules'!$C$42:$C$68,0)),"")="All supported routes",IFERROR(INDEX('Taxonomy Rules'!$G$42:$G$68,MATCH(E1606,'Taxonomy Rules'!$C$42:$C$68,0)),"")=U1606,AND(IFERROR(INDEX('Taxonomy Rules'!$G$42:$G$68,MATCH(E1606,'Taxonomy Rules'!$C$42:$C$68,0)),"")="Building routes",OR(U1606="Building renovation",U1606="New building",U1606="Building equipment"))))),"Unexpected test","Valid"))))</x:f>
      </x:c>
      <x:c r="S1606" s="9" t="str">
        <x:f>IF(C1606="","",IFERROR(INDEX('Taxonomy Rules'!$E$42:$E$68,MATCH(E1606,'Taxonomy Rules'!$C$42:$C$68,0)),""))</x:f>
      </x:c>
      <x:c r="T1606" s="9" t="str">
        <x:f>IF(C1606="","",IFERROR(INDEX('Taxonomy Rules'!$F$42:$F$68,MATCH(E1606,'Taxonomy Rules'!$C$42:$C$68,0)),""))</x:f>
      </x:c>
      <x:c r="U1606" s="9" t="str">
        <x:f>IF(C1606="","",IFERROR(INDEX('Taxonomy'!$G$9:$G$108,MATCH(D1606,'Taxonomy'!$C$9:$C$108,0)),""))</x:f>
      </x:c>
    </x:row>
    <x:row r="1607" ht="44" customHeight="1">
      <x:c r="A1607" s="1"/>
      <x:c r="B1607" s="1"/>
      <x:c r="C1607" s="8"/>
      <x:c r="D1607" s="8"/>
      <x:c r="E1607" s="8"/>
      <x:c r="F1607" s="8"/>
      <x:c r="G1607" s="8"/>
      <x:c r="H1607" s="8"/>
      <x:c r="I1607" s="8"/>
      <x:c r="J1607" s="8"/>
      <x:c r="K1607" s="8"/>
      <x:c r="L1607" s="8"/>
      <x:c r="M1607" s="10"/>
      <x:c r="N1607" s="10"/>
      <x:c r="O1607" s="8"/>
      <x:c r="P1607" s="9" t="str">
        <x:f>IF(C1607="","",IF(AND(G1607="Applicable",H1607="Fail"),"Fail",IF(R1607&lt;&gt;"Valid","Pending",IF(OR(I1607="",K1607="",L1607="",K1607=L1607,NOT(ISNUMBER(M1607)),NOT(ISNUMBER(N1607)),M1607&gt;Settings!$F$8,N1607&lt;Settings!$F$8,N1607&lt;M1607),"Pending",IF(AND(G1607="Applicable",H1607="Pass"),"Pass",IF(AND(G1607="N/A",H1607="N/A",J1607&lt;&gt;"",OR(E1607="CEM-FUELS",E1607="CEM-CCS",AND(E1607="CEM-PLAN",IFERROR(INDEX('Taxonomy'!$M$9:$M$108,MATCH(D1607,'Taxonomy'!$C$9:$C$108,0)),"")&lt;&gt;"Amber"),E1607="BLD-TIMBER",AND(U1607="Building equipment",OR(E1607="BLD-WATER",E1607="BLD-WASTE",E1607="BLD-LAND")),AND(U1607="Building renovation",E1607="BLD-LAND"))),"N/A","Pending"))))))</x:f>
      </x:c>
      <x:c r="Q1607" s="3" t="str">
        <x:f>IF(C1607="","",IF(AND(R1607="Valid",OR(P1607="Pass",P1607="N/A")),"Complete","Unresolved"))</x:f>
      </x:c>
      <x:c r="R1607" s="9" t="str">
        <x:f>IF(C1607="","",IF(OR(COUNTIF($C$9:$C$2008,C1607)&lt;&gt;1,COUNTIFS($D$9:$D$2008,D1607,$E$9:$E$2008,E1607)&lt;&gt;1),"Duplicate test",IF(COUNTIF('Taxonomy'!$C$9:$C$108,D1607)&lt;&gt;1,"Assessment key",IF(OR(COUNTIF('Taxonomy Rules'!$C$42:$C$68,E1607)&lt;&gt;1,F1607&lt;&gt;IFERROR(INDEX('Taxonomy Rules'!$D$42:$D$68,MATCH(E1607,'Taxonomy Rules'!$C$42:$C$68,0)),""),NOT(OR(IFERROR(INDEX('Taxonomy Rules'!$G$42:$G$68,MATCH(E1607,'Taxonomy Rules'!$C$42:$C$68,0)),"")="All supported routes",IFERROR(INDEX('Taxonomy Rules'!$G$42:$G$68,MATCH(E1607,'Taxonomy Rules'!$C$42:$C$68,0)),"")=U1607,AND(IFERROR(INDEX('Taxonomy Rules'!$G$42:$G$68,MATCH(E1607,'Taxonomy Rules'!$C$42:$C$68,0)),"")="Building routes",OR(U1607="Building renovation",U1607="New building",U1607="Building equipment"))))),"Unexpected test","Valid"))))</x:f>
      </x:c>
      <x:c r="S1607" s="9" t="str">
        <x:f>IF(C1607="","",IFERROR(INDEX('Taxonomy Rules'!$E$42:$E$68,MATCH(E1607,'Taxonomy Rules'!$C$42:$C$68,0)),""))</x:f>
      </x:c>
      <x:c r="T1607" s="9" t="str">
        <x:f>IF(C1607="","",IFERROR(INDEX('Taxonomy Rules'!$F$42:$F$68,MATCH(E1607,'Taxonomy Rules'!$C$42:$C$68,0)),""))</x:f>
      </x:c>
      <x:c r="U1607" s="9" t="str">
        <x:f>IF(C1607="","",IFERROR(INDEX('Taxonomy'!$G$9:$G$108,MATCH(D1607,'Taxonomy'!$C$9:$C$108,0)),""))</x:f>
      </x:c>
    </x:row>
    <x:row r="1608" ht="44" customHeight="1">
      <x:c r="A1608" s="1"/>
      <x:c r="B1608" s="1"/>
      <x:c r="C1608" s="8"/>
      <x:c r="D1608" s="8"/>
      <x:c r="E1608" s="8"/>
      <x:c r="F1608" s="8"/>
      <x:c r="G1608" s="8"/>
      <x:c r="H1608" s="8"/>
      <x:c r="I1608" s="8"/>
      <x:c r="J1608" s="8"/>
      <x:c r="K1608" s="8"/>
      <x:c r="L1608" s="8"/>
      <x:c r="M1608" s="10"/>
      <x:c r="N1608" s="10"/>
      <x:c r="O1608" s="8"/>
      <x:c r="P1608" s="9" t="str">
        <x:f>IF(C1608="","",IF(AND(G1608="Applicable",H1608="Fail"),"Fail",IF(R1608&lt;&gt;"Valid","Pending",IF(OR(I1608="",K1608="",L1608="",K1608=L1608,NOT(ISNUMBER(M1608)),NOT(ISNUMBER(N1608)),M1608&gt;Settings!$F$8,N1608&lt;Settings!$F$8,N1608&lt;M1608),"Pending",IF(AND(G1608="Applicable",H1608="Pass"),"Pass",IF(AND(G1608="N/A",H1608="N/A",J1608&lt;&gt;"",OR(E1608="CEM-FUELS",E1608="CEM-CCS",AND(E1608="CEM-PLAN",IFERROR(INDEX('Taxonomy'!$M$9:$M$108,MATCH(D1608,'Taxonomy'!$C$9:$C$108,0)),"")&lt;&gt;"Amber"),E1608="BLD-TIMBER",AND(U1608="Building equipment",OR(E1608="BLD-WATER",E1608="BLD-WASTE",E1608="BLD-LAND")),AND(U1608="Building renovation",E1608="BLD-LAND"))),"N/A","Pending"))))))</x:f>
      </x:c>
      <x:c r="Q1608" s="3" t="str">
        <x:f>IF(C1608="","",IF(AND(R1608="Valid",OR(P1608="Pass",P1608="N/A")),"Complete","Unresolved"))</x:f>
      </x:c>
      <x:c r="R1608" s="9" t="str">
        <x:f>IF(C1608="","",IF(OR(COUNTIF($C$9:$C$2008,C1608)&lt;&gt;1,COUNTIFS($D$9:$D$2008,D1608,$E$9:$E$2008,E1608)&lt;&gt;1),"Duplicate test",IF(COUNTIF('Taxonomy'!$C$9:$C$108,D1608)&lt;&gt;1,"Assessment key",IF(OR(COUNTIF('Taxonomy Rules'!$C$42:$C$68,E1608)&lt;&gt;1,F1608&lt;&gt;IFERROR(INDEX('Taxonomy Rules'!$D$42:$D$68,MATCH(E1608,'Taxonomy Rules'!$C$42:$C$68,0)),""),NOT(OR(IFERROR(INDEX('Taxonomy Rules'!$G$42:$G$68,MATCH(E1608,'Taxonomy Rules'!$C$42:$C$68,0)),"")="All supported routes",IFERROR(INDEX('Taxonomy Rules'!$G$42:$G$68,MATCH(E1608,'Taxonomy Rules'!$C$42:$C$68,0)),"")=U1608,AND(IFERROR(INDEX('Taxonomy Rules'!$G$42:$G$68,MATCH(E1608,'Taxonomy Rules'!$C$42:$C$68,0)),"")="Building routes",OR(U1608="Building renovation",U1608="New building",U1608="Building equipment"))))),"Unexpected test","Valid"))))</x:f>
      </x:c>
      <x:c r="S1608" s="9" t="str">
        <x:f>IF(C1608="","",IFERROR(INDEX('Taxonomy Rules'!$E$42:$E$68,MATCH(E1608,'Taxonomy Rules'!$C$42:$C$68,0)),""))</x:f>
      </x:c>
      <x:c r="T1608" s="9" t="str">
        <x:f>IF(C1608="","",IFERROR(INDEX('Taxonomy Rules'!$F$42:$F$68,MATCH(E1608,'Taxonomy Rules'!$C$42:$C$68,0)),""))</x:f>
      </x:c>
      <x:c r="U1608" s="9" t="str">
        <x:f>IF(C1608="","",IFERROR(INDEX('Taxonomy'!$G$9:$G$108,MATCH(D1608,'Taxonomy'!$C$9:$C$108,0)),""))</x:f>
      </x:c>
    </x:row>
    <x:row r="1609" ht="44" customHeight="1">
      <x:c r="A1609" s="1"/>
      <x:c r="B1609" s="1"/>
      <x:c r="C1609" s="8"/>
      <x:c r="D1609" s="8"/>
      <x:c r="E1609" s="8"/>
      <x:c r="F1609" s="8"/>
      <x:c r="G1609" s="8"/>
      <x:c r="H1609" s="8"/>
      <x:c r="I1609" s="8"/>
      <x:c r="J1609" s="8"/>
      <x:c r="K1609" s="8"/>
      <x:c r="L1609" s="8"/>
      <x:c r="M1609" s="10"/>
      <x:c r="N1609" s="10"/>
      <x:c r="O1609" s="8"/>
      <x:c r="P1609" s="9" t="str">
        <x:f>IF(C1609="","",IF(AND(G1609="Applicable",H1609="Fail"),"Fail",IF(R1609&lt;&gt;"Valid","Pending",IF(OR(I1609="",K1609="",L1609="",K1609=L1609,NOT(ISNUMBER(M1609)),NOT(ISNUMBER(N1609)),M1609&gt;Settings!$F$8,N1609&lt;Settings!$F$8,N1609&lt;M1609),"Pending",IF(AND(G1609="Applicable",H1609="Pass"),"Pass",IF(AND(G1609="N/A",H1609="N/A",J1609&lt;&gt;"",OR(E1609="CEM-FUELS",E1609="CEM-CCS",AND(E1609="CEM-PLAN",IFERROR(INDEX('Taxonomy'!$M$9:$M$108,MATCH(D1609,'Taxonomy'!$C$9:$C$108,0)),"")&lt;&gt;"Amber"),E1609="BLD-TIMBER",AND(U1609="Building equipment",OR(E1609="BLD-WATER",E1609="BLD-WASTE",E1609="BLD-LAND")),AND(U1609="Building renovation",E1609="BLD-LAND"))),"N/A","Pending"))))))</x:f>
      </x:c>
      <x:c r="Q1609" s="3" t="str">
        <x:f>IF(C1609="","",IF(AND(R1609="Valid",OR(P1609="Pass",P1609="N/A")),"Complete","Unresolved"))</x:f>
      </x:c>
      <x:c r="R1609" s="9" t="str">
        <x:f>IF(C1609="","",IF(OR(COUNTIF($C$9:$C$2008,C1609)&lt;&gt;1,COUNTIFS($D$9:$D$2008,D1609,$E$9:$E$2008,E1609)&lt;&gt;1),"Duplicate test",IF(COUNTIF('Taxonomy'!$C$9:$C$108,D1609)&lt;&gt;1,"Assessment key",IF(OR(COUNTIF('Taxonomy Rules'!$C$42:$C$68,E1609)&lt;&gt;1,F1609&lt;&gt;IFERROR(INDEX('Taxonomy Rules'!$D$42:$D$68,MATCH(E1609,'Taxonomy Rules'!$C$42:$C$68,0)),""),NOT(OR(IFERROR(INDEX('Taxonomy Rules'!$G$42:$G$68,MATCH(E1609,'Taxonomy Rules'!$C$42:$C$68,0)),"")="All supported routes",IFERROR(INDEX('Taxonomy Rules'!$G$42:$G$68,MATCH(E1609,'Taxonomy Rules'!$C$42:$C$68,0)),"")=U1609,AND(IFERROR(INDEX('Taxonomy Rules'!$G$42:$G$68,MATCH(E1609,'Taxonomy Rules'!$C$42:$C$68,0)),"")="Building routes",OR(U1609="Building renovation",U1609="New building",U1609="Building equipment"))))),"Unexpected test","Valid"))))</x:f>
      </x:c>
      <x:c r="S1609" s="9" t="str">
        <x:f>IF(C1609="","",IFERROR(INDEX('Taxonomy Rules'!$E$42:$E$68,MATCH(E1609,'Taxonomy Rules'!$C$42:$C$68,0)),""))</x:f>
      </x:c>
      <x:c r="T1609" s="9" t="str">
        <x:f>IF(C1609="","",IFERROR(INDEX('Taxonomy Rules'!$F$42:$F$68,MATCH(E1609,'Taxonomy Rules'!$C$42:$C$68,0)),""))</x:f>
      </x:c>
      <x:c r="U1609" s="9" t="str">
        <x:f>IF(C1609="","",IFERROR(INDEX('Taxonomy'!$G$9:$G$108,MATCH(D1609,'Taxonomy'!$C$9:$C$108,0)),""))</x:f>
      </x:c>
    </x:row>
    <x:row r="1610" ht="44" customHeight="1">
      <x:c r="A1610" s="1"/>
      <x:c r="B1610" s="1"/>
      <x:c r="C1610" s="8"/>
      <x:c r="D1610" s="8"/>
      <x:c r="E1610" s="8"/>
      <x:c r="F1610" s="8"/>
      <x:c r="G1610" s="8"/>
      <x:c r="H1610" s="8"/>
      <x:c r="I1610" s="8"/>
      <x:c r="J1610" s="8"/>
      <x:c r="K1610" s="8"/>
      <x:c r="L1610" s="8"/>
      <x:c r="M1610" s="10"/>
      <x:c r="N1610" s="10"/>
      <x:c r="O1610" s="8"/>
      <x:c r="P1610" s="9" t="str">
        <x:f>IF(C1610="","",IF(AND(G1610="Applicable",H1610="Fail"),"Fail",IF(R1610&lt;&gt;"Valid","Pending",IF(OR(I1610="",K1610="",L1610="",K1610=L1610,NOT(ISNUMBER(M1610)),NOT(ISNUMBER(N1610)),M1610&gt;Settings!$F$8,N1610&lt;Settings!$F$8,N1610&lt;M1610),"Pending",IF(AND(G1610="Applicable",H1610="Pass"),"Pass",IF(AND(G1610="N/A",H1610="N/A",J1610&lt;&gt;"",OR(E1610="CEM-FUELS",E1610="CEM-CCS",AND(E1610="CEM-PLAN",IFERROR(INDEX('Taxonomy'!$M$9:$M$108,MATCH(D1610,'Taxonomy'!$C$9:$C$108,0)),"")&lt;&gt;"Amber"),E1610="BLD-TIMBER",AND(U1610="Building equipment",OR(E1610="BLD-WATER",E1610="BLD-WASTE",E1610="BLD-LAND")),AND(U1610="Building renovation",E1610="BLD-LAND"))),"N/A","Pending"))))))</x:f>
      </x:c>
      <x:c r="Q1610" s="3" t="str">
        <x:f>IF(C1610="","",IF(AND(R1610="Valid",OR(P1610="Pass",P1610="N/A")),"Complete","Unresolved"))</x:f>
      </x:c>
      <x:c r="R1610" s="9" t="str">
        <x:f>IF(C1610="","",IF(OR(COUNTIF($C$9:$C$2008,C1610)&lt;&gt;1,COUNTIFS($D$9:$D$2008,D1610,$E$9:$E$2008,E1610)&lt;&gt;1),"Duplicate test",IF(COUNTIF('Taxonomy'!$C$9:$C$108,D1610)&lt;&gt;1,"Assessment key",IF(OR(COUNTIF('Taxonomy Rules'!$C$42:$C$68,E1610)&lt;&gt;1,F1610&lt;&gt;IFERROR(INDEX('Taxonomy Rules'!$D$42:$D$68,MATCH(E1610,'Taxonomy Rules'!$C$42:$C$68,0)),""),NOT(OR(IFERROR(INDEX('Taxonomy Rules'!$G$42:$G$68,MATCH(E1610,'Taxonomy Rules'!$C$42:$C$68,0)),"")="All supported routes",IFERROR(INDEX('Taxonomy Rules'!$G$42:$G$68,MATCH(E1610,'Taxonomy Rules'!$C$42:$C$68,0)),"")=U1610,AND(IFERROR(INDEX('Taxonomy Rules'!$G$42:$G$68,MATCH(E1610,'Taxonomy Rules'!$C$42:$C$68,0)),"")="Building routes",OR(U1610="Building renovation",U1610="New building",U1610="Building equipment"))))),"Unexpected test","Valid"))))</x:f>
      </x:c>
      <x:c r="S1610" s="9" t="str">
        <x:f>IF(C1610="","",IFERROR(INDEX('Taxonomy Rules'!$E$42:$E$68,MATCH(E1610,'Taxonomy Rules'!$C$42:$C$68,0)),""))</x:f>
      </x:c>
      <x:c r="T1610" s="9" t="str">
        <x:f>IF(C1610="","",IFERROR(INDEX('Taxonomy Rules'!$F$42:$F$68,MATCH(E1610,'Taxonomy Rules'!$C$42:$C$68,0)),""))</x:f>
      </x:c>
      <x:c r="U1610" s="9" t="str">
        <x:f>IF(C1610="","",IFERROR(INDEX('Taxonomy'!$G$9:$G$108,MATCH(D1610,'Taxonomy'!$C$9:$C$108,0)),""))</x:f>
      </x:c>
    </x:row>
    <x:row r="1611" ht="44" customHeight="1">
      <x:c r="A1611" s="1"/>
      <x:c r="B1611" s="1"/>
      <x:c r="C1611" s="8"/>
      <x:c r="D1611" s="8"/>
      <x:c r="E1611" s="8"/>
      <x:c r="F1611" s="8"/>
      <x:c r="G1611" s="8"/>
      <x:c r="H1611" s="8"/>
      <x:c r="I1611" s="8"/>
      <x:c r="J1611" s="8"/>
      <x:c r="K1611" s="8"/>
      <x:c r="L1611" s="8"/>
      <x:c r="M1611" s="10"/>
      <x:c r="N1611" s="10"/>
      <x:c r="O1611" s="8"/>
      <x:c r="P1611" s="9" t="str">
        <x:f>IF(C1611="","",IF(AND(G1611="Applicable",H1611="Fail"),"Fail",IF(R1611&lt;&gt;"Valid","Pending",IF(OR(I1611="",K1611="",L1611="",K1611=L1611,NOT(ISNUMBER(M1611)),NOT(ISNUMBER(N1611)),M1611&gt;Settings!$F$8,N1611&lt;Settings!$F$8,N1611&lt;M1611),"Pending",IF(AND(G1611="Applicable",H1611="Pass"),"Pass",IF(AND(G1611="N/A",H1611="N/A",J1611&lt;&gt;"",OR(E1611="CEM-FUELS",E1611="CEM-CCS",AND(E1611="CEM-PLAN",IFERROR(INDEX('Taxonomy'!$M$9:$M$108,MATCH(D1611,'Taxonomy'!$C$9:$C$108,0)),"")&lt;&gt;"Amber"),E1611="BLD-TIMBER",AND(U1611="Building equipment",OR(E1611="BLD-WATER",E1611="BLD-WASTE",E1611="BLD-LAND")),AND(U1611="Building renovation",E1611="BLD-LAND"))),"N/A","Pending"))))))</x:f>
      </x:c>
      <x:c r="Q1611" s="3" t="str">
        <x:f>IF(C1611="","",IF(AND(R1611="Valid",OR(P1611="Pass",P1611="N/A")),"Complete","Unresolved"))</x:f>
      </x:c>
      <x:c r="R1611" s="9" t="str">
        <x:f>IF(C1611="","",IF(OR(COUNTIF($C$9:$C$2008,C1611)&lt;&gt;1,COUNTIFS($D$9:$D$2008,D1611,$E$9:$E$2008,E1611)&lt;&gt;1),"Duplicate test",IF(COUNTIF('Taxonomy'!$C$9:$C$108,D1611)&lt;&gt;1,"Assessment key",IF(OR(COUNTIF('Taxonomy Rules'!$C$42:$C$68,E1611)&lt;&gt;1,F1611&lt;&gt;IFERROR(INDEX('Taxonomy Rules'!$D$42:$D$68,MATCH(E1611,'Taxonomy Rules'!$C$42:$C$68,0)),""),NOT(OR(IFERROR(INDEX('Taxonomy Rules'!$G$42:$G$68,MATCH(E1611,'Taxonomy Rules'!$C$42:$C$68,0)),"")="All supported routes",IFERROR(INDEX('Taxonomy Rules'!$G$42:$G$68,MATCH(E1611,'Taxonomy Rules'!$C$42:$C$68,0)),"")=U1611,AND(IFERROR(INDEX('Taxonomy Rules'!$G$42:$G$68,MATCH(E1611,'Taxonomy Rules'!$C$42:$C$68,0)),"")="Building routes",OR(U1611="Building renovation",U1611="New building",U1611="Building equipment"))))),"Unexpected test","Valid"))))</x:f>
      </x:c>
      <x:c r="S1611" s="9" t="str">
        <x:f>IF(C1611="","",IFERROR(INDEX('Taxonomy Rules'!$E$42:$E$68,MATCH(E1611,'Taxonomy Rules'!$C$42:$C$68,0)),""))</x:f>
      </x:c>
      <x:c r="T1611" s="9" t="str">
        <x:f>IF(C1611="","",IFERROR(INDEX('Taxonomy Rules'!$F$42:$F$68,MATCH(E1611,'Taxonomy Rules'!$C$42:$C$68,0)),""))</x:f>
      </x:c>
      <x:c r="U1611" s="9" t="str">
        <x:f>IF(C1611="","",IFERROR(INDEX('Taxonomy'!$G$9:$G$108,MATCH(D1611,'Taxonomy'!$C$9:$C$108,0)),""))</x:f>
      </x:c>
    </x:row>
    <x:row r="1612" ht="44" customHeight="1">
      <x:c r="A1612" s="1"/>
      <x:c r="B1612" s="1"/>
      <x:c r="C1612" s="8"/>
      <x:c r="D1612" s="8"/>
      <x:c r="E1612" s="8"/>
      <x:c r="F1612" s="8"/>
      <x:c r="G1612" s="8"/>
      <x:c r="H1612" s="8"/>
      <x:c r="I1612" s="8"/>
      <x:c r="J1612" s="8"/>
      <x:c r="K1612" s="8"/>
      <x:c r="L1612" s="8"/>
      <x:c r="M1612" s="10"/>
      <x:c r="N1612" s="10"/>
      <x:c r="O1612" s="8"/>
      <x:c r="P1612" s="9" t="str">
        <x:f>IF(C1612="","",IF(AND(G1612="Applicable",H1612="Fail"),"Fail",IF(R1612&lt;&gt;"Valid","Pending",IF(OR(I1612="",K1612="",L1612="",K1612=L1612,NOT(ISNUMBER(M1612)),NOT(ISNUMBER(N1612)),M1612&gt;Settings!$F$8,N1612&lt;Settings!$F$8,N1612&lt;M1612),"Pending",IF(AND(G1612="Applicable",H1612="Pass"),"Pass",IF(AND(G1612="N/A",H1612="N/A",J1612&lt;&gt;"",OR(E1612="CEM-FUELS",E1612="CEM-CCS",AND(E1612="CEM-PLAN",IFERROR(INDEX('Taxonomy'!$M$9:$M$108,MATCH(D1612,'Taxonomy'!$C$9:$C$108,0)),"")&lt;&gt;"Amber"),E1612="BLD-TIMBER",AND(U1612="Building equipment",OR(E1612="BLD-WATER",E1612="BLD-WASTE",E1612="BLD-LAND")),AND(U1612="Building renovation",E1612="BLD-LAND"))),"N/A","Pending"))))))</x:f>
      </x:c>
      <x:c r="Q1612" s="3" t="str">
        <x:f>IF(C1612="","",IF(AND(R1612="Valid",OR(P1612="Pass",P1612="N/A")),"Complete","Unresolved"))</x:f>
      </x:c>
      <x:c r="R1612" s="9" t="str">
        <x:f>IF(C1612="","",IF(OR(COUNTIF($C$9:$C$2008,C1612)&lt;&gt;1,COUNTIFS($D$9:$D$2008,D1612,$E$9:$E$2008,E1612)&lt;&gt;1),"Duplicate test",IF(COUNTIF('Taxonomy'!$C$9:$C$108,D1612)&lt;&gt;1,"Assessment key",IF(OR(COUNTIF('Taxonomy Rules'!$C$42:$C$68,E1612)&lt;&gt;1,F1612&lt;&gt;IFERROR(INDEX('Taxonomy Rules'!$D$42:$D$68,MATCH(E1612,'Taxonomy Rules'!$C$42:$C$68,0)),""),NOT(OR(IFERROR(INDEX('Taxonomy Rules'!$G$42:$G$68,MATCH(E1612,'Taxonomy Rules'!$C$42:$C$68,0)),"")="All supported routes",IFERROR(INDEX('Taxonomy Rules'!$G$42:$G$68,MATCH(E1612,'Taxonomy Rules'!$C$42:$C$68,0)),"")=U1612,AND(IFERROR(INDEX('Taxonomy Rules'!$G$42:$G$68,MATCH(E1612,'Taxonomy Rules'!$C$42:$C$68,0)),"")="Building routes",OR(U1612="Building renovation",U1612="New building",U1612="Building equipment"))))),"Unexpected test","Valid"))))</x:f>
      </x:c>
      <x:c r="S1612" s="9" t="str">
        <x:f>IF(C1612="","",IFERROR(INDEX('Taxonomy Rules'!$E$42:$E$68,MATCH(E1612,'Taxonomy Rules'!$C$42:$C$68,0)),""))</x:f>
      </x:c>
      <x:c r="T1612" s="9" t="str">
        <x:f>IF(C1612="","",IFERROR(INDEX('Taxonomy Rules'!$F$42:$F$68,MATCH(E1612,'Taxonomy Rules'!$C$42:$C$68,0)),""))</x:f>
      </x:c>
      <x:c r="U1612" s="9" t="str">
        <x:f>IF(C1612="","",IFERROR(INDEX('Taxonomy'!$G$9:$G$108,MATCH(D1612,'Taxonomy'!$C$9:$C$108,0)),""))</x:f>
      </x:c>
    </x:row>
    <x:row r="1613" ht="44" customHeight="1">
      <x:c r="A1613" s="1"/>
      <x:c r="B1613" s="1"/>
      <x:c r="C1613" s="8"/>
      <x:c r="D1613" s="8"/>
      <x:c r="E1613" s="8"/>
      <x:c r="F1613" s="8"/>
      <x:c r="G1613" s="8"/>
      <x:c r="H1613" s="8"/>
      <x:c r="I1613" s="8"/>
      <x:c r="J1613" s="8"/>
      <x:c r="K1613" s="8"/>
      <x:c r="L1613" s="8"/>
      <x:c r="M1613" s="10"/>
      <x:c r="N1613" s="10"/>
      <x:c r="O1613" s="8"/>
      <x:c r="P1613" s="9" t="str">
        <x:f>IF(C1613="","",IF(AND(G1613="Applicable",H1613="Fail"),"Fail",IF(R1613&lt;&gt;"Valid","Pending",IF(OR(I1613="",K1613="",L1613="",K1613=L1613,NOT(ISNUMBER(M1613)),NOT(ISNUMBER(N1613)),M1613&gt;Settings!$F$8,N1613&lt;Settings!$F$8,N1613&lt;M1613),"Pending",IF(AND(G1613="Applicable",H1613="Pass"),"Pass",IF(AND(G1613="N/A",H1613="N/A",J1613&lt;&gt;"",OR(E1613="CEM-FUELS",E1613="CEM-CCS",AND(E1613="CEM-PLAN",IFERROR(INDEX('Taxonomy'!$M$9:$M$108,MATCH(D1613,'Taxonomy'!$C$9:$C$108,0)),"")&lt;&gt;"Amber"),E1613="BLD-TIMBER",AND(U1613="Building equipment",OR(E1613="BLD-WATER",E1613="BLD-WASTE",E1613="BLD-LAND")),AND(U1613="Building renovation",E1613="BLD-LAND"))),"N/A","Pending"))))))</x:f>
      </x:c>
      <x:c r="Q1613" s="3" t="str">
        <x:f>IF(C1613="","",IF(AND(R1613="Valid",OR(P1613="Pass",P1613="N/A")),"Complete","Unresolved"))</x:f>
      </x:c>
      <x:c r="R1613" s="9" t="str">
        <x:f>IF(C1613="","",IF(OR(COUNTIF($C$9:$C$2008,C1613)&lt;&gt;1,COUNTIFS($D$9:$D$2008,D1613,$E$9:$E$2008,E1613)&lt;&gt;1),"Duplicate test",IF(COUNTIF('Taxonomy'!$C$9:$C$108,D1613)&lt;&gt;1,"Assessment key",IF(OR(COUNTIF('Taxonomy Rules'!$C$42:$C$68,E1613)&lt;&gt;1,F1613&lt;&gt;IFERROR(INDEX('Taxonomy Rules'!$D$42:$D$68,MATCH(E1613,'Taxonomy Rules'!$C$42:$C$68,0)),""),NOT(OR(IFERROR(INDEX('Taxonomy Rules'!$G$42:$G$68,MATCH(E1613,'Taxonomy Rules'!$C$42:$C$68,0)),"")="All supported routes",IFERROR(INDEX('Taxonomy Rules'!$G$42:$G$68,MATCH(E1613,'Taxonomy Rules'!$C$42:$C$68,0)),"")=U1613,AND(IFERROR(INDEX('Taxonomy Rules'!$G$42:$G$68,MATCH(E1613,'Taxonomy Rules'!$C$42:$C$68,0)),"")="Building routes",OR(U1613="Building renovation",U1613="New building",U1613="Building equipment"))))),"Unexpected test","Valid"))))</x:f>
      </x:c>
      <x:c r="S1613" s="9" t="str">
        <x:f>IF(C1613="","",IFERROR(INDEX('Taxonomy Rules'!$E$42:$E$68,MATCH(E1613,'Taxonomy Rules'!$C$42:$C$68,0)),""))</x:f>
      </x:c>
      <x:c r="T1613" s="9" t="str">
        <x:f>IF(C1613="","",IFERROR(INDEX('Taxonomy Rules'!$F$42:$F$68,MATCH(E1613,'Taxonomy Rules'!$C$42:$C$68,0)),""))</x:f>
      </x:c>
      <x:c r="U1613" s="9" t="str">
        <x:f>IF(C1613="","",IFERROR(INDEX('Taxonomy'!$G$9:$G$108,MATCH(D1613,'Taxonomy'!$C$9:$C$108,0)),""))</x:f>
      </x:c>
    </x:row>
    <x:row r="1614" ht="44" customHeight="1">
      <x:c r="A1614" s="1"/>
      <x:c r="B1614" s="1"/>
      <x:c r="C1614" s="8"/>
      <x:c r="D1614" s="8"/>
      <x:c r="E1614" s="8"/>
      <x:c r="F1614" s="8"/>
      <x:c r="G1614" s="8"/>
      <x:c r="H1614" s="8"/>
      <x:c r="I1614" s="8"/>
      <x:c r="J1614" s="8"/>
      <x:c r="K1614" s="8"/>
      <x:c r="L1614" s="8"/>
      <x:c r="M1614" s="10"/>
      <x:c r="N1614" s="10"/>
      <x:c r="O1614" s="8"/>
      <x:c r="P1614" s="9" t="str">
        <x:f>IF(C1614="","",IF(AND(G1614="Applicable",H1614="Fail"),"Fail",IF(R1614&lt;&gt;"Valid","Pending",IF(OR(I1614="",K1614="",L1614="",K1614=L1614,NOT(ISNUMBER(M1614)),NOT(ISNUMBER(N1614)),M1614&gt;Settings!$F$8,N1614&lt;Settings!$F$8,N1614&lt;M1614),"Pending",IF(AND(G1614="Applicable",H1614="Pass"),"Pass",IF(AND(G1614="N/A",H1614="N/A",J1614&lt;&gt;"",OR(E1614="CEM-FUELS",E1614="CEM-CCS",AND(E1614="CEM-PLAN",IFERROR(INDEX('Taxonomy'!$M$9:$M$108,MATCH(D1614,'Taxonomy'!$C$9:$C$108,0)),"")&lt;&gt;"Amber"),E1614="BLD-TIMBER",AND(U1614="Building equipment",OR(E1614="BLD-WATER",E1614="BLD-WASTE",E1614="BLD-LAND")),AND(U1614="Building renovation",E1614="BLD-LAND"))),"N/A","Pending"))))))</x:f>
      </x:c>
      <x:c r="Q1614" s="3" t="str">
        <x:f>IF(C1614="","",IF(AND(R1614="Valid",OR(P1614="Pass",P1614="N/A")),"Complete","Unresolved"))</x:f>
      </x:c>
      <x:c r="R1614" s="9" t="str">
        <x:f>IF(C1614="","",IF(OR(COUNTIF($C$9:$C$2008,C1614)&lt;&gt;1,COUNTIFS($D$9:$D$2008,D1614,$E$9:$E$2008,E1614)&lt;&gt;1),"Duplicate test",IF(COUNTIF('Taxonomy'!$C$9:$C$108,D1614)&lt;&gt;1,"Assessment key",IF(OR(COUNTIF('Taxonomy Rules'!$C$42:$C$68,E1614)&lt;&gt;1,F1614&lt;&gt;IFERROR(INDEX('Taxonomy Rules'!$D$42:$D$68,MATCH(E1614,'Taxonomy Rules'!$C$42:$C$68,0)),""),NOT(OR(IFERROR(INDEX('Taxonomy Rules'!$G$42:$G$68,MATCH(E1614,'Taxonomy Rules'!$C$42:$C$68,0)),"")="All supported routes",IFERROR(INDEX('Taxonomy Rules'!$G$42:$G$68,MATCH(E1614,'Taxonomy Rules'!$C$42:$C$68,0)),"")=U1614,AND(IFERROR(INDEX('Taxonomy Rules'!$G$42:$G$68,MATCH(E1614,'Taxonomy Rules'!$C$42:$C$68,0)),"")="Building routes",OR(U1614="Building renovation",U1614="New building",U1614="Building equipment"))))),"Unexpected test","Valid"))))</x:f>
      </x:c>
      <x:c r="S1614" s="9" t="str">
        <x:f>IF(C1614="","",IFERROR(INDEX('Taxonomy Rules'!$E$42:$E$68,MATCH(E1614,'Taxonomy Rules'!$C$42:$C$68,0)),""))</x:f>
      </x:c>
      <x:c r="T1614" s="9" t="str">
        <x:f>IF(C1614="","",IFERROR(INDEX('Taxonomy Rules'!$F$42:$F$68,MATCH(E1614,'Taxonomy Rules'!$C$42:$C$68,0)),""))</x:f>
      </x:c>
      <x:c r="U1614" s="9" t="str">
        <x:f>IF(C1614="","",IFERROR(INDEX('Taxonomy'!$G$9:$G$108,MATCH(D1614,'Taxonomy'!$C$9:$C$108,0)),""))</x:f>
      </x:c>
    </x:row>
    <x:row r="1615" ht="44" customHeight="1">
      <x:c r="A1615" s="1"/>
      <x:c r="B1615" s="1"/>
      <x:c r="C1615" s="8"/>
      <x:c r="D1615" s="8"/>
      <x:c r="E1615" s="8"/>
      <x:c r="F1615" s="8"/>
      <x:c r="G1615" s="8"/>
      <x:c r="H1615" s="8"/>
      <x:c r="I1615" s="8"/>
      <x:c r="J1615" s="8"/>
      <x:c r="K1615" s="8"/>
      <x:c r="L1615" s="8"/>
      <x:c r="M1615" s="10"/>
      <x:c r="N1615" s="10"/>
      <x:c r="O1615" s="8"/>
      <x:c r="P1615" s="9" t="str">
        <x:f>IF(C1615="","",IF(AND(G1615="Applicable",H1615="Fail"),"Fail",IF(R1615&lt;&gt;"Valid","Pending",IF(OR(I1615="",K1615="",L1615="",K1615=L1615,NOT(ISNUMBER(M1615)),NOT(ISNUMBER(N1615)),M1615&gt;Settings!$F$8,N1615&lt;Settings!$F$8,N1615&lt;M1615),"Pending",IF(AND(G1615="Applicable",H1615="Pass"),"Pass",IF(AND(G1615="N/A",H1615="N/A",J1615&lt;&gt;"",OR(E1615="CEM-FUELS",E1615="CEM-CCS",AND(E1615="CEM-PLAN",IFERROR(INDEX('Taxonomy'!$M$9:$M$108,MATCH(D1615,'Taxonomy'!$C$9:$C$108,0)),"")&lt;&gt;"Amber"),E1615="BLD-TIMBER",AND(U1615="Building equipment",OR(E1615="BLD-WATER",E1615="BLD-WASTE",E1615="BLD-LAND")),AND(U1615="Building renovation",E1615="BLD-LAND"))),"N/A","Pending"))))))</x:f>
      </x:c>
      <x:c r="Q1615" s="3" t="str">
        <x:f>IF(C1615="","",IF(AND(R1615="Valid",OR(P1615="Pass",P1615="N/A")),"Complete","Unresolved"))</x:f>
      </x:c>
      <x:c r="R1615" s="9" t="str">
        <x:f>IF(C1615="","",IF(OR(COUNTIF($C$9:$C$2008,C1615)&lt;&gt;1,COUNTIFS($D$9:$D$2008,D1615,$E$9:$E$2008,E1615)&lt;&gt;1),"Duplicate test",IF(COUNTIF('Taxonomy'!$C$9:$C$108,D1615)&lt;&gt;1,"Assessment key",IF(OR(COUNTIF('Taxonomy Rules'!$C$42:$C$68,E1615)&lt;&gt;1,F1615&lt;&gt;IFERROR(INDEX('Taxonomy Rules'!$D$42:$D$68,MATCH(E1615,'Taxonomy Rules'!$C$42:$C$68,0)),""),NOT(OR(IFERROR(INDEX('Taxonomy Rules'!$G$42:$G$68,MATCH(E1615,'Taxonomy Rules'!$C$42:$C$68,0)),"")="All supported routes",IFERROR(INDEX('Taxonomy Rules'!$G$42:$G$68,MATCH(E1615,'Taxonomy Rules'!$C$42:$C$68,0)),"")=U1615,AND(IFERROR(INDEX('Taxonomy Rules'!$G$42:$G$68,MATCH(E1615,'Taxonomy Rules'!$C$42:$C$68,0)),"")="Building routes",OR(U1615="Building renovation",U1615="New building",U1615="Building equipment"))))),"Unexpected test","Valid"))))</x:f>
      </x:c>
      <x:c r="S1615" s="9" t="str">
        <x:f>IF(C1615="","",IFERROR(INDEX('Taxonomy Rules'!$E$42:$E$68,MATCH(E1615,'Taxonomy Rules'!$C$42:$C$68,0)),""))</x:f>
      </x:c>
      <x:c r="T1615" s="9" t="str">
        <x:f>IF(C1615="","",IFERROR(INDEX('Taxonomy Rules'!$F$42:$F$68,MATCH(E1615,'Taxonomy Rules'!$C$42:$C$68,0)),""))</x:f>
      </x:c>
      <x:c r="U1615" s="9" t="str">
        <x:f>IF(C1615="","",IFERROR(INDEX('Taxonomy'!$G$9:$G$108,MATCH(D1615,'Taxonomy'!$C$9:$C$108,0)),""))</x:f>
      </x:c>
    </x:row>
    <x:row r="1616" ht="44" customHeight="1">
      <x:c r="A1616" s="1"/>
      <x:c r="B1616" s="1"/>
      <x:c r="C1616" s="8"/>
      <x:c r="D1616" s="8"/>
      <x:c r="E1616" s="8"/>
      <x:c r="F1616" s="8"/>
      <x:c r="G1616" s="8"/>
      <x:c r="H1616" s="8"/>
      <x:c r="I1616" s="8"/>
      <x:c r="J1616" s="8"/>
      <x:c r="K1616" s="8"/>
      <x:c r="L1616" s="8"/>
      <x:c r="M1616" s="10"/>
      <x:c r="N1616" s="10"/>
      <x:c r="O1616" s="8"/>
      <x:c r="P1616" s="9" t="str">
        <x:f>IF(C1616="","",IF(AND(G1616="Applicable",H1616="Fail"),"Fail",IF(R1616&lt;&gt;"Valid","Pending",IF(OR(I1616="",K1616="",L1616="",K1616=L1616,NOT(ISNUMBER(M1616)),NOT(ISNUMBER(N1616)),M1616&gt;Settings!$F$8,N1616&lt;Settings!$F$8,N1616&lt;M1616),"Pending",IF(AND(G1616="Applicable",H1616="Pass"),"Pass",IF(AND(G1616="N/A",H1616="N/A",J1616&lt;&gt;"",OR(E1616="CEM-FUELS",E1616="CEM-CCS",AND(E1616="CEM-PLAN",IFERROR(INDEX('Taxonomy'!$M$9:$M$108,MATCH(D1616,'Taxonomy'!$C$9:$C$108,0)),"")&lt;&gt;"Amber"),E1616="BLD-TIMBER",AND(U1616="Building equipment",OR(E1616="BLD-WATER",E1616="BLD-WASTE",E1616="BLD-LAND")),AND(U1616="Building renovation",E1616="BLD-LAND"))),"N/A","Pending"))))))</x:f>
      </x:c>
      <x:c r="Q1616" s="3" t="str">
        <x:f>IF(C1616="","",IF(AND(R1616="Valid",OR(P1616="Pass",P1616="N/A")),"Complete","Unresolved"))</x:f>
      </x:c>
      <x:c r="R1616" s="9" t="str">
        <x:f>IF(C1616="","",IF(OR(COUNTIF($C$9:$C$2008,C1616)&lt;&gt;1,COUNTIFS($D$9:$D$2008,D1616,$E$9:$E$2008,E1616)&lt;&gt;1),"Duplicate test",IF(COUNTIF('Taxonomy'!$C$9:$C$108,D1616)&lt;&gt;1,"Assessment key",IF(OR(COUNTIF('Taxonomy Rules'!$C$42:$C$68,E1616)&lt;&gt;1,F1616&lt;&gt;IFERROR(INDEX('Taxonomy Rules'!$D$42:$D$68,MATCH(E1616,'Taxonomy Rules'!$C$42:$C$68,0)),""),NOT(OR(IFERROR(INDEX('Taxonomy Rules'!$G$42:$G$68,MATCH(E1616,'Taxonomy Rules'!$C$42:$C$68,0)),"")="All supported routes",IFERROR(INDEX('Taxonomy Rules'!$G$42:$G$68,MATCH(E1616,'Taxonomy Rules'!$C$42:$C$68,0)),"")=U1616,AND(IFERROR(INDEX('Taxonomy Rules'!$G$42:$G$68,MATCH(E1616,'Taxonomy Rules'!$C$42:$C$68,0)),"")="Building routes",OR(U1616="Building renovation",U1616="New building",U1616="Building equipment"))))),"Unexpected test","Valid"))))</x:f>
      </x:c>
      <x:c r="S1616" s="9" t="str">
        <x:f>IF(C1616="","",IFERROR(INDEX('Taxonomy Rules'!$E$42:$E$68,MATCH(E1616,'Taxonomy Rules'!$C$42:$C$68,0)),""))</x:f>
      </x:c>
      <x:c r="T1616" s="9" t="str">
        <x:f>IF(C1616="","",IFERROR(INDEX('Taxonomy Rules'!$F$42:$F$68,MATCH(E1616,'Taxonomy Rules'!$C$42:$C$68,0)),""))</x:f>
      </x:c>
      <x:c r="U1616" s="9" t="str">
        <x:f>IF(C1616="","",IFERROR(INDEX('Taxonomy'!$G$9:$G$108,MATCH(D1616,'Taxonomy'!$C$9:$C$108,0)),""))</x:f>
      </x:c>
    </x:row>
    <x:row r="1617" ht="44" customHeight="1">
      <x:c r="A1617" s="1"/>
      <x:c r="B1617" s="1"/>
      <x:c r="C1617" s="8"/>
      <x:c r="D1617" s="8"/>
      <x:c r="E1617" s="8"/>
      <x:c r="F1617" s="8"/>
      <x:c r="G1617" s="8"/>
      <x:c r="H1617" s="8"/>
      <x:c r="I1617" s="8"/>
      <x:c r="J1617" s="8"/>
      <x:c r="K1617" s="8"/>
      <x:c r="L1617" s="8"/>
      <x:c r="M1617" s="10"/>
      <x:c r="N1617" s="10"/>
      <x:c r="O1617" s="8"/>
      <x:c r="P1617" s="9" t="str">
        <x:f>IF(C1617="","",IF(AND(G1617="Applicable",H1617="Fail"),"Fail",IF(R1617&lt;&gt;"Valid","Pending",IF(OR(I1617="",K1617="",L1617="",K1617=L1617,NOT(ISNUMBER(M1617)),NOT(ISNUMBER(N1617)),M1617&gt;Settings!$F$8,N1617&lt;Settings!$F$8,N1617&lt;M1617),"Pending",IF(AND(G1617="Applicable",H1617="Pass"),"Pass",IF(AND(G1617="N/A",H1617="N/A",J1617&lt;&gt;"",OR(E1617="CEM-FUELS",E1617="CEM-CCS",AND(E1617="CEM-PLAN",IFERROR(INDEX('Taxonomy'!$M$9:$M$108,MATCH(D1617,'Taxonomy'!$C$9:$C$108,0)),"")&lt;&gt;"Amber"),E1617="BLD-TIMBER",AND(U1617="Building equipment",OR(E1617="BLD-WATER",E1617="BLD-WASTE",E1617="BLD-LAND")),AND(U1617="Building renovation",E1617="BLD-LAND"))),"N/A","Pending"))))))</x:f>
      </x:c>
      <x:c r="Q1617" s="3" t="str">
        <x:f>IF(C1617="","",IF(AND(R1617="Valid",OR(P1617="Pass",P1617="N/A")),"Complete","Unresolved"))</x:f>
      </x:c>
      <x:c r="R1617" s="9" t="str">
        <x:f>IF(C1617="","",IF(OR(COUNTIF($C$9:$C$2008,C1617)&lt;&gt;1,COUNTIFS($D$9:$D$2008,D1617,$E$9:$E$2008,E1617)&lt;&gt;1),"Duplicate test",IF(COUNTIF('Taxonomy'!$C$9:$C$108,D1617)&lt;&gt;1,"Assessment key",IF(OR(COUNTIF('Taxonomy Rules'!$C$42:$C$68,E1617)&lt;&gt;1,F1617&lt;&gt;IFERROR(INDEX('Taxonomy Rules'!$D$42:$D$68,MATCH(E1617,'Taxonomy Rules'!$C$42:$C$68,0)),""),NOT(OR(IFERROR(INDEX('Taxonomy Rules'!$G$42:$G$68,MATCH(E1617,'Taxonomy Rules'!$C$42:$C$68,0)),"")="All supported routes",IFERROR(INDEX('Taxonomy Rules'!$G$42:$G$68,MATCH(E1617,'Taxonomy Rules'!$C$42:$C$68,0)),"")=U1617,AND(IFERROR(INDEX('Taxonomy Rules'!$G$42:$G$68,MATCH(E1617,'Taxonomy Rules'!$C$42:$C$68,0)),"")="Building routes",OR(U1617="Building renovation",U1617="New building",U1617="Building equipment"))))),"Unexpected test","Valid"))))</x:f>
      </x:c>
      <x:c r="S1617" s="9" t="str">
        <x:f>IF(C1617="","",IFERROR(INDEX('Taxonomy Rules'!$E$42:$E$68,MATCH(E1617,'Taxonomy Rules'!$C$42:$C$68,0)),""))</x:f>
      </x:c>
      <x:c r="T1617" s="9" t="str">
        <x:f>IF(C1617="","",IFERROR(INDEX('Taxonomy Rules'!$F$42:$F$68,MATCH(E1617,'Taxonomy Rules'!$C$42:$C$68,0)),""))</x:f>
      </x:c>
      <x:c r="U1617" s="9" t="str">
        <x:f>IF(C1617="","",IFERROR(INDEX('Taxonomy'!$G$9:$G$108,MATCH(D1617,'Taxonomy'!$C$9:$C$108,0)),""))</x:f>
      </x:c>
    </x:row>
    <x:row r="1618" ht="44" customHeight="1">
      <x:c r="A1618" s="1"/>
      <x:c r="B1618" s="1"/>
      <x:c r="C1618" s="8"/>
      <x:c r="D1618" s="8"/>
      <x:c r="E1618" s="8"/>
      <x:c r="F1618" s="8"/>
      <x:c r="G1618" s="8"/>
      <x:c r="H1618" s="8"/>
      <x:c r="I1618" s="8"/>
      <x:c r="J1618" s="8"/>
      <x:c r="K1618" s="8"/>
      <x:c r="L1618" s="8"/>
      <x:c r="M1618" s="10"/>
      <x:c r="N1618" s="10"/>
      <x:c r="O1618" s="8"/>
      <x:c r="P1618" s="9" t="str">
        <x:f>IF(C1618="","",IF(AND(G1618="Applicable",H1618="Fail"),"Fail",IF(R1618&lt;&gt;"Valid","Pending",IF(OR(I1618="",K1618="",L1618="",K1618=L1618,NOT(ISNUMBER(M1618)),NOT(ISNUMBER(N1618)),M1618&gt;Settings!$F$8,N1618&lt;Settings!$F$8,N1618&lt;M1618),"Pending",IF(AND(G1618="Applicable",H1618="Pass"),"Pass",IF(AND(G1618="N/A",H1618="N/A",J1618&lt;&gt;"",OR(E1618="CEM-FUELS",E1618="CEM-CCS",AND(E1618="CEM-PLAN",IFERROR(INDEX('Taxonomy'!$M$9:$M$108,MATCH(D1618,'Taxonomy'!$C$9:$C$108,0)),"")&lt;&gt;"Amber"),E1618="BLD-TIMBER",AND(U1618="Building equipment",OR(E1618="BLD-WATER",E1618="BLD-WASTE",E1618="BLD-LAND")),AND(U1618="Building renovation",E1618="BLD-LAND"))),"N/A","Pending"))))))</x:f>
      </x:c>
      <x:c r="Q1618" s="3" t="str">
        <x:f>IF(C1618="","",IF(AND(R1618="Valid",OR(P1618="Pass",P1618="N/A")),"Complete","Unresolved"))</x:f>
      </x:c>
      <x:c r="R1618" s="9" t="str">
        <x:f>IF(C1618="","",IF(OR(COUNTIF($C$9:$C$2008,C1618)&lt;&gt;1,COUNTIFS($D$9:$D$2008,D1618,$E$9:$E$2008,E1618)&lt;&gt;1),"Duplicate test",IF(COUNTIF('Taxonomy'!$C$9:$C$108,D1618)&lt;&gt;1,"Assessment key",IF(OR(COUNTIF('Taxonomy Rules'!$C$42:$C$68,E1618)&lt;&gt;1,F1618&lt;&gt;IFERROR(INDEX('Taxonomy Rules'!$D$42:$D$68,MATCH(E1618,'Taxonomy Rules'!$C$42:$C$68,0)),""),NOT(OR(IFERROR(INDEX('Taxonomy Rules'!$G$42:$G$68,MATCH(E1618,'Taxonomy Rules'!$C$42:$C$68,0)),"")="All supported routes",IFERROR(INDEX('Taxonomy Rules'!$G$42:$G$68,MATCH(E1618,'Taxonomy Rules'!$C$42:$C$68,0)),"")=U1618,AND(IFERROR(INDEX('Taxonomy Rules'!$G$42:$G$68,MATCH(E1618,'Taxonomy Rules'!$C$42:$C$68,0)),"")="Building routes",OR(U1618="Building renovation",U1618="New building",U1618="Building equipment"))))),"Unexpected test","Valid"))))</x:f>
      </x:c>
      <x:c r="S1618" s="9" t="str">
        <x:f>IF(C1618="","",IFERROR(INDEX('Taxonomy Rules'!$E$42:$E$68,MATCH(E1618,'Taxonomy Rules'!$C$42:$C$68,0)),""))</x:f>
      </x:c>
      <x:c r="T1618" s="9" t="str">
        <x:f>IF(C1618="","",IFERROR(INDEX('Taxonomy Rules'!$F$42:$F$68,MATCH(E1618,'Taxonomy Rules'!$C$42:$C$68,0)),""))</x:f>
      </x:c>
      <x:c r="U1618" s="9" t="str">
        <x:f>IF(C1618="","",IFERROR(INDEX('Taxonomy'!$G$9:$G$108,MATCH(D1618,'Taxonomy'!$C$9:$C$108,0)),""))</x:f>
      </x:c>
    </x:row>
    <x:row r="1619" ht="44" customHeight="1">
      <x:c r="A1619" s="1"/>
      <x:c r="B1619" s="1"/>
      <x:c r="C1619" s="8"/>
      <x:c r="D1619" s="8"/>
      <x:c r="E1619" s="8"/>
      <x:c r="F1619" s="8"/>
      <x:c r="G1619" s="8"/>
      <x:c r="H1619" s="8"/>
      <x:c r="I1619" s="8"/>
      <x:c r="J1619" s="8"/>
      <x:c r="K1619" s="8"/>
      <x:c r="L1619" s="8"/>
      <x:c r="M1619" s="10"/>
      <x:c r="N1619" s="10"/>
      <x:c r="O1619" s="8"/>
      <x:c r="P1619" s="9" t="str">
        <x:f>IF(C1619="","",IF(AND(G1619="Applicable",H1619="Fail"),"Fail",IF(R1619&lt;&gt;"Valid","Pending",IF(OR(I1619="",K1619="",L1619="",K1619=L1619,NOT(ISNUMBER(M1619)),NOT(ISNUMBER(N1619)),M1619&gt;Settings!$F$8,N1619&lt;Settings!$F$8,N1619&lt;M1619),"Pending",IF(AND(G1619="Applicable",H1619="Pass"),"Pass",IF(AND(G1619="N/A",H1619="N/A",J1619&lt;&gt;"",OR(E1619="CEM-FUELS",E1619="CEM-CCS",AND(E1619="CEM-PLAN",IFERROR(INDEX('Taxonomy'!$M$9:$M$108,MATCH(D1619,'Taxonomy'!$C$9:$C$108,0)),"")&lt;&gt;"Amber"),E1619="BLD-TIMBER",AND(U1619="Building equipment",OR(E1619="BLD-WATER",E1619="BLD-WASTE",E1619="BLD-LAND")),AND(U1619="Building renovation",E1619="BLD-LAND"))),"N/A","Pending"))))))</x:f>
      </x:c>
      <x:c r="Q1619" s="3" t="str">
        <x:f>IF(C1619="","",IF(AND(R1619="Valid",OR(P1619="Pass",P1619="N/A")),"Complete","Unresolved"))</x:f>
      </x:c>
      <x:c r="R1619" s="9" t="str">
        <x:f>IF(C1619="","",IF(OR(COUNTIF($C$9:$C$2008,C1619)&lt;&gt;1,COUNTIFS($D$9:$D$2008,D1619,$E$9:$E$2008,E1619)&lt;&gt;1),"Duplicate test",IF(COUNTIF('Taxonomy'!$C$9:$C$108,D1619)&lt;&gt;1,"Assessment key",IF(OR(COUNTIF('Taxonomy Rules'!$C$42:$C$68,E1619)&lt;&gt;1,F1619&lt;&gt;IFERROR(INDEX('Taxonomy Rules'!$D$42:$D$68,MATCH(E1619,'Taxonomy Rules'!$C$42:$C$68,0)),""),NOT(OR(IFERROR(INDEX('Taxonomy Rules'!$G$42:$G$68,MATCH(E1619,'Taxonomy Rules'!$C$42:$C$68,0)),"")="All supported routes",IFERROR(INDEX('Taxonomy Rules'!$G$42:$G$68,MATCH(E1619,'Taxonomy Rules'!$C$42:$C$68,0)),"")=U1619,AND(IFERROR(INDEX('Taxonomy Rules'!$G$42:$G$68,MATCH(E1619,'Taxonomy Rules'!$C$42:$C$68,0)),"")="Building routes",OR(U1619="Building renovation",U1619="New building",U1619="Building equipment"))))),"Unexpected test","Valid"))))</x:f>
      </x:c>
      <x:c r="S1619" s="9" t="str">
        <x:f>IF(C1619="","",IFERROR(INDEX('Taxonomy Rules'!$E$42:$E$68,MATCH(E1619,'Taxonomy Rules'!$C$42:$C$68,0)),""))</x:f>
      </x:c>
      <x:c r="T1619" s="9" t="str">
        <x:f>IF(C1619="","",IFERROR(INDEX('Taxonomy Rules'!$F$42:$F$68,MATCH(E1619,'Taxonomy Rules'!$C$42:$C$68,0)),""))</x:f>
      </x:c>
      <x:c r="U1619" s="9" t="str">
        <x:f>IF(C1619="","",IFERROR(INDEX('Taxonomy'!$G$9:$G$108,MATCH(D1619,'Taxonomy'!$C$9:$C$108,0)),""))</x:f>
      </x:c>
    </x:row>
    <x:row r="1620" ht="44" customHeight="1">
      <x:c r="A1620" s="1"/>
      <x:c r="B1620" s="1"/>
      <x:c r="C1620" s="8"/>
      <x:c r="D1620" s="8"/>
      <x:c r="E1620" s="8"/>
      <x:c r="F1620" s="8"/>
      <x:c r="G1620" s="8"/>
      <x:c r="H1620" s="8"/>
      <x:c r="I1620" s="8"/>
      <x:c r="J1620" s="8"/>
      <x:c r="K1620" s="8"/>
      <x:c r="L1620" s="8"/>
      <x:c r="M1620" s="10"/>
      <x:c r="N1620" s="10"/>
      <x:c r="O1620" s="8"/>
      <x:c r="P1620" s="9" t="str">
        <x:f>IF(C1620="","",IF(AND(G1620="Applicable",H1620="Fail"),"Fail",IF(R1620&lt;&gt;"Valid","Pending",IF(OR(I1620="",K1620="",L1620="",K1620=L1620,NOT(ISNUMBER(M1620)),NOT(ISNUMBER(N1620)),M1620&gt;Settings!$F$8,N1620&lt;Settings!$F$8,N1620&lt;M1620),"Pending",IF(AND(G1620="Applicable",H1620="Pass"),"Pass",IF(AND(G1620="N/A",H1620="N/A",J1620&lt;&gt;"",OR(E1620="CEM-FUELS",E1620="CEM-CCS",AND(E1620="CEM-PLAN",IFERROR(INDEX('Taxonomy'!$M$9:$M$108,MATCH(D1620,'Taxonomy'!$C$9:$C$108,0)),"")&lt;&gt;"Amber"),E1620="BLD-TIMBER",AND(U1620="Building equipment",OR(E1620="BLD-WATER",E1620="BLD-WASTE",E1620="BLD-LAND")),AND(U1620="Building renovation",E1620="BLD-LAND"))),"N/A","Pending"))))))</x:f>
      </x:c>
      <x:c r="Q1620" s="3" t="str">
        <x:f>IF(C1620="","",IF(AND(R1620="Valid",OR(P1620="Pass",P1620="N/A")),"Complete","Unresolved"))</x:f>
      </x:c>
      <x:c r="R1620" s="9" t="str">
        <x:f>IF(C1620="","",IF(OR(COUNTIF($C$9:$C$2008,C1620)&lt;&gt;1,COUNTIFS($D$9:$D$2008,D1620,$E$9:$E$2008,E1620)&lt;&gt;1),"Duplicate test",IF(COUNTIF('Taxonomy'!$C$9:$C$108,D1620)&lt;&gt;1,"Assessment key",IF(OR(COUNTIF('Taxonomy Rules'!$C$42:$C$68,E1620)&lt;&gt;1,F1620&lt;&gt;IFERROR(INDEX('Taxonomy Rules'!$D$42:$D$68,MATCH(E1620,'Taxonomy Rules'!$C$42:$C$68,0)),""),NOT(OR(IFERROR(INDEX('Taxonomy Rules'!$G$42:$G$68,MATCH(E1620,'Taxonomy Rules'!$C$42:$C$68,0)),"")="All supported routes",IFERROR(INDEX('Taxonomy Rules'!$G$42:$G$68,MATCH(E1620,'Taxonomy Rules'!$C$42:$C$68,0)),"")=U1620,AND(IFERROR(INDEX('Taxonomy Rules'!$G$42:$G$68,MATCH(E1620,'Taxonomy Rules'!$C$42:$C$68,0)),"")="Building routes",OR(U1620="Building renovation",U1620="New building",U1620="Building equipment"))))),"Unexpected test","Valid"))))</x:f>
      </x:c>
      <x:c r="S1620" s="9" t="str">
        <x:f>IF(C1620="","",IFERROR(INDEX('Taxonomy Rules'!$E$42:$E$68,MATCH(E1620,'Taxonomy Rules'!$C$42:$C$68,0)),""))</x:f>
      </x:c>
      <x:c r="T1620" s="9" t="str">
        <x:f>IF(C1620="","",IFERROR(INDEX('Taxonomy Rules'!$F$42:$F$68,MATCH(E1620,'Taxonomy Rules'!$C$42:$C$68,0)),""))</x:f>
      </x:c>
      <x:c r="U1620" s="9" t="str">
        <x:f>IF(C1620="","",IFERROR(INDEX('Taxonomy'!$G$9:$G$108,MATCH(D1620,'Taxonomy'!$C$9:$C$108,0)),""))</x:f>
      </x:c>
    </x:row>
    <x:row r="1621" ht="44" customHeight="1">
      <x:c r="A1621" s="1"/>
      <x:c r="B1621" s="1"/>
      <x:c r="C1621" s="8"/>
      <x:c r="D1621" s="8"/>
      <x:c r="E1621" s="8"/>
      <x:c r="F1621" s="8"/>
      <x:c r="G1621" s="8"/>
      <x:c r="H1621" s="8"/>
      <x:c r="I1621" s="8"/>
      <x:c r="J1621" s="8"/>
      <x:c r="K1621" s="8"/>
      <x:c r="L1621" s="8"/>
      <x:c r="M1621" s="10"/>
      <x:c r="N1621" s="10"/>
      <x:c r="O1621" s="8"/>
      <x:c r="P1621" s="9" t="str">
        <x:f>IF(C1621="","",IF(AND(G1621="Applicable",H1621="Fail"),"Fail",IF(R1621&lt;&gt;"Valid","Pending",IF(OR(I1621="",K1621="",L1621="",K1621=L1621,NOT(ISNUMBER(M1621)),NOT(ISNUMBER(N1621)),M1621&gt;Settings!$F$8,N1621&lt;Settings!$F$8,N1621&lt;M1621),"Pending",IF(AND(G1621="Applicable",H1621="Pass"),"Pass",IF(AND(G1621="N/A",H1621="N/A",J1621&lt;&gt;"",OR(E1621="CEM-FUELS",E1621="CEM-CCS",AND(E1621="CEM-PLAN",IFERROR(INDEX('Taxonomy'!$M$9:$M$108,MATCH(D1621,'Taxonomy'!$C$9:$C$108,0)),"")&lt;&gt;"Amber"),E1621="BLD-TIMBER",AND(U1621="Building equipment",OR(E1621="BLD-WATER",E1621="BLD-WASTE",E1621="BLD-LAND")),AND(U1621="Building renovation",E1621="BLD-LAND"))),"N/A","Pending"))))))</x:f>
      </x:c>
      <x:c r="Q1621" s="3" t="str">
        <x:f>IF(C1621="","",IF(AND(R1621="Valid",OR(P1621="Pass",P1621="N/A")),"Complete","Unresolved"))</x:f>
      </x:c>
      <x:c r="R1621" s="9" t="str">
        <x:f>IF(C1621="","",IF(OR(COUNTIF($C$9:$C$2008,C1621)&lt;&gt;1,COUNTIFS($D$9:$D$2008,D1621,$E$9:$E$2008,E1621)&lt;&gt;1),"Duplicate test",IF(COUNTIF('Taxonomy'!$C$9:$C$108,D1621)&lt;&gt;1,"Assessment key",IF(OR(COUNTIF('Taxonomy Rules'!$C$42:$C$68,E1621)&lt;&gt;1,F1621&lt;&gt;IFERROR(INDEX('Taxonomy Rules'!$D$42:$D$68,MATCH(E1621,'Taxonomy Rules'!$C$42:$C$68,0)),""),NOT(OR(IFERROR(INDEX('Taxonomy Rules'!$G$42:$G$68,MATCH(E1621,'Taxonomy Rules'!$C$42:$C$68,0)),"")="All supported routes",IFERROR(INDEX('Taxonomy Rules'!$G$42:$G$68,MATCH(E1621,'Taxonomy Rules'!$C$42:$C$68,0)),"")=U1621,AND(IFERROR(INDEX('Taxonomy Rules'!$G$42:$G$68,MATCH(E1621,'Taxonomy Rules'!$C$42:$C$68,0)),"")="Building routes",OR(U1621="Building renovation",U1621="New building",U1621="Building equipment"))))),"Unexpected test","Valid"))))</x:f>
      </x:c>
      <x:c r="S1621" s="9" t="str">
        <x:f>IF(C1621="","",IFERROR(INDEX('Taxonomy Rules'!$E$42:$E$68,MATCH(E1621,'Taxonomy Rules'!$C$42:$C$68,0)),""))</x:f>
      </x:c>
      <x:c r="T1621" s="9" t="str">
        <x:f>IF(C1621="","",IFERROR(INDEX('Taxonomy Rules'!$F$42:$F$68,MATCH(E1621,'Taxonomy Rules'!$C$42:$C$68,0)),""))</x:f>
      </x:c>
      <x:c r="U1621" s="9" t="str">
        <x:f>IF(C1621="","",IFERROR(INDEX('Taxonomy'!$G$9:$G$108,MATCH(D1621,'Taxonomy'!$C$9:$C$108,0)),""))</x:f>
      </x:c>
    </x:row>
    <x:row r="1622" ht="44" customHeight="1">
      <x:c r="A1622" s="1"/>
      <x:c r="B1622" s="1"/>
      <x:c r="C1622" s="8"/>
      <x:c r="D1622" s="8"/>
      <x:c r="E1622" s="8"/>
      <x:c r="F1622" s="8"/>
      <x:c r="G1622" s="8"/>
      <x:c r="H1622" s="8"/>
      <x:c r="I1622" s="8"/>
      <x:c r="J1622" s="8"/>
      <x:c r="K1622" s="8"/>
      <x:c r="L1622" s="8"/>
      <x:c r="M1622" s="10"/>
      <x:c r="N1622" s="10"/>
      <x:c r="O1622" s="8"/>
      <x:c r="P1622" s="9" t="str">
        <x:f>IF(C1622="","",IF(AND(G1622="Applicable",H1622="Fail"),"Fail",IF(R1622&lt;&gt;"Valid","Pending",IF(OR(I1622="",K1622="",L1622="",K1622=L1622,NOT(ISNUMBER(M1622)),NOT(ISNUMBER(N1622)),M1622&gt;Settings!$F$8,N1622&lt;Settings!$F$8,N1622&lt;M1622),"Pending",IF(AND(G1622="Applicable",H1622="Pass"),"Pass",IF(AND(G1622="N/A",H1622="N/A",J1622&lt;&gt;"",OR(E1622="CEM-FUELS",E1622="CEM-CCS",AND(E1622="CEM-PLAN",IFERROR(INDEX('Taxonomy'!$M$9:$M$108,MATCH(D1622,'Taxonomy'!$C$9:$C$108,0)),"")&lt;&gt;"Amber"),E1622="BLD-TIMBER",AND(U1622="Building equipment",OR(E1622="BLD-WATER",E1622="BLD-WASTE",E1622="BLD-LAND")),AND(U1622="Building renovation",E1622="BLD-LAND"))),"N/A","Pending"))))))</x:f>
      </x:c>
      <x:c r="Q1622" s="3" t="str">
        <x:f>IF(C1622="","",IF(AND(R1622="Valid",OR(P1622="Pass",P1622="N/A")),"Complete","Unresolved"))</x:f>
      </x:c>
      <x:c r="R1622" s="9" t="str">
        <x:f>IF(C1622="","",IF(OR(COUNTIF($C$9:$C$2008,C1622)&lt;&gt;1,COUNTIFS($D$9:$D$2008,D1622,$E$9:$E$2008,E1622)&lt;&gt;1),"Duplicate test",IF(COUNTIF('Taxonomy'!$C$9:$C$108,D1622)&lt;&gt;1,"Assessment key",IF(OR(COUNTIF('Taxonomy Rules'!$C$42:$C$68,E1622)&lt;&gt;1,F1622&lt;&gt;IFERROR(INDEX('Taxonomy Rules'!$D$42:$D$68,MATCH(E1622,'Taxonomy Rules'!$C$42:$C$68,0)),""),NOT(OR(IFERROR(INDEX('Taxonomy Rules'!$G$42:$G$68,MATCH(E1622,'Taxonomy Rules'!$C$42:$C$68,0)),"")="All supported routes",IFERROR(INDEX('Taxonomy Rules'!$G$42:$G$68,MATCH(E1622,'Taxonomy Rules'!$C$42:$C$68,0)),"")=U1622,AND(IFERROR(INDEX('Taxonomy Rules'!$G$42:$G$68,MATCH(E1622,'Taxonomy Rules'!$C$42:$C$68,0)),"")="Building routes",OR(U1622="Building renovation",U1622="New building",U1622="Building equipment"))))),"Unexpected test","Valid"))))</x:f>
      </x:c>
      <x:c r="S1622" s="9" t="str">
        <x:f>IF(C1622="","",IFERROR(INDEX('Taxonomy Rules'!$E$42:$E$68,MATCH(E1622,'Taxonomy Rules'!$C$42:$C$68,0)),""))</x:f>
      </x:c>
      <x:c r="T1622" s="9" t="str">
        <x:f>IF(C1622="","",IFERROR(INDEX('Taxonomy Rules'!$F$42:$F$68,MATCH(E1622,'Taxonomy Rules'!$C$42:$C$68,0)),""))</x:f>
      </x:c>
      <x:c r="U1622" s="9" t="str">
        <x:f>IF(C1622="","",IFERROR(INDEX('Taxonomy'!$G$9:$G$108,MATCH(D1622,'Taxonomy'!$C$9:$C$108,0)),""))</x:f>
      </x:c>
    </x:row>
    <x:row r="1623" ht="44" customHeight="1">
      <x:c r="A1623" s="1"/>
      <x:c r="B1623" s="1"/>
      <x:c r="C1623" s="8"/>
      <x:c r="D1623" s="8"/>
      <x:c r="E1623" s="8"/>
      <x:c r="F1623" s="8"/>
      <x:c r="G1623" s="8"/>
      <x:c r="H1623" s="8"/>
      <x:c r="I1623" s="8"/>
      <x:c r="J1623" s="8"/>
      <x:c r="K1623" s="8"/>
      <x:c r="L1623" s="8"/>
      <x:c r="M1623" s="10"/>
      <x:c r="N1623" s="10"/>
      <x:c r="O1623" s="8"/>
      <x:c r="P1623" s="9" t="str">
        <x:f>IF(C1623="","",IF(AND(G1623="Applicable",H1623="Fail"),"Fail",IF(R1623&lt;&gt;"Valid","Pending",IF(OR(I1623="",K1623="",L1623="",K1623=L1623,NOT(ISNUMBER(M1623)),NOT(ISNUMBER(N1623)),M1623&gt;Settings!$F$8,N1623&lt;Settings!$F$8,N1623&lt;M1623),"Pending",IF(AND(G1623="Applicable",H1623="Pass"),"Pass",IF(AND(G1623="N/A",H1623="N/A",J1623&lt;&gt;"",OR(E1623="CEM-FUELS",E1623="CEM-CCS",AND(E1623="CEM-PLAN",IFERROR(INDEX('Taxonomy'!$M$9:$M$108,MATCH(D1623,'Taxonomy'!$C$9:$C$108,0)),"")&lt;&gt;"Amber"),E1623="BLD-TIMBER",AND(U1623="Building equipment",OR(E1623="BLD-WATER",E1623="BLD-WASTE",E1623="BLD-LAND")),AND(U1623="Building renovation",E1623="BLD-LAND"))),"N/A","Pending"))))))</x:f>
      </x:c>
      <x:c r="Q1623" s="3" t="str">
        <x:f>IF(C1623="","",IF(AND(R1623="Valid",OR(P1623="Pass",P1623="N/A")),"Complete","Unresolved"))</x:f>
      </x:c>
      <x:c r="R1623" s="9" t="str">
        <x:f>IF(C1623="","",IF(OR(COUNTIF($C$9:$C$2008,C1623)&lt;&gt;1,COUNTIFS($D$9:$D$2008,D1623,$E$9:$E$2008,E1623)&lt;&gt;1),"Duplicate test",IF(COUNTIF('Taxonomy'!$C$9:$C$108,D1623)&lt;&gt;1,"Assessment key",IF(OR(COUNTIF('Taxonomy Rules'!$C$42:$C$68,E1623)&lt;&gt;1,F1623&lt;&gt;IFERROR(INDEX('Taxonomy Rules'!$D$42:$D$68,MATCH(E1623,'Taxonomy Rules'!$C$42:$C$68,0)),""),NOT(OR(IFERROR(INDEX('Taxonomy Rules'!$G$42:$G$68,MATCH(E1623,'Taxonomy Rules'!$C$42:$C$68,0)),"")="All supported routes",IFERROR(INDEX('Taxonomy Rules'!$G$42:$G$68,MATCH(E1623,'Taxonomy Rules'!$C$42:$C$68,0)),"")=U1623,AND(IFERROR(INDEX('Taxonomy Rules'!$G$42:$G$68,MATCH(E1623,'Taxonomy Rules'!$C$42:$C$68,0)),"")="Building routes",OR(U1623="Building renovation",U1623="New building",U1623="Building equipment"))))),"Unexpected test","Valid"))))</x:f>
      </x:c>
      <x:c r="S1623" s="9" t="str">
        <x:f>IF(C1623="","",IFERROR(INDEX('Taxonomy Rules'!$E$42:$E$68,MATCH(E1623,'Taxonomy Rules'!$C$42:$C$68,0)),""))</x:f>
      </x:c>
      <x:c r="T1623" s="9" t="str">
        <x:f>IF(C1623="","",IFERROR(INDEX('Taxonomy Rules'!$F$42:$F$68,MATCH(E1623,'Taxonomy Rules'!$C$42:$C$68,0)),""))</x:f>
      </x:c>
      <x:c r="U1623" s="9" t="str">
        <x:f>IF(C1623="","",IFERROR(INDEX('Taxonomy'!$G$9:$G$108,MATCH(D1623,'Taxonomy'!$C$9:$C$108,0)),""))</x:f>
      </x:c>
    </x:row>
    <x:row r="1624" ht="44" customHeight="1">
      <x:c r="A1624" s="1"/>
      <x:c r="B1624" s="1"/>
      <x:c r="C1624" s="8"/>
      <x:c r="D1624" s="8"/>
      <x:c r="E1624" s="8"/>
      <x:c r="F1624" s="8"/>
      <x:c r="G1624" s="8"/>
      <x:c r="H1624" s="8"/>
      <x:c r="I1624" s="8"/>
      <x:c r="J1624" s="8"/>
      <x:c r="K1624" s="8"/>
      <x:c r="L1624" s="8"/>
      <x:c r="M1624" s="10"/>
      <x:c r="N1624" s="10"/>
      <x:c r="O1624" s="8"/>
      <x:c r="P1624" s="9" t="str">
        <x:f>IF(C1624="","",IF(AND(G1624="Applicable",H1624="Fail"),"Fail",IF(R1624&lt;&gt;"Valid","Pending",IF(OR(I1624="",K1624="",L1624="",K1624=L1624,NOT(ISNUMBER(M1624)),NOT(ISNUMBER(N1624)),M1624&gt;Settings!$F$8,N1624&lt;Settings!$F$8,N1624&lt;M1624),"Pending",IF(AND(G1624="Applicable",H1624="Pass"),"Pass",IF(AND(G1624="N/A",H1624="N/A",J1624&lt;&gt;"",OR(E1624="CEM-FUELS",E1624="CEM-CCS",AND(E1624="CEM-PLAN",IFERROR(INDEX('Taxonomy'!$M$9:$M$108,MATCH(D1624,'Taxonomy'!$C$9:$C$108,0)),"")&lt;&gt;"Amber"),E1624="BLD-TIMBER",AND(U1624="Building equipment",OR(E1624="BLD-WATER",E1624="BLD-WASTE",E1624="BLD-LAND")),AND(U1624="Building renovation",E1624="BLD-LAND"))),"N/A","Pending"))))))</x:f>
      </x:c>
      <x:c r="Q1624" s="3" t="str">
        <x:f>IF(C1624="","",IF(AND(R1624="Valid",OR(P1624="Pass",P1624="N/A")),"Complete","Unresolved"))</x:f>
      </x:c>
      <x:c r="R1624" s="9" t="str">
        <x:f>IF(C1624="","",IF(OR(COUNTIF($C$9:$C$2008,C1624)&lt;&gt;1,COUNTIFS($D$9:$D$2008,D1624,$E$9:$E$2008,E1624)&lt;&gt;1),"Duplicate test",IF(COUNTIF('Taxonomy'!$C$9:$C$108,D1624)&lt;&gt;1,"Assessment key",IF(OR(COUNTIF('Taxonomy Rules'!$C$42:$C$68,E1624)&lt;&gt;1,F1624&lt;&gt;IFERROR(INDEX('Taxonomy Rules'!$D$42:$D$68,MATCH(E1624,'Taxonomy Rules'!$C$42:$C$68,0)),""),NOT(OR(IFERROR(INDEX('Taxonomy Rules'!$G$42:$G$68,MATCH(E1624,'Taxonomy Rules'!$C$42:$C$68,0)),"")="All supported routes",IFERROR(INDEX('Taxonomy Rules'!$G$42:$G$68,MATCH(E1624,'Taxonomy Rules'!$C$42:$C$68,0)),"")=U1624,AND(IFERROR(INDEX('Taxonomy Rules'!$G$42:$G$68,MATCH(E1624,'Taxonomy Rules'!$C$42:$C$68,0)),"")="Building routes",OR(U1624="Building renovation",U1624="New building",U1624="Building equipment"))))),"Unexpected test","Valid"))))</x:f>
      </x:c>
      <x:c r="S1624" s="9" t="str">
        <x:f>IF(C1624="","",IFERROR(INDEX('Taxonomy Rules'!$E$42:$E$68,MATCH(E1624,'Taxonomy Rules'!$C$42:$C$68,0)),""))</x:f>
      </x:c>
      <x:c r="T1624" s="9" t="str">
        <x:f>IF(C1624="","",IFERROR(INDEX('Taxonomy Rules'!$F$42:$F$68,MATCH(E1624,'Taxonomy Rules'!$C$42:$C$68,0)),""))</x:f>
      </x:c>
      <x:c r="U1624" s="9" t="str">
        <x:f>IF(C1624="","",IFERROR(INDEX('Taxonomy'!$G$9:$G$108,MATCH(D1624,'Taxonomy'!$C$9:$C$108,0)),""))</x:f>
      </x:c>
    </x:row>
    <x:row r="1625" ht="44" customHeight="1">
      <x:c r="A1625" s="1"/>
      <x:c r="B1625" s="1"/>
      <x:c r="C1625" s="8"/>
      <x:c r="D1625" s="8"/>
      <x:c r="E1625" s="8"/>
      <x:c r="F1625" s="8"/>
      <x:c r="G1625" s="8"/>
      <x:c r="H1625" s="8"/>
      <x:c r="I1625" s="8"/>
      <x:c r="J1625" s="8"/>
      <x:c r="K1625" s="8"/>
      <x:c r="L1625" s="8"/>
      <x:c r="M1625" s="10"/>
      <x:c r="N1625" s="10"/>
      <x:c r="O1625" s="8"/>
      <x:c r="P1625" s="9" t="str">
        <x:f>IF(C1625="","",IF(AND(G1625="Applicable",H1625="Fail"),"Fail",IF(R1625&lt;&gt;"Valid","Pending",IF(OR(I1625="",K1625="",L1625="",K1625=L1625,NOT(ISNUMBER(M1625)),NOT(ISNUMBER(N1625)),M1625&gt;Settings!$F$8,N1625&lt;Settings!$F$8,N1625&lt;M1625),"Pending",IF(AND(G1625="Applicable",H1625="Pass"),"Pass",IF(AND(G1625="N/A",H1625="N/A",J1625&lt;&gt;"",OR(E1625="CEM-FUELS",E1625="CEM-CCS",AND(E1625="CEM-PLAN",IFERROR(INDEX('Taxonomy'!$M$9:$M$108,MATCH(D1625,'Taxonomy'!$C$9:$C$108,0)),"")&lt;&gt;"Amber"),E1625="BLD-TIMBER",AND(U1625="Building equipment",OR(E1625="BLD-WATER",E1625="BLD-WASTE",E1625="BLD-LAND")),AND(U1625="Building renovation",E1625="BLD-LAND"))),"N/A","Pending"))))))</x:f>
      </x:c>
      <x:c r="Q1625" s="3" t="str">
        <x:f>IF(C1625="","",IF(AND(R1625="Valid",OR(P1625="Pass",P1625="N/A")),"Complete","Unresolved"))</x:f>
      </x:c>
      <x:c r="R1625" s="9" t="str">
        <x:f>IF(C1625="","",IF(OR(COUNTIF($C$9:$C$2008,C1625)&lt;&gt;1,COUNTIFS($D$9:$D$2008,D1625,$E$9:$E$2008,E1625)&lt;&gt;1),"Duplicate test",IF(COUNTIF('Taxonomy'!$C$9:$C$108,D1625)&lt;&gt;1,"Assessment key",IF(OR(COUNTIF('Taxonomy Rules'!$C$42:$C$68,E1625)&lt;&gt;1,F1625&lt;&gt;IFERROR(INDEX('Taxonomy Rules'!$D$42:$D$68,MATCH(E1625,'Taxonomy Rules'!$C$42:$C$68,0)),""),NOT(OR(IFERROR(INDEX('Taxonomy Rules'!$G$42:$G$68,MATCH(E1625,'Taxonomy Rules'!$C$42:$C$68,0)),"")="All supported routes",IFERROR(INDEX('Taxonomy Rules'!$G$42:$G$68,MATCH(E1625,'Taxonomy Rules'!$C$42:$C$68,0)),"")=U1625,AND(IFERROR(INDEX('Taxonomy Rules'!$G$42:$G$68,MATCH(E1625,'Taxonomy Rules'!$C$42:$C$68,0)),"")="Building routes",OR(U1625="Building renovation",U1625="New building",U1625="Building equipment"))))),"Unexpected test","Valid"))))</x:f>
      </x:c>
      <x:c r="S1625" s="9" t="str">
        <x:f>IF(C1625="","",IFERROR(INDEX('Taxonomy Rules'!$E$42:$E$68,MATCH(E1625,'Taxonomy Rules'!$C$42:$C$68,0)),""))</x:f>
      </x:c>
      <x:c r="T1625" s="9" t="str">
        <x:f>IF(C1625="","",IFERROR(INDEX('Taxonomy Rules'!$F$42:$F$68,MATCH(E1625,'Taxonomy Rules'!$C$42:$C$68,0)),""))</x:f>
      </x:c>
      <x:c r="U1625" s="9" t="str">
        <x:f>IF(C1625="","",IFERROR(INDEX('Taxonomy'!$G$9:$G$108,MATCH(D1625,'Taxonomy'!$C$9:$C$108,0)),""))</x:f>
      </x:c>
    </x:row>
    <x:row r="1626" ht="44" customHeight="1">
      <x:c r="A1626" s="1"/>
      <x:c r="B1626" s="1"/>
      <x:c r="C1626" s="8"/>
      <x:c r="D1626" s="8"/>
      <x:c r="E1626" s="8"/>
      <x:c r="F1626" s="8"/>
      <x:c r="G1626" s="8"/>
      <x:c r="H1626" s="8"/>
      <x:c r="I1626" s="8"/>
      <x:c r="J1626" s="8"/>
      <x:c r="K1626" s="8"/>
      <x:c r="L1626" s="8"/>
      <x:c r="M1626" s="10"/>
      <x:c r="N1626" s="10"/>
      <x:c r="O1626" s="8"/>
      <x:c r="P1626" s="9" t="str">
        <x:f>IF(C1626="","",IF(AND(G1626="Applicable",H1626="Fail"),"Fail",IF(R1626&lt;&gt;"Valid","Pending",IF(OR(I1626="",K1626="",L1626="",K1626=L1626,NOT(ISNUMBER(M1626)),NOT(ISNUMBER(N1626)),M1626&gt;Settings!$F$8,N1626&lt;Settings!$F$8,N1626&lt;M1626),"Pending",IF(AND(G1626="Applicable",H1626="Pass"),"Pass",IF(AND(G1626="N/A",H1626="N/A",J1626&lt;&gt;"",OR(E1626="CEM-FUELS",E1626="CEM-CCS",AND(E1626="CEM-PLAN",IFERROR(INDEX('Taxonomy'!$M$9:$M$108,MATCH(D1626,'Taxonomy'!$C$9:$C$108,0)),"")&lt;&gt;"Amber"),E1626="BLD-TIMBER",AND(U1626="Building equipment",OR(E1626="BLD-WATER",E1626="BLD-WASTE",E1626="BLD-LAND")),AND(U1626="Building renovation",E1626="BLD-LAND"))),"N/A","Pending"))))))</x:f>
      </x:c>
      <x:c r="Q1626" s="3" t="str">
        <x:f>IF(C1626="","",IF(AND(R1626="Valid",OR(P1626="Pass",P1626="N/A")),"Complete","Unresolved"))</x:f>
      </x:c>
      <x:c r="R1626" s="9" t="str">
        <x:f>IF(C1626="","",IF(OR(COUNTIF($C$9:$C$2008,C1626)&lt;&gt;1,COUNTIFS($D$9:$D$2008,D1626,$E$9:$E$2008,E1626)&lt;&gt;1),"Duplicate test",IF(COUNTIF('Taxonomy'!$C$9:$C$108,D1626)&lt;&gt;1,"Assessment key",IF(OR(COUNTIF('Taxonomy Rules'!$C$42:$C$68,E1626)&lt;&gt;1,F1626&lt;&gt;IFERROR(INDEX('Taxonomy Rules'!$D$42:$D$68,MATCH(E1626,'Taxonomy Rules'!$C$42:$C$68,0)),""),NOT(OR(IFERROR(INDEX('Taxonomy Rules'!$G$42:$G$68,MATCH(E1626,'Taxonomy Rules'!$C$42:$C$68,0)),"")="All supported routes",IFERROR(INDEX('Taxonomy Rules'!$G$42:$G$68,MATCH(E1626,'Taxonomy Rules'!$C$42:$C$68,0)),"")=U1626,AND(IFERROR(INDEX('Taxonomy Rules'!$G$42:$G$68,MATCH(E1626,'Taxonomy Rules'!$C$42:$C$68,0)),"")="Building routes",OR(U1626="Building renovation",U1626="New building",U1626="Building equipment"))))),"Unexpected test","Valid"))))</x:f>
      </x:c>
      <x:c r="S1626" s="9" t="str">
        <x:f>IF(C1626="","",IFERROR(INDEX('Taxonomy Rules'!$E$42:$E$68,MATCH(E1626,'Taxonomy Rules'!$C$42:$C$68,0)),""))</x:f>
      </x:c>
      <x:c r="T1626" s="9" t="str">
        <x:f>IF(C1626="","",IFERROR(INDEX('Taxonomy Rules'!$F$42:$F$68,MATCH(E1626,'Taxonomy Rules'!$C$42:$C$68,0)),""))</x:f>
      </x:c>
      <x:c r="U1626" s="9" t="str">
        <x:f>IF(C1626="","",IFERROR(INDEX('Taxonomy'!$G$9:$G$108,MATCH(D1626,'Taxonomy'!$C$9:$C$108,0)),""))</x:f>
      </x:c>
    </x:row>
    <x:row r="1627" ht="44" customHeight="1">
      <x:c r="A1627" s="1"/>
      <x:c r="B1627" s="1"/>
      <x:c r="C1627" s="8"/>
      <x:c r="D1627" s="8"/>
      <x:c r="E1627" s="8"/>
      <x:c r="F1627" s="8"/>
      <x:c r="G1627" s="8"/>
      <x:c r="H1627" s="8"/>
      <x:c r="I1627" s="8"/>
      <x:c r="J1627" s="8"/>
      <x:c r="K1627" s="8"/>
      <x:c r="L1627" s="8"/>
      <x:c r="M1627" s="10"/>
      <x:c r="N1627" s="10"/>
      <x:c r="O1627" s="8"/>
      <x:c r="P1627" s="9" t="str">
        <x:f>IF(C1627="","",IF(AND(G1627="Applicable",H1627="Fail"),"Fail",IF(R1627&lt;&gt;"Valid","Pending",IF(OR(I1627="",K1627="",L1627="",K1627=L1627,NOT(ISNUMBER(M1627)),NOT(ISNUMBER(N1627)),M1627&gt;Settings!$F$8,N1627&lt;Settings!$F$8,N1627&lt;M1627),"Pending",IF(AND(G1627="Applicable",H1627="Pass"),"Pass",IF(AND(G1627="N/A",H1627="N/A",J1627&lt;&gt;"",OR(E1627="CEM-FUELS",E1627="CEM-CCS",AND(E1627="CEM-PLAN",IFERROR(INDEX('Taxonomy'!$M$9:$M$108,MATCH(D1627,'Taxonomy'!$C$9:$C$108,0)),"")&lt;&gt;"Amber"),E1627="BLD-TIMBER",AND(U1627="Building equipment",OR(E1627="BLD-WATER",E1627="BLD-WASTE",E1627="BLD-LAND")),AND(U1627="Building renovation",E1627="BLD-LAND"))),"N/A","Pending"))))))</x:f>
      </x:c>
      <x:c r="Q1627" s="3" t="str">
        <x:f>IF(C1627="","",IF(AND(R1627="Valid",OR(P1627="Pass",P1627="N/A")),"Complete","Unresolved"))</x:f>
      </x:c>
      <x:c r="R1627" s="9" t="str">
        <x:f>IF(C1627="","",IF(OR(COUNTIF($C$9:$C$2008,C1627)&lt;&gt;1,COUNTIFS($D$9:$D$2008,D1627,$E$9:$E$2008,E1627)&lt;&gt;1),"Duplicate test",IF(COUNTIF('Taxonomy'!$C$9:$C$108,D1627)&lt;&gt;1,"Assessment key",IF(OR(COUNTIF('Taxonomy Rules'!$C$42:$C$68,E1627)&lt;&gt;1,F1627&lt;&gt;IFERROR(INDEX('Taxonomy Rules'!$D$42:$D$68,MATCH(E1627,'Taxonomy Rules'!$C$42:$C$68,0)),""),NOT(OR(IFERROR(INDEX('Taxonomy Rules'!$G$42:$G$68,MATCH(E1627,'Taxonomy Rules'!$C$42:$C$68,0)),"")="All supported routes",IFERROR(INDEX('Taxonomy Rules'!$G$42:$G$68,MATCH(E1627,'Taxonomy Rules'!$C$42:$C$68,0)),"")=U1627,AND(IFERROR(INDEX('Taxonomy Rules'!$G$42:$G$68,MATCH(E1627,'Taxonomy Rules'!$C$42:$C$68,0)),"")="Building routes",OR(U1627="Building renovation",U1627="New building",U1627="Building equipment"))))),"Unexpected test","Valid"))))</x:f>
      </x:c>
      <x:c r="S1627" s="9" t="str">
        <x:f>IF(C1627="","",IFERROR(INDEX('Taxonomy Rules'!$E$42:$E$68,MATCH(E1627,'Taxonomy Rules'!$C$42:$C$68,0)),""))</x:f>
      </x:c>
      <x:c r="T1627" s="9" t="str">
        <x:f>IF(C1627="","",IFERROR(INDEX('Taxonomy Rules'!$F$42:$F$68,MATCH(E1627,'Taxonomy Rules'!$C$42:$C$68,0)),""))</x:f>
      </x:c>
      <x:c r="U1627" s="9" t="str">
        <x:f>IF(C1627="","",IFERROR(INDEX('Taxonomy'!$G$9:$G$108,MATCH(D1627,'Taxonomy'!$C$9:$C$108,0)),""))</x:f>
      </x:c>
    </x:row>
    <x:row r="1628" ht="44" customHeight="1">
      <x:c r="A1628" s="1"/>
      <x:c r="B1628" s="1"/>
      <x:c r="C1628" s="8"/>
      <x:c r="D1628" s="8"/>
      <x:c r="E1628" s="8"/>
      <x:c r="F1628" s="8"/>
      <x:c r="G1628" s="8"/>
      <x:c r="H1628" s="8"/>
      <x:c r="I1628" s="8"/>
      <x:c r="J1628" s="8"/>
      <x:c r="K1628" s="8"/>
      <x:c r="L1628" s="8"/>
      <x:c r="M1628" s="10"/>
      <x:c r="N1628" s="10"/>
      <x:c r="O1628" s="8"/>
      <x:c r="P1628" s="9" t="str">
        <x:f>IF(C1628="","",IF(AND(G1628="Applicable",H1628="Fail"),"Fail",IF(R1628&lt;&gt;"Valid","Pending",IF(OR(I1628="",K1628="",L1628="",K1628=L1628,NOT(ISNUMBER(M1628)),NOT(ISNUMBER(N1628)),M1628&gt;Settings!$F$8,N1628&lt;Settings!$F$8,N1628&lt;M1628),"Pending",IF(AND(G1628="Applicable",H1628="Pass"),"Pass",IF(AND(G1628="N/A",H1628="N/A",J1628&lt;&gt;"",OR(E1628="CEM-FUELS",E1628="CEM-CCS",AND(E1628="CEM-PLAN",IFERROR(INDEX('Taxonomy'!$M$9:$M$108,MATCH(D1628,'Taxonomy'!$C$9:$C$108,0)),"")&lt;&gt;"Amber"),E1628="BLD-TIMBER",AND(U1628="Building equipment",OR(E1628="BLD-WATER",E1628="BLD-WASTE",E1628="BLD-LAND")),AND(U1628="Building renovation",E1628="BLD-LAND"))),"N/A","Pending"))))))</x:f>
      </x:c>
      <x:c r="Q1628" s="3" t="str">
        <x:f>IF(C1628="","",IF(AND(R1628="Valid",OR(P1628="Pass",P1628="N/A")),"Complete","Unresolved"))</x:f>
      </x:c>
      <x:c r="R1628" s="9" t="str">
        <x:f>IF(C1628="","",IF(OR(COUNTIF($C$9:$C$2008,C1628)&lt;&gt;1,COUNTIFS($D$9:$D$2008,D1628,$E$9:$E$2008,E1628)&lt;&gt;1),"Duplicate test",IF(COUNTIF('Taxonomy'!$C$9:$C$108,D1628)&lt;&gt;1,"Assessment key",IF(OR(COUNTIF('Taxonomy Rules'!$C$42:$C$68,E1628)&lt;&gt;1,F1628&lt;&gt;IFERROR(INDEX('Taxonomy Rules'!$D$42:$D$68,MATCH(E1628,'Taxonomy Rules'!$C$42:$C$68,0)),""),NOT(OR(IFERROR(INDEX('Taxonomy Rules'!$G$42:$G$68,MATCH(E1628,'Taxonomy Rules'!$C$42:$C$68,0)),"")="All supported routes",IFERROR(INDEX('Taxonomy Rules'!$G$42:$G$68,MATCH(E1628,'Taxonomy Rules'!$C$42:$C$68,0)),"")=U1628,AND(IFERROR(INDEX('Taxonomy Rules'!$G$42:$G$68,MATCH(E1628,'Taxonomy Rules'!$C$42:$C$68,0)),"")="Building routes",OR(U1628="Building renovation",U1628="New building",U1628="Building equipment"))))),"Unexpected test","Valid"))))</x:f>
      </x:c>
      <x:c r="S1628" s="9" t="str">
        <x:f>IF(C1628="","",IFERROR(INDEX('Taxonomy Rules'!$E$42:$E$68,MATCH(E1628,'Taxonomy Rules'!$C$42:$C$68,0)),""))</x:f>
      </x:c>
      <x:c r="T1628" s="9" t="str">
        <x:f>IF(C1628="","",IFERROR(INDEX('Taxonomy Rules'!$F$42:$F$68,MATCH(E1628,'Taxonomy Rules'!$C$42:$C$68,0)),""))</x:f>
      </x:c>
      <x:c r="U1628" s="9" t="str">
        <x:f>IF(C1628="","",IFERROR(INDEX('Taxonomy'!$G$9:$G$108,MATCH(D1628,'Taxonomy'!$C$9:$C$108,0)),""))</x:f>
      </x:c>
    </x:row>
    <x:row r="1629" ht="44" customHeight="1">
      <x:c r="A1629" s="1"/>
      <x:c r="B1629" s="1"/>
      <x:c r="C1629" s="8"/>
      <x:c r="D1629" s="8"/>
      <x:c r="E1629" s="8"/>
      <x:c r="F1629" s="8"/>
      <x:c r="G1629" s="8"/>
      <x:c r="H1629" s="8"/>
      <x:c r="I1629" s="8"/>
      <x:c r="J1629" s="8"/>
      <x:c r="K1629" s="8"/>
      <x:c r="L1629" s="8"/>
      <x:c r="M1629" s="10"/>
      <x:c r="N1629" s="10"/>
      <x:c r="O1629" s="8"/>
      <x:c r="P1629" s="9" t="str">
        <x:f>IF(C1629="","",IF(AND(G1629="Applicable",H1629="Fail"),"Fail",IF(R1629&lt;&gt;"Valid","Pending",IF(OR(I1629="",K1629="",L1629="",K1629=L1629,NOT(ISNUMBER(M1629)),NOT(ISNUMBER(N1629)),M1629&gt;Settings!$F$8,N1629&lt;Settings!$F$8,N1629&lt;M1629),"Pending",IF(AND(G1629="Applicable",H1629="Pass"),"Pass",IF(AND(G1629="N/A",H1629="N/A",J1629&lt;&gt;"",OR(E1629="CEM-FUELS",E1629="CEM-CCS",AND(E1629="CEM-PLAN",IFERROR(INDEX('Taxonomy'!$M$9:$M$108,MATCH(D1629,'Taxonomy'!$C$9:$C$108,0)),"")&lt;&gt;"Amber"),E1629="BLD-TIMBER",AND(U1629="Building equipment",OR(E1629="BLD-WATER",E1629="BLD-WASTE",E1629="BLD-LAND")),AND(U1629="Building renovation",E1629="BLD-LAND"))),"N/A","Pending"))))))</x:f>
      </x:c>
      <x:c r="Q1629" s="3" t="str">
        <x:f>IF(C1629="","",IF(AND(R1629="Valid",OR(P1629="Pass",P1629="N/A")),"Complete","Unresolved"))</x:f>
      </x:c>
      <x:c r="R1629" s="9" t="str">
        <x:f>IF(C1629="","",IF(OR(COUNTIF($C$9:$C$2008,C1629)&lt;&gt;1,COUNTIFS($D$9:$D$2008,D1629,$E$9:$E$2008,E1629)&lt;&gt;1),"Duplicate test",IF(COUNTIF('Taxonomy'!$C$9:$C$108,D1629)&lt;&gt;1,"Assessment key",IF(OR(COUNTIF('Taxonomy Rules'!$C$42:$C$68,E1629)&lt;&gt;1,F1629&lt;&gt;IFERROR(INDEX('Taxonomy Rules'!$D$42:$D$68,MATCH(E1629,'Taxonomy Rules'!$C$42:$C$68,0)),""),NOT(OR(IFERROR(INDEX('Taxonomy Rules'!$G$42:$G$68,MATCH(E1629,'Taxonomy Rules'!$C$42:$C$68,0)),"")="All supported routes",IFERROR(INDEX('Taxonomy Rules'!$G$42:$G$68,MATCH(E1629,'Taxonomy Rules'!$C$42:$C$68,0)),"")=U1629,AND(IFERROR(INDEX('Taxonomy Rules'!$G$42:$G$68,MATCH(E1629,'Taxonomy Rules'!$C$42:$C$68,0)),"")="Building routes",OR(U1629="Building renovation",U1629="New building",U1629="Building equipment"))))),"Unexpected test","Valid"))))</x:f>
      </x:c>
      <x:c r="S1629" s="9" t="str">
        <x:f>IF(C1629="","",IFERROR(INDEX('Taxonomy Rules'!$E$42:$E$68,MATCH(E1629,'Taxonomy Rules'!$C$42:$C$68,0)),""))</x:f>
      </x:c>
      <x:c r="T1629" s="9" t="str">
        <x:f>IF(C1629="","",IFERROR(INDEX('Taxonomy Rules'!$F$42:$F$68,MATCH(E1629,'Taxonomy Rules'!$C$42:$C$68,0)),""))</x:f>
      </x:c>
      <x:c r="U1629" s="9" t="str">
        <x:f>IF(C1629="","",IFERROR(INDEX('Taxonomy'!$G$9:$G$108,MATCH(D1629,'Taxonomy'!$C$9:$C$108,0)),""))</x:f>
      </x:c>
    </x:row>
    <x:row r="1630" ht="44" customHeight="1">
      <x:c r="A1630" s="1"/>
      <x:c r="B1630" s="1"/>
      <x:c r="C1630" s="8"/>
      <x:c r="D1630" s="8"/>
      <x:c r="E1630" s="8"/>
      <x:c r="F1630" s="8"/>
      <x:c r="G1630" s="8"/>
      <x:c r="H1630" s="8"/>
      <x:c r="I1630" s="8"/>
      <x:c r="J1630" s="8"/>
      <x:c r="K1630" s="8"/>
      <x:c r="L1630" s="8"/>
      <x:c r="M1630" s="10"/>
      <x:c r="N1630" s="10"/>
      <x:c r="O1630" s="8"/>
      <x:c r="P1630" s="9" t="str">
        <x:f>IF(C1630="","",IF(AND(G1630="Applicable",H1630="Fail"),"Fail",IF(R1630&lt;&gt;"Valid","Pending",IF(OR(I1630="",K1630="",L1630="",K1630=L1630,NOT(ISNUMBER(M1630)),NOT(ISNUMBER(N1630)),M1630&gt;Settings!$F$8,N1630&lt;Settings!$F$8,N1630&lt;M1630),"Pending",IF(AND(G1630="Applicable",H1630="Pass"),"Pass",IF(AND(G1630="N/A",H1630="N/A",J1630&lt;&gt;"",OR(E1630="CEM-FUELS",E1630="CEM-CCS",AND(E1630="CEM-PLAN",IFERROR(INDEX('Taxonomy'!$M$9:$M$108,MATCH(D1630,'Taxonomy'!$C$9:$C$108,0)),"")&lt;&gt;"Amber"),E1630="BLD-TIMBER",AND(U1630="Building equipment",OR(E1630="BLD-WATER",E1630="BLD-WASTE",E1630="BLD-LAND")),AND(U1630="Building renovation",E1630="BLD-LAND"))),"N/A","Pending"))))))</x:f>
      </x:c>
      <x:c r="Q1630" s="3" t="str">
        <x:f>IF(C1630="","",IF(AND(R1630="Valid",OR(P1630="Pass",P1630="N/A")),"Complete","Unresolved"))</x:f>
      </x:c>
      <x:c r="R1630" s="9" t="str">
        <x:f>IF(C1630="","",IF(OR(COUNTIF($C$9:$C$2008,C1630)&lt;&gt;1,COUNTIFS($D$9:$D$2008,D1630,$E$9:$E$2008,E1630)&lt;&gt;1),"Duplicate test",IF(COUNTIF('Taxonomy'!$C$9:$C$108,D1630)&lt;&gt;1,"Assessment key",IF(OR(COUNTIF('Taxonomy Rules'!$C$42:$C$68,E1630)&lt;&gt;1,F1630&lt;&gt;IFERROR(INDEX('Taxonomy Rules'!$D$42:$D$68,MATCH(E1630,'Taxonomy Rules'!$C$42:$C$68,0)),""),NOT(OR(IFERROR(INDEX('Taxonomy Rules'!$G$42:$G$68,MATCH(E1630,'Taxonomy Rules'!$C$42:$C$68,0)),"")="All supported routes",IFERROR(INDEX('Taxonomy Rules'!$G$42:$G$68,MATCH(E1630,'Taxonomy Rules'!$C$42:$C$68,0)),"")=U1630,AND(IFERROR(INDEX('Taxonomy Rules'!$G$42:$G$68,MATCH(E1630,'Taxonomy Rules'!$C$42:$C$68,0)),"")="Building routes",OR(U1630="Building renovation",U1630="New building",U1630="Building equipment"))))),"Unexpected test","Valid"))))</x:f>
      </x:c>
      <x:c r="S1630" s="9" t="str">
        <x:f>IF(C1630="","",IFERROR(INDEX('Taxonomy Rules'!$E$42:$E$68,MATCH(E1630,'Taxonomy Rules'!$C$42:$C$68,0)),""))</x:f>
      </x:c>
      <x:c r="T1630" s="9" t="str">
        <x:f>IF(C1630="","",IFERROR(INDEX('Taxonomy Rules'!$F$42:$F$68,MATCH(E1630,'Taxonomy Rules'!$C$42:$C$68,0)),""))</x:f>
      </x:c>
      <x:c r="U1630" s="9" t="str">
        <x:f>IF(C1630="","",IFERROR(INDEX('Taxonomy'!$G$9:$G$108,MATCH(D1630,'Taxonomy'!$C$9:$C$108,0)),""))</x:f>
      </x:c>
    </x:row>
    <x:row r="1631" ht="44" customHeight="1">
      <x:c r="A1631" s="1"/>
      <x:c r="B1631" s="1"/>
      <x:c r="C1631" s="8"/>
      <x:c r="D1631" s="8"/>
      <x:c r="E1631" s="8"/>
      <x:c r="F1631" s="8"/>
      <x:c r="G1631" s="8"/>
      <x:c r="H1631" s="8"/>
      <x:c r="I1631" s="8"/>
      <x:c r="J1631" s="8"/>
      <x:c r="K1631" s="8"/>
      <x:c r="L1631" s="8"/>
      <x:c r="M1631" s="10"/>
      <x:c r="N1631" s="10"/>
      <x:c r="O1631" s="8"/>
      <x:c r="P1631" s="9" t="str">
        <x:f>IF(C1631="","",IF(AND(G1631="Applicable",H1631="Fail"),"Fail",IF(R1631&lt;&gt;"Valid","Pending",IF(OR(I1631="",K1631="",L1631="",K1631=L1631,NOT(ISNUMBER(M1631)),NOT(ISNUMBER(N1631)),M1631&gt;Settings!$F$8,N1631&lt;Settings!$F$8,N1631&lt;M1631),"Pending",IF(AND(G1631="Applicable",H1631="Pass"),"Pass",IF(AND(G1631="N/A",H1631="N/A",J1631&lt;&gt;"",OR(E1631="CEM-FUELS",E1631="CEM-CCS",AND(E1631="CEM-PLAN",IFERROR(INDEX('Taxonomy'!$M$9:$M$108,MATCH(D1631,'Taxonomy'!$C$9:$C$108,0)),"")&lt;&gt;"Amber"),E1631="BLD-TIMBER",AND(U1631="Building equipment",OR(E1631="BLD-WATER",E1631="BLD-WASTE",E1631="BLD-LAND")),AND(U1631="Building renovation",E1631="BLD-LAND"))),"N/A","Pending"))))))</x:f>
      </x:c>
      <x:c r="Q1631" s="3" t="str">
        <x:f>IF(C1631="","",IF(AND(R1631="Valid",OR(P1631="Pass",P1631="N/A")),"Complete","Unresolved"))</x:f>
      </x:c>
      <x:c r="R1631" s="9" t="str">
        <x:f>IF(C1631="","",IF(OR(COUNTIF($C$9:$C$2008,C1631)&lt;&gt;1,COUNTIFS($D$9:$D$2008,D1631,$E$9:$E$2008,E1631)&lt;&gt;1),"Duplicate test",IF(COUNTIF('Taxonomy'!$C$9:$C$108,D1631)&lt;&gt;1,"Assessment key",IF(OR(COUNTIF('Taxonomy Rules'!$C$42:$C$68,E1631)&lt;&gt;1,F1631&lt;&gt;IFERROR(INDEX('Taxonomy Rules'!$D$42:$D$68,MATCH(E1631,'Taxonomy Rules'!$C$42:$C$68,0)),""),NOT(OR(IFERROR(INDEX('Taxonomy Rules'!$G$42:$G$68,MATCH(E1631,'Taxonomy Rules'!$C$42:$C$68,0)),"")="All supported routes",IFERROR(INDEX('Taxonomy Rules'!$G$42:$G$68,MATCH(E1631,'Taxonomy Rules'!$C$42:$C$68,0)),"")=U1631,AND(IFERROR(INDEX('Taxonomy Rules'!$G$42:$G$68,MATCH(E1631,'Taxonomy Rules'!$C$42:$C$68,0)),"")="Building routes",OR(U1631="Building renovation",U1631="New building",U1631="Building equipment"))))),"Unexpected test","Valid"))))</x:f>
      </x:c>
      <x:c r="S1631" s="9" t="str">
        <x:f>IF(C1631="","",IFERROR(INDEX('Taxonomy Rules'!$E$42:$E$68,MATCH(E1631,'Taxonomy Rules'!$C$42:$C$68,0)),""))</x:f>
      </x:c>
      <x:c r="T1631" s="9" t="str">
        <x:f>IF(C1631="","",IFERROR(INDEX('Taxonomy Rules'!$F$42:$F$68,MATCH(E1631,'Taxonomy Rules'!$C$42:$C$68,0)),""))</x:f>
      </x:c>
      <x:c r="U1631" s="9" t="str">
        <x:f>IF(C1631="","",IFERROR(INDEX('Taxonomy'!$G$9:$G$108,MATCH(D1631,'Taxonomy'!$C$9:$C$108,0)),""))</x:f>
      </x:c>
    </x:row>
    <x:row r="1632" ht="44" customHeight="1">
      <x:c r="A1632" s="1"/>
      <x:c r="B1632" s="1"/>
      <x:c r="C1632" s="8"/>
      <x:c r="D1632" s="8"/>
      <x:c r="E1632" s="8"/>
      <x:c r="F1632" s="8"/>
      <x:c r="G1632" s="8"/>
      <x:c r="H1632" s="8"/>
      <x:c r="I1632" s="8"/>
      <x:c r="J1632" s="8"/>
      <x:c r="K1632" s="8"/>
      <x:c r="L1632" s="8"/>
      <x:c r="M1632" s="10"/>
      <x:c r="N1632" s="10"/>
      <x:c r="O1632" s="8"/>
      <x:c r="P1632" s="9" t="str">
        <x:f>IF(C1632="","",IF(AND(G1632="Applicable",H1632="Fail"),"Fail",IF(R1632&lt;&gt;"Valid","Pending",IF(OR(I1632="",K1632="",L1632="",K1632=L1632,NOT(ISNUMBER(M1632)),NOT(ISNUMBER(N1632)),M1632&gt;Settings!$F$8,N1632&lt;Settings!$F$8,N1632&lt;M1632),"Pending",IF(AND(G1632="Applicable",H1632="Pass"),"Pass",IF(AND(G1632="N/A",H1632="N/A",J1632&lt;&gt;"",OR(E1632="CEM-FUELS",E1632="CEM-CCS",AND(E1632="CEM-PLAN",IFERROR(INDEX('Taxonomy'!$M$9:$M$108,MATCH(D1632,'Taxonomy'!$C$9:$C$108,0)),"")&lt;&gt;"Amber"),E1632="BLD-TIMBER",AND(U1632="Building equipment",OR(E1632="BLD-WATER",E1632="BLD-WASTE",E1632="BLD-LAND")),AND(U1632="Building renovation",E1632="BLD-LAND"))),"N/A","Pending"))))))</x:f>
      </x:c>
      <x:c r="Q1632" s="3" t="str">
        <x:f>IF(C1632="","",IF(AND(R1632="Valid",OR(P1632="Pass",P1632="N/A")),"Complete","Unresolved"))</x:f>
      </x:c>
      <x:c r="R1632" s="9" t="str">
        <x:f>IF(C1632="","",IF(OR(COUNTIF($C$9:$C$2008,C1632)&lt;&gt;1,COUNTIFS($D$9:$D$2008,D1632,$E$9:$E$2008,E1632)&lt;&gt;1),"Duplicate test",IF(COUNTIF('Taxonomy'!$C$9:$C$108,D1632)&lt;&gt;1,"Assessment key",IF(OR(COUNTIF('Taxonomy Rules'!$C$42:$C$68,E1632)&lt;&gt;1,F1632&lt;&gt;IFERROR(INDEX('Taxonomy Rules'!$D$42:$D$68,MATCH(E1632,'Taxonomy Rules'!$C$42:$C$68,0)),""),NOT(OR(IFERROR(INDEX('Taxonomy Rules'!$G$42:$G$68,MATCH(E1632,'Taxonomy Rules'!$C$42:$C$68,0)),"")="All supported routes",IFERROR(INDEX('Taxonomy Rules'!$G$42:$G$68,MATCH(E1632,'Taxonomy Rules'!$C$42:$C$68,0)),"")=U1632,AND(IFERROR(INDEX('Taxonomy Rules'!$G$42:$G$68,MATCH(E1632,'Taxonomy Rules'!$C$42:$C$68,0)),"")="Building routes",OR(U1632="Building renovation",U1632="New building",U1632="Building equipment"))))),"Unexpected test","Valid"))))</x:f>
      </x:c>
      <x:c r="S1632" s="9" t="str">
        <x:f>IF(C1632="","",IFERROR(INDEX('Taxonomy Rules'!$E$42:$E$68,MATCH(E1632,'Taxonomy Rules'!$C$42:$C$68,0)),""))</x:f>
      </x:c>
      <x:c r="T1632" s="9" t="str">
        <x:f>IF(C1632="","",IFERROR(INDEX('Taxonomy Rules'!$F$42:$F$68,MATCH(E1632,'Taxonomy Rules'!$C$42:$C$68,0)),""))</x:f>
      </x:c>
      <x:c r="U1632" s="9" t="str">
        <x:f>IF(C1632="","",IFERROR(INDEX('Taxonomy'!$G$9:$G$108,MATCH(D1632,'Taxonomy'!$C$9:$C$108,0)),""))</x:f>
      </x:c>
    </x:row>
    <x:row r="1633" ht="44" customHeight="1">
      <x:c r="A1633" s="1"/>
      <x:c r="B1633" s="1"/>
      <x:c r="C1633" s="8"/>
      <x:c r="D1633" s="8"/>
      <x:c r="E1633" s="8"/>
      <x:c r="F1633" s="8"/>
      <x:c r="G1633" s="8"/>
      <x:c r="H1633" s="8"/>
      <x:c r="I1633" s="8"/>
      <x:c r="J1633" s="8"/>
      <x:c r="K1633" s="8"/>
      <x:c r="L1633" s="8"/>
      <x:c r="M1633" s="10"/>
      <x:c r="N1633" s="10"/>
      <x:c r="O1633" s="8"/>
      <x:c r="P1633" s="9" t="str">
        <x:f>IF(C1633="","",IF(AND(G1633="Applicable",H1633="Fail"),"Fail",IF(R1633&lt;&gt;"Valid","Pending",IF(OR(I1633="",K1633="",L1633="",K1633=L1633,NOT(ISNUMBER(M1633)),NOT(ISNUMBER(N1633)),M1633&gt;Settings!$F$8,N1633&lt;Settings!$F$8,N1633&lt;M1633),"Pending",IF(AND(G1633="Applicable",H1633="Pass"),"Pass",IF(AND(G1633="N/A",H1633="N/A",J1633&lt;&gt;"",OR(E1633="CEM-FUELS",E1633="CEM-CCS",AND(E1633="CEM-PLAN",IFERROR(INDEX('Taxonomy'!$M$9:$M$108,MATCH(D1633,'Taxonomy'!$C$9:$C$108,0)),"")&lt;&gt;"Amber"),E1633="BLD-TIMBER",AND(U1633="Building equipment",OR(E1633="BLD-WATER",E1633="BLD-WASTE",E1633="BLD-LAND")),AND(U1633="Building renovation",E1633="BLD-LAND"))),"N/A","Pending"))))))</x:f>
      </x:c>
      <x:c r="Q1633" s="3" t="str">
        <x:f>IF(C1633="","",IF(AND(R1633="Valid",OR(P1633="Pass",P1633="N/A")),"Complete","Unresolved"))</x:f>
      </x:c>
      <x:c r="R1633" s="9" t="str">
        <x:f>IF(C1633="","",IF(OR(COUNTIF($C$9:$C$2008,C1633)&lt;&gt;1,COUNTIFS($D$9:$D$2008,D1633,$E$9:$E$2008,E1633)&lt;&gt;1),"Duplicate test",IF(COUNTIF('Taxonomy'!$C$9:$C$108,D1633)&lt;&gt;1,"Assessment key",IF(OR(COUNTIF('Taxonomy Rules'!$C$42:$C$68,E1633)&lt;&gt;1,F1633&lt;&gt;IFERROR(INDEX('Taxonomy Rules'!$D$42:$D$68,MATCH(E1633,'Taxonomy Rules'!$C$42:$C$68,0)),""),NOT(OR(IFERROR(INDEX('Taxonomy Rules'!$G$42:$G$68,MATCH(E1633,'Taxonomy Rules'!$C$42:$C$68,0)),"")="All supported routes",IFERROR(INDEX('Taxonomy Rules'!$G$42:$G$68,MATCH(E1633,'Taxonomy Rules'!$C$42:$C$68,0)),"")=U1633,AND(IFERROR(INDEX('Taxonomy Rules'!$G$42:$G$68,MATCH(E1633,'Taxonomy Rules'!$C$42:$C$68,0)),"")="Building routes",OR(U1633="Building renovation",U1633="New building",U1633="Building equipment"))))),"Unexpected test","Valid"))))</x:f>
      </x:c>
      <x:c r="S1633" s="9" t="str">
        <x:f>IF(C1633="","",IFERROR(INDEX('Taxonomy Rules'!$E$42:$E$68,MATCH(E1633,'Taxonomy Rules'!$C$42:$C$68,0)),""))</x:f>
      </x:c>
      <x:c r="T1633" s="9" t="str">
        <x:f>IF(C1633="","",IFERROR(INDEX('Taxonomy Rules'!$F$42:$F$68,MATCH(E1633,'Taxonomy Rules'!$C$42:$C$68,0)),""))</x:f>
      </x:c>
      <x:c r="U1633" s="9" t="str">
        <x:f>IF(C1633="","",IFERROR(INDEX('Taxonomy'!$G$9:$G$108,MATCH(D1633,'Taxonomy'!$C$9:$C$108,0)),""))</x:f>
      </x:c>
    </x:row>
    <x:row r="1634" ht="44" customHeight="1">
      <x:c r="A1634" s="1"/>
      <x:c r="B1634" s="1"/>
      <x:c r="C1634" s="8"/>
      <x:c r="D1634" s="8"/>
      <x:c r="E1634" s="8"/>
      <x:c r="F1634" s="8"/>
      <x:c r="G1634" s="8"/>
      <x:c r="H1634" s="8"/>
      <x:c r="I1634" s="8"/>
      <x:c r="J1634" s="8"/>
      <x:c r="K1634" s="8"/>
      <x:c r="L1634" s="8"/>
      <x:c r="M1634" s="10"/>
      <x:c r="N1634" s="10"/>
      <x:c r="O1634" s="8"/>
      <x:c r="P1634" s="9" t="str">
        <x:f>IF(C1634="","",IF(AND(G1634="Applicable",H1634="Fail"),"Fail",IF(R1634&lt;&gt;"Valid","Pending",IF(OR(I1634="",K1634="",L1634="",K1634=L1634,NOT(ISNUMBER(M1634)),NOT(ISNUMBER(N1634)),M1634&gt;Settings!$F$8,N1634&lt;Settings!$F$8,N1634&lt;M1634),"Pending",IF(AND(G1634="Applicable",H1634="Pass"),"Pass",IF(AND(G1634="N/A",H1634="N/A",J1634&lt;&gt;"",OR(E1634="CEM-FUELS",E1634="CEM-CCS",AND(E1634="CEM-PLAN",IFERROR(INDEX('Taxonomy'!$M$9:$M$108,MATCH(D1634,'Taxonomy'!$C$9:$C$108,0)),"")&lt;&gt;"Amber"),E1634="BLD-TIMBER",AND(U1634="Building equipment",OR(E1634="BLD-WATER",E1634="BLD-WASTE",E1634="BLD-LAND")),AND(U1634="Building renovation",E1634="BLD-LAND"))),"N/A","Pending"))))))</x:f>
      </x:c>
      <x:c r="Q1634" s="3" t="str">
        <x:f>IF(C1634="","",IF(AND(R1634="Valid",OR(P1634="Pass",P1634="N/A")),"Complete","Unresolved"))</x:f>
      </x:c>
      <x:c r="R1634" s="9" t="str">
        <x:f>IF(C1634="","",IF(OR(COUNTIF($C$9:$C$2008,C1634)&lt;&gt;1,COUNTIFS($D$9:$D$2008,D1634,$E$9:$E$2008,E1634)&lt;&gt;1),"Duplicate test",IF(COUNTIF('Taxonomy'!$C$9:$C$108,D1634)&lt;&gt;1,"Assessment key",IF(OR(COUNTIF('Taxonomy Rules'!$C$42:$C$68,E1634)&lt;&gt;1,F1634&lt;&gt;IFERROR(INDEX('Taxonomy Rules'!$D$42:$D$68,MATCH(E1634,'Taxonomy Rules'!$C$42:$C$68,0)),""),NOT(OR(IFERROR(INDEX('Taxonomy Rules'!$G$42:$G$68,MATCH(E1634,'Taxonomy Rules'!$C$42:$C$68,0)),"")="All supported routes",IFERROR(INDEX('Taxonomy Rules'!$G$42:$G$68,MATCH(E1634,'Taxonomy Rules'!$C$42:$C$68,0)),"")=U1634,AND(IFERROR(INDEX('Taxonomy Rules'!$G$42:$G$68,MATCH(E1634,'Taxonomy Rules'!$C$42:$C$68,0)),"")="Building routes",OR(U1634="Building renovation",U1634="New building",U1634="Building equipment"))))),"Unexpected test","Valid"))))</x:f>
      </x:c>
      <x:c r="S1634" s="9" t="str">
        <x:f>IF(C1634="","",IFERROR(INDEX('Taxonomy Rules'!$E$42:$E$68,MATCH(E1634,'Taxonomy Rules'!$C$42:$C$68,0)),""))</x:f>
      </x:c>
      <x:c r="T1634" s="9" t="str">
        <x:f>IF(C1634="","",IFERROR(INDEX('Taxonomy Rules'!$F$42:$F$68,MATCH(E1634,'Taxonomy Rules'!$C$42:$C$68,0)),""))</x:f>
      </x:c>
      <x:c r="U1634" s="9" t="str">
        <x:f>IF(C1634="","",IFERROR(INDEX('Taxonomy'!$G$9:$G$108,MATCH(D1634,'Taxonomy'!$C$9:$C$108,0)),""))</x:f>
      </x:c>
    </x:row>
    <x:row r="1635" ht="44" customHeight="1">
      <x:c r="A1635" s="1"/>
      <x:c r="B1635" s="1"/>
      <x:c r="C1635" s="8"/>
      <x:c r="D1635" s="8"/>
      <x:c r="E1635" s="8"/>
      <x:c r="F1635" s="8"/>
      <x:c r="G1635" s="8"/>
      <x:c r="H1635" s="8"/>
      <x:c r="I1635" s="8"/>
      <x:c r="J1635" s="8"/>
      <x:c r="K1635" s="8"/>
      <x:c r="L1635" s="8"/>
      <x:c r="M1635" s="10"/>
      <x:c r="N1635" s="10"/>
      <x:c r="O1635" s="8"/>
      <x:c r="P1635" s="9" t="str">
        <x:f>IF(C1635="","",IF(AND(G1635="Applicable",H1635="Fail"),"Fail",IF(R1635&lt;&gt;"Valid","Pending",IF(OR(I1635="",K1635="",L1635="",K1635=L1635,NOT(ISNUMBER(M1635)),NOT(ISNUMBER(N1635)),M1635&gt;Settings!$F$8,N1635&lt;Settings!$F$8,N1635&lt;M1635),"Pending",IF(AND(G1635="Applicable",H1635="Pass"),"Pass",IF(AND(G1635="N/A",H1635="N/A",J1635&lt;&gt;"",OR(E1635="CEM-FUELS",E1635="CEM-CCS",AND(E1635="CEM-PLAN",IFERROR(INDEX('Taxonomy'!$M$9:$M$108,MATCH(D1635,'Taxonomy'!$C$9:$C$108,0)),"")&lt;&gt;"Amber"),E1635="BLD-TIMBER",AND(U1635="Building equipment",OR(E1635="BLD-WATER",E1635="BLD-WASTE",E1635="BLD-LAND")),AND(U1635="Building renovation",E1635="BLD-LAND"))),"N/A","Pending"))))))</x:f>
      </x:c>
      <x:c r="Q1635" s="3" t="str">
        <x:f>IF(C1635="","",IF(AND(R1635="Valid",OR(P1635="Pass",P1635="N/A")),"Complete","Unresolved"))</x:f>
      </x:c>
      <x:c r="R1635" s="9" t="str">
        <x:f>IF(C1635="","",IF(OR(COUNTIF($C$9:$C$2008,C1635)&lt;&gt;1,COUNTIFS($D$9:$D$2008,D1635,$E$9:$E$2008,E1635)&lt;&gt;1),"Duplicate test",IF(COUNTIF('Taxonomy'!$C$9:$C$108,D1635)&lt;&gt;1,"Assessment key",IF(OR(COUNTIF('Taxonomy Rules'!$C$42:$C$68,E1635)&lt;&gt;1,F1635&lt;&gt;IFERROR(INDEX('Taxonomy Rules'!$D$42:$D$68,MATCH(E1635,'Taxonomy Rules'!$C$42:$C$68,0)),""),NOT(OR(IFERROR(INDEX('Taxonomy Rules'!$G$42:$G$68,MATCH(E1635,'Taxonomy Rules'!$C$42:$C$68,0)),"")="All supported routes",IFERROR(INDEX('Taxonomy Rules'!$G$42:$G$68,MATCH(E1635,'Taxonomy Rules'!$C$42:$C$68,0)),"")=U1635,AND(IFERROR(INDEX('Taxonomy Rules'!$G$42:$G$68,MATCH(E1635,'Taxonomy Rules'!$C$42:$C$68,0)),"")="Building routes",OR(U1635="Building renovation",U1635="New building",U1635="Building equipment"))))),"Unexpected test","Valid"))))</x:f>
      </x:c>
      <x:c r="S1635" s="9" t="str">
        <x:f>IF(C1635="","",IFERROR(INDEX('Taxonomy Rules'!$E$42:$E$68,MATCH(E1635,'Taxonomy Rules'!$C$42:$C$68,0)),""))</x:f>
      </x:c>
      <x:c r="T1635" s="9" t="str">
        <x:f>IF(C1635="","",IFERROR(INDEX('Taxonomy Rules'!$F$42:$F$68,MATCH(E1635,'Taxonomy Rules'!$C$42:$C$68,0)),""))</x:f>
      </x:c>
      <x:c r="U1635" s="9" t="str">
        <x:f>IF(C1635="","",IFERROR(INDEX('Taxonomy'!$G$9:$G$108,MATCH(D1635,'Taxonomy'!$C$9:$C$108,0)),""))</x:f>
      </x:c>
    </x:row>
    <x:row r="1636" ht="44" customHeight="1">
      <x:c r="A1636" s="1"/>
      <x:c r="B1636" s="1"/>
      <x:c r="C1636" s="8"/>
      <x:c r="D1636" s="8"/>
      <x:c r="E1636" s="8"/>
      <x:c r="F1636" s="8"/>
      <x:c r="G1636" s="8"/>
      <x:c r="H1636" s="8"/>
      <x:c r="I1636" s="8"/>
      <x:c r="J1636" s="8"/>
      <x:c r="K1636" s="8"/>
      <x:c r="L1636" s="8"/>
      <x:c r="M1636" s="10"/>
      <x:c r="N1636" s="10"/>
      <x:c r="O1636" s="8"/>
      <x:c r="P1636" s="9" t="str">
        <x:f>IF(C1636="","",IF(AND(G1636="Applicable",H1636="Fail"),"Fail",IF(R1636&lt;&gt;"Valid","Pending",IF(OR(I1636="",K1636="",L1636="",K1636=L1636,NOT(ISNUMBER(M1636)),NOT(ISNUMBER(N1636)),M1636&gt;Settings!$F$8,N1636&lt;Settings!$F$8,N1636&lt;M1636),"Pending",IF(AND(G1636="Applicable",H1636="Pass"),"Pass",IF(AND(G1636="N/A",H1636="N/A",J1636&lt;&gt;"",OR(E1636="CEM-FUELS",E1636="CEM-CCS",AND(E1636="CEM-PLAN",IFERROR(INDEX('Taxonomy'!$M$9:$M$108,MATCH(D1636,'Taxonomy'!$C$9:$C$108,0)),"")&lt;&gt;"Amber"),E1636="BLD-TIMBER",AND(U1636="Building equipment",OR(E1636="BLD-WATER",E1636="BLD-WASTE",E1636="BLD-LAND")),AND(U1636="Building renovation",E1636="BLD-LAND"))),"N/A","Pending"))))))</x:f>
      </x:c>
      <x:c r="Q1636" s="3" t="str">
        <x:f>IF(C1636="","",IF(AND(R1636="Valid",OR(P1636="Pass",P1636="N/A")),"Complete","Unresolved"))</x:f>
      </x:c>
      <x:c r="R1636" s="9" t="str">
        <x:f>IF(C1636="","",IF(OR(COUNTIF($C$9:$C$2008,C1636)&lt;&gt;1,COUNTIFS($D$9:$D$2008,D1636,$E$9:$E$2008,E1636)&lt;&gt;1),"Duplicate test",IF(COUNTIF('Taxonomy'!$C$9:$C$108,D1636)&lt;&gt;1,"Assessment key",IF(OR(COUNTIF('Taxonomy Rules'!$C$42:$C$68,E1636)&lt;&gt;1,F1636&lt;&gt;IFERROR(INDEX('Taxonomy Rules'!$D$42:$D$68,MATCH(E1636,'Taxonomy Rules'!$C$42:$C$68,0)),""),NOT(OR(IFERROR(INDEX('Taxonomy Rules'!$G$42:$G$68,MATCH(E1636,'Taxonomy Rules'!$C$42:$C$68,0)),"")="All supported routes",IFERROR(INDEX('Taxonomy Rules'!$G$42:$G$68,MATCH(E1636,'Taxonomy Rules'!$C$42:$C$68,0)),"")=U1636,AND(IFERROR(INDEX('Taxonomy Rules'!$G$42:$G$68,MATCH(E1636,'Taxonomy Rules'!$C$42:$C$68,0)),"")="Building routes",OR(U1636="Building renovation",U1636="New building",U1636="Building equipment"))))),"Unexpected test","Valid"))))</x:f>
      </x:c>
      <x:c r="S1636" s="9" t="str">
        <x:f>IF(C1636="","",IFERROR(INDEX('Taxonomy Rules'!$E$42:$E$68,MATCH(E1636,'Taxonomy Rules'!$C$42:$C$68,0)),""))</x:f>
      </x:c>
      <x:c r="T1636" s="9" t="str">
        <x:f>IF(C1636="","",IFERROR(INDEX('Taxonomy Rules'!$F$42:$F$68,MATCH(E1636,'Taxonomy Rules'!$C$42:$C$68,0)),""))</x:f>
      </x:c>
      <x:c r="U1636" s="9" t="str">
        <x:f>IF(C1636="","",IFERROR(INDEX('Taxonomy'!$G$9:$G$108,MATCH(D1636,'Taxonomy'!$C$9:$C$108,0)),""))</x:f>
      </x:c>
    </x:row>
    <x:row r="1637" ht="44" customHeight="1">
      <x:c r="A1637" s="1"/>
      <x:c r="B1637" s="1"/>
      <x:c r="C1637" s="8"/>
      <x:c r="D1637" s="8"/>
      <x:c r="E1637" s="8"/>
      <x:c r="F1637" s="8"/>
      <x:c r="G1637" s="8"/>
      <x:c r="H1637" s="8"/>
      <x:c r="I1637" s="8"/>
      <x:c r="J1637" s="8"/>
      <x:c r="K1637" s="8"/>
      <x:c r="L1637" s="8"/>
      <x:c r="M1637" s="10"/>
      <x:c r="N1637" s="10"/>
      <x:c r="O1637" s="8"/>
      <x:c r="P1637" s="9" t="str">
        <x:f>IF(C1637="","",IF(AND(G1637="Applicable",H1637="Fail"),"Fail",IF(R1637&lt;&gt;"Valid","Pending",IF(OR(I1637="",K1637="",L1637="",K1637=L1637,NOT(ISNUMBER(M1637)),NOT(ISNUMBER(N1637)),M1637&gt;Settings!$F$8,N1637&lt;Settings!$F$8,N1637&lt;M1637),"Pending",IF(AND(G1637="Applicable",H1637="Pass"),"Pass",IF(AND(G1637="N/A",H1637="N/A",J1637&lt;&gt;"",OR(E1637="CEM-FUELS",E1637="CEM-CCS",AND(E1637="CEM-PLAN",IFERROR(INDEX('Taxonomy'!$M$9:$M$108,MATCH(D1637,'Taxonomy'!$C$9:$C$108,0)),"")&lt;&gt;"Amber"),E1637="BLD-TIMBER",AND(U1637="Building equipment",OR(E1637="BLD-WATER",E1637="BLD-WASTE",E1637="BLD-LAND")),AND(U1637="Building renovation",E1637="BLD-LAND"))),"N/A","Pending"))))))</x:f>
      </x:c>
      <x:c r="Q1637" s="3" t="str">
        <x:f>IF(C1637="","",IF(AND(R1637="Valid",OR(P1637="Pass",P1637="N/A")),"Complete","Unresolved"))</x:f>
      </x:c>
      <x:c r="R1637" s="9" t="str">
        <x:f>IF(C1637="","",IF(OR(COUNTIF($C$9:$C$2008,C1637)&lt;&gt;1,COUNTIFS($D$9:$D$2008,D1637,$E$9:$E$2008,E1637)&lt;&gt;1),"Duplicate test",IF(COUNTIF('Taxonomy'!$C$9:$C$108,D1637)&lt;&gt;1,"Assessment key",IF(OR(COUNTIF('Taxonomy Rules'!$C$42:$C$68,E1637)&lt;&gt;1,F1637&lt;&gt;IFERROR(INDEX('Taxonomy Rules'!$D$42:$D$68,MATCH(E1637,'Taxonomy Rules'!$C$42:$C$68,0)),""),NOT(OR(IFERROR(INDEX('Taxonomy Rules'!$G$42:$G$68,MATCH(E1637,'Taxonomy Rules'!$C$42:$C$68,0)),"")="All supported routes",IFERROR(INDEX('Taxonomy Rules'!$G$42:$G$68,MATCH(E1637,'Taxonomy Rules'!$C$42:$C$68,0)),"")=U1637,AND(IFERROR(INDEX('Taxonomy Rules'!$G$42:$G$68,MATCH(E1637,'Taxonomy Rules'!$C$42:$C$68,0)),"")="Building routes",OR(U1637="Building renovation",U1637="New building",U1637="Building equipment"))))),"Unexpected test","Valid"))))</x:f>
      </x:c>
      <x:c r="S1637" s="9" t="str">
        <x:f>IF(C1637="","",IFERROR(INDEX('Taxonomy Rules'!$E$42:$E$68,MATCH(E1637,'Taxonomy Rules'!$C$42:$C$68,0)),""))</x:f>
      </x:c>
      <x:c r="T1637" s="9" t="str">
        <x:f>IF(C1637="","",IFERROR(INDEX('Taxonomy Rules'!$F$42:$F$68,MATCH(E1637,'Taxonomy Rules'!$C$42:$C$68,0)),""))</x:f>
      </x:c>
      <x:c r="U1637" s="9" t="str">
        <x:f>IF(C1637="","",IFERROR(INDEX('Taxonomy'!$G$9:$G$108,MATCH(D1637,'Taxonomy'!$C$9:$C$108,0)),""))</x:f>
      </x:c>
    </x:row>
    <x:row r="1638" ht="44" customHeight="1">
      <x:c r="A1638" s="1"/>
      <x:c r="B1638" s="1"/>
      <x:c r="C1638" s="8"/>
      <x:c r="D1638" s="8"/>
      <x:c r="E1638" s="8"/>
      <x:c r="F1638" s="8"/>
      <x:c r="G1638" s="8"/>
      <x:c r="H1638" s="8"/>
      <x:c r="I1638" s="8"/>
      <x:c r="J1638" s="8"/>
      <x:c r="K1638" s="8"/>
      <x:c r="L1638" s="8"/>
      <x:c r="M1638" s="10"/>
      <x:c r="N1638" s="10"/>
      <x:c r="O1638" s="8"/>
      <x:c r="P1638" s="9" t="str">
        <x:f>IF(C1638="","",IF(AND(G1638="Applicable",H1638="Fail"),"Fail",IF(R1638&lt;&gt;"Valid","Pending",IF(OR(I1638="",K1638="",L1638="",K1638=L1638,NOT(ISNUMBER(M1638)),NOT(ISNUMBER(N1638)),M1638&gt;Settings!$F$8,N1638&lt;Settings!$F$8,N1638&lt;M1638),"Pending",IF(AND(G1638="Applicable",H1638="Pass"),"Pass",IF(AND(G1638="N/A",H1638="N/A",J1638&lt;&gt;"",OR(E1638="CEM-FUELS",E1638="CEM-CCS",AND(E1638="CEM-PLAN",IFERROR(INDEX('Taxonomy'!$M$9:$M$108,MATCH(D1638,'Taxonomy'!$C$9:$C$108,0)),"")&lt;&gt;"Amber"),E1638="BLD-TIMBER",AND(U1638="Building equipment",OR(E1638="BLD-WATER",E1638="BLD-WASTE",E1638="BLD-LAND")),AND(U1638="Building renovation",E1638="BLD-LAND"))),"N/A","Pending"))))))</x:f>
      </x:c>
      <x:c r="Q1638" s="3" t="str">
        <x:f>IF(C1638="","",IF(AND(R1638="Valid",OR(P1638="Pass",P1638="N/A")),"Complete","Unresolved"))</x:f>
      </x:c>
      <x:c r="R1638" s="9" t="str">
        <x:f>IF(C1638="","",IF(OR(COUNTIF($C$9:$C$2008,C1638)&lt;&gt;1,COUNTIFS($D$9:$D$2008,D1638,$E$9:$E$2008,E1638)&lt;&gt;1),"Duplicate test",IF(COUNTIF('Taxonomy'!$C$9:$C$108,D1638)&lt;&gt;1,"Assessment key",IF(OR(COUNTIF('Taxonomy Rules'!$C$42:$C$68,E1638)&lt;&gt;1,F1638&lt;&gt;IFERROR(INDEX('Taxonomy Rules'!$D$42:$D$68,MATCH(E1638,'Taxonomy Rules'!$C$42:$C$68,0)),""),NOT(OR(IFERROR(INDEX('Taxonomy Rules'!$G$42:$G$68,MATCH(E1638,'Taxonomy Rules'!$C$42:$C$68,0)),"")="All supported routes",IFERROR(INDEX('Taxonomy Rules'!$G$42:$G$68,MATCH(E1638,'Taxonomy Rules'!$C$42:$C$68,0)),"")=U1638,AND(IFERROR(INDEX('Taxonomy Rules'!$G$42:$G$68,MATCH(E1638,'Taxonomy Rules'!$C$42:$C$68,0)),"")="Building routes",OR(U1638="Building renovation",U1638="New building",U1638="Building equipment"))))),"Unexpected test","Valid"))))</x:f>
      </x:c>
      <x:c r="S1638" s="9" t="str">
        <x:f>IF(C1638="","",IFERROR(INDEX('Taxonomy Rules'!$E$42:$E$68,MATCH(E1638,'Taxonomy Rules'!$C$42:$C$68,0)),""))</x:f>
      </x:c>
      <x:c r="T1638" s="9" t="str">
        <x:f>IF(C1638="","",IFERROR(INDEX('Taxonomy Rules'!$F$42:$F$68,MATCH(E1638,'Taxonomy Rules'!$C$42:$C$68,0)),""))</x:f>
      </x:c>
      <x:c r="U1638" s="9" t="str">
        <x:f>IF(C1638="","",IFERROR(INDEX('Taxonomy'!$G$9:$G$108,MATCH(D1638,'Taxonomy'!$C$9:$C$108,0)),""))</x:f>
      </x:c>
    </x:row>
    <x:row r="1639" ht="44" customHeight="1">
      <x:c r="A1639" s="1"/>
      <x:c r="B1639" s="1"/>
      <x:c r="C1639" s="8"/>
      <x:c r="D1639" s="8"/>
      <x:c r="E1639" s="8"/>
      <x:c r="F1639" s="8"/>
      <x:c r="G1639" s="8"/>
      <x:c r="H1639" s="8"/>
      <x:c r="I1639" s="8"/>
      <x:c r="J1639" s="8"/>
      <x:c r="K1639" s="8"/>
      <x:c r="L1639" s="8"/>
      <x:c r="M1639" s="10"/>
      <x:c r="N1639" s="10"/>
      <x:c r="O1639" s="8"/>
      <x:c r="P1639" s="9" t="str">
        <x:f>IF(C1639="","",IF(AND(G1639="Applicable",H1639="Fail"),"Fail",IF(R1639&lt;&gt;"Valid","Pending",IF(OR(I1639="",K1639="",L1639="",K1639=L1639,NOT(ISNUMBER(M1639)),NOT(ISNUMBER(N1639)),M1639&gt;Settings!$F$8,N1639&lt;Settings!$F$8,N1639&lt;M1639),"Pending",IF(AND(G1639="Applicable",H1639="Pass"),"Pass",IF(AND(G1639="N/A",H1639="N/A",J1639&lt;&gt;"",OR(E1639="CEM-FUELS",E1639="CEM-CCS",AND(E1639="CEM-PLAN",IFERROR(INDEX('Taxonomy'!$M$9:$M$108,MATCH(D1639,'Taxonomy'!$C$9:$C$108,0)),"")&lt;&gt;"Amber"),E1639="BLD-TIMBER",AND(U1639="Building equipment",OR(E1639="BLD-WATER",E1639="BLD-WASTE",E1639="BLD-LAND")),AND(U1639="Building renovation",E1639="BLD-LAND"))),"N/A","Pending"))))))</x:f>
      </x:c>
      <x:c r="Q1639" s="3" t="str">
        <x:f>IF(C1639="","",IF(AND(R1639="Valid",OR(P1639="Pass",P1639="N/A")),"Complete","Unresolved"))</x:f>
      </x:c>
      <x:c r="R1639" s="9" t="str">
        <x:f>IF(C1639="","",IF(OR(COUNTIF($C$9:$C$2008,C1639)&lt;&gt;1,COUNTIFS($D$9:$D$2008,D1639,$E$9:$E$2008,E1639)&lt;&gt;1),"Duplicate test",IF(COUNTIF('Taxonomy'!$C$9:$C$108,D1639)&lt;&gt;1,"Assessment key",IF(OR(COUNTIF('Taxonomy Rules'!$C$42:$C$68,E1639)&lt;&gt;1,F1639&lt;&gt;IFERROR(INDEX('Taxonomy Rules'!$D$42:$D$68,MATCH(E1639,'Taxonomy Rules'!$C$42:$C$68,0)),""),NOT(OR(IFERROR(INDEX('Taxonomy Rules'!$G$42:$G$68,MATCH(E1639,'Taxonomy Rules'!$C$42:$C$68,0)),"")="All supported routes",IFERROR(INDEX('Taxonomy Rules'!$G$42:$G$68,MATCH(E1639,'Taxonomy Rules'!$C$42:$C$68,0)),"")=U1639,AND(IFERROR(INDEX('Taxonomy Rules'!$G$42:$G$68,MATCH(E1639,'Taxonomy Rules'!$C$42:$C$68,0)),"")="Building routes",OR(U1639="Building renovation",U1639="New building",U1639="Building equipment"))))),"Unexpected test","Valid"))))</x:f>
      </x:c>
      <x:c r="S1639" s="9" t="str">
        <x:f>IF(C1639="","",IFERROR(INDEX('Taxonomy Rules'!$E$42:$E$68,MATCH(E1639,'Taxonomy Rules'!$C$42:$C$68,0)),""))</x:f>
      </x:c>
      <x:c r="T1639" s="9" t="str">
        <x:f>IF(C1639="","",IFERROR(INDEX('Taxonomy Rules'!$F$42:$F$68,MATCH(E1639,'Taxonomy Rules'!$C$42:$C$68,0)),""))</x:f>
      </x:c>
      <x:c r="U1639" s="9" t="str">
        <x:f>IF(C1639="","",IFERROR(INDEX('Taxonomy'!$G$9:$G$108,MATCH(D1639,'Taxonomy'!$C$9:$C$108,0)),""))</x:f>
      </x:c>
    </x:row>
    <x:row r="1640" ht="44" customHeight="1">
      <x:c r="A1640" s="1"/>
      <x:c r="B1640" s="1"/>
      <x:c r="C1640" s="8"/>
      <x:c r="D1640" s="8"/>
      <x:c r="E1640" s="8"/>
      <x:c r="F1640" s="8"/>
      <x:c r="G1640" s="8"/>
      <x:c r="H1640" s="8"/>
      <x:c r="I1640" s="8"/>
      <x:c r="J1640" s="8"/>
      <x:c r="K1640" s="8"/>
      <x:c r="L1640" s="8"/>
      <x:c r="M1640" s="10"/>
      <x:c r="N1640" s="10"/>
      <x:c r="O1640" s="8"/>
      <x:c r="P1640" s="9" t="str">
        <x:f>IF(C1640="","",IF(AND(G1640="Applicable",H1640="Fail"),"Fail",IF(R1640&lt;&gt;"Valid","Pending",IF(OR(I1640="",K1640="",L1640="",K1640=L1640,NOT(ISNUMBER(M1640)),NOT(ISNUMBER(N1640)),M1640&gt;Settings!$F$8,N1640&lt;Settings!$F$8,N1640&lt;M1640),"Pending",IF(AND(G1640="Applicable",H1640="Pass"),"Pass",IF(AND(G1640="N/A",H1640="N/A",J1640&lt;&gt;"",OR(E1640="CEM-FUELS",E1640="CEM-CCS",AND(E1640="CEM-PLAN",IFERROR(INDEX('Taxonomy'!$M$9:$M$108,MATCH(D1640,'Taxonomy'!$C$9:$C$108,0)),"")&lt;&gt;"Amber"),E1640="BLD-TIMBER",AND(U1640="Building equipment",OR(E1640="BLD-WATER",E1640="BLD-WASTE",E1640="BLD-LAND")),AND(U1640="Building renovation",E1640="BLD-LAND"))),"N/A","Pending"))))))</x:f>
      </x:c>
      <x:c r="Q1640" s="3" t="str">
        <x:f>IF(C1640="","",IF(AND(R1640="Valid",OR(P1640="Pass",P1640="N/A")),"Complete","Unresolved"))</x:f>
      </x:c>
      <x:c r="R1640" s="9" t="str">
        <x:f>IF(C1640="","",IF(OR(COUNTIF($C$9:$C$2008,C1640)&lt;&gt;1,COUNTIFS($D$9:$D$2008,D1640,$E$9:$E$2008,E1640)&lt;&gt;1),"Duplicate test",IF(COUNTIF('Taxonomy'!$C$9:$C$108,D1640)&lt;&gt;1,"Assessment key",IF(OR(COUNTIF('Taxonomy Rules'!$C$42:$C$68,E1640)&lt;&gt;1,F1640&lt;&gt;IFERROR(INDEX('Taxonomy Rules'!$D$42:$D$68,MATCH(E1640,'Taxonomy Rules'!$C$42:$C$68,0)),""),NOT(OR(IFERROR(INDEX('Taxonomy Rules'!$G$42:$G$68,MATCH(E1640,'Taxonomy Rules'!$C$42:$C$68,0)),"")="All supported routes",IFERROR(INDEX('Taxonomy Rules'!$G$42:$G$68,MATCH(E1640,'Taxonomy Rules'!$C$42:$C$68,0)),"")=U1640,AND(IFERROR(INDEX('Taxonomy Rules'!$G$42:$G$68,MATCH(E1640,'Taxonomy Rules'!$C$42:$C$68,0)),"")="Building routes",OR(U1640="Building renovation",U1640="New building",U1640="Building equipment"))))),"Unexpected test","Valid"))))</x:f>
      </x:c>
      <x:c r="S1640" s="9" t="str">
        <x:f>IF(C1640="","",IFERROR(INDEX('Taxonomy Rules'!$E$42:$E$68,MATCH(E1640,'Taxonomy Rules'!$C$42:$C$68,0)),""))</x:f>
      </x:c>
      <x:c r="T1640" s="9" t="str">
        <x:f>IF(C1640="","",IFERROR(INDEX('Taxonomy Rules'!$F$42:$F$68,MATCH(E1640,'Taxonomy Rules'!$C$42:$C$68,0)),""))</x:f>
      </x:c>
      <x:c r="U1640" s="9" t="str">
        <x:f>IF(C1640="","",IFERROR(INDEX('Taxonomy'!$G$9:$G$108,MATCH(D1640,'Taxonomy'!$C$9:$C$108,0)),""))</x:f>
      </x:c>
    </x:row>
    <x:row r="1641" ht="44" customHeight="1">
      <x:c r="A1641" s="1"/>
      <x:c r="B1641" s="1"/>
      <x:c r="C1641" s="8"/>
      <x:c r="D1641" s="8"/>
      <x:c r="E1641" s="8"/>
      <x:c r="F1641" s="8"/>
      <x:c r="G1641" s="8"/>
      <x:c r="H1641" s="8"/>
      <x:c r="I1641" s="8"/>
      <x:c r="J1641" s="8"/>
      <x:c r="K1641" s="8"/>
      <x:c r="L1641" s="8"/>
      <x:c r="M1641" s="10"/>
      <x:c r="N1641" s="10"/>
      <x:c r="O1641" s="8"/>
      <x:c r="P1641" s="9" t="str">
        <x:f>IF(C1641="","",IF(AND(G1641="Applicable",H1641="Fail"),"Fail",IF(R1641&lt;&gt;"Valid","Pending",IF(OR(I1641="",K1641="",L1641="",K1641=L1641,NOT(ISNUMBER(M1641)),NOT(ISNUMBER(N1641)),M1641&gt;Settings!$F$8,N1641&lt;Settings!$F$8,N1641&lt;M1641),"Pending",IF(AND(G1641="Applicable",H1641="Pass"),"Pass",IF(AND(G1641="N/A",H1641="N/A",J1641&lt;&gt;"",OR(E1641="CEM-FUELS",E1641="CEM-CCS",AND(E1641="CEM-PLAN",IFERROR(INDEX('Taxonomy'!$M$9:$M$108,MATCH(D1641,'Taxonomy'!$C$9:$C$108,0)),"")&lt;&gt;"Amber"),E1641="BLD-TIMBER",AND(U1641="Building equipment",OR(E1641="BLD-WATER",E1641="BLD-WASTE",E1641="BLD-LAND")),AND(U1641="Building renovation",E1641="BLD-LAND"))),"N/A","Pending"))))))</x:f>
      </x:c>
      <x:c r="Q1641" s="3" t="str">
        <x:f>IF(C1641="","",IF(AND(R1641="Valid",OR(P1641="Pass",P1641="N/A")),"Complete","Unresolved"))</x:f>
      </x:c>
      <x:c r="R1641" s="9" t="str">
        <x:f>IF(C1641="","",IF(OR(COUNTIF($C$9:$C$2008,C1641)&lt;&gt;1,COUNTIFS($D$9:$D$2008,D1641,$E$9:$E$2008,E1641)&lt;&gt;1),"Duplicate test",IF(COUNTIF('Taxonomy'!$C$9:$C$108,D1641)&lt;&gt;1,"Assessment key",IF(OR(COUNTIF('Taxonomy Rules'!$C$42:$C$68,E1641)&lt;&gt;1,F1641&lt;&gt;IFERROR(INDEX('Taxonomy Rules'!$D$42:$D$68,MATCH(E1641,'Taxonomy Rules'!$C$42:$C$68,0)),""),NOT(OR(IFERROR(INDEX('Taxonomy Rules'!$G$42:$G$68,MATCH(E1641,'Taxonomy Rules'!$C$42:$C$68,0)),"")="All supported routes",IFERROR(INDEX('Taxonomy Rules'!$G$42:$G$68,MATCH(E1641,'Taxonomy Rules'!$C$42:$C$68,0)),"")=U1641,AND(IFERROR(INDEX('Taxonomy Rules'!$G$42:$G$68,MATCH(E1641,'Taxonomy Rules'!$C$42:$C$68,0)),"")="Building routes",OR(U1641="Building renovation",U1641="New building",U1641="Building equipment"))))),"Unexpected test","Valid"))))</x:f>
      </x:c>
      <x:c r="S1641" s="9" t="str">
        <x:f>IF(C1641="","",IFERROR(INDEX('Taxonomy Rules'!$E$42:$E$68,MATCH(E1641,'Taxonomy Rules'!$C$42:$C$68,0)),""))</x:f>
      </x:c>
      <x:c r="T1641" s="9" t="str">
        <x:f>IF(C1641="","",IFERROR(INDEX('Taxonomy Rules'!$F$42:$F$68,MATCH(E1641,'Taxonomy Rules'!$C$42:$C$68,0)),""))</x:f>
      </x:c>
      <x:c r="U1641" s="9" t="str">
        <x:f>IF(C1641="","",IFERROR(INDEX('Taxonomy'!$G$9:$G$108,MATCH(D1641,'Taxonomy'!$C$9:$C$108,0)),""))</x:f>
      </x:c>
    </x:row>
    <x:row r="1642" ht="44" customHeight="1">
      <x:c r="A1642" s="1"/>
      <x:c r="B1642" s="1"/>
      <x:c r="C1642" s="8"/>
      <x:c r="D1642" s="8"/>
      <x:c r="E1642" s="8"/>
      <x:c r="F1642" s="8"/>
      <x:c r="G1642" s="8"/>
      <x:c r="H1642" s="8"/>
      <x:c r="I1642" s="8"/>
      <x:c r="J1642" s="8"/>
      <x:c r="K1642" s="8"/>
      <x:c r="L1642" s="8"/>
      <x:c r="M1642" s="10"/>
      <x:c r="N1642" s="10"/>
      <x:c r="O1642" s="8"/>
      <x:c r="P1642" s="9" t="str">
        <x:f>IF(C1642="","",IF(AND(G1642="Applicable",H1642="Fail"),"Fail",IF(R1642&lt;&gt;"Valid","Pending",IF(OR(I1642="",K1642="",L1642="",K1642=L1642,NOT(ISNUMBER(M1642)),NOT(ISNUMBER(N1642)),M1642&gt;Settings!$F$8,N1642&lt;Settings!$F$8,N1642&lt;M1642),"Pending",IF(AND(G1642="Applicable",H1642="Pass"),"Pass",IF(AND(G1642="N/A",H1642="N/A",J1642&lt;&gt;"",OR(E1642="CEM-FUELS",E1642="CEM-CCS",AND(E1642="CEM-PLAN",IFERROR(INDEX('Taxonomy'!$M$9:$M$108,MATCH(D1642,'Taxonomy'!$C$9:$C$108,0)),"")&lt;&gt;"Amber"),E1642="BLD-TIMBER",AND(U1642="Building equipment",OR(E1642="BLD-WATER",E1642="BLD-WASTE",E1642="BLD-LAND")),AND(U1642="Building renovation",E1642="BLD-LAND"))),"N/A","Pending"))))))</x:f>
      </x:c>
      <x:c r="Q1642" s="3" t="str">
        <x:f>IF(C1642="","",IF(AND(R1642="Valid",OR(P1642="Pass",P1642="N/A")),"Complete","Unresolved"))</x:f>
      </x:c>
      <x:c r="R1642" s="9" t="str">
        <x:f>IF(C1642="","",IF(OR(COUNTIF($C$9:$C$2008,C1642)&lt;&gt;1,COUNTIFS($D$9:$D$2008,D1642,$E$9:$E$2008,E1642)&lt;&gt;1),"Duplicate test",IF(COUNTIF('Taxonomy'!$C$9:$C$108,D1642)&lt;&gt;1,"Assessment key",IF(OR(COUNTIF('Taxonomy Rules'!$C$42:$C$68,E1642)&lt;&gt;1,F1642&lt;&gt;IFERROR(INDEX('Taxonomy Rules'!$D$42:$D$68,MATCH(E1642,'Taxonomy Rules'!$C$42:$C$68,0)),""),NOT(OR(IFERROR(INDEX('Taxonomy Rules'!$G$42:$G$68,MATCH(E1642,'Taxonomy Rules'!$C$42:$C$68,0)),"")="All supported routes",IFERROR(INDEX('Taxonomy Rules'!$G$42:$G$68,MATCH(E1642,'Taxonomy Rules'!$C$42:$C$68,0)),"")=U1642,AND(IFERROR(INDEX('Taxonomy Rules'!$G$42:$G$68,MATCH(E1642,'Taxonomy Rules'!$C$42:$C$68,0)),"")="Building routes",OR(U1642="Building renovation",U1642="New building",U1642="Building equipment"))))),"Unexpected test","Valid"))))</x:f>
      </x:c>
      <x:c r="S1642" s="9" t="str">
        <x:f>IF(C1642="","",IFERROR(INDEX('Taxonomy Rules'!$E$42:$E$68,MATCH(E1642,'Taxonomy Rules'!$C$42:$C$68,0)),""))</x:f>
      </x:c>
      <x:c r="T1642" s="9" t="str">
        <x:f>IF(C1642="","",IFERROR(INDEX('Taxonomy Rules'!$F$42:$F$68,MATCH(E1642,'Taxonomy Rules'!$C$42:$C$68,0)),""))</x:f>
      </x:c>
      <x:c r="U1642" s="9" t="str">
        <x:f>IF(C1642="","",IFERROR(INDEX('Taxonomy'!$G$9:$G$108,MATCH(D1642,'Taxonomy'!$C$9:$C$108,0)),""))</x:f>
      </x:c>
    </x:row>
    <x:row r="1643" ht="44" customHeight="1">
      <x:c r="A1643" s="1"/>
      <x:c r="B1643" s="1"/>
      <x:c r="C1643" s="8"/>
      <x:c r="D1643" s="8"/>
      <x:c r="E1643" s="8"/>
      <x:c r="F1643" s="8"/>
      <x:c r="G1643" s="8"/>
      <x:c r="H1643" s="8"/>
      <x:c r="I1643" s="8"/>
      <x:c r="J1643" s="8"/>
      <x:c r="K1643" s="8"/>
      <x:c r="L1643" s="8"/>
      <x:c r="M1643" s="10"/>
      <x:c r="N1643" s="10"/>
      <x:c r="O1643" s="8"/>
      <x:c r="P1643" s="9" t="str">
        <x:f>IF(C1643="","",IF(AND(G1643="Applicable",H1643="Fail"),"Fail",IF(R1643&lt;&gt;"Valid","Pending",IF(OR(I1643="",K1643="",L1643="",K1643=L1643,NOT(ISNUMBER(M1643)),NOT(ISNUMBER(N1643)),M1643&gt;Settings!$F$8,N1643&lt;Settings!$F$8,N1643&lt;M1643),"Pending",IF(AND(G1643="Applicable",H1643="Pass"),"Pass",IF(AND(G1643="N/A",H1643="N/A",J1643&lt;&gt;"",OR(E1643="CEM-FUELS",E1643="CEM-CCS",AND(E1643="CEM-PLAN",IFERROR(INDEX('Taxonomy'!$M$9:$M$108,MATCH(D1643,'Taxonomy'!$C$9:$C$108,0)),"")&lt;&gt;"Amber"),E1643="BLD-TIMBER",AND(U1643="Building equipment",OR(E1643="BLD-WATER",E1643="BLD-WASTE",E1643="BLD-LAND")),AND(U1643="Building renovation",E1643="BLD-LAND"))),"N/A","Pending"))))))</x:f>
      </x:c>
      <x:c r="Q1643" s="3" t="str">
        <x:f>IF(C1643="","",IF(AND(R1643="Valid",OR(P1643="Pass",P1643="N/A")),"Complete","Unresolved"))</x:f>
      </x:c>
      <x:c r="R1643" s="9" t="str">
        <x:f>IF(C1643="","",IF(OR(COUNTIF($C$9:$C$2008,C1643)&lt;&gt;1,COUNTIFS($D$9:$D$2008,D1643,$E$9:$E$2008,E1643)&lt;&gt;1),"Duplicate test",IF(COUNTIF('Taxonomy'!$C$9:$C$108,D1643)&lt;&gt;1,"Assessment key",IF(OR(COUNTIF('Taxonomy Rules'!$C$42:$C$68,E1643)&lt;&gt;1,F1643&lt;&gt;IFERROR(INDEX('Taxonomy Rules'!$D$42:$D$68,MATCH(E1643,'Taxonomy Rules'!$C$42:$C$68,0)),""),NOT(OR(IFERROR(INDEX('Taxonomy Rules'!$G$42:$G$68,MATCH(E1643,'Taxonomy Rules'!$C$42:$C$68,0)),"")="All supported routes",IFERROR(INDEX('Taxonomy Rules'!$G$42:$G$68,MATCH(E1643,'Taxonomy Rules'!$C$42:$C$68,0)),"")=U1643,AND(IFERROR(INDEX('Taxonomy Rules'!$G$42:$G$68,MATCH(E1643,'Taxonomy Rules'!$C$42:$C$68,0)),"")="Building routes",OR(U1643="Building renovation",U1643="New building",U1643="Building equipment"))))),"Unexpected test","Valid"))))</x:f>
      </x:c>
      <x:c r="S1643" s="9" t="str">
        <x:f>IF(C1643="","",IFERROR(INDEX('Taxonomy Rules'!$E$42:$E$68,MATCH(E1643,'Taxonomy Rules'!$C$42:$C$68,0)),""))</x:f>
      </x:c>
      <x:c r="T1643" s="9" t="str">
        <x:f>IF(C1643="","",IFERROR(INDEX('Taxonomy Rules'!$F$42:$F$68,MATCH(E1643,'Taxonomy Rules'!$C$42:$C$68,0)),""))</x:f>
      </x:c>
      <x:c r="U1643" s="9" t="str">
        <x:f>IF(C1643="","",IFERROR(INDEX('Taxonomy'!$G$9:$G$108,MATCH(D1643,'Taxonomy'!$C$9:$C$108,0)),""))</x:f>
      </x:c>
    </x:row>
    <x:row r="1644" ht="44" customHeight="1">
      <x:c r="A1644" s="1"/>
      <x:c r="B1644" s="1"/>
      <x:c r="C1644" s="8"/>
      <x:c r="D1644" s="8"/>
      <x:c r="E1644" s="8"/>
      <x:c r="F1644" s="8"/>
      <x:c r="G1644" s="8"/>
      <x:c r="H1644" s="8"/>
      <x:c r="I1644" s="8"/>
      <x:c r="J1644" s="8"/>
      <x:c r="K1644" s="8"/>
      <x:c r="L1644" s="8"/>
      <x:c r="M1644" s="10"/>
      <x:c r="N1644" s="10"/>
      <x:c r="O1644" s="8"/>
      <x:c r="P1644" s="9" t="str">
        <x:f>IF(C1644="","",IF(AND(G1644="Applicable",H1644="Fail"),"Fail",IF(R1644&lt;&gt;"Valid","Pending",IF(OR(I1644="",K1644="",L1644="",K1644=L1644,NOT(ISNUMBER(M1644)),NOT(ISNUMBER(N1644)),M1644&gt;Settings!$F$8,N1644&lt;Settings!$F$8,N1644&lt;M1644),"Pending",IF(AND(G1644="Applicable",H1644="Pass"),"Pass",IF(AND(G1644="N/A",H1644="N/A",J1644&lt;&gt;"",OR(E1644="CEM-FUELS",E1644="CEM-CCS",AND(E1644="CEM-PLAN",IFERROR(INDEX('Taxonomy'!$M$9:$M$108,MATCH(D1644,'Taxonomy'!$C$9:$C$108,0)),"")&lt;&gt;"Amber"),E1644="BLD-TIMBER",AND(U1644="Building equipment",OR(E1644="BLD-WATER",E1644="BLD-WASTE",E1644="BLD-LAND")),AND(U1644="Building renovation",E1644="BLD-LAND"))),"N/A","Pending"))))))</x:f>
      </x:c>
      <x:c r="Q1644" s="3" t="str">
        <x:f>IF(C1644="","",IF(AND(R1644="Valid",OR(P1644="Pass",P1644="N/A")),"Complete","Unresolved"))</x:f>
      </x:c>
      <x:c r="R1644" s="9" t="str">
        <x:f>IF(C1644="","",IF(OR(COUNTIF($C$9:$C$2008,C1644)&lt;&gt;1,COUNTIFS($D$9:$D$2008,D1644,$E$9:$E$2008,E1644)&lt;&gt;1),"Duplicate test",IF(COUNTIF('Taxonomy'!$C$9:$C$108,D1644)&lt;&gt;1,"Assessment key",IF(OR(COUNTIF('Taxonomy Rules'!$C$42:$C$68,E1644)&lt;&gt;1,F1644&lt;&gt;IFERROR(INDEX('Taxonomy Rules'!$D$42:$D$68,MATCH(E1644,'Taxonomy Rules'!$C$42:$C$68,0)),""),NOT(OR(IFERROR(INDEX('Taxonomy Rules'!$G$42:$G$68,MATCH(E1644,'Taxonomy Rules'!$C$42:$C$68,0)),"")="All supported routes",IFERROR(INDEX('Taxonomy Rules'!$G$42:$G$68,MATCH(E1644,'Taxonomy Rules'!$C$42:$C$68,0)),"")=U1644,AND(IFERROR(INDEX('Taxonomy Rules'!$G$42:$G$68,MATCH(E1644,'Taxonomy Rules'!$C$42:$C$68,0)),"")="Building routes",OR(U1644="Building renovation",U1644="New building",U1644="Building equipment"))))),"Unexpected test","Valid"))))</x:f>
      </x:c>
      <x:c r="S1644" s="9" t="str">
        <x:f>IF(C1644="","",IFERROR(INDEX('Taxonomy Rules'!$E$42:$E$68,MATCH(E1644,'Taxonomy Rules'!$C$42:$C$68,0)),""))</x:f>
      </x:c>
      <x:c r="T1644" s="9" t="str">
        <x:f>IF(C1644="","",IFERROR(INDEX('Taxonomy Rules'!$F$42:$F$68,MATCH(E1644,'Taxonomy Rules'!$C$42:$C$68,0)),""))</x:f>
      </x:c>
      <x:c r="U1644" s="9" t="str">
        <x:f>IF(C1644="","",IFERROR(INDEX('Taxonomy'!$G$9:$G$108,MATCH(D1644,'Taxonomy'!$C$9:$C$108,0)),""))</x:f>
      </x:c>
    </x:row>
    <x:row r="1645" ht="44" customHeight="1">
      <x:c r="A1645" s="1"/>
      <x:c r="B1645" s="1"/>
      <x:c r="C1645" s="8"/>
      <x:c r="D1645" s="8"/>
      <x:c r="E1645" s="8"/>
      <x:c r="F1645" s="8"/>
      <x:c r="G1645" s="8"/>
      <x:c r="H1645" s="8"/>
      <x:c r="I1645" s="8"/>
      <x:c r="J1645" s="8"/>
      <x:c r="K1645" s="8"/>
      <x:c r="L1645" s="8"/>
      <x:c r="M1645" s="10"/>
      <x:c r="N1645" s="10"/>
      <x:c r="O1645" s="8"/>
      <x:c r="P1645" s="9" t="str">
        <x:f>IF(C1645="","",IF(AND(G1645="Applicable",H1645="Fail"),"Fail",IF(R1645&lt;&gt;"Valid","Pending",IF(OR(I1645="",K1645="",L1645="",K1645=L1645,NOT(ISNUMBER(M1645)),NOT(ISNUMBER(N1645)),M1645&gt;Settings!$F$8,N1645&lt;Settings!$F$8,N1645&lt;M1645),"Pending",IF(AND(G1645="Applicable",H1645="Pass"),"Pass",IF(AND(G1645="N/A",H1645="N/A",J1645&lt;&gt;"",OR(E1645="CEM-FUELS",E1645="CEM-CCS",AND(E1645="CEM-PLAN",IFERROR(INDEX('Taxonomy'!$M$9:$M$108,MATCH(D1645,'Taxonomy'!$C$9:$C$108,0)),"")&lt;&gt;"Amber"),E1645="BLD-TIMBER",AND(U1645="Building equipment",OR(E1645="BLD-WATER",E1645="BLD-WASTE",E1645="BLD-LAND")),AND(U1645="Building renovation",E1645="BLD-LAND"))),"N/A","Pending"))))))</x:f>
      </x:c>
      <x:c r="Q1645" s="3" t="str">
        <x:f>IF(C1645="","",IF(AND(R1645="Valid",OR(P1645="Pass",P1645="N/A")),"Complete","Unresolved"))</x:f>
      </x:c>
      <x:c r="R1645" s="9" t="str">
        <x:f>IF(C1645="","",IF(OR(COUNTIF($C$9:$C$2008,C1645)&lt;&gt;1,COUNTIFS($D$9:$D$2008,D1645,$E$9:$E$2008,E1645)&lt;&gt;1),"Duplicate test",IF(COUNTIF('Taxonomy'!$C$9:$C$108,D1645)&lt;&gt;1,"Assessment key",IF(OR(COUNTIF('Taxonomy Rules'!$C$42:$C$68,E1645)&lt;&gt;1,F1645&lt;&gt;IFERROR(INDEX('Taxonomy Rules'!$D$42:$D$68,MATCH(E1645,'Taxonomy Rules'!$C$42:$C$68,0)),""),NOT(OR(IFERROR(INDEX('Taxonomy Rules'!$G$42:$G$68,MATCH(E1645,'Taxonomy Rules'!$C$42:$C$68,0)),"")="All supported routes",IFERROR(INDEX('Taxonomy Rules'!$G$42:$G$68,MATCH(E1645,'Taxonomy Rules'!$C$42:$C$68,0)),"")=U1645,AND(IFERROR(INDEX('Taxonomy Rules'!$G$42:$G$68,MATCH(E1645,'Taxonomy Rules'!$C$42:$C$68,0)),"")="Building routes",OR(U1645="Building renovation",U1645="New building",U1645="Building equipment"))))),"Unexpected test","Valid"))))</x:f>
      </x:c>
      <x:c r="S1645" s="9" t="str">
        <x:f>IF(C1645="","",IFERROR(INDEX('Taxonomy Rules'!$E$42:$E$68,MATCH(E1645,'Taxonomy Rules'!$C$42:$C$68,0)),""))</x:f>
      </x:c>
      <x:c r="T1645" s="9" t="str">
        <x:f>IF(C1645="","",IFERROR(INDEX('Taxonomy Rules'!$F$42:$F$68,MATCH(E1645,'Taxonomy Rules'!$C$42:$C$68,0)),""))</x:f>
      </x:c>
      <x:c r="U1645" s="9" t="str">
        <x:f>IF(C1645="","",IFERROR(INDEX('Taxonomy'!$G$9:$G$108,MATCH(D1645,'Taxonomy'!$C$9:$C$108,0)),""))</x:f>
      </x:c>
    </x:row>
    <x:row r="1646" ht="44" customHeight="1">
      <x:c r="A1646" s="1"/>
      <x:c r="B1646" s="1"/>
      <x:c r="C1646" s="8"/>
      <x:c r="D1646" s="8"/>
      <x:c r="E1646" s="8"/>
      <x:c r="F1646" s="8"/>
      <x:c r="G1646" s="8"/>
      <x:c r="H1646" s="8"/>
      <x:c r="I1646" s="8"/>
      <x:c r="J1646" s="8"/>
      <x:c r="K1646" s="8"/>
      <x:c r="L1646" s="8"/>
      <x:c r="M1646" s="10"/>
      <x:c r="N1646" s="10"/>
      <x:c r="O1646" s="8"/>
      <x:c r="P1646" s="9" t="str">
        <x:f>IF(C1646="","",IF(AND(G1646="Applicable",H1646="Fail"),"Fail",IF(R1646&lt;&gt;"Valid","Pending",IF(OR(I1646="",K1646="",L1646="",K1646=L1646,NOT(ISNUMBER(M1646)),NOT(ISNUMBER(N1646)),M1646&gt;Settings!$F$8,N1646&lt;Settings!$F$8,N1646&lt;M1646),"Pending",IF(AND(G1646="Applicable",H1646="Pass"),"Pass",IF(AND(G1646="N/A",H1646="N/A",J1646&lt;&gt;"",OR(E1646="CEM-FUELS",E1646="CEM-CCS",AND(E1646="CEM-PLAN",IFERROR(INDEX('Taxonomy'!$M$9:$M$108,MATCH(D1646,'Taxonomy'!$C$9:$C$108,0)),"")&lt;&gt;"Amber"),E1646="BLD-TIMBER",AND(U1646="Building equipment",OR(E1646="BLD-WATER",E1646="BLD-WASTE",E1646="BLD-LAND")),AND(U1646="Building renovation",E1646="BLD-LAND"))),"N/A","Pending"))))))</x:f>
      </x:c>
      <x:c r="Q1646" s="3" t="str">
        <x:f>IF(C1646="","",IF(AND(R1646="Valid",OR(P1646="Pass",P1646="N/A")),"Complete","Unresolved"))</x:f>
      </x:c>
      <x:c r="R1646" s="9" t="str">
        <x:f>IF(C1646="","",IF(OR(COUNTIF($C$9:$C$2008,C1646)&lt;&gt;1,COUNTIFS($D$9:$D$2008,D1646,$E$9:$E$2008,E1646)&lt;&gt;1),"Duplicate test",IF(COUNTIF('Taxonomy'!$C$9:$C$108,D1646)&lt;&gt;1,"Assessment key",IF(OR(COUNTIF('Taxonomy Rules'!$C$42:$C$68,E1646)&lt;&gt;1,F1646&lt;&gt;IFERROR(INDEX('Taxonomy Rules'!$D$42:$D$68,MATCH(E1646,'Taxonomy Rules'!$C$42:$C$68,0)),""),NOT(OR(IFERROR(INDEX('Taxonomy Rules'!$G$42:$G$68,MATCH(E1646,'Taxonomy Rules'!$C$42:$C$68,0)),"")="All supported routes",IFERROR(INDEX('Taxonomy Rules'!$G$42:$G$68,MATCH(E1646,'Taxonomy Rules'!$C$42:$C$68,0)),"")=U1646,AND(IFERROR(INDEX('Taxonomy Rules'!$G$42:$G$68,MATCH(E1646,'Taxonomy Rules'!$C$42:$C$68,0)),"")="Building routes",OR(U1646="Building renovation",U1646="New building",U1646="Building equipment"))))),"Unexpected test","Valid"))))</x:f>
      </x:c>
      <x:c r="S1646" s="9" t="str">
        <x:f>IF(C1646="","",IFERROR(INDEX('Taxonomy Rules'!$E$42:$E$68,MATCH(E1646,'Taxonomy Rules'!$C$42:$C$68,0)),""))</x:f>
      </x:c>
      <x:c r="T1646" s="9" t="str">
        <x:f>IF(C1646="","",IFERROR(INDEX('Taxonomy Rules'!$F$42:$F$68,MATCH(E1646,'Taxonomy Rules'!$C$42:$C$68,0)),""))</x:f>
      </x:c>
      <x:c r="U1646" s="9" t="str">
        <x:f>IF(C1646="","",IFERROR(INDEX('Taxonomy'!$G$9:$G$108,MATCH(D1646,'Taxonomy'!$C$9:$C$108,0)),""))</x:f>
      </x:c>
    </x:row>
    <x:row r="1647" ht="44" customHeight="1">
      <x:c r="A1647" s="1"/>
      <x:c r="B1647" s="1"/>
      <x:c r="C1647" s="8"/>
      <x:c r="D1647" s="8"/>
      <x:c r="E1647" s="8"/>
      <x:c r="F1647" s="8"/>
      <x:c r="G1647" s="8"/>
      <x:c r="H1647" s="8"/>
      <x:c r="I1647" s="8"/>
      <x:c r="J1647" s="8"/>
      <x:c r="K1647" s="8"/>
      <x:c r="L1647" s="8"/>
      <x:c r="M1647" s="10"/>
      <x:c r="N1647" s="10"/>
      <x:c r="O1647" s="8"/>
      <x:c r="P1647" s="9" t="str">
        <x:f>IF(C1647="","",IF(AND(G1647="Applicable",H1647="Fail"),"Fail",IF(R1647&lt;&gt;"Valid","Pending",IF(OR(I1647="",K1647="",L1647="",K1647=L1647,NOT(ISNUMBER(M1647)),NOT(ISNUMBER(N1647)),M1647&gt;Settings!$F$8,N1647&lt;Settings!$F$8,N1647&lt;M1647),"Pending",IF(AND(G1647="Applicable",H1647="Pass"),"Pass",IF(AND(G1647="N/A",H1647="N/A",J1647&lt;&gt;"",OR(E1647="CEM-FUELS",E1647="CEM-CCS",AND(E1647="CEM-PLAN",IFERROR(INDEX('Taxonomy'!$M$9:$M$108,MATCH(D1647,'Taxonomy'!$C$9:$C$108,0)),"")&lt;&gt;"Amber"),E1647="BLD-TIMBER",AND(U1647="Building equipment",OR(E1647="BLD-WATER",E1647="BLD-WASTE",E1647="BLD-LAND")),AND(U1647="Building renovation",E1647="BLD-LAND"))),"N/A","Pending"))))))</x:f>
      </x:c>
      <x:c r="Q1647" s="3" t="str">
        <x:f>IF(C1647="","",IF(AND(R1647="Valid",OR(P1647="Pass",P1647="N/A")),"Complete","Unresolved"))</x:f>
      </x:c>
      <x:c r="R1647" s="9" t="str">
        <x:f>IF(C1647="","",IF(OR(COUNTIF($C$9:$C$2008,C1647)&lt;&gt;1,COUNTIFS($D$9:$D$2008,D1647,$E$9:$E$2008,E1647)&lt;&gt;1),"Duplicate test",IF(COUNTIF('Taxonomy'!$C$9:$C$108,D1647)&lt;&gt;1,"Assessment key",IF(OR(COUNTIF('Taxonomy Rules'!$C$42:$C$68,E1647)&lt;&gt;1,F1647&lt;&gt;IFERROR(INDEX('Taxonomy Rules'!$D$42:$D$68,MATCH(E1647,'Taxonomy Rules'!$C$42:$C$68,0)),""),NOT(OR(IFERROR(INDEX('Taxonomy Rules'!$G$42:$G$68,MATCH(E1647,'Taxonomy Rules'!$C$42:$C$68,0)),"")="All supported routes",IFERROR(INDEX('Taxonomy Rules'!$G$42:$G$68,MATCH(E1647,'Taxonomy Rules'!$C$42:$C$68,0)),"")=U1647,AND(IFERROR(INDEX('Taxonomy Rules'!$G$42:$G$68,MATCH(E1647,'Taxonomy Rules'!$C$42:$C$68,0)),"")="Building routes",OR(U1647="Building renovation",U1647="New building",U1647="Building equipment"))))),"Unexpected test","Valid"))))</x:f>
      </x:c>
      <x:c r="S1647" s="9" t="str">
        <x:f>IF(C1647="","",IFERROR(INDEX('Taxonomy Rules'!$E$42:$E$68,MATCH(E1647,'Taxonomy Rules'!$C$42:$C$68,0)),""))</x:f>
      </x:c>
      <x:c r="T1647" s="9" t="str">
        <x:f>IF(C1647="","",IFERROR(INDEX('Taxonomy Rules'!$F$42:$F$68,MATCH(E1647,'Taxonomy Rules'!$C$42:$C$68,0)),""))</x:f>
      </x:c>
      <x:c r="U1647" s="9" t="str">
        <x:f>IF(C1647="","",IFERROR(INDEX('Taxonomy'!$G$9:$G$108,MATCH(D1647,'Taxonomy'!$C$9:$C$108,0)),""))</x:f>
      </x:c>
    </x:row>
    <x:row r="1648" ht="44" customHeight="1">
      <x:c r="A1648" s="1"/>
      <x:c r="B1648" s="1"/>
      <x:c r="C1648" s="8"/>
      <x:c r="D1648" s="8"/>
      <x:c r="E1648" s="8"/>
      <x:c r="F1648" s="8"/>
      <x:c r="G1648" s="8"/>
      <x:c r="H1648" s="8"/>
      <x:c r="I1648" s="8"/>
      <x:c r="J1648" s="8"/>
      <x:c r="K1648" s="8"/>
      <x:c r="L1648" s="8"/>
      <x:c r="M1648" s="10"/>
      <x:c r="N1648" s="10"/>
      <x:c r="O1648" s="8"/>
      <x:c r="P1648" s="9" t="str">
        <x:f>IF(C1648="","",IF(AND(G1648="Applicable",H1648="Fail"),"Fail",IF(R1648&lt;&gt;"Valid","Pending",IF(OR(I1648="",K1648="",L1648="",K1648=L1648,NOT(ISNUMBER(M1648)),NOT(ISNUMBER(N1648)),M1648&gt;Settings!$F$8,N1648&lt;Settings!$F$8,N1648&lt;M1648),"Pending",IF(AND(G1648="Applicable",H1648="Pass"),"Pass",IF(AND(G1648="N/A",H1648="N/A",J1648&lt;&gt;"",OR(E1648="CEM-FUELS",E1648="CEM-CCS",AND(E1648="CEM-PLAN",IFERROR(INDEX('Taxonomy'!$M$9:$M$108,MATCH(D1648,'Taxonomy'!$C$9:$C$108,0)),"")&lt;&gt;"Amber"),E1648="BLD-TIMBER",AND(U1648="Building equipment",OR(E1648="BLD-WATER",E1648="BLD-WASTE",E1648="BLD-LAND")),AND(U1648="Building renovation",E1648="BLD-LAND"))),"N/A","Pending"))))))</x:f>
      </x:c>
      <x:c r="Q1648" s="3" t="str">
        <x:f>IF(C1648="","",IF(AND(R1648="Valid",OR(P1648="Pass",P1648="N/A")),"Complete","Unresolved"))</x:f>
      </x:c>
      <x:c r="R1648" s="9" t="str">
        <x:f>IF(C1648="","",IF(OR(COUNTIF($C$9:$C$2008,C1648)&lt;&gt;1,COUNTIFS($D$9:$D$2008,D1648,$E$9:$E$2008,E1648)&lt;&gt;1),"Duplicate test",IF(COUNTIF('Taxonomy'!$C$9:$C$108,D1648)&lt;&gt;1,"Assessment key",IF(OR(COUNTIF('Taxonomy Rules'!$C$42:$C$68,E1648)&lt;&gt;1,F1648&lt;&gt;IFERROR(INDEX('Taxonomy Rules'!$D$42:$D$68,MATCH(E1648,'Taxonomy Rules'!$C$42:$C$68,0)),""),NOT(OR(IFERROR(INDEX('Taxonomy Rules'!$G$42:$G$68,MATCH(E1648,'Taxonomy Rules'!$C$42:$C$68,0)),"")="All supported routes",IFERROR(INDEX('Taxonomy Rules'!$G$42:$G$68,MATCH(E1648,'Taxonomy Rules'!$C$42:$C$68,0)),"")=U1648,AND(IFERROR(INDEX('Taxonomy Rules'!$G$42:$G$68,MATCH(E1648,'Taxonomy Rules'!$C$42:$C$68,0)),"")="Building routes",OR(U1648="Building renovation",U1648="New building",U1648="Building equipment"))))),"Unexpected test","Valid"))))</x:f>
      </x:c>
      <x:c r="S1648" s="9" t="str">
        <x:f>IF(C1648="","",IFERROR(INDEX('Taxonomy Rules'!$E$42:$E$68,MATCH(E1648,'Taxonomy Rules'!$C$42:$C$68,0)),""))</x:f>
      </x:c>
      <x:c r="T1648" s="9" t="str">
        <x:f>IF(C1648="","",IFERROR(INDEX('Taxonomy Rules'!$F$42:$F$68,MATCH(E1648,'Taxonomy Rules'!$C$42:$C$68,0)),""))</x:f>
      </x:c>
      <x:c r="U1648" s="9" t="str">
        <x:f>IF(C1648="","",IFERROR(INDEX('Taxonomy'!$G$9:$G$108,MATCH(D1648,'Taxonomy'!$C$9:$C$108,0)),""))</x:f>
      </x:c>
    </x:row>
    <x:row r="1649" ht="44" customHeight="1">
      <x:c r="A1649" s="1"/>
      <x:c r="B1649" s="1"/>
      <x:c r="C1649" s="8"/>
      <x:c r="D1649" s="8"/>
      <x:c r="E1649" s="8"/>
      <x:c r="F1649" s="8"/>
      <x:c r="G1649" s="8"/>
      <x:c r="H1649" s="8"/>
      <x:c r="I1649" s="8"/>
      <x:c r="J1649" s="8"/>
      <x:c r="K1649" s="8"/>
      <x:c r="L1649" s="8"/>
      <x:c r="M1649" s="10"/>
      <x:c r="N1649" s="10"/>
      <x:c r="O1649" s="8"/>
      <x:c r="P1649" s="9" t="str">
        <x:f>IF(C1649="","",IF(AND(G1649="Applicable",H1649="Fail"),"Fail",IF(R1649&lt;&gt;"Valid","Pending",IF(OR(I1649="",K1649="",L1649="",K1649=L1649,NOT(ISNUMBER(M1649)),NOT(ISNUMBER(N1649)),M1649&gt;Settings!$F$8,N1649&lt;Settings!$F$8,N1649&lt;M1649),"Pending",IF(AND(G1649="Applicable",H1649="Pass"),"Pass",IF(AND(G1649="N/A",H1649="N/A",J1649&lt;&gt;"",OR(E1649="CEM-FUELS",E1649="CEM-CCS",AND(E1649="CEM-PLAN",IFERROR(INDEX('Taxonomy'!$M$9:$M$108,MATCH(D1649,'Taxonomy'!$C$9:$C$108,0)),"")&lt;&gt;"Amber"),E1649="BLD-TIMBER",AND(U1649="Building equipment",OR(E1649="BLD-WATER",E1649="BLD-WASTE",E1649="BLD-LAND")),AND(U1649="Building renovation",E1649="BLD-LAND"))),"N/A","Pending"))))))</x:f>
      </x:c>
      <x:c r="Q1649" s="3" t="str">
        <x:f>IF(C1649="","",IF(AND(R1649="Valid",OR(P1649="Pass",P1649="N/A")),"Complete","Unresolved"))</x:f>
      </x:c>
      <x:c r="R1649" s="9" t="str">
        <x:f>IF(C1649="","",IF(OR(COUNTIF($C$9:$C$2008,C1649)&lt;&gt;1,COUNTIFS($D$9:$D$2008,D1649,$E$9:$E$2008,E1649)&lt;&gt;1),"Duplicate test",IF(COUNTIF('Taxonomy'!$C$9:$C$108,D1649)&lt;&gt;1,"Assessment key",IF(OR(COUNTIF('Taxonomy Rules'!$C$42:$C$68,E1649)&lt;&gt;1,F1649&lt;&gt;IFERROR(INDEX('Taxonomy Rules'!$D$42:$D$68,MATCH(E1649,'Taxonomy Rules'!$C$42:$C$68,0)),""),NOT(OR(IFERROR(INDEX('Taxonomy Rules'!$G$42:$G$68,MATCH(E1649,'Taxonomy Rules'!$C$42:$C$68,0)),"")="All supported routes",IFERROR(INDEX('Taxonomy Rules'!$G$42:$G$68,MATCH(E1649,'Taxonomy Rules'!$C$42:$C$68,0)),"")=U1649,AND(IFERROR(INDEX('Taxonomy Rules'!$G$42:$G$68,MATCH(E1649,'Taxonomy Rules'!$C$42:$C$68,0)),"")="Building routes",OR(U1649="Building renovation",U1649="New building",U1649="Building equipment"))))),"Unexpected test","Valid"))))</x:f>
      </x:c>
      <x:c r="S1649" s="9" t="str">
        <x:f>IF(C1649="","",IFERROR(INDEX('Taxonomy Rules'!$E$42:$E$68,MATCH(E1649,'Taxonomy Rules'!$C$42:$C$68,0)),""))</x:f>
      </x:c>
      <x:c r="T1649" s="9" t="str">
        <x:f>IF(C1649="","",IFERROR(INDEX('Taxonomy Rules'!$F$42:$F$68,MATCH(E1649,'Taxonomy Rules'!$C$42:$C$68,0)),""))</x:f>
      </x:c>
      <x:c r="U1649" s="9" t="str">
        <x:f>IF(C1649="","",IFERROR(INDEX('Taxonomy'!$G$9:$G$108,MATCH(D1649,'Taxonomy'!$C$9:$C$108,0)),""))</x:f>
      </x:c>
    </x:row>
    <x:row r="1650" ht="44" customHeight="1">
      <x:c r="A1650" s="1"/>
      <x:c r="B1650" s="1"/>
      <x:c r="C1650" s="8"/>
      <x:c r="D1650" s="8"/>
      <x:c r="E1650" s="8"/>
      <x:c r="F1650" s="8"/>
      <x:c r="G1650" s="8"/>
      <x:c r="H1650" s="8"/>
      <x:c r="I1650" s="8"/>
      <x:c r="J1650" s="8"/>
      <x:c r="K1650" s="8"/>
      <x:c r="L1650" s="8"/>
      <x:c r="M1650" s="10"/>
      <x:c r="N1650" s="10"/>
      <x:c r="O1650" s="8"/>
      <x:c r="P1650" s="9" t="str">
        <x:f>IF(C1650="","",IF(AND(G1650="Applicable",H1650="Fail"),"Fail",IF(R1650&lt;&gt;"Valid","Pending",IF(OR(I1650="",K1650="",L1650="",K1650=L1650,NOT(ISNUMBER(M1650)),NOT(ISNUMBER(N1650)),M1650&gt;Settings!$F$8,N1650&lt;Settings!$F$8,N1650&lt;M1650),"Pending",IF(AND(G1650="Applicable",H1650="Pass"),"Pass",IF(AND(G1650="N/A",H1650="N/A",J1650&lt;&gt;"",OR(E1650="CEM-FUELS",E1650="CEM-CCS",AND(E1650="CEM-PLAN",IFERROR(INDEX('Taxonomy'!$M$9:$M$108,MATCH(D1650,'Taxonomy'!$C$9:$C$108,0)),"")&lt;&gt;"Amber"),E1650="BLD-TIMBER",AND(U1650="Building equipment",OR(E1650="BLD-WATER",E1650="BLD-WASTE",E1650="BLD-LAND")),AND(U1650="Building renovation",E1650="BLD-LAND"))),"N/A","Pending"))))))</x:f>
      </x:c>
      <x:c r="Q1650" s="3" t="str">
        <x:f>IF(C1650="","",IF(AND(R1650="Valid",OR(P1650="Pass",P1650="N/A")),"Complete","Unresolved"))</x:f>
      </x:c>
      <x:c r="R1650" s="9" t="str">
        <x:f>IF(C1650="","",IF(OR(COUNTIF($C$9:$C$2008,C1650)&lt;&gt;1,COUNTIFS($D$9:$D$2008,D1650,$E$9:$E$2008,E1650)&lt;&gt;1),"Duplicate test",IF(COUNTIF('Taxonomy'!$C$9:$C$108,D1650)&lt;&gt;1,"Assessment key",IF(OR(COUNTIF('Taxonomy Rules'!$C$42:$C$68,E1650)&lt;&gt;1,F1650&lt;&gt;IFERROR(INDEX('Taxonomy Rules'!$D$42:$D$68,MATCH(E1650,'Taxonomy Rules'!$C$42:$C$68,0)),""),NOT(OR(IFERROR(INDEX('Taxonomy Rules'!$G$42:$G$68,MATCH(E1650,'Taxonomy Rules'!$C$42:$C$68,0)),"")="All supported routes",IFERROR(INDEX('Taxonomy Rules'!$G$42:$G$68,MATCH(E1650,'Taxonomy Rules'!$C$42:$C$68,0)),"")=U1650,AND(IFERROR(INDEX('Taxonomy Rules'!$G$42:$G$68,MATCH(E1650,'Taxonomy Rules'!$C$42:$C$68,0)),"")="Building routes",OR(U1650="Building renovation",U1650="New building",U1650="Building equipment"))))),"Unexpected test","Valid"))))</x:f>
      </x:c>
      <x:c r="S1650" s="9" t="str">
        <x:f>IF(C1650="","",IFERROR(INDEX('Taxonomy Rules'!$E$42:$E$68,MATCH(E1650,'Taxonomy Rules'!$C$42:$C$68,0)),""))</x:f>
      </x:c>
      <x:c r="T1650" s="9" t="str">
        <x:f>IF(C1650="","",IFERROR(INDEX('Taxonomy Rules'!$F$42:$F$68,MATCH(E1650,'Taxonomy Rules'!$C$42:$C$68,0)),""))</x:f>
      </x:c>
      <x:c r="U1650" s="9" t="str">
        <x:f>IF(C1650="","",IFERROR(INDEX('Taxonomy'!$G$9:$G$108,MATCH(D1650,'Taxonomy'!$C$9:$C$108,0)),""))</x:f>
      </x:c>
    </x:row>
    <x:row r="1651" ht="44" customHeight="1">
      <x:c r="A1651" s="1"/>
      <x:c r="B1651" s="1"/>
      <x:c r="C1651" s="8"/>
      <x:c r="D1651" s="8"/>
      <x:c r="E1651" s="8"/>
      <x:c r="F1651" s="8"/>
      <x:c r="G1651" s="8"/>
      <x:c r="H1651" s="8"/>
      <x:c r="I1651" s="8"/>
      <x:c r="J1651" s="8"/>
      <x:c r="K1651" s="8"/>
      <x:c r="L1651" s="8"/>
      <x:c r="M1651" s="10"/>
      <x:c r="N1651" s="10"/>
      <x:c r="O1651" s="8"/>
      <x:c r="P1651" s="9" t="str">
        <x:f>IF(C1651="","",IF(AND(G1651="Applicable",H1651="Fail"),"Fail",IF(R1651&lt;&gt;"Valid","Pending",IF(OR(I1651="",K1651="",L1651="",K1651=L1651,NOT(ISNUMBER(M1651)),NOT(ISNUMBER(N1651)),M1651&gt;Settings!$F$8,N1651&lt;Settings!$F$8,N1651&lt;M1651),"Pending",IF(AND(G1651="Applicable",H1651="Pass"),"Pass",IF(AND(G1651="N/A",H1651="N/A",J1651&lt;&gt;"",OR(E1651="CEM-FUELS",E1651="CEM-CCS",AND(E1651="CEM-PLAN",IFERROR(INDEX('Taxonomy'!$M$9:$M$108,MATCH(D1651,'Taxonomy'!$C$9:$C$108,0)),"")&lt;&gt;"Amber"),E1651="BLD-TIMBER",AND(U1651="Building equipment",OR(E1651="BLD-WATER",E1651="BLD-WASTE",E1651="BLD-LAND")),AND(U1651="Building renovation",E1651="BLD-LAND"))),"N/A","Pending"))))))</x:f>
      </x:c>
      <x:c r="Q1651" s="3" t="str">
        <x:f>IF(C1651="","",IF(AND(R1651="Valid",OR(P1651="Pass",P1651="N/A")),"Complete","Unresolved"))</x:f>
      </x:c>
      <x:c r="R1651" s="9" t="str">
        <x:f>IF(C1651="","",IF(OR(COUNTIF($C$9:$C$2008,C1651)&lt;&gt;1,COUNTIFS($D$9:$D$2008,D1651,$E$9:$E$2008,E1651)&lt;&gt;1),"Duplicate test",IF(COUNTIF('Taxonomy'!$C$9:$C$108,D1651)&lt;&gt;1,"Assessment key",IF(OR(COUNTIF('Taxonomy Rules'!$C$42:$C$68,E1651)&lt;&gt;1,F1651&lt;&gt;IFERROR(INDEX('Taxonomy Rules'!$D$42:$D$68,MATCH(E1651,'Taxonomy Rules'!$C$42:$C$68,0)),""),NOT(OR(IFERROR(INDEX('Taxonomy Rules'!$G$42:$G$68,MATCH(E1651,'Taxonomy Rules'!$C$42:$C$68,0)),"")="All supported routes",IFERROR(INDEX('Taxonomy Rules'!$G$42:$G$68,MATCH(E1651,'Taxonomy Rules'!$C$42:$C$68,0)),"")=U1651,AND(IFERROR(INDEX('Taxonomy Rules'!$G$42:$G$68,MATCH(E1651,'Taxonomy Rules'!$C$42:$C$68,0)),"")="Building routes",OR(U1651="Building renovation",U1651="New building",U1651="Building equipment"))))),"Unexpected test","Valid"))))</x:f>
      </x:c>
      <x:c r="S1651" s="9" t="str">
        <x:f>IF(C1651="","",IFERROR(INDEX('Taxonomy Rules'!$E$42:$E$68,MATCH(E1651,'Taxonomy Rules'!$C$42:$C$68,0)),""))</x:f>
      </x:c>
      <x:c r="T1651" s="9" t="str">
        <x:f>IF(C1651="","",IFERROR(INDEX('Taxonomy Rules'!$F$42:$F$68,MATCH(E1651,'Taxonomy Rules'!$C$42:$C$68,0)),""))</x:f>
      </x:c>
      <x:c r="U1651" s="9" t="str">
        <x:f>IF(C1651="","",IFERROR(INDEX('Taxonomy'!$G$9:$G$108,MATCH(D1651,'Taxonomy'!$C$9:$C$108,0)),""))</x:f>
      </x:c>
    </x:row>
    <x:row r="1652" ht="44" customHeight="1">
      <x:c r="A1652" s="1"/>
      <x:c r="B1652" s="1"/>
      <x:c r="C1652" s="8"/>
      <x:c r="D1652" s="8"/>
      <x:c r="E1652" s="8"/>
      <x:c r="F1652" s="8"/>
      <x:c r="G1652" s="8"/>
      <x:c r="H1652" s="8"/>
      <x:c r="I1652" s="8"/>
      <x:c r="J1652" s="8"/>
      <x:c r="K1652" s="8"/>
      <x:c r="L1652" s="8"/>
      <x:c r="M1652" s="10"/>
      <x:c r="N1652" s="10"/>
      <x:c r="O1652" s="8"/>
      <x:c r="P1652" s="9" t="str">
        <x:f>IF(C1652="","",IF(AND(G1652="Applicable",H1652="Fail"),"Fail",IF(R1652&lt;&gt;"Valid","Pending",IF(OR(I1652="",K1652="",L1652="",K1652=L1652,NOT(ISNUMBER(M1652)),NOT(ISNUMBER(N1652)),M1652&gt;Settings!$F$8,N1652&lt;Settings!$F$8,N1652&lt;M1652),"Pending",IF(AND(G1652="Applicable",H1652="Pass"),"Pass",IF(AND(G1652="N/A",H1652="N/A",J1652&lt;&gt;"",OR(E1652="CEM-FUELS",E1652="CEM-CCS",AND(E1652="CEM-PLAN",IFERROR(INDEX('Taxonomy'!$M$9:$M$108,MATCH(D1652,'Taxonomy'!$C$9:$C$108,0)),"")&lt;&gt;"Amber"),E1652="BLD-TIMBER",AND(U1652="Building equipment",OR(E1652="BLD-WATER",E1652="BLD-WASTE",E1652="BLD-LAND")),AND(U1652="Building renovation",E1652="BLD-LAND"))),"N/A","Pending"))))))</x:f>
      </x:c>
      <x:c r="Q1652" s="3" t="str">
        <x:f>IF(C1652="","",IF(AND(R1652="Valid",OR(P1652="Pass",P1652="N/A")),"Complete","Unresolved"))</x:f>
      </x:c>
      <x:c r="R1652" s="9" t="str">
        <x:f>IF(C1652="","",IF(OR(COUNTIF($C$9:$C$2008,C1652)&lt;&gt;1,COUNTIFS($D$9:$D$2008,D1652,$E$9:$E$2008,E1652)&lt;&gt;1),"Duplicate test",IF(COUNTIF('Taxonomy'!$C$9:$C$108,D1652)&lt;&gt;1,"Assessment key",IF(OR(COUNTIF('Taxonomy Rules'!$C$42:$C$68,E1652)&lt;&gt;1,F1652&lt;&gt;IFERROR(INDEX('Taxonomy Rules'!$D$42:$D$68,MATCH(E1652,'Taxonomy Rules'!$C$42:$C$68,0)),""),NOT(OR(IFERROR(INDEX('Taxonomy Rules'!$G$42:$G$68,MATCH(E1652,'Taxonomy Rules'!$C$42:$C$68,0)),"")="All supported routes",IFERROR(INDEX('Taxonomy Rules'!$G$42:$G$68,MATCH(E1652,'Taxonomy Rules'!$C$42:$C$68,0)),"")=U1652,AND(IFERROR(INDEX('Taxonomy Rules'!$G$42:$G$68,MATCH(E1652,'Taxonomy Rules'!$C$42:$C$68,0)),"")="Building routes",OR(U1652="Building renovation",U1652="New building",U1652="Building equipment"))))),"Unexpected test","Valid"))))</x:f>
      </x:c>
      <x:c r="S1652" s="9" t="str">
        <x:f>IF(C1652="","",IFERROR(INDEX('Taxonomy Rules'!$E$42:$E$68,MATCH(E1652,'Taxonomy Rules'!$C$42:$C$68,0)),""))</x:f>
      </x:c>
      <x:c r="T1652" s="9" t="str">
        <x:f>IF(C1652="","",IFERROR(INDEX('Taxonomy Rules'!$F$42:$F$68,MATCH(E1652,'Taxonomy Rules'!$C$42:$C$68,0)),""))</x:f>
      </x:c>
      <x:c r="U1652" s="9" t="str">
        <x:f>IF(C1652="","",IFERROR(INDEX('Taxonomy'!$G$9:$G$108,MATCH(D1652,'Taxonomy'!$C$9:$C$108,0)),""))</x:f>
      </x:c>
    </x:row>
    <x:row r="1653" ht="44" customHeight="1">
      <x:c r="A1653" s="1"/>
      <x:c r="B1653" s="1"/>
      <x:c r="C1653" s="8"/>
      <x:c r="D1653" s="8"/>
      <x:c r="E1653" s="8"/>
      <x:c r="F1653" s="8"/>
      <x:c r="G1653" s="8"/>
      <x:c r="H1653" s="8"/>
      <x:c r="I1653" s="8"/>
      <x:c r="J1653" s="8"/>
      <x:c r="K1653" s="8"/>
      <x:c r="L1653" s="8"/>
      <x:c r="M1653" s="10"/>
      <x:c r="N1653" s="10"/>
      <x:c r="O1653" s="8"/>
      <x:c r="P1653" s="9" t="str">
        <x:f>IF(C1653="","",IF(AND(G1653="Applicable",H1653="Fail"),"Fail",IF(R1653&lt;&gt;"Valid","Pending",IF(OR(I1653="",K1653="",L1653="",K1653=L1653,NOT(ISNUMBER(M1653)),NOT(ISNUMBER(N1653)),M1653&gt;Settings!$F$8,N1653&lt;Settings!$F$8,N1653&lt;M1653),"Pending",IF(AND(G1653="Applicable",H1653="Pass"),"Pass",IF(AND(G1653="N/A",H1653="N/A",J1653&lt;&gt;"",OR(E1653="CEM-FUELS",E1653="CEM-CCS",AND(E1653="CEM-PLAN",IFERROR(INDEX('Taxonomy'!$M$9:$M$108,MATCH(D1653,'Taxonomy'!$C$9:$C$108,0)),"")&lt;&gt;"Amber"),E1653="BLD-TIMBER",AND(U1653="Building equipment",OR(E1653="BLD-WATER",E1653="BLD-WASTE",E1653="BLD-LAND")),AND(U1653="Building renovation",E1653="BLD-LAND"))),"N/A","Pending"))))))</x:f>
      </x:c>
      <x:c r="Q1653" s="3" t="str">
        <x:f>IF(C1653="","",IF(AND(R1653="Valid",OR(P1653="Pass",P1653="N/A")),"Complete","Unresolved"))</x:f>
      </x:c>
      <x:c r="R1653" s="9" t="str">
        <x:f>IF(C1653="","",IF(OR(COUNTIF($C$9:$C$2008,C1653)&lt;&gt;1,COUNTIFS($D$9:$D$2008,D1653,$E$9:$E$2008,E1653)&lt;&gt;1),"Duplicate test",IF(COUNTIF('Taxonomy'!$C$9:$C$108,D1653)&lt;&gt;1,"Assessment key",IF(OR(COUNTIF('Taxonomy Rules'!$C$42:$C$68,E1653)&lt;&gt;1,F1653&lt;&gt;IFERROR(INDEX('Taxonomy Rules'!$D$42:$D$68,MATCH(E1653,'Taxonomy Rules'!$C$42:$C$68,0)),""),NOT(OR(IFERROR(INDEX('Taxonomy Rules'!$G$42:$G$68,MATCH(E1653,'Taxonomy Rules'!$C$42:$C$68,0)),"")="All supported routes",IFERROR(INDEX('Taxonomy Rules'!$G$42:$G$68,MATCH(E1653,'Taxonomy Rules'!$C$42:$C$68,0)),"")=U1653,AND(IFERROR(INDEX('Taxonomy Rules'!$G$42:$G$68,MATCH(E1653,'Taxonomy Rules'!$C$42:$C$68,0)),"")="Building routes",OR(U1653="Building renovation",U1653="New building",U1653="Building equipment"))))),"Unexpected test","Valid"))))</x:f>
      </x:c>
      <x:c r="S1653" s="9" t="str">
        <x:f>IF(C1653="","",IFERROR(INDEX('Taxonomy Rules'!$E$42:$E$68,MATCH(E1653,'Taxonomy Rules'!$C$42:$C$68,0)),""))</x:f>
      </x:c>
      <x:c r="T1653" s="9" t="str">
        <x:f>IF(C1653="","",IFERROR(INDEX('Taxonomy Rules'!$F$42:$F$68,MATCH(E1653,'Taxonomy Rules'!$C$42:$C$68,0)),""))</x:f>
      </x:c>
      <x:c r="U1653" s="9" t="str">
        <x:f>IF(C1653="","",IFERROR(INDEX('Taxonomy'!$G$9:$G$108,MATCH(D1653,'Taxonomy'!$C$9:$C$108,0)),""))</x:f>
      </x:c>
    </x:row>
    <x:row r="1654" ht="44" customHeight="1">
      <x:c r="A1654" s="1"/>
      <x:c r="B1654" s="1"/>
      <x:c r="C1654" s="8"/>
      <x:c r="D1654" s="8"/>
      <x:c r="E1654" s="8"/>
      <x:c r="F1654" s="8"/>
      <x:c r="G1654" s="8"/>
      <x:c r="H1654" s="8"/>
      <x:c r="I1654" s="8"/>
      <x:c r="J1654" s="8"/>
      <x:c r="K1654" s="8"/>
      <x:c r="L1654" s="8"/>
      <x:c r="M1654" s="10"/>
      <x:c r="N1654" s="10"/>
      <x:c r="O1654" s="8"/>
      <x:c r="P1654" s="9" t="str">
        <x:f>IF(C1654="","",IF(AND(G1654="Applicable",H1654="Fail"),"Fail",IF(R1654&lt;&gt;"Valid","Pending",IF(OR(I1654="",K1654="",L1654="",K1654=L1654,NOT(ISNUMBER(M1654)),NOT(ISNUMBER(N1654)),M1654&gt;Settings!$F$8,N1654&lt;Settings!$F$8,N1654&lt;M1654),"Pending",IF(AND(G1654="Applicable",H1654="Pass"),"Pass",IF(AND(G1654="N/A",H1654="N/A",J1654&lt;&gt;"",OR(E1654="CEM-FUELS",E1654="CEM-CCS",AND(E1654="CEM-PLAN",IFERROR(INDEX('Taxonomy'!$M$9:$M$108,MATCH(D1654,'Taxonomy'!$C$9:$C$108,0)),"")&lt;&gt;"Amber"),E1654="BLD-TIMBER",AND(U1654="Building equipment",OR(E1654="BLD-WATER",E1654="BLD-WASTE",E1654="BLD-LAND")),AND(U1654="Building renovation",E1654="BLD-LAND"))),"N/A","Pending"))))))</x:f>
      </x:c>
      <x:c r="Q1654" s="3" t="str">
        <x:f>IF(C1654="","",IF(AND(R1654="Valid",OR(P1654="Pass",P1654="N/A")),"Complete","Unresolved"))</x:f>
      </x:c>
      <x:c r="R1654" s="9" t="str">
        <x:f>IF(C1654="","",IF(OR(COUNTIF($C$9:$C$2008,C1654)&lt;&gt;1,COUNTIFS($D$9:$D$2008,D1654,$E$9:$E$2008,E1654)&lt;&gt;1),"Duplicate test",IF(COUNTIF('Taxonomy'!$C$9:$C$108,D1654)&lt;&gt;1,"Assessment key",IF(OR(COUNTIF('Taxonomy Rules'!$C$42:$C$68,E1654)&lt;&gt;1,F1654&lt;&gt;IFERROR(INDEX('Taxonomy Rules'!$D$42:$D$68,MATCH(E1654,'Taxonomy Rules'!$C$42:$C$68,0)),""),NOT(OR(IFERROR(INDEX('Taxonomy Rules'!$G$42:$G$68,MATCH(E1654,'Taxonomy Rules'!$C$42:$C$68,0)),"")="All supported routes",IFERROR(INDEX('Taxonomy Rules'!$G$42:$G$68,MATCH(E1654,'Taxonomy Rules'!$C$42:$C$68,0)),"")=U1654,AND(IFERROR(INDEX('Taxonomy Rules'!$G$42:$G$68,MATCH(E1654,'Taxonomy Rules'!$C$42:$C$68,0)),"")="Building routes",OR(U1654="Building renovation",U1654="New building",U1654="Building equipment"))))),"Unexpected test","Valid"))))</x:f>
      </x:c>
      <x:c r="S1654" s="9" t="str">
        <x:f>IF(C1654="","",IFERROR(INDEX('Taxonomy Rules'!$E$42:$E$68,MATCH(E1654,'Taxonomy Rules'!$C$42:$C$68,0)),""))</x:f>
      </x:c>
      <x:c r="T1654" s="9" t="str">
        <x:f>IF(C1654="","",IFERROR(INDEX('Taxonomy Rules'!$F$42:$F$68,MATCH(E1654,'Taxonomy Rules'!$C$42:$C$68,0)),""))</x:f>
      </x:c>
      <x:c r="U1654" s="9" t="str">
        <x:f>IF(C1654="","",IFERROR(INDEX('Taxonomy'!$G$9:$G$108,MATCH(D1654,'Taxonomy'!$C$9:$C$108,0)),""))</x:f>
      </x:c>
    </x:row>
    <x:row r="1655" ht="44" customHeight="1">
      <x:c r="A1655" s="1"/>
      <x:c r="B1655" s="1"/>
      <x:c r="C1655" s="8"/>
      <x:c r="D1655" s="8"/>
      <x:c r="E1655" s="8"/>
      <x:c r="F1655" s="8"/>
      <x:c r="G1655" s="8"/>
      <x:c r="H1655" s="8"/>
      <x:c r="I1655" s="8"/>
      <x:c r="J1655" s="8"/>
      <x:c r="K1655" s="8"/>
      <x:c r="L1655" s="8"/>
      <x:c r="M1655" s="10"/>
      <x:c r="N1655" s="10"/>
      <x:c r="O1655" s="8"/>
      <x:c r="P1655" s="9" t="str">
        <x:f>IF(C1655="","",IF(AND(G1655="Applicable",H1655="Fail"),"Fail",IF(R1655&lt;&gt;"Valid","Pending",IF(OR(I1655="",K1655="",L1655="",K1655=L1655,NOT(ISNUMBER(M1655)),NOT(ISNUMBER(N1655)),M1655&gt;Settings!$F$8,N1655&lt;Settings!$F$8,N1655&lt;M1655),"Pending",IF(AND(G1655="Applicable",H1655="Pass"),"Pass",IF(AND(G1655="N/A",H1655="N/A",J1655&lt;&gt;"",OR(E1655="CEM-FUELS",E1655="CEM-CCS",AND(E1655="CEM-PLAN",IFERROR(INDEX('Taxonomy'!$M$9:$M$108,MATCH(D1655,'Taxonomy'!$C$9:$C$108,0)),"")&lt;&gt;"Amber"),E1655="BLD-TIMBER",AND(U1655="Building equipment",OR(E1655="BLD-WATER",E1655="BLD-WASTE",E1655="BLD-LAND")),AND(U1655="Building renovation",E1655="BLD-LAND"))),"N/A","Pending"))))))</x:f>
      </x:c>
      <x:c r="Q1655" s="3" t="str">
        <x:f>IF(C1655="","",IF(AND(R1655="Valid",OR(P1655="Pass",P1655="N/A")),"Complete","Unresolved"))</x:f>
      </x:c>
      <x:c r="R1655" s="9" t="str">
        <x:f>IF(C1655="","",IF(OR(COUNTIF($C$9:$C$2008,C1655)&lt;&gt;1,COUNTIFS($D$9:$D$2008,D1655,$E$9:$E$2008,E1655)&lt;&gt;1),"Duplicate test",IF(COUNTIF('Taxonomy'!$C$9:$C$108,D1655)&lt;&gt;1,"Assessment key",IF(OR(COUNTIF('Taxonomy Rules'!$C$42:$C$68,E1655)&lt;&gt;1,F1655&lt;&gt;IFERROR(INDEX('Taxonomy Rules'!$D$42:$D$68,MATCH(E1655,'Taxonomy Rules'!$C$42:$C$68,0)),""),NOT(OR(IFERROR(INDEX('Taxonomy Rules'!$G$42:$G$68,MATCH(E1655,'Taxonomy Rules'!$C$42:$C$68,0)),"")="All supported routes",IFERROR(INDEX('Taxonomy Rules'!$G$42:$G$68,MATCH(E1655,'Taxonomy Rules'!$C$42:$C$68,0)),"")=U1655,AND(IFERROR(INDEX('Taxonomy Rules'!$G$42:$G$68,MATCH(E1655,'Taxonomy Rules'!$C$42:$C$68,0)),"")="Building routes",OR(U1655="Building renovation",U1655="New building",U1655="Building equipment"))))),"Unexpected test","Valid"))))</x:f>
      </x:c>
      <x:c r="S1655" s="9" t="str">
        <x:f>IF(C1655="","",IFERROR(INDEX('Taxonomy Rules'!$E$42:$E$68,MATCH(E1655,'Taxonomy Rules'!$C$42:$C$68,0)),""))</x:f>
      </x:c>
      <x:c r="T1655" s="9" t="str">
        <x:f>IF(C1655="","",IFERROR(INDEX('Taxonomy Rules'!$F$42:$F$68,MATCH(E1655,'Taxonomy Rules'!$C$42:$C$68,0)),""))</x:f>
      </x:c>
      <x:c r="U1655" s="9" t="str">
        <x:f>IF(C1655="","",IFERROR(INDEX('Taxonomy'!$G$9:$G$108,MATCH(D1655,'Taxonomy'!$C$9:$C$108,0)),""))</x:f>
      </x:c>
    </x:row>
    <x:row r="1656" ht="44" customHeight="1">
      <x:c r="A1656" s="1"/>
      <x:c r="B1656" s="1"/>
      <x:c r="C1656" s="8"/>
      <x:c r="D1656" s="8"/>
      <x:c r="E1656" s="8"/>
      <x:c r="F1656" s="8"/>
      <x:c r="G1656" s="8"/>
      <x:c r="H1656" s="8"/>
      <x:c r="I1656" s="8"/>
      <x:c r="J1656" s="8"/>
      <x:c r="K1656" s="8"/>
      <x:c r="L1656" s="8"/>
      <x:c r="M1656" s="10"/>
      <x:c r="N1656" s="10"/>
      <x:c r="O1656" s="8"/>
      <x:c r="P1656" s="9" t="str">
        <x:f>IF(C1656="","",IF(AND(G1656="Applicable",H1656="Fail"),"Fail",IF(R1656&lt;&gt;"Valid","Pending",IF(OR(I1656="",K1656="",L1656="",K1656=L1656,NOT(ISNUMBER(M1656)),NOT(ISNUMBER(N1656)),M1656&gt;Settings!$F$8,N1656&lt;Settings!$F$8,N1656&lt;M1656),"Pending",IF(AND(G1656="Applicable",H1656="Pass"),"Pass",IF(AND(G1656="N/A",H1656="N/A",J1656&lt;&gt;"",OR(E1656="CEM-FUELS",E1656="CEM-CCS",AND(E1656="CEM-PLAN",IFERROR(INDEX('Taxonomy'!$M$9:$M$108,MATCH(D1656,'Taxonomy'!$C$9:$C$108,0)),"")&lt;&gt;"Amber"),E1656="BLD-TIMBER",AND(U1656="Building equipment",OR(E1656="BLD-WATER",E1656="BLD-WASTE",E1656="BLD-LAND")),AND(U1656="Building renovation",E1656="BLD-LAND"))),"N/A","Pending"))))))</x:f>
      </x:c>
      <x:c r="Q1656" s="3" t="str">
        <x:f>IF(C1656="","",IF(AND(R1656="Valid",OR(P1656="Pass",P1656="N/A")),"Complete","Unresolved"))</x:f>
      </x:c>
      <x:c r="R1656" s="9" t="str">
        <x:f>IF(C1656="","",IF(OR(COUNTIF($C$9:$C$2008,C1656)&lt;&gt;1,COUNTIFS($D$9:$D$2008,D1656,$E$9:$E$2008,E1656)&lt;&gt;1),"Duplicate test",IF(COUNTIF('Taxonomy'!$C$9:$C$108,D1656)&lt;&gt;1,"Assessment key",IF(OR(COUNTIF('Taxonomy Rules'!$C$42:$C$68,E1656)&lt;&gt;1,F1656&lt;&gt;IFERROR(INDEX('Taxonomy Rules'!$D$42:$D$68,MATCH(E1656,'Taxonomy Rules'!$C$42:$C$68,0)),""),NOT(OR(IFERROR(INDEX('Taxonomy Rules'!$G$42:$G$68,MATCH(E1656,'Taxonomy Rules'!$C$42:$C$68,0)),"")="All supported routes",IFERROR(INDEX('Taxonomy Rules'!$G$42:$G$68,MATCH(E1656,'Taxonomy Rules'!$C$42:$C$68,0)),"")=U1656,AND(IFERROR(INDEX('Taxonomy Rules'!$G$42:$G$68,MATCH(E1656,'Taxonomy Rules'!$C$42:$C$68,0)),"")="Building routes",OR(U1656="Building renovation",U1656="New building",U1656="Building equipment"))))),"Unexpected test","Valid"))))</x:f>
      </x:c>
      <x:c r="S1656" s="9" t="str">
        <x:f>IF(C1656="","",IFERROR(INDEX('Taxonomy Rules'!$E$42:$E$68,MATCH(E1656,'Taxonomy Rules'!$C$42:$C$68,0)),""))</x:f>
      </x:c>
      <x:c r="T1656" s="9" t="str">
        <x:f>IF(C1656="","",IFERROR(INDEX('Taxonomy Rules'!$F$42:$F$68,MATCH(E1656,'Taxonomy Rules'!$C$42:$C$68,0)),""))</x:f>
      </x:c>
      <x:c r="U1656" s="9" t="str">
        <x:f>IF(C1656="","",IFERROR(INDEX('Taxonomy'!$G$9:$G$108,MATCH(D1656,'Taxonomy'!$C$9:$C$108,0)),""))</x:f>
      </x:c>
    </x:row>
    <x:row r="1657" ht="44" customHeight="1">
      <x:c r="A1657" s="1"/>
      <x:c r="B1657" s="1"/>
      <x:c r="C1657" s="8"/>
      <x:c r="D1657" s="8"/>
      <x:c r="E1657" s="8"/>
      <x:c r="F1657" s="8"/>
      <x:c r="G1657" s="8"/>
      <x:c r="H1657" s="8"/>
      <x:c r="I1657" s="8"/>
      <x:c r="J1657" s="8"/>
      <x:c r="K1657" s="8"/>
      <x:c r="L1657" s="8"/>
      <x:c r="M1657" s="10"/>
      <x:c r="N1657" s="10"/>
      <x:c r="O1657" s="8"/>
      <x:c r="P1657" s="9" t="str">
        <x:f>IF(C1657="","",IF(AND(G1657="Applicable",H1657="Fail"),"Fail",IF(R1657&lt;&gt;"Valid","Pending",IF(OR(I1657="",K1657="",L1657="",K1657=L1657,NOT(ISNUMBER(M1657)),NOT(ISNUMBER(N1657)),M1657&gt;Settings!$F$8,N1657&lt;Settings!$F$8,N1657&lt;M1657),"Pending",IF(AND(G1657="Applicable",H1657="Pass"),"Pass",IF(AND(G1657="N/A",H1657="N/A",J1657&lt;&gt;"",OR(E1657="CEM-FUELS",E1657="CEM-CCS",AND(E1657="CEM-PLAN",IFERROR(INDEX('Taxonomy'!$M$9:$M$108,MATCH(D1657,'Taxonomy'!$C$9:$C$108,0)),"")&lt;&gt;"Amber"),E1657="BLD-TIMBER",AND(U1657="Building equipment",OR(E1657="BLD-WATER",E1657="BLD-WASTE",E1657="BLD-LAND")),AND(U1657="Building renovation",E1657="BLD-LAND"))),"N/A","Pending"))))))</x:f>
      </x:c>
      <x:c r="Q1657" s="3" t="str">
        <x:f>IF(C1657="","",IF(AND(R1657="Valid",OR(P1657="Pass",P1657="N/A")),"Complete","Unresolved"))</x:f>
      </x:c>
      <x:c r="R1657" s="9" t="str">
        <x:f>IF(C1657="","",IF(OR(COUNTIF($C$9:$C$2008,C1657)&lt;&gt;1,COUNTIFS($D$9:$D$2008,D1657,$E$9:$E$2008,E1657)&lt;&gt;1),"Duplicate test",IF(COUNTIF('Taxonomy'!$C$9:$C$108,D1657)&lt;&gt;1,"Assessment key",IF(OR(COUNTIF('Taxonomy Rules'!$C$42:$C$68,E1657)&lt;&gt;1,F1657&lt;&gt;IFERROR(INDEX('Taxonomy Rules'!$D$42:$D$68,MATCH(E1657,'Taxonomy Rules'!$C$42:$C$68,0)),""),NOT(OR(IFERROR(INDEX('Taxonomy Rules'!$G$42:$G$68,MATCH(E1657,'Taxonomy Rules'!$C$42:$C$68,0)),"")="All supported routes",IFERROR(INDEX('Taxonomy Rules'!$G$42:$G$68,MATCH(E1657,'Taxonomy Rules'!$C$42:$C$68,0)),"")=U1657,AND(IFERROR(INDEX('Taxonomy Rules'!$G$42:$G$68,MATCH(E1657,'Taxonomy Rules'!$C$42:$C$68,0)),"")="Building routes",OR(U1657="Building renovation",U1657="New building",U1657="Building equipment"))))),"Unexpected test","Valid"))))</x:f>
      </x:c>
      <x:c r="S1657" s="9" t="str">
        <x:f>IF(C1657="","",IFERROR(INDEX('Taxonomy Rules'!$E$42:$E$68,MATCH(E1657,'Taxonomy Rules'!$C$42:$C$68,0)),""))</x:f>
      </x:c>
      <x:c r="T1657" s="9" t="str">
        <x:f>IF(C1657="","",IFERROR(INDEX('Taxonomy Rules'!$F$42:$F$68,MATCH(E1657,'Taxonomy Rules'!$C$42:$C$68,0)),""))</x:f>
      </x:c>
      <x:c r="U1657" s="9" t="str">
        <x:f>IF(C1657="","",IFERROR(INDEX('Taxonomy'!$G$9:$G$108,MATCH(D1657,'Taxonomy'!$C$9:$C$108,0)),""))</x:f>
      </x:c>
    </x:row>
    <x:row r="1658" ht="44" customHeight="1">
      <x:c r="A1658" s="1"/>
      <x:c r="B1658" s="1"/>
      <x:c r="C1658" s="8"/>
      <x:c r="D1658" s="8"/>
      <x:c r="E1658" s="8"/>
      <x:c r="F1658" s="8"/>
      <x:c r="G1658" s="8"/>
      <x:c r="H1658" s="8"/>
      <x:c r="I1658" s="8"/>
      <x:c r="J1658" s="8"/>
      <x:c r="K1658" s="8"/>
      <x:c r="L1658" s="8"/>
      <x:c r="M1658" s="10"/>
      <x:c r="N1658" s="10"/>
      <x:c r="O1658" s="8"/>
      <x:c r="P1658" s="9" t="str">
        <x:f>IF(C1658="","",IF(AND(G1658="Applicable",H1658="Fail"),"Fail",IF(R1658&lt;&gt;"Valid","Pending",IF(OR(I1658="",K1658="",L1658="",K1658=L1658,NOT(ISNUMBER(M1658)),NOT(ISNUMBER(N1658)),M1658&gt;Settings!$F$8,N1658&lt;Settings!$F$8,N1658&lt;M1658),"Pending",IF(AND(G1658="Applicable",H1658="Pass"),"Pass",IF(AND(G1658="N/A",H1658="N/A",J1658&lt;&gt;"",OR(E1658="CEM-FUELS",E1658="CEM-CCS",AND(E1658="CEM-PLAN",IFERROR(INDEX('Taxonomy'!$M$9:$M$108,MATCH(D1658,'Taxonomy'!$C$9:$C$108,0)),"")&lt;&gt;"Amber"),E1658="BLD-TIMBER",AND(U1658="Building equipment",OR(E1658="BLD-WATER",E1658="BLD-WASTE",E1658="BLD-LAND")),AND(U1658="Building renovation",E1658="BLD-LAND"))),"N/A","Pending"))))))</x:f>
      </x:c>
      <x:c r="Q1658" s="3" t="str">
        <x:f>IF(C1658="","",IF(AND(R1658="Valid",OR(P1658="Pass",P1658="N/A")),"Complete","Unresolved"))</x:f>
      </x:c>
      <x:c r="R1658" s="9" t="str">
        <x:f>IF(C1658="","",IF(OR(COUNTIF($C$9:$C$2008,C1658)&lt;&gt;1,COUNTIFS($D$9:$D$2008,D1658,$E$9:$E$2008,E1658)&lt;&gt;1),"Duplicate test",IF(COUNTIF('Taxonomy'!$C$9:$C$108,D1658)&lt;&gt;1,"Assessment key",IF(OR(COUNTIF('Taxonomy Rules'!$C$42:$C$68,E1658)&lt;&gt;1,F1658&lt;&gt;IFERROR(INDEX('Taxonomy Rules'!$D$42:$D$68,MATCH(E1658,'Taxonomy Rules'!$C$42:$C$68,0)),""),NOT(OR(IFERROR(INDEX('Taxonomy Rules'!$G$42:$G$68,MATCH(E1658,'Taxonomy Rules'!$C$42:$C$68,0)),"")="All supported routes",IFERROR(INDEX('Taxonomy Rules'!$G$42:$G$68,MATCH(E1658,'Taxonomy Rules'!$C$42:$C$68,0)),"")=U1658,AND(IFERROR(INDEX('Taxonomy Rules'!$G$42:$G$68,MATCH(E1658,'Taxonomy Rules'!$C$42:$C$68,0)),"")="Building routes",OR(U1658="Building renovation",U1658="New building",U1658="Building equipment"))))),"Unexpected test","Valid"))))</x:f>
      </x:c>
      <x:c r="S1658" s="9" t="str">
        <x:f>IF(C1658="","",IFERROR(INDEX('Taxonomy Rules'!$E$42:$E$68,MATCH(E1658,'Taxonomy Rules'!$C$42:$C$68,0)),""))</x:f>
      </x:c>
      <x:c r="T1658" s="9" t="str">
        <x:f>IF(C1658="","",IFERROR(INDEX('Taxonomy Rules'!$F$42:$F$68,MATCH(E1658,'Taxonomy Rules'!$C$42:$C$68,0)),""))</x:f>
      </x:c>
      <x:c r="U1658" s="9" t="str">
        <x:f>IF(C1658="","",IFERROR(INDEX('Taxonomy'!$G$9:$G$108,MATCH(D1658,'Taxonomy'!$C$9:$C$108,0)),""))</x:f>
      </x:c>
    </x:row>
    <x:row r="1659" ht="44" customHeight="1">
      <x:c r="A1659" s="1"/>
      <x:c r="B1659" s="1"/>
      <x:c r="C1659" s="8"/>
      <x:c r="D1659" s="8"/>
      <x:c r="E1659" s="8"/>
      <x:c r="F1659" s="8"/>
      <x:c r="G1659" s="8"/>
      <x:c r="H1659" s="8"/>
      <x:c r="I1659" s="8"/>
      <x:c r="J1659" s="8"/>
      <x:c r="K1659" s="8"/>
      <x:c r="L1659" s="8"/>
      <x:c r="M1659" s="10"/>
      <x:c r="N1659" s="10"/>
      <x:c r="O1659" s="8"/>
      <x:c r="P1659" s="9" t="str">
        <x:f>IF(C1659="","",IF(AND(G1659="Applicable",H1659="Fail"),"Fail",IF(R1659&lt;&gt;"Valid","Pending",IF(OR(I1659="",K1659="",L1659="",K1659=L1659,NOT(ISNUMBER(M1659)),NOT(ISNUMBER(N1659)),M1659&gt;Settings!$F$8,N1659&lt;Settings!$F$8,N1659&lt;M1659),"Pending",IF(AND(G1659="Applicable",H1659="Pass"),"Pass",IF(AND(G1659="N/A",H1659="N/A",J1659&lt;&gt;"",OR(E1659="CEM-FUELS",E1659="CEM-CCS",AND(E1659="CEM-PLAN",IFERROR(INDEX('Taxonomy'!$M$9:$M$108,MATCH(D1659,'Taxonomy'!$C$9:$C$108,0)),"")&lt;&gt;"Amber"),E1659="BLD-TIMBER",AND(U1659="Building equipment",OR(E1659="BLD-WATER",E1659="BLD-WASTE",E1659="BLD-LAND")),AND(U1659="Building renovation",E1659="BLD-LAND"))),"N/A","Pending"))))))</x:f>
      </x:c>
      <x:c r="Q1659" s="3" t="str">
        <x:f>IF(C1659="","",IF(AND(R1659="Valid",OR(P1659="Pass",P1659="N/A")),"Complete","Unresolved"))</x:f>
      </x:c>
      <x:c r="R1659" s="9" t="str">
        <x:f>IF(C1659="","",IF(OR(COUNTIF($C$9:$C$2008,C1659)&lt;&gt;1,COUNTIFS($D$9:$D$2008,D1659,$E$9:$E$2008,E1659)&lt;&gt;1),"Duplicate test",IF(COUNTIF('Taxonomy'!$C$9:$C$108,D1659)&lt;&gt;1,"Assessment key",IF(OR(COUNTIF('Taxonomy Rules'!$C$42:$C$68,E1659)&lt;&gt;1,F1659&lt;&gt;IFERROR(INDEX('Taxonomy Rules'!$D$42:$D$68,MATCH(E1659,'Taxonomy Rules'!$C$42:$C$68,0)),""),NOT(OR(IFERROR(INDEX('Taxonomy Rules'!$G$42:$G$68,MATCH(E1659,'Taxonomy Rules'!$C$42:$C$68,0)),"")="All supported routes",IFERROR(INDEX('Taxonomy Rules'!$G$42:$G$68,MATCH(E1659,'Taxonomy Rules'!$C$42:$C$68,0)),"")=U1659,AND(IFERROR(INDEX('Taxonomy Rules'!$G$42:$G$68,MATCH(E1659,'Taxonomy Rules'!$C$42:$C$68,0)),"")="Building routes",OR(U1659="Building renovation",U1659="New building",U1659="Building equipment"))))),"Unexpected test","Valid"))))</x:f>
      </x:c>
      <x:c r="S1659" s="9" t="str">
        <x:f>IF(C1659="","",IFERROR(INDEX('Taxonomy Rules'!$E$42:$E$68,MATCH(E1659,'Taxonomy Rules'!$C$42:$C$68,0)),""))</x:f>
      </x:c>
      <x:c r="T1659" s="9" t="str">
        <x:f>IF(C1659="","",IFERROR(INDEX('Taxonomy Rules'!$F$42:$F$68,MATCH(E1659,'Taxonomy Rules'!$C$42:$C$68,0)),""))</x:f>
      </x:c>
      <x:c r="U1659" s="9" t="str">
        <x:f>IF(C1659="","",IFERROR(INDEX('Taxonomy'!$G$9:$G$108,MATCH(D1659,'Taxonomy'!$C$9:$C$108,0)),""))</x:f>
      </x:c>
    </x:row>
    <x:row r="1660" ht="44" customHeight="1">
      <x:c r="A1660" s="1"/>
      <x:c r="B1660" s="1"/>
      <x:c r="C1660" s="8"/>
      <x:c r="D1660" s="8"/>
      <x:c r="E1660" s="8"/>
      <x:c r="F1660" s="8"/>
      <x:c r="G1660" s="8"/>
      <x:c r="H1660" s="8"/>
      <x:c r="I1660" s="8"/>
      <x:c r="J1660" s="8"/>
      <x:c r="K1660" s="8"/>
      <x:c r="L1660" s="8"/>
      <x:c r="M1660" s="10"/>
      <x:c r="N1660" s="10"/>
      <x:c r="O1660" s="8"/>
      <x:c r="P1660" s="9" t="str">
        <x:f>IF(C1660="","",IF(AND(G1660="Applicable",H1660="Fail"),"Fail",IF(R1660&lt;&gt;"Valid","Pending",IF(OR(I1660="",K1660="",L1660="",K1660=L1660,NOT(ISNUMBER(M1660)),NOT(ISNUMBER(N1660)),M1660&gt;Settings!$F$8,N1660&lt;Settings!$F$8,N1660&lt;M1660),"Pending",IF(AND(G1660="Applicable",H1660="Pass"),"Pass",IF(AND(G1660="N/A",H1660="N/A",J1660&lt;&gt;"",OR(E1660="CEM-FUELS",E1660="CEM-CCS",AND(E1660="CEM-PLAN",IFERROR(INDEX('Taxonomy'!$M$9:$M$108,MATCH(D1660,'Taxonomy'!$C$9:$C$108,0)),"")&lt;&gt;"Amber"),E1660="BLD-TIMBER",AND(U1660="Building equipment",OR(E1660="BLD-WATER",E1660="BLD-WASTE",E1660="BLD-LAND")),AND(U1660="Building renovation",E1660="BLD-LAND"))),"N/A","Pending"))))))</x:f>
      </x:c>
      <x:c r="Q1660" s="3" t="str">
        <x:f>IF(C1660="","",IF(AND(R1660="Valid",OR(P1660="Pass",P1660="N/A")),"Complete","Unresolved"))</x:f>
      </x:c>
      <x:c r="R1660" s="9" t="str">
        <x:f>IF(C1660="","",IF(OR(COUNTIF($C$9:$C$2008,C1660)&lt;&gt;1,COUNTIFS($D$9:$D$2008,D1660,$E$9:$E$2008,E1660)&lt;&gt;1),"Duplicate test",IF(COUNTIF('Taxonomy'!$C$9:$C$108,D1660)&lt;&gt;1,"Assessment key",IF(OR(COUNTIF('Taxonomy Rules'!$C$42:$C$68,E1660)&lt;&gt;1,F1660&lt;&gt;IFERROR(INDEX('Taxonomy Rules'!$D$42:$D$68,MATCH(E1660,'Taxonomy Rules'!$C$42:$C$68,0)),""),NOT(OR(IFERROR(INDEX('Taxonomy Rules'!$G$42:$G$68,MATCH(E1660,'Taxonomy Rules'!$C$42:$C$68,0)),"")="All supported routes",IFERROR(INDEX('Taxonomy Rules'!$G$42:$G$68,MATCH(E1660,'Taxonomy Rules'!$C$42:$C$68,0)),"")=U1660,AND(IFERROR(INDEX('Taxonomy Rules'!$G$42:$G$68,MATCH(E1660,'Taxonomy Rules'!$C$42:$C$68,0)),"")="Building routes",OR(U1660="Building renovation",U1660="New building",U1660="Building equipment"))))),"Unexpected test","Valid"))))</x:f>
      </x:c>
      <x:c r="S1660" s="9" t="str">
        <x:f>IF(C1660="","",IFERROR(INDEX('Taxonomy Rules'!$E$42:$E$68,MATCH(E1660,'Taxonomy Rules'!$C$42:$C$68,0)),""))</x:f>
      </x:c>
      <x:c r="T1660" s="9" t="str">
        <x:f>IF(C1660="","",IFERROR(INDEX('Taxonomy Rules'!$F$42:$F$68,MATCH(E1660,'Taxonomy Rules'!$C$42:$C$68,0)),""))</x:f>
      </x:c>
      <x:c r="U1660" s="9" t="str">
        <x:f>IF(C1660="","",IFERROR(INDEX('Taxonomy'!$G$9:$G$108,MATCH(D1660,'Taxonomy'!$C$9:$C$108,0)),""))</x:f>
      </x:c>
    </x:row>
    <x:row r="1661" ht="44" customHeight="1">
      <x:c r="A1661" s="1"/>
      <x:c r="B1661" s="1"/>
      <x:c r="C1661" s="8"/>
      <x:c r="D1661" s="8"/>
      <x:c r="E1661" s="8"/>
      <x:c r="F1661" s="8"/>
      <x:c r="G1661" s="8"/>
      <x:c r="H1661" s="8"/>
      <x:c r="I1661" s="8"/>
      <x:c r="J1661" s="8"/>
      <x:c r="K1661" s="8"/>
      <x:c r="L1661" s="8"/>
      <x:c r="M1661" s="10"/>
      <x:c r="N1661" s="10"/>
      <x:c r="O1661" s="8"/>
      <x:c r="P1661" s="9" t="str">
        <x:f>IF(C1661="","",IF(AND(G1661="Applicable",H1661="Fail"),"Fail",IF(R1661&lt;&gt;"Valid","Pending",IF(OR(I1661="",K1661="",L1661="",K1661=L1661,NOT(ISNUMBER(M1661)),NOT(ISNUMBER(N1661)),M1661&gt;Settings!$F$8,N1661&lt;Settings!$F$8,N1661&lt;M1661),"Pending",IF(AND(G1661="Applicable",H1661="Pass"),"Pass",IF(AND(G1661="N/A",H1661="N/A",J1661&lt;&gt;"",OR(E1661="CEM-FUELS",E1661="CEM-CCS",AND(E1661="CEM-PLAN",IFERROR(INDEX('Taxonomy'!$M$9:$M$108,MATCH(D1661,'Taxonomy'!$C$9:$C$108,0)),"")&lt;&gt;"Amber"),E1661="BLD-TIMBER",AND(U1661="Building equipment",OR(E1661="BLD-WATER",E1661="BLD-WASTE",E1661="BLD-LAND")),AND(U1661="Building renovation",E1661="BLD-LAND"))),"N/A","Pending"))))))</x:f>
      </x:c>
      <x:c r="Q1661" s="3" t="str">
        <x:f>IF(C1661="","",IF(AND(R1661="Valid",OR(P1661="Pass",P1661="N/A")),"Complete","Unresolved"))</x:f>
      </x:c>
      <x:c r="R1661" s="9" t="str">
        <x:f>IF(C1661="","",IF(OR(COUNTIF($C$9:$C$2008,C1661)&lt;&gt;1,COUNTIFS($D$9:$D$2008,D1661,$E$9:$E$2008,E1661)&lt;&gt;1),"Duplicate test",IF(COUNTIF('Taxonomy'!$C$9:$C$108,D1661)&lt;&gt;1,"Assessment key",IF(OR(COUNTIF('Taxonomy Rules'!$C$42:$C$68,E1661)&lt;&gt;1,F1661&lt;&gt;IFERROR(INDEX('Taxonomy Rules'!$D$42:$D$68,MATCH(E1661,'Taxonomy Rules'!$C$42:$C$68,0)),""),NOT(OR(IFERROR(INDEX('Taxonomy Rules'!$G$42:$G$68,MATCH(E1661,'Taxonomy Rules'!$C$42:$C$68,0)),"")="All supported routes",IFERROR(INDEX('Taxonomy Rules'!$G$42:$G$68,MATCH(E1661,'Taxonomy Rules'!$C$42:$C$68,0)),"")=U1661,AND(IFERROR(INDEX('Taxonomy Rules'!$G$42:$G$68,MATCH(E1661,'Taxonomy Rules'!$C$42:$C$68,0)),"")="Building routes",OR(U1661="Building renovation",U1661="New building",U1661="Building equipment"))))),"Unexpected test","Valid"))))</x:f>
      </x:c>
      <x:c r="S1661" s="9" t="str">
        <x:f>IF(C1661="","",IFERROR(INDEX('Taxonomy Rules'!$E$42:$E$68,MATCH(E1661,'Taxonomy Rules'!$C$42:$C$68,0)),""))</x:f>
      </x:c>
      <x:c r="T1661" s="9" t="str">
        <x:f>IF(C1661="","",IFERROR(INDEX('Taxonomy Rules'!$F$42:$F$68,MATCH(E1661,'Taxonomy Rules'!$C$42:$C$68,0)),""))</x:f>
      </x:c>
      <x:c r="U1661" s="9" t="str">
        <x:f>IF(C1661="","",IFERROR(INDEX('Taxonomy'!$G$9:$G$108,MATCH(D1661,'Taxonomy'!$C$9:$C$108,0)),""))</x:f>
      </x:c>
    </x:row>
    <x:row r="1662" ht="44" customHeight="1">
      <x:c r="A1662" s="1"/>
      <x:c r="B1662" s="1"/>
      <x:c r="C1662" s="8"/>
      <x:c r="D1662" s="8"/>
      <x:c r="E1662" s="8"/>
      <x:c r="F1662" s="8"/>
      <x:c r="G1662" s="8"/>
      <x:c r="H1662" s="8"/>
      <x:c r="I1662" s="8"/>
      <x:c r="J1662" s="8"/>
      <x:c r="K1662" s="8"/>
      <x:c r="L1662" s="8"/>
      <x:c r="M1662" s="10"/>
      <x:c r="N1662" s="10"/>
      <x:c r="O1662" s="8"/>
      <x:c r="P1662" s="9" t="str">
        <x:f>IF(C1662="","",IF(AND(G1662="Applicable",H1662="Fail"),"Fail",IF(R1662&lt;&gt;"Valid","Pending",IF(OR(I1662="",K1662="",L1662="",K1662=L1662,NOT(ISNUMBER(M1662)),NOT(ISNUMBER(N1662)),M1662&gt;Settings!$F$8,N1662&lt;Settings!$F$8,N1662&lt;M1662),"Pending",IF(AND(G1662="Applicable",H1662="Pass"),"Pass",IF(AND(G1662="N/A",H1662="N/A",J1662&lt;&gt;"",OR(E1662="CEM-FUELS",E1662="CEM-CCS",AND(E1662="CEM-PLAN",IFERROR(INDEX('Taxonomy'!$M$9:$M$108,MATCH(D1662,'Taxonomy'!$C$9:$C$108,0)),"")&lt;&gt;"Amber"),E1662="BLD-TIMBER",AND(U1662="Building equipment",OR(E1662="BLD-WATER",E1662="BLD-WASTE",E1662="BLD-LAND")),AND(U1662="Building renovation",E1662="BLD-LAND"))),"N/A","Pending"))))))</x:f>
      </x:c>
      <x:c r="Q1662" s="3" t="str">
        <x:f>IF(C1662="","",IF(AND(R1662="Valid",OR(P1662="Pass",P1662="N/A")),"Complete","Unresolved"))</x:f>
      </x:c>
      <x:c r="R1662" s="9" t="str">
        <x:f>IF(C1662="","",IF(OR(COUNTIF($C$9:$C$2008,C1662)&lt;&gt;1,COUNTIFS($D$9:$D$2008,D1662,$E$9:$E$2008,E1662)&lt;&gt;1),"Duplicate test",IF(COUNTIF('Taxonomy'!$C$9:$C$108,D1662)&lt;&gt;1,"Assessment key",IF(OR(COUNTIF('Taxonomy Rules'!$C$42:$C$68,E1662)&lt;&gt;1,F1662&lt;&gt;IFERROR(INDEX('Taxonomy Rules'!$D$42:$D$68,MATCH(E1662,'Taxonomy Rules'!$C$42:$C$68,0)),""),NOT(OR(IFERROR(INDEX('Taxonomy Rules'!$G$42:$G$68,MATCH(E1662,'Taxonomy Rules'!$C$42:$C$68,0)),"")="All supported routes",IFERROR(INDEX('Taxonomy Rules'!$G$42:$G$68,MATCH(E1662,'Taxonomy Rules'!$C$42:$C$68,0)),"")=U1662,AND(IFERROR(INDEX('Taxonomy Rules'!$G$42:$G$68,MATCH(E1662,'Taxonomy Rules'!$C$42:$C$68,0)),"")="Building routes",OR(U1662="Building renovation",U1662="New building",U1662="Building equipment"))))),"Unexpected test","Valid"))))</x:f>
      </x:c>
      <x:c r="S1662" s="9" t="str">
        <x:f>IF(C1662="","",IFERROR(INDEX('Taxonomy Rules'!$E$42:$E$68,MATCH(E1662,'Taxonomy Rules'!$C$42:$C$68,0)),""))</x:f>
      </x:c>
      <x:c r="T1662" s="9" t="str">
        <x:f>IF(C1662="","",IFERROR(INDEX('Taxonomy Rules'!$F$42:$F$68,MATCH(E1662,'Taxonomy Rules'!$C$42:$C$68,0)),""))</x:f>
      </x:c>
      <x:c r="U1662" s="9" t="str">
        <x:f>IF(C1662="","",IFERROR(INDEX('Taxonomy'!$G$9:$G$108,MATCH(D1662,'Taxonomy'!$C$9:$C$108,0)),""))</x:f>
      </x:c>
    </x:row>
    <x:row r="1663" ht="44" customHeight="1">
      <x:c r="A1663" s="1"/>
      <x:c r="B1663" s="1"/>
      <x:c r="C1663" s="8"/>
      <x:c r="D1663" s="8"/>
      <x:c r="E1663" s="8"/>
      <x:c r="F1663" s="8"/>
      <x:c r="G1663" s="8"/>
      <x:c r="H1663" s="8"/>
      <x:c r="I1663" s="8"/>
      <x:c r="J1663" s="8"/>
      <x:c r="K1663" s="8"/>
      <x:c r="L1663" s="8"/>
      <x:c r="M1663" s="10"/>
      <x:c r="N1663" s="10"/>
      <x:c r="O1663" s="8"/>
      <x:c r="P1663" s="9" t="str">
        <x:f>IF(C1663="","",IF(AND(G1663="Applicable",H1663="Fail"),"Fail",IF(R1663&lt;&gt;"Valid","Pending",IF(OR(I1663="",K1663="",L1663="",K1663=L1663,NOT(ISNUMBER(M1663)),NOT(ISNUMBER(N1663)),M1663&gt;Settings!$F$8,N1663&lt;Settings!$F$8,N1663&lt;M1663),"Pending",IF(AND(G1663="Applicable",H1663="Pass"),"Pass",IF(AND(G1663="N/A",H1663="N/A",J1663&lt;&gt;"",OR(E1663="CEM-FUELS",E1663="CEM-CCS",AND(E1663="CEM-PLAN",IFERROR(INDEX('Taxonomy'!$M$9:$M$108,MATCH(D1663,'Taxonomy'!$C$9:$C$108,0)),"")&lt;&gt;"Amber"),E1663="BLD-TIMBER",AND(U1663="Building equipment",OR(E1663="BLD-WATER",E1663="BLD-WASTE",E1663="BLD-LAND")),AND(U1663="Building renovation",E1663="BLD-LAND"))),"N/A","Pending"))))))</x:f>
      </x:c>
      <x:c r="Q1663" s="3" t="str">
        <x:f>IF(C1663="","",IF(AND(R1663="Valid",OR(P1663="Pass",P1663="N/A")),"Complete","Unresolved"))</x:f>
      </x:c>
      <x:c r="R1663" s="9" t="str">
        <x:f>IF(C1663="","",IF(OR(COUNTIF($C$9:$C$2008,C1663)&lt;&gt;1,COUNTIFS($D$9:$D$2008,D1663,$E$9:$E$2008,E1663)&lt;&gt;1),"Duplicate test",IF(COUNTIF('Taxonomy'!$C$9:$C$108,D1663)&lt;&gt;1,"Assessment key",IF(OR(COUNTIF('Taxonomy Rules'!$C$42:$C$68,E1663)&lt;&gt;1,F1663&lt;&gt;IFERROR(INDEX('Taxonomy Rules'!$D$42:$D$68,MATCH(E1663,'Taxonomy Rules'!$C$42:$C$68,0)),""),NOT(OR(IFERROR(INDEX('Taxonomy Rules'!$G$42:$G$68,MATCH(E1663,'Taxonomy Rules'!$C$42:$C$68,0)),"")="All supported routes",IFERROR(INDEX('Taxonomy Rules'!$G$42:$G$68,MATCH(E1663,'Taxonomy Rules'!$C$42:$C$68,0)),"")=U1663,AND(IFERROR(INDEX('Taxonomy Rules'!$G$42:$G$68,MATCH(E1663,'Taxonomy Rules'!$C$42:$C$68,0)),"")="Building routes",OR(U1663="Building renovation",U1663="New building",U1663="Building equipment"))))),"Unexpected test","Valid"))))</x:f>
      </x:c>
      <x:c r="S1663" s="9" t="str">
        <x:f>IF(C1663="","",IFERROR(INDEX('Taxonomy Rules'!$E$42:$E$68,MATCH(E1663,'Taxonomy Rules'!$C$42:$C$68,0)),""))</x:f>
      </x:c>
      <x:c r="T1663" s="9" t="str">
        <x:f>IF(C1663="","",IFERROR(INDEX('Taxonomy Rules'!$F$42:$F$68,MATCH(E1663,'Taxonomy Rules'!$C$42:$C$68,0)),""))</x:f>
      </x:c>
      <x:c r="U1663" s="9" t="str">
        <x:f>IF(C1663="","",IFERROR(INDEX('Taxonomy'!$G$9:$G$108,MATCH(D1663,'Taxonomy'!$C$9:$C$108,0)),""))</x:f>
      </x:c>
    </x:row>
    <x:row r="1664" ht="44" customHeight="1">
      <x:c r="A1664" s="1"/>
      <x:c r="B1664" s="1"/>
      <x:c r="C1664" s="8"/>
      <x:c r="D1664" s="8"/>
      <x:c r="E1664" s="8"/>
      <x:c r="F1664" s="8"/>
      <x:c r="G1664" s="8"/>
      <x:c r="H1664" s="8"/>
      <x:c r="I1664" s="8"/>
      <x:c r="J1664" s="8"/>
      <x:c r="K1664" s="8"/>
      <x:c r="L1664" s="8"/>
      <x:c r="M1664" s="10"/>
      <x:c r="N1664" s="10"/>
      <x:c r="O1664" s="8"/>
      <x:c r="P1664" s="9" t="str">
        <x:f>IF(C1664="","",IF(AND(G1664="Applicable",H1664="Fail"),"Fail",IF(R1664&lt;&gt;"Valid","Pending",IF(OR(I1664="",K1664="",L1664="",K1664=L1664,NOT(ISNUMBER(M1664)),NOT(ISNUMBER(N1664)),M1664&gt;Settings!$F$8,N1664&lt;Settings!$F$8,N1664&lt;M1664),"Pending",IF(AND(G1664="Applicable",H1664="Pass"),"Pass",IF(AND(G1664="N/A",H1664="N/A",J1664&lt;&gt;"",OR(E1664="CEM-FUELS",E1664="CEM-CCS",AND(E1664="CEM-PLAN",IFERROR(INDEX('Taxonomy'!$M$9:$M$108,MATCH(D1664,'Taxonomy'!$C$9:$C$108,0)),"")&lt;&gt;"Amber"),E1664="BLD-TIMBER",AND(U1664="Building equipment",OR(E1664="BLD-WATER",E1664="BLD-WASTE",E1664="BLD-LAND")),AND(U1664="Building renovation",E1664="BLD-LAND"))),"N/A","Pending"))))))</x:f>
      </x:c>
      <x:c r="Q1664" s="3" t="str">
        <x:f>IF(C1664="","",IF(AND(R1664="Valid",OR(P1664="Pass",P1664="N/A")),"Complete","Unresolved"))</x:f>
      </x:c>
      <x:c r="R1664" s="9" t="str">
        <x:f>IF(C1664="","",IF(OR(COUNTIF($C$9:$C$2008,C1664)&lt;&gt;1,COUNTIFS($D$9:$D$2008,D1664,$E$9:$E$2008,E1664)&lt;&gt;1),"Duplicate test",IF(COUNTIF('Taxonomy'!$C$9:$C$108,D1664)&lt;&gt;1,"Assessment key",IF(OR(COUNTIF('Taxonomy Rules'!$C$42:$C$68,E1664)&lt;&gt;1,F1664&lt;&gt;IFERROR(INDEX('Taxonomy Rules'!$D$42:$D$68,MATCH(E1664,'Taxonomy Rules'!$C$42:$C$68,0)),""),NOT(OR(IFERROR(INDEX('Taxonomy Rules'!$G$42:$G$68,MATCH(E1664,'Taxonomy Rules'!$C$42:$C$68,0)),"")="All supported routes",IFERROR(INDEX('Taxonomy Rules'!$G$42:$G$68,MATCH(E1664,'Taxonomy Rules'!$C$42:$C$68,0)),"")=U1664,AND(IFERROR(INDEX('Taxonomy Rules'!$G$42:$G$68,MATCH(E1664,'Taxonomy Rules'!$C$42:$C$68,0)),"")="Building routes",OR(U1664="Building renovation",U1664="New building",U1664="Building equipment"))))),"Unexpected test","Valid"))))</x:f>
      </x:c>
      <x:c r="S1664" s="9" t="str">
        <x:f>IF(C1664="","",IFERROR(INDEX('Taxonomy Rules'!$E$42:$E$68,MATCH(E1664,'Taxonomy Rules'!$C$42:$C$68,0)),""))</x:f>
      </x:c>
      <x:c r="T1664" s="9" t="str">
        <x:f>IF(C1664="","",IFERROR(INDEX('Taxonomy Rules'!$F$42:$F$68,MATCH(E1664,'Taxonomy Rules'!$C$42:$C$68,0)),""))</x:f>
      </x:c>
      <x:c r="U1664" s="9" t="str">
        <x:f>IF(C1664="","",IFERROR(INDEX('Taxonomy'!$G$9:$G$108,MATCH(D1664,'Taxonomy'!$C$9:$C$108,0)),""))</x:f>
      </x:c>
    </x:row>
    <x:row r="1665" ht="44" customHeight="1">
      <x:c r="A1665" s="1"/>
      <x:c r="B1665" s="1"/>
      <x:c r="C1665" s="8"/>
      <x:c r="D1665" s="8"/>
      <x:c r="E1665" s="8"/>
      <x:c r="F1665" s="8"/>
      <x:c r="G1665" s="8"/>
      <x:c r="H1665" s="8"/>
      <x:c r="I1665" s="8"/>
      <x:c r="J1665" s="8"/>
      <x:c r="K1665" s="8"/>
      <x:c r="L1665" s="8"/>
      <x:c r="M1665" s="10"/>
      <x:c r="N1665" s="10"/>
      <x:c r="O1665" s="8"/>
      <x:c r="P1665" s="9" t="str">
        <x:f>IF(C1665="","",IF(AND(G1665="Applicable",H1665="Fail"),"Fail",IF(R1665&lt;&gt;"Valid","Pending",IF(OR(I1665="",K1665="",L1665="",K1665=L1665,NOT(ISNUMBER(M1665)),NOT(ISNUMBER(N1665)),M1665&gt;Settings!$F$8,N1665&lt;Settings!$F$8,N1665&lt;M1665),"Pending",IF(AND(G1665="Applicable",H1665="Pass"),"Pass",IF(AND(G1665="N/A",H1665="N/A",J1665&lt;&gt;"",OR(E1665="CEM-FUELS",E1665="CEM-CCS",AND(E1665="CEM-PLAN",IFERROR(INDEX('Taxonomy'!$M$9:$M$108,MATCH(D1665,'Taxonomy'!$C$9:$C$108,0)),"")&lt;&gt;"Amber"),E1665="BLD-TIMBER",AND(U1665="Building equipment",OR(E1665="BLD-WATER",E1665="BLD-WASTE",E1665="BLD-LAND")),AND(U1665="Building renovation",E1665="BLD-LAND"))),"N/A","Pending"))))))</x:f>
      </x:c>
      <x:c r="Q1665" s="3" t="str">
        <x:f>IF(C1665="","",IF(AND(R1665="Valid",OR(P1665="Pass",P1665="N/A")),"Complete","Unresolved"))</x:f>
      </x:c>
      <x:c r="R1665" s="9" t="str">
        <x:f>IF(C1665="","",IF(OR(COUNTIF($C$9:$C$2008,C1665)&lt;&gt;1,COUNTIFS($D$9:$D$2008,D1665,$E$9:$E$2008,E1665)&lt;&gt;1),"Duplicate test",IF(COUNTIF('Taxonomy'!$C$9:$C$108,D1665)&lt;&gt;1,"Assessment key",IF(OR(COUNTIF('Taxonomy Rules'!$C$42:$C$68,E1665)&lt;&gt;1,F1665&lt;&gt;IFERROR(INDEX('Taxonomy Rules'!$D$42:$D$68,MATCH(E1665,'Taxonomy Rules'!$C$42:$C$68,0)),""),NOT(OR(IFERROR(INDEX('Taxonomy Rules'!$G$42:$G$68,MATCH(E1665,'Taxonomy Rules'!$C$42:$C$68,0)),"")="All supported routes",IFERROR(INDEX('Taxonomy Rules'!$G$42:$G$68,MATCH(E1665,'Taxonomy Rules'!$C$42:$C$68,0)),"")=U1665,AND(IFERROR(INDEX('Taxonomy Rules'!$G$42:$G$68,MATCH(E1665,'Taxonomy Rules'!$C$42:$C$68,0)),"")="Building routes",OR(U1665="Building renovation",U1665="New building",U1665="Building equipment"))))),"Unexpected test","Valid"))))</x:f>
      </x:c>
      <x:c r="S1665" s="9" t="str">
        <x:f>IF(C1665="","",IFERROR(INDEX('Taxonomy Rules'!$E$42:$E$68,MATCH(E1665,'Taxonomy Rules'!$C$42:$C$68,0)),""))</x:f>
      </x:c>
      <x:c r="T1665" s="9" t="str">
        <x:f>IF(C1665="","",IFERROR(INDEX('Taxonomy Rules'!$F$42:$F$68,MATCH(E1665,'Taxonomy Rules'!$C$42:$C$68,0)),""))</x:f>
      </x:c>
      <x:c r="U1665" s="9" t="str">
        <x:f>IF(C1665="","",IFERROR(INDEX('Taxonomy'!$G$9:$G$108,MATCH(D1665,'Taxonomy'!$C$9:$C$108,0)),""))</x:f>
      </x:c>
    </x:row>
    <x:row r="1666" ht="44" customHeight="1">
      <x:c r="A1666" s="1"/>
      <x:c r="B1666" s="1"/>
      <x:c r="C1666" s="8"/>
      <x:c r="D1666" s="8"/>
      <x:c r="E1666" s="8"/>
      <x:c r="F1666" s="8"/>
      <x:c r="G1666" s="8"/>
      <x:c r="H1666" s="8"/>
      <x:c r="I1666" s="8"/>
      <x:c r="J1666" s="8"/>
      <x:c r="K1666" s="8"/>
      <x:c r="L1666" s="8"/>
      <x:c r="M1666" s="10"/>
      <x:c r="N1666" s="10"/>
      <x:c r="O1666" s="8"/>
      <x:c r="P1666" s="9" t="str">
        <x:f>IF(C1666="","",IF(AND(G1666="Applicable",H1666="Fail"),"Fail",IF(R1666&lt;&gt;"Valid","Pending",IF(OR(I1666="",K1666="",L1666="",K1666=L1666,NOT(ISNUMBER(M1666)),NOT(ISNUMBER(N1666)),M1666&gt;Settings!$F$8,N1666&lt;Settings!$F$8,N1666&lt;M1666),"Pending",IF(AND(G1666="Applicable",H1666="Pass"),"Pass",IF(AND(G1666="N/A",H1666="N/A",J1666&lt;&gt;"",OR(E1666="CEM-FUELS",E1666="CEM-CCS",AND(E1666="CEM-PLAN",IFERROR(INDEX('Taxonomy'!$M$9:$M$108,MATCH(D1666,'Taxonomy'!$C$9:$C$108,0)),"")&lt;&gt;"Amber"),E1666="BLD-TIMBER",AND(U1666="Building equipment",OR(E1666="BLD-WATER",E1666="BLD-WASTE",E1666="BLD-LAND")),AND(U1666="Building renovation",E1666="BLD-LAND"))),"N/A","Pending"))))))</x:f>
      </x:c>
      <x:c r="Q1666" s="3" t="str">
        <x:f>IF(C1666="","",IF(AND(R1666="Valid",OR(P1666="Pass",P1666="N/A")),"Complete","Unresolved"))</x:f>
      </x:c>
      <x:c r="R1666" s="9" t="str">
        <x:f>IF(C1666="","",IF(OR(COUNTIF($C$9:$C$2008,C1666)&lt;&gt;1,COUNTIFS($D$9:$D$2008,D1666,$E$9:$E$2008,E1666)&lt;&gt;1),"Duplicate test",IF(COUNTIF('Taxonomy'!$C$9:$C$108,D1666)&lt;&gt;1,"Assessment key",IF(OR(COUNTIF('Taxonomy Rules'!$C$42:$C$68,E1666)&lt;&gt;1,F1666&lt;&gt;IFERROR(INDEX('Taxonomy Rules'!$D$42:$D$68,MATCH(E1666,'Taxonomy Rules'!$C$42:$C$68,0)),""),NOT(OR(IFERROR(INDEX('Taxonomy Rules'!$G$42:$G$68,MATCH(E1666,'Taxonomy Rules'!$C$42:$C$68,0)),"")="All supported routes",IFERROR(INDEX('Taxonomy Rules'!$G$42:$G$68,MATCH(E1666,'Taxonomy Rules'!$C$42:$C$68,0)),"")=U1666,AND(IFERROR(INDEX('Taxonomy Rules'!$G$42:$G$68,MATCH(E1666,'Taxonomy Rules'!$C$42:$C$68,0)),"")="Building routes",OR(U1666="Building renovation",U1666="New building",U1666="Building equipment"))))),"Unexpected test","Valid"))))</x:f>
      </x:c>
      <x:c r="S1666" s="9" t="str">
        <x:f>IF(C1666="","",IFERROR(INDEX('Taxonomy Rules'!$E$42:$E$68,MATCH(E1666,'Taxonomy Rules'!$C$42:$C$68,0)),""))</x:f>
      </x:c>
      <x:c r="T1666" s="9" t="str">
        <x:f>IF(C1666="","",IFERROR(INDEX('Taxonomy Rules'!$F$42:$F$68,MATCH(E1666,'Taxonomy Rules'!$C$42:$C$68,0)),""))</x:f>
      </x:c>
      <x:c r="U1666" s="9" t="str">
        <x:f>IF(C1666="","",IFERROR(INDEX('Taxonomy'!$G$9:$G$108,MATCH(D1666,'Taxonomy'!$C$9:$C$108,0)),""))</x:f>
      </x:c>
    </x:row>
    <x:row r="1667" ht="44" customHeight="1">
      <x:c r="A1667" s="1"/>
      <x:c r="B1667" s="1"/>
      <x:c r="C1667" s="8"/>
      <x:c r="D1667" s="8"/>
      <x:c r="E1667" s="8"/>
      <x:c r="F1667" s="8"/>
      <x:c r="G1667" s="8"/>
      <x:c r="H1667" s="8"/>
      <x:c r="I1667" s="8"/>
      <x:c r="J1667" s="8"/>
      <x:c r="K1667" s="8"/>
      <x:c r="L1667" s="8"/>
      <x:c r="M1667" s="10"/>
      <x:c r="N1667" s="10"/>
      <x:c r="O1667" s="8"/>
      <x:c r="P1667" s="9" t="str">
        <x:f>IF(C1667="","",IF(AND(G1667="Applicable",H1667="Fail"),"Fail",IF(R1667&lt;&gt;"Valid","Pending",IF(OR(I1667="",K1667="",L1667="",K1667=L1667,NOT(ISNUMBER(M1667)),NOT(ISNUMBER(N1667)),M1667&gt;Settings!$F$8,N1667&lt;Settings!$F$8,N1667&lt;M1667),"Pending",IF(AND(G1667="Applicable",H1667="Pass"),"Pass",IF(AND(G1667="N/A",H1667="N/A",J1667&lt;&gt;"",OR(E1667="CEM-FUELS",E1667="CEM-CCS",AND(E1667="CEM-PLAN",IFERROR(INDEX('Taxonomy'!$M$9:$M$108,MATCH(D1667,'Taxonomy'!$C$9:$C$108,0)),"")&lt;&gt;"Amber"),E1667="BLD-TIMBER",AND(U1667="Building equipment",OR(E1667="BLD-WATER",E1667="BLD-WASTE",E1667="BLD-LAND")),AND(U1667="Building renovation",E1667="BLD-LAND"))),"N/A","Pending"))))))</x:f>
      </x:c>
      <x:c r="Q1667" s="3" t="str">
        <x:f>IF(C1667="","",IF(AND(R1667="Valid",OR(P1667="Pass",P1667="N/A")),"Complete","Unresolved"))</x:f>
      </x:c>
      <x:c r="R1667" s="9" t="str">
        <x:f>IF(C1667="","",IF(OR(COUNTIF($C$9:$C$2008,C1667)&lt;&gt;1,COUNTIFS($D$9:$D$2008,D1667,$E$9:$E$2008,E1667)&lt;&gt;1),"Duplicate test",IF(COUNTIF('Taxonomy'!$C$9:$C$108,D1667)&lt;&gt;1,"Assessment key",IF(OR(COUNTIF('Taxonomy Rules'!$C$42:$C$68,E1667)&lt;&gt;1,F1667&lt;&gt;IFERROR(INDEX('Taxonomy Rules'!$D$42:$D$68,MATCH(E1667,'Taxonomy Rules'!$C$42:$C$68,0)),""),NOT(OR(IFERROR(INDEX('Taxonomy Rules'!$G$42:$G$68,MATCH(E1667,'Taxonomy Rules'!$C$42:$C$68,0)),"")="All supported routes",IFERROR(INDEX('Taxonomy Rules'!$G$42:$G$68,MATCH(E1667,'Taxonomy Rules'!$C$42:$C$68,0)),"")=U1667,AND(IFERROR(INDEX('Taxonomy Rules'!$G$42:$G$68,MATCH(E1667,'Taxonomy Rules'!$C$42:$C$68,0)),"")="Building routes",OR(U1667="Building renovation",U1667="New building",U1667="Building equipment"))))),"Unexpected test","Valid"))))</x:f>
      </x:c>
      <x:c r="S1667" s="9" t="str">
        <x:f>IF(C1667="","",IFERROR(INDEX('Taxonomy Rules'!$E$42:$E$68,MATCH(E1667,'Taxonomy Rules'!$C$42:$C$68,0)),""))</x:f>
      </x:c>
      <x:c r="T1667" s="9" t="str">
        <x:f>IF(C1667="","",IFERROR(INDEX('Taxonomy Rules'!$F$42:$F$68,MATCH(E1667,'Taxonomy Rules'!$C$42:$C$68,0)),""))</x:f>
      </x:c>
      <x:c r="U1667" s="9" t="str">
        <x:f>IF(C1667="","",IFERROR(INDEX('Taxonomy'!$G$9:$G$108,MATCH(D1667,'Taxonomy'!$C$9:$C$108,0)),""))</x:f>
      </x:c>
    </x:row>
    <x:row r="1668" ht="44" customHeight="1">
      <x:c r="A1668" s="1"/>
      <x:c r="B1668" s="1"/>
      <x:c r="C1668" s="8"/>
      <x:c r="D1668" s="8"/>
      <x:c r="E1668" s="8"/>
      <x:c r="F1668" s="8"/>
      <x:c r="G1668" s="8"/>
      <x:c r="H1668" s="8"/>
      <x:c r="I1668" s="8"/>
      <x:c r="J1668" s="8"/>
      <x:c r="K1668" s="8"/>
      <x:c r="L1668" s="8"/>
      <x:c r="M1668" s="10"/>
      <x:c r="N1668" s="10"/>
      <x:c r="O1668" s="8"/>
      <x:c r="P1668" s="9" t="str">
        <x:f>IF(C1668="","",IF(AND(G1668="Applicable",H1668="Fail"),"Fail",IF(R1668&lt;&gt;"Valid","Pending",IF(OR(I1668="",K1668="",L1668="",K1668=L1668,NOT(ISNUMBER(M1668)),NOT(ISNUMBER(N1668)),M1668&gt;Settings!$F$8,N1668&lt;Settings!$F$8,N1668&lt;M1668),"Pending",IF(AND(G1668="Applicable",H1668="Pass"),"Pass",IF(AND(G1668="N/A",H1668="N/A",J1668&lt;&gt;"",OR(E1668="CEM-FUELS",E1668="CEM-CCS",AND(E1668="CEM-PLAN",IFERROR(INDEX('Taxonomy'!$M$9:$M$108,MATCH(D1668,'Taxonomy'!$C$9:$C$108,0)),"")&lt;&gt;"Amber"),E1668="BLD-TIMBER",AND(U1668="Building equipment",OR(E1668="BLD-WATER",E1668="BLD-WASTE",E1668="BLD-LAND")),AND(U1668="Building renovation",E1668="BLD-LAND"))),"N/A","Pending"))))))</x:f>
      </x:c>
      <x:c r="Q1668" s="3" t="str">
        <x:f>IF(C1668="","",IF(AND(R1668="Valid",OR(P1668="Pass",P1668="N/A")),"Complete","Unresolved"))</x:f>
      </x:c>
      <x:c r="R1668" s="9" t="str">
        <x:f>IF(C1668="","",IF(OR(COUNTIF($C$9:$C$2008,C1668)&lt;&gt;1,COUNTIFS($D$9:$D$2008,D1668,$E$9:$E$2008,E1668)&lt;&gt;1),"Duplicate test",IF(COUNTIF('Taxonomy'!$C$9:$C$108,D1668)&lt;&gt;1,"Assessment key",IF(OR(COUNTIF('Taxonomy Rules'!$C$42:$C$68,E1668)&lt;&gt;1,F1668&lt;&gt;IFERROR(INDEX('Taxonomy Rules'!$D$42:$D$68,MATCH(E1668,'Taxonomy Rules'!$C$42:$C$68,0)),""),NOT(OR(IFERROR(INDEX('Taxonomy Rules'!$G$42:$G$68,MATCH(E1668,'Taxonomy Rules'!$C$42:$C$68,0)),"")="All supported routes",IFERROR(INDEX('Taxonomy Rules'!$G$42:$G$68,MATCH(E1668,'Taxonomy Rules'!$C$42:$C$68,0)),"")=U1668,AND(IFERROR(INDEX('Taxonomy Rules'!$G$42:$G$68,MATCH(E1668,'Taxonomy Rules'!$C$42:$C$68,0)),"")="Building routes",OR(U1668="Building renovation",U1668="New building",U1668="Building equipment"))))),"Unexpected test","Valid"))))</x:f>
      </x:c>
      <x:c r="S1668" s="9" t="str">
        <x:f>IF(C1668="","",IFERROR(INDEX('Taxonomy Rules'!$E$42:$E$68,MATCH(E1668,'Taxonomy Rules'!$C$42:$C$68,0)),""))</x:f>
      </x:c>
      <x:c r="T1668" s="9" t="str">
        <x:f>IF(C1668="","",IFERROR(INDEX('Taxonomy Rules'!$F$42:$F$68,MATCH(E1668,'Taxonomy Rules'!$C$42:$C$68,0)),""))</x:f>
      </x:c>
      <x:c r="U1668" s="9" t="str">
        <x:f>IF(C1668="","",IFERROR(INDEX('Taxonomy'!$G$9:$G$108,MATCH(D1668,'Taxonomy'!$C$9:$C$108,0)),""))</x:f>
      </x:c>
    </x:row>
    <x:row r="1669" ht="44" customHeight="1">
      <x:c r="A1669" s="1"/>
      <x:c r="B1669" s="1"/>
      <x:c r="C1669" s="8"/>
      <x:c r="D1669" s="8"/>
      <x:c r="E1669" s="8"/>
      <x:c r="F1669" s="8"/>
      <x:c r="G1669" s="8"/>
      <x:c r="H1669" s="8"/>
      <x:c r="I1669" s="8"/>
      <x:c r="J1669" s="8"/>
      <x:c r="K1669" s="8"/>
      <x:c r="L1669" s="8"/>
      <x:c r="M1669" s="10"/>
      <x:c r="N1669" s="10"/>
      <x:c r="O1669" s="8"/>
      <x:c r="P1669" s="9" t="str">
        <x:f>IF(C1669="","",IF(AND(G1669="Applicable",H1669="Fail"),"Fail",IF(R1669&lt;&gt;"Valid","Pending",IF(OR(I1669="",K1669="",L1669="",K1669=L1669,NOT(ISNUMBER(M1669)),NOT(ISNUMBER(N1669)),M1669&gt;Settings!$F$8,N1669&lt;Settings!$F$8,N1669&lt;M1669),"Pending",IF(AND(G1669="Applicable",H1669="Pass"),"Pass",IF(AND(G1669="N/A",H1669="N/A",J1669&lt;&gt;"",OR(E1669="CEM-FUELS",E1669="CEM-CCS",AND(E1669="CEM-PLAN",IFERROR(INDEX('Taxonomy'!$M$9:$M$108,MATCH(D1669,'Taxonomy'!$C$9:$C$108,0)),"")&lt;&gt;"Amber"),E1669="BLD-TIMBER",AND(U1669="Building equipment",OR(E1669="BLD-WATER",E1669="BLD-WASTE",E1669="BLD-LAND")),AND(U1669="Building renovation",E1669="BLD-LAND"))),"N/A","Pending"))))))</x:f>
      </x:c>
      <x:c r="Q1669" s="3" t="str">
        <x:f>IF(C1669="","",IF(AND(R1669="Valid",OR(P1669="Pass",P1669="N/A")),"Complete","Unresolved"))</x:f>
      </x:c>
      <x:c r="R1669" s="9" t="str">
        <x:f>IF(C1669="","",IF(OR(COUNTIF($C$9:$C$2008,C1669)&lt;&gt;1,COUNTIFS($D$9:$D$2008,D1669,$E$9:$E$2008,E1669)&lt;&gt;1),"Duplicate test",IF(COUNTIF('Taxonomy'!$C$9:$C$108,D1669)&lt;&gt;1,"Assessment key",IF(OR(COUNTIF('Taxonomy Rules'!$C$42:$C$68,E1669)&lt;&gt;1,F1669&lt;&gt;IFERROR(INDEX('Taxonomy Rules'!$D$42:$D$68,MATCH(E1669,'Taxonomy Rules'!$C$42:$C$68,0)),""),NOT(OR(IFERROR(INDEX('Taxonomy Rules'!$G$42:$G$68,MATCH(E1669,'Taxonomy Rules'!$C$42:$C$68,0)),"")="All supported routes",IFERROR(INDEX('Taxonomy Rules'!$G$42:$G$68,MATCH(E1669,'Taxonomy Rules'!$C$42:$C$68,0)),"")=U1669,AND(IFERROR(INDEX('Taxonomy Rules'!$G$42:$G$68,MATCH(E1669,'Taxonomy Rules'!$C$42:$C$68,0)),"")="Building routes",OR(U1669="Building renovation",U1669="New building",U1669="Building equipment"))))),"Unexpected test","Valid"))))</x:f>
      </x:c>
      <x:c r="S1669" s="9" t="str">
        <x:f>IF(C1669="","",IFERROR(INDEX('Taxonomy Rules'!$E$42:$E$68,MATCH(E1669,'Taxonomy Rules'!$C$42:$C$68,0)),""))</x:f>
      </x:c>
      <x:c r="T1669" s="9" t="str">
        <x:f>IF(C1669="","",IFERROR(INDEX('Taxonomy Rules'!$F$42:$F$68,MATCH(E1669,'Taxonomy Rules'!$C$42:$C$68,0)),""))</x:f>
      </x:c>
      <x:c r="U1669" s="9" t="str">
        <x:f>IF(C1669="","",IFERROR(INDEX('Taxonomy'!$G$9:$G$108,MATCH(D1669,'Taxonomy'!$C$9:$C$108,0)),""))</x:f>
      </x:c>
    </x:row>
    <x:row r="1670" ht="44" customHeight="1">
      <x:c r="A1670" s="1"/>
      <x:c r="B1670" s="1"/>
      <x:c r="C1670" s="8"/>
      <x:c r="D1670" s="8"/>
      <x:c r="E1670" s="8"/>
      <x:c r="F1670" s="8"/>
      <x:c r="G1670" s="8"/>
      <x:c r="H1670" s="8"/>
      <x:c r="I1670" s="8"/>
      <x:c r="J1670" s="8"/>
      <x:c r="K1670" s="8"/>
      <x:c r="L1670" s="8"/>
      <x:c r="M1670" s="10"/>
      <x:c r="N1670" s="10"/>
      <x:c r="O1670" s="8"/>
      <x:c r="P1670" s="9" t="str">
        <x:f>IF(C1670="","",IF(AND(G1670="Applicable",H1670="Fail"),"Fail",IF(R1670&lt;&gt;"Valid","Pending",IF(OR(I1670="",K1670="",L1670="",K1670=L1670,NOT(ISNUMBER(M1670)),NOT(ISNUMBER(N1670)),M1670&gt;Settings!$F$8,N1670&lt;Settings!$F$8,N1670&lt;M1670),"Pending",IF(AND(G1670="Applicable",H1670="Pass"),"Pass",IF(AND(G1670="N/A",H1670="N/A",J1670&lt;&gt;"",OR(E1670="CEM-FUELS",E1670="CEM-CCS",AND(E1670="CEM-PLAN",IFERROR(INDEX('Taxonomy'!$M$9:$M$108,MATCH(D1670,'Taxonomy'!$C$9:$C$108,0)),"")&lt;&gt;"Amber"),E1670="BLD-TIMBER",AND(U1670="Building equipment",OR(E1670="BLD-WATER",E1670="BLD-WASTE",E1670="BLD-LAND")),AND(U1670="Building renovation",E1670="BLD-LAND"))),"N/A","Pending"))))))</x:f>
      </x:c>
      <x:c r="Q1670" s="3" t="str">
        <x:f>IF(C1670="","",IF(AND(R1670="Valid",OR(P1670="Pass",P1670="N/A")),"Complete","Unresolved"))</x:f>
      </x:c>
      <x:c r="R1670" s="9" t="str">
        <x:f>IF(C1670="","",IF(OR(COUNTIF($C$9:$C$2008,C1670)&lt;&gt;1,COUNTIFS($D$9:$D$2008,D1670,$E$9:$E$2008,E1670)&lt;&gt;1),"Duplicate test",IF(COUNTIF('Taxonomy'!$C$9:$C$108,D1670)&lt;&gt;1,"Assessment key",IF(OR(COUNTIF('Taxonomy Rules'!$C$42:$C$68,E1670)&lt;&gt;1,F1670&lt;&gt;IFERROR(INDEX('Taxonomy Rules'!$D$42:$D$68,MATCH(E1670,'Taxonomy Rules'!$C$42:$C$68,0)),""),NOT(OR(IFERROR(INDEX('Taxonomy Rules'!$G$42:$G$68,MATCH(E1670,'Taxonomy Rules'!$C$42:$C$68,0)),"")="All supported routes",IFERROR(INDEX('Taxonomy Rules'!$G$42:$G$68,MATCH(E1670,'Taxonomy Rules'!$C$42:$C$68,0)),"")=U1670,AND(IFERROR(INDEX('Taxonomy Rules'!$G$42:$G$68,MATCH(E1670,'Taxonomy Rules'!$C$42:$C$68,0)),"")="Building routes",OR(U1670="Building renovation",U1670="New building",U1670="Building equipment"))))),"Unexpected test","Valid"))))</x:f>
      </x:c>
      <x:c r="S1670" s="9" t="str">
        <x:f>IF(C1670="","",IFERROR(INDEX('Taxonomy Rules'!$E$42:$E$68,MATCH(E1670,'Taxonomy Rules'!$C$42:$C$68,0)),""))</x:f>
      </x:c>
      <x:c r="T1670" s="9" t="str">
        <x:f>IF(C1670="","",IFERROR(INDEX('Taxonomy Rules'!$F$42:$F$68,MATCH(E1670,'Taxonomy Rules'!$C$42:$C$68,0)),""))</x:f>
      </x:c>
      <x:c r="U1670" s="9" t="str">
        <x:f>IF(C1670="","",IFERROR(INDEX('Taxonomy'!$G$9:$G$108,MATCH(D1670,'Taxonomy'!$C$9:$C$108,0)),""))</x:f>
      </x:c>
    </x:row>
    <x:row r="1671" ht="44" customHeight="1">
      <x:c r="A1671" s="1"/>
      <x:c r="B1671" s="1"/>
      <x:c r="C1671" s="8"/>
      <x:c r="D1671" s="8"/>
      <x:c r="E1671" s="8"/>
      <x:c r="F1671" s="8"/>
      <x:c r="G1671" s="8"/>
      <x:c r="H1671" s="8"/>
      <x:c r="I1671" s="8"/>
      <x:c r="J1671" s="8"/>
      <x:c r="K1671" s="8"/>
      <x:c r="L1671" s="8"/>
      <x:c r="M1671" s="10"/>
      <x:c r="N1671" s="10"/>
      <x:c r="O1671" s="8"/>
      <x:c r="P1671" s="9" t="str">
        <x:f>IF(C1671="","",IF(AND(G1671="Applicable",H1671="Fail"),"Fail",IF(R1671&lt;&gt;"Valid","Pending",IF(OR(I1671="",K1671="",L1671="",K1671=L1671,NOT(ISNUMBER(M1671)),NOT(ISNUMBER(N1671)),M1671&gt;Settings!$F$8,N1671&lt;Settings!$F$8,N1671&lt;M1671),"Pending",IF(AND(G1671="Applicable",H1671="Pass"),"Pass",IF(AND(G1671="N/A",H1671="N/A",J1671&lt;&gt;"",OR(E1671="CEM-FUELS",E1671="CEM-CCS",AND(E1671="CEM-PLAN",IFERROR(INDEX('Taxonomy'!$M$9:$M$108,MATCH(D1671,'Taxonomy'!$C$9:$C$108,0)),"")&lt;&gt;"Amber"),E1671="BLD-TIMBER",AND(U1671="Building equipment",OR(E1671="BLD-WATER",E1671="BLD-WASTE",E1671="BLD-LAND")),AND(U1671="Building renovation",E1671="BLD-LAND"))),"N/A","Pending"))))))</x:f>
      </x:c>
      <x:c r="Q1671" s="3" t="str">
        <x:f>IF(C1671="","",IF(AND(R1671="Valid",OR(P1671="Pass",P1671="N/A")),"Complete","Unresolved"))</x:f>
      </x:c>
      <x:c r="R1671" s="9" t="str">
        <x:f>IF(C1671="","",IF(OR(COUNTIF($C$9:$C$2008,C1671)&lt;&gt;1,COUNTIFS($D$9:$D$2008,D1671,$E$9:$E$2008,E1671)&lt;&gt;1),"Duplicate test",IF(COUNTIF('Taxonomy'!$C$9:$C$108,D1671)&lt;&gt;1,"Assessment key",IF(OR(COUNTIF('Taxonomy Rules'!$C$42:$C$68,E1671)&lt;&gt;1,F1671&lt;&gt;IFERROR(INDEX('Taxonomy Rules'!$D$42:$D$68,MATCH(E1671,'Taxonomy Rules'!$C$42:$C$68,0)),""),NOT(OR(IFERROR(INDEX('Taxonomy Rules'!$G$42:$G$68,MATCH(E1671,'Taxonomy Rules'!$C$42:$C$68,0)),"")="All supported routes",IFERROR(INDEX('Taxonomy Rules'!$G$42:$G$68,MATCH(E1671,'Taxonomy Rules'!$C$42:$C$68,0)),"")=U1671,AND(IFERROR(INDEX('Taxonomy Rules'!$G$42:$G$68,MATCH(E1671,'Taxonomy Rules'!$C$42:$C$68,0)),"")="Building routes",OR(U1671="Building renovation",U1671="New building",U1671="Building equipment"))))),"Unexpected test","Valid"))))</x:f>
      </x:c>
      <x:c r="S1671" s="9" t="str">
        <x:f>IF(C1671="","",IFERROR(INDEX('Taxonomy Rules'!$E$42:$E$68,MATCH(E1671,'Taxonomy Rules'!$C$42:$C$68,0)),""))</x:f>
      </x:c>
      <x:c r="T1671" s="9" t="str">
        <x:f>IF(C1671="","",IFERROR(INDEX('Taxonomy Rules'!$F$42:$F$68,MATCH(E1671,'Taxonomy Rules'!$C$42:$C$68,0)),""))</x:f>
      </x:c>
      <x:c r="U1671" s="9" t="str">
        <x:f>IF(C1671="","",IFERROR(INDEX('Taxonomy'!$G$9:$G$108,MATCH(D1671,'Taxonomy'!$C$9:$C$108,0)),""))</x:f>
      </x:c>
    </x:row>
    <x:row r="1672" ht="44" customHeight="1">
      <x:c r="A1672" s="1"/>
      <x:c r="B1672" s="1"/>
      <x:c r="C1672" s="8"/>
      <x:c r="D1672" s="8"/>
      <x:c r="E1672" s="8"/>
      <x:c r="F1672" s="8"/>
      <x:c r="G1672" s="8"/>
      <x:c r="H1672" s="8"/>
      <x:c r="I1672" s="8"/>
      <x:c r="J1672" s="8"/>
      <x:c r="K1672" s="8"/>
      <x:c r="L1672" s="8"/>
      <x:c r="M1672" s="10"/>
      <x:c r="N1672" s="10"/>
      <x:c r="O1672" s="8"/>
      <x:c r="P1672" s="9" t="str">
        <x:f>IF(C1672="","",IF(AND(G1672="Applicable",H1672="Fail"),"Fail",IF(R1672&lt;&gt;"Valid","Pending",IF(OR(I1672="",K1672="",L1672="",K1672=L1672,NOT(ISNUMBER(M1672)),NOT(ISNUMBER(N1672)),M1672&gt;Settings!$F$8,N1672&lt;Settings!$F$8,N1672&lt;M1672),"Pending",IF(AND(G1672="Applicable",H1672="Pass"),"Pass",IF(AND(G1672="N/A",H1672="N/A",J1672&lt;&gt;"",OR(E1672="CEM-FUELS",E1672="CEM-CCS",AND(E1672="CEM-PLAN",IFERROR(INDEX('Taxonomy'!$M$9:$M$108,MATCH(D1672,'Taxonomy'!$C$9:$C$108,0)),"")&lt;&gt;"Amber"),E1672="BLD-TIMBER",AND(U1672="Building equipment",OR(E1672="BLD-WATER",E1672="BLD-WASTE",E1672="BLD-LAND")),AND(U1672="Building renovation",E1672="BLD-LAND"))),"N/A","Pending"))))))</x:f>
      </x:c>
      <x:c r="Q1672" s="3" t="str">
        <x:f>IF(C1672="","",IF(AND(R1672="Valid",OR(P1672="Pass",P1672="N/A")),"Complete","Unresolved"))</x:f>
      </x:c>
      <x:c r="R1672" s="9" t="str">
        <x:f>IF(C1672="","",IF(OR(COUNTIF($C$9:$C$2008,C1672)&lt;&gt;1,COUNTIFS($D$9:$D$2008,D1672,$E$9:$E$2008,E1672)&lt;&gt;1),"Duplicate test",IF(COUNTIF('Taxonomy'!$C$9:$C$108,D1672)&lt;&gt;1,"Assessment key",IF(OR(COUNTIF('Taxonomy Rules'!$C$42:$C$68,E1672)&lt;&gt;1,F1672&lt;&gt;IFERROR(INDEX('Taxonomy Rules'!$D$42:$D$68,MATCH(E1672,'Taxonomy Rules'!$C$42:$C$68,0)),""),NOT(OR(IFERROR(INDEX('Taxonomy Rules'!$G$42:$G$68,MATCH(E1672,'Taxonomy Rules'!$C$42:$C$68,0)),"")="All supported routes",IFERROR(INDEX('Taxonomy Rules'!$G$42:$G$68,MATCH(E1672,'Taxonomy Rules'!$C$42:$C$68,0)),"")=U1672,AND(IFERROR(INDEX('Taxonomy Rules'!$G$42:$G$68,MATCH(E1672,'Taxonomy Rules'!$C$42:$C$68,0)),"")="Building routes",OR(U1672="Building renovation",U1672="New building",U1672="Building equipment"))))),"Unexpected test","Valid"))))</x:f>
      </x:c>
      <x:c r="S1672" s="9" t="str">
        <x:f>IF(C1672="","",IFERROR(INDEX('Taxonomy Rules'!$E$42:$E$68,MATCH(E1672,'Taxonomy Rules'!$C$42:$C$68,0)),""))</x:f>
      </x:c>
      <x:c r="T1672" s="9" t="str">
        <x:f>IF(C1672="","",IFERROR(INDEX('Taxonomy Rules'!$F$42:$F$68,MATCH(E1672,'Taxonomy Rules'!$C$42:$C$68,0)),""))</x:f>
      </x:c>
      <x:c r="U1672" s="9" t="str">
        <x:f>IF(C1672="","",IFERROR(INDEX('Taxonomy'!$G$9:$G$108,MATCH(D1672,'Taxonomy'!$C$9:$C$108,0)),""))</x:f>
      </x:c>
    </x:row>
    <x:row r="1673" ht="44" customHeight="1">
      <x:c r="A1673" s="1"/>
      <x:c r="B1673" s="1"/>
      <x:c r="C1673" s="8"/>
      <x:c r="D1673" s="8"/>
      <x:c r="E1673" s="8"/>
      <x:c r="F1673" s="8"/>
      <x:c r="G1673" s="8"/>
      <x:c r="H1673" s="8"/>
      <x:c r="I1673" s="8"/>
      <x:c r="J1673" s="8"/>
      <x:c r="K1673" s="8"/>
      <x:c r="L1673" s="8"/>
      <x:c r="M1673" s="10"/>
      <x:c r="N1673" s="10"/>
      <x:c r="O1673" s="8"/>
      <x:c r="P1673" s="9" t="str">
        <x:f>IF(C1673="","",IF(AND(G1673="Applicable",H1673="Fail"),"Fail",IF(R1673&lt;&gt;"Valid","Pending",IF(OR(I1673="",K1673="",L1673="",K1673=L1673,NOT(ISNUMBER(M1673)),NOT(ISNUMBER(N1673)),M1673&gt;Settings!$F$8,N1673&lt;Settings!$F$8,N1673&lt;M1673),"Pending",IF(AND(G1673="Applicable",H1673="Pass"),"Pass",IF(AND(G1673="N/A",H1673="N/A",J1673&lt;&gt;"",OR(E1673="CEM-FUELS",E1673="CEM-CCS",AND(E1673="CEM-PLAN",IFERROR(INDEX('Taxonomy'!$M$9:$M$108,MATCH(D1673,'Taxonomy'!$C$9:$C$108,0)),"")&lt;&gt;"Amber"),E1673="BLD-TIMBER",AND(U1673="Building equipment",OR(E1673="BLD-WATER",E1673="BLD-WASTE",E1673="BLD-LAND")),AND(U1673="Building renovation",E1673="BLD-LAND"))),"N/A","Pending"))))))</x:f>
      </x:c>
      <x:c r="Q1673" s="3" t="str">
        <x:f>IF(C1673="","",IF(AND(R1673="Valid",OR(P1673="Pass",P1673="N/A")),"Complete","Unresolved"))</x:f>
      </x:c>
      <x:c r="R1673" s="9" t="str">
        <x:f>IF(C1673="","",IF(OR(COUNTIF($C$9:$C$2008,C1673)&lt;&gt;1,COUNTIFS($D$9:$D$2008,D1673,$E$9:$E$2008,E1673)&lt;&gt;1),"Duplicate test",IF(COUNTIF('Taxonomy'!$C$9:$C$108,D1673)&lt;&gt;1,"Assessment key",IF(OR(COUNTIF('Taxonomy Rules'!$C$42:$C$68,E1673)&lt;&gt;1,F1673&lt;&gt;IFERROR(INDEX('Taxonomy Rules'!$D$42:$D$68,MATCH(E1673,'Taxonomy Rules'!$C$42:$C$68,0)),""),NOT(OR(IFERROR(INDEX('Taxonomy Rules'!$G$42:$G$68,MATCH(E1673,'Taxonomy Rules'!$C$42:$C$68,0)),"")="All supported routes",IFERROR(INDEX('Taxonomy Rules'!$G$42:$G$68,MATCH(E1673,'Taxonomy Rules'!$C$42:$C$68,0)),"")=U1673,AND(IFERROR(INDEX('Taxonomy Rules'!$G$42:$G$68,MATCH(E1673,'Taxonomy Rules'!$C$42:$C$68,0)),"")="Building routes",OR(U1673="Building renovation",U1673="New building",U1673="Building equipment"))))),"Unexpected test","Valid"))))</x:f>
      </x:c>
      <x:c r="S1673" s="9" t="str">
        <x:f>IF(C1673="","",IFERROR(INDEX('Taxonomy Rules'!$E$42:$E$68,MATCH(E1673,'Taxonomy Rules'!$C$42:$C$68,0)),""))</x:f>
      </x:c>
      <x:c r="T1673" s="9" t="str">
        <x:f>IF(C1673="","",IFERROR(INDEX('Taxonomy Rules'!$F$42:$F$68,MATCH(E1673,'Taxonomy Rules'!$C$42:$C$68,0)),""))</x:f>
      </x:c>
      <x:c r="U1673" s="9" t="str">
        <x:f>IF(C1673="","",IFERROR(INDEX('Taxonomy'!$G$9:$G$108,MATCH(D1673,'Taxonomy'!$C$9:$C$108,0)),""))</x:f>
      </x:c>
    </x:row>
    <x:row r="1674" ht="44" customHeight="1">
      <x:c r="A1674" s="1"/>
      <x:c r="B1674" s="1"/>
      <x:c r="C1674" s="8"/>
      <x:c r="D1674" s="8"/>
      <x:c r="E1674" s="8"/>
      <x:c r="F1674" s="8"/>
      <x:c r="G1674" s="8"/>
      <x:c r="H1674" s="8"/>
      <x:c r="I1674" s="8"/>
      <x:c r="J1674" s="8"/>
      <x:c r="K1674" s="8"/>
      <x:c r="L1674" s="8"/>
      <x:c r="M1674" s="10"/>
      <x:c r="N1674" s="10"/>
      <x:c r="O1674" s="8"/>
      <x:c r="P1674" s="9" t="str">
        <x:f>IF(C1674="","",IF(AND(G1674="Applicable",H1674="Fail"),"Fail",IF(R1674&lt;&gt;"Valid","Pending",IF(OR(I1674="",K1674="",L1674="",K1674=L1674,NOT(ISNUMBER(M1674)),NOT(ISNUMBER(N1674)),M1674&gt;Settings!$F$8,N1674&lt;Settings!$F$8,N1674&lt;M1674),"Pending",IF(AND(G1674="Applicable",H1674="Pass"),"Pass",IF(AND(G1674="N/A",H1674="N/A",J1674&lt;&gt;"",OR(E1674="CEM-FUELS",E1674="CEM-CCS",AND(E1674="CEM-PLAN",IFERROR(INDEX('Taxonomy'!$M$9:$M$108,MATCH(D1674,'Taxonomy'!$C$9:$C$108,0)),"")&lt;&gt;"Amber"),E1674="BLD-TIMBER",AND(U1674="Building equipment",OR(E1674="BLD-WATER",E1674="BLD-WASTE",E1674="BLD-LAND")),AND(U1674="Building renovation",E1674="BLD-LAND"))),"N/A","Pending"))))))</x:f>
      </x:c>
      <x:c r="Q1674" s="3" t="str">
        <x:f>IF(C1674="","",IF(AND(R1674="Valid",OR(P1674="Pass",P1674="N/A")),"Complete","Unresolved"))</x:f>
      </x:c>
      <x:c r="R1674" s="9" t="str">
        <x:f>IF(C1674="","",IF(OR(COUNTIF($C$9:$C$2008,C1674)&lt;&gt;1,COUNTIFS($D$9:$D$2008,D1674,$E$9:$E$2008,E1674)&lt;&gt;1),"Duplicate test",IF(COUNTIF('Taxonomy'!$C$9:$C$108,D1674)&lt;&gt;1,"Assessment key",IF(OR(COUNTIF('Taxonomy Rules'!$C$42:$C$68,E1674)&lt;&gt;1,F1674&lt;&gt;IFERROR(INDEX('Taxonomy Rules'!$D$42:$D$68,MATCH(E1674,'Taxonomy Rules'!$C$42:$C$68,0)),""),NOT(OR(IFERROR(INDEX('Taxonomy Rules'!$G$42:$G$68,MATCH(E1674,'Taxonomy Rules'!$C$42:$C$68,0)),"")="All supported routes",IFERROR(INDEX('Taxonomy Rules'!$G$42:$G$68,MATCH(E1674,'Taxonomy Rules'!$C$42:$C$68,0)),"")=U1674,AND(IFERROR(INDEX('Taxonomy Rules'!$G$42:$G$68,MATCH(E1674,'Taxonomy Rules'!$C$42:$C$68,0)),"")="Building routes",OR(U1674="Building renovation",U1674="New building",U1674="Building equipment"))))),"Unexpected test","Valid"))))</x:f>
      </x:c>
      <x:c r="S1674" s="9" t="str">
        <x:f>IF(C1674="","",IFERROR(INDEX('Taxonomy Rules'!$E$42:$E$68,MATCH(E1674,'Taxonomy Rules'!$C$42:$C$68,0)),""))</x:f>
      </x:c>
      <x:c r="T1674" s="9" t="str">
        <x:f>IF(C1674="","",IFERROR(INDEX('Taxonomy Rules'!$F$42:$F$68,MATCH(E1674,'Taxonomy Rules'!$C$42:$C$68,0)),""))</x:f>
      </x:c>
      <x:c r="U1674" s="9" t="str">
        <x:f>IF(C1674="","",IFERROR(INDEX('Taxonomy'!$G$9:$G$108,MATCH(D1674,'Taxonomy'!$C$9:$C$108,0)),""))</x:f>
      </x:c>
    </x:row>
    <x:row r="1675" ht="44" customHeight="1">
      <x:c r="A1675" s="1"/>
      <x:c r="B1675" s="1"/>
      <x:c r="C1675" s="8"/>
      <x:c r="D1675" s="8"/>
      <x:c r="E1675" s="8"/>
      <x:c r="F1675" s="8"/>
      <x:c r="G1675" s="8"/>
      <x:c r="H1675" s="8"/>
      <x:c r="I1675" s="8"/>
      <x:c r="J1675" s="8"/>
      <x:c r="K1675" s="8"/>
      <x:c r="L1675" s="8"/>
      <x:c r="M1675" s="10"/>
      <x:c r="N1675" s="10"/>
      <x:c r="O1675" s="8"/>
      <x:c r="P1675" s="9" t="str">
        <x:f>IF(C1675="","",IF(AND(G1675="Applicable",H1675="Fail"),"Fail",IF(R1675&lt;&gt;"Valid","Pending",IF(OR(I1675="",K1675="",L1675="",K1675=L1675,NOT(ISNUMBER(M1675)),NOT(ISNUMBER(N1675)),M1675&gt;Settings!$F$8,N1675&lt;Settings!$F$8,N1675&lt;M1675),"Pending",IF(AND(G1675="Applicable",H1675="Pass"),"Pass",IF(AND(G1675="N/A",H1675="N/A",J1675&lt;&gt;"",OR(E1675="CEM-FUELS",E1675="CEM-CCS",AND(E1675="CEM-PLAN",IFERROR(INDEX('Taxonomy'!$M$9:$M$108,MATCH(D1675,'Taxonomy'!$C$9:$C$108,0)),"")&lt;&gt;"Amber"),E1675="BLD-TIMBER",AND(U1675="Building equipment",OR(E1675="BLD-WATER",E1675="BLD-WASTE",E1675="BLD-LAND")),AND(U1675="Building renovation",E1675="BLD-LAND"))),"N/A","Pending"))))))</x:f>
      </x:c>
      <x:c r="Q1675" s="3" t="str">
        <x:f>IF(C1675="","",IF(AND(R1675="Valid",OR(P1675="Pass",P1675="N/A")),"Complete","Unresolved"))</x:f>
      </x:c>
      <x:c r="R1675" s="9" t="str">
        <x:f>IF(C1675="","",IF(OR(COUNTIF($C$9:$C$2008,C1675)&lt;&gt;1,COUNTIFS($D$9:$D$2008,D1675,$E$9:$E$2008,E1675)&lt;&gt;1),"Duplicate test",IF(COUNTIF('Taxonomy'!$C$9:$C$108,D1675)&lt;&gt;1,"Assessment key",IF(OR(COUNTIF('Taxonomy Rules'!$C$42:$C$68,E1675)&lt;&gt;1,F1675&lt;&gt;IFERROR(INDEX('Taxonomy Rules'!$D$42:$D$68,MATCH(E1675,'Taxonomy Rules'!$C$42:$C$68,0)),""),NOT(OR(IFERROR(INDEX('Taxonomy Rules'!$G$42:$G$68,MATCH(E1675,'Taxonomy Rules'!$C$42:$C$68,0)),"")="All supported routes",IFERROR(INDEX('Taxonomy Rules'!$G$42:$G$68,MATCH(E1675,'Taxonomy Rules'!$C$42:$C$68,0)),"")=U1675,AND(IFERROR(INDEX('Taxonomy Rules'!$G$42:$G$68,MATCH(E1675,'Taxonomy Rules'!$C$42:$C$68,0)),"")="Building routes",OR(U1675="Building renovation",U1675="New building",U1675="Building equipment"))))),"Unexpected test","Valid"))))</x:f>
      </x:c>
      <x:c r="S1675" s="9" t="str">
        <x:f>IF(C1675="","",IFERROR(INDEX('Taxonomy Rules'!$E$42:$E$68,MATCH(E1675,'Taxonomy Rules'!$C$42:$C$68,0)),""))</x:f>
      </x:c>
      <x:c r="T1675" s="9" t="str">
        <x:f>IF(C1675="","",IFERROR(INDEX('Taxonomy Rules'!$F$42:$F$68,MATCH(E1675,'Taxonomy Rules'!$C$42:$C$68,0)),""))</x:f>
      </x:c>
      <x:c r="U1675" s="9" t="str">
        <x:f>IF(C1675="","",IFERROR(INDEX('Taxonomy'!$G$9:$G$108,MATCH(D1675,'Taxonomy'!$C$9:$C$108,0)),""))</x:f>
      </x:c>
    </x:row>
    <x:row r="1676" ht="44" customHeight="1">
      <x:c r="A1676" s="1"/>
      <x:c r="B1676" s="1"/>
      <x:c r="C1676" s="8"/>
      <x:c r="D1676" s="8"/>
      <x:c r="E1676" s="8"/>
      <x:c r="F1676" s="8"/>
      <x:c r="G1676" s="8"/>
      <x:c r="H1676" s="8"/>
      <x:c r="I1676" s="8"/>
      <x:c r="J1676" s="8"/>
      <x:c r="K1676" s="8"/>
      <x:c r="L1676" s="8"/>
      <x:c r="M1676" s="10"/>
      <x:c r="N1676" s="10"/>
      <x:c r="O1676" s="8"/>
      <x:c r="P1676" s="9" t="str">
        <x:f>IF(C1676="","",IF(AND(G1676="Applicable",H1676="Fail"),"Fail",IF(R1676&lt;&gt;"Valid","Pending",IF(OR(I1676="",K1676="",L1676="",K1676=L1676,NOT(ISNUMBER(M1676)),NOT(ISNUMBER(N1676)),M1676&gt;Settings!$F$8,N1676&lt;Settings!$F$8,N1676&lt;M1676),"Pending",IF(AND(G1676="Applicable",H1676="Pass"),"Pass",IF(AND(G1676="N/A",H1676="N/A",J1676&lt;&gt;"",OR(E1676="CEM-FUELS",E1676="CEM-CCS",AND(E1676="CEM-PLAN",IFERROR(INDEX('Taxonomy'!$M$9:$M$108,MATCH(D1676,'Taxonomy'!$C$9:$C$108,0)),"")&lt;&gt;"Amber"),E1676="BLD-TIMBER",AND(U1676="Building equipment",OR(E1676="BLD-WATER",E1676="BLD-WASTE",E1676="BLD-LAND")),AND(U1676="Building renovation",E1676="BLD-LAND"))),"N/A","Pending"))))))</x:f>
      </x:c>
      <x:c r="Q1676" s="3" t="str">
        <x:f>IF(C1676="","",IF(AND(R1676="Valid",OR(P1676="Pass",P1676="N/A")),"Complete","Unresolved"))</x:f>
      </x:c>
      <x:c r="R1676" s="9" t="str">
        <x:f>IF(C1676="","",IF(OR(COUNTIF($C$9:$C$2008,C1676)&lt;&gt;1,COUNTIFS($D$9:$D$2008,D1676,$E$9:$E$2008,E1676)&lt;&gt;1),"Duplicate test",IF(COUNTIF('Taxonomy'!$C$9:$C$108,D1676)&lt;&gt;1,"Assessment key",IF(OR(COUNTIF('Taxonomy Rules'!$C$42:$C$68,E1676)&lt;&gt;1,F1676&lt;&gt;IFERROR(INDEX('Taxonomy Rules'!$D$42:$D$68,MATCH(E1676,'Taxonomy Rules'!$C$42:$C$68,0)),""),NOT(OR(IFERROR(INDEX('Taxonomy Rules'!$G$42:$G$68,MATCH(E1676,'Taxonomy Rules'!$C$42:$C$68,0)),"")="All supported routes",IFERROR(INDEX('Taxonomy Rules'!$G$42:$G$68,MATCH(E1676,'Taxonomy Rules'!$C$42:$C$68,0)),"")=U1676,AND(IFERROR(INDEX('Taxonomy Rules'!$G$42:$G$68,MATCH(E1676,'Taxonomy Rules'!$C$42:$C$68,0)),"")="Building routes",OR(U1676="Building renovation",U1676="New building",U1676="Building equipment"))))),"Unexpected test","Valid"))))</x:f>
      </x:c>
      <x:c r="S1676" s="9" t="str">
        <x:f>IF(C1676="","",IFERROR(INDEX('Taxonomy Rules'!$E$42:$E$68,MATCH(E1676,'Taxonomy Rules'!$C$42:$C$68,0)),""))</x:f>
      </x:c>
      <x:c r="T1676" s="9" t="str">
        <x:f>IF(C1676="","",IFERROR(INDEX('Taxonomy Rules'!$F$42:$F$68,MATCH(E1676,'Taxonomy Rules'!$C$42:$C$68,0)),""))</x:f>
      </x:c>
      <x:c r="U1676" s="9" t="str">
        <x:f>IF(C1676="","",IFERROR(INDEX('Taxonomy'!$G$9:$G$108,MATCH(D1676,'Taxonomy'!$C$9:$C$108,0)),""))</x:f>
      </x:c>
    </x:row>
    <x:row r="1677" ht="44" customHeight="1">
      <x:c r="A1677" s="1"/>
      <x:c r="B1677" s="1"/>
      <x:c r="C1677" s="8"/>
      <x:c r="D1677" s="8"/>
      <x:c r="E1677" s="8"/>
      <x:c r="F1677" s="8"/>
      <x:c r="G1677" s="8"/>
      <x:c r="H1677" s="8"/>
      <x:c r="I1677" s="8"/>
      <x:c r="J1677" s="8"/>
      <x:c r="K1677" s="8"/>
      <x:c r="L1677" s="8"/>
      <x:c r="M1677" s="10"/>
      <x:c r="N1677" s="10"/>
      <x:c r="O1677" s="8"/>
      <x:c r="P1677" s="9" t="str">
        <x:f>IF(C1677="","",IF(AND(G1677="Applicable",H1677="Fail"),"Fail",IF(R1677&lt;&gt;"Valid","Pending",IF(OR(I1677="",K1677="",L1677="",K1677=L1677,NOT(ISNUMBER(M1677)),NOT(ISNUMBER(N1677)),M1677&gt;Settings!$F$8,N1677&lt;Settings!$F$8,N1677&lt;M1677),"Pending",IF(AND(G1677="Applicable",H1677="Pass"),"Pass",IF(AND(G1677="N/A",H1677="N/A",J1677&lt;&gt;"",OR(E1677="CEM-FUELS",E1677="CEM-CCS",AND(E1677="CEM-PLAN",IFERROR(INDEX('Taxonomy'!$M$9:$M$108,MATCH(D1677,'Taxonomy'!$C$9:$C$108,0)),"")&lt;&gt;"Amber"),E1677="BLD-TIMBER",AND(U1677="Building equipment",OR(E1677="BLD-WATER",E1677="BLD-WASTE",E1677="BLD-LAND")),AND(U1677="Building renovation",E1677="BLD-LAND"))),"N/A","Pending"))))))</x:f>
      </x:c>
      <x:c r="Q1677" s="3" t="str">
        <x:f>IF(C1677="","",IF(AND(R1677="Valid",OR(P1677="Pass",P1677="N/A")),"Complete","Unresolved"))</x:f>
      </x:c>
      <x:c r="R1677" s="9" t="str">
        <x:f>IF(C1677="","",IF(OR(COUNTIF($C$9:$C$2008,C1677)&lt;&gt;1,COUNTIFS($D$9:$D$2008,D1677,$E$9:$E$2008,E1677)&lt;&gt;1),"Duplicate test",IF(COUNTIF('Taxonomy'!$C$9:$C$108,D1677)&lt;&gt;1,"Assessment key",IF(OR(COUNTIF('Taxonomy Rules'!$C$42:$C$68,E1677)&lt;&gt;1,F1677&lt;&gt;IFERROR(INDEX('Taxonomy Rules'!$D$42:$D$68,MATCH(E1677,'Taxonomy Rules'!$C$42:$C$68,0)),""),NOT(OR(IFERROR(INDEX('Taxonomy Rules'!$G$42:$G$68,MATCH(E1677,'Taxonomy Rules'!$C$42:$C$68,0)),"")="All supported routes",IFERROR(INDEX('Taxonomy Rules'!$G$42:$G$68,MATCH(E1677,'Taxonomy Rules'!$C$42:$C$68,0)),"")=U1677,AND(IFERROR(INDEX('Taxonomy Rules'!$G$42:$G$68,MATCH(E1677,'Taxonomy Rules'!$C$42:$C$68,0)),"")="Building routes",OR(U1677="Building renovation",U1677="New building",U1677="Building equipment"))))),"Unexpected test","Valid"))))</x:f>
      </x:c>
      <x:c r="S1677" s="9" t="str">
        <x:f>IF(C1677="","",IFERROR(INDEX('Taxonomy Rules'!$E$42:$E$68,MATCH(E1677,'Taxonomy Rules'!$C$42:$C$68,0)),""))</x:f>
      </x:c>
      <x:c r="T1677" s="9" t="str">
        <x:f>IF(C1677="","",IFERROR(INDEX('Taxonomy Rules'!$F$42:$F$68,MATCH(E1677,'Taxonomy Rules'!$C$42:$C$68,0)),""))</x:f>
      </x:c>
      <x:c r="U1677" s="9" t="str">
        <x:f>IF(C1677="","",IFERROR(INDEX('Taxonomy'!$G$9:$G$108,MATCH(D1677,'Taxonomy'!$C$9:$C$108,0)),""))</x:f>
      </x:c>
    </x:row>
    <x:row r="1678" ht="44" customHeight="1">
      <x:c r="A1678" s="1"/>
      <x:c r="B1678" s="1"/>
      <x:c r="C1678" s="8"/>
      <x:c r="D1678" s="8"/>
      <x:c r="E1678" s="8"/>
      <x:c r="F1678" s="8"/>
      <x:c r="G1678" s="8"/>
      <x:c r="H1678" s="8"/>
      <x:c r="I1678" s="8"/>
      <x:c r="J1678" s="8"/>
      <x:c r="K1678" s="8"/>
      <x:c r="L1678" s="8"/>
      <x:c r="M1678" s="10"/>
      <x:c r="N1678" s="10"/>
      <x:c r="O1678" s="8"/>
      <x:c r="P1678" s="9" t="str">
        <x:f>IF(C1678="","",IF(AND(G1678="Applicable",H1678="Fail"),"Fail",IF(R1678&lt;&gt;"Valid","Pending",IF(OR(I1678="",K1678="",L1678="",K1678=L1678,NOT(ISNUMBER(M1678)),NOT(ISNUMBER(N1678)),M1678&gt;Settings!$F$8,N1678&lt;Settings!$F$8,N1678&lt;M1678),"Pending",IF(AND(G1678="Applicable",H1678="Pass"),"Pass",IF(AND(G1678="N/A",H1678="N/A",J1678&lt;&gt;"",OR(E1678="CEM-FUELS",E1678="CEM-CCS",AND(E1678="CEM-PLAN",IFERROR(INDEX('Taxonomy'!$M$9:$M$108,MATCH(D1678,'Taxonomy'!$C$9:$C$108,0)),"")&lt;&gt;"Amber"),E1678="BLD-TIMBER",AND(U1678="Building equipment",OR(E1678="BLD-WATER",E1678="BLD-WASTE",E1678="BLD-LAND")),AND(U1678="Building renovation",E1678="BLD-LAND"))),"N/A","Pending"))))))</x:f>
      </x:c>
      <x:c r="Q1678" s="3" t="str">
        <x:f>IF(C1678="","",IF(AND(R1678="Valid",OR(P1678="Pass",P1678="N/A")),"Complete","Unresolved"))</x:f>
      </x:c>
      <x:c r="R1678" s="9" t="str">
        <x:f>IF(C1678="","",IF(OR(COUNTIF($C$9:$C$2008,C1678)&lt;&gt;1,COUNTIFS($D$9:$D$2008,D1678,$E$9:$E$2008,E1678)&lt;&gt;1),"Duplicate test",IF(COUNTIF('Taxonomy'!$C$9:$C$108,D1678)&lt;&gt;1,"Assessment key",IF(OR(COUNTIF('Taxonomy Rules'!$C$42:$C$68,E1678)&lt;&gt;1,F1678&lt;&gt;IFERROR(INDEX('Taxonomy Rules'!$D$42:$D$68,MATCH(E1678,'Taxonomy Rules'!$C$42:$C$68,0)),""),NOT(OR(IFERROR(INDEX('Taxonomy Rules'!$G$42:$G$68,MATCH(E1678,'Taxonomy Rules'!$C$42:$C$68,0)),"")="All supported routes",IFERROR(INDEX('Taxonomy Rules'!$G$42:$G$68,MATCH(E1678,'Taxonomy Rules'!$C$42:$C$68,0)),"")=U1678,AND(IFERROR(INDEX('Taxonomy Rules'!$G$42:$G$68,MATCH(E1678,'Taxonomy Rules'!$C$42:$C$68,0)),"")="Building routes",OR(U1678="Building renovation",U1678="New building",U1678="Building equipment"))))),"Unexpected test","Valid"))))</x:f>
      </x:c>
      <x:c r="S1678" s="9" t="str">
        <x:f>IF(C1678="","",IFERROR(INDEX('Taxonomy Rules'!$E$42:$E$68,MATCH(E1678,'Taxonomy Rules'!$C$42:$C$68,0)),""))</x:f>
      </x:c>
      <x:c r="T1678" s="9" t="str">
        <x:f>IF(C1678="","",IFERROR(INDEX('Taxonomy Rules'!$F$42:$F$68,MATCH(E1678,'Taxonomy Rules'!$C$42:$C$68,0)),""))</x:f>
      </x:c>
      <x:c r="U1678" s="9" t="str">
        <x:f>IF(C1678="","",IFERROR(INDEX('Taxonomy'!$G$9:$G$108,MATCH(D1678,'Taxonomy'!$C$9:$C$108,0)),""))</x:f>
      </x:c>
    </x:row>
    <x:row r="1679" ht="44" customHeight="1">
      <x:c r="A1679" s="1"/>
      <x:c r="B1679" s="1"/>
      <x:c r="C1679" s="8"/>
      <x:c r="D1679" s="8"/>
      <x:c r="E1679" s="8"/>
      <x:c r="F1679" s="8"/>
      <x:c r="G1679" s="8"/>
      <x:c r="H1679" s="8"/>
      <x:c r="I1679" s="8"/>
      <x:c r="J1679" s="8"/>
      <x:c r="K1679" s="8"/>
      <x:c r="L1679" s="8"/>
      <x:c r="M1679" s="10"/>
      <x:c r="N1679" s="10"/>
      <x:c r="O1679" s="8"/>
      <x:c r="P1679" s="9" t="str">
        <x:f>IF(C1679="","",IF(AND(G1679="Applicable",H1679="Fail"),"Fail",IF(R1679&lt;&gt;"Valid","Pending",IF(OR(I1679="",K1679="",L1679="",K1679=L1679,NOT(ISNUMBER(M1679)),NOT(ISNUMBER(N1679)),M1679&gt;Settings!$F$8,N1679&lt;Settings!$F$8,N1679&lt;M1679),"Pending",IF(AND(G1679="Applicable",H1679="Pass"),"Pass",IF(AND(G1679="N/A",H1679="N/A",J1679&lt;&gt;"",OR(E1679="CEM-FUELS",E1679="CEM-CCS",AND(E1679="CEM-PLAN",IFERROR(INDEX('Taxonomy'!$M$9:$M$108,MATCH(D1679,'Taxonomy'!$C$9:$C$108,0)),"")&lt;&gt;"Amber"),E1679="BLD-TIMBER",AND(U1679="Building equipment",OR(E1679="BLD-WATER",E1679="BLD-WASTE",E1679="BLD-LAND")),AND(U1679="Building renovation",E1679="BLD-LAND"))),"N/A","Pending"))))))</x:f>
      </x:c>
      <x:c r="Q1679" s="3" t="str">
        <x:f>IF(C1679="","",IF(AND(R1679="Valid",OR(P1679="Pass",P1679="N/A")),"Complete","Unresolved"))</x:f>
      </x:c>
      <x:c r="R1679" s="9" t="str">
        <x:f>IF(C1679="","",IF(OR(COUNTIF($C$9:$C$2008,C1679)&lt;&gt;1,COUNTIFS($D$9:$D$2008,D1679,$E$9:$E$2008,E1679)&lt;&gt;1),"Duplicate test",IF(COUNTIF('Taxonomy'!$C$9:$C$108,D1679)&lt;&gt;1,"Assessment key",IF(OR(COUNTIF('Taxonomy Rules'!$C$42:$C$68,E1679)&lt;&gt;1,F1679&lt;&gt;IFERROR(INDEX('Taxonomy Rules'!$D$42:$D$68,MATCH(E1679,'Taxonomy Rules'!$C$42:$C$68,0)),""),NOT(OR(IFERROR(INDEX('Taxonomy Rules'!$G$42:$G$68,MATCH(E1679,'Taxonomy Rules'!$C$42:$C$68,0)),"")="All supported routes",IFERROR(INDEX('Taxonomy Rules'!$G$42:$G$68,MATCH(E1679,'Taxonomy Rules'!$C$42:$C$68,0)),"")=U1679,AND(IFERROR(INDEX('Taxonomy Rules'!$G$42:$G$68,MATCH(E1679,'Taxonomy Rules'!$C$42:$C$68,0)),"")="Building routes",OR(U1679="Building renovation",U1679="New building",U1679="Building equipment"))))),"Unexpected test","Valid"))))</x:f>
      </x:c>
      <x:c r="S1679" s="9" t="str">
        <x:f>IF(C1679="","",IFERROR(INDEX('Taxonomy Rules'!$E$42:$E$68,MATCH(E1679,'Taxonomy Rules'!$C$42:$C$68,0)),""))</x:f>
      </x:c>
      <x:c r="T1679" s="9" t="str">
        <x:f>IF(C1679="","",IFERROR(INDEX('Taxonomy Rules'!$F$42:$F$68,MATCH(E1679,'Taxonomy Rules'!$C$42:$C$68,0)),""))</x:f>
      </x:c>
      <x:c r="U1679" s="9" t="str">
        <x:f>IF(C1679="","",IFERROR(INDEX('Taxonomy'!$G$9:$G$108,MATCH(D1679,'Taxonomy'!$C$9:$C$108,0)),""))</x:f>
      </x:c>
    </x:row>
    <x:row r="1680" ht="44" customHeight="1">
      <x:c r="A1680" s="1"/>
      <x:c r="B1680" s="1"/>
      <x:c r="C1680" s="8"/>
      <x:c r="D1680" s="8"/>
      <x:c r="E1680" s="8"/>
      <x:c r="F1680" s="8"/>
      <x:c r="G1680" s="8"/>
      <x:c r="H1680" s="8"/>
      <x:c r="I1680" s="8"/>
      <x:c r="J1680" s="8"/>
      <x:c r="K1680" s="8"/>
      <x:c r="L1680" s="8"/>
      <x:c r="M1680" s="10"/>
      <x:c r="N1680" s="10"/>
      <x:c r="O1680" s="8"/>
      <x:c r="P1680" s="9" t="str">
        <x:f>IF(C1680="","",IF(AND(G1680="Applicable",H1680="Fail"),"Fail",IF(R1680&lt;&gt;"Valid","Pending",IF(OR(I1680="",K1680="",L1680="",K1680=L1680,NOT(ISNUMBER(M1680)),NOT(ISNUMBER(N1680)),M1680&gt;Settings!$F$8,N1680&lt;Settings!$F$8,N1680&lt;M1680),"Pending",IF(AND(G1680="Applicable",H1680="Pass"),"Pass",IF(AND(G1680="N/A",H1680="N/A",J1680&lt;&gt;"",OR(E1680="CEM-FUELS",E1680="CEM-CCS",AND(E1680="CEM-PLAN",IFERROR(INDEX('Taxonomy'!$M$9:$M$108,MATCH(D1680,'Taxonomy'!$C$9:$C$108,0)),"")&lt;&gt;"Amber"),E1680="BLD-TIMBER",AND(U1680="Building equipment",OR(E1680="BLD-WATER",E1680="BLD-WASTE",E1680="BLD-LAND")),AND(U1680="Building renovation",E1680="BLD-LAND"))),"N/A","Pending"))))))</x:f>
      </x:c>
      <x:c r="Q1680" s="3" t="str">
        <x:f>IF(C1680="","",IF(AND(R1680="Valid",OR(P1680="Pass",P1680="N/A")),"Complete","Unresolved"))</x:f>
      </x:c>
      <x:c r="R1680" s="9" t="str">
        <x:f>IF(C1680="","",IF(OR(COUNTIF($C$9:$C$2008,C1680)&lt;&gt;1,COUNTIFS($D$9:$D$2008,D1680,$E$9:$E$2008,E1680)&lt;&gt;1),"Duplicate test",IF(COUNTIF('Taxonomy'!$C$9:$C$108,D1680)&lt;&gt;1,"Assessment key",IF(OR(COUNTIF('Taxonomy Rules'!$C$42:$C$68,E1680)&lt;&gt;1,F1680&lt;&gt;IFERROR(INDEX('Taxonomy Rules'!$D$42:$D$68,MATCH(E1680,'Taxonomy Rules'!$C$42:$C$68,0)),""),NOT(OR(IFERROR(INDEX('Taxonomy Rules'!$G$42:$G$68,MATCH(E1680,'Taxonomy Rules'!$C$42:$C$68,0)),"")="All supported routes",IFERROR(INDEX('Taxonomy Rules'!$G$42:$G$68,MATCH(E1680,'Taxonomy Rules'!$C$42:$C$68,0)),"")=U1680,AND(IFERROR(INDEX('Taxonomy Rules'!$G$42:$G$68,MATCH(E1680,'Taxonomy Rules'!$C$42:$C$68,0)),"")="Building routes",OR(U1680="Building renovation",U1680="New building",U1680="Building equipment"))))),"Unexpected test","Valid"))))</x:f>
      </x:c>
      <x:c r="S1680" s="9" t="str">
        <x:f>IF(C1680="","",IFERROR(INDEX('Taxonomy Rules'!$E$42:$E$68,MATCH(E1680,'Taxonomy Rules'!$C$42:$C$68,0)),""))</x:f>
      </x:c>
      <x:c r="T1680" s="9" t="str">
        <x:f>IF(C1680="","",IFERROR(INDEX('Taxonomy Rules'!$F$42:$F$68,MATCH(E1680,'Taxonomy Rules'!$C$42:$C$68,0)),""))</x:f>
      </x:c>
      <x:c r="U1680" s="9" t="str">
        <x:f>IF(C1680="","",IFERROR(INDEX('Taxonomy'!$G$9:$G$108,MATCH(D1680,'Taxonomy'!$C$9:$C$108,0)),""))</x:f>
      </x:c>
    </x:row>
    <x:row r="1681" ht="44" customHeight="1">
      <x:c r="A1681" s="1"/>
      <x:c r="B1681" s="1"/>
      <x:c r="C1681" s="8"/>
      <x:c r="D1681" s="8"/>
      <x:c r="E1681" s="8"/>
      <x:c r="F1681" s="8"/>
      <x:c r="G1681" s="8"/>
      <x:c r="H1681" s="8"/>
      <x:c r="I1681" s="8"/>
      <x:c r="J1681" s="8"/>
      <x:c r="K1681" s="8"/>
      <x:c r="L1681" s="8"/>
      <x:c r="M1681" s="10"/>
      <x:c r="N1681" s="10"/>
      <x:c r="O1681" s="8"/>
      <x:c r="P1681" s="9" t="str">
        <x:f>IF(C1681="","",IF(AND(G1681="Applicable",H1681="Fail"),"Fail",IF(R1681&lt;&gt;"Valid","Pending",IF(OR(I1681="",K1681="",L1681="",K1681=L1681,NOT(ISNUMBER(M1681)),NOT(ISNUMBER(N1681)),M1681&gt;Settings!$F$8,N1681&lt;Settings!$F$8,N1681&lt;M1681),"Pending",IF(AND(G1681="Applicable",H1681="Pass"),"Pass",IF(AND(G1681="N/A",H1681="N/A",J1681&lt;&gt;"",OR(E1681="CEM-FUELS",E1681="CEM-CCS",AND(E1681="CEM-PLAN",IFERROR(INDEX('Taxonomy'!$M$9:$M$108,MATCH(D1681,'Taxonomy'!$C$9:$C$108,0)),"")&lt;&gt;"Amber"),E1681="BLD-TIMBER",AND(U1681="Building equipment",OR(E1681="BLD-WATER",E1681="BLD-WASTE",E1681="BLD-LAND")),AND(U1681="Building renovation",E1681="BLD-LAND"))),"N/A","Pending"))))))</x:f>
      </x:c>
      <x:c r="Q1681" s="3" t="str">
        <x:f>IF(C1681="","",IF(AND(R1681="Valid",OR(P1681="Pass",P1681="N/A")),"Complete","Unresolved"))</x:f>
      </x:c>
      <x:c r="R1681" s="9" t="str">
        <x:f>IF(C1681="","",IF(OR(COUNTIF($C$9:$C$2008,C1681)&lt;&gt;1,COUNTIFS($D$9:$D$2008,D1681,$E$9:$E$2008,E1681)&lt;&gt;1),"Duplicate test",IF(COUNTIF('Taxonomy'!$C$9:$C$108,D1681)&lt;&gt;1,"Assessment key",IF(OR(COUNTIF('Taxonomy Rules'!$C$42:$C$68,E1681)&lt;&gt;1,F1681&lt;&gt;IFERROR(INDEX('Taxonomy Rules'!$D$42:$D$68,MATCH(E1681,'Taxonomy Rules'!$C$42:$C$68,0)),""),NOT(OR(IFERROR(INDEX('Taxonomy Rules'!$G$42:$G$68,MATCH(E1681,'Taxonomy Rules'!$C$42:$C$68,0)),"")="All supported routes",IFERROR(INDEX('Taxonomy Rules'!$G$42:$G$68,MATCH(E1681,'Taxonomy Rules'!$C$42:$C$68,0)),"")=U1681,AND(IFERROR(INDEX('Taxonomy Rules'!$G$42:$G$68,MATCH(E1681,'Taxonomy Rules'!$C$42:$C$68,0)),"")="Building routes",OR(U1681="Building renovation",U1681="New building",U1681="Building equipment"))))),"Unexpected test","Valid"))))</x:f>
      </x:c>
      <x:c r="S1681" s="9" t="str">
        <x:f>IF(C1681="","",IFERROR(INDEX('Taxonomy Rules'!$E$42:$E$68,MATCH(E1681,'Taxonomy Rules'!$C$42:$C$68,0)),""))</x:f>
      </x:c>
      <x:c r="T1681" s="9" t="str">
        <x:f>IF(C1681="","",IFERROR(INDEX('Taxonomy Rules'!$F$42:$F$68,MATCH(E1681,'Taxonomy Rules'!$C$42:$C$68,0)),""))</x:f>
      </x:c>
      <x:c r="U1681" s="9" t="str">
        <x:f>IF(C1681="","",IFERROR(INDEX('Taxonomy'!$G$9:$G$108,MATCH(D1681,'Taxonomy'!$C$9:$C$108,0)),""))</x:f>
      </x:c>
    </x:row>
    <x:row r="1682" ht="44" customHeight="1">
      <x:c r="A1682" s="1"/>
      <x:c r="B1682" s="1"/>
      <x:c r="C1682" s="8"/>
      <x:c r="D1682" s="8"/>
      <x:c r="E1682" s="8"/>
      <x:c r="F1682" s="8"/>
      <x:c r="G1682" s="8"/>
      <x:c r="H1682" s="8"/>
      <x:c r="I1682" s="8"/>
      <x:c r="J1682" s="8"/>
      <x:c r="K1682" s="8"/>
      <x:c r="L1682" s="8"/>
      <x:c r="M1682" s="10"/>
      <x:c r="N1682" s="10"/>
      <x:c r="O1682" s="8"/>
      <x:c r="P1682" s="9" t="str">
        <x:f>IF(C1682="","",IF(AND(G1682="Applicable",H1682="Fail"),"Fail",IF(R1682&lt;&gt;"Valid","Pending",IF(OR(I1682="",K1682="",L1682="",K1682=L1682,NOT(ISNUMBER(M1682)),NOT(ISNUMBER(N1682)),M1682&gt;Settings!$F$8,N1682&lt;Settings!$F$8,N1682&lt;M1682),"Pending",IF(AND(G1682="Applicable",H1682="Pass"),"Pass",IF(AND(G1682="N/A",H1682="N/A",J1682&lt;&gt;"",OR(E1682="CEM-FUELS",E1682="CEM-CCS",AND(E1682="CEM-PLAN",IFERROR(INDEX('Taxonomy'!$M$9:$M$108,MATCH(D1682,'Taxonomy'!$C$9:$C$108,0)),"")&lt;&gt;"Amber"),E1682="BLD-TIMBER",AND(U1682="Building equipment",OR(E1682="BLD-WATER",E1682="BLD-WASTE",E1682="BLD-LAND")),AND(U1682="Building renovation",E1682="BLD-LAND"))),"N/A","Pending"))))))</x:f>
      </x:c>
      <x:c r="Q1682" s="3" t="str">
        <x:f>IF(C1682="","",IF(AND(R1682="Valid",OR(P1682="Pass",P1682="N/A")),"Complete","Unresolved"))</x:f>
      </x:c>
      <x:c r="R1682" s="9" t="str">
        <x:f>IF(C1682="","",IF(OR(COUNTIF($C$9:$C$2008,C1682)&lt;&gt;1,COUNTIFS($D$9:$D$2008,D1682,$E$9:$E$2008,E1682)&lt;&gt;1),"Duplicate test",IF(COUNTIF('Taxonomy'!$C$9:$C$108,D1682)&lt;&gt;1,"Assessment key",IF(OR(COUNTIF('Taxonomy Rules'!$C$42:$C$68,E1682)&lt;&gt;1,F1682&lt;&gt;IFERROR(INDEX('Taxonomy Rules'!$D$42:$D$68,MATCH(E1682,'Taxonomy Rules'!$C$42:$C$68,0)),""),NOT(OR(IFERROR(INDEX('Taxonomy Rules'!$G$42:$G$68,MATCH(E1682,'Taxonomy Rules'!$C$42:$C$68,0)),"")="All supported routes",IFERROR(INDEX('Taxonomy Rules'!$G$42:$G$68,MATCH(E1682,'Taxonomy Rules'!$C$42:$C$68,0)),"")=U1682,AND(IFERROR(INDEX('Taxonomy Rules'!$G$42:$G$68,MATCH(E1682,'Taxonomy Rules'!$C$42:$C$68,0)),"")="Building routes",OR(U1682="Building renovation",U1682="New building",U1682="Building equipment"))))),"Unexpected test","Valid"))))</x:f>
      </x:c>
      <x:c r="S1682" s="9" t="str">
        <x:f>IF(C1682="","",IFERROR(INDEX('Taxonomy Rules'!$E$42:$E$68,MATCH(E1682,'Taxonomy Rules'!$C$42:$C$68,0)),""))</x:f>
      </x:c>
      <x:c r="T1682" s="9" t="str">
        <x:f>IF(C1682="","",IFERROR(INDEX('Taxonomy Rules'!$F$42:$F$68,MATCH(E1682,'Taxonomy Rules'!$C$42:$C$68,0)),""))</x:f>
      </x:c>
      <x:c r="U1682" s="9" t="str">
        <x:f>IF(C1682="","",IFERROR(INDEX('Taxonomy'!$G$9:$G$108,MATCH(D1682,'Taxonomy'!$C$9:$C$108,0)),""))</x:f>
      </x:c>
    </x:row>
    <x:row r="1683" ht="44" customHeight="1">
      <x:c r="A1683" s="1"/>
      <x:c r="B1683" s="1"/>
      <x:c r="C1683" s="8"/>
      <x:c r="D1683" s="8"/>
      <x:c r="E1683" s="8"/>
      <x:c r="F1683" s="8"/>
      <x:c r="G1683" s="8"/>
      <x:c r="H1683" s="8"/>
      <x:c r="I1683" s="8"/>
      <x:c r="J1683" s="8"/>
      <x:c r="K1683" s="8"/>
      <x:c r="L1683" s="8"/>
      <x:c r="M1683" s="10"/>
      <x:c r="N1683" s="10"/>
      <x:c r="O1683" s="8"/>
      <x:c r="P1683" s="9" t="str">
        <x:f>IF(C1683="","",IF(AND(G1683="Applicable",H1683="Fail"),"Fail",IF(R1683&lt;&gt;"Valid","Pending",IF(OR(I1683="",K1683="",L1683="",K1683=L1683,NOT(ISNUMBER(M1683)),NOT(ISNUMBER(N1683)),M1683&gt;Settings!$F$8,N1683&lt;Settings!$F$8,N1683&lt;M1683),"Pending",IF(AND(G1683="Applicable",H1683="Pass"),"Pass",IF(AND(G1683="N/A",H1683="N/A",J1683&lt;&gt;"",OR(E1683="CEM-FUELS",E1683="CEM-CCS",AND(E1683="CEM-PLAN",IFERROR(INDEX('Taxonomy'!$M$9:$M$108,MATCH(D1683,'Taxonomy'!$C$9:$C$108,0)),"")&lt;&gt;"Amber"),E1683="BLD-TIMBER",AND(U1683="Building equipment",OR(E1683="BLD-WATER",E1683="BLD-WASTE",E1683="BLD-LAND")),AND(U1683="Building renovation",E1683="BLD-LAND"))),"N/A","Pending"))))))</x:f>
      </x:c>
      <x:c r="Q1683" s="3" t="str">
        <x:f>IF(C1683="","",IF(AND(R1683="Valid",OR(P1683="Pass",P1683="N/A")),"Complete","Unresolved"))</x:f>
      </x:c>
      <x:c r="R1683" s="9" t="str">
        <x:f>IF(C1683="","",IF(OR(COUNTIF($C$9:$C$2008,C1683)&lt;&gt;1,COUNTIFS($D$9:$D$2008,D1683,$E$9:$E$2008,E1683)&lt;&gt;1),"Duplicate test",IF(COUNTIF('Taxonomy'!$C$9:$C$108,D1683)&lt;&gt;1,"Assessment key",IF(OR(COUNTIF('Taxonomy Rules'!$C$42:$C$68,E1683)&lt;&gt;1,F1683&lt;&gt;IFERROR(INDEX('Taxonomy Rules'!$D$42:$D$68,MATCH(E1683,'Taxonomy Rules'!$C$42:$C$68,0)),""),NOT(OR(IFERROR(INDEX('Taxonomy Rules'!$G$42:$G$68,MATCH(E1683,'Taxonomy Rules'!$C$42:$C$68,0)),"")="All supported routes",IFERROR(INDEX('Taxonomy Rules'!$G$42:$G$68,MATCH(E1683,'Taxonomy Rules'!$C$42:$C$68,0)),"")=U1683,AND(IFERROR(INDEX('Taxonomy Rules'!$G$42:$G$68,MATCH(E1683,'Taxonomy Rules'!$C$42:$C$68,0)),"")="Building routes",OR(U1683="Building renovation",U1683="New building",U1683="Building equipment"))))),"Unexpected test","Valid"))))</x:f>
      </x:c>
      <x:c r="S1683" s="9" t="str">
        <x:f>IF(C1683="","",IFERROR(INDEX('Taxonomy Rules'!$E$42:$E$68,MATCH(E1683,'Taxonomy Rules'!$C$42:$C$68,0)),""))</x:f>
      </x:c>
      <x:c r="T1683" s="9" t="str">
        <x:f>IF(C1683="","",IFERROR(INDEX('Taxonomy Rules'!$F$42:$F$68,MATCH(E1683,'Taxonomy Rules'!$C$42:$C$68,0)),""))</x:f>
      </x:c>
      <x:c r="U1683" s="9" t="str">
        <x:f>IF(C1683="","",IFERROR(INDEX('Taxonomy'!$G$9:$G$108,MATCH(D1683,'Taxonomy'!$C$9:$C$108,0)),""))</x:f>
      </x:c>
    </x:row>
    <x:row r="1684" ht="44" customHeight="1">
      <x:c r="A1684" s="1"/>
      <x:c r="B1684" s="1"/>
      <x:c r="C1684" s="8"/>
      <x:c r="D1684" s="8"/>
      <x:c r="E1684" s="8"/>
      <x:c r="F1684" s="8"/>
      <x:c r="G1684" s="8"/>
      <x:c r="H1684" s="8"/>
      <x:c r="I1684" s="8"/>
      <x:c r="J1684" s="8"/>
      <x:c r="K1684" s="8"/>
      <x:c r="L1684" s="8"/>
      <x:c r="M1684" s="10"/>
      <x:c r="N1684" s="10"/>
      <x:c r="O1684" s="8"/>
      <x:c r="P1684" s="9" t="str">
        <x:f>IF(C1684="","",IF(AND(G1684="Applicable",H1684="Fail"),"Fail",IF(R1684&lt;&gt;"Valid","Pending",IF(OR(I1684="",K1684="",L1684="",K1684=L1684,NOT(ISNUMBER(M1684)),NOT(ISNUMBER(N1684)),M1684&gt;Settings!$F$8,N1684&lt;Settings!$F$8,N1684&lt;M1684),"Pending",IF(AND(G1684="Applicable",H1684="Pass"),"Pass",IF(AND(G1684="N/A",H1684="N/A",J1684&lt;&gt;"",OR(E1684="CEM-FUELS",E1684="CEM-CCS",AND(E1684="CEM-PLAN",IFERROR(INDEX('Taxonomy'!$M$9:$M$108,MATCH(D1684,'Taxonomy'!$C$9:$C$108,0)),"")&lt;&gt;"Amber"),E1684="BLD-TIMBER",AND(U1684="Building equipment",OR(E1684="BLD-WATER",E1684="BLD-WASTE",E1684="BLD-LAND")),AND(U1684="Building renovation",E1684="BLD-LAND"))),"N/A","Pending"))))))</x:f>
      </x:c>
      <x:c r="Q1684" s="3" t="str">
        <x:f>IF(C1684="","",IF(AND(R1684="Valid",OR(P1684="Pass",P1684="N/A")),"Complete","Unresolved"))</x:f>
      </x:c>
      <x:c r="R1684" s="9" t="str">
        <x:f>IF(C1684="","",IF(OR(COUNTIF($C$9:$C$2008,C1684)&lt;&gt;1,COUNTIFS($D$9:$D$2008,D1684,$E$9:$E$2008,E1684)&lt;&gt;1),"Duplicate test",IF(COUNTIF('Taxonomy'!$C$9:$C$108,D1684)&lt;&gt;1,"Assessment key",IF(OR(COUNTIF('Taxonomy Rules'!$C$42:$C$68,E1684)&lt;&gt;1,F1684&lt;&gt;IFERROR(INDEX('Taxonomy Rules'!$D$42:$D$68,MATCH(E1684,'Taxonomy Rules'!$C$42:$C$68,0)),""),NOT(OR(IFERROR(INDEX('Taxonomy Rules'!$G$42:$G$68,MATCH(E1684,'Taxonomy Rules'!$C$42:$C$68,0)),"")="All supported routes",IFERROR(INDEX('Taxonomy Rules'!$G$42:$G$68,MATCH(E1684,'Taxonomy Rules'!$C$42:$C$68,0)),"")=U1684,AND(IFERROR(INDEX('Taxonomy Rules'!$G$42:$G$68,MATCH(E1684,'Taxonomy Rules'!$C$42:$C$68,0)),"")="Building routes",OR(U1684="Building renovation",U1684="New building",U1684="Building equipment"))))),"Unexpected test","Valid"))))</x:f>
      </x:c>
      <x:c r="S1684" s="9" t="str">
        <x:f>IF(C1684="","",IFERROR(INDEX('Taxonomy Rules'!$E$42:$E$68,MATCH(E1684,'Taxonomy Rules'!$C$42:$C$68,0)),""))</x:f>
      </x:c>
      <x:c r="T1684" s="9" t="str">
        <x:f>IF(C1684="","",IFERROR(INDEX('Taxonomy Rules'!$F$42:$F$68,MATCH(E1684,'Taxonomy Rules'!$C$42:$C$68,0)),""))</x:f>
      </x:c>
      <x:c r="U1684" s="9" t="str">
        <x:f>IF(C1684="","",IFERROR(INDEX('Taxonomy'!$G$9:$G$108,MATCH(D1684,'Taxonomy'!$C$9:$C$108,0)),""))</x:f>
      </x:c>
    </x:row>
    <x:row r="1685" ht="44" customHeight="1">
      <x:c r="A1685" s="1"/>
      <x:c r="B1685" s="1"/>
      <x:c r="C1685" s="8"/>
      <x:c r="D1685" s="8"/>
      <x:c r="E1685" s="8"/>
      <x:c r="F1685" s="8"/>
      <x:c r="G1685" s="8"/>
      <x:c r="H1685" s="8"/>
      <x:c r="I1685" s="8"/>
      <x:c r="J1685" s="8"/>
      <x:c r="K1685" s="8"/>
      <x:c r="L1685" s="8"/>
      <x:c r="M1685" s="10"/>
      <x:c r="N1685" s="10"/>
      <x:c r="O1685" s="8"/>
      <x:c r="P1685" s="9" t="str">
        <x:f>IF(C1685="","",IF(AND(G1685="Applicable",H1685="Fail"),"Fail",IF(R1685&lt;&gt;"Valid","Pending",IF(OR(I1685="",K1685="",L1685="",K1685=L1685,NOT(ISNUMBER(M1685)),NOT(ISNUMBER(N1685)),M1685&gt;Settings!$F$8,N1685&lt;Settings!$F$8,N1685&lt;M1685),"Pending",IF(AND(G1685="Applicable",H1685="Pass"),"Pass",IF(AND(G1685="N/A",H1685="N/A",J1685&lt;&gt;"",OR(E1685="CEM-FUELS",E1685="CEM-CCS",AND(E1685="CEM-PLAN",IFERROR(INDEX('Taxonomy'!$M$9:$M$108,MATCH(D1685,'Taxonomy'!$C$9:$C$108,0)),"")&lt;&gt;"Amber"),E1685="BLD-TIMBER",AND(U1685="Building equipment",OR(E1685="BLD-WATER",E1685="BLD-WASTE",E1685="BLD-LAND")),AND(U1685="Building renovation",E1685="BLD-LAND"))),"N/A","Pending"))))))</x:f>
      </x:c>
      <x:c r="Q1685" s="3" t="str">
        <x:f>IF(C1685="","",IF(AND(R1685="Valid",OR(P1685="Pass",P1685="N/A")),"Complete","Unresolved"))</x:f>
      </x:c>
      <x:c r="R1685" s="9" t="str">
        <x:f>IF(C1685="","",IF(OR(COUNTIF($C$9:$C$2008,C1685)&lt;&gt;1,COUNTIFS($D$9:$D$2008,D1685,$E$9:$E$2008,E1685)&lt;&gt;1),"Duplicate test",IF(COUNTIF('Taxonomy'!$C$9:$C$108,D1685)&lt;&gt;1,"Assessment key",IF(OR(COUNTIF('Taxonomy Rules'!$C$42:$C$68,E1685)&lt;&gt;1,F1685&lt;&gt;IFERROR(INDEX('Taxonomy Rules'!$D$42:$D$68,MATCH(E1685,'Taxonomy Rules'!$C$42:$C$68,0)),""),NOT(OR(IFERROR(INDEX('Taxonomy Rules'!$G$42:$G$68,MATCH(E1685,'Taxonomy Rules'!$C$42:$C$68,0)),"")="All supported routes",IFERROR(INDEX('Taxonomy Rules'!$G$42:$G$68,MATCH(E1685,'Taxonomy Rules'!$C$42:$C$68,0)),"")=U1685,AND(IFERROR(INDEX('Taxonomy Rules'!$G$42:$G$68,MATCH(E1685,'Taxonomy Rules'!$C$42:$C$68,0)),"")="Building routes",OR(U1685="Building renovation",U1685="New building",U1685="Building equipment"))))),"Unexpected test","Valid"))))</x:f>
      </x:c>
      <x:c r="S1685" s="9" t="str">
        <x:f>IF(C1685="","",IFERROR(INDEX('Taxonomy Rules'!$E$42:$E$68,MATCH(E1685,'Taxonomy Rules'!$C$42:$C$68,0)),""))</x:f>
      </x:c>
      <x:c r="T1685" s="9" t="str">
        <x:f>IF(C1685="","",IFERROR(INDEX('Taxonomy Rules'!$F$42:$F$68,MATCH(E1685,'Taxonomy Rules'!$C$42:$C$68,0)),""))</x:f>
      </x:c>
      <x:c r="U1685" s="9" t="str">
        <x:f>IF(C1685="","",IFERROR(INDEX('Taxonomy'!$G$9:$G$108,MATCH(D1685,'Taxonomy'!$C$9:$C$108,0)),""))</x:f>
      </x:c>
    </x:row>
    <x:row r="1686" ht="44" customHeight="1">
      <x:c r="A1686" s="1"/>
      <x:c r="B1686" s="1"/>
      <x:c r="C1686" s="8"/>
      <x:c r="D1686" s="8"/>
      <x:c r="E1686" s="8"/>
      <x:c r="F1686" s="8"/>
      <x:c r="G1686" s="8"/>
      <x:c r="H1686" s="8"/>
      <x:c r="I1686" s="8"/>
      <x:c r="J1686" s="8"/>
      <x:c r="K1686" s="8"/>
      <x:c r="L1686" s="8"/>
      <x:c r="M1686" s="10"/>
      <x:c r="N1686" s="10"/>
      <x:c r="O1686" s="8"/>
      <x:c r="P1686" s="9" t="str">
        <x:f>IF(C1686="","",IF(AND(G1686="Applicable",H1686="Fail"),"Fail",IF(R1686&lt;&gt;"Valid","Pending",IF(OR(I1686="",K1686="",L1686="",K1686=L1686,NOT(ISNUMBER(M1686)),NOT(ISNUMBER(N1686)),M1686&gt;Settings!$F$8,N1686&lt;Settings!$F$8,N1686&lt;M1686),"Pending",IF(AND(G1686="Applicable",H1686="Pass"),"Pass",IF(AND(G1686="N/A",H1686="N/A",J1686&lt;&gt;"",OR(E1686="CEM-FUELS",E1686="CEM-CCS",AND(E1686="CEM-PLAN",IFERROR(INDEX('Taxonomy'!$M$9:$M$108,MATCH(D1686,'Taxonomy'!$C$9:$C$108,0)),"")&lt;&gt;"Amber"),E1686="BLD-TIMBER",AND(U1686="Building equipment",OR(E1686="BLD-WATER",E1686="BLD-WASTE",E1686="BLD-LAND")),AND(U1686="Building renovation",E1686="BLD-LAND"))),"N/A","Pending"))))))</x:f>
      </x:c>
      <x:c r="Q1686" s="3" t="str">
        <x:f>IF(C1686="","",IF(AND(R1686="Valid",OR(P1686="Pass",P1686="N/A")),"Complete","Unresolved"))</x:f>
      </x:c>
      <x:c r="R1686" s="9" t="str">
        <x:f>IF(C1686="","",IF(OR(COUNTIF($C$9:$C$2008,C1686)&lt;&gt;1,COUNTIFS($D$9:$D$2008,D1686,$E$9:$E$2008,E1686)&lt;&gt;1),"Duplicate test",IF(COUNTIF('Taxonomy'!$C$9:$C$108,D1686)&lt;&gt;1,"Assessment key",IF(OR(COUNTIF('Taxonomy Rules'!$C$42:$C$68,E1686)&lt;&gt;1,F1686&lt;&gt;IFERROR(INDEX('Taxonomy Rules'!$D$42:$D$68,MATCH(E1686,'Taxonomy Rules'!$C$42:$C$68,0)),""),NOT(OR(IFERROR(INDEX('Taxonomy Rules'!$G$42:$G$68,MATCH(E1686,'Taxonomy Rules'!$C$42:$C$68,0)),"")="All supported routes",IFERROR(INDEX('Taxonomy Rules'!$G$42:$G$68,MATCH(E1686,'Taxonomy Rules'!$C$42:$C$68,0)),"")=U1686,AND(IFERROR(INDEX('Taxonomy Rules'!$G$42:$G$68,MATCH(E1686,'Taxonomy Rules'!$C$42:$C$68,0)),"")="Building routes",OR(U1686="Building renovation",U1686="New building",U1686="Building equipment"))))),"Unexpected test","Valid"))))</x:f>
      </x:c>
      <x:c r="S1686" s="9" t="str">
        <x:f>IF(C1686="","",IFERROR(INDEX('Taxonomy Rules'!$E$42:$E$68,MATCH(E1686,'Taxonomy Rules'!$C$42:$C$68,0)),""))</x:f>
      </x:c>
      <x:c r="T1686" s="9" t="str">
        <x:f>IF(C1686="","",IFERROR(INDEX('Taxonomy Rules'!$F$42:$F$68,MATCH(E1686,'Taxonomy Rules'!$C$42:$C$68,0)),""))</x:f>
      </x:c>
      <x:c r="U1686" s="9" t="str">
        <x:f>IF(C1686="","",IFERROR(INDEX('Taxonomy'!$G$9:$G$108,MATCH(D1686,'Taxonomy'!$C$9:$C$108,0)),""))</x:f>
      </x:c>
    </x:row>
    <x:row r="1687" ht="44" customHeight="1">
      <x:c r="A1687" s="1"/>
      <x:c r="B1687" s="1"/>
      <x:c r="C1687" s="8"/>
      <x:c r="D1687" s="8"/>
      <x:c r="E1687" s="8"/>
      <x:c r="F1687" s="8"/>
      <x:c r="G1687" s="8"/>
      <x:c r="H1687" s="8"/>
      <x:c r="I1687" s="8"/>
      <x:c r="J1687" s="8"/>
      <x:c r="K1687" s="8"/>
      <x:c r="L1687" s="8"/>
      <x:c r="M1687" s="10"/>
      <x:c r="N1687" s="10"/>
      <x:c r="O1687" s="8"/>
      <x:c r="P1687" s="9" t="str">
        <x:f>IF(C1687="","",IF(AND(G1687="Applicable",H1687="Fail"),"Fail",IF(R1687&lt;&gt;"Valid","Pending",IF(OR(I1687="",K1687="",L1687="",K1687=L1687,NOT(ISNUMBER(M1687)),NOT(ISNUMBER(N1687)),M1687&gt;Settings!$F$8,N1687&lt;Settings!$F$8,N1687&lt;M1687),"Pending",IF(AND(G1687="Applicable",H1687="Pass"),"Pass",IF(AND(G1687="N/A",H1687="N/A",J1687&lt;&gt;"",OR(E1687="CEM-FUELS",E1687="CEM-CCS",AND(E1687="CEM-PLAN",IFERROR(INDEX('Taxonomy'!$M$9:$M$108,MATCH(D1687,'Taxonomy'!$C$9:$C$108,0)),"")&lt;&gt;"Amber"),E1687="BLD-TIMBER",AND(U1687="Building equipment",OR(E1687="BLD-WATER",E1687="BLD-WASTE",E1687="BLD-LAND")),AND(U1687="Building renovation",E1687="BLD-LAND"))),"N/A","Pending"))))))</x:f>
      </x:c>
      <x:c r="Q1687" s="3" t="str">
        <x:f>IF(C1687="","",IF(AND(R1687="Valid",OR(P1687="Pass",P1687="N/A")),"Complete","Unresolved"))</x:f>
      </x:c>
      <x:c r="R1687" s="9" t="str">
        <x:f>IF(C1687="","",IF(OR(COUNTIF($C$9:$C$2008,C1687)&lt;&gt;1,COUNTIFS($D$9:$D$2008,D1687,$E$9:$E$2008,E1687)&lt;&gt;1),"Duplicate test",IF(COUNTIF('Taxonomy'!$C$9:$C$108,D1687)&lt;&gt;1,"Assessment key",IF(OR(COUNTIF('Taxonomy Rules'!$C$42:$C$68,E1687)&lt;&gt;1,F1687&lt;&gt;IFERROR(INDEX('Taxonomy Rules'!$D$42:$D$68,MATCH(E1687,'Taxonomy Rules'!$C$42:$C$68,0)),""),NOT(OR(IFERROR(INDEX('Taxonomy Rules'!$G$42:$G$68,MATCH(E1687,'Taxonomy Rules'!$C$42:$C$68,0)),"")="All supported routes",IFERROR(INDEX('Taxonomy Rules'!$G$42:$G$68,MATCH(E1687,'Taxonomy Rules'!$C$42:$C$68,0)),"")=U1687,AND(IFERROR(INDEX('Taxonomy Rules'!$G$42:$G$68,MATCH(E1687,'Taxonomy Rules'!$C$42:$C$68,0)),"")="Building routes",OR(U1687="Building renovation",U1687="New building",U1687="Building equipment"))))),"Unexpected test","Valid"))))</x:f>
      </x:c>
      <x:c r="S1687" s="9" t="str">
        <x:f>IF(C1687="","",IFERROR(INDEX('Taxonomy Rules'!$E$42:$E$68,MATCH(E1687,'Taxonomy Rules'!$C$42:$C$68,0)),""))</x:f>
      </x:c>
      <x:c r="T1687" s="9" t="str">
        <x:f>IF(C1687="","",IFERROR(INDEX('Taxonomy Rules'!$F$42:$F$68,MATCH(E1687,'Taxonomy Rules'!$C$42:$C$68,0)),""))</x:f>
      </x:c>
      <x:c r="U1687" s="9" t="str">
        <x:f>IF(C1687="","",IFERROR(INDEX('Taxonomy'!$G$9:$G$108,MATCH(D1687,'Taxonomy'!$C$9:$C$108,0)),""))</x:f>
      </x:c>
    </x:row>
    <x:row r="1688" ht="44" customHeight="1">
      <x:c r="A1688" s="1"/>
      <x:c r="B1688" s="1"/>
      <x:c r="C1688" s="8"/>
      <x:c r="D1688" s="8"/>
      <x:c r="E1688" s="8"/>
      <x:c r="F1688" s="8"/>
      <x:c r="G1688" s="8"/>
      <x:c r="H1688" s="8"/>
      <x:c r="I1688" s="8"/>
      <x:c r="J1688" s="8"/>
      <x:c r="K1688" s="8"/>
      <x:c r="L1688" s="8"/>
      <x:c r="M1688" s="10"/>
      <x:c r="N1688" s="10"/>
      <x:c r="O1688" s="8"/>
      <x:c r="P1688" s="9" t="str">
        <x:f>IF(C1688="","",IF(AND(G1688="Applicable",H1688="Fail"),"Fail",IF(R1688&lt;&gt;"Valid","Pending",IF(OR(I1688="",K1688="",L1688="",K1688=L1688,NOT(ISNUMBER(M1688)),NOT(ISNUMBER(N1688)),M1688&gt;Settings!$F$8,N1688&lt;Settings!$F$8,N1688&lt;M1688),"Pending",IF(AND(G1688="Applicable",H1688="Pass"),"Pass",IF(AND(G1688="N/A",H1688="N/A",J1688&lt;&gt;"",OR(E1688="CEM-FUELS",E1688="CEM-CCS",AND(E1688="CEM-PLAN",IFERROR(INDEX('Taxonomy'!$M$9:$M$108,MATCH(D1688,'Taxonomy'!$C$9:$C$108,0)),"")&lt;&gt;"Amber"),E1688="BLD-TIMBER",AND(U1688="Building equipment",OR(E1688="BLD-WATER",E1688="BLD-WASTE",E1688="BLD-LAND")),AND(U1688="Building renovation",E1688="BLD-LAND"))),"N/A","Pending"))))))</x:f>
      </x:c>
      <x:c r="Q1688" s="3" t="str">
        <x:f>IF(C1688="","",IF(AND(R1688="Valid",OR(P1688="Pass",P1688="N/A")),"Complete","Unresolved"))</x:f>
      </x:c>
      <x:c r="R1688" s="9" t="str">
        <x:f>IF(C1688="","",IF(OR(COUNTIF($C$9:$C$2008,C1688)&lt;&gt;1,COUNTIFS($D$9:$D$2008,D1688,$E$9:$E$2008,E1688)&lt;&gt;1),"Duplicate test",IF(COUNTIF('Taxonomy'!$C$9:$C$108,D1688)&lt;&gt;1,"Assessment key",IF(OR(COUNTIF('Taxonomy Rules'!$C$42:$C$68,E1688)&lt;&gt;1,F1688&lt;&gt;IFERROR(INDEX('Taxonomy Rules'!$D$42:$D$68,MATCH(E1688,'Taxonomy Rules'!$C$42:$C$68,0)),""),NOT(OR(IFERROR(INDEX('Taxonomy Rules'!$G$42:$G$68,MATCH(E1688,'Taxonomy Rules'!$C$42:$C$68,0)),"")="All supported routes",IFERROR(INDEX('Taxonomy Rules'!$G$42:$G$68,MATCH(E1688,'Taxonomy Rules'!$C$42:$C$68,0)),"")=U1688,AND(IFERROR(INDEX('Taxonomy Rules'!$G$42:$G$68,MATCH(E1688,'Taxonomy Rules'!$C$42:$C$68,0)),"")="Building routes",OR(U1688="Building renovation",U1688="New building",U1688="Building equipment"))))),"Unexpected test","Valid"))))</x:f>
      </x:c>
      <x:c r="S1688" s="9" t="str">
        <x:f>IF(C1688="","",IFERROR(INDEX('Taxonomy Rules'!$E$42:$E$68,MATCH(E1688,'Taxonomy Rules'!$C$42:$C$68,0)),""))</x:f>
      </x:c>
      <x:c r="T1688" s="9" t="str">
        <x:f>IF(C1688="","",IFERROR(INDEX('Taxonomy Rules'!$F$42:$F$68,MATCH(E1688,'Taxonomy Rules'!$C$42:$C$68,0)),""))</x:f>
      </x:c>
      <x:c r="U1688" s="9" t="str">
        <x:f>IF(C1688="","",IFERROR(INDEX('Taxonomy'!$G$9:$G$108,MATCH(D1688,'Taxonomy'!$C$9:$C$108,0)),""))</x:f>
      </x:c>
    </x:row>
    <x:row r="1689" ht="44" customHeight="1">
      <x:c r="A1689" s="1"/>
      <x:c r="B1689" s="1"/>
      <x:c r="C1689" s="8"/>
      <x:c r="D1689" s="8"/>
      <x:c r="E1689" s="8"/>
      <x:c r="F1689" s="8"/>
      <x:c r="G1689" s="8"/>
      <x:c r="H1689" s="8"/>
      <x:c r="I1689" s="8"/>
      <x:c r="J1689" s="8"/>
      <x:c r="K1689" s="8"/>
      <x:c r="L1689" s="8"/>
      <x:c r="M1689" s="10"/>
      <x:c r="N1689" s="10"/>
      <x:c r="O1689" s="8"/>
      <x:c r="P1689" s="9" t="str">
        <x:f>IF(C1689="","",IF(AND(G1689="Applicable",H1689="Fail"),"Fail",IF(R1689&lt;&gt;"Valid","Pending",IF(OR(I1689="",K1689="",L1689="",K1689=L1689,NOT(ISNUMBER(M1689)),NOT(ISNUMBER(N1689)),M1689&gt;Settings!$F$8,N1689&lt;Settings!$F$8,N1689&lt;M1689),"Pending",IF(AND(G1689="Applicable",H1689="Pass"),"Pass",IF(AND(G1689="N/A",H1689="N/A",J1689&lt;&gt;"",OR(E1689="CEM-FUELS",E1689="CEM-CCS",AND(E1689="CEM-PLAN",IFERROR(INDEX('Taxonomy'!$M$9:$M$108,MATCH(D1689,'Taxonomy'!$C$9:$C$108,0)),"")&lt;&gt;"Amber"),E1689="BLD-TIMBER",AND(U1689="Building equipment",OR(E1689="BLD-WATER",E1689="BLD-WASTE",E1689="BLD-LAND")),AND(U1689="Building renovation",E1689="BLD-LAND"))),"N/A","Pending"))))))</x:f>
      </x:c>
      <x:c r="Q1689" s="3" t="str">
        <x:f>IF(C1689="","",IF(AND(R1689="Valid",OR(P1689="Pass",P1689="N/A")),"Complete","Unresolved"))</x:f>
      </x:c>
      <x:c r="R1689" s="9" t="str">
        <x:f>IF(C1689="","",IF(OR(COUNTIF($C$9:$C$2008,C1689)&lt;&gt;1,COUNTIFS($D$9:$D$2008,D1689,$E$9:$E$2008,E1689)&lt;&gt;1),"Duplicate test",IF(COUNTIF('Taxonomy'!$C$9:$C$108,D1689)&lt;&gt;1,"Assessment key",IF(OR(COUNTIF('Taxonomy Rules'!$C$42:$C$68,E1689)&lt;&gt;1,F1689&lt;&gt;IFERROR(INDEX('Taxonomy Rules'!$D$42:$D$68,MATCH(E1689,'Taxonomy Rules'!$C$42:$C$68,0)),""),NOT(OR(IFERROR(INDEX('Taxonomy Rules'!$G$42:$G$68,MATCH(E1689,'Taxonomy Rules'!$C$42:$C$68,0)),"")="All supported routes",IFERROR(INDEX('Taxonomy Rules'!$G$42:$G$68,MATCH(E1689,'Taxonomy Rules'!$C$42:$C$68,0)),"")=U1689,AND(IFERROR(INDEX('Taxonomy Rules'!$G$42:$G$68,MATCH(E1689,'Taxonomy Rules'!$C$42:$C$68,0)),"")="Building routes",OR(U1689="Building renovation",U1689="New building",U1689="Building equipment"))))),"Unexpected test","Valid"))))</x:f>
      </x:c>
      <x:c r="S1689" s="9" t="str">
        <x:f>IF(C1689="","",IFERROR(INDEX('Taxonomy Rules'!$E$42:$E$68,MATCH(E1689,'Taxonomy Rules'!$C$42:$C$68,0)),""))</x:f>
      </x:c>
      <x:c r="T1689" s="9" t="str">
        <x:f>IF(C1689="","",IFERROR(INDEX('Taxonomy Rules'!$F$42:$F$68,MATCH(E1689,'Taxonomy Rules'!$C$42:$C$68,0)),""))</x:f>
      </x:c>
      <x:c r="U1689" s="9" t="str">
        <x:f>IF(C1689="","",IFERROR(INDEX('Taxonomy'!$G$9:$G$108,MATCH(D1689,'Taxonomy'!$C$9:$C$108,0)),""))</x:f>
      </x:c>
    </x:row>
    <x:row r="1690" ht="44" customHeight="1">
      <x:c r="A1690" s="1"/>
      <x:c r="B1690" s="1"/>
      <x:c r="C1690" s="8"/>
      <x:c r="D1690" s="8"/>
      <x:c r="E1690" s="8"/>
      <x:c r="F1690" s="8"/>
      <x:c r="G1690" s="8"/>
      <x:c r="H1690" s="8"/>
      <x:c r="I1690" s="8"/>
      <x:c r="J1690" s="8"/>
      <x:c r="K1690" s="8"/>
      <x:c r="L1690" s="8"/>
      <x:c r="M1690" s="10"/>
      <x:c r="N1690" s="10"/>
      <x:c r="O1690" s="8"/>
      <x:c r="P1690" s="9" t="str">
        <x:f>IF(C1690="","",IF(AND(G1690="Applicable",H1690="Fail"),"Fail",IF(R1690&lt;&gt;"Valid","Pending",IF(OR(I1690="",K1690="",L1690="",K1690=L1690,NOT(ISNUMBER(M1690)),NOT(ISNUMBER(N1690)),M1690&gt;Settings!$F$8,N1690&lt;Settings!$F$8,N1690&lt;M1690),"Pending",IF(AND(G1690="Applicable",H1690="Pass"),"Pass",IF(AND(G1690="N/A",H1690="N/A",J1690&lt;&gt;"",OR(E1690="CEM-FUELS",E1690="CEM-CCS",AND(E1690="CEM-PLAN",IFERROR(INDEX('Taxonomy'!$M$9:$M$108,MATCH(D1690,'Taxonomy'!$C$9:$C$108,0)),"")&lt;&gt;"Amber"),E1690="BLD-TIMBER",AND(U1690="Building equipment",OR(E1690="BLD-WATER",E1690="BLD-WASTE",E1690="BLD-LAND")),AND(U1690="Building renovation",E1690="BLD-LAND"))),"N/A","Pending"))))))</x:f>
      </x:c>
      <x:c r="Q1690" s="3" t="str">
        <x:f>IF(C1690="","",IF(AND(R1690="Valid",OR(P1690="Pass",P1690="N/A")),"Complete","Unresolved"))</x:f>
      </x:c>
      <x:c r="R1690" s="9" t="str">
        <x:f>IF(C1690="","",IF(OR(COUNTIF($C$9:$C$2008,C1690)&lt;&gt;1,COUNTIFS($D$9:$D$2008,D1690,$E$9:$E$2008,E1690)&lt;&gt;1),"Duplicate test",IF(COUNTIF('Taxonomy'!$C$9:$C$108,D1690)&lt;&gt;1,"Assessment key",IF(OR(COUNTIF('Taxonomy Rules'!$C$42:$C$68,E1690)&lt;&gt;1,F1690&lt;&gt;IFERROR(INDEX('Taxonomy Rules'!$D$42:$D$68,MATCH(E1690,'Taxonomy Rules'!$C$42:$C$68,0)),""),NOT(OR(IFERROR(INDEX('Taxonomy Rules'!$G$42:$G$68,MATCH(E1690,'Taxonomy Rules'!$C$42:$C$68,0)),"")="All supported routes",IFERROR(INDEX('Taxonomy Rules'!$G$42:$G$68,MATCH(E1690,'Taxonomy Rules'!$C$42:$C$68,0)),"")=U1690,AND(IFERROR(INDEX('Taxonomy Rules'!$G$42:$G$68,MATCH(E1690,'Taxonomy Rules'!$C$42:$C$68,0)),"")="Building routes",OR(U1690="Building renovation",U1690="New building",U1690="Building equipment"))))),"Unexpected test","Valid"))))</x:f>
      </x:c>
      <x:c r="S1690" s="9" t="str">
        <x:f>IF(C1690="","",IFERROR(INDEX('Taxonomy Rules'!$E$42:$E$68,MATCH(E1690,'Taxonomy Rules'!$C$42:$C$68,0)),""))</x:f>
      </x:c>
      <x:c r="T1690" s="9" t="str">
        <x:f>IF(C1690="","",IFERROR(INDEX('Taxonomy Rules'!$F$42:$F$68,MATCH(E1690,'Taxonomy Rules'!$C$42:$C$68,0)),""))</x:f>
      </x:c>
      <x:c r="U1690" s="9" t="str">
        <x:f>IF(C1690="","",IFERROR(INDEX('Taxonomy'!$G$9:$G$108,MATCH(D1690,'Taxonomy'!$C$9:$C$108,0)),""))</x:f>
      </x:c>
    </x:row>
    <x:row r="1691" ht="44" customHeight="1">
      <x:c r="A1691" s="1"/>
      <x:c r="B1691" s="1"/>
      <x:c r="C1691" s="8"/>
      <x:c r="D1691" s="8"/>
      <x:c r="E1691" s="8"/>
      <x:c r="F1691" s="8"/>
      <x:c r="G1691" s="8"/>
      <x:c r="H1691" s="8"/>
      <x:c r="I1691" s="8"/>
      <x:c r="J1691" s="8"/>
      <x:c r="K1691" s="8"/>
      <x:c r="L1691" s="8"/>
      <x:c r="M1691" s="10"/>
      <x:c r="N1691" s="10"/>
      <x:c r="O1691" s="8"/>
      <x:c r="P1691" s="9" t="str">
        <x:f>IF(C1691="","",IF(AND(G1691="Applicable",H1691="Fail"),"Fail",IF(R1691&lt;&gt;"Valid","Pending",IF(OR(I1691="",K1691="",L1691="",K1691=L1691,NOT(ISNUMBER(M1691)),NOT(ISNUMBER(N1691)),M1691&gt;Settings!$F$8,N1691&lt;Settings!$F$8,N1691&lt;M1691),"Pending",IF(AND(G1691="Applicable",H1691="Pass"),"Pass",IF(AND(G1691="N/A",H1691="N/A",J1691&lt;&gt;"",OR(E1691="CEM-FUELS",E1691="CEM-CCS",AND(E1691="CEM-PLAN",IFERROR(INDEX('Taxonomy'!$M$9:$M$108,MATCH(D1691,'Taxonomy'!$C$9:$C$108,0)),"")&lt;&gt;"Amber"),E1691="BLD-TIMBER",AND(U1691="Building equipment",OR(E1691="BLD-WATER",E1691="BLD-WASTE",E1691="BLD-LAND")),AND(U1691="Building renovation",E1691="BLD-LAND"))),"N/A","Pending"))))))</x:f>
      </x:c>
      <x:c r="Q1691" s="3" t="str">
        <x:f>IF(C1691="","",IF(AND(R1691="Valid",OR(P1691="Pass",P1691="N/A")),"Complete","Unresolved"))</x:f>
      </x:c>
      <x:c r="R1691" s="9" t="str">
        <x:f>IF(C1691="","",IF(OR(COUNTIF($C$9:$C$2008,C1691)&lt;&gt;1,COUNTIFS($D$9:$D$2008,D1691,$E$9:$E$2008,E1691)&lt;&gt;1),"Duplicate test",IF(COUNTIF('Taxonomy'!$C$9:$C$108,D1691)&lt;&gt;1,"Assessment key",IF(OR(COUNTIF('Taxonomy Rules'!$C$42:$C$68,E1691)&lt;&gt;1,F1691&lt;&gt;IFERROR(INDEX('Taxonomy Rules'!$D$42:$D$68,MATCH(E1691,'Taxonomy Rules'!$C$42:$C$68,0)),""),NOT(OR(IFERROR(INDEX('Taxonomy Rules'!$G$42:$G$68,MATCH(E1691,'Taxonomy Rules'!$C$42:$C$68,0)),"")="All supported routes",IFERROR(INDEX('Taxonomy Rules'!$G$42:$G$68,MATCH(E1691,'Taxonomy Rules'!$C$42:$C$68,0)),"")=U1691,AND(IFERROR(INDEX('Taxonomy Rules'!$G$42:$G$68,MATCH(E1691,'Taxonomy Rules'!$C$42:$C$68,0)),"")="Building routes",OR(U1691="Building renovation",U1691="New building",U1691="Building equipment"))))),"Unexpected test","Valid"))))</x:f>
      </x:c>
      <x:c r="S1691" s="9" t="str">
        <x:f>IF(C1691="","",IFERROR(INDEX('Taxonomy Rules'!$E$42:$E$68,MATCH(E1691,'Taxonomy Rules'!$C$42:$C$68,0)),""))</x:f>
      </x:c>
      <x:c r="T1691" s="9" t="str">
        <x:f>IF(C1691="","",IFERROR(INDEX('Taxonomy Rules'!$F$42:$F$68,MATCH(E1691,'Taxonomy Rules'!$C$42:$C$68,0)),""))</x:f>
      </x:c>
      <x:c r="U1691" s="9" t="str">
        <x:f>IF(C1691="","",IFERROR(INDEX('Taxonomy'!$G$9:$G$108,MATCH(D1691,'Taxonomy'!$C$9:$C$108,0)),""))</x:f>
      </x:c>
    </x:row>
    <x:row r="1692" ht="44" customHeight="1">
      <x:c r="A1692" s="1"/>
      <x:c r="B1692" s="1"/>
      <x:c r="C1692" s="8"/>
      <x:c r="D1692" s="8"/>
      <x:c r="E1692" s="8"/>
      <x:c r="F1692" s="8"/>
      <x:c r="G1692" s="8"/>
      <x:c r="H1692" s="8"/>
      <x:c r="I1692" s="8"/>
      <x:c r="J1692" s="8"/>
      <x:c r="K1692" s="8"/>
      <x:c r="L1692" s="8"/>
      <x:c r="M1692" s="10"/>
      <x:c r="N1692" s="10"/>
      <x:c r="O1692" s="8"/>
      <x:c r="P1692" s="9" t="str">
        <x:f>IF(C1692="","",IF(AND(G1692="Applicable",H1692="Fail"),"Fail",IF(R1692&lt;&gt;"Valid","Pending",IF(OR(I1692="",K1692="",L1692="",K1692=L1692,NOT(ISNUMBER(M1692)),NOT(ISNUMBER(N1692)),M1692&gt;Settings!$F$8,N1692&lt;Settings!$F$8,N1692&lt;M1692),"Pending",IF(AND(G1692="Applicable",H1692="Pass"),"Pass",IF(AND(G1692="N/A",H1692="N/A",J1692&lt;&gt;"",OR(E1692="CEM-FUELS",E1692="CEM-CCS",AND(E1692="CEM-PLAN",IFERROR(INDEX('Taxonomy'!$M$9:$M$108,MATCH(D1692,'Taxonomy'!$C$9:$C$108,0)),"")&lt;&gt;"Amber"),E1692="BLD-TIMBER",AND(U1692="Building equipment",OR(E1692="BLD-WATER",E1692="BLD-WASTE",E1692="BLD-LAND")),AND(U1692="Building renovation",E1692="BLD-LAND"))),"N/A","Pending"))))))</x:f>
      </x:c>
      <x:c r="Q1692" s="3" t="str">
        <x:f>IF(C1692="","",IF(AND(R1692="Valid",OR(P1692="Pass",P1692="N/A")),"Complete","Unresolved"))</x:f>
      </x:c>
      <x:c r="R1692" s="9" t="str">
        <x:f>IF(C1692="","",IF(OR(COUNTIF($C$9:$C$2008,C1692)&lt;&gt;1,COUNTIFS($D$9:$D$2008,D1692,$E$9:$E$2008,E1692)&lt;&gt;1),"Duplicate test",IF(COUNTIF('Taxonomy'!$C$9:$C$108,D1692)&lt;&gt;1,"Assessment key",IF(OR(COUNTIF('Taxonomy Rules'!$C$42:$C$68,E1692)&lt;&gt;1,F1692&lt;&gt;IFERROR(INDEX('Taxonomy Rules'!$D$42:$D$68,MATCH(E1692,'Taxonomy Rules'!$C$42:$C$68,0)),""),NOT(OR(IFERROR(INDEX('Taxonomy Rules'!$G$42:$G$68,MATCH(E1692,'Taxonomy Rules'!$C$42:$C$68,0)),"")="All supported routes",IFERROR(INDEX('Taxonomy Rules'!$G$42:$G$68,MATCH(E1692,'Taxonomy Rules'!$C$42:$C$68,0)),"")=U1692,AND(IFERROR(INDEX('Taxonomy Rules'!$G$42:$G$68,MATCH(E1692,'Taxonomy Rules'!$C$42:$C$68,0)),"")="Building routes",OR(U1692="Building renovation",U1692="New building",U1692="Building equipment"))))),"Unexpected test","Valid"))))</x:f>
      </x:c>
      <x:c r="S1692" s="9" t="str">
        <x:f>IF(C1692="","",IFERROR(INDEX('Taxonomy Rules'!$E$42:$E$68,MATCH(E1692,'Taxonomy Rules'!$C$42:$C$68,0)),""))</x:f>
      </x:c>
      <x:c r="T1692" s="9" t="str">
        <x:f>IF(C1692="","",IFERROR(INDEX('Taxonomy Rules'!$F$42:$F$68,MATCH(E1692,'Taxonomy Rules'!$C$42:$C$68,0)),""))</x:f>
      </x:c>
      <x:c r="U1692" s="9" t="str">
        <x:f>IF(C1692="","",IFERROR(INDEX('Taxonomy'!$G$9:$G$108,MATCH(D1692,'Taxonomy'!$C$9:$C$108,0)),""))</x:f>
      </x:c>
    </x:row>
    <x:row r="1693" ht="44" customHeight="1">
      <x:c r="A1693" s="1"/>
      <x:c r="B1693" s="1"/>
      <x:c r="C1693" s="8"/>
      <x:c r="D1693" s="8"/>
      <x:c r="E1693" s="8"/>
      <x:c r="F1693" s="8"/>
      <x:c r="G1693" s="8"/>
      <x:c r="H1693" s="8"/>
      <x:c r="I1693" s="8"/>
      <x:c r="J1693" s="8"/>
      <x:c r="K1693" s="8"/>
      <x:c r="L1693" s="8"/>
      <x:c r="M1693" s="10"/>
      <x:c r="N1693" s="10"/>
      <x:c r="O1693" s="8"/>
      <x:c r="P1693" s="9" t="str">
        <x:f>IF(C1693="","",IF(AND(G1693="Applicable",H1693="Fail"),"Fail",IF(R1693&lt;&gt;"Valid","Pending",IF(OR(I1693="",K1693="",L1693="",K1693=L1693,NOT(ISNUMBER(M1693)),NOT(ISNUMBER(N1693)),M1693&gt;Settings!$F$8,N1693&lt;Settings!$F$8,N1693&lt;M1693),"Pending",IF(AND(G1693="Applicable",H1693="Pass"),"Pass",IF(AND(G1693="N/A",H1693="N/A",J1693&lt;&gt;"",OR(E1693="CEM-FUELS",E1693="CEM-CCS",AND(E1693="CEM-PLAN",IFERROR(INDEX('Taxonomy'!$M$9:$M$108,MATCH(D1693,'Taxonomy'!$C$9:$C$108,0)),"")&lt;&gt;"Amber"),E1693="BLD-TIMBER",AND(U1693="Building equipment",OR(E1693="BLD-WATER",E1693="BLD-WASTE",E1693="BLD-LAND")),AND(U1693="Building renovation",E1693="BLD-LAND"))),"N/A","Pending"))))))</x:f>
      </x:c>
      <x:c r="Q1693" s="3" t="str">
        <x:f>IF(C1693="","",IF(AND(R1693="Valid",OR(P1693="Pass",P1693="N/A")),"Complete","Unresolved"))</x:f>
      </x:c>
      <x:c r="R1693" s="9" t="str">
        <x:f>IF(C1693="","",IF(OR(COUNTIF($C$9:$C$2008,C1693)&lt;&gt;1,COUNTIFS($D$9:$D$2008,D1693,$E$9:$E$2008,E1693)&lt;&gt;1),"Duplicate test",IF(COUNTIF('Taxonomy'!$C$9:$C$108,D1693)&lt;&gt;1,"Assessment key",IF(OR(COUNTIF('Taxonomy Rules'!$C$42:$C$68,E1693)&lt;&gt;1,F1693&lt;&gt;IFERROR(INDEX('Taxonomy Rules'!$D$42:$D$68,MATCH(E1693,'Taxonomy Rules'!$C$42:$C$68,0)),""),NOT(OR(IFERROR(INDEX('Taxonomy Rules'!$G$42:$G$68,MATCH(E1693,'Taxonomy Rules'!$C$42:$C$68,0)),"")="All supported routes",IFERROR(INDEX('Taxonomy Rules'!$G$42:$G$68,MATCH(E1693,'Taxonomy Rules'!$C$42:$C$68,0)),"")=U1693,AND(IFERROR(INDEX('Taxonomy Rules'!$G$42:$G$68,MATCH(E1693,'Taxonomy Rules'!$C$42:$C$68,0)),"")="Building routes",OR(U1693="Building renovation",U1693="New building",U1693="Building equipment"))))),"Unexpected test","Valid"))))</x:f>
      </x:c>
      <x:c r="S1693" s="9" t="str">
        <x:f>IF(C1693="","",IFERROR(INDEX('Taxonomy Rules'!$E$42:$E$68,MATCH(E1693,'Taxonomy Rules'!$C$42:$C$68,0)),""))</x:f>
      </x:c>
      <x:c r="T1693" s="9" t="str">
        <x:f>IF(C1693="","",IFERROR(INDEX('Taxonomy Rules'!$F$42:$F$68,MATCH(E1693,'Taxonomy Rules'!$C$42:$C$68,0)),""))</x:f>
      </x:c>
      <x:c r="U1693" s="9" t="str">
        <x:f>IF(C1693="","",IFERROR(INDEX('Taxonomy'!$G$9:$G$108,MATCH(D1693,'Taxonomy'!$C$9:$C$108,0)),""))</x:f>
      </x:c>
    </x:row>
    <x:row r="1694" ht="44" customHeight="1">
      <x:c r="A1694" s="1"/>
      <x:c r="B1694" s="1"/>
      <x:c r="C1694" s="8"/>
      <x:c r="D1694" s="8"/>
      <x:c r="E1694" s="8"/>
      <x:c r="F1694" s="8"/>
      <x:c r="G1694" s="8"/>
      <x:c r="H1694" s="8"/>
      <x:c r="I1694" s="8"/>
      <x:c r="J1694" s="8"/>
      <x:c r="K1694" s="8"/>
      <x:c r="L1694" s="8"/>
      <x:c r="M1694" s="10"/>
      <x:c r="N1694" s="10"/>
      <x:c r="O1694" s="8"/>
      <x:c r="P1694" s="9" t="str">
        <x:f>IF(C1694="","",IF(AND(G1694="Applicable",H1694="Fail"),"Fail",IF(R1694&lt;&gt;"Valid","Pending",IF(OR(I1694="",K1694="",L1694="",K1694=L1694,NOT(ISNUMBER(M1694)),NOT(ISNUMBER(N1694)),M1694&gt;Settings!$F$8,N1694&lt;Settings!$F$8,N1694&lt;M1694),"Pending",IF(AND(G1694="Applicable",H1694="Pass"),"Pass",IF(AND(G1694="N/A",H1694="N/A",J1694&lt;&gt;"",OR(E1694="CEM-FUELS",E1694="CEM-CCS",AND(E1694="CEM-PLAN",IFERROR(INDEX('Taxonomy'!$M$9:$M$108,MATCH(D1694,'Taxonomy'!$C$9:$C$108,0)),"")&lt;&gt;"Amber"),E1694="BLD-TIMBER",AND(U1694="Building equipment",OR(E1694="BLD-WATER",E1694="BLD-WASTE",E1694="BLD-LAND")),AND(U1694="Building renovation",E1694="BLD-LAND"))),"N/A","Pending"))))))</x:f>
      </x:c>
      <x:c r="Q1694" s="3" t="str">
        <x:f>IF(C1694="","",IF(AND(R1694="Valid",OR(P1694="Pass",P1694="N/A")),"Complete","Unresolved"))</x:f>
      </x:c>
      <x:c r="R1694" s="9" t="str">
        <x:f>IF(C1694="","",IF(OR(COUNTIF($C$9:$C$2008,C1694)&lt;&gt;1,COUNTIFS($D$9:$D$2008,D1694,$E$9:$E$2008,E1694)&lt;&gt;1),"Duplicate test",IF(COUNTIF('Taxonomy'!$C$9:$C$108,D1694)&lt;&gt;1,"Assessment key",IF(OR(COUNTIF('Taxonomy Rules'!$C$42:$C$68,E1694)&lt;&gt;1,F1694&lt;&gt;IFERROR(INDEX('Taxonomy Rules'!$D$42:$D$68,MATCH(E1694,'Taxonomy Rules'!$C$42:$C$68,0)),""),NOT(OR(IFERROR(INDEX('Taxonomy Rules'!$G$42:$G$68,MATCH(E1694,'Taxonomy Rules'!$C$42:$C$68,0)),"")="All supported routes",IFERROR(INDEX('Taxonomy Rules'!$G$42:$G$68,MATCH(E1694,'Taxonomy Rules'!$C$42:$C$68,0)),"")=U1694,AND(IFERROR(INDEX('Taxonomy Rules'!$G$42:$G$68,MATCH(E1694,'Taxonomy Rules'!$C$42:$C$68,0)),"")="Building routes",OR(U1694="Building renovation",U1694="New building",U1694="Building equipment"))))),"Unexpected test","Valid"))))</x:f>
      </x:c>
      <x:c r="S1694" s="9" t="str">
        <x:f>IF(C1694="","",IFERROR(INDEX('Taxonomy Rules'!$E$42:$E$68,MATCH(E1694,'Taxonomy Rules'!$C$42:$C$68,0)),""))</x:f>
      </x:c>
      <x:c r="T1694" s="9" t="str">
        <x:f>IF(C1694="","",IFERROR(INDEX('Taxonomy Rules'!$F$42:$F$68,MATCH(E1694,'Taxonomy Rules'!$C$42:$C$68,0)),""))</x:f>
      </x:c>
      <x:c r="U1694" s="9" t="str">
        <x:f>IF(C1694="","",IFERROR(INDEX('Taxonomy'!$G$9:$G$108,MATCH(D1694,'Taxonomy'!$C$9:$C$108,0)),""))</x:f>
      </x:c>
    </x:row>
    <x:row r="1695" ht="44" customHeight="1">
      <x:c r="A1695" s="1"/>
      <x:c r="B1695" s="1"/>
      <x:c r="C1695" s="8"/>
      <x:c r="D1695" s="8"/>
      <x:c r="E1695" s="8"/>
      <x:c r="F1695" s="8"/>
      <x:c r="G1695" s="8"/>
      <x:c r="H1695" s="8"/>
      <x:c r="I1695" s="8"/>
      <x:c r="J1695" s="8"/>
      <x:c r="K1695" s="8"/>
      <x:c r="L1695" s="8"/>
      <x:c r="M1695" s="10"/>
      <x:c r="N1695" s="10"/>
      <x:c r="O1695" s="8"/>
      <x:c r="P1695" s="9" t="str">
        <x:f>IF(C1695="","",IF(AND(G1695="Applicable",H1695="Fail"),"Fail",IF(R1695&lt;&gt;"Valid","Pending",IF(OR(I1695="",K1695="",L1695="",K1695=L1695,NOT(ISNUMBER(M1695)),NOT(ISNUMBER(N1695)),M1695&gt;Settings!$F$8,N1695&lt;Settings!$F$8,N1695&lt;M1695),"Pending",IF(AND(G1695="Applicable",H1695="Pass"),"Pass",IF(AND(G1695="N/A",H1695="N/A",J1695&lt;&gt;"",OR(E1695="CEM-FUELS",E1695="CEM-CCS",AND(E1695="CEM-PLAN",IFERROR(INDEX('Taxonomy'!$M$9:$M$108,MATCH(D1695,'Taxonomy'!$C$9:$C$108,0)),"")&lt;&gt;"Amber"),E1695="BLD-TIMBER",AND(U1695="Building equipment",OR(E1695="BLD-WATER",E1695="BLD-WASTE",E1695="BLD-LAND")),AND(U1695="Building renovation",E1695="BLD-LAND"))),"N/A","Pending"))))))</x:f>
      </x:c>
      <x:c r="Q1695" s="3" t="str">
        <x:f>IF(C1695="","",IF(AND(R1695="Valid",OR(P1695="Pass",P1695="N/A")),"Complete","Unresolved"))</x:f>
      </x:c>
      <x:c r="R1695" s="9" t="str">
        <x:f>IF(C1695="","",IF(OR(COUNTIF($C$9:$C$2008,C1695)&lt;&gt;1,COUNTIFS($D$9:$D$2008,D1695,$E$9:$E$2008,E1695)&lt;&gt;1),"Duplicate test",IF(COUNTIF('Taxonomy'!$C$9:$C$108,D1695)&lt;&gt;1,"Assessment key",IF(OR(COUNTIF('Taxonomy Rules'!$C$42:$C$68,E1695)&lt;&gt;1,F1695&lt;&gt;IFERROR(INDEX('Taxonomy Rules'!$D$42:$D$68,MATCH(E1695,'Taxonomy Rules'!$C$42:$C$68,0)),""),NOT(OR(IFERROR(INDEX('Taxonomy Rules'!$G$42:$G$68,MATCH(E1695,'Taxonomy Rules'!$C$42:$C$68,0)),"")="All supported routes",IFERROR(INDEX('Taxonomy Rules'!$G$42:$G$68,MATCH(E1695,'Taxonomy Rules'!$C$42:$C$68,0)),"")=U1695,AND(IFERROR(INDEX('Taxonomy Rules'!$G$42:$G$68,MATCH(E1695,'Taxonomy Rules'!$C$42:$C$68,0)),"")="Building routes",OR(U1695="Building renovation",U1695="New building",U1695="Building equipment"))))),"Unexpected test","Valid"))))</x:f>
      </x:c>
      <x:c r="S1695" s="9" t="str">
        <x:f>IF(C1695="","",IFERROR(INDEX('Taxonomy Rules'!$E$42:$E$68,MATCH(E1695,'Taxonomy Rules'!$C$42:$C$68,0)),""))</x:f>
      </x:c>
      <x:c r="T1695" s="9" t="str">
        <x:f>IF(C1695="","",IFERROR(INDEX('Taxonomy Rules'!$F$42:$F$68,MATCH(E1695,'Taxonomy Rules'!$C$42:$C$68,0)),""))</x:f>
      </x:c>
      <x:c r="U1695" s="9" t="str">
        <x:f>IF(C1695="","",IFERROR(INDEX('Taxonomy'!$G$9:$G$108,MATCH(D1695,'Taxonomy'!$C$9:$C$108,0)),""))</x:f>
      </x:c>
    </x:row>
    <x:row r="1696" ht="44" customHeight="1">
      <x:c r="A1696" s="1"/>
      <x:c r="B1696" s="1"/>
      <x:c r="C1696" s="8"/>
      <x:c r="D1696" s="8"/>
      <x:c r="E1696" s="8"/>
      <x:c r="F1696" s="8"/>
      <x:c r="G1696" s="8"/>
      <x:c r="H1696" s="8"/>
      <x:c r="I1696" s="8"/>
      <x:c r="J1696" s="8"/>
      <x:c r="K1696" s="8"/>
      <x:c r="L1696" s="8"/>
      <x:c r="M1696" s="10"/>
      <x:c r="N1696" s="10"/>
      <x:c r="O1696" s="8"/>
      <x:c r="P1696" s="9" t="str">
        <x:f>IF(C1696="","",IF(AND(G1696="Applicable",H1696="Fail"),"Fail",IF(R1696&lt;&gt;"Valid","Pending",IF(OR(I1696="",K1696="",L1696="",K1696=L1696,NOT(ISNUMBER(M1696)),NOT(ISNUMBER(N1696)),M1696&gt;Settings!$F$8,N1696&lt;Settings!$F$8,N1696&lt;M1696),"Pending",IF(AND(G1696="Applicable",H1696="Pass"),"Pass",IF(AND(G1696="N/A",H1696="N/A",J1696&lt;&gt;"",OR(E1696="CEM-FUELS",E1696="CEM-CCS",AND(E1696="CEM-PLAN",IFERROR(INDEX('Taxonomy'!$M$9:$M$108,MATCH(D1696,'Taxonomy'!$C$9:$C$108,0)),"")&lt;&gt;"Amber"),E1696="BLD-TIMBER",AND(U1696="Building equipment",OR(E1696="BLD-WATER",E1696="BLD-WASTE",E1696="BLD-LAND")),AND(U1696="Building renovation",E1696="BLD-LAND"))),"N/A","Pending"))))))</x:f>
      </x:c>
      <x:c r="Q1696" s="3" t="str">
        <x:f>IF(C1696="","",IF(AND(R1696="Valid",OR(P1696="Pass",P1696="N/A")),"Complete","Unresolved"))</x:f>
      </x:c>
      <x:c r="R1696" s="9" t="str">
        <x:f>IF(C1696="","",IF(OR(COUNTIF($C$9:$C$2008,C1696)&lt;&gt;1,COUNTIFS($D$9:$D$2008,D1696,$E$9:$E$2008,E1696)&lt;&gt;1),"Duplicate test",IF(COUNTIF('Taxonomy'!$C$9:$C$108,D1696)&lt;&gt;1,"Assessment key",IF(OR(COUNTIF('Taxonomy Rules'!$C$42:$C$68,E1696)&lt;&gt;1,F1696&lt;&gt;IFERROR(INDEX('Taxonomy Rules'!$D$42:$D$68,MATCH(E1696,'Taxonomy Rules'!$C$42:$C$68,0)),""),NOT(OR(IFERROR(INDEX('Taxonomy Rules'!$G$42:$G$68,MATCH(E1696,'Taxonomy Rules'!$C$42:$C$68,0)),"")="All supported routes",IFERROR(INDEX('Taxonomy Rules'!$G$42:$G$68,MATCH(E1696,'Taxonomy Rules'!$C$42:$C$68,0)),"")=U1696,AND(IFERROR(INDEX('Taxonomy Rules'!$G$42:$G$68,MATCH(E1696,'Taxonomy Rules'!$C$42:$C$68,0)),"")="Building routes",OR(U1696="Building renovation",U1696="New building",U1696="Building equipment"))))),"Unexpected test","Valid"))))</x:f>
      </x:c>
      <x:c r="S1696" s="9" t="str">
        <x:f>IF(C1696="","",IFERROR(INDEX('Taxonomy Rules'!$E$42:$E$68,MATCH(E1696,'Taxonomy Rules'!$C$42:$C$68,0)),""))</x:f>
      </x:c>
      <x:c r="T1696" s="9" t="str">
        <x:f>IF(C1696="","",IFERROR(INDEX('Taxonomy Rules'!$F$42:$F$68,MATCH(E1696,'Taxonomy Rules'!$C$42:$C$68,0)),""))</x:f>
      </x:c>
      <x:c r="U1696" s="9" t="str">
        <x:f>IF(C1696="","",IFERROR(INDEX('Taxonomy'!$G$9:$G$108,MATCH(D1696,'Taxonomy'!$C$9:$C$108,0)),""))</x:f>
      </x:c>
    </x:row>
    <x:row r="1697" ht="44" customHeight="1">
      <x:c r="A1697" s="1"/>
      <x:c r="B1697" s="1"/>
      <x:c r="C1697" s="8"/>
      <x:c r="D1697" s="8"/>
      <x:c r="E1697" s="8"/>
      <x:c r="F1697" s="8"/>
      <x:c r="G1697" s="8"/>
      <x:c r="H1697" s="8"/>
      <x:c r="I1697" s="8"/>
      <x:c r="J1697" s="8"/>
      <x:c r="K1697" s="8"/>
      <x:c r="L1697" s="8"/>
      <x:c r="M1697" s="10"/>
      <x:c r="N1697" s="10"/>
      <x:c r="O1697" s="8"/>
      <x:c r="P1697" s="9" t="str">
        <x:f>IF(C1697="","",IF(AND(G1697="Applicable",H1697="Fail"),"Fail",IF(R1697&lt;&gt;"Valid","Pending",IF(OR(I1697="",K1697="",L1697="",K1697=L1697,NOT(ISNUMBER(M1697)),NOT(ISNUMBER(N1697)),M1697&gt;Settings!$F$8,N1697&lt;Settings!$F$8,N1697&lt;M1697),"Pending",IF(AND(G1697="Applicable",H1697="Pass"),"Pass",IF(AND(G1697="N/A",H1697="N/A",J1697&lt;&gt;"",OR(E1697="CEM-FUELS",E1697="CEM-CCS",AND(E1697="CEM-PLAN",IFERROR(INDEX('Taxonomy'!$M$9:$M$108,MATCH(D1697,'Taxonomy'!$C$9:$C$108,0)),"")&lt;&gt;"Amber"),E1697="BLD-TIMBER",AND(U1697="Building equipment",OR(E1697="BLD-WATER",E1697="BLD-WASTE",E1697="BLD-LAND")),AND(U1697="Building renovation",E1697="BLD-LAND"))),"N/A","Pending"))))))</x:f>
      </x:c>
      <x:c r="Q1697" s="3" t="str">
        <x:f>IF(C1697="","",IF(AND(R1697="Valid",OR(P1697="Pass",P1697="N/A")),"Complete","Unresolved"))</x:f>
      </x:c>
      <x:c r="R1697" s="9" t="str">
        <x:f>IF(C1697="","",IF(OR(COUNTIF($C$9:$C$2008,C1697)&lt;&gt;1,COUNTIFS($D$9:$D$2008,D1697,$E$9:$E$2008,E1697)&lt;&gt;1),"Duplicate test",IF(COUNTIF('Taxonomy'!$C$9:$C$108,D1697)&lt;&gt;1,"Assessment key",IF(OR(COUNTIF('Taxonomy Rules'!$C$42:$C$68,E1697)&lt;&gt;1,F1697&lt;&gt;IFERROR(INDEX('Taxonomy Rules'!$D$42:$D$68,MATCH(E1697,'Taxonomy Rules'!$C$42:$C$68,0)),""),NOT(OR(IFERROR(INDEX('Taxonomy Rules'!$G$42:$G$68,MATCH(E1697,'Taxonomy Rules'!$C$42:$C$68,0)),"")="All supported routes",IFERROR(INDEX('Taxonomy Rules'!$G$42:$G$68,MATCH(E1697,'Taxonomy Rules'!$C$42:$C$68,0)),"")=U1697,AND(IFERROR(INDEX('Taxonomy Rules'!$G$42:$G$68,MATCH(E1697,'Taxonomy Rules'!$C$42:$C$68,0)),"")="Building routes",OR(U1697="Building renovation",U1697="New building",U1697="Building equipment"))))),"Unexpected test","Valid"))))</x:f>
      </x:c>
      <x:c r="S1697" s="9" t="str">
        <x:f>IF(C1697="","",IFERROR(INDEX('Taxonomy Rules'!$E$42:$E$68,MATCH(E1697,'Taxonomy Rules'!$C$42:$C$68,0)),""))</x:f>
      </x:c>
      <x:c r="T1697" s="9" t="str">
        <x:f>IF(C1697="","",IFERROR(INDEX('Taxonomy Rules'!$F$42:$F$68,MATCH(E1697,'Taxonomy Rules'!$C$42:$C$68,0)),""))</x:f>
      </x:c>
      <x:c r="U1697" s="9" t="str">
        <x:f>IF(C1697="","",IFERROR(INDEX('Taxonomy'!$G$9:$G$108,MATCH(D1697,'Taxonomy'!$C$9:$C$108,0)),""))</x:f>
      </x:c>
    </x:row>
    <x:row r="1698" ht="44" customHeight="1">
      <x:c r="A1698" s="1"/>
      <x:c r="B1698" s="1"/>
      <x:c r="C1698" s="8"/>
      <x:c r="D1698" s="8"/>
      <x:c r="E1698" s="8"/>
      <x:c r="F1698" s="8"/>
      <x:c r="G1698" s="8"/>
      <x:c r="H1698" s="8"/>
      <x:c r="I1698" s="8"/>
      <x:c r="J1698" s="8"/>
      <x:c r="K1698" s="8"/>
      <x:c r="L1698" s="8"/>
      <x:c r="M1698" s="10"/>
      <x:c r="N1698" s="10"/>
      <x:c r="O1698" s="8"/>
      <x:c r="P1698" s="9" t="str">
        <x:f>IF(C1698="","",IF(AND(G1698="Applicable",H1698="Fail"),"Fail",IF(R1698&lt;&gt;"Valid","Pending",IF(OR(I1698="",K1698="",L1698="",K1698=L1698,NOT(ISNUMBER(M1698)),NOT(ISNUMBER(N1698)),M1698&gt;Settings!$F$8,N1698&lt;Settings!$F$8,N1698&lt;M1698),"Pending",IF(AND(G1698="Applicable",H1698="Pass"),"Pass",IF(AND(G1698="N/A",H1698="N/A",J1698&lt;&gt;"",OR(E1698="CEM-FUELS",E1698="CEM-CCS",AND(E1698="CEM-PLAN",IFERROR(INDEX('Taxonomy'!$M$9:$M$108,MATCH(D1698,'Taxonomy'!$C$9:$C$108,0)),"")&lt;&gt;"Amber"),E1698="BLD-TIMBER",AND(U1698="Building equipment",OR(E1698="BLD-WATER",E1698="BLD-WASTE",E1698="BLD-LAND")),AND(U1698="Building renovation",E1698="BLD-LAND"))),"N/A","Pending"))))))</x:f>
      </x:c>
      <x:c r="Q1698" s="3" t="str">
        <x:f>IF(C1698="","",IF(AND(R1698="Valid",OR(P1698="Pass",P1698="N/A")),"Complete","Unresolved"))</x:f>
      </x:c>
      <x:c r="R1698" s="9" t="str">
        <x:f>IF(C1698="","",IF(OR(COUNTIF($C$9:$C$2008,C1698)&lt;&gt;1,COUNTIFS($D$9:$D$2008,D1698,$E$9:$E$2008,E1698)&lt;&gt;1),"Duplicate test",IF(COUNTIF('Taxonomy'!$C$9:$C$108,D1698)&lt;&gt;1,"Assessment key",IF(OR(COUNTIF('Taxonomy Rules'!$C$42:$C$68,E1698)&lt;&gt;1,F1698&lt;&gt;IFERROR(INDEX('Taxonomy Rules'!$D$42:$D$68,MATCH(E1698,'Taxonomy Rules'!$C$42:$C$68,0)),""),NOT(OR(IFERROR(INDEX('Taxonomy Rules'!$G$42:$G$68,MATCH(E1698,'Taxonomy Rules'!$C$42:$C$68,0)),"")="All supported routes",IFERROR(INDEX('Taxonomy Rules'!$G$42:$G$68,MATCH(E1698,'Taxonomy Rules'!$C$42:$C$68,0)),"")=U1698,AND(IFERROR(INDEX('Taxonomy Rules'!$G$42:$G$68,MATCH(E1698,'Taxonomy Rules'!$C$42:$C$68,0)),"")="Building routes",OR(U1698="Building renovation",U1698="New building",U1698="Building equipment"))))),"Unexpected test","Valid"))))</x:f>
      </x:c>
      <x:c r="S1698" s="9" t="str">
        <x:f>IF(C1698="","",IFERROR(INDEX('Taxonomy Rules'!$E$42:$E$68,MATCH(E1698,'Taxonomy Rules'!$C$42:$C$68,0)),""))</x:f>
      </x:c>
      <x:c r="T1698" s="9" t="str">
        <x:f>IF(C1698="","",IFERROR(INDEX('Taxonomy Rules'!$F$42:$F$68,MATCH(E1698,'Taxonomy Rules'!$C$42:$C$68,0)),""))</x:f>
      </x:c>
      <x:c r="U1698" s="9" t="str">
        <x:f>IF(C1698="","",IFERROR(INDEX('Taxonomy'!$G$9:$G$108,MATCH(D1698,'Taxonomy'!$C$9:$C$108,0)),""))</x:f>
      </x:c>
    </x:row>
    <x:row r="1699" ht="44" customHeight="1">
      <x:c r="A1699" s="1"/>
      <x:c r="B1699" s="1"/>
      <x:c r="C1699" s="8"/>
      <x:c r="D1699" s="8"/>
      <x:c r="E1699" s="8"/>
      <x:c r="F1699" s="8"/>
      <x:c r="G1699" s="8"/>
      <x:c r="H1699" s="8"/>
      <x:c r="I1699" s="8"/>
      <x:c r="J1699" s="8"/>
      <x:c r="K1699" s="8"/>
      <x:c r="L1699" s="8"/>
      <x:c r="M1699" s="10"/>
      <x:c r="N1699" s="10"/>
      <x:c r="O1699" s="8"/>
      <x:c r="P1699" s="9" t="str">
        <x:f>IF(C1699="","",IF(AND(G1699="Applicable",H1699="Fail"),"Fail",IF(R1699&lt;&gt;"Valid","Pending",IF(OR(I1699="",K1699="",L1699="",K1699=L1699,NOT(ISNUMBER(M1699)),NOT(ISNUMBER(N1699)),M1699&gt;Settings!$F$8,N1699&lt;Settings!$F$8,N1699&lt;M1699),"Pending",IF(AND(G1699="Applicable",H1699="Pass"),"Pass",IF(AND(G1699="N/A",H1699="N/A",J1699&lt;&gt;"",OR(E1699="CEM-FUELS",E1699="CEM-CCS",AND(E1699="CEM-PLAN",IFERROR(INDEX('Taxonomy'!$M$9:$M$108,MATCH(D1699,'Taxonomy'!$C$9:$C$108,0)),"")&lt;&gt;"Amber"),E1699="BLD-TIMBER",AND(U1699="Building equipment",OR(E1699="BLD-WATER",E1699="BLD-WASTE",E1699="BLD-LAND")),AND(U1699="Building renovation",E1699="BLD-LAND"))),"N/A","Pending"))))))</x:f>
      </x:c>
      <x:c r="Q1699" s="3" t="str">
        <x:f>IF(C1699="","",IF(AND(R1699="Valid",OR(P1699="Pass",P1699="N/A")),"Complete","Unresolved"))</x:f>
      </x:c>
      <x:c r="R1699" s="9" t="str">
        <x:f>IF(C1699="","",IF(OR(COUNTIF($C$9:$C$2008,C1699)&lt;&gt;1,COUNTIFS($D$9:$D$2008,D1699,$E$9:$E$2008,E1699)&lt;&gt;1),"Duplicate test",IF(COUNTIF('Taxonomy'!$C$9:$C$108,D1699)&lt;&gt;1,"Assessment key",IF(OR(COUNTIF('Taxonomy Rules'!$C$42:$C$68,E1699)&lt;&gt;1,F1699&lt;&gt;IFERROR(INDEX('Taxonomy Rules'!$D$42:$D$68,MATCH(E1699,'Taxonomy Rules'!$C$42:$C$68,0)),""),NOT(OR(IFERROR(INDEX('Taxonomy Rules'!$G$42:$G$68,MATCH(E1699,'Taxonomy Rules'!$C$42:$C$68,0)),"")="All supported routes",IFERROR(INDEX('Taxonomy Rules'!$G$42:$G$68,MATCH(E1699,'Taxonomy Rules'!$C$42:$C$68,0)),"")=U1699,AND(IFERROR(INDEX('Taxonomy Rules'!$G$42:$G$68,MATCH(E1699,'Taxonomy Rules'!$C$42:$C$68,0)),"")="Building routes",OR(U1699="Building renovation",U1699="New building",U1699="Building equipment"))))),"Unexpected test","Valid"))))</x:f>
      </x:c>
      <x:c r="S1699" s="9" t="str">
        <x:f>IF(C1699="","",IFERROR(INDEX('Taxonomy Rules'!$E$42:$E$68,MATCH(E1699,'Taxonomy Rules'!$C$42:$C$68,0)),""))</x:f>
      </x:c>
      <x:c r="T1699" s="9" t="str">
        <x:f>IF(C1699="","",IFERROR(INDEX('Taxonomy Rules'!$F$42:$F$68,MATCH(E1699,'Taxonomy Rules'!$C$42:$C$68,0)),""))</x:f>
      </x:c>
      <x:c r="U1699" s="9" t="str">
        <x:f>IF(C1699="","",IFERROR(INDEX('Taxonomy'!$G$9:$G$108,MATCH(D1699,'Taxonomy'!$C$9:$C$108,0)),""))</x:f>
      </x:c>
    </x:row>
    <x:row r="1700" ht="44" customHeight="1">
      <x:c r="A1700" s="1"/>
      <x:c r="B1700" s="1"/>
      <x:c r="C1700" s="8"/>
      <x:c r="D1700" s="8"/>
      <x:c r="E1700" s="8"/>
      <x:c r="F1700" s="8"/>
      <x:c r="G1700" s="8"/>
      <x:c r="H1700" s="8"/>
      <x:c r="I1700" s="8"/>
      <x:c r="J1700" s="8"/>
      <x:c r="K1700" s="8"/>
      <x:c r="L1700" s="8"/>
      <x:c r="M1700" s="10"/>
      <x:c r="N1700" s="10"/>
      <x:c r="O1700" s="8"/>
      <x:c r="P1700" s="9" t="str">
        <x:f>IF(C1700="","",IF(AND(G1700="Applicable",H1700="Fail"),"Fail",IF(R1700&lt;&gt;"Valid","Pending",IF(OR(I1700="",K1700="",L1700="",K1700=L1700,NOT(ISNUMBER(M1700)),NOT(ISNUMBER(N1700)),M1700&gt;Settings!$F$8,N1700&lt;Settings!$F$8,N1700&lt;M1700),"Pending",IF(AND(G1700="Applicable",H1700="Pass"),"Pass",IF(AND(G1700="N/A",H1700="N/A",J1700&lt;&gt;"",OR(E1700="CEM-FUELS",E1700="CEM-CCS",AND(E1700="CEM-PLAN",IFERROR(INDEX('Taxonomy'!$M$9:$M$108,MATCH(D1700,'Taxonomy'!$C$9:$C$108,0)),"")&lt;&gt;"Amber"),E1700="BLD-TIMBER",AND(U1700="Building equipment",OR(E1700="BLD-WATER",E1700="BLD-WASTE",E1700="BLD-LAND")),AND(U1700="Building renovation",E1700="BLD-LAND"))),"N/A","Pending"))))))</x:f>
      </x:c>
      <x:c r="Q1700" s="3" t="str">
        <x:f>IF(C1700="","",IF(AND(R1700="Valid",OR(P1700="Pass",P1700="N/A")),"Complete","Unresolved"))</x:f>
      </x:c>
      <x:c r="R1700" s="9" t="str">
        <x:f>IF(C1700="","",IF(OR(COUNTIF($C$9:$C$2008,C1700)&lt;&gt;1,COUNTIFS($D$9:$D$2008,D1700,$E$9:$E$2008,E1700)&lt;&gt;1),"Duplicate test",IF(COUNTIF('Taxonomy'!$C$9:$C$108,D1700)&lt;&gt;1,"Assessment key",IF(OR(COUNTIF('Taxonomy Rules'!$C$42:$C$68,E1700)&lt;&gt;1,F1700&lt;&gt;IFERROR(INDEX('Taxonomy Rules'!$D$42:$D$68,MATCH(E1700,'Taxonomy Rules'!$C$42:$C$68,0)),""),NOT(OR(IFERROR(INDEX('Taxonomy Rules'!$G$42:$G$68,MATCH(E1700,'Taxonomy Rules'!$C$42:$C$68,0)),"")="All supported routes",IFERROR(INDEX('Taxonomy Rules'!$G$42:$G$68,MATCH(E1700,'Taxonomy Rules'!$C$42:$C$68,0)),"")=U1700,AND(IFERROR(INDEX('Taxonomy Rules'!$G$42:$G$68,MATCH(E1700,'Taxonomy Rules'!$C$42:$C$68,0)),"")="Building routes",OR(U1700="Building renovation",U1700="New building",U1700="Building equipment"))))),"Unexpected test","Valid"))))</x:f>
      </x:c>
      <x:c r="S1700" s="9" t="str">
        <x:f>IF(C1700="","",IFERROR(INDEX('Taxonomy Rules'!$E$42:$E$68,MATCH(E1700,'Taxonomy Rules'!$C$42:$C$68,0)),""))</x:f>
      </x:c>
      <x:c r="T1700" s="9" t="str">
        <x:f>IF(C1700="","",IFERROR(INDEX('Taxonomy Rules'!$F$42:$F$68,MATCH(E1700,'Taxonomy Rules'!$C$42:$C$68,0)),""))</x:f>
      </x:c>
      <x:c r="U1700" s="9" t="str">
        <x:f>IF(C1700="","",IFERROR(INDEX('Taxonomy'!$G$9:$G$108,MATCH(D1700,'Taxonomy'!$C$9:$C$108,0)),""))</x:f>
      </x:c>
    </x:row>
    <x:row r="1701" ht="44" customHeight="1">
      <x:c r="A1701" s="1"/>
      <x:c r="B1701" s="1"/>
      <x:c r="C1701" s="8"/>
      <x:c r="D1701" s="8"/>
      <x:c r="E1701" s="8"/>
      <x:c r="F1701" s="8"/>
      <x:c r="G1701" s="8"/>
      <x:c r="H1701" s="8"/>
      <x:c r="I1701" s="8"/>
      <x:c r="J1701" s="8"/>
      <x:c r="K1701" s="8"/>
      <x:c r="L1701" s="8"/>
      <x:c r="M1701" s="10"/>
      <x:c r="N1701" s="10"/>
      <x:c r="O1701" s="8"/>
      <x:c r="P1701" s="9" t="str">
        <x:f>IF(C1701="","",IF(AND(G1701="Applicable",H1701="Fail"),"Fail",IF(R1701&lt;&gt;"Valid","Pending",IF(OR(I1701="",K1701="",L1701="",K1701=L1701,NOT(ISNUMBER(M1701)),NOT(ISNUMBER(N1701)),M1701&gt;Settings!$F$8,N1701&lt;Settings!$F$8,N1701&lt;M1701),"Pending",IF(AND(G1701="Applicable",H1701="Pass"),"Pass",IF(AND(G1701="N/A",H1701="N/A",J1701&lt;&gt;"",OR(E1701="CEM-FUELS",E1701="CEM-CCS",AND(E1701="CEM-PLAN",IFERROR(INDEX('Taxonomy'!$M$9:$M$108,MATCH(D1701,'Taxonomy'!$C$9:$C$108,0)),"")&lt;&gt;"Amber"),E1701="BLD-TIMBER",AND(U1701="Building equipment",OR(E1701="BLD-WATER",E1701="BLD-WASTE",E1701="BLD-LAND")),AND(U1701="Building renovation",E1701="BLD-LAND"))),"N/A","Pending"))))))</x:f>
      </x:c>
      <x:c r="Q1701" s="3" t="str">
        <x:f>IF(C1701="","",IF(AND(R1701="Valid",OR(P1701="Pass",P1701="N/A")),"Complete","Unresolved"))</x:f>
      </x:c>
      <x:c r="R1701" s="9" t="str">
        <x:f>IF(C1701="","",IF(OR(COUNTIF($C$9:$C$2008,C1701)&lt;&gt;1,COUNTIFS($D$9:$D$2008,D1701,$E$9:$E$2008,E1701)&lt;&gt;1),"Duplicate test",IF(COUNTIF('Taxonomy'!$C$9:$C$108,D1701)&lt;&gt;1,"Assessment key",IF(OR(COUNTIF('Taxonomy Rules'!$C$42:$C$68,E1701)&lt;&gt;1,F1701&lt;&gt;IFERROR(INDEX('Taxonomy Rules'!$D$42:$D$68,MATCH(E1701,'Taxonomy Rules'!$C$42:$C$68,0)),""),NOT(OR(IFERROR(INDEX('Taxonomy Rules'!$G$42:$G$68,MATCH(E1701,'Taxonomy Rules'!$C$42:$C$68,0)),"")="All supported routes",IFERROR(INDEX('Taxonomy Rules'!$G$42:$G$68,MATCH(E1701,'Taxonomy Rules'!$C$42:$C$68,0)),"")=U1701,AND(IFERROR(INDEX('Taxonomy Rules'!$G$42:$G$68,MATCH(E1701,'Taxonomy Rules'!$C$42:$C$68,0)),"")="Building routes",OR(U1701="Building renovation",U1701="New building",U1701="Building equipment"))))),"Unexpected test","Valid"))))</x:f>
      </x:c>
      <x:c r="S1701" s="9" t="str">
        <x:f>IF(C1701="","",IFERROR(INDEX('Taxonomy Rules'!$E$42:$E$68,MATCH(E1701,'Taxonomy Rules'!$C$42:$C$68,0)),""))</x:f>
      </x:c>
      <x:c r="T1701" s="9" t="str">
        <x:f>IF(C1701="","",IFERROR(INDEX('Taxonomy Rules'!$F$42:$F$68,MATCH(E1701,'Taxonomy Rules'!$C$42:$C$68,0)),""))</x:f>
      </x:c>
      <x:c r="U1701" s="9" t="str">
        <x:f>IF(C1701="","",IFERROR(INDEX('Taxonomy'!$G$9:$G$108,MATCH(D1701,'Taxonomy'!$C$9:$C$108,0)),""))</x:f>
      </x:c>
    </x:row>
    <x:row r="1702" ht="44" customHeight="1">
      <x:c r="A1702" s="1"/>
      <x:c r="B1702" s="1"/>
      <x:c r="C1702" s="8"/>
      <x:c r="D1702" s="8"/>
      <x:c r="E1702" s="8"/>
      <x:c r="F1702" s="8"/>
      <x:c r="G1702" s="8"/>
      <x:c r="H1702" s="8"/>
      <x:c r="I1702" s="8"/>
      <x:c r="J1702" s="8"/>
      <x:c r="K1702" s="8"/>
      <x:c r="L1702" s="8"/>
      <x:c r="M1702" s="10"/>
      <x:c r="N1702" s="10"/>
      <x:c r="O1702" s="8"/>
      <x:c r="P1702" s="9" t="str">
        <x:f>IF(C1702="","",IF(AND(G1702="Applicable",H1702="Fail"),"Fail",IF(R1702&lt;&gt;"Valid","Pending",IF(OR(I1702="",K1702="",L1702="",K1702=L1702,NOT(ISNUMBER(M1702)),NOT(ISNUMBER(N1702)),M1702&gt;Settings!$F$8,N1702&lt;Settings!$F$8,N1702&lt;M1702),"Pending",IF(AND(G1702="Applicable",H1702="Pass"),"Pass",IF(AND(G1702="N/A",H1702="N/A",J1702&lt;&gt;"",OR(E1702="CEM-FUELS",E1702="CEM-CCS",AND(E1702="CEM-PLAN",IFERROR(INDEX('Taxonomy'!$M$9:$M$108,MATCH(D1702,'Taxonomy'!$C$9:$C$108,0)),"")&lt;&gt;"Amber"),E1702="BLD-TIMBER",AND(U1702="Building equipment",OR(E1702="BLD-WATER",E1702="BLD-WASTE",E1702="BLD-LAND")),AND(U1702="Building renovation",E1702="BLD-LAND"))),"N/A","Pending"))))))</x:f>
      </x:c>
      <x:c r="Q1702" s="3" t="str">
        <x:f>IF(C1702="","",IF(AND(R1702="Valid",OR(P1702="Pass",P1702="N/A")),"Complete","Unresolved"))</x:f>
      </x:c>
      <x:c r="R1702" s="9" t="str">
        <x:f>IF(C1702="","",IF(OR(COUNTIF($C$9:$C$2008,C1702)&lt;&gt;1,COUNTIFS($D$9:$D$2008,D1702,$E$9:$E$2008,E1702)&lt;&gt;1),"Duplicate test",IF(COUNTIF('Taxonomy'!$C$9:$C$108,D1702)&lt;&gt;1,"Assessment key",IF(OR(COUNTIF('Taxonomy Rules'!$C$42:$C$68,E1702)&lt;&gt;1,F1702&lt;&gt;IFERROR(INDEX('Taxonomy Rules'!$D$42:$D$68,MATCH(E1702,'Taxonomy Rules'!$C$42:$C$68,0)),""),NOT(OR(IFERROR(INDEX('Taxonomy Rules'!$G$42:$G$68,MATCH(E1702,'Taxonomy Rules'!$C$42:$C$68,0)),"")="All supported routes",IFERROR(INDEX('Taxonomy Rules'!$G$42:$G$68,MATCH(E1702,'Taxonomy Rules'!$C$42:$C$68,0)),"")=U1702,AND(IFERROR(INDEX('Taxonomy Rules'!$G$42:$G$68,MATCH(E1702,'Taxonomy Rules'!$C$42:$C$68,0)),"")="Building routes",OR(U1702="Building renovation",U1702="New building",U1702="Building equipment"))))),"Unexpected test","Valid"))))</x:f>
      </x:c>
      <x:c r="S1702" s="9" t="str">
        <x:f>IF(C1702="","",IFERROR(INDEX('Taxonomy Rules'!$E$42:$E$68,MATCH(E1702,'Taxonomy Rules'!$C$42:$C$68,0)),""))</x:f>
      </x:c>
      <x:c r="T1702" s="9" t="str">
        <x:f>IF(C1702="","",IFERROR(INDEX('Taxonomy Rules'!$F$42:$F$68,MATCH(E1702,'Taxonomy Rules'!$C$42:$C$68,0)),""))</x:f>
      </x:c>
      <x:c r="U1702" s="9" t="str">
        <x:f>IF(C1702="","",IFERROR(INDEX('Taxonomy'!$G$9:$G$108,MATCH(D1702,'Taxonomy'!$C$9:$C$108,0)),""))</x:f>
      </x:c>
    </x:row>
    <x:row r="1703" ht="44" customHeight="1">
      <x:c r="A1703" s="1"/>
      <x:c r="B1703" s="1"/>
      <x:c r="C1703" s="8"/>
      <x:c r="D1703" s="8"/>
      <x:c r="E1703" s="8"/>
      <x:c r="F1703" s="8"/>
      <x:c r="G1703" s="8"/>
      <x:c r="H1703" s="8"/>
      <x:c r="I1703" s="8"/>
      <x:c r="J1703" s="8"/>
      <x:c r="K1703" s="8"/>
      <x:c r="L1703" s="8"/>
      <x:c r="M1703" s="10"/>
      <x:c r="N1703" s="10"/>
      <x:c r="O1703" s="8"/>
      <x:c r="P1703" s="9" t="str">
        <x:f>IF(C1703="","",IF(AND(G1703="Applicable",H1703="Fail"),"Fail",IF(R1703&lt;&gt;"Valid","Pending",IF(OR(I1703="",K1703="",L1703="",K1703=L1703,NOT(ISNUMBER(M1703)),NOT(ISNUMBER(N1703)),M1703&gt;Settings!$F$8,N1703&lt;Settings!$F$8,N1703&lt;M1703),"Pending",IF(AND(G1703="Applicable",H1703="Pass"),"Pass",IF(AND(G1703="N/A",H1703="N/A",J1703&lt;&gt;"",OR(E1703="CEM-FUELS",E1703="CEM-CCS",AND(E1703="CEM-PLAN",IFERROR(INDEX('Taxonomy'!$M$9:$M$108,MATCH(D1703,'Taxonomy'!$C$9:$C$108,0)),"")&lt;&gt;"Amber"),E1703="BLD-TIMBER",AND(U1703="Building equipment",OR(E1703="BLD-WATER",E1703="BLD-WASTE",E1703="BLD-LAND")),AND(U1703="Building renovation",E1703="BLD-LAND"))),"N/A","Pending"))))))</x:f>
      </x:c>
      <x:c r="Q1703" s="3" t="str">
        <x:f>IF(C1703="","",IF(AND(R1703="Valid",OR(P1703="Pass",P1703="N/A")),"Complete","Unresolved"))</x:f>
      </x:c>
      <x:c r="R1703" s="9" t="str">
        <x:f>IF(C1703="","",IF(OR(COUNTIF($C$9:$C$2008,C1703)&lt;&gt;1,COUNTIFS($D$9:$D$2008,D1703,$E$9:$E$2008,E1703)&lt;&gt;1),"Duplicate test",IF(COUNTIF('Taxonomy'!$C$9:$C$108,D1703)&lt;&gt;1,"Assessment key",IF(OR(COUNTIF('Taxonomy Rules'!$C$42:$C$68,E1703)&lt;&gt;1,F1703&lt;&gt;IFERROR(INDEX('Taxonomy Rules'!$D$42:$D$68,MATCH(E1703,'Taxonomy Rules'!$C$42:$C$68,0)),""),NOT(OR(IFERROR(INDEX('Taxonomy Rules'!$G$42:$G$68,MATCH(E1703,'Taxonomy Rules'!$C$42:$C$68,0)),"")="All supported routes",IFERROR(INDEX('Taxonomy Rules'!$G$42:$G$68,MATCH(E1703,'Taxonomy Rules'!$C$42:$C$68,0)),"")=U1703,AND(IFERROR(INDEX('Taxonomy Rules'!$G$42:$G$68,MATCH(E1703,'Taxonomy Rules'!$C$42:$C$68,0)),"")="Building routes",OR(U1703="Building renovation",U1703="New building",U1703="Building equipment"))))),"Unexpected test","Valid"))))</x:f>
      </x:c>
      <x:c r="S1703" s="9" t="str">
        <x:f>IF(C1703="","",IFERROR(INDEX('Taxonomy Rules'!$E$42:$E$68,MATCH(E1703,'Taxonomy Rules'!$C$42:$C$68,0)),""))</x:f>
      </x:c>
      <x:c r="T1703" s="9" t="str">
        <x:f>IF(C1703="","",IFERROR(INDEX('Taxonomy Rules'!$F$42:$F$68,MATCH(E1703,'Taxonomy Rules'!$C$42:$C$68,0)),""))</x:f>
      </x:c>
      <x:c r="U1703" s="9" t="str">
        <x:f>IF(C1703="","",IFERROR(INDEX('Taxonomy'!$G$9:$G$108,MATCH(D1703,'Taxonomy'!$C$9:$C$108,0)),""))</x:f>
      </x:c>
    </x:row>
    <x:row r="1704" ht="44" customHeight="1">
      <x:c r="A1704" s="1"/>
      <x:c r="B1704" s="1"/>
      <x:c r="C1704" s="8"/>
      <x:c r="D1704" s="8"/>
      <x:c r="E1704" s="8"/>
      <x:c r="F1704" s="8"/>
      <x:c r="G1704" s="8"/>
      <x:c r="H1704" s="8"/>
      <x:c r="I1704" s="8"/>
      <x:c r="J1704" s="8"/>
      <x:c r="K1704" s="8"/>
      <x:c r="L1704" s="8"/>
      <x:c r="M1704" s="10"/>
      <x:c r="N1704" s="10"/>
      <x:c r="O1704" s="8"/>
      <x:c r="P1704" s="9" t="str">
        <x:f>IF(C1704="","",IF(AND(G1704="Applicable",H1704="Fail"),"Fail",IF(R1704&lt;&gt;"Valid","Pending",IF(OR(I1704="",K1704="",L1704="",K1704=L1704,NOT(ISNUMBER(M1704)),NOT(ISNUMBER(N1704)),M1704&gt;Settings!$F$8,N1704&lt;Settings!$F$8,N1704&lt;M1704),"Pending",IF(AND(G1704="Applicable",H1704="Pass"),"Pass",IF(AND(G1704="N/A",H1704="N/A",J1704&lt;&gt;"",OR(E1704="CEM-FUELS",E1704="CEM-CCS",AND(E1704="CEM-PLAN",IFERROR(INDEX('Taxonomy'!$M$9:$M$108,MATCH(D1704,'Taxonomy'!$C$9:$C$108,0)),"")&lt;&gt;"Amber"),E1704="BLD-TIMBER",AND(U1704="Building equipment",OR(E1704="BLD-WATER",E1704="BLD-WASTE",E1704="BLD-LAND")),AND(U1704="Building renovation",E1704="BLD-LAND"))),"N/A","Pending"))))))</x:f>
      </x:c>
      <x:c r="Q1704" s="3" t="str">
        <x:f>IF(C1704="","",IF(AND(R1704="Valid",OR(P1704="Pass",P1704="N/A")),"Complete","Unresolved"))</x:f>
      </x:c>
      <x:c r="R1704" s="9" t="str">
        <x:f>IF(C1704="","",IF(OR(COUNTIF($C$9:$C$2008,C1704)&lt;&gt;1,COUNTIFS($D$9:$D$2008,D1704,$E$9:$E$2008,E1704)&lt;&gt;1),"Duplicate test",IF(COUNTIF('Taxonomy'!$C$9:$C$108,D1704)&lt;&gt;1,"Assessment key",IF(OR(COUNTIF('Taxonomy Rules'!$C$42:$C$68,E1704)&lt;&gt;1,F1704&lt;&gt;IFERROR(INDEX('Taxonomy Rules'!$D$42:$D$68,MATCH(E1704,'Taxonomy Rules'!$C$42:$C$68,0)),""),NOT(OR(IFERROR(INDEX('Taxonomy Rules'!$G$42:$G$68,MATCH(E1704,'Taxonomy Rules'!$C$42:$C$68,0)),"")="All supported routes",IFERROR(INDEX('Taxonomy Rules'!$G$42:$G$68,MATCH(E1704,'Taxonomy Rules'!$C$42:$C$68,0)),"")=U1704,AND(IFERROR(INDEX('Taxonomy Rules'!$G$42:$G$68,MATCH(E1704,'Taxonomy Rules'!$C$42:$C$68,0)),"")="Building routes",OR(U1704="Building renovation",U1704="New building",U1704="Building equipment"))))),"Unexpected test","Valid"))))</x:f>
      </x:c>
      <x:c r="S1704" s="9" t="str">
        <x:f>IF(C1704="","",IFERROR(INDEX('Taxonomy Rules'!$E$42:$E$68,MATCH(E1704,'Taxonomy Rules'!$C$42:$C$68,0)),""))</x:f>
      </x:c>
      <x:c r="T1704" s="9" t="str">
        <x:f>IF(C1704="","",IFERROR(INDEX('Taxonomy Rules'!$F$42:$F$68,MATCH(E1704,'Taxonomy Rules'!$C$42:$C$68,0)),""))</x:f>
      </x:c>
      <x:c r="U1704" s="9" t="str">
        <x:f>IF(C1704="","",IFERROR(INDEX('Taxonomy'!$G$9:$G$108,MATCH(D1704,'Taxonomy'!$C$9:$C$108,0)),""))</x:f>
      </x:c>
    </x:row>
    <x:row r="1705" ht="44" customHeight="1">
      <x:c r="A1705" s="1"/>
      <x:c r="B1705" s="1"/>
      <x:c r="C1705" s="8"/>
      <x:c r="D1705" s="8"/>
      <x:c r="E1705" s="8"/>
      <x:c r="F1705" s="8"/>
      <x:c r="G1705" s="8"/>
      <x:c r="H1705" s="8"/>
      <x:c r="I1705" s="8"/>
      <x:c r="J1705" s="8"/>
      <x:c r="K1705" s="8"/>
      <x:c r="L1705" s="8"/>
      <x:c r="M1705" s="10"/>
      <x:c r="N1705" s="10"/>
      <x:c r="O1705" s="8"/>
      <x:c r="P1705" s="9" t="str">
        <x:f>IF(C1705="","",IF(AND(G1705="Applicable",H1705="Fail"),"Fail",IF(R1705&lt;&gt;"Valid","Pending",IF(OR(I1705="",K1705="",L1705="",K1705=L1705,NOT(ISNUMBER(M1705)),NOT(ISNUMBER(N1705)),M1705&gt;Settings!$F$8,N1705&lt;Settings!$F$8,N1705&lt;M1705),"Pending",IF(AND(G1705="Applicable",H1705="Pass"),"Pass",IF(AND(G1705="N/A",H1705="N/A",J1705&lt;&gt;"",OR(E1705="CEM-FUELS",E1705="CEM-CCS",AND(E1705="CEM-PLAN",IFERROR(INDEX('Taxonomy'!$M$9:$M$108,MATCH(D1705,'Taxonomy'!$C$9:$C$108,0)),"")&lt;&gt;"Amber"),E1705="BLD-TIMBER",AND(U1705="Building equipment",OR(E1705="BLD-WATER",E1705="BLD-WASTE",E1705="BLD-LAND")),AND(U1705="Building renovation",E1705="BLD-LAND"))),"N/A","Pending"))))))</x:f>
      </x:c>
      <x:c r="Q1705" s="3" t="str">
        <x:f>IF(C1705="","",IF(AND(R1705="Valid",OR(P1705="Pass",P1705="N/A")),"Complete","Unresolved"))</x:f>
      </x:c>
      <x:c r="R1705" s="9" t="str">
        <x:f>IF(C1705="","",IF(OR(COUNTIF($C$9:$C$2008,C1705)&lt;&gt;1,COUNTIFS($D$9:$D$2008,D1705,$E$9:$E$2008,E1705)&lt;&gt;1),"Duplicate test",IF(COUNTIF('Taxonomy'!$C$9:$C$108,D1705)&lt;&gt;1,"Assessment key",IF(OR(COUNTIF('Taxonomy Rules'!$C$42:$C$68,E1705)&lt;&gt;1,F1705&lt;&gt;IFERROR(INDEX('Taxonomy Rules'!$D$42:$D$68,MATCH(E1705,'Taxonomy Rules'!$C$42:$C$68,0)),""),NOT(OR(IFERROR(INDEX('Taxonomy Rules'!$G$42:$G$68,MATCH(E1705,'Taxonomy Rules'!$C$42:$C$68,0)),"")="All supported routes",IFERROR(INDEX('Taxonomy Rules'!$G$42:$G$68,MATCH(E1705,'Taxonomy Rules'!$C$42:$C$68,0)),"")=U1705,AND(IFERROR(INDEX('Taxonomy Rules'!$G$42:$G$68,MATCH(E1705,'Taxonomy Rules'!$C$42:$C$68,0)),"")="Building routes",OR(U1705="Building renovation",U1705="New building",U1705="Building equipment"))))),"Unexpected test","Valid"))))</x:f>
      </x:c>
      <x:c r="S1705" s="9" t="str">
        <x:f>IF(C1705="","",IFERROR(INDEX('Taxonomy Rules'!$E$42:$E$68,MATCH(E1705,'Taxonomy Rules'!$C$42:$C$68,0)),""))</x:f>
      </x:c>
      <x:c r="T1705" s="9" t="str">
        <x:f>IF(C1705="","",IFERROR(INDEX('Taxonomy Rules'!$F$42:$F$68,MATCH(E1705,'Taxonomy Rules'!$C$42:$C$68,0)),""))</x:f>
      </x:c>
      <x:c r="U1705" s="9" t="str">
        <x:f>IF(C1705="","",IFERROR(INDEX('Taxonomy'!$G$9:$G$108,MATCH(D1705,'Taxonomy'!$C$9:$C$108,0)),""))</x:f>
      </x:c>
    </x:row>
    <x:row r="1706" ht="44" customHeight="1">
      <x:c r="A1706" s="1"/>
      <x:c r="B1706" s="1"/>
      <x:c r="C1706" s="8"/>
      <x:c r="D1706" s="8"/>
      <x:c r="E1706" s="8"/>
      <x:c r="F1706" s="8"/>
      <x:c r="G1706" s="8"/>
      <x:c r="H1706" s="8"/>
      <x:c r="I1706" s="8"/>
      <x:c r="J1706" s="8"/>
      <x:c r="K1706" s="8"/>
      <x:c r="L1706" s="8"/>
      <x:c r="M1706" s="10"/>
      <x:c r="N1706" s="10"/>
      <x:c r="O1706" s="8"/>
      <x:c r="P1706" s="9" t="str">
        <x:f>IF(C1706="","",IF(AND(G1706="Applicable",H1706="Fail"),"Fail",IF(R1706&lt;&gt;"Valid","Pending",IF(OR(I1706="",K1706="",L1706="",K1706=L1706,NOT(ISNUMBER(M1706)),NOT(ISNUMBER(N1706)),M1706&gt;Settings!$F$8,N1706&lt;Settings!$F$8,N1706&lt;M1706),"Pending",IF(AND(G1706="Applicable",H1706="Pass"),"Pass",IF(AND(G1706="N/A",H1706="N/A",J1706&lt;&gt;"",OR(E1706="CEM-FUELS",E1706="CEM-CCS",AND(E1706="CEM-PLAN",IFERROR(INDEX('Taxonomy'!$M$9:$M$108,MATCH(D1706,'Taxonomy'!$C$9:$C$108,0)),"")&lt;&gt;"Amber"),E1706="BLD-TIMBER",AND(U1706="Building equipment",OR(E1706="BLD-WATER",E1706="BLD-WASTE",E1706="BLD-LAND")),AND(U1706="Building renovation",E1706="BLD-LAND"))),"N/A","Pending"))))))</x:f>
      </x:c>
      <x:c r="Q1706" s="3" t="str">
        <x:f>IF(C1706="","",IF(AND(R1706="Valid",OR(P1706="Pass",P1706="N/A")),"Complete","Unresolved"))</x:f>
      </x:c>
      <x:c r="R1706" s="9" t="str">
        <x:f>IF(C1706="","",IF(OR(COUNTIF($C$9:$C$2008,C1706)&lt;&gt;1,COUNTIFS($D$9:$D$2008,D1706,$E$9:$E$2008,E1706)&lt;&gt;1),"Duplicate test",IF(COUNTIF('Taxonomy'!$C$9:$C$108,D1706)&lt;&gt;1,"Assessment key",IF(OR(COUNTIF('Taxonomy Rules'!$C$42:$C$68,E1706)&lt;&gt;1,F1706&lt;&gt;IFERROR(INDEX('Taxonomy Rules'!$D$42:$D$68,MATCH(E1706,'Taxonomy Rules'!$C$42:$C$68,0)),""),NOT(OR(IFERROR(INDEX('Taxonomy Rules'!$G$42:$G$68,MATCH(E1706,'Taxonomy Rules'!$C$42:$C$68,0)),"")="All supported routes",IFERROR(INDEX('Taxonomy Rules'!$G$42:$G$68,MATCH(E1706,'Taxonomy Rules'!$C$42:$C$68,0)),"")=U1706,AND(IFERROR(INDEX('Taxonomy Rules'!$G$42:$G$68,MATCH(E1706,'Taxonomy Rules'!$C$42:$C$68,0)),"")="Building routes",OR(U1706="Building renovation",U1706="New building",U1706="Building equipment"))))),"Unexpected test","Valid"))))</x:f>
      </x:c>
      <x:c r="S1706" s="9" t="str">
        <x:f>IF(C1706="","",IFERROR(INDEX('Taxonomy Rules'!$E$42:$E$68,MATCH(E1706,'Taxonomy Rules'!$C$42:$C$68,0)),""))</x:f>
      </x:c>
      <x:c r="T1706" s="9" t="str">
        <x:f>IF(C1706="","",IFERROR(INDEX('Taxonomy Rules'!$F$42:$F$68,MATCH(E1706,'Taxonomy Rules'!$C$42:$C$68,0)),""))</x:f>
      </x:c>
      <x:c r="U1706" s="9" t="str">
        <x:f>IF(C1706="","",IFERROR(INDEX('Taxonomy'!$G$9:$G$108,MATCH(D1706,'Taxonomy'!$C$9:$C$108,0)),""))</x:f>
      </x:c>
    </x:row>
    <x:row r="1707" ht="44" customHeight="1">
      <x:c r="A1707" s="1"/>
      <x:c r="B1707" s="1"/>
      <x:c r="C1707" s="8"/>
      <x:c r="D1707" s="8"/>
      <x:c r="E1707" s="8"/>
      <x:c r="F1707" s="8"/>
      <x:c r="G1707" s="8"/>
      <x:c r="H1707" s="8"/>
      <x:c r="I1707" s="8"/>
      <x:c r="J1707" s="8"/>
      <x:c r="K1707" s="8"/>
      <x:c r="L1707" s="8"/>
      <x:c r="M1707" s="10"/>
      <x:c r="N1707" s="10"/>
      <x:c r="O1707" s="8"/>
      <x:c r="P1707" s="9" t="str">
        <x:f>IF(C1707="","",IF(AND(G1707="Applicable",H1707="Fail"),"Fail",IF(R1707&lt;&gt;"Valid","Pending",IF(OR(I1707="",K1707="",L1707="",K1707=L1707,NOT(ISNUMBER(M1707)),NOT(ISNUMBER(N1707)),M1707&gt;Settings!$F$8,N1707&lt;Settings!$F$8,N1707&lt;M1707),"Pending",IF(AND(G1707="Applicable",H1707="Pass"),"Pass",IF(AND(G1707="N/A",H1707="N/A",J1707&lt;&gt;"",OR(E1707="CEM-FUELS",E1707="CEM-CCS",AND(E1707="CEM-PLAN",IFERROR(INDEX('Taxonomy'!$M$9:$M$108,MATCH(D1707,'Taxonomy'!$C$9:$C$108,0)),"")&lt;&gt;"Amber"),E1707="BLD-TIMBER",AND(U1707="Building equipment",OR(E1707="BLD-WATER",E1707="BLD-WASTE",E1707="BLD-LAND")),AND(U1707="Building renovation",E1707="BLD-LAND"))),"N/A","Pending"))))))</x:f>
      </x:c>
      <x:c r="Q1707" s="3" t="str">
        <x:f>IF(C1707="","",IF(AND(R1707="Valid",OR(P1707="Pass",P1707="N/A")),"Complete","Unresolved"))</x:f>
      </x:c>
      <x:c r="R1707" s="9" t="str">
        <x:f>IF(C1707="","",IF(OR(COUNTIF($C$9:$C$2008,C1707)&lt;&gt;1,COUNTIFS($D$9:$D$2008,D1707,$E$9:$E$2008,E1707)&lt;&gt;1),"Duplicate test",IF(COUNTIF('Taxonomy'!$C$9:$C$108,D1707)&lt;&gt;1,"Assessment key",IF(OR(COUNTIF('Taxonomy Rules'!$C$42:$C$68,E1707)&lt;&gt;1,F1707&lt;&gt;IFERROR(INDEX('Taxonomy Rules'!$D$42:$D$68,MATCH(E1707,'Taxonomy Rules'!$C$42:$C$68,0)),""),NOT(OR(IFERROR(INDEX('Taxonomy Rules'!$G$42:$G$68,MATCH(E1707,'Taxonomy Rules'!$C$42:$C$68,0)),"")="All supported routes",IFERROR(INDEX('Taxonomy Rules'!$G$42:$G$68,MATCH(E1707,'Taxonomy Rules'!$C$42:$C$68,0)),"")=U1707,AND(IFERROR(INDEX('Taxonomy Rules'!$G$42:$G$68,MATCH(E1707,'Taxonomy Rules'!$C$42:$C$68,0)),"")="Building routes",OR(U1707="Building renovation",U1707="New building",U1707="Building equipment"))))),"Unexpected test","Valid"))))</x:f>
      </x:c>
      <x:c r="S1707" s="9" t="str">
        <x:f>IF(C1707="","",IFERROR(INDEX('Taxonomy Rules'!$E$42:$E$68,MATCH(E1707,'Taxonomy Rules'!$C$42:$C$68,0)),""))</x:f>
      </x:c>
      <x:c r="T1707" s="9" t="str">
        <x:f>IF(C1707="","",IFERROR(INDEX('Taxonomy Rules'!$F$42:$F$68,MATCH(E1707,'Taxonomy Rules'!$C$42:$C$68,0)),""))</x:f>
      </x:c>
      <x:c r="U1707" s="9" t="str">
        <x:f>IF(C1707="","",IFERROR(INDEX('Taxonomy'!$G$9:$G$108,MATCH(D1707,'Taxonomy'!$C$9:$C$108,0)),""))</x:f>
      </x:c>
    </x:row>
    <x:row r="1708" ht="44" customHeight="1">
      <x:c r="A1708" s="1"/>
      <x:c r="B1708" s="1"/>
      <x:c r="C1708" s="8"/>
      <x:c r="D1708" s="8"/>
      <x:c r="E1708" s="8"/>
      <x:c r="F1708" s="8"/>
      <x:c r="G1708" s="8"/>
      <x:c r="H1708" s="8"/>
      <x:c r="I1708" s="8"/>
      <x:c r="J1708" s="8"/>
      <x:c r="K1708" s="8"/>
      <x:c r="L1708" s="8"/>
      <x:c r="M1708" s="10"/>
      <x:c r="N1708" s="10"/>
      <x:c r="O1708" s="8"/>
      <x:c r="P1708" s="9" t="str">
        <x:f>IF(C1708="","",IF(AND(G1708="Applicable",H1708="Fail"),"Fail",IF(R1708&lt;&gt;"Valid","Pending",IF(OR(I1708="",K1708="",L1708="",K1708=L1708,NOT(ISNUMBER(M1708)),NOT(ISNUMBER(N1708)),M1708&gt;Settings!$F$8,N1708&lt;Settings!$F$8,N1708&lt;M1708),"Pending",IF(AND(G1708="Applicable",H1708="Pass"),"Pass",IF(AND(G1708="N/A",H1708="N/A",J1708&lt;&gt;"",OR(E1708="CEM-FUELS",E1708="CEM-CCS",AND(E1708="CEM-PLAN",IFERROR(INDEX('Taxonomy'!$M$9:$M$108,MATCH(D1708,'Taxonomy'!$C$9:$C$108,0)),"")&lt;&gt;"Amber"),E1708="BLD-TIMBER",AND(U1708="Building equipment",OR(E1708="BLD-WATER",E1708="BLD-WASTE",E1708="BLD-LAND")),AND(U1708="Building renovation",E1708="BLD-LAND"))),"N/A","Pending"))))))</x:f>
      </x:c>
      <x:c r="Q1708" s="3" t="str">
        <x:f>IF(C1708="","",IF(AND(R1708="Valid",OR(P1708="Pass",P1708="N/A")),"Complete","Unresolved"))</x:f>
      </x:c>
      <x:c r="R1708" s="9" t="str">
        <x:f>IF(C1708="","",IF(OR(COUNTIF($C$9:$C$2008,C1708)&lt;&gt;1,COUNTIFS($D$9:$D$2008,D1708,$E$9:$E$2008,E1708)&lt;&gt;1),"Duplicate test",IF(COUNTIF('Taxonomy'!$C$9:$C$108,D1708)&lt;&gt;1,"Assessment key",IF(OR(COUNTIF('Taxonomy Rules'!$C$42:$C$68,E1708)&lt;&gt;1,F1708&lt;&gt;IFERROR(INDEX('Taxonomy Rules'!$D$42:$D$68,MATCH(E1708,'Taxonomy Rules'!$C$42:$C$68,0)),""),NOT(OR(IFERROR(INDEX('Taxonomy Rules'!$G$42:$G$68,MATCH(E1708,'Taxonomy Rules'!$C$42:$C$68,0)),"")="All supported routes",IFERROR(INDEX('Taxonomy Rules'!$G$42:$G$68,MATCH(E1708,'Taxonomy Rules'!$C$42:$C$68,0)),"")=U1708,AND(IFERROR(INDEX('Taxonomy Rules'!$G$42:$G$68,MATCH(E1708,'Taxonomy Rules'!$C$42:$C$68,0)),"")="Building routes",OR(U1708="Building renovation",U1708="New building",U1708="Building equipment"))))),"Unexpected test","Valid"))))</x:f>
      </x:c>
      <x:c r="S1708" s="9" t="str">
        <x:f>IF(C1708="","",IFERROR(INDEX('Taxonomy Rules'!$E$42:$E$68,MATCH(E1708,'Taxonomy Rules'!$C$42:$C$68,0)),""))</x:f>
      </x:c>
      <x:c r="T1708" s="9" t="str">
        <x:f>IF(C1708="","",IFERROR(INDEX('Taxonomy Rules'!$F$42:$F$68,MATCH(E1708,'Taxonomy Rules'!$C$42:$C$68,0)),""))</x:f>
      </x:c>
      <x:c r="U1708" s="9" t="str">
        <x:f>IF(C1708="","",IFERROR(INDEX('Taxonomy'!$G$9:$G$108,MATCH(D1708,'Taxonomy'!$C$9:$C$108,0)),""))</x:f>
      </x:c>
    </x:row>
    <x:row r="1709" ht="44" customHeight="1">
      <x:c r="A1709" s="1"/>
      <x:c r="B1709" s="1"/>
      <x:c r="C1709" s="8"/>
      <x:c r="D1709" s="8"/>
      <x:c r="E1709" s="8"/>
      <x:c r="F1709" s="8"/>
      <x:c r="G1709" s="8"/>
      <x:c r="H1709" s="8"/>
      <x:c r="I1709" s="8"/>
      <x:c r="J1709" s="8"/>
      <x:c r="K1709" s="8"/>
      <x:c r="L1709" s="8"/>
      <x:c r="M1709" s="10"/>
      <x:c r="N1709" s="10"/>
      <x:c r="O1709" s="8"/>
      <x:c r="P1709" s="9" t="str">
        <x:f>IF(C1709="","",IF(AND(G1709="Applicable",H1709="Fail"),"Fail",IF(R1709&lt;&gt;"Valid","Pending",IF(OR(I1709="",K1709="",L1709="",K1709=L1709,NOT(ISNUMBER(M1709)),NOT(ISNUMBER(N1709)),M1709&gt;Settings!$F$8,N1709&lt;Settings!$F$8,N1709&lt;M1709),"Pending",IF(AND(G1709="Applicable",H1709="Pass"),"Pass",IF(AND(G1709="N/A",H1709="N/A",J1709&lt;&gt;"",OR(E1709="CEM-FUELS",E1709="CEM-CCS",AND(E1709="CEM-PLAN",IFERROR(INDEX('Taxonomy'!$M$9:$M$108,MATCH(D1709,'Taxonomy'!$C$9:$C$108,0)),"")&lt;&gt;"Amber"),E1709="BLD-TIMBER",AND(U1709="Building equipment",OR(E1709="BLD-WATER",E1709="BLD-WASTE",E1709="BLD-LAND")),AND(U1709="Building renovation",E1709="BLD-LAND"))),"N/A","Pending"))))))</x:f>
      </x:c>
      <x:c r="Q1709" s="3" t="str">
        <x:f>IF(C1709="","",IF(AND(R1709="Valid",OR(P1709="Pass",P1709="N/A")),"Complete","Unresolved"))</x:f>
      </x:c>
      <x:c r="R1709" s="9" t="str">
        <x:f>IF(C1709="","",IF(OR(COUNTIF($C$9:$C$2008,C1709)&lt;&gt;1,COUNTIFS($D$9:$D$2008,D1709,$E$9:$E$2008,E1709)&lt;&gt;1),"Duplicate test",IF(COUNTIF('Taxonomy'!$C$9:$C$108,D1709)&lt;&gt;1,"Assessment key",IF(OR(COUNTIF('Taxonomy Rules'!$C$42:$C$68,E1709)&lt;&gt;1,F1709&lt;&gt;IFERROR(INDEX('Taxonomy Rules'!$D$42:$D$68,MATCH(E1709,'Taxonomy Rules'!$C$42:$C$68,0)),""),NOT(OR(IFERROR(INDEX('Taxonomy Rules'!$G$42:$G$68,MATCH(E1709,'Taxonomy Rules'!$C$42:$C$68,0)),"")="All supported routes",IFERROR(INDEX('Taxonomy Rules'!$G$42:$G$68,MATCH(E1709,'Taxonomy Rules'!$C$42:$C$68,0)),"")=U1709,AND(IFERROR(INDEX('Taxonomy Rules'!$G$42:$G$68,MATCH(E1709,'Taxonomy Rules'!$C$42:$C$68,0)),"")="Building routes",OR(U1709="Building renovation",U1709="New building",U1709="Building equipment"))))),"Unexpected test","Valid"))))</x:f>
      </x:c>
      <x:c r="S1709" s="9" t="str">
        <x:f>IF(C1709="","",IFERROR(INDEX('Taxonomy Rules'!$E$42:$E$68,MATCH(E1709,'Taxonomy Rules'!$C$42:$C$68,0)),""))</x:f>
      </x:c>
      <x:c r="T1709" s="9" t="str">
        <x:f>IF(C1709="","",IFERROR(INDEX('Taxonomy Rules'!$F$42:$F$68,MATCH(E1709,'Taxonomy Rules'!$C$42:$C$68,0)),""))</x:f>
      </x:c>
      <x:c r="U1709" s="9" t="str">
        <x:f>IF(C1709="","",IFERROR(INDEX('Taxonomy'!$G$9:$G$108,MATCH(D1709,'Taxonomy'!$C$9:$C$108,0)),""))</x:f>
      </x:c>
    </x:row>
    <x:row r="1710" ht="44" customHeight="1">
      <x:c r="A1710" s="1"/>
      <x:c r="B1710" s="1"/>
      <x:c r="C1710" s="8"/>
      <x:c r="D1710" s="8"/>
      <x:c r="E1710" s="8"/>
      <x:c r="F1710" s="8"/>
      <x:c r="G1710" s="8"/>
      <x:c r="H1710" s="8"/>
      <x:c r="I1710" s="8"/>
      <x:c r="J1710" s="8"/>
      <x:c r="K1710" s="8"/>
      <x:c r="L1710" s="8"/>
      <x:c r="M1710" s="10"/>
      <x:c r="N1710" s="10"/>
      <x:c r="O1710" s="8"/>
      <x:c r="P1710" s="9" t="str">
        <x:f>IF(C1710="","",IF(AND(G1710="Applicable",H1710="Fail"),"Fail",IF(R1710&lt;&gt;"Valid","Pending",IF(OR(I1710="",K1710="",L1710="",K1710=L1710,NOT(ISNUMBER(M1710)),NOT(ISNUMBER(N1710)),M1710&gt;Settings!$F$8,N1710&lt;Settings!$F$8,N1710&lt;M1710),"Pending",IF(AND(G1710="Applicable",H1710="Pass"),"Pass",IF(AND(G1710="N/A",H1710="N/A",J1710&lt;&gt;"",OR(E1710="CEM-FUELS",E1710="CEM-CCS",AND(E1710="CEM-PLAN",IFERROR(INDEX('Taxonomy'!$M$9:$M$108,MATCH(D1710,'Taxonomy'!$C$9:$C$108,0)),"")&lt;&gt;"Amber"),E1710="BLD-TIMBER",AND(U1710="Building equipment",OR(E1710="BLD-WATER",E1710="BLD-WASTE",E1710="BLD-LAND")),AND(U1710="Building renovation",E1710="BLD-LAND"))),"N/A","Pending"))))))</x:f>
      </x:c>
      <x:c r="Q1710" s="3" t="str">
        <x:f>IF(C1710="","",IF(AND(R1710="Valid",OR(P1710="Pass",P1710="N/A")),"Complete","Unresolved"))</x:f>
      </x:c>
      <x:c r="R1710" s="9" t="str">
        <x:f>IF(C1710="","",IF(OR(COUNTIF($C$9:$C$2008,C1710)&lt;&gt;1,COUNTIFS($D$9:$D$2008,D1710,$E$9:$E$2008,E1710)&lt;&gt;1),"Duplicate test",IF(COUNTIF('Taxonomy'!$C$9:$C$108,D1710)&lt;&gt;1,"Assessment key",IF(OR(COUNTIF('Taxonomy Rules'!$C$42:$C$68,E1710)&lt;&gt;1,F1710&lt;&gt;IFERROR(INDEX('Taxonomy Rules'!$D$42:$D$68,MATCH(E1710,'Taxonomy Rules'!$C$42:$C$68,0)),""),NOT(OR(IFERROR(INDEX('Taxonomy Rules'!$G$42:$G$68,MATCH(E1710,'Taxonomy Rules'!$C$42:$C$68,0)),"")="All supported routes",IFERROR(INDEX('Taxonomy Rules'!$G$42:$G$68,MATCH(E1710,'Taxonomy Rules'!$C$42:$C$68,0)),"")=U1710,AND(IFERROR(INDEX('Taxonomy Rules'!$G$42:$G$68,MATCH(E1710,'Taxonomy Rules'!$C$42:$C$68,0)),"")="Building routes",OR(U1710="Building renovation",U1710="New building",U1710="Building equipment"))))),"Unexpected test","Valid"))))</x:f>
      </x:c>
      <x:c r="S1710" s="9" t="str">
        <x:f>IF(C1710="","",IFERROR(INDEX('Taxonomy Rules'!$E$42:$E$68,MATCH(E1710,'Taxonomy Rules'!$C$42:$C$68,0)),""))</x:f>
      </x:c>
      <x:c r="T1710" s="9" t="str">
        <x:f>IF(C1710="","",IFERROR(INDEX('Taxonomy Rules'!$F$42:$F$68,MATCH(E1710,'Taxonomy Rules'!$C$42:$C$68,0)),""))</x:f>
      </x:c>
      <x:c r="U1710" s="9" t="str">
        <x:f>IF(C1710="","",IFERROR(INDEX('Taxonomy'!$G$9:$G$108,MATCH(D1710,'Taxonomy'!$C$9:$C$108,0)),""))</x:f>
      </x:c>
    </x:row>
    <x:row r="1711" ht="44" customHeight="1">
      <x:c r="A1711" s="1"/>
      <x:c r="B1711" s="1"/>
      <x:c r="C1711" s="8"/>
      <x:c r="D1711" s="8"/>
      <x:c r="E1711" s="8"/>
      <x:c r="F1711" s="8"/>
      <x:c r="G1711" s="8"/>
      <x:c r="H1711" s="8"/>
      <x:c r="I1711" s="8"/>
      <x:c r="J1711" s="8"/>
      <x:c r="K1711" s="8"/>
      <x:c r="L1711" s="8"/>
      <x:c r="M1711" s="10"/>
      <x:c r="N1711" s="10"/>
      <x:c r="O1711" s="8"/>
      <x:c r="P1711" s="9" t="str">
        <x:f>IF(C1711="","",IF(AND(G1711="Applicable",H1711="Fail"),"Fail",IF(R1711&lt;&gt;"Valid","Pending",IF(OR(I1711="",K1711="",L1711="",K1711=L1711,NOT(ISNUMBER(M1711)),NOT(ISNUMBER(N1711)),M1711&gt;Settings!$F$8,N1711&lt;Settings!$F$8,N1711&lt;M1711),"Pending",IF(AND(G1711="Applicable",H1711="Pass"),"Pass",IF(AND(G1711="N/A",H1711="N/A",J1711&lt;&gt;"",OR(E1711="CEM-FUELS",E1711="CEM-CCS",AND(E1711="CEM-PLAN",IFERROR(INDEX('Taxonomy'!$M$9:$M$108,MATCH(D1711,'Taxonomy'!$C$9:$C$108,0)),"")&lt;&gt;"Amber"),E1711="BLD-TIMBER",AND(U1711="Building equipment",OR(E1711="BLD-WATER",E1711="BLD-WASTE",E1711="BLD-LAND")),AND(U1711="Building renovation",E1711="BLD-LAND"))),"N/A","Pending"))))))</x:f>
      </x:c>
      <x:c r="Q1711" s="3" t="str">
        <x:f>IF(C1711="","",IF(AND(R1711="Valid",OR(P1711="Pass",P1711="N/A")),"Complete","Unresolved"))</x:f>
      </x:c>
      <x:c r="R1711" s="9" t="str">
        <x:f>IF(C1711="","",IF(OR(COUNTIF($C$9:$C$2008,C1711)&lt;&gt;1,COUNTIFS($D$9:$D$2008,D1711,$E$9:$E$2008,E1711)&lt;&gt;1),"Duplicate test",IF(COUNTIF('Taxonomy'!$C$9:$C$108,D1711)&lt;&gt;1,"Assessment key",IF(OR(COUNTIF('Taxonomy Rules'!$C$42:$C$68,E1711)&lt;&gt;1,F1711&lt;&gt;IFERROR(INDEX('Taxonomy Rules'!$D$42:$D$68,MATCH(E1711,'Taxonomy Rules'!$C$42:$C$68,0)),""),NOT(OR(IFERROR(INDEX('Taxonomy Rules'!$G$42:$G$68,MATCH(E1711,'Taxonomy Rules'!$C$42:$C$68,0)),"")="All supported routes",IFERROR(INDEX('Taxonomy Rules'!$G$42:$G$68,MATCH(E1711,'Taxonomy Rules'!$C$42:$C$68,0)),"")=U1711,AND(IFERROR(INDEX('Taxonomy Rules'!$G$42:$G$68,MATCH(E1711,'Taxonomy Rules'!$C$42:$C$68,0)),"")="Building routes",OR(U1711="Building renovation",U1711="New building",U1711="Building equipment"))))),"Unexpected test","Valid"))))</x:f>
      </x:c>
      <x:c r="S1711" s="9" t="str">
        <x:f>IF(C1711="","",IFERROR(INDEX('Taxonomy Rules'!$E$42:$E$68,MATCH(E1711,'Taxonomy Rules'!$C$42:$C$68,0)),""))</x:f>
      </x:c>
      <x:c r="T1711" s="9" t="str">
        <x:f>IF(C1711="","",IFERROR(INDEX('Taxonomy Rules'!$F$42:$F$68,MATCH(E1711,'Taxonomy Rules'!$C$42:$C$68,0)),""))</x:f>
      </x:c>
      <x:c r="U1711" s="9" t="str">
        <x:f>IF(C1711="","",IFERROR(INDEX('Taxonomy'!$G$9:$G$108,MATCH(D1711,'Taxonomy'!$C$9:$C$108,0)),""))</x:f>
      </x:c>
    </x:row>
    <x:row r="1712" ht="44" customHeight="1">
      <x:c r="A1712" s="1"/>
      <x:c r="B1712" s="1"/>
      <x:c r="C1712" s="8"/>
      <x:c r="D1712" s="8"/>
      <x:c r="E1712" s="8"/>
      <x:c r="F1712" s="8"/>
      <x:c r="G1712" s="8"/>
      <x:c r="H1712" s="8"/>
      <x:c r="I1712" s="8"/>
      <x:c r="J1712" s="8"/>
      <x:c r="K1712" s="8"/>
      <x:c r="L1712" s="8"/>
      <x:c r="M1712" s="10"/>
      <x:c r="N1712" s="10"/>
      <x:c r="O1712" s="8"/>
      <x:c r="P1712" s="9" t="str">
        <x:f>IF(C1712="","",IF(AND(G1712="Applicable",H1712="Fail"),"Fail",IF(R1712&lt;&gt;"Valid","Pending",IF(OR(I1712="",K1712="",L1712="",K1712=L1712,NOT(ISNUMBER(M1712)),NOT(ISNUMBER(N1712)),M1712&gt;Settings!$F$8,N1712&lt;Settings!$F$8,N1712&lt;M1712),"Pending",IF(AND(G1712="Applicable",H1712="Pass"),"Pass",IF(AND(G1712="N/A",H1712="N/A",J1712&lt;&gt;"",OR(E1712="CEM-FUELS",E1712="CEM-CCS",AND(E1712="CEM-PLAN",IFERROR(INDEX('Taxonomy'!$M$9:$M$108,MATCH(D1712,'Taxonomy'!$C$9:$C$108,0)),"")&lt;&gt;"Amber"),E1712="BLD-TIMBER",AND(U1712="Building equipment",OR(E1712="BLD-WATER",E1712="BLD-WASTE",E1712="BLD-LAND")),AND(U1712="Building renovation",E1712="BLD-LAND"))),"N/A","Pending"))))))</x:f>
      </x:c>
      <x:c r="Q1712" s="3" t="str">
        <x:f>IF(C1712="","",IF(AND(R1712="Valid",OR(P1712="Pass",P1712="N/A")),"Complete","Unresolved"))</x:f>
      </x:c>
      <x:c r="R1712" s="9" t="str">
        <x:f>IF(C1712="","",IF(OR(COUNTIF($C$9:$C$2008,C1712)&lt;&gt;1,COUNTIFS($D$9:$D$2008,D1712,$E$9:$E$2008,E1712)&lt;&gt;1),"Duplicate test",IF(COUNTIF('Taxonomy'!$C$9:$C$108,D1712)&lt;&gt;1,"Assessment key",IF(OR(COUNTIF('Taxonomy Rules'!$C$42:$C$68,E1712)&lt;&gt;1,F1712&lt;&gt;IFERROR(INDEX('Taxonomy Rules'!$D$42:$D$68,MATCH(E1712,'Taxonomy Rules'!$C$42:$C$68,0)),""),NOT(OR(IFERROR(INDEX('Taxonomy Rules'!$G$42:$G$68,MATCH(E1712,'Taxonomy Rules'!$C$42:$C$68,0)),"")="All supported routes",IFERROR(INDEX('Taxonomy Rules'!$G$42:$G$68,MATCH(E1712,'Taxonomy Rules'!$C$42:$C$68,0)),"")=U1712,AND(IFERROR(INDEX('Taxonomy Rules'!$G$42:$G$68,MATCH(E1712,'Taxonomy Rules'!$C$42:$C$68,0)),"")="Building routes",OR(U1712="Building renovation",U1712="New building",U1712="Building equipment"))))),"Unexpected test","Valid"))))</x:f>
      </x:c>
      <x:c r="S1712" s="9" t="str">
        <x:f>IF(C1712="","",IFERROR(INDEX('Taxonomy Rules'!$E$42:$E$68,MATCH(E1712,'Taxonomy Rules'!$C$42:$C$68,0)),""))</x:f>
      </x:c>
      <x:c r="T1712" s="9" t="str">
        <x:f>IF(C1712="","",IFERROR(INDEX('Taxonomy Rules'!$F$42:$F$68,MATCH(E1712,'Taxonomy Rules'!$C$42:$C$68,0)),""))</x:f>
      </x:c>
      <x:c r="U1712" s="9" t="str">
        <x:f>IF(C1712="","",IFERROR(INDEX('Taxonomy'!$G$9:$G$108,MATCH(D1712,'Taxonomy'!$C$9:$C$108,0)),""))</x:f>
      </x:c>
    </x:row>
    <x:row r="1713" ht="44" customHeight="1">
      <x:c r="A1713" s="1"/>
      <x:c r="B1713" s="1"/>
      <x:c r="C1713" s="8"/>
      <x:c r="D1713" s="8"/>
      <x:c r="E1713" s="8"/>
      <x:c r="F1713" s="8"/>
      <x:c r="G1713" s="8"/>
      <x:c r="H1713" s="8"/>
      <x:c r="I1713" s="8"/>
      <x:c r="J1713" s="8"/>
      <x:c r="K1713" s="8"/>
      <x:c r="L1713" s="8"/>
      <x:c r="M1713" s="10"/>
      <x:c r="N1713" s="10"/>
      <x:c r="O1713" s="8"/>
      <x:c r="P1713" s="9" t="str">
        <x:f>IF(C1713="","",IF(AND(G1713="Applicable",H1713="Fail"),"Fail",IF(R1713&lt;&gt;"Valid","Pending",IF(OR(I1713="",K1713="",L1713="",K1713=L1713,NOT(ISNUMBER(M1713)),NOT(ISNUMBER(N1713)),M1713&gt;Settings!$F$8,N1713&lt;Settings!$F$8,N1713&lt;M1713),"Pending",IF(AND(G1713="Applicable",H1713="Pass"),"Pass",IF(AND(G1713="N/A",H1713="N/A",J1713&lt;&gt;"",OR(E1713="CEM-FUELS",E1713="CEM-CCS",AND(E1713="CEM-PLAN",IFERROR(INDEX('Taxonomy'!$M$9:$M$108,MATCH(D1713,'Taxonomy'!$C$9:$C$108,0)),"")&lt;&gt;"Amber"),E1713="BLD-TIMBER",AND(U1713="Building equipment",OR(E1713="BLD-WATER",E1713="BLD-WASTE",E1713="BLD-LAND")),AND(U1713="Building renovation",E1713="BLD-LAND"))),"N/A","Pending"))))))</x:f>
      </x:c>
      <x:c r="Q1713" s="3" t="str">
        <x:f>IF(C1713="","",IF(AND(R1713="Valid",OR(P1713="Pass",P1713="N/A")),"Complete","Unresolved"))</x:f>
      </x:c>
      <x:c r="R1713" s="9" t="str">
        <x:f>IF(C1713="","",IF(OR(COUNTIF($C$9:$C$2008,C1713)&lt;&gt;1,COUNTIFS($D$9:$D$2008,D1713,$E$9:$E$2008,E1713)&lt;&gt;1),"Duplicate test",IF(COUNTIF('Taxonomy'!$C$9:$C$108,D1713)&lt;&gt;1,"Assessment key",IF(OR(COUNTIF('Taxonomy Rules'!$C$42:$C$68,E1713)&lt;&gt;1,F1713&lt;&gt;IFERROR(INDEX('Taxonomy Rules'!$D$42:$D$68,MATCH(E1713,'Taxonomy Rules'!$C$42:$C$68,0)),""),NOT(OR(IFERROR(INDEX('Taxonomy Rules'!$G$42:$G$68,MATCH(E1713,'Taxonomy Rules'!$C$42:$C$68,0)),"")="All supported routes",IFERROR(INDEX('Taxonomy Rules'!$G$42:$G$68,MATCH(E1713,'Taxonomy Rules'!$C$42:$C$68,0)),"")=U1713,AND(IFERROR(INDEX('Taxonomy Rules'!$G$42:$G$68,MATCH(E1713,'Taxonomy Rules'!$C$42:$C$68,0)),"")="Building routes",OR(U1713="Building renovation",U1713="New building",U1713="Building equipment"))))),"Unexpected test","Valid"))))</x:f>
      </x:c>
      <x:c r="S1713" s="9" t="str">
        <x:f>IF(C1713="","",IFERROR(INDEX('Taxonomy Rules'!$E$42:$E$68,MATCH(E1713,'Taxonomy Rules'!$C$42:$C$68,0)),""))</x:f>
      </x:c>
      <x:c r="T1713" s="9" t="str">
        <x:f>IF(C1713="","",IFERROR(INDEX('Taxonomy Rules'!$F$42:$F$68,MATCH(E1713,'Taxonomy Rules'!$C$42:$C$68,0)),""))</x:f>
      </x:c>
      <x:c r="U1713" s="9" t="str">
        <x:f>IF(C1713="","",IFERROR(INDEX('Taxonomy'!$G$9:$G$108,MATCH(D1713,'Taxonomy'!$C$9:$C$108,0)),""))</x:f>
      </x:c>
    </x:row>
    <x:row r="1714" ht="44" customHeight="1">
      <x:c r="A1714" s="1"/>
      <x:c r="B1714" s="1"/>
      <x:c r="C1714" s="8"/>
      <x:c r="D1714" s="8"/>
      <x:c r="E1714" s="8"/>
      <x:c r="F1714" s="8"/>
      <x:c r="G1714" s="8"/>
      <x:c r="H1714" s="8"/>
      <x:c r="I1714" s="8"/>
      <x:c r="J1714" s="8"/>
      <x:c r="K1714" s="8"/>
      <x:c r="L1714" s="8"/>
      <x:c r="M1714" s="10"/>
      <x:c r="N1714" s="10"/>
      <x:c r="O1714" s="8"/>
      <x:c r="P1714" s="9" t="str">
        <x:f>IF(C1714="","",IF(AND(G1714="Applicable",H1714="Fail"),"Fail",IF(R1714&lt;&gt;"Valid","Pending",IF(OR(I1714="",K1714="",L1714="",K1714=L1714,NOT(ISNUMBER(M1714)),NOT(ISNUMBER(N1714)),M1714&gt;Settings!$F$8,N1714&lt;Settings!$F$8,N1714&lt;M1714),"Pending",IF(AND(G1714="Applicable",H1714="Pass"),"Pass",IF(AND(G1714="N/A",H1714="N/A",J1714&lt;&gt;"",OR(E1714="CEM-FUELS",E1714="CEM-CCS",AND(E1714="CEM-PLAN",IFERROR(INDEX('Taxonomy'!$M$9:$M$108,MATCH(D1714,'Taxonomy'!$C$9:$C$108,0)),"")&lt;&gt;"Amber"),E1714="BLD-TIMBER",AND(U1714="Building equipment",OR(E1714="BLD-WATER",E1714="BLD-WASTE",E1714="BLD-LAND")),AND(U1714="Building renovation",E1714="BLD-LAND"))),"N/A","Pending"))))))</x:f>
      </x:c>
      <x:c r="Q1714" s="3" t="str">
        <x:f>IF(C1714="","",IF(AND(R1714="Valid",OR(P1714="Pass",P1714="N/A")),"Complete","Unresolved"))</x:f>
      </x:c>
      <x:c r="R1714" s="9" t="str">
        <x:f>IF(C1714="","",IF(OR(COUNTIF($C$9:$C$2008,C1714)&lt;&gt;1,COUNTIFS($D$9:$D$2008,D1714,$E$9:$E$2008,E1714)&lt;&gt;1),"Duplicate test",IF(COUNTIF('Taxonomy'!$C$9:$C$108,D1714)&lt;&gt;1,"Assessment key",IF(OR(COUNTIF('Taxonomy Rules'!$C$42:$C$68,E1714)&lt;&gt;1,F1714&lt;&gt;IFERROR(INDEX('Taxonomy Rules'!$D$42:$D$68,MATCH(E1714,'Taxonomy Rules'!$C$42:$C$68,0)),""),NOT(OR(IFERROR(INDEX('Taxonomy Rules'!$G$42:$G$68,MATCH(E1714,'Taxonomy Rules'!$C$42:$C$68,0)),"")="All supported routes",IFERROR(INDEX('Taxonomy Rules'!$G$42:$G$68,MATCH(E1714,'Taxonomy Rules'!$C$42:$C$68,0)),"")=U1714,AND(IFERROR(INDEX('Taxonomy Rules'!$G$42:$G$68,MATCH(E1714,'Taxonomy Rules'!$C$42:$C$68,0)),"")="Building routes",OR(U1714="Building renovation",U1714="New building",U1714="Building equipment"))))),"Unexpected test","Valid"))))</x:f>
      </x:c>
      <x:c r="S1714" s="9" t="str">
        <x:f>IF(C1714="","",IFERROR(INDEX('Taxonomy Rules'!$E$42:$E$68,MATCH(E1714,'Taxonomy Rules'!$C$42:$C$68,0)),""))</x:f>
      </x:c>
      <x:c r="T1714" s="9" t="str">
        <x:f>IF(C1714="","",IFERROR(INDEX('Taxonomy Rules'!$F$42:$F$68,MATCH(E1714,'Taxonomy Rules'!$C$42:$C$68,0)),""))</x:f>
      </x:c>
      <x:c r="U1714" s="9" t="str">
        <x:f>IF(C1714="","",IFERROR(INDEX('Taxonomy'!$G$9:$G$108,MATCH(D1714,'Taxonomy'!$C$9:$C$108,0)),""))</x:f>
      </x:c>
    </x:row>
    <x:row r="1715" ht="44" customHeight="1">
      <x:c r="A1715" s="1"/>
      <x:c r="B1715" s="1"/>
      <x:c r="C1715" s="8"/>
      <x:c r="D1715" s="8"/>
      <x:c r="E1715" s="8"/>
      <x:c r="F1715" s="8"/>
      <x:c r="G1715" s="8"/>
      <x:c r="H1715" s="8"/>
      <x:c r="I1715" s="8"/>
      <x:c r="J1715" s="8"/>
      <x:c r="K1715" s="8"/>
      <x:c r="L1715" s="8"/>
      <x:c r="M1715" s="10"/>
      <x:c r="N1715" s="10"/>
      <x:c r="O1715" s="8"/>
      <x:c r="P1715" s="9" t="str">
        <x:f>IF(C1715="","",IF(AND(G1715="Applicable",H1715="Fail"),"Fail",IF(R1715&lt;&gt;"Valid","Pending",IF(OR(I1715="",K1715="",L1715="",K1715=L1715,NOT(ISNUMBER(M1715)),NOT(ISNUMBER(N1715)),M1715&gt;Settings!$F$8,N1715&lt;Settings!$F$8,N1715&lt;M1715),"Pending",IF(AND(G1715="Applicable",H1715="Pass"),"Pass",IF(AND(G1715="N/A",H1715="N/A",J1715&lt;&gt;"",OR(E1715="CEM-FUELS",E1715="CEM-CCS",AND(E1715="CEM-PLAN",IFERROR(INDEX('Taxonomy'!$M$9:$M$108,MATCH(D1715,'Taxonomy'!$C$9:$C$108,0)),"")&lt;&gt;"Amber"),E1715="BLD-TIMBER",AND(U1715="Building equipment",OR(E1715="BLD-WATER",E1715="BLD-WASTE",E1715="BLD-LAND")),AND(U1715="Building renovation",E1715="BLD-LAND"))),"N/A","Pending"))))))</x:f>
      </x:c>
      <x:c r="Q1715" s="3" t="str">
        <x:f>IF(C1715="","",IF(AND(R1715="Valid",OR(P1715="Pass",P1715="N/A")),"Complete","Unresolved"))</x:f>
      </x:c>
      <x:c r="R1715" s="9" t="str">
        <x:f>IF(C1715="","",IF(OR(COUNTIF($C$9:$C$2008,C1715)&lt;&gt;1,COUNTIFS($D$9:$D$2008,D1715,$E$9:$E$2008,E1715)&lt;&gt;1),"Duplicate test",IF(COUNTIF('Taxonomy'!$C$9:$C$108,D1715)&lt;&gt;1,"Assessment key",IF(OR(COUNTIF('Taxonomy Rules'!$C$42:$C$68,E1715)&lt;&gt;1,F1715&lt;&gt;IFERROR(INDEX('Taxonomy Rules'!$D$42:$D$68,MATCH(E1715,'Taxonomy Rules'!$C$42:$C$68,0)),""),NOT(OR(IFERROR(INDEX('Taxonomy Rules'!$G$42:$G$68,MATCH(E1715,'Taxonomy Rules'!$C$42:$C$68,0)),"")="All supported routes",IFERROR(INDEX('Taxonomy Rules'!$G$42:$G$68,MATCH(E1715,'Taxonomy Rules'!$C$42:$C$68,0)),"")=U1715,AND(IFERROR(INDEX('Taxonomy Rules'!$G$42:$G$68,MATCH(E1715,'Taxonomy Rules'!$C$42:$C$68,0)),"")="Building routes",OR(U1715="Building renovation",U1715="New building",U1715="Building equipment"))))),"Unexpected test","Valid"))))</x:f>
      </x:c>
      <x:c r="S1715" s="9" t="str">
        <x:f>IF(C1715="","",IFERROR(INDEX('Taxonomy Rules'!$E$42:$E$68,MATCH(E1715,'Taxonomy Rules'!$C$42:$C$68,0)),""))</x:f>
      </x:c>
      <x:c r="T1715" s="9" t="str">
        <x:f>IF(C1715="","",IFERROR(INDEX('Taxonomy Rules'!$F$42:$F$68,MATCH(E1715,'Taxonomy Rules'!$C$42:$C$68,0)),""))</x:f>
      </x:c>
      <x:c r="U1715" s="9" t="str">
        <x:f>IF(C1715="","",IFERROR(INDEX('Taxonomy'!$G$9:$G$108,MATCH(D1715,'Taxonomy'!$C$9:$C$108,0)),""))</x:f>
      </x:c>
    </x:row>
    <x:row r="1716" ht="44" customHeight="1">
      <x:c r="A1716" s="1"/>
      <x:c r="B1716" s="1"/>
      <x:c r="C1716" s="8"/>
      <x:c r="D1716" s="8"/>
      <x:c r="E1716" s="8"/>
      <x:c r="F1716" s="8"/>
      <x:c r="G1716" s="8"/>
      <x:c r="H1716" s="8"/>
      <x:c r="I1716" s="8"/>
      <x:c r="J1716" s="8"/>
      <x:c r="K1716" s="8"/>
      <x:c r="L1716" s="8"/>
      <x:c r="M1716" s="10"/>
      <x:c r="N1716" s="10"/>
      <x:c r="O1716" s="8"/>
      <x:c r="P1716" s="9" t="str">
        <x:f>IF(C1716="","",IF(AND(G1716="Applicable",H1716="Fail"),"Fail",IF(R1716&lt;&gt;"Valid","Pending",IF(OR(I1716="",K1716="",L1716="",K1716=L1716,NOT(ISNUMBER(M1716)),NOT(ISNUMBER(N1716)),M1716&gt;Settings!$F$8,N1716&lt;Settings!$F$8,N1716&lt;M1716),"Pending",IF(AND(G1716="Applicable",H1716="Pass"),"Pass",IF(AND(G1716="N/A",H1716="N/A",J1716&lt;&gt;"",OR(E1716="CEM-FUELS",E1716="CEM-CCS",AND(E1716="CEM-PLAN",IFERROR(INDEX('Taxonomy'!$M$9:$M$108,MATCH(D1716,'Taxonomy'!$C$9:$C$108,0)),"")&lt;&gt;"Amber"),E1716="BLD-TIMBER",AND(U1716="Building equipment",OR(E1716="BLD-WATER",E1716="BLD-WASTE",E1716="BLD-LAND")),AND(U1716="Building renovation",E1716="BLD-LAND"))),"N/A","Pending"))))))</x:f>
      </x:c>
      <x:c r="Q1716" s="3" t="str">
        <x:f>IF(C1716="","",IF(AND(R1716="Valid",OR(P1716="Pass",P1716="N/A")),"Complete","Unresolved"))</x:f>
      </x:c>
      <x:c r="R1716" s="9" t="str">
        <x:f>IF(C1716="","",IF(OR(COUNTIF($C$9:$C$2008,C1716)&lt;&gt;1,COUNTIFS($D$9:$D$2008,D1716,$E$9:$E$2008,E1716)&lt;&gt;1),"Duplicate test",IF(COUNTIF('Taxonomy'!$C$9:$C$108,D1716)&lt;&gt;1,"Assessment key",IF(OR(COUNTIF('Taxonomy Rules'!$C$42:$C$68,E1716)&lt;&gt;1,F1716&lt;&gt;IFERROR(INDEX('Taxonomy Rules'!$D$42:$D$68,MATCH(E1716,'Taxonomy Rules'!$C$42:$C$68,0)),""),NOT(OR(IFERROR(INDEX('Taxonomy Rules'!$G$42:$G$68,MATCH(E1716,'Taxonomy Rules'!$C$42:$C$68,0)),"")="All supported routes",IFERROR(INDEX('Taxonomy Rules'!$G$42:$G$68,MATCH(E1716,'Taxonomy Rules'!$C$42:$C$68,0)),"")=U1716,AND(IFERROR(INDEX('Taxonomy Rules'!$G$42:$G$68,MATCH(E1716,'Taxonomy Rules'!$C$42:$C$68,0)),"")="Building routes",OR(U1716="Building renovation",U1716="New building",U1716="Building equipment"))))),"Unexpected test","Valid"))))</x:f>
      </x:c>
      <x:c r="S1716" s="9" t="str">
        <x:f>IF(C1716="","",IFERROR(INDEX('Taxonomy Rules'!$E$42:$E$68,MATCH(E1716,'Taxonomy Rules'!$C$42:$C$68,0)),""))</x:f>
      </x:c>
      <x:c r="T1716" s="9" t="str">
        <x:f>IF(C1716="","",IFERROR(INDEX('Taxonomy Rules'!$F$42:$F$68,MATCH(E1716,'Taxonomy Rules'!$C$42:$C$68,0)),""))</x:f>
      </x:c>
      <x:c r="U1716" s="9" t="str">
        <x:f>IF(C1716="","",IFERROR(INDEX('Taxonomy'!$G$9:$G$108,MATCH(D1716,'Taxonomy'!$C$9:$C$108,0)),""))</x:f>
      </x:c>
    </x:row>
    <x:row r="1717" ht="44" customHeight="1">
      <x:c r="A1717" s="1"/>
      <x:c r="B1717" s="1"/>
      <x:c r="C1717" s="8"/>
      <x:c r="D1717" s="8"/>
      <x:c r="E1717" s="8"/>
      <x:c r="F1717" s="8"/>
      <x:c r="G1717" s="8"/>
      <x:c r="H1717" s="8"/>
      <x:c r="I1717" s="8"/>
      <x:c r="J1717" s="8"/>
      <x:c r="K1717" s="8"/>
      <x:c r="L1717" s="8"/>
      <x:c r="M1717" s="10"/>
      <x:c r="N1717" s="10"/>
      <x:c r="O1717" s="8"/>
      <x:c r="P1717" s="9" t="str">
        <x:f>IF(C1717="","",IF(AND(G1717="Applicable",H1717="Fail"),"Fail",IF(R1717&lt;&gt;"Valid","Pending",IF(OR(I1717="",K1717="",L1717="",K1717=L1717,NOT(ISNUMBER(M1717)),NOT(ISNUMBER(N1717)),M1717&gt;Settings!$F$8,N1717&lt;Settings!$F$8,N1717&lt;M1717),"Pending",IF(AND(G1717="Applicable",H1717="Pass"),"Pass",IF(AND(G1717="N/A",H1717="N/A",J1717&lt;&gt;"",OR(E1717="CEM-FUELS",E1717="CEM-CCS",AND(E1717="CEM-PLAN",IFERROR(INDEX('Taxonomy'!$M$9:$M$108,MATCH(D1717,'Taxonomy'!$C$9:$C$108,0)),"")&lt;&gt;"Amber"),E1717="BLD-TIMBER",AND(U1717="Building equipment",OR(E1717="BLD-WATER",E1717="BLD-WASTE",E1717="BLD-LAND")),AND(U1717="Building renovation",E1717="BLD-LAND"))),"N/A","Pending"))))))</x:f>
      </x:c>
      <x:c r="Q1717" s="3" t="str">
        <x:f>IF(C1717="","",IF(AND(R1717="Valid",OR(P1717="Pass",P1717="N/A")),"Complete","Unresolved"))</x:f>
      </x:c>
      <x:c r="R1717" s="9" t="str">
        <x:f>IF(C1717="","",IF(OR(COUNTIF($C$9:$C$2008,C1717)&lt;&gt;1,COUNTIFS($D$9:$D$2008,D1717,$E$9:$E$2008,E1717)&lt;&gt;1),"Duplicate test",IF(COUNTIF('Taxonomy'!$C$9:$C$108,D1717)&lt;&gt;1,"Assessment key",IF(OR(COUNTIF('Taxonomy Rules'!$C$42:$C$68,E1717)&lt;&gt;1,F1717&lt;&gt;IFERROR(INDEX('Taxonomy Rules'!$D$42:$D$68,MATCH(E1717,'Taxonomy Rules'!$C$42:$C$68,0)),""),NOT(OR(IFERROR(INDEX('Taxonomy Rules'!$G$42:$G$68,MATCH(E1717,'Taxonomy Rules'!$C$42:$C$68,0)),"")="All supported routes",IFERROR(INDEX('Taxonomy Rules'!$G$42:$G$68,MATCH(E1717,'Taxonomy Rules'!$C$42:$C$68,0)),"")=U1717,AND(IFERROR(INDEX('Taxonomy Rules'!$G$42:$G$68,MATCH(E1717,'Taxonomy Rules'!$C$42:$C$68,0)),"")="Building routes",OR(U1717="Building renovation",U1717="New building",U1717="Building equipment"))))),"Unexpected test","Valid"))))</x:f>
      </x:c>
      <x:c r="S1717" s="9" t="str">
        <x:f>IF(C1717="","",IFERROR(INDEX('Taxonomy Rules'!$E$42:$E$68,MATCH(E1717,'Taxonomy Rules'!$C$42:$C$68,0)),""))</x:f>
      </x:c>
      <x:c r="T1717" s="9" t="str">
        <x:f>IF(C1717="","",IFERROR(INDEX('Taxonomy Rules'!$F$42:$F$68,MATCH(E1717,'Taxonomy Rules'!$C$42:$C$68,0)),""))</x:f>
      </x:c>
      <x:c r="U1717" s="9" t="str">
        <x:f>IF(C1717="","",IFERROR(INDEX('Taxonomy'!$G$9:$G$108,MATCH(D1717,'Taxonomy'!$C$9:$C$108,0)),""))</x:f>
      </x:c>
    </x:row>
    <x:row r="1718" ht="44" customHeight="1">
      <x:c r="A1718" s="1"/>
      <x:c r="B1718" s="1"/>
      <x:c r="C1718" s="8"/>
      <x:c r="D1718" s="8"/>
      <x:c r="E1718" s="8"/>
      <x:c r="F1718" s="8"/>
      <x:c r="G1718" s="8"/>
      <x:c r="H1718" s="8"/>
      <x:c r="I1718" s="8"/>
      <x:c r="J1718" s="8"/>
      <x:c r="K1718" s="8"/>
      <x:c r="L1718" s="8"/>
      <x:c r="M1718" s="10"/>
      <x:c r="N1718" s="10"/>
      <x:c r="O1718" s="8"/>
      <x:c r="P1718" s="9" t="str">
        <x:f>IF(C1718="","",IF(AND(G1718="Applicable",H1718="Fail"),"Fail",IF(R1718&lt;&gt;"Valid","Pending",IF(OR(I1718="",K1718="",L1718="",K1718=L1718,NOT(ISNUMBER(M1718)),NOT(ISNUMBER(N1718)),M1718&gt;Settings!$F$8,N1718&lt;Settings!$F$8,N1718&lt;M1718),"Pending",IF(AND(G1718="Applicable",H1718="Pass"),"Pass",IF(AND(G1718="N/A",H1718="N/A",J1718&lt;&gt;"",OR(E1718="CEM-FUELS",E1718="CEM-CCS",AND(E1718="CEM-PLAN",IFERROR(INDEX('Taxonomy'!$M$9:$M$108,MATCH(D1718,'Taxonomy'!$C$9:$C$108,0)),"")&lt;&gt;"Amber"),E1718="BLD-TIMBER",AND(U1718="Building equipment",OR(E1718="BLD-WATER",E1718="BLD-WASTE",E1718="BLD-LAND")),AND(U1718="Building renovation",E1718="BLD-LAND"))),"N/A","Pending"))))))</x:f>
      </x:c>
      <x:c r="Q1718" s="3" t="str">
        <x:f>IF(C1718="","",IF(AND(R1718="Valid",OR(P1718="Pass",P1718="N/A")),"Complete","Unresolved"))</x:f>
      </x:c>
      <x:c r="R1718" s="9" t="str">
        <x:f>IF(C1718="","",IF(OR(COUNTIF($C$9:$C$2008,C1718)&lt;&gt;1,COUNTIFS($D$9:$D$2008,D1718,$E$9:$E$2008,E1718)&lt;&gt;1),"Duplicate test",IF(COUNTIF('Taxonomy'!$C$9:$C$108,D1718)&lt;&gt;1,"Assessment key",IF(OR(COUNTIF('Taxonomy Rules'!$C$42:$C$68,E1718)&lt;&gt;1,F1718&lt;&gt;IFERROR(INDEX('Taxonomy Rules'!$D$42:$D$68,MATCH(E1718,'Taxonomy Rules'!$C$42:$C$68,0)),""),NOT(OR(IFERROR(INDEX('Taxonomy Rules'!$G$42:$G$68,MATCH(E1718,'Taxonomy Rules'!$C$42:$C$68,0)),"")="All supported routes",IFERROR(INDEX('Taxonomy Rules'!$G$42:$G$68,MATCH(E1718,'Taxonomy Rules'!$C$42:$C$68,0)),"")=U1718,AND(IFERROR(INDEX('Taxonomy Rules'!$G$42:$G$68,MATCH(E1718,'Taxonomy Rules'!$C$42:$C$68,0)),"")="Building routes",OR(U1718="Building renovation",U1718="New building",U1718="Building equipment"))))),"Unexpected test","Valid"))))</x:f>
      </x:c>
      <x:c r="S1718" s="9" t="str">
        <x:f>IF(C1718="","",IFERROR(INDEX('Taxonomy Rules'!$E$42:$E$68,MATCH(E1718,'Taxonomy Rules'!$C$42:$C$68,0)),""))</x:f>
      </x:c>
      <x:c r="T1718" s="9" t="str">
        <x:f>IF(C1718="","",IFERROR(INDEX('Taxonomy Rules'!$F$42:$F$68,MATCH(E1718,'Taxonomy Rules'!$C$42:$C$68,0)),""))</x:f>
      </x:c>
      <x:c r="U1718" s="9" t="str">
        <x:f>IF(C1718="","",IFERROR(INDEX('Taxonomy'!$G$9:$G$108,MATCH(D1718,'Taxonomy'!$C$9:$C$108,0)),""))</x:f>
      </x:c>
    </x:row>
    <x:row r="1719" ht="44" customHeight="1">
      <x:c r="A1719" s="1"/>
      <x:c r="B1719" s="1"/>
      <x:c r="C1719" s="8"/>
      <x:c r="D1719" s="8"/>
      <x:c r="E1719" s="8"/>
      <x:c r="F1719" s="8"/>
      <x:c r="G1719" s="8"/>
      <x:c r="H1719" s="8"/>
      <x:c r="I1719" s="8"/>
      <x:c r="J1719" s="8"/>
      <x:c r="K1719" s="8"/>
      <x:c r="L1719" s="8"/>
      <x:c r="M1719" s="10"/>
      <x:c r="N1719" s="10"/>
      <x:c r="O1719" s="8"/>
      <x:c r="P1719" s="9" t="str">
        <x:f>IF(C1719="","",IF(AND(G1719="Applicable",H1719="Fail"),"Fail",IF(R1719&lt;&gt;"Valid","Pending",IF(OR(I1719="",K1719="",L1719="",K1719=L1719,NOT(ISNUMBER(M1719)),NOT(ISNUMBER(N1719)),M1719&gt;Settings!$F$8,N1719&lt;Settings!$F$8,N1719&lt;M1719),"Pending",IF(AND(G1719="Applicable",H1719="Pass"),"Pass",IF(AND(G1719="N/A",H1719="N/A",J1719&lt;&gt;"",OR(E1719="CEM-FUELS",E1719="CEM-CCS",AND(E1719="CEM-PLAN",IFERROR(INDEX('Taxonomy'!$M$9:$M$108,MATCH(D1719,'Taxonomy'!$C$9:$C$108,0)),"")&lt;&gt;"Amber"),E1719="BLD-TIMBER",AND(U1719="Building equipment",OR(E1719="BLD-WATER",E1719="BLD-WASTE",E1719="BLD-LAND")),AND(U1719="Building renovation",E1719="BLD-LAND"))),"N/A","Pending"))))))</x:f>
      </x:c>
      <x:c r="Q1719" s="3" t="str">
        <x:f>IF(C1719="","",IF(AND(R1719="Valid",OR(P1719="Pass",P1719="N/A")),"Complete","Unresolved"))</x:f>
      </x:c>
      <x:c r="R1719" s="9" t="str">
        <x:f>IF(C1719="","",IF(OR(COUNTIF($C$9:$C$2008,C1719)&lt;&gt;1,COUNTIFS($D$9:$D$2008,D1719,$E$9:$E$2008,E1719)&lt;&gt;1),"Duplicate test",IF(COUNTIF('Taxonomy'!$C$9:$C$108,D1719)&lt;&gt;1,"Assessment key",IF(OR(COUNTIF('Taxonomy Rules'!$C$42:$C$68,E1719)&lt;&gt;1,F1719&lt;&gt;IFERROR(INDEX('Taxonomy Rules'!$D$42:$D$68,MATCH(E1719,'Taxonomy Rules'!$C$42:$C$68,0)),""),NOT(OR(IFERROR(INDEX('Taxonomy Rules'!$G$42:$G$68,MATCH(E1719,'Taxonomy Rules'!$C$42:$C$68,0)),"")="All supported routes",IFERROR(INDEX('Taxonomy Rules'!$G$42:$G$68,MATCH(E1719,'Taxonomy Rules'!$C$42:$C$68,0)),"")=U1719,AND(IFERROR(INDEX('Taxonomy Rules'!$G$42:$G$68,MATCH(E1719,'Taxonomy Rules'!$C$42:$C$68,0)),"")="Building routes",OR(U1719="Building renovation",U1719="New building",U1719="Building equipment"))))),"Unexpected test","Valid"))))</x:f>
      </x:c>
      <x:c r="S1719" s="9" t="str">
        <x:f>IF(C1719="","",IFERROR(INDEX('Taxonomy Rules'!$E$42:$E$68,MATCH(E1719,'Taxonomy Rules'!$C$42:$C$68,0)),""))</x:f>
      </x:c>
      <x:c r="T1719" s="9" t="str">
        <x:f>IF(C1719="","",IFERROR(INDEX('Taxonomy Rules'!$F$42:$F$68,MATCH(E1719,'Taxonomy Rules'!$C$42:$C$68,0)),""))</x:f>
      </x:c>
      <x:c r="U1719" s="9" t="str">
        <x:f>IF(C1719="","",IFERROR(INDEX('Taxonomy'!$G$9:$G$108,MATCH(D1719,'Taxonomy'!$C$9:$C$108,0)),""))</x:f>
      </x:c>
    </x:row>
    <x:row r="1720" ht="44" customHeight="1">
      <x:c r="A1720" s="1"/>
      <x:c r="B1720" s="1"/>
      <x:c r="C1720" s="8"/>
      <x:c r="D1720" s="8"/>
      <x:c r="E1720" s="8"/>
      <x:c r="F1720" s="8"/>
      <x:c r="G1720" s="8"/>
      <x:c r="H1720" s="8"/>
      <x:c r="I1720" s="8"/>
      <x:c r="J1720" s="8"/>
      <x:c r="K1720" s="8"/>
      <x:c r="L1720" s="8"/>
      <x:c r="M1720" s="10"/>
      <x:c r="N1720" s="10"/>
      <x:c r="O1720" s="8"/>
      <x:c r="P1720" s="9" t="str">
        <x:f>IF(C1720="","",IF(AND(G1720="Applicable",H1720="Fail"),"Fail",IF(R1720&lt;&gt;"Valid","Pending",IF(OR(I1720="",K1720="",L1720="",K1720=L1720,NOT(ISNUMBER(M1720)),NOT(ISNUMBER(N1720)),M1720&gt;Settings!$F$8,N1720&lt;Settings!$F$8,N1720&lt;M1720),"Pending",IF(AND(G1720="Applicable",H1720="Pass"),"Pass",IF(AND(G1720="N/A",H1720="N/A",J1720&lt;&gt;"",OR(E1720="CEM-FUELS",E1720="CEM-CCS",AND(E1720="CEM-PLAN",IFERROR(INDEX('Taxonomy'!$M$9:$M$108,MATCH(D1720,'Taxonomy'!$C$9:$C$108,0)),"")&lt;&gt;"Amber"),E1720="BLD-TIMBER",AND(U1720="Building equipment",OR(E1720="BLD-WATER",E1720="BLD-WASTE",E1720="BLD-LAND")),AND(U1720="Building renovation",E1720="BLD-LAND"))),"N/A","Pending"))))))</x:f>
      </x:c>
      <x:c r="Q1720" s="3" t="str">
        <x:f>IF(C1720="","",IF(AND(R1720="Valid",OR(P1720="Pass",P1720="N/A")),"Complete","Unresolved"))</x:f>
      </x:c>
      <x:c r="R1720" s="9" t="str">
        <x:f>IF(C1720="","",IF(OR(COUNTIF($C$9:$C$2008,C1720)&lt;&gt;1,COUNTIFS($D$9:$D$2008,D1720,$E$9:$E$2008,E1720)&lt;&gt;1),"Duplicate test",IF(COUNTIF('Taxonomy'!$C$9:$C$108,D1720)&lt;&gt;1,"Assessment key",IF(OR(COUNTIF('Taxonomy Rules'!$C$42:$C$68,E1720)&lt;&gt;1,F1720&lt;&gt;IFERROR(INDEX('Taxonomy Rules'!$D$42:$D$68,MATCH(E1720,'Taxonomy Rules'!$C$42:$C$68,0)),""),NOT(OR(IFERROR(INDEX('Taxonomy Rules'!$G$42:$G$68,MATCH(E1720,'Taxonomy Rules'!$C$42:$C$68,0)),"")="All supported routes",IFERROR(INDEX('Taxonomy Rules'!$G$42:$G$68,MATCH(E1720,'Taxonomy Rules'!$C$42:$C$68,0)),"")=U1720,AND(IFERROR(INDEX('Taxonomy Rules'!$G$42:$G$68,MATCH(E1720,'Taxonomy Rules'!$C$42:$C$68,0)),"")="Building routes",OR(U1720="Building renovation",U1720="New building",U1720="Building equipment"))))),"Unexpected test","Valid"))))</x:f>
      </x:c>
      <x:c r="S1720" s="9" t="str">
        <x:f>IF(C1720="","",IFERROR(INDEX('Taxonomy Rules'!$E$42:$E$68,MATCH(E1720,'Taxonomy Rules'!$C$42:$C$68,0)),""))</x:f>
      </x:c>
      <x:c r="T1720" s="9" t="str">
        <x:f>IF(C1720="","",IFERROR(INDEX('Taxonomy Rules'!$F$42:$F$68,MATCH(E1720,'Taxonomy Rules'!$C$42:$C$68,0)),""))</x:f>
      </x:c>
      <x:c r="U1720" s="9" t="str">
        <x:f>IF(C1720="","",IFERROR(INDEX('Taxonomy'!$G$9:$G$108,MATCH(D1720,'Taxonomy'!$C$9:$C$108,0)),""))</x:f>
      </x:c>
    </x:row>
    <x:row r="1721" ht="44" customHeight="1">
      <x:c r="A1721" s="1"/>
      <x:c r="B1721" s="1"/>
      <x:c r="C1721" s="8"/>
      <x:c r="D1721" s="8"/>
      <x:c r="E1721" s="8"/>
      <x:c r="F1721" s="8"/>
      <x:c r="G1721" s="8"/>
      <x:c r="H1721" s="8"/>
      <x:c r="I1721" s="8"/>
      <x:c r="J1721" s="8"/>
      <x:c r="K1721" s="8"/>
      <x:c r="L1721" s="8"/>
      <x:c r="M1721" s="10"/>
      <x:c r="N1721" s="10"/>
      <x:c r="O1721" s="8"/>
      <x:c r="P1721" s="9" t="str">
        <x:f>IF(C1721="","",IF(AND(G1721="Applicable",H1721="Fail"),"Fail",IF(R1721&lt;&gt;"Valid","Pending",IF(OR(I1721="",K1721="",L1721="",K1721=L1721,NOT(ISNUMBER(M1721)),NOT(ISNUMBER(N1721)),M1721&gt;Settings!$F$8,N1721&lt;Settings!$F$8,N1721&lt;M1721),"Pending",IF(AND(G1721="Applicable",H1721="Pass"),"Pass",IF(AND(G1721="N/A",H1721="N/A",J1721&lt;&gt;"",OR(E1721="CEM-FUELS",E1721="CEM-CCS",AND(E1721="CEM-PLAN",IFERROR(INDEX('Taxonomy'!$M$9:$M$108,MATCH(D1721,'Taxonomy'!$C$9:$C$108,0)),"")&lt;&gt;"Amber"),E1721="BLD-TIMBER",AND(U1721="Building equipment",OR(E1721="BLD-WATER",E1721="BLD-WASTE",E1721="BLD-LAND")),AND(U1721="Building renovation",E1721="BLD-LAND"))),"N/A","Pending"))))))</x:f>
      </x:c>
      <x:c r="Q1721" s="3" t="str">
        <x:f>IF(C1721="","",IF(AND(R1721="Valid",OR(P1721="Pass",P1721="N/A")),"Complete","Unresolved"))</x:f>
      </x:c>
      <x:c r="R1721" s="9" t="str">
        <x:f>IF(C1721="","",IF(OR(COUNTIF($C$9:$C$2008,C1721)&lt;&gt;1,COUNTIFS($D$9:$D$2008,D1721,$E$9:$E$2008,E1721)&lt;&gt;1),"Duplicate test",IF(COUNTIF('Taxonomy'!$C$9:$C$108,D1721)&lt;&gt;1,"Assessment key",IF(OR(COUNTIF('Taxonomy Rules'!$C$42:$C$68,E1721)&lt;&gt;1,F1721&lt;&gt;IFERROR(INDEX('Taxonomy Rules'!$D$42:$D$68,MATCH(E1721,'Taxonomy Rules'!$C$42:$C$68,0)),""),NOT(OR(IFERROR(INDEX('Taxonomy Rules'!$G$42:$G$68,MATCH(E1721,'Taxonomy Rules'!$C$42:$C$68,0)),"")="All supported routes",IFERROR(INDEX('Taxonomy Rules'!$G$42:$G$68,MATCH(E1721,'Taxonomy Rules'!$C$42:$C$68,0)),"")=U1721,AND(IFERROR(INDEX('Taxonomy Rules'!$G$42:$G$68,MATCH(E1721,'Taxonomy Rules'!$C$42:$C$68,0)),"")="Building routes",OR(U1721="Building renovation",U1721="New building",U1721="Building equipment"))))),"Unexpected test","Valid"))))</x:f>
      </x:c>
      <x:c r="S1721" s="9" t="str">
        <x:f>IF(C1721="","",IFERROR(INDEX('Taxonomy Rules'!$E$42:$E$68,MATCH(E1721,'Taxonomy Rules'!$C$42:$C$68,0)),""))</x:f>
      </x:c>
      <x:c r="T1721" s="9" t="str">
        <x:f>IF(C1721="","",IFERROR(INDEX('Taxonomy Rules'!$F$42:$F$68,MATCH(E1721,'Taxonomy Rules'!$C$42:$C$68,0)),""))</x:f>
      </x:c>
      <x:c r="U1721" s="9" t="str">
        <x:f>IF(C1721="","",IFERROR(INDEX('Taxonomy'!$G$9:$G$108,MATCH(D1721,'Taxonomy'!$C$9:$C$108,0)),""))</x:f>
      </x:c>
    </x:row>
    <x:row r="1722" ht="44" customHeight="1">
      <x:c r="A1722" s="1"/>
      <x:c r="B1722" s="1"/>
      <x:c r="C1722" s="8"/>
      <x:c r="D1722" s="8"/>
      <x:c r="E1722" s="8"/>
      <x:c r="F1722" s="8"/>
      <x:c r="G1722" s="8"/>
      <x:c r="H1722" s="8"/>
      <x:c r="I1722" s="8"/>
      <x:c r="J1722" s="8"/>
      <x:c r="K1722" s="8"/>
      <x:c r="L1722" s="8"/>
      <x:c r="M1722" s="10"/>
      <x:c r="N1722" s="10"/>
      <x:c r="O1722" s="8"/>
      <x:c r="P1722" s="9" t="str">
        <x:f>IF(C1722="","",IF(AND(G1722="Applicable",H1722="Fail"),"Fail",IF(R1722&lt;&gt;"Valid","Pending",IF(OR(I1722="",K1722="",L1722="",K1722=L1722,NOT(ISNUMBER(M1722)),NOT(ISNUMBER(N1722)),M1722&gt;Settings!$F$8,N1722&lt;Settings!$F$8,N1722&lt;M1722),"Pending",IF(AND(G1722="Applicable",H1722="Pass"),"Pass",IF(AND(G1722="N/A",H1722="N/A",J1722&lt;&gt;"",OR(E1722="CEM-FUELS",E1722="CEM-CCS",AND(E1722="CEM-PLAN",IFERROR(INDEX('Taxonomy'!$M$9:$M$108,MATCH(D1722,'Taxonomy'!$C$9:$C$108,0)),"")&lt;&gt;"Amber"),E1722="BLD-TIMBER",AND(U1722="Building equipment",OR(E1722="BLD-WATER",E1722="BLD-WASTE",E1722="BLD-LAND")),AND(U1722="Building renovation",E1722="BLD-LAND"))),"N/A","Pending"))))))</x:f>
      </x:c>
      <x:c r="Q1722" s="3" t="str">
        <x:f>IF(C1722="","",IF(AND(R1722="Valid",OR(P1722="Pass",P1722="N/A")),"Complete","Unresolved"))</x:f>
      </x:c>
      <x:c r="R1722" s="9" t="str">
        <x:f>IF(C1722="","",IF(OR(COUNTIF($C$9:$C$2008,C1722)&lt;&gt;1,COUNTIFS($D$9:$D$2008,D1722,$E$9:$E$2008,E1722)&lt;&gt;1),"Duplicate test",IF(COUNTIF('Taxonomy'!$C$9:$C$108,D1722)&lt;&gt;1,"Assessment key",IF(OR(COUNTIF('Taxonomy Rules'!$C$42:$C$68,E1722)&lt;&gt;1,F1722&lt;&gt;IFERROR(INDEX('Taxonomy Rules'!$D$42:$D$68,MATCH(E1722,'Taxonomy Rules'!$C$42:$C$68,0)),""),NOT(OR(IFERROR(INDEX('Taxonomy Rules'!$G$42:$G$68,MATCH(E1722,'Taxonomy Rules'!$C$42:$C$68,0)),"")="All supported routes",IFERROR(INDEX('Taxonomy Rules'!$G$42:$G$68,MATCH(E1722,'Taxonomy Rules'!$C$42:$C$68,0)),"")=U1722,AND(IFERROR(INDEX('Taxonomy Rules'!$G$42:$G$68,MATCH(E1722,'Taxonomy Rules'!$C$42:$C$68,0)),"")="Building routes",OR(U1722="Building renovation",U1722="New building",U1722="Building equipment"))))),"Unexpected test","Valid"))))</x:f>
      </x:c>
      <x:c r="S1722" s="9" t="str">
        <x:f>IF(C1722="","",IFERROR(INDEX('Taxonomy Rules'!$E$42:$E$68,MATCH(E1722,'Taxonomy Rules'!$C$42:$C$68,0)),""))</x:f>
      </x:c>
      <x:c r="T1722" s="9" t="str">
        <x:f>IF(C1722="","",IFERROR(INDEX('Taxonomy Rules'!$F$42:$F$68,MATCH(E1722,'Taxonomy Rules'!$C$42:$C$68,0)),""))</x:f>
      </x:c>
      <x:c r="U1722" s="9" t="str">
        <x:f>IF(C1722="","",IFERROR(INDEX('Taxonomy'!$G$9:$G$108,MATCH(D1722,'Taxonomy'!$C$9:$C$108,0)),""))</x:f>
      </x:c>
    </x:row>
    <x:row r="1723" ht="44" customHeight="1">
      <x:c r="A1723" s="1"/>
      <x:c r="B1723" s="1"/>
      <x:c r="C1723" s="8"/>
      <x:c r="D1723" s="8"/>
      <x:c r="E1723" s="8"/>
      <x:c r="F1723" s="8"/>
      <x:c r="G1723" s="8"/>
      <x:c r="H1723" s="8"/>
      <x:c r="I1723" s="8"/>
      <x:c r="J1723" s="8"/>
      <x:c r="K1723" s="8"/>
      <x:c r="L1723" s="8"/>
      <x:c r="M1723" s="10"/>
      <x:c r="N1723" s="10"/>
      <x:c r="O1723" s="8"/>
      <x:c r="P1723" s="9" t="str">
        <x:f>IF(C1723="","",IF(AND(G1723="Applicable",H1723="Fail"),"Fail",IF(R1723&lt;&gt;"Valid","Pending",IF(OR(I1723="",K1723="",L1723="",K1723=L1723,NOT(ISNUMBER(M1723)),NOT(ISNUMBER(N1723)),M1723&gt;Settings!$F$8,N1723&lt;Settings!$F$8,N1723&lt;M1723),"Pending",IF(AND(G1723="Applicable",H1723="Pass"),"Pass",IF(AND(G1723="N/A",H1723="N/A",J1723&lt;&gt;"",OR(E1723="CEM-FUELS",E1723="CEM-CCS",AND(E1723="CEM-PLAN",IFERROR(INDEX('Taxonomy'!$M$9:$M$108,MATCH(D1723,'Taxonomy'!$C$9:$C$108,0)),"")&lt;&gt;"Amber"),E1723="BLD-TIMBER",AND(U1723="Building equipment",OR(E1723="BLD-WATER",E1723="BLD-WASTE",E1723="BLD-LAND")),AND(U1723="Building renovation",E1723="BLD-LAND"))),"N/A","Pending"))))))</x:f>
      </x:c>
      <x:c r="Q1723" s="3" t="str">
        <x:f>IF(C1723="","",IF(AND(R1723="Valid",OR(P1723="Pass",P1723="N/A")),"Complete","Unresolved"))</x:f>
      </x:c>
      <x:c r="R1723" s="9" t="str">
        <x:f>IF(C1723="","",IF(OR(COUNTIF($C$9:$C$2008,C1723)&lt;&gt;1,COUNTIFS($D$9:$D$2008,D1723,$E$9:$E$2008,E1723)&lt;&gt;1),"Duplicate test",IF(COUNTIF('Taxonomy'!$C$9:$C$108,D1723)&lt;&gt;1,"Assessment key",IF(OR(COUNTIF('Taxonomy Rules'!$C$42:$C$68,E1723)&lt;&gt;1,F1723&lt;&gt;IFERROR(INDEX('Taxonomy Rules'!$D$42:$D$68,MATCH(E1723,'Taxonomy Rules'!$C$42:$C$68,0)),""),NOT(OR(IFERROR(INDEX('Taxonomy Rules'!$G$42:$G$68,MATCH(E1723,'Taxonomy Rules'!$C$42:$C$68,0)),"")="All supported routes",IFERROR(INDEX('Taxonomy Rules'!$G$42:$G$68,MATCH(E1723,'Taxonomy Rules'!$C$42:$C$68,0)),"")=U1723,AND(IFERROR(INDEX('Taxonomy Rules'!$G$42:$G$68,MATCH(E1723,'Taxonomy Rules'!$C$42:$C$68,0)),"")="Building routes",OR(U1723="Building renovation",U1723="New building",U1723="Building equipment"))))),"Unexpected test","Valid"))))</x:f>
      </x:c>
      <x:c r="S1723" s="9" t="str">
        <x:f>IF(C1723="","",IFERROR(INDEX('Taxonomy Rules'!$E$42:$E$68,MATCH(E1723,'Taxonomy Rules'!$C$42:$C$68,0)),""))</x:f>
      </x:c>
      <x:c r="T1723" s="9" t="str">
        <x:f>IF(C1723="","",IFERROR(INDEX('Taxonomy Rules'!$F$42:$F$68,MATCH(E1723,'Taxonomy Rules'!$C$42:$C$68,0)),""))</x:f>
      </x:c>
      <x:c r="U1723" s="9" t="str">
        <x:f>IF(C1723="","",IFERROR(INDEX('Taxonomy'!$G$9:$G$108,MATCH(D1723,'Taxonomy'!$C$9:$C$108,0)),""))</x:f>
      </x:c>
    </x:row>
    <x:row r="1724" ht="44" customHeight="1">
      <x:c r="A1724" s="1"/>
      <x:c r="B1724" s="1"/>
      <x:c r="C1724" s="8"/>
      <x:c r="D1724" s="8"/>
      <x:c r="E1724" s="8"/>
      <x:c r="F1724" s="8"/>
      <x:c r="G1724" s="8"/>
      <x:c r="H1724" s="8"/>
      <x:c r="I1724" s="8"/>
      <x:c r="J1724" s="8"/>
      <x:c r="K1724" s="8"/>
      <x:c r="L1724" s="8"/>
      <x:c r="M1724" s="10"/>
      <x:c r="N1724" s="10"/>
      <x:c r="O1724" s="8"/>
      <x:c r="P1724" s="9" t="str">
        <x:f>IF(C1724="","",IF(AND(G1724="Applicable",H1724="Fail"),"Fail",IF(R1724&lt;&gt;"Valid","Pending",IF(OR(I1724="",K1724="",L1724="",K1724=L1724,NOT(ISNUMBER(M1724)),NOT(ISNUMBER(N1724)),M1724&gt;Settings!$F$8,N1724&lt;Settings!$F$8,N1724&lt;M1724),"Pending",IF(AND(G1724="Applicable",H1724="Pass"),"Pass",IF(AND(G1724="N/A",H1724="N/A",J1724&lt;&gt;"",OR(E1724="CEM-FUELS",E1724="CEM-CCS",AND(E1724="CEM-PLAN",IFERROR(INDEX('Taxonomy'!$M$9:$M$108,MATCH(D1724,'Taxonomy'!$C$9:$C$108,0)),"")&lt;&gt;"Amber"),E1724="BLD-TIMBER",AND(U1724="Building equipment",OR(E1724="BLD-WATER",E1724="BLD-WASTE",E1724="BLD-LAND")),AND(U1724="Building renovation",E1724="BLD-LAND"))),"N/A","Pending"))))))</x:f>
      </x:c>
      <x:c r="Q1724" s="3" t="str">
        <x:f>IF(C1724="","",IF(AND(R1724="Valid",OR(P1724="Pass",P1724="N/A")),"Complete","Unresolved"))</x:f>
      </x:c>
      <x:c r="R1724" s="9" t="str">
        <x:f>IF(C1724="","",IF(OR(COUNTIF($C$9:$C$2008,C1724)&lt;&gt;1,COUNTIFS($D$9:$D$2008,D1724,$E$9:$E$2008,E1724)&lt;&gt;1),"Duplicate test",IF(COUNTIF('Taxonomy'!$C$9:$C$108,D1724)&lt;&gt;1,"Assessment key",IF(OR(COUNTIF('Taxonomy Rules'!$C$42:$C$68,E1724)&lt;&gt;1,F1724&lt;&gt;IFERROR(INDEX('Taxonomy Rules'!$D$42:$D$68,MATCH(E1724,'Taxonomy Rules'!$C$42:$C$68,0)),""),NOT(OR(IFERROR(INDEX('Taxonomy Rules'!$G$42:$G$68,MATCH(E1724,'Taxonomy Rules'!$C$42:$C$68,0)),"")="All supported routes",IFERROR(INDEX('Taxonomy Rules'!$G$42:$G$68,MATCH(E1724,'Taxonomy Rules'!$C$42:$C$68,0)),"")=U1724,AND(IFERROR(INDEX('Taxonomy Rules'!$G$42:$G$68,MATCH(E1724,'Taxonomy Rules'!$C$42:$C$68,0)),"")="Building routes",OR(U1724="Building renovation",U1724="New building",U1724="Building equipment"))))),"Unexpected test","Valid"))))</x:f>
      </x:c>
      <x:c r="S1724" s="9" t="str">
        <x:f>IF(C1724="","",IFERROR(INDEX('Taxonomy Rules'!$E$42:$E$68,MATCH(E1724,'Taxonomy Rules'!$C$42:$C$68,0)),""))</x:f>
      </x:c>
      <x:c r="T1724" s="9" t="str">
        <x:f>IF(C1724="","",IFERROR(INDEX('Taxonomy Rules'!$F$42:$F$68,MATCH(E1724,'Taxonomy Rules'!$C$42:$C$68,0)),""))</x:f>
      </x:c>
      <x:c r="U1724" s="9" t="str">
        <x:f>IF(C1724="","",IFERROR(INDEX('Taxonomy'!$G$9:$G$108,MATCH(D1724,'Taxonomy'!$C$9:$C$108,0)),""))</x:f>
      </x:c>
    </x:row>
    <x:row r="1725" ht="44" customHeight="1">
      <x:c r="A1725" s="1"/>
      <x:c r="B1725" s="1"/>
      <x:c r="C1725" s="8"/>
      <x:c r="D1725" s="8"/>
      <x:c r="E1725" s="8"/>
      <x:c r="F1725" s="8"/>
      <x:c r="G1725" s="8"/>
      <x:c r="H1725" s="8"/>
      <x:c r="I1725" s="8"/>
      <x:c r="J1725" s="8"/>
      <x:c r="K1725" s="8"/>
      <x:c r="L1725" s="8"/>
      <x:c r="M1725" s="10"/>
      <x:c r="N1725" s="10"/>
      <x:c r="O1725" s="8"/>
      <x:c r="P1725" s="9" t="str">
        <x:f>IF(C1725="","",IF(AND(G1725="Applicable",H1725="Fail"),"Fail",IF(R1725&lt;&gt;"Valid","Pending",IF(OR(I1725="",K1725="",L1725="",K1725=L1725,NOT(ISNUMBER(M1725)),NOT(ISNUMBER(N1725)),M1725&gt;Settings!$F$8,N1725&lt;Settings!$F$8,N1725&lt;M1725),"Pending",IF(AND(G1725="Applicable",H1725="Pass"),"Pass",IF(AND(G1725="N/A",H1725="N/A",J1725&lt;&gt;"",OR(E1725="CEM-FUELS",E1725="CEM-CCS",AND(E1725="CEM-PLAN",IFERROR(INDEX('Taxonomy'!$M$9:$M$108,MATCH(D1725,'Taxonomy'!$C$9:$C$108,0)),"")&lt;&gt;"Amber"),E1725="BLD-TIMBER",AND(U1725="Building equipment",OR(E1725="BLD-WATER",E1725="BLD-WASTE",E1725="BLD-LAND")),AND(U1725="Building renovation",E1725="BLD-LAND"))),"N/A","Pending"))))))</x:f>
      </x:c>
      <x:c r="Q1725" s="3" t="str">
        <x:f>IF(C1725="","",IF(AND(R1725="Valid",OR(P1725="Pass",P1725="N/A")),"Complete","Unresolved"))</x:f>
      </x:c>
      <x:c r="R1725" s="9" t="str">
        <x:f>IF(C1725="","",IF(OR(COUNTIF($C$9:$C$2008,C1725)&lt;&gt;1,COUNTIFS($D$9:$D$2008,D1725,$E$9:$E$2008,E1725)&lt;&gt;1),"Duplicate test",IF(COUNTIF('Taxonomy'!$C$9:$C$108,D1725)&lt;&gt;1,"Assessment key",IF(OR(COUNTIF('Taxonomy Rules'!$C$42:$C$68,E1725)&lt;&gt;1,F1725&lt;&gt;IFERROR(INDEX('Taxonomy Rules'!$D$42:$D$68,MATCH(E1725,'Taxonomy Rules'!$C$42:$C$68,0)),""),NOT(OR(IFERROR(INDEX('Taxonomy Rules'!$G$42:$G$68,MATCH(E1725,'Taxonomy Rules'!$C$42:$C$68,0)),"")="All supported routes",IFERROR(INDEX('Taxonomy Rules'!$G$42:$G$68,MATCH(E1725,'Taxonomy Rules'!$C$42:$C$68,0)),"")=U1725,AND(IFERROR(INDEX('Taxonomy Rules'!$G$42:$G$68,MATCH(E1725,'Taxonomy Rules'!$C$42:$C$68,0)),"")="Building routes",OR(U1725="Building renovation",U1725="New building",U1725="Building equipment"))))),"Unexpected test","Valid"))))</x:f>
      </x:c>
      <x:c r="S1725" s="9" t="str">
        <x:f>IF(C1725="","",IFERROR(INDEX('Taxonomy Rules'!$E$42:$E$68,MATCH(E1725,'Taxonomy Rules'!$C$42:$C$68,0)),""))</x:f>
      </x:c>
      <x:c r="T1725" s="9" t="str">
        <x:f>IF(C1725="","",IFERROR(INDEX('Taxonomy Rules'!$F$42:$F$68,MATCH(E1725,'Taxonomy Rules'!$C$42:$C$68,0)),""))</x:f>
      </x:c>
      <x:c r="U1725" s="9" t="str">
        <x:f>IF(C1725="","",IFERROR(INDEX('Taxonomy'!$G$9:$G$108,MATCH(D1725,'Taxonomy'!$C$9:$C$108,0)),""))</x:f>
      </x:c>
    </x:row>
    <x:row r="1726" ht="44" customHeight="1">
      <x:c r="A1726" s="1"/>
      <x:c r="B1726" s="1"/>
      <x:c r="C1726" s="8"/>
      <x:c r="D1726" s="8"/>
      <x:c r="E1726" s="8"/>
      <x:c r="F1726" s="8"/>
      <x:c r="G1726" s="8"/>
      <x:c r="H1726" s="8"/>
      <x:c r="I1726" s="8"/>
      <x:c r="J1726" s="8"/>
      <x:c r="K1726" s="8"/>
      <x:c r="L1726" s="8"/>
      <x:c r="M1726" s="10"/>
      <x:c r="N1726" s="10"/>
      <x:c r="O1726" s="8"/>
      <x:c r="P1726" s="9" t="str">
        <x:f>IF(C1726="","",IF(AND(G1726="Applicable",H1726="Fail"),"Fail",IF(R1726&lt;&gt;"Valid","Pending",IF(OR(I1726="",K1726="",L1726="",K1726=L1726,NOT(ISNUMBER(M1726)),NOT(ISNUMBER(N1726)),M1726&gt;Settings!$F$8,N1726&lt;Settings!$F$8,N1726&lt;M1726),"Pending",IF(AND(G1726="Applicable",H1726="Pass"),"Pass",IF(AND(G1726="N/A",H1726="N/A",J1726&lt;&gt;"",OR(E1726="CEM-FUELS",E1726="CEM-CCS",AND(E1726="CEM-PLAN",IFERROR(INDEX('Taxonomy'!$M$9:$M$108,MATCH(D1726,'Taxonomy'!$C$9:$C$108,0)),"")&lt;&gt;"Amber"),E1726="BLD-TIMBER",AND(U1726="Building equipment",OR(E1726="BLD-WATER",E1726="BLD-WASTE",E1726="BLD-LAND")),AND(U1726="Building renovation",E1726="BLD-LAND"))),"N/A","Pending"))))))</x:f>
      </x:c>
      <x:c r="Q1726" s="3" t="str">
        <x:f>IF(C1726="","",IF(AND(R1726="Valid",OR(P1726="Pass",P1726="N/A")),"Complete","Unresolved"))</x:f>
      </x:c>
      <x:c r="R1726" s="9" t="str">
        <x:f>IF(C1726="","",IF(OR(COUNTIF($C$9:$C$2008,C1726)&lt;&gt;1,COUNTIFS($D$9:$D$2008,D1726,$E$9:$E$2008,E1726)&lt;&gt;1),"Duplicate test",IF(COUNTIF('Taxonomy'!$C$9:$C$108,D1726)&lt;&gt;1,"Assessment key",IF(OR(COUNTIF('Taxonomy Rules'!$C$42:$C$68,E1726)&lt;&gt;1,F1726&lt;&gt;IFERROR(INDEX('Taxonomy Rules'!$D$42:$D$68,MATCH(E1726,'Taxonomy Rules'!$C$42:$C$68,0)),""),NOT(OR(IFERROR(INDEX('Taxonomy Rules'!$G$42:$G$68,MATCH(E1726,'Taxonomy Rules'!$C$42:$C$68,0)),"")="All supported routes",IFERROR(INDEX('Taxonomy Rules'!$G$42:$G$68,MATCH(E1726,'Taxonomy Rules'!$C$42:$C$68,0)),"")=U1726,AND(IFERROR(INDEX('Taxonomy Rules'!$G$42:$G$68,MATCH(E1726,'Taxonomy Rules'!$C$42:$C$68,0)),"")="Building routes",OR(U1726="Building renovation",U1726="New building",U1726="Building equipment"))))),"Unexpected test","Valid"))))</x:f>
      </x:c>
      <x:c r="S1726" s="9" t="str">
        <x:f>IF(C1726="","",IFERROR(INDEX('Taxonomy Rules'!$E$42:$E$68,MATCH(E1726,'Taxonomy Rules'!$C$42:$C$68,0)),""))</x:f>
      </x:c>
      <x:c r="T1726" s="9" t="str">
        <x:f>IF(C1726="","",IFERROR(INDEX('Taxonomy Rules'!$F$42:$F$68,MATCH(E1726,'Taxonomy Rules'!$C$42:$C$68,0)),""))</x:f>
      </x:c>
      <x:c r="U1726" s="9" t="str">
        <x:f>IF(C1726="","",IFERROR(INDEX('Taxonomy'!$G$9:$G$108,MATCH(D1726,'Taxonomy'!$C$9:$C$108,0)),""))</x:f>
      </x:c>
    </x:row>
    <x:row r="1727" ht="44" customHeight="1">
      <x:c r="A1727" s="1"/>
      <x:c r="B1727" s="1"/>
      <x:c r="C1727" s="8"/>
      <x:c r="D1727" s="8"/>
      <x:c r="E1727" s="8"/>
      <x:c r="F1727" s="8"/>
      <x:c r="G1727" s="8"/>
      <x:c r="H1727" s="8"/>
      <x:c r="I1727" s="8"/>
      <x:c r="J1727" s="8"/>
      <x:c r="K1727" s="8"/>
      <x:c r="L1727" s="8"/>
      <x:c r="M1727" s="10"/>
      <x:c r="N1727" s="10"/>
      <x:c r="O1727" s="8"/>
      <x:c r="P1727" s="9" t="str">
        <x:f>IF(C1727="","",IF(AND(G1727="Applicable",H1727="Fail"),"Fail",IF(R1727&lt;&gt;"Valid","Pending",IF(OR(I1727="",K1727="",L1727="",K1727=L1727,NOT(ISNUMBER(M1727)),NOT(ISNUMBER(N1727)),M1727&gt;Settings!$F$8,N1727&lt;Settings!$F$8,N1727&lt;M1727),"Pending",IF(AND(G1727="Applicable",H1727="Pass"),"Pass",IF(AND(G1727="N/A",H1727="N/A",J1727&lt;&gt;"",OR(E1727="CEM-FUELS",E1727="CEM-CCS",AND(E1727="CEM-PLAN",IFERROR(INDEX('Taxonomy'!$M$9:$M$108,MATCH(D1727,'Taxonomy'!$C$9:$C$108,0)),"")&lt;&gt;"Amber"),E1727="BLD-TIMBER",AND(U1727="Building equipment",OR(E1727="BLD-WATER",E1727="BLD-WASTE",E1727="BLD-LAND")),AND(U1727="Building renovation",E1727="BLD-LAND"))),"N/A","Pending"))))))</x:f>
      </x:c>
      <x:c r="Q1727" s="3" t="str">
        <x:f>IF(C1727="","",IF(AND(R1727="Valid",OR(P1727="Pass",P1727="N/A")),"Complete","Unresolved"))</x:f>
      </x:c>
      <x:c r="R1727" s="9" t="str">
        <x:f>IF(C1727="","",IF(OR(COUNTIF($C$9:$C$2008,C1727)&lt;&gt;1,COUNTIFS($D$9:$D$2008,D1727,$E$9:$E$2008,E1727)&lt;&gt;1),"Duplicate test",IF(COUNTIF('Taxonomy'!$C$9:$C$108,D1727)&lt;&gt;1,"Assessment key",IF(OR(COUNTIF('Taxonomy Rules'!$C$42:$C$68,E1727)&lt;&gt;1,F1727&lt;&gt;IFERROR(INDEX('Taxonomy Rules'!$D$42:$D$68,MATCH(E1727,'Taxonomy Rules'!$C$42:$C$68,0)),""),NOT(OR(IFERROR(INDEX('Taxonomy Rules'!$G$42:$G$68,MATCH(E1727,'Taxonomy Rules'!$C$42:$C$68,0)),"")="All supported routes",IFERROR(INDEX('Taxonomy Rules'!$G$42:$G$68,MATCH(E1727,'Taxonomy Rules'!$C$42:$C$68,0)),"")=U1727,AND(IFERROR(INDEX('Taxonomy Rules'!$G$42:$G$68,MATCH(E1727,'Taxonomy Rules'!$C$42:$C$68,0)),"")="Building routes",OR(U1727="Building renovation",U1727="New building",U1727="Building equipment"))))),"Unexpected test","Valid"))))</x:f>
      </x:c>
      <x:c r="S1727" s="9" t="str">
        <x:f>IF(C1727="","",IFERROR(INDEX('Taxonomy Rules'!$E$42:$E$68,MATCH(E1727,'Taxonomy Rules'!$C$42:$C$68,0)),""))</x:f>
      </x:c>
      <x:c r="T1727" s="9" t="str">
        <x:f>IF(C1727="","",IFERROR(INDEX('Taxonomy Rules'!$F$42:$F$68,MATCH(E1727,'Taxonomy Rules'!$C$42:$C$68,0)),""))</x:f>
      </x:c>
      <x:c r="U1727" s="9" t="str">
        <x:f>IF(C1727="","",IFERROR(INDEX('Taxonomy'!$G$9:$G$108,MATCH(D1727,'Taxonomy'!$C$9:$C$108,0)),""))</x:f>
      </x:c>
    </x:row>
    <x:row r="1728" ht="44" customHeight="1">
      <x:c r="A1728" s="1"/>
      <x:c r="B1728" s="1"/>
      <x:c r="C1728" s="8"/>
      <x:c r="D1728" s="8"/>
      <x:c r="E1728" s="8"/>
      <x:c r="F1728" s="8"/>
      <x:c r="G1728" s="8"/>
      <x:c r="H1728" s="8"/>
      <x:c r="I1728" s="8"/>
      <x:c r="J1728" s="8"/>
      <x:c r="K1728" s="8"/>
      <x:c r="L1728" s="8"/>
      <x:c r="M1728" s="10"/>
      <x:c r="N1728" s="10"/>
      <x:c r="O1728" s="8"/>
      <x:c r="P1728" s="9" t="str">
        <x:f>IF(C1728="","",IF(AND(G1728="Applicable",H1728="Fail"),"Fail",IF(R1728&lt;&gt;"Valid","Pending",IF(OR(I1728="",K1728="",L1728="",K1728=L1728,NOT(ISNUMBER(M1728)),NOT(ISNUMBER(N1728)),M1728&gt;Settings!$F$8,N1728&lt;Settings!$F$8,N1728&lt;M1728),"Pending",IF(AND(G1728="Applicable",H1728="Pass"),"Pass",IF(AND(G1728="N/A",H1728="N/A",J1728&lt;&gt;"",OR(E1728="CEM-FUELS",E1728="CEM-CCS",AND(E1728="CEM-PLAN",IFERROR(INDEX('Taxonomy'!$M$9:$M$108,MATCH(D1728,'Taxonomy'!$C$9:$C$108,0)),"")&lt;&gt;"Amber"),E1728="BLD-TIMBER",AND(U1728="Building equipment",OR(E1728="BLD-WATER",E1728="BLD-WASTE",E1728="BLD-LAND")),AND(U1728="Building renovation",E1728="BLD-LAND"))),"N/A","Pending"))))))</x:f>
      </x:c>
      <x:c r="Q1728" s="3" t="str">
        <x:f>IF(C1728="","",IF(AND(R1728="Valid",OR(P1728="Pass",P1728="N/A")),"Complete","Unresolved"))</x:f>
      </x:c>
      <x:c r="R1728" s="9" t="str">
        <x:f>IF(C1728="","",IF(OR(COUNTIF($C$9:$C$2008,C1728)&lt;&gt;1,COUNTIFS($D$9:$D$2008,D1728,$E$9:$E$2008,E1728)&lt;&gt;1),"Duplicate test",IF(COUNTIF('Taxonomy'!$C$9:$C$108,D1728)&lt;&gt;1,"Assessment key",IF(OR(COUNTIF('Taxonomy Rules'!$C$42:$C$68,E1728)&lt;&gt;1,F1728&lt;&gt;IFERROR(INDEX('Taxonomy Rules'!$D$42:$D$68,MATCH(E1728,'Taxonomy Rules'!$C$42:$C$68,0)),""),NOT(OR(IFERROR(INDEX('Taxonomy Rules'!$G$42:$G$68,MATCH(E1728,'Taxonomy Rules'!$C$42:$C$68,0)),"")="All supported routes",IFERROR(INDEX('Taxonomy Rules'!$G$42:$G$68,MATCH(E1728,'Taxonomy Rules'!$C$42:$C$68,0)),"")=U1728,AND(IFERROR(INDEX('Taxonomy Rules'!$G$42:$G$68,MATCH(E1728,'Taxonomy Rules'!$C$42:$C$68,0)),"")="Building routes",OR(U1728="Building renovation",U1728="New building",U1728="Building equipment"))))),"Unexpected test","Valid"))))</x:f>
      </x:c>
      <x:c r="S1728" s="9" t="str">
        <x:f>IF(C1728="","",IFERROR(INDEX('Taxonomy Rules'!$E$42:$E$68,MATCH(E1728,'Taxonomy Rules'!$C$42:$C$68,0)),""))</x:f>
      </x:c>
      <x:c r="T1728" s="9" t="str">
        <x:f>IF(C1728="","",IFERROR(INDEX('Taxonomy Rules'!$F$42:$F$68,MATCH(E1728,'Taxonomy Rules'!$C$42:$C$68,0)),""))</x:f>
      </x:c>
      <x:c r="U1728" s="9" t="str">
        <x:f>IF(C1728="","",IFERROR(INDEX('Taxonomy'!$G$9:$G$108,MATCH(D1728,'Taxonomy'!$C$9:$C$108,0)),""))</x:f>
      </x:c>
    </x:row>
    <x:row r="1729" ht="44" customHeight="1">
      <x:c r="A1729" s="1"/>
      <x:c r="B1729" s="1"/>
      <x:c r="C1729" s="8"/>
      <x:c r="D1729" s="8"/>
      <x:c r="E1729" s="8"/>
      <x:c r="F1729" s="8"/>
      <x:c r="G1729" s="8"/>
      <x:c r="H1729" s="8"/>
      <x:c r="I1729" s="8"/>
      <x:c r="J1729" s="8"/>
      <x:c r="K1729" s="8"/>
      <x:c r="L1729" s="8"/>
      <x:c r="M1729" s="10"/>
      <x:c r="N1729" s="10"/>
      <x:c r="O1729" s="8"/>
      <x:c r="P1729" s="9" t="str">
        <x:f>IF(C1729="","",IF(AND(G1729="Applicable",H1729="Fail"),"Fail",IF(R1729&lt;&gt;"Valid","Pending",IF(OR(I1729="",K1729="",L1729="",K1729=L1729,NOT(ISNUMBER(M1729)),NOT(ISNUMBER(N1729)),M1729&gt;Settings!$F$8,N1729&lt;Settings!$F$8,N1729&lt;M1729),"Pending",IF(AND(G1729="Applicable",H1729="Pass"),"Pass",IF(AND(G1729="N/A",H1729="N/A",J1729&lt;&gt;"",OR(E1729="CEM-FUELS",E1729="CEM-CCS",AND(E1729="CEM-PLAN",IFERROR(INDEX('Taxonomy'!$M$9:$M$108,MATCH(D1729,'Taxonomy'!$C$9:$C$108,0)),"")&lt;&gt;"Amber"),E1729="BLD-TIMBER",AND(U1729="Building equipment",OR(E1729="BLD-WATER",E1729="BLD-WASTE",E1729="BLD-LAND")),AND(U1729="Building renovation",E1729="BLD-LAND"))),"N/A","Pending"))))))</x:f>
      </x:c>
      <x:c r="Q1729" s="3" t="str">
        <x:f>IF(C1729="","",IF(AND(R1729="Valid",OR(P1729="Pass",P1729="N/A")),"Complete","Unresolved"))</x:f>
      </x:c>
      <x:c r="R1729" s="9" t="str">
        <x:f>IF(C1729="","",IF(OR(COUNTIF($C$9:$C$2008,C1729)&lt;&gt;1,COUNTIFS($D$9:$D$2008,D1729,$E$9:$E$2008,E1729)&lt;&gt;1),"Duplicate test",IF(COUNTIF('Taxonomy'!$C$9:$C$108,D1729)&lt;&gt;1,"Assessment key",IF(OR(COUNTIF('Taxonomy Rules'!$C$42:$C$68,E1729)&lt;&gt;1,F1729&lt;&gt;IFERROR(INDEX('Taxonomy Rules'!$D$42:$D$68,MATCH(E1729,'Taxonomy Rules'!$C$42:$C$68,0)),""),NOT(OR(IFERROR(INDEX('Taxonomy Rules'!$G$42:$G$68,MATCH(E1729,'Taxonomy Rules'!$C$42:$C$68,0)),"")="All supported routes",IFERROR(INDEX('Taxonomy Rules'!$G$42:$G$68,MATCH(E1729,'Taxonomy Rules'!$C$42:$C$68,0)),"")=U1729,AND(IFERROR(INDEX('Taxonomy Rules'!$G$42:$G$68,MATCH(E1729,'Taxonomy Rules'!$C$42:$C$68,0)),"")="Building routes",OR(U1729="Building renovation",U1729="New building",U1729="Building equipment"))))),"Unexpected test","Valid"))))</x:f>
      </x:c>
      <x:c r="S1729" s="9" t="str">
        <x:f>IF(C1729="","",IFERROR(INDEX('Taxonomy Rules'!$E$42:$E$68,MATCH(E1729,'Taxonomy Rules'!$C$42:$C$68,0)),""))</x:f>
      </x:c>
      <x:c r="T1729" s="9" t="str">
        <x:f>IF(C1729="","",IFERROR(INDEX('Taxonomy Rules'!$F$42:$F$68,MATCH(E1729,'Taxonomy Rules'!$C$42:$C$68,0)),""))</x:f>
      </x:c>
      <x:c r="U1729" s="9" t="str">
        <x:f>IF(C1729="","",IFERROR(INDEX('Taxonomy'!$G$9:$G$108,MATCH(D1729,'Taxonomy'!$C$9:$C$108,0)),""))</x:f>
      </x:c>
    </x:row>
    <x:row r="1730" ht="44" customHeight="1">
      <x:c r="A1730" s="1"/>
      <x:c r="B1730" s="1"/>
      <x:c r="C1730" s="8"/>
      <x:c r="D1730" s="8"/>
      <x:c r="E1730" s="8"/>
      <x:c r="F1730" s="8"/>
      <x:c r="G1730" s="8"/>
      <x:c r="H1730" s="8"/>
      <x:c r="I1730" s="8"/>
      <x:c r="J1730" s="8"/>
      <x:c r="K1730" s="8"/>
      <x:c r="L1730" s="8"/>
      <x:c r="M1730" s="10"/>
      <x:c r="N1730" s="10"/>
      <x:c r="O1730" s="8"/>
      <x:c r="P1730" s="9" t="str">
        <x:f>IF(C1730="","",IF(AND(G1730="Applicable",H1730="Fail"),"Fail",IF(R1730&lt;&gt;"Valid","Pending",IF(OR(I1730="",K1730="",L1730="",K1730=L1730,NOT(ISNUMBER(M1730)),NOT(ISNUMBER(N1730)),M1730&gt;Settings!$F$8,N1730&lt;Settings!$F$8,N1730&lt;M1730),"Pending",IF(AND(G1730="Applicable",H1730="Pass"),"Pass",IF(AND(G1730="N/A",H1730="N/A",J1730&lt;&gt;"",OR(E1730="CEM-FUELS",E1730="CEM-CCS",AND(E1730="CEM-PLAN",IFERROR(INDEX('Taxonomy'!$M$9:$M$108,MATCH(D1730,'Taxonomy'!$C$9:$C$108,0)),"")&lt;&gt;"Amber"),E1730="BLD-TIMBER",AND(U1730="Building equipment",OR(E1730="BLD-WATER",E1730="BLD-WASTE",E1730="BLD-LAND")),AND(U1730="Building renovation",E1730="BLD-LAND"))),"N/A","Pending"))))))</x:f>
      </x:c>
      <x:c r="Q1730" s="3" t="str">
        <x:f>IF(C1730="","",IF(AND(R1730="Valid",OR(P1730="Pass",P1730="N/A")),"Complete","Unresolved"))</x:f>
      </x:c>
      <x:c r="R1730" s="9" t="str">
        <x:f>IF(C1730="","",IF(OR(COUNTIF($C$9:$C$2008,C1730)&lt;&gt;1,COUNTIFS($D$9:$D$2008,D1730,$E$9:$E$2008,E1730)&lt;&gt;1),"Duplicate test",IF(COUNTIF('Taxonomy'!$C$9:$C$108,D1730)&lt;&gt;1,"Assessment key",IF(OR(COUNTIF('Taxonomy Rules'!$C$42:$C$68,E1730)&lt;&gt;1,F1730&lt;&gt;IFERROR(INDEX('Taxonomy Rules'!$D$42:$D$68,MATCH(E1730,'Taxonomy Rules'!$C$42:$C$68,0)),""),NOT(OR(IFERROR(INDEX('Taxonomy Rules'!$G$42:$G$68,MATCH(E1730,'Taxonomy Rules'!$C$42:$C$68,0)),"")="All supported routes",IFERROR(INDEX('Taxonomy Rules'!$G$42:$G$68,MATCH(E1730,'Taxonomy Rules'!$C$42:$C$68,0)),"")=U1730,AND(IFERROR(INDEX('Taxonomy Rules'!$G$42:$G$68,MATCH(E1730,'Taxonomy Rules'!$C$42:$C$68,0)),"")="Building routes",OR(U1730="Building renovation",U1730="New building",U1730="Building equipment"))))),"Unexpected test","Valid"))))</x:f>
      </x:c>
      <x:c r="S1730" s="9" t="str">
        <x:f>IF(C1730="","",IFERROR(INDEX('Taxonomy Rules'!$E$42:$E$68,MATCH(E1730,'Taxonomy Rules'!$C$42:$C$68,0)),""))</x:f>
      </x:c>
      <x:c r="T1730" s="9" t="str">
        <x:f>IF(C1730="","",IFERROR(INDEX('Taxonomy Rules'!$F$42:$F$68,MATCH(E1730,'Taxonomy Rules'!$C$42:$C$68,0)),""))</x:f>
      </x:c>
      <x:c r="U1730" s="9" t="str">
        <x:f>IF(C1730="","",IFERROR(INDEX('Taxonomy'!$G$9:$G$108,MATCH(D1730,'Taxonomy'!$C$9:$C$108,0)),""))</x:f>
      </x:c>
    </x:row>
    <x:row r="1731" ht="44" customHeight="1">
      <x:c r="A1731" s="1"/>
      <x:c r="B1731" s="1"/>
      <x:c r="C1731" s="8"/>
      <x:c r="D1731" s="8"/>
      <x:c r="E1731" s="8"/>
      <x:c r="F1731" s="8"/>
      <x:c r="G1731" s="8"/>
      <x:c r="H1731" s="8"/>
      <x:c r="I1731" s="8"/>
      <x:c r="J1731" s="8"/>
      <x:c r="K1731" s="8"/>
      <x:c r="L1731" s="8"/>
      <x:c r="M1731" s="10"/>
      <x:c r="N1731" s="10"/>
      <x:c r="O1731" s="8"/>
      <x:c r="P1731" s="9" t="str">
        <x:f>IF(C1731="","",IF(AND(G1731="Applicable",H1731="Fail"),"Fail",IF(R1731&lt;&gt;"Valid","Pending",IF(OR(I1731="",K1731="",L1731="",K1731=L1731,NOT(ISNUMBER(M1731)),NOT(ISNUMBER(N1731)),M1731&gt;Settings!$F$8,N1731&lt;Settings!$F$8,N1731&lt;M1731),"Pending",IF(AND(G1731="Applicable",H1731="Pass"),"Pass",IF(AND(G1731="N/A",H1731="N/A",J1731&lt;&gt;"",OR(E1731="CEM-FUELS",E1731="CEM-CCS",AND(E1731="CEM-PLAN",IFERROR(INDEX('Taxonomy'!$M$9:$M$108,MATCH(D1731,'Taxonomy'!$C$9:$C$108,0)),"")&lt;&gt;"Amber"),E1731="BLD-TIMBER",AND(U1731="Building equipment",OR(E1731="BLD-WATER",E1731="BLD-WASTE",E1731="BLD-LAND")),AND(U1731="Building renovation",E1731="BLD-LAND"))),"N/A","Pending"))))))</x:f>
      </x:c>
      <x:c r="Q1731" s="3" t="str">
        <x:f>IF(C1731="","",IF(AND(R1731="Valid",OR(P1731="Pass",P1731="N/A")),"Complete","Unresolved"))</x:f>
      </x:c>
      <x:c r="R1731" s="9" t="str">
        <x:f>IF(C1731="","",IF(OR(COUNTIF($C$9:$C$2008,C1731)&lt;&gt;1,COUNTIFS($D$9:$D$2008,D1731,$E$9:$E$2008,E1731)&lt;&gt;1),"Duplicate test",IF(COUNTIF('Taxonomy'!$C$9:$C$108,D1731)&lt;&gt;1,"Assessment key",IF(OR(COUNTIF('Taxonomy Rules'!$C$42:$C$68,E1731)&lt;&gt;1,F1731&lt;&gt;IFERROR(INDEX('Taxonomy Rules'!$D$42:$D$68,MATCH(E1731,'Taxonomy Rules'!$C$42:$C$68,0)),""),NOT(OR(IFERROR(INDEX('Taxonomy Rules'!$G$42:$G$68,MATCH(E1731,'Taxonomy Rules'!$C$42:$C$68,0)),"")="All supported routes",IFERROR(INDEX('Taxonomy Rules'!$G$42:$G$68,MATCH(E1731,'Taxonomy Rules'!$C$42:$C$68,0)),"")=U1731,AND(IFERROR(INDEX('Taxonomy Rules'!$G$42:$G$68,MATCH(E1731,'Taxonomy Rules'!$C$42:$C$68,0)),"")="Building routes",OR(U1731="Building renovation",U1731="New building",U1731="Building equipment"))))),"Unexpected test","Valid"))))</x:f>
      </x:c>
      <x:c r="S1731" s="9" t="str">
        <x:f>IF(C1731="","",IFERROR(INDEX('Taxonomy Rules'!$E$42:$E$68,MATCH(E1731,'Taxonomy Rules'!$C$42:$C$68,0)),""))</x:f>
      </x:c>
      <x:c r="T1731" s="9" t="str">
        <x:f>IF(C1731="","",IFERROR(INDEX('Taxonomy Rules'!$F$42:$F$68,MATCH(E1731,'Taxonomy Rules'!$C$42:$C$68,0)),""))</x:f>
      </x:c>
      <x:c r="U1731" s="9" t="str">
        <x:f>IF(C1731="","",IFERROR(INDEX('Taxonomy'!$G$9:$G$108,MATCH(D1731,'Taxonomy'!$C$9:$C$108,0)),""))</x:f>
      </x:c>
    </x:row>
    <x:row r="1732" ht="44" customHeight="1">
      <x:c r="A1732" s="1"/>
      <x:c r="B1732" s="1"/>
      <x:c r="C1732" s="8"/>
      <x:c r="D1732" s="8"/>
      <x:c r="E1732" s="8"/>
      <x:c r="F1732" s="8"/>
      <x:c r="G1732" s="8"/>
      <x:c r="H1732" s="8"/>
      <x:c r="I1732" s="8"/>
      <x:c r="J1732" s="8"/>
      <x:c r="K1732" s="8"/>
      <x:c r="L1732" s="8"/>
      <x:c r="M1732" s="10"/>
      <x:c r="N1732" s="10"/>
      <x:c r="O1732" s="8"/>
      <x:c r="P1732" s="9" t="str">
        <x:f>IF(C1732="","",IF(AND(G1732="Applicable",H1732="Fail"),"Fail",IF(R1732&lt;&gt;"Valid","Pending",IF(OR(I1732="",K1732="",L1732="",K1732=L1732,NOT(ISNUMBER(M1732)),NOT(ISNUMBER(N1732)),M1732&gt;Settings!$F$8,N1732&lt;Settings!$F$8,N1732&lt;M1732),"Pending",IF(AND(G1732="Applicable",H1732="Pass"),"Pass",IF(AND(G1732="N/A",H1732="N/A",J1732&lt;&gt;"",OR(E1732="CEM-FUELS",E1732="CEM-CCS",AND(E1732="CEM-PLAN",IFERROR(INDEX('Taxonomy'!$M$9:$M$108,MATCH(D1732,'Taxonomy'!$C$9:$C$108,0)),"")&lt;&gt;"Amber"),E1732="BLD-TIMBER",AND(U1732="Building equipment",OR(E1732="BLD-WATER",E1732="BLD-WASTE",E1732="BLD-LAND")),AND(U1732="Building renovation",E1732="BLD-LAND"))),"N/A","Pending"))))))</x:f>
      </x:c>
      <x:c r="Q1732" s="3" t="str">
        <x:f>IF(C1732="","",IF(AND(R1732="Valid",OR(P1732="Pass",P1732="N/A")),"Complete","Unresolved"))</x:f>
      </x:c>
      <x:c r="R1732" s="9" t="str">
        <x:f>IF(C1732="","",IF(OR(COUNTIF($C$9:$C$2008,C1732)&lt;&gt;1,COUNTIFS($D$9:$D$2008,D1732,$E$9:$E$2008,E1732)&lt;&gt;1),"Duplicate test",IF(COUNTIF('Taxonomy'!$C$9:$C$108,D1732)&lt;&gt;1,"Assessment key",IF(OR(COUNTIF('Taxonomy Rules'!$C$42:$C$68,E1732)&lt;&gt;1,F1732&lt;&gt;IFERROR(INDEX('Taxonomy Rules'!$D$42:$D$68,MATCH(E1732,'Taxonomy Rules'!$C$42:$C$68,0)),""),NOT(OR(IFERROR(INDEX('Taxonomy Rules'!$G$42:$G$68,MATCH(E1732,'Taxonomy Rules'!$C$42:$C$68,0)),"")="All supported routes",IFERROR(INDEX('Taxonomy Rules'!$G$42:$G$68,MATCH(E1732,'Taxonomy Rules'!$C$42:$C$68,0)),"")=U1732,AND(IFERROR(INDEX('Taxonomy Rules'!$G$42:$G$68,MATCH(E1732,'Taxonomy Rules'!$C$42:$C$68,0)),"")="Building routes",OR(U1732="Building renovation",U1732="New building",U1732="Building equipment"))))),"Unexpected test","Valid"))))</x:f>
      </x:c>
      <x:c r="S1732" s="9" t="str">
        <x:f>IF(C1732="","",IFERROR(INDEX('Taxonomy Rules'!$E$42:$E$68,MATCH(E1732,'Taxonomy Rules'!$C$42:$C$68,0)),""))</x:f>
      </x:c>
      <x:c r="T1732" s="9" t="str">
        <x:f>IF(C1732="","",IFERROR(INDEX('Taxonomy Rules'!$F$42:$F$68,MATCH(E1732,'Taxonomy Rules'!$C$42:$C$68,0)),""))</x:f>
      </x:c>
      <x:c r="U1732" s="9" t="str">
        <x:f>IF(C1732="","",IFERROR(INDEX('Taxonomy'!$G$9:$G$108,MATCH(D1732,'Taxonomy'!$C$9:$C$108,0)),""))</x:f>
      </x:c>
    </x:row>
    <x:row r="1733" ht="44" customHeight="1">
      <x:c r="A1733" s="1"/>
      <x:c r="B1733" s="1"/>
      <x:c r="C1733" s="8"/>
      <x:c r="D1733" s="8"/>
      <x:c r="E1733" s="8"/>
      <x:c r="F1733" s="8"/>
      <x:c r="G1733" s="8"/>
      <x:c r="H1733" s="8"/>
      <x:c r="I1733" s="8"/>
      <x:c r="J1733" s="8"/>
      <x:c r="K1733" s="8"/>
      <x:c r="L1733" s="8"/>
      <x:c r="M1733" s="10"/>
      <x:c r="N1733" s="10"/>
      <x:c r="O1733" s="8"/>
      <x:c r="P1733" s="9" t="str">
        <x:f>IF(C1733="","",IF(AND(G1733="Applicable",H1733="Fail"),"Fail",IF(R1733&lt;&gt;"Valid","Pending",IF(OR(I1733="",K1733="",L1733="",K1733=L1733,NOT(ISNUMBER(M1733)),NOT(ISNUMBER(N1733)),M1733&gt;Settings!$F$8,N1733&lt;Settings!$F$8,N1733&lt;M1733),"Pending",IF(AND(G1733="Applicable",H1733="Pass"),"Pass",IF(AND(G1733="N/A",H1733="N/A",J1733&lt;&gt;"",OR(E1733="CEM-FUELS",E1733="CEM-CCS",AND(E1733="CEM-PLAN",IFERROR(INDEX('Taxonomy'!$M$9:$M$108,MATCH(D1733,'Taxonomy'!$C$9:$C$108,0)),"")&lt;&gt;"Amber"),E1733="BLD-TIMBER",AND(U1733="Building equipment",OR(E1733="BLD-WATER",E1733="BLD-WASTE",E1733="BLD-LAND")),AND(U1733="Building renovation",E1733="BLD-LAND"))),"N/A","Pending"))))))</x:f>
      </x:c>
      <x:c r="Q1733" s="3" t="str">
        <x:f>IF(C1733="","",IF(AND(R1733="Valid",OR(P1733="Pass",P1733="N/A")),"Complete","Unresolved"))</x:f>
      </x:c>
      <x:c r="R1733" s="9" t="str">
        <x:f>IF(C1733="","",IF(OR(COUNTIF($C$9:$C$2008,C1733)&lt;&gt;1,COUNTIFS($D$9:$D$2008,D1733,$E$9:$E$2008,E1733)&lt;&gt;1),"Duplicate test",IF(COUNTIF('Taxonomy'!$C$9:$C$108,D1733)&lt;&gt;1,"Assessment key",IF(OR(COUNTIF('Taxonomy Rules'!$C$42:$C$68,E1733)&lt;&gt;1,F1733&lt;&gt;IFERROR(INDEX('Taxonomy Rules'!$D$42:$D$68,MATCH(E1733,'Taxonomy Rules'!$C$42:$C$68,0)),""),NOT(OR(IFERROR(INDEX('Taxonomy Rules'!$G$42:$G$68,MATCH(E1733,'Taxonomy Rules'!$C$42:$C$68,0)),"")="All supported routes",IFERROR(INDEX('Taxonomy Rules'!$G$42:$G$68,MATCH(E1733,'Taxonomy Rules'!$C$42:$C$68,0)),"")=U1733,AND(IFERROR(INDEX('Taxonomy Rules'!$G$42:$G$68,MATCH(E1733,'Taxonomy Rules'!$C$42:$C$68,0)),"")="Building routes",OR(U1733="Building renovation",U1733="New building",U1733="Building equipment"))))),"Unexpected test","Valid"))))</x:f>
      </x:c>
      <x:c r="S1733" s="9" t="str">
        <x:f>IF(C1733="","",IFERROR(INDEX('Taxonomy Rules'!$E$42:$E$68,MATCH(E1733,'Taxonomy Rules'!$C$42:$C$68,0)),""))</x:f>
      </x:c>
      <x:c r="T1733" s="9" t="str">
        <x:f>IF(C1733="","",IFERROR(INDEX('Taxonomy Rules'!$F$42:$F$68,MATCH(E1733,'Taxonomy Rules'!$C$42:$C$68,0)),""))</x:f>
      </x:c>
      <x:c r="U1733" s="9" t="str">
        <x:f>IF(C1733="","",IFERROR(INDEX('Taxonomy'!$G$9:$G$108,MATCH(D1733,'Taxonomy'!$C$9:$C$108,0)),""))</x:f>
      </x:c>
    </x:row>
    <x:row r="1734" ht="44" customHeight="1">
      <x:c r="A1734" s="1"/>
      <x:c r="B1734" s="1"/>
      <x:c r="C1734" s="8"/>
      <x:c r="D1734" s="8"/>
      <x:c r="E1734" s="8"/>
      <x:c r="F1734" s="8"/>
      <x:c r="G1734" s="8"/>
      <x:c r="H1734" s="8"/>
      <x:c r="I1734" s="8"/>
      <x:c r="J1734" s="8"/>
      <x:c r="K1734" s="8"/>
      <x:c r="L1734" s="8"/>
      <x:c r="M1734" s="10"/>
      <x:c r="N1734" s="10"/>
      <x:c r="O1734" s="8"/>
      <x:c r="P1734" s="9" t="str">
        <x:f>IF(C1734="","",IF(AND(G1734="Applicable",H1734="Fail"),"Fail",IF(R1734&lt;&gt;"Valid","Pending",IF(OR(I1734="",K1734="",L1734="",K1734=L1734,NOT(ISNUMBER(M1734)),NOT(ISNUMBER(N1734)),M1734&gt;Settings!$F$8,N1734&lt;Settings!$F$8,N1734&lt;M1734),"Pending",IF(AND(G1734="Applicable",H1734="Pass"),"Pass",IF(AND(G1734="N/A",H1734="N/A",J1734&lt;&gt;"",OR(E1734="CEM-FUELS",E1734="CEM-CCS",AND(E1734="CEM-PLAN",IFERROR(INDEX('Taxonomy'!$M$9:$M$108,MATCH(D1734,'Taxonomy'!$C$9:$C$108,0)),"")&lt;&gt;"Amber"),E1734="BLD-TIMBER",AND(U1734="Building equipment",OR(E1734="BLD-WATER",E1734="BLD-WASTE",E1734="BLD-LAND")),AND(U1734="Building renovation",E1734="BLD-LAND"))),"N/A","Pending"))))))</x:f>
      </x:c>
      <x:c r="Q1734" s="3" t="str">
        <x:f>IF(C1734="","",IF(AND(R1734="Valid",OR(P1734="Pass",P1734="N/A")),"Complete","Unresolved"))</x:f>
      </x:c>
      <x:c r="R1734" s="9" t="str">
        <x:f>IF(C1734="","",IF(OR(COUNTIF($C$9:$C$2008,C1734)&lt;&gt;1,COUNTIFS($D$9:$D$2008,D1734,$E$9:$E$2008,E1734)&lt;&gt;1),"Duplicate test",IF(COUNTIF('Taxonomy'!$C$9:$C$108,D1734)&lt;&gt;1,"Assessment key",IF(OR(COUNTIF('Taxonomy Rules'!$C$42:$C$68,E1734)&lt;&gt;1,F1734&lt;&gt;IFERROR(INDEX('Taxonomy Rules'!$D$42:$D$68,MATCH(E1734,'Taxonomy Rules'!$C$42:$C$68,0)),""),NOT(OR(IFERROR(INDEX('Taxonomy Rules'!$G$42:$G$68,MATCH(E1734,'Taxonomy Rules'!$C$42:$C$68,0)),"")="All supported routes",IFERROR(INDEX('Taxonomy Rules'!$G$42:$G$68,MATCH(E1734,'Taxonomy Rules'!$C$42:$C$68,0)),"")=U1734,AND(IFERROR(INDEX('Taxonomy Rules'!$G$42:$G$68,MATCH(E1734,'Taxonomy Rules'!$C$42:$C$68,0)),"")="Building routes",OR(U1734="Building renovation",U1734="New building",U1734="Building equipment"))))),"Unexpected test","Valid"))))</x:f>
      </x:c>
      <x:c r="S1734" s="9" t="str">
        <x:f>IF(C1734="","",IFERROR(INDEX('Taxonomy Rules'!$E$42:$E$68,MATCH(E1734,'Taxonomy Rules'!$C$42:$C$68,0)),""))</x:f>
      </x:c>
      <x:c r="T1734" s="9" t="str">
        <x:f>IF(C1734="","",IFERROR(INDEX('Taxonomy Rules'!$F$42:$F$68,MATCH(E1734,'Taxonomy Rules'!$C$42:$C$68,0)),""))</x:f>
      </x:c>
      <x:c r="U1734" s="9" t="str">
        <x:f>IF(C1734="","",IFERROR(INDEX('Taxonomy'!$G$9:$G$108,MATCH(D1734,'Taxonomy'!$C$9:$C$108,0)),""))</x:f>
      </x:c>
    </x:row>
    <x:row r="1735" ht="44" customHeight="1">
      <x:c r="A1735" s="1"/>
      <x:c r="B1735" s="1"/>
      <x:c r="C1735" s="8"/>
      <x:c r="D1735" s="8"/>
      <x:c r="E1735" s="8"/>
      <x:c r="F1735" s="8"/>
      <x:c r="G1735" s="8"/>
      <x:c r="H1735" s="8"/>
      <x:c r="I1735" s="8"/>
      <x:c r="J1735" s="8"/>
      <x:c r="K1735" s="8"/>
      <x:c r="L1735" s="8"/>
      <x:c r="M1735" s="10"/>
      <x:c r="N1735" s="10"/>
      <x:c r="O1735" s="8"/>
      <x:c r="P1735" s="9" t="str">
        <x:f>IF(C1735="","",IF(AND(G1735="Applicable",H1735="Fail"),"Fail",IF(R1735&lt;&gt;"Valid","Pending",IF(OR(I1735="",K1735="",L1735="",K1735=L1735,NOT(ISNUMBER(M1735)),NOT(ISNUMBER(N1735)),M1735&gt;Settings!$F$8,N1735&lt;Settings!$F$8,N1735&lt;M1735),"Pending",IF(AND(G1735="Applicable",H1735="Pass"),"Pass",IF(AND(G1735="N/A",H1735="N/A",J1735&lt;&gt;"",OR(E1735="CEM-FUELS",E1735="CEM-CCS",AND(E1735="CEM-PLAN",IFERROR(INDEX('Taxonomy'!$M$9:$M$108,MATCH(D1735,'Taxonomy'!$C$9:$C$108,0)),"")&lt;&gt;"Amber"),E1735="BLD-TIMBER",AND(U1735="Building equipment",OR(E1735="BLD-WATER",E1735="BLD-WASTE",E1735="BLD-LAND")),AND(U1735="Building renovation",E1735="BLD-LAND"))),"N/A","Pending"))))))</x:f>
      </x:c>
      <x:c r="Q1735" s="3" t="str">
        <x:f>IF(C1735="","",IF(AND(R1735="Valid",OR(P1735="Pass",P1735="N/A")),"Complete","Unresolved"))</x:f>
      </x:c>
      <x:c r="R1735" s="9" t="str">
        <x:f>IF(C1735="","",IF(OR(COUNTIF($C$9:$C$2008,C1735)&lt;&gt;1,COUNTIFS($D$9:$D$2008,D1735,$E$9:$E$2008,E1735)&lt;&gt;1),"Duplicate test",IF(COUNTIF('Taxonomy'!$C$9:$C$108,D1735)&lt;&gt;1,"Assessment key",IF(OR(COUNTIF('Taxonomy Rules'!$C$42:$C$68,E1735)&lt;&gt;1,F1735&lt;&gt;IFERROR(INDEX('Taxonomy Rules'!$D$42:$D$68,MATCH(E1735,'Taxonomy Rules'!$C$42:$C$68,0)),""),NOT(OR(IFERROR(INDEX('Taxonomy Rules'!$G$42:$G$68,MATCH(E1735,'Taxonomy Rules'!$C$42:$C$68,0)),"")="All supported routes",IFERROR(INDEX('Taxonomy Rules'!$G$42:$G$68,MATCH(E1735,'Taxonomy Rules'!$C$42:$C$68,0)),"")=U1735,AND(IFERROR(INDEX('Taxonomy Rules'!$G$42:$G$68,MATCH(E1735,'Taxonomy Rules'!$C$42:$C$68,0)),"")="Building routes",OR(U1735="Building renovation",U1735="New building",U1735="Building equipment"))))),"Unexpected test","Valid"))))</x:f>
      </x:c>
      <x:c r="S1735" s="9" t="str">
        <x:f>IF(C1735="","",IFERROR(INDEX('Taxonomy Rules'!$E$42:$E$68,MATCH(E1735,'Taxonomy Rules'!$C$42:$C$68,0)),""))</x:f>
      </x:c>
      <x:c r="T1735" s="9" t="str">
        <x:f>IF(C1735="","",IFERROR(INDEX('Taxonomy Rules'!$F$42:$F$68,MATCH(E1735,'Taxonomy Rules'!$C$42:$C$68,0)),""))</x:f>
      </x:c>
      <x:c r="U1735" s="9" t="str">
        <x:f>IF(C1735="","",IFERROR(INDEX('Taxonomy'!$G$9:$G$108,MATCH(D1735,'Taxonomy'!$C$9:$C$108,0)),""))</x:f>
      </x:c>
    </x:row>
    <x:row r="1736" ht="44" customHeight="1">
      <x:c r="A1736" s="1"/>
      <x:c r="B1736" s="1"/>
      <x:c r="C1736" s="8"/>
      <x:c r="D1736" s="8"/>
      <x:c r="E1736" s="8"/>
      <x:c r="F1736" s="8"/>
      <x:c r="G1736" s="8"/>
      <x:c r="H1736" s="8"/>
      <x:c r="I1736" s="8"/>
      <x:c r="J1736" s="8"/>
      <x:c r="K1736" s="8"/>
      <x:c r="L1736" s="8"/>
      <x:c r="M1736" s="10"/>
      <x:c r="N1736" s="10"/>
      <x:c r="O1736" s="8"/>
      <x:c r="P1736" s="9" t="str">
        <x:f>IF(C1736="","",IF(AND(G1736="Applicable",H1736="Fail"),"Fail",IF(R1736&lt;&gt;"Valid","Pending",IF(OR(I1736="",K1736="",L1736="",K1736=L1736,NOT(ISNUMBER(M1736)),NOT(ISNUMBER(N1736)),M1736&gt;Settings!$F$8,N1736&lt;Settings!$F$8,N1736&lt;M1736),"Pending",IF(AND(G1736="Applicable",H1736="Pass"),"Pass",IF(AND(G1736="N/A",H1736="N/A",J1736&lt;&gt;"",OR(E1736="CEM-FUELS",E1736="CEM-CCS",AND(E1736="CEM-PLAN",IFERROR(INDEX('Taxonomy'!$M$9:$M$108,MATCH(D1736,'Taxonomy'!$C$9:$C$108,0)),"")&lt;&gt;"Amber"),E1736="BLD-TIMBER",AND(U1736="Building equipment",OR(E1736="BLD-WATER",E1736="BLD-WASTE",E1736="BLD-LAND")),AND(U1736="Building renovation",E1736="BLD-LAND"))),"N/A","Pending"))))))</x:f>
      </x:c>
      <x:c r="Q1736" s="3" t="str">
        <x:f>IF(C1736="","",IF(AND(R1736="Valid",OR(P1736="Pass",P1736="N/A")),"Complete","Unresolved"))</x:f>
      </x:c>
      <x:c r="R1736" s="9" t="str">
        <x:f>IF(C1736="","",IF(OR(COUNTIF($C$9:$C$2008,C1736)&lt;&gt;1,COUNTIFS($D$9:$D$2008,D1736,$E$9:$E$2008,E1736)&lt;&gt;1),"Duplicate test",IF(COUNTIF('Taxonomy'!$C$9:$C$108,D1736)&lt;&gt;1,"Assessment key",IF(OR(COUNTIF('Taxonomy Rules'!$C$42:$C$68,E1736)&lt;&gt;1,F1736&lt;&gt;IFERROR(INDEX('Taxonomy Rules'!$D$42:$D$68,MATCH(E1736,'Taxonomy Rules'!$C$42:$C$68,0)),""),NOT(OR(IFERROR(INDEX('Taxonomy Rules'!$G$42:$G$68,MATCH(E1736,'Taxonomy Rules'!$C$42:$C$68,0)),"")="All supported routes",IFERROR(INDEX('Taxonomy Rules'!$G$42:$G$68,MATCH(E1736,'Taxonomy Rules'!$C$42:$C$68,0)),"")=U1736,AND(IFERROR(INDEX('Taxonomy Rules'!$G$42:$G$68,MATCH(E1736,'Taxonomy Rules'!$C$42:$C$68,0)),"")="Building routes",OR(U1736="Building renovation",U1736="New building",U1736="Building equipment"))))),"Unexpected test","Valid"))))</x:f>
      </x:c>
      <x:c r="S1736" s="9" t="str">
        <x:f>IF(C1736="","",IFERROR(INDEX('Taxonomy Rules'!$E$42:$E$68,MATCH(E1736,'Taxonomy Rules'!$C$42:$C$68,0)),""))</x:f>
      </x:c>
      <x:c r="T1736" s="9" t="str">
        <x:f>IF(C1736="","",IFERROR(INDEX('Taxonomy Rules'!$F$42:$F$68,MATCH(E1736,'Taxonomy Rules'!$C$42:$C$68,0)),""))</x:f>
      </x:c>
      <x:c r="U1736" s="9" t="str">
        <x:f>IF(C1736="","",IFERROR(INDEX('Taxonomy'!$G$9:$G$108,MATCH(D1736,'Taxonomy'!$C$9:$C$108,0)),""))</x:f>
      </x:c>
    </x:row>
    <x:row r="1737" ht="44" customHeight="1">
      <x:c r="A1737" s="1"/>
      <x:c r="B1737" s="1"/>
      <x:c r="C1737" s="8"/>
      <x:c r="D1737" s="8"/>
      <x:c r="E1737" s="8"/>
      <x:c r="F1737" s="8"/>
      <x:c r="G1737" s="8"/>
      <x:c r="H1737" s="8"/>
      <x:c r="I1737" s="8"/>
      <x:c r="J1737" s="8"/>
      <x:c r="K1737" s="8"/>
      <x:c r="L1737" s="8"/>
      <x:c r="M1737" s="10"/>
      <x:c r="N1737" s="10"/>
      <x:c r="O1737" s="8"/>
      <x:c r="P1737" s="9" t="str">
        <x:f>IF(C1737="","",IF(AND(G1737="Applicable",H1737="Fail"),"Fail",IF(R1737&lt;&gt;"Valid","Pending",IF(OR(I1737="",K1737="",L1737="",K1737=L1737,NOT(ISNUMBER(M1737)),NOT(ISNUMBER(N1737)),M1737&gt;Settings!$F$8,N1737&lt;Settings!$F$8,N1737&lt;M1737),"Pending",IF(AND(G1737="Applicable",H1737="Pass"),"Pass",IF(AND(G1737="N/A",H1737="N/A",J1737&lt;&gt;"",OR(E1737="CEM-FUELS",E1737="CEM-CCS",AND(E1737="CEM-PLAN",IFERROR(INDEX('Taxonomy'!$M$9:$M$108,MATCH(D1737,'Taxonomy'!$C$9:$C$108,0)),"")&lt;&gt;"Amber"),E1737="BLD-TIMBER",AND(U1737="Building equipment",OR(E1737="BLD-WATER",E1737="BLD-WASTE",E1737="BLD-LAND")),AND(U1737="Building renovation",E1737="BLD-LAND"))),"N/A","Pending"))))))</x:f>
      </x:c>
      <x:c r="Q1737" s="3" t="str">
        <x:f>IF(C1737="","",IF(AND(R1737="Valid",OR(P1737="Pass",P1737="N/A")),"Complete","Unresolved"))</x:f>
      </x:c>
      <x:c r="R1737" s="9" t="str">
        <x:f>IF(C1737="","",IF(OR(COUNTIF($C$9:$C$2008,C1737)&lt;&gt;1,COUNTIFS($D$9:$D$2008,D1737,$E$9:$E$2008,E1737)&lt;&gt;1),"Duplicate test",IF(COUNTIF('Taxonomy'!$C$9:$C$108,D1737)&lt;&gt;1,"Assessment key",IF(OR(COUNTIF('Taxonomy Rules'!$C$42:$C$68,E1737)&lt;&gt;1,F1737&lt;&gt;IFERROR(INDEX('Taxonomy Rules'!$D$42:$D$68,MATCH(E1737,'Taxonomy Rules'!$C$42:$C$68,0)),""),NOT(OR(IFERROR(INDEX('Taxonomy Rules'!$G$42:$G$68,MATCH(E1737,'Taxonomy Rules'!$C$42:$C$68,0)),"")="All supported routes",IFERROR(INDEX('Taxonomy Rules'!$G$42:$G$68,MATCH(E1737,'Taxonomy Rules'!$C$42:$C$68,0)),"")=U1737,AND(IFERROR(INDEX('Taxonomy Rules'!$G$42:$G$68,MATCH(E1737,'Taxonomy Rules'!$C$42:$C$68,0)),"")="Building routes",OR(U1737="Building renovation",U1737="New building",U1737="Building equipment"))))),"Unexpected test","Valid"))))</x:f>
      </x:c>
      <x:c r="S1737" s="9" t="str">
        <x:f>IF(C1737="","",IFERROR(INDEX('Taxonomy Rules'!$E$42:$E$68,MATCH(E1737,'Taxonomy Rules'!$C$42:$C$68,0)),""))</x:f>
      </x:c>
      <x:c r="T1737" s="9" t="str">
        <x:f>IF(C1737="","",IFERROR(INDEX('Taxonomy Rules'!$F$42:$F$68,MATCH(E1737,'Taxonomy Rules'!$C$42:$C$68,0)),""))</x:f>
      </x:c>
      <x:c r="U1737" s="9" t="str">
        <x:f>IF(C1737="","",IFERROR(INDEX('Taxonomy'!$G$9:$G$108,MATCH(D1737,'Taxonomy'!$C$9:$C$108,0)),""))</x:f>
      </x:c>
    </x:row>
    <x:row r="1738" ht="44" customHeight="1">
      <x:c r="A1738" s="1"/>
      <x:c r="B1738" s="1"/>
      <x:c r="C1738" s="8"/>
      <x:c r="D1738" s="8"/>
      <x:c r="E1738" s="8"/>
      <x:c r="F1738" s="8"/>
      <x:c r="G1738" s="8"/>
      <x:c r="H1738" s="8"/>
      <x:c r="I1738" s="8"/>
      <x:c r="J1738" s="8"/>
      <x:c r="K1738" s="8"/>
      <x:c r="L1738" s="8"/>
      <x:c r="M1738" s="10"/>
      <x:c r="N1738" s="10"/>
      <x:c r="O1738" s="8"/>
      <x:c r="P1738" s="9" t="str">
        <x:f>IF(C1738="","",IF(AND(G1738="Applicable",H1738="Fail"),"Fail",IF(R1738&lt;&gt;"Valid","Pending",IF(OR(I1738="",K1738="",L1738="",K1738=L1738,NOT(ISNUMBER(M1738)),NOT(ISNUMBER(N1738)),M1738&gt;Settings!$F$8,N1738&lt;Settings!$F$8,N1738&lt;M1738),"Pending",IF(AND(G1738="Applicable",H1738="Pass"),"Pass",IF(AND(G1738="N/A",H1738="N/A",J1738&lt;&gt;"",OR(E1738="CEM-FUELS",E1738="CEM-CCS",AND(E1738="CEM-PLAN",IFERROR(INDEX('Taxonomy'!$M$9:$M$108,MATCH(D1738,'Taxonomy'!$C$9:$C$108,0)),"")&lt;&gt;"Amber"),E1738="BLD-TIMBER",AND(U1738="Building equipment",OR(E1738="BLD-WATER",E1738="BLD-WASTE",E1738="BLD-LAND")),AND(U1738="Building renovation",E1738="BLD-LAND"))),"N/A","Pending"))))))</x:f>
      </x:c>
      <x:c r="Q1738" s="3" t="str">
        <x:f>IF(C1738="","",IF(AND(R1738="Valid",OR(P1738="Pass",P1738="N/A")),"Complete","Unresolved"))</x:f>
      </x:c>
      <x:c r="R1738" s="9" t="str">
        <x:f>IF(C1738="","",IF(OR(COUNTIF($C$9:$C$2008,C1738)&lt;&gt;1,COUNTIFS($D$9:$D$2008,D1738,$E$9:$E$2008,E1738)&lt;&gt;1),"Duplicate test",IF(COUNTIF('Taxonomy'!$C$9:$C$108,D1738)&lt;&gt;1,"Assessment key",IF(OR(COUNTIF('Taxonomy Rules'!$C$42:$C$68,E1738)&lt;&gt;1,F1738&lt;&gt;IFERROR(INDEX('Taxonomy Rules'!$D$42:$D$68,MATCH(E1738,'Taxonomy Rules'!$C$42:$C$68,0)),""),NOT(OR(IFERROR(INDEX('Taxonomy Rules'!$G$42:$G$68,MATCH(E1738,'Taxonomy Rules'!$C$42:$C$68,0)),"")="All supported routes",IFERROR(INDEX('Taxonomy Rules'!$G$42:$G$68,MATCH(E1738,'Taxonomy Rules'!$C$42:$C$68,0)),"")=U1738,AND(IFERROR(INDEX('Taxonomy Rules'!$G$42:$G$68,MATCH(E1738,'Taxonomy Rules'!$C$42:$C$68,0)),"")="Building routes",OR(U1738="Building renovation",U1738="New building",U1738="Building equipment"))))),"Unexpected test","Valid"))))</x:f>
      </x:c>
      <x:c r="S1738" s="9" t="str">
        <x:f>IF(C1738="","",IFERROR(INDEX('Taxonomy Rules'!$E$42:$E$68,MATCH(E1738,'Taxonomy Rules'!$C$42:$C$68,0)),""))</x:f>
      </x:c>
      <x:c r="T1738" s="9" t="str">
        <x:f>IF(C1738="","",IFERROR(INDEX('Taxonomy Rules'!$F$42:$F$68,MATCH(E1738,'Taxonomy Rules'!$C$42:$C$68,0)),""))</x:f>
      </x:c>
      <x:c r="U1738" s="9" t="str">
        <x:f>IF(C1738="","",IFERROR(INDEX('Taxonomy'!$G$9:$G$108,MATCH(D1738,'Taxonomy'!$C$9:$C$108,0)),""))</x:f>
      </x:c>
    </x:row>
    <x:row r="1739" ht="44" customHeight="1">
      <x:c r="A1739" s="1"/>
      <x:c r="B1739" s="1"/>
      <x:c r="C1739" s="8"/>
      <x:c r="D1739" s="8"/>
      <x:c r="E1739" s="8"/>
      <x:c r="F1739" s="8"/>
      <x:c r="G1739" s="8"/>
      <x:c r="H1739" s="8"/>
      <x:c r="I1739" s="8"/>
      <x:c r="J1739" s="8"/>
      <x:c r="K1739" s="8"/>
      <x:c r="L1739" s="8"/>
      <x:c r="M1739" s="10"/>
      <x:c r="N1739" s="10"/>
      <x:c r="O1739" s="8"/>
      <x:c r="P1739" s="9" t="str">
        <x:f>IF(C1739="","",IF(AND(G1739="Applicable",H1739="Fail"),"Fail",IF(R1739&lt;&gt;"Valid","Pending",IF(OR(I1739="",K1739="",L1739="",K1739=L1739,NOT(ISNUMBER(M1739)),NOT(ISNUMBER(N1739)),M1739&gt;Settings!$F$8,N1739&lt;Settings!$F$8,N1739&lt;M1739),"Pending",IF(AND(G1739="Applicable",H1739="Pass"),"Pass",IF(AND(G1739="N/A",H1739="N/A",J1739&lt;&gt;"",OR(E1739="CEM-FUELS",E1739="CEM-CCS",AND(E1739="CEM-PLAN",IFERROR(INDEX('Taxonomy'!$M$9:$M$108,MATCH(D1739,'Taxonomy'!$C$9:$C$108,0)),"")&lt;&gt;"Amber"),E1739="BLD-TIMBER",AND(U1739="Building equipment",OR(E1739="BLD-WATER",E1739="BLD-WASTE",E1739="BLD-LAND")),AND(U1739="Building renovation",E1739="BLD-LAND"))),"N/A","Pending"))))))</x:f>
      </x:c>
      <x:c r="Q1739" s="3" t="str">
        <x:f>IF(C1739="","",IF(AND(R1739="Valid",OR(P1739="Pass",P1739="N/A")),"Complete","Unresolved"))</x:f>
      </x:c>
      <x:c r="R1739" s="9" t="str">
        <x:f>IF(C1739="","",IF(OR(COUNTIF($C$9:$C$2008,C1739)&lt;&gt;1,COUNTIFS($D$9:$D$2008,D1739,$E$9:$E$2008,E1739)&lt;&gt;1),"Duplicate test",IF(COUNTIF('Taxonomy'!$C$9:$C$108,D1739)&lt;&gt;1,"Assessment key",IF(OR(COUNTIF('Taxonomy Rules'!$C$42:$C$68,E1739)&lt;&gt;1,F1739&lt;&gt;IFERROR(INDEX('Taxonomy Rules'!$D$42:$D$68,MATCH(E1739,'Taxonomy Rules'!$C$42:$C$68,0)),""),NOT(OR(IFERROR(INDEX('Taxonomy Rules'!$G$42:$G$68,MATCH(E1739,'Taxonomy Rules'!$C$42:$C$68,0)),"")="All supported routes",IFERROR(INDEX('Taxonomy Rules'!$G$42:$G$68,MATCH(E1739,'Taxonomy Rules'!$C$42:$C$68,0)),"")=U1739,AND(IFERROR(INDEX('Taxonomy Rules'!$G$42:$G$68,MATCH(E1739,'Taxonomy Rules'!$C$42:$C$68,0)),"")="Building routes",OR(U1739="Building renovation",U1739="New building",U1739="Building equipment"))))),"Unexpected test","Valid"))))</x:f>
      </x:c>
      <x:c r="S1739" s="9" t="str">
        <x:f>IF(C1739="","",IFERROR(INDEX('Taxonomy Rules'!$E$42:$E$68,MATCH(E1739,'Taxonomy Rules'!$C$42:$C$68,0)),""))</x:f>
      </x:c>
      <x:c r="T1739" s="9" t="str">
        <x:f>IF(C1739="","",IFERROR(INDEX('Taxonomy Rules'!$F$42:$F$68,MATCH(E1739,'Taxonomy Rules'!$C$42:$C$68,0)),""))</x:f>
      </x:c>
      <x:c r="U1739" s="9" t="str">
        <x:f>IF(C1739="","",IFERROR(INDEX('Taxonomy'!$G$9:$G$108,MATCH(D1739,'Taxonomy'!$C$9:$C$108,0)),""))</x:f>
      </x:c>
    </x:row>
    <x:row r="1740" ht="44" customHeight="1">
      <x:c r="A1740" s="1"/>
      <x:c r="B1740" s="1"/>
      <x:c r="C1740" s="8"/>
      <x:c r="D1740" s="8"/>
      <x:c r="E1740" s="8"/>
      <x:c r="F1740" s="8"/>
      <x:c r="G1740" s="8"/>
      <x:c r="H1740" s="8"/>
      <x:c r="I1740" s="8"/>
      <x:c r="J1740" s="8"/>
      <x:c r="K1740" s="8"/>
      <x:c r="L1740" s="8"/>
      <x:c r="M1740" s="10"/>
      <x:c r="N1740" s="10"/>
      <x:c r="O1740" s="8"/>
      <x:c r="P1740" s="9" t="str">
        <x:f>IF(C1740="","",IF(AND(G1740="Applicable",H1740="Fail"),"Fail",IF(R1740&lt;&gt;"Valid","Pending",IF(OR(I1740="",K1740="",L1740="",K1740=L1740,NOT(ISNUMBER(M1740)),NOT(ISNUMBER(N1740)),M1740&gt;Settings!$F$8,N1740&lt;Settings!$F$8,N1740&lt;M1740),"Pending",IF(AND(G1740="Applicable",H1740="Pass"),"Pass",IF(AND(G1740="N/A",H1740="N/A",J1740&lt;&gt;"",OR(E1740="CEM-FUELS",E1740="CEM-CCS",AND(E1740="CEM-PLAN",IFERROR(INDEX('Taxonomy'!$M$9:$M$108,MATCH(D1740,'Taxonomy'!$C$9:$C$108,0)),"")&lt;&gt;"Amber"),E1740="BLD-TIMBER",AND(U1740="Building equipment",OR(E1740="BLD-WATER",E1740="BLD-WASTE",E1740="BLD-LAND")),AND(U1740="Building renovation",E1740="BLD-LAND"))),"N/A","Pending"))))))</x:f>
      </x:c>
      <x:c r="Q1740" s="3" t="str">
        <x:f>IF(C1740="","",IF(AND(R1740="Valid",OR(P1740="Pass",P1740="N/A")),"Complete","Unresolved"))</x:f>
      </x:c>
      <x:c r="R1740" s="9" t="str">
        <x:f>IF(C1740="","",IF(OR(COUNTIF($C$9:$C$2008,C1740)&lt;&gt;1,COUNTIFS($D$9:$D$2008,D1740,$E$9:$E$2008,E1740)&lt;&gt;1),"Duplicate test",IF(COUNTIF('Taxonomy'!$C$9:$C$108,D1740)&lt;&gt;1,"Assessment key",IF(OR(COUNTIF('Taxonomy Rules'!$C$42:$C$68,E1740)&lt;&gt;1,F1740&lt;&gt;IFERROR(INDEX('Taxonomy Rules'!$D$42:$D$68,MATCH(E1740,'Taxonomy Rules'!$C$42:$C$68,0)),""),NOT(OR(IFERROR(INDEX('Taxonomy Rules'!$G$42:$G$68,MATCH(E1740,'Taxonomy Rules'!$C$42:$C$68,0)),"")="All supported routes",IFERROR(INDEX('Taxonomy Rules'!$G$42:$G$68,MATCH(E1740,'Taxonomy Rules'!$C$42:$C$68,0)),"")=U1740,AND(IFERROR(INDEX('Taxonomy Rules'!$G$42:$G$68,MATCH(E1740,'Taxonomy Rules'!$C$42:$C$68,0)),"")="Building routes",OR(U1740="Building renovation",U1740="New building",U1740="Building equipment"))))),"Unexpected test","Valid"))))</x:f>
      </x:c>
      <x:c r="S1740" s="9" t="str">
        <x:f>IF(C1740="","",IFERROR(INDEX('Taxonomy Rules'!$E$42:$E$68,MATCH(E1740,'Taxonomy Rules'!$C$42:$C$68,0)),""))</x:f>
      </x:c>
      <x:c r="T1740" s="9" t="str">
        <x:f>IF(C1740="","",IFERROR(INDEX('Taxonomy Rules'!$F$42:$F$68,MATCH(E1740,'Taxonomy Rules'!$C$42:$C$68,0)),""))</x:f>
      </x:c>
      <x:c r="U1740" s="9" t="str">
        <x:f>IF(C1740="","",IFERROR(INDEX('Taxonomy'!$G$9:$G$108,MATCH(D1740,'Taxonomy'!$C$9:$C$108,0)),""))</x:f>
      </x:c>
    </x:row>
    <x:row r="1741" ht="44" customHeight="1">
      <x:c r="A1741" s="1"/>
      <x:c r="B1741" s="1"/>
      <x:c r="C1741" s="8"/>
      <x:c r="D1741" s="8"/>
      <x:c r="E1741" s="8"/>
      <x:c r="F1741" s="8"/>
      <x:c r="G1741" s="8"/>
      <x:c r="H1741" s="8"/>
      <x:c r="I1741" s="8"/>
      <x:c r="J1741" s="8"/>
      <x:c r="K1741" s="8"/>
      <x:c r="L1741" s="8"/>
      <x:c r="M1741" s="10"/>
      <x:c r="N1741" s="10"/>
      <x:c r="O1741" s="8"/>
      <x:c r="P1741" s="9" t="str">
        <x:f>IF(C1741="","",IF(AND(G1741="Applicable",H1741="Fail"),"Fail",IF(R1741&lt;&gt;"Valid","Pending",IF(OR(I1741="",K1741="",L1741="",K1741=L1741,NOT(ISNUMBER(M1741)),NOT(ISNUMBER(N1741)),M1741&gt;Settings!$F$8,N1741&lt;Settings!$F$8,N1741&lt;M1741),"Pending",IF(AND(G1741="Applicable",H1741="Pass"),"Pass",IF(AND(G1741="N/A",H1741="N/A",J1741&lt;&gt;"",OR(E1741="CEM-FUELS",E1741="CEM-CCS",AND(E1741="CEM-PLAN",IFERROR(INDEX('Taxonomy'!$M$9:$M$108,MATCH(D1741,'Taxonomy'!$C$9:$C$108,0)),"")&lt;&gt;"Amber"),E1741="BLD-TIMBER",AND(U1741="Building equipment",OR(E1741="BLD-WATER",E1741="BLD-WASTE",E1741="BLD-LAND")),AND(U1741="Building renovation",E1741="BLD-LAND"))),"N/A","Pending"))))))</x:f>
      </x:c>
      <x:c r="Q1741" s="3" t="str">
        <x:f>IF(C1741="","",IF(AND(R1741="Valid",OR(P1741="Pass",P1741="N/A")),"Complete","Unresolved"))</x:f>
      </x:c>
      <x:c r="R1741" s="9" t="str">
        <x:f>IF(C1741="","",IF(OR(COUNTIF($C$9:$C$2008,C1741)&lt;&gt;1,COUNTIFS($D$9:$D$2008,D1741,$E$9:$E$2008,E1741)&lt;&gt;1),"Duplicate test",IF(COUNTIF('Taxonomy'!$C$9:$C$108,D1741)&lt;&gt;1,"Assessment key",IF(OR(COUNTIF('Taxonomy Rules'!$C$42:$C$68,E1741)&lt;&gt;1,F1741&lt;&gt;IFERROR(INDEX('Taxonomy Rules'!$D$42:$D$68,MATCH(E1741,'Taxonomy Rules'!$C$42:$C$68,0)),""),NOT(OR(IFERROR(INDEX('Taxonomy Rules'!$G$42:$G$68,MATCH(E1741,'Taxonomy Rules'!$C$42:$C$68,0)),"")="All supported routes",IFERROR(INDEX('Taxonomy Rules'!$G$42:$G$68,MATCH(E1741,'Taxonomy Rules'!$C$42:$C$68,0)),"")=U1741,AND(IFERROR(INDEX('Taxonomy Rules'!$G$42:$G$68,MATCH(E1741,'Taxonomy Rules'!$C$42:$C$68,0)),"")="Building routes",OR(U1741="Building renovation",U1741="New building",U1741="Building equipment"))))),"Unexpected test","Valid"))))</x:f>
      </x:c>
      <x:c r="S1741" s="9" t="str">
        <x:f>IF(C1741="","",IFERROR(INDEX('Taxonomy Rules'!$E$42:$E$68,MATCH(E1741,'Taxonomy Rules'!$C$42:$C$68,0)),""))</x:f>
      </x:c>
      <x:c r="T1741" s="9" t="str">
        <x:f>IF(C1741="","",IFERROR(INDEX('Taxonomy Rules'!$F$42:$F$68,MATCH(E1741,'Taxonomy Rules'!$C$42:$C$68,0)),""))</x:f>
      </x:c>
      <x:c r="U1741" s="9" t="str">
        <x:f>IF(C1741="","",IFERROR(INDEX('Taxonomy'!$G$9:$G$108,MATCH(D1741,'Taxonomy'!$C$9:$C$108,0)),""))</x:f>
      </x:c>
    </x:row>
    <x:row r="1742" ht="44" customHeight="1">
      <x:c r="A1742" s="1"/>
      <x:c r="B1742" s="1"/>
      <x:c r="C1742" s="8"/>
      <x:c r="D1742" s="8"/>
      <x:c r="E1742" s="8"/>
      <x:c r="F1742" s="8"/>
      <x:c r="G1742" s="8"/>
      <x:c r="H1742" s="8"/>
      <x:c r="I1742" s="8"/>
      <x:c r="J1742" s="8"/>
      <x:c r="K1742" s="8"/>
      <x:c r="L1742" s="8"/>
      <x:c r="M1742" s="10"/>
      <x:c r="N1742" s="10"/>
      <x:c r="O1742" s="8"/>
      <x:c r="P1742" s="9" t="str">
        <x:f>IF(C1742="","",IF(AND(G1742="Applicable",H1742="Fail"),"Fail",IF(R1742&lt;&gt;"Valid","Pending",IF(OR(I1742="",K1742="",L1742="",K1742=L1742,NOT(ISNUMBER(M1742)),NOT(ISNUMBER(N1742)),M1742&gt;Settings!$F$8,N1742&lt;Settings!$F$8,N1742&lt;M1742),"Pending",IF(AND(G1742="Applicable",H1742="Pass"),"Pass",IF(AND(G1742="N/A",H1742="N/A",J1742&lt;&gt;"",OR(E1742="CEM-FUELS",E1742="CEM-CCS",AND(E1742="CEM-PLAN",IFERROR(INDEX('Taxonomy'!$M$9:$M$108,MATCH(D1742,'Taxonomy'!$C$9:$C$108,0)),"")&lt;&gt;"Amber"),E1742="BLD-TIMBER",AND(U1742="Building equipment",OR(E1742="BLD-WATER",E1742="BLD-WASTE",E1742="BLD-LAND")),AND(U1742="Building renovation",E1742="BLD-LAND"))),"N/A","Pending"))))))</x:f>
      </x:c>
      <x:c r="Q1742" s="3" t="str">
        <x:f>IF(C1742="","",IF(AND(R1742="Valid",OR(P1742="Pass",P1742="N/A")),"Complete","Unresolved"))</x:f>
      </x:c>
      <x:c r="R1742" s="9" t="str">
        <x:f>IF(C1742="","",IF(OR(COUNTIF($C$9:$C$2008,C1742)&lt;&gt;1,COUNTIFS($D$9:$D$2008,D1742,$E$9:$E$2008,E1742)&lt;&gt;1),"Duplicate test",IF(COUNTIF('Taxonomy'!$C$9:$C$108,D1742)&lt;&gt;1,"Assessment key",IF(OR(COUNTIF('Taxonomy Rules'!$C$42:$C$68,E1742)&lt;&gt;1,F1742&lt;&gt;IFERROR(INDEX('Taxonomy Rules'!$D$42:$D$68,MATCH(E1742,'Taxonomy Rules'!$C$42:$C$68,0)),""),NOT(OR(IFERROR(INDEX('Taxonomy Rules'!$G$42:$G$68,MATCH(E1742,'Taxonomy Rules'!$C$42:$C$68,0)),"")="All supported routes",IFERROR(INDEX('Taxonomy Rules'!$G$42:$G$68,MATCH(E1742,'Taxonomy Rules'!$C$42:$C$68,0)),"")=U1742,AND(IFERROR(INDEX('Taxonomy Rules'!$G$42:$G$68,MATCH(E1742,'Taxonomy Rules'!$C$42:$C$68,0)),"")="Building routes",OR(U1742="Building renovation",U1742="New building",U1742="Building equipment"))))),"Unexpected test","Valid"))))</x:f>
      </x:c>
      <x:c r="S1742" s="9" t="str">
        <x:f>IF(C1742="","",IFERROR(INDEX('Taxonomy Rules'!$E$42:$E$68,MATCH(E1742,'Taxonomy Rules'!$C$42:$C$68,0)),""))</x:f>
      </x:c>
      <x:c r="T1742" s="9" t="str">
        <x:f>IF(C1742="","",IFERROR(INDEX('Taxonomy Rules'!$F$42:$F$68,MATCH(E1742,'Taxonomy Rules'!$C$42:$C$68,0)),""))</x:f>
      </x:c>
      <x:c r="U1742" s="9" t="str">
        <x:f>IF(C1742="","",IFERROR(INDEX('Taxonomy'!$G$9:$G$108,MATCH(D1742,'Taxonomy'!$C$9:$C$108,0)),""))</x:f>
      </x:c>
    </x:row>
    <x:row r="1743" ht="44" customHeight="1">
      <x:c r="A1743" s="1"/>
      <x:c r="B1743" s="1"/>
      <x:c r="C1743" s="8"/>
      <x:c r="D1743" s="8"/>
      <x:c r="E1743" s="8"/>
      <x:c r="F1743" s="8"/>
      <x:c r="G1743" s="8"/>
      <x:c r="H1743" s="8"/>
      <x:c r="I1743" s="8"/>
      <x:c r="J1743" s="8"/>
      <x:c r="K1743" s="8"/>
      <x:c r="L1743" s="8"/>
      <x:c r="M1743" s="10"/>
      <x:c r="N1743" s="10"/>
      <x:c r="O1743" s="8"/>
      <x:c r="P1743" s="9" t="str">
        <x:f>IF(C1743="","",IF(AND(G1743="Applicable",H1743="Fail"),"Fail",IF(R1743&lt;&gt;"Valid","Pending",IF(OR(I1743="",K1743="",L1743="",K1743=L1743,NOT(ISNUMBER(M1743)),NOT(ISNUMBER(N1743)),M1743&gt;Settings!$F$8,N1743&lt;Settings!$F$8,N1743&lt;M1743),"Pending",IF(AND(G1743="Applicable",H1743="Pass"),"Pass",IF(AND(G1743="N/A",H1743="N/A",J1743&lt;&gt;"",OR(E1743="CEM-FUELS",E1743="CEM-CCS",AND(E1743="CEM-PLAN",IFERROR(INDEX('Taxonomy'!$M$9:$M$108,MATCH(D1743,'Taxonomy'!$C$9:$C$108,0)),"")&lt;&gt;"Amber"),E1743="BLD-TIMBER",AND(U1743="Building equipment",OR(E1743="BLD-WATER",E1743="BLD-WASTE",E1743="BLD-LAND")),AND(U1743="Building renovation",E1743="BLD-LAND"))),"N/A","Pending"))))))</x:f>
      </x:c>
      <x:c r="Q1743" s="3" t="str">
        <x:f>IF(C1743="","",IF(AND(R1743="Valid",OR(P1743="Pass",P1743="N/A")),"Complete","Unresolved"))</x:f>
      </x:c>
      <x:c r="R1743" s="9" t="str">
        <x:f>IF(C1743="","",IF(OR(COUNTIF($C$9:$C$2008,C1743)&lt;&gt;1,COUNTIFS($D$9:$D$2008,D1743,$E$9:$E$2008,E1743)&lt;&gt;1),"Duplicate test",IF(COUNTIF('Taxonomy'!$C$9:$C$108,D1743)&lt;&gt;1,"Assessment key",IF(OR(COUNTIF('Taxonomy Rules'!$C$42:$C$68,E1743)&lt;&gt;1,F1743&lt;&gt;IFERROR(INDEX('Taxonomy Rules'!$D$42:$D$68,MATCH(E1743,'Taxonomy Rules'!$C$42:$C$68,0)),""),NOT(OR(IFERROR(INDEX('Taxonomy Rules'!$G$42:$G$68,MATCH(E1743,'Taxonomy Rules'!$C$42:$C$68,0)),"")="All supported routes",IFERROR(INDEX('Taxonomy Rules'!$G$42:$G$68,MATCH(E1743,'Taxonomy Rules'!$C$42:$C$68,0)),"")=U1743,AND(IFERROR(INDEX('Taxonomy Rules'!$G$42:$G$68,MATCH(E1743,'Taxonomy Rules'!$C$42:$C$68,0)),"")="Building routes",OR(U1743="Building renovation",U1743="New building",U1743="Building equipment"))))),"Unexpected test","Valid"))))</x:f>
      </x:c>
      <x:c r="S1743" s="9" t="str">
        <x:f>IF(C1743="","",IFERROR(INDEX('Taxonomy Rules'!$E$42:$E$68,MATCH(E1743,'Taxonomy Rules'!$C$42:$C$68,0)),""))</x:f>
      </x:c>
      <x:c r="T1743" s="9" t="str">
        <x:f>IF(C1743="","",IFERROR(INDEX('Taxonomy Rules'!$F$42:$F$68,MATCH(E1743,'Taxonomy Rules'!$C$42:$C$68,0)),""))</x:f>
      </x:c>
      <x:c r="U1743" s="9" t="str">
        <x:f>IF(C1743="","",IFERROR(INDEX('Taxonomy'!$G$9:$G$108,MATCH(D1743,'Taxonomy'!$C$9:$C$108,0)),""))</x:f>
      </x:c>
    </x:row>
    <x:row r="1744" ht="44" customHeight="1">
      <x:c r="A1744" s="1"/>
      <x:c r="B1744" s="1"/>
      <x:c r="C1744" s="8"/>
      <x:c r="D1744" s="8"/>
      <x:c r="E1744" s="8"/>
      <x:c r="F1744" s="8"/>
      <x:c r="G1744" s="8"/>
      <x:c r="H1744" s="8"/>
      <x:c r="I1744" s="8"/>
      <x:c r="J1744" s="8"/>
      <x:c r="K1744" s="8"/>
      <x:c r="L1744" s="8"/>
      <x:c r="M1744" s="10"/>
      <x:c r="N1744" s="10"/>
      <x:c r="O1744" s="8"/>
      <x:c r="P1744" s="9" t="str">
        <x:f>IF(C1744="","",IF(AND(G1744="Applicable",H1744="Fail"),"Fail",IF(R1744&lt;&gt;"Valid","Pending",IF(OR(I1744="",K1744="",L1744="",K1744=L1744,NOT(ISNUMBER(M1744)),NOT(ISNUMBER(N1744)),M1744&gt;Settings!$F$8,N1744&lt;Settings!$F$8,N1744&lt;M1744),"Pending",IF(AND(G1744="Applicable",H1744="Pass"),"Pass",IF(AND(G1744="N/A",H1744="N/A",J1744&lt;&gt;"",OR(E1744="CEM-FUELS",E1744="CEM-CCS",AND(E1744="CEM-PLAN",IFERROR(INDEX('Taxonomy'!$M$9:$M$108,MATCH(D1744,'Taxonomy'!$C$9:$C$108,0)),"")&lt;&gt;"Amber"),E1744="BLD-TIMBER",AND(U1744="Building equipment",OR(E1744="BLD-WATER",E1744="BLD-WASTE",E1744="BLD-LAND")),AND(U1744="Building renovation",E1744="BLD-LAND"))),"N/A","Pending"))))))</x:f>
      </x:c>
      <x:c r="Q1744" s="3" t="str">
        <x:f>IF(C1744="","",IF(AND(R1744="Valid",OR(P1744="Pass",P1744="N/A")),"Complete","Unresolved"))</x:f>
      </x:c>
      <x:c r="R1744" s="9" t="str">
        <x:f>IF(C1744="","",IF(OR(COUNTIF($C$9:$C$2008,C1744)&lt;&gt;1,COUNTIFS($D$9:$D$2008,D1744,$E$9:$E$2008,E1744)&lt;&gt;1),"Duplicate test",IF(COUNTIF('Taxonomy'!$C$9:$C$108,D1744)&lt;&gt;1,"Assessment key",IF(OR(COUNTIF('Taxonomy Rules'!$C$42:$C$68,E1744)&lt;&gt;1,F1744&lt;&gt;IFERROR(INDEX('Taxonomy Rules'!$D$42:$D$68,MATCH(E1744,'Taxonomy Rules'!$C$42:$C$68,0)),""),NOT(OR(IFERROR(INDEX('Taxonomy Rules'!$G$42:$G$68,MATCH(E1744,'Taxonomy Rules'!$C$42:$C$68,0)),"")="All supported routes",IFERROR(INDEX('Taxonomy Rules'!$G$42:$G$68,MATCH(E1744,'Taxonomy Rules'!$C$42:$C$68,0)),"")=U1744,AND(IFERROR(INDEX('Taxonomy Rules'!$G$42:$G$68,MATCH(E1744,'Taxonomy Rules'!$C$42:$C$68,0)),"")="Building routes",OR(U1744="Building renovation",U1744="New building",U1744="Building equipment"))))),"Unexpected test","Valid"))))</x:f>
      </x:c>
      <x:c r="S1744" s="9" t="str">
        <x:f>IF(C1744="","",IFERROR(INDEX('Taxonomy Rules'!$E$42:$E$68,MATCH(E1744,'Taxonomy Rules'!$C$42:$C$68,0)),""))</x:f>
      </x:c>
      <x:c r="T1744" s="9" t="str">
        <x:f>IF(C1744="","",IFERROR(INDEX('Taxonomy Rules'!$F$42:$F$68,MATCH(E1744,'Taxonomy Rules'!$C$42:$C$68,0)),""))</x:f>
      </x:c>
      <x:c r="U1744" s="9" t="str">
        <x:f>IF(C1744="","",IFERROR(INDEX('Taxonomy'!$G$9:$G$108,MATCH(D1744,'Taxonomy'!$C$9:$C$108,0)),""))</x:f>
      </x:c>
    </x:row>
    <x:row r="1745" ht="44" customHeight="1">
      <x:c r="A1745" s="1"/>
      <x:c r="B1745" s="1"/>
      <x:c r="C1745" s="8"/>
      <x:c r="D1745" s="8"/>
      <x:c r="E1745" s="8"/>
      <x:c r="F1745" s="8"/>
      <x:c r="G1745" s="8"/>
      <x:c r="H1745" s="8"/>
      <x:c r="I1745" s="8"/>
      <x:c r="J1745" s="8"/>
      <x:c r="K1745" s="8"/>
      <x:c r="L1745" s="8"/>
      <x:c r="M1745" s="10"/>
      <x:c r="N1745" s="10"/>
      <x:c r="O1745" s="8"/>
      <x:c r="P1745" s="9" t="str">
        <x:f>IF(C1745="","",IF(AND(G1745="Applicable",H1745="Fail"),"Fail",IF(R1745&lt;&gt;"Valid","Pending",IF(OR(I1745="",K1745="",L1745="",K1745=L1745,NOT(ISNUMBER(M1745)),NOT(ISNUMBER(N1745)),M1745&gt;Settings!$F$8,N1745&lt;Settings!$F$8,N1745&lt;M1745),"Pending",IF(AND(G1745="Applicable",H1745="Pass"),"Pass",IF(AND(G1745="N/A",H1745="N/A",J1745&lt;&gt;"",OR(E1745="CEM-FUELS",E1745="CEM-CCS",AND(E1745="CEM-PLAN",IFERROR(INDEX('Taxonomy'!$M$9:$M$108,MATCH(D1745,'Taxonomy'!$C$9:$C$108,0)),"")&lt;&gt;"Amber"),E1745="BLD-TIMBER",AND(U1745="Building equipment",OR(E1745="BLD-WATER",E1745="BLD-WASTE",E1745="BLD-LAND")),AND(U1745="Building renovation",E1745="BLD-LAND"))),"N/A","Pending"))))))</x:f>
      </x:c>
      <x:c r="Q1745" s="3" t="str">
        <x:f>IF(C1745="","",IF(AND(R1745="Valid",OR(P1745="Pass",P1745="N/A")),"Complete","Unresolved"))</x:f>
      </x:c>
      <x:c r="R1745" s="9" t="str">
        <x:f>IF(C1745="","",IF(OR(COUNTIF($C$9:$C$2008,C1745)&lt;&gt;1,COUNTIFS($D$9:$D$2008,D1745,$E$9:$E$2008,E1745)&lt;&gt;1),"Duplicate test",IF(COUNTIF('Taxonomy'!$C$9:$C$108,D1745)&lt;&gt;1,"Assessment key",IF(OR(COUNTIF('Taxonomy Rules'!$C$42:$C$68,E1745)&lt;&gt;1,F1745&lt;&gt;IFERROR(INDEX('Taxonomy Rules'!$D$42:$D$68,MATCH(E1745,'Taxonomy Rules'!$C$42:$C$68,0)),""),NOT(OR(IFERROR(INDEX('Taxonomy Rules'!$G$42:$G$68,MATCH(E1745,'Taxonomy Rules'!$C$42:$C$68,0)),"")="All supported routes",IFERROR(INDEX('Taxonomy Rules'!$G$42:$G$68,MATCH(E1745,'Taxonomy Rules'!$C$42:$C$68,0)),"")=U1745,AND(IFERROR(INDEX('Taxonomy Rules'!$G$42:$G$68,MATCH(E1745,'Taxonomy Rules'!$C$42:$C$68,0)),"")="Building routes",OR(U1745="Building renovation",U1745="New building",U1745="Building equipment"))))),"Unexpected test","Valid"))))</x:f>
      </x:c>
      <x:c r="S1745" s="9" t="str">
        <x:f>IF(C1745="","",IFERROR(INDEX('Taxonomy Rules'!$E$42:$E$68,MATCH(E1745,'Taxonomy Rules'!$C$42:$C$68,0)),""))</x:f>
      </x:c>
      <x:c r="T1745" s="9" t="str">
        <x:f>IF(C1745="","",IFERROR(INDEX('Taxonomy Rules'!$F$42:$F$68,MATCH(E1745,'Taxonomy Rules'!$C$42:$C$68,0)),""))</x:f>
      </x:c>
      <x:c r="U1745" s="9" t="str">
        <x:f>IF(C1745="","",IFERROR(INDEX('Taxonomy'!$G$9:$G$108,MATCH(D1745,'Taxonomy'!$C$9:$C$108,0)),""))</x:f>
      </x:c>
    </x:row>
    <x:row r="1746" ht="44" customHeight="1">
      <x:c r="A1746" s="1"/>
      <x:c r="B1746" s="1"/>
      <x:c r="C1746" s="8"/>
      <x:c r="D1746" s="8"/>
      <x:c r="E1746" s="8"/>
      <x:c r="F1746" s="8"/>
      <x:c r="G1746" s="8"/>
      <x:c r="H1746" s="8"/>
      <x:c r="I1746" s="8"/>
      <x:c r="J1746" s="8"/>
      <x:c r="K1746" s="8"/>
      <x:c r="L1746" s="8"/>
      <x:c r="M1746" s="10"/>
      <x:c r="N1746" s="10"/>
      <x:c r="O1746" s="8"/>
      <x:c r="P1746" s="9" t="str">
        <x:f>IF(C1746="","",IF(AND(G1746="Applicable",H1746="Fail"),"Fail",IF(R1746&lt;&gt;"Valid","Pending",IF(OR(I1746="",K1746="",L1746="",K1746=L1746,NOT(ISNUMBER(M1746)),NOT(ISNUMBER(N1746)),M1746&gt;Settings!$F$8,N1746&lt;Settings!$F$8,N1746&lt;M1746),"Pending",IF(AND(G1746="Applicable",H1746="Pass"),"Pass",IF(AND(G1746="N/A",H1746="N/A",J1746&lt;&gt;"",OR(E1746="CEM-FUELS",E1746="CEM-CCS",AND(E1746="CEM-PLAN",IFERROR(INDEX('Taxonomy'!$M$9:$M$108,MATCH(D1746,'Taxonomy'!$C$9:$C$108,0)),"")&lt;&gt;"Amber"),E1746="BLD-TIMBER",AND(U1746="Building equipment",OR(E1746="BLD-WATER",E1746="BLD-WASTE",E1746="BLD-LAND")),AND(U1746="Building renovation",E1746="BLD-LAND"))),"N/A","Pending"))))))</x:f>
      </x:c>
      <x:c r="Q1746" s="3" t="str">
        <x:f>IF(C1746="","",IF(AND(R1746="Valid",OR(P1746="Pass",P1746="N/A")),"Complete","Unresolved"))</x:f>
      </x:c>
      <x:c r="R1746" s="9" t="str">
        <x:f>IF(C1746="","",IF(OR(COUNTIF($C$9:$C$2008,C1746)&lt;&gt;1,COUNTIFS($D$9:$D$2008,D1746,$E$9:$E$2008,E1746)&lt;&gt;1),"Duplicate test",IF(COUNTIF('Taxonomy'!$C$9:$C$108,D1746)&lt;&gt;1,"Assessment key",IF(OR(COUNTIF('Taxonomy Rules'!$C$42:$C$68,E1746)&lt;&gt;1,F1746&lt;&gt;IFERROR(INDEX('Taxonomy Rules'!$D$42:$D$68,MATCH(E1746,'Taxonomy Rules'!$C$42:$C$68,0)),""),NOT(OR(IFERROR(INDEX('Taxonomy Rules'!$G$42:$G$68,MATCH(E1746,'Taxonomy Rules'!$C$42:$C$68,0)),"")="All supported routes",IFERROR(INDEX('Taxonomy Rules'!$G$42:$G$68,MATCH(E1746,'Taxonomy Rules'!$C$42:$C$68,0)),"")=U1746,AND(IFERROR(INDEX('Taxonomy Rules'!$G$42:$G$68,MATCH(E1746,'Taxonomy Rules'!$C$42:$C$68,0)),"")="Building routes",OR(U1746="Building renovation",U1746="New building",U1746="Building equipment"))))),"Unexpected test","Valid"))))</x:f>
      </x:c>
      <x:c r="S1746" s="9" t="str">
        <x:f>IF(C1746="","",IFERROR(INDEX('Taxonomy Rules'!$E$42:$E$68,MATCH(E1746,'Taxonomy Rules'!$C$42:$C$68,0)),""))</x:f>
      </x:c>
      <x:c r="T1746" s="9" t="str">
        <x:f>IF(C1746="","",IFERROR(INDEX('Taxonomy Rules'!$F$42:$F$68,MATCH(E1746,'Taxonomy Rules'!$C$42:$C$68,0)),""))</x:f>
      </x:c>
      <x:c r="U1746" s="9" t="str">
        <x:f>IF(C1746="","",IFERROR(INDEX('Taxonomy'!$G$9:$G$108,MATCH(D1746,'Taxonomy'!$C$9:$C$108,0)),""))</x:f>
      </x:c>
    </x:row>
    <x:row r="1747" ht="44" customHeight="1">
      <x:c r="A1747" s="1"/>
      <x:c r="B1747" s="1"/>
      <x:c r="C1747" s="8"/>
      <x:c r="D1747" s="8"/>
      <x:c r="E1747" s="8"/>
      <x:c r="F1747" s="8"/>
      <x:c r="G1747" s="8"/>
      <x:c r="H1747" s="8"/>
      <x:c r="I1747" s="8"/>
      <x:c r="J1747" s="8"/>
      <x:c r="K1747" s="8"/>
      <x:c r="L1747" s="8"/>
      <x:c r="M1747" s="10"/>
      <x:c r="N1747" s="10"/>
      <x:c r="O1747" s="8"/>
      <x:c r="P1747" s="9" t="str">
        <x:f>IF(C1747="","",IF(AND(G1747="Applicable",H1747="Fail"),"Fail",IF(R1747&lt;&gt;"Valid","Pending",IF(OR(I1747="",K1747="",L1747="",K1747=L1747,NOT(ISNUMBER(M1747)),NOT(ISNUMBER(N1747)),M1747&gt;Settings!$F$8,N1747&lt;Settings!$F$8,N1747&lt;M1747),"Pending",IF(AND(G1747="Applicable",H1747="Pass"),"Pass",IF(AND(G1747="N/A",H1747="N/A",J1747&lt;&gt;"",OR(E1747="CEM-FUELS",E1747="CEM-CCS",AND(E1747="CEM-PLAN",IFERROR(INDEX('Taxonomy'!$M$9:$M$108,MATCH(D1747,'Taxonomy'!$C$9:$C$108,0)),"")&lt;&gt;"Amber"),E1747="BLD-TIMBER",AND(U1747="Building equipment",OR(E1747="BLD-WATER",E1747="BLD-WASTE",E1747="BLD-LAND")),AND(U1747="Building renovation",E1747="BLD-LAND"))),"N/A","Pending"))))))</x:f>
      </x:c>
      <x:c r="Q1747" s="3" t="str">
        <x:f>IF(C1747="","",IF(AND(R1747="Valid",OR(P1747="Pass",P1747="N/A")),"Complete","Unresolved"))</x:f>
      </x:c>
      <x:c r="R1747" s="9" t="str">
        <x:f>IF(C1747="","",IF(OR(COUNTIF($C$9:$C$2008,C1747)&lt;&gt;1,COUNTIFS($D$9:$D$2008,D1747,$E$9:$E$2008,E1747)&lt;&gt;1),"Duplicate test",IF(COUNTIF('Taxonomy'!$C$9:$C$108,D1747)&lt;&gt;1,"Assessment key",IF(OR(COUNTIF('Taxonomy Rules'!$C$42:$C$68,E1747)&lt;&gt;1,F1747&lt;&gt;IFERROR(INDEX('Taxonomy Rules'!$D$42:$D$68,MATCH(E1747,'Taxonomy Rules'!$C$42:$C$68,0)),""),NOT(OR(IFERROR(INDEX('Taxonomy Rules'!$G$42:$G$68,MATCH(E1747,'Taxonomy Rules'!$C$42:$C$68,0)),"")="All supported routes",IFERROR(INDEX('Taxonomy Rules'!$G$42:$G$68,MATCH(E1747,'Taxonomy Rules'!$C$42:$C$68,0)),"")=U1747,AND(IFERROR(INDEX('Taxonomy Rules'!$G$42:$G$68,MATCH(E1747,'Taxonomy Rules'!$C$42:$C$68,0)),"")="Building routes",OR(U1747="Building renovation",U1747="New building",U1747="Building equipment"))))),"Unexpected test","Valid"))))</x:f>
      </x:c>
      <x:c r="S1747" s="9" t="str">
        <x:f>IF(C1747="","",IFERROR(INDEX('Taxonomy Rules'!$E$42:$E$68,MATCH(E1747,'Taxonomy Rules'!$C$42:$C$68,0)),""))</x:f>
      </x:c>
      <x:c r="T1747" s="9" t="str">
        <x:f>IF(C1747="","",IFERROR(INDEX('Taxonomy Rules'!$F$42:$F$68,MATCH(E1747,'Taxonomy Rules'!$C$42:$C$68,0)),""))</x:f>
      </x:c>
      <x:c r="U1747" s="9" t="str">
        <x:f>IF(C1747="","",IFERROR(INDEX('Taxonomy'!$G$9:$G$108,MATCH(D1747,'Taxonomy'!$C$9:$C$108,0)),""))</x:f>
      </x:c>
    </x:row>
    <x:row r="1748" ht="44" customHeight="1">
      <x:c r="A1748" s="1"/>
      <x:c r="B1748" s="1"/>
      <x:c r="C1748" s="8"/>
      <x:c r="D1748" s="8"/>
      <x:c r="E1748" s="8"/>
      <x:c r="F1748" s="8"/>
      <x:c r="G1748" s="8"/>
      <x:c r="H1748" s="8"/>
      <x:c r="I1748" s="8"/>
      <x:c r="J1748" s="8"/>
      <x:c r="K1748" s="8"/>
      <x:c r="L1748" s="8"/>
      <x:c r="M1748" s="10"/>
      <x:c r="N1748" s="10"/>
      <x:c r="O1748" s="8"/>
      <x:c r="P1748" s="9" t="str">
        <x:f>IF(C1748="","",IF(AND(G1748="Applicable",H1748="Fail"),"Fail",IF(R1748&lt;&gt;"Valid","Pending",IF(OR(I1748="",K1748="",L1748="",K1748=L1748,NOT(ISNUMBER(M1748)),NOT(ISNUMBER(N1748)),M1748&gt;Settings!$F$8,N1748&lt;Settings!$F$8,N1748&lt;M1748),"Pending",IF(AND(G1748="Applicable",H1748="Pass"),"Pass",IF(AND(G1748="N/A",H1748="N/A",J1748&lt;&gt;"",OR(E1748="CEM-FUELS",E1748="CEM-CCS",AND(E1748="CEM-PLAN",IFERROR(INDEX('Taxonomy'!$M$9:$M$108,MATCH(D1748,'Taxonomy'!$C$9:$C$108,0)),"")&lt;&gt;"Amber"),E1748="BLD-TIMBER",AND(U1748="Building equipment",OR(E1748="BLD-WATER",E1748="BLD-WASTE",E1748="BLD-LAND")),AND(U1748="Building renovation",E1748="BLD-LAND"))),"N/A","Pending"))))))</x:f>
      </x:c>
      <x:c r="Q1748" s="3" t="str">
        <x:f>IF(C1748="","",IF(AND(R1748="Valid",OR(P1748="Pass",P1748="N/A")),"Complete","Unresolved"))</x:f>
      </x:c>
      <x:c r="R1748" s="9" t="str">
        <x:f>IF(C1748="","",IF(OR(COUNTIF($C$9:$C$2008,C1748)&lt;&gt;1,COUNTIFS($D$9:$D$2008,D1748,$E$9:$E$2008,E1748)&lt;&gt;1),"Duplicate test",IF(COUNTIF('Taxonomy'!$C$9:$C$108,D1748)&lt;&gt;1,"Assessment key",IF(OR(COUNTIF('Taxonomy Rules'!$C$42:$C$68,E1748)&lt;&gt;1,F1748&lt;&gt;IFERROR(INDEX('Taxonomy Rules'!$D$42:$D$68,MATCH(E1748,'Taxonomy Rules'!$C$42:$C$68,0)),""),NOT(OR(IFERROR(INDEX('Taxonomy Rules'!$G$42:$G$68,MATCH(E1748,'Taxonomy Rules'!$C$42:$C$68,0)),"")="All supported routes",IFERROR(INDEX('Taxonomy Rules'!$G$42:$G$68,MATCH(E1748,'Taxonomy Rules'!$C$42:$C$68,0)),"")=U1748,AND(IFERROR(INDEX('Taxonomy Rules'!$G$42:$G$68,MATCH(E1748,'Taxonomy Rules'!$C$42:$C$68,0)),"")="Building routes",OR(U1748="Building renovation",U1748="New building",U1748="Building equipment"))))),"Unexpected test","Valid"))))</x:f>
      </x:c>
      <x:c r="S1748" s="9" t="str">
        <x:f>IF(C1748="","",IFERROR(INDEX('Taxonomy Rules'!$E$42:$E$68,MATCH(E1748,'Taxonomy Rules'!$C$42:$C$68,0)),""))</x:f>
      </x:c>
      <x:c r="T1748" s="9" t="str">
        <x:f>IF(C1748="","",IFERROR(INDEX('Taxonomy Rules'!$F$42:$F$68,MATCH(E1748,'Taxonomy Rules'!$C$42:$C$68,0)),""))</x:f>
      </x:c>
      <x:c r="U1748" s="9" t="str">
        <x:f>IF(C1748="","",IFERROR(INDEX('Taxonomy'!$G$9:$G$108,MATCH(D1748,'Taxonomy'!$C$9:$C$108,0)),""))</x:f>
      </x:c>
    </x:row>
    <x:row r="1749" ht="44" customHeight="1">
      <x:c r="A1749" s="1"/>
      <x:c r="B1749" s="1"/>
      <x:c r="C1749" s="8"/>
      <x:c r="D1749" s="8"/>
      <x:c r="E1749" s="8"/>
      <x:c r="F1749" s="8"/>
      <x:c r="G1749" s="8"/>
      <x:c r="H1749" s="8"/>
      <x:c r="I1749" s="8"/>
      <x:c r="J1749" s="8"/>
      <x:c r="K1749" s="8"/>
      <x:c r="L1749" s="8"/>
      <x:c r="M1749" s="10"/>
      <x:c r="N1749" s="10"/>
      <x:c r="O1749" s="8"/>
      <x:c r="P1749" s="9" t="str">
        <x:f>IF(C1749="","",IF(AND(G1749="Applicable",H1749="Fail"),"Fail",IF(R1749&lt;&gt;"Valid","Pending",IF(OR(I1749="",K1749="",L1749="",K1749=L1749,NOT(ISNUMBER(M1749)),NOT(ISNUMBER(N1749)),M1749&gt;Settings!$F$8,N1749&lt;Settings!$F$8,N1749&lt;M1749),"Pending",IF(AND(G1749="Applicable",H1749="Pass"),"Pass",IF(AND(G1749="N/A",H1749="N/A",J1749&lt;&gt;"",OR(E1749="CEM-FUELS",E1749="CEM-CCS",AND(E1749="CEM-PLAN",IFERROR(INDEX('Taxonomy'!$M$9:$M$108,MATCH(D1749,'Taxonomy'!$C$9:$C$108,0)),"")&lt;&gt;"Amber"),E1749="BLD-TIMBER",AND(U1749="Building equipment",OR(E1749="BLD-WATER",E1749="BLD-WASTE",E1749="BLD-LAND")),AND(U1749="Building renovation",E1749="BLD-LAND"))),"N/A","Pending"))))))</x:f>
      </x:c>
      <x:c r="Q1749" s="3" t="str">
        <x:f>IF(C1749="","",IF(AND(R1749="Valid",OR(P1749="Pass",P1749="N/A")),"Complete","Unresolved"))</x:f>
      </x:c>
      <x:c r="R1749" s="9" t="str">
        <x:f>IF(C1749="","",IF(OR(COUNTIF($C$9:$C$2008,C1749)&lt;&gt;1,COUNTIFS($D$9:$D$2008,D1749,$E$9:$E$2008,E1749)&lt;&gt;1),"Duplicate test",IF(COUNTIF('Taxonomy'!$C$9:$C$108,D1749)&lt;&gt;1,"Assessment key",IF(OR(COUNTIF('Taxonomy Rules'!$C$42:$C$68,E1749)&lt;&gt;1,F1749&lt;&gt;IFERROR(INDEX('Taxonomy Rules'!$D$42:$D$68,MATCH(E1749,'Taxonomy Rules'!$C$42:$C$68,0)),""),NOT(OR(IFERROR(INDEX('Taxonomy Rules'!$G$42:$G$68,MATCH(E1749,'Taxonomy Rules'!$C$42:$C$68,0)),"")="All supported routes",IFERROR(INDEX('Taxonomy Rules'!$G$42:$G$68,MATCH(E1749,'Taxonomy Rules'!$C$42:$C$68,0)),"")=U1749,AND(IFERROR(INDEX('Taxonomy Rules'!$G$42:$G$68,MATCH(E1749,'Taxonomy Rules'!$C$42:$C$68,0)),"")="Building routes",OR(U1749="Building renovation",U1749="New building",U1749="Building equipment"))))),"Unexpected test","Valid"))))</x:f>
      </x:c>
      <x:c r="S1749" s="9" t="str">
        <x:f>IF(C1749="","",IFERROR(INDEX('Taxonomy Rules'!$E$42:$E$68,MATCH(E1749,'Taxonomy Rules'!$C$42:$C$68,0)),""))</x:f>
      </x:c>
      <x:c r="T1749" s="9" t="str">
        <x:f>IF(C1749="","",IFERROR(INDEX('Taxonomy Rules'!$F$42:$F$68,MATCH(E1749,'Taxonomy Rules'!$C$42:$C$68,0)),""))</x:f>
      </x:c>
      <x:c r="U1749" s="9" t="str">
        <x:f>IF(C1749="","",IFERROR(INDEX('Taxonomy'!$G$9:$G$108,MATCH(D1749,'Taxonomy'!$C$9:$C$108,0)),""))</x:f>
      </x:c>
    </x:row>
    <x:row r="1750" ht="44" customHeight="1">
      <x:c r="A1750" s="1"/>
      <x:c r="B1750" s="1"/>
      <x:c r="C1750" s="8"/>
      <x:c r="D1750" s="8"/>
      <x:c r="E1750" s="8"/>
      <x:c r="F1750" s="8"/>
      <x:c r="G1750" s="8"/>
      <x:c r="H1750" s="8"/>
      <x:c r="I1750" s="8"/>
      <x:c r="J1750" s="8"/>
      <x:c r="K1750" s="8"/>
      <x:c r="L1750" s="8"/>
      <x:c r="M1750" s="10"/>
      <x:c r="N1750" s="10"/>
      <x:c r="O1750" s="8"/>
      <x:c r="P1750" s="9" t="str">
        <x:f>IF(C1750="","",IF(AND(G1750="Applicable",H1750="Fail"),"Fail",IF(R1750&lt;&gt;"Valid","Pending",IF(OR(I1750="",K1750="",L1750="",K1750=L1750,NOT(ISNUMBER(M1750)),NOT(ISNUMBER(N1750)),M1750&gt;Settings!$F$8,N1750&lt;Settings!$F$8,N1750&lt;M1750),"Pending",IF(AND(G1750="Applicable",H1750="Pass"),"Pass",IF(AND(G1750="N/A",H1750="N/A",J1750&lt;&gt;"",OR(E1750="CEM-FUELS",E1750="CEM-CCS",AND(E1750="CEM-PLAN",IFERROR(INDEX('Taxonomy'!$M$9:$M$108,MATCH(D1750,'Taxonomy'!$C$9:$C$108,0)),"")&lt;&gt;"Amber"),E1750="BLD-TIMBER",AND(U1750="Building equipment",OR(E1750="BLD-WATER",E1750="BLD-WASTE",E1750="BLD-LAND")),AND(U1750="Building renovation",E1750="BLD-LAND"))),"N/A","Pending"))))))</x:f>
      </x:c>
      <x:c r="Q1750" s="3" t="str">
        <x:f>IF(C1750="","",IF(AND(R1750="Valid",OR(P1750="Pass",P1750="N/A")),"Complete","Unresolved"))</x:f>
      </x:c>
      <x:c r="R1750" s="9" t="str">
        <x:f>IF(C1750="","",IF(OR(COUNTIF($C$9:$C$2008,C1750)&lt;&gt;1,COUNTIFS($D$9:$D$2008,D1750,$E$9:$E$2008,E1750)&lt;&gt;1),"Duplicate test",IF(COUNTIF('Taxonomy'!$C$9:$C$108,D1750)&lt;&gt;1,"Assessment key",IF(OR(COUNTIF('Taxonomy Rules'!$C$42:$C$68,E1750)&lt;&gt;1,F1750&lt;&gt;IFERROR(INDEX('Taxonomy Rules'!$D$42:$D$68,MATCH(E1750,'Taxonomy Rules'!$C$42:$C$68,0)),""),NOT(OR(IFERROR(INDEX('Taxonomy Rules'!$G$42:$G$68,MATCH(E1750,'Taxonomy Rules'!$C$42:$C$68,0)),"")="All supported routes",IFERROR(INDEX('Taxonomy Rules'!$G$42:$G$68,MATCH(E1750,'Taxonomy Rules'!$C$42:$C$68,0)),"")=U1750,AND(IFERROR(INDEX('Taxonomy Rules'!$G$42:$G$68,MATCH(E1750,'Taxonomy Rules'!$C$42:$C$68,0)),"")="Building routes",OR(U1750="Building renovation",U1750="New building",U1750="Building equipment"))))),"Unexpected test","Valid"))))</x:f>
      </x:c>
      <x:c r="S1750" s="9" t="str">
        <x:f>IF(C1750="","",IFERROR(INDEX('Taxonomy Rules'!$E$42:$E$68,MATCH(E1750,'Taxonomy Rules'!$C$42:$C$68,0)),""))</x:f>
      </x:c>
      <x:c r="T1750" s="9" t="str">
        <x:f>IF(C1750="","",IFERROR(INDEX('Taxonomy Rules'!$F$42:$F$68,MATCH(E1750,'Taxonomy Rules'!$C$42:$C$68,0)),""))</x:f>
      </x:c>
      <x:c r="U1750" s="9" t="str">
        <x:f>IF(C1750="","",IFERROR(INDEX('Taxonomy'!$G$9:$G$108,MATCH(D1750,'Taxonomy'!$C$9:$C$108,0)),""))</x:f>
      </x:c>
    </x:row>
    <x:row r="1751" ht="44" customHeight="1">
      <x:c r="A1751" s="1"/>
      <x:c r="B1751" s="1"/>
      <x:c r="C1751" s="8"/>
      <x:c r="D1751" s="8"/>
      <x:c r="E1751" s="8"/>
      <x:c r="F1751" s="8"/>
      <x:c r="G1751" s="8"/>
      <x:c r="H1751" s="8"/>
      <x:c r="I1751" s="8"/>
      <x:c r="J1751" s="8"/>
      <x:c r="K1751" s="8"/>
      <x:c r="L1751" s="8"/>
      <x:c r="M1751" s="10"/>
      <x:c r="N1751" s="10"/>
      <x:c r="O1751" s="8"/>
      <x:c r="P1751" s="9" t="str">
        <x:f>IF(C1751="","",IF(AND(G1751="Applicable",H1751="Fail"),"Fail",IF(R1751&lt;&gt;"Valid","Pending",IF(OR(I1751="",K1751="",L1751="",K1751=L1751,NOT(ISNUMBER(M1751)),NOT(ISNUMBER(N1751)),M1751&gt;Settings!$F$8,N1751&lt;Settings!$F$8,N1751&lt;M1751),"Pending",IF(AND(G1751="Applicable",H1751="Pass"),"Pass",IF(AND(G1751="N/A",H1751="N/A",J1751&lt;&gt;"",OR(E1751="CEM-FUELS",E1751="CEM-CCS",AND(E1751="CEM-PLAN",IFERROR(INDEX('Taxonomy'!$M$9:$M$108,MATCH(D1751,'Taxonomy'!$C$9:$C$108,0)),"")&lt;&gt;"Amber"),E1751="BLD-TIMBER",AND(U1751="Building equipment",OR(E1751="BLD-WATER",E1751="BLD-WASTE",E1751="BLD-LAND")),AND(U1751="Building renovation",E1751="BLD-LAND"))),"N/A","Pending"))))))</x:f>
      </x:c>
      <x:c r="Q1751" s="3" t="str">
        <x:f>IF(C1751="","",IF(AND(R1751="Valid",OR(P1751="Pass",P1751="N/A")),"Complete","Unresolved"))</x:f>
      </x:c>
      <x:c r="R1751" s="9" t="str">
        <x:f>IF(C1751="","",IF(OR(COUNTIF($C$9:$C$2008,C1751)&lt;&gt;1,COUNTIFS($D$9:$D$2008,D1751,$E$9:$E$2008,E1751)&lt;&gt;1),"Duplicate test",IF(COUNTIF('Taxonomy'!$C$9:$C$108,D1751)&lt;&gt;1,"Assessment key",IF(OR(COUNTIF('Taxonomy Rules'!$C$42:$C$68,E1751)&lt;&gt;1,F1751&lt;&gt;IFERROR(INDEX('Taxonomy Rules'!$D$42:$D$68,MATCH(E1751,'Taxonomy Rules'!$C$42:$C$68,0)),""),NOT(OR(IFERROR(INDEX('Taxonomy Rules'!$G$42:$G$68,MATCH(E1751,'Taxonomy Rules'!$C$42:$C$68,0)),"")="All supported routes",IFERROR(INDEX('Taxonomy Rules'!$G$42:$G$68,MATCH(E1751,'Taxonomy Rules'!$C$42:$C$68,0)),"")=U1751,AND(IFERROR(INDEX('Taxonomy Rules'!$G$42:$G$68,MATCH(E1751,'Taxonomy Rules'!$C$42:$C$68,0)),"")="Building routes",OR(U1751="Building renovation",U1751="New building",U1751="Building equipment"))))),"Unexpected test","Valid"))))</x:f>
      </x:c>
      <x:c r="S1751" s="9" t="str">
        <x:f>IF(C1751="","",IFERROR(INDEX('Taxonomy Rules'!$E$42:$E$68,MATCH(E1751,'Taxonomy Rules'!$C$42:$C$68,0)),""))</x:f>
      </x:c>
      <x:c r="T1751" s="9" t="str">
        <x:f>IF(C1751="","",IFERROR(INDEX('Taxonomy Rules'!$F$42:$F$68,MATCH(E1751,'Taxonomy Rules'!$C$42:$C$68,0)),""))</x:f>
      </x:c>
      <x:c r="U1751" s="9" t="str">
        <x:f>IF(C1751="","",IFERROR(INDEX('Taxonomy'!$G$9:$G$108,MATCH(D1751,'Taxonomy'!$C$9:$C$108,0)),""))</x:f>
      </x:c>
    </x:row>
    <x:row r="1752" ht="44" customHeight="1">
      <x:c r="A1752" s="1"/>
      <x:c r="B1752" s="1"/>
      <x:c r="C1752" s="8"/>
      <x:c r="D1752" s="8"/>
      <x:c r="E1752" s="8"/>
      <x:c r="F1752" s="8"/>
      <x:c r="G1752" s="8"/>
      <x:c r="H1752" s="8"/>
      <x:c r="I1752" s="8"/>
      <x:c r="J1752" s="8"/>
      <x:c r="K1752" s="8"/>
      <x:c r="L1752" s="8"/>
      <x:c r="M1752" s="10"/>
      <x:c r="N1752" s="10"/>
      <x:c r="O1752" s="8"/>
      <x:c r="P1752" s="9" t="str">
        <x:f>IF(C1752="","",IF(AND(G1752="Applicable",H1752="Fail"),"Fail",IF(R1752&lt;&gt;"Valid","Pending",IF(OR(I1752="",K1752="",L1752="",K1752=L1752,NOT(ISNUMBER(M1752)),NOT(ISNUMBER(N1752)),M1752&gt;Settings!$F$8,N1752&lt;Settings!$F$8,N1752&lt;M1752),"Pending",IF(AND(G1752="Applicable",H1752="Pass"),"Pass",IF(AND(G1752="N/A",H1752="N/A",J1752&lt;&gt;"",OR(E1752="CEM-FUELS",E1752="CEM-CCS",AND(E1752="CEM-PLAN",IFERROR(INDEX('Taxonomy'!$M$9:$M$108,MATCH(D1752,'Taxonomy'!$C$9:$C$108,0)),"")&lt;&gt;"Amber"),E1752="BLD-TIMBER",AND(U1752="Building equipment",OR(E1752="BLD-WATER",E1752="BLD-WASTE",E1752="BLD-LAND")),AND(U1752="Building renovation",E1752="BLD-LAND"))),"N/A","Pending"))))))</x:f>
      </x:c>
      <x:c r="Q1752" s="3" t="str">
        <x:f>IF(C1752="","",IF(AND(R1752="Valid",OR(P1752="Pass",P1752="N/A")),"Complete","Unresolved"))</x:f>
      </x:c>
      <x:c r="R1752" s="9" t="str">
        <x:f>IF(C1752="","",IF(OR(COUNTIF($C$9:$C$2008,C1752)&lt;&gt;1,COUNTIFS($D$9:$D$2008,D1752,$E$9:$E$2008,E1752)&lt;&gt;1),"Duplicate test",IF(COUNTIF('Taxonomy'!$C$9:$C$108,D1752)&lt;&gt;1,"Assessment key",IF(OR(COUNTIF('Taxonomy Rules'!$C$42:$C$68,E1752)&lt;&gt;1,F1752&lt;&gt;IFERROR(INDEX('Taxonomy Rules'!$D$42:$D$68,MATCH(E1752,'Taxonomy Rules'!$C$42:$C$68,0)),""),NOT(OR(IFERROR(INDEX('Taxonomy Rules'!$G$42:$G$68,MATCH(E1752,'Taxonomy Rules'!$C$42:$C$68,0)),"")="All supported routes",IFERROR(INDEX('Taxonomy Rules'!$G$42:$G$68,MATCH(E1752,'Taxonomy Rules'!$C$42:$C$68,0)),"")=U1752,AND(IFERROR(INDEX('Taxonomy Rules'!$G$42:$G$68,MATCH(E1752,'Taxonomy Rules'!$C$42:$C$68,0)),"")="Building routes",OR(U1752="Building renovation",U1752="New building",U1752="Building equipment"))))),"Unexpected test","Valid"))))</x:f>
      </x:c>
      <x:c r="S1752" s="9" t="str">
        <x:f>IF(C1752="","",IFERROR(INDEX('Taxonomy Rules'!$E$42:$E$68,MATCH(E1752,'Taxonomy Rules'!$C$42:$C$68,0)),""))</x:f>
      </x:c>
      <x:c r="T1752" s="9" t="str">
        <x:f>IF(C1752="","",IFERROR(INDEX('Taxonomy Rules'!$F$42:$F$68,MATCH(E1752,'Taxonomy Rules'!$C$42:$C$68,0)),""))</x:f>
      </x:c>
      <x:c r="U1752" s="9" t="str">
        <x:f>IF(C1752="","",IFERROR(INDEX('Taxonomy'!$G$9:$G$108,MATCH(D1752,'Taxonomy'!$C$9:$C$108,0)),""))</x:f>
      </x:c>
    </x:row>
    <x:row r="1753" ht="44" customHeight="1">
      <x:c r="A1753" s="1"/>
      <x:c r="B1753" s="1"/>
      <x:c r="C1753" s="8"/>
      <x:c r="D1753" s="8"/>
      <x:c r="E1753" s="8"/>
      <x:c r="F1753" s="8"/>
      <x:c r="G1753" s="8"/>
      <x:c r="H1753" s="8"/>
      <x:c r="I1753" s="8"/>
      <x:c r="J1753" s="8"/>
      <x:c r="K1753" s="8"/>
      <x:c r="L1753" s="8"/>
      <x:c r="M1753" s="10"/>
      <x:c r="N1753" s="10"/>
      <x:c r="O1753" s="8"/>
      <x:c r="P1753" s="9" t="str">
        <x:f>IF(C1753="","",IF(AND(G1753="Applicable",H1753="Fail"),"Fail",IF(R1753&lt;&gt;"Valid","Pending",IF(OR(I1753="",K1753="",L1753="",K1753=L1753,NOT(ISNUMBER(M1753)),NOT(ISNUMBER(N1753)),M1753&gt;Settings!$F$8,N1753&lt;Settings!$F$8,N1753&lt;M1753),"Pending",IF(AND(G1753="Applicable",H1753="Pass"),"Pass",IF(AND(G1753="N/A",H1753="N/A",J1753&lt;&gt;"",OR(E1753="CEM-FUELS",E1753="CEM-CCS",AND(E1753="CEM-PLAN",IFERROR(INDEX('Taxonomy'!$M$9:$M$108,MATCH(D1753,'Taxonomy'!$C$9:$C$108,0)),"")&lt;&gt;"Amber"),E1753="BLD-TIMBER",AND(U1753="Building equipment",OR(E1753="BLD-WATER",E1753="BLD-WASTE",E1753="BLD-LAND")),AND(U1753="Building renovation",E1753="BLD-LAND"))),"N/A","Pending"))))))</x:f>
      </x:c>
      <x:c r="Q1753" s="3" t="str">
        <x:f>IF(C1753="","",IF(AND(R1753="Valid",OR(P1753="Pass",P1753="N/A")),"Complete","Unresolved"))</x:f>
      </x:c>
      <x:c r="R1753" s="9" t="str">
        <x:f>IF(C1753="","",IF(OR(COUNTIF($C$9:$C$2008,C1753)&lt;&gt;1,COUNTIFS($D$9:$D$2008,D1753,$E$9:$E$2008,E1753)&lt;&gt;1),"Duplicate test",IF(COUNTIF('Taxonomy'!$C$9:$C$108,D1753)&lt;&gt;1,"Assessment key",IF(OR(COUNTIF('Taxonomy Rules'!$C$42:$C$68,E1753)&lt;&gt;1,F1753&lt;&gt;IFERROR(INDEX('Taxonomy Rules'!$D$42:$D$68,MATCH(E1753,'Taxonomy Rules'!$C$42:$C$68,0)),""),NOT(OR(IFERROR(INDEX('Taxonomy Rules'!$G$42:$G$68,MATCH(E1753,'Taxonomy Rules'!$C$42:$C$68,0)),"")="All supported routes",IFERROR(INDEX('Taxonomy Rules'!$G$42:$G$68,MATCH(E1753,'Taxonomy Rules'!$C$42:$C$68,0)),"")=U1753,AND(IFERROR(INDEX('Taxonomy Rules'!$G$42:$G$68,MATCH(E1753,'Taxonomy Rules'!$C$42:$C$68,0)),"")="Building routes",OR(U1753="Building renovation",U1753="New building",U1753="Building equipment"))))),"Unexpected test","Valid"))))</x:f>
      </x:c>
      <x:c r="S1753" s="9" t="str">
        <x:f>IF(C1753="","",IFERROR(INDEX('Taxonomy Rules'!$E$42:$E$68,MATCH(E1753,'Taxonomy Rules'!$C$42:$C$68,0)),""))</x:f>
      </x:c>
      <x:c r="T1753" s="9" t="str">
        <x:f>IF(C1753="","",IFERROR(INDEX('Taxonomy Rules'!$F$42:$F$68,MATCH(E1753,'Taxonomy Rules'!$C$42:$C$68,0)),""))</x:f>
      </x:c>
      <x:c r="U1753" s="9" t="str">
        <x:f>IF(C1753="","",IFERROR(INDEX('Taxonomy'!$G$9:$G$108,MATCH(D1753,'Taxonomy'!$C$9:$C$108,0)),""))</x:f>
      </x:c>
    </x:row>
    <x:row r="1754" ht="44" customHeight="1">
      <x:c r="A1754" s="1"/>
      <x:c r="B1754" s="1"/>
      <x:c r="C1754" s="8"/>
      <x:c r="D1754" s="8"/>
      <x:c r="E1754" s="8"/>
      <x:c r="F1754" s="8"/>
      <x:c r="G1754" s="8"/>
      <x:c r="H1754" s="8"/>
      <x:c r="I1754" s="8"/>
      <x:c r="J1754" s="8"/>
      <x:c r="K1754" s="8"/>
      <x:c r="L1754" s="8"/>
      <x:c r="M1754" s="10"/>
      <x:c r="N1754" s="10"/>
      <x:c r="O1754" s="8"/>
      <x:c r="P1754" s="9" t="str">
        <x:f>IF(C1754="","",IF(AND(G1754="Applicable",H1754="Fail"),"Fail",IF(R1754&lt;&gt;"Valid","Pending",IF(OR(I1754="",K1754="",L1754="",K1754=L1754,NOT(ISNUMBER(M1754)),NOT(ISNUMBER(N1754)),M1754&gt;Settings!$F$8,N1754&lt;Settings!$F$8,N1754&lt;M1754),"Pending",IF(AND(G1754="Applicable",H1754="Pass"),"Pass",IF(AND(G1754="N/A",H1754="N/A",J1754&lt;&gt;"",OR(E1754="CEM-FUELS",E1754="CEM-CCS",AND(E1754="CEM-PLAN",IFERROR(INDEX('Taxonomy'!$M$9:$M$108,MATCH(D1754,'Taxonomy'!$C$9:$C$108,0)),"")&lt;&gt;"Amber"),E1754="BLD-TIMBER",AND(U1754="Building equipment",OR(E1754="BLD-WATER",E1754="BLD-WASTE",E1754="BLD-LAND")),AND(U1754="Building renovation",E1754="BLD-LAND"))),"N/A","Pending"))))))</x:f>
      </x:c>
      <x:c r="Q1754" s="3" t="str">
        <x:f>IF(C1754="","",IF(AND(R1754="Valid",OR(P1754="Pass",P1754="N/A")),"Complete","Unresolved"))</x:f>
      </x:c>
      <x:c r="R1754" s="9" t="str">
        <x:f>IF(C1754="","",IF(OR(COUNTIF($C$9:$C$2008,C1754)&lt;&gt;1,COUNTIFS($D$9:$D$2008,D1754,$E$9:$E$2008,E1754)&lt;&gt;1),"Duplicate test",IF(COUNTIF('Taxonomy'!$C$9:$C$108,D1754)&lt;&gt;1,"Assessment key",IF(OR(COUNTIF('Taxonomy Rules'!$C$42:$C$68,E1754)&lt;&gt;1,F1754&lt;&gt;IFERROR(INDEX('Taxonomy Rules'!$D$42:$D$68,MATCH(E1754,'Taxonomy Rules'!$C$42:$C$68,0)),""),NOT(OR(IFERROR(INDEX('Taxonomy Rules'!$G$42:$G$68,MATCH(E1754,'Taxonomy Rules'!$C$42:$C$68,0)),"")="All supported routes",IFERROR(INDEX('Taxonomy Rules'!$G$42:$G$68,MATCH(E1754,'Taxonomy Rules'!$C$42:$C$68,0)),"")=U1754,AND(IFERROR(INDEX('Taxonomy Rules'!$G$42:$G$68,MATCH(E1754,'Taxonomy Rules'!$C$42:$C$68,0)),"")="Building routes",OR(U1754="Building renovation",U1754="New building",U1754="Building equipment"))))),"Unexpected test","Valid"))))</x:f>
      </x:c>
      <x:c r="S1754" s="9" t="str">
        <x:f>IF(C1754="","",IFERROR(INDEX('Taxonomy Rules'!$E$42:$E$68,MATCH(E1754,'Taxonomy Rules'!$C$42:$C$68,0)),""))</x:f>
      </x:c>
      <x:c r="T1754" s="9" t="str">
        <x:f>IF(C1754="","",IFERROR(INDEX('Taxonomy Rules'!$F$42:$F$68,MATCH(E1754,'Taxonomy Rules'!$C$42:$C$68,0)),""))</x:f>
      </x:c>
      <x:c r="U1754" s="9" t="str">
        <x:f>IF(C1754="","",IFERROR(INDEX('Taxonomy'!$G$9:$G$108,MATCH(D1754,'Taxonomy'!$C$9:$C$108,0)),""))</x:f>
      </x:c>
    </x:row>
    <x:row r="1755" ht="44" customHeight="1">
      <x:c r="A1755" s="1"/>
      <x:c r="B1755" s="1"/>
      <x:c r="C1755" s="8"/>
      <x:c r="D1755" s="8"/>
      <x:c r="E1755" s="8"/>
      <x:c r="F1755" s="8"/>
      <x:c r="G1755" s="8"/>
      <x:c r="H1755" s="8"/>
      <x:c r="I1755" s="8"/>
      <x:c r="J1755" s="8"/>
      <x:c r="K1755" s="8"/>
      <x:c r="L1755" s="8"/>
      <x:c r="M1755" s="10"/>
      <x:c r="N1755" s="10"/>
      <x:c r="O1755" s="8"/>
      <x:c r="P1755" s="9" t="str">
        <x:f>IF(C1755="","",IF(AND(G1755="Applicable",H1755="Fail"),"Fail",IF(R1755&lt;&gt;"Valid","Pending",IF(OR(I1755="",K1755="",L1755="",K1755=L1755,NOT(ISNUMBER(M1755)),NOT(ISNUMBER(N1755)),M1755&gt;Settings!$F$8,N1755&lt;Settings!$F$8,N1755&lt;M1755),"Pending",IF(AND(G1755="Applicable",H1755="Pass"),"Pass",IF(AND(G1755="N/A",H1755="N/A",J1755&lt;&gt;"",OR(E1755="CEM-FUELS",E1755="CEM-CCS",AND(E1755="CEM-PLAN",IFERROR(INDEX('Taxonomy'!$M$9:$M$108,MATCH(D1755,'Taxonomy'!$C$9:$C$108,0)),"")&lt;&gt;"Amber"),E1755="BLD-TIMBER",AND(U1755="Building equipment",OR(E1755="BLD-WATER",E1755="BLD-WASTE",E1755="BLD-LAND")),AND(U1755="Building renovation",E1755="BLD-LAND"))),"N/A","Pending"))))))</x:f>
      </x:c>
      <x:c r="Q1755" s="3" t="str">
        <x:f>IF(C1755="","",IF(AND(R1755="Valid",OR(P1755="Pass",P1755="N/A")),"Complete","Unresolved"))</x:f>
      </x:c>
      <x:c r="R1755" s="9" t="str">
        <x:f>IF(C1755="","",IF(OR(COUNTIF($C$9:$C$2008,C1755)&lt;&gt;1,COUNTIFS($D$9:$D$2008,D1755,$E$9:$E$2008,E1755)&lt;&gt;1),"Duplicate test",IF(COUNTIF('Taxonomy'!$C$9:$C$108,D1755)&lt;&gt;1,"Assessment key",IF(OR(COUNTIF('Taxonomy Rules'!$C$42:$C$68,E1755)&lt;&gt;1,F1755&lt;&gt;IFERROR(INDEX('Taxonomy Rules'!$D$42:$D$68,MATCH(E1755,'Taxonomy Rules'!$C$42:$C$68,0)),""),NOT(OR(IFERROR(INDEX('Taxonomy Rules'!$G$42:$G$68,MATCH(E1755,'Taxonomy Rules'!$C$42:$C$68,0)),"")="All supported routes",IFERROR(INDEX('Taxonomy Rules'!$G$42:$G$68,MATCH(E1755,'Taxonomy Rules'!$C$42:$C$68,0)),"")=U1755,AND(IFERROR(INDEX('Taxonomy Rules'!$G$42:$G$68,MATCH(E1755,'Taxonomy Rules'!$C$42:$C$68,0)),"")="Building routes",OR(U1755="Building renovation",U1755="New building",U1755="Building equipment"))))),"Unexpected test","Valid"))))</x:f>
      </x:c>
      <x:c r="S1755" s="9" t="str">
        <x:f>IF(C1755="","",IFERROR(INDEX('Taxonomy Rules'!$E$42:$E$68,MATCH(E1755,'Taxonomy Rules'!$C$42:$C$68,0)),""))</x:f>
      </x:c>
      <x:c r="T1755" s="9" t="str">
        <x:f>IF(C1755="","",IFERROR(INDEX('Taxonomy Rules'!$F$42:$F$68,MATCH(E1755,'Taxonomy Rules'!$C$42:$C$68,0)),""))</x:f>
      </x:c>
      <x:c r="U1755" s="9" t="str">
        <x:f>IF(C1755="","",IFERROR(INDEX('Taxonomy'!$G$9:$G$108,MATCH(D1755,'Taxonomy'!$C$9:$C$108,0)),""))</x:f>
      </x:c>
    </x:row>
    <x:row r="1756" ht="44" customHeight="1">
      <x:c r="A1756" s="1"/>
      <x:c r="B1756" s="1"/>
      <x:c r="C1756" s="8"/>
      <x:c r="D1756" s="8"/>
      <x:c r="E1756" s="8"/>
      <x:c r="F1756" s="8"/>
      <x:c r="G1756" s="8"/>
      <x:c r="H1756" s="8"/>
      <x:c r="I1756" s="8"/>
      <x:c r="J1756" s="8"/>
      <x:c r="K1756" s="8"/>
      <x:c r="L1756" s="8"/>
      <x:c r="M1756" s="10"/>
      <x:c r="N1756" s="10"/>
      <x:c r="O1756" s="8"/>
      <x:c r="P1756" s="9" t="str">
        <x:f>IF(C1756="","",IF(AND(G1756="Applicable",H1756="Fail"),"Fail",IF(R1756&lt;&gt;"Valid","Pending",IF(OR(I1756="",K1756="",L1756="",K1756=L1756,NOT(ISNUMBER(M1756)),NOT(ISNUMBER(N1756)),M1756&gt;Settings!$F$8,N1756&lt;Settings!$F$8,N1756&lt;M1756),"Pending",IF(AND(G1756="Applicable",H1756="Pass"),"Pass",IF(AND(G1756="N/A",H1756="N/A",J1756&lt;&gt;"",OR(E1756="CEM-FUELS",E1756="CEM-CCS",AND(E1756="CEM-PLAN",IFERROR(INDEX('Taxonomy'!$M$9:$M$108,MATCH(D1756,'Taxonomy'!$C$9:$C$108,0)),"")&lt;&gt;"Amber"),E1756="BLD-TIMBER",AND(U1756="Building equipment",OR(E1756="BLD-WATER",E1756="BLD-WASTE",E1756="BLD-LAND")),AND(U1756="Building renovation",E1756="BLD-LAND"))),"N/A","Pending"))))))</x:f>
      </x:c>
      <x:c r="Q1756" s="3" t="str">
        <x:f>IF(C1756="","",IF(AND(R1756="Valid",OR(P1756="Pass",P1756="N/A")),"Complete","Unresolved"))</x:f>
      </x:c>
      <x:c r="R1756" s="9" t="str">
        <x:f>IF(C1756="","",IF(OR(COUNTIF($C$9:$C$2008,C1756)&lt;&gt;1,COUNTIFS($D$9:$D$2008,D1756,$E$9:$E$2008,E1756)&lt;&gt;1),"Duplicate test",IF(COUNTIF('Taxonomy'!$C$9:$C$108,D1756)&lt;&gt;1,"Assessment key",IF(OR(COUNTIF('Taxonomy Rules'!$C$42:$C$68,E1756)&lt;&gt;1,F1756&lt;&gt;IFERROR(INDEX('Taxonomy Rules'!$D$42:$D$68,MATCH(E1756,'Taxonomy Rules'!$C$42:$C$68,0)),""),NOT(OR(IFERROR(INDEX('Taxonomy Rules'!$G$42:$G$68,MATCH(E1756,'Taxonomy Rules'!$C$42:$C$68,0)),"")="All supported routes",IFERROR(INDEX('Taxonomy Rules'!$G$42:$G$68,MATCH(E1756,'Taxonomy Rules'!$C$42:$C$68,0)),"")=U1756,AND(IFERROR(INDEX('Taxonomy Rules'!$G$42:$G$68,MATCH(E1756,'Taxonomy Rules'!$C$42:$C$68,0)),"")="Building routes",OR(U1756="Building renovation",U1756="New building",U1756="Building equipment"))))),"Unexpected test","Valid"))))</x:f>
      </x:c>
      <x:c r="S1756" s="9" t="str">
        <x:f>IF(C1756="","",IFERROR(INDEX('Taxonomy Rules'!$E$42:$E$68,MATCH(E1756,'Taxonomy Rules'!$C$42:$C$68,0)),""))</x:f>
      </x:c>
      <x:c r="T1756" s="9" t="str">
        <x:f>IF(C1756="","",IFERROR(INDEX('Taxonomy Rules'!$F$42:$F$68,MATCH(E1756,'Taxonomy Rules'!$C$42:$C$68,0)),""))</x:f>
      </x:c>
      <x:c r="U1756" s="9" t="str">
        <x:f>IF(C1756="","",IFERROR(INDEX('Taxonomy'!$G$9:$G$108,MATCH(D1756,'Taxonomy'!$C$9:$C$108,0)),""))</x:f>
      </x:c>
    </x:row>
    <x:row r="1757" ht="44" customHeight="1">
      <x:c r="A1757" s="1"/>
      <x:c r="B1757" s="1"/>
      <x:c r="C1757" s="8"/>
      <x:c r="D1757" s="8"/>
      <x:c r="E1757" s="8"/>
      <x:c r="F1757" s="8"/>
      <x:c r="G1757" s="8"/>
      <x:c r="H1757" s="8"/>
      <x:c r="I1757" s="8"/>
      <x:c r="J1757" s="8"/>
      <x:c r="K1757" s="8"/>
      <x:c r="L1757" s="8"/>
      <x:c r="M1757" s="10"/>
      <x:c r="N1757" s="10"/>
      <x:c r="O1757" s="8"/>
      <x:c r="P1757" s="9" t="str">
        <x:f>IF(C1757="","",IF(AND(G1757="Applicable",H1757="Fail"),"Fail",IF(R1757&lt;&gt;"Valid","Pending",IF(OR(I1757="",K1757="",L1757="",K1757=L1757,NOT(ISNUMBER(M1757)),NOT(ISNUMBER(N1757)),M1757&gt;Settings!$F$8,N1757&lt;Settings!$F$8,N1757&lt;M1757),"Pending",IF(AND(G1757="Applicable",H1757="Pass"),"Pass",IF(AND(G1757="N/A",H1757="N/A",J1757&lt;&gt;"",OR(E1757="CEM-FUELS",E1757="CEM-CCS",AND(E1757="CEM-PLAN",IFERROR(INDEX('Taxonomy'!$M$9:$M$108,MATCH(D1757,'Taxonomy'!$C$9:$C$108,0)),"")&lt;&gt;"Amber"),E1757="BLD-TIMBER",AND(U1757="Building equipment",OR(E1757="BLD-WATER",E1757="BLD-WASTE",E1757="BLD-LAND")),AND(U1757="Building renovation",E1757="BLD-LAND"))),"N/A","Pending"))))))</x:f>
      </x:c>
      <x:c r="Q1757" s="3" t="str">
        <x:f>IF(C1757="","",IF(AND(R1757="Valid",OR(P1757="Pass",P1757="N/A")),"Complete","Unresolved"))</x:f>
      </x:c>
      <x:c r="R1757" s="9" t="str">
        <x:f>IF(C1757="","",IF(OR(COUNTIF($C$9:$C$2008,C1757)&lt;&gt;1,COUNTIFS($D$9:$D$2008,D1757,$E$9:$E$2008,E1757)&lt;&gt;1),"Duplicate test",IF(COUNTIF('Taxonomy'!$C$9:$C$108,D1757)&lt;&gt;1,"Assessment key",IF(OR(COUNTIF('Taxonomy Rules'!$C$42:$C$68,E1757)&lt;&gt;1,F1757&lt;&gt;IFERROR(INDEX('Taxonomy Rules'!$D$42:$D$68,MATCH(E1757,'Taxonomy Rules'!$C$42:$C$68,0)),""),NOT(OR(IFERROR(INDEX('Taxonomy Rules'!$G$42:$G$68,MATCH(E1757,'Taxonomy Rules'!$C$42:$C$68,0)),"")="All supported routes",IFERROR(INDEX('Taxonomy Rules'!$G$42:$G$68,MATCH(E1757,'Taxonomy Rules'!$C$42:$C$68,0)),"")=U1757,AND(IFERROR(INDEX('Taxonomy Rules'!$G$42:$G$68,MATCH(E1757,'Taxonomy Rules'!$C$42:$C$68,0)),"")="Building routes",OR(U1757="Building renovation",U1757="New building",U1757="Building equipment"))))),"Unexpected test","Valid"))))</x:f>
      </x:c>
      <x:c r="S1757" s="9" t="str">
        <x:f>IF(C1757="","",IFERROR(INDEX('Taxonomy Rules'!$E$42:$E$68,MATCH(E1757,'Taxonomy Rules'!$C$42:$C$68,0)),""))</x:f>
      </x:c>
      <x:c r="T1757" s="9" t="str">
        <x:f>IF(C1757="","",IFERROR(INDEX('Taxonomy Rules'!$F$42:$F$68,MATCH(E1757,'Taxonomy Rules'!$C$42:$C$68,0)),""))</x:f>
      </x:c>
      <x:c r="U1757" s="9" t="str">
        <x:f>IF(C1757="","",IFERROR(INDEX('Taxonomy'!$G$9:$G$108,MATCH(D1757,'Taxonomy'!$C$9:$C$108,0)),""))</x:f>
      </x:c>
    </x:row>
    <x:row r="1758" ht="44" customHeight="1">
      <x:c r="A1758" s="1"/>
      <x:c r="B1758" s="1"/>
      <x:c r="C1758" s="8"/>
      <x:c r="D1758" s="8"/>
      <x:c r="E1758" s="8"/>
      <x:c r="F1758" s="8"/>
      <x:c r="G1758" s="8"/>
      <x:c r="H1758" s="8"/>
      <x:c r="I1758" s="8"/>
      <x:c r="J1758" s="8"/>
      <x:c r="K1758" s="8"/>
      <x:c r="L1758" s="8"/>
      <x:c r="M1758" s="10"/>
      <x:c r="N1758" s="10"/>
      <x:c r="O1758" s="8"/>
      <x:c r="P1758" s="9" t="str">
        <x:f>IF(C1758="","",IF(AND(G1758="Applicable",H1758="Fail"),"Fail",IF(R1758&lt;&gt;"Valid","Pending",IF(OR(I1758="",K1758="",L1758="",K1758=L1758,NOT(ISNUMBER(M1758)),NOT(ISNUMBER(N1758)),M1758&gt;Settings!$F$8,N1758&lt;Settings!$F$8,N1758&lt;M1758),"Pending",IF(AND(G1758="Applicable",H1758="Pass"),"Pass",IF(AND(G1758="N/A",H1758="N/A",J1758&lt;&gt;"",OR(E1758="CEM-FUELS",E1758="CEM-CCS",AND(E1758="CEM-PLAN",IFERROR(INDEX('Taxonomy'!$M$9:$M$108,MATCH(D1758,'Taxonomy'!$C$9:$C$108,0)),"")&lt;&gt;"Amber"),E1758="BLD-TIMBER",AND(U1758="Building equipment",OR(E1758="BLD-WATER",E1758="BLD-WASTE",E1758="BLD-LAND")),AND(U1758="Building renovation",E1758="BLD-LAND"))),"N/A","Pending"))))))</x:f>
      </x:c>
      <x:c r="Q1758" s="3" t="str">
        <x:f>IF(C1758="","",IF(AND(R1758="Valid",OR(P1758="Pass",P1758="N/A")),"Complete","Unresolved"))</x:f>
      </x:c>
      <x:c r="R1758" s="9" t="str">
        <x:f>IF(C1758="","",IF(OR(COUNTIF($C$9:$C$2008,C1758)&lt;&gt;1,COUNTIFS($D$9:$D$2008,D1758,$E$9:$E$2008,E1758)&lt;&gt;1),"Duplicate test",IF(COUNTIF('Taxonomy'!$C$9:$C$108,D1758)&lt;&gt;1,"Assessment key",IF(OR(COUNTIF('Taxonomy Rules'!$C$42:$C$68,E1758)&lt;&gt;1,F1758&lt;&gt;IFERROR(INDEX('Taxonomy Rules'!$D$42:$D$68,MATCH(E1758,'Taxonomy Rules'!$C$42:$C$68,0)),""),NOT(OR(IFERROR(INDEX('Taxonomy Rules'!$G$42:$G$68,MATCH(E1758,'Taxonomy Rules'!$C$42:$C$68,0)),"")="All supported routes",IFERROR(INDEX('Taxonomy Rules'!$G$42:$G$68,MATCH(E1758,'Taxonomy Rules'!$C$42:$C$68,0)),"")=U1758,AND(IFERROR(INDEX('Taxonomy Rules'!$G$42:$G$68,MATCH(E1758,'Taxonomy Rules'!$C$42:$C$68,0)),"")="Building routes",OR(U1758="Building renovation",U1758="New building",U1758="Building equipment"))))),"Unexpected test","Valid"))))</x:f>
      </x:c>
      <x:c r="S1758" s="9" t="str">
        <x:f>IF(C1758="","",IFERROR(INDEX('Taxonomy Rules'!$E$42:$E$68,MATCH(E1758,'Taxonomy Rules'!$C$42:$C$68,0)),""))</x:f>
      </x:c>
      <x:c r="T1758" s="9" t="str">
        <x:f>IF(C1758="","",IFERROR(INDEX('Taxonomy Rules'!$F$42:$F$68,MATCH(E1758,'Taxonomy Rules'!$C$42:$C$68,0)),""))</x:f>
      </x:c>
      <x:c r="U1758" s="9" t="str">
        <x:f>IF(C1758="","",IFERROR(INDEX('Taxonomy'!$G$9:$G$108,MATCH(D1758,'Taxonomy'!$C$9:$C$108,0)),""))</x:f>
      </x:c>
    </x:row>
    <x:row r="1759" ht="44" customHeight="1">
      <x:c r="A1759" s="1"/>
      <x:c r="B1759" s="1"/>
      <x:c r="C1759" s="8"/>
      <x:c r="D1759" s="8"/>
      <x:c r="E1759" s="8"/>
      <x:c r="F1759" s="8"/>
      <x:c r="G1759" s="8"/>
      <x:c r="H1759" s="8"/>
      <x:c r="I1759" s="8"/>
      <x:c r="J1759" s="8"/>
      <x:c r="K1759" s="8"/>
      <x:c r="L1759" s="8"/>
      <x:c r="M1759" s="10"/>
      <x:c r="N1759" s="10"/>
      <x:c r="O1759" s="8"/>
      <x:c r="P1759" s="9" t="str">
        <x:f>IF(C1759="","",IF(AND(G1759="Applicable",H1759="Fail"),"Fail",IF(R1759&lt;&gt;"Valid","Pending",IF(OR(I1759="",K1759="",L1759="",K1759=L1759,NOT(ISNUMBER(M1759)),NOT(ISNUMBER(N1759)),M1759&gt;Settings!$F$8,N1759&lt;Settings!$F$8,N1759&lt;M1759),"Pending",IF(AND(G1759="Applicable",H1759="Pass"),"Pass",IF(AND(G1759="N/A",H1759="N/A",J1759&lt;&gt;"",OR(E1759="CEM-FUELS",E1759="CEM-CCS",AND(E1759="CEM-PLAN",IFERROR(INDEX('Taxonomy'!$M$9:$M$108,MATCH(D1759,'Taxonomy'!$C$9:$C$108,0)),"")&lt;&gt;"Amber"),E1759="BLD-TIMBER",AND(U1759="Building equipment",OR(E1759="BLD-WATER",E1759="BLD-WASTE",E1759="BLD-LAND")),AND(U1759="Building renovation",E1759="BLD-LAND"))),"N/A","Pending"))))))</x:f>
      </x:c>
      <x:c r="Q1759" s="3" t="str">
        <x:f>IF(C1759="","",IF(AND(R1759="Valid",OR(P1759="Pass",P1759="N/A")),"Complete","Unresolved"))</x:f>
      </x:c>
      <x:c r="R1759" s="9" t="str">
        <x:f>IF(C1759="","",IF(OR(COUNTIF($C$9:$C$2008,C1759)&lt;&gt;1,COUNTIFS($D$9:$D$2008,D1759,$E$9:$E$2008,E1759)&lt;&gt;1),"Duplicate test",IF(COUNTIF('Taxonomy'!$C$9:$C$108,D1759)&lt;&gt;1,"Assessment key",IF(OR(COUNTIF('Taxonomy Rules'!$C$42:$C$68,E1759)&lt;&gt;1,F1759&lt;&gt;IFERROR(INDEX('Taxonomy Rules'!$D$42:$D$68,MATCH(E1759,'Taxonomy Rules'!$C$42:$C$68,0)),""),NOT(OR(IFERROR(INDEX('Taxonomy Rules'!$G$42:$G$68,MATCH(E1759,'Taxonomy Rules'!$C$42:$C$68,0)),"")="All supported routes",IFERROR(INDEX('Taxonomy Rules'!$G$42:$G$68,MATCH(E1759,'Taxonomy Rules'!$C$42:$C$68,0)),"")=U1759,AND(IFERROR(INDEX('Taxonomy Rules'!$G$42:$G$68,MATCH(E1759,'Taxonomy Rules'!$C$42:$C$68,0)),"")="Building routes",OR(U1759="Building renovation",U1759="New building",U1759="Building equipment"))))),"Unexpected test","Valid"))))</x:f>
      </x:c>
      <x:c r="S1759" s="9" t="str">
        <x:f>IF(C1759="","",IFERROR(INDEX('Taxonomy Rules'!$E$42:$E$68,MATCH(E1759,'Taxonomy Rules'!$C$42:$C$68,0)),""))</x:f>
      </x:c>
      <x:c r="T1759" s="9" t="str">
        <x:f>IF(C1759="","",IFERROR(INDEX('Taxonomy Rules'!$F$42:$F$68,MATCH(E1759,'Taxonomy Rules'!$C$42:$C$68,0)),""))</x:f>
      </x:c>
      <x:c r="U1759" s="9" t="str">
        <x:f>IF(C1759="","",IFERROR(INDEX('Taxonomy'!$G$9:$G$108,MATCH(D1759,'Taxonomy'!$C$9:$C$108,0)),""))</x:f>
      </x:c>
    </x:row>
    <x:row r="1760" ht="44" customHeight="1">
      <x:c r="A1760" s="1"/>
      <x:c r="B1760" s="1"/>
      <x:c r="C1760" s="8"/>
      <x:c r="D1760" s="8"/>
      <x:c r="E1760" s="8"/>
      <x:c r="F1760" s="8"/>
      <x:c r="G1760" s="8"/>
      <x:c r="H1760" s="8"/>
      <x:c r="I1760" s="8"/>
      <x:c r="J1760" s="8"/>
      <x:c r="K1760" s="8"/>
      <x:c r="L1760" s="8"/>
      <x:c r="M1760" s="10"/>
      <x:c r="N1760" s="10"/>
      <x:c r="O1760" s="8"/>
      <x:c r="P1760" s="9" t="str">
        <x:f>IF(C1760="","",IF(AND(G1760="Applicable",H1760="Fail"),"Fail",IF(R1760&lt;&gt;"Valid","Pending",IF(OR(I1760="",K1760="",L1760="",K1760=L1760,NOT(ISNUMBER(M1760)),NOT(ISNUMBER(N1760)),M1760&gt;Settings!$F$8,N1760&lt;Settings!$F$8,N1760&lt;M1760),"Pending",IF(AND(G1760="Applicable",H1760="Pass"),"Pass",IF(AND(G1760="N/A",H1760="N/A",J1760&lt;&gt;"",OR(E1760="CEM-FUELS",E1760="CEM-CCS",AND(E1760="CEM-PLAN",IFERROR(INDEX('Taxonomy'!$M$9:$M$108,MATCH(D1760,'Taxonomy'!$C$9:$C$108,0)),"")&lt;&gt;"Amber"),E1760="BLD-TIMBER",AND(U1760="Building equipment",OR(E1760="BLD-WATER",E1760="BLD-WASTE",E1760="BLD-LAND")),AND(U1760="Building renovation",E1760="BLD-LAND"))),"N/A","Pending"))))))</x:f>
      </x:c>
      <x:c r="Q1760" s="3" t="str">
        <x:f>IF(C1760="","",IF(AND(R1760="Valid",OR(P1760="Pass",P1760="N/A")),"Complete","Unresolved"))</x:f>
      </x:c>
      <x:c r="R1760" s="9" t="str">
        <x:f>IF(C1760="","",IF(OR(COUNTIF($C$9:$C$2008,C1760)&lt;&gt;1,COUNTIFS($D$9:$D$2008,D1760,$E$9:$E$2008,E1760)&lt;&gt;1),"Duplicate test",IF(COUNTIF('Taxonomy'!$C$9:$C$108,D1760)&lt;&gt;1,"Assessment key",IF(OR(COUNTIF('Taxonomy Rules'!$C$42:$C$68,E1760)&lt;&gt;1,F1760&lt;&gt;IFERROR(INDEX('Taxonomy Rules'!$D$42:$D$68,MATCH(E1760,'Taxonomy Rules'!$C$42:$C$68,0)),""),NOT(OR(IFERROR(INDEX('Taxonomy Rules'!$G$42:$G$68,MATCH(E1760,'Taxonomy Rules'!$C$42:$C$68,0)),"")="All supported routes",IFERROR(INDEX('Taxonomy Rules'!$G$42:$G$68,MATCH(E1760,'Taxonomy Rules'!$C$42:$C$68,0)),"")=U1760,AND(IFERROR(INDEX('Taxonomy Rules'!$G$42:$G$68,MATCH(E1760,'Taxonomy Rules'!$C$42:$C$68,0)),"")="Building routes",OR(U1760="Building renovation",U1760="New building",U1760="Building equipment"))))),"Unexpected test","Valid"))))</x:f>
      </x:c>
      <x:c r="S1760" s="9" t="str">
        <x:f>IF(C1760="","",IFERROR(INDEX('Taxonomy Rules'!$E$42:$E$68,MATCH(E1760,'Taxonomy Rules'!$C$42:$C$68,0)),""))</x:f>
      </x:c>
      <x:c r="T1760" s="9" t="str">
        <x:f>IF(C1760="","",IFERROR(INDEX('Taxonomy Rules'!$F$42:$F$68,MATCH(E1760,'Taxonomy Rules'!$C$42:$C$68,0)),""))</x:f>
      </x:c>
      <x:c r="U1760" s="9" t="str">
        <x:f>IF(C1760="","",IFERROR(INDEX('Taxonomy'!$G$9:$G$108,MATCH(D1760,'Taxonomy'!$C$9:$C$108,0)),""))</x:f>
      </x:c>
    </x:row>
    <x:row r="1761" ht="44" customHeight="1">
      <x:c r="A1761" s="1"/>
      <x:c r="B1761" s="1"/>
      <x:c r="C1761" s="8"/>
      <x:c r="D1761" s="8"/>
      <x:c r="E1761" s="8"/>
      <x:c r="F1761" s="8"/>
      <x:c r="G1761" s="8"/>
      <x:c r="H1761" s="8"/>
      <x:c r="I1761" s="8"/>
      <x:c r="J1761" s="8"/>
      <x:c r="K1761" s="8"/>
      <x:c r="L1761" s="8"/>
      <x:c r="M1761" s="10"/>
      <x:c r="N1761" s="10"/>
      <x:c r="O1761" s="8"/>
      <x:c r="P1761" s="9" t="str">
        <x:f>IF(C1761="","",IF(AND(G1761="Applicable",H1761="Fail"),"Fail",IF(R1761&lt;&gt;"Valid","Pending",IF(OR(I1761="",K1761="",L1761="",K1761=L1761,NOT(ISNUMBER(M1761)),NOT(ISNUMBER(N1761)),M1761&gt;Settings!$F$8,N1761&lt;Settings!$F$8,N1761&lt;M1761),"Pending",IF(AND(G1761="Applicable",H1761="Pass"),"Pass",IF(AND(G1761="N/A",H1761="N/A",J1761&lt;&gt;"",OR(E1761="CEM-FUELS",E1761="CEM-CCS",AND(E1761="CEM-PLAN",IFERROR(INDEX('Taxonomy'!$M$9:$M$108,MATCH(D1761,'Taxonomy'!$C$9:$C$108,0)),"")&lt;&gt;"Amber"),E1761="BLD-TIMBER",AND(U1761="Building equipment",OR(E1761="BLD-WATER",E1761="BLD-WASTE",E1761="BLD-LAND")),AND(U1761="Building renovation",E1761="BLD-LAND"))),"N/A","Pending"))))))</x:f>
      </x:c>
      <x:c r="Q1761" s="3" t="str">
        <x:f>IF(C1761="","",IF(AND(R1761="Valid",OR(P1761="Pass",P1761="N/A")),"Complete","Unresolved"))</x:f>
      </x:c>
      <x:c r="R1761" s="9" t="str">
        <x:f>IF(C1761="","",IF(OR(COUNTIF($C$9:$C$2008,C1761)&lt;&gt;1,COUNTIFS($D$9:$D$2008,D1761,$E$9:$E$2008,E1761)&lt;&gt;1),"Duplicate test",IF(COUNTIF('Taxonomy'!$C$9:$C$108,D1761)&lt;&gt;1,"Assessment key",IF(OR(COUNTIF('Taxonomy Rules'!$C$42:$C$68,E1761)&lt;&gt;1,F1761&lt;&gt;IFERROR(INDEX('Taxonomy Rules'!$D$42:$D$68,MATCH(E1761,'Taxonomy Rules'!$C$42:$C$68,0)),""),NOT(OR(IFERROR(INDEX('Taxonomy Rules'!$G$42:$G$68,MATCH(E1761,'Taxonomy Rules'!$C$42:$C$68,0)),"")="All supported routes",IFERROR(INDEX('Taxonomy Rules'!$G$42:$G$68,MATCH(E1761,'Taxonomy Rules'!$C$42:$C$68,0)),"")=U1761,AND(IFERROR(INDEX('Taxonomy Rules'!$G$42:$G$68,MATCH(E1761,'Taxonomy Rules'!$C$42:$C$68,0)),"")="Building routes",OR(U1761="Building renovation",U1761="New building",U1761="Building equipment"))))),"Unexpected test","Valid"))))</x:f>
      </x:c>
      <x:c r="S1761" s="9" t="str">
        <x:f>IF(C1761="","",IFERROR(INDEX('Taxonomy Rules'!$E$42:$E$68,MATCH(E1761,'Taxonomy Rules'!$C$42:$C$68,0)),""))</x:f>
      </x:c>
      <x:c r="T1761" s="9" t="str">
        <x:f>IF(C1761="","",IFERROR(INDEX('Taxonomy Rules'!$F$42:$F$68,MATCH(E1761,'Taxonomy Rules'!$C$42:$C$68,0)),""))</x:f>
      </x:c>
      <x:c r="U1761" s="9" t="str">
        <x:f>IF(C1761="","",IFERROR(INDEX('Taxonomy'!$G$9:$G$108,MATCH(D1761,'Taxonomy'!$C$9:$C$108,0)),""))</x:f>
      </x:c>
    </x:row>
    <x:row r="1762" ht="44" customHeight="1">
      <x:c r="A1762" s="1"/>
      <x:c r="B1762" s="1"/>
      <x:c r="C1762" s="8"/>
      <x:c r="D1762" s="8"/>
      <x:c r="E1762" s="8"/>
      <x:c r="F1762" s="8"/>
      <x:c r="G1762" s="8"/>
      <x:c r="H1762" s="8"/>
      <x:c r="I1762" s="8"/>
      <x:c r="J1762" s="8"/>
      <x:c r="K1762" s="8"/>
      <x:c r="L1762" s="8"/>
      <x:c r="M1762" s="10"/>
      <x:c r="N1762" s="10"/>
      <x:c r="O1762" s="8"/>
      <x:c r="P1762" s="9" t="str">
        <x:f>IF(C1762="","",IF(AND(G1762="Applicable",H1762="Fail"),"Fail",IF(R1762&lt;&gt;"Valid","Pending",IF(OR(I1762="",K1762="",L1762="",K1762=L1762,NOT(ISNUMBER(M1762)),NOT(ISNUMBER(N1762)),M1762&gt;Settings!$F$8,N1762&lt;Settings!$F$8,N1762&lt;M1762),"Pending",IF(AND(G1762="Applicable",H1762="Pass"),"Pass",IF(AND(G1762="N/A",H1762="N/A",J1762&lt;&gt;"",OR(E1762="CEM-FUELS",E1762="CEM-CCS",AND(E1762="CEM-PLAN",IFERROR(INDEX('Taxonomy'!$M$9:$M$108,MATCH(D1762,'Taxonomy'!$C$9:$C$108,0)),"")&lt;&gt;"Amber"),E1762="BLD-TIMBER",AND(U1762="Building equipment",OR(E1762="BLD-WATER",E1762="BLD-WASTE",E1762="BLD-LAND")),AND(U1762="Building renovation",E1762="BLD-LAND"))),"N/A","Pending"))))))</x:f>
      </x:c>
      <x:c r="Q1762" s="3" t="str">
        <x:f>IF(C1762="","",IF(AND(R1762="Valid",OR(P1762="Pass",P1762="N/A")),"Complete","Unresolved"))</x:f>
      </x:c>
      <x:c r="R1762" s="9" t="str">
        <x:f>IF(C1762="","",IF(OR(COUNTIF($C$9:$C$2008,C1762)&lt;&gt;1,COUNTIFS($D$9:$D$2008,D1762,$E$9:$E$2008,E1762)&lt;&gt;1),"Duplicate test",IF(COUNTIF('Taxonomy'!$C$9:$C$108,D1762)&lt;&gt;1,"Assessment key",IF(OR(COUNTIF('Taxonomy Rules'!$C$42:$C$68,E1762)&lt;&gt;1,F1762&lt;&gt;IFERROR(INDEX('Taxonomy Rules'!$D$42:$D$68,MATCH(E1762,'Taxonomy Rules'!$C$42:$C$68,0)),""),NOT(OR(IFERROR(INDEX('Taxonomy Rules'!$G$42:$G$68,MATCH(E1762,'Taxonomy Rules'!$C$42:$C$68,0)),"")="All supported routes",IFERROR(INDEX('Taxonomy Rules'!$G$42:$G$68,MATCH(E1762,'Taxonomy Rules'!$C$42:$C$68,0)),"")=U1762,AND(IFERROR(INDEX('Taxonomy Rules'!$G$42:$G$68,MATCH(E1762,'Taxonomy Rules'!$C$42:$C$68,0)),"")="Building routes",OR(U1762="Building renovation",U1762="New building",U1762="Building equipment"))))),"Unexpected test","Valid"))))</x:f>
      </x:c>
      <x:c r="S1762" s="9" t="str">
        <x:f>IF(C1762="","",IFERROR(INDEX('Taxonomy Rules'!$E$42:$E$68,MATCH(E1762,'Taxonomy Rules'!$C$42:$C$68,0)),""))</x:f>
      </x:c>
      <x:c r="T1762" s="9" t="str">
        <x:f>IF(C1762="","",IFERROR(INDEX('Taxonomy Rules'!$F$42:$F$68,MATCH(E1762,'Taxonomy Rules'!$C$42:$C$68,0)),""))</x:f>
      </x:c>
      <x:c r="U1762" s="9" t="str">
        <x:f>IF(C1762="","",IFERROR(INDEX('Taxonomy'!$G$9:$G$108,MATCH(D1762,'Taxonomy'!$C$9:$C$108,0)),""))</x:f>
      </x:c>
    </x:row>
    <x:row r="1763" ht="44" customHeight="1">
      <x:c r="A1763" s="1"/>
      <x:c r="B1763" s="1"/>
      <x:c r="C1763" s="8"/>
      <x:c r="D1763" s="8"/>
      <x:c r="E1763" s="8"/>
      <x:c r="F1763" s="8"/>
      <x:c r="G1763" s="8"/>
      <x:c r="H1763" s="8"/>
      <x:c r="I1763" s="8"/>
      <x:c r="J1763" s="8"/>
      <x:c r="K1763" s="8"/>
      <x:c r="L1763" s="8"/>
      <x:c r="M1763" s="10"/>
      <x:c r="N1763" s="10"/>
      <x:c r="O1763" s="8"/>
      <x:c r="P1763" s="9" t="str">
        <x:f>IF(C1763="","",IF(AND(G1763="Applicable",H1763="Fail"),"Fail",IF(R1763&lt;&gt;"Valid","Pending",IF(OR(I1763="",K1763="",L1763="",K1763=L1763,NOT(ISNUMBER(M1763)),NOT(ISNUMBER(N1763)),M1763&gt;Settings!$F$8,N1763&lt;Settings!$F$8,N1763&lt;M1763),"Pending",IF(AND(G1763="Applicable",H1763="Pass"),"Pass",IF(AND(G1763="N/A",H1763="N/A",J1763&lt;&gt;"",OR(E1763="CEM-FUELS",E1763="CEM-CCS",AND(E1763="CEM-PLAN",IFERROR(INDEX('Taxonomy'!$M$9:$M$108,MATCH(D1763,'Taxonomy'!$C$9:$C$108,0)),"")&lt;&gt;"Amber"),E1763="BLD-TIMBER",AND(U1763="Building equipment",OR(E1763="BLD-WATER",E1763="BLD-WASTE",E1763="BLD-LAND")),AND(U1763="Building renovation",E1763="BLD-LAND"))),"N/A","Pending"))))))</x:f>
      </x:c>
      <x:c r="Q1763" s="3" t="str">
        <x:f>IF(C1763="","",IF(AND(R1763="Valid",OR(P1763="Pass",P1763="N/A")),"Complete","Unresolved"))</x:f>
      </x:c>
      <x:c r="R1763" s="9" t="str">
        <x:f>IF(C1763="","",IF(OR(COUNTIF($C$9:$C$2008,C1763)&lt;&gt;1,COUNTIFS($D$9:$D$2008,D1763,$E$9:$E$2008,E1763)&lt;&gt;1),"Duplicate test",IF(COUNTIF('Taxonomy'!$C$9:$C$108,D1763)&lt;&gt;1,"Assessment key",IF(OR(COUNTIF('Taxonomy Rules'!$C$42:$C$68,E1763)&lt;&gt;1,F1763&lt;&gt;IFERROR(INDEX('Taxonomy Rules'!$D$42:$D$68,MATCH(E1763,'Taxonomy Rules'!$C$42:$C$68,0)),""),NOT(OR(IFERROR(INDEX('Taxonomy Rules'!$G$42:$G$68,MATCH(E1763,'Taxonomy Rules'!$C$42:$C$68,0)),"")="All supported routes",IFERROR(INDEX('Taxonomy Rules'!$G$42:$G$68,MATCH(E1763,'Taxonomy Rules'!$C$42:$C$68,0)),"")=U1763,AND(IFERROR(INDEX('Taxonomy Rules'!$G$42:$G$68,MATCH(E1763,'Taxonomy Rules'!$C$42:$C$68,0)),"")="Building routes",OR(U1763="Building renovation",U1763="New building",U1763="Building equipment"))))),"Unexpected test","Valid"))))</x:f>
      </x:c>
      <x:c r="S1763" s="9" t="str">
        <x:f>IF(C1763="","",IFERROR(INDEX('Taxonomy Rules'!$E$42:$E$68,MATCH(E1763,'Taxonomy Rules'!$C$42:$C$68,0)),""))</x:f>
      </x:c>
      <x:c r="T1763" s="9" t="str">
        <x:f>IF(C1763="","",IFERROR(INDEX('Taxonomy Rules'!$F$42:$F$68,MATCH(E1763,'Taxonomy Rules'!$C$42:$C$68,0)),""))</x:f>
      </x:c>
      <x:c r="U1763" s="9" t="str">
        <x:f>IF(C1763="","",IFERROR(INDEX('Taxonomy'!$G$9:$G$108,MATCH(D1763,'Taxonomy'!$C$9:$C$108,0)),""))</x:f>
      </x:c>
    </x:row>
    <x:row r="1764" ht="44" customHeight="1">
      <x:c r="A1764" s="1"/>
      <x:c r="B1764" s="1"/>
      <x:c r="C1764" s="8"/>
      <x:c r="D1764" s="8"/>
      <x:c r="E1764" s="8"/>
      <x:c r="F1764" s="8"/>
      <x:c r="G1764" s="8"/>
      <x:c r="H1764" s="8"/>
      <x:c r="I1764" s="8"/>
      <x:c r="J1764" s="8"/>
      <x:c r="K1764" s="8"/>
      <x:c r="L1764" s="8"/>
      <x:c r="M1764" s="10"/>
      <x:c r="N1764" s="10"/>
      <x:c r="O1764" s="8"/>
      <x:c r="P1764" s="9" t="str">
        <x:f>IF(C1764="","",IF(AND(G1764="Applicable",H1764="Fail"),"Fail",IF(R1764&lt;&gt;"Valid","Pending",IF(OR(I1764="",K1764="",L1764="",K1764=L1764,NOT(ISNUMBER(M1764)),NOT(ISNUMBER(N1764)),M1764&gt;Settings!$F$8,N1764&lt;Settings!$F$8,N1764&lt;M1764),"Pending",IF(AND(G1764="Applicable",H1764="Pass"),"Pass",IF(AND(G1764="N/A",H1764="N/A",J1764&lt;&gt;"",OR(E1764="CEM-FUELS",E1764="CEM-CCS",AND(E1764="CEM-PLAN",IFERROR(INDEX('Taxonomy'!$M$9:$M$108,MATCH(D1764,'Taxonomy'!$C$9:$C$108,0)),"")&lt;&gt;"Amber"),E1764="BLD-TIMBER",AND(U1764="Building equipment",OR(E1764="BLD-WATER",E1764="BLD-WASTE",E1764="BLD-LAND")),AND(U1764="Building renovation",E1764="BLD-LAND"))),"N/A","Pending"))))))</x:f>
      </x:c>
      <x:c r="Q1764" s="3" t="str">
        <x:f>IF(C1764="","",IF(AND(R1764="Valid",OR(P1764="Pass",P1764="N/A")),"Complete","Unresolved"))</x:f>
      </x:c>
      <x:c r="R1764" s="9" t="str">
        <x:f>IF(C1764="","",IF(OR(COUNTIF($C$9:$C$2008,C1764)&lt;&gt;1,COUNTIFS($D$9:$D$2008,D1764,$E$9:$E$2008,E1764)&lt;&gt;1),"Duplicate test",IF(COUNTIF('Taxonomy'!$C$9:$C$108,D1764)&lt;&gt;1,"Assessment key",IF(OR(COUNTIF('Taxonomy Rules'!$C$42:$C$68,E1764)&lt;&gt;1,F1764&lt;&gt;IFERROR(INDEX('Taxonomy Rules'!$D$42:$D$68,MATCH(E1764,'Taxonomy Rules'!$C$42:$C$68,0)),""),NOT(OR(IFERROR(INDEX('Taxonomy Rules'!$G$42:$G$68,MATCH(E1764,'Taxonomy Rules'!$C$42:$C$68,0)),"")="All supported routes",IFERROR(INDEX('Taxonomy Rules'!$G$42:$G$68,MATCH(E1764,'Taxonomy Rules'!$C$42:$C$68,0)),"")=U1764,AND(IFERROR(INDEX('Taxonomy Rules'!$G$42:$G$68,MATCH(E1764,'Taxonomy Rules'!$C$42:$C$68,0)),"")="Building routes",OR(U1764="Building renovation",U1764="New building",U1764="Building equipment"))))),"Unexpected test","Valid"))))</x:f>
      </x:c>
      <x:c r="S1764" s="9" t="str">
        <x:f>IF(C1764="","",IFERROR(INDEX('Taxonomy Rules'!$E$42:$E$68,MATCH(E1764,'Taxonomy Rules'!$C$42:$C$68,0)),""))</x:f>
      </x:c>
      <x:c r="T1764" s="9" t="str">
        <x:f>IF(C1764="","",IFERROR(INDEX('Taxonomy Rules'!$F$42:$F$68,MATCH(E1764,'Taxonomy Rules'!$C$42:$C$68,0)),""))</x:f>
      </x:c>
      <x:c r="U1764" s="9" t="str">
        <x:f>IF(C1764="","",IFERROR(INDEX('Taxonomy'!$G$9:$G$108,MATCH(D1764,'Taxonomy'!$C$9:$C$108,0)),""))</x:f>
      </x:c>
    </x:row>
    <x:row r="1765" ht="44" customHeight="1">
      <x:c r="A1765" s="1"/>
      <x:c r="B1765" s="1"/>
      <x:c r="C1765" s="8"/>
      <x:c r="D1765" s="8"/>
      <x:c r="E1765" s="8"/>
      <x:c r="F1765" s="8"/>
      <x:c r="G1765" s="8"/>
      <x:c r="H1765" s="8"/>
      <x:c r="I1765" s="8"/>
      <x:c r="J1765" s="8"/>
      <x:c r="K1765" s="8"/>
      <x:c r="L1765" s="8"/>
      <x:c r="M1765" s="10"/>
      <x:c r="N1765" s="10"/>
      <x:c r="O1765" s="8"/>
      <x:c r="P1765" s="9" t="str">
        <x:f>IF(C1765="","",IF(AND(G1765="Applicable",H1765="Fail"),"Fail",IF(R1765&lt;&gt;"Valid","Pending",IF(OR(I1765="",K1765="",L1765="",K1765=L1765,NOT(ISNUMBER(M1765)),NOT(ISNUMBER(N1765)),M1765&gt;Settings!$F$8,N1765&lt;Settings!$F$8,N1765&lt;M1765),"Pending",IF(AND(G1765="Applicable",H1765="Pass"),"Pass",IF(AND(G1765="N/A",H1765="N/A",J1765&lt;&gt;"",OR(E1765="CEM-FUELS",E1765="CEM-CCS",AND(E1765="CEM-PLAN",IFERROR(INDEX('Taxonomy'!$M$9:$M$108,MATCH(D1765,'Taxonomy'!$C$9:$C$108,0)),"")&lt;&gt;"Amber"),E1765="BLD-TIMBER",AND(U1765="Building equipment",OR(E1765="BLD-WATER",E1765="BLD-WASTE",E1765="BLD-LAND")),AND(U1765="Building renovation",E1765="BLD-LAND"))),"N/A","Pending"))))))</x:f>
      </x:c>
      <x:c r="Q1765" s="3" t="str">
        <x:f>IF(C1765="","",IF(AND(R1765="Valid",OR(P1765="Pass",P1765="N/A")),"Complete","Unresolved"))</x:f>
      </x:c>
      <x:c r="R1765" s="9" t="str">
        <x:f>IF(C1765="","",IF(OR(COUNTIF($C$9:$C$2008,C1765)&lt;&gt;1,COUNTIFS($D$9:$D$2008,D1765,$E$9:$E$2008,E1765)&lt;&gt;1),"Duplicate test",IF(COUNTIF('Taxonomy'!$C$9:$C$108,D1765)&lt;&gt;1,"Assessment key",IF(OR(COUNTIF('Taxonomy Rules'!$C$42:$C$68,E1765)&lt;&gt;1,F1765&lt;&gt;IFERROR(INDEX('Taxonomy Rules'!$D$42:$D$68,MATCH(E1765,'Taxonomy Rules'!$C$42:$C$68,0)),""),NOT(OR(IFERROR(INDEX('Taxonomy Rules'!$G$42:$G$68,MATCH(E1765,'Taxonomy Rules'!$C$42:$C$68,0)),"")="All supported routes",IFERROR(INDEX('Taxonomy Rules'!$G$42:$G$68,MATCH(E1765,'Taxonomy Rules'!$C$42:$C$68,0)),"")=U1765,AND(IFERROR(INDEX('Taxonomy Rules'!$G$42:$G$68,MATCH(E1765,'Taxonomy Rules'!$C$42:$C$68,0)),"")="Building routes",OR(U1765="Building renovation",U1765="New building",U1765="Building equipment"))))),"Unexpected test","Valid"))))</x:f>
      </x:c>
      <x:c r="S1765" s="9" t="str">
        <x:f>IF(C1765="","",IFERROR(INDEX('Taxonomy Rules'!$E$42:$E$68,MATCH(E1765,'Taxonomy Rules'!$C$42:$C$68,0)),""))</x:f>
      </x:c>
      <x:c r="T1765" s="9" t="str">
        <x:f>IF(C1765="","",IFERROR(INDEX('Taxonomy Rules'!$F$42:$F$68,MATCH(E1765,'Taxonomy Rules'!$C$42:$C$68,0)),""))</x:f>
      </x:c>
      <x:c r="U1765" s="9" t="str">
        <x:f>IF(C1765="","",IFERROR(INDEX('Taxonomy'!$G$9:$G$108,MATCH(D1765,'Taxonomy'!$C$9:$C$108,0)),""))</x:f>
      </x:c>
    </x:row>
    <x:row r="1766" ht="44" customHeight="1">
      <x:c r="A1766" s="1"/>
      <x:c r="B1766" s="1"/>
      <x:c r="C1766" s="8"/>
      <x:c r="D1766" s="8"/>
      <x:c r="E1766" s="8"/>
      <x:c r="F1766" s="8"/>
      <x:c r="G1766" s="8"/>
      <x:c r="H1766" s="8"/>
      <x:c r="I1766" s="8"/>
      <x:c r="J1766" s="8"/>
      <x:c r="K1766" s="8"/>
      <x:c r="L1766" s="8"/>
      <x:c r="M1766" s="10"/>
      <x:c r="N1766" s="10"/>
      <x:c r="O1766" s="8"/>
      <x:c r="P1766" s="9" t="str">
        <x:f>IF(C1766="","",IF(AND(G1766="Applicable",H1766="Fail"),"Fail",IF(R1766&lt;&gt;"Valid","Pending",IF(OR(I1766="",K1766="",L1766="",K1766=L1766,NOT(ISNUMBER(M1766)),NOT(ISNUMBER(N1766)),M1766&gt;Settings!$F$8,N1766&lt;Settings!$F$8,N1766&lt;M1766),"Pending",IF(AND(G1766="Applicable",H1766="Pass"),"Pass",IF(AND(G1766="N/A",H1766="N/A",J1766&lt;&gt;"",OR(E1766="CEM-FUELS",E1766="CEM-CCS",AND(E1766="CEM-PLAN",IFERROR(INDEX('Taxonomy'!$M$9:$M$108,MATCH(D1766,'Taxonomy'!$C$9:$C$108,0)),"")&lt;&gt;"Amber"),E1766="BLD-TIMBER",AND(U1766="Building equipment",OR(E1766="BLD-WATER",E1766="BLD-WASTE",E1766="BLD-LAND")),AND(U1766="Building renovation",E1766="BLD-LAND"))),"N/A","Pending"))))))</x:f>
      </x:c>
      <x:c r="Q1766" s="3" t="str">
        <x:f>IF(C1766="","",IF(AND(R1766="Valid",OR(P1766="Pass",P1766="N/A")),"Complete","Unresolved"))</x:f>
      </x:c>
      <x:c r="R1766" s="9" t="str">
        <x:f>IF(C1766="","",IF(OR(COUNTIF($C$9:$C$2008,C1766)&lt;&gt;1,COUNTIFS($D$9:$D$2008,D1766,$E$9:$E$2008,E1766)&lt;&gt;1),"Duplicate test",IF(COUNTIF('Taxonomy'!$C$9:$C$108,D1766)&lt;&gt;1,"Assessment key",IF(OR(COUNTIF('Taxonomy Rules'!$C$42:$C$68,E1766)&lt;&gt;1,F1766&lt;&gt;IFERROR(INDEX('Taxonomy Rules'!$D$42:$D$68,MATCH(E1766,'Taxonomy Rules'!$C$42:$C$68,0)),""),NOT(OR(IFERROR(INDEX('Taxonomy Rules'!$G$42:$G$68,MATCH(E1766,'Taxonomy Rules'!$C$42:$C$68,0)),"")="All supported routes",IFERROR(INDEX('Taxonomy Rules'!$G$42:$G$68,MATCH(E1766,'Taxonomy Rules'!$C$42:$C$68,0)),"")=U1766,AND(IFERROR(INDEX('Taxonomy Rules'!$G$42:$G$68,MATCH(E1766,'Taxonomy Rules'!$C$42:$C$68,0)),"")="Building routes",OR(U1766="Building renovation",U1766="New building",U1766="Building equipment"))))),"Unexpected test","Valid"))))</x:f>
      </x:c>
      <x:c r="S1766" s="9" t="str">
        <x:f>IF(C1766="","",IFERROR(INDEX('Taxonomy Rules'!$E$42:$E$68,MATCH(E1766,'Taxonomy Rules'!$C$42:$C$68,0)),""))</x:f>
      </x:c>
      <x:c r="T1766" s="9" t="str">
        <x:f>IF(C1766="","",IFERROR(INDEX('Taxonomy Rules'!$F$42:$F$68,MATCH(E1766,'Taxonomy Rules'!$C$42:$C$68,0)),""))</x:f>
      </x:c>
      <x:c r="U1766" s="9" t="str">
        <x:f>IF(C1766="","",IFERROR(INDEX('Taxonomy'!$G$9:$G$108,MATCH(D1766,'Taxonomy'!$C$9:$C$108,0)),""))</x:f>
      </x:c>
    </x:row>
    <x:row r="1767" ht="44" customHeight="1">
      <x:c r="A1767" s="1"/>
      <x:c r="B1767" s="1"/>
      <x:c r="C1767" s="8"/>
      <x:c r="D1767" s="8"/>
      <x:c r="E1767" s="8"/>
      <x:c r="F1767" s="8"/>
      <x:c r="G1767" s="8"/>
      <x:c r="H1767" s="8"/>
      <x:c r="I1767" s="8"/>
      <x:c r="J1767" s="8"/>
      <x:c r="K1767" s="8"/>
      <x:c r="L1767" s="8"/>
      <x:c r="M1767" s="10"/>
      <x:c r="N1767" s="10"/>
      <x:c r="O1767" s="8"/>
      <x:c r="P1767" s="9" t="str">
        <x:f>IF(C1767="","",IF(AND(G1767="Applicable",H1767="Fail"),"Fail",IF(R1767&lt;&gt;"Valid","Pending",IF(OR(I1767="",K1767="",L1767="",K1767=L1767,NOT(ISNUMBER(M1767)),NOT(ISNUMBER(N1767)),M1767&gt;Settings!$F$8,N1767&lt;Settings!$F$8,N1767&lt;M1767),"Pending",IF(AND(G1767="Applicable",H1767="Pass"),"Pass",IF(AND(G1767="N/A",H1767="N/A",J1767&lt;&gt;"",OR(E1767="CEM-FUELS",E1767="CEM-CCS",AND(E1767="CEM-PLAN",IFERROR(INDEX('Taxonomy'!$M$9:$M$108,MATCH(D1767,'Taxonomy'!$C$9:$C$108,0)),"")&lt;&gt;"Amber"),E1767="BLD-TIMBER",AND(U1767="Building equipment",OR(E1767="BLD-WATER",E1767="BLD-WASTE",E1767="BLD-LAND")),AND(U1767="Building renovation",E1767="BLD-LAND"))),"N/A","Pending"))))))</x:f>
      </x:c>
      <x:c r="Q1767" s="3" t="str">
        <x:f>IF(C1767="","",IF(AND(R1767="Valid",OR(P1767="Pass",P1767="N/A")),"Complete","Unresolved"))</x:f>
      </x:c>
      <x:c r="R1767" s="9" t="str">
        <x:f>IF(C1767="","",IF(OR(COUNTIF($C$9:$C$2008,C1767)&lt;&gt;1,COUNTIFS($D$9:$D$2008,D1767,$E$9:$E$2008,E1767)&lt;&gt;1),"Duplicate test",IF(COUNTIF('Taxonomy'!$C$9:$C$108,D1767)&lt;&gt;1,"Assessment key",IF(OR(COUNTIF('Taxonomy Rules'!$C$42:$C$68,E1767)&lt;&gt;1,F1767&lt;&gt;IFERROR(INDEX('Taxonomy Rules'!$D$42:$D$68,MATCH(E1767,'Taxonomy Rules'!$C$42:$C$68,0)),""),NOT(OR(IFERROR(INDEX('Taxonomy Rules'!$G$42:$G$68,MATCH(E1767,'Taxonomy Rules'!$C$42:$C$68,0)),"")="All supported routes",IFERROR(INDEX('Taxonomy Rules'!$G$42:$G$68,MATCH(E1767,'Taxonomy Rules'!$C$42:$C$68,0)),"")=U1767,AND(IFERROR(INDEX('Taxonomy Rules'!$G$42:$G$68,MATCH(E1767,'Taxonomy Rules'!$C$42:$C$68,0)),"")="Building routes",OR(U1767="Building renovation",U1767="New building",U1767="Building equipment"))))),"Unexpected test","Valid"))))</x:f>
      </x:c>
      <x:c r="S1767" s="9" t="str">
        <x:f>IF(C1767="","",IFERROR(INDEX('Taxonomy Rules'!$E$42:$E$68,MATCH(E1767,'Taxonomy Rules'!$C$42:$C$68,0)),""))</x:f>
      </x:c>
      <x:c r="T1767" s="9" t="str">
        <x:f>IF(C1767="","",IFERROR(INDEX('Taxonomy Rules'!$F$42:$F$68,MATCH(E1767,'Taxonomy Rules'!$C$42:$C$68,0)),""))</x:f>
      </x:c>
      <x:c r="U1767" s="9" t="str">
        <x:f>IF(C1767="","",IFERROR(INDEX('Taxonomy'!$G$9:$G$108,MATCH(D1767,'Taxonomy'!$C$9:$C$108,0)),""))</x:f>
      </x:c>
    </x:row>
    <x:row r="1768" ht="44" customHeight="1">
      <x:c r="A1768" s="1"/>
      <x:c r="B1768" s="1"/>
      <x:c r="C1768" s="8"/>
      <x:c r="D1768" s="8"/>
      <x:c r="E1768" s="8"/>
      <x:c r="F1768" s="8"/>
      <x:c r="G1768" s="8"/>
      <x:c r="H1768" s="8"/>
      <x:c r="I1768" s="8"/>
      <x:c r="J1768" s="8"/>
      <x:c r="K1768" s="8"/>
      <x:c r="L1768" s="8"/>
      <x:c r="M1768" s="10"/>
      <x:c r="N1768" s="10"/>
      <x:c r="O1768" s="8"/>
      <x:c r="P1768" s="9" t="str">
        <x:f>IF(C1768="","",IF(AND(G1768="Applicable",H1768="Fail"),"Fail",IF(R1768&lt;&gt;"Valid","Pending",IF(OR(I1768="",K1768="",L1768="",K1768=L1768,NOT(ISNUMBER(M1768)),NOT(ISNUMBER(N1768)),M1768&gt;Settings!$F$8,N1768&lt;Settings!$F$8,N1768&lt;M1768),"Pending",IF(AND(G1768="Applicable",H1768="Pass"),"Pass",IF(AND(G1768="N/A",H1768="N/A",J1768&lt;&gt;"",OR(E1768="CEM-FUELS",E1768="CEM-CCS",AND(E1768="CEM-PLAN",IFERROR(INDEX('Taxonomy'!$M$9:$M$108,MATCH(D1768,'Taxonomy'!$C$9:$C$108,0)),"")&lt;&gt;"Amber"),E1768="BLD-TIMBER",AND(U1768="Building equipment",OR(E1768="BLD-WATER",E1768="BLD-WASTE",E1768="BLD-LAND")),AND(U1768="Building renovation",E1768="BLD-LAND"))),"N/A","Pending"))))))</x:f>
      </x:c>
      <x:c r="Q1768" s="3" t="str">
        <x:f>IF(C1768="","",IF(AND(R1768="Valid",OR(P1768="Pass",P1768="N/A")),"Complete","Unresolved"))</x:f>
      </x:c>
      <x:c r="R1768" s="9" t="str">
        <x:f>IF(C1768="","",IF(OR(COUNTIF($C$9:$C$2008,C1768)&lt;&gt;1,COUNTIFS($D$9:$D$2008,D1768,$E$9:$E$2008,E1768)&lt;&gt;1),"Duplicate test",IF(COUNTIF('Taxonomy'!$C$9:$C$108,D1768)&lt;&gt;1,"Assessment key",IF(OR(COUNTIF('Taxonomy Rules'!$C$42:$C$68,E1768)&lt;&gt;1,F1768&lt;&gt;IFERROR(INDEX('Taxonomy Rules'!$D$42:$D$68,MATCH(E1768,'Taxonomy Rules'!$C$42:$C$68,0)),""),NOT(OR(IFERROR(INDEX('Taxonomy Rules'!$G$42:$G$68,MATCH(E1768,'Taxonomy Rules'!$C$42:$C$68,0)),"")="All supported routes",IFERROR(INDEX('Taxonomy Rules'!$G$42:$G$68,MATCH(E1768,'Taxonomy Rules'!$C$42:$C$68,0)),"")=U1768,AND(IFERROR(INDEX('Taxonomy Rules'!$G$42:$G$68,MATCH(E1768,'Taxonomy Rules'!$C$42:$C$68,0)),"")="Building routes",OR(U1768="Building renovation",U1768="New building",U1768="Building equipment"))))),"Unexpected test","Valid"))))</x:f>
      </x:c>
      <x:c r="S1768" s="9" t="str">
        <x:f>IF(C1768="","",IFERROR(INDEX('Taxonomy Rules'!$E$42:$E$68,MATCH(E1768,'Taxonomy Rules'!$C$42:$C$68,0)),""))</x:f>
      </x:c>
      <x:c r="T1768" s="9" t="str">
        <x:f>IF(C1768="","",IFERROR(INDEX('Taxonomy Rules'!$F$42:$F$68,MATCH(E1768,'Taxonomy Rules'!$C$42:$C$68,0)),""))</x:f>
      </x:c>
      <x:c r="U1768" s="9" t="str">
        <x:f>IF(C1768="","",IFERROR(INDEX('Taxonomy'!$G$9:$G$108,MATCH(D1768,'Taxonomy'!$C$9:$C$108,0)),""))</x:f>
      </x:c>
    </x:row>
    <x:row r="1769" ht="44" customHeight="1">
      <x:c r="A1769" s="1"/>
      <x:c r="B1769" s="1"/>
      <x:c r="C1769" s="8"/>
      <x:c r="D1769" s="8"/>
      <x:c r="E1769" s="8"/>
      <x:c r="F1769" s="8"/>
      <x:c r="G1769" s="8"/>
      <x:c r="H1769" s="8"/>
      <x:c r="I1769" s="8"/>
      <x:c r="J1769" s="8"/>
      <x:c r="K1769" s="8"/>
      <x:c r="L1769" s="8"/>
      <x:c r="M1769" s="10"/>
      <x:c r="N1769" s="10"/>
      <x:c r="O1769" s="8"/>
      <x:c r="P1769" s="9" t="str">
        <x:f>IF(C1769="","",IF(AND(G1769="Applicable",H1769="Fail"),"Fail",IF(R1769&lt;&gt;"Valid","Pending",IF(OR(I1769="",K1769="",L1769="",K1769=L1769,NOT(ISNUMBER(M1769)),NOT(ISNUMBER(N1769)),M1769&gt;Settings!$F$8,N1769&lt;Settings!$F$8,N1769&lt;M1769),"Pending",IF(AND(G1769="Applicable",H1769="Pass"),"Pass",IF(AND(G1769="N/A",H1769="N/A",J1769&lt;&gt;"",OR(E1769="CEM-FUELS",E1769="CEM-CCS",AND(E1769="CEM-PLAN",IFERROR(INDEX('Taxonomy'!$M$9:$M$108,MATCH(D1769,'Taxonomy'!$C$9:$C$108,0)),"")&lt;&gt;"Amber"),E1769="BLD-TIMBER",AND(U1769="Building equipment",OR(E1769="BLD-WATER",E1769="BLD-WASTE",E1769="BLD-LAND")),AND(U1769="Building renovation",E1769="BLD-LAND"))),"N/A","Pending"))))))</x:f>
      </x:c>
      <x:c r="Q1769" s="3" t="str">
        <x:f>IF(C1769="","",IF(AND(R1769="Valid",OR(P1769="Pass",P1769="N/A")),"Complete","Unresolved"))</x:f>
      </x:c>
      <x:c r="R1769" s="9" t="str">
        <x:f>IF(C1769="","",IF(OR(COUNTIF($C$9:$C$2008,C1769)&lt;&gt;1,COUNTIFS($D$9:$D$2008,D1769,$E$9:$E$2008,E1769)&lt;&gt;1),"Duplicate test",IF(COUNTIF('Taxonomy'!$C$9:$C$108,D1769)&lt;&gt;1,"Assessment key",IF(OR(COUNTIF('Taxonomy Rules'!$C$42:$C$68,E1769)&lt;&gt;1,F1769&lt;&gt;IFERROR(INDEX('Taxonomy Rules'!$D$42:$D$68,MATCH(E1769,'Taxonomy Rules'!$C$42:$C$68,0)),""),NOT(OR(IFERROR(INDEX('Taxonomy Rules'!$G$42:$G$68,MATCH(E1769,'Taxonomy Rules'!$C$42:$C$68,0)),"")="All supported routes",IFERROR(INDEX('Taxonomy Rules'!$G$42:$G$68,MATCH(E1769,'Taxonomy Rules'!$C$42:$C$68,0)),"")=U1769,AND(IFERROR(INDEX('Taxonomy Rules'!$G$42:$G$68,MATCH(E1769,'Taxonomy Rules'!$C$42:$C$68,0)),"")="Building routes",OR(U1769="Building renovation",U1769="New building",U1769="Building equipment"))))),"Unexpected test","Valid"))))</x:f>
      </x:c>
      <x:c r="S1769" s="9" t="str">
        <x:f>IF(C1769="","",IFERROR(INDEX('Taxonomy Rules'!$E$42:$E$68,MATCH(E1769,'Taxonomy Rules'!$C$42:$C$68,0)),""))</x:f>
      </x:c>
      <x:c r="T1769" s="9" t="str">
        <x:f>IF(C1769="","",IFERROR(INDEX('Taxonomy Rules'!$F$42:$F$68,MATCH(E1769,'Taxonomy Rules'!$C$42:$C$68,0)),""))</x:f>
      </x:c>
      <x:c r="U1769" s="9" t="str">
        <x:f>IF(C1769="","",IFERROR(INDEX('Taxonomy'!$G$9:$G$108,MATCH(D1769,'Taxonomy'!$C$9:$C$108,0)),""))</x:f>
      </x:c>
    </x:row>
    <x:row r="1770" ht="44" customHeight="1">
      <x:c r="A1770" s="1"/>
      <x:c r="B1770" s="1"/>
      <x:c r="C1770" s="8"/>
      <x:c r="D1770" s="8"/>
      <x:c r="E1770" s="8"/>
      <x:c r="F1770" s="8"/>
      <x:c r="G1770" s="8"/>
      <x:c r="H1770" s="8"/>
      <x:c r="I1770" s="8"/>
      <x:c r="J1770" s="8"/>
      <x:c r="K1770" s="8"/>
      <x:c r="L1770" s="8"/>
      <x:c r="M1770" s="10"/>
      <x:c r="N1770" s="10"/>
      <x:c r="O1770" s="8"/>
      <x:c r="P1770" s="9" t="str">
        <x:f>IF(C1770="","",IF(AND(G1770="Applicable",H1770="Fail"),"Fail",IF(R1770&lt;&gt;"Valid","Pending",IF(OR(I1770="",K1770="",L1770="",K1770=L1770,NOT(ISNUMBER(M1770)),NOT(ISNUMBER(N1770)),M1770&gt;Settings!$F$8,N1770&lt;Settings!$F$8,N1770&lt;M1770),"Pending",IF(AND(G1770="Applicable",H1770="Pass"),"Pass",IF(AND(G1770="N/A",H1770="N/A",J1770&lt;&gt;"",OR(E1770="CEM-FUELS",E1770="CEM-CCS",AND(E1770="CEM-PLAN",IFERROR(INDEX('Taxonomy'!$M$9:$M$108,MATCH(D1770,'Taxonomy'!$C$9:$C$108,0)),"")&lt;&gt;"Amber"),E1770="BLD-TIMBER",AND(U1770="Building equipment",OR(E1770="BLD-WATER",E1770="BLD-WASTE",E1770="BLD-LAND")),AND(U1770="Building renovation",E1770="BLD-LAND"))),"N/A","Pending"))))))</x:f>
      </x:c>
      <x:c r="Q1770" s="3" t="str">
        <x:f>IF(C1770="","",IF(AND(R1770="Valid",OR(P1770="Pass",P1770="N/A")),"Complete","Unresolved"))</x:f>
      </x:c>
      <x:c r="R1770" s="9" t="str">
        <x:f>IF(C1770="","",IF(OR(COUNTIF($C$9:$C$2008,C1770)&lt;&gt;1,COUNTIFS($D$9:$D$2008,D1770,$E$9:$E$2008,E1770)&lt;&gt;1),"Duplicate test",IF(COUNTIF('Taxonomy'!$C$9:$C$108,D1770)&lt;&gt;1,"Assessment key",IF(OR(COUNTIF('Taxonomy Rules'!$C$42:$C$68,E1770)&lt;&gt;1,F1770&lt;&gt;IFERROR(INDEX('Taxonomy Rules'!$D$42:$D$68,MATCH(E1770,'Taxonomy Rules'!$C$42:$C$68,0)),""),NOT(OR(IFERROR(INDEX('Taxonomy Rules'!$G$42:$G$68,MATCH(E1770,'Taxonomy Rules'!$C$42:$C$68,0)),"")="All supported routes",IFERROR(INDEX('Taxonomy Rules'!$G$42:$G$68,MATCH(E1770,'Taxonomy Rules'!$C$42:$C$68,0)),"")=U1770,AND(IFERROR(INDEX('Taxonomy Rules'!$G$42:$G$68,MATCH(E1770,'Taxonomy Rules'!$C$42:$C$68,0)),"")="Building routes",OR(U1770="Building renovation",U1770="New building",U1770="Building equipment"))))),"Unexpected test","Valid"))))</x:f>
      </x:c>
      <x:c r="S1770" s="9" t="str">
        <x:f>IF(C1770="","",IFERROR(INDEX('Taxonomy Rules'!$E$42:$E$68,MATCH(E1770,'Taxonomy Rules'!$C$42:$C$68,0)),""))</x:f>
      </x:c>
      <x:c r="T1770" s="9" t="str">
        <x:f>IF(C1770="","",IFERROR(INDEX('Taxonomy Rules'!$F$42:$F$68,MATCH(E1770,'Taxonomy Rules'!$C$42:$C$68,0)),""))</x:f>
      </x:c>
      <x:c r="U1770" s="9" t="str">
        <x:f>IF(C1770="","",IFERROR(INDEX('Taxonomy'!$G$9:$G$108,MATCH(D1770,'Taxonomy'!$C$9:$C$108,0)),""))</x:f>
      </x:c>
    </x:row>
    <x:row r="1771" ht="44" customHeight="1">
      <x:c r="A1771" s="1"/>
      <x:c r="B1771" s="1"/>
      <x:c r="C1771" s="8"/>
      <x:c r="D1771" s="8"/>
      <x:c r="E1771" s="8"/>
      <x:c r="F1771" s="8"/>
      <x:c r="G1771" s="8"/>
      <x:c r="H1771" s="8"/>
      <x:c r="I1771" s="8"/>
      <x:c r="J1771" s="8"/>
      <x:c r="K1771" s="8"/>
      <x:c r="L1771" s="8"/>
      <x:c r="M1771" s="10"/>
      <x:c r="N1771" s="10"/>
      <x:c r="O1771" s="8"/>
      <x:c r="P1771" s="9" t="str">
        <x:f>IF(C1771="","",IF(AND(G1771="Applicable",H1771="Fail"),"Fail",IF(R1771&lt;&gt;"Valid","Pending",IF(OR(I1771="",K1771="",L1771="",K1771=L1771,NOT(ISNUMBER(M1771)),NOT(ISNUMBER(N1771)),M1771&gt;Settings!$F$8,N1771&lt;Settings!$F$8,N1771&lt;M1771),"Pending",IF(AND(G1771="Applicable",H1771="Pass"),"Pass",IF(AND(G1771="N/A",H1771="N/A",J1771&lt;&gt;"",OR(E1771="CEM-FUELS",E1771="CEM-CCS",AND(E1771="CEM-PLAN",IFERROR(INDEX('Taxonomy'!$M$9:$M$108,MATCH(D1771,'Taxonomy'!$C$9:$C$108,0)),"")&lt;&gt;"Amber"),E1771="BLD-TIMBER",AND(U1771="Building equipment",OR(E1771="BLD-WATER",E1771="BLD-WASTE",E1771="BLD-LAND")),AND(U1771="Building renovation",E1771="BLD-LAND"))),"N/A","Pending"))))))</x:f>
      </x:c>
      <x:c r="Q1771" s="3" t="str">
        <x:f>IF(C1771="","",IF(AND(R1771="Valid",OR(P1771="Pass",P1771="N/A")),"Complete","Unresolved"))</x:f>
      </x:c>
      <x:c r="R1771" s="9" t="str">
        <x:f>IF(C1771="","",IF(OR(COUNTIF($C$9:$C$2008,C1771)&lt;&gt;1,COUNTIFS($D$9:$D$2008,D1771,$E$9:$E$2008,E1771)&lt;&gt;1),"Duplicate test",IF(COUNTIF('Taxonomy'!$C$9:$C$108,D1771)&lt;&gt;1,"Assessment key",IF(OR(COUNTIF('Taxonomy Rules'!$C$42:$C$68,E1771)&lt;&gt;1,F1771&lt;&gt;IFERROR(INDEX('Taxonomy Rules'!$D$42:$D$68,MATCH(E1771,'Taxonomy Rules'!$C$42:$C$68,0)),""),NOT(OR(IFERROR(INDEX('Taxonomy Rules'!$G$42:$G$68,MATCH(E1771,'Taxonomy Rules'!$C$42:$C$68,0)),"")="All supported routes",IFERROR(INDEX('Taxonomy Rules'!$G$42:$G$68,MATCH(E1771,'Taxonomy Rules'!$C$42:$C$68,0)),"")=U1771,AND(IFERROR(INDEX('Taxonomy Rules'!$G$42:$G$68,MATCH(E1771,'Taxonomy Rules'!$C$42:$C$68,0)),"")="Building routes",OR(U1771="Building renovation",U1771="New building",U1771="Building equipment"))))),"Unexpected test","Valid"))))</x:f>
      </x:c>
      <x:c r="S1771" s="9" t="str">
        <x:f>IF(C1771="","",IFERROR(INDEX('Taxonomy Rules'!$E$42:$E$68,MATCH(E1771,'Taxonomy Rules'!$C$42:$C$68,0)),""))</x:f>
      </x:c>
      <x:c r="T1771" s="9" t="str">
        <x:f>IF(C1771="","",IFERROR(INDEX('Taxonomy Rules'!$F$42:$F$68,MATCH(E1771,'Taxonomy Rules'!$C$42:$C$68,0)),""))</x:f>
      </x:c>
      <x:c r="U1771" s="9" t="str">
        <x:f>IF(C1771="","",IFERROR(INDEX('Taxonomy'!$G$9:$G$108,MATCH(D1771,'Taxonomy'!$C$9:$C$108,0)),""))</x:f>
      </x:c>
    </x:row>
    <x:row r="1772" ht="44" customHeight="1">
      <x:c r="A1772" s="1"/>
      <x:c r="B1772" s="1"/>
      <x:c r="C1772" s="8"/>
      <x:c r="D1772" s="8"/>
      <x:c r="E1772" s="8"/>
      <x:c r="F1772" s="8"/>
      <x:c r="G1772" s="8"/>
      <x:c r="H1772" s="8"/>
      <x:c r="I1772" s="8"/>
      <x:c r="J1772" s="8"/>
      <x:c r="K1772" s="8"/>
      <x:c r="L1772" s="8"/>
      <x:c r="M1772" s="10"/>
      <x:c r="N1772" s="10"/>
      <x:c r="O1772" s="8"/>
      <x:c r="P1772" s="9" t="str">
        <x:f>IF(C1772="","",IF(AND(G1772="Applicable",H1772="Fail"),"Fail",IF(R1772&lt;&gt;"Valid","Pending",IF(OR(I1772="",K1772="",L1772="",K1772=L1772,NOT(ISNUMBER(M1772)),NOT(ISNUMBER(N1772)),M1772&gt;Settings!$F$8,N1772&lt;Settings!$F$8,N1772&lt;M1772),"Pending",IF(AND(G1772="Applicable",H1772="Pass"),"Pass",IF(AND(G1772="N/A",H1772="N/A",J1772&lt;&gt;"",OR(E1772="CEM-FUELS",E1772="CEM-CCS",AND(E1772="CEM-PLAN",IFERROR(INDEX('Taxonomy'!$M$9:$M$108,MATCH(D1772,'Taxonomy'!$C$9:$C$108,0)),"")&lt;&gt;"Amber"),E1772="BLD-TIMBER",AND(U1772="Building equipment",OR(E1772="BLD-WATER",E1772="BLD-WASTE",E1772="BLD-LAND")),AND(U1772="Building renovation",E1772="BLD-LAND"))),"N/A","Pending"))))))</x:f>
      </x:c>
      <x:c r="Q1772" s="3" t="str">
        <x:f>IF(C1772="","",IF(AND(R1772="Valid",OR(P1772="Pass",P1772="N/A")),"Complete","Unresolved"))</x:f>
      </x:c>
      <x:c r="R1772" s="9" t="str">
        <x:f>IF(C1772="","",IF(OR(COUNTIF($C$9:$C$2008,C1772)&lt;&gt;1,COUNTIFS($D$9:$D$2008,D1772,$E$9:$E$2008,E1772)&lt;&gt;1),"Duplicate test",IF(COUNTIF('Taxonomy'!$C$9:$C$108,D1772)&lt;&gt;1,"Assessment key",IF(OR(COUNTIF('Taxonomy Rules'!$C$42:$C$68,E1772)&lt;&gt;1,F1772&lt;&gt;IFERROR(INDEX('Taxonomy Rules'!$D$42:$D$68,MATCH(E1772,'Taxonomy Rules'!$C$42:$C$68,0)),""),NOT(OR(IFERROR(INDEX('Taxonomy Rules'!$G$42:$G$68,MATCH(E1772,'Taxonomy Rules'!$C$42:$C$68,0)),"")="All supported routes",IFERROR(INDEX('Taxonomy Rules'!$G$42:$G$68,MATCH(E1772,'Taxonomy Rules'!$C$42:$C$68,0)),"")=U1772,AND(IFERROR(INDEX('Taxonomy Rules'!$G$42:$G$68,MATCH(E1772,'Taxonomy Rules'!$C$42:$C$68,0)),"")="Building routes",OR(U1772="Building renovation",U1772="New building",U1772="Building equipment"))))),"Unexpected test","Valid"))))</x:f>
      </x:c>
      <x:c r="S1772" s="9" t="str">
        <x:f>IF(C1772="","",IFERROR(INDEX('Taxonomy Rules'!$E$42:$E$68,MATCH(E1772,'Taxonomy Rules'!$C$42:$C$68,0)),""))</x:f>
      </x:c>
      <x:c r="T1772" s="9" t="str">
        <x:f>IF(C1772="","",IFERROR(INDEX('Taxonomy Rules'!$F$42:$F$68,MATCH(E1772,'Taxonomy Rules'!$C$42:$C$68,0)),""))</x:f>
      </x:c>
      <x:c r="U1772" s="9" t="str">
        <x:f>IF(C1772="","",IFERROR(INDEX('Taxonomy'!$G$9:$G$108,MATCH(D1772,'Taxonomy'!$C$9:$C$108,0)),""))</x:f>
      </x:c>
    </x:row>
    <x:row r="1773" ht="44" customHeight="1">
      <x:c r="A1773" s="1"/>
      <x:c r="B1773" s="1"/>
      <x:c r="C1773" s="8"/>
      <x:c r="D1773" s="8"/>
      <x:c r="E1773" s="8"/>
      <x:c r="F1773" s="8"/>
      <x:c r="G1773" s="8"/>
      <x:c r="H1773" s="8"/>
      <x:c r="I1773" s="8"/>
      <x:c r="J1773" s="8"/>
      <x:c r="K1773" s="8"/>
      <x:c r="L1773" s="8"/>
      <x:c r="M1773" s="10"/>
      <x:c r="N1773" s="10"/>
      <x:c r="O1773" s="8"/>
      <x:c r="P1773" s="9" t="str">
        <x:f>IF(C1773="","",IF(AND(G1773="Applicable",H1773="Fail"),"Fail",IF(R1773&lt;&gt;"Valid","Pending",IF(OR(I1773="",K1773="",L1773="",K1773=L1773,NOT(ISNUMBER(M1773)),NOT(ISNUMBER(N1773)),M1773&gt;Settings!$F$8,N1773&lt;Settings!$F$8,N1773&lt;M1773),"Pending",IF(AND(G1773="Applicable",H1773="Pass"),"Pass",IF(AND(G1773="N/A",H1773="N/A",J1773&lt;&gt;"",OR(E1773="CEM-FUELS",E1773="CEM-CCS",AND(E1773="CEM-PLAN",IFERROR(INDEX('Taxonomy'!$M$9:$M$108,MATCH(D1773,'Taxonomy'!$C$9:$C$108,0)),"")&lt;&gt;"Amber"),E1773="BLD-TIMBER",AND(U1773="Building equipment",OR(E1773="BLD-WATER",E1773="BLD-WASTE",E1773="BLD-LAND")),AND(U1773="Building renovation",E1773="BLD-LAND"))),"N/A","Pending"))))))</x:f>
      </x:c>
      <x:c r="Q1773" s="3" t="str">
        <x:f>IF(C1773="","",IF(AND(R1773="Valid",OR(P1773="Pass",P1773="N/A")),"Complete","Unresolved"))</x:f>
      </x:c>
      <x:c r="R1773" s="9" t="str">
        <x:f>IF(C1773="","",IF(OR(COUNTIF($C$9:$C$2008,C1773)&lt;&gt;1,COUNTIFS($D$9:$D$2008,D1773,$E$9:$E$2008,E1773)&lt;&gt;1),"Duplicate test",IF(COUNTIF('Taxonomy'!$C$9:$C$108,D1773)&lt;&gt;1,"Assessment key",IF(OR(COUNTIF('Taxonomy Rules'!$C$42:$C$68,E1773)&lt;&gt;1,F1773&lt;&gt;IFERROR(INDEX('Taxonomy Rules'!$D$42:$D$68,MATCH(E1773,'Taxonomy Rules'!$C$42:$C$68,0)),""),NOT(OR(IFERROR(INDEX('Taxonomy Rules'!$G$42:$G$68,MATCH(E1773,'Taxonomy Rules'!$C$42:$C$68,0)),"")="All supported routes",IFERROR(INDEX('Taxonomy Rules'!$G$42:$G$68,MATCH(E1773,'Taxonomy Rules'!$C$42:$C$68,0)),"")=U1773,AND(IFERROR(INDEX('Taxonomy Rules'!$G$42:$G$68,MATCH(E1773,'Taxonomy Rules'!$C$42:$C$68,0)),"")="Building routes",OR(U1773="Building renovation",U1773="New building",U1773="Building equipment"))))),"Unexpected test","Valid"))))</x:f>
      </x:c>
      <x:c r="S1773" s="9" t="str">
        <x:f>IF(C1773="","",IFERROR(INDEX('Taxonomy Rules'!$E$42:$E$68,MATCH(E1773,'Taxonomy Rules'!$C$42:$C$68,0)),""))</x:f>
      </x:c>
      <x:c r="T1773" s="9" t="str">
        <x:f>IF(C1773="","",IFERROR(INDEX('Taxonomy Rules'!$F$42:$F$68,MATCH(E1773,'Taxonomy Rules'!$C$42:$C$68,0)),""))</x:f>
      </x:c>
      <x:c r="U1773" s="9" t="str">
        <x:f>IF(C1773="","",IFERROR(INDEX('Taxonomy'!$G$9:$G$108,MATCH(D1773,'Taxonomy'!$C$9:$C$108,0)),""))</x:f>
      </x:c>
    </x:row>
    <x:row r="1774" ht="44" customHeight="1">
      <x:c r="A1774" s="1"/>
      <x:c r="B1774" s="1"/>
      <x:c r="C1774" s="8"/>
      <x:c r="D1774" s="8"/>
      <x:c r="E1774" s="8"/>
      <x:c r="F1774" s="8"/>
      <x:c r="G1774" s="8"/>
      <x:c r="H1774" s="8"/>
      <x:c r="I1774" s="8"/>
      <x:c r="J1774" s="8"/>
      <x:c r="K1774" s="8"/>
      <x:c r="L1774" s="8"/>
      <x:c r="M1774" s="10"/>
      <x:c r="N1774" s="10"/>
      <x:c r="O1774" s="8"/>
      <x:c r="P1774" s="9" t="str">
        <x:f>IF(C1774="","",IF(AND(G1774="Applicable",H1774="Fail"),"Fail",IF(R1774&lt;&gt;"Valid","Pending",IF(OR(I1774="",K1774="",L1774="",K1774=L1774,NOT(ISNUMBER(M1774)),NOT(ISNUMBER(N1774)),M1774&gt;Settings!$F$8,N1774&lt;Settings!$F$8,N1774&lt;M1774),"Pending",IF(AND(G1774="Applicable",H1774="Pass"),"Pass",IF(AND(G1774="N/A",H1774="N/A",J1774&lt;&gt;"",OR(E1774="CEM-FUELS",E1774="CEM-CCS",AND(E1774="CEM-PLAN",IFERROR(INDEX('Taxonomy'!$M$9:$M$108,MATCH(D1774,'Taxonomy'!$C$9:$C$108,0)),"")&lt;&gt;"Amber"),E1774="BLD-TIMBER",AND(U1774="Building equipment",OR(E1774="BLD-WATER",E1774="BLD-WASTE",E1774="BLD-LAND")),AND(U1774="Building renovation",E1774="BLD-LAND"))),"N/A","Pending"))))))</x:f>
      </x:c>
      <x:c r="Q1774" s="3" t="str">
        <x:f>IF(C1774="","",IF(AND(R1774="Valid",OR(P1774="Pass",P1774="N/A")),"Complete","Unresolved"))</x:f>
      </x:c>
      <x:c r="R1774" s="9" t="str">
        <x:f>IF(C1774="","",IF(OR(COUNTIF($C$9:$C$2008,C1774)&lt;&gt;1,COUNTIFS($D$9:$D$2008,D1774,$E$9:$E$2008,E1774)&lt;&gt;1),"Duplicate test",IF(COUNTIF('Taxonomy'!$C$9:$C$108,D1774)&lt;&gt;1,"Assessment key",IF(OR(COUNTIF('Taxonomy Rules'!$C$42:$C$68,E1774)&lt;&gt;1,F1774&lt;&gt;IFERROR(INDEX('Taxonomy Rules'!$D$42:$D$68,MATCH(E1774,'Taxonomy Rules'!$C$42:$C$68,0)),""),NOT(OR(IFERROR(INDEX('Taxonomy Rules'!$G$42:$G$68,MATCH(E1774,'Taxonomy Rules'!$C$42:$C$68,0)),"")="All supported routes",IFERROR(INDEX('Taxonomy Rules'!$G$42:$G$68,MATCH(E1774,'Taxonomy Rules'!$C$42:$C$68,0)),"")=U1774,AND(IFERROR(INDEX('Taxonomy Rules'!$G$42:$G$68,MATCH(E1774,'Taxonomy Rules'!$C$42:$C$68,0)),"")="Building routes",OR(U1774="Building renovation",U1774="New building",U1774="Building equipment"))))),"Unexpected test","Valid"))))</x:f>
      </x:c>
      <x:c r="S1774" s="9" t="str">
        <x:f>IF(C1774="","",IFERROR(INDEX('Taxonomy Rules'!$E$42:$E$68,MATCH(E1774,'Taxonomy Rules'!$C$42:$C$68,0)),""))</x:f>
      </x:c>
      <x:c r="T1774" s="9" t="str">
        <x:f>IF(C1774="","",IFERROR(INDEX('Taxonomy Rules'!$F$42:$F$68,MATCH(E1774,'Taxonomy Rules'!$C$42:$C$68,0)),""))</x:f>
      </x:c>
      <x:c r="U1774" s="9" t="str">
        <x:f>IF(C1774="","",IFERROR(INDEX('Taxonomy'!$G$9:$G$108,MATCH(D1774,'Taxonomy'!$C$9:$C$108,0)),""))</x:f>
      </x:c>
    </x:row>
    <x:row r="1775" ht="44" customHeight="1">
      <x:c r="A1775" s="1"/>
      <x:c r="B1775" s="1"/>
      <x:c r="C1775" s="8"/>
      <x:c r="D1775" s="8"/>
      <x:c r="E1775" s="8"/>
      <x:c r="F1775" s="8"/>
      <x:c r="G1775" s="8"/>
      <x:c r="H1775" s="8"/>
      <x:c r="I1775" s="8"/>
      <x:c r="J1775" s="8"/>
      <x:c r="K1775" s="8"/>
      <x:c r="L1775" s="8"/>
      <x:c r="M1775" s="10"/>
      <x:c r="N1775" s="10"/>
      <x:c r="O1775" s="8"/>
      <x:c r="P1775" s="9" t="str">
        <x:f>IF(C1775="","",IF(AND(G1775="Applicable",H1775="Fail"),"Fail",IF(R1775&lt;&gt;"Valid","Pending",IF(OR(I1775="",K1775="",L1775="",K1775=L1775,NOT(ISNUMBER(M1775)),NOT(ISNUMBER(N1775)),M1775&gt;Settings!$F$8,N1775&lt;Settings!$F$8,N1775&lt;M1775),"Pending",IF(AND(G1775="Applicable",H1775="Pass"),"Pass",IF(AND(G1775="N/A",H1775="N/A",J1775&lt;&gt;"",OR(E1775="CEM-FUELS",E1775="CEM-CCS",AND(E1775="CEM-PLAN",IFERROR(INDEX('Taxonomy'!$M$9:$M$108,MATCH(D1775,'Taxonomy'!$C$9:$C$108,0)),"")&lt;&gt;"Amber"),E1775="BLD-TIMBER",AND(U1775="Building equipment",OR(E1775="BLD-WATER",E1775="BLD-WASTE",E1775="BLD-LAND")),AND(U1775="Building renovation",E1775="BLD-LAND"))),"N/A","Pending"))))))</x:f>
      </x:c>
      <x:c r="Q1775" s="3" t="str">
        <x:f>IF(C1775="","",IF(AND(R1775="Valid",OR(P1775="Pass",P1775="N/A")),"Complete","Unresolved"))</x:f>
      </x:c>
      <x:c r="R1775" s="9" t="str">
        <x:f>IF(C1775="","",IF(OR(COUNTIF($C$9:$C$2008,C1775)&lt;&gt;1,COUNTIFS($D$9:$D$2008,D1775,$E$9:$E$2008,E1775)&lt;&gt;1),"Duplicate test",IF(COUNTIF('Taxonomy'!$C$9:$C$108,D1775)&lt;&gt;1,"Assessment key",IF(OR(COUNTIF('Taxonomy Rules'!$C$42:$C$68,E1775)&lt;&gt;1,F1775&lt;&gt;IFERROR(INDEX('Taxonomy Rules'!$D$42:$D$68,MATCH(E1775,'Taxonomy Rules'!$C$42:$C$68,0)),""),NOT(OR(IFERROR(INDEX('Taxonomy Rules'!$G$42:$G$68,MATCH(E1775,'Taxonomy Rules'!$C$42:$C$68,0)),"")="All supported routes",IFERROR(INDEX('Taxonomy Rules'!$G$42:$G$68,MATCH(E1775,'Taxonomy Rules'!$C$42:$C$68,0)),"")=U1775,AND(IFERROR(INDEX('Taxonomy Rules'!$G$42:$G$68,MATCH(E1775,'Taxonomy Rules'!$C$42:$C$68,0)),"")="Building routes",OR(U1775="Building renovation",U1775="New building",U1775="Building equipment"))))),"Unexpected test","Valid"))))</x:f>
      </x:c>
      <x:c r="S1775" s="9" t="str">
        <x:f>IF(C1775="","",IFERROR(INDEX('Taxonomy Rules'!$E$42:$E$68,MATCH(E1775,'Taxonomy Rules'!$C$42:$C$68,0)),""))</x:f>
      </x:c>
      <x:c r="T1775" s="9" t="str">
        <x:f>IF(C1775="","",IFERROR(INDEX('Taxonomy Rules'!$F$42:$F$68,MATCH(E1775,'Taxonomy Rules'!$C$42:$C$68,0)),""))</x:f>
      </x:c>
      <x:c r="U1775" s="9" t="str">
        <x:f>IF(C1775="","",IFERROR(INDEX('Taxonomy'!$G$9:$G$108,MATCH(D1775,'Taxonomy'!$C$9:$C$108,0)),""))</x:f>
      </x:c>
    </x:row>
    <x:row r="1776" ht="44" customHeight="1">
      <x:c r="A1776" s="1"/>
      <x:c r="B1776" s="1"/>
      <x:c r="C1776" s="8"/>
      <x:c r="D1776" s="8"/>
      <x:c r="E1776" s="8"/>
      <x:c r="F1776" s="8"/>
      <x:c r="G1776" s="8"/>
      <x:c r="H1776" s="8"/>
      <x:c r="I1776" s="8"/>
      <x:c r="J1776" s="8"/>
      <x:c r="K1776" s="8"/>
      <x:c r="L1776" s="8"/>
      <x:c r="M1776" s="10"/>
      <x:c r="N1776" s="10"/>
      <x:c r="O1776" s="8"/>
      <x:c r="P1776" s="9" t="str">
        <x:f>IF(C1776="","",IF(AND(G1776="Applicable",H1776="Fail"),"Fail",IF(R1776&lt;&gt;"Valid","Pending",IF(OR(I1776="",K1776="",L1776="",K1776=L1776,NOT(ISNUMBER(M1776)),NOT(ISNUMBER(N1776)),M1776&gt;Settings!$F$8,N1776&lt;Settings!$F$8,N1776&lt;M1776),"Pending",IF(AND(G1776="Applicable",H1776="Pass"),"Pass",IF(AND(G1776="N/A",H1776="N/A",J1776&lt;&gt;"",OR(E1776="CEM-FUELS",E1776="CEM-CCS",AND(E1776="CEM-PLAN",IFERROR(INDEX('Taxonomy'!$M$9:$M$108,MATCH(D1776,'Taxonomy'!$C$9:$C$108,0)),"")&lt;&gt;"Amber"),E1776="BLD-TIMBER",AND(U1776="Building equipment",OR(E1776="BLD-WATER",E1776="BLD-WASTE",E1776="BLD-LAND")),AND(U1776="Building renovation",E1776="BLD-LAND"))),"N/A","Pending"))))))</x:f>
      </x:c>
      <x:c r="Q1776" s="3" t="str">
        <x:f>IF(C1776="","",IF(AND(R1776="Valid",OR(P1776="Pass",P1776="N/A")),"Complete","Unresolved"))</x:f>
      </x:c>
      <x:c r="R1776" s="9" t="str">
        <x:f>IF(C1776="","",IF(OR(COUNTIF($C$9:$C$2008,C1776)&lt;&gt;1,COUNTIFS($D$9:$D$2008,D1776,$E$9:$E$2008,E1776)&lt;&gt;1),"Duplicate test",IF(COUNTIF('Taxonomy'!$C$9:$C$108,D1776)&lt;&gt;1,"Assessment key",IF(OR(COUNTIF('Taxonomy Rules'!$C$42:$C$68,E1776)&lt;&gt;1,F1776&lt;&gt;IFERROR(INDEX('Taxonomy Rules'!$D$42:$D$68,MATCH(E1776,'Taxonomy Rules'!$C$42:$C$68,0)),""),NOT(OR(IFERROR(INDEX('Taxonomy Rules'!$G$42:$G$68,MATCH(E1776,'Taxonomy Rules'!$C$42:$C$68,0)),"")="All supported routes",IFERROR(INDEX('Taxonomy Rules'!$G$42:$G$68,MATCH(E1776,'Taxonomy Rules'!$C$42:$C$68,0)),"")=U1776,AND(IFERROR(INDEX('Taxonomy Rules'!$G$42:$G$68,MATCH(E1776,'Taxonomy Rules'!$C$42:$C$68,0)),"")="Building routes",OR(U1776="Building renovation",U1776="New building",U1776="Building equipment"))))),"Unexpected test","Valid"))))</x:f>
      </x:c>
      <x:c r="S1776" s="9" t="str">
        <x:f>IF(C1776="","",IFERROR(INDEX('Taxonomy Rules'!$E$42:$E$68,MATCH(E1776,'Taxonomy Rules'!$C$42:$C$68,0)),""))</x:f>
      </x:c>
      <x:c r="T1776" s="9" t="str">
        <x:f>IF(C1776="","",IFERROR(INDEX('Taxonomy Rules'!$F$42:$F$68,MATCH(E1776,'Taxonomy Rules'!$C$42:$C$68,0)),""))</x:f>
      </x:c>
      <x:c r="U1776" s="9" t="str">
        <x:f>IF(C1776="","",IFERROR(INDEX('Taxonomy'!$G$9:$G$108,MATCH(D1776,'Taxonomy'!$C$9:$C$108,0)),""))</x:f>
      </x:c>
    </x:row>
    <x:row r="1777" ht="44" customHeight="1">
      <x:c r="A1777" s="1"/>
      <x:c r="B1777" s="1"/>
      <x:c r="C1777" s="8"/>
      <x:c r="D1777" s="8"/>
      <x:c r="E1777" s="8"/>
      <x:c r="F1777" s="8"/>
      <x:c r="G1777" s="8"/>
      <x:c r="H1777" s="8"/>
      <x:c r="I1777" s="8"/>
      <x:c r="J1777" s="8"/>
      <x:c r="K1777" s="8"/>
      <x:c r="L1777" s="8"/>
      <x:c r="M1777" s="10"/>
      <x:c r="N1777" s="10"/>
      <x:c r="O1777" s="8"/>
      <x:c r="P1777" s="9" t="str">
        <x:f>IF(C1777="","",IF(AND(G1777="Applicable",H1777="Fail"),"Fail",IF(R1777&lt;&gt;"Valid","Pending",IF(OR(I1777="",K1777="",L1777="",K1777=L1777,NOT(ISNUMBER(M1777)),NOT(ISNUMBER(N1777)),M1777&gt;Settings!$F$8,N1777&lt;Settings!$F$8,N1777&lt;M1777),"Pending",IF(AND(G1777="Applicable",H1777="Pass"),"Pass",IF(AND(G1777="N/A",H1777="N/A",J1777&lt;&gt;"",OR(E1777="CEM-FUELS",E1777="CEM-CCS",AND(E1777="CEM-PLAN",IFERROR(INDEX('Taxonomy'!$M$9:$M$108,MATCH(D1777,'Taxonomy'!$C$9:$C$108,0)),"")&lt;&gt;"Amber"),E1777="BLD-TIMBER",AND(U1777="Building equipment",OR(E1777="BLD-WATER",E1777="BLD-WASTE",E1777="BLD-LAND")),AND(U1777="Building renovation",E1777="BLD-LAND"))),"N/A","Pending"))))))</x:f>
      </x:c>
      <x:c r="Q1777" s="3" t="str">
        <x:f>IF(C1777="","",IF(AND(R1777="Valid",OR(P1777="Pass",P1777="N/A")),"Complete","Unresolved"))</x:f>
      </x:c>
      <x:c r="R1777" s="9" t="str">
        <x:f>IF(C1777="","",IF(OR(COUNTIF($C$9:$C$2008,C1777)&lt;&gt;1,COUNTIFS($D$9:$D$2008,D1777,$E$9:$E$2008,E1777)&lt;&gt;1),"Duplicate test",IF(COUNTIF('Taxonomy'!$C$9:$C$108,D1777)&lt;&gt;1,"Assessment key",IF(OR(COUNTIF('Taxonomy Rules'!$C$42:$C$68,E1777)&lt;&gt;1,F1777&lt;&gt;IFERROR(INDEX('Taxonomy Rules'!$D$42:$D$68,MATCH(E1777,'Taxonomy Rules'!$C$42:$C$68,0)),""),NOT(OR(IFERROR(INDEX('Taxonomy Rules'!$G$42:$G$68,MATCH(E1777,'Taxonomy Rules'!$C$42:$C$68,0)),"")="All supported routes",IFERROR(INDEX('Taxonomy Rules'!$G$42:$G$68,MATCH(E1777,'Taxonomy Rules'!$C$42:$C$68,0)),"")=U1777,AND(IFERROR(INDEX('Taxonomy Rules'!$G$42:$G$68,MATCH(E1777,'Taxonomy Rules'!$C$42:$C$68,0)),"")="Building routes",OR(U1777="Building renovation",U1777="New building",U1777="Building equipment"))))),"Unexpected test","Valid"))))</x:f>
      </x:c>
      <x:c r="S1777" s="9" t="str">
        <x:f>IF(C1777="","",IFERROR(INDEX('Taxonomy Rules'!$E$42:$E$68,MATCH(E1777,'Taxonomy Rules'!$C$42:$C$68,0)),""))</x:f>
      </x:c>
      <x:c r="T1777" s="9" t="str">
        <x:f>IF(C1777="","",IFERROR(INDEX('Taxonomy Rules'!$F$42:$F$68,MATCH(E1777,'Taxonomy Rules'!$C$42:$C$68,0)),""))</x:f>
      </x:c>
      <x:c r="U1777" s="9" t="str">
        <x:f>IF(C1777="","",IFERROR(INDEX('Taxonomy'!$G$9:$G$108,MATCH(D1777,'Taxonomy'!$C$9:$C$108,0)),""))</x:f>
      </x:c>
    </x:row>
    <x:row r="1778" ht="44" customHeight="1">
      <x:c r="A1778" s="1"/>
      <x:c r="B1778" s="1"/>
      <x:c r="C1778" s="8"/>
      <x:c r="D1778" s="8"/>
      <x:c r="E1778" s="8"/>
      <x:c r="F1778" s="8"/>
      <x:c r="G1778" s="8"/>
      <x:c r="H1778" s="8"/>
      <x:c r="I1778" s="8"/>
      <x:c r="J1778" s="8"/>
      <x:c r="K1778" s="8"/>
      <x:c r="L1778" s="8"/>
      <x:c r="M1778" s="10"/>
      <x:c r="N1778" s="10"/>
      <x:c r="O1778" s="8"/>
      <x:c r="P1778" s="9" t="str">
        <x:f>IF(C1778="","",IF(AND(G1778="Applicable",H1778="Fail"),"Fail",IF(R1778&lt;&gt;"Valid","Pending",IF(OR(I1778="",K1778="",L1778="",K1778=L1778,NOT(ISNUMBER(M1778)),NOT(ISNUMBER(N1778)),M1778&gt;Settings!$F$8,N1778&lt;Settings!$F$8,N1778&lt;M1778),"Pending",IF(AND(G1778="Applicable",H1778="Pass"),"Pass",IF(AND(G1778="N/A",H1778="N/A",J1778&lt;&gt;"",OR(E1778="CEM-FUELS",E1778="CEM-CCS",AND(E1778="CEM-PLAN",IFERROR(INDEX('Taxonomy'!$M$9:$M$108,MATCH(D1778,'Taxonomy'!$C$9:$C$108,0)),"")&lt;&gt;"Amber"),E1778="BLD-TIMBER",AND(U1778="Building equipment",OR(E1778="BLD-WATER",E1778="BLD-WASTE",E1778="BLD-LAND")),AND(U1778="Building renovation",E1778="BLD-LAND"))),"N/A","Pending"))))))</x:f>
      </x:c>
      <x:c r="Q1778" s="3" t="str">
        <x:f>IF(C1778="","",IF(AND(R1778="Valid",OR(P1778="Pass",P1778="N/A")),"Complete","Unresolved"))</x:f>
      </x:c>
      <x:c r="R1778" s="9" t="str">
        <x:f>IF(C1778="","",IF(OR(COUNTIF($C$9:$C$2008,C1778)&lt;&gt;1,COUNTIFS($D$9:$D$2008,D1778,$E$9:$E$2008,E1778)&lt;&gt;1),"Duplicate test",IF(COUNTIF('Taxonomy'!$C$9:$C$108,D1778)&lt;&gt;1,"Assessment key",IF(OR(COUNTIF('Taxonomy Rules'!$C$42:$C$68,E1778)&lt;&gt;1,F1778&lt;&gt;IFERROR(INDEX('Taxonomy Rules'!$D$42:$D$68,MATCH(E1778,'Taxonomy Rules'!$C$42:$C$68,0)),""),NOT(OR(IFERROR(INDEX('Taxonomy Rules'!$G$42:$G$68,MATCH(E1778,'Taxonomy Rules'!$C$42:$C$68,0)),"")="All supported routes",IFERROR(INDEX('Taxonomy Rules'!$G$42:$G$68,MATCH(E1778,'Taxonomy Rules'!$C$42:$C$68,0)),"")=U1778,AND(IFERROR(INDEX('Taxonomy Rules'!$G$42:$G$68,MATCH(E1778,'Taxonomy Rules'!$C$42:$C$68,0)),"")="Building routes",OR(U1778="Building renovation",U1778="New building",U1778="Building equipment"))))),"Unexpected test","Valid"))))</x:f>
      </x:c>
      <x:c r="S1778" s="9" t="str">
        <x:f>IF(C1778="","",IFERROR(INDEX('Taxonomy Rules'!$E$42:$E$68,MATCH(E1778,'Taxonomy Rules'!$C$42:$C$68,0)),""))</x:f>
      </x:c>
      <x:c r="T1778" s="9" t="str">
        <x:f>IF(C1778="","",IFERROR(INDEX('Taxonomy Rules'!$F$42:$F$68,MATCH(E1778,'Taxonomy Rules'!$C$42:$C$68,0)),""))</x:f>
      </x:c>
      <x:c r="U1778" s="9" t="str">
        <x:f>IF(C1778="","",IFERROR(INDEX('Taxonomy'!$G$9:$G$108,MATCH(D1778,'Taxonomy'!$C$9:$C$108,0)),""))</x:f>
      </x:c>
    </x:row>
    <x:row r="1779" ht="44" customHeight="1">
      <x:c r="A1779" s="1"/>
      <x:c r="B1779" s="1"/>
      <x:c r="C1779" s="8"/>
      <x:c r="D1779" s="8"/>
      <x:c r="E1779" s="8"/>
      <x:c r="F1779" s="8"/>
      <x:c r="G1779" s="8"/>
      <x:c r="H1779" s="8"/>
      <x:c r="I1779" s="8"/>
      <x:c r="J1779" s="8"/>
      <x:c r="K1779" s="8"/>
      <x:c r="L1779" s="8"/>
      <x:c r="M1779" s="10"/>
      <x:c r="N1779" s="10"/>
      <x:c r="O1779" s="8"/>
      <x:c r="P1779" s="9" t="str">
        <x:f>IF(C1779="","",IF(AND(G1779="Applicable",H1779="Fail"),"Fail",IF(R1779&lt;&gt;"Valid","Pending",IF(OR(I1779="",K1779="",L1779="",K1779=L1779,NOT(ISNUMBER(M1779)),NOT(ISNUMBER(N1779)),M1779&gt;Settings!$F$8,N1779&lt;Settings!$F$8,N1779&lt;M1779),"Pending",IF(AND(G1779="Applicable",H1779="Pass"),"Pass",IF(AND(G1779="N/A",H1779="N/A",J1779&lt;&gt;"",OR(E1779="CEM-FUELS",E1779="CEM-CCS",AND(E1779="CEM-PLAN",IFERROR(INDEX('Taxonomy'!$M$9:$M$108,MATCH(D1779,'Taxonomy'!$C$9:$C$108,0)),"")&lt;&gt;"Amber"),E1779="BLD-TIMBER",AND(U1779="Building equipment",OR(E1779="BLD-WATER",E1779="BLD-WASTE",E1779="BLD-LAND")),AND(U1779="Building renovation",E1779="BLD-LAND"))),"N/A","Pending"))))))</x:f>
      </x:c>
      <x:c r="Q1779" s="3" t="str">
        <x:f>IF(C1779="","",IF(AND(R1779="Valid",OR(P1779="Pass",P1779="N/A")),"Complete","Unresolved"))</x:f>
      </x:c>
      <x:c r="R1779" s="9" t="str">
        <x:f>IF(C1779="","",IF(OR(COUNTIF($C$9:$C$2008,C1779)&lt;&gt;1,COUNTIFS($D$9:$D$2008,D1779,$E$9:$E$2008,E1779)&lt;&gt;1),"Duplicate test",IF(COUNTIF('Taxonomy'!$C$9:$C$108,D1779)&lt;&gt;1,"Assessment key",IF(OR(COUNTIF('Taxonomy Rules'!$C$42:$C$68,E1779)&lt;&gt;1,F1779&lt;&gt;IFERROR(INDEX('Taxonomy Rules'!$D$42:$D$68,MATCH(E1779,'Taxonomy Rules'!$C$42:$C$68,0)),""),NOT(OR(IFERROR(INDEX('Taxonomy Rules'!$G$42:$G$68,MATCH(E1779,'Taxonomy Rules'!$C$42:$C$68,0)),"")="All supported routes",IFERROR(INDEX('Taxonomy Rules'!$G$42:$G$68,MATCH(E1779,'Taxonomy Rules'!$C$42:$C$68,0)),"")=U1779,AND(IFERROR(INDEX('Taxonomy Rules'!$G$42:$G$68,MATCH(E1779,'Taxonomy Rules'!$C$42:$C$68,0)),"")="Building routes",OR(U1779="Building renovation",U1779="New building",U1779="Building equipment"))))),"Unexpected test","Valid"))))</x:f>
      </x:c>
      <x:c r="S1779" s="9" t="str">
        <x:f>IF(C1779="","",IFERROR(INDEX('Taxonomy Rules'!$E$42:$E$68,MATCH(E1779,'Taxonomy Rules'!$C$42:$C$68,0)),""))</x:f>
      </x:c>
      <x:c r="T1779" s="9" t="str">
        <x:f>IF(C1779="","",IFERROR(INDEX('Taxonomy Rules'!$F$42:$F$68,MATCH(E1779,'Taxonomy Rules'!$C$42:$C$68,0)),""))</x:f>
      </x:c>
      <x:c r="U1779" s="9" t="str">
        <x:f>IF(C1779="","",IFERROR(INDEX('Taxonomy'!$G$9:$G$108,MATCH(D1779,'Taxonomy'!$C$9:$C$108,0)),""))</x:f>
      </x:c>
    </x:row>
    <x:row r="1780" ht="44" customHeight="1">
      <x:c r="A1780" s="1"/>
      <x:c r="B1780" s="1"/>
      <x:c r="C1780" s="8"/>
      <x:c r="D1780" s="8"/>
      <x:c r="E1780" s="8"/>
      <x:c r="F1780" s="8"/>
      <x:c r="G1780" s="8"/>
      <x:c r="H1780" s="8"/>
      <x:c r="I1780" s="8"/>
      <x:c r="J1780" s="8"/>
      <x:c r="K1780" s="8"/>
      <x:c r="L1780" s="8"/>
      <x:c r="M1780" s="10"/>
      <x:c r="N1780" s="10"/>
      <x:c r="O1780" s="8"/>
      <x:c r="P1780" s="9" t="str">
        <x:f>IF(C1780="","",IF(AND(G1780="Applicable",H1780="Fail"),"Fail",IF(R1780&lt;&gt;"Valid","Pending",IF(OR(I1780="",K1780="",L1780="",K1780=L1780,NOT(ISNUMBER(M1780)),NOT(ISNUMBER(N1780)),M1780&gt;Settings!$F$8,N1780&lt;Settings!$F$8,N1780&lt;M1780),"Pending",IF(AND(G1780="Applicable",H1780="Pass"),"Pass",IF(AND(G1780="N/A",H1780="N/A",J1780&lt;&gt;"",OR(E1780="CEM-FUELS",E1780="CEM-CCS",AND(E1780="CEM-PLAN",IFERROR(INDEX('Taxonomy'!$M$9:$M$108,MATCH(D1780,'Taxonomy'!$C$9:$C$108,0)),"")&lt;&gt;"Amber"),E1780="BLD-TIMBER",AND(U1780="Building equipment",OR(E1780="BLD-WATER",E1780="BLD-WASTE",E1780="BLD-LAND")),AND(U1780="Building renovation",E1780="BLD-LAND"))),"N/A","Pending"))))))</x:f>
      </x:c>
      <x:c r="Q1780" s="3" t="str">
        <x:f>IF(C1780="","",IF(AND(R1780="Valid",OR(P1780="Pass",P1780="N/A")),"Complete","Unresolved"))</x:f>
      </x:c>
      <x:c r="R1780" s="9" t="str">
        <x:f>IF(C1780="","",IF(OR(COUNTIF($C$9:$C$2008,C1780)&lt;&gt;1,COUNTIFS($D$9:$D$2008,D1780,$E$9:$E$2008,E1780)&lt;&gt;1),"Duplicate test",IF(COUNTIF('Taxonomy'!$C$9:$C$108,D1780)&lt;&gt;1,"Assessment key",IF(OR(COUNTIF('Taxonomy Rules'!$C$42:$C$68,E1780)&lt;&gt;1,F1780&lt;&gt;IFERROR(INDEX('Taxonomy Rules'!$D$42:$D$68,MATCH(E1780,'Taxonomy Rules'!$C$42:$C$68,0)),""),NOT(OR(IFERROR(INDEX('Taxonomy Rules'!$G$42:$G$68,MATCH(E1780,'Taxonomy Rules'!$C$42:$C$68,0)),"")="All supported routes",IFERROR(INDEX('Taxonomy Rules'!$G$42:$G$68,MATCH(E1780,'Taxonomy Rules'!$C$42:$C$68,0)),"")=U1780,AND(IFERROR(INDEX('Taxonomy Rules'!$G$42:$G$68,MATCH(E1780,'Taxonomy Rules'!$C$42:$C$68,0)),"")="Building routes",OR(U1780="Building renovation",U1780="New building",U1780="Building equipment"))))),"Unexpected test","Valid"))))</x:f>
      </x:c>
      <x:c r="S1780" s="9" t="str">
        <x:f>IF(C1780="","",IFERROR(INDEX('Taxonomy Rules'!$E$42:$E$68,MATCH(E1780,'Taxonomy Rules'!$C$42:$C$68,0)),""))</x:f>
      </x:c>
      <x:c r="T1780" s="9" t="str">
        <x:f>IF(C1780="","",IFERROR(INDEX('Taxonomy Rules'!$F$42:$F$68,MATCH(E1780,'Taxonomy Rules'!$C$42:$C$68,0)),""))</x:f>
      </x:c>
      <x:c r="U1780" s="9" t="str">
        <x:f>IF(C1780="","",IFERROR(INDEX('Taxonomy'!$G$9:$G$108,MATCH(D1780,'Taxonomy'!$C$9:$C$108,0)),""))</x:f>
      </x:c>
    </x:row>
    <x:row r="1781" ht="44" customHeight="1">
      <x:c r="A1781" s="1"/>
      <x:c r="B1781" s="1"/>
      <x:c r="C1781" s="8"/>
      <x:c r="D1781" s="8"/>
      <x:c r="E1781" s="8"/>
      <x:c r="F1781" s="8"/>
      <x:c r="G1781" s="8"/>
      <x:c r="H1781" s="8"/>
      <x:c r="I1781" s="8"/>
      <x:c r="J1781" s="8"/>
      <x:c r="K1781" s="8"/>
      <x:c r="L1781" s="8"/>
      <x:c r="M1781" s="10"/>
      <x:c r="N1781" s="10"/>
      <x:c r="O1781" s="8"/>
      <x:c r="P1781" s="9" t="str">
        <x:f>IF(C1781="","",IF(AND(G1781="Applicable",H1781="Fail"),"Fail",IF(R1781&lt;&gt;"Valid","Pending",IF(OR(I1781="",K1781="",L1781="",K1781=L1781,NOT(ISNUMBER(M1781)),NOT(ISNUMBER(N1781)),M1781&gt;Settings!$F$8,N1781&lt;Settings!$F$8,N1781&lt;M1781),"Pending",IF(AND(G1781="Applicable",H1781="Pass"),"Pass",IF(AND(G1781="N/A",H1781="N/A",J1781&lt;&gt;"",OR(E1781="CEM-FUELS",E1781="CEM-CCS",AND(E1781="CEM-PLAN",IFERROR(INDEX('Taxonomy'!$M$9:$M$108,MATCH(D1781,'Taxonomy'!$C$9:$C$108,0)),"")&lt;&gt;"Amber"),E1781="BLD-TIMBER",AND(U1781="Building equipment",OR(E1781="BLD-WATER",E1781="BLD-WASTE",E1781="BLD-LAND")),AND(U1781="Building renovation",E1781="BLD-LAND"))),"N/A","Pending"))))))</x:f>
      </x:c>
      <x:c r="Q1781" s="3" t="str">
        <x:f>IF(C1781="","",IF(AND(R1781="Valid",OR(P1781="Pass",P1781="N/A")),"Complete","Unresolved"))</x:f>
      </x:c>
      <x:c r="R1781" s="9" t="str">
        <x:f>IF(C1781="","",IF(OR(COUNTIF($C$9:$C$2008,C1781)&lt;&gt;1,COUNTIFS($D$9:$D$2008,D1781,$E$9:$E$2008,E1781)&lt;&gt;1),"Duplicate test",IF(COUNTIF('Taxonomy'!$C$9:$C$108,D1781)&lt;&gt;1,"Assessment key",IF(OR(COUNTIF('Taxonomy Rules'!$C$42:$C$68,E1781)&lt;&gt;1,F1781&lt;&gt;IFERROR(INDEX('Taxonomy Rules'!$D$42:$D$68,MATCH(E1781,'Taxonomy Rules'!$C$42:$C$68,0)),""),NOT(OR(IFERROR(INDEX('Taxonomy Rules'!$G$42:$G$68,MATCH(E1781,'Taxonomy Rules'!$C$42:$C$68,0)),"")="All supported routes",IFERROR(INDEX('Taxonomy Rules'!$G$42:$G$68,MATCH(E1781,'Taxonomy Rules'!$C$42:$C$68,0)),"")=U1781,AND(IFERROR(INDEX('Taxonomy Rules'!$G$42:$G$68,MATCH(E1781,'Taxonomy Rules'!$C$42:$C$68,0)),"")="Building routes",OR(U1781="Building renovation",U1781="New building",U1781="Building equipment"))))),"Unexpected test","Valid"))))</x:f>
      </x:c>
      <x:c r="S1781" s="9" t="str">
        <x:f>IF(C1781="","",IFERROR(INDEX('Taxonomy Rules'!$E$42:$E$68,MATCH(E1781,'Taxonomy Rules'!$C$42:$C$68,0)),""))</x:f>
      </x:c>
      <x:c r="T1781" s="9" t="str">
        <x:f>IF(C1781="","",IFERROR(INDEX('Taxonomy Rules'!$F$42:$F$68,MATCH(E1781,'Taxonomy Rules'!$C$42:$C$68,0)),""))</x:f>
      </x:c>
      <x:c r="U1781" s="9" t="str">
        <x:f>IF(C1781="","",IFERROR(INDEX('Taxonomy'!$G$9:$G$108,MATCH(D1781,'Taxonomy'!$C$9:$C$108,0)),""))</x:f>
      </x:c>
    </x:row>
    <x:row r="1782" ht="44" customHeight="1">
      <x:c r="A1782" s="1"/>
      <x:c r="B1782" s="1"/>
      <x:c r="C1782" s="8"/>
      <x:c r="D1782" s="8"/>
      <x:c r="E1782" s="8"/>
      <x:c r="F1782" s="8"/>
      <x:c r="G1782" s="8"/>
      <x:c r="H1782" s="8"/>
      <x:c r="I1782" s="8"/>
      <x:c r="J1782" s="8"/>
      <x:c r="K1782" s="8"/>
      <x:c r="L1782" s="8"/>
      <x:c r="M1782" s="10"/>
      <x:c r="N1782" s="10"/>
      <x:c r="O1782" s="8"/>
      <x:c r="P1782" s="9" t="str">
        <x:f>IF(C1782="","",IF(AND(G1782="Applicable",H1782="Fail"),"Fail",IF(R1782&lt;&gt;"Valid","Pending",IF(OR(I1782="",K1782="",L1782="",K1782=L1782,NOT(ISNUMBER(M1782)),NOT(ISNUMBER(N1782)),M1782&gt;Settings!$F$8,N1782&lt;Settings!$F$8,N1782&lt;M1782),"Pending",IF(AND(G1782="Applicable",H1782="Pass"),"Pass",IF(AND(G1782="N/A",H1782="N/A",J1782&lt;&gt;"",OR(E1782="CEM-FUELS",E1782="CEM-CCS",AND(E1782="CEM-PLAN",IFERROR(INDEX('Taxonomy'!$M$9:$M$108,MATCH(D1782,'Taxonomy'!$C$9:$C$108,0)),"")&lt;&gt;"Amber"),E1782="BLD-TIMBER",AND(U1782="Building equipment",OR(E1782="BLD-WATER",E1782="BLD-WASTE",E1782="BLD-LAND")),AND(U1782="Building renovation",E1782="BLD-LAND"))),"N/A","Pending"))))))</x:f>
      </x:c>
      <x:c r="Q1782" s="3" t="str">
        <x:f>IF(C1782="","",IF(AND(R1782="Valid",OR(P1782="Pass",P1782="N/A")),"Complete","Unresolved"))</x:f>
      </x:c>
      <x:c r="R1782" s="9" t="str">
        <x:f>IF(C1782="","",IF(OR(COUNTIF($C$9:$C$2008,C1782)&lt;&gt;1,COUNTIFS($D$9:$D$2008,D1782,$E$9:$E$2008,E1782)&lt;&gt;1),"Duplicate test",IF(COUNTIF('Taxonomy'!$C$9:$C$108,D1782)&lt;&gt;1,"Assessment key",IF(OR(COUNTIF('Taxonomy Rules'!$C$42:$C$68,E1782)&lt;&gt;1,F1782&lt;&gt;IFERROR(INDEX('Taxonomy Rules'!$D$42:$D$68,MATCH(E1782,'Taxonomy Rules'!$C$42:$C$68,0)),""),NOT(OR(IFERROR(INDEX('Taxonomy Rules'!$G$42:$G$68,MATCH(E1782,'Taxonomy Rules'!$C$42:$C$68,0)),"")="All supported routes",IFERROR(INDEX('Taxonomy Rules'!$G$42:$G$68,MATCH(E1782,'Taxonomy Rules'!$C$42:$C$68,0)),"")=U1782,AND(IFERROR(INDEX('Taxonomy Rules'!$G$42:$G$68,MATCH(E1782,'Taxonomy Rules'!$C$42:$C$68,0)),"")="Building routes",OR(U1782="Building renovation",U1782="New building",U1782="Building equipment"))))),"Unexpected test","Valid"))))</x:f>
      </x:c>
      <x:c r="S1782" s="9" t="str">
        <x:f>IF(C1782="","",IFERROR(INDEX('Taxonomy Rules'!$E$42:$E$68,MATCH(E1782,'Taxonomy Rules'!$C$42:$C$68,0)),""))</x:f>
      </x:c>
      <x:c r="T1782" s="9" t="str">
        <x:f>IF(C1782="","",IFERROR(INDEX('Taxonomy Rules'!$F$42:$F$68,MATCH(E1782,'Taxonomy Rules'!$C$42:$C$68,0)),""))</x:f>
      </x:c>
      <x:c r="U1782" s="9" t="str">
        <x:f>IF(C1782="","",IFERROR(INDEX('Taxonomy'!$G$9:$G$108,MATCH(D1782,'Taxonomy'!$C$9:$C$108,0)),""))</x:f>
      </x:c>
    </x:row>
    <x:row r="1783" ht="44" customHeight="1">
      <x:c r="A1783" s="1"/>
      <x:c r="B1783" s="1"/>
      <x:c r="C1783" s="8"/>
      <x:c r="D1783" s="8"/>
      <x:c r="E1783" s="8"/>
      <x:c r="F1783" s="8"/>
      <x:c r="G1783" s="8"/>
      <x:c r="H1783" s="8"/>
      <x:c r="I1783" s="8"/>
      <x:c r="J1783" s="8"/>
      <x:c r="K1783" s="8"/>
      <x:c r="L1783" s="8"/>
      <x:c r="M1783" s="10"/>
      <x:c r="N1783" s="10"/>
      <x:c r="O1783" s="8"/>
      <x:c r="P1783" s="9" t="str">
        <x:f>IF(C1783="","",IF(AND(G1783="Applicable",H1783="Fail"),"Fail",IF(R1783&lt;&gt;"Valid","Pending",IF(OR(I1783="",K1783="",L1783="",K1783=L1783,NOT(ISNUMBER(M1783)),NOT(ISNUMBER(N1783)),M1783&gt;Settings!$F$8,N1783&lt;Settings!$F$8,N1783&lt;M1783),"Pending",IF(AND(G1783="Applicable",H1783="Pass"),"Pass",IF(AND(G1783="N/A",H1783="N/A",J1783&lt;&gt;"",OR(E1783="CEM-FUELS",E1783="CEM-CCS",AND(E1783="CEM-PLAN",IFERROR(INDEX('Taxonomy'!$M$9:$M$108,MATCH(D1783,'Taxonomy'!$C$9:$C$108,0)),"")&lt;&gt;"Amber"),E1783="BLD-TIMBER",AND(U1783="Building equipment",OR(E1783="BLD-WATER",E1783="BLD-WASTE",E1783="BLD-LAND")),AND(U1783="Building renovation",E1783="BLD-LAND"))),"N/A","Pending"))))))</x:f>
      </x:c>
      <x:c r="Q1783" s="3" t="str">
        <x:f>IF(C1783="","",IF(AND(R1783="Valid",OR(P1783="Pass",P1783="N/A")),"Complete","Unresolved"))</x:f>
      </x:c>
      <x:c r="R1783" s="9" t="str">
        <x:f>IF(C1783="","",IF(OR(COUNTIF($C$9:$C$2008,C1783)&lt;&gt;1,COUNTIFS($D$9:$D$2008,D1783,$E$9:$E$2008,E1783)&lt;&gt;1),"Duplicate test",IF(COUNTIF('Taxonomy'!$C$9:$C$108,D1783)&lt;&gt;1,"Assessment key",IF(OR(COUNTIF('Taxonomy Rules'!$C$42:$C$68,E1783)&lt;&gt;1,F1783&lt;&gt;IFERROR(INDEX('Taxonomy Rules'!$D$42:$D$68,MATCH(E1783,'Taxonomy Rules'!$C$42:$C$68,0)),""),NOT(OR(IFERROR(INDEX('Taxonomy Rules'!$G$42:$G$68,MATCH(E1783,'Taxonomy Rules'!$C$42:$C$68,0)),"")="All supported routes",IFERROR(INDEX('Taxonomy Rules'!$G$42:$G$68,MATCH(E1783,'Taxonomy Rules'!$C$42:$C$68,0)),"")=U1783,AND(IFERROR(INDEX('Taxonomy Rules'!$G$42:$G$68,MATCH(E1783,'Taxonomy Rules'!$C$42:$C$68,0)),"")="Building routes",OR(U1783="Building renovation",U1783="New building",U1783="Building equipment"))))),"Unexpected test","Valid"))))</x:f>
      </x:c>
      <x:c r="S1783" s="9" t="str">
        <x:f>IF(C1783="","",IFERROR(INDEX('Taxonomy Rules'!$E$42:$E$68,MATCH(E1783,'Taxonomy Rules'!$C$42:$C$68,0)),""))</x:f>
      </x:c>
      <x:c r="T1783" s="9" t="str">
        <x:f>IF(C1783="","",IFERROR(INDEX('Taxonomy Rules'!$F$42:$F$68,MATCH(E1783,'Taxonomy Rules'!$C$42:$C$68,0)),""))</x:f>
      </x:c>
      <x:c r="U1783" s="9" t="str">
        <x:f>IF(C1783="","",IFERROR(INDEX('Taxonomy'!$G$9:$G$108,MATCH(D1783,'Taxonomy'!$C$9:$C$108,0)),""))</x:f>
      </x:c>
    </x:row>
    <x:row r="1784" ht="44" customHeight="1">
      <x:c r="A1784" s="1"/>
      <x:c r="B1784" s="1"/>
      <x:c r="C1784" s="8"/>
      <x:c r="D1784" s="8"/>
      <x:c r="E1784" s="8"/>
      <x:c r="F1784" s="8"/>
      <x:c r="G1784" s="8"/>
      <x:c r="H1784" s="8"/>
      <x:c r="I1784" s="8"/>
      <x:c r="J1784" s="8"/>
      <x:c r="K1784" s="8"/>
      <x:c r="L1784" s="8"/>
      <x:c r="M1784" s="10"/>
      <x:c r="N1784" s="10"/>
      <x:c r="O1784" s="8"/>
      <x:c r="P1784" s="9" t="str">
        <x:f>IF(C1784="","",IF(AND(G1784="Applicable",H1784="Fail"),"Fail",IF(R1784&lt;&gt;"Valid","Pending",IF(OR(I1784="",K1784="",L1784="",K1784=L1784,NOT(ISNUMBER(M1784)),NOT(ISNUMBER(N1784)),M1784&gt;Settings!$F$8,N1784&lt;Settings!$F$8,N1784&lt;M1784),"Pending",IF(AND(G1784="Applicable",H1784="Pass"),"Pass",IF(AND(G1784="N/A",H1784="N/A",J1784&lt;&gt;"",OR(E1784="CEM-FUELS",E1784="CEM-CCS",AND(E1784="CEM-PLAN",IFERROR(INDEX('Taxonomy'!$M$9:$M$108,MATCH(D1784,'Taxonomy'!$C$9:$C$108,0)),"")&lt;&gt;"Amber"),E1784="BLD-TIMBER",AND(U1784="Building equipment",OR(E1784="BLD-WATER",E1784="BLD-WASTE",E1784="BLD-LAND")),AND(U1784="Building renovation",E1784="BLD-LAND"))),"N/A","Pending"))))))</x:f>
      </x:c>
      <x:c r="Q1784" s="3" t="str">
        <x:f>IF(C1784="","",IF(AND(R1784="Valid",OR(P1784="Pass",P1784="N/A")),"Complete","Unresolved"))</x:f>
      </x:c>
      <x:c r="R1784" s="9" t="str">
        <x:f>IF(C1784="","",IF(OR(COUNTIF($C$9:$C$2008,C1784)&lt;&gt;1,COUNTIFS($D$9:$D$2008,D1784,$E$9:$E$2008,E1784)&lt;&gt;1),"Duplicate test",IF(COUNTIF('Taxonomy'!$C$9:$C$108,D1784)&lt;&gt;1,"Assessment key",IF(OR(COUNTIF('Taxonomy Rules'!$C$42:$C$68,E1784)&lt;&gt;1,F1784&lt;&gt;IFERROR(INDEX('Taxonomy Rules'!$D$42:$D$68,MATCH(E1784,'Taxonomy Rules'!$C$42:$C$68,0)),""),NOT(OR(IFERROR(INDEX('Taxonomy Rules'!$G$42:$G$68,MATCH(E1784,'Taxonomy Rules'!$C$42:$C$68,0)),"")="All supported routes",IFERROR(INDEX('Taxonomy Rules'!$G$42:$G$68,MATCH(E1784,'Taxonomy Rules'!$C$42:$C$68,0)),"")=U1784,AND(IFERROR(INDEX('Taxonomy Rules'!$G$42:$G$68,MATCH(E1784,'Taxonomy Rules'!$C$42:$C$68,0)),"")="Building routes",OR(U1784="Building renovation",U1784="New building",U1784="Building equipment"))))),"Unexpected test","Valid"))))</x:f>
      </x:c>
      <x:c r="S1784" s="9" t="str">
        <x:f>IF(C1784="","",IFERROR(INDEX('Taxonomy Rules'!$E$42:$E$68,MATCH(E1784,'Taxonomy Rules'!$C$42:$C$68,0)),""))</x:f>
      </x:c>
      <x:c r="T1784" s="9" t="str">
        <x:f>IF(C1784="","",IFERROR(INDEX('Taxonomy Rules'!$F$42:$F$68,MATCH(E1784,'Taxonomy Rules'!$C$42:$C$68,0)),""))</x:f>
      </x:c>
      <x:c r="U1784" s="9" t="str">
        <x:f>IF(C1784="","",IFERROR(INDEX('Taxonomy'!$G$9:$G$108,MATCH(D1784,'Taxonomy'!$C$9:$C$108,0)),""))</x:f>
      </x:c>
    </x:row>
    <x:row r="1785" ht="44" customHeight="1">
      <x:c r="A1785" s="1"/>
      <x:c r="B1785" s="1"/>
      <x:c r="C1785" s="8"/>
      <x:c r="D1785" s="8"/>
      <x:c r="E1785" s="8"/>
      <x:c r="F1785" s="8"/>
      <x:c r="G1785" s="8"/>
      <x:c r="H1785" s="8"/>
      <x:c r="I1785" s="8"/>
      <x:c r="J1785" s="8"/>
      <x:c r="K1785" s="8"/>
      <x:c r="L1785" s="8"/>
      <x:c r="M1785" s="10"/>
      <x:c r="N1785" s="10"/>
      <x:c r="O1785" s="8"/>
      <x:c r="P1785" s="9" t="str">
        <x:f>IF(C1785="","",IF(AND(G1785="Applicable",H1785="Fail"),"Fail",IF(R1785&lt;&gt;"Valid","Pending",IF(OR(I1785="",K1785="",L1785="",K1785=L1785,NOT(ISNUMBER(M1785)),NOT(ISNUMBER(N1785)),M1785&gt;Settings!$F$8,N1785&lt;Settings!$F$8,N1785&lt;M1785),"Pending",IF(AND(G1785="Applicable",H1785="Pass"),"Pass",IF(AND(G1785="N/A",H1785="N/A",J1785&lt;&gt;"",OR(E1785="CEM-FUELS",E1785="CEM-CCS",AND(E1785="CEM-PLAN",IFERROR(INDEX('Taxonomy'!$M$9:$M$108,MATCH(D1785,'Taxonomy'!$C$9:$C$108,0)),"")&lt;&gt;"Amber"),E1785="BLD-TIMBER",AND(U1785="Building equipment",OR(E1785="BLD-WATER",E1785="BLD-WASTE",E1785="BLD-LAND")),AND(U1785="Building renovation",E1785="BLD-LAND"))),"N/A","Pending"))))))</x:f>
      </x:c>
      <x:c r="Q1785" s="3" t="str">
        <x:f>IF(C1785="","",IF(AND(R1785="Valid",OR(P1785="Pass",P1785="N/A")),"Complete","Unresolved"))</x:f>
      </x:c>
      <x:c r="R1785" s="9" t="str">
        <x:f>IF(C1785="","",IF(OR(COUNTIF($C$9:$C$2008,C1785)&lt;&gt;1,COUNTIFS($D$9:$D$2008,D1785,$E$9:$E$2008,E1785)&lt;&gt;1),"Duplicate test",IF(COUNTIF('Taxonomy'!$C$9:$C$108,D1785)&lt;&gt;1,"Assessment key",IF(OR(COUNTIF('Taxonomy Rules'!$C$42:$C$68,E1785)&lt;&gt;1,F1785&lt;&gt;IFERROR(INDEX('Taxonomy Rules'!$D$42:$D$68,MATCH(E1785,'Taxonomy Rules'!$C$42:$C$68,0)),""),NOT(OR(IFERROR(INDEX('Taxonomy Rules'!$G$42:$G$68,MATCH(E1785,'Taxonomy Rules'!$C$42:$C$68,0)),"")="All supported routes",IFERROR(INDEX('Taxonomy Rules'!$G$42:$G$68,MATCH(E1785,'Taxonomy Rules'!$C$42:$C$68,0)),"")=U1785,AND(IFERROR(INDEX('Taxonomy Rules'!$G$42:$G$68,MATCH(E1785,'Taxonomy Rules'!$C$42:$C$68,0)),"")="Building routes",OR(U1785="Building renovation",U1785="New building",U1785="Building equipment"))))),"Unexpected test","Valid"))))</x:f>
      </x:c>
      <x:c r="S1785" s="9" t="str">
        <x:f>IF(C1785="","",IFERROR(INDEX('Taxonomy Rules'!$E$42:$E$68,MATCH(E1785,'Taxonomy Rules'!$C$42:$C$68,0)),""))</x:f>
      </x:c>
      <x:c r="T1785" s="9" t="str">
        <x:f>IF(C1785="","",IFERROR(INDEX('Taxonomy Rules'!$F$42:$F$68,MATCH(E1785,'Taxonomy Rules'!$C$42:$C$68,0)),""))</x:f>
      </x:c>
      <x:c r="U1785" s="9" t="str">
        <x:f>IF(C1785="","",IFERROR(INDEX('Taxonomy'!$G$9:$G$108,MATCH(D1785,'Taxonomy'!$C$9:$C$108,0)),""))</x:f>
      </x:c>
    </x:row>
    <x:row r="1786" ht="44" customHeight="1">
      <x:c r="A1786" s="1"/>
      <x:c r="B1786" s="1"/>
      <x:c r="C1786" s="8"/>
      <x:c r="D1786" s="8"/>
      <x:c r="E1786" s="8"/>
      <x:c r="F1786" s="8"/>
      <x:c r="G1786" s="8"/>
      <x:c r="H1786" s="8"/>
      <x:c r="I1786" s="8"/>
      <x:c r="J1786" s="8"/>
      <x:c r="K1786" s="8"/>
      <x:c r="L1786" s="8"/>
      <x:c r="M1786" s="10"/>
      <x:c r="N1786" s="10"/>
      <x:c r="O1786" s="8"/>
      <x:c r="P1786" s="9" t="str">
        <x:f>IF(C1786="","",IF(AND(G1786="Applicable",H1786="Fail"),"Fail",IF(R1786&lt;&gt;"Valid","Pending",IF(OR(I1786="",K1786="",L1786="",K1786=L1786,NOT(ISNUMBER(M1786)),NOT(ISNUMBER(N1786)),M1786&gt;Settings!$F$8,N1786&lt;Settings!$F$8,N1786&lt;M1786),"Pending",IF(AND(G1786="Applicable",H1786="Pass"),"Pass",IF(AND(G1786="N/A",H1786="N/A",J1786&lt;&gt;"",OR(E1786="CEM-FUELS",E1786="CEM-CCS",AND(E1786="CEM-PLAN",IFERROR(INDEX('Taxonomy'!$M$9:$M$108,MATCH(D1786,'Taxonomy'!$C$9:$C$108,0)),"")&lt;&gt;"Amber"),E1786="BLD-TIMBER",AND(U1786="Building equipment",OR(E1786="BLD-WATER",E1786="BLD-WASTE",E1786="BLD-LAND")),AND(U1786="Building renovation",E1786="BLD-LAND"))),"N/A","Pending"))))))</x:f>
      </x:c>
      <x:c r="Q1786" s="3" t="str">
        <x:f>IF(C1786="","",IF(AND(R1786="Valid",OR(P1786="Pass",P1786="N/A")),"Complete","Unresolved"))</x:f>
      </x:c>
      <x:c r="R1786" s="9" t="str">
        <x:f>IF(C1786="","",IF(OR(COUNTIF($C$9:$C$2008,C1786)&lt;&gt;1,COUNTIFS($D$9:$D$2008,D1786,$E$9:$E$2008,E1786)&lt;&gt;1),"Duplicate test",IF(COUNTIF('Taxonomy'!$C$9:$C$108,D1786)&lt;&gt;1,"Assessment key",IF(OR(COUNTIF('Taxonomy Rules'!$C$42:$C$68,E1786)&lt;&gt;1,F1786&lt;&gt;IFERROR(INDEX('Taxonomy Rules'!$D$42:$D$68,MATCH(E1786,'Taxonomy Rules'!$C$42:$C$68,0)),""),NOT(OR(IFERROR(INDEX('Taxonomy Rules'!$G$42:$G$68,MATCH(E1786,'Taxonomy Rules'!$C$42:$C$68,0)),"")="All supported routes",IFERROR(INDEX('Taxonomy Rules'!$G$42:$G$68,MATCH(E1786,'Taxonomy Rules'!$C$42:$C$68,0)),"")=U1786,AND(IFERROR(INDEX('Taxonomy Rules'!$G$42:$G$68,MATCH(E1786,'Taxonomy Rules'!$C$42:$C$68,0)),"")="Building routes",OR(U1786="Building renovation",U1786="New building",U1786="Building equipment"))))),"Unexpected test","Valid"))))</x:f>
      </x:c>
      <x:c r="S1786" s="9" t="str">
        <x:f>IF(C1786="","",IFERROR(INDEX('Taxonomy Rules'!$E$42:$E$68,MATCH(E1786,'Taxonomy Rules'!$C$42:$C$68,0)),""))</x:f>
      </x:c>
      <x:c r="T1786" s="9" t="str">
        <x:f>IF(C1786="","",IFERROR(INDEX('Taxonomy Rules'!$F$42:$F$68,MATCH(E1786,'Taxonomy Rules'!$C$42:$C$68,0)),""))</x:f>
      </x:c>
      <x:c r="U1786" s="9" t="str">
        <x:f>IF(C1786="","",IFERROR(INDEX('Taxonomy'!$G$9:$G$108,MATCH(D1786,'Taxonomy'!$C$9:$C$108,0)),""))</x:f>
      </x:c>
    </x:row>
    <x:row r="1787" ht="44" customHeight="1">
      <x:c r="A1787" s="1"/>
      <x:c r="B1787" s="1"/>
      <x:c r="C1787" s="8"/>
      <x:c r="D1787" s="8"/>
      <x:c r="E1787" s="8"/>
      <x:c r="F1787" s="8"/>
      <x:c r="G1787" s="8"/>
      <x:c r="H1787" s="8"/>
      <x:c r="I1787" s="8"/>
      <x:c r="J1787" s="8"/>
      <x:c r="K1787" s="8"/>
      <x:c r="L1787" s="8"/>
      <x:c r="M1787" s="10"/>
      <x:c r="N1787" s="10"/>
      <x:c r="O1787" s="8"/>
      <x:c r="P1787" s="9" t="str">
        <x:f>IF(C1787="","",IF(AND(G1787="Applicable",H1787="Fail"),"Fail",IF(R1787&lt;&gt;"Valid","Pending",IF(OR(I1787="",K1787="",L1787="",K1787=L1787,NOT(ISNUMBER(M1787)),NOT(ISNUMBER(N1787)),M1787&gt;Settings!$F$8,N1787&lt;Settings!$F$8,N1787&lt;M1787),"Pending",IF(AND(G1787="Applicable",H1787="Pass"),"Pass",IF(AND(G1787="N/A",H1787="N/A",J1787&lt;&gt;"",OR(E1787="CEM-FUELS",E1787="CEM-CCS",AND(E1787="CEM-PLAN",IFERROR(INDEX('Taxonomy'!$M$9:$M$108,MATCH(D1787,'Taxonomy'!$C$9:$C$108,0)),"")&lt;&gt;"Amber"),E1787="BLD-TIMBER",AND(U1787="Building equipment",OR(E1787="BLD-WATER",E1787="BLD-WASTE",E1787="BLD-LAND")),AND(U1787="Building renovation",E1787="BLD-LAND"))),"N/A","Pending"))))))</x:f>
      </x:c>
      <x:c r="Q1787" s="3" t="str">
        <x:f>IF(C1787="","",IF(AND(R1787="Valid",OR(P1787="Pass",P1787="N/A")),"Complete","Unresolved"))</x:f>
      </x:c>
      <x:c r="R1787" s="9" t="str">
        <x:f>IF(C1787="","",IF(OR(COUNTIF($C$9:$C$2008,C1787)&lt;&gt;1,COUNTIFS($D$9:$D$2008,D1787,$E$9:$E$2008,E1787)&lt;&gt;1),"Duplicate test",IF(COUNTIF('Taxonomy'!$C$9:$C$108,D1787)&lt;&gt;1,"Assessment key",IF(OR(COUNTIF('Taxonomy Rules'!$C$42:$C$68,E1787)&lt;&gt;1,F1787&lt;&gt;IFERROR(INDEX('Taxonomy Rules'!$D$42:$D$68,MATCH(E1787,'Taxonomy Rules'!$C$42:$C$68,0)),""),NOT(OR(IFERROR(INDEX('Taxonomy Rules'!$G$42:$G$68,MATCH(E1787,'Taxonomy Rules'!$C$42:$C$68,0)),"")="All supported routes",IFERROR(INDEX('Taxonomy Rules'!$G$42:$G$68,MATCH(E1787,'Taxonomy Rules'!$C$42:$C$68,0)),"")=U1787,AND(IFERROR(INDEX('Taxonomy Rules'!$G$42:$G$68,MATCH(E1787,'Taxonomy Rules'!$C$42:$C$68,0)),"")="Building routes",OR(U1787="Building renovation",U1787="New building",U1787="Building equipment"))))),"Unexpected test","Valid"))))</x:f>
      </x:c>
      <x:c r="S1787" s="9" t="str">
        <x:f>IF(C1787="","",IFERROR(INDEX('Taxonomy Rules'!$E$42:$E$68,MATCH(E1787,'Taxonomy Rules'!$C$42:$C$68,0)),""))</x:f>
      </x:c>
      <x:c r="T1787" s="9" t="str">
        <x:f>IF(C1787="","",IFERROR(INDEX('Taxonomy Rules'!$F$42:$F$68,MATCH(E1787,'Taxonomy Rules'!$C$42:$C$68,0)),""))</x:f>
      </x:c>
      <x:c r="U1787" s="9" t="str">
        <x:f>IF(C1787="","",IFERROR(INDEX('Taxonomy'!$G$9:$G$108,MATCH(D1787,'Taxonomy'!$C$9:$C$108,0)),""))</x:f>
      </x:c>
    </x:row>
    <x:row r="1788" ht="44" customHeight="1">
      <x:c r="A1788" s="1"/>
      <x:c r="B1788" s="1"/>
      <x:c r="C1788" s="8"/>
      <x:c r="D1788" s="8"/>
      <x:c r="E1788" s="8"/>
      <x:c r="F1788" s="8"/>
      <x:c r="G1788" s="8"/>
      <x:c r="H1788" s="8"/>
      <x:c r="I1788" s="8"/>
      <x:c r="J1788" s="8"/>
      <x:c r="K1788" s="8"/>
      <x:c r="L1788" s="8"/>
      <x:c r="M1788" s="10"/>
      <x:c r="N1788" s="10"/>
      <x:c r="O1788" s="8"/>
      <x:c r="P1788" s="9" t="str">
        <x:f>IF(C1788="","",IF(AND(G1788="Applicable",H1788="Fail"),"Fail",IF(R1788&lt;&gt;"Valid","Pending",IF(OR(I1788="",K1788="",L1788="",K1788=L1788,NOT(ISNUMBER(M1788)),NOT(ISNUMBER(N1788)),M1788&gt;Settings!$F$8,N1788&lt;Settings!$F$8,N1788&lt;M1788),"Pending",IF(AND(G1788="Applicable",H1788="Pass"),"Pass",IF(AND(G1788="N/A",H1788="N/A",J1788&lt;&gt;"",OR(E1788="CEM-FUELS",E1788="CEM-CCS",AND(E1788="CEM-PLAN",IFERROR(INDEX('Taxonomy'!$M$9:$M$108,MATCH(D1788,'Taxonomy'!$C$9:$C$108,0)),"")&lt;&gt;"Amber"),E1788="BLD-TIMBER",AND(U1788="Building equipment",OR(E1788="BLD-WATER",E1788="BLD-WASTE",E1788="BLD-LAND")),AND(U1788="Building renovation",E1788="BLD-LAND"))),"N/A","Pending"))))))</x:f>
      </x:c>
      <x:c r="Q1788" s="3" t="str">
        <x:f>IF(C1788="","",IF(AND(R1788="Valid",OR(P1788="Pass",P1788="N/A")),"Complete","Unresolved"))</x:f>
      </x:c>
      <x:c r="R1788" s="9" t="str">
        <x:f>IF(C1788="","",IF(OR(COUNTIF($C$9:$C$2008,C1788)&lt;&gt;1,COUNTIFS($D$9:$D$2008,D1788,$E$9:$E$2008,E1788)&lt;&gt;1),"Duplicate test",IF(COUNTIF('Taxonomy'!$C$9:$C$108,D1788)&lt;&gt;1,"Assessment key",IF(OR(COUNTIF('Taxonomy Rules'!$C$42:$C$68,E1788)&lt;&gt;1,F1788&lt;&gt;IFERROR(INDEX('Taxonomy Rules'!$D$42:$D$68,MATCH(E1788,'Taxonomy Rules'!$C$42:$C$68,0)),""),NOT(OR(IFERROR(INDEX('Taxonomy Rules'!$G$42:$G$68,MATCH(E1788,'Taxonomy Rules'!$C$42:$C$68,0)),"")="All supported routes",IFERROR(INDEX('Taxonomy Rules'!$G$42:$G$68,MATCH(E1788,'Taxonomy Rules'!$C$42:$C$68,0)),"")=U1788,AND(IFERROR(INDEX('Taxonomy Rules'!$G$42:$G$68,MATCH(E1788,'Taxonomy Rules'!$C$42:$C$68,0)),"")="Building routes",OR(U1788="Building renovation",U1788="New building",U1788="Building equipment"))))),"Unexpected test","Valid"))))</x:f>
      </x:c>
      <x:c r="S1788" s="9" t="str">
        <x:f>IF(C1788="","",IFERROR(INDEX('Taxonomy Rules'!$E$42:$E$68,MATCH(E1788,'Taxonomy Rules'!$C$42:$C$68,0)),""))</x:f>
      </x:c>
      <x:c r="T1788" s="9" t="str">
        <x:f>IF(C1788="","",IFERROR(INDEX('Taxonomy Rules'!$F$42:$F$68,MATCH(E1788,'Taxonomy Rules'!$C$42:$C$68,0)),""))</x:f>
      </x:c>
      <x:c r="U1788" s="9" t="str">
        <x:f>IF(C1788="","",IFERROR(INDEX('Taxonomy'!$G$9:$G$108,MATCH(D1788,'Taxonomy'!$C$9:$C$108,0)),""))</x:f>
      </x:c>
    </x:row>
    <x:row r="1789" ht="44" customHeight="1">
      <x:c r="A1789" s="1"/>
      <x:c r="B1789" s="1"/>
      <x:c r="C1789" s="8"/>
      <x:c r="D1789" s="8"/>
      <x:c r="E1789" s="8"/>
      <x:c r="F1789" s="8"/>
      <x:c r="G1789" s="8"/>
      <x:c r="H1789" s="8"/>
      <x:c r="I1789" s="8"/>
      <x:c r="J1789" s="8"/>
      <x:c r="K1789" s="8"/>
      <x:c r="L1789" s="8"/>
      <x:c r="M1789" s="10"/>
      <x:c r="N1789" s="10"/>
      <x:c r="O1789" s="8"/>
      <x:c r="P1789" s="9" t="str">
        <x:f>IF(C1789="","",IF(AND(G1789="Applicable",H1789="Fail"),"Fail",IF(R1789&lt;&gt;"Valid","Pending",IF(OR(I1789="",K1789="",L1789="",K1789=L1789,NOT(ISNUMBER(M1789)),NOT(ISNUMBER(N1789)),M1789&gt;Settings!$F$8,N1789&lt;Settings!$F$8,N1789&lt;M1789),"Pending",IF(AND(G1789="Applicable",H1789="Pass"),"Pass",IF(AND(G1789="N/A",H1789="N/A",J1789&lt;&gt;"",OR(E1789="CEM-FUELS",E1789="CEM-CCS",AND(E1789="CEM-PLAN",IFERROR(INDEX('Taxonomy'!$M$9:$M$108,MATCH(D1789,'Taxonomy'!$C$9:$C$108,0)),"")&lt;&gt;"Amber"),E1789="BLD-TIMBER",AND(U1789="Building equipment",OR(E1789="BLD-WATER",E1789="BLD-WASTE",E1789="BLD-LAND")),AND(U1789="Building renovation",E1789="BLD-LAND"))),"N/A","Pending"))))))</x:f>
      </x:c>
      <x:c r="Q1789" s="3" t="str">
        <x:f>IF(C1789="","",IF(AND(R1789="Valid",OR(P1789="Pass",P1789="N/A")),"Complete","Unresolved"))</x:f>
      </x:c>
      <x:c r="R1789" s="9" t="str">
        <x:f>IF(C1789="","",IF(OR(COUNTIF($C$9:$C$2008,C1789)&lt;&gt;1,COUNTIFS($D$9:$D$2008,D1789,$E$9:$E$2008,E1789)&lt;&gt;1),"Duplicate test",IF(COUNTIF('Taxonomy'!$C$9:$C$108,D1789)&lt;&gt;1,"Assessment key",IF(OR(COUNTIF('Taxonomy Rules'!$C$42:$C$68,E1789)&lt;&gt;1,F1789&lt;&gt;IFERROR(INDEX('Taxonomy Rules'!$D$42:$D$68,MATCH(E1789,'Taxonomy Rules'!$C$42:$C$68,0)),""),NOT(OR(IFERROR(INDEX('Taxonomy Rules'!$G$42:$G$68,MATCH(E1789,'Taxonomy Rules'!$C$42:$C$68,0)),"")="All supported routes",IFERROR(INDEX('Taxonomy Rules'!$G$42:$G$68,MATCH(E1789,'Taxonomy Rules'!$C$42:$C$68,0)),"")=U1789,AND(IFERROR(INDEX('Taxonomy Rules'!$G$42:$G$68,MATCH(E1789,'Taxonomy Rules'!$C$42:$C$68,0)),"")="Building routes",OR(U1789="Building renovation",U1789="New building",U1789="Building equipment"))))),"Unexpected test","Valid"))))</x:f>
      </x:c>
      <x:c r="S1789" s="9" t="str">
        <x:f>IF(C1789="","",IFERROR(INDEX('Taxonomy Rules'!$E$42:$E$68,MATCH(E1789,'Taxonomy Rules'!$C$42:$C$68,0)),""))</x:f>
      </x:c>
      <x:c r="T1789" s="9" t="str">
        <x:f>IF(C1789="","",IFERROR(INDEX('Taxonomy Rules'!$F$42:$F$68,MATCH(E1789,'Taxonomy Rules'!$C$42:$C$68,0)),""))</x:f>
      </x:c>
      <x:c r="U1789" s="9" t="str">
        <x:f>IF(C1789="","",IFERROR(INDEX('Taxonomy'!$G$9:$G$108,MATCH(D1789,'Taxonomy'!$C$9:$C$108,0)),""))</x:f>
      </x:c>
    </x:row>
    <x:row r="1790" ht="44" customHeight="1">
      <x:c r="A1790" s="1"/>
      <x:c r="B1790" s="1"/>
      <x:c r="C1790" s="8"/>
      <x:c r="D1790" s="8"/>
      <x:c r="E1790" s="8"/>
      <x:c r="F1790" s="8"/>
      <x:c r="G1790" s="8"/>
      <x:c r="H1790" s="8"/>
      <x:c r="I1790" s="8"/>
      <x:c r="J1790" s="8"/>
      <x:c r="K1790" s="8"/>
      <x:c r="L1790" s="8"/>
      <x:c r="M1790" s="10"/>
      <x:c r="N1790" s="10"/>
      <x:c r="O1790" s="8"/>
      <x:c r="P1790" s="9" t="str">
        <x:f>IF(C1790="","",IF(AND(G1790="Applicable",H1790="Fail"),"Fail",IF(R1790&lt;&gt;"Valid","Pending",IF(OR(I1790="",K1790="",L1790="",K1790=L1790,NOT(ISNUMBER(M1790)),NOT(ISNUMBER(N1790)),M1790&gt;Settings!$F$8,N1790&lt;Settings!$F$8,N1790&lt;M1790),"Pending",IF(AND(G1790="Applicable",H1790="Pass"),"Pass",IF(AND(G1790="N/A",H1790="N/A",J1790&lt;&gt;"",OR(E1790="CEM-FUELS",E1790="CEM-CCS",AND(E1790="CEM-PLAN",IFERROR(INDEX('Taxonomy'!$M$9:$M$108,MATCH(D1790,'Taxonomy'!$C$9:$C$108,0)),"")&lt;&gt;"Amber"),E1790="BLD-TIMBER",AND(U1790="Building equipment",OR(E1790="BLD-WATER",E1790="BLD-WASTE",E1790="BLD-LAND")),AND(U1790="Building renovation",E1790="BLD-LAND"))),"N/A","Pending"))))))</x:f>
      </x:c>
      <x:c r="Q1790" s="3" t="str">
        <x:f>IF(C1790="","",IF(AND(R1790="Valid",OR(P1790="Pass",P1790="N/A")),"Complete","Unresolved"))</x:f>
      </x:c>
      <x:c r="R1790" s="9" t="str">
        <x:f>IF(C1790="","",IF(OR(COUNTIF($C$9:$C$2008,C1790)&lt;&gt;1,COUNTIFS($D$9:$D$2008,D1790,$E$9:$E$2008,E1790)&lt;&gt;1),"Duplicate test",IF(COUNTIF('Taxonomy'!$C$9:$C$108,D1790)&lt;&gt;1,"Assessment key",IF(OR(COUNTIF('Taxonomy Rules'!$C$42:$C$68,E1790)&lt;&gt;1,F1790&lt;&gt;IFERROR(INDEX('Taxonomy Rules'!$D$42:$D$68,MATCH(E1790,'Taxonomy Rules'!$C$42:$C$68,0)),""),NOT(OR(IFERROR(INDEX('Taxonomy Rules'!$G$42:$G$68,MATCH(E1790,'Taxonomy Rules'!$C$42:$C$68,0)),"")="All supported routes",IFERROR(INDEX('Taxonomy Rules'!$G$42:$G$68,MATCH(E1790,'Taxonomy Rules'!$C$42:$C$68,0)),"")=U1790,AND(IFERROR(INDEX('Taxonomy Rules'!$G$42:$G$68,MATCH(E1790,'Taxonomy Rules'!$C$42:$C$68,0)),"")="Building routes",OR(U1790="Building renovation",U1790="New building",U1790="Building equipment"))))),"Unexpected test","Valid"))))</x:f>
      </x:c>
      <x:c r="S1790" s="9" t="str">
        <x:f>IF(C1790="","",IFERROR(INDEX('Taxonomy Rules'!$E$42:$E$68,MATCH(E1790,'Taxonomy Rules'!$C$42:$C$68,0)),""))</x:f>
      </x:c>
      <x:c r="T1790" s="9" t="str">
        <x:f>IF(C1790="","",IFERROR(INDEX('Taxonomy Rules'!$F$42:$F$68,MATCH(E1790,'Taxonomy Rules'!$C$42:$C$68,0)),""))</x:f>
      </x:c>
      <x:c r="U1790" s="9" t="str">
        <x:f>IF(C1790="","",IFERROR(INDEX('Taxonomy'!$G$9:$G$108,MATCH(D1790,'Taxonomy'!$C$9:$C$108,0)),""))</x:f>
      </x:c>
    </x:row>
    <x:row r="1791" ht="44" customHeight="1">
      <x:c r="A1791" s="1"/>
      <x:c r="B1791" s="1"/>
      <x:c r="C1791" s="8"/>
      <x:c r="D1791" s="8"/>
      <x:c r="E1791" s="8"/>
      <x:c r="F1791" s="8"/>
      <x:c r="G1791" s="8"/>
      <x:c r="H1791" s="8"/>
      <x:c r="I1791" s="8"/>
      <x:c r="J1791" s="8"/>
      <x:c r="K1791" s="8"/>
      <x:c r="L1791" s="8"/>
      <x:c r="M1791" s="10"/>
      <x:c r="N1791" s="10"/>
      <x:c r="O1791" s="8"/>
      <x:c r="P1791" s="9" t="str">
        <x:f>IF(C1791="","",IF(AND(G1791="Applicable",H1791="Fail"),"Fail",IF(R1791&lt;&gt;"Valid","Pending",IF(OR(I1791="",K1791="",L1791="",K1791=L1791,NOT(ISNUMBER(M1791)),NOT(ISNUMBER(N1791)),M1791&gt;Settings!$F$8,N1791&lt;Settings!$F$8,N1791&lt;M1791),"Pending",IF(AND(G1791="Applicable",H1791="Pass"),"Pass",IF(AND(G1791="N/A",H1791="N/A",J1791&lt;&gt;"",OR(E1791="CEM-FUELS",E1791="CEM-CCS",AND(E1791="CEM-PLAN",IFERROR(INDEX('Taxonomy'!$M$9:$M$108,MATCH(D1791,'Taxonomy'!$C$9:$C$108,0)),"")&lt;&gt;"Amber"),E1791="BLD-TIMBER",AND(U1791="Building equipment",OR(E1791="BLD-WATER",E1791="BLD-WASTE",E1791="BLD-LAND")),AND(U1791="Building renovation",E1791="BLD-LAND"))),"N/A","Pending"))))))</x:f>
      </x:c>
      <x:c r="Q1791" s="3" t="str">
        <x:f>IF(C1791="","",IF(AND(R1791="Valid",OR(P1791="Pass",P1791="N/A")),"Complete","Unresolved"))</x:f>
      </x:c>
      <x:c r="R1791" s="9" t="str">
        <x:f>IF(C1791="","",IF(OR(COUNTIF($C$9:$C$2008,C1791)&lt;&gt;1,COUNTIFS($D$9:$D$2008,D1791,$E$9:$E$2008,E1791)&lt;&gt;1),"Duplicate test",IF(COUNTIF('Taxonomy'!$C$9:$C$108,D1791)&lt;&gt;1,"Assessment key",IF(OR(COUNTIF('Taxonomy Rules'!$C$42:$C$68,E1791)&lt;&gt;1,F1791&lt;&gt;IFERROR(INDEX('Taxonomy Rules'!$D$42:$D$68,MATCH(E1791,'Taxonomy Rules'!$C$42:$C$68,0)),""),NOT(OR(IFERROR(INDEX('Taxonomy Rules'!$G$42:$G$68,MATCH(E1791,'Taxonomy Rules'!$C$42:$C$68,0)),"")="All supported routes",IFERROR(INDEX('Taxonomy Rules'!$G$42:$G$68,MATCH(E1791,'Taxonomy Rules'!$C$42:$C$68,0)),"")=U1791,AND(IFERROR(INDEX('Taxonomy Rules'!$G$42:$G$68,MATCH(E1791,'Taxonomy Rules'!$C$42:$C$68,0)),"")="Building routes",OR(U1791="Building renovation",U1791="New building",U1791="Building equipment"))))),"Unexpected test","Valid"))))</x:f>
      </x:c>
      <x:c r="S1791" s="9" t="str">
        <x:f>IF(C1791="","",IFERROR(INDEX('Taxonomy Rules'!$E$42:$E$68,MATCH(E1791,'Taxonomy Rules'!$C$42:$C$68,0)),""))</x:f>
      </x:c>
      <x:c r="T1791" s="9" t="str">
        <x:f>IF(C1791="","",IFERROR(INDEX('Taxonomy Rules'!$F$42:$F$68,MATCH(E1791,'Taxonomy Rules'!$C$42:$C$68,0)),""))</x:f>
      </x:c>
      <x:c r="U1791" s="9" t="str">
        <x:f>IF(C1791="","",IFERROR(INDEX('Taxonomy'!$G$9:$G$108,MATCH(D1791,'Taxonomy'!$C$9:$C$108,0)),""))</x:f>
      </x:c>
    </x:row>
    <x:row r="1792" ht="44" customHeight="1">
      <x:c r="A1792" s="1"/>
      <x:c r="B1792" s="1"/>
      <x:c r="C1792" s="8"/>
      <x:c r="D1792" s="8"/>
      <x:c r="E1792" s="8"/>
      <x:c r="F1792" s="8"/>
      <x:c r="G1792" s="8"/>
      <x:c r="H1792" s="8"/>
      <x:c r="I1792" s="8"/>
      <x:c r="J1792" s="8"/>
      <x:c r="K1792" s="8"/>
      <x:c r="L1792" s="8"/>
      <x:c r="M1792" s="10"/>
      <x:c r="N1792" s="10"/>
      <x:c r="O1792" s="8"/>
      <x:c r="P1792" s="9" t="str">
        <x:f>IF(C1792="","",IF(AND(G1792="Applicable",H1792="Fail"),"Fail",IF(R1792&lt;&gt;"Valid","Pending",IF(OR(I1792="",K1792="",L1792="",K1792=L1792,NOT(ISNUMBER(M1792)),NOT(ISNUMBER(N1792)),M1792&gt;Settings!$F$8,N1792&lt;Settings!$F$8,N1792&lt;M1792),"Pending",IF(AND(G1792="Applicable",H1792="Pass"),"Pass",IF(AND(G1792="N/A",H1792="N/A",J1792&lt;&gt;"",OR(E1792="CEM-FUELS",E1792="CEM-CCS",AND(E1792="CEM-PLAN",IFERROR(INDEX('Taxonomy'!$M$9:$M$108,MATCH(D1792,'Taxonomy'!$C$9:$C$108,0)),"")&lt;&gt;"Amber"),E1792="BLD-TIMBER",AND(U1792="Building equipment",OR(E1792="BLD-WATER",E1792="BLD-WASTE",E1792="BLD-LAND")),AND(U1792="Building renovation",E1792="BLD-LAND"))),"N/A","Pending"))))))</x:f>
      </x:c>
      <x:c r="Q1792" s="3" t="str">
        <x:f>IF(C1792="","",IF(AND(R1792="Valid",OR(P1792="Pass",P1792="N/A")),"Complete","Unresolved"))</x:f>
      </x:c>
      <x:c r="R1792" s="9" t="str">
        <x:f>IF(C1792="","",IF(OR(COUNTIF($C$9:$C$2008,C1792)&lt;&gt;1,COUNTIFS($D$9:$D$2008,D1792,$E$9:$E$2008,E1792)&lt;&gt;1),"Duplicate test",IF(COUNTIF('Taxonomy'!$C$9:$C$108,D1792)&lt;&gt;1,"Assessment key",IF(OR(COUNTIF('Taxonomy Rules'!$C$42:$C$68,E1792)&lt;&gt;1,F1792&lt;&gt;IFERROR(INDEX('Taxonomy Rules'!$D$42:$D$68,MATCH(E1792,'Taxonomy Rules'!$C$42:$C$68,0)),""),NOT(OR(IFERROR(INDEX('Taxonomy Rules'!$G$42:$G$68,MATCH(E1792,'Taxonomy Rules'!$C$42:$C$68,0)),"")="All supported routes",IFERROR(INDEX('Taxonomy Rules'!$G$42:$G$68,MATCH(E1792,'Taxonomy Rules'!$C$42:$C$68,0)),"")=U1792,AND(IFERROR(INDEX('Taxonomy Rules'!$G$42:$G$68,MATCH(E1792,'Taxonomy Rules'!$C$42:$C$68,0)),"")="Building routes",OR(U1792="Building renovation",U1792="New building",U1792="Building equipment"))))),"Unexpected test","Valid"))))</x:f>
      </x:c>
      <x:c r="S1792" s="9" t="str">
        <x:f>IF(C1792="","",IFERROR(INDEX('Taxonomy Rules'!$E$42:$E$68,MATCH(E1792,'Taxonomy Rules'!$C$42:$C$68,0)),""))</x:f>
      </x:c>
      <x:c r="T1792" s="9" t="str">
        <x:f>IF(C1792="","",IFERROR(INDEX('Taxonomy Rules'!$F$42:$F$68,MATCH(E1792,'Taxonomy Rules'!$C$42:$C$68,0)),""))</x:f>
      </x:c>
      <x:c r="U1792" s="9" t="str">
        <x:f>IF(C1792="","",IFERROR(INDEX('Taxonomy'!$G$9:$G$108,MATCH(D1792,'Taxonomy'!$C$9:$C$108,0)),""))</x:f>
      </x:c>
    </x:row>
    <x:row r="1793" ht="44" customHeight="1">
      <x:c r="A1793" s="1"/>
      <x:c r="B1793" s="1"/>
      <x:c r="C1793" s="8"/>
      <x:c r="D1793" s="8"/>
      <x:c r="E1793" s="8"/>
      <x:c r="F1793" s="8"/>
      <x:c r="G1793" s="8"/>
      <x:c r="H1793" s="8"/>
      <x:c r="I1793" s="8"/>
      <x:c r="J1793" s="8"/>
      <x:c r="K1793" s="8"/>
      <x:c r="L1793" s="8"/>
      <x:c r="M1793" s="10"/>
      <x:c r="N1793" s="10"/>
      <x:c r="O1793" s="8"/>
      <x:c r="P1793" s="9" t="str">
        <x:f>IF(C1793="","",IF(AND(G1793="Applicable",H1793="Fail"),"Fail",IF(R1793&lt;&gt;"Valid","Pending",IF(OR(I1793="",K1793="",L1793="",K1793=L1793,NOT(ISNUMBER(M1793)),NOT(ISNUMBER(N1793)),M1793&gt;Settings!$F$8,N1793&lt;Settings!$F$8,N1793&lt;M1793),"Pending",IF(AND(G1793="Applicable",H1793="Pass"),"Pass",IF(AND(G1793="N/A",H1793="N/A",J1793&lt;&gt;"",OR(E1793="CEM-FUELS",E1793="CEM-CCS",AND(E1793="CEM-PLAN",IFERROR(INDEX('Taxonomy'!$M$9:$M$108,MATCH(D1793,'Taxonomy'!$C$9:$C$108,0)),"")&lt;&gt;"Amber"),E1793="BLD-TIMBER",AND(U1793="Building equipment",OR(E1793="BLD-WATER",E1793="BLD-WASTE",E1793="BLD-LAND")),AND(U1793="Building renovation",E1793="BLD-LAND"))),"N/A","Pending"))))))</x:f>
      </x:c>
      <x:c r="Q1793" s="3" t="str">
        <x:f>IF(C1793="","",IF(AND(R1793="Valid",OR(P1793="Pass",P1793="N/A")),"Complete","Unresolved"))</x:f>
      </x:c>
      <x:c r="R1793" s="9" t="str">
        <x:f>IF(C1793="","",IF(OR(COUNTIF($C$9:$C$2008,C1793)&lt;&gt;1,COUNTIFS($D$9:$D$2008,D1793,$E$9:$E$2008,E1793)&lt;&gt;1),"Duplicate test",IF(COUNTIF('Taxonomy'!$C$9:$C$108,D1793)&lt;&gt;1,"Assessment key",IF(OR(COUNTIF('Taxonomy Rules'!$C$42:$C$68,E1793)&lt;&gt;1,F1793&lt;&gt;IFERROR(INDEX('Taxonomy Rules'!$D$42:$D$68,MATCH(E1793,'Taxonomy Rules'!$C$42:$C$68,0)),""),NOT(OR(IFERROR(INDEX('Taxonomy Rules'!$G$42:$G$68,MATCH(E1793,'Taxonomy Rules'!$C$42:$C$68,0)),"")="All supported routes",IFERROR(INDEX('Taxonomy Rules'!$G$42:$G$68,MATCH(E1793,'Taxonomy Rules'!$C$42:$C$68,0)),"")=U1793,AND(IFERROR(INDEX('Taxonomy Rules'!$G$42:$G$68,MATCH(E1793,'Taxonomy Rules'!$C$42:$C$68,0)),"")="Building routes",OR(U1793="Building renovation",U1793="New building",U1793="Building equipment"))))),"Unexpected test","Valid"))))</x:f>
      </x:c>
      <x:c r="S1793" s="9" t="str">
        <x:f>IF(C1793="","",IFERROR(INDEX('Taxonomy Rules'!$E$42:$E$68,MATCH(E1793,'Taxonomy Rules'!$C$42:$C$68,0)),""))</x:f>
      </x:c>
      <x:c r="T1793" s="9" t="str">
        <x:f>IF(C1793="","",IFERROR(INDEX('Taxonomy Rules'!$F$42:$F$68,MATCH(E1793,'Taxonomy Rules'!$C$42:$C$68,0)),""))</x:f>
      </x:c>
      <x:c r="U1793" s="9" t="str">
        <x:f>IF(C1793="","",IFERROR(INDEX('Taxonomy'!$G$9:$G$108,MATCH(D1793,'Taxonomy'!$C$9:$C$108,0)),""))</x:f>
      </x:c>
    </x:row>
    <x:row r="1794" ht="44" customHeight="1">
      <x:c r="A1794" s="1"/>
      <x:c r="B1794" s="1"/>
      <x:c r="C1794" s="8"/>
      <x:c r="D1794" s="8"/>
      <x:c r="E1794" s="8"/>
      <x:c r="F1794" s="8"/>
      <x:c r="G1794" s="8"/>
      <x:c r="H1794" s="8"/>
      <x:c r="I1794" s="8"/>
      <x:c r="J1794" s="8"/>
      <x:c r="K1794" s="8"/>
      <x:c r="L1794" s="8"/>
      <x:c r="M1794" s="10"/>
      <x:c r="N1794" s="10"/>
      <x:c r="O1794" s="8"/>
      <x:c r="P1794" s="9" t="str">
        <x:f>IF(C1794="","",IF(AND(G1794="Applicable",H1794="Fail"),"Fail",IF(R1794&lt;&gt;"Valid","Pending",IF(OR(I1794="",K1794="",L1794="",K1794=L1794,NOT(ISNUMBER(M1794)),NOT(ISNUMBER(N1794)),M1794&gt;Settings!$F$8,N1794&lt;Settings!$F$8,N1794&lt;M1794),"Pending",IF(AND(G1794="Applicable",H1794="Pass"),"Pass",IF(AND(G1794="N/A",H1794="N/A",J1794&lt;&gt;"",OR(E1794="CEM-FUELS",E1794="CEM-CCS",AND(E1794="CEM-PLAN",IFERROR(INDEX('Taxonomy'!$M$9:$M$108,MATCH(D1794,'Taxonomy'!$C$9:$C$108,0)),"")&lt;&gt;"Amber"),E1794="BLD-TIMBER",AND(U1794="Building equipment",OR(E1794="BLD-WATER",E1794="BLD-WASTE",E1794="BLD-LAND")),AND(U1794="Building renovation",E1794="BLD-LAND"))),"N/A","Pending"))))))</x:f>
      </x:c>
      <x:c r="Q1794" s="3" t="str">
        <x:f>IF(C1794="","",IF(AND(R1794="Valid",OR(P1794="Pass",P1794="N/A")),"Complete","Unresolved"))</x:f>
      </x:c>
      <x:c r="R1794" s="9" t="str">
        <x:f>IF(C1794="","",IF(OR(COUNTIF($C$9:$C$2008,C1794)&lt;&gt;1,COUNTIFS($D$9:$D$2008,D1794,$E$9:$E$2008,E1794)&lt;&gt;1),"Duplicate test",IF(COUNTIF('Taxonomy'!$C$9:$C$108,D1794)&lt;&gt;1,"Assessment key",IF(OR(COUNTIF('Taxonomy Rules'!$C$42:$C$68,E1794)&lt;&gt;1,F1794&lt;&gt;IFERROR(INDEX('Taxonomy Rules'!$D$42:$D$68,MATCH(E1794,'Taxonomy Rules'!$C$42:$C$68,0)),""),NOT(OR(IFERROR(INDEX('Taxonomy Rules'!$G$42:$G$68,MATCH(E1794,'Taxonomy Rules'!$C$42:$C$68,0)),"")="All supported routes",IFERROR(INDEX('Taxonomy Rules'!$G$42:$G$68,MATCH(E1794,'Taxonomy Rules'!$C$42:$C$68,0)),"")=U1794,AND(IFERROR(INDEX('Taxonomy Rules'!$G$42:$G$68,MATCH(E1794,'Taxonomy Rules'!$C$42:$C$68,0)),"")="Building routes",OR(U1794="Building renovation",U1794="New building",U1794="Building equipment"))))),"Unexpected test","Valid"))))</x:f>
      </x:c>
      <x:c r="S1794" s="9" t="str">
        <x:f>IF(C1794="","",IFERROR(INDEX('Taxonomy Rules'!$E$42:$E$68,MATCH(E1794,'Taxonomy Rules'!$C$42:$C$68,0)),""))</x:f>
      </x:c>
      <x:c r="T1794" s="9" t="str">
        <x:f>IF(C1794="","",IFERROR(INDEX('Taxonomy Rules'!$F$42:$F$68,MATCH(E1794,'Taxonomy Rules'!$C$42:$C$68,0)),""))</x:f>
      </x:c>
      <x:c r="U1794" s="9" t="str">
        <x:f>IF(C1794="","",IFERROR(INDEX('Taxonomy'!$G$9:$G$108,MATCH(D1794,'Taxonomy'!$C$9:$C$108,0)),""))</x:f>
      </x:c>
    </x:row>
    <x:row r="1795" ht="44" customHeight="1">
      <x:c r="A1795" s="1"/>
      <x:c r="B1795" s="1"/>
      <x:c r="C1795" s="8"/>
      <x:c r="D1795" s="8"/>
      <x:c r="E1795" s="8"/>
      <x:c r="F1795" s="8"/>
      <x:c r="G1795" s="8"/>
      <x:c r="H1795" s="8"/>
      <x:c r="I1795" s="8"/>
      <x:c r="J1795" s="8"/>
      <x:c r="K1795" s="8"/>
      <x:c r="L1795" s="8"/>
      <x:c r="M1795" s="10"/>
      <x:c r="N1795" s="10"/>
      <x:c r="O1795" s="8"/>
      <x:c r="P1795" s="9" t="str">
        <x:f>IF(C1795="","",IF(AND(G1795="Applicable",H1795="Fail"),"Fail",IF(R1795&lt;&gt;"Valid","Pending",IF(OR(I1795="",K1795="",L1795="",K1795=L1795,NOT(ISNUMBER(M1795)),NOT(ISNUMBER(N1795)),M1795&gt;Settings!$F$8,N1795&lt;Settings!$F$8,N1795&lt;M1795),"Pending",IF(AND(G1795="Applicable",H1795="Pass"),"Pass",IF(AND(G1795="N/A",H1795="N/A",J1795&lt;&gt;"",OR(E1795="CEM-FUELS",E1795="CEM-CCS",AND(E1795="CEM-PLAN",IFERROR(INDEX('Taxonomy'!$M$9:$M$108,MATCH(D1795,'Taxonomy'!$C$9:$C$108,0)),"")&lt;&gt;"Amber"),E1795="BLD-TIMBER",AND(U1795="Building equipment",OR(E1795="BLD-WATER",E1795="BLD-WASTE",E1795="BLD-LAND")),AND(U1795="Building renovation",E1795="BLD-LAND"))),"N/A","Pending"))))))</x:f>
      </x:c>
      <x:c r="Q1795" s="3" t="str">
        <x:f>IF(C1795="","",IF(AND(R1795="Valid",OR(P1795="Pass",P1795="N/A")),"Complete","Unresolved"))</x:f>
      </x:c>
      <x:c r="R1795" s="9" t="str">
        <x:f>IF(C1795="","",IF(OR(COUNTIF($C$9:$C$2008,C1795)&lt;&gt;1,COUNTIFS($D$9:$D$2008,D1795,$E$9:$E$2008,E1795)&lt;&gt;1),"Duplicate test",IF(COUNTIF('Taxonomy'!$C$9:$C$108,D1795)&lt;&gt;1,"Assessment key",IF(OR(COUNTIF('Taxonomy Rules'!$C$42:$C$68,E1795)&lt;&gt;1,F1795&lt;&gt;IFERROR(INDEX('Taxonomy Rules'!$D$42:$D$68,MATCH(E1795,'Taxonomy Rules'!$C$42:$C$68,0)),""),NOT(OR(IFERROR(INDEX('Taxonomy Rules'!$G$42:$G$68,MATCH(E1795,'Taxonomy Rules'!$C$42:$C$68,0)),"")="All supported routes",IFERROR(INDEX('Taxonomy Rules'!$G$42:$G$68,MATCH(E1795,'Taxonomy Rules'!$C$42:$C$68,0)),"")=U1795,AND(IFERROR(INDEX('Taxonomy Rules'!$G$42:$G$68,MATCH(E1795,'Taxonomy Rules'!$C$42:$C$68,0)),"")="Building routes",OR(U1795="Building renovation",U1795="New building",U1795="Building equipment"))))),"Unexpected test","Valid"))))</x:f>
      </x:c>
      <x:c r="S1795" s="9" t="str">
        <x:f>IF(C1795="","",IFERROR(INDEX('Taxonomy Rules'!$E$42:$E$68,MATCH(E1795,'Taxonomy Rules'!$C$42:$C$68,0)),""))</x:f>
      </x:c>
      <x:c r="T1795" s="9" t="str">
        <x:f>IF(C1795="","",IFERROR(INDEX('Taxonomy Rules'!$F$42:$F$68,MATCH(E1795,'Taxonomy Rules'!$C$42:$C$68,0)),""))</x:f>
      </x:c>
      <x:c r="U1795" s="9" t="str">
        <x:f>IF(C1795="","",IFERROR(INDEX('Taxonomy'!$G$9:$G$108,MATCH(D1795,'Taxonomy'!$C$9:$C$108,0)),""))</x:f>
      </x:c>
    </x:row>
    <x:row r="1796" ht="44" customHeight="1">
      <x:c r="A1796" s="1"/>
      <x:c r="B1796" s="1"/>
      <x:c r="C1796" s="8"/>
      <x:c r="D1796" s="8"/>
      <x:c r="E1796" s="8"/>
      <x:c r="F1796" s="8"/>
      <x:c r="G1796" s="8"/>
      <x:c r="H1796" s="8"/>
      <x:c r="I1796" s="8"/>
      <x:c r="J1796" s="8"/>
      <x:c r="K1796" s="8"/>
      <x:c r="L1796" s="8"/>
      <x:c r="M1796" s="10"/>
      <x:c r="N1796" s="10"/>
      <x:c r="O1796" s="8"/>
      <x:c r="P1796" s="9" t="str">
        <x:f>IF(C1796="","",IF(AND(G1796="Applicable",H1796="Fail"),"Fail",IF(R1796&lt;&gt;"Valid","Pending",IF(OR(I1796="",K1796="",L1796="",K1796=L1796,NOT(ISNUMBER(M1796)),NOT(ISNUMBER(N1796)),M1796&gt;Settings!$F$8,N1796&lt;Settings!$F$8,N1796&lt;M1796),"Pending",IF(AND(G1796="Applicable",H1796="Pass"),"Pass",IF(AND(G1796="N/A",H1796="N/A",J1796&lt;&gt;"",OR(E1796="CEM-FUELS",E1796="CEM-CCS",AND(E1796="CEM-PLAN",IFERROR(INDEX('Taxonomy'!$M$9:$M$108,MATCH(D1796,'Taxonomy'!$C$9:$C$108,0)),"")&lt;&gt;"Amber"),E1796="BLD-TIMBER",AND(U1796="Building equipment",OR(E1796="BLD-WATER",E1796="BLD-WASTE",E1796="BLD-LAND")),AND(U1796="Building renovation",E1796="BLD-LAND"))),"N/A","Pending"))))))</x:f>
      </x:c>
      <x:c r="Q1796" s="3" t="str">
        <x:f>IF(C1796="","",IF(AND(R1796="Valid",OR(P1796="Pass",P1796="N/A")),"Complete","Unresolved"))</x:f>
      </x:c>
      <x:c r="R1796" s="9" t="str">
        <x:f>IF(C1796="","",IF(OR(COUNTIF($C$9:$C$2008,C1796)&lt;&gt;1,COUNTIFS($D$9:$D$2008,D1796,$E$9:$E$2008,E1796)&lt;&gt;1),"Duplicate test",IF(COUNTIF('Taxonomy'!$C$9:$C$108,D1796)&lt;&gt;1,"Assessment key",IF(OR(COUNTIF('Taxonomy Rules'!$C$42:$C$68,E1796)&lt;&gt;1,F1796&lt;&gt;IFERROR(INDEX('Taxonomy Rules'!$D$42:$D$68,MATCH(E1796,'Taxonomy Rules'!$C$42:$C$68,0)),""),NOT(OR(IFERROR(INDEX('Taxonomy Rules'!$G$42:$G$68,MATCH(E1796,'Taxonomy Rules'!$C$42:$C$68,0)),"")="All supported routes",IFERROR(INDEX('Taxonomy Rules'!$G$42:$G$68,MATCH(E1796,'Taxonomy Rules'!$C$42:$C$68,0)),"")=U1796,AND(IFERROR(INDEX('Taxonomy Rules'!$G$42:$G$68,MATCH(E1796,'Taxonomy Rules'!$C$42:$C$68,0)),"")="Building routes",OR(U1796="Building renovation",U1796="New building",U1796="Building equipment"))))),"Unexpected test","Valid"))))</x:f>
      </x:c>
      <x:c r="S1796" s="9" t="str">
        <x:f>IF(C1796="","",IFERROR(INDEX('Taxonomy Rules'!$E$42:$E$68,MATCH(E1796,'Taxonomy Rules'!$C$42:$C$68,0)),""))</x:f>
      </x:c>
      <x:c r="T1796" s="9" t="str">
        <x:f>IF(C1796="","",IFERROR(INDEX('Taxonomy Rules'!$F$42:$F$68,MATCH(E1796,'Taxonomy Rules'!$C$42:$C$68,0)),""))</x:f>
      </x:c>
      <x:c r="U1796" s="9" t="str">
        <x:f>IF(C1796="","",IFERROR(INDEX('Taxonomy'!$G$9:$G$108,MATCH(D1796,'Taxonomy'!$C$9:$C$108,0)),""))</x:f>
      </x:c>
    </x:row>
    <x:row r="1797" ht="44" customHeight="1">
      <x:c r="A1797" s="1"/>
      <x:c r="B1797" s="1"/>
      <x:c r="C1797" s="8"/>
      <x:c r="D1797" s="8"/>
      <x:c r="E1797" s="8"/>
      <x:c r="F1797" s="8"/>
      <x:c r="G1797" s="8"/>
      <x:c r="H1797" s="8"/>
      <x:c r="I1797" s="8"/>
      <x:c r="J1797" s="8"/>
      <x:c r="K1797" s="8"/>
      <x:c r="L1797" s="8"/>
      <x:c r="M1797" s="10"/>
      <x:c r="N1797" s="10"/>
      <x:c r="O1797" s="8"/>
      <x:c r="P1797" s="9" t="str">
        <x:f>IF(C1797="","",IF(AND(G1797="Applicable",H1797="Fail"),"Fail",IF(R1797&lt;&gt;"Valid","Pending",IF(OR(I1797="",K1797="",L1797="",K1797=L1797,NOT(ISNUMBER(M1797)),NOT(ISNUMBER(N1797)),M1797&gt;Settings!$F$8,N1797&lt;Settings!$F$8,N1797&lt;M1797),"Pending",IF(AND(G1797="Applicable",H1797="Pass"),"Pass",IF(AND(G1797="N/A",H1797="N/A",J1797&lt;&gt;"",OR(E1797="CEM-FUELS",E1797="CEM-CCS",AND(E1797="CEM-PLAN",IFERROR(INDEX('Taxonomy'!$M$9:$M$108,MATCH(D1797,'Taxonomy'!$C$9:$C$108,0)),"")&lt;&gt;"Amber"),E1797="BLD-TIMBER",AND(U1797="Building equipment",OR(E1797="BLD-WATER",E1797="BLD-WASTE",E1797="BLD-LAND")),AND(U1797="Building renovation",E1797="BLD-LAND"))),"N/A","Pending"))))))</x:f>
      </x:c>
      <x:c r="Q1797" s="3" t="str">
        <x:f>IF(C1797="","",IF(AND(R1797="Valid",OR(P1797="Pass",P1797="N/A")),"Complete","Unresolved"))</x:f>
      </x:c>
      <x:c r="R1797" s="9" t="str">
        <x:f>IF(C1797="","",IF(OR(COUNTIF($C$9:$C$2008,C1797)&lt;&gt;1,COUNTIFS($D$9:$D$2008,D1797,$E$9:$E$2008,E1797)&lt;&gt;1),"Duplicate test",IF(COUNTIF('Taxonomy'!$C$9:$C$108,D1797)&lt;&gt;1,"Assessment key",IF(OR(COUNTIF('Taxonomy Rules'!$C$42:$C$68,E1797)&lt;&gt;1,F1797&lt;&gt;IFERROR(INDEX('Taxonomy Rules'!$D$42:$D$68,MATCH(E1797,'Taxonomy Rules'!$C$42:$C$68,0)),""),NOT(OR(IFERROR(INDEX('Taxonomy Rules'!$G$42:$G$68,MATCH(E1797,'Taxonomy Rules'!$C$42:$C$68,0)),"")="All supported routes",IFERROR(INDEX('Taxonomy Rules'!$G$42:$G$68,MATCH(E1797,'Taxonomy Rules'!$C$42:$C$68,0)),"")=U1797,AND(IFERROR(INDEX('Taxonomy Rules'!$G$42:$G$68,MATCH(E1797,'Taxonomy Rules'!$C$42:$C$68,0)),"")="Building routes",OR(U1797="Building renovation",U1797="New building",U1797="Building equipment"))))),"Unexpected test","Valid"))))</x:f>
      </x:c>
      <x:c r="S1797" s="9" t="str">
        <x:f>IF(C1797="","",IFERROR(INDEX('Taxonomy Rules'!$E$42:$E$68,MATCH(E1797,'Taxonomy Rules'!$C$42:$C$68,0)),""))</x:f>
      </x:c>
      <x:c r="T1797" s="9" t="str">
        <x:f>IF(C1797="","",IFERROR(INDEX('Taxonomy Rules'!$F$42:$F$68,MATCH(E1797,'Taxonomy Rules'!$C$42:$C$68,0)),""))</x:f>
      </x:c>
      <x:c r="U1797" s="9" t="str">
        <x:f>IF(C1797="","",IFERROR(INDEX('Taxonomy'!$G$9:$G$108,MATCH(D1797,'Taxonomy'!$C$9:$C$108,0)),""))</x:f>
      </x:c>
    </x:row>
    <x:row r="1798" ht="44" customHeight="1">
      <x:c r="A1798" s="1"/>
      <x:c r="B1798" s="1"/>
      <x:c r="C1798" s="8"/>
      <x:c r="D1798" s="8"/>
      <x:c r="E1798" s="8"/>
      <x:c r="F1798" s="8"/>
      <x:c r="G1798" s="8"/>
      <x:c r="H1798" s="8"/>
      <x:c r="I1798" s="8"/>
      <x:c r="J1798" s="8"/>
      <x:c r="K1798" s="8"/>
      <x:c r="L1798" s="8"/>
      <x:c r="M1798" s="10"/>
      <x:c r="N1798" s="10"/>
      <x:c r="O1798" s="8"/>
      <x:c r="P1798" s="9" t="str">
        <x:f>IF(C1798="","",IF(AND(G1798="Applicable",H1798="Fail"),"Fail",IF(R1798&lt;&gt;"Valid","Pending",IF(OR(I1798="",K1798="",L1798="",K1798=L1798,NOT(ISNUMBER(M1798)),NOT(ISNUMBER(N1798)),M1798&gt;Settings!$F$8,N1798&lt;Settings!$F$8,N1798&lt;M1798),"Pending",IF(AND(G1798="Applicable",H1798="Pass"),"Pass",IF(AND(G1798="N/A",H1798="N/A",J1798&lt;&gt;"",OR(E1798="CEM-FUELS",E1798="CEM-CCS",AND(E1798="CEM-PLAN",IFERROR(INDEX('Taxonomy'!$M$9:$M$108,MATCH(D1798,'Taxonomy'!$C$9:$C$108,0)),"")&lt;&gt;"Amber"),E1798="BLD-TIMBER",AND(U1798="Building equipment",OR(E1798="BLD-WATER",E1798="BLD-WASTE",E1798="BLD-LAND")),AND(U1798="Building renovation",E1798="BLD-LAND"))),"N/A","Pending"))))))</x:f>
      </x:c>
      <x:c r="Q1798" s="3" t="str">
        <x:f>IF(C1798="","",IF(AND(R1798="Valid",OR(P1798="Pass",P1798="N/A")),"Complete","Unresolved"))</x:f>
      </x:c>
      <x:c r="R1798" s="9" t="str">
        <x:f>IF(C1798="","",IF(OR(COUNTIF($C$9:$C$2008,C1798)&lt;&gt;1,COUNTIFS($D$9:$D$2008,D1798,$E$9:$E$2008,E1798)&lt;&gt;1),"Duplicate test",IF(COUNTIF('Taxonomy'!$C$9:$C$108,D1798)&lt;&gt;1,"Assessment key",IF(OR(COUNTIF('Taxonomy Rules'!$C$42:$C$68,E1798)&lt;&gt;1,F1798&lt;&gt;IFERROR(INDEX('Taxonomy Rules'!$D$42:$D$68,MATCH(E1798,'Taxonomy Rules'!$C$42:$C$68,0)),""),NOT(OR(IFERROR(INDEX('Taxonomy Rules'!$G$42:$G$68,MATCH(E1798,'Taxonomy Rules'!$C$42:$C$68,0)),"")="All supported routes",IFERROR(INDEX('Taxonomy Rules'!$G$42:$G$68,MATCH(E1798,'Taxonomy Rules'!$C$42:$C$68,0)),"")=U1798,AND(IFERROR(INDEX('Taxonomy Rules'!$G$42:$G$68,MATCH(E1798,'Taxonomy Rules'!$C$42:$C$68,0)),"")="Building routes",OR(U1798="Building renovation",U1798="New building",U1798="Building equipment"))))),"Unexpected test","Valid"))))</x:f>
      </x:c>
      <x:c r="S1798" s="9" t="str">
        <x:f>IF(C1798="","",IFERROR(INDEX('Taxonomy Rules'!$E$42:$E$68,MATCH(E1798,'Taxonomy Rules'!$C$42:$C$68,0)),""))</x:f>
      </x:c>
      <x:c r="T1798" s="9" t="str">
        <x:f>IF(C1798="","",IFERROR(INDEX('Taxonomy Rules'!$F$42:$F$68,MATCH(E1798,'Taxonomy Rules'!$C$42:$C$68,0)),""))</x:f>
      </x:c>
      <x:c r="U1798" s="9" t="str">
        <x:f>IF(C1798="","",IFERROR(INDEX('Taxonomy'!$G$9:$G$108,MATCH(D1798,'Taxonomy'!$C$9:$C$108,0)),""))</x:f>
      </x:c>
    </x:row>
    <x:row r="1799" ht="44" customHeight="1">
      <x:c r="A1799" s="1"/>
      <x:c r="B1799" s="1"/>
      <x:c r="C1799" s="8"/>
      <x:c r="D1799" s="8"/>
      <x:c r="E1799" s="8"/>
      <x:c r="F1799" s="8"/>
      <x:c r="G1799" s="8"/>
      <x:c r="H1799" s="8"/>
      <x:c r="I1799" s="8"/>
      <x:c r="J1799" s="8"/>
      <x:c r="K1799" s="8"/>
      <x:c r="L1799" s="8"/>
      <x:c r="M1799" s="10"/>
      <x:c r="N1799" s="10"/>
      <x:c r="O1799" s="8"/>
      <x:c r="P1799" s="9" t="str">
        <x:f>IF(C1799="","",IF(AND(G1799="Applicable",H1799="Fail"),"Fail",IF(R1799&lt;&gt;"Valid","Pending",IF(OR(I1799="",K1799="",L1799="",K1799=L1799,NOT(ISNUMBER(M1799)),NOT(ISNUMBER(N1799)),M1799&gt;Settings!$F$8,N1799&lt;Settings!$F$8,N1799&lt;M1799),"Pending",IF(AND(G1799="Applicable",H1799="Pass"),"Pass",IF(AND(G1799="N/A",H1799="N/A",J1799&lt;&gt;"",OR(E1799="CEM-FUELS",E1799="CEM-CCS",AND(E1799="CEM-PLAN",IFERROR(INDEX('Taxonomy'!$M$9:$M$108,MATCH(D1799,'Taxonomy'!$C$9:$C$108,0)),"")&lt;&gt;"Amber"),E1799="BLD-TIMBER",AND(U1799="Building equipment",OR(E1799="BLD-WATER",E1799="BLD-WASTE",E1799="BLD-LAND")),AND(U1799="Building renovation",E1799="BLD-LAND"))),"N/A","Pending"))))))</x:f>
      </x:c>
      <x:c r="Q1799" s="3" t="str">
        <x:f>IF(C1799="","",IF(AND(R1799="Valid",OR(P1799="Pass",P1799="N/A")),"Complete","Unresolved"))</x:f>
      </x:c>
      <x:c r="R1799" s="9" t="str">
        <x:f>IF(C1799="","",IF(OR(COUNTIF($C$9:$C$2008,C1799)&lt;&gt;1,COUNTIFS($D$9:$D$2008,D1799,$E$9:$E$2008,E1799)&lt;&gt;1),"Duplicate test",IF(COUNTIF('Taxonomy'!$C$9:$C$108,D1799)&lt;&gt;1,"Assessment key",IF(OR(COUNTIF('Taxonomy Rules'!$C$42:$C$68,E1799)&lt;&gt;1,F1799&lt;&gt;IFERROR(INDEX('Taxonomy Rules'!$D$42:$D$68,MATCH(E1799,'Taxonomy Rules'!$C$42:$C$68,0)),""),NOT(OR(IFERROR(INDEX('Taxonomy Rules'!$G$42:$G$68,MATCH(E1799,'Taxonomy Rules'!$C$42:$C$68,0)),"")="All supported routes",IFERROR(INDEX('Taxonomy Rules'!$G$42:$G$68,MATCH(E1799,'Taxonomy Rules'!$C$42:$C$68,0)),"")=U1799,AND(IFERROR(INDEX('Taxonomy Rules'!$G$42:$G$68,MATCH(E1799,'Taxonomy Rules'!$C$42:$C$68,0)),"")="Building routes",OR(U1799="Building renovation",U1799="New building",U1799="Building equipment"))))),"Unexpected test","Valid"))))</x:f>
      </x:c>
      <x:c r="S1799" s="9" t="str">
        <x:f>IF(C1799="","",IFERROR(INDEX('Taxonomy Rules'!$E$42:$E$68,MATCH(E1799,'Taxonomy Rules'!$C$42:$C$68,0)),""))</x:f>
      </x:c>
      <x:c r="T1799" s="9" t="str">
        <x:f>IF(C1799="","",IFERROR(INDEX('Taxonomy Rules'!$F$42:$F$68,MATCH(E1799,'Taxonomy Rules'!$C$42:$C$68,0)),""))</x:f>
      </x:c>
      <x:c r="U1799" s="9" t="str">
        <x:f>IF(C1799="","",IFERROR(INDEX('Taxonomy'!$G$9:$G$108,MATCH(D1799,'Taxonomy'!$C$9:$C$108,0)),""))</x:f>
      </x:c>
    </x:row>
    <x:row r="1800" ht="44" customHeight="1">
      <x:c r="A1800" s="1"/>
      <x:c r="B1800" s="1"/>
      <x:c r="C1800" s="8"/>
      <x:c r="D1800" s="8"/>
      <x:c r="E1800" s="8"/>
      <x:c r="F1800" s="8"/>
      <x:c r="G1800" s="8"/>
      <x:c r="H1800" s="8"/>
      <x:c r="I1800" s="8"/>
      <x:c r="J1800" s="8"/>
      <x:c r="K1800" s="8"/>
      <x:c r="L1800" s="8"/>
      <x:c r="M1800" s="10"/>
      <x:c r="N1800" s="10"/>
      <x:c r="O1800" s="8"/>
      <x:c r="P1800" s="9" t="str">
        <x:f>IF(C1800="","",IF(AND(G1800="Applicable",H1800="Fail"),"Fail",IF(R1800&lt;&gt;"Valid","Pending",IF(OR(I1800="",K1800="",L1800="",K1800=L1800,NOT(ISNUMBER(M1800)),NOT(ISNUMBER(N1800)),M1800&gt;Settings!$F$8,N1800&lt;Settings!$F$8,N1800&lt;M1800),"Pending",IF(AND(G1800="Applicable",H1800="Pass"),"Pass",IF(AND(G1800="N/A",H1800="N/A",J1800&lt;&gt;"",OR(E1800="CEM-FUELS",E1800="CEM-CCS",AND(E1800="CEM-PLAN",IFERROR(INDEX('Taxonomy'!$M$9:$M$108,MATCH(D1800,'Taxonomy'!$C$9:$C$108,0)),"")&lt;&gt;"Amber"),E1800="BLD-TIMBER",AND(U1800="Building equipment",OR(E1800="BLD-WATER",E1800="BLD-WASTE",E1800="BLD-LAND")),AND(U1800="Building renovation",E1800="BLD-LAND"))),"N/A","Pending"))))))</x:f>
      </x:c>
      <x:c r="Q1800" s="3" t="str">
        <x:f>IF(C1800="","",IF(AND(R1800="Valid",OR(P1800="Pass",P1800="N/A")),"Complete","Unresolved"))</x:f>
      </x:c>
      <x:c r="R1800" s="9" t="str">
        <x:f>IF(C1800="","",IF(OR(COUNTIF($C$9:$C$2008,C1800)&lt;&gt;1,COUNTIFS($D$9:$D$2008,D1800,$E$9:$E$2008,E1800)&lt;&gt;1),"Duplicate test",IF(COUNTIF('Taxonomy'!$C$9:$C$108,D1800)&lt;&gt;1,"Assessment key",IF(OR(COUNTIF('Taxonomy Rules'!$C$42:$C$68,E1800)&lt;&gt;1,F1800&lt;&gt;IFERROR(INDEX('Taxonomy Rules'!$D$42:$D$68,MATCH(E1800,'Taxonomy Rules'!$C$42:$C$68,0)),""),NOT(OR(IFERROR(INDEX('Taxonomy Rules'!$G$42:$G$68,MATCH(E1800,'Taxonomy Rules'!$C$42:$C$68,0)),"")="All supported routes",IFERROR(INDEX('Taxonomy Rules'!$G$42:$G$68,MATCH(E1800,'Taxonomy Rules'!$C$42:$C$68,0)),"")=U1800,AND(IFERROR(INDEX('Taxonomy Rules'!$G$42:$G$68,MATCH(E1800,'Taxonomy Rules'!$C$42:$C$68,0)),"")="Building routes",OR(U1800="Building renovation",U1800="New building",U1800="Building equipment"))))),"Unexpected test","Valid"))))</x:f>
      </x:c>
      <x:c r="S1800" s="9" t="str">
        <x:f>IF(C1800="","",IFERROR(INDEX('Taxonomy Rules'!$E$42:$E$68,MATCH(E1800,'Taxonomy Rules'!$C$42:$C$68,0)),""))</x:f>
      </x:c>
      <x:c r="T1800" s="9" t="str">
        <x:f>IF(C1800="","",IFERROR(INDEX('Taxonomy Rules'!$F$42:$F$68,MATCH(E1800,'Taxonomy Rules'!$C$42:$C$68,0)),""))</x:f>
      </x:c>
      <x:c r="U1800" s="9" t="str">
        <x:f>IF(C1800="","",IFERROR(INDEX('Taxonomy'!$G$9:$G$108,MATCH(D1800,'Taxonomy'!$C$9:$C$108,0)),""))</x:f>
      </x:c>
    </x:row>
    <x:row r="1801" ht="44" customHeight="1">
      <x:c r="A1801" s="1"/>
      <x:c r="B1801" s="1"/>
      <x:c r="C1801" s="8"/>
      <x:c r="D1801" s="8"/>
      <x:c r="E1801" s="8"/>
      <x:c r="F1801" s="8"/>
      <x:c r="G1801" s="8"/>
      <x:c r="H1801" s="8"/>
      <x:c r="I1801" s="8"/>
      <x:c r="J1801" s="8"/>
      <x:c r="K1801" s="8"/>
      <x:c r="L1801" s="8"/>
      <x:c r="M1801" s="10"/>
      <x:c r="N1801" s="10"/>
      <x:c r="O1801" s="8"/>
      <x:c r="P1801" s="9" t="str">
        <x:f>IF(C1801="","",IF(AND(G1801="Applicable",H1801="Fail"),"Fail",IF(R1801&lt;&gt;"Valid","Pending",IF(OR(I1801="",K1801="",L1801="",K1801=L1801,NOT(ISNUMBER(M1801)),NOT(ISNUMBER(N1801)),M1801&gt;Settings!$F$8,N1801&lt;Settings!$F$8,N1801&lt;M1801),"Pending",IF(AND(G1801="Applicable",H1801="Pass"),"Pass",IF(AND(G1801="N/A",H1801="N/A",J1801&lt;&gt;"",OR(E1801="CEM-FUELS",E1801="CEM-CCS",AND(E1801="CEM-PLAN",IFERROR(INDEX('Taxonomy'!$M$9:$M$108,MATCH(D1801,'Taxonomy'!$C$9:$C$108,0)),"")&lt;&gt;"Amber"),E1801="BLD-TIMBER",AND(U1801="Building equipment",OR(E1801="BLD-WATER",E1801="BLD-WASTE",E1801="BLD-LAND")),AND(U1801="Building renovation",E1801="BLD-LAND"))),"N/A","Pending"))))))</x:f>
      </x:c>
      <x:c r="Q1801" s="3" t="str">
        <x:f>IF(C1801="","",IF(AND(R1801="Valid",OR(P1801="Pass",P1801="N/A")),"Complete","Unresolved"))</x:f>
      </x:c>
      <x:c r="R1801" s="9" t="str">
        <x:f>IF(C1801="","",IF(OR(COUNTIF($C$9:$C$2008,C1801)&lt;&gt;1,COUNTIFS($D$9:$D$2008,D1801,$E$9:$E$2008,E1801)&lt;&gt;1),"Duplicate test",IF(COUNTIF('Taxonomy'!$C$9:$C$108,D1801)&lt;&gt;1,"Assessment key",IF(OR(COUNTIF('Taxonomy Rules'!$C$42:$C$68,E1801)&lt;&gt;1,F1801&lt;&gt;IFERROR(INDEX('Taxonomy Rules'!$D$42:$D$68,MATCH(E1801,'Taxonomy Rules'!$C$42:$C$68,0)),""),NOT(OR(IFERROR(INDEX('Taxonomy Rules'!$G$42:$G$68,MATCH(E1801,'Taxonomy Rules'!$C$42:$C$68,0)),"")="All supported routes",IFERROR(INDEX('Taxonomy Rules'!$G$42:$G$68,MATCH(E1801,'Taxonomy Rules'!$C$42:$C$68,0)),"")=U1801,AND(IFERROR(INDEX('Taxonomy Rules'!$G$42:$G$68,MATCH(E1801,'Taxonomy Rules'!$C$42:$C$68,0)),"")="Building routes",OR(U1801="Building renovation",U1801="New building",U1801="Building equipment"))))),"Unexpected test","Valid"))))</x:f>
      </x:c>
      <x:c r="S1801" s="9" t="str">
        <x:f>IF(C1801="","",IFERROR(INDEX('Taxonomy Rules'!$E$42:$E$68,MATCH(E1801,'Taxonomy Rules'!$C$42:$C$68,0)),""))</x:f>
      </x:c>
      <x:c r="T1801" s="9" t="str">
        <x:f>IF(C1801="","",IFERROR(INDEX('Taxonomy Rules'!$F$42:$F$68,MATCH(E1801,'Taxonomy Rules'!$C$42:$C$68,0)),""))</x:f>
      </x:c>
      <x:c r="U1801" s="9" t="str">
        <x:f>IF(C1801="","",IFERROR(INDEX('Taxonomy'!$G$9:$G$108,MATCH(D1801,'Taxonomy'!$C$9:$C$108,0)),""))</x:f>
      </x:c>
    </x:row>
    <x:row r="1802" ht="44" customHeight="1">
      <x:c r="A1802" s="1"/>
      <x:c r="B1802" s="1"/>
      <x:c r="C1802" s="8"/>
      <x:c r="D1802" s="8"/>
      <x:c r="E1802" s="8"/>
      <x:c r="F1802" s="8"/>
      <x:c r="G1802" s="8"/>
      <x:c r="H1802" s="8"/>
      <x:c r="I1802" s="8"/>
      <x:c r="J1802" s="8"/>
      <x:c r="K1802" s="8"/>
      <x:c r="L1802" s="8"/>
      <x:c r="M1802" s="10"/>
      <x:c r="N1802" s="10"/>
      <x:c r="O1802" s="8"/>
      <x:c r="P1802" s="9" t="str">
        <x:f>IF(C1802="","",IF(AND(G1802="Applicable",H1802="Fail"),"Fail",IF(R1802&lt;&gt;"Valid","Pending",IF(OR(I1802="",K1802="",L1802="",K1802=L1802,NOT(ISNUMBER(M1802)),NOT(ISNUMBER(N1802)),M1802&gt;Settings!$F$8,N1802&lt;Settings!$F$8,N1802&lt;M1802),"Pending",IF(AND(G1802="Applicable",H1802="Pass"),"Pass",IF(AND(G1802="N/A",H1802="N/A",J1802&lt;&gt;"",OR(E1802="CEM-FUELS",E1802="CEM-CCS",AND(E1802="CEM-PLAN",IFERROR(INDEX('Taxonomy'!$M$9:$M$108,MATCH(D1802,'Taxonomy'!$C$9:$C$108,0)),"")&lt;&gt;"Amber"),E1802="BLD-TIMBER",AND(U1802="Building equipment",OR(E1802="BLD-WATER",E1802="BLD-WASTE",E1802="BLD-LAND")),AND(U1802="Building renovation",E1802="BLD-LAND"))),"N/A","Pending"))))))</x:f>
      </x:c>
      <x:c r="Q1802" s="3" t="str">
        <x:f>IF(C1802="","",IF(AND(R1802="Valid",OR(P1802="Pass",P1802="N/A")),"Complete","Unresolved"))</x:f>
      </x:c>
      <x:c r="R1802" s="9" t="str">
        <x:f>IF(C1802="","",IF(OR(COUNTIF($C$9:$C$2008,C1802)&lt;&gt;1,COUNTIFS($D$9:$D$2008,D1802,$E$9:$E$2008,E1802)&lt;&gt;1),"Duplicate test",IF(COUNTIF('Taxonomy'!$C$9:$C$108,D1802)&lt;&gt;1,"Assessment key",IF(OR(COUNTIF('Taxonomy Rules'!$C$42:$C$68,E1802)&lt;&gt;1,F1802&lt;&gt;IFERROR(INDEX('Taxonomy Rules'!$D$42:$D$68,MATCH(E1802,'Taxonomy Rules'!$C$42:$C$68,0)),""),NOT(OR(IFERROR(INDEX('Taxonomy Rules'!$G$42:$G$68,MATCH(E1802,'Taxonomy Rules'!$C$42:$C$68,0)),"")="All supported routes",IFERROR(INDEX('Taxonomy Rules'!$G$42:$G$68,MATCH(E1802,'Taxonomy Rules'!$C$42:$C$68,0)),"")=U1802,AND(IFERROR(INDEX('Taxonomy Rules'!$G$42:$G$68,MATCH(E1802,'Taxonomy Rules'!$C$42:$C$68,0)),"")="Building routes",OR(U1802="Building renovation",U1802="New building",U1802="Building equipment"))))),"Unexpected test","Valid"))))</x:f>
      </x:c>
      <x:c r="S1802" s="9" t="str">
        <x:f>IF(C1802="","",IFERROR(INDEX('Taxonomy Rules'!$E$42:$E$68,MATCH(E1802,'Taxonomy Rules'!$C$42:$C$68,0)),""))</x:f>
      </x:c>
      <x:c r="T1802" s="9" t="str">
        <x:f>IF(C1802="","",IFERROR(INDEX('Taxonomy Rules'!$F$42:$F$68,MATCH(E1802,'Taxonomy Rules'!$C$42:$C$68,0)),""))</x:f>
      </x:c>
      <x:c r="U1802" s="9" t="str">
        <x:f>IF(C1802="","",IFERROR(INDEX('Taxonomy'!$G$9:$G$108,MATCH(D1802,'Taxonomy'!$C$9:$C$108,0)),""))</x:f>
      </x:c>
    </x:row>
    <x:row r="1803" ht="44" customHeight="1">
      <x:c r="A1803" s="1"/>
      <x:c r="B1803" s="1"/>
      <x:c r="C1803" s="8"/>
      <x:c r="D1803" s="8"/>
      <x:c r="E1803" s="8"/>
      <x:c r="F1803" s="8"/>
      <x:c r="G1803" s="8"/>
      <x:c r="H1803" s="8"/>
      <x:c r="I1803" s="8"/>
      <x:c r="J1803" s="8"/>
      <x:c r="K1803" s="8"/>
      <x:c r="L1803" s="8"/>
      <x:c r="M1803" s="10"/>
      <x:c r="N1803" s="10"/>
      <x:c r="O1803" s="8"/>
      <x:c r="P1803" s="9" t="str">
        <x:f>IF(C1803="","",IF(AND(G1803="Applicable",H1803="Fail"),"Fail",IF(R1803&lt;&gt;"Valid","Pending",IF(OR(I1803="",K1803="",L1803="",K1803=L1803,NOT(ISNUMBER(M1803)),NOT(ISNUMBER(N1803)),M1803&gt;Settings!$F$8,N1803&lt;Settings!$F$8,N1803&lt;M1803),"Pending",IF(AND(G1803="Applicable",H1803="Pass"),"Pass",IF(AND(G1803="N/A",H1803="N/A",J1803&lt;&gt;"",OR(E1803="CEM-FUELS",E1803="CEM-CCS",AND(E1803="CEM-PLAN",IFERROR(INDEX('Taxonomy'!$M$9:$M$108,MATCH(D1803,'Taxonomy'!$C$9:$C$108,0)),"")&lt;&gt;"Amber"),E1803="BLD-TIMBER",AND(U1803="Building equipment",OR(E1803="BLD-WATER",E1803="BLD-WASTE",E1803="BLD-LAND")),AND(U1803="Building renovation",E1803="BLD-LAND"))),"N/A","Pending"))))))</x:f>
      </x:c>
      <x:c r="Q1803" s="3" t="str">
        <x:f>IF(C1803="","",IF(AND(R1803="Valid",OR(P1803="Pass",P1803="N/A")),"Complete","Unresolved"))</x:f>
      </x:c>
      <x:c r="R1803" s="9" t="str">
        <x:f>IF(C1803="","",IF(OR(COUNTIF($C$9:$C$2008,C1803)&lt;&gt;1,COUNTIFS($D$9:$D$2008,D1803,$E$9:$E$2008,E1803)&lt;&gt;1),"Duplicate test",IF(COUNTIF('Taxonomy'!$C$9:$C$108,D1803)&lt;&gt;1,"Assessment key",IF(OR(COUNTIF('Taxonomy Rules'!$C$42:$C$68,E1803)&lt;&gt;1,F1803&lt;&gt;IFERROR(INDEX('Taxonomy Rules'!$D$42:$D$68,MATCH(E1803,'Taxonomy Rules'!$C$42:$C$68,0)),""),NOT(OR(IFERROR(INDEX('Taxonomy Rules'!$G$42:$G$68,MATCH(E1803,'Taxonomy Rules'!$C$42:$C$68,0)),"")="All supported routes",IFERROR(INDEX('Taxonomy Rules'!$G$42:$G$68,MATCH(E1803,'Taxonomy Rules'!$C$42:$C$68,0)),"")=U1803,AND(IFERROR(INDEX('Taxonomy Rules'!$G$42:$G$68,MATCH(E1803,'Taxonomy Rules'!$C$42:$C$68,0)),"")="Building routes",OR(U1803="Building renovation",U1803="New building",U1803="Building equipment"))))),"Unexpected test","Valid"))))</x:f>
      </x:c>
      <x:c r="S1803" s="9" t="str">
        <x:f>IF(C1803="","",IFERROR(INDEX('Taxonomy Rules'!$E$42:$E$68,MATCH(E1803,'Taxonomy Rules'!$C$42:$C$68,0)),""))</x:f>
      </x:c>
      <x:c r="T1803" s="9" t="str">
        <x:f>IF(C1803="","",IFERROR(INDEX('Taxonomy Rules'!$F$42:$F$68,MATCH(E1803,'Taxonomy Rules'!$C$42:$C$68,0)),""))</x:f>
      </x:c>
      <x:c r="U1803" s="9" t="str">
        <x:f>IF(C1803="","",IFERROR(INDEX('Taxonomy'!$G$9:$G$108,MATCH(D1803,'Taxonomy'!$C$9:$C$108,0)),""))</x:f>
      </x:c>
    </x:row>
    <x:row r="1804" ht="44" customHeight="1">
      <x:c r="A1804" s="1"/>
      <x:c r="B1804" s="1"/>
      <x:c r="C1804" s="8"/>
      <x:c r="D1804" s="8"/>
      <x:c r="E1804" s="8"/>
      <x:c r="F1804" s="8"/>
      <x:c r="G1804" s="8"/>
      <x:c r="H1804" s="8"/>
      <x:c r="I1804" s="8"/>
      <x:c r="J1804" s="8"/>
      <x:c r="K1804" s="8"/>
      <x:c r="L1804" s="8"/>
      <x:c r="M1804" s="10"/>
      <x:c r="N1804" s="10"/>
      <x:c r="O1804" s="8"/>
      <x:c r="P1804" s="9" t="str">
        <x:f>IF(C1804="","",IF(AND(G1804="Applicable",H1804="Fail"),"Fail",IF(R1804&lt;&gt;"Valid","Pending",IF(OR(I1804="",K1804="",L1804="",K1804=L1804,NOT(ISNUMBER(M1804)),NOT(ISNUMBER(N1804)),M1804&gt;Settings!$F$8,N1804&lt;Settings!$F$8,N1804&lt;M1804),"Pending",IF(AND(G1804="Applicable",H1804="Pass"),"Pass",IF(AND(G1804="N/A",H1804="N/A",J1804&lt;&gt;"",OR(E1804="CEM-FUELS",E1804="CEM-CCS",AND(E1804="CEM-PLAN",IFERROR(INDEX('Taxonomy'!$M$9:$M$108,MATCH(D1804,'Taxonomy'!$C$9:$C$108,0)),"")&lt;&gt;"Amber"),E1804="BLD-TIMBER",AND(U1804="Building equipment",OR(E1804="BLD-WATER",E1804="BLD-WASTE",E1804="BLD-LAND")),AND(U1804="Building renovation",E1804="BLD-LAND"))),"N/A","Pending"))))))</x:f>
      </x:c>
      <x:c r="Q1804" s="3" t="str">
        <x:f>IF(C1804="","",IF(AND(R1804="Valid",OR(P1804="Pass",P1804="N/A")),"Complete","Unresolved"))</x:f>
      </x:c>
      <x:c r="R1804" s="9" t="str">
        <x:f>IF(C1804="","",IF(OR(COUNTIF($C$9:$C$2008,C1804)&lt;&gt;1,COUNTIFS($D$9:$D$2008,D1804,$E$9:$E$2008,E1804)&lt;&gt;1),"Duplicate test",IF(COUNTIF('Taxonomy'!$C$9:$C$108,D1804)&lt;&gt;1,"Assessment key",IF(OR(COUNTIF('Taxonomy Rules'!$C$42:$C$68,E1804)&lt;&gt;1,F1804&lt;&gt;IFERROR(INDEX('Taxonomy Rules'!$D$42:$D$68,MATCH(E1804,'Taxonomy Rules'!$C$42:$C$68,0)),""),NOT(OR(IFERROR(INDEX('Taxonomy Rules'!$G$42:$G$68,MATCH(E1804,'Taxonomy Rules'!$C$42:$C$68,0)),"")="All supported routes",IFERROR(INDEX('Taxonomy Rules'!$G$42:$G$68,MATCH(E1804,'Taxonomy Rules'!$C$42:$C$68,0)),"")=U1804,AND(IFERROR(INDEX('Taxonomy Rules'!$G$42:$G$68,MATCH(E1804,'Taxonomy Rules'!$C$42:$C$68,0)),"")="Building routes",OR(U1804="Building renovation",U1804="New building",U1804="Building equipment"))))),"Unexpected test","Valid"))))</x:f>
      </x:c>
      <x:c r="S1804" s="9" t="str">
        <x:f>IF(C1804="","",IFERROR(INDEX('Taxonomy Rules'!$E$42:$E$68,MATCH(E1804,'Taxonomy Rules'!$C$42:$C$68,0)),""))</x:f>
      </x:c>
      <x:c r="T1804" s="9" t="str">
        <x:f>IF(C1804="","",IFERROR(INDEX('Taxonomy Rules'!$F$42:$F$68,MATCH(E1804,'Taxonomy Rules'!$C$42:$C$68,0)),""))</x:f>
      </x:c>
      <x:c r="U1804" s="9" t="str">
        <x:f>IF(C1804="","",IFERROR(INDEX('Taxonomy'!$G$9:$G$108,MATCH(D1804,'Taxonomy'!$C$9:$C$108,0)),""))</x:f>
      </x:c>
    </x:row>
    <x:row r="1805" ht="44" customHeight="1">
      <x:c r="A1805" s="1"/>
      <x:c r="B1805" s="1"/>
      <x:c r="C1805" s="8"/>
      <x:c r="D1805" s="8"/>
      <x:c r="E1805" s="8"/>
      <x:c r="F1805" s="8"/>
      <x:c r="G1805" s="8"/>
      <x:c r="H1805" s="8"/>
      <x:c r="I1805" s="8"/>
      <x:c r="J1805" s="8"/>
      <x:c r="K1805" s="8"/>
      <x:c r="L1805" s="8"/>
      <x:c r="M1805" s="10"/>
      <x:c r="N1805" s="10"/>
      <x:c r="O1805" s="8"/>
      <x:c r="P1805" s="9" t="str">
        <x:f>IF(C1805="","",IF(AND(G1805="Applicable",H1805="Fail"),"Fail",IF(R1805&lt;&gt;"Valid","Pending",IF(OR(I1805="",K1805="",L1805="",K1805=L1805,NOT(ISNUMBER(M1805)),NOT(ISNUMBER(N1805)),M1805&gt;Settings!$F$8,N1805&lt;Settings!$F$8,N1805&lt;M1805),"Pending",IF(AND(G1805="Applicable",H1805="Pass"),"Pass",IF(AND(G1805="N/A",H1805="N/A",J1805&lt;&gt;"",OR(E1805="CEM-FUELS",E1805="CEM-CCS",AND(E1805="CEM-PLAN",IFERROR(INDEX('Taxonomy'!$M$9:$M$108,MATCH(D1805,'Taxonomy'!$C$9:$C$108,0)),"")&lt;&gt;"Amber"),E1805="BLD-TIMBER",AND(U1805="Building equipment",OR(E1805="BLD-WATER",E1805="BLD-WASTE",E1805="BLD-LAND")),AND(U1805="Building renovation",E1805="BLD-LAND"))),"N/A","Pending"))))))</x:f>
      </x:c>
      <x:c r="Q1805" s="3" t="str">
        <x:f>IF(C1805="","",IF(AND(R1805="Valid",OR(P1805="Pass",P1805="N/A")),"Complete","Unresolved"))</x:f>
      </x:c>
      <x:c r="R1805" s="9" t="str">
        <x:f>IF(C1805="","",IF(OR(COUNTIF($C$9:$C$2008,C1805)&lt;&gt;1,COUNTIFS($D$9:$D$2008,D1805,$E$9:$E$2008,E1805)&lt;&gt;1),"Duplicate test",IF(COUNTIF('Taxonomy'!$C$9:$C$108,D1805)&lt;&gt;1,"Assessment key",IF(OR(COUNTIF('Taxonomy Rules'!$C$42:$C$68,E1805)&lt;&gt;1,F1805&lt;&gt;IFERROR(INDEX('Taxonomy Rules'!$D$42:$D$68,MATCH(E1805,'Taxonomy Rules'!$C$42:$C$68,0)),""),NOT(OR(IFERROR(INDEX('Taxonomy Rules'!$G$42:$G$68,MATCH(E1805,'Taxonomy Rules'!$C$42:$C$68,0)),"")="All supported routes",IFERROR(INDEX('Taxonomy Rules'!$G$42:$G$68,MATCH(E1805,'Taxonomy Rules'!$C$42:$C$68,0)),"")=U1805,AND(IFERROR(INDEX('Taxonomy Rules'!$G$42:$G$68,MATCH(E1805,'Taxonomy Rules'!$C$42:$C$68,0)),"")="Building routes",OR(U1805="Building renovation",U1805="New building",U1805="Building equipment"))))),"Unexpected test","Valid"))))</x:f>
      </x:c>
      <x:c r="S1805" s="9" t="str">
        <x:f>IF(C1805="","",IFERROR(INDEX('Taxonomy Rules'!$E$42:$E$68,MATCH(E1805,'Taxonomy Rules'!$C$42:$C$68,0)),""))</x:f>
      </x:c>
      <x:c r="T1805" s="9" t="str">
        <x:f>IF(C1805="","",IFERROR(INDEX('Taxonomy Rules'!$F$42:$F$68,MATCH(E1805,'Taxonomy Rules'!$C$42:$C$68,0)),""))</x:f>
      </x:c>
      <x:c r="U1805" s="9" t="str">
        <x:f>IF(C1805="","",IFERROR(INDEX('Taxonomy'!$G$9:$G$108,MATCH(D1805,'Taxonomy'!$C$9:$C$108,0)),""))</x:f>
      </x:c>
    </x:row>
    <x:row r="1806" ht="44" customHeight="1">
      <x:c r="A1806" s="1"/>
      <x:c r="B1806" s="1"/>
      <x:c r="C1806" s="8"/>
      <x:c r="D1806" s="8"/>
      <x:c r="E1806" s="8"/>
      <x:c r="F1806" s="8"/>
      <x:c r="G1806" s="8"/>
      <x:c r="H1806" s="8"/>
      <x:c r="I1806" s="8"/>
      <x:c r="J1806" s="8"/>
      <x:c r="K1806" s="8"/>
      <x:c r="L1806" s="8"/>
      <x:c r="M1806" s="10"/>
      <x:c r="N1806" s="10"/>
      <x:c r="O1806" s="8"/>
      <x:c r="P1806" s="9" t="str">
        <x:f>IF(C1806="","",IF(AND(G1806="Applicable",H1806="Fail"),"Fail",IF(R1806&lt;&gt;"Valid","Pending",IF(OR(I1806="",K1806="",L1806="",K1806=L1806,NOT(ISNUMBER(M1806)),NOT(ISNUMBER(N1806)),M1806&gt;Settings!$F$8,N1806&lt;Settings!$F$8,N1806&lt;M1806),"Pending",IF(AND(G1806="Applicable",H1806="Pass"),"Pass",IF(AND(G1806="N/A",H1806="N/A",J1806&lt;&gt;"",OR(E1806="CEM-FUELS",E1806="CEM-CCS",AND(E1806="CEM-PLAN",IFERROR(INDEX('Taxonomy'!$M$9:$M$108,MATCH(D1806,'Taxonomy'!$C$9:$C$108,0)),"")&lt;&gt;"Amber"),E1806="BLD-TIMBER",AND(U1806="Building equipment",OR(E1806="BLD-WATER",E1806="BLD-WASTE",E1806="BLD-LAND")),AND(U1806="Building renovation",E1806="BLD-LAND"))),"N/A","Pending"))))))</x:f>
      </x:c>
      <x:c r="Q1806" s="3" t="str">
        <x:f>IF(C1806="","",IF(AND(R1806="Valid",OR(P1806="Pass",P1806="N/A")),"Complete","Unresolved"))</x:f>
      </x:c>
      <x:c r="R1806" s="9" t="str">
        <x:f>IF(C1806="","",IF(OR(COUNTIF($C$9:$C$2008,C1806)&lt;&gt;1,COUNTIFS($D$9:$D$2008,D1806,$E$9:$E$2008,E1806)&lt;&gt;1),"Duplicate test",IF(COUNTIF('Taxonomy'!$C$9:$C$108,D1806)&lt;&gt;1,"Assessment key",IF(OR(COUNTIF('Taxonomy Rules'!$C$42:$C$68,E1806)&lt;&gt;1,F1806&lt;&gt;IFERROR(INDEX('Taxonomy Rules'!$D$42:$D$68,MATCH(E1806,'Taxonomy Rules'!$C$42:$C$68,0)),""),NOT(OR(IFERROR(INDEX('Taxonomy Rules'!$G$42:$G$68,MATCH(E1806,'Taxonomy Rules'!$C$42:$C$68,0)),"")="All supported routes",IFERROR(INDEX('Taxonomy Rules'!$G$42:$G$68,MATCH(E1806,'Taxonomy Rules'!$C$42:$C$68,0)),"")=U1806,AND(IFERROR(INDEX('Taxonomy Rules'!$G$42:$G$68,MATCH(E1806,'Taxonomy Rules'!$C$42:$C$68,0)),"")="Building routes",OR(U1806="Building renovation",U1806="New building",U1806="Building equipment"))))),"Unexpected test","Valid"))))</x:f>
      </x:c>
      <x:c r="S1806" s="9" t="str">
        <x:f>IF(C1806="","",IFERROR(INDEX('Taxonomy Rules'!$E$42:$E$68,MATCH(E1806,'Taxonomy Rules'!$C$42:$C$68,0)),""))</x:f>
      </x:c>
      <x:c r="T1806" s="9" t="str">
        <x:f>IF(C1806="","",IFERROR(INDEX('Taxonomy Rules'!$F$42:$F$68,MATCH(E1806,'Taxonomy Rules'!$C$42:$C$68,0)),""))</x:f>
      </x:c>
      <x:c r="U1806" s="9" t="str">
        <x:f>IF(C1806="","",IFERROR(INDEX('Taxonomy'!$G$9:$G$108,MATCH(D1806,'Taxonomy'!$C$9:$C$108,0)),""))</x:f>
      </x:c>
    </x:row>
    <x:row r="1807" ht="44" customHeight="1">
      <x:c r="A1807" s="1"/>
      <x:c r="B1807" s="1"/>
      <x:c r="C1807" s="8"/>
      <x:c r="D1807" s="8"/>
      <x:c r="E1807" s="8"/>
      <x:c r="F1807" s="8"/>
      <x:c r="G1807" s="8"/>
      <x:c r="H1807" s="8"/>
      <x:c r="I1807" s="8"/>
      <x:c r="J1807" s="8"/>
      <x:c r="K1807" s="8"/>
      <x:c r="L1807" s="8"/>
      <x:c r="M1807" s="10"/>
      <x:c r="N1807" s="10"/>
      <x:c r="O1807" s="8"/>
      <x:c r="P1807" s="9" t="str">
        <x:f>IF(C1807="","",IF(AND(G1807="Applicable",H1807="Fail"),"Fail",IF(R1807&lt;&gt;"Valid","Pending",IF(OR(I1807="",K1807="",L1807="",K1807=L1807,NOT(ISNUMBER(M1807)),NOT(ISNUMBER(N1807)),M1807&gt;Settings!$F$8,N1807&lt;Settings!$F$8,N1807&lt;M1807),"Pending",IF(AND(G1807="Applicable",H1807="Pass"),"Pass",IF(AND(G1807="N/A",H1807="N/A",J1807&lt;&gt;"",OR(E1807="CEM-FUELS",E1807="CEM-CCS",AND(E1807="CEM-PLAN",IFERROR(INDEX('Taxonomy'!$M$9:$M$108,MATCH(D1807,'Taxonomy'!$C$9:$C$108,0)),"")&lt;&gt;"Amber"),E1807="BLD-TIMBER",AND(U1807="Building equipment",OR(E1807="BLD-WATER",E1807="BLD-WASTE",E1807="BLD-LAND")),AND(U1807="Building renovation",E1807="BLD-LAND"))),"N/A","Pending"))))))</x:f>
      </x:c>
      <x:c r="Q1807" s="3" t="str">
        <x:f>IF(C1807="","",IF(AND(R1807="Valid",OR(P1807="Pass",P1807="N/A")),"Complete","Unresolved"))</x:f>
      </x:c>
      <x:c r="R1807" s="9" t="str">
        <x:f>IF(C1807="","",IF(OR(COUNTIF($C$9:$C$2008,C1807)&lt;&gt;1,COUNTIFS($D$9:$D$2008,D1807,$E$9:$E$2008,E1807)&lt;&gt;1),"Duplicate test",IF(COUNTIF('Taxonomy'!$C$9:$C$108,D1807)&lt;&gt;1,"Assessment key",IF(OR(COUNTIF('Taxonomy Rules'!$C$42:$C$68,E1807)&lt;&gt;1,F1807&lt;&gt;IFERROR(INDEX('Taxonomy Rules'!$D$42:$D$68,MATCH(E1807,'Taxonomy Rules'!$C$42:$C$68,0)),""),NOT(OR(IFERROR(INDEX('Taxonomy Rules'!$G$42:$G$68,MATCH(E1807,'Taxonomy Rules'!$C$42:$C$68,0)),"")="All supported routes",IFERROR(INDEX('Taxonomy Rules'!$G$42:$G$68,MATCH(E1807,'Taxonomy Rules'!$C$42:$C$68,0)),"")=U1807,AND(IFERROR(INDEX('Taxonomy Rules'!$G$42:$G$68,MATCH(E1807,'Taxonomy Rules'!$C$42:$C$68,0)),"")="Building routes",OR(U1807="Building renovation",U1807="New building",U1807="Building equipment"))))),"Unexpected test","Valid"))))</x:f>
      </x:c>
      <x:c r="S1807" s="9" t="str">
        <x:f>IF(C1807="","",IFERROR(INDEX('Taxonomy Rules'!$E$42:$E$68,MATCH(E1807,'Taxonomy Rules'!$C$42:$C$68,0)),""))</x:f>
      </x:c>
      <x:c r="T1807" s="9" t="str">
        <x:f>IF(C1807="","",IFERROR(INDEX('Taxonomy Rules'!$F$42:$F$68,MATCH(E1807,'Taxonomy Rules'!$C$42:$C$68,0)),""))</x:f>
      </x:c>
      <x:c r="U1807" s="9" t="str">
        <x:f>IF(C1807="","",IFERROR(INDEX('Taxonomy'!$G$9:$G$108,MATCH(D1807,'Taxonomy'!$C$9:$C$108,0)),""))</x:f>
      </x:c>
    </x:row>
    <x:row r="1808" ht="44" customHeight="1">
      <x:c r="A1808" s="1"/>
      <x:c r="B1808" s="1"/>
      <x:c r="C1808" s="8"/>
      <x:c r="D1808" s="8"/>
      <x:c r="E1808" s="8"/>
      <x:c r="F1808" s="8"/>
      <x:c r="G1808" s="8"/>
      <x:c r="H1808" s="8"/>
      <x:c r="I1808" s="8"/>
      <x:c r="J1808" s="8"/>
      <x:c r="K1808" s="8"/>
      <x:c r="L1808" s="8"/>
      <x:c r="M1808" s="10"/>
      <x:c r="N1808" s="10"/>
      <x:c r="O1808" s="8"/>
      <x:c r="P1808" s="9" t="str">
        <x:f>IF(C1808="","",IF(AND(G1808="Applicable",H1808="Fail"),"Fail",IF(R1808&lt;&gt;"Valid","Pending",IF(OR(I1808="",K1808="",L1808="",K1808=L1808,NOT(ISNUMBER(M1808)),NOT(ISNUMBER(N1808)),M1808&gt;Settings!$F$8,N1808&lt;Settings!$F$8,N1808&lt;M1808),"Pending",IF(AND(G1808="Applicable",H1808="Pass"),"Pass",IF(AND(G1808="N/A",H1808="N/A",J1808&lt;&gt;"",OR(E1808="CEM-FUELS",E1808="CEM-CCS",AND(E1808="CEM-PLAN",IFERROR(INDEX('Taxonomy'!$M$9:$M$108,MATCH(D1808,'Taxonomy'!$C$9:$C$108,0)),"")&lt;&gt;"Amber"),E1808="BLD-TIMBER",AND(U1808="Building equipment",OR(E1808="BLD-WATER",E1808="BLD-WASTE",E1808="BLD-LAND")),AND(U1808="Building renovation",E1808="BLD-LAND"))),"N/A","Pending"))))))</x:f>
      </x:c>
      <x:c r="Q1808" s="3" t="str">
        <x:f>IF(C1808="","",IF(AND(R1808="Valid",OR(P1808="Pass",P1808="N/A")),"Complete","Unresolved"))</x:f>
      </x:c>
      <x:c r="R1808" s="9" t="str">
        <x:f>IF(C1808="","",IF(OR(COUNTIF($C$9:$C$2008,C1808)&lt;&gt;1,COUNTIFS($D$9:$D$2008,D1808,$E$9:$E$2008,E1808)&lt;&gt;1),"Duplicate test",IF(COUNTIF('Taxonomy'!$C$9:$C$108,D1808)&lt;&gt;1,"Assessment key",IF(OR(COUNTIF('Taxonomy Rules'!$C$42:$C$68,E1808)&lt;&gt;1,F1808&lt;&gt;IFERROR(INDEX('Taxonomy Rules'!$D$42:$D$68,MATCH(E1808,'Taxonomy Rules'!$C$42:$C$68,0)),""),NOT(OR(IFERROR(INDEX('Taxonomy Rules'!$G$42:$G$68,MATCH(E1808,'Taxonomy Rules'!$C$42:$C$68,0)),"")="All supported routes",IFERROR(INDEX('Taxonomy Rules'!$G$42:$G$68,MATCH(E1808,'Taxonomy Rules'!$C$42:$C$68,0)),"")=U1808,AND(IFERROR(INDEX('Taxonomy Rules'!$G$42:$G$68,MATCH(E1808,'Taxonomy Rules'!$C$42:$C$68,0)),"")="Building routes",OR(U1808="Building renovation",U1808="New building",U1808="Building equipment"))))),"Unexpected test","Valid"))))</x:f>
      </x:c>
      <x:c r="S1808" s="9" t="str">
        <x:f>IF(C1808="","",IFERROR(INDEX('Taxonomy Rules'!$E$42:$E$68,MATCH(E1808,'Taxonomy Rules'!$C$42:$C$68,0)),""))</x:f>
      </x:c>
      <x:c r="T1808" s="9" t="str">
        <x:f>IF(C1808="","",IFERROR(INDEX('Taxonomy Rules'!$F$42:$F$68,MATCH(E1808,'Taxonomy Rules'!$C$42:$C$68,0)),""))</x:f>
      </x:c>
      <x:c r="U1808" s="9" t="str">
        <x:f>IF(C1808="","",IFERROR(INDEX('Taxonomy'!$G$9:$G$108,MATCH(D1808,'Taxonomy'!$C$9:$C$108,0)),""))</x:f>
      </x:c>
    </x:row>
    <x:row r="1809" ht="44" customHeight="1">
      <x:c r="A1809" s="1"/>
      <x:c r="B1809" s="1"/>
      <x:c r="C1809" s="8"/>
      <x:c r="D1809" s="8"/>
      <x:c r="E1809" s="8"/>
      <x:c r="F1809" s="8"/>
      <x:c r="G1809" s="8"/>
      <x:c r="H1809" s="8"/>
      <x:c r="I1809" s="8"/>
      <x:c r="J1809" s="8"/>
      <x:c r="K1809" s="8"/>
      <x:c r="L1809" s="8"/>
      <x:c r="M1809" s="10"/>
      <x:c r="N1809" s="10"/>
      <x:c r="O1809" s="8"/>
      <x:c r="P1809" s="9" t="str">
        <x:f>IF(C1809="","",IF(AND(G1809="Applicable",H1809="Fail"),"Fail",IF(R1809&lt;&gt;"Valid","Pending",IF(OR(I1809="",K1809="",L1809="",K1809=L1809,NOT(ISNUMBER(M1809)),NOT(ISNUMBER(N1809)),M1809&gt;Settings!$F$8,N1809&lt;Settings!$F$8,N1809&lt;M1809),"Pending",IF(AND(G1809="Applicable",H1809="Pass"),"Pass",IF(AND(G1809="N/A",H1809="N/A",J1809&lt;&gt;"",OR(E1809="CEM-FUELS",E1809="CEM-CCS",AND(E1809="CEM-PLAN",IFERROR(INDEX('Taxonomy'!$M$9:$M$108,MATCH(D1809,'Taxonomy'!$C$9:$C$108,0)),"")&lt;&gt;"Amber"),E1809="BLD-TIMBER",AND(U1809="Building equipment",OR(E1809="BLD-WATER",E1809="BLD-WASTE",E1809="BLD-LAND")),AND(U1809="Building renovation",E1809="BLD-LAND"))),"N/A","Pending"))))))</x:f>
      </x:c>
      <x:c r="Q1809" s="3" t="str">
        <x:f>IF(C1809="","",IF(AND(R1809="Valid",OR(P1809="Pass",P1809="N/A")),"Complete","Unresolved"))</x:f>
      </x:c>
      <x:c r="R1809" s="9" t="str">
        <x:f>IF(C1809="","",IF(OR(COUNTIF($C$9:$C$2008,C1809)&lt;&gt;1,COUNTIFS($D$9:$D$2008,D1809,$E$9:$E$2008,E1809)&lt;&gt;1),"Duplicate test",IF(COUNTIF('Taxonomy'!$C$9:$C$108,D1809)&lt;&gt;1,"Assessment key",IF(OR(COUNTIF('Taxonomy Rules'!$C$42:$C$68,E1809)&lt;&gt;1,F1809&lt;&gt;IFERROR(INDEX('Taxonomy Rules'!$D$42:$D$68,MATCH(E1809,'Taxonomy Rules'!$C$42:$C$68,0)),""),NOT(OR(IFERROR(INDEX('Taxonomy Rules'!$G$42:$G$68,MATCH(E1809,'Taxonomy Rules'!$C$42:$C$68,0)),"")="All supported routes",IFERROR(INDEX('Taxonomy Rules'!$G$42:$G$68,MATCH(E1809,'Taxonomy Rules'!$C$42:$C$68,0)),"")=U1809,AND(IFERROR(INDEX('Taxonomy Rules'!$G$42:$G$68,MATCH(E1809,'Taxonomy Rules'!$C$42:$C$68,0)),"")="Building routes",OR(U1809="Building renovation",U1809="New building",U1809="Building equipment"))))),"Unexpected test","Valid"))))</x:f>
      </x:c>
      <x:c r="S1809" s="9" t="str">
        <x:f>IF(C1809="","",IFERROR(INDEX('Taxonomy Rules'!$E$42:$E$68,MATCH(E1809,'Taxonomy Rules'!$C$42:$C$68,0)),""))</x:f>
      </x:c>
      <x:c r="T1809" s="9" t="str">
        <x:f>IF(C1809="","",IFERROR(INDEX('Taxonomy Rules'!$F$42:$F$68,MATCH(E1809,'Taxonomy Rules'!$C$42:$C$68,0)),""))</x:f>
      </x:c>
      <x:c r="U1809" s="9" t="str">
        <x:f>IF(C1809="","",IFERROR(INDEX('Taxonomy'!$G$9:$G$108,MATCH(D1809,'Taxonomy'!$C$9:$C$108,0)),""))</x:f>
      </x:c>
    </x:row>
    <x:row r="1810" ht="44" customHeight="1">
      <x:c r="A1810" s="1"/>
      <x:c r="B1810" s="1"/>
      <x:c r="C1810" s="8"/>
      <x:c r="D1810" s="8"/>
      <x:c r="E1810" s="8"/>
      <x:c r="F1810" s="8"/>
      <x:c r="G1810" s="8"/>
      <x:c r="H1810" s="8"/>
      <x:c r="I1810" s="8"/>
      <x:c r="J1810" s="8"/>
      <x:c r="K1810" s="8"/>
      <x:c r="L1810" s="8"/>
      <x:c r="M1810" s="10"/>
      <x:c r="N1810" s="10"/>
      <x:c r="O1810" s="8"/>
      <x:c r="P1810" s="9" t="str">
        <x:f>IF(C1810="","",IF(AND(G1810="Applicable",H1810="Fail"),"Fail",IF(R1810&lt;&gt;"Valid","Pending",IF(OR(I1810="",K1810="",L1810="",K1810=L1810,NOT(ISNUMBER(M1810)),NOT(ISNUMBER(N1810)),M1810&gt;Settings!$F$8,N1810&lt;Settings!$F$8,N1810&lt;M1810),"Pending",IF(AND(G1810="Applicable",H1810="Pass"),"Pass",IF(AND(G1810="N/A",H1810="N/A",J1810&lt;&gt;"",OR(E1810="CEM-FUELS",E1810="CEM-CCS",AND(E1810="CEM-PLAN",IFERROR(INDEX('Taxonomy'!$M$9:$M$108,MATCH(D1810,'Taxonomy'!$C$9:$C$108,0)),"")&lt;&gt;"Amber"),E1810="BLD-TIMBER",AND(U1810="Building equipment",OR(E1810="BLD-WATER",E1810="BLD-WASTE",E1810="BLD-LAND")),AND(U1810="Building renovation",E1810="BLD-LAND"))),"N/A","Pending"))))))</x:f>
      </x:c>
      <x:c r="Q1810" s="3" t="str">
        <x:f>IF(C1810="","",IF(AND(R1810="Valid",OR(P1810="Pass",P1810="N/A")),"Complete","Unresolved"))</x:f>
      </x:c>
      <x:c r="R1810" s="9" t="str">
        <x:f>IF(C1810="","",IF(OR(COUNTIF($C$9:$C$2008,C1810)&lt;&gt;1,COUNTIFS($D$9:$D$2008,D1810,$E$9:$E$2008,E1810)&lt;&gt;1),"Duplicate test",IF(COUNTIF('Taxonomy'!$C$9:$C$108,D1810)&lt;&gt;1,"Assessment key",IF(OR(COUNTIF('Taxonomy Rules'!$C$42:$C$68,E1810)&lt;&gt;1,F1810&lt;&gt;IFERROR(INDEX('Taxonomy Rules'!$D$42:$D$68,MATCH(E1810,'Taxonomy Rules'!$C$42:$C$68,0)),""),NOT(OR(IFERROR(INDEX('Taxonomy Rules'!$G$42:$G$68,MATCH(E1810,'Taxonomy Rules'!$C$42:$C$68,0)),"")="All supported routes",IFERROR(INDEX('Taxonomy Rules'!$G$42:$G$68,MATCH(E1810,'Taxonomy Rules'!$C$42:$C$68,0)),"")=U1810,AND(IFERROR(INDEX('Taxonomy Rules'!$G$42:$G$68,MATCH(E1810,'Taxonomy Rules'!$C$42:$C$68,0)),"")="Building routes",OR(U1810="Building renovation",U1810="New building",U1810="Building equipment"))))),"Unexpected test","Valid"))))</x:f>
      </x:c>
      <x:c r="S1810" s="9" t="str">
        <x:f>IF(C1810="","",IFERROR(INDEX('Taxonomy Rules'!$E$42:$E$68,MATCH(E1810,'Taxonomy Rules'!$C$42:$C$68,0)),""))</x:f>
      </x:c>
      <x:c r="T1810" s="9" t="str">
        <x:f>IF(C1810="","",IFERROR(INDEX('Taxonomy Rules'!$F$42:$F$68,MATCH(E1810,'Taxonomy Rules'!$C$42:$C$68,0)),""))</x:f>
      </x:c>
      <x:c r="U1810" s="9" t="str">
        <x:f>IF(C1810="","",IFERROR(INDEX('Taxonomy'!$G$9:$G$108,MATCH(D1810,'Taxonomy'!$C$9:$C$108,0)),""))</x:f>
      </x:c>
    </x:row>
    <x:row r="1811" ht="44" customHeight="1">
      <x:c r="A1811" s="1"/>
      <x:c r="B1811" s="1"/>
      <x:c r="C1811" s="8"/>
      <x:c r="D1811" s="8"/>
      <x:c r="E1811" s="8"/>
      <x:c r="F1811" s="8"/>
      <x:c r="G1811" s="8"/>
      <x:c r="H1811" s="8"/>
      <x:c r="I1811" s="8"/>
      <x:c r="J1811" s="8"/>
      <x:c r="K1811" s="8"/>
      <x:c r="L1811" s="8"/>
      <x:c r="M1811" s="10"/>
      <x:c r="N1811" s="10"/>
      <x:c r="O1811" s="8"/>
      <x:c r="P1811" s="9" t="str">
        <x:f>IF(C1811="","",IF(AND(G1811="Applicable",H1811="Fail"),"Fail",IF(R1811&lt;&gt;"Valid","Pending",IF(OR(I1811="",K1811="",L1811="",K1811=L1811,NOT(ISNUMBER(M1811)),NOT(ISNUMBER(N1811)),M1811&gt;Settings!$F$8,N1811&lt;Settings!$F$8,N1811&lt;M1811),"Pending",IF(AND(G1811="Applicable",H1811="Pass"),"Pass",IF(AND(G1811="N/A",H1811="N/A",J1811&lt;&gt;"",OR(E1811="CEM-FUELS",E1811="CEM-CCS",AND(E1811="CEM-PLAN",IFERROR(INDEX('Taxonomy'!$M$9:$M$108,MATCH(D1811,'Taxonomy'!$C$9:$C$108,0)),"")&lt;&gt;"Amber"),E1811="BLD-TIMBER",AND(U1811="Building equipment",OR(E1811="BLD-WATER",E1811="BLD-WASTE",E1811="BLD-LAND")),AND(U1811="Building renovation",E1811="BLD-LAND"))),"N/A","Pending"))))))</x:f>
      </x:c>
      <x:c r="Q1811" s="3" t="str">
        <x:f>IF(C1811="","",IF(AND(R1811="Valid",OR(P1811="Pass",P1811="N/A")),"Complete","Unresolved"))</x:f>
      </x:c>
      <x:c r="R1811" s="9" t="str">
        <x:f>IF(C1811="","",IF(OR(COUNTIF($C$9:$C$2008,C1811)&lt;&gt;1,COUNTIFS($D$9:$D$2008,D1811,$E$9:$E$2008,E1811)&lt;&gt;1),"Duplicate test",IF(COUNTIF('Taxonomy'!$C$9:$C$108,D1811)&lt;&gt;1,"Assessment key",IF(OR(COUNTIF('Taxonomy Rules'!$C$42:$C$68,E1811)&lt;&gt;1,F1811&lt;&gt;IFERROR(INDEX('Taxonomy Rules'!$D$42:$D$68,MATCH(E1811,'Taxonomy Rules'!$C$42:$C$68,0)),""),NOT(OR(IFERROR(INDEX('Taxonomy Rules'!$G$42:$G$68,MATCH(E1811,'Taxonomy Rules'!$C$42:$C$68,0)),"")="All supported routes",IFERROR(INDEX('Taxonomy Rules'!$G$42:$G$68,MATCH(E1811,'Taxonomy Rules'!$C$42:$C$68,0)),"")=U1811,AND(IFERROR(INDEX('Taxonomy Rules'!$G$42:$G$68,MATCH(E1811,'Taxonomy Rules'!$C$42:$C$68,0)),"")="Building routes",OR(U1811="Building renovation",U1811="New building",U1811="Building equipment"))))),"Unexpected test","Valid"))))</x:f>
      </x:c>
      <x:c r="S1811" s="9" t="str">
        <x:f>IF(C1811="","",IFERROR(INDEX('Taxonomy Rules'!$E$42:$E$68,MATCH(E1811,'Taxonomy Rules'!$C$42:$C$68,0)),""))</x:f>
      </x:c>
      <x:c r="T1811" s="9" t="str">
        <x:f>IF(C1811="","",IFERROR(INDEX('Taxonomy Rules'!$F$42:$F$68,MATCH(E1811,'Taxonomy Rules'!$C$42:$C$68,0)),""))</x:f>
      </x:c>
      <x:c r="U1811" s="9" t="str">
        <x:f>IF(C1811="","",IFERROR(INDEX('Taxonomy'!$G$9:$G$108,MATCH(D1811,'Taxonomy'!$C$9:$C$108,0)),""))</x:f>
      </x:c>
    </x:row>
    <x:row r="1812" ht="44" customHeight="1">
      <x:c r="A1812" s="1"/>
      <x:c r="B1812" s="1"/>
      <x:c r="C1812" s="8"/>
      <x:c r="D1812" s="8"/>
      <x:c r="E1812" s="8"/>
      <x:c r="F1812" s="8"/>
      <x:c r="G1812" s="8"/>
      <x:c r="H1812" s="8"/>
      <x:c r="I1812" s="8"/>
      <x:c r="J1812" s="8"/>
      <x:c r="K1812" s="8"/>
      <x:c r="L1812" s="8"/>
      <x:c r="M1812" s="10"/>
      <x:c r="N1812" s="10"/>
      <x:c r="O1812" s="8"/>
      <x:c r="P1812" s="9" t="str">
        <x:f>IF(C1812="","",IF(AND(G1812="Applicable",H1812="Fail"),"Fail",IF(R1812&lt;&gt;"Valid","Pending",IF(OR(I1812="",K1812="",L1812="",K1812=L1812,NOT(ISNUMBER(M1812)),NOT(ISNUMBER(N1812)),M1812&gt;Settings!$F$8,N1812&lt;Settings!$F$8,N1812&lt;M1812),"Pending",IF(AND(G1812="Applicable",H1812="Pass"),"Pass",IF(AND(G1812="N/A",H1812="N/A",J1812&lt;&gt;"",OR(E1812="CEM-FUELS",E1812="CEM-CCS",AND(E1812="CEM-PLAN",IFERROR(INDEX('Taxonomy'!$M$9:$M$108,MATCH(D1812,'Taxonomy'!$C$9:$C$108,0)),"")&lt;&gt;"Amber"),E1812="BLD-TIMBER",AND(U1812="Building equipment",OR(E1812="BLD-WATER",E1812="BLD-WASTE",E1812="BLD-LAND")),AND(U1812="Building renovation",E1812="BLD-LAND"))),"N/A","Pending"))))))</x:f>
      </x:c>
      <x:c r="Q1812" s="3" t="str">
        <x:f>IF(C1812="","",IF(AND(R1812="Valid",OR(P1812="Pass",P1812="N/A")),"Complete","Unresolved"))</x:f>
      </x:c>
      <x:c r="R1812" s="9" t="str">
        <x:f>IF(C1812="","",IF(OR(COUNTIF($C$9:$C$2008,C1812)&lt;&gt;1,COUNTIFS($D$9:$D$2008,D1812,$E$9:$E$2008,E1812)&lt;&gt;1),"Duplicate test",IF(COUNTIF('Taxonomy'!$C$9:$C$108,D1812)&lt;&gt;1,"Assessment key",IF(OR(COUNTIF('Taxonomy Rules'!$C$42:$C$68,E1812)&lt;&gt;1,F1812&lt;&gt;IFERROR(INDEX('Taxonomy Rules'!$D$42:$D$68,MATCH(E1812,'Taxonomy Rules'!$C$42:$C$68,0)),""),NOT(OR(IFERROR(INDEX('Taxonomy Rules'!$G$42:$G$68,MATCH(E1812,'Taxonomy Rules'!$C$42:$C$68,0)),"")="All supported routes",IFERROR(INDEX('Taxonomy Rules'!$G$42:$G$68,MATCH(E1812,'Taxonomy Rules'!$C$42:$C$68,0)),"")=U1812,AND(IFERROR(INDEX('Taxonomy Rules'!$G$42:$G$68,MATCH(E1812,'Taxonomy Rules'!$C$42:$C$68,0)),"")="Building routes",OR(U1812="Building renovation",U1812="New building",U1812="Building equipment"))))),"Unexpected test","Valid"))))</x:f>
      </x:c>
      <x:c r="S1812" s="9" t="str">
        <x:f>IF(C1812="","",IFERROR(INDEX('Taxonomy Rules'!$E$42:$E$68,MATCH(E1812,'Taxonomy Rules'!$C$42:$C$68,0)),""))</x:f>
      </x:c>
      <x:c r="T1812" s="9" t="str">
        <x:f>IF(C1812="","",IFERROR(INDEX('Taxonomy Rules'!$F$42:$F$68,MATCH(E1812,'Taxonomy Rules'!$C$42:$C$68,0)),""))</x:f>
      </x:c>
      <x:c r="U1812" s="9" t="str">
        <x:f>IF(C1812="","",IFERROR(INDEX('Taxonomy'!$G$9:$G$108,MATCH(D1812,'Taxonomy'!$C$9:$C$108,0)),""))</x:f>
      </x:c>
    </x:row>
    <x:row r="1813" ht="44" customHeight="1">
      <x:c r="A1813" s="1"/>
      <x:c r="B1813" s="1"/>
      <x:c r="C1813" s="8"/>
      <x:c r="D1813" s="8"/>
      <x:c r="E1813" s="8"/>
      <x:c r="F1813" s="8"/>
      <x:c r="G1813" s="8"/>
      <x:c r="H1813" s="8"/>
      <x:c r="I1813" s="8"/>
      <x:c r="J1813" s="8"/>
      <x:c r="K1813" s="8"/>
      <x:c r="L1813" s="8"/>
      <x:c r="M1813" s="10"/>
      <x:c r="N1813" s="10"/>
      <x:c r="O1813" s="8"/>
      <x:c r="P1813" s="9" t="str">
        <x:f>IF(C1813="","",IF(AND(G1813="Applicable",H1813="Fail"),"Fail",IF(R1813&lt;&gt;"Valid","Pending",IF(OR(I1813="",K1813="",L1813="",K1813=L1813,NOT(ISNUMBER(M1813)),NOT(ISNUMBER(N1813)),M1813&gt;Settings!$F$8,N1813&lt;Settings!$F$8,N1813&lt;M1813),"Pending",IF(AND(G1813="Applicable",H1813="Pass"),"Pass",IF(AND(G1813="N/A",H1813="N/A",J1813&lt;&gt;"",OR(E1813="CEM-FUELS",E1813="CEM-CCS",AND(E1813="CEM-PLAN",IFERROR(INDEX('Taxonomy'!$M$9:$M$108,MATCH(D1813,'Taxonomy'!$C$9:$C$108,0)),"")&lt;&gt;"Amber"),E1813="BLD-TIMBER",AND(U1813="Building equipment",OR(E1813="BLD-WATER",E1813="BLD-WASTE",E1813="BLD-LAND")),AND(U1813="Building renovation",E1813="BLD-LAND"))),"N/A","Pending"))))))</x:f>
      </x:c>
      <x:c r="Q1813" s="3" t="str">
        <x:f>IF(C1813="","",IF(AND(R1813="Valid",OR(P1813="Pass",P1813="N/A")),"Complete","Unresolved"))</x:f>
      </x:c>
      <x:c r="R1813" s="9" t="str">
        <x:f>IF(C1813="","",IF(OR(COUNTIF($C$9:$C$2008,C1813)&lt;&gt;1,COUNTIFS($D$9:$D$2008,D1813,$E$9:$E$2008,E1813)&lt;&gt;1),"Duplicate test",IF(COUNTIF('Taxonomy'!$C$9:$C$108,D1813)&lt;&gt;1,"Assessment key",IF(OR(COUNTIF('Taxonomy Rules'!$C$42:$C$68,E1813)&lt;&gt;1,F1813&lt;&gt;IFERROR(INDEX('Taxonomy Rules'!$D$42:$D$68,MATCH(E1813,'Taxonomy Rules'!$C$42:$C$68,0)),""),NOT(OR(IFERROR(INDEX('Taxonomy Rules'!$G$42:$G$68,MATCH(E1813,'Taxonomy Rules'!$C$42:$C$68,0)),"")="All supported routes",IFERROR(INDEX('Taxonomy Rules'!$G$42:$G$68,MATCH(E1813,'Taxonomy Rules'!$C$42:$C$68,0)),"")=U1813,AND(IFERROR(INDEX('Taxonomy Rules'!$G$42:$G$68,MATCH(E1813,'Taxonomy Rules'!$C$42:$C$68,0)),"")="Building routes",OR(U1813="Building renovation",U1813="New building",U1813="Building equipment"))))),"Unexpected test","Valid"))))</x:f>
      </x:c>
      <x:c r="S1813" s="9" t="str">
        <x:f>IF(C1813="","",IFERROR(INDEX('Taxonomy Rules'!$E$42:$E$68,MATCH(E1813,'Taxonomy Rules'!$C$42:$C$68,0)),""))</x:f>
      </x:c>
      <x:c r="T1813" s="9" t="str">
        <x:f>IF(C1813="","",IFERROR(INDEX('Taxonomy Rules'!$F$42:$F$68,MATCH(E1813,'Taxonomy Rules'!$C$42:$C$68,0)),""))</x:f>
      </x:c>
      <x:c r="U1813" s="9" t="str">
        <x:f>IF(C1813="","",IFERROR(INDEX('Taxonomy'!$G$9:$G$108,MATCH(D1813,'Taxonomy'!$C$9:$C$108,0)),""))</x:f>
      </x:c>
    </x:row>
    <x:row r="1814" ht="44" customHeight="1">
      <x:c r="A1814" s="1"/>
      <x:c r="B1814" s="1"/>
      <x:c r="C1814" s="8"/>
      <x:c r="D1814" s="8"/>
      <x:c r="E1814" s="8"/>
      <x:c r="F1814" s="8"/>
      <x:c r="G1814" s="8"/>
      <x:c r="H1814" s="8"/>
      <x:c r="I1814" s="8"/>
      <x:c r="J1814" s="8"/>
      <x:c r="K1814" s="8"/>
      <x:c r="L1814" s="8"/>
      <x:c r="M1814" s="10"/>
      <x:c r="N1814" s="10"/>
      <x:c r="O1814" s="8"/>
      <x:c r="P1814" s="9" t="str">
        <x:f>IF(C1814="","",IF(AND(G1814="Applicable",H1814="Fail"),"Fail",IF(R1814&lt;&gt;"Valid","Pending",IF(OR(I1814="",K1814="",L1814="",K1814=L1814,NOT(ISNUMBER(M1814)),NOT(ISNUMBER(N1814)),M1814&gt;Settings!$F$8,N1814&lt;Settings!$F$8,N1814&lt;M1814),"Pending",IF(AND(G1814="Applicable",H1814="Pass"),"Pass",IF(AND(G1814="N/A",H1814="N/A",J1814&lt;&gt;"",OR(E1814="CEM-FUELS",E1814="CEM-CCS",AND(E1814="CEM-PLAN",IFERROR(INDEX('Taxonomy'!$M$9:$M$108,MATCH(D1814,'Taxonomy'!$C$9:$C$108,0)),"")&lt;&gt;"Amber"),E1814="BLD-TIMBER",AND(U1814="Building equipment",OR(E1814="BLD-WATER",E1814="BLD-WASTE",E1814="BLD-LAND")),AND(U1814="Building renovation",E1814="BLD-LAND"))),"N/A","Pending"))))))</x:f>
      </x:c>
      <x:c r="Q1814" s="3" t="str">
        <x:f>IF(C1814="","",IF(AND(R1814="Valid",OR(P1814="Pass",P1814="N/A")),"Complete","Unresolved"))</x:f>
      </x:c>
      <x:c r="R1814" s="9" t="str">
        <x:f>IF(C1814="","",IF(OR(COUNTIF($C$9:$C$2008,C1814)&lt;&gt;1,COUNTIFS($D$9:$D$2008,D1814,$E$9:$E$2008,E1814)&lt;&gt;1),"Duplicate test",IF(COUNTIF('Taxonomy'!$C$9:$C$108,D1814)&lt;&gt;1,"Assessment key",IF(OR(COUNTIF('Taxonomy Rules'!$C$42:$C$68,E1814)&lt;&gt;1,F1814&lt;&gt;IFERROR(INDEX('Taxonomy Rules'!$D$42:$D$68,MATCH(E1814,'Taxonomy Rules'!$C$42:$C$68,0)),""),NOT(OR(IFERROR(INDEX('Taxonomy Rules'!$G$42:$G$68,MATCH(E1814,'Taxonomy Rules'!$C$42:$C$68,0)),"")="All supported routes",IFERROR(INDEX('Taxonomy Rules'!$G$42:$G$68,MATCH(E1814,'Taxonomy Rules'!$C$42:$C$68,0)),"")=U1814,AND(IFERROR(INDEX('Taxonomy Rules'!$G$42:$G$68,MATCH(E1814,'Taxonomy Rules'!$C$42:$C$68,0)),"")="Building routes",OR(U1814="Building renovation",U1814="New building",U1814="Building equipment"))))),"Unexpected test","Valid"))))</x:f>
      </x:c>
      <x:c r="S1814" s="9" t="str">
        <x:f>IF(C1814="","",IFERROR(INDEX('Taxonomy Rules'!$E$42:$E$68,MATCH(E1814,'Taxonomy Rules'!$C$42:$C$68,0)),""))</x:f>
      </x:c>
      <x:c r="T1814" s="9" t="str">
        <x:f>IF(C1814="","",IFERROR(INDEX('Taxonomy Rules'!$F$42:$F$68,MATCH(E1814,'Taxonomy Rules'!$C$42:$C$68,0)),""))</x:f>
      </x:c>
      <x:c r="U1814" s="9" t="str">
        <x:f>IF(C1814="","",IFERROR(INDEX('Taxonomy'!$G$9:$G$108,MATCH(D1814,'Taxonomy'!$C$9:$C$108,0)),""))</x:f>
      </x:c>
    </x:row>
    <x:row r="1815" ht="44" customHeight="1">
      <x:c r="A1815" s="1"/>
      <x:c r="B1815" s="1"/>
      <x:c r="C1815" s="8"/>
      <x:c r="D1815" s="8"/>
      <x:c r="E1815" s="8"/>
      <x:c r="F1815" s="8"/>
      <x:c r="G1815" s="8"/>
      <x:c r="H1815" s="8"/>
      <x:c r="I1815" s="8"/>
      <x:c r="J1815" s="8"/>
      <x:c r="K1815" s="8"/>
      <x:c r="L1815" s="8"/>
      <x:c r="M1815" s="10"/>
      <x:c r="N1815" s="10"/>
      <x:c r="O1815" s="8"/>
      <x:c r="P1815" s="9" t="str">
        <x:f>IF(C1815="","",IF(AND(G1815="Applicable",H1815="Fail"),"Fail",IF(R1815&lt;&gt;"Valid","Pending",IF(OR(I1815="",K1815="",L1815="",K1815=L1815,NOT(ISNUMBER(M1815)),NOT(ISNUMBER(N1815)),M1815&gt;Settings!$F$8,N1815&lt;Settings!$F$8,N1815&lt;M1815),"Pending",IF(AND(G1815="Applicable",H1815="Pass"),"Pass",IF(AND(G1815="N/A",H1815="N/A",J1815&lt;&gt;"",OR(E1815="CEM-FUELS",E1815="CEM-CCS",AND(E1815="CEM-PLAN",IFERROR(INDEX('Taxonomy'!$M$9:$M$108,MATCH(D1815,'Taxonomy'!$C$9:$C$108,0)),"")&lt;&gt;"Amber"),E1815="BLD-TIMBER",AND(U1815="Building equipment",OR(E1815="BLD-WATER",E1815="BLD-WASTE",E1815="BLD-LAND")),AND(U1815="Building renovation",E1815="BLD-LAND"))),"N/A","Pending"))))))</x:f>
      </x:c>
      <x:c r="Q1815" s="3" t="str">
        <x:f>IF(C1815="","",IF(AND(R1815="Valid",OR(P1815="Pass",P1815="N/A")),"Complete","Unresolved"))</x:f>
      </x:c>
      <x:c r="R1815" s="9" t="str">
        <x:f>IF(C1815="","",IF(OR(COUNTIF($C$9:$C$2008,C1815)&lt;&gt;1,COUNTIFS($D$9:$D$2008,D1815,$E$9:$E$2008,E1815)&lt;&gt;1),"Duplicate test",IF(COUNTIF('Taxonomy'!$C$9:$C$108,D1815)&lt;&gt;1,"Assessment key",IF(OR(COUNTIF('Taxonomy Rules'!$C$42:$C$68,E1815)&lt;&gt;1,F1815&lt;&gt;IFERROR(INDEX('Taxonomy Rules'!$D$42:$D$68,MATCH(E1815,'Taxonomy Rules'!$C$42:$C$68,0)),""),NOT(OR(IFERROR(INDEX('Taxonomy Rules'!$G$42:$G$68,MATCH(E1815,'Taxonomy Rules'!$C$42:$C$68,0)),"")="All supported routes",IFERROR(INDEX('Taxonomy Rules'!$G$42:$G$68,MATCH(E1815,'Taxonomy Rules'!$C$42:$C$68,0)),"")=U1815,AND(IFERROR(INDEX('Taxonomy Rules'!$G$42:$G$68,MATCH(E1815,'Taxonomy Rules'!$C$42:$C$68,0)),"")="Building routes",OR(U1815="Building renovation",U1815="New building",U1815="Building equipment"))))),"Unexpected test","Valid"))))</x:f>
      </x:c>
      <x:c r="S1815" s="9" t="str">
        <x:f>IF(C1815="","",IFERROR(INDEX('Taxonomy Rules'!$E$42:$E$68,MATCH(E1815,'Taxonomy Rules'!$C$42:$C$68,0)),""))</x:f>
      </x:c>
      <x:c r="T1815" s="9" t="str">
        <x:f>IF(C1815="","",IFERROR(INDEX('Taxonomy Rules'!$F$42:$F$68,MATCH(E1815,'Taxonomy Rules'!$C$42:$C$68,0)),""))</x:f>
      </x:c>
      <x:c r="U1815" s="9" t="str">
        <x:f>IF(C1815="","",IFERROR(INDEX('Taxonomy'!$G$9:$G$108,MATCH(D1815,'Taxonomy'!$C$9:$C$108,0)),""))</x:f>
      </x:c>
    </x:row>
    <x:row r="1816" ht="44" customHeight="1">
      <x:c r="A1816" s="1"/>
      <x:c r="B1816" s="1"/>
      <x:c r="C1816" s="8"/>
      <x:c r="D1816" s="8"/>
      <x:c r="E1816" s="8"/>
      <x:c r="F1816" s="8"/>
      <x:c r="G1816" s="8"/>
      <x:c r="H1816" s="8"/>
      <x:c r="I1816" s="8"/>
      <x:c r="J1816" s="8"/>
      <x:c r="K1816" s="8"/>
      <x:c r="L1816" s="8"/>
      <x:c r="M1816" s="10"/>
      <x:c r="N1816" s="10"/>
      <x:c r="O1816" s="8"/>
      <x:c r="P1816" s="9" t="str">
        <x:f>IF(C1816="","",IF(AND(G1816="Applicable",H1816="Fail"),"Fail",IF(R1816&lt;&gt;"Valid","Pending",IF(OR(I1816="",K1816="",L1816="",K1816=L1816,NOT(ISNUMBER(M1816)),NOT(ISNUMBER(N1816)),M1816&gt;Settings!$F$8,N1816&lt;Settings!$F$8,N1816&lt;M1816),"Pending",IF(AND(G1816="Applicable",H1816="Pass"),"Pass",IF(AND(G1816="N/A",H1816="N/A",J1816&lt;&gt;"",OR(E1816="CEM-FUELS",E1816="CEM-CCS",AND(E1816="CEM-PLAN",IFERROR(INDEX('Taxonomy'!$M$9:$M$108,MATCH(D1816,'Taxonomy'!$C$9:$C$108,0)),"")&lt;&gt;"Amber"),E1816="BLD-TIMBER",AND(U1816="Building equipment",OR(E1816="BLD-WATER",E1816="BLD-WASTE",E1816="BLD-LAND")),AND(U1816="Building renovation",E1816="BLD-LAND"))),"N/A","Pending"))))))</x:f>
      </x:c>
      <x:c r="Q1816" s="3" t="str">
        <x:f>IF(C1816="","",IF(AND(R1816="Valid",OR(P1816="Pass",P1816="N/A")),"Complete","Unresolved"))</x:f>
      </x:c>
      <x:c r="R1816" s="9" t="str">
        <x:f>IF(C1816="","",IF(OR(COUNTIF($C$9:$C$2008,C1816)&lt;&gt;1,COUNTIFS($D$9:$D$2008,D1816,$E$9:$E$2008,E1816)&lt;&gt;1),"Duplicate test",IF(COUNTIF('Taxonomy'!$C$9:$C$108,D1816)&lt;&gt;1,"Assessment key",IF(OR(COUNTIF('Taxonomy Rules'!$C$42:$C$68,E1816)&lt;&gt;1,F1816&lt;&gt;IFERROR(INDEX('Taxonomy Rules'!$D$42:$D$68,MATCH(E1816,'Taxonomy Rules'!$C$42:$C$68,0)),""),NOT(OR(IFERROR(INDEX('Taxonomy Rules'!$G$42:$G$68,MATCH(E1816,'Taxonomy Rules'!$C$42:$C$68,0)),"")="All supported routes",IFERROR(INDEX('Taxonomy Rules'!$G$42:$G$68,MATCH(E1816,'Taxonomy Rules'!$C$42:$C$68,0)),"")=U1816,AND(IFERROR(INDEX('Taxonomy Rules'!$G$42:$G$68,MATCH(E1816,'Taxonomy Rules'!$C$42:$C$68,0)),"")="Building routes",OR(U1816="Building renovation",U1816="New building",U1816="Building equipment"))))),"Unexpected test","Valid"))))</x:f>
      </x:c>
      <x:c r="S1816" s="9" t="str">
        <x:f>IF(C1816="","",IFERROR(INDEX('Taxonomy Rules'!$E$42:$E$68,MATCH(E1816,'Taxonomy Rules'!$C$42:$C$68,0)),""))</x:f>
      </x:c>
      <x:c r="T1816" s="9" t="str">
        <x:f>IF(C1816="","",IFERROR(INDEX('Taxonomy Rules'!$F$42:$F$68,MATCH(E1816,'Taxonomy Rules'!$C$42:$C$68,0)),""))</x:f>
      </x:c>
      <x:c r="U1816" s="9" t="str">
        <x:f>IF(C1816="","",IFERROR(INDEX('Taxonomy'!$G$9:$G$108,MATCH(D1816,'Taxonomy'!$C$9:$C$108,0)),""))</x:f>
      </x:c>
    </x:row>
    <x:row r="1817" ht="44" customHeight="1">
      <x:c r="A1817" s="1"/>
      <x:c r="B1817" s="1"/>
      <x:c r="C1817" s="8"/>
      <x:c r="D1817" s="8"/>
      <x:c r="E1817" s="8"/>
      <x:c r="F1817" s="8"/>
      <x:c r="G1817" s="8"/>
      <x:c r="H1817" s="8"/>
      <x:c r="I1817" s="8"/>
      <x:c r="J1817" s="8"/>
      <x:c r="K1817" s="8"/>
      <x:c r="L1817" s="8"/>
      <x:c r="M1817" s="10"/>
      <x:c r="N1817" s="10"/>
      <x:c r="O1817" s="8"/>
      <x:c r="P1817" s="9" t="str">
        <x:f>IF(C1817="","",IF(AND(G1817="Applicable",H1817="Fail"),"Fail",IF(R1817&lt;&gt;"Valid","Pending",IF(OR(I1817="",K1817="",L1817="",K1817=L1817,NOT(ISNUMBER(M1817)),NOT(ISNUMBER(N1817)),M1817&gt;Settings!$F$8,N1817&lt;Settings!$F$8,N1817&lt;M1817),"Pending",IF(AND(G1817="Applicable",H1817="Pass"),"Pass",IF(AND(G1817="N/A",H1817="N/A",J1817&lt;&gt;"",OR(E1817="CEM-FUELS",E1817="CEM-CCS",AND(E1817="CEM-PLAN",IFERROR(INDEX('Taxonomy'!$M$9:$M$108,MATCH(D1817,'Taxonomy'!$C$9:$C$108,0)),"")&lt;&gt;"Amber"),E1817="BLD-TIMBER",AND(U1817="Building equipment",OR(E1817="BLD-WATER",E1817="BLD-WASTE",E1817="BLD-LAND")),AND(U1817="Building renovation",E1817="BLD-LAND"))),"N/A","Pending"))))))</x:f>
      </x:c>
      <x:c r="Q1817" s="3" t="str">
        <x:f>IF(C1817="","",IF(AND(R1817="Valid",OR(P1817="Pass",P1817="N/A")),"Complete","Unresolved"))</x:f>
      </x:c>
      <x:c r="R1817" s="9" t="str">
        <x:f>IF(C1817="","",IF(OR(COUNTIF($C$9:$C$2008,C1817)&lt;&gt;1,COUNTIFS($D$9:$D$2008,D1817,$E$9:$E$2008,E1817)&lt;&gt;1),"Duplicate test",IF(COUNTIF('Taxonomy'!$C$9:$C$108,D1817)&lt;&gt;1,"Assessment key",IF(OR(COUNTIF('Taxonomy Rules'!$C$42:$C$68,E1817)&lt;&gt;1,F1817&lt;&gt;IFERROR(INDEX('Taxonomy Rules'!$D$42:$D$68,MATCH(E1817,'Taxonomy Rules'!$C$42:$C$68,0)),""),NOT(OR(IFERROR(INDEX('Taxonomy Rules'!$G$42:$G$68,MATCH(E1817,'Taxonomy Rules'!$C$42:$C$68,0)),"")="All supported routes",IFERROR(INDEX('Taxonomy Rules'!$G$42:$G$68,MATCH(E1817,'Taxonomy Rules'!$C$42:$C$68,0)),"")=U1817,AND(IFERROR(INDEX('Taxonomy Rules'!$G$42:$G$68,MATCH(E1817,'Taxonomy Rules'!$C$42:$C$68,0)),"")="Building routes",OR(U1817="Building renovation",U1817="New building",U1817="Building equipment"))))),"Unexpected test","Valid"))))</x:f>
      </x:c>
      <x:c r="S1817" s="9" t="str">
        <x:f>IF(C1817="","",IFERROR(INDEX('Taxonomy Rules'!$E$42:$E$68,MATCH(E1817,'Taxonomy Rules'!$C$42:$C$68,0)),""))</x:f>
      </x:c>
      <x:c r="T1817" s="9" t="str">
        <x:f>IF(C1817="","",IFERROR(INDEX('Taxonomy Rules'!$F$42:$F$68,MATCH(E1817,'Taxonomy Rules'!$C$42:$C$68,0)),""))</x:f>
      </x:c>
      <x:c r="U1817" s="9" t="str">
        <x:f>IF(C1817="","",IFERROR(INDEX('Taxonomy'!$G$9:$G$108,MATCH(D1817,'Taxonomy'!$C$9:$C$108,0)),""))</x:f>
      </x:c>
    </x:row>
    <x:row r="1818" ht="44" customHeight="1">
      <x:c r="A1818" s="1"/>
      <x:c r="B1818" s="1"/>
      <x:c r="C1818" s="8"/>
      <x:c r="D1818" s="8"/>
      <x:c r="E1818" s="8"/>
      <x:c r="F1818" s="8"/>
      <x:c r="G1818" s="8"/>
      <x:c r="H1818" s="8"/>
      <x:c r="I1818" s="8"/>
      <x:c r="J1818" s="8"/>
      <x:c r="K1818" s="8"/>
      <x:c r="L1818" s="8"/>
      <x:c r="M1818" s="10"/>
      <x:c r="N1818" s="10"/>
      <x:c r="O1818" s="8"/>
      <x:c r="P1818" s="9" t="str">
        <x:f>IF(C1818="","",IF(AND(G1818="Applicable",H1818="Fail"),"Fail",IF(R1818&lt;&gt;"Valid","Pending",IF(OR(I1818="",K1818="",L1818="",K1818=L1818,NOT(ISNUMBER(M1818)),NOT(ISNUMBER(N1818)),M1818&gt;Settings!$F$8,N1818&lt;Settings!$F$8,N1818&lt;M1818),"Pending",IF(AND(G1818="Applicable",H1818="Pass"),"Pass",IF(AND(G1818="N/A",H1818="N/A",J1818&lt;&gt;"",OR(E1818="CEM-FUELS",E1818="CEM-CCS",AND(E1818="CEM-PLAN",IFERROR(INDEX('Taxonomy'!$M$9:$M$108,MATCH(D1818,'Taxonomy'!$C$9:$C$108,0)),"")&lt;&gt;"Amber"),E1818="BLD-TIMBER",AND(U1818="Building equipment",OR(E1818="BLD-WATER",E1818="BLD-WASTE",E1818="BLD-LAND")),AND(U1818="Building renovation",E1818="BLD-LAND"))),"N/A","Pending"))))))</x:f>
      </x:c>
      <x:c r="Q1818" s="3" t="str">
        <x:f>IF(C1818="","",IF(AND(R1818="Valid",OR(P1818="Pass",P1818="N/A")),"Complete","Unresolved"))</x:f>
      </x:c>
      <x:c r="R1818" s="9" t="str">
        <x:f>IF(C1818="","",IF(OR(COUNTIF($C$9:$C$2008,C1818)&lt;&gt;1,COUNTIFS($D$9:$D$2008,D1818,$E$9:$E$2008,E1818)&lt;&gt;1),"Duplicate test",IF(COUNTIF('Taxonomy'!$C$9:$C$108,D1818)&lt;&gt;1,"Assessment key",IF(OR(COUNTIF('Taxonomy Rules'!$C$42:$C$68,E1818)&lt;&gt;1,F1818&lt;&gt;IFERROR(INDEX('Taxonomy Rules'!$D$42:$D$68,MATCH(E1818,'Taxonomy Rules'!$C$42:$C$68,0)),""),NOT(OR(IFERROR(INDEX('Taxonomy Rules'!$G$42:$G$68,MATCH(E1818,'Taxonomy Rules'!$C$42:$C$68,0)),"")="All supported routes",IFERROR(INDEX('Taxonomy Rules'!$G$42:$G$68,MATCH(E1818,'Taxonomy Rules'!$C$42:$C$68,0)),"")=U1818,AND(IFERROR(INDEX('Taxonomy Rules'!$G$42:$G$68,MATCH(E1818,'Taxonomy Rules'!$C$42:$C$68,0)),"")="Building routes",OR(U1818="Building renovation",U1818="New building",U1818="Building equipment"))))),"Unexpected test","Valid"))))</x:f>
      </x:c>
      <x:c r="S1818" s="9" t="str">
        <x:f>IF(C1818="","",IFERROR(INDEX('Taxonomy Rules'!$E$42:$E$68,MATCH(E1818,'Taxonomy Rules'!$C$42:$C$68,0)),""))</x:f>
      </x:c>
      <x:c r="T1818" s="9" t="str">
        <x:f>IF(C1818="","",IFERROR(INDEX('Taxonomy Rules'!$F$42:$F$68,MATCH(E1818,'Taxonomy Rules'!$C$42:$C$68,0)),""))</x:f>
      </x:c>
      <x:c r="U1818" s="9" t="str">
        <x:f>IF(C1818="","",IFERROR(INDEX('Taxonomy'!$G$9:$G$108,MATCH(D1818,'Taxonomy'!$C$9:$C$108,0)),""))</x:f>
      </x:c>
    </x:row>
    <x:row r="1819" ht="44" customHeight="1">
      <x:c r="A1819" s="1"/>
      <x:c r="B1819" s="1"/>
      <x:c r="C1819" s="8"/>
      <x:c r="D1819" s="8"/>
      <x:c r="E1819" s="8"/>
      <x:c r="F1819" s="8"/>
      <x:c r="G1819" s="8"/>
      <x:c r="H1819" s="8"/>
      <x:c r="I1819" s="8"/>
      <x:c r="J1819" s="8"/>
      <x:c r="K1819" s="8"/>
      <x:c r="L1819" s="8"/>
      <x:c r="M1819" s="10"/>
      <x:c r="N1819" s="10"/>
      <x:c r="O1819" s="8"/>
      <x:c r="P1819" s="9" t="str">
        <x:f>IF(C1819="","",IF(AND(G1819="Applicable",H1819="Fail"),"Fail",IF(R1819&lt;&gt;"Valid","Pending",IF(OR(I1819="",K1819="",L1819="",K1819=L1819,NOT(ISNUMBER(M1819)),NOT(ISNUMBER(N1819)),M1819&gt;Settings!$F$8,N1819&lt;Settings!$F$8,N1819&lt;M1819),"Pending",IF(AND(G1819="Applicable",H1819="Pass"),"Pass",IF(AND(G1819="N/A",H1819="N/A",J1819&lt;&gt;"",OR(E1819="CEM-FUELS",E1819="CEM-CCS",AND(E1819="CEM-PLAN",IFERROR(INDEX('Taxonomy'!$M$9:$M$108,MATCH(D1819,'Taxonomy'!$C$9:$C$108,0)),"")&lt;&gt;"Amber"),E1819="BLD-TIMBER",AND(U1819="Building equipment",OR(E1819="BLD-WATER",E1819="BLD-WASTE",E1819="BLD-LAND")),AND(U1819="Building renovation",E1819="BLD-LAND"))),"N/A","Pending"))))))</x:f>
      </x:c>
      <x:c r="Q1819" s="3" t="str">
        <x:f>IF(C1819="","",IF(AND(R1819="Valid",OR(P1819="Pass",P1819="N/A")),"Complete","Unresolved"))</x:f>
      </x:c>
      <x:c r="R1819" s="9" t="str">
        <x:f>IF(C1819="","",IF(OR(COUNTIF($C$9:$C$2008,C1819)&lt;&gt;1,COUNTIFS($D$9:$D$2008,D1819,$E$9:$E$2008,E1819)&lt;&gt;1),"Duplicate test",IF(COUNTIF('Taxonomy'!$C$9:$C$108,D1819)&lt;&gt;1,"Assessment key",IF(OR(COUNTIF('Taxonomy Rules'!$C$42:$C$68,E1819)&lt;&gt;1,F1819&lt;&gt;IFERROR(INDEX('Taxonomy Rules'!$D$42:$D$68,MATCH(E1819,'Taxonomy Rules'!$C$42:$C$68,0)),""),NOT(OR(IFERROR(INDEX('Taxonomy Rules'!$G$42:$G$68,MATCH(E1819,'Taxonomy Rules'!$C$42:$C$68,0)),"")="All supported routes",IFERROR(INDEX('Taxonomy Rules'!$G$42:$G$68,MATCH(E1819,'Taxonomy Rules'!$C$42:$C$68,0)),"")=U1819,AND(IFERROR(INDEX('Taxonomy Rules'!$G$42:$G$68,MATCH(E1819,'Taxonomy Rules'!$C$42:$C$68,0)),"")="Building routes",OR(U1819="Building renovation",U1819="New building",U1819="Building equipment"))))),"Unexpected test","Valid"))))</x:f>
      </x:c>
      <x:c r="S1819" s="9" t="str">
        <x:f>IF(C1819="","",IFERROR(INDEX('Taxonomy Rules'!$E$42:$E$68,MATCH(E1819,'Taxonomy Rules'!$C$42:$C$68,0)),""))</x:f>
      </x:c>
      <x:c r="T1819" s="9" t="str">
        <x:f>IF(C1819="","",IFERROR(INDEX('Taxonomy Rules'!$F$42:$F$68,MATCH(E1819,'Taxonomy Rules'!$C$42:$C$68,0)),""))</x:f>
      </x:c>
      <x:c r="U1819" s="9" t="str">
        <x:f>IF(C1819="","",IFERROR(INDEX('Taxonomy'!$G$9:$G$108,MATCH(D1819,'Taxonomy'!$C$9:$C$108,0)),""))</x:f>
      </x:c>
    </x:row>
    <x:row r="1820" ht="44" customHeight="1">
      <x:c r="A1820" s="1"/>
      <x:c r="B1820" s="1"/>
      <x:c r="C1820" s="8"/>
      <x:c r="D1820" s="8"/>
      <x:c r="E1820" s="8"/>
      <x:c r="F1820" s="8"/>
      <x:c r="G1820" s="8"/>
      <x:c r="H1820" s="8"/>
      <x:c r="I1820" s="8"/>
      <x:c r="J1820" s="8"/>
      <x:c r="K1820" s="8"/>
      <x:c r="L1820" s="8"/>
      <x:c r="M1820" s="10"/>
      <x:c r="N1820" s="10"/>
      <x:c r="O1820" s="8"/>
      <x:c r="P1820" s="9" t="str">
        <x:f>IF(C1820="","",IF(AND(G1820="Applicable",H1820="Fail"),"Fail",IF(R1820&lt;&gt;"Valid","Pending",IF(OR(I1820="",K1820="",L1820="",K1820=L1820,NOT(ISNUMBER(M1820)),NOT(ISNUMBER(N1820)),M1820&gt;Settings!$F$8,N1820&lt;Settings!$F$8,N1820&lt;M1820),"Pending",IF(AND(G1820="Applicable",H1820="Pass"),"Pass",IF(AND(G1820="N/A",H1820="N/A",J1820&lt;&gt;"",OR(E1820="CEM-FUELS",E1820="CEM-CCS",AND(E1820="CEM-PLAN",IFERROR(INDEX('Taxonomy'!$M$9:$M$108,MATCH(D1820,'Taxonomy'!$C$9:$C$108,0)),"")&lt;&gt;"Amber"),E1820="BLD-TIMBER",AND(U1820="Building equipment",OR(E1820="BLD-WATER",E1820="BLD-WASTE",E1820="BLD-LAND")),AND(U1820="Building renovation",E1820="BLD-LAND"))),"N/A","Pending"))))))</x:f>
      </x:c>
      <x:c r="Q1820" s="3" t="str">
        <x:f>IF(C1820="","",IF(AND(R1820="Valid",OR(P1820="Pass",P1820="N/A")),"Complete","Unresolved"))</x:f>
      </x:c>
      <x:c r="R1820" s="9" t="str">
        <x:f>IF(C1820="","",IF(OR(COUNTIF($C$9:$C$2008,C1820)&lt;&gt;1,COUNTIFS($D$9:$D$2008,D1820,$E$9:$E$2008,E1820)&lt;&gt;1),"Duplicate test",IF(COUNTIF('Taxonomy'!$C$9:$C$108,D1820)&lt;&gt;1,"Assessment key",IF(OR(COUNTIF('Taxonomy Rules'!$C$42:$C$68,E1820)&lt;&gt;1,F1820&lt;&gt;IFERROR(INDEX('Taxonomy Rules'!$D$42:$D$68,MATCH(E1820,'Taxonomy Rules'!$C$42:$C$68,0)),""),NOT(OR(IFERROR(INDEX('Taxonomy Rules'!$G$42:$G$68,MATCH(E1820,'Taxonomy Rules'!$C$42:$C$68,0)),"")="All supported routes",IFERROR(INDEX('Taxonomy Rules'!$G$42:$G$68,MATCH(E1820,'Taxonomy Rules'!$C$42:$C$68,0)),"")=U1820,AND(IFERROR(INDEX('Taxonomy Rules'!$G$42:$G$68,MATCH(E1820,'Taxonomy Rules'!$C$42:$C$68,0)),"")="Building routes",OR(U1820="Building renovation",U1820="New building",U1820="Building equipment"))))),"Unexpected test","Valid"))))</x:f>
      </x:c>
      <x:c r="S1820" s="9" t="str">
        <x:f>IF(C1820="","",IFERROR(INDEX('Taxonomy Rules'!$E$42:$E$68,MATCH(E1820,'Taxonomy Rules'!$C$42:$C$68,0)),""))</x:f>
      </x:c>
      <x:c r="T1820" s="9" t="str">
        <x:f>IF(C1820="","",IFERROR(INDEX('Taxonomy Rules'!$F$42:$F$68,MATCH(E1820,'Taxonomy Rules'!$C$42:$C$68,0)),""))</x:f>
      </x:c>
      <x:c r="U1820" s="9" t="str">
        <x:f>IF(C1820="","",IFERROR(INDEX('Taxonomy'!$G$9:$G$108,MATCH(D1820,'Taxonomy'!$C$9:$C$108,0)),""))</x:f>
      </x:c>
    </x:row>
    <x:row r="1821" ht="44" customHeight="1">
      <x:c r="A1821" s="1"/>
      <x:c r="B1821" s="1"/>
      <x:c r="C1821" s="8"/>
      <x:c r="D1821" s="8"/>
      <x:c r="E1821" s="8"/>
      <x:c r="F1821" s="8"/>
      <x:c r="G1821" s="8"/>
      <x:c r="H1821" s="8"/>
      <x:c r="I1821" s="8"/>
      <x:c r="J1821" s="8"/>
      <x:c r="K1821" s="8"/>
      <x:c r="L1821" s="8"/>
      <x:c r="M1821" s="10"/>
      <x:c r="N1821" s="10"/>
      <x:c r="O1821" s="8"/>
      <x:c r="P1821" s="9" t="str">
        <x:f>IF(C1821="","",IF(AND(G1821="Applicable",H1821="Fail"),"Fail",IF(R1821&lt;&gt;"Valid","Pending",IF(OR(I1821="",K1821="",L1821="",K1821=L1821,NOT(ISNUMBER(M1821)),NOT(ISNUMBER(N1821)),M1821&gt;Settings!$F$8,N1821&lt;Settings!$F$8,N1821&lt;M1821),"Pending",IF(AND(G1821="Applicable",H1821="Pass"),"Pass",IF(AND(G1821="N/A",H1821="N/A",J1821&lt;&gt;"",OR(E1821="CEM-FUELS",E1821="CEM-CCS",AND(E1821="CEM-PLAN",IFERROR(INDEX('Taxonomy'!$M$9:$M$108,MATCH(D1821,'Taxonomy'!$C$9:$C$108,0)),"")&lt;&gt;"Amber"),E1821="BLD-TIMBER",AND(U1821="Building equipment",OR(E1821="BLD-WATER",E1821="BLD-WASTE",E1821="BLD-LAND")),AND(U1821="Building renovation",E1821="BLD-LAND"))),"N/A","Pending"))))))</x:f>
      </x:c>
      <x:c r="Q1821" s="3" t="str">
        <x:f>IF(C1821="","",IF(AND(R1821="Valid",OR(P1821="Pass",P1821="N/A")),"Complete","Unresolved"))</x:f>
      </x:c>
      <x:c r="R1821" s="9" t="str">
        <x:f>IF(C1821="","",IF(OR(COUNTIF($C$9:$C$2008,C1821)&lt;&gt;1,COUNTIFS($D$9:$D$2008,D1821,$E$9:$E$2008,E1821)&lt;&gt;1),"Duplicate test",IF(COUNTIF('Taxonomy'!$C$9:$C$108,D1821)&lt;&gt;1,"Assessment key",IF(OR(COUNTIF('Taxonomy Rules'!$C$42:$C$68,E1821)&lt;&gt;1,F1821&lt;&gt;IFERROR(INDEX('Taxonomy Rules'!$D$42:$D$68,MATCH(E1821,'Taxonomy Rules'!$C$42:$C$68,0)),""),NOT(OR(IFERROR(INDEX('Taxonomy Rules'!$G$42:$G$68,MATCH(E1821,'Taxonomy Rules'!$C$42:$C$68,0)),"")="All supported routes",IFERROR(INDEX('Taxonomy Rules'!$G$42:$G$68,MATCH(E1821,'Taxonomy Rules'!$C$42:$C$68,0)),"")=U1821,AND(IFERROR(INDEX('Taxonomy Rules'!$G$42:$G$68,MATCH(E1821,'Taxonomy Rules'!$C$42:$C$68,0)),"")="Building routes",OR(U1821="Building renovation",U1821="New building",U1821="Building equipment"))))),"Unexpected test","Valid"))))</x:f>
      </x:c>
      <x:c r="S1821" s="9" t="str">
        <x:f>IF(C1821="","",IFERROR(INDEX('Taxonomy Rules'!$E$42:$E$68,MATCH(E1821,'Taxonomy Rules'!$C$42:$C$68,0)),""))</x:f>
      </x:c>
      <x:c r="T1821" s="9" t="str">
        <x:f>IF(C1821="","",IFERROR(INDEX('Taxonomy Rules'!$F$42:$F$68,MATCH(E1821,'Taxonomy Rules'!$C$42:$C$68,0)),""))</x:f>
      </x:c>
      <x:c r="U1821" s="9" t="str">
        <x:f>IF(C1821="","",IFERROR(INDEX('Taxonomy'!$G$9:$G$108,MATCH(D1821,'Taxonomy'!$C$9:$C$108,0)),""))</x:f>
      </x:c>
    </x:row>
    <x:row r="1822" ht="44" customHeight="1">
      <x:c r="A1822" s="1"/>
      <x:c r="B1822" s="1"/>
      <x:c r="C1822" s="8"/>
      <x:c r="D1822" s="8"/>
      <x:c r="E1822" s="8"/>
      <x:c r="F1822" s="8"/>
      <x:c r="G1822" s="8"/>
      <x:c r="H1822" s="8"/>
      <x:c r="I1822" s="8"/>
      <x:c r="J1822" s="8"/>
      <x:c r="K1822" s="8"/>
      <x:c r="L1822" s="8"/>
      <x:c r="M1822" s="10"/>
      <x:c r="N1822" s="10"/>
      <x:c r="O1822" s="8"/>
      <x:c r="P1822" s="9" t="str">
        <x:f>IF(C1822="","",IF(AND(G1822="Applicable",H1822="Fail"),"Fail",IF(R1822&lt;&gt;"Valid","Pending",IF(OR(I1822="",K1822="",L1822="",K1822=L1822,NOT(ISNUMBER(M1822)),NOT(ISNUMBER(N1822)),M1822&gt;Settings!$F$8,N1822&lt;Settings!$F$8,N1822&lt;M1822),"Pending",IF(AND(G1822="Applicable",H1822="Pass"),"Pass",IF(AND(G1822="N/A",H1822="N/A",J1822&lt;&gt;"",OR(E1822="CEM-FUELS",E1822="CEM-CCS",AND(E1822="CEM-PLAN",IFERROR(INDEX('Taxonomy'!$M$9:$M$108,MATCH(D1822,'Taxonomy'!$C$9:$C$108,0)),"")&lt;&gt;"Amber"),E1822="BLD-TIMBER",AND(U1822="Building equipment",OR(E1822="BLD-WATER",E1822="BLD-WASTE",E1822="BLD-LAND")),AND(U1822="Building renovation",E1822="BLD-LAND"))),"N/A","Pending"))))))</x:f>
      </x:c>
      <x:c r="Q1822" s="3" t="str">
        <x:f>IF(C1822="","",IF(AND(R1822="Valid",OR(P1822="Pass",P1822="N/A")),"Complete","Unresolved"))</x:f>
      </x:c>
      <x:c r="R1822" s="9" t="str">
        <x:f>IF(C1822="","",IF(OR(COUNTIF($C$9:$C$2008,C1822)&lt;&gt;1,COUNTIFS($D$9:$D$2008,D1822,$E$9:$E$2008,E1822)&lt;&gt;1),"Duplicate test",IF(COUNTIF('Taxonomy'!$C$9:$C$108,D1822)&lt;&gt;1,"Assessment key",IF(OR(COUNTIF('Taxonomy Rules'!$C$42:$C$68,E1822)&lt;&gt;1,F1822&lt;&gt;IFERROR(INDEX('Taxonomy Rules'!$D$42:$D$68,MATCH(E1822,'Taxonomy Rules'!$C$42:$C$68,0)),""),NOT(OR(IFERROR(INDEX('Taxonomy Rules'!$G$42:$G$68,MATCH(E1822,'Taxonomy Rules'!$C$42:$C$68,0)),"")="All supported routes",IFERROR(INDEX('Taxonomy Rules'!$G$42:$G$68,MATCH(E1822,'Taxonomy Rules'!$C$42:$C$68,0)),"")=U1822,AND(IFERROR(INDEX('Taxonomy Rules'!$G$42:$G$68,MATCH(E1822,'Taxonomy Rules'!$C$42:$C$68,0)),"")="Building routes",OR(U1822="Building renovation",U1822="New building",U1822="Building equipment"))))),"Unexpected test","Valid"))))</x:f>
      </x:c>
      <x:c r="S1822" s="9" t="str">
        <x:f>IF(C1822="","",IFERROR(INDEX('Taxonomy Rules'!$E$42:$E$68,MATCH(E1822,'Taxonomy Rules'!$C$42:$C$68,0)),""))</x:f>
      </x:c>
      <x:c r="T1822" s="9" t="str">
        <x:f>IF(C1822="","",IFERROR(INDEX('Taxonomy Rules'!$F$42:$F$68,MATCH(E1822,'Taxonomy Rules'!$C$42:$C$68,0)),""))</x:f>
      </x:c>
      <x:c r="U1822" s="9" t="str">
        <x:f>IF(C1822="","",IFERROR(INDEX('Taxonomy'!$G$9:$G$108,MATCH(D1822,'Taxonomy'!$C$9:$C$108,0)),""))</x:f>
      </x:c>
    </x:row>
    <x:row r="1823" ht="44" customHeight="1">
      <x:c r="A1823" s="1"/>
      <x:c r="B1823" s="1"/>
      <x:c r="C1823" s="8"/>
      <x:c r="D1823" s="8"/>
      <x:c r="E1823" s="8"/>
      <x:c r="F1823" s="8"/>
      <x:c r="G1823" s="8"/>
      <x:c r="H1823" s="8"/>
      <x:c r="I1823" s="8"/>
      <x:c r="J1823" s="8"/>
      <x:c r="K1823" s="8"/>
      <x:c r="L1823" s="8"/>
      <x:c r="M1823" s="10"/>
      <x:c r="N1823" s="10"/>
      <x:c r="O1823" s="8"/>
      <x:c r="P1823" s="9" t="str">
        <x:f>IF(C1823="","",IF(AND(G1823="Applicable",H1823="Fail"),"Fail",IF(R1823&lt;&gt;"Valid","Pending",IF(OR(I1823="",K1823="",L1823="",K1823=L1823,NOT(ISNUMBER(M1823)),NOT(ISNUMBER(N1823)),M1823&gt;Settings!$F$8,N1823&lt;Settings!$F$8,N1823&lt;M1823),"Pending",IF(AND(G1823="Applicable",H1823="Pass"),"Pass",IF(AND(G1823="N/A",H1823="N/A",J1823&lt;&gt;"",OR(E1823="CEM-FUELS",E1823="CEM-CCS",AND(E1823="CEM-PLAN",IFERROR(INDEX('Taxonomy'!$M$9:$M$108,MATCH(D1823,'Taxonomy'!$C$9:$C$108,0)),"")&lt;&gt;"Amber"),E1823="BLD-TIMBER",AND(U1823="Building equipment",OR(E1823="BLD-WATER",E1823="BLD-WASTE",E1823="BLD-LAND")),AND(U1823="Building renovation",E1823="BLD-LAND"))),"N/A","Pending"))))))</x:f>
      </x:c>
      <x:c r="Q1823" s="3" t="str">
        <x:f>IF(C1823="","",IF(AND(R1823="Valid",OR(P1823="Pass",P1823="N/A")),"Complete","Unresolved"))</x:f>
      </x:c>
      <x:c r="R1823" s="9" t="str">
        <x:f>IF(C1823="","",IF(OR(COUNTIF($C$9:$C$2008,C1823)&lt;&gt;1,COUNTIFS($D$9:$D$2008,D1823,$E$9:$E$2008,E1823)&lt;&gt;1),"Duplicate test",IF(COUNTIF('Taxonomy'!$C$9:$C$108,D1823)&lt;&gt;1,"Assessment key",IF(OR(COUNTIF('Taxonomy Rules'!$C$42:$C$68,E1823)&lt;&gt;1,F1823&lt;&gt;IFERROR(INDEX('Taxonomy Rules'!$D$42:$D$68,MATCH(E1823,'Taxonomy Rules'!$C$42:$C$68,0)),""),NOT(OR(IFERROR(INDEX('Taxonomy Rules'!$G$42:$G$68,MATCH(E1823,'Taxonomy Rules'!$C$42:$C$68,0)),"")="All supported routes",IFERROR(INDEX('Taxonomy Rules'!$G$42:$G$68,MATCH(E1823,'Taxonomy Rules'!$C$42:$C$68,0)),"")=U1823,AND(IFERROR(INDEX('Taxonomy Rules'!$G$42:$G$68,MATCH(E1823,'Taxonomy Rules'!$C$42:$C$68,0)),"")="Building routes",OR(U1823="Building renovation",U1823="New building",U1823="Building equipment"))))),"Unexpected test","Valid"))))</x:f>
      </x:c>
      <x:c r="S1823" s="9" t="str">
        <x:f>IF(C1823="","",IFERROR(INDEX('Taxonomy Rules'!$E$42:$E$68,MATCH(E1823,'Taxonomy Rules'!$C$42:$C$68,0)),""))</x:f>
      </x:c>
      <x:c r="T1823" s="9" t="str">
        <x:f>IF(C1823="","",IFERROR(INDEX('Taxonomy Rules'!$F$42:$F$68,MATCH(E1823,'Taxonomy Rules'!$C$42:$C$68,0)),""))</x:f>
      </x:c>
      <x:c r="U1823" s="9" t="str">
        <x:f>IF(C1823="","",IFERROR(INDEX('Taxonomy'!$G$9:$G$108,MATCH(D1823,'Taxonomy'!$C$9:$C$108,0)),""))</x:f>
      </x:c>
    </x:row>
    <x:row r="1824" ht="44" customHeight="1">
      <x:c r="A1824" s="1"/>
      <x:c r="B1824" s="1"/>
      <x:c r="C1824" s="8"/>
      <x:c r="D1824" s="8"/>
      <x:c r="E1824" s="8"/>
      <x:c r="F1824" s="8"/>
      <x:c r="G1824" s="8"/>
      <x:c r="H1824" s="8"/>
      <x:c r="I1824" s="8"/>
      <x:c r="J1824" s="8"/>
      <x:c r="K1824" s="8"/>
      <x:c r="L1824" s="8"/>
      <x:c r="M1824" s="10"/>
      <x:c r="N1824" s="10"/>
      <x:c r="O1824" s="8"/>
      <x:c r="P1824" s="9" t="str">
        <x:f>IF(C1824="","",IF(AND(G1824="Applicable",H1824="Fail"),"Fail",IF(R1824&lt;&gt;"Valid","Pending",IF(OR(I1824="",K1824="",L1824="",K1824=L1824,NOT(ISNUMBER(M1824)),NOT(ISNUMBER(N1824)),M1824&gt;Settings!$F$8,N1824&lt;Settings!$F$8,N1824&lt;M1824),"Pending",IF(AND(G1824="Applicable",H1824="Pass"),"Pass",IF(AND(G1824="N/A",H1824="N/A",J1824&lt;&gt;"",OR(E1824="CEM-FUELS",E1824="CEM-CCS",AND(E1824="CEM-PLAN",IFERROR(INDEX('Taxonomy'!$M$9:$M$108,MATCH(D1824,'Taxonomy'!$C$9:$C$108,0)),"")&lt;&gt;"Amber"),E1824="BLD-TIMBER",AND(U1824="Building equipment",OR(E1824="BLD-WATER",E1824="BLD-WASTE",E1824="BLD-LAND")),AND(U1824="Building renovation",E1824="BLD-LAND"))),"N/A","Pending"))))))</x:f>
      </x:c>
      <x:c r="Q1824" s="3" t="str">
        <x:f>IF(C1824="","",IF(AND(R1824="Valid",OR(P1824="Pass",P1824="N/A")),"Complete","Unresolved"))</x:f>
      </x:c>
      <x:c r="R1824" s="9" t="str">
        <x:f>IF(C1824="","",IF(OR(COUNTIF($C$9:$C$2008,C1824)&lt;&gt;1,COUNTIFS($D$9:$D$2008,D1824,$E$9:$E$2008,E1824)&lt;&gt;1),"Duplicate test",IF(COUNTIF('Taxonomy'!$C$9:$C$108,D1824)&lt;&gt;1,"Assessment key",IF(OR(COUNTIF('Taxonomy Rules'!$C$42:$C$68,E1824)&lt;&gt;1,F1824&lt;&gt;IFERROR(INDEX('Taxonomy Rules'!$D$42:$D$68,MATCH(E1824,'Taxonomy Rules'!$C$42:$C$68,0)),""),NOT(OR(IFERROR(INDEX('Taxonomy Rules'!$G$42:$G$68,MATCH(E1824,'Taxonomy Rules'!$C$42:$C$68,0)),"")="All supported routes",IFERROR(INDEX('Taxonomy Rules'!$G$42:$G$68,MATCH(E1824,'Taxonomy Rules'!$C$42:$C$68,0)),"")=U1824,AND(IFERROR(INDEX('Taxonomy Rules'!$G$42:$G$68,MATCH(E1824,'Taxonomy Rules'!$C$42:$C$68,0)),"")="Building routes",OR(U1824="Building renovation",U1824="New building",U1824="Building equipment"))))),"Unexpected test","Valid"))))</x:f>
      </x:c>
      <x:c r="S1824" s="9" t="str">
        <x:f>IF(C1824="","",IFERROR(INDEX('Taxonomy Rules'!$E$42:$E$68,MATCH(E1824,'Taxonomy Rules'!$C$42:$C$68,0)),""))</x:f>
      </x:c>
      <x:c r="T1824" s="9" t="str">
        <x:f>IF(C1824="","",IFERROR(INDEX('Taxonomy Rules'!$F$42:$F$68,MATCH(E1824,'Taxonomy Rules'!$C$42:$C$68,0)),""))</x:f>
      </x:c>
      <x:c r="U1824" s="9" t="str">
        <x:f>IF(C1824="","",IFERROR(INDEX('Taxonomy'!$G$9:$G$108,MATCH(D1824,'Taxonomy'!$C$9:$C$108,0)),""))</x:f>
      </x:c>
    </x:row>
    <x:row r="1825" ht="44" customHeight="1">
      <x:c r="A1825" s="1"/>
      <x:c r="B1825" s="1"/>
      <x:c r="C1825" s="8"/>
      <x:c r="D1825" s="8"/>
      <x:c r="E1825" s="8"/>
      <x:c r="F1825" s="8"/>
      <x:c r="G1825" s="8"/>
      <x:c r="H1825" s="8"/>
      <x:c r="I1825" s="8"/>
      <x:c r="J1825" s="8"/>
      <x:c r="K1825" s="8"/>
      <x:c r="L1825" s="8"/>
      <x:c r="M1825" s="10"/>
      <x:c r="N1825" s="10"/>
      <x:c r="O1825" s="8"/>
      <x:c r="P1825" s="9" t="str">
        <x:f>IF(C1825="","",IF(AND(G1825="Applicable",H1825="Fail"),"Fail",IF(R1825&lt;&gt;"Valid","Pending",IF(OR(I1825="",K1825="",L1825="",K1825=L1825,NOT(ISNUMBER(M1825)),NOT(ISNUMBER(N1825)),M1825&gt;Settings!$F$8,N1825&lt;Settings!$F$8,N1825&lt;M1825),"Pending",IF(AND(G1825="Applicable",H1825="Pass"),"Pass",IF(AND(G1825="N/A",H1825="N/A",J1825&lt;&gt;"",OR(E1825="CEM-FUELS",E1825="CEM-CCS",AND(E1825="CEM-PLAN",IFERROR(INDEX('Taxonomy'!$M$9:$M$108,MATCH(D1825,'Taxonomy'!$C$9:$C$108,0)),"")&lt;&gt;"Amber"),E1825="BLD-TIMBER",AND(U1825="Building equipment",OR(E1825="BLD-WATER",E1825="BLD-WASTE",E1825="BLD-LAND")),AND(U1825="Building renovation",E1825="BLD-LAND"))),"N/A","Pending"))))))</x:f>
      </x:c>
      <x:c r="Q1825" s="3" t="str">
        <x:f>IF(C1825="","",IF(AND(R1825="Valid",OR(P1825="Pass",P1825="N/A")),"Complete","Unresolved"))</x:f>
      </x:c>
      <x:c r="R1825" s="9" t="str">
        <x:f>IF(C1825="","",IF(OR(COUNTIF($C$9:$C$2008,C1825)&lt;&gt;1,COUNTIFS($D$9:$D$2008,D1825,$E$9:$E$2008,E1825)&lt;&gt;1),"Duplicate test",IF(COUNTIF('Taxonomy'!$C$9:$C$108,D1825)&lt;&gt;1,"Assessment key",IF(OR(COUNTIF('Taxonomy Rules'!$C$42:$C$68,E1825)&lt;&gt;1,F1825&lt;&gt;IFERROR(INDEX('Taxonomy Rules'!$D$42:$D$68,MATCH(E1825,'Taxonomy Rules'!$C$42:$C$68,0)),""),NOT(OR(IFERROR(INDEX('Taxonomy Rules'!$G$42:$G$68,MATCH(E1825,'Taxonomy Rules'!$C$42:$C$68,0)),"")="All supported routes",IFERROR(INDEX('Taxonomy Rules'!$G$42:$G$68,MATCH(E1825,'Taxonomy Rules'!$C$42:$C$68,0)),"")=U1825,AND(IFERROR(INDEX('Taxonomy Rules'!$G$42:$G$68,MATCH(E1825,'Taxonomy Rules'!$C$42:$C$68,0)),"")="Building routes",OR(U1825="Building renovation",U1825="New building",U1825="Building equipment"))))),"Unexpected test","Valid"))))</x:f>
      </x:c>
      <x:c r="S1825" s="9" t="str">
        <x:f>IF(C1825="","",IFERROR(INDEX('Taxonomy Rules'!$E$42:$E$68,MATCH(E1825,'Taxonomy Rules'!$C$42:$C$68,0)),""))</x:f>
      </x:c>
      <x:c r="T1825" s="9" t="str">
        <x:f>IF(C1825="","",IFERROR(INDEX('Taxonomy Rules'!$F$42:$F$68,MATCH(E1825,'Taxonomy Rules'!$C$42:$C$68,0)),""))</x:f>
      </x:c>
      <x:c r="U1825" s="9" t="str">
        <x:f>IF(C1825="","",IFERROR(INDEX('Taxonomy'!$G$9:$G$108,MATCH(D1825,'Taxonomy'!$C$9:$C$108,0)),""))</x:f>
      </x:c>
    </x:row>
    <x:row r="1826" ht="44" customHeight="1">
      <x:c r="A1826" s="1"/>
      <x:c r="B1826" s="1"/>
      <x:c r="C1826" s="8"/>
      <x:c r="D1826" s="8"/>
      <x:c r="E1826" s="8"/>
      <x:c r="F1826" s="8"/>
      <x:c r="G1826" s="8"/>
      <x:c r="H1826" s="8"/>
      <x:c r="I1826" s="8"/>
      <x:c r="J1826" s="8"/>
      <x:c r="K1826" s="8"/>
      <x:c r="L1826" s="8"/>
      <x:c r="M1826" s="10"/>
      <x:c r="N1826" s="10"/>
      <x:c r="O1826" s="8"/>
      <x:c r="P1826" s="9" t="str">
        <x:f>IF(C1826="","",IF(AND(G1826="Applicable",H1826="Fail"),"Fail",IF(R1826&lt;&gt;"Valid","Pending",IF(OR(I1826="",K1826="",L1826="",K1826=L1826,NOT(ISNUMBER(M1826)),NOT(ISNUMBER(N1826)),M1826&gt;Settings!$F$8,N1826&lt;Settings!$F$8,N1826&lt;M1826),"Pending",IF(AND(G1826="Applicable",H1826="Pass"),"Pass",IF(AND(G1826="N/A",H1826="N/A",J1826&lt;&gt;"",OR(E1826="CEM-FUELS",E1826="CEM-CCS",AND(E1826="CEM-PLAN",IFERROR(INDEX('Taxonomy'!$M$9:$M$108,MATCH(D1826,'Taxonomy'!$C$9:$C$108,0)),"")&lt;&gt;"Amber"),E1826="BLD-TIMBER",AND(U1826="Building equipment",OR(E1826="BLD-WATER",E1826="BLD-WASTE",E1826="BLD-LAND")),AND(U1826="Building renovation",E1826="BLD-LAND"))),"N/A","Pending"))))))</x:f>
      </x:c>
      <x:c r="Q1826" s="3" t="str">
        <x:f>IF(C1826="","",IF(AND(R1826="Valid",OR(P1826="Pass",P1826="N/A")),"Complete","Unresolved"))</x:f>
      </x:c>
      <x:c r="R1826" s="9" t="str">
        <x:f>IF(C1826="","",IF(OR(COUNTIF($C$9:$C$2008,C1826)&lt;&gt;1,COUNTIFS($D$9:$D$2008,D1826,$E$9:$E$2008,E1826)&lt;&gt;1),"Duplicate test",IF(COUNTIF('Taxonomy'!$C$9:$C$108,D1826)&lt;&gt;1,"Assessment key",IF(OR(COUNTIF('Taxonomy Rules'!$C$42:$C$68,E1826)&lt;&gt;1,F1826&lt;&gt;IFERROR(INDEX('Taxonomy Rules'!$D$42:$D$68,MATCH(E1826,'Taxonomy Rules'!$C$42:$C$68,0)),""),NOT(OR(IFERROR(INDEX('Taxonomy Rules'!$G$42:$G$68,MATCH(E1826,'Taxonomy Rules'!$C$42:$C$68,0)),"")="All supported routes",IFERROR(INDEX('Taxonomy Rules'!$G$42:$G$68,MATCH(E1826,'Taxonomy Rules'!$C$42:$C$68,0)),"")=U1826,AND(IFERROR(INDEX('Taxonomy Rules'!$G$42:$G$68,MATCH(E1826,'Taxonomy Rules'!$C$42:$C$68,0)),"")="Building routes",OR(U1826="Building renovation",U1826="New building",U1826="Building equipment"))))),"Unexpected test","Valid"))))</x:f>
      </x:c>
      <x:c r="S1826" s="9" t="str">
        <x:f>IF(C1826="","",IFERROR(INDEX('Taxonomy Rules'!$E$42:$E$68,MATCH(E1826,'Taxonomy Rules'!$C$42:$C$68,0)),""))</x:f>
      </x:c>
      <x:c r="T1826" s="9" t="str">
        <x:f>IF(C1826="","",IFERROR(INDEX('Taxonomy Rules'!$F$42:$F$68,MATCH(E1826,'Taxonomy Rules'!$C$42:$C$68,0)),""))</x:f>
      </x:c>
      <x:c r="U1826" s="9" t="str">
        <x:f>IF(C1826="","",IFERROR(INDEX('Taxonomy'!$G$9:$G$108,MATCH(D1826,'Taxonomy'!$C$9:$C$108,0)),""))</x:f>
      </x:c>
    </x:row>
    <x:row r="1827" ht="44" customHeight="1">
      <x:c r="A1827" s="1"/>
      <x:c r="B1827" s="1"/>
      <x:c r="C1827" s="8"/>
      <x:c r="D1827" s="8"/>
      <x:c r="E1827" s="8"/>
      <x:c r="F1827" s="8"/>
      <x:c r="G1827" s="8"/>
      <x:c r="H1827" s="8"/>
      <x:c r="I1827" s="8"/>
      <x:c r="J1827" s="8"/>
      <x:c r="K1827" s="8"/>
      <x:c r="L1827" s="8"/>
      <x:c r="M1827" s="10"/>
      <x:c r="N1827" s="10"/>
      <x:c r="O1827" s="8"/>
      <x:c r="P1827" s="9" t="str">
        <x:f>IF(C1827="","",IF(AND(G1827="Applicable",H1827="Fail"),"Fail",IF(R1827&lt;&gt;"Valid","Pending",IF(OR(I1827="",K1827="",L1827="",K1827=L1827,NOT(ISNUMBER(M1827)),NOT(ISNUMBER(N1827)),M1827&gt;Settings!$F$8,N1827&lt;Settings!$F$8,N1827&lt;M1827),"Pending",IF(AND(G1827="Applicable",H1827="Pass"),"Pass",IF(AND(G1827="N/A",H1827="N/A",J1827&lt;&gt;"",OR(E1827="CEM-FUELS",E1827="CEM-CCS",AND(E1827="CEM-PLAN",IFERROR(INDEX('Taxonomy'!$M$9:$M$108,MATCH(D1827,'Taxonomy'!$C$9:$C$108,0)),"")&lt;&gt;"Amber"),E1827="BLD-TIMBER",AND(U1827="Building equipment",OR(E1827="BLD-WATER",E1827="BLD-WASTE",E1827="BLD-LAND")),AND(U1827="Building renovation",E1827="BLD-LAND"))),"N/A","Pending"))))))</x:f>
      </x:c>
      <x:c r="Q1827" s="3" t="str">
        <x:f>IF(C1827="","",IF(AND(R1827="Valid",OR(P1827="Pass",P1827="N/A")),"Complete","Unresolved"))</x:f>
      </x:c>
      <x:c r="R1827" s="9" t="str">
        <x:f>IF(C1827="","",IF(OR(COUNTIF($C$9:$C$2008,C1827)&lt;&gt;1,COUNTIFS($D$9:$D$2008,D1827,$E$9:$E$2008,E1827)&lt;&gt;1),"Duplicate test",IF(COUNTIF('Taxonomy'!$C$9:$C$108,D1827)&lt;&gt;1,"Assessment key",IF(OR(COUNTIF('Taxonomy Rules'!$C$42:$C$68,E1827)&lt;&gt;1,F1827&lt;&gt;IFERROR(INDEX('Taxonomy Rules'!$D$42:$D$68,MATCH(E1827,'Taxonomy Rules'!$C$42:$C$68,0)),""),NOT(OR(IFERROR(INDEX('Taxonomy Rules'!$G$42:$G$68,MATCH(E1827,'Taxonomy Rules'!$C$42:$C$68,0)),"")="All supported routes",IFERROR(INDEX('Taxonomy Rules'!$G$42:$G$68,MATCH(E1827,'Taxonomy Rules'!$C$42:$C$68,0)),"")=U1827,AND(IFERROR(INDEX('Taxonomy Rules'!$G$42:$G$68,MATCH(E1827,'Taxonomy Rules'!$C$42:$C$68,0)),"")="Building routes",OR(U1827="Building renovation",U1827="New building",U1827="Building equipment"))))),"Unexpected test","Valid"))))</x:f>
      </x:c>
      <x:c r="S1827" s="9" t="str">
        <x:f>IF(C1827="","",IFERROR(INDEX('Taxonomy Rules'!$E$42:$E$68,MATCH(E1827,'Taxonomy Rules'!$C$42:$C$68,0)),""))</x:f>
      </x:c>
      <x:c r="T1827" s="9" t="str">
        <x:f>IF(C1827="","",IFERROR(INDEX('Taxonomy Rules'!$F$42:$F$68,MATCH(E1827,'Taxonomy Rules'!$C$42:$C$68,0)),""))</x:f>
      </x:c>
      <x:c r="U1827" s="9" t="str">
        <x:f>IF(C1827="","",IFERROR(INDEX('Taxonomy'!$G$9:$G$108,MATCH(D1827,'Taxonomy'!$C$9:$C$108,0)),""))</x:f>
      </x:c>
    </x:row>
    <x:row r="1828" ht="44" customHeight="1">
      <x:c r="A1828" s="1"/>
      <x:c r="B1828" s="1"/>
      <x:c r="C1828" s="8"/>
      <x:c r="D1828" s="8"/>
      <x:c r="E1828" s="8"/>
      <x:c r="F1828" s="8"/>
      <x:c r="G1828" s="8"/>
      <x:c r="H1828" s="8"/>
      <x:c r="I1828" s="8"/>
      <x:c r="J1828" s="8"/>
      <x:c r="K1828" s="8"/>
      <x:c r="L1828" s="8"/>
      <x:c r="M1828" s="10"/>
      <x:c r="N1828" s="10"/>
      <x:c r="O1828" s="8"/>
      <x:c r="P1828" s="9" t="str">
        <x:f>IF(C1828="","",IF(AND(G1828="Applicable",H1828="Fail"),"Fail",IF(R1828&lt;&gt;"Valid","Pending",IF(OR(I1828="",K1828="",L1828="",K1828=L1828,NOT(ISNUMBER(M1828)),NOT(ISNUMBER(N1828)),M1828&gt;Settings!$F$8,N1828&lt;Settings!$F$8,N1828&lt;M1828),"Pending",IF(AND(G1828="Applicable",H1828="Pass"),"Pass",IF(AND(G1828="N/A",H1828="N/A",J1828&lt;&gt;"",OR(E1828="CEM-FUELS",E1828="CEM-CCS",AND(E1828="CEM-PLAN",IFERROR(INDEX('Taxonomy'!$M$9:$M$108,MATCH(D1828,'Taxonomy'!$C$9:$C$108,0)),"")&lt;&gt;"Amber"),E1828="BLD-TIMBER",AND(U1828="Building equipment",OR(E1828="BLD-WATER",E1828="BLD-WASTE",E1828="BLD-LAND")),AND(U1828="Building renovation",E1828="BLD-LAND"))),"N/A","Pending"))))))</x:f>
      </x:c>
      <x:c r="Q1828" s="3" t="str">
        <x:f>IF(C1828="","",IF(AND(R1828="Valid",OR(P1828="Pass",P1828="N/A")),"Complete","Unresolved"))</x:f>
      </x:c>
      <x:c r="R1828" s="9" t="str">
        <x:f>IF(C1828="","",IF(OR(COUNTIF($C$9:$C$2008,C1828)&lt;&gt;1,COUNTIFS($D$9:$D$2008,D1828,$E$9:$E$2008,E1828)&lt;&gt;1),"Duplicate test",IF(COUNTIF('Taxonomy'!$C$9:$C$108,D1828)&lt;&gt;1,"Assessment key",IF(OR(COUNTIF('Taxonomy Rules'!$C$42:$C$68,E1828)&lt;&gt;1,F1828&lt;&gt;IFERROR(INDEX('Taxonomy Rules'!$D$42:$D$68,MATCH(E1828,'Taxonomy Rules'!$C$42:$C$68,0)),""),NOT(OR(IFERROR(INDEX('Taxonomy Rules'!$G$42:$G$68,MATCH(E1828,'Taxonomy Rules'!$C$42:$C$68,0)),"")="All supported routes",IFERROR(INDEX('Taxonomy Rules'!$G$42:$G$68,MATCH(E1828,'Taxonomy Rules'!$C$42:$C$68,0)),"")=U1828,AND(IFERROR(INDEX('Taxonomy Rules'!$G$42:$G$68,MATCH(E1828,'Taxonomy Rules'!$C$42:$C$68,0)),"")="Building routes",OR(U1828="Building renovation",U1828="New building",U1828="Building equipment"))))),"Unexpected test","Valid"))))</x:f>
      </x:c>
      <x:c r="S1828" s="9" t="str">
        <x:f>IF(C1828="","",IFERROR(INDEX('Taxonomy Rules'!$E$42:$E$68,MATCH(E1828,'Taxonomy Rules'!$C$42:$C$68,0)),""))</x:f>
      </x:c>
      <x:c r="T1828" s="9" t="str">
        <x:f>IF(C1828="","",IFERROR(INDEX('Taxonomy Rules'!$F$42:$F$68,MATCH(E1828,'Taxonomy Rules'!$C$42:$C$68,0)),""))</x:f>
      </x:c>
      <x:c r="U1828" s="9" t="str">
        <x:f>IF(C1828="","",IFERROR(INDEX('Taxonomy'!$G$9:$G$108,MATCH(D1828,'Taxonomy'!$C$9:$C$108,0)),""))</x:f>
      </x:c>
    </x:row>
    <x:row r="1829" ht="44" customHeight="1">
      <x:c r="A1829" s="1"/>
      <x:c r="B1829" s="1"/>
      <x:c r="C1829" s="8"/>
      <x:c r="D1829" s="8"/>
      <x:c r="E1829" s="8"/>
      <x:c r="F1829" s="8"/>
      <x:c r="G1829" s="8"/>
      <x:c r="H1829" s="8"/>
      <x:c r="I1829" s="8"/>
      <x:c r="J1829" s="8"/>
      <x:c r="K1829" s="8"/>
      <x:c r="L1829" s="8"/>
      <x:c r="M1829" s="10"/>
      <x:c r="N1829" s="10"/>
      <x:c r="O1829" s="8"/>
      <x:c r="P1829" s="9" t="str">
        <x:f>IF(C1829="","",IF(AND(G1829="Applicable",H1829="Fail"),"Fail",IF(R1829&lt;&gt;"Valid","Pending",IF(OR(I1829="",K1829="",L1829="",K1829=L1829,NOT(ISNUMBER(M1829)),NOT(ISNUMBER(N1829)),M1829&gt;Settings!$F$8,N1829&lt;Settings!$F$8,N1829&lt;M1829),"Pending",IF(AND(G1829="Applicable",H1829="Pass"),"Pass",IF(AND(G1829="N/A",H1829="N/A",J1829&lt;&gt;"",OR(E1829="CEM-FUELS",E1829="CEM-CCS",AND(E1829="CEM-PLAN",IFERROR(INDEX('Taxonomy'!$M$9:$M$108,MATCH(D1829,'Taxonomy'!$C$9:$C$108,0)),"")&lt;&gt;"Amber"),E1829="BLD-TIMBER",AND(U1829="Building equipment",OR(E1829="BLD-WATER",E1829="BLD-WASTE",E1829="BLD-LAND")),AND(U1829="Building renovation",E1829="BLD-LAND"))),"N/A","Pending"))))))</x:f>
      </x:c>
      <x:c r="Q1829" s="3" t="str">
        <x:f>IF(C1829="","",IF(AND(R1829="Valid",OR(P1829="Pass",P1829="N/A")),"Complete","Unresolved"))</x:f>
      </x:c>
      <x:c r="R1829" s="9" t="str">
        <x:f>IF(C1829="","",IF(OR(COUNTIF($C$9:$C$2008,C1829)&lt;&gt;1,COUNTIFS($D$9:$D$2008,D1829,$E$9:$E$2008,E1829)&lt;&gt;1),"Duplicate test",IF(COUNTIF('Taxonomy'!$C$9:$C$108,D1829)&lt;&gt;1,"Assessment key",IF(OR(COUNTIF('Taxonomy Rules'!$C$42:$C$68,E1829)&lt;&gt;1,F1829&lt;&gt;IFERROR(INDEX('Taxonomy Rules'!$D$42:$D$68,MATCH(E1829,'Taxonomy Rules'!$C$42:$C$68,0)),""),NOT(OR(IFERROR(INDEX('Taxonomy Rules'!$G$42:$G$68,MATCH(E1829,'Taxonomy Rules'!$C$42:$C$68,0)),"")="All supported routes",IFERROR(INDEX('Taxonomy Rules'!$G$42:$G$68,MATCH(E1829,'Taxonomy Rules'!$C$42:$C$68,0)),"")=U1829,AND(IFERROR(INDEX('Taxonomy Rules'!$G$42:$G$68,MATCH(E1829,'Taxonomy Rules'!$C$42:$C$68,0)),"")="Building routes",OR(U1829="Building renovation",U1829="New building",U1829="Building equipment"))))),"Unexpected test","Valid"))))</x:f>
      </x:c>
      <x:c r="S1829" s="9" t="str">
        <x:f>IF(C1829="","",IFERROR(INDEX('Taxonomy Rules'!$E$42:$E$68,MATCH(E1829,'Taxonomy Rules'!$C$42:$C$68,0)),""))</x:f>
      </x:c>
      <x:c r="T1829" s="9" t="str">
        <x:f>IF(C1829="","",IFERROR(INDEX('Taxonomy Rules'!$F$42:$F$68,MATCH(E1829,'Taxonomy Rules'!$C$42:$C$68,0)),""))</x:f>
      </x:c>
      <x:c r="U1829" s="9" t="str">
        <x:f>IF(C1829="","",IFERROR(INDEX('Taxonomy'!$G$9:$G$108,MATCH(D1829,'Taxonomy'!$C$9:$C$108,0)),""))</x:f>
      </x:c>
    </x:row>
    <x:row r="1830" ht="44" customHeight="1">
      <x:c r="A1830" s="1"/>
      <x:c r="B1830" s="1"/>
      <x:c r="C1830" s="8"/>
      <x:c r="D1830" s="8"/>
      <x:c r="E1830" s="8"/>
      <x:c r="F1830" s="8"/>
      <x:c r="G1830" s="8"/>
      <x:c r="H1830" s="8"/>
      <x:c r="I1830" s="8"/>
      <x:c r="J1830" s="8"/>
      <x:c r="K1830" s="8"/>
      <x:c r="L1830" s="8"/>
      <x:c r="M1830" s="10"/>
      <x:c r="N1830" s="10"/>
      <x:c r="O1830" s="8"/>
      <x:c r="P1830" s="9" t="str">
        <x:f>IF(C1830="","",IF(AND(G1830="Applicable",H1830="Fail"),"Fail",IF(R1830&lt;&gt;"Valid","Pending",IF(OR(I1830="",K1830="",L1830="",K1830=L1830,NOT(ISNUMBER(M1830)),NOT(ISNUMBER(N1830)),M1830&gt;Settings!$F$8,N1830&lt;Settings!$F$8,N1830&lt;M1830),"Pending",IF(AND(G1830="Applicable",H1830="Pass"),"Pass",IF(AND(G1830="N/A",H1830="N/A",J1830&lt;&gt;"",OR(E1830="CEM-FUELS",E1830="CEM-CCS",AND(E1830="CEM-PLAN",IFERROR(INDEX('Taxonomy'!$M$9:$M$108,MATCH(D1830,'Taxonomy'!$C$9:$C$108,0)),"")&lt;&gt;"Amber"),E1830="BLD-TIMBER",AND(U1830="Building equipment",OR(E1830="BLD-WATER",E1830="BLD-WASTE",E1830="BLD-LAND")),AND(U1830="Building renovation",E1830="BLD-LAND"))),"N/A","Pending"))))))</x:f>
      </x:c>
      <x:c r="Q1830" s="3" t="str">
        <x:f>IF(C1830="","",IF(AND(R1830="Valid",OR(P1830="Pass",P1830="N/A")),"Complete","Unresolved"))</x:f>
      </x:c>
      <x:c r="R1830" s="9" t="str">
        <x:f>IF(C1830="","",IF(OR(COUNTIF($C$9:$C$2008,C1830)&lt;&gt;1,COUNTIFS($D$9:$D$2008,D1830,$E$9:$E$2008,E1830)&lt;&gt;1),"Duplicate test",IF(COUNTIF('Taxonomy'!$C$9:$C$108,D1830)&lt;&gt;1,"Assessment key",IF(OR(COUNTIF('Taxonomy Rules'!$C$42:$C$68,E1830)&lt;&gt;1,F1830&lt;&gt;IFERROR(INDEX('Taxonomy Rules'!$D$42:$D$68,MATCH(E1830,'Taxonomy Rules'!$C$42:$C$68,0)),""),NOT(OR(IFERROR(INDEX('Taxonomy Rules'!$G$42:$G$68,MATCH(E1830,'Taxonomy Rules'!$C$42:$C$68,0)),"")="All supported routes",IFERROR(INDEX('Taxonomy Rules'!$G$42:$G$68,MATCH(E1830,'Taxonomy Rules'!$C$42:$C$68,0)),"")=U1830,AND(IFERROR(INDEX('Taxonomy Rules'!$G$42:$G$68,MATCH(E1830,'Taxonomy Rules'!$C$42:$C$68,0)),"")="Building routes",OR(U1830="Building renovation",U1830="New building",U1830="Building equipment"))))),"Unexpected test","Valid"))))</x:f>
      </x:c>
      <x:c r="S1830" s="9" t="str">
        <x:f>IF(C1830="","",IFERROR(INDEX('Taxonomy Rules'!$E$42:$E$68,MATCH(E1830,'Taxonomy Rules'!$C$42:$C$68,0)),""))</x:f>
      </x:c>
      <x:c r="T1830" s="9" t="str">
        <x:f>IF(C1830="","",IFERROR(INDEX('Taxonomy Rules'!$F$42:$F$68,MATCH(E1830,'Taxonomy Rules'!$C$42:$C$68,0)),""))</x:f>
      </x:c>
      <x:c r="U1830" s="9" t="str">
        <x:f>IF(C1830="","",IFERROR(INDEX('Taxonomy'!$G$9:$G$108,MATCH(D1830,'Taxonomy'!$C$9:$C$108,0)),""))</x:f>
      </x:c>
    </x:row>
    <x:row r="1831" ht="44" customHeight="1">
      <x:c r="A1831" s="1"/>
      <x:c r="B1831" s="1"/>
      <x:c r="C1831" s="8"/>
      <x:c r="D1831" s="8"/>
      <x:c r="E1831" s="8"/>
      <x:c r="F1831" s="8"/>
      <x:c r="G1831" s="8"/>
      <x:c r="H1831" s="8"/>
      <x:c r="I1831" s="8"/>
      <x:c r="J1831" s="8"/>
      <x:c r="K1831" s="8"/>
      <x:c r="L1831" s="8"/>
      <x:c r="M1831" s="10"/>
      <x:c r="N1831" s="10"/>
      <x:c r="O1831" s="8"/>
      <x:c r="P1831" s="9" t="str">
        <x:f>IF(C1831="","",IF(AND(G1831="Applicable",H1831="Fail"),"Fail",IF(R1831&lt;&gt;"Valid","Pending",IF(OR(I1831="",K1831="",L1831="",K1831=L1831,NOT(ISNUMBER(M1831)),NOT(ISNUMBER(N1831)),M1831&gt;Settings!$F$8,N1831&lt;Settings!$F$8,N1831&lt;M1831),"Pending",IF(AND(G1831="Applicable",H1831="Pass"),"Pass",IF(AND(G1831="N/A",H1831="N/A",J1831&lt;&gt;"",OR(E1831="CEM-FUELS",E1831="CEM-CCS",AND(E1831="CEM-PLAN",IFERROR(INDEX('Taxonomy'!$M$9:$M$108,MATCH(D1831,'Taxonomy'!$C$9:$C$108,0)),"")&lt;&gt;"Amber"),E1831="BLD-TIMBER",AND(U1831="Building equipment",OR(E1831="BLD-WATER",E1831="BLD-WASTE",E1831="BLD-LAND")),AND(U1831="Building renovation",E1831="BLD-LAND"))),"N/A","Pending"))))))</x:f>
      </x:c>
      <x:c r="Q1831" s="3" t="str">
        <x:f>IF(C1831="","",IF(AND(R1831="Valid",OR(P1831="Pass",P1831="N/A")),"Complete","Unresolved"))</x:f>
      </x:c>
      <x:c r="R1831" s="9" t="str">
        <x:f>IF(C1831="","",IF(OR(COUNTIF($C$9:$C$2008,C1831)&lt;&gt;1,COUNTIFS($D$9:$D$2008,D1831,$E$9:$E$2008,E1831)&lt;&gt;1),"Duplicate test",IF(COUNTIF('Taxonomy'!$C$9:$C$108,D1831)&lt;&gt;1,"Assessment key",IF(OR(COUNTIF('Taxonomy Rules'!$C$42:$C$68,E1831)&lt;&gt;1,F1831&lt;&gt;IFERROR(INDEX('Taxonomy Rules'!$D$42:$D$68,MATCH(E1831,'Taxonomy Rules'!$C$42:$C$68,0)),""),NOT(OR(IFERROR(INDEX('Taxonomy Rules'!$G$42:$G$68,MATCH(E1831,'Taxonomy Rules'!$C$42:$C$68,0)),"")="All supported routes",IFERROR(INDEX('Taxonomy Rules'!$G$42:$G$68,MATCH(E1831,'Taxonomy Rules'!$C$42:$C$68,0)),"")=U1831,AND(IFERROR(INDEX('Taxonomy Rules'!$G$42:$G$68,MATCH(E1831,'Taxonomy Rules'!$C$42:$C$68,0)),"")="Building routes",OR(U1831="Building renovation",U1831="New building",U1831="Building equipment"))))),"Unexpected test","Valid"))))</x:f>
      </x:c>
      <x:c r="S1831" s="9" t="str">
        <x:f>IF(C1831="","",IFERROR(INDEX('Taxonomy Rules'!$E$42:$E$68,MATCH(E1831,'Taxonomy Rules'!$C$42:$C$68,0)),""))</x:f>
      </x:c>
      <x:c r="T1831" s="9" t="str">
        <x:f>IF(C1831="","",IFERROR(INDEX('Taxonomy Rules'!$F$42:$F$68,MATCH(E1831,'Taxonomy Rules'!$C$42:$C$68,0)),""))</x:f>
      </x:c>
      <x:c r="U1831" s="9" t="str">
        <x:f>IF(C1831="","",IFERROR(INDEX('Taxonomy'!$G$9:$G$108,MATCH(D1831,'Taxonomy'!$C$9:$C$108,0)),""))</x:f>
      </x:c>
    </x:row>
    <x:row r="1832" ht="44" customHeight="1">
      <x:c r="A1832" s="1"/>
      <x:c r="B1832" s="1"/>
      <x:c r="C1832" s="8"/>
      <x:c r="D1832" s="8"/>
      <x:c r="E1832" s="8"/>
      <x:c r="F1832" s="8"/>
      <x:c r="G1832" s="8"/>
      <x:c r="H1832" s="8"/>
      <x:c r="I1832" s="8"/>
      <x:c r="J1832" s="8"/>
      <x:c r="K1832" s="8"/>
      <x:c r="L1832" s="8"/>
      <x:c r="M1832" s="10"/>
      <x:c r="N1832" s="10"/>
      <x:c r="O1832" s="8"/>
      <x:c r="P1832" s="9" t="str">
        <x:f>IF(C1832="","",IF(AND(G1832="Applicable",H1832="Fail"),"Fail",IF(R1832&lt;&gt;"Valid","Pending",IF(OR(I1832="",K1832="",L1832="",K1832=L1832,NOT(ISNUMBER(M1832)),NOT(ISNUMBER(N1832)),M1832&gt;Settings!$F$8,N1832&lt;Settings!$F$8,N1832&lt;M1832),"Pending",IF(AND(G1832="Applicable",H1832="Pass"),"Pass",IF(AND(G1832="N/A",H1832="N/A",J1832&lt;&gt;"",OR(E1832="CEM-FUELS",E1832="CEM-CCS",AND(E1832="CEM-PLAN",IFERROR(INDEX('Taxonomy'!$M$9:$M$108,MATCH(D1832,'Taxonomy'!$C$9:$C$108,0)),"")&lt;&gt;"Amber"),E1832="BLD-TIMBER",AND(U1832="Building equipment",OR(E1832="BLD-WATER",E1832="BLD-WASTE",E1832="BLD-LAND")),AND(U1832="Building renovation",E1832="BLD-LAND"))),"N/A","Pending"))))))</x:f>
      </x:c>
      <x:c r="Q1832" s="3" t="str">
        <x:f>IF(C1832="","",IF(AND(R1832="Valid",OR(P1832="Pass",P1832="N/A")),"Complete","Unresolved"))</x:f>
      </x:c>
      <x:c r="R1832" s="9" t="str">
        <x:f>IF(C1832="","",IF(OR(COUNTIF($C$9:$C$2008,C1832)&lt;&gt;1,COUNTIFS($D$9:$D$2008,D1832,$E$9:$E$2008,E1832)&lt;&gt;1),"Duplicate test",IF(COUNTIF('Taxonomy'!$C$9:$C$108,D1832)&lt;&gt;1,"Assessment key",IF(OR(COUNTIF('Taxonomy Rules'!$C$42:$C$68,E1832)&lt;&gt;1,F1832&lt;&gt;IFERROR(INDEX('Taxonomy Rules'!$D$42:$D$68,MATCH(E1832,'Taxonomy Rules'!$C$42:$C$68,0)),""),NOT(OR(IFERROR(INDEX('Taxonomy Rules'!$G$42:$G$68,MATCH(E1832,'Taxonomy Rules'!$C$42:$C$68,0)),"")="All supported routes",IFERROR(INDEX('Taxonomy Rules'!$G$42:$G$68,MATCH(E1832,'Taxonomy Rules'!$C$42:$C$68,0)),"")=U1832,AND(IFERROR(INDEX('Taxonomy Rules'!$G$42:$G$68,MATCH(E1832,'Taxonomy Rules'!$C$42:$C$68,0)),"")="Building routes",OR(U1832="Building renovation",U1832="New building",U1832="Building equipment"))))),"Unexpected test","Valid"))))</x:f>
      </x:c>
      <x:c r="S1832" s="9" t="str">
        <x:f>IF(C1832="","",IFERROR(INDEX('Taxonomy Rules'!$E$42:$E$68,MATCH(E1832,'Taxonomy Rules'!$C$42:$C$68,0)),""))</x:f>
      </x:c>
      <x:c r="T1832" s="9" t="str">
        <x:f>IF(C1832="","",IFERROR(INDEX('Taxonomy Rules'!$F$42:$F$68,MATCH(E1832,'Taxonomy Rules'!$C$42:$C$68,0)),""))</x:f>
      </x:c>
      <x:c r="U1832" s="9" t="str">
        <x:f>IF(C1832="","",IFERROR(INDEX('Taxonomy'!$G$9:$G$108,MATCH(D1832,'Taxonomy'!$C$9:$C$108,0)),""))</x:f>
      </x:c>
    </x:row>
    <x:row r="1833" ht="44" customHeight="1">
      <x:c r="A1833" s="1"/>
      <x:c r="B1833" s="1"/>
      <x:c r="C1833" s="8"/>
      <x:c r="D1833" s="8"/>
      <x:c r="E1833" s="8"/>
      <x:c r="F1833" s="8"/>
      <x:c r="G1833" s="8"/>
      <x:c r="H1833" s="8"/>
      <x:c r="I1833" s="8"/>
      <x:c r="J1833" s="8"/>
      <x:c r="K1833" s="8"/>
      <x:c r="L1833" s="8"/>
      <x:c r="M1833" s="10"/>
      <x:c r="N1833" s="10"/>
      <x:c r="O1833" s="8"/>
      <x:c r="P1833" s="9" t="str">
        <x:f>IF(C1833="","",IF(AND(G1833="Applicable",H1833="Fail"),"Fail",IF(R1833&lt;&gt;"Valid","Pending",IF(OR(I1833="",K1833="",L1833="",K1833=L1833,NOT(ISNUMBER(M1833)),NOT(ISNUMBER(N1833)),M1833&gt;Settings!$F$8,N1833&lt;Settings!$F$8,N1833&lt;M1833),"Pending",IF(AND(G1833="Applicable",H1833="Pass"),"Pass",IF(AND(G1833="N/A",H1833="N/A",J1833&lt;&gt;"",OR(E1833="CEM-FUELS",E1833="CEM-CCS",AND(E1833="CEM-PLAN",IFERROR(INDEX('Taxonomy'!$M$9:$M$108,MATCH(D1833,'Taxonomy'!$C$9:$C$108,0)),"")&lt;&gt;"Amber"),E1833="BLD-TIMBER",AND(U1833="Building equipment",OR(E1833="BLD-WATER",E1833="BLD-WASTE",E1833="BLD-LAND")),AND(U1833="Building renovation",E1833="BLD-LAND"))),"N/A","Pending"))))))</x:f>
      </x:c>
      <x:c r="Q1833" s="3" t="str">
        <x:f>IF(C1833="","",IF(AND(R1833="Valid",OR(P1833="Pass",P1833="N/A")),"Complete","Unresolved"))</x:f>
      </x:c>
      <x:c r="R1833" s="9" t="str">
        <x:f>IF(C1833="","",IF(OR(COUNTIF($C$9:$C$2008,C1833)&lt;&gt;1,COUNTIFS($D$9:$D$2008,D1833,$E$9:$E$2008,E1833)&lt;&gt;1),"Duplicate test",IF(COUNTIF('Taxonomy'!$C$9:$C$108,D1833)&lt;&gt;1,"Assessment key",IF(OR(COUNTIF('Taxonomy Rules'!$C$42:$C$68,E1833)&lt;&gt;1,F1833&lt;&gt;IFERROR(INDEX('Taxonomy Rules'!$D$42:$D$68,MATCH(E1833,'Taxonomy Rules'!$C$42:$C$68,0)),""),NOT(OR(IFERROR(INDEX('Taxonomy Rules'!$G$42:$G$68,MATCH(E1833,'Taxonomy Rules'!$C$42:$C$68,0)),"")="All supported routes",IFERROR(INDEX('Taxonomy Rules'!$G$42:$G$68,MATCH(E1833,'Taxonomy Rules'!$C$42:$C$68,0)),"")=U1833,AND(IFERROR(INDEX('Taxonomy Rules'!$G$42:$G$68,MATCH(E1833,'Taxonomy Rules'!$C$42:$C$68,0)),"")="Building routes",OR(U1833="Building renovation",U1833="New building",U1833="Building equipment"))))),"Unexpected test","Valid"))))</x:f>
      </x:c>
      <x:c r="S1833" s="9" t="str">
        <x:f>IF(C1833="","",IFERROR(INDEX('Taxonomy Rules'!$E$42:$E$68,MATCH(E1833,'Taxonomy Rules'!$C$42:$C$68,0)),""))</x:f>
      </x:c>
      <x:c r="T1833" s="9" t="str">
        <x:f>IF(C1833="","",IFERROR(INDEX('Taxonomy Rules'!$F$42:$F$68,MATCH(E1833,'Taxonomy Rules'!$C$42:$C$68,0)),""))</x:f>
      </x:c>
      <x:c r="U1833" s="9" t="str">
        <x:f>IF(C1833="","",IFERROR(INDEX('Taxonomy'!$G$9:$G$108,MATCH(D1833,'Taxonomy'!$C$9:$C$108,0)),""))</x:f>
      </x:c>
    </x:row>
    <x:row r="1834" ht="44" customHeight="1">
      <x:c r="A1834" s="1"/>
      <x:c r="B1834" s="1"/>
      <x:c r="C1834" s="8"/>
      <x:c r="D1834" s="8"/>
      <x:c r="E1834" s="8"/>
      <x:c r="F1834" s="8"/>
      <x:c r="G1834" s="8"/>
      <x:c r="H1834" s="8"/>
      <x:c r="I1834" s="8"/>
      <x:c r="J1834" s="8"/>
      <x:c r="K1834" s="8"/>
      <x:c r="L1834" s="8"/>
      <x:c r="M1834" s="10"/>
      <x:c r="N1834" s="10"/>
      <x:c r="O1834" s="8"/>
      <x:c r="P1834" s="9" t="str">
        <x:f>IF(C1834="","",IF(AND(G1834="Applicable",H1834="Fail"),"Fail",IF(R1834&lt;&gt;"Valid","Pending",IF(OR(I1834="",K1834="",L1834="",K1834=L1834,NOT(ISNUMBER(M1834)),NOT(ISNUMBER(N1834)),M1834&gt;Settings!$F$8,N1834&lt;Settings!$F$8,N1834&lt;M1834),"Pending",IF(AND(G1834="Applicable",H1834="Pass"),"Pass",IF(AND(G1834="N/A",H1834="N/A",J1834&lt;&gt;"",OR(E1834="CEM-FUELS",E1834="CEM-CCS",AND(E1834="CEM-PLAN",IFERROR(INDEX('Taxonomy'!$M$9:$M$108,MATCH(D1834,'Taxonomy'!$C$9:$C$108,0)),"")&lt;&gt;"Amber"),E1834="BLD-TIMBER",AND(U1834="Building equipment",OR(E1834="BLD-WATER",E1834="BLD-WASTE",E1834="BLD-LAND")),AND(U1834="Building renovation",E1834="BLD-LAND"))),"N/A","Pending"))))))</x:f>
      </x:c>
      <x:c r="Q1834" s="3" t="str">
        <x:f>IF(C1834="","",IF(AND(R1834="Valid",OR(P1834="Pass",P1834="N/A")),"Complete","Unresolved"))</x:f>
      </x:c>
      <x:c r="R1834" s="9" t="str">
        <x:f>IF(C1834="","",IF(OR(COUNTIF($C$9:$C$2008,C1834)&lt;&gt;1,COUNTIFS($D$9:$D$2008,D1834,$E$9:$E$2008,E1834)&lt;&gt;1),"Duplicate test",IF(COUNTIF('Taxonomy'!$C$9:$C$108,D1834)&lt;&gt;1,"Assessment key",IF(OR(COUNTIF('Taxonomy Rules'!$C$42:$C$68,E1834)&lt;&gt;1,F1834&lt;&gt;IFERROR(INDEX('Taxonomy Rules'!$D$42:$D$68,MATCH(E1834,'Taxonomy Rules'!$C$42:$C$68,0)),""),NOT(OR(IFERROR(INDEX('Taxonomy Rules'!$G$42:$G$68,MATCH(E1834,'Taxonomy Rules'!$C$42:$C$68,0)),"")="All supported routes",IFERROR(INDEX('Taxonomy Rules'!$G$42:$G$68,MATCH(E1834,'Taxonomy Rules'!$C$42:$C$68,0)),"")=U1834,AND(IFERROR(INDEX('Taxonomy Rules'!$G$42:$G$68,MATCH(E1834,'Taxonomy Rules'!$C$42:$C$68,0)),"")="Building routes",OR(U1834="Building renovation",U1834="New building",U1834="Building equipment"))))),"Unexpected test","Valid"))))</x:f>
      </x:c>
      <x:c r="S1834" s="9" t="str">
        <x:f>IF(C1834="","",IFERROR(INDEX('Taxonomy Rules'!$E$42:$E$68,MATCH(E1834,'Taxonomy Rules'!$C$42:$C$68,0)),""))</x:f>
      </x:c>
      <x:c r="T1834" s="9" t="str">
        <x:f>IF(C1834="","",IFERROR(INDEX('Taxonomy Rules'!$F$42:$F$68,MATCH(E1834,'Taxonomy Rules'!$C$42:$C$68,0)),""))</x:f>
      </x:c>
      <x:c r="U1834" s="9" t="str">
        <x:f>IF(C1834="","",IFERROR(INDEX('Taxonomy'!$G$9:$G$108,MATCH(D1834,'Taxonomy'!$C$9:$C$108,0)),""))</x:f>
      </x:c>
    </x:row>
    <x:row r="1835" ht="44" customHeight="1">
      <x:c r="A1835" s="1"/>
      <x:c r="B1835" s="1"/>
      <x:c r="C1835" s="8"/>
      <x:c r="D1835" s="8"/>
      <x:c r="E1835" s="8"/>
      <x:c r="F1835" s="8"/>
      <x:c r="G1835" s="8"/>
      <x:c r="H1835" s="8"/>
      <x:c r="I1835" s="8"/>
      <x:c r="J1835" s="8"/>
      <x:c r="K1835" s="8"/>
      <x:c r="L1835" s="8"/>
      <x:c r="M1835" s="10"/>
      <x:c r="N1835" s="10"/>
      <x:c r="O1835" s="8"/>
      <x:c r="P1835" s="9" t="str">
        <x:f>IF(C1835="","",IF(AND(G1835="Applicable",H1835="Fail"),"Fail",IF(R1835&lt;&gt;"Valid","Pending",IF(OR(I1835="",K1835="",L1835="",K1835=L1835,NOT(ISNUMBER(M1835)),NOT(ISNUMBER(N1835)),M1835&gt;Settings!$F$8,N1835&lt;Settings!$F$8,N1835&lt;M1835),"Pending",IF(AND(G1835="Applicable",H1835="Pass"),"Pass",IF(AND(G1835="N/A",H1835="N/A",J1835&lt;&gt;"",OR(E1835="CEM-FUELS",E1835="CEM-CCS",AND(E1835="CEM-PLAN",IFERROR(INDEX('Taxonomy'!$M$9:$M$108,MATCH(D1835,'Taxonomy'!$C$9:$C$108,0)),"")&lt;&gt;"Amber"),E1835="BLD-TIMBER",AND(U1835="Building equipment",OR(E1835="BLD-WATER",E1835="BLD-WASTE",E1835="BLD-LAND")),AND(U1835="Building renovation",E1835="BLD-LAND"))),"N/A","Pending"))))))</x:f>
      </x:c>
      <x:c r="Q1835" s="3" t="str">
        <x:f>IF(C1835="","",IF(AND(R1835="Valid",OR(P1835="Pass",P1835="N/A")),"Complete","Unresolved"))</x:f>
      </x:c>
      <x:c r="R1835" s="9" t="str">
        <x:f>IF(C1835="","",IF(OR(COUNTIF($C$9:$C$2008,C1835)&lt;&gt;1,COUNTIFS($D$9:$D$2008,D1835,$E$9:$E$2008,E1835)&lt;&gt;1),"Duplicate test",IF(COUNTIF('Taxonomy'!$C$9:$C$108,D1835)&lt;&gt;1,"Assessment key",IF(OR(COUNTIF('Taxonomy Rules'!$C$42:$C$68,E1835)&lt;&gt;1,F1835&lt;&gt;IFERROR(INDEX('Taxonomy Rules'!$D$42:$D$68,MATCH(E1835,'Taxonomy Rules'!$C$42:$C$68,0)),""),NOT(OR(IFERROR(INDEX('Taxonomy Rules'!$G$42:$G$68,MATCH(E1835,'Taxonomy Rules'!$C$42:$C$68,0)),"")="All supported routes",IFERROR(INDEX('Taxonomy Rules'!$G$42:$G$68,MATCH(E1835,'Taxonomy Rules'!$C$42:$C$68,0)),"")=U1835,AND(IFERROR(INDEX('Taxonomy Rules'!$G$42:$G$68,MATCH(E1835,'Taxonomy Rules'!$C$42:$C$68,0)),"")="Building routes",OR(U1835="Building renovation",U1835="New building",U1835="Building equipment"))))),"Unexpected test","Valid"))))</x:f>
      </x:c>
      <x:c r="S1835" s="9" t="str">
        <x:f>IF(C1835="","",IFERROR(INDEX('Taxonomy Rules'!$E$42:$E$68,MATCH(E1835,'Taxonomy Rules'!$C$42:$C$68,0)),""))</x:f>
      </x:c>
      <x:c r="T1835" s="9" t="str">
        <x:f>IF(C1835="","",IFERROR(INDEX('Taxonomy Rules'!$F$42:$F$68,MATCH(E1835,'Taxonomy Rules'!$C$42:$C$68,0)),""))</x:f>
      </x:c>
      <x:c r="U1835" s="9" t="str">
        <x:f>IF(C1835="","",IFERROR(INDEX('Taxonomy'!$G$9:$G$108,MATCH(D1835,'Taxonomy'!$C$9:$C$108,0)),""))</x:f>
      </x:c>
    </x:row>
    <x:row r="1836" ht="44" customHeight="1">
      <x:c r="A1836" s="1"/>
      <x:c r="B1836" s="1"/>
      <x:c r="C1836" s="8"/>
      <x:c r="D1836" s="8"/>
      <x:c r="E1836" s="8"/>
      <x:c r="F1836" s="8"/>
      <x:c r="G1836" s="8"/>
      <x:c r="H1836" s="8"/>
      <x:c r="I1836" s="8"/>
      <x:c r="J1836" s="8"/>
      <x:c r="K1836" s="8"/>
      <x:c r="L1836" s="8"/>
      <x:c r="M1836" s="10"/>
      <x:c r="N1836" s="10"/>
      <x:c r="O1836" s="8"/>
      <x:c r="P1836" s="9" t="str">
        <x:f>IF(C1836="","",IF(AND(G1836="Applicable",H1836="Fail"),"Fail",IF(R1836&lt;&gt;"Valid","Pending",IF(OR(I1836="",K1836="",L1836="",K1836=L1836,NOT(ISNUMBER(M1836)),NOT(ISNUMBER(N1836)),M1836&gt;Settings!$F$8,N1836&lt;Settings!$F$8,N1836&lt;M1836),"Pending",IF(AND(G1836="Applicable",H1836="Pass"),"Pass",IF(AND(G1836="N/A",H1836="N/A",J1836&lt;&gt;"",OR(E1836="CEM-FUELS",E1836="CEM-CCS",AND(E1836="CEM-PLAN",IFERROR(INDEX('Taxonomy'!$M$9:$M$108,MATCH(D1836,'Taxonomy'!$C$9:$C$108,0)),"")&lt;&gt;"Amber"),E1836="BLD-TIMBER",AND(U1836="Building equipment",OR(E1836="BLD-WATER",E1836="BLD-WASTE",E1836="BLD-LAND")),AND(U1836="Building renovation",E1836="BLD-LAND"))),"N/A","Pending"))))))</x:f>
      </x:c>
      <x:c r="Q1836" s="3" t="str">
        <x:f>IF(C1836="","",IF(AND(R1836="Valid",OR(P1836="Pass",P1836="N/A")),"Complete","Unresolved"))</x:f>
      </x:c>
      <x:c r="R1836" s="9" t="str">
        <x:f>IF(C1836="","",IF(OR(COUNTIF($C$9:$C$2008,C1836)&lt;&gt;1,COUNTIFS($D$9:$D$2008,D1836,$E$9:$E$2008,E1836)&lt;&gt;1),"Duplicate test",IF(COUNTIF('Taxonomy'!$C$9:$C$108,D1836)&lt;&gt;1,"Assessment key",IF(OR(COUNTIF('Taxonomy Rules'!$C$42:$C$68,E1836)&lt;&gt;1,F1836&lt;&gt;IFERROR(INDEX('Taxonomy Rules'!$D$42:$D$68,MATCH(E1836,'Taxonomy Rules'!$C$42:$C$68,0)),""),NOT(OR(IFERROR(INDEX('Taxonomy Rules'!$G$42:$G$68,MATCH(E1836,'Taxonomy Rules'!$C$42:$C$68,0)),"")="All supported routes",IFERROR(INDEX('Taxonomy Rules'!$G$42:$G$68,MATCH(E1836,'Taxonomy Rules'!$C$42:$C$68,0)),"")=U1836,AND(IFERROR(INDEX('Taxonomy Rules'!$G$42:$G$68,MATCH(E1836,'Taxonomy Rules'!$C$42:$C$68,0)),"")="Building routes",OR(U1836="Building renovation",U1836="New building",U1836="Building equipment"))))),"Unexpected test","Valid"))))</x:f>
      </x:c>
      <x:c r="S1836" s="9" t="str">
        <x:f>IF(C1836="","",IFERROR(INDEX('Taxonomy Rules'!$E$42:$E$68,MATCH(E1836,'Taxonomy Rules'!$C$42:$C$68,0)),""))</x:f>
      </x:c>
      <x:c r="T1836" s="9" t="str">
        <x:f>IF(C1836="","",IFERROR(INDEX('Taxonomy Rules'!$F$42:$F$68,MATCH(E1836,'Taxonomy Rules'!$C$42:$C$68,0)),""))</x:f>
      </x:c>
      <x:c r="U1836" s="9" t="str">
        <x:f>IF(C1836="","",IFERROR(INDEX('Taxonomy'!$G$9:$G$108,MATCH(D1836,'Taxonomy'!$C$9:$C$108,0)),""))</x:f>
      </x:c>
    </x:row>
    <x:row r="1837" ht="44" customHeight="1">
      <x:c r="A1837" s="1"/>
      <x:c r="B1837" s="1"/>
      <x:c r="C1837" s="8"/>
      <x:c r="D1837" s="8"/>
      <x:c r="E1837" s="8"/>
      <x:c r="F1837" s="8"/>
      <x:c r="G1837" s="8"/>
      <x:c r="H1837" s="8"/>
      <x:c r="I1837" s="8"/>
      <x:c r="J1837" s="8"/>
      <x:c r="K1837" s="8"/>
      <x:c r="L1837" s="8"/>
      <x:c r="M1837" s="10"/>
      <x:c r="N1837" s="10"/>
      <x:c r="O1837" s="8"/>
      <x:c r="P1837" s="9" t="str">
        <x:f>IF(C1837="","",IF(AND(G1837="Applicable",H1837="Fail"),"Fail",IF(R1837&lt;&gt;"Valid","Pending",IF(OR(I1837="",K1837="",L1837="",K1837=L1837,NOT(ISNUMBER(M1837)),NOT(ISNUMBER(N1837)),M1837&gt;Settings!$F$8,N1837&lt;Settings!$F$8,N1837&lt;M1837),"Pending",IF(AND(G1837="Applicable",H1837="Pass"),"Pass",IF(AND(G1837="N/A",H1837="N/A",J1837&lt;&gt;"",OR(E1837="CEM-FUELS",E1837="CEM-CCS",AND(E1837="CEM-PLAN",IFERROR(INDEX('Taxonomy'!$M$9:$M$108,MATCH(D1837,'Taxonomy'!$C$9:$C$108,0)),"")&lt;&gt;"Amber"),E1837="BLD-TIMBER",AND(U1837="Building equipment",OR(E1837="BLD-WATER",E1837="BLD-WASTE",E1837="BLD-LAND")),AND(U1837="Building renovation",E1837="BLD-LAND"))),"N/A","Pending"))))))</x:f>
      </x:c>
      <x:c r="Q1837" s="3" t="str">
        <x:f>IF(C1837="","",IF(AND(R1837="Valid",OR(P1837="Pass",P1837="N/A")),"Complete","Unresolved"))</x:f>
      </x:c>
      <x:c r="R1837" s="9" t="str">
        <x:f>IF(C1837="","",IF(OR(COUNTIF($C$9:$C$2008,C1837)&lt;&gt;1,COUNTIFS($D$9:$D$2008,D1837,$E$9:$E$2008,E1837)&lt;&gt;1),"Duplicate test",IF(COUNTIF('Taxonomy'!$C$9:$C$108,D1837)&lt;&gt;1,"Assessment key",IF(OR(COUNTIF('Taxonomy Rules'!$C$42:$C$68,E1837)&lt;&gt;1,F1837&lt;&gt;IFERROR(INDEX('Taxonomy Rules'!$D$42:$D$68,MATCH(E1837,'Taxonomy Rules'!$C$42:$C$68,0)),""),NOT(OR(IFERROR(INDEX('Taxonomy Rules'!$G$42:$G$68,MATCH(E1837,'Taxonomy Rules'!$C$42:$C$68,0)),"")="All supported routes",IFERROR(INDEX('Taxonomy Rules'!$G$42:$G$68,MATCH(E1837,'Taxonomy Rules'!$C$42:$C$68,0)),"")=U1837,AND(IFERROR(INDEX('Taxonomy Rules'!$G$42:$G$68,MATCH(E1837,'Taxonomy Rules'!$C$42:$C$68,0)),"")="Building routes",OR(U1837="Building renovation",U1837="New building",U1837="Building equipment"))))),"Unexpected test","Valid"))))</x:f>
      </x:c>
      <x:c r="S1837" s="9" t="str">
        <x:f>IF(C1837="","",IFERROR(INDEX('Taxonomy Rules'!$E$42:$E$68,MATCH(E1837,'Taxonomy Rules'!$C$42:$C$68,0)),""))</x:f>
      </x:c>
      <x:c r="T1837" s="9" t="str">
        <x:f>IF(C1837="","",IFERROR(INDEX('Taxonomy Rules'!$F$42:$F$68,MATCH(E1837,'Taxonomy Rules'!$C$42:$C$68,0)),""))</x:f>
      </x:c>
      <x:c r="U1837" s="9" t="str">
        <x:f>IF(C1837="","",IFERROR(INDEX('Taxonomy'!$G$9:$G$108,MATCH(D1837,'Taxonomy'!$C$9:$C$108,0)),""))</x:f>
      </x:c>
    </x:row>
    <x:row r="1838" ht="44" customHeight="1">
      <x:c r="A1838" s="1"/>
      <x:c r="B1838" s="1"/>
      <x:c r="C1838" s="8"/>
      <x:c r="D1838" s="8"/>
      <x:c r="E1838" s="8"/>
      <x:c r="F1838" s="8"/>
      <x:c r="G1838" s="8"/>
      <x:c r="H1838" s="8"/>
      <x:c r="I1838" s="8"/>
      <x:c r="J1838" s="8"/>
      <x:c r="K1838" s="8"/>
      <x:c r="L1838" s="8"/>
      <x:c r="M1838" s="10"/>
      <x:c r="N1838" s="10"/>
      <x:c r="O1838" s="8"/>
      <x:c r="P1838" s="9" t="str">
        <x:f>IF(C1838="","",IF(AND(G1838="Applicable",H1838="Fail"),"Fail",IF(R1838&lt;&gt;"Valid","Pending",IF(OR(I1838="",K1838="",L1838="",K1838=L1838,NOT(ISNUMBER(M1838)),NOT(ISNUMBER(N1838)),M1838&gt;Settings!$F$8,N1838&lt;Settings!$F$8,N1838&lt;M1838),"Pending",IF(AND(G1838="Applicable",H1838="Pass"),"Pass",IF(AND(G1838="N/A",H1838="N/A",J1838&lt;&gt;"",OR(E1838="CEM-FUELS",E1838="CEM-CCS",AND(E1838="CEM-PLAN",IFERROR(INDEX('Taxonomy'!$M$9:$M$108,MATCH(D1838,'Taxonomy'!$C$9:$C$108,0)),"")&lt;&gt;"Amber"),E1838="BLD-TIMBER",AND(U1838="Building equipment",OR(E1838="BLD-WATER",E1838="BLD-WASTE",E1838="BLD-LAND")),AND(U1838="Building renovation",E1838="BLD-LAND"))),"N/A","Pending"))))))</x:f>
      </x:c>
      <x:c r="Q1838" s="3" t="str">
        <x:f>IF(C1838="","",IF(AND(R1838="Valid",OR(P1838="Pass",P1838="N/A")),"Complete","Unresolved"))</x:f>
      </x:c>
      <x:c r="R1838" s="9" t="str">
        <x:f>IF(C1838="","",IF(OR(COUNTIF($C$9:$C$2008,C1838)&lt;&gt;1,COUNTIFS($D$9:$D$2008,D1838,$E$9:$E$2008,E1838)&lt;&gt;1),"Duplicate test",IF(COUNTIF('Taxonomy'!$C$9:$C$108,D1838)&lt;&gt;1,"Assessment key",IF(OR(COUNTIF('Taxonomy Rules'!$C$42:$C$68,E1838)&lt;&gt;1,F1838&lt;&gt;IFERROR(INDEX('Taxonomy Rules'!$D$42:$D$68,MATCH(E1838,'Taxonomy Rules'!$C$42:$C$68,0)),""),NOT(OR(IFERROR(INDEX('Taxonomy Rules'!$G$42:$G$68,MATCH(E1838,'Taxonomy Rules'!$C$42:$C$68,0)),"")="All supported routes",IFERROR(INDEX('Taxonomy Rules'!$G$42:$G$68,MATCH(E1838,'Taxonomy Rules'!$C$42:$C$68,0)),"")=U1838,AND(IFERROR(INDEX('Taxonomy Rules'!$G$42:$G$68,MATCH(E1838,'Taxonomy Rules'!$C$42:$C$68,0)),"")="Building routes",OR(U1838="Building renovation",U1838="New building",U1838="Building equipment"))))),"Unexpected test","Valid"))))</x:f>
      </x:c>
      <x:c r="S1838" s="9" t="str">
        <x:f>IF(C1838="","",IFERROR(INDEX('Taxonomy Rules'!$E$42:$E$68,MATCH(E1838,'Taxonomy Rules'!$C$42:$C$68,0)),""))</x:f>
      </x:c>
      <x:c r="T1838" s="9" t="str">
        <x:f>IF(C1838="","",IFERROR(INDEX('Taxonomy Rules'!$F$42:$F$68,MATCH(E1838,'Taxonomy Rules'!$C$42:$C$68,0)),""))</x:f>
      </x:c>
      <x:c r="U1838" s="9" t="str">
        <x:f>IF(C1838="","",IFERROR(INDEX('Taxonomy'!$G$9:$G$108,MATCH(D1838,'Taxonomy'!$C$9:$C$108,0)),""))</x:f>
      </x:c>
    </x:row>
    <x:row r="1839" ht="44" customHeight="1">
      <x:c r="A1839" s="1"/>
      <x:c r="B1839" s="1"/>
      <x:c r="C1839" s="8"/>
      <x:c r="D1839" s="8"/>
      <x:c r="E1839" s="8"/>
      <x:c r="F1839" s="8"/>
      <x:c r="G1839" s="8"/>
      <x:c r="H1839" s="8"/>
      <x:c r="I1839" s="8"/>
      <x:c r="J1839" s="8"/>
      <x:c r="K1839" s="8"/>
      <x:c r="L1839" s="8"/>
      <x:c r="M1839" s="10"/>
      <x:c r="N1839" s="10"/>
      <x:c r="O1839" s="8"/>
      <x:c r="P1839" s="9" t="str">
        <x:f>IF(C1839="","",IF(AND(G1839="Applicable",H1839="Fail"),"Fail",IF(R1839&lt;&gt;"Valid","Pending",IF(OR(I1839="",K1839="",L1839="",K1839=L1839,NOT(ISNUMBER(M1839)),NOT(ISNUMBER(N1839)),M1839&gt;Settings!$F$8,N1839&lt;Settings!$F$8,N1839&lt;M1839),"Pending",IF(AND(G1839="Applicable",H1839="Pass"),"Pass",IF(AND(G1839="N/A",H1839="N/A",J1839&lt;&gt;"",OR(E1839="CEM-FUELS",E1839="CEM-CCS",AND(E1839="CEM-PLAN",IFERROR(INDEX('Taxonomy'!$M$9:$M$108,MATCH(D1839,'Taxonomy'!$C$9:$C$108,0)),"")&lt;&gt;"Amber"),E1839="BLD-TIMBER",AND(U1839="Building equipment",OR(E1839="BLD-WATER",E1839="BLD-WASTE",E1839="BLD-LAND")),AND(U1839="Building renovation",E1839="BLD-LAND"))),"N/A","Pending"))))))</x:f>
      </x:c>
      <x:c r="Q1839" s="3" t="str">
        <x:f>IF(C1839="","",IF(AND(R1839="Valid",OR(P1839="Pass",P1839="N/A")),"Complete","Unresolved"))</x:f>
      </x:c>
      <x:c r="R1839" s="9" t="str">
        <x:f>IF(C1839="","",IF(OR(COUNTIF($C$9:$C$2008,C1839)&lt;&gt;1,COUNTIFS($D$9:$D$2008,D1839,$E$9:$E$2008,E1839)&lt;&gt;1),"Duplicate test",IF(COUNTIF('Taxonomy'!$C$9:$C$108,D1839)&lt;&gt;1,"Assessment key",IF(OR(COUNTIF('Taxonomy Rules'!$C$42:$C$68,E1839)&lt;&gt;1,F1839&lt;&gt;IFERROR(INDEX('Taxonomy Rules'!$D$42:$D$68,MATCH(E1839,'Taxonomy Rules'!$C$42:$C$68,0)),""),NOT(OR(IFERROR(INDEX('Taxonomy Rules'!$G$42:$G$68,MATCH(E1839,'Taxonomy Rules'!$C$42:$C$68,0)),"")="All supported routes",IFERROR(INDEX('Taxonomy Rules'!$G$42:$G$68,MATCH(E1839,'Taxonomy Rules'!$C$42:$C$68,0)),"")=U1839,AND(IFERROR(INDEX('Taxonomy Rules'!$G$42:$G$68,MATCH(E1839,'Taxonomy Rules'!$C$42:$C$68,0)),"")="Building routes",OR(U1839="Building renovation",U1839="New building",U1839="Building equipment"))))),"Unexpected test","Valid"))))</x:f>
      </x:c>
      <x:c r="S1839" s="9" t="str">
        <x:f>IF(C1839="","",IFERROR(INDEX('Taxonomy Rules'!$E$42:$E$68,MATCH(E1839,'Taxonomy Rules'!$C$42:$C$68,0)),""))</x:f>
      </x:c>
      <x:c r="T1839" s="9" t="str">
        <x:f>IF(C1839="","",IFERROR(INDEX('Taxonomy Rules'!$F$42:$F$68,MATCH(E1839,'Taxonomy Rules'!$C$42:$C$68,0)),""))</x:f>
      </x:c>
      <x:c r="U1839" s="9" t="str">
        <x:f>IF(C1839="","",IFERROR(INDEX('Taxonomy'!$G$9:$G$108,MATCH(D1839,'Taxonomy'!$C$9:$C$108,0)),""))</x:f>
      </x:c>
    </x:row>
    <x:row r="1840" ht="44" customHeight="1">
      <x:c r="A1840" s="1"/>
      <x:c r="B1840" s="1"/>
      <x:c r="C1840" s="8"/>
      <x:c r="D1840" s="8"/>
      <x:c r="E1840" s="8"/>
      <x:c r="F1840" s="8"/>
      <x:c r="G1840" s="8"/>
      <x:c r="H1840" s="8"/>
      <x:c r="I1840" s="8"/>
      <x:c r="J1840" s="8"/>
      <x:c r="K1840" s="8"/>
      <x:c r="L1840" s="8"/>
      <x:c r="M1840" s="10"/>
      <x:c r="N1840" s="10"/>
      <x:c r="O1840" s="8"/>
      <x:c r="P1840" s="9" t="str">
        <x:f>IF(C1840="","",IF(AND(G1840="Applicable",H1840="Fail"),"Fail",IF(R1840&lt;&gt;"Valid","Pending",IF(OR(I1840="",K1840="",L1840="",K1840=L1840,NOT(ISNUMBER(M1840)),NOT(ISNUMBER(N1840)),M1840&gt;Settings!$F$8,N1840&lt;Settings!$F$8,N1840&lt;M1840),"Pending",IF(AND(G1840="Applicable",H1840="Pass"),"Pass",IF(AND(G1840="N/A",H1840="N/A",J1840&lt;&gt;"",OR(E1840="CEM-FUELS",E1840="CEM-CCS",AND(E1840="CEM-PLAN",IFERROR(INDEX('Taxonomy'!$M$9:$M$108,MATCH(D1840,'Taxonomy'!$C$9:$C$108,0)),"")&lt;&gt;"Amber"),E1840="BLD-TIMBER",AND(U1840="Building equipment",OR(E1840="BLD-WATER",E1840="BLD-WASTE",E1840="BLD-LAND")),AND(U1840="Building renovation",E1840="BLD-LAND"))),"N/A","Pending"))))))</x:f>
      </x:c>
      <x:c r="Q1840" s="3" t="str">
        <x:f>IF(C1840="","",IF(AND(R1840="Valid",OR(P1840="Pass",P1840="N/A")),"Complete","Unresolved"))</x:f>
      </x:c>
      <x:c r="R1840" s="9" t="str">
        <x:f>IF(C1840="","",IF(OR(COUNTIF($C$9:$C$2008,C1840)&lt;&gt;1,COUNTIFS($D$9:$D$2008,D1840,$E$9:$E$2008,E1840)&lt;&gt;1),"Duplicate test",IF(COUNTIF('Taxonomy'!$C$9:$C$108,D1840)&lt;&gt;1,"Assessment key",IF(OR(COUNTIF('Taxonomy Rules'!$C$42:$C$68,E1840)&lt;&gt;1,F1840&lt;&gt;IFERROR(INDEX('Taxonomy Rules'!$D$42:$D$68,MATCH(E1840,'Taxonomy Rules'!$C$42:$C$68,0)),""),NOT(OR(IFERROR(INDEX('Taxonomy Rules'!$G$42:$G$68,MATCH(E1840,'Taxonomy Rules'!$C$42:$C$68,0)),"")="All supported routes",IFERROR(INDEX('Taxonomy Rules'!$G$42:$G$68,MATCH(E1840,'Taxonomy Rules'!$C$42:$C$68,0)),"")=U1840,AND(IFERROR(INDEX('Taxonomy Rules'!$G$42:$G$68,MATCH(E1840,'Taxonomy Rules'!$C$42:$C$68,0)),"")="Building routes",OR(U1840="Building renovation",U1840="New building",U1840="Building equipment"))))),"Unexpected test","Valid"))))</x:f>
      </x:c>
      <x:c r="S1840" s="9" t="str">
        <x:f>IF(C1840="","",IFERROR(INDEX('Taxonomy Rules'!$E$42:$E$68,MATCH(E1840,'Taxonomy Rules'!$C$42:$C$68,0)),""))</x:f>
      </x:c>
      <x:c r="T1840" s="9" t="str">
        <x:f>IF(C1840="","",IFERROR(INDEX('Taxonomy Rules'!$F$42:$F$68,MATCH(E1840,'Taxonomy Rules'!$C$42:$C$68,0)),""))</x:f>
      </x:c>
      <x:c r="U1840" s="9" t="str">
        <x:f>IF(C1840="","",IFERROR(INDEX('Taxonomy'!$G$9:$G$108,MATCH(D1840,'Taxonomy'!$C$9:$C$108,0)),""))</x:f>
      </x:c>
    </x:row>
    <x:row r="1841" ht="44" customHeight="1">
      <x:c r="A1841" s="1"/>
      <x:c r="B1841" s="1"/>
      <x:c r="C1841" s="8"/>
      <x:c r="D1841" s="8"/>
      <x:c r="E1841" s="8"/>
      <x:c r="F1841" s="8"/>
      <x:c r="G1841" s="8"/>
      <x:c r="H1841" s="8"/>
      <x:c r="I1841" s="8"/>
      <x:c r="J1841" s="8"/>
      <x:c r="K1841" s="8"/>
      <x:c r="L1841" s="8"/>
      <x:c r="M1841" s="10"/>
      <x:c r="N1841" s="10"/>
      <x:c r="O1841" s="8"/>
      <x:c r="P1841" s="9" t="str">
        <x:f>IF(C1841="","",IF(AND(G1841="Applicable",H1841="Fail"),"Fail",IF(R1841&lt;&gt;"Valid","Pending",IF(OR(I1841="",K1841="",L1841="",K1841=L1841,NOT(ISNUMBER(M1841)),NOT(ISNUMBER(N1841)),M1841&gt;Settings!$F$8,N1841&lt;Settings!$F$8,N1841&lt;M1841),"Pending",IF(AND(G1841="Applicable",H1841="Pass"),"Pass",IF(AND(G1841="N/A",H1841="N/A",J1841&lt;&gt;"",OR(E1841="CEM-FUELS",E1841="CEM-CCS",AND(E1841="CEM-PLAN",IFERROR(INDEX('Taxonomy'!$M$9:$M$108,MATCH(D1841,'Taxonomy'!$C$9:$C$108,0)),"")&lt;&gt;"Amber"),E1841="BLD-TIMBER",AND(U1841="Building equipment",OR(E1841="BLD-WATER",E1841="BLD-WASTE",E1841="BLD-LAND")),AND(U1841="Building renovation",E1841="BLD-LAND"))),"N/A","Pending"))))))</x:f>
      </x:c>
      <x:c r="Q1841" s="3" t="str">
        <x:f>IF(C1841="","",IF(AND(R1841="Valid",OR(P1841="Pass",P1841="N/A")),"Complete","Unresolved"))</x:f>
      </x:c>
      <x:c r="R1841" s="9" t="str">
        <x:f>IF(C1841="","",IF(OR(COUNTIF($C$9:$C$2008,C1841)&lt;&gt;1,COUNTIFS($D$9:$D$2008,D1841,$E$9:$E$2008,E1841)&lt;&gt;1),"Duplicate test",IF(COUNTIF('Taxonomy'!$C$9:$C$108,D1841)&lt;&gt;1,"Assessment key",IF(OR(COUNTIF('Taxonomy Rules'!$C$42:$C$68,E1841)&lt;&gt;1,F1841&lt;&gt;IFERROR(INDEX('Taxonomy Rules'!$D$42:$D$68,MATCH(E1841,'Taxonomy Rules'!$C$42:$C$68,0)),""),NOT(OR(IFERROR(INDEX('Taxonomy Rules'!$G$42:$G$68,MATCH(E1841,'Taxonomy Rules'!$C$42:$C$68,0)),"")="All supported routes",IFERROR(INDEX('Taxonomy Rules'!$G$42:$G$68,MATCH(E1841,'Taxonomy Rules'!$C$42:$C$68,0)),"")=U1841,AND(IFERROR(INDEX('Taxonomy Rules'!$G$42:$G$68,MATCH(E1841,'Taxonomy Rules'!$C$42:$C$68,0)),"")="Building routes",OR(U1841="Building renovation",U1841="New building",U1841="Building equipment"))))),"Unexpected test","Valid"))))</x:f>
      </x:c>
      <x:c r="S1841" s="9" t="str">
        <x:f>IF(C1841="","",IFERROR(INDEX('Taxonomy Rules'!$E$42:$E$68,MATCH(E1841,'Taxonomy Rules'!$C$42:$C$68,0)),""))</x:f>
      </x:c>
      <x:c r="T1841" s="9" t="str">
        <x:f>IF(C1841="","",IFERROR(INDEX('Taxonomy Rules'!$F$42:$F$68,MATCH(E1841,'Taxonomy Rules'!$C$42:$C$68,0)),""))</x:f>
      </x:c>
      <x:c r="U1841" s="9" t="str">
        <x:f>IF(C1841="","",IFERROR(INDEX('Taxonomy'!$G$9:$G$108,MATCH(D1841,'Taxonomy'!$C$9:$C$108,0)),""))</x:f>
      </x:c>
    </x:row>
    <x:row r="1842" ht="44" customHeight="1">
      <x:c r="A1842" s="1"/>
      <x:c r="B1842" s="1"/>
      <x:c r="C1842" s="8"/>
      <x:c r="D1842" s="8"/>
      <x:c r="E1842" s="8"/>
      <x:c r="F1842" s="8"/>
      <x:c r="G1842" s="8"/>
      <x:c r="H1842" s="8"/>
      <x:c r="I1842" s="8"/>
      <x:c r="J1842" s="8"/>
      <x:c r="K1842" s="8"/>
      <x:c r="L1842" s="8"/>
      <x:c r="M1842" s="10"/>
      <x:c r="N1842" s="10"/>
      <x:c r="O1842" s="8"/>
      <x:c r="P1842" s="9" t="str">
        <x:f>IF(C1842="","",IF(AND(G1842="Applicable",H1842="Fail"),"Fail",IF(R1842&lt;&gt;"Valid","Pending",IF(OR(I1842="",K1842="",L1842="",K1842=L1842,NOT(ISNUMBER(M1842)),NOT(ISNUMBER(N1842)),M1842&gt;Settings!$F$8,N1842&lt;Settings!$F$8,N1842&lt;M1842),"Pending",IF(AND(G1842="Applicable",H1842="Pass"),"Pass",IF(AND(G1842="N/A",H1842="N/A",J1842&lt;&gt;"",OR(E1842="CEM-FUELS",E1842="CEM-CCS",AND(E1842="CEM-PLAN",IFERROR(INDEX('Taxonomy'!$M$9:$M$108,MATCH(D1842,'Taxonomy'!$C$9:$C$108,0)),"")&lt;&gt;"Amber"),E1842="BLD-TIMBER",AND(U1842="Building equipment",OR(E1842="BLD-WATER",E1842="BLD-WASTE",E1842="BLD-LAND")),AND(U1842="Building renovation",E1842="BLD-LAND"))),"N/A","Pending"))))))</x:f>
      </x:c>
      <x:c r="Q1842" s="3" t="str">
        <x:f>IF(C1842="","",IF(AND(R1842="Valid",OR(P1842="Pass",P1842="N/A")),"Complete","Unresolved"))</x:f>
      </x:c>
      <x:c r="R1842" s="9" t="str">
        <x:f>IF(C1842="","",IF(OR(COUNTIF($C$9:$C$2008,C1842)&lt;&gt;1,COUNTIFS($D$9:$D$2008,D1842,$E$9:$E$2008,E1842)&lt;&gt;1),"Duplicate test",IF(COUNTIF('Taxonomy'!$C$9:$C$108,D1842)&lt;&gt;1,"Assessment key",IF(OR(COUNTIF('Taxonomy Rules'!$C$42:$C$68,E1842)&lt;&gt;1,F1842&lt;&gt;IFERROR(INDEX('Taxonomy Rules'!$D$42:$D$68,MATCH(E1842,'Taxonomy Rules'!$C$42:$C$68,0)),""),NOT(OR(IFERROR(INDEX('Taxonomy Rules'!$G$42:$G$68,MATCH(E1842,'Taxonomy Rules'!$C$42:$C$68,0)),"")="All supported routes",IFERROR(INDEX('Taxonomy Rules'!$G$42:$G$68,MATCH(E1842,'Taxonomy Rules'!$C$42:$C$68,0)),"")=U1842,AND(IFERROR(INDEX('Taxonomy Rules'!$G$42:$G$68,MATCH(E1842,'Taxonomy Rules'!$C$42:$C$68,0)),"")="Building routes",OR(U1842="Building renovation",U1842="New building",U1842="Building equipment"))))),"Unexpected test","Valid"))))</x:f>
      </x:c>
      <x:c r="S1842" s="9" t="str">
        <x:f>IF(C1842="","",IFERROR(INDEX('Taxonomy Rules'!$E$42:$E$68,MATCH(E1842,'Taxonomy Rules'!$C$42:$C$68,0)),""))</x:f>
      </x:c>
      <x:c r="T1842" s="9" t="str">
        <x:f>IF(C1842="","",IFERROR(INDEX('Taxonomy Rules'!$F$42:$F$68,MATCH(E1842,'Taxonomy Rules'!$C$42:$C$68,0)),""))</x:f>
      </x:c>
      <x:c r="U1842" s="9" t="str">
        <x:f>IF(C1842="","",IFERROR(INDEX('Taxonomy'!$G$9:$G$108,MATCH(D1842,'Taxonomy'!$C$9:$C$108,0)),""))</x:f>
      </x:c>
    </x:row>
    <x:row r="1843" ht="44" customHeight="1">
      <x:c r="A1843" s="1"/>
      <x:c r="B1843" s="1"/>
      <x:c r="C1843" s="8"/>
      <x:c r="D1843" s="8"/>
      <x:c r="E1843" s="8"/>
      <x:c r="F1843" s="8"/>
      <x:c r="G1843" s="8"/>
      <x:c r="H1843" s="8"/>
      <x:c r="I1843" s="8"/>
      <x:c r="J1843" s="8"/>
      <x:c r="K1843" s="8"/>
      <x:c r="L1843" s="8"/>
      <x:c r="M1843" s="10"/>
      <x:c r="N1843" s="10"/>
      <x:c r="O1843" s="8"/>
      <x:c r="P1843" s="9" t="str">
        <x:f>IF(C1843="","",IF(AND(G1843="Applicable",H1843="Fail"),"Fail",IF(R1843&lt;&gt;"Valid","Pending",IF(OR(I1843="",K1843="",L1843="",K1843=L1843,NOT(ISNUMBER(M1843)),NOT(ISNUMBER(N1843)),M1843&gt;Settings!$F$8,N1843&lt;Settings!$F$8,N1843&lt;M1843),"Pending",IF(AND(G1843="Applicable",H1843="Pass"),"Pass",IF(AND(G1843="N/A",H1843="N/A",J1843&lt;&gt;"",OR(E1843="CEM-FUELS",E1843="CEM-CCS",AND(E1843="CEM-PLAN",IFERROR(INDEX('Taxonomy'!$M$9:$M$108,MATCH(D1843,'Taxonomy'!$C$9:$C$108,0)),"")&lt;&gt;"Amber"),E1843="BLD-TIMBER",AND(U1843="Building equipment",OR(E1843="BLD-WATER",E1843="BLD-WASTE",E1843="BLD-LAND")),AND(U1843="Building renovation",E1843="BLD-LAND"))),"N/A","Pending"))))))</x:f>
      </x:c>
      <x:c r="Q1843" s="3" t="str">
        <x:f>IF(C1843="","",IF(AND(R1843="Valid",OR(P1843="Pass",P1843="N/A")),"Complete","Unresolved"))</x:f>
      </x:c>
      <x:c r="R1843" s="9" t="str">
        <x:f>IF(C1843="","",IF(OR(COUNTIF($C$9:$C$2008,C1843)&lt;&gt;1,COUNTIFS($D$9:$D$2008,D1843,$E$9:$E$2008,E1843)&lt;&gt;1),"Duplicate test",IF(COUNTIF('Taxonomy'!$C$9:$C$108,D1843)&lt;&gt;1,"Assessment key",IF(OR(COUNTIF('Taxonomy Rules'!$C$42:$C$68,E1843)&lt;&gt;1,F1843&lt;&gt;IFERROR(INDEX('Taxonomy Rules'!$D$42:$D$68,MATCH(E1843,'Taxonomy Rules'!$C$42:$C$68,0)),""),NOT(OR(IFERROR(INDEX('Taxonomy Rules'!$G$42:$G$68,MATCH(E1843,'Taxonomy Rules'!$C$42:$C$68,0)),"")="All supported routes",IFERROR(INDEX('Taxonomy Rules'!$G$42:$G$68,MATCH(E1843,'Taxonomy Rules'!$C$42:$C$68,0)),"")=U1843,AND(IFERROR(INDEX('Taxonomy Rules'!$G$42:$G$68,MATCH(E1843,'Taxonomy Rules'!$C$42:$C$68,0)),"")="Building routes",OR(U1843="Building renovation",U1843="New building",U1843="Building equipment"))))),"Unexpected test","Valid"))))</x:f>
      </x:c>
      <x:c r="S1843" s="9" t="str">
        <x:f>IF(C1843="","",IFERROR(INDEX('Taxonomy Rules'!$E$42:$E$68,MATCH(E1843,'Taxonomy Rules'!$C$42:$C$68,0)),""))</x:f>
      </x:c>
      <x:c r="T1843" s="9" t="str">
        <x:f>IF(C1843="","",IFERROR(INDEX('Taxonomy Rules'!$F$42:$F$68,MATCH(E1843,'Taxonomy Rules'!$C$42:$C$68,0)),""))</x:f>
      </x:c>
      <x:c r="U1843" s="9" t="str">
        <x:f>IF(C1843="","",IFERROR(INDEX('Taxonomy'!$G$9:$G$108,MATCH(D1843,'Taxonomy'!$C$9:$C$108,0)),""))</x:f>
      </x:c>
    </x:row>
    <x:row r="1844" ht="44" customHeight="1">
      <x:c r="A1844" s="1"/>
      <x:c r="B1844" s="1"/>
      <x:c r="C1844" s="8"/>
      <x:c r="D1844" s="8"/>
      <x:c r="E1844" s="8"/>
      <x:c r="F1844" s="8"/>
      <x:c r="G1844" s="8"/>
      <x:c r="H1844" s="8"/>
      <x:c r="I1844" s="8"/>
      <x:c r="J1844" s="8"/>
      <x:c r="K1844" s="8"/>
      <x:c r="L1844" s="8"/>
      <x:c r="M1844" s="10"/>
      <x:c r="N1844" s="10"/>
      <x:c r="O1844" s="8"/>
      <x:c r="P1844" s="9" t="str">
        <x:f>IF(C1844="","",IF(AND(G1844="Applicable",H1844="Fail"),"Fail",IF(R1844&lt;&gt;"Valid","Pending",IF(OR(I1844="",K1844="",L1844="",K1844=L1844,NOT(ISNUMBER(M1844)),NOT(ISNUMBER(N1844)),M1844&gt;Settings!$F$8,N1844&lt;Settings!$F$8,N1844&lt;M1844),"Pending",IF(AND(G1844="Applicable",H1844="Pass"),"Pass",IF(AND(G1844="N/A",H1844="N/A",J1844&lt;&gt;"",OR(E1844="CEM-FUELS",E1844="CEM-CCS",AND(E1844="CEM-PLAN",IFERROR(INDEX('Taxonomy'!$M$9:$M$108,MATCH(D1844,'Taxonomy'!$C$9:$C$108,0)),"")&lt;&gt;"Amber"),E1844="BLD-TIMBER",AND(U1844="Building equipment",OR(E1844="BLD-WATER",E1844="BLD-WASTE",E1844="BLD-LAND")),AND(U1844="Building renovation",E1844="BLD-LAND"))),"N/A","Pending"))))))</x:f>
      </x:c>
      <x:c r="Q1844" s="3" t="str">
        <x:f>IF(C1844="","",IF(AND(R1844="Valid",OR(P1844="Pass",P1844="N/A")),"Complete","Unresolved"))</x:f>
      </x:c>
      <x:c r="R1844" s="9" t="str">
        <x:f>IF(C1844="","",IF(OR(COUNTIF($C$9:$C$2008,C1844)&lt;&gt;1,COUNTIFS($D$9:$D$2008,D1844,$E$9:$E$2008,E1844)&lt;&gt;1),"Duplicate test",IF(COUNTIF('Taxonomy'!$C$9:$C$108,D1844)&lt;&gt;1,"Assessment key",IF(OR(COUNTIF('Taxonomy Rules'!$C$42:$C$68,E1844)&lt;&gt;1,F1844&lt;&gt;IFERROR(INDEX('Taxonomy Rules'!$D$42:$D$68,MATCH(E1844,'Taxonomy Rules'!$C$42:$C$68,0)),""),NOT(OR(IFERROR(INDEX('Taxonomy Rules'!$G$42:$G$68,MATCH(E1844,'Taxonomy Rules'!$C$42:$C$68,0)),"")="All supported routes",IFERROR(INDEX('Taxonomy Rules'!$G$42:$G$68,MATCH(E1844,'Taxonomy Rules'!$C$42:$C$68,0)),"")=U1844,AND(IFERROR(INDEX('Taxonomy Rules'!$G$42:$G$68,MATCH(E1844,'Taxonomy Rules'!$C$42:$C$68,0)),"")="Building routes",OR(U1844="Building renovation",U1844="New building",U1844="Building equipment"))))),"Unexpected test","Valid"))))</x:f>
      </x:c>
      <x:c r="S1844" s="9" t="str">
        <x:f>IF(C1844="","",IFERROR(INDEX('Taxonomy Rules'!$E$42:$E$68,MATCH(E1844,'Taxonomy Rules'!$C$42:$C$68,0)),""))</x:f>
      </x:c>
      <x:c r="T1844" s="9" t="str">
        <x:f>IF(C1844="","",IFERROR(INDEX('Taxonomy Rules'!$F$42:$F$68,MATCH(E1844,'Taxonomy Rules'!$C$42:$C$68,0)),""))</x:f>
      </x:c>
      <x:c r="U1844" s="9" t="str">
        <x:f>IF(C1844="","",IFERROR(INDEX('Taxonomy'!$G$9:$G$108,MATCH(D1844,'Taxonomy'!$C$9:$C$108,0)),""))</x:f>
      </x:c>
    </x:row>
    <x:row r="1845" ht="44" customHeight="1">
      <x:c r="A1845" s="1"/>
      <x:c r="B1845" s="1"/>
      <x:c r="C1845" s="8"/>
      <x:c r="D1845" s="8"/>
      <x:c r="E1845" s="8"/>
      <x:c r="F1845" s="8"/>
      <x:c r="G1845" s="8"/>
      <x:c r="H1845" s="8"/>
      <x:c r="I1845" s="8"/>
      <x:c r="J1845" s="8"/>
      <x:c r="K1845" s="8"/>
      <x:c r="L1845" s="8"/>
      <x:c r="M1845" s="10"/>
      <x:c r="N1845" s="10"/>
      <x:c r="O1845" s="8"/>
      <x:c r="P1845" s="9" t="str">
        <x:f>IF(C1845="","",IF(AND(G1845="Applicable",H1845="Fail"),"Fail",IF(R1845&lt;&gt;"Valid","Pending",IF(OR(I1845="",K1845="",L1845="",K1845=L1845,NOT(ISNUMBER(M1845)),NOT(ISNUMBER(N1845)),M1845&gt;Settings!$F$8,N1845&lt;Settings!$F$8,N1845&lt;M1845),"Pending",IF(AND(G1845="Applicable",H1845="Pass"),"Pass",IF(AND(G1845="N/A",H1845="N/A",J1845&lt;&gt;"",OR(E1845="CEM-FUELS",E1845="CEM-CCS",AND(E1845="CEM-PLAN",IFERROR(INDEX('Taxonomy'!$M$9:$M$108,MATCH(D1845,'Taxonomy'!$C$9:$C$108,0)),"")&lt;&gt;"Amber"),E1845="BLD-TIMBER",AND(U1845="Building equipment",OR(E1845="BLD-WATER",E1845="BLD-WASTE",E1845="BLD-LAND")),AND(U1845="Building renovation",E1845="BLD-LAND"))),"N/A","Pending"))))))</x:f>
      </x:c>
      <x:c r="Q1845" s="3" t="str">
        <x:f>IF(C1845="","",IF(AND(R1845="Valid",OR(P1845="Pass",P1845="N/A")),"Complete","Unresolved"))</x:f>
      </x:c>
      <x:c r="R1845" s="9" t="str">
        <x:f>IF(C1845="","",IF(OR(COUNTIF($C$9:$C$2008,C1845)&lt;&gt;1,COUNTIFS($D$9:$D$2008,D1845,$E$9:$E$2008,E1845)&lt;&gt;1),"Duplicate test",IF(COUNTIF('Taxonomy'!$C$9:$C$108,D1845)&lt;&gt;1,"Assessment key",IF(OR(COUNTIF('Taxonomy Rules'!$C$42:$C$68,E1845)&lt;&gt;1,F1845&lt;&gt;IFERROR(INDEX('Taxonomy Rules'!$D$42:$D$68,MATCH(E1845,'Taxonomy Rules'!$C$42:$C$68,0)),""),NOT(OR(IFERROR(INDEX('Taxonomy Rules'!$G$42:$G$68,MATCH(E1845,'Taxonomy Rules'!$C$42:$C$68,0)),"")="All supported routes",IFERROR(INDEX('Taxonomy Rules'!$G$42:$G$68,MATCH(E1845,'Taxonomy Rules'!$C$42:$C$68,0)),"")=U1845,AND(IFERROR(INDEX('Taxonomy Rules'!$G$42:$G$68,MATCH(E1845,'Taxonomy Rules'!$C$42:$C$68,0)),"")="Building routes",OR(U1845="Building renovation",U1845="New building",U1845="Building equipment"))))),"Unexpected test","Valid"))))</x:f>
      </x:c>
      <x:c r="S1845" s="9" t="str">
        <x:f>IF(C1845="","",IFERROR(INDEX('Taxonomy Rules'!$E$42:$E$68,MATCH(E1845,'Taxonomy Rules'!$C$42:$C$68,0)),""))</x:f>
      </x:c>
      <x:c r="T1845" s="9" t="str">
        <x:f>IF(C1845="","",IFERROR(INDEX('Taxonomy Rules'!$F$42:$F$68,MATCH(E1845,'Taxonomy Rules'!$C$42:$C$68,0)),""))</x:f>
      </x:c>
      <x:c r="U1845" s="9" t="str">
        <x:f>IF(C1845="","",IFERROR(INDEX('Taxonomy'!$G$9:$G$108,MATCH(D1845,'Taxonomy'!$C$9:$C$108,0)),""))</x:f>
      </x:c>
    </x:row>
    <x:row r="1846" ht="44" customHeight="1">
      <x:c r="A1846" s="1"/>
      <x:c r="B1846" s="1"/>
      <x:c r="C1846" s="8"/>
      <x:c r="D1846" s="8"/>
      <x:c r="E1846" s="8"/>
      <x:c r="F1846" s="8"/>
      <x:c r="G1846" s="8"/>
      <x:c r="H1846" s="8"/>
      <x:c r="I1846" s="8"/>
      <x:c r="J1846" s="8"/>
      <x:c r="K1846" s="8"/>
      <x:c r="L1846" s="8"/>
      <x:c r="M1846" s="10"/>
      <x:c r="N1846" s="10"/>
      <x:c r="O1846" s="8"/>
      <x:c r="P1846" s="9" t="str">
        <x:f>IF(C1846="","",IF(AND(G1846="Applicable",H1846="Fail"),"Fail",IF(R1846&lt;&gt;"Valid","Pending",IF(OR(I1846="",K1846="",L1846="",K1846=L1846,NOT(ISNUMBER(M1846)),NOT(ISNUMBER(N1846)),M1846&gt;Settings!$F$8,N1846&lt;Settings!$F$8,N1846&lt;M1846),"Pending",IF(AND(G1846="Applicable",H1846="Pass"),"Pass",IF(AND(G1846="N/A",H1846="N/A",J1846&lt;&gt;"",OR(E1846="CEM-FUELS",E1846="CEM-CCS",AND(E1846="CEM-PLAN",IFERROR(INDEX('Taxonomy'!$M$9:$M$108,MATCH(D1846,'Taxonomy'!$C$9:$C$108,0)),"")&lt;&gt;"Amber"),E1846="BLD-TIMBER",AND(U1846="Building equipment",OR(E1846="BLD-WATER",E1846="BLD-WASTE",E1846="BLD-LAND")),AND(U1846="Building renovation",E1846="BLD-LAND"))),"N/A","Pending"))))))</x:f>
      </x:c>
      <x:c r="Q1846" s="3" t="str">
        <x:f>IF(C1846="","",IF(AND(R1846="Valid",OR(P1846="Pass",P1846="N/A")),"Complete","Unresolved"))</x:f>
      </x:c>
      <x:c r="R1846" s="9" t="str">
        <x:f>IF(C1846="","",IF(OR(COUNTIF($C$9:$C$2008,C1846)&lt;&gt;1,COUNTIFS($D$9:$D$2008,D1846,$E$9:$E$2008,E1846)&lt;&gt;1),"Duplicate test",IF(COUNTIF('Taxonomy'!$C$9:$C$108,D1846)&lt;&gt;1,"Assessment key",IF(OR(COUNTIF('Taxonomy Rules'!$C$42:$C$68,E1846)&lt;&gt;1,F1846&lt;&gt;IFERROR(INDEX('Taxonomy Rules'!$D$42:$D$68,MATCH(E1846,'Taxonomy Rules'!$C$42:$C$68,0)),""),NOT(OR(IFERROR(INDEX('Taxonomy Rules'!$G$42:$G$68,MATCH(E1846,'Taxonomy Rules'!$C$42:$C$68,0)),"")="All supported routes",IFERROR(INDEX('Taxonomy Rules'!$G$42:$G$68,MATCH(E1846,'Taxonomy Rules'!$C$42:$C$68,0)),"")=U1846,AND(IFERROR(INDEX('Taxonomy Rules'!$G$42:$G$68,MATCH(E1846,'Taxonomy Rules'!$C$42:$C$68,0)),"")="Building routes",OR(U1846="Building renovation",U1846="New building",U1846="Building equipment"))))),"Unexpected test","Valid"))))</x:f>
      </x:c>
      <x:c r="S1846" s="9" t="str">
        <x:f>IF(C1846="","",IFERROR(INDEX('Taxonomy Rules'!$E$42:$E$68,MATCH(E1846,'Taxonomy Rules'!$C$42:$C$68,0)),""))</x:f>
      </x:c>
      <x:c r="T1846" s="9" t="str">
        <x:f>IF(C1846="","",IFERROR(INDEX('Taxonomy Rules'!$F$42:$F$68,MATCH(E1846,'Taxonomy Rules'!$C$42:$C$68,0)),""))</x:f>
      </x:c>
      <x:c r="U1846" s="9" t="str">
        <x:f>IF(C1846="","",IFERROR(INDEX('Taxonomy'!$G$9:$G$108,MATCH(D1846,'Taxonomy'!$C$9:$C$108,0)),""))</x:f>
      </x:c>
    </x:row>
    <x:row r="1847" ht="44" customHeight="1">
      <x:c r="A1847" s="1"/>
      <x:c r="B1847" s="1"/>
      <x:c r="C1847" s="8"/>
      <x:c r="D1847" s="8"/>
      <x:c r="E1847" s="8"/>
      <x:c r="F1847" s="8"/>
      <x:c r="G1847" s="8"/>
      <x:c r="H1847" s="8"/>
      <x:c r="I1847" s="8"/>
      <x:c r="J1847" s="8"/>
      <x:c r="K1847" s="8"/>
      <x:c r="L1847" s="8"/>
      <x:c r="M1847" s="10"/>
      <x:c r="N1847" s="10"/>
      <x:c r="O1847" s="8"/>
      <x:c r="P1847" s="9" t="str">
        <x:f>IF(C1847="","",IF(AND(G1847="Applicable",H1847="Fail"),"Fail",IF(R1847&lt;&gt;"Valid","Pending",IF(OR(I1847="",K1847="",L1847="",K1847=L1847,NOT(ISNUMBER(M1847)),NOT(ISNUMBER(N1847)),M1847&gt;Settings!$F$8,N1847&lt;Settings!$F$8,N1847&lt;M1847),"Pending",IF(AND(G1847="Applicable",H1847="Pass"),"Pass",IF(AND(G1847="N/A",H1847="N/A",J1847&lt;&gt;"",OR(E1847="CEM-FUELS",E1847="CEM-CCS",AND(E1847="CEM-PLAN",IFERROR(INDEX('Taxonomy'!$M$9:$M$108,MATCH(D1847,'Taxonomy'!$C$9:$C$108,0)),"")&lt;&gt;"Amber"),E1847="BLD-TIMBER",AND(U1847="Building equipment",OR(E1847="BLD-WATER",E1847="BLD-WASTE",E1847="BLD-LAND")),AND(U1847="Building renovation",E1847="BLD-LAND"))),"N/A","Pending"))))))</x:f>
      </x:c>
      <x:c r="Q1847" s="3" t="str">
        <x:f>IF(C1847="","",IF(AND(R1847="Valid",OR(P1847="Pass",P1847="N/A")),"Complete","Unresolved"))</x:f>
      </x:c>
      <x:c r="R1847" s="9" t="str">
        <x:f>IF(C1847="","",IF(OR(COUNTIF($C$9:$C$2008,C1847)&lt;&gt;1,COUNTIFS($D$9:$D$2008,D1847,$E$9:$E$2008,E1847)&lt;&gt;1),"Duplicate test",IF(COUNTIF('Taxonomy'!$C$9:$C$108,D1847)&lt;&gt;1,"Assessment key",IF(OR(COUNTIF('Taxonomy Rules'!$C$42:$C$68,E1847)&lt;&gt;1,F1847&lt;&gt;IFERROR(INDEX('Taxonomy Rules'!$D$42:$D$68,MATCH(E1847,'Taxonomy Rules'!$C$42:$C$68,0)),""),NOT(OR(IFERROR(INDEX('Taxonomy Rules'!$G$42:$G$68,MATCH(E1847,'Taxonomy Rules'!$C$42:$C$68,0)),"")="All supported routes",IFERROR(INDEX('Taxonomy Rules'!$G$42:$G$68,MATCH(E1847,'Taxonomy Rules'!$C$42:$C$68,0)),"")=U1847,AND(IFERROR(INDEX('Taxonomy Rules'!$G$42:$G$68,MATCH(E1847,'Taxonomy Rules'!$C$42:$C$68,0)),"")="Building routes",OR(U1847="Building renovation",U1847="New building",U1847="Building equipment"))))),"Unexpected test","Valid"))))</x:f>
      </x:c>
      <x:c r="S1847" s="9" t="str">
        <x:f>IF(C1847="","",IFERROR(INDEX('Taxonomy Rules'!$E$42:$E$68,MATCH(E1847,'Taxonomy Rules'!$C$42:$C$68,0)),""))</x:f>
      </x:c>
      <x:c r="T1847" s="9" t="str">
        <x:f>IF(C1847="","",IFERROR(INDEX('Taxonomy Rules'!$F$42:$F$68,MATCH(E1847,'Taxonomy Rules'!$C$42:$C$68,0)),""))</x:f>
      </x:c>
      <x:c r="U1847" s="9" t="str">
        <x:f>IF(C1847="","",IFERROR(INDEX('Taxonomy'!$G$9:$G$108,MATCH(D1847,'Taxonomy'!$C$9:$C$108,0)),""))</x:f>
      </x:c>
    </x:row>
    <x:row r="1848" ht="44" customHeight="1">
      <x:c r="A1848" s="1"/>
      <x:c r="B1848" s="1"/>
      <x:c r="C1848" s="8"/>
      <x:c r="D1848" s="8"/>
      <x:c r="E1848" s="8"/>
      <x:c r="F1848" s="8"/>
      <x:c r="G1848" s="8"/>
      <x:c r="H1848" s="8"/>
      <x:c r="I1848" s="8"/>
      <x:c r="J1848" s="8"/>
      <x:c r="K1848" s="8"/>
      <x:c r="L1848" s="8"/>
      <x:c r="M1848" s="10"/>
      <x:c r="N1848" s="10"/>
      <x:c r="O1848" s="8"/>
      <x:c r="P1848" s="9" t="str">
        <x:f>IF(C1848="","",IF(AND(G1848="Applicable",H1848="Fail"),"Fail",IF(R1848&lt;&gt;"Valid","Pending",IF(OR(I1848="",K1848="",L1848="",K1848=L1848,NOT(ISNUMBER(M1848)),NOT(ISNUMBER(N1848)),M1848&gt;Settings!$F$8,N1848&lt;Settings!$F$8,N1848&lt;M1848),"Pending",IF(AND(G1848="Applicable",H1848="Pass"),"Pass",IF(AND(G1848="N/A",H1848="N/A",J1848&lt;&gt;"",OR(E1848="CEM-FUELS",E1848="CEM-CCS",AND(E1848="CEM-PLAN",IFERROR(INDEX('Taxonomy'!$M$9:$M$108,MATCH(D1848,'Taxonomy'!$C$9:$C$108,0)),"")&lt;&gt;"Amber"),E1848="BLD-TIMBER",AND(U1848="Building equipment",OR(E1848="BLD-WATER",E1848="BLD-WASTE",E1848="BLD-LAND")),AND(U1848="Building renovation",E1848="BLD-LAND"))),"N/A","Pending"))))))</x:f>
      </x:c>
      <x:c r="Q1848" s="3" t="str">
        <x:f>IF(C1848="","",IF(AND(R1848="Valid",OR(P1848="Pass",P1848="N/A")),"Complete","Unresolved"))</x:f>
      </x:c>
      <x:c r="R1848" s="9" t="str">
        <x:f>IF(C1848="","",IF(OR(COUNTIF($C$9:$C$2008,C1848)&lt;&gt;1,COUNTIFS($D$9:$D$2008,D1848,$E$9:$E$2008,E1848)&lt;&gt;1),"Duplicate test",IF(COUNTIF('Taxonomy'!$C$9:$C$108,D1848)&lt;&gt;1,"Assessment key",IF(OR(COUNTIF('Taxonomy Rules'!$C$42:$C$68,E1848)&lt;&gt;1,F1848&lt;&gt;IFERROR(INDEX('Taxonomy Rules'!$D$42:$D$68,MATCH(E1848,'Taxonomy Rules'!$C$42:$C$68,0)),""),NOT(OR(IFERROR(INDEX('Taxonomy Rules'!$G$42:$G$68,MATCH(E1848,'Taxonomy Rules'!$C$42:$C$68,0)),"")="All supported routes",IFERROR(INDEX('Taxonomy Rules'!$G$42:$G$68,MATCH(E1848,'Taxonomy Rules'!$C$42:$C$68,0)),"")=U1848,AND(IFERROR(INDEX('Taxonomy Rules'!$G$42:$G$68,MATCH(E1848,'Taxonomy Rules'!$C$42:$C$68,0)),"")="Building routes",OR(U1848="Building renovation",U1848="New building",U1848="Building equipment"))))),"Unexpected test","Valid"))))</x:f>
      </x:c>
      <x:c r="S1848" s="9" t="str">
        <x:f>IF(C1848="","",IFERROR(INDEX('Taxonomy Rules'!$E$42:$E$68,MATCH(E1848,'Taxonomy Rules'!$C$42:$C$68,0)),""))</x:f>
      </x:c>
      <x:c r="T1848" s="9" t="str">
        <x:f>IF(C1848="","",IFERROR(INDEX('Taxonomy Rules'!$F$42:$F$68,MATCH(E1848,'Taxonomy Rules'!$C$42:$C$68,0)),""))</x:f>
      </x:c>
      <x:c r="U1848" s="9" t="str">
        <x:f>IF(C1848="","",IFERROR(INDEX('Taxonomy'!$G$9:$G$108,MATCH(D1848,'Taxonomy'!$C$9:$C$108,0)),""))</x:f>
      </x:c>
    </x:row>
    <x:row r="1849" ht="44" customHeight="1">
      <x:c r="A1849" s="1"/>
      <x:c r="B1849" s="1"/>
      <x:c r="C1849" s="8"/>
      <x:c r="D1849" s="8"/>
      <x:c r="E1849" s="8"/>
      <x:c r="F1849" s="8"/>
      <x:c r="G1849" s="8"/>
      <x:c r="H1849" s="8"/>
      <x:c r="I1849" s="8"/>
      <x:c r="J1849" s="8"/>
      <x:c r="K1849" s="8"/>
      <x:c r="L1849" s="8"/>
      <x:c r="M1849" s="10"/>
      <x:c r="N1849" s="10"/>
      <x:c r="O1849" s="8"/>
      <x:c r="P1849" s="9" t="str">
        <x:f>IF(C1849="","",IF(AND(G1849="Applicable",H1849="Fail"),"Fail",IF(R1849&lt;&gt;"Valid","Pending",IF(OR(I1849="",K1849="",L1849="",K1849=L1849,NOT(ISNUMBER(M1849)),NOT(ISNUMBER(N1849)),M1849&gt;Settings!$F$8,N1849&lt;Settings!$F$8,N1849&lt;M1849),"Pending",IF(AND(G1849="Applicable",H1849="Pass"),"Pass",IF(AND(G1849="N/A",H1849="N/A",J1849&lt;&gt;"",OR(E1849="CEM-FUELS",E1849="CEM-CCS",AND(E1849="CEM-PLAN",IFERROR(INDEX('Taxonomy'!$M$9:$M$108,MATCH(D1849,'Taxonomy'!$C$9:$C$108,0)),"")&lt;&gt;"Amber"),E1849="BLD-TIMBER",AND(U1849="Building equipment",OR(E1849="BLD-WATER",E1849="BLD-WASTE",E1849="BLD-LAND")),AND(U1849="Building renovation",E1849="BLD-LAND"))),"N/A","Pending"))))))</x:f>
      </x:c>
      <x:c r="Q1849" s="3" t="str">
        <x:f>IF(C1849="","",IF(AND(R1849="Valid",OR(P1849="Pass",P1849="N/A")),"Complete","Unresolved"))</x:f>
      </x:c>
      <x:c r="R1849" s="9" t="str">
        <x:f>IF(C1849="","",IF(OR(COUNTIF($C$9:$C$2008,C1849)&lt;&gt;1,COUNTIFS($D$9:$D$2008,D1849,$E$9:$E$2008,E1849)&lt;&gt;1),"Duplicate test",IF(COUNTIF('Taxonomy'!$C$9:$C$108,D1849)&lt;&gt;1,"Assessment key",IF(OR(COUNTIF('Taxonomy Rules'!$C$42:$C$68,E1849)&lt;&gt;1,F1849&lt;&gt;IFERROR(INDEX('Taxonomy Rules'!$D$42:$D$68,MATCH(E1849,'Taxonomy Rules'!$C$42:$C$68,0)),""),NOT(OR(IFERROR(INDEX('Taxonomy Rules'!$G$42:$G$68,MATCH(E1849,'Taxonomy Rules'!$C$42:$C$68,0)),"")="All supported routes",IFERROR(INDEX('Taxonomy Rules'!$G$42:$G$68,MATCH(E1849,'Taxonomy Rules'!$C$42:$C$68,0)),"")=U1849,AND(IFERROR(INDEX('Taxonomy Rules'!$G$42:$G$68,MATCH(E1849,'Taxonomy Rules'!$C$42:$C$68,0)),"")="Building routes",OR(U1849="Building renovation",U1849="New building",U1849="Building equipment"))))),"Unexpected test","Valid"))))</x:f>
      </x:c>
      <x:c r="S1849" s="9" t="str">
        <x:f>IF(C1849="","",IFERROR(INDEX('Taxonomy Rules'!$E$42:$E$68,MATCH(E1849,'Taxonomy Rules'!$C$42:$C$68,0)),""))</x:f>
      </x:c>
      <x:c r="T1849" s="9" t="str">
        <x:f>IF(C1849="","",IFERROR(INDEX('Taxonomy Rules'!$F$42:$F$68,MATCH(E1849,'Taxonomy Rules'!$C$42:$C$68,0)),""))</x:f>
      </x:c>
      <x:c r="U1849" s="9" t="str">
        <x:f>IF(C1849="","",IFERROR(INDEX('Taxonomy'!$G$9:$G$108,MATCH(D1849,'Taxonomy'!$C$9:$C$108,0)),""))</x:f>
      </x:c>
    </x:row>
    <x:row r="1850" ht="44" customHeight="1">
      <x:c r="A1850" s="1"/>
      <x:c r="B1850" s="1"/>
      <x:c r="C1850" s="8"/>
      <x:c r="D1850" s="8"/>
      <x:c r="E1850" s="8"/>
      <x:c r="F1850" s="8"/>
      <x:c r="G1850" s="8"/>
      <x:c r="H1850" s="8"/>
      <x:c r="I1850" s="8"/>
      <x:c r="J1850" s="8"/>
      <x:c r="K1850" s="8"/>
      <x:c r="L1850" s="8"/>
      <x:c r="M1850" s="10"/>
      <x:c r="N1850" s="10"/>
      <x:c r="O1850" s="8"/>
      <x:c r="P1850" s="9" t="str">
        <x:f>IF(C1850="","",IF(AND(G1850="Applicable",H1850="Fail"),"Fail",IF(R1850&lt;&gt;"Valid","Pending",IF(OR(I1850="",K1850="",L1850="",K1850=L1850,NOT(ISNUMBER(M1850)),NOT(ISNUMBER(N1850)),M1850&gt;Settings!$F$8,N1850&lt;Settings!$F$8,N1850&lt;M1850),"Pending",IF(AND(G1850="Applicable",H1850="Pass"),"Pass",IF(AND(G1850="N/A",H1850="N/A",J1850&lt;&gt;"",OR(E1850="CEM-FUELS",E1850="CEM-CCS",AND(E1850="CEM-PLAN",IFERROR(INDEX('Taxonomy'!$M$9:$M$108,MATCH(D1850,'Taxonomy'!$C$9:$C$108,0)),"")&lt;&gt;"Amber"),E1850="BLD-TIMBER",AND(U1850="Building equipment",OR(E1850="BLD-WATER",E1850="BLD-WASTE",E1850="BLD-LAND")),AND(U1850="Building renovation",E1850="BLD-LAND"))),"N/A","Pending"))))))</x:f>
      </x:c>
      <x:c r="Q1850" s="3" t="str">
        <x:f>IF(C1850="","",IF(AND(R1850="Valid",OR(P1850="Pass",P1850="N/A")),"Complete","Unresolved"))</x:f>
      </x:c>
      <x:c r="R1850" s="9" t="str">
        <x:f>IF(C1850="","",IF(OR(COUNTIF($C$9:$C$2008,C1850)&lt;&gt;1,COUNTIFS($D$9:$D$2008,D1850,$E$9:$E$2008,E1850)&lt;&gt;1),"Duplicate test",IF(COUNTIF('Taxonomy'!$C$9:$C$108,D1850)&lt;&gt;1,"Assessment key",IF(OR(COUNTIF('Taxonomy Rules'!$C$42:$C$68,E1850)&lt;&gt;1,F1850&lt;&gt;IFERROR(INDEX('Taxonomy Rules'!$D$42:$D$68,MATCH(E1850,'Taxonomy Rules'!$C$42:$C$68,0)),""),NOT(OR(IFERROR(INDEX('Taxonomy Rules'!$G$42:$G$68,MATCH(E1850,'Taxonomy Rules'!$C$42:$C$68,0)),"")="All supported routes",IFERROR(INDEX('Taxonomy Rules'!$G$42:$G$68,MATCH(E1850,'Taxonomy Rules'!$C$42:$C$68,0)),"")=U1850,AND(IFERROR(INDEX('Taxonomy Rules'!$G$42:$G$68,MATCH(E1850,'Taxonomy Rules'!$C$42:$C$68,0)),"")="Building routes",OR(U1850="Building renovation",U1850="New building",U1850="Building equipment"))))),"Unexpected test","Valid"))))</x:f>
      </x:c>
      <x:c r="S1850" s="9" t="str">
        <x:f>IF(C1850="","",IFERROR(INDEX('Taxonomy Rules'!$E$42:$E$68,MATCH(E1850,'Taxonomy Rules'!$C$42:$C$68,0)),""))</x:f>
      </x:c>
      <x:c r="T1850" s="9" t="str">
        <x:f>IF(C1850="","",IFERROR(INDEX('Taxonomy Rules'!$F$42:$F$68,MATCH(E1850,'Taxonomy Rules'!$C$42:$C$68,0)),""))</x:f>
      </x:c>
      <x:c r="U1850" s="9" t="str">
        <x:f>IF(C1850="","",IFERROR(INDEX('Taxonomy'!$G$9:$G$108,MATCH(D1850,'Taxonomy'!$C$9:$C$108,0)),""))</x:f>
      </x:c>
    </x:row>
    <x:row r="1851" ht="44" customHeight="1">
      <x:c r="A1851" s="1"/>
      <x:c r="B1851" s="1"/>
      <x:c r="C1851" s="8"/>
      <x:c r="D1851" s="8"/>
      <x:c r="E1851" s="8"/>
      <x:c r="F1851" s="8"/>
      <x:c r="G1851" s="8"/>
      <x:c r="H1851" s="8"/>
      <x:c r="I1851" s="8"/>
      <x:c r="J1851" s="8"/>
      <x:c r="K1851" s="8"/>
      <x:c r="L1851" s="8"/>
      <x:c r="M1851" s="10"/>
      <x:c r="N1851" s="10"/>
      <x:c r="O1851" s="8"/>
      <x:c r="P1851" s="9" t="str">
        <x:f>IF(C1851="","",IF(AND(G1851="Applicable",H1851="Fail"),"Fail",IF(R1851&lt;&gt;"Valid","Pending",IF(OR(I1851="",K1851="",L1851="",K1851=L1851,NOT(ISNUMBER(M1851)),NOT(ISNUMBER(N1851)),M1851&gt;Settings!$F$8,N1851&lt;Settings!$F$8,N1851&lt;M1851),"Pending",IF(AND(G1851="Applicable",H1851="Pass"),"Pass",IF(AND(G1851="N/A",H1851="N/A",J1851&lt;&gt;"",OR(E1851="CEM-FUELS",E1851="CEM-CCS",AND(E1851="CEM-PLAN",IFERROR(INDEX('Taxonomy'!$M$9:$M$108,MATCH(D1851,'Taxonomy'!$C$9:$C$108,0)),"")&lt;&gt;"Amber"),E1851="BLD-TIMBER",AND(U1851="Building equipment",OR(E1851="BLD-WATER",E1851="BLD-WASTE",E1851="BLD-LAND")),AND(U1851="Building renovation",E1851="BLD-LAND"))),"N/A","Pending"))))))</x:f>
      </x:c>
      <x:c r="Q1851" s="3" t="str">
        <x:f>IF(C1851="","",IF(AND(R1851="Valid",OR(P1851="Pass",P1851="N/A")),"Complete","Unresolved"))</x:f>
      </x:c>
      <x:c r="R1851" s="9" t="str">
        <x:f>IF(C1851="","",IF(OR(COUNTIF($C$9:$C$2008,C1851)&lt;&gt;1,COUNTIFS($D$9:$D$2008,D1851,$E$9:$E$2008,E1851)&lt;&gt;1),"Duplicate test",IF(COUNTIF('Taxonomy'!$C$9:$C$108,D1851)&lt;&gt;1,"Assessment key",IF(OR(COUNTIF('Taxonomy Rules'!$C$42:$C$68,E1851)&lt;&gt;1,F1851&lt;&gt;IFERROR(INDEX('Taxonomy Rules'!$D$42:$D$68,MATCH(E1851,'Taxonomy Rules'!$C$42:$C$68,0)),""),NOT(OR(IFERROR(INDEX('Taxonomy Rules'!$G$42:$G$68,MATCH(E1851,'Taxonomy Rules'!$C$42:$C$68,0)),"")="All supported routes",IFERROR(INDEX('Taxonomy Rules'!$G$42:$G$68,MATCH(E1851,'Taxonomy Rules'!$C$42:$C$68,0)),"")=U1851,AND(IFERROR(INDEX('Taxonomy Rules'!$G$42:$G$68,MATCH(E1851,'Taxonomy Rules'!$C$42:$C$68,0)),"")="Building routes",OR(U1851="Building renovation",U1851="New building",U1851="Building equipment"))))),"Unexpected test","Valid"))))</x:f>
      </x:c>
      <x:c r="S1851" s="9" t="str">
        <x:f>IF(C1851="","",IFERROR(INDEX('Taxonomy Rules'!$E$42:$E$68,MATCH(E1851,'Taxonomy Rules'!$C$42:$C$68,0)),""))</x:f>
      </x:c>
      <x:c r="T1851" s="9" t="str">
        <x:f>IF(C1851="","",IFERROR(INDEX('Taxonomy Rules'!$F$42:$F$68,MATCH(E1851,'Taxonomy Rules'!$C$42:$C$68,0)),""))</x:f>
      </x:c>
      <x:c r="U1851" s="9" t="str">
        <x:f>IF(C1851="","",IFERROR(INDEX('Taxonomy'!$G$9:$G$108,MATCH(D1851,'Taxonomy'!$C$9:$C$108,0)),""))</x:f>
      </x:c>
    </x:row>
    <x:row r="1852" ht="44" customHeight="1">
      <x:c r="A1852" s="1"/>
      <x:c r="B1852" s="1"/>
      <x:c r="C1852" s="8"/>
      <x:c r="D1852" s="8"/>
      <x:c r="E1852" s="8"/>
      <x:c r="F1852" s="8"/>
      <x:c r="G1852" s="8"/>
      <x:c r="H1852" s="8"/>
      <x:c r="I1852" s="8"/>
      <x:c r="J1852" s="8"/>
      <x:c r="K1852" s="8"/>
      <x:c r="L1852" s="8"/>
      <x:c r="M1852" s="10"/>
      <x:c r="N1852" s="10"/>
      <x:c r="O1852" s="8"/>
      <x:c r="P1852" s="9" t="str">
        <x:f>IF(C1852="","",IF(AND(G1852="Applicable",H1852="Fail"),"Fail",IF(R1852&lt;&gt;"Valid","Pending",IF(OR(I1852="",K1852="",L1852="",K1852=L1852,NOT(ISNUMBER(M1852)),NOT(ISNUMBER(N1852)),M1852&gt;Settings!$F$8,N1852&lt;Settings!$F$8,N1852&lt;M1852),"Pending",IF(AND(G1852="Applicable",H1852="Pass"),"Pass",IF(AND(G1852="N/A",H1852="N/A",J1852&lt;&gt;"",OR(E1852="CEM-FUELS",E1852="CEM-CCS",AND(E1852="CEM-PLAN",IFERROR(INDEX('Taxonomy'!$M$9:$M$108,MATCH(D1852,'Taxonomy'!$C$9:$C$108,0)),"")&lt;&gt;"Amber"),E1852="BLD-TIMBER",AND(U1852="Building equipment",OR(E1852="BLD-WATER",E1852="BLD-WASTE",E1852="BLD-LAND")),AND(U1852="Building renovation",E1852="BLD-LAND"))),"N/A","Pending"))))))</x:f>
      </x:c>
      <x:c r="Q1852" s="3" t="str">
        <x:f>IF(C1852="","",IF(AND(R1852="Valid",OR(P1852="Pass",P1852="N/A")),"Complete","Unresolved"))</x:f>
      </x:c>
      <x:c r="R1852" s="9" t="str">
        <x:f>IF(C1852="","",IF(OR(COUNTIF($C$9:$C$2008,C1852)&lt;&gt;1,COUNTIFS($D$9:$D$2008,D1852,$E$9:$E$2008,E1852)&lt;&gt;1),"Duplicate test",IF(COUNTIF('Taxonomy'!$C$9:$C$108,D1852)&lt;&gt;1,"Assessment key",IF(OR(COUNTIF('Taxonomy Rules'!$C$42:$C$68,E1852)&lt;&gt;1,F1852&lt;&gt;IFERROR(INDEX('Taxonomy Rules'!$D$42:$D$68,MATCH(E1852,'Taxonomy Rules'!$C$42:$C$68,0)),""),NOT(OR(IFERROR(INDEX('Taxonomy Rules'!$G$42:$G$68,MATCH(E1852,'Taxonomy Rules'!$C$42:$C$68,0)),"")="All supported routes",IFERROR(INDEX('Taxonomy Rules'!$G$42:$G$68,MATCH(E1852,'Taxonomy Rules'!$C$42:$C$68,0)),"")=U1852,AND(IFERROR(INDEX('Taxonomy Rules'!$G$42:$G$68,MATCH(E1852,'Taxonomy Rules'!$C$42:$C$68,0)),"")="Building routes",OR(U1852="Building renovation",U1852="New building",U1852="Building equipment"))))),"Unexpected test","Valid"))))</x:f>
      </x:c>
      <x:c r="S1852" s="9" t="str">
        <x:f>IF(C1852="","",IFERROR(INDEX('Taxonomy Rules'!$E$42:$E$68,MATCH(E1852,'Taxonomy Rules'!$C$42:$C$68,0)),""))</x:f>
      </x:c>
      <x:c r="T1852" s="9" t="str">
        <x:f>IF(C1852="","",IFERROR(INDEX('Taxonomy Rules'!$F$42:$F$68,MATCH(E1852,'Taxonomy Rules'!$C$42:$C$68,0)),""))</x:f>
      </x:c>
      <x:c r="U1852" s="9" t="str">
        <x:f>IF(C1852="","",IFERROR(INDEX('Taxonomy'!$G$9:$G$108,MATCH(D1852,'Taxonomy'!$C$9:$C$108,0)),""))</x:f>
      </x:c>
    </x:row>
    <x:row r="1853" ht="44" customHeight="1">
      <x:c r="A1853" s="1"/>
      <x:c r="B1853" s="1"/>
      <x:c r="C1853" s="8"/>
      <x:c r="D1853" s="8"/>
      <x:c r="E1853" s="8"/>
      <x:c r="F1853" s="8"/>
      <x:c r="G1853" s="8"/>
      <x:c r="H1853" s="8"/>
      <x:c r="I1853" s="8"/>
      <x:c r="J1853" s="8"/>
      <x:c r="K1853" s="8"/>
      <x:c r="L1853" s="8"/>
      <x:c r="M1853" s="10"/>
      <x:c r="N1853" s="10"/>
      <x:c r="O1853" s="8"/>
      <x:c r="P1853" s="9" t="str">
        <x:f>IF(C1853="","",IF(AND(G1853="Applicable",H1853="Fail"),"Fail",IF(R1853&lt;&gt;"Valid","Pending",IF(OR(I1853="",K1853="",L1853="",K1853=L1853,NOT(ISNUMBER(M1853)),NOT(ISNUMBER(N1853)),M1853&gt;Settings!$F$8,N1853&lt;Settings!$F$8,N1853&lt;M1853),"Pending",IF(AND(G1853="Applicable",H1853="Pass"),"Pass",IF(AND(G1853="N/A",H1853="N/A",J1853&lt;&gt;"",OR(E1853="CEM-FUELS",E1853="CEM-CCS",AND(E1853="CEM-PLAN",IFERROR(INDEX('Taxonomy'!$M$9:$M$108,MATCH(D1853,'Taxonomy'!$C$9:$C$108,0)),"")&lt;&gt;"Amber"),E1853="BLD-TIMBER",AND(U1853="Building equipment",OR(E1853="BLD-WATER",E1853="BLD-WASTE",E1853="BLD-LAND")),AND(U1853="Building renovation",E1853="BLD-LAND"))),"N/A","Pending"))))))</x:f>
      </x:c>
      <x:c r="Q1853" s="3" t="str">
        <x:f>IF(C1853="","",IF(AND(R1853="Valid",OR(P1853="Pass",P1853="N/A")),"Complete","Unresolved"))</x:f>
      </x:c>
      <x:c r="R1853" s="9" t="str">
        <x:f>IF(C1853="","",IF(OR(COUNTIF($C$9:$C$2008,C1853)&lt;&gt;1,COUNTIFS($D$9:$D$2008,D1853,$E$9:$E$2008,E1853)&lt;&gt;1),"Duplicate test",IF(COUNTIF('Taxonomy'!$C$9:$C$108,D1853)&lt;&gt;1,"Assessment key",IF(OR(COUNTIF('Taxonomy Rules'!$C$42:$C$68,E1853)&lt;&gt;1,F1853&lt;&gt;IFERROR(INDEX('Taxonomy Rules'!$D$42:$D$68,MATCH(E1853,'Taxonomy Rules'!$C$42:$C$68,0)),""),NOT(OR(IFERROR(INDEX('Taxonomy Rules'!$G$42:$G$68,MATCH(E1853,'Taxonomy Rules'!$C$42:$C$68,0)),"")="All supported routes",IFERROR(INDEX('Taxonomy Rules'!$G$42:$G$68,MATCH(E1853,'Taxonomy Rules'!$C$42:$C$68,0)),"")=U1853,AND(IFERROR(INDEX('Taxonomy Rules'!$G$42:$G$68,MATCH(E1853,'Taxonomy Rules'!$C$42:$C$68,0)),"")="Building routes",OR(U1853="Building renovation",U1853="New building",U1853="Building equipment"))))),"Unexpected test","Valid"))))</x:f>
      </x:c>
      <x:c r="S1853" s="9" t="str">
        <x:f>IF(C1853="","",IFERROR(INDEX('Taxonomy Rules'!$E$42:$E$68,MATCH(E1853,'Taxonomy Rules'!$C$42:$C$68,0)),""))</x:f>
      </x:c>
      <x:c r="T1853" s="9" t="str">
        <x:f>IF(C1853="","",IFERROR(INDEX('Taxonomy Rules'!$F$42:$F$68,MATCH(E1853,'Taxonomy Rules'!$C$42:$C$68,0)),""))</x:f>
      </x:c>
      <x:c r="U1853" s="9" t="str">
        <x:f>IF(C1853="","",IFERROR(INDEX('Taxonomy'!$G$9:$G$108,MATCH(D1853,'Taxonomy'!$C$9:$C$108,0)),""))</x:f>
      </x:c>
    </x:row>
    <x:row r="1854" ht="44" customHeight="1">
      <x:c r="A1854" s="1"/>
      <x:c r="B1854" s="1"/>
      <x:c r="C1854" s="8"/>
      <x:c r="D1854" s="8"/>
      <x:c r="E1854" s="8"/>
      <x:c r="F1854" s="8"/>
      <x:c r="G1854" s="8"/>
      <x:c r="H1854" s="8"/>
      <x:c r="I1854" s="8"/>
      <x:c r="J1854" s="8"/>
      <x:c r="K1854" s="8"/>
      <x:c r="L1854" s="8"/>
      <x:c r="M1854" s="10"/>
      <x:c r="N1854" s="10"/>
      <x:c r="O1854" s="8"/>
      <x:c r="P1854" s="9" t="str">
        <x:f>IF(C1854="","",IF(AND(G1854="Applicable",H1854="Fail"),"Fail",IF(R1854&lt;&gt;"Valid","Pending",IF(OR(I1854="",K1854="",L1854="",K1854=L1854,NOT(ISNUMBER(M1854)),NOT(ISNUMBER(N1854)),M1854&gt;Settings!$F$8,N1854&lt;Settings!$F$8,N1854&lt;M1854),"Pending",IF(AND(G1854="Applicable",H1854="Pass"),"Pass",IF(AND(G1854="N/A",H1854="N/A",J1854&lt;&gt;"",OR(E1854="CEM-FUELS",E1854="CEM-CCS",AND(E1854="CEM-PLAN",IFERROR(INDEX('Taxonomy'!$M$9:$M$108,MATCH(D1854,'Taxonomy'!$C$9:$C$108,0)),"")&lt;&gt;"Amber"),E1854="BLD-TIMBER",AND(U1854="Building equipment",OR(E1854="BLD-WATER",E1854="BLD-WASTE",E1854="BLD-LAND")),AND(U1854="Building renovation",E1854="BLD-LAND"))),"N/A","Pending"))))))</x:f>
      </x:c>
      <x:c r="Q1854" s="3" t="str">
        <x:f>IF(C1854="","",IF(AND(R1854="Valid",OR(P1854="Pass",P1854="N/A")),"Complete","Unresolved"))</x:f>
      </x:c>
      <x:c r="R1854" s="9" t="str">
        <x:f>IF(C1854="","",IF(OR(COUNTIF($C$9:$C$2008,C1854)&lt;&gt;1,COUNTIFS($D$9:$D$2008,D1854,$E$9:$E$2008,E1854)&lt;&gt;1),"Duplicate test",IF(COUNTIF('Taxonomy'!$C$9:$C$108,D1854)&lt;&gt;1,"Assessment key",IF(OR(COUNTIF('Taxonomy Rules'!$C$42:$C$68,E1854)&lt;&gt;1,F1854&lt;&gt;IFERROR(INDEX('Taxonomy Rules'!$D$42:$D$68,MATCH(E1854,'Taxonomy Rules'!$C$42:$C$68,0)),""),NOT(OR(IFERROR(INDEX('Taxonomy Rules'!$G$42:$G$68,MATCH(E1854,'Taxonomy Rules'!$C$42:$C$68,0)),"")="All supported routes",IFERROR(INDEX('Taxonomy Rules'!$G$42:$G$68,MATCH(E1854,'Taxonomy Rules'!$C$42:$C$68,0)),"")=U1854,AND(IFERROR(INDEX('Taxonomy Rules'!$G$42:$G$68,MATCH(E1854,'Taxonomy Rules'!$C$42:$C$68,0)),"")="Building routes",OR(U1854="Building renovation",U1854="New building",U1854="Building equipment"))))),"Unexpected test","Valid"))))</x:f>
      </x:c>
      <x:c r="S1854" s="9" t="str">
        <x:f>IF(C1854="","",IFERROR(INDEX('Taxonomy Rules'!$E$42:$E$68,MATCH(E1854,'Taxonomy Rules'!$C$42:$C$68,0)),""))</x:f>
      </x:c>
      <x:c r="T1854" s="9" t="str">
        <x:f>IF(C1854="","",IFERROR(INDEX('Taxonomy Rules'!$F$42:$F$68,MATCH(E1854,'Taxonomy Rules'!$C$42:$C$68,0)),""))</x:f>
      </x:c>
      <x:c r="U1854" s="9" t="str">
        <x:f>IF(C1854="","",IFERROR(INDEX('Taxonomy'!$G$9:$G$108,MATCH(D1854,'Taxonomy'!$C$9:$C$108,0)),""))</x:f>
      </x:c>
    </x:row>
    <x:row r="1855" ht="44" customHeight="1">
      <x:c r="A1855" s="1"/>
      <x:c r="B1855" s="1"/>
      <x:c r="C1855" s="8"/>
      <x:c r="D1855" s="8"/>
      <x:c r="E1855" s="8"/>
      <x:c r="F1855" s="8"/>
      <x:c r="G1855" s="8"/>
      <x:c r="H1855" s="8"/>
      <x:c r="I1855" s="8"/>
      <x:c r="J1855" s="8"/>
      <x:c r="K1855" s="8"/>
      <x:c r="L1855" s="8"/>
      <x:c r="M1855" s="10"/>
      <x:c r="N1855" s="10"/>
      <x:c r="O1855" s="8"/>
      <x:c r="P1855" s="9" t="str">
        <x:f>IF(C1855="","",IF(AND(G1855="Applicable",H1855="Fail"),"Fail",IF(R1855&lt;&gt;"Valid","Pending",IF(OR(I1855="",K1855="",L1855="",K1855=L1855,NOT(ISNUMBER(M1855)),NOT(ISNUMBER(N1855)),M1855&gt;Settings!$F$8,N1855&lt;Settings!$F$8,N1855&lt;M1855),"Pending",IF(AND(G1855="Applicable",H1855="Pass"),"Pass",IF(AND(G1855="N/A",H1855="N/A",J1855&lt;&gt;"",OR(E1855="CEM-FUELS",E1855="CEM-CCS",AND(E1855="CEM-PLAN",IFERROR(INDEX('Taxonomy'!$M$9:$M$108,MATCH(D1855,'Taxonomy'!$C$9:$C$108,0)),"")&lt;&gt;"Amber"),E1855="BLD-TIMBER",AND(U1855="Building equipment",OR(E1855="BLD-WATER",E1855="BLD-WASTE",E1855="BLD-LAND")),AND(U1855="Building renovation",E1855="BLD-LAND"))),"N/A","Pending"))))))</x:f>
      </x:c>
      <x:c r="Q1855" s="3" t="str">
        <x:f>IF(C1855="","",IF(AND(R1855="Valid",OR(P1855="Pass",P1855="N/A")),"Complete","Unresolved"))</x:f>
      </x:c>
      <x:c r="R1855" s="9" t="str">
        <x:f>IF(C1855="","",IF(OR(COUNTIF($C$9:$C$2008,C1855)&lt;&gt;1,COUNTIFS($D$9:$D$2008,D1855,$E$9:$E$2008,E1855)&lt;&gt;1),"Duplicate test",IF(COUNTIF('Taxonomy'!$C$9:$C$108,D1855)&lt;&gt;1,"Assessment key",IF(OR(COUNTIF('Taxonomy Rules'!$C$42:$C$68,E1855)&lt;&gt;1,F1855&lt;&gt;IFERROR(INDEX('Taxonomy Rules'!$D$42:$D$68,MATCH(E1855,'Taxonomy Rules'!$C$42:$C$68,0)),""),NOT(OR(IFERROR(INDEX('Taxonomy Rules'!$G$42:$G$68,MATCH(E1855,'Taxonomy Rules'!$C$42:$C$68,0)),"")="All supported routes",IFERROR(INDEX('Taxonomy Rules'!$G$42:$G$68,MATCH(E1855,'Taxonomy Rules'!$C$42:$C$68,0)),"")=U1855,AND(IFERROR(INDEX('Taxonomy Rules'!$G$42:$G$68,MATCH(E1855,'Taxonomy Rules'!$C$42:$C$68,0)),"")="Building routes",OR(U1855="Building renovation",U1855="New building",U1855="Building equipment"))))),"Unexpected test","Valid"))))</x:f>
      </x:c>
      <x:c r="S1855" s="9" t="str">
        <x:f>IF(C1855="","",IFERROR(INDEX('Taxonomy Rules'!$E$42:$E$68,MATCH(E1855,'Taxonomy Rules'!$C$42:$C$68,0)),""))</x:f>
      </x:c>
      <x:c r="T1855" s="9" t="str">
        <x:f>IF(C1855="","",IFERROR(INDEX('Taxonomy Rules'!$F$42:$F$68,MATCH(E1855,'Taxonomy Rules'!$C$42:$C$68,0)),""))</x:f>
      </x:c>
      <x:c r="U1855" s="9" t="str">
        <x:f>IF(C1855="","",IFERROR(INDEX('Taxonomy'!$G$9:$G$108,MATCH(D1855,'Taxonomy'!$C$9:$C$108,0)),""))</x:f>
      </x:c>
    </x:row>
    <x:row r="1856" ht="44" customHeight="1">
      <x:c r="A1856" s="1"/>
      <x:c r="B1856" s="1"/>
      <x:c r="C1856" s="8"/>
      <x:c r="D1856" s="8"/>
      <x:c r="E1856" s="8"/>
      <x:c r="F1856" s="8"/>
      <x:c r="G1856" s="8"/>
      <x:c r="H1856" s="8"/>
      <x:c r="I1856" s="8"/>
      <x:c r="J1856" s="8"/>
      <x:c r="K1856" s="8"/>
      <x:c r="L1856" s="8"/>
      <x:c r="M1856" s="10"/>
      <x:c r="N1856" s="10"/>
      <x:c r="O1856" s="8"/>
      <x:c r="P1856" s="9" t="str">
        <x:f>IF(C1856="","",IF(AND(G1856="Applicable",H1856="Fail"),"Fail",IF(R1856&lt;&gt;"Valid","Pending",IF(OR(I1856="",K1856="",L1856="",K1856=L1856,NOT(ISNUMBER(M1856)),NOT(ISNUMBER(N1856)),M1856&gt;Settings!$F$8,N1856&lt;Settings!$F$8,N1856&lt;M1856),"Pending",IF(AND(G1856="Applicable",H1856="Pass"),"Pass",IF(AND(G1856="N/A",H1856="N/A",J1856&lt;&gt;"",OR(E1856="CEM-FUELS",E1856="CEM-CCS",AND(E1856="CEM-PLAN",IFERROR(INDEX('Taxonomy'!$M$9:$M$108,MATCH(D1856,'Taxonomy'!$C$9:$C$108,0)),"")&lt;&gt;"Amber"),E1856="BLD-TIMBER",AND(U1856="Building equipment",OR(E1856="BLD-WATER",E1856="BLD-WASTE",E1856="BLD-LAND")),AND(U1856="Building renovation",E1856="BLD-LAND"))),"N/A","Pending"))))))</x:f>
      </x:c>
      <x:c r="Q1856" s="3" t="str">
        <x:f>IF(C1856="","",IF(AND(R1856="Valid",OR(P1856="Pass",P1856="N/A")),"Complete","Unresolved"))</x:f>
      </x:c>
      <x:c r="R1856" s="9" t="str">
        <x:f>IF(C1856="","",IF(OR(COUNTIF($C$9:$C$2008,C1856)&lt;&gt;1,COUNTIFS($D$9:$D$2008,D1856,$E$9:$E$2008,E1856)&lt;&gt;1),"Duplicate test",IF(COUNTIF('Taxonomy'!$C$9:$C$108,D1856)&lt;&gt;1,"Assessment key",IF(OR(COUNTIF('Taxonomy Rules'!$C$42:$C$68,E1856)&lt;&gt;1,F1856&lt;&gt;IFERROR(INDEX('Taxonomy Rules'!$D$42:$D$68,MATCH(E1856,'Taxonomy Rules'!$C$42:$C$68,0)),""),NOT(OR(IFERROR(INDEX('Taxonomy Rules'!$G$42:$G$68,MATCH(E1856,'Taxonomy Rules'!$C$42:$C$68,0)),"")="All supported routes",IFERROR(INDEX('Taxonomy Rules'!$G$42:$G$68,MATCH(E1856,'Taxonomy Rules'!$C$42:$C$68,0)),"")=U1856,AND(IFERROR(INDEX('Taxonomy Rules'!$G$42:$G$68,MATCH(E1856,'Taxonomy Rules'!$C$42:$C$68,0)),"")="Building routes",OR(U1856="Building renovation",U1856="New building",U1856="Building equipment"))))),"Unexpected test","Valid"))))</x:f>
      </x:c>
      <x:c r="S1856" s="9" t="str">
        <x:f>IF(C1856="","",IFERROR(INDEX('Taxonomy Rules'!$E$42:$E$68,MATCH(E1856,'Taxonomy Rules'!$C$42:$C$68,0)),""))</x:f>
      </x:c>
      <x:c r="T1856" s="9" t="str">
        <x:f>IF(C1856="","",IFERROR(INDEX('Taxonomy Rules'!$F$42:$F$68,MATCH(E1856,'Taxonomy Rules'!$C$42:$C$68,0)),""))</x:f>
      </x:c>
      <x:c r="U1856" s="9" t="str">
        <x:f>IF(C1856="","",IFERROR(INDEX('Taxonomy'!$G$9:$G$108,MATCH(D1856,'Taxonomy'!$C$9:$C$108,0)),""))</x:f>
      </x:c>
    </x:row>
    <x:row r="1857" ht="44" customHeight="1">
      <x:c r="A1857" s="1"/>
      <x:c r="B1857" s="1"/>
      <x:c r="C1857" s="8"/>
      <x:c r="D1857" s="8"/>
      <x:c r="E1857" s="8"/>
      <x:c r="F1857" s="8"/>
      <x:c r="G1857" s="8"/>
      <x:c r="H1857" s="8"/>
      <x:c r="I1857" s="8"/>
      <x:c r="J1857" s="8"/>
      <x:c r="K1857" s="8"/>
      <x:c r="L1857" s="8"/>
      <x:c r="M1857" s="10"/>
      <x:c r="N1857" s="10"/>
      <x:c r="O1857" s="8"/>
      <x:c r="P1857" s="9" t="str">
        <x:f>IF(C1857="","",IF(AND(G1857="Applicable",H1857="Fail"),"Fail",IF(R1857&lt;&gt;"Valid","Pending",IF(OR(I1857="",K1857="",L1857="",K1857=L1857,NOT(ISNUMBER(M1857)),NOT(ISNUMBER(N1857)),M1857&gt;Settings!$F$8,N1857&lt;Settings!$F$8,N1857&lt;M1857),"Pending",IF(AND(G1857="Applicable",H1857="Pass"),"Pass",IF(AND(G1857="N/A",H1857="N/A",J1857&lt;&gt;"",OR(E1857="CEM-FUELS",E1857="CEM-CCS",AND(E1857="CEM-PLAN",IFERROR(INDEX('Taxonomy'!$M$9:$M$108,MATCH(D1857,'Taxonomy'!$C$9:$C$108,0)),"")&lt;&gt;"Amber"),E1857="BLD-TIMBER",AND(U1857="Building equipment",OR(E1857="BLD-WATER",E1857="BLD-WASTE",E1857="BLD-LAND")),AND(U1857="Building renovation",E1857="BLD-LAND"))),"N/A","Pending"))))))</x:f>
      </x:c>
      <x:c r="Q1857" s="3" t="str">
        <x:f>IF(C1857="","",IF(AND(R1857="Valid",OR(P1857="Pass",P1857="N/A")),"Complete","Unresolved"))</x:f>
      </x:c>
      <x:c r="R1857" s="9" t="str">
        <x:f>IF(C1857="","",IF(OR(COUNTIF($C$9:$C$2008,C1857)&lt;&gt;1,COUNTIFS($D$9:$D$2008,D1857,$E$9:$E$2008,E1857)&lt;&gt;1),"Duplicate test",IF(COUNTIF('Taxonomy'!$C$9:$C$108,D1857)&lt;&gt;1,"Assessment key",IF(OR(COUNTIF('Taxonomy Rules'!$C$42:$C$68,E1857)&lt;&gt;1,F1857&lt;&gt;IFERROR(INDEX('Taxonomy Rules'!$D$42:$D$68,MATCH(E1857,'Taxonomy Rules'!$C$42:$C$68,0)),""),NOT(OR(IFERROR(INDEX('Taxonomy Rules'!$G$42:$G$68,MATCH(E1857,'Taxonomy Rules'!$C$42:$C$68,0)),"")="All supported routes",IFERROR(INDEX('Taxonomy Rules'!$G$42:$G$68,MATCH(E1857,'Taxonomy Rules'!$C$42:$C$68,0)),"")=U1857,AND(IFERROR(INDEX('Taxonomy Rules'!$G$42:$G$68,MATCH(E1857,'Taxonomy Rules'!$C$42:$C$68,0)),"")="Building routes",OR(U1857="Building renovation",U1857="New building",U1857="Building equipment"))))),"Unexpected test","Valid"))))</x:f>
      </x:c>
      <x:c r="S1857" s="9" t="str">
        <x:f>IF(C1857="","",IFERROR(INDEX('Taxonomy Rules'!$E$42:$E$68,MATCH(E1857,'Taxonomy Rules'!$C$42:$C$68,0)),""))</x:f>
      </x:c>
      <x:c r="T1857" s="9" t="str">
        <x:f>IF(C1857="","",IFERROR(INDEX('Taxonomy Rules'!$F$42:$F$68,MATCH(E1857,'Taxonomy Rules'!$C$42:$C$68,0)),""))</x:f>
      </x:c>
      <x:c r="U1857" s="9" t="str">
        <x:f>IF(C1857="","",IFERROR(INDEX('Taxonomy'!$G$9:$G$108,MATCH(D1857,'Taxonomy'!$C$9:$C$108,0)),""))</x:f>
      </x:c>
    </x:row>
    <x:row r="1858" ht="44" customHeight="1">
      <x:c r="A1858" s="1"/>
      <x:c r="B1858" s="1"/>
      <x:c r="C1858" s="8"/>
      <x:c r="D1858" s="8"/>
      <x:c r="E1858" s="8"/>
      <x:c r="F1858" s="8"/>
      <x:c r="G1858" s="8"/>
      <x:c r="H1858" s="8"/>
      <x:c r="I1858" s="8"/>
      <x:c r="J1858" s="8"/>
      <x:c r="K1858" s="8"/>
      <x:c r="L1858" s="8"/>
      <x:c r="M1858" s="10"/>
      <x:c r="N1858" s="10"/>
      <x:c r="O1858" s="8"/>
      <x:c r="P1858" s="9" t="str">
        <x:f>IF(C1858="","",IF(AND(G1858="Applicable",H1858="Fail"),"Fail",IF(R1858&lt;&gt;"Valid","Pending",IF(OR(I1858="",K1858="",L1858="",K1858=L1858,NOT(ISNUMBER(M1858)),NOT(ISNUMBER(N1858)),M1858&gt;Settings!$F$8,N1858&lt;Settings!$F$8,N1858&lt;M1858),"Pending",IF(AND(G1858="Applicable",H1858="Pass"),"Pass",IF(AND(G1858="N/A",H1858="N/A",J1858&lt;&gt;"",OR(E1858="CEM-FUELS",E1858="CEM-CCS",AND(E1858="CEM-PLAN",IFERROR(INDEX('Taxonomy'!$M$9:$M$108,MATCH(D1858,'Taxonomy'!$C$9:$C$108,0)),"")&lt;&gt;"Amber"),E1858="BLD-TIMBER",AND(U1858="Building equipment",OR(E1858="BLD-WATER",E1858="BLD-WASTE",E1858="BLD-LAND")),AND(U1858="Building renovation",E1858="BLD-LAND"))),"N/A","Pending"))))))</x:f>
      </x:c>
      <x:c r="Q1858" s="3" t="str">
        <x:f>IF(C1858="","",IF(AND(R1858="Valid",OR(P1858="Pass",P1858="N/A")),"Complete","Unresolved"))</x:f>
      </x:c>
      <x:c r="R1858" s="9" t="str">
        <x:f>IF(C1858="","",IF(OR(COUNTIF($C$9:$C$2008,C1858)&lt;&gt;1,COUNTIFS($D$9:$D$2008,D1858,$E$9:$E$2008,E1858)&lt;&gt;1),"Duplicate test",IF(COUNTIF('Taxonomy'!$C$9:$C$108,D1858)&lt;&gt;1,"Assessment key",IF(OR(COUNTIF('Taxonomy Rules'!$C$42:$C$68,E1858)&lt;&gt;1,F1858&lt;&gt;IFERROR(INDEX('Taxonomy Rules'!$D$42:$D$68,MATCH(E1858,'Taxonomy Rules'!$C$42:$C$68,0)),""),NOT(OR(IFERROR(INDEX('Taxonomy Rules'!$G$42:$G$68,MATCH(E1858,'Taxonomy Rules'!$C$42:$C$68,0)),"")="All supported routes",IFERROR(INDEX('Taxonomy Rules'!$G$42:$G$68,MATCH(E1858,'Taxonomy Rules'!$C$42:$C$68,0)),"")=U1858,AND(IFERROR(INDEX('Taxonomy Rules'!$G$42:$G$68,MATCH(E1858,'Taxonomy Rules'!$C$42:$C$68,0)),"")="Building routes",OR(U1858="Building renovation",U1858="New building",U1858="Building equipment"))))),"Unexpected test","Valid"))))</x:f>
      </x:c>
      <x:c r="S1858" s="9" t="str">
        <x:f>IF(C1858="","",IFERROR(INDEX('Taxonomy Rules'!$E$42:$E$68,MATCH(E1858,'Taxonomy Rules'!$C$42:$C$68,0)),""))</x:f>
      </x:c>
      <x:c r="T1858" s="9" t="str">
        <x:f>IF(C1858="","",IFERROR(INDEX('Taxonomy Rules'!$F$42:$F$68,MATCH(E1858,'Taxonomy Rules'!$C$42:$C$68,0)),""))</x:f>
      </x:c>
      <x:c r="U1858" s="9" t="str">
        <x:f>IF(C1858="","",IFERROR(INDEX('Taxonomy'!$G$9:$G$108,MATCH(D1858,'Taxonomy'!$C$9:$C$108,0)),""))</x:f>
      </x:c>
    </x:row>
    <x:row r="1859" ht="44" customHeight="1">
      <x:c r="A1859" s="1"/>
      <x:c r="B1859" s="1"/>
      <x:c r="C1859" s="8"/>
      <x:c r="D1859" s="8"/>
      <x:c r="E1859" s="8"/>
      <x:c r="F1859" s="8"/>
      <x:c r="G1859" s="8"/>
      <x:c r="H1859" s="8"/>
      <x:c r="I1859" s="8"/>
      <x:c r="J1859" s="8"/>
      <x:c r="K1859" s="8"/>
      <x:c r="L1859" s="8"/>
      <x:c r="M1859" s="10"/>
      <x:c r="N1859" s="10"/>
      <x:c r="O1859" s="8"/>
      <x:c r="P1859" s="9" t="str">
        <x:f>IF(C1859="","",IF(AND(G1859="Applicable",H1859="Fail"),"Fail",IF(R1859&lt;&gt;"Valid","Pending",IF(OR(I1859="",K1859="",L1859="",K1859=L1859,NOT(ISNUMBER(M1859)),NOT(ISNUMBER(N1859)),M1859&gt;Settings!$F$8,N1859&lt;Settings!$F$8,N1859&lt;M1859),"Pending",IF(AND(G1859="Applicable",H1859="Pass"),"Pass",IF(AND(G1859="N/A",H1859="N/A",J1859&lt;&gt;"",OR(E1859="CEM-FUELS",E1859="CEM-CCS",AND(E1859="CEM-PLAN",IFERROR(INDEX('Taxonomy'!$M$9:$M$108,MATCH(D1859,'Taxonomy'!$C$9:$C$108,0)),"")&lt;&gt;"Amber"),E1859="BLD-TIMBER",AND(U1859="Building equipment",OR(E1859="BLD-WATER",E1859="BLD-WASTE",E1859="BLD-LAND")),AND(U1859="Building renovation",E1859="BLD-LAND"))),"N/A","Pending"))))))</x:f>
      </x:c>
      <x:c r="Q1859" s="3" t="str">
        <x:f>IF(C1859="","",IF(AND(R1859="Valid",OR(P1859="Pass",P1859="N/A")),"Complete","Unresolved"))</x:f>
      </x:c>
      <x:c r="R1859" s="9" t="str">
        <x:f>IF(C1859="","",IF(OR(COUNTIF($C$9:$C$2008,C1859)&lt;&gt;1,COUNTIFS($D$9:$D$2008,D1859,$E$9:$E$2008,E1859)&lt;&gt;1),"Duplicate test",IF(COUNTIF('Taxonomy'!$C$9:$C$108,D1859)&lt;&gt;1,"Assessment key",IF(OR(COUNTIF('Taxonomy Rules'!$C$42:$C$68,E1859)&lt;&gt;1,F1859&lt;&gt;IFERROR(INDEX('Taxonomy Rules'!$D$42:$D$68,MATCH(E1859,'Taxonomy Rules'!$C$42:$C$68,0)),""),NOT(OR(IFERROR(INDEX('Taxonomy Rules'!$G$42:$G$68,MATCH(E1859,'Taxonomy Rules'!$C$42:$C$68,0)),"")="All supported routes",IFERROR(INDEX('Taxonomy Rules'!$G$42:$G$68,MATCH(E1859,'Taxonomy Rules'!$C$42:$C$68,0)),"")=U1859,AND(IFERROR(INDEX('Taxonomy Rules'!$G$42:$G$68,MATCH(E1859,'Taxonomy Rules'!$C$42:$C$68,0)),"")="Building routes",OR(U1859="Building renovation",U1859="New building",U1859="Building equipment"))))),"Unexpected test","Valid"))))</x:f>
      </x:c>
      <x:c r="S1859" s="9" t="str">
        <x:f>IF(C1859="","",IFERROR(INDEX('Taxonomy Rules'!$E$42:$E$68,MATCH(E1859,'Taxonomy Rules'!$C$42:$C$68,0)),""))</x:f>
      </x:c>
      <x:c r="T1859" s="9" t="str">
        <x:f>IF(C1859="","",IFERROR(INDEX('Taxonomy Rules'!$F$42:$F$68,MATCH(E1859,'Taxonomy Rules'!$C$42:$C$68,0)),""))</x:f>
      </x:c>
      <x:c r="U1859" s="9" t="str">
        <x:f>IF(C1859="","",IFERROR(INDEX('Taxonomy'!$G$9:$G$108,MATCH(D1859,'Taxonomy'!$C$9:$C$108,0)),""))</x:f>
      </x:c>
    </x:row>
    <x:row r="1860" ht="44" customHeight="1">
      <x:c r="A1860" s="1"/>
      <x:c r="B1860" s="1"/>
      <x:c r="C1860" s="8"/>
      <x:c r="D1860" s="8"/>
      <x:c r="E1860" s="8"/>
      <x:c r="F1860" s="8"/>
      <x:c r="G1860" s="8"/>
      <x:c r="H1860" s="8"/>
      <x:c r="I1860" s="8"/>
      <x:c r="J1860" s="8"/>
      <x:c r="K1860" s="8"/>
      <x:c r="L1860" s="8"/>
      <x:c r="M1860" s="10"/>
      <x:c r="N1860" s="10"/>
      <x:c r="O1860" s="8"/>
      <x:c r="P1860" s="9" t="str">
        <x:f>IF(C1860="","",IF(AND(G1860="Applicable",H1860="Fail"),"Fail",IF(R1860&lt;&gt;"Valid","Pending",IF(OR(I1860="",K1860="",L1860="",K1860=L1860,NOT(ISNUMBER(M1860)),NOT(ISNUMBER(N1860)),M1860&gt;Settings!$F$8,N1860&lt;Settings!$F$8,N1860&lt;M1860),"Pending",IF(AND(G1860="Applicable",H1860="Pass"),"Pass",IF(AND(G1860="N/A",H1860="N/A",J1860&lt;&gt;"",OR(E1860="CEM-FUELS",E1860="CEM-CCS",AND(E1860="CEM-PLAN",IFERROR(INDEX('Taxonomy'!$M$9:$M$108,MATCH(D1860,'Taxonomy'!$C$9:$C$108,0)),"")&lt;&gt;"Amber"),E1860="BLD-TIMBER",AND(U1860="Building equipment",OR(E1860="BLD-WATER",E1860="BLD-WASTE",E1860="BLD-LAND")),AND(U1860="Building renovation",E1860="BLD-LAND"))),"N/A","Pending"))))))</x:f>
      </x:c>
      <x:c r="Q1860" s="3" t="str">
        <x:f>IF(C1860="","",IF(AND(R1860="Valid",OR(P1860="Pass",P1860="N/A")),"Complete","Unresolved"))</x:f>
      </x:c>
      <x:c r="R1860" s="9" t="str">
        <x:f>IF(C1860="","",IF(OR(COUNTIF($C$9:$C$2008,C1860)&lt;&gt;1,COUNTIFS($D$9:$D$2008,D1860,$E$9:$E$2008,E1860)&lt;&gt;1),"Duplicate test",IF(COUNTIF('Taxonomy'!$C$9:$C$108,D1860)&lt;&gt;1,"Assessment key",IF(OR(COUNTIF('Taxonomy Rules'!$C$42:$C$68,E1860)&lt;&gt;1,F1860&lt;&gt;IFERROR(INDEX('Taxonomy Rules'!$D$42:$D$68,MATCH(E1860,'Taxonomy Rules'!$C$42:$C$68,0)),""),NOT(OR(IFERROR(INDEX('Taxonomy Rules'!$G$42:$G$68,MATCH(E1860,'Taxonomy Rules'!$C$42:$C$68,0)),"")="All supported routes",IFERROR(INDEX('Taxonomy Rules'!$G$42:$G$68,MATCH(E1860,'Taxonomy Rules'!$C$42:$C$68,0)),"")=U1860,AND(IFERROR(INDEX('Taxonomy Rules'!$G$42:$G$68,MATCH(E1860,'Taxonomy Rules'!$C$42:$C$68,0)),"")="Building routes",OR(U1860="Building renovation",U1860="New building",U1860="Building equipment"))))),"Unexpected test","Valid"))))</x:f>
      </x:c>
      <x:c r="S1860" s="9" t="str">
        <x:f>IF(C1860="","",IFERROR(INDEX('Taxonomy Rules'!$E$42:$E$68,MATCH(E1860,'Taxonomy Rules'!$C$42:$C$68,0)),""))</x:f>
      </x:c>
      <x:c r="T1860" s="9" t="str">
        <x:f>IF(C1860="","",IFERROR(INDEX('Taxonomy Rules'!$F$42:$F$68,MATCH(E1860,'Taxonomy Rules'!$C$42:$C$68,0)),""))</x:f>
      </x:c>
      <x:c r="U1860" s="9" t="str">
        <x:f>IF(C1860="","",IFERROR(INDEX('Taxonomy'!$G$9:$G$108,MATCH(D1860,'Taxonomy'!$C$9:$C$108,0)),""))</x:f>
      </x:c>
    </x:row>
    <x:row r="1861" ht="44" customHeight="1">
      <x:c r="A1861" s="1"/>
      <x:c r="B1861" s="1"/>
      <x:c r="C1861" s="8"/>
      <x:c r="D1861" s="8"/>
      <x:c r="E1861" s="8"/>
      <x:c r="F1861" s="8"/>
      <x:c r="G1861" s="8"/>
      <x:c r="H1861" s="8"/>
      <x:c r="I1861" s="8"/>
      <x:c r="J1861" s="8"/>
      <x:c r="K1861" s="8"/>
      <x:c r="L1861" s="8"/>
      <x:c r="M1861" s="10"/>
      <x:c r="N1861" s="10"/>
      <x:c r="O1861" s="8"/>
      <x:c r="P1861" s="9" t="str">
        <x:f>IF(C1861="","",IF(AND(G1861="Applicable",H1861="Fail"),"Fail",IF(R1861&lt;&gt;"Valid","Pending",IF(OR(I1861="",K1861="",L1861="",K1861=L1861,NOT(ISNUMBER(M1861)),NOT(ISNUMBER(N1861)),M1861&gt;Settings!$F$8,N1861&lt;Settings!$F$8,N1861&lt;M1861),"Pending",IF(AND(G1861="Applicable",H1861="Pass"),"Pass",IF(AND(G1861="N/A",H1861="N/A",J1861&lt;&gt;"",OR(E1861="CEM-FUELS",E1861="CEM-CCS",AND(E1861="CEM-PLAN",IFERROR(INDEX('Taxonomy'!$M$9:$M$108,MATCH(D1861,'Taxonomy'!$C$9:$C$108,0)),"")&lt;&gt;"Amber"),E1861="BLD-TIMBER",AND(U1861="Building equipment",OR(E1861="BLD-WATER",E1861="BLD-WASTE",E1861="BLD-LAND")),AND(U1861="Building renovation",E1861="BLD-LAND"))),"N/A","Pending"))))))</x:f>
      </x:c>
      <x:c r="Q1861" s="3" t="str">
        <x:f>IF(C1861="","",IF(AND(R1861="Valid",OR(P1861="Pass",P1861="N/A")),"Complete","Unresolved"))</x:f>
      </x:c>
      <x:c r="R1861" s="9" t="str">
        <x:f>IF(C1861="","",IF(OR(COUNTIF($C$9:$C$2008,C1861)&lt;&gt;1,COUNTIFS($D$9:$D$2008,D1861,$E$9:$E$2008,E1861)&lt;&gt;1),"Duplicate test",IF(COUNTIF('Taxonomy'!$C$9:$C$108,D1861)&lt;&gt;1,"Assessment key",IF(OR(COUNTIF('Taxonomy Rules'!$C$42:$C$68,E1861)&lt;&gt;1,F1861&lt;&gt;IFERROR(INDEX('Taxonomy Rules'!$D$42:$D$68,MATCH(E1861,'Taxonomy Rules'!$C$42:$C$68,0)),""),NOT(OR(IFERROR(INDEX('Taxonomy Rules'!$G$42:$G$68,MATCH(E1861,'Taxonomy Rules'!$C$42:$C$68,0)),"")="All supported routes",IFERROR(INDEX('Taxonomy Rules'!$G$42:$G$68,MATCH(E1861,'Taxonomy Rules'!$C$42:$C$68,0)),"")=U1861,AND(IFERROR(INDEX('Taxonomy Rules'!$G$42:$G$68,MATCH(E1861,'Taxonomy Rules'!$C$42:$C$68,0)),"")="Building routes",OR(U1861="Building renovation",U1861="New building",U1861="Building equipment"))))),"Unexpected test","Valid"))))</x:f>
      </x:c>
      <x:c r="S1861" s="9" t="str">
        <x:f>IF(C1861="","",IFERROR(INDEX('Taxonomy Rules'!$E$42:$E$68,MATCH(E1861,'Taxonomy Rules'!$C$42:$C$68,0)),""))</x:f>
      </x:c>
      <x:c r="T1861" s="9" t="str">
        <x:f>IF(C1861="","",IFERROR(INDEX('Taxonomy Rules'!$F$42:$F$68,MATCH(E1861,'Taxonomy Rules'!$C$42:$C$68,0)),""))</x:f>
      </x:c>
      <x:c r="U1861" s="9" t="str">
        <x:f>IF(C1861="","",IFERROR(INDEX('Taxonomy'!$G$9:$G$108,MATCH(D1861,'Taxonomy'!$C$9:$C$108,0)),""))</x:f>
      </x:c>
    </x:row>
    <x:row r="1862" ht="44" customHeight="1">
      <x:c r="A1862" s="1"/>
      <x:c r="B1862" s="1"/>
      <x:c r="C1862" s="8"/>
      <x:c r="D1862" s="8"/>
      <x:c r="E1862" s="8"/>
      <x:c r="F1862" s="8"/>
      <x:c r="G1862" s="8"/>
      <x:c r="H1862" s="8"/>
      <x:c r="I1862" s="8"/>
      <x:c r="J1862" s="8"/>
      <x:c r="K1862" s="8"/>
      <x:c r="L1862" s="8"/>
      <x:c r="M1862" s="10"/>
      <x:c r="N1862" s="10"/>
      <x:c r="O1862" s="8"/>
      <x:c r="P1862" s="9" t="str">
        <x:f>IF(C1862="","",IF(AND(G1862="Applicable",H1862="Fail"),"Fail",IF(R1862&lt;&gt;"Valid","Pending",IF(OR(I1862="",K1862="",L1862="",K1862=L1862,NOT(ISNUMBER(M1862)),NOT(ISNUMBER(N1862)),M1862&gt;Settings!$F$8,N1862&lt;Settings!$F$8,N1862&lt;M1862),"Pending",IF(AND(G1862="Applicable",H1862="Pass"),"Pass",IF(AND(G1862="N/A",H1862="N/A",J1862&lt;&gt;"",OR(E1862="CEM-FUELS",E1862="CEM-CCS",AND(E1862="CEM-PLAN",IFERROR(INDEX('Taxonomy'!$M$9:$M$108,MATCH(D1862,'Taxonomy'!$C$9:$C$108,0)),"")&lt;&gt;"Amber"),E1862="BLD-TIMBER",AND(U1862="Building equipment",OR(E1862="BLD-WATER",E1862="BLD-WASTE",E1862="BLD-LAND")),AND(U1862="Building renovation",E1862="BLD-LAND"))),"N/A","Pending"))))))</x:f>
      </x:c>
      <x:c r="Q1862" s="3" t="str">
        <x:f>IF(C1862="","",IF(AND(R1862="Valid",OR(P1862="Pass",P1862="N/A")),"Complete","Unresolved"))</x:f>
      </x:c>
      <x:c r="R1862" s="9" t="str">
        <x:f>IF(C1862="","",IF(OR(COUNTIF($C$9:$C$2008,C1862)&lt;&gt;1,COUNTIFS($D$9:$D$2008,D1862,$E$9:$E$2008,E1862)&lt;&gt;1),"Duplicate test",IF(COUNTIF('Taxonomy'!$C$9:$C$108,D1862)&lt;&gt;1,"Assessment key",IF(OR(COUNTIF('Taxonomy Rules'!$C$42:$C$68,E1862)&lt;&gt;1,F1862&lt;&gt;IFERROR(INDEX('Taxonomy Rules'!$D$42:$D$68,MATCH(E1862,'Taxonomy Rules'!$C$42:$C$68,0)),""),NOT(OR(IFERROR(INDEX('Taxonomy Rules'!$G$42:$G$68,MATCH(E1862,'Taxonomy Rules'!$C$42:$C$68,0)),"")="All supported routes",IFERROR(INDEX('Taxonomy Rules'!$G$42:$G$68,MATCH(E1862,'Taxonomy Rules'!$C$42:$C$68,0)),"")=U1862,AND(IFERROR(INDEX('Taxonomy Rules'!$G$42:$G$68,MATCH(E1862,'Taxonomy Rules'!$C$42:$C$68,0)),"")="Building routes",OR(U1862="Building renovation",U1862="New building",U1862="Building equipment"))))),"Unexpected test","Valid"))))</x:f>
      </x:c>
      <x:c r="S1862" s="9" t="str">
        <x:f>IF(C1862="","",IFERROR(INDEX('Taxonomy Rules'!$E$42:$E$68,MATCH(E1862,'Taxonomy Rules'!$C$42:$C$68,0)),""))</x:f>
      </x:c>
      <x:c r="T1862" s="9" t="str">
        <x:f>IF(C1862="","",IFERROR(INDEX('Taxonomy Rules'!$F$42:$F$68,MATCH(E1862,'Taxonomy Rules'!$C$42:$C$68,0)),""))</x:f>
      </x:c>
      <x:c r="U1862" s="9" t="str">
        <x:f>IF(C1862="","",IFERROR(INDEX('Taxonomy'!$G$9:$G$108,MATCH(D1862,'Taxonomy'!$C$9:$C$108,0)),""))</x:f>
      </x:c>
    </x:row>
    <x:row r="1863" ht="44" customHeight="1">
      <x:c r="A1863" s="1"/>
      <x:c r="B1863" s="1"/>
      <x:c r="C1863" s="8"/>
      <x:c r="D1863" s="8"/>
      <x:c r="E1863" s="8"/>
      <x:c r="F1863" s="8"/>
      <x:c r="G1863" s="8"/>
      <x:c r="H1863" s="8"/>
      <x:c r="I1863" s="8"/>
      <x:c r="J1863" s="8"/>
      <x:c r="K1863" s="8"/>
      <x:c r="L1863" s="8"/>
      <x:c r="M1863" s="10"/>
      <x:c r="N1863" s="10"/>
      <x:c r="O1863" s="8"/>
      <x:c r="P1863" s="9" t="str">
        <x:f>IF(C1863="","",IF(AND(G1863="Applicable",H1863="Fail"),"Fail",IF(R1863&lt;&gt;"Valid","Pending",IF(OR(I1863="",K1863="",L1863="",K1863=L1863,NOT(ISNUMBER(M1863)),NOT(ISNUMBER(N1863)),M1863&gt;Settings!$F$8,N1863&lt;Settings!$F$8,N1863&lt;M1863),"Pending",IF(AND(G1863="Applicable",H1863="Pass"),"Pass",IF(AND(G1863="N/A",H1863="N/A",J1863&lt;&gt;"",OR(E1863="CEM-FUELS",E1863="CEM-CCS",AND(E1863="CEM-PLAN",IFERROR(INDEX('Taxonomy'!$M$9:$M$108,MATCH(D1863,'Taxonomy'!$C$9:$C$108,0)),"")&lt;&gt;"Amber"),E1863="BLD-TIMBER",AND(U1863="Building equipment",OR(E1863="BLD-WATER",E1863="BLD-WASTE",E1863="BLD-LAND")),AND(U1863="Building renovation",E1863="BLD-LAND"))),"N/A","Pending"))))))</x:f>
      </x:c>
      <x:c r="Q1863" s="3" t="str">
        <x:f>IF(C1863="","",IF(AND(R1863="Valid",OR(P1863="Pass",P1863="N/A")),"Complete","Unresolved"))</x:f>
      </x:c>
      <x:c r="R1863" s="9" t="str">
        <x:f>IF(C1863="","",IF(OR(COUNTIF($C$9:$C$2008,C1863)&lt;&gt;1,COUNTIFS($D$9:$D$2008,D1863,$E$9:$E$2008,E1863)&lt;&gt;1),"Duplicate test",IF(COUNTIF('Taxonomy'!$C$9:$C$108,D1863)&lt;&gt;1,"Assessment key",IF(OR(COUNTIF('Taxonomy Rules'!$C$42:$C$68,E1863)&lt;&gt;1,F1863&lt;&gt;IFERROR(INDEX('Taxonomy Rules'!$D$42:$D$68,MATCH(E1863,'Taxonomy Rules'!$C$42:$C$68,0)),""),NOT(OR(IFERROR(INDEX('Taxonomy Rules'!$G$42:$G$68,MATCH(E1863,'Taxonomy Rules'!$C$42:$C$68,0)),"")="All supported routes",IFERROR(INDEX('Taxonomy Rules'!$G$42:$G$68,MATCH(E1863,'Taxonomy Rules'!$C$42:$C$68,0)),"")=U1863,AND(IFERROR(INDEX('Taxonomy Rules'!$G$42:$G$68,MATCH(E1863,'Taxonomy Rules'!$C$42:$C$68,0)),"")="Building routes",OR(U1863="Building renovation",U1863="New building",U1863="Building equipment"))))),"Unexpected test","Valid"))))</x:f>
      </x:c>
      <x:c r="S1863" s="9" t="str">
        <x:f>IF(C1863="","",IFERROR(INDEX('Taxonomy Rules'!$E$42:$E$68,MATCH(E1863,'Taxonomy Rules'!$C$42:$C$68,0)),""))</x:f>
      </x:c>
      <x:c r="T1863" s="9" t="str">
        <x:f>IF(C1863="","",IFERROR(INDEX('Taxonomy Rules'!$F$42:$F$68,MATCH(E1863,'Taxonomy Rules'!$C$42:$C$68,0)),""))</x:f>
      </x:c>
      <x:c r="U1863" s="9" t="str">
        <x:f>IF(C1863="","",IFERROR(INDEX('Taxonomy'!$G$9:$G$108,MATCH(D1863,'Taxonomy'!$C$9:$C$108,0)),""))</x:f>
      </x:c>
    </x:row>
    <x:row r="1864" ht="44" customHeight="1">
      <x:c r="A1864" s="1"/>
      <x:c r="B1864" s="1"/>
      <x:c r="C1864" s="8"/>
      <x:c r="D1864" s="8"/>
      <x:c r="E1864" s="8"/>
      <x:c r="F1864" s="8"/>
      <x:c r="G1864" s="8"/>
      <x:c r="H1864" s="8"/>
      <x:c r="I1864" s="8"/>
      <x:c r="J1864" s="8"/>
      <x:c r="K1864" s="8"/>
      <x:c r="L1864" s="8"/>
      <x:c r="M1864" s="10"/>
      <x:c r="N1864" s="10"/>
      <x:c r="O1864" s="8"/>
      <x:c r="P1864" s="9" t="str">
        <x:f>IF(C1864="","",IF(AND(G1864="Applicable",H1864="Fail"),"Fail",IF(R1864&lt;&gt;"Valid","Pending",IF(OR(I1864="",K1864="",L1864="",K1864=L1864,NOT(ISNUMBER(M1864)),NOT(ISNUMBER(N1864)),M1864&gt;Settings!$F$8,N1864&lt;Settings!$F$8,N1864&lt;M1864),"Pending",IF(AND(G1864="Applicable",H1864="Pass"),"Pass",IF(AND(G1864="N/A",H1864="N/A",J1864&lt;&gt;"",OR(E1864="CEM-FUELS",E1864="CEM-CCS",AND(E1864="CEM-PLAN",IFERROR(INDEX('Taxonomy'!$M$9:$M$108,MATCH(D1864,'Taxonomy'!$C$9:$C$108,0)),"")&lt;&gt;"Amber"),E1864="BLD-TIMBER",AND(U1864="Building equipment",OR(E1864="BLD-WATER",E1864="BLD-WASTE",E1864="BLD-LAND")),AND(U1864="Building renovation",E1864="BLD-LAND"))),"N/A","Pending"))))))</x:f>
      </x:c>
      <x:c r="Q1864" s="3" t="str">
        <x:f>IF(C1864="","",IF(AND(R1864="Valid",OR(P1864="Pass",P1864="N/A")),"Complete","Unresolved"))</x:f>
      </x:c>
      <x:c r="R1864" s="9" t="str">
        <x:f>IF(C1864="","",IF(OR(COUNTIF($C$9:$C$2008,C1864)&lt;&gt;1,COUNTIFS($D$9:$D$2008,D1864,$E$9:$E$2008,E1864)&lt;&gt;1),"Duplicate test",IF(COUNTIF('Taxonomy'!$C$9:$C$108,D1864)&lt;&gt;1,"Assessment key",IF(OR(COUNTIF('Taxonomy Rules'!$C$42:$C$68,E1864)&lt;&gt;1,F1864&lt;&gt;IFERROR(INDEX('Taxonomy Rules'!$D$42:$D$68,MATCH(E1864,'Taxonomy Rules'!$C$42:$C$68,0)),""),NOT(OR(IFERROR(INDEX('Taxonomy Rules'!$G$42:$G$68,MATCH(E1864,'Taxonomy Rules'!$C$42:$C$68,0)),"")="All supported routes",IFERROR(INDEX('Taxonomy Rules'!$G$42:$G$68,MATCH(E1864,'Taxonomy Rules'!$C$42:$C$68,0)),"")=U1864,AND(IFERROR(INDEX('Taxonomy Rules'!$G$42:$G$68,MATCH(E1864,'Taxonomy Rules'!$C$42:$C$68,0)),"")="Building routes",OR(U1864="Building renovation",U1864="New building",U1864="Building equipment"))))),"Unexpected test","Valid"))))</x:f>
      </x:c>
      <x:c r="S1864" s="9" t="str">
        <x:f>IF(C1864="","",IFERROR(INDEX('Taxonomy Rules'!$E$42:$E$68,MATCH(E1864,'Taxonomy Rules'!$C$42:$C$68,0)),""))</x:f>
      </x:c>
      <x:c r="T1864" s="9" t="str">
        <x:f>IF(C1864="","",IFERROR(INDEX('Taxonomy Rules'!$F$42:$F$68,MATCH(E1864,'Taxonomy Rules'!$C$42:$C$68,0)),""))</x:f>
      </x:c>
      <x:c r="U1864" s="9" t="str">
        <x:f>IF(C1864="","",IFERROR(INDEX('Taxonomy'!$G$9:$G$108,MATCH(D1864,'Taxonomy'!$C$9:$C$108,0)),""))</x:f>
      </x:c>
    </x:row>
    <x:row r="1865" ht="44" customHeight="1">
      <x:c r="A1865" s="1"/>
      <x:c r="B1865" s="1"/>
      <x:c r="C1865" s="8"/>
      <x:c r="D1865" s="8"/>
      <x:c r="E1865" s="8"/>
      <x:c r="F1865" s="8"/>
      <x:c r="G1865" s="8"/>
      <x:c r="H1865" s="8"/>
      <x:c r="I1865" s="8"/>
      <x:c r="J1865" s="8"/>
      <x:c r="K1865" s="8"/>
      <x:c r="L1865" s="8"/>
      <x:c r="M1865" s="10"/>
      <x:c r="N1865" s="10"/>
      <x:c r="O1865" s="8"/>
      <x:c r="P1865" s="9" t="str">
        <x:f>IF(C1865="","",IF(AND(G1865="Applicable",H1865="Fail"),"Fail",IF(R1865&lt;&gt;"Valid","Pending",IF(OR(I1865="",K1865="",L1865="",K1865=L1865,NOT(ISNUMBER(M1865)),NOT(ISNUMBER(N1865)),M1865&gt;Settings!$F$8,N1865&lt;Settings!$F$8,N1865&lt;M1865),"Pending",IF(AND(G1865="Applicable",H1865="Pass"),"Pass",IF(AND(G1865="N/A",H1865="N/A",J1865&lt;&gt;"",OR(E1865="CEM-FUELS",E1865="CEM-CCS",AND(E1865="CEM-PLAN",IFERROR(INDEX('Taxonomy'!$M$9:$M$108,MATCH(D1865,'Taxonomy'!$C$9:$C$108,0)),"")&lt;&gt;"Amber"),E1865="BLD-TIMBER",AND(U1865="Building equipment",OR(E1865="BLD-WATER",E1865="BLD-WASTE",E1865="BLD-LAND")),AND(U1865="Building renovation",E1865="BLD-LAND"))),"N/A","Pending"))))))</x:f>
      </x:c>
      <x:c r="Q1865" s="3" t="str">
        <x:f>IF(C1865="","",IF(AND(R1865="Valid",OR(P1865="Pass",P1865="N/A")),"Complete","Unresolved"))</x:f>
      </x:c>
      <x:c r="R1865" s="9" t="str">
        <x:f>IF(C1865="","",IF(OR(COUNTIF($C$9:$C$2008,C1865)&lt;&gt;1,COUNTIFS($D$9:$D$2008,D1865,$E$9:$E$2008,E1865)&lt;&gt;1),"Duplicate test",IF(COUNTIF('Taxonomy'!$C$9:$C$108,D1865)&lt;&gt;1,"Assessment key",IF(OR(COUNTIF('Taxonomy Rules'!$C$42:$C$68,E1865)&lt;&gt;1,F1865&lt;&gt;IFERROR(INDEX('Taxonomy Rules'!$D$42:$D$68,MATCH(E1865,'Taxonomy Rules'!$C$42:$C$68,0)),""),NOT(OR(IFERROR(INDEX('Taxonomy Rules'!$G$42:$G$68,MATCH(E1865,'Taxonomy Rules'!$C$42:$C$68,0)),"")="All supported routes",IFERROR(INDEX('Taxonomy Rules'!$G$42:$G$68,MATCH(E1865,'Taxonomy Rules'!$C$42:$C$68,0)),"")=U1865,AND(IFERROR(INDEX('Taxonomy Rules'!$G$42:$G$68,MATCH(E1865,'Taxonomy Rules'!$C$42:$C$68,0)),"")="Building routes",OR(U1865="Building renovation",U1865="New building",U1865="Building equipment"))))),"Unexpected test","Valid"))))</x:f>
      </x:c>
      <x:c r="S1865" s="9" t="str">
        <x:f>IF(C1865="","",IFERROR(INDEX('Taxonomy Rules'!$E$42:$E$68,MATCH(E1865,'Taxonomy Rules'!$C$42:$C$68,0)),""))</x:f>
      </x:c>
      <x:c r="T1865" s="9" t="str">
        <x:f>IF(C1865="","",IFERROR(INDEX('Taxonomy Rules'!$F$42:$F$68,MATCH(E1865,'Taxonomy Rules'!$C$42:$C$68,0)),""))</x:f>
      </x:c>
      <x:c r="U1865" s="9" t="str">
        <x:f>IF(C1865="","",IFERROR(INDEX('Taxonomy'!$G$9:$G$108,MATCH(D1865,'Taxonomy'!$C$9:$C$108,0)),""))</x:f>
      </x:c>
    </x:row>
    <x:row r="1866" ht="44" customHeight="1">
      <x:c r="A1866" s="1"/>
      <x:c r="B1866" s="1"/>
      <x:c r="C1866" s="8"/>
      <x:c r="D1866" s="8"/>
      <x:c r="E1866" s="8"/>
      <x:c r="F1866" s="8"/>
      <x:c r="G1866" s="8"/>
      <x:c r="H1866" s="8"/>
      <x:c r="I1866" s="8"/>
      <x:c r="J1866" s="8"/>
      <x:c r="K1866" s="8"/>
      <x:c r="L1866" s="8"/>
      <x:c r="M1866" s="10"/>
      <x:c r="N1866" s="10"/>
      <x:c r="O1866" s="8"/>
      <x:c r="P1866" s="9" t="str">
        <x:f>IF(C1866="","",IF(AND(G1866="Applicable",H1866="Fail"),"Fail",IF(R1866&lt;&gt;"Valid","Pending",IF(OR(I1866="",K1866="",L1866="",K1866=L1866,NOT(ISNUMBER(M1866)),NOT(ISNUMBER(N1866)),M1866&gt;Settings!$F$8,N1866&lt;Settings!$F$8,N1866&lt;M1866),"Pending",IF(AND(G1866="Applicable",H1866="Pass"),"Pass",IF(AND(G1866="N/A",H1866="N/A",J1866&lt;&gt;"",OR(E1866="CEM-FUELS",E1866="CEM-CCS",AND(E1866="CEM-PLAN",IFERROR(INDEX('Taxonomy'!$M$9:$M$108,MATCH(D1866,'Taxonomy'!$C$9:$C$108,0)),"")&lt;&gt;"Amber"),E1866="BLD-TIMBER",AND(U1866="Building equipment",OR(E1866="BLD-WATER",E1866="BLD-WASTE",E1866="BLD-LAND")),AND(U1866="Building renovation",E1866="BLD-LAND"))),"N/A","Pending"))))))</x:f>
      </x:c>
      <x:c r="Q1866" s="3" t="str">
        <x:f>IF(C1866="","",IF(AND(R1866="Valid",OR(P1866="Pass",P1866="N/A")),"Complete","Unresolved"))</x:f>
      </x:c>
      <x:c r="R1866" s="9" t="str">
        <x:f>IF(C1866="","",IF(OR(COUNTIF($C$9:$C$2008,C1866)&lt;&gt;1,COUNTIFS($D$9:$D$2008,D1866,$E$9:$E$2008,E1866)&lt;&gt;1),"Duplicate test",IF(COUNTIF('Taxonomy'!$C$9:$C$108,D1866)&lt;&gt;1,"Assessment key",IF(OR(COUNTIF('Taxonomy Rules'!$C$42:$C$68,E1866)&lt;&gt;1,F1866&lt;&gt;IFERROR(INDEX('Taxonomy Rules'!$D$42:$D$68,MATCH(E1866,'Taxonomy Rules'!$C$42:$C$68,0)),""),NOT(OR(IFERROR(INDEX('Taxonomy Rules'!$G$42:$G$68,MATCH(E1866,'Taxonomy Rules'!$C$42:$C$68,0)),"")="All supported routes",IFERROR(INDEX('Taxonomy Rules'!$G$42:$G$68,MATCH(E1866,'Taxonomy Rules'!$C$42:$C$68,0)),"")=U1866,AND(IFERROR(INDEX('Taxonomy Rules'!$G$42:$G$68,MATCH(E1866,'Taxonomy Rules'!$C$42:$C$68,0)),"")="Building routes",OR(U1866="Building renovation",U1866="New building",U1866="Building equipment"))))),"Unexpected test","Valid"))))</x:f>
      </x:c>
      <x:c r="S1866" s="9" t="str">
        <x:f>IF(C1866="","",IFERROR(INDEX('Taxonomy Rules'!$E$42:$E$68,MATCH(E1866,'Taxonomy Rules'!$C$42:$C$68,0)),""))</x:f>
      </x:c>
      <x:c r="T1866" s="9" t="str">
        <x:f>IF(C1866="","",IFERROR(INDEX('Taxonomy Rules'!$F$42:$F$68,MATCH(E1866,'Taxonomy Rules'!$C$42:$C$68,0)),""))</x:f>
      </x:c>
      <x:c r="U1866" s="9" t="str">
        <x:f>IF(C1866="","",IFERROR(INDEX('Taxonomy'!$G$9:$G$108,MATCH(D1866,'Taxonomy'!$C$9:$C$108,0)),""))</x:f>
      </x:c>
    </x:row>
    <x:row r="1867" ht="44" customHeight="1">
      <x:c r="A1867" s="1"/>
      <x:c r="B1867" s="1"/>
      <x:c r="C1867" s="8"/>
      <x:c r="D1867" s="8"/>
      <x:c r="E1867" s="8"/>
      <x:c r="F1867" s="8"/>
      <x:c r="G1867" s="8"/>
      <x:c r="H1867" s="8"/>
      <x:c r="I1867" s="8"/>
      <x:c r="J1867" s="8"/>
      <x:c r="K1867" s="8"/>
      <x:c r="L1867" s="8"/>
      <x:c r="M1867" s="10"/>
      <x:c r="N1867" s="10"/>
      <x:c r="O1867" s="8"/>
      <x:c r="P1867" s="9" t="str">
        <x:f>IF(C1867="","",IF(AND(G1867="Applicable",H1867="Fail"),"Fail",IF(R1867&lt;&gt;"Valid","Pending",IF(OR(I1867="",K1867="",L1867="",K1867=L1867,NOT(ISNUMBER(M1867)),NOT(ISNUMBER(N1867)),M1867&gt;Settings!$F$8,N1867&lt;Settings!$F$8,N1867&lt;M1867),"Pending",IF(AND(G1867="Applicable",H1867="Pass"),"Pass",IF(AND(G1867="N/A",H1867="N/A",J1867&lt;&gt;"",OR(E1867="CEM-FUELS",E1867="CEM-CCS",AND(E1867="CEM-PLAN",IFERROR(INDEX('Taxonomy'!$M$9:$M$108,MATCH(D1867,'Taxonomy'!$C$9:$C$108,0)),"")&lt;&gt;"Amber"),E1867="BLD-TIMBER",AND(U1867="Building equipment",OR(E1867="BLD-WATER",E1867="BLD-WASTE",E1867="BLD-LAND")),AND(U1867="Building renovation",E1867="BLD-LAND"))),"N/A","Pending"))))))</x:f>
      </x:c>
      <x:c r="Q1867" s="3" t="str">
        <x:f>IF(C1867="","",IF(AND(R1867="Valid",OR(P1867="Pass",P1867="N/A")),"Complete","Unresolved"))</x:f>
      </x:c>
      <x:c r="R1867" s="9" t="str">
        <x:f>IF(C1867="","",IF(OR(COUNTIF($C$9:$C$2008,C1867)&lt;&gt;1,COUNTIFS($D$9:$D$2008,D1867,$E$9:$E$2008,E1867)&lt;&gt;1),"Duplicate test",IF(COUNTIF('Taxonomy'!$C$9:$C$108,D1867)&lt;&gt;1,"Assessment key",IF(OR(COUNTIF('Taxonomy Rules'!$C$42:$C$68,E1867)&lt;&gt;1,F1867&lt;&gt;IFERROR(INDEX('Taxonomy Rules'!$D$42:$D$68,MATCH(E1867,'Taxonomy Rules'!$C$42:$C$68,0)),""),NOT(OR(IFERROR(INDEX('Taxonomy Rules'!$G$42:$G$68,MATCH(E1867,'Taxonomy Rules'!$C$42:$C$68,0)),"")="All supported routes",IFERROR(INDEX('Taxonomy Rules'!$G$42:$G$68,MATCH(E1867,'Taxonomy Rules'!$C$42:$C$68,0)),"")=U1867,AND(IFERROR(INDEX('Taxonomy Rules'!$G$42:$G$68,MATCH(E1867,'Taxonomy Rules'!$C$42:$C$68,0)),"")="Building routes",OR(U1867="Building renovation",U1867="New building",U1867="Building equipment"))))),"Unexpected test","Valid"))))</x:f>
      </x:c>
      <x:c r="S1867" s="9" t="str">
        <x:f>IF(C1867="","",IFERROR(INDEX('Taxonomy Rules'!$E$42:$E$68,MATCH(E1867,'Taxonomy Rules'!$C$42:$C$68,0)),""))</x:f>
      </x:c>
      <x:c r="T1867" s="9" t="str">
        <x:f>IF(C1867="","",IFERROR(INDEX('Taxonomy Rules'!$F$42:$F$68,MATCH(E1867,'Taxonomy Rules'!$C$42:$C$68,0)),""))</x:f>
      </x:c>
      <x:c r="U1867" s="9" t="str">
        <x:f>IF(C1867="","",IFERROR(INDEX('Taxonomy'!$G$9:$G$108,MATCH(D1867,'Taxonomy'!$C$9:$C$108,0)),""))</x:f>
      </x:c>
    </x:row>
    <x:row r="1868" ht="44" customHeight="1">
      <x:c r="A1868" s="1"/>
      <x:c r="B1868" s="1"/>
      <x:c r="C1868" s="8"/>
      <x:c r="D1868" s="8"/>
      <x:c r="E1868" s="8"/>
      <x:c r="F1868" s="8"/>
      <x:c r="G1868" s="8"/>
      <x:c r="H1868" s="8"/>
      <x:c r="I1868" s="8"/>
      <x:c r="J1868" s="8"/>
      <x:c r="K1868" s="8"/>
      <x:c r="L1868" s="8"/>
      <x:c r="M1868" s="10"/>
      <x:c r="N1868" s="10"/>
      <x:c r="O1868" s="8"/>
      <x:c r="P1868" s="9" t="str">
        <x:f>IF(C1868="","",IF(AND(G1868="Applicable",H1868="Fail"),"Fail",IF(R1868&lt;&gt;"Valid","Pending",IF(OR(I1868="",K1868="",L1868="",K1868=L1868,NOT(ISNUMBER(M1868)),NOT(ISNUMBER(N1868)),M1868&gt;Settings!$F$8,N1868&lt;Settings!$F$8,N1868&lt;M1868),"Pending",IF(AND(G1868="Applicable",H1868="Pass"),"Pass",IF(AND(G1868="N/A",H1868="N/A",J1868&lt;&gt;"",OR(E1868="CEM-FUELS",E1868="CEM-CCS",AND(E1868="CEM-PLAN",IFERROR(INDEX('Taxonomy'!$M$9:$M$108,MATCH(D1868,'Taxonomy'!$C$9:$C$108,0)),"")&lt;&gt;"Amber"),E1868="BLD-TIMBER",AND(U1868="Building equipment",OR(E1868="BLD-WATER",E1868="BLD-WASTE",E1868="BLD-LAND")),AND(U1868="Building renovation",E1868="BLD-LAND"))),"N/A","Pending"))))))</x:f>
      </x:c>
      <x:c r="Q1868" s="3" t="str">
        <x:f>IF(C1868="","",IF(AND(R1868="Valid",OR(P1868="Pass",P1868="N/A")),"Complete","Unresolved"))</x:f>
      </x:c>
      <x:c r="R1868" s="9" t="str">
        <x:f>IF(C1868="","",IF(OR(COUNTIF($C$9:$C$2008,C1868)&lt;&gt;1,COUNTIFS($D$9:$D$2008,D1868,$E$9:$E$2008,E1868)&lt;&gt;1),"Duplicate test",IF(COUNTIF('Taxonomy'!$C$9:$C$108,D1868)&lt;&gt;1,"Assessment key",IF(OR(COUNTIF('Taxonomy Rules'!$C$42:$C$68,E1868)&lt;&gt;1,F1868&lt;&gt;IFERROR(INDEX('Taxonomy Rules'!$D$42:$D$68,MATCH(E1868,'Taxonomy Rules'!$C$42:$C$68,0)),""),NOT(OR(IFERROR(INDEX('Taxonomy Rules'!$G$42:$G$68,MATCH(E1868,'Taxonomy Rules'!$C$42:$C$68,0)),"")="All supported routes",IFERROR(INDEX('Taxonomy Rules'!$G$42:$G$68,MATCH(E1868,'Taxonomy Rules'!$C$42:$C$68,0)),"")=U1868,AND(IFERROR(INDEX('Taxonomy Rules'!$G$42:$G$68,MATCH(E1868,'Taxonomy Rules'!$C$42:$C$68,0)),"")="Building routes",OR(U1868="Building renovation",U1868="New building",U1868="Building equipment"))))),"Unexpected test","Valid"))))</x:f>
      </x:c>
      <x:c r="S1868" s="9" t="str">
        <x:f>IF(C1868="","",IFERROR(INDEX('Taxonomy Rules'!$E$42:$E$68,MATCH(E1868,'Taxonomy Rules'!$C$42:$C$68,0)),""))</x:f>
      </x:c>
      <x:c r="T1868" s="9" t="str">
        <x:f>IF(C1868="","",IFERROR(INDEX('Taxonomy Rules'!$F$42:$F$68,MATCH(E1868,'Taxonomy Rules'!$C$42:$C$68,0)),""))</x:f>
      </x:c>
      <x:c r="U1868" s="9" t="str">
        <x:f>IF(C1868="","",IFERROR(INDEX('Taxonomy'!$G$9:$G$108,MATCH(D1868,'Taxonomy'!$C$9:$C$108,0)),""))</x:f>
      </x:c>
    </x:row>
    <x:row r="1869" ht="44" customHeight="1">
      <x:c r="A1869" s="1"/>
      <x:c r="B1869" s="1"/>
      <x:c r="C1869" s="8"/>
      <x:c r="D1869" s="8"/>
      <x:c r="E1869" s="8"/>
      <x:c r="F1869" s="8"/>
      <x:c r="G1869" s="8"/>
      <x:c r="H1869" s="8"/>
      <x:c r="I1869" s="8"/>
      <x:c r="J1869" s="8"/>
      <x:c r="K1869" s="8"/>
      <x:c r="L1869" s="8"/>
      <x:c r="M1869" s="10"/>
      <x:c r="N1869" s="10"/>
      <x:c r="O1869" s="8"/>
      <x:c r="P1869" s="9" t="str">
        <x:f>IF(C1869="","",IF(AND(G1869="Applicable",H1869="Fail"),"Fail",IF(R1869&lt;&gt;"Valid","Pending",IF(OR(I1869="",K1869="",L1869="",K1869=L1869,NOT(ISNUMBER(M1869)),NOT(ISNUMBER(N1869)),M1869&gt;Settings!$F$8,N1869&lt;Settings!$F$8,N1869&lt;M1869),"Pending",IF(AND(G1869="Applicable",H1869="Pass"),"Pass",IF(AND(G1869="N/A",H1869="N/A",J1869&lt;&gt;"",OR(E1869="CEM-FUELS",E1869="CEM-CCS",AND(E1869="CEM-PLAN",IFERROR(INDEX('Taxonomy'!$M$9:$M$108,MATCH(D1869,'Taxonomy'!$C$9:$C$108,0)),"")&lt;&gt;"Amber"),E1869="BLD-TIMBER",AND(U1869="Building equipment",OR(E1869="BLD-WATER",E1869="BLD-WASTE",E1869="BLD-LAND")),AND(U1869="Building renovation",E1869="BLD-LAND"))),"N/A","Pending"))))))</x:f>
      </x:c>
      <x:c r="Q1869" s="3" t="str">
        <x:f>IF(C1869="","",IF(AND(R1869="Valid",OR(P1869="Pass",P1869="N/A")),"Complete","Unresolved"))</x:f>
      </x:c>
      <x:c r="R1869" s="9" t="str">
        <x:f>IF(C1869="","",IF(OR(COUNTIF($C$9:$C$2008,C1869)&lt;&gt;1,COUNTIFS($D$9:$D$2008,D1869,$E$9:$E$2008,E1869)&lt;&gt;1),"Duplicate test",IF(COUNTIF('Taxonomy'!$C$9:$C$108,D1869)&lt;&gt;1,"Assessment key",IF(OR(COUNTIF('Taxonomy Rules'!$C$42:$C$68,E1869)&lt;&gt;1,F1869&lt;&gt;IFERROR(INDEX('Taxonomy Rules'!$D$42:$D$68,MATCH(E1869,'Taxonomy Rules'!$C$42:$C$68,0)),""),NOT(OR(IFERROR(INDEX('Taxonomy Rules'!$G$42:$G$68,MATCH(E1869,'Taxonomy Rules'!$C$42:$C$68,0)),"")="All supported routes",IFERROR(INDEX('Taxonomy Rules'!$G$42:$G$68,MATCH(E1869,'Taxonomy Rules'!$C$42:$C$68,0)),"")=U1869,AND(IFERROR(INDEX('Taxonomy Rules'!$G$42:$G$68,MATCH(E1869,'Taxonomy Rules'!$C$42:$C$68,0)),"")="Building routes",OR(U1869="Building renovation",U1869="New building",U1869="Building equipment"))))),"Unexpected test","Valid"))))</x:f>
      </x:c>
      <x:c r="S1869" s="9" t="str">
        <x:f>IF(C1869="","",IFERROR(INDEX('Taxonomy Rules'!$E$42:$E$68,MATCH(E1869,'Taxonomy Rules'!$C$42:$C$68,0)),""))</x:f>
      </x:c>
      <x:c r="T1869" s="9" t="str">
        <x:f>IF(C1869="","",IFERROR(INDEX('Taxonomy Rules'!$F$42:$F$68,MATCH(E1869,'Taxonomy Rules'!$C$42:$C$68,0)),""))</x:f>
      </x:c>
      <x:c r="U1869" s="9" t="str">
        <x:f>IF(C1869="","",IFERROR(INDEX('Taxonomy'!$G$9:$G$108,MATCH(D1869,'Taxonomy'!$C$9:$C$108,0)),""))</x:f>
      </x:c>
    </x:row>
    <x:row r="1870" ht="44" customHeight="1">
      <x:c r="A1870" s="1"/>
      <x:c r="B1870" s="1"/>
      <x:c r="C1870" s="8"/>
      <x:c r="D1870" s="8"/>
      <x:c r="E1870" s="8"/>
      <x:c r="F1870" s="8"/>
      <x:c r="G1870" s="8"/>
      <x:c r="H1870" s="8"/>
      <x:c r="I1870" s="8"/>
      <x:c r="J1870" s="8"/>
      <x:c r="K1870" s="8"/>
      <x:c r="L1870" s="8"/>
      <x:c r="M1870" s="10"/>
      <x:c r="N1870" s="10"/>
      <x:c r="O1870" s="8"/>
      <x:c r="P1870" s="9" t="str">
        <x:f>IF(C1870="","",IF(AND(G1870="Applicable",H1870="Fail"),"Fail",IF(R1870&lt;&gt;"Valid","Pending",IF(OR(I1870="",K1870="",L1870="",K1870=L1870,NOT(ISNUMBER(M1870)),NOT(ISNUMBER(N1870)),M1870&gt;Settings!$F$8,N1870&lt;Settings!$F$8,N1870&lt;M1870),"Pending",IF(AND(G1870="Applicable",H1870="Pass"),"Pass",IF(AND(G1870="N/A",H1870="N/A",J1870&lt;&gt;"",OR(E1870="CEM-FUELS",E1870="CEM-CCS",AND(E1870="CEM-PLAN",IFERROR(INDEX('Taxonomy'!$M$9:$M$108,MATCH(D1870,'Taxonomy'!$C$9:$C$108,0)),"")&lt;&gt;"Amber"),E1870="BLD-TIMBER",AND(U1870="Building equipment",OR(E1870="BLD-WATER",E1870="BLD-WASTE",E1870="BLD-LAND")),AND(U1870="Building renovation",E1870="BLD-LAND"))),"N/A","Pending"))))))</x:f>
      </x:c>
      <x:c r="Q1870" s="3" t="str">
        <x:f>IF(C1870="","",IF(AND(R1870="Valid",OR(P1870="Pass",P1870="N/A")),"Complete","Unresolved"))</x:f>
      </x:c>
      <x:c r="R1870" s="9" t="str">
        <x:f>IF(C1870="","",IF(OR(COUNTIF($C$9:$C$2008,C1870)&lt;&gt;1,COUNTIFS($D$9:$D$2008,D1870,$E$9:$E$2008,E1870)&lt;&gt;1),"Duplicate test",IF(COUNTIF('Taxonomy'!$C$9:$C$108,D1870)&lt;&gt;1,"Assessment key",IF(OR(COUNTIF('Taxonomy Rules'!$C$42:$C$68,E1870)&lt;&gt;1,F1870&lt;&gt;IFERROR(INDEX('Taxonomy Rules'!$D$42:$D$68,MATCH(E1870,'Taxonomy Rules'!$C$42:$C$68,0)),""),NOT(OR(IFERROR(INDEX('Taxonomy Rules'!$G$42:$G$68,MATCH(E1870,'Taxonomy Rules'!$C$42:$C$68,0)),"")="All supported routes",IFERROR(INDEX('Taxonomy Rules'!$G$42:$G$68,MATCH(E1870,'Taxonomy Rules'!$C$42:$C$68,0)),"")=U1870,AND(IFERROR(INDEX('Taxonomy Rules'!$G$42:$G$68,MATCH(E1870,'Taxonomy Rules'!$C$42:$C$68,0)),"")="Building routes",OR(U1870="Building renovation",U1870="New building",U1870="Building equipment"))))),"Unexpected test","Valid"))))</x:f>
      </x:c>
      <x:c r="S1870" s="9" t="str">
        <x:f>IF(C1870="","",IFERROR(INDEX('Taxonomy Rules'!$E$42:$E$68,MATCH(E1870,'Taxonomy Rules'!$C$42:$C$68,0)),""))</x:f>
      </x:c>
      <x:c r="T1870" s="9" t="str">
        <x:f>IF(C1870="","",IFERROR(INDEX('Taxonomy Rules'!$F$42:$F$68,MATCH(E1870,'Taxonomy Rules'!$C$42:$C$68,0)),""))</x:f>
      </x:c>
      <x:c r="U1870" s="9" t="str">
        <x:f>IF(C1870="","",IFERROR(INDEX('Taxonomy'!$G$9:$G$108,MATCH(D1870,'Taxonomy'!$C$9:$C$108,0)),""))</x:f>
      </x:c>
    </x:row>
    <x:row r="1871" ht="44" customHeight="1">
      <x:c r="A1871" s="1"/>
      <x:c r="B1871" s="1"/>
      <x:c r="C1871" s="8"/>
      <x:c r="D1871" s="8"/>
      <x:c r="E1871" s="8"/>
      <x:c r="F1871" s="8"/>
      <x:c r="G1871" s="8"/>
      <x:c r="H1871" s="8"/>
      <x:c r="I1871" s="8"/>
      <x:c r="J1871" s="8"/>
      <x:c r="K1871" s="8"/>
      <x:c r="L1871" s="8"/>
      <x:c r="M1871" s="10"/>
      <x:c r="N1871" s="10"/>
      <x:c r="O1871" s="8"/>
      <x:c r="P1871" s="9" t="str">
        <x:f>IF(C1871="","",IF(AND(G1871="Applicable",H1871="Fail"),"Fail",IF(R1871&lt;&gt;"Valid","Pending",IF(OR(I1871="",K1871="",L1871="",K1871=L1871,NOT(ISNUMBER(M1871)),NOT(ISNUMBER(N1871)),M1871&gt;Settings!$F$8,N1871&lt;Settings!$F$8,N1871&lt;M1871),"Pending",IF(AND(G1871="Applicable",H1871="Pass"),"Pass",IF(AND(G1871="N/A",H1871="N/A",J1871&lt;&gt;"",OR(E1871="CEM-FUELS",E1871="CEM-CCS",AND(E1871="CEM-PLAN",IFERROR(INDEX('Taxonomy'!$M$9:$M$108,MATCH(D1871,'Taxonomy'!$C$9:$C$108,0)),"")&lt;&gt;"Amber"),E1871="BLD-TIMBER",AND(U1871="Building equipment",OR(E1871="BLD-WATER",E1871="BLD-WASTE",E1871="BLD-LAND")),AND(U1871="Building renovation",E1871="BLD-LAND"))),"N/A","Pending"))))))</x:f>
      </x:c>
      <x:c r="Q1871" s="3" t="str">
        <x:f>IF(C1871="","",IF(AND(R1871="Valid",OR(P1871="Pass",P1871="N/A")),"Complete","Unresolved"))</x:f>
      </x:c>
      <x:c r="R1871" s="9" t="str">
        <x:f>IF(C1871="","",IF(OR(COUNTIF($C$9:$C$2008,C1871)&lt;&gt;1,COUNTIFS($D$9:$D$2008,D1871,$E$9:$E$2008,E1871)&lt;&gt;1),"Duplicate test",IF(COUNTIF('Taxonomy'!$C$9:$C$108,D1871)&lt;&gt;1,"Assessment key",IF(OR(COUNTIF('Taxonomy Rules'!$C$42:$C$68,E1871)&lt;&gt;1,F1871&lt;&gt;IFERROR(INDEX('Taxonomy Rules'!$D$42:$D$68,MATCH(E1871,'Taxonomy Rules'!$C$42:$C$68,0)),""),NOT(OR(IFERROR(INDEX('Taxonomy Rules'!$G$42:$G$68,MATCH(E1871,'Taxonomy Rules'!$C$42:$C$68,0)),"")="All supported routes",IFERROR(INDEX('Taxonomy Rules'!$G$42:$G$68,MATCH(E1871,'Taxonomy Rules'!$C$42:$C$68,0)),"")=U1871,AND(IFERROR(INDEX('Taxonomy Rules'!$G$42:$G$68,MATCH(E1871,'Taxonomy Rules'!$C$42:$C$68,0)),"")="Building routes",OR(U1871="Building renovation",U1871="New building",U1871="Building equipment"))))),"Unexpected test","Valid"))))</x:f>
      </x:c>
      <x:c r="S1871" s="9" t="str">
        <x:f>IF(C1871="","",IFERROR(INDEX('Taxonomy Rules'!$E$42:$E$68,MATCH(E1871,'Taxonomy Rules'!$C$42:$C$68,0)),""))</x:f>
      </x:c>
      <x:c r="T1871" s="9" t="str">
        <x:f>IF(C1871="","",IFERROR(INDEX('Taxonomy Rules'!$F$42:$F$68,MATCH(E1871,'Taxonomy Rules'!$C$42:$C$68,0)),""))</x:f>
      </x:c>
      <x:c r="U1871" s="9" t="str">
        <x:f>IF(C1871="","",IFERROR(INDEX('Taxonomy'!$G$9:$G$108,MATCH(D1871,'Taxonomy'!$C$9:$C$108,0)),""))</x:f>
      </x:c>
    </x:row>
    <x:row r="1872" ht="44" customHeight="1">
      <x:c r="A1872" s="1"/>
      <x:c r="B1872" s="1"/>
      <x:c r="C1872" s="8"/>
      <x:c r="D1872" s="8"/>
      <x:c r="E1872" s="8"/>
      <x:c r="F1872" s="8"/>
      <x:c r="G1872" s="8"/>
      <x:c r="H1872" s="8"/>
      <x:c r="I1872" s="8"/>
      <x:c r="J1872" s="8"/>
      <x:c r="K1872" s="8"/>
      <x:c r="L1872" s="8"/>
      <x:c r="M1872" s="10"/>
      <x:c r="N1872" s="10"/>
      <x:c r="O1872" s="8"/>
      <x:c r="P1872" s="9" t="str">
        <x:f>IF(C1872="","",IF(AND(G1872="Applicable",H1872="Fail"),"Fail",IF(R1872&lt;&gt;"Valid","Pending",IF(OR(I1872="",K1872="",L1872="",K1872=L1872,NOT(ISNUMBER(M1872)),NOT(ISNUMBER(N1872)),M1872&gt;Settings!$F$8,N1872&lt;Settings!$F$8,N1872&lt;M1872),"Pending",IF(AND(G1872="Applicable",H1872="Pass"),"Pass",IF(AND(G1872="N/A",H1872="N/A",J1872&lt;&gt;"",OR(E1872="CEM-FUELS",E1872="CEM-CCS",AND(E1872="CEM-PLAN",IFERROR(INDEX('Taxonomy'!$M$9:$M$108,MATCH(D1872,'Taxonomy'!$C$9:$C$108,0)),"")&lt;&gt;"Amber"),E1872="BLD-TIMBER",AND(U1872="Building equipment",OR(E1872="BLD-WATER",E1872="BLD-WASTE",E1872="BLD-LAND")),AND(U1872="Building renovation",E1872="BLD-LAND"))),"N/A","Pending"))))))</x:f>
      </x:c>
      <x:c r="Q1872" s="3" t="str">
        <x:f>IF(C1872="","",IF(AND(R1872="Valid",OR(P1872="Pass",P1872="N/A")),"Complete","Unresolved"))</x:f>
      </x:c>
      <x:c r="R1872" s="9" t="str">
        <x:f>IF(C1872="","",IF(OR(COUNTIF($C$9:$C$2008,C1872)&lt;&gt;1,COUNTIFS($D$9:$D$2008,D1872,$E$9:$E$2008,E1872)&lt;&gt;1),"Duplicate test",IF(COUNTIF('Taxonomy'!$C$9:$C$108,D1872)&lt;&gt;1,"Assessment key",IF(OR(COUNTIF('Taxonomy Rules'!$C$42:$C$68,E1872)&lt;&gt;1,F1872&lt;&gt;IFERROR(INDEX('Taxonomy Rules'!$D$42:$D$68,MATCH(E1872,'Taxonomy Rules'!$C$42:$C$68,0)),""),NOT(OR(IFERROR(INDEX('Taxonomy Rules'!$G$42:$G$68,MATCH(E1872,'Taxonomy Rules'!$C$42:$C$68,0)),"")="All supported routes",IFERROR(INDEX('Taxonomy Rules'!$G$42:$G$68,MATCH(E1872,'Taxonomy Rules'!$C$42:$C$68,0)),"")=U1872,AND(IFERROR(INDEX('Taxonomy Rules'!$G$42:$G$68,MATCH(E1872,'Taxonomy Rules'!$C$42:$C$68,0)),"")="Building routes",OR(U1872="Building renovation",U1872="New building",U1872="Building equipment"))))),"Unexpected test","Valid"))))</x:f>
      </x:c>
      <x:c r="S1872" s="9" t="str">
        <x:f>IF(C1872="","",IFERROR(INDEX('Taxonomy Rules'!$E$42:$E$68,MATCH(E1872,'Taxonomy Rules'!$C$42:$C$68,0)),""))</x:f>
      </x:c>
      <x:c r="T1872" s="9" t="str">
        <x:f>IF(C1872="","",IFERROR(INDEX('Taxonomy Rules'!$F$42:$F$68,MATCH(E1872,'Taxonomy Rules'!$C$42:$C$68,0)),""))</x:f>
      </x:c>
      <x:c r="U1872" s="9" t="str">
        <x:f>IF(C1872="","",IFERROR(INDEX('Taxonomy'!$G$9:$G$108,MATCH(D1872,'Taxonomy'!$C$9:$C$108,0)),""))</x:f>
      </x:c>
    </x:row>
    <x:row r="1873" ht="44" customHeight="1">
      <x:c r="A1873" s="1"/>
      <x:c r="B1873" s="1"/>
      <x:c r="C1873" s="8"/>
      <x:c r="D1873" s="8"/>
      <x:c r="E1873" s="8"/>
      <x:c r="F1873" s="8"/>
      <x:c r="G1873" s="8"/>
      <x:c r="H1873" s="8"/>
      <x:c r="I1873" s="8"/>
      <x:c r="J1873" s="8"/>
      <x:c r="K1873" s="8"/>
      <x:c r="L1873" s="8"/>
      <x:c r="M1873" s="10"/>
      <x:c r="N1873" s="10"/>
      <x:c r="O1873" s="8"/>
      <x:c r="P1873" s="9" t="str">
        <x:f>IF(C1873="","",IF(AND(G1873="Applicable",H1873="Fail"),"Fail",IF(R1873&lt;&gt;"Valid","Pending",IF(OR(I1873="",K1873="",L1873="",K1873=L1873,NOT(ISNUMBER(M1873)),NOT(ISNUMBER(N1873)),M1873&gt;Settings!$F$8,N1873&lt;Settings!$F$8,N1873&lt;M1873),"Pending",IF(AND(G1873="Applicable",H1873="Pass"),"Pass",IF(AND(G1873="N/A",H1873="N/A",J1873&lt;&gt;"",OR(E1873="CEM-FUELS",E1873="CEM-CCS",AND(E1873="CEM-PLAN",IFERROR(INDEX('Taxonomy'!$M$9:$M$108,MATCH(D1873,'Taxonomy'!$C$9:$C$108,0)),"")&lt;&gt;"Amber"),E1873="BLD-TIMBER",AND(U1873="Building equipment",OR(E1873="BLD-WATER",E1873="BLD-WASTE",E1873="BLD-LAND")),AND(U1873="Building renovation",E1873="BLD-LAND"))),"N/A","Pending"))))))</x:f>
      </x:c>
      <x:c r="Q1873" s="3" t="str">
        <x:f>IF(C1873="","",IF(AND(R1873="Valid",OR(P1873="Pass",P1873="N/A")),"Complete","Unresolved"))</x:f>
      </x:c>
      <x:c r="R1873" s="9" t="str">
        <x:f>IF(C1873="","",IF(OR(COUNTIF($C$9:$C$2008,C1873)&lt;&gt;1,COUNTIFS($D$9:$D$2008,D1873,$E$9:$E$2008,E1873)&lt;&gt;1),"Duplicate test",IF(COUNTIF('Taxonomy'!$C$9:$C$108,D1873)&lt;&gt;1,"Assessment key",IF(OR(COUNTIF('Taxonomy Rules'!$C$42:$C$68,E1873)&lt;&gt;1,F1873&lt;&gt;IFERROR(INDEX('Taxonomy Rules'!$D$42:$D$68,MATCH(E1873,'Taxonomy Rules'!$C$42:$C$68,0)),""),NOT(OR(IFERROR(INDEX('Taxonomy Rules'!$G$42:$G$68,MATCH(E1873,'Taxonomy Rules'!$C$42:$C$68,0)),"")="All supported routes",IFERROR(INDEX('Taxonomy Rules'!$G$42:$G$68,MATCH(E1873,'Taxonomy Rules'!$C$42:$C$68,0)),"")=U1873,AND(IFERROR(INDEX('Taxonomy Rules'!$G$42:$G$68,MATCH(E1873,'Taxonomy Rules'!$C$42:$C$68,0)),"")="Building routes",OR(U1873="Building renovation",U1873="New building",U1873="Building equipment"))))),"Unexpected test","Valid"))))</x:f>
      </x:c>
      <x:c r="S1873" s="9" t="str">
        <x:f>IF(C1873="","",IFERROR(INDEX('Taxonomy Rules'!$E$42:$E$68,MATCH(E1873,'Taxonomy Rules'!$C$42:$C$68,0)),""))</x:f>
      </x:c>
      <x:c r="T1873" s="9" t="str">
        <x:f>IF(C1873="","",IFERROR(INDEX('Taxonomy Rules'!$F$42:$F$68,MATCH(E1873,'Taxonomy Rules'!$C$42:$C$68,0)),""))</x:f>
      </x:c>
      <x:c r="U1873" s="9" t="str">
        <x:f>IF(C1873="","",IFERROR(INDEX('Taxonomy'!$G$9:$G$108,MATCH(D1873,'Taxonomy'!$C$9:$C$108,0)),""))</x:f>
      </x:c>
    </x:row>
    <x:row r="1874" ht="44" customHeight="1">
      <x:c r="A1874" s="1"/>
      <x:c r="B1874" s="1"/>
      <x:c r="C1874" s="8"/>
      <x:c r="D1874" s="8"/>
      <x:c r="E1874" s="8"/>
      <x:c r="F1874" s="8"/>
      <x:c r="G1874" s="8"/>
      <x:c r="H1874" s="8"/>
      <x:c r="I1874" s="8"/>
      <x:c r="J1874" s="8"/>
      <x:c r="K1874" s="8"/>
      <x:c r="L1874" s="8"/>
      <x:c r="M1874" s="10"/>
      <x:c r="N1874" s="10"/>
      <x:c r="O1874" s="8"/>
      <x:c r="P1874" s="9" t="str">
        <x:f>IF(C1874="","",IF(AND(G1874="Applicable",H1874="Fail"),"Fail",IF(R1874&lt;&gt;"Valid","Pending",IF(OR(I1874="",K1874="",L1874="",K1874=L1874,NOT(ISNUMBER(M1874)),NOT(ISNUMBER(N1874)),M1874&gt;Settings!$F$8,N1874&lt;Settings!$F$8,N1874&lt;M1874),"Pending",IF(AND(G1874="Applicable",H1874="Pass"),"Pass",IF(AND(G1874="N/A",H1874="N/A",J1874&lt;&gt;"",OR(E1874="CEM-FUELS",E1874="CEM-CCS",AND(E1874="CEM-PLAN",IFERROR(INDEX('Taxonomy'!$M$9:$M$108,MATCH(D1874,'Taxonomy'!$C$9:$C$108,0)),"")&lt;&gt;"Amber"),E1874="BLD-TIMBER",AND(U1874="Building equipment",OR(E1874="BLD-WATER",E1874="BLD-WASTE",E1874="BLD-LAND")),AND(U1874="Building renovation",E1874="BLD-LAND"))),"N/A","Pending"))))))</x:f>
      </x:c>
      <x:c r="Q1874" s="3" t="str">
        <x:f>IF(C1874="","",IF(AND(R1874="Valid",OR(P1874="Pass",P1874="N/A")),"Complete","Unresolved"))</x:f>
      </x:c>
      <x:c r="R1874" s="9" t="str">
        <x:f>IF(C1874="","",IF(OR(COUNTIF($C$9:$C$2008,C1874)&lt;&gt;1,COUNTIFS($D$9:$D$2008,D1874,$E$9:$E$2008,E1874)&lt;&gt;1),"Duplicate test",IF(COUNTIF('Taxonomy'!$C$9:$C$108,D1874)&lt;&gt;1,"Assessment key",IF(OR(COUNTIF('Taxonomy Rules'!$C$42:$C$68,E1874)&lt;&gt;1,F1874&lt;&gt;IFERROR(INDEX('Taxonomy Rules'!$D$42:$D$68,MATCH(E1874,'Taxonomy Rules'!$C$42:$C$68,0)),""),NOT(OR(IFERROR(INDEX('Taxonomy Rules'!$G$42:$G$68,MATCH(E1874,'Taxonomy Rules'!$C$42:$C$68,0)),"")="All supported routes",IFERROR(INDEX('Taxonomy Rules'!$G$42:$G$68,MATCH(E1874,'Taxonomy Rules'!$C$42:$C$68,0)),"")=U1874,AND(IFERROR(INDEX('Taxonomy Rules'!$G$42:$G$68,MATCH(E1874,'Taxonomy Rules'!$C$42:$C$68,0)),"")="Building routes",OR(U1874="Building renovation",U1874="New building",U1874="Building equipment"))))),"Unexpected test","Valid"))))</x:f>
      </x:c>
      <x:c r="S1874" s="9" t="str">
        <x:f>IF(C1874="","",IFERROR(INDEX('Taxonomy Rules'!$E$42:$E$68,MATCH(E1874,'Taxonomy Rules'!$C$42:$C$68,0)),""))</x:f>
      </x:c>
      <x:c r="T1874" s="9" t="str">
        <x:f>IF(C1874="","",IFERROR(INDEX('Taxonomy Rules'!$F$42:$F$68,MATCH(E1874,'Taxonomy Rules'!$C$42:$C$68,0)),""))</x:f>
      </x:c>
      <x:c r="U1874" s="9" t="str">
        <x:f>IF(C1874="","",IFERROR(INDEX('Taxonomy'!$G$9:$G$108,MATCH(D1874,'Taxonomy'!$C$9:$C$108,0)),""))</x:f>
      </x:c>
    </x:row>
    <x:row r="1875" ht="44" customHeight="1">
      <x:c r="A1875" s="1"/>
      <x:c r="B1875" s="1"/>
      <x:c r="C1875" s="8"/>
      <x:c r="D1875" s="8"/>
      <x:c r="E1875" s="8"/>
      <x:c r="F1875" s="8"/>
      <x:c r="G1875" s="8"/>
      <x:c r="H1875" s="8"/>
      <x:c r="I1875" s="8"/>
      <x:c r="J1875" s="8"/>
      <x:c r="K1875" s="8"/>
      <x:c r="L1875" s="8"/>
      <x:c r="M1875" s="10"/>
      <x:c r="N1875" s="10"/>
      <x:c r="O1875" s="8"/>
      <x:c r="P1875" s="9" t="str">
        <x:f>IF(C1875="","",IF(AND(G1875="Applicable",H1875="Fail"),"Fail",IF(R1875&lt;&gt;"Valid","Pending",IF(OR(I1875="",K1875="",L1875="",K1875=L1875,NOT(ISNUMBER(M1875)),NOT(ISNUMBER(N1875)),M1875&gt;Settings!$F$8,N1875&lt;Settings!$F$8,N1875&lt;M1875),"Pending",IF(AND(G1875="Applicable",H1875="Pass"),"Pass",IF(AND(G1875="N/A",H1875="N/A",J1875&lt;&gt;"",OR(E1875="CEM-FUELS",E1875="CEM-CCS",AND(E1875="CEM-PLAN",IFERROR(INDEX('Taxonomy'!$M$9:$M$108,MATCH(D1875,'Taxonomy'!$C$9:$C$108,0)),"")&lt;&gt;"Amber"),E1875="BLD-TIMBER",AND(U1875="Building equipment",OR(E1875="BLD-WATER",E1875="BLD-WASTE",E1875="BLD-LAND")),AND(U1875="Building renovation",E1875="BLD-LAND"))),"N/A","Pending"))))))</x:f>
      </x:c>
      <x:c r="Q1875" s="3" t="str">
        <x:f>IF(C1875="","",IF(AND(R1875="Valid",OR(P1875="Pass",P1875="N/A")),"Complete","Unresolved"))</x:f>
      </x:c>
      <x:c r="R1875" s="9" t="str">
        <x:f>IF(C1875="","",IF(OR(COUNTIF($C$9:$C$2008,C1875)&lt;&gt;1,COUNTIFS($D$9:$D$2008,D1875,$E$9:$E$2008,E1875)&lt;&gt;1),"Duplicate test",IF(COUNTIF('Taxonomy'!$C$9:$C$108,D1875)&lt;&gt;1,"Assessment key",IF(OR(COUNTIF('Taxonomy Rules'!$C$42:$C$68,E1875)&lt;&gt;1,F1875&lt;&gt;IFERROR(INDEX('Taxonomy Rules'!$D$42:$D$68,MATCH(E1875,'Taxonomy Rules'!$C$42:$C$68,0)),""),NOT(OR(IFERROR(INDEX('Taxonomy Rules'!$G$42:$G$68,MATCH(E1875,'Taxonomy Rules'!$C$42:$C$68,0)),"")="All supported routes",IFERROR(INDEX('Taxonomy Rules'!$G$42:$G$68,MATCH(E1875,'Taxonomy Rules'!$C$42:$C$68,0)),"")=U1875,AND(IFERROR(INDEX('Taxonomy Rules'!$G$42:$G$68,MATCH(E1875,'Taxonomy Rules'!$C$42:$C$68,0)),"")="Building routes",OR(U1875="Building renovation",U1875="New building",U1875="Building equipment"))))),"Unexpected test","Valid"))))</x:f>
      </x:c>
      <x:c r="S1875" s="9" t="str">
        <x:f>IF(C1875="","",IFERROR(INDEX('Taxonomy Rules'!$E$42:$E$68,MATCH(E1875,'Taxonomy Rules'!$C$42:$C$68,0)),""))</x:f>
      </x:c>
      <x:c r="T1875" s="9" t="str">
        <x:f>IF(C1875="","",IFERROR(INDEX('Taxonomy Rules'!$F$42:$F$68,MATCH(E1875,'Taxonomy Rules'!$C$42:$C$68,0)),""))</x:f>
      </x:c>
      <x:c r="U1875" s="9" t="str">
        <x:f>IF(C1875="","",IFERROR(INDEX('Taxonomy'!$G$9:$G$108,MATCH(D1875,'Taxonomy'!$C$9:$C$108,0)),""))</x:f>
      </x:c>
    </x:row>
    <x:row r="1876" ht="44" customHeight="1">
      <x:c r="A1876" s="1"/>
      <x:c r="B1876" s="1"/>
      <x:c r="C1876" s="8"/>
      <x:c r="D1876" s="8"/>
      <x:c r="E1876" s="8"/>
      <x:c r="F1876" s="8"/>
      <x:c r="G1876" s="8"/>
      <x:c r="H1876" s="8"/>
      <x:c r="I1876" s="8"/>
      <x:c r="J1876" s="8"/>
      <x:c r="K1876" s="8"/>
      <x:c r="L1876" s="8"/>
      <x:c r="M1876" s="10"/>
      <x:c r="N1876" s="10"/>
      <x:c r="O1876" s="8"/>
      <x:c r="P1876" s="9" t="str">
        <x:f>IF(C1876="","",IF(AND(G1876="Applicable",H1876="Fail"),"Fail",IF(R1876&lt;&gt;"Valid","Pending",IF(OR(I1876="",K1876="",L1876="",K1876=L1876,NOT(ISNUMBER(M1876)),NOT(ISNUMBER(N1876)),M1876&gt;Settings!$F$8,N1876&lt;Settings!$F$8,N1876&lt;M1876),"Pending",IF(AND(G1876="Applicable",H1876="Pass"),"Pass",IF(AND(G1876="N/A",H1876="N/A",J1876&lt;&gt;"",OR(E1876="CEM-FUELS",E1876="CEM-CCS",AND(E1876="CEM-PLAN",IFERROR(INDEX('Taxonomy'!$M$9:$M$108,MATCH(D1876,'Taxonomy'!$C$9:$C$108,0)),"")&lt;&gt;"Amber"),E1876="BLD-TIMBER",AND(U1876="Building equipment",OR(E1876="BLD-WATER",E1876="BLD-WASTE",E1876="BLD-LAND")),AND(U1876="Building renovation",E1876="BLD-LAND"))),"N/A","Pending"))))))</x:f>
      </x:c>
      <x:c r="Q1876" s="3" t="str">
        <x:f>IF(C1876="","",IF(AND(R1876="Valid",OR(P1876="Pass",P1876="N/A")),"Complete","Unresolved"))</x:f>
      </x:c>
      <x:c r="R1876" s="9" t="str">
        <x:f>IF(C1876="","",IF(OR(COUNTIF($C$9:$C$2008,C1876)&lt;&gt;1,COUNTIFS($D$9:$D$2008,D1876,$E$9:$E$2008,E1876)&lt;&gt;1),"Duplicate test",IF(COUNTIF('Taxonomy'!$C$9:$C$108,D1876)&lt;&gt;1,"Assessment key",IF(OR(COUNTIF('Taxonomy Rules'!$C$42:$C$68,E1876)&lt;&gt;1,F1876&lt;&gt;IFERROR(INDEX('Taxonomy Rules'!$D$42:$D$68,MATCH(E1876,'Taxonomy Rules'!$C$42:$C$68,0)),""),NOT(OR(IFERROR(INDEX('Taxonomy Rules'!$G$42:$G$68,MATCH(E1876,'Taxonomy Rules'!$C$42:$C$68,0)),"")="All supported routes",IFERROR(INDEX('Taxonomy Rules'!$G$42:$G$68,MATCH(E1876,'Taxonomy Rules'!$C$42:$C$68,0)),"")=U1876,AND(IFERROR(INDEX('Taxonomy Rules'!$G$42:$G$68,MATCH(E1876,'Taxonomy Rules'!$C$42:$C$68,0)),"")="Building routes",OR(U1876="Building renovation",U1876="New building",U1876="Building equipment"))))),"Unexpected test","Valid"))))</x:f>
      </x:c>
      <x:c r="S1876" s="9" t="str">
        <x:f>IF(C1876="","",IFERROR(INDEX('Taxonomy Rules'!$E$42:$E$68,MATCH(E1876,'Taxonomy Rules'!$C$42:$C$68,0)),""))</x:f>
      </x:c>
      <x:c r="T1876" s="9" t="str">
        <x:f>IF(C1876="","",IFERROR(INDEX('Taxonomy Rules'!$F$42:$F$68,MATCH(E1876,'Taxonomy Rules'!$C$42:$C$68,0)),""))</x:f>
      </x:c>
      <x:c r="U1876" s="9" t="str">
        <x:f>IF(C1876="","",IFERROR(INDEX('Taxonomy'!$G$9:$G$108,MATCH(D1876,'Taxonomy'!$C$9:$C$108,0)),""))</x:f>
      </x:c>
    </x:row>
    <x:row r="1877" ht="44" customHeight="1">
      <x:c r="A1877" s="1"/>
      <x:c r="B1877" s="1"/>
      <x:c r="C1877" s="8"/>
      <x:c r="D1877" s="8"/>
      <x:c r="E1877" s="8"/>
      <x:c r="F1877" s="8"/>
      <x:c r="G1877" s="8"/>
      <x:c r="H1877" s="8"/>
      <x:c r="I1877" s="8"/>
      <x:c r="J1877" s="8"/>
      <x:c r="K1877" s="8"/>
      <x:c r="L1877" s="8"/>
      <x:c r="M1877" s="10"/>
      <x:c r="N1877" s="10"/>
      <x:c r="O1877" s="8"/>
      <x:c r="P1877" s="9" t="str">
        <x:f>IF(C1877="","",IF(AND(G1877="Applicable",H1877="Fail"),"Fail",IF(R1877&lt;&gt;"Valid","Pending",IF(OR(I1877="",K1877="",L1877="",K1877=L1877,NOT(ISNUMBER(M1877)),NOT(ISNUMBER(N1877)),M1877&gt;Settings!$F$8,N1877&lt;Settings!$F$8,N1877&lt;M1877),"Pending",IF(AND(G1877="Applicable",H1877="Pass"),"Pass",IF(AND(G1877="N/A",H1877="N/A",J1877&lt;&gt;"",OR(E1877="CEM-FUELS",E1877="CEM-CCS",AND(E1877="CEM-PLAN",IFERROR(INDEX('Taxonomy'!$M$9:$M$108,MATCH(D1877,'Taxonomy'!$C$9:$C$108,0)),"")&lt;&gt;"Amber"),E1877="BLD-TIMBER",AND(U1877="Building equipment",OR(E1877="BLD-WATER",E1877="BLD-WASTE",E1877="BLD-LAND")),AND(U1877="Building renovation",E1877="BLD-LAND"))),"N/A","Pending"))))))</x:f>
      </x:c>
      <x:c r="Q1877" s="3" t="str">
        <x:f>IF(C1877="","",IF(AND(R1877="Valid",OR(P1877="Pass",P1877="N/A")),"Complete","Unresolved"))</x:f>
      </x:c>
      <x:c r="R1877" s="9" t="str">
        <x:f>IF(C1877="","",IF(OR(COUNTIF($C$9:$C$2008,C1877)&lt;&gt;1,COUNTIFS($D$9:$D$2008,D1877,$E$9:$E$2008,E1877)&lt;&gt;1),"Duplicate test",IF(COUNTIF('Taxonomy'!$C$9:$C$108,D1877)&lt;&gt;1,"Assessment key",IF(OR(COUNTIF('Taxonomy Rules'!$C$42:$C$68,E1877)&lt;&gt;1,F1877&lt;&gt;IFERROR(INDEX('Taxonomy Rules'!$D$42:$D$68,MATCH(E1877,'Taxonomy Rules'!$C$42:$C$68,0)),""),NOT(OR(IFERROR(INDEX('Taxonomy Rules'!$G$42:$G$68,MATCH(E1877,'Taxonomy Rules'!$C$42:$C$68,0)),"")="All supported routes",IFERROR(INDEX('Taxonomy Rules'!$G$42:$G$68,MATCH(E1877,'Taxonomy Rules'!$C$42:$C$68,0)),"")=U1877,AND(IFERROR(INDEX('Taxonomy Rules'!$G$42:$G$68,MATCH(E1877,'Taxonomy Rules'!$C$42:$C$68,0)),"")="Building routes",OR(U1877="Building renovation",U1877="New building",U1877="Building equipment"))))),"Unexpected test","Valid"))))</x:f>
      </x:c>
      <x:c r="S1877" s="9" t="str">
        <x:f>IF(C1877="","",IFERROR(INDEX('Taxonomy Rules'!$E$42:$E$68,MATCH(E1877,'Taxonomy Rules'!$C$42:$C$68,0)),""))</x:f>
      </x:c>
      <x:c r="T1877" s="9" t="str">
        <x:f>IF(C1877="","",IFERROR(INDEX('Taxonomy Rules'!$F$42:$F$68,MATCH(E1877,'Taxonomy Rules'!$C$42:$C$68,0)),""))</x:f>
      </x:c>
      <x:c r="U1877" s="9" t="str">
        <x:f>IF(C1877="","",IFERROR(INDEX('Taxonomy'!$G$9:$G$108,MATCH(D1877,'Taxonomy'!$C$9:$C$108,0)),""))</x:f>
      </x:c>
    </x:row>
    <x:row r="1878" ht="44" customHeight="1">
      <x:c r="A1878" s="1"/>
      <x:c r="B1878" s="1"/>
      <x:c r="C1878" s="8"/>
      <x:c r="D1878" s="8"/>
      <x:c r="E1878" s="8"/>
      <x:c r="F1878" s="8"/>
      <x:c r="G1878" s="8"/>
      <x:c r="H1878" s="8"/>
      <x:c r="I1878" s="8"/>
      <x:c r="J1878" s="8"/>
      <x:c r="K1878" s="8"/>
      <x:c r="L1878" s="8"/>
      <x:c r="M1878" s="10"/>
      <x:c r="N1878" s="10"/>
      <x:c r="O1878" s="8"/>
      <x:c r="P1878" s="9" t="str">
        <x:f>IF(C1878="","",IF(AND(G1878="Applicable",H1878="Fail"),"Fail",IF(R1878&lt;&gt;"Valid","Pending",IF(OR(I1878="",K1878="",L1878="",K1878=L1878,NOT(ISNUMBER(M1878)),NOT(ISNUMBER(N1878)),M1878&gt;Settings!$F$8,N1878&lt;Settings!$F$8,N1878&lt;M1878),"Pending",IF(AND(G1878="Applicable",H1878="Pass"),"Pass",IF(AND(G1878="N/A",H1878="N/A",J1878&lt;&gt;"",OR(E1878="CEM-FUELS",E1878="CEM-CCS",AND(E1878="CEM-PLAN",IFERROR(INDEX('Taxonomy'!$M$9:$M$108,MATCH(D1878,'Taxonomy'!$C$9:$C$108,0)),"")&lt;&gt;"Amber"),E1878="BLD-TIMBER",AND(U1878="Building equipment",OR(E1878="BLD-WATER",E1878="BLD-WASTE",E1878="BLD-LAND")),AND(U1878="Building renovation",E1878="BLD-LAND"))),"N/A","Pending"))))))</x:f>
      </x:c>
      <x:c r="Q1878" s="3" t="str">
        <x:f>IF(C1878="","",IF(AND(R1878="Valid",OR(P1878="Pass",P1878="N/A")),"Complete","Unresolved"))</x:f>
      </x:c>
      <x:c r="R1878" s="9" t="str">
        <x:f>IF(C1878="","",IF(OR(COUNTIF($C$9:$C$2008,C1878)&lt;&gt;1,COUNTIFS($D$9:$D$2008,D1878,$E$9:$E$2008,E1878)&lt;&gt;1),"Duplicate test",IF(COUNTIF('Taxonomy'!$C$9:$C$108,D1878)&lt;&gt;1,"Assessment key",IF(OR(COUNTIF('Taxonomy Rules'!$C$42:$C$68,E1878)&lt;&gt;1,F1878&lt;&gt;IFERROR(INDEX('Taxonomy Rules'!$D$42:$D$68,MATCH(E1878,'Taxonomy Rules'!$C$42:$C$68,0)),""),NOT(OR(IFERROR(INDEX('Taxonomy Rules'!$G$42:$G$68,MATCH(E1878,'Taxonomy Rules'!$C$42:$C$68,0)),"")="All supported routes",IFERROR(INDEX('Taxonomy Rules'!$G$42:$G$68,MATCH(E1878,'Taxonomy Rules'!$C$42:$C$68,0)),"")=U1878,AND(IFERROR(INDEX('Taxonomy Rules'!$G$42:$G$68,MATCH(E1878,'Taxonomy Rules'!$C$42:$C$68,0)),"")="Building routes",OR(U1878="Building renovation",U1878="New building",U1878="Building equipment"))))),"Unexpected test","Valid"))))</x:f>
      </x:c>
      <x:c r="S1878" s="9" t="str">
        <x:f>IF(C1878="","",IFERROR(INDEX('Taxonomy Rules'!$E$42:$E$68,MATCH(E1878,'Taxonomy Rules'!$C$42:$C$68,0)),""))</x:f>
      </x:c>
      <x:c r="T1878" s="9" t="str">
        <x:f>IF(C1878="","",IFERROR(INDEX('Taxonomy Rules'!$F$42:$F$68,MATCH(E1878,'Taxonomy Rules'!$C$42:$C$68,0)),""))</x:f>
      </x:c>
      <x:c r="U1878" s="9" t="str">
        <x:f>IF(C1878="","",IFERROR(INDEX('Taxonomy'!$G$9:$G$108,MATCH(D1878,'Taxonomy'!$C$9:$C$108,0)),""))</x:f>
      </x:c>
    </x:row>
    <x:row r="1879" ht="44" customHeight="1">
      <x:c r="A1879" s="1"/>
      <x:c r="B1879" s="1"/>
      <x:c r="C1879" s="8"/>
      <x:c r="D1879" s="8"/>
      <x:c r="E1879" s="8"/>
      <x:c r="F1879" s="8"/>
      <x:c r="G1879" s="8"/>
      <x:c r="H1879" s="8"/>
      <x:c r="I1879" s="8"/>
      <x:c r="J1879" s="8"/>
      <x:c r="K1879" s="8"/>
      <x:c r="L1879" s="8"/>
      <x:c r="M1879" s="10"/>
      <x:c r="N1879" s="10"/>
      <x:c r="O1879" s="8"/>
      <x:c r="P1879" s="9" t="str">
        <x:f>IF(C1879="","",IF(AND(G1879="Applicable",H1879="Fail"),"Fail",IF(R1879&lt;&gt;"Valid","Pending",IF(OR(I1879="",K1879="",L1879="",K1879=L1879,NOT(ISNUMBER(M1879)),NOT(ISNUMBER(N1879)),M1879&gt;Settings!$F$8,N1879&lt;Settings!$F$8,N1879&lt;M1879),"Pending",IF(AND(G1879="Applicable",H1879="Pass"),"Pass",IF(AND(G1879="N/A",H1879="N/A",J1879&lt;&gt;"",OR(E1879="CEM-FUELS",E1879="CEM-CCS",AND(E1879="CEM-PLAN",IFERROR(INDEX('Taxonomy'!$M$9:$M$108,MATCH(D1879,'Taxonomy'!$C$9:$C$108,0)),"")&lt;&gt;"Amber"),E1879="BLD-TIMBER",AND(U1879="Building equipment",OR(E1879="BLD-WATER",E1879="BLD-WASTE",E1879="BLD-LAND")),AND(U1879="Building renovation",E1879="BLD-LAND"))),"N/A","Pending"))))))</x:f>
      </x:c>
      <x:c r="Q1879" s="3" t="str">
        <x:f>IF(C1879="","",IF(AND(R1879="Valid",OR(P1879="Pass",P1879="N/A")),"Complete","Unresolved"))</x:f>
      </x:c>
      <x:c r="R1879" s="9" t="str">
        <x:f>IF(C1879="","",IF(OR(COUNTIF($C$9:$C$2008,C1879)&lt;&gt;1,COUNTIFS($D$9:$D$2008,D1879,$E$9:$E$2008,E1879)&lt;&gt;1),"Duplicate test",IF(COUNTIF('Taxonomy'!$C$9:$C$108,D1879)&lt;&gt;1,"Assessment key",IF(OR(COUNTIF('Taxonomy Rules'!$C$42:$C$68,E1879)&lt;&gt;1,F1879&lt;&gt;IFERROR(INDEX('Taxonomy Rules'!$D$42:$D$68,MATCH(E1879,'Taxonomy Rules'!$C$42:$C$68,0)),""),NOT(OR(IFERROR(INDEX('Taxonomy Rules'!$G$42:$G$68,MATCH(E1879,'Taxonomy Rules'!$C$42:$C$68,0)),"")="All supported routes",IFERROR(INDEX('Taxonomy Rules'!$G$42:$G$68,MATCH(E1879,'Taxonomy Rules'!$C$42:$C$68,0)),"")=U1879,AND(IFERROR(INDEX('Taxonomy Rules'!$G$42:$G$68,MATCH(E1879,'Taxonomy Rules'!$C$42:$C$68,0)),"")="Building routes",OR(U1879="Building renovation",U1879="New building",U1879="Building equipment"))))),"Unexpected test","Valid"))))</x:f>
      </x:c>
      <x:c r="S1879" s="9" t="str">
        <x:f>IF(C1879="","",IFERROR(INDEX('Taxonomy Rules'!$E$42:$E$68,MATCH(E1879,'Taxonomy Rules'!$C$42:$C$68,0)),""))</x:f>
      </x:c>
      <x:c r="T1879" s="9" t="str">
        <x:f>IF(C1879="","",IFERROR(INDEX('Taxonomy Rules'!$F$42:$F$68,MATCH(E1879,'Taxonomy Rules'!$C$42:$C$68,0)),""))</x:f>
      </x:c>
      <x:c r="U1879" s="9" t="str">
        <x:f>IF(C1879="","",IFERROR(INDEX('Taxonomy'!$G$9:$G$108,MATCH(D1879,'Taxonomy'!$C$9:$C$108,0)),""))</x:f>
      </x:c>
    </x:row>
    <x:row r="1880" ht="44" customHeight="1">
      <x:c r="A1880" s="1"/>
      <x:c r="B1880" s="1"/>
      <x:c r="C1880" s="8"/>
      <x:c r="D1880" s="8"/>
      <x:c r="E1880" s="8"/>
      <x:c r="F1880" s="8"/>
      <x:c r="G1880" s="8"/>
      <x:c r="H1880" s="8"/>
      <x:c r="I1880" s="8"/>
      <x:c r="J1880" s="8"/>
      <x:c r="K1880" s="8"/>
      <x:c r="L1880" s="8"/>
      <x:c r="M1880" s="10"/>
      <x:c r="N1880" s="10"/>
      <x:c r="O1880" s="8"/>
      <x:c r="P1880" s="9" t="str">
        <x:f>IF(C1880="","",IF(AND(G1880="Applicable",H1880="Fail"),"Fail",IF(R1880&lt;&gt;"Valid","Pending",IF(OR(I1880="",K1880="",L1880="",K1880=L1880,NOT(ISNUMBER(M1880)),NOT(ISNUMBER(N1880)),M1880&gt;Settings!$F$8,N1880&lt;Settings!$F$8,N1880&lt;M1880),"Pending",IF(AND(G1880="Applicable",H1880="Pass"),"Pass",IF(AND(G1880="N/A",H1880="N/A",J1880&lt;&gt;"",OR(E1880="CEM-FUELS",E1880="CEM-CCS",AND(E1880="CEM-PLAN",IFERROR(INDEX('Taxonomy'!$M$9:$M$108,MATCH(D1880,'Taxonomy'!$C$9:$C$108,0)),"")&lt;&gt;"Amber"),E1880="BLD-TIMBER",AND(U1880="Building equipment",OR(E1880="BLD-WATER",E1880="BLD-WASTE",E1880="BLD-LAND")),AND(U1880="Building renovation",E1880="BLD-LAND"))),"N/A","Pending"))))))</x:f>
      </x:c>
      <x:c r="Q1880" s="3" t="str">
        <x:f>IF(C1880="","",IF(AND(R1880="Valid",OR(P1880="Pass",P1880="N/A")),"Complete","Unresolved"))</x:f>
      </x:c>
      <x:c r="R1880" s="9" t="str">
        <x:f>IF(C1880="","",IF(OR(COUNTIF($C$9:$C$2008,C1880)&lt;&gt;1,COUNTIFS($D$9:$D$2008,D1880,$E$9:$E$2008,E1880)&lt;&gt;1),"Duplicate test",IF(COUNTIF('Taxonomy'!$C$9:$C$108,D1880)&lt;&gt;1,"Assessment key",IF(OR(COUNTIF('Taxonomy Rules'!$C$42:$C$68,E1880)&lt;&gt;1,F1880&lt;&gt;IFERROR(INDEX('Taxonomy Rules'!$D$42:$D$68,MATCH(E1880,'Taxonomy Rules'!$C$42:$C$68,0)),""),NOT(OR(IFERROR(INDEX('Taxonomy Rules'!$G$42:$G$68,MATCH(E1880,'Taxonomy Rules'!$C$42:$C$68,0)),"")="All supported routes",IFERROR(INDEX('Taxonomy Rules'!$G$42:$G$68,MATCH(E1880,'Taxonomy Rules'!$C$42:$C$68,0)),"")=U1880,AND(IFERROR(INDEX('Taxonomy Rules'!$G$42:$G$68,MATCH(E1880,'Taxonomy Rules'!$C$42:$C$68,0)),"")="Building routes",OR(U1880="Building renovation",U1880="New building",U1880="Building equipment"))))),"Unexpected test","Valid"))))</x:f>
      </x:c>
      <x:c r="S1880" s="9" t="str">
        <x:f>IF(C1880="","",IFERROR(INDEX('Taxonomy Rules'!$E$42:$E$68,MATCH(E1880,'Taxonomy Rules'!$C$42:$C$68,0)),""))</x:f>
      </x:c>
      <x:c r="T1880" s="9" t="str">
        <x:f>IF(C1880="","",IFERROR(INDEX('Taxonomy Rules'!$F$42:$F$68,MATCH(E1880,'Taxonomy Rules'!$C$42:$C$68,0)),""))</x:f>
      </x:c>
      <x:c r="U1880" s="9" t="str">
        <x:f>IF(C1880="","",IFERROR(INDEX('Taxonomy'!$G$9:$G$108,MATCH(D1880,'Taxonomy'!$C$9:$C$108,0)),""))</x:f>
      </x:c>
    </x:row>
    <x:row r="1881" ht="44" customHeight="1">
      <x:c r="A1881" s="1"/>
      <x:c r="B1881" s="1"/>
      <x:c r="C1881" s="8"/>
      <x:c r="D1881" s="8"/>
      <x:c r="E1881" s="8"/>
      <x:c r="F1881" s="8"/>
      <x:c r="G1881" s="8"/>
      <x:c r="H1881" s="8"/>
      <x:c r="I1881" s="8"/>
      <x:c r="J1881" s="8"/>
      <x:c r="K1881" s="8"/>
      <x:c r="L1881" s="8"/>
      <x:c r="M1881" s="10"/>
      <x:c r="N1881" s="10"/>
      <x:c r="O1881" s="8"/>
      <x:c r="P1881" s="9" t="str">
        <x:f>IF(C1881="","",IF(AND(G1881="Applicable",H1881="Fail"),"Fail",IF(R1881&lt;&gt;"Valid","Pending",IF(OR(I1881="",K1881="",L1881="",K1881=L1881,NOT(ISNUMBER(M1881)),NOT(ISNUMBER(N1881)),M1881&gt;Settings!$F$8,N1881&lt;Settings!$F$8,N1881&lt;M1881),"Pending",IF(AND(G1881="Applicable",H1881="Pass"),"Pass",IF(AND(G1881="N/A",H1881="N/A",J1881&lt;&gt;"",OR(E1881="CEM-FUELS",E1881="CEM-CCS",AND(E1881="CEM-PLAN",IFERROR(INDEX('Taxonomy'!$M$9:$M$108,MATCH(D1881,'Taxonomy'!$C$9:$C$108,0)),"")&lt;&gt;"Amber"),E1881="BLD-TIMBER",AND(U1881="Building equipment",OR(E1881="BLD-WATER",E1881="BLD-WASTE",E1881="BLD-LAND")),AND(U1881="Building renovation",E1881="BLD-LAND"))),"N/A","Pending"))))))</x:f>
      </x:c>
      <x:c r="Q1881" s="3" t="str">
        <x:f>IF(C1881="","",IF(AND(R1881="Valid",OR(P1881="Pass",P1881="N/A")),"Complete","Unresolved"))</x:f>
      </x:c>
      <x:c r="R1881" s="9" t="str">
        <x:f>IF(C1881="","",IF(OR(COUNTIF($C$9:$C$2008,C1881)&lt;&gt;1,COUNTIFS($D$9:$D$2008,D1881,$E$9:$E$2008,E1881)&lt;&gt;1),"Duplicate test",IF(COUNTIF('Taxonomy'!$C$9:$C$108,D1881)&lt;&gt;1,"Assessment key",IF(OR(COUNTIF('Taxonomy Rules'!$C$42:$C$68,E1881)&lt;&gt;1,F1881&lt;&gt;IFERROR(INDEX('Taxonomy Rules'!$D$42:$D$68,MATCH(E1881,'Taxonomy Rules'!$C$42:$C$68,0)),""),NOT(OR(IFERROR(INDEX('Taxonomy Rules'!$G$42:$G$68,MATCH(E1881,'Taxonomy Rules'!$C$42:$C$68,0)),"")="All supported routes",IFERROR(INDEX('Taxonomy Rules'!$G$42:$G$68,MATCH(E1881,'Taxonomy Rules'!$C$42:$C$68,0)),"")=U1881,AND(IFERROR(INDEX('Taxonomy Rules'!$G$42:$G$68,MATCH(E1881,'Taxonomy Rules'!$C$42:$C$68,0)),"")="Building routes",OR(U1881="Building renovation",U1881="New building",U1881="Building equipment"))))),"Unexpected test","Valid"))))</x:f>
      </x:c>
      <x:c r="S1881" s="9" t="str">
        <x:f>IF(C1881="","",IFERROR(INDEX('Taxonomy Rules'!$E$42:$E$68,MATCH(E1881,'Taxonomy Rules'!$C$42:$C$68,0)),""))</x:f>
      </x:c>
      <x:c r="T1881" s="9" t="str">
        <x:f>IF(C1881="","",IFERROR(INDEX('Taxonomy Rules'!$F$42:$F$68,MATCH(E1881,'Taxonomy Rules'!$C$42:$C$68,0)),""))</x:f>
      </x:c>
      <x:c r="U1881" s="9" t="str">
        <x:f>IF(C1881="","",IFERROR(INDEX('Taxonomy'!$G$9:$G$108,MATCH(D1881,'Taxonomy'!$C$9:$C$108,0)),""))</x:f>
      </x:c>
    </x:row>
    <x:row r="1882" ht="44" customHeight="1">
      <x:c r="A1882" s="1"/>
      <x:c r="B1882" s="1"/>
      <x:c r="C1882" s="8"/>
      <x:c r="D1882" s="8"/>
      <x:c r="E1882" s="8"/>
      <x:c r="F1882" s="8"/>
      <x:c r="G1882" s="8"/>
      <x:c r="H1882" s="8"/>
      <x:c r="I1882" s="8"/>
      <x:c r="J1882" s="8"/>
      <x:c r="K1882" s="8"/>
      <x:c r="L1882" s="8"/>
      <x:c r="M1882" s="10"/>
      <x:c r="N1882" s="10"/>
      <x:c r="O1882" s="8"/>
      <x:c r="P1882" s="9" t="str">
        <x:f>IF(C1882="","",IF(AND(G1882="Applicable",H1882="Fail"),"Fail",IF(R1882&lt;&gt;"Valid","Pending",IF(OR(I1882="",K1882="",L1882="",K1882=L1882,NOT(ISNUMBER(M1882)),NOT(ISNUMBER(N1882)),M1882&gt;Settings!$F$8,N1882&lt;Settings!$F$8,N1882&lt;M1882),"Pending",IF(AND(G1882="Applicable",H1882="Pass"),"Pass",IF(AND(G1882="N/A",H1882="N/A",J1882&lt;&gt;"",OR(E1882="CEM-FUELS",E1882="CEM-CCS",AND(E1882="CEM-PLAN",IFERROR(INDEX('Taxonomy'!$M$9:$M$108,MATCH(D1882,'Taxonomy'!$C$9:$C$108,0)),"")&lt;&gt;"Amber"),E1882="BLD-TIMBER",AND(U1882="Building equipment",OR(E1882="BLD-WATER",E1882="BLD-WASTE",E1882="BLD-LAND")),AND(U1882="Building renovation",E1882="BLD-LAND"))),"N/A","Pending"))))))</x:f>
      </x:c>
      <x:c r="Q1882" s="3" t="str">
        <x:f>IF(C1882="","",IF(AND(R1882="Valid",OR(P1882="Pass",P1882="N/A")),"Complete","Unresolved"))</x:f>
      </x:c>
      <x:c r="R1882" s="9" t="str">
        <x:f>IF(C1882="","",IF(OR(COUNTIF($C$9:$C$2008,C1882)&lt;&gt;1,COUNTIFS($D$9:$D$2008,D1882,$E$9:$E$2008,E1882)&lt;&gt;1),"Duplicate test",IF(COUNTIF('Taxonomy'!$C$9:$C$108,D1882)&lt;&gt;1,"Assessment key",IF(OR(COUNTIF('Taxonomy Rules'!$C$42:$C$68,E1882)&lt;&gt;1,F1882&lt;&gt;IFERROR(INDEX('Taxonomy Rules'!$D$42:$D$68,MATCH(E1882,'Taxonomy Rules'!$C$42:$C$68,0)),""),NOT(OR(IFERROR(INDEX('Taxonomy Rules'!$G$42:$G$68,MATCH(E1882,'Taxonomy Rules'!$C$42:$C$68,0)),"")="All supported routes",IFERROR(INDEX('Taxonomy Rules'!$G$42:$G$68,MATCH(E1882,'Taxonomy Rules'!$C$42:$C$68,0)),"")=U1882,AND(IFERROR(INDEX('Taxonomy Rules'!$G$42:$G$68,MATCH(E1882,'Taxonomy Rules'!$C$42:$C$68,0)),"")="Building routes",OR(U1882="Building renovation",U1882="New building",U1882="Building equipment"))))),"Unexpected test","Valid"))))</x:f>
      </x:c>
      <x:c r="S1882" s="9" t="str">
        <x:f>IF(C1882="","",IFERROR(INDEX('Taxonomy Rules'!$E$42:$E$68,MATCH(E1882,'Taxonomy Rules'!$C$42:$C$68,0)),""))</x:f>
      </x:c>
      <x:c r="T1882" s="9" t="str">
        <x:f>IF(C1882="","",IFERROR(INDEX('Taxonomy Rules'!$F$42:$F$68,MATCH(E1882,'Taxonomy Rules'!$C$42:$C$68,0)),""))</x:f>
      </x:c>
      <x:c r="U1882" s="9" t="str">
        <x:f>IF(C1882="","",IFERROR(INDEX('Taxonomy'!$G$9:$G$108,MATCH(D1882,'Taxonomy'!$C$9:$C$108,0)),""))</x:f>
      </x:c>
    </x:row>
    <x:row r="1883" ht="44" customHeight="1">
      <x:c r="A1883" s="1"/>
      <x:c r="B1883" s="1"/>
      <x:c r="C1883" s="8"/>
      <x:c r="D1883" s="8"/>
      <x:c r="E1883" s="8"/>
      <x:c r="F1883" s="8"/>
      <x:c r="G1883" s="8"/>
      <x:c r="H1883" s="8"/>
      <x:c r="I1883" s="8"/>
      <x:c r="J1883" s="8"/>
      <x:c r="K1883" s="8"/>
      <x:c r="L1883" s="8"/>
      <x:c r="M1883" s="10"/>
      <x:c r="N1883" s="10"/>
      <x:c r="O1883" s="8"/>
      <x:c r="P1883" s="9" t="str">
        <x:f>IF(C1883="","",IF(AND(G1883="Applicable",H1883="Fail"),"Fail",IF(R1883&lt;&gt;"Valid","Pending",IF(OR(I1883="",K1883="",L1883="",K1883=L1883,NOT(ISNUMBER(M1883)),NOT(ISNUMBER(N1883)),M1883&gt;Settings!$F$8,N1883&lt;Settings!$F$8,N1883&lt;M1883),"Pending",IF(AND(G1883="Applicable",H1883="Pass"),"Pass",IF(AND(G1883="N/A",H1883="N/A",J1883&lt;&gt;"",OR(E1883="CEM-FUELS",E1883="CEM-CCS",AND(E1883="CEM-PLAN",IFERROR(INDEX('Taxonomy'!$M$9:$M$108,MATCH(D1883,'Taxonomy'!$C$9:$C$108,0)),"")&lt;&gt;"Amber"),E1883="BLD-TIMBER",AND(U1883="Building equipment",OR(E1883="BLD-WATER",E1883="BLD-WASTE",E1883="BLD-LAND")),AND(U1883="Building renovation",E1883="BLD-LAND"))),"N/A","Pending"))))))</x:f>
      </x:c>
      <x:c r="Q1883" s="3" t="str">
        <x:f>IF(C1883="","",IF(AND(R1883="Valid",OR(P1883="Pass",P1883="N/A")),"Complete","Unresolved"))</x:f>
      </x:c>
      <x:c r="R1883" s="9" t="str">
        <x:f>IF(C1883="","",IF(OR(COUNTIF($C$9:$C$2008,C1883)&lt;&gt;1,COUNTIFS($D$9:$D$2008,D1883,$E$9:$E$2008,E1883)&lt;&gt;1),"Duplicate test",IF(COUNTIF('Taxonomy'!$C$9:$C$108,D1883)&lt;&gt;1,"Assessment key",IF(OR(COUNTIF('Taxonomy Rules'!$C$42:$C$68,E1883)&lt;&gt;1,F1883&lt;&gt;IFERROR(INDEX('Taxonomy Rules'!$D$42:$D$68,MATCH(E1883,'Taxonomy Rules'!$C$42:$C$68,0)),""),NOT(OR(IFERROR(INDEX('Taxonomy Rules'!$G$42:$G$68,MATCH(E1883,'Taxonomy Rules'!$C$42:$C$68,0)),"")="All supported routes",IFERROR(INDEX('Taxonomy Rules'!$G$42:$G$68,MATCH(E1883,'Taxonomy Rules'!$C$42:$C$68,0)),"")=U1883,AND(IFERROR(INDEX('Taxonomy Rules'!$G$42:$G$68,MATCH(E1883,'Taxonomy Rules'!$C$42:$C$68,0)),"")="Building routes",OR(U1883="Building renovation",U1883="New building",U1883="Building equipment"))))),"Unexpected test","Valid"))))</x:f>
      </x:c>
      <x:c r="S1883" s="9" t="str">
        <x:f>IF(C1883="","",IFERROR(INDEX('Taxonomy Rules'!$E$42:$E$68,MATCH(E1883,'Taxonomy Rules'!$C$42:$C$68,0)),""))</x:f>
      </x:c>
      <x:c r="T1883" s="9" t="str">
        <x:f>IF(C1883="","",IFERROR(INDEX('Taxonomy Rules'!$F$42:$F$68,MATCH(E1883,'Taxonomy Rules'!$C$42:$C$68,0)),""))</x:f>
      </x:c>
      <x:c r="U1883" s="9" t="str">
        <x:f>IF(C1883="","",IFERROR(INDEX('Taxonomy'!$G$9:$G$108,MATCH(D1883,'Taxonomy'!$C$9:$C$108,0)),""))</x:f>
      </x:c>
    </x:row>
    <x:row r="1884" ht="44" customHeight="1">
      <x:c r="A1884" s="1"/>
      <x:c r="B1884" s="1"/>
      <x:c r="C1884" s="8"/>
      <x:c r="D1884" s="8"/>
      <x:c r="E1884" s="8"/>
      <x:c r="F1884" s="8"/>
      <x:c r="G1884" s="8"/>
      <x:c r="H1884" s="8"/>
      <x:c r="I1884" s="8"/>
      <x:c r="J1884" s="8"/>
      <x:c r="K1884" s="8"/>
      <x:c r="L1884" s="8"/>
      <x:c r="M1884" s="10"/>
      <x:c r="N1884" s="10"/>
      <x:c r="O1884" s="8"/>
      <x:c r="P1884" s="9" t="str">
        <x:f>IF(C1884="","",IF(AND(G1884="Applicable",H1884="Fail"),"Fail",IF(R1884&lt;&gt;"Valid","Pending",IF(OR(I1884="",K1884="",L1884="",K1884=L1884,NOT(ISNUMBER(M1884)),NOT(ISNUMBER(N1884)),M1884&gt;Settings!$F$8,N1884&lt;Settings!$F$8,N1884&lt;M1884),"Pending",IF(AND(G1884="Applicable",H1884="Pass"),"Pass",IF(AND(G1884="N/A",H1884="N/A",J1884&lt;&gt;"",OR(E1884="CEM-FUELS",E1884="CEM-CCS",AND(E1884="CEM-PLAN",IFERROR(INDEX('Taxonomy'!$M$9:$M$108,MATCH(D1884,'Taxonomy'!$C$9:$C$108,0)),"")&lt;&gt;"Amber"),E1884="BLD-TIMBER",AND(U1884="Building equipment",OR(E1884="BLD-WATER",E1884="BLD-WASTE",E1884="BLD-LAND")),AND(U1884="Building renovation",E1884="BLD-LAND"))),"N/A","Pending"))))))</x:f>
      </x:c>
      <x:c r="Q1884" s="3" t="str">
        <x:f>IF(C1884="","",IF(AND(R1884="Valid",OR(P1884="Pass",P1884="N/A")),"Complete","Unresolved"))</x:f>
      </x:c>
      <x:c r="R1884" s="9" t="str">
        <x:f>IF(C1884="","",IF(OR(COUNTIF($C$9:$C$2008,C1884)&lt;&gt;1,COUNTIFS($D$9:$D$2008,D1884,$E$9:$E$2008,E1884)&lt;&gt;1),"Duplicate test",IF(COUNTIF('Taxonomy'!$C$9:$C$108,D1884)&lt;&gt;1,"Assessment key",IF(OR(COUNTIF('Taxonomy Rules'!$C$42:$C$68,E1884)&lt;&gt;1,F1884&lt;&gt;IFERROR(INDEX('Taxonomy Rules'!$D$42:$D$68,MATCH(E1884,'Taxonomy Rules'!$C$42:$C$68,0)),""),NOT(OR(IFERROR(INDEX('Taxonomy Rules'!$G$42:$G$68,MATCH(E1884,'Taxonomy Rules'!$C$42:$C$68,0)),"")="All supported routes",IFERROR(INDEX('Taxonomy Rules'!$G$42:$G$68,MATCH(E1884,'Taxonomy Rules'!$C$42:$C$68,0)),"")=U1884,AND(IFERROR(INDEX('Taxonomy Rules'!$G$42:$G$68,MATCH(E1884,'Taxonomy Rules'!$C$42:$C$68,0)),"")="Building routes",OR(U1884="Building renovation",U1884="New building",U1884="Building equipment"))))),"Unexpected test","Valid"))))</x:f>
      </x:c>
      <x:c r="S1884" s="9" t="str">
        <x:f>IF(C1884="","",IFERROR(INDEX('Taxonomy Rules'!$E$42:$E$68,MATCH(E1884,'Taxonomy Rules'!$C$42:$C$68,0)),""))</x:f>
      </x:c>
      <x:c r="T1884" s="9" t="str">
        <x:f>IF(C1884="","",IFERROR(INDEX('Taxonomy Rules'!$F$42:$F$68,MATCH(E1884,'Taxonomy Rules'!$C$42:$C$68,0)),""))</x:f>
      </x:c>
      <x:c r="U1884" s="9" t="str">
        <x:f>IF(C1884="","",IFERROR(INDEX('Taxonomy'!$G$9:$G$108,MATCH(D1884,'Taxonomy'!$C$9:$C$108,0)),""))</x:f>
      </x:c>
    </x:row>
    <x:row r="1885" ht="44" customHeight="1">
      <x:c r="A1885" s="1"/>
      <x:c r="B1885" s="1"/>
      <x:c r="C1885" s="8"/>
      <x:c r="D1885" s="8"/>
      <x:c r="E1885" s="8"/>
      <x:c r="F1885" s="8"/>
      <x:c r="G1885" s="8"/>
      <x:c r="H1885" s="8"/>
      <x:c r="I1885" s="8"/>
      <x:c r="J1885" s="8"/>
      <x:c r="K1885" s="8"/>
      <x:c r="L1885" s="8"/>
      <x:c r="M1885" s="10"/>
      <x:c r="N1885" s="10"/>
      <x:c r="O1885" s="8"/>
      <x:c r="P1885" s="9" t="str">
        <x:f>IF(C1885="","",IF(AND(G1885="Applicable",H1885="Fail"),"Fail",IF(R1885&lt;&gt;"Valid","Pending",IF(OR(I1885="",K1885="",L1885="",K1885=L1885,NOT(ISNUMBER(M1885)),NOT(ISNUMBER(N1885)),M1885&gt;Settings!$F$8,N1885&lt;Settings!$F$8,N1885&lt;M1885),"Pending",IF(AND(G1885="Applicable",H1885="Pass"),"Pass",IF(AND(G1885="N/A",H1885="N/A",J1885&lt;&gt;"",OR(E1885="CEM-FUELS",E1885="CEM-CCS",AND(E1885="CEM-PLAN",IFERROR(INDEX('Taxonomy'!$M$9:$M$108,MATCH(D1885,'Taxonomy'!$C$9:$C$108,0)),"")&lt;&gt;"Amber"),E1885="BLD-TIMBER",AND(U1885="Building equipment",OR(E1885="BLD-WATER",E1885="BLD-WASTE",E1885="BLD-LAND")),AND(U1885="Building renovation",E1885="BLD-LAND"))),"N/A","Pending"))))))</x:f>
      </x:c>
      <x:c r="Q1885" s="3" t="str">
        <x:f>IF(C1885="","",IF(AND(R1885="Valid",OR(P1885="Pass",P1885="N/A")),"Complete","Unresolved"))</x:f>
      </x:c>
      <x:c r="R1885" s="9" t="str">
        <x:f>IF(C1885="","",IF(OR(COUNTIF($C$9:$C$2008,C1885)&lt;&gt;1,COUNTIFS($D$9:$D$2008,D1885,$E$9:$E$2008,E1885)&lt;&gt;1),"Duplicate test",IF(COUNTIF('Taxonomy'!$C$9:$C$108,D1885)&lt;&gt;1,"Assessment key",IF(OR(COUNTIF('Taxonomy Rules'!$C$42:$C$68,E1885)&lt;&gt;1,F1885&lt;&gt;IFERROR(INDEX('Taxonomy Rules'!$D$42:$D$68,MATCH(E1885,'Taxonomy Rules'!$C$42:$C$68,0)),""),NOT(OR(IFERROR(INDEX('Taxonomy Rules'!$G$42:$G$68,MATCH(E1885,'Taxonomy Rules'!$C$42:$C$68,0)),"")="All supported routes",IFERROR(INDEX('Taxonomy Rules'!$G$42:$G$68,MATCH(E1885,'Taxonomy Rules'!$C$42:$C$68,0)),"")=U1885,AND(IFERROR(INDEX('Taxonomy Rules'!$G$42:$G$68,MATCH(E1885,'Taxonomy Rules'!$C$42:$C$68,0)),"")="Building routes",OR(U1885="Building renovation",U1885="New building",U1885="Building equipment"))))),"Unexpected test","Valid"))))</x:f>
      </x:c>
      <x:c r="S1885" s="9" t="str">
        <x:f>IF(C1885="","",IFERROR(INDEX('Taxonomy Rules'!$E$42:$E$68,MATCH(E1885,'Taxonomy Rules'!$C$42:$C$68,0)),""))</x:f>
      </x:c>
      <x:c r="T1885" s="9" t="str">
        <x:f>IF(C1885="","",IFERROR(INDEX('Taxonomy Rules'!$F$42:$F$68,MATCH(E1885,'Taxonomy Rules'!$C$42:$C$68,0)),""))</x:f>
      </x:c>
      <x:c r="U1885" s="9" t="str">
        <x:f>IF(C1885="","",IFERROR(INDEX('Taxonomy'!$G$9:$G$108,MATCH(D1885,'Taxonomy'!$C$9:$C$108,0)),""))</x:f>
      </x:c>
    </x:row>
    <x:row r="1886" ht="44" customHeight="1">
      <x:c r="A1886" s="1"/>
      <x:c r="B1886" s="1"/>
      <x:c r="C1886" s="8"/>
      <x:c r="D1886" s="8"/>
      <x:c r="E1886" s="8"/>
      <x:c r="F1886" s="8"/>
      <x:c r="G1886" s="8"/>
      <x:c r="H1886" s="8"/>
      <x:c r="I1886" s="8"/>
      <x:c r="J1886" s="8"/>
      <x:c r="K1886" s="8"/>
      <x:c r="L1886" s="8"/>
      <x:c r="M1886" s="10"/>
      <x:c r="N1886" s="10"/>
      <x:c r="O1886" s="8"/>
      <x:c r="P1886" s="9" t="str">
        <x:f>IF(C1886="","",IF(AND(G1886="Applicable",H1886="Fail"),"Fail",IF(R1886&lt;&gt;"Valid","Pending",IF(OR(I1886="",K1886="",L1886="",K1886=L1886,NOT(ISNUMBER(M1886)),NOT(ISNUMBER(N1886)),M1886&gt;Settings!$F$8,N1886&lt;Settings!$F$8,N1886&lt;M1886),"Pending",IF(AND(G1886="Applicable",H1886="Pass"),"Pass",IF(AND(G1886="N/A",H1886="N/A",J1886&lt;&gt;"",OR(E1886="CEM-FUELS",E1886="CEM-CCS",AND(E1886="CEM-PLAN",IFERROR(INDEX('Taxonomy'!$M$9:$M$108,MATCH(D1886,'Taxonomy'!$C$9:$C$108,0)),"")&lt;&gt;"Amber"),E1886="BLD-TIMBER",AND(U1886="Building equipment",OR(E1886="BLD-WATER",E1886="BLD-WASTE",E1886="BLD-LAND")),AND(U1886="Building renovation",E1886="BLD-LAND"))),"N/A","Pending"))))))</x:f>
      </x:c>
      <x:c r="Q1886" s="3" t="str">
        <x:f>IF(C1886="","",IF(AND(R1886="Valid",OR(P1886="Pass",P1886="N/A")),"Complete","Unresolved"))</x:f>
      </x:c>
      <x:c r="R1886" s="9" t="str">
        <x:f>IF(C1886="","",IF(OR(COUNTIF($C$9:$C$2008,C1886)&lt;&gt;1,COUNTIFS($D$9:$D$2008,D1886,$E$9:$E$2008,E1886)&lt;&gt;1),"Duplicate test",IF(COUNTIF('Taxonomy'!$C$9:$C$108,D1886)&lt;&gt;1,"Assessment key",IF(OR(COUNTIF('Taxonomy Rules'!$C$42:$C$68,E1886)&lt;&gt;1,F1886&lt;&gt;IFERROR(INDEX('Taxonomy Rules'!$D$42:$D$68,MATCH(E1886,'Taxonomy Rules'!$C$42:$C$68,0)),""),NOT(OR(IFERROR(INDEX('Taxonomy Rules'!$G$42:$G$68,MATCH(E1886,'Taxonomy Rules'!$C$42:$C$68,0)),"")="All supported routes",IFERROR(INDEX('Taxonomy Rules'!$G$42:$G$68,MATCH(E1886,'Taxonomy Rules'!$C$42:$C$68,0)),"")=U1886,AND(IFERROR(INDEX('Taxonomy Rules'!$G$42:$G$68,MATCH(E1886,'Taxonomy Rules'!$C$42:$C$68,0)),"")="Building routes",OR(U1886="Building renovation",U1886="New building",U1886="Building equipment"))))),"Unexpected test","Valid"))))</x:f>
      </x:c>
      <x:c r="S1886" s="9" t="str">
        <x:f>IF(C1886="","",IFERROR(INDEX('Taxonomy Rules'!$E$42:$E$68,MATCH(E1886,'Taxonomy Rules'!$C$42:$C$68,0)),""))</x:f>
      </x:c>
      <x:c r="T1886" s="9" t="str">
        <x:f>IF(C1886="","",IFERROR(INDEX('Taxonomy Rules'!$F$42:$F$68,MATCH(E1886,'Taxonomy Rules'!$C$42:$C$68,0)),""))</x:f>
      </x:c>
      <x:c r="U1886" s="9" t="str">
        <x:f>IF(C1886="","",IFERROR(INDEX('Taxonomy'!$G$9:$G$108,MATCH(D1886,'Taxonomy'!$C$9:$C$108,0)),""))</x:f>
      </x:c>
    </x:row>
    <x:row r="1887" ht="44" customHeight="1">
      <x:c r="A1887" s="1"/>
      <x:c r="B1887" s="1"/>
      <x:c r="C1887" s="8"/>
      <x:c r="D1887" s="8"/>
      <x:c r="E1887" s="8"/>
      <x:c r="F1887" s="8"/>
      <x:c r="G1887" s="8"/>
      <x:c r="H1887" s="8"/>
      <x:c r="I1887" s="8"/>
      <x:c r="J1887" s="8"/>
      <x:c r="K1887" s="8"/>
      <x:c r="L1887" s="8"/>
      <x:c r="M1887" s="10"/>
      <x:c r="N1887" s="10"/>
      <x:c r="O1887" s="8"/>
      <x:c r="P1887" s="9" t="str">
        <x:f>IF(C1887="","",IF(AND(G1887="Applicable",H1887="Fail"),"Fail",IF(R1887&lt;&gt;"Valid","Pending",IF(OR(I1887="",K1887="",L1887="",K1887=L1887,NOT(ISNUMBER(M1887)),NOT(ISNUMBER(N1887)),M1887&gt;Settings!$F$8,N1887&lt;Settings!$F$8,N1887&lt;M1887),"Pending",IF(AND(G1887="Applicable",H1887="Pass"),"Pass",IF(AND(G1887="N/A",H1887="N/A",J1887&lt;&gt;"",OR(E1887="CEM-FUELS",E1887="CEM-CCS",AND(E1887="CEM-PLAN",IFERROR(INDEX('Taxonomy'!$M$9:$M$108,MATCH(D1887,'Taxonomy'!$C$9:$C$108,0)),"")&lt;&gt;"Amber"),E1887="BLD-TIMBER",AND(U1887="Building equipment",OR(E1887="BLD-WATER",E1887="BLD-WASTE",E1887="BLD-LAND")),AND(U1887="Building renovation",E1887="BLD-LAND"))),"N/A","Pending"))))))</x:f>
      </x:c>
      <x:c r="Q1887" s="3" t="str">
        <x:f>IF(C1887="","",IF(AND(R1887="Valid",OR(P1887="Pass",P1887="N/A")),"Complete","Unresolved"))</x:f>
      </x:c>
      <x:c r="R1887" s="9" t="str">
        <x:f>IF(C1887="","",IF(OR(COUNTIF($C$9:$C$2008,C1887)&lt;&gt;1,COUNTIFS($D$9:$D$2008,D1887,$E$9:$E$2008,E1887)&lt;&gt;1),"Duplicate test",IF(COUNTIF('Taxonomy'!$C$9:$C$108,D1887)&lt;&gt;1,"Assessment key",IF(OR(COUNTIF('Taxonomy Rules'!$C$42:$C$68,E1887)&lt;&gt;1,F1887&lt;&gt;IFERROR(INDEX('Taxonomy Rules'!$D$42:$D$68,MATCH(E1887,'Taxonomy Rules'!$C$42:$C$68,0)),""),NOT(OR(IFERROR(INDEX('Taxonomy Rules'!$G$42:$G$68,MATCH(E1887,'Taxonomy Rules'!$C$42:$C$68,0)),"")="All supported routes",IFERROR(INDEX('Taxonomy Rules'!$G$42:$G$68,MATCH(E1887,'Taxonomy Rules'!$C$42:$C$68,0)),"")=U1887,AND(IFERROR(INDEX('Taxonomy Rules'!$G$42:$G$68,MATCH(E1887,'Taxonomy Rules'!$C$42:$C$68,0)),"")="Building routes",OR(U1887="Building renovation",U1887="New building",U1887="Building equipment"))))),"Unexpected test","Valid"))))</x:f>
      </x:c>
      <x:c r="S1887" s="9" t="str">
        <x:f>IF(C1887="","",IFERROR(INDEX('Taxonomy Rules'!$E$42:$E$68,MATCH(E1887,'Taxonomy Rules'!$C$42:$C$68,0)),""))</x:f>
      </x:c>
      <x:c r="T1887" s="9" t="str">
        <x:f>IF(C1887="","",IFERROR(INDEX('Taxonomy Rules'!$F$42:$F$68,MATCH(E1887,'Taxonomy Rules'!$C$42:$C$68,0)),""))</x:f>
      </x:c>
      <x:c r="U1887" s="9" t="str">
        <x:f>IF(C1887="","",IFERROR(INDEX('Taxonomy'!$G$9:$G$108,MATCH(D1887,'Taxonomy'!$C$9:$C$108,0)),""))</x:f>
      </x:c>
    </x:row>
    <x:row r="1888" ht="44" customHeight="1">
      <x:c r="A1888" s="1"/>
      <x:c r="B1888" s="1"/>
      <x:c r="C1888" s="8"/>
      <x:c r="D1888" s="8"/>
      <x:c r="E1888" s="8"/>
      <x:c r="F1888" s="8"/>
      <x:c r="G1888" s="8"/>
      <x:c r="H1888" s="8"/>
      <x:c r="I1888" s="8"/>
      <x:c r="J1888" s="8"/>
      <x:c r="K1888" s="8"/>
      <x:c r="L1888" s="8"/>
      <x:c r="M1888" s="10"/>
      <x:c r="N1888" s="10"/>
      <x:c r="O1888" s="8"/>
      <x:c r="P1888" s="9" t="str">
        <x:f>IF(C1888="","",IF(AND(G1888="Applicable",H1888="Fail"),"Fail",IF(R1888&lt;&gt;"Valid","Pending",IF(OR(I1888="",K1888="",L1888="",K1888=L1888,NOT(ISNUMBER(M1888)),NOT(ISNUMBER(N1888)),M1888&gt;Settings!$F$8,N1888&lt;Settings!$F$8,N1888&lt;M1888),"Pending",IF(AND(G1888="Applicable",H1888="Pass"),"Pass",IF(AND(G1888="N/A",H1888="N/A",J1888&lt;&gt;"",OR(E1888="CEM-FUELS",E1888="CEM-CCS",AND(E1888="CEM-PLAN",IFERROR(INDEX('Taxonomy'!$M$9:$M$108,MATCH(D1888,'Taxonomy'!$C$9:$C$108,0)),"")&lt;&gt;"Amber"),E1888="BLD-TIMBER",AND(U1888="Building equipment",OR(E1888="BLD-WATER",E1888="BLD-WASTE",E1888="BLD-LAND")),AND(U1888="Building renovation",E1888="BLD-LAND"))),"N/A","Pending"))))))</x:f>
      </x:c>
      <x:c r="Q1888" s="3" t="str">
        <x:f>IF(C1888="","",IF(AND(R1888="Valid",OR(P1888="Pass",P1888="N/A")),"Complete","Unresolved"))</x:f>
      </x:c>
      <x:c r="R1888" s="9" t="str">
        <x:f>IF(C1888="","",IF(OR(COUNTIF($C$9:$C$2008,C1888)&lt;&gt;1,COUNTIFS($D$9:$D$2008,D1888,$E$9:$E$2008,E1888)&lt;&gt;1),"Duplicate test",IF(COUNTIF('Taxonomy'!$C$9:$C$108,D1888)&lt;&gt;1,"Assessment key",IF(OR(COUNTIF('Taxonomy Rules'!$C$42:$C$68,E1888)&lt;&gt;1,F1888&lt;&gt;IFERROR(INDEX('Taxonomy Rules'!$D$42:$D$68,MATCH(E1888,'Taxonomy Rules'!$C$42:$C$68,0)),""),NOT(OR(IFERROR(INDEX('Taxonomy Rules'!$G$42:$G$68,MATCH(E1888,'Taxonomy Rules'!$C$42:$C$68,0)),"")="All supported routes",IFERROR(INDEX('Taxonomy Rules'!$G$42:$G$68,MATCH(E1888,'Taxonomy Rules'!$C$42:$C$68,0)),"")=U1888,AND(IFERROR(INDEX('Taxonomy Rules'!$G$42:$G$68,MATCH(E1888,'Taxonomy Rules'!$C$42:$C$68,0)),"")="Building routes",OR(U1888="Building renovation",U1888="New building",U1888="Building equipment"))))),"Unexpected test","Valid"))))</x:f>
      </x:c>
      <x:c r="S1888" s="9" t="str">
        <x:f>IF(C1888="","",IFERROR(INDEX('Taxonomy Rules'!$E$42:$E$68,MATCH(E1888,'Taxonomy Rules'!$C$42:$C$68,0)),""))</x:f>
      </x:c>
      <x:c r="T1888" s="9" t="str">
        <x:f>IF(C1888="","",IFERROR(INDEX('Taxonomy Rules'!$F$42:$F$68,MATCH(E1888,'Taxonomy Rules'!$C$42:$C$68,0)),""))</x:f>
      </x:c>
      <x:c r="U1888" s="9" t="str">
        <x:f>IF(C1888="","",IFERROR(INDEX('Taxonomy'!$G$9:$G$108,MATCH(D1888,'Taxonomy'!$C$9:$C$108,0)),""))</x:f>
      </x:c>
    </x:row>
    <x:row r="1889" ht="44" customHeight="1">
      <x:c r="A1889" s="1"/>
      <x:c r="B1889" s="1"/>
      <x:c r="C1889" s="8"/>
      <x:c r="D1889" s="8"/>
      <x:c r="E1889" s="8"/>
      <x:c r="F1889" s="8"/>
      <x:c r="G1889" s="8"/>
      <x:c r="H1889" s="8"/>
      <x:c r="I1889" s="8"/>
      <x:c r="J1889" s="8"/>
      <x:c r="K1889" s="8"/>
      <x:c r="L1889" s="8"/>
      <x:c r="M1889" s="10"/>
      <x:c r="N1889" s="10"/>
      <x:c r="O1889" s="8"/>
      <x:c r="P1889" s="9" t="str">
        <x:f>IF(C1889="","",IF(AND(G1889="Applicable",H1889="Fail"),"Fail",IF(R1889&lt;&gt;"Valid","Pending",IF(OR(I1889="",K1889="",L1889="",K1889=L1889,NOT(ISNUMBER(M1889)),NOT(ISNUMBER(N1889)),M1889&gt;Settings!$F$8,N1889&lt;Settings!$F$8,N1889&lt;M1889),"Pending",IF(AND(G1889="Applicable",H1889="Pass"),"Pass",IF(AND(G1889="N/A",H1889="N/A",J1889&lt;&gt;"",OR(E1889="CEM-FUELS",E1889="CEM-CCS",AND(E1889="CEM-PLAN",IFERROR(INDEX('Taxonomy'!$M$9:$M$108,MATCH(D1889,'Taxonomy'!$C$9:$C$108,0)),"")&lt;&gt;"Amber"),E1889="BLD-TIMBER",AND(U1889="Building equipment",OR(E1889="BLD-WATER",E1889="BLD-WASTE",E1889="BLD-LAND")),AND(U1889="Building renovation",E1889="BLD-LAND"))),"N/A","Pending"))))))</x:f>
      </x:c>
      <x:c r="Q1889" s="3" t="str">
        <x:f>IF(C1889="","",IF(AND(R1889="Valid",OR(P1889="Pass",P1889="N/A")),"Complete","Unresolved"))</x:f>
      </x:c>
      <x:c r="R1889" s="9" t="str">
        <x:f>IF(C1889="","",IF(OR(COUNTIF($C$9:$C$2008,C1889)&lt;&gt;1,COUNTIFS($D$9:$D$2008,D1889,$E$9:$E$2008,E1889)&lt;&gt;1),"Duplicate test",IF(COUNTIF('Taxonomy'!$C$9:$C$108,D1889)&lt;&gt;1,"Assessment key",IF(OR(COUNTIF('Taxonomy Rules'!$C$42:$C$68,E1889)&lt;&gt;1,F1889&lt;&gt;IFERROR(INDEX('Taxonomy Rules'!$D$42:$D$68,MATCH(E1889,'Taxonomy Rules'!$C$42:$C$68,0)),""),NOT(OR(IFERROR(INDEX('Taxonomy Rules'!$G$42:$G$68,MATCH(E1889,'Taxonomy Rules'!$C$42:$C$68,0)),"")="All supported routes",IFERROR(INDEX('Taxonomy Rules'!$G$42:$G$68,MATCH(E1889,'Taxonomy Rules'!$C$42:$C$68,0)),"")=U1889,AND(IFERROR(INDEX('Taxonomy Rules'!$G$42:$G$68,MATCH(E1889,'Taxonomy Rules'!$C$42:$C$68,0)),"")="Building routes",OR(U1889="Building renovation",U1889="New building",U1889="Building equipment"))))),"Unexpected test","Valid"))))</x:f>
      </x:c>
      <x:c r="S1889" s="9" t="str">
        <x:f>IF(C1889="","",IFERROR(INDEX('Taxonomy Rules'!$E$42:$E$68,MATCH(E1889,'Taxonomy Rules'!$C$42:$C$68,0)),""))</x:f>
      </x:c>
      <x:c r="T1889" s="9" t="str">
        <x:f>IF(C1889="","",IFERROR(INDEX('Taxonomy Rules'!$F$42:$F$68,MATCH(E1889,'Taxonomy Rules'!$C$42:$C$68,0)),""))</x:f>
      </x:c>
      <x:c r="U1889" s="9" t="str">
        <x:f>IF(C1889="","",IFERROR(INDEX('Taxonomy'!$G$9:$G$108,MATCH(D1889,'Taxonomy'!$C$9:$C$108,0)),""))</x:f>
      </x:c>
    </x:row>
    <x:row r="1890" ht="44" customHeight="1">
      <x:c r="A1890" s="1"/>
      <x:c r="B1890" s="1"/>
      <x:c r="C1890" s="8"/>
      <x:c r="D1890" s="8"/>
      <x:c r="E1890" s="8"/>
      <x:c r="F1890" s="8"/>
      <x:c r="G1890" s="8"/>
      <x:c r="H1890" s="8"/>
      <x:c r="I1890" s="8"/>
      <x:c r="J1890" s="8"/>
      <x:c r="K1890" s="8"/>
      <x:c r="L1890" s="8"/>
      <x:c r="M1890" s="10"/>
      <x:c r="N1890" s="10"/>
      <x:c r="O1890" s="8"/>
      <x:c r="P1890" s="9" t="str">
        <x:f>IF(C1890="","",IF(AND(G1890="Applicable",H1890="Fail"),"Fail",IF(R1890&lt;&gt;"Valid","Pending",IF(OR(I1890="",K1890="",L1890="",K1890=L1890,NOT(ISNUMBER(M1890)),NOT(ISNUMBER(N1890)),M1890&gt;Settings!$F$8,N1890&lt;Settings!$F$8,N1890&lt;M1890),"Pending",IF(AND(G1890="Applicable",H1890="Pass"),"Pass",IF(AND(G1890="N/A",H1890="N/A",J1890&lt;&gt;"",OR(E1890="CEM-FUELS",E1890="CEM-CCS",AND(E1890="CEM-PLAN",IFERROR(INDEX('Taxonomy'!$M$9:$M$108,MATCH(D1890,'Taxonomy'!$C$9:$C$108,0)),"")&lt;&gt;"Amber"),E1890="BLD-TIMBER",AND(U1890="Building equipment",OR(E1890="BLD-WATER",E1890="BLD-WASTE",E1890="BLD-LAND")),AND(U1890="Building renovation",E1890="BLD-LAND"))),"N/A","Pending"))))))</x:f>
      </x:c>
      <x:c r="Q1890" s="3" t="str">
        <x:f>IF(C1890="","",IF(AND(R1890="Valid",OR(P1890="Pass",P1890="N/A")),"Complete","Unresolved"))</x:f>
      </x:c>
      <x:c r="R1890" s="9" t="str">
        <x:f>IF(C1890="","",IF(OR(COUNTIF($C$9:$C$2008,C1890)&lt;&gt;1,COUNTIFS($D$9:$D$2008,D1890,$E$9:$E$2008,E1890)&lt;&gt;1),"Duplicate test",IF(COUNTIF('Taxonomy'!$C$9:$C$108,D1890)&lt;&gt;1,"Assessment key",IF(OR(COUNTIF('Taxonomy Rules'!$C$42:$C$68,E1890)&lt;&gt;1,F1890&lt;&gt;IFERROR(INDEX('Taxonomy Rules'!$D$42:$D$68,MATCH(E1890,'Taxonomy Rules'!$C$42:$C$68,0)),""),NOT(OR(IFERROR(INDEX('Taxonomy Rules'!$G$42:$G$68,MATCH(E1890,'Taxonomy Rules'!$C$42:$C$68,0)),"")="All supported routes",IFERROR(INDEX('Taxonomy Rules'!$G$42:$G$68,MATCH(E1890,'Taxonomy Rules'!$C$42:$C$68,0)),"")=U1890,AND(IFERROR(INDEX('Taxonomy Rules'!$G$42:$G$68,MATCH(E1890,'Taxonomy Rules'!$C$42:$C$68,0)),"")="Building routes",OR(U1890="Building renovation",U1890="New building",U1890="Building equipment"))))),"Unexpected test","Valid"))))</x:f>
      </x:c>
      <x:c r="S1890" s="9" t="str">
        <x:f>IF(C1890="","",IFERROR(INDEX('Taxonomy Rules'!$E$42:$E$68,MATCH(E1890,'Taxonomy Rules'!$C$42:$C$68,0)),""))</x:f>
      </x:c>
      <x:c r="T1890" s="9" t="str">
        <x:f>IF(C1890="","",IFERROR(INDEX('Taxonomy Rules'!$F$42:$F$68,MATCH(E1890,'Taxonomy Rules'!$C$42:$C$68,0)),""))</x:f>
      </x:c>
      <x:c r="U1890" s="9" t="str">
        <x:f>IF(C1890="","",IFERROR(INDEX('Taxonomy'!$G$9:$G$108,MATCH(D1890,'Taxonomy'!$C$9:$C$108,0)),""))</x:f>
      </x:c>
    </x:row>
    <x:row r="1891" ht="44" customHeight="1">
      <x:c r="A1891" s="1"/>
      <x:c r="B1891" s="1"/>
      <x:c r="C1891" s="8"/>
      <x:c r="D1891" s="8"/>
      <x:c r="E1891" s="8"/>
      <x:c r="F1891" s="8"/>
      <x:c r="G1891" s="8"/>
      <x:c r="H1891" s="8"/>
      <x:c r="I1891" s="8"/>
      <x:c r="J1891" s="8"/>
      <x:c r="K1891" s="8"/>
      <x:c r="L1891" s="8"/>
      <x:c r="M1891" s="10"/>
      <x:c r="N1891" s="10"/>
      <x:c r="O1891" s="8"/>
      <x:c r="P1891" s="9" t="str">
        <x:f>IF(C1891="","",IF(AND(G1891="Applicable",H1891="Fail"),"Fail",IF(R1891&lt;&gt;"Valid","Pending",IF(OR(I1891="",K1891="",L1891="",K1891=L1891,NOT(ISNUMBER(M1891)),NOT(ISNUMBER(N1891)),M1891&gt;Settings!$F$8,N1891&lt;Settings!$F$8,N1891&lt;M1891),"Pending",IF(AND(G1891="Applicable",H1891="Pass"),"Pass",IF(AND(G1891="N/A",H1891="N/A",J1891&lt;&gt;"",OR(E1891="CEM-FUELS",E1891="CEM-CCS",AND(E1891="CEM-PLAN",IFERROR(INDEX('Taxonomy'!$M$9:$M$108,MATCH(D1891,'Taxonomy'!$C$9:$C$108,0)),"")&lt;&gt;"Amber"),E1891="BLD-TIMBER",AND(U1891="Building equipment",OR(E1891="BLD-WATER",E1891="BLD-WASTE",E1891="BLD-LAND")),AND(U1891="Building renovation",E1891="BLD-LAND"))),"N/A","Pending"))))))</x:f>
      </x:c>
      <x:c r="Q1891" s="3" t="str">
        <x:f>IF(C1891="","",IF(AND(R1891="Valid",OR(P1891="Pass",P1891="N/A")),"Complete","Unresolved"))</x:f>
      </x:c>
      <x:c r="R1891" s="9" t="str">
        <x:f>IF(C1891="","",IF(OR(COUNTIF($C$9:$C$2008,C1891)&lt;&gt;1,COUNTIFS($D$9:$D$2008,D1891,$E$9:$E$2008,E1891)&lt;&gt;1),"Duplicate test",IF(COUNTIF('Taxonomy'!$C$9:$C$108,D1891)&lt;&gt;1,"Assessment key",IF(OR(COUNTIF('Taxonomy Rules'!$C$42:$C$68,E1891)&lt;&gt;1,F1891&lt;&gt;IFERROR(INDEX('Taxonomy Rules'!$D$42:$D$68,MATCH(E1891,'Taxonomy Rules'!$C$42:$C$68,0)),""),NOT(OR(IFERROR(INDEX('Taxonomy Rules'!$G$42:$G$68,MATCH(E1891,'Taxonomy Rules'!$C$42:$C$68,0)),"")="All supported routes",IFERROR(INDEX('Taxonomy Rules'!$G$42:$G$68,MATCH(E1891,'Taxonomy Rules'!$C$42:$C$68,0)),"")=U1891,AND(IFERROR(INDEX('Taxonomy Rules'!$G$42:$G$68,MATCH(E1891,'Taxonomy Rules'!$C$42:$C$68,0)),"")="Building routes",OR(U1891="Building renovation",U1891="New building",U1891="Building equipment"))))),"Unexpected test","Valid"))))</x:f>
      </x:c>
      <x:c r="S1891" s="9" t="str">
        <x:f>IF(C1891="","",IFERROR(INDEX('Taxonomy Rules'!$E$42:$E$68,MATCH(E1891,'Taxonomy Rules'!$C$42:$C$68,0)),""))</x:f>
      </x:c>
      <x:c r="T1891" s="9" t="str">
        <x:f>IF(C1891="","",IFERROR(INDEX('Taxonomy Rules'!$F$42:$F$68,MATCH(E1891,'Taxonomy Rules'!$C$42:$C$68,0)),""))</x:f>
      </x:c>
      <x:c r="U1891" s="9" t="str">
        <x:f>IF(C1891="","",IFERROR(INDEX('Taxonomy'!$G$9:$G$108,MATCH(D1891,'Taxonomy'!$C$9:$C$108,0)),""))</x:f>
      </x:c>
    </x:row>
    <x:row r="1892" ht="44" customHeight="1">
      <x:c r="A1892" s="1"/>
      <x:c r="B1892" s="1"/>
      <x:c r="C1892" s="8"/>
      <x:c r="D1892" s="8"/>
      <x:c r="E1892" s="8"/>
      <x:c r="F1892" s="8"/>
      <x:c r="G1892" s="8"/>
      <x:c r="H1892" s="8"/>
      <x:c r="I1892" s="8"/>
      <x:c r="J1892" s="8"/>
      <x:c r="K1892" s="8"/>
      <x:c r="L1892" s="8"/>
      <x:c r="M1892" s="10"/>
      <x:c r="N1892" s="10"/>
      <x:c r="O1892" s="8"/>
      <x:c r="P1892" s="9" t="str">
        <x:f>IF(C1892="","",IF(AND(G1892="Applicable",H1892="Fail"),"Fail",IF(R1892&lt;&gt;"Valid","Pending",IF(OR(I1892="",K1892="",L1892="",K1892=L1892,NOT(ISNUMBER(M1892)),NOT(ISNUMBER(N1892)),M1892&gt;Settings!$F$8,N1892&lt;Settings!$F$8,N1892&lt;M1892),"Pending",IF(AND(G1892="Applicable",H1892="Pass"),"Pass",IF(AND(G1892="N/A",H1892="N/A",J1892&lt;&gt;"",OR(E1892="CEM-FUELS",E1892="CEM-CCS",AND(E1892="CEM-PLAN",IFERROR(INDEX('Taxonomy'!$M$9:$M$108,MATCH(D1892,'Taxonomy'!$C$9:$C$108,0)),"")&lt;&gt;"Amber"),E1892="BLD-TIMBER",AND(U1892="Building equipment",OR(E1892="BLD-WATER",E1892="BLD-WASTE",E1892="BLD-LAND")),AND(U1892="Building renovation",E1892="BLD-LAND"))),"N/A","Pending"))))))</x:f>
      </x:c>
      <x:c r="Q1892" s="3" t="str">
        <x:f>IF(C1892="","",IF(AND(R1892="Valid",OR(P1892="Pass",P1892="N/A")),"Complete","Unresolved"))</x:f>
      </x:c>
      <x:c r="R1892" s="9" t="str">
        <x:f>IF(C1892="","",IF(OR(COUNTIF($C$9:$C$2008,C1892)&lt;&gt;1,COUNTIFS($D$9:$D$2008,D1892,$E$9:$E$2008,E1892)&lt;&gt;1),"Duplicate test",IF(COUNTIF('Taxonomy'!$C$9:$C$108,D1892)&lt;&gt;1,"Assessment key",IF(OR(COUNTIF('Taxonomy Rules'!$C$42:$C$68,E1892)&lt;&gt;1,F1892&lt;&gt;IFERROR(INDEX('Taxonomy Rules'!$D$42:$D$68,MATCH(E1892,'Taxonomy Rules'!$C$42:$C$68,0)),""),NOT(OR(IFERROR(INDEX('Taxonomy Rules'!$G$42:$G$68,MATCH(E1892,'Taxonomy Rules'!$C$42:$C$68,0)),"")="All supported routes",IFERROR(INDEX('Taxonomy Rules'!$G$42:$G$68,MATCH(E1892,'Taxonomy Rules'!$C$42:$C$68,0)),"")=U1892,AND(IFERROR(INDEX('Taxonomy Rules'!$G$42:$G$68,MATCH(E1892,'Taxonomy Rules'!$C$42:$C$68,0)),"")="Building routes",OR(U1892="Building renovation",U1892="New building",U1892="Building equipment"))))),"Unexpected test","Valid"))))</x:f>
      </x:c>
      <x:c r="S1892" s="9" t="str">
        <x:f>IF(C1892="","",IFERROR(INDEX('Taxonomy Rules'!$E$42:$E$68,MATCH(E1892,'Taxonomy Rules'!$C$42:$C$68,0)),""))</x:f>
      </x:c>
      <x:c r="T1892" s="9" t="str">
        <x:f>IF(C1892="","",IFERROR(INDEX('Taxonomy Rules'!$F$42:$F$68,MATCH(E1892,'Taxonomy Rules'!$C$42:$C$68,0)),""))</x:f>
      </x:c>
      <x:c r="U1892" s="9" t="str">
        <x:f>IF(C1892="","",IFERROR(INDEX('Taxonomy'!$G$9:$G$108,MATCH(D1892,'Taxonomy'!$C$9:$C$108,0)),""))</x:f>
      </x:c>
    </x:row>
    <x:row r="1893" ht="44" customHeight="1">
      <x:c r="A1893" s="1"/>
      <x:c r="B1893" s="1"/>
      <x:c r="C1893" s="8"/>
      <x:c r="D1893" s="8"/>
      <x:c r="E1893" s="8"/>
      <x:c r="F1893" s="8"/>
      <x:c r="G1893" s="8"/>
      <x:c r="H1893" s="8"/>
      <x:c r="I1893" s="8"/>
      <x:c r="J1893" s="8"/>
      <x:c r="K1893" s="8"/>
      <x:c r="L1893" s="8"/>
      <x:c r="M1893" s="10"/>
      <x:c r="N1893" s="10"/>
      <x:c r="O1893" s="8"/>
      <x:c r="P1893" s="9" t="str">
        <x:f>IF(C1893="","",IF(AND(G1893="Applicable",H1893="Fail"),"Fail",IF(R1893&lt;&gt;"Valid","Pending",IF(OR(I1893="",K1893="",L1893="",K1893=L1893,NOT(ISNUMBER(M1893)),NOT(ISNUMBER(N1893)),M1893&gt;Settings!$F$8,N1893&lt;Settings!$F$8,N1893&lt;M1893),"Pending",IF(AND(G1893="Applicable",H1893="Pass"),"Pass",IF(AND(G1893="N/A",H1893="N/A",J1893&lt;&gt;"",OR(E1893="CEM-FUELS",E1893="CEM-CCS",AND(E1893="CEM-PLAN",IFERROR(INDEX('Taxonomy'!$M$9:$M$108,MATCH(D1893,'Taxonomy'!$C$9:$C$108,0)),"")&lt;&gt;"Amber"),E1893="BLD-TIMBER",AND(U1893="Building equipment",OR(E1893="BLD-WATER",E1893="BLD-WASTE",E1893="BLD-LAND")),AND(U1893="Building renovation",E1893="BLD-LAND"))),"N/A","Pending"))))))</x:f>
      </x:c>
      <x:c r="Q1893" s="3" t="str">
        <x:f>IF(C1893="","",IF(AND(R1893="Valid",OR(P1893="Pass",P1893="N/A")),"Complete","Unresolved"))</x:f>
      </x:c>
      <x:c r="R1893" s="9" t="str">
        <x:f>IF(C1893="","",IF(OR(COUNTIF($C$9:$C$2008,C1893)&lt;&gt;1,COUNTIFS($D$9:$D$2008,D1893,$E$9:$E$2008,E1893)&lt;&gt;1),"Duplicate test",IF(COUNTIF('Taxonomy'!$C$9:$C$108,D1893)&lt;&gt;1,"Assessment key",IF(OR(COUNTIF('Taxonomy Rules'!$C$42:$C$68,E1893)&lt;&gt;1,F1893&lt;&gt;IFERROR(INDEX('Taxonomy Rules'!$D$42:$D$68,MATCH(E1893,'Taxonomy Rules'!$C$42:$C$68,0)),""),NOT(OR(IFERROR(INDEX('Taxonomy Rules'!$G$42:$G$68,MATCH(E1893,'Taxonomy Rules'!$C$42:$C$68,0)),"")="All supported routes",IFERROR(INDEX('Taxonomy Rules'!$G$42:$G$68,MATCH(E1893,'Taxonomy Rules'!$C$42:$C$68,0)),"")=U1893,AND(IFERROR(INDEX('Taxonomy Rules'!$G$42:$G$68,MATCH(E1893,'Taxonomy Rules'!$C$42:$C$68,0)),"")="Building routes",OR(U1893="Building renovation",U1893="New building",U1893="Building equipment"))))),"Unexpected test","Valid"))))</x:f>
      </x:c>
      <x:c r="S1893" s="9" t="str">
        <x:f>IF(C1893="","",IFERROR(INDEX('Taxonomy Rules'!$E$42:$E$68,MATCH(E1893,'Taxonomy Rules'!$C$42:$C$68,0)),""))</x:f>
      </x:c>
      <x:c r="T1893" s="9" t="str">
        <x:f>IF(C1893="","",IFERROR(INDEX('Taxonomy Rules'!$F$42:$F$68,MATCH(E1893,'Taxonomy Rules'!$C$42:$C$68,0)),""))</x:f>
      </x:c>
      <x:c r="U1893" s="9" t="str">
        <x:f>IF(C1893="","",IFERROR(INDEX('Taxonomy'!$G$9:$G$108,MATCH(D1893,'Taxonomy'!$C$9:$C$108,0)),""))</x:f>
      </x:c>
    </x:row>
    <x:row r="1894" ht="44" customHeight="1">
      <x:c r="A1894" s="1"/>
      <x:c r="B1894" s="1"/>
      <x:c r="C1894" s="8"/>
      <x:c r="D1894" s="8"/>
      <x:c r="E1894" s="8"/>
      <x:c r="F1894" s="8"/>
      <x:c r="G1894" s="8"/>
      <x:c r="H1894" s="8"/>
      <x:c r="I1894" s="8"/>
      <x:c r="J1894" s="8"/>
      <x:c r="K1894" s="8"/>
      <x:c r="L1894" s="8"/>
      <x:c r="M1894" s="10"/>
      <x:c r="N1894" s="10"/>
      <x:c r="O1894" s="8"/>
      <x:c r="P1894" s="9" t="str">
        <x:f>IF(C1894="","",IF(AND(G1894="Applicable",H1894="Fail"),"Fail",IF(R1894&lt;&gt;"Valid","Pending",IF(OR(I1894="",K1894="",L1894="",K1894=L1894,NOT(ISNUMBER(M1894)),NOT(ISNUMBER(N1894)),M1894&gt;Settings!$F$8,N1894&lt;Settings!$F$8,N1894&lt;M1894),"Pending",IF(AND(G1894="Applicable",H1894="Pass"),"Pass",IF(AND(G1894="N/A",H1894="N/A",J1894&lt;&gt;"",OR(E1894="CEM-FUELS",E1894="CEM-CCS",AND(E1894="CEM-PLAN",IFERROR(INDEX('Taxonomy'!$M$9:$M$108,MATCH(D1894,'Taxonomy'!$C$9:$C$108,0)),"")&lt;&gt;"Amber"),E1894="BLD-TIMBER",AND(U1894="Building equipment",OR(E1894="BLD-WATER",E1894="BLD-WASTE",E1894="BLD-LAND")),AND(U1894="Building renovation",E1894="BLD-LAND"))),"N/A","Pending"))))))</x:f>
      </x:c>
      <x:c r="Q1894" s="3" t="str">
        <x:f>IF(C1894="","",IF(AND(R1894="Valid",OR(P1894="Pass",P1894="N/A")),"Complete","Unresolved"))</x:f>
      </x:c>
      <x:c r="R1894" s="9" t="str">
        <x:f>IF(C1894="","",IF(OR(COUNTIF($C$9:$C$2008,C1894)&lt;&gt;1,COUNTIFS($D$9:$D$2008,D1894,$E$9:$E$2008,E1894)&lt;&gt;1),"Duplicate test",IF(COUNTIF('Taxonomy'!$C$9:$C$108,D1894)&lt;&gt;1,"Assessment key",IF(OR(COUNTIF('Taxonomy Rules'!$C$42:$C$68,E1894)&lt;&gt;1,F1894&lt;&gt;IFERROR(INDEX('Taxonomy Rules'!$D$42:$D$68,MATCH(E1894,'Taxonomy Rules'!$C$42:$C$68,0)),""),NOT(OR(IFERROR(INDEX('Taxonomy Rules'!$G$42:$G$68,MATCH(E1894,'Taxonomy Rules'!$C$42:$C$68,0)),"")="All supported routes",IFERROR(INDEX('Taxonomy Rules'!$G$42:$G$68,MATCH(E1894,'Taxonomy Rules'!$C$42:$C$68,0)),"")=U1894,AND(IFERROR(INDEX('Taxonomy Rules'!$G$42:$G$68,MATCH(E1894,'Taxonomy Rules'!$C$42:$C$68,0)),"")="Building routes",OR(U1894="Building renovation",U1894="New building",U1894="Building equipment"))))),"Unexpected test","Valid"))))</x:f>
      </x:c>
      <x:c r="S1894" s="9" t="str">
        <x:f>IF(C1894="","",IFERROR(INDEX('Taxonomy Rules'!$E$42:$E$68,MATCH(E1894,'Taxonomy Rules'!$C$42:$C$68,0)),""))</x:f>
      </x:c>
      <x:c r="T1894" s="9" t="str">
        <x:f>IF(C1894="","",IFERROR(INDEX('Taxonomy Rules'!$F$42:$F$68,MATCH(E1894,'Taxonomy Rules'!$C$42:$C$68,0)),""))</x:f>
      </x:c>
      <x:c r="U1894" s="9" t="str">
        <x:f>IF(C1894="","",IFERROR(INDEX('Taxonomy'!$G$9:$G$108,MATCH(D1894,'Taxonomy'!$C$9:$C$108,0)),""))</x:f>
      </x:c>
    </x:row>
    <x:row r="1895" ht="44" customHeight="1">
      <x:c r="A1895" s="1"/>
      <x:c r="B1895" s="1"/>
      <x:c r="C1895" s="8"/>
      <x:c r="D1895" s="8"/>
      <x:c r="E1895" s="8"/>
      <x:c r="F1895" s="8"/>
      <x:c r="G1895" s="8"/>
      <x:c r="H1895" s="8"/>
      <x:c r="I1895" s="8"/>
      <x:c r="J1895" s="8"/>
      <x:c r="K1895" s="8"/>
      <x:c r="L1895" s="8"/>
      <x:c r="M1895" s="10"/>
      <x:c r="N1895" s="10"/>
      <x:c r="O1895" s="8"/>
      <x:c r="P1895" s="9" t="str">
        <x:f>IF(C1895="","",IF(AND(G1895="Applicable",H1895="Fail"),"Fail",IF(R1895&lt;&gt;"Valid","Pending",IF(OR(I1895="",K1895="",L1895="",K1895=L1895,NOT(ISNUMBER(M1895)),NOT(ISNUMBER(N1895)),M1895&gt;Settings!$F$8,N1895&lt;Settings!$F$8,N1895&lt;M1895),"Pending",IF(AND(G1895="Applicable",H1895="Pass"),"Pass",IF(AND(G1895="N/A",H1895="N/A",J1895&lt;&gt;"",OR(E1895="CEM-FUELS",E1895="CEM-CCS",AND(E1895="CEM-PLAN",IFERROR(INDEX('Taxonomy'!$M$9:$M$108,MATCH(D1895,'Taxonomy'!$C$9:$C$108,0)),"")&lt;&gt;"Amber"),E1895="BLD-TIMBER",AND(U1895="Building equipment",OR(E1895="BLD-WATER",E1895="BLD-WASTE",E1895="BLD-LAND")),AND(U1895="Building renovation",E1895="BLD-LAND"))),"N/A","Pending"))))))</x:f>
      </x:c>
      <x:c r="Q1895" s="3" t="str">
        <x:f>IF(C1895="","",IF(AND(R1895="Valid",OR(P1895="Pass",P1895="N/A")),"Complete","Unresolved"))</x:f>
      </x:c>
      <x:c r="R1895" s="9" t="str">
        <x:f>IF(C1895="","",IF(OR(COUNTIF($C$9:$C$2008,C1895)&lt;&gt;1,COUNTIFS($D$9:$D$2008,D1895,$E$9:$E$2008,E1895)&lt;&gt;1),"Duplicate test",IF(COUNTIF('Taxonomy'!$C$9:$C$108,D1895)&lt;&gt;1,"Assessment key",IF(OR(COUNTIF('Taxonomy Rules'!$C$42:$C$68,E1895)&lt;&gt;1,F1895&lt;&gt;IFERROR(INDEX('Taxonomy Rules'!$D$42:$D$68,MATCH(E1895,'Taxonomy Rules'!$C$42:$C$68,0)),""),NOT(OR(IFERROR(INDEX('Taxonomy Rules'!$G$42:$G$68,MATCH(E1895,'Taxonomy Rules'!$C$42:$C$68,0)),"")="All supported routes",IFERROR(INDEX('Taxonomy Rules'!$G$42:$G$68,MATCH(E1895,'Taxonomy Rules'!$C$42:$C$68,0)),"")=U1895,AND(IFERROR(INDEX('Taxonomy Rules'!$G$42:$G$68,MATCH(E1895,'Taxonomy Rules'!$C$42:$C$68,0)),"")="Building routes",OR(U1895="Building renovation",U1895="New building",U1895="Building equipment"))))),"Unexpected test","Valid"))))</x:f>
      </x:c>
      <x:c r="S1895" s="9" t="str">
        <x:f>IF(C1895="","",IFERROR(INDEX('Taxonomy Rules'!$E$42:$E$68,MATCH(E1895,'Taxonomy Rules'!$C$42:$C$68,0)),""))</x:f>
      </x:c>
      <x:c r="T1895" s="9" t="str">
        <x:f>IF(C1895="","",IFERROR(INDEX('Taxonomy Rules'!$F$42:$F$68,MATCH(E1895,'Taxonomy Rules'!$C$42:$C$68,0)),""))</x:f>
      </x:c>
      <x:c r="U1895" s="9" t="str">
        <x:f>IF(C1895="","",IFERROR(INDEX('Taxonomy'!$G$9:$G$108,MATCH(D1895,'Taxonomy'!$C$9:$C$108,0)),""))</x:f>
      </x:c>
    </x:row>
    <x:row r="1896" ht="44" customHeight="1">
      <x:c r="A1896" s="1"/>
      <x:c r="B1896" s="1"/>
      <x:c r="C1896" s="8"/>
      <x:c r="D1896" s="8"/>
      <x:c r="E1896" s="8"/>
      <x:c r="F1896" s="8"/>
      <x:c r="G1896" s="8"/>
      <x:c r="H1896" s="8"/>
      <x:c r="I1896" s="8"/>
      <x:c r="J1896" s="8"/>
      <x:c r="K1896" s="8"/>
      <x:c r="L1896" s="8"/>
      <x:c r="M1896" s="10"/>
      <x:c r="N1896" s="10"/>
      <x:c r="O1896" s="8"/>
      <x:c r="P1896" s="9" t="str">
        <x:f>IF(C1896="","",IF(AND(G1896="Applicable",H1896="Fail"),"Fail",IF(R1896&lt;&gt;"Valid","Pending",IF(OR(I1896="",K1896="",L1896="",K1896=L1896,NOT(ISNUMBER(M1896)),NOT(ISNUMBER(N1896)),M1896&gt;Settings!$F$8,N1896&lt;Settings!$F$8,N1896&lt;M1896),"Pending",IF(AND(G1896="Applicable",H1896="Pass"),"Pass",IF(AND(G1896="N/A",H1896="N/A",J1896&lt;&gt;"",OR(E1896="CEM-FUELS",E1896="CEM-CCS",AND(E1896="CEM-PLAN",IFERROR(INDEX('Taxonomy'!$M$9:$M$108,MATCH(D1896,'Taxonomy'!$C$9:$C$108,0)),"")&lt;&gt;"Amber"),E1896="BLD-TIMBER",AND(U1896="Building equipment",OR(E1896="BLD-WATER",E1896="BLD-WASTE",E1896="BLD-LAND")),AND(U1896="Building renovation",E1896="BLD-LAND"))),"N/A","Pending"))))))</x:f>
      </x:c>
      <x:c r="Q1896" s="3" t="str">
        <x:f>IF(C1896="","",IF(AND(R1896="Valid",OR(P1896="Pass",P1896="N/A")),"Complete","Unresolved"))</x:f>
      </x:c>
      <x:c r="R1896" s="9" t="str">
        <x:f>IF(C1896="","",IF(OR(COUNTIF($C$9:$C$2008,C1896)&lt;&gt;1,COUNTIFS($D$9:$D$2008,D1896,$E$9:$E$2008,E1896)&lt;&gt;1),"Duplicate test",IF(COUNTIF('Taxonomy'!$C$9:$C$108,D1896)&lt;&gt;1,"Assessment key",IF(OR(COUNTIF('Taxonomy Rules'!$C$42:$C$68,E1896)&lt;&gt;1,F1896&lt;&gt;IFERROR(INDEX('Taxonomy Rules'!$D$42:$D$68,MATCH(E1896,'Taxonomy Rules'!$C$42:$C$68,0)),""),NOT(OR(IFERROR(INDEX('Taxonomy Rules'!$G$42:$G$68,MATCH(E1896,'Taxonomy Rules'!$C$42:$C$68,0)),"")="All supported routes",IFERROR(INDEX('Taxonomy Rules'!$G$42:$G$68,MATCH(E1896,'Taxonomy Rules'!$C$42:$C$68,0)),"")=U1896,AND(IFERROR(INDEX('Taxonomy Rules'!$G$42:$G$68,MATCH(E1896,'Taxonomy Rules'!$C$42:$C$68,0)),"")="Building routes",OR(U1896="Building renovation",U1896="New building",U1896="Building equipment"))))),"Unexpected test","Valid"))))</x:f>
      </x:c>
      <x:c r="S1896" s="9" t="str">
        <x:f>IF(C1896="","",IFERROR(INDEX('Taxonomy Rules'!$E$42:$E$68,MATCH(E1896,'Taxonomy Rules'!$C$42:$C$68,0)),""))</x:f>
      </x:c>
      <x:c r="T1896" s="9" t="str">
        <x:f>IF(C1896="","",IFERROR(INDEX('Taxonomy Rules'!$F$42:$F$68,MATCH(E1896,'Taxonomy Rules'!$C$42:$C$68,0)),""))</x:f>
      </x:c>
      <x:c r="U1896" s="9" t="str">
        <x:f>IF(C1896="","",IFERROR(INDEX('Taxonomy'!$G$9:$G$108,MATCH(D1896,'Taxonomy'!$C$9:$C$108,0)),""))</x:f>
      </x:c>
    </x:row>
    <x:row r="1897" ht="44" customHeight="1">
      <x:c r="A1897" s="1"/>
      <x:c r="B1897" s="1"/>
      <x:c r="C1897" s="8"/>
      <x:c r="D1897" s="8"/>
      <x:c r="E1897" s="8"/>
      <x:c r="F1897" s="8"/>
      <x:c r="G1897" s="8"/>
      <x:c r="H1897" s="8"/>
      <x:c r="I1897" s="8"/>
      <x:c r="J1897" s="8"/>
      <x:c r="K1897" s="8"/>
      <x:c r="L1897" s="8"/>
      <x:c r="M1897" s="10"/>
      <x:c r="N1897" s="10"/>
      <x:c r="O1897" s="8"/>
      <x:c r="P1897" s="9" t="str">
        <x:f>IF(C1897="","",IF(AND(G1897="Applicable",H1897="Fail"),"Fail",IF(R1897&lt;&gt;"Valid","Pending",IF(OR(I1897="",K1897="",L1897="",K1897=L1897,NOT(ISNUMBER(M1897)),NOT(ISNUMBER(N1897)),M1897&gt;Settings!$F$8,N1897&lt;Settings!$F$8,N1897&lt;M1897),"Pending",IF(AND(G1897="Applicable",H1897="Pass"),"Pass",IF(AND(G1897="N/A",H1897="N/A",J1897&lt;&gt;"",OR(E1897="CEM-FUELS",E1897="CEM-CCS",AND(E1897="CEM-PLAN",IFERROR(INDEX('Taxonomy'!$M$9:$M$108,MATCH(D1897,'Taxonomy'!$C$9:$C$108,0)),"")&lt;&gt;"Amber"),E1897="BLD-TIMBER",AND(U1897="Building equipment",OR(E1897="BLD-WATER",E1897="BLD-WASTE",E1897="BLD-LAND")),AND(U1897="Building renovation",E1897="BLD-LAND"))),"N/A","Pending"))))))</x:f>
      </x:c>
      <x:c r="Q1897" s="3" t="str">
        <x:f>IF(C1897="","",IF(AND(R1897="Valid",OR(P1897="Pass",P1897="N/A")),"Complete","Unresolved"))</x:f>
      </x:c>
      <x:c r="R1897" s="9" t="str">
        <x:f>IF(C1897="","",IF(OR(COUNTIF($C$9:$C$2008,C1897)&lt;&gt;1,COUNTIFS($D$9:$D$2008,D1897,$E$9:$E$2008,E1897)&lt;&gt;1),"Duplicate test",IF(COUNTIF('Taxonomy'!$C$9:$C$108,D1897)&lt;&gt;1,"Assessment key",IF(OR(COUNTIF('Taxonomy Rules'!$C$42:$C$68,E1897)&lt;&gt;1,F1897&lt;&gt;IFERROR(INDEX('Taxonomy Rules'!$D$42:$D$68,MATCH(E1897,'Taxonomy Rules'!$C$42:$C$68,0)),""),NOT(OR(IFERROR(INDEX('Taxonomy Rules'!$G$42:$G$68,MATCH(E1897,'Taxonomy Rules'!$C$42:$C$68,0)),"")="All supported routes",IFERROR(INDEX('Taxonomy Rules'!$G$42:$G$68,MATCH(E1897,'Taxonomy Rules'!$C$42:$C$68,0)),"")=U1897,AND(IFERROR(INDEX('Taxonomy Rules'!$G$42:$G$68,MATCH(E1897,'Taxonomy Rules'!$C$42:$C$68,0)),"")="Building routes",OR(U1897="Building renovation",U1897="New building",U1897="Building equipment"))))),"Unexpected test","Valid"))))</x:f>
      </x:c>
      <x:c r="S1897" s="9" t="str">
        <x:f>IF(C1897="","",IFERROR(INDEX('Taxonomy Rules'!$E$42:$E$68,MATCH(E1897,'Taxonomy Rules'!$C$42:$C$68,0)),""))</x:f>
      </x:c>
      <x:c r="T1897" s="9" t="str">
        <x:f>IF(C1897="","",IFERROR(INDEX('Taxonomy Rules'!$F$42:$F$68,MATCH(E1897,'Taxonomy Rules'!$C$42:$C$68,0)),""))</x:f>
      </x:c>
      <x:c r="U1897" s="9" t="str">
        <x:f>IF(C1897="","",IFERROR(INDEX('Taxonomy'!$G$9:$G$108,MATCH(D1897,'Taxonomy'!$C$9:$C$108,0)),""))</x:f>
      </x:c>
    </x:row>
    <x:row r="1898" ht="44" customHeight="1">
      <x:c r="A1898" s="1"/>
      <x:c r="B1898" s="1"/>
      <x:c r="C1898" s="8"/>
      <x:c r="D1898" s="8"/>
      <x:c r="E1898" s="8"/>
      <x:c r="F1898" s="8"/>
      <x:c r="G1898" s="8"/>
      <x:c r="H1898" s="8"/>
      <x:c r="I1898" s="8"/>
      <x:c r="J1898" s="8"/>
      <x:c r="K1898" s="8"/>
      <x:c r="L1898" s="8"/>
      <x:c r="M1898" s="10"/>
      <x:c r="N1898" s="10"/>
      <x:c r="O1898" s="8"/>
      <x:c r="P1898" s="9" t="str">
        <x:f>IF(C1898="","",IF(AND(G1898="Applicable",H1898="Fail"),"Fail",IF(R1898&lt;&gt;"Valid","Pending",IF(OR(I1898="",K1898="",L1898="",K1898=L1898,NOT(ISNUMBER(M1898)),NOT(ISNUMBER(N1898)),M1898&gt;Settings!$F$8,N1898&lt;Settings!$F$8,N1898&lt;M1898),"Pending",IF(AND(G1898="Applicable",H1898="Pass"),"Pass",IF(AND(G1898="N/A",H1898="N/A",J1898&lt;&gt;"",OR(E1898="CEM-FUELS",E1898="CEM-CCS",AND(E1898="CEM-PLAN",IFERROR(INDEX('Taxonomy'!$M$9:$M$108,MATCH(D1898,'Taxonomy'!$C$9:$C$108,0)),"")&lt;&gt;"Amber"),E1898="BLD-TIMBER",AND(U1898="Building equipment",OR(E1898="BLD-WATER",E1898="BLD-WASTE",E1898="BLD-LAND")),AND(U1898="Building renovation",E1898="BLD-LAND"))),"N/A","Pending"))))))</x:f>
      </x:c>
      <x:c r="Q1898" s="3" t="str">
        <x:f>IF(C1898="","",IF(AND(R1898="Valid",OR(P1898="Pass",P1898="N/A")),"Complete","Unresolved"))</x:f>
      </x:c>
      <x:c r="R1898" s="9" t="str">
        <x:f>IF(C1898="","",IF(OR(COUNTIF($C$9:$C$2008,C1898)&lt;&gt;1,COUNTIFS($D$9:$D$2008,D1898,$E$9:$E$2008,E1898)&lt;&gt;1),"Duplicate test",IF(COUNTIF('Taxonomy'!$C$9:$C$108,D1898)&lt;&gt;1,"Assessment key",IF(OR(COUNTIF('Taxonomy Rules'!$C$42:$C$68,E1898)&lt;&gt;1,F1898&lt;&gt;IFERROR(INDEX('Taxonomy Rules'!$D$42:$D$68,MATCH(E1898,'Taxonomy Rules'!$C$42:$C$68,0)),""),NOT(OR(IFERROR(INDEX('Taxonomy Rules'!$G$42:$G$68,MATCH(E1898,'Taxonomy Rules'!$C$42:$C$68,0)),"")="All supported routes",IFERROR(INDEX('Taxonomy Rules'!$G$42:$G$68,MATCH(E1898,'Taxonomy Rules'!$C$42:$C$68,0)),"")=U1898,AND(IFERROR(INDEX('Taxonomy Rules'!$G$42:$G$68,MATCH(E1898,'Taxonomy Rules'!$C$42:$C$68,0)),"")="Building routes",OR(U1898="Building renovation",U1898="New building",U1898="Building equipment"))))),"Unexpected test","Valid"))))</x:f>
      </x:c>
      <x:c r="S1898" s="9" t="str">
        <x:f>IF(C1898="","",IFERROR(INDEX('Taxonomy Rules'!$E$42:$E$68,MATCH(E1898,'Taxonomy Rules'!$C$42:$C$68,0)),""))</x:f>
      </x:c>
      <x:c r="T1898" s="9" t="str">
        <x:f>IF(C1898="","",IFERROR(INDEX('Taxonomy Rules'!$F$42:$F$68,MATCH(E1898,'Taxonomy Rules'!$C$42:$C$68,0)),""))</x:f>
      </x:c>
      <x:c r="U1898" s="9" t="str">
        <x:f>IF(C1898="","",IFERROR(INDEX('Taxonomy'!$G$9:$G$108,MATCH(D1898,'Taxonomy'!$C$9:$C$108,0)),""))</x:f>
      </x:c>
    </x:row>
    <x:row r="1899" ht="44" customHeight="1">
      <x:c r="A1899" s="1"/>
      <x:c r="B1899" s="1"/>
      <x:c r="C1899" s="8"/>
      <x:c r="D1899" s="8"/>
      <x:c r="E1899" s="8"/>
      <x:c r="F1899" s="8"/>
      <x:c r="G1899" s="8"/>
      <x:c r="H1899" s="8"/>
      <x:c r="I1899" s="8"/>
      <x:c r="J1899" s="8"/>
      <x:c r="K1899" s="8"/>
      <x:c r="L1899" s="8"/>
      <x:c r="M1899" s="10"/>
      <x:c r="N1899" s="10"/>
      <x:c r="O1899" s="8"/>
      <x:c r="P1899" s="9" t="str">
        <x:f>IF(C1899="","",IF(AND(G1899="Applicable",H1899="Fail"),"Fail",IF(R1899&lt;&gt;"Valid","Pending",IF(OR(I1899="",K1899="",L1899="",K1899=L1899,NOT(ISNUMBER(M1899)),NOT(ISNUMBER(N1899)),M1899&gt;Settings!$F$8,N1899&lt;Settings!$F$8,N1899&lt;M1899),"Pending",IF(AND(G1899="Applicable",H1899="Pass"),"Pass",IF(AND(G1899="N/A",H1899="N/A",J1899&lt;&gt;"",OR(E1899="CEM-FUELS",E1899="CEM-CCS",AND(E1899="CEM-PLAN",IFERROR(INDEX('Taxonomy'!$M$9:$M$108,MATCH(D1899,'Taxonomy'!$C$9:$C$108,0)),"")&lt;&gt;"Amber"),E1899="BLD-TIMBER",AND(U1899="Building equipment",OR(E1899="BLD-WATER",E1899="BLD-WASTE",E1899="BLD-LAND")),AND(U1899="Building renovation",E1899="BLD-LAND"))),"N/A","Pending"))))))</x:f>
      </x:c>
      <x:c r="Q1899" s="3" t="str">
        <x:f>IF(C1899="","",IF(AND(R1899="Valid",OR(P1899="Pass",P1899="N/A")),"Complete","Unresolved"))</x:f>
      </x:c>
      <x:c r="R1899" s="9" t="str">
        <x:f>IF(C1899="","",IF(OR(COUNTIF($C$9:$C$2008,C1899)&lt;&gt;1,COUNTIFS($D$9:$D$2008,D1899,$E$9:$E$2008,E1899)&lt;&gt;1),"Duplicate test",IF(COUNTIF('Taxonomy'!$C$9:$C$108,D1899)&lt;&gt;1,"Assessment key",IF(OR(COUNTIF('Taxonomy Rules'!$C$42:$C$68,E1899)&lt;&gt;1,F1899&lt;&gt;IFERROR(INDEX('Taxonomy Rules'!$D$42:$D$68,MATCH(E1899,'Taxonomy Rules'!$C$42:$C$68,0)),""),NOT(OR(IFERROR(INDEX('Taxonomy Rules'!$G$42:$G$68,MATCH(E1899,'Taxonomy Rules'!$C$42:$C$68,0)),"")="All supported routes",IFERROR(INDEX('Taxonomy Rules'!$G$42:$G$68,MATCH(E1899,'Taxonomy Rules'!$C$42:$C$68,0)),"")=U1899,AND(IFERROR(INDEX('Taxonomy Rules'!$G$42:$G$68,MATCH(E1899,'Taxonomy Rules'!$C$42:$C$68,0)),"")="Building routes",OR(U1899="Building renovation",U1899="New building",U1899="Building equipment"))))),"Unexpected test","Valid"))))</x:f>
      </x:c>
      <x:c r="S1899" s="9" t="str">
        <x:f>IF(C1899="","",IFERROR(INDEX('Taxonomy Rules'!$E$42:$E$68,MATCH(E1899,'Taxonomy Rules'!$C$42:$C$68,0)),""))</x:f>
      </x:c>
      <x:c r="T1899" s="9" t="str">
        <x:f>IF(C1899="","",IFERROR(INDEX('Taxonomy Rules'!$F$42:$F$68,MATCH(E1899,'Taxonomy Rules'!$C$42:$C$68,0)),""))</x:f>
      </x:c>
      <x:c r="U1899" s="9" t="str">
        <x:f>IF(C1899="","",IFERROR(INDEX('Taxonomy'!$G$9:$G$108,MATCH(D1899,'Taxonomy'!$C$9:$C$108,0)),""))</x:f>
      </x:c>
    </x:row>
    <x:row r="1900" ht="44" customHeight="1">
      <x:c r="A1900" s="1"/>
      <x:c r="B1900" s="1"/>
      <x:c r="C1900" s="8"/>
      <x:c r="D1900" s="8"/>
      <x:c r="E1900" s="8"/>
      <x:c r="F1900" s="8"/>
      <x:c r="G1900" s="8"/>
      <x:c r="H1900" s="8"/>
      <x:c r="I1900" s="8"/>
      <x:c r="J1900" s="8"/>
      <x:c r="K1900" s="8"/>
      <x:c r="L1900" s="8"/>
      <x:c r="M1900" s="10"/>
      <x:c r="N1900" s="10"/>
      <x:c r="O1900" s="8"/>
      <x:c r="P1900" s="9" t="str">
        <x:f>IF(C1900="","",IF(AND(G1900="Applicable",H1900="Fail"),"Fail",IF(R1900&lt;&gt;"Valid","Pending",IF(OR(I1900="",K1900="",L1900="",K1900=L1900,NOT(ISNUMBER(M1900)),NOT(ISNUMBER(N1900)),M1900&gt;Settings!$F$8,N1900&lt;Settings!$F$8,N1900&lt;M1900),"Pending",IF(AND(G1900="Applicable",H1900="Pass"),"Pass",IF(AND(G1900="N/A",H1900="N/A",J1900&lt;&gt;"",OR(E1900="CEM-FUELS",E1900="CEM-CCS",AND(E1900="CEM-PLAN",IFERROR(INDEX('Taxonomy'!$M$9:$M$108,MATCH(D1900,'Taxonomy'!$C$9:$C$108,0)),"")&lt;&gt;"Amber"),E1900="BLD-TIMBER",AND(U1900="Building equipment",OR(E1900="BLD-WATER",E1900="BLD-WASTE",E1900="BLD-LAND")),AND(U1900="Building renovation",E1900="BLD-LAND"))),"N/A","Pending"))))))</x:f>
      </x:c>
      <x:c r="Q1900" s="3" t="str">
        <x:f>IF(C1900="","",IF(AND(R1900="Valid",OR(P1900="Pass",P1900="N/A")),"Complete","Unresolved"))</x:f>
      </x:c>
      <x:c r="R1900" s="9" t="str">
        <x:f>IF(C1900="","",IF(OR(COUNTIF($C$9:$C$2008,C1900)&lt;&gt;1,COUNTIFS($D$9:$D$2008,D1900,$E$9:$E$2008,E1900)&lt;&gt;1),"Duplicate test",IF(COUNTIF('Taxonomy'!$C$9:$C$108,D1900)&lt;&gt;1,"Assessment key",IF(OR(COUNTIF('Taxonomy Rules'!$C$42:$C$68,E1900)&lt;&gt;1,F1900&lt;&gt;IFERROR(INDEX('Taxonomy Rules'!$D$42:$D$68,MATCH(E1900,'Taxonomy Rules'!$C$42:$C$68,0)),""),NOT(OR(IFERROR(INDEX('Taxonomy Rules'!$G$42:$G$68,MATCH(E1900,'Taxonomy Rules'!$C$42:$C$68,0)),"")="All supported routes",IFERROR(INDEX('Taxonomy Rules'!$G$42:$G$68,MATCH(E1900,'Taxonomy Rules'!$C$42:$C$68,0)),"")=U1900,AND(IFERROR(INDEX('Taxonomy Rules'!$G$42:$G$68,MATCH(E1900,'Taxonomy Rules'!$C$42:$C$68,0)),"")="Building routes",OR(U1900="Building renovation",U1900="New building",U1900="Building equipment"))))),"Unexpected test","Valid"))))</x:f>
      </x:c>
      <x:c r="S1900" s="9" t="str">
        <x:f>IF(C1900="","",IFERROR(INDEX('Taxonomy Rules'!$E$42:$E$68,MATCH(E1900,'Taxonomy Rules'!$C$42:$C$68,0)),""))</x:f>
      </x:c>
      <x:c r="T1900" s="9" t="str">
        <x:f>IF(C1900="","",IFERROR(INDEX('Taxonomy Rules'!$F$42:$F$68,MATCH(E1900,'Taxonomy Rules'!$C$42:$C$68,0)),""))</x:f>
      </x:c>
      <x:c r="U1900" s="9" t="str">
        <x:f>IF(C1900="","",IFERROR(INDEX('Taxonomy'!$G$9:$G$108,MATCH(D1900,'Taxonomy'!$C$9:$C$108,0)),""))</x:f>
      </x:c>
    </x:row>
    <x:row r="1901" ht="44" customHeight="1">
      <x:c r="A1901" s="1"/>
      <x:c r="B1901" s="1"/>
      <x:c r="C1901" s="8"/>
      <x:c r="D1901" s="8"/>
      <x:c r="E1901" s="8"/>
      <x:c r="F1901" s="8"/>
      <x:c r="G1901" s="8"/>
      <x:c r="H1901" s="8"/>
      <x:c r="I1901" s="8"/>
      <x:c r="J1901" s="8"/>
      <x:c r="K1901" s="8"/>
      <x:c r="L1901" s="8"/>
      <x:c r="M1901" s="10"/>
      <x:c r="N1901" s="10"/>
      <x:c r="O1901" s="8"/>
      <x:c r="P1901" s="9" t="str">
        <x:f>IF(C1901="","",IF(AND(G1901="Applicable",H1901="Fail"),"Fail",IF(R1901&lt;&gt;"Valid","Pending",IF(OR(I1901="",K1901="",L1901="",K1901=L1901,NOT(ISNUMBER(M1901)),NOT(ISNUMBER(N1901)),M1901&gt;Settings!$F$8,N1901&lt;Settings!$F$8,N1901&lt;M1901),"Pending",IF(AND(G1901="Applicable",H1901="Pass"),"Pass",IF(AND(G1901="N/A",H1901="N/A",J1901&lt;&gt;"",OR(E1901="CEM-FUELS",E1901="CEM-CCS",AND(E1901="CEM-PLAN",IFERROR(INDEX('Taxonomy'!$M$9:$M$108,MATCH(D1901,'Taxonomy'!$C$9:$C$108,0)),"")&lt;&gt;"Amber"),E1901="BLD-TIMBER",AND(U1901="Building equipment",OR(E1901="BLD-WATER",E1901="BLD-WASTE",E1901="BLD-LAND")),AND(U1901="Building renovation",E1901="BLD-LAND"))),"N/A","Pending"))))))</x:f>
      </x:c>
      <x:c r="Q1901" s="3" t="str">
        <x:f>IF(C1901="","",IF(AND(R1901="Valid",OR(P1901="Pass",P1901="N/A")),"Complete","Unresolved"))</x:f>
      </x:c>
      <x:c r="R1901" s="9" t="str">
        <x:f>IF(C1901="","",IF(OR(COUNTIF($C$9:$C$2008,C1901)&lt;&gt;1,COUNTIFS($D$9:$D$2008,D1901,$E$9:$E$2008,E1901)&lt;&gt;1),"Duplicate test",IF(COUNTIF('Taxonomy'!$C$9:$C$108,D1901)&lt;&gt;1,"Assessment key",IF(OR(COUNTIF('Taxonomy Rules'!$C$42:$C$68,E1901)&lt;&gt;1,F1901&lt;&gt;IFERROR(INDEX('Taxonomy Rules'!$D$42:$D$68,MATCH(E1901,'Taxonomy Rules'!$C$42:$C$68,0)),""),NOT(OR(IFERROR(INDEX('Taxonomy Rules'!$G$42:$G$68,MATCH(E1901,'Taxonomy Rules'!$C$42:$C$68,0)),"")="All supported routes",IFERROR(INDEX('Taxonomy Rules'!$G$42:$G$68,MATCH(E1901,'Taxonomy Rules'!$C$42:$C$68,0)),"")=U1901,AND(IFERROR(INDEX('Taxonomy Rules'!$G$42:$G$68,MATCH(E1901,'Taxonomy Rules'!$C$42:$C$68,0)),"")="Building routes",OR(U1901="Building renovation",U1901="New building",U1901="Building equipment"))))),"Unexpected test","Valid"))))</x:f>
      </x:c>
      <x:c r="S1901" s="9" t="str">
        <x:f>IF(C1901="","",IFERROR(INDEX('Taxonomy Rules'!$E$42:$E$68,MATCH(E1901,'Taxonomy Rules'!$C$42:$C$68,0)),""))</x:f>
      </x:c>
      <x:c r="T1901" s="9" t="str">
        <x:f>IF(C1901="","",IFERROR(INDEX('Taxonomy Rules'!$F$42:$F$68,MATCH(E1901,'Taxonomy Rules'!$C$42:$C$68,0)),""))</x:f>
      </x:c>
      <x:c r="U1901" s="9" t="str">
        <x:f>IF(C1901="","",IFERROR(INDEX('Taxonomy'!$G$9:$G$108,MATCH(D1901,'Taxonomy'!$C$9:$C$108,0)),""))</x:f>
      </x:c>
    </x:row>
    <x:row r="1902" ht="44" customHeight="1">
      <x:c r="A1902" s="1"/>
      <x:c r="B1902" s="1"/>
      <x:c r="C1902" s="8"/>
      <x:c r="D1902" s="8"/>
      <x:c r="E1902" s="8"/>
      <x:c r="F1902" s="8"/>
      <x:c r="G1902" s="8"/>
      <x:c r="H1902" s="8"/>
      <x:c r="I1902" s="8"/>
      <x:c r="J1902" s="8"/>
      <x:c r="K1902" s="8"/>
      <x:c r="L1902" s="8"/>
      <x:c r="M1902" s="10"/>
      <x:c r="N1902" s="10"/>
      <x:c r="O1902" s="8"/>
      <x:c r="P1902" s="9" t="str">
        <x:f>IF(C1902="","",IF(AND(G1902="Applicable",H1902="Fail"),"Fail",IF(R1902&lt;&gt;"Valid","Pending",IF(OR(I1902="",K1902="",L1902="",K1902=L1902,NOT(ISNUMBER(M1902)),NOT(ISNUMBER(N1902)),M1902&gt;Settings!$F$8,N1902&lt;Settings!$F$8,N1902&lt;M1902),"Pending",IF(AND(G1902="Applicable",H1902="Pass"),"Pass",IF(AND(G1902="N/A",H1902="N/A",J1902&lt;&gt;"",OR(E1902="CEM-FUELS",E1902="CEM-CCS",AND(E1902="CEM-PLAN",IFERROR(INDEX('Taxonomy'!$M$9:$M$108,MATCH(D1902,'Taxonomy'!$C$9:$C$108,0)),"")&lt;&gt;"Amber"),E1902="BLD-TIMBER",AND(U1902="Building equipment",OR(E1902="BLD-WATER",E1902="BLD-WASTE",E1902="BLD-LAND")),AND(U1902="Building renovation",E1902="BLD-LAND"))),"N/A","Pending"))))))</x:f>
      </x:c>
      <x:c r="Q1902" s="3" t="str">
        <x:f>IF(C1902="","",IF(AND(R1902="Valid",OR(P1902="Pass",P1902="N/A")),"Complete","Unresolved"))</x:f>
      </x:c>
      <x:c r="R1902" s="9" t="str">
        <x:f>IF(C1902="","",IF(OR(COUNTIF($C$9:$C$2008,C1902)&lt;&gt;1,COUNTIFS($D$9:$D$2008,D1902,$E$9:$E$2008,E1902)&lt;&gt;1),"Duplicate test",IF(COUNTIF('Taxonomy'!$C$9:$C$108,D1902)&lt;&gt;1,"Assessment key",IF(OR(COUNTIF('Taxonomy Rules'!$C$42:$C$68,E1902)&lt;&gt;1,F1902&lt;&gt;IFERROR(INDEX('Taxonomy Rules'!$D$42:$D$68,MATCH(E1902,'Taxonomy Rules'!$C$42:$C$68,0)),""),NOT(OR(IFERROR(INDEX('Taxonomy Rules'!$G$42:$G$68,MATCH(E1902,'Taxonomy Rules'!$C$42:$C$68,0)),"")="All supported routes",IFERROR(INDEX('Taxonomy Rules'!$G$42:$G$68,MATCH(E1902,'Taxonomy Rules'!$C$42:$C$68,0)),"")=U1902,AND(IFERROR(INDEX('Taxonomy Rules'!$G$42:$G$68,MATCH(E1902,'Taxonomy Rules'!$C$42:$C$68,0)),"")="Building routes",OR(U1902="Building renovation",U1902="New building",U1902="Building equipment"))))),"Unexpected test","Valid"))))</x:f>
      </x:c>
      <x:c r="S1902" s="9" t="str">
        <x:f>IF(C1902="","",IFERROR(INDEX('Taxonomy Rules'!$E$42:$E$68,MATCH(E1902,'Taxonomy Rules'!$C$42:$C$68,0)),""))</x:f>
      </x:c>
      <x:c r="T1902" s="9" t="str">
        <x:f>IF(C1902="","",IFERROR(INDEX('Taxonomy Rules'!$F$42:$F$68,MATCH(E1902,'Taxonomy Rules'!$C$42:$C$68,0)),""))</x:f>
      </x:c>
      <x:c r="U1902" s="9" t="str">
        <x:f>IF(C1902="","",IFERROR(INDEX('Taxonomy'!$G$9:$G$108,MATCH(D1902,'Taxonomy'!$C$9:$C$108,0)),""))</x:f>
      </x:c>
    </x:row>
    <x:row r="1903" ht="44" customHeight="1">
      <x:c r="A1903" s="1"/>
      <x:c r="B1903" s="1"/>
      <x:c r="C1903" s="8"/>
      <x:c r="D1903" s="8"/>
      <x:c r="E1903" s="8"/>
      <x:c r="F1903" s="8"/>
      <x:c r="G1903" s="8"/>
      <x:c r="H1903" s="8"/>
      <x:c r="I1903" s="8"/>
      <x:c r="J1903" s="8"/>
      <x:c r="K1903" s="8"/>
      <x:c r="L1903" s="8"/>
      <x:c r="M1903" s="10"/>
      <x:c r="N1903" s="10"/>
      <x:c r="O1903" s="8"/>
      <x:c r="P1903" s="9" t="str">
        <x:f>IF(C1903="","",IF(AND(G1903="Applicable",H1903="Fail"),"Fail",IF(R1903&lt;&gt;"Valid","Pending",IF(OR(I1903="",K1903="",L1903="",K1903=L1903,NOT(ISNUMBER(M1903)),NOT(ISNUMBER(N1903)),M1903&gt;Settings!$F$8,N1903&lt;Settings!$F$8,N1903&lt;M1903),"Pending",IF(AND(G1903="Applicable",H1903="Pass"),"Pass",IF(AND(G1903="N/A",H1903="N/A",J1903&lt;&gt;"",OR(E1903="CEM-FUELS",E1903="CEM-CCS",AND(E1903="CEM-PLAN",IFERROR(INDEX('Taxonomy'!$M$9:$M$108,MATCH(D1903,'Taxonomy'!$C$9:$C$108,0)),"")&lt;&gt;"Amber"),E1903="BLD-TIMBER",AND(U1903="Building equipment",OR(E1903="BLD-WATER",E1903="BLD-WASTE",E1903="BLD-LAND")),AND(U1903="Building renovation",E1903="BLD-LAND"))),"N/A","Pending"))))))</x:f>
      </x:c>
      <x:c r="Q1903" s="3" t="str">
        <x:f>IF(C1903="","",IF(AND(R1903="Valid",OR(P1903="Pass",P1903="N/A")),"Complete","Unresolved"))</x:f>
      </x:c>
      <x:c r="R1903" s="9" t="str">
        <x:f>IF(C1903="","",IF(OR(COUNTIF($C$9:$C$2008,C1903)&lt;&gt;1,COUNTIFS($D$9:$D$2008,D1903,$E$9:$E$2008,E1903)&lt;&gt;1),"Duplicate test",IF(COUNTIF('Taxonomy'!$C$9:$C$108,D1903)&lt;&gt;1,"Assessment key",IF(OR(COUNTIF('Taxonomy Rules'!$C$42:$C$68,E1903)&lt;&gt;1,F1903&lt;&gt;IFERROR(INDEX('Taxonomy Rules'!$D$42:$D$68,MATCH(E1903,'Taxonomy Rules'!$C$42:$C$68,0)),""),NOT(OR(IFERROR(INDEX('Taxonomy Rules'!$G$42:$G$68,MATCH(E1903,'Taxonomy Rules'!$C$42:$C$68,0)),"")="All supported routes",IFERROR(INDEX('Taxonomy Rules'!$G$42:$G$68,MATCH(E1903,'Taxonomy Rules'!$C$42:$C$68,0)),"")=U1903,AND(IFERROR(INDEX('Taxonomy Rules'!$G$42:$G$68,MATCH(E1903,'Taxonomy Rules'!$C$42:$C$68,0)),"")="Building routes",OR(U1903="Building renovation",U1903="New building",U1903="Building equipment"))))),"Unexpected test","Valid"))))</x:f>
      </x:c>
      <x:c r="S1903" s="9" t="str">
        <x:f>IF(C1903="","",IFERROR(INDEX('Taxonomy Rules'!$E$42:$E$68,MATCH(E1903,'Taxonomy Rules'!$C$42:$C$68,0)),""))</x:f>
      </x:c>
      <x:c r="T1903" s="9" t="str">
        <x:f>IF(C1903="","",IFERROR(INDEX('Taxonomy Rules'!$F$42:$F$68,MATCH(E1903,'Taxonomy Rules'!$C$42:$C$68,0)),""))</x:f>
      </x:c>
      <x:c r="U1903" s="9" t="str">
        <x:f>IF(C1903="","",IFERROR(INDEX('Taxonomy'!$G$9:$G$108,MATCH(D1903,'Taxonomy'!$C$9:$C$108,0)),""))</x:f>
      </x:c>
    </x:row>
    <x:row r="1904" ht="44" customHeight="1">
      <x:c r="A1904" s="1"/>
      <x:c r="B1904" s="1"/>
      <x:c r="C1904" s="8"/>
      <x:c r="D1904" s="8"/>
      <x:c r="E1904" s="8"/>
      <x:c r="F1904" s="8"/>
      <x:c r="G1904" s="8"/>
      <x:c r="H1904" s="8"/>
      <x:c r="I1904" s="8"/>
      <x:c r="J1904" s="8"/>
      <x:c r="K1904" s="8"/>
      <x:c r="L1904" s="8"/>
      <x:c r="M1904" s="10"/>
      <x:c r="N1904" s="10"/>
      <x:c r="O1904" s="8"/>
      <x:c r="P1904" s="9" t="str">
        <x:f>IF(C1904="","",IF(AND(G1904="Applicable",H1904="Fail"),"Fail",IF(R1904&lt;&gt;"Valid","Pending",IF(OR(I1904="",K1904="",L1904="",K1904=L1904,NOT(ISNUMBER(M1904)),NOT(ISNUMBER(N1904)),M1904&gt;Settings!$F$8,N1904&lt;Settings!$F$8,N1904&lt;M1904),"Pending",IF(AND(G1904="Applicable",H1904="Pass"),"Pass",IF(AND(G1904="N/A",H1904="N/A",J1904&lt;&gt;"",OR(E1904="CEM-FUELS",E1904="CEM-CCS",AND(E1904="CEM-PLAN",IFERROR(INDEX('Taxonomy'!$M$9:$M$108,MATCH(D1904,'Taxonomy'!$C$9:$C$108,0)),"")&lt;&gt;"Amber"),E1904="BLD-TIMBER",AND(U1904="Building equipment",OR(E1904="BLD-WATER",E1904="BLD-WASTE",E1904="BLD-LAND")),AND(U1904="Building renovation",E1904="BLD-LAND"))),"N/A","Pending"))))))</x:f>
      </x:c>
      <x:c r="Q1904" s="3" t="str">
        <x:f>IF(C1904="","",IF(AND(R1904="Valid",OR(P1904="Pass",P1904="N/A")),"Complete","Unresolved"))</x:f>
      </x:c>
      <x:c r="R1904" s="9" t="str">
        <x:f>IF(C1904="","",IF(OR(COUNTIF($C$9:$C$2008,C1904)&lt;&gt;1,COUNTIFS($D$9:$D$2008,D1904,$E$9:$E$2008,E1904)&lt;&gt;1),"Duplicate test",IF(COUNTIF('Taxonomy'!$C$9:$C$108,D1904)&lt;&gt;1,"Assessment key",IF(OR(COUNTIF('Taxonomy Rules'!$C$42:$C$68,E1904)&lt;&gt;1,F1904&lt;&gt;IFERROR(INDEX('Taxonomy Rules'!$D$42:$D$68,MATCH(E1904,'Taxonomy Rules'!$C$42:$C$68,0)),""),NOT(OR(IFERROR(INDEX('Taxonomy Rules'!$G$42:$G$68,MATCH(E1904,'Taxonomy Rules'!$C$42:$C$68,0)),"")="All supported routes",IFERROR(INDEX('Taxonomy Rules'!$G$42:$G$68,MATCH(E1904,'Taxonomy Rules'!$C$42:$C$68,0)),"")=U1904,AND(IFERROR(INDEX('Taxonomy Rules'!$G$42:$G$68,MATCH(E1904,'Taxonomy Rules'!$C$42:$C$68,0)),"")="Building routes",OR(U1904="Building renovation",U1904="New building",U1904="Building equipment"))))),"Unexpected test","Valid"))))</x:f>
      </x:c>
      <x:c r="S1904" s="9" t="str">
        <x:f>IF(C1904="","",IFERROR(INDEX('Taxonomy Rules'!$E$42:$E$68,MATCH(E1904,'Taxonomy Rules'!$C$42:$C$68,0)),""))</x:f>
      </x:c>
      <x:c r="T1904" s="9" t="str">
        <x:f>IF(C1904="","",IFERROR(INDEX('Taxonomy Rules'!$F$42:$F$68,MATCH(E1904,'Taxonomy Rules'!$C$42:$C$68,0)),""))</x:f>
      </x:c>
      <x:c r="U1904" s="9" t="str">
        <x:f>IF(C1904="","",IFERROR(INDEX('Taxonomy'!$G$9:$G$108,MATCH(D1904,'Taxonomy'!$C$9:$C$108,0)),""))</x:f>
      </x:c>
    </x:row>
    <x:row r="1905" ht="44" customHeight="1">
      <x:c r="A1905" s="1"/>
      <x:c r="B1905" s="1"/>
      <x:c r="C1905" s="8"/>
      <x:c r="D1905" s="8"/>
      <x:c r="E1905" s="8"/>
      <x:c r="F1905" s="8"/>
      <x:c r="G1905" s="8"/>
      <x:c r="H1905" s="8"/>
      <x:c r="I1905" s="8"/>
      <x:c r="J1905" s="8"/>
      <x:c r="K1905" s="8"/>
      <x:c r="L1905" s="8"/>
      <x:c r="M1905" s="10"/>
      <x:c r="N1905" s="10"/>
      <x:c r="O1905" s="8"/>
      <x:c r="P1905" s="9" t="str">
        <x:f>IF(C1905="","",IF(AND(G1905="Applicable",H1905="Fail"),"Fail",IF(R1905&lt;&gt;"Valid","Pending",IF(OR(I1905="",K1905="",L1905="",K1905=L1905,NOT(ISNUMBER(M1905)),NOT(ISNUMBER(N1905)),M1905&gt;Settings!$F$8,N1905&lt;Settings!$F$8,N1905&lt;M1905),"Pending",IF(AND(G1905="Applicable",H1905="Pass"),"Pass",IF(AND(G1905="N/A",H1905="N/A",J1905&lt;&gt;"",OR(E1905="CEM-FUELS",E1905="CEM-CCS",AND(E1905="CEM-PLAN",IFERROR(INDEX('Taxonomy'!$M$9:$M$108,MATCH(D1905,'Taxonomy'!$C$9:$C$108,0)),"")&lt;&gt;"Amber"),E1905="BLD-TIMBER",AND(U1905="Building equipment",OR(E1905="BLD-WATER",E1905="BLD-WASTE",E1905="BLD-LAND")),AND(U1905="Building renovation",E1905="BLD-LAND"))),"N/A","Pending"))))))</x:f>
      </x:c>
      <x:c r="Q1905" s="3" t="str">
        <x:f>IF(C1905="","",IF(AND(R1905="Valid",OR(P1905="Pass",P1905="N/A")),"Complete","Unresolved"))</x:f>
      </x:c>
      <x:c r="R1905" s="9" t="str">
        <x:f>IF(C1905="","",IF(OR(COUNTIF($C$9:$C$2008,C1905)&lt;&gt;1,COUNTIFS($D$9:$D$2008,D1905,$E$9:$E$2008,E1905)&lt;&gt;1),"Duplicate test",IF(COUNTIF('Taxonomy'!$C$9:$C$108,D1905)&lt;&gt;1,"Assessment key",IF(OR(COUNTIF('Taxonomy Rules'!$C$42:$C$68,E1905)&lt;&gt;1,F1905&lt;&gt;IFERROR(INDEX('Taxonomy Rules'!$D$42:$D$68,MATCH(E1905,'Taxonomy Rules'!$C$42:$C$68,0)),""),NOT(OR(IFERROR(INDEX('Taxonomy Rules'!$G$42:$G$68,MATCH(E1905,'Taxonomy Rules'!$C$42:$C$68,0)),"")="All supported routes",IFERROR(INDEX('Taxonomy Rules'!$G$42:$G$68,MATCH(E1905,'Taxonomy Rules'!$C$42:$C$68,0)),"")=U1905,AND(IFERROR(INDEX('Taxonomy Rules'!$G$42:$G$68,MATCH(E1905,'Taxonomy Rules'!$C$42:$C$68,0)),"")="Building routes",OR(U1905="Building renovation",U1905="New building",U1905="Building equipment"))))),"Unexpected test","Valid"))))</x:f>
      </x:c>
      <x:c r="S1905" s="9" t="str">
        <x:f>IF(C1905="","",IFERROR(INDEX('Taxonomy Rules'!$E$42:$E$68,MATCH(E1905,'Taxonomy Rules'!$C$42:$C$68,0)),""))</x:f>
      </x:c>
      <x:c r="T1905" s="9" t="str">
        <x:f>IF(C1905="","",IFERROR(INDEX('Taxonomy Rules'!$F$42:$F$68,MATCH(E1905,'Taxonomy Rules'!$C$42:$C$68,0)),""))</x:f>
      </x:c>
      <x:c r="U1905" s="9" t="str">
        <x:f>IF(C1905="","",IFERROR(INDEX('Taxonomy'!$G$9:$G$108,MATCH(D1905,'Taxonomy'!$C$9:$C$108,0)),""))</x:f>
      </x:c>
    </x:row>
    <x:row r="1906" ht="44" customHeight="1">
      <x:c r="A1906" s="1"/>
      <x:c r="B1906" s="1"/>
      <x:c r="C1906" s="8"/>
      <x:c r="D1906" s="8"/>
      <x:c r="E1906" s="8"/>
      <x:c r="F1906" s="8"/>
      <x:c r="G1906" s="8"/>
      <x:c r="H1906" s="8"/>
      <x:c r="I1906" s="8"/>
      <x:c r="J1906" s="8"/>
      <x:c r="K1906" s="8"/>
      <x:c r="L1906" s="8"/>
      <x:c r="M1906" s="10"/>
      <x:c r="N1906" s="10"/>
      <x:c r="O1906" s="8"/>
      <x:c r="P1906" s="9" t="str">
        <x:f>IF(C1906="","",IF(AND(G1906="Applicable",H1906="Fail"),"Fail",IF(R1906&lt;&gt;"Valid","Pending",IF(OR(I1906="",K1906="",L1906="",K1906=L1906,NOT(ISNUMBER(M1906)),NOT(ISNUMBER(N1906)),M1906&gt;Settings!$F$8,N1906&lt;Settings!$F$8,N1906&lt;M1906),"Pending",IF(AND(G1906="Applicable",H1906="Pass"),"Pass",IF(AND(G1906="N/A",H1906="N/A",J1906&lt;&gt;"",OR(E1906="CEM-FUELS",E1906="CEM-CCS",AND(E1906="CEM-PLAN",IFERROR(INDEX('Taxonomy'!$M$9:$M$108,MATCH(D1906,'Taxonomy'!$C$9:$C$108,0)),"")&lt;&gt;"Amber"),E1906="BLD-TIMBER",AND(U1906="Building equipment",OR(E1906="BLD-WATER",E1906="BLD-WASTE",E1906="BLD-LAND")),AND(U1906="Building renovation",E1906="BLD-LAND"))),"N/A","Pending"))))))</x:f>
      </x:c>
      <x:c r="Q1906" s="3" t="str">
        <x:f>IF(C1906="","",IF(AND(R1906="Valid",OR(P1906="Pass",P1906="N/A")),"Complete","Unresolved"))</x:f>
      </x:c>
      <x:c r="R1906" s="9" t="str">
        <x:f>IF(C1906="","",IF(OR(COUNTIF($C$9:$C$2008,C1906)&lt;&gt;1,COUNTIFS($D$9:$D$2008,D1906,$E$9:$E$2008,E1906)&lt;&gt;1),"Duplicate test",IF(COUNTIF('Taxonomy'!$C$9:$C$108,D1906)&lt;&gt;1,"Assessment key",IF(OR(COUNTIF('Taxonomy Rules'!$C$42:$C$68,E1906)&lt;&gt;1,F1906&lt;&gt;IFERROR(INDEX('Taxonomy Rules'!$D$42:$D$68,MATCH(E1906,'Taxonomy Rules'!$C$42:$C$68,0)),""),NOT(OR(IFERROR(INDEX('Taxonomy Rules'!$G$42:$G$68,MATCH(E1906,'Taxonomy Rules'!$C$42:$C$68,0)),"")="All supported routes",IFERROR(INDEX('Taxonomy Rules'!$G$42:$G$68,MATCH(E1906,'Taxonomy Rules'!$C$42:$C$68,0)),"")=U1906,AND(IFERROR(INDEX('Taxonomy Rules'!$G$42:$G$68,MATCH(E1906,'Taxonomy Rules'!$C$42:$C$68,0)),"")="Building routes",OR(U1906="Building renovation",U1906="New building",U1906="Building equipment"))))),"Unexpected test","Valid"))))</x:f>
      </x:c>
      <x:c r="S1906" s="9" t="str">
        <x:f>IF(C1906="","",IFERROR(INDEX('Taxonomy Rules'!$E$42:$E$68,MATCH(E1906,'Taxonomy Rules'!$C$42:$C$68,0)),""))</x:f>
      </x:c>
      <x:c r="T1906" s="9" t="str">
        <x:f>IF(C1906="","",IFERROR(INDEX('Taxonomy Rules'!$F$42:$F$68,MATCH(E1906,'Taxonomy Rules'!$C$42:$C$68,0)),""))</x:f>
      </x:c>
      <x:c r="U1906" s="9" t="str">
        <x:f>IF(C1906="","",IFERROR(INDEX('Taxonomy'!$G$9:$G$108,MATCH(D1906,'Taxonomy'!$C$9:$C$108,0)),""))</x:f>
      </x:c>
    </x:row>
    <x:row r="1907" ht="44" customHeight="1">
      <x:c r="A1907" s="1"/>
      <x:c r="B1907" s="1"/>
      <x:c r="C1907" s="8"/>
      <x:c r="D1907" s="8"/>
      <x:c r="E1907" s="8"/>
      <x:c r="F1907" s="8"/>
      <x:c r="G1907" s="8"/>
      <x:c r="H1907" s="8"/>
      <x:c r="I1907" s="8"/>
      <x:c r="J1907" s="8"/>
      <x:c r="K1907" s="8"/>
      <x:c r="L1907" s="8"/>
      <x:c r="M1907" s="10"/>
      <x:c r="N1907" s="10"/>
      <x:c r="O1907" s="8"/>
      <x:c r="P1907" s="9" t="str">
        <x:f>IF(C1907="","",IF(AND(G1907="Applicable",H1907="Fail"),"Fail",IF(R1907&lt;&gt;"Valid","Pending",IF(OR(I1907="",K1907="",L1907="",K1907=L1907,NOT(ISNUMBER(M1907)),NOT(ISNUMBER(N1907)),M1907&gt;Settings!$F$8,N1907&lt;Settings!$F$8,N1907&lt;M1907),"Pending",IF(AND(G1907="Applicable",H1907="Pass"),"Pass",IF(AND(G1907="N/A",H1907="N/A",J1907&lt;&gt;"",OR(E1907="CEM-FUELS",E1907="CEM-CCS",AND(E1907="CEM-PLAN",IFERROR(INDEX('Taxonomy'!$M$9:$M$108,MATCH(D1907,'Taxonomy'!$C$9:$C$108,0)),"")&lt;&gt;"Amber"),E1907="BLD-TIMBER",AND(U1907="Building equipment",OR(E1907="BLD-WATER",E1907="BLD-WASTE",E1907="BLD-LAND")),AND(U1907="Building renovation",E1907="BLD-LAND"))),"N/A","Pending"))))))</x:f>
      </x:c>
      <x:c r="Q1907" s="3" t="str">
        <x:f>IF(C1907="","",IF(AND(R1907="Valid",OR(P1907="Pass",P1907="N/A")),"Complete","Unresolved"))</x:f>
      </x:c>
      <x:c r="R1907" s="9" t="str">
        <x:f>IF(C1907="","",IF(OR(COUNTIF($C$9:$C$2008,C1907)&lt;&gt;1,COUNTIFS($D$9:$D$2008,D1907,$E$9:$E$2008,E1907)&lt;&gt;1),"Duplicate test",IF(COUNTIF('Taxonomy'!$C$9:$C$108,D1907)&lt;&gt;1,"Assessment key",IF(OR(COUNTIF('Taxonomy Rules'!$C$42:$C$68,E1907)&lt;&gt;1,F1907&lt;&gt;IFERROR(INDEX('Taxonomy Rules'!$D$42:$D$68,MATCH(E1907,'Taxonomy Rules'!$C$42:$C$68,0)),""),NOT(OR(IFERROR(INDEX('Taxonomy Rules'!$G$42:$G$68,MATCH(E1907,'Taxonomy Rules'!$C$42:$C$68,0)),"")="All supported routes",IFERROR(INDEX('Taxonomy Rules'!$G$42:$G$68,MATCH(E1907,'Taxonomy Rules'!$C$42:$C$68,0)),"")=U1907,AND(IFERROR(INDEX('Taxonomy Rules'!$G$42:$G$68,MATCH(E1907,'Taxonomy Rules'!$C$42:$C$68,0)),"")="Building routes",OR(U1907="Building renovation",U1907="New building",U1907="Building equipment"))))),"Unexpected test","Valid"))))</x:f>
      </x:c>
      <x:c r="S1907" s="9" t="str">
        <x:f>IF(C1907="","",IFERROR(INDEX('Taxonomy Rules'!$E$42:$E$68,MATCH(E1907,'Taxonomy Rules'!$C$42:$C$68,0)),""))</x:f>
      </x:c>
      <x:c r="T1907" s="9" t="str">
        <x:f>IF(C1907="","",IFERROR(INDEX('Taxonomy Rules'!$F$42:$F$68,MATCH(E1907,'Taxonomy Rules'!$C$42:$C$68,0)),""))</x:f>
      </x:c>
      <x:c r="U1907" s="9" t="str">
        <x:f>IF(C1907="","",IFERROR(INDEX('Taxonomy'!$G$9:$G$108,MATCH(D1907,'Taxonomy'!$C$9:$C$108,0)),""))</x:f>
      </x:c>
    </x:row>
    <x:row r="1908" ht="44" customHeight="1">
      <x:c r="A1908" s="1"/>
      <x:c r="B1908" s="1"/>
      <x:c r="C1908" s="8"/>
      <x:c r="D1908" s="8"/>
      <x:c r="E1908" s="8"/>
      <x:c r="F1908" s="8"/>
      <x:c r="G1908" s="8"/>
      <x:c r="H1908" s="8"/>
      <x:c r="I1908" s="8"/>
      <x:c r="J1908" s="8"/>
      <x:c r="K1908" s="8"/>
      <x:c r="L1908" s="8"/>
      <x:c r="M1908" s="10"/>
      <x:c r="N1908" s="10"/>
      <x:c r="O1908" s="8"/>
      <x:c r="P1908" s="9" t="str">
        <x:f>IF(C1908="","",IF(AND(G1908="Applicable",H1908="Fail"),"Fail",IF(R1908&lt;&gt;"Valid","Pending",IF(OR(I1908="",K1908="",L1908="",K1908=L1908,NOT(ISNUMBER(M1908)),NOT(ISNUMBER(N1908)),M1908&gt;Settings!$F$8,N1908&lt;Settings!$F$8,N1908&lt;M1908),"Pending",IF(AND(G1908="Applicable",H1908="Pass"),"Pass",IF(AND(G1908="N/A",H1908="N/A",J1908&lt;&gt;"",OR(E1908="CEM-FUELS",E1908="CEM-CCS",AND(E1908="CEM-PLAN",IFERROR(INDEX('Taxonomy'!$M$9:$M$108,MATCH(D1908,'Taxonomy'!$C$9:$C$108,0)),"")&lt;&gt;"Amber"),E1908="BLD-TIMBER",AND(U1908="Building equipment",OR(E1908="BLD-WATER",E1908="BLD-WASTE",E1908="BLD-LAND")),AND(U1908="Building renovation",E1908="BLD-LAND"))),"N/A","Pending"))))))</x:f>
      </x:c>
      <x:c r="Q1908" s="3" t="str">
        <x:f>IF(C1908="","",IF(AND(R1908="Valid",OR(P1908="Pass",P1908="N/A")),"Complete","Unresolved"))</x:f>
      </x:c>
      <x:c r="R1908" s="9" t="str">
        <x:f>IF(C1908="","",IF(OR(COUNTIF($C$9:$C$2008,C1908)&lt;&gt;1,COUNTIFS($D$9:$D$2008,D1908,$E$9:$E$2008,E1908)&lt;&gt;1),"Duplicate test",IF(COUNTIF('Taxonomy'!$C$9:$C$108,D1908)&lt;&gt;1,"Assessment key",IF(OR(COUNTIF('Taxonomy Rules'!$C$42:$C$68,E1908)&lt;&gt;1,F1908&lt;&gt;IFERROR(INDEX('Taxonomy Rules'!$D$42:$D$68,MATCH(E1908,'Taxonomy Rules'!$C$42:$C$68,0)),""),NOT(OR(IFERROR(INDEX('Taxonomy Rules'!$G$42:$G$68,MATCH(E1908,'Taxonomy Rules'!$C$42:$C$68,0)),"")="All supported routes",IFERROR(INDEX('Taxonomy Rules'!$G$42:$G$68,MATCH(E1908,'Taxonomy Rules'!$C$42:$C$68,0)),"")=U1908,AND(IFERROR(INDEX('Taxonomy Rules'!$G$42:$G$68,MATCH(E1908,'Taxonomy Rules'!$C$42:$C$68,0)),"")="Building routes",OR(U1908="Building renovation",U1908="New building",U1908="Building equipment"))))),"Unexpected test","Valid"))))</x:f>
      </x:c>
      <x:c r="S1908" s="9" t="str">
        <x:f>IF(C1908="","",IFERROR(INDEX('Taxonomy Rules'!$E$42:$E$68,MATCH(E1908,'Taxonomy Rules'!$C$42:$C$68,0)),""))</x:f>
      </x:c>
      <x:c r="T1908" s="9" t="str">
        <x:f>IF(C1908="","",IFERROR(INDEX('Taxonomy Rules'!$F$42:$F$68,MATCH(E1908,'Taxonomy Rules'!$C$42:$C$68,0)),""))</x:f>
      </x:c>
      <x:c r="U1908" s="9" t="str">
        <x:f>IF(C1908="","",IFERROR(INDEX('Taxonomy'!$G$9:$G$108,MATCH(D1908,'Taxonomy'!$C$9:$C$108,0)),""))</x:f>
      </x:c>
    </x:row>
    <x:row r="1909" ht="44" customHeight="1">
      <x:c r="A1909" s="1"/>
      <x:c r="B1909" s="1"/>
      <x:c r="C1909" s="8"/>
      <x:c r="D1909" s="8"/>
      <x:c r="E1909" s="8"/>
      <x:c r="F1909" s="8"/>
      <x:c r="G1909" s="8"/>
      <x:c r="H1909" s="8"/>
      <x:c r="I1909" s="8"/>
      <x:c r="J1909" s="8"/>
      <x:c r="K1909" s="8"/>
      <x:c r="L1909" s="8"/>
      <x:c r="M1909" s="10"/>
      <x:c r="N1909" s="10"/>
      <x:c r="O1909" s="8"/>
      <x:c r="P1909" s="9" t="str">
        <x:f>IF(C1909="","",IF(AND(G1909="Applicable",H1909="Fail"),"Fail",IF(R1909&lt;&gt;"Valid","Pending",IF(OR(I1909="",K1909="",L1909="",K1909=L1909,NOT(ISNUMBER(M1909)),NOT(ISNUMBER(N1909)),M1909&gt;Settings!$F$8,N1909&lt;Settings!$F$8,N1909&lt;M1909),"Pending",IF(AND(G1909="Applicable",H1909="Pass"),"Pass",IF(AND(G1909="N/A",H1909="N/A",J1909&lt;&gt;"",OR(E1909="CEM-FUELS",E1909="CEM-CCS",AND(E1909="CEM-PLAN",IFERROR(INDEX('Taxonomy'!$M$9:$M$108,MATCH(D1909,'Taxonomy'!$C$9:$C$108,0)),"")&lt;&gt;"Amber"),E1909="BLD-TIMBER",AND(U1909="Building equipment",OR(E1909="BLD-WATER",E1909="BLD-WASTE",E1909="BLD-LAND")),AND(U1909="Building renovation",E1909="BLD-LAND"))),"N/A","Pending"))))))</x:f>
      </x:c>
      <x:c r="Q1909" s="3" t="str">
        <x:f>IF(C1909="","",IF(AND(R1909="Valid",OR(P1909="Pass",P1909="N/A")),"Complete","Unresolved"))</x:f>
      </x:c>
      <x:c r="R1909" s="9" t="str">
        <x:f>IF(C1909="","",IF(OR(COUNTIF($C$9:$C$2008,C1909)&lt;&gt;1,COUNTIFS($D$9:$D$2008,D1909,$E$9:$E$2008,E1909)&lt;&gt;1),"Duplicate test",IF(COUNTIF('Taxonomy'!$C$9:$C$108,D1909)&lt;&gt;1,"Assessment key",IF(OR(COUNTIF('Taxonomy Rules'!$C$42:$C$68,E1909)&lt;&gt;1,F1909&lt;&gt;IFERROR(INDEX('Taxonomy Rules'!$D$42:$D$68,MATCH(E1909,'Taxonomy Rules'!$C$42:$C$68,0)),""),NOT(OR(IFERROR(INDEX('Taxonomy Rules'!$G$42:$G$68,MATCH(E1909,'Taxonomy Rules'!$C$42:$C$68,0)),"")="All supported routes",IFERROR(INDEX('Taxonomy Rules'!$G$42:$G$68,MATCH(E1909,'Taxonomy Rules'!$C$42:$C$68,0)),"")=U1909,AND(IFERROR(INDEX('Taxonomy Rules'!$G$42:$G$68,MATCH(E1909,'Taxonomy Rules'!$C$42:$C$68,0)),"")="Building routes",OR(U1909="Building renovation",U1909="New building",U1909="Building equipment"))))),"Unexpected test","Valid"))))</x:f>
      </x:c>
      <x:c r="S1909" s="9" t="str">
        <x:f>IF(C1909="","",IFERROR(INDEX('Taxonomy Rules'!$E$42:$E$68,MATCH(E1909,'Taxonomy Rules'!$C$42:$C$68,0)),""))</x:f>
      </x:c>
      <x:c r="T1909" s="9" t="str">
        <x:f>IF(C1909="","",IFERROR(INDEX('Taxonomy Rules'!$F$42:$F$68,MATCH(E1909,'Taxonomy Rules'!$C$42:$C$68,0)),""))</x:f>
      </x:c>
      <x:c r="U1909" s="9" t="str">
        <x:f>IF(C1909="","",IFERROR(INDEX('Taxonomy'!$G$9:$G$108,MATCH(D1909,'Taxonomy'!$C$9:$C$108,0)),""))</x:f>
      </x:c>
    </x:row>
    <x:row r="1910" ht="44" customHeight="1">
      <x:c r="A1910" s="1"/>
      <x:c r="B1910" s="1"/>
      <x:c r="C1910" s="8"/>
      <x:c r="D1910" s="8"/>
      <x:c r="E1910" s="8"/>
      <x:c r="F1910" s="8"/>
      <x:c r="G1910" s="8"/>
      <x:c r="H1910" s="8"/>
      <x:c r="I1910" s="8"/>
      <x:c r="J1910" s="8"/>
      <x:c r="K1910" s="8"/>
      <x:c r="L1910" s="8"/>
      <x:c r="M1910" s="10"/>
      <x:c r="N1910" s="10"/>
      <x:c r="O1910" s="8"/>
      <x:c r="P1910" s="9" t="str">
        <x:f>IF(C1910="","",IF(AND(G1910="Applicable",H1910="Fail"),"Fail",IF(R1910&lt;&gt;"Valid","Pending",IF(OR(I1910="",K1910="",L1910="",K1910=L1910,NOT(ISNUMBER(M1910)),NOT(ISNUMBER(N1910)),M1910&gt;Settings!$F$8,N1910&lt;Settings!$F$8,N1910&lt;M1910),"Pending",IF(AND(G1910="Applicable",H1910="Pass"),"Pass",IF(AND(G1910="N/A",H1910="N/A",J1910&lt;&gt;"",OR(E1910="CEM-FUELS",E1910="CEM-CCS",AND(E1910="CEM-PLAN",IFERROR(INDEX('Taxonomy'!$M$9:$M$108,MATCH(D1910,'Taxonomy'!$C$9:$C$108,0)),"")&lt;&gt;"Amber"),E1910="BLD-TIMBER",AND(U1910="Building equipment",OR(E1910="BLD-WATER",E1910="BLD-WASTE",E1910="BLD-LAND")),AND(U1910="Building renovation",E1910="BLD-LAND"))),"N/A","Pending"))))))</x:f>
      </x:c>
      <x:c r="Q1910" s="3" t="str">
        <x:f>IF(C1910="","",IF(AND(R1910="Valid",OR(P1910="Pass",P1910="N/A")),"Complete","Unresolved"))</x:f>
      </x:c>
      <x:c r="R1910" s="9" t="str">
        <x:f>IF(C1910="","",IF(OR(COUNTIF($C$9:$C$2008,C1910)&lt;&gt;1,COUNTIFS($D$9:$D$2008,D1910,$E$9:$E$2008,E1910)&lt;&gt;1),"Duplicate test",IF(COUNTIF('Taxonomy'!$C$9:$C$108,D1910)&lt;&gt;1,"Assessment key",IF(OR(COUNTIF('Taxonomy Rules'!$C$42:$C$68,E1910)&lt;&gt;1,F1910&lt;&gt;IFERROR(INDEX('Taxonomy Rules'!$D$42:$D$68,MATCH(E1910,'Taxonomy Rules'!$C$42:$C$68,0)),""),NOT(OR(IFERROR(INDEX('Taxonomy Rules'!$G$42:$G$68,MATCH(E1910,'Taxonomy Rules'!$C$42:$C$68,0)),"")="All supported routes",IFERROR(INDEX('Taxonomy Rules'!$G$42:$G$68,MATCH(E1910,'Taxonomy Rules'!$C$42:$C$68,0)),"")=U1910,AND(IFERROR(INDEX('Taxonomy Rules'!$G$42:$G$68,MATCH(E1910,'Taxonomy Rules'!$C$42:$C$68,0)),"")="Building routes",OR(U1910="Building renovation",U1910="New building",U1910="Building equipment"))))),"Unexpected test","Valid"))))</x:f>
      </x:c>
      <x:c r="S1910" s="9" t="str">
        <x:f>IF(C1910="","",IFERROR(INDEX('Taxonomy Rules'!$E$42:$E$68,MATCH(E1910,'Taxonomy Rules'!$C$42:$C$68,0)),""))</x:f>
      </x:c>
      <x:c r="T1910" s="9" t="str">
        <x:f>IF(C1910="","",IFERROR(INDEX('Taxonomy Rules'!$F$42:$F$68,MATCH(E1910,'Taxonomy Rules'!$C$42:$C$68,0)),""))</x:f>
      </x:c>
      <x:c r="U1910" s="9" t="str">
        <x:f>IF(C1910="","",IFERROR(INDEX('Taxonomy'!$G$9:$G$108,MATCH(D1910,'Taxonomy'!$C$9:$C$108,0)),""))</x:f>
      </x:c>
    </x:row>
    <x:row r="1911" ht="44" customHeight="1">
      <x:c r="A1911" s="1"/>
      <x:c r="B1911" s="1"/>
      <x:c r="C1911" s="8"/>
      <x:c r="D1911" s="8"/>
      <x:c r="E1911" s="8"/>
      <x:c r="F1911" s="8"/>
      <x:c r="G1911" s="8"/>
      <x:c r="H1911" s="8"/>
      <x:c r="I1911" s="8"/>
      <x:c r="J1911" s="8"/>
      <x:c r="K1911" s="8"/>
      <x:c r="L1911" s="8"/>
      <x:c r="M1911" s="10"/>
      <x:c r="N1911" s="10"/>
      <x:c r="O1911" s="8"/>
      <x:c r="P1911" s="9" t="str">
        <x:f>IF(C1911="","",IF(AND(G1911="Applicable",H1911="Fail"),"Fail",IF(R1911&lt;&gt;"Valid","Pending",IF(OR(I1911="",K1911="",L1911="",K1911=L1911,NOT(ISNUMBER(M1911)),NOT(ISNUMBER(N1911)),M1911&gt;Settings!$F$8,N1911&lt;Settings!$F$8,N1911&lt;M1911),"Pending",IF(AND(G1911="Applicable",H1911="Pass"),"Pass",IF(AND(G1911="N/A",H1911="N/A",J1911&lt;&gt;"",OR(E1911="CEM-FUELS",E1911="CEM-CCS",AND(E1911="CEM-PLAN",IFERROR(INDEX('Taxonomy'!$M$9:$M$108,MATCH(D1911,'Taxonomy'!$C$9:$C$108,0)),"")&lt;&gt;"Amber"),E1911="BLD-TIMBER",AND(U1911="Building equipment",OR(E1911="BLD-WATER",E1911="BLD-WASTE",E1911="BLD-LAND")),AND(U1911="Building renovation",E1911="BLD-LAND"))),"N/A","Pending"))))))</x:f>
      </x:c>
      <x:c r="Q1911" s="3" t="str">
        <x:f>IF(C1911="","",IF(AND(R1911="Valid",OR(P1911="Pass",P1911="N/A")),"Complete","Unresolved"))</x:f>
      </x:c>
      <x:c r="R1911" s="9" t="str">
        <x:f>IF(C1911="","",IF(OR(COUNTIF($C$9:$C$2008,C1911)&lt;&gt;1,COUNTIFS($D$9:$D$2008,D1911,$E$9:$E$2008,E1911)&lt;&gt;1),"Duplicate test",IF(COUNTIF('Taxonomy'!$C$9:$C$108,D1911)&lt;&gt;1,"Assessment key",IF(OR(COUNTIF('Taxonomy Rules'!$C$42:$C$68,E1911)&lt;&gt;1,F1911&lt;&gt;IFERROR(INDEX('Taxonomy Rules'!$D$42:$D$68,MATCH(E1911,'Taxonomy Rules'!$C$42:$C$68,0)),""),NOT(OR(IFERROR(INDEX('Taxonomy Rules'!$G$42:$G$68,MATCH(E1911,'Taxonomy Rules'!$C$42:$C$68,0)),"")="All supported routes",IFERROR(INDEX('Taxonomy Rules'!$G$42:$G$68,MATCH(E1911,'Taxonomy Rules'!$C$42:$C$68,0)),"")=U1911,AND(IFERROR(INDEX('Taxonomy Rules'!$G$42:$G$68,MATCH(E1911,'Taxonomy Rules'!$C$42:$C$68,0)),"")="Building routes",OR(U1911="Building renovation",U1911="New building",U1911="Building equipment"))))),"Unexpected test","Valid"))))</x:f>
      </x:c>
      <x:c r="S1911" s="9" t="str">
        <x:f>IF(C1911="","",IFERROR(INDEX('Taxonomy Rules'!$E$42:$E$68,MATCH(E1911,'Taxonomy Rules'!$C$42:$C$68,0)),""))</x:f>
      </x:c>
      <x:c r="T1911" s="9" t="str">
        <x:f>IF(C1911="","",IFERROR(INDEX('Taxonomy Rules'!$F$42:$F$68,MATCH(E1911,'Taxonomy Rules'!$C$42:$C$68,0)),""))</x:f>
      </x:c>
      <x:c r="U1911" s="9" t="str">
        <x:f>IF(C1911="","",IFERROR(INDEX('Taxonomy'!$G$9:$G$108,MATCH(D1911,'Taxonomy'!$C$9:$C$108,0)),""))</x:f>
      </x:c>
    </x:row>
    <x:row r="1912" ht="44" customHeight="1">
      <x:c r="A1912" s="1"/>
      <x:c r="B1912" s="1"/>
      <x:c r="C1912" s="8"/>
      <x:c r="D1912" s="8"/>
      <x:c r="E1912" s="8"/>
      <x:c r="F1912" s="8"/>
      <x:c r="G1912" s="8"/>
      <x:c r="H1912" s="8"/>
      <x:c r="I1912" s="8"/>
      <x:c r="J1912" s="8"/>
      <x:c r="K1912" s="8"/>
      <x:c r="L1912" s="8"/>
      <x:c r="M1912" s="10"/>
      <x:c r="N1912" s="10"/>
      <x:c r="O1912" s="8"/>
      <x:c r="P1912" s="9" t="str">
        <x:f>IF(C1912="","",IF(AND(G1912="Applicable",H1912="Fail"),"Fail",IF(R1912&lt;&gt;"Valid","Pending",IF(OR(I1912="",K1912="",L1912="",K1912=L1912,NOT(ISNUMBER(M1912)),NOT(ISNUMBER(N1912)),M1912&gt;Settings!$F$8,N1912&lt;Settings!$F$8,N1912&lt;M1912),"Pending",IF(AND(G1912="Applicable",H1912="Pass"),"Pass",IF(AND(G1912="N/A",H1912="N/A",J1912&lt;&gt;"",OR(E1912="CEM-FUELS",E1912="CEM-CCS",AND(E1912="CEM-PLAN",IFERROR(INDEX('Taxonomy'!$M$9:$M$108,MATCH(D1912,'Taxonomy'!$C$9:$C$108,0)),"")&lt;&gt;"Amber"),E1912="BLD-TIMBER",AND(U1912="Building equipment",OR(E1912="BLD-WATER",E1912="BLD-WASTE",E1912="BLD-LAND")),AND(U1912="Building renovation",E1912="BLD-LAND"))),"N/A","Pending"))))))</x:f>
      </x:c>
      <x:c r="Q1912" s="3" t="str">
        <x:f>IF(C1912="","",IF(AND(R1912="Valid",OR(P1912="Pass",P1912="N/A")),"Complete","Unresolved"))</x:f>
      </x:c>
      <x:c r="R1912" s="9" t="str">
        <x:f>IF(C1912="","",IF(OR(COUNTIF($C$9:$C$2008,C1912)&lt;&gt;1,COUNTIFS($D$9:$D$2008,D1912,$E$9:$E$2008,E1912)&lt;&gt;1),"Duplicate test",IF(COUNTIF('Taxonomy'!$C$9:$C$108,D1912)&lt;&gt;1,"Assessment key",IF(OR(COUNTIF('Taxonomy Rules'!$C$42:$C$68,E1912)&lt;&gt;1,F1912&lt;&gt;IFERROR(INDEX('Taxonomy Rules'!$D$42:$D$68,MATCH(E1912,'Taxonomy Rules'!$C$42:$C$68,0)),""),NOT(OR(IFERROR(INDEX('Taxonomy Rules'!$G$42:$G$68,MATCH(E1912,'Taxonomy Rules'!$C$42:$C$68,0)),"")="All supported routes",IFERROR(INDEX('Taxonomy Rules'!$G$42:$G$68,MATCH(E1912,'Taxonomy Rules'!$C$42:$C$68,0)),"")=U1912,AND(IFERROR(INDEX('Taxonomy Rules'!$G$42:$G$68,MATCH(E1912,'Taxonomy Rules'!$C$42:$C$68,0)),"")="Building routes",OR(U1912="Building renovation",U1912="New building",U1912="Building equipment"))))),"Unexpected test","Valid"))))</x:f>
      </x:c>
      <x:c r="S1912" s="9" t="str">
        <x:f>IF(C1912="","",IFERROR(INDEX('Taxonomy Rules'!$E$42:$E$68,MATCH(E1912,'Taxonomy Rules'!$C$42:$C$68,0)),""))</x:f>
      </x:c>
      <x:c r="T1912" s="9" t="str">
        <x:f>IF(C1912="","",IFERROR(INDEX('Taxonomy Rules'!$F$42:$F$68,MATCH(E1912,'Taxonomy Rules'!$C$42:$C$68,0)),""))</x:f>
      </x:c>
      <x:c r="U1912" s="9" t="str">
        <x:f>IF(C1912="","",IFERROR(INDEX('Taxonomy'!$G$9:$G$108,MATCH(D1912,'Taxonomy'!$C$9:$C$108,0)),""))</x:f>
      </x:c>
    </x:row>
    <x:row r="1913" ht="44" customHeight="1">
      <x:c r="A1913" s="1"/>
      <x:c r="B1913" s="1"/>
      <x:c r="C1913" s="8"/>
      <x:c r="D1913" s="8"/>
      <x:c r="E1913" s="8"/>
      <x:c r="F1913" s="8"/>
      <x:c r="G1913" s="8"/>
      <x:c r="H1913" s="8"/>
      <x:c r="I1913" s="8"/>
      <x:c r="J1913" s="8"/>
      <x:c r="K1913" s="8"/>
      <x:c r="L1913" s="8"/>
      <x:c r="M1913" s="10"/>
      <x:c r="N1913" s="10"/>
      <x:c r="O1913" s="8"/>
      <x:c r="P1913" s="9" t="str">
        <x:f>IF(C1913="","",IF(AND(G1913="Applicable",H1913="Fail"),"Fail",IF(R1913&lt;&gt;"Valid","Pending",IF(OR(I1913="",K1913="",L1913="",K1913=L1913,NOT(ISNUMBER(M1913)),NOT(ISNUMBER(N1913)),M1913&gt;Settings!$F$8,N1913&lt;Settings!$F$8,N1913&lt;M1913),"Pending",IF(AND(G1913="Applicable",H1913="Pass"),"Pass",IF(AND(G1913="N/A",H1913="N/A",J1913&lt;&gt;"",OR(E1913="CEM-FUELS",E1913="CEM-CCS",AND(E1913="CEM-PLAN",IFERROR(INDEX('Taxonomy'!$M$9:$M$108,MATCH(D1913,'Taxonomy'!$C$9:$C$108,0)),"")&lt;&gt;"Amber"),E1913="BLD-TIMBER",AND(U1913="Building equipment",OR(E1913="BLD-WATER",E1913="BLD-WASTE",E1913="BLD-LAND")),AND(U1913="Building renovation",E1913="BLD-LAND"))),"N/A","Pending"))))))</x:f>
      </x:c>
      <x:c r="Q1913" s="3" t="str">
        <x:f>IF(C1913="","",IF(AND(R1913="Valid",OR(P1913="Pass",P1913="N/A")),"Complete","Unresolved"))</x:f>
      </x:c>
      <x:c r="R1913" s="9" t="str">
        <x:f>IF(C1913="","",IF(OR(COUNTIF($C$9:$C$2008,C1913)&lt;&gt;1,COUNTIFS($D$9:$D$2008,D1913,$E$9:$E$2008,E1913)&lt;&gt;1),"Duplicate test",IF(COUNTIF('Taxonomy'!$C$9:$C$108,D1913)&lt;&gt;1,"Assessment key",IF(OR(COUNTIF('Taxonomy Rules'!$C$42:$C$68,E1913)&lt;&gt;1,F1913&lt;&gt;IFERROR(INDEX('Taxonomy Rules'!$D$42:$D$68,MATCH(E1913,'Taxonomy Rules'!$C$42:$C$68,0)),""),NOT(OR(IFERROR(INDEX('Taxonomy Rules'!$G$42:$G$68,MATCH(E1913,'Taxonomy Rules'!$C$42:$C$68,0)),"")="All supported routes",IFERROR(INDEX('Taxonomy Rules'!$G$42:$G$68,MATCH(E1913,'Taxonomy Rules'!$C$42:$C$68,0)),"")=U1913,AND(IFERROR(INDEX('Taxonomy Rules'!$G$42:$G$68,MATCH(E1913,'Taxonomy Rules'!$C$42:$C$68,0)),"")="Building routes",OR(U1913="Building renovation",U1913="New building",U1913="Building equipment"))))),"Unexpected test","Valid"))))</x:f>
      </x:c>
      <x:c r="S1913" s="9" t="str">
        <x:f>IF(C1913="","",IFERROR(INDEX('Taxonomy Rules'!$E$42:$E$68,MATCH(E1913,'Taxonomy Rules'!$C$42:$C$68,0)),""))</x:f>
      </x:c>
      <x:c r="T1913" s="9" t="str">
        <x:f>IF(C1913="","",IFERROR(INDEX('Taxonomy Rules'!$F$42:$F$68,MATCH(E1913,'Taxonomy Rules'!$C$42:$C$68,0)),""))</x:f>
      </x:c>
      <x:c r="U1913" s="9" t="str">
        <x:f>IF(C1913="","",IFERROR(INDEX('Taxonomy'!$G$9:$G$108,MATCH(D1913,'Taxonomy'!$C$9:$C$108,0)),""))</x:f>
      </x:c>
    </x:row>
    <x:row r="1914" ht="44" customHeight="1">
      <x:c r="A1914" s="1"/>
      <x:c r="B1914" s="1"/>
      <x:c r="C1914" s="8"/>
      <x:c r="D1914" s="8"/>
      <x:c r="E1914" s="8"/>
      <x:c r="F1914" s="8"/>
      <x:c r="G1914" s="8"/>
      <x:c r="H1914" s="8"/>
      <x:c r="I1914" s="8"/>
      <x:c r="J1914" s="8"/>
      <x:c r="K1914" s="8"/>
      <x:c r="L1914" s="8"/>
      <x:c r="M1914" s="10"/>
      <x:c r="N1914" s="10"/>
      <x:c r="O1914" s="8"/>
      <x:c r="P1914" s="9" t="str">
        <x:f>IF(C1914="","",IF(AND(G1914="Applicable",H1914="Fail"),"Fail",IF(R1914&lt;&gt;"Valid","Pending",IF(OR(I1914="",K1914="",L1914="",K1914=L1914,NOT(ISNUMBER(M1914)),NOT(ISNUMBER(N1914)),M1914&gt;Settings!$F$8,N1914&lt;Settings!$F$8,N1914&lt;M1914),"Pending",IF(AND(G1914="Applicable",H1914="Pass"),"Pass",IF(AND(G1914="N/A",H1914="N/A",J1914&lt;&gt;"",OR(E1914="CEM-FUELS",E1914="CEM-CCS",AND(E1914="CEM-PLAN",IFERROR(INDEX('Taxonomy'!$M$9:$M$108,MATCH(D1914,'Taxonomy'!$C$9:$C$108,0)),"")&lt;&gt;"Amber"),E1914="BLD-TIMBER",AND(U1914="Building equipment",OR(E1914="BLD-WATER",E1914="BLD-WASTE",E1914="BLD-LAND")),AND(U1914="Building renovation",E1914="BLD-LAND"))),"N/A","Pending"))))))</x:f>
      </x:c>
      <x:c r="Q1914" s="3" t="str">
        <x:f>IF(C1914="","",IF(AND(R1914="Valid",OR(P1914="Pass",P1914="N/A")),"Complete","Unresolved"))</x:f>
      </x:c>
      <x:c r="R1914" s="9" t="str">
        <x:f>IF(C1914="","",IF(OR(COUNTIF($C$9:$C$2008,C1914)&lt;&gt;1,COUNTIFS($D$9:$D$2008,D1914,$E$9:$E$2008,E1914)&lt;&gt;1),"Duplicate test",IF(COUNTIF('Taxonomy'!$C$9:$C$108,D1914)&lt;&gt;1,"Assessment key",IF(OR(COUNTIF('Taxonomy Rules'!$C$42:$C$68,E1914)&lt;&gt;1,F1914&lt;&gt;IFERROR(INDEX('Taxonomy Rules'!$D$42:$D$68,MATCH(E1914,'Taxonomy Rules'!$C$42:$C$68,0)),""),NOT(OR(IFERROR(INDEX('Taxonomy Rules'!$G$42:$G$68,MATCH(E1914,'Taxonomy Rules'!$C$42:$C$68,0)),"")="All supported routes",IFERROR(INDEX('Taxonomy Rules'!$G$42:$G$68,MATCH(E1914,'Taxonomy Rules'!$C$42:$C$68,0)),"")=U1914,AND(IFERROR(INDEX('Taxonomy Rules'!$G$42:$G$68,MATCH(E1914,'Taxonomy Rules'!$C$42:$C$68,0)),"")="Building routes",OR(U1914="Building renovation",U1914="New building",U1914="Building equipment"))))),"Unexpected test","Valid"))))</x:f>
      </x:c>
      <x:c r="S1914" s="9" t="str">
        <x:f>IF(C1914="","",IFERROR(INDEX('Taxonomy Rules'!$E$42:$E$68,MATCH(E1914,'Taxonomy Rules'!$C$42:$C$68,0)),""))</x:f>
      </x:c>
      <x:c r="T1914" s="9" t="str">
        <x:f>IF(C1914="","",IFERROR(INDEX('Taxonomy Rules'!$F$42:$F$68,MATCH(E1914,'Taxonomy Rules'!$C$42:$C$68,0)),""))</x:f>
      </x:c>
      <x:c r="U1914" s="9" t="str">
        <x:f>IF(C1914="","",IFERROR(INDEX('Taxonomy'!$G$9:$G$108,MATCH(D1914,'Taxonomy'!$C$9:$C$108,0)),""))</x:f>
      </x:c>
    </x:row>
    <x:row r="1915" ht="44" customHeight="1">
      <x:c r="A1915" s="1"/>
      <x:c r="B1915" s="1"/>
      <x:c r="C1915" s="8"/>
      <x:c r="D1915" s="8"/>
      <x:c r="E1915" s="8"/>
      <x:c r="F1915" s="8"/>
      <x:c r="G1915" s="8"/>
      <x:c r="H1915" s="8"/>
      <x:c r="I1915" s="8"/>
      <x:c r="J1915" s="8"/>
      <x:c r="K1915" s="8"/>
      <x:c r="L1915" s="8"/>
      <x:c r="M1915" s="10"/>
      <x:c r="N1915" s="10"/>
      <x:c r="O1915" s="8"/>
      <x:c r="P1915" s="9" t="str">
        <x:f>IF(C1915="","",IF(AND(G1915="Applicable",H1915="Fail"),"Fail",IF(R1915&lt;&gt;"Valid","Pending",IF(OR(I1915="",K1915="",L1915="",K1915=L1915,NOT(ISNUMBER(M1915)),NOT(ISNUMBER(N1915)),M1915&gt;Settings!$F$8,N1915&lt;Settings!$F$8,N1915&lt;M1915),"Pending",IF(AND(G1915="Applicable",H1915="Pass"),"Pass",IF(AND(G1915="N/A",H1915="N/A",J1915&lt;&gt;"",OR(E1915="CEM-FUELS",E1915="CEM-CCS",AND(E1915="CEM-PLAN",IFERROR(INDEX('Taxonomy'!$M$9:$M$108,MATCH(D1915,'Taxonomy'!$C$9:$C$108,0)),"")&lt;&gt;"Amber"),E1915="BLD-TIMBER",AND(U1915="Building equipment",OR(E1915="BLD-WATER",E1915="BLD-WASTE",E1915="BLD-LAND")),AND(U1915="Building renovation",E1915="BLD-LAND"))),"N/A","Pending"))))))</x:f>
      </x:c>
      <x:c r="Q1915" s="3" t="str">
        <x:f>IF(C1915="","",IF(AND(R1915="Valid",OR(P1915="Pass",P1915="N/A")),"Complete","Unresolved"))</x:f>
      </x:c>
      <x:c r="R1915" s="9" t="str">
        <x:f>IF(C1915="","",IF(OR(COUNTIF($C$9:$C$2008,C1915)&lt;&gt;1,COUNTIFS($D$9:$D$2008,D1915,$E$9:$E$2008,E1915)&lt;&gt;1),"Duplicate test",IF(COUNTIF('Taxonomy'!$C$9:$C$108,D1915)&lt;&gt;1,"Assessment key",IF(OR(COUNTIF('Taxonomy Rules'!$C$42:$C$68,E1915)&lt;&gt;1,F1915&lt;&gt;IFERROR(INDEX('Taxonomy Rules'!$D$42:$D$68,MATCH(E1915,'Taxonomy Rules'!$C$42:$C$68,0)),""),NOT(OR(IFERROR(INDEX('Taxonomy Rules'!$G$42:$G$68,MATCH(E1915,'Taxonomy Rules'!$C$42:$C$68,0)),"")="All supported routes",IFERROR(INDEX('Taxonomy Rules'!$G$42:$G$68,MATCH(E1915,'Taxonomy Rules'!$C$42:$C$68,0)),"")=U1915,AND(IFERROR(INDEX('Taxonomy Rules'!$G$42:$G$68,MATCH(E1915,'Taxonomy Rules'!$C$42:$C$68,0)),"")="Building routes",OR(U1915="Building renovation",U1915="New building",U1915="Building equipment"))))),"Unexpected test","Valid"))))</x:f>
      </x:c>
      <x:c r="S1915" s="9" t="str">
        <x:f>IF(C1915="","",IFERROR(INDEX('Taxonomy Rules'!$E$42:$E$68,MATCH(E1915,'Taxonomy Rules'!$C$42:$C$68,0)),""))</x:f>
      </x:c>
      <x:c r="T1915" s="9" t="str">
        <x:f>IF(C1915="","",IFERROR(INDEX('Taxonomy Rules'!$F$42:$F$68,MATCH(E1915,'Taxonomy Rules'!$C$42:$C$68,0)),""))</x:f>
      </x:c>
      <x:c r="U1915" s="9" t="str">
        <x:f>IF(C1915="","",IFERROR(INDEX('Taxonomy'!$G$9:$G$108,MATCH(D1915,'Taxonomy'!$C$9:$C$108,0)),""))</x:f>
      </x:c>
    </x:row>
    <x:row r="1916" ht="44" customHeight="1">
      <x:c r="A1916" s="1"/>
      <x:c r="B1916" s="1"/>
      <x:c r="C1916" s="8"/>
      <x:c r="D1916" s="8"/>
      <x:c r="E1916" s="8"/>
      <x:c r="F1916" s="8"/>
      <x:c r="G1916" s="8"/>
      <x:c r="H1916" s="8"/>
      <x:c r="I1916" s="8"/>
      <x:c r="J1916" s="8"/>
      <x:c r="K1916" s="8"/>
      <x:c r="L1916" s="8"/>
      <x:c r="M1916" s="10"/>
      <x:c r="N1916" s="10"/>
      <x:c r="O1916" s="8"/>
      <x:c r="P1916" s="9" t="str">
        <x:f>IF(C1916="","",IF(AND(G1916="Applicable",H1916="Fail"),"Fail",IF(R1916&lt;&gt;"Valid","Pending",IF(OR(I1916="",K1916="",L1916="",K1916=L1916,NOT(ISNUMBER(M1916)),NOT(ISNUMBER(N1916)),M1916&gt;Settings!$F$8,N1916&lt;Settings!$F$8,N1916&lt;M1916),"Pending",IF(AND(G1916="Applicable",H1916="Pass"),"Pass",IF(AND(G1916="N/A",H1916="N/A",J1916&lt;&gt;"",OR(E1916="CEM-FUELS",E1916="CEM-CCS",AND(E1916="CEM-PLAN",IFERROR(INDEX('Taxonomy'!$M$9:$M$108,MATCH(D1916,'Taxonomy'!$C$9:$C$108,0)),"")&lt;&gt;"Amber"),E1916="BLD-TIMBER",AND(U1916="Building equipment",OR(E1916="BLD-WATER",E1916="BLD-WASTE",E1916="BLD-LAND")),AND(U1916="Building renovation",E1916="BLD-LAND"))),"N/A","Pending"))))))</x:f>
      </x:c>
      <x:c r="Q1916" s="3" t="str">
        <x:f>IF(C1916="","",IF(AND(R1916="Valid",OR(P1916="Pass",P1916="N/A")),"Complete","Unresolved"))</x:f>
      </x:c>
      <x:c r="R1916" s="9" t="str">
        <x:f>IF(C1916="","",IF(OR(COUNTIF($C$9:$C$2008,C1916)&lt;&gt;1,COUNTIFS($D$9:$D$2008,D1916,$E$9:$E$2008,E1916)&lt;&gt;1),"Duplicate test",IF(COUNTIF('Taxonomy'!$C$9:$C$108,D1916)&lt;&gt;1,"Assessment key",IF(OR(COUNTIF('Taxonomy Rules'!$C$42:$C$68,E1916)&lt;&gt;1,F1916&lt;&gt;IFERROR(INDEX('Taxonomy Rules'!$D$42:$D$68,MATCH(E1916,'Taxonomy Rules'!$C$42:$C$68,0)),""),NOT(OR(IFERROR(INDEX('Taxonomy Rules'!$G$42:$G$68,MATCH(E1916,'Taxonomy Rules'!$C$42:$C$68,0)),"")="All supported routes",IFERROR(INDEX('Taxonomy Rules'!$G$42:$G$68,MATCH(E1916,'Taxonomy Rules'!$C$42:$C$68,0)),"")=U1916,AND(IFERROR(INDEX('Taxonomy Rules'!$G$42:$G$68,MATCH(E1916,'Taxonomy Rules'!$C$42:$C$68,0)),"")="Building routes",OR(U1916="Building renovation",U1916="New building",U1916="Building equipment"))))),"Unexpected test","Valid"))))</x:f>
      </x:c>
      <x:c r="S1916" s="9" t="str">
        <x:f>IF(C1916="","",IFERROR(INDEX('Taxonomy Rules'!$E$42:$E$68,MATCH(E1916,'Taxonomy Rules'!$C$42:$C$68,0)),""))</x:f>
      </x:c>
      <x:c r="T1916" s="9" t="str">
        <x:f>IF(C1916="","",IFERROR(INDEX('Taxonomy Rules'!$F$42:$F$68,MATCH(E1916,'Taxonomy Rules'!$C$42:$C$68,0)),""))</x:f>
      </x:c>
      <x:c r="U1916" s="9" t="str">
        <x:f>IF(C1916="","",IFERROR(INDEX('Taxonomy'!$G$9:$G$108,MATCH(D1916,'Taxonomy'!$C$9:$C$108,0)),""))</x:f>
      </x:c>
    </x:row>
    <x:row r="1917" ht="44" customHeight="1">
      <x:c r="A1917" s="1"/>
      <x:c r="B1917" s="1"/>
      <x:c r="C1917" s="8"/>
      <x:c r="D1917" s="8"/>
      <x:c r="E1917" s="8"/>
      <x:c r="F1917" s="8"/>
      <x:c r="G1917" s="8"/>
      <x:c r="H1917" s="8"/>
      <x:c r="I1917" s="8"/>
      <x:c r="J1917" s="8"/>
      <x:c r="K1917" s="8"/>
      <x:c r="L1917" s="8"/>
      <x:c r="M1917" s="10"/>
      <x:c r="N1917" s="10"/>
      <x:c r="O1917" s="8"/>
      <x:c r="P1917" s="9" t="str">
        <x:f>IF(C1917="","",IF(AND(G1917="Applicable",H1917="Fail"),"Fail",IF(R1917&lt;&gt;"Valid","Pending",IF(OR(I1917="",K1917="",L1917="",K1917=L1917,NOT(ISNUMBER(M1917)),NOT(ISNUMBER(N1917)),M1917&gt;Settings!$F$8,N1917&lt;Settings!$F$8,N1917&lt;M1917),"Pending",IF(AND(G1917="Applicable",H1917="Pass"),"Pass",IF(AND(G1917="N/A",H1917="N/A",J1917&lt;&gt;"",OR(E1917="CEM-FUELS",E1917="CEM-CCS",AND(E1917="CEM-PLAN",IFERROR(INDEX('Taxonomy'!$M$9:$M$108,MATCH(D1917,'Taxonomy'!$C$9:$C$108,0)),"")&lt;&gt;"Amber"),E1917="BLD-TIMBER",AND(U1917="Building equipment",OR(E1917="BLD-WATER",E1917="BLD-WASTE",E1917="BLD-LAND")),AND(U1917="Building renovation",E1917="BLD-LAND"))),"N/A","Pending"))))))</x:f>
      </x:c>
      <x:c r="Q1917" s="3" t="str">
        <x:f>IF(C1917="","",IF(AND(R1917="Valid",OR(P1917="Pass",P1917="N/A")),"Complete","Unresolved"))</x:f>
      </x:c>
      <x:c r="R1917" s="9" t="str">
        <x:f>IF(C1917="","",IF(OR(COUNTIF($C$9:$C$2008,C1917)&lt;&gt;1,COUNTIFS($D$9:$D$2008,D1917,$E$9:$E$2008,E1917)&lt;&gt;1),"Duplicate test",IF(COUNTIF('Taxonomy'!$C$9:$C$108,D1917)&lt;&gt;1,"Assessment key",IF(OR(COUNTIF('Taxonomy Rules'!$C$42:$C$68,E1917)&lt;&gt;1,F1917&lt;&gt;IFERROR(INDEX('Taxonomy Rules'!$D$42:$D$68,MATCH(E1917,'Taxonomy Rules'!$C$42:$C$68,0)),""),NOT(OR(IFERROR(INDEX('Taxonomy Rules'!$G$42:$G$68,MATCH(E1917,'Taxonomy Rules'!$C$42:$C$68,0)),"")="All supported routes",IFERROR(INDEX('Taxonomy Rules'!$G$42:$G$68,MATCH(E1917,'Taxonomy Rules'!$C$42:$C$68,0)),"")=U1917,AND(IFERROR(INDEX('Taxonomy Rules'!$G$42:$G$68,MATCH(E1917,'Taxonomy Rules'!$C$42:$C$68,0)),"")="Building routes",OR(U1917="Building renovation",U1917="New building",U1917="Building equipment"))))),"Unexpected test","Valid"))))</x:f>
      </x:c>
      <x:c r="S1917" s="9" t="str">
        <x:f>IF(C1917="","",IFERROR(INDEX('Taxonomy Rules'!$E$42:$E$68,MATCH(E1917,'Taxonomy Rules'!$C$42:$C$68,0)),""))</x:f>
      </x:c>
      <x:c r="T1917" s="9" t="str">
        <x:f>IF(C1917="","",IFERROR(INDEX('Taxonomy Rules'!$F$42:$F$68,MATCH(E1917,'Taxonomy Rules'!$C$42:$C$68,0)),""))</x:f>
      </x:c>
      <x:c r="U1917" s="9" t="str">
        <x:f>IF(C1917="","",IFERROR(INDEX('Taxonomy'!$G$9:$G$108,MATCH(D1917,'Taxonomy'!$C$9:$C$108,0)),""))</x:f>
      </x:c>
    </x:row>
    <x:row r="1918" ht="44" customHeight="1">
      <x:c r="A1918" s="1"/>
      <x:c r="B1918" s="1"/>
      <x:c r="C1918" s="8"/>
      <x:c r="D1918" s="8"/>
      <x:c r="E1918" s="8"/>
      <x:c r="F1918" s="8"/>
      <x:c r="G1918" s="8"/>
      <x:c r="H1918" s="8"/>
      <x:c r="I1918" s="8"/>
      <x:c r="J1918" s="8"/>
      <x:c r="K1918" s="8"/>
      <x:c r="L1918" s="8"/>
      <x:c r="M1918" s="10"/>
      <x:c r="N1918" s="10"/>
      <x:c r="O1918" s="8"/>
      <x:c r="P1918" s="9" t="str">
        <x:f>IF(C1918="","",IF(AND(G1918="Applicable",H1918="Fail"),"Fail",IF(R1918&lt;&gt;"Valid","Pending",IF(OR(I1918="",K1918="",L1918="",K1918=L1918,NOT(ISNUMBER(M1918)),NOT(ISNUMBER(N1918)),M1918&gt;Settings!$F$8,N1918&lt;Settings!$F$8,N1918&lt;M1918),"Pending",IF(AND(G1918="Applicable",H1918="Pass"),"Pass",IF(AND(G1918="N/A",H1918="N/A",J1918&lt;&gt;"",OR(E1918="CEM-FUELS",E1918="CEM-CCS",AND(E1918="CEM-PLAN",IFERROR(INDEX('Taxonomy'!$M$9:$M$108,MATCH(D1918,'Taxonomy'!$C$9:$C$108,0)),"")&lt;&gt;"Amber"),E1918="BLD-TIMBER",AND(U1918="Building equipment",OR(E1918="BLD-WATER",E1918="BLD-WASTE",E1918="BLD-LAND")),AND(U1918="Building renovation",E1918="BLD-LAND"))),"N/A","Pending"))))))</x:f>
      </x:c>
      <x:c r="Q1918" s="3" t="str">
        <x:f>IF(C1918="","",IF(AND(R1918="Valid",OR(P1918="Pass",P1918="N/A")),"Complete","Unresolved"))</x:f>
      </x:c>
      <x:c r="R1918" s="9" t="str">
        <x:f>IF(C1918="","",IF(OR(COUNTIF($C$9:$C$2008,C1918)&lt;&gt;1,COUNTIFS($D$9:$D$2008,D1918,$E$9:$E$2008,E1918)&lt;&gt;1),"Duplicate test",IF(COUNTIF('Taxonomy'!$C$9:$C$108,D1918)&lt;&gt;1,"Assessment key",IF(OR(COUNTIF('Taxonomy Rules'!$C$42:$C$68,E1918)&lt;&gt;1,F1918&lt;&gt;IFERROR(INDEX('Taxonomy Rules'!$D$42:$D$68,MATCH(E1918,'Taxonomy Rules'!$C$42:$C$68,0)),""),NOT(OR(IFERROR(INDEX('Taxonomy Rules'!$G$42:$G$68,MATCH(E1918,'Taxonomy Rules'!$C$42:$C$68,0)),"")="All supported routes",IFERROR(INDEX('Taxonomy Rules'!$G$42:$G$68,MATCH(E1918,'Taxonomy Rules'!$C$42:$C$68,0)),"")=U1918,AND(IFERROR(INDEX('Taxonomy Rules'!$G$42:$G$68,MATCH(E1918,'Taxonomy Rules'!$C$42:$C$68,0)),"")="Building routes",OR(U1918="Building renovation",U1918="New building",U1918="Building equipment"))))),"Unexpected test","Valid"))))</x:f>
      </x:c>
      <x:c r="S1918" s="9" t="str">
        <x:f>IF(C1918="","",IFERROR(INDEX('Taxonomy Rules'!$E$42:$E$68,MATCH(E1918,'Taxonomy Rules'!$C$42:$C$68,0)),""))</x:f>
      </x:c>
      <x:c r="T1918" s="9" t="str">
        <x:f>IF(C1918="","",IFERROR(INDEX('Taxonomy Rules'!$F$42:$F$68,MATCH(E1918,'Taxonomy Rules'!$C$42:$C$68,0)),""))</x:f>
      </x:c>
      <x:c r="U1918" s="9" t="str">
        <x:f>IF(C1918="","",IFERROR(INDEX('Taxonomy'!$G$9:$G$108,MATCH(D1918,'Taxonomy'!$C$9:$C$108,0)),""))</x:f>
      </x:c>
    </x:row>
    <x:row r="1919" ht="44" customHeight="1">
      <x:c r="A1919" s="1"/>
      <x:c r="B1919" s="1"/>
      <x:c r="C1919" s="8"/>
      <x:c r="D1919" s="8"/>
      <x:c r="E1919" s="8"/>
      <x:c r="F1919" s="8"/>
      <x:c r="G1919" s="8"/>
      <x:c r="H1919" s="8"/>
      <x:c r="I1919" s="8"/>
      <x:c r="J1919" s="8"/>
      <x:c r="K1919" s="8"/>
      <x:c r="L1919" s="8"/>
      <x:c r="M1919" s="10"/>
      <x:c r="N1919" s="10"/>
      <x:c r="O1919" s="8"/>
      <x:c r="P1919" s="9" t="str">
        <x:f>IF(C1919="","",IF(AND(G1919="Applicable",H1919="Fail"),"Fail",IF(R1919&lt;&gt;"Valid","Pending",IF(OR(I1919="",K1919="",L1919="",K1919=L1919,NOT(ISNUMBER(M1919)),NOT(ISNUMBER(N1919)),M1919&gt;Settings!$F$8,N1919&lt;Settings!$F$8,N1919&lt;M1919),"Pending",IF(AND(G1919="Applicable",H1919="Pass"),"Pass",IF(AND(G1919="N/A",H1919="N/A",J1919&lt;&gt;"",OR(E1919="CEM-FUELS",E1919="CEM-CCS",AND(E1919="CEM-PLAN",IFERROR(INDEX('Taxonomy'!$M$9:$M$108,MATCH(D1919,'Taxonomy'!$C$9:$C$108,0)),"")&lt;&gt;"Amber"),E1919="BLD-TIMBER",AND(U1919="Building equipment",OR(E1919="BLD-WATER",E1919="BLD-WASTE",E1919="BLD-LAND")),AND(U1919="Building renovation",E1919="BLD-LAND"))),"N/A","Pending"))))))</x:f>
      </x:c>
      <x:c r="Q1919" s="3" t="str">
        <x:f>IF(C1919="","",IF(AND(R1919="Valid",OR(P1919="Pass",P1919="N/A")),"Complete","Unresolved"))</x:f>
      </x:c>
      <x:c r="R1919" s="9" t="str">
        <x:f>IF(C1919="","",IF(OR(COUNTIF($C$9:$C$2008,C1919)&lt;&gt;1,COUNTIFS($D$9:$D$2008,D1919,$E$9:$E$2008,E1919)&lt;&gt;1),"Duplicate test",IF(COUNTIF('Taxonomy'!$C$9:$C$108,D1919)&lt;&gt;1,"Assessment key",IF(OR(COUNTIF('Taxonomy Rules'!$C$42:$C$68,E1919)&lt;&gt;1,F1919&lt;&gt;IFERROR(INDEX('Taxonomy Rules'!$D$42:$D$68,MATCH(E1919,'Taxonomy Rules'!$C$42:$C$68,0)),""),NOT(OR(IFERROR(INDEX('Taxonomy Rules'!$G$42:$G$68,MATCH(E1919,'Taxonomy Rules'!$C$42:$C$68,0)),"")="All supported routes",IFERROR(INDEX('Taxonomy Rules'!$G$42:$G$68,MATCH(E1919,'Taxonomy Rules'!$C$42:$C$68,0)),"")=U1919,AND(IFERROR(INDEX('Taxonomy Rules'!$G$42:$G$68,MATCH(E1919,'Taxonomy Rules'!$C$42:$C$68,0)),"")="Building routes",OR(U1919="Building renovation",U1919="New building",U1919="Building equipment"))))),"Unexpected test","Valid"))))</x:f>
      </x:c>
      <x:c r="S1919" s="9" t="str">
        <x:f>IF(C1919="","",IFERROR(INDEX('Taxonomy Rules'!$E$42:$E$68,MATCH(E1919,'Taxonomy Rules'!$C$42:$C$68,0)),""))</x:f>
      </x:c>
      <x:c r="T1919" s="9" t="str">
        <x:f>IF(C1919="","",IFERROR(INDEX('Taxonomy Rules'!$F$42:$F$68,MATCH(E1919,'Taxonomy Rules'!$C$42:$C$68,0)),""))</x:f>
      </x:c>
      <x:c r="U1919" s="9" t="str">
        <x:f>IF(C1919="","",IFERROR(INDEX('Taxonomy'!$G$9:$G$108,MATCH(D1919,'Taxonomy'!$C$9:$C$108,0)),""))</x:f>
      </x:c>
    </x:row>
    <x:row r="1920" ht="44" customHeight="1">
      <x:c r="A1920" s="1"/>
      <x:c r="B1920" s="1"/>
      <x:c r="C1920" s="8"/>
      <x:c r="D1920" s="8"/>
      <x:c r="E1920" s="8"/>
      <x:c r="F1920" s="8"/>
      <x:c r="G1920" s="8"/>
      <x:c r="H1920" s="8"/>
      <x:c r="I1920" s="8"/>
      <x:c r="J1920" s="8"/>
      <x:c r="K1920" s="8"/>
      <x:c r="L1920" s="8"/>
      <x:c r="M1920" s="10"/>
      <x:c r="N1920" s="10"/>
      <x:c r="O1920" s="8"/>
      <x:c r="P1920" s="9" t="str">
        <x:f>IF(C1920="","",IF(AND(G1920="Applicable",H1920="Fail"),"Fail",IF(R1920&lt;&gt;"Valid","Pending",IF(OR(I1920="",K1920="",L1920="",K1920=L1920,NOT(ISNUMBER(M1920)),NOT(ISNUMBER(N1920)),M1920&gt;Settings!$F$8,N1920&lt;Settings!$F$8,N1920&lt;M1920),"Pending",IF(AND(G1920="Applicable",H1920="Pass"),"Pass",IF(AND(G1920="N/A",H1920="N/A",J1920&lt;&gt;"",OR(E1920="CEM-FUELS",E1920="CEM-CCS",AND(E1920="CEM-PLAN",IFERROR(INDEX('Taxonomy'!$M$9:$M$108,MATCH(D1920,'Taxonomy'!$C$9:$C$108,0)),"")&lt;&gt;"Amber"),E1920="BLD-TIMBER",AND(U1920="Building equipment",OR(E1920="BLD-WATER",E1920="BLD-WASTE",E1920="BLD-LAND")),AND(U1920="Building renovation",E1920="BLD-LAND"))),"N/A","Pending"))))))</x:f>
      </x:c>
      <x:c r="Q1920" s="3" t="str">
        <x:f>IF(C1920="","",IF(AND(R1920="Valid",OR(P1920="Pass",P1920="N/A")),"Complete","Unresolved"))</x:f>
      </x:c>
      <x:c r="R1920" s="9" t="str">
        <x:f>IF(C1920="","",IF(OR(COUNTIF($C$9:$C$2008,C1920)&lt;&gt;1,COUNTIFS($D$9:$D$2008,D1920,$E$9:$E$2008,E1920)&lt;&gt;1),"Duplicate test",IF(COUNTIF('Taxonomy'!$C$9:$C$108,D1920)&lt;&gt;1,"Assessment key",IF(OR(COUNTIF('Taxonomy Rules'!$C$42:$C$68,E1920)&lt;&gt;1,F1920&lt;&gt;IFERROR(INDEX('Taxonomy Rules'!$D$42:$D$68,MATCH(E1920,'Taxonomy Rules'!$C$42:$C$68,0)),""),NOT(OR(IFERROR(INDEX('Taxonomy Rules'!$G$42:$G$68,MATCH(E1920,'Taxonomy Rules'!$C$42:$C$68,0)),"")="All supported routes",IFERROR(INDEX('Taxonomy Rules'!$G$42:$G$68,MATCH(E1920,'Taxonomy Rules'!$C$42:$C$68,0)),"")=U1920,AND(IFERROR(INDEX('Taxonomy Rules'!$G$42:$G$68,MATCH(E1920,'Taxonomy Rules'!$C$42:$C$68,0)),"")="Building routes",OR(U1920="Building renovation",U1920="New building",U1920="Building equipment"))))),"Unexpected test","Valid"))))</x:f>
      </x:c>
      <x:c r="S1920" s="9" t="str">
        <x:f>IF(C1920="","",IFERROR(INDEX('Taxonomy Rules'!$E$42:$E$68,MATCH(E1920,'Taxonomy Rules'!$C$42:$C$68,0)),""))</x:f>
      </x:c>
      <x:c r="T1920" s="9" t="str">
        <x:f>IF(C1920="","",IFERROR(INDEX('Taxonomy Rules'!$F$42:$F$68,MATCH(E1920,'Taxonomy Rules'!$C$42:$C$68,0)),""))</x:f>
      </x:c>
      <x:c r="U1920" s="9" t="str">
        <x:f>IF(C1920="","",IFERROR(INDEX('Taxonomy'!$G$9:$G$108,MATCH(D1920,'Taxonomy'!$C$9:$C$108,0)),""))</x:f>
      </x:c>
    </x:row>
    <x:row r="1921" ht="44" customHeight="1">
      <x:c r="A1921" s="1"/>
      <x:c r="B1921" s="1"/>
      <x:c r="C1921" s="8"/>
      <x:c r="D1921" s="8"/>
      <x:c r="E1921" s="8"/>
      <x:c r="F1921" s="8"/>
      <x:c r="G1921" s="8"/>
      <x:c r="H1921" s="8"/>
      <x:c r="I1921" s="8"/>
      <x:c r="J1921" s="8"/>
      <x:c r="K1921" s="8"/>
      <x:c r="L1921" s="8"/>
      <x:c r="M1921" s="10"/>
      <x:c r="N1921" s="10"/>
      <x:c r="O1921" s="8"/>
      <x:c r="P1921" s="9" t="str">
        <x:f>IF(C1921="","",IF(AND(G1921="Applicable",H1921="Fail"),"Fail",IF(R1921&lt;&gt;"Valid","Pending",IF(OR(I1921="",K1921="",L1921="",K1921=L1921,NOT(ISNUMBER(M1921)),NOT(ISNUMBER(N1921)),M1921&gt;Settings!$F$8,N1921&lt;Settings!$F$8,N1921&lt;M1921),"Pending",IF(AND(G1921="Applicable",H1921="Pass"),"Pass",IF(AND(G1921="N/A",H1921="N/A",J1921&lt;&gt;"",OR(E1921="CEM-FUELS",E1921="CEM-CCS",AND(E1921="CEM-PLAN",IFERROR(INDEX('Taxonomy'!$M$9:$M$108,MATCH(D1921,'Taxonomy'!$C$9:$C$108,0)),"")&lt;&gt;"Amber"),E1921="BLD-TIMBER",AND(U1921="Building equipment",OR(E1921="BLD-WATER",E1921="BLD-WASTE",E1921="BLD-LAND")),AND(U1921="Building renovation",E1921="BLD-LAND"))),"N/A","Pending"))))))</x:f>
      </x:c>
      <x:c r="Q1921" s="3" t="str">
        <x:f>IF(C1921="","",IF(AND(R1921="Valid",OR(P1921="Pass",P1921="N/A")),"Complete","Unresolved"))</x:f>
      </x:c>
      <x:c r="R1921" s="9" t="str">
        <x:f>IF(C1921="","",IF(OR(COUNTIF($C$9:$C$2008,C1921)&lt;&gt;1,COUNTIFS($D$9:$D$2008,D1921,$E$9:$E$2008,E1921)&lt;&gt;1),"Duplicate test",IF(COUNTIF('Taxonomy'!$C$9:$C$108,D1921)&lt;&gt;1,"Assessment key",IF(OR(COUNTIF('Taxonomy Rules'!$C$42:$C$68,E1921)&lt;&gt;1,F1921&lt;&gt;IFERROR(INDEX('Taxonomy Rules'!$D$42:$D$68,MATCH(E1921,'Taxonomy Rules'!$C$42:$C$68,0)),""),NOT(OR(IFERROR(INDEX('Taxonomy Rules'!$G$42:$G$68,MATCH(E1921,'Taxonomy Rules'!$C$42:$C$68,0)),"")="All supported routes",IFERROR(INDEX('Taxonomy Rules'!$G$42:$G$68,MATCH(E1921,'Taxonomy Rules'!$C$42:$C$68,0)),"")=U1921,AND(IFERROR(INDEX('Taxonomy Rules'!$G$42:$G$68,MATCH(E1921,'Taxonomy Rules'!$C$42:$C$68,0)),"")="Building routes",OR(U1921="Building renovation",U1921="New building",U1921="Building equipment"))))),"Unexpected test","Valid"))))</x:f>
      </x:c>
      <x:c r="S1921" s="9" t="str">
        <x:f>IF(C1921="","",IFERROR(INDEX('Taxonomy Rules'!$E$42:$E$68,MATCH(E1921,'Taxonomy Rules'!$C$42:$C$68,0)),""))</x:f>
      </x:c>
      <x:c r="T1921" s="9" t="str">
        <x:f>IF(C1921="","",IFERROR(INDEX('Taxonomy Rules'!$F$42:$F$68,MATCH(E1921,'Taxonomy Rules'!$C$42:$C$68,0)),""))</x:f>
      </x:c>
      <x:c r="U1921" s="9" t="str">
        <x:f>IF(C1921="","",IFERROR(INDEX('Taxonomy'!$G$9:$G$108,MATCH(D1921,'Taxonomy'!$C$9:$C$108,0)),""))</x:f>
      </x:c>
    </x:row>
    <x:row r="1922" ht="44" customHeight="1">
      <x:c r="A1922" s="1"/>
      <x:c r="B1922" s="1"/>
      <x:c r="C1922" s="8"/>
      <x:c r="D1922" s="8"/>
      <x:c r="E1922" s="8"/>
      <x:c r="F1922" s="8"/>
      <x:c r="G1922" s="8"/>
      <x:c r="H1922" s="8"/>
      <x:c r="I1922" s="8"/>
      <x:c r="J1922" s="8"/>
      <x:c r="K1922" s="8"/>
      <x:c r="L1922" s="8"/>
      <x:c r="M1922" s="10"/>
      <x:c r="N1922" s="10"/>
      <x:c r="O1922" s="8"/>
      <x:c r="P1922" s="9" t="str">
        <x:f>IF(C1922="","",IF(AND(G1922="Applicable",H1922="Fail"),"Fail",IF(R1922&lt;&gt;"Valid","Pending",IF(OR(I1922="",K1922="",L1922="",K1922=L1922,NOT(ISNUMBER(M1922)),NOT(ISNUMBER(N1922)),M1922&gt;Settings!$F$8,N1922&lt;Settings!$F$8,N1922&lt;M1922),"Pending",IF(AND(G1922="Applicable",H1922="Pass"),"Pass",IF(AND(G1922="N/A",H1922="N/A",J1922&lt;&gt;"",OR(E1922="CEM-FUELS",E1922="CEM-CCS",AND(E1922="CEM-PLAN",IFERROR(INDEX('Taxonomy'!$M$9:$M$108,MATCH(D1922,'Taxonomy'!$C$9:$C$108,0)),"")&lt;&gt;"Amber"),E1922="BLD-TIMBER",AND(U1922="Building equipment",OR(E1922="BLD-WATER",E1922="BLD-WASTE",E1922="BLD-LAND")),AND(U1922="Building renovation",E1922="BLD-LAND"))),"N/A","Pending"))))))</x:f>
      </x:c>
      <x:c r="Q1922" s="3" t="str">
        <x:f>IF(C1922="","",IF(AND(R1922="Valid",OR(P1922="Pass",P1922="N/A")),"Complete","Unresolved"))</x:f>
      </x:c>
      <x:c r="R1922" s="9" t="str">
        <x:f>IF(C1922="","",IF(OR(COUNTIF($C$9:$C$2008,C1922)&lt;&gt;1,COUNTIFS($D$9:$D$2008,D1922,$E$9:$E$2008,E1922)&lt;&gt;1),"Duplicate test",IF(COUNTIF('Taxonomy'!$C$9:$C$108,D1922)&lt;&gt;1,"Assessment key",IF(OR(COUNTIF('Taxonomy Rules'!$C$42:$C$68,E1922)&lt;&gt;1,F1922&lt;&gt;IFERROR(INDEX('Taxonomy Rules'!$D$42:$D$68,MATCH(E1922,'Taxonomy Rules'!$C$42:$C$68,0)),""),NOT(OR(IFERROR(INDEX('Taxonomy Rules'!$G$42:$G$68,MATCH(E1922,'Taxonomy Rules'!$C$42:$C$68,0)),"")="All supported routes",IFERROR(INDEX('Taxonomy Rules'!$G$42:$G$68,MATCH(E1922,'Taxonomy Rules'!$C$42:$C$68,0)),"")=U1922,AND(IFERROR(INDEX('Taxonomy Rules'!$G$42:$G$68,MATCH(E1922,'Taxonomy Rules'!$C$42:$C$68,0)),"")="Building routes",OR(U1922="Building renovation",U1922="New building",U1922="Building equipment"))))),"Unexpected test","Valid"))))</x:f>
      </x:c>
      <x:c r="S1922" s="9" t="str">
        <x:f>IF(C1922="","",IFERROR(INDEX('Taxonomy Rules'!$E$42:$E$68,MATCH(E1922,'Taxonomy Rules'!$C$42:$C$68,0)),""))</x:f>
      </x:c>
      <x:c r="T1922" s="9" t="str">
        <x:f>IF(C1922="","",IFERROR(INDEX('Taxonomy Rules'!$F$42:$F$68,MATCH(E1922,'Taxonomy Rules'!$C$42:$C$68,0)),""))</x:f>
      </x:c>
      <x:c r="U1922" s="9" t="str">
        <x:f>IF(C1922="","",IFERROR(INDEX('Taxonomy'!$G$9:$G$108,MATCH(D1922,'Taxonomy'!$C$9:$C$108,0)),""))</x:f>
      </x:c>
    </x:row>
    <x:row r="1923" ht="44" customHeight="1">
      <x:c r="A1923" s="1"/>
      <x:c r="B1923" s="1"/>
      <x:c r="C1923" s="8"/>
      <x:c r="D1923" s="8"/>
      <x:c r="E1923" s="8"/>
      <x:c r="F1923" s="8"/>
      <x:c r="G1923" s="8"/>
      <x:c r="H1923" s="8"/>
      <x:c r="I1923" s="8"/>
      <x:c r="J1923" s="8"/>
      <x:c r="K1923" s="8"/>
      <x:c r="L1923" s="8"/>
      <x:c r="M1923" s="10"/>
      <x:c r="N1923" s="10"/>
      <x:c r="O1923" s="8"/>
      <x:c r="P1923" s="9" t="str">
        <x:f>IF(C1923="","",IF(AND(G1923="Applicable",H1923="Fail"),"Fail",IF(R1923&lt;&gt;"Valid","Pending",IF(OR(I1923="",K1923="",L1923="",K1923=L1923,NOT(ISNUMBER(M1923)),NOT(ISNUMBER(N1923)),M1923&gt;Settings!$F$8,N1923&lt;Settings!$F$8,N1923&lt;M1923),"Pending",IF(AND(G1923="Applicable",H1923="Pass"),"Pass",IF(AND(G1923="N/A",H1923="N/A",J1923&lt;&gt;"",OR(E1923="CEM-FUELS",E1923="CEM-CCS",AND(E1923="CEM-PLAN",IFERROR(INDEX('Taxonomy'!$M$9:$M$108,MATCH(D1923,'Taxonomy'!$C$9:$C$108,0)),"")&lt;&gt;"Amber"),E1923="BLD-TIMBER",AND(U1923="Building equipment",OR(E1923="BLD-WATER",E1923="BLD-WASTE",E1923="BLD-LAND")),AND(U1923="Building renovation",E1923="BLD-LAND"))),"N/A","Pending"))))))</x:f>
      </x:c>
      <x:c r="Q1923" s="3" t="str">
        <x:f>IF(C1923="","",IF(AND(R1923="Valid",OR(P1923="Pass",P1923="N/A")),"Complete","Unresolved"))</x:f>
      </x:c>
      <x:c r="R1923" s="9" t="str">
        <x:f>IF(C1923="","",IF(OR(COUNTIF($C$9:$C$2008,C1923)&lt;&gt;1,COUNTIFS($D$9:$D$2008,D1923,$E$9:$E$2008,E1923)&lt;&gt;1),"Duplicate test",IF(COUNTIF('Taxonomy'!$C$9:$C$108,D1923)&lt;&gt;1,"Assessment key",IF(OR(COUNTIF('Taxonomy Rules'!$C$42:$C$68,E1923)&lt;&gt;1,F1923&lt;&gt;IFERROR(INDEX('Taxonomy Rules'!$D$42:$D$68,MATCH(E1923,'Taxonomy Rules'!$C$42:$C$68,0)),""),NOT(OR(IFERROR(INDEX('Taxonomy Rules'!$G$42:$G$68,MATCH(E1923,'Taxonomy Rules'!$C$42:$C$68,0)),"")="All supported routes",IFERROR(INDEX('Taxonomy Rules'!$G$42:$G$68,MATCH(E1923,'Taxonomy Rules'!$C$42:$C$68,0)),"")=U1923,AND(IFERROR(INDEX('Taxonomy Rules'!$G$42:$G$68,MATCH(E1923,'Taxonomy Rules'!$C$42:$C$68,0)),"")="Building routes",OR(U1923="Building renovation",U1923="New building",U1923="Building equipment"))))),"Unexpected test","Valid"))))</x:f>
      </x:c>
      <x:c r="S1923" s="9" t="str">
        <x:f>IF(C1923="","",IFERROR(INDEX('Taxonomy Rules'!$E$42:$E$68,MATCH(E1923,'Taxonomy Rules'!$C$42:$C$68,0)),""))</x:f>
      </x:c>
      <x:c r="T1923" s="9" t="str">
        <x:f>IF(C1923="","",IFERROR(INDEX('Taxonomy Rules'!$F$42:$F$68,MATCH(E1923,'Taxonomy Rules'!$C$42:$C$68,0)),""))</x:f>
      </x:c>
      <x:c r="U1923" s="9" t="str">
        <x:f>IF(C1923="","",IFERROR(INDEX('Taxonomy'!$G$9:$G$108,MATCH(D1923,'Taxonomy'!$C$9:$C$108,0)),""))</x:f>
      </x:c>
    </x:row>
    <x:row r="1924" ht="44" customHeight="1">
      <x:c r="A1924" s="1"/>
      <x:c r="B1924" s="1"/>
      <x:c r="C1924" s="8"/>
      <x:c r="D1924" s="8"/>
      <x:c r="E1924" s="8"/>
      <x:c r="F1924" s="8"/>
      <x:c r="G1924" s="8"/>
      <x:c r="H1924" s="8"/>
      <x:c r="I1924" s="8"/>
      <x:c r="J1924" s="8"/>
      <x:c r="K1924" s="8"/>
      <x:c r="L1924" s="8"/>
      <x:c r="M1924" s="10"/>
      <x:c r="N1924" s="10"/>
      <x:c r="O1924" s="8"/>
      <x:c r="P1924" s="9" t="str">
        <x:f>IF(C1924="","",IF(AND(G1924="Applicable",H1924="Fail"),"Fail",IF(R1924&lt;&gt;"Valid","Pending",IF(OR(I1924="",K1924="",L1924="",K1924=L1924,NOT(ISNUMBER(M1924)),NOT(ISNUMBER(N1924)),M1924&gt;Settings!$F$8,N1924&lt;Settings!$F$8,N1924&lt;M1924),"Pending",IF(AND(G1924="Applicable",H1924="Pass"),"Pass",IF(AND(G1924="N/A",H1924="N/A",J1924&lt;&gt;"",OR(E1924="CEM-FUELS",E1924="CEM-CCS",AND(E1924="CEM-PLAN",IFERROR(INDEX('Taxonomy'!$M$9:$M$108,MATCH(D1924,'Taxonomy'!$C$9:$C$108,0)),"")&lt;&gt;"Amber"),E1924="BLD-TIMBER",AND(U1924="Building equipment",OR(E1924="BLD-WATER",E1924="BLD-WASTE",E1924="BLD-LAND")),AND(U1924="Building renovation",E1924="BLD-LAND"))),"N/A","Pending"))))))</x:f>
      </x:c>
      <x:c r="Q1924" s="3" t="str">
        <x:f>IF(C1924="","",IF(AND(R1924="Valid",OR(P1924="Pass",P1924="N/A")),"Complete","Unresolved"))</x:f>
      </x:c>
      <x:c r="R1924" s="9" t="str">
        <x:f>IF(C1924="","",IF(OR(COUNTIF($C$9:$C$2008,C1924)&lt;&gt;1,COUNTIFS($D$9:$D$2008,D1924,$E$9:$E$2008,E1924)&lt;&gt;1),"Duplicate test",IF(COUNTIF('Taxonomy'!$C$9:$C$108,D1924)&lt;&gt;1,"Assessment key",IF(OR(COUNTIF('Taxonomy Rules'!$C$42:$C$68,E1924)&lt;&gt;1,F1924&lt;&gt;IFERROR(INDEX('Taxonomy Rules'!$D$42:$D$68,MATCH(E1924,'Taxonomy Rules'!$C$42:$C$68,0)),""),NOT(OR(IFERROR(INDEX('Taxonomy Rules'!$G$42:$G$68,MATCH(E1924,'Taxonomy Rules'!$C$42:$C$68,0)),"")="All supported routes",IFERROR(INDEX('Taxonomy Rules'!$G$42:$G$68,MATCH(E1924,'Taxonomy Rules'!$C$42:$C$68,0)),"")=U1924,AND(IFERROR(INDEX('Taxonomy Rules'!$G$42:$G$68,MATCH(E1924,'Taxonomy Rules'!$C$42:$C$68,0)),"")="Building routes",OR(U1924="Building renovation",U1924="New building",U1924="Building equipment"))))),"Unexpected test","Valid"))))</x:f>
      </x:c>
      <x:c r="S1924" s="9" t="str">
        <x:f>IF(C1924="","",IFERROR(INDEX('Taxonomy Rules'!$E$42:$E$68,MATCH(E1924,'Taxonomy Rules'!$C$42:$C$68,0)),""))</x:f>
      </x:c>
      <x:c r="T1924" s="9" t="str">
        <x:f>IF(C1924="","",IFERROR(INDEX('Taxonomy Rules'!$F$42:$F$68,MATCH(E1924,'Taxonomy Rules'!$C$42:$C$68,0)),""))</x:f>
      </x:c>
      <x:c r="U1924" s="9" t="str">
        <x:f>IF(C1924="","",IFERROR(INDEX('Taxonomy'!$G$9:$G$108,MATCH(D1924,'Taxonomy'!$C$9:$C$108,0)),""))</x:f>
      </x:c>
    </x:row>
    <x:row r="1925" ht="44" customHeight="1">
      <x:c r="A1925" s="1"/>
      <x:c r="B1925" s="1"/>
      <x:c r="C1925" s="8"/>
      <x:c r="D1925" s="8"/>
      <x:c r="E1925" s="8"/>
      <x:c r="F1925" s="8"/>
      <x:c r="G1925" s="8"/>
      <x:c r="H1925" s="8"/>
      <x:c r="I1925" s="8"/>
      <x:c r="J1925" s="8"/>
      <x:c r="K1925" s="8"/>
      <x:c r="L1925" s="8"/>
      <x:c r="M1925" s="10"/>
      <x:c r="N1925" s="10"/>
      <x:c r="O1925" s="8"/>
      <x:c r="P1925" s="9" t="str">
        <x:f>IF(C1925="","",IF(AND(G1925="Applicable",H1925="Fail"),"Fail",IF(R1925&lt;&gt;"Valid","Pending",IF(OR(I1925="",K1925="",L1925="",K1925=L1925,NOT(ISNUMBER(M1925)),NOT(ISNUMBER(N1925)),M1925&gt;Settings!$F$8,N1925&lt;Settings!$F$8,N1925&lt;M1925),"Pending",IF(AND(G1925="Applicable",H1925="Pass"),"Pass",IF(AND(G1925="N/A",H1925="N/A",J1925&lt;&gt;"",OR(E1925="CEM-FUELS",E1925="CEM-CCS",AND(E1925="CEM-PLAN",IFERROR(INDEX('Taxonomy'!$M$9:$M$108,MATCH(D1925,'Taxonomy'!$C$9:$C$108,0)),"")&lt;&gt;"Amber"),E1925="BLD-TIMBER",AND(U1925="Building equipment",OR(E1925="BLD-WATER",E1925="BLD-WASTE",E1925="BLD-LAND")),AND(U1925="Building renovation",E1925="BLD-LAND"))),"N/A","Pending"))))))</x:f>
      </x:c>
      <x:c r="Q1925" s="3" t="str">
        <x:f>IF(C1925="","",IF(AND(R1925="Valid",OR(P1925="Pass",P1925="N/A")),"Complete","Unresolved"))</x:f>
      </x:c>
      <x:c r="R1925" s="9" t="str">
        <x:f>IF(C1925="","",IF(OR(COUNTIF($C$9:$C$2008,C1925)&lt;&gt;1,COUNTIFS($D$9:$D$2008,D1925,$E$9:$E$2008,E1925)&lt;&gt;1),"Duplicate test",IF(COUNTIF('Taxonomy'!$C$9:$C$108,D1925)&lt;&gt;1,"Assessment key",IF(OR(COUNTIF('Taxonomy Rules'!$C$42:$C$68,E1925)&lt;&gt;1,F1925&lt;&gt;IFERROR(INDEX('Taxonomy Rules'!$D$42:$D$68,MATCH(E1925,'Taxonomy Rules'!$C$42:$C$68,0)),""),NOT(OR(IFERROR(INDEX('Taxonomy Rules'!$G$42:$G$68,MATCH(E1925,'Taxonomy Rules'!$C$42:$C$68,0)),"")="All supported routes",IFERROR(INDEX('Taxonomy Rules'!$G$42:$G$68,MATCH(E1925,'Taxonomy Rules'!$C$42:$C$68,0)),"")=U1925,AND(IFERROR(INDEX('Taxonomy Rules'!$G$42:$G$68,MATCH(E1925,'Taxonomy Rules'!$C$42:$C$68,0)),"")="Building routes",OR(U1925="Building renovation",U1925="New building",U1925="Building equipment"))))),"Unexpected test","Valid"))))</x:f>
      </x:c>
      <x:c r="S1925" s="9" t="str">
        <x:f>IF(C1925="","",IFERROR(INDEX('Taxonomy Rules'!$E$42:$E$68,MATCH(E1925,'Taxonomy Rules'!$C$42:$C$68,0)),""))</x:f>
      </x:c>
      <x:c r="T1925" s="9" t="str">
        <x:f>IF(C1925="","",IFERROR(INDEX('Taxonomy Rules'!$F$42:$F$68,MATCH(E1925,'Taxonomy Rules'!$C$42:$C$68,0)),""))</x:f>
      </x:c>
      <x:c r="U1925" s="9" t="str">
        <x:f>IF(C1925="","",IFERROR(INDEX('Taxonomy'!$G$9:$G$108,MATCH(D1925,'Taxonomy'!$C$9:$C$108,0)),""))</x:f>
      </x:c>
    </x:row>
    <x:row r="1926" ht="44" customHeight="1">
      <x:c r="A1926" s="1"/>
      <x:c r="B1926" s="1"/>
      <x:c r="C1926" s="8"/>
      <x:c r="D1926" s="8"/>
      <x:c r="E1926" s="8"/>
      <x:c r="F1926" s="8"/>
      <x:c r="G1926" s="8"/>
      <x:c r="H1926" s="8"/>
      <x:c r="I1926" s="8"/>
      <x:c r="J1926" s="8"/>
      <x:c r="K1926" s="8"/>
      <x:c r="L1926" s="8"/>
      <x:c r="M1926" s="10"/>
      <x:c r="N1926" s="10"/>
      <x:c r="O1926" s="8"/>
      <x:c r="P1926" s="9" t="str">
        <x:f>IF(C1926="","",IF(AND(G1926="Applicable",H1926="Fail"),"Fail",IF(R1926&lt;&gt;"Valid","Pending",IF(OR(I1926="",K1926="",L1926="",K1926=L1926,NOT(ISNUMBER(M1926)),NOT(ISNUMBER(N1926)),M1926&gt;Settings!$F$8,N1926&lt;Settings!$F$8,N1926&lt;M1926),"Pending",IF(AND(G1926="Applicable",H1926="Pass"),"Pass",IF(AND(G1926="N/A",H1926="N/A",J1926&lt;&gt;"",OR(E1926="CEM-FUELS",E1926="CEM-CCS",AND(E1926="CEM-PLAN",IFERROR(INDEX('Taxonomy'!$M$9:$M$108,MATCH(D1926,'Taxonomy'!$C$9:$C$108,0)),"")&lt;&gt;"Amber"),E1926="BLD-TIMBER",AND(U1926="Building equipment",OR(E1926="BLD-WATER",E1926="BLD-WASTE",E1926="BLD-LAND")),AND(U1926="Building renovation",E1926="BLD-LAND"))),"N/A","Pending"))))))</x:f>
      </x:c>
      <x:c r="Q1926" s="3" t="str">
        <x:f>IF(C1926="","",IF(AND(R1926="Valid",OR(P1926="Pass",P1926="N/A")),"Complete","Unresolved"))</x:f>
      </x:c>
      <x:c r="R1926" s="9" t="str">
        <x:f>IF(C1926="","",IF(OR(COUNTIF($C$9:$C$2008,C1926)&lt;&gt;1,COUNTIFS($D$9:$D$2008,D1926,$E$9:$E$2008,E1926)&lt;&gt;1),"Duplicate test",IF(COUNTIF('Taxonomy'!$C$9:$C$108,D1926)&lt;&gt;1,"Assessment key",IF(OR(COUNTIF('Taxonomy Rules'!$C$42:$C$68,E1926)&lt;&gt;1,F1926&lt;&gt;IFERROR(INDEX('Taxonomy Rules'!$D$42:$D$68,MATCH(E1926,'Taxonomy Rules'!$C$42:$C$68,0)),""),NOT(OR(IFERROR(INDEX('Taxonomy Rules'!$G$42:$G$68,MATCH(E1926,'Taxonomy Rules'!$C$42:$C$68,0)),"")="All supported routes",IFERROR(INDEX('Taxonomy Rules'!$G$42:$G$68,MATCH(E1926,'Taxonomy Rules'!$C$42:$C$68,0)),"")=U1926,AND(IFERROR(INDEX('Taxonomy Rules'!$G$42:$G$68,MATCH(E1926,'Taxonomy Rules'!$C$42:$C$68,0)),"")="Building routes",OR(U1926="Building renovation",U1926="New building",U1926="Building equipment"))))),"Unexpected test","Valid"))))</x:f>
      </x:c>
      <x:c r="S1926" s="9" t="str">
        <x:f>IF(C1926="","",IFERROR(INDEX('Taxonomy Rules'!$E$42:$E$68,MATCH(E1926,'Taxonomy Rules'!$C$42:$C$68,0)),""))</x:f>
      </x:c>
      <x:c r="T1926" s="9" t="str">
        <x:f>IF(C1926="","",IFERROR(INDEX('Taxonomy Rules'!$F$42:$F$68,MATCH(E1926,'Taxonomy Rules'!$C$42:$C$68,0)),""))</x:f>
      </x:c>
      <x:c r="U1926" s="9" t="str">
        <x:f>IF(C1926="","",IFERROR(INDEX('Taxonomy'!$G$9:$G$108,MATCH(D1926,'Taxonomy'!$C$9:$C$108,0)),""))</x:f>
      </x:c>
    </x:row>
    <x:row r="1927" ht="44" customHeight="1">
      <x:c r="A1927" s="1"/>
      <x:c r="B1927" s="1"/>
      <x:c r="C1927" s="8"/>
      <x:c r="D1927" s="8"/>
      <x:c r="E1927" s="8"/>
      <x:c r="F1927" s="8"/>
      <x:c r="G1927" s="8"/>
      <x:c r="H1927" s="8"/>
      <x:c r="I1927" s="8"/>
      <x:c r="J1927" s="8"/>
      <x:c r="K1927" s="8"/>
      <x:c r="L1927" s="8"/>
      <x:c r="M1927" s="10"/>
      <x:c r="N1927" s="10"/>
      <x:c r="O1927" s="8"/>
      <x:c r="P1927" s="9" t="str">
        <x:f>IF(C1927="","",IF(AND(G1927="Applicable",H1927="Fail"),"Fail",IF(R1927&lt;&gt;"Valid","Pending",IF(OR(I1927="",K1927="",L1927="",K1927=L1927,NOT(ISNUMBER(M1927)),NOT(ISNUMBER(N1927)),M1927&gt;Settings!$F$8,N1927&lt;Settings!$F$8,N1927&lt;M1927),"Pending",IF(AND(G1927="Applicable",H1927="Pass"),"Pass",IF(AND(G1927="N/A",H1927="N/A",J1927&lt;&gt;"",OR(E1927="CEM-FUELS",E1927="CEM-CCS",AND(E1927="CEM-PLAN",IFERROR(INDEX('Taxonomy'!$M$9:$M$108,MATCH(D1927,'Taxonomy'!$C$9:$C$108,0)),"")&lt;&gt;"Amber"),E1927="BLD-TIMBER",AND(U1927="Building equipment",OR(E1927="BLD-WATER",E1927="BLD-WASTE",E1927="BLD-LAND")),AND(U1927="Building renovation",E1927="BLD-LAND"))),"N/A","Pending"))))))</x:f>
      </x:c>
      <x:c r="Q1927" s="3" t="str">
        <x:f>IF(C1927="","",IF(AND(R1927="Valid",OR(P1927="Pass",P1927="N/A")),"Complete","Unresolved"))</x:f>
      </x:c>
      <x:c r="R1927" s="9" t="str">
        <x:f>IF(C1927="","",IF(OR(COUNTIF($C$9:$C$2008,C1927)&lt;&gt;1,COUNTIFS($D$9:$D$2008,D1927,$E$9:$E$2008,E1927)&lt;&gt;1),"Duplicate test",IF(COUNTIF('Taxonomy'!$C$9:$C$108,D1927)&lt;&gt;1,"Assessment key",IF(OR(COUNTIF('Taxonomy Rules'!$C$42:$C$68,E1927)&lt;&gt;1,F1927&lt;&gt;IFERROR(INDEX('Taxonomy Rules'!$D$42:$D$68,MATCH(E1927,'Taxonomy Rules'!$C$42:$C$68,0)),""),NOT(OR(IFERROR(INDEX('Taxonomy Rules'!$G$42:$G$68,MATCH(E1927,'Taxonomy Rules'!$C$42:$C$68,0)),"")="All supported routes",IFERROR(INDEX('Taxonomy Rules'!$G$42:$G$68,MATCH(E1927,'Taxonomy Rules'!$C$42:$C$68,0)),"")=U1927,AND(IFERROR(INDEX('Taxonomy Rules'!$G$42:$G$68,MATCH(E1927,'Taxonomy Rules'!$C$42:$C$68,0)),"")="Building routes",OR(U1927="Building renovation",U1927="New building",U1927="Building equipment"))))),"Unexpected test","Valid"))))</x:f>
      </x:c>
      <x:c r="S1927" s="9" t="str">
        <x:f>IF(C1927="","",IFERROR(INDEX('Taxonomy Rules'!$E$42:$E$68,MATCH(E1927,'Taxonomy Rules'!$C$42:$C$68,0)),""))</x:f>
      </x:c>
      <x:c r="T1927" s="9" t="str">
        <x:f>IF(C1927="","",IFERROR(INDEX('Taxonomy Rules'!$F$42:$F$68,MATCH(E1927,'Taxonomy Rules'!$C$42:$C$68,0)),""))</x:f>
      </x:c>
      <x:c r="U1927" s="9" t="str">
        <x:f>IF(C1927="","",IFERROR(INDEX('Taxonomy'!$G$9:$G$108,MATCH(D1927,'Taxonomy'!$C$9:$C$108,0)),""))</x:f>
      </x:c>
    </x:row>
    <x:row r="1928" ht="44" customHeight="1">
      <x:c r="A1928" s="1"/>
      <x:c r="B1928" s="1"/>
      <x:c r="C1928" s="8"/>
      <x:c r="D1928" s="8"/>
      <x:c r="E1928" s="8"/>
      <x:c r="F1928" s="8"/>
      <x:c r="G1928" s="8"/>
      <x:c r="H1928" s="8"/>
      <x:c r="I1928" s="8"/>
      <x:c r="J1928" s="8"/>
      <x:c r="K1928" s="8"/>
      <x:c r="L1928" s="8"/>
      <x:c r="M1928" s="10"/>
      <x:c r="N1928" s="10"/>
      <x:c r="O1928" s="8"/>
      <x:c r="P1928" s="9" t="str">
        <x:f>IF(C1928="","",IF(AND(G1928="Applicable",H1928="Fail"),"Fail",IF(R1928&lt;&gt;"Valid","Pending",IF(OR(I1928="",K1928="",L1928="",K1928=L1928,NOT(ISNUMBER(M1928)),NOT(ISNUMBER(N1928)),M1928&gt;Settings!$F$8,N1928&lt;Settings!$F$8,N1928&lt;M1928),"Pending",IF(AND(G1928="Applicable",H1928="Pass"),"Pass",IF(AND(G1928="N/A",H1928="N/A",J1928&lt;&gt;"",OR(E1928="CEM-FUELS",E1928="CEM-CCS",AND(E1928="CEM-PLAN",IFERROR(INDEX('Taxonomy'!$M$9:$M$108,MATCH(D1928,'Taxonomy'!$C$9:$C$108,0)),"")&lt;&gt;"Amber"),E1928="BLD-TIMBER",AND(U1928="Building equipment",OR(E1928="BLD-WATER",E1928="BLD-WASTE",E1928="BLD-LAND")),AND(U1928="Building renovation",E1928="BLD-LAND"))),"N/A","Pending"))))))</x:f>
      </x:c>
      <x:c r="Q1928" s="3" t="str">
        <x:f>IF(C1928="","",IF(AND(R1928="Valid",OR(P1928="Pass",P1928="N/A")),"Complete","Unresolved"))</x:f>
      </x:c>
      <x:c r="R1928" s="9" t="str">
        <x:f>IF(C1928="","",IF(OR(COUNTIF($C$9:$C$2008,C1928)&lt;&gt;1,COUNTIFS($D$9:$D$2008,D1928,$E$9:$E$2008,E1928)&lt;&gt;1),"Duplicate test",IF(COUNTIF('Taxonomy'!$C$9:$C$108,D1928)&lt;&gt;1,"Assessment key",IF(OR(COUNTIF('Taxonomy Rules'!$C$42:$C$68,E1928)&lt;&gt;1,F1928&lt;&gt;IFERROR(INDEX('Taxonomy Rules'!$D$42:$D$68,MATCH(E1928,'Taxonomy Rules'!$C$42:$C$68,0)),""),NOT(OR(IFERROR(INDEX('Taxonomy Rules'!$G$42:$G$68,MATCH(E1928,'Taxonomy Rules'!$C$42:$C$68,0)),"")="All supported routes",IFERROR(INDEX('Taxonomy Rules'!$G$42:$G$68,MATCH(E1928,'Taxonomy Rules'!$C$42:$C$68,0)),"")=U1928,AND(IFERROR(INDEX('Taxonomy Rules'!$G$42:$G$68,MATCH(E1928,'Taxonomy Rules'!$C$42:$C$68,0)),"")="Building routes",OR(U1928="Building renovation",U1928="New building",U1928="Building equipment"))))),"Unexpected test","Valid"))))</x:f>
      </x:c>
      <x:c r="S1928" s="9" t="str">
        <x:f>IF(C1928="","",IFERROR(INDEX('Taxonomy Rules'!$E$42:$E$68,MATCH(E1928,'Taxonomy Rules'!$C$42:$C$68,0)),""))</x:f>
      </x:c>
      <x:c r="T1928" s="9" t="str">
        <x:f>IF(C1928="","",IFERROR(INDEX('Taxonomy Rules'!$F$42:$F$68,MATCH(E1928,'Taxonomy Rules'!$C$42:$C$68,0)),""))</x:f>
      </x:c>
      <x:c r="U1928" s="9" t="str">
        <x:f>IF(C1928="","",IFERROR(INDEX('Taxonomy'!$G$9:$G$108,MATCH(D1928,'Taxonomy'!$C$9:$C$108,0)),""))</x:f>
      </x:c>
    </x:row>
    <x:row r="1929" ht="44" customHeight="1">
      <x:c r="A1929" s="1"/>
      <x:c r="B1929" s="1"/>
      <x:c r="C1929" s="8"/>
      <x:c r="D1929" s="8"/>
      <x:c r="E1929" s="8"/>
      <x:c r="F1929" s="8"/>
      <x:c r="G1929" s="8"/>
      <x:c r="H1929" s="8"/>
      <x:c r="I1929" s="8"/>
      <x:c r="J1929" s="8"/>
      <x:c r="K1929" s="8"/>
      <x:c r="L1929" s="8"/>
      <x:c r="M1929" s="10"/>
      <x:c r="N1929" s="10"/>
      <x:c r="O1929" s="8"/>
      <x:c r="P1929" s="9" t="str">
        <x:f>IF(C1929="","",IF(AND(G1929="Applicable",H1929="Fail"),"Fail",IF(R1929&lt;&gt;"Valid","Pending",IF(OR(I1929="",K1929="",L1929="",K1929=L1929,NOT(ISNUMBER(M1929)),NOT(ISNUMBER(N1929)),M1929&gt;Settings!$F$8,N1929&lt;Settings!$F$8,N1929&lt;M1929),"Pending",IF(AND(G1929="Applicable",H1929="Pass"),"Pass",IF(AND(G1929="N/A",H1929="N/A",J1929&lt;&gt;"",OR(E1929="CEM-FUELS",E1929="CEM-CCS",AND(E1929="CEM-PLAN",IFERROR(INDEX('Taxonomy'!$M$9:$M$108,MATCH(D1929,'Taxonomy'!$C$9:$C$108,0)),"")&lt;&gt;"Amber"),E1929="BLD-TIMBER",AND(U1929="Building equipment",OR(E1929="BLD-WATER",E1929="BLD-WASTE",E1929="BLD-LAND")),AND(U1929="Building renovation",E1929="BLD-LAND"))),"N/A","Pending"))))))</x:f>
      </x:c>
      <x:c r="Q1929" s="3" t="str">
        <x:f>IF(C1929="","",IF(AND(R1929="Valid",OR(P1929="Pass",P1929="N/A")),"Complete","Unresolved"))</x:f>
      </x:c>
      <x:c r="R1929" s="9" t="str">
        <x:f>IF(C1929="","",IF(OR(COUNTIF($C$9:$C$2008,C1929)&lt;&gt;1,COUNTIFS($D$9:$D$2008,D1929,$E$9:$E$2008,E1929)&lt;&gt;1),"Duplicate test",IF(COUNTIF('Taxonomy'!$C$9:$C$108,D1929)&lt;&gt;1,"Assessment key",IF(OR(COUNTIF('Taxonomy Rules'!$C$42:$C$68,E1929)&lt;&gt;1,F1929&lt;&gt;IFERROR(INDEX('Taxonomy Rules'!$D$42:$D$68,MATCH(E1929,'Taxonomy Rules'!$C$42:$C$68,0)),""),NOT(OR(IFERROR(INDEX('Taxonomy Rules'!$G$42:$G$68,MATCH(E1929,'Taxonomy Rules'!$C$42:$C$68,0)),"")="All supported routes",IFERROR(INDEX('Taxonomy Rules'!$G$42:$G$68,MATCH(E1929,'Taxonomy Rules'!$C$42:$C$68,0)),"")=U1929,AND(IFERROR(INDEX('Taxonomy Rules'!$G$42:$G$68,MATCH(E1929,'Taxonomy Rules'!$C$42:$C$68,0)),"")="Building routes",OR(U1929="Building renovation",U1929="New building",U1929="Building equipment"))))),"Unexpected test","Valid"))))</x:f>
      </x:c>
      <x:c r="S1929" s="9" t="str">
        <x:f>IF(C1929="","",IFERROR(INDEX('Taxonomy Rules'!$E$42:$E$68,MATCH(E1929,'Taxonomy Rules'!$C$42:$C$68,0)),""))</x:f>
      </x:c>
      <x:c r="T1929" s="9" t="str">
        <x:f>IF(C1929="","",IFERROR(INDEX('Taxonomy Rules'!$F$42:$F$68,MATCH(E1929,'Taxonomy Rules'!$C$42:$C$68,0)),""))</x:f>
      </x:c>
      <x:c r="U1929" s="9" t="str">
        <x:f>IF(C1929="","",IFERROR(INDEX('Taxonomy'!$G$9:$G$108,MATCH(D1929,'Taxonomy'!$C$9:$C$108,0)),""))</x:f>
      </x:c>
    </x:row>
    <x:row r="1930" ht="44" customHeight="1">
      <x:c r="A1930" s="1"/>
      <x:c r="B1930" s="1"/>
      <x:c r="C1930" s="8"/>
      <x:c r="D1930" s="8"/>
      <x:c r="E1930" s="8"/>
      <x:c r="F1930" s="8"/>
      <x:c r="G1930" s="8"/>
      <x:c r="H1930" s="8"/>
      <x:c r="I1930" s="8"/>
      <x:c r="J1930" s="8"/>
      <x:c r="K1930" s="8"/>
      <x:c r="L1930" s="8"/>
      <x:c r="M1930" s="10"/>
      <x:c r="N1930" s="10"/>
      <x:c r="O1930" s="8"/>
      <x:c r="P1930" s="9" t="str">
        <x:f>IF(C1930="","",IF(AND(G1930="Applicable",H1930="Fail"),"Fail",IF(R1930&lt;&gt;"Valid","Pending",IF(OR(I1930="",K1930="",L1930="",K1930=L1930,NOT(ISNUMBER(M1930)),NOT(ISNUMBER(N1930)),M1930&gt;Settings!$F$8,N1930&lt;Settings!$F$8,N1930&lt;M1930),"Pending",IF(AND(G1930="Applicable",H1930="Pass"),"Pass",IF(AND(G1930="N/A",H1930="N/A",J1930&lt;&gt;"",OR(E1930="CEM-FUELS",E1930="CEM-CCS",AND(E1930="CEM-PLAN",IFERROR(INDEX('Taxonomy'!$M$9:$M$108,MATCH(D1930,'Taxonomy'!$C$9:$C$108,0)),"")&lt;&gt;"Amber"),E1930="BLD-TIMBER",AND(U1930="Building equipment",OR(E1930="BLD-WATER",E1930="BLD-WASTE",E1930="BLD-LAND")),AND(U1930="Building renovation",E1930="BLD-LAND"))),"N/A","Pending"))))))</x:f>
      </x:c>
      <x:c r="Q1930" s="3" t="str">
        <x:f>IF(C1930="","",IF(AND(R1930="Valid",OR(P1930="Pass",P1930="N/A")),"Complete","Unresolved"))</x:f>
      </x:c>
      <x:c r="R1930" s="9" t="str">
        <x:f>IF(C1930="","",IF(OR(COUNTIF($C$9:$C$2008,C1930)&lt;&gt;1,COUNTIFS($D$9:$D$2008,D1930,$E$9:$E$2008,E1930)&lt;&gt;1),"Duplicate test",IF(COUNTIF('Taxonomy'!$C$9:$C$108,D1930)&lt;&gt;1,"Assessment key",IF(OR(COUNTIF('Taxonomy Rules'!$C$42:$C$68,E1930)&lt;&gt;1,F1930&lt;&gt;IFERROR(INDEX('Taxonomy Rules'!$D$42:$D$68,MATCH(E1930,'Taxonomy Rules'!$C$42:$C$68,0)),""),NOT(OR(IFERROR(INDEX('Taxonomy Rules'!$G$42:$G$68,MATCH(E1930,'Taxonomy Rules'!$C$42:$C$68,0)),"")="All supported routes",IFERROR(INDEX('Taxonomy Rules'!$G$42:$G$68,MATCH(E1930,'Taxonomy Rules'!$C$42:$C$68,0)),"")=U1930,AND(IFERROR(INDEX('Taxonomy Rules'!$G$42:$G$68,MATCH(E1930,'Taxonomy Rules'!$C$42:$C$68,0)),"")="Building routes",OR(U1930="Building renovation",U1930="New building",U1930="Building equipment"))))),"Unexpected test","Valid"))))</x:f>
      </x:c>
      <x:c r="S1930" s="9" t="str">
        <x:f>IF(C1930="","",IFERROR(INDEX('Taxonomy Rules'!$E$42:$E$68,MATCH(E1930,'Taxonomy Rules'!$C$42:$C$68,0)),""))</x:f>
      </x:c>
      <x:c r="T1930" s="9" t="str">
        <x:f>IF(C1930="","",IFERROR(INDEX('Taxonomy Rules'!$F$42:$F$68,MATCH(E1930,'Taxonomy Rules'!$C$42:$C$68,0)),""))</x:f>
      </x:c>
      <x:c r="U1930" s="9" t="str">
        <x:f>IF(C1930="","",IFERROR(INDEX('Taxonomy'!$G$9:$G$108,MATCH(D1930,'Taxonomy'!$C$9:$C$108,0)),""))</x:f>
      </x:c>
    </x:row>
    <x:row r="1931" ht="44" customHeight="1">
      <x:c r="A1931" s="1"/>
      <x:c r="B1931" s="1"/>
      <x:c r="C1931" s="8"/>
      <x:c r="D1931" s="8"/>
      <x:c r="E1931" s="8"/>
      <x:c r="F1931" s="8"/>
      <x:c r="G1931" s="8"/>
      <x:c r="H1931" s="8"/>
      <x:c r="I1931" s="8"/>
      <x:c r="J1931" s="8"/>
      <x:c r="K1931" s="8"/>
      <x:c r="L1931" s="8"/>
      <x:c r="M1931" s="10"/>
      <x:c r="N1931" s="10"/>
      <x:c r="O1931" s="8"/>
      <x:c r="P1931" s="9" t="str">
        <x:f>IF(C1931="","",IF(AND(G1931="Applicable",H1931="Fail"),"Fail",IF(R1931&lt;&gt;"Valid","Pending",IF(OR(I1931="",K1931="",L1931="",K1931=L1931,NOT(ISNUMBER(M1931)),NOT(ISNUMBER(N1931)),M1931&gt;Settings!$F$8,N1931&lt;Settings!$F$8,N1931&lt;M1931),"Pending",IF(AND(G1931="Applicable",H1931="Pass"),"Pass",IF(AND(G1931="N/A",H1931="N/A",J1931&lt;&gt;"",OR(E1931="CEM-FUELS",E1931="CEM-CCS",AND(E1931="CEM-PLAN",IFERROR(INDEX('Taxonomy'!$M$9:$M$108,MATCH(D1931,'Taxonomy'!$C$9:$C$108,0)),"")&lt;&gt;"Amber"),E1931="BLD-TIMBER",AND(U1931="Building equipment",OR(E1931="BLD-WATER",E1931="BLD-WASTE",E1931="BLD-LAND")),AND(U1931="Building renovation",E1931="BLD-LAND"))),"N/A","Pending"))))))</x:f>
      </x:c>
      <x:c r="Q1931" s="3" t="str">
        <x:f>IF(C1931="","",IF(AND(R1931="Valid",OR(P1931="Pass",P1931="N/A")),"Complete","Unresolved"))</x:f>
      </x:c>
      <x:c r="R1931" s="9" t="str">
        <x:f>IF(C1931="","",IF(OR(COUNTIF($C$9:$C$2008,C1931)&lt;&gt;1,COUNTIFS($D$9:$D$2008,D1931,$E$9:$E$2008,E1931)&lt;&gt;1),"Duplicate test",IF(COUNTIF('Taxonomy'!$C$9:$C$108,D1931)&lt;&gt;1,"Assessment key",IF(OR(COUNTIF('Taxonomy Rules'!$C$42:$C$68,E1931)&lt;&gt;1,F1931&lt;&gt;IFERROR(INDEX('Taxonomy Rules'!$D$42:$D$68,MATCH(E1931,'Taxonomy Rules'!$C$42:$C$68,0)),""),NOT(OR(IFERROR(INDEX('Taxonomy Rules'!$G$42:$G$68,MATCH(E1931,'Taxonomy Rules'!$C$42:$C$68,0)),"")="All supported routes",IFERROR(INDEX('Taxonomy Rules'!$G$42:$G$68,MATCH(E1931,'Taxonomy Rules'!$C$42:$C$68,0)),"")=U1931,AND(IFERROR(INDEX('Taxonomy Rules'!$G$42:$G$68,MATCH(E1931,'Taxonomy Rules'!$C$42:$C$68,0)),"")="Building routes",OR(U1931="Building renovation",U1931="New building",U1931="Building equipment"))))),"Unexpected test","Valid"))))</x:f>
      </x:c>
      <x:c r="S1931" s="9" t="str">
        <x:f>IF(C1931="","",IFERROR(INDEX('Taxonomy Rules'!$E$42:$E$68,MATCH(E1931,'Taxonomy Rules'!$C$42:$C$68,0)),""))</x:f>
      </x:c>
      <x:c r="T1931" s="9" t="str">
        <x:f>IF(C1931="","",IFERROR(INDEX('Taxonomy Rules'!$F$42:$F$68,MATCH(E1931,'Taxonomy Rules'!$C$42:$C$68,0)),""))</x:f>
      </x:c>
      <x:c r="U1931" s="9" t="str">
        <x:f>IF(C1931="","",IFERROR(INDEX('Taxonomy'!$G$9:$G$108,MATCH(D1931,'Taxonomy'!$C$9:$C$108,0)),""))</x:f>
      </x:c>
    </x:row>
    <x:row r="1932" ht="44" customHeight="1">
      <x:c r="A1932" s="1"/>
      <x:c r="B1932" s="1"/>
      <x:c r="C1932" s="8"/>
      <x:c r="D1932" s="8"/>
      <x:c r="E1932" s="8"/>
      <x:c r="F1932" s="8"/>
      <x:c r="G1932" s="8"/>
      <x:c r="H1932" s="8"/>
      <x:c r="I1932" s="8"/>
      <x:c r="J1932" s="8"/>
      <x:c r="K1932" s="8"/>
      <x:c r="L1932" s="8"/>
      <x:c r="M1932" s="10"/>
      <x:c r="N1932" s="10"/>
      <x:c r="O1932" s="8"/>
      <x:c r="P1932" s="9" t="str">
        <x:f>IF(C1932="","",IF(AND(G1932="Applicable",H1932="Fail"),"Fail",IF(R1932&lt;&gt;"Valid","Pending",IF(OR(I1932="",K1932="",L1932="",K1932=L1932,NOT(ISNUMBER(M1932)),NOT(ISNUMBER(N1932)),M1932&gt;Settings!$F$8,N1932&lt;Settings!$F$8,N1932&lt;M1932),"Pending",IF(AND(G1932="Applicable",H1932="Pass"),"Pass",IF(AND(G1932="N/A",H1932="N/A",J1932&lt;&gt;"",OR(E1932="CEM-FUELS",E1932="CEM-CCS",AND(E1932="CEM-PLAN",IFERROR(INDEX('Taxonomy'!$M$9:$M$108,MATCH(D1932,'Taxonomy'!$C$9:$C$108,0)),"")&lt;&gt;"Amber"),E1932="BLD-TIMBER",AND(U1932="Building equipment",OR(E1932="BLD-WATER",E1932="BLD-WASTE",E1932="BLD-LAND")),AND(U1932="Building renovation",E1932="BLD-LAND"))),"N/A","Pending"))))))</x:f>
      </x:c>
      <x:c r="Q1932" s="3" t="str">
        <x:f>IF(C1932="","",IF(AND(R1932="Valid",OR(P1932="Pass",P1932="N/A")),"Complete","Unresolved"))</x:f>
      </x:c>
      <x:c r="R1932" s="9" t="str">
        <x:f>IF(C1932="","",IF(OR(COUNTIF($C$9:$C$2008,C1932)&lt;&gt;1,COUNTIFS($D$9:$D$2008,D1932,$E$9:$E$2008,E1932)&lt;&gt;1),"Duplicate test",IF(COUNTIF('Taxonomy'!$C$9:$C$108,D1932)&lt;&gt;1,"Assessment key",IF(OR(COUNTIF('Taxonomy Rules'!$C$42:$C$68,E1932)&lt;&gt;1,F1932&lt;&gt;IFERROR(INDEX('Taxonomy Rules'!$D$42:$D$68,MATCH(E1932,'Taxonomy Rules'!$C$42:$C$68,0)),""),NOT(OR(IFERROR(INDEX('Taxonomy Rules'!$G$42:$G$68,MATCH(E1932,'Taxonomy Rules'!$C$42:$C$68,0)),"")="All supported routes",IFERROR(INDEX('Taxonomy Rules'!$G$42:$G$68,MATCH(E1932,'Taxonomy Rules'!$C$42:$C$68,0)),"")=U1932,AND(IFERROR(INDEX('Taxonomy Rules'!$G$42:$G$68,MATCH(E1932,'Taxonomy Rules'!$C$42:$C$68,0)),"")="Building routes",OR(U1932="Building renovation",U1932="New building",U1932="Building equipment"))))),"Unexpected test","Valid"))))</x:f>
      </x:c>
      <x:c r="S1932" s="9" t="str">
        <x:f>IF(C1932="","",IFERROR(INDEX('Taxonomy Rules'!$E$42:$E$68,MATCH(E1932,'Taxonomy Rules'!$C$42:$C$68,0)),""))</x:f>
      </x:c>
      <x:c r="T1932" s="9" t="str">
        <x:f>IF(C1932="","",IFERROR(INDEX('Taxonomy Rules'!$F$42:$F$68,MATCH(E1932,'Taxonomy Rules'!$C$42:$C$68,0)),""))</x:f>
      </x:c>
      <x:c r="U1932" s="9" t="str">
        <x:f>IF(C1932="","",IFERROR(INDEX('Taxonomy'!$G$9:$G$108,MATCH(D1932,'Taxonomy'!$C$9:$C$108,0)),""))</x:f>
      </x:c>
    </x:row>
    <x:row r="1933" ht="44" customHeight="1">
      <x:c r="A1933" s="1"/>
      <x:c r="B1933" s="1"/>
      <x:c r="C1933" s="8"/>
      <x:c r="D1933" s="8"/>
      <x:c r="E1933" s="8"/>
      <x:c r="F1933" s="8"/>
      <x:c r="G1933" s="8"/>
      <x:c r="H1933" s="8"/>
      <x:c r="I1933" s="8"/>
      <x:c r="J1933" s="8"/>
      <x:c r="K1933" s="8"/>
      <x:c r="L1933" s="8"/>
      <x:c r="M1933" s="10"/>
      <x:c r="N1933" s="10"/>
      <x:c r="O1933" s="8"/>
      <x:c r="P1933" s="9" t="str">
        <x:f>IF(C1933="","",IF(AND(G1933="Applicable",H1933="Fail"),"Fail",IF(R1933&lt;&gt;"Valid","Pending",IF(OR(I1933="",K1933="",L1933="",K1933=L1933,NOT(ISNUMBER(M1933)),NOT(ISNUMBER(N1933)),M1933&gt;Settings!$F$8,N1933&lt;Settings!$F$8,N1933&lt;M1933),"Pending",IF(AND(G1933="Applicable",H1933="Pass"),"Pass",IF(AND(G1933="N/A",H1933="N/A",J1933&lt;&gt;"",OR(E1933="CEM-FUELS",E1933="CEM-CCS",AND(E1933="CEM-PLAN",IFERROR(INDEX('Taxonomy'!$M$9:$M$108,MATCH(D1933,'Taxonomy'!$C$9:$C$108,0)),"")&lt;&gt;"Amber"),E1933="BLD-TIMBER",AND(U1933="Building equipment",OR(E1933="BLD-WATER",E1933="BLD-WASTE",E1933="BLD-LAND")),AND(U1933="Building renovation",E1933="BLD-LAND"))),"N/A","Pending"))))))</x:f>
      </x:c>
      <x:c r="Q1933" s="3" t="str">
        <x:f>IF(C1933="","",IF(AND(R1933="Valid",OR(P1933="Pass",P1933="N/A")),"Complete","Unresolved"))</x:f>
      </x:c>
      <x:c r="R1933" s="9" t="str">
        <x:f>IF(C1933="","",IF(OR(COUNTIF($C$9:$C$2008,C1933)&lt;&gt;1,COUNTIFS($D$9:$D$2008,D1933,$E$9:$E$2008,E1933)&lt;&gt;1),"Duplicate test",IF(COUNTIF('Taxonomy'!$C$9:$C$108,D1933)&lt;&gt;1,"Assessment key",IF(OR(COUNTIF('Taxonomy Rules'!$C$42:$C$68,E1933)&lt;&gt;1,F1933&lt;&gt;IFERROR(INDEX('Taxonomy Rules'!$D$42:$D$68,MATCH(E1933,'Taxonomy Rules'!$C$42:$C$68,0)),""),NOT(OR(IFERROR(INDEX('Taxonomy Rules'!$G$42:$G$68,MATCH(E1933,'Taxonomy Rules'!$C$42:$C$68,0)),"")="All supported routes",IFERROR(INDEX('Taxonomy Rules'!$G$42:$G$68,MATCH(E1933,'Taxonomy Rules'!$C$42:$C$68,0)),"")=U1933,AND(IFERROR(INDEX('Taxonomy Rules'!$G$42:$G$68,MATCH(E1933,'Taxonomy Rules'!$C$42:$C$68,0)),"")="Building routes",OR(U1933="Building renovation",U1933="New building",U1933="Building equipment"))))),"Unexpected test","Valid"))))</x:f>
      </x:c>
      <x:c r="S1933" s="9" t="str">
        <x:f>IF(C1933="","",IFERROR(INDEX('Taxonomy Rules'!$E$42:$E$68,MATCH(E1933,'Taxonomy Rules'!$C$42:$C$68,0)),""))</x:f>
      </x:c>
      <x:c r="T1933" s="9" t="str">
        <x:f>IF(C1933="","",IFERROR(INDEX('Taxonomy Rules'!$F$42:$F$68,MATCH(E1933,'Taxonomy Rules'!$C$42:$C$68,0)),""))</x:f>
      </x:c>
      <x:c r="U1933" s="9" t="str">
        <x:f>IF(C1933="","",IFERROR(INDEX('Taxonomy'!$G$9:$G$108,MATCH(D1933,'Taxonomy'!$C$9:$C$108,0)),""))</x:f>
      </x:c>
    </x:row>
    <x:row r="1934" ht="44" customHeight="1">
      <x:c r="A1934" s="1"/>
      <x:c r="B1934" s="1"/>
      <x:c r="C1934" s="8"/>
      <x:c r="D1934" s="8"/>
      <x:c r="E1934" s="8"/>
      <x:c r="F1934" s="8"/>
      <x:c r="G1934" s="8"/>
      <x:c r="H1934" s="8"/>
      <x:c r="I1934" s="8"/>
      <x:c r="J1934" s="8"/>
      <x:c r="K1934" s="8"/>
      <x:c r="L1934" s="8"/>
      <x:c r="M1934" s="10"/>
      <x:c r="N1934" s="10"/>
      <x:c r="O1934" s="8"/>
      <x:c r="P1934" s="9" t="str">
        <x:f>IF(C1934="","",IF(AND(G1934="Applicable",H1934="Fail"),"Fail",IF(R1934&lt;&gt;"Valid","Pending",IF(OR(I1934="",K1934="",L1934="",K1934=L1934,NOT(ISNUMBER(M1934)),NOT(ISNUMBER(N1934)),M1934&gt;Settings!$F$8,N1934&lt;Settings!$F$8,N1934&lt;M1934),"Pending",IF(AND(G1934="Applicable",H1934="Pass"),"Pass",IF(AND(G1934="N/A",H1934="N/A",J1934&lt;&gt;"",OR(E1934="CEM-FUELS",E1934="CEM-CCS",AND(E1934="CEM-PLAN",IFERROR(INDEX('Taxonomy'!$M$9:$M$108,MATCH(D1934,'Taxonomy'!$C$9:$C$108,0)),"")&lt;&gt;"Amber"),E1934="BLD-TIMBER",AND(U1934="Building equipment",OR(E1934="BLD-WATER",E1934="BLD-WASTE",E1934="BLD-LAND")),AND(U1934="Building renovation",E1934="BLD-LAND"))),"N/A","Pending"))))))</x:f>
      </x:c>
      <x:c r="Q1934" s="3" t="str">
        <x:f>IF(C1934="","",IF(AND(R1934="Valid",OR(P1934="Pass",P1934="N/A")),"Complete","Unresolved"))</x:f>
      </x:c>
      <x:c r="R1934" s="9" t="str">
        <x:f>IF(C1934="","",IF(OR(COUNTIF($C$9:$C$2008,C1934)&lt;&gt;1,COUNTIFS($D$9:$D$2008,D1934,$E$9:$E$2008,E1934)&lt;&gt;1),"Duplicate test",IF(COUNTIF('Taxonomy'!$C$9:$C$108,D1934)&lt;&gt;1,"Assessment key",IF(OR(COUNTIF('Taxonomy Rules'!$C$42:$C$68,E1934)&lt;&gt;1,F1934&lt;&gt;IFERROR(INDEX('Taxonomy Rules'!$D$42:$D$68,MATCH(E1934,'Taxonomy Rules'!$C$42:$C$68,0)),""),NOT(OR(IFERROR(INDEX('Taxonomy Rules'!$G$42:$G$68,MATCH(E1934,'Taxonomy Rules'!$C$42:$C$68,0)),"")="All supported routes",IFERROR(INDEX('Taxonomy Rules'!$G$42:$G$68,MATCH(E1934,'Taxonomy Rules'!$C$42:$C$68,0)),"")=U1934,AND(IFERROR(INDEX('Taxonomy Rules'!$G$42:$G$68,MATCH(E1934,'Taxonomy Rules'!$C$42:$C$68,0)),"")="Building routes",OR(U1934="Building renovation",U1934="New building",U1934="Building equipment"))))),"Unexpected test","Valid"))))</x:f>
      </x:c>
      <x:c r="S1934" s="9" t="str">
        <x:f>IF(C1934="","",IFERROR(INDEX('Taxonomy Rules'!$E$42:$E$68,MATCH(E1934,'Taxonomy Rules'!$C$42:$C$68,0)),""))</x:f>
      </x:c>
      <x:c r="T1934" s="9" t="str">
        <x:f>IF(C1934="","",IFERROR(INDEX('Taxonomy Rules'!$F$42:$F$68,MATCH(E1934,'Taxonomy Rules'!$C$42:$C$68,0)),""))</x:f>
      </x:c>
      <x:c r="U1934" s="9" t="str">
        <x:f>IF(C1934="","",IFERROR(INDEX('Taxonomy'!$G$9:$G$108,MATCH(D1934,'Taxonomy'!$C$9:$C$108,0)),""))</x:f>
      </x:c>
    </x:row>
    <x:row r="1935" ht="44" customHeight="1">
      <x:c r="A1935" s="1"/>
      <x:c r="B1935" s="1"/>
      <x:c r="C1935" s="8"/>
      <x:c r="D1935" s="8"/>
      <x:c r="E1935" s="8"/>
      <x:c r="F1935" s="8"/>
      <x:c r="G1935" s="8"/>
      <x:c r="H1935" s="8"/>
      <x:c r="I1935" s="8"/>
      <x:c r="J1935" s="8"/>
      <x:c r="K1935" s="8"/>
      <x:c r="L1935" s="8"/>
      <x:c r="M1935" s="10"/>
      <x:c r="N1935" s="10"/>
      <x:c r="O1935" s="8"/>
      <x:c r="P1935" s="9" t="str">
        <x:f>IF(C1935="","",IF(AND(G1935="Applicable",H1935="Fail"),"Fail",IF(R1935&lt;&gt;"Valid","Pending",IF(OR(I1935="",K1935="",L1935="",K1935=L1935,NOT(ISNUMBER(M1935)),NOT(ISNUMBER(N1935)),M1935&gt;Settings!$F$8,N1935&lt;Settings!$F$8,N1935&lt;M1935),"Pending",IF(AND(G1935="Applicable",H1935="Pass"),"Pass",IF(AND(G1935="N/A",H1935="N/A",J1935&lt;&gt;"",OR(E1935="CEM-FUELS",E1935="CEM-CCS",AND(E1935="CEM-PLAN",IFERROR(INDEX('Taxonomy'!$M$9:$M$108,MATCH(D1935,'Taxonomy'!$C$9:$C$108,0)),"")&lt;&gt;"Amber"),E1935="BLD-TIMBER",AND(U1935="Building equipment",OR(E1935="BLD-WATER",E1935="BLD-WASTE",E1935="BLD-LAND")),AND(U1935="Building renovation",E1935="BLD-LAND"))),"N/A","Pending"))))))</x:f>
      </x:c>
      <x:c r="Q1935" s="3" t="str">
        <x:f>IF(C1935="","",IF(AND(R1935="Valid",OR(P1935="Pass",P1935="N/A")),"Complete","Unresolved"))</x:f>
      </x:c>
      <x:c r="R1935" s="9" t="str">
        <x:f>IF(C1935="","",IF(OR(COUNTIF($C$9:$C$2008,C1935)&lt;&gt;1,COUNTIFS($D$9:$D$2008,D1935,$E$9:$E$2008,E1935)&lt;&gt;1),"Duplicate test",IF(COUNTIF('Taxonomy'!$C$9:$C$108,D1935)&lt;&gt;1,"Assessment key",IF(OR(COUNTIF('Taxonomy Rules'!$C$42:$C$68,E1935)&lt;&gt;1,F1935&lt;&gt;IFERROR(INDEX('Taxonomy Rules'!$D$42:$D$68,MATCH(E1935,'Taxonomy Rules'!$C$42:$C$68,0)),""),NOT(OR(IFERROR(INDEX('Taxonomy Rules'!$G$42:$G$68,MATCH(E1935,'Taxonomy Rules'!$C$42:$C$68,0)),"")="All supported routes",IFERROR(INDEX('Taxonomy Rules'!$G$42:$G$68,MATCH(E1935,'Taxonomy Rules'!$C$42:$C$68,0)),"")=U1935,AND(IFERROR(INDEX('Taxonomy Rules'!$G$42:$G$68,MATCH(E1935,'Taxonomy Rules'!$C$42:$C$68,0)),"")="Building routes",OR(U1935="Building renovation",U1935="New building",U1935="Building equipment"))))),"Unexpected test","Valid"))))</x:f>
      </x:c>
      <x:c r="S1935" s="9" t="str">
        <x:f>IF(C1935="","",IFERROR(INDEX('Taxonomy Rules'!$E$42:$E$68,MATCH(E1935,'Taxonomy Rules'!$C$42:$C$68,0)),""))</x:f>
      </x:c>
      <x:c r="T1935" s="9" t="str">
        <x:f>IF(C1935="","",IFERROR(INDEX('Taxonomy Rules'!$F$42:$F$68,MATCH(E1935,'Taxonomy Rules'!$C$42:$C$68,0)),""))</x:f>
      </x:c>
      <x:c r="U1935" s="9" t="str">
        <x:f>IF(C1935="","",IFERROR(INDEX('Taxonomy'!$G$9:$G$108,MATCH(D1935,'Taxonomy'!$C$9:$C$108,0)),""))</x:f>
      </x:c>
    </x:row>
    <x:row r="1936" ht="44" customHeight="1">
      <x:c r="A1936" s="1"/>
      <x:c r="B1936" s="1"/>
      <x:c r="C1936" s="8"/>
      <x:c r="D1936" s="8"/>
      <x:c r="E1936" s="8"/>
      <x:c r="F1936" s="8"/>
      <x:c r="G1936" s="8"/>
      <x:c r="H1936" s="8"/>
      <x:c r="I1936" s="8"/>
      <x:c r="J1936" s="8"/>
      <x:c r="K1936" s="8"/>
      <x:c r="L1936" s="8"/>
      <x:c r="M1936" s="10"/>
      <x:c r="N1936" s="10"/>
      <x:c r="O1936" s="8"/>
      <x:c r="P1936" s="9" t="str">
        <x:f>IF(C1936="","",IF(AND(G1936="Applicable",H1936="Fail"),"Fail",IF(R1936&lt;&gt;"Valid","Pending",IF(OR(I1936="",K1936="",L1936="",K1936=L1936,NOT(ISNUMBER(M1936)),NOT(ISNUMBER(N1936)),M1936&gt;Settings!$F$8,N1936&lt;Settings!$F$8,N1936&lt;M1936),"Pending",IF(AND(G1936="Applicable",H1936="Pass"),"Pass",IF(AND(G1936="N/A",H1936="N/A",J1936&lt;&gt;"",OR(E1936="CEM-FUELS",E1936="CEM-CCS",AND(E1936="CEM-PLAN",IFERROR(INDEX('Taxonomy'!$M$9:$M$108,MATCH(D1936,'Taxonomy'!$C$9:$C$108,0)),"")&lt;&gt;"Amber"),E1936="BLD-TIMBER",AND(U1936="Building equipment",OR(E1936="BLD-WATER",E1936="BLD-WASTE",E1936="BLD-LAND")),AND(U1936="Building renovation",E1936="BLD-LAND"))),"N/A","Pending"))))))</x:f>
      </x:c>
      <x:c r="Q1936" s="3" t="str">
        <x:f>IF(C1936="","",IF(AND(R1936="Valid",OR(P1936="Pass",P1936="N/A")),"Complete","Unresolved"))</x:f>
      </x:c>
      <x:c r="R1936" s="9" t="str">
        <x:f>IF(C1936="","",IF(OR(COUNTIF($C$9:$C$2008,C1936)&lt;&gt;1,COUNTIFS($D$9:$D$2008,D1936,$E$9:$E$2008,E1936)&lt;&gt;1),"Duplicate test",IF(COUNTIF('Taxonomy'!$C$9:$C$108,D1936)&lt;&gt;1,"Assessment key",IF(OR(COUNTIF('Taxonomy Rules'!$C$42:$C$68,E1936)&lt;&gt;1,F1936&lt;&gt;IFERROR(INDEX('Taxonomy Rules'!$D$42:$D$68,MATCH(E1936,'Taxonomy Rules'!$C$42:$C$68,0)),""),NOT(OR(IFERROR(INDEX('Taxonomy Rules'!$G$42:$G$68,MATCH(E1936,'Taxonomy Rules'!$C$42:$C$68,0)),"")="All supported routes",IFERROR(INDEX('Taxonomy Rules'!$G$42:$G$68,MATCH(E1936,'Taxonomy Rules'!$C$42:$C$68,0)),"")=U1936,AND(IFERROR(INDEX('Taxonomy Rules'!$G$42:$G$68,MATCH(E1936,'Taxonomy Rules'!$C$42:$C$68,0)),"")="Building routes",OR(U1936="Building renovation",U1936="New building",U1936="Building equipment"))))),"Unexpected test","Valid"))))</x:f>
      </x:c>
      <x:c r="S1936" s="9" t="str">
        <x:f>IF(C1936="","",IFERROR(INDEX('Taxonomy Rules'!$E$42:$E$68,MATCH(E1936,'Taxonomy Rules'!$C$42:$C$68,0)),""))</x:f>
      </x:c>
      <x:c r="T1936" s="9" t="str">
        <x:f>IF(C1936="","",IFERROR(INDEX('Taxonomy Rules'!$F$42:$F$68,MATCH(E1936,'Taxonomy Rules'!$C$42:$C$68,0)),""))</x:f>
      </x:c>
      <x:c r="U1936" s="9" t="str">
        <x:f>IF(C1936="","",IFERROR(INDEX('Taxonomy'!$G$9:$G$108,MATCH(D1936,'Taxonomy'!$C$9:$C$108,0)),""))</x:f>
      </x:c>
    </x:row>
    <x:row r="1937" ht="44" customHeight="1">
      <x:c r="A1937" s="1"/>
      <x:c r="B1937" s="1"/>
      <x:c r="C1937" s="8"/>
      <x:c r="D1937" s="8"/>
      <x:c r="E1937" s="8"/>
      <x:c r="F1937" s="8"/>
      <x:c r="G1937" s="8"/>
      <x:c r="H1937" s="8"/>
      <x:c r="I1937" s="8"/>
      <x:c r="J1937" s="8"/>
      <x:c r="K1937" s="8"/>
      <x:c r="L1937" s="8"/>
      <x:c r="M1937" s="10"/>
      <x:c r="N1937" s="10"/>
      <x:c r="O1937" s="8"/>
      <x:c r="P1937" s="9" t="str">
        <x:f>IF(C1937="","",IF(AND(G1937="Applicable",H1937="Fail"),"Fail",IF(R1937&lt;&gt;"Valid","Pending",IF(OR(I1937="",K1937="",L1937="",K1937=L1937,NOT(ISNUMBER(M1937)),NOT(ISNUMBER(N1937)),M1937&gt;Settings!$F$8,N1937&lt;Settings!$F$8,N1937&lt;M1937),"Pending",IF(AND(G1937="Applicable",H1937="Pass"),"Pass",IF(AND(G1937="N/A",H1937="N/A",J1937&lt;&gt;"",OR(E1937="CEM-FUELS",E1937="CEM-CCS",AND(E1937="CEM-PLAN",IFERROR(INDEX('Taxonomy'!$M$9:$M$108,MATCH(D1937,'Taxonomy'!$C$9:$C$108,0)),"")&lt;&gt;"Amber"),E1937="BLD-TIMBER",AND(U1937="Building equipment",OR(E1937="BLD-WATER",E1937="BLD-WASTE",E1937="BLD-LAND")),AND(U1937="Building renovation",E1937="BLD-LAND"))),"N/A","Pending"))))))</x:f>
      </x:c>
      <x:c r="Q1937" s="3" t="str">
        <x:f>IF(C1937="","",IF(AND(R1937="Valid",OR(P1937="Pass",P1937="N/A")),"Complete","Unresolved"))</x:f>
      </x:c>
      <x:c r="R1937" s="9" t="str">
        <x:f>IF(C1937="","",IF(OR(COUNTIF($C$9:$C$2008,C1937)&lt;&gt;1,COUNTIFS($D$9:$D$2008,D1937,$E$9:$E$2008,E1937)&lt;&gt;1),"Duplicate test",IF(COUNTIF('Taxonomy'!$C$9:$C$108,D1937)&lt;&gt;1,"Assessment key",IF(OR(COUNTIF('Taxonomy Rules'!$C$42:$C$68,E1937)&lt;&gt;1,F1937&lt;&gt;IFERROR(INDEX('Taxonomy Rules'!$D$42:$D$68,MATCH(E1937,'Taxonomy Rules'!$C$42:$C$68,0)),""),NOT(OR(IFERROR(INDEX('Taxonomy Rules'!$G$42:$G$68,MATCH(E1937,'Taxonomy Rules'!$C$42:$C$68,0)),"")="All supported routes",IFERROR(INDEX('Taxonomy Rules'!$G$42:$G$68,MATCH(E1937,'Taxonomy Rules'!$C$42:$C$68,0)),"")=U1937,AND(IFERROR(INDEX('Taxonomy Rules'!$G$42:$G$68,MATCH(E1937,'Taxonomy Rules'!$C$42:$C$68,0)),"")="Building routes",OR(U1937="Building renovation",U1937="New building",U1937="Building equipment"))))),"Unexpected test","Valid"))))</x:f>
      </x:c>
      <x:c r="S1937" s="9" t="str">
        <x:f>IF(C1937="","",IFERROR(INDEX('Taxonomy Rules'!$E$42:$E$68,MATCH(E1937,'Taxonomy Rules'!$C$42:$C$68,0)),""))</x:f>
      </x:c>
      <x:c r="T1937" s="9" t="str">
        <x:f>IF(C1937="","",IFERROR(INDEX('Taxonomy Rules'!$F$42:$F$68,MATCH(E1937,'Taxonomy Rules'!$C$42:$C$68,0)),""))</x:f>
      </x:c>
      <x:c r="U1937" s="9" t="str">
        <x:f>IF(C1937="","",IFERROR(INDEX('Taxonomy'!$G$9:$G$108,MATCH(D1937,'Taxonomy'!$C$9:$C$108,0)),""))</x:f>
      </x:c>
    </x:row>
    <x:row r="1938" ht="44" customHeight="1">
      <x:c r="A1938" s="1"/>
      <x:c r="B1938" s="1"/>
      <x:c r="C1938" s="8"/>
      <x:c r="D1938" s="8"/>
      <x:c r="E1938" s="8"/>
      <x:c r="F1938" s="8"/>
      <x:c r="G1938" s="8"/>
      <x:c r="H1938" s="8"/>
      <x:c r="I1938" s="8"/>
      <x:c r="J1938" s="8"/>
      <x:c r="K1938" s="8"/>
      <x:c r="L1938" s="8"/>
      <x:c r="M1938" s="10"/>
      <x:c r="N1938" s="10"/>
      <x:c r="O1938" s="8"/>
      <x:c r="P1938" s="9" t="str">
        <x:f>IF(C1938="","",IF(AND(G1938="Applicable",H1938="Fail"),"Fail",IF(R1938&lt;&gt;"Valid","Pending",IF(OR(I1938="",K1938="",L1938="",K1938=L1938,NOT(ISNUMBER(M1938)),NOT(ISNUMBER(N1938)),M1938&gt;Settings!$F$8,N1938&lt;Settings!$F$8,N1938&lt;M1938),"Pending",IF(AND(G1938="Applicable",H1938="Pass"),"Pass",IF(AND(G1938="N/A",H1938="N/A",J1938&lt;&gt;"",OR(E1938="CEM-FUELS",E1938="CEM-CCS",AND(E1938="CEM-PLAN",IFERROR(INDEX('Taxonomy'!$M$9:$M$108,MATCH(D1938,'Taxonomy'!$C$9:$C$108,0)),"")&lt;&gt;"Amber"),E1938="BLD-TIMBER",AND(U1938="Building equipment",OR(E1938="BLD-WATER",E1938="BLD-WASTE",E1938="BLD-LAND")),AND(U1938="Building renovation",E1938="BLD-LAND"))),"N/A","Pending"))))))</x:f>
      </x:c>
      <x:c r="Q1938" s="3" t="str">
        <x:f>IF(C1938="","",IF(AND(R1938="Valid",OR(P1938="Pass",P1938="N/A")),"Complete","Unresolved"))</x:f>
      </x:c>
      <x:c r="R1938" s="9" t="str">
        <x:f>IF(C1938="","",IF(OR(COUNTIF($C$9:$C$2008,C1938)&lt;&gt;1,COUNTIFS($D$9:$D$2008,D1938,$E$9:$E$2008,E1938)&lt;&gt;1),"Duplicate test",IF(COUNTIF('Taxonomy'!$C$9:$C$108,D1938)&lt;&gt;1,"Assessment key",IF(OR(COUNTIF('Taxonomy Rules'!$C$42:$C$68,E1938)&lt;&gt;1,F1938&lt;&gt;IFERROR(INDEX('Taxonomy Rules'!$D$42:$D$68,MATCH(E1938,'Taxonomy Rules'!$C$42:$C$68,0)),""),NOT(OR(IFERROR(INDEX('Taxonomy Rules'!$G$42:$G$68,MATCH(E1938,'Taxonomy Rules'!$C$42:$C$68,0)),"")="All supported routes",IFERROR(INDEX('Taxonomy Rules'!$G$42:$G$68,MATCH(E1938,'Taxonomy Rules'!$C$42:$C$68,0)),"")=U1938,AND(IFERROR(INDEX('Taxonomy Rules'!$G$42:$G$68,MATCH(E1938,'Taxonomy Rules'!$C$42:$C$68,0)),"")="Building routes",OR(U1938="Building renovation",U1938="New building",U1938="Building equipment"))))),"Unexpected test","Valid"))))</x:f>
      </x:c>
      <x:c r="S1938" s="9" t="str">
        <x:f>IF(C1938="","",IFERROR(INDEX('Taxonomy Rules'!$E$42:$E$68,MATCH(E1938,'Taxonomy Rules'!$C$42:$C$68,0)),""))</x:f>
      </x:c>
      <x:c r="T1938" s="9" t="str">
        <x:f>IF(C1938="","",IFERROR(INDEX('Taxonomy Rules'!$F$42:$F$68,MATCH(E1938,'Taxonomy Rules'!$C$42:$C$68,0)),""))</x:f>
      </x:c>
      <x:c r="U1938" s="9" t="str">
        <x:f>IF(C1938="","",IFERROR(INDEX('Taxonomy'!$G$9:$G$108,MATCH(D1938,'Taxonomy'!$C$9:$C$108,0)),""))</x:f>
      </x:c>
    </x:row>
    <x:row r="1939" ht="44" customHeight="1">
      <x:c r="A1939" s="1"/>
      <x:c r="B1939" s="1"/>
      <x:c r="C1939" s="8"/>
      <x:c r="D1939" s="8"/>
      <x:c r="E1939" s="8"/>
      <x:c r="F1939" s="8"/>
      <x:c r="G1939" s="8"/>
      <x:c r="H1939" s="8"/>
      <x:c r="I1939" s="8"/>
      <x:c r="J1939" s="8"/>
      <x:c r="K1939" s="8"/>
      <x:c r="L1939" s="8"/>
      <x:c r="M1939" s="10"/>
      <x:c r="N1939" s="10"/>
      <x:c r="O1939" s="8"/>
      <x:c r="P1939" s="9" t="str">
        <x:f>IF(C1939="","",IF(AND(G1939="Applicable",H1939="Fail"),"Fail",IF(R1939&lt;&gt;"Valid","Pending",IF(OR(I1939="",K1939="",L1939="",K1939=L1939,NOT(ISNUMBER(M1939)),NOT(ISNUMBER(N1939)),M1939&gt;Settings!$F$8,N1939&lt;Settings!$F$8,N1939&lt;M1939),"Pending",IF(AND(G1939="Applicable",H1939="Pass"),"Pass",IF(AND(G1939="N/A",H1939="N/A",J1939&lt;&gt;"",OR(E1939="CEM-FUELS",E1939="CEM-CCS",AND(E1939="CEM-PLAN",IFERROR(INDEX('Taxonomy'!$M$9:$M$108,MATCH(D1939,'Taxonomy'!$C$9:$C$108,0)),"")&lt;&gt;"Amber"),E1939="BLD-TIMBER",AND(U1939="Building equipment",OR(E1939="BLD-WATER",E1939="BLD-WASTE",E1939="BLD-LAND")),AND(U1939="Building renovation",E1939="BLD-LAND"))),"N/A","Pending"))))))</x:f>
      </x:c>
      <x:c r="Q1939" s="3" t="str">
        <x:f>IF(C1939="","",IF(AND(R1939="Valid",OR(P1939="Pass",P1939="N/A")),"Complete","Unresolved"))</x:f>
      </x:c>
      <x:c r="R1939" s="9" t="str">
        <x:f>IF(C1939="","",IF(OR(COUNTIF($C$9:$C$2008,C1939)&lt;&gt;1,COUNTIFS($D$9:$D$2008,D1939,$E$9:$E$2008,E1939)&lt;&gt;1),"Duplicate test",IF(COUNTIF('Taxonomy'!$C$9:$C$108,D1939)&lt;&gt;1,"Assessment key",IF(OR(COUNTIF('Taxonomy Rules'!$C$42:$C$68,E1939)&lt;&gt;1,F1939&lt;&gt;IFERROR(INDEX('Taxonomy Rules'!$D$42:$D$68,MATCH(E1939,'Taxonomy Rules'!$C$42:$C$68,0)),""),NOT(OR(IFERROR(INDEX('Taxonomy Rules'!$G$42:$G$68,MATCH(E1939,'Taxonomy Rules'!$C$42:$C$68,0)),"")="All supported routes",IFERROR(INDEX('Taxonomy Rules'!$G$42:$G$68,MATCH(E1939,'Taxonomy Rules'!$C$42:$C$68,0)),"")=U1939,AND(IFERROR(INDEX('Taxonomy Rules'!$G$42:$G$68,MATCH(E1939,'Taxonomy Rules'!$C$42:$C$68,0)),"")="Building routes",OR(U1939="Building renovation",U1939="New building",U1939="Building equipment"))))),"Unexpected test","Valid"))))</x:f>
      </x:c>
      <x:c r="S1939" s="9" t="str">
        <x:f>IF(C1939="","",IFERROR(INDEX('Taxonomy Rules'!$E$42:$E$68,MATCH(E1939,'Taxonomy Rules'!$C$42:$C$68,0)),""))</x:f>
      </x:c>
      <x:c r="T1939" s="9" t="str">
        <x:f>IF(C1939="","",IFERROR(INDEX('Taxonomy Rules'!$F$42:$F$68,MATCH(E1939,'Taxonomy Rules'!$C$42:$C$68,0)),""))</x:f>
      </x:c>
      <x:c r="U1939" s="9" t="str">
        <x:f>IF(C1939="","",IFERROR(INDEX('Taxonomy'!$G$9:$G$108,MATCH(D1939,'Taxonomy'!$C$9:$C$108,0)),""))</x:f>
      </x:c>
    </x:row>
    <x:row r="1940" ht="44" customHeight="1">
      <x:c r="A1940" s="1"/>
      <x:c r="B1940" s="1"/>
      <x:c r="C1940" s="8"/>
      <x:c r="D1940" s="8"/>
      <x:c r="E1940" s="8"/>
      <x:c r="F1940" s="8"/>
      <x:c r="G1940" s="8"/>
      <x:c r="H1940" s="8"/>
      <x:c r="I1940" s="8"/>
      <x:c r="J1940" s="8"/>
      <x:c r="K1940" s="8"/>
      <x:c r="L1940" s="8"/>
      <x:c r="M1940" s="10"/>
      <x:c r="N1940" s="10"/>
      <x:c r="O1940" s="8"/>
      <x:c r="P1940" s="9" t="str">
        <x:f>IF(C1940="","",IF(AND(G1940="Applicable",H1940="Fail"),"Fail",IF(R1940&lt;&gt;"Valid","Pending",IF(OR(I1940="",K1940="",L1940="",K1940=L1940,NOT(ISNUMBER(M1940)),NOT(ISNUMBER(N1940)),M1940&gt;Settings!$F$8,N1940&lt;Settings!$F$8,N1940&lt;M1940),"Pending",IF(AND(G1940="Applicable",H1940="Pass"),"Pass",IF(AND(G1940="N/A",H1940="N/A",J1940&lt;&gt;"",OR(E1940="CEM-FUELS",E1940="CEM-CCS",AND(E1940="CEM-PLAN",IFERROR(INDEX('Taxonomy'!$M$9:$M$108,MATCH(D1940,'Taxonomy'!$C$9:$C$108,0)),"")&lt;&gt;"Amber"),E1940="BLD-TIMBER",AND(U1940="Building equipment",OR(E1940="BLD-WATER",E1940="BLD-WASTE",E1940="BLD-LAND")),AND(U1940="Building renovation",E1940="BLD-LAND"))),"N/A","Pending"))))))</x:f>
      </x:c>
      <x:c r="Q1940" s="3" t="str">
        <x:f>IF(C1940="","",IF(AND(R1940="Valid",OR(P1940="Pass",P1940="N/A")),"Complete","Unresolved"))</x:f>
      </x:c>
      <x:c r="R1940" s="9" t="str">
        <x:f>IF(C1940="","",IF(OR(COUNTIF($C$9:$C$2008,C1940)&lt;&gt;1,COUNTIFS($D$9:$D$2008,D1940,$E$9:$E$2008,E1940)&lt;&gt;1),"Duplicate test",IF(COUNTIF('Taxonomy'!$C$9:$C$108,D1940)&lt;&gt;1,"Assessment key",IF(OR(COUNTIF('Taxonomy Rules'!$C$42:$C$68,E1940)&lt;&gt;1,F1940&lt;&gt;IFERROR(INDEX('Taxonomy Rules'!$D$42:$D$68,MATCH(E1940,'Taxonomy Rules'!$C$42:$C$68,0)),""),NOT(OR(IFERROR(INDEX('Taxonomy Rules'!$G$42:$G$68,MATCH(E1940,'Taxonomy Rules'!$C$42:$C$68,0)),"")="All supported routes",IFERROR(INDEX('Taxonomy Rules'!$G$42:$G$68,MATCH(E1940,'Taxonomy Rules'!$C$42:$C$68,0)),"")=U1940,AND(IFERROR(INDEX('Taxonomy Rules'!$G$42:$G$68,MATCH(E1940,'Taxonomy Rules'!$C$42:$C$68,0)),"")="Building routes",OR(U1940="Building renovation",U1940="New building",U1940="Building equipment"))))),"Unexpected test","Valid"))))</x:f>
      </x:c>
      <x:c r="S1940" s="9" t="str">
        <x:f>IF(C1940="","",IFERROR(INDEX('Taxonomy Rules'!$E$42:$E$68,MATCH(E1940,'Taxonomy Rules'!$C$42:$C$68,0)),""))</x:f>
      </x:c>
      <x:c r="T1940" s="9" t="str">
        <x:f>IF(C1940="","",IFERROR(INDEX('Taxonomy Rules'!$F$42:$F$68,MATCH(E1940,'Taxonomy Rules'!$C$42:$C$68,0)),""))</x:f>
      </x:c>
      <x:c r="U1940" s="9" t="str">
        <x:f>IF(C1940="","",IFERROR(INDEX('Taxonomy'!$G$9:$G$108,MATCH(D1940,'Taxonomy'!$C$9:$C$108,0)),""))</x:f>
      </x:c>
    </x:row>
    <x:row r="1941" ht="44" customHeight="1">
      <x:c r="A1941" s="1"/>
      <x:c r="B1941" s="1"/>
      <x:c r="C1941" s="8"/>
      <x:c r="D1941" s="8"/>
      <x:c r="E1941" s="8"/>
      <x:c r="F1941" s="8"/>
      <x:c r="G1941" s="8"/>
      <x:c r="H1941" s="8"/>
      <x:c r="I1941" s="8"/>
      <x:c r="J1941" s="8"/>
      <x:c r="K1941" s="8"/>
      <x:c r="L1941" s="8"/>
      <x:c r="M1941" s="10"/>
      <x:c r="N1941" s="10"/>
      <x:c r="O1941" s="8"/>
      <x:c r="P1941" s="9" t="str">
        <x:f>IF(C1941="","",IF(AND(G1941="Applicable",H1941="Fail"),"Fail",IF(R1941&lt;&gt;"Valid","Pending",IF(OR(I1941="",K1941="",L1941="",K1941=L1941,NOT(ISNUMBER(M1941)),NOT(ISNUMBER(N1941)),M1941&gt;Settings!$F$8,N1941&lt;Settings!$F$8,N1941&lt;M1941),"Pending",IF(AND(G1941="Applicable",H1941="Pass"),"Pass",IF(AND(G1941="N/A",H1941="N/A",J1941&lt;&gt;"",OR(E1941="CEM-FUELS",E1941="CEM-CCS",AND(E1941="CEM-PLAN",IFERROR(INDEX('Taxonomy'!$M$9:$M$108,MATCH(D1941,'Taxonomy'!$C$9:$C$108,0)),"")&lt;&gt;"Amber"),E1941="BLD-TIMBER",AND(U1941="Building equipment",OR(E1941="BLD-WATER",E1941="BLD-WASTE",E1941="BLD-LAND")),AND(U1941="Building renovation",E1941="BLD-LAND"))),"N/A","Pending"))))))</x:f>
      </x:c>
      <x:c r="Q1941" s="3" t="str">
        <x:f>IF(C1941="","",IF(AND(R1941="Valid",OR(P1941="Pass",P1941="N/A")),"Complete","Unresolved"))</x:f>
      </x:c>
      <x:c r="R1941" s="9" t="str">
        <x:f>IF(C1941="","",IF(OR(COUNTIF($C$9:$C$2008,C1941)&lt;&gt;1,COUNTIFS($D$9:$D$2008,D1941,$E$9:$E$2008,E1941)&lt;&gt;1),"Duplicate test",IF(COUNTIF('Taxonomy'!$C$9:$C$108,D1941)&lt;&gt;1,"Assessment key",IF(OR(COUNTIF('Taxonomy Rules'!$C$42:$C$68,E1941)&lt;&gt;1,F1941&lt;&gt;IFERROR(INDEX('Taxonomy Rules'!$D$42:$D$68,MATCH(E1941,'Taxonomy Rules'!$C$42:$C$68,0)),""),NOT(OR(IFERROR(INDEX('Taxonomy Rules'!$G$42:$G$68,MATCH(E1941,'Taxonomy Rules'!$C$42:$C$68,0)),"")="All supported routes",IFERROR(INDEX('Taxonomy Rules'!$G$42:$G$68,MATCH(E1941,'Taxonomy Rules'!$C$42:$C$68,0)),"")=U1941,AND(IFERROR(INDEX('Taxonomy Rules'!$G$42:$G$68,MATCH(E1941,'Taxonomy Rules'!$C$42:$C$68,0)),"")="Building routes",OR(U1941="Building renovation",U1941="New building",U1941="Building equipment"))))),"Unexpected test","Valid"))))</x:f>
      </x:c>
      <x:c r="S1941" s="9" t="str">
        <x:f>IF(C1941="","",IFERROR(INDEX('Taxonomy Rules'!$E$42:$E$68,MATCH(E1941,'Taxonomy Rules'!$C$42:$C$68,0)),""))</x:f>
      </x:c>
      <x:c r="T1941" s="9" t="str">
        <x:f>IF(C1941="","",IFERROR(INDEX('Taxonomy Rules'!$F$42:$F$68,MATCH(E1941,'Taxonomy Rules'!$C$42:$C$68,0)),""))</x:f>
      </x:c>
      <x:c r="U1941" s="9" t="str">
        <x:f>IF(C1941="","",IFERROR(INDEX('Taxonomy'!$G$9:$G$108,MATCH(D1941,'Taxonomy'!$C$9:$C$108,0)),""))</x:f>
      </x:c>
    </x:row>
    <x:row r="1942" ht="44" customHeight="1">
      <x:c r="A1942" s="1"/>
      <x:c r="B1942" s="1"/>
      <x:c r="C1942" s="8"/>
      <x:c r="D1942" s="8"/>
      <x:c r="E1942" s="8"/>
      <x:c r="F1942" s="8"/>
      <x:c r="G1942" s="8"/>
      <x:c r="H1942" s="8"/>
      <x:c r="I1942" s="8"/>
      <x:c r="J1942" s="8"/>
      <x:c r="K1942" s="8"/>
      <x:c r="L1942" s="8"/>
      <x:c r="M1942" s="10"/>
      <x:c r="N1942" s="10"/>
      <x:c r="O1942" s="8"/>
      <x:c r="P1942" s="9" t="str">
        <x:f>IF(C1942="","",IF(AND(G1942="Applicable",H1942="Fail"),"Fail",IF(R1942&lt;&gt;"Valid","Pending",IF(OR(I1942="",K1942="",L1942="",K1942=L1942,NOT(ISNUMBER(M1942)),NOT(ISNUMBER(N1942)),M1942&gt;Settings!$F$8,N1942&lt;Settings!$F$8,N1942&lt;M1942),"Pending",IF(AND(G1942="Applicable",H1942="Pass"),"Pass",IF(AND(G1942="N/A",H1942="N/A",J1942&lt;&gt;"",OR(E1942="CEM-FUELS",E1942="CEM-CCS",AND(E1942="CEM-PLAN",IFERROR(INDEX('Taxonomy'!$M$9:$M$108,MATCH(D1942,'Taxonomy'!$C$9:$C$108,0)),"")&lt;&gt;"Amber"),E1942="BLD-TIMBER",AND(U1942="Building equipment",OR(E1942="BLD-WATER",E1942="BLD-WASTE",E1942="BLD-LAND")),AND(U1942="Building renovation",E1942="BLD-LAND"))),"N/A","Pending"))))))</x:f>
      </x:c>
      <x:c r="Q1942" s="3" t="str">
        <x:f>IF(C1942="","",IF(AND(R1942="Valid",OR(P1942="Pass",P1942="N/A")),"Complete","Unresolved"))</x:f>
      </x:c>
      <x:c r="R1942" s="9" t="str">
        <x:f>IF(C1942="","",IF(OR(COUNTIF($C$9:$C$2008,C1942)&lt;&gt;1,COUNTIFS($D$9:$D$2008,D1942,$E$9:$E$2008,E1942)&lt;&gt;1),"Duplicate test",IF(COUNTIF('Taxonomy'!$C$9:$C$108,D1942)&lt;&gt;1,"Assessment key",IF(OR(COUNTIF('Taxonomy Rules'!$C$42:$C$68,E1942)&lt;&gt;1,F1942&lt;&gt;IFERROR(INDEX('Taxonomy Rules'!$D$42:$D$68,MATCH(E1942,'Taxonomy Rules'!$C$42:$C$68,0)),""),NOT(OR(IFERROR(INDEX('Taxonomy Rules'!$G$42:$G$68,MATCH(E1942,'Taxonomy Rules'!$C$42:$C$68,0)),"")="All supported routes",IFERROR(INDEX('Taxonomy Rules'!$G$42:$G$68,MATCH(E1942,'Taxonomy Rules'!$C$42:$C$68,0)),"")=U1942,AND(IFERROR(INDEX('Taxonomy Rules'!$G$42:$G$68,MATCH(E1942,'Taxonomy Rules'!$C$42:$C$68,0)),"")="Building routes",OR(U1942="Building renovation",U1942="New building",U1942="Building equipment"))))),"Unexpected test","Valid"))))</x:f>
      </x:c>
      <x:c r="S1942" s="9" t="str">
        <x:f>IF(C1942="","",IFERROR(INDEX('Taxonomy Rules'!$E$42:$E$68,MATCH(E1942,'Taxonomy Rules'!$C$42:$C$68,0)),""))</x:f>
      </x:c>
      <x:c r="T1942" s="9" t="str">
        <x:f>IF(C1942="","",IFERROR(INDEX('Taxonomy Rules'!$F$42:$F$68,MATCH(E1942,'Taxonomy Rules'!$C$42:$C$68,0)),""))</x:f>
      </x:c>
      <x:c r="U1942" s="9" t="str">
        <x:f>IF(C1942="","",IFERROR(INDEX('Taxonomy'!$G$9:$G$108,MATCH(D1942,'Taxonomy'!$C$9:$C$108,0)),""))</x:f>
      </x:c>
    </x:row>
    <x:row r="1943" ht="44" customHeight="1">
      <x:c r="A1943" s="1"/>
      <x:c r="B1943" s="1"/>
      <x:c r="C1943" s="8"/>
      <x:c r="D1943" s="8"/>
      <x:c r="E1943" s="8"/>
      <x:c r="F1943" s="8"/>
      <x:c r="G1943" s="8"/>
      <x:c r="H1943" s="8"/>
      <x:c r="I1943" s="8"/>
      <x:c r="J1943" s="8"/>
      <x:c r="K1943" s="8"/>
      <x:c r="L1943" s="8"/>
      <x:c r="M1943" s="10"/>
      <x:c r="N1943" s="10"/>
      <x:c r="O1943" s="8"/>
      <x:c r="P1943" s="9" t="str">
        <x:f>IF(C1943="","",IF(AND(G1943="Applicable",H1943="Fail"),"Fail",IF(R1943&lt;&gt;"Valid","Pending",IF(OR(I1943="",K1943="",L1943="",K1943=L1943,NOT(ISNUMBER(M1943)),NOT(ISNUMBER(N1943)),M1943&gt;Settings!$F$8,N1943&lt;Settings!$F$8,N1943&lt;M1943),"Pending",IF(AND(G1943="Applicable",H1943="Pass"),"Pass",IF(AND(G1943="N/A",H1943="N/A",J1943&lt;&gt;"",OR(E1943="CEM-FUELS",E1943="CEM-CCS",AND(E1943="CEM-PLAN",IFERROR(INDEX('Taxonomy'!$M$9:$M$108,MATCH(D1943,'Taxonomy'!$C$9:$C$108,0)),"")&lt;&gt;"Amber"),E1943="BLD-TIMBER",AND(U1943="Building equipment",OR(E1943="BLD-WATER",E1943="BLD-WASTE",E1943="BLD-LAND")),AND(U1943="Building renovation",E1943="BLD-LAND"))),"N/A","Pending"))))))</x:f>
      </x:c>
      <x:c r="Q1943" s="3" t="str">
        <x:f>IF(C1943="","",IF(AND(R1943="Valid",OR(P1943="Pass",P1943="N/A")),"Complete","Unresolved"))</x:f>
      </x:c>
      <x:c r="R1943" s="9" t="str">
        <x:f>IF(C1943="","",IF(OR(COUNTIF($C$9:$C$2008,C1943)&lt;&gt;1,COUNTIFS($D$9:$D$2008,D1943,$E$9:$E$2008,E1943)&lt;&gt;1),"Duplicate test",IF(COUNTIF('Taxonomy'!$C$9:$C$108,D1943)&lt;&gt;1,"Assessment key",IF(OR(COUNTIF('Taxonomy Rules'!$C$42:$C$68,E1943)&lt;&gt;1,F1943&lt;&gt;IFERROR(INDEX('Taxonomy Rules'!$D$42:$D$68,MATCH(E1943,'Taxonomy Rules'!$C$42:$C$68,0)),""),NOT(OR(IFERROR(INDEX('Taxonomy Rules'!$G$42:$G$68,MATCH(E1943,'Taxonomy Rules'!$C$42:$C$68,0)),"")="All supported routes",IFERROR(INDEX('Taxonomy Rules'!$G$42:$G$68,MATCH(E1943,'Taxonomy Rules'!$C$42:$C$68,0)),"")=U1943,AND(IFERROR(INDEX('Taxonomy Rules'!$G$42:$G$68,MATCH(E1943,'Taxonomy Rules'!$C$42:$C$68,0)),"")="Building routes",OR(U1943="Building renovation",U1943="New building",U1943="Building equipment"))))),"Unexpected test","Valid"))))</x:f>
      </x:c>
      <x:c r="S1943" s="9" t="str">
        <x:f>IF(C1943="","",IFERROR(INDEX('Taxonomy Rules'!$E$42:$E$68,MATCH(E1943,'Taxonomy Rules'!$C$42:$C$68,0)),""))</x:f>
      </x:c>
      <x:c r="T1943" s="9" t="str">
        <x:f>IF(C1943="","",IFERROR(INDEX('Taxonomy Rules'!$F$42:$F$68,MATCH(E1943,'Taxonomy Rules'!$C$42:$C$68,0)),""))</x:f>
      </x:c>
      <x:c r="U1943" s="9" t="str">
        <x:f>IF(C1943="","",IFERROR(INDEX('Taxonomy'!$G$9:$G$108,MATCH(D1943,'Taxonomy'!$C$9:$C$108,0)),""))</x:f>
      </x:c>
    </x:row>
    <x:row r="1944" ht="44" customHeight="1">
      <x:c r="A1944" s="1"/>
      <x:c r="B1944" s="1"/>
      <x:c r="C1944" s="8"/>
      <x:c r="D1944" s="8"/>
      <x:c r="E1944" s="8"/>
      <x:c r="F1944" s="8"/>
      <x:c r="G1944" s="8"/>
      <x:c r="H1944" s="8"/>
      <x:c r="I1944" s="8"/>
      <x:c r="J1944" s="8"/>
      <x:c r="K1944" s="8"/>
      <x:c r="L1944" s="8"/>
      <x:c r="M1944" s="10"/>
      <x:c r="N1944" s="10"/>
      <x:c r="O1944" s="8"/>
      <x:c r="P1944" s="9" t="str">
        <x:f>IF(C1944="","",IF(AND(G1944="Applicable",H1944="Fail"),"Fail",IF(R1944&lt;&gt;"Valid","Pending",IF(OR(I1944="",K1944="",L1944="",K1944=L1944,NOT(ISNUMBER(M1944)),NOT(ISNUMBER(N1944)),M1944&gt;Settings!$F$8,N1944&lt;Settings!$F$8,N1944&lt;M1944),"Pending",IF(AND(G1944="Applicable",H1944="Pass"),"Pass",IF(AND(G1944="N/A",H1944="N/A",J1944&lt;&gt;"",OR(E1944="CEM-FUELS",E1944="CEM-CCS",AND(E1944="CEM-PLAN",IFERROR(INDEX('Taxonomy'!$M$9:$M$108,MATCH(D1944,'Taxonomy'!$C$9:$C$108,0)),"")&lt;&gt;"Amber"),E1944="BLD-TIMBER",AND(U1944="Building equipment",OR(E1944="BLD-WATER",E1944="BLD-WASTE",E1944="BLD-LAND")),AND(U1944="Building renovation",E1944="BLD-LAND"))),"N/A","Pending"))))))</x:f>
      </x:c>
      <x:c r="Q1944" s="3" t="str">
        <x:f>IF(C1944="","",IF(AND(R1944="Valid",OR(P1944="Pass",P1944="N/A")),"Complete","Unresolved"))</x:f>
      </x:c>
      <x:c r="R1944" s="9" t="str">
        <x:f>IF(C1944="","",IF(OR(COUNTIF($C$9:$C$2008,C1944)&lt;&gt;1,COUNTIFS($D$9:$D$2008,D1944,$E$9:$E$2008,E1944)&lt;&gt;1),"Duplicate test",IF(COUNTIF('Taxonomy'!$C$9:$C$108,D1944)&lt;&gt;1,"Assessment key",IF(OR(COUNTIF('Taxonomy Rules'!$C$42:$C$68,E1944)&lt;&gt;1,F1944&lt;&gt;IFERROR(INDEX('Taxonomy Rules'!$D$42:$D$68,MATCH(E1944,'Taxonomy Rules'!$C$42:$C$68,0)),""),NOT(OR(IFERROR(INDEX('Taxonomy Rules'!$G$42:$G$68,MATCH(E1944,'Taxonomy Rules'!$C$42:$C$68,0)),"")="All supported routes",IFERROR(INDEX('Taxonomy Rules'!$G$42:$G$68,MATCH(E1944,'Taxonomy Rules'!$C$42:$C$68,0)),"")=U1944,AND(IFERROR(INDEX('Taxonomy Rules'!$G$42:$G$68,MATCH(E1944,'Taxonomy Rules'!$C$42:$C$68,0)),"")="Building routes",OR(U1944="Building renovation",U1944="New building",U1944="Building equipment"))))),"Unexpected test","Valid"))))</x:f>
      </x:c>
      <x:c r="S1944" s="9" t="str">
        <x:f>IF(C1944="","",IFERROR(INDEX('Taxonomy Rules'!$E$42:$E$68,MATCH(E1944,'Taxonomy Rules'!$C$42:$C$68,0)),""))</x:f>
      </x:c>
      <x:c r="T1944" s="9" t="str">
        <x:f>IF(C1944="","",IFERROR(INDEX('Taxonomy Rules'!$F$42:$F$68,MATCH(E1944,'Taxonomy Rules'!$C$42:$C$68,0)),""))</x:f>
      </x:c>
      <x:c r="U1944" s="9" t="str">
        <x:f>IF(C1944="","",IFERROR(INDEX('Taxonomy'!$G$9:$G$108,MATCH(D1944,'Taxonomy'!$C$9:$C$108,0)),""))</x:f>
      </x:c>
    </x:row>
    <x:row r="1945" ht="44" customHeight="1">
      <x:c r="A1945" s="1"/>
      <x:c r="B1945" s="1"/>
      <x:c r="C1945" s="8"/>
      <x:c r="D1945" s="8"/>
      <x:c r="E1945" s="8"/>
      <x:c r="F1945" s="8"/>
      <x:c r="G1945" s="8"/>
      <x:c r="H1945" s="8"/>
      <x:c r="I1945" s="8"/>
      <x:c r="J1945" s="8"/>
      <x:c r="K1945" s="8"/>
      <x:c r="L1945" s="8"/>
      <x:c r="M1945" s="10"/>
      <x:c r="N1945" s="10"/>
      <x:c r="O1945" s="8"/>
      <x:c r="P1945" s="9" t="str">
        <x:f>IF(C1945="","",IF(AND(G1945="Applicable",H1945="Fail"),"Fail",IF(R1945&lt;&gt;"Valid","Pending",IF(OR(I1945="",K1945="",L1945="",K1945=L1945,NOT(ISNUMBER(M1945)),NOT(ISNUMBER(N1945)),M1945&gt;Settings!$F$8,N1945&lt;Settings!$F$8,N1945&lt;M1945),"Pending",IF(AND(G1945="Applicable",H1945="Pass"),"Pass",IF(AND(G1945="N/A",H1945="N/A",J1945&lt;&gt;"",OR(E1945="CEM-FUELS",E1945="CEM-CCS",AND(E1945="CEM-PLAN",IFERROR(INDEX('Taxonomy'!$M$9:$M$108,MATCH(D1945,'Taxonomy'!$C$9:$C$108,0)),"")&lt;&gt;"Amber"),E1945="BLD-TIMBER",AND(U1945="Building equipment",OR(E1945="BLD-WATER",E1945="BLD-WASTE",E1945="BLD-LAND")),AND(U1945="Building renovation",E1945="BLD-LAND"))),"N/A","Pending"))))))</x:f>
      </x:c>
      <x:c r="Q1945" s="3" t="str">
        <x:f>IF(C1945="","",IF(AND(R1945="Valid",OR(P1945="Pass",P1945="N/A")),"Complete","Unresolved"))</x:f>
      </x:c>
      <x:c r="R1945" s="9" t="str">
        <x:f>IF(C1945="","",IF(OR(COUNTIF($C$9:$C$2008,C1945)&lt;&gt;1,COUNTIFS($D$9:$D$2008,D1945,$E$9:$E$2008,E1945)&lt;&gt;1),"Duplicate test",IF(COUNTIF('Taxonomy'!$C$9:$C$108,D1945)&lt;&gt;1,"Assessment key",IF(OR(COUNTIF('Taxonomy Rules'!$C$42:$C$68,E1945)&lt;&gt;1,F1945&lt;&gt;IFERROR(INDEX('Taxonomy Rules'!$D$42:$D$68,MATCH(E1945,'Taxonomy Rules'!$C$42:$C$68,0)),""),NOT(OR(IFERROR(INDEX('Taxonomy Rules'!$G$42:$G$68,MATCH(E1945,'Taxonomy Rules'!$C$42:$C$68,0)),"")="All supported routes",IFERROR(INDEX('Taxonomy Rules'!$G$42:$G$68,MATCH(E1945,'Taxonomy Rules'!$C$42:$C$68,0)),"")=U1945,AND(IFERROR(INDEX('Taxonomy Rules'!$G$42:$G$68,MATCH(E1945,'Taxonomy Rules'!$C$42:$C$68,0)),"")="Building routes",OR(U1945="Building renovation",U1945="New building",U1945="Building equipment"))))),"Unexpected test","Valid"))))</x:f>
      </x:c>
      <x:c r="S1945" s="9" t="str">
        <x:f>IF(C1945="","",IFERROR(INDEX('Taxonomy Rules'!$E$42:$E$68,MATCH(E1945,'Taxonomy Rules'!$C$42:$C$68,0)),""))</x:f>
      </x:c>
      <x:c r="T1945" s="9" t="str">
        <x:f>IF(C1945="","",IFERROR(INDEX('Taxonomy Rules'!$F$42:$F$68,MATCH(E1945,'Taxonomy Rules'!$C$42:$C$68,0)),""))</x:f>
      </x:c>
      <x:c r="U1945" s="9" t="str">
        <x:f>IF(C1945="","",IFERROR(INDEX('Taxonomy'!$G$9:$G$108,MATCH(D1945,'Taxonomy'!$C$9:$C$108,0)),""))</x:f>
      </x:c>
    </x:row>
    <x:row r="1946" ht="44" customHeight="1">
      <x:c r="A1946" s="1"/>
      <x:c r="B1946" s="1"/>
      <x:c r="C1946" s="8"/>
      <x:c r="D1946" s="8"/>
      <x:c r="E1946" s="8"/>
      <x:c r="F1946" s="8"/>
      <x:c r="G1946" s="8"/>
      <x:c r="H1946" s="8"/>
      <x:c r="I1946" s="8"/>
      <x:c r="J1946" s="8"/>
      <x:c r="K1946" s="8"/>
      <x:c r="L1946" s="8"/>
      <x:c r="M1946" s="10"/>
      <x:c r="N1946" s="10"/>
      <x:c r="O1946" s="8"/>
      <x:c r="P1946" s="9" t="str">
        <x:f>IF(C1946="","",IF(AND(G1946="Applicable",H1946="Fail"),"Fail",IF(R1946&lt;&gt;"Valid","Pending",IF(OR(I1946="",K1946="",L1946="",K1946=L1946,NOT(ISNUMBER(M1946)),NOT(ISNUMBER(N1946)),M1946&gt;Settings!$F$8,N1946&lt;Settings!$F$8,N1946&lt;M1946),"Pending",IF(AND(G1946="Applicable",H1946="Pass"),"Pass",IF(AND(G1946="N/A",H1946="N/A",J1946&lt;&gt;"",OR(E1946="CEM-FUELS",E1946="CEM-CCS",AND(E1946="CEM-PLAN",IFERROR(INDEX('Taxonomy'!$M$9:$M$108,MATCH(D1946,'Taxonomy'!$C$9:$C$108,0)),"")&lt;&gt;"Amber"),E1946="BLD-TIMBER",AND(U1946="Building equipment",OR(E1946="BLD-WATER",E1946="BLD-WASTE",E1946="BLD-LAND")),AND(U1946="Building renovation",E1946="BLD-LAND"))),"N/A","Pending"))))))</x:f>
      </x:c>
      <x:c r="Q1946" s="3" t="str">
        <x:f>IF(C1946="","",IF(AND(R1946="Valid",OR(P1946="Pass",P1946="N/A")),"Complete","Unresolved"))</x:f>
      </x:c>
      <x:c r="R1946" s="9" t="str">
        <x:f>IF(C1946="","",IF(OR(COUNTIF($C$9:$C$2008,C1946)&lt;&gt;1,COUNTIFS($D$9:$D$2008,D1946,$E$9:$E$2008,E1946)&lt;&gt;1),"Duplicate test",IF(COUNTIF('Taxonomy'!$C$9:$C$108,D1946)&lt;&gt;1,"Assessment key",IF(OR(COUNTIF('Taxonomy Rules'!$C$42:$C$68,E1946)&lt;&gt;1,F1946&lt;&gt;IFERROR(INDEX('Taxonomy Rules'!$D$42:$D$68,MATCH(E1946,'Taxonomy Rules'!$C$42:$C$68,0)),""),NOT(OR(IFERROR(INDEX('Taxonomy Rules'!$G$42:$G$68,MATCH(E1946,'Taxonomy Rules'!$C$42:$C$68,0)),"")="All supported routes",IFERROR(INDEX('Taxonomy Rules'!$G$42:$G$68,MATCH(E1946,'Taxonomy Rules'!$C$42:$C$68,0)),"")=U1946,AND(IFERROR(INDEX('Taxonomy Rules'!$G$42:$G$68,MATCH(E1946,'Taxonomy Rules'!$C$42:$C$68,0)),"")="Building routes",OR(U1946="Building renovation",U1946="New building",U1946="Building equipment"))))),"Unexpected test","Valid"))))</x:f>
      </x:c>
      <x:c r="S1946" s="9" t="str">
        <x:f>IF(C1946="","",IFERROR(INDEX('Taxonomy Rules'!$E$42:$E$68,MATCH(E1946,'Taxonomy Rules'!$C$42:$C$68,0)),""))</x:f>
      </x:c>
      <x:c r="T1946" s="9" t="str">
        <x:f>IF(C1946="","",IFERROR(INDEX('Taxonomy Rules'!$F$42:$F$68,MATCH(E1946,'Taxonomy Rules'!$C$42:$C$68,0)),""))</x:f>
      </x:c>
      <x:c r="U1946" s="9" t="str">
        <x:f>IF(C1946="","",IFERROR(INDEX('Taxonomy'!$G$9:$G$108,MATCH(D1946,'Taxonomy'!$C$9:$C$108,0)),""))</x:f>
      </x:c>
    </x:row>
    <x:row r="1947" ht="44" customHeight="1">
      <x:c r="A1947" s="1"/>
      <x:c r="B1947" s="1"/>
      <x:c r="C1947" s="8"/>
      <x:c r="D1947" s="8"/>
      <x:c r="E1947" s="8"/>
      <x:c r="F1947" s="8"/>
      <x:c r="G1947" s="8"/>
      <x:c r="H1947" s="8"/>
      <x:c r="I1947" s="8"/>
      <x:c r="J1947" s="8"/>
      <x:c r="K1947" s="8"/>
      <x:c r="L1947" s="8"/>
      <x:c r="M1947" s="10"/>
      <x:c r="N1947" s="10"/>
      <x:c r="O1947" s="8"/>
      <x:c r="P1947" s="9" t="str">
        <x:f>IF(C1947="","",IF(AND(G1947="Applicable",H1947="Fail"),"Fail",IF(R1947&lt;&gt;"Valid","Pending",IF(OR(I1947="",K1947="",L1947="",K1947=L1947,NOT(ISNUMBER(M1947)),NOT(ISNUMBER(N1947)),M1947&gt;Settings!$F$8,N1947&lt;Settings!$F$8,N1947&lt;M1947),"Pending",IF(AND(G1947="Applicable",H1947="Pass"),"Pass",IF(AND(G1947="N/A",H1947="N/A",J1947&lt;&gt;"",OR(E1947="CEM-FUELS",E1947="CEM-CCS",AND(E1947="CEM-PLAN",IFERROR(INDEX('Taxonomy'!$M$9:$M$108,MATCH(D1947,'Taxonomy'!$C$9:$C$108,0)),"")&lt;&gt;"Amber"),E1947="BLD-TIMBER",AND(U1947="Building equipment",OR(E1947="BLD-WATER",E1947="BLD-WASTE",E1947="BLD-LAND")),AND(U1947="Building renovation",E1947="BLD-LAND"))),"N/A","Pending"))))))</x:f>
      </x:c>
      <x:c r="Q1947" s="3" t="str">
        <x:f>IF(C1947="","",IF(AND(R1947="Valid",OR(P1947="Pass",P1947="N/A")),"Complete","Unresolved"))</x:f>
      </x:c>
      <x:c r="R1947" s="9" t="str">
        <x:f>IF(C1947="","",IF(OR(COUNTIF($C$9:$C$2008,C1947)&lt;&gt;1,COUNTIFS($D$9:$D$2008,D1947,$E$9:$E$2008,E1947)&lt;&gt;1),"Duplicate test",IF(COUNTIF('Taxonomy'!$C$9:$C$108,D1947)&lt;&gt;1,"Assessment key",IF(OR(COUNTIF('Taxonomy Rules'!$C$42:$C$68,E1947)&lt;&gt;1,F1947&lt;&gt;IFERROR(INDEX('Taxonomy Rules'!$D$42:$D$68,MATCH(E1947,'Taxonomy Rules'!$C$42:$C$68,0)),""),NOT(OR(IFERROR(INDEX('Taxonomy Rules'!$G$42:$G$68,MATCH(E1947,'Taxonomy Rules'!$C$42:$C$68,0)),"")="All supported routes",IFERROR(INDEX('Taxonomy Rules'!$G$42:$G$68,MATCH(E1947,'Taxonomy Rules'!$C$42:$C$68,0)),"")=U1947,AND(IFERROR(INDEX('Taxonomy Rules'!$G$42:$G$68,MATCH(E1947,'Taxonomy Rules'!$C$42:$C$68,0)),"")="Building routes",OR(U1947="Building renovation",U1947="New building",U1947="Building equipment"))))),"Unexpected test","Valid"))))</x:f>
      </x:c>
      <x:c r="S1947" s="9" t="str">
        <x:f>IF(C1947="","",IFERROR(INDEX('Taxonomy Rules'!$E$42:$E$68,MATCH(E1947,'Taxonomy Rules'!$C$42:$C$68,0)),""))</x:f>
      </x:c>
      <x:c r="T1947" s="9" t="str">
        <x:f>IF(C1947="","",IFERROR(INDEX('Taxonomy Rules'!$F$42:$F$68,MATCH(E1947,'Taxonomy Rules'!$C$42:$C$68,0)),""))</x:f>
      </x:c>
      <x:c r="U1947" s="9" t="str">
        <x:f>IF(C1947="","",IFERROR(INDEX('Taxonomy'!$G$9:$G$108,MATCH(D1947,'Taxonomy'!$C$9:$C$108,0)),""))</x:f>
      </x:c>
    </x:row>
    <x:row r="1948" ht="44" customHeight="1">
      <x:c r="A1948" s="1"/>
      <x:c r="B1948" s="1"/>
      <x:c r="C1948" s="8"/>
      <x:c r="D1948" s="8"/>
      <x:c r="E1948" s="8"/>
      <x:c r="F1948" s="8"/>
      <x:c r="G1948" s="8"/>
      <x:c r="H1948" s="8"/>
      <x:c r="I1948" s="8"/>
      <x:c r="J1948" s="8"/>
      <x:c r="K1948" s="8"/>
      <x:c r="L1948" s="8"/>
      <x:c r="M1948" s="10"/>
      <x:c r="N1948" s="10"/>
      <x:c r="O1948" s="8"/>
      <x:c r="P1948" s="9" t="str">
        <x:f>IF(C1948="","",IF(AND(G1948="Applicable",H1948="Fail"),"Fail",IF(R1948&lt;&gt;"Valid","Pending",IF(OR(I1948="",K1948="",L1948="",K1948=L1948,NOT(ISNUMBER(M1948)),NOT(ISNUMBER(N1948)),M1948&gt;Settings!$F$8,N1948&lt;Settings!$F$8,N1948&lt;M1948),"Pending",IF(AND(G1948="Applicable",H1948="Pass"),"Pass",IF(AND(G1948="N/A",H1948="N/A",J1948&lt;&gt;"",OR(E1948="CEM-FUELS",E1948="CEM-CCS",AND(E1948="CEM-PLAN",IFERROR(INDEX('Taxonomy'!$M$9:$M$108,MATCH(D1948,'Taxonomy'!$C$9:$C$108,0)),"")&lt;&gt;"Amber"),E1948="BLD-TIMBER",AND(U1948="Building equipment",OR(E1948="BLD-WATER",E1948="BLD-WASTE",E1948="BLD-LAND")),AND(U1948="Building renovation",E1948="BLD-LAND"))),"N/A","Pending"))))))</x:f>
      </x:c>
      <x:c r="Q1948" s="3" t="str">
        <x:f>IF(C1948="","",IF(AND(R1948="Valid",OR(P1948="Pass",P1948="N/A")),"Complete","Unresolved"))</x:f>
      </x:c>
      <x:c r="R1948" s="9" t="str">
        <x:f>IF(C1948="","",IF(OR(COUNTIF($C$9:$C$2008,C1948)&lt;&gt;1,COUNTIFS($D$9:$D$2008,D1948,$E$9:$E$2008,E1948)&lt;&gt;1),"Duplicate test",IF(COUNTIF('Taxonomy'!$C$9:$C$108,D1948)&lt;&gt;1,"Assessment key",IF(OR(COUNTIF('Taxonomy Rules'!$C$42:$C$68,E1948)&lt;&gt;1,F1948&lt;&gt;IFERROR(INDEX('Taxonomy Rules'!$D$42:$D$68,MATCH(E1948,'Taxonomy Rules'!$C$42:$C$68,0)),""),NOT(OR(IFERROR(INDEX('Taxonomy Rules'!$G$42:$G$68,MATCH(E1948,'Taxonomy Rules'!$C$42:$C$68,0)),"")="All supported routes",IFERROR(INDEX('Taxonomy Rules'!$G$42:$G$68,MATCH(E1948,'Taxonomy Rules'!$C$42:$C$68,0)),"")=U1948,AND(IFERROR(INDEX('Taxonomy Rules'!$G$42:$G$68,MATCH(E1948,'Taxonomy Rules'!$C$42:$C$68,0)),"")="Building routes",OR(U1948="Building renovation",U1948="New building",U1948="Building equipment"))))),"Unexpected test","Valid"))))</x:f>
      </x:c>
      <x:c r="S1948" s="9" t="str">
        <x:f>IF(C1948="","",IFERROR(INDEX('Taxonomy Rules'!$E$42:$E$68,MATCH(E1948,'Taxonomy Rules'!$C$42:$C$68,0)),""))</x:f>
      </x:c>
      <x:c r="T1948" s="9" t="str">
        <x:f>IF(C1948="","",IFERROR(INDEX('Taxonomy Rules'!$F$42:$F$68,MATCH(E1948,'Taxonomy Rules'!$C$42:$C$68,0)),""))</x:f>
      </x:c>
      <x:c r="U1948" s="9" t="str">
        <x:f>IF(C1948="","",IFERROR(INDEX('Taxonomy'!$G$9:$G$108,MATCH(D1948,'Taxonomy'!$C$9:$C$108,0)),""))</x:f>
      </x:c>
    </x:row>
    <x:row r="1949" ht="44" customHeight="1">
      <x:c r="A1949" s="1"/>
      <x:c r="B1949" s="1"/>
      <x:c r="C1949" s="8"/>
      <x:c r="D1949" s="8"/>
      <x:c r="E1949" s="8"/>
      <x:c r="F1949" s="8"/>
      <x:c r="G1949" s="8"/>
      <x:c r="H1949" s="8"/>
      <x:c r="I1949" s="8"/>
      <x:c r="J1949" s="8"/>
      <x:c r="K1949" s="8"/>
      <x:c r="L1949" s="8"/>
      <x:c r="M1949" s="10"/>
      <x:c r="N1949" s="10"/>
      <x:c r="O1949" s="8"/>
      <x:c r="P1949" s="9" t="str">
        <x:f>IF(C1949="","",IF(AND(G1949="Applicable",H1949="Fail"),"Fail",IF(R1949&lt;&gt;"Valid","Pending",IF(OR(I1949="",K1949="",L1949="",K1949=L1949,NOT(ISNUMBER(M1949)),NOT(ISNUMBER(N1949)),M1949&gt;Settings!$F$8,N1949&lt;Settings!$F$8,N1949&lt;M1949),"Pending",IF(AND(G1949="Applicable",H1949="Pass"),"Pass",IF(AND(G1949="N/A",H1949="N/A",J1949&lt;&gt;"",OR(E1949="CEM-FUELS",E1949="CEM-CCS",AND(E1949="CEM-PLAN",IFERROR(INDEX('Taxonomy'!$M$9:$M$108,MATCH(D1949,'Taxonomy'!$C$9:$C$108,0)),"")&lt;&gt;"Amber"),E1949="BLD-TIMBER",AND(U1949="Building equipment",OR(E1949="BLD-WATER",E1949="BLD-WASTE",E1949="BLD-LAND")),AND(U1949="Building renovation",E1949="BLD-LAND"))),"N/A","Pending"))))))</x:f>
      </x:c>
      <x:c r="Q1949" s="3" t="str">
        <x:f>IF(C1949="","",IF(AND(R1949="Valid",OR(P1949="Pass",P1949="N/A")),"Complete","Unresolved"))</x:f>
      </x:c>
      <x:c r="R1949" s="9" t="str">
        <x:f>IF(C1949="","",IF(OR(COUNTIF($C$9:$C$2008,C1949)&lt;&gt;1,COUNTIFS($D$9:$D$2008,D1949,$E$9:$E$2008,E1949)&lt;&gt;1),"Duplicate test",IF(COUNTIF('Taxonomy'!$C$9:$C$108,D1949)&lt;&gt;1,"Assessment key",IF(OR(COUNTIF('Taxonomy Rules'!$C$42:$C$68,E1949)&lt;&gt;1,F1949&lt;&gt;IFERROR(INDEX('Taxonomy Rules'!$D$42:$D$68,MATCH(E1949,'Taxonomy Rules'!$C$42:$C$68,0)),""),NOT(OR(IFERROR(INDEX('Taxonomy Rules'!$G$42:$G$68,MATCH(E1949,'Taxonomy Rules'!$C$42:$C$68,0)),"")="All supported routes",IFERROR(INDEX('Taxonomy Rules'!$G$42:$G$68,MATCH(E1949,'Taxonomy Rules'!$C$42:$C$68,0)),"")=U1949,AND(IFERROR(INDEX('Taxonomy Rules'!$G$42:$G$68,MATCH(E1949,'Taxonomy Rules'!$C$42:$C$68,0)),"")="Building routes",OR(U1949="Building renovation",U1949="New building",U1949="Building equipment"))))),"Unexpected test","Valid"))))</x:f>
      </x:c>
      <x:c r="S1949" s="9" t="str">
        <x:f>IF(C1949="","",IFERROR(INDEX('Taxonomy Rules'!$E$42:$E$68,MATCH(E1949,'Taxonomy Rules'!$C$42:$C$68,0)),""))</x:f>
      </x:c>
      <x:c r="T1949" s="9" t="str">
        <x:f>IF(C1949="","",IFERROR(INDEX('Taxonomy Rules'!$F$42:$F$68,MATCH(E1949,'Taxonomy Rules'!$C$42:$C$68,0)),""))</x:f>
      </x:c>
      <x:c r="U1949" s="9" t="str">
        <x:f>IF(C1949="","",IFERROR(INDEX('Taxonomy'!$G$9:$G$108,MATCH(D1949,'Taxonomy'!$C$9:$C$108,0)),""))</x:f>
      </x:c>
    </x:row>
    <x:row r="1950" ht="44" customHeight="1">
      <x:c r="A1950" s="1"/>
      <x:c r="B1950" s="1"/>
      <x:c r="C1950" s="8"/>
      <x:c r="D1950" s="8"/>
      <x:c r="E1950" s="8"/>
      <x:c r="F1950" s="8"/>
      <x:c r="G1950" s="8"/>
      <x:c r="H1950" s="8"/>
      <x:c r="I1950" s="8"/>
      <x:c r="J1950" s="8"/>
      <x:c r="K1950" s="8"/>
      <x:c r="L1950" s="8"/>
      <x:c r="M1950" s="10"/>
      <x:c r="N1950" s="10"/>
      <x:c r="O1950" s="8"/>
      <x:c r="P1950" s="9" t="str">
        <x:f>IF(C1950="","",IF(AND(G1950="Applicable",H1950="Fail"),"Fail",IF(R1950&lt;&gt;"Valid","Pending",IF(OR(I1950="",K1950="",L1950="",K1950=L1950,NOT(ISNUMBER(M1950)),NOT(ISNUMBER(N1950)),M1950&gt;Settings!$F$8,N1950&lt;Settings!$F$8,N1950&lt;M1950),"Pending",IF(AND(G1950="Applicable",H1950="Pass"),"Pass",IF(AND(G1950="N/A",H1950="N/A",J1950&lt;&gt;"",OR(E1950="CEM-FUELS",E1950="CEM-CCS",AND(E1950="CEM-PLAN",IFERROR(INDEX('Taxonomy'!$M$9:$M$108,MATCH(D1950,'Taxonomy'!$C$9:$C$108,0)),"")&lt;&gt;"Amber"),E1950="BLD-TIMBER",AND(U1950="Building equipment",OR(E1950="BLD-WATER",E1950="BLD-WASTE",E1950="BLD-LAND")),AND(U1950="Building renovation",E1950="BLD-LAND"))),"N/A","Pending"))))))</x:f>
      </x:c>
      <x:c r="Q1950" s="3" t="str">
        <x:f>IF(C1950="","",IF(AND(R1950="Valid",OR(P1950="Pass",P1950="N/A")),"Complete","Unresolved"))</x:f>
      </x:c>
      <x:c r="R1950" s="9" t="str">
        <x:f>IF(C1950="","",IF(OR(COUNTIF($C$9:$C$2008,C1950)&lt;&gt;1,COUNTIFS($D$9:$D$2008,D1950,$E$9:$E$2008,E1950)&lt;&gt;1),"Duplicate test",IF(COUNTIF('Taxonomy'!$C$9:$C$108,D1950)&lt;&gt;1,"Assessment key",IF(OR(COUNTIF('Taxonomy Rules'!$C$42:$C$68,E1950)&lt;&gt;1,F1950&lt;&gt;IFERROR(INDEX('Taxonomy Rules'!$D$42:$D$68,MATCH(E1950,'Taxonomy Rules'!$C$42:$C$68,0)),""),NOT(OR(IFERROR(INDEX('Taxonomy Rules'!$G$42:$G$68,MATCH(E1950,'Taxonomy Rules'!$C$42:$C$68,0)),"")="All supported routes",IFERROR(INDEX('Taxonomy Rules'!$G$42:$G$68,MATCH(E1950,'Taxonomy Rules'!$C$42:$C$68,0)),"")=U1950,AND(IFERROR(INDEX('Taxonomy Rules'!$G$42:$G$68,MATCH(E1950,'Taxonomy Rules'!$C$42:$C$68,0)),"")="Building routes",OR(U1950="Building renovation",U1950="New building",U1950="Building equipment"))))),"Unexpected test","Valid"))))</x:f>
      </x:c>
      <x:c r="S1950" s="9" t="str">
        <x:f>IF(C1950="","",IFERROR(INDEX('Taxonomy Rules'!$E$42:$E$68,MATCH(E1950,'Taxonomy Rules'!$C$42:$C$68,0)),""))</x:f>
      </x:c>
      <x:c r="T1950" s="9" t="str">
        <x:f>IF(C1950="","",IFERROR(INDEX('Taxonomy Rules'!$F$42:$F$68,MATCH(E1950,'Taxonomy Rules'!$C$42:$C$68,0)),""))</x:f>
      </x:c>
      <x:c r="U1950" s="9" t="str">
        <x:f>IF(C1950="","",IFERROR(INDEX('Taxonomy'!$G$9:$G$108,MATCH(D1950,'Taxonomy'!$C$9:$C$108,0)),""))</x:f>
      </x:c>
    </x:row>
    <x:row r="1951" ht="44" customHeight="1">
      <x:c r="A1951" s="1"/>
      <x:c r="B1951" s="1"/>
      <x:c r="C1951" s="8"/>
      <x:c r="D1951" s="8"/>
      <x:c r="E1951" s="8"/>
      <x:c r="F1951" s="8"/>
      <x:c r="G1951" s="8"/>
      <x:c r="H1951" s="8"/>
      <x:c r="I1951" s="8"/>
      <x:c r="J1951" s="8"/>
      <x:c r="K1951" s="8"/>
      <x:c r="L1951" s="8"/>
      <x:c r="M1951" s="10"/>
      <x:c r="N1951" s="10"/>
      <x:c r="O1951" s="8"/>
      <x:c r="P1951" s="9" t="str">
        <x:f>IF(C1951="","",IF(AND(G1951="Applicable",H1951="Fail"),"Fail",IF(R1951&lt;&gt;"Valid","Pending",IF(OR(I1951="",K1951="",L1951="",K1951=L1951,NOT(ISNUMBER(M1951)),NOT(ISNUMBER(N1951)),M1951&gt;Settings!$F$8,N1951&lt;Settings!$F$8,N1951&lt;M1951),"Pending",IF(AND(G1951="Applicable",H1951="Pass"),"Pass",IF(AND(G1951="N/A",H1951="N/A",J1951&lt;&gt;"",OR(E1951="CEM-FUELS",E1951="CEM-CCS",AND(E1951="CEM-PLAN",IFERROR(INDEX('Taxonomy'!$M$9:$M$108,MATCH(D1951,'Taxonomy'!$C$9:$C$108,0)),"")&lt;&gt;"Amber"),E1951="BLD-TIMBER",AND(U1951="Building equipment",OR(E1951="BLD-WATER",E1951="BLD-WASTE",E1951="BLD-LAND")),AND(U1951="Building renovation",E1951="BLD-LAND"))),"N/A","Pending"))))))</x:f>
      </x:c>
      <x:c r="Q1951" s="3" t="str">
        <x:f>IF(C1951="","",IF(AND(R1951="Valid",OR(P1951="Pass",P1951="N/A")),"Complete","Unresolved"))</x:f>
      </x:c>
      <x:c r="R1951" s="9" t="str">
        <x:f>IF(C1951="","",IF(OR(COUNTIF($C$9:$C$2008,C1951)&lt;&gt;1,COUNTIFS($D$9:$D$2008,D1951,$E$9:$E$2008,E1951)&lt;&gt;1),"Duplicate test",IF(COUNTIF('Taxonomy'!$C$9:$C$108,D1951)&lt;&gt;1,"Assessment key",IF(OR(COUNTIF('Taxonomy Rules'!$C$42:$C$68,E1951)&lt;&gt;1,F1951&lt;&gt;IFERROR(INDEX('Taxonomy Rules'!$D$42:$D$68,MATCH(E1951,'Taxonomy Rules'!$C$42:$C$68,0)),""),NOT(OR(IFERROR(INDEX('Taxonomy Rules'!$G$42:$G$68,MATCH(E1951,'Taxonomy Rules'!$C$42:$C$68,0)),"")="All supported routes",IFERROR(INDEX('Taxonomy Rules'!$G$42:$G$68,MATCH(E1951,'Taxonomy Rules'!$C$42:$C$68,0)),"")=U1951,AND(IFERROR(INDEX('Taxonomy Rules'!$G$42:$G$68,MATCH(E1951,'Taxonomy Rules'!$C$42:$C$68,0)),"")="Building routes",OR(U1951="Building renovation",U1951="New building",U1951="Building equipment"))))),"Unexpected test","Valid"))))</x:f>
      </x:c>
      <x:c r="S1951" s="9" t="str">
        <x:f>IF(C1951="","",IFERROR(INDEX('Taxonomy Rules'!$E$42:$E$68,MATCH(E1951,'Taxonomy Rules'!$C$42:$C$68,0)),""))</x:f>
      </x:c>
      <x:c r="T1951" s="9" t="str">
        <x:f>IF(C1951="","",IFERROR(INDEX('Taxonomy Rules'!$F$42:$F$68,MATCH(E1951,'Taxonomy Rules'!$C$42:$C$68,0)),""))</x:f>
      </x:c>
      <x:c r="U1951" s="9" t="str">
        <x:f>IF(C1951="","",IFERROR(INDEX('Taxonomy'!$G$9:$G$108,MATCH(D1951,'Taxonomy'!$C$9:$C$108,0)),""))</x:f>
      </x:c>
    </x:row>
    <x:row r="1952" ht="44" customHeight="1">
      <x:c r="A1952" s="1"/>
      <x:c r="B1952" s="1"/>
      <x:c r="C1952" s="8"/>
      <x:c r="D1952" s="8"/>
      <x:c r="E1952" s="8"/>
      <x:c r="F1952" s="8"/>
      <x:c r="G1952" s="8"/>
      <x:c r="H1952" s="8"/>
      <x:c r="I1952" s="8"/>
      <x:c r="J1952" s="8"/>
      <x:c r="K1952" s="8"/>
      <x:c r="L1952" s="8"/>
      <x:c r="M1952" s="10"/>
      <x:c r="N1952" s="10"/>
      <x:c r="O1952" s="8"/>
      <x:c r="P1952" s="9" t="str">
        <x:f>IF(C1952="","",IF(AND(G1952="Applicable",H1952="Fail"),"Fail",IF(R1952&lt;&gt;"Valid","Pending",IF(OR(I1952="",K1952="",L1952="",K1952=L1952,NOT(ISNUMBER(M1952)),NOT(ISNUMBER(N1952)),M1952&gt;Settings!$F$8,N1952&lt;Settings!$F$8,N1952&lt;M1952),"Pending",IF(AND(G1952="Applicable",H1952="Pass"),"Pass",IF(AND(G1952="N/A",H1952="N/A",J1952&lt;&gt;"",OR(E1952="CEM-FUELS",E1952="CEM-CCS",AND(E1952="CEM-PLAN",IFERROR(INDEX('Taxonomy'!$M$9:$M$108,MATCH(D1952,'Taxonomy'!$C$9:$C$108,0)),"")&lt;&gt;"Amber"),E1952="BLD-TIMBER",AND(U1952="Building equipment",OR(E1952="BLD-WATER",E1952="BLD-WASTE",E1952="BLD-LAND")),AND(U1952="Building renovation",E1952="BLD-LAND"))),"N/A","Pending"))))))</x:f>
      </x:c>
      <x:c r="Q1952" s="3" t="str">
        <x:f>IF(C1952="","",IF(AND(R1952="Valid",OR(P1952="Pass",P1952="N/A")),"Complete","Unresolved"))</x:f>
      </x:c>
      <x:c r="R1952" s="9" t="str">
        <x:f>IF(C1952="","",IF(OR(COUNTIF($C$9:$C$2008,C1952)&lt;&gt;1,COUNTIFS($D$9:$D$2008,D1952,$E$9:$E$2008,E1952)&lt;&gt;1),"Duplicate test",IF(COUNTIF('Taxonomy'!$C$9:$C$108,D1952)&lt;&gt;1,"Assessment key",IF(OR(COUNTIF('Taxonomy Rules'!$C$42:$C$68,E1952)&lt;&gt;1,F1952&lt;&gt;IFERROR(INDEX('Taxonomy Rules'!$D$42:$D$68,MATCH(E1952,'Taxonomy Rules'!$C$42:$C$68,0)),""),NOT(OR(IFERROR(INDEX('Taxonomy Rules'!$G$42:$G$68,MATCH(E1952,'Taxonomy Rules'!$C$42:$C$68,0)),"")="All supported routes",IFERROR(INDEX('Taxonomy Rules'!$G$42:$G$68,MATCH(E1952,'Taxonomy Rules'!$C$42:$C$68,0)),"")=U1952,AND(IFERROR(INDEX('Taxonomy Rules'!$G$42:$G$68,MATCH(E1952,'Taxonomy Rules'!$C$42:$C$68,0)),"")="Building routes",OR(U1952="Building renovation",U1952="New building",U1952="Building equipment"))))),"Unexpected test","Valid"))))</x:f>
      </x:c>
      <x:c r="S1952" s="9" t="str">
        <x:f>IF(C1952="","",IFERROR(INDEX('Taxonomy Rules'!$E$42:$E$68,MATCH(E1952,'Taxonomy Rules'!$C$42:$C$68,0)),""))</x:f>
      </x:c>
      <x:c r="T1952" s="9" t="str">
        <x:f>IF(C1952="","",IFERROR(INDEX('Taxonomy Rules'!$F$42:$F$68,MATCH(E1952,'Taxonomy Rules'!$C$42:$C$68,0)),""))</x:f>
      </x:c>
      <x:c r="U1952" s="9" t="str">
        <x:f>IF(C1952="","",IFERROR(INDEX('Taxonomy'!$G$9:$G$108,MATCH(D1952,'Taxonomy'!$C$9:$C$108,0)),""))</x:f>
      </x:c>
    </x:row>
    <x:row r="1953" ht="44" customHeight="1">
      <x:c r="A1953" s="1"/>
      <x:c r="B1953" s="1"/>
      <x:c r="C1953" s="8"/>
      <x:c r="D1953" s="8"/>
      <x:c r="E1953" s="8"/>
      <x:c r="F1953" s="8"/>
      <x:c r="G1953" s="8"/>
      <x:c r="H1953" s="8"/>
      <x:c r="I1953" s="8"/>
      <x:c r="J1953" s="8"/>
      <x:c r="K1953" s="8"/>
      <x:c r="L1953" s="8"/>
      <x:c r="M1953" s="10"/>
      <x:c r="N1953" s="10"/>
      <x:c r="O1953" s="8"/>
      <x:c r="P1953" s="9" t="str">
        <x:f>IF(C1953="","",IF(AND(G1953="Applicable",H1953="Fail"),"Fail",IF(R1953&lt;&gt;"Valid","Pending",IF(OR(I1953="",K1953="",L1953="",K1953=L1953,NOT(ISNUMBER(M1953)),NOT(ISNUMBER(N1953)),M1953&gt;Settings!$F$8,N1953&lt;Settings!$F$8,N1953&lt;M1953),"Pending",IF(AND(G1953="Applicable",H1953="Pass"),"Pass",IF(AND(G1953="N/A",H1953="N/A",J1953&lt;&gt;"",OR(E1953="CEM-FUELS",E1953="CEM-CCS",AND(E1953="CEM-PLAN",IFERROR(INDEX('Taxonomy'!$M$9:$M$108,MATCH(D1953,'Taxonomy'!$C$9:$C$108,0)),"")&lt;&gt;"Amber"),E1953="BLD-TIMBER",AND(U1953="Building equipment",OR(E1953="BLD-WATER",E1953="BLD-WASTE",E1953="BLD-LAND")),AND(U1953="Building renovation",E1953="BLD-LAND"))),"N/A","Pending"))))))</x:f>
      </x:c>
      <x:c r="Q1953" s="3" t="str">
        <x:f>IF(C1953="","",IF(AND(R1953="Valid",OR(P1953="Pass",P1953="N/A")),"Complete","Unresolved"))</x:f>
      </x:c>
      <x:c r="R1953" s="9" t="str">
        <x:f>IF(C1953="","",IF(OR(COUNTIF($C$9:$C$2008,C1953)&lt;&gt;1,COUNTIFS($D$9:$D$2008,D1953,$E$9:$E$2008,E1953)&lt;&gt;1),"Duplicate test",IF(COUNTIF('Taxonomy'!$C$9:$C$108,D1953)&lt;&gt;1,"Assessment key",IF(OR(COUNTIF('Taxonomy Rules'!$C$42:$C$68,E1953)&lt;&gt;1,F1953&lt;&gt;IFERROR(INDEX('Taxonomy Rules'!$D$42:$D$68,MATCH(E1953,'Taxonomy Rules'!$C$42:$C$68,0)),""),NOT(OR(IFERROR(INDEX('Taxonomy Rules'!$G$42:$G$68,MATCH(E1953,'Taxonomy Rules'!$C$42:$C$68,0)),"")="All supported routes",IFERROR(INDEX('Taxonomy Rules'!$G$42:$G$68,MATCH(E1953,'Taxonomy Rules'!$C$42:$C$68,0)),"")=U1953,AND(IFERROR(INDEX('Taxonomy Rules'!$G$42:$G$68,MATCH(E1953,'Taxonomy Rules'!$C$42:$C$68,0)),"")="Building routes",OR(U1953="Building renovation",U1953="New building",U1953="Building equipment"))))),"Unexpected test","Valid"))))</x:f>
      </x:c>
      <x:c r="S1953" s="9" t="str">
        <x:f>IF(C1953="","",IFERROR(INDEX('Taxonomy Rules'!$E$42:$E$68,MATCH(E1953,'Taxonomy Rules'!$C$42:$C$68,0)),""))</x:f>
      </x:c>
      <x:c r="T1953" s="9" t="str">
        <x:f>IF(C1953="","",IFERROR(INDEX('Taxonomy Rules'!$F$42:$F$68,MATCH(E1953,'Taxonomy Rules'!$C$42:$C$68,0)),""))</x:f>
      </x:c>
      <x:c r="U1953" s="9" t="str">
        <x:f>IF(C1953="","",IFERROR(INDEX('Taxonomy'!$G$9:$G$108,MATCH(D1953,'Taxonomy'!$C$9:$C$108,0)),""))</x:f>
      </x:c>
    </x:row>
    <x:row r="1954" ht="44" customHeight="1">
      <x:c r="A1954" s="1"/>
      <x:c r="B1954" s="1"/>
      <x:c r="C1954" s="8"/>
      <x:c r="D1954" s="8"/>
      <x:c r="E1954" s="8"/>
      <x:c r="F1954" s="8"/>
      <x:c r="G1954" s="8"/>
      <x:c r="H1954" s="8"/>
      <x:c r="I1954" s="8"/>
      <x:c r="J1954" s="8"/>
      <x:c r="K1954" s="8"/>
      <x:c r="L1954" s="8"/>
      <x:c r="M1954" s="10"/>
      <x:c r="N1954" s="10"/>
      <x:c r="O1954" s="8"/>
      <x:c r="P1954" s="9" t="str">
        <x:f>IF(C1954="","",IF(AND(G1954="Applicable",H1954="Fail"),"Fail",IF(R1954&lt;&gt;"Valid","Pending",IF(OR(I1954="",K1954="",L1954="",K1954=L1954,NOT(ISNUMBER(M1954)),NOT(ISNUMBER(N1954)),M1954&gt;Settings!$F$8,N1954&lt;Settings!$F$8,N1954&lt;M1954),"Pending",IF(AND(G1954="Applicable",H1954="Pass"),"Pass",IF(AND(G1954="N/A",H1954="N/A",J1954&lt;&gt;"",OR(E1954="CEM-FUELS",E1954="CEM-CCS",AND(E1954="CEM-PLAN",IFERROR(INDEX('Taxonomy'!$M$9:$M$108,MATCH(D1954,'Taxonomy'!$C$9:$C$108,0)),"")&lt;&gt;"Amber"),E1954="BLD-TIMBER",AND(U1954="Building equipment",OR(E1954="BLD-WATER",E1954="BLD-WASTE",E1954="BLD-LAND")),AND(U1954="Building renovation",E1954="BLD-LAND"))),"N/A","Pending"))))))</x:f>
      </x:c>
      <x:c r="Q1954" s="3" t="str">
        <x:f>IF(C1954="","",IF(AND(R1954="Valid",OR(P1954="Pass",P1954="N/A")),"Complete","Unresolved"))</x:f>
      </x:c>
      <x:c r="R1954" s="9" t="str">
        <x:f>IF(C1954="","",IF(OR(COUNTIF($C$9:$C$2008,C1954)&lt;&gt;1,COUNTIFS($D$9:$D$2008,D1954,$E$9:$E$2008,E1954)&lt;&gt;1),"Duplicate test",IF(COUNTIF('Taxonomy'!$C$9:$C$108,D1954)&lt;&gt;1,"Assessment key",IF(OR(COUNTIF('Taxonomy Rules'!$C$42:$C$68,E1954)&lt;&gt;1,F1954&lt;&gt;IFERROR(INDEX('Taxonomy Rules'!$D$42:$D$68,MATCH(E1954,'Taxonomy Rules'!$C$42:$C$68,0)),""),NOT(OR(IFERROR(INDEX('Taxonomy Rules'!$G$42:$G$68,MATCH(E1954,'Taxonomy Rules'!$C$42:$C$68,0)),"")="All supported routes",IFERROR(INDEX('Taxonomy Rules'!$G$42:$G$68,MATCH(E1954,'Taxonomy Rules'!$C$42:$C$68,0)),"")=U1954,AND(IFERROR(INDEX('Taxonomy Rules'!$G$42:$G$68,MATCH(E1954,'Taxonomy Rules'!$C$42:$C$68,0)),"")="Building routes",OR(U1954="Building renovation",U1954="New building",U1954="Building equipment"))))),"Unexpected test","Valid"))))</x:f>
      </x:c>
      <x:c r="S1954" s="9" t="str">
        <x:f>IF(C1954="","",IFERROR(INDEX('Taxonomy Rules'!$E$42:$E$68,MATCH(E1954,'Taxonomy Rules'!$C$42:$C$68,0)),""))</x:f>
      </x:c>
      <x:c r="T1954" s="9" t="str">
        <x:f>IF(C1954="","",IFERROR(INDEX('Taxonomy Rules'!$F$42:$F$68,MATCH(E1954,'Taxonomy Rules'!$C$42:$C$68,0)),""))</x:f>
      </x:c>
      <x:c r="U1954" s="9" t="str">
        <x:f>IF(C1954="","",IFERROR(INDEX('Taxonomy'!$G$9:$G$108,MATCH(D1954,'Taxonomy'!$C$9:$C$108,0)),""))</x:f>
      </x:c>
    </x:row>
    <x:row r="1955" ht="44" customHeight="1">
      <x:c r="A1955" s="1"/>
      <x:c r="B1955" s="1"/>
      <x:c r="C1955" s="8"/>
      <x:c r="D1955" s="8"/>
      <x:c r="E1955" s="8"/>
      <x:c r="F1955" s="8"/>
      <x:c r="G1955" s="8"/>
      <x:c r="H1955" s="8"/>
      <x:c r="I1955" s="8"/>
      <x:c r="J1955" s="8"/>
      <x:c r="K1955" s="8"/>
      <x:c r="L1955" s="8"/>
      <x:c r="M1955" s="10"/>
      <x:c r="N1955" s="10"/>
      <x:c r="O1955" s="8"/>
      <x:c r="P1955" s="9" t="str">
        <x:f>IF(C1955="","",IF(AND(G1955="Applicable",H1955="Fail"),"Fail",IF(R1955&lt;&gt;"Valid","Pending",IF(OR(I1955="",K1955="",L1955="",K1955=L1955,NOT(ISNUMBER(M1955)),NOT(ISNUMBER(N1955)),M1955&gt;Settings!$F$8,N1955&lt;Settings!$F$8,N1955&lt;M1955),"Pending",IF(AND(G1955="Applicable",H1955="Pass"),"Pass",IF(AND(G1955="N/A",H1955="N/A",J1955&lt;&gt;"",OR(E1955="CEM-FUELS",E1955="CEM-CCS",AND(E1955="CEM-PLAN",IFERROR(INDEX('Taxonomy'!$M$9:$M$108,MATCH(D1955,'Taxonomy'!$C$9:$C$108,0)),"")&lt;&gt;"Amber"),E1955="BLD-TIMBER",AND(U1955="Building equipment",OR(E1955="BLD-WATER",E1955="BLD-WASTE",E1955="BLD-LAND")),AND(U1955="Building renovation",E1955="BLD-LAND"))),"N/A","Pending"))))))</x:f>
      </x:c>
      <x:c r="Q1955" s="3" t="str">
        <x:f>IF(C1955="","",IF(AND(R1955="Valid",OR(P1955="Pass",P1955="N/A")),"Complete","Unresolved"))</x:f>
      </x:c>
      <x:c r="R1955" s="9" t="str">
        <x:f>IF(C1955="","",IF(OR(COUNTIF($C$9:$C$2008,C1955)&lt;&gt;1,COUNTIFS($D$9:$D$2008,D1955,$E$9:$E$2008,E1955)&lt;&gt;1),"Duplicate test",IF(COUNTIF('Taxonomy'!$C$9:$C$108,D1955)&lt;&gt;1,"Assessment key",IF(OR(COUNTIF('Taxonomy Rules'!$C$42:$C$68,E1955)&lt;&gt;1,F1955&lt;&gt;IFERROR(INDEX('Taxonomy Rules'!$D$42:$D$68,MATCH(E1955,'Taxonomy Rules'!$C$42:$C$68,0)),""),NOT(OR(IFERROR(INDEX('Taxonomy Rules'!$G$42:$G$68,MATCH(E1955,'Taxonomy Rules'!$C$42:$C$68,0)),"")="All supported routes",IFERROR(INDEX('Taxonomy Rules'!$G$42:$G$68,MATCH(E1955,'Taxonomy Rules'!$C$42:$C$68,0)),"")=U1955,AND(IFERROR(INDEX('Taxonomy Rules'!$G$42:$G$68,MATCH(E1955,'Taxonomy Rules'!$C$42:$C$68,0)),"")="Building routes",OR(U1955="Building renovation",U1955="New building",U1955="Building equipment"))))),"Unexpected test","Valid"))))</x:f>
      </x:c>
      <x:c r="S1955" s="9" t="str">
        <x:f>IF(C1955="","",IFERROR(INDEX('Taxonomy Rules'!$E$42:$E$68,MATCH(E1955,'Taxonomy Rules'!$C$42:$C$68,0)),""))</x:f>
      </x:c>
      <x:c r="T1955" s="9" t="str">
        <x:f>IF(C1955="","",IFERROR(INDEX('Taxonomy Rules'!$F$42:$F$68,MATCH(E1955,'Taxonomy Rules'!$C$42:$C$68,0)),""))</x:f>
      </x:c>
      <x:c r="U1955" s="9" t="str">
        <x:f>IF(C1955="","",IFERROR(INDEX('Taxonomy'!$G$9:$G$108,MATCH(D1955,'Taxonomy'!$C$9:$C$108,0)),""))</x:f>
      </x:c>
    </x:row>
    <x:row r="1956" ht="44" customHeight="1">
      <x:c r="A1956" s="1"/>
      <x:c r="B1956" s="1"/>
      <x:c r="C1956" s="8"/>
      <x:c r="D1956" s="8"/>
      <x:c r="E1956" s="8"/>
      <x:c r="F1956" s="8"/>
      <x:c r="G1956" s="8"/>
      <x:c r="H1956" s="8"/>
      <x:c r="I1956" s="8"/>
      <x:c r="J1956" s="8"/>
      <x:c r="K1956" s="8"/>
      <x:c r="L1956" s="8"/>
      <x:c r="M1956" s="10"/>
      <x:c r="N1956" s="10"/>
      <x:c r="O1956" s="8"/>
      <x:c r="P1956" s="9" t="str">
        <x:f>IF(C1956="","",IF(AND(G1956="Applicable",H1956="Fail"),"Fail",IF(R1956&lt;&gt;"Valid","Pending",IF(OR(I1956="",K1956="",L1956="",K1956=L1956,NOT(ISNUMBER(M1956)),NOT(ISNUMBER(N1956)),M1956&gt;Settings!$F$8,N1956&lt;Settings!$F$8,N1956&lt;M1956),"Pending",IF(AND(G1956="Applicable",H1956="Pass"),"Pass",IF(AND(G1956="N/A",H1956="N/A",J1956&lt;&gt;"",OR(E1956="CEM-FUELS",E1956="CEM-CCS",AND(E1956="CEM-PLAN",IFERROR(INDEX('Taxonomy'!$M$9:$M$108,MATCH(D1956,'Taxonomy'!$C$9:$C$108,0)),"")&lt;&gt;"Amber"),E1956="BLD-TIMBER",AND(U1956="Building equipment",OR(E1956="BLD-WATER",E1956="BLD-WASTE",E1956="BLD-LAND")),AND(U1956="Building renovation",E1956="BLD-LAND"))),"N/A","Pending"))))))</x:f>
      </x:c>
      <x:c r="Q1956" s="3" t="str">
        <x:f>IF(C1956="","",IF(AND(R1956="Valid",OR(P1956="Pass",P1956="N/A")),"Complete","Unresolved"))</x:f>
      </x:c>
      <x:c r="R1956" s="9" t="str">
        <x:f>IF(C1956="","",IF(OR(COUNTIF($C$9:$C$2008,C1956)&lt;&gt;1,COUNTIFS($D$9:$D$2008,D1956,$E$9:$E$2008,E1956)&lt;&gt;1),"Duplicate test",IF(COUNTIF('Taxonomy'!$C$9:$C$108,D1956)&lt;&gt;1,"Assessment key",IF(OR(COUNTIF('Taxonomy Rules'!$C$42:$C$68,E1956)&lt;&gt;1,F1956&lt;&gt;IFERROR(INDEX('Taxonomy Rules'!$D$42:$D$68,MATCH(E1956,'Taxonomy Rules'!$C$42:$C$68,0)),""),NOT(OR(IFERROR(INDEX('Taxonomy Rules'!$G$42:$G$68,MATCH(E1956,'Taxonomy Rules'!$C$42:$C$68,0)),"")="All supported routes",IFERROR(INDEX('Taxonomy Rules'!$G$42:$G$68,MATCH(E1956,'Taxonomy Rules'!$C$42:$C$68,0)),"")=U1956,AND(IFERROR(INDEX('Taxonomy Rules'!$G$42:$G$68,MATCH(E1956,'Taxonomy Rules'!$C$42:$C$68,0)),"")="Building routes",OR(U1956="Building renovation",U1956="New building",U1956="Building equipment"))))),"Unexpected test","Valid"))))</x:f>
      </x:c>
      <x:c r="S1956" s="9" t="str">
        <x:f>IF(C1956="","",IFERROR(INDEX('Taxonomy Rules'!$E$42:$E$68,MATCH(E1956,'Taxonomy Rules'!$C$42:$C$68,0)),""))</x:f>
      </x:c>
      <x:c r="T1956" s="9" t="str">
        <x:f>IF(C1956="","",IFERROR(INDEX('Taxonomy Rules'!$F$42:$F$68,MATCH(E1956,'Taxonomy Rules'!$C$42:$C$68,0)),""))</x:f>
      </x:c>
      <x:c r="U1956" s="9" t="str">
        <x:f>IF(C1956="","",IFERROR(INDEX('Taxonomy'!$G$9:$G$108,MATCH(D1956,'Taxonomy'!$C$9:$C$108,0)),""))</x:f>
      </x:c>
    </x:row>
    <x:row r="1957" ht="44" customHeight="1">
      <x:c r="A1957" s="1"/>
      <x:c r="B1957" s="1"/>
      <x:c r="C1957" s="8"/>
      <x:c r="D1957" s="8"/>
      <x:c r="E1957" s="8"/>
      <x:c r="F1957" s="8"/>
      <x:c r="G1957" s="8"/>
      <x:c r="H1957" s="8"/>
      <x:c r="I1957" s="8"/>
      <x:c r="J1957" s="8"/>
      <x:c r="K1957" s="8"/>
      <x:c r="L1957" s="8"/>
      <x:c r="M1957" s="10"/>
      <x:c r="N1957" s="10"/>
      <x:c r="O1957" s="8"/>
      <x:c r="P1957" s="9" t="str">
        <x:f>IF(C1957="","",IF(AND(G1957="Applicable",H1957="Fail"),"Fail",IF(R1957&lt;&gt;"Valid","Pending",IF(OR(I1957="",K1957="",L1957="",K1957=L1957,NOT(ISNUMBER(M1957)),NOT(ISNUMBER(N1957)),M1957&gt;Settings!$F$8,N1957&lt;Settings!$F$8,N1957&lt;M1957),"Pending",IF(AND(G1957="Applicable",H1957="Pass"),"Pass",IF(AND(G1957="N/A",H1957="N/A",J1957&lt;&gt;"",OR(E1957="CEM-FUELS",E1957="CEM-CCS",AND(E1957="CEM-PLAN",IFERROR(INDEX('Taxonomy'!$M$9:$M$108,MATCH(D1957,'Taxonomy'!$C$9:$C$108,0)),"")&lt;&gt;"Amber"),E1957="BLD-TIMBER",AND(U1957="Building equipment",OR(E1957="BLD-WATER",E1957="BLD-WASTE",E1957="BLD-LAND")),AND(U1957="Building renovation",E1957="BLD-LAND"))),"N/A","Pending"))))))</x:f>
      </x:c>
      <x:c r="Q1957" s="3" t="str">
        <x:f>IF(C1957="","",IF(AND(R1957="Valid",OR(P1957="Pass",P1957="N/A")),"Complete","Unresolved"))</x:f>
      </x:c>
      <x:c r="R1957" s="9" t="str">
        <x:f>IF(C1957="","",IF(OR(COUNTIF($C$9:$C$2008,C1957)&lt;&gt;1,COUNTIFS($D$9:$D$2008,D1957,$E$9:$E$2008,E1957)&lt;&gt;1),"Duplicate test",IF(COUNTIF('Taxonomy'!$C$9:$C$108,D1957)&lt;&gt;1,"Assessment key",IF(OR(COUNTIF('Taxonomy Rules'!$C$42:$C$68,E1957)&lt;&gt;1,F1957&lt;&gt;IFERROR(INDEX('Taxonomy Rules'!$D$42:$D$68,MATCH(E1957,'Taxonomy Rules'!$C$42:$C$68,0)),""),NOT(OR(IFERROR(INDEX('Taxonomy Rules'!$G$42:$G$68,MATCH(E1957,'Taxonomy Rules'!$C$42:$C$68,0)),"")="All supported routes",IFERROR(INDEX('Taxonomy Rules'!$G$42:$G$68,MATCH(E1957,'Taxonomy Rules'!$C$42:$C$68,0)),"")=U1957,AND(IFERROR(INDEX('Taxonomy Rules'!$G$42:$G$68,MATCH(E1957,'Taxonomy Rules'!$C$42:$C$68,0)),"")="Building routes",OR(U1957="Building renovation",U1957="New building",U1957="Building equipment"))))),"Unexpected test","Valid"))))</x:f>
      </x:c>
      <x:c r="S1957" s="9" t="str">
        <x:f>IF(C1957="","",IFERROR(INDEX('Taxonomy Rules'!$E$42:$E$68,MATCH(E1957,'Taxonomy Rules'!$C$42:$C$68,0)),""))</x:f>
      </x:c>
      <x:c r="T1957" s="9" t="str">
        <x:f>IF(C1957="","",IFERROR(INDEX('Taxonomy Rules'!$F$42:$F$68,MATCH(E1957,'Taxonomy Rules'!$C$42:$C$68,0)),""))</x:f>
      </x:c>
      <x:c r="U1957" s="9" t="str">
        <x:f>IF(C1957="","",IFERROR(INDEX('Taxonomy'!$G$9:$G$108,MATCH(D1957,'Taxonomy'!$C$9:$C$108,0)),""))</x:f>
      </x:c>
    </x:row>
    <x:row r="1958" ht="44" customHeight="1">
      <x:c r="A1958" s="1"/>
      <x:c r="B1958" s="1"/>
      <x:c r="C1958" s="8"/>
      <x:c r="D1958" s="8"/>
      <x:c r="E1958" s="8"/>
      <x:c r="F1958" s="8"/>
      <x:c r="G1958" s="8"/>
      <x:c r="H1958" s="8"/>
      <x:c r="I1958" s="8"/>
      <x:c r="J1958" s="8"/>
      <x:c r="K1958" s="8"/>
      <x:c r="L1958" s="8"/>
      <x:c r="M1958" s="10"/>
      <x:c r="N1958" s="10"/>
      <x:c r="O1958" s="8"/>
      <x:c r="P1958" s="9" t="str">
        <x:f>IF(C1958="","",IF(AND(G1958="Applicable",H1958="Fail"),"Fail",IF(R1958&lt;&gt;"Valid","Pending",IF(OR(I1958="",K1958="",L1958="",K1958=L1958,NOT(ISNUMBER(M1958)),NOT(ISNUMBER(N1958)),M1958&gt;Settings!$F$8,N1958&lt;Settings!$F$8,N1958&lt;M1958),"Pending",IF(AND(G1958="Applicable",H1958="Pass"),"Pass",IF(AND(G1958="N/A",H1958="N/A",J1958&lt;&gt;"",OR(E1958="CEM-FUELS",E1958="CEM-CCS",AND(E1958="CEM-PLAN",IFERROR(INDEX('Taxonomy'!$M$9:$M$108,MATCH(D1958,'Taxonomy'!$C$9:$C$108,0)),"")&lt;&gt;"Amber"),E1958="BLD-TIMBER",AND(U1958="Building equipment",OR(E1958="BLD-WATER",E1958="BLD-WASTE",E1958="BLD-LAND")),AND(U1958="Building renovation",E1958="BLD-LAND"))),"N/A","Pending"))))))</x:f>
      </x:c>
      <x:c r="Q1958" s="3" t="str">
        <x:f>IF(C1958="","",IF(AND(R1958="Valid",OR(P1958="Pass",P1958="N/A")),"Complete","Unresolved"))</x:f>
      </x:c>
      <x:c r="R1958" s="9" t="str">
        <x:f>IF(C1958="","",IF(OR(COUNTIF($C$9:$C$2008,C1958)&lt;&gt;1,COUNTIFS($D$9:$D$2008,D1958,$E$9:$E$2008,E1958)&lt;&gt;1),"Duplicate test",IF(COUNTIF('Taxonomy'!$C$9:$C$108,D1958)&lt;&gt;1,"Assessment key",IF(OR(COUNTIF('Taxonomy Rules'!$C$42:$C$68,E1958)&lt;&gt;1,F1958&lt;&gt;IFERROR(INDEX('Taxonomy Rules'!$D$42:$D$68,MATCH(E1958,'Taxonomy Rules'!$C$42:$C$68,0)),""),NOT(OR(IFERROR(INDEX('Taxonomy Rules'!$G$42:$G$68,MATCH(E1958,'Taxonomy Rules'!$C$42:$C$68,0)),"")="All supported routes",IFERROR(INDEX('Taxonomy Rules'!$G$42:$G$68,MATCH(E1958,'Taxonomy Rules'!$C$42:$C$68,0)),"")=U1958,AND(IFERROR(INDEX('Taxonomy Rules'!$G$42:$G$68,MATCH(E1958,'Taxonomy Rules'!$C$42:$C$68,0)),"")="Building routes",OR(U1958="Building renovation",U1958="New building",U1958="Building equipment"))))),"Unexpected test","Valid"))))</x:f>
      </x:c>
      <x:c r="S1958" s="9" t="str">
        <x:f>IF(C1958="","",IFERROR(INDEX('Taxonomy Rules'!$E$42:$E$68,MATCH(E1958,'Taxonomy Rules'!$C$42:$C$68,0)),""))</x:f>
      </x:c>
      <x:c r="T1958" s="9" t="str">
        <x:f>IF(C1958="","",IFERROR(INDEX('Taxonomy Rules'!$F$42:$F$68,MATCH(E1958,'Taxonomy Rules'!$C$42:$C$68,0)),""))</x:f>
      </x:c>
      <x:c r="U1958" s="9" t="str">
        <x:f>IF(C1958="","",IFERROR(INDEX('Taxonomy'!$G$9:$G$108,MATCH(D1958,'Taxonomy'!$C$9:$C$108,0)),""))</x:f>
      </x:c>
    </x:row>
    <x:row r="1959" ht="44" customHeight="1">
      <x:c r="A1959" s="1"/>
      <x:c r="B1959" s="1"/>
      <x:c r="C1959" s="8"/>
      <x:c r="D1959" s="8"/>
      <x:c r="E1959" s="8"/>
      <x:c r="F1959" s="8"/>
      <x:c r="G1959" s="8"/>
      <x:c r="H1959" s="8"/>
      <x:c r="I1959" s="8"/>
      <x:c r="J1959" s="8"/>
      <x:c r="K1959" s="8"/>
      <x:c r="L1959" s="8"/>
      <x:c r="M1959" s="10"/>
      <x:c r="N1959" s="10"/>
      <x:c r="O1959" s="8"/>
      <x:c r="P1959" s="9" t="str">
        <x:f>IF(C1959="","",IF(AND(G1959="Applicable",H1959="Fail"),"Fail",IF(R1959&lt;&gt;"Valid","Pending",IF(OR(I1959="",K1959="",L1959="",K1959=L1959,NOT(ISNUMBER(M1959)),NOT(ISNUMBER(N1959)),M1959&gt;Settings!$F$8,N1959&lt;Settings!$F$8,N1959&lt;M1959),"Pending",IF(AND(G1959="Applicable",H1959="Pass"),"Pass",IF(AND(G1959="N/A",H1959="N/A",J1959&lt;&gt;"",OR(E1959="CEM-FUELS",E1959="CEM-CCS",AND(E1959="CEM-PLAN",IFERROR(INDEX('Taxonomy'!$M$9:$M$108,MATCH(D1959,'Taxonomy'!$C$9:$C$108,0)),"")&lt;&gt;"Amber"),E1959="BLD-TIMBER",AND(U1959="Building equipment",OR(E1959="BLD-WATER",E1959="BLD-WASTE",E1959="BLD-LAND")),AND(U1959="Building renovation",E1959="BLD-LAND"))),"N/A","Pending"))))))</x:f>
      </x:c>
      <x:c r="Q1959" s="3" t="str">
        <x:f>IF(C1959="","",IF(AND(R1959="Valid",OR(P1959="Pass",P1959="N/A")),"Complete","Unresolved"))</x:f>
      </x:c>
      <x:c r="R1959" s="9" t="str">
        <x:f>IF(C1959="","",IF(OR(COUNTIF($C$9:$C$2008,C1959)&lt;&gt;1,COUNTIFS($D$9:$D$2008,D1959,$E$9:$E$2008,E1959)&lt;&gt;1),"Duplicate test",IF(COUNTIF('Taxonomy'!$C$9:$C$108,D1959)&lt;&gt;1,"Assessment key",IF(OR(COUNTIF('Taxonomy Rules'!$C$42:$C$68,E1959)&lt;&gt;1,F1959&lt;&gt;IFERROR(INDEX('Taxonomy Rules'!$D$42:$D$68,MATCH(E1959,'Taxonomy Rules'!$C$42:$C$68,0)),""),NOT(OR(IFERROR(INDEX('Taxonomy Rules'!$G$42:$G$68,MATCH(E1959,'Taxonomy Rules'!$C$42:$C$68,0)),"")="All supported routes",IFERROR(INDEX('Taxonomy Rules'!$G$42:$G$68,MATCH(E1959,'Taxonomy Rules'!$C$42:$C$68,0)),"")=U1959,AND(IFERROR(INDEX('Taxonomy Rules'!$G$42:$G$68,MATCH(E1959,'Taxonomy Rules'!$C$42:$C$68,0)),"")="Building routes",OR(U1959="Building renovation",U1959="New building",U1959="Building equipment"))))),"Unexpected test","Valid"))))</x:f>
      </x:c>
      <x:c r="S1959" s="9" t="str">
        <x:f>IF(C1959="","",IFERROR(INDEX('Taxonomy Rules'!$E$42:$E$68,MATCH(E1959,'Taxonomy Rules'!$C$42:$C$68,0)),""))</x:f>
      </x:c>
      <x:c r="T1959" s="9" t="str">
        <x:f>IF(C1959="","",IFERROR(INDEX('Taxonomy Rules'!$F$42:$F$68,MATCH(E1959,'Taxonomy Rules'!$C$42:$C$68,0)),""))</x:f>
      </x:c>
      <x:c r="U1959" s="9" t="str">
        <x:f>IF(C1959="","",IFERROR(INDEX('Taxonomy'!$G$9:$G$108,MATCH(D1959,'Taxonomy'!$C$9:$C$108,0)),""))</x:f>
      </x:c>
    </x:row>
    <x:row r="1960" ht="44" customHeight="1">
      <x:c r="A1960" s="1"/>
      <x:c r="B1960" s="1"/>
      <x:c r="C1960" s="8"/>
      <x:c r="D1960" s="8"/>
      <x:c r="E1960" s="8"/>
      <x:c r="F1960" s="8"/>
      <x:c r="G1960" s="8"/>
      <x:c r="H1960" s="8"/>
      <x:c r="I1960" s="8"/>
      <x:c r="J1960" s="8"/>
      <x:c r="K1960" s="8"/>
      <x:c r="L1960" s="8"/>
      <x:c r="M1960" s="10"/>
      <x:c r="N1960" s="10"/>
      <x:c r="O1960" s="8"/>
      <x:c r="P1960" s="9" t="str">
        <x:f>IF(C1960="","",IF(AND(G1960="Applicable",H1960="Fail"),"Fail",IF(R1960&lt;&gt;"Valid","Pending",IF(OR(I1960="",K1960="",L1960="",K1960=L1960,NOT(ISNUMBER(M1960)),NOT(ISNUMBER(N1960)),M1960&gt;Settings!$F$8,N1960&lt;Settings!$F$8,N1960&lt;M1960),"Pending",IF(AND(G1960="Applicable",H1960="Pass"),"Pass",IF(AND(G1960="N/A",H1960="N/A",J1960&lt;&gt;"",OR(E1960="CEM-FUELS",E1960="CEM-CCS",AND(E1960="CEM-PLAN",IFERROR(INDEX('Taxonomy'!$M$9:$M$108,MATCH(D1960,'Taxonomy'!$C$9:$C$108,0)),"")&lt;&gt;"Amber"),E1960="BLD-TIMBER",AND(U1960="Building equipment",OR(E1960="BLD-WATER",E1960="BLD-WASTE",E1960="BLD-LAND")),AND(U1960="Building renovation",E1960="BLD-LAND"))),"N/A","Pending"))))))</x:f>
      </x:c>
      <x:c r="Q1960" s="3" t="str">
        <x:f>IF(C1960="","",IF(AND(R1960="Valid",OR(P1960="Pass",P1960="N/A")),"Complete","Unresolved"))</x:f>
      </x:c>
      <x:c r="R1960" s="9" t="str">
        <x:f>IF(C1960="","",IF(OR(COUNTIF($C$9:$C$2008,C1960)&lt;&gt;1,COUNTIFS($D$9:$D$2008,D1960,$E$9:$E$2008,E1960)&lt;&gt;1),"Duplicate test",IF(COUNTIF('Taxonomy'!$C$9:$C$108,D1960)&lt;&gt;1,"Assessment key",IF(OR(COUNTIF('Taxonomy Rules'!$C$42:$C$68,E1960)&lt;&gt;1,F1960&lt;&gt;IFERROR(INDEX('Taxonomy Rules'!$D$42:$D$68,MATCH(E1960,'Taxonomy Rules'!$C$42:$C$68,0)),""),NOT(OR(IFERROR(INDEX('Taxonomy Rules'!$G$42:$G$68,MATCH(E1960,'Taxonomy Rules'!$C$42:$C$68,0)),"")="All supported routes",IFERROR(INDEX('Taxonomy Rules'!$G$42:$G$68,MATCH(E1960,'Taxonomy Rules'!$C$42:$C$68,0)),"")=U1960,AND(IFERROR(INDEX('Taxonomy Rules'!$G$42:$G$68,MATCH(E1960,'Taxonomy Rules'!$C$42:$C$68,0)),"")="Building routes",OR(U1960="Building renovation",U1960="New building",U1960="Building equipment"))))),"Unexpected test","Valid"))))</x:f>
      </x:c>
      <x:c r="S1960" s="9" t="str">
        <x:f>IF(C1960="","",IFERROR(INDEX('Taxonomy Rules'!$E$42:$E$68,MATCH(E1960,'Taxonomy Rules'!$C$42:$C$68,0)),""))</x:f>
      </x:c>
      <x:c r="T1960" s="9" t="str">
        <x:f>IF(C1960="","",IFERROR(INDEX('Taxonomy Rules'!$F$42:$F$68,MATCH(E1960,'Taxonomy Rules'!$C$42:$C$68,0)),""))</x:f>
      </x:c>
      <x:c r="U1960" s="9" t="str">
        <x:f>IF(C1960="","",IFERROR(INDEX('Taxonomy'!$G$9:$G$108,MATCH(D1960,'Taxonomy'!$C$9:$C$108,0)),""))</x:f>
      </x:c>
    </x:row>
    <x:row r="1961" ht="44" customHeight="1">
      <x:c r="A1961" s="1"/>
      <x:c r="B1961" s="1"/>
      <x:c r="C1961" s="8"/>
      <x:c r="D1961" s="8"/>
      <x:c r="E1961" s="8"/>
      <x:c r="F1961" s="8"/>
      <x:c r="G1961" s="8"/>
      <x:c r="H1961" s="8"/>
      <x:c r="I1961" s="8"/>
      <x:c r="J1961" s="8"/>
      <x:c r="K1961" s="8"/>
      <x:c r="L1961" s="8"/>
      <x:c r="M1961" s="10"/>
      <x:c r="N1961" s="10"/>
      <x:c r="O1961" s="8"/>
      <x:c r="P1961" s="9" t="str">
        <x:f>IF(C1961="","",IF(AND(G1961="Applicable",H1961="Fail"),"Fail",IF(R1961&lt;&gt;"Valid","Pending",IF(OR(I1961="",K1961="",L1961="",K1961=L1961,NOT(ISNUMBER(M1961)),NOT(ISNUMBER(N1961)),M1961&gt;Settings!$F$8,N1961&lt;Settings!$F$8,N1961&lt;M1961),"Pending",IF(AND(G1961="Applicable",H1961="Pass"),"Pass",IF(AND(G1961="N/A",H1961="N/A",J1961&lt;&gt;"",OR(E1961="CEM-FUELS",E1961="CEM-CCS",AND(E1961="CEM-PLAN",IFERROR(INDEX('Taxonomy'!$M$9:$M$108,MATCH(D1961,'Taxonomy'!$C$9:$C$108,0)),"")&lt;&gt;"Amber"),E1961="BLD-TIMBER",AND(U1961="Building equipment",OR(E1961="BLD-WATER",E1961="BLD-WASTE",E1961="BLD-LAND")),AND(U1961="Building renovation",E1961="BLD-LAND"))),"N/A","Pending"))))))</x:f>
      </x:c>
      <x:c r="Q1961" s="3" t="str">
        <x:f>IF(C1961="","",IF(AND(R1961="Valid",OR(P1961="Pass",P1961="N/A")),"Complete","Unresolved"))</x:f>
      </x:c>
      <x:c r="R1961" s="9" t="str">
        <x:f>IF(C1961="","",IF(OR(COUNTIF($C$9:$C$2008,C1961)&lt;&gt;1,COUNTIFS($D$9:$D$2008,D1961,$E$9:$E$2008,E1961)&lt;&gt;1),"Duplicate test",IF(COUNTIF('Taxonomy'!$C$9:$C$108,D1961)&lt;&gt;1,"Assessment key",IF(OR(COUNTIF('Taxonomy Rules'!$C$42:$C$68,E1961)&lt;&gt;1,F1961&lt;&gt;IFERROR(INDEX('Taxonomy Rules'!$D$42:$D$68,MATCH(E1961,'Taxonomy Rules'!$C$42:$C$68,0)),""),NOT(OR(IFERROR(INDEX('Taxonomy Rules'!$G$42:$G$68,MATCH(E1961,'Taxonomy Rules'!$C$42:$C$68,0)),"")="All supported routes",IFERROR(INDEX('Taxonomy Rules'!$G$42:$G$68,MATCH(E1961,'Taxonomy Rules'!$C$42:$C$68,0)),"")=U1961,AND(IFERROR(INDEX('Taxonomy Rules'!$G$42:$G$68,MATCH(E1961,'Taxonomy Rules'!$C$42:$C$68,0)),"")="Building routes",OR(U1961="Building renovation",U1961="New building",U1961="Building equipment"))))),"Unexpected test","Valid"))))</x:f>
      </x:c>
      <x:c r="S1961" s="9" t="str">
        <x:f>IF(C1961="","",IFERROR(INDEX('Taxonomy Rules'!$E$42:$E$68,MATCH(E1961,'Taxonomy Rules'!$C$42:$C$68,0)),""))</x:f>
      </x:c>
      <x:c r="T1961" s="9" t="str">
        <x:f>IF(C1961="","",IFERROR(INDEX('Taxonomy Rules'!$F$42:$F$68,MATCH(E1961,'Taxonomy Rules'!$C$42:$C$68,0)),""))</x:f>
      </x:c>
      <x:c r="U1961" s="9" t="str">
        <x:f>IF(C1961="","",IFERROR(INDEX('Taxonomy'!$G$9:$G$108,MATCH(D1961,'Taxonomy'!$C$9:$C$108,0)),""))</x:f>
      </x:c>
    </x:row>
    <x:row r="1962" ht="44" customHeight="1">
      <x:c r="A1962" s="1"/>
      <x:c r="B1962" s="1"/>
      <x:c r="C1962" s="8"/>
      <x:c r="D1962" s="8"/>
      <x:c r="E1962" s="8"/>
      <x:c r="F1962" s="8"/>
      <x:c r="G1962" s="8"/>
      <x:c r="H1962" s="8"/>
      <x:c r="I1962" s="8"/>
      <x:c r="J1962" s="8"/>
      <x:c r="K1962" s="8"/>
      <x:c r="L1962" s="8"/>
      <x:c r="M1962" s="10"/>
      <x:c r="N1962" s="10"/>
      <x:c r="O1962" s="8"/>
      <x:c r="P1962" s="9" t="str">
        <x:f>IF(C1962="","",IF(AND(G1962="Applicable",H1962="Fail"),"Fail",IF(R1962&lt;&gt;"Valid","Pending",IF(OR(I1962="",K1962="",L1962="",K1962=L1962,NOT(ISNUMBER(M1962)),NOT(ISNUMBER(N1962)),M1962&gt;Settings!$F$8,N1962&lt;Settings!$F$8,N1962&lt;M1962),"Pending",IF(AND(G1962="Applicable",H1962="Pass"),"Pass",IF(AND(G1962="N/A",H1962="N/A",J1962&lt;&gt;"",OR(E1962="CEM-FUELS",E1962="CEM-CCS",AND(E1962="CEM-PLAN",IFERROR(INDEX('Taxonomy'!$M$9:$M$108,MATCH(D1962,'Taxonomy'!$C$9:$C$108,0)),"")&lt;&gt;"Amber"),E1962="BLD-TIMBER",AND(U1962="Building equipment",OR(E1962="BLD-WATER",E1962="BLD-WASTE",E1962="BLD-LAND")),AND(U1962="Building renovation",E1962="BLD-LAND"))),"N/A","Pending"))))))</x:f>
      </x:c>
      <x:c r="Q1962" s="3" t="str">
        <x:f>IF(C1962="","",IF(AND(R1962="Valid",OR(P1962="Pass",P1962="N/A")),"Complete","Unresolved"))</x:f>
      </x:c>
      <x:c r="R1962" s="9" t="str">
        <x:f>IF(C1962="","",IF(OR(COUNTIF($C$9:$C$2008,C1962)&lt;&gt;1,COUNTIFS($D$9:$D$2008,D1962,$E$9:$E$2008,E1962)&lt;&gt;1),"Duplicate test",IF(COUNTIF('Taxonomy'!$C$9:$C$108,D1962)&lt;&gt;1,"Assessment key",IF(OR(COUNTIF('Taxonomy Rules'!$C$42:$C$68,E1962)&lt;&gt;1,F1962&lt;&gt;IFERROR(INDEX('Taxonomy Rules'!$D$42:$D$68,MATCH(E1962,'Taxonomy Rules'!$C$42:$C$68,0)),""),NOT(OR(IFERROR(INDEX('Taxonomy Rules'!$G$42:$G$68,MATCH(E1962,'Taxonomy Rules'!$C$42:$C$68,0)),"")="All supported routes",IFERROR(INDEX('Taxonomy Rules'!$G$42:$G$68,MATCH(E1962,'Taxonomy Rules'!$C$42:$C$68,0)),"")=U1962,AND(IFERROR(INDEX('Taxonomy Rules'!$G$42:$G$68,MATCH(E1962,'Taxonomy Rules'!$C$42:$C$68,0)),"")="Building routes",OR(U1962="Building renovation",U1962="New building",U1962="Building equipment"))))),"Unexpected test","Valid"))))</x:f>
      </x:c>
      <x:c r="S1962" s="9" t="str">
        <x:f>IF(C1962="","",IFERROR(INDEX('Taxonomy Rules'!$E$42:$E$68,MATCH(E1962,'Taxonomy Rules'!$C$42:$C$68,0)),""))</x:f>
      </x:c>
      <x:c r="T1962" s="9" t="str">
        <x:f>IF(C1962="","",IFERROR(INDEX('Taxonomy Rules'!$F$42:$F$68,MATCH(E1962,'Taxonomy Rules'!$C$42:$C$68,0)),""))</x:f>
      </x:c>
      <x:c r="U1962" s="9" t="str">
        <x:f>IF(C1962="","",IFERROR(INDEX('Taxonomy'!$G$9:$G$108,MATCH(D1962,'Taxonomy'!$C$9:$C$108,0)),""))</x:f>
      </x:c>
    </x:row>
    <x:row r="1963" ht="44" customHeight="1">
      <x:c r="A1963" s="1"/>
      <x:c r="B1963" s="1"/>
      <x:c r="C1963" s="8"/>
      <x:c r="D1963" s="8"/>
      <x:c r="E1963" s="8"/>
      <x:c r="F1963" s="8"/>
      <x:c r="G1963" s="8"/>
      <x:c r="H1963" s="8"/>
      <x:c r="I1963" s="8"/>
      <x:c r="J1963" s="8"/>
      <x:c r="K1963" s="8"/>
      <x:c r="L1963" s="8"/>
      <x:c r="M1963" s="10"/>
      <x:c r="N1963" s="10"/>
      <x:c r="O1963" s="8"/>
      <x:c r="P1963" s="9" t="str">
        <x:f>IF(C1963="","",IF(AND(G1963="Applicable",H1963="Fail"),"Fail",IF(R1963&lt;&gt;"Valid","Pending",IF(OR(I1963="",K1963="",L1963="",K1963=L1963,NOT(ISNUMBER(M1963)),NOT(ISNUMBER(N1963)),M1963&gt;Settings!$F$8,N1963&lt;Settings!$F$8,N1963&lt;M1963),"Pending",IF(AND(G1963="Applicable",H1963="Pass"),"Pass",IF(AND(G1963="N/A",H1963="N/A",J1963&lt;&gt;"",OR(E1963="CEM-FUELS",E1963="CEM-CCS",AND(E1963="CEM-PLAN",IFERROR(INDEX('Taxonomy'!$M$9:$M$108,MATCH(D1963,'Taxonomy'!$C$9:$C$108,0)),"")&lt;&gt;"Amber"),E1963="BLD-TIMBER",AND(U1963="Building equipment",OR(E1963="BLD-WATER",E1963="BLD-WASTE",E1963="BLD-LAND")),AND(U1963="Building renovation",E1963="BLD-LAND"))),"N/A","Pending"))))))</x:f>
      </x:c>
      <x:c r="Q1963" s="3" t="str">
        <x:f>IF(C1963="","",IF(AND(R1963="Valid",OR(P1963="Pass",P1963="N/A")),"Complete","Unresolved"))</x:f>
      </x:c>
      <x:c r="R1963" s="9" t="str">
        <x:f>IF(C1963="","",IF(OR(COUNTIF($C$9:$C$2008,C1963)&lt;&gt;1,COUNTIFS($D$9:$D$2008,D1963,$E$9:$E$2008,E1963)&lt;&gt;1),"Duplicate test",IF(COUNTIF('Taxonomy'!$C$9:$C$108,D1963)&lt;&gt;1,"Assessment key",IF(OR(COUNTIF('Taxonomy Rules'!$C$42:$C$68,E1963)&lt;&gt;1,F1963&lt;&gt;IFERROR(INDEX('Taxonomy Rules'!$D$42:$D$68,MATCH(E1963,'Taxonomy Rules'!$C$42:$C$68,0)),""),NOT(OR(IFERROR(INDEX('Taxonomy Rules'!$G$42:$G$68,MATCH(E1963,'Taxonomy Rules'!$C$42:$C$68,0)),"")="All supported routes",IFERROR(INDEX('Taxonomy Rules'!$G$42:$G$68,MATCH(E1963,'Taxonomy Rules'!$C$42:$C$68,0)),"")=U1963,AND(IFERROR(INDEX('Taxonomy Rules'!$G$42:$G$68,MATCH(E1963,'Taxonomy Rules'!$C$42:$C$68,0)),"")="Building routes",OR(U1963="Building renovation",U1963="New building",U1963="Building equipment"))))),"Unexpected test","Valid"))))</x:f>
      </x:c>
      <x:c r="S1963" s="9" t="str">
        <x:f>IF(C1963="","",IFERROR(INDEX('Taxonomy Rules'!$E$42:$E$68,MATCH(E1963,'Taxonomy Rules'!$C$42:$C$68,0)),""))</x:f>
      </x:c>
      <x:c r="T1963" s="9" t="str">
        <x:f>IF(C1963="","",IFERROR(INDEX('Taxonomy Rules'!$F$42:$F$68,MATCH(E1963,'Taxonomy Rules'!$C$42:$C$68,0)),""))</x:f>
      </x:c>
      <x:c r="U1963" s="9" t="str">
        <x:f>IF(C1963="","",IFERROR(INDEX('Taxonomy'!$G$9:$G$108,MATCH(D1963,'Taxonomy'!$C$9:$C$108,0)),""))</x:f>
      </x:c>
    </x:row>
    <x:row r="1964" ht="44" customHeight="1">
      <x:c r="A1964" s="1"/>
      <x:c r="B1964" s="1"/>
      <x:c r="C1964" s="8"/>
      <x:c r="D1964" s="8"/>
      <x:c r="E1964" s="8"/>
      <x:c r="F1964" s="8"/>
      <x:c r="G1964" s="8"/>
      <x:c r="H1964" s="8"/>
      <x:c r="I1964" s="8"/>
      <x:c r="J1964" s="8"/>
      <x:c r="K1964" s="8"/>
      <x:c r="L1964" s="8"/>
      <x:c r="M1964" s="10"/>
      <x:c r="N1964" s="10"/>
      <x:c r="O1964" s="8"/>
      <x:c r="P1964" s="9" t="str">
        <x:f>IF(C1964="","",IF(AND(G1964="Applicable",H1964="Fail"),"Fail",IF(R1964&lt;&gt;"Valid","Pending",IF(OR(I1964="",K1964="",L1964="",K1964=L1964,NOT(ISNUMBER(M1964)),NOT(ISNUMBER(N1964)),M1964&gt;Settings!$F$8,N1964&lt;Settings!$F$8,N1964&lt;M1964),"Pending",IF(AND(G1964="Applicable",H1964="Pass"),"Pass",IF(AND(G1964="N/A",H1964="N/A",J1964&lt;&gt;"",OR(E1964="CEM-FUELS",E1964="CEM-CCS",AND(E1964="CEM-PLAN",IFERROR(INDEX('Taxonomy'!$M$9:$M$108,MATCH(D1964,'Taxonomy'!$C$9:$C$108,0)),"")&lt;&gt;"Amber"),E1964="BLD-TIMBER",AND(U1964="Building equipment",OR(E1964="BLD-WATER",E1964="BLD-WASTE",E1964="BLD-LAND")),AND(U1964="Building renovation",E1964="BLD-LAND"))),"N/A","Pending"))))))</x:f>
      </x:c>
      <x:c r="Q1964" s="3" t="str">
        <x:f>IF(C1964="","",IF(AND(R1964="Valid",OR(P1964="Pass",P1964="N/A")),"Complete","Unresolved"))</x:f>
      </x:c>
      <x:c r="R1964" s="9" t="str">
        <x:f>IF(C1964="","",IF(OR(COUNTIF($C$9:$C$2008,C1964)&lt;&gt;1,COUNTIFS($D$9:$D$2008,D1964,$E$9:$E$2008,E1964)&lt;&gt;1),"Duplicate test",IF(COUNTIF('Taxonomy'!$C$9:$C$108,D1964)&lt;&gt;1,"Assessment key",IF(OR(COUNTIF('Taxonomy Rules'!$C$42:$C$68,E1964)&lt;&gt;1,F1964&lt;&gt;IFERROR(INDEX('Taxonomy Rules'!$D$42:$D$68,MATCH(E1964,'Taxonomy Rules'!$C$42:$C$68,0)),""),NOT(OR(IFERROR(INDEX('Taxonomy Rules'!$G$42:$G$68,MATCH(E1964,'Taxonomy Rules'!$C$42:$C$68,0)),"")="All supported routes",IFERROR(INDEX('Taxonomy Rules'!$G$42:$G$68,MATCH(E1964,'Taxonomy Rules'!$C$42:$C$68,0)),"")=U1964,AND(IFERROR(INDEX('Taxonomy Rules'!$G$42:$G$68,MATCH(E1964,'Taxonomy Rules'!$C$42:$C$68,0)),"")="Building routes",OR(U1964="Building renovation",U1964="New building",U1964="Building equipment"))))),"Unexpected test","Valid"))))</x:f>
      </x:c>
      <x:c r="S1964" s="9" t="str">
        <x:f>IF(C1964="","",IFERROR(INDEX('Taxonomy Rules'!$E$42:$E$68,MATCH(E1964,'Taxonomy Rules'!$C$42:$C$68,0)),""))</x:f>
      </x:c>
      <x:c r="T1964" s="9" t="str">
        <x:f>IF(C1964="","",IFERROR(INDEX('Taxonomy Rules'!$F$42:$F$68,MATCH(E1964,'Taxonomy Rules'!$C$42:$C$68,0)),""))</x:f>
      </x:c>
      <x:c r="U1964" s="9" t="str">
        <x:f>IF(C1964="","",IFERROR(INDEX('Taxonomy'!$G$9:$G$108,MATCH(D1964,'Taxonomy'!$C$9:$C$108,0)),""))</x:f>
      </x:c>
    </x:row>
    <x:row r="1965" ht="44" customHeight="1">
      <x:c r="A1965" s="1"/>
      <x:c r="B1965" s="1"/>
      <x:c r="C1965" s="8"/>
      <x:c r="D1965" s="8"/>
      <x:c r="E1965" s="8"/>
      <x:c r="F1965" s="8"/>
      <x:c r="G1965" s="8"/>
      <x:c r="H1965" s="8"/>
      <x:c r="I1965" s="8"/>
      <x:c r="J1965" s="8"/>
      <x:c r="K1965" s="8"/>
      <x:c r="L1965" s="8"/>
      <x:c r="M1965" s="10"/>
      <x:c r="N1965" s="10"/>
      <x:c r="O1965" s="8"/>
      <x:c r="P1965" s="9" t="str">
        <x:f>IF(C1965="","",IF(AND(G1965="Applicable",H1965="Fail"),"Fail",IF(R1965&lt;&gt;"Valid","Pending",IF(OR(I1965="",K1965="",L1965="",K1965=L1965,NOT(ISNUMBER(M1965)),NOT(ISNUMBER(N1965)),M1965&gt;Settings!$F$8,N1965&lt;Settings!$F$8,N1965&lt;M1965),"Pending",IF(AND(G1965="Applicable",H1965="Pass"),"Pass",IF(AND(G1965="N/A",H1965="N/A",J1965&lt;&gt;"",OR(E1965="CEM-FUELS",E1965="CEM-CCS",AND(E1965="CEM-PLAN",IFERROR(INDEX('Taxonomy'!$M$9:$M$108,MATCH(D1965,'Taxonomy'!$C$9:$C$108,0)),"")&lt;&gt;"Amber"),E1965="BLD-TIMBER",AND(U1965="Building equipment",OR(E1965="BLD-WATER",E1965="BLD-WASTE",E1965="BLD-LAND")),AND(U1965="Building renovation",E1965="BLD-LAND"))),"N/A","Pending"))))))</x:f>
      </x:c>
      <x:c r="Q1965" s="3" t="str">
        <x:f>IF(C1965="","",IF(AND(R1965="Valid",OR(P1965="Pass",P1965="N/A")),"Complete","Unresolved"))</x:f>
      </x:c>
      <x:c r="R1965" s="9" t="str">
        <x:f>IF(C1965="","",IF(OR(COUNTIF($C$9:$C$2008,C1965)&lt;&gt;1,COUNTIFS($D$9:$D$2008,D1965,$E$9:$E$2008,E1965)&lt;&gt;1),"Duplicate test",IF(COUNTIF('Taxonomy'!$C$9:$C$108,D1965)&lt;&gt;1,"Assessment key",IF(OR(COUNTIF('Taxonomy Rules'!$C$42:$C$68,E1965)&lt;&gt;1,F1965&lt;&gt;IFERROR(INDEX('Taxonomy Rules'!$D$42:$D$68,MATCH(E1965,'Taxonomy Rules'!$C$42:$C$68,0)),""),NOT(OR(IFERROR(INDEX('Taxonomy Rules'!$G$42:$G$68,MATCH(E1965,'Taxonomy Rules'!$C$42:$C$68,0)),"")="All supported routes",IFERROR(INDEX('Taxonomy Rules'!$G$42:$G$68,MATCH(E1965,'Taxonomy Rules'!$C$42:$C$68,0)),"")=U1965,AND(IFERROR(INDEX('Taxonomy Rules'!$G$42:$G$68,MATCH(E1965,'Taxonomy Rules'!$C$42:$C$68,0)),"")="Building routes",OR(U1965="Building renovation",U1965="New building",U1965="Building equipment"))))),"Unexpected test","Valid"))))</x:f>
      </x:c>
      <x:c r="S1965" s="9" t="str">
        <x:f>IF(C1965="","",IFERROR(INDEX('Taxonomy Rules'!$E$42:$E$68,MATCH(E1965,'Taxonomy Rules'!$C$42:$C$68,0)),""))</x:f>
      </x:c>
      <x:c r="T1965" s="9" t="str">
        <x:f>IF(C1965="","",IFERROR(INDEX('Taxonomy Rules'!$F$42:$F$68,MATCH(E1965,'Taxonomy Rules'!$C$42:$C$68,0)),""))</x:f>
      </x:c>
      <x:c r="U1965" s="9" t="str">
        <x:f>IF(C1965="","",IFERROR(INDEX('Taxonomy'!$G$9:$G$108,MATCH(D1965,'Taxonomy'!$C$9:$C$108,0)),""))</x:f>
      </x:c>
    </x:row>
    <x:row r="1966" ht="44" customHeight="1">
      <x:c r="A1966" s="1"/>
      <x:c r="B1966" s="1"/>
      <x:c r="C1966" s="8"/>
      <x:c r="D1966" s="8"/>
      <x:c r="E1966" s="8"/>
      <x:c r="F1966" s="8"/>
      <x:c r="G1966" s="8"/>
      <x:c r="H1966" s="8"/>
      <x:c r="I1966" s="8"/>
      <x:c r="J1966" s="8"/>
      <x:c r="K1966" s="8"/>
      <x:c r="L1966" s="8"/>
      <x:c r="M1966" s="10"/>
      <x:c r="N1966" s="10"/>
      <x:c r="O1966" s="8"/>
      <x:c r="P1966" s="9" t="str">
        <x:f>IF(C1966="","",IF(AND(G1966="Applicable",H1966="Fail"),"Fail",IF(R1966&lt;&gt;"Valid","Pending",IF(OR(I1966="",K1966="",L1966="",K1966=L1966,NOT(ISNUMBER(M1966)),NOT(ISNUMBER(N1966)),M1966&gt;Settings!$F$8,N1966&lt;Settings!$F$8,N1966&lt;M1966),"Pending",IF(AND(G1966="Applicable",H1966="Pass"),"Pass",IF(AND(G1966="N/A",H1966="N/A",J1966&lt;&gt;"",OR(E1966="CEM-FUELS",E1966="CEM-CCS",AND(E1966="CEM-PLAN",IFERROR(INDEX('Taxonomy'!$M$9:$M$108,MATCH(D1966,'Taxonomy'!$C$9:$C$108,0)),"")&lt;&gt;"Amber"),E1966="BLD-TIMBER",AND(U1966="Building equipment",OR(E1966="BLD-WATER",E1966="BLD-WASTE",E1966="BLD-LAND")),AND(U1966="Building renovation",E1966="BLD-LAND"))),"N/A","Pending"))))))</x:f>
      </x:c>
      <x:c r="Q1966" s="3" t="str">
        <x:f>IF(C1966="","",IF(AND(R1966="Valid",OR(P1966="Pass",P1966="N/A")),"Complete","Unresolved"))</x:f>
      </x:c>
      <x:c r="R1966" s="9" t="str">
        <x:f>IF(C1966="","",IF(OR(COUNTIF($C$9:$C$2008,C1966)&lt;&gt;1,COUNTIFS($D$9:$D$2008,D1966,$E$9:$E$2008,E1966)&lt;&gt;1),"Duplicate test",IF(COUNTIF('Taxonomy'!$C$9:$C$108,D1966)&lt;&gt;1,"Assessment key",IF(OR(COUNTIF('Taxonomy Rules'!$C$42:$C$68,E1966)&lt;&gt;1,F1966&lt;&gt;IFERROR(INDEX('Taxonomy Rules'!$D$42:$D$68,MATCH(E1966,'Taxonomy Rules'!$C$42:$C$68,0)),""),NOT(OR(IFERROR(INDEX('Taxonomy Rules'!$G$42:$G$68,MATCH(E1966,'Taxonomy Rules'!$C$42:$C$68,0)),"")="All supported routes",IFERROR(INDEX('Taxonomy Rules'!$G$42:$G$68,MATCH(E1966,'Taxonomy Rules'!$C$42:$C$68,0)),"")=U1966,AND(IFERROR(INDEX('Taxonomy Rules'!$G$42:$G$68,MATCH(E1966,'Taxonomy Rules'!$C$42:$C$68,0)),"")="Building routes",OR(U1966="Building renovation",U1966="New building",U1966="Building equipment"))))),"Unexpected test","Valid"))))</x:f>
      </x:c>
      <x:c r="S1966" s="9" t="str">
        <x:f>IF(C1966="","",IFERROR(INDEX('Taxonomy Rules'!$E$42:$E$68,MATCH(E1966,'Taxonomy Rules'!$C$42:$C$68,0)),""))</x:f>
      </x:c>
      <x:c r="T1966" s="9" t="str">
        <x:f>IF(C1966="","",IFERROR(INDEX('Taxonomy Rules'!$F$42:$F$68,MATCH(E1966,'Taxonomy Rules'!$C$42:$C$68,0)),""))</x:f>
      </x:c>
      <x:c r="U1966" s="9" t="str">
        <x:f>IF(C1966="","",IFERROR(INDEX('Taxonomy'!$G$9:$G$108,MATCH(D1966,'Taxonomy'!$C$9:$C$108,0)),""))</x:f>
      </x:c>
    </x:row>
    <x:row r="1967" ht="44" customHeight="1">
      <x:c r="A1967" s="1"/>
      <x:c r="B1967" s="1"/>
      <x:c r="C1967" s="8"/>
      <x:c r="D1967" s="8"/>
      <x:c r="E1967" s="8"/>
      <x:c r="F1967" s="8"/>
      <x:c r="G1967" s="8"/>
      <x:c r="H1967" s="8"/>
      <x:c r="I1967" s="8"/>
      <x:c r="J1967" s="8"/>
      <x:c r="K1967" s="8"/>
      <x:c r="L1967" s="8"/>
      <x:c r="M1967" s="10"/>
      <x:c r="N1967" s="10"/>
      <x:c r="O1967" s="8"/>
      <x:c r="P1967" s="9" t="str">
        <x:f>IF(C1967="","",IF(AND(G1967="Applicable",H1967="Fail"),"Fail",IF(R1967&lt;&gt;"Valid","Pending",IF(OR(I1967="",K1967="",L1967="",K1967=L1967,NOT(ISNUMBER(M1967)),NOT(ISNUMBER(N1967)),M1967&gt;Settings!$F$8,N1967&lt;Settings!$F$8,N1967&lt;M1967),"Pending",IF(AND(G1967="Applicable",H1967="Pass"),"Pass",IF(AND(G1967="N/A",H1967="N/A",J1967&lt;&gt;"",OR(E1967="CEM-FUELS",E1967="CEM-CCS",AND(E1967="CEM-PLAN",IFERROR(INDEX('Taxonomy'!$M$9:$M$108,MATCH(D1967,'Taxonomy'!$C$9:$C$108,0)),"")&lt;&gt;"Amber"),E1967="BLD-TIMBER",AND(U1967="Building equipment",OR(E1967="BLD-WATER",E1967="BLD-WASTE",E1967="BLD-LAND")),AND(U1967="Building renovation",E1967="BLD-LAND"))),"N/A","Pending"))))))</x:f>
      </x:c>
      <x:c r="Q1967" s="3" t="str">
        <x:f>IF(C1967="","",IF(AND(R1967="Valid",OR(P1967="Pass",P1967="N/A")),"Complete","Unresolved"))</x:f>
      </x:c>
      <x:c r="R1967" s="9" t="str">
        <x:f>IF(C1967="","",IF(OR(COUNTIF($C$9:$C$2008,C1967)&lt;&gt;1,COUNTIFS($D$9:$D$2008,D1967,$E$9:$E$2008,E1967)&lt;&gt;1),"Duplicate test",IF(COUNTIF('Taxonomy'!$C$9:$C$108,D1967)&lt;&gt;1,"Assessment key",IF(OR(COUNTIF('Taxonomy Rules'!$C$42:$C$68,E1967)&lt;&gt;1,F1967&lt;&gt;IFERROR(INDEX('Taxonomy Rules'!$D$42:$D$68,MATCH(E1967,'Taxonomy Rules'!$C$42:$C$68,0)),""),NOT(OR(IFERROR(INDEX('Taxonomy Rules'!$G$42:$G$68,MATCH(E1967,'Taxonomy Rules'!$C$42:$C$68,0)),"")="All supported routes",IFERROR(INDEX('Taxonomy Rules'!$G$42:$G$68,MATCH(E1967,'Taxonomy Rules'!$C$42:$C$68,0)),"")=U1967,AND(IFERROR(INDEX('Taxonomy Rules'!$G$42:$G$68,MATCH(E1967,'Taxonomy Rules'!$C$42:$C$68,0)),"")="Building routes",OR(U1967="Building renovation",U1967="New building",U1967="Building equipment"))))),"Unexpected test","Valid"))))</x:f>
      </x:c>
      <x:c r="S1967" s="9" t="str">
        <x:f>IF(C1967="","",IFERROR(INDEX('Taxonomy Rules'!$E$42:$E$68,MATCH(E1967,'Taxonomy Rules'!$C$42:$C$68,0)),""))</x:f>
      </x:c>
      <x:c r="T1967" s="9" t="str">
        <x:f>IF(C1967="","",IFERROR(INDEX('Taxonomy Rules'!$F$42:$F$68,MATCH(E1967,'Taxonomy Rules'!$C$42:$C$68,0)),""))</x:f>
      </x:c>
      <x:c r="U1967" s="9" t="str">
        <x:f>IF(C1967="","",IFERROR(INDEX('Taxonomy'!$G$9:$G$108,MATCH(D1967,'Taxonomy'!$C$9:$C$108,0)),""))</x:f>
      </x:c>
    </x:row>
    <x:row r="1968" ht="44" customHeight="1">
      <x:c r="A1968" s="1"/>
      <x:c r="B1968" s="1"/>
      <x:c r="C1968" s="8"/>
      <x:c r="D1968" s="8"/>
      <x:c r="E1968" s="8"/>
      <x:c r="F1968" s="8"/>
      <x:c r="G1968" s="8"/>
      <x:c r="H1968" s="8"/>
      <x:c r="I1968" s="8"/>
      <x:c r="J1968" s="8"/>
      <x:c r="K1968" s="8"/>
      <x:c r="L1968" s="8"/>
      <x:c r="M1968" s="10"/>
      <x:c r="N1968" s="10"/>
      <x:c r="O1968" s="8"/>
      <x:c r="P1968" s="9" t="str">
        <x:f>IF(C1968="","",IF(AND(G1968="Applicable",H1968="Fail"),"Fail",IF(R1968&lt;&gt;"Valid","Pending",IF(OR(I1968="",K1968="",L1968="",K1968=L1968,NOT(ISNUMBER(M1968)),NOT(ISNUMBER(N1968)),M1968&gt;Settings!$F$8,N1968&lt;Settings!$F$8,N1968&lt;M1968),"Pending",IF(AND(G1968="Applicable",H1968="Pass"),"Pass",IF(AND(G1968="N/A",H1968="N/A",J1968&lt;&gt;"",OR(E1968="CEM-FUELS",E1968="CEM-CCS",AND(E1968="CEM-PLAN",IFERROR(INDEX('Taxonomy'!$M$9:$M$108,MATCH(D1968,'Taxonomy'!$C$9:$C$108,0)),"")&lt;&gt;"Amber"),E1968="BLD-TIMBER",AND(U1968="Building equipment",OR(E1968="BLD-WATER",E1968="BLD-WASTE",E1968="BLD-LAND")),AND(U1968="Building renovation",E1968="BLD-LAND"))),"N/A","Pending"))))))</x:f>
      </x:c>
      <x:c r="Q1968" s="3" t="str">
        <x:f>IF(C1968="","",IF(AND(R1968="Valid",OR(P1968="Pass",P1968="N/A")),"Complete","Unresolved"))</x:f>
      </x:c>
      <x:c r="R1968" s="9" t="str">
        <x:f>IF(C1968="","",IF(OR(COUNTIF($C$9:$C$2008,C1968)&lt;&gt;1,COUNTIFS($D$9:$D$2008,D1968,$E$9:$E$2008,E1968)&lt;&gt;1),"Duplicate test",IF(COUNTIF('Taxonomy'!$C$9:$C$108,D1968)&lt;&gt;1,"Assessment key",IF(OR(COUNTIF('Taxonomy Rules'!$C$42:$C$68,E1968)&lt;&gt;1,F1968&lt;&gt;IFERROR(INDEX('Taxonomy Rules'!$D$42:$D$68,MATCH(E1968,'Taxonomy Rules'!$C$42:$C$68,0)),""),NOT(OR(IFERROR(INDEX('Taxonomy Rules'!$G$42:$G$68,MATCH(E1968,'Taxonomy Rules'!$C$42:$C$68,0)),"")="All supported routes",IFERROR(INDEX('Taxonomy Rules'!$G$42:$G$68,MATCH(E1968,'Taxonomy Rules'!$C$42:$C$68,0)),"")=U1968,AND(IFERROR(INDEX('Taxonomy Rules'!$G$42:$G$68,MATCH(E1968,'Taxonomy Rules'!$C$42:$C$68,0)),"")="Building routes",OR(U1968="Building renovation",U1968="New building",U1968="Building equipment"))))),"Unexpected test","Valid"))))</x:f>
      </x:c>
      <x:c r="S1968" s="9" t="str">
        <x:f>IF(C1968="","",IFERROR(INDEX('Taxonomy Rules'!$E$42:$E$68,MATCH(E1968,'Taxonomy Rules'!$C$42:$C$68,0)),""))</x:f>
      </x:c>
      <x:c r="T1968" s="9" t="str">
        <x:f>IF(C1968="","",IFERROR(INDEX('Taxonomy Rules'!$F$42:$F$68,MATCH(E1968,'Taxonomy Rules'!$C$42:$C$68,0)),""))</x:f>
      </x:c>
      <x:c r="U1968" s="9" t="str">
        <x:f>IF(C1968="","",IFERROR(INDEX('Taxonomy'!$G$9:$G$108,MATCH(D1968,'Taxonomy'!$C$9:$C$108,0)),""))</x:f>
      </x:c>
    </x:row>
    <x:row r="1969" ht="44" customHeight="1">
      <x:c r="A1969" s="1"/>
      <x:c r="B1969" s="1"/>
      <x:c r="C1969" s="8"/>
      <x:c r="D1969" s="8"/>
      <x:c r="E1969" s="8"/>
      <x:c r="F1969" s="8"/>
      <x:c r="G1969" s="8"/>
      <x:c r="H1969" s="8"/>
      <x:c r="I1969" s="8"/>
      <x:c r="J1969" s="8"/>
      <x:c r="K1969" s="8"/>
      <x:c r="L1969" s="8"/>
      <x:c r="M1969" s="10"/>
      <x:c r="N1969" s="10"/>
      <x:c r="O1969" s="8"/>
      <x:c r="P1969" s="9" t="str">
        <x:f>IF(C1969="","",IF(AND(G1969="Applicable",H1969="Fail"),"Fail",IF(R1969&lt;&gt;"Valid","Pending",IF(OR(I1969="",K1969="",L1969="",K1969=L1969,NOT(ISNUMBER(M1969)),NOT(ISNUMBER(N1969)),M1969&gt;Settings!$F$8,N1969&lt;Settings!$F$8,N1969&lt;M1969),"Pending",IF(AND(G1969="Applicable",H1969="Pass"),"Pass",IF(AND(G1969="N/A",H1969="N/A",J1969&lt;&gt;"",OR(E1969="CEM-FUELS",E1969="CEM-CCS",AND(E1969="CEM-PLAN",IFERROR(INDEX('Taxonomy'!$M$9:$M$108,MATCH(D1969,'Taxonomy'!$C$9:$C$108,0)),"")&lt;&gt;"Amber"),E1969="BLD-TIMBER",AND(U1969="Building equipment",OR(E1969="BLD-WATER",E1969="BLD-WASTE",E1969="BLD-LAND")),AND(U1969="Building renovation",E1969="BLD-LAND"))),"N/A","Pending"))))))</x:f>
      </x:c>
      <x:c r="Q1969" s="3" t="str">
        <x:f>IF(C1969="","",IF(AND(R1969="Valid",OR(P1969="Pass",P1969="N/A")),"Complete","Unresolved"))</x:f>
      </x:c>
      <x:c r="R1969" s="9" t="str">
        <x:f>IF(C1969="","",IF(OR(COUNTIF($C$9:$C$2008,C1969)&lt;&gt;1,COUNTIFS($D$9:$D$2008,D1969,$E$9:$E$2008,E1969)&lt;&gt;1),"Duplicate test",IF(COUNTIF('Taxonomy'!$C$9:$C$108,D1969)&lt;&gt;1,"Assessment key",IF(OR(COUNTIF('Taxonomy Rules'!$C$42:$C$68,E1969)&lt;&gt;1,F1969&lt;&gt;IFERROR(INDEX('Taxonomy Rules'!$D$42:$D$68,MATCH(E1969,'Taxonomy Rules'!$C$42:$C$68,0)),""),NOT(OR(IFERROR(INDEX('Taxonomy Rules'!$G$42:$G$68,MATCH(E1969,'Taxonomy Rules'!$C$42:$C$68,0)),"")="All supported routes",IFERROR(INDEX('Taxonomy Rules'!$G$42:$G$68,MATCH(E1969,'Taxonomy Rules'!$C$42:$C$68,0)),"")=U1969,AND(IFERROR(INDEX('Taxonomy Rules'!$G$42:$G$68,MATCH(E1969,'Taxonomy Rules'!$C$42:$C$68,0)),"")="Building routes",OR(U1969="Building renovation",U1969="New building",U1969="Building equipment"))))),"Unexpected test","Valid"))))</x:f>
      </x:c>
      <x:c r="S1969" s="9" t="str">
        <x:f>IF(C1969="","",IFERROR(INDEX('Taxonomy Rules'!$E$42:$E$68,MATCH(E1969,'Taxonomy Rules'!$C$42:$C$68,0)),""))</x:f>
      </x:c>
      <x:c r="T1969" s="9" t="str">
        <x:f>IF(C1969="","",IFERROR(INDEX('Taxonomy Rules'!$F$42:$F$68,MATCH(E1969,'Taxonomy Rules'!$C$42:$C$68,0)),""))</x:f>
      </x:c>
      <x:c r="U1969" s="9" t="str">
        <x:f>IF(C1969="","",IFERROR(INDEX('Taxonomy'!$G$9:$G$108,MATCH(D1969,'Taxonomy'!$C$9:$C$108,0)),""))</x:f>
      </x:c>
    </x:row>
    <x:row r="1970" ht="44" customHeight="1">
      <x:c r="A1970" s="1"/>
      <x:c r="B1970" s="1"/>
      <x:c r="C1970" s="8"/>
      <x:c r="D1970" s="8"/>
      <x:c r="E1970" s="8"/>
      <x:c r="F1970" s="8"/>
      <x:c r="G1970" s="8"/>
      <x:c r="H1970" s="8"/>
      <x:c r="I1970" s="8"/>
      <x:c r="J1970" s="8"/>
      <x:c r="K1970" s="8"/>
      <x:c r="L1970" s="8"/>
      <x:c r="M1970" s="10"/>
      <x:c r="N1970" s="10"/>
      <x:c r="O1970" s="8"/>
      <x:c r="P1970" s="9" t="str">
        <x:f>IF(C1970="","",IF(AND(G1970="Applicable",H1970="Fail"),"Fail",IF(R1970&lt;&gt;"Valid","Pending",IF(OR(I1970="",K1970="",L1970="",K1970=L1970,NOT(ISNUMBER(M1970)),NOT(ISNUMBER(N1970)),M1970&gt;Settings!$F$8,N1970&lt;Settings!$F$8,N1970&lt;M1970),"Pending",IF(AND(G1970="Applicable",H1970="Pass"),"Pass",IF(AND(G1970="N/A",H1970="N/A",J1970&lt;&gt;"",OR(E1970="CEM-FUELS",E1970="CEM-CCS",AND(E1970="CEM-PLAN",IFERROR(INDEX('Taxonomy'!$M$9:$M$108,MATCH(D1970,'Taxonomy'!$C$9:$C$108,0)),"")&lt;&gt;"Amber"),E1970="BLD-TIMBER",AND(U1970="Building equipment",OR(E1970="BLD-WATER",E1970="BLD-WASTE",E1970="BLD-LAND")),AND(U1970="Building renovation",E1970="BLD-LAND"))),"N/A","Pending"))))))</x:f>
      </x:c>
      <x:c r="Q1970" s="3" t="str">
        <x:f>IF(C1970="","",IF(AND(R1970="Valid",OR(P1970="Pass",P1970="N/A")),"Complete","Unresolved"))</x:f>
      </x:c>
      <x:c r="R1970" s="9" t="str">
        <x:f>IF(C1970="","",IF(OR(COUNTIF($C$9:$C$2008,C1970)&lt;&gt;1,COUNTIFS($D$9:$D$2008,D1970,$E$9:$E$2008,E1970)&lt;&gt;1),"Duplicate test",IF(COUNTIF('Taxonomy'!$C$9:$C$108,D1970)&lt;&gt;1,"Assessment key",IF(OR(COUNTIF('Taxonomy Rules'!$C$42:$C$68,E1970)&lt;&gt;1,F1970&lt;&gt;IFERROR(INDEX('Taxonomy Rules'!$D$42:$D$68,MATCH(E1970,'Taxonomy Rules'!$C$42:$C$68,0)),""),NOT(OR(IFERROR(INDEX('Taxonomy Rules'!$G$42:$G$68,MATCH(E1970,'Taxonomy Rules'!$C$42:$C$68,0)),"")="All supported routes",IFERROR(INDEX('Taxonomy Rules'!$G$42:$G$68,MATCH(E1970,'Taxonomy Rules'!$C$42:$C$68,0)),"")=U1970,AND(IFERROR(INDEX('Taxonomy Rules'!$G$42:$G$68,MATCH(E1970,'Taxonomy Rules'!$C$42:$C$68,0)),"")="Building routes",OR(U1970="Building renovation",U1970="New building",U1970="Building equipment"))))),"Unexpected test","Valid"))))</x:f>
      </x:c>
      <x:c r="S1970" s="9" t="str">
        <x:f>IF(C1970="","",IFERROR(INDEX('Taxonomy Rules'!$E$42:$E$68,MATCH(E1970,'Taxonomy Rules'!$C$42:$C$68,0)),""))</x:f>
      </x:c>
      <x:c r="T1970" s="9" t="str">
        <x:f>IF(C1970="","",IFERROR(INDEX('Taxonomy Rules'!$F$42:$F$68,MATCH(E1970,'Taxonomy Rules'!$C$42:$C$68,0)),""))</x:f>
      </x:c>
      <x:c r="U1970" s="9" t="str">
        <x:f>IF(C1970="","",IFERROR(INDEX('Taxonomy'!$G$9:$G$108,MATCH(D1970,'Taxonomy'!$C$9:$C$108,0)),""))</x:f>
      </x:c>
    </x:row>
    <x:row r="1971" ht="44" customHeight="1">
      <x:c r="A1971" s="1"/>
      <x:c r="B1971" s="1"/>
      <x:c r="C1971" s="8"/>
      <x:c r="D1971" s="8"/>
      <x:c r="E1971" s="8"/>
      <x:c r="F1971" s="8"/>
      <x:c r="G1971" s="8"/>
      <x:c r="H1971" s="8"/>
      <x:c r="I1971" s="8"/>
      <x:c r="J1971" s="8"/>
      <x:c r="K1971" s="8"/>
      <x:c r="L1971" s="8"/>
      <x:c r="M1971" s="10"/>
      <x:c r="N1971" s="10"/>
      <x:c r="O1971" s="8"/>
      <x:c r="P1971" s="9" t="str">
        <x:f>IF(C1971="","",IF(AND(G1971="Applicable",H1971="Fail"),"Fail",IF(R1971&lt;&gt;"Valid","Pending",IF(OR(I1971="",K1971="",L1971="",K1971=L1971,NOT(ISNUMBER(M1971)),NOT(ISNUMBER(N1971)),M1971&gt;Settings!$F$8,N1971&lt;Settings!$F$8,N1971&lt;M1971),"Pending",IF(AND(G1971="Applicable",H1971="Pass"),"Pass",IF(AND(G1971="N/A",H1971="N/A",J1971&lt;&gt;"",OR(E1971="CEM-FUELS",E1971="CEM-CCS",AND(E1971="CEM-PLAN",IFERROR(INDEX('Taxonomy'!$M$9:$M$108,MATCH(D1971,'Taxonomy'!$C$9:$C$108,0)),"")&lt;&gt;"Amber"),E1971="BLD-TIMBER",AND(U1971="Building equipment",OR(E1971="BLD-WATER",E1971="BLD-WASTE",E1971="BLD-LAND")),AND(U1971="Building renovation",E1971="BLD-LAND"))),"N/A","Pending"))))))</x:f>
      </x:c>
      <x:c r="Q1971" s="3" t="str">
        <x:f>IF(C1971="","",IF(AND(R1971="Valid",OR(P1971="Pass",P1971="N/A")),"Complete","Unresolved"))</x:f>
      </x:c>
      <x:c r="R1971" s="9" t="str">
        <x:f>IF(C1971="","",IF(OR(COUNTIF($C$9:$C$2008,C1971)&lt;&gt;1,COUNTIFS($D$9:$D$2008,D1971,$E$9:$E$2008,E1971)&lt;&gt;1),"Duplicate test",IF(COUNTIF('Taxonomy'!$C$9:$C$108,D1971)&lt;&gt;1,"Assessment key",IF(OR(COUNTIF('Taxonomy Rules'!$C$42:$C$68,E1971)&lt;&gt;1,F1971&lt;&gt;IFERROR(INDEX('Taxonomy Rules'!$D$42:$D$68,MATCH(E1971,'Taxonomy Rules'!$C$42:$C$68,0)),""),NOT(OR(IFERROR(INDEX('Taxonomy Rules'!$G$42:$G$68,MATCH(E1971,'Taxonomy Rules'!$C$42:$C$68,0)),"")="All supported routes",IFERROR(INDEX('Taxonomy Rules'!$G$42:$G$68,MATCH(E1971,'Taxonomy Rules'!$C$42:$C$68,0)),"")=U1971,AND(IFERROR(INDEX('Taxonomy Rules'!$G$42:$G$68,MATCH(E1971,'Taxonomy Rules'!$C$42:$C$68,0)),"")="Building routes",OR(U1971="Building renovation",U1971="New building",U1971="Building equipment"))))),"Unexpected test","Valid"))))</x:f>
      </x:c>
      <x:c r="S1971" s="9" t="str">
        <x:f>IF(C1971="","",IFERROR(INDEX('Taxonomy Rules'!$E$42:$E$68,MATCH(E1971,'Taxonomy Rules'!$C$42:$C$68,0)),""))</x:f>
      </x:c>
      <x:c r="T1971" s="9" t="str">
        <x:f>IF(C1971="","",IFERROR(INDEX('Taxonomy Rules'!$F$42:$F$68,MATCH(E1971,'Taxonomy Rules'!$C$42:$C$68,0)),""))</x:f>
      </x:c>
      <x:c r="U1971" s="9" t="str">
        <x:f>IF(C1971="","",IFERROR(INDEX('Taxonomy'!$G$9:$G$108,MATCH(D1971,'Taxonomy'!$C$9:$C$108,0)),""))</x:f>
      </x:c>
    </x:row>
    <x:row r="1972" ht="44" customHeight="1">
      <x:c r="A1972" s="1"/>
      <x:c r="B1972" s="1"/>
      <x:c r="C1972" s="8"/>
      <x:c r="D1972" s="8"/>
      <x:c r="E1972" s="8"/>
      <x:c r="F1972" s="8"/>
      <x:c r="G1972" s="8"/>
      <x:c r="H1972" s="8"/>
      <x:c r="I1972" s="8"/>
      <x:c r="J1972" s="8"/>
      <x:c r="K1972" s="8"/>
      <x:c r="L1972" s="8"/>
      <x:c r="M1972" s="10"/>
      <x:c r="N1972" s="10"/>
      <x:c r="O1972" s="8"/>
      <x:c r="P1972" s="9" t="str">
        <x:f>IF(C1972="","",IF(AND(G1972="Applicable",H1972="Fail"),"Fail",IF(R1972&lt;&gt;"Valid","Pending",IF(OR(I1972="",K1972="",L1972="",K1972=L1972,NOT(ISNUMBER(M1972)),NOT(ISNUMBER(N1972)),M1972&gt;Settings!$F$8,N1972&lt;Settings!$F$8,N1972&lt;M1972),"Pending",IF(AND(G1972="Applicable",H1972="Pass"),"Pass",IF(AND(G1972="N/A",H1972="N/A",J1972&lt;&gt;"",OR(E1972="CEM-FUELS",E1972="CEM-CCS",AND(E1972="CEM-PLAN",IFERROR(INDEX('Taxonomy'!$M$9:$M$108,MATCH(D1972,'Taxonomy'!$C$9:$C$108,0)),"")&lt;&gt;"Amber"),E1972="BLD-TIMBER",AND(U1972="Building equipment",OR(E1972="BLD-WATER",E1972="BLD-WASTE",E1972="BLD-LAND")),AND(U1972="Building renovation",E1972="BLD-LAND"))),"N/A","Pending"))))))</x:f>
      </x:c>
      <x:c r="Q1972" s="3" t="str">
        <x:f>IF(C1972="","",IF(AND(R1972="Valid",OR(P1972="Pass",P1972="N/A")),"Complete","Unresolved"))</x:f>
      </x:c>
      <x:c r="R1972" s="9" t="str">
        <x:f>IF(C1972="","",IF(OR(COUNTIF($C$9:$C$2008,C1972)&lt;&gt;1,COUNTIFS($D$9:$D$2008,D1972,$E$9:$E$2008,E1972)&lt;&gt;1),"Duplicate test",IF(COUNTIF('Taxonomy'!$C$9:$C$108,D1972)&lt;&gt;1,"Assessment key",IF(OR(COUNTIF('Taxonomy Rules'!$C$42:$C$68,E1972)&lt;&gt;1,F1972&lt;&gt;IFERROR(INDEX('Taxonomy Rules'!$D$42:$D$68,MATCH(E1972,'Taxonomy Rules'!$C$42:$C$68,0)),""),NOT(OR(IFERROR(INDEX('Taxonomy Rules'!$G$42:$G$68,MATCH(E1972,'Taxonomy Rules'!$C$42:$C$68,0)),"")="All supported routes",IFERROR(INDEX('Taxonomy Rules'!$G$42:$G$68,MATCH(E1972,'Taxonomy Rules'!$C$42:$C$68,0)),"")=U1972,AND(IFERROR(INDEX('Taxonomy Rules'!$G$42:$G$68,MATCH(E1972,'Taxonomy Rules'!$C$42:$C$68,0)),"")="Building routes",OR(U1972="Building renovation",U1972="New building",U1972="Building equipment"))))),"Unexpected test","Valid"))))</x:f>
      </x:c>
      <x:c r="S1972" s="9" t="str">
        <x:f>IF(C1972="","",IFERROR(INDEX('Taxonomy Rules'!$E$42:$E$68,MATCH(E1972,'Taxonomy Rules'!$C$42:$C$68,0)),""))</x:f>
      </x:c>
      <x:c r="T1972" s="9" t="str">
        <x:f>IF(C1972="","",IFERROR(INDEX('Taxonomy Rules'!$F$42:$F$68,MATCH(E1972,'Taxonomy Rules'!$C$42:$C$68,0)),""))</x:f>
      </x:c>
      <x:c r="U1972" s="9" t="str">
        <x:f>IF(C1972="","",IFERROR(INDEX('Taxonomy'!$G$9:$G$108,MATCH(D1972,'Taxonomy'!$C$9:$C$108,0)),""))</x:f>
      </x:c>
    </x:row>
    <x:row r="1973" ht="44" customHeight="1">
      <x:c r="A1973" s="1"/>
      <x:c r="B1973" s="1"/>
      <x:c r="C1973" s="8"/>
      <x:c r="D1973" s="8"/>
      <x:c r="E1973" s="8"/>
      <x:c r="F1973" s="8"/>
      <x:c r="G1973" s="8"/>
      <x:c r="H1973" s="8"/>
      <x:c r="I1973" s="8"/>
      <x:c r="J1973" s="8"/>
      <x:c r="K1973" s="8"/>
      <x:c r="L1973" s="8"/>
      <x:c r="M1973" s="10"/>
      <x:c r="N1973" s="10"/>
      <x:c r="O1973" s="8"/>
      <x:c r="P1973" s="9" t="str">
        <x:f>IF(C1973="","",IF(AND(G1973="Applicable",H1973="Fail"),"Fail",IF(R1973&lt;&gt;"Valid","Pending",IF(OR(I1973="",K1973="",L1973="",K1973=L1973,NOT(ISNUMBER(M1973)),NOT(ISNUMBER(N1973)),M1973&gt;Settings!$F$8,N1973&lt;Settings!$F$8,N1973&lt;M1973),"Pending",IF(AND(G1973="Applicable",H1973="Pass"),"Pass",IF(AND(G1973="N/A",H1973="N/A",J1973&lt;&gt;"",OR(E1973="CEM-FUELS",E1973="CEM-CCS",AND(E1973="CEM-PLAN",IFERROR(INDEX('Taxonomy'!$M$9:$M$108,MATCH(D1973,'Taxonomy'!$C$9:$C$108,0)),"")&lt;&gt;"Amber"),E1973="BLD-TIMBER",AND(U1973="Building equipment",OR(E1973="BLD-WATER",E1973="BLD-WASTE",E1973="BLD-LAND")),AND(U1973="Building renovation",E1973="BLD-LAND"))),"N/A","Pending"))))))</x:f>
      </x:c>
      <x:c r="Q1973" s="3" t="str">
        <x:f>IF(C1973="","",IF(AND(R1973="Valid",OR(P1973="Pass",P1973="N/A")),"Complete","Unresolved"))</x:f>
      </x:c>
      <x:c r="R1973" s="9" t="str">
        <x:f>IF(C1973="","",IF(OR(COUNTIF($C$9:$C$2008,C1973)&lt;&gt;1,COUNTIFS($D$9:$D$2008,D1973,$E$9:$E$2008,E1973)&lt;&gt;1),"Duplicate test",IF(COUNTIF('Taxonomy'!$C$9:$C$108,D1973)&lt;&gt;1,"Assessment key",IF(OR(COUNTIF('Taxonomy Rules'!$C$42:$C$68,E1973)&lt;&gt;1,F1973&lt;&gt;IFERROR(INDEX('Taxonomy Rules'!$D$42:$D$68,MATCH(E1973,'Taxonomy Rules'!$C$42:$C$68,0)),""),NOT(OR(IFERROR(INDEX('Taxonomy Rules'!$G$42:$G$68,MATCH(E1973,'Taxonomy Rules'!$C$42:$C$68,0)),"")="All supported routes",IFERROR(INDEX('Taxonomy Rules'!$G$42:$G$68,MATCH(E1973,'Taxonomy Rules'!$C$42:$C$68,0)),"")=U1973,AND(IFERROR(INDEX('Taxonomy Rules'!$G$42:$G$68,MATCH(E1973,'Taxonomy Rules'!$C$42:$C$68,0)),"")="Building routes",OR(U1973="Building renovation",U1973="New building",U1973="Building equipment"))))),"Unexpected test","Valid"))))</x:f>
      </x:c>
      <x:c r="S1973" s="9" t="str">
        <x:f>IF(C1973="","",IFERROR(INDEX('Taxonomy Rules'!$E$42:$E$68,MATCH(E1973,'Taxonomy Rules'!$C$42:$C$68,0)),""))</x:f>
      </x:c>
      <x:c r="T1973" s="9" t="str">
        <x:f>IF(C1973="","",IFERROR(INDEX('Taxonomy Rules'!$F$42:$F$68,MATCH(E1973,'Taxonomy Rules'!$C$42:$C$68,0)),""))</x:f>
      </x:c>
      <x:c r="U1973" s="9" t="str">
        <x:f>IF(C1973="","",IFERROR(INDEX('Taxonomy'!$G$9:$G$108,MATCH(D1973,'Taxonomy'!$C$9:$C$108,0)),""))</x:f>
      </x:c>
    </x:row>
    <x:row r="1974" ht="44" customHeight="1">
      <x:c r="A1974" s="1"/>
      <x:c r="B1974" s="1"/>
      <x:c r="C1974" s="8"/>
      <x:c r="D1974" s="8"/>
      <x:c r="E1974" s="8"/>
      <x:c r="F1974" s="8"/>
      <x:c r="G1974" s="8"/>
      <x:c r="H1974" s="8"/>
      <x:c r="I1974" s="8"/>
      <x:c r="J1974" s="8"/>
      <x:c r="K1974" s="8"/>
      <x:c r="L1974" s="8"/>
      <x:c r="M1974" s="10"/>
      <x:c r="N1974" s="10"/>
      <x:c r="O1974" s="8"/>
      <x:c r="P1974" s="9" t="str">
        <x:f>IF(C1974="","",IF(AND(G1974="Applicable",H1974="Fail"),"Fail",IF(R1974&lt;&gt;"Valid","Pending",IF(OR(I1974="",K1974="",L1974="",K1974=L1974,NOT(ISNUMBER(M1974)),NOT(ISNUMBER(N1974)),M1974&gt;Settings!$F$8,N1974&lt;Settings!$F$8,N1974&lt;M1974),"Pending",IF(AND(G1974="Applicable",H1974="Pass"),"Pass",IF(AND(G1974="N/A",H1974="N/A",J1974&lt;&gt;"",OR(E1974="CEM-FUELS",E1974="CEM-CCS",AND(E1974="CEM-PLAN",IFERROR(INDEX('Taxonomy'!$M$9:$M$108,MATCH(D1974,'Taxonomy'!$C$9:$C$108,0)),"")&lt;&gt;"Amber"),E1974="BLD-TIMBER",AND(U1974="Building equipment",OR(E1974="BLD-WATER",E1974="BLD-WASTE",E1974="BLD-LAND")),AND(U1974="Building renovation",E1974="BLD-LAND"))),"N/A","Pending"))))))</x:f>
      </x:c>
      <x:c r="Q1974" s="3" t="str">
        <x:f>IF(C1974="","",IF(AND(R1974="Valid",OR(P1974="Pass",P1974="N/A")),"Complete","Unresolved"))</x:f>
      </x:c>
      <x:c r="R1974" s="9" t="str">
        <x:f>IF(C1974="","",IF(OR(COUNTIF($C$9:$C$2008,C1974)&lt;&gt;1,COUNTIFS($D$9:$D$2008,D1974,$E$9:$E$2008,E1974)&lt;&gt;1),"Duplicate test",IF(COUNTIF('Taxonomy'!$C$9:$C$108,D1974)&lt;&gt;1,"Assessment key",IF(OR(COUNTIF('Taxonomy Rules'!$C$42:$C$68,E1974)&lt;&gt;1,F1974&lt;&gt;IFERROR(INDEX('Taxonomy Rules'!$D$42:$D$68,MATCH(E1974,'Taxonomy Rules'!$C$42:$C$68,0)),""),NOT(OR(IFERROR(INDEX('Taxonomy Rules'!$G$42:$G$68,MATCH(E1974,'Taxonomy Rules'!$C$42:$C$68,0)),"")="All supported routes",IFERROR(INDEX('Taxonomy Rules'!$G$42:$G$68,MATCH(E1974,'Taxonomy Rules'!$C$42:$C$68,0)),"")=U1974,AND(IFERROR(INDEX('Taxonomy Rules'!$G$42:$G$68,MATCH(E1974,'Taxonomy Rules'!$C$42:$C$68,0)),"")="Building routes",OR(U1974="Building renovation",U1974="New building",U1974="Building equipment"))))),"Unexpected test","Valid"))))</x:f>
      </x:c>
      <x:c r="S1974" s="9" t="str">
        <x:f>IF(C1974="","",IFERROR(INDEX('Taxonomy Rules'!$E$42:$E$68,MATCH(E1974,'Taxonomy Rules'!$C$42:$C$68,0)),""))</x:f>
      </x:c>
      <x:c r="T1974" s="9" t="str">
        <x:f>IF(C1974="","",IFERROR(INDEX('Taxonomy Rules'!$F$42:$F$68,MATCH(E1974,'Taxonomy Rules'!$C$42:$C$68,0)),""))</x:f>
      </x:c>
      <x:c r="U1974" s="9" t="str">
        <x:f>IF(C1974="","",IFERROR(INDEX('Taxonomy'!$G$9:$G$108,MATCH(D1974,'Taxonomy'!$C$9:$C$108,0)),""))</x:f>
      </x:c>
    </x:row>
    <x:row r="1975" ht="44" customHeight="1">
      <x:c r="A1975" s="1"/>
      <x:c r="B1975" s="1"/>
      <x:c r="C1975" s="8"/>
      <x:c r="D1975" s="8"/>
      <x:c r="E1975" s="8"/>
      <x:c r="F1975" s="8"/>
      <x:c r="G1975" s="8"/>
      <x:c r="H1975" s="8"/>
      <x:c r="I1975" s="8"/>
      <x:c r="J1975" s="8"/>
      <x:c r="K1975" s="8"/>
      <x:c r="L1975" s="8"/>
      <x:c r="M1975" s="10"/>
      <x:c r="N1975" s="10"/>
      <x:c r="O1975" s="8"/>
      <x:c r="P1975" s="9" t="str">
        <x:f>IF(C1975="","",IF(AND(G1975="Applicable",H1975="Fail"),"Fail",IF(R1975&lt;&gt;"Valid","Pending",IF(OR(I1975="",K1975="",L1975="",K1975=L1975,NOT(ISNUMBER(M1975)),NOT(ISNUMBER(N1975)),M1975&gt;Settings!$F$8,N1975&lt;Settings!$F$8,N1975&lt;M1975),"Pending",IF(AND(G1975="Applicable",H1975="Pass"),"Pass",IF(AND(G1975="N/A",H1975="N/A",J1975&lt;&gt;"",OR(E1975="CEM-FUELS",E1975="CEM-CCS",AND(E1975="CEM-PLAN",IFERROR(INDEX('Taxonomy'!$M$9:$M$108,MATCH(D1975,'Taxonomy'!$C$9:$C$108,0)),"")&lt;&gt;"Amber"),E1975="BLD-TIMBER",AND(U1975="Building equipment",OR(E1975="BLD-WATER",E1975="BLD-WASTE",E1975="BLD-LAND")),AND(U1975="Building renovation",E1975="BLD-LAND"))),"N/A","Pending"))))))</x:f>
      </x:c>
      <x:c r="Q1975" s="3" t="str">
        <x:f>IF(C1975="","",IF(AND(R1975="Valid",OR(P1975="Pass",P1975="N/A")),"Complete","Unresolved"))</x:f>
      </x:c>
      <x:c r="R1975" s="9" t="str">
        <x:f>IF(C1975="","",IF(OR(COUNTIF($C$9:$C$2008,C1975)&lt;&gt;1,COUNTIFS($D$9:$D$2008,D1975,$E$9:$E$2008,E1975)&lt;&gt;1),"Duplicate test",IF(COUNTIF('Taxonomy'!$C$9:$C$108,D1975)&lt;&gt;1,"Assessment key",IF(OR(COUNTIF('Taxonomy Rules'!$C$42:$C$68,E1975)&lt;&gt;1,F1975&lt;&gt;IFERROR(INDEX('Taxonomy Rules'!$D$42:$D$68,MATCH(E1975,'Taxonomy Rules'!$C$42:$C$68,0)),""),NOT(OR(IFERROR(INDEX('Taxonomy Rules'!$G$42:$G$68,MATCH(E1975,'Taxonomy Rules'!$C$42:$C$68,0)),"")="All supported routes",IFERROR(INDEX('Taxonomy Rules'!$G$42:$G$68,MATCH(E1975,'Taxonomy Rules'!$C$42:$C$68,0)),"")=U1975,AND(IFERROR(INDEX('Taxonomy Rules'!$G$42:$G$68,MATCH(E1975,'Taxonomy Rules'!$C$42:$C$68,0)),"")="Building routes",OR(U1975="Building renovation",U1975="New building",U1975="Building equipment"))))),"Unexpected test","Valid"))))</x:f>
      </x:c>
      <x:c r="S1975" s="9" t="str">
        <x:f>IF(C1975="","",IFERROR(INDEX('Taxonomy Rules'!$E$42:$E$68,MATCH(E1975,'Taxonomy Rules'!$C$42:$C$68,0)),""))</x:f>
      </x:c>
      <x:c r="T1975" s="9" t="str">
        <x:f>IF(C1975="","",IFERROR(INDEX('Taxonomy Rules'!$F$42:$F$68,MATCH(E1975,'Taxonomy Rules'!$C$42:$C$68,0)),""))</x:f>
      </x:c>
      <x:c r="U1975" s="9" t="str">
        <x:f>IF(C1975="","",IFERROR(INDEX('Taxonomy'!$G$9:$G$108,MATCH(D1975,'Taxonomy'!$C$9:$C$108,0)),""))</x:f>
      </x:c>
    </x:row>
    <x:row r="1976" ht="44" customHeight="1">
      <x:c r="A1976" s="1"/>
      <x:c r="B1976" s="1"/>
      <x:c r="C1976" s="8"/>
      <x:c r="D1976" s="8"/>
      <x:c r="E1976" s="8"/>
      <x:c r="F1976" s="8"/>
      <x:c r="G1976" s="8"/>
      <x:c r="H1976" s="8"/>
      <x:c r="I1976" s="8"/>
      <x:c r="J1976" s="8"/>
      <x:c r="K1976" s="8"/>
      <x:c r="L1976" s="8"/>
      <x:c r="M1976" s="10"/>
      <x:c r="N1976" s="10"/>
      <x:c r="O1976" s="8"/>
      <x:c r="P1976" s="9" t="str">
        <x:f>IF(C1976="","",IF(AND(G1976="Applicable",H1976="Fail"),"Fail",IF(R1976&lt;&gt;"Valid","Pending",IF(OR(I1976="",K1976="",L1976="",K1976=L1976,NOT(ISNUMBER(M1976)),NOT(ISNUMBER(N1976)),M1976&gt;Settings!$F$8,N1976&lt;Settings!$F$8,N1976&lt;M1976),"Pending",IF(AND(G1976="Applicable",H1976="Pass"),"Pass",IF(AND(G1976="N/A",H1976="N/A",J1976&lt;&gt;"",OR(E1976="CEM-FUELS",E1976="CEM-CCS",AND(E1976="CEM-PLAN",IFERROR(INDEX('Taxonomy'!$M$9:$M$108,MATCH(D1976,'Taxonomy'!$C$9:$C$108,0)),"")&lt;&gt;"Amber"),E1976="BLD-TIMBER",AND(U1976="Building equipment",OR(E1976="BLD-WATER",E1976="BLD-WASTE",E1976="BLD-LAND")),AND(U1976="Building renovation",E1976="BLD-LAND"))),"N/A","Pending"))))))</x:f>
      </x:c>
      <x:c r="Q1976" s="3" t="str">
        <x:f>IF(C1976="","",IF(AND(R1976="Valid",OR(P1976="Pass",P1976="N/A")),"Complete","Unresolved"))</x:f>
      </x:c>
      <x:c r="R1976" s="9" t="str">
        <x:f>IF(C1976="","",IF(OR(COUNTIF($C$9:$C$2008,C1976)&lt;&gt;1,COUNTIFS($D$9:$D$2008,D1976,$E$9:$E$2008,E1976)&lt;&gt;1),"Duplicate test",IF(COUNTIF('Taxonomy'!$C$9:$C$108,D1976)&lt;&gt;1,"Assessment key",IF(OR(COUNTIF('Taxonomy Rules'!$C$42:$C$68,E1976)&lt;&gt;1,F1976&lt;&gt;IFERROR(INDEX('Taxonomy Rules'!$D$42:$D$68,MATCH(E1976,'Taxonomy Rules'!$C$42:$C$68,0)),""),NOT(OR(IFERROR(INDEX('Taxonomy Rules'!$G$42:$G$68,MATCH(E1976,'Taxonomy Rules'!$C$42:$C$68,0)),"")="All supported routes",IFERROR(INDEX('Taxonomy Rules'!$G$42:$G$68,MATCH(E1976,'Taxonomy Rules'!$C$42:$C$68,0)),"")=U1976,AND(IFERROR(INDEX('Taxonomy Rules'!$G$42:$G$68,MATCH(E1976,'Taxonomy Rules'!$C$42:$C$68,0)),"")="Building routes",OR(U1976="Building renovation",U1976="New building",U1976="Building equipment"))))),"Unexpected test","Valid"))))</x:f>
      </x:c>
      <x:c r="S1976" s="9" t="str">
        <x:f>IF(C1976="","",IFERROR(INDEX('Taxonomy Rules'!$E$42:$E$68,MATCH(E1976,'Taxonomy Rules'!$C$42:$C$68,0)),""))</x:f>
      </x:c>
      <x:c r="T1976" s="9" t="str">
        <x:f>IF(C1976="","",IFERROR(INDEX('Taxonomy Rules'!$F$42:$F$68,MATCH(E1976,'Taxonomy Rules'!$C$42:$C$68,0)),""))</x:f>
      </x:c>
      <x:c r="U1976" s="9" t="str">
        <x:f>IF(C1976="","",IFERROR(INDEX('Taxonomy'!$G$9:$G$108,MATCH(D1976,'Taxonomy'!$C$9:$C$108,0)),""))</x:f>
      </x:c>
    </x:row>
    <x:row r="1977" ht="44" customHeight="1">
      <x:c r="A1977" s="1"/>
      <x:c r="B1977" s="1"/>
      <x:c r="C1977" s="8"/>
      <x:c r="D1977" s="8"/>
      <x:c r="E1977" s="8"/>
      <x:c r="F1977" s="8"/>
      <x:c r="G1977" s="8"/>
      <x:c r="H1977" s="8"/>
      <x:c r="I1977" s="8"/>
      <x:c r="J1977" s="8"/>
      <x:c r="K1977" s="8"/>
      <x:c r="L1977" s="8"/>
      <x:c r="M1977" s="10"/>
      <x:c r="N1977" s="10"/>
      <x:c r="O1977" s="8"/>
      <x:c r="P1977" s="9" t="str">
        <x:f>IF(C1977="","",IF(AND(G1977="Applicable",H1977="Fail"),"Fail",IF(R1977&lt;&gt;"Valid","Pending",IF(OR(I1977="",K1977="",L1977="",K1977=L1977,NOT(ISNUMBER(M1977)),NOT(ISNUMBER(N1977)),M1977&gt;Settings!$F$8,N1977&lt;Settings!$F$8,N1977&lt;M1977),"Pending",IF(AND(G1977="Applicable",H1977="Pass"),"Pass",IF(AND(G1977="N/A",H1977="N/A",J1977&lt;&gt;"",OR(E1977="CEM-FUELS",E1977="CEM-CCS",AND(E1977="CEM-PLAN",IFERROR(INDEX('Taxonomy'!$M$9:$M$108,MATCH(D1977,'Taxonomy'!$C$9:$C$108,0)),"")&lt;&gt;"Amber"),E1977="BLD-TIMBER",AND(U1977="Building equipment",OR(E1977="BLD-WATER",E1977="BLD-WASTE",E1977="BLD-LAND")),AND(U1977="Building renovation",E1977="BLD-LAND"))),"N/A","Pending"))))))</x:f>
      </x:c>
      <x:c r="Q1977" s="3" t="str">
        <x:f>IF(C1977="","",IF(AND(R1977="Valid",OR(P1977="Pass",P1977="N/A")),"Complete","Unresolved"))</x:f>
      </x:c>
      <x:c r="R1977" s="9" t="str">
        <x:f>IF(C1977="","",IF(OR(COUNTIF($C$9:$C$2008,C1977)&lt;&gt;1,COUNTIFS($D$9:$D$2008,D1977,$E$9:$E$2008,E1977)&lt;&gt;1),"Duplicate test",IF(COUNTIF('Taxonomy'!$C$9:$C$108,D1977)&lt;&gt;1,"Assessment key",IF(OR(COUNTIF('Taxonomy Rules'!$C$42:$C$68,E1977)&lt;&gt;1,F1977&lt;&gt;IFERROR(INDEX('Taxonomy Rules'!$D$42:$D$68,MATCH(E1977,'Taxonomy Rules'!$C$42:$C$68,0)),""),NOT(OR(IFERROR(INDEX('Taxonomy Rules'!$G$42:$G$68,MATCH(E1977,'Taxonomy Rules'!$C$42:$C$68,0)),"")="All supported routes",IFERROR(INDEX('Taxonomy Rules'!$G$42:$G$68,MATCH(E1977,'Taxonomy Rules'!$C$42:$C$68,0)),"")=U1977,AND(IFERROR(INDEX('Taxonomy Rules'!$G$42:$G$68,MATCH(E1977,'Taxonomy Rules'!$C$42:$C$68,0)),"")="Building routes",OR(U1977="Building renovation",U1977="New building",U1977="Building equipment"))))),"Unexpected test","Valid"))))</x:f>
      </x:c>
      <x:c r="S1977" s="9" t="str">
        <x:f>IF(C1977="","",IFERROR(INDEX('Taxonomy Rules'!$E$42:$E$68,MATCH(E1977,'Taxonomy Rules'!$C$42:$C$68,0)),""))</x:f>
      </x:c>
      <x:c r="T1977" s="9" t="str">
        <x:f>IF(C1977="","",IFERROR(INDEX('Taxonomy Rules'!$F$42:$F$68,MATCH(E1977,'Taxonomy Rules'!$C$42:$C$68,0)),""))</x:f>
      </x:c>
      <x:c r="U1977" s="9" t="str">
        <x:f>IF(C1977="","",IFERROR(INDEX('Taxonomy'!$G$9:$G$108,MATCH(D1977,'Taxonomy'!$C$9:$C$108,0)),""))</x:f>
      </x:c>
    </x:row>
    <x:row r="1978" ht="44" customHeight="1">
      <x:c r="A1978" s="1"/>
      <x:c r="B1978" s="1"/>
      <x:c r="C1978" s="8"/>
      <x:c r="D1978" s="8"/>
      <x:c r="E1978" s="8"/>
      <x:c r="F1978" s="8"/>
      <x:c r="G1978" s="8"/>
      <x:c r="H1978" s="8"/>
      <x:c r="I1978" s="8"/>
      <x:c r="J1978" s="8"/>
      <x:c r="K1978" s="8"/>
      <x:c r="L1978" s="8"/>
      <x:c r="M1978" s="10"/>
      <x:c r="N1978" s="10"/>
      <x:c r="O1978" s="8"/>
      <x:c r="P1978" s="9" t="str">
        <x:f>IF(C1978="","",IF(AND(G1978="Applicable",H1978="Fail"),"Fail",IF(R1978&lt;&gt;"Valid","Pending",IF(OR(I1978="",K1978="",L1978="",K1978=L1978,NOT(ISNUMBER(M1978)),NOT(ISNUMBER(N1978)),M1978&gt;Settings!$F$8,N1978&lt;Settings!$F$8,N1978&lt;M1978),"Pending",IF(AND(G1978="Applicable",H1978="Pass"),"Pass",IF(AND(G1978="N/A",H1978="N/A",J1978&lt;&gt;"",OR(E1978="CEM-FUELS",E1978="CEM-CCS",AND(E1978="CEM-PLAN",IFERROR(INDEX('Taxonomy'!$M$9:$M$108,MATCH(D1978,'Taxonomy'!$C$9:$C$108,0)),"")&lt;&gt;"Amber"),E1978="BLD-TIMBER",AND(U1978="Building equipment",OR(E1978="BLD-WATER",E1978="BLD-WASTE",E1978="BLD-LAND")),AND(U1978="Building renovation",E1978="BLD-LAND"))),"N/A","Pending"))))))</x:f>
      </x:c>
      <x:c r="Q1978" s="3" t="str">
        <x:f>IF(C1978="","",IF(AND(R1978="Valid",OR(P1978="Pass",P1978="N/A")),"Complete","Unresolved"))</x:f>
      </x:c>
      <x:c r="R1978" s="9" t="str">
        <x:f>IF(C1978="","",IF(OR(COUNTIF($C$9:$C$2008,C1978)&lt;&gt;1,COUNTIFS($D$9:$D$2008,D1978,$E$9:$E$2008,E1978)&lt;&gt;1),"Duplicate test",IF(COUNTIF('Taxonomy'!$C$9:$C$108,D1978)&lt;&gt;1,"Assessment key",IF(OR(COUNTIF('Taxonomy Rules'!$C$42:$C$68,E1978)&lt;&gt;1,F1978&lt;&gt;IFERROR(INDEX('Taxonomy Rules'!$D$42:$D$68,MATCH(E1978,'Taxonomy Rules'!$C$42:$C$68,0)),""),NOT(OR(IFERROR(INDEX('Taxonomy Rules'!$G$42:$G$68,MATCH(E1978,'Taxonomy Rules'!$C$42:$C$68,0)),"")="All supported routes",IFERROR(INDEX('Taxonomy Rules'!$G$42:$G$68,MATCH(E1978,'Taxonomy Rules'!$C$42:$C$68,0)),"")=U1978,AND(IFERROR(INDEX('Taxonomy Rules'!$G$42:$G$68,MATCH(E1978,'Taxonomy Rules'!$C$42:$C$68,0)),"")="Building routes",OR(U1978="Building renovation",U1978="New building",U1978="Building equipment"))))),"Unexpected test","Valid"))))</x:f>
      </x:c>
      <x:c r="S1978" s="9" t="str">
        <x:f>IF(C1978="","",IFERROR(INDEX('Taxonomy Rules'!$E$42:$E$68,MATCH(E1978,'Taxonomy Rules'!$C$42:$C$68,0)),""))</x:f>
      </x:c>
      <x:c r="T1978" s="9" t="str">
        <x:f>IF(C1978="","",IFERROR(INDEX('Taxonomy Rules'!$F$42:$F$68,MATCH(E1978,'Taxonomy Rules'!$C$42:$C$68,0)),""))</x:f>
      </x:c>
      <x:c r="U1978" s="9" t="str">
        <x:f>IF(C1978="","",IFERROR(INDEX('Taxonomy'!$G$9:$G$108,MATCH(D1978,'Taxonomy'!$C$9:$C$108,0)),""))</x:f>
      </x:c>
    </x:row>
    <x:row r="1979" ht="44" customHeight="1">
      <x:c r="A1979" s="1"/>
      <x:c r="B1979" s="1"/>
      <x:c r="C1979" s="8"/>
      <x:c r="D1979" s="8"/>
      <x:c r="E1979" s="8"/>
      <x:c r="F1979" s="8"/>
      <x:c r="G1979" s="8"/>
      <x:c r="H1979" s="8"/>
      <x:c r="I1979" s="8"/>
      <x:c r="J1979" s="8"/>
      <x:c r="K1979" s="8"/>
      <x:c r="L1979" s="8"/>
      <x:c r="M1979" s="10"/>
      <x:c r="N1979" s="10"/>
      <x:c r="O1979" s="8"/>
      <x:c r="P1979" s="9" t="str">
        <x:f>IF(C1979="","",IF(AND(G1979="Applicable",H1979="Fail"),"Fail",IF(R1979&lt;&gt;"Valid","Pending",IF(OR(I1979="",K1979="",L1979="",K1979=L1979,NOT(ISNUMBER(M1979)),NOT(ISNUMBER(N1979)),M1979&gt;Settings!$F$8,N1979&lt;Settings!$F$8,N1979&lt;M1979),"Pending",IF(AND(G1979="Applicable",H1979="Pass"),"Pass",IF(AND(G1979="N/A",H1979="N/A",J1979&lt;&gt;"",OR(E1979="CEM-FUELS",E1979="CEM-CCS",AND(E1979="CEM-PLAN",IFERROR(INDEX('Taxonomy'!$M$9:$M$108,MATCH(D1979,'Taxonomy'!$C$9:$C$108,0)),"")&lt;&gt;"Amber"),E1979="BLD-TIMBER",AND(U1979="Building equipment",OR(E1979="BLD-WATER",E1979="BLD-WASTE",E1979="BLD-LAND")),AND(U1979="Building renovation",E1979="BLD-LAND"))),"N/A","Pending"))))))</x:f>
      </x:c>
      <x:c r="Q1979" s="3" t="str">
        <x:f>IF(C1979="","",IF(AND(R1979="Valid",OR(P1979="Pass",P1979="N/A")),"Complete","Unresolved"))</x:f>
      </x:c>
      <x:c r="R1979" s="9" t="str">
        <x:f>IF(C1979="","",IF(OR(COUNTIF($C$9:$C$2008,C1979)&lt;&gt;1,COUNTIFS($D$9:$D$2008,D1979,$E$9:$E$2008,E1979)&lt;&gt;1),"Duplicate test",IF(COUNTIF('Taxonomy'!$C$9:$C$108,D1979)&lt;&gt;1,"Assessment key",IF(OR(COUNTIF('Taxonomy Rules'!$C$42:$C$68,E1979)&lt;&gt;1,F1979&lt;&gt;IFERROR(INDEX('Taxonomy Rules'!$D$42:$D$68,MATCH(E1979,'Taxonomy Rules'!$C$42:$C$68,0)),""),NOT(OR(IFERROR(INDEX('Taxonomy Rules'!$G$42:$G$68,MATCH(E1979,'Taxonomy Rules'!$C$42:$C$68,0)),"")="All supported routes",IFERROR(INDEX('Taxonomy Rules'!$G$42:$G$68,MATCH(E1979,'Taxonomy Rules'!$C$42:$C$68,0)),"")=U1979,AND(IFERROR(INDEX('Taxonomy Rules'!$G$42:$G$68,MATCH(E1979,'Taxonomy Rules'!$C$42:$C$68,0)),"")="Building routes",OR(U1979="Building renovation",U1979="New building",U1979="Building equipment"))))),"Unexpected test","Valid"))))</x:f>
      </x:c>
      <x:c r="S1979" s="9" t="str">
        <x:f>IF(C1979="","",IFERROR(INDEX('Taxonomy Rules'!$E$42:$E$68,MATCH(E1979,'Taxonomy Rules'!$C$42:$C$68,0)),""))</x:f>
      </x:c>
      <x:c r="T1979" s="9" t="str">
        <x:f>IF(C1979="","",IFERROR(INDEX('Taxonomy Rules'!$F$42:$F$68,MATCH(E1979,'Taxonomy Rules'!$C$42:$C$68,0)),""))</x:f>
      </x:c>
      <x:c r="U1979" s="9" t="str">
        <x:f>IF(C1979="","",IFERROR(INDEX('Taxonomy'!$G$9:$G$108,MATCH(D1979,'Taxonomy'!$C$9:$C$108,0)),""))</x:f>
      </x:c>
    </x:row>
    <x:row r="1980" ht="44" customHeight="1">
      <x:c r="A1980" s="1"/>
      <x:c r="B1980" s="1"/>
      <x:c r="C1980" s="8"/>
      <x:c r="D1980" s="8"/>
      <x:c r="E1980" s="8"/>
      <x:c r="F1980" s="8"/>
      <x:c r="G1980" s="8"/>
      <x:c r="H1980" s="8"/>
      <x:c r="I1980" s="8"/>
      <x:c r="J1980" s="8"/>
      <x:c r="K1980" s="8"/>
      <x:c r="L1980" s="8"/>
      <x:c r="M1980" s="10"/>
      <x:c r="N1980" s="10"/>
      <x:c r="O1980" s="8"/>
      <x:c r="P1980" s="9" t="str">
        <x:f>IF(C1980="","",IF(AND(G1980="Applicable",H1980="Fail"),"Fail",IF(R1980&lt;&gt;"Valid","Pending",IF(OR(I1980="",K1980="",L1980="",K1980=L1980,NOT(ISNUMBER(M1980)),NOT(ISNUMBER(N1980)),M1980&gt;Settings!$F$8,N1980&lt;Settings!$F$8,N1980&lt;M1980),"Pending",IF(AND(G1980="Applicable",H1980="Pass"),"Pass",IF(AND(G1980="N/A",H1980="N/A",J1980&lt;&gt;"",OR(E1980="CEM-FUELS",E1980="CEM-CCS",AND(E1980="CEM-PLAN",IFERROR(INDEX('Taxonomy'!$M$9:$M$108,MATCH(D1980,'Taxonomy'!$C$9:$C$108,0)),"")&lt;&gt;"Amber"),E1980="BLD-TIMBER",AND(U1980="Building equipment",OR(E1980="BLD-WATER",E1980="BLD-WASTE",E1980="BLD-LAND")),AND(U1980="Building renovation",E1980="BLD-LAND"))),"N/A","Pending"))))))</x:f>
      </x:c>
      <x:c r="Q1980" s="3" t="str">
        <x:f>IF(C1980="","",IF(AND(R1980="Valid",OR(P1980="Pass",P1980="N/A")),"Complete","Unresolved"))</x:f>
      </x:c>
      <x:c r="R1980" s="9" t="str">
        <x:f>IF(C1980="","",IF(OR(COUNTIF($C$9:$C$2008,C1980)&lt;&gt;1,COUNTIFS($D$9:$D$2008,D1980,$E$9:$E$2008,E1980)&lt;&gt;1),"Duplicate test",IF(COUNTIF('Taxonomy'!$C$9:$C$108,D1980)&lt;&gt;1,"Assessment key",IF(OR(COUNTIF('Taxonomy Rules'!$C$42:$C$68,E1980)&lt;&gt;1,F1980&lt;&gt;IFERROR(INDEX('Taxonomy Rules'!$D$42:$D$68,MATCH(E1980,'Taxonomy Rules'!$C$42:$C$68,0)),""),NOT(OR(IFERROR(INDEX('Taxonomy Rules'!$G$42:$G$68,MATCH(E1980,'Taxonomy Rules'!$C$42:$C$68,0)),"")="All supported routes",IFERROR(INDEX('Taxonomy Rules'!$G$42:$G$68,MATCH(E1980,'Taxonomy Rules'!$C$42:$C$68,0)),"")=U1980,AND(IFERROR(INDEX('Taxonomy Rules'!$G$42:$G$68,MATCH(E1980,'Taxonomy Rules'!$C$42:$C$68,0)),"")="Building routes",OR(U1980="Building renovation",U1980="New building",U1980="Building equipment"))))),"Unexpected test","Valid"))))</x:f>
      </x:c>
      <x:c r="S1980" s="9" t="str">
        <x:f>IF(C1980="","",IFERROR(INDEX('Taxonomy Rules'!$E$42:$E$68,MATCH(E1980,'Taxonomy Rules'!$C$42:$C$68,0)),""))</x:f>
      </x:c>
      <x:c r="T1980" s="9" t="str">
        <x:f>IF(C1980="","",IFERROR(INDEX('Taxonomy Rules'!$F$42:$F$68,MATCH(E1980,'Taxonomy Rules'!$C$42:$C$68,0)),""))</x:f>
      </x:c>
      <x:c r="U1980" s="9" t="str">
        <x:f>IF(C1980="","",IFERROR(INDEX('Taxonomy'!$G$9:$G$108,MATCH(D1980,'Taxonomy'!$C$9:$C$108,0)),""))</x:f>
      </x:c>
    </x:row>
    <x:row r="1981" ht="44" customHeight="1">
      <x:c r="A1981" s="1"/>
      <x:c r="B1981" s="1"/>
      <x:c r="C1981" s="8"/>
      <x:c r="D1981" s="8"/>
      <x:c r="E1981" s="8"/>
      <x:c r="F1981" s="8"/>
      <x:c r="G1981" s="8"/>
      <x:c r="H1981" s="8"/>
      <x:c r="I1981" s="8"/>
      <x:c r="J1981" s="8"/>
      <x:c r="K1981" s="8"/>
      <x:c r="L1981" s="8"/>
      <x:c r="M1981" s="10"/>
      <x:c r="N1981" s="10"/>
      <x:c r="O1981" s="8"/>
      <x:c r="P1981" s="9" t="str">
        <x:f>IF(C1981="","",IF(AND(G1981="Applicable",H1981="Fail"),"Fail",IF(R1981&lt;&gt;"Valid","Pending",IF(OR(I1981="",K1981="",L1981="",K1981=L1981,NOT(ISNUMBER(M1981)),NOT(ISNUMBER(N1981)),M1981&gt;Settings!$F$8,N1981&lt;Settings!$F$8,N1981&lt;M1981),"Pending",IF(AND(G1981="Applicable",H1981="Pass"),"Pass",IF(AND(G1981="N/A",H1981="N/A",J1981&lt;&gt;"",OR(E1981="CEM-FUELS",E1981="CEM-CCS",AND(E1981="CEM-PLAN",IFERROR(INDEX('Taxonomy'!$M$9:$M$108,MATCH(D1981,'Taxonomy'!$C$9:$C$108,0)),"")&lt;&gt;"Amber"),E1981="BLD-TIMBER",AND(U1981="Building equipment",OR(E1981="BLD-WATER",E1981="BLD-WASTE",E1981="BLD-LAND")),AND(U1981="Building renovation",E1981="BLD-LAND"))),"N/A","Pending"))))))</x:f>
      </x:c>
      <x:c r="Q1981" s="3" t="str">
        <x:f>IF(C1981="","",IF(AND(R1981="Valid",OR(P1981="Pass",P1981="N/A")),"Complete","Unresolved"))</x:f>
      </x:c>
      <x:c r="R1981" s="9" t="str">
        <x:f>IF(C1981="","",IF(OR(COUNTIF($C$9:$C$2008,C1981)&lt;&gt;1,COUNTIFS($D$9:$D$2008,D1981,$E$9:$E$2008,E1981)&lt;&gt;1),"Duplicate test",IF(COUNTIF('Taxonomy'!$C$9:$C$108,D1981)&lt;&gt;1,"Assessment key",IF(OR(COUNTIF('Taxonomy Rules'!$C$42:$C$68,E1981)&lt;&gt;1,F1981&lt;&gt;IFERROR(INDEX('Taxonomy Rules'!$D$42:$D$68,MATCH(E1981,'Taxonomy Rules'!$C$42:$C$68,0)),""),NOT(OR(IFERROR(INDEX('Taxonomy Rules'!$G$42:$G$68,MATCH(E1981,'Taxonomy Rules'!$C$42:$C$68,0)),"")="All supported routes",IFERROR(INDEX('Taxonomy Rules'!$G$42:$G$68,MATCH(E1981,'Taxonomy Rules'!$C$42:$C$68,0)),"")=U1981,AND(IFERROR(INDEX('Taxonomy Rules'!$G$42:$G$68,MATCH(E1981,'Taxonomy Rules'!$C$42:$C$68,0)),"")="Building routes",OR(U1981="Building renovation",U1981="New building",U1981="Building equipment"))))),"Unexpected test","Valid"))))</x:f>
      </x:c>
      <x:c r="S1981" s="9" t="str">
        <x:f>IF(C1981="","",IFERROR(INDEX('Taxonomy Rules'!$E$42:$E$68,MATCH(E1981,'Taxonomy Rules'!$C$42:$C$68,0)),""))</x:f>
      </x:c>
      <x:c r="T1981" s="9" t="str">
        <x:f>IF(C1981="","",IFERROR(INDEX('Taxonomy Rules'!$F$42:$F$68,MATCH(E1981,'Taxonomy Rules'!$C$42:$C$68,0)),""))</x:f>
      </x:c>
      <x:c r="U1981" s="9" t="str">
        <x:f>IF(C1981="","",IFERROR(INDEX('Taxonomy'!$G$9:$G$108,MATCH(D1981,'Taxonomy'!$C$9:$C$108,0)),""))</x:f>
      </x:c>
    </x:row>
    <x:row r="1982" ht="44" customHeight="1">
      <x:c r="A1982" s="1"/>
      <x:c r="B1982" s="1"/>
      <x:c r="C1982" s="8"/>
      <x:c r="D1982" s="8"/>
      <x:c r="E1982" s="8"/>
      <x:c r="F1982" s="8"/>
      <x:c r="G1982" s="8"/>
      <x:c r="H1982" s="8"/>
      <x:c r="I1982" s="8"/>
      <x:c r="J1982" s="8"/>
      <x:c r="K1982" s="8"/>
      <x:c r="L1982" s="8"/>
      <x:c r="M1982" s="10"/>
      <x:c r="N1982" s="10"/>
      <x:c r="O1982" s="8"/>
      <x:c r="P1982" s="9" t="str">
        <x:f>IF(C1982="","",IF(AND(G1982="Applicable",H1982="Fail"),"Fail",IF(R1982&lt;&gt;"Valid","Pending",IF(OR(I1982="",K1982="",L1982="",K1982=L1982,NOT(ISNUMBER(M1982)),NOT(ISNUMBER(N1982)),M1982&gt;Settings!$F$8,N1982&lt;Settings!$F$8,N1982&lt;M1982),"Pending",IF(AND(G1982="Applicable",H1982="Pass"),"Pass",IF(AND(G1982="N/A",H1982="N/A",J1982&lt;&gt;"",OR(E1982="CEM-FUELS",E1982="CEM-CCS",AND(E1982="CEM-PLAN",IFERROR(INDEX('Taxonomy'!$M$9:$M$108,MATCH(D1982,'Taxonomy'!$C$9:$C$108,0)),"")&lt;&gt;"Amber"),E1982="BLD-TIMBER",AND(U1982="Building equipment",OR(E1982="BLD-WATER",E1982="BLD-WASTE",E1982="BLD-LAND")),AND(U1982="Building renovation",E1982="BLD-LAND"))),"N/A","Pending"))))))</x:f>
      </x:c>
      <x:c r="Q1982" s="3" t="str">
        <x:f>IF(C1982="","",IF(AND(R1982="Valid",OR(P1982="Pass",P1982="N/A")),"Complete","Unresolved"))</x:f>
      </x:c>
      <x:c r="R1982" s="9" t="str">
        <x:f>IF(C1982="","",IF(OR(COUNTIF($C$9:$C$2008,C1982)&lt;&gt;1,COUNTIFS($D$9:$D$2008,D1982,$E$9:$E$2008,E1982)&lt;&gt;1),"Duplicate test",IF(COUNTIF('Taxonomy'!$C$9:$C$108,D1982)&lt;&gt;1,"Assessment key",IF(OR(COUNTIF('Taxonomy Rules'!$C$42:$C$68,E1982)&lt;&gt;1,F1982&lt;&gt;IFERROR(INDEX('Taxonomy Rules'!$D$42:$D$68,MATCH(E1982,'Taxonomy Rules'!$C$42:$C$68,0)),""),NOT(OR(IFERROR(INDEX('Taxonomy Rules'!$G$42:$G$68,MATCH(E1982,'Taxonomy Rules'!$C$42:$C$68,0)),"")="All supported routes",IFERROR(INDEX('Taxonomy Rules'!$G$42:$G$68,MATCH(E1982,'Taxonomy Rules'!$C$42:$C$68,0)),"")=U1982,AND(IFERROR(INDEX('Taxonomy Rules'!$G$42:$G$68,MATCH(E1982,'Taxonomy Rules'!$C$42:$C$68,0)),"")="Building routes",OR(U1982="Building renovation",U1982="New building",U1982="Building equipment"))))),"Unexpected test","Valid"))))</x:f>
      </x:c>
      <x:c r="S1982" s="9" t="str">
        <x:f>IF(C1982="","",IFERROR(INDEX('Taxonomy Rules'!$E$42:$E$68,MATCH(E1982,'Taxonomy Rules'!$C$42:$C$68,0)),""))</x:f>
      </x:c>
      <x:c r="T1982" s="9" t="str">
        <x:f>IF(C1982="","",IFERROR(INDEX('Taxonomy Rules'!$F$42:$F$68,MATCH(E1982,'Taxonomy Rules'!$C$42:$C$68,0)),""))</x:f>
      </x:c>
      <x:c r="U1982" s="9" t="str">
        <x:f>IF(C1982="","",IFERROR(INDEX('Taxonomy'!$G$9:$G$108,MATCH(D1982,'Taxonomy'!$C$9:$C$108,0)),""))</x:f>
      </x:c>
    </x:row>
    <x:row r="1983" ht="44" customHeight="1">
      <x:c r="A1983" s="1"/>
      <x:c r="B1983" s="1"/>
      <x:c r="C1983" s="8"/>
      <x:c r="D1983" s="8"/>
      <x:c r="E1983" s="8"/>
      <x:c r="F1983" s="8"/>
      <x:c r="G1983" s="8"/>
      <x:c r="H1983" s="8"/>
      <x:c r="I1983" s="8"/>
      <x:c r="J1983" s="8"/>
      <x:c r="K1983" s="8"/>
      <x:c r="L1983" s="8"/>
      <x:c r="M1983" s="10"/>
      <x:c r="N1983" s="10"/>
      <x:c r="O1983" s="8"/>
      <x:c r="P1983" s="9" t="str">
        <x:f>IF(C1983="","",IF(AND(G1983="Applicable",H1983="Fail"),"Fail",IF(R1983&lt;&gt;"Valid","Pending",IF(OR(I1983="",K1983="",L1983="",K1983=L1983,NOT(ISNUMBER(M1983)),NOT(ISNUMBER(N1983)),M1983&gt;Settings!$F$8,N1983&lt;Settings!$F$8,N1983&lt;M1983),"Pending",IF(AND(G1983="Applicable",H1983="Pass"),"Pass",IF(AND(G1983="N/A",H1983="N/A",J1983&lt;&gt;"",OR(E1983="CEM-FUELS",E1983="CEM-CCS",AND(E1983="CEM-PLAN",IFERROR(INDEX('Taxonomy'!$M$9:$M$108,MATCH(D1983,'Taxonomy'!$C$9:$C$108,0)),"")&lt;&gt;"Amber"),E1983="BLD-TIMBER",AND(U1983="Building equipment",OR(E1983="BLD-WATER",E1983="BLD-WASTE",E1983="BLD-LAND")),AND(U1983="Building renovation",E1983="BLD-LAND"))),"N/A","Pending"))))))</x:f>
      </x:c>
      <x:c r="Q1983" s="3" t="str">
        <x:f>IF(C1983="","",IF(AND(R1983="Valid",OR(P1983="Pass",P1983="N/A")),"Complete","Unresolved"))</x:f>
      </x:c>
      <x:c r="R1983" s="9" t="str">
        <x:f>IF(C1983="","",IF(OR(COUNTIF($C$9:$C$2008,C1983)&lt;&gt;1,COUNTIFS($D$9:$D$2008,D1983,$E$9:$E$2008,E1983)&lt;&gt;1),"Duplicate test",IF(COUNTIF('Taxonomy'!$C$9:$C$108,D1983)&lt;&gt;1,"Assessment key",IF(OR(COUNTIF('Taxonomy Rules'!$C$42:$C$68,E1983)&lt;&gt;1,F1983&lt;&gt;IFERROR(INDEX('Taxonomy Rules'!$D$42:$D$68,MATCH(E1983,'Taxonomy Rules'!$C$42:$C$68,0)),""),NOT(OR(IFERROR(INDEX('Taxonomy Rules'!$G$42:$G$68,MATCH(E1983,'Taxonomy Rules'!$C$42:$C$68,0)),"")="All supported routes",IFERROR(INDEX('Taxonomy Rules'!$G$42:$G$68,MATCH(E1983,'Taxonomy Rules'!$C$42:$C$68,0)),"")=U1983,AND(IFERROR(INDEX('Taxonomy Rules'!$G$42:$G$68,MATCH(E1983,'Taxonomy Rules'!$C$42:$C$68,0)),"")="Building routes",OR(U1983="Building renovation",U1983="New building",U1983="Building equipment"))))),"Unexpected test","Valid"))))</x:f>
      </x:c>
      <x:c r="S1983" s="9" t="str">
        <x:f>IF(C1983="","",IFERROR(INDEX('Taxonomy Rules'!$E$42:$E$68,MATCH(E1983,'Taxonomy Rules'!$C$42:$C$68,0)),""))</x:f>
      </x:c>
      <x:c r="T1983" s="9" t="str">
        <x:f>IF(C1983="","",IFERROR(INDEX('Taxonomy Rules'!$F$42:$F$68,MATCH(E1983,'Taxonomy Rules'!$C$42:$C$68,0)),""))</x:f>
      </x:c>
      <x:c r="U1983" s="9" t="str">
        <x:f>IF(C1983="","",IFERROR(INDEX('Taxonomy'!$G$9:$G$108,MATCH(D1983,'Taxonomy'!$C$9:$C$108,0)),""))</x:f>
      </x:c>
    </x:row>
    <x:row r="1984" ht="44" customHeight="1">
      <x:c r="A1984" s="1"/>
      <x:c r="B1984" s="1"/>
      <x:c r="C1984" s="8"/>
      <x:c r="D1984" s="8"/>
      <x:c r="E1984" s="8"/>
      <x:c r="F1984" s="8"/>
      <x:c r="G1984" s="8"/>
      <x:c r="H1984" s="8"/>
      <x:c r="I1984" s="8"/>
      <x:c r="J1984" s="8"/>
      <x:c r="K1984" s="8"/>
      <x:c r="L1984" s="8"/>
      <x:c r="M1984" s="10"/>
      <x:c r="N1984" s="10"/>
      <x:c r="O1984" s="8"/>
      <x:c r="P1984" s="9" t="str">
        <x:f>IF(C1984="","",IF(AND(G1984="Applicable",H1984="Fail"),"Fail",IF(R1984&lt;&gt;"Valid","Pending",IF(OR(I1984="",K1984="",L1984="",K1984=L1984,NOT(ISNUMBER(M1984)),NOT(ISNUMBER(N1984)),M1984&gt;Settings!$F$8,N1984&lt;Settings!$F$8,N1984&lt;M1984),"Pending",IF(AND(G1984="Applicable",H1984="Pass"),"Pass",IF(AND(G1984="N/A",H1984="N/A",J1984&lt;&gt;"",OR(E1984="CEM-FUELS",E1984="CEM-CCS",AND(E1984="CEM-PLAN",IFERROR(INDEX('Taxonomy'!$M$9:$M$108,MATCH(D1984,'Taxonomy'!$C$9:$C$108,0)),"")&lt;&gt;"Amber"),E1984="BLD-TIMBER",AND(U1984="Building equipment",OR(E1984="BLD-WATER",E1984="BLD-WASTE",E1984="BLD-LAND")),AND(U1984="Building renovation",E1984="BLD-LAND"))),"N/A","Pending"))))))</x:f>
      </x:c>
      <x:c r="Q1984" s="3" t="str">
        <x:f>IF(C1984="","",IF(AND(R1984="Valid",OR(P1984="Pass",P1984="N/A")),"Complete","Unresolved"))</x:f>
      </x:c>
      <x:c r="R1984" s="9" t="str">
        <x:f>IF(C1984="","",IF(OR(COUNTIF($C$9:$C$2008,C1984)&lt;&gt;1,COUNTIFS($D$9:$D$2008,D1984,$E$9:$E$2008,E1984)&lt;&gt;1),"Duplicate test",IF(COUNTIF('Taxonomy'!$C$9:$C$108,D1984)&lt;&gt;1,"Assessment key",IF(OR(COUNTIF('Taxonomy Rules'!$C$42:$C$68,E1984)&lt;&gt;1,F1984&lt;&gt;IFERROR(INDEX('Taxonomy Rules'!$D$42:$D$68,MATCH(E1984,'Taxonomy Rules'!$C$42:$C$68,0)),""),NOT(OR(IFERROR(INDEX('Taxonomy Rules'!$G$42:$G$68,MATCH(E1984,'Taxonomy Rules'!$C$42:$C$68,0)),"")="All supported routes",IFERROR(INDEX('Taxonomy Rules'!$G$42:$G$68,MATCH(E1984,'Taxonomy Rules'!$C$42:$C$68,0)),"")=U1984,AND(IFERROR(INDEX('Taxonomy Rules'!$G$42:$G$68,MATCH(E1984,'Taxonomy Rules'!$C$42:$C$68,0)),"")="Building routes",OR(U1984="Building renovation",U1984="New building",U1984="Building equipment"))))),"Unexpected test","Valid"))))</x:f>
      </x:c>
      <x:c r="S1984" s="9" t="str">
        <x:f>IF(C1984="","",IFERROR(INDEX('Taxonomy Rules'!$E$42:$E$68,MATCH(E1984,'Taxonomy Rules'!$C$42:$C$68,0)),""))</x:f>
      </x:c>
      <x:c r="T1984" s="9" t="str">
        <x:f>IF(C1984="","",IFERROR(INDEX('Taxonomy Rules'!$F$42:$F$68,MATCH(E1984,'Taxonomy Rules'!$C$42:$C$68,0)),""))</x:f>
      </x:c>
      <x:c r="U1984" s="9" t="str">
        <x:f>IF(C1984="","",IFERROR(INDEX('Taxonomy'!$G$9:$G$108,MATCH(D1984,'Taxonomy'!$C$9:$C$108,0)),""))</x:f>
      </x:c>
    </x:row>
    <x:row r="1985" ht="44" customHeight="1">
      <x:c r="A1985" s="1"/>
      <x:c r="B1985" s="1"/>
      <x:c r="C1985" s="8"/>
      <x:c r="D1985" s="8"/>
      <x:c r="E1985" s="8"/>
      <x:c r="F1985" s="8"/>
      <x:c r="G1985" s="8"/>
      <x:c r="H1985" s="8"/>
      <x:c r="I1985" s="8"/>
      <x:c r="J1985" s="8"/>
      <x:c r="K1985" s="8"/>
      <x:c r="L1985" s="8"/>
      <x:c r="M1985" s="10"/>
      <x:c r="N1985" s="10"/>
      <x:c r="O1985" s="8"/>
      <x:c r="P1985" s="9" t="str">
        <x:f>IF(C1985="","",IF(AND(G1985="Applicable",H1985="Fail"),"Fail",IF(R1985&lt;&gt;"Valid","Pending",IF(OR(I1985="",K1985="",L1985="",K1985=L1985,NOT(ISNUMBER(M1985)),NOT(ISNUMBER(N1985)),M1985&gt;Settings!$F$8,N1985&lt;Settings!$F$8,N1985&lt;M1985),"Pending",IF(AND(G1985="Applicable",H1985="Pass"),"Pass",IF(AND(G1985="N/A",H1985="N/A",J1985&lt;&gt;"",OR(E1985="CEM-FUELS",E1985="CEM-CCS",AND(E1985="CEM-PLAN",IFERROR(INDEX('Taxonomy'!$M$9:$M$108,MATCH(D1985,'Taxonomy'!$C$9:$C$108,0)),"")&lt;&gt;"Amber"),E1985="BLD-TIMBER",AND(U1985="Building equipment",OR(E1985="BLD-WATER",E1985="BLD-WASTE",E1985="BLD-LAND")),AND(U1985="Building renovation",E1985="BLD-LAND"))),"N/A","Pending"))))))</x:f>
      </x:c>
      <x:c r="Q1985" s="3" t="str">
        <x:f>IF(C1985="","",IF(AND(R1985="Valid",OR(P1985="Pass",P1985="N/A")),"Complete","Unresolved"))</x:f>
      </x:c>
      <x:c r="R1985" s="9" t="str">
        <x:f>IF(C1985="","",IF(OR(COUNTIF($C$9:$C$2008,C1985)&lt;&gt;1,COUNTIFS($D$9:$D$2008,D1985,$E$9:$E$2008,E1985)&lt;&gt;1),"Duplicate test",IF(COUNTIF('Taxonomy'!$C$9:$C$108,D1985)&lt;&gt;1,"Assessment key",IF(OR(COUNTIF('Taxonomy Rules'!$C$42:$C$68,E1985)&lt;&gt;1,F1985&lt;&gt;IFERROR(INDEX('Taxonomy Rules'!$D$42:$D$68,MATCH(E1985,'Taxonomy Rules'!$C$42:$C$68,0)),""),NOT(OR(IFERROR(INDEX('Taxonomy Rules'!$G$42:$G$68,MATCH(E1985,'Taxonomy Rules'!$C$42:$C$68,0)),"")="All supported routes",IFERROR(INDEX('Taxonomy Rules'!$G$42:$G$68,MATCH(E1985,'Taxonomy Rules'!$C$42:$C$68,0)),"")=U1985,AND(IFERROR(INDEX('Taxonomy Rules'!$G$42:$G$68,MATCH(E1985,'Taxonomy Rules'!$C$42:$C$68,0)),"")="Building routes",OR(U1985="Building renovation",U1985="New building",U1985="Building equipment"))))),"Unexpected test","Valid"))))</x:f>
      </x:c>
      <x:c r="S1985" s="9" t="str">
        <x:f>IF(C1985="","",IFERROR(INDEX('Taxonomy Rules'!$E$42:$E$68,MATCH(E1985,'Taxonomy Rules'!$C$42:$C$68,0)),""))</x:f>
      </x:c>
      <x:c r="T1985" s="9" t="str">
        <x:f>IF(C1985="","",IFERROR(INDEX('Taxonomy Rules'!$F$42:$F$68,MATCH(E1985,'Taxonomy Rules'!$C$42:$C$68,0)),""))</x:f>
      </x:c>
      <x:c r="U1985" s="9" t="str">
        <x:f>IF(C1985="","",IFERROR(INDEX('Taxonomy'!$G$9:$G$108,MATCH(D1985,'Taxonomy'!$C$9:$C$108,0)),""))</x:f>
      </x:c>
    </x:row>
    <x:row r="1986" ht="44" customHeight="1">
      <x:c r="A1986" s="1"/>
      <x:c r="B1986" s="1"/>
      <x:c r="C1986" s="8"/>
      <x:c r="D1986" s="8"/>
      <x:c r="E1986" s="8"/>
      <x:c r="F1986" s="8"/>
      <x:c r="G1986" s="8"/>
      <x:c r="H1986" s="8"/>
      <x:c r="I1986" s="8"/>
      <x:c r="J1986" s="8"/>
      <x:c r="K1986" s="8"/>
      <x:c r="L1986" s="8"/>
      <x:c r="M1986" s="10"/>
      <x:c r="N1986" s="10"/>
      <x:c r="O1986" s="8"/>
      <x:c r="P1986" s="9" t="str">
        <x:f>IF(C1986="","",IF(AND(G1986="Applicable",H1986="Fail"),"Fail",IF(R1986&lt;&gt;"Valid","Pending",IF(OR(I1986="",K1986="",L1986="",K1986=L1986,NOT(ISNUMBER(M1986)),NOT(ISNUMBER(N1986)),M1986&gt;Settings!$F$8,N1986&lt;Settings!$F$8,N1986&lt;M1986),"Pending",IF(AND(G1986="Applicable",H1986="Pass"),"Pass",IF(AND(G1986="N/A",H1986="N/A",J1986&lt;&gt;"",OR(E1986="CEM-FUELS",E1986="CEM-CCS",AND(E1986="CEM-PLAN",IFERROR(INDEX('Taxonomy'!$M$9:$M$108,MATCH(D1986,'Taxonomy'!$C$9:$C$108,0)),"")&lt;&gt;"Amber"),E1986="BLD-TIMBER",AND(U1986="Building equipment",OR(E1986="BLD-WATER",E1986="BLD-WASTE",E1986="BLD-LAND")),AND(U1986="Building renovation",E1986="BLD-LAND"))),"N/A","Pending"))))))</x:f>
      </x:c>
      <x:c r="Q1986" s="3" t="str">
        <x:f>IF(C1986="","",IF(AND(R1986="Valid",OR(P1986="Pass",P1986="N/A")),"Complete","Unresolved"))</x:f>
      </x:c>
      <x:c r="R1986" s="9" t="str">
        <x:f>IF(C1986="","",IF(OR(COUNTIF($C$9:$C$2008,C1986)&lt;&gt;1,COUNTIFS($D$9:$D$2008,D1986,$E$9:$E$2008,E1986)&lt;&gt;1),"Duplicate test",IF(COUNTIF('Taxonomy'!$C$9:$C$108,D1986)&lt;&gt;1,"Assessment key",IF(OR(COUNTIF('Taxonomy Rules'!$C$42:$C$68,E1986)&lt;&gt;1,F1986&lt;&gt;IFERROR(INDEX('Taxonomy Rules'!$D$42:$D$68,MATCH(E1986,'Taxonomy Rules'!$C$42:$C$68,0)),""),NOT(OR(IFERROR(INDEX('Taxonomy Rules'!$G$42:$G$68,MATCH(E1986,'Taxonomy Rules'!$C$42:$C$68,0)),"")="All supported routes",IFERROR(INDEX('Taxonomy Rules'!$G$42:$G$68,MATCH(E1986,'Taxonomy Rules'!$C$42:$C$68,0)),"")=U1986,AND(IFERROR(INDEX('Taxonomy Rules'!$G$42:$G$68,MATCH(E1986,'Taxonomy Rules'!$C$42:$C$68,0)),"")="Building routes",OR(U1986="Building renovation",U1986="New building",U1986="Building equipment"))))),"Unexpected test","Valid"))))</x:f>
      </x:c>
      <x:c r="S1986" s="9" t="str">
        <x:f>IF(C1986="","",IFERROR(INDEX('Taxonomy Rules'!$E$42:$E$68,MATCH(E1986,'Taxonomy Rules'!$C$42:$C$68,0)),""))</x:f>
      </x:c>
      <x:c r="T1986" s="9" t="str">
        <x:f>IF(C1986="","",IFERROR(INDEX('Taxonomy Rules'!$F$42:$F$68,MATCH(E1986,'Taxonomy Rules'!$C$42:$C$68,0)),""))</x:f>
      </x:c>
      <x:c r="U1986" s="9" t="str">
        <x:f>IF(C1986="","",IFERROR(INDEX('Taxonomy'!$G$9:$G$108,MATCH(D1986,'Taxonomy'!$C$9:$C$108,0)),""))</x:f>
      </x:c>
    </x:row>
    <x:row r="1987" ht="44" customHeight="1">
      <x:c r="A1987" s="1"/>
      <x:c r="B1987" s="1"/>
      <x:c r="C1987" s="8"/>
      <x:c r="D1987" s="8"/>
      <x:c r="E1987" s="8"/>
      <x:c r="F1987" s="8"/>
      <x:c r="G1987" s="8"/>
      <x:c r="H1987" s="8"/>
      <x:c r="I1987" s="8"/>
      <x:c r="J1987" s="8"/>
      <x:c r="K1987" s="8"/>
      <x:c r="L1987" s="8"/>
      <x:c r="M1987" s="10"/>
      <x:c r="N1987" s="10"/>
      <x:c r="O1987" s="8"/>
      <x:c r="P1987" s="9" t="str">
        <x:f>IF(C1987="","",IF(AND(G1987="Applicable",H1987="Fail"),"Fail",IF(R1987&lt;&gt;"Valid","Pending",IF(OR(I1987="",K1987="",L1987="",K1987=L1987,NOT(ISNUMBER(M1987)),NOT(ISNUMBER(N1987)),M1987&gt;Settings!$F$8,N1987&lt;Settings!$F$8,N1987&lt;M1987),"Pending",IF(AND(G1987="Applicable",H1987="Pass"),"Pass",IF(AND(G1987="N/A",H1987="N/A",J1987&lt;&gt;"",OR(E1987="CEM-FUELS",E1987="CEM-CCS",AND(E1987="CEM-PLAN",IFERROR(INDEX('Taxonomy'!$M$9:$M$108,MATCH(D1987,'Taxonomy'!$C$9:$C$108,0)),"")&lt;&gt;"Amber"),E1987="BLD-TIMBER",AND(U1987="Building equipment",OR(E1987="BLD-WATER",E1987="BLD-WASTE",E1987="BLD-LAND")),AND(U1987="Building renovation",E1987="BLD-LAND"))),"N/A","Pending"))))))</x:f>
      </x:c>
      <x:c r="Q1987" s="3" t="str">
        <x:f>IF(C1987="","",IF(AND(R1987="Valid",OR(P1987="Pass",P1987="N/A")),"Complete","Unresolved"))</x:f>
      </x:c>
      <x:c r="R1987" s="9" t="str">
        <x:f>IF(C1987="","",IF(OR(COUNTIF($C$9:$C$2008,C1987)&lt;&gt;1,COUNTIFS($D$9:$D$2008,D1987,$E$9:$E$2008,E1987)&lt;&gt;1),"Duplicate test",IF(COUNTIF('Taxonomy'!$C$9:$C$108,D1987)&lt;&gt;1,"Assessment key",IF(OR(COUNTIF('Taxonomy Rules'!$C$42:$C$68,E1987)&lt;&gt;1,F1987&lt;&gt;IFERROR(INDEX('Taxonomy Rules'!$D$42:$D$68,MATCH(E1987,'Taxonomy Rules'!$C$42:$C$68,0)),""),NOT(OR(IFERROR(INDEX('Taxonomy Rules'!$G$42:$G$68,MATCH(E1987,'Taxonomy Rules'!$C$42:$C$68,0)),"")="All supported routes",IFERROR(INDEX('Taxonomy Rules'!$G$42:$G$68,MATCH(E1987,'Taxonomy Rules'!$C$42:$C$68,0)),"")=U1987,AND(IFERROR(INDEX('Taxonomy Rules'!$G$42:$G$68,MATCH(E1987,'Taxonomy Rules'!$C$42:$C$68,0)),"")="Building routes",OR(U1987="Building renovation",U1987="New building",U1987="Building equipment"))))),"Unexpected test","Valid"))))</x:f>
      </x:c>
      <x:c r="S1987" s="9" t="str">
        <x:f>IF(C1987="","",IFERROR(INDEX('Taxonomy Rules'!$E$42:$E$68,MATCH(E1987,'Taxonomy Rules'!$C$42:$C$68,0)),""))</x:f>
      </x:c>
      <x:c r="T1987" s="9" t="str">
        <x:f>IF(C1987="","",IFERROR(INDEX('Taxonomy Rules'!$F$42:$F$68,MATCH(E1987,'Taxonomy Rules'!$C$42:$C$68,0)),""))</x:f>
      </x:c>
      <x:c r="U1987" s="9" t="str">
        <x:f>IF(C1987="","",IFERROR(INDEX('Taxonomy'!$G$9:$G$108,MATCH(D1987,'Taxonomy'!$C$9:$C$108,0)),""))</x:f>
      </x:c>
    </x:row>
    <x:row r="1988" ht="44" customHeight="1">
      <x:c r="A1988" s="1"/>
      <x:c r="B1988" s="1"/>
      <x:c r="C1988" s="8"/>
      <x:c r="D1988" s="8"/>
      <x:c r="E1988" s="8"/>
      <x:c r="F1988" s="8"/>
      <x:c r="G1988" s="8"/>
      <x:c r="H1988" s="8"/>
      <x:c r="I1988" s="8"/>
      <x:c r="J1988" s="8"/>
      <x:c r="K1988" s="8"/>
      <x:c r="L1988" s="8"/>
      <x:c r="M1988" s="10"/>
      <x:c r="N1988" s="10"/>
      <x:c r="O1988" s="8"/>
      <x:c r="P1988" s="9" t="str">
        <x:f>IF(C1988="","",IF(AND(G1988="Applicable",H1988="Fail"),"Fail",IF(R1988&lt;&gt;"Valid","Pending",IF(OR(I1988="",K1988="",L1988="",K1988=L1988,NOT(ISNUMBER(M1988)),NOT(ISNUMBER(N1988)),M1988&gt;Settings!$F$8,N1988&lt;Settings!$F$8,N1988&lt;M1988),"Pending",IF(AND(G1988="Applicable",H1988="Pass"),"Pass",IF(AND(G1988="N/A",H1988="N/A",J1988&lt;&gt;"",OR(E1988="CEM-FUELS",E1988="CEM-CCS",AND(E1988="CEM-PLAN",IFERROR(INDEX('Taxonomy'!$M$9:$M$108,MATCH(D1988,'Taxonomy'!$C$9:$C$108,0)),"")&lt;&gt;"Amber"),E1988="BLD-TIMBER",AND(U1988="Building equipment",OR(E1988="BLD-WATER",E1988="BLD-WASTE",E1988="BLD-LAND")),AND(U1988="Building renovation",E1988="BLD-LAND"))),"N/A","Pending"))))))</x:f>
      </x:c>
      <x:c r="Q1988" s="3" t="str">
        <x:f>IF(C1988="","",IF(AND(R1988="Valid",OR(P1988="Pass",P1988="N/A")),"Complete","Unresolved"))</x:f>
      </x:c>
      <x:c r="R1988" s="9" t="str">
        <x:f>IF(C1988="","",IF(OR(COUNTIF($C$9:$C$2008,C1988)&lt;&gt;1,COUNTIFS($D$9:$D$2008,D1988,$E$9:$E$2008,E1988)&lt;&gt;1),"Duplicate test",IF(COUNTIF('Taxonomy'!$C$9:$C$108,D1988)&lt;&gt;1,"Assessment key",IF(OR(COUNTIF('Taxonomy Rules'!$C$42:$C$68,E1988)&lt;&gt;1,F1988&lt;&gt;IFERROR(INDEX('Taxonomy Rules'!$D$42:$D$68,MATCH(E1988,'Taxonomy Rules'!$C$42:$C$68,0)),""),NOT(OR(IFERROR(INDEX('Taxonomy Rules'!$G$42:$G$68,MATCH(E1988,'Taxonomy Rules'!$C$42:$C$68,0)),"")="All supported routes",IFERROR(INDEX('Taxonomy Rules'!$G$42:$G$68,MATCH(E1988,'Taxonomy Rules'!$C$42:$C$68,0)),"")=U1988,AND(IFERROR(INDEX('Taxonomy Rules'!$G$42:$G$68,MATCH(E1988,'Taxonomy Rules'!$C$42:$C$68,0)),"")="Building routes",OR(U1988="Building renovation",U1988="New building",U1988="Building equipment"))))),"Unexpected test","Valid"))))</x:f>
      </x:c>
      <x:c r="S1988" s="9" t="str">
        <x:f>IF(C1988="","",IFERROR(INDEX('Taxonomy Rules'!$E$42:$E$68,MATCH(E1988,'Taxonomy Rules'!$C$42:$C$68,0)),""))</x:f>
      </x:c>
      <x:c r="T1988" s="9" t="str">
        <x:f>IF(C1988="","",IFERROR(INDEX('Taxonomy Rules'!$F$42:$F$68,MATCH(E1988,'Taxonomy Rules'!$C$42:$C$68,0)),""))</x:f>
      </x:c>
      <x:c r="U1988" s="9" t="str">
        <x:f>IF(C1988="","",IFERROR(INDEX('Taxonomy'!$G$9:$G$108,MATCH(D1988,'Taxonomy'!$C$9:$C$108,0)),""))</x:f>
      </x:c>
    </x:row>
    <x:row r="1989" ht="44" customHeight="1">
      <x:c r="A1989" s="1"/>
      <x:c r="B1989" s="1"/>
      <x:c r="C1989" s="8"/>
      <x:c r="D1989" s="8"/>
      <x:c r="E1989" s="8"/>
      <x:c r="F1989" s="8"/>
      <x:c r="G1989" s="8"/>
      <x:c r="H1989" s="8"/>
      <x:c r="I1989" s="8"/>
      <x:c r="J1989" s="8"/>
      <x:c r="K1989" s="8"/>
      <x:c r="L1989" s="8"/>
      <x:c r="M1989" s="10"/>
      <x:c r="N1989" s="10"/>
      <x:c r="O1989" s="8"/>
      <x:c r="P1989" s="9" t="str">
        <x:f>IF(C1989="","",IF(AND(G1989="Applicable",H1989="Fail"),"Fail",IF(R1989&lt;&gt;"Valid","Pending",IF(OR(I1989="",K1989="",L1989="",K1989=L1989,NOT(ISNUMBER(M1989)),NOT(ISNUMBER(N1989)),M1989&gt;Settings!$F$8,N1989&lt;Settings!$F$8,N1989&lt;M1989),"Pending",IF(AND(G1989="Applicable",H1989="Pass"),"Pass",IF(AND(G1989="N/A",H1989="N/A",J1989&lt;&gt;"",OR(E1989="CEM-FUELS",E1989="CEM-CCS",AND(E1989="CEM-PLAN",IFERROR(INDEX('Taxonomy'!$M$9:$M$108,MATCH(D1989,'Taxonomy'!$C$9:$C$108,0)),"")&lt;&gt;"Amber"),E1989="BLD-TIMBER",AND(U1989="Building equipment",OR(E1989="BLD-WATER",E1989="BLD-WASTE",E1989="BLD-LAND")),AND(U1989="Building renovation",E1989="BLD-LAND"))),"N/A","Pending"))))))</x:f>
      </x:c>
      <x:c r="Q1989" s="3" t="str">
        <x:f>IF(C1989="","",IF(AND(R1989="Valid",OR(P1989="Pass",P1989="N/A")),"Complete","Unresolved"))</x:f>
      </x:c>
      <x:c r="R1989" s="9" t="str">
        <x:f>IF(C1989="","",IF(OR(COUNTIF($C$9:$C$2008,C1989)&lt;&gt;1,COUNTIFS($D$9:$D$2008,D1989,$E$9:$E$2008,E1989)&lt;&gt;1),"Duplicate test",IF(COUNTIF('Taxonomy'!$C$9:$C$108,D1989)&lt;&gt;1,"Assessment key",IF(OR(COUNTIF('Taxonomy Rules'!$C$42:$C$68,E1989)&lt;&gt;1,F1989&lt;&gt;IFERROR(INDEX('Taxonomy Rules'!$D$42:$D$68,MATCH(E1989,'Taxonomy Rules'!$C$42:$C$68,0)),""),NOT(OR(IFERROR(INDEX('Taxonomy Rules'!$G$42:$G$68,MATCH(E1989,'Taxonomy Rules'!$C$42:$C$68,0)),"")="All supported routes",IFERROR(INDEX('Taxonomy Rules'!$G$42:$G$68,MATCH(E1989,'Taxonomy Rules'!$C$42:$C$68,0)),"")=U1989,AND(IFERROR(INDEX('Taxonomy Rules'!$G$42:$G$68,MATCH(E1989,'Taxonomy Rules'!$C$42:$C$68,0)),"")="Building routes",OR(U1989="Building renovation",U1989="New building",U1989="Building equipment"))))),"Unexpected test","Valid"))))</x:f>
      </x:c>
      <x:c r="S1989" s="9" t="str">
        <x:f>IF(C1989="","",IFERROR(INDEX('Taxonomy Rules'!$E$42:$E$68,MATCH(E1989,'Taxonomy Rules'!$C$42:$C$68,0)),""))</x:f>
      </x:c>
      <x:c r="T1989" s="9" t="str">
        <x:f>IF(C1989="","",IFERROR(INDEX('Taxonomy Rules'!$F$42:$F$68,MATCH(E1989,'Taxonomy Rules'!$C$42:$C$68,0)),""))</x:f>
      </x:c>
      <x:c r="U1989" s="9" t="str">
        <x:f>IF(C1989="","",IFERROR(INDEX('Taxonomy'!$G$9:$G$108,MATCH(D1989,'Taxonomy'!$C$9:$C$108,0)),""))</x:f>
      </x:c>
    </x:row>
    <x:row r="1990" ht="44" customHeight="1">
      <x:c r="A1990" s="1"/>
      <x:c r="B1990" s="1"/>
      <x:c r="C1990" s="8"/>
      <x:c r="D1990" s="8"/>
      <x:c r="E1990" s="8"/>
      <x:c r="F1990" s="8"/>
      <x:c r="G1990" s="8"/>
      <x:c r="H1990" s="8"/>
      <x:c r="I1990" s="8"/>
      <x:c r="J1990" s="8"/>
      <x:c r="K1990" s="8"/>
      <x:c r="L1990" s="8"/>
      <x:c r="M1990" s="10"/>
      <x:c r="N1990" s="10"/>
      <x:c r="O1990" s="8"/>
      <x:c r="P1990" s="9" t="str">
        <x:f>IF(C1990="","",IF(AND(G1990="Applicable",H1990="Fail"),"Fail",IF(R1990&lt;&gt;"Valid","Pending",IF(OR(I1990="",K1990="",L1990="",K1990=L1990,NOT(ISNUMBER(M1990)),NOT(ISNUMBER(N1990)),M1990&gt;Settings!$F$8,N1990&lt;Settings!$F$8,N1990&lt;M1990),"Pending",IF(AND(G1990="Applicable",H1990="Pass"),"Pass",IF(AND(G1990="N/A",H1990="N/A",J1990&lt;&gt;"",OR(E1990="CEM-FUELS",E1990="CEM-CCS",AND(E1990="CEM-PLAN",IFERROR(INDEX('Taxonomy'!$M$9:$M$108,MATCH(D1990,'Taxonomy'!$C$9:$C$108,0)),"")&lt;&gt;"Amber"),E1990="BLD-TIMBER",AND(U1990="Building equipment",OR(E1990="BLD-WATER",E1990="BLD-WASTE",E1990="BLD-LAND")),AND(U1990="Building renovation",E1990="BLD-LAND"))),"N/A","Pending"))))))</x:f>
      </x:c>
      <x:c r="Q1990" s="3" t="str">
        <x:f>IF(C1990="","",IF(AND(R1990="Valid",OR(P1990="Pass",P1990="N/A")),"Complete","Unresolved"))</x:f>
      </x:c>
      <x:c r="R1990" s="9" t="str">
        <x:f>IF(C1990="","",IF(OR(COUNTIF($C$9:$C$2008,C1990)&lt;&gt;1,COUNTIFS($D$9:$D$2008,D1990,$E$9:$E$2008,E1990)&lt;&gt;1),"Duplicate test",IF(COUNTIF('Taxonomy'!$C$9:$C$108,D1990)&lt;&gt;1,"Assessment key",IF(OR(COUNTIF('Taxonomy Rules'!$C$42:$C$68,E1990)&lt;&gt;1,F1990&lt;&gt;IFERROR(INDEX('Taxonomy Rules'!$D$42:$D$68,MATCH(E1990,'Taxonomy Rules'!$C$42:$C$68,0)),""),NOT(OR(IFERROR(INDEX('Taxonomy Rules'!$G$42:$G$68,MATCH(E1990,'Taxonomy Rules'!$C$42:$C$68,0)),"")="All supported routes",IFERROR(INDEX('Taxonomy Rules'!$G$42:$G$68,MATCH(E1990,'Taxonomy Rules'!$C$42:$C$68,0)),"")=U1990,AND(IFERROR(INDEX('Taxonomy Rules'!$G$42:$G$68,MATCH(E1990,'Taxonomy Rules'!$C$42:$C$68,0)),"")="Building routes",OR(U1990="Building renovation",U1990="New building",U1990="Building equipment"))))),"Unexpected test","Valid"))))</x:f>
      </x:c>
      <x:c r="S1990" s="9" t="str">
        <x:f>IF(C1990="","",IFERROR(INDEX('Taxonomy Rules'!$E$42:$E$68,MATCH(E1990,'Taxonomy Rules'!$C$42:$C$68,0)),""))</x:f>
      </x:c>
      <x:c r="T1990" s="9" t="str">
        <x:f>IF(C1990="","",IFERROR(INDEX('Taxonomy Rules'!$F$42:$F$68,MATCH(E1990,'Taxonomy Rules'!$C$42:$C$68,0)),""))</x:f>
      </x:c>
      <x:c r="U1990" s="9" t="str">
        <x:f>IF(C1990="","",IFERROR(INDEX('Taxonomy'!$G$9:$G$108,MATCH(D1990,'Taxonomy'!$C$9:$C$108,0)),""))</x:f>
      </x:c>
    </x:row>
    <x:row r="1991" ht="44" customHeight="1">
      <x:c r="A1991" s="1"/>
      <x:c r="B1991" s="1"/>
      <x:c r="C1991" s="8"/>
      <x:c r="D1991" s="8"/>
      <x:c r="E1991" s="8"/>
      <x:c r="F1991" s="8"/>
      <x:c r="G1991" s="8"/>
      <x:c r="H1991" s="8"/>
      <x:c r="I1991" s="8"/>
      <x:c r="J1991" s="8"/>
      <x:c r="K1991" s="8"/>
      <x:c r="L1991" s="8"/>
      <x:c r="M1991" s="10"/>
      <x:c r="N1991" s="10"/>
      <x:c r="O1991" s="8"/>
      <x:c r="P1991" s="9" t="str">
        <x:f>IF(C1991="","",IF(AND(G1991="Applicable",H1991="Fail"),"Fail",IF(R1991&lt;&gt;"Valid","Pending",IF(OR(I1991="",K1991="",L1991="",K1991=L1991,NOT(ISNUMBER(M1991)),NOT(ISNUMBER(N1991)),M1991&gt;Settings!$F$8,N1991&lt;Settings!$F$8,N1991&lt;M1991),"Pending",IF(AND(G1991="Applicable",H1991="Pass"),"Pass",IF(AND(G1991="N/A",H1991="N/A",J1991&lt;&gt;"",OR(E1991="CEM-FUELS",E1991="CEM-CCS",AND(E1991="CEM-PLAN",IFERROR(INDEX('Taxonomy'!$M$9:$M$108,MATCH(D1991,'Taxonomy'!$C$9:$C$108,0)),"")&lt;&gt;"Amber"),E1991="BLD-TIMBER",AND(U1991="Building equipment",OR(E1991="BLD-WATER",E1991="BLD-WASTE",E1991="BLD-LAND")),AND(U1991="Building renovation",E1991="BLD-LAND"))),"N/A","Pending"))))))</x:f>
      </x:c>
      <x:c r="Q1991" s="3" t="str">
        <x:f>IF(C1991="","",IF(AND(R1991="Valid",OR(P1991="Pass",P1991="N/A")),"Complete","Unresolved"))</x:f>
      </x:c>
      <x:c r="R1991" s="9" t="str">
        <x:f>IF(C1991="","",IF(OR(COUNTIF($C$9:$C$2008,C1991)&lt;&gt;1,COUNTIFS($D$9:$D$2008,D1991,$E$9:$E$2008,E1991)&lt;&gt;1),"Duplicate test",IF(COUNTIF('Taxonomy'!$C$9:$C$108,D1991)&lt;&gt;1,"Assessment key",IF(OR(COUNTIF('Taxonomy Rules'!$C$42:$C$68,E1991)&lt;&gt;1,F1991&lt;&gt;IFERROR(INDEX('Taxonomy Rules'!$D$42:$D$68,MATCH(E1991,'Taxonomy Rules'!$C$42:$C$68,0)),""),NOT(OR(IFERROR(INDEX('Taxonomy Rules'!$G$42:$G$68,MATCH(E1991,'Taxonomy Rules'!$C$42:$C$68,0)),"")="All supported routes",IFERROR(INDEX('Taxonomy Rules'!$G$42:$G$68,MATCH(E1991,'Taxonomy Rules'!$C$42:$C$68,0)),"")=U1991,AND(IFERROR(INDEX('Taxonomy Rules'!$G$42:$G$68,MATCH(E1991,'Taxonomy Rules'!$C$42:$C$68,0)),"")="Building routes",OR(U1991="Building renovation",U1991="New building",U1991="Building equipment"))))),"Unexpected test","Valid"))))</x:f>
      </x:c>
      <x:c r="S1991" s="9" t="str">
        <x:f>IF(C1991="","",IFERROR(INDEX('Taxonomy Rules'!$E$42:$E$68,MATCH(E1991,'Taxonomy Rules'!$C$42:$C$68,0)),""))</x:f>
      </x:c>
      <x:c r="T1991" s="9" t="str">
        <x:f>IF(C1991="","",IFERROR(INDEX('Taxonomy Rules'!$F$42:$F$68,MATCH(E1991,'Taxonomy Rules'!$C$42:$C$68,0)),""))</x:f>
      </x:c>
      <x:c r="U1991" s="9" t="str">
        <x:f>IF(C1991="","",IFERROR(INDEX('Taxonomy'!$G$9:$G$108,MATCH(D1991,'Taxonomy'!$C$9:$C$108,0)),""))</x:f>
      </x:c>
    </x:row>
    <x:row r="1992" ht="44" customHeight="1">
      <x:c r="A1992" s="1"/>
      <x:c r="B1992" s="1"/>
      <x:c r="C1992" s="8"/>
      <x:c r="D1992" s="8"/>
      <x:c r="E1992" s="8"/>
      <x:c r="F1992" s="8"/>
      <x:c r="G1992" s="8"/>
      <x:c r="H1992" s="8"/>
      <x:c r="I1992" s="8"/>
      <x:c r="J1992" s="8"/>
      <x:c r="K1992" s="8"/>
      <x:c r="L1992" s="8"/>
      <x:c r="M1992" s="10"/>
      <x:c r="N1992" s="10"/>
      <x:c r="O1992" s="8"/>
      <x:c r="P1992" s="9" t="str">
        <x:f>IF(C1992="","",IF(AND(G1992="Applicable",H1992="Fail"),"Fail",IF(R1992&lt;&gt;"Valid","Pending",IF(OR(I1992="",K1992="",L1992="",K1992=L1992,NOT(ISNUMBER(M1992)),NOT(ISNUMBER(N1992)),M1992&gt;Settings!$F$8,N1992&lt;Settings!$F$8,N1992&lt;M1992),"Pending",IF(AND(G1992="Applicable",H1992="Pass"),"Pass",IF(AND(G1992="N/A",H1992="N/A",J1992&lt;&gt;"",OR(E1992="CEM-FUELS",E1992="CEM-CCS",AND(E1992="CEM-PLAN",IFERROR(INDEX('Taxonomy'!$M$9:$M$108,MATCH(D1992,'Taxonomy'!$C$9:$C$108,0)),"")&lt;&gt;"Amber"),E1992="BLD-TIMBER",AND(U1992="Building equipment",OR(E1992="BLD-WATER",E1992="BLD-WASTE",E1992="BLD-LAND")),AND(U1992="Building renovation",E1992="BLD-LAND"))),"N/A","Pending"))))))</x:f>
      </x:c>
      <x:c r="Q1992" s="3" t="str">
        <x:f>IF(C1992="","",IF(AND(R1992="Valid",OR(P1992="Pass",P1992="N/A")),"Complete","Unresolved"))</x:f>
      </x:c>
      <x:c r="R1992" s="9" t="str">
        <x:f>IF(C1992="","",IF(OR(COUNTIF($C$9:$C$2008,C1992)&lt;&gt;1,COUNTIFS($D$9:$D$2008,D1992,$E$9:$E$2008,E1992)&lt;&gt;1),"Duplicate test",IF(COUNTIF('Taxonomy'!$C$9:$C$108,D1992)&lt;&gt;1,"Assessment key",IF(OR(COUNTIF('Taxonomy Rules'!$C$42:$C$68,E1992)&lt;&gt;1,F1992&lt;&gt;IFERROR(INDEX('Taxonomy Rules'!$D$42:$D$68,MATCH(E1992,'Taxonomy Rules'!$C$42:$C$68,0)),""),NOT(OR(IFERROR(INDEX('Taxonomy Rules'!$G$42:$G$68,MATCH(E1992,'Taxonomy Rules'!$C$42:$C$68,0)),"")="All supported routes",IFERROR(INDEX('Taxonomy Rules'!$G$42:$G$68,MATCH(E1992,'Taxonomy Rules'!$C$42:$C$68,0)),"")=U1992,AND(IFERROR(INDEX('Taxonomy Rules'!$G$42:$G$68,MATCH(E1992,'Taxonomy Rules'!$C$42:$C$68,0)),"")="Building routes",OR(U1992="Building renovation",U1992="New building",U1992="Building equipment"))))),"Unexpected test","Valid"))))</x:f>
      </x:c>
      <x:c r="S1992" s="9" t="str">
        <x:f>IF(C1992="","",IFERROR(INDEX('Taxonomy Rules'!$E$42:$E$68,MATCH(E1992,'Taxonomy Rules'!$C$42:$C$68,0)),""))</x:f>
      </x:c>
      <x:c r="T1992" s="9" t="str">
        <x:f>IF(C1992="","",IFERROR(INDEX('Taxonomy Rules'!$F$42:$F$68,MATCH(E1992,'Taxonomy Rules'!$C$42:$C$68,0)),""))</x:f>
      </x:c>
      <x:c r="U1992" s="9" t="str">
        <x:f>IF(C1992="","",IFERROR(INDEX('Taxonomy'!$G$9:$G$108,MATCH(D1992,'Taxonomy'!$C$9:$C$108,0)),""))</x:f>
      </x:c>
    </x:row>
    <x:row r="1993" ht="44" customHeight="1">
      <x:c r="A1993" s="1"/>
      <x:c r="B1993" s="1"/>
      <x:c r="C1993" s="8"/>
      <x:c r="D1993" s="8"/>
      <x:c r="E1993" s="8"/>
      <x:c r="F1993" s="8"/>
      <x:c r="G1993" s="8"/>
      <x:c r="H1993" s="8"/>
      <x:c r="I1993" s="8"/>
      <x:c r="J1993" s="8"/>
      <x:c r="K1993" s="8"/>
      <x:c r="L1993" s="8"/>
      <x:c r="M1993" s="10"/>
      <x:c r="N1993" s="10"/>
      <x:c r="O1993" s="8"/>
      <x:c r="P1993" s="9" t="str">
        <x:f>IF(C1993="","",IF(AND(G1993="Applicable",H1993="Fail"),"Fail",IF(R1993&lt;&gt;"Valid","Pending",IF(OR(I1993="",K1993="",L1993="",K1993=L1993,NOT(ISNUMBER(M1993)),NOT(ISNUMBER(N1993)),M1993&gt;Settings!$F$8,N1993&lt;Settings!$F$8,N1993&lt;M1993),"Pending",IF(AND(G1993="Applicable",H1993="Pass"),"Pass",IF(AND(G1993="N/A",H1993="N/A",J1993&lt;&gt;"",OR(E1993="CEM-FUELS",E1993="CEM-CCS",AND(E1993="CEM-PLAN",IFERROR(INDEX('Taxonomy'!$M$9:$M$108,MATCH(D1993,'Taxonomy'!$C$9:$C$108,0)),"")&lt;&gt;"Amber"),E1993="BLD-TIMBER",AND(U1993="Building equipment",OR(E1993="BLD-WATER",E1993="BLD-WASTE",E1993="BLD-LAND")),AND(U1993="Building renovation",E1993="BLD-LAND"))),"N/A","Pending"))))))</x:f>
      </x:c>
      <x:c r="Q1993" s="3" t="str">
        <x:f>IF(C1993="","",IF(AND(R1993="Valid",OR(P1993="Pass",P1993="N/A")),"Complete","Unresolved"))</x:f>
      </x:c>
      <x:c r="R1993" s="9" t="str">
        <x:f>IF(C1993="","",IF(OR(COUNTIF($C$9:$C$2008,C1993)&lt;&gt;1,COUNTIFS($D$9:$D$2008,D1993,$E$9:$E$2008,E1993)&lt;&gt;1),"Duplicate test",IF(COUNTIF('Taxonomy'!$C$9:$C$108,D1993)&lt;&gt;1,"Assessment key",IF(OR(COUNTIF('Taxonomy Rules'!$C$42:$C$68,E1993)&lt;&gt;1,F1993&lt;&gt;IFERROR(INDEX('Taxonomy Rules'!$D$42:$D$68,MATCH(E1993,'Taxonomy Rules'!$C$42:$C$68,0)),""),NOT(OR(IFERROR(INDEX('Taxonomy Rules'!$G$42:$G$68,MATCH(E1993,'Taxonomy Rules'!$C$42:$C$68,0)),"")="All supported routes",IFERROR(INDEX('Taxonomy Rules'!$G$42:$G$68,MATCH(E1993,'Taxonomy Rules'!$C$42:$C$68,0)),"")=U1993,AND(IFERROR(INDEX('Taxonomy Rules'!$G$42:$G$68,MATCH(E1993,'Taxonomy Rules'!$C$42:$C$68,0)),"")="Building routes",OR(U1993="Building renovation",U1993="New building",U1993="Building equipment"))))),"Unexpected test","Valid"))))</x:f>
      </x:c>
      <x:c r="S1993" s="9" t="str">
        <x:f>IF(C1993="","",IFERROR(INDEX('Taxonomy Rules'!$E$42:$E$68,MATCH(E1993,'Taxonomy Rules'!$C$42:$C$68,0)),""))</x:f>
      </x:c>
      <x:c r="T1993" s="9" t="str">
        <x:f>IF(C1993="","",IFERROR(INDEX('Taxonomy Rules'!$F$42:$F$68,MATCH(E1993,'Taxonomy Rules'!$C$42:$C$68,0)),""))</x:f>
      </x:c>
      <x:c r="U1993" s="9" t="str">
        <x:f>IF(C1993="","",IFERROR(INDEX('Taxonomy'!$G$9:$G$108,MATCH(D1993,'Taxonomy'!$C$9:$C$108,0)),""))</x:f>
      </x:c>
    </x:row>
    <x:row r="1994" ht="44" customHeight="1">
      <x:c r="A1994" s="1"/>
      <x:c r="B1994" s="1"/>
      <x:c r="C1994" s="8"/>
      <x:c r="D1994" s="8"/>
      <x:c r="E1994" s="8"/>
      <x:c r="F1994" s="8"/>
      <x:c r="G1994" s="8"/>
      <x:c r="H1994" s="8"/>
      <x:c r="I1994" s="8"/>
      <x:c r="J1994" s="8"/>
      <x:c r="K1994" s="8"/>
      <x:c r="L1994" s="8"/>
      <x:c r="M1994" s="10"/>
      <x:c r="N1994" s="10"/>
      <x:c r="O1994" s="8"/>
      <x:c r="P1994" s="9" t="str">
        <x:f>IF(C1994="","",IF(AND(G1994="Applicable",H1994="Fail"),"Fail",IF(R1994&lt;&gt;"Valid","Pending",IF(OR(I1994="",K1994="",L1994="",K1994=L1994,NOT(ISNUMBER(M1994)),NOT(ISNUMBER(N1994)),M1994&gt;Settings!$F$8,N1994&lt;Settings!$F$8,N1994&lt;M1994),"Pending",IF(AND(G1994="Applicable",H1994="Pass"),"Pass",IF(AND(G1994="N/A",H1994="N/A",J1994&lt;&gt;"",OR(E1994="CEM-FUELS",E1994="CEM-CCS",AND(E1994="CEM-PLAN",IFERROR(INDEX('Taxonomy'!$M$9:$M$108,MATCH(D1994,'Taxonomy'!$C$9:$C$108,0)),"")&lt;&gt;"Amber"),E1994="BLD-TIMBER",AND(U1994="Building equipment",OR(E1994="BLD-WATER",E1994="BLD-WASTE",E1994="BLD-LAND")),AND(U1994="Building renovation",E1994="BLD-LAND"))),"N/A","Pending"))))))</x:f>
      </x:c>
      <x:c r="Q1994" s="3" t="str">
        <x:f>IF(C1994="","",IF(AND(R1994="Valid",OR(P1994="Pass",P1994="N/A")),"Complete","Unresolved"))</x:f>
      </x:c>
      <x:c r="R1994" s="9" t="str">
        <x:f>IF(C1994="","",IF(OR(COUNTIF($C$9:$C$2008,C1994)&lt;&gt;1,COUNTIFS($D$9:$D$2008,D1994,$E$9:$E$2008,E1994)&lt;&gt;1),"Duplicate test",IF(COUNTIF('Taxonomy'!$C$9:$C$108,D1994)&lt;&gt;1,"Assessment key",IF(OR(COUNTIF('Taxonomy Rules'!$C$42:$C$68,E1994)&lt;&gt;1,F1994&lt;&gt;IFERROR(INDEX('Taxonomy Rules'!$D$42:$D$68,MATCH(E1994,'Taxonomy Rules'!$C$42:$C$68,0)),""),NOT(OR(IFERROR(INDEX('Taxonomy Rules'!$G$42:$G$68,MATCH(E1994,'Taxonomy Rules'!$C$42:$C$68,0)),"")="All supported routes",IFERROR(INDEX('Taxonomy Rules'!$G$42:$G$68,MATCH(E1994,'Taxonomy Rules'!$C$42:$C$68,0)),"")=U1994,AND(IFERROR(INDEX('Taxonomy Rules'!$G$42:$G$68,MATCH(E1994,'Taxonomy Rules'!$C$42:$C$68,0)),"")="Building routes",OR(U1994="Building renovation",U1994="New building",U1994="Building equipment"))))),"Unexpected test","Valid"))))</x:f>
      </x:c>
      <x:c r="S1994" s="9" t="str">
        <x:f>IF(C1994="","",IFERROR(INDEX('Taxonomy Rules'!$E$42:$E$68,MATCH(E1994,'Taxonomy Rules'!$C$42:$C$68,0)),""))</x:f>
      </x:c>
      <x:c r="T1994" s="9" t="str">
        <x:f>IF(C1994="","",IFERROR(INDEX('Taxonomy Rules'!$F$42:$F$68,MATCH(E1994,'Taxonomy Rules'!$C$42:$C$68,0)),""))</x:f>
      </x:c>
      <x:c r="U1994" s="9" t="str">
        <x:f>IF(C1994="","",IFERROR(INDEX('Taxonomy'!$G$9:$G$108,MATCH(D1994,'Taxonomy'!$C$9:$C$108,0)),""))</x:f>
      </x:c>
    </x:row>
    <x:row r="1995" ht="44" customHeight="1">
      <x:c r="A1995" s="1"/>
      <x:c r="B1995" s="1"/>
      <x:c r="C1995" s="8"/>
      <x:c r="D1995" s="8"/>
      <x:c r="E1995" s="8"/>
      <x:c r="F1995" s="8"/>
      <x:c r="G1995" s="8"/>
      <x:c r="H1995" s="8"/>
      <x:c r="I1995" s="8"/>
      <x:c r="J1995" s="8"/>
      <x:c r="K1995" s="8"/>
      <x:c r="L1995" s="8"/>
      <x:c r="M1995" s="10"/>
      <x:c r="N1995" s="10"/>
      <x:c r="O1995" s="8"/>
      <x:c r="P1995" s="9" t="str">
        <x:f>IF(C1995="","",IF(AND(G1995="Applicable",H1995="Fail"),"Fail",IF(R1995&lt;&gt;"Valid","Pending",IF(OR(I1995="",K1995="",L1995="",K1995=L1995,NOT(ISNUMBER(M1995)),NOT(ISNUMBER(N1995)),M1995&gt;Settings!$F$8,N1995&lt;Settings!$F$8,N1995&lt;M1995),"Pending",IF(AND(G1995="Applicable",H1995="Pass"),"Pass",IF(AND(G1995="N/A",H1995="N/A",J1995&lt;&gt;"",OR(E1995="CEM-FUELS",E1995="CEM-CCS",AND(E1995="CEM-PLAN",IFERROR(INDEX('Taxonomy'!$M$9:$M$108,MATCH(D1995,'Taxonomy'!$C$9:$C$108,0)),"")&lt;&gt;"Amber"),E1995="BLD-TIMBER",AND(U1995="Building equipment",OR(E1995="BLD-WATER",E1995="BLD-WASTE",E1995="BLD-LAND")),AND(U1995="Building renovation",E1995="BLD-LAND"))),"N/A","Pending"))))))</x:f>
      </x:c>
      <x:c r="Q1995" s="3" t="str">
        <x:f>IF(C1995="","",IF(AND(R1995="Valid",OR(P1995="Pass",P1995="N/A")),"Complete","Unresolved"))</x:f>
      </x:c>
      <x:c r="R1995" s="9" t="str">
        <x:f>IF(C1995="","",IF(OR(COUNTIF($C$9:$C$2008,C1995)&lt;&gt;1,COUNTIFS($D$9:$D$2008,D1995,$E$9:$E$2008,E1995)&lt;&gt;1),"Duplicate test",IF(COUNTIF('Taxonomy'!$C$9:$C$108,D1995)&lt;&gt;1,"Assessment key",IF(OR(COUNTIF('Taxonomy Rules'!$C$42:$C$68,E1995)&lt;&gt;1,F1995&lt;&gt;IFERROR(INDEX('Taxonomy Rules'!$D$42:$D$68,MATCH(E1995,'Taxonomy Rules'!$C$42:$C$68,0)),""),NOT(OR(IFERROR(INDEX('Taxonomy Rules'!$G$42:$G$68,MATCH(E1995,'Taxonomy Rules'!$C$42:$C$68,0)),"")="All supported routes",IFERROR(INDEX('Taxonomy Rules'!$G$42:$G$68,MATCH(E1995,'Taxonomy Rules'!$C$42:$C$68,0)),"")=U1995,AND(IFERROR(INDEX('Taxonomy Rules'!$G$42:$G$68,MATCH(E1995,'Taxonomy Rules'!$C$42:$C$68,0)),"")="Building routes",OR(U1995="Building renovation",U1995="New building",U1995="Building equipment"))))),"Unexpected test","Valid"))))</x:f>
      </x:c>
      <x:c r="S1995" s="9" t="str">
        <x:f>IF(C1995="","",IFERROR(INDEX('Taxonomy Rules'!$E$42:$E$68,MATCH(E1995,'Taxonomy Rules'!$C$42:$C$68,0)),""))</x:f>
      </x:c>
      <x:c r="T1995" s="9" t="str">
        <x:f>IF(C1995="","",IFERROR(INDEX('Taxonomy Rules'!$F$42:$F$68,MATCH(E1995,'Taxonomy Rules'!$C$42:$C$68,0)),""))</x:f>
      </x:c>
      <x:c r="U1995" s="9" t="str">
        <x:f>IF(C1995="","",IFERROR(INDEX('Taxonomy'!$G$9:$G$108,MATCH(D1995,'Taxonomy'!$C$9:$C$108,0)),""))</x:f>
      </x:c>
    </x:row>
    <x:row r="1996" ht="44" customHeight="1">
      <x:c r="A1996" s="1"/>
      <x:c r="B1996" s="1"/>
      <x:c r="C1996" s="8"/>
      <x:c r="D1996" s="8"/>
      <x:c r="E1996" s="8"/>
      <x:c r="F1996" s="8"/>
      <x:c r="G1996" s="8"/>
      <x:c r="H1996" s="8"/>
      <x:c r="I1996" s="8"/>
      <x:c r="J1996" s="8"/>
      <x:c r="K1996" s="8"/>
      <x:c r="L1996" s="8"/>
      <x:c r="M1996" s="10"/>
      <x:c r="N1996" s="10"/>
      <x:c r="O1996" s="8"/>
      <x:c r="P1996" s="9" t="str">
        <x:f>IF(C1996="","",IF(AND(G1996="Applicable",H1996="Fail"),"Fail",IF(R1996&lt;&gt;"Valid","Pending",IF(OR(I1996="",K1996="",L1996="",K1996=L1996,NOT(ISNUMBER(M1996)),NOT(ISNUMBER(N1996)),M1996&gt;Settings!$F$8,N1996&lt;Settings!$F$8,N1996&lt;M1996),"Pending",IF(AND(G1996="Applicable",H1996="Pass"),"Pass",IF(AND(G1996="N/A",H1996="N/A",J1996&lt;&gt;"",OR(E1996="CEM-FUELS",E1996="CEM-CCS",AND(E1996="CEM-PLAN",IFERROR(INDEX('Taxonomy'!$M$9:$M$108,MATCH(D1996,'Taxonomy'!$C$9:$C$108,0)),"")&lt;&gt;"Amber"),E1996="BLD-TIMBER",AND(U1996="Building equipment",OR(E1996="BLD-WATER",E1996="BLD-WASTE",E1996="BLD-LAND")),AND(U1996="Building renovation",E1996="BLD-LAND"))),"N/A","Pending"))))))</x:f>
      </x:c>
      <x:c r="Q1996" s="3" t="str">
        <x:f>IF(C1996="","",IF(AND(R1996="Valid",OR(P1996="Pass",P1996="N/A")),"Complete","Unresolved"))</x:f>
      </x:c>
      <x:c r="R1996" s="9" t="str">
        <x:f>IF(C1996="","",IF(OR(COUNTIF($C$9:$C$2008,C1996)&lt;&gt;1,COUNTIFS($D$9:$D$2008,D1996,$E$9:$E$2008,E1996)&lt;&gt;1),"Duplicate test",IF(COUNTIF('Taxonomy'!$C$9:$C$108,D1996)&lt;&gt;1,"Assessment key",IF(OR(COUNTIF('Taxonomy Rules'!$C$42:$C$68,E1996)&lt;&gt;1,F1996&lt;&gt;IFERROR(INDEX('Taxonomy Rules'!$D$42:$D$68,MATCH(E1996,'Taxonomy Rules'!$C$42:$C$68,0)),""),NOT(OR(IFERROR(INDEX('Taxonomy Rules'!$G$42:$G$68,MATCH(E1996,'Taxonomy Rules'!$C$42:$C$68,0)),"")="All supported routes",IFERROR(INDEX('Taxonomy Rules'!$G$42:$G$68,MATCH(E1996,'Taxonomy Rules'!$C$42:$C$68,0)),"")=U1996,AND(IFERROR(INDEX('Taxonomy Rules'!$G$42:$G$68,MATCH(E1996,'Taxonomy Rules'!$C$42:$C$68,0)),"")="Building routes",OR(U1996="Building renovation",U1996="New building",U1996="Building equipment"))))),"Unexpected test","Valid"))))</x:f>
      </x:c>
      <x:c r="S1996" s="9" t="str">
        <x:f>IF(C1996="","",IFERROR(INDEX('Taxonomy Rules'!$E$42:$E$68,MATCH(E1996,'Taxonomy Rules'!$C$42:$C$68,0)),""))</x:f>
      </x:c>
      <x:c r="T1996" s="9" t="str">
        <x:f>IF(C1996="","",IFERROR(INDEX('Taxonomy Rules'!$F$42:$F$68,MATCH(E1996,'Taxonomy Rules'!$C$42:$C$68,0)),""))</x:f>
      </x:c>
      <x:c r="U1996" s="9" t="str">
        <x:f>IF(C1996="","",IFERROR(INDEX('Taxonomy'!$G$9:$G$108,MATCH(D1996,'Taxonomy'!$C$9:$C$108,0)),""))</x:f>
      </x:c>
    </x:row>
    <x:row r="1997" ht="44" customHeight="1">
      <x:c r="A1997" s="1"/>
      <x:c r="B1997" s="1"/>
      <x:c r="C1997" s="8"/>
      <x:c r="D1997" s="8"/>
      <x:c r="E1997" s="8"/>
      <x:c r="F1997" s="8"/>
      <x:c r="G1997" s="8"/>
      <x:c r="H1997" s="8"/>
      <x:c r="I1997" s="8"/>
      <x:c r="J1997" s="8"/>
      <x:c r="K1997" s="8"/>
      <x:c r="L1997" s="8"/>
      <x:c r="M1997" s="10"/>
      <x:c r="N1997" s="10"/>
      <x:c r="O1997" s="8"/>
      <x:c r="P1997" s="9" t="str">
        <x:f>IF(C1997="","",IF(AND(G1997="Applicable",H1997="Fail"),"Fail",IF(R1997&lt;&gt;"Valid","Pending",IF(OR(I1997="",K1997="",L1997="",K1997=L1997,NOT(ISNUMBER(M1997)),NOT(ISNUMBER(N1997)),M1997&gt;Settings!$F$8,N1997&lt;Settings!$F$8,N1997&lt;M1997),"Pending",IF(AND(G1997="Applicable",H1997="Pass"),"Pass",IF(AND(G1997="N/A",H1997="N/A",J1997&lt;&gt;"",OR(E1997="CEM-FUELS",E1997="CEM-CCS",AND(E1997="CEM-PLAN",IFERROR(INDEX('Taxonomy'!$M$9:$M$108,MATCH(D1997,'Taxonomy'!$C$9:$C$108,0)),"")&lt;&gt;"Amber"),E1997="BLD-TIMBER",AND(U1997="Building equipment",OR(E1997="BLD-WATER",E1997="BLD-WASTE",E1997="BLD-LAND")),AND(U1997="Building renovation",E1997="BLD-LAND"))),"N/A","Pending"))))))</x:f>
      </x:c>
      <x:c r="Q1997" s="3" t="str">
        <x:f>IF(C1997="","",IF(AND(R1997="Valid",OR(P1997="Pass",P1997="N/A")),"Complete","Unresolved"))</x:f>
      </x:c>
      <x:c r="R1997" s="9" t="str">
        <x:f>IF(C1997="","",IF(OR(COUNTIF($C$9:$C$2008,C1997)&lt;&gt;1,COUNTIFS($D$9:$D$2008,D1997,$E$9:$E$2008,E1997)&lt;&gt;1),"Duplicate test",IF(COUNTIF('Taxonomy'!$C$9:$C$108,D1997)&lt;&gt;1,"Assessment key",IF(OR(COUNTIF('Taxonomy Rules'!$C$42:$C$68,E1997)&lt;&gt;1,F1997&lt;&gt;IFERROR(INDEX('Taxonomy Rules'!$D$42:$D$68,MATCH(E1997,'Taxonomy Rules'!$C$42:$C$68,0)),""),NOT(OR(IFERROR(INDEX('Taxonomy Rules'!$G$42:$G$68,MATCH(E1997,'Taxonomy Rules'!$C$42:$C$68,0)),"")="All supported routes",IFERROR(INDEX('Taxonomy Rules'!$G$42:$G$68,MATCH(E1997,'Taxonomy Rules'!$C$42:$C$68,0)),"")=U1997,AND(IFERROR(INDEX('Taxonomy Rules'!$G$42:$G$68,MATCH(E1997,'Taxonomy Rules'!$C$42:$C$68,0)),"")="Building routes",OR(U1997="Building renovation",U1997="New building",U1997="Building equipment"))))),"Unexpected test","Valid"))))</x:f>
      </x:c>
      <x:c r="S1997" s="9" t="str">
        <x:f>IF(C1997="","",IFERROR(INDEX('Taxonomy Rules'!$E$42:$E$68,MATCH(E1997,'Taxonomy Rules'!$C$42:$C$68,0)),""))</x:f>
      </x:c>
      <x:c r="T1997" s="9" t="str">
        <x:f>IF(C1997="","",IFERROR(INDEX('Taxonomy Rules'!$F$42:$F$68,MATCH(E1997,'Taxonomy Rules'!$C$42:$C$68,0)),""))</x:f>
      </x:c>
      <x:c r="U1997" s="9" t="str">
        <x:f>IF(C1997="","",IFERROR(INDEX('Taxonomy'!$G$9:$G$108,MATCH(D1997,'Taxonomy'!$C$9:$C$108,0)),""))</x:f>
      </x:c>
    </x:row>
    <x:row r="1998" ht="44" customHeight="1">
      <x:c r="A1998" s="1"/>
      <x:c r="B1998" s="1"/>
      <x:c r="C1998" s="8"/>
      <x:c r="D1998" s="8"/>
      <x:c r="E1998" s="8"/>
      <x:c r="F1998" s="8"/>
      <x:c r="G1998" s="8"/>
      <x:c r="H1998" s="8"/>
      <x:c r="I1998" s="8"/>
      <x:c r="J1998" s="8"/>
      <x:c r="K1998" s="8"/>
      <x:c r="L1998" s="8"/>
      <x:c r="M1998" s="10"/>
      <x:c r="N1998" s="10"/>
      <x:c r="O1998" s="8"/>
      <x:c r="P1998" s="9" t="str">
        <x:f>IF(C1998="","",IF(AND(G1998="Applicable",H1998="Fail"),"Fail",IF(R1998&lt;&gt;"Valid","Pending",IF(OR(I1998="",K1998="",L1998="",K1998=L1998,NOT(ISNUMBER(M1998)),NOT(ISNUMBER(N1998)),M1998&gt;Settings!$F$8,N1998&lt;Settings!$F$8,N1998&lt;M1998),"Pending",IF(AND(G1998="Applicable",H1998="Pass"),"Pass",IF(AND(G1998="N/A",H1998="N/A",J1998&lt;&gt;"",OR(E1998="CEM-FUELS",E1998="CEM-CCS",AND(E1998="CEM-PLAN",IFERROR(INDEX('Taxonomy'!$M$9:$M$108,MATCH(D1998,'Taxonomy'!$C$9:$C$108,0)),"")&lt;&gt;"Amber"),E1998="BLD-TIMBER",AND(U1998="Building equipment",OR(E1998="BLD-WATER",E1998="BLD-WASTE",E1998="BLD-LAND")),AND(U1998="Building renovation",E1998="BLD-LAND"))),"N/A","Pending"))))))</x:f>
      </x:c>
      <x:c r="Q1998" s="3" t="str">
        <x:f>IF(C1998="","",IF(AND(R1998="Valid",OR(P1998="Pass",P1998="N/A")),"Complete","Unresolved"))</x:f>
      </x:c>
      <x:c r="R1998" s="9" t="str">
        <x:f>IF(C1998="","",IF(OR(COUNTIF($C$9:$C$2008,C1998)&lt;&gt;1,COUNTIFS($D$9:$D$2008,D1998,$E$9:$E$2008,E1998)&lt;&gt;1),"Duplicate test",IF(COUNTIF('Taxonomy'!$C$9:$C$108,D1998)&lt;&gt;1,"Assessment key",IF(OR(COUNTIF('Taxonomy Rules'!$C$42:$C$68,E1998)&lt;&gt;1,F1998&lt;&gt;IFERROR(INDEX('Taxonomy Rules'!$D$42:$D$68,MATCH(E1998,'Taxonomy Rules'!$C$42:$C$68,0)),""),NOT(OR(IFERROR(INDEX('Taxonomy Rules'!$G$42:$G$68,MATCH(E1998,'Taxonomy Rules'!$C$42:$C$68,0)),"")="All supported routes",IFERROR(INDEX('Taxonomy Rules'!$G$42:$G$68,MATCH(E1998,'Taxonomy Rules'!$C$42:$C$68,0)),"")=U1998,AND(IFERROR(INDEX('Taxonomy Rules'!$G$42:$G$68,MATCH(E1998,'Taxonomy Rules'!$C$42:$C$68,0)),"")="Building routes",OR(U1998="Building renovation",U1998="New building",U1998="Building equipment"))))),"Unexpected test","Valid"))))</x:f>
      </x:c>
      <x:c r="S1998" s="9" t="str">
        <x:f>IF(C1998="","",IFERROR(INDEX('Taxonomy Rules'!$E$42:$E$68,MATCH(E1998,'Taxonomy Rules'!$C$42:$C$68,0)),""))</x:f>
      </x:c>
      <x:c r="T1998" s="9" t="str">
        <x:f>IF(C1998="","",IFERROR(INDEX('Taxonomy Rules'!$F$42:$F$68,MATCH(E1998,'Taxonomy Rules'!$C$42:$C$68,0)),""))</x:f>
      </x:c>
      <x:c r="U1998" s="9" t="str">
        <x:f>IF(C1998="","",IFERROR(INDEX('Taxonomy'!$G$9:$G$108,MATCH(D1998,'Taxonomy'!$C$9:$C$108,0)),""))</x:f>
      </x:c>
    </x:row>
    <x:row r="1999" ht="44" customHeight="1">
      <x:c r="A1999" s="1"/>
      <x:c r="B1999" s="1"/>
      <x:c r="C1999" s="8"/>
      <x:c r="D1999" s="8"/>
      <x:c r="E1999" s="8"/>
      <x:c r="F1999" s="8"/>
      <x:c r="G1999" s="8"/>
      <x:c r="H1999" s="8"/>
      <x:c r="I1999" s="8"/>
      <x:c r="J1999" s="8"/>
      <x:c r="K1999" s="8"/>
      <x:c r="L1999" s="8"/>
      <x:c r="M1999" s="10"/>
      <x:c r="N1999" s="10"/>
      <x:c r="O1999" s="8"/>
      <x:c r="P1999" s="9" t="str">
        <x:f>IF(C1999="","",IF(AND(G1999="Applicable",H1999="Fail"),"Fail",IF(R1999&lt;&gt;"Valid","Pending",IF(OR(I1999="",K1999="",L1999="",K1999=L1999,NOT(ISNUMBER(M1999)),NOT(ISNUMBER(N1999)),M1999&gt;Settings!$F$8,N1999&lt;Settings!$F$8,N1999&lt;M1999),"Pending",IF(AND(G1999="Applicable",H1999="Pass"),"Pass",IF(AND(G1999="N/A",H1999="N/A",J1999&lt;&gt;"",OR(E1999="CEM-FUELS",E1999="CEM-CCS",AND(E1999="CEM-PLAN",IFERROR(INDEX('Taxonomy'!$M$9:$M$108,MATCH(D1999,'Taxonomy'!$C$9:$C$108,0)),"")&lt;&gt;"Amber"),E1999="BLD-TIMBER",AND(U1999="Building equipment",OR(E1999="BLD-WATER",E1999="BLD-WASTE",E1999="BLD-LAND")),AND(U1999="Building renovation",E1999="BLD-LAND"))),"N/A","Pending"))))))</x:f>
      </x:c>
      <x:c r="Q1999" s="3" t="str">
        <x:f>IF(C1999="","",IF(AND(R1999="Valid",OR(P1999="Pass",P1999="N/A")),"Complete","Unresolved"))</x:f>
      </x:c>
      <x:c r="R1999" s="9" t="str">
        <x:f>IF(C1999="","",IF(OR(COUNTIF($C$9:$C$2008,C1999)&lt;&gt;1,COUNTIFS($D$9:$D$2008,D1999,$E$9:$E$2008,E1999)&lt;&gt;1),"Duplicate test",IF(COUNTIF('Taxonomy'!$C$9:$C$108,D1999)&lt;&gt;1,"Assessment key",IF(OR(COUNTIF('Taxonomy Rules'!$C$42:$C$68,E1999)&lt;&gt;1,F1999&lt;&gt;IFERROR(INDEX('Taxonomy Rules'!$D$42:$D$68,MATCH(E1999,'Taxonomy Rules'!$C$42:$C$68,0)),""),NOT(OR(IFERROR(INDEX('Taxonomy Rules'!$G$42:$G$68,MATCH(E1999,'Taxonomy Rules'!$C$42:$C$68,0)),"")="All supported routes",IFERROR(INDEX('Taxonomy Rules'!$G$42:$G$68,MATCH(E1999,'Taxonomy Rules'!$C$42:$C$68,0)),"")=U1999,AND(IFERROR(INDEX('Taxonomy Rules'!$G$42:$G$68,MATCH(E1999,'Taxonomy Rules'!$C$42:$C$68,0)),"")="Building routes",OR(U1999="Building renovation",U1999="New building",U1999="Building equipment"))))),"Unexpected test","Valid"))))</x:f>
      </x:c>
      <x:c r="S1999" s="9" t="str">
        <x:f>IF(C1999="","",IFERROR(INDEX('Taxonomy Rules'!$E$42:$E$68,MATCH(E1999,'Taxonomy Rules'!$C$42:$C$68,0)),""))</x:f>
      </x:c>
      <x:c r="T1999" s="9" t="str">
        <x:f>IF(C1999="","",IFERROR(INDEX('Taxonomy Rules'!$F$42:$F$68,MATCH(E1999,'Taxonomy Rules'!$C$42:$C$68,0)),""))</x:f>
      </x:c>
      <x:c r="U1999" s="9" t="str">
        <x:f>IF(C1999="","",IFERROR(INDEX('Taxonomy'!$G$9:$G$108,MATCH(D1999,'Taxonomy'!$C$9:$C$108,0)),""))</x:f>
      </x:c>
    </x:row>
    <x:row r="2000" ht="44" customHeight="1">
      <x:c r="A2000" s="1"/>
      <x:c r="B2000" s="1"/>
      <x:c r="C2000" s="8"/>
      <x:c r="D2000" s="8"/>
      <x:c r="E2000" s="8"/>
      <x:c r="F2000" s="8"/>
      <x:c r="G2000" s="8"/>
      <x:c r="H2000" s="8"/>
      <x:c r="I2000" s="8"/>
      <x:c r="J2000" s="8"/>
      <x:c r="K2000" s="8"/>
      <x:c r="L2000" s="8"/>
      <x:c r="M2000" s="10"/>
      <x:c r="N2000" s="10"/>
      <x:c r="O2000" s="8"/>
      <x:c r="P2000" s="9" t="str">
        <x:f>IF(C2000="","",IF(AND(G2000="Applicable",H2000="Fail"),"Fail",IF(R2000&lt;&gt;"Valid","Pending",IF(OR(I2000="",K2000="",L2000="",K2000=L2000,NOT(ISNUMBER(M2000)),NOT(ISNUMBER(N2000)),M2000&gt;Settings!$F$8,N2000&lt;Settings!$F$8,N2000&lt;M2000),"Pending",IF(AND(G2000="Applicable",H2000="Pass"),"Pass",IF(AND(G2000="N/A",H2000="N/A",J2000&lt;&gt;"",OR(E2000="CEM-FUELS",E2000="CEM-CCS",AND(E2000="CEM-PLAN",IFERROR(INDEX('Taxonomy'!$M$9:$M$108,MATCH(D2000,'Taxonomy'!$C$9:$C$108,0)),"")&lt;&gt;"Amber"),E2000="BLD-TIMBER",AND(U2000="Building equipment",OR(E2000="BLD-WATER",E2000="BLD-WASTE",E2000="BLD-LAND")),AND(U2000="Building renovation",E2000="BLD-LAND"))),"N/A","Pending"))))))</x:f>
      </x:c>
      <x:c r="Q2000" s="3" t="str">
        <x:f>IF(C2000="","",IF(AND(R2000="Valid",OR(P2000="Pass",P2000="N/A")),"Complete","Unresolved"))</x:f>
      </x:c>
      <x:c r="R2000" s="9" t="str">
        <x:f>IF(C2000="","",IF(OR(COUNTIF($C$9:$C$2008,C2000)&lt;&gt;1,COUNTIFS($D$9:$D$2008,D2000,$E$9:$E$2008,E2000)&lt;&gt;1),"Duplicate test",IF(COUNTIF('Taxonomy'!$C$9:$C$108,D2000)&lt;&gt;1,"Assessment key",IF(OR(COUNTIF('Taxonomy Rules'!$C$42:$C$68,E2000)&lt;&gt;1,F2000&lt;&gt;IFERROR(INDEX('Taxonomy Rules'!$D$42:$D$68,MATCH(E2000,'Taxonomy Rules'!$C$42:$C$68,0)),""),NOT(OR(IFERROR(INDEX('Taxonomy Rules'!$G$42:$G$68,MATCH(E2000,'Taxonomy Rules'!$C$42:$C$68,0)),"")="All supported routes",IFERROR(INDEX('Taxonomy Rules'!$G$42:$G$68,MATCH(E2000,'Taxonomy Rules'!$C$42:$C$68,0)),"")=U2000,AND(IFERROR(INDEX('Taxonomy Rules'!$G$42:$G$68,MATCH(E2000,'Taxonomy Rules'!$C$42:$C$68,0)),"")="Building routes",OR(U2000="Building renovation",U2000="New building",U2000="Building equipment"))))),"Unexpected test","Valid"))))</x:f>
      </x:c>
      <x:c r="S2000" s="9" t="str">
        <x:f>IF(C2000="","",IFERROR(INDEX('Taxonomy Rules'!$E$42:$E$68,MATCH(E2000,'Taxonomy Rules'!$C$42:$C$68,0)),""))</x:f>
      </x:c>
      <x:c r="T2000" s="9" t="str">
        <x:f>IF(C2000="","",IFERROR(INDEX('Taxonomy Rules'!$F$42:$F$68,MATCH(E2000,'Taxonomy Rules'!$C$42:$C$68,0)),""))</x:f>
      </x:c>
      <x:c r="U2000" s="9" t="str">
        <x:f>IF(C2000="","",IFERROR(INDEX('Taxonomy'!$G$9:$G$108,MATCH(D2000,'Taxonomy'!$C$9:$C$108,0)),""))</x:f>
      </x:c>
    </x:row>
    <x:row r="2001" ht="44" customHeight="1">
      <x:c r="A2001" s="1"/>
      <x:c r="B2001" s="1"/>
      <x:c r="C2001" s="8"/>
      <x:c r="D2001" s="8"/>
      <x:c r="E2001" s="8"/>
      <x:c r="F2001" s="8"/>
      <x:c r="G2001" s="8"/>
      <x:c r="H2001" s="8"/>
      <x:c r="I2001" s="8"/>
      <x:c r="J2001" s="8"/>
      <x:c r="K2001" s="8"/>
      <x:c r="L2001" s="8"/>
      <x:c r="M2001" s="10"/>
      <x:c r="N2001" s="10"/>
      <x:c r="O2001" s="8"/>
      <x:c r="P2001" s="9" t="str">
        <x:f>IF(C2001="","",IF(AND(G2001="Applicable",H2001="Fail"),"Fail",IF(R2001&lt;&gt;"Valid","Pending",IF(OR(I2001="",K2001="",L2001="",K2001=L2001,NOT(ISNUMBER(M2001)),NOT(ISNUMBER(N2001)),M2001&gt;Settings!$F$8,N2001&lt;Settings!$F$8,N2001&lt;M2001),"Pending",IF(AND(G2001="Applicable",H2001="Pass"),"Pass",IF(AND(G2001="N/A",H2001="N/A",J2001&lt;&gt;"",OR(E2001="CEM-FUELS",E2001="CEM-CCS",AND(E2001="CEM-PLAN",IFERROR(INDEX('Taxonomy'!$M$9:$M$108,MATCH(D2001,'Taxonomy'!$C$9:$C$108,0)),"")&lt;&gt;"Amber"),E2001="BLD-TIMBER",AND(U2001="Building equipment",OR(E2001="BLD-WATER",E2001="BLD-WASTE",E2001="BLD-LAND")),AND(U2001="Building renovation",E2001="BLD-LAND"))),"N/A","Pending"))))))</x:f>
      </x:c>
      <x:c r="Q2001" s="3" t="str">
        <x:f>IF(C2001="","",IF(AND(R2001="Valid",OR(P2001="Pass",P2001="N/A")),"Complete","Unresolved"))</x:f>
      </x:c>
      <x:c r="R2001" s="9" t="str">
        <x:f>IF(C2001="","",IF(OR(COUNTIF($C$9:$C$2008,C2001)&lt;&gt;1,COUNTIFS($D$9:$D$2008,D2001,$E$9:$E$2008,E2001)&lt;&gt;1),"Duplicate test",IF(COUNTIF('Taxonomy'!$C$9:$C$108,D2001)&lt;&gt;1,"Assessment key",IF(OR(COUNTIF('Taxonomy Rules'!$C$42:$C$68,E2001)&lt;&gt;1,F2001&lt;&gt;IFERROR(INDEX('Taxonomy Rules'!$D$42:$D$68,MATCH(E2001,'Taxonomy Rules'!$C$42:$C$68,0)),""),NOT(OR(IFERROR(INDEX('Taxonomy Rules'!$G$42:$G$68,MATCH(E2001,'Taxonomy Rules'!$C$42:$C$68,0)),"")="All supported routes",IFERROR(INDEX('Taxonomy Rules'!$G$42:$G$68,MATCH(E2001,'Taxonomy Rules'!$C$42:$C$68,0)),"")=U2001,AND(IFERROR(INDEX('Taxonomy Rules'!$G$42:$G$68,MATCH(E2001,'Taxonomy Rules'!$C$42:$C$68,0)),"")="Building routes",OR(U2001="Building renovation",U2001="New building",U2001="Building equipment"))))),"Unexpected test","Valid"))))</x:f>
      </x:c>
      <x:c r="S2001" s="9" t="str">
        <x:f>IF(C2001="","",IFERROR(INDEX('Taxonomy Rules'!$E$42:$E$68,MATCH(E2001,'Taxonomy Rules'!$C$42:$C$68,0)),""))</x:f>
      </x:c>
      <x:c r="T2001" s="9" t="str">
        <x:f>IF(C2001="","",IFERROR(INDEX('Taxonomy Rules'!$F$42:$F$68,MATCH(E2001,'Taxonomy Rules'!$C$42:$C$68,0)),""))</x:f>
      </x:c>
      <x:c r="U2001" s="9" t="str">
        <x:f>IF(C2001="","",IFERROR(INDEX('Taxonomy'!$G$9:$G$108,MATCH(D2001,'Taxonomy'!$C$9:$C$108,0)),""))</x:f>
      </x:c>
    </x:row>
    <x:row r="2002" ht="44" customHeight="1">
      <x:c r="A2002" s="1"/>
      <x:c r="B2002" s="1"/>
      <x:c r="C2002" s="8"/>
      <x:c r="D2002" s="8"/>
      <x:c r="E2002" s="8"/>
      <x:c r="F2002" s="8"/>
      <x:c r="G2002" s="8"/>
      <x:c r="H2002" s="8"/>
      <x:c r="I2002" s="8"/>
      <x:c r="J2002" s="8"/>
      <x:c r="K2002" s="8"/>
      <x:c r="L2002" s="8"/>
      <x:c r="M2002" s="10"/>
      <x:c r="N2002" s="10"/>
      <x:c r="O2002" s="8"/>
      <x:c r="P2002" s="9" t="str">
        <x:f>IF(C2002="","",IF(AND(G2002="Applicable",H2002="Fail"),"Fail",IF(R2002&lt;&gt;"Valid","Pending",IF(OR(I2002="",K2002="",L2002="",K2002=L2002,NOT(ISNUMBER(M2002)),NOT(ISNUMBER(N2002)),M2002&gt;Settings!$F$8,N2002&lt;Settings!$F$8,N2002&lt;M2002),"Pending",IF(AND(G2002="Applicable",H2002="Pass"),"Pass",IF(AND(G2002="N/A",H2002="N/A",J2002&lt;&gt;"",OR(E2002="CEM-FUELS",E2002="CEM-CCS",AND(E2002="CEM-PLAN",IFERROR(INDEX('Taxonomy'!$M$9:$M$108,MATCH(D2002,'Taxonomy'!$C$9:$C$108,0)),"")&lt;&gt;"Amber"),E2002="BLD-TIMBER",AND(U2002="Building equipment",OR(E2002="BLD-WATER",E2002="BLD-WASTE",E2002="BLD-LAND")),AND(U2002="Building renovation",E2002="BLD-LAND"))),"N/A","Pending"))))))</x:f>
      </x:c>
      <x:c r="Q2002" s="3" t="str">
        <x:f>IF(C2002="","",IF(AND(R2002="Valid",OR(P2002="Pass",P2002="N/A")),"Complete","Unresolved"))</x:f>
      </x:c>
      <x:c r="R2002" s="9" t="str">
        <x:f>IF(C2002="","",IF(OR(COUNTIF($C$9:$C$2008,C2002)&lt;&gt;1,COUNTIFS($D$9:$D$2008,D2002,$E$9:$E$2008,E2002)&lt;&gt;1),"Duplicate test",IF(COUNTIF('Taxonomy'!$C$9:$C$108,D2002)&lt;&gt;1,"Assessment key",IF(OR(COUNTIF('Taxonomy Rules'!$C$42:$C$68,E2002)&lt;&gt;1,F2002&lt;&gt;IFERROR(INDEX('Taxonomy Rules'!$D$42:$D$68,MATCH(E2002,'Taxonomy Rules'!$C$42:$C$68,0)),""),NOT(OR(IFERROR(INDEX('Taxonomy Rules'!$G$42:$G$68,MATCH(E2002,'Taxonomy Rules'!$C$42:$C$68,0)),"")="All supported routes",IFERROR(INDEX('Taxonomy Rules'!$G$42:$G$68,MATCH(E2002,'Taxonomy Rules'!$C$42:$C$68,0)),"")=U2002,AND(IFERROR(INDEX('Taxonomy Rules'!$G$42:$G$68,MATCH(E2002,'Taxonomy Rules'!$C$42:$C$68,0)),"")="Building routes",OR(U2002="Building renovation",U2002="New building",U2002="Building equipment"))))),"Unexpected test","Valid"))))</x:f>
      </x:c>
      <x:c r="S2002" s="9" t="str">
        <x:f>IF(C2002="","",IFERROR(INDEX('Taxonomy Rules'!$E$42:$E$68,MATCH(E2002,'Taxonomy Rules'!$C$42:$C$68,0)),""))</x:f>
      </x:c>
      <x:c r="T2002" s="9" t="str">
        <x:f>IF(C2002="","",IFERROR(INDEX('Taxonomy Rules'!$F$42:$F$68,MATCH(E2002,'Taxonomy Rules'!$C$42:$C$68,0)),""))</x:f>
      </x:c>
      <x:c r="U2002" s="9" t="str">
        <x:f>IF(C2002="","",IFERROR(INDEX('Taxonomy'!$G$9:$G$108,MATCH(D2002,'Taxonomy'!$C$9:$C$108,0)),""))</x:f>
      </x:c>
    </x:row>
    <x:row r="2003" ht="44" customHeight="1">
      <x:c r="A2003" s="1"/>
      <x:c r="B2003" s="1"/>
      <x:c r="C2003" s="8"/>
      <x:c r="D2003" s="8"/>
      <x:c r="E2003" s="8"/>
      <x:c r="F2003" s="8"/>
      <x:c r="G2003" s="8"/>
      <x:c r="H2003" s="8"/>
      <x:c r="I2003" s="8"/>
      <x:c r="J2003" s="8"/>
      <x:c r="K2003" s="8"/>
      <x:c r="L2003" s="8"/>
      <x:c r="M2003" s="10"/>
      <x:c r="N2003" s="10"/>
      <x:c r="O2003" s="8"/>
      <x:c r="P2003" s="9" t="str">
        <x:f>IF(C2003="","",IF(AND(G2003="Applicable",H2003="Fail"),"Fail",IF(R2003&lt;&gt;"Valid","Pending",IF(OR(I2003="",K2003="",L2003="",K2003=L2003,NOT(ISNUMBER(M2003)),NOT(ISNUMBER(N2003)),M2003&gt;Settings!$F$8,N2003&lt;Settings!$F$8,N2003&lt;M2003),"Pending",IF(AND(G2003="Applicable",H2003="Pass"),"Pass",IF(AND(G2003="N/A",H2003="N/A",J2003&lt;&gt;"",OR(E2003="CEM-FUELS",E2003="CEM-CCS",AND(E2003="CEM-PLAN",IFERROR(INDEX('Taxonomy'!$M$9:$M$108,MATCH(D2003,'Taxonomy'!$C$9:$C$108,0)),"")&lt;&gt;"Amber"),E2003="BLD-TIMBER",AND(U2003="Building equipment",OR(E2003="BLD-WATER",E2003="BLD-WASTE",E2003="BLD-LAND")),AND(U2003="Building renovation",E2003="BLD-LAND"))),"N/A","Pending"))))))</x:f>
      </x:c>
      <x:c r="Q2003" s="3" t="str">
        <x:f>IF(C2003="","",IF(AND(R2003="Valid",OR(P2003="Pass",P2003="N/A")),"Complete","Unresolved"))</x:f>
      </x:c>
      <x:c r="R2003" s="9" t="str">
        <x:f>IF(C2003="","",IF(OR(COUNTIF($C$9:$C$2008,C2003)&lt;&gt;1,COUNTIFS($D$9:$D$2008,D2003,$E$9:$E$2008,E2003)&lt;&gt;1),"Duplicate test",IF(COUNTIF('Taxonomy'!$C$9:$C$108,D2003)&lt;&gt;1,"Assessment key",IF(OR(COUNTIF('Taxonomy Rules'!$C$42:$C$68,E2003)&lt;&gt;1,F2003&lt;&gt;IFERROR(INDEX('Taxonomy Rules'!$D$42:$D$68,MATCH(E2003,'Taxonomy Rules'!$C$42:$C$68,0)),""),NOT(OR(IFERROR(INDEX('Taxonomy Rules'!$G$42:$G$68,MATCH(E2003,'Taxonomy Rules'!$C$42:$C$68,0)),"")="All supported routes",IFERROR(INDEX('Taxonomy Rules'!$G$42:$G$68,MATCH(E2003,'Taxonomy Rules'!$C$42:$C$68,0)),"")=U2003,AND(IFERROR(INDEX('Taxonomy Rules'!$G$42:$G$68,MATCH(E2003,'Taxonomy Rules'!$C$42:$C$68,0)),"")="Building routes",OR(U2003="Building renovation",U2003="New building",U2003="Building equipment"))))),"Unexpected test","Valid"))))</x:f>
      </x:c>
      <x:c r="S2003" s="9" t="str">
        <x:f>IF(C2003="","",IFERROR(INDEX('Taxonomy Rules'!$E$42:$E$68,MATCH(E2003,'Taxonomy Rules'!$C$42:$C$68,0)),""))</x:f>
      </x:c>
      <x:c r="T2003" s="9" t="str">
        <x:f>IF(C2003="","",IFERROR(INDEX('Taxonomy Rules'!$F$42:$F$68,MATCH(E2003,'Taxonomy Rules'!$C$42:$C$68,0)),""))</x:f>
      </x:c>
      <x:c r="U2003" s="9" t="str">
        <x:f>IF(C2003="","",IFERROR(INDEX('Taxonomy'!$G$9:$G$108,MATCH(D2003,'Taxonomy'!$C$9:$C$108,0)),""))</x:f>
      </x:c>
    </x:row>
    <x:row r="2004" ht="44" customHeight="1">
      <x:c r="A2004" s="1"/>
      <x:c r="B2004" s="1"/>
      <x:c r="C2004" s="8"/>
      <x:c r="D2004" s="8"/>
      <x:c r="E2004" s="8"/>
      <x:c r="F2004" s="8"/>
      <x:c r="G2004" s="8"/>
      <x:c r="H2004" s="8"/>
      <x:c r="I2004" s="8"/>
      <x:c r="J2004" s="8"/>
      <x:c r="K2004" s="8"/>
      <x:c r="L2004" s="8"/>
      <x:c r="M2004" s="10"/>
      <x:c r="N2004" s="10"/>
      <x:c r="O2004" s="8"/>
      <x:c r="P2004" s="9" t="str">
        <x:f>IF(C2004="","",IF(AND(G2004="Applicable",H2004="Fail"),"Fail",IF(R2004&lt;&gt;"Valid","Pending",IF(OR(I2004="",K2004="",L2004="",K2004=L2004,NOT(ISNUMBER(M2004)),NOT(ISNUMBER(N2004)),M2004&gt;Settings!$F$8,N2004&lt;Settings!$F$8,N2004&lt;M2004),"Pending",IF(AND(G2004="Applicable",H2004="Pass"),"Pass",IF(AND(G2004="N/A",H2004="N/A",J2004&lt;&gt;"",OR(E2004="CEM-FUELS",E2004="CEM-CCS",AND(E2004="CEM-PLAN",IFERROR(INDEX('Taxonomy'!$M$9:$M$108,MATCH(D2004,'Taxonomy'!$C$9:$C$108,0)),"")&lt;&gt;"Amber"),E2004="BLD-TIMBER",AND(U2004="Building equipment",OR(E2004="BLD-WATER",E2004="BLD-WASTE",E2004="BLD-LAND")),AND(U2004="Building renovation",E2004="BLD-LAND"))),"N/A","Pending"))))))</x:f>
      </x:c>
      <x:c r="Q2004" s="3" t="str">
        <x:f>IF(C2004="","",IF(AND(R2004="Valid",OR(P2004="Pass",P2004="N/A")),"Complete","Unresolved"))</x:f>
      </x:c>
      <x:c r="R2004" s="9" t="str">
        <x:f>IF(C2004="","",IF(OR(COUNTIF($C$9:$C$2008,C2004)&lt;&gt;1,COUNTIFS($D$9:$D$2008,D2004,$E$9:$E$2008,E2004)&lt;&gt;1),"Duplicate test",IF(COUNTIF('Taxonomy'!$C$9:$C$108,D2004)&lt;&gt;1,"Assessment key",IF(OR(COUNTIF('Taxonomy Rules'!$C$42:$C$68,E2004)&lt;&gt;1,F2004&lt;&gt;IFERROR(INDEX('Taxonomy Rules'!$D$42:$D$68,MATCH(E2004,'Taxonomy Rules'!$C$42:$C$68,0)),""),NOT(OR(IFERROR(INDEX('Taxonomy Rules'!$G$42:$G$68,MATCH(E2004,'Taxonomy Rules'!$C$42:$C$68,0)),"")="All supported routes",IFERROR(INDEX('Taxonomy Rules'!$G$42:$G$68,MATCH(E2004,'Taxonomy Rules'!$C$42:$C$68,0)),"")=U2004,AND(IFERROR(INDEX('Taxonomy Rules'!$G$42:$G$68,MATCH(E2004,'Taxonomy Rules'!$C$42:$C$68,0)),"")="Building routes",OR(U2004="Building renovation",U2004="New building",U2004="Building equipment"))))),"Unexpected test","Valid"))))</x:f>
      </x:c>
      <x:c r="S2004" s="9" t="str">
        <x:f>IF(C2004="","",IFERROR(INDEX('Taxonomy Rules'!$E$42:$E$68,MATCH(E2004,'Taxonomy Rules'!$C$42:$C$68,0)),""))</x:f>
      </x:c>
      <x:c r="T2004" s="9" t="str">
        <x:f>IF(C2004="","",IFERROR(INDEX('Taxonomy Rules'!$F$42:$F$68,MATCH(E2004,'Taxonomy Rules'!$C$42:$C$68,0)),""))</x:f>
      </x:c>
      <x:c r="U2004" s="9" t="str">
        <x:f>IF(C2004="","",IFERROR(INDEX('Taxonomy'!$G$9:$G$108,MATCH(D2004,'Taxonomy'!$C$9:$C$108,0)),""))</x:f>
      </x:c>
    </x:row>
    <x:row r="2005" ht="44" customHeight="1">
      <x:c r="A2005" s="1"/>
      <x:c r="B2005" s="1"/>
      <x:c r="C2005" s="8"/>
      <x:c r="D2005" s="8"/>
      <x:c r="E2005" s="8"/>
      <x:c r="F2005" s="8"/>
      <x:c r="G2005" s="8"/>
      <x:c r="H2005" s="8"/>
      <x:c r="I2005" s="8"/>
      <x:c r="J2005" s="8"/>
      <x:c r="K2005" s="8"/>
      <x:c r="L2005" s="8"/>
      <x:c r="M2005" s="10"/>
      <x:c r="N2005" s="10"/>
      <x:c r="O2005" s="8"/>
      <x:c r="P2005" s="9" t="str">
        <x:f>IF(C2005="","",IF(AND(G2005="Applicable",H2005="Fail"),"Fail",IF(R2005&lt;&gt;"Valid","Pending",IF(OR(I2005="",K2005="",L2005="",K2005=L2005,NOT(ISNUMBER(M2005)),NOT(ISNUMBER(N2005)),M2005&gt;Settings!$F$8,N2005&lt;Settings!$F$8,N2005&lt;M2005),"Pending",IF(AND(G2005="Applicable",H2005="Pass"),"Pass",IF(AND(G2005="N/A",H2005="N/A",J2005&lt;&gt;"",OR(E2005="CEM-FUELS",E2005="CEM-CCS",AND(E2005="CEM-PLAN",IFERROR(INDEX('Taxonomy'!$M$9:$M$108,MATCH(D2005,'Taxonomy'!$C$9:$C$108,0)),"")&lt;&gt;"Amber"),E2005="BLD-TIMBER",AND(U2005="Building equipment",OR(E2005="BLD-WATER",E2005="BLD-WASTE",E2005="BLD-LAND")),AND(U2005="Building renovation",E2005="BLD-LAND"))),"N/A","Pending"))))))</x:f>
      </x:c>
      <x:c r="Q2005" s="3" t="str">
        <x:f>IF(C2005="","",IF(AND(R2005="Valid",OR(P2005="Pass",P2005="N/A")),"Complete","Unresolved"))</x:f>
      </x:c>
      <x:c r="R2005" s="9" t="str">
        <x:f>IF(C2005="","",IF(OR(COUNTIF($C$9:$C$2008,C2005)&lt;&gt;1,COUNTIFS($D$9:$D$2008,D2005,$E$9:$E$2008,E2005)&lt;&gt;1),"Duplicate test",IF(COUNTIF('Taxonomy'!$C$9:$C$108,D2005)&lt;&gt;1,"Assessment key",IF(OR(COUNTIF('Taxonomy Rules'!$C$42:$C$68,E2005)&lt;&gt;1,F2005&lt;&gt;IFERROR(INDEX('Taxonomy Rules'!$D$42:$D$68,MATCH(E2005,'Taxonomy Rules'!$C$42:$C$68,0)),""),NOT(OR(IFERROR(INDEX('Taxonomy Rules'!$G$42:$G$68,MATCH(E2005,'Taxonomy Rules'!$C$42:$C$68,0)),"")="All supported routes",IFERROR(INDEX('Taxonomy Rules'!$G$42:$G$68,MATCH(E2005,'Taxonomy Rules'!$C$42:$C$68,0)),"")=U2005,AND(IFERROR(INDEX('Taxonomy Rules'!$G$42:$G$68,MATCH(E2005,'Taxonomy Rules'!$C$42:$C$68,0)),"")="Building routes",OR(U2005="Building renovation",U2005="New building",U2005="Building equipment"))))),"Unexpected test","Valid"))))</x:f>
      </x:c>
      <x:c r="S2005" s="9" t="str">
        <x:f>IF(C2005="","",IFERROR(INDEX('Taxonomy Rules'!$E$42:$E$68,MATCH(E2005,'Taxonomy Rules'!$C$42:$C$68,0)),""))</x:f>
      </x:c>
      <x:c r="T2005" s="9" t="str">
        <x:f>IF(C2005="","",IFERROR(INDEX('Taxonomy Rules'!$F$42:$F$68,MATCH(E2005,'Taxonomy Rules'!$C$42:$C$68,0)),""))</x:f>
      </x:c>
      <x:c r="U2005" s="9" t="str">
        <x:f>IF(C2005="","",IFERROR(INDEX('Taxonomy'!$G$9:$G$108,MATCH(D2005,'Taxonomy'!$C$9:$C$108,0)),""))</x:f>
      </x:c>
    </x:row>
    <x:row r="2006" ht="44" customHeight="1">
      <x:c r="A2006" s="1"/>
      <x:c r="B2006" s="1"/>
      <x:c r="C2006" s="8"/>
      <x:c r="D2006" s="8"/>
      <x:c r="E2006" s="8"/>
      <x:c r="F2006" s="8"/>
      <x:c r="G2006" s="8"/>
      <x:c r="H2006" s="8"/>
      <x:c r="I2006" s="8"/>
      <x:c r="J2006" s="8"/>
      <x:c r="K2006" s="8"/>
      <x:c r="L2006" s="8"/>
      <x:c r="M2006" s="10"/>
      <x:c r="N2006" s="10"/>
      <x:c r="O2006" s="8"/>
      <x:c r="P2006" s="9" t="str">
        <x:f>IF(C2006="","",IF(AND(G2006="Applicable",H2006="Fail"),"Fail",IF(R2006&lt;&gt;"Valid","Pending",IF(OR(I2006="",K2006="",L2006="",K2006=L2006,NOT(ISNUMBER(M2006)),NOT(ISNUMBER(N2006)),M2006&gt;Settings!$F$8,N2006&lt;Settings!$F$8,N2006&lt;M2006),"Pending",IF(AND(G2006="Applicable",H2006="Pass"),"Pass",IF(AND(G2006="N/A",H2006="N/A",J2006&lt;&gt;"",OR(E2006="CEM-FUELS",E2006="CEM-CCS",AND(E2006="CEM-PLAN",IFERROR(INDEX('Taxonomy'!$M$9:$M$108,MATCH(D2006,'Taxonomy'!$C$9:$C$108,0)),"")&lt;&gt;"Amber"),E2006="BLD-TIMBER",AND(U2006="Building equipment",OR(E2006="BLD-WATER",E2006="BLD-WASTE",E2006="BLD-LAND")),AND(U2006="Building renovation",E2006="BLD-LAND"))),"N/A","Pending"))))))</x:f>
      </x:c>
      <x:c r="Q2006" s="3" t="str">
        <x:f>IF(C2006="","",IF(AND(R2006="Valid",OR(P2006="Pass",P2006="N/A")),"Complete","Unresolved"))</x:f>
      </x:c>
      <x:c r="R2006" s="9" t="str">
        <x:f>IF(C2006="","",IF(OR(COUNTIF($C$9:$C$2008,C2006)&lt;&gt;1,COUNTIFS($D$9:$D$2008,D2006,$E$9:$E$2008,E2006)&lt;&gt;1),"Duplicate test",IF(COUNTIF('Taxonomy'!$C$9:$C$108,D2006)&lt;&gt;1,"Assessment key",IF(OR(COUNTIF('Taxonomy Rules'!$C$42:$C$68,E2006)&lt;&gt;1,F2006&lt;&gt;IFERROR(INDEX('Taxonomy Rules'!$D$42:$D$68,MATCH(E2006,'Taxonomy Rules'!$C$42:$C$68,0)),""),NOT(OR(IFERROR(INDEX('Taxonomy Rules'!$G$42:$G$68,MATCH(E2006,'Taxonomy Rules'!$C$42:$C$68,0)),"")="All supported routes",IFERROR(INDEX('Taxonomy Rules'!$G$42:$G$68,MATCH(E2006,'Taxonomy Rules'!$C$42:$C$68,0)),"")=U2006,AND(IFERROR(INDEX('Taxonomy Rules'!$G$42:$G$68,MATCH(E2006,'Taxonomy Rules'!$C$42:$C$68,0)),"")="Building routes",OR(U2006="Building renovation",U2006="New building",U2006="Building equipment"))))),"Unexpected test","Valid"))))</x:f>
      </x:c>
      <x:c r="S2006" s="9" t="str">
        <x:f>IF(C2006="","",IFERROR(INDEX('Taxonomy Rules'!$E$42:$E$68,MATCH(E2006,'Taxonomy Rules'!$C$42:$C$68,0)),""))</x:f>
      </x:c>
      <x:c r="T2006" s="9" t="str">
        <x:f>IF(C2006="","",IFERROR(INDEX('Taxonomy Rules'!$F$42:$F$68,MATCH(E2006,'Taxonomy Rules'!$C$42:$C$68,0)),""))</x:f>
      </x:c>
      <x:c r="U2006" s="9" t="str">
        <x:f>IF(C2006="","",IFERROR(INDEX('Taxonomy'!$G$9:$G$108,MATCH(D2006,'Taxonomy'!$C$9:$C$108,0)),""))</x:f>
      </x:c>
    </x:row>
    <x:row r="2007" ht="44" customHeight="1">
      <x:c r="A2007" s="1"/>
      <x:c r="B2007" s="1"/>
      <x:c r="C2007" s="8"/>
      <x:c r="D2007" s="8"/>
      <x:c r="E2007" s="8"/>
      <x:c r="F2007" s="8"/>
      <x:c r="G2007" s="8"/>
      <x:c r="H2007" s="8"/>
      <x:c r="I2007" s="8"/>
      <x:c r="J2007" s="8"/>
      <x:c r="K2007" s="8"/>
      <x:c r="L2007" s="8"/>
      <x:c r="M2007" s="10"/>
      <x:c r="N2007" s="10"/>
      <x:c r="O2007" s="8"/>
      <x:c r="P2007" s="9" t="str">
        <x:f>IF(C2007="","",IF(AND(G2007="Applicable",H2007="Fail"),"Fail",IF(R2007&lt;&gt;"Valid","Pending",IF(OR(I2007="",K2007="",L2007="",K2007=L2007,NOT(ISNUMBER(M2007)),NOT(ISNUMBER(N2007)),M2007&gt;Settings!$F$8,N2007&lt;Settings!$F$8,N2007&lt;M2007),"Pending",IF(AND(G2007="Applicable",H2007="Pass"),"Pass",IF(AND(G2007="N/A",H2007="N/A",J2007&lt;&gt;"",OR(E2007="CEM-FUELS",E2007="CEM-CCS",AND(E2007="CEM-PLAN",IFERROR(INDEX('Taxonomy'!$M$9:$M$108,MATCH(D2007,'Taxonomy'!$C$9:$C$108,0)),"")&lt;&gt;"Amber"),E2007="BLD-TIMBER",AND(U2007="Building equipment",OR(E2007="BLD-WATER",E2007="BLD-WASTE",E2007="BLD-LAND")),AND(U2007="Building renovation",E2007="BLD-LAND"))),"N/A","Pending"))))))</x:f>
      </x:c>
      <x:c r="Q2007" s="3" t="str">
        <x:f>IF(C2007="","",IF(AND(R2007="Valid",OR(P2007="Pass",P2007="N/A")),"Complete","Unresolved"))</x:f>
      </x:c>
      <x:c r="R2007" s="9" t="str">
        <x:f>IF(C2007="","",IF(OR(COUNTIF($C$9:$C$2008,C2007)&lt;&gt;1,COUNTIFS($D$9:$D$2008,D2007,$E$9:$E$2008,E2007)&lt;&gt;1),"Duplicate test",IF(COUNTIF('Taxonomy'!$C$9:$C$108,D2007)&lt;&gt;1,"Assessment key",IF(OR(COUNTIF('Taxonomy Rules'!$C$42:$C$68,E2007)&lt;&gt;1,F2007&lt;&gt;IFERROR(INDEX('Taxonomy Rules'!$D$42:$D$68,MATCH(E2007,'Taxonomy Rules'!$C$42:$C$68,0)),""),NOT(OR(IFERROR(INDEX('Taxonomy Rules'!$G$42:$G$68,MATCH(E2007,'Taxonomy Rules'!$C$42:$C$68,0)),"")="All supported routes",IFERROR(INDEX('Taxonomy Rules'!$G$42:$G$68,MATCH(E2007,'Taxonomy Rules'!$C$42:$C$68,0)),"")=U2007,AND(IFERROR(INDEX('Taxonomy Rules'!$G$42:$G$68,MATCH(E2007,'Taxonomy Rules'!$C$42:$C$68,0)),"")="Building routes",OR(U2007="Building renovation",U2007="New building",U2007="Building equipment"))))),"Unexpected test","Valid"))))</x:f>
      </x:c>
      <x:c r="S2007" s="9" t="str">
        <x:f>IF(C2007="","",IFERROR(INDEX('Taxonomy Rules'!$E$42:$E$68,MATCH(E2007,'Taxonomy Rules'!$C$42:$C$68,0)),""))</x:f>
      </x:c>
      <x:c r="T2007" s="9" t="str">
        <x:f>IF(C2007="","",IFERROR(INDEX('Taxonomy Rules'!$F$42:$F$68,MATCH(E2007,'Taxonomy Rules'!$C$42:$C$68,0)),""))</x:f>
      </x:c>
      <x:c r="U2007" s="9" t="str">
        <x:f>IF(C2007="","",IFERROR(INDEX('Taxonomy'!$G$9:$G$108,MATCH(D2007,'Taxonomy'!$C$9:$C$108,0)),""))</x:f>
      </x:c>
    </x:row>
    <x:row r="2008" ht="44" customHeight="1">
      <x:c r="A2008" s="1"/>
      <x:c r="B2008" s="1"/>
      <x:c r="C2008" s="8"/>
      <x:c r="D2008" s="8"/>
      <x:c r="E2008" s="8"/>
      <x:c r="F2008" s="8"/>
      <x:c r="G2008" s="8"/>
      <x:c r="H2008" s="8"/>
      <x:c r="I2008" s="8"/>
      <x:c r="J2008" s="8"/>
      <x:c r="K2008" s="8"/>
      <x:c r="L2008" s="8"/>
      <x:c r="M2008" s="10"/>
      <x:c r="N2008" s="10"/>
      <x:c r="O2008" s="8"/>
      <x:c r="P2008" s="9" t="str">
        <x:f>IF(C2008="","",IF(AND(G2008="Applicable",H2008="Fail"),"Fail",IF(R2008&lt;&gt;"Valid","Pending",IF(OR(I2008="",K2008="",L2008="",K2008=L2008,NOT(ISNUMBER(M2008)),NOT(ISNUMBER(N2008)),M2008&gt;Settings!$F$8,N2008&lt;Settings!$F$8,N2008&lt;M2008),"Pending",IF(AND(G2008="Applicable",H2008="Pass"),"Pass",IF(AND(G2008="N/A",H2008="N/A",J2008&lt;&gt;"",OR(E2008="CEM-FUELS",E2008="CEM-CCS",AND(E2008="CEM-PLAN",IFERROR(INDEX('Taxonomy'!$M$9:$M$108,MATCH(D2008,'Taxonomy'!$C$9:$C$108,0)),"")&lt;&gt;"Amber"),E2008="BLD-TIMBER",AND(U2008="Building equipment",OR(E2008="BLD-WATER",E2008="BLD-WASTE",E2008="BLD-LAND")),AND(U2008="Building renovation",E2008="BLD-LAND"))),"N/A","Pending"))))))</x:f>
      </x:c>
      <x:c r="Q2008" s="3" t="str">
        <x:f>IF(C2008="","",IF(AND(R2008="Valid",OR(P2008="Pass",P2008="N/A")),"Complete","Unresolved"))</x:f>
      </x:c>
      <x:c r="R2008" s="9" t="str">
        <x:f>IF(C2008="","",IF(OR(COUNTIF($C$9:$C$2008,C2008)&lt;&gt;1,COUNTIFS($D$9:$D$2008,D2008,$E$9:$E$2008,E2008)&lt;&gt;1),"Duplicate test",IF(COUNTIF('Taxonomy'!$C$9:$C$108,D2008)&lt;&gt;1,"Assessment key",IF(OR(COUNTIF('Taxonomy Rules'!$C$42:$C$68,E2008)&lt;&gt;1,F2008&lt;&gt;IFERROR(INDEX('Taxonomy Rules'!$D$42:$D$68,MATCH(E2008,'Taxonomy Rules'!$C$42:$C$68,0)),""),NOT(OR(IFERROR(INDEX('Taxonomy Rules'!$G$42:$G$68,MATCH(E2008,'Taxonomy Rules'!$C$42:$C$68,0)),"")="All supported routes",IFERROR(INDEX('Taxonomy Rules'!$G$42:$G$68,MATCH(E2008,'Taxonomy Rules'!$C$42:$C$68,0)),"")=U2008,AND(IFERROR(INDEX('Taxonomy Rules'!$G$42:$G$68,MATCH(E2008,'Taxonomy Rules'!$C$42:$C$68,0)),"")="Building routes",OR(U2008="Building renovation",U2008="New building",U2008="Building equipment"))))),"Unexpected test","Valid"))))</x:f>
      </x:c>
      <x:c r="S2008" s="9" t="str">
        <x:f>IF(C2008="","",IFERROR(INDEX('Taxonomy Rules'!$E$42:$E$68,MATCH(E2008,'Taxonomy Rules'!$C$42:$C$68,0)),""))</x:f>
      </x:c>
      <x:c r="T2008" s="9" t="str">
        <x:f>IF(C2008="","",IFERROR(INDEX('Taxonomy Rules'!$F$42:$F$68,MATCH(E2008,'Taxonomy Rules'!$C$42:$C$68,0)),""))</x:f>
      </x:c>
      <x:c r="U2008" s="9" t="str">
        <x:f>IF(C2008="","",IFERROR(INDEX('Taxonomy'!$G$9:$G$108,MATCH(D2008,'Taxonomy'!$C$9:$C$108,0)),""))</x:f>
      </x:c>
    </x:row>
  </x:sheetData>
  <x:mergeCells>
    <x:mergeCell ref="C2:H2"/>
    <x:mergeCell ref="C3:M3"/>
    <x:mergeCell ref="C1:D1"/>
    <x:mergeCell ref="E1:F1"/>
    <x:mergeCell ref="G1:H1"/>
    <x:mergeCell ref="I1:J1"/>
    <x:mergeCell ref="K1:L1"/>
    <x:mergeCell ref="M1:N1"/>
  </x:mergeCells>
  <x:conditionalFormatting sqref="P9:R2008">
    <x:cfRule type="containsText" dxfId="240" priority="1" operator="containsText" text="Missing"/>
    <x:cfRule type="containsText" dxfId="241" priority="2" operator="containsText" text="Required"/>
    <x:cfRule type="containsText" dxfId="242" priority="3" operator="containsText" text="required"/>
    <x:cfRule type="containsText" dxfId="243" priority="4" operator="containsText" text="Expired"/>
    <x:cfRule type="containsText" dxfId="244" priority="5" operator="containsText" text="Hold"/>
    <x:cfRule type="containsText" dxfId="245" priority="6" operator="containsText" text="Review"/>
    <x:cfRule type="containsText" dxfId="246" priority="7" operator="containsText" text="Incomplete"/>
    <x:cfRule type="containsText" dxfId="247" priority="8" operator="containsText" text="Pending"/>
    <x:cfRule type="containsText" dxfId="248" priority="9" operator="containsText" text="Unsupported"/>
    <x:cfRule type="containsText" dxfId="249" priority="10" operator="containsText" text="Criteria"/>
    <x:cfRule type="containsText" dxfId="250" priority="11" operator="containsText" text="Fail"/>
    <x:cfRule type="containsText" dxfId="251" priority="12" operator="containsText" text="Stop"/>
    <x:cfRule type="containsText" dxfId="252" priority="13" operator="containsText" text="Breach"/>
    <x:cfRule type="containsText" dxfId="253" priority="14" operator="containsText" text="Invalid"/>
    <x:cfRule type="containsText" dxfId="254" priority="15" operator="containsText" text="Duplicate"/>
    <x:cfRule type="containsText" dxfId="255" priority="16" operator="containsText" text="Not aligned"/>
  </x:conditionalFormatting>
  <x:dataValidations count="3">
    <x:dataValidation type="list" sqref="G9:G2008">
      <x:formula1>"Applicable,N/A"</x:formula1>
    </x:dataValidation>
    <x:dataValidation type="list" sqref="H9:H2008">
      <x:formula1>"Pass,Fail,Pending,N/A"</x:formula1>
    </x:dataValidation>
    <x:dataValidation type="list" sqref="F9:F2008">
      <x:formula1>"Technical,DNSH,MSS"</x:formula1>
    </x:dataValidation>
  </x:dataValidations>
  <x:hyperlinks>
    <x:hyperlink ref="C1" location="'Overview'!C2" display="Home" tooltip="Open Overview"/>
    <x:hyperlink ref="E1" location="'Customer'!C2" display="Customer" tooltip="Open Customer"/>
    <x:hyperlink ref="G1" location="'Capital'!C2" display="Capital" tooltip="Open Capital"/>
    <x:hyperlink ref="I1" location="'Disclosures'!C2" display="Reporting" tooltip="Open Disclosures"/>
    <x:hyperlink ref="K1" location="'Borrowers'!C8" display="Inputs" tooltip="Open Borrowers"/>
    <x:hyperlink ref="M1" location="'Settings'!C5" display="Settings" tooltip="Open Settings"/>
  </x:hyperlinks>
  <x:pageMargins left="0.7" right="0.7" top="0.75" bottom="0.75" header="0.3" footer="0.3"/>
  <x:tableParts count="1">
    <x:tablePart xmlns:r="http://schemas.openxmlformats.org/officeDocument/2006/relationships" r:id="Ra6517b9057584b8a"/>
  </x:tableParts>
</x:worksheet>
</file>